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439ce9801aa40fe/文档/"/>
    </mc:Choice>
  </mc:AlternateContent>
  <xr:revisionPtr revIDLastSave="5" documentId="8_{0B7B6DA9-B3A4-41E0-B316-15C31A93D350}" xr6:coauthVersionLast="47" xr6:coauthVersionMax="47" xr10:uidLastSave="{764B67F7-EE65-4767-92C6-65B637445AE5}"/>
  <bookViews>
    <workbookView xWindow="-110" yWindow="-110" windowWidth="22620" windowHeight="13500" xr2:uid="{B367BF65-8DD3-4D28-BABB-5AE3D2BD9714}"/>
  </bookViews>
  <sheets>
    <sheet name="明细" sheetId="2" r:id="rId1"/>
    <sheet name="Sheet3" sheetId="3" r:id="rId2"/>
  </sheets>
  <externalReferences>
    <externalReference r:id="rId3"/>
  </externalReferences>
  <definedNames>
    <definedName name="_xlnm._FilterDatabase" localSheetId="0" hidden="1">明细!$A$1:$X$10197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196" i="2" l="1"/>
  <c r="N10196" i="2"/>
  <c r="M10196" i="2"/>
  <c r="J10196" i="2"/>
  <c r="I10196" i="2"/>
  <c r="H10196" i="2"/>
  <c r="G10196" i="2"/>
  <c r="F10196" i="2"/>
  <c r="E10196" i="2"/>
  <c r="D10196" i="2"/>
  <c r="C10196" i="2"/>
  <c r="B10196" i="2"/>
  <c r="A10196" i="2"/>
  <c r="U10195" i="2"/>
  <c r="N10195" i="2"/>
  <c r="M10195" i="2"/>
  <c r="J10195" i="2"/>
  <c r="I10195" i="2"/>
  <c r="H10195" i="2"/>
  <c r="G10195" i="2"/>
  <c r="F10195" i="2"/>
  <c r="E10195" i="2"/>
  <c r="D10195" i="2"/>
  <c r="C10195" i="2"/>
  <c r="B10195" i="2"/>
  <c r="A10195" i="2"/>
  <c r="U10194" i="2"/>
  <c r="N10194" i="2"/>
  <c r="M10194" i="2"/>
  <c r="J10194" i="2"/>
  <c r="I10194" i="2"/>
  <c r="H10194" i="2"/>
  <c r="G10194" i="2"/>
  <c r="F10194" i="2"/>
  <c r="E10194" i="2"/>
  <c r="D10194" i="2"/>
  <c r="C10194" i="2"/>
  <c r="B10194" i="2"/>
  <c r="A10194" i="2"/>
  <c r="U10193" i="2"/>
  <c r="N10193" i="2"/>
  <c r="M10193" i="2"/>
  <c r="J10193" i="2"/>
  <c r="I10193" i="2"/>
  <c r="H10193" i="2"/>
  <c r="G10193" i="2"/>
  <c r="F10193" i="2"/>
  <c r="E10193" i="2"/>
  <c r="D10193" i="2"/>
  <c r="C10193" i="2"/>
  <c r="B10193" i="2"/>
  <c r="A10193" i="2"/>
  <c r="R10192" i="2"/>
  <c r="Q10192" i="2"/>
  <c r="N10192" i="2"/>
  <c r="M10192" i="2"/>
  <c r="J10192" i="2"/>
  <c r="I10192" i="2"/>
  <c r="H10192" i="2"/>
  <c r="G10192" i="2"/>
  <c r="F10192" i="2"/>
  <c r="E10192" i="2"/>
  <c r="D10192" i="2"/>
  <c r="C10192" i="2"/>
  <c r="B10192" i="2"/>
  <c r="A10192" i="2"/>
  <c r="U10191" i="2"/>
  <c r="N10191" i="2"/>
  <c r="M10191" i="2"/>
  <c r="J10191" i="2"/>
  <c r="I10191" i="2"/>
  <c r="H10191" i="2"/>
  <c r="G10191" i="2"/>
  <c r="F10191" i="2"/>
  <c r="E10191" i="2"/>
  <c r="D10191" i="2"/>
  <c r="C10191" i="2"/>
  <c r="B10191" i="2"/>
  <c r="A10191" i="2"/>
  <c r="Q10190" i="2"/>
  <c r="U10190" i="2" s="1"/>
  <c r="N10190" i="2"/>
  <c r="M10190" i="2"/>
  <c r="J10190" i="2"/>
  <c r="I10190" i="2"/>
  <c r="H10190" i="2"/>
  <c r="G10190" i="2"/>
  <c r="F10190" i="2"/>
  <c r="E10190" i="2"/>
  <c r="D10190" i="2"/>
  <c r="C10190" i="2"/>
  <c r="B10190" i="2"/>
  <c r="A10190" i="2"/>
  <c r="U10189" i="2"/>
  <c r="N10189" i="2"/>
  <c r="M10189" i="2"/>
  <c r="J10189" i="2"/>
  <c r="I10189" i="2"/>
  <c r="H10189" i="2"/>
  <c r="G10189" i="2"/>
  <c r="F10189" i="2"/>
  <c r="E10189" i="2"/>
  <c r="D10189" i="2"/>
  <c r="C10189" i="2"/>
  <c r="B10189" i="2"/>
  <c r="A10189" i="2"/>
  <c r="U10188" i="2"/>
  <c r="N10188" i="2"/>
  <c r="M10188" i="2"/>
  <c r="J10188" i="2"/>
  <c r="I10188" i="2"/>
  <c r="H10188" i="2"/>
  <c r="G10188" i="2"/>
  <c r="F10188" i="2"/>
  <c r="E10188" i="2"/>
  <c r="D10188" i="2"/>
  <c r="C10188" i="2"/>
  <c r="B10188" i="2"/>
  <c r="A10188" i="2"/>
  <c r="U10187" i="2"/>
  <c r="N10187" i="2"/>
  <c r="M10187" i="2"/>
  <c r="J10187" i="2"/>
  <c r="I10187" i="2"/>
  <c r="H10187" i="2"/>
  <c r="G10187" i="2"/>
  <c r="F10187" i="2"/>
  <c r="E10187" i="2"/>
  <c r="D10187" i="2"/>
  <c r="C10187" i="2"/>
  <c r="B10187" i="2"/>
  <c r="A10187" i="2"/>
  <c r="U10186" i="2"/>
  <c r="N10186" i="2"/>
  <c r="M10186" i="2"/>
  <c r="J10186" i="2"/>
  <c r="I10186" i="2"/>
  <c r="H10186" i="2"/>
  <c r="G10186" i="2"/>
  <c r="F10186" i="2"/>
  <c r="E10186" i="2"/>
  <c r="D10186" i="2"/>
  <c r="C10186" i="2"/>
  <c r="B10186" i="2"/>
  <c r="A10186" i="2"/>
  <c r="U10185" i="2"/>
  <c r="N10185" i="2"/>
  <c r="M10185" i="2"/>
  <c r="J10185" i="2"/>
  <c r="I10185" i="2"/>
  <c r="H10185" i="2"/>
  <c r="G10185" i="2"/>
  <c r="F10185" i="2"/>
  <c r="E10185" i="2"/>
  <c r="D10185" i="2"/>
  <c r="C10185" i="2"/>
  <c r="B10185" i="2"/>
  <c r="A10185" i="2"/>
  <c r="U10184" i="2"/>
  <c r="N10184" i="2"/>
  <c r="M10184" i="2"/>
  <c r="J10184" i="2"/>
  <c r="I10184" i="2"/>
  <c r="H10184" i="2"/>
  <c r="G10184" i="2"/>
  <c r="F10184" i="2"/>
  <c r="E10184" i="2"/>
  <c r="D10184" i="2"/>
  <c r="C10184" i="2"/>
  <c r="B10184" i="2"/>
  <c r="A10184" i="2"/>
  <c r="U10183" i="2"/>
  <c r="N10183" i="2"/>
  <c r="M10183" i="2"/>
  <c r="J10183" i="2"/>
  <c r="I10183" i="2"/>
  <c r="H10183" i="2"/>
  <c r="G10183" i="2"/>
  <c r="F10183" i="2"/>
  <c r="E10183" i="2"/>
  <c r="D10183" i="2"/>
  <c r="C10183" i="2"/>
  <c r="B10183" i="2"/>
  <c r="A10183" i="2"/>
  <c r="U10182" i="2"/>
  <c r="N10182" i="2"/>
  <c r="M10182" i="2"/>
  <c r="J10182" i="2"/>
  <c r="I10182" i="2"/>
  <c r="H10182" i="2"/>
  <c r="G10182" i="2"/>
  <c r="F10182" i="2"/>
  <c r="E10182" i="2"/>
  <c r="D10182" i="2"/>
  <c r="C10182" i="2"/>
  <c r="B10182" i="2"/>
  <c r="A10182" i="2"/>
  <c r="U10181" i="2"/>
  <c r="N10181" i="2"/>
  <c r="M10181" i="2"/>
  <c r="J10181" i="2"/>
  <c r="I10181" i="2"/>
  <c r="H10181" i="2"/>
  <c r="G10181" i="2"/>
  <c r="F10181" i="2"/>
  <c r="E10181" i="2"/>
  <c r="D10181" i="2"/>
  <c r="C10181" i="2"/>
  <c r="B10181" i="2"/>
  <c r="A10181" i="2"/>
  <c r="U10180" i="2"/>
  <c r="N10180" i="2"/>
  <c r="M10180" i="2"/>
  <c r="J10180" i="2"/>
  <c r="I10180" i="2"/>
  <c r="H10180" i="2"/>
  <c r="G10180" i="2"/>
  <c r="F10180" i="2"/>
  <c r="E10180" i="2"/>
  <c r="D10180" i="2"/>
  <c r="C10180" i="2"/>
  <c r="B10180" i="2"/>
  <c r="A10180" i="2"/>
  <c r="U10179" i="2"/>
  <c r="N10179" i="2"/>
  <c r="M10179" i="2"/>
  <c r="J10179" i="2"/>
  <c r="I10179" i="2"/>
  <c r="H10179" i="2"/>
  <c r="G10179" i="2"/>
  <c r="F10179" i="2"/>
  <c r="E10179" i="2"/>
  <c r="D10179" i="2"/>
  <c r="C10179" i="2"/>
  <c r="B10179" i="2"/>
  <c r="A10179" i="2"/>
  <c r="U10178" i="2"/>
  <c r="N10178" i="2"/>
  <c r="M10178" i="2"/>
  <c r="J10178" i="2"/>
  <c r="I10178" i="2"/>
  <c r="H10178" i="2"/>
  <c r="G10178" i="2"/>
  <c r="F10178" i="2"/>
  <c r="E10178" i="2"/>
  <c r="D10178" i="2"/>
  <c r="C10178" i="2"/>
  <c r="B10178" i="2"/>
  <c r="A10178" i="2"/>
  <c r="U10177" i="2"/>
  <c r="N10177" i="2"/>
  <c r="M10177" i="2"/>
  <c r="J10177" i="2"/>
  <c r="I10177" i="2"/>
  <c r="H10177" i="2"/>
  <c r="G10177" i="2"/>
  <c r="F10177" i="2"/>
  <c r="E10177" i="2"/>
  <c r="D10177" i="2"/>
  <c r="C10177" i="2"/>
  <c r="B10177" i="2"/>
  <c r="A10177" i="2"/>
  <c r="U10176" i="2"/>
  <c r="N10176" i="2"/>
  <c r="M10176" i="2"/>
  <c r="J10176" i="2"/>
  <c r="I10176" i="2"/>
  <c r="H10176" i="2"/>
  <c r="G10176" i="2"/>
  <c r="F10176" i="2"/>
  <c r="E10176" i="2"/>
  <c r="D10176" i="2"/>
  <c r="C10176" i="2"/>
  <c r="B10176" i="2"/>
  <c r="A10176" i="2"/>
  <c r="U10175" i="2"/>
  <c r="N10175" i="2"/>
  <c r="M10175" i="2"/>
  <c r="J10175" i="2"/>
  <c r="I10175" i="2"/>
  <c r="H10175" i="2"/>
  <c r="G10175" i="2"/>
  <c r="F10175" i="2"/>
  <c r="E10175" i="2"/>
  <c r="D10175" i="2"/>
  <c r="C10175" i="2"/>
  <c r="B10175" i="2"/>
  <c r="A10175" i="2"/>
  <c r="Q10174" i="2"/>
  <c r="U10174" i="2" s="1"/>
  <c r="N10174" i="2"/>
  <c r="M10174" i="2"/>
  <c r="J10174" i="2"/>
  <c r="I10174" i="2"/>
  <c r="H10174" i="2"/>
  <c r="G10174" i="2"/>
  <c r="F10174" i="2"/>
  <c r="E10174" i="2"/>
  <c r="D10174" i="2"/>
  <c r="C10174" i="2"/>
  <c r="B10174" i="2"/>
  <c r="A10174" i="2"/>
  <c r="Q10173" i="2"/>
  <c r="U10173" i="2" s="1"/>
  <c r="N10173" i="2"/>
  <c r="M10173" i="2"/>
  <c r="J10173" i="2"/>
  <c r="I10173" i="2"/>
  <c r="H10173" i="2"/>
  <c r="G10173" i="2"/>
  <c r="F10173" i="2"/>
  <c r="E10173" i="2"/>
  <c r="D10173" i="2"/>
  <c r="C10173" i="2"/>
  <c r="B10173" i="2"/>
  <c r="A10173" i="2"/>
  <c r="U10172" i="2"/>
  <c r="N10172" i="2"/>
  <c r="M10172" i="2"/>
  <c r="J10172" i="2"/>
  <c r="I10172" i="2"/>
  <c r="H10172" i="2"/>
  <c r="G10172" i="2"/>
  <c r="F10172" i="2"/>
  <c r="E10172" i="2"/>
  <c r="D10172" i="2"/>
  <c r="C10172" i="2"/>
  <c r="B10172" i="2"/>
  <c r="A10172" i="2"/>
  <c r="Q10171" i="2"/>
  <c r="U10171" i="2" s="1"/>
  <c r="N10171" i="2"/>
  <c r="M10171" i="2"/>
  <c r="J10171" i="2"/>
  <c r="I10171" i="2"/>
  <c r="H10171" i="2"/>
  <c r="G10171" i="2"/>
  <c r="F10171" i="2"/>
  <c r="E10171" i="2"/>
  <c r="D10171" i="2"/>
  <c r="C10171" i="2"/>
  <c r="B10171" i="2"/>
  <c r="A10171" i="2"/>
  <c r="Q10170" i="2"/>
  <c r="U10170" i="2" s="1"/>
  <c r="N10170" i="2"/>
  <c r="M10170" i="2"/>
  <c r="J10170" i="2"/>
  <c r="I10170" i="2"/>
  <c r="H10170" i="2"/>
  <c r="G10170" i="2"/>
  <c r="F10170" i="2"/>
  <c r="E10170" i="2"/>
  <c r="D10170" i="2"/>
  <c r="C10170" i="2"/>
  <c r="B10170" i="2"/>
  <c r="A10170" i="2"/>
  <c r="U10169" i="2"/>
  <c r="N10169" i="2"/>
  <c r="M10169" i="2"/>
  <c r="J10169" i="2"/>
  <c r="I10169" i="2"/>
  <c r="H10169" i="2"/>
  <c r="G10169" i="2"/>
  <c r="F10169" i="2"/>
  <c r="E10169" i="2"/>
  <c r="D10169" i="2"/>
  <c r="C10169" i="2"/>
  <c r="B10169" i="2"/>
  <c r="A10169" i="2"/>
  <c r="Q10168" i="2"/>
  <c r="U10168" i="2" s="1"/>
  <c r="N10168" i="2"/>
  <c r="M10168" i="2"/>
  <c r="J10168" i="2"/>
  <c r="I10168" i="2"/>
  <c r="H10168" i="2"/>
  <c r="G10168" i="2"/>
  <c r="F10168" i="2"/>
  <c r="E10168" i="2"/>
  <c r="D10168" i="2"/>
  <c r="C10168" i="2"/>
  <c r="B10168" i="2"/>
  <c r="A10168" i="2"/>
  <c r="U10167" i="2"/>
  <c r="N10167" i="2"/>
  <c r="M10167" i="2"/>
  <c r="J10167" i="2"/>
  <c r="I10167" i="2"/>
  <c r="H10167" i="2"/>
  <c r="G10167" i="2"/>
  <c r="F10167" i="2"/>
  <c r="E10167" i="2"/>
  <c r="D10167" i="2"/>
  <c r="C10167" i="2"/>
  <c r="B10167" i="2"/>
  <c r="A10167" i="2"/>
  <c r="U10166" i="2"/>
  <c r="N10166" i="2"/>
  <c r="M10166" i="2"/>
  <c r="J10166" i="2"/>
  <c r="I10166" i="2"/>
  <c r="H10166" i="2"/>
  <c r="G10166" i="2"/>
  <c r="F10166" i="2"/>
  <c r="E10166" i="2"/>
  <c r="D10166" i="2"/>
  <c r="C10166" i="2"/>
  <c r="B10166" i="2"/>
  <c r="A10166" i="2"/>
  <c r="U10165" i="2"/>
  <c r="N10165" i="2"/>
  <c r="M10165" i="2"/>
  <c r="J10165" i="2"/>
  <c r="I10165" i="2"/>
  <c r="H10165" i="2"/>
  <c r="G10165" i="2"/>
  <c r="F10165" i="2"/>
  <c r="E10165" i="2"/>
  <c r="D10165" i="2"/>
  <c r="C10165" i="2"/>
  <c r="B10165" i="2"/>
  <c r="A10165" i="2"/>
  <c r="U10164" i="2"/>
  <c r="N10164" i="2"/>
  <c r="M10164" i="2"/>
  <c r="J10164" i="2"/>
  <c r="I10164" i="2"/>
  <c r="H10164" i="2"/>
  <c r="G10164" i="2"/>
  <c r="F10164" i="2"/>
  <c r="E10164" i="2"/>
  <c r="D10164" i="2"/>
  <c r="C10164" i="2"/>
  <c r="B10164" i="2"/>
  <c r="A10164" i="2"/>
  <c r="U10163" i="2"/>
  <c r="N10163" i="2"/>
  <c r="M10163" i="2"/>
  <c r="J10163" i="2"/>
  <c r="I10163" i="2"/>
  <c r="H10163" i="2"/>
  <c r="G10163" i="2"/>
  <c r="F10163" i="2"/>
  <c r="E10163" i="2"/>
  <c r="D10163" i="2"/>
  <c r="C10163" i="2"/>
  <c r="B10163" i="2"/>
  <c r="A10163" i="2"/>
  <c r="U10162" i="2"/>
  <c r="N10162" i="2"/>
  <c r="M10162" i="2"/>
  <c r="J10162" i="2"/>
  <c r="I10162" i="2"/>
  <c r="H10162" i="2"/>
  <c r="G10162" i="2"/>
  <c r="F10162" i="2"/>
  <c r="E10162" i="2"/>
  <c r="D10162" i="2"/>
  <c r="C10162" i="2"/>
  <c r="B10162" i="2"/>
  <c r="A10162" i="2"/>
  <c r="U10161" i="2"/>
  <c r="N10161" i="2"/>
  <c r="M10161" i="2"/>
  <c r="J10161" i="2"/>
  <c r="I10161" i="2"/>
  <c r="H10161" i="2"/>
  <c r="G10161" i="2"/>
  <c r="F10161" i="2"/>
  <c r="E10161" i="2"/>
  <c r="D10161" i="2"/>
  <c r="C10161" i="2"/>
  <c r="B10161" i="2"/>
  <c r="A10161" i="2"/>
  <c r="U10160" i="2"/>
  <c r="N10160" i="2"/>
  <c r="M10160" i="2"/>
  <c r="J10160" i="2"/>
  <c r="I10160" i="2"/>
  <c r="H10160" i="2"/>
  <c r="G10160" i="2"/>
  <c r="F10160" i="2"/>
  <c r="E10160" i="2"/>
  <c r="D10160" i="2"/>
  <c r="C10160" i="2"/>
  <c r="B10160" i="2"/>
  <c r="A10160" i="2"/>
  <c r="U10159" i="2"/>
  <c r="N10159" i="2"/>
  <c r="M10159" i="2"/>
  <c r="J10159" i="2"/>
  <c r="I10159" i="2"/>
  <c r="H10159" i="2"/>
  <c r="G10159" i="2"/>
  <c r="F10159" i="2"/>
  <c r="E10159" i="2"/>
  <c r="D10159" i="2"/>
  <c r="C10159" i="2"/>
  <c r="B10159" i="2"/>
  <c r="A10159" i="2"/>
  <c r="U10158" i="2"/>
  <c r="N10158" i="2"/>
  <c r="M10158" i="2"/>
  <c r="J10158" i="2"/>
  <c r="I10158" i="2"/>
  <c r="H10158" i="2"/>
  <c r="G10158" i="2"/>
  <c r="F10158" i="2"/>
  <c r="E10158" i="2"/>
  <c r="D10158" i="2"/>
  <c r="C10158" i="2"/>
  <c r="B10158" i="2"/>
  <c r="A10158" i="2"/>
  <c r="U10157" i="2"/>
  <c r="N10157" i="2"/>
  <c r="M10157" i="2"/>
  <c r="J10157" i="2"/>
  <c r="I10157" i="2"/>
  <c r="H10157" i="2"/>
  <c r="G10157" i="2"/>
  <c r="F10157" i="2"/>
  <c r="E10157" i="2"/>
  <c r="D10157" i="2"/>
  <c r="C10157" i="2"/>
  <c r="B10157" i="2"/>
  <c r="A10157" i="2"/>
  <c r="U10156" i="2"/>
  <c r="N10156" i="2"/>
  <c r="M10156" i="2"/>
  <c r="J10156" i="2"/>
  <c r="I10156" i="2"/>
  <c r="H10156" i="2"/>
  <c r="G10156" i="2"/>
  <c r="F10156" i="2"/>
  <c r="E10156" i="2"/>
  <c r="D10156" i="2"/>
  <c r="C10156" i="2"/>
  <c r="B10156" i="2"/>
  <c r="A10156" i="2"/>
  <c r="U10155" i="2"/>
  <c r="N10155" i="2"/>
  <c r="M10155" i="2"/>
  <c r="J10155" i="2"/>
  <c r="I10155" i="2"/>
  <c r="H10155" i="2"/>
  <c r="G10155" i="2"/>
  <c r="F10155" i="2"/>
  <c r="E10155" i="2"/>
  <c r="D10155" i="2"/>
  <c r="C10155" i="2"/>
  <c r="B10155" i="2"/>
  <c r="A10155" i="2"/>
  <c r="U10154" i="2"/>
  <c r="N10154" i="2"/>
  <c r="M10154" i="2"/>
  <c r="J10154" i="2"/>
  <c r="I10154" i="2"/>
  <c r="H10154" i="2"/>
  <c r="G10154" i="2"/>
  <c r="F10154" i="2"/>
  <c r="E10154" i="2"/>
  <c r="D10154" i="2"/>
  <c r="C10154" i="2"/>
  <c r="B10154" i="2"/>
  <c r="A10154" i="2"/>
  <c r="U10153" i="2"/>
  <c r="N10153" i="2"/>
  <c r="M10153" i="2"/>
  <c r="J10153" i="2"/>
  <c r="I10153" i="2"/>
  <c r="H10153" i="2"/>
  <c r="G10153" i="2"/>
  <c r="F10153" i="2"/>
  <c r="E10153" i="2"/>
  <c r="D10153" i="2"/>
  <c r="C10153" i="2"/>
  <c r="B10153" i="2"/>
  <c r="A10153" i="2"/>
  <c r="U10152" i="2"/>
  <c r="N10152" i="2"/>
  <c r="M10152" i="2"/>
  <c r="J10152" i="2"/>
  <c r="I10152" i="2"/>
  <c r="H10152" i="2"/>
  <c r="G10152" i="2"/>
  <c r="F10152" i="2"/>
  <c r="E10152" i="2"/>
  <c r="D10152" i="2"/>
  <c r="C10152" i="2"/>
  <c r="B10152" i="2"/>
  <c r="A10152" i="2"/>
  <c r="U10151" i="2"/>
  <c r="N10151" i="2"/>
  <c r="M10151" i="2"/>
  <c r="J10151" i="2"/>
  <c r="I10151" i="2"/>
  <c r="H10151" i="2"/>
  <c r="G10151" i="2"/>
  <c r="F10151" i="2"/>
  <c r="E10151" i="2"/>
  <c r="D10151" i="2"/>
  <c r="C10151" i="2"/>
  <c r="B10151" i="2"/>
  <c r="A10151" i="2"/>
  <c r="U10150" i="2"/>
  <c r="N10150" i="2"/>
  <c r="M10150" i="2"/>
  <c r="J10150" i="2"/>
  <c r="I10150" i="2"/>
  <c r="H10150" i="2"/>
  <c r="G10150" i="2"/>
  <c r="F10150" i="2"/>
  <c r="E10150" i="2"/>
  <c r="D10150" i="2"/>
  <c r="C10150" i="2"/>
  <c r="B10150" i="2"/>
  <c r="A10150" i="2"/>
  <c r="U10149" i="2"/>
  <c r="N10149" i="2"/>
  <c r="M10149" i="2"/>
  <c r="J10149" i="2"/>
  <c r="I10149" i="2"/>
  <c r="H10149" i="2"/>
  <c r="G10149" i="2"/>
  <c r="F10149" i="2"/>
  <c r="E10149" i="2"/>
  <c r="D10149" i="2"/>
  <c r="C10149" i="2"/>
  <c r="B10149" i="2"/>
  <c r="A10149" i="2"/>
  <c r="U10148" i="2"/>
  <c r="N10148" i="2"/>
  <c r="M10148" i="2"/>
  <c r="J10148" i="2"/>
  <c r="I10148" i="2"/>
  <c r="H10148" i="2"/>
  <c r="G10148" i="2"/>
  <c r="F10148" i="2"/>
  <c r="E10148" i="2"/>
  <c r="D10148" i="2"/>
  <c r="C10148" i="2"/>
  <c r="B10148" i="2"/>
  <c r="A10148" i="2"/>
  <c r="U10147" i="2"/>
  <c r="N10147" i="2"/>
  <c r="M10147" i="2"/>
  <c r="J10147" i="2"/>
  <c r="I10147" i="2"/>
  <c r="H10147" i="2"/>
  <c r="G10147" i="2"/>
  <c r="F10147" i="2"/>
  <c r="E10147" i="2"/>
  <c r="D10147" i="2"/>
  <c r="C10147" i="2"/>
  <c r="B10147" i="2"/>
  <c r="A10147" i="2"/>
  <c r="U10146" i="2"/>
  <c r="N10146" i="2"/>
  <c r="M10146" i="2"/>
  <c r="J10146" i="2"/>
  <c r="I10146" i="2"/>
  <c r="H10146" i="2"/>
  <c r="G10146" i="2"/>
  <c r="F10146" i="2"/>
  <c r="E10146" i="2"/>
  <c r="D10146" i="2"/>
  <c r="C10146" i="2"/>
  <c r="B10146" i="2"/>
  <c r="A10146" i="2"/>
  <c r="U10145" i="2"/>
  <c r="N10145" i="2"/>
  <c r="M10145" i="2"/>
  <c r="J10145" i="2"/>
  <c r="I10145" i="2"/>
  <c r="H10145" i="2"/>
  <c r="G10145" i="2"/>
  <c r="F10145" i="2"/>
  <c r="E10145" i="2"/>
  <c r="D10145" i="2"/>
  <c r="C10145" i="2"/>
  <c r="B10145" i="2"/>
  <c r="A10145" i="2"/>
  <c r="U10144" i="2"/>
  <c r="N10144" i="2"/>
  <c r="M10144" i="2"/>
  <c r="J10144" i="2"/>
  <c r="I10144" i="2"/>
  <c r="H10144" i="2"/>
  <c r="G10144" i="2"/>
  <c r="F10144" i="2"/>
  <c r="E10144" i="2"/>
  <c r="D10144" i="2"/>
  <c r="C10144" i="2"/>
  <c r="B10144" i="2"/>
  <c r="A10144" i="2"/>
  <c r="U10143" i="2"/>
  <c r="N10143" i="2"/>
  <c r="M10143" i="2"/>
  <c r="J10143" i="2"/>
  <c r="I10143" i="2"/>
  <c r="H10143" i="2"/>
  <c r="G10143" i="2"/>
  <c r="F10143" i="2"/>
  <c r="E10143" i="2"/>
  <c r="D10143" i="2"/>
  <c r="C10143" i="2"/>
  <c r="B10143" i="2"/>
  <c r="A10143" i="2"/>
  <c r="U10142" i="2"/>
  <c r="N10142" i="2"/>
  <c r="M10142" i="2"/>
  <c r="J10142" i="2"/>
  <c r="I10142" i="2"/>
  <c r="H10142" i="2"/>
  <c r="G10142" i="2"/>
  <c r="F10142" i="2"/>
  <c r="E10142" i="2"/>
  <c r="D10142" i="2"/>
  <c r="C10142" i="2"/>
  <c r="B10142" i="2"/>
  <c r="A10142" i="2"/>
  <c r="U10141" i="2"/>
  <c r="N10141" i="2"/>
  <c r="M10141" i="2"/>
  <c r="J10141" i="2"/>
  <c r="I10141" i="2"/>
  <c r="H10141" i="2"/>
  <c r="G10141" i="2"/>
  <c r="F10141" i="2"/>
  <c r="E10141" i="2"/>
  <c r="D10141" i="2"/>
  <c r="C10141" i="2"/>
  <c r="B10141" i="2"/>
  <c r="A10141" i="2"/>
  <c r="U10140" i="2"/>
  <c r="N10140" i="2"/>
  <c r="M10140" i="2"/>
  <c r="J10140" i="2"/>
  <c r="I10140" i="2"/>
  <c r="H10140" i="2"/>
  <c r="G10140" i="2"/>
  <c r="F10140" i="2"/>
  <c r="E10140" i="2"/>
  <c r="D10140" i="2"/>
  <c r="C10140" i="2"/>
  <c r="B10140" i="2"/>
  <c r="A10140" i="2"/>
  <c r="U10139" i="2"/>
  <c r="N10139" i="2"/>
  <c r="M10139" i="2"/>
  <c r="J10139" i="2"/>
  <c r="I10139" i="2"/>
  <c r="H10139" i="2"/>
  <c r="G10139" i="2"/>
  <c r="F10139" i="2"/>
  <c r="E10139" i="2"/>
  <c r="D10139" i="2"/>
  <c r="C10139" i="2"/>
  <c r="B10139" i="2"/>
  <c r="A10139" i="2"/>
  <c r="U10138" i="2"/>
  <c r="N10138" i="2"/>
  <c r="M10138" i="2"/>
  <c r="J10138" i="2"/>
  <c r="I10138" i="2"/>
  <c r="H10138" i="2"/>
  <c r="G10138" i="2"/>
  <c r="F10138" i="2"/>
  <c r="E10138" i="2"/>
  <c r="D10138" i="2"/>
  <c r="C10138" i="2"/>
  <c r="B10138" i="2"/>
  <c r="A10138" i="2"/>
  <c r="U10137" i="2"/>
  <c r="N10137" i="2"/>
  <c r="M10137" i="2"/>
  <c r="J10137" i="2"/>
  <c r="I10137" i="2"/>
  <c r="H10137" i="2"/>
  <c r="G10137" i="2"/>
  <c r="F10137" i="2"/>
  <c r="E10137" i="2"/>
  <c r="D10137" i="2"/>
  <c r="C10137" i="2"/>
  <c r="B10137" i="2"/>
  <c r="A10137" i="2"/>
  <c r="U10136" i="2"/>
  <c r="N10136" i="2"/>
  <c r="M10136" i="2"/>
  <c r="J10136" i="2"/>
  <c r="I10136" i="2"/>
  <c r="H10136" i="2"/>
  <c r="G10136" i="2"/>
  <c r="F10136" i="2"/>
  <c r="E10136" i="2"/>
  <c r="D10136" i="2"/>
  <c r="C10136" i="2"/>
  <c r="B10136" i="2"/>
  <c r="A10136" i="2"/>
  <c r="U10135" i="2"/>
  <c r="N10135" i="2"/>
  <c r="M10135" i="2"/>
  <c r="J10135" i="2"/>
  <c r="I10135" i="2"/>
  <c r="H10135" i="2"/>
  <c r="G10135" i="2"/>
  <c r="F10135" i="2"/>
  <c r="E10135" i="2"/>
  <c r="D10135" i="2"/>
  <c r="C10135" i="2"/>
  <c r="B10135" i="2"/>
  <c r="A10135" i="2"/>
  <c r="U10134" i="2"/>
  <c r="N10134" i="2"/>
  <c r="M10134" i="2"/>
  <c r="J10134" i="2"/>
  <c r="I10134" i="2"/>
  <c r="H10134" i="2"/>
  <c r="G10134" i="2"/>
  <c r="F10134" i="2"/>
  <c r="E10134" i="2"/>
  <c r="D10134" i="2"/>
  <c r="C10134" i="2"/>
  <c r="B10134" i="2"/>
  <c r="A10134" i="2"/>
  <c r="U10133" i="2"/>
  <c r="N10133" i="2"/>
  <c r="M10133" i="2"/>
  <c r="J10133" i="2"/>
  <c r="I10133" i="2"/>
  <c r="H10133" i="2"/>
  <c r="G10133" i="2"/>
  <c r="F10133" i="2"/>
  <c r="E10133" i="2"/>
  <c r="D10133" i="2"/>
  <c r="C10133" i="2"/>
  <c r="B10133" i="2"/>
  <c r="A10133" i="2"/>
  <c r="U10132" i="2"/>
  <c r="N10132" i="2"/>
  <c r="M10132" i="2"/>
  <c r="J10132" i="2"/>
  <c r="I10132" i="2"/>
  <c r="H10132" i="2"/>
  <c r="G10132" i="2"/>
  <c r="F10132" i="2"/>
  <c r="E10132" i="2"/>
  <c r="D10132" i="2"/>
  <c r="C10132" i="2"/>
  <c r="B10132" i="2"/>
  <c r="A10132" i="2"/>
  <c r="U10131" i="2"/>
  <c r="N10131" i="2"/>
  <c r="M10131" i="2"/>
  <c r="J10131" i="2"/>
  <c r="I10131" i="2"/>
  <c r="H10131" i="2"/>
  <c r="G10131" i="2"/>
  <c r="F10131" i="2"/>
  <c r="E10131" i="2"/>
  <c r="D10131" i="2"/>
  <c r="C10131" i="2"/>
  <c r="B10131" i="2"/>
  <c r="A10131" i="2"/>
  <c r="Q10130" i="2"/>
  <c r="U10130" i="2" s="1"/>
  <c r="N10130" i="2"/>
  <c r="M10130" i="2"/>
  <c r="J10130" i="2"/>
  <c r="I10130" i="2"/>
  <c r="H10130" i="2"/>
  <c r="G10130" i="2"/>
  <c r="F10130" i="2"/>
  <c r="E10130" i="2"/>
  <c r="D10130" i="2"/>
  <c r="C10130" i="2"/>
  <c r="B10130" i="2"/>
  <c r="A10130" i="2"/>
  <c r="Q10129" i="2"/>
  <c r="U10129" i="2" s="1"/>
  <c r="N10129" i="2"/>
  <c r="M10129" i="2"/>
  <c r="J10129" i="2"/>
  <c r="I10129" i="2"/>
  <c r="H10129" i="2"/>
  <c r="G10129" i="2"/>
  <c r="F10129" i="2"/>
  <c r="E10129" i="2"/>
  <c r="D10129" i="2"/>
  <c r="C10129" i="2"/>
  <c r="B10129" i="2"/>
  <c r="A10129" i="2"/>
  <c r="Q10128" i="2"/>
  <c r="U10128" i="2" s="1"/>
  <c r="N10128" i="2"/>
  <c r="M10128" i="2"/>
  <c r="J10128" i="2"/>
  <c r="I10128" i="2"/>
  <c r="H10128" i="2"/>
  <c r="G10128" i="2"/>
  <c r="F10128" i="2"/>
  <c r="E10128" i="2"/>
  <c r="D10128" i="2"/>
  <c r="C10128" i="2"/>
  <c r="B10128" i="2"/>
  <c r="A10128" i="2"/>
  <c r="Q10127" i="2"/>
  <c r="U10127" i="2" s="1"/>
  <c r="N10127" i="2"/>
  <c r="M10127" i="2"/>
  <c r="J10127" i="2"/>
  <c r="I10127" i="2"/>
  <c r="H10127" i="2"/>
  <c r="G10127" i="2"/>
  <c r="F10127" i="2"/>
  <c r="E10127" i="2"/>
  <c r="D10127" i="2"/>
  <c r="C10127" i="2"/>
  <c r="B10127" i="2"/>
  <c r="A10127" i="2"/>
  <c r="U10126" i="2"/>
  <c r="N10126" i="2"/>
  <c r="M10126" i="2"/>
  <c r="J10126" i="2"/>
  <c r="I10126" i="2"/>
  <c r="H10126" i="2"/>
  <c r="G10126" i="2"/>
  <c r="F10126" i="2"/>
  <c r="E10126" i="2"/>
  <c r="D10126" i="2"/>
  <c r="C10126" i="2"/>
  <c r="B10126" i="2"/>
  <c r="A10126" i="2"/>
  <c r="U10125" i="2"/>
  <c r="N10125" i="2"/>
  <c r="M10125" i="2"/>
  <c r="J10125" i="2"/>
  <c r="I10125" i="2"/>
  <c r="H10125" i="2"/>
  <c r="G10125" i="2"/>
  <c r="F10125" i="2"/>
  <c r="E10125" i="2"/>
  <c r="D10125" i="2"/>
  <c r="C10125" i="2"/>
  <c r="B10125" i="2"/>
  <c r="A10125" i="2"/>
  <c r="U10124" i="2"/>
  <c r="N10124" i="2"/>
  <c r="M10124" i="2"/>
  <c r="J10124" i="2"/>
  <c r="I10124" i="2"/>
  <c r="H10124" i="2"/>
  <c r="G10124" i="2"/>
  <c r="F10124" i="2"/>
  <c r="E10124" i="2"/>
  <c r="D10124" i="2"/>
  <c r="C10124" i="2"/>
  <c r="B10124" i="2"/>
  <c r="A10124" i="2"/>
  <c r="U10123" i="2"/>
  <c r="N10123" i="2"/>
  <c r="M10123" i="2"/>
  <c r="J10123" i="2"/>
  <c r="I10123" i="2"/>
  <c r="H10123" i="2"/>
  <c r="G10123" i="2"/>
  <c r="F10123" i="2"/>
  <c r="E10123" i="2"/>
  <c r="D10123" i="2"/>
  <c r="C10123" i="2"/>
  <c r="B10123" i="2"/>
  <c r="A10123" i="2"/>
  <c r="U10122" i="2"/>
  <c r="N10122" i="2"/>
  <c r="M10122" i="2"/>
  <c r="J10122" i="2"/>
  <c r="I10122" i="2"/>
  <c r="H10122" i="2"/>
  <c r="G10122" i="2"/>
  <c r="F10122" i="2"/>
  <c r="E10122" i="2"/>
  <c r="D10122" i="2"/>
  <c r="C10122" i="2"/>
  <c r="B10122" i="2"/>
  <c r="A10122" i="2"/>
  <c r="U10121" i="2"/>
  <c r="N10121" i="2"/>
  <c r="M10121" i="2"/>
  <c r="J10121" i="2"/>
  <c r="I10121" i="2"/>
  <c r="H10121" i="2"/>
  <c r="G10121" i="2"/>
  <c r="F10121" i="2"/>
  <c r="E10121" i="2"/>
  <c r="D10121" i="2"/>
  <c r="C10121" i="2"/>
  <c r="B10121" i="2"/>
  <c r="A10121" i="2"/>
  <c r="U10120" i="2"/>
  <c r="N10120" i="2"/>
  <c r="M10120" i="2"/>
  <c r="J10120" i="2"/>
  <c r="I10120" i="2"/>
  <c r="H10120" i="2"/>
  <c r="G10120" i="2"/>
  <c r="F10120" i="2"/>
  <c r="E10120" i="2"/>
  <c r="D10120" i="2"/>
  <c r="C10120" i="2"/>
  <c r="B10120" i="2"/>
  <c r="A10120" i="2"/>
  <c r="U10119" i="2"/>
  <c r="N10119" i="2"/>
  <c r="M10119" i="2"/>
  <c r="J10119" i="2"/>
  <c r="I10119" i="2"/>
  <c r="H10119" i="2"/>
  <c r="G10119" i="2"/>
  <c r="F10119" i="2"/>
  <c r="E10119" i="2"/>
  <c r="D10119" i="2"/>
  <c r="C10119" i="2"/>
  <c r="B10119" i="2"/>
  <c r="A10119" i="2"/>
  <c r="Q10118" i="2"/>
  <c r="U10118" i="2" s="1"/>
  <c r="N10118" i="2"/>
  <c r="M10118" i="2"/>
  <c r="J10118" i="2"/>
  <c r="I10118" i="2"/>
  <c r="H10118" i="2"/>
  <c r="G10118" i="2"/>
  <c r="F10118" i="2"/>
  <c r="E10118" i="2"/>
  <c r="D10118" i="2"/>
  <c r="C10118" i="2"/>
  <c r="B10118" i="2"/>
  <c r="A10118" i="2"/>
  <c r="Q10117" i="2"/>
  <c r="U10117" i="2" s="1"/>
  <c r="N10117" i="2"/>
  <c r="M10117" i="2"/>
  <c r="J10117" i="2"/>
  <c r="I10117" i="2"/>
  <c r="H10117" i="2"/>
  <c r="G10117" i="2"/>
  <c r="F10117" i="2"/>
  <c r="E10117" i="2"/>
  <c r="D10117" i="2"/>
  <c r="C10117" i="2"/>
  <c r="B10117" i="2"/>
  <c r="A10117" i="2"/>
  <c r="Q10116" i="2"/>
  <c r="U10116" i="2" s="1"/>
  <c r="N10116" i="2"/>
  <c r="M10116" i="2"/>
  <c r="J10116" i="2"/>
  <c r="I10116" i="2"/>
  <c r="H10116" i="2"/>
  <c r="G10116" i="2"/>
  <c r="F10116" i="2"/>
  <c r="E10116" i="2"/>
  <c r="D10116" i="2"/>
  <c r="C10116" i="2"/>
  <c r="B10116" i="2"/>
  <c r="A10116" i="2"/>
  <c r="U10115" i="2"/>
  <c r="N10115" i="2"/>
  <c r="M10115" i="2"/>
  <c r="J10115" i="2"/>
  <c r="I10115" i="2"/>
  <c r="H10115" i="2"/>
  <c r="G10115" i="2"/>
  <c r="F10115" i="2"/>
  <c r="E10115" i="2"/>
  <c r="D10115" i="2"/>
  <c r="C10115" i="2"/>
  <c r="B10115" i="2"/>
  <c r="A10115" i="2"/>
  <c r="U10114" i="2"/>
  <c r="N10114" i="2"/>
  <c r="M10114" i="2"/>
  <c r="J10114" i="2"/>
  <c r="I10114" i="2"/>
  <c r="H10114" i="2"/>
  <c r="G10114" i="2"/>
  <c r="F10114" i="2"/>
  <c r="E10114" i="2"/>
  <c r="D10114" i="2"/>
  <c r="C10114" i="2"/>
  <c r="B10114" i="2"/>
  <c r="A10114" i="2"/>
  <c r="U10113" i="2"/>
  <c r="N10113" i="2"/>
  <c r="M10113" i="2"/>
  <c r="J10113" i="2"/>
  <c r="I10113" i="2"/>
  <c r="H10113" i="2"/>
  <c r="G10113" i="2"/>
  <c r="F10113" i="2"/>
  <c r="E10113" i="2"/>
  <c r="D10113" i="2"/>
  <c r="C10113" i="2"/>
  <c r="B10113" i="2"/>
  <c r="A10113" i="2"/>
  <c r="U10112" i="2"/>
  <c r="N10112" i="2"/>
  <c r="M10112" i="2"/>
  <c r="J10112" i="2"/>
  <c r="I10112" i="2"/>
  <c r="H10112" i="2"/>
  <c r="G10112" i="2"/>
  <c r="F10112" i="2"/>
  <c r="E10112" i="2"/>
  <c r="D10112" i="2"/>
  <c r="C10112" i="2"/>
  <c r="B10112" i="2"/>
  <c r="A10112" i="2"/>
  <c r="Q10111" i="2"/>
  <c r="U10111" i="2" s="1"/>
  <c r="N10111" i="2"/>
  <c r="M10111" i="2"/>
  <c r="J10111" i="2"/>
  <c r="I10111" i="2"/>
  <c r="H10111" i="2"/>
  <c r="G10111" i="2"/>
  <c r="F10111" i="2"/>
  <c r="E10111" i="2"/>
  <c r="D10111" i="2"/>
  <c r="C10111" i="2"/>
  <c r="B10111" i="2"/>
  <c r="A10111" i="2"/>
  <c r="U10110" i="2"/>
  <c r="N10110" i="2"/>
  <c r="M10110" i="2"/>
  <c r="J10110" i="2"/>
  <c r="I10110" i="2"/>
  <c r="H10110" i="2"/>
  <c r="G10110" i="2"/>
  <c r="F10110" i="2"/>
  <c r="E10110" i="2"/>
  <c r="D10110" i="2"/>
  <c r="C10110" i="2"/>
  <c r="B10110" i="2"/>
  <c r="A10110" i="2"/>
  <c r="U10109" i="2"/>
  <c r="N10109" i="2"/>
  <c r="M10109" i="2"/>
  <c r="J10109" i="2"/>
  <c r="I10109" i="2"/>
  <c r="H10109" i="2"/>
  <c r="G10109" i="2"/>
  <c r="F10109" i="2"/>
  <c r="E10109" i="2"/>
  <c r="D10109" i="2"/>
  <c r="C10109" i="2"/>
  <c r="B10109" i="2"/>
  <c r="A10109" i="2"/>
  <c r="U10108" i="2"/>
  <c r="N10108" i="2"/>
  <c r="M10108" i="2"/>
  <c r="J10108" i="2"/>
  <c r="I10108" i="2"/>
  <c r="H10108" i="2"/>
  <c r="G10108" i="2"/>
  <c r="F10108" i="2"/>
  <c r="E10108" i="2"/>
  <c r="D10108" i="2"/>
  <c r="C10108" i="2"/>
  <c r="B10108" i="2"/>
  <c r="A10108" i="2"/>
  <c r="U10107" i="2"/>
  <c r="N10107" i="2"/>
  <c r="M10107" i="2"/>
  <c r="J10107" i="2"/>
  <c r="I10107" i="2"/>
  <c r="H10107" i="2"/>
  <c r="G10107" i="2"/>
  <c r="F10107" i="2"/>
  <c r="E10107" i="2"/>
  <c r="D10107" i="2"/>
  <c r="C10107" i="2"/>
  <c r="B10107" i="2"/>
  <c r="A10107" i="2"/>
  <c r="U10106" i="2"/>
  <c r="N10106" i="2"/>
  <c r="M10106" i="2"/>
  <c r="J10106" i="2"/>
  <c r="I10106" i="2"/>
  <c r="H10106" i="2"/>
  <c r="G10106" i="2"/>
  <c r="F10106" i="2"/>
  <c r="E10106" i="2"/>
  <c r="D10106" i="2"/>
  <c r="C10106" i="2"/>
  <c r="B10106" i="2"/>
  <c r="A10106" i="2"/>
  <c r="U10105" i="2"/>
  <c r="N10105" i="2"/>
  <c r="M10105" i="2"/>
  <c r="J10105" i="2"/>
  <c r="I10105" i="2"/>
  <c r="H10105" i="2"/>
  <c r="G10105" i="2"/>
  <c r="F10105" i="2"/>
  <c r="E10105" i="2"/>
  <c r="D10105" i="2"/>
  <c r="C10105" i="2"/>
  <c r="B10105" i="2"/>
  <c r="A10105" i="2"/>
  <c r="U10104" i="2"/>
  <c r="N10104" i="2"/>
  <c r="M10104" i="2"/>
  <c r="J10104" i="2"/>
  <c r="I10104" i="2"/>
  <c r="H10104" i="2"/>
  <c r="G10104" i="2"/>
  <c r="F10104" i="2"/>
  <c r="E10104" i="2"/>
  <c r="D10104" i="2"/>
  <c r="C10104" i="2"/>
  <c r="B10104" i="2"/>
  <c r="A10104" i="2"/>
  <c r="U10103" i="2"/>
  <c r="N10103" i="2"/>
  <c r="M10103" i="2"/>
  <c r="J10103" i="2"/>
  <c r="I10103" i="2"/>
  <c r="H10103" i="2"/>
  <c r="G10103" i="2"/>
  <c r="F10103" i="2"/>
  <c r="E10103" i="2"/>
  <c r="D10103" i="2"/>
  <c r="C10103" i="2"/>
  <c r="B10103" i="2"/>
  <c r="A10103" i="2"/>
  <c r="U10102" i="2"/>
  <c r="N10102" i="2"/>
  <c r="M10102" i="2"/>
  <c r="J10102" i="2"/>
  <c r="I10102" i="2"/>
  <c r="H10102" i="2"/>
  <c r="G10102" i="2"/>
  <c r="F10102" i="2"/>
  <c r="E10102" i="2"/>
  <c r="D10102" i="2"/>
  <c r="C10102" i="2"/>
  <c r="B10102" i="2"/>
  <c r="A10102" i="2"/>
  <c r="U10101" i="2"/>
  <c r="N10101" i="2"/>
  <c r="M10101" i="2"/>
  <c r="J10101" i="2"/>
  <c r="I10101" i="2"/>
  <c r="H10101" i="2"/>
  <c r="G10101" i="2"/>
  <c r="F10101" i="2"/>
  <c r="E10101" i="2"/>
  <c r="D10101" i="2"/>
  <c r="C10101" i="2"/>
  <c r="B10101" i="2"/>
  <c r="A10101" i="2"/>
  <c r="U10100" i="2"/>
  <c r="N10100" i="2"/>
  <c r="M10100" i="2"/>
  <c r="J10100" i="2"/>
  <c r="I10100" i="2"/>
  <c r="H10100" i="2"/>
  <c r="G10100" i="2"/>
  <c r="F10100" i="2"/>
  <c r="E10100" i="2"/>
  <c r="D10100" i="2"/>
  <c r="C10100" i="2"/>
  <c r="B10100" i="2"/>
  <c r="A10100" i="2"/>
  <c r="U10099" i="2"/>
  <c r="N10099" i="2"/>
  <c r="M10099" i="2"/>
  <c r="J10099" i="2"/>
  <c r="I10099" i="2"/>
  <c r="H10099" i="2"/>
  <c r="G10099" i="2"/>
  <c r="F10099" i="2"/>
  <c r="E10099" i="2"/>
  <c r="D10099" i="2"/>
  <c r="C10099" i="2"/>
  <c r="B10099" i="2"/>
  <c r="A10099" i="2"/>
  <c r="U10098" i="2"/>
  <c r="N10098" i="2"/>
  <c r="M10098" i="2"/>
  <c r="J10098" i="2"/>
  <c r="I10098" i="2"/>
  <c r="H10098" i="2"/>
  <c r="G10098" i="2"/>
  <c r="F10098" i="2"/>
  <c r="E10098" i="2"/>
  <c r="D10098" i="2"/>
  <c r="C10098" i="2"/>
  <c r="B10098" i="2"/>
  <c r="A10098" i="2"/>
  <c r="Q10097" i="2"/>
  <c r="U10097" i="2" s="1"/>
  <c r="N10097" i="2"/>
  <c r="M10097" i="2"/>
  <c r="J10097" i="2"/>
  <c r="I10097" i="2"/>
  <c r="H10097" i="2"/>
  <c r="G10097" i="2"/>
  <c r="F10097" i="2"/>
  <c r="E10097" i="2"/>
  <c r="D10097" i="2"/>
  <c r="C10097" i="2"/>
  <c r="B10097" i="2"/>
  <c r="A10097" i="2"/>
  <c r="U10096" i="2"/>
  <c r="N10096" i="2"/>
  <c r="M10096" i="2"/>
  <c r="J10096" i="2"/>
  <c r="I10096" i="2"/>
  <c r="H10096" i="2"/>
  <c r="G10096" i="2"/>
  <c r="F10096" i="2"/>
  <c r="E10096" i="2"/>
  <c r="D10096" i="2"/>
  <c r="C10096" i="2"/>
  <c r="B10096" i="2"/>
  <c r="A10096" i="2"/>
  <c r="U10095" i="2"/>
  <c r="N10095" i="2"/>
  <c r="M10095" i="2"/>
  <c r="J10095" i="2"/>
  <c r="I10095" i="2"/>
  <c r="H10095" i="2"/>
  <c r="G10095" i="2"/>
  <c r="F10095" i="2"/>
  <c r="E10095" i="2"/>
  <c r="D10095" i="2"/>
  <c r="C10095" i="2"/>
  <c r="B10095" i="2"/>
  <c r="A10095" i="2"/>
  <c r="U10094" i="2"/>
  <c r="N10094" i="2"/>
  <c r="M10094" i="2"/>
  <c r="J10094" i="2"/>
  <c r="I10094" i="2"/>
  <c r="H10094" i="2"/>
  <c r="G10094" i="2"/>
  <c r="F10094" i="2"/>
  <c r="E10094" i="2"/>
  <c r="D10094" i="2"/>
  <c r="C10094" i="2"/>
  <c r="B10094" i="2"/>
  <c r="A10094" i="2"/>
  <c r="U10093" i="2"/>
  <c r="N10093" i="2"/>
  <c r="M10093" i="2"/>
  <c r="J10093" i="2"/>
  <c r="I10093" i="2"/>
  <c r="H10093" i="2"/>
  <c r="G10093" i="2"/>
  <c r="F10093" i="2"/>
  <c r="E10093" i="2"/>
  <c r="D10093" i="2"/>
  <c r="C10093" i="2"/>
  <c r="B10093" i="2"/>
  <c r="A10093" i="2"/>
  <c r="U10092" i="2"/>
  <c r="N10092" i="2"/>
  <c r="M10092" i="2"/>
  <c r="J10092" i="2"/>
  <c r="I10092" i="2"/>
  <c r="H10092" i="2"/>
  <c r="G10092" i="2"/>
  <c r="F10092" i="2"/>
  <c r="E10092" i="2"/>
  <c r="D10092" i="2"/>
  <c r="C10092" i="2"/>
  <c r="B10092" i="2"/>
  <c r="A10092" i="2"/>
  <c r="U10091" i="2"/>
  <c r="N10091" i="2"/>
  <c r="M10091" i="2"/>
  <c r="J10091" i="2"/>
  <c r="I10091" i="2"/>
  <c r="H10091" i="2"/>
  <c r="G10091" i="2"/>
  <c r="F10091" i="2"/>
  <c r="E10091" i="2"/>
  <c r="D10091" i="2"/>
  <c r="C10091" i="2"/>
  <c r="B10091" i="2"/>
  <c r="A10091" i="2"/>
  <c r="U10090" i="2"/>
  <c r="N10090" i="2"/>
  <c r="M10090" i="2"/>
  <c r="J10090" i="2"/>
  <c r="I10090" i="2"/>
  <c r="H10090" i="2"/>
  <c r="G10090" i="2"/>
  <c r="F10090" i="2"/>
  <c r="E10090" i="2"/>
  <c r="D10090" i="2"/>
  <c r="C10090" i="2"/>
  <c r="B10090" i="2"/>
  <c r="A10090" i="2"/>
  <c r="U10089" i="2"/>
  <c r="N10089" i="2"/>
  <c r="M10089" i="2"/>
  <c r="J10089" i="2"/>
  <c r="I10089" i="2"/>
  <c r="H10089" i="2"/>
  <c r="G10089" i="2"/>
  <c r="F10089" i="2"/>
  <c r="E10089" i="2"/>
  <c r="D10089" i="2"/>
  <c r="C10089" i="2"/>
  <c r="B10089" i="2"/>
  <c r="A10089" i="2"/>
  <c r="Q10088" i="2"/>
  <c r="U10088" i="2" s="1"/>
  <c r="N10088" i="2"/>
  <c r="M10088" i="2"/>
  <c r="J10088" i="2"/>
  <c r="I10088" i="2"/>
  <c r="H10088" i="2"/>
  <c r="G10088" i="2"/>
  <c r="F10088" i="2"/>
  <c r="E10088" i="2"/>
  <c r="D10088" i="2"/>
  <c r="C10088" i="2"/>
  <c r="B10088" i="2"/>
  <c r="A10088" i="2"/>
  <c r="Q10087" i="2"/>
  <c r="U10087" i="2" s="1"/>
  <c r="N10087" i="2"/>
  <c r="M10087" i="2"/>
  <c r="J10087" i="2"/>
  <c r="I10087" i="2"/>
  <c r="H10087" i="2"/>
  <c r="G10087" i="2"/>
  <c r="F10087" i="2"/>
  <c r="E10087" i="2"/>
  <c r="D10087" i="2"/>
  <c r="C10087" i="2"/>
  <c r="B10087" i="2"/>
  <c r="A10087" i="2"/>
  <c r="Q10086" i="2"/>
  <c r="U10086" i="2" s="1"/>
  <c r="N10086" i="2"/>
  <c r="M10086" i="2"/>
  <c r="J10086" i="2"/>
  <c r="I10086" i="2"/>
  <c r="H10086" i="2"/>
  <c r="G10086" i="2"/>
  <c r="F10086" i="2"/>
  <c r="E10086" i="2"/>
  <c r="D10086" i="2"/>
  <c r="C10086" i="2"/>
  <c r="B10086" i="2"/>
  <c r="A10086" i="2"/>
  <c r="Q10085" i="2"/>
  <c r="U10085" i="2" s="1"/>
  <c r="N10085" i="2"/>
  <c r="M10085" i="2"/>
  <c r="J10085" i="2"/>
  <c r="I10085" i="2"/>
  <c r="H10085" i="2"/>
  <c r="G10085" i="2"/>
  <c r="F10085" i="2"/>
  <c r="E10085" i="2"/>
  <c r="D10085" i="2"/>
  <c r="C10085" i="2"/>
  <c r="B10085" i="2"/>
  <c r="A10085" i="2"/>
  <c r="U10084" i="2"/>
  <c r="N10084" i="2"/>
  <c r="M10084" i="2"/>
  <c r="J10084" i="2"/>
  <c r="I10084" i="2"/>
  <c r="H10084" i="2"/>
  <c r="G10084" i="2"/>
  <c r="F10084" i="2"/>
  <c r="E10084" i="2"/>
  <c r="D10084" i="2"/>
  <c r="C10084" i="2"/>
  <c r="B10084" i="2"/>
  <c r="A10084" i="2"/>
  <c r="U10083" i="2"/>
  <c r="N10083" i="2"/>
  <c r="M10083" i="2"/>
  <c r="J10083" i="2"/>
  <c r="I10083" i="2"/>
  <c r="H10083" i="2"/>
  <c r="G10083" i="2"/>
  <c r="F10083" i="2"/>
  <c r="E10083" i="2"/>
  <c r="D10083" i="2"/>
  <c r="C10083" i="2"/>
  <c r="B10083" i="2"/>
  <c r="A10083" i="2"/>
  <c r="U10082" i="2"/>
  <c r="N10082" i="2"/>
  <c r="M10082" i="2"/>
  <c r="J10082" i="2"/>
  <c r="I10082" i="2"/>
  <c r="H10082" i="2"/>
  <c r="G10082" i="2"/>
  <c r="F10082" i="2"/>
  <c r="E10082" i="2"/>
  <c r="D10082" i="2"/>
  <c r="C10082" i="2"/>
  <c r="B10082" i="2"/>
  <c r="A10082" i="2"/>
  <c r="U10081" i="2"/>
  <c r="N10081" i="2"/>
  <c r="M10081" i="2"/>
  <c r="J10081" i="2"/>
  <c r="I10081" i="2"/>
  <c r="H10081" i="2"/>
  <c r="G10081" i="2"/>
  <c r="F10081" i="2"/>
  <c r="E10081" i="2"/>
  <c r="D10081" i="2"/>
  <c r="C10081" i="2"/>
  <c r="B10081" i="2"/>
  <c r="A10081" i="2"/>
  <c r="Q10080" i="2"/>
  <c r="U10080" i="2" s="1"/>
  <c r="N10080" i="2"/>
  <c r="M10080" i="2"/>
  <c r="J10080" i="2"/>
  <c r="I10080" i="2"/>
  <c r="H10080" i="2"/>
  <c r="G10080" i="2"/>
  <c r="F10080" i="2"/>
  <c r="E10080" i="2"/>
  <c r="D10080" i="2"/>
  <c r="C10080" i="2"/>
  <c r="B10080" i="2"/>
  <c r="A10080" i="2"/>
  <c r="U10079" i="2"/>
  <c r="N10079" i="2"/>
  <c r="M10079" i="2"/>
  <c r="J10079" i="2"/>
  <c r="I10079" i="2"/>
  <c r="H10079" i="2"/>
  <c r="G10079" i="2"/>
  <c r="F10079" i="2"/>
  <c r="E10079" i="2"/>
  <c r="D10079" i="2"/>
  <c r="C10079" i="2"/>
  <c r="B10079" i="2"/>
  <c r="A10079" i="2"/>
  <c r="U10078" i="2"/>
  <c r="N10078" i="2"/>
  <c r="M10078" i="2"/>
  <c r="J10078" i="2"/>
  <c r="I10078" i="2"/>
  <c r="H10078" i="2"/>
  <c r="G10078" i="2"/>
  <c r="F10078" i="2"/>
  <c r="E10078" i="2"/>
  <c r="D10078" i="2"/>
  <c r="C10078" i="2"/>
  <c r="B10078" i="2"/>
  <c r="A10078" i="2"/>
  <c r="U10077" i="2"/>
  <c r="N10077" i="2"/>
  <c r="M10077" i="2"/>
  <c r="J10077" i="2"/>
  <c r="I10077" i="2"/>
  <c r="H10077" i="2"/>
  <c r="G10077" i="2"/>
  <c r="F10077" i="2"/>
  <c r="E10077" i="2"/>
  <c r="D10077" i="2"/>
  <c r="C10077" i="2"/>
  <c r="B10077" i="2"/>
  <c r="A10077" i="2"/>
  <c r="U10076" i="2"/>
  <c r="N10076" i="2"/>
  <c r="M10076" i="2"/>
  <c r="J10076" i="2"/>
  <c r="I10076" i="2"/>
  <c r="H10076" i="2"/>
  <c r="G10076" i="2"/>
  <c r="F10076" i="2"/>
  <c r="E10076" i="2"/>
  <c r="D10076" i="2"/>
  <c r="C10076" i="2"/>
  <c r="B10076" i="2"/>
  <c r="A10076" i="2"/>
  <c r="Q10075" i="2"/>
  <c r="U10075" i="2" s="1"/>
  <c r="N10075" i="2"/>
  <c r="M10075" i="2"/>
  <c r="J10075" i="2"/>
  <c r="I10075" i="2"/>
  <c r="H10075" i="2"/>
  <c r="G10075" i="2"/>
  <c r="F10075" i="2"/>
  <c r="E10075" i="2"/>
  <c r="D10075" i="2"/>
  <c r="C10075" i="2"/>
  <c r="B10075" i="2"/>
  <c r="A10075" i="2"/>
  <c r="Q10074" i="2"/>
  <c r="U10074" i="2" s="1"/>
  <c r="N10074" i="2"/>
  <c r="M10074" i="2"/>
  <c r="J10074" i="2"/>
  <c r="I10074" i="2"/>
  <c r="H10074" i="2"/>
  <c r="G10074" i="2"/>
  <c r="F10074" i="2"/>
  <c r="E10074" i="2"/>
  <c r="D10074" i="2"/>
  <c r="C10074" i="2"/>
  <c r="B10074" i="2"/>
  <c r="A10074" i="2"/>
  <c r="U10073" i="2"/>
  <c r="N10073" i="2"/>
  <c r="M10073" i="2"/>
  <c r="J10073" i="2"/>
  <c r="I10073" i="2"/>
  <c r="H10073" i="2"/>
  <c r="G10073" i="2"/>
  <c r="F10073" i="2"/>
  <c r="E10073" i="2"/>
  <c r="D10073" i="2"/>
  <c r="C10073" i="2"/>
  <c r="B10073" i="2"/>
  <c r="A10073" i="2"/>
  <c r="U10072" i="2"/>
  <c r="N10072" i="2"/>
  <c r="M10072" i="2"/>
  <c r="J10072" i="2"/>
  <c r="I10072" i="2"/>
  <c r="H10072" i="2"/>
  <c r="G10072" i="2"/>
  <c r="F10072" i="2"/>
  <c r="E10072" i="2"/>
  <c r="D10072" i="2"/>
  <c r="C10072" i="2"/>
  <c r="B10072" i="2"/>
  <c r="A10072" i="2"/>
  <c r="U10071" i="2"/>
  <c r="N10071" i="2"/>
  <c r="M10071" i="2"/>
  <c r="J10071" i="2"/>
  <c r="I10071" i="2"/>
  <c r="H10071" i="2"/>
  <c r="G10071" i="2"/>
  <c r="F10071" i="2"/>
  <c r="E10071" i="2"/>
  <c r="D10071" i="2"/>
  <c r="C10071" i="2"/>
  <c r="B10071" i="2"/>
  <c r="A10071" i="2"/>
  <c r="U10070" i="2"/>
  <c r="N10070" i="2"/>
  <c r="M10070" i="2"/>
  <c r="J10070" i="2"/>
  <c r="I10070" i="2"/>
  <c r="H10070" i="2"/>
  <c r="G10070" i="2"/>
  <c r="F10070" i="2"/>
  <c r="E10070" i="2"/>
  <c r="D10070" i="2"/>
  <c r="C10070" i="2"/>
  <c r="B10070" i="2"/>
  <c r="A10070" i="2"/>
  <c r="Q10069" i="2"/>
  <c r="U10069" i="2" s="1"/>
  <c r="N10069" i="2"/>
  <c r="M10069" i="2"/>
  <c r="J10069" i="2"/>
  <c r="I10069" i="2"/>
  <c r="H10069" i="2"/>
  <c r="G10069" i="2"/>
  <c r="F10069" i="2"/>
  <c r="E10069" i="2"/>
  <c r="D10069" i="2"/>
  <c r="C10069" i="2"/>
  <c r="B10069" i="2"/>
  <c r="A10069" i="2"/>
  <c r="U10068" i="2"/>
  <c r="N10068" i="2"/>
  <c r="M10068" i="2"/>
  <c r="J10068" i="2"/>
  <c r="I10068" i="2"/>
  <c r="H10068" i="2"/>
  <c r="G10068" i="2"/>
  <c r="F10068" i="2"/>
  <c r="E10068" i="2"/>
  <c r="D10068" i="2"/>
  <c r="C10068" i="2"/>
  <c r="B10068" i="2"/>
  <c r="A10068" i="2"/>
  <c r="U10067" i="2"/>
  <c r="N10067" i="2"/>
  <c r="M10067" i="2"/>
  <c r="J10067" i="2"/>
  <c r="I10067" i="2"/>
  <c r="H10067" i="2"/>
  <c r="G10067" i="2"/>
  <c r="F10067" i="2"/>
  <c r="E10067" i="2"/>
  <c r="D10067" i="2"/>
  <c r="C10067" i="2"/>
  <c r="B10067" i="2"/>
  <c r="A10067" i="2"/>
  <c r="U10066" i="2"/>
  <c r="N10066" i="2"/>
  <c r="M10066" i="2"/>
  <c r="J10066" i="2"/>
  <c r="I10066" i="2"/>
  <c r="H10066" i="2"/>
  <c r="G10066" i="2"/>
  <c r="F10066" i="2"/>
  <c r="E10066" i="2"/>
  <c r="D10066" i="2"/>
  <c r="C10066" i="2"/>
  <c r="B10066" i="2"/>
  <c r="A10066" i="2"/>
  <c r="U10065" i="2"/>
  <c r="N10065" i="2"/>
  <c r="M10065" i="2"/>
  <c r="J10065" i="2"/>
  <c r="I10065" i="2"/>
  <c r="H10065" i="2"/>
  <c r="G10065" i="2"/>
  <c r="F10065" i="2"/>
  <c r="E10065" i="2"/>
  <c r="D10065" i="2"/>
  <c r="C10065" i="2"/>
  <c r="B10065" i="2"/>
  <c r="A10065" i="2"/>
  <c r="U10064" i="2"/>
  <c r="N10064" i="2"/>
  <c r="M10064" i="2"/>
  <c r="J10064" i="2"/>
  <c r="I10064" i="2"/>
  <c r="H10064" i="2"/>
  <c r="G10064" i="2"/>
  <c r="F10064" i="2"/>
  <c r="E10064" i="2"/>
  <c r="D10064" i="2"/>
  <c r="C10064" i="2"/>
  <c r="B10064" i="2"/>
  <c r="A10064" i="2"/>
  <c r="U10063" i="2"/>
  <c r="N10063" i="2"/>
  <c r="M10063" i="2"/>
  <c r="J10063" i="2"/>
  <c r="I10063" i="2"/>
  <c r="H10063" i="2"/>
  <c r="G10063" i="2"/>
  <c r="F10063" i="2"/>
  <c r="E10063" i="2"/>
  <c r="D10063" i="2"/>
  <c r="C10063" i="2"/>
  <c r="B10063" i="2"/>
  <c r="A10063" i="2"/>
  <c r="Q10062" i="2"/>
  <c r="U10062" i="2" s="1"/>
  <c r="N10062" i="2"/>
  <c r="M10062" i="2"/>
  <c r="J10062" i="2"/>
  <c r="I10062" i="2"/>
  <c r="H10062" i="2"/>
  <c r="G10062" i="2"/>
  <c r="F10062" i="2"/>
  <c r="E10062" i="2"/>
  <c r="D10062" i="2"/>
  <c r="C10062" i="2"/>
  <c r="B10062" i="2"/>
  <c r="A10062" i="2"/>
  <c r="U10061" i="2"/>
  <c r="N10061" i="2"/>
  <c r="M10061" i="2"/>
  <c r="J10061" i="2"/>
  <c r="I10061" i="2"/>
  <c r="H10061" i="2"/>
  <c r="G10061" i="2"/>
  <c r="F10061" i="2"/>
  <c r="E10061" i="2"/>
  <c r="D10061" i="2"/>
  <c r="C10061" i="2"/>
  <c r="B10061" i="2"/>
  <c r="A10061" i="2"/>
  <c r="Q10060" i="2"/>
  <c r="U10060" i="2" s="1"/>
  <c r="N10060" i="2"/>
  <c r="M10060" i="2"/>
  <c r="J10060" i="2"/>
  <c r="I10060" i="2"/>
  <c r="H10060" i="2"/>
  <c r="G10060" i="2"/>
  <c r="F10060" i="2"/>
  <c r="E10060" i="2"/>
  <c r="D10060" i="2"/>
  <c r="C10060" i="2"/>
  <c r="B10060" i="2"/>
  <c r="A10060" i="2"/>
  <c r="U10059" i="2"/>
  <c r="N10059" i="2"/>
  <c r="M10059" i="2"/>
  <c r="J10059" i="2"/>
  <c r="I10059" i="2"/>
  <c r="H10059" i="2"/>
  <c r="G10059" i="2"/>
  <c r="F10059" i="2"/>
  <c r="E10059" i="2"/>
  <c r="D10059" i="2"/>
  <c r="C10059" i="2"/>
  <c r="B10059" i="2"/>
  <c r="A10059" i="2"/>
  <c r="U10058" i="2"/>
  <c r="N10058" i="2"/>
  <c r="M10058" i="2"/>
  <c r="J10058" i="2"/>
  <c r="I10058" i="2"/>
  <c r="H10058" i="2"/>
  <c r="G10058" i="2"/>
  <c r="F10058" i="2"/>
  <c r="E10058" i="2"/>
  <c r="D10058" i="2"/>
  <c r="C10058" i="2"/>
  <c r="B10058" i="2"/>
  <c r="A10058" i="2"/>
  <c r="Q10057" i="2"/>
  <c r="U10057" i="2" s="1"/>
  <c r="N10057" i="2"/>
  <c r="M10057" i="2"/>
  <c r="J10057" i="2"/>
  <c r="I10057" i="2"/>
  <c r="H10057" i="2"/>
  <c r="G10057" i="2"/>
  <c r="F10057" i="2"/>
  <c r="E10057" i="2"/>
  <c r="D10057" i="2"/>
  <c r="C10057" i="2"/>
  <c r="B10057" i="2"/>
  <c r="A10057" i="2"/>
  <c r="Q10056" i="2"/>
  <c r="U10056" i="2" s="1"/>
  <c r="N10056" i="2"/>
  <c r="M10056" i="2"/>
  <c r="J10056" i="2"/>
  <c r="I10056" i="2"/>
  <c r="H10056" i="2"/>
  <c r="G10056" i="2"/>
  <c r="F10056" i="2"/>
  <c r="E10056" i="2"/>
  <c r="D10056" i="2"/>
  <c r="C10056" i="2"/>
  <c r="B10056" i="2"/>
  <c r="A10056" i="2"/>
  <c r="U10055" i="2"/>
  <c r="N10055" i="2"/>
  <c r="M10055" i="2"/>
  <c r="J10055" i="2"/>
  <c r="I10055" i="2"/>
  <c r="H10055" i="2"/>
  <c r="G10055" i="2"/>
  <c r="F10055" i="2"/>
  <c r="E10055" i="2"/>
  <c r="D10055" i="2"/>
  <c r="C10055" i="2"/>
  <c r="B10055" i="2"/>
  <c r="A10055" i="2"/>
  <c r="U10054" i="2"/>
  <c r="N10054" i="2"/>
  <c r="M10054" i="2"/>
  <c r="J10054" i="2"/>
  <c r="I10054" i="2"/>
  <c r="H10054" i="2"/>
  <c r="G10054" i="2"/>
  <c r="F10054" i="2"/>
  <c r="E10054" i="2"/>
  <c r="D10054" i="2"/>
  <c r="C10054" i="2"/>
  <c r="B10054" i="2"/>
  <c r="A10054" i="2"/>
  <c r="U10053" i="2"/>
  <c r="N10053" i="2"/>
  <c r="M10053" i="2"/>
  <c r="J10053" i="2"/>
  <c r="I10053" i="2"/>
  <c r="H10053" i="2"/>
  <c r="G10053" i="2"/>
  <c r="F10053" i="2"/>
  <c r="E10053" i="2"/>
  <c r="D10053" i="2"/>
  <c r="C10053" i="2"/>
  <c r="B10053" i="2"/>
  <c r="A10053" i="2"/>
  <c r="Q10052" i="2"/>
  <c r="U10052" i="2" s="1"/>
  <c r="N10052" i="2"/>
  <c r="M10052" i="2"/>
  <c r="J10052" i="2"/>
  <c r="I10052" i="2"/>
  <c r="H10052" i="2"/>
  <c r="G10052" i="2"/>
  <c r="F10052" i="2"/>
  <c r="E10052" i="2"/>
  <c r="D10052" i="2"/>
  <c r="C10052" i="2"/>
  <c r="B10052" i="2"/>
  <c r="A10052" i="2"/>
  <c r="U10051" i="2"/>
  <c r="N10051" i="2"/>
  <c r="M10051" i="2"/>
  <c r="J10051" i="2"/>
  <c r="I10051" i="2"/>
  <c r="H10051" i="2"/>
  <c r="G10051" i="2"/>
  <c r="F10051" i="2"/>
  <c r="E10051" i="2"/>
  <c r="D10051" i="2"/>
  <c r="C10051" i="2"/>
  <c r="B10051" i="2"/>
  <c r="A10051" i="2"/>
  <c r="U10050" i="2"/>
  <c r="N10050" i="2"/>
  <c r="M10050" i="2"/>
  <c r="J10050" i="2"/>
  <c r="I10050" i="2"/>
  <c r="H10050" i="2"/>
  <c r="G10050" i="2"/>
  <c r="F10050" i="2"/>
  <c r="E10050" i="2"/>
  <c r="D10050" i="2"/>
  <c r="C10050" i="2"/>
  <c r="B10050" i="2"/>
  <c r="A10050" i="2"/>
  <c r="Q10049" i="2"/>
  <c r="U10049" i="2" s="1"/>
  <c r="N10049" i="2"/>
  <c r="M10049" i="2"/>
  <c r="J10049" i="2"/>
  <c r="I10049" i="2"/>
  <c r="H10049" i="2"/>
  <c r="G10049" i="2"/>
  <c r="F10049" i="2"/>
  <c r="E10049" i="2"/>
  <c r="D10049" i="2"/>
  <c r="C10049" i="2"/>
  <c r="B10049" i="2"/>
  <c r="A10049" i="2"/>
  <c r="Q10048" i="2"/>
  <c r="U10048" i="2" s="1"/>
  <c r="N10048" i="2"/>
  <c r="M10048" i="2"/>
  <c r="J10048" i="2"/>
  <c r="I10048" i="2"/>
  <c r="H10048" i="2"/>
  <c r="G10048" i="2"/>
  <c r="F10048" i="2"/>
  <c r="E10048" i="2"/>
  <c r="D10048" i="2"/>
  <c r="C10048" i="2"/>
  <c r="B10048" i="2"/>
  <c r="A10048" i="2"/>
  <c r="Q10047" i="2"/>
  <c r="U10047" i="2" s="1"/>
  <c r="N10047" i="2"/>
  <c r="M10047" i="2"/>
  <c r="J10047" i="2"/>
  <c r="I10047" i="2"/>
  <c r="H10047" i="2"/>
  <c r="G10047" i="2"/>
  <c r="F10047" i="2"/>
  <c r="E10047" i="2"/>
  <c r="D10047" i="2"/>
  <c r="C10047" i="2"/>
  <c r="B10047" i="2"/>
  <c r="A10047" i="2"/>
  <c r="U10046" i="2"/>
  <c r="N10046" i="2"/>
  <c r="M10046" i="2"/>
  <c r="J10046" i="2"/>
  <c r="I10046" i="2"/>
  <c r="H10046" i="2"/>
  <c r="G10046" i="2"/>
  <c r="F10046" i="2"/>
  <c r="E10046" i="2"/>
  <c r="D10046" i="2"/>
  <c r="C10046" i="2"/>
  <c r="B10046" i="2"/>
  <c r="A10046" i="2"/>
  <c r="U10045" i="2"/>
  <c r="N10045" i="2"/>
  <c r="M10045" i="2"/>
  <c r="J10045" i="2"/>
  <c r="I10045" i="2"/>
  <c r="H10045" i="2"/>
  <c r="G10045" i="2"/>
  <c r="F10045" i="2"/>
  <c r="E10045" i="2"/>
  <c r="D10045" i="2"/>
  <c r="C10045" i="2"/>
  <c r="B10045" i="2"/>
  <c r="A10045" i="2"/>
  <c r="U10044" i="2"/>
  <c r="N10044" i="2"/>
  <c r="M10044" i="2"/>
  <c r="J10044" i="2"/>
  <c r="I10044" i="2"/>
  <c r="H10044" i="2"/>
  <c r="G10044" i="2"/>
  <c r="F10044" i="2"/>
  <c r="E10044" i="2"/>
  <c r="D10044" i="2"/>
  <c r="C10044" i="2"/>
  <c r="B10044" i="2"/>
  <c r="A10044" i="2"/>
  <c r="U10043" i="2"/>
  <c r="N10043" i="2"/>
  <c r="M10043" i="2"/>
  <c r="J10043" i="2"/>
  <c r="I10043" i="2"/>
  <c r="H10043" i="2"/>
  <c r="G10043" i="2"/>
  <c r="F10043" i="2"/>
  <c r="E10043" i="2"/>
  <c r="D10043" i="2"/>
  <c r="C10043" i="2"/>
  <c r="B10043" i="2"/>
  <c r="A10043" i="2"/>
  <c r="U10042" i="2"/>
  <c r="N10042" i="2"/>
  <c r="M10042" i="2"/>
  <c r="J10042" i="2"/>
  <c r="I10042" i="2"/>
  <c r="H10042" i="2"/>
  <c r="G10042" i="2"/>
  <c r="F10042" i="2"/>
  <c r="E10042" i="2"/>
  <c r="D10042" i="2"/>
  <c r="C10042" i="2"/>
  <c r="B10042" i="2"/>
  <c r="A10042" i="2"/>
  <c r="Q10041" i="2"/>
  <c r="U10041" i="2" s="1"/>
  <c r="N10041" i="2"/>
  <c r="M10041" i="2"/>
  <c r="J10041" i="2"/>
  <c r="I10041" i="2"/>
  <c r="H10041" i="2"/>
  <c r="G10041" i="2"/>
  <c r="F10041" i="2"/>
  <c r="E10041" i="2"/>
  <c r="D10041" i="2"/>
  <c r="C10041" i="2"/>
  <c r="B10041" i="2"/>
  <c r="A10041" i="2"/>
  <c r="U10040" i="2"/>
  <c r="N10040" i="2"/>
  <c r="M10040" i="2"/>
  <c r="J10040" i="2"/>
  <c r="I10040" i="2"/>
  <c r="H10040" i="2"/>
  <c r="G10040" i="2"/>
  <c r="F10040" i="2"/>
  <c r="E10040" i="2"/>
  <c r="D10040" i="2"/>
  <c r="C10040" i="2"/>
  <c r="B10040" i="2"/>
  <c r="A10040" i="2"/>
  <c r="U10039" i="2"/>
  <c r="N10039" i="2"/>
  <c r="M10039" i="2"/>
  <c r="J10039" i="2"/>
  <c r="I10039" i="2"/>
  <c r="H10039" i="2"/>
  <c r="G10039" i="2"/>
  <c r="F10039" i="2"/>
  <c r="E10039" i="2"/>
  <c r="D10039" i="2"/>
  <c r="C10039" i="2"/>
  <c r="B10039" i="2"/>
  <c r="A10039" i="2"/>
  <c r="U10038" i="2"/>
  <c r="N10038" i="2"/>
  <c r="M10038" i="2"/>
  <c r="J10038" i="2"/>
  <c r="I10038" i="2"/>
  <c r="H10038" i="2"/>
  <c r="G10038" i="2"/>
  <c r="F10038" i="2"/>
  <c r="E10038" i="2"/>
  <c r="D10038" i="2"/>
  <c r="C10038" i="2"/>
  <c r="B10038" i="2"/>
  <c r="A10038" i="2"/>
  <c r="U10037" i="2"/>
  <c r="N10037" i="2"/>
  <c r="M10037" i="2"/>
  <c r="J10037" i="2"/>
  <c r="I10037" i="2"/>
  <c r="H10037" i="2"/>
  <c r="G10037" i="2"/>
  <c r="F10037" i="2"/>
  <c r="E10037" i="2"/>
  <c r="D10037" i="2"/>
  <c r="C10037" i="2"/>
  <c r="B10037" i="2"/>
  <c r="A10037" i="2"/>
  <c r="U10036" i="2"/>
  <c r="N10036" i="2"/>
  <c r="M10036" i="2"/>
  <c r="J10036" i="2"/>
  <c r="I10036" i="2"/>
  <c r="H10036" i="2"/>
  <c r="G10036" i="2"/>
  <c r="F10036" i="2"/>
  <c r="E10036" i="2"/>
  <c r="D10036" i="2"/>
  <c r="C10036" i="2"/>
  <c r="B10036" i="2"/>
  <c r="A10036" i="2"/>
  <c r="U10035" i="2"/>
  <c r="N10035" i="2"/>
  <c r="M10035" i="2"/>
  <c r="J10035" i="2"/>
  <c r="I10035" i="2"/>
  <c r="H10035" i="2"/>
  <c r="G10035" i="2"/>
  <c r="F10035" i="2"/>
  <c r="E10035" i="2"/>
  <c r="D10035" i="2"/>
  <c r="C10035" i="2"/>
  <c r="B10035" i="2"/>
  <c r="A10035" i="2"/>
  <c r="U10034" i="2"/>
  <c r="N10034" i="2"/>
  <c r="M10034" i="2"/>
  <c r="J10034" i="2"/>
  <c r="I10034" i="2"/>
  <c r="H10034" i="2"/>
  <c r="G10034" i="2"/>
  <c r="F10034" i="2"/>
  <c r="E10034" i="2"/>
  <c r="D10034" i="2"/>
  <c r="C10034" i="2"/>
  <c r="B10034" i="2"/>
  <c r="A10034" i="2"/>
  <c r="U10033" i="2"/>
  <c r="N10033" i="2"/>
  <c r="M10033" i="2"/>
  <c r="J10033" i="2"/>
  <c r="I10033" i="2"/>
  <c r="H10033" i="2"/>
  <c r="G10033" i="2"/>
  <c r="F10033" i="2"/>
  <c r="E10033" i="2"/>
  <c r="D10033" i="2"/>
  <c r="C10033" i="2"/>
  <c r="B10033" i="2"/>
  <c r="A10033" i="2"/>
  <c r="Q10032" i="2"/>
  <c r="U10032" i="2" s="1"/>
  <c r="N10032" i="2"/>
  <c r="M10032" i="2"/>
  <c r="J10032" i="2"/>
  <c r="I10032" i="2"/>
  <c r="H10032" i="2"/>
  <c r="G10032" i="2"/>
  <c r="F10032" i="2"/>
  <c r="E10032" i="2"/>
  <c r="D10032" i="2"/>
  <c r="C10032" i="2"/>
  <c r="B10032" i="2"/>
  <c r="A10032" i="2"/>
  <c r="Q10031" i="2"/>
  <c r="U10031" i="2" s="1"/>
  <c r="N10031" i="2"/>
  <c r="M10031" i="2"/>
  <c r="J10031" i="2"/>
  <c r="I10031" i="2"/>
  <c r="H10031" i="2"/>
  <c r="G10031" i="2"/>
  <c r="F10031" i="2"/>
  <c r="E10031" i="2"/>
  <c r="D10031" i="2"/>
  <c r="C10031" i="2"/>
  <c r="B10031" i="2"/>
  <c r="A10031" i="2"/>
  <c r="Q10030" i="2"/>
  <c r="U10030" i="2" s="1"/>
  <c r="N10030" i="2"/>
  <c r="M10030" i="2"/>
  <c r="J10030" i="2"/>
  <c r="I10030" i="2"/>
  <c r="H10030" i="2"/>
  <c r="G10030" i="2"/>
  <c r="F10030" i="2"/>
  <c r="E10030" i="2"/>
  <c r="D10030" i="2"/>
  <c r="C10030" i="2"/>
  <c r="B10030" i="2"/>
  <c r="A10030" i="2"/>
  <c r="U10029" i="2"/>
  <c r="N10029" i="2"/>
  <c r="M10029" i="2"/>
  <c r="J10029" i="2"/>
  <c r="I10029" i="2"/>
  <c r="H10029" i="2"/>
  <c r="G10029" i="2"/>
  <c r="F10029" i="2"/>
  <c r="E10029" i="2"/>
  <c r="D10029" i="2"/>
  <c r="C10029" i="2"/>
  <c r="B10029" i="2"/>
  <c r="A10029" i="2"/>
  <c r="U10028" i="2"/>
  <c r="N10028" i="2"/>
  <c r="M10028" i="2"/>
  <c r="J10028" i="2"/>
  <c r="I10028" i="2"/>
  <c r="H10028" i="2"/>
  <c r="G10028" i="2"/>
  <c r="F10028" i="2"/>
  <c r="E10028" i="2"/>
  <c r="D10028" i="2"/>
  <c r="C10028" i="2"/>
  <c r="B10028" i="2"/>
  <c r="A10028" i="2"/>
  <c r="Q10027" i="2"/>
  <c r="U10027" i="2" s="1"/>
  <c r="N10027" i="2"/>
  <c r="M10027" i="2"/>
  <c r="J10027" i="2"/>
  <c r="I10027" i="2"/>
  <c r="H10027" i="2"/>
  <c r="G10027" i="2"/>
  <c r="F10027" i="2"/>
  <c r="E10027" i="2"/>
  <c r="D10027" i="2"/>
  <c r="C10027" i="2"/>
  <c r="B10027" i="2"/>
  <c r="A10027" i="2"/>
  <c r="U10026" i="2"/>
  <c r="N10026" i="2"/>
  <c r="M10026" i="2"/>
  <c r="J10026" i="2"/>
  <c r="I10026" i="2"/>
  <c r="H10026" i="2"/>
  <c r="G10026" i="2"/>
  <c r="F10026" i="2"/>
  <c r="E10026" i="2"/>
  <c r="D10026" i="2"/>
  <c r="C10026" i="2"/>
  <c r="B10026" i="2"/>
  <c r="A10026" i="2"/>
  <c r="U10025" i="2"/>
  <c r="N10025" i="2"/>
  <c r="M10025" i="2"/>
  <c r="J10025" i="2"/>
  <c r="I10025" i="2"/>
  <c r="H10025" i="2"/>
  <c r="G10025" i="2"/>
  <c r="F10025" i="2"/>
  <c r="E10025" i="2"/>
  <c r="D10025" i="2"/>
  <c r="C10025" i="2"/>
  <c r="B10025" i="2"/>
  <c r="A10025" i="2"/>
  <c r="U10024" i="2"/>
  <c r="N10024" i="2"/>
  <c r="M10024" i="2"/>
  <c r="J10024" i="2"/>
  <c r="I10024" i="2"/>
  <c r="H10024" i="2"/>
  <c r="G10024" i="2"/>
  <c r="F10024" i="2"/>
  <c r="E10024" i="2"/>
  <c r="D10024" i="2"/>
  <c r="C10024" i="2"/>
  <c r="B10024" i="2"/>
  <c r="A10024" i="2"/>
  <c r="Q10023" i="2"/>
  <c r="U10023" i="2" s="1"/>
  <c r="N10023" i="2"/>
  <c r="M10023" i="2"/>
  <c r="J10023" i="2"/>
  <c r="I10023" i="2"/>
  <c r="H10023" i="2"/>
  <c r="G10023" i="2"/>
  <c r="F10023" i="2"/>
  <c r="E10023" i="2"/>
  <c r="D10023" i="2"/>
  <c r="C10023" i="2"/>
  <c r="B10023" i="2"/>
  <c r="A10023" i="2"/>
  <c r="U10022" i="2"/>
  <c r="N10022" i="2"/>
  <c r="M10022" i="2"/>
  <c r="J10022" i="2"/>
  <c r="I10022" i="2"/>
  <c r="H10022" i="2"/>
  <c r="G10022" i="2"/>
  <c r="F10022" i="2"/>
  <c r="E10022" i="2"/>
  <c r="D10022" i="2"/>
  <c r="C10022" i="2"/>
  <c r="B10022" i="2"/>
  <c r="A10022" i="2"/>
  <c r="U10021" i="2"/>
  <c r="N10021" i="2"/>
  <c r="M10021" i="2"/>
  <c r="J10021" i="2"/>
  <c r="I10021" i="2"/>
  <c r="H10021" i="2"/>
  <c r="G10021" i="2"/>
  <c r="F10021" i="2"/>
  <c r="E10021" i="2"/>
  <c r="D10021" i="2"/>
  <c r="C10021" i="2"/>
  <c r="B10021" i="2"/>
  <c r="A10021" i="2"/>
  <c r="U10020" i="2"/>
  <c r="N10020" i="2"/>
  <c r="M10020" i="2"/>
  <c r="J10020" i="2"/>
  <c r="I10020" i="2"/>
  <c r="H10020" i="2"/>
  <c r="G10020" i="2"/>
  <c r="F10020" i="2"/>
  <c r="E10020" i="2"/>
  <c r="D10020" i="2"/>
  <c r="C10020" i="2"/>
  <c r="B10020" i="2"/>
  <c r="A10020" i="2"/>
  <c r="U10019" i="2"/>
  <c r="N10019" i="2"/>
  <c r="M10019" i="2"/>
  <c r="J10019" i="2"/>
  <c r="I10019" i="2"/>
  <c r="H10019" i="2"/>
  <c r="G10019" i="2"/>
  <c r="F10019" i="2"/>
  <c r="E10019" i="2"/>
  <c r="D10019" i="2"/>
  <c r="C10019" i="2"/>
  <c r="B10019" i="2"/>
  <c r="A10019" i="2"/>
  <c r="U10018" i="2"/>
  <c r="N10018" i="2"/>
  <c r="M10018" i="2"/>
  <c r="J10018" i="2"/>
  <c r="I10018" i="2"/>
  <c r="H10018" i="2"/>
  <c r="G10018" i="2"/>
  <c r="F10018" i="2"/>
  <c r="E10018" i="2"/>
  <c r="D10018" i="2"/>
  <c r="C10018" i="2"/>
  <c r="B10018" i="2"/>
  <c r="A10018" i="2"/>
  <c r="U10017" i="2"/>
  <c r="N10017" i="2"/>
  <c r="M10017" i="2"/>
  <c r="J10017" i="2"/>
  <c r="I10017" i="2"/>
  <c r="H10017" i="2"/>
  <c r="G10017" i="2"/>
  <c r="F10017" i="2"/>
  <c r="E10017" i="2"/>
  <c r="D10017" i="2"/>
  <c r="C10017" i="2"/>
  <c r="B10017" i="2"/>
  <c r="A10017" i="2"/>
  <c r="U10016" i="2"/>
  <c r="N10016" i="2"/>
  <c r="M10016" i="2"/>
  <c r="J10016" i="2"/>
  <c r="I10016" i="2"/>
  <c r="H10016" i="2"/>
  <c r="G10016" i="2"/>
  <c r="F10016" i="2"/>
  <c r="E10016" i="2"/>
  <c r="D10016" i="2"/>
  <c r="C10016" i="2"/>
  <c r="B10016" i="2"/>
  <c r="A10016" i="2"/>
  <c r="U10015" i="2"/>
  <c r="N10015" i="2"/>
  <c r="M10015" i="2"/>
  <c r="J10015" i="2"/>
  <c r="I10015" i="2"/>
  <c r="H10015" i="2"/>
  <c r="G10015" i="2"/>
  <c r="F10015" i="2"/>
  <c r="E10015" i="2"/>
  <c r="D10015" i="2"/>
  <c r="C10015" i="2"/>
  <c r="B10015" i="2"/>
  <c r="A10015" i="2"/>
  <c r="U10014" i="2"/>
  <c r="N10014" i="2"/>
  <c r="M10014" i="2"/>
  <c r="J10014" i="2"/>
  <c r="I10014" i="2"/>
  <c r="H10014" i="2"/>
  <c r="G10014" i="2"/>
  <c r="F10014" i="2"/>
  <c r="E10014" i="2"/>
  <c r="D10014" i="2"/>
  <c r="C10014" i="2"/>
  <c r="B10014" i="2"/>
  <c r="A10014" i="2"/>
  <c r="U10013" i="2"/>
  <c r="N10013" i="2"/>
  <c r="M10013" i="2"/>
  <c r="J10013" i="2"/>
  <c r="I10013" i="2"/>
  <c r="H10013" i="2"/>
  <c r="G10013" i="2"/>
  <c r="F10013" i="2"/>
  <c r="E10013" i="2"/>
  <c r="D10013" i="2"/>
  <c r="C10013" i="2"/>
  <c r="B10013" i="2"/>
  <c r="A10013" i="2"/>
  <c r="U10012" i="2"/>
  <c r="N10012" i="2"/>
  <c r="M10012" i="2"/>
  <c r="J10012" i="2"/>
  <c r="I10012" i="2"/>
  <c r="H10012" i="2"/>
  <c r="G10012" i="2"/>
  <c r="F10012" i="2"/>
  <c r="E10012" i="2"/>
  <c r="D10012" i="2"/>
  <c r="C10012" i="2"/>
  <c r="B10012" i="2"/>
  <c r="A10012" i="2"/>
  <c r="Q10011" i="2"/>
  <c r="U10011" i="2" s="1"/>
  <c r="N10011" i="2"/>
  <c r="M10011" i="2"/>
  <c r="J10011" i="2"/>
  <c r="I10011" i="2"/>
  <c r="H10011" i="2"/>
  <c r="G10011" i="2"/>
  <c r="F10011" i="2"/>
  <c r="E10011" i="2"/>
  <c r="D10011" i="2"/>
  <c r="C10011" i="2"/>
  <c r="B10011" i="2"/>
  <c r="A10011" i="2"/>
  <c r="U10010" i="2"/>
  <c r="N10010" i="2"/>
  <c r="M10010" i="2"/>
  <c r="J10010" i="2"/>
  <c r="I10010" i="2"/>
  <c r="H10010" i="2"/>
  <c r="G10010" i="2"/>
  <c r="F10010" i="2"/>
  <c r="E10010" i="2"/>
  <c r="D10010" i="2"/>
  <c r="C10010" i="2"/>
  <c r="B10010" i="2"/>
  <c r="A10010" i="2"/>
  <c r="Q10009" i="2"/>
  <c r="U10009" i="2" s="1"/>
  <c r="N10009" i="2"/>
  <c r="M10009" i="2"/>
  <c r="J10009" i="2"/>
  <c r="I10009" i="2"/>
  <c r="H10009" i="2"/>
  <c r="G10009" i="2"/>
  <c r="F10009" i="2"/>
  <c r="E10009" i="2"/>
  <c r="D10009" i="2"/>
  <c r="C10009" i="2"/>
  <c r="B10009" i="2"/>
  <c r="A10009" i="2"/>
  <c r="U10008" i="2"/>
  <c r="N10008" i="2"/>
  <c r="M10008" i="2"/>
  <c r="J10008" i="2"/>
  <c r="I10008" i="2"/>
  <c r="H10008" i="2"/>
  <c r="G10008" i="2"/>
  <c r="F10008" i="2"/>
  <c r="E10008" i="2"/>
  <c r="D10008" i="2"/>
  <c r="C10008" i="2"/>
  <c r="B10008" i="2"/>
  <c r="A10008" i="2"/>
  <c r="U10007" i="2"/>
  <c r="N10007" i="2"/>
  <c r="M10007" i="2"/>
  <c r="J10007" i="2"/>
  <c r="I10007" i="2"/>
  <c r="H10007" i="2"/>
  <c r="G10007" i="2"/>
  <c r="F10007" i="2"/>
  <c r="E10007" i="2"/>
  <c r="D10007" i="2"/>
  <c r="C10007" i="2"/>
  <c r="B10007" i="2"/>
  <c r="A10007" i="2"/>
  <c r="Q10006" i="2"/>
  <c r="U10006" i="2" s="1"/>
  <c r="N10006" i="2"/>
  <c r="M10006" i="2"/>
  <c r="J10006" i="2"/>
  <c r="I10006" i="2"/>
  <c r="H10006" i="2"/>
  <c r="G10006" i="2"/>
  <c r="F10006" i="2"/>
  <c r="E10006" i="2"/>
  <c r="D10006" i="2"/>
  <c r="C10006" i="2"/>
  <c r="B10006" i="2"/>
  <c r="A10006" i="2"/>
  <c r="U10005" i="2"/>
  <c r="N10005" i="2"/>
  <c r="M10005" i="2"/>
  <c r="J10005" i="2"/>
  <c r="I10005" i="2"/>
  <c r="H10005" i="2"/>
  <c r="G10005" i="2"/>
  <c r="F10005" i="2"/>
  <c r="E10005" i="2"/>
  <c r="D10005" i="2"/>
  <c r="C10005" i="2"/>
  <c r="B10005" i="2"/>
  <c r="A10005" i="2"/>
  <c r="U10004" i="2"/>
  <c r="N10004" i="2"/>
  <c r="M10004" i="2"/>
  <c r="J10004" i="2"/>
  <c r="I10004" i="2"/>
  <c r="H10004" i="2"/>
  <c r="G10004" i="2"/>
  <c r="F10004" i="2"/>
  <c r="E10004" i="2"/>
  <c r="D10004" i="2"/>
  <c r="C10004" i="2"/>
  <c r="B10004" i="2"/>
  <c r="A10004" i="2"/>
  <c r="Q10003" i="2"/>
  <c r="U10003" i="2" s="1"/>
  <c r="N10003" i="2"/>
  <c r="M10003" i="2"/>
  <c r="J10003" i="2"/>
  <c r="I10003" i="2"/>
  <c r="H10003" i="2"/>
  <c r="G10003" i="2"/>
  <c r="F10003" i="2"/>
  <c r="E10003" i="2"/>
  <c r="D10003" i="2"/>
  <c r="C10003" i="2"/>
  <c r="B10003" i="2"/>
  <c r="A10003" i="2"/>
  <c r="U10002" i="2"/>
  <c r="N10002" i="2"/>
  <c r="M10002" i="2"/>
  <c r="J10002" i="2"/>
  <c r="I10002" i="2"/>
  <c r="H10002" i="2"/>
  <c r="G10002" i="2"/>
  <c r="F10002" i="2"/>
  <c r="E10002" i="2"/>
  <c r="D10002" i="2"/>
  <c r="C10002" i="2"/>
  <c r="B10002" i="2"/>
  <c r="A10002" i="2"/>
  <c r="U10001" i="2"/>
  <c r="N10001" i="2"/>
  <c r="M10001" i="2"/>
  <c r="J10001" i="2"/>
  <c r="I10001" i="2"/>
  <c r="H10001" i="2"/>
  <c r="G10001" i="2"/>
  <c r="F10001" i="2"/>
  <c r="E10001" i="2"/>
  <c r="D10001" i="2"/>
  <c r="C10001" i="2"/>
  <c r="B10001" i="2"/>
  <c r="A10001" i="2"/>
  <c r="U10000" i="2"/>
  <c r="N10000" i="2"/>
  <c r="M10000" i="2"/>
  <c r="J10000" i="2"/>
  <c r="I10000" i="2"/>
  <c r="H10000" i="2"/>
  <c r="G10000" i="2"/>
  <c r="F10000" i="2"/>
  <c r="E10000" i="2"/>
  <c r="D10000" i="2"/>
  <c r="C10000" i="2"/>
  <c r="B10000" i="2"/>
  <c r="A10000" i="2"/>
  <c r="U9999" i="2"/>
  <c r="N9999" i="2"/>
  <c r="M9999" i="2"/>
  <c r="J9999" i="2"/>
  <c r="I9999" i="2"/>
  <c r="H9999" i="2"/>
  <c r="G9999" i="2"/>
  <c r="F9999" i="2"/>
  <c r="E9999" i="2"/>
  <c r="D9999" i="2"/>
  <c r="C9999" i="2"/>
  <c r="B9999" i="2"/>
  <c r="A9999" i="2"/>
  <c r="U9998" i="2"/>
  <c r="N9998" i="2"/>
  <c r="M9998" i="2"/>
  <c r="J9998" i="2"/>
  <c r="I9998" i="2"/>
  <c r="H9998" i="2"/>
  <c r="G9998" i="2"/>
  <c r="F9998" i="2"/>
  <c r="E9998" i="2"/>
  <c r="D9998" i="2"/>
  <c r="C9998" i="2"/>
  <c r="B9998" i="2"/>
  <c r="A9998" i="2"/>
  <c r="U9997" i="2"/>
  <c r="N9997" i="2"/>
  <c r="M9997" i="2"/>
  <c r="J9997" i="2"/>
  <c r="I9997" i="2"/>
  <c r="H9997" i="2"/>
  <c r="G9997" i="2"/>
  <c r="F9997" i="2"/>
  <c r="E9997" i="2"/>
  <c r="D9997" i="2"/>
  <c r="C9997" i="2"/>
  <c r="B9997" i="2"/>
  <c r="A9997" i="2"/>
  <c r="U9996" i="2"/>
  <c r="N9996" i="2"/>
  <c r="M9996" i="2"/>
  <c r="J9996" i="2"/>
  <c r="I9996" i="2"/>
  <c r="H9996" i="2"/>
  <c r="G9996" i="2"/>
  <c r="F9996" i="2"/>
  <c r="E9996" i="2"/>
  <c r="D9996" i="2"/>
  <c r="C9996" i="2"/>
  <c r="B9996" i="2"/>
  <c r="A9996" i="2"/>
  <c r="U9995" i="2"/>
  <c r="N9995" i="2"/>
  <c r="M9995" i="2"/>
  <c r="J9995" i="2"/>
  <c r="I9995" i="2"/>
  <c r="H9995" i="2"/>
  <c r="G9995" i="2"/>
  <c r="F9995" i="2"/>
  <c r="E9995" i="2"/>
  <c r="D9995" i="2"/>
  <c r="C9995" i="2"/>
  <c r="B9995" i="2"/>
  <c r="A9995" i="2"/>
  <c r="U9994" i="2"/>
  <c r="N9994" i="2"/>
  <c r="M9994" i="2"/>
  <c r="J9994" i="2"/>
  <c r="I9994" i="2"/>
  <c r="H9994" i="2"/>
  <c r="G9994" i="2"/>
  <c r="F9994" i="2"/>
  <c r="E9994" i="2"/>
  <c r="D9994" i="2"/>
  <c r="C9994" i="2"/>
  <c r="B9994" i="2"/>
  <c r="A9994" i="2"/>
  <c r="U9993" i="2"/>
  <c r="N9993" i="2"/>
  <c r="M9993" i="2"/>
  <c r="J9993" i="2"/>
  <c r="I9993" i="2"/>
  <c r="H9993" i="2"/>
  <c r="G9993" i="2"/>
  <c r="F9993" i="2"/>
  <c r="E9993" i="2"/>
  <c r="D9993" i="2"/>
  <c r="C9993" i="2"/>
  <c r="B9993" i="2"/>
  <c r="A9993" i="2"/>
  <c r="U9992" i="2"/>
  <c r="N9992" i="2"/>
  <c r="M9992" i="2"/>
  <c r="J9992" i="2"/>
  <c r="I9992" i="2"/>
  <c r="H9992" i="2"/>
  <c r="G9992" i="2"/>
  <c r="F9992" i="2"/>
  <c r="E9992" i="2"/>
  <c r="D9992" i="2"/>
  <c r="C9992" i="2"/>
  <c r="B9992" i="2"/>
  <c r="A9992" i="2"/>
  <c r="U9991" i="2"/>
  <c r="N9991" i="2"/>
  <c r="M9991" i="2"/>
  <c r="J9991" i="2"/>
  <c r="I9991" i="2"/>
  <c r="H9991" i="2"/>
  <c r="G9991" i="2"/>
  <c r="F9991" i="2"/>
  <c r="E9991" i="2"/>
  <c r="D9991" i="2"/>
  <c r="C9991" i="2"/>
  <c r="B9991" i="2"/>
  <c r="A9991" i="2"/>
  <c r="U9990" i="2"/>
  <c r="N9990" i="2"/>
  <c r="M9990" i="2"/>
  <c r="J9990" i="2"/>
  <c r="I9990" i="2"/>
  <c r="H9990" i="2"/>
  <c r="G9990" i="2"/>
  <c r="F9990" i="2"/>
  <c r="E9990" i="2"/>
  <c r="D9990" i="2"/>
  <c r="C9990" i="2"/>
  <c r="B9990" i="2"/>
  <c r="A9990" i="2"/>
  <c r="U9989" i="2"/>
  <c r="N9989" i="2"/>
  <c r="M9989" i="2"/>
  <c r="J9989" i="2"/>
  <c r="I9989" i="2"/>
  <c r="H9989" i="2"/>
  <c r="G9989" i="2"/>
  <c r="F9989" i="2"/>
  <c r="E9989" i="2"/>
  <c r="D9989" i="2"/>
  <c r="C9989" i="2"/>
  <c r="B9989" i="2"/>
  <c r="A9989" i="2"/>
  <c r="U9988" i="2"/>
  <c r="N9988" i="2"/>
  <c r="M9988" i="2"/>
  <c r="J9988" i="2"/>
  <c r="I9988" i="2"/>
  <c r="H9988" i="2"/>
  <c r="G9988" i="2"/>
  <c r="F9988" i="2"/>
  <c r="E9988" i="2"/>
  <c r="D9988" i="2"/>
  <c r="C9988" i="2"/>
  <c r="B9988" i="2"/>
  <c r="A9988" i="2"/>
  <c r="U9987" i="2"/>
  <c r="N9987" i="2"/>
  <c r="M9987" i="2"/>
  <c r="J9987" i="2"/>
  <c r="I9987" i="2"/>
  <c r="H9987" i="2"/>
  <c r="G9987" i="2"/>
  <c r="F9987" i="2"/>
  <c r="E9987" i="2"/>
  <c r="D9987" i="2"/>
  <c r="C9987" i="2"/>
  <c r="B9987" i="2"/>
  <c r="A9987" i="2"/>
  <c r="U9986" i="2"/>
  <c r="N9986" i="2"/>
  <c r="M9986" i="2"/>
  <c r="J9986" i="2"/>
  <c r="I9986" i="2"/>
  <c r="H9986" i="2"/>
  <c r="G9986" i="2"/>
  <c r="F9986" i="2"/>
  <c r="E9986" i="2"/>
  <c r="D9986" i="2"/>
  <c r="C9986" i="2"/>
  <c r="B9986" i="2"/>
  <c r="A9986" i="2"/>
  <c r="U9985" i="2"/>
  <c r="N9985" i="2"/>
  <c r="M9985" i="2"/>
  <c r="J9985" i="2"/>
  <c r="I9985" i="2"/>
  <c r="H9985" i="2"/>
  <c r="G9985" i="2"/>
  <c r="F9985" i="2"/>
  <c r="E9985" i="2"/>
  <c r="D9985" i="2"/>
  <c r="C9985" i="2"/>
  <c r="B9985" i="2"/>
  <c r="A9985" i="2"/>
  <c r="U9984" i="2"/>
  <c r="N9984" i="2"/>
  <c r="M9984" i="2"/>
  <c r="J9984" i="2"/>
  <c r="I9984" i="2"/>
  <c r="H9984" i="2"/>
  <c r="G9984" i="2"/>
  <c r="F9984" i="2"/>
  <c r="E9984" i="2"/>
  <c r="D9984" i="2"/>
  <c r="C9984" i="2"/>
  <c r="B9984" i="2"/>
  <c r="A9984" i="2"/>
  <c r="U9983" i="2"/>
  <c r="N9983" i="2"/>
  <c r="M9983" i="2"/>
  <c r="J9983" i="2"/>
  <c r="I9983" i="2"/>
  <c r="H9983" i="2"/>
  <c r="G9983" i="2"/>
  <c r="F9983" i="2"/>
  <c r="E9983" i="2"/>
  <c r="D9983" i="2"/>
  <c r="C9983" i="2"/>
  <c r="B9983" i="2"/>
  <c r="A9983" i="2"/>
  <c r="U9982" i="2"/>
  <c r="N9982" i="2"/>
  <c r="M9982" i="2"/>
  <c r="J9982" i="2"/>
  <c r="I9982" i="2"/>
  <c r="H9982" i="2"/>
  <c r="G9982" i="2"/>
  <c r="F9982" i="2"/>
  <c r="E9982" i="2"/>
  <c r="D9982" i="2"/>
  <c r="C9982" i="2"/>
  <c r="B9982" i="2"/>
  <c r="A9982" i="2"/>
  <c r="U9981" i="2"/>
  <c r="N9981" i="2"/>
  <c r="M9981" i="2"/>
  <c r="J9981" i="2"/>
  <c r="I9981" i="2"/>
  <c r="H9981" i="2"/>
  <c r="G9981" i="2"/>
  <c r="F9981" i="2"/>
  <c r="E9981" i="2"/>
  <c r="D9981" i="2"/>
  <c r="C9981" i="2"/>
  <c r="B9981" i="2"/>
  <c r="A9981" i="2"/>
  <c r="U9980" i="2"/>
  <c r="N9980" i="2"/>
  <c r="M9980" i="2"/>
  <c r="J9980" i="2"/>
  <c r="I9980" i="2"/>
  <c r="H9980" i="2"/>
  <c r="G9980" i="2"/>
  <c r="F9980" i="2"/>
  <c r="E9980" i="2"/>
  <c r="D9980" i="2"/>
  <c r="C9980" i="2"/>
  <c r="B9980" i="2"/>
  <c r="A9980" i="2"/>
  <c r="U9979" i="2"/>
  <c r="N9979" i="2"/>
  <c r="M9979" i="2"/>
  <c r="J9979" i="2"/>
  <c r="I9979" i="2"/>
  <c r="H9979" i="2"/>
  <c r="G9979" i="2"/>
  <c r="F9979" i="2"/>
  <c r="E9979" i="2"/>
  <c r="D9979" i="2"/>
  <c r="C9979" i="2"/>
  <c r="B9979" i="2"/>
  <c r="A9979" i="2"/>
  <c r="Q9978" i="2"/>
  <c r="U9978" i="2" s="1"/>
  <c r="N9978" i="2"/>
  <c r="M9978" i="2"/>
  <c r="J9978" i="2"/>
  <c r="I9978" i="2"/>
  <c r="H9978" i="2"/>
  <c r="G9978" i="2"/>
  <c r="F9978" i="2"/>
  <c r="E9978" i="2"/>
  <c r="D9978" i="2"/>
  <c r="C9978" i="2"/>
  <c r="B9978" i="2"/>
  <c r="A9978" i="2"/>
  <c r="U9977" i="2"/>
  <c r="N9977" i="2"/>
  <c r="M9977" i="2"/>
  <c r="J9977" i="2"/>
  <c r="I9977" i="2"/>
  <c r="H9977" i="2"/>
  <c r="G9977" i="2"/>
  <c r="F9977" i="2"/>
  <c r="E9977" i="2"/>
  <c r="D9977" i="2"/>
  <c r="C9977" i="2"/>
  <c r="B9977" i="2"/>
  <c r="A9977" i="2"/>
  <c r="U9976" i="2"/>
  <c r="N9976" i="2"/>
  <c r="M9976" i="2"/>
  <c r="J9976" i="2"/>
  <c r="I9976" i="2"/>
  <c r="H9976" i="2"/>
  <c r="G9976" i="2"/>
  <c r="F9976" i="2"/>
  <c r="E9976" i="2"/>
  <c r="D9976" i="2"/>
  <c r="C9976" i="2"/>
  <c r="B9976" i="2"/>
  <c r="A9976" i="2"/>
  <c r="U9975" i="2"/>
  <c r="N9975" i="2"/>
  <c r="M9975" i="2"/>
  <c r="J9975" i="2"/>
  <c r="I9975" i="2"/>
  <c r="H9975" i="2"/>
  <c r="G9975" i="2"/>
  <c r="F9975" i="2"/>
  <c r="E9975" i="2"/>
  <c r="D9975" i="2"/>
  <c r="C9975" i="2"/>
  <c r="B9975" i="2"/>
  <c r="A9975" i="2"/>
  <c r="U9974" i="2"/>
  <c r="N9974" i="2"/>
  <c r="M9974" i="2"/>
  <c r="J9974" i="2"/>
  <c r="I9974" i="2"/>
  <c r="H9974" i="2"/>
  <c r="G9974" i="2"/>
  <c r="F9974" i="2"/>
  <c r="E9974" i="2"/>
  <c r="D9974" i="2"/>
  <c r="C9974" i="2"/>
  <c r="B9974" i="2"/>
  <c r="A9974" i="2"/>
  <c r="U9973" i="2"/>
  <c r="N9973" i="2"/>
  <c r="M9973" i="2"/>
  <c r="J9973" i="2"/>
  <c r="I9973" i="2"/>
  <c r="H9973" i="2"/>
  <c r="G9973" i="2"/>
  <c r="F9973" i="2"/>
  <c r="E9973" i="2"/>
  <c r="D9973" i="2"/>
  <c r="C9973" i="2"/>
  <c r="B9973" i="2"/>
  <c r="A9973" i="2"/>
  <c r="Q9972" i="2"/>
  <c r="U9972" i="2" s="1"/>
  <c r="N9972" i="2"/>
  <c r="M9972" i="2"/>
  <c r="J9972" i="2"/>
  <c r="I9972" i="2"/>
  <c r="H9972" i="2"/>
  <c r="G9972" i="2"/>
  <c r="F9972" i="2"/>
  <c r="E9972" i="2"/>
  <c r="D9972" i="2"/>
  <c r="C9972" i="2"/>
  <c r="B9972" i="2"/>
  <c r="A9972" i="2"/>
  <c r="U9971" i="2"/>
  <c r="N9971" i="2"/>
  <c r="M9971" i="2"/>
  <c r="J9971" i="2"/>
  <c r="I9971" i="2"/>
  <c r="H9971" i="2"/>
  <c r="G9971" i="2"/>
  <c r="F9971" i="2"/>
  <c r="E9971" i="2"/>
  <c r="D9971" i="2"/>
  <c r="C9971" i="2"/>
  <c r="B9971" i="2"/>
  <c r="A9971" i="2"/>
  <c r="U9970" i="2"/>
  <c r="N9970" i="2"/>
  <c r="M9970" i="2"/>
  <c r="J9970" i="2"/>
  <c r="I9970" i="2"/>
  <c r="H9970" i="2"/>
  <c r="G9970" i="2"/>
  <c r="F9970" i="2"/>
  <c r="E9970" i="2"/>
  <c r="D9970" i="2"/>
  <c r="C9970" i="2"/>
  <c r="B9970" i="2"/>
  <c r="A9970" i="2"/>
  <c r="Q9969" i="2"/>
  <c r="U9969" i="2" s="1"/>
  <c r="N9969" i="2"/>
  <c r="M9969" i="2"/>
  <c r="J9969" i="2"/>
  <c r="I9969" i="2"/>
  <c r="H9969" i="2"/>
  <c r="G9969" i="2"/>
  <c r="F9969" i="2"/>
  <c r="E9969" i="2"/>
  <c r="D9969" i="2"/>
  <c r="C9969" i="2"/>
  <c r="B9969" i="2"/>
  <c r="A9969" i="2"/>
  <c r="U9968" i="2"/>
  <c r="N9968" i="2"/>
  <c r="M9968" i="2"/>
  <c r="J9968" i="2"/>
  <c r="I9968" i="2"/>
  <c r="H9968" i="2"/>
  <c r="G9968" i="2"/>
  <c r="F9968" i="2"/>
  <c r="E9968" i="2"/>
  <c r="D9968" i="2"/>
  <c r="C9968" i="2"/>
  <c r="B9968" i="2"/>
  <c r="A9968" i="2"/>
  <c r="U9967" i="2"/>
  <c r="N9967" i="2"/>
  <c r="M9967" i="2"/>
  <c r="J9967" i="2"/>
  <c r="I9967" i="2"/>
  <c r="H9967" i="2"/>
  <c r="G9967" i="2"/>
  <c r="F9967" i="2"/>
  <c r="E9967" i="2"/>
  <c r="D9967" i="2"/>
  <c r="C9967" i="2"/>
  <c r="B9967" i="2"/>
  <c r="A9967" i="2"/>
  <c r="U9966" i="2"/>
  <c r="N9966" i="2"/>
  <c r="M9966" i="2"/>
  <c r="J9966" i="2"/>
  <c r="I9966" i="2"/>
  <c r="H9966" i="2"/>
  <c r="G9966" i="2"/>
  <c r="F9966" i="2"/>
  <c r="E9966" i="2"/>
  <c r="D9966" i="2"/>
  <c r="C9966" i="2"/>
  <c r="B9966" i="2"/>
  <c r="A9966" i="2"/>
  <c r="U9965" i="2"/>
  <c r="N9965" i="2"/>
  <c r="M9965" i="2"/>
  <c r="J9965" i="2"/>
  <c r="I9965" i="2"/>
  <c r="H9965" i="2"/>
  <c r="G9965" i="2"/>
  <c r="F9965" i="2"/>
  <c r="E9965" i="2"/>
  <c r="D9965" i="2"/>
  <c r="C9965" i="2"/>
  <c r="B9965" i="2"/>
  <c r="A9965" i="2"/>
  <c r="U9964" i="2"/>
  <c r="N9964" i="2"/>
  <c r="M9964" i="2"/>
  <c r="J9964" i="2"/>
  <c r="I9964" i="2"/>
  <c r="H9964" i="2"/>
  <c r="G9964" i="2"/>
  <c r="F9964" i="2"/>
  <c r="E9964" i="2"/>
  <c r="D9964" i="2"/>
  <c r="C9964" i="2"/>
  <c r="B9964" i="2"/>
  <c r="A9964" i="2"/>
  <c r="U9963" i="2"/>
  <c r="N9963" i="2"/>
  <c r="M9963" i="2"/>
  <c r="J9963" i="2"/>
  <c r="I9963" i="2"/>
  <c r="H9963" i="2"/>
  <c r="G9963" i="2"/>
  <c r="F9963" i="2"/>
  <c r="E9963" i="2"/>
  <c r="D9963" i="2"/>
  <c r="C9963" i="2"/>
  <c r="B9963" i="2"/>
  <c r="A9963" i="2"/>
  <c r="U9962" i="2"/>
  <c r="N9962" i="2"/>
  <c r="M9962" i="2"/>
  <c r="J9962" i="2"/>
  <c r="I9962" i="2"/>
  <c r="H9962" i="2"/>
  <c r="G9962" i="2"/>
  <c r="F9962" i="2"/>
  <c r="E9962" i="2"/>
  <c r="D9962" i="2"/>
  <c r="C9962" i="2"/>
  <c r="B9962" i="2"/>
  <c r="A9962" i="2"/>
  <c r="Q9961" i="2"/>
  <c r="U9961" i="2" s="1"/>
  <c r="N9961" i="2"/>
  <c r="M9961" i="2"/>
  <c r="J9961" i="2"/>
  <c r="I9961" i="2"/>
  <c r="H9961" i="2"/>
  <c r="G9961" i="2"/>
  <c r="F9961" i="2"/>
  <c r="E9961" i="2"/>
  <c r="D9961" i="2"/>
  <c r="C9961" i="2"/>
  <c r="B9961" i="2"/>
  <c r="A9961" i="2"/>
  <c r="U9960" i="2"/>
  <c r="N9960" i="2"/>
  <c r="M9960" i="2"/>
  <c r="J9960" i="2"/>
  <c r="I9960" i="2"/>
  <c r="H9960" i="2"/>
  <c r="G9960" i="2"/>
  <c r="F9960" i="2"/>
  <c r="E9960" i="2"/>
  <c r="D9960" i="2"/>
  <c r="C9960" i="2"/>
  <c r="B9960" i="2"/>
  <c r="A9960" i="2"/>
  <c r="Q9959" i="2"/>
  <c r="U9959" i="2" s="1"/>
  <c r="N9959" i="2"/>
  <c r="M9959" i="2"/>
  <c r="J9959" i="2"/>
  <c r="I9959" i="2"/>
  <c r="H9959" i="2"/>
  <c r="G9959" i="2"/>
  <c r="F9959" i="2"/>
  <c r="E9959" i="2"/>
  <c r="D9959" i="2"/>
  <c r="C9959" i="2"/>
  <c r="B9959" i="2"/>
  <c r="A9959" i="2"/>
  <c r="U9958" i="2"/>
  <c r="N9958" i="2"/>
  <c r="M9958" i="2"/>
  <c r="J9958" i="2"/>
  <c r="I9958" i="2"/>
  <c r="H9958" i="2"/>
  <c r="G9958" i="2"/>
  <c r="F9958" i="2"/>
  <c r="E9958" i="2"/>
  <c r="D9958" i="2"/>
  <c r="C9958" i="2"/>
  <c r="B9958" i="2"/>
  <c r="A9958" i="2"/>
  <c r="U9957" i="2"/>
  <c r="N9957" i="2"/>
  <c r="M9957" i="2"/>
  <c r="J9957" i="2"/>
  <c r="I9957" i="2"/>
  <c r="H9957" i="2"/>
  <c r="G9957" i="2"/>
  <c r="F9957" i="2"/>
  <c r="E9957" i="2"/>
  <c r="D9957" i="2"/>
  <c r="C9957" i="2"/>
  <c r="B9957" i="2"/>
  <c r="A9957" i="2"/>
  <c r="U9956" i="2"/>
  <c r="N9956" i="2"/>
  <c r="M9956" i="2"/>
  <c r="J9956" i="2"/>
  <c r="I9956" i="2"/>
  <c r="H9956" i="2"/>
  <c r="G9956" i="2"/>
  <c r="F9956" i="2"/>
  <c r="E9956" i="2"/>
  <c r="D9956" i="2"/>
  <c r="C9956" i="2"/>
  <c r="B9956" i="2"/>
  <c r="A9956" i="2"/>
  <c r="U9955" i="2"/>
  <c r="N9955" i="2"/>
  <c r="M9955" i="2"/>
  <c r="J9955" i="2"/>
  <c r="I9955" i="2"/>
  <c r="H9955" i="2"/>
  <c r="G9955" i="2"/>
  <c r="F9955" i="2"/>
  <c r="E9955" i="2"/>
  <c r="D9955" i="2"/>
  <c r="C9955" i="2"/>
  <c r="B9955" i="2"/>
  <c r="A9955" i="2"/>
  <c r="U9954" i="2"/>
  <c r="N9954" i="2"/>
  <c r="M9954" i="2"/>
  <c r="J9954" i="2"/>
  <c r="I9954" i="2"/>
  <c r="H9954" i="2"/>
  <c r="G9954" i="2"/>
  <c r="F9954" i="2"/>
  <c r="E9954" i="2"/>
  <c r="D9954" i="2"/>
  <c r="C9954" i="2"/>
  <c r="B9954" i="2"/>
  <c r="A9954" i="2"/>
  <c r="U9953" i="2"/>
  <c r="N9953" i="2"/>
  <c r="M9953" i="2"/>
  <c r="J9953" i="2"/>
  <c r="I9953" i="2"/>
  <c r="H9953" i="2"/>
  <c r="G9953" i="2"/>
  <c r="F9953" i="2"/>
  <c r="E9953" i="2"/>
  <c r="D9953" i="2"/>
  <c r="C9953" i="2"/>
  <c r="B9953" i="2"/>
  <c r="A9953" i="2"/>
  <c r="U9952" i="2"/>
  <c r="N9952" i="2"/>
  <c r="M9952" i="2"/>
  <c r="J9952" i="2"/>
  <c r="I9952" i="2"/>
  <c r="H9952" i="2"/>
  <c r="G9952" i="2"/>
  <c r="F9952" i="2"/>
  <c r="E9952" i="2"/>
  <c r="D9952" i="2"/>
  <c r="C9952" i="2"/>
  <c r="B9952" i="2"/>
  <c r="A9952" i="2"/>
  <c r="U9951" i="2"/>
  <c r="N9951" i="2"/>
  <c r="M9951" i="2"/>
  <c r="J9951" i="2"/>
  <c r="I9951" i="2"/>
  <c r="H9951" i="2"/>
  <c r="G9951" i="2"/>
  <c r="F9951" i="2"/>
  <c r="E9951" i="2"/>
  <c r="D9951" i="2"/>
  <c r="C9951" i="2"/>
  <c r="B9951" i="2"/>
  <c r="A9951" i="2"/>
  <c r="Q9950" i="2"/>
  <c r="U9950" i="2" s="1"/>
  <c r="N9950" i="2"/>
  <c r="M9950" i="2"/>
  <c r="J9950" i="2"/>
  <c r="I9950" i="2"/>
  <c r="H9950" i="2"/>
  <c r="G9950" i="2"/>
  <c r="F9950" i="2"/>
  <c r="E9950" i="2"/>
  <c r="D9950" i="2"/>
  <c r="C9950" i="2"/>
  <c r="B9950" i="2"/>
  <c r="A9950" i="2"/>
  <c r="U9949" i="2"/>
  <c r="N9949" i="2"/>
  <c r="M9949" i="2"/>
  <c r="J9949" i="2"/>
  <c r="I9949" i="2"/>
  <c r="H9949" i="2"/>
  <c r="G9949" i="2"/>
  <c r="F9949" i="2"/>
  <c r="E9949" i="2"/>
  <c r="D9949" i="2"/>
  <c r="C9949" i="2"/>
  <c r="B9949" i="2"/>
  <c r="A9949" i="2"/>
  <c r="U9948" i="2"/>
  <c r="N9948" i="2"/>
  <c r="M9948" i="2"/>
  <c r="J9948" i="2"/>
  <c r="I9948" i="2"/>
  <c r="H9948" i="2"/>
  <c r="G9948" i="2"/>
  <c r="F9948" i="2"/>
  <c r="E9948" i="2"/>
  <c r="D9948" i="2"/>
  <c r="C9948" i="2"/>
  <c r="B9948" i="2"/>
  <c r="A9948" i="2"/>
  <c r="U9947" i="2"/>
  <c r="N9947" i="2"/>
  <c r="M9947" i="2"/>
  <c r="J9947" i="2"/>
  <c r="I9947" i="2"/>
  <c r="H9947" i="2"/>
  <c r="G9947" i="2"/>
  <c r="F9947" i="2"/>
  <c r="E9947" i="2"/>
  <c r="D9947" i="2"/>
  <c r="C9947" i="2"/>
  <c r="B9947" i="2"/>
  <c r="A9947" i="2"/>
  <c r="Q9946" i="2"/>
  <c r="U9946" i="2" s="1"/>
  <c r="N9946" i="2"/>
  <c r="M9946" i="2"/>
  <c r="J9946" i="2"/>
  <c r="I9946" i="2"/>
  <c r="H9946" i="2"/>
  <c r="G9946" i="2"/>
  <c r="F9946" i="2"/>
  <c r="E9946" i="2"/>
  <c r="D9946" i="2"/>
  <c r="C9946" i="2"/>
  <c r="B9946" i="2"/>
  <c r="A9946" i="2"/>
  <c r="U9945" i="2"/>
  <c r="N9945" i="2"/>
  <c r="M9945" i="2"/>
  <c r="J9945" i="2"/>
  <c r="I9945" i="2"/>
  <c r="H9945" i="2"/>
  <c r="G9945" i="2"/>
  <c r="F9945" i="2"/>
  <c r="E9945" i="2"/>
  <c r="D9945" i="2"/>
  <c r="C9945" i="2"/>
  <c r="B9945" i="2"/>
  <c r="A9945" i="2"/>
  <c r="Q9944" i="2"/>
  <c r="U9944" i="2" s="1"/>
  <c r="N9944" i="2"/>
  <c r="M9944" i="2"/>
  <c r="J9944" i="2"/>
  <c r="I9944" i="2"/>
  <c r="H9944" i="2"/>
  <c r="G9944" i="2"/>
  <c r="F9944" i="2"/>
  <c r="E9944" i="2"/>
  <c r="D9944" i="2"/>
  <c r="C9944" i="2"/>
  <c r="B9944" i="2"/>
  <c r="A9944" i="2"/>
  <c r="U9943" i="2"/>
  <c r="N9943" i="2"/>
  <c r="M9943" i="2"/>
  <c r="J9943" i="2"/>
  <c r="I9943" i="2"/>
  <c r="H9943" i="2"/>
  <c r="G9943" i="2"/>
  <c r="F9943" i="2"/>
  <c r="E9943" i="2"/>
  <c r="D9943" i="2"/>
  <c r="C9943" i="2"/>
  <c r="B9943" i="2"/>
  <c r="A9943" i="2"/>
  <c r="U9942" i="2"/>
  <c r="N9942" i="2"/>
  <c r="M9942" i="2"/>
  <c r="J9942" i="2"/>
  <c r="I9942" i="2"/>
  <c r="H9942" i="2"/>
  <c r="G9942" i="2"/>
  <c r="F9942" i="2"/>
  <c r="E9942" i="2"/>
  <c r="D9942" i="2"/>
  <c r="C9942" i="2"/>
  <c r="B9942" i="2"/>
  <c r="A9942" i="2"/>
  <c r="U9941" i="2"/>
  <c r="N9941" i="2"/>
  <c r="M9941" i="2"/>
  <c r="J9941" i="2"/>
  <c r="I9941" i="2"/>
  <c r="H9941" i="2"/>
  <c r="G9941" i="2"/>
  <c r="F9941" i="2"/>
  <c r="E9941" i="2"/>
  <c r="D9941" i="2"/>
  <c r="C9941" i="2"/>
  <c r="B9941" i="2"/>
  <c r="A9941" i="2"/>
  <c r="U9940" i="2"/>
  <c r="N9940" i="2"/>
  <c r="M9940" i="2"/>
  <c r="J9940" i="2"/>
  <c r="I9940" i="2"/>
  <c r="H9940" i="2"/>
  <c r="G9940" i="2"/>
  <c r="F9940" i="2"/>
  <c r="E9940" i="2"/>
  <c r="D9940" i="2"/>
  <c r="C9940" i="2"/>
  <c r="B9940" i="2"/>
  <c r="A9940" i="2"/>
  <c r="U9939" i="2"/>
  <c r="N9939" i="2"/>
  <c r="M9939" i="2"/>
  <c r="J9939" i="2"/>
  <c r="I9939" i="2"/>
  <c r="H9939" i="2"/>
  <c r="G9939" i="2"/>
  <c r="F9939" i="2"/>
  <c r="E9939" i="2"/>
  <c r="D9939" i="2"/>
  <c r="C9939" i="2"/>
  <c r="B9939" i="2"/>
  <c r="A9939" i="2"/>
  <c r="Q9938" i="2"/>
  <c r="U9938" i="2" s="1"/>
  <c r="N9938" i="2"/>
  <c r="M9938" i="2"/>
  <c r="J9938" i="2"/>
  <c r="I9938" i="2"/>
  <c r="H9938" i="2"/>
  <c r="G9938" i="2"/>
  <c r="F9938" i="2"/>
  <c r="E9938" i="2"/>
  <c r="D9938" i="2"/>
  <c r="C9938" i="2"/>
  <c r="B9938" i="2"/>
  <c r="A9938" i="2"/>
  <c r="U9937" i="2"/>
  <c r="N9937" i="2"/>
  <c r="M9937" i="2"/>
  <c r="J9937" i="2"/>
  <c r="I9937" i="2"/>
  <c r="H9937" i="2"/>
  <c r="G9937" i="2"/>
  <c r="F9937" i="2"/>
  <c r="E9937" i="2"/>
  <c r="D9937" i="2"/>
  <c r="C9937" i="2"/>
  <c r="B9937" i="2"/>
  <c r="A9937" i="2"/>
  <c r="U9936" i="2"/>
  <c r="N9936" i="2"/>
  <c r="M9936" i="2"/>
  <c r="J9936" i="2"/>
  <c r="I9936" i="2"/>
  <c r="H9936" i="2"/>
  <c r="G9936" i="2"/>
  <c r="F9936" i="2"/>
  <c r="E9936" i="2"/>
  <c r="D9936" i="2"/>
  <c r="C9936" i="2"/>
  <c r="B9936" i="2"/>
  <c r="A9936" i="2"/>
  <c r="U9935" i="2"/>
  <c r="N9935" i="2"/>
  <c r="M9935" i="2"/>
  <c r="J9935" i="2"/>
  <c r="I9935" i="2"/>
  <c r="H9935" i="2"/>
  <c r="G9935" i="2"/>
  <c r="F9935" i="2"/>
  <c r="E9935" i="2"/>
  <c r="D9935" i="2"/>
  <c r="C9935" i="2"/>
  <c r="B9935" i="2"/>
  <c r="A9935" i="2"/>
  <c r="U9934" i="2"/>
  <c r="N9934" i="2"/>
  <c r="M9934" i="2"/>
  <c r="J9934" i="2"/>
  <c r="I9934" i="2"/>
  <c r="H9934" i="2"/>
  <c r="G9934" i="2"/>
  <c r="F9934" i="2"/>
  <c r="E9934" i="2"/>
  <c r="D9934" i="2"/>
  <c r="C9934" i="2"/>
  <c r="B9934" i="2"/>
  <c r="A9934" i="2"/>
  <c r="U9933" i="2"/>
  <c r="N9933" i="2"/>
  <c r="M9933" i="2"/>
  <c r="J9933" i="2"/>
  <c r="I9933" i="2"/>
  <c r="H9933" i="2"/>
  <c r="G9933" i="2"/>
  <c r="F9933" i="2"/>
  <c r="E9933" i="2"/>
  <c r="D9933" i="2"/>
  <c r="C9933" i="2"/>
  <c r="B9933" i="2"/>
  <c r="A9933" i="2"/>
  <c r="U9932" i="2"/>
  <c r="N9932" i="2"/>
  <c r="M9932" i="2"/>
  <c r="J9932" i="2"/>
  <c r="I9932" i="2"/>
  <c r="H9932" i="2"/>
  <c r="G9932" i="2"/>
  <c r="F9932" i="2"/>
  <c r="E9932" i="2"/>
  <c r="D9932" i="2"/>
  <c r="C9932" i="2"/>
  <c r="B9932" i="2"/>
  <c r="A9932" i="2"/>
  <c r="Q9931" i="2"/>
  <c r="U9931" i="2" s="1"/>
  <c r="N9931" i="2"/>
  <c r="M9931" i="2"/>
  <c r="J9931" i="2"/>
  <c r="I9931" i="2"/>
  <c r="H9931" i="2"/>
  <c r="G9931" i="2"/>
  <c r="F9931" i="2"/>
  <c r="E9931" i="2"/>
  <c r="D9931" i="2"/>
  <c r="C9931" i="2"/>
  <c r="B9931" i="2"/>
  <c r="A9931" i="2"/>
  <c r="Q9930" i="2"/>
  <c r="U9930" i="2" s="1"/>
  <c r="N9930" i="2"/>
  <c r="M9930" i="2"/>
  <c r="J9930" i="2"/>
  <c r="I9930" i="2"/>
  <c r="H9930" i="2"/>
  <c r="G9930" i="2"/>
  <c r="F9930" i="2"/>
  <c r="E9930" i="2"/>
  <c r="D9930" i="2"/>
  <c r="C9930" i="2"/>
  <c r="B9930" i="2"/>
  <c r="A9930" i="2"/>
  <c r="U9929" i="2"/>
  <c r="N9929" i="2"/>
  <c r="M9929" i="2"/>
  <c r="J9929" i="2"/>
  <c r="I9929" i="2"/>
  <c r="H9929" i="2"/>
  <c r="G9929" i="2"/>
  <c r="F9929" i="2"/>
  <c r="E9929" i="2"/>
  <c r="D9929" i="2"/>
  <c r="C9929" i="2"/>
  <c r="B9929" i="2"/>
  <c r="A9929" i="2"/>
  <c r="U9928" i="2"/>
  <c r="N9928" i="2"/>
  <c r="M9928" i="2"/>
  <c r="J9928" i="2"/>
  <c r="I9928" i="2"/>
  <c r="H9928" i="2"/>
  <c r="G9928" i="2"/>
  <c r="F9928" i="2"/>
  <c r="E9928" i="2"/>
  <c r="D9928" i="2"/>
  <c r="C9928" i="2"/>
  <c r="B9928" i="2"/>
  <c r="A9928" i="2"/>
  <c r="U9927" i="2"/>
  <c r="N9927" i="2"/>
  <c r="M9927" i="2"/>
  <c r="J9927" i="2"/>
  <c r="I9927" i="2"/>
  <c r="H9927" i="2"/>
  <c r="G9927" i="2"/>
  <c r="F9927" i="2"/>
  <c r="E9927" i="2"/>
  <c r="D9927" i="2"/>
  <c r="C9927" i="2"/>
  <c r="B9927" i="2"/>
  <c r="A9927" i="2"/>
  <c r="R9926" i="2"/>
  <c r="Q9926" i="2"/>
  <c r="N9926" i="2"/>
  <c r="M9926" i="2"/>
  <c r="J9926" i="2"/>
  <c r="I9926" i="2"/>
  <c r="H9926" i="2"/>
  <c r="G9926" i="2"/>
  <c r="F9926" i="2"/>
  <c r="E9926" i="2"/>
  <c r="D9926" i="2"/>
  <c r="C9926" i="2"/>
  <c r="B9926" i="2"/>
  <c r="A9926" i="2"/>
  <c r="R9925" i="2"/>
  <c r="Q9925" i="2"/>
  <c r="N9925" i="2"/>
  <c r="M9925" i="2"/>
  <c r="J9925" i="2"/>
  <c r="I9925" i="2"/>
  <c r="H9925" i="2"/>
  <c r="G9925" i="2"/>
  <c r="F9925" i="2"/>
  <c r="E9925" i="2"/>
  <c r="D9925" i="2"/>
  <c r="C9925" i="2"/>
  <c r="B9925" i="2"/>
  <c r="A9925" i="2"/>
  <c r="R9924" i="2"/>
  <c r="Q9924" i="2"/>
  <c r="N9924" i="2"/>
  <c r="M9924" i="2"/>
  <c r="J9924" i="2"/>
  <c r="I9924" i="2"/>
  <c r="H9924" i="2"/>
  <c r="G9924" i="2"/>
  <c r="F9924" i="2"/>
  <c r="E9924" i="2"/>
  <c r="D9924" i="2"/>
  <c r="C9924" i="2"/>
  <c r="B9924" i="2"/>
  <c r="A9924" i="2"/>
  <c r="R9923" i="2"/>
  <c r="Q9923" i="2"/>
  <c r="N9923" i="2"/>
  <c r="M9923" i="2"/>
  <c r="J9923" i="2"/>
  <c r="I9923" i="2"/>
  <c r="H9923" i="2"/>
  <c r="G9923" i="2"/>
  <c r="F9923" i="2"/>
  <c r="E9923" i="2"/>
  <c r="D9923" i="2"/>
  <c r="C9923" i="2"/>
  <c r="B9923" i="2"/>
  <c r="A9923" i="2"/>
  <c r="R9922" i="2"/>
  <c r="Q9922" i="2"/>
  <c r="N9922" i="2"/>
  <c r="M9922" i="2"/>
  <c r="J9922" i="2"/>
  <c r="I9922" i="2"/>
  <c r="H9922" i="2"/>
  <c r="G9922" i="2"/>
  <c r="F9922" i="2"/>
  <c r="E9922" i="2"/>
  <c r="D9922" i="2"/>
  <c r="C9922" i="2"/>
  <c r="B9922" i="2"/>
  <c r="A9922" i="2"/>
  <c r="R9921" i="2"/>
  <c r="Q9921" i="2"/>
  <c r="N9921" i="2"/>
  <c r="M9921" i="2"/>
  <c r="J9921" i="2"/>
  <c r="I9921" i="2"/>
  <c r="H9921" i="2"/>
  <c r="G9921" i="2"/>
  <c r="F9921" i="2"/>
  <c r="E9921" i="2"/>
  <c r="D9921" i="2"/>
  <c r="C9921" i="2"/>
  <c r="B9921" i="2"/>
  <c r="A9921" i="2"/>
  <c r="R9920" i="2"/>
  <c r="Q9920" i="2"/>
  <c r="N9920" i="2"/>
  <c r="M9920" i="2"/>
  <c r="J9920" i="2"/>
  <c r="I9920" i="2"/>
  <c r="H9920" i="2"/>
  <c r="G9920" i="2"/>
  <c r="F9920" i="2"/>
  <c r="E9920" i="2"/>
  <c r="D9920" i="2"/>
  <c r="C9920" i="2"/>
  <c r="B9920" i="2"/>
  <c r="A9920" i="2"/>
  <c r="R9919" i="2"/>
  <c r="Q9919" i="2"/>
  <c r="N9919" i="2"/>
  <c r="M9919" i="2"/>
  <c r="J9919" i="2"/>
  <c r="I9919" i="2"/>
  <c r="H9919" i="2"/>
  <c r="G9919" i="2"/>
  <c r="F9919" i="2"/>
  <c r="E9919" i="2"/>
  <c r="D9919" i="2"/>
  <c r="C9919" i="2"/>
  <c r="B9919" i="2"/>
  <c r="A9919" i="2"/>
  <c r="R9918" i="2"/>
  <c r="Q9918" i="2"/>
  <c r="N9918" i="2"/>
  <c r="M9918" i="2"/>
  <c r="J9918" i="2"/>
  <c r="I9918" i="2"/>
  <c r="H9918" i="2"/>
  <c r="G9918" i="2"/>
  <c r="F9918" i="2"/>
  <c r="E9918" i="2"/>
  <c r="D9918" i="2"/>
  <c r="C9918" i="2"/>
  <c r="B9918" i="2"/>
  <c r="A9918" i="2"/>
  <c r="R9917" i="2"/>
  <c r="Q9917" i="2"/>
  <c r="N9917" i="2"/>
  <c r="M9917" i="2"/>
  <c r="J9917" i="2"/>
  <c r="I9917" i="2"/>
  <c r="H9917" i="2"/>
  <c r="G9917" i="2"/>
  <c r="F9917" i="2"/>
  <c r="E9917" i="2"/>
  <c r="D9917" i="2"/>
  <c r="C9917" i="2"/>
  <c r="B9917" i="2"/>
  <c r="A9917" i="2"/>
  <c r="Q9916" i="2"/>
  <c r="U9916" i="2" s="1"/>
  <c r="N9916" i="2"/>
  <c r="M9916" i="2"/>
  <c r="J9916" i="2"/>
  <c r="I9916" i="2"/>
  <c r="H9916" i="2"/>
  <c r="G9916" i="2"/>
  <c r="F9916" i="2"/>
  <c r="E9916" i="2"/>
  <c r="D9916" i="2"/>
  <c r="C9916" i="2"/>
  <c r="B9916" i="2"/>
  <c r="A9916" i="2"/>
  <c r="R9915" i="2"/>
  <c r="Q9915" i="2"/>
  <c r="N9915" i="2"/>
  <c r="M9915" i="2"/>
  <c r="J9915" i="2"/>
  <c r="I9915" i="2"/>
  <c r="H9915" i="2"/>
  <c r="G9915" i="2"/>
  <c r="F9915" i="2"/>
  <c r="E9915" i="2"/>
  <c r="D9915" i="2"/>
  <c r="C9915" i="2"/>
  <c r="B9915" i="2"/>
  <c r="A9915" i="2"/>
  <c r="R9914" i="2"/>
  <c r="Q9914" i="2"/>
  <c r="N9914" i="2"/>
  <c r="M9914" i="2"/>
  <c r="J9914" i="2"/>
  <c r="I9914" i="2"/>
  <c r="H9914" i="2"/>
  <c r="G9914" i="2"/>
  <c r="F9914" i="2"/>
  <c r="E9914" i="2"/>
  <c r="D9914" i="2"/>
  <c r="C9914" i="2"/>
  <c r="B9914" i="2"/>
  <c r="A9914" i="2"/>
  <c r="R9913" i="2"/>
  <c r="Q9913" i="2"/>
  <c r="N9913" i="2"/>
  <c r="M9913" i="2"/>
  <c r="J9913" i="2"/>
  <c r="I9913" i="2"/>
  <c r="H9913" i="2"/>
  <c r="G9913" i="2"/>
  <c r="F9913" i="2"/>
  <c r="E9913" i="2"/>
  <c r="D9913" i="2"/>
  <c r="C9913" i="2"/>
  <c r="B9913" i="2"/>
  <c r="A9913" i="2"/>
  <c r="R9912" i="2"/>
  <c r="Q9912" i="2"/>
  <c r="N9912" i="2"/>
  <c r="M9912" i="2"/>
  <c r="J9912" i="2"/>
  <c r="I9912" i="2"/>
  <c r="H9912" i="2"/>
  <c r="G9912" i="2"/>
  <c r="F9912" i="2"/>
  <c r="E9912" i="2"/>
  <c r="D9912" i="2"/>
  <c r="C9912" i="2"/>
  <c r="B9912" i="2"/>
  <c r="A9912" i="2"/>
  <c r="U9911" i="2"/>
  <c r="N9911" i="2"/>
  <c r="M9911" i="2"/>
  <c r="J9911" i="2"/>
  <c r="I9911" i="2"/>
  <c r="H9911" i="2"/>
  <c r="G9911" i="2"/>
  <c r="F9911" i="2"/>
  <c r="E9911" i="2"/>
  <c r="D9911" i="2"/>
  <c r="C9911" i="2"/>
  <c r="B9911" i="2"/>
  <c r="A9911" i="2"/>
  <c r="U9910" i="2"/>
  <c r="N9910" i="2"/>
  <c r="M9910" i="2"/>
  <c r="J9910" i="2"/>
  <c r="I9910" i="2"/>
  <c r="H9910" i="2"/>
  <c r="G9910" i="2"/>
  <c r="F9910" i="2"/>
  <c r="E9910" i="2"/>
  <c r="D9910" i="2"/>
  <c r="C9910" i="2"/>
  <c r="B9910" i="2"/>
  <c r="A9910" i="2"/>
  <c r="Q9909" i="2"/>
  <c r="U9909" i="2" s="1"/>
  <c r="N9909" i="2"/>
  <c r="M9909" i="2"/>
  <c r="J9909" i="2"/>
  <c r="I9909" i="2"/>
  <c r="H9909" i="2"/>
  <c r="G9909" i="2"/>
  <c r="F9909" i="2"/>
  <c r="E9909" i="2"/>
  <c r="D9909" i="2"/>
  <c r="C9909" i="2"/>
  <c r="B9909" i="2"/>
  <c r="A9909" i="2"/>
  <c r="U9908" i="2"/>
  <c r="N9908" i="2"/>
  <c r="M9908" i="2"/>
  <c r="J9908" i="2"/>
  <c r="I9908" i="2"/>
  <c r="H9908" i="2"/>
  <c r="G9908" i="2"/>
  <c r="F9908" i="2"/>
  <c r="E9908" i="2"/>
  <c r="D9908" i="2"/>
  <c r="C9908" i="2"/>
  <c r="B9908" i="2"/>
  <c r="A9908" i="2"/>
  <c r="Q9907" i="2"/>
  <c r="U9907" i="2" s="1"/>
  <c r="N9907" i="2"/>
  <c r="M9907" i="2"/>
  <c r="J9907" i="2"/>
  <c r="I9907" i="2"/>
  <c r="H9907" i="2"/>
  <c r="G9907" i="2"/>
  <c r="F9907" i="2"/>
  <c r="E9907" i="2"/>
  <c r="D9907" i="2"/>
  <c r="C9907" i="2"/>
  <c r="B9907" i="2"/>
  <c r="A9907" i="2"/>
  <c r="U9906" i="2"/>
  <c r="N9906" i="2"/>
  <c r="M9906" i="2"/>
  <c r="J9906" i="2"/>
  <c r="I9906" i="2"/>
  <c r="H9906" i="2"/>
  <c r="G9906" i="2"/>
  <c r="F9906" i="2"/>
  <c r="E9906" i="2"/>
  <c r="D9906" i="2"/>
  <c r="C9906" i="2"/>
  <c r="B9906" i="2"/>
  <c r="A9906" i="2"/>
  <c r="U9905" i="2"/>
  <c r="N9905" i="2"/>
  <c r="M9905" i="2"/>
  <c r="J9905" i="2"/>
  <c r="I9905" i="2"/>
  <c r="H9905" i="2"/>
  <c r="G9905" i="2"/>
  <c r="F9905" i="2"/>
  <c r="E9905" i="2"/>
  <c r="D9905" i="2"/>
  <c r="C9905" i="2"/>
  <c r="B9905" i="2"/>
  <c r="A9905" i="2"/>
  <c r="R9904" i="2"/>
  <c r="Q9904" i="2"/>
  <c r="N9904" i="2"/>
  <c r="M9904" i="2"/>
  <c r="J9904" i="2"/>
  <c r="I9904" i="2"/>
  <c r="H9904" i="2"/>
  <c r="G9904" i="2"/>
  <c r="F9904" i="2"/>
  <c r="E9904" i="2"/>
  <c r="D9904" i="2"/>
  <c r="C9904" i="2"/>
  <c r="B9904" i="2"/>
  <c r="A9904" i="2"/>
  <c r="R9903" i="2"/>
  <c r="Q9903" i="2"/>
  <c r="N9903" i="2"/>
  <c r="M9903" i="2"/>
  <c r="J9903" i="2"/>
  <c r="I9903" i="2"/>
  <c r="H9903" i="2"/>
  <c r="G9903" i="2"/>
  <c r="F9903" i="2"/>
  <c r="E9903" i="2"/>
  <c r="D9903" i="2"/>
  <c r="C9903" i="2"/>
  <c r="B9903" i="2"/>
  <c r="A9903" i="2"/>
  <c r="R9902" i="2"/>
  <c r="Q9902" i="2"/>
  <c r="N9902" i="2"/>
  <c r="M9902" i="2"/>
  <c r="J9902" i="2"/>
  <c r="I9902" i="2"/>
  <c r="H9902" i="2"/>
  <c r="G9902" i="2"/>
  <c r="F9902" i="2"/>
  <c r="E9902" i="2"/>
  <c r="D9902" i="2"/>
  <c r="C9902" i="2"/>
  <c r="B9902" i="2"/>
  <c r="A9902" i="2"/>
  <c r="R9901" i="2"/>
  <c r="Q9901" i="2"/>
  <c r="N9901" i="2"/>
  <c r="M9901" i="2"/>
  <c r="J9901" i="2"/>
  <c r="I9901" i="2"/>
  <c r="H9901" i="2"/>
  <c r="G9901" i="2"/>
  <c r="F9901" i="2"/>
  <c r="E9901" i="2"/>
  <c r="D9901" i="2"/>
  <c r="C9901" i="2"/>
  <c r="B9901" i="2"/>
  <c r="A9901" i="2"/>
  <c r="Q9900" i="2"/>
  <c r="U9900" i="2" s="1"/>
  <c r="N9900" i="2"/>
  <c r="M9900" i="2"/>
  <c r="J9900" i="2"/>
  <c r="I9900" i="2"/>
  <c r="H9900" i="2"/>
  <c r="G9900" i="2"/>
  <c r="F9900" i="2"/>
  <c r="E9900" i="2"/>
  <c r="D9900" i="2"/>
  <c r="C9900" i="2"/>
  <c r="B9900" i="2"/>
  <c r="A9900" i="2"/>
  <c r="R9899" i="2"/>
  <c r="Q9899" i="2"/>
  <c r="N9899" i="2"/>
  <c r="M9899" i="2"/>
  <c r="J9899" i="2"/>
  <c r="I9899" i="2"/>
  <c r="H9899" i="2"/>
  <c r="G9899" i="2"/>
  <c r="F9899" i="2"/>
  <c r="E9899" i="2"/>
  <c r="D9899" i="2"/>
  <c r="C9899" i="2"/>
  <c r="B9899" i="2"/>
  <c r="A9899" i="2"/>
  <c r="R9898" i="2"/>
  <c r="Q9898" i="2"/>
  <c r="N9898" i="2"/>
  <c r="M9898" i="2"/>
  <c r="J9898" i="2"/>
  <c r="I9898" i="2"/>
  <c r="H9898" i="2"/>
  <c r="G9898" i="2"/>
  <c r="F9898" i="2"/>
  <c r="E9898" i="2"/>
  <c r="D9898" i="2"/>
  <c r="C9898" i="2"/>
  <c r="B9898" i="2"/>
  <c r="A9898" i="2"/>
  <c r="U9897" i="2"/>
  <c r="N9897" i="2"/>
  <c r="M9897" i="2"/>
  <c r="J9897" i="2"/>
  <c r="I9897" i="2"/>
  <c r="H9897" i="2"/>
  <c r="G9897" i="2"/>
  <c r="F9897" i="2"/>
  <c r="E9897" i="2"/>
  <c r="D9897" i="2"/>
  <c r="C9897" i="2"/>
  <c r="B9897" i="2"/>
  <c r="A9897" i="2"/>
  <c r="U9896" i="2"/>
  <c r="N9896" i="2"/>
  <c r="M9896" i="2"/>
  <c r="J9896" i="2"/>
  <c r="I9896" i="2"/>
  <c r="H9896" i="2"/>
  <c r="G9896" i="2"/>
  <c r="F9896" i="2"/>
  <c r="E9896" i="2"/>
  <c r="D9896" i="2"/>
  <c r="C9896" i="2"/>
  <c r="B9896" i="2"/>
  <c r="A9896" i="2"/>
  <c r="R9895" i="2"/>
  <c r="Q9895" i="2"/>
  <c r="N9895" i="2"/>
  <c r="M9895" i="2"/>
  <c r="J9895" i="2"/>
  <c r="I9895" i="2"/>
  <c r="H9895" i="2"/>
  <c r="G9895" i="2"/>
  <c r="F9895" i="2"/>
  <c r="E9895" i="2"/>
  <c r="D9895" i="2"/>
  <c r="C9895" i="2"/>
  <c r="B9895" i="2"/>
  <c r="A9895" i="2"/>
  <c r="R9894" i="2"/>
  <c r="Q9894" i="2"/>
  <c r="N9894" i="2"/>
  <c r="M9894" i="2"/>
  <c r="J9894" i="2"/>
  <c r="I9894" i="2"/>
  <c r="H9894" i="2"/>
  <c r="G9894" i="2"/>
  <c r="F9894" i="2"/>
  <c r="E9894" i="2"/>
  <c r="D9894" i="2"/>
  <c r="C9894" i="2"/>
  <c r="B9894" i="2"/>
  <c r="A9894" i="2"/>
  <c r="R9893" i="2"/>
  <c r="Q9893" i="2"/>
  <c r="N9893" i="2"/>
  <c r="M9893" i="2"/>
  <c r="J9893" i="2"/>
  <c r="I9893" i="2"/>
  <c r="H9893" i="2"/>
  <c r="G9893" i="2"/>
  <c r="F9893" i="2"/>
  <c r="E9893" i="2"/>
  <c r="D9893" i="2"/>
  <c r="C9893" i="2"/>
  <c r="B9893" i="2"/>
  <c r="A9893" i="2"/>
  <c r="Q9892" i="2"/>
  <c r="U9892" i="2" s="1"/>
  <c r="N9892" i="2"/>
  <c r="M9892" i="2"/>
  <c r="J9892" i="2"/>
  <c r="I9892" i="2"/>
  <c r="H9892" i="2"/>
  <c r="G9892" i="2"/>
  <c r="F9892" i="2"/>
  <c r="E9892" i="2"/>
  <c r="D9892" i="2"/>
  <c r="C9892" i="2"/>
  <c r="B9892" i="2"/>
  <c r="A9892" i="2"/>
  <c r="U9891" i="2"/>
  <c r="N9891" i="2"/>
  <c r="M9891" i="2"/>
  <c r="J9891" i="2"/>
  <c r="I9891" i="2"/>
  <c r="H9891" i="2"/>
  <c r="G9891" i="2"/>
  <c r="F9891" i="2"/>
  <c r="E9891" i="2"/>
  <c r="D9891" i="2"/>
  <c r="C9891" i="2"/>
  <c r="B9891" i="2"/>
  <c r="A9891" i="2"/>
  <c r="Q9890" i="2"/>
  <c r="U9890" i="2" s="1"/>
  <c r="N9890" i="2"/>
  <c r="M9890" i="2"/>
  <c r="J9890" i="2"/>
  <c r="I9890" i="2"/>
  <c r="H9890" i="2"/>
  <c r="G9890" i="2"/>
  <c r="F9890" i="2"/>
  <c r="E9890" i="2"/>
  <c r="D9890" i="2"/>
  <c r="C9890" i="2"/>
  <c r="B9890" i="2"/>
  <c r="A9890" i="2"/>
  <c r="U9889" i="2"/>
  <c r="N9889" i="2"/>
  <c r="M9889" i="2"/>
  <c r="J9889" i="2"/>
  <c r="I9889" i="2"/>
  <c r="H9889" i="2"/>
  <c r="G9889" i="2"/>
  <c r="F9889" i="2"/>
  <c r="E9889" i="2"/>
  <c r="D9889" i="2"/>
  <c r="C9889" i="2"/>
  <c r="B9889" i="2"/>
  <c r="A9889" i="2"/>
  <c r="U9888" i="2"/>
  <c r="N9888" i="2"/>
  <c r="M9888" i="2"/>
  <c r="J9888" i="2"/>
  <c r="I9888" i="2"/>
  <c r="H9888" i="2"/>
  <c r="G9888" i="2"/>
  <c r="F9888" i="2"/>
  <c r="E9888" i="2"/>
  <c r="D9888" i="2"/>
  <c r="C9888" i="2"/>
  <c r="B9888" i="2"/>
  <c r="A9888" i="2"/>
  <c r="Q9887" i="2"/>
  <c r="U9887" i="2" s="1"/>
  <c r="N9887" i="2"/>
  <c r="M9887" i="2"/>
  <c r="J9887" i="2"/>
  <c r="I9887" i="2"/>
  <c r="H9887" i="2"/>
  <c r="G9887" i="2"/>
  <c r="F9887" i="2"/>
  <c r="E9887" i="2"/>
  <c r="D9887" i="2"/>
  <c r="C9887" i="2"/>
  <c r="B9887" i="2"/>
  <c r="A9887" i="2"/>
  <c r="U9886" i="2"/>
  <c r="N9886" i="2"/>
  <c r="M9886" i="2"/>
  <c r="J9886" i="2"/>
  <c r="I9886" i="2"/>
  <c r="H9886" i="2"/>
  <c r="G9886" i="2"/>
  <c r="F9886" i="2"/>
  <c r="E9886" i="2"/>
  <c r="D9886" i="2"/>
  <c r="C9886" i="2"/>
  <c r="B9886" i="2"/>
  <c r="A9886" i="2"/>
  <c r="U9885" i="2"/>
  <c r="N9885" i="2"/>
  <c r="M9885" i="2"/>
  <c r="J9885" i="2"/>
  <c r="I9885" i="2"/>
  <c r="H9885" i="2"/>
  <c r="G9885" i="2"/>
  <c r="F9885" i="2"/>
  <c r="E9885" i="2"/>
  <c r="D9885" i="2"/>
  <c r="C9885" i="2"/>
  <c r="B9885" i="2"/>
  <c r="A9885" i="2"/>
  <c r="U9884" i="2"/>
  <c r="N9884" i="2"/>
  <c r="M9884" i="2"/>
  <c r="J9884" i="2"/>
  <c r="I9884" i="2"/>
  <c r="H9884" i="2"/>
  <c r="G9884" i="2"/>
  <c r="F9884" i="2"/>
  <c r="E9884" i="2"/>
  <c r="D9884" i="2"/>
  <c r="C9884" i="2"/>
  <c r="B9884" i="2"/>
  <c r="A9884" i="2"/>
  <c r="U9883" i="2"/>
  <c r="N9883" i="2"/>
  <c r="M9883" i="2"/>
  <c r="J9883" i="2"/>
  <c r="I9883" i="2"/>
  <c r="H9883" i="2"/>
  <c r="G9883" i="2"/>
  <c r="F9883" i="2"/>
  <c r="E9883" i="2"/>
  <c r="D9883" i="2"/>
  <c r="C9883" i="2"/>
  <c r="B9883" i="2"/>
  <c r="A9883" i="2"/>
  <c r="Q9882" i="2"/>
  <c r="U9882" i="2" s="1"/>
  <c r="N9882" i="2"/>
  <c r="M9882" i="2"/>
  <c r="J9882" i="2"/>
  <c r="I9882" i="2"/>
  <c r="H9882" i="2"/>
  <c r="G9882" i="2"/>
  <c r="F9882" i="2"/>
  <c r="E9882" i="2"/>
  <c r="D9882" i="2"/>
  <c r="C9882" i="2"/>
  <c r="B9882" i="2"/>
  <c r="A9882" i="2"/>
  <c r="Q9881" i="2"/>
  <c r="U9881" i="2" s="1"/>
  <c r="N9881" i="2"/>
  <c r="M9881" i="2"/>
  <c r="J9881" i="2"/>
  <c r="I9881" i="2"/>
  <c r="H9881" i="2"/>
  <c r="G9881" i="2"/>
  <c r="F9881" i="2"/>
  <c r="E9881" i="2"/>
  <c r="D9881" i="2"/>
  <c r="C9881" i="2"/>
  <c r="B9881" i="2"/>
  <c r="A9881" i="2"/>
  <c r="Q9880" i="2"/>
  <c r="U9880" i="2" s="1"/>
  <c r="N9880" i="2"/>
  <c r="M9880" i="2"/>
  <c r="J9880" i="2"/>
  <c r="I9880" i="2"/>
  <c r="H9880" i="2"/>
  <c r="G9880" i="2"/>
  <c r="F9880" i="2"/>
  <c r="E9880" i="2"/>
  <c r="D9880" i="2"/>
  <c r="C9880" i="2"/>
  <c r="B9880" i="2"/>
  <c r="A9880" i="2"/>
  <c r="U9879" i="2"/>
  <c r="N9879" i="2"/>
  <c r="M9879" i="2"/>
  <c r="J9879" i="2"/>
  <c r="I9879" i="2"/>
  <c r="H9879" i="2"/>
  <c r="G9879" i="2"/>
  <c r="F9879" i="2"/>
  <c r="E9879" i="2"/>
  <c r="D9879" i="2"/>
  <c r="C9879" i="2"/>
  <c r="B9879" i="2"/>
  <c r="A9879" i="2"/>
  <c r="U9878" i="2"/>
  <c r="N9878" i="2"/>
  <c r="M9878" i="2"/>
  <c r="J9878" i="2"/>
  <c r="I9878" i="2"/>
  <c r="H9878" i="2"/>
  <c r="G9878" i="2"/>
  <c r="F9878" i="2"/>
  <c r="E9878" i="2"/>
  <c r="D9878" i="2"/>
  <c r="C9878" i="2"/>
  <c r="B9878" i="2"/>
  <c r="A9878" i="2"/>
  <c r="Q9877" i="2"/>
  <c r="U9877" i="2" s="1"/>
  <c r="N9877" i="2"/>
  <c r="M9877" i="2"/>
  <c r="J9877" i="2"/>
  <c r="I9877" i="2"/>
  <c r="H9877" i="2"/>
  <c r="G9877" i="2"/>
  <c r="F9877" i="2"/>
  <c r="E9877" i="2"/>
  <c r="D9877" i="2"/>
  <c r="C9877" i="2"/>
  <c r="B9877" i="2"/>
  <c r="A9877" i="2"/>
  <c r="U9876" i="2"/>
  <c r="N9876" i="2"/>
  <c r="M9876" i="2"/>
  <c r="J9876" i="2"/>
  <c r="I9876" i="2"/>
  <c r="H9876" i="2"/>
  <c r="G9876" i="2"/>
  <c r="F9876" i="2"/>
  <c r="E9876" i="2"/>
  <c r="D9876" i="2"/>
  <c r="C9876" i="2"/>
  <c r="B9876" i="2"/>
  <c r="A9876" i="2"/>
  <c r="U9875" i="2"/>
  <c r="N9875" i="2"/>
  <c r="M9875" i="2"/>
  <c r="J9875" i="2"/>
  <c r="I9875" i="2"/>
  <c r="H9875" i="2"/>
  <c r="G9875" i="2"/>
  <c r="F9875" i="2"/>
  <c r="E9875" i="2"/>
  <c r="D9875" i="2"/>
  <c r="C9875" i="2"/>
  <c r="B9875" i="2"/>
  <c r="A9875" i="2"/>
  <c r="U9874" i="2"/>
  <c r="N9874" i="2"/>
  <c r="M9874" i="2"/>
  <c r="J9874" i="2"/>
  <c r="I9874" i="2"/>
  <c r="H9874" i="2"/>
  <c r="G9874" i="2"/>
  <c r="F9874" i="2"/>
  <c r="E9874" i="2"/>
  <c r="D9874" i="2"/>
  <c r="C9874" i="2"/>
  <c r="B9874" i="2"/>
  <c r="A9874" i="2"/>
  <c r="Q9873" i="2"/>
  <c r="U9873" i="2" s="1"/>
  <c r="N9873" i="2"/>
  <c r="M9873" i="2"/>
  <c r="J9873" i="2"/>
  <c r="I9873" i="2"/>
  <c r="H9873" i="2"/>
  <c r="G9873" i="2"/>
  <c r="F9873" i="2"/>
  <c r="E9873" i="2"/>
  <c r="D9873" i="2"/>
  <c r="C9873" i="2"/>
  <c r="B9873" i="2"/>
  <c r="A9873" i="2"/>
  <c r="U9872" i="2"/>
  <c r="N9872" i="2"/>
  <c r="M9872" i="2"/>
  <c r="J9872" i="2"/>
  <c r="I9872" i="2"/>
  <c r="H9872" i="2"/>
  <c r="G9872" i="2"/>
  <c r="F9872" i="2"/>
  <c r="E9872" i="2"/>
  <c r="D9872" i="2"/>
  <c r="C9872" i="2"/>
  <c r="B9872" i="2"/>
  <c r="A9872" i="2"/>
  <c r="U9871" i="2"/>
  <c r="N9871" i="2"/>
  <c r="M9871" i="2"/>
  <c r="J9871" i="2"/>
  <c r="I9871" i="2"/>
  <c r="H9871" i="2"/>
  <c r="G9871" i="2"/>
  <c r="F9871" i="2"/>
  <c r="E9871" i="2"/>
  <c r="D9871" i="2"/>
  <c r="C9871" i="2"/>
  <c r="B9871" i="2"/>
  <c r="A9871" i="2"/>
  <c r="U9870" i="2"/>
  <c r="N9870" i="2"/>
  <c r="M9870" i="2"/>
  <c r="J9870" i="2"/>
  <c r="I9870" i="2"/>
  <c r="H9870" i="2"/>
  <c r="G9870" i="2"/>
  <c r="F9870" i="2"/>
  <c r="E9870" i="2"/>
  <c r="D9870" i="2"/>
  <c r="C9870" i="2"/>
  <c r="B9870" i="2"/>
  <c r="A9870" i="2"/>
  <c r="Q9869" i="2"/>
  <c r="U9869" i="2" s="1"/>
  <c r="N9869" i="2"/>
  <c r="M9869" i="2"/>
  <c r="J9869" i="2"/>
  <c r="I9869" i="2"/>
  <c r="H9869" i="2"/>
  <c r="G9869" i="2"/>
  <c r="F9869" i="2"/>
  <c r="E9869" i="2"/>
  <c r="D9869" i="2"/>
  <c r="C9869" i="2"/>
  <c r="B9869" i="2"/>
  <c r="A9869" i="2"/>
  <c r="U9868" i="2"/>
  <c r="N9868" i="2"/>
  <c r="M9868" i="2"/>
  <c r="J9868" i="2"/>
  <c r="I9868" i="2"/>
  <c r="H9868" i="2"/>
  <c r="G9868" i="2"/>
  <c r="F9868" i="2"/>
  <c r="E9868" i="2"/>
  <c r="D9868" i="2"/>
  <c r="C9868" i="2"/>
  <c r="B9868" i="2"/>
  <c r="A9868" i="2"/>
  <c r="U9867" i="2"/>
  <c r="N9867" i="2"/>
  <c r="M9867" i="2"/>
  <c r="J9867" i="2"/>
  <c r="I9867" i="2"/>
  <c r="H9867" i="2"/>
  <c r="G9867" i="2"/>
  <c r="F9867" i="2"/>
  <c r="E9867" i="2"/>
  <c r="D9867" i="2"/>
  <c r="C9867" i="2"/>
  <c r="B9867" i="2"/>
  <c r="A9867" i="2"/>
  <c r="Q9866" i="2"/>
  <c r="U9866" i="2" s="1"/>
  <c r="N9866" i="2"/>
  <c r="M9866" i="2"/>
  <c r="J9866" i="2"/>
  <c r="I9866" i="2"/>
  <c r="H9866" i="2"/>
  <c r="G9866" i="2"/>
  <c r="F9866" i="2"/>
  <c r="E9866" i="2"/>
  <c r="D9866" i="2"/>
  <c r="C9866" i="2"/>
  <c r="B9866" i="2"/>
  <c r="A9866" i="2"/>
  <c r="U9865" i="2"/>
  <c r="N9865" i="2"/>
  <c r="M9865" i="2"/>
  <c r="J9865" i="2"/>
  <c r="I9865" i="2"/>
  <c r="H9865" i="2"/>
  <c r="G9865" i="2"/>
  <c r="F9865" i="2"/>
  <c r="E9865" i="2"/>
  <c r="D9865" i="2"/>
  <c r="C9865" i="2"/>
  <c r="B9865" i="2"/>
  <c r="A9865" i="2"/>
  <c r="U9864" i="2"/>
  <c r="N9864" i="2"/>
  <c r="M9864" i="2"/>
  <c r="J9864" i="2"/>
  <c r="I9864" i="2"/>
  <c r="H9864" i="2"/>
  <c r="G9864" i="2"/>
  <c r="F9864" i="2"/>
  <c r="E9864" i="2"/>
  <c r="D9864" i="2"/>
  <c r="C9864" i="2"/>
  <c r="B9864" i="2"/>
  <c r="A9864" i="2"/>
  <c r="U9863" i="2"/>
  <c r="N9863" i="2"/>
  <c r="M9863" i="2"/>
  <c r="J9863" i="2"/>
  <c r="I9863" i="2"/>
  <c r="H9863" i="2"/>
  <c r="G9863" i="2"/>
  <c r="F9863" i="2"/>
  <c r="E9863" i="2"/>
  <c r="D9863" i="2"/>
  <c r="C9863" i="2"/>
  <c r="B9863" i="2"/>
  <c r="A9863" i="2"/>
  <c r="U9862" i="2"/>
  <c r="N9862" i="2"/>
  <c r="M9862" i="2"/>
  <c r="J9862" i="2"/>
  <c r="I9862" i="2"/>
  <c r="H9862" i="2"/>
  <c r="G9862" i="2"/>
  <c r="F9862" i="2"/>
  <c r="E9862" i="2"/>
  <c r="D9862" i="2"/>
  <c r="C9862" i="2"/>
  <c r="B9862" i="2"/>
  <c r="A9862" i="2"/>
  <c r="U9861" i="2"/>
  <c r="N9861" i="2"/>
  <c r="M9861" i="2"/>
  <c r="J9861" i="2"/>
  <c r="I9861" i="2"/>
  <c r="H9861" i="2"/>
  <c r="G9861" i="2"/>
  <c r="F9861" i="2"/>
  <c r="E9861" i="2"/>
  <c r="D9861" i="2"/>
  <c r="C9861" i="2"/>
  <c r="B9861" i="2"/>
  <c r="A9861" i="2"/>
  <c r="U9860" i="2"/>
  <c r="N9860" i="2"/>
  <c r="M9860" i="2"/>
  <c r="J9860" i="2"/>
  <c r="I9860" i="2"/>
  <c r="H9860" i="2"/>
  <c r="G9860" i="2"/>
  <c r="F9860" i="2"/>
  <c r="E9860" i="2"/>
  <c r="D9860" i="2"/>
  <c r="C9860" i="2"/>
  <c r="B9860" i="2"/>
  <c r="A9860" i="2"/>
  <c r="U9859" i="2"/>
  <c r="N9859" i="2"/>
  <c r="M9859" i="2"/>
  <c r="J9859" i="2"/>
  <c r="I9859" i="2"/>
  <c r="H9859" i="2"/>
  <c r="G9859" i="2"/>
  <c r="F9859" i="2"/>
  <c r="E9859" i="2"/>
  <c r="D9859" i="2"/>
  <c r="C9859" i="2"/>
  <c r="B9859" i="2"/>
  <c r="A9859" i="2"/>
  <c r="U9858" i="2"/>
  <c r="N9858" i="2"/>
  <c r="M9858" i="2"/>
  <c r="J9858" i="2"/>
  <c r="I9858" i="2"/>
  <c r="H9858" i="2"/>
  <c r="G9858" i="2"/>
  <c r="F9858" i="2"/>
  <c r="E9858" i="2"/>
  <c r="D9858" i="2"/>
  <c r="C9858" i="2"/>
  <c r="B9858" i="2"/>
  <c r="A9858" i="2"/>
  <c r="U9857" i="2"/>
  <c r="N9857" i="2"/>
  <c r="M9857" i="2"/>
  <c r="J9857" i="2"/>
  <c r="I9857" i="2"/>
  <c r="H9857" i="2"/>
  <c r="G9857" i="2"/>
  <c r="F9857" i="2"/>
  <c r="E9857" i="2"/>
  <c r="D9857" i="2"/>
  <c r="C9857" i="2"/>
  <c r="B9857" i="2"/>
  <c r="A9857" i="2"/>
  <c r="U9856" i="2"/>
  <c r="N9856" i="2"/>
  <c r="M9856" i="2"/>
  <c r="J9856" i="2"/>
  <c r="I9856" i="2"/>
  <c r="H9856" i="2"/>
  <c r="G9856" i="2"/>
  <c r="F9856" i="2"/>
  <c r="E9856" i="2"/>
  <c r="D9856" i="2"/>
  <c r="C9856" i="2"/>
  <c r="B9856" i="2"/>
  <c r="A9856" i="2"/>
  <c r="U9855" i="2"/>
  <c r="N9855" i="2"/>
  <c r="M9855" i="2"/>
  <c r="J9855" i="2"/>
  <c r="I9855" i="2"/>
  <c r="H9855" i="2"/>
  <c r="G9855" i="2"/>
  <c r="F9855" i="2"/>
  <c r="E9855" i="2"/>
  <c r="D9855" i="2"/>
  <c r="C9855" i="2"/>
  <c r="B9855" i="2"/>
  <c r="A9855" i="2"/>
  <c r="U9854" i="2"/>
  <c r="N9854" i="2"/>
  <c r="M9854" i="2"/>
  <c r="J9854" i="2"/>
  <c r="I9854" i="2"/>
  <c r="H9854" i="2"/>
  <c r="G9854" i="2"/>
  <c r="F9854" i="2"/>
  <c r="E9854" i="2"/>
  <c r="D9854" i="2"/>
  <c r="C9854" i="2"/>
  <c r="B9854" i="2"/>
  <c r="A9854" i="2"/>
  <c r="U9853" i="2"/>
  <c r="N9853" i="2"/>
  <c r="M9853" i="2"/>
  <c r="J9853" i="2"/>
  <c r="I9853" i="2"/>
  <c r="H9853" i="2"/>
  <c r="G9853" i="2"/>
  <c r="F9853" i="2"/>
  <c r="E9853" i="2"/>
  <c r="D9853" i="2"/>
  <c r="C9853" i="2"/>
  <c r="B9853" i="2"/>
  <c r="A9853" i="2"/>
  <c r="U9852" i="2"/>
  <c r="N9852" i="2"/>
  <c r="M9852" i="2"/>
  <c r="J9852" i="2"/>
  <c r="I9852" i="2"/>
  <c r="H9852" i="2"/>
  <c r="G9852" i="2"/>
  <c r="F9852" i="2"/>
  <c r="E9852" i="2"/>
  <c r="D9852" i="2"/>
  <c r="C9852" i="2"/>
  <c r="B9852" i="2"/>
  <c r="A9852" i="2"/>
  <c r="U9851" i="2"/>
  <c r="N9851" i="2"/>
  <c r="M9851" i="2"/>
  <c r="J9851" i="2"/>
  <c r="I9851" i="2"/>
  <c r="H9851" i="2"/>
  <c r="G9851" i="2"/>
  <c r="F9851" i="2"/>
  <c r="E9851" i="2"/>
  <c r="D9851" i="2"/>
  <c r="C9851" i="2"/>
  <c r="B9851" i="2"/>
  <c r="A9851" i="2"/>
  <c r="U9850" i="2"/>
  <c r="N9850" i="2"/>
  <c r="M9850" i="2"/>
  <c r="J9850" i="2"/>
  <c r="I9850" i="2"/>
  <c r="H9850" i="2"/>
  <c r="G9850" i="2"/>
  <c r="F9850" i="2"/>
  <c r="E9850" i="2"/>
  <c r="D9850" i="2"/>
  <c r="C9850" i="2"/>
  <c r="B9850" i="2"/>
  <c r="A9850" i="2"/>
  <c r="U9849" i="2"/>
  <c r="N9849" i="2"/>
  <c r="M9849" i="2"/>
  <c r="J9849" i="2"/>
  <c r="I9849" i="2"/>
  <c r="H9849" i="2"/>
  <c r="G9849" i="2"/>
  <c r="F9849" i="2"/>
  <c r="E9849" i="2"/>
  <c r="D9849" i="2"/>
  <c r="C9849" i="2"/>
  <c r="B9849" i="2"/>
  <c r="A9849" i="2"/>
  <c r="U9848" i="2"/>
  <c r="N9848" i="2"/>
  <c r="M9848" i="2"/>
  <c r="J9848" i="2"/>
  <c r="I9848" i="2"/>
  <c r="H9848" i="2"/>
  <c r="G9848" i="2"/>
  <c r="F9848" i="2"/>
  <c r="E9848" i="2"/>
  <c r="D9848" i="2"/>
  <c r="C9848" i="2"/>
  <c r="B9848" i="2"/>
  <c r="A9848" i="2"/>
  <c r="U9847" i="2"/>
  <c r="N9847" i="2"/>
  <c r="M9847" i="2"/>
  <c r="J9847" i="2"/>
  <c r="I9847" i="2"/>
  <c r="H9847" i="2"/>
  <c r="G9847" i="2"/>
  <c r="F9847" i="2"/>
  <c r="E9847" i="2"/>
  <c r="D9847" i="2"/>
  <c r="C9847" i="2"/>
  <c r="B9847" i="2"/>
  <c r="A9847" i="2"/>
  <c r="Q9846" i="2"/>
  <c r="U9846" i="2" s="1"/>
  <c r="N9846" i="2"/>
  <c r="M9846" i="2"/>
  <c r="J9846" i="2"/>
  <c r="I9846" i="2"/>
  <c r="H9846" i="2"/>
  <c r="G9846" i="2"/>
  <c r="F9846" i="2"/>
  <c r="E9846" i="2"/>
  <c r="D9846" i="2"/>
  <c r="C9846" i="2"/>
  <c r="B9846" i="2"/>
  <c r="A9846" i="2"/>
  <c r="Q9845" i="2"/>
  <c r="U9845" i="2" s="1"/>
  <c r="N9845" i="2"/>
  <c r="M9845" i="2"/>
  <c r="J9845" i="2"/>
  <c r="I9845" i="2"/>
  <c r="H9845" i="2"/>
  <c r="G9845" i="2"/>
  <c r="F9845" i="2"/>
  <c r="E9845" i="2"/>
  <c r="D9845" i="2"/>
  <c r="C9845" i="2"/>
  <c r="B9845" i="2"/>
  <c r="A9845" i="2"/>
  <c r="U9844" i="2"/>
  <c r="N9844" i="2"/>
  <c r="M9844" i="2"/>
  <c r="J9844" i="2"/>
  <c r="I9844" i="2"/>
  <c r="H9844" i="2"/>
  <c r="G9844" i="2"/>
  <c r="F9844" i="2"/>
  <c r="E9844" i="2"/>
  <c r="D9844" i="2"/>
  <c r="C9844" i="2"/>
  <c r="B9844" i="2"/>
  <c r="A9844" i="2"/>
  <c r="U9843" i="2"/>
  <c r="N9843" i="2"/>
  <c r="M9843" i="2"/>
  <c r="J9843" i="2"/>
  <c r="I9843" i="2"/>
  <c r="H9843" i="2"/>
  <c r="G9843" i="2"/>
  <c r="F9843" i="2"/>
  <c r="E9843" i="2"/>
  <c r="D9843" i="2"/>
  <c r="C9843" i="2"/>
  <c r="B9843" i="2"/>
  <c r="A9843" i="2"/>
  <c r="U9842" i="2"/>
  <c r="N9842" i="2"/>
  <c r="M9842" i="2"/>
  <c r="J9842" i="2"/>
  <c r="I9842" i="2"/>
  <c r="H9842" i="2"/>
  <c r="G9842" i="2"/>
  <c r="F9842" i="2"/>
  <c r="E9842" i="2"/>
  <c r="D9842" i="2"/>
  <c r="C9842" i="2"/>
  <c r="B9842" i="2"/>
  <c r="A9842" i="2"/>
  <c r="U9841" i="2"/>
  <c r="N9841" i="2"/>
  <c r="M9841" i="2"/>
  <c r="J9841" i="2"/>
  <c r="I9841" i="2"/>
  <c r="H9841" i="2"/>
  <c r="G9841" i="2"/>
  <c r="F9841" i="2"/>
  <c r="E9841" i="2"/>
  <c r="D9841" i="2"/>
  <c r="C9841" i="2"/>
  <c r="B9841" i="2"/>
  <c r="A9841" i="2"/>
  <c r="U9840" i="2"/>
  <c r="N9840" i="2"/>
  <c r="M9840" i="2"/>
  <c r="J9840" i="2"/>
  <c r="I9840" i="2"/>
  <c r="H9840" i="2"/>
  <c r="G9840" i="2"/>
  <c r="F9840" i="2"/>
  <c r="E9840" i="2"/>
  <c r="D9840" i="2"/>
  <c r="C9840" i="2"/>
  <c r="B9840" i="2"/>
  <c r="A9840" i="2"/>
  <c r="U9839" i="2"/>
  <c r="N9839" i="2"/>
  <c r="M9839" i="2"/>
  <c r="J9839" i="2"/>
  <c r="I9839" i="2"/>
  <c r="H9839" i="2"/>
  <c r="G9839" i="2"/>
  <c r="F9839" i="2"/>
  <c r="E9839" i="2"/>
  <c r="D9839" i="2"/>
  <c r="C9839" i="2"/>
  <c r="B9839" i="2"/>
  <c r="A9839" i="2"/>
  <c r="U9838" i="2"/>
  <c r="N9838" i="2"/>
  <c r="M9838" i="2"/>
  <c r="J9838" i="2"/>
  <c r="I9838" i="2"/>
  <c r="H9838" i="2"/>
  <c r="G9838" i="2"/>
  <c r="F9838" i="2"/>
  <c r="E9838" i="2"/>
  <c r="D9838" i="2"/>
  <c r="C9838" i="2"/>
  <c r="B9838" i="2"/>
  <c r="A9838" i="2"/>
  <c r="U9837" i="2"/>
  <c r="N9837" i="2"/>
  <c r="M9837" i="2"/>
  <c r="J9837" i="2"/>
  <c r="I9837" i="2"/>
  <c r="H9837" i="2"/>
  <c r="G9837" i="2"/>
  <c r="F9837" i="2"/>
  <c r="E9837" i="2"/>
  <c r="D9837" i="2"/>
  <c r="C9837" i="2"/>
  <c r="B9837" i="2"/>
  <c r="A9837" i="2"/>
  <c r="U9836" i="2"/>
  <c r="N9836" i="2"/>
  <c r="M9836" i="2"/>
  <c r="J9836" i="2"/>
  <c r="I9836" i="2"/>
  <c r="H9836" i="2"/>
  <c r="G9836" i="2"/>
  <c r="F9836" i="2"/>
  <c r="E9836" i="2"/>
  <c r="D9836" i="2"/>
  <c r="C9836" i="2"/>
  <c r="B9836" i="2"/>
  <c r="A9836" i="2"/>
  <c r="U9835" i="2"/>
  <c r="N9835" i="2"/>
  <c r="M9835" i="2"/>
  <c r="J9835" i="2"/>
  <c r="I9835" i="2"/>
  <c r="H9835" i="2"/>
  <c r="G9835" i="2"/>
  <c r="F9835" i="2"/>
  <c r="E9835" i="2"/>
  <c r="D9835" i="2"/>
  <c r="C9835" i="2"/>
  <c r="B9835" i="2"/>
  <c r="A9835" i="2"/>
  <c r="U9834" i="2"/>
  <c r="N9834" i="2"/>
  <c r="M9834" i="2"/>
  <c r="J9834" i="2"/>
  <c r="I9834" i="2"/>
  <c r="H9834" i="2"/>
  <c r="G9834" i="2"/>
  <c r="F9834" i="2"/>
  <c r="E9834" i="2"/>
  <c r="D9834" i="2"/>
  <c r="C9834" i="2"/>
  <c r="B9834" i="2"/>
  <c r="A9834" i="2"/>
  <c r="U9833" i="2"/>
  <c r="N9833" i="2"/>
  <c r="M9833" i="2"/>
  <c r="J9833" i="2"/>
  <c r="I9833" i="2"/>
  <c r="H9833" i="2"/>
  <c r="G9833" i="2"/>
  <c r="F9833" i="2"/>
  <c r="E9833" i="2"/>
  <c r="D9833" i="2"/>
  <c r="C9833" i="2"/>
  <c r="B9833" i="2"/>
  <c r="A9833" i="2"/>
  <c r="U9832" i="2"/>
  <c r="N9832" i="2"/>
  <c r="M9832" i="2"/>
  <c r="J9832" i="2"/>
  <c r="I9832" i="2"/>
  <c r="H9832" i="2"/>
  <c r="G9832" i="2"/>
  <c r="F9832" i="2"/>
  <c r="E9832" i="2"/>
  <c r="D9832" i="2"/>
  <c r="C9832" i="2"/>
  <c r="B9832" i="2"/>
  <c r="A9832" i="2"/>
  <c r="U9831" i="2"/>
  <c r="N9831" i="2"/>
  <c r="M9831" i="2"/>
  <c r="J9831" i="2"/>
  <c r="I9831" i="2"/>
  <c r="H9831" i="2"/>
  <c r="G9831" i="2"/>
  <c r="F9831" i="2"/>
  <c r="E9831" i="2"/>
  <c r="D9831" i="2"/>
  <c r="C9831" i="2"/>
  <c r="B9831" i="2"/>
  <c r="A9831" i="2"/>
  <c r="U9830" i="2"/>
  <c r="N9830" i="2"/>
  <c r="M9830" i="2"/>
  <c r="J9830" i="2"/>
  <c r="I9830" i="2"/>
  <c r="H9830" i="2"/>
  <c r="G9830" i="2"/>
  <c r="F9830" i="2"/>
  <c r="E9830" i="2"/>
  <c r="D9830" i="2"/>
  <c r="C9830" i="2"/>
  <c r="B9830" i="2"/>
  <c r="A9830" i="2"/>
  <c r="U9829" i="2"/>
  <c r="N9829" i="2"/>
  <c r="M9829" i="2"/>
  <c r="J9829" i="2"/>
  <c r="I9829" i="2"/>
  <c r="H9829" i="2"/>
  <c r="G9829" i="2"/>
  <c r="F9829" i="2"/>
  <c r="E9829" i="2"/>
  <c r="D9829" i="2"/>
  <c r="C9829" i="2"/>
  <c r="B9829" i="2"/>
  <c r="A9829" i="2"/>
  <c r="U9828" i="2"/>
  <c r="N9828" i="2"/>
  <c r="M9828" i="2"/>
  <c r="J9828" i="2"/>
  <c r="I9828" i="2"/>
  <c r="H9828" i="2"/>
  <c r="G9828" i="2"/>
  <c r="F9828" i="2"/>
  <c r="E9828" i="2"/>
  <c r="D9828" i="2"/>
  <c r="C9828" i="2"/>
  <c r="B9828" i="2"/>
  <c r="A9828" i="2"/>
  <c r="U9827" i="2"/>
  <c r="N9827" i="2"/>
  <c r="M9827" i="2"/>
  <c r="J9827" i="2"/>
  <c r="I9827" i="2"/>
  <c r="H9827" i="2"/>
  <c r="G9827" i="2"/>
  <c r="F9827" i="2"/>
  <c r="E9827" i="2"/>
  <c r="D9827" i="2"/>
  <c r="C9827" i="2"/>
  <c r="B9827" i="2"/>
  <c r="A9827" i="2"/>
  <c r="U9826" i="2"/>
  <c r="N9826" i="2"/>
  <c r="M9826" i="2"/>
  <c r="J9826" i="2"/>
  <c r="I9826" i="2"/>
  <c r="H9826" i="2"/>
  <c r="G9826" i="2"/>
  <c r="F9826" i="2"/>
  <c r="E9826" i="2"/>
  <c r="D9826" i="2"/>
  <c r="C9826" i="2"/>
  <c r="B9826" i="2"/>
  <c r="A9826" i="2"/>
  <c r="U9825" i="2"/>
  <c r="N9825" i="2"/>
  <c r="M9825" i="2"/>
  <c r="J9825" i="2"/>
  <c r="I9825" i="2"/>
  <c r="H9825" i="2"/>
  <c r="G9825" i="2"/>
  <c r="F9825" i="2"/>
  <c r="E9825" i="2"/>
  <c r="D9825" i="2"/>
  <c r="C9825" i="2"/>
  <c r="B9825" i="2"/>
  <c r="A9825" i="2"/>
  <c r="U9824" i="2"/>
  <c r="N9824" i="2"/>
  <c r="M9824" i="2"/>
  <c r="J9824" i="2"/>
  <c r="I9824" i="2"/>
  <c r="H9824" i="2"/>
  <c r="G9824" i="2"/>
  <c r="F9824" i="2"/>
  <c r="E9824" i="2"/>
  <c r="D9824" i="2"/>
  <c r="C9824" i="2"/>
  <c r="B9824" i="2"/>
  <c r="A9824" i="2"/>
  <c r="U9823" i="2"/>
  <c r="N9823" i="2"/>
  <c r="M9823" i="2"/>
  <c r="J9823" i="2"/>
  <c r="I9823" i="2"/>
  <c r="H9823" i="2"/>
  <c r="G9823" i="2"/>
  <c r="F9823" i="2"/>
  <c r="E9823" i="2"/>
  <c r="D9823" i="2"/>
  <c r="C9823" i="2"/>
  <c r="B9823" i="2"/>
  <c r="A9823" i="2"/>
  <c r="U9822" i="2"/>
  <c r="N9822" i="2"/>
  <c r="M9822" i="2"/>
  <c r="J9822" i="2"/>
  <c r="I9822" i="2"/>
  <c r="H9822" i="2"/>
  <c r="G9822" i="2"/>
  <c r="F9822" i="2"/>
  <c r="E9822" i="2"/>
  <c r="D9822" i="2"/>
  <c r="C9822" i="2"/>
  <c r="B9822" i="2"/>
  <c r="A9822" i="2"/>
  <c r="U9821" i="2"/>
  <c r="N9821" i="2"/>
  <c r="M9821" i="2"/>
  <c r="J9821" i="2"/>
  <c r="I9821" i="2"/>
  <c r="H9821" i="2"/>
  <c r="G9821" i="2"/>
  <c r="F9821" i="2"/>
  <c r="E9821" i="2"/>
  <c r="D9821" i="2"/>
  <c r="C9821" i="2"/>
  <c r="B9821" i="2"/>
  <c r="A9821" i="2"/>
  <c r="U9820" i="2"/>
  <c r="N9820" i="2"/>
  <c r="M9820" i="2"/>
  <c r="J9820" i="2"/>
  <c r="I9820" i="2"/>
  <c r="H9820" i="2"/>
  <c r="G9820" i="2"/>
  <c r="F9820" i="2"/>
  <c r="E9820" i="2"/>
  <c r="D9820" i="2"/>
  <c r="C9820" i="2"/>
  <c r="B9820" i="2"/>
  <c r="A9820" i="2"/>
  <c r="U9819" i="2"/>
  <c r="N9819" i="2"/>
  <c r="M9819" i="2"/>
  <c r="J9819" i="2"/>
  <c r="I9819" i="2"/>
  <c r="H9819" i="2"/>
  <c r="G9819" i="2"/>
  <c r="F9819" i="2"/>
  <c r="E9819" i="2"/>
  <c r="D9819" i="2"/>
  <c r="C9819" i="2"/>
  <c r="B9819" i="2"/>
  <c r="A9819" i="2"/>
  <c r="U9818" i="2"/>
  <c r="N9818" i="2"/>
  <c r="M9818" i="2"/>
  <c r="J9818" i="2"/>
  <c r="I9818" i="2"/>
  <c r="H9818" i="2"/>
  <c r="G9818" i="2"/>
  <c r="F9818" i="2"/>
  <c r="E9818" i="2"/>
  <c r="D9818" i="2"/>
  <c r="C9818" i="2"/>
  <c r="B9818" i="2"/>
  <c r="A9818" i="2"/>
  <c r="U9817" i="2"/>
  <c r="N9817" i="2"/>
  <c r="M9817" i="2"/>
  <c r="J9817" i="2"/>
  <c r="I9817" i="2"/>
  <c r="H9817" i="2"/>
  <c r="G9817" i="2"/>
  <c r="F9817" i="2"/>
  <c r="E9817" i="2"/>
  <c r="D9817" i="2"/>
  <c r="C9817" i="2"/>
  <c r="B9817" i="2"/>
  <c r="A9817" i="2"/>
  <c r="U9816" i="2"/>
  <c r="N9816" i="2"/>
  <c r="M9816" i="2"/>
  <c r="J9816" i="2"/>
  <c r="I9816" i="2"/>
  <c r="H9816" i="2"/>
  <c r="G9816" i="2"/>
  <c r="F9816" i="2"/>
  <c r="E9816" i="2"/>
  <c r="D9816" i="2"/>
  <c r="C9816" i="2"/>
  <c r="B9816" i="2"/>
  <c r="A9816" i="2"/>
  <c r="U9815" i="2"/>
  <c r="N9815" i="2"/>
  <c r="M9815" i="2"/>
  <c r="J9815" i="2"/>
  <c r="I9815" i="2"/>
  <c r="H9815" i="2"/>
  <c r="G9815" i="2"/>
  <c r="F9815" i="2"/>
  <c r="E9815" i="2"/>
  <c r="D9815" i="2"/>
  <c r="C9815" i="2"/>
  <c r="B9815" i="2"/>
  <c r="A9815" i="2"/>
  <c r="U9814" i="2"/>
  <c r="N9814" i="2"/>
  <c r="M9814" i="2"/>
  <c r="J9814" i="2"/>
  <c r="I9814" i="2"/>
  <c r="H9814" i="2"/>
  <c r="G9814" i="2"/>
  <c r="F9814" i="2"/>
  <c r="E9814" i="2"/>
  <c r="D9814" i="2"/>
  <c r="C9814" i="2"/>
  <c r="B9814" i="2"/>
  <c r="A9814" i="2"/>
  <c r="U9813" i="2"/>
  <c r="N9813" i="2"/>
  <c r="M9813" i="2"/>
  <c r="J9813" i="2"/>
  <c r="I9813" i="2"/>
  <c r="H9813" i="2"/>
  <c r="G9813" i="2"/>
  <c r="F9813" i="2"/>
  <c r="E9813" i="2"/>
  <c r="D9813" i="2"/>
  <c r="C9813" i="2"/>
  <c r="B9813" i="2"/>
  <c r="A9813" i="2"/>
  <c r="U9812" i="2"/>
  <c r="N9812" i="2"/>
  <c r="M9812" i="2"/>
  <c r="J9812" i="2"/>
  <c r="I9812" i="2"/>
  <c r="H9812" i="2"/>
  <c r="G9812" i="2"/>
  <c r="F9812" i="2"/>
  <c r="E9812" i="2"/>
  <c r="D9812" i="2"/>
  <c r="C9812" i="2"/>
  <c r="B9812" i="2"/>
  <c r="A9812" i="2"/>
  <c r="U9811" i="2"/>
  <c r="N9811" i="2"/>
  <c r="M9811" i="2"/>
  <c r="J9811" i="2"/>
  <c r="I9811" i="2"/>
  <c r="H9811" i="2"/>
  <c r="G9811" i="2"/>
  <c r="F9811" i="2"/>
  <c r="E9811" i="2"/>
  <c r="D9811" i="2"/>
  <c r="C9811" i="2"/>
  <c r="B9811" i="2"/>
  <c r="A9811" i="2"/>
  <c r="U9810" i="2"/>
  <c r="N9810" i="2"/>
  <c r="M9810" i="2"/>
  <c r="J9810" i="2"/>
  <c r="I9810" i="2"/>
  <c r="H9810" i="2"/>
  <c r="G9810" i="2"/>
  <c r="F9810" i="2"/>
  <c r="E9810" i="2"/>
  <c r="D9810" i="2"/>
  <c r="C9810" i="2"/>
  <c r="B9810" i="2"/>
  <c r="A9810" i="2"/>
  <c r="U9809" i="2"/>
  <c r="N9809" i="2"/>
  <c r="M9809" i="2"/>
  <c r="J9809" i="2"/>
  <c r="I9809" i="2"/>
  <c r="H9809" i="2"/>
  <c r="G9809" i="2"/>
  <c r="F9809" i="2"/>
  <c r="E9809" i="2"/>
  <c r="D9809" i="2"/>
  <c r="C9809" i="2"/>
  <c r="B9809" i="2"/>
  <c r="A9809" i="2"/>
  <c r="U9808" i="2"/>
  <c r="N9808" i="2"/>
  <c r="M9808" i="2"/>
  <c r="J9808" i="2"/>
  <c r="I9808" i="2"/>
  <c r="H9808" i="2"/>
  <c r="G9808" i="2"/>
  <c r="F9808" i="2"/>
  <c r="E9808" i="2"/>
  <c r="D9808" i="2"/>
  <c r="C9808" i="2"/>
  <c r="B9808" i="2"/>
  <c r="A9808" i="2"/>
  <c r="U9807" i="2"/>
  <c r="N9807" i="2"/>
  <c r="M9807" i="2"/>
  <c r="J9807" i="2"/>
  <c r="I9807" i="2"/>
  <c r="H9807" i="2"/>
  <c r="G9807" i="2"/>
  <c r="F9807" i="2"/>
  <c r="E9807" i="2"/>
  <c r="D9807" i="2"/>
  <c r="C9807" i="2"/>
  <c r="B9807" i="2"/>
  <c r="A9807" i="2"/>
  <c r="U9806" i="2"/>
  <c r="N9806" i="2"/>
  <c r="M9806" i="2"/>
  <c r="J9806" i="2"/>
  <c r="I9806" i="2"/>
  <c r="H9806" i="2"/>
  <c r="G9806" i="2"/>
  <c r="F9806" i="2"/>
  <c r="E9806" i="2"/>
  <c r="D9806" i="2"/>
  <c r="C9806" i="2"/>
  <c r="B9806" i="2"/>
  <c r="A9806" i="2"/>
  <c r="U9805" i="2"/>
  <c r="N9805" i="2"/>
  <c r="M9805" i="2"/>
  <c r="J9805" i="2"/>
  <c r="I9805" i="2"/>
  <c r="H9805" i="2"/>
  <c r="G9805" i="2"/>
  <c r="F9805" i="2"/>
  <c r="E9805" i="2"/>
  <c r="D9805" i="2"/>
  <c r="C9805" i="2"/>
  <c r="B9805" i="2"/>
  <c r="A9805" i="2"/>
  <c r="U9804" i="2"/>
  <c r="N9804" i="2"/>
  <c r="M9804" i="2"/>
  <c r="J9804" i="2"/>
  <c r="I9804" i="2"/>
  <c r="H9804" i="2"/>
  <c r="G9804" i="2"/>
  <c r="F9804" i="2"/>
  <c r="E9804" i="2"/>
  <c r="D9804" i="2"/>
  <c r="C9804" i="2"/>
  <c r="B9804" i="2"/>
  <c r="A9804" i="2"/>
  <c r="U9803" i="2"/>
  <c r="N9803" i="2"/>
  <c r="M9803" i="2"/>
  <c r="J9803" i="2"/>
  <c r="I9803" i="2"/>
  <c r="H9803" i="2"/>
  <c r="G9803" i="2"/>
  <c r="F9803" i="2"/>
  <c r="E9803" i="2"/>
  <c r="D9803" i="2"/>
  <c r="C9803" i="2"/>
  <c r="B9803" i="2"/>
  <c r="A9803" i="2"/>
  <c r="U9802" i="2"/>
  <c r="N9802" i="2"/>
  <c r="M9802" i="2"/>
  <c r="J9802" i="2"/>
  <c r="I9802" i="2"/>
  <c r="H9802" i="2"/>
  <c r="G9802" i="2"/>
  <c r="F9802" i="2"/>
  <c r="E9802" i="2"/>
  <c r="D9802" i="2"/>
  <c r="C9802" i="2"/>
  <c r="B9802" i="2"/>
  <c r="A9802" i="2"/>
  <c r="U9801" i="2"/>
  <c r="N9801" i="2"/>
  <c r="M9801" i="2"/>
  <c r="J9801" i="2"/>
  <c r="I9801" i="2"/>
  <c r="H9801" i="2"/>
  <c r="G9801" i="2"/>
  <c r="F9801" i="2"/>
  <c r="E9801" i="2"/>
  <c r="D9801" i="2"/>
  <c r="C9801" i="2"/>
  <c r="B9801" i="2"/>
  <c r="A9801" i="2"/>
  <c r="U9800" i="2"/>
  <c r="N9800" i="2"/>
  <c r="M9800" i="2"/>
  <c r="J9800" i="2"/>
  <c r="I9800" i="2"/>
  <c r="H9800" i="2"/>
  <c r="G9800" i="2"/>
  <c r="F9800" i="2"/>
  <c r="E9800" i="2"/>
  <c r="D9800" i="2"/>
  <c r="C9800" i="2"/>
  <c r="B9800" i="2"/>
  <c r="A9800" i="2"/>
  <c r="U9799" i="2"/>
  <c r="N9799" i="2"/>
  <c r="M9799" i="2"/>
  <c r="J9799" i="2"/>
  <c r="I9799" i="2"/>
  <c r="H9799" i="2"/>
  <c r="G9799" i="2"/>
  <c r="F9799" i="2"/>
  <c r="E9799" i="2"/>
  <c r="D9799" i="2"/>
  <c r="C9799" i="2"/>
  <c r="B9799" i="2"/>
  <c r="A9799" i="2"/>
  <c r="U9798" i="2"/>
  <c r="N9798" i="2"/>
  <c r="M9798" i="2"/>
  <c r="J9798" i="2"/>
  <c r="I9798" i="2"/>
  <c r="H9798" i="2"/>
  <c r="G9798" i="2"/>
  <c r="F9798" i="2"/>
  <c r="E9798" i="2"/>
  <c r="D9798" i="2"/>
  <c r="C9798" i="2"/>
  <c r="B9798" i="2"/>
  <c r="A9798" i="2"/>
  <c r="U9797" i="2"/>
  <c r="N9797" i="2"/>
  <c r="M9797" i="2"/>
  <c r="J9797" i="2"/>
  <c r="I9797" i="2"/>
  <c r="H9797" i="2"/>
  <c r="G9797" i="2"/>
  <c r="F9797" i="2"/>
  <c r="E9797" i="2"/>
  <c r="D9797" i="2"/>
  <c r="C9797" i="2"/>
  <c r="B9797" i="2"/>
  <c r="A9797" i="2"/>
  <c r="U9796" i="2"/>
  <c r="N9796" i="2"/>
  <c r="M9796" i="2"/>
  <c r="J9796" i="2"/>
  <c r="I9796" i="2"/>
  <c r="H9796" i="2"/>
  <c r="G9796" i="2"/>
  <c r="F9796" i="2"/>
  <c r="E9796" i="2"/>
  <c r="D9796" i="2"/>
  <c r="C9796" i="2"/>
  <c r="B9796" i="2"/>
  <c r="A9796" i="2"/>
  <c r="U9795" i="2"/>
  <c r="N9795" i="2"/>
  <c r="M9795" i="2"/>
  <c r="J9795" i="2"/>
  <c r="I9795" i="2"/>
  <c r="H9795" i="2"/>
  <c r="G9795" i="2"/>
  <c r="F9795" i="2"/>
  <c r="E9795" i="2"/>
  <c r="D9795" i="2"/>
  <c r="C9795" i="2"/>
  <c r="B9795" i="2"/>
  <c r="A9795" i="2"/>
  <c r="U9794" i="2"/>
  <c r="N9794" i="2"/>
  <c r="M9794" i="2"/>
  <c r="J9794" i="2"/>
  <c r="I9794" i="2"/>
  <c r="H9794" i="2"/>
  <c r="G9794" i="2"/>
  <c r="F9794" i="2"/>
  <c r="E9794" i="2"/>
  <c r="D9794" i="2"/>
  <c r="C9794" i="2"/>
  <c r="B9794" i="2"/>
  <c r="A9794" i="2"/>
  <c r="U9793" i="2"/>
  <c r="N9793" i="2"/>
  <c r="M9793" i="2"/>
  <c r="J9793" i="2"/>
  <c r="I9793" i="2"/>
  <c r="H9793" i="2"/>
  <c r="G9793" i="2"/>
  <c r="F9793" i="2"/>
  <c r="E9793" i="2"/>
  <c r="D9793" i="2"/>
  <c r="C9793" i="2"/>
  <c r="B9793" i="2"/>
  <c r="A9793" i="2"/>
  <c r="U9792" i="2"/>
  <c r="N9792" i="2"/>
  <c r="M9792" i="2"/>
  <c r="J9792" i="2"/>
  <c r="I9792" i="2"/>
  <c r="H9792" i="2"/>
  <c r="G9792" i="2"/>
  <c r="F9792" i="2"/>
  <c r="E9792" i="2"/>
  <c r="D9792" i="2"/>
  <c r="C9792" i="2"/>
  <c r="B9792" i="2"/>
  <c r="A9792" i="2"/>
  <c r="U9791" i="2"/>
  <c r="N9791" i="2"/>
  <c r="M9791" i="2"/>
  <c r="J9791" i="2"/>
  <c r="I9791" i="2"/>
  <c r="H9791" i="2"/>
  <c r="G9791" i="2"/>
  <c r="F9791" i="2"/>
  <c r="E9791" i="2"/>
  <c r="D9791" i="2"/>
  <c r="C9791" i="2"/>
  <c r="B9791" i="2"/>
  <c r="A9791" i="2"/>
  <c r="U9790" i="2"/>
  <c r="N9790" i="2"/>
  <c r="M9790" i="2"/>
  <c r="J9790" i="2"/>
  <c r="I9790" i="2"/>
  <c r="H9790" i="2"/>
  <c r="G9790" i="2"/>
  <c r="F9790" i="2"/>
  <c r="E9790" i="2"/>
  <c r="D9790" i="2"/>
  <c r="C9790" i="2"/>
  <c r="B9790" i="2"/>
  <c r="A9790" i="2"/>
  <c r="U9789" i="2"/>
  <c r="N9789" i="2"/>
  <c r="M9789" i="2"/>
  <c r="J9789" i="2"/>
  <c r="I9789" i="2"/>
  <c r="H9789" i="2"/>
  <c r="G9789" i="2"/>
  <c r="F9789" i="2"/>
  <c r="E9789" i="2"/>
  <c r="D9789" i="2"/>
  <c r="C9789" i="2"/>
  <c r="B9789" i="2"/>
  <c r="A9789" i="2"/>
  <c r="U9788" i="2"/>
  <c r="N9788" i="2"/>
  <c r="M9788" i="2"/>
  <c r="J9788" i="2"/>
  <c r="I9788" i="2"/>
  <c r="H9788" i="2"/>
  <c r="G9788" i="2"/>
  <c r="F9788" i="2"/>
  <c r="E9788" i="2"/>
  <c r="D9788" i="2"/>
  <c r="C9788" i="2"/>
  <c r="B9788" i="2"/>
  <c r="A9788" i="2"/>
  <c r="U9787" i="2"/>
  <c r="N9787" i="2"/>
  <c r="M9787" i="2"/>
  <c r="J9787" i="2"/>
  <c r="I9787" i="2"/>
  <c r="H9787" i="2"/>
  <c r="G9787" i="2"/>
  <c r="F9787" i="2"/>
  <c r="E9787" i="2"/>
  <c r="D9787" i="2"/>
  <c r="C9787" i="2"/>
  <c r="B9787" i="2"/>
  <c r="A9787" i="2"/>
  <c r="U9786" i="2"/>
  <c r="N9786" i="2"/>
  <c r="M9786" i="2"/>
  <c r="J9786" i="2"/>
  <c r="I9786" i="2"/>
  <c r="H9786" i="2"/>
  <c r="G9786" i="2"/>
  <c r="F9786" i="2"/>
  <c r="E9786" i="2"/>
  <c r="D9786" i="2"/>
  <c r="C9786" i="2"/>
  <c r="B9786" i="2"/>
  <c r="A9786" i="2"/>
  <c r="U9785" i="2"/>
  <c r="N9785" i="2"/>
  <c r="M9785" i="2"/>
  <c r="J9785" i="2"/>
  <c r="I9785" i="2"/>
  <c r="H9785" i="2"/>
  <c r="G9785" i="2"/>
  <c r="F9785" i="2"/>
  <c r="E9785" i="2"/>
  <c r="D9785" i="2"/>
  <c r="C9785" i="2"/>
  <c r="B9785" i="2"/>
  <c r="A9785" i="2"/>
  <c r="U9784" i="2"/>
  <c r="N9784" i="2"/>
  <c r="M9784" i="2"/>
  <c r="J9784" i="2"/>
  <c r="I9784" i="2"/>
  <c r="H9784" i="2"/>
  <c r="G9784" i="2"/>
  <c r="F9784" i="2"/>
  <c r="E9784" i="2"/>
  <c r="D9784" i="2"/>
  <c r="C9784" i="2"/>
  <c r="B9784" i="2"/>
  <c r="A9784" i="2"/>
  <c r="U9783" i="2"/>
  <c r="N9783" i="2"/>
  <c r="M9783" i="2"/>
  <c r="J9783" i="2"/>
  <c r="I9783" i="2"/>
  <c r="H9783" i="2"/>
  <c r="G9783" i="2"/>
  <c r="F9783" i="2"/>
  <c r="E9783" i="2"/>
  <c r="D9783" i="2"/>
  <c r="C9783" i="2"/>
  <c r="B9783" i="2"/>
  <c r="A9783" i="2"/>
  <c r="U9782" i="2"/>
  <c r="N9782" i="2"/>
  <c r="M9782" i="2"/>
  <c r="J9782" i="2"/>
  <c r="I9782" i="2"/>
  <c r="H9782" i="2"/>
  <c r="G9782" i="2"/>
  <c r="F9782" i="2"/>
  <c r="E9782" i="2"/>
  <c r="D9782" i="2"/>
  <c r="C9782" i="2"/>
  <c r="B9782" i="2"/>
  <c r="A9782" i="2"/>
  <c r="U9781" i="2"/>
  <c r="N9781" i="2"/>
  <c r="M9781" i="2"/>
  <c r="J9781" i="2"/>
  <c r="I9781" i="2"/>
  <c r="H9781" i="2"/>
  <c r="G9781" i="2"/>
  <c r="F9781" i="2"/>
  <c r="E9781" i="2"/>
  <c r="D9781" i="2"/>
  <c r="C9781" i="2"/>
  <c r="B9781" i="2"/>
  <c r="A9781" i="2"/>
  <c r="U9780" i="2"/>
  <c r="N9780" i="2"/>
  <c r="M9780" i="2"/>
  <c r="J9780" i="2"/>
  <c r="I9780" i="2"/>
  <c r="H9780" i="2"/>
  <c r="G9780" i="2"/>
  <c r="F9780" i="2"/>
  <c r="E9780" i="2"/>
  <c r="D9780" i="2"/>
  <c r="C9780" i="2"/>
  <c r="B9780" i="2"/>
  <c r="A9780" i="2"/>
  <c r="U9779" i="2"/>
  <c r="N9779" i="2"/>
  <c r="M9779" i="2"/>
  <c r="J9779" i="2"/>
  <c r="I9779" i="2"/>
  <c r="H9779" i="2"/>
  <c r="G9779" i="2"/>
  <c r="F9779" i="2"/>
  <c r="E9779" i="2"/>
  <c r="D9779" i="2"/>
  <c r="C9779" i="2"/>
  <c r="B9779" i="2"/>
  <c r="A9779" i="2"/>
  <c r="U9778" i="2"/>
  <c r="N9778" i="2"/>
  <c r="M9778" i="2"/>
  <c r="J9778" i="2"/>
  <c r="I9778" i="2"/>
  <c r="H9778" i="2"/>
  <c r="G9778" i="2"/>
  <c r="F9778" i="2"/>
  <c r="E9778" i="2"/>
  <c r="D9778" i="2"/>
  <c r="C9778" i="2"/>
  <c r="B9778" i="2"/>
  <c r="A9778" i="2"/>
  <c r="U9777" i="2"/>
  <c r="N9777" i="2"/>
  <c r="M9777" i="2"/>
  <c r="J9777" i="2"/>
  <c r="I9777" i="2"/>
  <c r="H9777" i="2"/>
  <c r="G9777" i="2"/>
  <c r="F9777" i="2"/>
  <c r="E9777" i="2"/>
  <c r="D9777" i="2"/>
  <c r="C9777" i="2"/>
  <c r="B9777" i="2"/>
  <c r="A9777" i="2"/>
  <c r="U9776" i="2"/>
  <c r="N9776" i="2"/>
  <c r="M9776" i="2"/>
  <c r="J9776" i="2"/>
  <c r="I9776" i="2"/>
  <c r="H9776" i="2"/>
  <c r="G9776" i="2"/>
  <c r="F9776" i="2"/>
  <c r="E9776" i="2"/>
  <c r="D9776" i="2"/>
  <c r="C9776" i="2"/>
  <c r="B9776" i="2"/>
  <c r="A9776" i="2"/>
  <c r="U9775" i="2"/>
  <c r="N9775" i="2"/>
  <c r="M9775" i="2"/>
  <c r="J9775" i="2"/>
  <c r="I9775" i="2"/>
  <c r="H9775" i="2"/>
  <c r="G9775" i="2"/>
  <c r="F9775" i="2"/>
  <c r="E9775" i="2"/>
  <c r="D9775" i="2"/>
  <c r="C9775" i="2"/>
  <c r="B9775" i="2"/>
  <c r="A9775" i="2"/>
  <c r="U9774" i="2"/>
  <c r="N9774" i="2"/>
  <c r="M9774" i="2"/>
  <c r="J9774" i="2"/>
  <c r="I9774" i="2"/>
  <c r="H9774" i="2"/>
  <c r="G9774" i="2"/>
  <c r="F9774" i="2"/>
  <c r="E9774" i="2"/>
  <c r="D9774" i="2"/>
  <c r="C9774" i="2"/>
  <c r="B9774" i="2"/>
  <c r="A9774" i="2"/>
  <c r="U9773" i="2"/>
  <c r="N9773" i="2"/>
  <c r="M9773" i="2"/>
  <c r="J9773" i="2"/>
  <c r="I9773" i="2"/>
  <c r="H9773" i="2"/>
  <c r="G9773" i="2"/>
  <c r="F9773" i="2"/>
  <c r="E9773" i="2"/>
  <c r="D9773" i="2"/>
  <c r="C9773" i="2"/>
  <c r="B9773" i="2"/>
  <c r="A9773" i="2"/>
  <c r="U9772" i="2"/>
  <c r="N9772" i="2"/>
  <c r="M9772" i="2"/>
  <c r="J9772" i="2"/>
  <c r="I9772" i="2"/>
  <c r="H9772" i="2"/>
  <c r="G9772" i="2"/>
  <c r="F9772" i="2"/>
  <c r="E9772" i="2"/>
  <c r="D9772" i="2"/>
  <c r="C9772" i="2"/>
  <c r="B9772" i="2"/>
  <c r="A9772" i="2"/>
  <c r="U9771" i="2"/>
  <c r="N9771" i="2"/>
  <c r="M9771" i="2"/>
  <c r="J9771" i="2"/>
  <c r="I9771" i="2"/>
  <c r="H9771" i="2"/>
  <c r="G9771" i="2"/>
  <c r="F9771" i="2"/>
  <c r="E9771" i="2"/>
  <c r="D9771" i="2"/>
  <c r="C9771" i="2"/>
  <c r="B9771" i="2"/>
  <c r="A9771" i="2"/>
  <c r="U9770" i="2"/>
  <c r="N9770" i="2"/>
  <c r="M9770" i="2"/>
  <c r="J9770" i="2"/>
  <c r="I9770" i="2"/>
  <c r="H9770" i="2"/>
  <c r="G9770" i="2"/>
  <c r="F9770" i="2"/>
  <c r="E9770" i="2"/>
  <c r="D9770" i="2"/>
  <c r="C9770" i="2"/>
  <c r="B9770" i="2"/>
  <c r="A9770" i="2"/>
  <c r="U9769" i="2"/>
  <c r="N9769" i="2"/>
  <c r="M9769" i="2"/>
  <c r="J9769" i="2"/>
  <c r="I9769" i="2"/>
  <c r="H9769" i="2"/>
  <c r="G9769" i="2"/>
  <c r="F9769" i="2"/>
  <c r="E9769" i="2"/>
  <c r="D9769" i="2"/>
  <c r="C9769" i="2"/>
  <c r="B9769" i="2"/>
  <c r="A9769" i="2"/>
  <c r="U9768" i="2"/>
  <c r="N9768" i="2"/>
  <c r="M9768" i="2"/>
  <c r="J9768" i="2"/>
  <c r="I9768" i="2"/>
  <c r="H9768" i="2"/>
  <c r="G9768" i="2"/>
  <c r="F9768" i="2"/>
  <c r="E9768" i="2"/>
  <c r="D9768" i="2"/>
  <c r="C9768" i="2"/>
  <c r="B9768" i="2"/>
  <c r="A9768" i="2"/>
  <c r="U9767" i="2"/>
  <c r="N9767" i="2"/>
  <c r="M9767" i="2"/>
  <c r="J9767" i="2"/>
  <c r="I9767" i="2"/>
  <c r="H9767" i="2"/>
  <c r="G9767" i="2"/>
  <c r="F9767" i="2"/>
  <c r="E9767" i="2"/>
  <c r="D9767" i="2"/>
  <c r="C9767" i="2"/>
  <c r="B9767" i="2"/>
  <c r="A9767" i="2"/>
  <c r="U9766" i="2"/>
  <c r="N9766" i="2"/>
  <c r="M9766" i="2"/>
  <c r="J9766" i="2"/>
  <c r="I9766" i="2"/>
  <c r="H9766" i="2"/>
  <c r="G9766" i="2"/>
  <c r="F9766" i="2"/>
  <c r="E9766" i="2"/>
  <c r="D9766" i="2"/>
  <c r="C9766" i="2"/>
  <c r="B9766" i="2"/>
  <c r="A9766" i="2"/>
  <c r="U9765" i="2"/>
  <c r="N9765" i="2"/>
  <c r="M9765" i="2"/>
  <c r="J9765" i="2"/>
  <c r="I9765" i="2"/>
  <c r="H9765" i="2"/>
  <c r="G9765" i="2"/>
  <c r="F9765" i="2"/>
  <c r="E9765" i="2"/>
  <c r="D9765" i="2"/>
  <c r="C9765" i="2"/>
  <c r="B9765" i="2"/>
  <c r="A9765" i="2"/>
  <c r="U9764" i="2"/>
  <c r="N9764" i="2"/>
  <c r="M9764" i="2"/>
  <c r="J9764" i="2"/>
  <c r="I9764" i="2"/>
  <c r="H9764" i="2"/>
  <c r="G9764" i="2"/>
  <c r="F9764" i="2"/>
  <c r="E9764" i="2"/>
  <c r="D9764" i="2"/>
  <c r="C9764" i="2"/>
  <c r="B9764" i="2"/>
  <c r="A9764" i="2"/>
  <c r="U9763" i="2"/>
  <c r="N9763" i="2"/>
  <c r="M9763" i="2"/>
  <c r="J9763" i="2"/>
  <c r="I9763" i="2"/>
  <c r="H9763" i="2"/>
  <c r="G9763" i="2"/>
  <c r="F9763" i="2"/>
  <c r="E9763" i="2"/>
  <c r="D9763" i="2"/>
  <c r="C9763" i="2"/>
  <c r="B9763" i="2"/>
  <c r="A9763" i="2"/>
  <c r="U9762" i="2"/>
  <c r="N9762" i="2"/>
  <c r="M9762" i="2"/>
  <c r="J9762" i="2"/>
  <c r="I9762" i="2"/>
  <c r="H9762" i="2"/>
  <c r="G9762" i="2"/>
  <c r="F9762" i="2"/>
  <c r="E9762" i="2"/>
  <c r="D9762" i="2"/>
  <c r="C9762" i="2"/>
  <c r="B9762" i="2"/>
  <c r="A9762" i="2"/>
  <c r="U9761" i="2"/>
  <c r="N9761" i="2"/>
  <c r="M9761" i="2"/>
  <c r="J9761" i="2"/>
  <c r="I9761" i="2"/>
  <c r="H9761" i="2"/>
  <c r="G9761" i="2"/>
  <c r="F9761" i="2"/>
  <c r="E9761" i="2"/>
  <c r="D9761" i="2"/>
  <c r="C9761" i="2"/>
  <c r="B9761" i="2"/>
  <c r="A9761" i="2"/>
  <c r="U9760" i="2"/>
  <c r="N9760" i="2"/>
  <c r="M9760" i="2"/>
  <c r="J9760" i="2"/>
  <c r="I9760" i="2"/>
  <c r="H9760" i="2"/>
  <c r="G9760" i="2"/>
  <c r="F9760" i="2"/>
  <c r="E9760" i="2"/>
  <c r="D9760" i="2"/>
  <c r="C9760" i="2"/>
  <c r="B9760" i="2"/>
  <c r="A9760" i="2"/>
  <c r="U9759" i="2"/>
  <c r="N9759" i="2"/>
  <c r="M9759" i="2"/>
  <c r="J9759" i="2"/>
  <c r="I9759" i="2"/>
  <c r="H9759" i="2"/>
  <c r="G9759" i="2"/>
  <c r="F9759" i="2"/>
  <c r="E9759" i="2"/>
  <c r="D9759" i="2"/>
  <c r="C9759" i="2"/>
  <c r="B9759" i="2"/>
  <c r="A9759" i="2"/>
  <c r="U9758" i="2"/>
  <c r="N9758" i="2"/>
  <c r="M9758" i="2"/>
  <c r="J9758" i="2"/>
  <c r="I9758" i="2"/>
  <c r="H9758" i="2"/>
  <c r="G9758" i="2"/>
  <c r="F9758" i="2"/>
  <c r="E9758" i="2"/>
  <c r="D9758" i="2"/>
  <c r="C9758" i="2"/>
  <c r="B9758" i="2"/>
  <c r="A9758" i="2"/>
  <c r="U9757" i="2"/>
  <c r="N9757" i="2"/>
  <c r="M9757" i="2"/>
  <c r="J9757" i="2"/>
  <c r="I9757" i="2"/>
  <c r="H9757" i="2"/>
  <c r="G9757" i="2"/>
  <c r="F9757" i="2"/>
  <c r="E9757" i="2"/>
  <c r="D9757" i="2"/>
  <c r="C9757" i="2"/>
  <c r="B9757" i="2"/>
  <c r="A9757" i="2"/>
  <c r="U9756" i="2"/>
  <c r="N9756" i="2"/>
  <c r="M9756" i="2"/>
  <c r="J9756" i="2"/>
  <c r="I9756" i="2"/>
  <c r="H9756" i="2"/>
  <c r="G9756" i="2"/>
  <c r="F9756" i="2"/>
  <c r="E9756" i="2"/>
  <c r="D9756" i="2"/>
  <c r="C9756" i="2"/>
  <c r="B9756" i="2"/>
  <c r="A9756" i="2"/>
  <c r="U9755" i="2"/>
  <c r="N9755" i="2"/>
  <c r="M9755" i="2"/>
  <c r="J9755" i="2"/>
  <c r="I9755" i="2"/>
  <c r="H9755" i="2"/>
  <c r="G9755" i="2"/>
  <c r="F9755" i="2"/>
  <c r="E9755" i="2"/>
  <c r="D9755" i="2"/>
  <c r="C9755" i="2"/>
  <c r="B9755" i="2"/>
  <c r="A9755" i="2"/>
  <c r="U9754" i="2"/>
  <c r="N9754" i="2"/>
  <c r="M9754" i="2"/>
  <c r="J9754" i="2"/>
  <c r="I9754" i="2"/>
  <c r="H9754" i="2"/>
  <c r="G9754" i="2"/>
  <c r="F9754" i="2"/>
  <c r="E9754" i="2"/>
  <c r="D9754" i="2"/>
  <c r="C9754" i="2"/>
  <c r="B9754" i="2"/>
  <c r="A9754" i="2"/>
  <c r="U9753" i="2"/>
  <c r="N9753" i="2"/>
  <c r="M9753" i="2"/>
  <c r="J9753" i="2"/>
  <c r="I9753" i="2"/>
  <c r="H9753" i="2"/>
  <c r="G9753" i="2"/>
  <c r="F9753" i="2"/>
  <c r="E9753" i="2"/>
  <c r="D9753" i="2"/>
  <c r="C9753" i="2"/>
  <c r="B9753" i="2"/>
  <c r="A9753" i="2"/>
  <c r="U9752" i="2"/>
  <c r="N9752" i="2"/>
  <c r="M9752" i="2"/>
  <c r="J9752" i="2"/>
  <c r="I9752" i="2"/>
  <c r="H9752" i="2"/>
  <c r="G9752" i="2"/>
  <c r="F9752" i="2"/>
  <c r="E9752" i="2"/>
  <c r="D9752" i="2"/>
  <c r="C9752" i="2"/>
  <c r="B9752" i="2"/>
  <c r="A9752" i="2"/>
  <c r="U9751" i="2"/>
  <c r="N9751" i="2"/>
  <c r="M9751" i="2"/>
  <c r="J9751" i="2"/>
  <c r="I9751" i="2"/>
  <c r="H9751" i="2"/>
  <c r="G9751" i="2"/>
  <c r="F9751" i="2"/>
  <c r="E9751" i="2"/>
  <c r="D9751" i="2"/>
  <c r="C9751" i="2"/>
  <c r="B9751" i="2"/>
  <c r="A9751" i="2"/>
  <c r="U9750" i="2"/>
  <c r="N9750" i="2"/>
  <c r="M9750" i="2"/>
  <c r="J9750" i="2"/>
  <c r="I9750" i="2"/>
  <c r="H9750" i="2"/>
  <c r="G9750" i="2"/>
  <c r="F9750" i="2"/>
  <c r="E9750" i="2"/>
  <c r="D9750" i="2"/>
  <c r="C9750" i="2"/>
  <c r="B9750" i="2"/>
  <c r="A9750" i="2"/>
  <c r="U9749" i="2"/>
  <c r="N9749" i="2"/>
  <c r="M9749" i="2"/>
  <c r="J9749" i="2"/>
  <c r="I9749" i="2"/>
  <c r="H9749" i="2"/>
  <c r="G9749" i="2"/>
  <c r="F9749" i="2"/>
  <c r="E9749" i="2"/>
  <c r="D9749" i="2"/>
  <c r="C9749" i="2"/>
  <c r="B9749" i="2"/>
  <c r="A9749" i="2"/>
  <c r="U9748" i="2"/>
  <c r="N9748" i="2"/>
  <c r="M9748" i="2"/>
  <c r="J9748" i="2"/>
  <c r="I9748" i="2"/>
  <c r="H9748" i="2"/>
  <c r="G9748" i="2"/>
  <c r="F9748" i="2"/>
  <c r="E9748" i="2"/>
  <c r="D9748" i="2"/>
  <c r="C9748" i="2"/>
  <c r="B9748" i="2"/>
  <c r="A9748" i="2"/>
  <c r="U9747" i="2"/>
  <c r="N9747" i="2"/>
  <c r="M9747" i="2"/>
  <c r="J9747" i="2"/>
  <c r="I9747" i="2"/>
  <c r="H9747" i="2"/>
  <c r="G9747" i="2"/>
  <c r="F9747" i="2"/>
  <c r="E9747" i="2"/>
  <c r="D9747" i="2"/>
  <c r="C9747" i="2"/>
  <c r="B9747" i="2"/>
  <c r="A9747" i="2"/>
  <c r="U9746" i="2"/>
  <c r="N9746" i="2"/>
  <c r="M9746" i="2"/>
  <c r="J9746" i="2"/>
  <c r="I9746" i="2"/>
  <c r="H9746" i="2"/>
  <c r="G9746" i="2"/>
  <c r="F9746" i="2"/>
  <c r="E9746" i="2"/>
  <c r="D9746" i="2"/>
  <c r="C9746" i="2"/>
  <c r="B9746" i="2"/>
  <c r="A9746" i="2"/>
  <c r="U9745" i="2"/>
  <c r="N9745" i="2"/>
  <c r="M9745" i="2"/>
  <c r="J9745" i="2"/>
  <c r="I9745" i="2"/>
  <c r="H9745" i="2"/>
  <c r="G9745" i="2"/>
  <c r="F9745" i="2"/>
  <c r="E9745" i="2"/>
  <c r="D9745" i="2"/>
  <c r="C9745" i="2"/>
  <c r="B9745" i="2"/>
  <c r="A9745" i="2"/>
  <c r="U9744" i="2"/>
  <c r="N9744" i="2"/>
  <c r="M9744" i="2"/>
  <c r="J9744" i="2"/>
  <c r="I9744" i="2"/>
  <c r="H9744" i="2"/>
  <c r="G9744" i="2"/>
  <c r="F9744" i="2"/>
  <c r="E9744" i="2"/>
  <c r="D9744" i="2"/>
  <c r="C9744" i="2"/>
  <c r="B9744" i="2"/>
  <c r="A9744" i="2"/>
  <c r="U9743" i="2"/>
  <c r="N9743" i="2"/>
  <c r="M9743" i="2"/>
  <c r="J9743" i="2"/>
  <c r="I9743" i="2"/>
  <c r="H9743" i="2"/>
  <c r="G9743" i="2"/>
  <c r="F9743" i="2"/>
  <c r="E9743" i="2"/>
  <c r="D9743" i="2"/>
  <c r="C9743" i="2"/>
  <c r="B9743" i="2"/>
  <c r="A9743" i="2"/>
  <c r="U9742" i="2"/>
  <c r="N9742" i="2"/>
  <c r="M9742" i="2"/>
  <c r="J9742" i="2"/>
  <c r="I9742" i="2"/>
  <c r="H9742" i="2"/>
  <c r="G9742" i="2"/>
  <c r="F9742" i="2"/>
  <c r="E9742" i="2"/>
  <c r="D9742" i="2"/>
  <c r="C9742" i="2"/>
  <c r="B9742" i="2"/>
  <c r="A9742" i="2"/>
  <c r="U9741" i="2"/>
  <c r="N9741" i="2"/>
  <c r="M9741" i="2"/>
  <c r="J9741" i="2"/>
  <c r="I9741" i="2"/>
  <c r="H9741" i="2"/>
  <c r="G9741" i="2"/>
  <c r="F9741" i="2"/>
  <c r="E9741" i="2"/>
  <c r="D9741" i="2"/>
  <c r="C9741" i="2"/>
  <c r="B9741" i="2"/>
  <c r="A9741" i="2"/>
  <c r="U9740" i="2"/>
  <c r="N9740" i="2"/>
  <c r="M9740" i="2"/>
  <c r="J9740" i="2"/>
  <c r="I9740" i="2"/>
  <c r="H9740" i="2"/>
  <c r="G9740" i="2"/>
  <c r="F9740" i="2"/>
  <c r="E9740" i="2"/>
  <c r="D9740" i="2"/>
  <c r="C9740" i="2"/>
  <c r="B9740" i="2"/>
  <c r="A9740" i="2"/>
  <c r="U9739" i="2"/>
  <c r="N9739" i="2"/>
  <c r="M9739" i="2"/>
  <c r="J9739" i="2"/>
  <c r="I9739" i="2"/>
  <c r="H9739" i="2"/>
  <c r="G9739" i="2"/>
  <c r="F9739" i="2"/>
  <c r="E9739" i="2"/>
  <c r="D9739" i="2"/>
  <c r="C9739" i="2"/>
  <c r="B9739" i="2"/>
  <c r="A9739" i="2"/>
  <c r="U9738" i="2"/>
  <c r="N9738" i="2"/>
  <c r="M9738" i="2"/>
  <c r="J9738" i="2"/>
  <c r="I9738" i="2"/>
  <c r="H9738" i="2"/>
  <c r="G9738" i="2"/>
  <c r="F9738" i="2"/>
  <c r="E9738" i="2"/>
  <c r="D9738" i="2"/>
  <c r="C9738" i="2"/>
  <c r="B9738" i="2"/>
  <c r="A9738" i="2"/>
  <c r="U9737" i="2"/>
  <c r="N9737" i="2"/>
  <c r="M9737" i="2"/>
  <c r="J9737" i="2"/>
  <c r="I9737" i="2"/>
  <c r="H9737" i="2"/>
  <c r="G9737" i="2"/>
  <c r="F9737" i="2"/>
  <c r="E9737" i="2"/>
  <c r="D9737" i="2"/>
  <c r="C9737" i="2"/>
  <c r="B9737" i="2"/>
  <c r="A9737" i="2"/>
  <c r="U9736" i="2"/>
  <c r="N9736" i="2"/>
  <c r="M9736" i="2"/>
  <c r="J9736" i="2"/>
  <c r="I9736" i="2"/>
  <c r="H9736" i="2"/>
  <c r="G9736" i="2"/>
  <c r="F9736" i="2"/>
  <c r="E9736" i="2"/>
  <c r="D9736" i="2"/>
  <c r="C9736" i="2"/>
  <c r="B9736" i="2"/>
  <c r="A9736" i="2"/>
  <c r="U9735" i="2"/>
  <c r="N9735" i="2"/>
  <c r="M9735" i="2"/>
  <c r="J9735" i="2"/>
  <c r="I9735" i="2"/>
  <c r="H9735" i="2"/>
  <c r="G9735" i="2"/>
  <c r="F9735" i="2"/>
  <c r="E9735" i="2"/>
  <c r="D9735" i="2"/>
  <c r="C9735" i="2"/>
  <c r="B9735" i="2"/>
  <c r="A9735" i="2"/>
  <c r="U9734" i="2"/>
  <c r="N9734" i="2"/>
  <c r="M9734" i="2"/>
  <c r="J9734" i="2"/>
  <c r="I9734" i="2"/>
  <c r="H9734" i="2"/>
  <c r="G9734" i="2"/>
  <c r="F9734" i="2"/>
  <c r="E9734" i="2"/>
  <c r="D9734" i="2"/>
  <c r="C9734" i="2"/>
  <c r="B9734" i="2"/>
  <c r="A9734" i="2"/>
  <c r="U9733" i="2"/>
  <c r="N9733" i="2"/>
  <c r="M9733" i="2"/>
  <c r="J9733" i="2"/>
  <c r="I9733" i="2"/>
  <c r="H9733" i="2"/>
  <c r="G9733" i="2"/>
  <c r="F9733" i="2"/>
  <c r="E9733" i="2"/>
  <c r="D9733" i="2"/>
  <c r="C9733" i="2"/>
  <c r="B9733" i="2"/>
  <c r="A9733" i="2"/>
  <c r="U9732" i="2"/>
  <c r="N9732" i="2"/>
  <c r="M9732" i="2"/>
  <c r="J9732" i="2"/>
  <c r="I9732" i="2"/>
  <c r="H9732" i="2"/>
  <c r="G9732" i="2"/>
  <c r="F9732" i="2"/>
  <c r="E9732" i="2"/>
  <c r="D9732" i="2"/>
  <c r="C9732" i="2"/>
  <c r="B9732" i="2"/>
  <c r="A9732" i="2"/>
  <c r="U9731" i="2"/>
  <c r="N9731" i="2"/>
  <c r="M9731" i="2"/>
  <c r="J9731" i="2"/>
  <c r="I9731" i="2"/>
  <c r="H9731" i="2"/>
  <c r="G9731" i="2"/>
  <c r="F9731" i="2"/>
  <c r="E9731" i="2"/>
  <c r="D9731" i="2"/>
  <c r="C9731" i="2"/>
  <c r="B9731" i="2"/>
  <c r="A9731" i="2"/>
  <c r="U9730" i="2"/>
  <c r="N9730" i="2"/>
  <c r="M9730" i="2"/>
  <c r="J9730" i="2"/>
  <c r="I9730" i="2"/>
  <c r="H9730" i="2"/>
  <c r="G9730" i="2"/>
  <c r="F9730" i="2"/>
  <c r="E9730" i="2"/>
  <c r="D9730" i="2"/>
  <c r="C9730" i="2"/>
  <c r="B9730" i="2"/>
  <c r="A9730" i="2"/>
  <c r="U9729" i="2"/>
  <c r="N9729" i="2"/>
  <c r="M9729" i="2"/>
  <c r="J9729" i="2"/>
  <c r="I9729" i="2"/>
  <c r="H9729" i="2"/>
  <c r="G9729" i="2"/>
  <c r="F9729" i="2"/>
  <c r="E9729" i="2"/>
  <c r="D9729" i="2"/>
  <c r="C9729" i="2"/>
  <c r="B9729" i="2"/>
  <c r="A9729" i="2"/>
  <c r="U9728" i="2"/>
  <c r="N9728" i="2"/>
  <c r="M9728" i="2"/>
  <c r="J9728" i="2"/>
  <c r="I9728" i="2"/>
  <c r="H9728" i="2"/>
  <c r="G9728" i="2"/>
  <c r="F9728" i="2"/>
  <c r="E9728" i="2"/>
  <c r="D9728" i="2"/>
  <c r="C9728" i="2"/>
  <c r="B9728" i="2"/>
  <c r="A9728" i="2"/>
  <c r="U9727" i="2"/>
  <c r="N9727" i="2"/>
  <c r="M9727" i="2"/>
  <c r="J9727" i="2"/>
  <c r="I9727" i="2"/>
  <c r="H9727" i="2"/>
  <c r="G9727" i="2"/>
  <c r="F9727" i="2"/>
  <c r="E9727" i="2"/>
  <c r="D9727" i="2"/>
  <c r="C9727" i="2"/>
  <c r="B9727" i="2"/>
  <c r="A9727" i="2"/>
  <c r="U9726" i="2"/>
  <c r="N9726" i="2"/>
  <c r="M9726" i="2"/>
  <c r="J9726" i="2"/>
  <c r="I9726" i="2"/>
  <c r="H9726" i="2"/>
  <c r="G9726" i="2"/>
  <c r="F9726" i="2"/>
  <c r="E9726" i="2"/>
  <c r="D9726" i="2"/>
  <c r="C9726" i="2"/>
  <c r="B9726" i="2"/>
  <c r="A9726" i="2"/>
  <c r="U9725" i="2"/>
  <c r="N9725" i="2"/>
  <c r="M9725" i="2"/>
  <c r="J9725" i="2"/>
  <c r="I9725" i="2"/>
  <c r="H9725" i="2"/>
  <c r="G9725" i="2"/>
  <c r="F9725" i="2"/>
  <c r="E9725" i="2"/>
  <c r="D9725" i="2"/>
  <c r="C9725" i="2"/>
  <c r="B9725" i="2"/>
  <c r="A9725" i="2"/>
  <c r="U9724" i="2"/>
  <c r="N9724" i="2"/>
  <c r="M9724" i="2"/>
  <c r="J9724" i="2"/>
  <c r="I9724" i="2"/>
  <c r="H9724" i="2"/>
  <c r="G9724" i="2"/>
  <c r="F9724" i="2"/>
  <c r="E9724" i="2"/>
  <c r="D9724" i="2"/>
  <c r="C9724" i="2"/>
  <c r="B9724" i="2"/>
  <c r="A9724" i="2"/>
  <c r="U9723" i="2"/>
  <c r="N9723" i="2"/>
  <c r="M9723" i="2"/>
  <c r="J9723" i="2"/>
  <c r="I9723" i="2"/>
  <c r="H9723" i="2"/>
  <c r="G9723" i="2"/>
  <c r="F9723" i="2"/>
  <c r="E9723" i="2"/>
  <c r="D9723" i="2"/>
  <c r="C9723" i="2"/>
  <c r="B9723" i="2"/>
  <c r="A9723" i="2"/>
  <c r="U9722" i="2"/>
  <c r="N9722" i="2"/>
  <c r="M9722" i="2"/>
  <c r="J9722" i="2"/>
  <c r="I9722" i="2"/>
  <c r="H9722" i="2"/>
  <c r="G9722" i="2"/>
  <c r="F9722" i="2"/>
  <c r="E9722" i="2"/>
  <c r="D9722" i="2"/>
  <c r="C9722" i="2"/>
  <c r="B9722" i="2"/>
  <c r="A9722" i="2"/>
  <c r="U9721" i="2"/>
  <c r="N9721" i="2"/>
  <c r="M9721" i="2"/>
  <c r="J9721" i="2"/>
  <c r="I9721" i="2"/>
  <c r="H9721" i="2"/>
  <c r="G9721" i="2"/>
  <c r="F9721" i="2"/>
  <c r="E9721" i="2"/>
  <c r="D9721" i="2"/>
  <c r="C9721" i="2"/>
  <c r="B9721" i="2"/>
  <c r="A9721" i="2"/>
  <c r="U9720" i="2"/>
  <c r="N9720" i="2"/>
  <c r="M9720" i="2"/>
  <c r="J9720" i="2"/>
  <c r="I9720" i="2"/>
  <c r="H9720" i="2"/>
  <c r="G9720" i="2"/>
  <c r="F9720" i="2"/>
  <c r="E9720" i="2"/>
  <c r="D9720" i="2"/>
  <c r="C9720" i="2"/>
  <c r="B9720" i="2"/>
  <c r="A9720" i="2"/>
  <c r="U9719" i="2"/>
  <c r="N9719" i="2"/>
  <c r="M9719" i="2"/>
  <c r="J9719" i="2"/>
  <c r="I9719" i="2"/>
  <c r="H9719" i="2"/>
  <c r="G9719" i="2"/>
  <c r="F9719" i="2"/>
  <c r="E9719" i="2"/>
  <c r="D9719" i="2"/>
  <c r="C9719" i="2"/>
  <c r="B9719" i="2"/>
  <c r="A9719" i="2"/>
  <c r="U9718" i="2"/>
  <c r="N9718" i="2"/>
  <c r="M9718" i="2"/>
  <c r="J9718" i="2"/>
  <c r="I9718" i="2"/>
  <c r="H9718" i="2"/>
  <c r="G9718" i="2"/>
  <c r="F9718" i="2"/>
  <c r="E9718" i="2"/>
  <c r="D9718" i="2"/>
  <c r="C9718" i="2"/>
  <c r="B9718" i="2"/>
  <c r="A9718" i="2"/>
  <c r="U9717" i="2"/>
  <c r="N9717" i="2"/>
  <c r="M9717" i="2"/>
  <c r="J9717" i="2"/>
  <c r="I9717" i="2"/>
  <c r="H9717" i="2"/>
  <c r="G9717" i="2"/>
  <c r="F9717" i="2"/>
  <c r="E9717" i="2"/>
  <c r="D9717" i="2"/>
  <c r="C9717" i="2"/>
  <c r="B9717" i="2"/>
  <c r="A9717" i="2"/>
  <c r="U9716" i="2"/>
  <c r="N9716" i="2"/>
  <c r="M9716" i="2"/>
  <c r="J9716" i="2"/>
  <c r="I9716" i="2"/>
  <c r="H9716" i="2"/>
  <c r="G9716" i="2"/>
  <c r="F9716" i="2"/>
  <c r="E9716" i="2"/>
  <c r="D9716" i="2"/>
  <c r="C9716" i="2"/>
  <c r="B9716" i="2"/>
  <c r="A9716" i="2"/>
  <c r="U9715" i="2"/>
  <c r="N9715" i="2"/>
  <c r="M9715" i="2"/>
  <c r="J9715" i="2"/>
  <c r="I9715" i="2"/>
  <c r="H9715" i="2"/>
  <c r="G9715" i="2"/>
  <c r="F9715" i="2"/>
  <c r="E9715" i="2"/>
  <c r="D9715" i="2"/>
  <c r="C9715" i="2"/>
  <c r="B9715" i="2"/>
  <c r="A9715" i="2"/>
  <c r="U9714" i="2"/>
  <c r="N9714" i="2"/>
  <c r="M9714" i="2"/>
  <c r="J9714" i="2"/>
  <c r="I9714" i="2"/>
  <c r="H9714" i="2"/>
  <c r="G9714" i="2"/>
  <c r="F9714" i="2"/>
  <c r="E9714" i="2"/>
  <c r="D9714" i="2"/>
  <c r="C9714" i="2"/>
  <c r="B9714" i="2"/>
  <c r="A9714" i="2"/>
  <c r="U9713" i="2"/>
  <c r="N9713" i="2"/>
  <c r="M9713" i="2"/>
  <c r="J9713" i="2"/>
  <c r="I9713" i="2"/>
  <c r="H9713" i="2"/>
  <c r="G9713" i="2"/>
  <c r="F9713" i="2"/>
  <c r="E9713" i="2"/>
  <c r="D9713" i="2"/>
  <c r="C9713" i="2"/>
  <c r="B9713" i="2"/>
  <c r="A9713" i="2"/>
  <c r="U9712" i="2"/>
  <c r="N9712" i="2"/>
  <c r="M9712" i="2"/>
  <c r="J9712" i="2"/>
  <c r="I9712" i="2"/>
  <c r="H9712" i="2"/>
  <c r="G9712" i="2"/>
  <c r="F9712" i="2"/>
  <c r="E9712" i="2"/>
  <c r="D9712" i="2"/>
  <c r="C9712" i="2"/>
  <c r="B9712" i="2"/>
  <c r="A9712" i="2"/>
  <c r="Q9711" i="2"/>
  <c r="U9711" i="2" s="1"/>
  <c r="N9711" i="2"/>
  <c r="M9711" i="2"/>
  <c r="J9711" i="2"/>
  <c r="I9711" i="2"/>
  <c r="H9711" i="2"/>
  <c r="G9711" i="2"/>
  <c r="F9711" i="2"/>
  <c r="E9711" i="2"/>
  <c r="D9711" i="2"/>
  <c r="C9711" i="2"/>
  <c r="B9711" i="2"/>
  <c r="A9711" i="2"/>
  <c r="U9710" i="2"/>
  <c r="N9710" i="2"/>
  <c r="M9710" i="2"/>
  <c r="J9710" i="2"/>
  <c r="I9710" i="2"/>
  <c r="H9710" i="2"/>
  <c r="G9710" i="2"/>
  <c r="F9710" i="2"/>
  <c r="E9710" i="2"/>
  <c r="D9710" i="2"/>
  <c r="C9710" i="2"/>
  <c r="B9710" i="2"/>
  <c r="A9710" i="2"/>
  <c r="U9709" i="2"/>
  <c r="N9709" i="2"/>
  <c r="M9709" i="2"/>
  <c r="J9709" i="2"/>
  <c r="I9709" i="2"/>
  <c r="H9709" i="2"/>
  <c r="G9709" i="2"/>
  <c r="F9709" i="2"/>
  <c r="E9709" i="2"/>
  <c r="D9709" i="2"/>
  <c r="C9709" i="2"/>
  <c r="B9709" i="2"/>
  <c r="A9709" i="2"/>
  <c r="U9708" i="2"/>
  <c r="N9708" i="2"/>
  <c r="M9708" i="2"/>
  <c r="J9708" i="2"/>
  <c r="I9708" i="2"/>
  <c r="H9708" i="2"/>
  <c r="G9708" i="2"/>
  <c r="F9708" i="2"/>
  <c r="E9708" i="2"/>
  <c r="D9708" i="2"/>
  <c r="C9708" i="2"/>
  <c r="B9708" i="2"/>
  <c r="A9708" i="2"/>
  <c r="U9707" i="2"/>
  <c r="N9707" i="2"/>
  <c r="M9707" i="2"/>
  <c r="J9707" i="2"/>
  <c r="I9707" i="2"/>
  <c r="H9707" i="2"/>
  <c r="G9707" i="2"/>
  <c r="F9707" i="2"/>
  <c r="E9707" i="2"/>
  <c r="D9707" i="2"/>
  <c r="C9707" i="2"/>
  <c r="B9707" i="2"/>
  <c r="A9707" i="2"/>
  <c r="U9706" i="2"/>
  <c r="N9706" i="2"/>
  <c r="M9706" i="2"/>
  <c r="J9706" i="2"/>
  <c r="I9706" i="2"/>
  <c r="H9706" i="2"/>
  <c r="G9706" i="2"/>
  <c r="F9706" i="2"/>
  <c r="E9706" i="2"/>
  <c r="D9706" i="2"/>
  <c r="C9706" i="2"/>
  <c r="B9706" i="2"/>
  <c r="A9706" i="2"/>
  <c r="U9705" i="2"/>
  <c r="N9705" i="2"/>
  <c r="M9705" i="2"/>
  <c r="J9705" i="2"/>
  <c r="I9705" i="2"/>
  <c r="H9705" i="2"/>
  <c r="G9705" i="2"/>
  <c r="F9705" i="2"/>
  <c r="E9705" i="2"/>
  <c r="D9705" i="2"/>
  <c r="C9705" i="2"/>
  <c r="B9705" i="2"/>
  <c r="A9705" i="2"/>
  <c r="U9704" i="2"/>
  <c r="N9704" i="2"/>
  <c r="M9704" i="2"/>
  <c r="J9704" i="2"/>
  <c r="I9704" i="2"/>
  <c r="H9704" i="2"/>
  <c r="G9704" i="2"/>
  <c r="F9704" i="2"/>
  <c r="E9704" i="2"/>
  <c r="D9704" i="2"/>
  <c r="C9704" i="2"/>
  <c r="B9704" i="2"/>
  <c r="A9704" i="2"/>
  <c r="U9703" i="2"/>
  <c r="N9703" i="2"/>
  <c r="M9703" i="2"/>
  <c r="J9703" i="2"/>
  <c r="I9703" i="2"/>
  <c r="H9703" i="2"/>
  <c r="G9703" i="2"/>
  <c r="F9703" i="2"/>
  <c r="E9703" i="2"/>
  <c r="D9703" i="2"/>
  <c r="C9703" i="2"/>
  <c r="B9703" i="2"/>
  <c r="A9703" i="2"/>
  <c r="U9702" i="2"/>
  <c r="N9702" i="2"/>
  <c r="M9702" i="2"/>
  <c r="J9702" i="2"/>
  <c r="I9702" i="2"/>
  <c r="H9702" i="2"/>
  <c r="G9702" i="2"/>
  <c r="F9702" i="2"/>
  <c r="E9702" i="2"/>
  <c r="D9702" i="2"/>
  <c r="C9702" i="2"/>
  <c r="B9702" i="2"/>
  <c r="A9702" i="2"/>
  <c r="U9701" i="2"/>
  <c r="N9701" i="2"/>
  <c r="M9701" i="2"/>
  <c r="J9701" i="2"/>
  <c r="I9701" i="2"/>
  <c r="H9701" i="2"/>
  <c r="G9701" i="2"/>
  <c r="F9701" i="2"/>
  <c r="E9701" i="2"/>
  <c r="D9701" i="2"/>
  <c r="C9701" i="2"/>
  <c r="B9701" i="2"/>
  <c r="A9701" i="2"/>
  <c r="U9700" i="2"/>
  <c r="N9700" i="2"/>
  <c r="M9700" i="2"/>
  <c r="J9700" i="2"/>
  <c r="I9700" i="2"/>
  <c r="H9700" i="2"/>
  <c r="G9700" i="2"/>
  <c r="F9700" i="2"/>
  <c r="E9700" i="2"/>
  <c r="D9700" i="2"/>
  <c r="C9700" i="2"/>
  <c r="B9700" i="2"/>
  <c r="A9700" i="2"/>
  <c r="U9699" i="2"/>
  <c r="N9699" i="2"/>
  <c r="M9699" i="2"/>
  <c r="J9699" i="2"/>
  <c r="I9699" i="2"/>
  <c r="H9699" i="2"/>
  <c r="G9699" i="2"/>
  <c r="F9699" i="2"/>
  <c r="E9699" i="2"/>
  <c r="D9699" i="2"/>
  <c r="C9699" i="2"/>
  <c r="B9699" i="2"/>
  <c r="A9699" i="2"/>
  <c r="U9698" i="2"/>
  <c r="N9698" i="2"/>
  <c r="M9698" i="2"/>
  <c r="J9698" i="2"/>
  <c r="I9698" i="2"/>
  <c r="H9698" i="2"/>
  <c r="G9698" i="2"/>
  <c r="F9698" i="2"/>
  <c r="E9698" i="2"/>
  <c r="D9698" i="2"/>
  <c r="C9698" i="2"/>
  <c r="B9698" i="2"/>
  <c r="A9698" i="2"/>
  <c r="U9697" i="2"/>
  <c r="N9697" i="2"/>
  <c r="M9697" i="2"/>
  <c r="J9697" i="2"/>
  <c r="I9697" i="2"/>
  <c r="H9697" i="2"/>
  <c r="G9697" i="2"/>
  <c r="F9697" i="2"/>
  <c r="E9697" i="2"/>
  <c r="D9697" i="2"/>
  <c r="C9697" i="2"/>
  <c r="B9697" i="2"/>
  <c r="A9697" i="2"/>
  <c r="U9696" i="2"/>
  <c r="N9696" i="2"/>
  <c r="M9696" i="2"/>
  <c r="J9696" i="2"/>
  <c r="I9696" i="2"/>
  <c r="H9696" i="2"/>
  <c r="G9696" i="2"/>
  <c r="F9696" i="2"/>
  <c r="E9696" i="2"/>
  <c r="D9696" i="2"/>
  <c r="C9696" i="2"/>
  <c r="B9696" i="2"/>
  <c r="A9696" i="2"/>
  <c r="U9695" i="2"/>
  <c r="N9695" i="2"/>
  <c r="M9695" i="2"/>
  <c r="J9695" i="2"/>
  <c r="I9695" i="2"/>
  <c r="H9695" i="2"/>
  <c r="G9695" i="2"/>
  <c r="F9695" i="2"/>
  <c r="E9695" i="2"/>
  <c r="D9695" i="2"/>
  <c r="C9695" i="2"/>
  <c r="B9695" i="2"/>
  <c r="A9695" i="2"/>
  <c r="U9694" i="2"/>
  <c r="N9694" i="2"/>
  <c r="M9694" i="2"/>
  <c r="J9694" i="2"/>
  <c r="I9694" i="2"/>
  <c r="H9694" i="2"/>
  <c r="G9694" i="2"/>
  <c r="F9694" i="2"/>
  <c r="E9694" i="2"/>
  <c r="D9694" i="2"/>
  <c r="C9694" i="2"/>
  <c r="B9694" i="2"/>
  <c r="A9694" i="2"/>
  <c r="U9693" i="2"/>
  <c r="N9693" i="2"/>
  <c r="M9693" i="2"/>
  <c r="J9693" i="2"/>
  <c r="I9693" i="2"/>
  <c r="H9693" i="2"/>
  <c r="G9693" i="2"/>
  <c r="F9693" i="2"/>
  <c r="E9693" i="2"/>
  <c r="D9693" i="2"/>
  <c r="C9693" i="2"/>
  <c r="B9693" i="2"/>
  <c r="A9693" i="2"/>
  <c r="U9692" i="2"/>
  <c r="N9692" i="2"/>
  <c r="M9692" i="2"/>
  <c r="J9692" i="2"/>
  <c r="I9692" i="2"/>
  <c r="H9692" i="2"/>
  <c r="G9692" i="2"/>
  <c r="F9692" i="2"/>
  <c r="E9692" i="2"/>
  <c r="D9692" i="2"/>
  <c r="C9692" i="2"/>
  <c r="B9692" i="2"/>
  <c r="A9692" i="2"/>
  <c r="U9691" i="2"/>
  <c r="N9691" i="2"/>
  <c r="M9691" i="2"/>
  <c r="J9691" i="2"/>
  <c r="I9691" i="2"/>
  <c r="H9691" i="2"/>
  <c r="G9691" i="2"/>
  <c r="F9691" i="2"/>
  <c r="E9691" i="2"/>
  <c r="D9691" i="2"/>
  <c r="C9691" i="2"/>
  <c r="B9691" i="2"/>
  <c r="A9691" i="2"/>
  <c r="U9690" i="2"/>
  <c r="N9690" i="2"/>
  <c r="M9690" i="2"/>
  <c r="J9690" i="2"/>
  <c r="I9690" i="2"/>
  <c r="H9690" i="2"/>
  <c r="G9690" i="2"/>
  <c r="F9690" i="2"/>
  <c r="E9690" i="2"/>
  <c r="D9690" i="2"/>
  <c r="C9690" i="2"/>
  <c r="B9690" i="2"/>
  <c r="A9690" i="2"/>
  <c r="U9689" i="2"/>
  <c r="N9689" i="2"/>
  <c r="M9689" i="2"/>
  <c r="J9689" i="2"/>
  <c r="I9689" i="2"/>
  <c r="H9689" i="2"/>
  <c r="G9689" i="2"/>
  <c r="F9689" i="2"/>
  <c r="E9689" i="2"/>
  <c r="D9689" i="2"/>
  <c r="C9689" i="2"/>
  <c r="B9689" i="2"/>
  <c r="A9689" i="2"/>
  <c r="U9688" i="2"/>
  <c r="N9688" i="2"/>
  <c r="M9688" i="2"/>
  <c r="J9688" i="2"/>
  <c r="I9688" i="2"/>
  <c r="H9688" i="2"/>
  <c r="G9688" i="2"/>
  <c r="F9688" i="2"/>
  <c r="E9688" i="2"/>
  <c r="D9688" i="2"/>
  <c r="C9688" i="2"/>
  <c r="B9688" i="2"/>
  <c r="A9688" i="2"/>
  <c r="U9687" i="2"/>
  <c r="N9687" i="2"/>
  <c r="M9687" i="2"/>
  <c r="J9687" i="2"/>
  <c r="I9687" i="2"/>
  <c r="H9687" i="2"/>
  <c r="G9687" i="2"/>
  <c r="F9687" i="2"/>
  <c r="E9687" i="2"/>
  <c r="D9687" i="2"/>
  <c r="C9687" i="2"/>
  <c r="B9687" i="2"/>
  <c r="A9687" i="2"/>
  <c r="U9686" i="2"/>
  <c r="N9686" i="2"/>
  <c r="M9686" i="2"/>
  <c r="J9686" i="2"/>
  <c r="I9686" i="2"/>
  <c r="H9686" i="2"/>
  <c r="G9686" i="2"/>
  <c r="F9686" i="2"/>
  <c r="E9686" i="2"/>
  <c r="D9686" i="2"/>
  <c r="C9686" i="2"/>
  <c r="B9686" i="2"/>
  <c r="A9686" i="2"/>
  <c r="U9685" i="2"/>
  <c r="N9685" i="2"/>
  <c r="M9685" i="2"/>
  <c r="J9685" i="2"/>
  <c r="I9685" i="2"/>
  <c r="H9685" i="2"/>
  <c r="G9685" i="2"/>
  <c r="F9685" i="2"/>
  <c r="E9685" i="2"/>
  <c r="D9685" i="2"/>
  <c r="C9685" i="2"/>
  <c r="B9685" i="2"/>
  <c r="A9685" i="2"/>
  <c r="U9684" i="2"/>
  <c r="N9684" i="2"/>
  <c r="M9684" i="2"/>
  <c r="J9684" i="2"/>
  <c r="I9684" i="2"/>
  <c r="H9684" i="2"/>
  <c r="G9684" i="2"/>
  <c r="F9684" i="2"/>
  <c r="E9684" i="2"/>
  <c r="D9684" i="2"/>
  <c r="C9684" i="2"/>
  <c r="B9684" i="2"/>
  <c r="A9684" i="2"/>
  <c r="U9683" i="2"/>
  <c r="N9683" i="2"/>
  <c r="M9683" i="2"/>
  <c r="J9683" i="2"/>
  <c r="I9683" i="2"/>
  <c r="H9683" i="2"/>
  <c r="G9683" i="2"/>
  <c r="F9683" i="2"/>
  <c r="E9683" i="2"/>
  <c r="D9683" i="2"/>
  <c r="C9683" i="2"/>
  <c r="B9683" i="2"/>
  <c r="A9683" i="2"/>
  <c r="U9682" i="2"/>
  <c r="N9682" i="2"/>
  <c r="M9682" i="2"/>
  <c r="J9682" i="2"/>
  <c r="I9682" i="2"/>
  <c r="H9682" i="2"/>
  <c r="G9682" i="2"/>
  <c r="F9682" i="2"/>
  <c r="E9682" i="2"/>
  <c r="D9682" i="2"/>
  <c r="C9682" i="2"/>
  <c r="B9682" i="2"/>
  <c r="A9682" i="2"/>
  <c r="U9681" i="2"/>
  <c r="N9681" i="2"/>
  <c r="M9681" i="2"/>
  <c r="J9681" i="2"/>
  <c r="I9681" i="2"/>
  <c r="H9681" i="2"/>
  <c r="G9681" i="2"/>
  <c r="F9681" i="2"/>
  <c r="E9681" i="2"/>
  <c r="D9681" i="2"/>
  <c r="C9681" i="2"/>
  <c r="B9681" i="2"/>
  <c r="A9681" i="2"/>
  <c r="U9680" i="2"/>
  <c r="N9680" i="2"/>
  <c r="M9680" i="2"/>
  <c r="J9680" i="2"/>
  <c r="I9680" i="2"/>
  <c r="H9680" i="2"/>
  <c r="G9680" i="2"/>
  <c r="F9680" i="2"/>
  <c r="E9680" i="2"/>
  <c r="D9680" i="2"/>
  <c r="C9680" i="2"/>
  <c r="B9680" i="2"/>
  <c r="A9680" i="2"/>
  <c r="U9679" i="2"/>
  <c r="N9679" i="2"/>
  <c r="M9679" i="2"/>
  <c r="J9679" i="2"/>
  <c r="I9679" i="2"/>
  <c r="H9679" i="2"/>
  <c r="G9679" i="2"/>
  <c r="F9679" i="2"/>
  <c r="E9679" i="2"/>
  <c r="D9679" i="2"/>
  <c r="C9679" i="2"/>
  <c r="B9679" i="2"/>
  <c r="A9679" i="2"/>
  <c r="U9678" i="2"/>
  <c r="N9678" i="2"/>
  <c r="M9678" i="2"/>
  <c r="J9678" i="2"/>
  <c r="I9678" i="2"/>
  <c r="H9678" i="2"/>
  <c r="G9678" i="2"/>
  <c r="F9678" i="2"/>
  <c r="E9678" i="2"/>
  <c r="D9678" i="2"/>
  <c r="C9678" i="2"/>
  <c r="B9678" i="2"/>
  <c r="A9678" i="2"/>
  <c r="U9677" i="2"/>
  <c r="N9677" i="2"/>
  <c r="M9677" i="2"/>
  <c r="J9677" i="2"/>
  <c r="I9677" i="2"/>
  <c r="H9677" i="2"/>
  <c r="G9677" i="2"/>
  <c r="F9677" i="2"/>
  <c r="E9677" i="2"/>
  <c r="D9677" i="2"/>
  <c r="C9677" i="2"/>
  <c r="B9677" i="2"/>
  <c r="A9677" i="2"/>
  <c r="U9676" i="2"/>
  <c r="N9676" i="2"/>
  <c r="M9676" i="2"/>
  <c r="J9676" i="2"/>
  <c r="I9676" i="2"/>
  <c r="H9676" i="2"/>
  <c r="G9676" i="2"/>
  <c r="F9676" i="2"/>
  <c r="E9676" i="2"/>
  <c r="D9676" i="2"/>
  <c r="C9676" i="2"/>
  <c r="B9676" i="2"/>
  <c r="A9676" i="2"/>
  <c r="U9675" i="2"/>
  <c r="N9675" i="2"/>
  <c r="M9675" i="2"/>
  <c r="J9675" i="2"/>
  <c r="I9675" i="2"/>
  <c r="H9675" i="2"/>
  <c r="G9675" i="2"/>
  <c r="F9675" i="2"/>
  <c r="E9675" i="2"/>
  <c r="D9675" i="2"/>
  <c r="C9675" i="2"/>
  <c r="B9675" i="2"/>
  <c r="A9675" i="2"/>
  <c r="U9674" i="2"/>
  <c r="N9674" i="2"/>
  <c r="M9674" i="2"/>
  <c r="J9674" i="2"/>
  <c r="I9674" i="2"/>
  <c r="H9674" i="2"/>
  <c r="G9674" i="2"/>
  <c r="F9674" i="2"/>
  <c r="E9674" i="2"/>
  <c r="D9674" i="2"/>
  <c r="C9674" i="2"/>
  <c r="B9674" i="2"/>
  <c r="A9674" i="2"/>
  <c r="U9673" i="2"/>
  <c r="N9673" i="2"/>
  <c r="M9673" i="2"/>
  <c r="J9673" i="2"/>
  <c r="I9673" i="2"/>
  <c r="H9673" i="2"/>
  <c r="G9673" i="2"/>
  <c r="F9673" i="2"/>
  <c r="E9673" i="2"/>
  <c r="D9673" i="2"/>
  <c r="C9673" i="2"/>
  <c r="B9673" i="2"/>
  <c r="A9673" i="2"/>
  <c r="U9672" i="2"/>
  <c r="N9672" i="2"/>
  <c r="M9672" i="2"/>
  <c r="J9672" i="2"/>
  <c r="I9672" i="2"/>
  <c r="H9672" i="2"/>
  <c r="G9672" i="2"/>
  <c r="F9672" i="2"/>
  <c r="E9672" i="2"/>
  <c r="D9672" i="2"/>
  <c r="C9672" i="2"/>
  <c r="B9672" i="2"/>
  <c r="A9672" i="2"/>
  <c r="U9671" i="2"/>
  <c r="N9671" i="2"/>
  <c r="M9671" i="2"/>
  <c r="J9671" i="2"/>
  <c r="I9671" i="2"/>
  <c r="H9671" i="2"/>
  <c r="G9671" i="2"/>
  <c r="F9671" i="2"/>
  <c r="E9671" i="2"/>
  <c r="D9671" i="2"/>
  <c r="C9671" i="2"/>
  <c r="B9671" i="2"/>
  <c r="A9671" i="2"/>
  <c r="U9670" i="2"/>
  <c r="N9670" i="2"/>
  <c r="M9670" i="2"/>
  <c r="J9670" i="2"/>
  <c r="I9670" i="2"/>
  <c r="H9670" i="2"/>
  <c r="G9670" i="2"/>
  <c r="F9670" i="2"/>
  <c r="E9670" i="2"/>
  <c r="D9670" i="2"/>
  <c r="C9670" i="2"/>
  <c r="B9670" i="2"/>
  <c r="A9670" i="2"/>
  <c r="U9669" i="2"/>
  <c r="N9669" i="2"/>
  <c r="M9669" i="2"/>
  <c r="J9669" i="2"/>
  <c r="I9669" i="2"/>
  <c r="H9669" i="2"/>
  <c r="G9669" i="2"/>
  <c r="F9669" i="2"/>
  <c r="E9669" i="2"/>
  <c r="D9669" i="2"/>
  <c r="C9669" i="2"/>
  <c r="B9669" i="2"/>
  <c r="A9669" i="2"/>
  <c r="U9668" i="2"/>
  <c r="N9668" i="2"/>
  <c r="M9668" i="2"/>
  <c r="J9668" i="2"/>
  <c r="I9668" i="2"/>
  <c r="H9668" i="2"/>
  <c r="G9668" i="2"/>
  <c r="F9668" i="2"/>
  <c r="E9668" i="2"/>
  <c r="D9668" i="2"/>
  <c r="C9668" i="2"/>
  <c r="B9668" i="2"/>
  <c r="A9668" i="2"/>
  <c r="U9667" i="2"/>
  <c r="N9667" i="2"/>
  <c r="M9667" i="2"/>
  <c r="J9667" i="2"/>
  <c r="I9667" i="2"/>
  <c r="H9667" i="2"/>
  <c r="G9667" i="2"/>
  <c r="F9667" i="2"/>
  <c r="E9667" i="2"/>
  <c r="D9667" i="2"/>
  <c r="C9667" i="2"/>
  <c r="B9667" i="2"/>
  <c r="A9667" i="2"/>
  <c r="U9666" i="2"/>
  <c r="N9666" i="2"/>
  <c r="M9666" i="2"/>
  <c r="J9666" i="2"/>
  <c r="I9666" i="2"/>
  <c r="H9666" i="2"/>
  <c r="G9666" i="2"/>
  <c r="F9666" i="2"/>
  <c r="E9666" i="2"/>
  <c r="D9666" i="2"/>
  <c r="C9666" i="2"/>
  <c r="B9666" i="2"/>
  <c r="A9666" i="2"/>
  <c r="U9665" i="2"/>
  <c r="N9665" i="2"/>
  <c r="M9665" i="2"/>
  <c r="J9665" i="2"/>
  <c r="I9665" i="2"/>
  <c r="H9665" i="2"/>
  <c r="G9665" i="2"/>
  <c r="F9665" i="2"/>
  <c r="E9665" i="2"/>
  <c r="D9665" i="2"/>
  <c r="C9665" i="2"/>
  <c r="B9665" i="2"/>
  <c r="A9665" i="2"/>
  <c r="U9664" i="2"/>
  <c r="N9664" i="2"/>
  <c r="M9664" i="2"/>
  <c r="J9664" i="2"/>
  <c r="I9664" i="2"/>
  <c r="H9664" i="2"/>
  <c r="G9664" i="2"/>
  <c r="F9664" i="2"/>
  <c r="E9664" i="2"/>
  <c r="D9664" i="2"/>
  <c r="C9664" i="2"/>
  <c r="B9664" i="2"/>
  <c r="A9664" i="2"/>
  <c r="U9663" i="2"/>
  <c r="N9663" i="2"/>
  <c r="M9663" i="2"/>
  <c r="J9663" i="2"/>
  <c r="I9663" i="2"/>
  <c r="H9663" i="2"/>
  <c r="G9663" i="2"/>
  <c r="F9663" i="2"/>
  <c r="E9663" i="2"/>
  <c r="D9663" i="2"/>
  <c r="C9663" i="2"/>
  <c r="B9663" i="2"/>
  <c r="A9663" i="2"/>
  <c r="U9662" i="2"/>
  <c r="N9662" i="2"/>
  <c r="M9662" i="2"/>
  <c r="J9662" i="2"/>
  <c r="I9662" i="2"/>
  <c r="H9662" i="2"/>
  <c r="G9662" i="2"/>
  <c r="F9662" i="2"/>
  <c r="E9662" i="2"/>
  <c r="D9662" i="2"/>
  <c r="C9662" i="2"/>
  <c r="B9662" i="2"/>
  <c r="A9662" i="2"/>
  <c r="U9661" i="2"/>
  <c r="N9661" i="2"/>
  <c r="M9661" i="2"/>
  <c r="J9661" i="2"/>
  <c r="I9661" i="2"/>
  <c r="H9661" i="2"/>
  <c r="G9661" i="2"/>
  <c r="F9661" i="2"/>
  <c r="E9661" i="2"/>
  <c r="D9661" i="2"/>
  <c r="C9661" i="2"/>
  <c r="B9661" i="2"/>
  <c r="A9661" i="2"/>
  <c r="U9660" i="2"/>
  <c r="N9660" i="2"/>
  <c r="M9660" i="2"/>
  <c r="J9660" i="2"/>
  <c r="I9660" i="2"/>
  <c r="H9660" i="2"/>
  <c r="G9660" i="2"/>
  <c r="F9660" i="2"/>
  <c r="E9660" i="2"/>
  <c r="D9660" i="2"/>
  <c r="C9660" i="2"/>
  <c r="B9660" i="2"/>
  <c r="A9660" i="2"/>
  <c r="U9659" i="2"/>
  <c r="N9659" i="2"/>
  <c r="M9659" i="2"/>
  <c r="J9659" i="2"/>
  <c r="I9659" i="2"/>
  <c r="H9659" i="2"/>
  <c r="G9659" i="2"/>
  <c r="F9659" i="2"/>
  <c r="E9659" i="2"/>
  <c r="D9659" i="2"/>
  <c r="C9659" i="2"/>
  <c r="B9659" i="2"/>
  <c r="A9659" i="2"/>
  <c r="U9658" i="2"/>
  <c r="N9658" i="2"/>
  <c r="M9658" i="2"/>
  <c r="J9658" i="2"/>
  <c r="I9658" i="2"/>
  <c r="H9658" i="2"/>
  <c r="G9658" i="2"/>
  <c r="F9658" i="2"/>
  <c r="E9658" i="2"/>
  <c r="D9658" i="2"/>
  <c r="C9658" i="2"/>
  <c r="B9658" i="2"/>
  <c r="A9658" i="2"/>
  <c r="U9657" i="2"/>
  <c r="N9657" i="2"/>
  <c r="M9657" i="2"/>
  <c r="J9657" i="2"/>
  <c r="I9657" i="2"/>
  <c r="H9657" i="2"/>
  <c r="G9657" i="2"/>
  <c r="F9657" i="2"/>
  <c r="E9657" i="2"/>
  <c r="D9657" i="2"/>
  <c r="C9657" i="2"/>
  <c r="B9657" i="2"/>
  <c r="A9657" i="2"/>
  <c r="U9656" i="2"/>
  <c r="N9656" i="2"/>
  <c r="M9656" i="2"/>
  <c r="J9656" i="2"/>
  <c r="I9656" i="2"/>
  <c r="H9656" i="2"/>
  <c r="G9656" i="2"/>
  <c r="F9656" i="2"/>
  <c r="E9656" i="2"/>
  <c r="D9656" i="2"/>
  <c r="C9656" i="2"/>
  <c r="B9656" i="2"/>
  <c r="A9656" i="2"/>
  <c r="U9655" i="2"/>
  <c r="N9655" i="2"/>
  <c r="M9655" i="2"/>
  <c r="J9655" i="2"/>
  <c r="I9655" i="2"/>
  <c r="H9655" i="2"/>
  <c r="G9655" i="2"/>
  <c r="F9655" i="2"/>
  <c r="E9655" i="2"/>
  <c r="D9655" i="2"/>
  <c r="C9655" i="2"/>
  <c r="B9655" i="2"/>
  <c r="A9655" i="2"/>
  <c r="U9654" i="2"/>
  <c r="N9654" i="2"/>
  <c r="M9654" i="2"/>
  <c r="J9654" i="2"/>
  <c r="I9654" i="2"/>
  <c r="H9654" i="2"/>
  <c r="G9654" i="2"/>
  <c r="F9654" i="2"/>
  <c r="E9654" i="2"/>
  <c r="D9654" i="2"/>
  <c r="C9654" i="2"/>
  <c r="B9654" i="2"/>
  <c r="A9654" i="2"/>
  <c r="U9653" i="2"/>
  <c r="N9653" i="2"/>
  <c r="M9653" i="2"/>
  <c r="J9653" i="2"/>
  <c r="I9653" i="2"/>
  <c r="H9653" i="2"/>
  <c r="G9653" i="2"/>
  <c r="F9653" i="2"/>
  <c r="E9653" i="2"/>
  <c r="D9653" i="2"/>
  <c r="C9653" i="2"/>
  <c r="B9653" i="2"/>
  <c r="A9653" i="2"/>
  <c r="U9652" i="2"/>
  <c r="N9652" i="2"/>
  <c r="M9652" i="2"/>
  <c r="J9652" i="2"/>
  <c r="I9652" i="2"/>
  <c r="H9652" i="2"/>
  <c r="G9652" i="2"/>
  <c r="F9652" i="2"/>
  <c r="E9652" i="2"/>
  <c r="D9652" i="2"/>
  <c r="C9652" i="2"/>
  <c r="B9652" i="2"/>
  <c r="A9652" i="2"/>
  <c r="U9651" i="2"/>
  <c r="N9651" i="2"/>
  <c r="M9651" i="2"/>
  <c r="J9651" i="2"/>
  <c r="I9651" i="2"/>
  <c r="H9651" i="2"/>
  <c r="G9651" i="2"/>
  <c r="F9651" i="2"/>
  <c r="E9651" i="2"/>
  <c r="D9651" i="2"/>
  <c r="C9651" i="2"/>
  <c r="B9651" i="2"/>
  <c r="A9651" i="2"/>
  <c r="U9650" i="2"/>
  <c r="N9650" i="2"/>
  <c r="M9650" i="2"/>
  <c r="J9650" i="2"/>
  <c r="I9650" i="2"/>
  <c r="H9650" i="2"/>
  <c r="G9650" i="2"/>
  <c r="F9650" i="2"/>
  <c r="E9650" i="2"/>
  <c r="D9650" i="2"/>
  <c r="C9650" i="2"/>
  <c r="B9650" i="2"/>
  <c r="A9650" i="2"/>
  <c r="U9649" i="2"/>
  <c r="N9649" i="2"/>
  <c r="M9649" i="2"/>
  <c r="J9649" i="2"/>
  <c r="I9649" i="2"/>
  <c r="H9649" i="2"/>
  <c r="G9649" i="2"/>
  <c r="F9649" i="2"/>
  <c r="E9649" i="2"/>
  <c r="D9649" i="2"/>
  <c r="C9649" i="2"/>
  <c r="B9649" i="2"/>
  <c r="A9649" i="2"/>
  <c r="U9648" i="2"/>
  <c r="N9648" i="2"/>
  <c r="M9648" i="2"/>
  <c r="J9648" i="2"/>
  <c r="I9648" i="2"/>
  <c r="H9648" i="2"/>
  <c r="G9648" i="2"/>
  <c r="F9648" i="2"/>
  <c r="E9648" i="2"/>
  <c r="D9648" i="2"/>
  <c r="C9648" i="2"/>
  <c r="B9648" i="2"/>
  <c r="A9648" i="2"/>
  <c r="U9647" i="2"/>
  <c r="N9647" i="2"/>
  <c r="M9647" i="2"/>
  <c r="J9647" i="2"/>
  <c r="I9647" i="2"/>
  <c r="H9647" i="2"/>
  <c r="G9647" i="2"/>
  <c r="F9647" i="2"/>
  <c r="E9647" i="2"/>
  <c r="D9647" i="2"/>
  <c r="C9647" i="2"/>
  <c r="B9647" i="2"/>
  <c r="A9647" i="2"/>
  <c r="U9646" i="2"/>
  <c r="N9646" i="2"/>
  <c r="M9646" i="2"/>
  <c r="J9646" i="2"/>
  <c r="I9646" i="2"/>
  <c r="H9646" i="2"/>
  <c r="G9646" i="2"/>
  <c r="F9646" i="2"/>
  <c r="E9646" i="2"/>
  <c r="D9646" i="2"/>
  <c r="C9646" i="2"/>
  <c r="B9646" i="2"/>
  <c r="A9646" i="2"/>
  <c r="U9645" i="2"/>
  <c r="N9645" i="2"/>
  <c r="M9645" i="2"/>
  <c r="J9645" i="2"/>
  <c r="I9645" i="2"/>
  <c r="H9645" i="2"/>
  <c r="G9645" i="2"/>
  <c r="F9645" i="2"/>
  <c r="E9645" i="2"/>
  <c r="D9645" i="2"/>
  <c r="C9645" i="2"/>
  <c r="B9645" i="2"/>
  <c r="A9645" i="2"/>
  <c r="U9644" i="2"/>
  <c r="N9644" i="2"/>
  <c r="M9644" i="2"/>
  <c r="J9644" i="2"/>
  <c r="I9644" i="2"/>
  <c r="H9644" i="2"/>
  <c r="G9644" i="2"/>
  <c r="F9644" i="2"/>
  <c r="E9644" i="2"/>
  <c r="D9644" i="2"/>
  <c r="C9644" i="2"/>
  <c r="B9644" i="2"/>
  <c r="A9644" i="2"/>
  <c r="U9643" i="2"/>
  <c r="N9643" i="2"/>
  <c r="M9643" i="2"/>
  <c r="J9643" i="2"/>
  <c r="I9643" i="2"/>
  <c r="H9643" i="2"/>
  <c r="G9643" i="2"/>
  <c r="F9643" i="2"/>
  <c r="E9643" i="2"/>
  <c r="D9643" i="2"/>
  <c r="C9643" i="2"/>
  <c r="B9643" i="2"/>
  <c r="A9643" i="2"/>
  <c r="U9642" i="2"/>
  <c r="N9642" i="2"/>
  <c r="M9642" i="2"/>
  <c r="J9642" i="2"/>
  <c r="I9642" i="2"/>
  <c r="H9642" i="2"/>
  <c r="G9642" i="2"/>
  <c r="F9642" i="2"/>
  <c r="E9642" i="2"/>
  <c r="D9642" i="2"/>
  <c r="C9642" i="2"/>
  <c r="B9642" i="2"/>
  <c r="A9642" i="2"/>
  <c r="U9641" i="2"/>
  <c r="N9641" i="2"/>
  <c r="M9641" i="2"/>
  <c r="J9641" i="2"/>
  <c r="I9641" i="2"/>
  <c r="H9641" i="2"/>
  <c r="G9641" i="2"/>
  <c r="F9641" i="2"/>
  <c r="E9641" i="2"/>
  <c r="D9641" i="2"/>
  <c r="C9641" i="2"/>
  <c r="B9641" i="2"/>
  <c r="A9641" i="2"/>
  <c r="U9640" i="2"/>
  <c r="N9640" i="2"/>
  <c r="M9640" i="2"/>
  <c r="J9640" i="2"/>
  <c r="I9640" i="2"/>
  <c r="H9640" i="2"/>
  <c r="G9640" i="2"/>
  <c r="F9640" i="2"/>
  <c r="E9640" i="2"/>
  <c r="D9640" i="2"/>
  <c r="C9640" i="2"/>
  <c r="B9640" i="2"/>
  <c r="A9640" i="2"/>
  <c r="U9639" i="2"/>
  <c r="N9639" i="2"/>
  <c r="M9639" i="2"/>
  <c r="J9639" i="2"/>
  <c r="I9639" i="2"/>
  <c r="H9639" i="2"/>
  <c r="G9639" i="2"/>
  <c r="F9639" i="2"/>
  <c r="E9639" i="2"/>
  <c r="D9639" i="2"/>
  <c r="C9639" i="2"/>
  <c r="B9639" i="2"/>
  <c r="A9639" i="2"/>
  <c r="U9638" i="2"/>
  <c r="N9638" i="2"/>
  <c r="M9638" i="2"/>
  <c r="J9638" i="2"/>
  <c r="I9638" i="2"/>
  <c r="H9638" i="2"/>
  <c r="G9638" i="2"/>
  <c r="F9638" i="2"/>
  <c r="E9638" i="2"/>
  <c r="D9638" i="2"/>
  <c r="C9638" i="2"/>
  <c r="B9638" i="2"/>
  <c r="A9638" i="2"/>
  <c r="U9637" i="2"/>
  <c r="N9637" i="2"/>
  <c r="M9637" i="2"/>
  <c r="J9637" i="2"/>
  <c r="I9637" i="2"/>
  <c r="H9637" i="2"/>
  <c r="G9637" i="2"/>
  <c r="F9637" i="2"/>
  <c r="E9637" i="2"/>
  <c r="D9637" i="2"/>
  <c r="C9637" i="2"/>
  <c r="B9637" i="2"/>
  <c r="A9637" i="2"/>
  <c r="U9636" i="2"/>
  <c r="N9636" i="2"/>
  <c r="M9636" i="2"/>
  <c r="J9636" i="2"/>
  <c r="I9636" i="2"/>
  <c r="H9636" i="2"/>
  <c r="G9636" i="2"/>
  <c r="F9636" i="2"/>
  <c r="E9636" i="2"/>
  <c r="D9636" i="2"/>
  <c r="C9636" i="2"/>
  <c r="B9636" i="2"/>
  <c r="A9636" i="2"/>
  <c r="U9635" i="2"/>
  <c r="N9635" i="2"/>
  <c r="M9635" i="2"/>
  <c r="J9635" i="2"/>
  <c r="I9635" i="2"/>
  <c r="H9635" i="2"/>
  <c r="G9635" i="2"/>
  <c r="F9635" i="2"/>
  <c r="E9635" i="2"/>
  <c r="D9635" i="2"/>
  <c r="C9635" i="2"/>
  <c r="B9635" i="2"/>
  <c r="A9635" i="2"/>
  <c r="U9634" i="2"/>
  <c r="N9634" i="2"/>
  <c r="M9634" i="2"/>
  <c r="J9634" i="2"/>
  <c r="I9634" i="2"/>
  <c r="H9634" i="2"/>
  <c r="G9634" i="2"/>
  <c r="F9634" i="2"/>
  <c r="E9634" i="2"/>
  <c r="D9634" i="2"/>
  <c r="C9634" i="2"/>
  <c r="B9634" i="2"/>
  <c r="A9634" i="2"/>
  <c r="U9633" i="2"/>
  <c r="N9633" i="2"/>
  <c r="M9633" i="2"/>
  <c r="J9633" i="2"/>
  <c r="I9633" i="2"/>
  <c r="H9633" i="2"/>
  <c r="G9633" i="2"/>
  <c r="F9633" i="2"/>
  <c r="E9633" i="2"/>
  <c r="D9633" i="2"/>
  <c r="C9633" i="2"/>
  <c r="B9633" i="2"/>
  <c r="A9633" i="2"/>
  <c r="U9632" i="2"/>
  <c r="N9632" i="2"/>
  <c r="M9632" i="2"/>
  <c r="J9632" i="2"/>
  <c r="I9632" i="2"/>
  <c r="H9632" i="2"/>
  <c r="G9632" i="2"/>
  <c r="F9632" i="2"/>
  <c r="E9632" i="2"/>
  <c r="D9632" i="2"/>
  <c r="C9632" i="2"/>
  <c r="B9632" i="2"/>
  <c r="A9632" i="2"/>
  <c r="U9631" i="2"/>
  <c r="N9631" i="2"/>
  <c r="M9631" i="2"/>
  <c r="J9631" i="2"/>
  <c r="I9631" i="2"/>
  <c r="H9631" i="2"/>
  <c r="G9631" i="2"/>
  <c r="F9631" i="2"/>
  <c r="E9631" i="2"/>
  <c r="D9631" i="2"/>
  <c r="C9631" i="2"/>
  <c r="B9631" i="2"/>
  <c r="A9631" i="2"/>
  <c r="U9630" i="2"/>
  <c r="N9630" i="2"/>
  <c r="M9630" i="2"/>
  <c r="J9630" i="2"/>
  <c r="I9630" i="2"/>
  <c r="H9630" i="2"/>
  <c r="G9630" i="2"/>
  <c r="F9630" i="2"/>
  <c r="E9630" i="2"/>
  <c r="D9630" i="2"/>
  <c r="C9630" i="2"/>
  <c r="B9630" i="2"/>
  <c r="A9630" i="2"/>
  <c r="U9629" i="2"/>
  <c r="N9629" i="2"/>
  <c r="M9629" i="2"/>
  <c r="J9629" i="2"/>
  <c r="I9629" i="2"/>
  <c r="H9629" i="2"/>
  <c r="G9629" i="2"/>
  <c r="F9629" i="2"/>
  <c r="E9629" i="2"/>
  <c r="D9629" i="2"/>
  <c r="C9629" i="2"/>
  <c r="B9629" i="2"/>
  <c r="A9629" i="2"/>
  <c r="U9628" i="2"/>
  <c r="N9628" i="2"/>
  <c r="M9628" i="2"/>
  <c r="J9628" i="2"/>
  <c r="I9628" i="2"/>
  <c r="H9628" i="2"/>
  <c r="G9628" i="2"/>
  <c r="F9628" i="2"/>
  <c r="E9628" i="2"/>
  <c r="D9628" i="2"/>
  <c r="C9628" i="2"/>
  <c r="B9628" i="2"/>
  <c r="A9628" i="2"/>
  <c r="U9627" i="2"/>
  <c r="N9627" i="2"/>
  <c r="M9627" i="2"/>
  <c r="J9627" i="2"/>
  <c r="I9627" i="2"/>
  <c r="H9627" i="2"/>
  <c r="G9627" i="2"/>
  <c r="F9627" i="2"/>
  <c r="E9627" i="2"/>
  <c r="D9627" i="2"/>
  <c r="C9627" i="2"/>
  <c r="B9627" i="2"/>
  <c r="A9627" i="2"/>
  <c r="U9626" i="2"/>
  <c r="N9626" i="2"/>
  <c r="M9626" i="2"/>
  <c r="J9626" i="2"/>
  <c r="I9626" i="2"/>
  <c r="H9626" i="2"/>
  <c r="G9626" i="2"/>
  <c r="F9626" i="2"/>
  <c r="E9626" i="2"/>
  <c r="D9626" i="2"/>
  <c r="C9626" i="2"/>
  <c r="B9626" i="2"/>
  <c r="A9626" i="2"/>
  <c r="U9625" i="2"/>
  <c r="N9625" i="2"/>
  <c r="M9625" i="2"/>
  <c r="J9625" i="2"/>
  <c r="I9625" i="2"/>
  <c r="H9625" i="2"/>
  <c r="G9625" i="2"/>
  <c r="F9625" i="2"/>
  <c r="E9625" i="2"/>
  <c r="D9625" i="2"/>
  <c r="C9625" i="2"/>
  <c r="B9625" i="2"/>
  <c r="A9625" i="2"/>
  <c r="U9624" i="2"/>
  <c r="N9624" i="2"/>
  <c r="M9624" i="2"/>
  <c r="J9624" i="2"/>
  <c r="I9624" i="2"/>
  <c r="H9624" i="2"/>
  <c r="G9624" i="2"/>
  <c r="F9624" i="2"/>
  <c r="E9624" i="2"/>
  <c r="D9624" i="2"/>
  <c r="C9624" i="2"/>
  <c r="B9624" i="2"/>
  <c r="A9624" i="2"/>
  <c r="U9623" i="2"/>
  <c r="N9623" i="2"/>
  <c r="M9623" i="2"/>
  <c r="J9623" i="2"/>
  <c r="I9623" i="2"/>
  <c r="H9623" i="2"/>
  <c r="G9623" i="2"/>
  <c r="F9623" i="2"/>
  <c r="E9623" i="2"/>
  <c r="D9623" i="2"/>
  <c r="C9623" i="2"/>
  <c r="B9623" i="2"/>
  <c r="A9623" i="2"/>
  <c r="U9622" i="2"/>
  <c r="N9622" i="2"/>
  <c r="M9622" i="2"/>
  <c r="J9622" i="2"/>
  <c r="I9622" i="2"/>
  <c r="H9622" i="2"/>
  <c r="G9622" i="2"/>
  <c r="F9622" i="2"/>
  <c r="E9622" i="2"/>
  <c r="D9622" i="2"/>
  <c r="C9622" i="2"/>
  <c r="B9622" i="2"/>
  <c r="A9622" i="2"/>
  <c r="U9621" i="2"/>
  <c r="N9621" i="2"/>
  <c r="M9621" i="2"/>
  <c r="J9621" i="2"/>
  <c r="I9621" i="2"/>
  <c r="H9621" i="2"/>
  <c r="G9621" i="2"/>
  <c r="F9621" i="2"/>
  <c r="E9621" i="2"/>
  <c r="D9621" i="2"/>
  <c r="C9621" i="2"/>
  <c r="B9621" i="2"/>
  <c r="A9621" i="2"/>
  <c r="U9620" i="2"/>
  <c r="N9620" i="2"/>
  <c r="M9620" i="2"/>
  <c r="J9620" i="2"/>
  <c r="I9620" i="2"/>
  <c r="H9620" i="2"/>
  <c r="G9620" i="2"/>
  <c r="F9620" i="2"/>
  <c r="E9620" i="2"/>
  <c r="D9620" i="2"/>
  <c r="C9620" i="2"/>
  <c r="B9620" i="2"/>
  <c r="A9620" i="2"/>
  <c r="U9619" i="2"/>
  <c r="N9619" i="2"/>
  <c r="M9619" i="2"/>
  <c r="J9619" i="2"/>
  <c r="I9619" i="2"/>
  <c r="H9619" i="2"/>
  <c r="G9619" i="2"/>
  <c r="F9619" i="2"/>
  <c r="E9619" i="2"/>
  <c r="D9619" i="2"/>
  <c r="C9619" i="2"/>
  <c r="B9619" i="2"/>
  <c r="A9619" i="2"/>
  <c r="U9618" i="2"/>
  <c r="N9618" i="2"/>
  <c r="M9618" i="2"/>
  <c r="J9618" i="2"/>
  <c r="I9618" i="2"/>
  <c r="H9618" i="2"/>
  <c r="G9618" i="2"/>
  <c r="F9618" i="2"/>
  <c r="E9618" i="2"/>
  <c r="D9618" i="2"/>
  <c r="C9618" i="2"/>
  <c r="B9618" i="2"/>
  <c r="A9618" i="2"/>
  <c r="U9617" i="2"/>
  <c r="N9617" i="2"/>
  <c r="M9617" i="2"/>
  <c r="J9617" i="2"/>
  <c r="I9617" i="2"/>
  <c r="H9617" i="2"/>
  <c r="G9617" i="2"/>
  <c r="F9617" i="2"/>
  <c r="E9617" i="2"/>
  <c r="D9617" i="2"/>
  <c r="C9617" i="2"/>
  <c r="B9617" i="2"/>
  <c r="A9617" i="2"/>
  <c r="U9616" i="2"/>
  <c r="N9616" i="2"/>
  <c r="M9616" i="2"/>
  <c r="J9616" i="2"/>
  <c r="I9616" i="2"/>
  <c r="H9616" i="2"/>
  <c r="G9616" i="2"/>
  <c r="F9616" i="2"/>
  <c r="E9616" i="2"/>
  <c r="D9616" i="2"/>
  <c r="C9616" i="2"/>
  <c r="B9616" i="2"/>
  <c r="A9616" i="2"/>
  <c r="U9615" i="2"/>
  <c r="N9615" i="2"/>
  <c r="M9615" i="2"/>
  <c r="J9615" i="2"/>
  <c r="I9615" i="2"/>
  <c r="H9615" i="2"/>
  <c r="G9615" i="2"/>
  <c r="F9615" i="2"/>
  <c r="E9615" i="2"/>
  <c r="D9615" i="2"/>
  <c r="C9615" i="2"/>
  <c r="B9615" i="2"/>
  <c r="A9615" i="2"/>
  <c r="U9614" i="2"/>
  <c r="N9614" i="2"/>
  <c r="M9614" i="2"/>
  <c r="J9614" i="2"/>
  <c r="I9614" i="2"/>
  <c r="H9614" i="2"/>
  <c r="G9614" i="2"/>
  <c r="F9614" i="2"/>
  <c r="E9614" i="2"/>
  <c r="D9614" i="2"/>
  <c r="C9614" i="2"/>
  <c r="B9614" i="2"/>
  <c r="A9614" i="2"/>
  <c r="U9613" i="2"/>
  <c r="N9613" i="2"/>
  <c r="M9613" i="2"/>
  <c r="J9613" i="2"/>
  <c r="I9613" i="2"/>
  <c r="H9613" i="2"/>
  <c r="G9613" i="2"/>
  <c r="F9613" i="2"/>
  <c r="E9613" i="2"/>
  <c r="D9613" i="2"/>
  <c r="C9613" i="2"/>
  <c r="B9613" i="2"/>
  <c r="A9613" i="2"/>
  <c r="U9612" i="2"/>
  <c r="N9612" i="2"/>
  <c r="M9612" i="2"/>
  <c r="J9612" i="2"/>
  <c r="I9612" i="2"/>
  <c r="H9612" i="2"/>
  <c r="G9612" i="2"/>
  <c r="F9612" i="2"/>
  <c r="E9612" i="2"/>
  <c r="D9612" i="2"/>
  <c r="C9612" i="2"/>
  <c r="B9612" i="2"/>
  <c r="A9612" i="2"/>
  <c r="U9611" i="2"/>
  <c r="N9611" i="2"/>
  <c r="M9611" i="2"/>
  <c r="J9611" i="2"/>
  <c r="I9611" i="2"/>
  <c r="H9611" i="2"/>
  <c r="G9611" i="2"/>
  <c r="F9611" i="2"/>
  <c r="E9611" i="2"/>
  <c r="D9611" i="2"/>
  <c r="C9611" i="2"/>
  <c r="B9611" i="2"/>
  <c r="A9611" i="2"/>
  <c r="U9610" i="2"/>
  <c r="N9610" i="2"/>
  <c r="M9610" i="2"/>
  <c r="J9610" i="2"/>
  <c r="I9610" i="2"/>
  <c r="H9610" i="2"/>
  <c r="G9610" i="2"/>
  <c r="F9610" i="2"/>
  <c r="E9610" i="2"/>
  <c r="D9610" i="2"/>
  <c r="C9610" i="2"/>
  <c r="B9610" i="2"/>
  <c r="A9610" i="2"/>
  <c r="U9609" i="2"/>
  <c r="N9609" i="2"/>
  <c r="M9609" i="2"/>
  <c r="J9609" i="2"/>
  <c r="I9609" i="2"/>
  <c r="H9609" i="2"/>
  <c r="G9609" i="2"/>
  <c r="F9609" i="2"/>
  <c r="E9609" i="2"/>
  <c r="D9609" i="2"/>
  <c r="C9609" i="2"/>
  <c r="B9609" i="2"/>
  <c r="A9609" i="2"/>
  <c r="U9608" i="2"/>
  <c r="N9608" i="2"/>
  <c r="M9608" i="2"/>
  <c r="J9608" i="2"/>
  <c r="I9608" i="2"/>
  <c r="H9608" i="2"/>
  <c r="G9608" i="2"/>
  <c r="F9608" i="2"/>
  <c r="E9608" i="2"/>
  <c r="D9608" i="2"/>
  <c r="C9608" i="2"/>
  <c r="B9608" i="2"/>
  <c r="A9608" i="2"/>
  <c r="U9607" i="2"/>
  <c r="N9607" i="2"/>
  <c r="M9607" i="2"/>
  <c r="J9607" i="2"/>
  <c r="I9607" i="2"/>
  <c r="H9607" i="2"/>
  <c r="G9607" i="2"/>
  <c r="F9607" i="2"/>
  <c r="E9607" i="2"/>
  <c r="D9607" i="2"/>
  <c r="C9607" i="2"/>
  <c r="B9607" i="2"/>
  <c r="A9607" i="2"/>
  <c r="U9606" i="2"/>
  <c r="N9606" i="2"/>
  <c r="M9606" i="2"/>
  <c r="J9606" i="2"/>
  <c r="I9606" i="2"/>
  <c r="H9606" i="2"/>
  <c r="G9606" i="2"/>
  <c r="F9606" i="2"/>
  <c r="E9606" i="2"/>
  <c r="D9606" i="2"/>
  <c r="C9606" i="2"/>
  <c r="B9606" i="2"/>
  <c r="A9606" i="2"/>
  <c r="U9605" i="2"/>
  <c r="N9605" i="2"/>
  <c r="M9605" i="2"/>
  <c r="J9605" i="2"/>
  <c r="I9605" i="2"/>
  <c r="H9605" i="2"/>
  <c r="G9605" i="2"/>
  <c r="F9605" i="2"/>
  <c r="E9605" i="2"/>
  <c r="D9605" i="2"/>
  <c r="C9605" i="2"/>
  <c r="B9605" i="2"/>
  <c r="A9605" i="2"/>
  <c r="U9604" i="2"/>
  <c r="N9604" i="2"/>
  <c r="M9604" i="2"/>
  <c r="J9604" i="2"/>
  <c r="I9604" i="2"/>
  <c r="H9604" i="2"/>
  <c r="G9604" i="2"/>
  <c r="F9604" i="2"/>
  <c r="E9604" i="2"/>
  <c r="D9604" i="2"/>
  <c r="C9604" i="2"/>
  <c r="B9604" i="2"/>
  <c r="A9604" i="2"/>
  <c r="U9603" i="2"/>
  <c r="N9603" i="2"/>
  <c r="M9603" i="2"/>
  <c r="J9603" i="2"/>
  <c r="I9603" i="2"/>
  <c r="H9603" i="2"/>
  <c r="G9603" i="2"/>
  <c r="F9603" i="2"/>
  <c r="E9603" i="2"/>
  <c r="D9603" i="2"/>
  <c r="C9603" i="2"/>
  <c r="B9603" i="2"/>
  <c r="A9603" i="2"/>
  <c r="U9602" i="2"/>
  <c r="N9602" i="2"/>
  <c r="M9602" i="2"/>
  <c r="J9602" i="2"/>
  <c r="I9602" i="2"/>
  <c r="H9602" i="2"/>
  <c r="G9602" i="2"/>
  <c r="F9602" i="2"/>
  <c r="E9602" i="2"/>
  <c r="D9602" i="2"/>
  <c r="C9602" i="2"/>
  <c r="B9602" i="2"/>
  <c r="A9602" i="2"/>
  <c r="U9601" i="2"/>
  <c r="N9601" i="2"/>
  <c r="M9601" i="2"/>
  <c r="J9601" i="2"/>
  <c r="I9601" i="2"/>
  <c r="H9601" i="2"/>
  <c r="G9601" i="2"/>
  <c r="F9601" i="2"/>
  <c r="E9601" i="2"/>
  <c r="D9601" i="2"/>
  <c r="C9601" i="2"/>
  <c r="B9601" i="2"/>
  <c r="A9601" i="2"/>
  <c r="U9600" i="2"/>
  <c r="N9600" i="2"/>
  <c r="M9600" i="2"/>
  <c r="J9600" i="2"/>
  <c r="I9600" i="2"/>
  <c r="H9600" i="2"/>
  <c r="G9600" i="2"/>
  <c r="F9600" i="2"/>
  <c r="E9600" i="2"/>
  <c r="D9600" i="2"/>
  <c r="C9600" i="2"/>
  <c r="B9600" i="2"/>
  <c r="A9600" i="2"/>
  <c r="U9599" i="2"/>
  <c r="N9599" i="2"/>
  <c r="M9599" i="2"/>
  <c r="J9599" i="2"/>
  <c r="I9599" i="2"/>
  <c r="H9599" i="2"/>
  <c r="G9599" i="2"/>
  <c r="F9599" i="2"/>
  <c r="E9599" i="2"/>
  <c r="D9599" i="2"/>
  <c r="C9599" i="2"/>
  <c r="B9599" i="2"/>
  <c r="A9599" i="2"/>
  <c r="U9598" i="2"/>
  <c r="N9598" i="2"/>
  <c r="M9598" i="2"/>
  <c r="J9598" i="2"/>
  <c r="I9598" i="2"/>
  <c r="H9598" i="2"/>
  <c r="G9598" i="2"/>
  <c r="F9598" i="2"/>
  <c r="E9598" i="2"/>
  <c r="D9598" i="2"/>
  <c r="C9598" i="2"/>
  <c r="B9598" i="2"/>
  <c r="A9598" i="2"/>
  <c r="U9597" i="2"/>
  <c r="N9597" i="2"/>
  <c r="M9597" i="2"/>
  <c r="J9597" i="2"/>
  <c r="I9597" i="2"/>
  <c r="H9597" i="2"/>
  <c r="G9597" i="2"/>
  <c r="F9597" i="2"/>
  <c r="E9597" i="2"/>
  <c r="D9597" i="2"/>
  <c r="C9597" i="2"/>
  <c r="B9597" i="2"/>
  <c r="A9597" i="2"/>
  <c r="U9596" i="2"/>
  <c r="N9596" i="2"/>
  <c r="M9596" i="2"/>
  <c r="J9596" i="2"/>
  <c r="I9596" i="2"/>
  <c r="H9596" i="2"/>
  <c r="G9596" i="2"/>
  <c r="F9596" i="2"/>
  <c r="E9596" i="2"/>
  <c r="D9596" i="2"/>
  <c r="C9596" i="2"/>
  <c r="B9596" i="2"/>
  <c r="A9596" i="2"/>
  <c r="U9595" i="2"/>
  <c r="N9595" i="2"/>
  <c r="M9595" i="2"/>
  <c r="J9595" i="2"/>
  <c r="I9595" i="2"/>
  <c r="H9595" i="2"/>
  <c r="G9595" i="2"/>
  <c r="F9595" i="2"/>
  <c r="E9595" i="2"/>
  <c r="D9595" i="2"/>
  <c r="C9595" i="2"/>
  <c r="B9595" i="2"/>
  <c r="A9595" i="2"/>
  <c r="U9594" i="2"/>
  <c r="N9594" i="2"/>
  <c r="M9594" i="2"/>
  <c r="J9594" i="2"/>
  <c r="I9594" i="2"/>
  <c r="H9594" i="2"/>
  <c r="G9594" i="2"/>
  <c r="F9594" i="2"/>
  <c r="E9594" i="2"/>
  <c r="D9594" i="2"/>
  <c r="C9594" i="2"/>
  <c r="B9594" i="2"/>
  <c r="A9594" i="2"/>
  <c r="U9593" i="2"/>
  <c r="N9593" i="2"/>
  <c r="M9593" i="2"/>
  <c r="J9593" i="2"/>
  <c r="I9593" i="2"/>
  <c r="H9593" i="2"/>
  <c r="G9593" i="2"/>
  <c r="F9593" i="2"/>
  <c r="E9593" i="2"/>
  <c r="D9593" i="2"/>
  <c r="C9593" i="2"/>
  <c r="B9593" i="2"/>
  <c r="A9593" i="2"/>
  <c r="U9592" i="2"/>
  <c r="N9592" i="2"/>
  <c r="M9592" i="2"/>
  <c r="J9592" i="2"/>
  <c r="I9592" i="2"/>
  <c r="H9592" i="2"/>
  <c r="G9592" i="2"/>
  <c r="F9592" i="2"/>
  <c r="E9592" i="2"/>
  <c r="D9592" i="2"/>
  <c r="C9592" i="2"/>
  <c r="B9592" i="2"/>
  <c r="A9592" i="2"/>
  <c r="U9591" i="2"/>
  <c r="N9591" i="2"/>
  <c r="M9591" i="2"/>
  <c r="J9591" i="2"/>
  <c r="I9591" i="2"/>
  <c r="H9591" i="2"/>
  <c r="G9591" i="2"/>
  <c r="F9591" i="2"/>
  <c r="E9591" i="2"/>
  <c r="D9591" i="2"/>
  <c r="C9591" i="2"/>
  <c r="B9591" i="2"/>
  <c r="A9591" i="2"/>
  <c r="U9590" i="2"/>
  <c r="N9590" i="2"/>
  <c r="M9590" i="2"/>
  <c r="J9590" i="2"/>
  <c r="I9590" i="2"/>
  <c r="H9590" i="2"/>
  <c r="G9590" i="2"/>
  <c r="F9590" i="2"/>
  <c r="E9590" i="2"/>
  <c r="D9590" i="2"/>
  <c r="C9590" i="2"/>
  <c r="B9590" i="2"/>
  <c r="A9590" i="2"/>
  <c r="U9589" i="2"/>
  <c r="N9589" i="2"/>
  <c r="M9589" i="2"/>
  <c r="J9589" i="2"/>
  <c r="I9589" i="2"/>
  <c r="H9589" i="2"/>
  <c r="G9589" i="2"/>
  <c r="F9589" i="2"/>
  <c r="E9589" i="2"/>
  <c r="D9589" i="2"/>
  <c r="C9589" i="2"/>
  <c r="B9589" i="2"/>
  <c r="A9589" i="2"/>
  <c r="U9588" i="2"/>
  <c r="N9588" i="2"/>
  <c r="M9588" i="2"/>
  <c r="J9588" i="2"/>
  <c r="I9588" i="2"/>
  <c r="H9588" i="2"/>
  <c r="G9588" i="2"/>
  <c r="F9588" i="2"/>
  <c r="E9588" i="2"/>
  <c r="D9588" i="2"/>
  <c r="C9588" i="2"/>
  <c r="B9588" i="2"/>
  <c r="A9588" i="2"/>
  <c r="U9587" i="2"/>
  <c r="N9587" i="2"/>
  <c r="M9587" i="2"/>
  <c r="J9587" i="2"/>
  <c r="I9587" i="2"/>
  <c r="H9587" i="2"/>
  <c r="G9587" i="2"/>
  <c r="F9587" i="2"/>
  <c r="E9587" i="2"/>
  <c r="D9587" i="2"/>
  <c r="C9587" i="2"/>
  <c r="B9587" i="2"/>
  <c r="A9587" i="2"/>
  <c r="U9586" i="2"/>
  <c r="N9586" i="2"/>
  <c r="M9586" i="2"/>
  <c r="J9586" i="2"/>
  <c r="I9586" i="2"/>
  <c r="H9586" i="2"/>
  <c r="G9586" i="2"/>
  <c r="F9586" i="2"/>
  <c r="E9586" i="2"/>
  <c r="D9586" i="2"/>
  <c r="C9586" i="2"/>
  <c r="B9586" i="2"/>
  <c r="A9586" i="2"/>
  <c r="U9585" i="2"/>
  <c r="N9585" i="2"/>
  <c r="M9585" i="2"/>
  <c r="J9585" i="2"/>
  <c r="I9585" i="2"/>
  <c r="H9585" i="2"/>
  <c r="G9585" i="2"/>
  <c r="F9585" i="2"/>
  <c r="E9585" i="2"/>
  <c r="D9585" i="2"/>
  <c r="C9585" i="2"/>
  <c r="B9585" i="2"/>
  <c r="A9585" i="2"/>
  <c r="U9584" i="2"/>
  <c r="N9584" i="2"/>
  <c r="M9584" i="2"/>
  <c r="J9584" i="2"/>
  <c r="I9584" i="2"/>
  <c r="H9584" i="2"/>
  <c r="G9584" i="2"/>
  <c r="F9584" i="2"/>
  <c r="E9584" i="2"/>
  <c r="D9584" i="2"/>
  <c r="C9584" i="2"/>
  <c r="B9584" i="2"/>
  <c r="A9584" i="2"/>
  <c r="U9583" i="2"/>
  <c r="N9583" i="2"/>
  <c r="M9583" i="2"/>
  <c r="J9583" i="2"/>
  <c r="I9583" i="2"/>
  <c r="H9583" i="2"/>
  <c r="G9583" i="2"/>
  <c r="F9583" i="2"/>
  <c r="E9583" i="2"/>
  <c r="D9583" i="2"/>
  <c r="C9583" i="2"/>
  <c r="B9583" i="2"/>
  <c r="A9583" i="2"/>
  <c r="U9582" i="2"/>
  <c r="N9582" i="2"/>
  <c r="M9582" i="2"/>
  <c r="J9582" i="2"/>
  <c r="I9582" i="2"/>
  <c r="H9582" i="2"/>
  <c r="G9582" i="2"/>
  <c r="F9582" i="2"/>
  <c r="E9582" i="2"/>
  <c r="D9582" i="2"/>
  <c r="C9582" i="2"/>
  <c r="B9582" i="2"/>
  <c r="A9582" i="2"/>
  <c r="U9581" i="2"/>
  <c r="N9581" i="2"/>
  <c r="M9581" i="2"/>
  <c r="J9581" i="2"/>
  <c r="I9581" i="2"/>
  <c r="H9581" i="2"/>
  <c r="G9581" i="2"/>
  <c r="F9581" i="2"/>
  <c r="E9581" i="2"/>
  <c r="D9581" i="2"/>
  <c r="C9581" i="2"/>
  <c r="B9581" i="2"/>
  <c r="A9581" i="2"/>
  <c r="U9580" i="2"/>
  <c r="N9580" i="2"/>
  <c r="M9580" i="2"/>
  <c r="J9580" i="2"/>
  <c r="I9580" i="2"/>
  <c r="H9580" i="2"/>
  <c r="G9580" i="2"/>
  <c r="F9580" i="2"/>
  <c r="E9580" i="2"/>
  <c r="D9580" i="2"/>
  <c r="C9580" i="2"/>
  <c r="B9580" i="2"/>
  <c r="A9580" i="2"/>
  <c r="U9579" i="2"/>
  <c r="N9579" i="2"/>
  <c r="M9579" i="2"/>
  <c r="J9579" i="2"/>
  <c r="I9579" i="2"/>
  <c r="H9579" i="2"/>
  <c r="G9579" i="2"/>
  <c r="F9579" i="2"/>
  <c r="E9579" i="2"/>
  <c r="D9579" i="2"/>
  <c r="C9579" i="2"/>
  <c r="B9579" i="2"/>
  <c r="A9579" i="2"/>
  <c r="U9578" i="2"/>
  <c r="N9578" i="2"/>
  <c r="M9578" i="2"/>
  <c r="J9578" i="2"/>
  <c r="I9578" i="2"/>
  <c r="H9578" i="2"/>
  <c r="G9578" i="2"/>
  <c r="F9578" i="2"/>
  <c r="E9578" i="2"/>
  <c r="D9578" i="2"/>
  <c r="C9578" i="2"/>
  <c r="B9578" i="2"/>
  <c r="A9578" i="2"/>
  <c r="U9577" i="2"/>
  <c r="N9577" i="2"/>
  <c r="M9577" i="2"/>
  <c r="J9577" i="2"/>
  <c r="I9577" i="2"/>
  <c r="H9577" i="2"/>
  <c r="G9577" i="2"/>
  <c r="F9577" i="2"/>
  <c r="E9577" i="2"/>
  <c r="D9577" i="2"/>
  <c r="C9577" i="2"/>
  <c r="B9577" i="2"/>
  <c r="A9577" i="2"/>
  <c r="U9576" i="2"/>
  <c r="N9576" i="2"/>
  <c r="M9576" i="2"/>
  <c r="J9576" i="2"/>
  <c r="I9576" i="2"/>
  <c r="H9576" i="2"/>
  <c r="G9576" i="2"/>
  <c r="F9576" i="2"/>
  <c r="E9576" i="2"/>
  <c r="D9576" i="2"/>
  <c r="C9576" i="2"/>
  <c r="B9576" i="2"/>
  <c r="A9576" i="2"/>
  <c r="U9575" i="2"/>
  <c r="N9575" i="2"/>
  <c r="M9575" i="2"/>
  <c r="J9575" i="2"/>
  <c r="I9575" i="2"/>
  <c r="H9575" i="2"/>
  <c r="G9575" i="2"/>
  <c r="F9575" i="2"/>
  <c r="E9575" i="2"/>
  <c r="D9575" i="2"/>
  <c r="C9575" i="2"/>
  <c r="B9575" i="2"/>
  <c r="A9575" i="2"/>
  <c r="U9574" i="2"/>
  <c r="N9574" i="2"/>
  <c r="M9574" i="2"/>
  <c r="J9574" i="2"/>
  <c r="I9574" i="2"/>
  <c r="H9574" i="2"/>
  <c r="G9574" i="2"/>
  <c r="F9574" i="2"/>
  <c r="E9574" i="2"/>
  <c r="D9574" i="2"/>
  <c r="C9574" i="2"/>
  <c r="B9574" i="2"/>
  <c r="A9574" i="2"/>
  <c r="U9573" i="2"/>
  <c r="N9573" i="2"/>
  <c r="M9573" i="2"/>
  <c r="J9573" i="2"/>
  <c r="I9573" i="2"/>
  <c r="H9573" i="2"/>
  <c r="G9573" i="2"/>
  <c r="F9573" i="2"/>
  <c r="E9573" i="2"/>
  <c r="D9573" i="2"/>
  <c r="C9573" i="2"/>
  <c r="B9573" i="2"/>
  <c r="A9573" i="2"/>
  <c r="U9572" i="2"/>
  <c r="N9572" i="2"/>
  <c r="M9572" i="2"/>
  <c r="J9572" i="2"/>
  <c r="I9572" i="2"/>
  <c r="H9572" i="2"/>
  <c r="G9572" i="2"/>
  <c r="F9572" i="2"/>
  <c r="E9572" i="2"/>
  <c r="D9572" i="2"/>
  <c r="C9572" i="2"/>
  <c r="B9572" i="2"/>
  <c r="A9572" i="2"/>
  <c r="U9571" i="2"/>
  <c r="N9571" i="2"/>
  <c r="M9571" i="2"/>
  <c r="J9571" i="2"/>
  <c r="I9571" i="2"/>
  <c r="H9571" i="2"/>
  <c r="G9571" i="2"/>
  <c r="F9571" i="2"/>
  <c r="E9571" i="2"/>
  <c r="D9571" i="2"/>
  <c r="C9571" i="2"/>
  <c r="B9571" i="2"/>
  <c r="A9571" i="2"/>
  <c r="U9570" i="2"/>
  <c r="N9570" i="2"/>
  <c r="M9570" i="2"/>
  <c r="J9570" i="2"/>
  <c r="I9570" i="2"/>
  <c r="H9570" i="2"/>
  <c r="G9570" i="2"/>
  <c r="F9570" i="2"/>
  <c r="E9570" i="2"/>
  <c r="D9570" i="2"/>
  <c r="C9570" i="2"/>
  <c r="B9570" i="2"/>
  <c r="A9570" i="2"/>
  <c r="U9569" i="2"/>
  <c r="N9569" i="2"/>
  <c r="M9569" i="2"/>
  <c r="J9569" i="2"/>
  <c r="I9569" i="2"/>
  <c r="H9569" i="2"/>
  <c r="G9569" i="2"/>
  <c r="F9569" i="2"/>
  <c r="E9569" i="2"/>
  <c r="D9569" i="2"/>
  <c r="C9569" i="2"/>
  <c r="B9569" i="2"/>
  <c r="A9569" i="2"/>
  <c r="U9568" i="2"/>
  <c r="N9568" i="2"/>
  <c r="M9568" i="2"/>
  <c r="J9568" i="2"/>
  <c r="I9568" i="2"/>
  <c r="H9568" i="2"/>
  <c r="G9568" i="2"/>
  <c r="F9568" i="2"/>
  <c r="E9568" i="2"/>
  <c r="D9568" i="2"/>
  <c r="C9568" i="2"/>
  <c r="B9568" i="2"/>
  <c r="A9568" i="2"/>
  <c r="U9567" i="2"/>
  <c r="N9567" i="2"/>
  <c r="M9567" i="2"/>
  <c r="J9567" i="2"/>
  <c r="I9567" i="2"/>
  <c r="H9567" i="2"/>
  <c r="G9567" i="2"/>
  <c r="F9567" i="2"/>
  <c r="E9567" i="2"/>
  <c r="D9567" i="2"/>
  <c r="C9567" i="2"/>
  <c r="B9567" i="2"/>
  <c r="A9567" i="2"/>
  <c r="U9566" i="2"/>
  <c r="N9566" i="2"/>
  <c r="M9566" i="2"/>
  <c r="J9566" i="2"/>
  <c r="I9566" i="2"/>
  <c r="H9566" i="2"/>
  <c r="G9566" i="2"/>
  <c r="F9566" i="2"/>
  <c r="E9566" i="2"/>
  <c r="D9566" i="2"/>
  <c r="C9566" i="2"/>
  <c r="B9566" i="2"/>
  <c r="A9566" i="2"/>
  <c r="U9565" i="2"/>
  <c r="N9565" i="2"/>
  <c r="M9565" i="2"/>
  <c r="J9565" i="2"/>
  <c r="I9565" i="2"/>
  <c r="H9565" i="2"/>
  <c r="G9565" i="2"/>
  <c r="F9565" i="2"/>
  <c r="E9565" i="2"/>
  <c r="D9565" i="2"/>
  <c r="C9565" i="2"/>
  <c r="B9565" i="2"/>
  <c r="A9565" i="2"/>
  <c r="U9564" i="2"/>
  <c r="N9564" i="2"/>
  <c r="M9564" i="2"/>
  <c r="J9564" i="2"/>
  <c r="I9564" i="2"/>
  <c r="H9564" i="2"/>
  <c r="G9564" i="2"/>
  <c r="F9564" i="2"/>
  <c r="E9564" i="2"/>
  <c r="D9564" i="2"/>
  <c r="C9564" i="2"/>
  <c r="B9564" i="2"/>
  <c r="A9564" i="2"/>
  <c r="U9563" i="2"/>
  <c r="N9563" i="2"/>
  <c r="M9563" i="2"/>
  <c r="J9563" i="2"/>
  <c r="I9563" i="2"/>
  <c r="H9563" i="2"/>
  <c r="G9563" i="2"/>
  <c r="F9563" i="2"/>
  <c r="E9563" i="2"/>
  <c r="D9563" i="2"/>
  <c r="C9563" i="2"/>
  <c r="B9563" i="2"/>
  <c r="A9563" i="2"/>
  <c r="U9562" i="2"/>
  <c r="N9562" i="2"/>
  <c r="M9562" i="2"/>
  <c r="J9562" i="2"/>
  <c r="I9562" i="2"/>
  <c r="H9562" i="2"/>
  <c r="G9562" i="2"/>
  <c r="F9562" i="2"/>
  <c r="E9562" i="2"/>
  <c r="D9562" i="2"/>
  <c r="C9562" i="2"/>
  <c r="B9562" i="2"/>
  <c r="A9562" i="2"/>
  <c r="U9561" i="2"/>
  <c r="N9561" i="2"/>
  <c r="M9561" i="2"/>
  <c r="J9561" i="2"/>
  <c r="I9561" i="2"/>
  <c r="H9561" i="2"/>
  <c r="G9561" i="2"/>
  <c r="F9561" i="2"/>
  <c r="E9561" i="2"/>
  <c r="D9561" i="2"/>
  <c r="C9561" i="2"/>
  <c r="B9561" i="2"/>
  <c r="A9561" i="2"/>
  <c r="U9560" i="2"/>
  <c r="N9560" i="2"/>
  <c r="M9560" i="2"/>
  <c r="J9560" i="2"/>
  <c r="I9560" i="2"/>
  <c r="H9560" i="2"/>
  <c r="G9560" i="2"/>
  <c r="F9560" i="2"/>
  <c r="E9560" i="2"/>
  <c r="D9560" i="2"/>
  <c r="C9560" i="2"/>
  <c r="B9560" i="2"/>
  <c r="A9560" i="2"/>
  <c r="U9559" i="2"/>
  <c r="N9559" i="2"/>
  <c r="M9559" i="2"/>
  <c r="J9559" i="2"/>
  <c r="I9559" i="2"/>
  <c r="H9559" i="2"/>
  <c r="G9559" i="2"/>
  <c r="F9559" i="2"/>
  <c r="E9559" i="2"/>
  <c r="D9559" i="2"/>
  <c r="C9559" i="2"/>
  <c r="B9559" i="2"/>
  <c r="A9559" i="2"/>
  <c r="U9558" i="2"/>
  <c r="N9558" i="2"/>
  <c r="M9558" i="2"/>
  <c r="J9558" i="2"/>
  <c r="I9558" i="2"/>
  <c r="H9558" i="2"/>
  <c r="G9558" i="2"/>
  <c r="F9558" i="2"/>
  <c r="E9558" i="2"/>
  <c r="D9558" i="2"/>
  <c r="C9558" i="2"/>
  <c r="B9558" i="2"/>
  <c r="A9558" i="2"/>
  <c r="U9557" i="2"/>
  <c r="N9557" i="2"/>
  <c r="M9557" i="2"/>
  <c r="J9557" i="2"/>
  <c r="I9557" i="2"/>
  <c r="H9557" i="2"/>
  <c r="G9557" i="2"/>
  <c r="F9557" i="2"/>
  <c r="E9557" i="2"/>
  <c r="D9557" i="2"/>
  <c r="C9557" i="2"/>
  <c r="B9557" i="2"/>
  <c r="A9557" i="2"/>
  <c r="U9556" i="2"/>
  <c r="N9556" i="2"/>
  <c r="M9556" i="2"/>
  <c r="J9556" i="2"/>
  <c r="I9556" i="2"/>
  <c r="H9556" i="2"/>
  <c r="G9556" i="2"/>
  <c r="F9556" i="2"/>
  <c r="E9556" i="2"/>
  <c r="D9556" i="2"/>
  <c r="C9556" i="2"/>
  <c r="B9556" i="2"/>
  <c r="A9556" i="2"/>
  <c r="U9555" i="2"/>
  <c r="N9555" i="2"/>
  <c r="M9555" i="2"/>
  <c r="J9555" i="2"/>
  <c r="I9555" i="2"/>
  <c r="H9555" i="2"/>
  <c r="G9555" i="2"/>
  <c r="F9555" i="2"/>
  <c r="E9555" i="2"/>
  <c r="D9555" i="2"/>
  <c r="C9555" i="2"/>
  <c r="B9555" i="2"/>
  <c r="A9555" i="2"/>
  <c r="U9554" i="2"/>
  <c r="N9554" i="2"/>
  <c r="M9554" i="2"/>
  <c r="J9554" i="2"/>
  <c r="I9554" i="2"/>
  <c r="H9554" i="2"/>
  <c r="G9554" i="2"/>
  <c r="F9554" i="2"/>
  <c r="E9554" i="2"/>
  <c r="D9554" i="2"/>
  <c r="C9554" i="2"/>
  <c r="B9554" i="2"/>
  <c r="A9554" i="2"/>
  <c r="U9553" i="2"/>
  <c r="N9553" i="2"/>
  <c r="M9553" i="2"/>
  <c r="J9553" i="2"/>
  <c r="I9553" i="2"/>
  <c r="H9553" i="2"/>
  <c r="G9553" i="2"/>
  <c r="F9553" i="2"/>
  <c r="E9553" i="2"/>
  <c r="D9553" i="2"/>
  <c r="C9553" i="2"/>
  <c r="B9553" i="2"/>
  <c r="A9553" i="2"/>
  <c r="U9552" i="2"/>
  <c r="N9552" i="2"/>
  <c r="M9552" i="2"/>
  <c r="J9552" i="2"/>
  <c r="I9552" i="2"/>
  <c r="H9552" i="2"/>
  <c r="G9552" i="2"/>
  <c r="F9552" i="2"/>
  <c r="E9552" i="2"/>
  <c r="D9552" i="2"/>
  <c r="C9552" i="2"/>
  <c r="B9552" i="2"/>
  <c r="A9552" i="2"/>
  <c r="U9551" i="2"/>
  <c r="N9551" i="2"/>
  <c r="M9551" i="2"/>
  <c r="J9551" i="2"/>
  <c r="I9551" i="2"/>
  <c r="H9551" i="2"/>
  <c r="G9551" i="2"/>
  <c r="F9551" i="2"/>
  <c r="E9551" i="2"/>
  <c r="D9551" i="2"/>
  <c r="C9551" i="2"/>
  <c r="B9551" i="2"/>
  <c r="A9551" i="2"/>
  <c r="U9550" i="2"/>
  <c r="N9550" i="2"/>
  <c r="M9550" i="2"/>
  <c r="J9550" i="2"/>
  <c r="I9550" i="2"/>
  <c r="H9550" i="2"/>
  <c r="G9550" i="2"/>
  <c r="F9550" i="2"/>
  <c r="E9550" i="2"/>
  <c r="D9550" i="2"/>
  <c r="C9550" i="2"/>
  <c r="B9550" i="2"/>
  <c r="A9550" i="2"/>
  <c r="U9549" i="2"/>
  <c r="N9549" i="2"/>
  <c r="M9549" i="2"/>
  <c r="J9549" i="2"/>
  <c r="I9549" i="2"/>
  <c r="H9549" i="2"/>
  <c r="G9549" i="2"/>
  <c r="F9549" i="2"/>
  <c r="E9549" i="2"/>
  <c r="D9549" i="2"/>
  <c r="C9549" i="2"/>
  <c r="B9549" i="2"/>
  <c r="A9549" i="2"/>
  <c r="U9548" i="2"/>
  <c r="N9548" i="2"/>
  <c r="M9548" i="2"/>
  <c r="J9548" i="2"/>
  <c r="I9548" i="2"/>
  <c r="H9548" i="2"/>
  <c r="G9548" i="2"/>
  <c r="F9548" i="2"/>
  <c r="E9548" i="2"/>
  <c r="D9548" i="2"/>
  <c r="C9548" i="2"/>
  <c r="B9548" i="2"/>
  <c r="A9548" i="2"/>
  <c r="U9547" i="2"/>
  <c r="N9547" i="2"/>
  <c r="M9547" i="2"/>
  <c r="J9547" i="2"/>
  <c r="I9547" i="2"/>
  <c r="H9547" i="2"/>
  <c r="G9547" i="2"/>
  <c r="F9547" i="2"/>
  <c r="E9547" i="2"/>
  <c r="D9547" i="2"/>
  <c r="C9547" i="2"/>
  <c r="B9547" i="2"/>
  <c r="A9547" i="2"/>
  <c r="U9546" i="2"/>
  <c r="N9546" i="2"/>
  <c r="M9546" i="2"/>
  <c r="J9546" i="2"/>
  <c r="I9546" i="2"/>
  <c r="H9546" i="2"/>
  <c r="G9546" i="2"/>
  <c r="F9546" i="2"/>
  <c r="E9546" i="2"/>
  <c r="D9546" i="2"/>
  <c r="C9546" i="2"/>
  <c r="B9546" i="2"/>
  <c r="A9546" i="2"/>
  <c r="U9545" i="2"/>
  <c r="N9545" i="2"/>
  <c r="M9545" i="2"/>
  <c r="J9545" i="2"/>
  <c r="I9545" i="2"/>
  <c r="H9545" i="2"/>
  <c r="G9545" i="2"/>
  <c r="F9545" i="2"/>
  <c r="E9545" i="2"/>
  <c r="D9545" i="2"/>
  <c r="C9545" i="2"/>
  <c r="B9545" i="2"/>
  <c r="A9545" i="2"/>
  <c r="U9544" i="2"/>
  <c r="N9544" i="2"/>
  <c r="M9544" i="2"/>
  <c r="J9544" i="2"/>
  <c r="I9544" i="2"/>
  <c r="H9544" i="2"/>
  <c r="G9544" i="2"/>
  <c r="F9544" i="2"/>
  <c r="E9544" i="2"/>
  <c r="D9544" i="2"/>
  <c r="C9544" i="2"/>
  <c r="B9544" i="2"/>
  <c r="A9544" i="2"/>
  <c r="U9543" i="2"/>
  <c r="N9543" i="2"/>
  <c r="M9543" i="2"/>
  <c r="J9543" i="2"/>
  <c r="I9543" i="2"/>
  <c r="H9543" i="2"/>
  <c r="G9543" i="2"/>
  <c r="F9543" i="2"/>
  <c r="E9543" i="2"/>
  <c r="D9543" i="2"/>
  <c r="C9543" i="2"/>
  <c r="B9543" i="2"/>
  <c r="A9543" i="2"/>
  <c r="U9542" i="2"/>
  <c r="N9542" i="2"/>
  <c r="M9542" i="2"/>
  <c r="J9542" i="2"/>
  <c r="I9542" i="2"/>
  <c r="H9542" i="2"/>
  <c r="G9542" i="2"/>
  <c r="F9542" i="2"/>
  <c r="E9542" i="2"/>
  <c r="D9542" i="2"/>
  <c r="C9542" i="2"/>
  <c r="B9542" i="2"/>
  <c r="A9542" i="2"/>
  <c r="U9541" i="2"/>
  <c r="N9541" i="2"/>
  <c r="M9541" i="2"/>
  <c r="J9541" i="2"/>
  <c r="I9541" i="2"/>
  <c r="H9541" i="2"/>
  <c r="G9541" i="2"/>
  <c r="F9541" i="2"/>
  <c r="E9541" i="2"/>
  <c r="D9541" i="2"/>
  <c r="C9541" i="2"/>
  <c r="B9541" i="2"/>
  <c r="A9541" i="2"/>
  <c r="U9540" i="2"/>
  <c r="N9540" i="2"/>
  <c r="M9540" i="2"/>
  <c r="J9540" i="2"/>
  <c r="I9540" i="2"/>
  <c r="H9540" i="2"/>
  <c r="G9540" i="2"/>
  <c r="F9540" i="2"/>
  <c r="E9540" i="2"/>
  <c r="D9540" i="2"/>
  <c r="C9540" i="2"/>
  <c r="B9540" i="2"/>
  <c r="A9540" i="2"/>
  <c r="U9539" i="2"/>
  <c r="N9539" i="2"/>
  <c r="M9539" i="2"/>
  <c r="J9539" i="2"/>
  <c r="I9539" i="2"/>
  <c r="H9539" i="2"/>
  <c r="G9539" i="2"/>
  <c r="F9539" i="2"/>
  <c r="E9539" i="2"/>
  <c r="D9539" i="2"/>
  <c r="C9539" i="2"/>
  <c r="B9539" i="2"/>
  <c r="A9539" i="2"/>
  <c r="U9538" i="2"/>
  <c r="N9538" i="2"/>
  <c r="M9538" i="2"/>
  <c r="J9538" i="2"/>
  <c r="I9538" i="2"/>
  <c r="H9538" i="2"/>
  <c r="G9538" i="2"/>
  <c r="F9538" i="2"/>
  <c r="E9538" i="2"/>
  <c r="D9538" i="2"/>
  <c r="C9538" i="2"/>
  <c r="B9538" i="2"/>
  <c r="A9538" i="2"/>
  <c r="U9537" i="2"/>
  <c r="N9537" i="2"/>
  <c r="M9537" i="2"/>
  <c r="J9537" i="2"/>
  <c r="I9537" i="2"/>
  <c r="H9537" i="2"/>
  <c r="G9537" i="2"/>
  <c r="F9537" i="2"/>
  <c r="E9537" i="2"/>
  <c r="D9537" i="2"/>
  <c r="C9537" i="2"/>
  <c r="B9537" i="2"/>
  <c r="A9537" i="2"/>
  <c r="U9536" i="2"/>
  <c r="N9536" i="2"/>
  <c r="M9536" i="2"/>
  <c r="J9536" i="2"/>
  <c r="I9536" i="2"/>
  <c r="H9536" i="2"/>
  <c r="G9536" i="2"/>
  <c r="F9536" i="2"/>
  <c r="E9536" i="2"/>
  <c r="D9536" i="2"/>
  <c r="C9536" i="2"/>
  <c r="B9536" i="2"/>
  <c r="A9536" i="2"/>
  <c r="U9535" i="2"/>
  <c r="N9535" i="2"/>
  <c r="M9535" i="2"/>
  <c r="J9535" i="2"/>
  <c r="I9535" i="2"/>
  <c r="H9535" i="2"/>
  <c r="G9535" i="2"/>
  <c r="F9535" i="2"/>
  <c r="E9535" i="2"/>
  <c r="D9535" i="2"/>
  <c r="C9535" i="2"/>
  <c r="B9535" i="2"/>
  <c r="A9535" i="2"/>
  <c r="U9534" i="2"/>
  <c r="N9534" i="2"/>
  <c r="M9534" i="2"/>
  <c r="J9534" i="2"/>
  <c r="I9534" i="2"/>
  <c r="H9534" i="2"/>
  <c r="G9534" i="2"/>
  <c r="F9534" i="2"/>
  <c r="E9534" i="2"/>
  <c r="D9534" i="2"/>
  <c r="C9534" i="2"/>
  <c r="B9534" i="2"/>
  <c r="A9534" i="2"/>
  <c r="U9533" i="2"/>
  <c r="N9533" i="2"/>
  <c r="M9533" i="2"/>
  <c r="J9533" i="2"/>
  <c r="I9533" i="2"/>
  <c r="H9533" i="2"/>
  <c r="G9533" i="2"/>
  <c r="F9533" i="2"/>
  <c r="E9533" i="2"/>
  <c r="D9533" i="2"/>
  <c r="C9533" i="2"/>
  <c r="B9533" i="2"/>
  <c r="A9533" i="2"/>
  <c r="U9532" i="2"/>
  <c r="N9532" i="2"/>
  <c r="M9532" i="2"/>
  <c r="J9532" i="2"/>
  <c r="I9532" i="2"/>
  <c r="H9532" i="2"/>
  <c r="G9532" i="2"/>
  <c r="F9532" i="2"/>
  <c r="E9532" i="2"/>
  <c r="D9532" i="2"/>
  <c r="C9532" i="2"/>
  <c r="B9532" i="2"/>
  <c r="A9532" i="2"/>
  <c r="U9531" i="2"/>
  <c r="N9531" i="2"/>
  <c r="M9531" i="2"/>
  <c r="J9531" i="2"/>
  <c r="I9531" i="2"/>
  <c r="H9531" i="2"/>
  <c r="G9531" i="2"/>
  <c r="F9531" i="2"/>
  <c r="E9531" i="2"/>
  <c r="D9531" i="2"/>
  <c r="C9531" i="2"/>
  <c r="B9531" i="2"/>
  <c r="A9531" i="2"/>
  <c r="U9530" i="2"/>
  <c r="N9530" i="2"/>
  <c r="M9530" i="2"/>
  <c r="J9530" i="2"/>
  <c r="I9530" i="2"/>
  <c r="H9530" i="2"/>
  <c r="G9530" i="2"/>
  <c r="F9530" i="2"/>
  <c r="E9530" i="2"/>
  <c r="D9530" i="2"/>
  <c r="C9530" i="2"/>
  <c r="B9530" i="2"/>
  <c r="A9530" i="2"/>
  <c r="U9529" i="2"/>
  <c r="N9529" i="2"/>
  <c r="M9529" i="2"/>
  <c r="J9529" i="2"/>
  <c r="I9529" i="2"/>
  <c r="H9529" i="2"/>
  <c r="G9529" i="2"/>
  <c r="F9529" i="2"/>
  <c r="E9529" i="2"/>
  <c r="D9529" i="2"/>
  <c r="C9529" i="2"/>
  <c r="B9529" i="2"/>
  <c r="A9529" i="2"/>
  <c r="U9528" i="2"/>
  <c r="N9528" i="2"/>
  <c r="M9528" i="2"/>
  <c r="J9528" i="2"/>
  <c r="I9528" i="2"/>
  <c r="H9528" i="2"/>
  <c r="G9528" i="2"/>
  <c r="F9528" i="2"/>
  <c r="E9528" i="2"/>
  <c r="D9528" i="2"/>
  <c r="C9528" i="2"/>
  <c r="B9528" i="2"/>
  <c r="A9528" i="2"/>
  <c r="U9527" i="2"/>
  <c r="N9527" i="2"/>
  <c r="M9527" i="2"/>
  <c r="J9527" i="2"/>
  <c r="I9527" i="2"/>
  <c r="H9527" i="2"/>
  <c r="G9527" i="2"/>
  <c r="F9527" i="2"/>
  <c r="E9527" i="2"/>
  <c r="D9527" i="2"/>
  <c r="C9527" i="2"/>
  <c r="B9527" i="2"/>
  <c r="A9527" i="2"/>
  <c r="U9526" i="2"/>
  <c r="N9526" i="2"/>
  <c r="M9526" i="2"/>
  <c r="J9526" i="2"/>
  <c r="I9526" i="2"/>
  <c r="H9526" i="2"/>
  <c r="G9526" i="2"/>
  <c r="F9526" i="2"/>
  <c r="E9526" i="2"/>
  <c r="D9526" i="2"/>
  <c r="C9526" i="2"/>
  <c r="B9526" i="2"/>
  <c r="A9526" i="2"/>
  <c r="U9525" i="2"/>
  <c r="N9525" i="2"/>
  <c r="M9525" i="2"/>
  <c r="J9525" i="2"/>
  <c r="I9525" i="2"/>
  <c r="H9525" i="2"/>
  <c r="G9525" i="2"/>
  <c r="F9525" i="2"/>
  <c r="E9525" i="2"/>
  <c r="D9525" i="2"/>
  <c r="C9525" i="2"/>
  <c r="B9525" i="2"/>
  <c r="A9525" i="2"/>
  <c r="U9524" i="2"/>
  <c r="N9524" i="2"/>
  <c r="M9524" i="2"/>
  <c r="J9524" i="2"/>
  <c r="I9524" i="2"/>
  <c r="H9524" i="2"/>
  <c r="G9524" i="2"/>
  <c r="F9524" i="2"/>
  <c r="E9524" i="2"/>
  <c r="D9524" i="2"/>
  <c r="C9524" i="2"/>
  <c r="B9524" i="2"/>
  <c r="A9524" i="2"/>
  <c r="U9523" i="2"/>
  <c r="N9523" i="2"/>
  <c r="M9523" i="2"/>
  <c r="J9523" i="2"/>
  <c r="I9523" i="2"/>
  <c r="H9523" i="2"/>
  <c r="G9523" i="2"/>
  <c r="F9523" i="2"/>
  <c r="E9523" i="2"/>
  <c r="D9523" i="2"/>
  <c r="C9523" i="2"/>
  <c r="B9523" i="2"/>
  <c r="A9523" i="2"/>
  <c r="U9522" i="2"/>
  <c r="N9522" i="2"/>
  <c r="M9522" i="2"/>
  <c r="J9522" i="2"/>
  <c r="I9522" i="2"/>
  <c r="H9522" i="2"/>
  <c r="G9522" i="2"/>
  <c r="F9522" i="2"/>
  <c r="E9522" i="2"/>
  <c r="D9522" i="2"/>
  <c r="C9522" i="2"/>
  <c r="B9522" i="2"/>
  <c r="A9522" i="2"/>
  <c r="U9521" i="2"/>
  <c r="N9521" i="2"/>
  <c r="M9521" i="2"/>
  <c r="J9521" i="2"/>
  <c r="I9521" i="2"/>
  <c r="H9521" i="2"/>
  <c r="G9521" i="2"/>
  <c r="F9521" i="2"/>
  <c r="E9521" i="2"/>
  <c r="D9521" i="2"/>
  <c r="C9521" i="2"/>
  <c r="B9521" i="2"/>
  <c r="A9521" i="2"/>
  <c r="U9520" i="2"/>
  <c r="N9520" i="2"/>
  <c r="M9520" i="2"/>
  <c r="J9520" i="2"/>
  <c r="I9520" i="2"/>
  <c r="H9520" i="2"/>
  <c r="G9520" i="2"/>
  <c r="F9520" i="2"/>
  <c r="E9520" i="2"/>
  <c r="D9520" i="2"/>
  <c r="C9520" i="2"/>
  <c r="B9520" i="2"/>
  <c r="A9520" i="2"/>
  <c r="U9519" i="2"/>
  <c r="N9519" i="2"/>
  <c r="M9519" i="2"/>
  <c r="J9519" i="2"/>
  <c r="I9519" i="2"/>
  <c r="H9519" i="2"/>
  <c r="G9519" i="2"/>
  <c r="F9519" i="2"/>
  <c r="E9519" i="2"/>
  <c r="D9519" i="2"/>
  <c r="C9519" i="2"/>
  <c r="B9519" i="2"/>
  <c r="A9519" i="2"/>
  <c r="U9518" i="2"/>
  <c r="N9518" i="2"/>
  <c r="M9518" i="2"/>
  <c r="J9518" i="2"/>
  <c r="I9518" i="2"/>
  <c r="H9518" i="2"/>
  <c r="G9518" i="2"/>
  <c r="F9518" i="2"/>
  <c r="E9518" i="2"/>
  <c r="D9518" i="2"/>
  <c r="C9518" i="2"/>
  <c r="B9518" i="2"/>
  <c r="A9518" i="2"/>
  <c r="U9517" i="2"/>
  <c r="N9517" i="2"/>
  <c r="M9517" i="2"/>
  <c r="J9517" i="2"/>
  <c r="I9517" i="2"/>
  <c r="H9517" i="2"/>
  <c r="G9517" i="2"/>
  <c r="F9517" i="2"/>
  <c r="E9517" i="2"/>
  <c r="D9517" i="2"/>
  <c r="C9517" i="2"/>
  <c r="B9517" i="2"/>
  <c r="A9517" i="2"/>
  <c r="U9516" i="2"/>
  <c r="N9516" i="2"/>
  <c r="M9516" i="2"/>
  <c r="J9516" i="2"/>
  <c r="I9516" i="2"/>
  <c r="H9516" i="2"/>
  <c r="G9516" i="2"/>
  <c r="F9516" i="2"/>
  <c r="E9516" i="2"/>
  <c r="D9516" i="2"/>
  <c r="C9516" i="2"/>
  <c r="B9516" i="2"/>
  <c r="A9516" i="2"/>
  <c r="U9515" i="2"/>
  <c r="N9515" i="2"/>
  <c r="M9515" i="2"/>
  <c r="J9515" i="2"/>
  <c r="I9515" i="2"/>
  <c r="H9515" i="2"/>
  <c r="G9515" i="2"/>
  <c r="F9515" i="2"/>
  <c r="E9515" i="2"/>
  <c r="D9515" i="2"/>
  <c r="C9515" i="2"/>
  <c r="B9515" i="2"/>
  <c r="A9515" i="2"/>
  <c r="U9514" i="2"/>
  <c r="N9514" i="2"/>
  <c r="M9514" i="2"/>
  <c r="J9514" i="2"/>
  <c r="I9514" i="2"/>
  <c r="H9514" i="2"/>
  <c r="G9514" i="2"/>
  <c r="F9514" i="2"/>
  <c r="E9514" i="2"/>
  <c r="D9514" i="2"/>
  <c r="C9514" i="2"/>
  <c r="B9514" i="2"/>
  <c r="A9514" i="2"/>
  <c r="U9513" i="2"/>
  <c r="N9513" i="2"/>
  <c r="M9513" i="2"/>
  <c r="J9513" i="2"/>
  <c r="I9513" i="2"/>
  <c r="H9513" i="2"/>
  <c r="G9513" i="2"/>
  <c r="F9513" i="2"/>
  <c r="E9513" i="2"/>
  <c r="D9513" i="2"/>
  <c r="C9513" i="2"/>
  <c r="B9513" i="2"/>
  <c r="A9513" i="2"/>
  <c r="U9512" i="2"/>
  <c r="N9512" i="2"/>
  <c r="M9512" i="2"/>
  <c r="J9512" i="2"/>
  <c r="I9512" i="2"/>
  <c r="H9512" i="2"/>
  <c r="G9512" i="2"/>
  <c r="F9512" i="2"/>
  <c r="E9512" i="2"/>
  <c r="D9512" i="2"/>
  <c r="C9512" i="2"/>
  <c r="B9512" i="2"/>
  <c r="A9512" i="2"/>
  <c r="U9511" i="2"/>
  <c r="N9511" i="2"/>
  <c r="M9511" i="2"/>
  <c r="J9511" i="2"/>
  <c r="I9511" i="2"/>
  <c r="H9511" i="2"/>
  <c r="G9511" i="2"/>
  <c r="F9511" i="2"/>
  <c r="E9511" i="2"/>
  <c r="D9511" i="2"/>
  <c r="C9511" i="2"/>
  <c r="B9511" i="2"/>
  <c r="A9511" i="2"/>
  <c r="U9510" i="2"/>
  <c r="N9510" i="2"/>
  <c r="M9510" i="2"/>
  <c r="J9510" i="2"/>
  <c r="I9510" i="2"/>
  <c r="H9510" i="2"/>
  <c r="G9510" i="2"/>
  <c r="F9510" i="2"/>
  <c r="E9510" i="2"/>
  <c r="D9510" i="2"/>
  <c r="C9510" i="2"/>
  <c r="B9510" i="2"/>
  <c r="A9510" i="2"/>
  <c r="U9509" i="2"/>
  <c r="N9509" i="2"/>
  <c r="M9509" i="2"/>
  <c r="J9509" i="2"/>
  <c r="I9509" i="2"/>
  <c r="H9509" i="2"/>
  <c r="G9509" i="2"/>
  <c r="F9509" i="2"/>
  <c r="E9509" i="2"/>
  <c r="D9509" i="2"/>
  <c r="C9509" i="2"/>
  <c r="B9509" i="2"/>
  <c r="A9509" i="2"/>
  <c r="U9508" i="2"/>
  <c r="N9508" i="2"/>
  <c r="M9508" i="2"/>
  <c r="J9508" i="2"/>
  <c r="I9508" i="2"/>
  <c r="H9508" i="2"/>
  <c r="G9508" i="2"/>
  <c r="F9508" i="2"/>
  <c r="E9508" i="2"/>
  <c r="D9508" i="2"/>
  <c r="C9508" i="2"/>
  <c r="B9508" i="2"/>
  <c r="A9508" i="2"/>
  <c r="U9507" i="2"/>
  <c r="N9507" i="2"/>
  <c r="M9507" i="2"/>
  <c r="J9507" i="2"/>
  <c r="I9507" i="2"/>
  <c r="H9507" i="2"/>
  <c r="G9507" i="2"/>
  <c r="F9507" i="2"/>
  <c r="E9507" i="2"/>
  <c r="D9507" i="2"/>
  <c r="C9507" i="2"/>
  <c r="B9507" i="2"/>
  <c r="A9507" i="2"/>
  <c r="U9506" i="2"/>
  <c r="N9506" i="2"/>
  <c r="M9506" i="2"/>
  <c r="J9506" i="2"/>
  <c r="I9506" i="2"/>
  <c r="H9506" i="2"/>
  <c r="G9506" i="2"/>
  <c r="F9506" i="2"/>
  <c r="E9506" i="2"/>
  <c r="D9506" i="2"/>
  <c r="C9506" i="2"/>
  <c r="B9506" i="2"/>
  <c r="A9506" i="2"/>
  <c r="U9505" i="2"/>
  <c r="N9505" i="2"/>
  <c r="M9505" i="2"/>
  <c r="J9505" i="2"/>
  <c r="I9505" i="2"/>
  <c r="H9505" i="2"/>
  <c r="G9505" i="2"/>
  <c r="F9505" i="2"/>
  <c r="E9505" i="2"/>
  <c r="D9505" i="2"/>
  <c r="C9505" i="2"/>
  <c r="B9505" i="2"/>
  <c r="A9505" i="2"/>
  <c r="U9504" i="2"/>
  <c r="N9504" i="2"/>
  <c r="M9504" i="2"/>
  <c r="J9504" i="2"/>
  <c r="I9504" i="2"/>
  <c r="H9504" i="2"/>
  <c r="G9504" i="2"/>
  <c r="F9504" i="2"/>
  <c r="E9504" i="2"/>
  <c r="D9504" i="2"/>
  <c r="C9504" i="2"/>
  <c r="B9504" i="2"/>
  <c r="A9504" i="2"/>
  <c r="U9503" i="2"/>
  <c r="N9503" i="2"/>
  <c r="M9503" i="2"/>
  <c r="J9503" i="2"/>
  <c r="I9503" i="2"/>
  <c r="H9503" i="2"/>
  <c r="G9503" i="2"/>
  <c r="F9503" i="2"/>
  <c r="E9503" i="2"/>
  <c r="D9503" i="2"/>
  <c r="C9503" i="2"/>
  <c r="B9503" i="2"/>
  <c r="A9503" i="2"/>
  <c r="U9502" i="2"/>
  <c r="N9502" i="2"/>
  <c r="M9502" i="2"/>
  <c r="J9502" i="2"/>
  <c r="I9502" i="2"/>
  <c r="H9502" i="2"/>
  <c r="G9502" i="2"/>
  <c r="F9502" i="2"/>
  <c r="E9502" i="2"/>
  <c r="D9502" i="2"/>
  <c r="C9502" i="2"/>
  <c r="B9502" i="2"/>
  <c r="A9502" i="2"/>
  <c r="U9501" i="2"/>
  <c r="N9501" i="2"/>
  <c r="M9501" i="2"/>
  <c r="J9501" i="2"/>
  <c r="I9501" i="2"/>
  <c r="H9501" i="2"/>
  <c r="G9501" i="2"/>
  <c r="F9501" i="2"/>
  <c r="E9501" i="2"/>
  <c r="D9501" i="2"/>
  <c r="C9501" i="2"/>
  <c r="B9501" i="2"/>
  <c r="A9501" i="2"/>
  <c r="U9500" i="2"/>
  <c r="N9500" i="2"/>
  <c r="M9500" i="2"/>
  <c r="J9500" i="2"/>
  <c r="I9500" i="2"/>
  <c r="H9500" i="2"/>
  <c r="G9500" i="2"/>
  <c r="F9500" i="2"/>
  <c r="E9500" i="2"/>
  <c r="D9500" i="2"/>
  <c r="C9500" i="2"/>
  <c r="B9500" i="2"/>
  <c r="A9500" i="2"/>
  <c r="U9499" i="2"/>
  <c r="N9499" i="2"/>
  <c r="M9499" i="2"/>
  <c r="J9499" i="2"/>
  <c r="I9499" i="2"/>
  <c r="H9499" i="2"/>
  <c r="G9499" i="2"/>
  <c r="F9499" i="2"/>
  <c r="E9499" i="2"/>
  <c r="D9499" i="2"/>
  <c r="C9499" i="2"/>
  <c r="B9499" i="2"/>
  <c r="A9499" i="2"/>
  <c r="U9498" i="2"/>
  <c r="N9498" i="2"/>
  <c r="M9498" i="2"/>
  <c r="J9498" i="2"/>
  <c r="I9498" i="2"/>
  <c r="H9498" i="2"/>
  <c r="G9498" i="2"/>
  <c r="F9498" i="2"/>
  <c r="E9498" i="2"/>
  <c r="D9498" i="2"/>
  <c r="C9498" i="2"/>
  <c r="B9498" i="2"/>
  <c r="A9498" i="2"/>
  <c r="U9497" i="2"/>
  <c r="N9497" i="2"/>
  <c r="M9497" i="2"/>
  <c r="J9497" i="2"/>
  <c r="I9497" i="2"/>
  <c r="H9497" i="2"/>
  <c r="G9497" i="2"/>
  <c r="F9497" i="2"/>
  <c r="E9497" i="2"/>
  <c r="D9497" i="2"/>
  <c r="C9497" i="2"/>
  <c r="B9497" i="2"/>
  <c r="A9497" i="2"/>
  <c r="U9496" i="2"/>
  <c r="N9496" i="2"/>
  <c r="M9496" i="2"/>
  <c r="J9496" i="2"/>
  <c r="I9496" i="2"/>
  <c r="H9496" i="2"/>
  <c r="G9496" i="2"/>
  <c r="F9496" i="2"/>
  <c r="E9496" i="2"/>
  <c r="D9496" i="2"/>
  <c r="C9496" i="2"/>
  <c r="B9496" i="2"/>
  <c r="A9496" i="2"/>
  <c r="U9495" i="2"/>
  <c r="N9495" i="2"/>
  <c r="M9495" i="2"/>
  <c r="J9495" i="2"/>
  <c r="I9495" i="2"/>
  <c r="H9495" i="2"/>
  <c r="G9495" i="2"/>
  <c r="F9495" i="2"/>
  <c r="E9495" i="2"/>
  <c r="D9495" i="2"/>
  <c r="C9495" i="2"/>
  <c r="B9495" i="2"/>
  <c r="A9495" i="2"/>
  <c r="U9494" i="2"/>
  <c r="N9494" i="2"/>
  <c r="M9494" i="2"/>
  <c r="J9494" i="2"/>
  <c r="I9494" i="2"/>
  <c r="H9494" i="2"/>
  <c r="G9494" i="2"/>
  <c r="F9494" i="2"/>
  <c r="E9494" i="2"/>
  <c r="D9494" i="2"/>
  <c r="C9494" i="2"/>
  <c r="B9494" i="2"/>
  <c r="A9494" i="2"/>
  <c r="U9493" i="2"/>
  <c r="N9493" i="2"/>
  <c r="M9493" i="2"/>
  <c r="J9493" i="2"/>
  <c r="I9493" i="2"/>
  <c r="H9493" i="2"/>
  <c r="G9493" i="2"/>
  <c r="F9493" i="2"/>
  <c r="E9493" i="2"/>
  <c r="D9493" i="2"/>
  <c r="C9493" i="2"/>
  <c r="B9493" i="2"/>
  <c r="A9493" i="2"/>
  <c r="U9492" i="2"/>
  <c r="N9492" i="2"/>
  <c r="M9492" i="2"/>
  <c r="J9492" i="2"/>
  <c r="I9492" i="2"/>
  <c r="H9492" i="2"/>
  <c r="G9492" i="2"/>
  <c r="F9492" i="2"/>
  <c r="E9492" i="2"/>
  <c r="D9492" i="2"/>
  <c r="C9492" i="2"/>
  <c r="B9492" i="2"/>
  <c r="A9492" i="2"/>
  <c r="U9491" i="2"/>
  <c r="N9491" i="2"/>
  <c r="M9491" i="2"/>
  <c r="J9491" i="2"/>
  <c r="I9491" i="2"/>
  <c r="H9491" i="2"/>
  <c r="G9491" i="2"/>
  <c r="F9491" i="2"/>
  <c r="E9491" i="2"/>
  <c r="D9491" i="2"/>
  <c r="C9491" i="2"/>
  <c r="B9491" i="2"/>
  <c r="A9491" i="2"/>
  <c r="U9490" i="2"/>
  <c r="N9490" i="2"/>
  <c r="M9490" i="2"/>
  <c r="J9490" i="2"/>
  <c r="I9490" i="2"/>
  <c r="H9490" i="2"/>
  <c r="G9490" i="2"/>
  <c r="F9490" i="2"/>
  <c r="E9490" i="2"/>
  <c r="D9490" i="2"/>
  <c r="C9490" i="2"/>
  <c r="B9490" i="2"/>
  <c r="A9490" i="2"/>
  <c r="U9489" i="2"/>
  <c r="N9489" i="2"/>
  <c r="M9489" i="2"/>
  <c r="J9489" i="2"/>
  <c r="I9489" i="2"/>
  <c r="H9489" i="2"/>
  <c r="G9489" i="2"/>
  <c r="F9489" i="2"/>
  <c r="E9489" i="2"/>
  <c r="D9489" i="2"/>
  <c r="C9489" i="2"/>
  <c r="B9489" i="2"/>
  <c r="A9489" i="2"/>
  <c r="U9488" i="2"/>
  <c r="N9488" i="2"/>
  <c r="M9488" i="2"/>
  <c r="J9488" i="2"/>
  <c r="I9488" i="2"/>
  <c r="H9488" i="2"/>
  <c r="G9488" i="2"/>
  <c r="F9488" i="2"/>
  <c r="E9488" i="2"/>
  <c r="D9488" i="2"/>
  <c r="C9488" i="2"/>
  <c r="B9488" i="2"/>
  <c r="A9488" i="2"/>
  <c r="U9487" i="2"/>
  <c r="N9487" i="2"/>
  <c r="M9487" i="2"/>
  <c r="J9487" i="2"/>
  <c r="I9487" i="2"/>
  <c r="H9487" i="2"/>
  <c r="G9487" i="2"/>
  <c r="F9487" i="2"/>
  <c r="E9487" i="2"/>
  <c r="D9487" i="2"/>
  <c r="C9487" i="2"/>
  <c r="B9487" i="2"/>
  <c r="A9487" i="2"/>
  <c r="U9486" i="2"/>
  <c r="N9486" i="2"/>
  <c r="M9486" i="2"/>
  <c r="J9486" i="2"/>
  <c r="I9486" i="2"/>
  <c r="H9486" i="2"/>
  <c r="G9486" i="2"/>
  <c r="F9486" i="2"/>
  <c r="E9486" i="2"/>
  <c r="D9486" i="2"/>
  <c r="C9486" i="2"/>
  <c r="B9486" i="2"/>
  <c r="A9486" i="2"/>
  <c r="U9485" i="2"/>
  <c r="N9485" i="2"/>
  <c r="M9485" i="2"/>
  <c r="J9485" i="2"/>
  <c r="I9485" i="2"/>
  <c r="H9485" i="2"/>
  <c r="G9485" i="2"/>
  <c r="F9485" i="2"/>
  <c r="E9485" i="2"/>
  <c r="D9485" i="2"/>
  <c r="C9485" i="2"/>
  <c r="B9485" i="2"/>
  <c r="A9485" i="2"/>
  <c r="U9484" i="2"/>
  <c r="N9484" i="2"/>
  <c r="M9484" i="2"/>
  <c r="J9484" i="2"/>
  <c r="I9484" i="2"/>
  <c r="H9484" i="2"/>
  <c r="G9484" i="2"/>
  <c r="F9484" i="2"/>
  <c r="E9484" i="2"/>
  <c r="D9484" i="2"/>
  <c r="C9484" i="2"/>
  <c r="B9484" i="2"/>
  <c r="A9484" i="2"/>
  <c r="Q9483" i="2"/>
  <c r="U9483" i="2" s="1"/>
  <c r="N9483" i="2"/>
  <c r="M9483" i="2"/>
  <c r="J9483" i="2"/>
  <c r="I9483" i="2"/>
  <c r="H9483" i="2"/>
  <c r="G9483" i="2"/>
  <c r="F9483" i="2"/>
  <c r="E9483" i="2"/>
  <c r="D9483" i="2"/>
  <c r="C9483" i="2"/>
  <c r="B9483" i="2"/>
  <c r="A9483" i="2"/>
  <c r="U9482" i="2"/>
  <c r="N9482" i="2"/>
  <c r="M9482" i="2"/>
  <c r="J9482" i="2"/>
  <c r="I9482" i="2"/>
  <c r="H9482" i="2"/>
  <c r="G9482" i="2"/>
  <c r="F9482" i="2"/>
  <c r="E9482" i="2"/>
  <c r="D9482" i="2"/>
  <c r="C9482" i="2"/>
  <c r="B9482" i="2"/>
  <c r="A9482" i="2"/>
  <c r="U9481" i="2"/>
  <c r="N9481" i="2"/>
  <c r="M9481" i="2"/>
  <c r="J9481" i="2"/>
  <c r="I9481" i="2"/>
  <c r="H9481" i="2"/>
  <c r="G9481" i="2"/>
  <c r="F9481" i="2"/>
  <c r="E9481" i="2"/>
  <c r="D9481" i="2"/>
  <c r="C9481" i="2"/>
  <c r="B9481" i="2"/>
  <c r="A9481" i="2"/>
  <c r="U9480" i="2"/>
  <c r="N9480" i="2"/>
  <c r="M9480" i="2"/>
  <c r="J9480" i="2"/>
  <c r="I9480" i="2"/>
  <c r="H9480" i="2"/>
  <c r="G9480" i="2"/>
  <c r="F9480" i="2"/>
  <c r="E9480" i="2"/>
  <c r="D9480" i="2"/>
  <c r="C9480" i="2"/>
  <c r="B9480" i="2"/>
  <c r="A9480" i="2"/>
  <c r="U9479" i="2"/>
  <c r="N9479" i="2"/>
  <c r="M9479" i="2"/>
  <c r="J9479" i="2"/>
  <c r="I9479" i="2"/>
  <c r="H9479" i="2"/>
  <c r="G9479" i="2"/>
  <c r="F9479" i="2"/>
  <c r="E9479" i="2"/>
  <c r="D9479" i="2"/>
  <c r="C9479" i="2"/>
  <c r="B9479" i="2"/>
  <c r="A9479" i="2"/>
  <c r="Q9478" i="2"/>
  <c r="U9478" i="2" s="1"/>
  <c r="N9478" i="2"/>
  <c r="M9478" i="2"/>
  <c r="J9478" i="2"/>
  <c r="I9478" i="2"/>
  <c r="H9478" i="2"/>
  <c r="G9478" i="2"/>
  <c r="F9478" i="2"/>
  <c r="E9478" i="2"/>
  <c r="D9478" i="2"/>
  <c r="C9478" i="2"/>
  <c r="B9478" i="2"/>
  <c r="A9478" i="2"/>
  <c r="U9477" i="2"/>
  <c r="N9477" i="2"/>
  <c r="M9477" i="2"/>
  <c r="J9477" i="2"/>
  <c r="I9477" i="2"/>
  <c r="H9477" i="2"/>
  <c r="G9477" i="2"/>
  <c r="F9477" i="2"/>
  <c r="E9477" i="2"/>
  <c r="D9477" i="2"/>
  <c r="C9477" i="2"/>
  <c r="B9477" i="2"/>
  <c r="A9477" i="2"/>
  <c r="U9476" i="2"/>
  <c r="N9476" i="2"/>
  <c r="M9476" i="2"/>
  <c r="J9476" i="2"/>
  <c r="I9476" i="2"/>
  <c r="H9476" i="2"/>
  <c r="G9476" i="2"/>
  <c r="F9476" i="2"/>
  <c r="E9476" i="2"/>
  <c r="D9476" i="2"/>
  <c r="C9476" i="2"/>
  <c r="B9476" i="2"/>
  <c r="A9476" i="2"/>
  <c r="U9475" i="2"/>
  <c r="N9475" i="2"/>
  <c r="M9475" i="2"/>
  <c r="J9475" i="2"/>
  <c r="I9475" i="2"/>
  <c r="H9475" i="2"/>
  <c r="G9475" i="2"/>
  <c r="F9475" i="2"/>
  <c r="E9475" i="2"/>
  <c r="D9475" i="2"/>
  <c r="C9475" i="2"/>
  <c r="B9475" i="2"/>
  <c r="A9475" i="2"/>
  <c r="U9474" i="2"/>
  <c r="N9474" i="2"/>
  <c r="M9474" i="2"/>
  <c r="J9474" i="2"/>
  <c r="I9474" i="2"/>
  <c r="H9474" i="2"/>
  <c r="G9474" i="2"/>
  <c r="F9474" i="2"/>
  <c r="E9474" i="2"/>
  <c r="D9474" i="2"/>
  <c r="C9474" i="2"/>
  <c r="B9474" i="2"/>
  <c r="A9474" i="2"/>
  <c r="U9473" i="2"/>
  <c r="N9473" i="2"/>
  <c r="M9473" i="2"/>
  <c r="J9473" i="2"/>
  <c r="I9473" i="2"/>
  <c r="H9473" i="2"/>
  <c r="G9473" i="2"/>
  <c r="F9473" i="2"/>
  <c r="E9473" i="2"/>
  <c r="D9473" i="2"/>
  <c r="C9473" i="2"/>
  <c r="B9473" i="2"/>
  <c r="A9473" i="2"/>
  <c r="Q9472" i="2"/>
  <c r="U9472" i="2" s="1"/>
  <c r="N9472" i="2"/>
  <c r="M9472" i="2"/>
  <c r="J9472" i="2"/>
  <c r="I9472" i="2"/>
  <c r="H9472" i="2"/>
  <c r="G9472" i="2"/>
  <c r="F9472" i="2"/>
  <c r="E9472" i="2"/>
  <c r="D9472" i="2"/>
  <c r="C9472" i="2"/>
  <c r="B9472" i="2"/>
  <c r="A9472" i="2"/>
  <c r="R9471" i="2"/>
  <c r="U9471" i="2" s="1"/>
  <c r="Q9471" i="2"/>
  <c r="N9471" i="2"/>
  <c r="M9471" i="2"/>
  <c r="J9471" i="2"/>
  <c r="I9471" i="2"/>
  <c r="H9471" i="2"/>
  <c r="G9471" i="2"/>
  <c r="F9471" i="2"/>
  <c r="E9471" i="2"/>
  <c r="D9471" i="2"/>
  <c r="C9471" i="2"/>
  <c r="B9471" i="2"/>
  <c r="A9471" i="2"/>
  <c r="R9470" i="2"/>
  <c r="Q9470" i="2"/>
  <c r="N9470" i="2"/>
  <c r="M9470" i="2"/>
  <c r="J9470" i="2"/>
  <c r="I9470" i="2"/>
  <c r="H9470" i="2"/>
  <c r="G9470" i="2"/>
  <c r="F9470" i="2"/>
  <c r="E9470" i="2"/>
  <c r="D9470" i="2"/>
  <c r="C9470" i="2"/>
  <c r="B9470" i="2"/>
  <c r="A9470" i="2"/>
  <c r="R9469" i="2"/>
  <c r="U9469" i="2" s="1"/>
  <c r="Q9469" i="2"/>
  <c r="N9469" i="2"/>
  <c r="M9469" i="2"/>
  <c r="J9469" i="2"/>
  <c r="I9469" i="2"/>
  <c r="H9469" i="2"/>
  <c r="G9469" i="2"/>
  <c r="F9469" i="2"/>
  <c r="E9469" i="2"/>
  <c r="D9469" i="2"/>
  <c r="C9469" i="2"/>
  <c r="B9469" i="2"/>
  <c r="A9469" i="2"/>
  <c r="R9468" i="2"/>
  <c r="Q9468" i="2"/>
  <c r="N9468" i="2"/>
  <c r="M9468" i="2"/>
  <c r="J9468" i="2"/>
  <c r="I9468" i="2"/>
  <c r="H9468" i="2"/>
  <c r="G9468" i="2"/>
  <c r="F9468" i="2"/>
  <c r="E9468" i="2"/>
  <c r="D9468" i="2"/>
  <c r="C9468" i="2"/>
  <c r="B9468" i="2"/>
  <c r="A9468" i="2"/>
  <c r="Q9467" i="2"/>
  <c r="U9467" i="2" s="1"/>
  <c r="N9467" i="2"/>
  <c r="M9467" i="2"/>
  <c r="J9467" i="2"/>
  <c r="I9467" i="2"/>
  <c r="H9467" i="2"/>
  <c r="G9467" i="2"/>
  <c r="F9467" i="2"/>
  <c r="E9467" i="2"/>
  <c r="D9467" i="2"/>
  <c r="C9467" i="2"/>
  <c r="B9467" i="2"/>
  <c r="A9467" i="2"/>
  <c r="R9466" i="2"/>
  <c r="U9466" i="2" s="1"/>
  <c r="Q9466" i="2"/>
  <c r="N9466" i="2"/>
  <c r="M9466" i="2"/>
  <c r="J9466" i="2"/>
  <c r="I9466" i="2"/>
  <c r="H9466" i="2"/>
  <c r="G9466" i="2"/>
  <c r="F9466" i="2"/>
  <c r="E9466" i="2"/>
  <c r="D9466" i="2"/>
  <c r="C9466" i="2"/>
  <c r="B9466" i="2"/>
  <c r="A9466" i="2"/>
  <c r="R9465" i="2"/>
  <c r="Q9465" i="2"/>
  <c r="N9465" i="2"/>
  <c r="M9465" i="2"/>
  <c r="J9465" i="2"/>
  <c r="I9465" i="2"/>
  <c r="H9465" i="2"/>
  <c r="G9465" i="2"/>
  <c r="F9465" i="2"/>
  <c r="E9465" i="2"/>
  <c r="D9465" i="2"/>
  <c r="C9465" i="2"/>
  <c r="B9465" i="2"/>
  <c r="A9465" i="2"/>
  <c r="R9464" i="2"/>
  <c r="Q9464" i="2"/>
  <c r="N9464" i="2"/>
  <c r="M9464" i="2"/>
  <c r="J9464" i="2"/>
  <c r="I9464" i="2"/>
  <c r="H9464" i="2"/>
  <c r="G9464" i="2"/>
  <c r="F9464" i="2"/>
  <c r="E9464" i="2"/>
  <c r="D9464" i="2"/>
  <c r="C9464" i="2"/>
  <c r="B9464" i="2"/>
  <c r="A9464" i="2"/>
  <c r="R9463" i="2"/>
  <c r="Q9463" i="2"/>
  <c r="N9463" i="2"/>
  <c r="M9463" i="2"/>
  <c r="J9463" i="2"/>
  <c r="I9463" i="2"/>
  <c r="H9463" i="2"/>
  <c r="G9463" i="2"/>
  <c r="F9463" i="2"/>
  <c r="E9463" i="2"/>
  <c r="D9463" i="2"/>
  <c r="C9463" i="2"/>
  <c r="B9463" i="2"/>
  <c r="A9463" i="2"/>
  <c r="R9462" i="2"/>
  <c r="Q9462" i="2"/>
  <c r="N9462" i="2"/>
  <c r="M9462" i="2"/>
  <c r="J9462" i="2"/>
  <c r="I9462" i="2"/>
  <c r="H9462" i="2"/>
  <c r="G9462" i="2"/>
  <c r="F9462" i="2"/>
  <c r="E9462" i="2"/>
  <c r="D9462" i="2"/>
  <c r="C9462" i="2"/>
  <c r="B9462" i="2"/>
  <c r="A9462" i="2"/>
  <c r="R9461" i="2"/>
  <c r="Q9461" i="2"/>
  <c r="N9461" i="2"/>
  <c r="M9461" i="2"/>
  <c r="J9461" i="2"/>
  <c r="I9461" i="2"/>
  <c r="H9461" i="2"/>
  <c r="G9461" i="2"/>
  <c r="F9461" i="2"/>
  <c r="E9461" i="2"/>
  <c r="D9461" i="2"/>
  <c r="C9461" i="2"/>
  <c r="B9461" i="2"/>
  <c r="A9461" i="2"/>
  <c r="R9460" i="2"/>
  <c r="Q9460" i="2"/>
  <c r="N9460" i="2"/>
  <c r="M9460" i="2"/>
  <c r="J9460" i="2"/>
  <c r="I9460" i="2"/>
  <c r="H9460" i="2"/>
  <c r="G9460" i="2"/>
  <c r="F9460" i="2"/>
  <c r="E9460" i="2"/>
  <c r="D9460" i="2"/>
  <c r="C9460" i="2"/>
  <c r="B9460" i="2"/>
  <c r="A9460" i="2"/>
  <c r="R9459" i="2"/>
  <c r="Q9459" i="2"/>
  <c r="N9459" i="2"/>
  <c r="M9459" i="2"/>
  <c r="J9459" i="2"/>
  <c r="I9459" i="2"/>
  <c r="H9459" i="2"/>
  <c r="G9459" i="2"/>
  <c r="F9459" i="2"/>
  <c r="E9459" i="2"/>
  <c r="D9459" i="2"/>
  <c r="C9459" i="2"/>
  <c r="B9459" i="2"/>
  <c r="A9459" i="2"/>
  <c r="R9458" i="2"/>
  <c r="Q9458" i="2"/>
  <c r="N9458" i="2"/>
  <c r="M9458" i="2"/>
  <c r="J9458" i="2"/>
  <c r="I9458" i="2"/>
  <c r="H9458" i="2"/>
  <c r="G9458" i="2"/>
  <c r="F9458" i="2"/>
  <c r="E9458" i="2"/>
  <c r="D9458" i="2"/>
  <c r="C9458" i="2"/>
  <c r="B9458" i="2"/>
  <c r="A9458" i="2"/>
  <c r="R9457" i="2"/>
  <c r="Q9457" i="2"/>
  <c r="N9457" i="2"/>
  <c r="M9457" i="2"/>
  <c r="J9457" i="2"/>
  <c r="I9457" i="2"/>
  <c r="H9457" i="2"/>
  <c r="G9457" i="2"/>
  <c r="F9457" i="2"/>
  <c r="E9457" i="2"/>
  <c r="D9457" i="2"/>
  <c r="C9457" i="2"/>
  <c r="B9457" i="2"/>
  <c r="A9457" i="2"/>
  <c r="R9456" i="2"/>
  <c r="Q9456" i="2"/>
  <c r="N9456" i="2"/>
  <c r="M9456" i="2"/>
  <c r="J9456" i="2"/>
  <c r="I9456" i="2"/>
  <c r="H9456" i="2"/>
  <c r="G9456" i="2"/>
  <c r="F9456" i="2"/>
  <c r="E9456" i="2"/>
  <c r="D9456" i="2"/>
  <c r="C9456" i="2"/>
  <c r="B9456" i="2"/>
  <c r="A9456" i="2"/>
  <c r="R9455" i="2"/>
  <c r="Q9455" i="2"/>
  <c r="N9455" i="2"/>
  <c r="M9455" i="2"/>
  <c r="J9455" i="2"/>
  <c r="I9455" i="2"/>
  <c r="H9455" i="2"/>
  <c r="G9455" i="2"/>
  <c r="F9455" i="2"/>
  <c r="E9455" i="2"/>
  <c r="D9455" i="2"/>
  <c r="C9455" i="2"/>
  <c r="B9455" i="2"/>
  <c r="A9455" i="2"/>
  <c r="U9454" i="2"/>
  <c r="N9454" i="2"/>
  <c r="M9454" i="2"/>
  <c r="J9454" i="2"/>
  <c r="I9454" i="2"/>
  <c r="H9454" i="2"/>
  <c r="G9454" i="2"/>
  <c r="F9454" i="2"/>
  <c r="E9454" i="2"/>
  <c r="D9454" i="2"/>
  <c r="C9454" i="2"/>
  <c r="B9454" i="2"/>
  <c r="A9454" i="2"/>
  <c r="U9453" i="2"/>
  <c r="N9453" i="2"/>
  <c r="M9453" i="2"/>
  <c r="J9453" i="2"/>
  <c r="I9453" i="2"/>
  <c r="H9453" i="2"/>
  <c r="G9453" i="2"/>
  <c r="F9453" i="2"/>
  <c r="E9453" i="2"/>
  <c r="D9453" i="2"/>
  <c r="C9453" i="2"/>
  <c r="B9453" i="2"/>
  <c r="A9453" i="2"/>
  <c r="U9452" i="2"/>
  <c r="N9452" i="2"/>
  <c r="M9452" i="2"/>
  <c r="J9452" i="2"/>
  <c r="I9452" i="2"/>
  <c r="H9452" i="2"/>
  <c r="G9452" i="2"/>
  <c r="F9452" i="2"/>
  <c r="E9452" i="2"/>
  <c r="D9452" i="2"/>
  <c r="C9452" i="2"/>
  <c r="B9452" i="2"/>
  <c r="A9452" i="2"/>
  <c r="U9451" i="2"/>
  <c r="N9451" i="2"/>
  <c r="M9451" i="2"/>
  <c r="J9451" i="2"/>
  <c r="I9451" i="2"/>
  <c r="H9451" i="2"/>
  <c r="G9451" i="2"/>
  <c r="F9451" i="2"/>
  <c r="E9451" i="2"/>
  <c r="D9451" i="2"/>
  <c r="C9451" i="2"/>
  <c r="B9451" i="2"/>
  <c r="A9451" i="2"/>
  <c r="U9450" i="2"/>
  <c r="N9450" i="2"/>
  <c r="M9450" i="2"/>
  <c r="J9450" i="2"/>
  <c r="I9450" i="2"/>
  <c r="H9450" i="2"/>
  <c r="G9450" i="2"/>
  <c r="F9450" i="2"/>
  <c r="E9450" i="2"/>
  <c r="D9450" i="2"/>
  <c r="C9450" i="2"/>
  <c r="B9450" i="2"/>
  <c r="A9450" i="2"/>
  <c r="U9449" i="2"/>
  <c r="N9449" i="2"/>
  <c r="M9449" i="2"/>
  <c r="J9449" i="2"/>
  <c r="I9449" i="2"/>
  <c r="H9449" i="2"/>
  <c r="G9449" i="2"/>
  <c r="F9449" i="2"/>
  <c r="E9449" i="2"/>
  <c r="D9449" i="2"/>
  <c r="C9449" i="2"/>
  <c r="B9449" i="2"/>
  <c r="A9449" i="2"/>
  <c r="U9448" i="2"/>
  <c r="N9448" i="2"/>
  <c r="M9448" i="2"/>
  <c r="J9448" i="2"/>
  <c r="I9448" i="2"/>
  <c r="H9448" i="2"/>
  <c r="G9448" i="2"/>
  <c r="F9448" i="2"/>
  <c r="E9448" i="2"/>
  <c r="D9448" i="2"/>
  <c r="C9448" i="2"/>
  <c r="B9448" i="2"/>
  <c r="A9448" i="2"/>
  <c r="U9447" i="2"/>
  <c r="N9447" i="2"/>
  <c r="M9447" i="2"/>
  <c r="J9447" i="2"/>
  <c r="I9447" i="2"/>
  <c r="H9447" i="2"/>
  <c r="G9447" i="2"/>
  <c r="F9447" i="2"/>
  <c r="E9447" i="2"/>
  <c r="D9447" i="2"/>
  <c r="C9447" i="2"/>
  <c r="B9447" i="2"/>
  <c r="A9447" i="2"/>
  <c r="U9446" i="2"/>
  <c r="N9446" i="2"/>
  <c r="M9446" i="2"/>
  <c r="J9446" i="2"/>
  <c r="I9446" i="2"/>
  <c r="H9446" i="2"/>
  <c r="G9446" i="2"/>
  <c r="F9446" i="2"/>
  <c r="E9446" i="2"/>
  <c r="D9446" i="2"/>
  <c r="C9446" i="2"/>
  <c r="B9446" i="2"/>
  <c r="A9446" i="2"/>
  <c r="U9445" i="2"/>
  <c r="N9445" i="2"/>
  <c r="M9445" i="2"/>
  <c r="J9445" i="2"/>
  <c r="I9445" i="2"/>
  <c r="H9445" i="2"/>
  <c r="G9445" i="2"/>
  <c r="F9445" i="2"/>
  <c r="E9445" i="2"/>
  <c r="D9445" i="2"/>
  <c r="C9445" i="2"/>
  <c r="B9445" i="2"/>
  <c r="A9445" i="2"/>
  <c r="U9444" i="2"/>
  <c r="N9444" i="2"/>
  <c r="M9444" i="2"/>
  <c r="J9444" i="2"/>
  <c r="I9444" i="2"/>
  <c r="H9444" i="2"/>
  <c r="G9444" i="2"/>
  <c r="F9444" i="2"/>
  <c r="E9444" i="2"/>
  <c r="D9444" i="2"/>
  <c r="C9444" i="2"/>
  <c r="B9444" i="2"/>
  <c r="A9444" i="2"/>
  <c r="U9443" i="2"/>
  <c r="N9443" i="2"/>
  <c r="M9443" i="2"/>
  <c r="J9443" i="2"/>
  <c r="I9443" i="2"/>
  <c r="H9443" i="2"/>
  <c r="G9443" i="2"/>
  <c r="F9443" i="2"/>
  <c r="E9443" i="2"/>
  <c r="D9443" i="2"/>
  <c r="C9443" i="2"/>
  <c r="B9443" i="2"/>
  <c r="A9443" i="2"/>
  <c r="U9442" i="2"/>
  <c r="N9442" i="2"/>
  <c r="M9442" i="2"/>
  <c r="J9442" i="2"/>
  <c r="I9442" i="2"/>
  <c r="H9442" i="2"/>
  <c r="G9442" i="2"/>
  <c r="F9442" i="2"/>
  <c r="E9442" i="2"/>
  <c r="D9442" i="2"/>
  <c r="C9442" i="2"/>
  <c r="B9442" i="2"/>
  <c r="A9442" i="2"/>
  <c r="U9441" i="2"/>
  <c r="N9441" i="2"/>
  <c r="M9441" i="2"/>
  <c r="J9441" i="2"/>
  <c r="I9441" i="2"/>
  <c r="H9441" i="2"/>
  <c r="G9441" i="2"/>
  <c r="F9441" i="2"/>
  <c r="E9441" i="2"/>
  <c r="D9441" i="2"/>
  <c r="C9441" i="2"/>
  <c r="B9441" i="2"/>
  <c r="A9441" i="2"/>
  <c r="U9440" i="2"/>
  <c r="N9440" i="2"/>
  <c r="M9440" i="2"/>
  <c r="J9440" i="2"/>
  <c r="I9440" i="2"/>
  <c r="H9440" i="2"/>
  <c r="G9440" i="2"/>
  <c r="F9440" i="2"/>
  <c r="E9440" i="2"/>
  <c r="D9440" i="2"/>
  <c r="C9440" i="2"/>
  <c r="B9440" i="2"/>
  <c r="A9440" i="2"/>
  <c r="U9439" i="2"/>
  <c r="N9439" i="2"/>
  <c r="M9439" i="2"/>
  <c r="J9439" i="2"/>
  <c r="I9439" i="2"/>
  <c r="H9439" i="2"/>
  <c r="G9439" i="2"/>
  <c r="F9439" i="2"/>
  <c r="E9439" i="2"/>
  <c r="D9439" i="2"/>
  <c r="C9439" i="2"/>
  <c r="B9439" i="2"/>
  <c r="A9439" i="2"/>
  <c r="U9438" i="2"/>
  <c r="N9438" i="2"/>
  <c r="M9438" i="2"/>
  <c r="J9438" i="2"/>
  <c r="I9438" i="2"/>
  <c r="H9438" i="2"/>
  <c r="G9438" i="2"/>
  <c r="F9438" i="2"/>
  <c r="E9438" i="2"/>
  <c r="D9438" i="2"/>
  <c r="C9438" i="2"/>
  <c r="B9438" i="2"/>
  <c r="A9438" i="2"/>
  <c r="U9437" i="2"/>
  <c r="N9437" i="2"/>
  <c r="M9437" i="2"/>
  <c r="J9437" i="2"/>
  <c r="I9437" i="2"/>
  <c r="H9437" i="2"/>
  <c r="G9437" i="2"/>
  <c r="F9437" i="2"/>
  <c r="E9437" i="2"/>
  <c r="D9437" i="2"/>
  <c r="C9437" i="2"/>
  <c r="B9437" i="2"/>
  <c r="A9437" i="2"/>
  <c r="U9436" i="2"/>
  <c r="N9436" i="2"/>
  <c r="M9436" i="2"/>
  <c r="J9436" i="2"/>
  <c r="I9436" i="2"/>
  <c r="H9436" i="2"/>
  <c r="G9436" i="2"/>
  <c r="F9436" i="2"/>
  <c r="E9436" i="2"/>
  <c r="D9436" i="2"/>
  <c r="C9436" i="2"/>
  <c r="B9436" i="2"/>
  <c r="A9436" i="2"/>
  <c r="U9435" i="2"/>
  <c r="N9435" i="2"/>
  <c r="M9435" i="2"/>
  <c r="J9435" i="2"/>
  <c r="I9435" i="2"/>
  <c r="H9435" i="2"/>
  <c r="G9435" i="2"/>
  <c r="F9435" i="2"/>
  <c r="E9435" i="2"/>
  <c r="D9435" i="2"/>
  <c r="C9435" i="2"/>
  <c r="B9435" i="2"/>
  <c r="A9435" i="2"/>
  <c r="U9434" i="2"/>
  <c r="N9434" i="2"/>
  <c r="M9434" i="2"/>
  <c r="J9434" i="2"/>
  <c r="I9434" i="2"/>
  <c r="H9434" i="2"/>
  <c r="G9434" i="2"/>
  <c r="F9434" i="2"/>
  <c r="E9434" i="2"/>
  <c r="D9434" i="2"/>
  <c r="C9434" i="2"/>
  <c r="B9434" i="2"/>
  <c r="A9434" i="2"/>
  <c r="U9433" i="2"/>
  <c r="N9433" i="2"/>
  <c r="M9433" i="2"/>
  <c r="J9433" i="2"/>
  <c r="I9433" i="2"/>
  <c r="H9433" i="2"/>
  <c r="G9433" i="2"/>
  <c r="F9433" i="2"/>
  <c r="E9433" i="2"/>
  <c r="D9433" i="2"/>
  <c r="C9433" i="2"/>
  <c r="B9433" i="2"/>
  <c r="A9433" i="2"/>
  <c r="U9432" i="2"/>
  <c r="N9432" i="2"/>
  <c r="M9432" i="2"/>
  <c r="J9432" i="2"/>
  <c r="I9432" i="2"/>
  <c r="H9432" i="2"/>
  <c r="G9432" i="2"/>
  <c r="F9432" i="2"/>
  <c r="E9432" i="2"/>
  <c r="D9432" i="2"/>
  <c r="C9432" i="2"/>
  <c r="B9432" i="2"/>
  <c r="A9432" i="2"/>
  <c r="U9431" i="2"/>
  <c r="N9431" i="2"/>
  <c r="M9431" i="2"/>
  <c r="J9431" i="2"/>
  <c r="I9431" i="2"/>
  <c r="H9431" i="2"/>
  <c r="G9431" i="2"/>
  <c r="F9431" i="2"/>
  <c r="E9431" i="2"/>
  <c r="D9431" i="2"/>
  <c r="C9431" i="2"/>
  <c r="B9431" i="2"/>
  <c r="A9431" i="2"/>
  <c r="U9430" i="2"/>
  <c r="N9430" i="2"/>
  <c r="M9430" i="2"/>
  <c r="J9430" i="2"/>
  <c r="I9430" i="2"/>
  <c r="H9430" i="2"/>
  <c r="G9430" i="2"/>
  <c r="F9430" i="2"/>
  <c r="E9430" i="2"/>
  <c r="D9430" i="2"/>
  <c r="C9430" i="2"/>
  <c r="B9430" i="2"/>
  <c r="A9430" i="2"/>
  <c r="U9429" i="2"/>
  <c r="N9429" i="2"/>
  <c r="M9429" i="2"/>
  <c r="J9429" i="2"/>
  <c r="I9429" i="2"/>
  <c r="H9429" i="2"/>
  <c r="G9429" i="2"/>
  <c r="F9429" i="2"/>
  <c r="E9429" i="2"/>
  <c r="D9429" i="2"/>
  <c r="C9429" i="2"/>
  <c r="B9429" i="2"/>
  <c r="A9429" i="2"/>
  <c r="U9428" i="2"/>
  <c r="N9428" i="2"/>
  <c r="M9428" i="2"/>
  <c r="J9428" i="2"/>
  <c r="I9428" i="2"/>
  <c r="H9428" i="2"/>
  <c r="G9428" i="2"/>
  <c r="F9428" i="2"/>
  <c r="E9428" i="2"/>
  <c r="D9428" i="2"/>
  <c r="C9428" i="2"/>
  <c r="B9428" i="2"/>
  <c r="A9428" i="2"/>
  <c r="U9427" i="2"/>
  <c r="N9427" i="2"/>
  <c r="M9427" i="2"/>
  <c r="J9427" i="2"/>
  <c r="I9427" i="2"/>
  <c r="H9427" i="2"/>
  <c r="G9427" i="2"/>
  <c r="F9427" i="2"/>
  <c r="E9427" i="2"/>
  <c r="D9427" i="2"/>
  <c r="C9427" i="2"/>
  <c r="B9427" i="2"/>
  <c r="A9427" i="2"/>
  <c r="U9426" i="2"/>
  <c r="N9426" i="2"/>
  <c r="M9426" i="2"/>
  <c r="J9426" i="2"/>
  <c r="I9426" i="2"/>
  <c r="H9426" i="2"/>
  <c r="G9426" i="2"/>
  <c r="F9426" i="2"/>
  <c r="E9426" i="2"/>
  <c r="D9426" i="2"/>
  <c r="C9426" i="2"/>
  <c r="B9426" i="2"/>
  <c r="A9426" i="2"/>
  <c r="U9425" i="2"/>
  <c r="N9425" i="2"/>
  <c r="M9425" i="2"/>
  <c r="J9425" i="2"/>
  <c r="I9425" i="2"/>
  <c r="H9425" i="2"/>
  <c r="G9425" i="2"/>
  <c r="F9425" i="2"/>
  <c r="E9425" i="2"/>
  <c r="D9425" i="2"/>
  <c r="C9425" i="2"/>
  <c r="B9425" i="2"/>
  <c r="A9425" i="2"/>
  <c r="U9424" i="2"/>
  <c r="N9424" i="2"/>
  <c r="M9424" i="2"/>
  <c r="J9424" i="2"/>
  <c r="I9424" i="2"/>
  <c r="H9424" i="2"/>
  <c r="G9424" i="2"/>
  <c r="F9424" i="2"/>
  <c r="E9424" i="2"/>
  <c r="D9424" i="2"/>
  <c r="C9424" i="2"/>
  <c r="B9424" i="2"/>
  <c r="A9424" i="2"/>
  <c r="U9423" i="2"/>
  <c r="N9423" i="2"/>
  <c r="M9423" i="2"/>
  <c r="J9423" i="2"/>
  <c r="I9423" i="2"/>
  <c r="H9423" i="2"/>
  <c r="G9423" i="2"/>
  <c r="F9423" i="2"/>
  <c r="E9423" i="2"/>
  <c r="D9423" i="2"/>
  <c r="C9423" i="2"/>
  <c r="B9423" i="2"/>
  <c r="A9423" i="2"/>
  <c r="U9422" i="2"/>
  <c r="N9422" i="2"/>
  <c r="M9422" i="2"/>
  <c r="J9422" i="2"/>
  <c r="I9422" i="2"/>
  <c r="H9422" i="2"/>
  <c r="G9422" i="2"/>
  <c r="F9422" i="2"/>
  <c r="E9422" i="2"/>
  <c r="D9422" i="2"/>
  <c r="C9422" i="2"/>
  <c r="B9422" i="2"/>
  <c r="A9422" i="2"/>
  <c r="U9421" i="2"/>
  <c r="N9421" i="2"/>
  <c r="M9421" i="2"/>
  <c r="J9421" i="2"/>
  <c r="I9421" i="2"/>
  <c r="H9421" i="2"/>
  <c r="G9421" i="2"/>
  <c r="F9421" i="2"/>
  <c r="E9421" i="2"/>
  <c r="D9421" i="2"/>
  <c r="C9421" i="2"/>
  <c r="B9421" i="2"/>
  <c r="A9421" i="2"/>
  <c r="U9420" i="2"/>
  <c r="N9420" i="2"/>
  <c r="M9420" i="2"/>
  <c r="J9420" i="2"/>
  <c r="I9420" i="2"/>
  <c r="H9420" i="2"/>
  <c r="G9420" i="2"/>
  <c r="F9420" i="2"/>
  <c r="E9420" i="2"/>
  <c r="D9420" i="2"/>
  <c r="C9420" i="2"/>
  <c r="B9420" i="2"/>
  <c r="A9420" i="2"/>
  <c r="U9419" i="2"/>
  <c r="N9419" i="2"/>
  <c r="M9419" i="2"/>
  <c r="J9419" i="2"/>
  <c r="I9419" i="2"/>
  <c r="H9419" i="2"/>
  <c r="G9419" i="2"/>
  <c r="F9419" i="2"/>
  <c r="E9419" i="2"/>
  <c r="D9419" i="2"/>
  <c r="C9419" i="2"/>
  <c r="B9419" i="2"/>
  <c r="A9419" i="2"/>
  <c r="U9418" i="2"/>
  <c r="N9418" i="2"/>
  <c r="M9418" i="2"/>
  <c r="J9418" i="2"/>
  <c r="I9418" i="2"/>
  <c r="H9418" i="2"/>
  <c r="G9418" i="2"/>
  <c r="F9418" i="2"/>
  <c r="E9418" i="2"/>
  <c r="D9418" i="2"/>
  <c r="C9418" i="2"/>
  <c r="B9418" i="2"/>
  <c r="A9418" i="2"/>
  <c r="U9417" i="2"/>
  <c r="N9417" i="2"/>
  <c r="M9417" i="2"/>
  <c r="J9417" i="2"/>
  <c r="I9417" i="2"/>
  <c r="H9417" i="2"/>
  <c r="G9417" i="2"/>
  <c r="F9417" i="2"/>
  <c r="E9417" i="2"/>
  <c r="D9417" i="2"/>
  <c r="C9417" i="2"/>
  <c r="B9417" i="2"/>
  <c r="A9417" i="2"/>
  <c r="U9416" i="2"/>
  <c r="N9416" i="2"/>
  <c r="M9416" i="2"/>
  <c r="J9416" i="2"/>
  <c r="I9416" i="2"/>
  <c r="H9416" i="2"/>
  <c r="G9416" i="2"/>
  <c r="F9416" i="2"/>
  <c r="E9416" i="2"/>
  <c r="D9416" i="2"/>
  <c r="C9416" i="2"/>
  <c r="B9416" i="2"/>
  <c r="A9416" i="2"/>
  <c r="U9415" i="2"/>
  <c r="N9415" i="2"/>
  <c r="M9415" i="2"/>
  <c r="J9415" i="2"/>
  <c r="I9415" i="2"/>
  <c r="H9415" i="2"/>
  <c r="G9415" i="2"/>
  <c r="F9415" i="2"/>
  <c r="E9415" i="2"/>
  <c r="D9415" i="2"/>
  <c r="C9415" i="2"/>
  <c r="B9415" i="2"/>
  <c r="A9415" i="2"/>
  <c r="U9414" i="2"/>
  <c r="N9414" i="2"/>
  <c r="M9414" i="2"/>
  <c r="J9414" i="2"/>
  <c r="I9414" i="2"/>
  <c r="H9414" i="2"/>
  <c r="G9414" i="2"/>
  <c r="F9414" i="2"/>
  <c r="E9414" i="2"/>
  <c r="D9414" i="2"/>
  <c r="C9414" i="2"/>
  <c r="B9414" i="2"/>
  <c r="A9414" i="2"/>
  <c r="U9413" i="2"/>
  <c r="N9413" i="2"/>
  <c r="M9413" i="2"/>
  <c r="J9413" i="2"/>
  <c r="I9413" i="2"/>
  <c r="H9413" i="2"/>
  <c r="G9413" i="2"/>
  <c r="F9413" i="2"/>
  <c r="E9413" i="2"/>
  <c r="D9413" i="2"/>
  <c r="C9413" i="2"/>
  <c r="B9413" i="2"/>
  <c r="A9413" i="2"/>
  <c r="U9412" i="2"/>
  <c r="N9412" i="2"/>
  <c r="M9412" i="2"/>
  <c r="J9412" i="2"/>
  <c r="I9412" i="2"/>
  <c r="H9412" i="2"/>
  <c r="G9412" i="2"/>
  <c r="F9412" i="2"/>
  <c r="E9412" i="2"/>
  <c r="D9412" i="2"/>
  <c r="C9412" i="2"/>
  <c r="B9412" i="2"/>
  <c r="A9412" i="2"/>
  <c r="U9411" i="2"/>
  <c r="N9411" i="2"/>
  <c r="M9411" i="2"/>
  <c r="J9411" i="2"/>
  <c r="I9411" i="2"/>
  <c r="H9411" i="2"/>
  <c r="G9411" i="2"/>
  <c r="F9411" i="2"/>
  <c r="E9411" i="2"/>
  <c r="D9411" i="2"/>
  <c r="C9411" i="2"/>
  <c r="B9411" i="2"/>
  <c r="A9411" i="2"/>
  <c r="U9410" i="2"/>
  <c r="N9410" i="2"/>
  <c r="M9410" i="2"/>
  <c r="J9410" i="2"/>
  <c r="I9410" i="2"/>
  <c r="H9410" i="2"/>
  <c r="G9410" i="2"/>
  <c r="F9410" i="2"/>
  <c r="E9410" i="2"/>
  <c r="D9410" i="2"/>
  <c r="C9410" i="2"/>
  <c r="B9410" i="2"/>
  <c r="A9410" i="2"/>
  <c r="U9409" i="2"/>
  <c r="N9409" i="2"/>
  <c r="M9409" i="2"/>
  <c r="J9409" i="2"/>
  <c r="I9409" i="2"/>
  <c r="H9409" i="2"/>
  <c r="G9409" i="2"/>
  <c r="F9409" i="2"/>
  <c r="E9409" i="2"/>
  <c r="D9409" i="2"/>
  <c r="C9409" i="2"/>
  <c r="B9409" i="2"/>
  <c r="A9409" i="2"/>
  <c r="U9408" i="2"/>
  <c r="N9408" i="2"/>
  <c r="M9408" i="2"/>
  <c r="J9408" i="2"/>
  <c r="I9408" i="2"/>
  <c r="H9408" i="2"/>
  <c r="G9408" i="2"/>
  <c r="F9408" i="2"/>
  <c r="E9408" i="2"/>
  <c r="D9408" i="2"/>
  <c r="C9408" i="2"/>
  <c r="B9408" i="2"/>
  <c r="A9408" i="2"/>
  <c r="U9407" i="2"/>
  <c r="N9407" i="2"/>
  <c r="M9407" i="2"/>
  <c r="J9407" i="2"/>
  <c r="I9407" i="2"/>
  <c r="H9407" i="2"/>
  <c r="G9407" i="2"/>
  <c r="F9407" i="2"/>
  <c r="E9407" i="2"/>
  <c r="D9407" i="2"/>
  <c r="C9407" i="2"/>
  <c r="B9407" i="2"/>
  <c r="A9407" i="2"/>
  <c r="U9406" i="2"/>
  <c r="N9406" i="2"/>
  <c r="M9406" i="2"/>
  <c r="J9406" i="2"/>
  <c r="I9406" i="2"/>
  <c r="H9406" i="2"/>
  <c r="G9406" i="2"/>
  <c r="F9406" i="2"/>
  <c r="E9406" i="2"/>
  <c r="D9406" i="2"/>
  <c r="C9406" i="2"/>
  <c r="B9406" i="2"/>
  <c r="A9406" i="2"/>
  <c r="U9405" i="2"/>
  <c r="N9405" i="2"/>
  <c r="M9405" i="2"/>
  <c r="J9405" i="2"/>
  <c r="I9405" i="2"/>
  <c r="H9405" i="2"/>
  <c r="G9405" i="2"/>
  <c r="F9405" i="2"/>
  <c r="E9405" i="2"/>
  <c r="D9405" i="2"/>
  <c r="C9405" i="2"/>
  <c r="B9405" i="2"/>
  <c r="A9405" i="2"/>
  <c r="U9404" i="2"/>
  <c r="N9404" i="2"/>
  <c r="M9404" i="2"/>
  <c r="J9404" i="2"/>
  <c r="I9404" i="2"/>
  <c r="H9404" i="2"/>
  <c r="G9404" i="2"/>
  <c r="F9404" i="2"/>
  <c r="E9404" i="2"/>
  <c r="D9404" i="2"/>
  <c r="C9404" i="2"/>
  <c r="B9404" i="2"/>
  <c r="A9404" i="2"/>
  <c r="U9403" i="2"/>
  <c r="N9403" i="2"/>
  <c r="M9403" i="2"/>
  <c r="J9403" i="2"/>
  <c r="I9403" i="2"/>
  <c r="H9403" i="2"/>
  <c r="G9403" i="2"/>
  <c r="F9403" i="2"/>
  <c r="E9403" i="2"/>
  <c r="D9403" i="2"/>
  <c r="C9403" i="2"/>
  <c r="B9403" i="2"/>
  <c r="A9403" i="2"/>
  <c r="U9402" i="2"/>
  <c r="N9402" i="2"/>
  <c r="M9402" i="2"/>
  <c r="J9402" i="2"/>
  <c r="I9402" i="2"/>
  <c r="H9402" i="2"/>
  <c r="G9402" i="2"/>
  <c r="F9402" i="2"/>
  <c r="E9402" i="2"/>
  <c r="D9402" i="2"/>
  <c r="C9402" i="2"/>
  <c r="B9402" i="2"/>
  <c r="A9402" i="2"/>
  <c r="U9401" i="2"/>
  <c r="N9401" i="2"/>
  <c r="M9401" i="2"/>
  <c r="J9401" i="2"/>
  <c r="I9401" i="2"/>
  <c r="H9401" i="2"/>
  <c r="G9401" i="2"/>
  <c r="F9401" i="2"/>
  <c r="E9401" i="2"/>
  <c r="D9401" i="2"/>
  <c r="C9401" i="2"/>
  <c r="B9401" i="2"/>
  <c r="A9401" i="2"/>
  <c r="U9400" i="2"/>
  <c r="N9400" i="2"/>
  <c r="M9400" i="2"/>
  <c r="J9400" i="2"/>
  <c r="I9400" i="2"/>
  <c r="H9400" i="2"/>
  <c r="G9400" i="2"/>
  <c r="F9400" i="2"/>
  <c r="E9400" i="2"/>
  <c r="D9400" i="2"/>
  <c r="C9400" i="2"/>
  <c r="B9400" i="2"/>
  <c r="A9400" i="2"/>
  <c r="U9399" i="2"/>
  <c r="N9399" i="2"/>
  <c r="M9399" i="2"/>
  <c r="J9399" i="2"/>
  <c r="I9399" i="2"/>
  <c r="H9399" i="2"/>
  <c r="G9399" i="2"/>
  <c r="F9399" i="2"/>
  <c r="E9399" i="2"/>
  <c r="D9399" i="2"/>
  <c r="C9399" i="2"/>
  <c r="B9399" i="2"/>
  <c r="A9399" i="2"/>
  <c r="U9398" i="2"/>
  <c r="N9398" i="2"/>
  <c r="M9398" i="2"/>
  <c r="J9398" i="2"/>
  <c r="I9398" i="2"/>
  <c r="H9398" i="2"/>
  <c r="G9398" i="2"/>
  <c r="F9398" i="2"/>
  <c r="E9398" i="2"/>
  <c r="D9398" i="2"/>
  <c r="C9398" i="2"/>
  <c r="B9398" i="2"/>
  <c r="A9398" i="2"/>
  <c r="Q9397" i="2"/>
  <c r="U9397" i="2" s="1"/>
  <c r="N9397" i="2"/>
  <c r="M9397" i="2"/>
  <c r="J9397" i="2"/>
  <c r="I9397" i="2"/>
  <c r="H9397" i="2"/>
  <c r="G9397" i="2"/>
  <c r="F9397" i="2"/>
  <c r="E9397" i="2"/>
  <c r="D9397" i="2"/>
  <c r="C9397" i="2"/>
  <c r="B9397" i="2"/>
  <c r="A9397" i="2"/>
  <c r="U9396" i="2"/>
  <c r="N9396" i="2"/>
  <c r="M9396" i="2"/>
  <c r="J9396" i="2"/>
  <c r="I9396" i="2"/>
  <c r="H9396" i="2"/>
  <c r="G9396" i="2"/>
  <c r="F9396" i="2"/>
  <c r="E9396" i="2"/>
  <c r="D9396" i="2"/>
  <c r="C9396" i="2"/>
  <c r="B9396" i="2"/>
  <c r="A9396" i="2"/>
  <c r="Q9395" i="2"/>
  <c r="U9395" i="2" s="1"/>
  <c r="N9395" i="2"/>
  <c r="M9395" i="2"/>
  <c r="J9395" i="2"/>
  <c r="I9395" i="2"/>
  <c r="H9395" i="2"/>
  <c r="G9395" i="2"/>
  <c r="F9395" i="2"/>
  <c r="E9395" i="2"/>
  <c r="D9395" i="2"/>
  <c r="C9395" i="2"/>
  <c r="B9395" i="2"/>
  <c r="A9395" i="2"/>
  <c r="U9394" i="2"/>
  <c r="N9394" i="2"/>
  <c r="M9394" i="2"/>
  <c r="J9394" i="2"/>
  <c r="I9394" i="2"/>
  <c r="H9394" i="2"/>
  <c r="G9394" i="2"/>
  <c r="F9394" i="2"/>
  <c r="E9394" i="2"/>
  <c r="D9394" i="2"/>
  <c r="C9394" i="2"/>
  <c r="B9394" i="2"/>
  <c r="A9394" i="2"/>
  <c r="U9393" i="2"/>
  <c r="N9393" i="2"/>
  <c r="M9393" i="2"/>
  <c r="J9393" i="2"/>
  <c r="I9393" i="2"/>
  <c r="H9393" i="2"/>
  <c r="G9393" i="2"/>
  <c r="F9393" i="2"/>
  <c r="E9393" i="2"/>
  <c r="D9393" i="2"/>
  <c r="C9393" i="2"/>
  <c r="B9393" i="2"/>
  <c r="A9393" i="2"/>
  <c r="U9392" i="2"/>
  <c r="N9392" i="2"/>
  <c r="M9392" i="2"/>
  <c r="J9392" i="2"/>
  <c r="I9392" i="2"/>
  <c r="H9392" i="2"/>
  <c r="G9392" i="2"/>
  <c r="F9392" i="2"/>
  <c r="E9392" i="2"/>
  <c r="D9392" i="2"/>
  <c r="C9392" i="2"/>
  <c r="B9392" i="2"/>
  <c r="A9392" i="2"/>
  <c r="U9391" i="2"/>
  <c r="N9391" i="2"/>
  <c r="M9391" i="2"/>
  <c r="J9391" i="2"/>
  <c r="I9391" i="2"/>
  <c r="H9391" i="2"/>
  <c r="G9391" i="2"/>
  <c r="F9391" i="2"/>
  <c r="E9391" i="2"/>
  <c r="D9391" i="2"/>
  <c r="C9391" i="2"/>
  <c r="B9391" i="2"/>
  <c r="A9391" i="2"/>
  <c r="U9390" i="2"/>
  <c r="N9390" i="2"/>
  <c r="M9390" i="2"/>
  <c r="J9390" i="2"/>
  <c r="I9390" i="2"/>
  <c r="H9390" i="2"/>
  <c r="G9390" i="2"/>
  <c r="F9390" i="2"/>
  <c r="E9390" i="2"/>
  <c r="D9390" i="2"/>
  <c r="C9390" i="2"/>
  <c r="B9390" i="2"/>
  <c r="A9390" i="2"/>
  <c r="U9389" i="2"/>
  <c r="N9389" i="2"/>
  <c r="M9389" i="2"/>
  <c r="J9389" i="2"/>
  <c r="I9389" i="2"/>
  <c r="H9389" i="2"/>
  <c r="G9389" i="2"/>
  <c r="F9389" i="2"/>
  <c r="E9389" i="2"/>
  <c r="D9389" i="2"/>
  <c r="C9389" i="2"/>
  <c r="B9389" i="2"/>
  <c r="A9389" i="2"/>
  <c r="U9388" i="2"/>
  <c r="N9388" i="2"/>
  <c r="M9388" i="2"/>
  <c r="J9388" i="2"/>
  <c r="I9388" i="2"/>
  <c r="H9388" i="2"/>
  <c r="G9388" i="2"/>
  <c r="F9388" i="2"/>
  <c r="E9388" i="2"/>
  <c r="D9388" i="2"/>
  <c r="C9388" i="2"/>
  <c r="B9388" i="2"/>
  <c r="A9388" i="2"/>
  <c r="U9387" i="2"/>
  <c r="N9387" i="2"/>
  <c r="M9387" i="2"/>
  <c r="J9387" i="2"/>
  <c r="I9387" i="2"/>
  <c r="H9387" i="2"/>
  <c r="G9387" i="2"/>
  <c r="F9387" i="2"/>
  <c r="E9387" i="2"/>
  <c r="D9387" i="2"/>
  <c r="C9387" i="2"/>
  <c r="B9387" i="2"/>
  <c r="A9387" i="2"/>
  <c r="U9386" i="2"/>
  <c r="N9386" i="2"/>
  <c r="M9386" i="2"/>
  <c r="J9386" i="2"/>
  <c r="I9386" i="2"/>
  <c r="H9386" i="2"/>
  <c r="G9386" i="2"/>
  <c r="F9386" i="2"/>
  <c r="E9386" i="2"/>
  <c r="D9386" i="2"/>
  <c r="C9386" i="2"/>
  <c r="B9386" i="2"/>
  <c r="A9386" i="2"/>
  <c r="U9385" i="2"/>
  <c r="N9385" i="2"/>
  <c r="M9385" i="2"/>
  <c r="J9385" i="2"/>
  <c r="I9385" i="2"/>
  <c r="H9385" i="2"/>
  <c r="G9385" i="2"/>
  <c r="F9385" i="2"/>
  <c r="E9385" i="2"/>
  <c r="D9385" i="2"/>
  <c r="C9385" i="2"/>
  <c r="B9385" i="2"/>
  <c r="A9385" i="2"/>
  <c r="U9384" i="2"/>
  <c r="N9384" i="2"/>
  <c r="M9384" i="2"/>
  <c r="J9384" i="2"/>
  <c r="I9384" i="2"/>
  <c r="H9384" i="2"/>
  <c r="G9384" i="2"/>
  <c r="F9384" i="2"/>
  <c r="E9384" i="2"/>
  <c r="D9384" i="2"/>
  <c r="C9384" i="2"/>
  <c r="B9384" i="2"/>
  <c r="A9384" i="2"/>
  <c r="U9383" i="2"/>
  <c r="N9383" i="2"/>
  <c r="M9383" i="2"/>
  <c r="J9383" i="2"/>
  <c r="I9383" i="2"/>
  <c r="H9383" i="2"/>
  <c r="G9383" i="2"/>
  <c r="F9383" i="2"/>
  <c r="E9383" i="2"/>
  <c r="D9383" i="2"/>
  <c r="C9383" i="2"/>
  <c r="B9383" i="2"/>
  <c r="A9383" i="2"/>
  <c r="U9382" i="2"/>
  <c r="N9382" i="2"/>
  <c r="M9382" i="2"/>
  <c r="J9382" i="2"/>
  <c r="I9382" i="2"/>
  <c r="H9382" i="2"/>
  <c r="G9382" i="2"/>
  <c r="F9382" i="2"/>
  <c r="E9382" i="2"/>
  <c r="D9382" i="2"/>
  <c r="C9382" i="2"/>
  <c r="B9382" i="2"/>
  <c r="A9382" i="2"/>
  <c r="U9381" i="2"/>
  <c r="N9381" i="2"/>
  <c r="M9381" i="2"/>
  <c r="J9381" i="2"/>
  <c r="I9381" i="2"/>
  <c r="H9381" i="2"/>
  <c r="G9381" i="2"/>
  <c r="F9381" i="2"/>
  <c r="E9381" i="2"/>
  <c r="D9381" i="2"/>
  <c r="C9381" i="2"/>
  <c r="B9381" i="2"/>
  <c r="A9381" i="2"/>
  <c r="Q9380" i="2"/>
  <c r="U9380" i="2" s="1"/>
  <c r="N9380" i="2"/>
  <c r="M9380" i="2"/>
  <c r="J9380" i="2"/>
  <c r="I9380" i="2"/>
  <c r="H9380" i="2"/>
  <c r="G9380" i="2"/>
  <c r="F9380" i="2"/>
  <c r="E9380" i="2"/>
  <c r="D9380" i="2"/>
  <c r="C9380" i="2"/>
  <c r="B9380" i="2"/>
  <c r="A9380" i="2"/>
  <c r="U9379" i="2"/>
  <c r="N9379" i="2"/>
  <c r="M9379" i="2"/>
  <c r="J9379" i="2"/>
  <c r="I9379" i="2"/>
  <c r="H9379" i="2"/>
  <c r="G9379" i="2"/>
  <c r="F9379" i="2"/>
  <c r="E9379" i="2"/>
  <c r="D9379" i="2"/>
  <c r="C9379" i="2"/>
  <c r="B9379" i="2"/>
  <c r="A9379" i="2"/>
  <c r="U9378" i="2"/>
  <c r="N9378" i="2"/>
  <c r="M9378" i="2"/>
  <c r="J9378" i="2"/>
  <c r="I9378" i="2"/>
  <c r="H9378" i="2"/>
  <c r="G9378" i="2"/>
  <c r="F9378" i="2"/>
  <c r="E9378" i="2"/>
  <c r="D9378" i="2"/>
  <c r="C9378" i="2"/>
  <c r="B9378" i="2"/>
  <c r="A9378" i="2"/>
  <c r="U9377" i="2"/>
  <c r="N9377" i="2"/>
  <c r="M9377" i="2"/>
  <c r="J9377" i="2"/>
  <c r="I9377" i="2"/>
  <c r="H9377" i="2"/>
  <c r="G9377" i="2"/>
  <c r="F9377" i="2"/>
  <c r="E9377" i="2"/>
  <c r="D9377" i="2"/>
  <c r="C9377" i="2"/>
  <c r="B9377" i="2"/>
  <c r="A9377" i="2"/>
  <c r="U9376" i="2"/>
  <c r="N9376" i="2"/>
  <c r="M9376" i="2"/>
  <c r="J9376" i="2"/>
  <c r="I9376" i="2"/>
  <c r="H9376" i="2"/>
  <c r="G9376" i="2"/>
  <c r="F9376" i="2"/>
  <c r="E9376" i="2"/>
  <c r="D9376" i="2"/>
  <c r="C9376" i="2"/>
  <c r="B9376" i="2"/>
  <c r="A9376" i="2"/>
  <c r="Q9375" i="2"/>
  <c r="U9375" i="2" s="1"/>
  <c r="N9375" i="2"/>
  <c r="M9375" i="2"/>
  <c r="J9375" i="2"/>
  <c r="I9375" i="2"/>
  <c r="H9375" i="2"/>
  <c r="G9375" i="2"/>
  <c r="F9375" i="2"/>
  <c r="E9375" i="2"/>
  <c r="D9375" i="2"/>
  <c r="C9375" i="2"/>
  <c r="B9375" i="2"/>
  <c r="A9375" i="2"/>
  <c r="U9374" i="2"/>
  <c r="N9374" i="2"/>
  <c r="M9374" i="2"/>
  <c r="J9374" i="2"/>
  <c r="I9374" i="2"/>
  <c r="H9374" i="2"/>
  <c r="G9374" i="2"/>
  <c r="F9374" i="2"/>
  <c r="E9374" i="2"/>
  <c r="D9374" i="2"/>
  <c r="C9374" i="2"/>
  <c r="B9374" i="2"/>
  <c r="A9374" i="2"/>
  <c r="U9373" i="2"/>
  <c r="N9373" i="2"/>
  <c r="M9373" i="2"/>
  <c r="J9373" i="2"/>
  <c r="I9373" i="2"/>
  <c r="H9373" i="2"/>
  <c r="G9373" i="2"/>
  <c r="F9373" i="2"/>
  <c r="E9373" i="2"/>
  <c r="D9373" i="2"/>
  <c r="C9373" i="2"/>
  <c r="B9373" i="2"/>
  <c r="A9373" i="2"/>
  <c r="U9372" i="2"/>
  <c r="N9372" i="2"/>
  <c r="M9372" i="2"/>
  <c r="J9372" i="2"/>
  <c r="I9372" i="2"/>
  <c r="H9372" i="2"/>
  <c r="G9372" i="2"/>
  <c r="F9372" i="2"/>
  <c r="E9372" i="2"/>
  <c r="D9372" i="2"/>
  <c r="C9372" i="2"/>
  <c r="B9372" i="2"/>
  <c r="A9372" i="2"/>
  <c r="U9371" i="2"/>
  <c r="N9371" i="2"/>
  <c r="M9371" i="2"/>
  <c r="J9371" i="2"/>
  <c r="I9371" i="2"/>
  <c r="H9371" i="2"/>
  <c r="G9371" i="2"/>
  <c r="F9371" i="2"/>
  <c r="E9371" i="2"/>
  <c r="D9371" i="2"/>
  <c r="C9371" i="2"/>
  <c r="B9371" i="2"/>
  <c r="A9371" i="2"/>
  <c r="U9370" i="2"/>
  <c r="N9370" i="2"/>
  <c r="M9370" i="2"/>
  <c r="J9370" i="2"/>
  <c r="I9370" i="2"/>
  <c r="H9370" i="2"/>
  <c r="G9370" i="2"/>
  <c r="F9370" i="2"/>
  <c r="E9370" i="2"/>
  <c r="D9370" i="2"/>
  <c r="C9370" i="2"/>
  <c r="B9370" i="2"/>
  <c r="A9370" i="2"/>
  <c r="U9369" i="2"/>
  <c r="N9369" i="2"/>
  <c r="M9369" i="2"/>
  <c r="J9369" i="2"/>
  <c r="I9369" i="2"/>
  <c r="H9369" i="2"/>
  <c r="G9369" i="2"/>
  <c r="F9369" i="2"/>
  <c r="E9369" i="2"/>
  <c r="D9369" i="2"/>
  <c r="C9369" i="2"/>
  <c r="B9369" i="2"/>
  <c r="A9369" i="2"/>
  <c r="U9368" i="2"/>
  <c r="N9368" i="2"/>
  <c r="M9368" i="2"/>
  <c r="J9368" i="2"/>
  <c r="I9368" i="2"/>
  <c r="H9368" i="2"/>
  <c r="G9368" i="2"/>
  <c r="F9368" i="2"/>
  <c r="E9368" i="2"/>
  <c r="D9368" i="2"/>
  <c r="C9368" i="2"/>
  <c r="B9368" i="2"/>
  <c r="A9368" i="2"/>
  <c r="U9367" i="2"/>
  <c r="N9367" i="2"/>
  <c r="M9367" i="2"/>
  <c r="J9367" i="2"/>
  <c r="I9367" i="2"/>
  <c r="H9367" i="2"/>
  <c r="G9367" i="2"/>
  <c r="F9367" i="2"/>
  <c r="E9367" i="2"/>
  <c r="D9367" i="2"/>
  <c r="C9367" i="2"/>
  <c r="B9367" i="2"/>
  <c r="A9367" i="2"/>
  <c r="Q9366" i="2"/>
  <c r="U9366" i="2" s="1"/>
  <c r="N9366" i="2"/>
  <c r="M9366" i="2"/>
  <c r="J9366" i="2"/>
  <c r="I9366" i="2"/>
  <c r="H9366" i="2"/>
  <c r="G9366" i="2"/>
  <c r="F9366" i="2"/>
  <c r="E9366" i="2"/>
  <c r="D9366" i="2"/>
  <c r="C9366" i="2"/>
  <c r="B9366" i="2"/>
  <c r="A9366" i="2"/>
  <c r="U9365" i="2"/>
  <c r="N9365" i="2"/>
  <c r="M9365" i="2"/>
  <c r="J9365" i="2"/>
  <c r="I9365" i="2"/>
  <c r="H9365" i="2"/>
  <c r="G9365" i="2"/>
  <c r="F9365" i="2"/>
  <c r="E9365" i="2"/>
  <c r="D9365" i="2"/>
  <c r="C9365" i="2"/>
  <c r="B9365" i="2"/>
  <c r="A9365" i="2"/>
  <c r="U9364" i="2"/>
  <c r="N9364" i="2"/>
  <c r="M9364" i="2"/>
  <c r="J9364" i="2"/>
  <c r="I9364" i="2"/>
  <c r="H9364" i="2"/>
  <c r="G9364" i="2"/>
  <c r="F9364" i="2"/>
  <c r="E9364" i="2"/>
  <c r="D9364" i="2"/>
  <c r="C9364" i="2"/>
  <c r="B9364" i="2"/>
  <c r="A9364" i="2"/>
  <c r="U9363" i="2"/>
  <c r="N9363" i="2"/>
  <c r="M9363" i="2"/>
  <c r="J9363" i="2"/>
  <c r="I9363" i="2"/>
  <c r="H9363" i="2"/>
  <c r="G9363" i="2"/>
  <c r="F9363" i="2"/>
  <c r="E9363" i="2"/>
  <c r="D9363" i="2"/>
  <c r="C9363" i="2"/>
  <c r="B9363" i="2"/>
  <c r="A9363" i="2"/>
  <c r="U9362" i="2"/>
  <c r="N9362" i="2"/>
  <c r="M9362" i="2"/>
  <c r="J9362" i="2"/>
  <c r="I9362" i="2"/>
  <c r="H9362" i="2"/>
  <c r="G9362" i="2"/>
  <c r="F9362" i="2"/>
  <c r="E9362" i="2"/>
  <c r="D9362" i="2"/>
  <c r="C9362" i="2"/>
  <c r="B9362" i="2"/>
  <c r="A9362" i="2"/>
  <c r="U9361" i="2"/>
  <c r="N9361" i="2"/>
  <c r="M9361" i="2"/>
  <c r="J9361" i="2"/>
  <c r="I9361" i="2"/>
  <c r="H9361" i="2"/>
  <c r="G9361" i="2"/>
  <c r="F9361" i="2"/>
  <c r="E9361" i="2"/>
  <c r="D9361" i="2"/>
  <c r="C9361" i="2"/>
  <c r="B9361" i="2"/>
  <c r="A9361" i="2"/>
  <c r="U9360" i="2"/>
  <c r="N9360" i="2"/>
  <c r="M9360" i="2"/>
  <c r="J9360" i="2"/>
  <c r="I9360" i="2"/>
  <c r="H9360" i="2"/>
  <c r="G9360" i="2"/>
  <c r="F9360" i="2"/>
  <c r="E9360" i="2"/>
  <c r="D9360" i="2"/>
  <c r="C9360" i="2"/>
  <c r="B9360" i="2"/>
  <c r="A9360" i="2"/>
  <c r="U9359" i="2"/>
  <c r="N9359" i="2"/>
  <c r="M9359" i="2"/>
  <c r="J9359" i="2"/>
  <c r="I9359" i="2"/>
  <c r="H9359" i="2"/>
  <c r="G9359" i="2"/>
  <c r="F9359" i="2"/>
  <c r="E9359" i="2"/>
  <c r="D9359" i="2"/>
  <c r="C9359" i="2"/>
  <c r="B9359" i="2"/>
  <c r="A9359" i="2"/>
  <c r="U9358" i="2"/>
  <c r="N9358" i="2"/>
  <c r="M9358" i="2"/>
  <c r="J9358" i="2"/>
  <c r="I9358" i="2"/>
  <c r="H9358" i="2"/>
  <c r="G9358" i="2"/>
  <c r="F9358" i="2"/>
  <c r="E9358" i="2"/>
  <c r="D9358" i="2"/>
  <c r="C9358" i="2"/>
  <c r="B9358" i="2"/>
  <c r="A9358" i="2"/>
  <c r="U9357" i="2"/>
  <c r="N9357" i="2"/>
  <c r="M9357" i="2"/>
  <c r="J9357" i="2"/>
  <c r="I9357" i="2"/>
  <c r="H9357" i="2"/>
  <c r="G9357" i="2"/>
  <c r="F9357" i="2"/>
  <c r="E9357" i="2"/>
  <c r="D9357" i="2"/>
  <c r="C9357" i="2"/>
  <c r="B9357" i="2"/>
  <c r="A9357" i="2"/>
  <c r="U9356" i="2"/>
  <c r="N9356" i="2"/>
  <c r="M9356" i="2"/>
  <c r="J9356" i="2"/>
  <c r="I9356" i="2"/>
  <c r="H9356" i="2"/>
  <c r="G9356" i="2"/>
  <c r="F9356" i="2"/>
  <c r="E9356" i="2"/>
  <c r="D9356" i="2"/>
  <c r="C9356" i="2"/>
  <c r="B9356" i="2"/>
  <c r="A9356" i="2"/>
  <c r="U9355" i="2"/>
  <c r="N9355" i="2"/>
  <c r="M9355" i="2"/>
  <c r="J9355" i="2"/>
  <c r="I9355" i="2"/>
  <c r="H9355" i="2"/>
  <c r="G9355" i="2"/>
  <c r="F9355" i="2"/>
  <c r="E9355" i="2"/>
  <c r="D9355" i="2"/>
  <c r="C9355" i="2"/>
  <c r="B9355" i="2"/>
  <c r="A9355" i="2"/>
  <c r="U9354" i="2"/>
  <c r="N9354" i="2"/>
  <c r="M9354" i="2"/>
  <c r="J9354" i="2"/>
  <c r="I9354" i="2"/>
  <c r="H9354" i="2"/>
  <c r="G9354" i="2"/>
  <c r="F9354" i="2"/>
  <c r="E9354" i="2"/>
  <c r="D9354" i="2"/>
  <c r="C9354" i="2"/>
  <c r="B9354" i="2"/>
  <c r="A9354" i="2"/>
  <c r="U9353" i="2"/>
  <c r="N9353" i="2"/>
  <c r="M9353" i="2"/>
  <c r="J9353" i="2"/>
  <c r="I9353" i="2"/>
  <c r="H9353" i="2"/>
  <c r="G9353" i="2"/>
  <c r="F9353" i="2"/>
  <c r="E9353" i="2"/>
  <c r="D9353" i="2"/>
  <c r="C9353" i="2"/>
  <c r="B9353" i="2"/>
  <c r="A9353" i="2"/>
  <c r="U9352" i="2"/>
  <c r="N9352" i="2"/>
  <c r="M9352" i="2"/>
  <c r="J9352" i="2"/>
  <c r="I9352" i="2"/>
  <c r="H9352" i="2"/>
  <c r="G9352" i="2"/>
  <c r="F9352" i="2"/>
  <c r="E9352" i="2"/>
  <c r="D9352" i="2"/>
  <c r="C9352" i="2"/>
  <c r="B9352" i="2"/>
  <c r="A9352" i="2"/>
  <c r="U9351" i="2"/>
  <c r="N9351" i="2"/>
  <c r="M9351" i="2"/>
  <c r="J9351" i="2"/>
  <c r="I9351" i="2"/>
  <c r="H9351" i="2"/>
  <c r="G9351" i="2"/>
  <c r="F9351" i="2"/>
  <c r="E9351" i="2"/>
  <c r="D9351" i="2"/>
  <c r="C9351" i="2"/>
  <c r="B9351" i="2"/>
  <c r="A9351" i="2"/>
  <c r="U9350" i="2"/>
  <c r="N9350" i="2"/>
  <c r="M9350" i="2"/>
  <c r="J9350" i="2"/>
  <c r="I9350" i="2"/>
  <c r="H9350" i="2"/>
  <c r="G9350" i="2"/>
  <c r="F9350" i="2"/>
  <c r="E9350" i="2"/>
  <c r="D9350" i="2"/>
  <c r="C9350" i="2"/>
  <c r="B9350" i="2"/>
  <c r="A9350" i="2"/>
  <c r="U9349" i="2"/>
  <c r="N9349" i="2"/>
  <c r="M9349" i="2"/>
  <c r="J9349" i="2"/>
  <c r="I9349" i="2"/>
  <c r="H9349" i="2"/>
  <c r="G9349" i="2"/>
  <c r="F9349" i="2"/>
  <c r="E9349" i="2"/>
  <c r="D9349" i="2"/>
  <c r="C9349" i="2"/>
  <c r="B9349" i="2"/>
  <c r="A9349" i="2"/>
  <c r="U9348" i="2"/>
  <c r="N9348" i="2"/>
  <c r="M9348" i="2"/>
  <c r="J9348" i="2"/>
  <c r="I9348" i="2"/>
  <c r="H9348" i="2"/>
  <c r="G9348" i="2"/>
  <c r="F9348" i="2"/>
  <c r="E9348" i="2"/>
  <c r="D9348" i="2"/>
  <c r="C9348" i="2"/>
  <c r="B9348" i="2"/>
  <c r="A9348" i="2"/>
  <c r="U9347" i="2"/>
  <c r="N9347" i="2"/>
  <c r="M9347" i="2"/>
  <c r="J9347" i="2"/>
  <c r="I9347" i="2"/>
  <c r="H9347" i="2"/>
  <c r="G9347" i="2"/>
  <c r="F9347" i="2"/>
  <c r="E9347" i="2"/>
  <c r="D9347" i="2"/>
  <c r="C9347" i="2"/>
  <c r="B9347" i="2"/>
  <c r="A9347" i="2"/>
  <c r="U9346" i="2"/>
  <c r="N9346" i="2"/>
  <c r="M9346" i="2"/>
  <c r="J9346" i="2"/>
  <c r="I9346" i="2"/>
  <c r="H9346" i="2"/>
  <c r="G9346" i="2"/>
  <c r="F9346" i="2"/>
  <c r="E9346" i="2"/>
  <c r="D9346" i="2"/>
  <c r="C9346" i="2"/>
  <c r="B9346" i="2"/>
  <c r="A9346" i="2"/>
  <c r="Q9345" i="2"/>
  <c r="U9345" i="2" s="1"/>
  <c r="N9345" i="2"/>
  <c r="M9345" i="2"/>
  <c r="J9345" i="2"/>
  <c r="I9345" i="2"/>
  <c r="H9345" i="2"/>
  <c r="G9345" i="2"/>
  <c r="F9345" i="2"/>
  <c r="E9345" i="2"/>
  <c r="D9345" i="2"/>
  <c r="C9345" i="2"/>
  <c r="B9345" i="2"/>
  <c r="A9345" i="2"/>
  <c r="U9344" i="2"/>
  <c r="N9344" i="2"/>
  <c r="M9344" i="2"/>
  <c r="J9344" i="2"/>
  <c r="I9344" i="2"/>
  <c r="H9344" i="2"/>
  <c r="G9344" i="2"/>
  <c r="F9344" i="2"/>
  <c r="E9344" i="2"/>
  <c r="D9344" i="2"/>
  <c r="C9344" i="2"/>
  <c r="B9344" i="2"/>
  <c r="A9344" i="2"/>
  <c r="U9343" i="2"/>
  <c r="N9343" i="2"/>
  <c r="M9343" i="2"/>
  <c r="J9343" i="2"/>
  <c r="I9343" i="2"/>
  <c r="H9343" i="2"/>
  <c r="G9343" i="2"/>
  <c r="F9343" i="2"/>
  <c r="E9343" i="2"/>
  <c r="D9343" i="2"/>
  <c r="C9343" i="2"/>
  <c r="B9343" i="2"/>
  <c r="A9343" i="2"/>
  <c r="U9342" i="2"/>
  <c r="N9342" i="2"/>
  <c r="M9342" i="2"/>
  <c r="J9342" i="2"/>
  <c r="I9342" i="2"/>
  <c r="H9342" i="2"/>
  <c r="G9342" i="2"/>
  <c r="F9342" i="2"/>
  <c r="E9342" i="2"/>
  <c r="D9342" i="2"/>
  <c r="C9342" i="2"/>
  <c r="B9342" i="2"/>
  <c r="A9342" i="2"/>
  <c r="U9341" i="2"/>
  <c r="N9341" i="2"/>
  <c r="M9341" i="2"/>
  <c r="J9341" i="2"/>
  <c r="I9341" i="2"/>
  <c r="H9341" i="2"/>
  <c r="G9341" i="2"/>
  <c r="F9341" i="2"/>
  <c r="E9341" i="2"/>
  <c r="D9341" i="2"/>
  <c r="C9341" i="2"/>
  <c r="B9341" i="2"/>
  <c r="A9341" i="2"/>
  <c r="U9340" i="2"/>
  <c r="N9340" i="2"/>
  <c r="M9340" i="2"/>
  <c r="J9340" i="2"/>
  <c r="I9340" i="2"/>
  <c r="H9340" i="2"/>
  <c r="G9340" i="2"/>
  <c r="F9340" i="2"/>
  <c r="E9340" i="2"/>
  <c r="D9340" i="2"/>
  <c r="C9340" i="2"/>
  <c r="B9340" i="2"/>
  <c r="A9340" i="2"/>
  <c r="U9339" i="2"/>
  <c r="N9339" i="2"/>
  <c r="M9339" i="2"/>
  <c r="J9339" i="2"/>
  <c r="I9339" i="2"/>
  <c r="H9339" i="2"/>
  <c r="G9339" i="2"/>
  <c r="F9339" i="2"/>
  <c r="E9339" i="2"/>
  <c r="D9339" i="2"/>
  <c r="C9339" i="2"/>
  <c r="B9339" i="2"/>
  <c r="A9339" i="2"/>
  <c r="U9338" i="2"/>
  <c r="N9338" i="2"/>
  <c r="M9338" i="2"/>
  <c r="J9338" i="2"/>
  <c r="I9338" i="2"/>
  <c r="H9338" i="2"/>
  <c r="G9338" i="2"/>
  <c r="F9338" i="2"/>
  <c r="E9338" i="2"/>
  <c r="D9338" i="2"/>
  <c r="C9338" i="2"/>
  <c r="B9338" i="2"/>
  <c r="A9338" i="2"/>
  <c r="U9337" i="2"/>
  <c r="N9337" i="2"/>
  <c r="M9337" i="2"/>
  <c r="J9337" i="2"/>
  <c r="I9337" i="2"/>
  <c r="H9337" i="2"/>
  <c r="G9337" i="2"/>
  <c r="F9337" i="2"/>
  <c r="E9337" i="2"/>
  <c r="D9337" i="2"/>
  <c r="C9337" i="2"/>
  <c r="B9337" i="2"/>
  <c r="A9337" i="2"/>
  <c r="U9336" i="2"/>
  <c r="N9336" i="2"/>
  <c r="M9336" i="2"/>
  <c r="J9336" i="2"/>
  <c r="I9336" i="2"/>
  <c r="H9336" i="2"/>
  <c r="G9336" i="2"/>
  <c r="F9336" i="2"/>
  <c r="E9336" i="2"/>
  <c r="D9336" i="2"/>
  <c r="C9336" i="2"/>
  <c r="B9336" i="2"/>
  <c r="A9336" i="2"/>
  <c r="U9335" i="2"/>
  <c r="N9335" i="2"/>
  <c r="M9335" i="2"/>
  <c r="J9335" i="2"/>
  <c r="I9335" i="2"/>
  <c r="H9335" i="2"/>
  <c r="G9335" i="2"/>
  <c r="F9335" i="2"/>
  <c r="E9335" i="2"/>
  <c r="D9335" i="2"/>
  <c r="C9335" i="2"/>
  <c r="B9335" i="2"/>
  <c r="A9335" i="2"/>
  <c r="Q9334" i="2"/>
  <c r="U9334" i="2" s="1"/>
  <c r="N9334" i="2"/>
  <c r="M9334" i="2"/>
  <c r="J9334" i="2"/>
  <c r="I9334" i="2"/>
  <c r="H9334" i="2"/>
  <c r="G9334" i="2"/>
  <c r="F9334" i="2"/>
  <c r="E9334" i="2"/>
  <c r="D9334" i="2"/>
  <c r="C9334" i="2"/>
  <c r="B9334" i="2"/>
  <c r="A9334" i="2"/>
  <c r="U9333" i="2"/>
  <c r="N9333" i="2"/>
  <c r="M9333" i="2"/>
  <c r="J9333" i="2"/>
  <c r="I9333" i="2"/>
  <c r="H9333" i="2"/>
  <c r="G9333" i="2"/>
  <c r="F9333" i="2"/>
  <c r="E9333" i="2"/>
  <c r="D9333" i="2"/>
  <c r="C9333" i="2"/>
  <c r="B9333" i="2"/>
  <c r="A9333" i="2"/>
  <c r="U9332" i="2"/>
  <c r="N9332" i="2"/>
  <c r="M9332" i="2"/>
  <c r="J9332" i="2"/>
  <c r="I9332" i="2"/>
  <c r="H9332" i="2"/>
  <c r="G9332" i="2"/>
  <c r="F9332" i="2"/>
  <c r="E9332" i="2"/>
  <c r="D9332" i="2"/>
  <c r="C9332" i="2"/>
  <c r="B9332" i="2"/>
  <c r="A9332" i="2"/>
  <c r="U9331" i="2"/>
  <c r="N9331" i="2"/>
  <c r="M9331" i="2"/>
  <c r="J9331" i="2"/>
  <c r="I9331" i="2"/>
  <c r="H9331" i="2"/>
  <c r="G9331" i="2"/>
  <c r="F9331" i="2"/>
  <c r="E9331" i="2"/>
  <c r="D9331" i="2"/>
  <c r="C9331" i="2"/>
  <c r="B9331" i="2"/>
  <c r="A9331" i="2"/>
  <c r="U9330" i="2"/>
  <c r="N9330" i="2"/>
  <c r="M9330" i="2"/>
  <c r="J9330" i="2"/>
  <c r="I9330" i="2"/>
  <c r="H9330" i="2"/>
  <c r="G9330" i="2"/>
  <c r="F9330" i="2"/>
  <c r="E9330" i="2"/>
  <c r="D9330" i="2"/>
  <c r="C9330" i="2"/>
  <c r="B9330" i="2"/>
  <c r="A9330" i="2"/>
  <c r="U9329" i="2"/>
  <c r="N9329" i="2"/>
  <c r="M9329" i="2"/>
  <c r="J9329" i="2"/>
  <c r="I9329" i="2"/>
  <c r="H9329" i="2"/>
  <c r="G9329" i="2"/>
  <c r="F9329" i="2"/>
  <c r="E9329" i="2"/>
  <c r="D9329" i="2"/>
  <c r="C9329" i="2"/>
  <c r="B9329" i="2"/>
  <c r="A9329" i="2"/>
  <c r="U9328" i="2"/>
  <c r="N9328" i="2"/>
  <c r="M9328" i="2"/>
  <c r="J9328" i="2"/>
  <c r="I9328" i="2"/>
  <c r="H9328" i="2"/>
  <c r="G9328" i="2"/>
  <c r="F9328" i="2"/>
  <c r="E9328" i="2"/>
  <c r="D9328" i="2"/>
  <c r="C9328" i="2"/>
  <c r="B9328" i="2"/>
  <c r="A9328" i="2"/>
  <c r="U9327" i="2"/>
  <c r="N9327" i="2"/>
  <c r="M9327" i="2"/>
  <c r="J9327" i="2"/>
  <c r="I9327" i="2"/>
  <c r="H9327" i="2"/>
  <c r="G9327" i="2"/>
  <c r="F9327" i="2"/>
  <c r="E9327" i="2"/>
  <c r="D9327" i="2"/>
  <c r="C9327" i="2"/>
  <c r="B9327" i="2"/>
  <c r="A9327" i="2"/>
  <c r="U9326" i="2"/>
  <c r="N9326" i="2"/>
  <c r="M9326" i="2"/>
  <c r="J9326" i="2"/>
  <c r="I9326" i="2"/>
  <c r="H9326" i="2"/>
  <c r="G9326" i="2"/>
  <c r="F9326" i="2"/>
  <c r="E9326" i="2"/>
  <c r="D9326" i="2"/>
  <c r="C9326" i="2"/>
  <c r="B9326" i="2"/>
  <c r="A9326" i="2"/>
  <c r="U9325" i="2"/>
  <c r="N9325" i="2"/>
  <c r="M9325" i="2"/>
  <c r="J9325" i="2"/>
  <c r="I9325" i="2"/>
  <c r="H9325" i="2"/>
  <c r="G9325" i="2"/>
  <c r="F9325" i="2"/>
  <c r="E9325" i="2"/>
  <c r="D9325" i="2"/>
  <c r="C9325" i="2"/>
  <c r="B9325" i="2"/>
  <c r="A9325" i="2"/>
  <c r="U9324" i="2"/>
  <c r="N9324" i="2"/>
  <c r="M9324" i="2"/>
  <c r="J9324" i="2"/>
  <c r="I9324" i="2"/>
  <c r="H9324" i="2"/>
  <c r="G9324" i="2"/>
  <c r="F9324" i="2"/>
  <c r="E9324" i="2"/>
  <c r="D9324" i="2"/>
  <c r="C9324" i="2"/>
  <c r="B9324" i="2"/>
  <c r="A9324" i="2"/>
  <c r="U9323" i="2"/>
  <c r="N9323" i="2"/>
  <c r="M9323" i="2"/>
  <c r="J9323" i="2"/>
  <c r="I9323" i="2"/>
  <c r="H9323" i="2"/>
  <c r="G9323" i="2"/>
  <c r="F9323" i="2"/>
  <c r="E9323" i="2"/>
  <c r="D9323" i="2"/>
  <c r="C9323" i="2"/>
  <c r="B9323" i="2"/>
  <c r="A9323" i="2"/>
  <c r="U9322" i="2"/>
  <c r="N9322" i="2"/>
  <c r="M9322" i="2"/>
  <c r="J9322" i="2"/>
  <c r="I9322" i="2"/>
  <c r="H9322" i="2"/>
  <c r="G9322" i="2"/>
  <c r="F9322" i="2"/>
  <c r="E9322" i="2"/>
  <c r="D9322" i="2"/>
  <c r="C9322" i="2"/>
  <c r="B9322" i="2"/>
  <c r="A9322" i="2"/>
  <c r="U9321" i="2"/>
  <c r="N9321" i="2"/>
  <c r="M9321" i="2"/>
  <c r="J9321" i="2"/>
  <c r="I9321" i="2"/>
  <c r="H9321" i="2"/>
  <c r="G9321" i="2"/>
  <c r="F9321" i="2"/>
  <c r="E9321" i="2"/>
  <c r="D9321" i="2"/>
  <c r="C9321" i="2"/>
  <c r="B9321" i="2"/>
  <c r="A9321" i="2"/>
  <c r="U9320" i="2"/>
  <c r="N9320" i="2"/>
  <c r="M9320" i="2"/>
  <c r="J9320" i="2"/>
  <c r="I9320" i="2"/>
  <c r="H9320" i="2"/>
  <c r="G9320" i="2"/>
  <c r="F9320" i="2"/>
  <c r="E9320" i="2"/>
  <c r="D9320" i="2"/>
  <c r="C9320" i="2"/>
  <c r="B9320" i="2"/>
  <c r="A9320" i="2"/>
  <c r="U9319" i="2"/>
  <c r="N9319" i="2"/>
  <c r="M9319" i="2"/>
  <c r="J9319" i="2"/>
  <c r="I9319" i="2"/>
  <c r="H9319" i="2"/>
  <c r="G9319" i="2"/>
  <c r="F9319" i="2"/>
  <c r="E9319" i="2"/>
  <c r="D9319" i="2"/>
  <c r="C9319" i="2"/>
  <c r="B9319" i="2"/>
  <c r="A9319" i="2"/>
  <c r="U9318" i="2"/>
  <c r="N9318" i="2"/>
  <c r="M9318" i="2"/>
  <c r="J9318" i="2"/>
  <c r="I9318" i="2"/>
  <c r="H9318" i="2"/>
  <c r="G9318" i="2"/>
  <c r="F9318" i="2"/>
  <c r="E9318" i="2"/>
  <c r="D9318" i="2"/>
  <c r="C9318" i="2"/>
  <c r="B9318" i="2"/>
  <c r="A9318" i="2"/>
  <c r="Q9317" i="2"/>
  <c r="U9317" i="2" s="1"/>
  <c r="N9317" i="2"/>
  <c r="M9317" i="2"/>
  <c r="J9317" i="2"/>
  <c r="I9317" i="2"/>
  <c r="H9317" i="2"/>
  <c r="G9317" i="2"/>
  <c r="F9317" i="2"/>
  <c r="E9317" i="2"/>
  <c r="D9317" i="2"/>
  <c r="C9317" i="2"/>
  <c r="B9317" i="2"/>
  <c r="A9317" i="2"/>
  <c r="U9316" i="2"/>
  <c r="N9316" i="2"/>
  <c r="M9316" i="2"/>
  <c r="J9316" i="2"/>
  <c r="I9316" i="2"/>
  <c r="H9316" i="2"/>
  <c r="G9316" i="2"/>
  <c r="F9316" i="2"/>
  <c r="E9316" i="2"/>
  <c r="D9316" i="2"/>
  <c r="C9316" i="2"/>
  <c r="B9316" i="2"/>
  <c r="A9316" i="2"/>
  <c r="U9315" i="2"/>
  <c r="N9315" i="2"/>
  <c r="M9315" i="2"/>
  <c r="J9315" i="2"/>
  <c r="I9315" i="2"/>
  <c r="H9315" i="2"/>
  <c r="G9315" i="2"/>
  <c r="F9315" i="2"/>
  <c r="E9315" i="2"/>
  <c r="D9315" i="2"/>
  <c r="C9315" i="2"/>
  <c r="B9315" i="2"/>
  <c r="A9315" i="2"/>
  <c r="U9314" i="2"/>
  <c r="N9314" i="2"/>
  <c r="M9314" i="2"/>
  <c r="J9314" i="2"/>
  <c r="I9314" i="2"/>
  <c r="H9314" i="2"/>
  <c r="G9314" i="2"/>
  <c r="F9314" i="2"/>
  <c r="E9314" i="2"/>
  <c r="D9314" i="2"/>
  <c r="C9314" i="2"/>
  <c r="B9314" i="2"/>
  <c r="A9314" i="2"/>
  <c r="U9313" i="2"/>
  <c r="N9313" i="2"/>
  <c r="M9313" i="2"/>
  <c r="J9313" i="2"/>
  <c r="I9313" i="2"/>
  <c r="H9313" i="2"/>
  <c r="G9313" i="2"/>
  <c r="F9313" i="2"/>
  <c r="E9313" i="2"/>
  <c r="D9313" i="2"/>
  <c r="C9313" i="2"/>
  <c r="B9313" i="2"/>
  <c r="A9313" i="2"/>
  <c r="U9312" i="2"/>
  <c r="N9312" i="2"/>
  <c r="M9312" i="2"/>
  <c r="J9312" i="2"/>
  <c r="I9312" i="2"/>
  <c r="H9312" i="2"/>
  <c r="G9312" i="2"/>
  <c r="F9312" i="2"/>
  <c r="E9312" i="2"/>
  <c r="D9312" i="2"/>
  <c r="C9312" i="2"/>
  <c r="B9312" i="2"/>
  <c r="A9312" i="2"/>
  <c r="U9311" i="2"/>
  <c r="N9311" i="2"/>
  <c r="M9311" i="2"/>
  <c r="J9311" i="2"/>
  <c r="I9311" i="2"/>
  <c r="H9311" i="2"/>
  <c r="G9311" i="2"/>
  <c r="F9311" i="2"/>
  <c r="E9311" i="2"/>
  <c r="D9311" i="2"/>
  <c r="C9311" i="2"/>
  <c r="B9311" i="2"/>
  <c r="A9311" i="2"/>
  <c r="U9310" i="2"/>
  <c r="N9310" i="2"/>
  <c r="M9310" i="2"/>
  <c r="J9310" i="2"/>
  <c r="I9310" i="2"/>
  <c r="H9310" i="2"/>
  <c r="G9310" i="2"/>
  <c r="F9310" i="2"/>
  <c r="E9310" i="2"/>
  <c r="D9310" i="2"/>
  <c r="C9310" i="2"/>
  <c r="B9310" i="2"/>
  <c r="A9310" i="2"/>
  <c r="U9309" i="2"/>
  <c r="N9309" i="2"/>
  <c r="M9309" i="2"/>
  <c r="J9309" i="2"/>
  <c r="I9309" i="2"/>
  <c r="H9309" i="2"/>
  <c r="G9309" i="2"/>
  <c r="F9309" i="2"/>
  <c r="E9309" i="2"/>
  <c r="D9309" i="2"/>
  <c r="C9309" i="2"/>
  <c r="B9309" i="2"/>
  <c r="A9309" i="2"/>
  <c r="U9308" i="2"/>
  <c r="N9308" i="2"/>
  <c r="M9308" i="2"/>
  <c r="J9308" i="2"/>
  <c r="I9308" i="2"/>
  <c r="H9308" i="2"/>
  <c r="G9308" i="2"/>
  <c r="F9308" i="2"/>
  <c r="E9308" i="2"/>
  <c r="D9308" i="2"/>
  <c r="C9308" i="2"/>
  <c r="B9308" i="2"/>
  <c r="A9308" i="2"/>
  <c r="Q9307" i="2"/>
  <c r="U9307" i="2" s="1"/>
  <c r="N9307" i="2"/>
  <c r="M9307" i="2"/>
  <c r="J9307" i="2"/>
  <c r="I9307" i="2"/>
  <c r="H9307" i="2"/>
  <c r="G9307" i="2"/>
  <c r="F9307" i="2"/>
  <c r="E9307" i="2"/>
  <c r="D9307" i="2"/>
  <c r="C9307" i="2"/>
  <c r="B9307" i="2"/>
  <c r="A9307" i="2"/>
  <c r="U9306" i="2"/>
  <c r="N9306" i="2"/>
  <c r="M9306" i="2"/>
  <c r="J9306" i="2"/>
  <c r="I9306" i="2"/>
  <c r="H9306" i="2"/>
  <c r="G9306" i="2"/>
  <c r="F9306" i="2"/>
  <c r="E9306" i="2"/>
  <c r="D9306" i="2"/>
  <c r="C9306" i="2"/>
  <c r="B9306" i="2"/>
  <c r="A9306" i="2"/>
  <c r="U9305" i="2"/>
  <c r="N9305" i="2"/>
  <c r="M9305" i="2"/>
  <c r="J9305" i="2"/>
  <c r="I9305" i="2"/>
  <c r="H9305" i="2"/>
  <c r="G9305" i="2"/>
  <c r="F9305" i="2"/>
  <c r="E9305" i="2"/>
  <c r="D9305" i="2"/>
  <c r="C9305" i="2"/>
  <c r="B9305" i="2"/>
  <c r="A9305" i="2"/>
  <c r="U9304" i="2"/>
  <c r="N9304" i="2"/>
  <c r="M9304" i="2"/>
  <c r="J9304" i="2"/>
  <c r="I9304" i="2"/>
  <c r="H9304" i="2"/>
  <c r="G9304" i="2"/>
  <c r="F9304" i="2"/>
  <c r="E9304" i="2"/>
  <c r="D9304" i="2"/>
  <c r="C9304" i="2"/>
  <c r="B9304" i="2"/>
  <c r="A9304" i="2"/>
  <c r="U9303" i="2"/>
  <c r="N9303" i="2"/>
  <c r="M9303" i="2"/>
  <c r="J9303" i="2"/>
  <c r="I9303" i="2"/>
  <c r="H9303" i="2"/>
  <c r="G9303" i="2"/>
  <c r="F9303" i="2"/>
  <c r="E9303" i="2"/>
  <c r="D9303" i="2"/>
  <c r="C9303" i="2"/>
  <c r="B9303" i="2"/>
  <c r="A9303" i="2"/>
  <c r="Q9302" i="2"/>
  <c r="U9302" i="2" s="1"/>
  <c r="N9302" i="2"/>
  <c r="M9302" i="2"/>
  <c r="J9302" i="2"/>
  <c r="I9302" i="2"/>
  <c r="H9302" i="2"/>
  <c r="G9302" i="2"/>
  <c r="F9302" i="2"/>
  <c r="E9302" i="2"/>
  <c r="D9302" i="2"/>
  <c r="C9302" i="2"/>
  <c r="B9302" i="2"/>
  <c r="A9302" i="2"/>
  <c r="U9301" i="2"/>
  <c r="N9301" i="2"/>
  <c r="M9301" i="2"/>
  <c r="J9301" i="2"/>
  <c r="I9301" i="2"/>
  <c r="H9301" i="2"/>
  <c r="G9301" i="2"/>
  <c r="F9301" i="2"/>
  <c r="E9301" i="2"/>
  <c r="D9301" i="2"/>
  <c r="C9301" i="2"/>
  <c r="B9301" i="2"/>
  <c r="A9301" i="2"/>
  <c r="U9300" i="2"/>
  <c r="N9300" i="2"/>
  <c r="M9300" i="2"/>
  <c r="J9300" i="2"/>
  <c r="I9300" i="2"/>
  <c r="H9300" i="2"/>
  <c r="G9300" i="2"/>
  <c r="F9300" i="2"/>
  <c r="E9300" i="2"/>
  <c r="D9300" i="2"/>
  <c r="C9300" i="2"/>
  <c r="B9300" i="2"/>
  <c r="A9300" i="2"/>
  <c r="U9299" i="2"/>
  <c r="N9299" i="2"/>
  <c r="M9299" i="2"/>
  <c r="J9299" i="2"/>
  <c r="I9299" i="2"/>
  <c r="H9299" i="2"/>
  <c r="G9299" i="2"/>
  <c r="F9299" i="2"/>
  <c r="E9299" i="2"/>
  <c r="D9299" i="2"/>
  <c r="C9299" i="2"/>
  <c r="B9299" i="2"/>
  <c r="A9299" i="2"/>
  <c r="U9298" i="2"/>
  <c r="N9298" i="2"/>
  <c r="M9298" i="2"/>
  <c r="J9298" i="2"/>
  <c r="I9298" i="2"/>
  <c r="H9298" i="2"/>
  <c r="G9298" i="2"/>
  <c r="F9298" i="2"/>
  <c r="E9298" i="2"/>
  <c r="D9298" i="2"/>
  <c r="C9298" i="2"/>
  <c r="B9298" i="2"/>
  <c r="A9298" i="2"/>
  <c r="U9297" i="2"/>
  <c r="N9297" i="2"/>
  <c r="M9297" i="2"/>
  <c r="J9297" i="2"/>
  <c r="I9297" i="2"/>
  <c r="H9297" i="2"/>
  <c r="G9297" i="2"/>
  <c r="F9297" i="2"/>
  <c r="E9297" i="2"/>
  <c r="D9297" i="2"/>
  <c r="C9297" i="2"/>
  <c r="B9297" i="2"/>
  <c r="A9297" i="2"/>
  <c r="U9296" i="2"/>
  <c r="N9296" i="2"/>
  <c r="M9296" i="2"/>
  <c r="J9296" i="2"/>
  <c r="I9296" i="2"/>
  <c r="H9296" i="2"/>
  <c r="G9296" i="2"/>
  <c r="F9296" i="2"/>
  <c r="E9296" i="2"/>
  <c r="D9296" i="2"/>
  <c r="C9296" i="2"/>
  <c r="B9296" i="2"/>
  <c r="A9296" i="2"/>
  <c r="U9295" i="2"/>
  <c r="N9295" i="2"/>
  <c r="M9295" i="2"/>
  <c r="J9295" i="2"/>
  <c r="I9295" i="2"/>
  <c r="H9295" i="2"/>
  <c r="G9295" i="2"/>
  <c r="F9295" i="2"/>
  <c r="E9295" i="2"/>
  <c r="D9295" i="2"/>
  <c r="C9295" i="2"/>
  <c r="B9295" i="2"/>
  <c r="A9295" i="2"/>
  <c r="Q9294" i="2"/>
  <c r="U9294" i="2" s="1"/>
  <c r="N9294" i="2"/>
  <c r="M9294" i="2"/>
  <c r="J9294" i="2"/>
  <c r="I9294" i="2"/>
  <c r="H9294" i="2"/>
  <c r="G9294" i="2"/>
  <c r="F9294" i="2"/>
  <c r="E9294" i="2"/>
  <c r="D9294" i="2"/>
  <c r="C9294" i="2"/>
  <c r="B9294" i="2"/>
  <c r="A9294" i="2"/>
  <c r="Q9293" i="2"/>
  <c r="U9293" i="2" s="1"/>
  <c r="N9293" i="2"/>
  <c r="M9293" i="2"/>
  <c r="J9293" i="2"/>
  <c r="I9293" i="2"/>
  <c r="H9293" i="2"/>
  <c r="G9293" i="2"/>
  <c r="F9293" i="2"/>
  <c r="E9293" i="2"/>
  <c r="D9293" i="2"/>
  <c r="C9293" i="2"/>
  <c r="B9293" i="2"/>
  <c r="A9293" i="2"/>
  <c r="U9292" i="2"/>
  <c r="N9292" i="2"/>
  <c r="M9292" i="2"/>
  <c r="J9292" i="2"/>
  <c r="I9292" i="2"/>
  <c r="H9292" i="2"/>
  <c r="G9292" i="2"/>
  <c r="F9292" i="2"/>
  <c r="E9292" i="2"/>
  <c r="D9292" i="2"/>
  <c r="C9292" i="2"/>
  <c r="B9292" i="2"/>
  <c r="A9292" i="2"/>
  <c r="U9291" i="2"/>
  <c r="N9291" i="2"/>
  <c r="M9291" i="2"/>
  <c r="J9291" i="2"/>
  <c r="I9291" i="2"/>
  <c r="H9291" i="2"/>
  <c r="G9291" i="2"/>
  <c r="F9291" i="2"/>
  <c r="E9291" i="2"/>
  <c r="D9291" i="2"/>
  <c r="C9291" i="2"/>
  <c r="B9291" i="2"/>
  <c r="A9291" i="2"/>
  <c r="Q9290" i="2"/>
  <c r="U9290" i="2" s="1"/>
  <c r="N9290" i="2"/>
  <c r="M9290" i="2"/>
  <c r="J9290" i="2"/>
  <c r="I9290" i="2"/>
  <c r="H9290" i="2"/>
  <c r="G9290" i="2"/>
  <c r="F9290" i="2"/>
  <c r="E9290" i="2"/>
  <c r="D9290" i="2"/>
  <c r="C9290" i="2"/>
  <c r="B9290" i="2"/>
  <c r="A9290" i="2"/>
  <c r="U9289" i="2"/>
  <c r="N9289" i="2"/>
  <c r="M9289" i="2"/>
  <c r="J9289" i="2"/>
  <c r="I9289" i="2"/>
  <c r="H9289" i="2"/>
  <c r="G9289" i="2"/>
  <c r="F9289" i="2"/>
  <c r="E9289" i="2"/>
  <c r="D9289" i="2"/>
  <c r="C9289" i="2"/>
  <c r="B9289" i="2"/>
  <c r="A9289" i="2"/>
  <c r="U9288" i="2"/>
  <c r="N9288" i="2"/>
  <c r="M9288" i="2"/>
  <c r="J9288" i="2"/>
  <c r="I9288" i="2"/>
  <c r="H9288" i="2"/>
  <c r="G9288" i="2"/>
  <c r="F9288" i="2"/>
  <c r="E9288" i="2"/>
  <c r="D9288" i="2"/>
  <c r="C9288" i="2"/>
  <c r="B9288" i="2"/>
  <c r="A9288" i="2"/>
  <c r="U9287" i="2"/>
  <c r="N9287" i="2"/>
  <c r="M9287" i="2"/>
  <c r="J9287" i="2"/>
  <c r="I9287" i="2"/>
  <c r="H9287" i="2"/>
  <c r="G9287" i="2"/>
  <c r="F9287" i="2"/>
  <c r="E9287" i="2"/>
  <c r="D9287" i="2"/>
  <c r="C9287" i="2"/>
  <c r="B9287" i="2"/>
  <c r="A9287" i="2"/>
  <c r="U9286" i="2"/>
  <c r="N9286" i="2"/>
  <c r="M9286" i="2"/>
  <c r="J9286" i="2"/>
  <c r="I9286" i="2"/>
  <c r="H9286" i="2"/>
  <c r="G9286" i="2"/>
  <c r="F9286" i="2"/>
  <c r="E9286" i="2"/>
  <c r="D9286" i="2"/>
  <c r="C9286" i="2"/>
  <c r="B9286" i="2"/>
  <c r="A9286" i="2"/>
  <c r="U9285" i="2"/>
  <c r="N9285" i="2"/>
  <c r="M9285" i="2"/>
  <c r="J9285" i="2"/>
  <c r="I9285" i="2"/>
  <c r="H9285" i="2"/>
  <c r="G9285" i="2"/>
  <c r="F9285" i="2"/>
  <c r="E9285" i="2"/>
  <c r="D9285" i="2"/>
  <c r="C9285" i="2"/>
  <c r="B9285" i="2"/>
  <c r="A9285" i="2"/>
  <c r="U9284" i="2"/>
  <c r="N9284" i="2"/>
  <c r="M9284" i="2"/>
  <c r="J9284" i="2"/>
  <c r="I9284" i="2"/>
  <c r="H9284" i="2"/>
  <c r="G9284" i="2"/>
  <c r="F9284" i="2"/>
  <c r="E9284" i="2"/>
  <c r="D9284" i="2"/>
  <c r="C9284" i="2"/>
  <c r="B9284" i="2"/>
  <c r="A9284" i="2"/>
  <c r="U9283" i="2"/>
  <c r="N9283" i="2"/>
  <c r="M9283" i="2"/>
  <c r="J9283" i="2"/>
  <c r="I9283" i="2"/>
  <c r="H9283" i="2"/>
  <c r="G9283" i="2"/>
  <c r="F9283" i="2"/>
  <c r="E9283" i="2"/>
  <c r="D9283" i="2"/>
  <c r="C9283" i="2"/>
  <c r="B9283" i="2"/>
  <c r="A9283" i="2"/>
  <c r="U9282" i="2"/>
  <c r="N9282" i="2"/>
  <c r="M9282" i="2"/>
  <c r="J9282" i="2"/>
  <c r="I9282" i="2"/>
  <c r="H9282" i="2"/>
  <c r="G9282" i="2"/>
  <c r="F9282" i="2"/>
  <c r="E9282" i="2"/>
  <c r="D9282" i="2"/>
  <c r="C9282" i="2"/>
  <c r="B9282" i="2"/>
  <c r="A9282" i="2"/>
  <c r="U9281" i="2"/>
  <c r="N9281" i="2"/>
  <c r="M9281" i="2"/>
  <c r="J9281" i="2"/>
  <c r="I9281" i="2"/>
  <c r="H9281" i="2"/>
  <c r="G9281" i="2"/>
  <c r="F9281" i="2"/>
  <c r="E9281" i="2"/>
  <c r="D9281" i="2"/>
  <c r="C9281" i="2"/>
  <c r="B9281" i="2"/>
  <c r="A9281" i="2"/>
  <c r="U9280" i="2"/>
  <c r="N9280" i="2"/>
  <c r="M9280" i="2"/>
  <c r="J9280" i="2"/>
  <c r="I9280" i="2"/>
  <c r="H9280" i="2"/>
  <c r="G9280" i="2"/>
  <c r="F9280" i="2"/>
  <c r="E9280" i="2"/>
  <c r="D9280" i="2"/>
  <c r="C9280" i="2"/>
  <c r="B9280" i="2"/>
  <c r="A9280" i="2"/>
  <c r="U9279" i="2"/>
  <c r="N9279" i="2"/>
  <c r="M9279" i="2"/>
  <c r="J9279" i="2"/>
  <c r="I9279" i="2"/>
  <c r="H9279" i="2"/>
  <c r="G9279" i="2"/>
  <c r="F9279" i="2"/>
  <c r="E9279" i="2"/>
  <c r="D9279" i="2"/>
  <c r="C9279" i="2"/>
  <c r="B9279" i="2"/>
  <c r="A9279" i="2"/>
  <c r="U9278" i="2"/>
  <c r="N9278" i="2"/>
  <c r="M9278" i="2"/>
  <c r="J9278" i="2"/>
  <c r="I9278" i="2"/>
  <c r="H9278" i="2"/>
  <c r="G9278" i="2"/>
  <c r="F9278" i="2"/>
  <c r="E9278" i="2"/>
  <c r="D9278" i="2"/>
  <c r="C9278" i="2"/>
  <c r="B9278" i="2"/>
  <c r="A9278" i="2"/>
  <c r="U9277" i="2"/>
  <c r="N9277" i="2"/>
  <c r="M9277" i="2"/>
  <c r="J9277" i="2"/>
  <c r="I9277" i="2"/>
  <c r="H9277" i="2"/>
  <c r="G9277" i="2"/>
  <c r="F9277" i="2"/>
  <c r="E9277" i="2"/>
  <c r="D9277" i="2"/>
  <c r="C9277" i="2"/>
  <c r="B9277" i="2"/>
  <c r="A9277" i="2"/>
  <c r="U9276" i="2"/>
  <c r="N9276" i="2"/>
  <c r="M9276" i="2"/>
  <c r="J9276" i="2"/>
  <c r="I9276" i="2"/>
  <c r="H9276" i="2"/>
  <c r="G9276" i="2"/>
  <c r="F9276" i="2"/>
  <c r="E9276" i="2"/>
  <c r="D9276" i="2"/>
  <c r="C9276" i="2"/>
  <c r="B9276" i="2"/>
  <c r="A9276" i="2"/>
  <c r="U9275" i="2"/>
  <c r="N9275" i="2"/>
  <c r="M9275" i="2"/>
  <c r="J9275" i="2"/>
  <c r="I9275" i="2"/>
  <c r="H9275" i="2"/>
  <c r="G9275" i="2"/>
  <c r="F9275" i="2"/>
  <c r="E9275" i="2"/>
  <c r="D9275" i="2"/>
  <c r="C9275" i="2"/>
  <c r="B9275" i="2"/>
  <c r="A9275" i="2"/>
  <c r="U9274" i="2"/>
  <c r="N9274" i="2"/>
  <c r="M9274" i="2"/>
  <c r="J9274" i="2"/>
  <c r="I9274" i="2"/>
  <c r="H9274" i="2"/>
  <c r="G9274" i="2"/>
  <c r="F9274" i="2"/>
  <c r="E9274" i="2"/>
  <c r="D9274" i="2"/>
  <c r="C9274" i="2"/>
  <c r="B9274" i="2"/>
  <c r="A9274" i="2"/>
  <c r="U9273" i="2"/>
  <c r="N9273" i="2"/>
  <c r="M9273" i="2"/>
  <c r="J9273" i="2"/>
  <c r="I9273" i="2"/>
  <c r="H9273" i="2"/>
  <c r="G9273" i="2"/>
  <c r="F9273" i="2"/>
  <c r="E9273" i="2"/>
  <c r="D9273" i="2"/>
  <c r="C9273" i="2"/>
  <c r="B9273" i="2"/>
  <c r="A9273" i="2"/>
  <c r="U9272" i="2"/>
  <c r="N9272" i="2"/>
  <c r="M9272" i="2"/>
  <c r="J9272" i="2"/>
  <c r="I9272" i="2"/>
  <c r="H9272" i="2"/>
  <c r="G9272" i="2"/>
  <c r="F9272" i="2"/>
  <c r="E9272" i="2"/>
  <c r="D9272" i="2"/>
  <c r="C9272" i="2"/>
  <c r="B9272" i="2"/>
  <c r="A9272" i="2"/>
  <c r="U9271" i="2"/>
  <c r="N9271" i="2"/>
  <c r="M9271" i="2"/>
  <c r="J9271" i="2"/>
  <c r="I9271" i="2"/>
  <c r="H9271" i="2"/>
  <c r="G9271" i="2"/>
  <c r="F9271" i="2"/>
  <c r="E9271" i="2"/>
  <c r="D9271" i="2"/>
  <c r="C9271" i="2"/>
  <c r="B9271" i="2"/>
  <c r="A9271" i="2"/>
  <c r="U9270" i="2"/>
  <c r="N9270" i="2"/>
  <c r="M9270" i="2"/>
  <c r="J9270" i="2"/>
  <c r="I9270" i="2"/>
  <c r="H9270" i="2"/>
  <c r="G9270" i="2"/>
  <c r="F9270" i="2"/>
  <c r="E9270" i="2"/>
  <c r="D9270" i="2"/>
  <c r="C9270" i="2"/>
  <c r="B9270" i="2"/>
  <c r="A9270" i="2"/>
  <c r="U9269" i="2"/>
  <c r="N9269" i="2"/>
  <c r="M9269" i="2"/>
  <c r="J9269" i="2"/>
  <c r="I9269" i="2"/>
  <c r="H9269" i="2"/>
  <c r="G9269" i="2"/>
  <c r="F9269" i="2"/>
  <c r="E9269" i="2"/>
  <c r="D9269" i="2"/>
  <c r="C9269" i="2"/>
  <c r="B9269" i="2"/>
  <c r="A9269" i="2"/>
  <c r="Q9268" i="2"/>
  <c r="U9268" i="2" s="1"/>
  <c r="N9268" i="2"/>
  <c r="M9268" i="2"/>
  <c r="J9268" i="2"/>
  <c r="I9268" i="2"/>
  <c r="H9268" i="2"/>
  <c r="G9268" i="2"/>
  <c r="F9268" i="2"/>
  <c r="E9268" i="2"/>
  <c r="D9268" i="2"/>
  <c r="C9268" i="2"/>
  <c r="B9268" i="2"/>
  <c r="A9268" i="2"/>
  <c r="U9267" i="2"/>
  <c r="N9267" i="2"/>
  <c r="M9267" i="2"/>
  <c r="J9267" i="2"/>
  <c r="I9267" i="2"/>
  <c r="H9267" i="2"/>
  <c r="G9267" i="2"/>
  <c r="F9267" i="2"/>
  <c r="E9267" i="2"/>
  <c r="D9267" i="2"/>
  <c r="C9267" i="2"/>
  <c r="B9267" i="2"/>
  <c r="A9267" i="2"/>
  <c r="U9266" i="2"/>
  <c r="N9266" i="2"/>
  <c r="M9266" i="2"/>
  <c r="J9266" i="2"/>
  <c r="I9266" i="2"/>
  <c r="H9266" i="2"/>
  <c r="G9266" i="2"/>
  <c r="F9266" i="2"/>
  <c r="E9266" i="2"/>
  <c r="D9266" i="2"/>
  <c r="C9266" i="2"/>
  <c r="B9266" i="2"/>
  <c r="A9266" i="2"/>
  <c r="U9265" i="2"/>
  <c r="N9265" i="2"/>
  <c r="M9265" i="2"/>
  <c r="J9265" i="2"/>
  <c r="I9265" i="2"/>
  <c r="H9265" i="2"/>
  <c r="G9265" i="2"/>
  <c r="F9265" i="2"/>
  <c r="E9265" i="2"/>
  <c r="D9265" i="2"/>
  <c r="C9265" i="2"/>
  <c r="B9265" i="2"/>
  <c r="A9265" i="2"/>
  <c r="U9264" i="2"/>
  <c r="N9264" i="2"/>
  <c r="M9264" i="2"/>
  <c r="J9264" i="2"/>
  <c r="I9264" i="2"/>
  <c r="H9264" i="2"/>
  <c r="G9264" i="2"/>
  <c r="F9264" i="2"/>
  <c r="E9264" i="2"/>
  <c r="D9264" i="2"/>
  <c r="C9264" i="2"/>
  <c r="B9264" i="2"/>
  <c r="A9264" i="2"/>
  <c r="Q9263" i="2"/>
  <c r="U9263" i="2" s="1"/>
  <c r="N9263" i="2"/>
  <c r="M9263" i="2"/>
  <c r="J9263" i="2"/>
  <c r="I9263" i="2"/>
  <c r="H9263" i="2"/>
  <c r="G9263" i="2"/>
  <c r="F9263" i="2"/>
  <c r="E9263" i="2"/>
  <c r="D9263" i="2"/>
  <c r="C9263" i="2"/>
  <c r="B9263" i="2"/>
  <c r="A9263" i="2"/>
  <c r="U9262" i="2"/>
  <c r="N9262" i="2"/>
  <c r="M9262" i="2"/>
  <c r="J9262" i="2"/>
  <c r="I9262" i="2"/>
  <c r="H9262" i="2"/>
  <c r="G9262" i="2"/>
  <c r="F9262" i="2"/>
  <c r="E9262" i="2"/>
  <c r="D9262" i="2"/>
  <c r="C9262" i="2"/>
  <c r="B9262" i="2"/>
  <c r="A9262" i="2"/>
  <c r="U9261" i="2"/>
  <c r="N9261" i="2"/>
  <c r="M9261" i="2"/>
  <c r="J9261" i="2"/>
  <c r="I9261" i="2"/>
  <c r="H9261" i="2"/>
  <c r="G9261" i="2"/>
  <c r="F9261" i="2"/>
  <c r="E9261" i="2"/>
  <c r="D9261" i="2"/>
  <c r="C9261" i="2"/>
  <c r="B9261" i="2"/>
  <c r="A9261" i="2"/>
  <c r="U9260" i="2"/>
  <c r="N9260" i="2"/>
  <c r="M9260" i="2"/>
  <c r="J9260" i="2"/>
  <c r="I9260" i="2"/>
  <c r="H9260" i="2"/>
  <c r="G9260" i="2"/>
  <c r="F9260" i="2"/>
  <c r="E9260" i="2"/>
  <c r="D9260" i="2"/>
  <c r="C9260" i="2"/>
  <c r="B9260" i="2"/>
  <c r="A9260" i="2"/>
  <c r="U9259" i="2"/>
  <c r="N9259" i="2"/>
  <c r="M9259" i="2"/>
  <c r="J9259" i="2"/>
  <c r="I9259" i="2"/>
  <c r="H9259" i="2"/>
  <c r="G9259" i="2"/>
  <c r="F9259" i="2"/>
  <c r="E9259" i="2"/>
  <c r="D9259" i="2"/>
  <c r="C9259" i="2"/>
  <c r="B9259" i="2"/>
  <c r="A9259" i="2"/>
  <c r="U9258" i="2"/>
  <c r="N9258" i="2"/>
  <c r="M9258" i="2"/>
  <c r="J9258" i="2"/>
  <c r="I9258" i="2"/>
  <c r="H9258" i="2"/>
  <c r="G9258" i="2"/>
  <c r="F9258" i="2"/>
  <c r="E9258" i="2"/>
  <c r="D9258" i="2"/>
  <c r="C9258" i="2"/>
  <c r="B9258" i="2"/>
  <c r="A9258" i="2"/>
  <c r="U9257" i="2"/>
  <c r="N9257" i="2"/>
  <c r="M9257" i="2"/>
  <c r="J9257" i="2"/>
  <c r="I9257" i="2"/>
  <c r="H9257" i="2"/>
  <c r="G9257" i="2"/>
  <c r="F9257" i="2"/>
  <c r="E9257" i="2"/>
  <c r="D9257" i="2"/>
  <c r="C9257" i="2"/>
  <c r="B9257" i="2"/>
  <c r="A9257" i="2"/>
  <c r="U9256" i="2"/>
  <c r="N9256" i="2"/>
  <c r="M9256" i="2"/>
  <c r="J9256" i="2"/>
  <c r="I9256" i="2"/>
  <c r="H9256" i="2"/>
  <c r="G9256" i="2"/>
  <c r="F9256" i="2"/>
  <c r="E9256" i="2"/>
  <c r="D9256" i="2"/>
  <c r="C9256" i="2"/>
  <c r="B9256" i="2"/>
  <c r="A9256" i="2"/>
  <c r="U9255" i="2"/>
  <c r="N9255" i="2"/>
  <c r="M9255" i="2"/>
  <c r="J9255" i="2"/>
  <c r="I9255" i="2"/>
  <c r="H9255" i="2"/>
  <c r="G9255" i="2"/>
  <c r="F9255" i="2"/>
  <c r="E9255" i="2"/>
  <c r="D9255" i="2"/>
  <c r="C9255" i="2"/>
  <c r="B9255" i="2"/>
  <c r="A9255" i="2"/>
  <c r="U9254" i="2"/>
  <c r="N9254" i="2"/>
  <c r="M9254" i="2"/>
  <c r="J9254" i="2"/>
  <c r="I9254" i="2"/>
  <c r="H9254" i="2"/>
  <c r="G9254" i="2"/>
  <c r="F9254" i="2"/>
  <c r="E9254" i="2"/>
  <c r="D9254" i="2"/>
  <c r="C9254" i="2"/>
  <c r="B9254" i="2"/>
  <c r="A9254" i="2"/>
  <c r="Q9253" i="2"/>
  <c r="U9253" i="2" s="1"/>
  <c r="N9253" i="2"/>
  <c r="M9253" i="2"/>
  <c r="J9253" i="2"/>
  <c r="I9253" i="2"/>
  <c r="H9253" i="2"/>
  <c r="G9253" i="2"/>
  <c r="F9253" i="2"/>
  <c r="E9253" i="2"/>
  <c r="D9253" i="2"/>
  <c r="C9253" i="2"/>
  <c r="B9253" i="2"/>
  <c r="A9253" i="2"/>
  <c r="U9252" i="2"/>
  <c r="N9252" i="2"/>
  <c r="M9252" i="2"/>
  <c r="J9252" i="2"/>
  <c r="I9252" i="2"/>
  <c r="H9252" i="2"/>
  <c r="G9252" i="2"/>
  <c r="F9252" i="2"/>
  <c r="E9252" i="2"/>
  <c r="D9252" i="2"/>
  <c r="C9252" i="2"/>
  <c r="B9252" i="2"/>
  <c r="A9252" i="2"/>
  <c r="U9251" i="2"/>
  <c r="N9251" i="2"/>
  <c r="M9251" i="2"/>
  <c r="J9251" i="2"/>
  <c r="I9251" i="2"/>
  <c r="H9251" i="2"/>
  <c r="G9251" i="2"/>
  <c r="F9251" i="2"/>
  <c r="E9251" i="2"/>
  <c r="D9251" i="2"/>
  <c r="C9251" i="2"/>
  <c r="B9251" i="2"/>
  <c r="A9251" i="2"/>
  <c r="U9250" i="2"/>
  <c r="N9250" i="2"/>
  <c r="M9250" i="2"/>
  <c r="J9250" i="2"/>
  <c r="I9250" i="2"/>
  <c r="H9250" i="2"/>
  <c r="G9250" i="2"/>
  <c r="F9250" i="2"/>
  <c r="E9250" i="2"/>
  <c r="D9250" i="2"/>
  <c r="C9250" i="2"/>
  <c r="B9250" i="2"/>
  <c r="A9250" i="2"/>
  <c r="U9249" i="2"/>
  <c r="N9249" i="2"/>
  <c r="M9249" i="2"/>
  <c r="J9249" i="2"/>
  <c r="I9249" i="2"/>
  <c r="H9249" i="2"/>
  <c r="G9249" i="2"/>
  <c r="F9249" i="2"/>
  <c r="E9249" i="2"/>
  <c r="D9249" i="2"/>
  <c r="C9249" i="2"/>
  <c r="B9249" i="2"/>
  <c r="A9249" i="2"/>
  <c r="U9248" i="2"/>
  <c r="N9248" i="2"/>
  <c r="M9248" i="2"/>
  <c r="J9248" i="2"/>
  <c r="I9248" i="2"/>
  <c r="H9248" i="2"/>
  <c r="G9248" i="2"/>
  <c r="F9248" i="2"/>
  <c r="E9248" i="2"/>
  <c r="D9248" i="2"/>
  <c r="C9248" i="2"/>
  <c r="B9248" i="2"/>
  <c r="A9248" i="2"/>
  <c r="U9247" i="2"/>
  <c r="N9247" i="2"/>
  <c r="M9247" i="2"/>
  <c r="J9247" i="2"/>
  <c r="I9247" i="2"/>
  <c r="H9247" i="2"/>
  <c r="G9247" i="2"/>
  <c r="F9247" i="2"/>
  <c r="E9247" i="2"/>
  <c r="D9247" i="2"/>
  <c r="C9247" i="2"/>
  <c r="B9247" i="2"/>
  <c r="A9247" i="2"/>
  <c r="U9246" i="2"/>
  <c r="N9246" i="2"/>
  <c r="M9246" i="2"/>
  <c r="J9246" i="2"/>
  <c r="I9246" i="2"/>
  <c r="H9246" i="2"/>
  <c r="G9246" i="2"/>
  <c r="F9246" i="2"/>
  <c r="E9246" i="2"/>
  <c r="D9246" i="2"/>
  <c r="C9246" i="2"/>
  <c r="B9246" i="2"/>
  <c r="A9246" i="2"/>
  <c r="U9245" i="2"/>
  <c r="N9245" i="2"/>
  <c r="M9245" i="2"/>
  <c r="J9245" i="2"/>
  <c r="I9245" i="2"/>
  <c r="H9245" i="2"/>
  <c r="G9245" i="2"/>
  <c r="F9245" i="2"/>
  <c r="E9245" i="2"/>
  <c r="D9245" i="2"/>
  <c r="C9245" i="2"/>
  <c r="B9245" i="2"/>
  <c r="A9245" i="2"/>
  <c r="U9244" i="2"/>
  <c r="N9244" i="2"/>
  <c r="M9244" i="2"/>
  <c r="J9244" i="2"/>
  <c r="I9244" i="2"/>
  <c r="H9244" i="2"/>
  <c r="G9244" i="2"/>
  <c r="F9244" i="2"/>
  <c r="E9244" i="2"/>
  <c r="D9244" i="2"/>
  <c r="C9244" i="2"/>
  <c r="B9244" i="2"/>
  <c r="A9244" i="2"/>
  <c r="U9243" i="2"/>
  <c r="N9243" i="2"/>
  <c r="M9243" i="2"/>
  <c r="J9243" i="2"/>
  <c r="I9243" i="2"/>
  <c r="H9243" i="2"/>
  <c r="G9243" i="2"/>
  <c r="F9243" i="2"/>
  <c r="E9243" i="2"/>
  <c r="D9243" i="2"/>
  <c r="C9243" i="2"/>
  <c r="B9243" i="2"/>
  <c r="A9243" i="2"/>
  <c r="U9242" i="2"/>
  <c r="N9242" i="2"/>
  <c r="M9242" i="2"/>
  <c r="J9242" i="2"/>
  <c r="I9242" i="2"/>
  <c r="H9242" i="2"/>
  <c r="G9242" i="2"/>
  <c r="F9242" i="2"/>
  <c r="E9242" i="2"/>
  <c r="D9242" i="2"/>
  <c r="C9242" i="2"/>
  <c r="B9242" i="2"/>
  <c r="A9242" i="2"/>
  <c r="U9241" i="2"/>
  <c r="N9241" i="2"/>
  <c r="M9241" i="2"/>
  <c r="J9241" i="2"/>
  <c r="I9241" i="2"/>
  <c r="H9241" i="2"/>
  <c r="G9241" i="2"/>
  <c r="F9241" i="2"/>
  <c r="E9241" i="2"/>
  <c r="D9241" i="2"/>
  <c r="C9241" i="2"/>
  <c r="B9241" i="2"/>
  <c r="A9241" i="2"/>
  <c r="U9240" i="2"/>
  <c r="N9240" i="2"/>
  <c r="M9240" i="2"/>
  <c r="J9240" i="2"/>
  <c r="I9240" i="2"/>
  <c r="H9240" i="2"/>
  <c r="G9240" i="2"/>
  <c r="F9240" i="2"/>
  <c r="E9240" i="2"/>
  <c r="D9240" i="2"/>
  <c r="C9240" i="2"/>
  <c r="B9240" i="2"/>
  <c r="A9240" i="2"/>
  <c r="U9239" i="2"/>
  <c r="N9239" i="2"/>
  <c r="M9239" i="2"/>
  <c r="J9239" i="2"/>
  <c r="I9239" i="2"/>
  <c r="H9239" i="2"/>
  <c r="G9239" i="2"/>
  <c r="F9239" i="2"/>
  <c r="E9239" i="2"/>
  <c r="D9239" i="2"/>
  <c r="C9239" i="2"/>
  <c r="B9239" i="2"/>
  <c r="A9239" i="2"/>
  <c r="U9238" i="2"/>
  <c r="N9238" i="2"/>
  <c r="M9238" i="2"/>
  <c r="J9238" i="2"/>
  <c r="I9238" i="2"/>
  <c r="H9238" i="2"/>
  <c r="G9238" i="2"/>
  <c r="F9238" i="2"/>
  <c r="E9238" i="2"/>
  <c r="D9238" i="2"/>
  <c r="C9238" i="2"/>
  <c r="B9238" i="2"/>
  <c r="A9238" i="2"/>
  <c r="U9237" i="2"/>
  <c r="N9237" i="2"/>
  <c r="M9237" i="2"/>
  <c r="J9237" i="2"/>
  <c r="I9237" i="2"/>
  <c r="H9237" i="2"/>
  <c r="G9237" i="2"/>
  <c r="F9237" i="2"/>
  <c r="E9237" i="2"/>
  <c r="D9237" i="2"/>
  <c r="C9237" i="2"/>
  <c r="B9237" i="2"/>
  <c r="A9237" i="2"/>
  <c r="U9236" i="2"/>
  <c r="N9236" i="2"/>
  <c r="M9236" i="2"/>
  <c r="J9236" i="2"/>
  <c r="I9236" i="2"/>
  <c r="H9236" i="2"/>
  <c r="G9236" i="2"/>
  <c r="F9236" i="2"/>
  <c r="E9236" i="2"/>
  <c r="D9236" i="2"/>
  <c r="C9236" i="2"/>
  <c r="B9236" i="2"/>
  <c r="A9236" i="2"/>
  <c r="U9235" i="2"/>
  <c r="N9235" i="2"/>
  <c r="M9235" i="2"/>
  <c r="J9235" i="2"/>
  <c r="I9235" i="2"/>
  <c r="H9235" i="2"/>
  <c r="G9235" i="2"/>
  <c r="F9235" i="2"/>
  <c r="E9235" i="2"/>
  <c r="D9235" i="2"/>
  <c r="C9235" i="2"/>
  <c r="B9235" i="2"/>
  <c r="A9235" i="2"/>
  <c r="U9234" i="2"/>
  <c r="N9234" i="2"/>
  <c r="M9234" i="2"/>
  <c r="J9234" i="2"/>
  <c r="I9234" i="2"/>
  <c r="H9234" i="2"/>
  <c r="G9234" i="2"/>
  <c r="F9234" i="2"/>
  <c r="E9234" i="2"/>
  <c r="D9234" i="2"/>
  <c r="C9234" i="2"/>
  <c r="B9234" i="2"/>
  <c r="A9234" i="2"/>
  <c r="U9233" i="2"/>
  <c r="N9233" i="2"/>
  <c r="M9233" i="2"/>
  <c r="J9233" i="2"/>
  <c r="I9233" i="2"/>
  <c r="H9233" i="2"/>
  <c r="G9233" i="2"/>
  <c r="F9233" i="2"/>
  <c r="E9233" i="2"/>
  <c r="D9233" i="2"/>
  <c r="C9233" i="2"/>
  <c r="B9233" i="2"/>
  <c r="A9233" i="2"/>
  <c r="U9232" i="2"/>
  <c r="N9232" i="2"/>
  <c r="M9232" i="2"/>
  <c r="J9232" i="2"/>
  <c r="I9232" i="2"/>
  <c r="H9232" i="2"/>
  <c r="G9232" i="2"/>
  <c r="F9232" i="2"/>
  <c r="E9232" i="2"/>
  <c r="D9232" i="2"/>
  <c r="C9232" i="2"/>
  <c r="B9232" i="2"/>
  <c r="A9232" i="2"/>
  <c r="U9231" i="2"/>
  <c r="N9231" i="2"/>
  <c r="M9231" i="2"/>
  <c r="J9231" i="2"/>
  <c r="I9231" i="2"/>
  <c r="H9231" i="2"/>
  <c r="G9231" i="2"/>
  <c r="F9231" i="2"/>
  <c r="E9231" i="2"/>
  <c r="D9231" i="2"/>
  <c r="C9231" i="2"/>
  <c r="B9231" i="2"/>
  <c r="A9231" i="2"/>
  <c r="U9230" i="2"/>
  <c r="N9230" i="2"/>
  <c r="M9230" i="2"/>
  <c r="J9230" i="2"/>
  <c r="I9230" i="2"/>
  <c r="H9230" i="2"/>
  <c r="G9230" i="2"/>
  <c r="F9230" i="2"/>
  <c r="E9230" i="2"/>
  <c r="D9230" i="2"/>
  <c r="C9230" i="2"/>
  <c r="B9230" i="2"/>
  <c r="A9230" i="2"/>
  <c r="U9229" i="2"/>
  <c r="N9229" i="2"/>
  <c r="M9229" i="2"/>
  <c r="J9229" i="2"/>
  <c r="I9229" i="2"/>
  <c r="H9229" i="2"/>
  <c r="G9229" i="2"/>
  <c r="F9229" i="2"/>
  <c r="E9229" i="2"/>
  <c r="D9229" i="2"/>
  <c r="C9229" i="2"/>
  <c r="B9229" i="2"/>
  <c r="A9229" i="2"/>
  <c r="U9228" i="2"/>
  <c r="N9228" i="2"/>
  <c r="M9228" i="2"/>
  <c r="J9228" i="2"/>
  <c r="I9228" i="2"/>
  <c r="H9228" i="2"/>
  <c r="G9228" i="2"/>
  <c r="F9228" i="2"/>
  <c r="E9228" i="2"/>
  <c r="D9228" i="2"/>
  <c r="C9228" i="2"/>
  <c r="B9228" i="2"/>
  <c r="A9228" i="2"/>
  <c r="U9227" i="2"/>
  <c r="N9227" i="2"/>
  <c r="M9227" i="2"/>
  <c r="J9227" i="2"/>
  <c r="I9227" i="2"/>
  <c r="H9227" i="2"/>
  <c r="G9227" i="2"/>
  <c r="F9227" i="2"/>
  <c r="E9227" i="2"/>
  <c r="D9227" i="2"/>
  <c r="C9227" i="2"/>
  <c r="B9227" i="2"/>
  <c r="A9227" i="2"/>
  <c r="U9226" i="2"/>
  <c r="N9226" i="2"/>
  <c r="M9226" i="2"/>
  <c r="J9226" i="2"/>
  <c r="I9226" i="2"/>
  <c r="H9226" i="2"/>
  <c r="G9226" i="2"/>
  <c r="F9226" i="2"/>
  <c r="E9226" i="2"/>
  <c r="D9226" i="2"/>
  <c r="C9226" i="2"/>
  <c r="B9226" i="2"/>
  <c r="A9226" i="2"/>
  <c r="U9225" i="2"/>
  <c r="N9225" i="2"/>
  <c r="M9225" i="2"/>
  <c r="J9225" i="2"/>
  <c r="I9225" i="2"/>
  <c r="H9225" i="2"/>
  <c r="G9225" i="2"/>
  <c r="F9225" i="2"/>
  <c r="E9225" i="2"/>
  <c r="D9225" i="2"/>
  <c r="C9225" i="2"/>
  <c r="B9225" i="2"/>
  <c r="A9225" i="2"/>
  <c r="U9224" i="2"/>
  <c r="N9224" i="2"/>
  <c r="M9224" i="2"/>
  <c r="J9224" i="2"/>
  <c r="I9224" i="2"/>
  <c r="H9224" i="2"/>
  <c r="G9224" i="2"/>
  <c r="F9224" i="2"/>
  <c r="E9224" i="2"/>
  <c r="D9224" i="2"/>
  <c r="C9224" i="2"/>
  <c r="B9224" i="2"/>
  <c r="A9224" i="2"/>
  <c r="U9223" i="2"/>
  <c r="N9223" i="2"/>
  <c r="M9223" i="2"/>
  <c r="J9223" i="2"/>
  <c r="I9223" i="2"/>
  <c r="H9223" i="2"/>
  <c r="G9223" i="2"/>
  <c r="F9223" i="2"/>
  <c r="E9223" i="2"/>
  <c r="D9223" i="2"/>
  <c r="C9223" i="2"/>
  <c r="B9223" i="2"/>
  <c r="A9223" i="2"/>
  <c r="U9222" i="2"/>
  <c r="N9222" i="2"/>
  <c r="M9222" i="2"/>
  <c r="J9222" i="2"/>
  <c r="I9222" i="2"/>
  <c r="H9222" i="2"/>
  <c r="G9222" i="2"/>
  <c r="F9222" i="2"/>
  <c r="E9222" i="2"/>
  <c r="D9222" i="2"/>
  <c r="C9222" i="2"/>
  <c r="B9222" i="2"/>
  <c r="A9222" i="2"/>
  <c r="U9221" i="2"/>
  <c r="N9221" i="2"/>
  <c r="M9221" i="2"/>
  <c r="J9221" i="2"/>
  <c r="I9221" i="2"/>
  <c r="H9221" i="2"/>
  <c r="G9221" i="2"/>
  <c r="F9221" i="2"/>
  <c r="E9221" i="2"/>
  <c r="D9221" i="2"/>
  <c r="C9221" i="2"/>
  <c r="B9221" i="2"/>
  <c r="A9221" i="2"/>
  <c r="U9220" i="2"/>
  <c r="N9220" i="2"/>
  <c r="M9220" i="2"/>
  <c r="J9220" i="2"/>
  <c r="I9220" i="2"/>
  <c r="H9220" i="2"/>
  <c r="G9220" i="2"/>
  <c r="F9220" i="2"/>
  <c r="E9220" i="2"/>
  <c r="D9220" i="2"/>
  <c r="C9220" i="2"/>
  <c r="B9220" i="2"/>
  <c r="A9220" i="2"/>
  <c r="U9219" i="2"/>
  <c r="N9219" i="2"/>
  <c r="M9219" i="2"/>
  <c r="J9219" i="2"/>
  <c r="I9219" i="2"/>
  <c r="H9219" i="2"/>
  <c r="G9219" i="2"/>
  <c r="F9219" i="2"/>
  <c r="E9219" i="2"/>
  <c r="D9219" i="2"/>
  <c r="C9219" i="2"/>
  <c r="B9219" i="2"/>
  <c r="A9219" i="2"/>
  <c r="U9218" i="2"/>
  <c r="N9218" i="2"/>
  <c r="M9218" i="2"/>
  <c r="J9218" i="2"/>
  <c r="I9218" i="2"/>
  <c r="H9218" i="2"/>
  <c r="G9218" i="2"/>
  <c r="F9218" i="2"/>
  <c r="E9218" i="2"/>
  <c r="D9218" i="2"/>
  <c r="C9218" i="2"/>
  <c r="B9218" i="2"/>
  <c r="A9218" i="2"/>
  <c r="Q9217" i="2"/>
  <c r="U9217" i="2" s="1"/>
  <c r="N9217" i="2"/>
  <c r="M9217" i="2"/>
  <c r="J9217" i="2"/>
  <c r="I9217" i="2"/>
  <c r="H9217" i="2"/>
  <c r="G9217" i="2"/>
  <c r="F9217" i="2"/>
  <c r="E9217" i="2"/>
  <c r="D9217" i="2"/>
  <c r="C9217" i="2"/>
  <c r="B9217" i="2"/>
  <c r="A9217" i="2"/>
  <c r="U9216" i="2"/>
  <c r="N9216" i="2"/>
  <c r="M9216" i="2"/>
  <c r="J9216" i="2"/>
  <c r="I9216" i="2"/>
  <c r="H9216" i="2"/>
  <c r="G9216" i="2"/>
  <c r="F9216" i="2"/>
  <c r="E9216" i="2"/>
  <c r="D9216" i="2"/>
  <c r="C9216" i="2"/>
  <c r="B9216" i="2"/>
  <c r="A9216" i="2"/>
  <c r="U9215" i="2"/>
  <c r="N9215" i="2"/>
  <c r="M9215" i="2"/>
  <c r="J9215" i="2"/>
  <c r="I9215" i="2"/>
  <c r="H9215" i="2"/>
  <c r="G9215" i="2"/>
  <c r="F9215" i="2"/>
  <c r="E9215" i="2"/>
  <c r="D9215" i="2"/>
  <c r="C9215" i="2"/>
  <c r="B9215" i="2"/>
  <c r="A9215" i="2"/>
  <c r="Q9214" i="2"/>
  <c r="U9214" i="2" s="1"/>
  <c r="N9214" i="2"/>
  <c r="M9214" i="2"/>
  <c r="J9214" i="2"/>
  <c r="I9214" i="2"/>
  <c r="H9214" i="2"/>
  <c r="G9214" i="2"/>
  <c r="F9214" i="2"/>
  <c r="E9214" i="2"/>
  <c r="D9214" i="2"/>
  <c r="C9214" i="2"/>
  <c r="B9214" i="2"/>
  <c r="A9214" i="2"/>
  <c r="U9213" i="2"/>
  <c r="N9213" i="2"/>
  <c r="M9213" i="2"/>
  <c r="J9213" i="2"/>
  <c r="I9213" i="2"/>
  <c r="H9213" i="2"/>
  <c r="G9213" i="2"/>
  <c r="F9213" i="2"/>
  <c r="E9213" i="2"/>
  <c r="D9213" i="2"/>
  <c r="C9213" i="2"/>
  <c r="B9213" i="2"/>
  <c r="A9213" i="2"/>
  <c r="U9212" i="2"/>
  <c r="N9212" i="2"/>
  <c r="M9212" i="2"/>
  <c r="J9212" i="2"/>
  <c r="I9212" i="2"/>
  <c r="H9212" i="2"/>
  <c r="G9212" i="2"/>
  <c r="F9212" i="2"/>
  <c r="E9212" i="2"/>
  <c r="D9212" i="2"/>
  <c r="C9212" i="2"/>
  <c r="B9212" i="2"/>
  <c r="A9212" i="2"/>
  <c r="U9211" i="2"/>
  <c r="N9211" i="2"/>
  <c r="M9211" i="2"/>
  <c r="J9211" i="2"/>
  <c r="I9211" i="2"/>
  <c r="H9211" i="2"/>
  <c r="G9211" i="2"/>
  <c r="F9211" i="2"/>
  <c r="E9211" i="2"/>
  <c r="D9211" i="2"/>
  <c r="C9211" i="2"/>
  <c r="B9211" i="2"/>
  <c r="A9211" i="2"/>
  <c r="U9210" i="2"/>
  <c r="N9210" i="2"/>
  <c r="M9210" i="2"/>
  <c r="J9210" i="2"/>
  <c r="I9210" i="2"/>
  <c r="H9210" i="2"/>
  <c r="G9210" i="2"/>
  <c r="F9210" i="2"/>
  <c r="E9210" i="2"/>
  <c r="D9210" i="2"/>
  <c r="C9210" i="2"/>
  <c r="B9210" i="2"/>
  <c r="A9210" i="2"/>
  <c r="U9209" i="2"/>
  <c r="N9209" i="2"/>
  <c r="M9209" i="2"/>
  <c r="J9209" i="2"/>
  <c r="I9209" i="2"/>
  <c r="H9209" i="2"/>
  <c r="G9209" i="2"/>
  <c r="F9209" i="2"/>
  <c r="E9209" i="2"/>
  <c r="D9209" i="2"/>
  <c r="C9209" i="2"/>
  <c r="B9209" i="2"/>
  <c r="A9209" i="2"/>
  <c r="U9208" i="2"/>
  <c r="N9208" i="2"/>
  <c r="M9208" i="2"/>
  <c r="J9208" i="2"/>
  <c r="I9208" i="2"/>
  <c r="H9208" i="2"/>
  <c r="G9208" i="2"/>
  <c r="F9208" i="2"/>
  <c r="E9208" i="2"/>
  <c r="D9208" i="2"/>
  <c r="C9208" i="2"/>
  <c r="B9208" i="2"/>
  <c r="A9208" i="2"/>
  <c r="U9207" i="2"/>
  <c r="N9207" i="2"/>
  <c r="M9207" i="2"/>
  <c r="J9207" i="2"/>
  <c r="I9207" i="2"/>
  <c r="H9207" i="2"/>
  <c r="G9207" i="2"/>
  <c r="F9207" i="2"/>
  <c r="E9207" i="2"/>
  <c r="D9207" i="2"/>
  <c r="C9207" i="2"/>
  <c r="B9207" i="2"/>
  <c r="A9207" i="2"/>
  <c r="U9206" i="2"/>
  <c r="N9206" i="2"/>
  <c r="M9206" i="2"/>
  <c r="J9206" i="2"/>
  <c r="I9206" i="2"/>
  <c r="H9206" i="2"/>
  <c r="G9206" i="2"/>
  <c r="F9206" i="2"/>
  <c r="E9206" i="2"/>
  <c r="D9206" i="2"/>
  <c r="C9206" i="2"/>
  <c r="B9206" i="2"/>
  <c r="A9206" i="2"/>
  <c r="U9205" i="2"/>
  <c r="N9205" i="2"/>
  <c r="M9205" i="2"/>
  <c r="J9205" i="2"/>
  <c r="I9205" i="2"/>
  <c r="H9205" i="2"/>
  <c r="G9205" i="2"/>
  <c r="F9205" i="2"/>
  <c r="E9205" i="2"/>
  <c r="D9205" i="2"/>
  <c r="C9205" i="2"/>
  <c r="B9205" i="2"/>
  <c r="A9205" i="2"/>
  <c r="U9204" i="2"/>
  <c r="N9204" i="2"/>
  <c r="M9204" i="2"/>
  <c r="J9204" i="2"/>
  <c r="I9204" i="2"/>
  <c r="H9204" i="2"/>
  <c r="G9204" i="2"/>
  <c r="F9204" i="2"/>
  <c r="E9204" i="2"/>
  <c r="D9204" i="2"/>
  <c r="C9204" i="2"/>
  <c r="B9204" i="2"/>
  <c r="A9204" i="2"/>
  <c r="U9203" i="2"/>
  <c r="N9203" i="2"/>
  <c r="M9203" i="2"/>
  <c r="J9203" i="2"/>
  <c r="I9203" i="2"/>
  <c r="H9203" i="2"/>
  <c r="G9203" i="2"/>
  <c r="F9203" i="2"/>
  <c r="E9203" i="2"/>
  <c r="D9203" i="2"/>
  <c r="C9203" i="2"/>
  <c r="B9203" i="2"/>
  <c r="A9203" i="2"/>
  <c r="U9202" i="2"/>
  <c r="N9202" i="2"/>
  <c r="M9202" i="2"/>
  <c r="J9202" i="2"/>
  <c r="I9202" i="2"/>
  <c r="H9202" i="2"/>
  <c r="G9202" i="2"/>
  <c r="F9202" i="2"/>
  <c r="E9202" i="2"/>
  <c r="D9202" i="2"/>
  <c r="C9202" i="2"/>
  <c r="B9202" i="2"/>
  <c r="A9202" i="2"/>
  <c r="U9201" i="2"/>
  <c r="N9201" i="2"/>
  <c r="M9201" i="2"/>
  <c r="J9201" i="2"/>
  <c r="I9201" i="2"/>
  <c r="H9201" i="2"/>
  <c r="G9201" i="2"/>
  <c r="F9201" i="2"/>
  <c r="E9201" i="2"/>
  <c r="D9201" i="2"/>
  <c r="C9201" i="2"/>
  <c r="B9201" i="2"/>
  <c r="A9201" i="2"/>
  <c r="U9200" i="2"/>
  <c r="N9200" i="2"/>
  <c r="M9200" i="2"/>
  <c r="J9200" i="2"/>
  <c r="I9200" i="2"/>
  <c r="H9200" i="2"/>
  <c r="G9200" i="2"/>
  <c r="F9200" i="2"/>
  <c r="E9200" i="2"/>
  <c r="D9200" i="2"/>
  <c r="C9200" i="2"/>
  <c r="B9200" i="2"/>
  <c r="A9200" i="2"/>
  <c r="U9199" i="2"/>
  <c r="N9199" i="2"/>
  <c r="M9199" i="2"/>
  <c r="J9199" i="2"/>
  <c r="I9199" i="2"/>
  <c r="H9199" i="2"/>
  <c r="G9199" i="2"/>
  <c r="F9199" i="2"/>
  <c r="E9199" i="2"/>
  <c r="D9199" i="2"/>
  <c r="C9199" i="2"/>
  <c r="B9199" i="2"/>
  <c r="A9199" i="2"/>
  <c r="U9198" i="2"/>
  <c r="N9198" i="2"/>
  <c r="M9198" i="2"/>
  <c r="J9198" i="2"/>
  <c r="I9198" i="2"/>
  <c r="H9198" i="2"/>
  <c r="G9198" i="2"/>
  <c r="F9198" i="2"/>
  <c r="E9198" i="2"/>
  <c r="D9198" i="2"/>
  <c r="C9198" i="2"/>
  <c r="B9198" i="2"/>
  <c r="A9198" i="2"/>
  <c r="U9197" i="2"/>
  <c r="N9197" i="2"/>
  <c r="M9197" i="2"/>
  <c r="J9197" i="2"/>
  <c r="I9197" i="2"/>
  <c r="H9197" i="2"/>
  <c r="G9197" i="2"/>
  <c r="F9197" i="2"/>
  <c r="E9197" i="2"/>
  <c r="D9197" i="2"/>
  <c r="C9197" i="2"/>
  <c r="B9197" i="2"/>
  <c r="A9197" i="2"/>
  <c r="U9196" i="2"/>
  <c r="N9196" i="2"/>
  <c r="M9196" i="2"/>
  <c r="J9196" i="2"/>
  <c r="I9196" i="2"/>
  <c r="H9196" i="2"/>
  <c r="G9196" i="2"/>
  <c r="F9196" i="2"/>
  <c r="E9196" i="2"/>
  <c r="D9196" i="2"/>
  <c r="C9196" i="2"/>
  <c r="B9196" i="2"/>
  <c r="A9196" i="2"/>
  <c r="U9195" i="2"/>
  <c r="N9195" i="2"/>
  <c r="M9195" i="2"/>
  <c r="J9195" i="2"/>
  <c r="I9195" i="2"/>
  <c r="H9195" i="2"/>
  <c r="G9195" i="2"/>
  <c r="F9195" i="2"/>
  <c r="E9195" i="2"/>
  <c r="D9195" i="2"/>
  <c r="C9195" i="2"/>
  <c r="B9195" i="2"/>
  <c r="A9195" i="2"/>
  <c r="U9194" i="2"/>
  <c r="N9194" i="2"/>
  <c r="M9194" i="2"/>
  <c r="J9194" i="2"/>
  <c r="I9194" i="2"/>
  <c r="H9194" i="2"/>
  <c r="G9194" i="2"/>
  <c r="F9194" i="2"/>
  <c r="E9194" i="2"/>
  <c r="D9194" i="2"/>
  <c r="C9194" i="2"/>
  <c r="B9194" i="2"/>
  <c r="A9194" i="2"/>
  <c r="U9193" i="2"/>
  <c r="N9193" i="2"/>
  <c r="M9193" i="2"/>
  <c r="J9193" i="2"/>
  <c r="I9193" i="2"/>
  <c r="H9193" i="2"/>
  <c r="G9193" i="2"/>
  <c r="F9193" i="2"/>
  <c r="E9193" i="2"/>
  <c r="D9193" i="2"/>
  <c r="C9193" i="2"/>
  <c r="B9193" i="2"/>
  <c r="A9193" i="2"/>
  <c r="U9192" i="2"/>
  <c r="N9192" i="2"/>
  <c r="M9192" i="2"/>
  <c r="J9192" i="2"/>
  <c r="I9192" i="2"/>
  <c r="H9192" i="2"/>
  <c r="G9192" i="2"/>
  <c r="F9192" i="2"/>
  <c r="E9192" i="2"/>
  <c r="D9192" i="2"/>
  <c r="C9192" i="2"/>
  <c r="B9192" i="2"/>
  <c r="A9192" i="2"/>
  <c r="U9191" i="2"/>
  <c r="N9191" i="2"/>
  <c r="M9191" i="2"/>
  <c r="J9191" i="2"/>
  <c r="I9191" i="2"/>
  <c r="H9191" i="2"/>
  <c r="G9191" i="2"/>
  <c r="F9191" i="2"/>
  <c r="E9191" i="2"/>
  <c r="D9191" i="2"/>
  <c r="C9191" i="2"/>
  <c r="B9191" i="2"/>
  <c r="A9191" i="2"/>
  <c r="U9190" i="2"/>
  <c r="N9190" i="2"/>
  <c r="M9190" i="2"/>
  <c r="J9190" i="2"/>
  <c r="I9190" i="2"/>
  <c r="H9190" i="2"/>
  <c r="G9190" i="2"/>
  <c r="F9190" i="2"/>
  <c r="E9190" i="2"/>
  <c r="D9190" i="2"/>
  <c r="C9190" i="2"/>
  <c r="B9190" i="2"/>
  <c r="A9190" i="2"/>
  <c r="U9189" i="2"/>
  <c r="N9189" i="2"/>
  <c r="M9189" i="2"/>
  <c r="J9189" i="2"/>
  <c r="I9189" i="2"/>
  <c r="H9189" i="2"/>
  <c r="G9189" i="2"/>
  <c r="F9189" i="2"/>
  <c r="E9189" i="2"/>
  <c r="D9189" i="2"/>
  <c r="C9189" i="2"/>
  <c r="B9189" i="2"/>
  <c r="A9189" i="2"/>
  <c r="U9188" i="2"/>
  <c r="N9188" i="2"/>
  <c r="M9188" i="2"/>
  <c r="J9188" i="2"/>
  <c r="I9188" i="2"/>
  <c r="H9188" i="2"/>
  <c r="G9188" i="2"/>
  <c r="F9188" i="2"/>
  <c r="E9188" i="2"/>
  <c r="D9188" i="2"/>
  <c r="C9188" i="2"/>
  <c r="B9188" i="2"/>
  <c r="A9188" i="2"/>
  <c r="Q9187" i="2"/>
  <c r="U9187" i="2" s="1"/>
  <c r="N9187" i="2"/>
  <c r="M9187" i="2"/>
  <c r="J9187" i="2"/>
  <c r="I9187" i="2"/>
  <c r="H9187" i="2"/>
  <c r="G9187" i="2"/>
  <c r="F9187" i="2"/>
  <c r="E9187" i="2"/>
  <c r="D9187" i="2"/>
  <c r="C9187" i="2"/>
  <c r="B9187" i="2"/>
  <c r="A9187" i="2"/>
  <c r="U9186" i="2"/>
  <c r="N9186" i="2"/>
  <c r="M9186" i="2"/>
  <c r="J9186" i="2"/>
  <c r="I9186" i="2"/>
  <c r="H9186" i="2"/>
  <c r="G9186" i="2"/>
  <c r="F9186" i="2"/>
  <c r="E9186" i="2"/>
  <c r="D9186" i="2"/>
  <c r="C9186" i="2"/>
  <c r="B9186" i="2"/>
  <c r="A9186" i="2"/>
  <c r="U9185" i="2"/>
  <c r="N9185" i="2"/>
  <c r="M9185" i="2"/>
  <c r="J9185" i="2"/>
  <c r="I9185" i="2"/>
  <c r="H9185" i="2"/>
  <c r="G9185" i="2"/>
  <c r="F9185" i="2"/>
  <c r="E9185" i="2"/>
  <c r="D9185" i="2"/>
  <c r="C9185" i="2"/>
  <c r="B9185" i="2"/>
  <c r="A9185" i="2"/>
  <c r="U9184" i="2"/>
  <c r="N9184" i="2"/>
  <c r="M9184" i="2"/>
  <c r="J9184" i="2"/>
  <c r="I9184" i="2"/>
  <c r="H9184" i="2"/>
  <c r="G9184" i="2"/>
  <c r="F9184" i="2"/>
  <c r="E9184" i="2"/>
  <c r="D9184" i="2"/>
  <c r="C9184" i="2"/>
  <c r="B9184" i="2"/>
  <c r="A9184" i="2"/>
  <c r="U9183" i="2"/>
  <c r="N9183" i="2"/>
  <c r="M9183" i="2"/>
  <c r="J9183" i="2"/>
  <c r="I9183" i="2"/>
  <c r="H9183" i="2"/>
  <c r="G9183" i="2"/>
  <c r="F9183" i="2"/>
  <c r="E9183" i="2"/>
  <c r="D9183" i="2"/>
  <c r="C9183" i="2"/>
  <c r="B9183" i="2"/>
  <c r="A9183" i="2"/>
  <c r="U9182" i="2"/>
  <c r="N9182" i="2"/>
  <c r="M9182" i="2"/>
  <c r="J9182" i="2"/>
  <c r="I9182" i="2"/>
  <c r="H9182" i="2"/>
  <c r="G9182" i="2"/>
  <c r="F9182" i="2"/>
  <c r="E9182" i="2"/>
  <c r="D9182" i="2"/>
  <c r="C9182" i="2"/>
  <c r="B9182" i="2"/>
  <c r="A9182" i="2"/>
  <c r="U9181" i="2"/>
  <c r="N9181" i="2"/>
  <c r="M9181" i="2"/>
  <c r="J9181" i="2"/>
  <c r="I9181" i="2"/>
  <c r="H9181" i="2"/>
  <c r="G9181" i="2"/>
  <c r="F9181" i="2"/>
  <c r="E9181" i="2"/>
  <c r="D9181" i="2"/>
  <c r="C9181" i="2"/>
  <c r="B9181" i="2"/>
  <c r="A9181" i="2"/>
  <c r="U9180" i="2"/>
  <c r="N9180" i="2"/>
  <c r="M9180" i="2"/>
  <c r="J9180" i="2"/>
  <c r="I9180" i="2"/>
  <c r="H9180" i="2"/>
  <c r="G9180" i="2"/>
  <c r="F9180" i="2"/>
  <c r="E9180" i="2"/>
  <c r="D9180" i="2"/>
  <c r="C9180" i="2"/>
  <c r="B9180" i="2"/>
  <c r="A9180" i="2"/>
  <c r="U9179" i="2"/>
  <c r="N9179" i="2"/>
  <c r="M9179" i="2"/>
  <c r="J9179" i="2"/>
  <c r="I9179" i="2"/>
  <c r="H9179" i="2"/>
  <c r="G9179" i="2"/>
  <c r="F9179" i="2"/>
  <c r="E9179" i="2"/>
  <c r="D9179" i="2"/>
  <c r="C9179" i="2"/>
  <c r="B9179" i="2"/>
  <c r="A9179" i="2"/>
  <c r="Q9178" i="2"/>
  <c r="U9178" i="2" s="1"/>
  <c r="N9178" i="2"/>
  <c r="M9178" i="2"/>
  <c r="J9178" i="2"/>
  <c r="I9178" i="2"/>
  <c r="H9178" i="2"/>
  <c r="G9178" i="2"/>
  <c r="F9178" i="2"/>
  <c r="E9178" i="2"/>
  <c r="D9178" i="2"/>
  <c r="C9178" i="2"/>
  <c r="B9178" i="2"/>
  <c r="A9178" i="2"/>
  <c r="U9177" i="2"/>
  <c r="N9177" i="2"/>
  <c r="M9177" i="2"/>
  <c r="J9177" i="2"/>
  <c r="I9177" i="2"/>
  <c r="H9177" i="2"/>
  <c r="G9177" i="2"/>
  <c r="F9177" i="2"/>
  <c r="E9177" i="2"/>
  <c r="D9177" i="2"/>
  <c r="C9177" i="2"/>
  <c r="B9177" i="2"/>
  <c r="A9177" i="2"/>
  <c r="U9176" i="2"/>
  <c r="N9176" i="2"/>
  <c r="M9176" i="2"/>
  <c r="J9176" i="2"/>
  <c r="I9176" i="2"/>
  <c r="H9176" i="2"/>
  <c r="G9176" i="2"/>
  <c r="F9176" i="2"/>
  <c r="E9176" i="2"/>
  <c r="D9176" i="2"/>
  <c r="C9176" i="2"/>
  <c r="B9176" i="2"/>
  <c r="A9176" i="2"/>
  <c r="U9175" i="2"/>
  <c r="N9175" i="2"/>
  <c r="M9175" i="2"/>
  <c r="J9175" i="2"/>
  <c r="I9175" i="2"/>
  <c r="H9175" i="2"/>
  <c r="G9175" i="2"/>
  <c r="F9175" i="2"/>
  <c r="E9175" i="2"/>
  <c r="D9175" i="2"/>
  <c r="C9175" i="2"/>
  <c r="B9175" i="2"/>
  <c r="A9175" i="2"/>
  <c r="U9174" i="2"/>
  <c r="N9174" i="2"/>
  <c r="M9174" i="2"/>
  <c r="J9174" i="2"/>
  <c r="I9174" i="2"/>
  <c r="H9174" i="2"/>
  <c r="G9174" i="2"/>
  <c r="F9174" i="2"/>
  <c r="E9174" i="2"/>
  <c r="D9174" i="2"/>
  <c r="C9174" i="2"/>
  <c r="B9174" i="2"/>
  <c r="A9174" i="2"/>
  <c r="Q9173" i="2"/>
  <c r="U9173" i="2" s="1"/>
  <c r="N9173" i="2"/>
  <c r="M9173" i="2"/>
  <c r="J9173" i="2"/>
  <c r="I9173" i="2"/>
  <c r="H9173" i="2"/>
  <c r="G9173" i="2"/>
  <c r="F9173" i="2"/>
  <c r="E9173" i="2"/>
  <c r="D9173" i="2"/>
  <c r="C9173" i="2"/>
  <c r="B9173" i="2"/>
  <c r="A9173" i="2"/>
  <c r="U9172" i="2"/>
  <c r="N9172" i="2"/>
  <c r="M9172" i="2"/>
  <c r="J9172" i="2"/>
  <c r="I9172" i="2"/>
  <c r="H9172" i="2"/>
  <c r="G9172" i="2"/>
  <c r="F9172" i="2"/>
  <c r="E9172" i="2"/>
  <c r="D9172" i="2"/>
  <c r="C9172" i="2"/>
  <c r="B9172" i="2"/>
  <c r="A9172" i="2"/>
  <c r="U9171" i="2"/>
  <c r="N9171" i="2"/>
  <c r="M9171" i="2"/>
  <c r="J9171" i="2"/>
  <c r="I9171" i="2"/>
  <c r="H9171" i="2"/>
  <c r="G9171" i="2"/>
  <c r="F9171" i="2"/>
  <c r="E9171" i="2"/>
  <c r="D9171" i="2"/>
  <c r="C9171" i="2"/>
  <c r="B9171" i="2"/>
  <c r="A9171" i="2"/>
  <c r="U9170" i="2"/>
  <c r="N9170" i="2"/>
  <c r="M9170" i="2"/>
  <c r="J9170" i="2"/>
  <c r="I9170" i="2"/>
  <c r="H9170" i="2"/>
  <c r="G9170" i="2"/>
  <c r="F9170" i="2"/>
  <c r="E9170" i="2"/>
  <c r="D9170" i="2"/>
  <c r="C9170" i="2"/>
  <c r="B9170" i="2"/>
  <c r="A9170" i="2"/>
  <c r="U9169" i="2"/>
  <c r="N9169" i="2"/>
  <c r="M9169" i="2"/>
  <c r="J9169" i="2"/>
  <c r="I9169" i="2"/>
  <c r="H9169" i="2"/>
  <c r="G9169" i="2"/>
  <c r="F9169" i="2"/>
  <c r="E9169" i="2"/>
  <c r="D9169" i="2"/>
  <c r="C9169" i="2"/>
  <c r="B9169" i="2"/>
  <c r="A9169" i="2"/>
  <c r="Q9168" i="2"/>
  <c r="U9168" i="2" s="1"/>
  <c r="N9168" i="2"/>
  <c r="M9168" i="2"/>
  <c r="J9168" i="2"/>
  <c r="I9168" i="2"/>
  <c r="H9168" i="2"/>
  <c r="G9168" i="2"/>
  <c r="F9168" i="2"/>
  <c r="E9168" i="2"/>
  <c r="D9168" i="2"/>
  <c r="C9168" i="2"/>
  <c r="B9168" i="2"/>
  <c r="A9168" i="2"/>
  <c r="U9167" i="2"/>
  <c r="N9167" i="2"/>
  <c r="M9167" i="2"/>
  <c r="J9167" i="2"/>
  <c r="I9167" i="2"/>
  <c r="H9167" i="2"/>
  <c r="G9167" i="2"/>
  <c r="F9167" i="2"/>
  <c r="E9167" i="2"/>
  <c r="D9167" i="2"/>
  <c r="C9167" i="2"/>
  <c r="B9167" i="2"/>
  <c r="A9167" i="2"/>
  <c r="U9166" i="2"/>
  <c r="N9166" i="2"/>
  <c r="M9166" i="2"/>
  <c r="J9166" i="2"/>
  <c r="I9166" i="2"/>
  <c r="H9166" i="2"/>
  <c r="G9166" i="2"/>
  <c r="F9166" i="2"/>
  <c r="E9166" i="2"/>
  <c r="D9166" i="2"/>
  <c r="C9166" i="2"/>
  <c r="B9166" i="2"/>
  <c r="A9166" i="2"/>
  <c r="U9165" i="2"/>
  <c r="N9165" i="2"/>
  <c r="M9165" i="2"/>
  <c r="J9165" i="2"/>
  <c r="I9165" i="2"/>
  <c r="H9165" i="2"/>
  <c r="G9165" i="2"/>
  <c r="F9165" i="2"/>
  <c r="E9165" i="2"/>
  <c r="D9165" i="2"/>
  <c r="C9165" i="2"/>
  <c r="B9165" i="2"/>
  <c r="A9165" i="2"/>
  <c r="U9164" i="2"/>
  <c r="N9164" i="2"/>
  <c r="M9164" i="2"/>
  <c r="J9164" i="2"/>
  <c r="I9164" i="2"/>
  <c r="H9164" i="2"/>
  <c r="G9164" i="2"/>
  <c r="F9164" i="2"/>
  <c r="E9164" i="2"/>
  <c r="D9164" i="2"/>
  <c r="C9164" i="2"/>
  <c r="B9164" i="2"/>
  <c r="A9164" i="2"/>
  <c r="U9163" i="2"/>
  <c r="N9163" i="2"/>
  <c r="M9163" i="2"/>
  <c r="J9163" i="2"/>
  <c r="I9163" i="2"/>
  <c r="H9163" i="2"/>
  <c r="G9163" i="2"/>
  <c r="F9163" i="2"/>
  <c r="E9163" i="2"/>
  <c r="D9163" i="2"/>
  <c r="C9163" i="2"/>
  <c r="B9163" i="2"/>
  <c r="A9163" i="2"/>
  <c r="U9162" i="2"/>
  <c r="N9162" i="2"/>
  <c r="M9162" i="2"/>
  <c r="J9162" i="2"/>
  <c r="I9162" i="2"/>
  <c r="H9162" i="2"/>
  <c r="G9162" i="2"/>
  <c r="F9162" i="2"/>
  <c r="E9162" i="2"/>
  <c r="D9162" i="2"/>
  <c r="C9162" i="2"/>
  <c r="B9162" i="2"/>
  <c r="A9162" i="2"/>
  <c r="U9161" i="2"/>
  <c r="N9161" i="2"/>
  <c r="M9161" i="2"/>
  <c r="J9161" i="2"/>
  <c r="I9161" i="2"/>
  <c r="H9161" i="2"/>
  <c r="G9161" i="2"/>
  <c r="F9161" i="2"/>
  <c r="E9161" i="2"/>
  <c r="D9161" i="2"/>
  <c r="C9161" i="2"/>
  <c r="B9161" i="2"/>
  <c r="A9161" i="2"/>
  <c r="U9160" i="2"/>
  <c r="N9160" i="2"/>
  <c r="M9160" i="2"/>
  <c r="J9160" i="2"/>
  <c r="I9160" i="2"/>
  <c r="H9160" i="2"/>
  <c r="G9160" i="2"/>
  <c r="F9160" i="2"/>
  <c r="E9160" i="2"/>
  <c r="D9160" i="2"/>
  <c r="C9160" i="2"/>
  <c r="B9160" i="2"/>
  <c r="A9160" i="2"/>
  <c r="U9159" i="2"/>
  <c r="N9159" i="2"/>
  <c r="M9159" i="2"/>
  <c r="J9159" i="2"/>
  <c r="I9159" i="2"/>
  <c r="H9159" i="2"/>
  <c r="G9159" i="2"/>
  <c r="F9159" i="2"/>
  <c r="E9159" i="2"/>
  <c r="D9159" i="2"/>
  <c r="C9159" i="2"/>
  <c r="B9159" i="2"/>
  <c r="A9159" i="2"/>
  <c r="U9158" i="2"/>
  <c r="N9158" i="2"/>
  <c r="M9158" i="2"/>
  <c r="J9158" i="2"/>
  <c r="I9158" i="2"/>
  <c r="H9158" i="2"/>
  <c r="G9158" i="2"/>
  <c r="F9158" i="2"/>
  <c r="E9158" i="2"/>
  <c r="D9158" i="2"/>
  <c r="C9158" i="2"/>
  <c r="B9158" i="2"/>
  <c r="A9158" i="2"/>
  <c r="U9157" i="2"/>
  <c r="N9157" i="2"/>
  <c r="M9157" i="2"/>
  <c r="J9157" i="2"/>
  <c r="I9157" i="2"/>
  <c r="H9157" i="2"/>
  <c r="G9157" i="2"/>
  <c r="F9157" i="2"/>
  <c r="E9157" i="2"/>
  <c r="D9157" i="2"/>
  <c r="C9157" i="2"/>
  <c r="B9157" i="2"/>
  <c r="A9157" i="2"/>
  <c r="U9156" i="2"/>
  <c r="N9156" i="2"/>
  <c r="M9156" i="2"/>
  <c r="J9156" i="2"/>
  <c r="I9156" i="2"/>
  <c r="H9156" i="2"/>
  <c r="G9156" i="2"/>
  <c r="F9156" i="2"/>
  <c r="E9156" i="2"/>
  <c r="D9156" i="2"/>
  <c r="C9156" i="2"/>
  <c r="B9156" i="2"/>
  <c r="A9156" i="2"/>
  <c r="U9155" i="2"/>
  <c r="N9155" i="2"/>
  <c r="M9155" i="2"/>
  <c r="J9155" i="2"/>
  <c r="I9155" i="2"/>
  <c r="H9155" i="2"/>
  <c r="G9155" i="2"/>
  <c r="F9155" i="2"/>
  <c r="E9155" i="2"/>
  <c r="D9155" i="2"/>
  <c r="C9155" i="2"/>
  <c r="B9155" i="2"/>
  <c r="A9155" i="2"/>
  <c r="U9154" i="2"/>
  <c r="N9154" i="2"/>
  <c r="M9154" i="2"/>
  <c r="J9154" i="2"/>
  <c r="I9154" i="2"/>
  <c r="H9154" i="2"/>
  <c r="G9154" i="2"/>
  <c r="F9154" i="2"/>
  <c r="E9154" i="2"/>
  <c r="D9154" i="2"/>
  <c r="C9154" i="2"/>
  <c r="B9154" i="2"/>
  <c r="A9154" i="2"/>
  <c r="U9153" i="2"/>
  <c r="N9153" i="2"/>
  <c r="M9153" i="2"/>
  <c r="J9153" i="2"/>
  <c r="I9153" i="2"/>
  <c r="H9153" i="2"/>
  <c r="G9153" i="2"/>
  <c r="F9153" i="2"/>
  <c r="E9153" i="2"/>
  <c r="D9153" i="2"/>
  <c r="C9153" i="2"/>
  <c r="B9153" i="2"/>
  <c r="A9153" i="2"/>
  <c r="Q9152" i="2"/>
  <c r="U9152" i="2" s="1"/>
  <c r="N9152" i="2"/>
  <c r="M9152" i="2"/>
  <c r="J9152" i="2"/>
  <c r="I9152" i="2"/>
  <c r="H9152" i="2"/>
  <c r="G9152" i="2"/>
  <c r="F9152" i="2"/>
  <c r="E9152" i="2"/>
  <c r="D9152" i="2"/>
  <c r="C9152" i="2"/>
  <c r="B9152" i="2"/>
  <c r="A9152" i="2"/>
  <c r="U9151" i="2"/>
  <c r="N9151" i="2"/>
  <c r="M9151" i="2"/>
  <c r="J9151" i="2"/>
  <c r="I9151" i="2"/>
  <c r="H9151" i="2"/>
  <c r="G9151" i="2"/>
  <c r="F9151" i="2"/>
  <c r="E9151" i="2"/>
  <c r="D9151" i="2"/>
  <c r="C9151" i="2"/>
  <c r="B9151" i="2"/>
  <c r="A9151" i="2"/>
  <c r="U9150" i="2"/>
  <c r="N9150" i="2"/>
  <c r="M9150" i="2"/>
  <c r="J9150" i="2"/>
  <c r="I9150" i="2"/>
  <c r="H9150" i="2"/>
  <c r="G9150" i="2"/>
  <c r="F9150" i="2"/>
  <c r="E9150" i="2"/>
  <c r="D9150" i="2"/>
  <c r="C9150" i="2"/>
  <c r="B9150" i="2"/>
  <c r="A9150" i="2"/>
  <c r="U9149" i="2"/>
  <c r="N9149" i="2"/>
  <c r="M9149" i="2"/>
  <c r="J9149" i="2"/>
  <c r="I9149" i="2"/>
  <c r="H9149" i="2"/>
  <c r="G9149" i="2"/>
  <c r="F9149" i="2"/>
  <c r="E9149" i="2"/>
  <c r="D9149" i="2"/>
  <c r="C9149" i="2"/>
  <c r="B9149" i="2"/>
  <c r="A9149" i="2"/>
  <c r="U9148" i="2"/>
  <c r="N9148" i="2"/>
  <c r="M9148" i="2"/>
  <c r="J9148" i="2"/>
  <c r="I9148" i="2"/>
  <c r="H9148" i="2"/>
  <c r="G9148" i="2"/>
  <c r="F9148" i="2"/>
  <c r="E9148" i="2"/>
  <c r="D9148" i="2"/>
  <c r="C9148" i="2"/>
  <c r="B9148" i="2"/>
  <c r="A9148" i="2"/>
  <c r="U9147" i="2"/>
  <c r="N9147" i="2"/>
  <c r="M9147" i="2"/>
  <c r="J9147" i="2"/>
  <c r="I9147" i="2"/>
  <c r="H9147" i="2"/>
  <c r="G9147" i="2"/>
  <c r="F9147" i="2"/>
  <c r="E9147" i="2"/>
  <c r="D9147" i="2"/>
  <c r="C9147" i="2"/>
  <c r="B9147" i="2"/>
  <c r="A9147" i="2"/>
  <c r="U9146" i="2"/>
  <c r="N9146" i="2"/>
  <c r="M9146" i="2"/>
  <c r="J9146" i="2"/>
  <c r="I9146" i="2"/>
  <c r="H9146" i="2"/>
  <c r="G9146" i="2"/>
  <c r="F9146" i="2"/>
  <c r="E9146" i="2"/>
  <c r="D9146" i="2"/>
  <c r="C9146" i="2"/>
  <c r="B9146" i="2"/>
  <c r="A9146" i="2"/>
  <c r="U9145" i="2"/>
  <c r="N9145" i="2"/>
  <c r="M9145" i="2"/>
  <c r="J9145" i="2"/>
  <c r="I9145" i="2"/>
  <c r="H9145" i="2"/>
  <c r="G9145" i="2"/>
  <c r="F9145" i="2"/>
  <c r="E9145" i="2"/>
  <c r="D9145" i="2"/>
  <c r="C9145" i="2"/>
  <c r="B9145" i="2"/>
  <c r="A9145" i="2"/>
  <c r="U9144" i="2"/>
  <c r="N9144" i="2"/>
  <c r="M9144" i="2"/>
  <c r="J9144" i="2"/>
  <c r="I9144" i="2"/>
  <c r="H9144" i="2"/>
  <c r="G9144" i="2"/>
  <c r="F9144" i="2"/>
  <c r="E9144" i="2"/>
  <c r="D9144" i="2"/>
  <c r="C9144" i="2"/>
  <c r="B9144" i="2"/>
  <c r="A9144" i="2"/>
  <c r="U9143" i="2"/>
  <c r="N9143" i="2"/>
  <c r="M9143" i="2"/>
  <c r="J9143" i="2"/>
  <c r="I9143" i="2"/>
  <c r="H9143" i="2"/>
  <c r="G9143" i="2"/>
  <c r="F9143" i="2"/>
  <c r="E9143" i="2"/>
  <c r="D9143" i="2"/>
  <c r="C9143" i="2"/>
  <c r="B9143" i="2"/>
  <c r="A9143" i="2"/>
  <c r="U9142" i="2"/>
  <c r="N9142" i="2"/>
  <c r="M9142" i="2"/>
  <c r="J9142" i="2"/>
  <c r="I9142" i="2"/>
  <c r="H9142" i="2"/>
  <c r="G9142" i="2"/>
  <c r="F9142" i="2"/>
  <c r="E9142" i="2"/>
  <c r="D9142" i="2"/>
  <c r="C9142" i="2"/>
  <c r="B9142" i="2"/>
  <c r="A9142" i="2"/>
  <c r="U9141" i="2"/>
  <c r="N9141" i="2"/>
  <c r="M9141" i="2"/>
  <c r="J9141" i="2"/>
  <c r="I9141" i="2"/>
  <c r="H9141" i="2"/>
  <c r="G9141" i="2"/>
  <c r="F9141" i="2"/>
  <c r="E9141" i="2"/>
  <c r="D9141" i="2"/>
  <c r="C9141" i="2"/>
  <c r="B9141" i="2"/>
  <c r="A9141" i="2"/>
  <c r="U9140" i="2"/>
  <c r="N9140" i="2"/>
  <c r="M9140" i="2"/>
  <c r="J9140" i="2"/>
  <c r="I9140" i="2"/>
  <c r="H9140" i="2"/>
  <c r="G9140" i="2"/>
  <c r="F9140" i="2"/>
  <c r="E9140" i="2"/>
  <c r="D9140" i="2"/>
  <c r="C9140" i="2"/>
  <c r="B9140" i="2"/>
  <c r="A9140" i="2"/>
  <c r="Q9139" i="2"/>
  <c r="U9139" i="2" s="1"/>
  <c r="N9139" i="2"/>
  <c r="M9139" i="2"/>
  <c r="J9139" i="2"/>
  <c r="I9139" i="2"/>
  <c r="H9139" i="2"/>
  <c r="G9139" i="2"/>
  <c r="F9139" i="2"/>
  <c r="E9139" i="2"/>
  <c r="D9139" i="2"/>
  <c r="C9139" i="2"/>
  <c r="B9139" i="2"/>
  <c r="A9139" i="2"/>
  <c r="U9138" i="2"/>
  <c r="N9138" i="2"/>
  <c r="M9138" i="2"/>
  <c r="J9138" i="2"/>
  <c r="I9138" i="2"/>
  <c r="H9138" i="2"/>
  <c r="G9138" i="2"/>
  <c r="F9138" i="2"/>
  <c r="E9138" i="2"/>
  <c r="D9138" i="2"/>
  <c r="C9138" i="2"/>
  <c r="B9138" i="2"/>
  <c r="A9138" i="2"/>
  <c r="U9137" i="2"/>
  <c r="N9137" i="2"/>
  <c r="M9137" i="2"/>
  <c r="J9137" i="2"/>
  <c r="I9137" i="2"/>
  <c r="H9137" i="2"/>
  <c r="G9137" i="2"/>
  <c r="F9137" i="2"/>
  <c r="E9137" i="2"/>
  <c r="D9137" i="2"/>
  <c r="C9137" i="2"/>
  <c r="B9137" i="2"/>
  <c r="A9137" i="2"/>
  <c r="U9136" i="2"/>
  <c r="N9136" i="2"/>
  <c r="M9136" i="2"/>
  <c r="J9136" i="2"/>
  <c r="I9136" i="2"/>
  <c r="H9136" i="2"/>
  <c r="G9136" i="2"/>
  <c r="F9136" i="2"/>
  <c r="E9136" i="2"/>
  <c r="D9136" i="2"/>
  <c r="C9136" i="2"/>
  <c r="B9136" i="2"/>
  <c r="A9136" i="2"/>
  <c r="U9135" i="2"/>
  <c r="N9135" i="2"/>
  <c r="M9135" i="2"/>
  <c r="J9135" i="2"/>
  <c r="I9135" i="2"/>
  <c r="H9135" i="2"/>
  <c r="G9135" i="2"/>
  <c r="F9135" i="2"/>
  <c r="E9135" i="2"/>
  <c r="D9135" i="2"/>
  <c r="C9135" i="2"/>
  <c r="B9135" i="2"/>
  <c r="A9135" i="2"/>
  <c r="U9134" i="2"/>
  <c r="N9134" i="2"/>
  <c r="M9134" i="2"/>
  <c r="J9134" i="2"/>
  <c r="I9134" i="2"/>
  <c r="H9134" i="2"/>
  <c r="G9134" i="2"/>
  <c r="F9134" i="2"/>
  <c r="E9134" i="2"/>
  <c r="D9134" i="2"/>
  <c r="C9134" i="2"/>
  <c r="B9134" i="2"/>
  <c r="A9134" i="2"/>
  <c r="U9133" i="2"/>
  <c r="N9133" i="2"/>
  <c r="M9133" i="2"/>
  <c r="J9133" i="2"/>
  <c r="I9133" i="2"/>
  <c r="H9133" i="2"/>
  <c r="G9133" i="2"/>
  <c r="F9133" i="2"/>
  <c r="E9133" i="2"/>
  <c r="D9133" i="2"/>
  <c r="C9133" i="2"/>
  <c r="B9133" i="2"/>
  <c r="A9133" i="2"/>
  <c r="U9132" i="2"/>
  <c r="N9132" i="2"/>
  <c r="M9132" i="2"/>
  <c r="J9132" i="2"/>
  <c r="I9132" i="2"/>
  <c r="H9132" i="2"/>
  <c r="G9132" i="2"/>
  <c r="F9132" i="2"/>
  <c r="E9132" i="2"/>
  <c r="D9132" i="2"/>
  <c r="C9132" i="2"/>
  <c r="B9132" i="2"/>
  <c r="A9132" i="2"/>
  <c r="U9131" i="2"/>
  <c r="N9131" i="2"/>
  <c r="M9131" i="2"/>
  <c r="J9131" i="2"/>
  <c r="I9131" i="2"/>
  <c r="H9131" i="2"/>
  <c r="G9131" i="2"/>
  <c r="F9131" i="2"/>
  <c r="E9131" i="2"/>
  <c r="D9131" i="2"/>
  <c r="C9131" i="2"/>
  <c r="B9131" i="2"/>
  <c r="A9131" i="2"/>
  <c r="U9130" i="2"/>
  <c r="N9130" i="2"/>
  <c r="M9130" i="2"/>
  <c r="J9130" i="2"/>
  <c r="I9130" i="2"/>
  <c r="H9130" i="2"/>
  <c r="G9130" i="2"/>
  <c r="F9130" i="2"/>
  <c r="E9130" i="2"/>
  <c r="D9130" i="2"/>
  <c r="C9130" i="2"/>
  <c r="B9130" i="2"/>
  <c r="A9130" i="2"/>
  <c r="U9129" i="2"/>
  <c r="N9129" i="2"/>
  <c r="M9129" i="2"/>
  <c r="J9129" i="2"/>
  <c r="I9129" i="2"/>
  <c r="H9129" i="2"/>
  <c r="G9129" i="2"/>
  <c r="F9129" i="2"/>
  <c r="E9129" i="2"/>
  <c r="D9129" i="2"/>
  <c r="C9129" i="2"/>
  <c r="B9129" i="2"/>
  <c r="A9129" i="2"/>
  <c r="U9128" i="2"/>
  <c r="N9128" i="2"/>
  <c r="M9128" i="2"/>
  <c r="J9128" i="2"/>
  <c r="I9128" i="2"/>
  <c r="H9128" i="2"/>
  <c r="G9128" i="2"/>
  <c r="F9128" i="2"/>
  <c r="E9128" i="2"/>
  <c r="D9128" i="2"/>
  <c r="C9128" i="2"/>
  <c r="B9128" i="2"/>
  <c r="A9128" i="2"/>
  <c r="U9127" i="2"/>
  <c r="N9127" i="2"/>
  <c r="M9127" i="2"/>
  <c r="J9127" i="2"/>
  <c r="I9127" i="2"/>
  <c r="H9127" i="2"/>
  <c r="G9127" i="2"/>
  <c r="F9127" i="2"/>
  <c r="E9127" i="2"/>
  <c r="D9127" i="2"/>
  <c r="C9127" i="2"/>
  <c r="B9127" i="2"/>
  <c r="A9127" i="2"/>
  <c r="U9126" i="2"/>
  <c r="N9126" i="2"/>
  <c r="M9126" i="2"/>
  <c r="J9126" i="2"/>
  <c r="I9126" i="2"/>
  <c r="H9126" i="2"/>
  <c r="G9126" i="2"/>
  <c r="F9126" i="2"/>
  <c r="E9126" i="2"/>
  <c r="D9126" i="2"/>
  <c r="C9126" i="2"/>
  <c r="B9126" i="2"/>
  <c r="A9126" i="2"/>
  <c r="U9125" i="2"/>
  <c r="N9125" i="2"/>
  <c r="M9125" i="2"/>
  <c r="J9125" i="2"/>
  <c r="I9125" i="2"/>
  <c r="H9125" i="2"/>
  <c r="G9125" i="2"/>
  <c r="F9125" i="2"/>
  <c r="E9125" i="2"/>
  <c r="D9125" i="2"/>
  <c r="C9125" i="2"/>
  <c r="B9125" i="2"/>
  <c r="A9125" i="2"/>
  <c r="U9124" i="2"/>
  <c r="N9124" i="2"/>
  <c r="M9124" i="2"/>
  <c r="J9124" i="2"/>
  <c r="I9124" i="2"/>
  <c r="H9124" i="2"/>
  <c r="G9124" i="2"/>
  <c r="F9124" i="2"/>
  <c r="E9124" i="2"/>
  <c r="D9124" i="2"/>
  <c r="C9124" i="2"/>
  <c r="B9124" i="2"/>
  <c r="A9124" i="2"/>
  <c r="U9123" i="2"/>
  <c r="N9123" i="2"/>
  <c r="M9123" i="2"/>
  <c r="J9123" i="2"/>
  <c r="I9123" i="2"/>
  <c r="H9123" i="2"/>
  <c r="G9123" i="2"/>
  <c r="F9123" i="2"/>
  <c r="E9123" i="2"/>
  <c r="D9123" i="2"/>
  <c r="C9123" i="2"/>
  <c r="B9123" i="2"/>
  <c r="A9123" i="2"/>
  <c r="U9122" i="2"/>
  <c r="N9122" i="2"/>
  <c r="M9122" i="2"/>
  <c r="J9122" i="2"/>
  <c r="I9122" i="2"/>
  <c r="H9122" i="2"/>
  <c r="G9122" i="2"/>
  <c r="F9122" i="2"/>
  <c r="E9122" i="2"/>
  <c r="D9122" i="2"/>
  <c r="C9122" i="2"/>
  <c r="B9122" i="2"/>
  <c r="A9122" i="2"/>
  <c r="U9121" i="2"/>
  <c r="N9121" i="2"/>
  <c r="M9121" i="2"/>
  <c r="J9121" i="2"/>
  <c r="I9121" i="2"/>
  <c r="H9121" i="2"/>
  <c r="G9121" i="2"/>
  <c r="F9121" i="2"/>
  <c r="E9121" i="2"/>
  <c r="D9121" i="2"/>
  <c r="C9121" i="2"/>
  <c r="B9121" i="2"/>
  <c r="A9121" i="2"/>
  <c r="U9120" i="2"/>
  <c r="N9120" i="2"/>
  <c r="M9120" i="2"/>
  <c r="J9120" i="2"/>
  <c r="I9120" i="2"/>
  <c r="H9120" i="2"/>
  <c r="G9120" i="2"/>
  <c r="F9120" i="2"/>
  <c r="E9120" i="2"/>
  <c r="D9120" i="2"/>
  <c r="C9120" i="2"/>
  <c r="B9120" i="2"/>
  <c r="A9120" i="2"/>
  <c r="U9119" i="2"/>
  <c r="N9119" i="2"/>
  <c r="M9119" i="2"/>
  <c r="J9119" i="2"/>
  <c r="I9119" i="2"/>
  <c r="H9119" i="2"/>
  <c r="G9119" i="2"/>
  <c r="F9119" i="2"/>
  <c r="E9119" i="2"/>
  <c r="D9119" i="2"/>
  <c r="C9119" i="2"/>
  <c r="B9119" i="2"/>
  <c r="A9119" i="2"/>
  <c r="U9118" i="2"/>
  <c r="N9118" i="2"/>
  <c r="M9118" i="2"/>
  <c r="J9118" i="2"/>
  <c r="I9118" i="2"/>
  <c r="H9118" i="2"/>
  <c r="G9118" i="2"/>
  <c r="F9118" i="2"/>
  <c r="E9118" i="2"/>
  <c r="D9118" i="2"/>
  <c r="C9118" i="2"/>
  <c r="B9118" i="2"/>
  <c r="A9118" i="2"/>
  <c r="U9117" i="2"/>
  <c r="N9117" i="2"/>
  <c r="M9117" i="2"/>
  <c r="J9117" i="2"/>
  <c r="I9117" i="2"/>
  <c r="H9117" i="2"/>
  <c r="G9117" i="2"/>
  <c r="F9117" i="2"/>
  <c r="E9117" i="2"/>
  <c r="D9117" i="2"/>
  <c r="C9117" i="2"/>
  <c r="B9117" i="2"/>
  <c r="A9117" i="2"/>
  <c r="U9116" i="2"/>
  <c r="N9116" i="2"/>
  <c r="M9116" i="2"/>
  <c r="J9116" i="2"/>
  <c r="I9116" i="2"/>
  <c r="H9116" i="2"/>
  <c r="G9116" i="2"/>
  <c r="F9116" i="2"/>
  <c r="E9116" i="2"/>
  <c r="D9116" i="2"/>
  <c r="C9116" i="2"/>
  <c r="B9116" i="2"/>
  <c r="A9116" i="2"/>
  <c r="U9115" i="2"/>
  <c r="N9115" i="2"/>
  <c r="M9115" i="2"/>
  <c r="J9115" i="2"/>
  <c r="I9115" i="2"/>
  <c r="H9115" i="2"/>
  <c r="G9115" i="2"/>
  <c r="F9115" i="2"/>
  <c r="E9115" i="2"/>
  <c r="D9115" i="2"/>
  <c r="C9115" i="2"/>
  <c r="B9115" i="2"/>
  <c r="A9115" i="2"/>
  <c r="U9114" i="2"/>
  <c r="N9114" i="2"/>
  <c r="M9114" i="2"/>
  <c r="J9114" i="2"/>
  <c r="I9114" i="2"/>
  <c r="H9114" i="2"/>
  <c r="G9114" i="2"/>
  <c r="F9114" i="2"/>
  <c r="E9114" i="2"/>
  <c r="D9114" i="2"/>
  <c r="C9114" i="2"/>
  <c r="B9114" i="2"/>
  <c r="A9114" i="2"/>
  <c r="U9113" i="2"/>
  <c r="N9113" i="2"/>
  <c r="M9113" i="2"/>
  <c r="J9113" i="2"/>
  <c r="I9113" i="2"/>
  <c r="H9113" i="2"/>
  <c r="G9113" i="2"/>
  <c r="F9113" i="2"/>
  <c r="E9113" i="2"/>
  <c r="D9113" i="2"/>
  <c r="C9113" i="2"/>
  <c r="B9113" i="2"/>
  <c r="A9113" i="2"/>
  <c r="U9112" i="2"/>
  <c r="N9112" i="2"/>
  <c r="M9112" i="2"/>
  <c r="J9112" i="2"/>
  <c r="I9112" i="2"/>
  <c r="H9112" i="2"/>
  <c r="G9112" i="2"/>
  <c r="F9112" i="2"/>
  <c r="E9112" i="2"/>
  <c r="D9112" i="2"/>
  <c r="C9112" i="2"/>
  <c r="B9112" i="2"/>
  <c r="A9112" i="2"/>
  <c r="U9111" i="2"/>
  <c r="N9111" i="2"/>
  <c r="M9111" i="2"/>
  <c r="J9111" i="2"/>
  <c r="I9111" i="2"/>
  <c r="H9111" i="2"/>
  <c r="G9111" i="2"/>
  <c r="F9111" i="2"/>
  <c r="E9111" i="2"/>
  <c r="D9111" i="2"/>
  <c r="C9111" i="2"/>
  <c r="B9111" i="2"/>
  <c r="A9111" i="2"/>
  <c r="U9110" i="2"/>
  <c r="N9110" i="2"/>
  <c r="M9110" i="2"/>
  <c r="J9110" i="2"/>
  <c r="I9110" i="2"/>
  <c r="H9110" i="2"/>
  <c r="G9110" i="2"/>
  <c r="F9110" i="2"/>
  <c r="E9110" i="2"/>
  <c r="D9110" i="2"/>
  <c r="C9110" i="2"/>
  <c r="B9110" i="2"/>
  <c r="A9110" i="2"/>
  <c r="U9109" i="2"/>
  <c r="N9109" i="2"/>
  <c r="M9109" i="2"/>
  <c r="J9109" i="2"/>
  <c r="I9109" i="2"/>
  <c r="H9109" i="2"/>
  <c r="G9109" i="2"/>
  <c r="F9109" i="2"/>
  <c r="E9109" i="2"/>
  <c r="D9109" i="2"/>
  <c r="C9109" i="2"/>
  <c r="B9109" i="2"/>
  <c r="A9109" i="2"/>
  <c r="U9108" i="2"/>
  <c r="N9108" i="2"/>
  <c r="M9108" i="2"/>
  <c r="J9108" i="2"/>
  <c r="I9108" i="2"/>
  <c r="H9108" i="2"/>
  <c r="G9108" i="2"/>
  <c r="F9108" i="2"/>
  <c r="E9108" i="2"/>
  <c r="D9108" i="2"/>
  <c r="C9108" i="2"/>
  <c r="B9108" i="2"/>
  <c r="A9108" i="2"/>
  <c r="U9107" i="2"/>
  <c r="N9107" i="2"/>
  <c r="M9107" i="2"/>
  <c r="J9107" i="2"/>
  <c r="I9107" i="2"/>
  <c r="H9107" i="2"/>
  <c r="G9107" i="2"/>
  <c r="F9107" i="2"/>
  <c r="E9107" i="2"/>
  <c r="D9107" i="2"/>
  <c r="C9107" i="2"/>
  <c r="B9107" i="2"/>
  <c r="A9107" i="2"/>
  <c r="U9106" i="2"/>
  <c r="N9106" i="2"/>
  <c r="M9106" i="2"/>
  <c r="J9106" i="2"/>
  <c r="I9106" i="2"/>
  <c r="H9106" i="2"/>
  <c r="G9106" i="2"/>
  <c r="F9106" i="2"/>
  <c r="E9106" i="2"/>
  <c r="D9106" i="2"/>
  <c r="C9106" i="2"/>
  <c r="B9106" i="2"/>
  <c r="A9106" i="2"/>
  <c r="U9105" i="2"/>
  <c r="N9105" i="2"/>
  <c r="M9105" i="2"/>
  <c r="J9105" i="2"/>
  <c r="I9105" i="2"/>
  <c r="H9105" i="2"/>
  <c r="G9105" i="2"/>
  <c r="F9105" i="2"/>
  <c r="E9105" i="2"/>
  <c r="D9105" i="2"/>
  <c r="C9105" i="2"/>
  <c r="B9105" i="2"/>
  <c r="A9105" i="2"/>
  <c r="U9104" i="2"/>
  <c r="N9104" i="2"/>
  <c r="M9104" i="2"/>
  <c r="J9104" i="2"/>
  <c r="I9104" i="2"/>
  <c r="H9104" i="2"/>
  <c r="G9104" i="2"/>
  <c r="F9104" i="2"/>
  <c r="E9104" i="2"/>
  <c r="D9104" i="2"/>
  <c r="C9104" i="2"/>
  <c r="B9104" i="2"/>
  <c r="A9104" i="2"/>
  <c r="U9103" i="2"/>
  <c r="N9103" i="2"/>
  <c r="M9103" i="2"/>
  <c r="J9103" i="2"/>
  <c r="I9103" i="2"/>
  <c r="H9103" i="2"/>
  <c r="G9103" i="2"/>
  <c r="F9103" i="2"/>
  <c r="E9103" i="2"/>
  <c r="D9103" i="2"/>
  <c r="C9103" i="2"/>
  <c r="B9103" i="2"/>
  <c r="A9103" i="2"/>
  <c r="U9102" i="2"/>
  <c r="N9102" i="2"/>
  <c r="M9102" i="2"/>
  <c r="J9102" i="2"/>
  <c r="I9102" i="2"/>
  <c r="H9102" i="2"/>
  <c r="G9102" i="2"/>
  <c r="F9102" i="2"/>
  <c r="E9102" i="2"/>
  <c r="D9102" i="2"/>
  <c r="C9102" i="2"/>
  <c r="B9102" i="2"/>
  <c r="A9102" i="2"/>
  <c r="U9101" i="2"/>
  <c r="N9101" i="2"/>
  <c r="M9101" i="2"/>
  <c r="J9101" i="2"/>
  <c r="I9101" i="2"/>
  <c r="H9101" i="2"/>
  <c r="G9101" i="2"/>
  <c r="F9101" i="2"/>
  <c r="E9101" i="2"/>
  <c r="D9101" i="2"/>
  <c r="C9101" i="2"/>
  <c r="B9101" i="2"/>
  <c r="A9101" i="2"/>
  <c r="U9100" i="2"/>
  <c r="N9100" i="2"/>
  <c r="M9100" i="2"/>
  <c r="J9100" i="2"/>
  <c r="I9100" i="2"/>
  <c r="H9100" i="2"/>
  <c r="G9100" i="2"/>
  <c r="F9100" i="2"/>
  <c r="E9100" i="2"/>
  <c r="D9100" i="2"/>
  <c r="C9100" i="2"/>
  <c r="B9100" i="2"/>
  <c r="A9100" i="2"/>
  <c r="U9099" i="2"/>
  <c r="N9099" i="2"/>
  <c r="M9099" i="2"/>
  <c r="J9099" i="2"/>
  <c r="I9099" i="2"/>
  <c r="H9099" i="2"/>
  <c r="G9099" i="2"/>
  <c r="F9099" i="2"/>
  <c r="E9099" i="2"/>
  <c r="D9099" i="2"/>
  <c r="C9099" i="2"/>
  <c r="B9099" i="2"/>
  <c r="A9099" i="2"/>
  <c r="U9098" i="2"/>
  <c r="N9098" i="2"/>
  <c r="M9098" i="2"/>
  <c r="J9098" i="2"/>
  <c r="I9098" i="2"/>
  <c r="H9098" i="2"/>
  <c r="G9098" i="2"/>
  <c r="F9098" i="2"/>
  <c r="E9098" i="2"/>
  <c r="D9098" i="2"/>
  <c r="C9098" i="2"/>
  <c r="B9098" i="2"/>
  <c r="A9098" i="2"/>
  <c r="U9097" i="2"/>
  <c r="N9097" i="2"/>
  <c r="M9097" i="2"/>
  <c r="J9097" i="2"/>
  <c r="I9097" i="2"/>
  <c r="H9097" i="2"/>
  <c r="G9097" i="2"/>
  <c r="F9097" i="2"/>
  <c r="E9097" i="2"/>
  <c r="D9097" i="2"/>
  <c r="C9097" i="2"/>
  <c r="B9097" i="2"/>
  <c r="A9097" i="2"/>
  <c r="U9096" i="2"/>
  <c r="N9096" i="2"/>
  <c r="M9096" i="2"/>
  <c r="J9096" i="2"/>
  <c r="I9096" i="2"/>
  <c r="H9096" i="2"/>
  <c r="G9096" i="2"/>
  <c r="F9096" i="2"/>
  <c r="E9096" i="2"/>
  <c r="D9096" i="2"/>
  <c r="C9096" i="2"/>
  <c r="B9096" i="2"/>
  <c r="A9096" i="2"/>
  <c r="U9095" i="2"/>
  <c r="N9095" i="2"/>
  <c r="M9095" i="2"/>
  <c r="J9095" i="2"/>
  <c r="I9095" i="2"/>
  <c r="H9095" i="2"/>
  <c r="G9095" i="2"/>
  <c r="F9095" i="2"/>
  <c r="E9095" i="2"/>
  <c r="D9095" i="2"/>
  <c r="C9095" i="2"/>
  <c r="B9095" i="2"/>
  <c r="A9095" i="2"/>
  <c r="U9094" i="2"/>
  <c r="N9094" i="2"/>
  <c r="M9094" i="2"/>
  <c r="J9094" i="2"/>
  <c r="I9094" i="2"/>
  <c r="H9094" i="2"/>
  <c r="G9094" i="2"/>
  <c r="F9094" i="2"/>
  <c r="E9094" i="2"/>
  <c r="D9094" i="2"/>
  <c r="C9094" i="2"/>
  <c r="B9094" i="2"/>
  <c r="A9094" i="2"/>
  <c r="U9093" i="2"/>
  <c r="N9093" i="2"/>
  <c r="M9093" i="2"/>
  <c r="J9093" i="2"/>
  <c r="I9093" i="2"/>
  <c r="H9093" i="2"/>
  <c r="G9093" i="2"/>
  <c r="F9093" i="2"/>
  <c r="E9093" i="2"/>
  <c r="D9093" i="2"/>
  <c r="C9093" i="2"/>
  <c r="B9093" i="2"/>
  <c r="A9093" i="2"/>
  <c r="U9092" i="2"/>
  <c r="N9092" i="2"/>
  <c r="M9092" i="2"/>
  <c r="J9092" i="2"/>
  <c r="I9092" i="2"/>
  <c r="H9092" i="2"/>
  <c r="G9092" i="2"/>
  <c r="F9092" i="2"/>
  <c r="E9092" i="2"/>
  <c r="D9092" i="2"/>
  <c r="C9092" i="2"/>
  <c r="B9092" i="2"/>
  <c r="A9092" i="2"/>
  <c r="U9091" i="2"/>
  <c r="N9091" i="2"/>
  <c r="M9091" i="2"/>
  <c r="J9091" i="2"/>
  <c r="I9091" i="2"/>
  <c r="H9091" i="2"/>
  <c r="G9091" i="2"/>
  <c r="F9091" i="2"/>
  <c r="E9091" i="2"/>
  <c r="D9091" i="2"/>
  <c r="C9091" i="2"/>
  <c r="B9091" i="2"/>
  <c r="A9091" i="2"/>
  <c r="U9090" i="2"/>
  <c r="N9090" i="2"/>
  <c r="M9090" i="2"/>
  <c r="J9090" i="2"/>
  <c r="I9090" i="2"/>
  <c r="H9090" i="2"/>
  <c r="G9090" i="2"/>
  <c r="F9090" i="2"/>
  <c r="E9090" i="2"/>
  <c r="D9090" i="2"/>
  <c r="C9090" i="2"/>
  <c r="B9090" i="2"/>
  <c r="A9090" i="2"/>
  <c r="U9089" i="2"/>
  <c r="N9089" i="2"/>
  <c r="M9089" i="2"/>
  <c r="J9089" i="2"/>
  <c r="I9089" i="2"/>
  <c r="H9089" i="2"/>
  <c r="G9089" i="2"/>
  <c r="F9089" i="2"/>
  <c r="E9089" i="2"/>
  <c r="D9089" i="2"/>
  <c r="C9089" i="2"/>
  <c r="B9089" i="2"/>
  <c r="A9089" i="2"/>
  <c r="U9088" i="2"/>
  <c r="N9088" i="2"/>
  <c r="M9088" i="2"/>
  <c r="J9088" i="2"/>
  <c r="I9088" i="2"/>
  <c r="H9088" i="2"/>
  <c r="G9088" i="2"/>
  <c r="F9088" i="2"/>
  <c r="E9088" i="2"/>
  <c r="D9088" i="2"/>
  <c r="C9088" i="2"/>
  <c r="B9088" i="2"/>
  <c r="A9088" i="2"/>
  <c r="U9087" i="2"/>
  <c r="N9087" i="2"/>
  <c r="M9087" i="2"/>
  <c r="J9087" i="2"/>
  <c r="I9087" i="2"/>
  <c r="H9087" i="2"/>
  <c r="G9087" i="2"/>
  <c r="F9087" i="2"/>
  <c r="E9087" i="2"/>
  <c r="D9087" i="2"/>
  <c r="C9087" i="2"/>
  <c r="B9087" i="2"/>
  <c r="A9087" i="2"/>
  <c r="U9086" i="2"/>
  <c r="N9086" i="2"/>
  <c r="M9086" i="2"/>
  <c r="J9086" i="2"/>
  <c r="I9086" i="2"/>
  <c r="H9086" i="2"/>
  <c r="G9086" i="2"/>
  <c r="F9086" i="2"/>
  <c r="E9086" i="2"/>
  <c r="D9086" i="2"/>
  <c r="C9086" i="2"/>
  <c r="B9086" i="2"/>
  <c r="A9086" i="2"/>
  <c r="U9085" i="2"/>
  <c r="N9085" i="2"/>
  <c r="M9085" i="2"/>
  <c r="J9085" i="2"/>
  <c r="I9085" i="2"/>
  <c r="H9085" i="2"/>
  <c r="G9085" i="2"/>
  <c r="F9085" i="2"/>
  <c r="E9085" i="2"/>
  <c r="D9085" i="2"/>
  <c r="C9085" i="2"/>
  <c r="B9085" i="2"/>
  <c r="A9085" i="2"/>
  <c r="U9084" i="2"/>
  <c r="N9084" i="2"/>
  <c r="M9084" i="2"/>
  <c r="J9084" i="2"/>
  <c r="I9084" i="2"/>
  <c r="H9084" i="2"/>
  <c r="G9084" i="2"/>
  <c r="F9084" i="2"/>
  <c r="E9084" i="2"/>
  <c r="D9084" i="2"/>
  <c r="C9084" i="2"/>
  <c r="B9084" i="2"/>
  <c r="A9084" i="2"/>
  <c r="U9083" i="2"/>
  <c r="N9083" i="2"/>
  <c r="M9083" i="2"/>
  <c r="J9083" i="2"/>
  <c r="I9083" i="2"/>
  <c r="H9083" i="2"/>
  <c r="G9083" i="2"/>
  <c r="F9083" i="2"/>
  <c r="E9083" i="2"/>
  <c r="D9083" i="2"/>
  <c r="C9083" i="2"/>
  <c r="B9083" i="2"/>
  <c r="A9083" i="2"/>
  <c r="U9082" i="2"/>
  <c r="N9082" i="2"/>
  <c r="M9082" i="2"/>
  <c r="J9082" i="2"/>
  <c r="I9082" i="2"/>
  <c r="H9082" i="2"/>
  <c r="G9082" i="2"/>
  <c r="F9082" i="2"/>
  <c r="E9082" i="2"/>
  <c r="D9082" i="2"/>
  <c r="C9082" i="2"/>
  <c r="B9082" i="2"/>
  <c r="A9082" i="2"/>
  <c r="U9081" i="2"/>
  <c r="N9081" i="2"/>
  <c r="M9081" i="2"/>
  <c r="J9081" i="2"/>
  <c r="I9081" i="2"/>
  <c r="H9081" i="2"/>
  <c r="G9081" i="2"/>
  <c r="F9081" i="2"/>
  <c r="E9081" i="2"/>
  <c r="D9081" i="2"/>
  <c r="C9081" i="2"/>
  <c r="B9081" i="2"/>
  <c r="A9081" i="2"/>
  <c r="R9080" i="2"/>
  <c r="Q9080" i="2"/>
  <c r="N9080" i="2"/>
  <c r="M9080" i="2"/>
  <c r="J9080" i="2"/>
  <c r="I9080" i="2"/>
  <c r="H9080" i="2"/>
  <c r="G9080" i="2"/>
  <c r="F9080" i="2"/>
  <c r="E9080" i="2"/>
  <c r="D9080" i="2"/>
  <c r="C9080" i="2"/>
  <c r="B9080" i="2"/>
  <c r="A9080" i="2"/>
  <c r="R9079" i="2"/>
  <c r="Q9079" i="2"/>
  <c r="N9079" i="2"/>
  <c r="M9079" i="2"/>
  <c r="J9079" i="2"/>
  <c r="I9079" i="2"/>
  <c r="H9079" i="2"/>
  <c r="G9079" i="2"/>
  <c r="F9079" i="2"/>
  <c r="E9079" i="2"/>
  <c r="D9079" i="2"/>
  <c r="C9079" i="2"/>
  <c r="B9079" i="2"/>
  <c r="A9079" i="2"/>
  <c r="R9078" i="2"/>
  <c r="Q9078" i="2"/>
  <c r="N9078" i="2"/>
  <c r="M9078" i="2"/>
  <c r="J9078" i="2"/>
  <c r="I9078" i="2"/>
  <c r="H9078" i="2"/>
  <c r="G9078" i="2"/>
  <c r="F9078" i="2"/>
  <c r="E9078" i="2"/>
  <c r="D9078" i="2"/>
  <c r="C9078" i="2"/>
  <c r="B9078" i="2"/>
  <c r="A9078" i="2"/>
  <c r="R9077" i="2"/>
  <c r="Q9077" i="2"/>
  <c r="N9077" i="2"/>
  <c r="M9077" i="2"/>
  <c r="J9077" i="2"/>
  <c r="I9077" i="2"/>
  <c r="H9077" i="2"/>
  <c r="G9077" i="2"/>
  <c r="F9077" i="2"/>
  <c r="E9077" i="2"/>
  <c r="D9077" i="2"/>
  <c r="C9077" i="2"/>
  <c r="B9077" i="2"/>
  <c r="A9077" i="2"/>
  <c r="R9076" i="2"/>
  <c r="Q9076" i="2"/>
  <c r="N9076" i="2"/>
  <c r="M9076" i="2"/>
  <c r="J9076" i="2"/>
  <c r="I9076" i="2"/>
  <c r="H9076" i="2"/>
  <c r="G9076" i="2"/>
  <c r="F9076" i="2"/>
  <c r="E9076" i="2"/>
  <c r="D9076" i="2"/>
  <c r="C9076" i="2"/>
  <c r="B9076" i="2"/>
  <c r="A9076" i="2"/>
  <c r="R9075" i="2"/>
  <c r="U9075" i="2" s="1"/>
  <c r="Q9075" i="2"/>
  <c r="N9075" i="2"/>
  <c r="M9075" i="2"/>
  <c r="J9075" i="2"/>
  <c r="I9075" i="2"/>
  <c r="H9075" i="2"/>
  <c r="G9075" i="2"/>
  <c r="F9075" i="2"/>
  <c r="E9075" i="2"/>
  <c r="D9075" i="2"/>
  <c r="C9075" i="2"/>
  <c r="B9075" i="2"/>
  <c r="A9075" i="2"/>
  <c r="Q9074" i="2"/>
  <c r="U9074" i="2" s="1"/>
  <c r="N9074" i="2"/>
  <c r="M9074" i="2"/>
  <c r="J9074" i="2"/>
  <c r="I9074" i="2"/>
  <c r="H9074" i="2"/>
  <c r="G9074" i="2"/>
  <c r="F9074" i="2"/>
  <c r="E9074" i="2"/>
  <c r="D9074" i="2"/>
  <c r="C9074" i="2"/>
  <c r="B9074" i="2"/>
  <c r="A9074" i="2"/>
  <c r="R9073" i="2"/>
  <c r="Q9073" i="2"/>
  <c r="N9073" i="2"/>
  <c r="M9073" i="2"/>
  <c r="J9073" i="2"/>
  <c r="I9073" i="2"/>
  <c r="H9073" i="2"/>
  <c r="G9073" i="2"/>
  <c r="F9073" i="2"/>
  <c r="E9073" i="2"/>
  <c r="D9073" i="2"/>
  <c r="C9073" i="2"/>
  <c r="B9073" i="2"/>
  <c r="A9073" i="2"/>
  <c r="R9072" i="2"/>
  <c r="U9072" i="2" s="1"/>
  <c r="Q9072" i="2"/>
  <c r="N9072" i="2"/>
  <c r="M9072" i="2"/>
  <c r="J9072" i="2"/>
  <c r="I9072" i="2"/>
  <c r="H9072" i="2"/>
  <c r="G9072" i="2"/>
  <c r="F9072" i="2"/>
  <c r="E9072" i="2"/>
  <c r="D9072" i="2"/>
  <c r="C9072" i="2"/>
  <c r="B9072" i="2"/>
  <c r="A9072" i="2"/>
  <c r="Q9071" i="2"/>
  <c r="U9071" i="2" s="1"/>
  <c r="N9071" i="2"/>
  <c r="M9071" i="2"/>
  <c r="J9071" i="2"/>
  <c r="I9071" i="2"/>
  <c r="H9071" i="2"/>
  <c r="G9071" i="2"/>
  <c r="F9071" i="2"/>
  <c r="E9071" i="2"/>
  <c r="D9071" i="2"/>
  <c r="C9071" i="2"/>
  <c r="B9071" i="2"/>
  <c r="A9071" i="2"/>
  <c r="Q9070" i="2"/>
  <c r="U9070" i="2" s="1"/>
  <c r="N9070" i="2"/>
  <c r="M9070" i="2"/>
  <c r="J9070" i="2"/>
  <c r="I9070" i="2"/>
  <c r="H9070" i="2"/>
  <c r="G9070" i="2"/>
  <c r="F9070" i="2"/>
  <c r="E9070" i="2"/>
  <c r="D9070" i="2"/>
  <c r="C9070" i="2"/>
  <c r="B9070" i="2"/>
  <c r="A9070" i="2"/>
  <c r="R9069" i="2"/>
  <c r="Q9069" i="2"/>
  <c r="N9069" i="2"/>
  <c r="M9069" i="2"/>
  <c r="J9069" i="2"/>
  <c r="I9069" i="2"/>
  <c r="H9069" i="2"/>
  <c r="G9069" i="2"/>
  <c r="F9069" i="2"/>
  <c r="E9069" i="2"/>
  <c r="D9069" i="2"/>
  <c r="C9069" i="2"/>
  <c r="B9069" i="2"/>
  <c r="A9069" i="2"/>
  <c r="R9068" i="2"/>
  <c r="Q9068" i="2"/>
  <c r="N9068" i="2"/>
  <c r="M9068" i="2"/>
  <c r="J9068" i="2"/>
  <c r="I9068" i="2"/>
  <c r="H9068" i="2"/>
  <c r="G9068" i="2"/>
  <c r="F9068" i="2"/>
  <c r="E9068" i="2"/>
  <c r="D9068" i="2"/>
  <c r="C9068" i="2"/>
  <c r="B9068" i="2"/>
  <c r="A9068" i="2"/>
  <c r="R9067" i="2"/>
  <c r="U9067" i="2" s="1"/>
  <c r="Q9067" i="2"/>
  <c r="N9067" i="2"/>
  <c r="M9067" i="2"/>
  <c r="J9067" i="2"/>
  <c r="I9067" i="2"/>
  <c r="H9067" i="2"/>
  <c r="G9067" i="2"/>
  <c r="F9067" i="2"/>
  <c r="E9067" i="2"/>
  <c r="D9067" i="2"/>
  <c r="C9067" i="2"/>
  <c r="B9067" i="2"/>
  <c r="A9067" i="2"/>
  <c r="R9066" i="2"/>
  <c r="U9066" i="2" s="1"/>
  <c r="Q9066" i="2"/>
  <c r="N9066" i="2"/>
  <c r="M9066" i="2"/>
  <c r="J9066" i="2"/>
  <c r="I9066" i="2"/>
  <c r="H9066" i="2"/>
  <c r="G9066" i="2"/>
  <c r="F9066" i="2"/>
  <c r="E9066" i="2"/>
  <c r="D9066" i="2"/>
  <c r="C9066" i="2"/>
  <c r="B9066" i="2"/>
  <c r="A9066" i="2"/>
  <c r="R9065" i="2"/>
  <c r="Q9065" i="2"/>
  <c r="N9065" i="2"/>
  <c r="M9065" i="2"/>
  <c r="J9065" i="2"/>
  <c r="I9065" i="2"/>
  <c r="H9065" i="2"/>
  <c r="G9065" i="2"/>
  <c r="F9065" i="2"/>
  <c r="E9065" i="2"/>
  <c r="D9065" i="2"/>
  <c r="C9065" i="2"/>
  <c r="B9065" i="2"/>
  <c r="A9065" i="2"/>
  <c r="R9064" i="2"/>
  <c r="Q9064" i="2"/>
  <c r="N9064" i="2"/>
  <c r="M9064" i="2"/>
  <c r="J9064" i="2"/>
  <c r="I9064" i="2"/>
  <c r="H9064" i="2"/>
  <c r="G9064" i="2"/>
  <c r="F9064" i="2"/>
  <c r="E9064" i="2"/>
  <c r="D9064" i="2"/>
  <c r="C9064" i="2"/>
  <c r="B9064" i="2"/>
  <c r="A9064" i="2"/>
  <c r="R9063" i="2"/>
  <c r="Q9063" i="2"/>
  <c r="N9063" i="2"/>
  <c r="M9063" i="2"/>
  <c r="J9063" i="2"/>
  <c r="I9063" i="2"/>
  <c r="H9063" i="2"/>
  <c r="G9063" i="2"/>
  <c r="F9063" i="2"/>
  <c r="E9063" i="2"/>
  <c r="D9063" i="2"/>
  <c r="C9063" i="2"/>
  <c r="B9063" i="2"/>
  <c r="A9063" i="2"/>
  <c r="R9062" i="2"/>
  <c r="Q9062" i="2"/>
  <c r="N9062" i="2"/>
  <c r="M9062" i="2"/>
  <c r="J9062" i="2"/>
  <c r="I9062" i="2"/>
  <c r="H9062" i="2"/>
  <c r="G9062" i="2"/>
  <c r="F9062" i="2"/>
  <c r="E9062" i="2"/>
  <c r="D9062" i="2"/>
  <c r="C9062" i="2"/>
  <c r="B9062" i="2"/>
  <c r="A9062" i="2"/>
  <c r="R9061" i="2"/>
  <c r="U9061" i="2" s="1"/>
  <c r="Q9061" i="2"/>
  <c r="N9061" i="2"/>
  <c r="M9061" i="2"/>
  <c r="J9061" i="2"/>
  <c r="I9061" i="2"/>
  <c r="H9061" i="2"/>
  <c r="G9061" i="2"/>
  <c r="F9061" i="2"/>
  <c r="E9061" i="2"/>
  <c r="D9061" i="2"/>
  <c r="C9061" i="2"/>
  <c r="B9061" i="2"/>
  <c r="A9061" i="2"/>
  <c r="R9060" i="2"/>
  <c r="Q9060" i="2"/>
  <c r="N9060" i="2"/>
  <c r="M9060" i="2"/>
  <c r="J9060" i="2"/>
  <c r="I9060" i="2"/>
  <c r="H9060" i="2"/>
  <c r="G9060" i="2"/>
  <c r="F9060" i="2"/>
  <c r="E9060" i="2"/>
  <c r="D9060" i="2"/>
  <c r="C9060" i="2"/>
  <c r="B9060" i="2"/>
  <c r="A9060" i="2"/>
  <c r="U9059" i="2"/>
  <c r="N9059" i="2"/>
  <c r="M9059" i="2"/>
  <c r="J9059" i="2"/>
  <c r="I9059" i="2"/>
  <c r="H9059" i="2"/>
  <c r="G9059" i="2"/>
  <c r="F9059" i="2"/>
  <c r="E9059" i="2"/>
  <c r="D9059" i="2"/>
  <c r="C9059" i="2"/>
  <c r="B9059" i="2"/>
  <c r="A9059" i="2"/>
  <c r="U9058" i="2"/>
  <c r="N9058" i="2"/>
  <c r="M9058" i="2"/>
  <c r="J9058" i="2"/>
  <c r="I9058" i="2"/>
  <c r="H9058" i="2"/>
  <c r="G9058" i="2"/>
  <c r="F9058" i="2"/>
  <c r="E9058" i="2"/>
  <c r="D9058" i="2"/>
  <c r="C9058" i="2"/>
  <c r="B9058" i="2"/>
  <c r="A9058" i="2"/>
  <c r="U9057" i="2"/>
  <c r="N9057" i="2"/>
  <c r="M9057" i="2"/>
  <c r="J9057" i="2"/>
  <c r="I9057" i="2"/>
  <c r="H9057" i="2"/>
  <c r="G9057" i="2"/>
  <c r="F9057" i="2"/>
  <c r="E9057" i="2"/>
  <c r="D9057" i="2"/>
  <c r="C9057" i="2"/>
  <c r="B9057" i="2"/>
  <c r="A9057" i="2"/>
  <c r="U9056" i="2"/>
  <c r="N9056" i="2"/>
  <c r="M9056" i="2"/>
  <c r="J9056" i="2"/>
  <c r="I9056" i="2"/>
  <c r="H9056" i="2"/>
  <c r="G9056" i="2"/>
  <c r="F9056" i="2"/>
  <c r="E9056" i="2"/>
  <c r="D9056" i="2"/>
  <c r="C9056" i="2"/>
  <c r="B9056" i="2"/>
  <c r="A9056" i="2"/>
  <c r="Q9055" i="2"/>
  <c r="U9055" i="2" s="1"/>
  <c r="N9055" i="2"/>
  <c r="M9055" i="2"/>
  <c r="J9055" i="2"/>
  <c r="I9055" i="2"/>
  <c r="H9055" i="2"/>
  <c r="G9055" i="2"/>
  <c r="F9055" i="2"/>
  <c r="E9055" i="2"/>
  <c r="D9055" i="2"/>
  <c r="C9055" i="2"/>
  <c r="B9055" i="2"/>
  <c r="A9055" i="2"/>
  <c r="U9054" i="2"/>
  <c r="N9054" i="2"/>
  <c r="M9054" i="2"/>
  <c r="J9054" i="2"/>
  <c r="I9054" i="2"/>
  <c r="H9054" i="2"/>
  <c r="G9054" i="2"/>
  <c r="F9054" i="2"/>
  <c r="E9054" i="2"/>
  <c r="D9054" i="2"/>
  <c r="C9054" i="2"/>
  <c r="B9054" i="2"/>
  <c r="A9054" i="2"/>
  <c r="U9053" i="2"/>
  <c r="N9053" i="2"/>
  <c r="M9053" i="2"/>
  <c r="J9053" i="2"/>
  <c r="I9053" i="2"/>
  <c r="H9053" i="2"/>
  <c r="G9053" i="2"/>
  <c r="F9053" i="2"/>
  <c r="E9053" i="2"/>
  <c r="D9053" i="2"/>
  <c r="C9053" i="2"/>
  <c r="B9053" i="2"/>
  <c r="A9053" i="2"/>
  <c r="U9052" i="2"/>
  <c r="N9052" i="2"/>
  <c r="M9052" i="2"/>
  <c r="J9052" i="2"/>
  <c r="I9052" i="2"/>
  <c r="H9052" i="2"/>
  <c r="G9052" i="2"/>
  <c r="F9052" i="2"/>
  <c r="E9052" i="2"/>
  <c r="D9052" i="2"/>
  <c r="C9052" i="2"/>
  <c r="B9052" i="2"/>
  <c r="A9052" i="2"/>
  <c r="U9051" i="2"/>
  <c r="N9051" i="2"/>
  <c r="M9051" i="2"/>
  <c r="J9051" i="2"/>
  <c r="I9051" i="2"/>
  <c r="H9051" i="2"/>
  <c r="G9051" i="2"/>
  <c r="F9051" i="2"/>
  <c r="E9051" i="2"/>
  <c r="D9051" i="2"/>
  <c r="C9051" i="2"/>
  <c r="B9051" i="2"/>
  <c r="A9051" i="2"/>
  <c r="Q9050" i="2"/>
  <c r="U9050" i="2" s="1"/>
  <c r="N9050" i="2"/>
  <c r="M9050" i="2"/>
  <c r="J9050" i="2"/>
  <c r="I9050" i="2"/>
  <c r="H9050" i="2"/>
  <c r="G9050" i="2"/>
  <c r="F9050" i="2"/>
  <c r="E9050" i="2"/>
  <c r="D9050" i="2"/>
  <c r="C9050" i="2"/>
  <c r="B9050" i="2"/>
  <c r="A9050" i="2"/>
  <c r="U9049" i="2"/>
  <c r="N9049" i="2"/>
  <c r="M9049" i="2"/>
  <c r="J9049" i="2"/>
  <c r="I9049" i="2"/>
  <c r="H9049" i="2"/>
  <c r="G9049" i="2"/>
  <c r="F9049" i="2"/>
  <c r="E9049" i="2"/>
  <c r="D9049" i="2"/>
  <c r="C9049" i="2"/>
  <c r="B9049" i="2"/>
  <c r="A9049" i="2"/>
  <c r="U9048" i="2"/>
  <c r="N9048" i="2"/>
  <c r="M9048" i="2"/>
  <c r="J9048" i="2"/>
  <c r="I9048" i="2"/>
  <c r="H9048" i="2"/>
  <c r="G9048" i="2"/>
  <c r="F9048" i="2"/>
  <c r="E9048" i="2"/>
  <c r="D9048" i="2"/>
  <c r="C9048" i="2"/>
  <c r="B9048" i="2"/>
  <c r="A9048" i="2"/>
  <c r="U9047" i="2"/>
  <c r="N9047" i="2"/>
  <c r="M9047" i="2"/>
  <c r="J9047" i="2"/>
  <c r="I9047" i="2"/>
  <c r="H9047" i="2"/>
  <c r="G9047" i="2"/>
  <c r="F9047" i="2"/>
  <c r="E9047" i="2"/>
  <c r="D9047" i="2"/>
  <c r="C9047" i="2"/>
  <c r="B9047" i="2"/>
  <c r="A9047" i="2"/>
  <c r="Q9046" i="2"/>
  <c r="U9046" i="2" s="1"/>
  <c r="N9046" i="2"/>
  <c r="M9046" i="2"/>
  <c r="J9046" i="2"/>
  <c r="I9046" i="2"/>
  <c r="H9046" i="2"/>
  <c r="G9046" i="2"/>
  <c r="F9046" i="2"/>
  <c r="E9046" i="2"/>
  <c r="D9046" i="2"/>
  <c r="C9046" i="2"/>
  <c r="B9046" i="2"/>
  <c r="A9046" i="2"/>
  <c r="U9045" i="2"/>
  <c r="N9045" i="2"/>
  <c r="M9045" i="2"/>
  <c r="J9045" i="2"/>
  <c r="I9045" i="2"/>
  <c r="H9045" i="2"/>
  <c r="G9045" i="2"/>
  <c r="F9045" i="2"/>
  <c r="E9045" i="2"/>
  <c r="D9045" i="2"/>
  <c r="C9045" i="2"/>
  <c r="B9045" i="2"/>
  <c r="A9045" i="2"/>
  <c r="U9044" i="2"/>
  <c r="N9044" i="2"/>
  <c r="M9044" i="2"/>
  <c r="J9044" i="2"/>
  <c r="I9044" i="2"/>
  <c r="H9044" i="2"/>
  <c r="G9044" i="2"/>
  <c r="F9044" i="2"/>
  <c r="E9044" i="2"/>
  <c r="D9044" i="2"/>
  <c r="C9044" i="2"/>
  <c r="B9044" i="2"/>
  <c r="A9044" i="2"/>
  <c r="U9043" i="2"/>
  <c r="N9043" i="2"/>
  <c r="M9043" i="2"/>
  <c r="J9043" i="2"/>
  <c r="I9043" i="2"/>
  <c r="H9043" i="2"/>
  <c r="G9043" i="2"/>
  <c r="F9043" i="2"/>
  <c r="E9043" i="2"/>
  <c r="D9043" i="2"/>
  <c r="C9043" i="2"/>
  <c r="B9043" i="2"/>
  <c r="A9043" i="2"/>
  <c r="U9042" i="2"/>
  <c r="N9042" i="2"/>
  <c r="M9042" i="2"/>
  <c r="J9042" i="2"/>
  <c r="I9042" i="2"/>
  <c r="H9042" i="2"/>
  <c r="G9042" i="2"/>
  <c r="F9042" i="2"/>
  <c r="E9042" i="2"/>
  <c r="D9042" i="2"/>
  <c r="C9042" i="2"/>
  <c r="B9042" i="2"/>
  <c r="A9042" i="2"/>
  <c r="U9041" i="2"/>
  <c r="N9041" i="2"/>
  <c r="M9041" i="2"/>
  <c r="J9041" i="2"/>
  <c r="I9041" i="2"/>
  <c r="H9041" i="2"/>
  <c r="G9041" i="2"/>
  <c r="F9041" i="2"/>
  <c r="E9041" i="2"/>
  <c r="D9041" i="2"/>
  <c r="C9041" i="2"/>
  <c r="B9041" i="2"/>
  <c r="A9041" i="2"/>
  <c r="U9040" i="2"/>
  <c r="N9040" i="2"/>
  <c r="M9040" i="2"/>
  <c r="J9040" i="2"/>
  <c r="I9040" i="2"/>
  <c r="H9040" i="2"/>
  <c r="G9040" i="2"/>
  <c r="F9040" i="2"/>
  <c r="E9040" i="2"/>
  <c r="D9040" i="2"/>
  <c r="C9040" i="2"/>
  <c r="B9040" i="2"/>
  <c r="A9040" i="2"/>
  <c r="U9039" i="2"/>
  <c r="N9039" i="2"/>
  <c r="M9039" i="2"/>
  <c r="J9039" i="2"/>
  <c r="I9039" i="2"/>
  <c r="H9039" i="2"/>
  <c r="G9039" i="2"/>
  <c r="F9039" i="2"/>
  <c r="E9039" i="2"/>
  <c r="D9039" i="2"/>
  <c r="C9039" i="2"/>
  <c r="B9039" i="2"/>
  <c r="A9039" i="2"/>
  <c r="U9038" i="2"/>
  <c r="N9038" i="2"/>
  <c r="M9038" i="2"/>
  <c r="J9038" i="2"/>
  <c r="I9038" i="2"/>
  <c r="H9038" i="2"/>
  <c r="G9038" i="2"/>
  <c r="F9038" i="2"/>
  <c r="E9038" i="2"/>
  <c r="D9038" i="2"/>
  <c r="C9038" i="2"/>
  <c r="B9038" i="2"/>
  <c r="A9038" i="2"/>
  <c r="U9037" i="2"/>
  <c r="N9037" i="2"/>
  <c r="M9037" i="2"/>
  <c r="J9037" i="2"/>
  <c r="I9037" i="2"/>
  <c r="H9037" i="2"/>
  <c r="G9037" i="2"/>
  <c r="F9037" i="2"/>
  <c r="E9037" i="2"/>
  <c r="D9037" i="2"/>
  <c r="C9037" i="2"/>
  <c r="B9037" i="2"/>
  <c r="A9037" i="2"/>
  <c r="U9036" i="2"/>
  <c r="N9036" i="2"/>
  <c r="M9036" i="2"/>
  <c r="J9036" i="2"/>
  <c r="I9036" i="2"/>
  <c r="H9036" i="2"/>
  <c r="G9036" i="2"/>
  <c r="F9036" i="2"/>
  <c r="E9036" i="2"/>
  <c r="D9036" i="2"/>
  <c r="C9036" i="2"/>
  <c r="B9036" i="2"/>
  <c r="A9036" i="2"/>
  <c r="U9035" i="2"/>
  <c r="N9035" i="2"/>
  <c r="M9035" i="2"/>
  <c r="J9035" i="2"/>
  <c r="I9035" i="2"/>
  <c r="H9035" i="2"/>
  <c r="G9035" i="2"/>
  <c r="F9035" i="2"/>
  <c r="E9035" i="2"/>
  <c r="D9035" i="2"/>
  <c r="C9035" i="2"/>
  <c r="B9035" i="2"/>
  <c r="A9035" i="2"/>
  <c r="U9034" i="2"/>
  <c r="N9034" i="2"/>
  <c r="M9034" i="2"/>
  <c r="J9034" i="2"/>
  <c r="I9034" i="2"/>
  <c r="H9034" i="2"/>
  <c r="G9034" i="2"/>
  <c r="F9034" i="2"/>
  <c r="E9034" i="2"/>
  <c r="D9034" i="2"/>
  <c r="C9034" i="2"/>
  <c r="B9034" i="2"/>
  <c r="A9034" i="2"/>
  <c r="U9033" i="2"/>
  <c r="N9033" i="2"/>
  <c r="M9033" i="2"/>
  <c r="J9033" i="2"/>
  <c r="I9033" i="2"/>
  <c r="H9033" i="2"/>
  <c r="G9033" i="2"/>
  <c r="F9033" i="2"/>
  <c r="E9033" i="2"/>
  <c r="D9033" i="2"/>
  <c r="C9033" i="2"/>
  <c r="B9033" i="2"/>
  <c r="A9033" i="2"/>
  <c r="U9032" i="2"/>
  <c r="N9032" i="2"/>
  <c r="M9032" i="2"/>
  <c r="J9032" i="2"/>
  <c r="I9032" i="2"/>
  <c r="H9032" i="2"/>
  <c r="G9032" i="2"/>
  <c r="F9032" i="2"/>
  <c r="E9032" i="2"/>
  <c r="D9032" i="2"/>
  <c r="C9032" i="2"/>
  <c r="B9032" i="2"/>
  <c r="A9032" i="2"/>
  <c r="U9031" i="2"/>
  <c r="N9031" i="2"/>
  <c r="M9031" i="2"/>
  <c r="J9031" i="2"/>
  <c r="I9031" i="2"/>
  <c r="H9031" i="2"/>
  <c r="G9031" i="2"/>
  <c r="F9031" i="2"/>
  <c r="E9031" i="2"/>
  <c r="D9031" i="2"/>
  <c r="C9031" i="2"/>
  <c r="B9031" i="2"/>
  <c r="A9031" i="2"/>
  <c r="U9030" i="2"/>
  <c r="N9030" i="2"/>
  <c r="M9030" i="2"/>
  <c r="J9030" i="2"/>
  <c r="I9030" i="2"/>
  <c r="H9030" i="2"/>
  <c r="G9030" i="2"/>
  <c r="F9030" i="2"/>
  <c r="E9030" i="2"/>
  <c r="D9030" i="2"/>
  <c r="C9030" i="2"/>
  <c r="B9030" i="2"/>
  <c r="A9030" i="2"/>
  <c r="U9029" i="2"/>
  <c r="N9029" i="2"/>
  <c r="M9029" i="2"/>
  <c r="J9029" i="2"/>
  <c r="I9029" i="2"/>
  <c r="H9029" i="2"/>
  <c r="G9029" i="2"/>
  <c r="F9029" i="2"/>
  <c r="E9029" i="2"/>
  <c r="D9029" i="2"/>
  <c r="C9029" i="2"/>
  <c r="B9029" i="2"/>
  <c r="A9029" i="2"/>
  <c r="Q9028" i="2"/>
  <c r="U9028" i="2" s="1"/>
  <c r="N9028" i="2"/>
  <c r="M9028" i="2"/>
  <c r="J9028" i="2"/>
  <c r="I9028" i="2"/>
  <c r="H9028" i="2"/>
  <c r="G9028" i="2"/>
  <c r="F9028" i="2"/>
  <c r="E9028" i="2"/>
  <c r="D9028" i="2"/>
  <c r="C9028" i="2"/>
  <c r="B9028" i="2"/>
  <c r="A9028" i="2"/>
  <c r="U9027" i="2"/>
  <c r="N9027" i="2"/>
  <c r="M9027" i="2"/>
  <c r="J9027" i="2"/>
  <c r="I9027" i="2"/>
  <c r="H9027" i="2"/>
  <c r="G9027" i="2"/>
  <c r="F9027" i="2"/>
  <c r="E9027" i="2"/>
  <c r="D9027" i="2"/>
  <c r="C9027" i="2"/>
  <c r="B9027" i="2"/>
  <c r="A9027" i="2"/>
  <c r="U9026" i="2"/>
  <c r="N9026" i="2"/>
  <c r="M9026" i="2"/>
  <c r="J9026" i="2"/>
  <c r="I9026" i="2"/>
  <c r="H9026" i="2"/>
  <c r="G9026" i="2"/>
  <c r="F9026" i="2"/>
  <c r="E9026" i="2"/>
  <c r="D9026" i="2"/>
  <c r="C9026" i="2"/>
  <c r="B9026" i="2"/>
  <c r="A9026" i="2"/>
  <c r="U9025" i="2"/>
  <c r="N9025" i="2"/>
  <c r="M9025" i="2"/>
  <c r="J9025" i="2"/>
  <c r="I9025" i="2"/>
  <c r="H9025" i="2"/>
  <c r="G9025" i="2"/>
  <c r="F9025" i="2"/>
  <c r="E9025" i="2"/>
  <c r="D9025" i="2"/>
  <c r="C9025" i="2"/>
  <c r="B9025" i="2"/>
  <c r="A9025" i="2"/>
  <c r="U9024" i="2"/>
  <c r="N9024" i="2"/>
  <c r="M9024" i="2"/>
  <c r="J9024" i="2"/>
  <c r="I9024" i="2"/>
  <c r="H9024" i="2"/>
  <c r="G9024" i="2"/>
  <c r="F9024" i="2"/>
  <c r="E9024" i="2"/>
  <c r="D9024" i="2"/>
  <c r="C9024" i="2"/>
  <c r="B9024" i="2"/>
  <c r="A9024" i="2"/>
  <c r="U9023" i="2"/>
  <c r="N9023" i="2"/>
  <c r="M9023" i="2"/>
  <c r="J9023" i="2"/>
  <c r="I9023" i="2"/>
  <c r="H9023" i="2"/>
  <c r="G9023" i="2"/>
  <c r="F9023" i="2"/>
  <c r="E9023" i="2"/>
  <c r="D9023" i="2"/>
  <c r="C9023" i="2"/>
  <c r="B9023" i="2"/>
  <c r="A9023" i="2"/>
  <c r="U9022" i="2"/>
  <c r="N9022" i="2"/>
  <c r="M9022" i="2"/>
  <c r="J9022" i="2"/>
  <c r="I9022" i="2"/>
  <c r="H9022" i="2"/>
  <c r="G9022" i="2"/>
  <c r="F9022" i="2"/>
  <c r="E9022" i="2"/>
  <c r="D9022" i="2"/>
  <c r="C9022" i="2"/>
  <c r="B9022" i="2"/>
  <c r="A9022" i="2"/>
  <c r="U9021" i="2"/>
  <c r="N9021" i="2"/>
  <c r="M9021" i="2"/>
  <c r="J9021" i="2"/>
  <c r="I9021" i="2"/>
  <c r="H9021" i="2"/>
  <c r="G9021" i="2"/>
  <c r="F9021" i="2"/>
  <c r="E9021" i="2"/>
  <c r="D9021" i="2"/>
  <c r="C9021" i="2"/>
  <c r="B9021" i="2"/>
  <c r="A9021" i="2"/>
  <c r="U9020" i="2"/>
  <c r="N9020" i="2"/>
  <c r="M9020" i="2"/>
  <c r="J9020" i="2"/>
  <c r="I9020" i="2"/>
  <c r="H9020" i="2"/>
  <c r="G9020" i="2"/>
  <c r="F9020" i="2"/>
  <c r="E9020" i="2"/>
  <c r="D9020" i="2"/>
  <c r="C9020" i="2"/>
  <c r="B9020" i="2"/>
  <c r="A9020" i="2"/>
  <c r="U9019" i="2"/>
  <c r="N9019" i="2"/>
  <c r="M9019" i="2"/>
  <c r="J9019" i="2"/>
  <c r="I9019" i="2"/>
  <c r="H9019" i="2"/>
  <c r="G9019" i="2"/>
  <c r="F9019" i="2"/>
  <c r="E9019" i="2"/>
  <c r="D9019" i="2"/>
  <c r="C9019" i="2"/>
  <c r="B9019" i="2"/>
  <c r="A9019" i="2"/>
  <c r="U9018" i="2"/>
  <c r="N9018" i="2"/>
  <c r="M9018" i="2"/>
  <c r="J9018" i="2"/>
  <c r="I9018" i="2"/>
  <c r="H9018" i="2"/>
  <c r="G9018" i="2"/>
  <c r="F9018" i="2"/>
  <c r="E9018" i="2"/>
  <c r="D9018" i="2"/>
  <c r="C9018" i="2"/>
  <c r="B9018" i="2"/>
  <c r="A9018" i="2"/>
  <c r="U9017" i="2"/>
  <c r="N9017" i="2"/>
  <c r="M9017" i="2"/>
  <c r="J9017" i="2"/>
  <c r="I9017" i="2"/>
  <c r="H9017" i="2"/>
  <c r="G9017" i="2"/>
  <c r="F9017" i="2"/>
  <c r="E9017" i="2"/>
  <c r="D9017" i="2"/>
  <c r="C9017" i="2"/>
  <c r="B9017" i="2"/>
  <c r="A9017" i="2"/>
  <c r="U9016" i="2"/>
  <c r="N9016" i="2"/>
  <c r="M9016" i="2"/>
  <c r="J9016" i="2"/>
  <c r="I9016" i="2"/>
  <c r="H9016" i="2"/>
  <c r="G9016" i="2"/>
  <c r="F9016" i="2"/>
  <c r="E9016" i="2"/>
  <c r="D9016" i="2"/>
  <c r="C9016" i="2"/>
  <c r="B9016" i="2"/>
  <c r="A9016" i="2"/>
  <c r="U9015" i="2"/>
  <c r="N9015" i="2"/>
  <c r="M9015" i="2"/>
  <c r="J9015" i="2"/>
  <c r="I9015" i="2"/>
  <c r="H9015" i="2"/>
  <c r="G9015" i="2"/>
  <c r="F9015" i="2"/>
  <c r="E9015" i="2"/>
  <c r="D9015" i="2"/>
  <c r="C9015" i="2"/>
  <c r="B9015" i="2"/>
  <c r="A9015" i="2"/>
  <c r="U9014" i="2"/>
  <c r="N9014" i="2"/>
  <c r="M9014" i="2"/>
  <c r="J9014" i="2"/>
  <c r="I9014" i="2"/>
  <c r="H9014" i="2"/>
  <c r="G9014" i="2"/>
  <c r="F9014" i="2"/>
  <c r="E9014" i="2"/>
  <c r="D9014" i="2"/>
  <c r="C9014" i="2"/>
  <c r="B9014" i="2"/>
  <c r="A9014" i="2"/>
  <c r="U9013" i="2"/>
  <c r="N9013" i="2"/>
  <c r="M9013" i="2"/>
  <c r="J9013" i="2"/>
  <c r="I9013" i="2"/>
  <c r="H9013" i="2"/>
  <c r="G9013" i="2"/>
  <c r="F9013" i="2"/>
  <c r="E9013" i="2"/>
  <c r="D9013" i="2"/>
  <c r="C9013" i="2"/>
  <c r="B9013" i="2"/>
  <c r="A9013" i="2"/>
  <c r="U9012" i="2"/>
  <c r="N9012" i="2"/>
  <c r="M9012" i="2"/>
  <c r="J9012" i="2"/>
  <c r="I9012" i="2"/>
  <c r="H9012" i="2"/>
  <c r="G9012" i="2"/>
  <c r="F9012" i="2"/>
  <c r="E9012" i="2"/>
  <c r="D9012" i="2"/>
  <c r="C9012" i="2"/>
  <c r="B9012" i="2"/>
  <c r="A9012" i="2"/>
  <c r="U9011" i="2"/>
  <c r="N9011" i="2"/>
  <c r="M9011" i="2"/>
  <c r="J9011" i="2"/>
  <c r="I9011" i="2"/>
  <c r="H9011" i="2"/>
  <c r="G9011" i="2"/>
  <c r="F9011" i="2"/>
  <c r="E9011" i="2"/>
  <c r="D9011" i="2"/>
  <c r="C9011" i="2"/>
  <c r="B9011" i="2"/>
  <c r="A9011" i="2"/>
  <c r="U9010" i="2"/>
  <c r="N9010" i="2"/>
  <c r="M9010" i="2"/>
  <c r="J9010" i="2"/>
  <c r="I9010" i="2"/>
  <c r="H9010" i="2"/>
  <c r="G9010" i="2"/>
  <c r="F9010" i="2"/>
  <c r="E9010" i="2"/>
  <c r="D9010" i="2"/>
  <c r="C9010" i="2"/>
  <c r="B9010" i="2"/>
  <c r="A9010" i="2"/>
  <c r="U9009" i="2"/>
  <c r="N9009" i="2"/>
  <c r="M9009" i="2"/>
  <c r="J9009" i="2"/>
  <c r="I9009" i="2"/>
  <c r="H9009" i="2"/>
  <c r="G9009" i="2"/>
  <c r="F9009" i="2"/>
  <c r="E9009" i="2"/>
  <c r="D9009" i="2"/>
  <c r="C9009" i="2"/>
  <c r="B9009" i="2"/>
  <c r="A9009" i="2"/>
  <c r="U9008" i="2"/>
  <c r="N9008" i="2"/>
  <c r="M9008" i="2"/>
  <c r="J9008" i="2"/>
  <c r="I9008" i="2"/>
  <c r="H9008" i="2"/>
  <c r="G9008" i="2"/>
  <c r="F9008" i="2"/>
  <c r="E9008" i="2"/>
  <c r="D9008" i="2"/>
  <c r="C9008" i="2"/>
  <c r="B9008" i="2"/>
  <c r="A9008" i="2"/>
  <c r="U9007" i="2"/>
  <c r="N9007" i="2"/>
  <c r="M9007" i="2"/>
  <c r="J9007" i="2"/>
  <c r="I9007" i="2"/>
  <c r="H9007" i="2"/>
  <c r="G9007" i="2"/>
  <c r="F9007" i="2"/>
  <c r="E9007" i="2"/>
  <c r="D9007" i="2"/>
  <c r="C9007" i="2"/>
  <c r="B9007" i="2"/>
  <c r="A9007" i="2"/>
  <c r="U9006" i="2"/>
  <c r="N9006" i="2"/>
  <c r="M9006" i="2"/>
  <c r="J9006" i="2"/>
  <c r="I9006" i="2"/>
  <c r="H9006" i="2"/>
  <c r="G9006" i="2"/>
  <c r="F9006" i="2"/>
  <c r="E9006" i="2"/>
  <c r="D9006" i="2"/>
  <c r="C9006" i="2"/>
  <c r="B9006" i="2"/>
  <c r="A9006" i="2"/>
  <c r="U9005" i="2"/>
  <c r="N9005" i="2"/>
  <c r="M9005" i="2"/>
  <c r="J9005" i="2"/>
  <c r="I9005" i="2"/>
  <c r="H9005" i="2"/>
  <c r="G9005" i="2"/>
  <c r="F9005" i="2"/>
  <c r="E9005" i="2"/>
  <c r="D9005" i="2"/>
  <c r="C9005" i="2"/>
  <c r="B9005" i="2"/>
  <c r="A9005" i="2"/>
  <c r="U9004" i="2"/>
  <c r="N9004" i="2"/>
  <c r="M9004" i="2"/>
  <c r="J9004" i="2"/>
  <c r="I9004" i="2"/>
  <c r="H9004" i="2"/>
  <c r="G9004" i="2"/>
  <c r="F9004" i="2"/>
  <c r="E9004" i="2"/>
  <c r="D9004" i="2"/>
  <c r="C9004" i="2"/>
  <c r="B9004" i="2"/>
  <c r="A9004" i="2"/>
  <c r="U9003" i="2"/>
  <c r="N9003" i="2"/>
  <c r="M9003" i="2"/>
  <c r="J9003" i="2"/>
  <c r="I9003" i="2"/>
  <c r="H9003" i="2"/>
  <c r="G9003" i="2"/>
  <c r="F9003" i="2"/>
  <c r="E9003" i="2"/>
  <c r="D9003" i="2"/>
  <c r="C9003" i="2"/>
  <c r="B9003" i="2"/>
  <c r="A9003" i="2"/>
  <c r="Q9002" i="2"/>
  <c r="U9002" i="2" s="1"/>
  <c r="N9002" i="2"/>
  <c r="M9002" i="2"/>
  <c r="J9002" i="2"/>
  <c r="I9002" i="2"/>
  <c r="H9002" i="2"/>
  <c r="G9002" i="2"/>
  <c r="F9002" i="2"/>
  <c r="E9002" i="2"/>
  <c r="D9002" i="2"/>
  <c r="C9002" i="2"/>
  <c r="B9002" i="2"/>
  <c r="A9002" i="2"/>
  <c r="U9001" i="2"/>
  <c r="N9001" i="2"/>
  <c r="M9001" i="2"/>
  <c r="J9001" i="2"/>
  <c r="I9001" i="2"/>
  <c r="H9001" i="2"/>
  <c r="G9001" i="2"/>
  <c r="F9001" i="2"/>
  <c r="E9001" i="2"/>
  <c r="D9001" i="2"/>
  <c r="C9001" i="2"/>
  <c r="B9001" i="2"/>
  <c r="A9001" i="2"/>
  <c r="U9000" i="2"/>
  <c r="N9000" i="2"/>
  <c r="M9000" i="2"/>
  <c r="J9000" i="2"/>
  <c r="I9000" i="2"/>
  <c r="H9000" i="2"/>
  <c r="G9000" i="2"/>
  <c r="F9000" i="2"/>
  <c r="E9000" i="2"/>
  <c r="D9000" i="2"/>
  <c r="C9000" i="2"/>
  <c r="B9000" i="2"/>
  <c r="A9000" i="2"/>
  <c r="U8999" i="2"/>
  <c r="N8999" i="2"/>
  <c r="M8999" i="2"/>
  <c r="J8999" i="2"/>
  <c r="I8999" i="2"/>
  <c r="H8999" i="2"/>
  <c r="G8999" i="2"/>
  <c r="F8999" i="2"/>
  <c r="E8999" i="2"/>
  <c r="D8999" i="2"/>
  <c r="C8999" i="2"/>
  <c r="B8999" i="2"/>
  <c r="A8999" i="2"/>
  <c r="U8998" i="2"/>
  <c r="N8998" i="2"/>
  <c r="M8998" i="2"/>
  <c r="J8998" i="2"/>
  <c r="I8998" i="2"/>
  <c r="H8998" i="2"/>
  <c r="G8998" i="2"/>
  <c r="F8998" i="2"/>
  <c r="E8998" i="2"/>
  <c r="D8998" i="2"/>
  <c r="C8998" i="2"/>
  <c r="B8998" i="2"/>
  <c r="A8998" i="2"/>
  <c r="U8997" i="2"/>
  <c r="N8997" i="2"/>
  <c r="M8997" i="2"/>
  <c r="J8997" i="2"/>
  <c r="I8997" i="2"/>
  <c r="H8997" i="2"/>
  <c r="G8997" i="2"/>
  <c r="F8997" i="2"/>
  <c r="E8997" i="2"/>
  <c r="D8997" i="2"/>
  <c r="C8997" i="2"/>
  <c r="B8997" i="2"/>
  <c r="A8997" i="2"/>
  <c r="U8996" i="2"/>
  <c r="N8996" i="2"/>
  <c r="M8996" i="2"/>
  <c r="J8996" i="2"/>
  <c r="I8996" i="2"/>
  <c r="H8996" i="2"/>
  <c r="G8996" i="2"/>
  <c r="F8996" i="2"/>
  <c r="E8996" i="2"/>
  <c r="D8996" i="2"/>
  <c r="C8996" i="2"/>
  <c r="B8996" i="2"/>
  <c r="A8996" i="2"/>
  <c r="U8995" i="2"/>
  <c r="N8995" i="2"/>
  <c r="M8995" i="2"/>
  <c r="J8995" i="2"/>
  <c r="I8995" i="2"/>
  <c r="H8995" i="2"/>
  <c r="G8995" i="2"/>
  <c r="F8995" i="2"/>
  <c r="E8995" i="2"/>
  <c r="D8995" i="2"/>
  <c r="C8995" i="2"/>
  <c r="B8995" i="2"/>
  <c r="A8995" i="2"/>
  <c r="U8994" i="2"/>
  <c r="N8994" i="2"/>
  <c r="M8994" i="2"/>
  <c r="J8994" i="2"/>
  <c r="I8994" i="2"/>
  <c r="H8994" i="2"/>
  <c r="G8994" i="2"/>
  <c r="F8994" i="2"/>
  <c r="E8994" i="2"/>
  <c r="D8994" i="2"/>
  <c r="C8994" i="2"/>
  <c r="B8994" i="2"/>
  <c r="A8994" i="2"/>
  <c r="U8993" i="2"/>
  <c r="N8993" i="2"/>
  <c r="M8993" i="2"/>
  <c r="J8993" i="2"/>
  <c r="I8993" i="2"/>
  <c r="H8993" i="2"/>
  <c r="G8993" i="2"/>
  <c r="F8993" i="2"/>
  <c r="E8993" i="2"/>
  <c r="D8993" i="2"/>
  <c r="C8993" i="2"/>
  <c r="B8993" i="2"/>
  <c r="A8993" i="2"/>
  <c r="U8992" i="2"/>
  <c r="N8992" i="2"/>
  <c r="M8992" i="2"/>
  <c r="J8992" i="2"/>
  <c r="I8992" i="2"/>
  <c r="H8992" i="2"/>
  <c r="G8992" i="2"/>
  <c r="F8992" i="2"/>
  <c r="E8992" i="2"/>
  <c r="D8992" i="2"/>
  <c r="C8992" i="2"/>
  <c r="B8992" i="2"/>
  <c r="A8992" i="2"/>
  <c r="U8991" i="2"/>
  <c r="N8991" i="2"/>
  <c r="M8991" i="2"/>
  <c r="J8991" i="2"/>
  <c r="I8991" i="2"/>
  <c r="H8991" i="2"/>
  <c r="G8991" i="2"/>
  <c r="F8991" i="2"/>
  <c r="E8991" i="2"/>
  <c r="D8991" i="2"/>
  <c r="C8991" i="2"/>
  <c r="B8991" i="2"/>
  <c r="A8991" i="2"/>
  <c r="U8990" i="2"/>
  <c r="N8990" i="2"/>
  <c r="M8990" i="2"/>
  <c r="J8990" i="2"/>
  <c r="I8990" i="2"/>
  <c r="H8990" i="2"/>
  <c r="G8990" i="2"/>
  <c r="F8990" i="2"/>
  <c r="E8990" i="2"/>
  <c r="D8990" i="2"/>
  <c r="C8990" i="2"/>
  <c r="B8990" i="2"/>
  <c r="A8990" i="2"/>
  <c r="U8989" i="2"/>
  <c r="N8989" i="2"/>
  <c r="M8989" i="2"/>
  <c r="J8989" i="2"/>
  <c r="I8989" i="2"/>
  <c r="H8989" i="2"/>
  <c r="G8989" i="2"/>
  <c r="F8989" i="2"/>
  <c r="E8989" i="2"/>
  <c r="D8989" i="2"/>
  <c r="C8989" i="2"/>
  <c r="B8989" i="2"/>
  <c r="A8989" i="2"/>
  <c r="U8988" i="2"/>
  <c r="N8988" i="2"/>
  <c r="M8988" i="2"/>
  <c r="J8988" i="2"/>
  <c r="I8988" i="2"/>
  <c r="H8988" i="2"/>
  <c r="G8988" i="2"/>
  <c r="F8988" i="2"/>
  <c r="E8988" i="2"/>
  <c r="D8988" i="2"/>
  <c r="C8988" i="2"/>
  <c r="B8988" i="2"/>
  <c r="A8988" i="2"/>
  <c r="U8987" i="2"/>
  <c r="N8987" i="2"/>
  <c r="M8987" i="2"/>
  <c r="J8987" i="2"/>
  <c r="I8987" i="2"/>
  <c r="H8987" i="2"/>
  <c r="G8987" i="2"/>
  <c r="F8987" i="2"/>
  <c r="E8987" i="2"/>
  <c r="D8987" i="2"/>
  <c r="C8987" i="2"/>
  <c r="B8987" i="2"/>
  <c r="A8987" i="2"/>
  <c r="U8986" i="2"/>
  <c r="N8986" i="2"/>
  <c r="M8986" i="2"/>
  <c r="J8986" i="2"/>
  <c r="I8986" i="2"/>
  <c r="H8986" i="2"/>
  <c r="G8986" i="2"/>
  <c r="F8986" i="2"/>
  <c r="E8986" i="2"/>
  <c r="D8986" i="2"/>
  <c r="C8986" i="2"/>
  <c r="B8986" i="2"/>
  <c r="A8986" i="2"/>
  <c r="U8985" i="2"/>
  <c r="N8985" i="2"/>
  <c r="M8985" i="2"/>
  <c r="J8985" i="2"/>
  <c r="I8985" i="2"/>
  <c r="H8985" i="2"/>
  <c r="G8985" i="2"/>
  <c r="F8985" i="2"/>
  <c r="E8985" i="2"/>
  <c r="D8985" i="2"/>
  <c r="C8985" i="2"/>
  <c r="B8985" i="2"/>
  <c r="A8985" i="2"/>
  <c r="U8984" i="2"/>
  <c r="N8984" i="2"/>
  <c r="M8984" i="2"/>
  <c r="J8984" i="2"/>
  <c r="I8984" i="2"/>
  <c r="H8984" i="2"/>
  <c r="G8984" i="2"/>
  <c r="F8984" i="2"/>
  <c r="E8984" i="2"/>
  <c r="D8984" i="2"/>
  <c r="C8984" i="2"/>
  <c r="B8984" i="2"/>
  <c r="A8984" i="2"/>
  <c r="U8983" i="2"/>
  <c r="N8983" i="2"/>
  <c r="M8983" i="2"/>
  <c r="J8983" i="2"/>
  <c r="I8983" i="2"/>
  <c r="H8983" i="2"/>
  <c r="G8983" i="2"/>
  <c r="F8983" i="2"/>
  <c r="E8983" i="2"/>
  <c r="D8983" i="2"/>
  <c r="C8983" i="2"/>
  <c r="B8983" i="2"/>
  <c r="A8983" i="2"/>
  <c r="U8982" i="2"/>
  <c r="N8982" i="2"/>
  <c r="M8982" i="2"/>
  <c r="J8982" i="2"/>
  <c r="I8982" i="2"/>
  <c r="H8982" i="2"/>
  <c r="G8982" i="2"/>
  <c r="F8982" i="2"/>
  <c r="E8982" i="2"/>
  <c r="D8982" i="2"/>
  <c r="C8982" i="2"/>
  <c r="B8982" i="2"/>
  <c r="A8982" i="2"/>
  <c r="U8981" i="2"/>
  <c r="N8981" i="2"/>
  <c r="M8981" i="2"/>
  <c r="J8981" i="2"/>
  <c r="I8981" i="2"/>
  <c r="H8981" i="2"/>
  <c r="G8981" i="2"/>
  <c r="F8981" i="2"/>
  <c r="E8981" i="2"/>
  <c r="D8981" i="2"/>
  <c r="C8981" i="2"/>
  <c r="B8981" i="2"/>
  <c r="A8981" i="2"/>
  <c r="U8980" i="2"/>
  <c r="N8980" i="2"/>
  <c r="M8980" i="2"/>
  <c r="J8980" i="2"/>
  <c r="I8980" i="2"/>
  <c r="H8980" i="2"/>
  <c r="G8980" i="2"/>
  <c r="F8980" i="2"/>
  <c r="E8980" i="2"/>
  <c r="D8980" i="2"/>
  <c r="C8980" i="2"/>
  <c r="B8980" i="2"/>
  <c r="A8980" i="2"/>
  <c r="U8979" i="2"/>
  <c r="N8979" i="2"/>
  <c r="M8979" i="2"/>
  <c r="J8979" i="2"/>
  <c r="I8979" i="2"/>
  <c r="H8979" i="2"/>
  <c r="G8979" i="2"/>
  <c r="F8979" i="2"/>
  <c r="E8979" i="2"/>
  <c r="D8979" i="2"/>
  <c r="C8979" i="2"/>
  <c r="B8979" i="2"/>
  <c r="A8979" i="2"/>
  <c r="U8978" i="2"/>
  <c r="N8978" i="2"/>
  <c r="M8978" i="2"/>
  <c r="J8978" i="2"/>
  <c r="I8978" i="2"/>
  <c r="H8978" i="2"/>
  <c r="G8978" i="2"/>
  <c r="F8978" i="2"/>
  <c r="E8978" i="2"/>
  <c r="D8978" i="2"/>
  <c r="C8978" i="2"/>
  <c r="B8978" i="2"/>
  <c r="A8978" i="2"/>
  <c r="U8977" i="2"/>
  <c r="N8977" i="2"/>
  <c r="M8977" i="2"/>
  <c r="J8977" i="2"/>
  <c r="I8977" i="2"/>
  <c r="H8977" i="2"/>
  <c r="G8977" i="2"/>
  <c r="F8977" i="2"/>
  <c r="E8977" i="2"/>
  <c r="D8977" i="2"/>
  <c r="C8977" i="2"/>
  <c r="B8977" i="2"/>
  <c r="A8977" i="2"/>
  <c r="U8976" i="2"/>
  <c r="N8976" i="2"/>
  <c r="M8976" i="2"/>
  <c r="J8976" i="2"/>
  <c r="I8976" i="2"/>
  <c r="H8976" i="2"/>
  <c r="G8976" i="2"/>
  <c r="F8976" i="2"/>
  <c r="E8976" i="2"/>
  <c r="D8976" i="2"/>
  <c r="C8976" i="2"/>
  <c r="B8976" i="2"/>
  <c r="A8976" i="2"/>
  <c r="U8975" i="2"/>
  <c r="N8975" i="2"/>
  <c r="M8975" i="2"/>
  <c r="J8975" i="2"/>
  <c r="I8975" i="2"/>
  <c r="H8975" i="2"/>
  <c r="G8975" i="2"/>
  <c r="F8975" i="2"/>
  <c r="E8975" i="2"/>
  <c r="D8975" i="2"/>
  <c r="C8975" i="2"/>
  <c r="B8975" i="2"/>
  <c r="A8975" i="2"/>
  <c r="U8974" i="2"/>
  <c r="N8974" i="2"/>
  <c r="M8974" i="2"/>
  <c r="J8974" i="2"/>
  <c r="I8974" i="2"/>
  <c r="H8974" i="2"/>
  <c r="G8974" i="2"/>
  <c r="F8974" i="2"/>
  <c r="E8974" i="2"/>
  <c r="D8974" i="2"/>
  <c r="C8974" i="2"/>
  <c r="B8974" i="2"/>
  <c r="A8974" i="2"/>
  <c r="U8973" i="2"/>
  <c r="N8973" i="2"/>
  <c r="M8973" i="2"/>
  <c r="J8973" i="2"/>
  <c r="I8973" i="2"/>
  <c r="H8973" i="2"/>
  <c r="G8973" i="2"/>
  <c r="F8973" i="2"/>
  <c r="E8973" i="2"/>
  <c r="D8973" i="2"/>
  <c r="C8973" i="2"/>
  <c r="B8973" i="2"/>
  <c r="A8973" i="2"/>
  <c r="U8972" i="2"/>
  <c r="N8972" i="2"/>
  <c r="M8972" i="2"/>
  <c r="J8972" i="2"/>
  <c r="I8972" i="2"/>
  <c r="H8972" i="2"/>
  <c r="G8972" i="2"/>
  <c r="F8972" i="2"/>
  <c r="E8972" i="2"/>
  <c r="D8972" i="2"/>
  <c r="C8972" i="2"/>
  <c r="B8972" i="2"/>
  <c r="A8972" i="2"/>
  <c r="U8971" i="2"/>
  <c r="N8971" i="2"/>
  <c r="M8971" i="2"/>
  <c r="J8971" i="2"/>
  <c r="I8971" i="2"/>
  <c r="H8971" i="2"/>
  <c r="G8971" i="2"/>
  <c r="F8971" i="2"/>
  <c r="E8971" i="2"/>
  <c r="D8971" i="2"/>
  <c r="C8971" i="2"/>
  <c r="B8971" i="2"/>
  <c r="A8971" i="2"/>
  <c r="U8970" i="2"/>
  <c r="N8970" i="2"/>
  <c r="M8970" i="2"/>
  <c r="J8970" i="2"/>
  <c r="I8970" i="2"/>
  <c r="H8970" i="2"/>
  <c r="G8970" i="2"/>
  <c r="F8970" i="2"/>
  <c r="E8970" i="2"/>
  <c r="D8970" i="2"/>
  <c r="C8970" i="2"/>
  <c r="B8970" i="2"/>
  <c r="A8970" i="2"/>
  <c r="U8969" i="2"/>
  <c r="N8969" i="2"/>
  <c r="M8969" i="2"/>
  <c r="J8969" i="2"/>
  <c r="I8969" i="2"/>
  <c r="H8969" i="2"/>
  <c r="G8969" i="2"/>
  <c r="F8969" i="2"/>
  <c r="E8969" i="2"/>
  <c r="D8969" i="2"/>
  <c r="C8969" i="2"/>
  <c r="B8969" i="2"/>
  <c r="A8969" i="2"/>
  <c r="U8968" i="2"/>
  <c r="N8968" i="2"/>
  <c r="M8968" i="2"/>
  <c r="J8968" i="2"/>
  <c r="I8968" i="2"/>
  <c r="H8968" i="2"/>
  <c r="G8968" i="2"/>
  <c r="F8968" i="2"/>
  <c r="E8968" i="2"/>
  <c r="D8968" i="2"/>
  <c r="C8968" i="2"/>
  <c r="B8968" i="2"/>
  <c r="A8968" i="2"/>
  <c r="U8967" i="2"/>
  <c r="N8967" i="2"/>
  <c r="M8967" i="2"/>
  <c r="J8967" i="2"/>
  <c r="I8967" i="2"/>
  <c r="H8967" i="2"/>
  <c r="G8967" i="2"/>
  <c r="F8967" i="2"/>
  <c r="E8967" i="2"/>
  <c r="D8967" i="2"/>
  <c r="C8967" i="2"/>
  <c r="B8967" i="2"/>
  <c r="A8967" i="2"/>
  <c r="U8966" i="2"/>
  <c r="N8966" i="2"/>
  <c r="M8966" i="2"/>
  <c r="J8966" i="2"/>
  <c r="I8966" i="2"/>
  <c r="H8966" i="2"/>
  <c r="G8966" i="2"/>
  <c r="F8966" i="2"/>
  <c r="E8966" i="2"/>
  <c r="D8966" i="2"/>
  <c r="C8966" i="2"/>
  <c r="B8966" i="2"/>
  <c r="A8966" i="2"/>
  <c r="U8965" i="2"/>
  <c r="N8965" i="2"/>
  <c r="M8965" i="2"/>
  <c r="J8965" i="2"/>
  <c r="I8965" i="2"/>
  <c r="H8965" i="2"/>
  <c r="G8965" i="2"/>
  <c r="F8965" i="2"/>
  <c r="E8965" i="2"/>
  <c r="D8965" i="2"/>
  <c r="C8965" i="2"/>
  <c r="B8965" i="2"/>
  <c r="A8965" i="2"/>
  <c r="U8964" i="2"/>
  <c r="N8964" i="2"/>
  <c r="M8964" i="2"/>
  <c r="J8964" i="2"/>
  <c r="I8964" i="2"/>
  <c r="H8964" i="2"/>
  <c r="G8964" i="2"/>
  <c r="F8964" i="2"/>
  <c r="E8964" i="2"/>
  <c r="D8964" i="2"/>
  <c r="C8964" i="2"/>
  <c r="B8964" i="2"/>
  <c r="A8964" i="2"/>
  <c r="U8963" i="2"/>
  <c r="N8963" i="2"/>
  <c r="M8963" i="2"/>
  <c r="J8963" i="2"/>
  <c r="I8963" i="2"/>
  <c r="H8963" i="2"/>
  <c r="G8963" i="2"/>
  <c r="F8963" i="2"/>
  <c r="E8963" i="2"/>
  <c r="D8963" i="2"/>
  <c r="C8963" i="2"/>
  <c r="B8963" i="2"/>
  <c r="A8963" i="2"/>
  <c r="U8962" i="2"/>
  <c r="N8962" i="2"/>
  <c r="M8962" i="2"/>
  <c r="J8962" i="2"/>
  <c r="I8962" i="2"/>
  <c r="H8962" i="2"/>
  <c r="G8962" i="2"/>
  <c r="F8962" i="2"/>
  <c r="E8962" i="2"/>
  <c r="D8962" i="2"/>
  <c r="C8962" i="2"/>
  <c r="B8962" i="2"/>
  <c r="A8962" i="2"/>
  <c r="U8961" i="2"/>
  <c r="N8961" i="2"/>
  <c r="M8961" i="2"/>
  <c r="J8961" i="2"/>
  <c r="I8961" i="2"/>
  <c r="H8961" i="2"/>
  <c r="G8961" i="2"/>
  <c r="F8961" i="2"/>
  <c r="E8961" i="2"/>
  <c r="D8961" i="2"/>
  <c r="C8961" i="2"/>
  <c r="B8961" i="2"/>
  <c r="A8961" i="2"/>
  <c r="U8960" i="2"/>
  <c r="N8960" i="2"/>
  <c r="M8960" i="2"/>
  <c r="J8960" i="2"/>
  <c r="I8960" i="2"/>
  <c r="H8960" i="2"/>
  <c r="G8960" i="2"/>
  <c r="F8960" i="2"/>
  <c r="E8960" i="2"/>
  <c r="D8960" i="2"/>
  <c r="C8960" i="2"/>
  <c r="B8960" i="2"/>
  <c r="A8960" i="2"/>
  <c r="U8959" i="2"/>
  <c r="N8959" i="2"/>
  <c r="M8959" i="2"/>
  <c r="J8959" i="2"/>
  <c r="I8959" i="2"/>
  <c r="H8959" i="2"/>
  <c r="G8959" i="2"/>
  <c r="F8959" i="2"/>
  <c r="E8959" i="2"/>
  <c r="D8959" i="2"/>
  <c r="C8959" i="2"/>
  <c r="B8959" i="2"/>
  <c r="A8959" i="2"/>
  <c r="U8958" i="2"/>
  <c r="N8958" i="2"/>
  <c r="M8958" i="2"/>
  <c r="J8958" i="2"/>
  <c r="I8958" i="2"/>
  <c r="H8958" i="2"/>
  <c r="G8958" i="2"/>
  <c r="F8958" i="2"/>
  <c r="E8958" i="2"/>
  <c r="D8958" i="2"/>
  <c r="C8958" i="2"/>
  <c r="B8958" i="2"/>
  <c r="A8958" i="2"/>
  <c r="U8957" i="2"/>
  <c r="N8957" i="2"/>
  <c r="M8957" i="2"/>
  <c r="J8957" i="2"/>
  <c r="I8957" i="2"/>
  <c r="H8957" i="2"/>
  <c r="G8957" i="2"/>
  <c r="F8957" i="2"/>
  <c r="E8957" i="2"/>
  <c r="D8957" i="2"/>
  <c r="C8957" i="2"/>
  <c r="B8957" i="2"/>
  <c r="A8957" i="2"/>
  <c r="U8956" i="2"/>
  <c r="N8956" i="2"/>
  <c r="M8956" i="2"/>
  <c r="J8956" i="2"/>
  <c r="I8956" i="2"/>
  <c r="H8956" i="2"/>
  <c r="G8956" i="2"/>
  <c r="F8956" i="2"/>
  <c r="E8956" i="2"/>
  <c r="D8956" i="2"/>
  <c r="C8956" i="2"/>
  <c r="B8956" i="2"/>
  <c r="A8956" i="2"/>
  <c r="U8955" i="2"/>
  <c r="N8955" i="2"/>
  <c r="M8955" i="2"/>
  <c r="J8955" i="2"/>
  <c r="I8955" i="2"/>
  <c r="H8955" i="2"/>
  <c r="G8955" i="2"/>
  <c r="F8955" i="2"/>
  <c r="E8955" i="2"/>
  <c r="D8955" i="2"/>
  <c r="C8955" i="2"/>
  <c r="B8955" i="2"/>
  <c r="A8955" i="2"/>
  <c r="U8954" i="2"/>
  <c r="N8954" i="2"/>
  <c r="M8954" i="2"/>
  <c r="J8954" i="2"/>
  <c r="I8954" i="2"/>
  <c r="H8954" i="2"/>
  <c r="G8954" i="2"/>
  <c r="F8954" i="2"/>
  <c r="E8954" i="2"/>
  <c r="D8954" i="2"/>
  <c r="C8954" i="2"/>
  <c r="B8954" i="2"/>
  <c r="A8954" i="2"/>
  <c r="U8953" i="2"/>
  <c r="N8953" i="2"/>
  <c r="M8953" i="2"/>
  <c r="J8953" i="2"/>
  <c r="I8953" i="2"/>
  <c r="H8953" i="2"/>
  <c r="G8953" i="2"/>
  <c r="F8953" i="2"/>
  <c r="E8953" i="2"/>
  <c r="D8953" i="2"/>
  <c r="C8953" i="2"/>
  <c r="B8953" i="2"/>
  <c r="A8953" i="2"/>
  <c r="U8952" i="2"/>
  <c r="N8952" i="2"/>
  <c r="M8952" i="2"/>
  <c r="J8952" i="2"/>
  <c r="I8952" i="2"/>
  <c r="H8952" i="2"/>
  <c r="G8952" i="2"/>
  <c r="F8952" i="2"/>
  <c r="E8952" i="2"/>
  <c r="D8952" i="2"/>
  <c r="C8952" i="2"/>
  <c r="B8952" i="2"/>
  <c r="A8952" i="2"/>
  <c r="U8951" i="2"/>
  <c r="N8951" i="2"/>
  <c r="M8951" i="2"/>
  <c r="J8951" i="2"/>
  <c r="I8951" i="2"/>
  <c r="H8951" i="2"/>
  <c r="G8951" i="2"/>
  <c r="F8951" i="2"/>
  <c r="E8951" i="2"/>
  <c r="D8951" i="2"/>
  <c r="C8951" i="2"/>
  <c r="B8951" i="2"/>
  <c r="A8951" i="2"/>
  <c r="U8950" i="2"/>
  <c r="N8950" i="2"/>
  <c r="M8950" i="2"/>
  <c r="J8950" i="2"/>
  <c r="I8950" i="2"/>
  <c r="H8950" i="2"/>
  <c r="G8950" i="2"/>
  <c r="F8950" i="2"/>
  <c r="E8950" i="2"/>
  <c r="D8950" i="2"/>
  <c r="C8950" i="2"/>
  <c r="B8950" i="2"/>
  <c r="A8950" i="2"/>
  <c r="U8949" i="2"/>
  <c r="N8949" i="2"/>
  <c r="M8949" i="2"/>
  <c r="J8949" i="2"/>
  <c r="I8949" i="2"/>
  <c r="H8949" i="2"/>
  <c r="G8949" i="2"/>
  <c r="F8949" i="2"/>
  <c r="E8949" i="2"/>
  <c r="D8949" i="2"/>
  <c r="C8949" i="2"/>
  <c r="B8949" i="2"/>
  <c r="A8949" i="2"/>
  <c r="U8948" i="2"/>
  <c r="N8948" i="2"/>
  <c r="M8948" i="2"/>
  <c r="J8948" i="2"/>
  <c r="I8948" i="2"/>
  <c r="H8948" i="2"/>
  <c r="G8948" i="2"/>
  <c r="F8948" i="2"/>
  <c r="E8948" i="2"/>
  <c r="D8948" i="2"/>
  <c r="C8948" i="2"/>
  <c r="B8948" i="2"/>
  <c r="A8948" i="2"/>
  <c r="U8947" i="2"/>
  <c r="N8947" i="2"/>
  <c r="M8947" i="2"/>
  <c r="J8947" i="2"/>
  <c r="I8947" i="2"/>
  <c r="H8947" i="2"/>
  <c r="G8947" i="2"/>
  <c r="F8947" i="2"/>
  <c r="E8947" i="2"/>
  <c r="D8947" i="2"/>
  <c r="C8947" i="2"/>
  <c r="B8947" i="2"/>
  <c r="A8947" i="2"/>
  <c r="U8946" i="2"/>
  <c r="N8946" i="2"/>
  <c r="M8946" i="2"/>
  <c r="J8946" i="2"/>
  <c r="I8946" i="2"/>
  <c r="H8946" i="2"/>
  <c r="G8946" i="2"/>
  <c r="F8946" i="2"/>
  <c r="E8946" i="2"/>
  <c r="D8946" i="2"/>
  <c r="C8946" i="2"/>
  <c r="B8946" i="2"/>
  <c r="A8946" i="2"/>
  <c r="U8945" i="2"/>
  <c r="N8945" i="2"/>
  <c r="M8945" i="2"/>
  <c r="J8945" i="2"/>
  <c r="I8945" i="2"/>
  <c r="H8945" i="2"/>
  <c r="G8945" i="2"/>
  <c r="F8945" i="2"/>
  <c r="E8945" i="2"/>
  <c r="D8945" i="2"/>
  <c r="C8945" i="2"/>
  <c r="B8945" i="2"/>
  <c r="A8945" i="2"/>
  <c r="U8944" i="2"/>
  <c r="N8944" i="2"/>
  <c r="M8944" i="2"/>
  <c r="J8944" i="2"/>
  <c r="I8944" i="2"/>
  <c r="H8944" i="2"/>
  <c r="G8944" i="2"/>
  <c r="F8944" i="2"/>
  <c r="E8944" i="2"/>
  <c r="D8944" i="2"/>
  <c r="C8944" i="2"/>
  <c r="B8944" i="2"/>
  <c r="A8944" i="2"/>
  <c r="U8943" i="2"/>
  <c r="N8943" i="2"/>
  <c r="M8943" i="2"/>
  <c r="J8943" i="2"/>
  <c r="I8943" i="2"/>
  <c r="H8943" i="2"/>
  <c r="G8943" i="2"/>
  <c r="F8943" i="2"/>
  <c r="E8943" i="2"/>
  <c r="D8943" i="2"/>
  <c r="C8943" i="2"/>
  <c r="B8943" i="2"/>
  <c r="A8943" i="2"/>
  <c r="U8942" i="2"/>
  <c r="N8942" i="2"/>
  <c r="M8942" i="2"/>
  <c r="J8942" i="2"/>
  <c r="I8942" i="2"/>
  <c r="H8942" i="2"/>
  <c r="G8942" i="2"/>
  <c r="F8942" i="2"/>
  <c r="E8942" i="2"/>
  <c r="D8942" i="2"/>
  <c r="C8942" i="2"/>
  <c r="B8942" i="2"/>
  <c r="A8942" i="2"/>
  <c r="U8941" i="2"/>
  <c r="N8941" i="2"/>
  <c r="M8941" i="2"/>
  <c r="J8941" i="2"/>
  <c r="I8941" i="2"/>
  <c r="H8941" i="2"/>
  <c r="G8941" i="2"/>
  <c r="F8941" i="2"/>
  <c r="E8941" i="2"/>
  <c r="D8941" i="2"/>
  <c r="C8941" i="2"/>
  <c r="B8941" i="2"/>
  <c r="A8941" i="2"/>
  <c r="U8940" i="2"/>
  <c r="N8940" i="2"/>
  <c r="M8940" i="2"/>
  <c r="J8940" i="2"/>
  <c r="I8940" i="2"/>
  <c r="H8940" i="2"/>
  <c r="G8940" i="2"/>
  <c r="F8940" i="2"/>
  <c r="E8940" i="2"/>
  <c r="D8940" i="2"/>
  <c r="C8940" i="2"/>
  <c r="B8940" i="2"/>
  <c r="A8940" i="2"/>
  <c r="U8939" i="2"/>
  <c r="N8939" i="2"/>
  <c r="M8939" i="2"/>
  <c r="J8939" i="2"/>
  <c r="I8939" i="2"/>
  <c r="H8939" i="2"/>
  <c r="G8939" i="2"/>
  <c r="F8939" i="2"/>
  <c r="E8939" i="2"/>
  <c r="D8939" i="2"/>
  <c r="C8939" i="2"/>
  <c r="B8939" i="2"/>
  <c r="A8939" i="2"/>
  <c r="U8938" i="2"/>
  <c r="N8938" i="2"/>
  <c r="M8938" i="2"/>
  <c r="J8938" i="2"/>
  <c r="I8938" i="2"/>
  <c r="H8938" i="2"/>
  <c r="G8938" i="2"/>
  <c r="F8938" i="2"/>
  <c r="E8938" i="2"/>
  <c r="D8938" i="2"/>
  <c r="C8938" i="2"/>
  <c r="B8938" i="2"/>
  <c r="A8938" i="2"/>
  <c r="U8937" i="2"/>
  <c r="N8937" i="2"/>
  <c r="M8937" i="2"/>
  <c r="J8937" i="2"/>
  <c r="I8937" i="2"/>
  <c r="H8937" i="2"/>
  <c r="G8937" i="2"/>
  <c r="F8937" i="2"/>
  <c r="E8937" i="2"/>
  <c r="D8937" i="2"/>
  <c r="C8937" i="2"/>
  <c r="B8937" i="2"/>
  <c r="A8937" i="2"/>
  <c r="U8936" i="2"/>
  <c r="N8936" i="2"/>
  <c r="M8936" i="2"/>
  <c r="J8936" i="2"/>
  <c r="I8936" i="2"/>
  <c r="H8936" i="2"/>
  <c r="G8936" i="2"/>
  <c r="F8936" i="2"/>
  <c r="E8936" i="2"/>
  <c r="D8936" i="2"/>
  <c r="C8936" i="2"/>
  <c r="B8936" i="2"/>
  <c r="A8936" i="2"/>
  <c r="U8935" i="2"/>
  <c r="N8935" i="2"/>
  <c r="M8935" i="2"/>
  <c r="J8935" i="2"/>
  <c r="I8935" i="2"/>
  <c r="H8935" i="2"/>
  <c r="G8935" i="2"/>
  <c r="F8935" i="2"/>
  <c r="E8935" i="2"/>
  <c r="D8935" i="2"/>
  <c r="C8935" i="2"/>
  <c r="B8935" i="2"/>
  <c r="A8935" i="2"/>
  <c r="U8934" i="2"/>
  <c r="N8934" i="2"/>
  <c r="M8934" i="2"/>
  <c r="J8934" i="2"/>
  <c r="I8934" i="2"/>
  <c r="H8934" i="2"/>
  <c r="G8934" i="2"/>
  <c r="F8934" i="2"/>
  <c r="E8934" i="2"/>
  <c r="D8934" i="2"/>
  <c r="C8934" i="2"/>
  <c r="B8934" i="2"/>
  <c r="A8934" i="2"/>
  <c r="U8933" i="2"/>
  <c r="N8933" i="2"/>
  <c r="M8933" i="2"/>
  <c r="J8933" i="2"/>
  <c r="I8933" i="2"/>
  <c r="H8933" i="2"/>
  <c r="G8933" i="2"/>
  <c r="F8933" i="2"/>
  <c r="E8933" i="2"/>
  <c r="D8933" i="2"/>
  <c r="C8933" i="2"/>
  <c r="B8933" i="2"/>
  <c r="A8933" i="2"/>
  <c r="U8932" i="2"/>
  <c r="N8932" i="2"/>
  <c r="M8932" i="2"/>
  <c r="J8932" i="2"/>
  <c r="I8932" i="2"/>
  <c r="H8932" i="2"/>
  <c r="G8932" i="2"/>
  <c r="F8932" i="2"/>
  <c r="E8932" i="2"/>
  <c r="D8932" i="2"/>
  <c r="C8932" i="2"/>
  <c r="B8932" i="2"/>
  <c r="A8932" i="2"/>
  <c r="Q8931" i="2"/>
  <c r="U8931" i="2" s="1"/>
  <c r="N8931" i="2"/>
  <c r="M8931" i="2"/>
  <c r="J8931" i="2"/>
  <c r="I8931" i="2"/>
  <c r="H8931" i="2"/>
  <c r="G8931" i="2"/>
  <c r="F8931" i="2"/>
  <c r="E8931" i="2"/>
  <c r="D8931" i="2"/>
  <c r="C8931" i="2"/>
  <c r="B8931" i="2"/>
  <c r="A8931" i="2"/>
  <c r="U8930" i="2"/>
  <c r="N8930" i="2"/>
  <c r="M8930" i="2"/>
  <c r="J8930" i="2"/>
  <c r="I8930" i="2"/>
  <c r="H8930" i="2"/>
  <c r="G8930" i="2"/>
  <c r="F8930" i="2"/>
  <c r="E8930" i="2"/>
  <c r="D8930" i="2"/>
  <c r="C8930" i="2"/>
  <c r="B8930" i="2"/>
  <c r="A8930" i="2"/>
  <c r="U8929" i="2"/>
  <c r="N8929" i="2"/>
  <c r="M8929" i="2"/>
  <c r="J8929" i="2"/>
  <c r="I8929" i="2"/>
  <c r="H8929" i="2"/>
  <c r="G8929" i="2"/>
  <c r="F8929" i="2"/>
  <c r="E8929" i="2"/>
  <c r="D8929" i="2"/>
  <c r="C8929" i="2"/>
  <c r="B8929" i="2"/>
  <c r="A8929" i="2"/>
  <c r="U8928" i="2"/>
  <c r="N8928" i="2"/>
  <c r="M8928" i="2"/>
  <c r="J8928" i="2"/>
  <c r="I8928" i="2"/>
  <c r="H8928" i="2"/>
  <c r="G8928" i="2"/>
  <c r="F8928" i="2"/>
  <c r="E8928" i="2"/>
  <c r="D8928" i="2"/>
  <c r="C8928" i="2"/>
  <c r="B8928" i="2"/>
  <c r="A8928" i="2"/>
  <c r="U8927" i="2"/>
  <c r="N8927" i="2"/>
  <c r="M8927" i="2"/>
  <c r="J8927" i="2"/>
  <c r="I8927" i="2"/>
  <c r="H8927" i="2"/>
  <c r="G8927" i="2"/>
  <c r="F8927" i="2"/>
  <c r="E8927" i="2"/>
  <c r="D8927" i="2"/>
  <c r="C8927" i="2"/>
  <c r="B8927" i="2"/>
  <c r="A8927" i="2"/>
  <c r="U8926" i="2"/>
  <c r="N8926" i="2"/>
  <c r="M8926" i="2"/>
  <c r="J8926" i="2"/>
  <c r="I8926" i="2"/>
  <c r="H8926" i="2"/>
  <c r="G8926" i="2"/>
  <c r="F8926" i="2"/>
  <c r="E8926" i="2"/>
  <c r="D8926" i="2"/>
  <c r="C8926" i="2"/>
  <c r="B8926" i="2"/>
  <c r="A8926" i="2"/>
  <c r="U8925" i="2"/>
  <c r="N8925" i="2"/>
  <c r="M8925" i="2"/>
  <c r="J8925" i="2"/>
  <c r="I8925" i="2"/>
  <c r="H8925" i="2"/>
  <c r="G8925" i="2"/>
  <c r="F8925" i="2"/>
  <c r="E8925" i="2"/>
  <c r="D8925" i="2"/>
  <c r="C8925" i="2"/>
  <c r="B8925" i="2"/>
  <c r="A8925" i="2"/>
  <c r="Q8924" i="2"/>
  <c r="U8924" i="2" s="1"/>
  <c r="N8924" i="2"/>
  <c r="M8924" i="2"/>
  <c r="J8924" i="2"/>
  <c r="I8924" i="2"/>
  <c r="H8924" i="2"/>
  <c r="G8924" i="2"/>
  <c r="F8924" i="2"/>
  <c r="E8924" i="2"/>
  <c r="D8924" i="2"/>
  <c r="C8924" i="2"/>
  <c r="B8924" i="2"/>
  <c r="A8924" i="2"/>
  <c r="U8923" i="2"/>
  <c r="N8923" i="2"/>
  <c r="M8923" i="2"/>
  <c r="J8923" i="2"/>
  <c r="I8923" i="2"/>
  <c r="H8923" i="2"/>
  <c r="G8923" i="2"/>
  <c r="F8923" i="2"/>
  <c r="E8923" i="2"/>
  <c r="D8923" i="2"/>
  <c r="C8923" i="2"/>
  <c r="B8923" i="2"/>
  <c r="A8923" i="2"/>
  <c r="U8922" i="2"/>
  <c r="N8922" i="2"/>
  <c r="M8922" i="2"/>
  <c r="J8922" i="2"/>
  <c r="I8922" i="2"/>
  <c r="H8922" i="2"/>
  <c r="G8922" i="2"/>
  <c r="F8922" i="2"/>
  <c r="E8922" i="2"/>
  <c r="D8922" i="2"/>
  <c r="C8922" i="2"/>
  <c r="B8922" i="2"/>
  <c r="A8922" i="2"/>
  <c r="U8921" i="2"/>
  <c r="N8921" i="2"/>
  <c r="M8921" i="2"/>
  <c r="J8921" i="2"/>
  <c r="I8921" i="2"/>
  <c r="H8921" i="2"/>
  <c r="G8921" i="2"/>
  <c r="F8921" i="2"/>
  <c r="E8921" i="2"/>
  <c r="D8921" i="2"/>
  <c r="C8921" i="2"/>
  <c r="B8921" i="2"/>
  <c r="A8921" i="2"/>
  <c r="U8920" i="2"/>
  <c r="N8920" i="2"/>
  <c r="M8920" i="2"/>
  <c r="J8920" i="2"/>
  <c r="I8920" i="2"/>
  <c r="H8920" i="2"/>
  <c r="G8920" i="2"/>
  <c r="F8920" i="2"/>
  <c r="E8920" i="2"/>
  <c r="D8920" i="2"/>
  <c r="C8920" i="2"/>
  <c r="B8920" i="2"/>
  <c r="A8920" i="2"/>
  <c r="U8919" i="2"/>
  <c r="N8919" i="2"/>
  <c r="M8919" i="2"/>
  <c r="J8919" i="2"/>
  <c r="I8919" i="2"/>
  <c r="H8919" i="2"/>
  <c r="G8919" i="2"/>
  <c r="F8919" i="2"/>
  <c r="E8919" i="2"/>
  <c r="D8919" i="2"/>
  <c r="C8919" i="2"/>
  <c r="B8919" i="2"/>
  <c r="A8919" i="2"/>
  <c r="U8918" i="2"/>
  <c r="N8918" i="2"/>
  <c r="M8918" i="2"/>
  <c r="J8918" i="2"/>
  <c r="I8918" i="2"/>
  <c r="H8918" i="2"/>
  <c r="G8918" i="2"/>
  <c r="F8918" i="2"/>
  <c r="E8918" i="2"/>
  <c r="D8918" i="2"/>
  <c r="C8918" i="2"/>
  <c r="B8918" i="2"/>
  <c r="A8918" i="2"/>
  <c r="U8917" i="2"/>
  <c r="N8917" i="2"/>
  <c r="M8917" i="2"/>
  <c r="J8917" i="2"/>
  <c r="I8917" i="2"/>
  <c r="H8917" i="2"/>
  <c r="G8917" i="2"/>
  <c r="F8917" i="2"/>
  <c r="E8917" i="2"/>
  <c r="D8917" i="2"/>
  <c r="C8917" i="2"/>
  <c r="B8917" i="2"/>
  <c r="A8917" i="2"/>
  <c r="U8916" i="2"/>
  <c r="N8916" i="2"/>
  <c r="M8916" i="2"/>
  <c r="J8916" i="2"/>
  <c r="I8916" i="2"/>
  <c r="H8916" i="2"/>
  <c r="G8916" i="2"/>
  <c r="F8916" i="2"/>
  <c r="E8916" i="2"/>
  <c r="D8916" i="2"/>
  <c r="C8916" i="2"/>
  <c r="B8916" i="2"/>
  <c r="A8916" i="2"/>
  <c r="Q8915" i="2"/>
  <c r="U8915" i="2" s="1"/>
  <c r="N8915" i="2"/>
  <c r="M8915" i="2"/>
  <c r="J8915" i="2"/>
  <c r="I8915" i="2"/>
  <c r="H8915" i="2"/>
  <c r="G8915" i="2"/>
  <c r="F8915" i="2"/>
  <c r="E8915" i="2"/>
  <c r="D8915" i="2"/>
  <c r="C8915" i="2"/>
  <c r="B8915" i="2"/>
  <c r="A8915" i="2"/>
  <c r="U8914" i="2"/>
  <c r="N8914" i="2"/>
  <c r="M8914" i="2"/>
  <c r="J8914" i="2"/>
  <c r="I8914" i="2"/>
  <c r="H8914" i="2"/>
  <c r="G8914" i="2"/>
  <c r="F8914" i="2"/>
  <c r="E8914" i="2"/>
  <c r="D8914" i="2"/>
  <c r="C8914" i="2"/>
  <c r="B8914" i="2"/>
  <c r="A8914" i="2"/>
  <c r="U8913" i="2"/>
  <c r="N8913" i="2"/>
  <c r="M8913" i="2"/>
  <c r="J8913" i="2"/>
  <c r="I8913" i="2"/>
  <c r="H8913" i="2"/>
  <c r="G8913" i="2"/>
  <c r="F8913" i="2"/>
  <c r="E8913" i="2"/>
  <c r="D8913" i="2"/>
  <c r="C8913" i="2"/>
  <c r="B8913" i="2"/>
  <c r="A8913" i="2"/>
  <c r="U8912" i="2"/>
  <c r="N8912" i="2"/>
  <c r="M8912" i="2"/>
  <c r="J8912" i="2"/>
  <c r="I8912" i="2"/>
  <c r="H8912" i="2"/>
  <c r="G8912" i="2"/>
  <c r="F8912" i="2"/>
  <c r="E8912" i="2"/>
  <c r="D8912" i="2"/>
  <c r="C8912" i="2"/>
  <c r="B8912" i="2"/>
  <c r="A8912" i="2"/>
  <c r="U8911" i="2"/>
  <c r="N8911" i="2"/>
  <c r="M8911" i="2"/>
  <c r="J8911" i="2"/>
  <c r="I8911" i="2"/>
  <c r="H8911" i="2"/>
  <c r="G8911" i="2"/>
  <c r="F8911" i="2"/>
  <c r="E8911" i="2"/>
  <c r="D8911" i="2"/>
  <c r="C8911" i="2"/>
  <c r="B8911" i="2"/>
  <c r="A8911" i="2"/>
  <c r="U8910" i="2"/>
  <c r="N8910" i="2"/>
  <c r="M8910" i="2"/>
  <c r="J8910" i="2"/>
  <c r="I8910" i="2"/>
  <c r="H8910" i="2"/>
  <c r="G8910" i="2"/>
  <c r="F8910" i="2"/>
  <c r="E8910" i="2"/>
  <c r="D8910" i="2"/>
  <c r="C8910" i="2"/>
  <c r="B8910" i="2"/>
  <c r="A8910" i="2"/>
  <c r="U8909" i="2"/>
  <c r="N8909" i="2"/>
  <c r="M8909" i="2"/>
  <c r="J8909" i="2"/>
  <c r="I8909" i="2"/>
  <c r="H8909" i="2"/>
  <c r="G8909" i="2"/>
  <c r="F8909" i="2"/>
  <c r="E8909" i="2"/>
  <c r="D8909" i="2"/>
  <c r="C8909" i="2"/>
  <c r="B8909" i="2"/>
  <c r="A8909" i="2"/>
  <c r="U8908" i="2"/>
  <c r="N8908" i="2"/>
  <c r="M8908" i="2"/>
  <c r="J8908" i="2"/>
  <c r="I8908" i="2"/>
  <c r="H8908" i="2"/>
  <c r="G8908" i="2"/>
  <c r="F8908" i="2"/>
  <c r="E8908" i="2"/>
  <c r="D8908" i="2"/>
  <c r="C8908" i="2"/>
  <c r="B8908" i="2"/>
  <c r="A8908" i="2"/>
  <c r="U8907" i="2"/>
  <c r="N8907" i="2"/>
  <c r="M8907" i="2"/>
  <c r="J8907" i="2"/>
  <c r="I8907" i="2"/>
  <c r="H8907" i="2"/>
  <c r="G8907" i="2"/>
  <c r="F8907" i="2"/>
  <c r="E8907" i="2"/>
  <c r="D8907" i="2"/>
  <c r="C8907" i="2"/>
  <c r="B8907" i="2"/>
  <c r="A8907" i="2"/>
  <c r="U8906" i="2"/>
  <c r="N8906" i="2"/>
  <c r="M8906" i="2"/>
  <c r="J8906" i="2"/>
  <c r="I8906" i="2"/>
  <c r="H8906" i="2"/>
  <c r="G8906" i="2"/>
  <c r="F8906" i="2"/>
  <c r="E8906" i="2"/>
  <c r="D8906" i="2"/>
  <c r="C8906" i="2"/>
  <c r="B8906" i="2"/>
  <c r="A8906" i="2"/>
  <c r="U8905" i="2"/>
  <c r="N8905" i="2"/>
  <c r="M8905" i="2"/>
  <c r="J8905" i="2"/>
  <c r="I8905" i="2"/>
  <c r="H8905" i="2"/>
  <c r="G8905" i="2"/>
  <c r="F8905" i="2"/>
  <c r="E8905" i="2"/>
  <c r="D8905" i="2"/>
  <c r="C8905" i="2"/>
  <c r="B8905" i="2"/>
  <c r="A8905" i="2"/>
  <c r="U8904" i="2"/>
  <c r="N8904" i="2"/>
  <c r="M8904" i="2"/>
  <c r="J8904" i="2"/>
  <c r="I8904" i="2"/>
  <c r="H8904" i="2"/>
  <c r="G8904" i="2"/>
  <c r="F8904" i="2"/>
  <c r="E8904" i="2"/>
  <c r="D8904" i="2"/>
  <c r="C8904" i="2"/>
  <c r="B8904" i="2"/>
  <c r="A8904" i="2"/>
  <c r="U8903" i="2"/>
  <c r="N8903" i="2"/>
  <c r="M8903" i="2"/>
  <c r="J8903" i="2"/>
  <c r="I8903" i="2"/>
  <c r="H8903" i="2"/>
  <c r="G8903" i="2"/>
  <c r="F8903" i="2"/>
  <c r="E8903" i="2"/>
  <c r="D8903" i="2"/>
  <c r="C8903" i="2"/>
  <c r="B8903" i="2"/>
  <c r="A8903" i="2"/>
  <c r="U8902" i="2"/>
  <c r="N8902" i="2"/>
  <c r="M8902" i="2"/>
  <c r="J8902" i="2"/>
  <c r="I8902" i="2"/>
  <c r="H8902" i="2"/>
  <c r="G8902" i="2"/>
  <c r="F8902" i="2"/>
  <c r="E8902" i="2"/>
  <c r="D8902" i="2"/>
  <c r="C8902" i="2"/>
  <c r="B8902" i="2"/>
  <c r="A8902" i="2"/>
  <c r="U8901" i="2"/>
  <c r="N8901" i="2"/>
  <c r="M8901" i="2"/>
  <c r="J8901" i="2"/>
  <c r="I8901" i="2"/>
  <c r="H8901" i="2"/>
  <c r="G8901" i="2"/>
  <c r="F8901" i="2"/>
  <c r="E8901" i="2"/>
  <c r="D8901" i="2"/>
  <c r="C8901" i="2"/>
  <c r="B8901" i="2"/>
  <c r="A8901" i="2"/>
  <c r="U8900" i="2"/>
  <c r="N8900" i="2"/>
  <c r="M8900" i="2"/>
  <c r="J8900" i="2"/>
  <c r="I8900" i="2"/>
  <c r="H8900" i="2"/>
  <c r="G8900" i="2"/>
  <c r="F8900" i="2"/>
  <c r="E8900" i="2"/>
  <c r="D8900" i="2"/>
  <c r="C8900" i="2"/>
  <c r="B8900" i="2"/>
  <c r="A8900" i="2"/>
  <c r="U8899" i="2"/>
  <c r="N8899" i="2"/>
  <c r="M8899" i="2"/>
  <c r="J8899" i="2"/>
  <c r="I8899" i="2"/>
  <c r="H8899" i="2"/>
  <c r="G8899" i="2"/>
  <c r="F8899" i="2"/>
  <c r="E8899" i="2"/>
  <c r="D8899" i="2"/>
  <c r="C8899" i="2"/>
  <c r="B8899" i="2"/>
  <c r="A8899" i="2"/>
  <c r="U8898" i="2"/>
  <c r="N8898" i="2"/>
  <c r="M8898" i="2"/>
  <c r="J8898" i="2"/>
  <c r="I8898" i="2"/>
  <c r="H8898" i="2"/>
  <c r="G8898" i="2"/>
  <c r="F8898" i="2"/>
  <c r="E8898" i="2"/>
  <c r="D8898" i="2"/>
  <c r="C8898" i="2"/>
  <c r="B8898" i="2"/>
  <c r="A8898" i="2"/>
  <c r="U8897" i="2"/>
  <c r="N8897" i="2"/>
  <c r="M8897" i="2"/>
  <c r="J8897" i="2"/>
  <c r="I8897" i="2"/>
  <c r="H8897" i="2"/>
  <c r="G8897" i="2"/>
  <c r="F8897" i="2"/>
  <c r="E8897" i="2"/>
  <c r="D8897" i="2"/>
  <c r="C8897" i="2"/>
  <c r="B8897" i="2"/>
  <c r="A8897" i="2"/>
  <c r="U8896" i="2"/>
  <c r="N8896" i="2"/>
  <c r="M8896" i="2"/>
  <c r="J8896" i="2"/>
  <c r="I8896" i="2"/>
  <c r="H8896" i="2"/>
  <c r="G8896" i="2"/>
  <c r="F8896" i="2"/>
  <c r="E8896" i="2"/>
  <c r="D8896" i="2"/>
  <c r="C8896" i="2"/>
  <c r="B8896" i="2"/>
  <c r="A8896" i="2"/>
  <c r="U8895" i="2"/>
  <c r="N8895" i="2"/>
  <c r="M8895" i="2"/>
  <c r="J8895" i="2"/>
  <c r="I8895" i="2"/>
  <c r="H8895" i="2"/>
  <c r="G8895" i="2"/>
  <c r="F8895" i="2"/>
  <c r="E8895" i="2"/>
  <c r="D8895" i="2"/>
  <c r="C8895" i="2"/>
  <c r="B8895" i="2"/>
  <c r="A8895" i="2"/>
  <c r="U8894" i="2"/>
  <c r="N8894" i="2"/>
  <c r="M8894" i="2"/>
  <c r="J8894" i="2"/>
  <c r="I8894" i="2"/>
  <c r="H8894" i="2"/>
  <c r="G8894" i="2"/>
  <c r="F8894" i="2"/>
  <c r="E8894" i="2"/>
  <c r="D8894" i="2"/>
  <c r="C8894" i="2"/>
  <c r="B8894" i="2"/>
  <c r="A8894" i="2"/>
  <c r="U8893" i="2"/>
  <c r="N8893" i="2"/>
  <c r="M8893" i="2"/>
  <c r="J8893" i="2"/>
  <c r="I8893" i="2"/>
  <c r="H8893" i="2"/>
  <c r="G8893" i="2"/>
  <c r="F8893" i="2"/>
  <c r="E8893" i="2"/>
  <c r="D8893" i="2"/>
  <c r="C8893" i="2"/>
  <c r="B8893" i="2"/>
  <c r="A8893" i="2"/>
  <c r="U8892" i="2"/>
  <c r="N8892" i="2"/>
  <c r="M8892" i="2"/>
  <c r="J8892" i="2"/>
  <c r="I8892" i="2"/>
  <c r="H8892" i="2"/>
  <c r="G8892" i="2"/>
  <c r="F8892" i="2"/>
  <c r="E8892" i="2"/>
  <c r="D8892" i="2"/>
  <c r="C8892" i="2"/>
  <c r="B8892" i="2"/>
  <c r="A8892" i="2"/>
  <c r="U8891" i="2"/>
  <c r="N8891" i="2"/>
  <c r="M8891" i="2"/>
  <c r="J8891" i="2"/>
  <c r="I8891" i="2"/>
  <c r="H8891" i="2"/>
  <c r="G8891" i="2"/>
  <c r="F8891" i="2"/>
  <c r="E8891" i="2"/>
  <c r="D8891" i="2"/>
  <c r="C8891" i="2"/>
  <c r="B8891" i="2"/>
  <c r="A8891" i="2"/>
  <c r="U8890" i="2"/>
  <c r="N8890" i="2"/>
  <c r="M8890" i="2"/>
  <c r="J8890" i="2"/>
  <c r="I8890" i="2"/>
  <c r="H8890" i="2"/>
  <c r="G8890" i="2"/>
  <c r="F8890" i="2"/>
  <c r="E8890" i="2"/>
  <c r="D8890" i="2"/>
  <c r="C8890" i="2"/>
  <c r="B8890" i="2"/>
  <c r="A8890" i="2"/>
  <c r="U8889" i="2"/>
  <c r="N8889" i="2"/>
  <c r="M8889" i="2"/>
  <c r="J8889" i="2"/>
  <c r="I8889" i="2"/>
  <c r="H8889" i="2"/>
  <c r="G8889" i="2"/>
  <c r="F8889" i="2"/>
  <c r="E8889" i="2"/>
  <c r="D8889" i="2"/>
  <c r="C8889" i="2"/>
  <c r="B8889" i="2"/>
  <c r="A8889" i="2"/>
  <c r="U8888" i="2"/>
  <c r="N8888" i="2"/>
  <c r="M8888" i="2"/>
  <c r="J8888" i="2"/>
  <c r="I8888" i="2"/>
  <c r="H8888" i="2"/>
  <c r="G8888" i="2"/>
  <c r="F8888" i="2"/>
  <c r="E8888" i="2"/>
  <c r="D8888" i="2"/>
  <c r="C8888" i="2"/>
  <c r="B8888" i="2"/>
  <c r="A8888" i="2"/>
  <c r="U8887" i="2"/>
  <c r="N8887" i="2"/>
  <c r="M8887" i="2"/>
  <c r="J8887" i="2"/>
  <c r="I8887" i="2"/>
  <c r="H8887" i="2"/>
  <c r="G8887" i="2"/>
  <c r="F8887" i="2"/>
  <c r="E8887" i="2"/>
  <c r="D8887" i="2"/>
  <c r="C8887" i="2"/>
  <c r="B8887" i="2"/>
  <c r="A8887" i="2"/>
  <c r="U8886" i="2"/>
  <c r="N8886" i="2"/>
  <c r="M8886" i="2"/>
  <c r="J8886" i="2"/>
  <c r="I8886" i="2"/>
  <c r="H8886" i="2"/>
  <c r="G8886" i="2"/>
  <c r="F8886" i="2"/>
  <c r="E8886" i="2"/>
  <c r="D8886" i="2"/>
  <c r="C8886" i="2"/>
  <c r="B8886" i="2"/>
  <c r="A8886" i="2"/>
  <c r="U8885" i="2"/>
  <c r="N8885" i="2"/>
  <c r="M8885" i="2"/>
  <c r="J8885" i="2"/>
  <c r="I8885" i="2"/>
  <c r="H8885" i="2"/>
  <c r="G8885" i="2"/>
  <c r="F8885" i="2"/>
  <c r="E8885" i="2"/>
  <c r="D8885" i="2"/>
  <c r="C8885" i="2"/>
  <c r="B8885" i="2"/>
  <c r="A8885" i="2"/>
  <c r="U8884" i="2"/>
  <c r="N8884" i="2"/>
  <c r="M8884" i="2"/>
  <c r="J8884" i="2"/>
  <c r="I8884" i="2"/>
  <c r="H8884" i="2"/>
  <c r="G8884" i="2"/>
  <c r="F8884" i="2"/>
  <c r="E8884" i="2"/>
  <c r="D8884" i="2"/>
  <c r="C8884" i="2"/>
  <c r="B8884" i="2"/>
  <c r="A8884" i="2"/>
  <c r="U8883" i="2"/>
  <c r="N8883" i="2"/>
  <c r="M8883" i="2"/>
  <c r="J8883" i="2"/>
  <c r="I8883" i="2"/>
  <c r="H8883" i="2"/>
  <c r="G8883" i="2"/>
  <c r="F8883" i="2"/>
  <c r="E8883" i="2"/>
  <c r="D8883" i="2"/>
  <c r="C8883" i="2"/>
  <c r="B8883" i="2"/>
  <c r="A8883" i="2"/>
  <c r="U8882" i="2"/>
  <c r="N8882" i="2"/>
  <c r="M8882" i="2"/>
  <c r="J8882" i="2"/>
  <c r="I8882" i="2"/>
  <c r="H8882" i="2"/>
  <c r="G8882" i="2"/>
  <c r="F8882" i="2"/>
  <c r="E8882" i="2"/>
  <c r="D8882" i="2"/>
  <c r="C8882" i="2"/>
  <c r="B8882" i="2"/>
  <c r="A8882" i="2"/>
  <c r="U8881" i="2"/>
  <c r="N8881" i="2"/>
  <c r="M8881" i="2"/>
  <c r="J8881" i="2"/>
  <c r="I8881" i="2"/>
  <c r="H8881" i="2"/>
  <c r="G8881" i="2"/>
  <c r="F8881" i="2"/>
  <c r="E8881" i="2"/>
  <c r="D8881" i="2"/>
  <c r="C8881" i="2"/>
  <c r="B8881" i="2"/>
  <c r="A8881" i="2"/>
  <c r="U8880" i="2"/>
  <c r="N8880" i="2"/>
  <c r="M8880" i="2"/>
  <c r="J8880" i="2"/>
  <c r="I8880" i="2"/>
  <c r="H8880" i="2"/>
  <c r="G8880" i="2"/>
  <c r="F8880" i="2"/>
  <c r="E8880" i="2"/>
  <c r="D8880" i="2"/>
  <c r="C8880" i="2"/>
  <c r="B8880" i="2"/>
  <c r="A8880" i="2"/>
  <c r="U8879" i="2"/>
  <c r="N8879" i="2"/>
  <c r="M8879" i="2"/>
  <c r="J8879" i="2"/>
  <c r="I8879" i="2"/>
  <c r="H8879" i="2"/>
  <c r="G8879" i="2"/>
  <c r="F8879" i="2"/>
  <c r="E8879" i="2"/>
  <c r="D8879" i="2"/>
  <c r="C8879" i="2"/>
  <c r="B8879" i="2"/>
  <c r="A8879" i="2"/>
  <c r="U8878" i="2"/>
  <c r="N8878" i="2"/>
  <c r="M8878" i="2"/>
  <c r="J8878" i="2"/>
  <c r="I8878" i="2"/>
  <c r="H8878" i="2"/>
  <c r="G8878" i="2"/>
  <c r="F8878" i="2"/>
  <c r="E8878" i="2"/>
  <c r="D8878" i="2"/>
  <c r="C8878" i="2"/>
  <c r="B8878" i="2"/>
  <c r="A8878" i="2"/>
  <c r="U8877" i="2"/>
  <c r="N8877" i="2"/>
  <c r="M8877" i="2"/>
  <c r="J8877" i="2"/>
  <c r="I8877" i="2"/>
  <c r="H8877" i="2"/>
  <c r="G8877" i="2"/>
  <c r="F8877" i="2"/>
  <c r="E8877" i="2"/>
  <c r="D8877" i="2"/>
  <c r="C8877" i="2"/>
  <c r="B8877" i="2"/>
  <c r="A8877" i="2"/>
  <c r="U8876" i="2"/>
  <c r="N8876" i="2"/>
  <c r="M8876" i="2"/>
  <c r="J8876" i="2"/>
  <c r="I8876" i="2"/>
  <c r="H8876" i="2"/>
  <c r="G8876" i="2"/>
  <c r="F8876" i="2"/>
  <c r="E8876" i="2"/>
  <c r="D8876" i="2"/>
  <c r="C8876" i="2"/>
  <c r="B8876" i="2"/>
  <c r="A8876" i="2"/>
  <c r="Q8875" i="2"/>
  <c r="U8875" i="2" s="1"/>
  <c r="N8875" i="2"/>
  <c r="M8875" i="2"/>
  <c r="J8875" i="2"/>
  <c r="I8875" i="2"/>
  <c r="H8875" i="2"/>
  <c r="G8875" i="2"/>
  <c r="F8875" i="2"/>
  <c r="E8875" i="2"/>
  <c r="D8875" i="2"/>
  <c r="C8875" i="2"/>
  <c r="B8875" i="2"/>
  <c r="A8875" i="2"/>
  <c r="U8874" i="2"/>
  <c r="N8874" i="2"/>
  <c r="M8874" i="2"/>
  <c r="J8874" i="2"/>
  <c r="I8874" i="2"/>
  <c r="H8874" i="2"/>
  <c r="G8874" i="2"/>
  <c r="F8874" i="2"/>
  <c r="E8874" i="2"/>
  <c r="D8874" i="2"/>
  <c r="C8874" i="2"/>
  <c r="B8874" i="2"/>
  <c r="A8874" i="2"/>
  <c r="U8873" i="2"/>
  <c r="N8873" i="2"/>
  <c r="M8873" i="2"/>
  <c r="J8873" i="2"/>
  <c r="I8873" i="2"/>
  <c r="H8873" i="2"/>
  <c r="G8873" i="2"/>
  <c r="F8873" i="2"/>
  <c r="E8873" i="2"/>
  <c r="D8873" i="2"/>
  <c r="C8873" i="2"/>
  <c r="B8873" i="2"/>
  <c r="A8873" i="2"/>
  <c r="U8872" i="2"/>
  <c r="N8872" i="2"/>
  <c r="M8872" i="2"/>
  <c r="J8872" i="2"/>
  <c r="I8872" i="2"/>
  <c r="H8872" i="2"/>
  <c r="G8872" i="2"/>
  <c r="F8872" i="2"/>
  <c r="E8872" i="2"/>
  <c r="D8872" i="2"/>
  <c r="C8872" i="2"/>
  <c r="B8872" i="2"/>
  <c r="A8872" i="2"/>
  <c r="U8871" i="2"/>
  <c r="N8871" i="2"/>
  <c r="M8871" i="2"/>
  <c r="J8871" i="2"/>
  <c r="I8871" i="2"/>
  <c r="H8871" i="2"/>
  <c r="G8871" i="2"/>
  <c r="F8871" i="2"/>
  <c r="E8871" i="2"/>
  <c r="D8871" i="2"/>
  <c r="C8871" i="2"/>
  <c r="B8871" i="2"/>
  <c r="A8871" i="2"/>
  <c r="U8870" i="2"/>
  <c r="N8870" i="2"/>
  <c r="M8870" i="2"/>
  <c r="J8870" i="2"/>
  <c r="I8870" i="2"/>
  <c r="H8870" i="2"/>
  <c r="G8870" i="2"/>
  <c r="F8870" i="2"/>
  <c r="E8870" i="2"/>
  <c r="D8870" i="2"/>
  <c r="C8870" i="2"/>
  <c r="B8870" i="2"/>
  <c r="A8870" i="2"/>
  <c r="U8869" i="2"/>
  <c r="N8869" i="2"/>
  <c r="M8869" i="2"/>
  <c r="J8869" i="2"/>
  <c r="I8869" i="2"/>
  <c r="H8869" i="2"/>
  <c r="G8869" i="2"/>
  <c r="F8869" i="2"/>
  <c r="E8869" i="2"/>
  <c r="D8869" i="2"/>
  <c r="C8869" i="2"/>
  <c r="B8869" i="2"/>
  <c r="A8869" i="2"/>
  <c r="Q8868" i="2"/>
  <c r="U8868" i="2" s="1"/>
  <c r="N8868" i="2"/>
  <c r="M8868" i="2"/>
  <c r="J8868" i="2"/>
  <c r="I8868" i="2"/>
  <c r="H8868" i="2"/>
  <c r="G8868" i="2"/>
  <c r="F8868" i="2"/>
  <c r="E8868" i="2"/>
  <c r="D8868" i="2"/>
  <c r="C8868" i="2"/>
  <c r="B8868" i="2"/>
  <c r="A8868" i="2"/>
  <c r="U8867" i="2"/>
  <c r="N8867" i="2"/>
  <c r="M8867" i="2"/>
  <c r="J8867" i="2"/>
  <c r="I8867" i="2"/>
  <c r="H8867" i="2"/>
  <c r="G8867" i="2"/>
  <c r="F8867" i="2"/>
  <c r="E8867" i="2"/>
  <c r="D8867" i="2"/>
  <c r="C8867" i="2"/>
  <c r="B8867" i="2"/>
  <c r="A8867" i="2"/>
  <c r="U8866" i="2"/>
  <c r="N8866" i="2"/>
  <c r="M8866" i="2"/>
  <c r="J8866" i="2"/>
  <c r="I8866" i="2"/>
  <c r="H8866" i="2"/>
  <c r="G8866" i="2"/>
  <c r="F8866" i="2"/>
  <c r="E8866" i="2"/>
  <c r="D8866" i="2"/>
  <c r="C8866" i="2"/>
  <c r="B8866" i="2"/>
  <c r="A8866" i="2"/>
  <c r="U8865" i="2"/>
  <c r="N8865" i="2"/>
  <c r="M8865" i="2"/>
  <c r="J8865" i="2"/>
  <c r="I8865" i="2"/>
  <c r="H8865" i="2"/>
  <c r="G8865" i="2"/>
  <c r="F8865" i="2"/>
  <c r="E8865" i="2"/>
  <c r="D8865" i="2"/>
  <c r="C8865" i="2"/>
  <c r="B8865" i="2"/>
  <c r="A8865" i="2"/>
  <c r="U8864" i="2"/>
  <c r="N8864" i="2"/>
  <c r="M8864" i="2"/>
  <c r="J8864" i="2"/>
  <c r="I8864" i="2"/>
  <c r="H8864" i="2"/>
  <c r="G8864" i="2"/>
  <c r="F8864" i="2"/>
  <c r="E8864" i="2"/>
  <c r="D8864" i="2"/>
  <c r="C8864" i="2"/>
  <c r="B8864" i="2"/>
  <c r="A8864" i="2"/>
  <c r="U8863" i="2"/>
  <c r="N8863" i="2"/>
  <c r="M8863" i="2"/>
  <c r="J8863" i="2"/>
  <c r="I8863" i="2"/>
  <c r="H8863" i="2"/>
  <c r="G8863" i="2"/>
  <c r="F8863" i="2"/>
  <c r="E8863" i="2"/>
  <c r="D8863" i="2"/>
  <c r="C8863" i="2"/>
  <c r="B8863" i="2"/>
  <c r="A8863" i="2"/>
  <c r="U8862" i="2"/>
  <c r="N8862" i="2"/>
  <c r="M8862" i="2"/>
  <c r="J8862" i="2"/>
  <c r="I8862" i="2"/>
  <c r="H8862" i="2"/>
  <c r="G8862" i="2"/>
  <c r="F8862" i="2"/>
  <c r="E8862" i="2"/>
  <c r="D8862" i="2"/>
  <c r="C8862" i="2"/>
  <c r="B8862" i="2"/>
  <c r="A8862" i="2"/>
  <c r="U8861" i="2"/>
  <c r="N8861" i="2"/>
  <c r="M8861" i="2"/>
  <c r="J8861" i="2"/>
  <c r="I8861" i="2"/>
  <c r="H8861" i="2"/>
  <c r="G8861" i="2"/>
  <c r="F8861" i="2"/>
  <c r="E8861" i="2"/>
  <c r="D8861" i="2"/>
  <c r="C8861" i="2"/>
  <c r="B8861" i="2"/>
  <c r="A8861" i="2"/>
  <c r="U8860" i="2"/>
  <c r="N8860" i="2"/>
  <c r="M8860" i="2"/>
  <c r="J8860" i="2"/>
  <c r="I8860" i="2"/>
  <c r="H8860" i="2"/>
  <c r="G8860" i="2"/>
  <c r="F8860" i="2"/>
  <c r="E8860" i="2"/>
  <c r="D8860" i="2"/>
  <c r="C8860" i="2"/>
  <c r="B8860" i="2"/>
  <c r="A8860" i="2"/>
  <c r="U8859" i="2"/>
  <c r="N8859" i="2"/>
  <c r="M8859" i="2"/>
  <c r="J8859" i="2"/>
  <c r="I8859" i="2"/>
  <c r="H8859" i="2"/>
  <c r="G8859" i="2"/>
  <c r="F8859" i="2"/>
  <c r="E8859" i="2"/>
  <c r="D8859" i="2"/>
  <c r="C8859" i="2"/>
  <c r="B8859" i="2"/>
  <c r="A8859" i="2"/>
  <c r="U8858" i="2"/>
  <c r="N8858" i="2"/>
  <c r="M8858" i="2"/>
  <c r="J8858" i="2"/>
  <c r="I8858" i="2"/>
  <c r="H8858" i="2"/>
  <c r="G8858" i="2"/>
  <c r="F8858" i="2"/>
  <c r="E8858" i="2"/>
  <c r="D8858" i="2"/>
  <c r="C8858" i="2"/>
  <c r="B8858" i="2"/>
  <c r="A8858" i="2"/>
  <c r="U8857" i="2"/>
  <c r="N8857" i="2"/>
  <c r="M8857" i="2"/>
  <c r="J8857" i="2"/>
  <c r="I8857" i="2"/>
  <c r="H8857" i="2"/>
  <c r="G8857" i="2"/>
  <c r="F8857" i="2"/>
  <c r="E8857" i="2"/>
  <c r="D8857" i="2"/>
  <c r="C8857" i="2"/>
  <c r="B8857" i="2"/>
  <c r="A8857" i="2"/>
  <c r="U8856" i="2"/>
  <c r="N8856" i="2"/>
  <c r="M8856" i="2"/>
  <c r="J8856" i="2"/>
  <c r="I8856" i="2"/>
  <c r="H8856" i="2"/>
  <c r="G8856" i="2"/>
  <c r="F8856" i="2"/>
  <c r="E8856" i="2"/>
  <c r="D8856" i="2"/>
  <c r="C8856" i="2"/>
  <c r="B8856" i="2"/>
  <c r="A8856" i="2"/>
  <c r="U8855" i="2"/>
  <c r="N8855" i="2"/>
  <c r="M8855" i="2"/>
  <c r="J8855" i="2"/>
  <c r="I8855" i="2"/>
  <c r="H8855" i="2"/>
  <c r="G8855" i="2"/>
  <c r="F8855" i="2"/>
  <c r="E8855" i="2"/>
  <c r="D8855" i="2"/>
  <c r="C8855" i="2"/>
  <c r="B8855" i="2"/>
  <c r="A8855" i="2"/>
  <c r="U8854" i="2"/>
  <c r="N8854" i="2"/>
  <c r="M8854" i="2"/>
  <c r="J8854" i="2"/>
  <c r="I8854" i="2"/>
  <c r="H8854" i="2"/>
  <c r="G8854" i="2"/>
  <c r="F8854" i="2"/>
  <c r="E8854" i="2"/>
  <c r="D8854" i="2"/>
  <c r="C8854" i="2"/>
  <c r="B8854" i="2"/>
  <c r="A8854" i="2"/>
  <c r="U8853" i="2"/>
  <c r="N8853" i="2"/>
  <c r="M8853" i="2"/>
  <c r="J8853" i="2"/>
  <c r="I8853" i="2"/>
  <c r="H8853" i="2"/>
  <c r="G8853" i="2"/>
  <c r="F8853" i="2"/>
  <c r="E8853" i="2"/>
  <c r="D8853" i="2"/>
  <c r="C8853" i="2"/>
  <c r="B8853" i="2"/>
  <c r="A8853" i="2"/>
  <c r="U8852" i="2"/>
  <c r="N8852" i="2"/>
  <c r="M8852" i="2"/>
  <c r="J8852" i="2"/>
  <c r="I8852" i="2"/>
  <c r="H8852" i="2"/>
  <c r="G8852" i="2"/>
  <c r="F8852" i="2"/>
  <c r="E8852" i="2"/>
  <c r="D8852" i="2"/>
  <c r="C8852" i="2"/>
  <c r="B8852" i="2"/>
  <c r="A8852" i="2"/>
  <c r="U8851" i="2"/>
  <c r="N8851" i="2"/>
  <c r="M8851" i="2"/>
  <c r="J8851" i="2"/>
  <c r="I8851" i="2"/>
  <c r="H8851" i="2"/>
  <c r="G8851" i="2"/>
  <c r="F8851" i="2"/>
  <c r="E8851" i="2"/>
  <c r="D8851" i="2"/>
  <c r="C8851" i="2"/>
  <c r="B8851" i="2"/>
  <c r="A8851" i="2"/>
  <c r="Q8850" i="2"/>
  <c r="U8850" i="2" s="1"/>
  <c r="N8850" i="2"/>
  <c r="M8850" i="2"/>
  <c r="J8850" i="2"/>
  <c r="I8850" i="2"/>
  <c r="H8850" i="2"/>
  <c r="G8850" i="2"/>
  <c r="F8850" i="2"/>
  <c r="E8850" i="2"/>
  <c r="D8850" i="2"/>
  <c r="C8850" i="2"/>
  <c r="B8850" i="2"/>
  <c r="A8850" i="2"/>
  <c r="U8849" i="2"/>
  <c r="N8849" i="2"/>
  <c r="M8849" i="2"/>
  <c r="J8849" i="2"/>
  <c r="I8849" i="2"/>
  <c r="H8849" i="2"/>
  <c r="G8849" i="2"/>
  <c r="F8849" i="2"/>
  <c r="E8849" i="2"/>
  <c r="D8849" i="2"/>
  <c r="C8849" i="2"/>
  <c r="B8849" i="2"/>
  <c r="A8849" i="2"/>
  <c r="U8848" i="2"/>
  <c r="N8848" i="2"/>
  <c r="M8848" i="2"/>
  <c r="J8848" i="2"/>
  <c r="I8848" i="2"/>
  <c r="H8848" i="2"/>
  <c r="G8848" i="2"/>
  <c r="F8848" i="2"/>
  <c r="E8848" i="2"/>
  <c r="D8848" i="2"/>
  <c r="C8848" i="2"/>
  <c r="B8848" i="2"/>
  <c r="A8848" i="2"/>
  <c r="U8847" i="2"/>
  <c r="N8847" i="2"/>
  <c r="M8847" i="2"/>
  <c r="J8847" i="2"/>
  <c r="I8847" i="2"/>
  <c r="H8847" i="2"/>
  <c r="G8847" i="2"/>
  <c r="F8847" i="2"/>
  <c r="E8847" i="2"/>
  <c r="D8847" i="2"/>
  <c r="C8847" i="2"/>
  <c r="B8847" i="2"/>
  <c r="A8847" i="2"/>
  <c r="Q8846" i="2"/>
  <c r="U8846" i="2" s="1"/>
  <c r="N8846" i="2"/>
  <c r="M8846" i="2"/>
  <c r="J8846" i="2"/>
  <c r="I8846" i="2"/>
  <c r="H8846" i="2"/>
  <c r="G8846" i="2"/>
  <c r="F8846" i="2"/>
  <c r="E8846" i="2"/>
  <c r="D8846" i="2"/>
  <c r="C8846" i="2"/>
  <c r="B8846" i="2"/>
  <c r="A8846" i="2"/>
  <c r="U8845" i="2"/>
  <c r="N8845" i="2"/>
  <c r="M8845" i="2"/>
  <c r="J8845" i="2"/>
  <c r="I8845" i="2"/>
  <c r="H8845" i="2"/>
  <c r="G8845" i="2"/>
  <c r="F8845" i="2"/>
  <c r="E8845" i="2"/>
  <c r="D8845" i="2"/>
  <c r="C8845" i="2"/>
  <c r="B8845" i="2"/>
  <c r="A8845" i="2"/>
  <c r="U8844" i="2"/>
  <c r="N8844" i="2"/>
  <c r="M8844" i="2"/>
  <c r="J8844" i="2"/>
  <c r="I8844" i="2"/>
  <c r="H8844" i="2"/>
  <c r="G8844" i="2"/>
  <c r="F8844" i="2"/>
  <c r="E8844" i="2"/>
  <c r="D8844" i="2"/>
  <c r="C8844" i="2"/>
  <c r="B8844" i="2"/>
  <c r="A8844" i="2"/>
  <c r="U8843" i="2"/>
  <c r="N8843" i="2"/>
  <c r="M8843" i="2"/>
  <c r="J8843" i="2"/>
  <c r="I8843" i="2"/>
  <c r="H8843" i="2"/>
  <c r="G8843" i="2"/>
  <c r="F8843" i="2"/>
  <c r="E8843" i="2"/>
  <c r="D8843" i="2"/>
  <c r="C8843" i="2"/>
  <c r="B8843" i="2"/>
  <c r="A8843" i="2"/>
  <c r="U8842" i="2"/>
  <c r="N8842" i="2"/>
  <c r="M8842" i="2"/>
  <c r="J8842" i="2"/>
  <c r="I8842" i="2"/>
  <c r="H8842" i="2"/>
  <c r="G8842" i="2"/>
  <c r="F8842" i="2"/>
  <c r="E8842" i="2"/>
  <c r="D8842" i="2"/>
  <c r="C8842" i="2"/>
  <c r="B8842" i="2"/>
  <c r="A8842" i="2"/>
  <c r="U8841" i="2"/>
  <c r="N8841" i="2"/>
  <c r="M8841" i="2"/>
  <c r="J8841" i="2"/>
  <c r="I8841" i="2"/>
  <c r="H8841" i="2"/>
  <c r="G8841" i="2"/>
  <c r="F8841" i="2"/>
  <c r="E8841" i="2"/>
  <c r="D8841" i="2"/>
  <c r="C8841" i="2"/>
  <c r="B8841" i="2"/>
  <c r="A8841" i="2"/>
  <c r="U8840" i="2"/>
  <c r="N8840" i="2"/>
  <c r="M8840" i="2"/>
  <c r="J8840" i="2"/>
  <c r="I8840" i="2"/>
  <c r="H8840" i="2"/>
  <c r="G8840" i="2"/>
  <c r="F8840" i="2"/>
  <c r="E8840" i="2"/>
  <c r="D8840" i="2"/>
  <c r="C8840" i="2"/>
  <c r="B8840" i="2"/>
  <c r="A8840" i="2"/>
  <c r="U8839" i="2"/>
  <c r="N8839" i="2"/>
  <c r="M8839" i="2"/>
  <c r="J8839" i="2"/>
  <c r="I8839" i="2"/>
  <c r="H8839" i="2"/>
  <c r="G8839" i="2"/>
  <c r="F8839" i="2"/>
  <c r="E8839" i="2"/>
  <c r="D8839" i="2"/>
  <c r="C8839" i="2"/>
  <c r="B8839" i="2"/>
  <c r="A8839" i="2"/>
  <c r="U8838" i="2"/>
  <c r="N8838" i="2"/>
  <c r="M8838" i="2"/>
  <c r="J8838" i="2"/>
  <c r="I8838" i="2"/>
  <c r="H8838" i="2"/>
  <c r="G8838" i="2"/>
  <c r="F8838" i="2"/>
  <c r="E8838" i="2"/>
  <c r="D8838" i="2"/>
  <c r="C8838" i="2"/>
  <c r="B8838" i="2"/>
  <c r="A8838" i="2"/>
  <c r="U8837" i="2"/>
  <c r="N8837" i="2"/>
  <c r="M8837" i="2"/>
  <c r="J8837" i="2"/>
  <c r="I8837" i="2"/>
  <c r="H8837" i="2"/>
  <c r="G8837" i="2"/>
  <c r="F8837" i="2"/>
  <c r="E8837" i="2"/>
  <c r="D8837" i="2"/>
  <c r="C8837" i="2"/>
  <c r="B8837" i="2"/>
  <c r="A8837" i="2"/>
  <c r="U8836" i="2"/>
  <c r="N8836" i="2"/>
  <c r="M8836" i="2"/>
  <c r="J8836" i="2"/>
  <c r="I8836" i="2"/>
  <c r="H8836" i="2"/>
  <c r="G8836" i="2"/>
  <c r="F8836" i="2"/>
  <c r="E8836" i="2"/>
  <c r="D8836" i="2"/>
  <c r="C8836" i="2"/>
  <c r="B8836" i="2"/>
  <c r="A8836" i="2"/>
  <c r="U8835" i="2"/>
  <c r="N8835" i="2"/>
  <c r="M8835" i="2"/>
  <c r="J8835" i="2"/>
  <c r="I8835" i="2"/>
  <c r="H8835" i="2"/>
  <c r="G8835" i="2"/>
  <c r="F8835" i="2"/>
  <c r="E8835" i="2"/>
  <c r="D8835" i="2"/>
  <c r="C8835" i="2"/>
  <c r="B8835" i="2"/>
  <c r="A8835" i="2"/>
  <c r="U8834" i="2"/>
  <c r="N8834" i="2"/>
  <c r="M8834" i="2"/>
  <c r="J8834" i="2"/>
  <c r="I8834" i="2"/>
  <c r="H8834" i="2"/>
  <c r="G8834" i="2"/>
  <c r="F8834" i="2"/>
  <c r="E8834" i="2"/>
  <c r="D8834" i="2"/>
  <c r="C8834" i="2"/>
  <c r="B8834" i="2"/>
  <c r="A8834" i="2"/>
  <c r="U8833" i="2"/>
  <c r="N8833" i="2"/>
  <c r="M8833" i="2"/>
  <c r="J8833" i="2"/>
  <c r="I8833" i="2"/>
  <c r="H8833" i="2"/>
  <c r="G8833" i="2"/>
  <c r="F8833" i="2"/>
  <c r="E8833" i="2"/>
  <c r="D8833" i="2"/>
  <c r="C8833" i="2"/>
  <c r="B8833" i="2"/>
  <c r="A8833" i="2"/>
  <c r="R8832" i="2"/>
  <c r="U8832" i="2" s="1"/>
  <c r="Q8832" i="2"/>
  <c r="N8832" i="2"/>
  <c r="M8832" i="2"/>
  <c r="J8832" i="2"/>
  <c r="I8832" i="2"/>
  <c r="H8832" i="2"/>
  <c r="G8832" i="2"/>
  <c r="F8832" i="2"/>
  <c r="E8832" i="2"/>
  <c r="D8832" i="2"/>
  <c r="C8832" i="2"/>
  <c r="B8832" i="2"/>
  <c r="A8832" i="2"/>
  <c r="R8831" i="2"/>
  <c r="Q8831" i="2"/>
  <c r="N8831" i="2"/>
  <c r="M8831" i="2"/>
  <c r="J8831" i="2"/>
  <c r="I8831" i="2"/>
  <c r="H8831" i="2"/>
  <c r="G8831" i="2"/>
  <c r="F8831" i="2"/>
  <c r="E8831" i="2"/>
  <c r="D8831" i="2"/>
  <c r="C8831" i="2"/>
  <c r="B8831" i="2"/>
  <c r="A8831" i="2"/>
  <c r="R8830" i="2"/>
  <c r="U8830" i="2" s="1"/>
  <c r="Q8830" i="2"/>
  <c r="N8830" i="2"/>
  <c r="M8830" i="2"/>
  <c r="J8830" i="2"/>
  <c r="I8830" i="2"/>
  <c r="H8830" i="2"/>
  <c r="G8830" i="2"/>
  <c r="F8830" i="2"/>
  <c r="E8830" i="2"/>
  <c r="D8830" i="2"/>
  <c r="C8830" i="2"/>
  <c r="B8830" i="2"/>
  <c r="A8830" i="2"/>
  <c r="R8829" i="2"/>
  <c r="Q8829" i="2"/>
  <c r="N8829" i="2"/>
  <c r="M8829" i="2"/>
  <c r="J8829" i="2"/>
  <c r="I8829" i="2"/>
  <c r="H8829" i="2"/>
  <c r="G8829" i="2"/>
  <c r="F8829" i="2"/>
  <c r="E8829" i="2"/>
  <c r="D8829" i="2"/>
  <c r="C8829" i="2"/>
  <c r="B8829" i="2"/>
  <c r="A8829" i="2"/>
  <c r="U8828" i="2"/>
  <c r="N8828" i="2"/>
  <c r="M8828" i="2"/>
  <c r="J8828" i="2"/>
  <c r="I8828" i="2"/>
  <c r="H8828" i="2"/>
  <c r="G8828" i="2"/>
  <c r="F8828" i="2"/>
  <c r="E8828" i="2"/>
  <c r="D8828" i="2"/>
  <c r="C8828" i="2"/>
  <c r="B8828" i="2"/>
  <c r="A8828" i="2"/>
  <c r="U8827" i="2"/>
  <c r="N8827" i="2"/>
  <c r="M8827" i="2"/>
  <c r="J8827" i="2"/>
  <c r="I8827" i="2"/>
  <c r="H8827" i="2"/>
  <c r="G8827" i="2"/>
  <c r="F8827" i="2"/>
  <c r="E8827" i="2"/>
  <c r="D8827" i="2"/>
  <c r="C8827" i="2"/>
  <c r="B8827" i="2"/>
  <c r="A8827" i="2"/>
  <c r="U8826" i="2"/>
  <c r="N8826" i="2"/>
  <c r="M8826" i="2"/>
  <c r="J8826" i="2"/>
  <c r="I8826" i="2"/>
  <c r="H8826" i="2"/>
  <c r="G8826" i="2"/>
  <c r="F8826" i="2"/>
  <c r="E8826" i="2"/>
  <c r="D8826" i="2"/>
  <c r="C8826" i="2"/>
  <c r="B8826" i="2"/>
  <c r="A8826" i="2"/>
  <c r="U8825" i="2"/>
  <c r="N8825" i="2"/>
  <c r="M8825" i="2"/>
  <c r="J8825" i="2"/>
  <c r="I8825" i="2"/>
  <c r="H8825" i="2"/>
  <c r="G8825" i="2"/>
  <c r="F8825" i="2"/>
  <c r="E8825" i="2"/>
  <c r="D8825" i="2"/>
  <c r="C8825" i="2"/>
  <c r="B8825" i="2"/>
  <c r="A8825" i="2"/>
  <c r="U8824" i="2"/>
  <c r="N8824" i="2"/>
  <c r="M8824" i="2"/>
  <c r="J8824" i="2"/>
  <c r="I8824" i="2"/>
  <c r="H8824" i="2"/>
  <c r="G8824" i="2"/>
  <c r="F8824" i="2"/>
  <c r="E8824" i="2"/>
  <c r="D8824" i="2"/>
  <c r="C8824" i="2"/>
  <c r="B8824" i="2"/>
  <c r="A8824" i="2"/>
  <c r="U8823" i="2"/>
  <c r="N8823" i="2"/>
  <c r="M8823" i="2"/>
  <c r="J8823" i="2"/>
  <c r="I8823" i="2"/>
  <c r="H8823" i="2"/>
  <c r="G8823" i="2"/>
  <c r="F8823" i="2"/>
  <c r="E8823" i="2"/>
  <c r="D8823" i="2"/>
  <c r="C8823" i="2"/>
  <c r="B8823" i="2"/>
  <c r="A8823" i="2"/>
  <c r="U8822" i="2"/>
  <c r="N8822" i="2"/>
  <c r="M8822" i="2"/>
  <c r="J8822" i="2"/>
  <c r="I8822" i="2"/>
  <c r="H8822" i="2"/>
  <c r="G8822" i="2"/>
  <c r="F8822" i="2"/>
  <c r="E8822" i="2"/>
  <c r="D8822" i="2"/>
  <c r="C8822" i="2"/>
  <c r="B8822" i="2"/>
  <c r="A8822" i="2"/>
  <c r="U8821" i="2"/>
  <c r="N8821" i="2"/>
  <c r="M8821" i="2"/>
  <c r="J8821" i="2"/>
  <c r="I8821" i="2"/>
  <c r="H8821" i="2"/>
  <c r="G8821" i="2"/>
  <c r="F8821" i="2"/>
  <c r="E8821" i="2"/>
  <c r="D8821" i="2"/>
  <c r="C8821" i="2"/>
  <c r="B8821" i="2"/>
  <c r="A8821" i="2"/>
  <c r="U8820" i="2"/>
  <c r="N8820" i="2"/>
  <c r="M8820" i="2"/>
  <c r="J8820" i="2"/>
  <c r="I8820" i="2"/>
  <c r="H8820" i="2"/>
  <c r="G8820" i="2"/>
  <c r="F8820" i="2"/>
  <c r="E8820" i="2"/>
  <c r="D8820" i="2"/>
  <c r="C8820" i="2"/>
  <c r="B8820" i="2"/>
  <c r="A8820" i="2"/>
  <c r="Q8819" i="2"/>
  <c r="U8819" i="2" s="1"/>
  <c r="N8819" i="2"/>
  <c r="M8819" i="2"/>
  <c r="J8819" i="2"/>
  <c r="I8819" i="2"/>
  <c r="H8819" i="2"/>
  <c r="G8819" i="2"/>
  <c r="F8819" i="2"/>
  <c r="E8819" i="2"/>
  <c r="D8819" i="2"/>
  <c r="C8819" i="2"/>
  <c r="B8819" i="2"/>
  <c r="A8819" i="2"/>
  <c r="U8818" i="2"/>
  <c r="N8818" i="2"/>
  <c r="M8818" i="2"/>
  <c r="J8818" i="2"/>
  <c r="I8818" i="2"/>
  <c r="H8818" i="2"/>
  <c r="G8818" i="2"/>
  <c r="F8818" i="2"/>
  <c r="E8818" i="2"/>
  <c r="D8818" i="2"/>
  <c r="C8818" i="2"/>
  <c r="B8818" i="2"/>
  <c r="A8818" i="2"/>
  <c r="Q8817" i="2"/>
  <c r="U8817" i="2" s="1"/>
  <c r="N8817" i="2"/>
  <c r="M8817" i="2"/>
  <c r="J8817" i="2"/>
  <c r="I8817" i="2"/>
  <c r="H8817" i="2"/>
  <c r="G8817" i="2"/>
  <c r="F8817" i="2"/>
  <c r="E8817" i="2"/>
  <c r="D8817" i="2"/>
  <c r="C8817" i="2"/>
  <c r="B8817" i="2"/>
  <c r="A8817" i="2"/>
  <c r="U8816" i="2"/>
  <c r="N8816" i="2"/>
  <c r="M8816" i="2"/>
  <c r="J8816" i="2"/>
  <c r="I8816" i="2"/>
  <c r="H8816" i="2"/>
  <c r="G8816" i="2"/>
  <c r="F8816" i="2"/>
  <c r="E8816" i="2"/>
  <c r="D8816" i="2"/>
  <c r="C8816" i="2"/>
  <c r="B8816" i="2"/>
  <c r="A8816" i="2"/>
  <c r="U8815" i="2"/>
  <c r="N8815" i="2"/>
  <c r="M8815" i="2"/>
  <c r="J8815" i="2"/>
  <c r="I8815" i="2"/>
  <c r="H8815" i="2"/>
  <c r="G8815" i="2"/>
  <c r="F8815" i="2"/>
  <c r="E8815" i="2"/>
  <c r="D8815" i="2"/>
  <c r="C8815" i="2"/>
  <c r="B8815" i="2"/>
  <c r="A8815" i="2"/>
  <c r="U8814" i="2"/>
  <c r="N8814" i="2"/>
  <c r="M8814" i="2"/>
  <c r="J8814" i="2"/>
  <c r="I8814" i="2"/>
  <c r="H8814" i="2"/>
  <c r="G8814" i="2"/>
  <c r="F8814" i="2"/>
  <c r="E8814" i="2"/>
  <c r="D8814" i="2"/>
  <c r="C8814" i="2"/>
  <c r="B8814" i="2"/>
  <c r="A8814" i="2"/>
  <c r="U8813" i="2"/>
  <c r="N8813" i="2"/>
  <c r="M8813" i="2"/>
  <c r="J8813" i="2"/>
  <c r="I8813" i="2"/>
  <c r="H8813" i="2"/>
  <c r="G8813" i="2"/>
  <c r="F8813" i="2"/>
  <c r="E8813" i="2"/>
  <c r="D8813" i="2"/>
  <c r="C8813" i="2"/>
  <c r="B8813" i="2"/>
  <c r="A8813" i="2"/>
  <c r="U8812" i="2"/>
  <c r="N8812" i="2"/>
  <c r="M8812" i="2"/>
  <c r="J8812" i="2"/>
  <c r="I8812" i="2"/>
  <c r="H8812" i="2"/>
  <c r="G8812" i="2"/>
  <c r="F8812" i="2"/>
  <c r="E8812" i="2"/>
  <c r="D8812" i="2"/>
  <c r="C8812" i="2"/>
  <c r="B8812" i="2"/>
  <c r="A8812" i="2"/>
  <c r="U8811" i="2"/>
  <c r="N8811" i="2"/>
  <c r="M8811" i="2"/>
  <c r="J8811" i="2"/>
  <c r="I8811" i="2"/>
  <c r="H8811" i="2"/>
  <c r="G8811" i="2"/>
  <c r="F8811" i="2"/>
  <c r="E8811" i="2"/>
  <c r="D8811" i="2"/>
  <c r="C8811" i="2"/>
  <c r="B8811" i="2"/>
  <c r="A8811" i="2"/>
  <c r="Q8810" i="2"/>
  <c r="U8810" i="2" s="1"/>
  <c r="N8810" i="2"/>
  <c r="M8810" i="2"/>
  <c r="J8810" i="2"/>
  <c r="I8810" i="2"/>
  <c r="H8810" i="2"/>
  <c r="G8810" i="2"/>
  <c r="F8810" i="2"/>
  <c r="E8810" i="2"/>
  <c r="D8810" i="2"/>
  <c r="C8810" i="2"/>
  <c r="B8810" i="2"/>
  <c r="A8810" i="2"/>
  <c r="U8809" i="2"/>
  <c r="N8809" i="2"/>
  <c r="M8809" i="2"/>
  <c r="J8809" i="2"/>
  <c r="I8809" i="2"/>
  <c r="H8809" i="2"/>
  <c r="G8809" i="2"/>
  <c r="F8809" i="2"/>
  <c r="E8809" i="2"/>
  <c r="D8809" i="2"/>
  <c r="C8809" i="2"/>
  <c r="B8809" i="2"/>
  <c r="A8809" i="2"/>
  <c r="U8808" i="2"/>
  <c r="N8808" i="2"/>
  <c r="M8808" i="2"/>
  <c r="J8808" i="2"/>
  <c r="I8808" i="2"/>
  <c r="H8808" i="2"/>
  <c r="G8808" i="2"/>
  <c r="F8808" i="2"/>
  <c r="E8808" i="2"/>
  <c r="D8808" i="2"/>
  <c r="C8808" i="2"/>
  <c r="B8808" i="2"/>
  <c r="A8808" i="2"/>
  <c r="U8807" i="2"/>
  <c r="N8807" i="2"/>
  <c r="M8807" i="2"/>
  <c r="J8807" i="2"/>
  <c r="I8807" i="2"/>
  <c r="H8807" i="2"/>
  <c r="G8807" i="2"/>
  <c r="F8807" i="2"/>
  <c r="E8807" i="2"/>
  <c r="D8807" i="2"/>
  <c r="C8807" i="2"/>
  <c r="B8807" i="2"/>
  <c r="A8807" i="2"/>
  <c r="U8806" i="2"/>
  <c r="N8806" i="2"/>
  <c r="M8806" i="2"/>
  <c r="J8806" i="2"/>
  <c r="I8806" i="2"/>
  <c r="H8806" i="2"/>
  <c r="G8806" i="2"/>
  <c r="F8806" i="2"/>
  <c r="E8806" i="2"/>
  <c r="D8806" i="2"/>
  <c r="C8806" i="2"/>
  <c r="B8806" i="2"/>
  <c r="A8806" i="2"/>
  <c r="U8805" i="2"/>
  <c r="N8805" i="2"/>
  <c r="M8805" i="2"/>
  <c r="J8805" i="2"/>
  <c r="I8805" i="2"/>
  <c r="H8805" i="2"/>
  <c r="G8805" i="2"/>
  <c r="F8805" i="2"/>
  <c r="E8805" i="2"/>
  <c r="D8805" i="2"/>
  <c r="C8805" i="2"/>
  <c r="B8805" i="2"/>
  <c r="A8805" i="2"/>
  <c r="U8804" i="2"/>
  <c r="N8804" i="2"/>
  <c r="M8804" i="2"/>
  <c r="J8804" i="2"/>
  <c r="I8804" i="2"/>
  <c r="H8804" i="2"/>
  <c r="G8804" i="2"/>
  <c r="F8804" i="2"/>
  <c r="E8804" i="2"/>
  <c r="D8804" i="2"/>
  <c r="C8804" i="2"/>
  <c r="B8804" i="2"/>
  <c r="A8804" i="2"/>
  <c r="Q8803" i="2"/>
  <c r="U8803" i="2" s="1"/>
  <c r="N8803" i="2"/>
  <c r="M8803" i="2"/>
  <c r="J8803" i="2"/>
  <c r="I8803" i="2"/>
  <c r="H8803" i="2"/>
  <c r="G8803" i="2"/>
  <c r="F8803" i="2"/>
  <c r="E8803" i="2"/>
  <c r="D8803" i="2"/>
  <c r="C8803" i="2"/>
  <c r="B8803" i="2"/>
  <c r="A8803" i="2"/>
  <c r="U8802" i="2"/>
  <c r="N8802" i="2"/>
  <c r="M8802" i="2"/>
  <c r="J8802" i="2"/>
  <c r="I8802" i="2"/>
  <c r="H8802" i="2"/>
  <c r="G8802" i="2"/>
  <c r="F8802" i="2"/>
  <c r="E8802" i="2"/>
  <c r="D8802" i="2"/>
  <c r="C8802" i="2"/>
  <c r="B8802" i="2"/>
  <c r="A8802" i="2"/>
  <c r="U8801" i="2"/>
  <c r="N8801" i="2"/>
  <c r="M8801" i="2"/>
  <c r="J8801" i="2"/>
  <c r="I8801" i="2"/>
  <c r="H8801" i="2"/>
  <c r="G8801" i="2"/>
  <c r="F8801" i="2"/>
  <c r="E8801" i="2"/>
  <c r="D8801" i="2"/>
  <c r="C8801" i="2"/>
  <c r="B8801" i="2"/>
  <c r="A8801" i="2"/>
  <c r="U8800" i="2"/>
  <c r="N8800" i="2"/>
  <c r="M8800" i="2"/>
  <c r="J8800" i="2"/>
  <c r="I8800" i="2"/>
  <c r="H8800" i="2"/>
  <c r="G8800" i="2"/>
  <c r="F8800" i="2"/>
  <c r="E8800" i="2"/>
  <c r="D8800" i="2"/>
  <c r="C8800" i="2"/>
  <c r="B8800" i="2"/>
  <c r="A8800" i="2"/>
  <c r="U8799" i="2"/>
  <c r="N8799" i="2"/>
  <c r="M8799" i="2"/>
  <c r="J8799" i="2"/>
  <c r="I8799" i="2"/>
  <c r="H8799" i="2"/>
  <c r="G8799" i="2"/>
  <c r="F8799" i="2"/>
  <c r="E8799" i="2"/>
  <c r="D8799" i="2"/>
  <c r="C8799" i="2"/>
  <c r="B8799" i="2"/>
  <c r="A8799" i="2"/>
  <c r="U8798" i="2"/>
  <c r="N8798" i="2"/>
  <c r="M8798" i="2"/>
  <c r="J8798" i="2"/>
  <c r="I8798" i="2"/>
  <c r="H8798" i="2"/>
  <c r="G8798" i="2"/>
  <c r="F8798" i="2"/>
  <c r="E8798" i="2"/>
  <c r="D8798" i="2"/>
  <c r="C8798" i="2"/>
  <c r="B8798" i="2"/>
  <c r="A8798" i="2"/>
  <c r="U8797" i="2"/>
  <c r="N8797" i="2"/>
  <c r="M8797" i="2"/>
  <c r="J8797" i="2"/>
  <c r="I8797" i="2"/>
  <c r="H8797" i="2"/>
  <c r="G8797" i="2"/>
  <c r="F8797" i="2"/>
  <c r="E8797" i="2"/>
  <c r="D8797" i="2"/>
  <c r="C8797" i="2"/>
  <c r="B8797" i="2"/>
  <c r="A8797" i="2"/>
  <c r="U8796" i="2"/>
  <c r="N8796" i="2"/>
  <c r="M8796" i="2"/>
  <c r="J8796" i="2"/>
  <c r="I8796" i="2"/>
  <c r="H8796" i="2"/>
  <c r="G8796" i="2"/>
  <c r="F8796" i="2"/>
  <c r="E8796" i="2"/>
  <c r="D8796" i="2"/>
  <c r="C8796" i="2"/>
  <c r="B8796" i="2"/>
  <c r="A8796" i="2"/>
  <c r="U8795" i="2"/>
  <c r="N8795" i="2"/>
  <c r="M8795" i="2"/>
  <c r="J8795" i="2"/>
  <c r="I8795" i="2"/>
  <c r="H8795" i="2"/>
  <c r="G8795" i="2"/>
  <c r="F8795" i="2"/>
  <c r="E8795" i="2"/>
  <c r="D8795" i="2"/>
  <c r="C8795" i="2"/>
  <c r="B8795" i="2"/>
  <c r="A8795" i="2"/>
  <c r="U8794" i="2"/>
  <c r="N8794" i="2"/>
  <c r="M8794" i="2"/>
  <c r="J8794" i="2"/>
  <c r="I8794" i="2"/>
  <c r="H8794" i="2"/>
  <c r="G8794" i="2"/>
  <c r="F8794" i="2"/>
  <c r="E8794" i="2"/>
  <c r="D8794" i="2"/>
  <c r="C8794" i="2"/>
  <c r="B8794" i="2"/>
  <c r="A8794" i="2"/>
  <c r="U8793" i="2"/>
  <c r="N8793" i="2"/>
  <c r="M8793" i="2"/>
  <c r="J8793" i="2"/>
  <c r="I8793" i="2"/>
  <c r="H8793" i="2"/>
  <c r="G8793" i="2"/>
  <c r="F8793" i="2"/>
  <c r="E8793" i="2"/>
  <c r="D8793" i="2"/>
  <c r="C8793" i="2"/>
  <c r="B8793" i="2"/>
  <c r="A8793" i="2"/>
  <c r="Q8792" i="2"/>
  <c r="U8792" i="2" s="1"/>
  <c r="N8792" i="2"/>
  <c r="M8792" i="2"/>
  <c r="J8792" i="2"/>
  <c r="I8792" i="2"/>
  <c r="H8792" i="2"/>
  <c r="G8792" i="2"/>
  <c r="F8792" i="2"/>
  <c r="E8792" i="2"/>
  <c r="D8792" i="2"/>
  <c r="C8792" i="2"/>
  <c r="B8792" i="2"/>
  <c r="A8792" i="2"/>
  <c r="U8791" i="2"/>
  <c r="N8791" i="2"/>
  <c r="M8791" i="2"/>
  <c r="J8791" i="2"/>
  <c r="I8791" i="2"/>
  <c r="H8791" i="2"/>
  <c r="G8791" i="2"/>
  <c r="F8791" i="2"/>
  <c r="E8791" i="2"/>
  <c r="D8791" i="2"/>
  <c r="C8791" i="2"/>
  <c r="B8791" i="2"/>
  <c r="A8791" i="2"/>
  <c r="U8790" i="2"/>
  <c r="N8790" i="2"/>
  <c r="M8790" i="2"/>
  <c r="J8790" i="2"/>
  <c r="I8790" i="2"/>
  <c r="H8790" i="2"/>
  <c r="G8790" i="2"/>
  <c r="F8790" i="2"/>
  <c r="E8790" i="2"/>
  <c r="D8790" i="2"/>
  <c r="C8790" i="2"/>
  <c r="B8790" i="2"/>
  <c r="A8790" i="2"/>
  <c r="U8789" i="2"/>
  <c r="N8789" i="2"/>
  <c r="M8789" i="2"/>
  <c r="J8789" i="2"/>
  <c r="I8789" i="2"/>
  <c r="H8789" i="2"/>
  <c r="G8789" i="2"/>
  <c r="F8789" i="2"/>
  <c r="E8789" i="2"/>
  <c r="D8789" i="2"/>
  <c r="C8789" i="2"/>
  <c r="B8789" i="2"/>
  <c r="A8789" i="2"/>
  <c r="U8788" i="2"/>
  <c r="N8788" i="2"/>
  <c r="M8788" i="2"/>
  <c r="J8788" i="2"/>
  <c r="I8788" i="2"/>
  <c r="H8788" i="2"/>
  <c r="G8788" i="2"/>
  <c r="F8788" i="2"/>
  <c r="E8788" i="2"/>
  <c r="D8788" i="2"/>
  <c r="C8788" i="2"/>
  <c r="B8788" i="2"/>
  <c r="A8788" i="2"/>
  <c r="U8787" i="2"/>
  <c r="N8787" i="2"/>
  <c r="M8787" i="2"/>
  <c r="J8787" i="2"/>
  <c r="I8787" i="2"/>
  <c r="H8787" i="2"/>
  <c r="G8787" i="2"/>
  <c r="F8787" i="2"/>
  <c r="E8787" i="2"/>
  <c r="D8787" i="2"/>
  <c r="C8787" i="2"/>
  <c r="B8787" i="2"/>
  <c r="A8787" i="2"/>
  <c r="U8786" i="2"/>
  <c r="N8786" i="2"/>
  <c r="M8786" i="2"/>
  <c r="J8786" i="2"/>
  <c r="I8786" i="2"/>
  <c r="H8786" i="2"/>
  <c r="G8786" i="2"/>
  <c r="F8786" i="2"/>
  <c r="E8786" i="2"/>
  <c r="D8786" i="2"/>
  <c r="C8786" i="2"/>
  <c r="B8786" i="2"/>
  <c r="A8786" i="2"/>
  <c r="U8785" i="2"/>
  <c r="N8785" i="2"/>
  <c r="M8785" i="2"/>
  <c r="J8785" i="2"/>
  <c r="I8785" i="2"/>
  <c r="H8785" i="2"/>
  <c r="G8785" i="2"/>
  <c r="F8785" i="2"/>
  <c r="E8785" i="2"/>
  <c r="D8785" i="2"/>
  <c r="C8785" i="2"/>
  <c r="B8785" i="2"/>
  <c r="A8785" i="2"/>
  <c r="U8784" i="2"/>
  <c r="N8784" i="2"/>
  <c r="M8784" i="2"/>
  <c r="J8784" i="2"/>
  <c r="I8784" i="2"/>
  <c r="H8784" i="2"/>
  <c r="G8784" i="2"/>
  <c r="F8784" i="2"/>
  <c r="E8784" i="2"/>
  <c r="D8784" i="2"/>
  <c r="C8784" i="2"/>
  <c r="B8784" i="2"/>
  <c r="A8784" i="2"/>
  <c r="U8783" i="2"/>
  <c r="N8783" i="2"/>
  <c r="M8783" i="2"/>
  <c r="J8783" i="2"/>
  <c r="I8783" i="2"/>
  <c r="H8783" i="2"/>
  <c r="G8783" i="2"/>
  <c r="F8783" i="2"/>
  <c r="E8783" i="2"/>
  <c r="D8783" i="2"/>
  <c r="C8783" i="2"/>
  <c r="B8783" i="2"/>
  <c r="A8783" i="2"/>
  <c r="U8782" i="2"/>
  <c r="N8782" i="2"/>
  <c r="M8782" i="2"/>
  <c r="J8782" i="2"/>
  <c r="I8782" i="2"/>
  <c r="H8782" i="2"/>
  <c r="G8782" i="2"/>
  <c r="F8782" i="2"/>
  <c r="E8782" i="2"/>
  <c r="D8782" i="2"/>
  <c r="C8782" i="2"/>
  <c r="B8782" i="2"/>
  <c r="A8782" i="2"/>
  <c r="U8781" i="2"/>
  <c r="N8781" i="2"/>
  <c r="M8781" i="2"/>
  <c r="J8781" i="2"/>
  <c r="I8781" i="2"/>
  <c r="H8781" i="2"/>
  <c r="G8781" i="2"/>
  <c r="F8781" i="2"/>
  <c r="E8781" i="2"/>
  <c r="D8781" i="2"/>
  <c r="C8781" i="2"/>
  <c r="B8781" i="2"/>
  <c r="A8781" i="2"/>
  <c r="U8780" i="2"/>
  <c r="N8780" i="2"/>
  <c r="M8780" i="2"/>
  <c r="J8780" i="2"/>
  <c r="I8780" i="2"/>
  <c r="H8780" i="2"/>
  <c r="G8780" i="2"/>
  <c r="F8780" i="2"/>
  <c r="E8780" i="2"/>
  <c r="D8780" i="2"/>
  <c r="C8780" i="2"/>
  <c r="B8780" i="2"/>
  <c r="A8780" i="2"/>
  <c r="U8779" i="2"/>
  <c r="N8779" i="2"/>
  <c r="M8779" i="2"/>
  <c r="J8779" i="2"/>
  <c r="I8779" i="2"/>
  <c r="H8779" i="2"/>
  <c r="G8779" i="2"/>
  <c r="F8779" i="2"/>
  <c r="E8779" i="2"/>
  <c r="D8779" i="2"/>
  <c r="C8779" i="2"/>
  <c r="B8779" i="2"/>
  <c r="A8779" i="2"/>
  <c r="U8778" i="2"/>
  <c r="N8778" i="2"/>
  <c r="M8778" i="2"/>
  <c r="J8778" i="2"/>
  <c r="I8778" i="2"/>
  <c r="H8778" i="2"/>
  <c r="G8778" i="2"/>
  <c r="F8778" i="2"/>
  <c r="E8778" i="2"/>
  <c r="D8778" i="2"/>
  <c r="C8778" i="2"/>
  <c r="B8778" i="2"/>
  <c r="A8778" i="2"/>
  <c r="U8777" i="2"/>
  <c r="N8777" i="2"/>
  <c r="M8777" i="2"/>
  <c r="J8777" i="2"/>
  <c r="I8777" i="2"/>
  <c r="H8777" i="2"/>
  <c r="G8777" i="2"/>
  <c r="F8777" i="2"/>
  <c r="E8777" i="2"/>
  <c r="D8777" i="2"/>
  <c r="C8777" i="2"/>
  <c r="B8777" i="2"/>
  <c r="A8777" i="2"/>
  <c r="U8776" i="2"/>
  <c r="N8776" i="2"/>
  <c r="M8776" i="2"/>
  <c r="J8776" i="2"/>
  <c r="I8776" i="2"/>
  <c r="H8776" i="2"/>
  <c r="G8776" i="2"/>
  <c r="F8776" i="2"/>
  <c r="E8776" i="2"/>
  <c r="D8776" i="2"/>
  <c r="C8776" i="2"/>
  <c r="B8776" i="2"/>
  <c r="A8776" i="2"/>
  <c r="U8775" i="2"/>
  <c r="N8775" i="2"/>
  <c r="M8775" i="2"/>
  <c r="J8775" i="2"/>
  <c r="I8775" i="2"/>
  <c r="H8775" i="2"/>
  <c r="G8775" i="2"/>
  <c r="F8775" i="2"/>
  <c r="E8775" i="2"/>
  <c r="D8775" i="2"/>
  <c r="C8775" i="2"/>
  <c r="B8775" i="2"/>
  <c r="A8775" i="2"/>
  <c r="U8774" i="2"/>
  <c r="N8774" i="2"/>
  <c r="M8774" i="2"/>
  <c r="J8774" i="2"/>
  <c r="I8774" i="2"/>
  <c r="H8774" i="2"/>
  <c r="G8774" i="2"/>
  <c r="F8774" i="2"/>
  <c r="E8774" i="2"/>
  <c r="D8774" i="2"/>
  <c r="C8774" i="2"/>
  <c r="B8774" i="2"/>
  <c r="A8774" i="2"/>
  <c r="Q8773" i="2"/>
  <c r="U8773" i="2" s="1"/>
  <c r="N8773" i="2"/>
  <c r="M8773" i="2"/>
  <c r="J8773" i="2"/>
  <c r="I8773" i="2"/>
  <c r="H8773" i="2"/>
  <c r="G8773" i="2"/>
  <c r="F8773" i="2"/>
  <c r="E8773" i="2"/>
  <c r="D8773" i="2"/>
  <c r="C8773" i="2"/>
  <c r="B8773" i="2"/>
  <c r="A8773" i="2"/>
  <c r="U8772" i="2"/>
  <c r="N8772" i="2"/>
  <c r="M8772" i="2"/>
  <c r="J8772" i="2"/>
  <c r="I8772" i="2"/>
  <c r="H8772" i="2"/>
  <c r="G8772" i="2"/>
  <c r="F8772" i="2"/>
  <c r="E8772" i="2"/>
  <c r="D8772" i="2"/>
  <c r="C8772" i="2"/>
  <c r="B8772" i="2"/>
  <c r="A8772" i="2"/>
  <c r="U8771" i="2"/>
  <c r="N8771" i="2"/>
  <c r="M8771" i="2"/>
  <c r="J8771" i="2"/>
  <c r="I8771" i="2"/>
  <c r="H8771" i="2"/>
  <c r="G8771" i="2"/>
  <c r="F8771" i="2"/>
  <c r="E8771" i="2"/>
  <c r="D8771" i="2"/>
  <c r="C8771" i="2"/>
  <c r="B8771" i="2"/>
  <c r="A8771" i="2"/>
  <c r="U8770" i="2"/>
  <c r="N8770" i="2"/>
  <c r="M8770" i="2"/>
  <c r="J8770" i="2"/>
  <c r="I8770" i="2"/>
  <c r="H8770" i="2"/>
  <c r="G8770" i="2"/>
  <c r="F8770" i="2"/>
  <c r="E8770" i="2"/>
  <c r="D8770" i="2"/>
  <c r="C8770" i="2"/>
  <c r="B8770" i="2"/>
  <c r="A8770" i="2"/>
  <c r="U8769" i="2"/>
  <c r="N8769" i="2"/>
  <c r="M8769" i="2"/>
  <c r="J8769" i="2"/>
  <c r="I8769" i="2"/>
  <c r="H8769" i="2"/>
  <c r="G8769" i="2"/>
  <c r="F8769" i="2"/>
  <c r="E8769" i="2"/>
  <c r="D8769" i="2"/>
  <c r="C8769" i="2"/>
  <c r="B8769" i="2"/>
  <c r="A8769" i="2"/>
  <c r="U8768" i="2"/>
  <c r="N8768" i="2"/>
  <c r="M8768" i="2"/>
  <c r="J8768" i="2"/>
  <c r="I8768" i="2"/>
  <c r="H8768" i="2"/>
  <c r="G8768" i="2"/>
  <c r="F8768" i="2"/>
  <c r="E8768" i="2"/>
  <c r="D8768" i="2"/>
  <c r="C8768" i="2"/>
  <c r="B8768" i="2"/>
  <c r="A8768" i="2"/>
  <c r="U8767" i="2"/>
  <c r="N8767" i="2"/>
  <c r="M8767" i="2"/>
  <c r="J8767" i="2"/>
  <c r="I8767" i="2"/>
  <c r="H8767" i="2"/>
  <c r="G8767" i="2"/>
  <c r="F8767" i="2"/>
  <c r="E8767" i="2"/>
  <c r="D8767" i="2"/>
  <c r="C8767" i="2"/>
  <c r="B8767" i="2"/>
  <c r="A8767" i="2"/>
  <c r="U8766" i="2"/>
  <c r="N8766" i="2"/>
  <c r="M8766" i="2"/>
  <c r="J8766" i="2"/>
  <c r="I8766" i="2"/>
  <c r="H8766" i="2"/>
  <c r="G8766" i="2"/>
  <c r="F8766" i="2"/>
  <c r="E8766" i="2"/>
  <c r="D8766" i="2"/>
  <c r="C8766" i="2"/>
  <c r="B8766" i="2"/>
  <c r="A8766" i="2"/>
  <c r="U8765" i="2"/>
  <c r="N8765" i="2"/>
  <c r="M8765" i="2"/>
  <c r="J8765" i="2"/>
  <c r="I8765" i="2"/>
  <c r="H8765" i="2"/>
  <c r="G8765" i="2"/>
  <c r="F8765" i="2"/>
  <c r="E8765" i="2"/>
  <c r="D8765" i="2"/>
  <c r="C8765" i="2"/>
  <c r="B8765" i="2"/>
  <c r="A8765" i="2"/>
  <c r="U8764" i="2"/>
  <c r="N8764" i="2"/>
  <c r="M8764" i="2"/>
  <c r="J8764" i="2"/>
  <c r="I8764" i="2"/>
  <c r="H8764" i="2"/>
  <c r="G8764" i="2"/>
  <c r="F8764" i="2"/>
  <c r="E8764" i="2"/>
  <c r="D8764" i="2"/>
  <c r="C8764" i="2"/>
  <c r="B8764" i="2"/>
  <c r="A8764" i="2"/>
  <c r="U8763" i="2"/>
  <c r="N8763" i="2"/>
  <c r="M8763" i="2"/>
  <c r="J8763" i="2"/>
  <c r="I8763" i="2"/>
  <c r="H8763" i="2"/>
  <c r="G8763" i="2"/>
  <c r="F8763" i="2"/>
  <c r="E8763" i="2"/>
  <c r="D8763" i="2"/>
  <c r="C8763" i="2"/>
  <c r="B8763" i="2"/>
  <c r="A8763" i="2"/>
  <c r="U8762" i="2"/>
  <c r="N8762" i="2"/>
  <c r="M8762" i="2"/>
  <c r="J8762" i="2"/>
  <c r="I8762" i="2"/>
  <c r="H8762" i="2"/>
  <c r="G8762" i="2"/>
  <c r="F8762" i="2"/>
  <c r="E8762" i="2"/>
  <c r="D8762" i="2"/>
  <c r="C8762" i="2"/>
  <c r="B8762" i="2"/>
  <c r="A8762" i="2"/>
  <c r="U8761" i="2"/>
  <c r="N8761" i="2"/>
  <c r="M8761" i="2"/>
  <c r="J8761" i="2"/>
  <c r="I8761" i="2"/>
  <c r="H8761" i="2"/>
  <c r="G8761" i="2"/>
  <c r="F8761" i="2"/>
  <c r="E8761" i="2"/>
  <c r="D8761" i="2"/>
  <c r="C8761" i="2"/>
  <c r="B8761" i="2"/>
  <c r="A8761" i="2"/>
  <c r="Q8760" i="2"/>
  <c r="U8760" i="2" s="1"/>
  <c r="N8760" i="2"/>
  <c r="M8760" i="2"/>
  <c r="J8760" i="2"/>
  <c r="I8760" i="2"/>
  <c r="H8760" i="2"/>
  <c r="G8760" i="2"/>
  <c r="F8760" i="2"/>
  <c r="E8760" i="2"/>
  <c r="D8760" i="2"/>
  <c r="C8760" i="2"/>
  <c r="B8760" i="2"/>
  <c r="A8760" i="2"/>
  <c r="Q8759" i="2"/>
  <c r="U8759" i="2" s="1"/>
  <c r="N8759" i="2"/>
  <c r="M8759" i="2"/>
  <c r="J8759" i="2"/>
  <c r="I8759" i="2"/>
  <c r="H8759" i="2"/>
  <c r="G8759" i="2"/>
  <c r="F8759" i="2"/>
  <c r="E8759" i="2"/>
  <c r="D8759" i="2"/>
  <c r="C8759" i="2"/>
  <c r="B8759" i="2"/>
  <c r="A8759" i="2"/>
  <c r="U8758" i="2"/>
  <c r="N8758" i="2"/>
  <c r="M8758" i="2"/>
  <c r="J8758" i="2"/>
  <c r="I8758" i="2"/>
  <c r="H8758" i="2"/>
  <c r="G8758" i="2"/>
  <c r="F8758" i="2"/>
  <c r="E8758" i="2"/>
  <c r="D8758" i="2"/>
  <c r="C8758" i="2"/>
  <c r="B8758" i="2"/>
  <c r="A8758" i="2"/>
  <c r="U8757" i="2"/>
  <c r="N8757" i="2"/>
  <c r="M8757" i="2"/>
  <c r="J8757" i="2"/>
  <c r="I8757" i="2"/>
  <c r="H8757" i="2"/>
  <c r="G8757" i="2"/>
  <c r="F8757" i="2"/>
  <c r="E8757" i="2"/>
  <c r="D8757" i="2"/>
  <c r="C8757" i="2"/>
  <c r="B8757" i="2"/>
  <c r="A8757" i="2"/>
  <c r="U8756" i="2"/>
  <c r="N8756" i="2"/>
  <c r="M8756" i="2"/>
  <c r="J8756" i="2"/>
  <c r="I8756" i="2"/>
  <c r="H8756" i="2"/>
  <c r="G8756" i="2"/>
  <c r="F8756" i="2"/>
  <c r="E8756" i="2"/>
  <c r="D8756" i="2"/>
  <c r="C8756" i="2"/>
  <c r="B8756" i="2"/>
  <c r="A8756" i="2"/>
  <c r="U8755" i="2"/>
  <c r="N8755" i="2"/>
  <c r="M8755" i="2"/>
  <c r="J8755" i="2"/>
  <c r="I8755" i="2"/>
  <c r="H8755" i="2"/>
  <c r="G8755" i="2"/>
  <c r="F8755" i="2"/>
  <c r="E8755" i="2"/>
  <c r="D8755" i="2"/>
  <c r="C8755" i="2"/>
  <c r="B8755" i="2"/>
  <c r="A8755" i="2"/>
  <c r="U8754" i="2"/>
  <c r="N8754" i="2"/>
  <c r="M8754" i="2"/>
  <c r="J8754" i="2"/>
  <c r="I8754" i="2"/>
  <c r="H8754" i="2"/>
  <c r="G8754" i="2"/>
  <c r="F8754" i="2"/>
  <c r="E8754" i="2"/>
  <c r="D8754" i="2"/>
  <c r="C8754" i="2"/>
  <c r="B8754" i="2"/>
  <c r="A8754" i="2"/>
  <c r="U8753" i="2"/>
  <c r="N8753" i="2"/>
  <c r="M8753" i="2"/>
  <c r="J8753" i="2"/>
  <c r="I8753" i="2"/>
  <c r="H8753" i="2"/>
  <c r="G8753" i="2"/>
  <c r="F8753" i="2"/>
  <c r="E8753" i="2"/>
  <c r="D8753" i="2"/>
  <c r="C8753" i="2"/>
  <c r="B8753" i="2"/>
  <c r="A8753" i="2"/>
  <c r="U8752" i="2"/>
  <c r="N8752" i="2"/>
  <c r="M8752" i="2"/>
  <c r="J8752" i="2"/>
  <c r="I8752" i="2"/>
  <c r="H8752" i="2"/>
  <c r="G8752" i="2"/>
  <c r="F8752" i="2"/>
  <c r="E8752" i="2"/>
  <c r="D8752" i="2"/>
  <c r="C8752" i="2"/>
  <c r="B8752" i="2"/>
  <c r="A8752" i="2"/>
  <c r="U8751" i="2"/>
  <c r="N8751" i="2"/>
  <c r="M8751" i="2"/>
  <c r="J8751" i="2"/>
  <c r="I8751" i="2"/>
  <c r="H8751" i="2"/>
  <c r="G8751" i="2"/>
  <c r="F8751" i="2"/>
  <c r="E8751" i="2"/>
  <c r="D8751" i="2"/>
  <c r="C8751" i="2"/>
  <c r="B8751" i="2"/>
  <c r="A8751" i="2"/>
  <c r="U8750" i="2"/>
  <c r="N8750" i="2"/>
  <c r="M8750" i="2"/>
  <c r="J8750" i="2"/>
  <c r="I8750" i="2"/>
  <c r="H8750" i="2"/>
  <c r="G8750" i="2"/>
  <c r="F8750" i="2"/>
  <c r="E8750" i="2"/>
  <c r="D8750" i="2"/>
  <c r="C8750" i="2"/>
  <c r="B8750" i="2"/>
  <c r="A8750" i="2"/>
  <c r="U8749" i="2"/>
  <c r="N8749" i="2"/>
  <c r="M8749" i="2"/>
  <c r="J8749" i="2"/>
  <c r="I8749" i="2"/>
  <c r="H8749" i="2"/>
  <c r="G8749" i="2"/>
  <c r="F8749" i="2"/>
  <c r="E8749" i="2"/>
  <c r="D8749" i="2"/>
  <c r="C8749" i="2"/>
  <c r="B8749" i="2"/>
  <c r="A8749" i="2"/>
  <c r="U8748" i="2"/>
  <c r="N8748" i="2"/>
  <c r="M8748" i="2"/>
  <c r="J8748" i="2"/>
  <c r="I8748" i="2"/>
  <c r="H8748" i="2"/>
  <c r="G8748" i="2"/>
  <c r="F8748" i="2"/>
  <c r="E8748" i="2"/>
  <c r="D8748" i="2"/>
  <c r="C8748" i="2"/>
  <c r="B8748" i="2"/>
  <c r="A8748" i="2"/>
  <c r="U8747" i="2"/>
  <c r="N8747" i="2"/>
  <c r="M8747" i="2"/>
  <c r="J8747" i="2"/>
  <c r="I8747" i="2"/>
  <c r="H8747" i="2"/>
  <c r="G8747" i="2"/>
  <c r="F8747" i="2"/>
  <c r="E8747" i="2"/>
  <c r="D8747" i="2"/>
  <c r="C8747" i="2"/>
  <c r="B8747" i="2"/>
  <c r="A8747" i="2"/>
  <c r="U8746" i="2"/>
  <c r="N8746" i="2"/>
  <c r="M8746" i="2"/>
  <c r="J8746" i="2"/>
  <c r="I8746" i="2"/>
  <c r="H8746" i="2"/>
  <c r="G8746" i="2"/>
  <c r="F8746" i="2"/>
  <c r="E8746" i="2"/>
  <c r="D8746" i="2"/>
  <c r="C8746" i="2"/>
  <c r="B8746" i="2"/>
  <c r="A8746" i="2"/>
  <c r="U8745" i="2"/>
  <c r="N8745" i="2"/>
  <c r="M8745" i="2"/>
  <c r="J8745" i="2"/>
  <c r="I8745" i="2"/>
  <c r="H8745" i="2"/>
  <c r="G8745" i="2"/>
  <c r="F8745" i="2"/>
  <c r="E8745" i="2"/>
  <c r="D8745" i="2"/>
  <c r="C8745" i="2"/>
  <c r="B8745" i="2"/>
  <c r="A8745" i="2"/>
  <c r="U8744" i="2"/>
  <c r="N8744" i="2"/>
  <c r="M8744" i="2"/>
  <c r="J8744" i="2"/>
  <c r="I8744" i="2"/>
  <c r="H8744" i="2"/>
  <c r="G8744" i="2"/>
  <c r="F8744" i="2"/>
  <c r="E8744" i="2"/>
  <c r="D8744" i="2"/>
  <c r="C8744" i="2"/>
  <c r="B8744" i="2"/>
  <c r="A8744" i="2"/>
  <c r="U8743" i="2"/>
  <c r="N8743" i="2"/>
  <c r="M8743" i="2"/>
  <c r="J8743" i="2"/>
  <c r="I8743" i="2"/>
  <c r="H8743" i="2"/>
  <c r="G8743" i="2"/>
  <c r="F8743" i="2"/>
  <c r="E8743" i="2"/>
  <c r="D8743" i="2"/>
  <c r="C8743" i="2"/>
  <c r="B8743" i="2"/>
  <c r="A8743" i="2"/>
  <c r="U8742" i="2"/>
  <c r="N8742" i="2"/>
  <c r="M8742" i="2"/>
  <c r="J8742" i="2"/>
  <c r="I8742" i="2"/>
  <c r="H8742" i="2"/>
  <c r="G8742" i="2"/>
  <c r="F8742" i="2"/>
  <c r="E8742" i="2"/>
  <c r="D8742" i="2"/>
  <c r="C8742" i="2"/>
  <c r="B8742" i="2"/>
  <c r="A8742" i="2"/>
  <c r="U8741" i="2"/>
  <c r="N8741" i="2"/>
  <c r="M8741" i="2"/>
  <c r="J8741" i="2"/>
  <c r="I8741" i="2"/>
  <c r="H8741" i="2"/>
  <c r="G8741" i="2"/>
  <c r="F8741" i="2"/>
  <c r="E8741" i="2"/>
  <c r="D8741" i="2"/>
  <c r="C8741" i="2"/>
  <c r="B8741" i="2"/>
  <c r="A8741" i="2"/>
  <c r="U8740" i="2"/>
  <c r="N8740" i="2"/>
  <c r="M8740" i="2"/>
  <c r="J8740" i="2"/>
  <c r="I8740" i="2"/>
  <c r="H8740" i="2"/>
  <c r="G8740" i="2"/>
  <c r="F8740" i="2"/>
  <c r="E8740" i="2"/>
  <c r="D8740" i="2"/>
  <c r="C8740" i="2"/>
  <c r="B8740" i="2"/>
  <c r="A8740" i="2"/>
  <c r="U8739" i="2"/>
  <c r="N8739" i="2"/>
  <c r="M8739" i="2"/>
  <c r="J8739" i="2"/>
  <c r="I8739" i="2"/>
  <c r="H8739" i="2"/>
  <c r="G8739" i="2"/>
  <c r="F8739" i="2"/>
  <c r="E8739" i="2"/>
  <c r="D8739" i="2"/>
  <c r="C8739" i="2"/>
  <c r="B8739" i="2"/>
  <c r="A8739" i="2"/>
  <c r="U8738" i="2"/>
  <c r="N8738" i="2"/>
  <c r="M8738" i="2"/>
  <c r="J8738" i="2"/>
  <c r="I8738" i="2"/>
  <c r="H8738" i="2"/>
  <c r="G8738" i="2"/>
  <c r="F8738" i="2"/>
  <c r="E8738" i="2"/>
  <c r="D8738" i="2"/>
  <c r="C8738" i="2"/>
  <c r="B8738" i="2"/>
  <c r="A8738" i="2"/>
  <c r="U8737" i="2"/>
  <c r="N8737" i="2"/>
  <c r="M8737" i="2"/>
  <c r="J8737" i="2"/>
  <c r="I8737" i="2"/>
  <c r="H8737" i="2"/>
  <c r="G8737" i="2"/>
  <c r="F8737" i="2"/>
  <c r="E8737" i="2"/>
  <c r="D8737" i="2"/>
  <c r="C8737" i="2"/>
  <c r="B8737" i="2"/>
  <c r="A8737" i="2"/>
  <c r="U8736" i="2"/>
  <c r="N8736" i="2"/>
  <c r="M8736" i="2"/>
  <c r="J8736" i="2"/>
  <c r="I8736" i="2"/>
  <c r="H8736" i="2"/>
  <c r="G8736" i="2"/>
  <c r="F8736" i="2"/>
  <c r="E8736" i="2"/>
  <c r="D8736" i="2"/>
  <c r="C8736" i="2"/>
  <c r="B8736" i="2"/>
  <c r="A8736" i="2"/>
  <c r="U8735" i="2"/>
  <c r="N8735" i="2"/>
  <c r="M8735" i="2"/>
  <c r="J8735" i="2"/>
  <c r="I8735" i="2"/>
  <c r="H8735" i="2"/>
  <c r="G8735" i="2"/>
  <c r="F8735" i="2"/>
  <c r="E8735" i="2"/>
  <c r="D8735" i="2"/>
  <c r="C8735" i="2"/>
  <c r="B8735" i="2"/>
  <c r="A8735" i="2"/>
  <c r="U8734" i="2"/>
  <c r="N8734" i="2"/>
  <c r="M8734" i="2"/>
  <c r="J8734" i="2"/>
  <c r="I8734" i="2"/>
  <c r="H8734" i="2"/>
  <c r="G8734" i="2"/>
  <c r="F8734" i="2"/>
  <c r="E8734" i="2"/>
  <c r="D8734" i="2"/>
  <c r="C8734" i="2"/>
  <c r="B8734" i="2"/>
  <c r="A8734" i="2"/>
  <c r="U8733" i="2"/>
  <c r="N8733" i="2"/>
  <c r="M8733" i="2"/>
  <c r="J8733" i="2"/>
  <c r="I8733" i="2"/>
  <c r="H8733" i="2"/>
  <c r="G8733" i="2"/>
  <c r="F8733" i="2"/>
  <c r="E8733" i="2"/>
  <c r="D8733" i="2"/>
  <c r="C8733" i="2"/>
  <c r="B8733" i="2"/>
  <c r="A8733" i="2"/>
  <c r="U8732" i="2"/>
  <c r="N8732" i="2"/>
  <c r="M8732" i="2"/>
  <c r="J8732" i="2"/>
  <c r="I8732" i="2"/>
  <c r="H8732" i="2"/>
  <c r="G8732" i="2"/>
  <c r="F8732" i="2"/>
  <c r="E8732" i="2"/>
  <c r="D8732" i="2"/>
  <c r="C8732" i="2"/>
  <c r="B8732" i="2"/>
  <c r="A8732" i="2"/>
  <c r="U8731" i="2"/>
  <c r="N8731" i="2"/>
  <c r="M8731" i="2"/>
  <c r="J8731" i="2"/>
  <c r="I8731" i="2"/>
  <c r="H8731" i="2"/>
  <c r="G8731" i="2"/>
  <c r="F8731" i="2"/>
  <c r="E8731" i="2"/>
  <c r="D8731" i="2"/>
  <c r="C8731" i="2"/>
  <c r="B8731" i="2"/>
  <c r="A8731" i="2"/>
  <c r="U8730" i="2"/>
  <c r="N8730" i="2"/>
  <c r="M8730" i="2"/>
  <c r="J8730" i="2"/>
  <c r="I8730" i="2"/>
  <c r="H8730" i="2"/>
  <c r="G8730" i="2"/>
  <c r="F8730" i="2"/>
  <c r="E8730" i="2"/>
  <c r="D8730" i="2"/>
  <c r="C8730" i="2"/>
  <c r="B8730" i="2"/>
  <c r="A8730" i="2"/>
  <c r="U8729" i="2"/>
  <c r="N8729" i="2"/>
  <c r="M8729" i="2"/>
  <c r="J8729" i="2"/>
  <c r="I8729" i="2"/>
  <c r="H8729" i="2"/>
  <c r="G8729" i="2"/>
  <c r="F8729" i="2"/>
  <c r="E8729" i="2"/>
  <c r="D8729" i="2"/>
  <c r="C8729" i="2"/>
  <c r="B8729" i="2"/>
  <c r="A8729" i="2"/>
  <c r="U8728" i="2"/>
  <c r="N8728" i="2"/>
  <c r="M8728" i="2"/>
  <c r="J8728" i="2"/>
  <c r="I8728" i="2"/>
  <c r="H8728" i="2"/>
  <c r="G8728" i="2"/>
  <c r="F8728" i="2"/>
  <c r="E8728" i="2"/>
  <c r="D8728" i="2"/>
  <c r="C8728" i="2"/>
  <c r="B8728" i="2"/>
  <c r="A8728" i="2"/>
  <c r="U8727" i="2"/>
  <c r="N8727" i="2"/>
  <c r="M8727" i="2"/>
  <c r="J8727" i="2"/>
  <c r="I8727" i="2"/>
  <c r="H8727" i="2"/>
  <c r="G8727" i="2"/>
  <c r="F8727" i="2"/>
  <c r="E8727" i="2"/>
  <c r="D8727" i="2"/>
  <c r="C8727" i="2"/>
  <c r="B8727" i="2"/>
  <c r="A8727" i="2"/>
  <c r="U8726" i="2"/>
  <c r="N8726" i="2"/>
  <c r="M8726" i="2"/>
  <c r="J8726" i="2"/>
  <c r="I8726" i="2"/>
  <c r="H8726" i="2"/>
  <c r="G8726" i="2"/>
  <c r="F8726" i="2"/>
  <c r="E8726" i="2"/>
  <c r="D8726" i="2"/>
  <c r="C8726" i="2"/>
  <c r="B8726" i="2"/>
  <c r="A8726" i="2"/>
  <c r="U8725" i="2"/>
  <c r="N8725" i="2"/>
  <c r="M8725" i="2"/>
  <c r="J8725" i="2"/>
  <c r="I8725" i="2"/>
  <c r="H8725" i="2"/>
  <c r="G8725" i="2"/>
  <c r="F8725" i="2"/>
  <c r="E8725" i="2"/>
  <c r="D8725" i="2"/>
  <c r="C8725" i="2"/>
  <c r="B8725" i="2"/>
  <c r="A8725" i="2"/>
  <c r="U8724" i="2"/>
  <c r="N8724" i="2"/>
  <c r="M8724" i="2"/>
  <c r="J8724" i="2"/>
  <c r="I8724" i="2"/>
  <c r="H8724" i="2"/>
  <c r="G8724" i="2"/>
  <c r="F8724" i="2"/>
  <c r="E8724" i="2"/>
  <c r="D8724" i="2"/>
  <c r="C8724" i="2"/>
  <c r="B8724" i="2"/>
  <c r="A8724" i="2"/>
  <c r="U8723" i="2"/>
  <c r="N8723" i="2"/>
  <c r="M8723" i="2"/>
  <c r="J8723" i="2"/>
  <c r="I8723" i="2"/>
  <c r="H8723" i="2"/>
  <c r="G8723" i="2"/>
  <c r="F8723" i="2"/>
  <c r="E8723" i="2"/>
  <c r="D8723" i="2"/>
  <c r="C8723" i="2"/>
  <c r="B8723" i="2"/>
  <c r="A8723" i="2"/>
  <c r="U8722" i="2"/>
  <c r="N8722" i="2"/>
  <c r="M8722" i="2"/>
  <c r="J8722" i="2"/>
  <c r="I8722" i="2"/>
  <c r="H8722" i="2"/>
  <c r="G8722" i="2"/>
  <c r="F8722" i="2"/>
  <c r="E8722" i="2"/>
  <c r="D8722" i="2"/>
  <c r="C8722" i="2"/>
  <c r="B8722" i="2"/>
  <c r="A8722" i="2"/>
  <c r="U8721" i="2"/>
  <c r="N8721" i="2"/>
  <c r="M8721" i="2"/>
  <c r="J8721" i="2"/>
  <c r="I8721" i="2"/>
  <c r="H8721" i="2"/>
  <c r="G8721" i="2"/>
  <c r="F8721" i="2"/>
  <c r="E8721" i="2"/>
  <c r="D8721" i="2"/>
  <c r="C8721" i="2"/>
  <c r="B8721" i="2"/>
  <c r="A8721" i="2"/>
  <c r="U8720" i="2"/>
  <c r="N8720" i="2"/>
  <c r="M8720" i="2"/>
  <c r="J8720" i="2"/>
  <c r="I8720" i="2"/>
  <c r="H8720" i="2"/>
  <c r="G8720" i="2"/>
  <c r="F8720" i="2"/>
  <c r="E8720" i="2"/>
  <c r="D8720" i="2"/>
  <c r="C8720" i="2"/>
  <c r="B8720" i="2"/>
  <c r="A8720" i="2"/>
  <c r="U8719" i="2"/>
  <c r="N8719" i="2"/>
  <c r="M8719" i="2"/>
  <c r="J8719" i="2"/>
  <c r="I8719" i="2"/>
  <c r="H8719" i="2"/>
  <c r="G8719" i="2"/>
  <c r="F8719" i="2"/>
  <c r="E8719" i="2"/>
  <c r="D8719" i="2"/>
  <c r="C8719" i="2"/>
  <c r="B8719" i="2"/>
  <c r="A8719" i="2"/>
  <c r="U8718" i="2"/>
  <c r="N8718" i="2"/>
  <c r="M8718" i="2"/>
  <c r="J8718" i="2"/>
  <c r="I8718" i="2"/>
  <c r="H8718" i="2"/>
  <c r="G8718" i="2"/>
  <c r="F8718" i="2"/>
  <c r="E8718" i="2"/>
  <c r="D8718" i="2"/>
  <c r="C8718" i="2"/>
  <c r="B8718" i="2"/>
  <c r="A8718" i="2"/>
  <c r="U8717" i="2"/>
  <c r="N8717" i="2"/>
  <c r="M8717" i="2"/>
  <c r="J8717" i="2"/>
  <c r="I8717" i="2"/>
  <c r="H8717" i="2"/>
  <c r="G8717" i="2"/>
  <c r="F8717" i="2"/>
  <c r="E8717" i="2"/>
  <c r="D8717" i="2"/>
  <c r="C8717" i="2"/>
  <c r="B8717" i="2"/>
  <c r="A8717" i="2"/>
  <c r="U8716" i="2"/>
  <c r="N8716" i="2"/>
  <c r="M8716" i="2"/>
  <c r="J8716" i="2"/>
  <c r="I8716" i="2"/>
  <c r="H8716" i="2"/>
  <c r="G8716" i="2"/>
  <c r="F8716" i="2"/>
  <c r="E8716" i="2"/>
  <c r="D8716" i="2"/>
  <c r="C8716" i="2"/>
  <c r="B8716" i="2"/>
  <c r="A8716" i="2"/>
  <c r="U8715" i="2"/>
  <c r="N8715" i="2"/>
  <c r="M8715" i="2"/>
  <c r="J8715" i="2"/>
  <c r="I8715" i="2"/>
  <c r="H8715" i="2"/>
  <c r="G8715" i="2"/>
  <c r="F8715" i="2"/>
  <c r="E8715" i="2"/>
  <c r="D8715" i="2"/>
  <c r="C8715" i="2"/>
  <c r="B8715" i="2"/>
  <c r="A8715" i="2"/>
  <c r="U8714" i="2"/>
  <c r="N8714" i="2"/>
  <c r="M8714" i="2"/>
  <c r="J8714" i="2"/>
  <c r="I8714" i="2"/>
  <c r="H8714" i="2"/>
  <c r="G8714" i="2"/>
  <c r="F8714" i="2"/>
  <c r="E8714" i="2"/>
  <c r="D8714" i="2"/>
  <c r="C8714" i="2"/>
  <c r="B8714" i="2"/>
  <c r="A8714" i="2"/>
  <c r="U8713" i="2"/>
  <c r="N8713" i="2"/>
  <c r="M8713" i="2"/>
  <c r="J8713" i="2"/>
  <c r="I8713" i="2"/>
  <c r="H8713" i="2"/>
  <c r="G8713" i="2"/>
  <c r="F8713" i="2"/>
  <c r="E8713" i="2"/>
  <c r="D8713" i="2"/>
  <c r="C8713" i="2"/>
  <c r="B8713" i="2"/>
  <c r="A8713" i="2"/>
  <c r="U8712" i="2"/>
  <c r="N8712" i="2"/>
  <c r="M8712" i="2"/>
  <c r="J8712" i="2"/>
  <c r="I8712" i="2"/>
  <c r="H8712" i="2"/>
  <c r="G8712" i="2"/>
  <c r="F8712" i="2"/>
  <c r="E8712" i="2"/>
  <c r="D8712" i="2"/>
  <c r="C8712" i="2"/>
  <c r="B8712" i="2"/>
  <c r="A8712" i="2"/>
  <c r="U8711" i="2"/>
  <c r="N8711" i="2"/>
  <c r="M8711" i="2"/>
  <c r="J8711" i="2"/>
  <c r="I8711" i="2"/>
  <c r="H8711" i="2"/>
  <c r="G8711" i="2"/>
  <c r="F8711" i="2"/>
  <c r="E8711" i="2"/>
  <c r="D8711" i="2"/>
  <c r="C8711" i="2"/>
  <c r="B8711" i="2"/>
  <c r="A8711" i="2"/>
  <c r="U8710" i="2"/>
  <c r="N8710" i="2"/>
  <c r="M8710" i="2"/>
  <c r="J8710" i="2"/>
  <c r="I8710" i="2"/>
  <c r="H8710" i="2"/>
  <c r="G8710" i="2"/>
  <c r="F8710" i="2"/>
  <c r="E8710" i="2"/>
  <c r="D8710" i="2"/>
  <c r="C8710" i="2"/>
  <c r="B8710" i="2"/>
  <c r="A8710" i="2"/>
  <c r="U8709" i="2"/>
  <c r="N8709" i="2"/>
  <c r="M8709" i="2"/>
  <c r="J8709" i="2"/>
  <c r="I8709" i="2"/>
  <c r="H8709" i="2"/>
  <c r="G8709" i="2"/>
  <c r="F8709" i="2"/>
  <c r="E8709" i="2"/>
  <c r="D8709" i="2"/>
  <c r="C8709" i="2"/>
  <c r="B8709" i="2"/>
  <c r="A8709" i="2"/>
  <c r="U8708" i="2"/>
  <c r="N8708" i="2"/>
  <c r="M8708" i="2"/>
  <c r="J8708" i="2"/>
  <c r="I8708" i="2"/>
  <c r="H8708" i="2"/>
  <c r="G8708" i="2"/>
  <c r="F8708" i="2"/>
  <c r="E8708" i="2"/>
  <c r="D8708" i="2"/>
  <c r="C8708" i="2"/>
  <c r="B8708" i="2"/>
  <c r="A8708" i="2"/>
  <c r="U8707" i="2"/>
  <c r="N8707" i="2"/>
  <c r="M8707" i="2"/>
  <c r="J8707" i="2"/>
  <c r="I8707" i="2"/>
  <c r="H8707" i="2"/>
  <c r="G8707" i="2"/>
  <c r="F8707" i="2"/>
  <c r="E8707" i="2"/>
  <c r="D8707" i="2"/>
  <c r="C8707" i="2"/>
  <c r="B8707" i="2"/>
  <c r="A8707" i="2"/>
  <c r="U8706" i="2"/>
  <c r="N8706" i="2"/>
  <c r="M8706" i="2"/>
  <c r="J8706" i="2"/>
  <c r="I8706" i="2"/>
  <c r="H8706" i="2"/>
  <c r="G8706" i="2"/>
  <c r="F8706" i="2"/>
  <c r="E8706" i="2"/>
  <c r="D8706" i="2"/>
  <c r="C8706" i="2"/>
  <c r="B8706" i="2"/>
  <c r="A8706" i="2"/>
  <c r="U8705" i="2"/>
  <c r="N8705" i="2"/>
  <c r="M8705" i="2"/>
  <c r="J8705" i="2"/>
  <c r="I8705" i="2"/>
  <c r="H8705" i="2"/>
  <c r="G8705" i="2"/>
  <c r="F8705" i="2"/>
  <c r="E8705" i="2"/>
  <c r="D8705" i="2"/>
  <c r="C8705" i="2"/>
  <c r="B8705" i="2"/>
  <c r="A8705" i="2"/>
  <c r="U8704" i="2"/>
  <c r="N8704" i="2"/>
  <c r="M8704" i="2"/>
  <c r="J8704" i="2"/>
  <c r="I8704" i="2"/>
  <c r="H8704" i="2"/>
  <c r="G8704" i="2"/>
  <c r="F8704" i="2"/>
  <c r="E8704" i="2"/>
  <c r="D8704" i="2"/>
  <c r="C8704" i="2"/>
  <c r="B8704" i="2"/>
  <c r="A8704" i="2"/>
  <c r="U8703" i="2"/>
  <c r="N8703" i="2"/>
  <c r="M8703" i="2"/>
  <c r="J8703" i="2"/>
  <c r="I8703" i="2"/>
  <c r="H8703" i="2"/>
  <c r="G8703" i="2"/>
  <c r="F8703" i="2"/>
  <c r="E8703" i="2"/>
  <c r="D8703" i="2"/>
  <c r="C8703" i="2"/>
  <c r="B8703" i="2"/>
  <c r="A8703" i="2"/>
  <c r="U8702" i="2"/>
  <c r="N8702" i="2"/>
  <c r="M8702" i="2"/>
  <c r="J8702" i="2"/>
  <c r="I8702" i="2"/>
  <c r="H8702" i="2"/>
  <c r="G8702" i="2"/>
  <c r="F8702" i="2"/>
  <c r="E8702" i="2"/>
  <c r="D8702" i="2"/>
  <c r="C8702" i="2"/>
  <c r="B8702" i="2"/>
  <c r="A8702" i="2"/>
  <c r="U8701" i="2"/>
  <c r="N8701" i="2"/>
  <c r="M8701" i="2"/>
  <c r="J8701" i="2"/>
  <c r="I8701" i="2"/>
  <c r="H8701" i="2"/>
  <c r="G8701" i="2"/>
  <c r="F8701" i="2"/>
  <c r="E8701" i="2"/>
  <c r="D8701" i="2"/>
  <c r="C8701" i="2"/>
  <c r="B8701" i="2"/>
  <c r="A8701" i="2"/>
  <c r="U8700" i="2"/>
  <c r="N8700" i="2"/>
  <c r="M8700" i="2"/>
  <c r="J8700" i="2"/>
  <c r="I8700" i="2"/>
  <c r="H8700" i="2"/>
  <c r="G8700" i="2"/>
  <c r="F8700" i="2"/>
  <c r="E8700" i="2"/>
  <c r="D8700" i="2"/>
  <c r="C8700" i="2"/>
  <c r="B8700" i="2"/>
  <c r="A8700" i="2"/>
  <c r="U8699" i="2"/>
  <c r="N8699" i="2"/>
  <c r="M8699" i="2"/>
  <c r="J8699" i="2"/>
  <c r="I8699" i="2"/>
  <c r="H8699" i="2"/>
  <c r="G8699" i="2"/>
  <c r="F8699" i="2"/>
  <c r="E8699" i="2"/>
  <c r="D8699" i="2"/>
  <c r="C8699" i="2"/>
  <c r="B8699" i="2"/>
  <c r="A8699" i="2"/>
  <c r="U8698" i="2"/>
  <c r="N8698" i="2"/>
  <c r="M8698" i="2"/>
  <c r="J8698" i="2"/>
  <c r="I8698" i="2"/>
  <c r="H8698" i="2"/>
  <c r="G8698" i="2"/>
  <c r="F8698" i="2"/>
  <c r="E8698" i="2"/>
  <c r="D8698" i="2"/>
  <c r="C8698" i="2"/>
  <c r="B8698" i="2"/>
  <c r="A8698" i="2"/>
  <c r="U8697" i="2"/>
  <c r="N8697" i="2"/>
  <c r="M8697" i="2"/>
  <c r="J8697" i="2"/>
  <c r="I8697" i="2"/>
  <c r="H8697" i="2"/>
  <c r="G8697" i="2"/>
  <c r="F8697" i="2"/>
  <c r="E8697" i="2"/>
  <c r="D8697" i="2"/>
  <c r="C8697" i="2"/>
  <c r="B8697" i="2"/>
  <c r="A8697" i="2"/>
  <c r="U8696" i="2"/>
  <c r="N8696" i="2"/>
  <c r="M8696" i="2"/>
  <c r="J8696" i="2"/>
  <c r="I8696" i="2"/>
  <c r="H8696" i="2"/>
  <c r="G8696" i="2"/>
  <c r="F8696" i="2"/>
  <c r="E8696" i="2"/>
  <c r="D8696" i="2"/>
  <c r="C8696" i="2"/>
  <c r="B8696" i="2"/>
  <c r="A8696" i="2"/>
  <c r="U8695" i="2"/>
  <c r="N8695" i="2"/>
  <c r="M8695" i="2"/>
  <c r="J8695" i="2"/>
  <c r="I8695" i="2"/>
  <c r="H8695" i="2"/>
  <c r="G8695" i="2"/>
  <c r="F8695" i="2"/>
  <c r="E8695" i="2"/>
  <c r="D8695" i="2"/>
  <c r="C8695" i="2"/>
  <c r="B8695" i="2"/>
  <c r="A8695" i="2"/>
  <c r="U8694" i="2"/>
  <c r="N8694" i="2"/>
  <c r="M8694" i="2"/>
  <c r="J8694" i="2"/>
  <c r="I8694" i="2"/>
  <c r="H8694" i="2"/>
  <c r="G8694" i="2"/>
  <c r="F8694" i="2"/>
  <c r="E8694" i="2"/>
  <c r="D8694" i="2"/>
  <c r="C8694" i="2"/>
  <c r="B8694" i="2"/>
  <c r="A8694" i="2"/>
  <c r="U8693" i="2"/>
  <c r="N8693" i="2"/>
  <c r="M8693" i="2"/>
  <c r="J8693" i="2"/>
  <c r="I8693" i="2"/>
  <c r="H8693" i="2"/>
  <c r="G8693" i="2"/>
  <c r="F8693" i="2"/>
  <c r="E8693" i="2"/>
  <c r="D8693" i="2"/>
  <c r="C8693" i="2"/>
  <c r="B8693" i="2"/>
  <c r="A8693" i="2"/>
  <c r="U8692" i="2"/>
  <c r="N8692" i="2"/>
  <c r="M8692" i="2"/>
  <c r="J8692" i="2"/>
  <c r="I8692" i="2"/>
  <c r="H8692" i="2"/>
  <c r="G8692" i="2"/>
  <c r="F8692" i="2"/>
  <c r="E8692" i="2"/>
  <c r="D8692" i="2"/>
  <c r="C8692" i="2"/>
  <c r="B8692" i="2"/>
  <c r="A8692" i="2"/>
  <c r="U8691" i="2"/>
  <c r="N8691" i="2"/>
  <c r="M8691" i="2"/>
  <c r="J8691" i="2"/>
  <c r="I8691" i="2"/>
  <c r="H8691" i="2"/>
  <c r="G8691" i="2"/>
  <c r="F8691" i="2"/>
  <c r="E8691" i="2"/>
  <c r="D8691" i="2"/>
  <c r="C8691" i="2"/>
  <c r="B8691" i="2"/>
  <c r="A8691" i="2"/>
  <c r="U8690" i="2"/>
  <c r="N8690" i="2"/>
  <c r="M8690" i="2"/>
  <c r="J8690" i="2"/>
  <c r="I8690" i="2"/>
  <c r="H8690" i="2"/>
  <c r="G8690" i="2"/>
  <c r="F8690" i="2"/>
  <c r="E8690" i="2"/>
  <c r="D8690" i="2"/>
  <c r="C8690" i="2"/>
  <c r="B8690" i="2"/>
  <c r="A8690" i="2"/>
  <c r="U8689" i="2"/>
  <c r="N8689" i="2"/>
  <c r="M8689" i="2"/>
  <c r="J8689" i="2"/>
  <c r="I8689" i="2"/>
  <c r="H8689" i="2"/>
  <c r="G8689" i="2"/>
  <c r="F8689" i="2"/>
  <c r="E8689" i="2"/>
  <c r="D8689" i="2"/>
  <c r="C8689" i="2"/>
  <c r="B8689" i="2"/>
  <c r="A8689" i="2"/>
  <c r="U8688" i="2"/>
  <c r="N8688" i="2"/>
  <c r="M8688" i="2"/>
  <c r="J8688" i="2"/>
  <c r="I8688" i="2"/>
  <c r="H8688" i="2"/>
  <c r="G8688" i="2"/>
  <c r="F8688" i="2"/>
  <c r="E8688" i="2"/>
  <c r="D8688" i="2"/>
  <c r="C8688" i="2"/>
  <c r="B8688" i="2"/>
  <c r="A8688" i="2"/>
  <c r="U8687" i="2"/>
  <c r="N8687" i="2"/>
  <c r="M8687" i="2"/>
  <c r="J8687" i="2"/>
  <c r="I8687" i="2"/>
  <c r="H8687" i="2"/>
  <c r="G8687" i="2"/>
  <c r="F8687" i="2"/>
  <c r="E8687" i="2"/>
  <c r="D8687" i="2"/>
  <c r="C8687" i="2"/>
  <c r="B8687" i="2"/>
  <c r="A8687" i="2"/>
  <c r="U8686" i="2"/>
  <c r="N8686" i="2"/>
  <c r="M8686" i="2"/>
  <c r="J8686" i="2"/>
  <c r="I8686" i="2"/>
  <c r="H8686" i="2"/>
  <c r="G8686" i="2"/>
  <c r="F8686" i="2"/>
  <c r="E8686" i="2"/>
  <c r="D8686" i="2"/>
  <c r="C8686" i="2"/>
  <c r="B8686" i="2"/>
  <c r="A8686" i="2"/>
  <c r="U8685" i="2"/>
  <c r="N8685" i="2"/>
  <c r="M8685" i="2"/>
  <c r="J8685" i="2"/>
  <c r="I8685" i="2"/>
  <c r="H8685" i="2"/>
  <c r="G8685" i="2"/>
  <c r="F8685" i="2"/>
  <c r="E8685" i="2"/>
  <c r="D8685" i="2"/>
  <c r="C8685" i="2"/>
  <c r="B8685" i="2"/>
  <c r="A8685" i="2"/>
  <c r="U8684" i="2"/>
  <c r="N8684" i="2"/>
  <c r="M8684" i="2"/>
  <c r="J8684" i="2"/>
  <c r="I8684" i="2"/>
  <c r="H8684" i="2"/>
  <c r="G8684" i="2"/>
  <c r="F8684" i="2"/>
  <c r="E8684" i="2"/>
  <c r="D8684" i="2"/>
  <c r="C8684" i="2"/>
  <c r="B8684" i="2"/>
  <c r="A8684" i="2"/>
  <c r="U8683" i="2"/>
  <c r="N8683" i="2"/>
  <c r="M8683" i="2"/>
  <c r="J8683" i="2"/>
  <c r="I8683" i="2"/>
  <c r="H8683" i="2"/>
  <c r="G8683" i="2"/>
  <c r="F8683" i="2"/>
  <c r="E8683" i="2"/>
  <c r="D8683" i="2"/>
  <c r="C8683" i="2"/>
  <c r="B8683" i="2"/>
  <c r="A8683" i="2"/>
  <c r="U8682" i="2"/>
  <c r="N8682" i="2"/>
  <c r="M8682" i="2"/>
  <c r="J8682" i="2"/>
  <c r="I8682" i="2"/>
  <c r="H8682" i="2"/>
  <c r="G8682" i="2"/>
  <c r="F8682" i="2"/>
  <c r="E8682" i="2"/>
  <c r="D8682" i="2"/>
  <c r="C8682" i="2"/>
  <c r="B8682" i="2"/>
  <c r="A8682" i="2"/>
  <c r="U8681" i="2"/>
  <c r="N8681" i="2"/>
  <c r="M8681" i="2"/>
  <c r="J8681" i="2"/>
  <c r="I8681" i="2"/>
  <c r="H8681" i="2"/>
  <c r="G8681" i="2"/>
  <c r="F8681" i="2"/>
  <c r="E8681" i="2"/>
  <c r="D8681" i="2"/>
  <c r="C8681" i="2"/>
  <c r="B8681" i="2"/>
  <c r="A8681" i="2"/>
  <c r="U8680" i="2"/>
  <c r="N8680" i="2"/>
  <c r="M8680" i="2"/>
  <c r="J8680" i="2"/>
  <c r="I8680" i="2"/>
  <c r="H8680" i="2"/>
  <c r="G8680" i="2"/>
  <c r="F8680" i="2"/>
  <c r="E8680" i="2"/>
  <c r="D8680" i="2"/>
  <c r="C8680" i="2"/>
  <c r="B8680" i="2"/>
  <c r="A8680" i="2"/>
  <c r="U8679" i="2"/>
  <c r="N8679" i="2"/>
  <c r="M8679" i="2"/>
  <c r="J8679" i="2"/>
  <c r="I8679" i="2"/>
  <c r="H8679" i="2"/>
  <c r="G8679" i="2"/>
  <c r="F8679" i="2"/>
  <c r="E8679" i="2"/>
  <c r="D8679" i="2"/>
  <c r="C8679" i="2"/>
  <c r="B8679" i="2"/>
  <c r="A8679" i="2"/>
  <c r="U8678" i="2"/>
  <c r="N8678" i="2"/>
  <c r="M8678" i="2"/>
  <c r="J8678" i="2"/>
  <c r="I8678" i="2"/>
  <c r="H8678" i="2"/>
  <c r="G8678" i="2"/>
  <c r="F8678" i="2"/>
  <c r="E8678" i="2"/>
  <c r="D8678" i="2"/>
  <c r="C8678" i="2"/>
  <c r="B8678" i="2"/>
  <c r="A8678" i="2"/>
  <c r="U8677" i="2"/>
  <c r="N8677" i="2"/>
  <c r="M8677" i="2"/>
  <c r="J8677" i="2"/>
  <c r="I8677" i="2"/>
  <c r="H8677" i="2"/>
  <c r="G8677" i="2"/>
  <c r="F8677" i="2"/>
  <c r="E8677" i="2"/>
  <c r="D8677" i="2"/>
  <c r="C8677" i="2"/>
  <c r="B8677" i="2"/>
  <c r="A8677" i="2"/>
  <c r="U8676" i="2"/>
  <c r="N8676" i="2"/>
  <c r="M8676" i="2"/>
  <c r="J8676" i="2"/>
  <c r="I8676" i="2"/>
  <c r="H8676" i="2"/>
  <c r="G8676" i="2"/>
  <c r="F8676" i="2"/>
  <c r="E8676" i="2"/>
  <c r="D8676" i="2"/>
  <c r="C8676" i="2"/>
  <c r="B8676" i="2"/>
  <c r="A8676" i="2"/>
  <c r="U8675" i="2"/>
  <c r="N8675" i="2"/>
  <c r="M8675" i="2"/>
  <c r="J8675" i="2"/>
  <c r="I8675" i="2"/>
  <c r="H8675" i="2"/>
  <c r="G8675" i="2"/>
  <c r="F8675" i="2"/>
  <c r="E8675" i="2"/>
  <c r="D8675" i="2"/>
  <c r="C8675" i="2"/>
  <c r="B8675" i="2"/>
  <c r="A8675" i="2"/>
  <c r="U8674" i="2"/>
  <c r="N8674" i="2"/>
  <c r="M8674" i="2"/>
  <c r="J8674" i="2"/>
  <c r="I8674" i="2"/>
  <c r="H8674" i="2"/>
  <c r="G8674" i="2"/>
  <c r="F8674" i="2"/>
  <c r="E8674" i="2"/>
  <c r="D8674" i="2"/>
  <c r="C8674" i="2"/>
  <c r="B8674" i="2"/>
  <c r="A8674" i="2"/>
  <c r="U8673" i="2"/>
  <c r="N8673" i="2"/>
  <c r="M8673" i="2"/>
  <c r="J8673" i="2"/>
  <c r="I8673" i="2"/>
  <c r="H8673" i="2"/>
  <c r="G8673" i="2"/>
  <c r="F8673" i="2"/>
  <c r="E8673" i="2"/>
  <c r="D8673" i="2"/>
  <c r="C8673" i="2"/>
  <c r="B8673" i="2"/>
  <c r="A8673" i="2"/>
  <c r="U8672" i="2"/>
  <c r="N8672" i="2"/>
  <c r="M8672" i="2"/>
  <c r="J8672" i="2"/>
  <c r="I8672" i="2"/>
  <c r="H8672" i="2"/>
  <c r="G8672" i="2"/>
  <c r="F8672" i="2"/>
  <c r="E8672" i="2"/>
  <c r="D8672" i="2"/>
  <c r="C8672" i="2"/>
  <c r="B8672" i="2"/>
  <c r="A8672" i="2"/>
  <c r="U8671" i="2"/>
  <c r="N8671" i="2"/>
  <c r="M8671" i="2"/>
  <c r="J8671" i="2"/>
  <c r="I8671" i="2"/>
  <c r="H8671" i="2"/>
  <c r="G8671" i="2"/>
  <c r="F8671" i="2"/>
  <c r="E8671" i="2"/>
  <c r="D8671" i="2"/>
  <c r="C8671" i="2"/>
  <c r="B8671" i="2"/>
  <c r="A8671" i="2"/>
  <c r="U8670" i="2"/>
  <c r="N8670" i="2"/>
  <c r="M8670" i="2"/>
  <c r="J8670" i="2"/>
  <c r="I8670" i="2"/>
  <c r="H8670" i="2"/>
  <c r="G8670" i="2"/>
  <c r="F8670" i="2"/>
  <c r="E8670" i="2"/>
  <c r="D8670" i="2"/>
  <c r="C8670" i="2"/>
  <c r="B8670" i="2"/>
  <c r="A8670" i="2"/>
  <c r="U8669" i="2"/>
  <c r="N8669" i="2"/>
  <c r="M8669" i="2"/>
  <c r="J8669" i="2"/>
  <c r="I8669" i="2"/>
  <c r="H8669" i="2"/>
  <c r="G8669" i="2"/>
  <c r="F8669" i="2"/>
  <c r="E8669" i="2"/>
  <c r="D8669" i="2"/>
  <c r="C8669" i="2"/>
  <c r="B8669" i="2"/>
  <c r="A8669" i="2"/>
  <c r="U8668" i="2"/>
  <c r="N8668" i="2"/>
  <c r="M8668" i="2"/>
  <c r="J8668" i="2"/>
  <c r="I8668" i="2"/>
  <c r="H8668" i="2"/>
  <c r="G8668" i="2"/>
  <c r="F8668" i="2"/>
  <c r="E8668" i="2"/>
  <c r="D8668" i="2"/>
  <c r="C8668" i="2"/>
  <c r="B8668" i="2"/>
  <c r="A8668" i="2"/>
  <c r="U8667" i="2"/>
  <c r="N8667" i="2"/>
  <c r="M8667" i="2"/>
  <c r="J8667" i="2"/>
  <c r="I8667" i="2"/>
  <c r="H8667" i="2"/>
  <c r="G8667" i="2"/>
  <c r="F8667" i="2"/>
  <c r="E8667" i="2"/>
  <c r="D8667" i="2"/>
  <c r="C8667" i="2"/>
  <c r="B8667" i="2"/>
  <c r="A8667" i="2"/>
  <c r="U8666" i="2"/>
  <c r="N8666" i="2"/>
  <c r="M8666" i="2"/>
  <c r="J8666" i="2"/>
  <c r="I8666" i="2"/>
  <c r="H8666" i="2"/>
  <c r="G8666" i="2"/>
  <c r="F8666" i="2"/>
  <c r="E8666" i="2"/>
  <c r="D8666" i="2"/>
  <c r="C8666" i="2"/>
  <c r="B8666" i="2"/>
  <c r="A8666" i="2"/>
  <c r="U8665" i="2"/>
  <c r="N8665" i="2"/>
  <c r="M8665" i="2"/>
  <c r="J8665" i="2"/>
  <c r="I8665" i="2"/>
  <c r="H8665" i="2"/>
  <c r="G8665" i="2"/>
  <c r="F8665" i="2"/>
  <c r="E8665" i="2"/>
  <c r="D8665" i="2"/>
  <c r="C8665" i="2"/>
  <c r="B8665" i="2"/>
  <c r="A8665" i="2"/>
  <c r="U8664" i="2"/>
  <c r="N8664" i="2"/>
  <c r="M8664" i="2"/>
  <c r="J8664" i="2"/>
  <c r="I8664" i="2"/>
  <c r="H8664" i="2"/>
  <c r="G8664" i="2"/>
  <c r="F8664" i="2"/>
  <c r="E8664" i="2"/>
  <c r="D8664" i="2"/>
  <c r="C8664" i="2"/>
  <c r="B8664" i="2"/>
  <c r="A8664" i="2"/>
  <c r="U8663" i="2"/>
  <c r="N8663" i="2"/>
  <c r="M8663" i="2"/>
  <c r="J8663" i="2"/>
  <c r="I8663" i="2"/>
  <c r="H8663" i="2"/>
  <c r="G8663" i="2"/>
  <c r="F8663" i="2"/>
  <c r="E8663" i="2"/>
  <c r="D8663" i="2"/>
  <c r="C8663" i="2"/>
  <c r="B8663" i="2"/>
  <c r="A8663" i="2"/>
  <c r="U8662" i="2"/>
  <c r="N8662" i="2"/>
  <c r="M8662" i="2"/>
  <c r="J8662" i="2"/>
  <c r="I8662" i="2"/>
  <c r="H8662" i="2"/>
  <c r="G8662" i="2"/>
  <c r="F8662" i="2"/>
  <c r="E8662" i="2"/>
  <c r="D8662" i="2"/>
  <c r="C8662" i="2"/>
  <c r="B8662" i="2"/>
  <c r="A8662" i="2"/>
  <c r="U8661" i="2"/>
  <c r="N8661" i="2"/>
  <c r="M8661" i="2"/>
  <c r="J8661" i="2"/>
  <c r="I8661" i="2"/>
  <c r="H8661" i="2"/>
  <c r="G8661" i="2"/>
  <c r="F8661" i="2"/>
  <c r="E8661" i="2"/>
  <c r="D8661" i="2"/>
  <c r="C8661" i="2"/>
  <c r="B8661" i="2"/>
  <c r="A8661" i="2"/>
  <c r="U8660" i="2"/>
  <c r="N8660" i="2"/>
  <c r="M8660" i="2"/>
  <c r="J8660" i="2"/>
  <c r="I8660" i="2"/>
  <c r="H8660" i="2"/>
  <c r="G8660" i="2"/>
  <c r="F8660" i="2"/>
  <c r="E8660" i="2"/>
  <c r="D8660" i="2"/>
  <c r="C8660" i="2"/>
  <c r="B8660" i="2"/>
  <c r="A8660" i="2"/>
  <c r="U8659" i="2"/>
  <c r="N8659" i="2"/>
  <c r="M8659" i="2"/>
  <c r="J8659" i="2"/>
  <c r="I8659" i="2"/>
  <c r="H8659" i="2"/>
  <c r="G8659" i="2"/>
  <c r="F8659" i="2"/>
  <c r="E8659" i="2"/>
  <c r="D8659" i="2"/>
  <c r="C8659" i="2"/>
  <c r="B8659" i="2"/>
  <c r="A8659" i="2"/>
  <c r="U8658" i="2"/>
  <c r="N8658" i="2"/>
  <c r="M8658" i="2"/>
  <c r="J8658" i="2"/>
  <c r="I8658" i="2"/>
  <c r="H8658" i="2"/>
  <c r="G8658" i="2"/>
  <c r="F8658" i="2"/>
  <c r="E8658" i="2"/>
  <c r="D8658" i="2"/>
  <c r="C8658" i="2"/>
  <c r="B8658" i="2"/>
  <c r="A8658" i="2"/>
  <c r="U8657" i="2"/>
  <c r="N8657" i="2"/>
  <c r="M8657" i="2"/>
  <c r="J8657" i="2"/>
  <c r="I8657" i="2"/>
  <c r="H8657" i="2"/>
  <c r="G8657" i="2"/>
  <c r="F8657" i="2"/>
  <c r="E8657" i="2"/>
  <c r="D8657" i="2"/>
  <c r="C8657" i="2"/>
  <c r="B8657" i="2"/>
  <c r="A8657" i="2"/>
  <c r="U8656" i="2"/>
  <c r="N8656" i="2"/>
  <c r="M8656" i="2"/>
  <c r="J8656" i="2"/>
  <c r="I8656" i="2"/>
  <c r="H8656" i="2"/>
  <c r="G8656" i="2"/>
  <c r="F8656" i="2"/>
  <c r="E8656" i="2"/>
  <c r="D8656" i="2"/>
  <c r="C8656" i="2"/>
  <c r="B8656" i="2"/>
  <c r="A8656" i="2"/>
  <c r="Q8655" i="2"/>
  <c r="U8655" i="2" s="1"/>
  <c r="N8655" i="2"/>
  <c r="M8655" i="2"/>
  <c r="J8655" i="2"/>
  <c r="I8655" i="2"/>
  <c r="H8655" i="2"/>
  <c r="G8655" i="2"/>
  <c r="F8655" i="2"/>
  <c r="E8655" i="2"/>
  <c r="D8655" i="2"/>
  <c r="C8655" i="2"/>
  <c r="B8655" i="2"/>
  <c r="A8655" i="2"/>
  <c r="U8654" i="2"/>
  <c r="N8654" i="2"/>
  <c r="M8654" i="2"/>
  <c r="J8654" i="2"/>
  <c r="I8654" i="2"/>
  <c r="H8654" i="2"/>
  <c r="G8654" i="2"/>
  <c r="F8654" i="2"/>
  <c r="E8654" i="2"/>
  <c r="D8654" i="2"/>
  <c r="C8654" i="2"/>
  <c r="B8654" i="2"/>
  <c r="A8654" i="2"/>
  <c r="U8653" i="2"/>
  <c r="N8653" i="2"/>
  <c r="M8653" i="2"/>
  <c r="J8653" i="2"/>
  <c r="I8653" i="2"/>
  <c r="H8653" i="2"/>
  <c r="G8653" i="2"/>
  <c r="F8653" i="2"/>
  <c r="E8653" i="2"/>
  <c r="D8653" i="2"/>
  <c r="C8653" i="2"/>
  <c r="B8653" i="2"/>
  <c r="A8653" i="2"/>
  <c r="U8652" i="2"/>
  <c r="N8652" i="2"/>
  <c r="M8652" i="2"/>
  <c r="J8652" i="2"/>
  <c r="I8652" i="2"/>
  <c r="H8652" i="2"/>
  <c r="G8652" i="2"/>
  <c r="F8652" i="2"/>
  <c r="E8652" i="2"/>
  <c r="D8652" i="2"/>
  <c r="C8652" i="2"/>
  <c r="B8652" i="2"/>
  <c r="A8652" i="2"/>
  <c r="U8651" i="2"/>
  <c r="N8651" i="2"/>
  <c r="M8651" i="2"/>
  <c r="J8651" i="2"/>
  <c r="I8651" i="2"/>
  <c r="H8651" i="2"/>
  <c r="G8651" i="2"/>
  <c r="F8651" i="2"/>
  <c r="E8651" i="2"/>
  <c r="D8651" i="2"/>
  <c r="C8651" i="2"/>
  <c r="B8651" i="2"/>
  <c r="A8651" i="2"/>
  <c r="U8650" i="2"/>
  <c r="N8650" i="2"/>
  <c r="M8650" i="2"/>
  <c r="J8650" i="2"/>
  <c r="I8650" i="2"/>
  <c r="H8650" i="2"/>
  <c r="G8650" i="2"/>
  <c r="F8650" i="2"/>
  <c r="E8650" i="2"/>
  <c r="D8650" i="2"/>
  <c r="C8650" i="2"/>
  <c r="B8650" i="2"/>
  <c r="A8650" i="2"/>
  <c r="Q8649" i="2"/>
  <c r="U8649" i="2" s="1"/>
  <c r="N8649" i="2"/>
  <c r="M8649" i="2"/>
  <c r="J8649" i="2"/>
  <c r="I8649" i="2"/>
  <c r="H8649" i="2"/>
  <c r="G8649" i="2"/>
  <c r="F8649" i="2"/>
  <c r="E8649" i="2"/>
  <c r="D8649" i="2"/>
  <c r="C8649" i="2"/>
  <c r="B8649" i="2"/>
  <c r="A8649" i="2"/>
  <c r="U8648" i="2"/>
  <c r="N8648" i="2"/>
  <c r="M8648" i="2"/>
  <c r="J8648" i="2"/>
  <c r="I8648" i="2"/>
  <c r="H8648" i="2"/>
  <c r="G8648" i="2"/>
  <c r="F8648" i="2"/>
  <c r="E8648" i="2"/>
  <c r="D8648" i="2"/>
  <c r="C8648" i="2"/>
  <c r="B8648" i="2"/>
  <c r="A8648" i="2"/>
  <c r="U8647" i="2"/>
  <c r="N8647" i="2"/>
  <c r="M8647" i="2"/>
  <c r="J8647" i="2"/>
  <c r="I8647" i="2"/>
  <c r="H8647" i="2"/>
  <c r="G8647" i="2"/>
  <c r="F8647" i="2"/>
  <c r="E8647" i="2"/>
  <c r="D8647" i="2"/>
  <c r="C8647" i="2"/>
  <c r="B8647" i="2"/>
  <c r="A8647" i="2"/>
  <c r="U8646" i="2"/>
  <c r="N8646" i="2"/>
  <c r="M8646" i="2"/>
  <c r="J8646" i="2"/>
  <c r="I8646" i="2"/>
  <c r="H8646" i="2"/>
  <c r="G8646" i="2"/>
  <c r="F8646" i="2"/>
  <c r="E8646" i="2"/>
  <c r="D8646" i="2"/>
  <c r="C8646" i="2"/>
  <c r="B8646" i="2"/>
  <c r="A8646" i="2"/>
  <c r="U8645" i="2"/>
  <c r="N8645" i="2"/>
  <c r="M8645" i="2"/>
  <c r="J8645" i="2"/>
  <c r="I8645" i="2"/>
  <c r="H8645" i="2"/>
  <c r="G8645" i="2"/>
  <c r="F8645" i="2"/>
  <c r="E8645" i="2"/>
  <c r="D8645" i="2"/>
  <c r="C8645" i="2"/>
  <c r="B8645" i="2"/>
  <c r="A8645" i="2"/>
  <c r="U8644" i="2"/>
  <c r="N8644" i="2"/>
  <c r="M8644" i="2"/>
  <c r="J8644" i="2"/>
  <c r="I8644" i="2"/>
  <c r="H8644" i="2"/>
  <c r="G8644" i="2"/>
  <c r="F8644" i="2"/>
  <c r="E8644" i="2"/>
  <c r="D8644" i="2"/>
  <c r="C8644" i="2"/>
  <c r="B8644" i="2"/>
  <c r="A8644" i="2"/>
  <c r="U8643" i="2"/>
  <c r="N8643" i="2"/>
  <c r="M8643" i="2"/>
  <c r="J8643" i="2"/>
  <c r="I8643" i="2"/>
  <c r="H8643" i="2"/>
  <c r="G8643" i="2"/>
  <c r="F8643" i="2"/>
  <c r="E8643" i="2"/>
  <c r="D8643" i="2"/>
  <c r="C8643" i="2"/>
  <c r="B8643" i="2"/>
  <c r="A8643" i="2"/>
  <c r="U8642" i="2"/>
  <c r="N8642" i="2"/>
  <c r="M8642" i="2"/>
  <c r="J8642" i="2"/>
  <c r="I8642" i="2"/>
  <c r="H8642" i="2"/>
  <c r="G8642" i="2"/>
  <c r="F8642" i="2"/>
  <c r="E8642" i="2"/>
  <c r="D8642" i="2"/>
  <c r="C8642" i="2"/>
  <c r="B8642" i="2"/>
  <c r="A8642" i="2"/>
  <c r="U8641" i="2"/>
  <c r="N8641" i="2"/>
  <c r="M8641" i="2"/>
  <c r="J8641" i="2"/>
  <c r="I8641" i="2"/>
  <c r="H8641" i="2"/>
  <c r="G8641" i="2"/>
  <c r="F8641" i="2"/>
  <c r="E8641" i="2"/>
  <c r="D8641" i="2"/>
  <c r="C8641" i="2"/>
  <c r="B8641" i="2"/>
  <c r="A8641" i="2"/>
  <c r="Q8640" i="2"/>
  <c r="U8640" i="2" s="1"/>
  <c r="N8640" i="2"/>
  <c r="M8640" i="2"/>
  <c r="J8640" i="2"/>
  <c r="I8640" i="2"/>
  <c r="H8640" i="2"/>
  <c r="G8640" i="2"/>
  <c r="F8640" i="2"/>
  <c r="E8640" i="2"/>
  <c r="D8640" i="2"/>
  <c r="C8640" i="2"/>
  <c r="B8640" i="2"/>
  <c r="A8640" i="2"/>
  <c r="Q8639" i="2"/>
  <c r="U8639" i="2" s="1"/>
  <c r="N8639" i="2"/>
  <c r="M8639" i="2"/>
  <c r="J8639" i="2"/>
  <c r="I8639" i="2"/>
  <c r="H8639" i="2"/>
  <c r="G8639" i="2"/>
  <c r="F8639" i="2"/>
  <c r="E8639" i="2"/>
  <c r="D8639" i="2"/>
  <c r="C8639" i="2"/>
  <c r="B8639" i="2"/>
  <c r="A8639" i="2"/>
  <c r="U8638" i="2"/>
  <c r="N8638" i="2"/>
  <c r="M8638" i="2"/>
  <c r="J8638" i="2"/>
  <c r="I8638" i="2"/>
  <c r="H8638" i="2"/>
  <c r="G8638" i="2"/>
  <c r="F8638" i="2"/>
  <c r="E8638" i="2"/>
  <c r="D8638" i="2"/>
  <c r="C8638" i="2"/>
  <c r="B8638" i="2"/>
  <c r="A8638" i="2"/>
  <c r="U8637" i="2"/>
  <c r="N8637" i="2"/>
  <c r="M8637" i="2"/>
  <c r="J8637" i="2"/>
  <c r="I8637" i="2"/>
  <c r="H8637" i="2"/>
  <c r="G8637" i="2"/>
  <c r="F8637" i="2"/>
  <c r="E8637" i="2"/>
  <c r="D8637" i="2"/>
  <c r="C8637" i="2"/>
  <c r="B8637" i="2"/>
  <c r="A8637" i="2"/>
  <c r="U8636" i="2"/>
  <c r="N8636" i="2"/>
  <c r="M8636" i="2"/>
  <c r="J8636" i="2"/>
  <c r="I8636" i="2"/>
  <c r="H8636" i="2"/>
  <c r="G8636" i="2"/>
  <c r="F8636" i="2"/>
  <c r="E8636" i="2"/>
  <c r="D8636" i="2"/>
  <c r="C8636" i="2"/>
  <c r="B8636" i="2"/>
  <c r="A8636" i="2"/>
  <c r="U8635" i="2"/>
  <c r="N8635" i="2"/>
  <c r="M8635" i="2"/>
  <c r="J8635" i="2"/>
  <c r="I8635" i="2"/>
  <c r="H8635" i="2"/>
  <c r="G8635" i="2"/>
  <c r="F8635" i="2"/>
  <c r="E8635" i="2"/>
  <c r="D8635" i="2"/>
  <c r="C8635" i="2"/>
  <c r="B8635" i="2"/>
  <c r="A8635" i="2"/>
  <c r="U8634" i="2"/>
  <c r="N8634" i="2"/>
  <c r="M8634" i="2"/>
  <c r="J8634" i="2"/>
  <c r="I8634" i="2"/>
  <c r="H8634" i="2"/>
  <c r="G8634" i="2"/>
  <c r="F8634" i="2"/>
  <c r="E8634" i="2"/>
  <c r="D8634" i="2"/>
  <c r="C8634" i="2"/>
  <c r="B8634" i="2"/>
  <c r="A8634" i="2"/>
  <c r="U8633" i="2"/>
  <c r="N8633" i="2"/>
  <c r="M8633" i="2"/>
  <c r="J8633" i="2"/>
  <c r="I8633" i="2"/>
  <c r="H8633" i="2"/>
  <c r="G8633" i="2"/>
  <c r="F8633" i="2"/>
  <c r="E8633" i="2"/>
  <c r="D8633" i="2"/>
  <c r="C8633" i="2"/>
  <c r="B8633" i="2"/>
  <c r="A8633" i="2"/>
  <c r="U8632" i="2"/>
  <c r="N8632" i="2"/>
  <c r="M8632" i="2"/>
  <c r="J8632" i="2"/>
  <c r="I8632" i="2"/>
  <c r="H8632" i="2"/>
  <c r="G8632" i="2"/>
  <c r="F8632" i="2"/>
  <c r="E8632" i="2"/>
  <c r="D8632" i="2"/>
  <c r="C8632" i="2"/>
  <c r="B8632" i="2"/>
  <c r="A8632" i="2"/>
  <c r="U8631" i="2"/>
  <c r="N8631" i="2"/>
  <c r="M8631" i="2"/>
  <c r="J8631" i="2"/>
  <c r="I8631" i="2"/>
  <c r="H8631" i="2"/>
  <c r="G8631" i="2"/>
  <c r="F8631" i="2"/>
  <c r="E8631" i="2"/>
  <c r="D8631" i="2"/>
  <c r="C8631" i="2"/>
  <c r="B8631" i="2"/>
  <c r="A8631" i="2"/>
  <c r="U8630" i="2"/>
  <c r="N8630" i="2"/>
  <c r="M8630" i="2"/>
  <c r="J8630" i="2"/>
  <c r="I8630" i="2"/>
  <c r="H8630" i="2"/>
  <c r="G8630" i="2"/>
  <c r="F8630" i="2"/>
  <c r="E8630" i="2"/>
  <c r="D8630" i="2"/>
  <c r="C8630" i="2"/>
  <c r="B8630" i="2"/>
  <c r="A8630" i="2"/>
  <c r="U8629" i="2"/>
  <c r="N8629" i="2"/>
  <c r="M8629" i="2"/>
  <c r="J8629" i="2"/>
  <c r="I8629" i="2"/>
  <c r="H8629" i="2"/>
  <c r="G8629" i="2"/>
  <c r="F8629" i="2"/>
  <c r="E8629" i="2"/>
  <c r="D8629" i="2"/>
  <c r="C8629" i="2"/>
  <c r="B8629" i="2"/>
  <c r="A8629" i="2"/>
  <c r="U8628" i="2"/>
  <c r="N8628" i="2"/>
  <c r="M8628" i="2"/>
  <c r="J8628" i="2"/>
  <c r="I8628" i="2"/>
  <c r="H8628" i="2"/>
  <c r="G8628" i="2"/>
  <c r="F8628" i="2"/>
  <c r="E8628" i="2"/>
  <c r="D8628" i="2"/>
  <c r="C8628" i="2"/>
  <c r="B8628" i="2"/>
  <c r="A8628" i="2"/>
  <c r="U8627" i="2"/>
  <c r="N8627" i="2"/>
  <c r="M8627" i="2"/>
  <c r="J8627" i="2"/>
  <c r="I8627" i="2"/>
  <c r="H8627" i="2"/>
  <c r="G8627" i="2"/>
  <c r="F8627" i="2"/>
  <c r="E8627" i="2"/>
  <c r="D8627" i="2"/>
  <c r="C8627" i="2"/>
  <c r="B8627" i="2"/>
  <c r="A8627" i="2"/>
  <c r="U8626" i="2"/>
  <c r="N8626" i="2"/>
  <c r="M8626" i="2"/>
  <c r="J8626" i="2"/>
  <c r="I8626" i="2"/>
  <c r="H8626" i="2"/>
  <c r="G8626" i="2"/>
  <c r="F8626" i="2"/>
  <c r="E8626" i="2"/>
  <c r="D8626" i="2"/>
  <c r="C8626" i="2"/>
  <c r="B8626" i="2"/>
  <c r="A8626" i="2"/>
  <c r="U8625" i="2"/>
  <c r="N8625" i="2"/>
  <c r="M8625" i="2"/>
  <c r="J8625" i="2"/>
  <c r="I8625" i="2"/>
  <c r="H8625" i="2"/>
  <c r="G8625" i="2"/>
  <c r="F8625" i="2"/>
  <c r="E8625" i="2"/>
  <c r="D8625" i="2"/>
  <c r="C8625" i="2"/>
  <c r="B8625" i="2"/>
  <c r="A8625" i="2"/>
  <c r="U8624" i="2"/>
  <c r="N8624" i="2"/>
  <c r="M8624" i="2"/>
  <c r="J8624" i="2"/>
  <c r="I8624" i="2"/>
  <c r="H8624" i="2"/>
  <c r="G8624" i="2"/>
  <c r="F8624" i="2"/>
  <c r="E8624" i="2"/>
  <c r="D8624" i="2"/>
  <c r="C8624" i="2"/>
  <c r="B8624" i="2"/>
  <c r="A8624" i="2"/>
  <c r="U8623" i="2"/>
  <c r="N8623" i="2"/>
  <c r="M8623" i="2"/>
  <c r="J8623" i="2"/>
  <c r="I8623" i="2"/>
  <c r="H8623" i="2"/>
  <c r="G8623" i="2"/>
  <c r="F8623" i="2"/>
  <c r="E8623" i="2"/>
  <c r="D8623" i="2"/>
  <c r="C8623" i="2"/>
  <c r="B8623" i="2"/>
  <c r="A8623" i="2"/>
  <c r="U8622" i="2"/>
  <c r="N8622" i="2"/>
  <c r="M8622" i="2"/>
  <c r="J8622" i="2"/>
  <c r="I8622" i="2"/>
  <c r="H8622" i="2"/>
  <c r="G8622" i="2"/>
  <c r="F8622" i="2"/>
  <c r="E8622" i="2"/>
  <c r="D8622" i="2"/>
  <c r="C8622" i="2"/>
  <c r="B8622" i="2"/>
  <c r="A8622" i="2"/>
  <c r="U8621" i="2"/>
  <c r="N8621" i="2"/>
  <c r="M8621" i="2"/>
  <c r="J8621" i="2"/>
  <c r="I8621" i="2"/>
  <c r="H8621" i="2"/>
  <c r="G8621" i="2"/>
  <c r="F8621" i="2"/>
  <c r="E8621" i="2"/>
  <c r="D8621" i="2"/>
  <c r="C8621" i="2"/>
  <c r="B8621" i="2"/>
  <c r="A8621" i="2"/>
  <c r="U8620" i="2"/>
  <c r="N8620" i="2"/>
  <c r="M8620" i="2"/>
  <c r="J8620" i="2"/>
  <c r="I8620" i="2"/>
  <c r="H8620" i="2"/>
  <c r="G8620" i="2"/>
  <c r="F8620" i="2"/>
  <c r="E8620" i="2"/>
  <c r="D8620" i="2"/>
  <c r="C8620" i="2"/>
  <c r="B8620" i="2"/>
  <c r="A8620" i="2"/>
  <c r="U8619" i="2"/>
  <c r="N8619" i="2"/>
  <c r="M8619" i="2"/>
  <c r="J8619" i="2"/>
  <c r="I8619" i="2"/>
  <c r="H8619" i="2"/>
  <c r="G8619" i="2"/>
  <c r="F8619" i="2"/>
  <c r="E8619" i="2"/>
  <c r="D8619" i="2"/>
  <c r="C8619" i="2"/>
  <c r="B8619" i="2"/>
  <c r="A8619" i="2"/>
  <c r="U8618" i="2"/>
  <c r="N8618" i="2"/>
  <c r="M8618" i="2"/>
  <c r="J8618" i="2"/>
  <c r="I8618" i="2"/>
  <c r="H8618" i="2"/>
  <c r="G8618" i="2"/>
  <c r="F8618" i="2"/>
  <c r="E8618" i="2"/>
  <c r="D8618" i="2"/>
  <c r="C8618" i="2"/>
  <c r="B8618" i="2"/>
  <c r="A8618" i="2"/>
  <c r="U8617" i="2"/>
  <c r="N8617" i="2"/>
  <c r="M8617" i="2"/>
  <c r="J8617" i="2"/>
  <c r="I8617" i="2"/>
  <c r="H8617" i="2"/>
  <c r="G8617" i="2"/>
  <c r="F8617" i="2"/>
  <c r="E8617" i="2"/>
  <c r="D8617" i="2"/>
  <c r="C8617" i="2"/>
  <c r="B8617" i="2"/>
  <c r="A8617" i="2"/>
  <c r="U8616" i="2"/>
  <c r="N8616" i="2"/>
  <c r="M8616" i="2"/>
  <c r="J8616" i="2"/>
  <c r="I8616" i="2"/>
  <c r="H8616" i="2"/>
  <c r="G8616" i="2"/>
  <c r="F8616" i="2"/>
  <c r="E8616" i="2"/>
  <c r="D8616" i="2"/>
  <c r="C8616" i="2"/>
  <c r="B8616" i="2"/>
  <c r="A8616" i="2"/>
  <c r="U8615" i="2"/>
  <c r="N8615" i="2"/>
  <c r="M8615" i="2"/>
  <c r="J8615" i="2"/>
  <c r="I8615" i="2"/>
  <c r="H8615" i="2"/>
  <c r="G8615" i="2"/>
  <c r="F8615" i="2"/>
  <c r="E8615" i="2"/>
  <c r="D8615" i="2"/>
  <c r="C8615" i="2"/>
  <c r="B8615" i="2"/>
  <c r="A8615" i="2"/>
  <c r="U8614" i="2"/>
  <c r="N8614" i="2"/>
  <c r="M8614" i="2"/>
  <c r="J8614" i="2"/>
  <c r="I8614" i="2"/>
  <c r="H8614" i="2"/>
  <c r="G8614" i="2"/>
  <c r="F8614" i="2"/>
  <c r="E8614" i="2"/>
  <c r="D8614" i="2"/>
  <c r="C8614" i="2"/>
  <c r="B8614" i="2"/>
  <c r="A8614" i="2"/>
  <c r="U8613" i="2"/>
  <c r="N8613" i="2"/>
  <c r="M8613" i="2"/>
  <c r="J8613" i="2"/>
  <c r="I8613" i="2"/>
  <c r="H8613" i="2"/>
  <c r="G8613" i="2"/>
  <c r="F8613" i="2"/>
  <c r="E8613" i="2"/>
  <c r="D8613" i="2"/>
  <c r="C8613" i="2"/>
  <c r="B8613" i="2"/>
  <c r="A8613" i="2"/>
  <c r="U8612" i="2"/>
  <c r="N8612" i="2"/>
  <c r="M8612" i="2"/>
  <c r="J8612" i="2"/>
  <c r="I8612" i="2"/>
  <c r="H8612" i="2"/>
  <c r="G8612" i="2"/>
  <c r="F8612" i="2"/>
  <c r="E8612" i="2"/>
  <c r="D8612" i="2"/>
  <c r="C8612" i="2"/>
  <c r="B8612" i="2"/>
  <c r="A8612" i="2"/>
  <c r="U8611" i="2"/>
  <c r="N8611" i="2"/>
  <c r="M8611" i="2"/>
  <c r="J8611" i="2"/>
  <c r="I8611" i="2"/>
  <c r="H8611" i="2"/>
  <c r="G8611" i="2"/>
  <c r="F8611" i="2"/>
  <c r="E8611" i="2"/>
  <c r="D8611" i="2"/>
  <c r="C8611" i="2"/>
  <c r="B8611" i="2"/>
  <c r="A8611" i="2"/>
  <c r="U8610" i="2"/>
  <c r="N8610" i="2"/>
  <c r="M8610" i="2"/>
  <c r="J8610" i="2"/>
  <c r="I8610" i="2"/>
  <c r="H8610" i="2"/>
  <c r="G8610" i="2"/>
  <c r="F8610" i="2"/>
  <c r="E8610" i="2"/>
  <c r="D8610" i="2"/>
  <c r="C8610" i="2"/>
  <c r="B8610" i="2"/>
  <c r="A8610" i="2"/>
  <c r="U8609" i="2"/>
  <c r="N8609" i="2"/>
  <c r="M8609" i="2"/>
  <c r="J8609" i="2"/>
  <c r="I8609" i="2"/>
  <c r="H8609" i="2"/>
  <c r="G8609" i="2"/>
  <c r="F8609" i="2"/>
  <c r="E8609" i="2"/>
  <c r="D8609" i="2"/>
  <c r="C8609" i="2"/>
  <c r="B8609" i="2"/>
  <c r="A8609" i="2"/>
  <c r="U8608" i="2"/>
  <c r="N8608" i="2"/>
  <c r="M8608" i="2"/>
  <c r="J8608" i="2"/>
  <c r="I8608" i="2"/>
  <c r="H8608" i="2"/>
  <c r="G8608" i="2"/>
  <c r="F8608" i="2"/>
  <c r="E8608" i="2"/>
  <c r="D8608" i="2"/>
  <c r="C8608" i="2"/>
  <c r="B8608" i="2"/>
  <c r="A8608" i="2"/>
  <c r="U8607" i="2"/>
  <c r="N8607" i="2"/>
  <c r="M8607" i="2"/>
  <c r="J8607" i="2"/>
  <c r="I8607" i="2"/>
  <c r="H8607" i="2"/>
  <c r="G8607" i="2"/>
  <c r="F8607" i="2"/>
  <c r="E8607" i="2"/>
  <c r="D8607" i="2"/>
  <c r="C8607" i="2"/>
  <c r="B8607" i="2"/>
  <c r="A8607" i="2"/>
  <c r="U8606" i="2"/>
  <c r="N8606" i="2"/>
  <c r="M8606" i="2"/>
  <c r="J8606" i="2"/>
  <c r="I8606" i="2"/>
  <c r="H8606" i="2"/>
  <c r="G8606" i="2"/>
  <c r="F8606" i="2"/>
  <c r="E8606" i="2"/>
  <c r="D8606" i="2"/>
  <c r="C8606" i="2"/>
  <c r="B8606" i="2"/>
  <c r="A8606" i="2"/>
  <c r="U8605" i="2"/>
  <c r="N8605" i="2"/>
  <c r="M8605" i="2"/>
  <c r="J8605" i="2"/>
  <c r="I8605" i="2"/>
  <c r="H8605" i="2"/>
  <c r="G8605" i="2"/>
  <c r="F8605" i="2"/>
  <c r="E8605" i="2"/>
  <c r="D8605" i="2"/>
  <c r="C8605" i="2"/>
  <c r="B8605" i="2"/>
  <c r="A8605" i="2"/>
  <c r="U8604" i="2"/>
  <c r="N8604" i="2"/>
  <c r="M8604" i="2"/>
  <c r="J8604" i="2"/>
  <c r="I8604" i="2"/>
  <c r="H8604" i="2"/>
  <c r="G8604" i="2"/>
  <c r="F8604" i="2"/>
  <c r="E8604" i="2"/>
  <c r="D8604" i="2"/>
  <c r="C8604" i="2"/>
  <c r="B8604" i="2"/>
  <c r="A8604" i="2"/>
  <c r="U8603" i="2"/>
  <c r="N8603" i="2"/>
  <c r="M8603" i="2"/>
  <c r="J8603" i="2"/>
  <c r="I8603" i="2"/>
  <c r="H8603" i="2"/>
  <c r="G8603" i="2"/>
  <c r="F8603" i="2"/>
  <c r="E8603" i="2"/>
  <c r="D8603" i="2"/>
  <c r="C8603" i="2"/>
  <c r="B8603" i="2"/>
  <c r="A8603" i="2"/>
  <c r="U8602" i="2"/>
  <c r="N8602" i="2"/>
  <c r="M8602" i="2"/>
  <c r="J8602" i="2"/>
  <c r="I8602" i="2"/>
  <c r="H8602" i="2"/>
  <c r="G8602" i="2"/>
  <c r="F8602" i="2"/>
  <c r="E8602" i="2"/>
  <c r="D8602" i="2"/>
  <c r="C8602" i="2"/>
  <c r="B8602" i="2"/>
  <c r="A8602" i="2"/>
  <c r="Q8601" i="2"/>
  <c r="U8601" i="2" s="1"/>
  <c r="N8601" i="2"/>
  <c r="M8601" i="2"/>
  <c r="J8601" i="2"/>
  <c r="I8601" i="2"/>
  <c r="H8601" i="2"/>
  <c r="G8601" i="2"/>
  <c r="F8601" i="2"/>
  <c r="E8601" i="2"/>
  <c r="D8601" i="2"/>
  <c r="C8601" i="2"/>
  <c r="B8601" i="2"/>
  <c r="A8601" i="2"/>
  <c r="U8600" i="2"/>
  <c r="N8600" i="2"/>
  <c r="M8600" i="2"/>
  <c r="J8600" i="2"/>
  <c r="I8600" i="2"/>
  <c r="H8600" i="2"/>
  <c r="G8600" i="2"/>
  <c r="F8600" i="2"/>
  <c r="E8600" i="2"/>
  <c r="D8600" i="2"/>
  <c r="C8600" i="2"/>
  <c r="B8600" i="2"/>
  <c r="A8600" i="2"/>
  <c r="U8599" i="2"/>
  <c r="N8599" i="2"/>
  <c r="M8599" i="2"/>
  <c r="J8599" i="2"/>
  <c r="I8599" i="2"/>
  <c r="H8599" i="2"/>
  <c r="G8599" i="2"/>
  <c r="F8599" i="2"/>
  <c r="E8599" i="2"/>
  <c r="D8599" i="2"/>
  <c r="C8599" i="2"/>
  <c r="B8599" i="2"/>
  <c r="A8599" i="2"/>
  <c r="U8598" i="2"/>
  <c r="N8598" i="2"/>
  <c r="M8598" i="2"/>
  <c r="J8598" i="2"/>
  <c r="I8598" i="2"/>
  <c r="H8598" i="2"/>
  <c r="G8598" i="2"/>
  <c r="F8598" i="2"/>
  <c r="E8598" i="2"/>
  <c r="D8598" i="2"/>
  <c r="C8598" i="2"/>
  <c r="B8598" i="2"/>
  <c r="A8598" i="2"/>
  <c r="U8597" i="2"/>
  <c r="N8597" i="2"/>
  <c r="M8597" i="2"/>
  <c r="J8597" i="2"/>
  <c r="I8597" i="2"/>
  <c r="H8597" i="2"/>
  <c r="G8597" i="2"/>
  <c r="F8597" i="2"/>
  <c r="E8597" i="2"/>
  <c r="D8597" i="2"/>
  <c r="C8597" i="2"/>
  <c r="B8597" i="2"/>
  <c r="A8597" i="2"/>
  <c r="U8596" i="2"/>
  <c r="N8596" i="2"/>
  <c r="M8596" i="2"/>
  <c r="J8596" i="2"/>
  <c r="I8596" i="2"/>
  <c r="H8596" i="2"/>
  <c r="G8596" i="2"/>
  <c r="F8596" i="2"/>
  <c r="E8596" i="2"/>
  <c r="D8596" i="2"/>
  <c r="C8596" i="2"/>
  <c r="B8596" i="2"/>
  <c r="A8596" i="2"/>
  <c r="U8595" i="2"/>
  <c r="N8595" i="2"/>
  <c r="M8595" i="2"/>
  <c r="J8595" i="2"/>
  <c r="I8595" i="2"/>
  <c r="H8595" i="2"/>
  <c r="G8595" i="2"/>
  <c r="F8595" i="2"/>
  <c r="E8595" i="2"/>
  <c r="D8595" i="2"/>
  <c r="C8595" i="2"/>
  <c r="B8595" i="2"/>
  <c r="A8595" i="2"/>
  <c r="U8594" i="2"/>
  <c r="N8594" i="2"/>
  <c r="M8594" i="2"/>
  <c r="J8594" i="2"/>
  <c r="I8594" i="2"/>
  <c r="H8594" i="2"/>
  <c r="G8594" i="2"/>
  <c r="F8594" i="2"/>
  <c r="E8594" i="2"/>
  <c r="D8594" i="2"/>
  <c r="C8594" i="2"/>
  <c r="B8594" i="2"/>
  <c r="A8594" i="2"/>
  <c r="U8593" i="2"/>
  <c r="N8593" i="2"/>
  <c r="M8593" i="2"/>
  <c r="J8593" i="2"/>
  <c r="I8593" i="2"/>
  <c r="H8593" i="2"/>
  <c r="G8593" i="2"/>
  <c r="F8593" i="2"/>
  <c r="E8593" i="2"/>
  <c r="D8593" i="2"/>
  <c r="C8593" i="2"/>
  <c r="B8593" i="2"/>
  <c r="A8593" i="2"/>
  <c r="U8592" i="2"/>
  <c r="N8592" i="2"/>
  <c r="M8592" i="2"/>
  <c r="J8592" i="2"/>
  <c r="I8592" i="2"/>
  <c r="H8592" i="2"/>
  <c r="G8592" i="2"/>
  <c r="F8592" i="2"/>
  <c r="E8592" i="2"/>
  <c r="D8592" i="2"/>
  <c r="C8592" i="2"/>
  <c r="B8592" i="2"/>
  <c r="A8592" i="2"/>
  <c r="U8591" i="2"/>
  <c r="N8591" i="2"/>
  <c r="M8591" i="2"/>
  <c r="J8591" i="2"/>
  <c r="I8591" i="2"/>
  <c r="H8591" i="2"/>
  <c r="G8591" i="2"/>
  <c r="F8591" i="2"/>
  <c r="E8591" i="2"/>
  <c r="D8591" i="2"/>
  <c r="C8591" i="2"/>
  <c r="B8591" i="2"/>
  <c r="A8591" i="2"/>
  <c r="U8590" i="2"/>
  <c r="N8590" i="2"/>
  <c r="M8590" i="2"/>
  <c r="J8590" i="2"/>
  <c r="I8590" i="2"/>
  <c r="H8590" i="2"/>
  <c r="G8590" i="2"/>
  <c r="F8590" i="2"/>
  <c r="E8590" i="2"/>
  <c r="D8590" i="2"/>
  <c r="C8590" i="2"/>
  <c r="B8590" i="2"/>
  <c r="A8590" i="2"/>
  <c r="U8589" i="2"/>
  <c r="N8589" i="2"/>
  <c r="M8589" i="2"/>
  <c r="J8589" i="2"/>
  <c r="I8589" i="2"/>
  <c r="H8589" i="2"/>
  <c r="G8589" i="2"/>
  <c r="F8589" i="2"/>
  <c r="E8589" i="2"/>
  <c r="D8589" i="2"/>
  <c r="C8589" i="2"/>
  <c r="B8589" i="2"/>
  <c r="A8589" i="2"/>
  <c r="U8588" i="2"/>
  <c r="N8588" i="2"/>
  <c r="M8588" i="2"/>
  <c r="J8588" i="2"/>
  <c r="I8588" i="2"/>
  <c r="H8588" i="2"/>
  <c r="G8588" i="2"/>
  <c r="F8588" i="2"/>
  <c r="E8588" i="2"/>
  <c r="D8588" i="2"/>
  <c r="C8588" i="2"/>
  <c r="B8588" i="2"/>
  <c r="A8588" i="2"/>
  <c r="Q8587" i="2"/>
  <c r="U8587" i="2" s="1"/>
  <c r="N8587" i="2"/>
  <c r="M8587" i="2"/>
  <c r="J8587" i="2"/>
  <c r="I8587" i="2"/>
  <c r="H8587" i="2"/>
  <c r="G8587" i="2"/>
  <c r="F8587" i="2"/>
  <c r="E8587" i="2"/>
  <c r="D8587" i="2"/>
  <c r="C8587" i="2"/>
  <c r="B8587" i="2"/>
  <c r="A8587" i="2"/>
  <c r="U8586" i="2"/>
  <c r="N8586" i="2"/>
  <c r="M8586" i="2"/>
  <c r="J8586" i="2"/>
  <c r="I8586" i="2"/>
  <c r="H8586" i="2"/>
  <c r="G8586" i="2"/>
  <c r="F8586" i="2"/>
  <c r="E8586" i="2"/>
  <c r="D8586" i="2"/>
  <c r="C8586" i="2"/>
  <c r="B8586" i="2"/>
  <c r="A8586" i="2"/>
  <c r="R8585" i="2"/>
  <c r="Q8585" i="2"/>
  <c r="N8585" i="2"/>
  <c r="M8585" i="2"/>
  <c r="J8585" i="2"/>
  <c r="I8585" i="2"/>
  <c r="H8585" i="2"/>
  <c r="G8585" i="2"/>
  <c r="F8585" i="2"/>
  <c r="E8585" i="2"/>
  <c r="D8585" i="2"/>
  <c r="C8585" i="2"/>
  <c r="B8585" i="2"/>
  <c r="A8585" i="2"/>
  <c r="Q8584" i="2"/>
  <c r="U8584" i="2" s="1"/>
  <c r="N8584" i="2"/>
  <c r="M8584" i="2"/>
  <c r="J8584" i="2"/>
  <c r="I8584" i="2"/>
  <c r="H8584" i="2"/>
  <c r="G8584" i="2"/>
  <c r="F8584" i="2"/>
  <c r="E8584" i="2"/>
  <c r="D8584" i="2"/>
  <c r="C8584" i="2"/>
  <c r="B8584" i="2"/>
  <c r="A8584" i="2"/>
  <c r="R8583" i="2"/>
  <c r="U8583" i="2" s="1"/>
  <c r="Q8583" i="2"/>
  <c r="N8583" i="2"/>
  <c r="M8583" i="2"/>
  <c r="J8583" i="2"/>
  <c r="I8583" i="2"/>
  <c r="H8583" i="2"/>
  <c r="G8583" i="2"/>
  <c r="F8583" i="2"/>
  <c r="E8583" i="2"/>
  <c r="D8583" i="2"/>
  <c r="C8583" i="2"/>
  <c r="B8583" i="2"/>
  <c r="A8583" i="2"/>
  <c r="R8582" i="2"/>
  <c r="U8582" i="2" s="1"/>
  <c r="Q8582" i="2"/>
  <c r="N8582" i="2"/>
  <c r="M8582" i="2"/>
  <c r="J8582" i="2"/>
  <c r="I8582" i="2"/>
  <c r="H8582" i="2"/>
  <c r="G8582" i="2"/>
  <c r="F8582" i="2"/>
  <c r="E8582" i="2"/>
  <c r="D8582" i="2"/>
  <c r="C8582" i="2"/>
  <c r="B8582" i="2"/>
  <c r="A8582" i="2"/>
  <c r="R8581" i="2"/>
  <c r="U8581" i="2" s="1"/>
  <c r="Q8581" i="2"/>
  <c r="N8581" i="2"/>
  <c r="M8581" i="2"/>
  <c r="J8581" i="2"/>
  <c r="I8581" i="2"/>
  <c r="H8581" i="2"/>
  <c r="G8581" i="2"/>
  <c r="F8581" i="2"/>
  <c r="E8581" i="2"/>
  <c r="D8581" i="2"/>
  <c r="C8581" i="2"/>
  <c r="B8581" i="2"/>
  <c r="A8581" i="2"/>
  <c r="R8580" i="2"/>
  <c r="Q8580" i="2"/>
  <c r="N8580" i="2"/>
  <c r="M8580" i="2"/>
  <c r="J8580" i="2"/>
  <c r="I8580" i="2"/>
  <c r="H8580" i="2"/>
  <c r="G8580" i="2"/>
  <c r="F8580" i="2"/>
  <c r="E8580" i="2"/>
  <c r="D8580" i="2"/>
  <c r="C8580" i="2"/>
  <c r="B8580" i="2"/>
  <c r="A8580" i="2"/>
  <c r="R8579" i="2"/>
  <c r="U8579" i="2" s="1"/>
  <c r="Q8579" i="2"/>
  <c r="N8579" i="2"/>
  <c r="M8579" i="2"/>
  <c r="J8579" i="2"/>
  <c r="I8579" i="2"/>
  <c r="H8579" i="2"/>
  <c r="G8579" i="2"/>
  <c r="F8579" i="2"/>
  <c r="E8579" i="2"/>
  <c r="D8579" i="2"/>
  <c r="C8579" i="2"/>
  <c r="B8579" i="2"/>
  <c r="A8579" i="2"/>
  <c r="R8578" i="2"/>
  <c r="U8578" i="2" s="1"/>
  <c r="Q8578" i="2"/>
  <c r="N8578" i="2"/>
  <c r="M8578" i="2"/>
  <c r="J8578" i="2"/>
  <c r="I8578" i="2"/>
  <c r="H8578" i="2"/>
  <c r="G8578" i="2"/>
  <c r="F8578" i="2"/>
  <c r="E8578" i="2"/>
  <c r="D8578" i="2"/>
  <c r="C8578" i="2"/>
  <c r="B8578" i="2"/>
  <c r="A8578" i="2"/>
  <c r="R8577" i="2"/>
  <c r="Q8577" i="2"/>
  <c r="N8577" i="2"/>
  <c r="M8577" i="2"/>
  <c r="J8577" i="2"/>
  <c r="I8577" i="2"/>
  <c r="H8577" i="2"/>
  <c r="G8577" i="2"/>
  <c r="F8577" i="2"/>
  <c r="E8577" i="2"/>
  <c r="D8577" i="2"/>
  <c r="C8577" i="2"/>
  <c r="B8577" i="2"/>
  <c r="A8577" i="2"/>
  <c r="R8576" i="2"/>
  <c r="Q8576" i="2"/>
  <c r="N8576" i="2"/>
  <c r="M8576" i="2"/>
  <c r="J8576" i="2"/>
  <c r="I8576" i="2"/>
  <c r="H8576" i="2"/>
  <c r="G8576" i="2"/>
  <c r="F8576" i="2"/>
  <c r="E8576" i="2"/>
  <c r="D8576" i="2"/>
  <c r="C8576" i="2"/>
  <c r="B8576" i="2"/>
  <c r="A8576" i="2"/>
  <c r="R8575" i="2"/>
  <c r="Q8575" i="2"/>
  <c r="N8575" i="2"/>
  <c r="M8575" i="2"/>
  <c r="J8575" i="2"/>
  <c r="I8575" i="2"/>
  <c r="H8575" i="2"/>
  <c r="G8575" i="2"/>
  <c r="F8575" i="2"/>
  <c r="E8575" i="2"/>
  <c r="D8575" i="2"/>
  <c r="C8575" i="2"/>
  <c r="B8575" i="2"/>
  <c r="A8575" i="2"/>
  <c r="Q8574" i="2"/>
  <c r="U8574" i="2" s="1"/>
  <c r="N8574" i="2"/>
  <c r="M8574" i="2"/>
  <c r="J8574" i="2"/>
  <c r="I8574" i="2"/>
  <c r="H8574" i="2"/>
  <c r="G8574" i="2"/>
  <c r="F8574" i="2"/>
  <c r="E8574" i="2"/>
  <c r="D8574" i="2"/>
  <c r="C8574" i="2"/>
  <c r="B8574" i="2"/>
  <c r="A8574" i="2"/>
  <c r="R8573" i="2"/>
  <c r="Q8573" i="2"/>
  <c r="N8573" i="2"/>
  <c r="M8573" i="2"/>
  <c r="J8573" i="2"/>
  <c r="I8573" i="2"/>
  <c r="H8573" i="2"/>
  <c r="G8573" i="2"/>
  <c r="F8573" i="2"/>
  <c r="E8573" i="2"/>
  <c r="D8573" i="2"/>
  <c r="C8573" i="2"/>
  <c r="B8573" i="2"/>
  <c r="A8573" i="2"/>
  <c r="R8572" i="2"/>
  <c r="Q8572" i="2"/>
  <c r="N8572" i="2"/>
  <c r="M8572" i="2"/>
  <c r="J8572" i="2"/>
  <c r="I8572" i="2"/>
  <c r="H8572" i="2"/>
  <c r="G8572" i="2"/>
  <c r="F8572" i="2"/>
  <c r="E8572" i="2"/>
  <c r="D8572" i="2"/>
  <c r="C8572" i="2"/>
  <c r="B8572" i="2"/>
  <c r="A8572" i="2"/>
  <c r="U8571" i="2"/>
  <c r="N8571" i="2"/>
  <c r="M8571" i="2"/>
  <c r="J8571" i="2"/>
  <c r="I8571" i="2"/>
  <c r="H8571" i="2"/>
  <c r="G8571" i="2"/>
  <c r="F8571" i="2"/>
  <c r="E8571" i="2"/>
  <c r="D8571" i="2"/>
  <c r="C8571" i="2"/>
  <c r="B8571" i="2"/>
  <c r="A8571" i="2"/>
  <c r="U8570" i="2"/>
  <c r="N8570" i="2"/>
  <c r="M8570" i="2"/>
  <c r="J8570" i="2"/>
  <c r="I8570" i="2"/>
  <c r="H8570" i="2"/>
  <c r="G8570" i="2"/>
  <c r="F8570" i="2"/>
  <c r="E8570" i="2"/>
  <c r="D8570" i="2"/>
  <c r="C8570" i="2"/>
  <c r="B8570" i="2"/>
  <c r="A8570" i="2"/>
  <c r="U8569" i="2"/>
  <c r="N8569" i="2"/>
  <c r="M8569" i="2"/>
  <c r="J8569" i="2"/>
  <c r="I8569" i="2"/>
  <c r="H8569" i="2"/>
  <c r="G8569" i="2"/>
  <c r="F8569" i="2"/>
  <c r="E8569" i="2"/>
  <c r="D8569" i="2"/>
  <c r="C8569" i="2"/>
  <c r="B8569" i="2"/>
  <c r="A8569" i="2"/>
  <c r="U8568" i="2"/>
  <c r="N8568" i="2"/>
  <c r="M8568" i="2"/>
  <c r="J8568" i="2"/>
  <c r="I8568" i="2"/>
  <c r="H8568" i="2"/>
  <c r="G8568" i="2"/>
  <c r="F8568" i="2"/>
  <c r="E8568" i="2"/>
  <c r="D8568" i="2"/>
  <c r="C8568" i="2"/>
  <c r="B8568" i="2"/>
  <c r="A8568" i="2"/>
  <c r="U8567" i="2"/>
  <c r="N8567" i="2"/>
  <c r="M8567" i="2"/>
  <c r="J8567" i="2"/>
  <c r="I8567" i="2"/>
  <c r="H8567" i="2"/>
  <c r="G8567" i="2"/>
  <c r="F8567" i="2"/>
  <c r="E8567" i="2"/>
  <c r="D8567" i="2"/>
  <c r="C8567" i="2"/>
  <c r="B8567" i="2"/>
  <c r="A8567" i="2"/>
  <c r="U8566" i="2"/>
  <c r="N8566" i="2"/>
  <c r="M8566" i="2"/>
  <c r="J8566" i="2"/>
  <c r="I8566" i="2"/>
  <c r="H8566" i="2"/>
  <c r="G8566" i="2"/>
  <c r="F8566" i="2"/>
  <c r="E8566" i="2"/>
  <c r="D8566" i="2"/>
  <c r="C8566" i="2"/>
  <c r="B8566" i="2"/>
  <c r="A8566" i="2"/>
  <c r="U8565" i="2"/>
  <c r="N8565" i="2"/>
  <c r="M8565" i="2"/>
  <c r="J8565" i="2"/>
  <c r="I8565" i="2"/>
  <c r="H8565" i="2"/>
  <c r="G8565" i="2"/>
  <c r="F8565" i="2"/>
  <c r="E8565" i="2"/>
  <c r="D8565" i="2"/>
  <c r="C8565" i="2"/>
  <c r="B8565" i="2"/>
  <c r="A8565" i="2"/>
  <c r="U8564" i="2"/>
  <c r="N8564" i="2"/>
  <c r="M8564" i="2"/>
  <c r="J8564" i="2"/>
  <c r="I8564" i="2"/>
  <c r="H8564" i="2"/>
  <c r="G8564" i="2"/>
  <c r="F8564" i="2"/>
  <c r="E8564" i="2"/>
  <c r="D8564" i="2"/>
  <c r="C8564" i="2"/>
  <c r="B8564" i="2"/>
  <c r="A8564" i="2"/>
  <c r="U8563" i="2"/>
  <c r="N8563" i="2"/>
  <c r="M8563" i="2"/>
  <c r="J8563" i="2"/>
  <c r="I8563" i="2"/>
  <c r="H8563" i="2"/>
  <c r="G8563" i="2"/>
  <c r="F8563" i="2"/>
  <c r="E8563" i="2"/>
  <c r="D8563" i="2"/>
  <c r="C8563" i="2"/>
  <c r="B8563" i="2"/>
  <c r="A8563" i="2"/>
  <c r="Q8562" i="2"/>
  <c r="U8562" i="2" s="1"/>
  <c r="N8562" i="2"/>
  <c r="M8562" i="2"/>
  <c r="J8562" i="2"/>
  <c r="I8562" i="2"/>
  <c r="H8562" i="2"/>
  <c r="G8562" i="2"/>
  <c r="F8562" i="2"/>
  <c r="E8562" i="2"/>
  <c r="D8562" i="2"/>
  <c r="C8562" i="2"/>
  <c r="B8562" i="2"/>
  <c r="A8562" i="2"/>
  <c r="Q8561" i="2"/>
  <c r="U8561" i="2" s="1"/>
  <c r="N8561" i="2"/>
  <c r="M8561" i="2"/>
  <c r="J8561" i="2"/>
  <c r="I8561" i="2"/>
  <c r="H8561" i="2"/>
  <c r="G8561" i="2"/>
  <c r="F8561" i="2"/>
  <c r="E8561" i="2"/>
  <c r="D8561" i="2"/>
  <c r="C8561" i="2"/>
  <c r="B8561" i="2"/>
  <c r="A8561" i="2"/>
  <c r="U8560" i="2"/>
  <c r="N8560" i="2"/>
  <c r="M8560" i="2"/>
  <c r="J8560" i="2"/>
  <c r="I8560" i="2"/>
  <c r="H8560" i="2"/>
  <c r="G8560" i="2"/>
  <c r="F8560" i="2"/>
  <c r="E8560" i="2"/>
  <c r="D8560" i="2"/>
  <c r="C8560" i="2"/>
  <c r="B8560" i="2"/>
  <c r="A8560" i="2"/>
  <c r="U8559" i="2"/>
  <c r="N8559" i="2"/>
  <c r="M8559" i="2"/>
  <c r="J8559" i="2"/>
  <c r="I8559" i="2"/>
  <c r="H8559" i="2"/>
  <c r="G8559" i="2"/>
  <c r="F8559" i="2"/>
  <c r="E8559" i="2"/>
  <c r="D8559" i="2"/>
  <c r="C8559" i="2"/>
  <c r="B8559" i="2"/>
  <c r="A8559" i="2"/>
  <c r="U8558" i="2"/>
  <c r="N8558" i="2"/>
  <c r="M8558" i="2"/>
  <c r="J8558" i="2"/>
  <c r="I8558" i="2"/>
  <c r="H8558" i="2"/>
  <c r="G8558" i="2"/>
  <c r="F8558" i="2"/>
  <c r="E8558" i="2"/>
  <c r="D8558" i="2"/>
  <c r="C8558" i="2"/>
  <c r="B8558" i="2"/>
  <c r="A8558" i="2"/>
  <c r="U8557" i="2"/>
  <c r="N8557" i="2"/>
  <c r="M8557" i="2"/>
  <c r="J8557" i="2"/>
  <c r="I8557" i="2"/>
  <c r="H8557" i="2"/>
  <c r="G8557" i="2"/>
  <c r="F8557" i="2"/>
  <c r="E8557" i="2"/>
  <c r="D8557" i="2"/>
  <c r="C8557" i="2"/>
  <c r="B8557" i="2"/>
  <c r="A8557" i="2"/>
  <c r="U8556" i="2"/>
  <c r="N8556" i="2"/>
  <c r="M8556" i="2"/>
  <c r="J8556" i="2"/>
  <c r="I8556" i="2"/>
  <c r="H8556" i="2"/>
  <c r="G8556" i="2"/>
  <c r="F8556" i="2"/>
  <c r="E8556" i="2"/>
  <c r="D8556" i="2"/>
  <c r="C8556" i="2"/>
  <c r="B8556" i="2"/>
  <c r="A8556" i="2"/>
  <c r="U8555" i="2"/>
  <c r="N8555" i="2"/>
  <c r="M8555" i="2"/>
  <c r="J8555" i="2"/>
  <c r="I8555" i="2"/>
  <c r="H8555" i="2"/>
  <c r="G8555" i="2"/>
  <c r="F8555" i="2"/>
  <c r="E8555" i="2"/>
  <c r="D8555" i="2"/>
  <c r="C8555" i="2"/>
  <c r="B8555" i="2"/>
  <c r="A8555" i="2"/>
  <c r="U8554" i="2"/>
  <c r="N8554" i="2"/>
  <c r="M8554" i="2"/>
  <c r="J8554" i="2"/>
  <c r="I8554" i="2"/>
  <c r="H8554" i="2"/>
  <c r="G8554" i="2"/>
  <c r="F8554" i="2"/>
  <c r="E8554" i="2"/>
  <c r="D8554" i="2"/>
  <c r="C8554" i="2"/>
  <c r="B8554" i="2"/>
  <c r="A8554" i="2"/>
  <c r="U8553" i="2"/>
  <c r="N8553" i="2"/>
  <c r="M8553" i="2"/>
  <c r="J8553" i="2"/>
  <c r="I8553" i="2"/>
  <c r="H8553" i="2"/>
  <c r="G8553" i="2"/>
  <c r="F8553" i="2"/>
  <c r="E8553" i="2"/>
  <c r="D8553" i="2"/>
  <c r="C8553" i="2"/>
  <c r="B8553" i="2"/>
  <c r="A8553" i="2"/>
  <c r="U8552" i="2"/>
  <c r="N8552" i="2"/>
  <c r="M8552" i="2"/>
  <c r="J8552" i="2"/>
  <c r="I8552" i="2"/>
  <c r="H8552" i="2"/>
  <c r="G8552" i="2"/>
  <c r="F8552" i="2"/>
  <c r="E8552" i="2"/>
  <c r="D8552" i="2"/>
  <c r="C8552" i="2"/>
  <c r="B8552" i="2"/>
  <c r="A8552" i="2"/>
  <c r="U8551" i="2"/>
  <c r="N8551" i="2"/>
  <c r="M8551" i="2"/>
  <c r="J8551" i="2"/>
  <c r="I8551" i="2"/>
  <c r="H8551" i="2"/>
  <c r="G8551" i="2"/>
  <c r="F8551" i="2"/>
  <c r="E8551" i="2"/>
  <c r="D8551" i="2"/>
  <c r="C8551" i="2"/>
  <c r="B8551" i="2"/>
  <c r="A8551" i="2"/>
  <c r="U8550" i="2"/>
  <c r="N8550" i="2"/>
  <c r="M8550" i="2"/>
  <c r="J8550" i="2"/>
  <c r="I8550" i="2"/>
  <c r="H8550" i="2"/>
  <c r="G8550" i="2"/>
  <c r="F8550" i="2"/>
  <c r="E8550" i="2"/>
  <c r="D8550" i="2"/>
  <c r="C8550" i="2"/>
  <c r="B8550" i="2"/>
  <c r="A8550" i="2"/>
  <c r="U8549" i="2"/>
  <c r="N8549" i="2"/>
  <c r="M8549" i="2"/>
  <c r="J8549" i="2"/>
  <c r="I8549" i="2"/>
  <c r="H8549" i="2"/>
  <c r="G8549" i="2"/>
  <c r="F8549" i="2"/>
  <c r="E8549" i="2"/>
  <c r="D8549" i="2"/>
  <c r="C8549" i="2"/>
  <c r="B8549" i="2"/>
  <c r="A8549" i="2"/>
  <c r="U8548" i="2"/>
  <c r="N8548" i="2"/>
  <c r="M8548" i="2"/>
  <c r="J8548" i="2"/>
  <c r="I8548" i="2"/>
  <c r="H8548" i="2"/>
  <c r="G8548" i="2"/>
  <c r="F8548" i="2"/>
  <c r="E8548" i="2"/>
  <c r="D8548" i="2"/>
  <c r="C8548" i="2"/>
  <c r="B8548" i="2"/>
  <c r="A8548" i="2"/>
  <c r="U8547" i="2"/>
  <c r="N8547" i="2"/>
  <c r="M8547" i="2"/>
  <c r="J8547" i="2"/>
  <c r="I8547" i="2"/>
  <c r="H8547" i="2"/>
  <c r="G8547" i="2"/>
  <c r="F8547" i="2"/>
  <c r="E8547" i="2"/>
  <c r="D8547" i="2"/>
  <c r="C8547" i="2"/>
  <c r="B8547" i="2"/>
  <c r="A8547" i="2"/>
  <c r="U8546" i="2"/>
  <c r="N8546" i="2"/>
  <c r="M8546" i="2"/>
  <c r="J8546" i="2"/>
  <c r="I8546" i="2"/>
  <c r="H8546" i="2"/>
  <c r="G8546" i="2"/>
  <c r="F8546" i="2"/>
  <c r="E8546" i="2"/>
  <c r="D8546" i="2"/>
  <c r="C8546" i="2"/>
  <c r="B8546" i="2"/>
  <c r="A8546" i="2"/>
  <c r="U8545" i="2"/>
  <c r="N8545" i="2"/>
  <c r="M8545" i="2"/>
  <c r="J8545" i="2"/>
  <c r="I8545" i="2"/>
  <c r="H8545" i="2"/>
  <c r="G8545" i="2"/>
  <c r="F8545" i="2"/>
  <c r="E8545" i="2"/>
  <c r="D8545" i="2"/>
  <c r="C8545" i="2"/>
  <c r="B8545" i="2"/>
  <c r="A8545" i="2"/>
  <c r="U8544" i="2"/>
  <c r="N8544" i="2"/>
  <c r="M8544" i="2"/>
  <c r="J8544" i="2"/>
  <c r="I8544" i="2"/>
  <c r="H8544" i="2"/>
  <c r="G8544" i="2"/>
  <c r="F8544" i="2"/>
  <c r="E8544" i="2"/>
  <c r="D8544" i="2"/>
  <c r="C8544" i="2"/>
  <c r="B8544" i="2"/>
  <c r="A8544" i="2"/>
  <c r="U8543" i="2"/>
  <c r="N8543" i="2"/>
  <c r="M8543" i="2"/>
  <c r="J8543" i="2"/>
  <c r="I8543" i="2"/>
  <c r="H8543" i="2"/>
  <c r="G8543" i="2"/>
  <c r="F8543" i="2"/>
  <c r="E8543" i="2"/>
  <c r="D8543" i="2"/>
  <c r="C8543" i="2"/>
  <c r="B8543" i="2"/>
  <c r="A8543" i="2"/>
  <c r="U8542" i="2"/>
  <c r="N8542" i="2"/>
  <c r="M8542" i="2"/>
  <c r="J8542" i="2"/>
  <c r="I8542" i="2"/>
  <c r="H8542" i="2"/>
  <c r="G8542" i="2"/>
  <c r="F8542" i="2"/>
  <c r="E8542" i="2"/>
  <c r="D8542" i="2"/>
  <c r="C8542" i="2"/>
  <c r="B8542" i="2"/>
  <c r="A8542" i="2"/>
  <c r="U8541" i="2"/>
  <c r="N8541" i="2"/>
  <c r="M8541" i="2"/>
  <c r="J8541" i="2"/>
  <c r="I8541" i="2"/>
  <c r="H8541" i="2"/>
  <c r="G8541" i="2"/>
  <c r="F8541" i="2"/>
  <c r="E8541" i="2"/>
  <c r="D8541" i="2"/>
  <c r="C8541" i="2"/>
  <c r="B8541" i="2"/>
  <c r="A8541" i="2"/>
  <c r="Q8540" i="2"/>
  <c r="U8540" i="2" s="1"/>
  <c r="N8540" i="2"/>
  <c r="M8540" i="2"/>
  <c r="J8540" i="2"/>
  <c r="I8540" i="2"/>
  <c r="H8540" i="2"/>
  <c r="G8540" i="2"/>
  <c r="F8540" i="2"/>
  <c r="E8540" i="2"/>
  <c r="D8540" i="2"/>
  <c r="C8540" i="2"/>
  <c r="B8540" i="2"/>
  <c r="A8540" i="2"/>
  <c r="U8539" i="2"/>
  <c r="N8539" i="2"/>
  <c r="M8539" i="2"/>
  <c r="J8539" i="2"/>
  <c r="I8539" i="2"/>
  <c r="H8539" i="2"/>
  <c r="G8539" i="2"/>
  <c r="F8539" i="2"/>
  <c r="E8539" i="2"/>
  <c r="D8539" i="2"/>
  <c r="C8539" i="2"/>
  <c r="B8539" i="2"/>
  <c r="A8539" i="2"/>
  <c r="U8538" i="2"/>
  <c r="N8538" i="2"/>
  <c r="M8538" i="2"/>
  <c r="J8538" i="2"/>
  <c r="I8538" i="2"/>
  <c r="H8538" i="2"/>
  <c r="G8538" i="2"/>
  <c r="F8538" i="2"/>
  <c r="E8538" i="2"/>
  <c r="D8538" i="2"/>
  <c r="C8538" i="2"/>
  <c r="B8538" i="2"/>
  <c r="A8538" i="2"/>
  <c r="U8537" i="2"/>
  <c r="N8537" i="2"/>
  <c r="M8537" i="2"/>
  <c r="J8537" i="2"/>
  <c r="I8537" i="2"/>
  <c r="H8537" i="2"/>
  <c r="G8537" i="2"/>
  <c r="F8537" i="2"/>
  <c r="E8537" i="2"/>
  <c r="D8537" i="2"/>
  <c r="C8537" i="2"/>
  <c r="B8537" i="2"/>
  <c r="A8537" i="2"/>
  <c r="U8536" i="2"/>
  <c r="N8536" i="2"/>
  <c r="M8536" i="2"/>
  <c r="J8536" i="2"/>
  <c r="I8536" i="2"/>
  <c r="H8536" i="2"/>
  <c r="G8536" i="2"/>
  <c r="F8536" i="2"/>
  <c r="E8536" i="2"/>
  <c r="D8536" i="2"/>
  <c r="C8536" i="2"/>
  <c r="B8536" i="2"/>
  <c r="A8536" i="2"/>
  <c r="Q8535" i="2"/>
  <c r="U8535" i="2" s="1"/>
  <c r="N8535" i="2"/>
  <c r="M8535" i="2"/>
  <c r="J8535" i="2"/>
  <c r="I8535" i="2"/>
  <c r="H8535" i="2"/>
  <c r="G8535" i="2"/>
  <c r="F8535" i="2"/>
  <c r="E8535" i="2"/>
  <c r="D8535" i="2"/>
  <c r="C8535" i="2"/>
  <c r="B8535" i="2"/>
  <c r="A8535" i="2"/>
  <c r="U8534" i="2"/>
  <c r="N8534" i="2"/>
  <c r="M8534" i="2"/>
  <c r="J8534" i="2"/>
  <c r="I8534" i="2"/>
  <c r="H8534" i="2"/>
  <c r="G8534" i="2"/>
  <c r="F8534" i="2"/>
  <c r="E8534" i="2"/>
  <c r="D8534" i="2"/>
  <c r="C8534" i="2"/>
  <c r="B8534" i="2"/>
  <c r="A8534" i="2"/>
  <c r="U8533" i="2"/>
  <c r="N8533" i="2"/>
  <c r="M8533" i="2"/>
  <c r="J8533" i="2"/>
  <c r="I8533" i="2"/>
  <c r="H8533" i="2"/>
  <c r="G8533" i="2"/>
  <c r="F8533" i="2"/>
  <c r="E8533" i="2"/>
  <c r="D8533" i="2"/>
  <c r="C8533" i="2"/>
  <c r="B8533" i="2"/>
  <c r="A8533" i="2"/>
  <c r="U8532" i="2"/>
  <c r="N8532" i="2"/>
  <c r="M8532" i="2"/>
  <c r="J8532" i="2"/>
  <c r="I8532" i="2"/>
  <c r="H8532" i="2"/>
  <c r="G8532" i="2"/>
  <c r="F8532" i="2"/>
  <c r="E8532" i="2"/>
  <c r="D8532" i="2"/>
  <c r="C8532" i="2"/>
  <c r="B8532" i="2"/>
  <c r="A8532" i="2"/>
  <c r="U8531" i="2"/>
  <c r="N8531" i="2"/>
  <c r="M8531" i="2"/>
  <c r="J8531" i="2"/>
  <c r="I8531" i="2"/>
  <c r="H8531" i="2"/>
  <c r="G8531" i="2"/>
  <c r="F8531" i="2"/>
  <c r="E8531" i="2"/>
  <c r="D8531" i="2"/>
  <c r="C8531" i="2"/>
  <c r="B8531" i="2"/>
  <c r="A8531" i="2"/>
  <c r="U8530" i="2"/>
  <c r="N8530" i="2"/>
  <c r="M8530" i="2"/>
  <c r="J8530" i="2"/>
  <c r="I8530" i="2"/>
  <c r="H8530" i="2"/>
  <c r="G8530" i="2"/>
  <c r="F8530" i="2"/>
  <c r="E8530" i="2"/>
  <c r="D8530" i="2"/>
  <c r="C8530" i="2"/>
  <c r="B8530" i="2"/>
  <c r="A8530" i="2"/>
  <c r="U8529" i="2"/>
  <c r="N8529" i="2"/>
  <c r="M8529" i="2"/>
  <c r="J8529" i="2"/>
  <c r="I8529" i="2"/>
  <c r="H8529" i="2"/>
  <c r="G8529" i="2"/>
  <c r="F8529" i="2"/>
  <c r="E8529" i="2"/>
  <c r="D8529" i="2"/>
  <c r="C8529" i="2"/>
  <c r="B8529" i="2"/>
  <c r="A8529" i="2"/>
  <c r="U8528" i="2"/>
  <c r="N8528" i="2"/>
  <c r="M8528" i="2"/>
  <c r="J8528" i="2"/>
  <c r="I8528" i="2"/>
  <c r="H8528" i="2"/>
  <c r="G8528" i="2"/>
  <c r="F8528" i="2"/>
  <c r="E8528" i="2"/>
  <c r="D8528" i="2"/>
  <c r="C8528" i="2"/>
  <c r="B8528" i="2"/>
  <c r="A8528" i="2"/>
  <c r="U8527" i="2"/>
  <c r="N8527" i="2"/>
  <c r="M8527" i="2"/>
  <c r="J8527" i="2"/>
  <c r="I8527" i="2"/>
  <c r="H8527" i="2"/>
  <c r="G8527" i="2"/>
  <c r="F8527" i="2"/>
  <c r="E8527" i="2"/>
  <c r="D8527" i="2"/>
  <c r="C8527" i="2"/>
  <c r="B8527" i="2"/>
  <c r="A8527" i="2"/>
  <c r="U8526" i="2"/>
  <c r="N8526" i="2"/>
  <c r="M8526" i="2"/>
  <c r="J8526" i="2"/>
  <c r="I8526" i="2"/>
  <c r="H8526" i="2"/>
  <c r="G8526" i="2"/>
  <c r="F8526" i="2"/>
  <c r="E8526" i="2"/>
  <c r="D8526" i="2"/>
  <c r="C8526" i="2"/>
  <c r="B8526" i="2"/>
  <c r="A8526" i="2"/>
  <c r="U8525" i="2"/>
  <c r="N8525" i="2"/>
  <c r="M8525" i="2"/>
  <c r="J8525" i="2"/>
  <c r="I8525" i="2"/>
  <c r="H8525" i="2"/>
  <c r="G8525" i="2"/>
  <c r="F8525" i="2"/>
  <c r="E8525" i="2"/>
  <c r="D8525" i="2"/>
  <c r="C8525" i="2"/>
  <c r="B8525" i="2"/>
  <c r="A8525" i="2"/>
  <c r="U8524" i="2"/>
  <c r="N8524" i="2"/>
  <c r="M8524" i="2"/>
  <c r="J8524" i="2"/>
  <c r="I8524" i="2"/>
  <c r="H8524" i="2"/>
  <c r="G8524" i="2"/>
  <c r="F8524" i="2"/>
  <c r="E8524" i="2"/>
  <c r="D8524" i="2"/>
  <c r="C8524" i="2"/>
  <c r="B8524" i="2"/>
  <c r="A8524" i="2"/>
  <c r="U8523" i="2"/>
  <c r="N8523" i="2"/>
  <c r="M8523" i="2"/>
  <c r="J8523" i="2"/>
  <c r="I8523" i="2"/>
  <c r="H8523" i="2"/>
  <c r="G8523" i="2"/>
  <c r="F8523" i="2"/>
  <c r="E8523" i="2"/>
  <c r="D8523" i="2"/>
  <c r="C8523" i="2"/>
  <c r="B8523" i="2"/>
  <c r="A8523" i="2"/>
  <c r="U8522" i="2"/>
  <c r="N8522" i="2"/>
  <c r="M8522" i="2"/>
  <c r="J8522" i="2"/>
  <c r="I8522" i="2"/>
  <c r="H8522" i="2"/>
  <c r="G8522" i="2"/>
  <c r="F8522" i="2"/>
  <c r="E8522" i="2"/>
  <c r="D8522" i="2"/>
  <c r="C8522" i="2"/>
  <c r="B8522" i="2"/>
  <c r="A8522" i="2"/>
  <c r="U8521" i="2"/>
  <c r="N8521" i="2"/>
  <c r="M8521" i="2"/>
  <c r="J8521" i="2"/>
  <c r="I8521" i="2"/>
  <c r="H8521" i="2"/>
  <c r="G8521" i="2"/>
  <c r="F8521" i="2"/>
  <c r="E8521" i="2"/>
  <c r="D8521" i="2"/>
  <c r="C8521" i="2"/>
  <c r="B8521" i="2"/>
  <c r="A8521" i="2"/>
  <c r="U8520" i="2"/>
  <c r="N8520" i="2"/>
  <c r="M8520" i="2"/>
  <c r="J8520" i="2"/>
  <c r="I8520" i="2"/>
  <c r="H8520" i="2"/>
  <c r="G8520" i="2"/>
  <c r="F8520" i="2"/>
  <c r="E8520" i="2"/>
  <c r="D8520" i="2"/>
  <c r="C8520" i="2"/>
  <c r="B8520" i="2"/>
  <c r="A8520" i="2"/>
  <c r="U8519" i="2"/>
  <c r="N8519" i="2"/>
  <c r="M8519" i="2"/>
  <c r="J8519" i="2"/>
  <c r="I8519" i="2"/>
  <c r="H8519" i="2"/>
  <c r="G8519" i="2"/>
  <c r="F8519" i="2"/>
  <c r="E8519" i="2"/>
  <c r="D8519" i="2"/>
  <c r="C8519" i="2"/>
  <c r="B8519" i="2"/>
  <c r="A8519" i="2"/>
  <c r="U8518" i="2"/>
  <c r="N8518" i="2"/>
  <c r="M8518" i="2"/>
  <c r="J8518" i="2"/>
  <c r="I8518" i="2"/>
  <c r="H8518" i="2"/>
  <c r="G8518" i="2"/>
  <c r="F8518" i="2"/>
  <c r="E8518" i="2"/>
  <c r="D8518" i="2"/>
  <c r="C8518" i="2"/>
  <c r="B8518" i="2"/>
  <c r="A8518" i="2"/>
  <c r="U8517" i="2"/>
  <c r="N8517" i="2"/>
  <c r="M8517" i="2"/>
  <c r="J8517" i="2"/>
  <c r="I8517" i="2"/>
  <c r="H8517" i="2"/>
  <c r="G8517" i="2"/>
  <c r="F8517" i="2"/>
  <c r="E8517" i="2"/>
  <c r="D8517" i="2"/>
  <c r="C8517" i="2"/>
  <c r="B8517" i="2"/>
  <c r="A8517" i="2"/>
  <c r="U8516" i="2"/>
  <c r="N8516" i="2"/>
  <c r="M8516" i="2"/>
  <c r="J8516" i="2"/>
  <c r="I8516" i="2"/>
  <c r="H8516" i="2"/>
  <c r="G8516" i="2"/>
  <c r="F8516" i="2"/>
  <c r="E8516" i="2"/>
  <c r="D8516" i="2"/>
  <c r="C8516" i="2"/>
  <c r="B8516" i="2"/>
  <c r="A8516" i="2"/>
  <c r="U8515" i="2"/>
  <c r="N8515" i="2"/>
  <c r="M8515" i="2"/>
  <c r="J8515" i="2"/>
  <c r="I8515" i="2"/>
  <c r="H8515" i="2"/>
  <c r="G8515" i="2"/>
  <c r="F8515" i="2"/>
  <c r="E8515" i="2"/>
  <c r="D8515" i="2"/>
  <c r="C8515" i="2"/>
  <c r="B8515" i="2"/>
  <c r="A8515" i="2"/>
  <c r="U8514" i="2"/>
  <c r="N8514" i="2"/>
  <c r="M8514" i="2"/>
  <c r="J8514" i="2"/>
  <c r="I8514" i="2"/>
  <c r="H8514" i="2"/>
  <c r="G8514" i="2"/>
  <c r="F8514" i="2"/>
  <c r="E8514" i="2"/>
  <c r="D8514" i="2"/>
  <c r="C8514" i="2"/>
  <c r="B8514" i="2"/>
  <c r="A8514" i="2"/>
  <c r="U8513" i="2"/>
  <c r="N8513" i="2"/>
  <c r="M8513" i="2"/>
  <c r="J8513" i="2"/>
  <c r="I8513" i="2"/>
  <c r="H8513" i="2"/>
  <c r="G8513" i="2"/>
  <c r="F8513" i="2"/>
  <c r="E8513" i="2"/>
  <c r="D8513" i="2"/>
  <c r="C8513" i="2"/>
  <c r="B8513" i="2"/>
  <c r="A8513" i="2"/>
  <c r="U8512" i="2"/>
  <c r="N8512" i="2"/>
  <c r="M8512" i="2"/>
  <c r="J8512" i="2"/>
  <c r="I8512" i="2"/>
  <c r="H8512" i="2"/>
  <c r="G8512" i="2"/>
  <c r="F8512" i="2"/>
  <c r="E8512" i="2"/>
  <c r="D8512" i="2"/>
  <c r="C8512" i="2"/>
  <c r="B8512" i="2"/>
  <c r="A8512" i="2"/>
  <c r="U8511" i="2"/>
  <c r="N8511" i="2"/>
  <c r="M8511" i="2"/>
  <c r="J8511" i="2"/>
  <c r="I8511" i="2"/>
  <c r="H8511" i="2"/>
  <c r="G8511" i="2"/>
  <c r="F8511" i="2"/>
  <c r="E8511" i="2"/>
  <c r="D8511" i="2"/>
  <c r="C8511" i="2"/>
  <c r="B8511" i="2"/>
  <c r="A8511" i="2"/>
  <c r="U8510" i="2"/>
  <c r="N8510" i="2"/>
  <c r="M8510" i="2"/>
  <c r="J8510" i="2"/>
  <c r="I8510" i="2"/>
  <c r="H8510" i="2"/>
  <c r="G8510" i="2"/>
  <c r="F8510" i="2"/>
  <c r="E8510" i="2"/>
  <c r="D8510" i="2"/>
  <c r="C8510" i="2"/>
  <c r="B8510" i="2"/>
  <c r="A8510" i="2"/>
  <c r="U8509" i="2"/>
  <c r="N8509" i="2"/>
  <c r="M8509" i="2"/>
  <c r="J8509" i="2"/>
  <c r="I8509" i="2"/>
  <c r="H8509" i="2"/>
  <c r="G8509" i="2"/>
  <c r="F8509" i="2"/>
  <c r="E8509" i="2"/>
  <c r="D8509" i="2"/>
  <c r="C8509" i="2"/>
  <c r="B8509" i="2"/>
  <c r="A8509" i="2"/>
  <c r="U8508" i="2"/>
  <c r="N8508" i="2"/>
  <c r="M8508" i="2"/>
  <c r="J8508" i="2"/>
  <c r="I8508" i="2"/>
  <c r="H8508" i="2"/>
  <c r="G8508" i="2"/>
  <c r="F8508" i="2"/>
  <c r="E8508" i="2"/>
  <c r="D8508" i="2"/>
  <c r="C8508" i="2"/>
  <c r="B8508" i="2"/>
  <c r="A8508" i="2"/>
  <c r="U8507" i="2"/>
  <c r="N8507" i="2"/>
  <c r="M8507" i="2"/>
  <c r="J8507" i="2"/>
  <c r="I8507" i="2"/>
  <c r="H8507" i="2"/>
  <c r="G8507" i="2"/>
  <c r="F8507" i="2"/>
  <c r="E8507" i="2"/>
  <c r="D8507" i="2"/>
  <c r="C8507" i="2"/>
  <c r="B8507" i="2"/>
  <c r="A8507" i="2"/>
  <c r="U8506" i="2"/>
  <c r="N8506" i="2"/>
  <c r="M8506" i="2"/>
  <c r="J8506" i="2"/>
  <c r="I8506" i="2"/>
  <c r="H8506" i="2"/>
  <c r="G8506" i="2"/>
  <c r="F8506" i="2"/>
  <c r="E8506" i="2"/>
  <c r="D8506" i="2"/>
  <c r="C8506" i="2"/>
  <c r="B8506" i="2"/>
  <c r="A8506" i="2"/>
  <c r="U8505" i="2"/>
  <c r="N8505" i="2"/>
  <c r="M8505" i="2"/>
  <c r="J8505" i="2"/>
  <c r="I8505" i="2"/>
  <c r="H8505" i="2"/>
  <c r="G8505" i="2"/>
  <c r="F8505" i="2"/>
  <c r="E8505" i="2"/>
  <c r="D8505" i="2"/>
  <c r="C8505" i="2"/>
  <c r="B8505" i="2"/>
  <c r="A8505" i="2"/>
  <c r="U8504" i="2"/>
  <c r="N8504" i="2"/>
  <c r="M8504" i="2"/>
  <c r="J8504" i="2"/>
  <c r="I8504" i="2"/>
  <c r="H8504" i="2"/>
  <c r="G8504" i="2"/>
  <c r="F8504" i="2"/>
  <c r="E8504" i="2"/>
  <c r="D8504" i="2"/>
  <c r="C8504" i="2"/>
  <c r="B8504" i="2"/>
  <c r="A8504" i="2"/>
  <c r="U8503" i="2"/>
  <c r="N8503" i="2"/>
  <c r="M8503" i="2"/>
  <c r="J8503" i="2"/>
  <c r="I8503" i="2"/>
  <c r="H8503" i="2"/>
  <c r="G8503" i="2"/>
  <c r="F8503" i="2"/>
  <c r="E8503" i="2"/>
  <c r="D8503" i="2"/>
  <c r="C8503" i="2"/>
  <c r="B8503" i="2"/>
  <c r="A8503" i="2"/>
  <c r="U8502" i="2"/>
  <c r="N8502" i="2"/>
  <c r="M8502" i="2"/>
  <c r="J8502" i="2"/>
  <c r="I8502" i="2"/>
  <c r="H8502" i="2"/>
  <c r="G8502" i="2"/>
  <c r="F8502" i="2"/>
  <c r="E8502" i="2"/>
  <c r="D8502" i="2"/>
  <c r="C8502" i="2"/>
  <c r="B8502" i="2"/>
  <c r="A8502" i="2"/>
  <c r="U8501" i="2"/>
  <c r="N8501" i="2"/>
  <c r="M8501" i="2"/>
  <c r="J8501" i="2"/>
  <c r="I8501" i="2"/>
  <c r="H8501" i="2"/>
  <c r="G8501" i="2"/>
  <c r="F8501" i="2"/>
  <c r="E8501" i="2"/>
  <c r="D8501" i="2"/>
  <c r="C8501" i="2"/>
  <c r="B8501" i="2"/>
  <c r="A8501" i="2"/>
  <c r="U8500" i="2"/>
  <c r="N8500" i="2"/>
  <c r="M8500" i="2"/>
  <c r="J8500" i="2"/>
  <c r="I8500" i="2"/>
  <c r="H8500" i="2"/>
  <c r="G8500" i="2"/>
  <c r="F8500" i="2"/>
  <c r="E8500" i="2"/>
  <c r="D8500" i="2"/>
  <c r="C8500" i="2"/>
  <c r="B8500" i="2"/>
  <c r="A8500" i="2"/>
  <c r="U8499" i="2"/>
  <c r="N8499" i="2"/>
  <c r="M8499" i="2"/>
  <c r="J8499" i="2"/>
  <c r="I8499" i="2"/>
  <c r="H8499" i="2"/>
  <c r="G8499" i="2"/>
  <c r="F8499" i="2"/>
  <c r="E8499" i="2"/>
  <c r="D8499" i="2"/>
  <c r="C8499" i="2"/>
  <c r="B8499" i="2"/>
  <c r="A8499" i="2"/>
  <c r="Q8498" i="2"/>
  <c r="U8498" i="2" s="1"/>
  <c r="N8498" i="2"/>
  <c r="M8498" i="2"/>
  <c r="J8498" i="2"/>
  <c r="I8498" i="2"/>
  <c r="H8498" i="2"/>
  <c r="G8498" i="2"/>
  <c r="F8498" i="2"/>
  <c r="E8498" i="2"/>
  <c r="D8498" i="2"/>
  <c r="C8498" i="2"/>
  <c r="B8498" i="2"/>
  <c r="A8498" i="2"/>
  <c r="U8497" i="2"/>
  <c r="N8497" i="2"/>
  <c r="M8497" i="2"/>
  <c r="J8497" i="2"/>
  <c r="I8497" i="2"/>
  <c r="H8497" i="2"/>
  <c r="G8497" i="2"/>
  <c r="F8497" i="2"/>
  <c r="E8497" i="2"/>
  <c r="D8497" i="2"/>
  <c r="C8497" i="2"/>
  <c r="B8497" i="2"/>
  <c r="A8497" i="2"/>
  <c r="U8496" i="2"/>
  <c r="N8496" i="2"/>
  <c r="M8496" i="2"/>
  <c r="J8496" i="2"/>
  <c r="I8496" i="2"/>
  <c r="H8496" i="2"/>
  <c r="G8496" i="2"/>
  <c r="F8496" i="2"/>
  <c r="E8496" i="2"/>
  <c r="D8496" i="2"/>
  <c r="C8496" i="2"/>
  <c r="B8496" i="2"/>
  <c r="A8496" i="2"/>
  <c r="U8495" i="2"/>
  <c r="N8495" i="2"/>
  <c r="M8495" i="2"/>
  <c r="J8495" i="2"/>
  <c r="I8495" i="2"/>
  <c r="H8495" i="2"/>
  <c r="G8495" i="2"/>
  <c r="F8495" i="2"/>
  <c r="E8495" i="2"/>
  <c r="D8495" i="2"/>
  <c r="C8495" i="2"/>
  <c r="B8495" i="2"/>
  <c r="A8495" i="2"/>
  <c r="Q8494" i="2"/>
  <c r="U8494" i="2" s="1"/>
  <c r="N8494" i="2"/>
  <c r="M8494" i="2"/>
  <c r="J8494" i="2"/>
  <c r="I8494" i="2"/>
  <c r="H8494" i="2"/>
  <c r="G8494" i="2"/>
  <c r="F8494" i="2"/>
  <c r="E8494" i="2"/>
  <c r="D8494" i="2"/>
  <c r="C8494" i="2"/>
  <c r="B8494" i="2"/>
  <c r="A8494" i="2"/>
  <c r="U8493" i="2"/>
  <c r="N8493" i="2"/>
  <c r="M8493" i="2"/>
  <c r="J8493" i="2"/>
  <c r="I8493" i="2"/>
  <c r="H8493" i="2"/>
  <c r="G8493" i="2"/>
  <c r="F8493" i="2"/>
  <c r="E8493" i="2"/>
  <c r="D8493" i="2"/>
  <c r="C8493" i="2"/>
  <c r="B8493" i="2"/>
  <c r="A8493" i="2"/>
  <c r="U8492" i="2"/>
  <c r="N8492" i="2"/>
  <c r="M8492" i="2"/>
  <c r="J8492" i="2"/>
  <c r="I8492" i="2"/>
  <c r="H8492" i="2"/>
  <c r="G8492" i="2"/>
  <c r="F8492" i="2"/>
  <c r="E8492" i="2"/>
  <c r="D8492" i="2"/>
  <c r="C8492" i="2"/>
  <c r="B8492" i="2"/>
  <c r="A8492" i="2"/>
  <c r="Q8491" i="2"/>
  <c r="U8491" i="2" s="1"/>
  <c r="N8491" i="2"/>
  <c r="M8491" i="2"/>
  <c r="J8491" i="2"/>
  <c r="I8491" i="2"/>
  <c r="H8491" i="2"/>
  <c r="G8491" i="2"/>
  <c r="F8491" i="2"/>
  <c r="E8491" i="2"/>
  <c r="D8491" i="2"/>
  <c r="C8491" i="2"/>
  <c r="B8491" i="2"/>
  <c r="A8491" i="2"/>
  <c r="Q8490" i="2"/>
  <c r="U8490" i="2" s="1"/>
  <c r="N8490" i="2"/>
  <c r="M8490" i="2"/>
  <c r="J8490" i="2"/>
  <c r="I8490" i="2"/>
  <c r="H8490" i="2"/>
  <c r="G8490" i="2"/>
  <c r="F8490" i="2"/>
  <c r="E8490" i="2"/>
  <c r="D8490" i="2"/>
  <c r="C8490" i="2"/>
  <c r="B8490" i="2"/>
  <c r="A8490" i="2"/>
  <c r="U8489" i="2"/>
  <c r="N8489" i="2"/>
  <c r="M8489" i="2"/>
  <c r="J8489" i="2"/>
  <c r="I8489" i="2"/>
  <c r="H8489" i="2"/>
  <c r="G8489" i="2"/>
  <c r="F8489" i="2"/>
  <c r="E8489" i="2"/>
  <c r="D8489" i="2"/>
  <c r="C8489" i="2"/>
  <c r="B8489" i="2"/>
  <c r="A8489" i="2"/>
  <c r="Q8488" i="2"/>
  <c r="U8488" i="2" s="1"/>
  <c r="N8488" i="2"/>
  <c r="M8488" i="2"/>
  <c r="J8488" i="2"/>
  <c r="I8488" i="2"/>
  <c r="H8488" i="2"/>
  <c r="G8488" i="2"/>
  <c r="F8488" i="2"/>
  <c r="E8488" i="2"/>
  <c r="D8488" i="2"/>
  <c r="C8488" i="2"/>
  <c r="B8488" i="2"/>
  <c r="A8488" i="2"/>
  <c r="U8487" i="2"/>
  <c r="N8487" i="2"/>
  <c r="M8487" i="2"/>
  <c r="J8487" i="2"/>
  <c r="I8487" i="2"/>
  <c r="H8487" i="2"/>
  <c r="G8487" i="2"/>
  <c r="F8487" i="2"/>
  <c r="E8487" i="2"/>
  <c r="D8487" i="2"/>
  <c r="C8487" i="2"/>
  <c r="B8487" i="2"/>
  <c r="A8487" i="2"/>
  <c r="U8486" i="2"/>
  <c r="N8486" i="2"/>
  <c r="M8486" i="2"/>
  <c r="J8486" i="2"/>
  <c r="I8486" i="2"/>
  <c r="H8486" i="2"/>
  <c r="G8486" i="2"/>
  <c r="F8486" i="2"/>
  <c r="E8486" i="2"/>
  <c r="D8486" i="2"/>
  <c r="C8486" i="2"/>
  <c r="B8486" i="2"/>
  <c r="A8486" i="2"/>
  <c r="U8485" i="2"/>
  <c r="N8485" i="2"/>
  <c r="M8485" i="2"/>
  <c r="J8485" i="2"/>
  <c r="I8485" i="2"/>
  <c r="H8485" i="2"/>
  <c r="G8485" i="2"/>
  <c r="F8485" i="2"/>
  <c r="E8485" i="2"/>
  <c r="D8485" i="2"/>
  <c r="C8485" i="2"/>
  <c r="B8485" i="2"/>
  <c r="A8485" i="2"/>
  <c r="U8484" i="2"/>
  <c r="N8484" i="2"/>
  <c r="M8484" i="2"/>
  <c r="J8484" i="2"/>
  <c r="I8484" i="2"/>
  <c r="H8484" i="2"/>
  <c r="G8484" i="2"/>
  <c r="F8484" i="2"/>
  <c r="E8484" i="2"/>
  <c r="D8484" i="2"/>
  <c r="C8484" i="2"/>
  <c r="B8484" i="2"/>
  <c r="A8484" i="2"/>
  <c r="U8483" i="2"/>
  <c r="N8483" i="2"/>
  <c r="M8483" i="2"/>
  <c r="J8483" i="2"/>
  <c r="I8483" i="2"/>
  <c r="H8483" i="2"/>
  <c r="G8483" i="2"/>
  <c r="F8483" i="2"/>
  <c r="E8483" i="2"/>
  <c r="D8483" i="2"/>
  <c r="C8483" i="2"/>
  <c r="B8483" i="2"/>
  <c r="A8483" i="2"/>
  <c r="U8482" i="2"/>
  <c r="N8482" i="2"/>
  <c r="M8482" i="2"/>
  <c r="J8482" i="2"/>
  <c r="I8482" i="2"/>
  <c r="H8482" i="2"/>
  <c r="G8482" i="2"/>
  <c r="F8482" i="2"/>
  <c r="E8482" i="2"/>
  <c r="D8482" i="2"/>
  <c r="C8482" i="2"/>
  <c r="B8482" i="2"/>
  <c r="A8482" i="2"/>
  <c r="U8481" i="2"/>
  <c r="N8481" i="2"/>
  <c r="M8481" i="2"/>
  <c r="J8481" i="2"/>
  <c r="I8481" i="2"/>
  <c r="H8481" i="2"/>
  <c r="G8481" i="2"/>
  <c r="F8481" i="2"/>
  <c r="E8481" i="2"/>
  <c r="D8481" i="2"/>
  <c r="C8481" i="2"/>
  <c r="B8481" i="2"/>
  <c r="A8481" i="2"/>
  <c r="U8480" i="2"/>
  <c r="N8480" i="2"/>
  <c r="M8480" i="2"/>
  <c r="J8480" i="2"/>
  <c r="I8480" i="2"/>
  <c r="H8480" i="2"/>
  <c r="G8480" i="2"/>
  <c r="F8480" i="2"/>
  <c r="E8480" i="2"/>
  <c r="D8480" i="2"/>
  <c r="C8480" i="2"/>
  <c r="B8480" i="2"/>
  <c r="A8480" i="2"/>
  <c r="U8479" i="2"/>
  <c r="N8479" i="2"/>
  <c r="M8479" i="2"/>
  <c r="J8479" i="2"/>
  <c r="I8479" i="2"/>
  <c r="H8479" i="2"/>
  <c r="G8479" i="2"/>
  <c r="F8479" i="2"/>
  <c r="E8479" i="2"/>
  <c r="D8479" i="2"/>
  <c r="C8479" i="2"/>
  <c r="B8479" i="2"/>
  <c r="A8479" i="2"/>
  <c r="U8478" i="2"/>
  <c r="N8478" i="2"/>
  <c r="M8478" i="2"/>
  <c r="J8478" i="2"/>
  <c r="I8478" i="2"/>
  <c r="H8478" i="2"/>
  <c r="G8478" i="2"/>
  <c r="F8478" i="2"/>
  <c r="E8478" i="2"/>
  <c r="D8478" i="2"/>
  <c r="C8478" i="2"/>
  <c r="B8478" i="2"/>
  <c r="A8478" i="2"/>
  <c r="U8477" i="2"/>
  <c r="N8477" i="2"/>
  <c r="M8477" i="2"/>
  <c r="J8477" i="2"/>
  <c r="I8477" i="2"/>
  <c r="H8477" i="2"/>
  <c r="G8477" i="2"/>
  <c r="F8477" i="2"/>
  <c r="E8477" i="2"/>
  <c r="D8477" i="2"/>
  <c r="C8477" i="2"/>
  <c r="B8477" i="2"/>
  <c r="A8477" i="2"/>
  <c r="U8476" i="2"/>
  <c r="N8476" i="2"/>
  <c r="M8476" i="2"/>
  <c r="J8476" i="2"/>
  <c r="I8476" i="2"/>
  <c r="H8476" i="2"/>
  <c r="G8476" i="2"/>
  <c r="F8476" i="2"/>
  <c r="E8476" i="2"/>
  <c r="D8476" i="2"/>
  <c r="C8476" i="2"/>
  <c r="B8476" i="2"/>
  <c r="A8476" i="2"/>
  <c r="U8475" i="2"/>
  <c r="N8475" i="2"/>
  <c r="M8475" i="2"/>
  <c r="J8475" i="2"/>
  <c r="I8475" i="2"/>
  <c r="H8475" i="2"/>
  <c r="G8475" i="2"/>
  <c r="F8475" i="2"/>
  <c r="E8475" i="2"/>
  <c r="D8475" i="2"/>
  <c r="C8475" i="2"/>
  <c r="B8475" i="2"/>
  <c r="A8475" i="2"/>
  <c r="U8474" i="2"/>
  <c r="N8474" i="2"/>
  <c r="M8474" i="2"/>
  <c r="J8474" i="2"/>
  <c r="I8474" i="2"/>
  <c r="H8474" i="2"/>
  <c r="G8474" i="2"/>
  <c r="F8474" i="2"/>
  <c r="E8474" i="2"/>
  <c r="D8474" i="2"/>
  <c r="C8474" i="2"/>
  <c r="B8474" i="2"/>
  <c r="A8474" i="2"/>
  <c r="U8473" i="2"/>
  <c r="N8473" i="2"/>
  <c r="M8473" i="2"/>
  <c r="J8473" i="2"/>
  <c r="I8473" i="2"/>
  <c r="H8473" i="2"/>
  <c r="G8473" i="2"/>
  <c r="F8473" i="2"/>
  <c r="E8473" i="2"/>
  <c r="D8473" i="2"/>
  <c r="C8473" i="2"/>
  <c r="B8473" i="2"/>
  <c r="A8473" i="2"/>
  <c r="U8472" i="2"/>
  <c r="N8472" i="2"/>
  <c r="M8472" i="2"/>
  <c r="J8472" i="2"/>
  <c r="I8472" i="2"/>
  <c r="H8472" i="2"/>
  <c r="G8472" i="2"/>
  <c r="F8472" i="2"/>
  <c r="E8472" i="2"/>
  <c r="D8472" i="2"/>
  <c r="C8472" i="2"/>
  <c r="B8472" i="2"/>
  <c r="A8472" i="2"/>
  <c r="U8471" i="2"/>
  <c r="N8471" i="2"/>
  <c r="M8471" i="2"/>
  <c r="J8471" i="2"/>
  <c r="I8471" i="2"/>
  <c r="H8471" i="2"/>
  <c r="G8471" i="2"/>
  <c r="F8471" i="2"/>
  <c r="E8471" i="2"/>
  <c r="D8471" i="2"/>
  <c r="C8471" i="2"/>
  <c r="B8471" i="2"/>
  <c r="A8471" i="2"/>
  <c r="U8470" i="2"/>
  <c r="N8470" i="2"/>
  <c r="M8470" i="2"/>
  <c r="J8470" i="2"/>
  <c r="I8470" i="2"/>
  <c r="H8470" i="2"/>
  <c r="G8470" i="2"/>
  <c r="F8470" i="2"/>
  <c r="E8470" i="2"/>
  <c r="D8470" i="2"/>
  <c r="C8470" i="2"/>
  <c r="B8470" i="2"/>
  <c r="A8470" i="2"/>
  <c r="U8469" i="2"/>
  <c r="N8469" i="2"/>
  <c r="M8469" i="2"/>
  <c r="J8469" i="2"/>
  <c r="I8469" i="2"/>
  <c r="H8469" i="2"/>
  <c r="G8469" i="2"/>
  <c r="F8469" i="2"/>
  <c r="E8469" i="2"/>
  <c r="D8469" i="2"/>
  <c r="C8469" i="2"/>
  <c r="B8469" i="2"/>
  <c r="A8469" i="2"/>
  <c r="U8468" i="2"/>
  <c r="N8468" i="2"/>
  <c r="M8468" i="2"/>
  <c r="J8468" i="2"/>
  <c r="I8468" i="2"/>
  <c r="H8468" i="2"/>
  <c r="G8468" i="2"/>
  <c r="F8468" i="2"/>
  <c r="E8468" i="2"/>
  <c r="D8468" i="2"/>
  <c r="C8468" i="2"/>
  <c r="B8468" i="2"/>
  <c r="A8468" i="2"/>
  <c r="U8467" i="2"/>
  <c r="N8467" i="2"/>
  <c r="M8467" i="2"/>
  <c r="J8467" i="2"/>
  <c r="I8467" i="2"/>
  <c r="H8467" i="2"/>
  <c r="G8467" i="2"/>
  <c r="F8467" i="2"/>
  <c r="E8467" i="2"/>
  <c r="D8467" i="2"/>
  <c r="C8467" i="2"/>
  <c r="B8467" i="2"/>
  <c r="A8467" i="2"/>
  <c r="U8466" i="2"/>
  <c r="N8466" i="2"/>
  <c r="M8466" i="2"/>
  <c r="J8466" i="2"/>
  <c r="I8466" i="2"/>
  <c r="H8466" i="2"/>
  <c r="G8466" i="2"/>
  <c r="F8466" i="2"/>
  <c r="E8466" i="2"/>
  <c r="D8466" i="2"/>
  <c r="C8466" i="2"/>
  <c r="B8466" i="2"/>
  <c r="A8466" i="2"/>
  <c r="U8465" i="2"/>
  <c r="N8465" i="2"/>
  <c r="M8465" i="2"/>
  <c r="J8465" i="2"/>
  <c r="I8465" i="2"/>
  <c r="H8465" i="2"/>
  <c r="G8465" i="2"/>
  <c r="F8465" i="2"/>
  <c r="E8465" i="2"/>
  <c r="D8465" i="2"/>
  <c r="C8465" i="2"/>
  <c r="B8465" i="2"/>
  <c r="A8465" i="2"/>
  <c r="U8464" i="2"/>
  <c r="N8464" i="2"/>
  <c r="M8464" i="2"/>
  <c r="J8464" i="2"/>
  <c r="I8464" i="2"/>
  <c r="H8464" i="2"/>
  <c r="G8464" i="2"/>
  <c r="F8464" i="2"/>
  <c r="E8464" i="2"/>
  <c r="D8464" i="2"/>
  <c r="C8464" i="2"/>
  <c r="B8464" i="2"/>
  <c r="A8464" i="2"/>
  <c r="U8463" i="2"/>
  <c r="N8463" i="2"/>
  <c r="M8463" i="2"/>
  <c r="J8463" i="2"/>
  <c r="I8463" i="2"/>
  <c r="H8463" i="2"/>
  <c r="G8463" i="2"/>
  <c r="F8463" i="2"/>
  <c r="E8463" i="2"/>
  <c r="D8463" i="2"/>
  <c r="C8463" i="2"/>
  <c r="B8463" i="2"/>
  <c r="A8463" i="2"/>
  <c r="U8462" i="2"/>
  <c r="N8462" i="2"/>
  <c r="M8462" i="2"/>
  <c r="J8462" i="2"/>
  <c r="I8462" i="2"/>
  <c r="H8462" i="2"/>
  <c r="G8462" i="2"/>
  <c r="F8462" i="2"/>
  <c r="E8462" i="2"/>
  <c r="D8462" i="2"/>
  <c r="C8462" i="2"/>
  <c r="B8462" i="2"/>
  <c r="A8462" i="2"/>
  <c r="U8461" i="2"/>
  <c r="N8461" i="2"/>
  <c r="M8461" i="2"/>
  <c r="J8461" i="2"/>
  <c r="I8461" i="2"/>
  <c r="H8461" i="2"/>
  <c r="G8461" i="2"/>
  <c r="F8461" i="2"/>
  <c r="E8461" i="2"/>
  <c r="D8461" i="2"/>
  <c r="C8461" i="2"/>
  <c r="B8461" i="2"/>
  <c r="A8461" i="2"/>
  <c r="U8460" i="2"/>
  <c r="N8460" i="2"/>
  <c r="M8460" i="2"/>
  <c r="J8460" i="2"/>
  <c r="I8460" i="2"/>
  <c r="H8460" i="2"/>
  <c r="G8460" i="2"/>
  <c r="F8460" i="2"/>
  <c r="E8460" i="2"/>
  <c r="D8460" i="2"/>
  <c r="C8460" i="2"/>
  <c r="B8460" i="2"/>
  <c r="A8460" i="2"/>
  <c r="Q8459" i="2"/>
  <c r="U8459" i="2" s="1"/>
  <c r="N8459" i="2"/>
  <c r="M8459" i="2"/>
  <c r="J8459" i="2"/>
  <c r="I8459" i="2"/>
  <c r="H8459" i="2"/>
  <c r="G8459" i="2"/>
  <c r="F8459" i="2"/>
  <c r="E8459" i="2"/>
  <c r="D8459" i="2"/>
  <c r="C8459" i="2"/>
  <c r="B8459" i="2"/>
  <c r="A8459" i="2"/>
  <c r="U8458" i="2"/>
  <c r="N8458" i="2"/>
  <c r="M8458" i="2"/>
  <c r="J8458" i="2"/>
  <c r="I8458" i="2"/>
  <c r="H8458" i="2"/>
  <c r="G8458" i="2"/>
  <c r="F8458" i="2"/>
  <c r="E8458" i="2"/>
  <c r="D8458" i="2"/>
  <c r="C8458" i="2"/>
  <c r="B8458" i="2"/>
  <c r="A8458" i="2"/>
  <c r="U8457" i="2"/>
  <c r="N8457" i="2"/>
  <c r="M8457" i="2"/>
  <c r="J8457" i="2"/>
  <c r="I8457" i="2"/>
  <c r="H8457" i="2"/>
  <c r="G8457" i="2"/>
  <c r="F8457" i="2"/>
  <c r="E8457" i="2"/>
  <c r="D8457" i="2"/>
  <c r="C8457" i="2"/>
  <c r="B8457" i="2"/>
  <c r="A8457" i="2"/>
  <c r="U8456" i="2"/>
  <c r="N8456" i="2"/>
  <c r="M8456" i="2"/>
  <c r="J8456" i="2"/>
  <c r="I8456" i="2"/>
  <c r="H8456" i="2"/>
  <c r="G8456" i="2"/>
  <c r="F8456" i="2"/>
  <c r="E8456" i="2"/>
  <c r="D8456" i="2"/>
  <c r="C8456" i="2"/>
  <c r="B8456" i="2"/>
  <c r="A8456" i="2"/>
  <c r="U8455" i="2"/>
  <c r="N8455" i="2"/>
  <c r="M8455" i="2"/>
  <c r="J8455" i="2"/>
  <c r="I8455" i="2"/>
  <c r="H8455" i="2"/>
  <c r="G8455" i="2"/>
  <c r="F8455" i="2"/>
  <c r="E8455" i="2"/>
  <c r="D8455" i="2"/>
  <c r="C8455" i="2"/>
  <c r="B8455" i="2"/>
  <c r="A8455" i="2"/>
  <c r="U8454" i="2"/>
  <c r="N8454" i="2"/>
  <c r="M8454" i="2"/>
  <c r="J8454" i="2"/>
  <c r="I8454" i="2"/>
  <c r="H8454" i="2"/>
  <c r="G8454" i="2"/>
  <c r="F8454" i="2"/>
  <c r="E8454" i="2"/>
  <c r="D8454" i="2"/>
  <c r="C8454" i="2"/>
  <c r="B8454" i="2"/>
  <c r="A8454" i="2"/>
  <c r="U8453" i="2"/>
  <c r="N8453" i="2"/>
  <c r="M8453" i="2"/>
  <c r="J8453" i="2"/>
  <c r="I8453" i="2"/>
  <c r="H8453" i="2"/>
  <c r="G8453" i="2"/>
  <c r="F8453" i="2"/>
  <c r="E8453" i="2"/>
  <c r="D8453" i="2"/>
  <c r="C8453" i="2"/>
  <c r="B8453" i="2"/>
  <c r="A8453" i="2"/>
  <c r="U8452" i="2"/>
  <c r="N8452" i="2"/>
  <c r="M8452" i="2"/>
  <c r="J8452" i="2"/>
  <c r="I8452" i="2"/>
  <c r="H8452" i="2"/>
  <c r="G8452" i="2"/>
  <c r="F8452" i="2"/>
  <c r="E8452" i="2"/>
  <c r="D8452" i="2"/>
  <c r="C8452" i="2"/>
  <c r="B8452" i="2"/>
  <c r="A8452" i="2"/>
  <c r="U8451" i="2"/>
  <c r="N8451" i="2"/>
  <c r="M8451" i="2"/>
  <c r="J8451" i="2"/>
  <c r="I8451" i="2"/>
  <c r="H8451" i="2"/>
  <c r="G8451" i="2"/>
  <c r="F8451" i="2"/>
  <c r="E8451" i="2"/>
  <c r="D8451" i="2"/>
  <c r="C8451" i="2"/>
  <c r="B8451" i="2"/>
  <c r="A8451" i="2"/>
  <c r="U8450" i="2"/>
  <c r="N8450" i="2"/>
  <c r="M8450" i="2"/>
  <c r="J8450" i="2"/>
  <c r="I8450" i="2"/>
  <c r="H8450" i="2"/>
  <c r="G8450" i="2"/>
  <c r="F8450" i="2"/>
  <c r="E8450" i="2"/>
  <c r="D8450" i="2"/>
  <c r="C8450" i="2"/>
  <c r="B8450" i="2"/>
  <c r="A8450" i="2"/>
  <c r="U8449" i="2"/>
  <c r="N8449" i="2"/>
  <c r="M8449" i="2"/>
  <c r="J8449" i="2"/>
  <c r="I8449" i="2"/>
  <c r="H8449" i="2"/>
  <c r="G8449" i="2"/>
  <c r="F8449" i="2"/>
  <c r="E8449" i="2"/>
  <c r="D8449" i="2"/>
  <c r="C8449" i="2"/>
  <c r="B8449" i="2"/>
  <c r="A8449" i="2"/>
  <c r="U8448" i="2"/>
  <c r="N8448" i="2"/>
  <c r="M8448" i="2"/>
  <c r="J8448" i="2"/>
  <c r="I8448" i="2"/>
  <c r="H8448" i="2"/>
  <c r="G8448" i="2"/>
  <c r="F8448" i="2"/>
  <c r="E8448" i="2"/>
  <c r="D8448" i="2"/>
  <c r="C8448" i="2"/>
  <c r="B8448" i="2"/>
  <c r="A8448" i="2"/>
  <c r="Q8447" i="2"/>
  <c r="U8447" i="2" s="1"/>
  <c r="N8447" i="2"/>
  <c r="M8447" i="2"/>
  <c r="J8447" i="2"/>
  <c r="I8447" i="2"/>
  <c r="H8447" i="2"/>
  <c r="G8447" i="2"/>
  <c r="F8447" i="2"/>
  <c r="E8447" i="2"/>
  <c r="D8447" i="2"/>
  <c r="C8447" i="2"/>
  <c r="B8447" i="2"/>
  <c r="A8447" i="2"/>
  <c r="U8446" i="2"/>
  <c r="N8446" i="2"/>
  <c r="M8446" i="2"/>
  <c r="J8446" i="2"/>
  <c r="I8446" i="2"/>
  <c r="H8446" i="2"/>
  <c r="G8446" i="2"/>
  <c r="F8446" i="2"/>
  <c r="E8446" i="2"/>
  <c r="D8446" i="2"/>
  <c r="C8446" i="2"/>
  <c r="B8446" i="2"/>
  <c r="A8446" i="2"/>
  <c r="U8445" i="2"/>
  <c r="N8445" i="2"/>
  <c r="M8445" i="2"/>
  <c r="J8445" i="2"/>
  <c r="I8445" i="2"/>
  <c r="H8445" i="2"/>
  <c r="G8445" i="2"/>
  <c r="F8445" i="2"/>
  <c r="E8445" i="2"/>
  <c r="D8445" i="2"/>
  <c r="C8445" i="2"/>
  <c r="B8445" i="2"/>
  <c r="A8445" i="2"/>
  <c r="U8444" i="2"/>
  <c r="N8444" i="2"/>
  <c r="M8444" i="2"/>
  <c r="J8444" i="2"/>
  <c r="I8444" i="2"/>
  <c r="H8444" i="2"/>
  <c r="G8444" i="2"/>
  <c r="F8444" i="2"/>
  <c r="E8444" i="2"/>
  <c r="D8444" i="2"/>
  <c r="C8444" i="2"/>
  <c r="B8444" i="2"/>
  <c r="A8444" i="2"/>
  <c r="U8443" i="2"/>
  <c r="N8443" i="2"/>
  <c r="M8443" i="2"/>
  <c r="J8443" i="2"/>
  <c r="I8443" i="2"/>
  <c r="H8443" i="2"/>
  <c r="G8443" i="2"/>
  <c r="F8443" i="2"/>
  <c r="E8443" i="2"/>
  <c r="D8443" i="2"/>
  <c r="C8443" i="2"/>
  <c r="B8443" i="2"/>
  <c r="A8443" i="2"/>
  <c r="U8442" i="2"/>
  <c r="N8442" i="2"/>
  <c r="M8442" i="2"/>
  <c r="J8442" i="2"/>
  <c r="I8442" i="2"/>
  <c r="H8442" i="2"/>
  <c r="G8442" i="2"/>
  <c r="F8442" i="2"/>
  <c r="E8442" i="2"/>
  <c r="D8442" i="2"/>
  <c r="C8442" i="2"/>
  <c r="B8442" i="2"/>
  <c r="A8442" i="2"/>
  <c r="U8441" i="2"/>
  <c r="N8441" i="2"/>
  <c r="M8441" i="2"/>
  <c r="J8441" i="2"/>
  <c r="I8441" i="2"/>
  <c r="H8441" i="2"/>
  <c r="G8441" i="2"/>
  <c r="F8441" i="2"/>
  <c r="E8441" i="2"/>
  <c r="D8441" i="2"/>
  <c r="C8441" i="2"/>
  <c r="B8441" i="2"/>
  <c r="A8441" i="2"/>
  <c r="Q8440" i="2"/>
  <c r="U8440" i="2" s="1"/>
  <c r="N8440" i="2"/>
  <c r="M8440" i="2"/>
  <c r="J8440" i="2"/>
  <c r="I8440" i="2"/>
  <c r="H8440" i="2"/>
  <c r="G8440" i="2"/>
  <c r="F8440" i="2"/>
  <c r="E8440" i="2"/>
  <c r="D8440" i="2"/>
  <c r="C8440" i="2"/>
  <c r="B8440" i="2"/>
  <c r="A8440" i="2"/>
  <c r="U8439" i="2"/>
  <c r="N8439" i="2"/>
  <c r="M8439" i="2"/>
  <c r="J8439" i="2"/>
  <c r="I8439" i="2"/>
  <c r="H8439" i="2"/>
  <c r="G8439" i="2"/>
  <c r="F8439" i="2"/>
  <c r="E8439" i="2"/>
  <c r="D8439" i="2"/>
  <c r="C8439" i="2"/>
  <c r="B8439" i="2"/>
  <c r="A8439" i="2"/>
  <c r="U8438" i="2"/>
  <c r="N8438" i="2"/>
  <c r="M8438" i="2"/>
  <c r="J8438" i="2"/>
  <c r="I8438" i="2"/>
  <c r="H8438" i="2"/>
  <c r="G8438" i="2"/>
  <c r="F8438" i="2"/>
  <c r="E8438" i="2"/>
  <c r="D8438" i="2"/>
  <c r="C8438" i="2"/>
  <c r="B8438" i="2"/>
  <c r="A8438" i="2"/>
  <c r="U8437" i="2"/>
  <c r="N8437" i="2"/>
  <c r="M8437" i="2"/>
  <c r="J8437" i="2"/>
  <c r="I8437" i="2"/>
  <c r="H8437" i="2"/>
  <c r="G8437" i="2"/>
  <c r="F8437" i="2"/>
  <c r="E8437" i="2"/>
  <c r="D8437" i="2"/>
  <c r="C8437" i="2"/>
  <c r="B8437" i="2"/>
  <c r="A8437" i="2"/>
  <c r="U8436" i="2"/>
  <c r="N8436" i="2"/>
  <c r="M8436" i="2"/>
  <c r="J8436" i="2"/>
  <c r="I8436" i="2"/>
  <c r="H8436" i="2"/>
  <c r="G8436" i="2"/>
  <c r="F8436" i="2"/>
  <c r="E8436" i="2"/>
  <c r="D8436" i="2"/>
  <c r="C8436" i="2"/>
  <c r="B8436" i="2"/>
  <c r="A8436" i="2"/>
  <c r="U8435" i="2"/>
  <c r="N8435" i="2"/>
  <c r="M8435" i="2"/>
  <c r="J8435" i="2"/>
  <c r="I8435" i="2"/>
  <c r="H8435" i="2"/>
  <c r="G8435" i="2"/>
  <c r="F8435" i="2"/>
  <c r="E8435" i="2"/>
  <c r="D8435" i="2"/>
  <c r="C8435" i="2"/>
  <c r="B8435" i="2"/>
  <c r="A8435" i="2"/>
  <c r="U8434" i="2"/>
  <c r="N8434" i="2"/>
  <c r="M8434" i="2"/>
  <c r="J8434" i="2"/>
  <c r="I8434" i="2"/>
  <c r="H8434" i="2"/>
  <c r="G8434" i="2"/>
  <c r="F8434" i="2"/>
  <c r="E8434" i="2"/>
  <c r="D8434" i="2"/>
  <c r="C8434" i="2"/>
  <c r="B8434" i="2"/>
  <c r="A8434" i="2"/>
  <c r="Q8433" i="2"/>
  <c r="U8433" i="2" s="1"/>
  <c r="N8433" i="2"/>
  <c r="M8433" i="2"/>
  <c r="J8433" i="2"/>
  <c r="I8433" i="2"/>
  <c r="H8433" i="2"/>
  <c r="G8433" i="2"/>
  <c r="F8433" i="2"/>
  <c r="E8433" i="2"/>
  <c r="D8433" i="2"/>
  <c r="C8433" i="2"/>
  <c r="B8433" i="2"/>
  <c r="A8433" i="2"/>
  <c r="U8432" i="2"/>
  <c r="N8432" i="2"/>
  <c r="M8432" i="2"/>
  <c r="J8432" i="2"/>
  <c r="I8432" i="2"/>
  <c r="H8432" i="2"/>
  <c r="G8432" i="2"/>
  <c r="F8432" i="2"/>
  <c r="E8432" i="2"/>
  <c r="D8432" i="2"/>
  <c r="C8432" i="2"/>
  <c r="B8432" i="2"/>
  <c r="A8432" i="2"/>
  <c r="U8431" i="2"/>
  <c r="N8431" i="2"/>
  <c r="M8431" i="2"/>
  <c r="J8431" i="2"/>
  <c r="I8431" i="2"/>
  <c r="H8431" i="2"/>
  <c r="G8431" i="2"/>
  <c r="F8431" i="2"/>
  <c r="E8431" i="2"/>
  <c r="D8431" i="2"/>
  <c r="C8431" i="2"/>
  <c r="B8431" i="2"/>
  <c r="A8431" i="2"/>
  <c r="U8430" i="2"/>
  <c r="N8430" i="2"/>
  <c r="M8430" i="2"/>
  <c r="J8430" i="2"/>
  <c r="I8430" i="2"/>
  <c r="H8430" i="2"/>
  <c r="G8430" i="2"/>
  <c r="F8430" i="2"/>
  <c r="E8430" i="2"/>
  <c r="D8430" i="2"/>
  <c r="C8430" i="2"/>
  <c r="B8430" i="2"/>
  <c r="A8430" i="2"/>
  <c r="U8429" i="2"/>
  <c r="N8429" i="2"/>
  <c r="M8429" i="2"/>
  <c r="J8429" i="2"/>
  <c r="I8429" i="2"/>
  <c r="H8429" i="2"/>
  <c r="G8429" i="2"/>
  <c r="F8429" i="2"/>
  <c r="E8429" i="2"/>
  <c r="D8429" i="2"/>
  <c r="C8429" i="2"/>
  <c r="B8429" i="2"/>
  <c r="A8429" i="2"/>
  <c r="U8428" i="2"/>
  <c r="N8428" i="2"/>
  <c r="M8428" i="2"/>
  <c r="J8428" i="2"/>
  <c r="I8428" i="2"/>
  <c r="H8428" i="2"/>
  <c r="G8428" i="2"/>
  <c r="F8428" i="2"/>
  <c r="E8428" i="2"/>
  <c r="D8428" i="2"/>
  <c r="C8428" i="2"/>
  <c r="B8428" i="2"/>
  <c r="A8428" i="2"/>
  <c r="U8427" i="2"/>
  <c r="N8427" i="2"/>
  <c r="M8427" i="2"/>
  <c r="J8427" i="2"/>
  <c r="I8427" i="2"/>
  <c r="H8427" i="2"/>
  <c r="G8427" i="2"/>
  <c r="F8427" i="2"/>
  <c r="E8427" i="2"/>
  <c r="D8427" i="2"/>
  <c r="C8427" i="2"/>
  <c r="B8427" i="2"/>
  <c r="A8427" i="2"/>
  <c r="U8426" i="2"/>
  <c r="N8426" i="2"/>
  <c r="M8426" i="2"/>
  <c r="J8426" i="2"/>
  <c r="I8426" i="2"/>
  <c r="H8426" i="2"/>
  <c r="G8426" i="2"/>
  <c r="F8426" i="2"/>
  <c r="E8426" i="2"/>
  <c r="D8426" i="2"/>
  <c r="C8426" i="2"/>
  <c r="B8426" i="2"/>
  <c r="A8426" i="2"/>
  <c r="U8425" i="2"/>
  <c r="N8425" i="2"/>
  <c r="M8425" i="2"/>
  <c r="J8425" i="2"/>
  <c r="I8425" i="2"/>
  <c r="H8425" i="2"/>
  <c r="G8425" i="2"/>
  <c r="F8425" i="2"/>
  <c r="E8425" i="2"/>
  <c r="D8425" i="2"/>
  <c r="C8425" i="2"/>
  <c r="B8425" i="2"/>
  <c r="A8425" i="2"/>
  <c r="U8424" i="2"/>
  <c r="N8424" i="2"/>
  <c r="M8424" i="2"/>
  <c r="J8424" i="2"/>
  <c r="I8424" i="2"/>
  <c r="H8424" i="2"/>
  <c r="G8424" i="2"/>
  <c r="F8424" i="2"/>
  <c r="E8424" i="2"/>
  <c r="D8424" i="2"/>
  <c r="C8424" i="2"/>
  <c r="B8424" i="2"/>
  <c r="A8424" i="2"/>
  <c r="U8423" i="2"/>
  <c r="N8423" i="2"/>
  <c r="M8423" i="2"/>
  <c r="J8423" i="2"/>
  <c r="I8423" i="2"/>
  <c r="H8423" i="2"/>
  <c r="G8423" i="2"/>
  <c r="F8423" i="2"/>
  <c r="E8423" i="2"/>
  <c r="D8423" i="2"/>
  <c r="C8423" i="2"/>
  <c r="B8423" i="2"/>
  <c r="A8423" i="2"/>
  <c r="U8422" i="2"/>
  <c r="N8422" i="2"/>
  <c r="M8422" i="2"/>
  <c r="J8422" i="2"/>
  <c r="I8422" i="2"/>
  <c r="H8422" i="2"/>
  <c r="G8422" i="2"/>
  <c r="F8422" i="2"/>
  <c r="E8422" i="2"/>
  <c r="D8422" i="2"/>
  <c r="C8422" i="2"/>
  <c r="B8422" i="2"/>
  <c r="A8422" i="2"/>
  <c r="U8421" i="2"/>
  <c r="N8421" i="2"/>
  <c r="M8421" i="2"/>
  <c r="J8421" i="2"/>
  <c r="I8421" i="2"/>
  <c r="H8421" i="2"/>
  <c r="G8421" i="2"/>
  <c r="F8421" i="2"/>
  <c r="E8421" i="2"/>
  <c r="D8421" i="2"/>
  <c r="C8421" i="2"/>
  <c r="B8421" i="2"/>
  <c r="A8421" i="2"/>
  <c r="U8420" i="2"/>
  <c r="N8420" i="2"/>
  <c r="M8420" i="2"/>
  <c r="J8420" i="2"/>
  <c r="I8420" i="2"/>
  <c r="H8420" i="2"/>
  <c r="G8420" i="2"/>
  <c r="F8420" i="2"/>
  <c r="E8420" i="2"/>
  <c r="D8420" i="2"/>
  <c r="C8420" i="2"/>
  <c r="B8420" i="2"/>
  <c r="A8420" i="2"/>
  <c r="U8419" i="2"/>
  <c r="N8419" i="2"/>
  <c r="M8419" i="2"/>
  <c r="J8419" i="2"/>
  <c r="I8419" i="2"/>
  <c r="H8419" i="2"/>
  <c r="G8419" i="2"/>
  <c r="F8419" i="2"/>
  <c r="E8419" i="2"/>
  <c r="D8419" i="2"/>
  <c r="C8419" i="2"/>
  <c r="B8419" i="2"/>
  <c r="A8419" i="2"/>
  <c r="U8418" i="2"/>
  <c r="N8418" i="2"/>
  <c r="M8418" i="2"/>
  <c r="J8418" i="2"/>
  <c r="I8418" i="2"/>
  <c r="H8418" i="2"/>
  <c r="G8418" i="2"/>
  <c r="F8418" i="2"/>
  <c r="E8418" i="2"/>
  <c r="D8418" i="2"/>
  <c r="C8418" i="2"/>
  <c r="B8418" i="2"/>
  <c r="A8418" i="2"/>
  <c r="U8417" i="2"/>
  <c r="N8417" i="2"/>
  <c r="M8417" i="2"/>
  <c r="J8417" i="2"/>
  <c r="I8417" i="2"/>
  <c r="H8417" i="2"/>
  <c r="G8417" i="2"/>
  <c r="F8417" i="2"/>
  <c r="E8417" i="2"/>
  <c r="D8417" i="2"/>
  <c r="C8417" i="2"/>
  <c r="B8417" i="2"/>
  <c r="A8417" i="2"/>
  <c r="U8416" i="2"/>
  <c r="N8416" i="2"/>
  <c r="M8416" i="2"/>
  <c r="J8416" i="2"/>
  <c r="I8416" i="2"/>
  <c r="H8416" i="2"/>
  <c r="G8416" i="2"/>
  <c r="F8416" i="2"/>
  <c r="E8416" i="2"/>
  <c r="D8416" i="2"/>
  <c r="C8416" i="2"/>
  <c r="B8416" i="2"/>
  <c r="A8416" i="2"/>
  <c r="U8415" i="2"/>
  <c r="N8415" i="2"/>
  <c r="M8415" i="2"/>
  <c r="J8415" i="2"/>
  <c r="I8415" i="2"/>
  <c r="H8415" i="2"/>
  <c r="G8415" i="2"/>
  <c r="F8415" i="2"/>
  <c r="E8415" i="2"/>
  <c r="D8415" i="2"/>
  <c r="C8415" i="2"/>
  <c r="B8415" i="2"/>
  <c r="A8415" i="2"/>
  <c r="U8414" i="2"/>
  <c r="N8414" i="2"/>
  <c r="M8414" i="2"/>
  <c r="J8414" i="2"/>
  <c r="I8414" i="2"/>
  <c r="H8414" i="2"/>
  <c r="G8414" i="2"/>
  <c r="F8414" i="2"/>
  <c r="E8414" i="2"/>
  <c r="D8414" i="2"/>
  <c r="C8414" i="2"/>
  <c r="B8414" i="2"/>
  <c r="A8414" i="2"/>
  <c r="U8413" i="2"/>
  <c r="N8413" i="2"/>
  <c r="M8413" i="2"/>
  <c r="J8413" i="2"/>
  <c r="I8413" i="2"/>
  <c r="H8413" i="2"/>
  <c r="G8413" i="2"/>
  <c r="F8413" i="2"/>
  <c r="E8413" i="2"/>
  <c r="D8413" i="2"/>
  <c r="C8413" i="2"/>
  <c r="B8413" i="2"/>
  <c r="A8413" i="2"/>
  <c r="U8412" i="2"/>
  <c r="N8412" i="2"/>
  <c r="M8412" i="2"/>
  <c r="J8412" i="2"/>
  <c r="I8412" i="2"/>
  <c r="H8412" i="2"/>
  <c r="G8412" i="2"/>
  <c r="F8412" i="2"/>
  <c r="E8412" i="2"/>
  <c r="D8412" i="2"/>
  <c r="C8412" i="2"/>
  <c r="B8412" i="2"/>
  <c r="A8412" i="2"/>
  <c r="U8411" i="2"/>
  <c r="N8411" i="2"/>
  <c r="M8411" i="2"/>
  <c r="J8411" i="2"/>
  <c r="I8411" i="2"/>
  <c r="H8411" i="2"/>
  <c r="G8411" i="2"/>
  <c r="F8411" i="2"/>
  <c r="E8411" i="2"/>
  <c r="D8411" i="2"/>
  <c r="C8411" i="2"/>
  <c r="B8411" i="2"/>
  <c r="A8411" i="2"/>
  <c r="U8410" i="2"/>
  <c r="N8410" i="2"/>
  <c r="M8410" i="2"/>
  <c r="J8410" i="2"/>
  <c r="I8410" i="2"/>
  <c r="H8410" i="2"/>
  <c r="G8410" i="2"/>
  <c r="F8410" i="2"/>
  <c r="E8410" i="2"/>
  <c r="D8410" i="2"/>
  <c r="C8410" i="2"/>
  <c r="B8410" i="2"/>
  <c r="A8410" i="2"/>
  <c r="U8409" i="2"/>
  <c r="N8409" i="2"/>
  <c r="M8409" i="2"/>
  <c r="J8409" i="2"/>
  <c r="I8409" i="2"/>
  <c r="H8409" i="2"/>
  <c r="G8409" i="2"/>
  <c r="F8409" i="2"/>
  <c r="E8409" i="2"/>
  <c r="D8409" i="2"/>
  <c r="C8409" i="2"/>
  <c r="B8409" i="2"/>
  <c r="A8409" i="2"/>
  <c r="U8408" i="2"/>
  <c r="N8408" i="2"/>
  <c r="M8408" i="2"/>
  <c r="J8408" i="2"/>
  <c r="I8408" i="2"/>
  <c r="H8408" i="2"/>
  <c r="G8408" i="2"/>
  <c r="F8408" i="2"/>
  <c r="E8408" i="2"/>
  <c r="D8408" i="2"/>
  <c r="C8408" i="2"/>
  <c r="B8408" i="2"/>
  <c r="A8408" i="2"/>
  <c r="U8407" i="2"/>
  <c r="N8407" i="2"/>
  <c r="M8407" i="2"/>
  <c r="J8407" i="2"/>
  <c r="I8407" i="2"/>
  <c r="H8407" i="2"/>
  <c r="G8407" i="2"/>
  <c r="F8407" i="2"/>
  <c r="E8407" i="2"/>
  <c r="D8407" i="2"/>
  <c r="C8407" i="2"/>
  <c r="B8407" i="2"/>
  <c r="A8407" i="2"/>
  <c r="U8406" i="2"/>
  <c r="N8406" i="2"/>
  <c r="M8406" i="2"/>
  <c r="J8406" i="2"/>
  <c r="I8406" i="2"/>
  <c r="H8406" i="2"/>
  <c r="G8406" i="2"/>
  <c r="F8406" i="2"/>
  <c r="E8406" i="2"/>
  <c r="D8406" i="2"/>
  <c r="C8406" i="2"/>
  <c r="B8406" i="2"/>
  <c r="A8406" i="2"/>
  <c r="U8405" i="2"/>
  <c r="N8405" i="2"/>
  <c r="M8405" i="2"/>
  <c r="J8405" i="2"/>
  <c r="I8405" i="2"/>
  <c r="H8405" i="2"/>
  <c r="G8405" i="2"/>
  <c r="F8405" i="2"/>
  <c r="E8405" i="2"/>
  <c r="D8405" i="2"/>
  <c r="C8405" i="2"/>
  <c r="B8405" i="2"/>
  <c r="A8405" i="2"/>
  <c r="U8404" i="2"/>
  <c r="N8404" i="2"/>
  <c r="M8404" i="2"/>
  <c r="J8404" i="2"/>
  <c r="I8404" i="2"/>
  <c r="H8404" i="2"/>
  <c r="G8404" i="2"/>
  <c r="F8404" i="2"/>
  <c r="E8404" i="2"/>
  <c r="D8404" i="2"/>
  <c r="C8404" i="2"/>
  <c r="B8404" i="2"/>
  <c r="A8404" i="2"/>
  <c r="U8403" i="2"/>
  <c r="N8403" i="2"/>
  <c r="M8403" i="2"/>
  <c r="J8403" i="2"/>
  <c r="I8403" i="2"/>
  <c r="H8403" i="2"/>
  <c r="G8403" i="2"/>
  <c r="F8403" i="2"/>
  <c r="E8403" i="2"/>
  <c r="D8403" i="2"/>
  <c r="C8403" i="2"/>
  <c r="B8403" i="2"/>
  <c r="A8403" i="2"/>
  <c r="U8402" i="2"/>
  <c r="N8402" i="2"/>
  <c r="M8402" i="2"/>
  <c r="J8402" i="2"/>
  <c r="I8402" i="2"/>
  <c r="H8402" i="2"/>
  <c r="G8402" i="2"/>
  <c r="F8402" i="2"/>
  <c r="E8402" i="2"/>
  <c r="D8402" i="2"/>
  <c r="C8402" i="2"/>
  <c r="B8402" i="2"/>
  <c r="A8402" i="2"/>
  <c r="U8401" i="2"/>
  <c r="N8401" i="2"/>
  <c r="M8401" i="2"/>
  <c r="J8401" i="2"/>
  <c r="I8401" i="2"/>
  <c r="H8401" i="2"/>
  <c r="G8401" i="2"/>
  <c r="F8401" i="2"/>
  <c r="E8401" i="2"/>
  <c r="D8401" i="2"/>
  <c r="C8401" i="2"/>
  <c r="B8401" i="2"/>
  <c r="A8401" i="2"/>
  <c r="U8400" i="2"/>
  <c r="N8400" i="2"/>
  <c r="M8400" i="2"/>
  <c r="J8400" i="2"/>
  <c r="I8400" i="2"/>
  <c r="H8400" i="2"/>
  <c r="G8400" i="2"/>
  <c r="F8400" i="2"/>
  <c r="E8400" i="2"/>
  <c r="D8400" i="2"/>
  <c r="C8400" i="2"/>
  <c r="B8400" i="2"/>
  <c r="A8400" i="2"/>
  <c r="U8399" i="2"/>
  <c r="N8399" i="2"/>
  <c r="M8399" i="2"/>
  <c r="J8399" i="2"/>
  <c r="I8399" i="2"/>
  <c r="H8399" i="2"/>
  <c r="G8399" i="2"/>
  <c r="F8399" i="2"/>
  <c r="E8399" i="2"/>
  <c r="D8399" i="2"/>
  <c r="C8399" i="2"/>
  <c r="B8399" i="2"/>
  <c r="A8399" i="2"/>
  <c r="U8398" i="2"/>
  <c r="N8398" i="2"/>
  <c r="M8398" i="2"/>
  <c r="J8398" i="2"/>
  <c r="I8398" i="2"/>
  <c r="H8398" i="2"/>
  <c r="G8398" i="2"/>
  <c r="F8398" i="2"/>
  <c r="E8398" i="2"/>
  <c r="D8398" i="2"/>
  <c r="C8398" i="2"/>
  <c r="B8398" i="2"/>
  <c r="A8398" i="2"/>
  <c r="U8397" i="2"/>
  <c r="N8397" i="2"/>
  <c r="M8397" i="2"/>
  <c r="J8397" i="2"/>
  <c r="I8397" i="2"/>
  <c r="H8397" i="2"/>
  <c r="G8397" i="2"/>
  <c r="F8397" i="2"/>
  <c r="E8397" i="2"/>
  <c r="D8397" i="2"/>
  <c r="C8397" i="2"/>
  <c r="B8397" i="2"/>
  <c r="A8397" i="2"/>
  <c r="U8396" i="2"/>
  <c r="N8396" i="2"/>
  <c r="M8396" i="2"/>
  <c r="J8396" i="2"/>
  <c r="I8396" i="2"/>
  <c r="H8396" i="2"/>
  <c r="G8396" i="2"/>
  <c r="F8396" i="2"/>
  <c r="E8396" i="2"/>
  <c r="D8396" i="2"/>
  <c r="C8396" i="2"/>
  <c r="B8396" i="2"/>
  <c r="A8396" i="2"/>
  <c r="U8395" i="2"/>
  <c r="N8395" i="2"/>
  <c r="M8395" i="2"/>
  <c r="J8395" i="2"/>
  <c r="I8395" i="2"/>
  <c r="H8395" i="2"/>
  <c r="G8395" i="2"/>
  <c r="F8395" i="2"/>
  <c r="E8395" i="2"/>
  <c r="D8395" i="2"/>
  <c r="C8395" i="2"/>
  <c r="B8395" i="2"/>
  <c r="A8395" i="2"/>
  <c r="U8394" i="2"/>
  <c r="N8394" i="2"/>
  <c r="M8394" i="2"/>
  <c r="J8394" i="2"/>
  <c r="I8394" i="2"/>
  <c r="H8394" i="2"/>
  <c r="G8394" i="2"/>
  <c r="F8394" i="2"/>
  <c r="E8394" i="2"/>
  <c r="D8394" i="2"/>
  <c r="C8394" i="2"/>
  <c r="B8394" i="2"/>
  <c r="A8394" i="2"/>
  <c r="U8393" i="2"/>
  <c r="N8393" i="2"/>
  <c r="M8393" i="2"/>
  <c r="J8393" i="2"/>
  <c r="I8393" i="2"/>
  <c r="H8393" i="2"/>
  <c r="G8393" i="2"/>
  <c r="F8393" i="2"/>
  <c r="E8393" i="2"/>
  <c r="D8393" i="2"/>
  <c r="C8393" i="2"/>
  <c r="B8393" i="2"/>
  <c r="A8393" i="2"/>
  <c r="U8392" i="2"/>
  <c r="N8392" i="2"/>
  <c r="M8392" i="2"/>
  <c r="J8392" i="2"/>
  <c r="I8392" i="2"/>
  <c r="H8392" i="2"/>
  <c r="G8392" i="2"/>
  <c r="F8392" i="2"/>
  <c r="E8392" i="2"/>
  <c r="D8392" i="2"/>
  <c r="C8392" i="2"/>
  <c r="B8392" i="2"/>
  <c r="A8392" i="2"/>
  <c r="U8391" i="2"/>
  <c r="N8391" i="2"/>
  <c r="M8391" i="2"/>
  <c r="J8391" i="2"/>
  <c r="I8391" i="2"/>
  <c r="H8391" i="2"/>
  <c r="G8391" i="2"/>
  <c r="F8391" i="2"/>
  <c r="E8391" i="2"/>
  <c r="D8391" i="2"/>
  <c r="C8391" i="2"/>
  <c r="B8391" i="2"/>
  <c r="A8391" i="2"/>
  <c r="U8390" i="2"/>
  <c r="N8390" i="2"/>
  <c r="M8390" i="2"/>
  <c r="J8390" i="2"/>
  <c r="I8390" i="2"/>
  <c r="H8390" i="2"/>
  <c r="G8390" i="2"/>
  <c r="F8390" i="2"/>
  <c r="E8390" i="2"/>
  <c r="D8390" i="2"/>
  <c r="C8390" i="2"/>
  <c r="B8390" i="2"/>
  <c r="A8390" i="2"/>
  <c r="U8389" i="2"/>
  <c r="N8389" i="2"/>
  <c r="M8389" i="2"/>
  <c r="J8389" i="2"/>
  <c r="I8389" i="2"/>
  <c r="H8389" i="2"/>
  <c r="G8389" i="2"/>
  <c r="F8389" i="2"/>
  <c r="E8389" i="2"/>
  <c r="D8389" i="2"/>
  <c r="C8389" i="2"/>
  <c r="B8389" i="2"/>
  <c r="A8389" i="2"/>
  <c r="Q8388" i="2"/>
  <c r="U8388" i="2" s="1"/>
  <c r="N8388" i="2"/>
  <c r="M8388" i="2"/>
  <c r="J8388" i="2"/>
  <c r="I8388" i="2"/>
  <c r="H8388" i="2"/>
  <c r="G8388" i="2"/>
  <c r="F8388" i="2"/>
  <c r="E8388" i="2"/>
  <c r="D8388" i="2"/>
  <c r="C8388" i="2"/>
  <c r="B8388" i="2"/>
  <c r="A8388" i="2"/>
  <c r="Q8387" i="2"/>
  <c r="U8387" i="2" s="1"/>
  <c r="N8387" i="2"/>
  <c r="M8387" i="2"/>
  <c r="J8387" i="2"/>
  <c r="I8387" i="2"/>
  <c r="H8387" i="2"/>
  <c r="G8387" i="2"/>
  <c r="F8387" i="2"/>
  <c r="E8387" i="2"/>
  <c r="D8387" i="2"/>
  <c r="C8387" i="2"/>
  <c r="B8387" i="2"/>
  <c r="A8387" i="2"/>
  <c r="R8386" i="2"/>
  <c r="Q8386" i="2"/>
  <c r="N8386" i="2"/>
  <c r="M8386" i="2"/>
  <c r="J8386" i="2"/>
  <c r="I8386" i="2"/>
  <c r="H8386" i="2"/>
  <c r="G8386" i="2"/>
  <c r="F8386" i="2"/>
  <c r="E8386" i="2"/>
  <c r="D8386" i="2"/>
  <c r="C8386" i="2"/>
  <c r="B8386" i="2"/>
  <c r="A8386" i="2"/>
  <c r="R8385" i="2"/>
  <c r="Q8385" i="2"/>
  <c r="N8385" i="2"/>
  <c r="M8385" i="2"/>
  <c r="J8385" i="2"/>
  <c r="I8385" i="2"/>
  <c r="H8385" i="2"/>
  <c r="G8385" i="2"/>
  <c r="F8385" i="2"/>
  <c r="E8385" i="2"/>
  <c r="D8385" i="2"/>
  <c r="C8385" i="2"/>
  <c r="B8385" i="2"/>
  <c r="A8385" i="2"/>
  <c r="R8384" i="2"/>
  <c r="Q8384" i="2"/>
  <c r="N8384" i="2"/>
  <c r="M8384" i="2"/>
  <c r="J8384" i="2"/>
  <c r="I8384" i="2"/>
  <c r="H8384" i="2"/>
  <c r="G8384" i="2"/>
  <c r="F8384" i="2"/>
  <c r="E8384" i="2"/>
  <c r="D8384" i="2"/>
  <c r="C8384" i="2"/>
  <c r="B8384" i="2"/>
  <c r="A8384" i="2"/>
  <c r="R8383" i="2"/>
  <c r="Q8383" i="2"/>
  <c r="N8383" i="2"/>
  <c r="M8383" i="2"/>
  <c r="J8383" i="2"/>
  <c r="I8383" i="2"/>
  <c r="H8383" i="2"/>
  <c r="G8383" i="2"/>
  <c r="F8383" i="2"/>
  <c r="E8383" i="2"/>
  <c r="D8383" i="2"/>
  <c r="C8383" i="2"/>
  <c r="B8383" i="2"/>
  <c r="A8383" i="2"/>
  <c r="R8382" i="2"/>
  <c r="Q8382" i="2"/>
  <c r="N8382" i="2"/>
  <c r="M8382" i="2"/>
  <c r="J8382" i="2"/>
  <c r="I8382" i="2"/>
  <c r="H8382" i="2"/>
  <c r="G8382" i="2"/>
  <c r="F8382" i="2"/>
  <c r="E8382" i="2"/>
  <c r="D8382" i="2"/>
  <c r="C8382" i="2"/>
  <c r="B8382" i="2"/>
  <c r="A8382" i="2"/>
  <c r="Q8381" i="2"/>
  <c r="U8381" i="2" s="1"/>
  <c r="N8381" i="2"/>
  <c r="M8381" i="2"/>
  <c r="J8381" i="2"/>
  <c r="I8381" i="2"/>
  <c r="H8381" i="2"/>
  <c r="G8381" i="2"/>
  <c r="F8381" i="2"/>
  <c r="E8381" i="2"/>
  <c r="D8381" i="2"/>
  <c r="C8381" i="2"/>
  <c r="B8381" i="2"/>
  <c r="A8381" i="2"/>
  <c r="U8380" i="2"/>
  <c r="N8380" i="2"/>
  <c r="M8380" i="2"/>
  <c r="J8380" i="2"/>
  <c r="I8380" i="2"/>
  <c r="H8380" i="2"/>
  <c r="G8380" i="2"/>
  <c r="F8380" i="2"/>
  <c r="E8380" i="2"/>
  <c r="D8380" i="2"/>
  <c r="C8380" i="2"/>
  <c r="B8380" i="2"/>
  <c r="A8380" i="2"/>
  <c r="U8379" i="2"/>
  <c r="N8379" i="2"/>
  <c r="M8379" i="2"/>
  <c r="J8379" i="2"/>
  <c r="I8379" i="2"/>
  <c r="H8379" i="2"/>
  <c r="G8379" i="2"/>
  <c r="F8379" i="2"/>
  <c r="E8379" i="2"/>
  <c r="D8379" i="2"/>
  <c r="C8379" i="2"/>
  <c r="B8379" i="2"/>
  <c r="A8379" i="2"/>
  <c r="U8378" i="2"/>
  <c r="N8378" i="2"/>
  <c r="M8378" i="2"/>
  <c r="J8378" i="2"/>
  <c r="I8378" i="2"/>
  <c r="H8378" i="2"/>
  <c r="G8378" i="2"/>
  <c r="F8378" i="2"/>
  <c r="E8378" i="2"/>
  <c r="D8378" i="2"/>
  <c r="C8378" i="2"/>
  <c r="B8378" i="2"/>
  <c r="A8378" i="2"/>
  <c r="U8377" i="2"/>
  <c r="N8377" i="2"/>
  <c r="M8377" i="2"/>
  <c r="J8377" i="2"/>
  <c r="I8377" i="2"/>
  <c r="H8377" i="2"/>
  <c r="G8377" i="2"/>
  <c r="F8377" i="2"/>
  <c r="E8377" i="2"/>
  <c r="D8377" i="2"/>
  <c r="C8377" i="2"/>
  <c r="B8377" i="2"/>
  <c r="A8377" i="2"/>
  <c r="U8376" i="2"/>
  <c r="N8376" i="2"/>
  <c r="M8376" i="2"/>
  <c r="J8376" i="2"/>
  <c r="I8376" i="2"/>
  <c r="H8376" i="2"/>
  <c r="G8376" i="2"/>
  <c r="F8376" i="2"/>
  <c r="E8376" i="2"/>
  <c r="D8376" i="2"/>
  <c r="C8376" i="2"/>
  <c r="B8376" i="2"/>
  <c r="A8376" i="2"/>
  <c r="U8375" i="2"/>
  <c r="N8375" i="2"/>
  <c r="M8375" i="2"/>
  <c r="J8375" i="2"/>
  <c r="I8375" i="2"/>
  <c r="H8375" i="2"/>
  <c r="G8375" i="2"/>
  <c r="F8375" i="2"/>
  <c r="E8375" i="2"/>
  <c r="D8375" i="2"/>
  <c r="C8375" i="2"/>
  <c r="B8375" i="2"/>
  <c r="A8375" i="2"/>
  <c r="U8374" i="2"/>
  <c r="N8374" i="2"/>
  <c r="M8374" i="2"/>
  <c r="J8374" i="2"/>
  <c r="I8374" i="2"/>
  <c r="H8374" i="2"/>
  <c r="G8374" i="2"/>
  <c r="F8374" i="2"/>
  <c r="E8374" i="2"/>
  <c r="D8374" i="2"/>
  <c r="C8374" i="2"/>
  <c r="B8374" i="2"/>
  <c r="A8374" i="2"/>
  <c r="U8373" i="2"/>
  <c r="N8373" i="2"/>
  <c r="M8373" i="2"/>
  <c r="J8373" i="2"/>
  <c r="I8373" i="2"/>
  <c r="H8373" i="2"/>
  <c r="G8373" i="2"/>
  <c r="F8373" i="2"/>
  <c r="E8373" i="2"/>
  <c r="D8373" i="2"/>
  <c r="C8373" i="2"/>
  <c r="B8373" i="2"/>
  <c r="A8373" i="2"/>
  <c r="U8372" i="2"/>
  <c r="N8372" i="2"/>
  <c r="M8372" i="2"/>
  <c r="J8372" i="2"/>
  <c r="I8372" i="2"/>
  <c r="H8372" i="2"/>
  <c r="G8372" i="2"/>
  <c r="F8372" i="2"/>
  <c r="E8372" i="2"/>
  <c r="D8372" i="2"/>
  <c r="C8372" i="2"/>
  <c r="B8372" i="2"/>
  <c r="A8372" i="2"/>
  <c r="U8371" i="2"/>
  <c r="N8371" i="2"/>
  <c r="M8371" i="2"/>
  <c r="J8371" i="2"/>
  <c r="I8371" i="2"/>
  <c r="H8371" i="2"/>
  <c r="G8371" i="2"/>
  <c r="F8371" i="2"/>
  <c r="E8371" i="2"/>
  <c r="D8371" i="2"/>
  <c r="C8371" i="2"/>
  <c r="B8371" i="2"/>
  <c r="A8371" i="2"/>
  <c r="U8370" i="2"/>
  <c r="N8370" i="2"/>
  <c r="M8370" i="2"/>
  <c r="J8370" i="2"/>
  <c r="I8370" i="2"/>
  <c r="H8370" i="2"/>
  <c r="G8370" i="2"/>
  <c r="F8370" i="2"/>
  <c r="E8370" i="2"/>
  <c r="D8370" i="2"/>
  <c r="C8370" i="2"/>
  <c r="B8370" i="2"/>
  <c r="A8370" i="2"/>
  <c r="U8369" i="2"/>
  <c r="N8369" i="2"/>
  <c r="M8369" i="2"/>
  <c r="J8369" i="2"/>
  <c r="I8369" i="2"/>
  <c r="H8369" i="2"/>
  <c r="G8369" i="2"/>
  <c r="F8369" i="2"/>
  <c r="E8369" i="2"/>
  <c r="D8369" i="2"/>
  <c r="C8369" i="2"/>
  <c r="B8369" i="2"/>
  <c r="A8369" i="2"/>
  <c r="U8368" i="2"/>
  <c r="N8368" i="2"/>
  <c r="M8368" i="2"/>
  <c r="J8368" i="2"/>
  <c r="I8368" i="2"/>
  <c r="H8368" i="2"/>
  <c r="G8368" i="2"/>
  <c r="F8368" i="2"/>
  <c r="E8368" i="2"/>
  <c r="D8368" i="2"/>
  <c r="C8368" i="2"/>
  <c r="B8368" i="2"/>
  <c r="A8368" i="2"/>
  <c r="U8367" i="2"/>
  <c r="N8367" i="2"/>
  <c r="M8367" i="2"/>
  <c r="J8367" i="2"/>
  <c r="I8367" i="2"/>
  <c r="H8367" i="2"/>
  <c r="G8367" i="2"/>
  <c r="F8367" i="2"/>
  <c r="E8367" i="2"/>
  <c r="D8367" i="2"/>
  <c r="C8367" i="2"/>
  <c r="B8367" i="2"/>
  <c r="A8367" i="2"/>
  <c r="U8366" i="2"/>
  <c r="N8366" i="2"/>
  <c r="M8366" i="2"/>
  <c r="J8366" i="2"/>
  <c r="I8366" i="2"/>
  <c r="H8366" i="2"/>
  <c r="G8366" i="2"/>
  <c r="F8366" i="2"/>
  <c r="E8366" i="2"/>
  <c r="D8366" i="2"/>
  <c r="C8366" i="2"/>
  <c r="B8366" i="2"/>
  <c r="A8366" i="2"/>
  <c r="U8365" i="2"/>
  <c r="N8365" i="2"/>
  <c r="M8365" i="2"/>
  <c r="J8365" i="2"/>
  <c r="I8365" i="2"/>
  <c r="H8365" i="2"/>
  <c r="G8365" i="2"/>
  <c r="F8365" i="2"/>
  <c r="E8365" i="2"/>
  <c r="D8365" i="2"/>
  <c r="C8365" i="2"/>
  <c r="B8365" i="2"/>
  <c r="A8365" i="2"/>
  <c r="U8364" i="2"/>
  <c r="N8364" i="2"/>
  <c r="M8364" i="2"/>
  <c r="J8364" i="2"/>
  <c r="I8364" i="2"/>
  <c r="H8364" i="2"/>
  <c r="G8364" i="2"/>
  <c r="F8364" i="2"/>
  <c r="E8364" i="2"/>
  <c r="D8364" i="2"/>
  <c r="C8364" i="2"/>
  <c r="B8364" i="2"/>
  <c r="A8364" i="2"/>
  <c r="U8363" i="2"/>
  <c r="N8363" i="2"/>
  <c r="M8363" i="2"/>
  <c r="J8363" i="2"/>
  <c r="I8363" i="2"/>
  <c r="H8363" i="2"/>
  <c r="G8363" i="2"/>
  <c r="F8363" i="2"/>
  <c r="E8363" i="2"/>
  <c r="D8363" i="2"/>
  <c r="C8363" i="2"/>
  <c r="B8363" i="2"/>
  <c r="A8363" i="2"/>
  <c r="U8362" i="2"/>
  <c r="N8362" i="2"/>
  <c r="M8362" i="2"/>
  <c r="J8362" i="2"/>
  <c r="I8362" i="2"/>
  <c r="H8362" i="2"/>
  <c r="G8362" i="2"/>
  <c r="F8362" i="2"/>
  <c r="E8362" i="2"/>
  <c r="D8362" i="2"/>
  <c r="C8362" i="2"/>
  <c r="B8362" i="2"/>
  <c r="A8362" i="2"/>
  <c r="U8361" i="2"/>
  <c r="N8361" i="2"/>
  <c r="M8361" i="2"/>
  <c r="J8361" i="2"/>
  <c r="I8361" i="2"/>
  <c r="H8361" i="2"/>
  <c r="G8361" i="2"/>
  <c r="F8361" i="2"/>
  <c r="E8361" i="2"/>
  <c r="D8361" i="2"/>
  <c r="C8361" i="2"/>
  <c r="B8361" i="2"/>
  <c r="A8361" i="2"/>
  <c r="U8360" i="2"/>
  <c r="N8360" i="2"/>
  <c r="M8360" i="2"/>
  <c r="J8360" i="2"/>
  <c r="I8360" i="2"/>
  <c r="H8360" i="2"/>
  <c r="G8360" i="2"/>
  <c r="F8360" i="2"/>
  <c r="E8360" i="2"/>
  <c r="D8360" i="2"/>
  <c r="C8360" i="2"/>
  <c r="B8360" i="2"/>
  <c r="A8360" i="2"/>
  <c r="U8359" i="2"/>
  <c r="N8359" i="2"/>
  <c r="M8359" i="2"/>
  <c r="J8359" i="2"/>
  <c r="I8359" i="2"/>
  <c r="H8359" i="2"/>
  <c r="G8359" i="2"/>
  <c r="F8359" i="2"/>
  <c r="E8359" i="2"/>
  <c r="D8359" i="2"/>
  <c r="C8359" i="2"/>
  <c r="B8359" i="2"/>
  <c r="A8359" i="2"/>
  <c r="U8358" i="2"/>
  <c r="N8358" i="2"/>
  <c r="M8358" i="2"/>
  <c r="J8358" i="2"/>
  <c r="I8358" i="2"/>
  <c r="H8358" i="2"/>
  <c r="G8358" i="2"/>
  <c r="F8358" i="2"/>
  <c r="E8358" i="2"/>
  <c r="D8358" i="2"/>
  <c r="C8358" i="2"/>
  <c r="B8358" i="2"/>
  <c r="A8358" i="2"/>
  <c r="U8357" i="2"/>
  <c r="N8357" i="2"/>
  <c r="M8357" i="2"/>
  <c r="J8357" i="2"/>
  <c r="I8357" i="2"/>
  <c r="H8357" i="2"/>
  <c r="G8357" i="2"/>
  <c r="F8357" i="2"/>
  <c r="E8357" i="2"/>
  <c r="D8357" i="2"/>
  <c r="C8357" i="2"/>
  <c r="B8357" i="2"/>
  <c r="A8357" i="2"/>
  <c r="U8356" i="2"/>
  <c r="N8356" i="2"/>
  <c r="M8356" i="2"/>
  <c r="J8356" i="2"/>
  <c r="I8356" i="2"/>
  <c r="H8356" i="2"/>
  <c r="G8356" i="2"/>
  <c r="F8356" i="2"/>
  <c r="E8356" i="2"/>
  <c r="D8356" i="2"/>
  <c r="C8356" i="2"/>
  <c r="B8356" i="2"/>
  <c r="A8356" i="2"/>
  <c r="U8355" i="2"/>
  <c r="N8355" i="2"/>
  <c r="M8355" i="2"/>
  <c r="J8355" i="2"/>
  <c r="I8355" i="2"/>
  <c r="H8355" i="2"/>
  <c r="G8355" i="2"/>
  <c r="F8355" i="2"/>
  <c r="E8355" i="2"/>
  <c r="D8355" i="2"/>
  <c r="C8355" i="2"/>
  <c r="B8355" i="2"/>
  <c r="A8355" i="2"/>
  <c r="U8354" i="2"/>
  <c r="N8354" i="2"/>
  <c r="M8354" i="2"/>
  <c r="J8354" i="2"/>
  <c r="I8354" i="2"/>
  <c r="H8354" i="2"/>
  <c r="G8354" i="2"/>
  <c r="F8354" i="2"/>
  <c r="E8354" i="2"/>
  <c r="D8354" i="2"/>
  <c r="C8354" i="2"/>
  <c r="B8354" i="2"/>
  <c r="A8354" i="2"/>
  <c r="U8353" i="2"/>
  <c r="N8353" i="2"/>
  <c r="M8353" i="2"/>
  <c r="J8353" i="2"/>
  <c r="I8353" i="2"/>
  <c r="H8353" i="2"/>
  <c r="G8353" i="2"/>
  <c r="F8353" i="2"/>
  <c r="E8353" i="2"/>
  <c r="D8353" i="2"/>
  <c r="C8353" i="2"/>
  <c r="B8353" i="2"/>
  <c r="A8353" i="2"/>
  <c r="U8352" i="2"/>
  <c r="N8352" i="2"/>
  <c r="M8352" i="2"/>
  <c r="J8352" i="2"/>
  <c r="I8352" i="2"/>
  <c r="H8352" i="2"/>
  <c r="G8352" i="2"/>
  <c r="F8352" i="2"/>
  <c r="E8352" i="2"/>
  <c r="D8352" i="2"/>
  <c r="C8352" i="2"/>
  <c r="B8352" i="2"/>
  <c r="A8352" i="2"/>
  <c r="U8351" i="2"/>
  <c r="N8351" i="2"/>
  <c r="M8351" i="2"/>
  <c r="J8351" i="2"/>
  <c r="I8351" i="2"/>
  <c r="H8351" i="2"/>
  <c r="G8351" i="2"/>
  <c r="F8351" i="2"/>
  <c r="E8351" i="2"/>
  <c r="D8351" i="2"/>
  <c r="C8351" i="2"/>
  <c r="B8351" i="2"/>
  <c r="A8351" i="2"/>
  <c r="U8350" i="2"/>
  <c r="N8350" i="2"/>
  <c r="M8350" i="2"/>
  <c r="J8350" i="2"/>
  <c r="I8350" i="2"/>
  <c r="H8350" i="2"/>
  <c r="G8350" i="2"/>
  <c r="F8350" i="2"/>
  <c r="E8350" i="2"/>
  <c r="D8350" i="2"/>
  <c r="C8350" i="2"/>
  <c r="B8350" i="2"/>
  <c r="A8350" i="2"/>
  <c r="U8349" i="2"/>
  <c r="N8349" i="2"/>
  <c r="M8349" i="2"/>
  <c r="J8349" i="2"/>
  <c r="I8349" i="2"/>
  <c r="H8349" i="2"/>
  <c r="G8349" i="2"/>
  <c r="F8349" i="2"/>
  <c r="E8349" i="2"/>
  <c r="D8349" i="2"/>
  <c r="C8349" i="2"/>
  <c r="B8349" i="2"/>
  <c r="A8349" i="2"/>
  <c r="U8348" i="2"/>
  <c r="N8348" i="2"/>
  <c r="M8348" i="2"/>
  <c r="J8348" i="2"/>
  <c r="I8348" i="2"/>
  <c r="H8348" i="2"/>
  <c r="G8348" i="2"/>
  <c r="F8348" i="2"/>
  <c r="E8348" i="2"/>
  <c r="D8348" i="2"/>
  <c r="C8348" i="2"/>
  <c r="B8348" i="2"/>
  <c r="A8348" i="2"/>
  <c r="U8347" i="2"/>
  <c r="N8347" i="2"/>
  <c r="M8347" i="2"/>
  <c r="J8347" i="2"/>
  <c r="I8347" i="2"/>
  <c r="H8347" i="2"/>
  <c r="G8347" i="2"/>
  <c r="F8347" i="2"/>
  <c r="E8347" i="2"/>
  <c r="D8347" i="2"/>
  <c r="C8347" i="2"/>
  <c r="B8347" i="2"/>
  <c r="A8347" i="2"/>
  <c r="U8346" i="2"/>
  <c r="N8346" i="2"/>
  <c r="M8346" i="2"/>
  <c r="J8346" i="2"/>
  <c r="I8346" i="2"/>
  <c r="H8346" i="2"/>
  <c r="G8346" i="2"/>
  <c r="F8346" i="2"/>
  <c r="E8346" i="2"/>
  <c r="D8346" i="2"/>
  <c r="C8346" i="2"/>
  <c r="B8346" i="2"/>
  <c r="A8346" i="2"/>
  <c r="U8345" i="2"/>
  <c r="N8345" i="2"/>
  <c r="M8345" i="2"/>
  <c r="J8345" i="2"/>
  <c r="I8345" i="2"/>
  <c r="H8345" i="2"/>
  <c r="G8345" i="2"/>
  <c r="F8345" i="2"/>
  <c r="E8345" i="2"/>
  <c r="D8345" i="2"/>
  <c r="C8345" i="2"/>
  <c r="B8345" i="2"/>
  <c r="A8345" i="2"/>
  <c r="U8344" i="2"/>
  <c r="N8344" i="2"/>
  <c r="M8344" i="2"/>
  <c r="J8344" i="2"/>
  <c r="I8344" i="2"/>
  <c r="H8344" i="2"/>
  <c r="G8344" i="2"/>
  <c r="F8344" i="2"/>
  <c r="E8344" i="2"/>
  <c r="D8344" i="2"/>
  <c r="C8344" i="2"/>
  <c r="B8344" i="2"/>
  <c r="A8344" i="2"/>
  <c r="U8343" i="2"/>
  <c r="N8343" i="2"/>
  <c r="M8343" i="2"/>
  <c r="J8343" i="2"/>
  <c r="I8343" i="2"/>
  <c r="H8343" i="2"/>
  <c r="G8343" i="2"/>
  <c r="F8343" i="2"/>
  <c r="E8343" i="2"/>
  <c r="D8343" i="2"/>
  <c r="C8343" i="2"/>
  <c r="B8343" i="2"/>
  <c r="A8343" i="2"/>
  <c r="U8342" i="2"/>
  <c r="N8342" i="2"/>
  <c r="M8342" i="2"/>
  <c r="J8342" i="2"/>
  <c r="I8342" i="2"/>
  <c r="H8342" i="2"/>
  <c r="G8342" i="2"/>
  <c r="F8342" i="2"/>
  <c r="E8342" i="2"/>
  <c r="D8342" i="2"/>
  <c r="C8342" i="2"/>
  <c r="B8342" i="2"/>
  <c r="A8342" i="2"/>
  <c r="U8341" i="2"/>
  <c r="N8341" i="2"/>
  <c r="M8341" i="2"/>
  <c r="J8341" i="2"/>
  <c r="I8341" i="2"/>
  <c r="H8341" i="2"/>
  <c r="G8341" i="2"/>
  <c r="F8341" i="2"/>
  <c r="E8341" i="2"/>
  <c r="D8341" i="2"/>
  <c r="C8341" i="2"/>
  <c r="B8341" i="2"/>
  <c r="A8341" i="2"/>
  <c r="U8340" i="2"/>
  <c r="N8340" i="2"/>
  <c r="M8340" i="2"/>
  <c r="J8340" i="2"/>
  <c r="I8340" i="2"/>
  <c r="H8340" i="2"/>
  <c r="G8340" i="2"/>
  <c r="F8340" i="2"/>
  <c r="E8340" i="2"/>
  <c r="D8340" i="2"/>
  <c r="C8340" i="2"/>
  <c r="B8340" i="2"/>
  <c r="A8340" i="2"/>
  <c r="U8339" i="2"/>
  <c r="N8339" i="2"/>
  <c r="M8339" i="2"/>
  <c r="J8339" i="2"/>
  <c r="I8339" i="2"/>
  <c r="H8339" i="2"/>
  <c r="G8339" i="2"/>
  <c r="F8339" i="2"/>
  <c r="E8339" i="2"/>
  <c r="D8339" i="2"/>
  <c r="C8339" i="2"/>
  <c r="B8339" i="2"/>
  <c r="A8339" i="2"/>
  <c r="U8338" i="2"/>
  <c r="N8338" i="2"/>
  <c r="M8338" i="2"/>
  <c r="J8338" i="2"/>
  <c r="I8338" i="2"/>
  <c r="H8338" i="2"/>
  <c r="G8338" i="2"/>
  <c r="F8338" i="2"/>
  <c r="E8338" i="2"/>
  <c r="D8338" i="2"/>
  <c r="C8338" i="2"/>
  <c r="B8338" i="2"/>
  <c r="A8338" i="2"/>
  <c r="U8337" i="2"/>
  <c r="N8337" i="2"/>
  <c r="M8337" i="2"/>
  <c r="J8337" i="2"/>
  <c r="I8337" i="2"/>
  <c r="H8337" i="2"/>
  <c r="G8337" i="2"/>
  <c r="F8337" i="2"/>
  <c r="E8337" i="2"/>
  <c r="D8337" i="2"/>
  <c r="C8337" i="2"/>
  <c r="B8337" i="2"/>
  <c r="A8337" i="2"/>
  <c r="U8336" i="2"/>
  <c r="N8336" i="2"/>
  <c r="M8336" i="2"/>
  <c r="J8336" i="2"/>
  <c r="I8336" i="2"/>
  <c r="H8336" i="2"/>
  <c r="G8336" i="2"/>
  <c r="F8336" i="2"/>
  <c r="E8336" i="2"/>
  <c r="D8336" i="2"/>
  <c r="C8336" i="2"/>
  <c r="B8336" i="2"/>
  <c r="A8336" i="2"/>
  <c r="U8335" i="2"/>
  <c r="N8335" i="2"/>
  <c r="M8335" i="2"/>
  <c r="J8335" i="2"/>
  <c r="I8335" i="2"/>
  <c r="H8335" i="2"/>
  <c r="G8335" i="2"/>
  <c r="F8335" i="2"/>
  <c r="E8335" i="2"/>
  <c r="D8335" i="2"/>
  <c r="C8335" i="2"/>
  <c r="B8335" i="2"/>
  <c r="A8335" i="2"/>
  <c r="U8334" i="2"/>
  <c r="N8334" i="2"/>
  <c r="M8334" i="2"/>
  <c r="J8334" i="2"/>
  <c r="I8334" i="2"/>
  <c r="H8334" i="2"/>
  <c r="G8334" i="2"/>
  <c r="F8334" i="2"/>
  <c r="E8334" i="2"/>
  <c r="D8334" i="2"/>
  <c r="C8334" i="2"/>
  <c r="B8334" i="2"/>
  <c r="A8334" i="2"/>
  <c r="U8333" i="2"/>
  <c r="N8333" i="2"/>
  <c r="M8333" i="2"/>
  <c r="J8333" i="2"/>
  <c r="I8333" i="2"/>
  <c r="H8333" i="2"/>
  <c r="G8333" i="2"/>
  <c r="F8333" i="2"/>
  <c r="E8333" i="2"/>
  <c r="D8333" i="2"/>
  <c r="C8333" i="2"/>
  <c r="B8333" i="2"/>
  <c r="A8333" i="2"/>
  <c r="U8332" i="2"/>
  <c r="N8332" i="2"/>
  <c r="M8332" i="2"/>
  <c r="J8332" i="2"/>
  <c r="I8332" i="2"/>
  <c r="H8332" i="2"/>
  <c r="G8332" i="2"/>
  <c r="F8332" i="2"/>
  <c r="E8332" i="2"/>
  <c r="D8332" i="2"/>
  <c r="C8332" i="2"/>
  <c r="B8332" i="2"/>
  <c r="A8332" i="2"/>
  <c r="U8331" i="2"/>
  <c r="N8331" i="2"/>
  <c r="M8331" i="2"/>
  <c r="J8331" i="2"/>
  <c r="I8331" i="2"/>
  <c r="H8331" i="2"/>
  <c r="G8331" i="2"/>
  <c r="F8331" i="2"/>
  <c r="E8331" i="2"/>
  <c r="D8331" i="2"/>
  <c r="C8331" i="2"/>
  <c r="B8331" i="2"/>
  <c r="A8331" i="2"/>
  <c r="U8330" i="2"/>
  <c r="N8330" i="2"/>
  <c r="M8330" i="2"/>
  <c r="J8330" i="2"/>
  <c r="I8330" i="2"/>
  <c r="H8330" i="2"/>
  <c r="G8330" i="2"/>
  <c r="F8330" i="2"/>
  <c r="E8330" i="2"/>
  <c r="D8330" i="2"/>
  <c r="C8330" i="2"/>
  <c r="B8330" i="2"/>
  <c r="A8330" i="2"/>
  <c r="U8329" i="2"/>
  <c r="N8329" i="2"/>
  <c r="M8329" i="2"/>
  <c r="J8329" i="2"/>
  <c r="I8329" i="2"/>
  <c r="H8329" i="2"/>
  <c r="G8329" i="2"/>
  <c r="F8329" i="2"/>
  <c r="E8329" i="2"/>
  <c r="D8329" i="2"/>
  <c r="C8329" i="2"/>
  <c r="B8329" i="2"/>
  <c r="A8329" i="2"/>
  <c r="U8328" i="2"/>
  <c r="N8328" i="2"/>
  <c r="M8328" i="2"/>
  <c r="J8328" i="2"/>
  <c r="I8328" i="2"/>
  <c r="H8328" i="2"/>
  <c r="G8328" i="2"/>
  <c r="F8328" i="2"/>
  <c r="E8328" i="2"/>
  <c r="D8328" i="2"/>
  <c r="C8328" i="2"/>
  <c r="B8328" i="2"/>
  <c r="A8328" i="2"/>
  <c r="U8327" i="2"/>
  <c r="N8327" i="2"/>
  <c r="M8327" i="2"/>
  <c r="J8327" i="2"/>
  <c r="I8327" i="2"/>
  <c r="H8327" i="2"/>
  <c r="G8327" i="2"/>
  <c r="F8327" i="2"/>
  <c r="E8327" i="2"/>
  <c r="D8327" i="2"/>
  <c r="C8327" i="2"/>
  <c r="B8327" i="2"/>
  <c r="A8327" i="2"/>
  <c r="U8326" i="2"/>
  <c r="N8326" i="2"/>
  <c r="M8326" i="2"/>
  <c r="J8326" i="2"/>
  <c r="I8326" i="2"/>
  <c r="H8326" i="2"/>
  <c r="G8326" i="2"/>
  <c r="F8326" i="2"/>
  <c r="E8326" i="2"/>
  <c r="D8326" i="2"/>
  <c r="C8326" i="2"/>
  <c r="B8326" i="2"/>
  <c r="A8326" i="2"/>
  <c r="U8325" i="2"/>
  <c r="N8325" i="2"/>
  <c r="M8325" i="2"/>
  <c r="J8325" i="2"/>
  <c r="I8325" i="2"/>
  <c r="H8325" i="2"/>
  <c r="G8325" i="2"/>
  <c r="F8325" i="2"/>
  <c r="E8325" i="2"/>
  <c r="D8325" i="2"/>
  <c r="C8325" i="2"/>
  <c r="B8325" i="2"/>
  <c r="A8325" i="2"/>
  <c r="U8324" i="2"/>
  <c r="N8324" i="2"/>
  <c r="M8324" i="2"/>
  <c r="J8324" i="2"/>
  <c r="I8324" i="2"/>
  <c r="H8324" i="2"/>
  <c r="G8324" i="2"/>
  <c r="F8324" i="2"/>
  <c r="E8324" i="2"/>
  <c r="D8324" i="2"/>
  <c r="C8324" i="2"/>
  <c r="B8324" i="2"/>
  <c r="A8324" i="2"/>
  <c r="U8323" i="2"/>
  <c r="N8323" i="2"/>
  <c r="M8323" i="2"/>
  <c r="J8323" i="2"/>
  <c r="I8323" i="2"/>
  <c r="H8323" i="2"/>
  <c r="G8323" i="2"/>
  <c r="F8323" i="2"/>
  <c r="E8323" i="2"/>
  <c r="D8323" i="2"/>
  <c r="C8323" i="2"/>
  <c r="B8323" i="2"/>
  <c r="A8323" i="2"/>
  <c r="U8322" i="2"/>
  <c r="N8322" i="2"/>
  <c r="M8322" i="2"/>
  <c r="J8322" i="2"/>
  <c r="I8322" i="2"/>
  <c r="H8322" i="2"/>
  <c r="G8322" i="2"/>
  <c r="F8322" i="2"/>
  <c r="E8322" i="2"/>
  <c r="D8322" i="2"/>
  <c r="C8322" i="2"/>
  <c r="B8322" i="2"/>
  <c r="A8322" i="2"/>
  <c r="U8321" i="2"/>
  <c r="N8321" i="2"/>
  <c r="M8321" i="2"/>
  <c r="J8321" i="2"/>
  <c r="I8321" i="2"/>
  <c r="H8321" i="2"/>
  <c r="G8321" i="2"/>
  <c r="F8321" i="2"/>
  <c r="E8321" i="2"/>
  <c r="D8321" i="2"/>
  <c r="C8321" i="2"/>
  <c r="B8321" i="2"/>
  <c r="A8321" i="2"/>
  <c r="U8320" i="2"/>
  <c r="N8320" i="2"/>
  <c r="M8320" i="2"/>
  <c r="J8320" i="2"/>
  <c r="I8320" i="2"/>
  <c r="H8320" i="2"/>
  <c r="G8320" i="2"/>
  <c r="F8320" i="2"/>
  <c r="E8320" i="2"/>
  <c r="D8320" i="2"/>
  <c r="C8320" i="2"/>
  <c r="B8320" i="2"/>
  <c r="A8320" i="2"/>
  <c r="U8319" i="2"/>
  <c r="N8319" i="2"/>
  <c r="M8319" i="2"/>
  <c r="J8319" i="2"/>
  <c r="I8319" i="2"/>
  <c r="H8319" i="2"/>
  <c r="G8319" i="2"/>
  <c r="F8319" i="2"/>
  <c r="E8319" i="2"/>
  <c r="D8319" i="2"/>
  <c r="C8319" i="2"/>
  <c r="B8319" i="2"/>
  <c r="A8319" i="2"/>
  <c r="U8318" i="2"/>
  <c r="N8318" i="2"/>
  <c r="M8318" i="2"/>
  <c r="J8318" i="2"/>
  <c r="I8318" i="2"/>
  <c r="H8318" i="2"/>
  <c r="G8318" i="2"/>
  <c r="F8318" i="2"/>
  <c r="E8318" i="2"/>
  <c r="D8318" i="2"/>
  <c r="C8318" i="2"/>
  <c r="B8318" i="2"/>
  <c r="A8318" i="2"/>
  <c r="U8317" i="2"/>
  <c r="N8317" i="2"/>
  <c r="M8317" i="2"/>
  <c r="J8317" i="2"/>
  <c r="I8317" i="2"/>
  <c r="H8317" i="2"/>
  <c r="G8317" i="2"/>
  <c r="F8317" i="2"/>
  <c r="E8317" i="2"/>
  <c r="D8317" i="2"/>
  <c r="C8317" i="2"/>
  <c r="B8317" i="2"/>
  <c r="A8317" i="2"/>
  <c r="U8316" i="2"/>
  <c r="N8316" i="2"/>
  <c r="M8316" i="2"/>
  <c r="J8316" i="2"/>
  <c r="I8316" i="2"/>
  <c r="H8316" i="2"/>
  <c r="G8316" i="2"/>
  <c r="F8316" i="2"/>
  <c r="E8316" i="2"/>
  <c r="D8316" i="2"/>
  <c r="C8316" i="2"/>
  <c r="B8316" i="2"/>
  <c r="A8316" i="2"/>
  <c r="U8315" i="2"/>
  <c r="N8315" i="2"/>
  <c r="M8315" i="2"/>
  <c r="J8315" i="2"/>
  <c r="I8315" i="2"/>
  <c r="H8315" i="2"/>
  <c r="G8315" i="2"/>
  <c r="F8315" i="2"/>
  <c r="E8315" i="2"/>
  <c r="D8315" i="2"/>
  <c r="C8315" i="2"/>
  <c r="B8315" i="2"/>
  <c r="A8315" i="2"/>
  <c r="U8314" i="2"/>
  <c r="N8314" i="2"/>
  <c r="M8314" i="2"/>
  <c r="J8314" i="2"/>
  <c r="I8314" i="2"/>
  <c r="H8314" i="2"/>
  <c r="G8314" i="2"/>
  <c r="F8314" i="2"/>
  <c r="E8314" i="2"/>
  <c r="D8314" i="2"/>
  <c r="C8314" i="2"/>
  <c r="B8314" i="2"/>
  <c r="A8314" i="2"/>
  <c r="U8313" i="2"/>
  <c r="N8313" i="2"/>
  <c r="M8313" i="2"/>
  <c r="J8313" i="2"/>
  <c r="I8313" i="2"/>
  <c r="H8313" i="2"/>
  <c r="G8313" i="2"/>
  <c r="F8313" i="2"/>
  <c r="E8313" i="2"/>
  <c r="D8313" i="2"/>
  <c r="C8313" i="2"/>
  <c r="B8313" i="2"/>
  <c r="A8313" i="2"/>
  <c r="U8312" i="2"/>
  <c r="N8312" i="2"/>
  <c r="M8312" i="2"/>
  <c r="J8312" i="2"/>
  <c r="I8312" i="2"/>
  <c r="H8312" i="2"/>
  <c r="G8312" i="2"/>
  <c r="F8312" i="2"/>
  <c r="E8312" i="2"/>
  <c r="D8312" i="2"/>
  <c r="C8312" i="2"/>
  <c r="B8312" i="2"/>
  <c r="A8312" i="2"/>
  <c r="U8311" i="2"/>
  <c r="N8311" i="2"/>
  <c r="M8311" i="2"/>
  <c r="J8311" i="2"/>
  <c r="I8311" i="2"/>
  <c r="H8311" i="2"/>
  <c r="G8311" i="2"/>
  <c r="F8311" i="2"/>
  <c r="E8311" i="2"/>
  <c r="D8311" i="2"/>
  <c r="C8311" i="2"/>
  <c r="B8311" i="2"/>
  <c r="A8311" i="2"/>
  <c r="U8310" i="2"/>
  <c r="N8310" i="2"/>
  <c r="M8310" i="2"/>
  <c r="J8310" i="2"/>
  <c r="I8310" i="2"/>
  <c r="H8310" i="2"/>
  <c r="G8310" i="2"/>
  <c r="F8310" i="2"/>
  <c r="E8310" i="2"/>
  <c r="D8310" i="2"/>
  <c r="C8310" i="2"/>
  <c r="B8310" i="2"/>
  <c r="A8310" i="2"/>
  <c r="U8309" i="2"/>
  <c r="N8309" i="2"/>
  <c r="M8309" i="2"/>
  <c r="J8309" i="2"/>
  <c r="I8309" i="2"/>
  <c r="H8309" i="2"/>
  <c r="G8309" i="2"/>
  <c r="F8309" i="2"/>
  <c r="E8309" i="2"/>
  <c r="D8309" i="2"/>
  <c r="C8309" i="2"/>
  <c r="B8309" i="2"/>
  <c r="A8309" i="2"/>
  <c r="U8308" i="2"/>
  <c r="N8308" i="2"/>
  <c r="M8308" i="2"/>
  <c r="J8308" i="2"/>
  <c r="I8308" i="2"/>
  <c r="H8308" i="2"/>
  <c r="G8308" i="2"/>
  <c r="F8308" i="2"/>
  <c r="E8308" i="2"/>
  <c r="D8308" i="2"/>
  <c r="C8308" i="2"/>
  <c r="B8308" i="2"/>
  <c r="A8308" i="2"/>
  <c r="U8307" i="2"/>
  <c r="N8307" i="2"/>
  <c r="M8307" i="2"/>
  <c r="J8307" i="2"/>
  <c r="I8307" i="2"/>
  <c r="H8307" i="2"/>
  <c r="G8307" i="2"/>
  <c r="F8307" i="2"/>
  <c r="E8307" i="2"/>
  <c r="D8307" i="2"/>
  <c r="C8307" i="2"/>
  <c r="B8307" i="2"/>
  <c r="A8307" i="2"/>
  <c r="U8306" i="2"/>
  <c r="N8306" i="2"/>
  <c r="M8306" i="2"/>
  <c r="J8306" i="2"/>
  <c r="I8306" i="2"/>
  <c r="H8306" i="2"/>
  <c r="G8306" i="2"/>
  <c r="F8306" i="2"/>
  <c r="E8306" i="2"/>
  <c r="D8306" i="2"/>
  <c r="C8306" i="2"/>
  <c r="B8306" i="2"/>
  <c r="A8306" i="2"/>
  <c r="U8305" i="2"/>
  <c r="N8305" i="2"/>
  <c r="M8305" i="2"/>
  <c r="J8305" i="2"/>
  <c r="I8305" i="2"/>
  <c r="H8305" i="2"/>
  <c r="G8305" i="2"/>
  <c r="F8305" i="2"/>
  <c r="E8305" i="2"/>
  <c r="D8305" i="2"/>
  <c r="C8305" i="2"/>
  <c r="B8305" i="2"/>
  <c r="A8305" i="2"/>
  <c r="U8304" i="2"/>
  <c r="N8304" i="2"/>
  <c r="M8304" i="2"/>
  <c r="J8304" i="2"/>
  <c r="I8304" i="2"/>
  <c r="H8304" i="2"/>
  <c r="G8304" i="2"/>
  <c r="F8304" i="2"/>
  <c r="E8304" i="2"/>
  <c r="D8304" i="2"/>
  <c r="C8304" i="2"/>
  <c r="B8304" i="2"/>
  <c r="A8304" i="2"/>
  <c r="U8303" i="2"/>
  <c r="N8303" i="2"/>
  <c r="M8303" i="2"/>
  <c r="J8303" i="2"/>
  <c r="I8303" i="2"/>
  <c r="H8303" i="2"/>
  <c r="G8303" i="2"/>
  <c r="F8303" i="2"/>
  <c r="E8303" i="2"/>
  <c r="D8303" i="2"/>
  <c r="C8303" i="2"/>
  <c r="B8303" i="2"/>
  <c r="A8303" i="2"/>
  <c r="U8302" i="2"/>
  <c r="N8302" i="2"/>
  <c r="M8302" i="2"/>
  <c r="J8302" i="2"/>
  <c r="I8302" i="2"/>
  <c r="H8302" i="2"/>
  <c r="G8302" i="2"/>
  <c r="F8302" i="2"/>
  <c r="E8302" i="2"/>
  <c r="D8302" i="2"/>
  <c r="C8302" i="2"/>
  <c r="B8302" i="2"/>
  <c r="A8302" i="2"/>
  <c r="U8301" i="2"/>
  <c r="N8301" i="2"/>
  <c r="M8301" i="2"/>
  <c r="J8301" i="2"/>
  <c r="I8301" i="2"/>
  <c r="H8301" i="2"/>
  <c r="G8301" i="2"/>
  <c r="F8301" i="2"/>
  <c r="E8301" i="2"/>
  <c r="D8301" i="2"/>
  <c r="C8301" i="2"/>
  <c r="B8301" i="2"/>
  <c r="A8301" i="2"/>
  <c r="U8300" i="2"/>
  <c r="N8300" i="2"/>
  <c r="M8300" i="2"/>
  <c r="J8300" i="2"/>
  <c r="I8300" i="2"/>
  <c r="H8300" i="2"/>
  <c r="G8300" i="2"/>
  <c r="F8300" i="2"/>
  <c r="E8300" i="2"/>
  <c r="D8300" i="2"/>
  <c r="C8300" i="2"/>
  <c r="B8300" i="2"/>
  <c r="A8300" i="2"/>
  <c r="U8299" i="2"/>
  <c r="N8299" i="2"/>
  <c r="M8299" i="2"/>
  <c r="J8299" i="2"/>
  <c r="I8299" i="2"/>
  <c r="H8299" i="2"/>
  <c r="G8299" i="2"/>
  <c r="F8299" i="2"/>
  <c r="E8299" i="2"/>
  <c r="D8299" i="2"/>
  <c r="C8299" i="2"/>
  <c r="B8299" i="2"/>
  <c r="A8299" i="2"/>
  <c r="U8298" i="2"/>
  <c r="N8298" i="2"/>
  <c r="M8298" i="2"/>
  <c r="J8298" i="2"/>
  <c r="I8298" i="2"/>
  <c r="H8298" i="2"/>
  <c r="G8298" i="2"/>
  <c r="F8298" i="2"/>
  <c r="E8298" i="2"/>
  <c r="D8298" i="2"/>
  <c r="C8298" i="2"/>
  <c r="B8298" i="2"/>
  <c r="A8298" i="2"/>
  <c r="U8297" i="2"/>
  <c r="N8297" i="2"/>
  <c r="M8297" i="2"/>
  <c r="J8297" i="2"/>
  <c r="I8297" i="2"/>
  <c r="H8297" i="2"/>
  <c r="G8297" i="2"/>
  <c r="F8297" i="2"/>
  <c r="E8297" i="2"/>
  <c r="D8297" i="2"/>
  <c r="C8297" i="2"/>
  <c r="B8297" i="2"/>
  <c r="A8297" i="2"/>
  <c r="U8296" i="2"/>
  <c r="N8296" i="2"/>
  <c r="M8296" i="2"/>
  <c r="J8296" i="2"/>
  <c r="I8296" i="2"/>
  <c r="H8296" i="2"/>
  <c r="G8296" i="2"/>
  <c r="F8296" i="2"/>
  <c r="E8296" i="2"/>
  <c r="D8296" i="2"/>
  <c r="C8296" i="2"/>
  <c r="B8296" i="2"/>
  <c r="A8296" i="2"/>
  <c r="U8295" i="2"/>
  <c r="N8295" i="2"/>
  <c r="M8295" i="2"/>
  <c r="J8295" i="2"/>
  <c r="I8295" i="2"/>
  <c r="H8295" i="2"/>
  <c r="G8295" i="2"/>
  <c r="F8295" i="2"/>
  <c r="E8295" i="2"/>
  <c r="D8295" i="2"/>
  <c r="C8295" i="2"/>
  <c r="B8295" i="2"/>
  <c r="A8295" i="2"/>
  <c r="U8294" i="2"/>
  <c r="N8294" i="2"/>
  <c r="M8294" i="2"/>
  <c r="J8294" i="2"/>
  <c r="I8294" i="2"/>
  <c r="H8294" i="2"/>
  <c r="G8294" i="2"/>
  <c r="F8294" i="2"/>
  <c r="E8294" i="2"/>
  <c r="D8294" i="2"/>
  <c r="C8294" i="2"/>
  <c r="B8294" i="2"/>
  <c r="A8294" i="2"/>
  <c r="U8293" i="2"/>
  <c r="N8293" i="2"/>
  <c r="M8293" i="2"/>
  <c r="J8293" i="2"/>
  <c r="I8293" i="2"/>
  <c r="H8293" i="2"/>
  <c r="G8293" i="2"/>
  <c r="F8293" i="2"/>
  <c r="E8293" i="2"/>
  <c r="D8293" i="2"/>
  <c r="C8293" i="2"/>
  <c r="B8293" i="2"/>
  <c r="A8293" i="2"/>
  <c r="U8292" i="2"/>
  <c r="N8292" i="2"/>
  <c r="M8292" i="2"/>
  <c r="J8292" i="2"/>
  <c r="I8292" i="2"/>
  <c r="H8292" i="2"/>
  <c r="G8292" i="2"/>
  <c r="F8292" i="2"/>
  <c r="E8292" i="2"/>
  <c r="D8292" i="2"/>
  <c r="C8292" i="2"/>
  <c r="B8292" i="2"/>
  <c r="A8292" i="2"/>
  <c r="U8291" i="2"/>
  <c r="N8291" i="2"/>
  <c r="M8291" i="2"/>
  <c r="J8291" i="2"/>
  <c r="I8291" i="2"/>
  <c r="H8291" i="2"/>
  <c r="G8291" i="2"/>
  <c r="F8291" i="2"/>
  <c r="E8291" i="2"/>
  <c r="D8291" i="2"/>
  <c r="C8291" i="2"/>
  <c r="B8291" i="2"/>
  <c r="A8291" i="2"/>
  <c r="U8290" i="2"/>
  <c r="N8290" i="2"/>
  <c r="M8290" i="2"/>
  <c r="J8290" i="2"/>
  <c r="I8290" i="2"/>
  <c r="H8290" i="2"/>
  <c r="G8290" i="2"/>
  <c r="F8290" i="2"/>
  <c r="E8290" i="2"/>
  <c r="D8290" i="2"/>
  <c r="C8290" i="2"/>
  <c r="B8290" i="2"/>
  <c r="A8290" i="2"/>
  <c r="U8289" i="2"/>
  <c r="N8289" i="2"/>
  <c r="M8289" i="2"/>
  <c r="J8289" i="2"/>
  <c r="I8289" i="2"/>
  <c r="H8289" i="2"/>
  <c r="G8289" i="2"/>
  <c r="F8289" i="2"/>
  <c r="E8289" i="2"/>
  <c r="D8289" i="2"/>
  <c r="C8289" i="2"/>
  <c r="B8289" i="2"/>
  <c r="A8289" i="2"/>
  <c r="U8288" i="2"/>
  <c r="N8288" i="2"/>
  <c r="M8288" i="2"/>
  <c r="J8288" i="2"/>
  <c r="I8288" i="2"/>
  <c r="H8288" i="2"/>
  <c r="G8288" i="2"/>
  <c r="F8288" i="2"/>
  <c r="E8288" i="2"/>
  <c r="D8288" i="2"/>
  <c r="C8288" i="2"/>
  <c r="B8288" i="2"/>
  <c r="A8288" i="2"/>
  <c r="U8287" i="2"/>
  <c r="N8287" i="2"/>
  <c r="M8287" i="2"/>
  <c r="J8287" i="2"/>
  <c r="I8287" i="2"/>
  <c r="H8287" i="2"/>
  <c r="G8287" i="2"/>
  <c r="F8287" i="2"/>
  <c r="E8287" i="2"/>
  <c r="D8287" i="2"/>
  <c r="C8287" i="2"/>
  <c r="B8287" i="2"/>
  <c r="A8287" i="2"/>
  <c r="U8286" i="2"/>
  <c r="N8286" i="2"/>
  <c r="M8286" i="2"/>
  <c r="J8286" i="2"/>
  <c r="I8286" i="2"/>
  <c r="H8286" i="2"/>
  <c r="G8286" i="2"/>
  <c r="F8286" i="2"/>
  <c r="E8286" i="2"/>
  <c r="D8286" i="2"/>
  <c r="C8286" i="2"/>
  <c r="B8286" i="2"/>
  <c r="A8286" i="2"/>
  <c r="U8285" i="2"/>
  <c r="N8285" i="2"/>
  <c r="M8285" i="2"/>
  <c r="J8285" i="2"/>
  <c r="I8285" i="2"/>
  <c r="H8285" i="2"/>
  <c r="G8285" i="2"/>
  <c r="F8285" i="2"/>
  <c r="E8285" i="2"/>
  <c r="D8285" i="2"/>
  <c r="C8285" i="2"/>
  <c r="B8285" i="2"/>
  <c r="A8285" i="2"/>
  <c r="U8284" i="2"/>
  <c r="N8284" i="2"/>
  <c r="M8284" i="2"/>
  <c r="J8284" i="2"/>
  <c r="I8284" i="2"/>
  <c r="H8284" i="2"/>
  <c r="G8284" i="2"/>
  <c r="F8284" i="2"/>
  <c r="E8284" i="2"/>
  <c r="D8284" i="2"/>
  <c r="C8284" i="2"/>
  <c r="B8284" i="2"/>
  <c r="A8284" i="2"/>
  <c r="U8283" i="2"/>
  <c r="N8283" i="2"/>
  <c r="M8283" i="2"/>
  <c r="J8283" i="2"/>
  <c r="I8283" i="2"/>
  <c r="H8283" i="2"/>
  <c r="G8283" i="2"/>
  <c r="F8283" i="2"/>
  <c r="E8283" i="2"/>
  <c r="D8283" i="2"/>
  <c r="C8283" i="2"/>
  <c r="B8283" i="2"/>
  <c r="A8283" i="2"/>
  <c r="U8282" i="2"/>
  <c r="N8282" i="2"/>
  <c r="M8282" i="2"/>
  <c r="J8282" i="2"/>
  <c r="I8282" i="2"/>
  <c r="H8282" i="2"/>
  <c r="G8282" i="2"/>
  <c r="F8282" i="2"/>
  <c r="E8282" i="2"/>
  <c r="D8282" i="2"/>
  <c r="C8282" i="2"/>
  <c r="B8282" i="2"/>
  <c r="A8282" i="2"/>
  <c r="U8281" i="2"/>
  <c r="N8281" i="2"/>
  <c r="M8281" i="2"/>
  <c r="J8281" i="2"/>
  <c r="I8281" i="2"/>
  <c r="H8281" i="2"/>
  <c r="G8281" i="2"/>
  <c r="F8281" i="2"/>
  <c r="E8281" i="2"/>
  <c r="D8281" i="2"/>
  <c r="C8281" i="2"/>
  <c r="B8281" i="2"/>
  <c r="A8281" i="2"/>
  <c r="U8280" i="2"/>
  <c r="N8280" i="2"/>
  <c r="M8280" i="2"/>
  <c r="J8280" i="2"/>
  <c r="I8280" i="2"/>
  <c r="H8280" i="2"/>
  <c r="G8280" i="2"/>
  <c r="F8280" i="2"/>
  <c r="E8280" i="2"/>
  <c r="D8280" i="2"/>
  <c r="C8280" i="2"/>
  <c r="B8280" i="2"/>
  <c r="A8280" i="2"/>
  <c r="U8279" i="2"/>
  <c r="N8279" i="2"/>
  <c r="M8279" i="2"/>
  <c r="J8279" i="2"/>
  <c r="I8279" i="2"/>
  <c r="H8279" i="2"/>
  <c r="G8279" i="2"/>
  <c r="F8279" i="2"/>
  <c r="E8279" i="2"/>
  <c r="D8279" i="2"/>
  <c r="C8279" i="2"/>
  <c r="B8279" i="2"/>
  <c r="A8279" i="2"/>
  <c r="U8278" i="2"/>
  <c r="N8278" i="2"/>
  <c r="M8278" i="2"/>
  <c r="J8278" i="2"/>
  <c r="I8278" i="2"/>
  <c r="H8278" i="2"/>
  <c r="G8278" i="2"/>
  <c r="F8278" i="2"/>
  <c r="E8278" i="2"/>
  <c r="D8278" i="2"/>
  <c r="C8278" i="2"/>
  <c r="B8278" i="2"/>
  <c r="A8278" i="2"/>
  <c r="U8277" i="2"/>
  <c r="N8277" i="2"/>
  <c r="M8277" i="2"/>
  <c r="J8277" i="2"/>
  <c r="I8277" i="2"/>
  <c r="H8277" i="2"/>
  <c r="G8277" i="2"/>
  <c r="F8277" i="2"/>
  <c r="E8277" i="2"/>
  <c r="D8277" i="2"/>
  <c r="C8277" i="2"/>
  <c r="B8277" i="2"/>
  <c r="A8277" i="2"/>
  <c r="U8276" i="2"/>
  <c r="N8276" i="2"/>
  <c r="M8276" i="2"/>
  <c r="J8276" i="2"/>
  <c r="I8276" i="2"/>
  <c r="H8276" i="2"/>
  <c r="G8276" i="2"/>
  <c r="F8276" i="2"/>
  <c r="E8276" i="2"/>
  <c r="D8276" i="2"/>
  <c r="C8276" i="2"/>
  <c r="B8276" i="2"/>
  <c r="A8276" i="2"/>
  <c r="U8275" i="2"/>
  <c r="N8275" i="2"/>
  <c r="M8275" i="2"/>
  <c r="J8275" i="2"/>
  <c r="I8275" i="2"/>
  <c r="H8275" i="2"/>
  <c r="G8275" i="2"/>
  <c r="F8275" i="2"/>
  <c r="E8275" i="2"/>
  <c r="D8275" i="2"/>
  <c r="C8275" i="2"/>
  <c r="B8275" i="2"/>
  <c r="A8275" i="2"/>
  <c r="U8274" i="2"/>
  <c r="N8274" i="2"/>
  <c r="M8274" i="2"/>
  <c r="J8274" i="2"/>
  <c r="I8274" i="2"/>
  <c r="H8274" i="2"/>
  <c r="G8274" i="2"/>
  <c r="F8274" i="2"/>
  <c r="E8274" i="2"/>
  <c r="D8274" i="2"/>
  <c r="C8274" i="2"/>
  <c r="B8274" i="2"/>
  <c r="A8274" i="2"/>
  <c r="U8273" i="2"/>
  <c r="N8273" i="2"/>
  <c r="M8273" i="2"/>
  <c r="J8273" i="2"/>
  <c r="I8273" i="2"/>
  <c r="H8273" i="2"/>
  <c r="G8273" i="2"/>
  <c r="F8273" i="2"/>
  <c r="E8273" i="2"/>
  <c r="D8273" i="2"/>
  <c r="C8273" i="2"/>
  <c r="B8273" i="2"/>
  <c r="A8273" i="2"/>
  <c r="U8272" i="2"/>
  <c r="N8272" i="2"/>
  <c r="M8272" i="2"/>
  <c r="J8272" i="2"/>
  <c r="I8272" i="2"/>
  <c r="H8272" i="2"/>
  <c r="G8272" i="2"/>
  <c r="F8272" i="2"/>
  <c r="E8272" i="2"/>
  <c r="D8272" i="2"/>
  <c r="C8272" i="2"/>
  <c r="B8272" i="2"/>
  <c r="A8272" i="2"/>
  <c r="Q8271" i="2"/>
  <c r="U8271" i="2" s="1"/>
  <c r="N8271" i="2"/>
  <c r="M8271" i="2"/>
  <c r="J8271" i="2"/>
  <c r="I8271" i="2"/>
  <c r="H8271" i="2"/>
  <c r="G8271" i="2"/>
  <c r="F8271" i="2"/>
  <c r="E8271" i="2"/>
  <c r="D8271" i="2"/>
  <c r="C8271" i="2"/>
  <c r="B8271" i="2"/>
  <c r="A8271" i="2"/>
  <c r="U8270" i="2"/>
  <c r="N8270" i="2"/>
  <c r="M8270" i="2"/>
  <c r="J8270" i="2"/>
  <c r="I8270" i="2"/>
  <c r="H8270" i="2"/>
  <c r="G8270" i="2"/>
  <c r="F8270" i="2"/>
  <c r="E8270" i="2"/>
  <c r="D8270" i="2"/>
  <c r="C8270" i="2"/>
  <c r="B8270" i="2"/>
  <c r="A8270" i="2"/>
  <c r="U8269" i="2"/>
  <c r="N8269" i="2"/>
  <c r="M8269" i="2"/>
  <c r="J8269" i="2"/>
  <c r="I8269" i="2"/>
  <c r="H8269" i="2"/>
  <c r="G8269" i="2"/>
  <c r="F8269" i="2"/>
  <c r="E8269" i="2"/>
  <c r="D8269" i="2"/>
  <c r="C8269" i="2"/>
  <c r="B8269" i="2"/>
  <c r="A8269" i="2"/>
  <c r="U8268" i="2"/>
  <c r="N8268" i="2"/>
  <c r="M8268" i="2"/>
  <c r="J8268" i="2"/>
  <c r="I8268" i="2"/>
  <c r="H8268" i="2"/>
  <c r="G8268" i="2"/>
  <c r="F8268" i="2"/>
  <c r="E8268" i="2"/>
  <c r="D8268" i="2"/>
  <c r="C8268" i="2"/>
  <c r="B8268" i="2"/>
  <c r="A8268" i="2"/>
  <c r="U8267" i="2"/>
  <c r="N8267" i="2"/>
  <c r="M8267" i="2"/>
  <c r="J8267" i="2"/>
  <c r="I8267" i="2"/>
  <c r="H8267" i="2"/>
  <c r="G8267" i="2"/>
  <c r="F8267" i="2"/>
  <c r="E8267" i="2"/>
  <c r="D8267" i="2"/>
  <c r="C8267" i="2"/>
  <c r="B8267" i="2"/>
  <c r="A8267" i="2"/>
  <c r="U8266" i="2"/>
  <c r="N8266" i="2"/>
  <c r="M8266" i="2"/>
  <c r="J8266" i="2"/>
  <c r="I8266" i="2"/>
  <c r="H8266" i="2"/>
  <c r="G8266" i="2"/>
  <c r="F8266" i="2"/>
  <c r="E8266" i="2"/>
  <c r="D8266" i="2"/>
  <c r="C8266" i="2"/>
  <c r="B8266" i="2"/>
  <c r="A8266" i="2"/>
  <c r="U8265" i="2"/>
  <c r="N8265" i="2"/>
  <c r="M8265" i="2"/>
  <c r="J8265" i="2"/>
  <c r="I8265" i="2"/>
  <c r="H8265" i="2"/>
  <c r="G8265" i="2"/>
  <c r="F8265" i="2"/>
  <c r="E8265" i="2"/>
  <c r="D8265" i="2"/>
  <c r="C8265" i="2"/>
  <c r="B8265" i="2"/>
  <c r="A8265" i="2"/>
  <c r="U8264" i="2"/>
  <c r="N8264" i="2"/>
  <c r="M8264" i="2"/>
  <c r="J8264" i="2"/>
  <c r="I8264" i="2"/>
  <c r="H8264" i="2"/>
  <c r="G8264" i="2"/>
  <c r="F8264" i="2"/>
  <c r="E8264" i="2"/>
  <c r="D8264" i="2"/>
  <c r="C8264" i="2"/>
  <c r="B8264" i="2"/>
  <c r="A8264" i="2"/>
  <c r="U8263" i="2"/>
  <c r="N8263" i="2"/>
  <c r="M8263" i="2"/>
  <c r="J8263" i="2"/>
  <c r="I8263" i="2"/>
  <c r="H8263" i="2"/>
  <c r="G8263" i="2"/>
  <c r="F8263" i="2"/>
  <c r="E8263" i="2"/>
  <c r="D8263" i="2"/>
  <c r="C8263" i="2"/>
  <c r="B8263" i="2"/>
  <c r="A8263" i="2"/>
  <c r="U8262" i="2"/>
  <c r="N8262" i="2"/>
  <c r="M8262" i="2"/>
  <c r="J8262" i="2"/>
  <c r="I8262" i="2"/>
  <c r="H8262" i="2"/>
  <c r="G8262" i="2"/>
  <c r="F8262" i="2"/>
  <c r="E8262" i="2"/>
  <c r="D8262" i="2"/>
  <c r="C8262" i="2"/>
  <c r="B8262" i="2"/>
  <c r="A8262" i="2"/>
  <c r="R8261" i="2"/>
  <c r="Q8261" i="2"/>
  <c r="N8261" i="2"/>
  <c r="M8261" i="2"/>
  <c r="J8261" i="2"/>
  <c r="I8261" i="2"/>
  <c r="H8261" i="2"/>
  <c r="G8261" i="2"/>
  <c r="F8261" i="2"/>
  <c r="E8261" i="2"/>
  <c r="D8261" i="2"/>
  <c r="C8261" i="2"/>
  <c r="B8261" i="2"/>
  <c r="A8261" i="2"/>
  <c r="Q8260" i="2"/>
  <c r="U8260" i="2" s="1"/>
  <c r="N8260" i="2"/>
  <c r="M8260" i="2"/>
  <c r="J8260" i="2"/>
  <c r="I8260" i="2"/>
  <c r="H8260" i="2"/>
  <c r="G8260" i="2"/>
  <c r="F8260" i="2"/>
  <c r="E8260" i="2"/>
  <c r="D8260" i="2"/>
  <c r="C8260" i="2"/>
  <c r="B8260" i="2"/>
  <c r="A8260" i="2"/>
  <c r="U8259" i="2"/>
  <c r="N8259" i="2"/>
  <c r="M8259" i="2"/>
  <c r="J8259" i="2"/>
  <c r="I8259" i="2"/>
  <c r="H8259" i="2"/>
  <c r="G8259" i="2"/>
  <c r="F8259" i="2"/>
  <c r="E8259" i="2"/>
  <c r="D8259" i="2"/>
  <c r="C8259" i="2"/>
  <c r="B8259" i="2"/>
  <c r="A8259" i="2"/>
  <c r="U8258" i="2"/>
  <c r="N8258" i="2"/>
  <c r="M8258" i="2"/>
  <c r="J8258" i="2"/>
  <c r="I8258" i="2"/>
  <c r="H8258" i="2"/>
  <c r="G8258" i="2"/>
  <c r="F8258" i="2"/>
  <c r="E8258" i="2"/>
  <c r="D8258" i="2"/>
  <c r="C8258" i="2"/>
  <c r="B8258" i="2"/>
  <c r="A8258" i="2"/>
  <c r="Q8257" i="2"/>
  <c r="U8257" i="2" s="1"/>
  <c r="N8257" i="2"/>
  <c r="M8257" i="2"/>
  <c r="J8257" i="2"/>
  <c r="I8257" i="2"/>
  <c r="H8257" i="2"/>
  <c r="G8257" i="2"/>
  <c r="F8257" i="2"/>
  <c r="E8257" i="2"/>
  <c r="D8257" i="2"/>
  <c r="C8257" i="2"/>
  <c r="B8257" i="2"/>
  <c r="A8257" i="2"/>
  <c r="U8256" i="2"/>
  <c r="N8256" i="2"/>
  <c r="M8256" i="2"/>
  <c r="J8256" i="2"/>
  <c r="I8256" i="2"/>
  <c r="H8256" i="2"/>
  <c r="G8256" i="2"/>
  <c r="F8256" i="2"/>
  <c r="E8256" i="2"/>
  <c r="D8256" i="2"/>
  <c r="C8256" i="2"/>
  <c r="B8256" i="2"/>
  <c r="A8256" i="2"/>
  <c r="U8255" i="2"/>
  <c r="N8255" i="2"/>
  <c r="M8255" i="2"/>
  <c r="J8255" i="2"/>
  <c r="I8255" i="2"/>
  <c r="H8255" i="2"/>
  <c r="G8255" i="2"/>
  <c r="F8255" i="2"/>
  <c r="E8255" i="2"/>
  <c r="D8255" i="2"/>
  <c r="C8255" i="2"/>
  <c r="B8255" i="2"/>
  <c r="A8255" i="2"/>
  <c r="U8254" i="2"/>
  <c r="N8254" i="2"/>
  <c r="M8254" i="2"/>
  <c r="J8254" i="2"/>
  <c r="I8254" i="2"/>
  <c r="H8254" i="2"/>
  <c r="G8254" i="2"/>
  <c r="F8254" i="2"/>
  <c r="E8254" i="2"/>
  <c r="D8254" i="2"/>
  <c r="C8254" i="2"/>
  <c r="B8254" i="2"/>
  <c r="A8254" i="2"/>
  <c r="U8253" i="2"/>
  <c r="N8253" i="2"/>
  <c r="M8253" i="2"/>
  <c r="J8253" i="2"/>
  <c r="I8253" i="2"/>
  <c r="H8253" i="2"/>
  <c r="G8253" i="2"/>
  <c r="F8253" i="2"/>
  <c r="E8253" i="2"/>
  <c r="D8253" i="2"/>
  <c r="C8253" i="2"/>
  <c r="B8253" i="2"/>
  <c r="A8253" i="2"/>
  <c r="U8252" i="2"/>
  <c r="N8252" i="2"/>
  <c r="M8252" i="2"/>
  <c r="J8252" i="2"/>
  <c r="I8252" i="2"/>
  <c r="H8252" i="2"/>
  <c r="G8252" i="2"/>
  <c r="F8252" i="2"/>
  <c r="E8252" i="2"/>
  <c r="D8252" i="2"/>
  <c r="C8252" i="2"/>
  <c r="B8252" i="2"/>
  <c r="A8252" i="2"/>
  <c r="U8251" i="2"/>
  <c r="N8251" i="2"/>
  <c r="M8251" i="2"/>
  <c r="J8251" i="2"/>
  <c r="I8251" i="2"/>
  <c r="H8251" i="2"/>
  <c r="G8251" i="2"/>
  <c r="F8251" i="2"/>
  <c r="E8251" i="2"/>
  <c r="D8251" i="2"/>
  <c r="C8251" i="2"/>
  <c r="B8251" i="2"/>
  <c r="A8251" i="2"/>
  <c r="U8250" i="2"/>
  <c r="N8250" i="2"/>
  <c r="M8250" i="2"/>
  <c r="J8250" i="2"/>
  <c r="I8250" i="2"/>
  <c r="H8250" i="2"/>
  <c r="G8250" i="2"/>
  <c r="F8250" i="2"/>
  <c r="E8250" i="2"/>
  <c r="D8250" i="2"/>
  <c r="C8250" i="2"/>
  <c r="B8250" i="2"/>
  <c r="A8250" i="2"/>
  <c r="U8249" i="2"/>
  <c r="N8249" i="2"/>
  <c r="M8249" i="2"/>
  <c r="J8249" i="2"/>
  <c r="I8249" i="2"/>
  <c r="H8249" i="2"/>
  <c r="G8249" i="2"/>
  <c r="F8249" i="2"/>
  <c r="E8249" i="2"/>
  <c r="D8249" i="2"/>
  <c r="C8249" i="2"/>
  <c r="B8249" i="2"/>
  <c r="A8249" i="2"/>
  <c r="U8248" i="2"/>
  <c r="N8248" i="2"/>
  <c r="M8248" i="2"/>
  <c r="J8248" i="2"/>
  <c r="I8248" i="2"/>
  <c r="H8248" i="2"/>
  <c r="G8248" i="2"/>
  <c r="F8248" i="2"/>
  <c r="E8248" i="2"/>
  <c r="D8248" i="2"/>
  <c r="C8248" i="2"/>
  <c r="B8248" i="2"/>
  <c r="A8248" i="2"/>
  <c r="U8247" i="2"/>
  <c r="N8247" i="2"/>
  <c r="M8247" i="2"/>
  <c r="J8247" i="2"/>
  <c r="I8247" i="2"/>
  <c r="H8247" i="2"/>
  <c r="G8247" i="2"/>
  <c r="F8247" i="2"/>
  <c r="E8247" i="2"/>
  <c r="D8247" i="2"/>
  <c r="C8247" i="2"/>
  <c r="B8247" i="2"/>
  <c r="A8247" i="2"/>
  <c r="U8246" i="2"/>
  <c r="N8246" i="2"/>
  <c r="M8246" i="2"/>
  <c r="J8246" i="2"/>
  <c r="I8246" i="2"/>
  <c r="H8246" i="2"/>
  <c r="G8246" i="2"/>
  <c r="F8246" i="2"/>
  <c r="E8246" i="2"/>
  <c r="D8246" i="2"/>
  <c r="C8246" i="2"/>
  <c r="B8246" i="2"/>
  <c r="A8246" i="2"/>
  <c r="U8245" i="2"/>
  <c r="N8245" i="2"/>
  <c r="M8245" i="2"/>
  <c r="J8245" i="2"/>
  <c r="I8245" i="2"/>
  <c r="H8245" i="2"/>
  <c r="G8245" i="2"/>
  <c r="F8245" i="2"/>
  <c r="E8245" i="2"/>
  <c r="D8245" i="2"/>
  <c r="C8245" i="2"/>
  <c r="B8245" i="2"/>
  <c r="A8245" i="2"/>
  <c r="U8244" i="2"/>
  <c r="N8244" i="2"/>
  <c r="M8244" i="2"/>
  <c r="J8244" i="2"/>
  <c r="I8244" i="2"/>
  <c r="H8244" i="2"/>
  <c r="G8244" i="2"/>
  <c r="F8244" i="2"/>
  <c r="E8244" i="2"/>
  <c r="D8244" i="2"/>
  <c r="C8244" i="2"/>
  <c r="B8244" i="2"/>
  <c r="A8244" i="2"/>
  <c r="U8243" i="2"/>
  <c r="N8243" i="2"/>
  <c r="M8243" i="2"/>
  <c r="J8243" i="2"/>
  <c r="I8243" i="2"/>
  <c r="H8243" i="2"/>
  <c r="G8243" i="2"/>
  <c r="F8243" i="2"/>
  <c r="E8243" i="2"/>
  <c r="D8243" i="2"/>
  <c r="C8243" i="2"/>
  <c r="B8243" i="2"/>
  <c r="A8243" i="2"/>
  <c r="U8242" i="2"/>
  <c r="N8242" i="2"/>
  <c r="M8242" i="2"/>
  <c r="J8242" i="2"/>
  <c r="I8242" i="2"/>
  <c r="H8242" i="2"/>
  <c r="G8242" i="2"/>
  <c r="F8242" i="2"/>
  <c r="E8242" i="2"/>
  <c r="D8242" i="2"/>
  <c r="C8242" i="2"/>
  <c r="B8242" i="2"/>
  <c r="A8242" i="2"/>
  <c r="U8241" i="2"/>
  <c r="N8241" i="2"/>
  <c r="M8241" i="2"/>
  <c r="J8241" i="2"/>
  <c r="I8241" i="2"/>
  <c r="H8241" i="2"/>
  <c r="G8241" i="2"/>
  <c r="F8241" i="2"/>
  <c r="E8241" i="2"/>
  <c r="D8241" i="2"/>
  <c r="C8241" i="2"/>
  <c r="B8241" i="2"/>
  <c r="A8241" i="2"/>
  <c r="U8240" i="2"/>
  <c r="N8240" i="2"/>
  <c r="M8240" i="2"/>
  <c r="J8240" i="2"/>
  <c r="I8240" i="2"/>
  <c r="H8240" i="2"/>
  <c r="G8240" i="2"/>
  <c r="F8240" i="2"/>
  <c r="E8240" i="2"/>
  <c r="D8240" i="2"/>
  <c r="C8240" i="2"/>
  <c r="B8240" i="2"/>
  <c r="A8240" i="2"/>
  <c r="U8239" i="2"/>
  <c r="N8239" i="2"/>
  <c r="M8239" i="2"/>
  <c r="J8239" i="2"/>
  <c r="I8239" i="2"/>
  <c r="H8239" i="2"/>
  <c r="G8239" i="2"/>
  <c r="F8239" i="2"/>
  <c r="E8239" i="2"/>
  <c r="D8239" i="2"/>
  <c r="C8239" i="2"/>
  <c r="B8239" i="2"/>
  <c r="A8239" i="2"/>
  <c r="U8238" i="2"/>
  <c r="N8238" i="2"/>
  <c r="M8238" i="2"/>
  <c r="J8238" i="2"/>
  <c r="I8238" i="2"/>
  <c r="H8238" i="2"/>
  <c r="G8238" i="2"/>
  <c r="F8238" i="2"/>
  <c r="E8238" i="2"/>
  <c r="D8238" i="2"/>
  <c r="C8238" i="2"/>
  <c r="B8238" i="2"/>
  <c r="A8238" i="2"/>
  <c r="U8237" i="2"/>
  <c r="N8237" i="2"/>
  <c r="M8237" i="2"/>
  <c r="J8237" i="2"/>
  <c r="I8237" i="2"/>
  <c r="H8237" i="2"/>
  <c r="G8237" i="2"/>
  <c r="F8237" i="2"/>
  <c r="E8237" i="2"/>
  <c r="D8237" i="2"/>
  <c r="C8237" i="2"/>
  <c r="B8237" i="2"/>
  <c r="A8237" i="2"/>
  <c r="U8236" i="2"/>
  <c r="N8236" i="2"/>
  <c r="M8236" i="2"/>
  <c r="J8236" i="2"/>
  <c r="I8236" i="2"/>
  <c r="H8236" i="2"/>
  <c r="G8236" i="2"/>
  <c r="F8236" i="2"/>
  <c r="E8236" i="2"/>
  <c r="D8236" i="2"/>
  <c r="C8236" i="2"/>
  <c r="B8236" i="2"/>
  <c r="A8236" i="2"/>
  <c r="Q8235" i="2"/>
  <c r="U8235" i="2" s="1"/>
  <c r="N8235" i="2"/>
  <c r="M8235" i="2"/>
  <c r="J8235" i="2"/>
  <c r="I8235" i="2"/>
  <c r="H8235" i="2"/>
  <c r="G8235" i="2"/>
  <c r="F8235" i="2"/>
  <c r="E8235" i="2"/>
  <c r="D8235" i="2"/>
  <c r="C8235" i="2"/>
  <c r="B8235" i="2"/>
  <c r="A8235" i="2"/>
  <c r="R8234" i="2"/>
  <c r="Q8234" i="2"/>
  <c r="N8234" i="2"/>
  <c r="M8234" i="2"/>
  <c r="J8234" i="2"/>
  <c r="I8234" i="2"/>
  <c r="H8234" i="2"/>
  <c r="G8234" i="2"/>
  <c r="F8234" i="2"/>
  <c r="E8234" i="2"/>
  <c r="D8234" i="2"/>
  <c r="C8234" i="2"/>
  <c r="B8234" i="2"/>
  <c r="A8234" i="2"/>
  <c r="Q8233" i="2"/>
  <c r="U8233" i="2" s="1"/>
  <c r="N8233" i="2"/>
  <c r="M8233" i="2"/>
  <c r="J8233" i="2"/>
  <c r="I8233" i="2"/>
  <c r="H8233" i="2"/>
  <c r="G8233" i="2"/>
  <c r="F8233" i="2"/>
  <c r="E8233" i="2"/>
  <c r="D8233" i="2"/>
  <c r="C8233" i="2"/>
  <c r="B8233" i="2"/>
  <c r="A8233" i="2"/>
  <c r="R8232" i="2"/>
  <c r="Q8232" i="2"/>
  <c r="N8232" i="2"/>
  <c r="M8232" i="2"/>
  <c r="J8232" i="2"/>
  <c r="I8232" i="2"/>
  <c r="H8232" i="2"/>
  <c r="G8232" i="2"/>
  <c r="F8232" i="2"/>
  <c r="E8232" i="2"/>
  <c r="D8232" i="2"/>
  <c r="C8232" i="2"/>
  <c r="B8232" i="2"/>
  <c r="A8232" i="2"/>
  <c r="Q8231" i="2"/>
  <c r="U8231" i="2" s="1"/>
  <c r="N8231" i="2"/>
  <c r="M8231" i="2"/>
  <c r="J8231" i="2"/>
  <c r="I8231" i="2"/>
  <c r="H8231" i="2"/>
  <c r="G8231" i="2"/>
  <c r="F8231" i="2"/>
  <c r="E8231" i="2"/>
  <c r="D8231" i="2"/>
  <c r="C8231" i="2"/>
  <c r="B8231" i="2"/>
  <c r="A8231" i="2"/>
  <c r="R8230" i="2"/>
  <c r="Q8230" i="2"/>
  <c r="N8230" i="2"/>
  <c r="M8230" i="2"/>
  <c r="J8230" i="2"/>
  <c r="I8230" i="2"/>
  <c r="H8230" i="2"/>
  <c r="G8230" i="2"/>
  <c r="F8230" i="2"/>
  <c r="E8230" i="2"/>
  <c r="D8230" i="2"/>
  <c r="C8230" i="2"/>
  <c r="B8230" i="2"/>
  <c r="A8230" i="2"/>
  <c r="R8229" i="2"/>
  <c r="U8229" i="2" s="1"/>
  <c r="Q8229" i="2"/>
  <c r="N8229" i="2"/>
  <c r="M8229" i="2"/>
  <c r="J8229" i="2"/>
  <c r="I8229" i="2"/>
  <c r="H8229" i="2"/>
  <c r="G8229" i="2"/>
  <c r="F8229" i="2"/>
  <c r="E8229" i="2"/>
  <c r="D8229" i="2"/>
  <c r="C8229" i="2"/>
  <c r="B8229" i="2"/>
  <c r="A8229" i="2"/>
  <c r="R8228" i="2"/>
  <c r="Q8228" i="2"/>
  <c r="N8228" i="2"/>
  <c r="M8228" i="2"/>
  <c r="J8228" i="2"/>
  <c r="I8228" i="2"/>
  <c r="H8228" i="2"/>
  <c r="G8228" i="2"/>
  <c r="F8228" i="2"/>
  <c r="E8228" i="2"/>
  <c r="D8228" i="2"/>
  <c r="C8228" i="2"/>
  <c r="B8228" i="2"/>
  <c r="A8228" i="2"/>
  <c r="R8227" i="2"/>
  <c r="Q8227" i="2"/>
  <c r="N8227" i="2"/>
  <c r="M8227" i="2"/>
  <c r="J8227" i="2"/>
  <c r="I8227" i="2"/>
  <c r="H8227" i="2"/>
  <c r="G8227" i="2"/>
  <c r="F8227" i="2"/>
  <c r="E8227" i="2"/>
  <c r="D8227" i="2"/>
  <c r="C8227" i="2"/>
  <c r="B8227" i="2"/>
  <c r="A8227" i="2"/>
  <c r="R8226" i="2"/>
  <c r="Q8226" i="2"/>
  <c r="N8226" i="2"/>
  <c r="M8226" i="2"/>
  <c r="J8226" i="2"/>
  <c r="I8226" i="2"/>
  <c r="H8226" i="2"/>
  <c r="G8226" i="2"/>
  <c r="F8226" i="2"/>
  <c r="E8226" i="2"/>
  <c r="D8226" i="2"/>
  <c r="C8226" i="2"/>
  <c r="B8226" i="2"/>
  <c r="A8226" i="2"/>
  <c r="R8225" i="2"/>
  <c r="Q8225" i="2"/>
  <c r="N8225" i="2"/>
  <c r="M8225" i="2"/>
  <c r="J8225" i="2"/>
  <c r="I8225" i="2"/>
  <c r="H8225" i="2"/>
  <c r="G8225" i="2"/>
  <c r="F8225" i="2"/>
  <c r="E8225" i="2"/>
  <c r="D8225" i="2"/>
  <c r="C8225" i="2"/>
  <c r="B8225" i="2"/>
  <c r="A8225" i="2"/>
  <c r="U8224" i="2"/>
  <c r="N8224" i="2"/>
  <c r="M8224" i="2"/>
  <c r="J8224" i="2"/>
  <c r="I8224" i="2"/>
  <c r="H8224" i="2"/>
  <c r="G8224" i="2"/>
  <c r="F8224" i="2"/>
  <c r="E8224" i="2"/>
  <c r="D8224" i="2"/>
  <c r="C8224" i="2"/>
  <c r="B8224" i="2"/>
  <c r="A8224" i="2"/>
  <c r="U8223" i="2"/>
  <c r="N8223" i="2"/>
  <c r="M8223" i="2"/>
  <c r="J8223" i="2"/>
  <c r="I8223" i="2"/>
  <c r="H8223" i="2"/>
  <c r="G8223" i="2"/>
  <c r="F8223" i="2"/>
  <c r="E8223" i="2"/>
  <c r="D8223" i="2"/>
  <c r="C8223" i="2"/>
  <c r="B8223" i="2"/>
  <c r="A8223" i="2"/>
  <c r="U8222" i="2"/>
  <c r="N8222" i="2"/>
  <c r="M8222" i="2"/>
  <c r="J8222" i="2"/>
  <c r="I8222" i="2"/>
  <c r="H8222" i="2"/>
  <c r="G8222" i="2"/>
  <c r="F8222" i="2"/>
  <c r="E8222" i="2"/>
  <c r="D8222" i="2"/>
  <c r="C8222" i="2"/>
  <c r="B8222" i="2"/>
  <c r="A8222" i="2"/>
  <c r="U8221" i="2"/>
  <c r="N8221" i="2"/>
  <c r="M8221" i="2"/>
  <c r="J8221" i="2"/>
  <c r="I8221" i="2"/>
  <c r="H8221" i="2"/>
  <c r="G8221" i="2"/>
  <c r="F8221" i="2"/>
  <c r="E8221" i="2"/>
  <c r="D8221" i="2"/>
  <c r="C8221" i="2"/>
  <c r="B8221" i="2"/>
  <c r="A8221" i="2"/>
  <c r="Q8220" i="2"/>
  <c r="U8220" i="2" s="1"/>
  <c r="N8220" i="2"/>
  <c r="M8220" i="2"/>
  <c r="J8220" i="2"/>
  <c r="I8220" i="2"/>
  <c r="H8220" i="2"/>
  <c r="G8220" i="2"/>
  <c r="F8220" i="2"/>
  <c r="E8220" i="2"/>
  <c r="D8220" i="2"/>
  <c r="C8220" i="2"/>
  <c r="B8220" i="2"/>
  <c r="A8220" i="2"/>
  <c r="U8219" i="2"/>
  <c r="N8219" i="2"/>
  <c r="M8219" i="2"/>
  <c r="J8219" i="2"/>
  <c r="I8219" i="2"/>
  <c r="H8219" i="2"/>
  <c r="G8219" i="2"/>
  <c r="F8219" i="2"/>
  <c r="E8219" i="2"/>
  <c r="D8219" i="2"/>
  <c r="C8219" i="2"/>
  <c r="B8219" i="2"/>
  <c r="A8219" i="2"/>
  <c r="Q8218" i="2"/>
  <c r="U8218" i="2" s="1"/>
  <c r="N8218" i="2"/>
  <c r="M8218" i="2"/>
  <c r="J8218" i="2"/>
  <c r="I8218" i="2"/>
  <c r="H8218" i="2"/>
  <c r="G8218" i="2"/>
  <c r="F8218" i="2"/>
  <c r="E8218" i="2"/>
  <c r="D8218" i="2"/>
  <c r="C8218" i="2"/>
  <c r="B8218" i="2"/>
  <c r="A8218" i="2"/>
  <c r="U8217" i="2"/>
  <c r="N8217" i="2"/>
  <c r="M8217" i="2"/>
  <c r="J8217" i="2"/>
  <c r="I8217" i="2"/>
  <c r="H8217" i="2"/>
  <c r="G8217" i="2"/>
  <c r="F8217" i="2"/>
  <c r="E8217" i="2"/>
  <c r="D8217" i="2"/>
  <c r="C8217" i="2"/>
  <c r="B8217" i="2"/>
  <c r="A8217" i="2"/>
  <c r="U8216" i="2"/>
  <c r="N8216" i="2"/>
  <c r="M8216" i="2"/>
  <c r="J8216" i="2"/>
  <c r="I8216" i="2"/>
  <c r="H8216" i="2"/>
  <c r="G8216" i="2"/>
  <c r="F8216" i="2"/>
  <c r="E8216" i="2"/>
  <c r="D8216" i="2"/>
  <c r="C8216" i="2"/>
  <c r="B8216" i="2"/>
  <c r="A8216" i="2"/>
  <c r="U8215" i="2"/>
  <c r="N8215" i="2"/>
  <c r="M8215" i="2"/>
  <c r="J8215" i="2"/>
  <c r="I8215" i="2"/>
  <c r="H8215" i="2"/>
  <c r="G8215" i="2"/>
  <c r="F8215" i="2"/>
  <c r="E8215" i="2"/>
  <c r="D8215" i="2"/>
  <c r="C8215" i="2"/>
  <c r="B8215" i="2"/>
  <c r="A8215" i="2"/>
  <c r="U8214" i="2"/>
  <c r="N8214" i="2"/>
  <c r="M8214" i="2"/>
  <c r="J8214" i="2"/>
  <c r="I8214" i="2"/>
  <c r="H8214" i="2"/>
  <c r="G8214" i="2"/>
  <c r="F8214" i="2"/>
  <c r="E8214" i="2"/>
  <c r="D8214" i="2"/>
  <c r="C8214" i="2"/>
  <c r="B8214" i="2"/>
  <c r="A8214" i="2"/>
  <c r="U8213" i="2"/>
  <c r="N8213" i="2"/>
  <c r="M8213" i="2"/>
  <c r="J8213" i="2"/>
  <c r="I8213" i="2"/>
  <c r="H8213" i="2"/>
  <c r="G8213" i="2"/>
  <c r="F8213" i="2"/>
  <c r="E8213" i="2"/>
  <c r="D8213" i="2"/>
  <c r="C8213" i="2"/>
  <c r="B8213" i="2"/>
  <c r="A8213" i="2"/>
  <c r="Q8212" i="2"/>
  <c r="U8212" i="2" s="1"/>
  <c r="N8212" i="2"/>
  <c r="M8212" i="2"/>
  <c r="J8212" i="2"/>
  <c r="I8212" i="2"/>
  <c r="H8212" i="2"/>
  <c r="G8212" i="2"/>
  <c r="F8212" i="2"/>
  <c r="E8212" i="2"/>
  <c r="D8212" i="2"/>
  <c r="C8212" i="2"/>
  <c r="B8212" i="2"/>
  <c r="A8212" i="2"/>
  <c r="Q8211" i="2"/>
  <c r="U8211" i="2" s="1"/>
  <c r="N8211" i="2"/>
  <c r="M8211" i="2"/>
  <c r="J8211" i="2"/>
  <c r="I8211" i="2"/>
  <c r="H8211" i="2"/>
  <c r="G8211" i="2"/>
  <c r="F8211" i="2"/>
  <c r="E8211" i="2"/>
  <c r="D8211" i="2"/>
  <c r="C8211" i="2"/>
  <c r="B8211" i="2"/>
  <c r="A8211" i="2"/>
  <c r="U8210" i="2"/>
  <c r="N8210" i="2"/>
  <c r="M8210" i="2"/>
  <c r="J8210" i="2"/>
  <c r="I8210" i="2"/>
  <c r="H8210" i="2"/>
  <c r="G8210" i="2"/>
  <c r="F8210" i="2"/>
  <c r="E8210" i="2"/>
  <c r="D8210" i="2"/>
  <c r="C8210" i="2"/>
  <c r="B8210" i="2"/>
  <c r="A8210" i="2"/>
  <c r="U8209" i="2"/>
  <c r="N8209" i="2"/>
  <c r="M8209" i="2"/>
  <c r="J8209" i="2"/>
  <c r="I8209" i="2"/>
  <c r="H8209" i="2"/>
  <c r="G8209" i="2"/>
  <c r="F8209" i="2"/>
  <c r="E8209" i="2"/>
  <c r="D8209" i="2"/>
  <c r="C8209" i="2"/>
  <c r="B8209" i="2"/>
  <c r="A8209" i="2"/>
  <c r="U8208" i="2"/>
  <c r="N8208" i="2"/>
  <c r="M8208" i="2"/>
  <c r="J8208" i="2"/>
  <c r="I8208" i="2"/>
  <c r="H8208" i="2"/>
  <c r="G8208" i="2"/>
  <c r="F8208" i="2"/>
  <c r="E8208" i="2"/>
  <c r="D8208" i="2"/>
  <c r="C8208" i="2"/>
  <c r="B8208" i="2"/>
  <c r="A8208" i="2"/>
  <c r="U8207" i="2"/>
  <c r="N8207" i="2"/>
  <c r="M8207" i="2"/>
  <c r="J8207" i="2"/>
  <c r="I8207" i="2"/>
  <c r="H8207" i="2"/>
  <c r="G8207" i="2"/>
  <c r="F8207" i="2"/>
  <c r="E8207" i="2"/>
  <c r="D8207" i="2"/>
  <c r="C8207" i="2"/>
  <c r="B8207" i="2"/>
  <c r="A8207" i="2"/>
  <c r="Q8206" i="2"/>
  <c r="U8206" i="2" s="1"/>
  <c r="N8206" i="2"/>
  <c r="M8206" i="2"/>
  <c r="J8206" i="2"/>
  <c r="I8206" i="2"/>
  <c r="H8206" i="2"/>
  <c r="G8206" i="2"/>
  <c r="F8206" i="2"/>
  <c r="E8206" i="2"/>
  <c r="D8206" i="2"/>
  <c r="C8206" i="2"/>
  <c r="B8206" i="2"/>
  <c r="A8206" i="2"/>
  <c r="U8205" i="2"/>
  <c r="N8205" i="2"/>
  <c r="M8205" i="2"/>
  <c r="J8205" i="2"/>
  <c r="I8205" i="2"/>
  <c r="H8205" i="2"/>
  <c r="G8205" i="2"/>
  <c r="F8205" i="2"/>
  <c r="E8205" i="2"/>
  <c r="D8205" i="2"/>
  <c r="C8205" i="2"/>
  <c r="B8205" i="2"/>
  <c r="A8205" i="2"/>
  <c r="U8204" i="2"/>
  <c r="N8204" i="2"/>
  <c r="M8204" i="2"/>
  <c r="J8204" i="2"/>
  <c r="I8204" i="2"/>
  <c r="H8204" i="2"/>
  <c r="G8204" i="2"/>
  <c r="F8204" i="2"/>
  <c r="E8204" i="2"/>
  <c r="D8204" i="2"/>
  <c r="C8204" i="2"/>
  <c r="B8204" i="2"/>
  <c r="A8204" i="2"/>
  <c r="U8203" i="2"/>
  <c r="N8203" i="2"/>
  <c r="M8203" i="2"/>
  <c r="J8203" i="2"/>
  <c r="I8203" i="2"/>
  <c r="H8203" i="2"/>
  <c r="G8203" i="2"/>
  <c r="F8203" i="2"/>
  <c r="E8203" i="2"/>
  <c r="D8203" i="2"/>
  <c r="C8203" i="2"/>
  <c r="B8203" i="2"/>
  <c r="A8203" i="2"/>
  <c r="U8202" i="2"/>
  <c r="N8202" i="2"/>
  <c r="M8202" i="2"/>
  <c r="J8202" i="2"/>
  <c r="I8202" i="2"/>
  <c r="H8202" i="2"/>
  <c r="G8202" i="2"/>
  <c r="F8202" i="2"/>
  <c r="E8202" i="2"/>
  <c r="D8202" i="2"/>
  <c r="C8202" i="2"/>
  <c r="B8202" i="2"/>
  <c r="A8202" i="2"/>
  <c r="Q8201" i="2"/>
  <c r="U8201" i="2" s="1"/>
  <c r="N8201" i="2"/>
  <c r="M8201" i="2"/>
  <c r="J8201" i="2"/>
  <c r="I8201" i="2"/>
  <c r="H8201" i="2"/>
  <c r="G8201" i="2"/>
  <c r="F8201" i="2"/>
  <c r="E8201" i="2"/>
  <c r="D8201" i="2"/>
  <c r="C8201" i="2"/>
  <c r="B8201" i="2"/>
  <c r="A8201" i="2"/>
  <c r="U8200" i="2"/>
  <c r="N8200" i="2"/>
  <c r="M8200" i="2"/>
  <c r="J8200" i="2"/>
  <c r="I8200" i="2"/>
  <c r="H8200" i="2"/>
  <c r="G8200" i="2"/>
  <c r="F8200" i="2"/>
  <c r="E8200" i="2"/>
  <c r="D8200" i="2"/>
  <c r="C8200" i="2"/>
  <c r="B8200" i="2"/>
  <c r="A8200" i="2"/>
  <c r="U8199" i="2"/>
  <c r="N8199" i="2"/>
  <c r="M8199" i="2"/>
  <c r="J8199" i="2"/>
  <c r="I8199" i="2"/>
  <c r="H8199" i="2"/>
  <c r="G8199" i="2"/>
  <c r="F8199" i="2"/>
  <c r="E8199" i="2"/>
  <c r="D8199" i="2"/>
  <c r="C8199" i="2"/>
  <c r="B8199" i="2"/>
  <c r="A8199" i="2"/>
  <c r="U8198" i="2"/>
  <c r="N8198" i="2"/>
  <c r="M8198" i="2"/>
  <c r="J8198" i="2"/>
  <c r="I8198" i="2"/>
  <c r="H8198" i="2"/>
  <c r="G8198" i="2"/>
  <c r="F8198" i="2"/>
  <c r="E8198" i="2"/>
  <c r="D8198" i="2"/>
  <c r="C8198" i="2"/>
  <c r="B8198" i="2"/>
  <c r="A8198" i="2"/>
  <c r="U8197" i="2"/>
  <c r="N8197" i="2"/>
  <c r="M8197" i="2"/>
  <c r="J8197" i="2"/>
  <c r="I8197" i="2"/>
  <c r="H8197" i="2"/>
  <c r="G8197" i="2"/>
  <c r="F8197" i="2"/>
  <c r="E8197" i="2"/>
  <c r="D8197" i="2"/>
  <c r="C8197" i="2"/>
  <c r="B8197" i="2"/>
  <c r="A8197" i="2"/>
  <c r="U8196" i="2"/>
  <c r="N8196" i="2"/>
  <c r="M8196" i="2"/>
  <c r="J8196" i="2"/>
  <c r="I8196" i="2"/>
  <c r="H8196" i="2"/>
  <c r="G8196" i="2"/>
  <c r="F8196" i="2"/>
  <c r="E8196" i="2"/>
  <c r="D8196" i="2"/>
  <c r="C8196" i="2"/>
  <c r="B8196" i="2"/>
  <c r="A8196" i="2"/>
  <c r="U8195" i="2"/>
  <c r="N8195" i="2"/>
  <c r="M8195" i="2"/>
  <c r="J8195" i="2"/>
  <c r="I8195" i="2"/>
  <c r="H8195" i="2"/>
  <c r="G8195" i="2"/>
  <c r="F8195" i="2"/>
  <c r="E8195" i="2"/>
  <c r="D8195" i="2"/>
  <c r="C8195" i="2"/>
  <c r="B8195" i="2"/>
  <c r="A8195" i="2"/>
  <c r="U8194" i="2"/>
  <c r="N8194" i="2"/>
  <c r="M8194" i="2"/>
  <c r="J8194" i="2"/>
  <c r="I8194" i="2"/>
  <c r="H8194" i="2"/>
  <c r="G8194" i="2"/>
  <c r="F8194" i="2"/>
  <c r="E8194" i="2"/>
  <c r="D8194" i="2"/>
  <c r="C8194" i="2"/>
  <c r="B8194" i="2"/>
  <c r="A8194" i="2"/>
  <c r="U8193" i="2"/>
  <c r="N8193" i="2"/>
  <c r="M8193" i="2"/>
  <c r="J8193" i="2"/>
  <c r="I8193" i="2"/>
  <c r="H8193" i="2"/>
  <c r="G8193" i="2"/>
  <c r="F8193" i="2"/>
  <c r="E8193" i="2"/>
  <c r="D8193" i="2"/>
  <c r="C8193" i="2"/>
  <c r="B8193" i="2"/>
  <c r="A8193" i="2"/>
  <c r="U8192" i="2"/>
  <c r="N8192" i="2"/>
  <c r="M8192" i="2"/>
  <c r="J8192" i="2"/>
  <c r="I8192" i="2"/>
  <c r="H8192" i="2"/>
  <c r="G8192" i="2"/>
  <c r="F8192" i="2"/>
  <c r="E8192" i="2"/>
  <c r="D8192" i="2"/>
  <c r="C8192" i="2"/>
  <c r="B8192" i="2"/>
  <c r="A8192" i="2"/>
  <c r="U8191" i="2"/>
  <c r="N8191" i="2"/>
  <c r="M8191" i="2"/>
  <c r="J8191" i="2"/>
  <c r="I8191" i="2"/>
  <c r="H8191" i="2"/>
  <c r="G8191" i="2"/>
  <c r="F8191" i="2"/>
  <c r="E8191" i="2"/>
  <c r="D8191" i="2"/>
  <c r="C8191" i="2"/>
  <c r="B8191" i="2"/>
  <c r="A8191" i="2"/>
  <c r="U8190" i="2"/>
  <c r="N8190" i="2"/>
  <c r="M8190" i="2"/>
  <c r="J8190" i="2"/>
  <c r="I8190" i="2"/>
  <c r="H8190" i="2"/>
  <c r="G8190" i="2"/>
  <c r="F8190" i="2"/>
  <c r="E8190" i="2"/>
  <c r="D8190" i="2"/>
  <c r="C8190" i="2"/>
  <c r="B8190" i="2"/>
  <c r="A8190" i="2"/>
  <c r="Q8189" i="2"/>
  <c r="U8189" i="2" s="1"/>
  <c r="N8189" i="2"/>
  <c r="M8189" i="2"/>
  <c r="J8189" i="2"/>
  <c r="I8189" i="2"/>
  <c r="H8189" i="2"/>
  <c r="G8189" i="2"/>
  <c r="F8189" i="2"/>
  <c r="E8189" i="2"/>
  <c r="D8189" i="2"/>
  <c r="C8189" i="2"/>
  <c r="B8189" i="2"/>
  <c r="A8189" i="2"/>
  <c r="U8188" i="2"/>
  <c r="N8188" i="2"/>
  <c r="M8188" i="2"/>
  <c r="J8188" i="2"/>
  <c r="I8188" i="2"/>
  <c r="H8188" i="2"/>
  <c r="G8188" i="2"/>
  <c r="F8188" i="2"/>
  <c r="E8188" i="2"/>
  <c r="D8188" i="2"/>
  <c r="C8188" i="2"/>
  <c r="B8188" i="2"/>
  <c r="A8188" i="2"/>
  <c r="U8187" i="2"/>
  <c r="N8187" i="2"/>
  <c r="M8187" i="2"/>
  <c r="J8187" i="2"/>
  <c r="I8187" i="2"/>
  <c r="H8187" i="2"/>
  <c r="G8187" i="2"/>
  <c r="F8187" i="2"/>
  <c r="E8187" i="2"/>
  <c r="D8187" i="2"/>
  <c r="C8187" i="2"/>
  <c r="B8187" i="2"/>
  <c r="A8187" i="2"/>
  <c r="U8186" i="2"/>
  <c r="N8186" i="2"/>
  <c r="M8186" i="2"/>
  <c r="J8186" i="2"/>
  <c r="I8186" i="2"/>
  <c r="H8186" i="2"/>
  <c r="G8186" i="2"/>
  <c r="F8186" i="2"/>
  <c r="E8186" i="2"/>
  <c r="D8186" i="2"/>
  <c r="C8186" i="2"/>
  <c r="B8186" i="2"/>
  <c r="A8186" i="2"/>
  <c r="U8185" i="2"/>
  <c r="N8185" i="2"/>
  <c r="M8185" i="2"/>
  <c r="J8185" i="2"/>
  <c r="I8185" i="2"/>
  <c r="H8185" i="2"/>
  <c r="G8185" i="2"/>
  <c r="F8185" i="2"/>
  <c r="E8185" i="2"/>
  <c r="D8185" i="2"/>
  <c r="C8185" i="2"/>
  <c r="B8185" i="2"/>
  <c r="A8185" i="2"/>
  <c r="U8184" i="2"/>
  <c r="N8184" i="2"/>
  <c r="M8184" i="2"/>
  <c r="J8184" i="2"/>
  <c r="I8184" i="2"/>
  <c r="H8184" i="2"/>
  <c r="G8184" i="2"/>
  <c r="F8184" i="2"/>
  <c r="E8184" i="2"/>
  <c r="D8184" i="2"/>
  <c r="C8184" i="2"/>
  <c r="B8184" i="2"/>
  <c r="A8184" i="2"/>
  <c r="U8183" i="2"/>
  <c r="N8183" i="2"/>
  <c r="M8183" i="2"/>
  <c r="J8183" i="2"/>
  <c r="I8183" i="2"/>
  <c r="H8183" i="2"/>
  <c r="G8183" i="2"/>
  <c r="F8183" i="2"/>
  <c r="E8183" i="2"/>
  <c r="D8183" i="2"/>
  <c r="C8183" i="2"/>
  <c r="B8183" i="2"/>
  <c r="A8183" i="2"/>
  <c r="U8182" i="2"/>
  <c r="N8182" i="2"/>
  <c r="M8182" i="2"/>
  <c r="J8182" i="2"/>
  <c r="I8182" i="2"/>
  <c r="H8182" i="2"/>
  <c r="G8182" i="2"/>
  <c r="F8182" i="2"/>
  <c r="E8182" i="2"/>
  <c r="D8182" i="2"/>
  <c r="C8182" i="2"/>
  <c r="B8182" i="2"/>
  <c r="A8182" i="2"/>
  <c r="Q8181" i="2"/>
  <c r="U8181" i="2" s="1"/>
  <c r="N8181" i="2"/>
  <c r="M8181" i="2"/>
  <c r="J8181" i="2"/>
  <c r="I8181" i="2"/>
  <c r="H8181" i="2"/>
  <c r="G8181" i="2"/>
  <c r="F8181" i="2"/>
  <c r="E8181" i="2"/>
  <c r="D8181" i="2"/>
  <c r="C8181" i="2"/>
  <c r="B8181" i="2"/>
  <c r="A8181" i="2"/>
  <c r="U8180" i="2"/>
  <c r="N8180" i="2"/>
  <c r="M8180" i="2"/>
  <c r="J8180" i="2"/>
  <c r="I8180" i="2"/>
  <c r="H8180" i="2"/>
  <c r="G8180" i="2"/>
  <c r="F8180" i="2"/>
  <c r="E8180" i="2"/>
  <c r="D8180" i="2"/>
  <c r="C8180" i="2"/>
  <c r="B8180" i="2"/>
  <c r="A8180" i="2"/>
  <c r="U8179" i="2"/>
  <c r="N8179" i="2"/>
  <c r="M8179" i="2"/>
  <c r="J8179" i="2"/>
  <c r="I8179" i="2"/>
  <c r="H8179" i="2"/>
  <c r="G8179" i="2"/>
  <c r="F8179" i="2"/>
  <c r="E8179" i="2"/>
  <c r="D8179" i="2"/>
  <c r="C8179" i="2"/>
  <c r="B8179" i="2"/>
  <c r="A8179" i="2"/>
  <c r="U8178" i="2"/>
  <c r="N8178" i="2"/>
  <c r="M8178" i="2"/>
  <c r="J8178" i="2"/>
  <c r="I8178" i="2"/>
  <c r="H8178" i="2"/>
  <c r="G8178" i="2"/>
  <c r="F8178" i="2"/>
  <c r="E8178" i="2"/>
  <c r="D8178" i="2"/>
  <c r="C8178" i="2"/>
  <c r="B8178" i="2"/>
  <c r="A8178" i="2"/>
  <c r="U8177" i="2"/>
  <c r="N8177" i="2"/>
  <c r="M8177" i="2"/>
  <c r="J8177" i="2"/>
  <c r="I8177" i="2"/>
  <c r="H8177" i="2"/>
  <c r="G8177" i="2"/>
  <c r="F8177" i="2"/>
  <c r="E8177" i="2"/>
  <c r="D8177" i="2"/>
  <c r="C8177" i="2"/>
  <c r="B8177" i="2"/>
  <c r="A8177" i="2"/>
  <c r="U8176" i="2"/>
  <c r="N8176" i="2"/>
  <c r="M8176" i="2"/>
  <c r="J8176" i="2"/>
  <c r="I8176" i="2"/>
  <c r="H8176" i="2"/>
  <c r="G8176" i="2"/>
  <c r="F8176" i="2"/>
  <c r="E8176" i="2"/>
  <c r="D8176" i="2"/>
  <c r="C8176" i="2"/>
  <c r="B8176" i="2"/>
  <c r="A8176" i="2"/>
  <c r="U8175" i="2"/>
  <c r="N8175" i="2"/>
  <c r="M8175" i="2"/>
  <c r="J8175" i="2"/>
  <c r="I8175" i="2"/>
  <c r="H8175" i="2"/>
  <c r="G8175" i="2"/>
  <c r="F8175" i="2"/>
  <c r="E8175" i="2"/>
  <c r="D8175" i="2"/>
  <c r="C8175" i="2"/>
  <c r="B8175" i="2"/>
  <c r="A8175" i="2"/>
  <c r="U8174" i="2"/>
  <c r="N8174" i="2"/>
  <c r="M8174" i="2"/>
  <c r="J8174" i="2"/>
  <c r="I8174" i="2"/>
  <c r="H8174" i="2"/>
  <c r="G8174" i="2"/>
  <c r="F8174" i="2"/>
  <c r="E8174" i="2"/>
  <c r="D8174" i="2"/>
  <c r="C8174" i="2"/>
  <c r="B8174" i="2"/>
  <c r="A8174" i="2"/>
  <c r="U8173" i="2"/>
  <c r="N8173" i="2"/>
  <c r="M8173" i="2"/>
  <c r="J8173" i="2"/>
  <c r="I8173" i="2"/>
  <c r="H8173" i="2"/>
  <c r="G8173" i="2"/>
  <c r="F8173" i="2"/>
  <c r="E8173" i="2"/>
  <c r="D8173" i="2"/>
  <c r="C8173" i="2"/>
  <c r="B8173" i="2"/>
  <c r="A8173" i="2"/>
  <c r="U8172" i="2"/>
  <c r="N8172" i="2"/>
  <c r="M8172" i="2"/>
  <c r="J8172" i="2"/>
  <c r="I8172" i="2"/>
  <c r="H8172" i="2"/>
  <c r="G8172" i="2"/>
  <c r="F8172" i="2"/>
  <c r="E8172" i="2"/>
  <c r="D8172" i="2"/>
  <c r="C8172" i="2"/>
  <c r="B8172" i="2"/>
  <c r="A8172" i="2"/>
  <c r="U8171" i="2"/>
  <c r="N8171" i="2"/>
  <c r="M8171" i="2"/>
  <c r="J8171" i="2"/>
  <c r="I8171" i="2"/>
  <c r="H8171" i="2"/>
  <c r="G8171" i="2"/>
  <c r="F8171" i="2"/>
  <c r="E8171" i="2"/>
  <c r="D8171" i="2"/>
  <c r="C8171" i="2"/>
  <c r="B8171" i="2"/>
  <c r="A8171" i="2"/>
  <c r="U8170" i="2"/>
  <c r="N8170" i="2"/>
  <c r="M8170" i="2"/>
  <c r="J8170" i="2"/>
  <c r="I8170" i="2"/>
  <c r="H8170" i="2"/>
  <c r="G8170" i="2"/>
  <c r="F8170" i="2"/>
  <c r="E8170" i="2"/>
  <c r="D8170" i="2"/>
  <c r="C8170" i="2"/>
  <c r="B8170" i="2"/>
  <c r="A8170" i="2"/>
  <c r="U8169" i="2"/>
  <c r="N8169" i="2"/>
  <c r="M8169" i="2"/>
  <c r="J8169" i="2"/>
  <c r="I8169" i="2"/>
  <c r="H8169" i="2"/>
  <c r="G8169" i="2"/>
  <c r="F8169" i="2"/>
  <c r="E8169" i="2"/>
  <c r="D8169" i="2"/>
  <c r="C8169" i="2"/>
  <c r="B8169" i="2"/>
  <c r="A8169" i="2"/>
  <c r="U8168" i="2"/>
  <c r="N8168" i="2"/>
  <c r="M8168" i="2"/>
  <c r="J8168" i="2"/>
  <c r="I8168" i="2"/>
  <c r="H8168" i="2"/>
  <c r="G8168" i="2"/>
  <c r="F8168" i="2"/>
  <c r="E8168" i="2"/>
  <c r="D8168" i="2"/>
  <c r="C8168" i="2"/>
  <c r="B8168" i="2"/>
  <c r="A8168" i="2"/>
  <c r="U8167" i="2"/>
  <c r="N8167" i="2"/>
  <c r="M8167" i="2"/>
  <c r="J8167" i="2"/>
  <c r="I8167" i="2"/>
  <c r="H8167" i="2"/>
  <c r="G8167" i="2"/>
  <c r="F8167" i="2"/>
  <c r="E8167" i="2"/>
  <c r="D8167" i="2"/>
  <c r="C8167" i="2"/>
  <c r="B8167" i="2"/>
  <c r="A8167" i="2"/>
  <c r="U8166" i="2"/>
  <c r="N8166" i="2"/>
  <c r="M8166" i="2"/>
  <c r="J8166" i="2"/>
  <c r="I8166" i="2"/>
  <c r="H8166" i="2"/>
  <c r="G8166" i="2"/>
  <c r="F8166" i="2"/>
  <c r="E8166" i="2"/>
  <c r="D8166" i="2"/>
  <c r="C8166" i="2"/>
  <c r="B8166" i="2"/>
  <c r="A8166" i="2"/>
  <c r="Q8165" i="2"/>
  <c r="U8165" i="2" s="1"/>
  <c r="N8165" i="2"/>
  <c r="M8165" i="2"/>
  <c r="J8165" i="2"/>
  <c r="I8165" i="2"/>
  <c r="H8165" i="2"/>
  <c r="G8165" i="2"/>
  <c r="F8165" i="2"/>
  <c r="E8165" i="2"/>
  <c r="D8165" i="2"/>
  <c r="C8165" i="2"/>
  <c r="B8165" i="2"/>
  <c r="A8165" i="2"/>
  <c r="U8164" i="2"/>
  <c r="N8164" i="2"/>
  <c r="M8164" i="2"/>
  <c r="J8164" i="2"/>
  <c r="I8164" i="2"/>
  <c r="H8164" i="2"/>
  <c r="G8164" i="2"/>
  <c r="F8164" i="2"/>
  <c r="E8164" i="2"/>
  <c r="D8164" i="2"/>
  <c r="C8164" i="2"/>
  <c r="B8164" i="2"/>
  <c r="A8164" i="2"/>
  <c r="U8163" i="2"/>
  <c r="N8163" i="2"/>
  <c r="M8163" i="2"/>
  <c r="J8163" i="2"/>
  <c r="I8163" i="2"/>
  <c r="H8163" i="2"/>
  <c r="G8163" i="2"/>
  <c r="F8163" i="2"/>
  <c r="E8163" i="2"/>
  <c r="D8163" i="2"/>
  <c r="C8163" i="2"/>
  <c r="B8163" i="2"/>
  <c r="A8163" i="2"/>
  <c r="U8162" i="2"/>
  <c r="N8162" i="2"/>
  <c r="M8162" i="2"/>
  <c r="J8162" i="2"/>
  <c r="I8162" i="2"/>
  <c r="H8162" i="2"/>
  <c r="G8162" i="2"/>
  <c r="F8162" i="2"/>
  <c r="E8162" i="2"/>
  <c r="D8162" i="2"/>
  <c r="C8162" i="2"/>
  <c r="B8162" i="2"/>
  <c r="A8162" i="2"/>
  <c r="U8161" i="2"/>
  <c r="N8161" i="2"/>
  <c r="M8161" i="2"/>
  <c r="J8161" i="2"/>
  <c r="I8161" i="2"/>
  <c r="H8161" i="2"/>
  <c r="G8161" i="2"/>
  <c r="F8161" i="2"/>
  <c r="E8161" i="2"/>
  <c r="D8161" i="2"/>
  <c r="C8161" i="2"/>
  <c r="B8161" i="2"/>
  <c r="A8161" i="2"/>
  <c r="U8160" i="2"/>
  <c r="N8160" i="2"/>
  <c r="M8160" i="2"/>
  <c r="J8160" i="2"/>
  <c r="I8160" i="2"/>
  <c r="H8160" i="2"/>
  <c r="G8160" i="2"/>
  <c r="F8160" i="2"/>
  <c r="E8160" i="2"/>
  <c r="D8160" i="2"/>
  <c r="C8160" i="2"/>
  <c r="B8160" i="2"/>
  <c r="A8160" i="2"/>
  <c r="U8159" i="2"/>
  <c r="N8159" i="2"/>
  <c r="M8159" i="2"/>
  <c r="J8159" i="2"/>
  <c r="I8159" i="2"/>
  <c r="H8159" i="2"/>
  <c r="G8159" i="2"/>
  <c r="F8159" i="2"/>
  <c r="E8159" i="2"/>
  <c r="D8159" i="2"/>
  <c r="C8159" i="2"/>
  <c r="B8159" i="2"/>
  <c r="A8159" i="2"/>
  <c r="U8158" i="2"/>
  <c r="N8158" i="2"/>
  <c r="M8158" i="2"/>
  <c r="J8158" i="2"/>
  <c r="I8158" i="2"/>
  <c r="H8158" i="2"/>
  <c r="G8158" i="2"/>
  <c r="F8158" i="2"/>
  <c r="E8158" i="2"/>
  <c r="D8158" i="2"/>
  <c r="C8158" i="2"/>
  <c r="B8158" i="2"/>
  <c r="A8158" i="2"/>
  <c r="Q8157" i="2"/>
  <c r="U8157" i="2" s="1"/>
  <c r="N8157" i="2"/>
  <c r="M8157" i="2"/>
  <c r="J8157" i="2"/>
  <c r="I8157" i="2"/>
  <c r="H8157" i="2"/>
  <c r="G8157" i="2"/>
  <c r="F8157" i="2"/>
  <c r="E8157" i="2"/>
  <c r="D8157" i="2"/>
  <c r="C8157" i="2"/>
  <c r="B8157" i="2"/>
  <c r="A8157" i="2"/>
  <c r="U8156" i="2"/>
  <c r="N8156" i="2"/>
  <c r="M8156" i="2"/>
  <c r="J8156" i="2"/>
  <c r="I8156" i="2"/>
  <c r="H8156" i="2"/>
  <c r="G8156" i="2"/>
  <c r="F8156" i="2"/>
  <c r="E8156" i="2"/>
  <c r="D8156" i="2"/>
  <c r="C8156" i="2"/>
  <c r="B8156" i="2"/>
  <c r="A8156" i="2"/>
  <c r="U8155" i="2"/>
  <c r="N8155" i="2"/>
  <c r="M8155" i="2"/>
  <c r="J8155" i="2"/>
  <c r="I8155" i="2"/>
  <c r="H8155" i="2"/>
  <c r="G8155" i="2"/>
  <c r="F8155" i="2"/>
  <c r="E8155" i="2"/>
  <c r="D8155" i="2"/>
  <c r="C8155" i="2"/>
  <c r="B8155" i="2"/>
  <c r="A8155" i="2"/>
  <c r="U8154" i="2"/>
  <c r="N8154" i="2"/>
  <c r="M8154" i="2"/>
  <c r="J8154" i="2"/>
  <c r="I8154" i="2"/>
  <c r="H8154" i="2"/>
  <c r="G8154" i="2"/>
  <c r="F8154" i="2"/>
  <c r="E8154" i="2"/>
  <c r="D8154" i="2"/>
  <c r="C8154" i="2"/>
  <c r="B8154" i="2"/>
  <c r="A8154" i="2"/>
  <c r="U8153" i="2"/>
  <c r="N8153" i="2"/>
  <c r="M8153" i="2"/>
  <c r="J8153" i="2"/>
  <c r="I8153" i="2"/>
  <c r="H8153" i="2"/>
  <c r="G8153" i="2"/>
  <c r="F8153" i="2"/>
  <c r="E8153" i="2"/>
  <c r="D8153" i="2"/>
  <c r="C8153" i="2"/>
  <c r="B8153" i="2"/>
  <c r="A8153" i="2"/>
  <c r="U8152" i="2"/>
  <c r="N8152" i="2"/>
  <c r="M8152" i="2"/>
  <c r="J8152" i="2"/>
  <c r="I8152" i="2"/>
  <c r="H8152" i="2"/>
  <c r="G8152" i="2"/>
  <c r="F8152" i="2"/>
  <c r="E8152" i="2"/>
  <c r="D8152" i="2"/>
  <c r="C8152" i="2"/>
  <c r="B8152" i="2"/>
  <c r="A8152" i="2"/>
  <c r="U8151" i="2"/>
  <c r="N8151" i="2"/>
  <c r="M8151" i="2"/>
  <c r="J8151" i="2"/>
  <c r="I8151" i="2"/>
  <c r="H8151" i="2"/>
  <c r="G8151" i="2"/>
  <c r="F8151" i="2"/>
  <c r="E8151" i="2"/>
  <c r="D8151" i="2"/>
  <c r="C8151" i="2"/>
  <c r="B8151" i="2"/>
  <c r="A8151" i="2"/>
  <c r="U8150" i="2"/>
  <c r="N8150" i="2"/>
  <c r="M8150" i="2"/>
  <c r="J8150" i="2"/>
  <c r="I8150" i="2"/>
  <c r="H8150" i="2"/>
  <c r="G8150" i="2"/>
  <c r="F8150" i="2"/>
  <c r="E8150" i="2"/>
  <c r="D8150" i="2"/>
  <c r="C8150" i="2"/>
  <c r="B8150" i="2"/>
  <c r="A8150" i="2"/>
  <c r="U8149" i="2"/>
  <c r="N8149" i="2"/>
  <c r="M8149" i="2"/>
  <c r="J8149" i="2"/>
  <c r="I8149" i="2"/>
  <c r="H8149" i="2"/>
  <c r="G8149" i="2"/>
  <c r="F8149" i="2"/>
  <c r="E8149" i="2"/>
  <c r="D8149" i="2"/>
  <c r="C8149" i="2"/>
  <c r="B8149" i="2"/>
  <c r="A8149" i="2"/>
  <c r="U8148" i="2"/>
  <c r="N8148" i="2"/>
  <c r="M8148" i="2"/>
  <c r="J8148" i="2"/>
  <c r="I8148" i="2"/>
  <c r="H8148" i="2"/>
  <c r="G8148" i="2"/>
  <c r="F8148" i="2"/>
  <c r="E8148" i="2"/>
  <c r="D8148" i="2"/>
  <c r="C8148" i="2"/>
  <c r="B8148" i="2"/>
  <c r="A8148" i="2"/>
  <c r="U8147" i="2"/>
  <c r="N8147" i="2"/>
  <c r="M8147" i="2"/>
  <c r="J8147" i="2"/>
  <c r="I8147" i="2"/>
  <c r="H8147" i="2"/>
  <c r="G8147" i="2"/>
  <c r="F8147" i="2"/>
  <c r="E8147" i="2"/>
  <c r="D8147" i="2"/>
  <c r="C8147" i="2"/>
  <c r="B8147" i="2"/>
  <c r="A8147" i="2"/>
  <c r="U8146" i="2"/>
  <c r="N8146" i="2"/>
  <c r="M8146" i="2"/>
  <c r="J8146" i="2"/>
  <c r="I8146" i="2"/>
  <c r="H8146" i="2"/>
  <c r="G8146" i="2"/>
  <c r="F8146" i="2"/>
  <c r="E8146" i="2"/>
  <c r="D8146" i="2"/>
  <c r="C8146" i="2"/>
  <c r="B8146" i="2"/>
  <c r="A8146" i="2"/>
  <c r="U8145" i="2"/>
  <c r="N8145" i="2"/>
  <c r="M8145" i="2"/>
  <c r="J8145" i="2"/>
  <c r="I8145" i="2"/>
  <c r="H8145" i="2"/>
  <c r="G8145" i="2"/>
  <c r="F8145" i="2"/>
  <c r="E8145" i="2"/>
  <c r="D8145" i="2"/>
  <c r="C8145" i="2"/>
  <c r="B8145" i="2"/>
  <c r="A8145" i="2"/>
  <c r="U8144" i="2"/>
  <c r="N8144" i="2"/>
  <c r="M8144" i="2"/>
  <c r="J8144" i="2"/>
  <c r="I8144" i="2"/>
  <c r="H8144" i="2"/>
  <c r="G8144" i="2"/>
  <c r="F8144" i="2"/>
  <c r="E8144" i="2"/>
  <c r="D8144" i="2"/>
  <c r="C8144" i="2"/>
  <c r="B8144" i="2"/>
  <c r="A8144" i="2"/>
  <c r="U8143" i="2"/>
  <c r="N8143" i="2"/>
  <c r="M8143" i="2"/>
  <c r="J8143" i="2"/>
  <c r="I8143" i="2"/>
  <c r="H8143" i="2"/>
  <c r="G8143" i="2"/>
  <c r="F8143" i="2"/>
  <c r="E8143" i="2"/>
  <c r="D8143" i="2"/>
  <c r="C8143" i="2"/>
  <c r="B8143" i="2"/>
  <c r="A8143" i="2"/>
  <c r="U8142" i="2"/>
  <c r="N8142" i="2"/>
  <c r="M8142" i="2"/>
  <c r="J8142" i="2"/>
  <c r="I8142" i="2"/>
  <c r="H8142" i="2"/>
  <c r="G8142" i="2"/>
  <c r="F8142" i="2"/>
  <c r="E8142" i="2"/>
  <c r="D8142" i="2"/>
  <c r="C8142" i="2"/>
  <c r="B8142" i="2"/>
  <c r="A8142" i="2"/>
  <c r="U8141" i="2"/>
  <c r="N8141" i="2"/>
  <c r="M8141" i="2"/>
  <c r="J8141" i="2"/>
  <c r="I8141" i="2"/>
  <c r="H8141" i="2"/>
  <c r="G8141" i="2"/>
  <c r="F8141" i="2"/>
  <c r="E8141" i="2"/>
  <c r="D8141" i="2"/>
  <c r="C8141" i="2"/>
  <c r="B8141" i="2"/>
  <c r="A8141" i="2"/>
  <c r="U8140" i="2"/>
  <c r="N8140" i="2"/>
  <c r="M8140" i="2"/>
  <c r="J8140" i="2"/>
  <c r="I8140" i="2"/>
  <c r="H8140" i="2"/>
  <c r="G8140" i="2"/>
  <c r="F8140" i="2"/>
  <c r="E8140" i="2"/>
  <c r="D8140" i="2"/>
  <c r="C8140" i="2"/>
  <c r="B8140" i="2"/>
  <c r="A8140" i="2"/>
  <c r="U8139" i="2"/>
  <c r="N8139" i="2"/>
  <c r="M8139" i="2"/>
  <c r="J8139" i="2"/>
  <c r="I8139" i="2"/>
  <c r="H8139" i="2"/>
  <c r="G8139" i="2"/>
  <c r="F8139" i="2"/>
  <c r="E8139" i="2"/>
  <c r="D8139" i="2"/>
  <c r="C8139" i="2"/>
  <c r="B8139" i="2"/>
  <c r="A8139" i="2"/>
  <c r="U8138" i="2"/>
  <c r="N8138" i="2"/>
  <c r="M8138" i="2"/>
  <c r="J8138" i="2"/>
  <c r="I8138" i="2"/>
  <c r="H8138" i="2"/>
  <c r="G8138" i="2"/>
  <c r="F8138" i="2"/>
  <c r="E8138" i="2"/>
  <c r="D8138" i="2"/>
  <c r="C8138" i="2"/>
  <c r="B8138" i="2"/>
  <c r="A8138" i="2"/>
  <c r="U8137" i="2"/>
  <c r="N8137" i="2"/>
  <c r="M8137" i="2"/>
  <c r="J8137" i="2"/>
  <c r="I8137" i="2"/>
  <c r="H8137" i="2"/>
  <c r="G8137" i="2"/>
  <c r="F8137" i="2"/>
  <c r="E8137" i="2"/>
  <c r="D8137" i="2"/>
  <c r="C8137" i="2"/>
  <c r="B8137" i="2"/>
  <c r="A8137" i="2"/>
  <c r="U8136" i="2"/>
  <c r="N8136" i="2"/>
  <c r="M8136" i="2"/>
  <c r="J8136" i="2"/>
  <c r="I8136" i="2"/>
  <c r="H8136" i="2"/>
  <c r="G8136" i="2"/>
  <c r="F8136" i="2"/>
  <c r="E8136" i="2"/>
  <c r="D8136" i="2"/>
  <c r="C8136" i="2"/>
  <c r="B8136" i="2"/>
  <c r="A8136" i="2"/>
  <c r="U8135" i="2"/>
  <c r="N8135" i="2"/>
  <c r="M8135" i="2"/>
  <c r="J8135" i="2"/>
  <c r="I8135" i="2"/>
  <c r="H8135" i="2"/>
  <c r="G8135" i="2"/>
  <c r="F8135" i="2"/>
  <c r="E8135" i="2"/>
  <c r="D8135" i="2"/>
  <c r="C8135" i="2"/>
  <c r="B8135" i="2"/>
  <c r="A8135" i="2"/>
  <c r="U8134" i="2"/>
  <c r="N8134" i="2"/>
  <c r="M8134" i="2"/>
  <c r="J8134" i="2"/>
  <c r="I8134" i="2"/>
  <c r="H8134" i="2"/>
  <c r="G8134" i="2"/>
  <c r="F8134" i="2"/>
  <c r="E8134" i="2"/>
  <c r="D8134" i="2"/>
  <c r="C8134" i="2"/>
  <c r="B8134" i="2"/>
  <c r="A8134" i="2"/>
  <c r="U8133" i="2"/>
  <c r="N8133" i="2"/>
  <c r="M8133" i="2"/>
  <c r="J8133" i="2"/>
  <c r="I8133" i="2"/>
  <c r="H8133" i="2"/>
  <c r="G8133" i="2"/>
  <c r="F8133" i="2"/>
  <c r="E8133" i="2"/>
  <c r="D8133" i="2"/>
  <c r="C8133" i="2"/>
  <c r="B8133" i="2"/>
  <c r="A8133" i="2"/>
  <c r="Q8132" i="2"/>
  <c r="U8132" i="2" s="1"/>
  <c r="N8132" i="2"/>
  <c r="M8132" i="2"/>
  <c r="J8132" i="2"/>
  <c r="I8132" i="2"/>
  <c r="H8132" i="2"/>
  <c r="G8132" i="2"/>
  <c r="F8132" i="2"/>
  <c r="E8132" i="2"/>
  <c r="D8132" i="2"/>
  <c r="C8132" i="2"/>
  <c r="B8132" i="2"/>
  <c r="A8132" i="2"/>
  <c r="Q8131" i="2"/>
  <c r="U8131" i="2" s="1"/>
  <c r="N8131" i="2"/>
  <c r="M8131" i="2"/>
  <c r="J8131" i="2"/>
  <c r="I8131" i="2"/>
  <c r="H8131" i="2"/>
  <c r="G8131" i="2"/>
  <c r="F8131" i="2"/>
  <c r="E8131" i="2"/>
  <c r="D8131" i="2"/>
  <c r="C8131" i="2"/>
  <c r="B8131" i="2"/>
  <c r="A8131" i="2"/>
  <c r="U8130" i="2"/>
  <c r="N8130" i="2"/>
  <c r="M8130" i="2"/>
  <c r="J8130" i="2"/>
  <c r="I8130" i="2"/>
  <c r="H8130" i="2"/>
  <c r="G8130" i="2"/>
  <c r="F8130" i="2"/>
  <c r="E8130" i="2"/>
  <c r="D8130" i="2"/>
  <c r="C8130" i="2"/>
  <c r="B8130" i="2"/>
  <c r="A8130" i="2"/>
  <c r="U8129" i="2"/>
  <c r="N8129" i="2"/>
  <c r="M8129" i="2"/>
  <c r="J8129" i="2"/>
  <c r="I8129" i="2"/>
  <c r="H8129" i="2"/>
  <c r="G8129" i="2"/>
  <c r="F8129" i="2"/>
  <c r="E8129" i="2"/>
  <c r="D8129" i="2"/>
  <c r="C8129" i="2"/>
  <c r="B8129" i="2"/>
  <c r="A8129" i="2"/>
  <c r="U8128" i="2"/>
  <c r="N8128" i="2"/>
  <c r="M8128" i="2"/>
  <c r="J8128" i="2"/>
  <c r="I8128" i="2"/>
  <c r="H8128" i="2"/>
  <c r="G8128" i="2"/>
  <c r="F8128" i="2"/>
  <c r="E8128" i="2"/>
  <c r="D8128" i="2"/>
  <c r="C8128" i="2"/>
  <c r="B8128" i="2"/>
  <c r="A8128" i="2"/>
  <c r="U8127" i="2"/>
  <c r="N8127" i="2"/>
  <c r="M8127" i="2"/>
  <c r="J8127" i="2"/>
  <c r="I8127" i="2"/>
  <c r="H8127" i="2"/>
  <c r="G8127" i="2"/>
  <c r="F8127" i="2"/>
  <c r="E8127" i="2"/>
  <c r="D8127" i="2"/>
  <c r="C8127" i="2"/>
  <c r="B8127" i="2"/>
  <c r="A8127" i="2"/>
  <c r="U8126" i="2"/>
  <c r="N8126" i="2"/>
  <c r="M8126" i="2"/>
  <c r="J8126" i="2"/>
  <c r="I8126" i="2"/>
  <c r="H8126" i="2"/>
  <c r="G8126" i="2"/>
  <c r="F8126" i="2"/>
  <c r="E8126" i="2"/>
  <c r="D8126" i="2"/>
  <c r="C8126" i="2"/>
  <c r="B8126" i="2"/>
  <c r="A8126" i="2"/>
  <c r="U8125" i="2"/>
  <c r="N8125" i="2"/>
  <c r="M8125" i="2"/>
  <c r="J8125" i="2"/>
  <c r="I8125" i="2"/>
  <c r="H8125" i="2"/>
  <c r="G8125" i="2"/>
  <c r="F8125" i="2"/>
  <c r="E8125" i="2"/>
  <c r="D8125" i="2"/>
  <c r="C8125" i="2"/>
  <c r="B8125" i="2"/>
  <c r="A8125" i="2"/>
  <c r="U8124" i="2"/>
  <c r="N8124" i="2"/>
  <c r="M8124" i="2"/>
  <c r="J8124" i="2"/>
  <c r="I8124" i="2"/>
  <c r="H8124" i="2"/>
  <c r="G8124" i="2"/>
  <c r="F8124" i="2"/>
  <c r="E8124" i="2"/>
  <c r="D8124" i="2"/>
  <c r="C8124" i="2"/>
  <c r="B8124" i="2"/>
  <c r="A8124" i="2"/>
  <c r="Q8123" i="2"/>
  <c r="U8123" i="2" s="1"/>
  <c r="N8123" i="2"/>
  <c r="M8123" i="2"/>
  <c r="J8123" i="2"/>
  <c r="I8123" i="2"/>
  <c r="H8123" i="2"/>
  <c r="G8123" i="2"/>
  <c r="F8123" i="2"/>
  <c r="E8123" i="2"/>
  <c r="D8123" i="2"/>
  <c r="C8123" i="2"/>
  <c r="B8123" i="2"/>
  <c r="A8123" i="2"/>
  <c r="U8122" i="2"/>
  <c r="N8122" i="2"/>
  <c r="M8122" i="2"/>
  <c r="J8122" i="2"/>
  <c r="I8122" i="2"/>
  <c r="H8122" i="2"/>
  <c r="G8122" i="2"/>
  <c r="F8122" i="2"/>
  <c r="E8122" i="2"/>
  <c r="D8122" i="2"/>
  <c r="C8122" i="2"/>
  <c r="B8122" i="2"/>
  <c r="A8122" i="2"/>
  <c r="U8121" i="2"/>
  <c r="N8121" i="2"/>
  <c r="M8121" i="2"/>
  <c r="J8121" i="2"/>
  <c r="I8121" i="2"/>
  <c r="H8121" i="2"/>
  <c r="G8121" i="2"/>
  <c r="F8121" i="2"/>
  <c r="E8121" i="2"/>
  <c r="D8121" i="2"/>
  <c r="C8121" i="2"/>
  <c r="B8121" i="2"/>
  <c r="A8121" i="2"/>
  <c r="U8120" i="2"/>
  <c r="N8120" i="2"/>
  <c r="M8120" i="2"/>
  <c r="J8120" i="2"/>
  <c r="I8120" i="2"/>
  <c r="H8120" i="2"/>
  <c r="G8120" i="2"/>
  <c r="F8120" i="2"/>
  <c r="E8120" i="2"/>
  <c r="D8120" i="2"/>
  <c r="C8120" i="2"/>
  <c r="B8120" i="2"/>
  <c r="A8120" i="2"/>
  <c r="U8119" i="2"/>
  <c r="N8119" i="2"/>
  <c r="M8119" i="2"/>
  <c r="J8119" i="2"/>
  <c r="I8119" i="2"/>
  <c r="H8119" i="2"/>
  <c r="G8119" i="2"/>
  <c r="F8119" i="2"/>
  <c r="E8119" i="2"/>
  <c r="D8119" i="2"/>
  <c r="C8119" i="2"/>
  <c r="B8119" i="2"/>
  <c r="A8119" i="2"/>
  <c r="U8118" i="2"/>
  <c r="N8118" i="2"/>
  <c r="M8118" i="2"/>
  <c r="J8118" i="2"/>
  <c r="I8118" i="2"/>
  <c r="H8118" i="2"/>
  <c r="G8118" i="2"/>
  <c r="F8118" i="2"/>
  <c r="E8118" i="2"/>
  <c r="D8118" i="2"/>
  <c r="C8118" i="2"/>
  <c r="B8118" i="2"/>
  <c r="A8118" i="2"/>
  <c r="U8117" i="2"/>
  <c r="N8117" i="2"/>
  <c r="M8117" i="2"/>
  <c r="J8117" i="2"/>
  <c r="I8117" i="2"/>
  <c r="H8117" i="2"/>
  <c r="G8117" i="2"/>
  <c r="F8117" i="2"/>
  <c r="E8117" i="2"/>
  <c r="D8117" i="2"/>
  <c r="C8117" i="2"/>
  <c r="B8117" i="2"/>
  <c r="A8117" i="2"/>
  <c r="U8116" i="2"/>
  <c r="N8116" i="2"/>
  <c r="M8116" i="2"/>
  <c r="J8116" i="2"/>
  <c r="I8116" i="2"/>
  <c r="H8116" i="2"/>
  <c r="G8116" i="2"/>
  <c r="F8116" i="2"/>
  <c r="E8116" i="2"/>
  <c r="D8116" i="2"/>
  <c r="C8116" i="2"/>
  <c r="B8116" i="2"/>
  <c r="A8116" i="2"/>
  <c r="U8115" i="2"/>
  <c r="N8115" i="2"/>
  <c r="M8115" i="2"/>
  <c r="J8115" i="2"/>
  <c r="I8115" i="2"/>
  <c r="H8115" i="2"/>
  <c r="G8115" i="2"/>
  <c r="F8115" i="2"/>
  <c r="E8115" i="2"/>
  <c r="D8115" i="2"/>
  <c r="C8115" i="2"/>
  <c r="B8115" i="2"/>
  <c r="A8115" i="2"/>
  <c r="U8114" i="2"/>
  <c r="N8114" i="2"/>
  <c r="M8114" i="2"/>
  <c r="J8114" i="2"/>
  <c r="I8114" i="2"/>
  <c r="H8114" i="2"/>
  <c r="G8114" i="2"/>
  <c r="F8114" i="2"/>
  <c r="E8114" i="2"/>
  <c r="D8114" i="2"/>
  <c r="C8114" i="2"/>
  <c r="B8114" i="2"/>
  <c r="A8114" i="2"/>
  <c r="U8113" i="2"/>
  <c r="N8113" i="2"/>
  <c r="M8113" i="2"/>
  <c r="J8113" i="2"/>
  <c r="I8113" i="2"/>
  <c r="H8113" i="2"/>
  <c r="G8113" i="2"/>
  <c r="F8113" i="2"/>
  <c r="E8113" i="2"/>
  <c r="D8113" i="2"/>
  <c r="C8113" i="2"/>
  <c r="B8113" i="2"/>
  <c r="A8113" i="2"/>
  <c r="U8112" i="2"/>
  <c r="N8112" i="2"/>
  <c r="M8112" i="2"/>
  <c r="J8112" i="2"/>
  <c r="I8112" i="2"/>
  <c r="H8112" i="2"/>
  <c r="G8112" i="2"/>
  <c r="F8112" i="2"/>
  <c r="E8112" i="2"/>
  <c r="D8112" i="2"/>
  <c r="C8112" i="2"/>
  <c r="B8112" i="2"/>
  <c r="A8112" i="2"/>
  <c r="U8111" i="2"/>
  <c r="N8111" i="2"/>
  <c r="M8111" i="2"/>
  <c r="J8111" i="2"/>
  <c r="I8111" i="2"/>
  <c r="H8111" i="2"/>
  <c r="G8111" i="2"/>
  <c r="F8111" i="2"/>
  <c r="E8111" i="2"/>
  <c r="D8111" i="2"/>
  <c r="C8111" i="2"/>
  <c r="B8111" i="2"/>
  <c r="A8111" i="2"/>
  <c r="U8110" i="2"/>
  <c r="N8110" i="2"/>
  <c r="M8110" i="2"/>
  <c r="J8110" i="2"/>
  <c r="I8110" i="2"/>
  <c r="H8110" i="2"/>
  <c r="G8110" i="2"/>
  <c r="F8110" i="2"/>
  <c r="E8110" i="2"/>
  <c r="D8110" i="2"/>
  <c r="C8110" i="2"/>
  <c r="B8110" i="2"/>
  <c r="A8110" i="2"/>
  <c r="U8109" i="2"/>
  <c r="N8109" i="2"/>
  <c r="M8109" i="2"/>
  <c r="J8109" i="2"/>
  <c r="I8109" i="2"/>
  <c r="H8109" i="2"/>
  <c r="G8109" i="2"/>
  <c r="F8109" i="2"/>
  <c r="E8109" i="2"/>
  <c r="D8109" i="2"/>
  <c r="C8109" i="2"/>
  <c r="B8109" i="2"/>
  <c r="A8109" i="2"/>
  <c r="U8108" i="2"/>
  <c r="N8108" i="2"/>
  <c r="M8108" i="2"/>
  <c r="J8108" i="2"/>
  <c r="I8108" i="2"/>
  <c r="H8108" i="2"/>
  <c r="G8108" i="2"/>
  <c r="F8108" i="2"/>
  <c r="E8108" i="2"/>
  <c r="D8108" i="2"/>
  <c r="C8108" i="2"/>
  <c r="B8108" i="2"/>
  <c r="A8108" i="2"/>
  <c r="U8107" i="2"/>
  <c r="N8107" i="2"/>
  <c r="M8107" i="2"/>
  <c r="J8107" i="2"/>
  <c r="I8107" i="2"/>
  <c r="H8107" i="2"/>
  <c r="G8107" i="2"/>
  <c r="F8107" i="2"/>
  <c r="E8107" i="2"/>
  <c r="D8107" i="2"/>
  <c r="C8107" i="2"/>
  <c r="B8107" i="2"/>
  <c r="A8107" i="2"/>
  <c r="U8106" i="2"/>
  <c r="N8106" i="2"/>
  <c r="M8106" i="2"/>
  <c r="J8106" i="2"/>
  <c r="I8106" i="2"/>
  <c r="H8106" i="2"/>
  <c r="G8106" i="2"/>
  <c r="F8106" i="2"/>
  <c r="E8106" i="2"/>
  <c r="D8106" i="2"/>
  <c r="C8106" i="2"/>
  <c r="B8106" i="2"/>
  <c r="A8106" i="2"/>
  <c r="U8105" i="2"/>
  <c r="N8105" i="2"/>
  <c r="M8105" i="2"/>
  <c r="J8105" i="2"/>
  <c r="I8105" i="2"/>
  <c r="H8105" i="2"/>
  <c r="G8105" i="2"/>
  <c r="F8105" i="2"/>
  <c r="E8105" i="2"/>
  <c r="D8105" i="2"/>
  <c r="C8105" i="2"/>
  <c r="B8105" i="2"/>
  <c r="A8105" i="2"/>
  <c r="U8104" i="2"/>
  <c r="N8104" i="2"/>
  <c r="M8104" i="2"/>
  <c r="J8104" i="2"/>
  <c r="I8104" i="2"/>
  <c r="H8104" i="2"/>
  <c r="G8104" i="2"/>
  <c r="F8104" i="2"/>
  <c r="E8104" i="2"/>
  <c r="D8104" i="2"/>
  <c r="C8104" i="2"/>
  <c r="B8104" i="2"/>
  <c r="A8104" i="2"/>
  <c r="U8103" i="2"/>
  <c r="N8103" i="2"/>
  <c r="M8103" i="2"/>
  <c r="J8103" i="2"/>
  <c r="I8103" i="2"/>
  <c r="H8103" i="2"/>
  <c r="G8103" i="2"/>
  <c r="F8103" i="2"/>
  <c r="E8103" i="2"/>
  <c r="D8103" i="2"/>
  <c r="C8103" i="2"/>
  <c r="B8103" i="2"/>
  <c r="A8103" i="2"/>
  <c r="U8102" i="2"/>
  <c r="N8102" i="2"/>
  <c r="M8102" i="2"/>
  <c r="J8102" i="2"/>
  <c r="I8102" i="2"/>
  <c r="H8102" i="2"/>
  <c r="G8102" i="2"/>
  <c r="F8102" i="2"/>
  <c r="E8102" i="2"/>
  <c r="D8102" i="2"/>
  <c r="C8102" i="2"/>
  <c r="B8102" i="2"/>
  <c r="A8102" i="2"/>
  <c r="U8101" i="2"/>
  <c r="N8101" i="2"/>
  <c r="M8101" i="2"/>
  <c r="J8101" i="2"/>
  <c r="I8101" i="2"/>
  <c r="H8101" i="2"/>
  <c r="G8101" i="2"/>
  <c r="F8101" i="2"/>
  <c r="E8101" i="2"/>
  <c r="D8101" i="2"/>
  <c r="C8101" i="2"/>
  <c r="B8101" i="2"/>
  <c r="A8101" i="2"/>
  <c r="U8100" i="2"/>
  <c r="N8100" i="2"/>
  <c r="M8100" i="2"/>
  <c r="J8100" i="2"/>
  <c r="I8100" i="2"/>
  <c r="H8100" i="2"/>
  <c r="G8100" i="2"/>
  <c r="F8100" i="2"/>
  <c r="E8100" i="2"/>
  <c r="D8100" i="2"/>
  <c r="C8100" i="2"/>
  <c r="B8100" i="2"/>
  <c r="A8100" i="2"/>
  <c r="U8099" i="2"/>
  <c r="N8099" i="2"/>
  <c r="M8099" i="2"/>
  <c r="J8099" i="2"/>
  <c r="I8099" i="2"/>
  <c r="H8099" i="2"/>
  <c r="G8099" i="2"/>
  <c r="F8099" i="2"/>
  <c r="E8099" i="2"/>
  <c r="D8099" i="2"/>
  <c r="C8099" i="2"/>
  <c r="B8099" i="2"/>
  <c r="A8099" i="2"/>
  <c r="U8098" i="2"/>
  <c r="N8098" i="2"/>
  <c r="M8098" i="2"/>
  <c r="J8098" i="2"/>
  <c r="I8098" i="2"/>
  <c r="H8098" i="2"/>
  <c r="G8098" i="2"/>
  <c r="F8098" i="2"/>
  <c r="E8098" i="2"/>
  <c r="D8098" i="2"/>
  <c r="C8098" i="2"/>
  <c r="B8098" i="2"/>
  <c r="A8098" i="2"/>
  <c r="U8097" i="2"/>
  <c r="N8097" i="2"/>
  <c r="M8097" i="2"/>
  <c r="J8097" i="2"/>
  <c r="I8097" i="2"/>
  <c r="H8097" i="2"/>
  <c r="G8097" i="2"/>
  <c r="F8097" i="2"/>
  <c r="E8097" i="2"/>
  <c r="D8097" i="2"/>
  <c r="C8097" i="2"/>
  <c r="B8097" i="2"/>
  <c r="A8097" i="2"/>
  <c r="U8096" i="2"/>
  <c r="N8096" i="2"/>
  <c r="M8096" i="2"/>
  <c r="J8096" i="2"/>
  <c r="I8096" i="2"/>
  <c r="H8096" i="2"/>
  <c r="G8096" i="2"/>
  <c r="F8096" i="2"/>
  <c r="E8096" i="2"/>
  <c r="D8096" i="2"/>
  <c r="C8096" i="2"/>
  <c r="B8096" i="2"/>
  <c r="A8096" i="2"/>
  <c r="U8095" i="2"/>
  <c r="N8095" i="2"/>
  <c r="M8095" i="2"/>
  <c r="J8095" i="2"/>
  <c r="I8095" i="2"/>
  <c r="H8095" i="2"/>
  <c r="G8095" i="2"/>
  <c r="F8095" i="2"/>
  <c r="E8095" i="2"/>
  <c r="D8095" i="2"/>
  <c r="C8095" i="2"/>
  <c r="B8095" i="2"/>
  <c r="A8095" i="2"/>
  <c r="U8094" i="2"/>
  <c r="N8094" i="2"/>
  <c r="M8094" i="2"/>
  <c r="J8094" i="2"/>
  <c r="I8094" i="2"/>
  <c r="H8094" i="2"/>
  <c r="G8094" i="2"/>
  <c r="F8094" i="2"/>
  <c r="E8094" i="2"/>
  <c r="D8094" i="2"/>
  <c r="C8094" i="2"/>
  <c r="B8094" i="2"/>
  <c r="A8094" i="2"/>
  <c r="U8093" i="2"/>
  <c r="N8093" i="2"/>
  <c r="M8093" i="2"/>
  <c r="J8093" i="2"/>
  <c r="I8093" i="2"/>
  <c r="H8093" i="2"/>
  <c r="G8093" i="2"/>
  <c r="F8093" i="2"/>
  <c r="E8093" i="2"/>
  <c r="D8093" i="2"/>
  <c r="C8093" i="2"/>
  <c r="B8093" i="2"/>
  <c r="A8093" i="2"/>
  <c r="U8092" i="2"/>
  <c r="N8092" i="2"/>
  <c r="M8092" i="2"/>
  <c r="J8092" i="2"/>
  <c r="I8092" i="2"/>
  <c r="H8092" i="2"/>
  <c r="G8092" i="2"/>
  <c r="F8092" i="2"/>
  <c r="E8092" i="2"/>
  <c r="D8092" i="2"/>
  <c r="C8092" i="2"/>
  <c r="B8092" i="2"/>
  <c r="A8092" i="2"/>
  <c r="U8091" i="2"/>
  <c r="N8091" i="2"/>
  <c r="M8091" i="2"/>
  <c r="J8091" i="2"/>
  <c r="I8091" i="2"/>
  <c r="H8091" i="2"/>
  <c r="G8091" i="2"/>
  <c r="F8091" i="2"/>
  <c r="E8091" i="2"/>
  <c r="D8091" i="2"/>
  <c r="C8091" i="2"/>
  <c r="B8091" i="2"/>
  <c r="A8091" i="2"/>
  <c r="U8090" i="2"/>
  <c r="N8090" i="2"/>
  <c r="M8090" i="2"/>
  <c r="J8090" i="2"/>
  <c r="I8090" i="2"/>
  <c r="H8090" i="2"/>
  <c r="G8090" i="2"/>
  <c r="F8090" i="2"/>
  <c r="E8090" i="2"/>
  <c r="D8090" i="2"/>
  <c r="C8090" i="2"/>
  <c r="B8090" i="2"/>
  <c r="A8090" i="2"/>
  <c r="U8089" i="2"/>
  <c r="N8089" i="2"/>
  <c r="M8089" i="2"/>
  <c r="J8089" i="2"/>
  <c r="I8089" i="2"/>
  <c r="H8089" i="2"/>
  <c r="G8089" i="2"/>
  <c r="F8089" i="2"/>
  <c r="E8089" i="2"/>
  <c r="D8089" i="2"/>
  <c r="C8089" i="2"/>
  <c r="B8089" i="2"/>
  <c r="A8089" i="2"/>
  <c r="U8088" i="2"/>
  <c r="N8088" i="2"/>
  <c r="M8088" i="2"/>
  <c r="J8088" i="2"/>
  <c r="I8088" i="2"/>
  <c r="H8088" i="2"/>
  <c r="G8088" i="2"/>
  <c r="F8088" i="2"/>
  <c r="E8088" i="2"/>
  <c r="D8088" i="2"/>
  <c r="C8088" i="2"/>
  <c r="B8088" i="2"/>
  <c r="A8088" i="2"/>
  <c r="Q8087" i="2"/>
  <c r="U8087" i="2" s="1"/>
  <c r="N8087" i="2"/>
  <c r="M8087" i="2"/>
  <c r="J8087" i="2"/>
  <c r="I8087" i="2"/>
  <c r="H8087" i="2"/>
  <c r="G8087" i="2"/>
  <c r="F8087" i="2"/>
  <c r="E8087" i="2"/>
  <c r="D8087" i="2"/>
  <c r="C8087" i="2"/>
  <c r="B8087" i="2"/>
  <c r="A8087" i="2"/>
  <c r="Q8086" i="2"/>
  <c r="U8086" i="2" s="1"/>
  <c r="N8086" i="2"/>
  <c r="M8086" i="2"/>
  <c r="J8086" i="2"/>
  <c r="I8086" i="2"/>
  <c r="H8086" i="2"/>
  <c r="G8086" i="2"/>
  <c r="F8086" i="2"/>
  <c r="E8086" i="2"/>
  <c r="D8086" i="2"/>
  <c r="C8086" i="2"/>
  <c r="B8086" i="2"/>
  <c r="A8086" i="2"/>
  <c r="Q8085" i="2"/>
  <c r="U8085" i="2" s="1"/>
  <c r="N8085" i="2"/>
  <c r="M8085" i="2"/>
  <c r="J8085" i="2"/>
  <c r="I8085" i="2"/>
  <c r="H8085" i="2"/>
  <c r="G8085" i="2"/>
  <c r="F8085" i="2"/>
  <c r="E8085" i="2"/>
  <c r="D8085" i="2"/>
  <c r="C8085" i="2"/>
  <c r="B8085" i="2"/>
  <c r="A8085" i="2"/>
  <c r="U8084" i="2"/>
  <c r="N8084" i="2"/>
  <c r="M8084" i="2"/>
  <c r="J8084" i="2"/>
  <c r="I8084" i="2"/>
  <c r="H8084" i="2"/>
  <c r="G8084" i="2"/>
  <c r="F8084" i="2"/>
  <c r="E8084" i="2"/>
  <c r="D8084" i="2"/>
  <c r="C8084" i="2"/>
  <c r="B8084" i="2"/>
  <c r="A8084" i="2"/>
  <c r="U8083" i="2"/>
  <c r="N8083" i="2"/>
  <c r="M8083" i="2"/>
  <c r="J8083" i="2"/>
  <c r="I8083" i="2"/>
  <c r="H8083" i="2"/>
  <c r="G8083" i="2"/>
  <c r="F8083" i="2"/>
  <c r="E8083" i="2"/>
  <c r="D8083" i="2"/>
  <c r="C8083" i="2"/>
  <c r="B8083" i="2"/>
  <c r="A8083" i="2"/>
  <c r="U8082" i="2"/>
  <c r="N8082" i="2"/>
  <c r="M8082" i="2"/>
  <c r="J8082" i="2"/>
  <c r="I8082" i="2"/>
  <c r="H8082" i="2"/>
  <c r="G8082" i="2"/>
  <c r="F8082" i="2"/>
  <c r="E8082" i="2"/>
  <c r="D8082" i="2"/>
  <c r="C8082" i="2"/>
  <c r="B8082" i="2"/>
  <c r="A8082" i="2"/>
  <c r="U8081" i="2"/>
  <c r="N8081" i="2"/>
  <c r="M8081" i="2"/>
  <c r="J8081" i="2"/>
  <c r="I8081" i="2"/>
  <c r="H8081" i="2"/>
  <c r="G8081" i="2"/>
  <c r="F8081" i="2"/>
  <c r="E8081" i="2"/>
  <c r="D8081" i="2"/>
  <c r="C8081" i="2"/>
  <c r="B8081" i="2"/>
  <c r="A8081" i="2"/>
  <c r="U8080" i="2"/>
  <c r="N8080" i="2"/>
  <c r="M8080" i="2"/>
  <c r="J8080" i="2"/>
  <c r="I8080" i="2"/>
  <c r="H8080" i="2"/>
  <c r="G8080" i="2"/>
  <c r="F8080" i="2"/>
  <c r="E8080" i="2"/>
  <c r="D8080" i="2"/>
  <c r="C8080" i="2"/>
  <c r="B8080" i="2"/>
  <c r="A8080" i="2"/>
  <c r="U8079" i="2"/>
  <c r="N8079" i="2"/>
  <c r="M8079" i="2"/>
  <c r="J8079" i="2"/>
  <c r="I8079" i="2"/>
  <c r="H8079" i="2"/>
  <c r="G8079" i="2"/>
  <c r="F8079" i="2"/>
  <c r="E8079" i="2"/>
  <c r="D8079" i="2"/>
  <c r="C8079" i="2"/>
  <c r="B8079" i="2"/>
  <c r="A8079" i="2"/>
  <c r="U8078" i="2"/>
  <c r="N8078" i="2"/>
  <c r="M8078" i="2"/>
  <c r="J8078" i="2"/>
  <c r="I8078" i="2"/>
  <c r="H8078" i="2"/>
  <c r="G8078" i="2"/>
  <c r="F8078" i="2"/>
  <c r="E8078" i="2"/>
  <c r="D8078" i="2"/>
  <c r="C8078" i="2"/>
  <c r="B8078" i="2"/>
  <c r="A8078" i="2"/>
  <c r="U8077" i="2"/>
  <c r="N8077" i="2"/>
  <c r="M8077" i="2"/>
  <c r="J8077" i="2"/>
  <c r="I8077" i="2"/>
  <c r="H8077" i="2"/>
  <c r="G8077" i="2"/>
  <c r="F8077" i="2"/>
  <c r="E8077" i="2"/>
  <c r="D8077" i="2"/>
  <c r="C8077" i="2"/>
  <c r="B8077" i="2"/>
  <c r="A8077" i="2"/>
  <c r="U8076" i="2"/>
  <c r="N8076" i="2"/>
  <c r="M8076" i="2"/>
  <c r="J8076" i="2"/>
  <c r="I8076" i="2"/>
  <c r="H8076" i="2"/>
  <c r="G8076" i="2"/>
  <c r="F8076" i="2"/>
  <c r="E8076" i="2"/>
  <c r="D8076" i="2"/>
  <c r="C8076" i="2"/>
  <c r="B8076" i="2"/>
  <c r="A8076" i="2"/>
  <c r="U8075" i="2"/>
  <c r="N8075" i="2"/>
  <c r="M8075" i="2"/>
  <c r="J8075" i="2"/>
  <c r="I8075" i="2"/>
  <c r="H8075" i="2"/>
  <c r="G8075" i="2"/>
  <c r="F8075" i="2"/>
  <c r="E8075" i="2"/>
  <c r="D8075" i="2"/>
  <c r="C8075" i="2"/>
  <c r="B8075" i="2"/>
  <c r="A8075" i="2"/>
  <c r="U8074" i="2"/>
  <c r="N8074" i="2"/>
  <c r="M8074" i="2"/>
  <c r="J8074" i="2"/>
  <c r="I8074" i="2"/>
  <c r="H8074" i="2"/>
  <c r="G8074" i="2"/>
  <c r="F8074" i="2"/>
  <c r="E8074" i="2"/>
  <c r="D8074" i="2"/>
  <c r="C8074" i="2"/>
  <c r="B8074" i="2"/>
  <c r="A8074" i="2"/>
  <c r="U8073" i="2"/>
  <c r="N8073" i="2"/>
  <c r="M8073" i="2"/>
  <c r="J8073" i="2"/>
  <c r="I8073" i="2"/>
  <c r="H8073" i="2"/>
  <c r="G8073" i="2"/>
  <c r="F8073" i="2"/>
  <c r="E8073" i="2"/>
  <c r="D8073" i="2"/>
  <c r="C8073" i="2"/>
  <c r="B8073" i="2"/>
  <c r="A8073" i="2"/>
  <c r="U8072" i="2"/>
  <c r="N8072" i="2"/>
  <c r="M8072" i="2"/>
  <c r="J8072" i="2"/>
  <c r="I8072" i="2"/>
  <c r="H8072" i="2"/>
  <c r="G8072" i="2"/>
  <c r="F8072" i="2"/>
  <c r="E8072" i="2"/>
  <c r="D8072" i="2"/>
  <c r="C8072" i="2"/>
  <c r="B8072" i="2"/>
  <c r="A8072" i="2"/>
  <c r="U8071" i="2"/>
  <c r="N8071" i="2"/>
  <c r="M8071" i="2"/>
  <c r="J8071" i="2"/>
  <c r="I8071" i="2"/>
  <c r="H8071" i="2"/>
  <c r="G8071" i="2"/>
  <c r="F8071" i="2"/>
  <c r="E8071" i="2"/>
  <c r="D8071" i="2"/>
  <c r="C8071" i="2"/>
  <c r="B8071" i="2"/>
  <c r="A8071" i="2"/>
  <c r="U8070" i="2"/>
  <c r="N8070" i="2"/>
  <c r="M8070" i="2"/>
  <c r="J8070" i="2"/>
  <c r="I8070" i="2"/>
  <c r="H8070" i="2"/>
  <c r="G8070" i="2"/>
  <c r="F8070" i="2"/>
  <c r="E8070" i="2"/>
  <c r="D8070" i="2"/>
  <c r="C8070" i="2"/>
  <c r="B8070" i="2"/>
  <c r="A8070" i="2"/>
  <c r="U8069" i="2"/>
  <c r="N8069" i="2"/>
  <c r="M8069" i="2"/>
  <c r="J8069" i="2"/>
  <c r="I8069" i="2"/>
  <c r="H8069" i="2"/>
  <c r="G8069" i="2"/>
  <c r="F8069" i="2"/>
  <c r="E8069" i="2"/>
  <c r="D8069" i="2"/>
  <c r="C8069" i="2"/>
  <c r="B8069" i="2"/>
  <c r="A8069" i="2"/>
  <c r="U8068" i="2"/>
  <c r="N8068" i="2"/>
  <c r="M8068" i="2"/>
  <c r="J8068" i="2"/>
  <c r="I8068" i="2"/>
  <c r="H8068" i="2"/>
  <c r="G8068" i="2"/>
  <c r="F8068" i="2"/>
  <c r="E8068" i="2"/>
  <c r="D8068" i="2"/>
  <c r="C8068" i="2"/>
  <c r="B8068" i="2"/>
  <c r="A8068" i="2"/>
  <c r="U8067" i="2"/>
  <c r="N8067" i="2"/>
  <c r="M8067" i="2"/>
  <c r="J8067" i="2"/>
  <c r="I8067" i="2"/>
  <c r="H8067" i="2"/>
  <c r="G8067" i="2"/>
  <c r="F8067" i="2"/>
  <c r="E8067" i="2"/>
  <c r="D8067" i="2"/>
  <c r="C8067" i="2"/>
  <c r="B8067" i="2"/>
  <c r="A8067" i="2"/>
  <c r="U8066" i="2"/>
  <c r="N8066" i="2"/>
  <c r="M8066" i="2"/>
  <c r="J8066" i="2"/>
  <c r="I8066" i="2"/>
  <c r="H8066" i="2"/>
  <c r="G8066" i="2"/>
  <c r="F8066" i="2"/>
  <c r="E8066" i="2"/>
  <c r="D8066" i="2"/>
  <c r="C8066" i="2"/>
  <c r="B8066" i="2"/>
  <c r="A8066" i="2"/>
  <c r="U8065" i="2"/>
  <c r="N8065" i="2"/>
  <c r="M8065" i="2"/>
  <c r="J8065" i="2"/>
  <c r="I8065" i="2"/>
  <c r="H8065" i="2"/>
  <c r="G8065" i="2"/>
  <c r="F8065" i="2"/>
  <c r="E8065" i="2"/>
  <c r="D8065" i="2"/>
  <c r="C8065" i="2"/>
  <c r="B8065" i="2"/>
  <c r="A8065" i="2"/>
  <c r="U8064" i="2"/>
  <c r="N8064" i="2"/>
  <c r="M8064" i="2"/>
  <c r="J8064" i="2"/>
  <c r="I8064" i="2"/>
  <c r="H8064" i="2"/>
  <c r="G8064" i="2"/>
  <c r="F8064" i="2"/>
  <c r="E8064" i="2"/>
  <c r="D8064" i="2"/>
  <c r="C8064" i="2"/>
  <c r="B8064" i="2"/>
  <c r="A8064" i="2"/>
  <c r="U8063" i="2"/>
  <c r="N8063" i="2"/>
  <c r="M8063" i="2"/>
  <c r="J8063" i="2"/>
  <c r="I8063" i="2"/>
  <c r="H8063" i="2"/>
  <c r="G8063" i="2"/>
  <c r="F8063" i="2"/>
  <c r="E8063" i="2"/>
  <c r="D8063" i="2"/>
  <c r="C8063" i="2"/>
  <c r="B8063" i="2"/>
  <c r="A8063" i="2"/>
  <c r="U8062" i="2"/>
  <c r="N8062" i="2"/>
  <c r="M8062" i="2"/>
  <c r="J8062" i="2"/>
  <c r="I8062" i="2"/>
  <c r="H8062" i="2"/>
  <c r="G8062" i="2"/>
  <c r="F8062" i="2"/>
  <c r="E8062" i="2"/>
  <c r="D8062" i="2"/>
  <c r="C8062" i="2"/>
  <c r="B8062" i="2"/>
  <c r="A8062" i="2"/>
  <c r="U8061" i="2"/>
  <c r="N8061" i="2"/>
  <c r="M8061" i="2"/>
  <c r="J8061" i="2"/>
  <c r="I8061" i="2"/>
  <c r="H8061" i="2"/>
  <c r="G8061" i="2"/>
  <c r="F8061" i="2"/>
  <c r="E8061" i="2"/>
  <c r="D8061" i="2"/>
  <c r="C8061" i="2"/>
  <c r="B8061" i="2"/>
  <c r="A8061" i="2"/>
  <c r="U8060" i="2"/>
  <c r="N8060" i="2"/>
  <c r="M8060" i="2"/>
  <c r="J8060" i="2"/>
  <c r="I8060" i="2"/>
  <c r="H8060" i="2"/>
  <c r="G8060" i="2"/>
  <c r="F8060" i="2"/>
  <c r="E8060" i="2"/>
  <c r="D8060" i="2"/>
  <c r="C8060" i="2"/>
  <c r="B8060" i="2"/>
  <c r="A8060" i="2"/>
  <c r="U8059" i="2"/>
  <c r="N8059" i="2"/>
  <c r="M8059" i="2"/>
  <c r="J8059" i="2"/>
  <c r="I8059" i="2"/>
  <c r="H8059" i="2"/>
  <c r="G8059" i="2"/>
  <c r="F8059" i="2"/>
  <c r="E8059" i="2"/>
  <c r="D8059" i="2"/>
  <c r="C8059" i="2"/>
  <c r="B8059" i="2"/>
  <c r="A8059" i="2"/>
  <c r="U8058" i="2"/>
  <c r="N8058" i="2"/>
  <c r="M8058" i="2"/>
  <c r="J8058" i="2"/>
  <c r="I8058" i="2"/>
  <c r="H8058" i="2"/>
  <c r="G8058" i="2"/>
  <c r="F8058" i="2"/>
  <c r="E8058" i="2"/>
  <c r="D8058" i="2"/>
  <c r="C8058" i="2"/>
  <c r="B8058" i="2"/>
  <c r="A8058" i="2"/>
  <c r="U8057" i="2"/>
  <c r="N8057" i="2"/>
  <c r="M8057" i="2"/>
  <c r="J8057" i="2"/>
  <c r="I8057" i="2"/>
  <c r="H8057" i="2"/>
  <c r="G8057" i="2"/>
  <c r="F8057" i="2"/>
  <c r="E8057" i="2"/>
  <c r="D8057" i="2"/>
  <c r="C8057" i="2"/>
  <c r="B8057" i="2"/>
  <c r="A8057" i="2"/>
  <c r="U8056" i="2"/>
  <c r="N8056" i="2"/>
  <c r="M8056" i="2"/>
  <c r="J8056" i="2"/>
  <c r="I8056" i="2"/>
  <c r="H8056" i="2"/>
  <c r="G8056" i="2"/>
  <c r="F8056" i="2"/>
  <c r="E8056" i="2"/>
  <c r="D8056" i="2"/>
  <c r="C8056" i="2"/>
  <c r="B8056" i="2"/>
  <c r="A8056" i="2"/>
  <c r="U8055" i="2"/>
  <c r="N8055" i="2"/>
  <c r="M8055" i="2"/>
  <c r="J8055" i="2"/>
  <c r="I8055" i="2"/>
  <c r="H8055" i="2"/>
  <c r="G8055" i="2"/>
  <c r="F8055" i="2"/>
  <c r="E8055" i="2"/>
  <c r="D8055" i="2"/>
  <c r="C8055" i="2"/>
  <c r="B8055" i="2"/>
  <c r="A8055" i="2"/>
  <c r="U8054" i="2"/>
  <c r="N8054" i="2"/>
  <c r="M8054" i="2"/>
  <c r="J8054" i="2"/>
  <c r="I8054" i="2"/>
  <c r="H8054" i="2"/>
  <c r="G8054" i="2"/>
  <c r="F8054" i="2"/>
  <c r="E8054" i="2"/>
  <c r="D8054" i="2"/>
  <c r="C8054" i="2"/>
  <c r="B8054" i="2"/>
  <c r="A8054" i="2"/>
  <c r="U8053" i="2"/>
  <c r="N8053" i="2"/>
  <c r="M8053" i="2"/>
  <c r="J8053" i="2"/>
  <c r="I8053" i="2"/>
  <c r="H8053" i="2"/>
  <c r="G8053" i="2"/>
  <c r="F8053" i="2"/>
  <c r="E8053" i="2"/>
  <c r="D8053" i="2"/>
  <c r="C8053" i="2"/>
  <c r="B8053" i="2"/>
  <c r="A8053" i="2"/>
  <c r="U8052" i="2"/>
  <c r="N8052" i="2"/>
  <c r="M8052" i="2"/>
  <c r="J8052" i="2"/>
  <c r="I8052" i="2"/>
  <c r="H8052" i="2"/>
  <c r="G8052" i="2"/>
  <c r="F8052" i="2"/>
  <c r="E8052" i="2"/>
  <c r="D8052" i="2"/>
  <c r="C8052" i="2"/>
  <c r="B8052" i="2"/>
  <c r="A8052" i="2"/>
  <c r="U8051" i="2"/>
  <c r="N8051" i="2"/>
  <c r="M8051" i="2"/>
  <c r="J8051" i="2"/>
  <c r="I8051" i="2"/>
  <c r="H8051" i="2"/>
  <c r="G8051" i="2"/>
  <c r="F8051" i="2"/>
  <c r="E8051" i="2"/>
  <c r="D8051" i="2"/>
  <c r="C8051" i="2"/>
  <c r="B8051" i="2"/>
  <c r="A8051" i="2"/>
  <c r="U8050" i="2"/>
  <c r="N8050" i="2"/>
  <c r="M8050" i="2"/>
  <c r="J8050" i="2"/>
  <c r="I8050" i="2"/>
  <c r="H8050" i="2"/>
  <c r="G8050" i="2"/>
  <c r="F8050" i="2"/>
  <c r="E8050" i="2"/>
  <c r="D8050" i="2"/>
  <c r="C8050" i="2"/>
  <c r="B8050" i="2"/>
  <c r="A8050" i="2"/>
  <c r="U8049" i="2"/>
  <c r="N8049" i="2"/>
  <c r="M8049" i="2"/>
  <c r="J8049" i="2"/>
  <c r="I8049" i="2"/>
  <c r="H8049" i="2"/>
  <c r="G8049" i="2"/>
  <c r="F8049" i="2"/>
  <c r="E8049" i="2"/>
  <c r="D8049" i="2"/>
  <c r="C8049" i="2"/>
  <c r="B8049" i="2"/>
  <c r="A8049" i="2"/>
  <c r="U8048" i="2"/>
  <c r="N8048" i="2"/>
  <c r="M8048" i="2"/>
  <c r="J8048" i="2"/>
  <c r="I8048" i="2"/>
  <c r="H8048" i="2"/>
  <c r="G8048" i="2"/>
  <c r="F8048" i="2"/>
  <c r="E8048" i="2"/>
  <c r="D8048" i="2"/>
  <c r="C8048" i="2"/>
  <c r="B8048" i="2"/>
  <c r="A8048" i="2"/>
  <c r="U8047" i="2"/>
  <c r="N8047" i="2"/>
  <c r="M8047" i="2"/>
  <c r="J8047" i="2"/>
  <c r="I8047" i="2"/>
  <c r="H8047" i="2"/>
  <c r="G8047" i="2"/>
  <c r="F8047" i="2"/>
  <c r="E8047" i="2"/>
  <c r="D8047" i="2"/>
  <c r="C8047" i="2"/>
  <c r="B8047" i="2"/>
  <c r="A8047" i="2"/>
  <c r="U8046" i="2"/>
  <c r="N8046" i="2"/>
  <c r="M8046" i="2"/>
  <c r="J8046" i="2"/>
  <c r="I8046" i="2"/>
  <c r="H8046" i="2"/>
  <c r="G8046" i="2"/>
  <c r="F8046" i="2"/>
  <c r="E8046" i="2"/>
  <c r="D8046" i="2"/>
  <c r="C8046" i="2"/>
  <c r="B8046" i="2"/>
  <c r="A8046" i="2"/>
  <c r="U8045" i="2"/>
  <c r="N8045" i="2"/>
  <c r="M8045" i="2"/>
  <c r="J8045" i="2"/>
  <c r="I8045" i="2"/>
  <c r="H8045" i="2"/>
  <c r="G8045" i="2"/>
  <c r="F8045" i="2"/>
  <c r="E8045" i="2"/>
  <c r="D8045" i="2"/>
  <c r="C8045" i="2"/>
  <c r="B8045" i="2"/>
  <c r="A8045" i="2"/>
  <c r="Q8044" i="2"/>
  <c r="U8044" i="2" s="1"/>
  <c r="N8044" i="2"/>
  <c r="M8044" i="2"/>
  <c r="J8044" i="2"/>
  <c r="I8044" i="2"/>
  <c r="H8044" i="2"/>
  <c r="G8044" i="2"/>
  <c r="F8044" i="2"/>
  <c r="E8044" i="2"/>
  <c r="D8044" i="2"/>
  <c r="C8044" i="2"/>
  <c r="B8044" i="2"/>
  <c r="A8044" i="2"/>
  <c r="U8043" i="2"/>
  <c r="N8043" i="2"/>
  <c r="M8043" i="2"/>
  <c r="J8043" i="2"/>
  <c r="I8043" i="2"/>
  <c r="H8043" i="2"/>
  <c r="G8043" i="2"/>
  <c r="F8043" i="2"/>
  <c r="E8043" i="2"/>
  <c r="D8043" i="2"/>
  <c r="C8043" i="2"/>
  <c r="B8043" i="2"/>
  <c r="A8043" i="2"/>
  <c r="U8042" i="2"/>
  <c r="N8042" i="2"/>
  <c r="M8042" i="2"/>
  <c r="J8042" i="2"/>
  <c r="I8042" i="2"/>
  <c r="H8042" i="2"/>
  <c r="G8042" i="2"/>
  <c r="F8042" i="2"/>
  <c r="E8042" i="2"/>
  <c r="D8042" i="2"/>
  <c r="C8042" i="2"/>
  <c r="B8042" i="2"/>
  <c r="A8042" i="2"/>
  <c r="U8041" i="2"/>
  <c r="N8041" i="2"/>
  <c r="M8041" i="2"/>
  <c r="J8041" i="2"/>
  <c r="I8041" i="2"/>
  <c r="H8041" i="2"/>
  <c r="G8041" i="2"/>
  <c r="F8041" i="2"/>
  <c r="E8041" i="2"/>
  <c r="D8041" i="2"/>
  <c r="C8041" i="2"/>
  <c r="B8041" i="2"/>
  <c r="A8041" i="2"/>
  <c r="U8040" i="2"/>
  <c r="N8040" i="2"/>
  <c r="M8040" i="2"/>
  <c r="J8040" i="2"/>
  <c r="I8040" i="2"/>
  <c r="H8040" i="2"/>
  <c r="G8040" i="2"/>
  <c r="F8040" i="2"/>
  <c r="E8040" i="2"/>
  <c r="D8040" i="2"/>
  <c r="C8040" i="2"/>
  <c r="B8040" i="2"/>
  <c r="A8040" i="2"/>
  <c r="U8039" i="2"/>
  <c r="N8039" i="2"/>
  <c r="M8039" i="2"/>
  <c r="J8039" i="2"/>
  <c r="I8039" i="2"/>
  <c r="H8039" i="2"/>
  <c r="G8039" i="2"/>
  <c r="F8039" i="2"/>
  <c r="E8039" i="2"/>
  <c r="D8039" i="2"/>
  <c r="C8039" i="2"/>
  <c r="B8039" i="2"/>
  <c r="A8039" i="2"/>
  <c r="U8038" i="2"/>
  <c r="N8038" i="2"/>
  <c r="M8038" i="2"/>
  <c r="J8038" i="2"/>
  <c r="I8038" i="2"/>
  <c r="H8038" i="2"/>
  <c r="G8038" i="2"/>
  <c r="F8038" i="2"/>
  <c r="E8038" i="2"/>
  <c r="D8038" i="2"/>
  <c r="C8038" i="2"/>
  <c r="B8038" i="2"/>
  <c r="A8038" i="2"/>
  <c r="U8037" i="2"/>
  <c r="N8037" i="2"/>
  <c r="M8037" i="2"/>
  <c r="J8037" i="2"/>
  <c r="I8037" i="2"/>
  <c r="H8037" i="2"/>
  <c r="G8037" i="2"/>
  <c r="F8037" i="2"/>
  <c r="E8037" i="2"/>
  <c r="D8037" i="2"/>
  <c r="C8037" i="2"/>
  <c r="B8037" i="2"/>
  <c r="A8037" i="2"/>
  <c r="U8036" i="2"/>
  <c r="N8036" i="2"/>
  <c r="M8036" i="2"/>
  <c r="J8036" i="2"/>
  <c r="I8036" i="2"/>
  <c r="H8036" i="2"/>
  <c r="G8036" i="2"/>
  <c r="F8036" i="2"/>
  <c r="E8036" i="2"/>
  <c r="D8036" i="2"/>
  <c r="C8036" i="2"/>
  <c r="B8036" i="2"/>
  <c r="A8036" i="2"/>
  <c r="U8035" i="2"/>
  <c r="N8035" i="2"/>
  <c r="M8035" i="2"/>
  <c r="J8035" i="2"/>
  <c r="I8035" i="2"/>
  <c r="H8035" i="2"/>
  <c r="G8035" i="2"/>
  <c r="F8035" i="2"/>
  <c r="E8035" i="2"/>
  <c r="D8035" i="2"/>
  <c r="C8035" i="2"/>
  <c r="B8035" i="2"/>
  <c r="A8035" i="2"/>
  <c r="U8034" i="2"/>
  <c r="N8034" i="2"/>
  <c r="M8034" i="2"/>
  <c r="J8034" i="2"/>
  <c r="I8034" i="2"/>
  <c r="H8034" i="2"/>
  <c r="G8034" i="2"/>
  <c r="F8034" i="2"/>
  <c r="E8034" i="2"/>
  <c r="D8034" i="2"/>
  <c r="C8034" i="2"/>
  <c r="B8034" i="2"/>
  <c r="A8034" i="2"/>
  <c r="U8033" i="2"/>
  <c r="N8033" i="2"/>
  <c r="M8033" i="2"/>
  <c r="J8033" i="2"/>
  <c r="I8033" i="2"/>
  <c r="H8033" i="2"/>
  <c r="G8033" i="2"/>
  <c r="F8033" i="2"/>
  <c r="E8033" i="2"/>
  <c r="D8033" i="2"/>
  <c r="C8033" i="2"/>
  <c r="B8033" i="2"/>
  <c r="A8033" i="2"/>
  <c r="U8032" i="2"/>
  <c r="N8032" i="2"/>
  <c r="M8032" i="2"/>
  <c r="J8032" i="2"/>
  <c r="I8032" i="2"/>
  <c r="H8032" i="2"/>
  <c r="G8032" i="2"/>
  <c r="F8032" i="2"/>
  <c r="E8032" i="2"/>
  <c r="D8032" i="2"/>
  <c r="C8032" i="2"/>
  <c r="B8032" i="2"/>
  <c r="A8032" i="2"/>
  <c r="U8031" i="2"/>
  <c r="N8031" i="2"/>
  <c r="M8031" i="2"/>
  <c r="J8031" i="2"/>
  <c r="I8031" i="2"/>
  <c r="H8031" i="2"/>
  <c r="G8031" i="2"/>
  <c r="F8031" i="2"/>
  <c r="E8031" i="2"/>
  <c r="D8031" i="2"/>
  <c r="C8031" i="2"/>
  <c r="B8031" i="2"/>
  <c r="A8031" i="2"/>
  <c r="U8030" i="2"/>
  <c r="N8030" i="2"/>
  <c r="M8030" i="2"/>
  <c r="J8030" i="2"/>
  <c r="I8030" i="2"/>
  <c r="H8030" i="2"/>
  <c r="G8030" i="2"/>
  <c r="F8030" i="2"/>
  <c r="E8030" i="2"/>
  <c r="D8030" i="2"/>
  <c r="C8030" i="2"/>
  <c r="B8030" i="2"/>
  <c r="A8030" i="2"/>
  <c r="U8029" i="2"/>
  <c r="N8029" i="2"/>
  <c r="M8029" i="2"/>
  <c r="J8029" i="2"/>
  <c r="I8029" i="2"/>
  <c r="H8029" i="2"/>
  <c r="G8029" i="2"/>
  <c r="F8029" i="2"/>
  <c r="E8029" i="2"/>
  <c r="D8029" i="2"/>
  <c r="C8029" i="2"/>
  <c r="B8029" i="2"/>
  <c r="A8029" i="2"/>
  <c r="U8028" i="2"/>
  <c r="N8028" i="2"/>
  <c r="M8028" i="2"/>
  <c r="J8028" i="2"/>
  <c r="I8028" i="2"/>
  <c r="H8028" i="2"/>
  <c r="G8028" i="2"/>
  <c r="F8028" i="2"/>
  <c r="E8028" i="2"/>
  <c r="D8028" i="2"/>
  <c r="C8028" i="2"/>
  <c r="B8028" i="2"/>
  <c r="A8028" i="2"/>
  <c r="U8027" i="2"/>
  <c r="N8027" i="2"/>
  <c r="M8027" i="2"/>
  <c r="J8027" i="2"/>
  <c r="I8027" i="2"/>
  <c r="H8027" i="2"/>
  <c r="G8027" i="2"/>
  <c r="F8027" i="2"/>
  <c r="E8027" i="2"/>
  <c r="D8027" i="2"/>
  <c r="C8027" i="2"/>
  <c r="B8027" i="2"/>
  <c r="A8027" i="2"/>
  <c r="U8026" i="2"/>
  <c r="N8026" i="2"/>
  <c r="M8026" i="2"/>
  <c r="J8026" i="2"/>
  <c r="I8026" i="2"/>
  <c r="H8026" i="2"/>
  <c r="G8026" i="2"/>
  <c r="F8026" i="2"/>
  <c r="E8026" i="2"/>
  <c r="D8026" i="2"/>
  <c r="C8026" i="2"/>
  <c r="B8026" i="2"/>
  <c r="A8026" i="2"/>
  <c r="U8025" i="2"/>
  <c r="N8025" i="2"/>
  <c r="M8025" i="2"/>
  <c r="J8025" i="2"/>
  <c r="I8025" i="2"/>
  <c r="H8025" i="2"/>
  <c r="G8025" i="2"/>
  <c r="F8025" i="2"/>
  <c r="E8025" i="2"/>
  <c r="D8025" i="2"/>
  <c r="C8025" i="2"/>
  <c r="B8025" i="2"/>
  <c r="A8025" i="2"/>
  <c r="U8024" i="2"/>
  <c r="N8024" i="2"/>
  <c r="M8024" i="2"/>
  <c r="J8024" i="2"/>
  <c r="I8024" i="2"/>
  <c r="H8024" i="2"/>
  <c r="G8024" i="2"/>
  <c r="F8024" i="2"/>
  <c r="E8024" i="2"/>
  <c r="D8024" i="2"/>
  <c r="C8024" i="2"/>
  <c r="B8024" i="2"/>
  <c r="A8024" i="2"/>
  <c r="U8023" i="2"/>
  <c r="N8023" i="2"/>
  <c r="M8023" i="2"/>
  <c r="J8023" i="2"/>
  <c r="I8023" i="2"/>
  <c r="H8023" i="2"/>
  <c r="G8023" i="2"/>
  <c r="F8023" i="2"/>
  <c r="E8023" i="2"/>
  <c r="D8023" i="2"/>
  <c r="C8023" i="2"/>
  <c r="B8023" i="2"/>
  <c r="A8023" i="2"/>
  <c r="U8022" i="2"/>
  <c r="N8022" i="2"/>
  <c r="M8022" i="2"/>
  <c r="J8022" i="2"/>
  <c r="I8022" i="2"/>
  <c r="H8022" i="2"/>
  <c r="G8022" i="2"/>
  <c r="F8022" i="2"/>
  <c r="E8022" i="2"/>
  <c r="D8022" i="2"/>
  <c r="C8022" i="2"/>
  <c r="B8022" i="2"/>
  <c r="A8022" i="2"/>
  <c r="U8021" i="2"/>
  <c r="N8021" i="2"/>
  <c r="M8021" i="2"/>
  <c r="J8021" i="2"/>
  <c r="I8021" i="2"/>
  <c r="H8021" i="2"/>
  <c r="G8021" i="2"/>
  <c r="F8021" i="2"/>
  <c r="E8021" i="2"/>
  <c r="D8021" i="2"/>
  <c r="C8021" i="2"/>
  <c r="B8021" i="2"/>
  <c r="A8021" i="2"/>
  <c r="U8020" i="2"/>
  <c r="N8020" i="2"/>
  <c r="M8020" i="2"/>
  <c r="J8020" i="2"/>
  <c r="I8020" i="2"/>
  <c r="H8020" i="2"/>
  <c r="G8020" i="2"/>
  <c r="F8020" i="2"/>
  <c r="E8020" i="2"/>
  <c r="D8020" i="2"/>
  <c r="C8020" i="2"/>
  <c r="B8020" i="2"/>
  <c r="A8020" i="2"/>
  <c r="U8019" i="2"/>
  <c r="N8019" i="2"/>
  <c r="M8019" i="2"/>
  <c r="J8019" i="2"/>
  <c r="I8019" i="2"/>
  <c r="H8019" i="2"/>
  <c r="G8019" i="2"/>
  <c r="F8019" i="2"/>
  <c r="E8019" i="2"/>
  <c r="D8019" i="2"/>
  <c r="C8019" i="2"/>
  <c r="B8019" i="2"/>
  <c r="A8019" i="2"/>
  <c r="U8018" i="2"/>
  <c r="N8018" i="2"/>
  <c r="M8018" i="2"/>
  <c r="J8018" i="2"/>
  <c r="I8018" i="2"/>
  <c r="H8018" i="2"/>
  <c r="G8018" i="2"/>
  <c r="F8018" i="2"/>
  <c r="E8018" i="2"/>
  <c r="D8018" i="2"/>
  <c r="C8018" i="2"/>
  <c r="B8018" i="2"/>
  <c r="A8018" i="2"/>
  <c r="U8017" i="2"/>
  <c r="N8017" i="2"/>
  <c r="M8017" i="2"/>
  <c r="J8017" i="2"/>
  <c r="I8017" i="2"/>
  <c r="H8017" i="2"/>
  <c r="G8017" i="2"/>
  <c r="F8017" i="2"/>
  <c r="E8017" i="2"/>
  <c r="D8017" i="2"/>
  <c r="C8017" i="2"/>
  <c r="B8017" i="2"/>
  <c r="A8017" i="2"/>
  <c r="U8016" i="2"/>
  <c r="N8016" i="2"/>
  <c r="M8016" i="2"/>
  <c r="J8016" i="2"/>
  <c r="I8016" i="2"/>
  <c r="H8016" i="2"/>
  <c r="G8016" i="2"/>
  <c r="F8016" i="2"/>
  <c r="E8016" i="2"/>
  <c r="D8016" i="2"/>
  <c r="C8016" i="2"/>
  <c r="B8016" i="2"/>
  <c r="A8016" i="2"/>
  <c r="U8015" i="2"/>
  <c r="N8015" i="2"/>
  <c r="M8015" i="2"/>
  <c r="J8015" i="2"/>
  <c r="I8015" i="2"/>
  <c r="H8015" i="2"/>
  <c r="G8015" i="2"/>
  <c r="F8015" i="2"/>
  <c r="E8015" i="2"/>
  <c r="D8015" i="2"/>
  <c r="C8015" i="2"/>
  <c r="B8015" i="2"/>
  <c r="A8015" i="2"/>
  <c r="U8014" i="2"/>
  <c r="N8014" i="2"/>
  <c r="M8014" i="2"/>
  <c r="J8014" i="2"/>
  <c r="I8014" i="2"/>
  <c r="H8014" i="2"/>
  <c r="G8014" i="2"/>
  <c r="F8014" i="2"/>
  <c r="E8014" i="2"/>
  <c r="D8014" i="2"/>
  <c r="C8014" i="2"/>
  <c r="B8014" i="2"/>
  <c r="A8014" i="2"/>
  <c r="Q8013" i="2"/>
  <c r="U8013" i="2" s="1"/>
  <c r="N8013" i="2"/>
  <c r="M8013" i="2"/>
  <c r="J8013" i="2"/>
  <c r="I8013" i="2"/>
  <c r="H8013" i="2"/>
  <c r="G8013" i="2"/>
  <c r="F8013" i="2"/>
  <c r="E8013" i="2"/>
  <c r="D8013" i="2"/>
  <c r="C8013" i="2"/>
  <c r="B8013" i="2"/>
  <c r="A8013" i="2"/>
  <c r="Q8012" i="2"/>
  <c r="U8012" i="2" s="1"/>
  <c r="N8012" i="2"/>
  <c r="M8012" i="2"/>
  <c r="J8012" i="2"/>
  <c r="I8012" i="2"/>
  <c r="H8012" i="2"/>
  <c r="G8012" i="2"/>
  <c r="F8012" i="2"/>
  <c r="E8012" i="2"/>
  <c r="D8012" i="2"/>
  <c r="C8012" i="2"/>
  <c r="B8012" i="2"/>
  <c r="A8012" i="2"/>
  <c r="U8011" i="2"/>
  <c r="N8011" i="2"/>
  <c r="M8011" i="2"/>
  <c r="J8011" i="2"/>
  <c r="I8011" i="2"/>
  <c r="H8011" i="2"/>
  <c r="G8011" i="2"/>
  <c r="F8011" i="2"/>
  <c r="E8011" i="2"/>
  <c r="D8011" i="2"/>
  <c r="C8011" i="2"/>
  <c r="B8011" i="2"/>
  <c r="A8011" i="2"/>
  <c r="U8010" i="2"/>
  <c r="N8010" i="2"/>
  <c r="M8010" i="2"/>
  <c r="J8010" i="2"/>
  <c r="I8010" i="2"/>
  <c r="H8010" i="2"/>
  <c r="G8010" i="2"/>
  <c r="F8010" i="2"/>
  <c r="E8010" i="2"/>
  <c r="D8010" i="2"/>
  <c r="C8010" i="2"/>
  <c r="B8010" i="2"/>
  <c r="A8010" i="2"/>
  <c r="U8009" i="2"/>
  <c r="N8009" i="2"/>
  <c r="M8009" i="2"/>
  <c r="J8009" i="2"/>
  <c r="I8009" i="2"/>
  <c r="H8009" i="2"/>
  <c r="G8009" i="2"/>
  <c r="F8009" i="2"/>
  <c r="E8009" i="2"/>
  <c r="D8009" i="2"/>
  <c r="C8009" i="2"/>
  <c r="B8009" i="2"/>
  <c r="A8009" i="2"/>
  <c r="U8008" i="2"/>
  <c r="N8008" i="2"/>
  <c r="M8008" i="2"/>
  <c r="J8008" i="2"/>
  <c r="I8008" i="2"/>
  <c r="H8008" i="2"/>
  <c r="G8008" i="2"/>
  <c r="F8008" i="2"/>
  <c r="E8008" i="2"/>
  <c r="D8008" i="2"/>
  <c r="C8008" i="2"/>
  <c r="B8008" i="2"/>
  <c r="A8008" i="2"/>
  <c r="U8007" i="2"/>
  <c r="N8007" i="2"/>
  <c r="M8007" i="2"/>
  <c r="J8007" i="2"/>
  <c r="I8007" i="2"/>
  <c r="H8007" i="2"/>
  <c r="G8007" i="2"/>
  <c r="F8007" i="2"/>
  <c r="E8007" i="2"/>
  <c r="D8007" i="2"/>
  <c r="C8007" i="2"/>
  <c r="B8007" i="2"/>
  <c r="A8007" i="2"/>
  <c r="U8006" i="2"/>
  <c r="N8006" i="2"/>
  <c r="M8006" i="2"/>
  <c r="J8006" i="2"/>
  <c r="I8006" i="2"/>
  <c r="H8006" i="2"/>
  <c r="G8006" i="2"/>
  <c r="F8006" i="2"/>
  <c r="E8006" i="2"/>
  <c r="D8006" i="2"/>
  <c r="C8006" i="2"/>
  <c r="B8006" i="2"/>
  <c r="A8006" i="2"/>
  <c r="U8005" i="2"/>
  <c r="N8005" i="2"/>
  <c r="M8005" i="2"/>
  <c r="J8005" i="2"/>
  <c r="I8005" i="2"/>
  <c r="H8005" i="2"/>
  <c r="G8005" i="2"/>
  <c r="F8005" i="2"/>
  <c r="E8005" i="2"/>
  <c r="D8005" i="2"/>
  <c r="C8005" i="2"/>
  <c r="B8005" i="2"/>
  <c r="A8005" i="2"/>
  <c r="U8004" i="2"/>
  <c r="N8004" i="2"/>
  <c r="M8004" i="2"/>
  <c r="J8004" i="2"/>
  <c r="I8004" i="2"/>
  <c r="H8004" i="2"/>
  <c r="G8004" i="2"/>
  <c r="F8004" i="2"/>
  <c r="E8004" i="2"/>
  <c r="D8004" i="2"/>
  <c r="C8004" i="2"/>
  <c r="B8004" i="2"/>
  <c r="A8004" i="2"/>
  <c r="U8003" i="2"/>
  <c r="N8003" i="2"/>
  <c r="M8003" i="2"/>
  <c r="J8003" i="2"/>
  <c r="I8003" i="2"/>
  <c r="H8003" i="2"/>
  <c r="G8003" i="2"/>
  <c r="F8003" i="2"/>
  <c r="E8003" i="2"/>
  <c r="D8003" i="2"/>
  <c r="C8003" i="2"/>
  <c r="B8003" i="2"/>
  <c r="A8003" i="2"/>
  <c r="U8002" i="2"/>
  <c r="N8002" i="2"/>
  <c r="M8002" i="2"/>
  <c r="J8002" i="2"/>
  <c r="I8002" i="2"/>
  <c r="H8002" i="2"/>
  <c r="G8002" i="2"/>
  <c r="F8002" i="2"/>
  <c r="E8002" i="2"/>
  <c r="D8002" i="2"/>
  <c r="C8002" i="2"/>
  <c r="B8002" i="2"/>
  <c r="A8002" i="2"/>
  <c r="U8001" i="2"/>
  <c r="N8001" i="2"/>
  <c r="M8001" i="2"/>
  <c r="J8001" i="2"/>
  <c r="I8001" i="2"/>
  <c r="H8001" i="2"/>
  <c r="G8001" i="2"/>
  <c r="F8001" i="2"/>
  <c r="E8001" i="2"/>
  <c r="D8001" i="2"/>
  <c r="C8001" i="2"/>
  <c r="B8001" i="2"/>
  <c r="A8001" i="2"/>
  <c r="U8000" i="2"/>
  <c r="N8000" i="2"/>
  <c r="M8000" i="2"/>
  <c r="J8000" i="2"/>
  <c r="I8000" i="2"/>
  <c r="H8000" i="2"/>
  <c r="G8000" i="2"/>
  <c r="F8000" i="2"/>
  <c r="E8000" i="2"/>
  <c r="D8000" i="2"/>
  <c r="C8000" i="2"/>
  <c r="B8000" i="2"/>
  <c r="A8000" i="2"/>
  <c r="U7999" i="2"/>
  <c r="N7999" i="2"/>
  <c r="M7999" i="2"/>
  <c r="J7999" i="2"/>
  <c r="I7999" i="2"/>
  <c r="H7999" i="2"/>
  <c r="G7999" i="2"/>
  <c r="F7999" i="2"/>
  <c r="E7999" i="2"/>
  <c r="D7999" i="2"/>
  <c r="C7999" i="2"/>
  <c r="B7999" i="2"/>
  <c r="A7999" i="2"/>
  <c r="U7998" i="2"/>
  <c r="N7998" i="2"/>
  <c r="M7998" i="2"/>
  <c r="J7998" i="2"/>
  <c r="I7998" i="2"/>
  <c r="H7998" i="2"/>
  <c r="G7998" i="2"/>
  <c r="F7998" i="2"/>
  <c r="E7998" i="2"/>
  <c r="D7998" i="2"/>
  <c r="C7998" i="2"/>
  <c r="B7998" i="2"/>
  <c r="A7998" i="2"/>
  <c r="U7997" i="2"/>
  <c r="N7997" i="2"/>
  <c r="M7997" i="2"/>
  <c r="J7997" i="2"/>
  <c r="I7997" i="2"/>
  <c r="H7997" i="2"/>
  <c r="G7997" i="2"/>
  <c r="F7997" i="2"/>
  <c r="E7997" i="2"/>
  <c r="D7997" i="2"/>
  <c r="C7997" i="2"/>
  <c r="B7997" i="2"/>
  <c r="A7997" i="2"/>
  <c r="Q7996" i="2"/>
  <c r="U7996" i="2" s="1"/>
  <c r="N7996" i="2"/>
  <c r="M7996" i="2"/>
  <c r="J7996" i="2"/>
  <c r="I7996" i="2"/>
  <c r="H7996" i="2"/>
  <c r="G7996" i="2"/>
  <c r="F7996" i="2"/>
  <c r="E7996" i="2"/>
  <c r="D7996" i="2"/>
  <c r="C7996" i="2"/>
  <c r="B7996" i="2"/>
  <c r="A7996" i="2"/>
  <c r="U7995" i="2"/>
  <c r="N7995" i="2"/>
  <c r="M7995" i="2"/>
  <c r="J7995" i="2"/>
  <c r="I7995" i="2"/>
  <c r="H7995" i="2"/>
  <c r="G7995" i="2"/>
  <c r="F7995" i="2"/>
  <c r="E7995" i="2"/>
  <c r="D7995" i="2"/>
  <c r="C7995" i="2"/>
  <c r="B7995" i="2"/>
  <c r="A7995" i="2"/>
  <c r="U7994" i="2"/>
  <c r="N7994" i="2"/>
  <c r="M7994" i="2"/>
  <c r="J7994" i="2"/>
  <c r="I7994" i="2"/>
  <c r="H7994" i="2"/>
  <c r="G7994" i="2"/>
  <c r="F7994" i="2"/>
  <c r="E7994" i="2"/>
  <c r="D7994" i="2"/>
  <c r="C7994" i="2"/>
  <c r="B7994" i="2"/>
  <c r="A7994" i="2"/>
  <c r="U7993" i="2"/>
  <c r="N7993" i="2"/>
  <c r="M7993" i="2"/>
  <c r="J7993" i="2"/>
  <c r="I7993" i="2"/>
  <c r="H7993" i="2"/>
  <c r="G7993" i="2"/>
  <c r="F7993" i="2"/>
  <c r="E7993" i="2"/>
  <c r="D7993" i="2"/>
  <c r="C7993" i="2"/>
  <c r="B7993" i="2"/>
  <c r="A7993" i="2"/>
  <c r="U7992" i="2"/>
  <c r="N7992" i="2"/>
  <c r="M7992" i="2"/>
  <c r="J7992" i="2"/>
  <c r="I7992" i="2"/>
  <c r="H7992" i="2"/>
  <c r="G7992" i="2"/>
  <c r="F7992" i="2"/>
  <c r="E7992" i="2"/>
  <c r="D7992" i="2"/>
  <c r="C7992" i="2"/>
  <c r="B7992" i="2"/>
  <c r="A7992" i="2"/>
  <c r="U7991" i="2"/>
  <c r="N7991" i="2"/>
  <c r="M7991" i="2"/>
  <c r="J7991" i="2"/>
  <c r="I7991" i="2"/>
  <c r="H7991" i="2"/>
  <c r="G7991" i="2"/>
  <c r="F7991" i="2"/>
  <c r="E7991" i="2"/>
  <c r="D7991" i="2"/>
  <c r="C7991" i="2"/>
  <c r="B7991" i="2"/>
  <c r="A7991" i="2"/>
  <c r="U7990" i="2"/>
  <c r="N7990" i="2"/>
  <c r="M7990" i="2"/>
  <c r="J7990" i="2"/>
  <c r="I7990" i="2"/>
  <c r="H7990" i="2"/>
  <c r="G7990" i="2"/>
  <c r="F7990" i="2"/>
  <c r="E7990" i="2"/>
  <c r="D7990" i="2"/>
  <c r="C7990" i="2"/>
  <c r="B7990" i="2"/>
  <c r="A7990" i="2"/>
  <c r="U7989" i="2"/>
  <c r="N7989" i="2"/>
  <c r="M7989" i="2"/>
  <c r="J7989" i="2"/>
  <c r="I7989" i="2"/>
  <c r="H7989" i="2"/>
  <c r="G7989" i="2"/>
  <c r="F7989" i="2"/>
  <c r="E7989" i="2"/>
  <c r="D7989" i="2"/>
  <c r="C7989" i="2"/>
  <c r="B7989" i="2"/>
  <c r="A7989" i="2"/>
  <c r="U7988" i="2"/>
  <c r="N7988" i="2"/>
  <c r="M7988" i="2"/>
  <c r="J7988" i="2"/>
  <c r="I7988" i="2"/>
  <c r="H7988" i="2"/>
  <c r="G7988" i="2"/>
  <c r="F7988" i="2"/>
  <c r="E7988" i="2"/>
  <c r="D7988" i="2"/>
  <c r="C7988" i="2"/>
  <c r="B7988" i="2"/>
  <c r="A7988" i="2"/>
  <c r="U7987" i="2"/>
  <c r="N7987" i="2"/>
  <c r="M7987" i="2"/>
  <c r="J7987" i="2"/>
  <c r="I7987" i="2"/>
  <c r="H7987" i="2"/>
  <c r="G7987" i="2"/>
  <c r="F7987" i="2"/>
  <c r="E7987" i="2"/>
  <c r="D7987" i="2"/>
  <c r="C7987" i="2"/>
  <c r="B7987" i="2"/>
  <c r="A7987" i="2"/>
  <c r="U7986" i="2"/>
  <c r="N7986" i="2"/>
  <c r="M7986" i="2"/>
  <c r="J7986" i="2"/>
  <c r="I7986" i="2"/>
  <c r="H7986" i="2"/>
  <c r="G7986" i="2"/>
  <c r="F7986" i="2"/>
  <c r="E7986" i="2"/>
  <c r="D7986" i="2"/>
  <c r="C7986" i="2"/>
  <c r="B7986" i="2"/>
  <c r="A7986" i="2"/>
  <c r="U7985" i="2"/>
  <c r="N7985" i="2"/>
  <c r="M7985" i="2"/>
  <c r="J7985" i="2"/>
  <c r="I7985" i="2"/>
  <c r="H7985" i="2"/>
  <c r="G7985" i="2"/>
  <c r="F7985" i="2"/>
  <c r="E7985" i="2"/>
  <c r="D7985" i="2"/>
  <c r="C7985" i="2"/>
  <c r="B7985" i="2"/>
  <c r="A7985" i="2"/>
  <c r="U7984" i="2"/>
  <c r="N7984" i="2"/>
  <c r="M7984" i="2"/>
  <c r="J7984" i="2"/>
  <c r="I7984" i="2"/>
  <c r="H7984" i="2"/>
  <c r="G7984" i="2"/>
  <c r="F7984" i="2"/>
  <c r="E7984" i="2"/>
  <c r="D7984" i="2"/>
  <c r="C7984" i="2"/>
  <c r="B7984" i="2"/>
  <c r="A7984" i="2"/>
  <c r="U7983" i="2"/>
  <c r="N7983" i="2"/>
  <c r="M7983" i="2"/>
  <c r="J7983" i="2"/>
  <c r="I7983" i="2"/>
  <c r="H7983" i="2"/>
  <c r="G7983" i="2"/>
  <c r="F7983" i="2"/>
  <c r="E7983" i="2"/>
  <c r="D7983" i="2"/>
  <c r="C7983" i="2"/>
  <c r="B7983" i="2"/>
  <c r="A7983" i="2"/>
  <c r="U7982" i="2"/>
  <c r="N7982" i="2"/>
  <c r="M7982" i="2"/>
  <c r="J7982" i="2"/>
  <c r="I7982" i="2"/>
  <c r="H7982" i="2"/>
  <c r="G7982" i="2"/>
  <c r="F7982" i="2"/>
  <c r="E7982" i="2"/>
  <c r="D7982" i="2"/>
  <c r="C7982" i="2"/>
  <c r="B7982" i="2"/>
  <c r="A7982" i="2"/>
  <c r="U7981" i="2"/>
  <c r="N7981" i="2"/>
  <c r="M7981" i="2"/>
  <c r="J7981" i="2"/>
  <c r="I7981" i="2"/>
  <c r="H7981" i="2"/>
  <c r="G7981" i="2"/>
  <c r="F7981" i="2"/>
  <c r="E7981" i="2"/>
  <c r="D7981" i="2"/>
  <c r="C7981" i="2"/>
  <c r="B7981" i="2"/>
  <c r="A7981" i="2"/>
  <c r="U7980" i="2"/>
  <c r="N7980" i="2"/>
  <c r="M7980" i="2"/>
  <c r="J7980" i="2"/>
  <c r="I7980" i="2"/>
  <c r="H7980" i="2"/>
  <c r="G7980" i="2"/>
  <c r="F7980" i="2"/>
  <c r="E7980" i="2"/>
  <c r="D7980" i="2"/>
  <c r="C7980" i="2"/>
  <c r="B7980" i="2"/>
  <c r="A7980" i="2"/>
  <c r="U7979" i="2"/>
  <c r="N7979" i="2"/>
  <c r="M7979" i="2"/>
  <c r="J7979" i="2"/>
  <c r="I7979" i="2"/>
  <c r="H7979" i="2"/>
  <c r="G7979" i="2"/>
  <c r="F7979" i="2"/>
  <c r="E7979" i="2"/>
  <c r="D7979" i="2"/>
  <c r="C7979" i="2"/>
  <c r="B7979" i="2"/>
  <c r="A7979" i="2"/>
  <c r="U7978" i="2"/>
  <c r="N7978" i="2"/>
  <c r="M7978" i="2"/>
  <c r="J7978" i="2"/>
  <c r="I7978" i="2"/>
  <c r="H7978" i="2"/>
  <c r="G7978" i="2"/>
  <c r="F7978" i="2"/>
  <c r="E7978" i="2"/>
  <c r="D7978" i="2"/>
  <c r="C7978" i="2"/>
  <c r="B7978" i="2"/>
  <c r="A7978" i="2"/>
  <c r="U7977" i="2"/>
  <c r="N7977" i="2"/>
  <c r="M7977" i="2"/>
  <c r="J7977" i="2"/>
  <c r="I7977" i="2"/>
  <c r="H7977" i="2"/>
  <c r="G7977" i="2"/>
  <c r="F7977" i="2"/>
  <c r="E7977" i="2"/>
  <c r="D7977" i="2"/>
  <c r="C7977" i="2"/>
  <c r="B7977" i="2"/>
  <c r="A7977" i="2"/>
  <c r="U7976" i="2"/>
  <c r="N7976" i="2"/>
  <c r="M7976" i="2"/>
  <c r="J7976" i="2"/>
  <c r="I7976" i="2"/>
  <c r="H7976" i="2"/>
  <c r="G7976" i="2"/>
  <c r="F7976" i="2"/>
  <c r="E7976" i="2"/>
  <c r="D7976" i="2"/>
  <c r="C7976" i="2"/>
  <c r="B7976" i="2"/>
  <c r="A7976" i="2"/>
  <c r="U7975" i="2"/>
  <c r="N7975" i="2"/>
  <c r="M7975" i="2"/>
  <c r="J7975" i="2"/>
  <c r="I7975" i="2"/>
  <c r="H7975" i="2"/>
  <c r="G7975" i="2"/>
  <c r="F7975" i="2"/>
  <c r="E7975" i="2"/>
  <c r="D7975" i="2"/>
  <c r="C7975" i="2"/>
  <c r="B7975" i="2"/>
  <c r="A7975" i="2"/>
  <c r="Q7974" i="2"/>
  <c r="U7974" i="2" s="1"/>
  <c r="N7974" i="2"/>
  <c r="M7974" i="2"/>
  <c r="J7974" i="2"/>
  <c r="I7974" i="2"/>
  <c r="H7974" i="2"/>
  <c r="G7974" i="2"/>
  <c r="F7974" i="2"/>
  <c r="E7974" i="2"/>
  <c r="D7974" i="2"/>
  <c r="C7974" i="2"/>
  <c r="B7974" i="2"/>
  <c r="A7974" i="2"/>
  <c r="U7973" i="2"/>
  <c r="N7973" i="2"/>
  <c r="M7973" i="2"/>
  <c r="J7973" i="2"/>
  <c r="I7973" i="2"/>
  <c r="H7973" i="2"/>
  <c r="G7973" i="2"/>
  <c r="F7973" i="2"/>
  <c r="E7973" i="2"/>
  <c r="D7973" i="2"/>
  <c r="C7973" i="2"/>
  <c r="B7973" i="2"/>
  <c r="A7973" i="2"/>
  <c r="U7972" i="2"/>
  <c r="N7972" i="2"/>
  <c r="M7972" i="2"/>
  <c r="J7972" i="2"/>
  <c r="I7972" i="2"/>
  <c r="H7972" i="2"/>
  <c r="G7972" i="2"/>
  <c r="F7972" i="2"/>
  <c r="E7972" i="2"/>
  <c r="D7972" i="2"/>
  <c r="C7972" i="2"/>
  <c r="B7972" i="2"/>
  <c r="A7972" i="2"/>
  <c r="U7971" i="2"/>
  <c r="N7971" i="2"/>
  <c r="M7971" i="2"/>
  <c r="J7971" i="2"/>
  <c r="I7971" i="2"/>
  <c r="H7971" i="2"/>
  <c r="G7971" i="2"/>
  <c r="F7971" i="2"/>
  <c r="E7971" i="2"/>
  <c r="D7971" i="2"/>
  <c r="C7971" i="2"/>
  <c r="B7971" i="2"/>
  <c r="A7971" i="2"/>
  <c r="U7970" i="2"/>
  <c r="N7970" i="2"/>
  <c r="M7970" i="2"/>
  <c r="J7970" i="2"/>
  <c r="I7970" i="2"/>
  <c r="H7970" i="2"/>
  <c r="G7970" i="2"/>
  <c r="F7970" i="2"/>
  <c r="E7970" i="2"/>
  <c r="D7970" i="2"/>
  <c r="C7970" i="2"/>
  <c r="B7970" i="2"/>
  <c r="A7970" i="2"/>
  <c r="U7969" i="2"/>
  <c r="N7969" i="2"/>
  <c r="M7969" i="2"/>
  <c r="J7969" i="2"/>
  <c r="I7969" i="2"/>
  <c r="H7969" i="2"/>
  <c r="G7969" i="2"/>
  <c r="F7969" i="2"/>
  <c r="E7969" i="2"/>
  <c r="D7969" i="2"/>
  <c r="C7969" i="2"/>
  <c r="B7969" i="2"/>
  <c r="A7969" i="2"/>
  <c r="U7968" i="2"/>
  <c r="N7968" i="2"/>
  <c r="M7968" i="2"/>
  <c r="J7968" i="2"/>
  <c r="I7968" i="2"/>
  <c r="H7968" i="2"/>
  <c r="G7968" i="2"/>
  <c r="F7968" i="2"/>
  <c r="E7968" i="2"/>
  <c r="D7968" i="2"/>
  <c r="C7968" i="2"/>
  <c r="B7968" i="2"/>
  <c r="A7968" i="2"/>
  <c r="U7967" i="2"/>
  <c r="N7967" i="2"/>
  <c r="M7967" i="2"/>
  <c r="J7967" i="2"/>
  <c r="I7967" i="2"/>
  <c r="H7967" i="2"/>
  <c r="G7967" i="2"/>
  <c r="F7967" i="2"/>
  <c r="E7967" i="2"/>
  <c r="D7967" i="2"/>
  <c r="C7967" i="2"/>
  <c r="B7967" i="2"/>
  <c r="A7967" i="2"/>
  <c r="U7966" i="2"/>
  <c r="N7966" i="2"/>
  <c r="M7966" i="2"/>
  <c r="J7966" i="2"/>
  <c r="I7966" i="2"/>
  <c r="H7966" i="2"/>
  <c r="G7966" i="2"/>
  <c r="F7966" i="2"/>
  <c r="E7966" i="2"/>
  <c r="D7966" i="2"/>
  <c r="C7966" i="2"/>
  <c r="B7966" i="2"/>
  <c r="A7966" i="2"/>
  <c r="U7965" i="2"/>
  <c r="N7965" i="2"/>
  <c r="M7965" i="2"/>
  <c r="J7965" i="2"/>
  <c r="I7965" i="2"/>
  <c r="H7965" i="2"/>
  <c r="G7965" i="2"/>
  <c r="F7965" i="2"/>
  <c r="E7965" i="2"/>
  <c r="D7965" i="2"/>
  <c r="C7965" i="2"/>
  <c r="B7965" i="2"/>
  <c r="A7965" i="2"/>
  <c r="U7964" i="2"/>
  <c r="N7964" i="2"/>
  <c r="M7964" i="2"/>
  <c r="J7964" i="2"/>
  <c r="I7964" i="2"/>
  <c r="H7964" i="2"/>
  <c r="G7964" i="2"/>
  <c r="F7964" i="2"/>
  <c r="E7964" i="2"/>
  <c r="D7964" i="2"/>
  <c r="C7964" i="2"/>
  <c r="B7964" i="2"/>
  <c r="A7964" i="2"/>
  <c r="U7963" i="2"/>
  <c r="N7963" i="2"/>
  <c r="M7963" i="2"/>
  <c r="J7963" i="2"/>
  <c r="I7963" i="2"/>
  <c r="H7963" i="2"/>
  <c r="G7963" i="2"/>
  <c r="F7963" i="2"/>
  <c r="E7963" i="2"/>
  <c r="D7963" i="2"/>
  <c r="C7963" i="2"/>
  <c r="B7963" i="2"/>
  <c r="A7963" i="2"/>
  <c r="U7962" i="2"/>
  <c r="N7962" i="2"/>
  <c r="M7962" i="2"/>
  <c r="J7962" i="2"/>
  <c r="I7962" i="2"/>
  <c r="H7962" i="2"/>
  <c r="G7962" i="2"/>
  <c r="F7962" i="2"/>
  <c r="E7962" i="2"/>
  <c r="D7962" i="2"/>
  <c r="C7962" i="2"/>
  <c r="B7962" i="2"/>
  <c r="A7962" i="2"/>
  <c r="U7961" i="2"/>
  <c r="N7961" i="2"/>
  <c r="M7961" i="2"/>
  <c r="J7961" i="2"/>
  <c r="I7961" i="2"/>
  <c r="H7961" i="2"/>
  <c r="G7961" i="2"/>
  <c r="F7961" i="2"/>
  <c r="E7961" i="2"/>
  <c r="D7961" i="2"/>
  <c r="C7961" i="2"/>
  <c r="B7961" i="2"/>
  <c r="A7961" i="2"/>
  <c r="U7960" i="2"/>
  <c r="N7960" i="2"/>
  <c r="M7960" i="2"/>
  <c r="J7960" i="2"/>
  <c r="I7960" i="2"/>
  <c r="H7960" i="2"/>
  <c r="G7960" i="2"/>
  <c r="F7960" i="2"/>
  <c r="E7960" i="2"/>
  <c r="D7960" i="2"/>
  <c r="C7960" i="2"/>
  <c r="B7960" i="2"/>
  <c r="A7960" i="2"/>
  <c r="U7959" i="2"/>
  <c r="N7959" i="2"/>
  <c r="M7959" i="2"/>
  <c r="J7959" i="2"/>
  <c r="I7959" i="2"/>
  <c r="H7959" i="2"/>
  <c r="G7959" i="2"/>
  <c r="F7959" i="2"/>
  <c r="E7959" i="2"/>
  <c r="D7959" i="2"/>
  <c r="C7959" i="2"/>
  <c r="B7959" i="2"/>
  <c r="A7959" i="2"/>
  <c r="U7958" i="2"/>
  <c r="N7958" i="2"/>
  <c r="M7958" i="2"/>
  <c r="J7958" i="2"/>
  <c r="I7958" i="2"/>
  <c r="H7958" i="2"/>
  <c r="G7958" i="2"/>
  <c r="F7958" i="2"/>
  <c r="E7958" i="2"/>
  <c r="D7958" i="2"/>
  <c r="C7958" i="2"/>
  <c r="B7958" i="2"/>
  <c r="A7958" i="2"/>
  <c r="U7957" i="2"/>
  <c r="N7957" i="2"/>
  <c r="M7957" i="2"/>
  <c r="J7957" i="2"/>
  <c r="I7957" i="2"/>
  <c r="H7957" i="2"/>
  <c r="G7957" i="2"/>
  <c r="F7957" i="2"/>
  <c r="E7957" i="2"/>
  <c r="D7957" i="2"/>
  <c r="C7957" i="2"/>
  <c r="B7957" i="2"/>
  <c r="A7957" i="2"/>
  <c r="U7956" i="2"/>
  <c r="N7956" i="2"/>
  <c r="M7956" i="2"/>
  <c r="J7956" i="2"/>
  <c r="I7956" i="2"/>
  <c r="H7956" i="2"/>
  <c r="G7956" i="2"/>
  <c r="F7956" i="2"/>
  <c r="E7956" i="2"/>
  <c r="D7956" i="2"/>
  <c r="C7956" i="2"/>
  <c r="B7956" i="2"/>
  <c r="A7956" i="2"/>
  <c r="U7955" i="2"/>
  <c r="N7955" i="2"/>
  <c r="M7955" i="2"/>
  <c r="J7955" i="2"/>
  <c r="I7955" i="2"/>
  <c r="H7955" i="2"/>
  <c r="G7955" i="2"/>
  <c r="F7955" i="2"/>
  <c r="E7955" i="2"/>
  <c r="D7955" i="2"/>
  <c r="C7955" i="2"/>
  <c r="B7955" i="2"/>
  <c r="A7955" i="2"/>
  <c r="U7954" i="2"/>
  <c r="N7954" i="2"/>
  <c r="M7954" i="2"/>
  <c r="J7954" i="2"/>
  <c r="I7954" i="2"/>
  <c r="H7954" i="2"/>
  <c r="G7954" i="2"/>
  <c r="F7954" i="2"/>
  <c r="E7954" i="2"/>
  <c r="D7954" i="2"/>
  <c r="C7954" i="2"/>
  <c r="B7954" i="2"/>
  <c r="A7954" i="2"/>
  <c r="U7953" i="2"/>
  <c r="N7953" i="2"/>
  <c r="M7953" i="2"/>
  <c r="J7953" i="2"/>
  <c r="I7953" i="2"/>
  <c r="H7953" i="2"/>
  <c r="G7953" i="2"/>
  <c r="F7953" i="2"/>
  <c r="E7953" i="2"/>
  <c r="D7953" i="2"/>
  <c r="C7953" i="2"/>
  <c r="B7953" i="2"/>
  <c r="A7953" i="2"/>
  <c r="U7952" i="2"/>
  <c r="N7952" i="2"/>
  <c r="M7952" i="2"/>
  <c r="J7952" i="2"/>
  <c r="I7952" i="2"/>
  <c r="H7952" i="2"/>
  <c r="G7952" i="2"/>
  <c r="F7952" i="2"/>
  <c r="E7952" i="2"/>
  <c r="D7952" i="2"/>
  <c r="C7952" i="2"/>
  <c r="B7952" i="2"/>
  <c r="A7952" i="2"/>
  <c r="U7951" i="2"/>
  <c r="N7951" i="2"/>
  <c r="M7951" i="2"/>
  <c r="J7951" i="2"/>
  <c r="I7951" i="2"/>
  <c r="H7951" i="2"/>
  <c r="G7951" i="2"/>
  <c r="F7951" i="2"/>
  <c r="E7951" i="2"/>
  <c r="D7951" i="2"/>
  <c r="C7951" i="2"/>
  <c r="B7951" i="2"/>
  <c r="A7951" i="2"/>
  <c r="U7950" i="2"/>
  <c r="N7950" i="2"/>
  <c r="M7950" i="2"/>
  <c r="J7950" i="2"/>
  <c r="I7950" i="2"/>
  <c r="H7950" i="2"/>
  <c r="G7950" i="2"/>
  <c r="F7950" i="2"/>
  <c r="E7950" i="2"/>
  <c r="D7950" i="2"/>
  <c r="C7950" i="2"/>
  <c r="B7950" i="2"/>
  <c r="A7950" i="2"/>
  <c r="U7949" i="2"/>
  <c r="N7949" i="2"/>
  <c r="M7949" i="2"/>
  <c r="J7949" i="2"/>
  <c r="I7949" i="2"/>
  <c r="H7949" i="2"/>
  <c r="G7949" i="2"/>
  <c r="F7949" i="2"/>
  <c r="E7949" i="2"/>
  <c r="D7949" i="2"/>
  <c r="C7949" i="2"/>
  <c r="B7949" i="2"/>
  <c r="A7949" i="2"/>
  <c r="Q7948" i="2"/>
  <c r="U7948" i="2" s="1"/>
  <c r="N7948" i="2"/>
  <c r="M7948" i="2"/>
  <c r="J7948" i="2"/>
  <c r="I7948" i="2"/>
  <c r="H7948" i="2"/>
  <c r="G7948" i="2"/>
  <c r="F7948" i="2"/>
  <c r="E7948" i="2"/>
  <c r="D7948" i="2"/>
  <c r="C7948" i="2"/>
  <c r="B7948" i="2"/>
  <c r="A7948" i="2"/>
  <c r="U7947" i="2"/>
  <c r="N7947" i="2"/>
  <c r="M7947" i="2"/>
  <c r="J7947" i="2"/>
  <c r="I7947" i="2"/>
  <c r="H7947" i="2"/>
  <c r="G7947" i="2"/>
  <c r="F7947" i="2"/>
  <c r="E7947" i="2"/>
  <c r="D7947" i="2"/>
  <c r="C7947" i="2"/>
  <c r="B7947" i="2"/>
  <c r="A7947" i="2"/>
  <c r="U7946" i="2"/>
  <c r="N7946" i="2"/>
  <c r="M7946" i="2"/>
  <c r="J7946" i="2"/>
  <c r="I7946" i="2"/>
  <c r="H7946" i="2"/>
  <c r="G7946" i="2"/>
  <c r="F7946" i="2"/>
  <c r="E7946" i="2"/>
  <c r="D7946" i="2"/>
  <c r="C7946" i="2"/>
  <c r="B7946" i="2"/>
  <c r="A7946" i="2"/>
  <c r="U7945" i="2"/>
  <c r="N7945" i="2"/>
  <c r="M7945" i="2"/>
  <c r="J7945" i="2"/>
  <c r="I7945" i="2"/>
  <c r="H7945" i="2"/>
  <c r="G7945" i="2"/>
  <c r="F7945" i="2"/>
  <c r="E7945" i="2"/>
  <c r="D7945" i="2"/>
  <c r="C7945" i="2"/>
  <c r="B7945" i="2"/>
  <c r="A7945" i="2"/>
  <c r="U7944" i="2"/>
  <c r="N7944" i="2"/>
  <c r="M7944" i="2"/>
  <c r="J7944" i="2"/>
  <c r="I7944" i="2"/>
  <c r="H7944" i="2"/>
  <c r="G7944" i="2"/>
  <c r="F7944" i="2"/>
  <c r="E7944" i="2"/>
  <c r="D7944" i="2"/>
  <c r="C7944" i="2"/>
  <c r="B7944" i="2"/>
  <c r="A7944" i="2"/>
  <c r="U7943" i="2"/>
  <c r="N7943" i="2"/>
  <c r="M7943" i="2"/>
  <c r="J7943" i="2"/>
  <c r="I7943" i="2"/>
  <c r="H7943" i="2"/>
  <c r="G7943" i="2"/>
  <c r="F7943" i="2"/>
  <c r="E7943" i="2"/>
  <c r="D7943" i="2"/>
  <c r="C7943" i="2"/>
  <c r="B7943" i="2"/>
  <c r="A7943" i="2"/>
  <c r="U7942" i="2"/>
  <c r="N7942" i="2"/>
  <c r="M7942" i="2"/>
  <c r="J7942" i="2"/>
  <c r="I7942" i="2"/>
  <c r="H7942" i="2"/>
  <c r="G7942" i="2"/>
  <c r="F7942" i="2"/>
  <c r="E7942" i="2"/>
  <c r="D7942" i="2"/>
  <c r="C7942" i="2"/>
  <c r="B7942" i="2"/>
  <c r="A7942" i="2"/>
  <c r="U7941" i="2"/>
  <c r="N7941" i="2"/>
  <c r="M7941" i="2"/>
  <c r="J7941" i="2"/>
  <c r="I7941" i="2"/>
  <c r="H7941" i="2"/>
  <c r="G7941" i="2"/>
  <c r="F7941" i="2"/>
  <c r="E7941" i="2"/>
  <c r="D7941" i="2"/>
  <c r="C7941" i="2"/>
  <c r="B7941" i="2"/>
  <c r="A7941" i="2"/>
  <c r="U7940" i="2"/>
  <c r="N7940" i="2"/>
  <c r="M7940" i="2"/>
  <c r="J7940" i="2"/>
  <c r="I7940" i="2"/>
  <c r="H7940" i="2"/>
  <c r="G7940" i="2"/>
  <c r="F7940" i="2"/>
  <c r="E7940" i="2"/>
  <c r="D7940" i="2"/>
  <c r="C7940" i="2"/>
  <c r="B7940" i="2"/>
  <c r="A7940" i="2"/>
  <c r="U7939" i="2"/>
  <c r="N7939" i="2"/>
  <c r="M7939" i="2"/>
  <c r="J7939" i="2"/>
  <c r="I7939" i="2"/>
  <c r="H7939" i="2"/>
  <c r="G7939" i="2"/>
  <c r="F7939" i="2"/>
  <c r="E7939" i="2"/>
  <c r="D7939" i="2"/>
  <c r="C7939" i="2"/>
  <c r="B7939" i="2"/>
  <c r="A7939" i="2"/>
  <c r="Q7938" i="2"/>
  <c r="U7938" i="2" s="1"/>
  <c r="N7938" i="2"/>
  <c r="M7938" i="2"/>
  <c r="J7938" i="2"/>
  <c r="I7938" i="2"/>
  <c r="H7938" i="2"/>
  <c r="G7938" i="2"/>
  <c r="F7938" i="2"/>
  <c r="E7938" i="2"/>
  <c r="D7938" i="2"/>
  <c r="C7938" i="2"/>
  <c r="B7938" i="2"/>
  <c r="A7938" i="2"/>
  <c r="U7937" i="2"/>
  <c r="N7937" i="2"/>
  <c r="M7937" i="2"/>
  <c r="J7937" i="2"/>
  <c r="I7937" i="2"/>
  <c r="H7937" i="2"/>
  <c r="G7937" i="2"/>
  <c r="F7937" i="2"/>
  <c r="E7937" i="2"/>
  <c r="D7937" i="2"/>
  <c r="C7937" i="2"/>
  <c r="B7937" i="2"/>
  <c r="A7937" i="2"/>
  <c r="U7936" i="2"/>
  <c r="N7936" i="2"/>
  <c r="M7936" i="2"/>
  <c r="J7936" i="2"/>
  <c r="I7936" i="2"/>
  <c r="H7936" i="2"/>
  <c r="G7936" i="2"/>
  <c r="F7936" i="2"/>
  <c r="E7936" i="2"/>
  <c r="D7936" i="2"/>
  <c r="C7936" i="2"/>
  <c r="B7936" i="2"/>
  <c r="A7936" i="2"/>
  <c r="U7935" i="2"/>
  <c r="N7935" i="2"/>
  <c r="M7935" i="2"/>
  <c r="J7935" i="2"/>
  <c r="I7935" i="2"/>
  <c r="H7935" i="2"/>
  <c r="G7935" i="2"/>
  <c r="F7935" i="2"/>
  <c r="E7935" i="2"/>
  <c r="D7935" i="2"/>
  <c r="C7935" i="2"/>
  <c r="B7935" i="2"/>
  <c r="A7935" i="2"/>
  <c r="U7934" i="2"/>
  <c r="N7934" i="2"/>
  <c r="M7934" i="2"/>
  <c r="J7934" i="2"/>
  <c r="I7934" i="2"/>
  <c r="H7934" i="2"/>
  <c r="G7934" i="2"/>
  <c r="F7934" i="2"/>
  <c r="E7934" i="2"/>
  <c r="D7934" i="2"/>
  <c r="C7934" i="2"/>
  <c r="B7934" i="2"/>
  <c r="A7934" i="2"/>
  <c r="U7933" i="2"/>
  <c r="N7933" i="2"/>
  <c r="M7933" i="2"/>
  <c r="J7933" i="2"/>
  <c r="I7933" i="2"/>
  <c r="H7933" i="2"/>
  <c r="G7933" i="2"/>
  <c r="F7933" i="2"/>
  <c r="E7933" i="2"/>
  <c r="D7933" i="2"/>
  <c r="C7933" i="2"/>
  <c r="B7933" i="2"/>
  <c r="A7933" i="2"/>
  <c r="U7932" i="2"/>
  <c r="N7932" i="2"/>
  <c r="M7932" i="2"/>
  <c r="J7932" i="2"/>
  <c r="I7932" i="2"/>
  <c r="H7932" i="2"/>
  <c r="G7932" i="2"/>
  <c r="F7932" i="2"/>
  <c r="E7932" i="2"/>
  <c r="D7932" i="2"/>
  <c r="C7932" i="2"/>
  <c r="B7932" i="2"/>
  <c r="A7932" i="2"/>
  <c r="U7931" i="2"/>
  <c r="N7931" i="2"/>
  <c r="M7931" i="2"/>
  <c r="J7931" i="2"/>
  <c r="I7931" i="2"/>
  <c r="H7931" i="2"/>
  <c r="G7931" i="2"/>
  <c r="F7931" i="2"/>
  <c r="E7931" i="2"/>
  <c r="D7931" i="2"/>
  <c r="C7931" i="2"/>
  <c r="B7931" i="2"/>
  <c r="A7931" i="2"/>
  <c r="U7930" i="2"/>
  <c r="N7930" i="2"/>
  <c r="M7930" i="2"/>
  <c r="J7930" i="2"/>
  <c r="I7930" i="2"/>
  <c r="H7930" i="2"/>
  <c r="G7930" i="2"/>
  <c r="F7930" i="2"/>
  <c r="E7930" i="2"/>
  <c r="D7930" i="2"/>
  <c r="C7930" i="2"/>
  <c r="B7930" i="2"/>
  <c r="A7930" i="2"/>
  <c r="U7929" i="2"/>
  <c r="N7929" i="2"/>
  <c r="M7929" i="2"/>
  <c r="J7929" i="2"/>
  <c r="I7929" i="2"/>
  <c r="H7929" i="2"/>
  <c r="G7929" i="2"/>
  <c r="F7929" i="2"/>
  <c r="E7929" i="2"/>
  <c r="D7929" i="2"/>
  <c r="C7929" i="2"/>
  <c r="B7929" i="2"/>
  <c r="A7929" i="2"/>
  <c r="U7928" i="2"/>
  <c r="N7928" i="2"/>
  <c r="M7928" i="2"/>
  <c r="J7928" i="2"/>
  <c r="I7928" i="2"/>
  <c r="H7928" i="2"/>
  <c r="G7928" i="2"/>
  <c r="F7928" i="2"/>
  <c r="E7928" i="2"/>
  <c r="D7928" i="2"/>
  <c r="C7928" i="2"/>
  <c r="B7928" i="2"/>
  <c r="A7928" i="2"/>
  <c r="U7927" i="2"/>
  <c r="N7927" i="2"/>
  <c r="M7927" i="2"/>
  <c r="J7927" i="2"/>
  <c r="I7927" i="2"/>
  <c r="H7927" i="2"/>
  <c r="G7927" i="2"/>
  <c r="F7927" i="2"/>
  <c r="E7927" i="2"/>
  <c r="D7927" i="2"/>
  <c r="C7927" i="2"/>
  <c r="B7927" i="2"/>
  <c r="A7927" i="2"/>
  <c r="U7926" i="2"/>
  <c r="N7926" i="2"/>
  <c r="M7926" i="2"/>
  <c r="J7926" i="2"/>
  <c r="I7926" i="2"/>
  <c r="H7926" i="2"/>
  <c r="G7926" i="2"/>
  <c r="F7926" i="2"/>
  <c r="E7926" i="2"/>
  <c r="D7926" i="2"/>
  <c r="C7926" i="2"/>
  <c r="B7926" i="2"/>
  <c r="A7926" i="2"/>
  <c r="U7925" i="2"/>
  <c r="N7925" i="2"/>
  <c r="M7925" i="2"/>
  <c r="J7925" i="2"/>
  <c r="I7925" i="2"/>
  <c r="H7925" i="2"/>
  <c r="G7925" i="2"/>
  <c r="F7925" i="2"/>
  <c r="E7925" i="2"/>
  <c r="D7925" i="2"/>
  <c r="C7925" i="2"/>
  <c r="B7925" i="2"/>
  <c r="A7925" i="2"/>
  <c r="U7924" i="2"/>
  <c r="N7924" i="2"/>
  <c r="M7924" i="2"/>
  <c r="J7924" i="2"/>
  <c r="I7924" i="2"/>
  <c r="H7924" i="2"/>
  <c r="G7924" i="2"/>
  <c r="F7924" i="2"/>
  <c r="E7924" i="2"/>
  <c r="D7924" i="2"/>
  <c r="C7924" i="2"/>
  <c r="B7924" i="2"/>
  <c r="A7924" i="2"/>
  <c r="U7923" i="2"/>
  <c r="N7923" i="2"/>
  <c r="M7923" i="2"/>
  <c r="J7923" i="2"/>
  <c r="I7923" i="2"/>
  <c r="H7923" i="2"/>
  <c r="G7923" i="2"/>
  <c r="F7923" i="2"/>
  <c r="E7923" i="2"/>
  <c r="D7923" i="2"/>
  <c r="C7923" i="2"/>
  <c r="B7923" i="2"/>
  <c r="A7923" i="2"/>
  <c r="U7922" i="2"/>
  <c r="N7922" i="2"/>
  <c r="M7922" i="2"/>
  <c r="J7922" i="2"/>
  <c r="I7922" i="2"/>
  <c r="H7922" i="2"/>
  <c r="G7922" i="2"/>
  <c r="F7922" i="2"/>
  <c r="E7922" i="2"/>
  <c r="D7922" i="2"/>
  <c r="C7922" i="2"/>
  <c r="B7922" i="2"/>
  <c r="A7922" i="2"/>
  <c r="U7921" i="2"/>
  <c r="N7921" i="2"/>
  <c r="M7921" i="2"/>
  <c r="J7921" i="2"/>
  <c r="I7921" i="2"/>
  <c r="H7921" i="2"/>
  <c r="G7921" i="2"/>
  <c r="F7921" i="2"/>
  <c r="E7921" i="2"/>
  <c r="D7921" i="2"/>
  <c r="C7921" i="2"/>
  <c r="B7921" i="2"/>
  <c r="A7921" i="2"/>
  <c r="U7920" i="2"/>
  <c r="N7920" i="2"/>
  <c r="M7920" i="2"/>
  <c r="J7920" i="2"/>
  <c r="I7920" i="2"/>
  <c r="H7920" i="2"/>
  <c r="G7920" i="2"/>
  <c r="F7920" i="2"/>
  <c r="E7920" i="2"/>
  <c r="D7920" i="2"/>
  <c r="C7920" i="2"/>
  <c r="B7920" i="2"/>
  <c r="A7920" i="2"/>
  <c r="U7919" i="2"/>
  <c r="N7919" i="2"/>
  <c r="M7919" i="2"/>
  <c r="J7919" i="2"/>
  <c r="I7919" i="2"/>
  <c r="H7919" i="2"/>
  <c r="G7919" i="2"/>
  <c r="F7919" i="2"/>
  <c r="E7919" i="2"/>
  <c r="D7919" i="2"/>
  <c r="C7919" i="2"/>
  <c r="B7919" i="2"/>
  <c r="A7919" i="2"/>
  <c r="U7918" i="2"/>
  <c r="N7918" i="2"/>
  <c r="M7918" i="2"/>
  <c r="J7918" i="2"/>
  <c r="I7918" i="2"/>
  <c r="H7918" i="2"/>
  <c r="G7918" i="2"/>
  <c r="F7918" i="2"/>
  <c r="E7918" i="2"/>
  <c r="D7918" i="2"/>
  <c r="C7918" i="2"/>
  <c r="B7918" i="2"/>
  <c r="A7918" i="2"/>
  <c r="U7917" i="2"/>
  <c r="N7917" i="2"/>
  <c r="M7917" i="2"/>
  <c r="J7917" i="2"/>
  <c r="I7917" i="2"/>
  <c r="H7917" i="2"/>
  <c r="G7917" i="2"/>
  <c r="F7917" i="2"/>
  <c r="E7917" i="2"/>
  <c r="D7917" i="2"/>
  <c r="C7917" i="2"/>
  <c r="B7917" i="2"/>
  <c r="A7917" i="2"/>
  <c r="Q7916" i="2"/>
  <c r="U7916" i="2" s="1"/>
  <c r="N7916" i="2"/>
  <c r="M7916" i="2"/>
  <c r="J7916" i="2"/>
  <c r="I7916" i="2"/>
  <c r="H7916" i="2"/>
  <c r="G7916" i="2"/>
  <c r="F7916" i="2"/>
  <c r="E7916" i="2"/>
  <c r="D7916" i="2"/>
  <c r="C7916" i="2"/>
  <c r="B7916" i="2"/>
  <c r="A7916" i="2"/>
  <c r="U7915" i="2"/>
  <c r="N7915" i="2"/>
  <c r="M7915" i="2"/>
  <c r="J7915" i="2"/>
  <c r="I7915" i="2"/>
  <c r="H7915" i="2"/>
  <c r="G7915" i="2"/>
  <c r="F7915" i="2"/>
  <c r="E7915" i="2"/>
  <c r="D7915" i="2"/>
  <c r="C7915" i="2"/>
  <c r="B7915" i="2"/>
  <c r="A7915" i="2"/>
  <c r="U7914" i="2"/>
  <c r="N7914" i="2"/>
  <c r="M7914" i="2"/>
  <c r="J7914" i="2"/>
  <c r="I7914" i="2"/>
  <c r="H7914" i="2"/>
  <c r="G7914" i="2"/>
  <c r="F7914" i="2"/>
  <c r="E7914" i="2"/>
  <c r="D7914" i="2"/>
  <c r="C7914" i="2"/>
  <c r="B7914" i="2"/>
  <c r="A7914" i="2"/>
  <c r="U7913" i="2"/>
  <c r="N7913" i="2"/>
  <c r="M7913" i="2"/>
  <c r="J7913" i="2"/>
  <c r="I7913" i="2"/>
  <c r="H7913" i="2"/>
  <c r="G7913" i="2"/>
  <c r="F7913" i="2"/>
  <c r="E7913" i="2"/>
  <c r="D7913" i="2"/>
  <c r="C7913" i="2"/>
  <c r="B7913" i="2"/>
  <c r="A7913" i="2"/>
  <c r="U7912" i="2"/>
  <c r="N7912" i="2"/>
  <c r="M7912" i="2"/>
  <c r="J7912" i="2"/>
  <c r="I7912" i="2"/>
  <c r="H7912" i="2"/>
  <c r="G7912" i="2"/>
  <c r="F7912" i="2"/>
  <c r="E7912" i="2"/>
  <c r="D7912" i="2"/>
  <c r="C7912" i="2"/>
  <c r="B7912" i="2"/>
  <c r="A7912" i="2"/>
  <c r="U7911" i="2"/>
  <c r="N7911" i="2"/>
  <c r="M7911" i="2"/>
  <c r="J7911" i="2"/>
  <c r="I7911" i="2"/>
  <c r="H7911" i="2"/>
  <c r="G7911" i="2"/>
  <c r="F7911" i="2"/>
  <c r="E7911" i="2"/>
  <c r="D7911" i="2"/>
  <c r="C7911" i="2"/>
  <c r="B7911" i="2"/>
  <c r="A7911" i="2"/>
  <c r="U7910" i="2"/>
  <c r="N7910" i="2"/>
  <c r="M7910" i="2"/>
  <c r="J7910" i="2"/>
  <c r="I7910" i="2"/>
  <c r="H7910" i="2"/>
  <c r="G7910" i="2"/>
  <c r="F7910" i="2"/>
  <c r="E7910" i="2"/>
  <c r="D7910" i="2"/>
  <c r="C7910" i="2"/>
  <c r="B7910" i="2"/>
  <c r="A7910" i="2"/>
  <c r="U7909" i="2"/>
  <c r="N7909" i="2"/>
  <c r="M7909" i="2"/>
  <c r="J7909" i="2"/>
  <c r="I7909" i="2"/>
  <c r="H7909" i="2"/>
  <c r="G7909" i="2"/>
  <c r="F7909" i="2"/>
  <c r="E7909" i="2"/>
  <c r="D7909" i="2"/>
  <c r="C7909" i="2"/>
  <c r="B7909" i="2"/>
  <c r="A7909" i="2"/>
  <c r="U7908" i="2"/>
  <c r="N7908" i="2"/>
  <c r="M7908" i="2"/>
  <c r="J7908" i="2"/>
  <c r="I7908" i="2"/>
  <c r="H7908" i="2"/>
  <c r="G7908" i="2"/>
  <c r="F7908" i="2"/>
  <c r="E7908" i="2"/>
  <c r="D7908" i="2"/>
  <c r="C7908" i="2"/>
  <c r="B7908" i="2"/>
  <c r="A7908" i="2"/>
  <c r="U7907" i="2"/>
  <c r="N7907" i="2"/>
  <c r="M7907" i="2"/>
  <c r="J7907" i="2"/>
  <c r="I7907" i="2"/>
  <c r="H7907" i="2"/>
  <c r="G7907" i="2"/>
  <c r="F7907" i="2"/>
  <c r="E7907" i="2"/>
  <c r="D7907" i="2"/>
  <c r="C7907" i="2"/>
  <c r="B7907" i="2"/>
  <c r="A7907" i="2"/>
  <c r="U7906" i="2"/>
  <c r="N7906" i="2"/>
  <c r="M7906" i="2"/>
  <c r="J7906" i="2"/>
  <c r="I7906" i="2"/>
  <c r="H7906" i="2"/>
  <c r="G7906" i="2"/>
  <c r="F7906" i="2"/>
  <c r="E7906" i="2"/>
  <c r="D7906" i="2"/>
  <c r="C7906" i="2"/>
  <c r="B7906" i="2"/>
  <c r="A7906" i="2"/>
  <c r="U7905" i="2"/>
  <c r="N7905" i="2"/>
  <c r="M7905" i="2"/>
  <c r="J7905" i="2"/>
  <c r="I7905" i="2"/>
  <c r="H7905" i="2"/>
  <c r="G7905" i="2"/>
  <c r="F7905" i="2"/>
  <c r="E7905" i="2"/>
  <c r="D7905" i="2"/>
  <c r="C7905" i="2"/>
  <c r="B7905" i="2"/>
  <c r="A7905" i="2"/>
  <c r="U7904" i="2"/>
  <c r="N7904" i="2"/>
  <c r="M7904" i="2"/>
  <c r="J7904" i="2"/>
  <c r="I7904" i="2"/>
  <c r="H7904" i="2"/>
  <c r="G7904" i="2"/>
  <c r="F7904" i="2"/>
  <c r="E7904" i="2"/>
  <c r="D7904" i="2"/>
  <c r="C7904" i="2"/>
  <c r="B7904" i="2"/>
  <c r="A7904" i="2"/>
  <c r="U7903" i="2"/>
  <c r="N7903" i="2"/>
  <c r="M7903" i="2"/>
  <c r="J7903" i="2"/>
  <c r="I7903" i="2"/>
  <c r="H7903" i="2"/>
  <c r="G7903" i="2"/>
  <c r="F7903" i="2"/>
  <c r="E7903" i="2"/>
  <c r="D7903" i="2"/>
  <c r="C7903" i="2"/>
  <c r="B7903" i="2"/>
  <c r="A7903" i="2"/>
  <c r="U7902" i="2"/>
  <c r="N7902" i="2"/>
  <c r="M7902" i="2"/>
  <c r="J7902" i="2"/>
  <c r="I7902" i="2"/>
  <c r="H7902" i="2"/>
  <c r="G7902" i="2"/>
  <c r="F7902" i="2"/>
  <c r="E7902" i="2"/>
  <c r="D7902" i="2"/>
  <c r="C7902" i="2"/>
  <c r="B7902" i="2"/>
  <c r="A7902" i="2"/>
  <c r="U7901" i="2"/>
  <c r="N7901" i="2"/>
  <c r="M7901" i="2"/>
  <c r="J7901" i="2"/>
  <c r="I7901" i="2"/>
  <c r="H7901" i="2"/>
  <c r="G7901" i="2"/>
  <c r="F7901" i="2"/>
  <c r="E7901" i="2"/>
  <c r="D7901" i="2"/>
  <c r="C7901" i="2"/>
  <c r="B7901" i="2"/>
  <c r="A7901" i="2"/>
  <c r="U7900" i="2"/>
  <c r="N7900" i="2"/>
  <c r="M7900" i="2"/>
  <c r="J7900" i="2"/>
  <c r="I7900" i="2"/>
  <c r="H7900" i="2"/>
  <c r="G7900" i="2"/>
  <c r="F7900" i="2"/>
  <c r="E7900" i="2"/>
  <c r="D7900" i="2"/>
  <c r="C7900" i="2"/>
  <c r="B7900" i="2"/>
  <c r="A7900" i="2"/>
  <c r="U7899" i="2"/>
  <c r="N7899" i="2"/>
  <c r="M7899" i="2"/>
  <c r="J7899" i="2"/>
  <c r="I7899" i="2"/>
  <c r="H7899" i="2"/>
  <c r="G7899" i="2"/>
  <c r="F7899" i="2"/>
  <c r="E7899" i="2"/>
  <c r="D7899" i="2"/>
  <c r="C7899" i="2"/>
  <c r="B7899" i="2"/>
  <c r="A7899" i="2"/>
  <c r="U7898" i="2"/>
  <c r="N7898" i="2"/>
  <c r="M7898" i="2"/>
  <c r="J7898" i="2"/>
  <c r="I7898" i="2"/>
  <c r="H7898" i="2"/>
  <c r="G7898" i="2"/>
  <c r="F7898" i="2"/>
  <c r="E7898" i="2"/>
  <c r="D7898" i="2"/>
  <c r="C7898" i="2"/>
  <c r="B7898" i="2"/>
  <c r="A7898" i="2"/>
  <c r="U7897" i="2"/>
  <c r="N7897" i="2"/>
  <c r="M7897" i="2"/>
  <c r="J7897" i="2"/>
  <c r="I7897" i="2"/>
  <c r="H7897" i="2"/>
  <c r="G7897" i="2"/>
  <c r="F7897" i="2"/>
  <c r="E7897" i="2"/>
  <c r="D7897" i="2"/>
  <c r="C7897" i="2"/>
  <c r="B7897" i="2"/>
  <c r="A7897" i="2"/>
  <c r="U7896" i="2"/>
  <c r="N7896" i="2"/>
  <c r="M7896" i="2"/>
  <c r="J7896" i="2"/>
  <c r="I7896" i="2"/>
  <c r="H7896" i="2"/>
  <c r="G7896" i="2"/>
  <c r="F7896" i="2"/>
  <c r="E7896" i="2"/>
  <c r="D7896" i="2"/>
  <c r="C7896" i="2"/>
  <c r="B7896" i="2"/>
  <c r="A7896" i="2"/>
  <c r="U7895" i="2"/>
  <c r="N7895" i="2"/>
  <c r="M7895" i="2"/>
  <c r="J7895" i="2"/>
  <c r="I7895" i="2"/>
  <c r="H7895" i="2"/>
  <c r="G7895" i="2"/>
  <c r="F7895" i="2"/>
  <c r="E7895" i="2"/>
  <c r="D7895" i="2"/>
  <c r="C7895" i="2"/>
  <c r="B7895" i="2"/>
  <c r="A7895" i="2"/>
  <c r="U7894" i="2"/>
  <c r="N7894" i="2"/>
  <c r="M7894" i="2"/>
  <c r="J7894" i="2"/>
  <c r="I7894" i="2"/>
  <c r="H7894" i="2"/>
  <c r="G7894" i="2"/>
  <c r="F7894" i="2"/>
  <c r="E7894" i="2"/>
  <c r="D7894" i="2"/>
  <c r="C7894" i="2"/>
  <c r="B7894" i="2"/>
  <c r="A7894" i="2"/>
  <c r="U7893" i="2"/>
  <c r="N7893" i="2"/>
  <c r="M7893" i="2"/>
  <c r="J7893" i="2"/>
  <c r="I7893" i="2"/>
  <c r="H7893" i="2"/>
  <c r="G7893" i="2"/>
  <c r="F7893" i="2"/>
  <c r="E7893" i="2"/>
  <c r="D7893" i="2"/>
  <c r="C7893" i="2"/>
  <c r="B7893" i="2"/>
  <c r="A7893" i="2"/>
  <c r="U7892" i="2"/>
  <c r="N7892" i="2"/>
  <c r="M7892" i="2"/>
  <c r="J7892" i="2"/>
  <c r="I7892" i="2"/>
  <c r="H7892" i="2"/>
  <c r="G7892" i="2"/>
  <c r="F7892" i="2"/>
  <c r="E7892" i="2"/>
  <c r="D7892" i="2"/>
  <c r="C7892" i="2"/>
  <c r="B7892" i="2"/>
  <c r="A7892" i="2"/>
  <c r="U7891" i="2"/>
  <c r="N7891" i="2"/>
  <c r="M7891" i="2"/>
  <c r="J7891" i="2"/>
  <c r="I7891" i="2"/>
  <c r="H7891" i="2"/>
  <c r="G7891" i="2"/>
  <c r="F7891" i="2"/>
  <c r="E7891" i="2"/>
  <c r="D7891" i="2"/>
  <c r="C7891" i="2"/>
  <c r="B7891" i="2"/>
  <c r="A7891" i="2"/>
  <c r="U7890" i="2"/>
  <c r="N7890" i="2"/>
  <c r="M7890" i="2"/>
  <c r="J7890" i="2"/>
  <c r="I7890" i="2"/>
  <c r="H7890" i="2"/>
  <c r="G7890" i="2"/>
  <c r="F7890" i="2"/>
  <c r="E7890" i="2"/>
  <c r="D7890" i="2"/>
  <c r="C7890" i="2"/>
  <c r="B7890" i="2"/>
  <c r="A7890" i="2"/>
  <c r="U7889" i="2"/>
  <c r="N7889" i="2"/>
  <c r="M7889" i="2"/>
  <c r="J7889" i="2"/>
  <c r="I7889" i="2"/>
  <c r="H7889" i="2"/>
  <c r="G7889" i="2"/>
  <c r="F7889" i="2"/>
  <c r="E7889" i="2"/>
  <c r="D7889" i="2"/>
  <c r="C7889" i="2"/>
  <c r="B7889" i="2"/>
  <c r="A7889" i="2"/>
  <c r="U7888" i="2"/>
  <c r="N7888" i="2"/>
  <c r="M7888" i="2"/>
  <c r="J7888" i="2"/>
  <c r="I7888" i="2"/>
  <c r="H7888" i="2"/>
  <c r="G7888" i="2"/>
  <c r="F7888" i="2"/>
  <c r="E7888" i="2"/>
  <c r="D7888" i="2"/>
  <c r="C7888" i="2"/>
  <c r="B7888" i="2"/>
  <c r="A7888" i="2"/>
  <c r="U7887" i="2"/>
  <c r="N7887" i="2"/>
  <c r="M7887" i="2"/>
  <c r="J7887" i="2"/>
  <c r="I7887" i="2"/>
  <c r="H7887" i="2"/>
  <c r="G7887" i="2"/>
  <c r="F7887" i="2"/>
  <c r="E7887" i="2"/>
  <c r="D7887" i="2"/>
  <c r="C7887" i="2"/>
  <c r="B7887" i="2"/>
  <c r="A7887" i="2"/>
  <c r="U7886" i="2"/>
  <c r="N7886" i="2"/>
  <c r="M7886" i="2"/>
  <c r="J7886" i="2"/>
  <c r="I7886" i="2"/>
  <c r="H7886" i="2"/>
  <c r="G7886" i="2"/>
  <c r="F7886" i="2"/>
  <c r="E7886" i="2"/>
  <c r="D7886" i="2"/>
  <c r="C7886" i="2"/>
  <c r="B7886" i="2"/>
  <c r="A7886" i="2"/>
  <c r="U7885" i="2"/>
  <c r="N7885" i="2"/>
  <c r="M7885" i="2"/>
  <c r="J7885" i="2"/>
  <c r="I7885" i="2"/>
  <c r="H7885" i="2"/>
  <c r="G7885" i="2"/>
  <c r="F7885" i="2"/>
  <c r="E7885" i="2"/>
  <c r="D7885" i="2"/>
  <c r="C7885" i="2"/>
  <c r="B7885" i="2"/>
  <c r="A7885" i="2"/>
  <c r="U7884" i="2"/>
  <c r="N7884" i="2"/>
  <c r="M7884" i="2"/>
  <c r="J7884" i="2"/>
  <c r="I7884" i="2"/>
  <c r="H7884" i="2"/>
  <c r="G7884" i="2"/>
  <c r="F7884" i="2"/>
  <c r="E7884" i="2"/>
  <c r="D7884" i="2"/>
  <c r="C7884" i="2"/>
  <c r="B7884" i="2"/>
  <c r="A7884" i="2"/>
  <c r="U7883" i="2"/>
  <c r="N7883" i="2"/>
  <c r="M7883" i="2"/>
  <c r="J7883" i="2"/>
  <c r="I7883" i="2"/>
  <c r="H7883" i="2"/>
  <c r="G7883" i="2"/>
  <c r="F7883" i="2"/>
  <c r="E7883" i="2"/>
  <c r="D7883" i="2"/>
  <c r="C7883" i="2"/>
  <c r="B7883" i="2"/>
  <c r="A7883" i="2"/>
  <c r="U7882" i="2"/>
  <c r="N7882" i="2"/>
  <c r="M7882" i="2"/>
  <c r="J7882" i="2"/>
  <c r="I7882" i="2"/>
  <c r="H7882" i="2"/>
  <c r="G7882" i="2"/>
  <c r="F7882" i="2"/>
  <c r="E7882" i="2"/>
  <c r="D7882" i="2"/>
  <c r="C7882" i="2"/>
  <c r="B7882" i="2"/>
  <c r="A7882" i="2"/>
  <c r="U7881" i="2"/>
  <c r="N7881" i="2"/>
  <c r="M7881" i="2"/>
  <c r="J7881" i="2"/>
  <c r="I7881" i="2"/>
  <c r="H7881" i="2"/>
  <c r="G7881" i="2"/>
  <c r="F7881" i="2"/>
  <c r="E7881" i="2"/>
  <c r="D7881" i="2"/>
  <c r="C7881" i="2"/>
  <c r="B7881" i="2"/>
  <c r="A7881" i="2"/>
  <c r="U7880" i="2"/>
  <c r="N7880" i="2"/>
  <c r="M7880" i="2"/>
  <c r="J7880" i="2"/>
  <c r="I7880" i="2"/>
  <c r="H7880" i="2"/>
  <c r="G7880" i="2"/>
  <c r="F7880" i="2"/>
  <c r="E7880" i="2"/>
  <c r="D7880" i="2"/>
  <c r="C7880" i="2"/>
  <c r="B7880" i="2"/>
  <c r="A7880" i="2"/>
  <c r="U7879" i="2"/>
  <c r="N7879" i="2"/>
  <c r="M7879" i="2"/>
  <c r="J7879" i="2"/>
  <c r="I7879" i="2"/>
  <c r="H7879" i="2"/>
  <c r="G7879" i="2"/>
  <c r="F7879" i="2"/>
  <c r="E7879" i="2"/>
  <c r="D7879" i="2"/>
  <c r="C7879" i="2"/>
  <c r="B7879" i="2"/>
  <c r="A7879" i="2"/>
  <c r="U7878" i="2"/>
  <c r="N7878" i="2"/>
  <c r="M7878" i="2"/>
  <c r="J7878" i="2"/>
  <c r="I7878" i="2"/>
  <c r="H7878" i="2"/>
  <c r="G7878" i="2"/>
  <c r="F7878" i="2"/>
  <c r="E7878" i="2"/>
  <c r="D7878" i="2"/>
  <c r="C7878" i="2"/>
  <c r="B7878" i="2"/>
  <c r="A7878" i="2"/>
  <c r="U7877" i="2"/>
  <c r="N7877" i="2"/>
  <c r="M7877" i="2"/>
  <c r="J7877" i="2"/>
  <c r="I7877" i="2"/>
  <c r="H7877" i="2"/>
  <c r="G7877" i="2"/>
  <c r="F7877" i="2"/>
  <c r="E7877" i="2"/>
  <c r="D7877" i="2"/>
  <c r="C7877" i="2"/>
  <c r="B7877" i="2"/>
  <c r="A7877" i="2"/>
  <c r="U7876" i="2"/>
  <c r="N7876" i="2"/>
  <c r="M7876" i="2"/>
  <c r="J7876" i="2"/>
  <c r="I7876" i="2"/>
  <c r="H7876" i="2"/>
  <c r="G7876" i="2"/>
  <c r="F7876" i="2"/>
  <c r="E7876" i="2"/>
  <c r="D7876" i="2"/>
  <c r="C7876" i="2"/>
  <c r="B7876" i="2"/>
  <c r="A7876" i="2"/>
  <c r="U7875" i="2"/>
  <c r="N7875" i="2"/>
  <c r="M7875" i="2"/>
  <c r="J7875" i="2"/>
  <c r="I7875" i="2"/>
  <c r="H7875" i="2"/>
  <c r="G7875" i="2"/>
  <c r="F7875" i="2"/>
  <c r="E7875" i="2"/>
  <c r="D7875" i="2"/>
  <c r="C7875" i="2"/>
  <c r="B7875" i="2"/>
  <c r="A7875" i="2"/>
  <c r="U7874" i="2"/>
  <c r="N7874" i="2"/>
  <c r="M7874" i="2"/>
  <c r="J7874" i="2"/>
  <c r="I7874" i="2"/>
  <c r="H7874" i="2"/>
  <c r="G7874" i="2"/>
  <c r="F7874" i="2"/>
  <c r="E7874" i="2"/>
  <c r="D7874" i="2"/>
  <c r="C7874" i="2"/>
  <c r="B7874" i="2"/>
  <c r="A7874" i="2"/>
  <c r="U7873" i="2"/>
  <c r="N7873" i="2"/>
  <c r="M7873" i="2"/>
  <c r="J7873" i="2"/>
  <c r="I7873" i="2"/>
  <c r="H7873" i="2"/>
  <c r="G7873" i="2"/>
  <c r="F7873" i="2"/>
  <c r="E7873" i="2"/>
  <c r="D7873" i="2"/>
  <c r="C7873" i="2"/>
  <c r="B7873" i="2"/>
  <c r="A7873" i="2"/>
  <c r="U7872" i="2"/>
  <c r="N7872" i="2"/>
  <c r="M7872" i="2"/>
  <c r="J7872" i="2"/>
  <c r="I7872" i="2"/>
  <c r="H7872" i="2"/>
  <c r="G7872" i="2"/>
  <c r="F7872" i="2"/>
  <c r="E7872" i="2"/>
  <c r="D7872" i="2"/>
  <c r="C7872" i="2"/>
  <c r="B7872" i="2"/>
  <c r="A7872" i="2"/>
  <c r="U7871" i="2"/>
  <c r="N7871" i="2"/>
  <c r="M7871" i="2"/>
  <c r="J7871" i="2"/>
  <c r="I7871" i="2"/>
  <c r="H7871" i="2"/>
  <c r="G7871" i="2"/>
  <c r="F7871" i="2"/>
  <c r="E7871" i="2"/>
  <c r="D7871" i="2"/>
  <c r="C7871" i="2"/>
  <c r="B7871" i="2"/>
  <c r="A7871" i="2"/>
  <c r="U7870" i="2"/>
  <c r="N7870" i="2"/>
  <c r="M7870" i="2"/>
  <c r="J7870" i="2"/>
  <c r="I7870" i="2"/>
  <c r="H7870" i="2"/>
  <c r="G7870" i="2"/>
  <c r="F7870" i="2"/>
  <c r="E7870" i="2"/>
  <c r="D7870" i="2"/>
  <c r="C7870" i="2"/>
  <c r="B7870" i="2"/>
  <c r="A7870" i="2"/>
  <c r="U7869" i="2"/>
  <c r="N7869" i="2"/>
  <c r="M7869" i="2"/>
  <c r="J7869" i="2"/>
  <c r="I7869" i="2"/>
  <c r="H7869" i="2"/>
  <c r="G7869" i="2"/>
  <c r="F7869" i="2"/>
  <c r="E7869" i="2"/>
  <c r="D7869" i="2"/>
  <c r="C7869" i="2"/>
  <c r="B7869" i="2"/>
  <c r="A7869" i="2"/>
  <c r="U7868" i="2"/>
  <c r="N7868" i="2"/>
  <c r="M7868" i="2"/>
  <c r="J7868" i="2"/>
  <c r="I7868" i="2"/>
  <c r="H7868" i="2"/>
  <c r="G7868" i="2"/>
  <c r="F7868" i="2"/>
  <c r="E7868" i="2"/>
  <c r="D7868" i="2"/>
  <c r="C7868" i="2"/>
  <c r="B7868" i="2"/>
  <c r="A7868" i="2"/>
  <c r="U7867" i="2"/>
  <c r="N7867" i="2"/>
  <c r="M7867" i="2"/>
  <c r="J7867" i="2"/>
  <c r="I7867" i="2"/>
  <c r="H7867" i="2"/>
  <c r="G7867" i="2"/>
  <c r="F7867" i="2"/>
  <c r="E7867" i="2"/>
  <c r="D7867" i="2"/>
  <c r="C7867" i="2"/>
  <c r="B7867" i="2"/>
  <c r="A7867" i="2"/>
  <c r="U7866" i="2"/>
  <c r="N7866" i="2"/>
  <c r="M7866" i="2"/>
  <c r="J7866" i="2"/>
  <c r="I7866" i="2"/>
  <c r="H7866" i="2"/>
  <c r="G7866" i="2"/>
  <c r="F7866" i="2"/>
  <c r="E7866" i="2"/>
  <c r="D7866" i="2"/>
  <c r="C7866" i="2"/>
  <c r="B7866" i="2"/>
  <c r="A7866" i="2"/>
  <c r="U7865" i="2"/>
  <c r="N7865" i="2"/>
  <c r="M7865" i="2"/>
  <c r="J7865" i="2"/>
  <c r="I7865" i="2"/>
  <c r="H7865" i="2"/>
  <c r="G7865" i="2"/>
  <c r="F7865" i="2"/>
  <c r="E7865" i="2"/>
  <c r="D7865" i="2"/>
  <c r="C7865" i="2"/>
  <c r="B7865" i="2"/>
  <c r="A7865" i="2"/>
  <c r="U7864" i="2"/>
  <c r="N7864" i="2"/>
  <c r="M7864" i="2"/>
  <c r="J7864" i="2"/>
  <c r="I7864" i="2"/>
  <c r="H7864" i="2"/>
  <c r="G7864" i="2"/>
  <c r="F7864" i="2"/>
  <c r="E7864" i="2"/>
  <c r="D7864" i="2"/>
  <c r="C7864" i="2"/>
  <c r="B7864" i="2"/>
  <c r="A7864" i="2"/>
  <c r="U7863" i="2"/>
  <c r="N7863" i="2"/>
  <c r="M7863" i="2"/>
  <c r="J7863" i="2"/>
  <c r="I7863" i="2"/>
  <c r="H7863" i="2"/>
  <c r="G7863" i="2"/>
  <c r="F7863" i="2"/>
  <c r="E7863" i="2"/>
  <c r="D7863" i="2"/>
  <c r="C7863" i="2"/>
  <c r="B7863" i="2"/>
  <c r="A7863" i="2"/>
  <c r="U7862" i="2"/>
  <c r="N7862" i="2"/>
  <c r="M7862" i="2"/>
  <c r="J7862" i="2"/>
  <c r="I7862" i="2"/>
  <c r="H7862" i="2"/>
  <c r="G7862" i="2"/>
  <c r="F7862" i="2"/>
  <c r="E7862" i="2"/>
  <c r="D7862" i="2"/>
  <c r="C7862" i="2"/>
  <c r="B7862" i="2"/>
  <c r="A7862" i="2"/>
  <c r="U7861" i="2"/>
  <c r="N7861" i="2"/>
  <c r="M7861" i="2"/>
  <c r="J7861" i="2"/>
  <c r="I7861" i="2"/>
  <c r="H7861" i="2"/>
  <c r="G7861" i="2"/>
  <c r="F7861" i="2"/>
  <c r="E7861" i="2"/>
  <c r="D7861" i="2"/>
  <c r="C7861" i="2"/>
  <c r="B7861" i="2"/>
  <c r="A7861" i="2"/>
  <c r="U7860" i="2"/>
  <c r="N7860" i="2"/>
  <c r="M7860" i="2"/>
  <c r="J7860" i="2"/>
  <c r="I7860" i="2"/>
  <c r="H7860" i="2"/>
  <c r="G7860" i="2"/>
  <c r="F7860" i="2"/>
  <c r="E7860" i="2"/>
  <c r="D7860" i="2"/>
  <c r="C7860" i="2"/>
  <c r="B7860" i="2"/>
  <c r="A7860" i="2"/>
  <c r="U7859" i="2"/>
  <c r="N7859" i="2"/>
  <c r="M7859" i="2"/>
  <c r="J7859" i="2"/>
  <c r="I7859" i="2"/>
  <c r="H7859" i="2"/>
  <c r="G7859" i="2"/>
  <c r="F7859" i="2"/>
  <c r="E7859" i="2"/>
  <c r="D7859" i="2"/>
  <c r="C7859" i="2"/>
  <c r="B7859" i="2"/>
  <c r="A7859" i="2"/>
  <c r="U7858" i="2"/>
  <c r="N7858" i="2"/>
  <c r="M7858" i="2"/>
  <c r="J7858" i="2"/>
  <c r="I7858" i="2"/>
  <c r="H7858" i="2"/>
  <c r="G7858" i="2"/>
  <c r="F7858" i="2"/>
  <c r="E7858" i="2"/>
  <c r="D7858" i="2"/>
  <c r="C7858" i="2"/>
  <c r="B7858" i="2"/>
  <c r="A7858" i="2"/>
  <c r="Q7857" i="2"/>
  <c r="U7857" i="2" s="1"/>
  <c r="N7857" i="2"/>
  <c r="M7857" i="2"/>
  <c r="J7857" i="2"/>
  <c r="I7857" i="2"/>
  <c r="H7857" i="2"/>
  <c r="G7857" i="2"/>
  <c r="F7857" i="2"/>
  <c r="E7857" i="2"/>
  <c r="D7857" i="2"/>
  <c r="C7857" i="2"/>
  <c r="B7857" i="2"/>
  <c r="A7857" i="2"/>
  <c r="U7856" i="2"/>
  <c r="N7856" i="2"/>
  <c r="M7856" i="2"/>
  <c r="J7856" i="2"/>
  <c r="I7856" i="2"/>
  <c r="H7856" i="2"/>
  <c r="G7856" i="2"/>
  <c r="F7856" i="2"/>
  <c r="E7856" i="2"/>
  <c r="D7856" i="2"/>
  <c r="C7856" i="2"/>
  <c r="B7856" i="2"/>
  <c r="A7856" i="2"/>
  <c r="U7855" i="2"/>
  <c r="N7855" i="2"/>
  <c r="M7855" i="2"/>
  <c r="J7855" i="2"/>
  <c r="I7855" i="2"/>
  <c r="H7855" i="2"/>
  <c r="G7855" i="2"/>
  <c r="F7855" i="2"/>
  <c r="E7855" i="2"/>
  <c r="D7855" i="2"/>
  <c r="C7855" i="2"/>
  <c r="B7855" i="2"/>
  <c r="A7855" i="2"/>
  <c r="U7854" i="2"/>
  <c r="N7854" i="2"/>
  <c r="M7854" i="2"/>
  <c r="J7854" i="2"/>
  <c r="I7854" i="2"/>
  <c r="H7854" i="2"/>
  <c r="G7854" i="2"/>
  <c r="F7854" i="2"/>
  <c r="E7854" i="2"/>
  <c r="D7854" i="2"/>
  <c r="C7854" i="2"/>
  <c r="B7854" i="2"/>
  <c r="A7854" i="2"/>
  <c r="U7853" i="2"/>
  <c r="N7853" i="2"/>
  <c r="M7853" i="2"/>
  <c r="J7853" i="2"/>
  <c r="I7853" i="2"/>
  <c r="H7853" i="2"/>
  <c r="G7853" i="2"/>
  <c r="F7853" i="2"/>
  <c r="E7853" i="2"/>
  <c r="D7853" i="2"/>
  <c r="C7853" i="2"/>
  <c r="B7853" i="2"/>
  <c r="A7853" i="2"/>
  <c r="U7852" i="2"/>
  <c r="N7852" i="2"/>
  <c r="M7852" i="2"/>
  <c r="J7852" i="2"/>
  <c r="I7852" i="2"/>
  <c r="H7852" i="2"/>
  <c r="G7852" i="2"/>
  <c r="F7852" i="2"/>
  <c r="E7852" i="2"/>
  <c r="D7852" i="2"/>
  <c r="C7852" i="2"/>
  <c r="B7852" i="2"/>
  <c r="A7852" i="2"/>
  <c r="U7851" i="2"/>
  <c r="N7851" i="2"/>
  <c r="M7851" i="2"/>
  <c r="J7851" i="2"/>
  <c r="I7851" i="2"/>
  <c r="H7851" i="2"/>
  <c r="G7851" i="2"/>
  <c r="F7851" i="2"/>
  <c r="E7851" i="2"/>
  <c r="D7851" i="2"/>
  <c r="C7851" i="2"/>
  <c r="B7851" i="2"/>
  <c r="A7851" i="2"/>
  <c r="U7850" i="2"/>
  <c r="N7850" i="2"/>
  <c r="M7850" i="2"/>
  <c r="J7850" i="2"/>
  <c r="I7850" i="2"/>
  <c r="H7850" i="2"/>
  <c r="G7850" i="2"/>
  <c r="F7850" i="2"/>
  <c r="E7850" i="2"/>
  <c r="D7850" i="2"/>
  <c r="C7850" i="2"/>
  <c r="B7850" i="2"/>
  <c r="A7850" i="2"/>
  <c r="U7849" i="2"/>
  <c r="N7849" i="2"/>
  <c r="M7849" i="2"/>
  <c r="J7849" i="2"/>
  <c r="I7849" i="2"/>
  <c r="H7849" i="2"/>
  <c r="G7849" i="2"/>
  <c r="F7849" i="2"/>
  <c r="E7849" i="2"/>
  <c r="D7849" i="2"/>
  <c r="C7849" i="2"/>
  <c r="B7849" i="2"/>
  <c r="A7849" i="2"/>
  <c r="U7848" i="2"/>
  <c r="N7848" i="2"/>
  <c r="M7848" i="2"/>
  <c r="J7848" i="2"/>
  <c r="I7848" i="2"/>
  <c r="H7848" i="2"/>
  <c r="G7848" i="2"/>
  <c r="F7848" i="2"/>
  <c r="E7848" i="2"/>
  <c r="D7848" i="2"/>
  <c r="C7848" i="2"/>
  <c r="B7848" i="2"/>
  <c r="A7848" i="2"/>
  <c r="U7847" i="2"/>
  <c r="N7847" i="2"/>
  <c r="M7847" i="2"/>
  <c r="J7847" i="2"/>
  <c r="I7847" i="2"/>
  <c r="H7847" i="2"/>
  <c r="G7847" i="2"/>
  <c r="F7847" i="2"/>
  <c r="E7847" i="2"/>
  <c r="D7847" i="2"/>
  <c r="C7847" i="2"/>
  <c r="B7847" i="2"/>
  <c r="A7847" i="2"/>
  <c r="U7846" i="2"/>
  <c r="N7846" i="2"/>
  <c r="M7846" i="2"/>
  <c r="J7846" i="2"/>
  <c r="I7846" i="2"/>
  <c r="H7846" i="2"/>
  <c r="G7846" i="2"/>
  <c r="F7846" i="2"/>
  <c r="E7846" i="2"/>
  <c r="D7846" i="2"/>
  <c r="C7846" i="2"/>
  <c r="B7846" i="2"/>
  <c r="A7846" i="2"/>
  <c r="U7845" i="2"/>
  <c r="N7845" i="2"/>
  <c r="M7845" i="2"/>
  <c r="J7845" i="2"/>
  <c r="I7845" i="2"/>
  <c r="H7845" i="2"/>
  <c r="G7845" i="2"/>
  <c r="F7845" i="2"/>
  <c r="E7845" i="2"/>
  <c r="D7845" i="2"/>
  <c r="C7845" i="2"/>
  <c r="B7845" i="2"/>
  <c r="A7845" i="2"/>
  <c r="U7844" i="2"/>
  <c r="N7844" i="2"/>
  <c r="M7844" i="2"/>
  <c r="J7844" i="2"/>
  <c r="I7844" i="2"/>
  <c r="H7844" i="2"/>
  <c r="G7844" i="2"/>
  <c r="F7844" i="2"/>
  <c r="E7844" i="2"/>
  <c r="D7844" i="2"/>
  <c r="C7844" i="2"/>
  <c r="B7844" i="2"/>
  <c r="A7844" i="2"/>
  <c r="U7843" i="2"/>
  <c r="N7843" i="2"/>
  <c r="M7843" i="2"/>
  <c r="J7843" i="2"/>
  <c r="I7843" i="2"/>
  <c r="H7843" i="2"/>
  <c r="G7843" i="2"/>
  <c r="F7843" i="2"/>
  <c r="E7843" i="2"/>
  <c r="D7843" i="2"/>
  <c r="C7843" i="2"/>
  <c r="B7843" i="2"/>
  <c r="A7843" i="2"/>
  <c r="U7842" i="2"/>
  <c r="N7842" i="2"/>
  <c r="M7842" i="2"/>
  <c r="J7842" i="2"/>
  <c r="I7842" i="2"/>
  <c r="H7842" i="2"/>
  <c r="G7842" i="2"/>
  <c r="F7842" i="2"/>
  <c r="E7842" i="2"/>
  <c r="D7842" i="2"/>
  <c r="C7842" i="2"/>
  <c r="B7842" i="2"/>
  <c r="A7842" i="2"/>
  <c r="U7841" i="2"/>
  <c r="N7841" i="2"/>
  <c r="M7841" i="2"/>
  <c r="J7841" i="2"/>
  <c r="I7841" i="2"/>
  <c r="H7841" i="2"/>
  <c r="G7841" i="2"/>
  <c r="F7841" i="2"/>
  <c r="E7841" i="2"/>
  <c r="D7841" i="2"/>
  <c r="C7841" i="2"/>
  <c r="B7841" i="2"/>
  <c r="A7841" i="2"/>
  <c r="U7840" i="2"/>
  <c r="N7840" i="2"/>
  <c r="M7840" i="2"/>
  <c r="J7840" i="2"/>
  <c r="I7840" i="2"/>
  <c r="H7840" i="2"/>
  <c r="G7840" i="2"/>
  <c r="F7840" i="2"/>
  <c r="E7840" i="2"/>
  <c r="D7840" i="2"/>
  <c r="C7840" i="2"/>
  <c r="B7840" i="2"/>
  <c r="A7840" i="2"/>
  <c r="U7839" i="2"/>
  <c r="N7839" i="2"/>
  <c r="M7839" i="2"/>
  <c r="J7839" i="2"/>
  <c r="I7839" i="2"/>
  <c r="H7839" i="2"/>
  <c r="G7839" i="2"/>
  <c r="F7839" i="2"/>
  <c r="E7839" i="2"/>
  <c r="D7839" i="2"/>
  <c r="C7839" i="2"/>
  <c r="B7839" i="2"/>
  <c r="A7839" i="2"/>
  <c r="U7838" i="2"/>
  <c r="N7838" i="2"/>
  <c r="M7838" i="2"/>
  <c r="J7838" i="2"/>
  <c r="I7838" i="2"/>
  <c r="H7838" i="2"/>
  <c r="G7838" i="2"/>
  <c r="F7838" i="2"/>
  <c r="E7838" i="2"/>
  <c r="D7838" i="2"/>
  <c r="C7838" i="2"/>
  <c r="B7838" i="2"/>
  <c r="A7838" i="2"/>
  <c r="U7837" i="2"/>
  <c r="N7837" i="2"/>
  <c r="M7837" i="2"/>
  <c r="J7837" i="2"/>
  <c r="I7837" i="2"/>
  <c r="H7837" i="2"/>
  <c r="G7837" i="2"/>
  <c r="F7837" i="2"/>
  <c r="E7837" i="2"/>
  <c r="D7837" i="2"/>
  <c r="C7837" i="2"/>
  <c r="B7837" i="2"/>
  <c r="A7837" i="2"/>
  <c r="U7836" i="2"/>
  <c r="N7836" i="2"/>
  <c r="M7836" i="2"/>
  <c r="J7836" i="2"/>
  <c r="I7836" i="2"/>
  <c r="H7836" i="2"/>
  <c r="G7836" i="2"/>
  <c r="F7836" i="2"/>
  <c r="E7836" i="2"/>
  <c r="D7836" i="2"/>
  <c r="C7836" i="2"/>
  <c r="B7836" i="2"/>
  <c r="A7836" i="2"/>
  <c r="U7835" i="2"/>
  <c r="N7835" i="2"/>
  <c r="M7835" i="2"/>
  <c r="J7835" i="2"/>
  <c r="I7835" i="2"/>
  <c r="H7835" i="2"/>
  <c r="G7835" i="2"/>
  <c r="F7835" i="2"/>
  <c r="E7835" i="2"/>
  <c r="D7835" i="2"/>
  <c r="C7835" i="2"/>
  <c r="B7835" i="2"/>
  <c r="A7835" i="2"/>
  <c r="U7834" i="2"/>
  <c r="N7834" i="2"/>
  <c r="M7834" i="2"/>
  <c r="J7834" i="2"/>
  <c r="I7834" i="2"/>
  <c r="H7834" i="2"/>
  <c r="G7834" i="2"/>
  <c r="F7834" i="2"/>
  <c r="E7834" i="2"/>
  <c r="D7834" i="2"/>
  <c r="C7834" i="2"/>
  <c r="B7834" i="2"/>
  <c r="A7834" i="2"/>
  <c r="U7833" i="2"/>
  <c r="N7833" i="2"/>
  <c r="M7833" i="2"/>
  <c r="J7833" i="2"/>
  <c r="I7833" i="2"/>
  <c r="H7833" i="2"/>
  <c r="G7833" i="2"/>
  <c r="F7833" i="2"/>
  <c r="E7833" i="2"/>
  <c r="D7833" i="2"/>
  <c r="C7833" i="2"/>
  <c r="B7833" i="2"/>
  <c r="A7833" i="2"/>
  <c r="U7832" i="2"/>
  <c r="N7832" i="2"/>
  <c r="M7832" i="2"/>
  <c r="J7832" i="2"/>
  <c r="I7832" i="2"/>
  <c r="H7832" i="2"/>
  <c r="G7832" i="2"/>
  <c r="F7832" i="2"/>
  <c r="E7832" i="2"/>
  <c r="D7832" i="2"/>
  <c r="C7832" i="2"/>
  <c r="B7832" i="2"/>
  <c r="A7832" i="2"/>
  <c r="U7831" i="2"/>
  <c r="N7831" i="2"/>
  <c r="M7831" i="2"/>
  <c r="J7831" i="2"/>
  <c r="I7831" i="2"/>
  <c r="H7831" i="2"/>
  <c r="G7831" i="2"/>
  <c r="F7831" i="2"/>
  <c r="E7831" i="2"/>
  <c r="D7831" i="2"/>
  <c r="C7831" i="2"/>
  <c r="B7831" i="2"/>
  <c r="A7831" i="2"/>
  <c r="U7830" i="2"/>
  <c r="N7830" i="2"/>
  <c r="M7830" i="2"/>
  <c r="J7830" i="2"/>
  <c r="I7830" i="2"/>
  <c r="H7830" i="2"/>
  <c r="G7830" i="2"/>
  <c r="F7830" i="2"/>
  <c r="E7830" i="2"/>
  <c r="D7830" i="2"/>
  <c r="C7830" i="2"/>
  <c r="B7830" i="2"/>
  <c r="A7830" i="2"/>
  <c r="U7829" i="2"/>
  <c r="N7829" i="2"/>
  <c r="M7829" i="2"/>
  <c r="J7829" i="2"/>
  <c r="I7829" i="2"/>
  <c r="H7829" i="2"/>
  <c r="G7829" i="2"/>
  <c r="F7829" i="2"/>
  <c r="E7829" i="2"/>
  <c r="D7829" i="2"/>
  <c r="C7829" i="2"/>
  <c r="B7829" i="2"/>
  <c r="A7829" i="2"/>
  <c r="U7828" i="2"/>
  <c r="N7828" i="2"/>
  <c r="M7828" i="2"/>
  <c r="J7828" i="2"/>
  <c r="I7828" i="2"/>
  <c r="H7828" i="2"/>
  <c r="G7828" i="2"/>
  <c r="F7828" i="2"/>
  <c r="E7828" i="2"/>
  <c r="D7828" i="2"/>
  <c r="C7828" i="2"/>
  <c r="B7828" i="2"/>
  <c r="A7828" i="2"/>
  <c r="U7827" i="2"/>
  <c r="N7827" i="2"/>
  <c r="M7827" i="2"/>
  <c r="J7827" i="2"/>
  <c r="I7827" i="2"/>
  <c r="H7827" i="2"/>
  <c r="G7827" i="2"/>
  <c r="F7827" i="2"/>
  <c r="E7827" i="2"/>
  <c r="D7827" i="2"/>
  <c r="C7827" i="2"/>
  <c r="B7827" i="2"/>
  <c r="A7827" i="2"/>
  <c r="U7826" i="2"/>
  <c r="N7826" i="2"/>
  <c r="M7826" i="2"/>
  <c r="J7826" i="2"/>
  <c r="I7826" i="2"/>
  <c r="H7826" i="2"/>
  <c r="G7826" i="2"/>
  <c r="F7826" i="2"/>
  <c r="E7826" i="2"/>
  <c r="D7826" i="2"/>
  <c r="C7826" i="2"/>
  <c r="B7826" i="2"/>
  <c r="A7826" i="2"/>
  <c r="U7825" i="2"/>
  <c r="N7825" i="2"/>
  <c r="M7825" i="2"/>
  <c r="J7825" i="2"/>
  <c r="I7825" i="2"/>
  <c r="H7825" i="2"/>
  <c r="G7825" i="2"/>
  <c r="F7825" i="2"/>
  <c r="E7825" i="2"/>
  <c r="D7825" i="2"/>
  <c r="C7825" i="2"/>
  <c r="B7825" i="2"/>
  <c r="A7825" i="2"/>
  <c r="U7824" i="2"/>
  <c r="N7824" i="2"/>
  <c r="M7824" i="2"/>
  <c r="J7824" i="2"/>
  <c r="I7824" i="2"/>
  <c r="H7824" i="2"/>
  <c r="G7824" i="2"/>
  <c r="F7824" i="2"/>
  <c r="E7824" i="2"/>
  <c r="D7824" i="2"/>
  <c r="C7824" i="2"/>
  <c r="B7824" i="2"/>
  <c r="A7824" i="2"/>
  <c r="U7823" i="2"/>
  <c r="N7823" i="2"/>
  <c r="M7823" i="2"/>
  <c r="J7823" i="2"/>
  <c r="I7823" i="2"/>
  <c r="H7823" i="2"/>
  <c r="G7823" i="2"/>
  <c r="F7823" i="2"/>
  <c r="E7823" i="2"/>
  <c r="D7823" i="2"/>
  <c r="C7823" i="2"/>
  <c r="B7823" i="2"/>
  <c r="A7823" i="2"/>
  <c r="U7822" i="2"/>
  <c r="N7822" i="2"/>
  <c r="M7822" i="2"/>
  <c r="J7822" i="2"/>
  <c r="I7822" i="2"/>
  <c r="H7822" i="2"/>
  <c r="G7822" i="2"/>
  <c r="F7822" i="2"/>
  <c r="E7822" i="2"/>
  <c r="D7822" i="2"/>
  <c r="C7822" i="2"/>
  <c r="B7822" i="2"/>
  <c r="A7822" i="2"/>
  <c r="U7821" i="2"/>
  <c r="N7821" i="2"/>
  <c r="M7821" i="2"/>
  <c r="J7821" i="2"/>
  <c r="I7821" i="2"/>
  <c r="H7821" i="2"/>
  <c r="G7821" i="2"/>
  <c r="F7821" i="2"/>
  <c r="E7821" i="2"/>
  <c r="D7821" i="2"/>
  <c r="C7821" i="2"/>
  <c r="B7821" i="2"/>
  <c r="A7821" i="2"/>
  <c r="U7820" i="2"/>
  <c r="N7820" i="2"/>
  <c r="M7820" i="2"/>
  <c r="J7820" i="2"/>
  <c r="I7820" i="2"/>
  <c r="H7820" i="2"/>
  <c r="G7820" i="2"/>
  <c r="F7820" i="2"/>
  <c r="E7820" i="2"/>
  <c r="D7820" i="2"/>
  <c r="C7820" i="2"/>
  <c r="B7820" i="2"/>
  <c r="A7820" i="2"/>
  <c r="U7819" i="2"/>
  <c r="N7819" i="2"/>
  <c r="M7819" i="2"/>
  <c r="J7819" i="2"/>
  <c r="I7819" i="2"/>
  <c r="H7819" i="2"/>
  <c r="G7819" i="2"/>
  <c r="F7819" i="2"/>
  <c r="E7819" i="2"/>
  <c r="D7819" i="2"/>
  <c r="C7819" i="2"/>
  <c r="B7819" i="2"/>
  <c r="A7819" i="2"/>
  <c r="U7818" i="2"/>
  <c r="N7818" i="2"/>
  <c r="M7818" i="2"/>
  <c r="J7818" i="2"/>
  <c r="I7818" i="2"/>
  <c r="H7818" i="2"/>
  <c r="G7818" i="2"/>
  <c r="F7818" i="2"/>
  <c r="E7818" i="2"/>
  <c r="D7818" i="2"/>
  <c r="C7818" i="2"/>
  <c r="B7818" i="2"/>
  <c r="A7818" i="2"/>
  <c r="U7817" i="2"/>
  <c r="N7817" i="2"/>
  <c r="M7817" i="2"/>
  <c r="J7817" i="2"/>
  <c r="I7817" i="2"/>
  <c r="H7817" i="2"/>
  <c r="G7817" i="2"/>
  <c r="F7817" i="2"/>
  <c r="E7817" i="2"/>
  <c r="D7817" i="2"/>
  <c r="C7817" i="2"/>
  <c r="B7817" i="2"/>
  <c r="A7817" i="2"/>
  <c r="U7816" i="2"/>
  <c r="N7816" i="2"/>
  <c r="M7816" i="2"/>
  <c r="J7816" i="2"/>
  <c r="I7816" i="2"/>
  <c r="H7816" i="2"/>
  <c r="G7816" i="2"/>
  <c r="F7816" i="2"/>
  <c r="E7816" i="2"/>
  <c r="D7816" i="2"/>
  <c r="C7816" i="2"/>
  <c r="B7816" i="2"/>
  <c r="A7816" i="2"/>
  <c r="U7815" i="2"/>
  <c r="N7815" i="2"/>
  <c r="M7815" i="2"/>
  <c r="J7815" i="2"/>
  <c r="I7815" i="2"/>
  <c r="H7815" i="2"/>
  <c r="G7815" i="2"/>
  <c r="F7815" i="2"/>
  <c r="E7815" i="2"/>
  <c r="D7815" i="2"/>
  <c r="C7815" i="2"/>
  <c r="B7815" i="2"/>
  <c r="A7815" i="2"/>
  <c r="U7814" i="2"/>
  <c r="N7814" i="2"/>
  <c r="M7814" i="2"/>
  <c r="J7814" i="2"/>
  <c r="I7814" i="2"/>
  <c r="H7814" i="2"/>
  <c r="G7814" i="2"/>
  <c r="F7814" i="2"/>
  <c r="E7814" i="2"/>
  <c r="D7814" i="2"/>
  <c r="C7814" i="2"/>
  <c r="B7814" i="2"/>
  <c r="A7814" i="2"/>
  <c r="U7813" i="2"/>
  <c r="N7813" i="2"/>
  <c r="M7813" i="2"/>
  <c r="J7813" i="2"/>
  <c r="I7813" i="2"/>
  <c r="H7813" i="2"/>
  <c r="G7813" i="2"/>
  <c r="F7813" i="2"/>
  <c r="E7813" i="2"/>
  <c r="D7813" i="2"/>
  <c r="C7813" i="2"/>
  <c r="B7813" i="2"/>
  <c r="A7813" i="2"/>
  <c r="U7812" i="2"/>
  <c r="N7812" i="2"/>
  <c r="M7812" i="2"/>
  <c r="J7812" i="2"/>
  <c r="I7812" i="2"/>
  <c r="H7812" i="2"/>
  <c r="G7812" i="2"/>
  <c r="F7812" i="2"/>
  <c r="E7812" i="2"/>
  <c r="D7812" i="2"/>
  <c r="C7812" i="2"/>
  <c r="B7812" i="2"/>
  <c r="A7812" i="2"/>
  <c r="U7811" i="2"/>
  <c r="N7811" i="2"/>
  <c r="M7811" i="2"/>
  <c r="J7811" i="2"/>
  <c r="I7811" i="2"/>
  <c r="H7811" i="2"/>
  <c r="G7811" i="2"/>
  <c r="F7811" i="2"/>
  <c r="E7811" i="2"/>
  <c r="D7811" i="2"/>
  <c r="C7811" i="2"/>
  <c r="B7811" i="2"/>
  <c r="A7811" i="2"/>
  <c r="U7810" i="2"/>
  <c r="N7810" i="2"/>
  <c r="M7810" i="2"/>
  <c r="J7810" i="2"/>
  <c r="I7810" i="2"/>
  <c r="H7810" i="2"/>
  <c r="G7810" i="2"/>
  <c r="F7810" i="2"/>
  <c r="E7810" i="2"/>
  <c r="D7810" i="2"/>
  <c r="C7810" i="2"/>
  <c r="B7810" i="2"/>
  <c r="A7810" i="2"/>
  <c r="U7809" i="2"/>
  <c r="N7809" i="2"/>
  <c r="M7809" i="2"/>
  <c r="J7809" i="2"/>
  <c r="I7809" i="2"/>
  <c r="H7809" i="2"/>
  <c r="G7809" i="2"/>
  <c r="F7809" i="2"/>
  <c r="E7809" i="2"/>
  <c r="D7809" i="2"/>
  <c r="C7809" i="2"/>
  <c r="B7809" i="2"/>
  <c r="A7809" i="2"/>
  <c r="U7808" i="2"/>
  <c r="N7808" i="2"/>
  <c r="M7808" i="2"/>
  <c r="J7808" i="2"/>
  <c r="I7808" i="2"/>
  <c r="H7808" i="2"/>
  <c r="G7808" i="2"/>
  <c r="F7808" i="2"/>
  <c r="E7808" i="2"/>
  <c r="D7808" i="2"/>
  <c r="C7808" i="2"/>
  <c r="B7808" i="2"/>
  <c r="A7808" i="2"/>
  <c r="U7807" i="2"/>
  <c r="N7807" i="2"/>
  <c r="M7807" i="2"/>
  <c r="J7807" i="2"/>
  <c r="I7807" i="2"/>
  <c r="H7807" i="2"/>
  <c r="G7807" i="2"/>
  <c r="F7807" i="2"/>
  <c r="E7807" i="2"/>
  <c r="D7807" i="2"/>
  <c r="C7807" i="2"/>
  <c r="B7807" i="2"/>
  <c r="A7807" i="2"/>
  <c r="U7806" i="2"/>
  <c r="N7806" i="2"/>
  <c r="M7806" i="2"/>
  <c r="J7806" i="2"/>
  <c r="I7806" i="2"/>
  <c r="H7806" i="2"/>
  <c r="G7806" i="2"/>
  <c r="F7806" i="2"/>
  <c r="E7806" i="2"/>
  <c r="D7806" i="2"/>
  <c r="C7806" i="2"/>
  <c r="B7806" i="2"/>
  <c r="A7806" i="2"/>
  <c r="U7805" i="2"/>
  <c r="N7805" i="2"/>
  <c r="M7805" i="2"/>
  <c r="J7805" i="2"/>
  <c r="I7805" i="2"/>
  <c r="H7805" i="2"/>
  <c r="G7805" i="2"/>
  <c r="F7805" i="2"/>
  <c r="E7805" i="2"/>
  <c r="D7805" i="2"/>
  <c r="C7805" i="2"/>
  <c r="B7805" i="2"/>
  <c r="A7805" i="2"/>
  <c r="U7804" i="2"/>
  <c r="N7804" i="2"/>
  <c r="M7804" i="2"/>
  <c r="J7804" i="2"/>
  <c r="I7804" i="2"/>
  <c r="H7804" i="2"/>
  <c r="G7804" i="2"/>
  <c r="F7804" i="2"/>
  <c r="E7804" i="2"/>
  <c r="D7804" i="2"/>
  <c r="C7804" i="2"/>
  <c r="B7804" i="2"/>
  <c r="A7804" i="2"/>
  <c r="U7803" i="2"/>
  <c r="N7803" i="2"/>
  <c r="M7803" i="2"/>
  <c r="J7803" i="2"/>
  <c r="I7803" i="2"/>
  <c r="H7803" i="2"/>
  <c r="G7803" i="2"/>
  <c r="F7803" i="2"/>
  <c r="E7803" i="2"/>
  <c r="D7803" i="2"/>
  <c r="C7803" i="2"/>
  <c r="B7803" i="2"/>
  <c r="A7803" i="2"/>
  <c r="U7802" i="2"/>
  <c r="N7802" i="2"/>
  <c r="M7802" i="2"/>
  <c r="J7802" i="2"/>
  <c r="I7802" i="2"/>
  <c r="H7802" i="2"/>
  <c r="G7802" i="2"/>
  <c r="F7802" i="2"/>
  <c r="E7802" i="2"/>
  <c r="D7802" i="2"/>
  <c r="C7802" i="2"/>
  <c r="B7802" i="2"/>
  <c r="A7802" i="2"/>
  <c r="U7801" i="2"/>
  <c r="N7801" i="2"/>
  <c r="M7801" i="2"/>
  <c r="J7801" i="2"/>
  <c r="I7801" i="2"/>
  <c r="H7801" i="2"/>
  <c r="G7801" i="2"/>
  <c r="F7801" i="2"/>
  <c r="E7801" i="2"/>
  <c r="D7801" i="2"/>
  <c r="C7801" i="2"/>
  <c r="B7801" i="2"/>
  <c r="A7801" i="2"/>
  <c r="U7800" i="2"/>
  <c r="N7800" i="2"/>
  <c r="M7800" i="2"/>
  <c r="J7800" i="2"/>
  <c r="I7800" i="2"/>
  <c r="H7800" i="2"/>
  <c r="G7800" i="2"/>
  <c r="F7800" i="2"/>
  <c r="E7800" i="2"/>
  <c r="D7800" i="2"/>
  <c r="C7800" i="2"/>
  <c r="B7800" i="2"/>
  <c r="A7800" i="2"/>
  <c r="U7799" i="2"/>
  <c r="N7799" i="2"/>
  <c r="M7799" i="2"/>
  <c r="J7799" i="2"/>
  <c r="I7799" i="2"/>
  <c r="H7799" i="2"/>
  <c r="G7799" i="2"/>
  <c r="F7799" i="2"/>
  <c r="E7799" i="2"/>
  <c r="D7799" i="2"/>
  <c r="C7799" i="2"/>
  <c r="B7799" i="2"/>
  <c r="A7799" i="2"/>
  <c r="U7798" i="2"/>
  <c r="N7798" i="2"/>
  <c r="M7798" i="2"/>
  <c r="J7798" i="2"/>
  <c r="I7798" i="2"/>
  <c r="H7798" i="2"/>
  <c r="G7798" i="2"/>
  <c r="F7798" i="2"/>
  <c r="E7798" i="2"/>
  <c r="D7798" i="2"/>
  <c r="C7798" i="2"/>
  <c r="B7798" i="2"/>
  <c r="A7798" i="2"/>
  <c r="U7797" i="2"/>
  <c r="N7797" i="2"/>
  <c r="M7797" i="2"/>
  <c r="J7797" i="2"/>
  <c r="I7797" i="2"/>
  <c r="H7797" i="2"/>
  <c r="G7797" i="2"/>
  <c r="F7797" i="2"/>
  <c r="E7797" i="2"/>
  <c r="D7797" i="2"/>
  <c r="C7797" i="2"/>
  <c r="B7797" i="2"/>
  <c r="A7797" i="2"/>
  <c r="U7796" i="2"/>
  <c r="N7796" i="2"/>
  <c r="M7796" i="2"/>
  <c r="J7796" i="2"/>
  <c r="I7796" i="2"/>
  <c r="H7796" i="2"/>
  <c r="G7796" i="2"/>
  <c r="F7796" i="2"/>
  <c r="E7796" i="2"/>
  <c r="D7796" i="2"/>
  <c r="C7796" i="2"/>
  <c r="B7796" i="2"/>
  <c r="A7796" i="2"/>
  <c r="U7795" i="2"/>
  <c r="N7795" i="2"/>
  <c r="M7795" i="2"/>
  <c r="J7795" i="2"/>
  <c r="I7795" i="2"/>
  <c r="H7795" i="2"/>
  <c r="G7795" i="2"/>
  <c r="F7795" i="2"/>
  <c r="E7795" i="2"/>
  <c r="D7795" i="2"/>
  <c r="C7795" i="2"/>
  <c r="B7795" i="2"/>
  <c r="A7795" i="2"/>
  <c r="U7794" i="2"/>
  <c r="N7794" i="2"/>
  <c r="M7794" i="2"/>
  <c r="J7794" i="2"/>
  <c r="I7794" i="2"/>
  <c r="H7794" i="2"/>
  <c r="G7794" i="2"/>
  <c r="F7794" i="2"/>
  <c r="E7794" i="2"/>
  <c r="D7794" i="2"/>
  <c r="C7794" i="2"/>
  <c r="B7794" i="2"/>
  <c r="A7794" i="2"/>
  <c r="U7793" i="2"/>
  <c r="N7793" i="2"/>
  <c r="M7793" i="2"/>
  <c r="J7793" i="2"/>
  <c r="I7793" i="2"/>
  <c r="H7793" i="2"/>
  <c r="G7793" i="2"/>
  <c r="F7793" i="2"/>
  <c r="E7793" i="2"/>
  <c r="D7793" i="2"/>
  <c r="C7793" i="2"/>
  <c r="B7793" i="2"/>
  <c r="A7793" i="2"/>
  <c r="U7792" i="2"/>
  <c r="N7792" i="2"/>
  <c r="M7792" i="2"/>
  <c r="J7792" i="2"/>
  <c r="I7792" i="2"/>
  <c r="H7792" i="2"/>
  <c r="G7792" i="2"/>
  <c r="F7792" i="2"/>
  <c r="E7792" i="2"/>
  <c r="D7792" i="2"/>
  <c r="C7792" i="2"/>
  <c r="B7792" i="2"/>
  <c r="A7792" i="2"/>
  <c r="U7791" i="2"/>
  <c r="N7791" i="2"/>
  <c r="M7791" i="2"/>
  <c r="J7791" i="2"/>
  <c r="I7791" i="2"/>
  <c r="H7791" i="2"/>
  <c r="G7791" i="2"/>
  <c r="F7791" i="2"/>
  <c r="E7791" i="2"/>
  <c r="D7791" i="2"/>
  <c r="C7791" i="2"/>
  <c r="B7791" i="2"/>
  <c r="A7791" i="2"/>
  <c r="U7790" i="2"/>
  <c r="N7790" i="2"/>
  <c r="M7790" i="2"/>
  <c r="J7790" i="2"/>
  <c r="I7790" i="2"/>
  <c r="H7790" i="2"/>
  <c r="G7790" i="2"/>
  <c r="F7790" i="2"/>
  <c r="E7790" i="2"/>
  <c r="D7790" i="2"/>
  <c r="C7790" i="2"/>
  <c r="B7790" i="2"/>
  <c r="A7790" i="2"/>
  <c r="U7789" i="2"/>
  <c r="N7789" i="2"/>
  <c r="M7789" i="2"/>
  <c r="J7789" i="2"/>
  <c r="I7789" i="2"/>
  <c r="H7789" i="2"/>
  <c r="G7789" i="2"/>
  <c r="F7789" i="2"/>
  <c r="E7789" i="2"/>
  <c r="D7789" i="2"/>
  <c r="C7789" i="2"/>
  <c r="B7789" i="2"/>
  <c r="A7789" i="2"/>
  <c r="U7788" i="2"/>
  <c r="N7788" i="2"/>
  <c r="M7788" i="2"/>
  <c r="J7788" i="2"/>
  <c r="I7788" i="2"/>
  <c r="H7788" i="2"/>
  <c r="G7788" i="2"/>
  <c r="F7788" i="2"/>
  <c r="E7788" i="2"/>
  <c r="D7788" i="2"/>
  <c r="C7788" i="2"/>
  <c r="B7788" i="2"/>
  <c r="A7788" i="2"/>
  <c r="U7787" i="2"/>
  <c r="N7787" i="2"/>
  <c r="M7787" i="2"/>
  <c r="J7787" i="2"/>
  <c r="I7787" i="2"/>
  <c r="H7787" i="2"/>
  <c r="G7787" i="2"/>
  <c r="F7787" i="2"/>
  <c r="E7787" i="2"/>
  <c r="D7787" i="2"/>
  <c r="C7787" i="2"/>
  <c r="B7787" i="2"/>
  <c r="A7787" i="2"/>
  <c r="U7786" i="2"/>
  <c r="N7786" i="2"/>
  <c r="M7786" i="2"/>
  <c r="J7786" i="2"/>
  <c r="I7786" i="2"/>
  <c r="H7786" i="2"/>
  <c r="G7786" i="2"/>
  <c r="F7786" i="2"/>
  <c r="E7786" i="2"/>
  <c r="D7786" i="2"/>
  <c r="C7786" i="2"/>
  <c r="B7786" i="2"/>
  <c r="A7786" i="2"/>
  <c r="U7785" i="2"/>
  <c r="N7785" i="2"/>
  <c r="M7785" i="2"/>
  <c r="J7785" i="2"/>
  <c r="I7785" i="2"/>
  <c r="H7785" i="2"/>
  <c r="G7785" i="2"/>
  <c r="F7785" i="2"/>
  <c r="E7785" i="2"/>
  <c r="D7785" i="2"/>
  <c r="C7785" i="2"/>
  <c r="B7785" i="2"/>
  <c r="A7785" i="2"/>
  <c r="U7784" i="2"/>
  <c r="N7784" i="2"/>
  <c r="M7784" i="2"/>
  <c r="J7784" i="2"/>
  <c r="I7784" i="2"/>
  <c r="H7784" i="2"/>
  <c r="G7784" i="2"/>
  <c r="F7784" i="2"/>
  <c r="E7784" i="2"/>
  <c r="D7784" i="2"/>
  <c r="C7784" i="2"/>
  <c r="B7784" i="2"/>
  <c r="A7784" i="2"/>
  <c r="U7783" i="2"/>
  <c r="N7783" i="2"/>
  <c r="M7783" i="2"/>
  <c r="J7783" i="2"/>
  <c r="I7783" i="2"/>
  <c r="H7783" i="2"/>
  <c r="G7783" i="2"/>
  <c r="F7783" i="2"/>
  <c r="E7783" i="2"/>
  <c r="D7783" i="2"/>
  <c r="C7783" i="2"/>
  <c r="B7783" i="2"/>
  <c r="A7783" i="2"/>
  <c r="U7782" i="2"/>
  <c r="N7782" i="2"/>
  <c r="M7782" i="2"/>
  <c r="J7782" i="2"/>
  <c r="I7782" i="2"/>
  <c r="H7782" i="2"/>
  <c r="G7782" i="2"/>
  <c r="F7782" i="2"/>
  <c r="E7782" i="2"/>
  <c r="D7782" i="2"/>
  <c r="C7782" i="2"/>
  <c r="B7782" i="2"/>
  <c r="A7782" i="2"/>
  <c r="U7781" i="2"/>
  <c r="N7781" i="2"/>
  <c r="M7781" i="2"/>
  <c r="J7781" i="2"/>
  <c r="I7781" i="2"/>
  <c r="H7781" i="2"/>
  <c r="G7781" i="2"/>
  <c r="F7781" i="2"/>
  <c r="E7781" i="2"/>
  <c r="D7781" i="2"/>
  <c r="C7781" i="2"/>
  <c r="B7781" i="2"/>
  <c r="A7781" i="2"/>
  <c r="U7780" i="2"/>
  <c r="N7780" i="2"/>
  <c r="M7780" i="2"/>
  <c r="J7780" i="2"/>
  <c r="I7780" i="2"/>
  <c r="H7780" i="2"/>
  <c r="G7780" i="2"/>
  <c r="F7780" i="2"/>
  <c r="E7780" i="2"/>
  <c r="D7780" i="2"/>
  <c r="C7780" i="2"/>
  <c r="B7780" i="2"/>
  <c r="A7780" i="2"/>
  <c r="U7779" i="2"/>
  <c r="N7779" i="2"/>
  <c r="M7779" i="2"/>
  <c r="J7779" i="2"/>
  <c r="I7779" i="2"/>
  <c r="H7779" i="2"/>
  <c r="G7779" i="2"/>
  <c r="F7779" i="2"/>
  <c r="E7779" i="2"/>
  <c r="D7779" i="2"/>
  <c r="C7779" i="2"/>
  <c r="B7779" i="2"/>
  <c r="A7779" i="2"/>
  <c r="U7778" i="2"/>
  <c r="N7778" i="2"/>
  <c r="M7778" i="2"/>
  <c r="J7778" i="2"/>
  <c r="I7778" i="2"/>
  <c r="H7778" i="2"/>
  <c r="G7778" i="2"/>
  <c r="F7778" i="2"/>
  <c r="E7778" i="2"/>
  <c r="D7778" i="2"/>
  <c r="C7778" i="2"/>
  <c r="B7778" i="2"/>
  <c r="A7778" i="2"/>
  <c r="U7777" i="2"/>
  <c r="N7777" i="2"/>
  <c r="M7777" i="2"/>
  <c r="J7777" i="2"/>
  <c r="I7777" i="2"/>
  <c r="H7777" i="2"/>
  <c r="G7777" i="2"/>
  <c r="F7777" i="2"/>
  <c r="E7777" i="2"/>
  <c r="D7777" i="2"/>
  <c r="C7777" i="2"/>
  <c r="B7777" i="2"/>
  <c r="A7777" i="2"/>
  <c r="U7776" i="2"/>
  <c r="N7776" i="2"/>
  <c r="M7776" i="2"/>
  <c r="J7776" i="2"/>
  <c r="I7776" i="2"/>
  <c r="H7776" i="2"/>
  <c r="G7776" i="2"/>
  <c r="F7776" i="2"/>
  <c r="E7776" i="2"/>
  <c r="D7776" i="2"/>
  <c r="C7776" i="2"/>
  <c r="B7776" i="2"/>
  <c r="A7776" i="2"/>
  <c r="U7775" i="2"/>
  <c r="N7775" i="2"/>
  <c r="M7775" i="2"/>
  <c r="J7775" i="2"/>
  <c r="I7775" i="2"/>
  <c r="H7775" i="2"/>
  <c r="G7775" i="2"/>
  <c r="F7775" i="2"/>
  <c r="E7775" i="2"/>
  <c r="D7775" i="2"/>
  <c r="C7775" i="2"/>
  <c r="B7775" i="2"/>
  <c r="A7775" i="2"/>
  <c r="U7774" i="2"/>
  <c r="N7774" i="2"/>
  <c r="M7774" i="2"/>
  <c r="J7774" i="2"/>
  <c r="I7774" i="2"/>
  <c r="H7774" i="2"/>
  <c r="G7774" i="2"/>
  <c r="F7774" i="2"/>
  <c r="E7774" i="2"/>
  <c r="D7774" i="2"/>
  <c r="C7774" i="2"/>
  <c r="B7774" i="2"/>
  <c r="A7774" i="2"/>
  <c r="U7773" i="2"/>
  <c r="N7773" i="2"/>
  <c r="M7773" i="2"/>
  <c r="J7773" i="2"/>
  <c r="I7773" i="2"/>
  <c r="H7773" i="2"/>
  <c r="G7773" i="2"/>
  <c r="F7773" i="2"/>
  <c r="E7773" i="2"/>
  <c r="D7773" i="2"/>
  <c r="C7773" i="2"/>
  <c r="B7773" i="2"/>
  <c r="A7773" i="2"/>
  <c r="U7772" i="2"/>
  <c r="N7772" i="2"/>
  <c r="M7772" i="2"/>
  <c r="J7772" i="2"/>
  <c r="I7772" i="2"/>
  <c r="H7772" i="2"/>
  <c r="G7772" i="2"/>
  <c r="F7772" i="2"/>
  <c r="E7772" i="2"/>
  <c r="D7772" i="2"/>
  <c r="C7772" i="2"/>
  <c r="B7772" i="2"/>
  <c r="A7772" i="2"/>
  <c r="U7771" i="2"/>
  <c r="N7771" i="2"/>
  <c r="M7771" i="2"/>
  <c r="J7771" i="2"/>
  <c r="I7771" i="2"/>
  <c r="H7771" i="2"/>
  <c r="G7771" i="2"/>
  <c r="F7771" i="2"/>
  <c r="E7771" i="2"/>
  <c r="D7771" i="2"/>
  <c r="C7771" i="2"/>
  <c r="B7771" i="2"/>
  <c r="A7771" i="2"/>
  <c r="U7770" i="2"/>
  <c r="N7770" i="2"/>
  <c r="M7770" i="2"/>
  <c r="J7770" i="2"/>
  <c r="I7770" i="2"/>
  <c r="H7770" i="2"/>
  <c r="G7770" i="2"/>
  <c r="F7770" i="2"/>
  <c r="E7770" i="2"/>
  <c r="D7770" i="2"/>
  <c r="C7770" i="2"/>
  <c r="B7770" i="2"/>
  <c r="A7770" i="2"/>
  <c r="U7769" i="2"/>
  <c r="N7769" i="2"/>
  <c r="M7769" i="2"/>
  <c r="J7769" i="2"/>
  <c r="I7769" i="2"/>
  <c r="H7769" i="2"/>
  <c r="G7769" i="2"/>
  <c r="F7769" i="2"/>
  <c r="E7769" i="2"/>
  <c r="D7769" i="2"/>
  <c r="C7769" i="2"/>
  <c r="B7769" i="2"/>
  <c r="A7769" i="2"/>
  <c r="U7768" i="2"/>
  <c r="N7768" i="2"/>
  <c r="M7768" i="2"/>
  <c r="J7768" i="2"/>
  <c r="I7768" i="2"/>
  <c r="H7768" i="2"/>
  <c r="G7768" i="2"/>
  <c r="F7768" i="2"/>
  <c r="E7768" i="2"/>
  <c r="D7768" i="2"/>
  <c r="C7768" i="2"/>
  <c r="B7768" i="2"/>
  <c r="A7768" i="2"/>
  <c r="U7767" i="2"/>
  <c r="N7767" i="2"/>
  <c r="M7767" i="2"/>
  <c r="J7767" i="2"/>
  <c r="I7767" i="2"/>
  <c r="H7767" i="2"/>
  <c r="G7767" i="2"/>
  <c r="F7767" i="2"/>
  <c r="E7767" i="2"/>
  <c r="D7767" i="2"/>
  <c r="C7767" i="2"/>
  <c r="B7767" i="2"/>
  <c r="A7767" i="2"/>
  <c r="U7766" i="2"/>
  <c r="N7766" i="2"/>
  <c r="M7766" i="2"/>
  <c r="J7766" i="2"/>
  <c r="I7766" i="2"/>
  <c r="H7766" i="2"/>
  <c r="G7766" i="2"/>
  <c r="F7766" i="2"/>
  <c r="E7766" i="2"/>
  <c r="D7766" i="2"/>
  <c r="C7766" i="2"/>
  <c r="B7766" i="2"/>
  <c r="A7766" i="2"/>
  <c r="U7765" i="2"/>
  <c r="N7765" i="2"/>
  <c r="M7765" i="2"/>
  <c r="J7765" i="2"/>
  <c r="I7765" i="2"/>
  <c r="H7765" i="2"/>
  <c r="G7765" i="2"/>
  <c r="F7765" i="2"/>
  <c r="E7765" i="2"/>
  <c r="D7765" i="2"/>
  <c r="C7765" i="2"/>
  <c r="B7765" i="2"/>
  <c r="A7765" i="2"/>
  <c r="U7764" i="2"/>
  <c r="N7764" i="2"/>
  <c r="M7764" i="2"/>
  <c r="J7764" i="2"/>
  <c r="I7764" i="2"/>
  <c r="H7764" i="2"/>
  <c r="G7764" i="2"/>
  <c r="F7764" i="2"/>
  <c r="E7764" i="2"/>
  <c r="D7764" i="2"/>
  <c r="C7764" i="2"/>
  <c r="B7764" i="2"/>
  <c r="A7764" i="2"/>
  <c r="U7763" i="2"/>
  <c r="N7763" i="2"/>
  <c r="M7763" i="2"/>
  <c r="J7763" i="2"/>
  <c r="I7763" i="2"/>
  <c r="H7763" i="2"/>
  <c r="G7763" i="2"/>
  <c r="F7763" i="2"/>
  <c r="E7763" i="2"/>
  <c r="D7763" i="2"/>
  <c r="C7763" i="2"/>
  <c r="B7763" i="2"/>
  <c r="A7763" i="2"/>
  <c r="Q7762" i="2"/>
  <c r="U7762" i="2" s="1"/>
  <c r="N7762" i="2"/>
  <c r="M7762" i="2"/>
  <c r="J7762" i="2"/>
  <c r="I7762" i="2"/>
  <c r="H7762" i="2"/>
  <c r="G7762" i="2"/>
  <c r="F7762" i="2"/>
  <c r="E7762" i="2"/>
  <c r="D7762" i="2"/>
  <c r="C7762" i="2"/>
  <c r="B7762" i="2"/>
  <c r="A7762" i="2"/>
  <c r="U7761" i="2"/>
  <c r="N7761" i="2"/>
  <c r="M7761" i="2"/>
  <c r="J7761" i="2"/>
  <c r="I7761" i="2"/>
  <c r="H7761" i="2"/>
  <c r="G7761" i="2"/>
  <c r="F7761" i="2"/>
  <c r="E7761" i="2"/>
  <c r="D7761" i="2"/>
  <c r="C7761" i="2"/>
  <c r="B7761" i="2"/>
  <c r="A7761" i="2"/>
  <c r="U7760" i="2"/>
  <c r="N7760" i="2"/>
  <c r="M7760" i="2"/>
  <c r="J7760" i="2"/>
  <c r="I7760" i="2"/>
  <c r="H7760" i="2"/>
  <c r="G7760" i="2"/>
  <c r="F7760" i="2"/>
  <c r="E7760" i="2"/>
  <c r="D7760" i="2"/>
  <c r="C7760" i="2"/>
  <c r="B7760" i="2"/>
  <c r="A7760" i="2"/>
  <c r="U7759" i="2"/>
  <c r="N7759" i="2"/>
  <c r="M7759" i="2"/>
  <c r="J7759" i="2"/>
  <c r="I7759" i="2"/>
  <c r="H7759" i="2"/>
  <c r="G7759" i="2"/>
  <c r="F7759" i="2"/>
  <c r="E7759" i="2"/>
  <c r="D7759" i="2"/>
  <c r="C7759" i="2"/>
  <c r="B7759" i="2"/>
  <c r="A7759" i="2"/>
  <c r="U7758" i="2"/>
  <c r="N7758" i="2"/>
  <c r="M7758" i="2"/>
  <c r="J7758" i="2"/>
  <c r="I7758" i="2"/>
  <c r="H7758" i="2"/>
  <c r="G7758" i="2"/>
  <c r="F7758" i="2"/>
  <c r="E7758" i="2"/>
  <c r="D7758" i="2"/>
  <c r="C7758" i="2"/>
  <c r="B7758" i="2"/>
  <c r="A7758" i="2"/>
  <c r="U7757" i="2"/>
  <c r="N7757" i="2"/>
  <c r="M7757" i="2"/>
  <c r="J7757" i="2"/>
  <c r="I7757" i="2"/>
  <c r="H7757" i="2"/>
  <c r="G7757" i="2"/>
  <c r="F7757" i="2"/>
  <c r="E7757" i="2"/>
  <c r="D7757" i="2"/>
  <c r="C7757" i="2"/>
  <c r="B7757" i="2"/>
  <c r="A7757" i="2"/>
  <c r="U7756" i="2"/>
  <c r="N7756" i="2"/>
  <c r="M7756" i="2"/>
  <c r="J7756" i="2"/>
  <c r="I7756" i="2"/>
  <c r="H7756" i="2"/>
  <c r="G7756" i="2"/>
  <c r="F7756" i="2"/>
  <c r="E7756" i="2"/>
  <c r="D7756" i="2"/>
  <c r="C7756" i="2"/>
  <c r="B7756" i="2"/>
  <c r="A7756" i="2"/>
  <c r="Q7755" i="2"/>
  <c r="U7755" i="2" s="1"/>
  <c r="N7755" i="2"/>
  <c r="M7755" i="2"/>
  <c r="J7755" i="2"/>
  <c r="I7755" i="2"/>
  <c r="H7755" i="2"/>
  <c r="G7755" i="2"/>
  <c r="F7755" i="2"/>
  <c r="E7755" i="2"/>
  <c r="D7755" i="2"/>
  <c r="C7755" i="2"/>
  <c r="B7755" i="2"/>
  <c r="A7755" i="2"/>
  <c r="U7754" i="2"/>
  <c r="N7754" i="2"/>
  <c r="M7754" i="2"/>
  <c r="J7754" i="2"/>
  <c r="I7754" i="2"/>
  <c r="H7754" i="2"/>
  <c r="G7754" i="2"/>
  <c r="F7754" i="2"/>
  <c r="E7754" i="2"/>
  <c r="D7754" i="2"/>
  <c r="C7754" i="2"/>
  <c r="B7754" i="2"/>
  <c r="A7754" i="2"/>
  <c r="U7753" i="2"/>
  <c r="N7753" i="2"/>
  <c r="M7753" i="2"/>
  <c r="J7753" i="2"/>
  <c r="I7753" i="2"/>
  <c r="H7753" i="2"/>
  <c r="G7753" i="2"/>
  <c r="F7753" i="2"/>
  <c r="E7753" i="2"/>
  <c r="D7753" i="2"/>
  <c r="C7753" i="2"/>
  <c r="B7753" i="2"/>
  <c r="A7753" i="2"/>
  <c r="U7752" i="2"/>
  <c r="N7752" i="2"/>
  <c r="M7752" i="2"/>
  <c r="J7752" i="2"/>
  <c r="I7752" i="2"/>
  <c r="H7752" i="2"/>
  <c r="G7752" i="2"/>
  <c r="F7752" i="2"/>
  <c r="E7752" i="2"/>
  <c r="D7752" i="2"/>
  <c r="C7752" i="2"/>
  <c r="B7752" i="2"/>
  <c r="A7752" i="2"/>
  <c r="U7751" i="2"/>
  <c r="N7751" i="2"/>
  <c r="M7751" i="2"/>
  <c r="J7751" i="2"/>
  <c r="I7751" i="2"/>
  <c r="H7751" i="2"/>
  <c r="G7751" i="2"/>
  <c r="F7751" i="2"/>
  <c r="E7751" i="2"/>
  <c r="D7751" i="2"/>
  <c r="C7751" i="2"/>
  <c r="B7751" i="2"/>
  <c r="A7751" i="2"/>
  <c r="U7750" i="2"/>
  <c r="N7750" i="2"/>
  <c r="M7750" i="2"/>
  <c r="J7750" i="2"/>
  <c r="I7750" i="2"/>
  <c r="H7750" i="2"/>
  <c r="G7750" i="2"/>
  <c r="F7750" i="2"/>
  <c r="E7750" i="2"/>
  <c r="D7750" i="2"/>
  <c r="C7750" i="2"/>
  <c r="B7750" i="2"/>
  <c r="A7750" i="2"/>
  <c r="U7749" i="2"/>
  <c r="N7749" i="2"/>
  <c r="M7749" i="2"/>
  <c r="J7749" i="2"/>
  <c r="I7749" i="2"/>
  <c r="H7749" i="2"/>
  <c r="G7749" i="2"/>
  <c r="F7749" i="2"/>
  <c r="E7749" i="2"/>
  <c r="D7749" i="2"/>
  <c r="C7749" i="2"/>
  <c r="B7749" i="2"/>
  <c r="A7749" i="2"/>
  <c r="U7748" i="2"/>
  <c r="N7748" i="2"/>
  <c r="M7748" i="2"/>
  <c r="J7748" i="2"/>
  <c r="I7748" i="2"/>
  <c r="H7748" i="2"/>
  <c r="G7748" i="2"/>
  <c r="F7748" i="2"/>
  <c r="E7748" i="2"/>
  <c r="D7748" i="2"/>
  <c r="C7748" i="2"/>
  <c r="B7748" i="2"/>
  <c r="A7748" i="2"/>
  <c r="U7747" i="2"/>
  <c r="N7747" i="2"/>
  <c r="M7747" i="2"/>
  <c r="J7747" i="2"/>
  <c r="I7747" i="2"/>
  <c r="H7747" i="2"/>
  <c r="G7747" i="2"/>
  <c r="F7747" i="2"/>
  <c r="E7747" i="2"/>
  <c r="D7747" i="2"/>
  <c r="C7747" i="2"/>
  <c r="B7747" i="2"/>
  <c r="A7747" i="2"/>
  <c r="U7746" i="2"/>
  <c r="N7746" i="2"/>
  <c r="M7746" i="2"/>
  <c r="J7746" i="2"/>
  <c r="I7746" i="2"/>
  <c r="H7746" i="2"/>
  <c r="G7746" i="2"/>
  <c r="F7746" i="2"/>
  <c r="E7746" i="2"/>
  <c r="D7746" i="2"/>
  <c r="C7746" i="2"/>
  <c r="B7746" i="2"/>
  <c r="A7746" i="2"/>
  <c r="U7745" i="2"/>
  <c r="N7745" i="2"/>
  <c r="M7745" i="2"/>
  <c r="J7745" i="2"/>
  <c r="I7745" i="2"/>
  <c r="H7745" i="2"/>
  <c r="G7745" i="2"/>
  <c r="F7745" i="2"/>
  <c r="E7745" i="2"/>
  <c r="D7745" i="2"/>
  <c r="C7745" i="2"/>
  <c r="B7745" i="2"/>
  <c r="A7745" i="2"/>
  <c r="U7744" i="2"/>
  <c r="N7744" i="2"/>
  <c r="M7744" i="2"/>
  <c r="J7744" i="2"/>
  <c r="I7744" i="2"/>
  <c r="H7744" i="2"/>
  <c r="G7744" i="2"/>
  <c r="F7744" i="2"/>
  <c r="E7744" i="2"/>
  <c r="D7744" i="2"/>
  <c r="C7744" i="2"/>
  <c r="B7744" i="2"/>
  <c r="A7744" i="2"/>
  <c r="U7743" i="2"/>
  <c r="N7743" i="2"/>
  <c r="M7743" i="2"/>
  <c r="J7743" i="2"/>
  <c r="I7743" i="2"/>
  <c r="H7743" i="2"/>
  <c r="G7743" i="2"/>
  <c r="F7743" i="2"/>
  <c r="E7743" i="2"/>
  <c r="D7743" i="2"/>
  <c r="C7743" i="2"/>
  <c r="B7743" i="2"/>
  <c r="A7743" i="2"/>
  <c r="U7742" i="2"/>
  <c r="N7742" i="2"/>
  <c r="M7742" i="2"/>
  <c r="J7742" i="2"/>
  <c r="I7742" i="2"/>
  <c r="H7742" i="2"/>
  <c r="G7742" i="2"/>
  <c r="F7742" i="2"/>
  <c r="E7742" i="2"/>
  <c r="D7742" i="2"/>
  <c r="C7742" i="2"/>
  <c r="B7742" i="2"/>
  <c r="A7742" i="2"/>
  <c r="U7741" i="2"/>
  <c r="N7741" i="2"/>
  <c r="M7741" i="2"/>
  <c r="J7741" i="2"/>
  <c r="I7741" i="2"/>
  <c r="H7741" i="2"/>
  <c r="G7741" i="2"/>
  <c r="F7741" i="2"/>
  <c r="E7741" i="2"/>
  <c r="D7741" i="2"/>
  <c r="C7741" i="2"/>
  <c r="B7741" i="2"/>
  <c r="A7741" i="2"/>
  <c r="U7740" i="2"/>
  <c r="N7740" i="2"/>
  <c r="M7740" i="2"/>
  <c r="J7740" i="2"/>
  <c r="I7740" i="2"/>
  <c r="H7740" i="2"/>
  <c r="G7740" i="2"/>
  <c r="F7740" i="2"/>
  <c r="E7740" i="2"/>
  <c r="D7740" i="2"/>
  <c r="C7740" i="2"/>
  <c r="B7740" i="2"/>
  <c r="A7740" i="2"/>
  <c r="U7739" i="2"/>
  <c r="N7739" i="2"/>
  <c r="M7739" i="2"/>
  <c r="J7739" i="2"/>
  <c r="I7739" i="2"/>
  <c r="H7739" i="2"/>
  <c r="G7739" i="2"/>
  <c r="F7739" i="2"/>
  <c r="E7739" i="2"/>
  <c r="D7739" i="2"/>
  <c r="C7739" i="2"/>
  <c r="B7739" i="2"/>
  <c r="A7739" i="2"/>
  <c r="U7738" i="2"/>
  <c r="N7738" i="2"/>
  <c r="M7738" i="2"/>
  <c r="J7738" i="2"/>
  <c r="I7738" i="2"/>
  <c r="H7738" i="2"/>
  <c r="G7738" i="2"/>
  <c r="F7738" i="2"/>
  <c r="E7738" i="2"/>
  <c r="D7738" i="2"/>
  <c r="C7738" i="2"/>
  <c r="B7738" i="2"/>
  <c r="A7738" i="2"/>
  <c r="U7737" i="2"/>
  <c r="N7737" i="2"/>
  <c r="M7737" i="2"/>
  <c r="J7737" i="2"/>
  <c r="I7737" i="2"/>
  <c r="H7737" i="2"/>
  <c r="G7737" i="2"/>
  <c r="F7737" i="2"/>
  <c r="E7737" i="2"/>
  <c r="D7737" i="2"/>
  <c r="C7737" i="2"/>
  <c r="B7737" i="2"/>
  <c r="A7737" i="2"/>
  <c r="U7736" i="2"/>
  <c r="N7736" i="2"/>
  <c r="M7736" i="2"/>
  <c r="J7736" i="2"/>
  <c r="I7736" i="2"/>
  <c r="H7736" i="2"/>
  <c r="G7736" i="2"/>
  <c r="F7736" i="2"/>
  <c r="E7736" i="2"/>
  <c r="D7736" i="2"/>
  <c r="C7736" i="2"/>
  <c r="B7736" i="2"/>
  <c r="A7736" i="2"/>
  <c r="U7735" i="2"/>
  <c r="N7735" i="2"/>
  <c r="M7735" i="2"/>
  <c r="J7735" i="2"/>
  <c r="I7735" i="2"/>
  <c r="H7735" i="2"/>
  <c r="G7735" i="2"/>
  <c r="F7735" i="2"/>
  <c r="E7735" i="2"/>
  <c r="D7735" i="2"/>
  <c r="C7735" i="2"/>
  <c r="B7735" i="2"/>
  <c r="A7735" i="2"/>
  <c r="U7734" i="2"/>
  <c r="N7734" i="2"/>
  <c r="M7734" i="2"/>
  <c r="J7734" i="2"/>
  <c r="I7734" i="2"/>
  <c r="H7734" i="2"/>
  <c r="G7734" i="2"/>
  <c r="F7734" i="2"/>
  <c r="E7734" i="2"/>
  <c r="D7734" i="2"/>
  <c r="C7734" i="2"/>
  <c r="B7734" i="2"/>
  <c r="A7734" i="2"/>
  <c r="U7733" i="2"/>
  <c r="N7733" i="2"/>
  <c r="M7733" i="2"/>
  <c r="J7733" i="2"/>
  <c r="I7733" i="2"/>
  <c r="H7733" i="2"/>
  <c r="G7733" i="2"/>
  <c r="F7733" i="2"/>
  <c r="E7733" i="2"/>
  <c r="D7733" i="2"/>
  <c r="C7733" i="2"/>
  <c r="B7733" i="2"/>
  <c r="A7733" i="2"/>
  <c r="U7732" i="2"/>
  <c r="N7732" i="2"/>
  <c r="M7732" i="2"/>
  <c r="J7732" i="2"/>
  <c r="I7732" i="2"/>
  <c r="H7732" i="2"/>
  <c r="G7732" i="2"/>
  <c r="F7732" i="2"/>
  <c r="E7732" i="2"/>
  <c r="D7732" i="2"/>
  <c r="C7732" i="2"/>
  <c r="B7732" i="2"/>
  <c r="A7732" i="2"/>
  <c r="U7731" i="2"/>
  <c r="N7731" i="2"/>
  <c r="M7731" i="2"/>
  <c r="J7731" i="2"/>
  <c r="I7731" i="2"/>
  <c r="H7731" i="2"/>
  <c r="G7731" i="2"/>
  <c r="F7731" i="2"/>
  <c r="E7731" i="2"/>
  <c r="D7731" i="2"/>
  <c r="C7731" i="2"/>
  <c r="B7731" i="2"/>
  <c r="A7731" i="2"/>
  <c r="U7730" i="2"/>
  <c r="N7730" i="2"/>
  <c r="M7730" i="2"/>
  <c r="J7730" i="2"/>
  <c r="I7730" i="2"/>
  <c r="H7730" i="2"/>
  <c r="G7730" i="2"/>
  <c r="F7730" i="2"/>
  <c r="E7730" i="2"/>
  <c r="D7730" i="2"/>
  <c r="C7730" i="2"/>
  <c r="B7730" i="2"/>
  <c r="A7730" i="2"/>
  <c r="U7729" i="2"/>
  <c r="N7729" i="2"/>
  <c r="M7729" i="2"/>
  <c r="J7729" i="2"/>
  <c r="I7729" i="2"/>
  <c r="H7729" i="2"/>
  <c r="G7729" i="2"/>
  <c r="F7729" i="2"/>
  <c r="E7729" i="2"/>
  <c r="D7729" i="2"/>
  <c r="C7729" i="2"/>
  <c r="B7729" i="2"/>
  <c r="A7729" i="2"/>
  <c r="Q7728" i="2"/>
  <c r="U7728" i="2" s="1"/>
  <c r="N7728" i="2"/>
  <c r="M7728" i="2"/>
  <c r="J7728" i="2"/>
  <c r="I7728" i="2"/>
  <c r="H7728" i="2"/>
  <c r="G7728" i="2"/>
  <c r="F7728" i="2"/>
  <c r="E7728" i="2"/>
  <c r="D7728" i="2"/>
  <c r="C7728" i="2"/>
  <c r="B7728" i="2"/>
  <c r="A7728" i="2"/>
  <c r="U7727" i="2"/>
  <c r="N7727" i="2"/>
  <c r="M7727" i="2"/>
  <c r="J7727" i="2"/>
  <c r="I7727" i="2"/>
  <c r="H7727" i="2"/>
  <c r="G7727" i="2"/>
  <c r="F7727" i="2"/>
  <c r="E7727" i="2"/>
  <c r="D7727" i="2"/>
  <c r="C7727" i="2"/>
  <c r="B7727" i="2"/>
  <c r="A7727" i="2"/>
  <c r="Q7726" i="2"/>
  <c r="U7726" i="2" s="1"/>
  <c r="N7726" i="2"/>
  <c r="M7726" i="2"/>
  <c r="J7726" i="2"/>
  <c r="I7726" i="2"/>
  <c r="H7726" i="2"/>
  <c r="G7726" i="2"/>
  <c r="F7726" i="2"/>
  <c r="E7726" i="2"/>
  <c r="D7726" i="2"/>
  <c r="C7726" i="2"/>
  <c r="B7726" i="2"/>
  <c r="A7726" i="2"/>
  <c r="R7725" i="2"/>
  <c r="Q7725" i="2"/>
  <c r="N7725" i="2"/>
  <c r="M7725" i="2"/>
  <c r="J7725" i="2"/>
  <c r="I7725" i="2"/>
  <c r="H7725" i="2"/>
  <c r="G7725" i="2"/>
  <c r="F7725" i="2"/>
  <c r="E7725" i="2"/>
  <c r="D7725" i="2"/>
  <c r="C7725" i="2"/>
  <c r="B7725" i="2"/>
  <c r="A7725" i="2"/>
  <c r="R7724" i="2"/>
  <c r="Q7724" i="2"/>
  <c r="N7724" i="2"/>
  <c r="M7724" i="2"/>
  <c r="J7724" i="2"/>
  <c r="I7724" i="2"/>
  <c r="H7724" i="2"/>
  <c r="G7724" i="2"/>
  <c r="F7724" i="2"/>
  <c r="E7724" i="2"/>
  <c r="D7724" i="2"/>
  <c r="C7724" i="2"/>
  <c r="B7724" i="2"/>
  <c r="A7724" i="2"/>
  <c r="Q7723" i="2"/>
  <c r="U7723" i="2" s="1"/>
  <c r="N7723" i="2"/>
  <c r="M7723" i="2"/>
  <c r="J7723" i="2"/>
  <c r="I7723" i="2"/>
  <c r="H7723" i="2"/>
  <c r="G7723" i="2"/>
  <c r="F7723" i="2"/>
  <c r="E7723" i="2"/>
  <c r="D7723" i="2"/>
  <c r="C7723" i="2"/>
  <c r="B7723" i="2"/>
  <c r="A7723" i="2"/>
  <c r="R7722" i="2"/>
  <c r="Q7722" i="2"/>
  <c r="N7722" i="2"/>
  <c r="M7722" i="2"/>
  <c r="J7722" i="2"/>
  <c r="I7722" i="2"/>
  <c r="H7722" i="2"/>
  <c r="G7722" i="2"/>
  <c r="F7722" i="2"/>
  <c r="E7722" i="2"/>
  <c r="D7722" i="2"/>
  <c r="C7722" i="2"/>
  <c r="B7722" i="2"/>
  <c r="A7722" i="2"/>
  <c r="R7721" i="2"/>
  <c r="Q7721" i="2"/>
  <c r="N7721" i="2"/>
  <c r="M7721" i="2"/>
  <c r="J7721" i="2"/>
  <c r="I7721" i="2"/>
  <c r="H7721" i="2"/>
  <c r="G7721" i="2"/>
  <c r="F7721" i="2"/>
  <c r="E7721" i="2"/>
  <c r="D7721" i="2"/>
  <c r="C7721" i="2"/>
  <c r="B7721" i="2"/>
  <c r="A7721" i="2"/>
  <c r="Q7720" i="2"/>
  <c r="U7720" i="2" s="1"/>
  <c r="N7720" i="2"/>
  <c r="M7720" i="2"/>
  <c r="J7720" i="2"/>
  <c r="I7720" i="2"/>
  <c r="H7720" i="2"/>
  <c r="G7720" i="2"/>
  <c r="F7720" i="2"/>
  <c r="E7720" i="2"/>
  <c r="D7720" i="2"/>
  <c r="C7720" i="2"/>
  <c r="B7720" i="2"/>
  <c r="A7720" i="2"/>
  <c r="R7719" i="2"/>
  <c r="Q7719" i="2"/>
  <c r="N7719" i="2"/>
  <c r="M7719" i="2"/>
  <c r="J7719" i="2"/>
  <c r="I7719" i="2"/>
  <c r="H7719" i="2"/>
  <c r="G7719" i="2"/>
  <c r="F7719" i="2"/>
  <c r="E7719" i="2"/>
  <c r="D7719" i="2"/>
  <c r="C7719" i="2"/>
  <c r="B7719" i="2"/>
  <c r="A7719" i="2"/>
  <c r="Q7718" i="2"/>
  <c r="U7718" i="2" s="1"/>
  <c r="N7718" i="2"/>
  <c r="M7718" i="2"/>
  <c r="J7718" i="2"/>
  <c r="I7718" i="2"/>
  <c r="H7718" i="2"/>
  <c r="G7718" i="2"/>
  <c r="F7718" i="2"/>
  <c r="E7718" i="2"/>
  <c r="D7718" i="2"/>
  <c r="C7718" i="2"/>
  <c r="B7718" i="2"/>
  <c r="A7718" i="2"/>
  <c r="Q7717" i="2"/>
  <c r="U7717" i="2" s="1"/>
  <c r="N7717" i="2"/>
  <c r="M7717" i="2"/>
  <c r="J7717" i="2"/>
  <c r="I7717" i="2"/>
  <c r="H7717" i="2"/>
  <c r="G7717" i="2"/>
  <c r="F7717" i="2"/>
  <c r="E7717" i="2"/>
  <c r="D7717" i="2"/>
  <c r="C7717" i="2"/>
  <c r="B7717" i="2"/>
  <c r="A7717" i="2"/>
  <c r="R7716" i="2"/>
  <c r="Q7716" i="2"/>
  <c r="N7716" i="2"/>
  <c r="M7716" i="2"/>
  <c r="J7716" i="2"/>
  <c r="I7716" i="2"/>
  <c r="H7716" i="2"/>
  <c r="G7716" i="2"/>
  <c r="F7716" i="2"/>
  <c r="E7716" i="2"/>
  <c r="D7716" i="2"/>
  <c r="C7716" i="2"/>
  <c r="B7716" i="2"/>
  <c r="A7716" i="2"/>
  <c r="R7715" i="2"/>
  <c r="Q7715" i="2"/>
  <c r="N7715" i="2"/>
  <c r="M7715" i="2"/>
  <c r="J7715" i="2"/>
  <c r="I7715" i="2"/>
  <c r="H7715" i="2"/>
  <c r="G7715" i="2"/>
  <c r="F7715" i="2"/>
  <c r="E7715" i="2"/>
  <c r="D7715" i="2"/>
  <c r="C7715" i="2"/>
  <c r="B7715" i="2"/>
  <c r="A7715" i="2"/>
  <c r="R7714" i="2"/>
  <c r="Q7714" i="2"/>
  <c r="N7714" i="2"/>
  <c r="M7714" i="2"/>
  <c r="J7714" i="2"/>
  <c r="I7714" i="2"/>
  <c r="H7714" i="2"/>
  <c r="G7714" i="2"/>
  <c r="F7714" i="2"/>
  <c r="E7714" i="2"/>
  <c r="D7714" i="2"/>
  <c r="C7714" i="2"/>
  <c r="B7714" i="2"/>
  <c r="A7714" i="2"/>
  <c r="Q7713" i="2"/>
  <c r="U7713" i="2" s="1"/>
  <c r="N7713" i="2"/>
  <c r="M7713" i="2"/>
  <c r="J7713" i="2"/>
  <c r="I7713" i="2"/>
  <c r="H7713" i="2"/>
  <c r="G7713" i="2"/>
  <c r="F7713" i="2"/>
  <c r="E7713" i="2"/>
  <c r="D7713" i="2"/>
  <c r="C7713" i="2"/>
  <c r="B7713" i="2"/>
  <c r="A7713" i="2"/>
  <c r="R7712" i="2"/>
  <c r="Q7712" i="2"/>
  <c r="N7712" i="2"/>
  <c r="M7712" i="2"/>
  <c r="J7712" i="2"/>
  <c r="I7712" i="2"/>
  <c r="H7712" i="2"/>
  <c r="G7712" i="2"/>
  <c r="F7712" i="2"/>
  <c r="E7712" i="2"/>
  <c r="D7712" i="2"/>
  <c r="C7712" i="2"/>
  <c r="B7712" i="2"/>
  <c r="A7712" i="2"/>
  <c r="U7711" i="2"/>
  <c r="N7711" i="2"/>
  <c r="M7711" i="2"/>
  <c r="J7711" i="2"/>
  <c r="I7711" i="2"/>
  <c r="H7711" i="2"/>
  <c r="G7711" i="2"/>
  <c r="F7711" i="2"/>
  <c r="E7711" i="2"/>
  <c r="D7711" i="2"/>
  <c r="C7711" i="2"/>
  <c r="B7711" i="2"/>
  <c r="A7711" i="2"/>
  <c r="U7710" i="2"/>
  <c r="N7710" i="2"/>
  <c r="M7710" i="2"/>
  <c r="J7710" i="2"/>
  <c r="I7710" i="2"/>
  <c r="H7710" i="2"/>
  <c r="G7710" i="2"/>
  <c r="F7710" i="2"/>
  <c r="E7710" i="2"/>
  <c r="D7710" i="2"/>
  <c r="C7710" i="2"/>
  <c r="B7710" i="2"/>
  <c r="A7710" i="2"/>
  <c r="U7709" i="2"/>
  <c r="N7709" i="2"/>
  <c r="M7709" i="2"/>
  <c r="J7709" i="2"/>
  <c r="I7709" i="2"/>
  <c r="H7709" i="2"/>
  <c r="G7709" i="2"/>
  <c r="F7709" i="2"/>
  <c r="E7709" i="2"/>
  <c r="D7709" i="2"/>
  <c r="C7709" i="2"/>
  <c r="B7709" i="2"/>
  <c r="A7709" i="2"/>
  <c r="U7708" i="2"/>
  <c r="N7708" i="2"/>
  <c r="M7708" i="2"/>
  <c r="J7708" i="2"/>
  <c r="I7708" i="2"/>
  <c r="H7708" i="2"/>
  <c r="G7708" i="2"/>
  <c r="F7708" i="2"/>
  <c r="E7708" i="2"/>
  <c r="D7708" i="2"/>
  <c r="C7708" i="2"/>
  <c r="B7708" i="2"/>
  <c r="A7708" i="2"/>
  <c r="U7707" i="2"/>
  <c r="N7707" i="2"/>
  <c r="M7707" i="2"/>
  <c r="J7707" i="2"/>
  <c r="I7707" i="2"/>
  <c r="H7707" i="2"/>
  <c r="G7707" i="2"/>
  <c r="F7707" i="2"/>
  <c r="E7707" i="2"/>
  <c r="D7707" i="2"/>
  <c r="C7707" i="2"/>
  <c r="B7707" i="2"/>
  <c r="A7707" i="2"/>
  <c r="U7706" i="2"/>
  <c r="N7706" i="2"/>
  <c r="M7706" i="2"/>
  <c r="J7706" i="2"/>
  <c r="I7706" i="2"/>
  <c r="H7706" i="2"/>
  <c r="G7706" i="2"/>
  <c r="F7706" i="2"/>
  <c r="E7706" i="2"/>
  <c r="D7706" i="2"/>
  <c r="C7706" i="2"/>
  <c r="B7706" i="2"/>
  <c r="A7706" i="2"/>
  <c r="U7705" i="2"/>
  <c r="N7705" i="2"/>
  <c r="M7705" i="2"/>
  <c r="J7705" i="2"/>
  <c r="I7705" i="2"/>
  <c r="H7705" i="2"/>
  <c r="G7705" i="2"/>
  <c r="F7705" i="2"/>
  <c r="E7705" i="2"/>
  <c r="D7705" i="2"/>
  <c r="C7705" i="2"/>
  <c r="B7705" i="2"/>
  <c r="A7705" i="2"/>
  <c r="U7704" i="2"/>
  <c r="N7704" i="2"/>
  <c r="M7704" i="2"/>
  <c r="J7704" i="2"/>
  <c r="I7704" i="2"/>
  <c r="H7704" i="2"/>
  <c r="G7704" i="2"/>
  <c r="F7704" i="2"/>
  <c r="E7704" i="2"/>
  <c r="D7704" i="2"/>
  <c r="C7704" i="2"/>
  <c r="B7704" i="2"/>
  <c r="A7704" i="2"/>
  <c r="U7703" i="2"/>
  <c r="N7703" i="2"/>
  <c r="M7703" i="2"/>
  <c r="J7703" i="2"/>
  <c r="I7703" i="2"/>
  <c r="H7703" i="2"/>
  <c r="G7703" i="2"/>
  <c r="F7703" i="2"/>
  <c r="E7703" i="2"/>
  <c r="D7703" i="2"/>
  <c r="C7703" i="2"/>
  <c r="B7703" i="2"/>
  <c r="A7703" i="2"/>
  <c r="U7702" i="2"/>
  <c r="N7702" i="2"/>
  <c r="M7702" i="2"/>
  <c r="J7702" i="2"/>
  <c r="I7702" i="2"/>
  <c r="H7702" i="2"/>
  <c r="G7702" i="2"/>
  <c r="F7702" i="2"/>
  <c r="E7702" i="2"/>
  <c r="D7702" i="2"/>
  <c r="C7702" i="2"/>
  <c r="B7702" i="2"/>
  <c r="A7702" i="2"/>
  <c r="Q7701" i="2"/>
  <c r="U7701" i="2" s="1"/>
  <c r="N7701" i="2"/>
  <c r="M7701" i="2"/>
  <c r="J7701" i="2"/>
  <c r="I7701" i="2"/>
  <c r="H7701" i="2"/>
  <c r="G7701" i="2"/>
  <c r="F7701" i="2"/>
  <c r="E7701" i="2"/>
  <c r="D7701" i="2"/>
  <c r="C7701" i="2"/>
  <c r="B7701" i="2"/>
  <c r="A7701" i="2"/>
  <c r="U7700" i="2"/>
  <c r="N7700" i="2"/>
  <c r="M7700" i="2"/>
  <c r="J7700" i="2"/>
  <c r="I7700" i="2"/>
  <c r="H7700" i="2"/>
  <c r="G7700" i="2"/>
  <c r="F7700" i="2"/>
  <c r="E7700" i="2"/>
  <c r="D7700" i="2"/>
  <c r="C7700" i="2"/>
  <c r="B7700" i="2"/>
  <c r="A7700" i="2"/>
  <c r="U7699" i="2"/>
  <c r="N7699" i="2"/>
  <c r="M7699" i="2"/>
  <c r="J7699" i="2"/>
  <c r="I7699" i="2"/>
  <c r="H7699" i="2"/>
  <c r="G7699" i="2"/>
  <c r="F7699" i="2"/>
  <c r="E7699" i="2"/>
  <c r="D7699" i="2"/>
  <c r="C7699" i="2"/>
  <c r="B7699" i="2"/>
  <c r="A7699" i="2"/>
  <c r="U7698" i="2"/>
  <c r="N7698" i="2"/>
  <c r="M7698" i="2"/>
  <c r="J7698" i="2"/>
  <c r="I7698" i="2"/>
  <c r="H7698" i="2"/>
  <c r="G7698" i="2"/>
  <c r="F7698" i="2"/>
  <c r="E7698" i="2"/>
  <c r="D7698" i="2"/>
  <c r="C7698" i="2"/>
  <c r="B7698" i="2"/>
  <c r="A7698" i="2"/>
  <c r="U7697" i="2"/>
  <c r="N7697" i="2"/>
  <c r="M7697" i="2"/>
  <c r="J7697" i="2"/>
  <c r="I7697" i="2"/>
  <c r="H7697" i="2"/>
  <c r="G7697" i="2"/>
  <c r="F7697" i="2"/>
  <c r="E7697" i="2"/>
  <c r="D7697" i="2"/>
  <c r="C7697" i="2"/>
  <c r="B7697" i="2"/>
  <c r="A7697" i="2"/>
  <c r="U7696" i="2"/>
  <c r="N7696" i="2"/>
  <c r="M7696" i="2"/>
  <c r="J7696" i="2"/>
  <c r="I7696" i="2"/>
  <c r="H7696" i="2"/>
  <c r="G7696" i="2"/>
  <c r="F7696" i="2"/>
  <c r="E7696" i="2"/>
  <c r="D7696" i="2"/>
  <c r="C7696" i="2"/>
  <c r="B7696" i="2"/>
  <c r="A7696" i="2"/>
  <c r="U7695" i="2"/>
  <c r="N7695" i="2"/>
  <c r="M7695" i="2"/>
  <c r="J7695" i="2"/>
  <c r="I7695" i="2"/>
  <c r="H7695" i="2"/>
  <c r="G7695" i="2"/>
  <c r="F7695" i="2"/>
  <c r="E7695" i="2"/>
  <c r="D7695" i="2"/>
  <c r="C7695" i="2"/>
  <c r="B7695" i="2"/>
  <c r="A7695" i="2"/>
  <c r="U7694" i="2"/>
  <c r="N7694" i="2"/>
  <c r="M7694" i="2"/>
  <c r="J7694" i="2"/>
  <c r="I7694" i="2"/>
  <c r="H7694" i="2"/>
  <c r="G7694" i="2"/>
  <c r="F7694" i="2"/>
  <c r="E7694" i="2"/>
  <c r="D7694" i="2"/>
  <c r="C7694" i="2"/>
  <c r="B7694" i="2"/>
  <c r="A7694" i="2"/>
  <c r="U7693" i="2"/>
  <c r="N7693" i="2"/>
  <c r="M7693" i="2"/>
  <c r="J7693" i="2"/>
  <c r="I7693" i="2"/>
  <c r="H7693" i="2"/>
  <c r="G7693" i="2"/>
  <c r="F7693" i="2"/>
  <c r="E7693" i="2"/>
  <c r="D7693" i="2"/>
  <c r="C7693" i="2"/>
  <c r="B7693" i="2"/>
  <c r="A7693" i="2"/>
  <c r="U7692" i="2"/>
  <c r="N7692" i="2"/>
  <c r="M7692" i="2"/>
  <c r="J7692" i="2"/>
  <c r="I7692" i="2"/>
  <c r="H7692" i="2"/>
  <c r="G7692" i="2"/>
  <c r="F7692" i="2"/>
  <c r="E7692" i="2"/>
  <c r="D7692" i="2"/>
  <c r="C7692" i="2"/>
  <c r="B7692" i="2"/>
  <c r="A7692" i="2"/>
  <c r="U7691" i="2"/>
  <c r="N7691" i="2"/>
  <c r="M7691" i="2"/>
  <c r="J7691" i="2"/>
  <c r="I7691" i="2"/>
  <c r="H7691" i="2"/>
  <c r="G7691" i="2"/>
  <c r="F7691" i="2"/>
  <c r="E7691" i="2"/>
  <c r="D7691" i="2"/>
  <c r="C7691" i="2"/>
  <c r="B7691" i="2"/>
  <c r="A7691" i="2"/>
  <c r="U7690" i="2"/>
  <c r="N7690" i="2"/>
  <c r="M7690" i="2"/>
  <c r="J7690" i="2"/>
  <c r="I7690" i="2"/>
  <c r="H7690" i="2"/>
  <c r="G7690" i="2"/>
  <c r="F7690" i="2"/>
  <c r="E7690" i="2"/>
  <c r="D7690" i="2"/>
  <c r="C7690" i="2"/>
  <c r="B7690" i="2"/>
  <c r="A7690" i="2"/>
  <c r="U7689" i="2"/>
  <c r="N7689" i="2"/>
  <c r="M7689" i="2"/>
  <c r="J7689" i="2"/>
  <c r="I7689" i="2"/>
  <c r="H7689" i="2"/>
  <c r="G7689" i="2"/>
  <c r="F7689" i="2"/>
  <c r="E7689" i="2"/>
  <c r="D7689" i="2"/>
  <c r="C7689" i="2"/>
  <c r="B7689" i="2"/>
  <c r="A7689" i="2"/>
  <c r="U7688" i="2"/>
  <c r="N7688" i="2"/>
  <c r="M7688" i="2"/>
  <c r="J7688" i="2"/>
  <c r="I7688" i="2"/>
  <c r="H7688" i="2"/>
  <c r="G7688" i="2"/>
  <c r="F7688" i="2"/>
  <c r="E7688" i="2"/>
  <c r="D7688" i="2"/>
  <c r="C7688" i="2"/>
  <c r="B7688" i="2"/>
  <c r="A7688" i="2"/>
  <c r="U7687" i="2"/>
  <c r="N7687" i="2"/>
  <c r="M7687" i="2"/>
  <c r="J7687" i="2"/>
  <c r="I7687" i="2"/>
  <c r="H7687" i="2"/>
  <c r="G7687" i="2"/>
  <c r="F7687" i="2"/>
  <c r="E7687" i="2"/>
  <c r="D7687" i="2"/>
  <c r="C7687" i="2"/>
  <c r="B7687" i="2"/>
  <c r="A7687" i="2"/>
  <c r="Q7686" i="2"/>
  <c r="U7686" i="2" s="1"/>
  <c r="N7686" i="2"/>
  <c r="M7686" i="2"/>
  <c r="J7686" i="2"/>
  <c r="I7686" i="2"/>
  <c r="H7686" i="2"/>
  <c r="G7686" i="2"/>
  <c r="F7686" i="2"/>
  <c r="E7686" i="2"/>
  <c r="D7686" i="2"/>
  <c r="C7686" i="2"/>
  <c r="B7686" i="2"/>
  <c r="A7686" i="2"/>
  <c r="Q7685" i="2"/>
  <c r="U7685" i="2" s="1"/>
  <c r="N7685" i="2"/>
  <c r="M7685" i="2"/>
  <c r="J7685" i="2"/>
  <c r="I7685" i="2"/>
  <c r="H7685" i="2"/>
  <c r="G7685" i="2"/>
  <c r="F7685" i="2"/>
  <c r="E7685" i="2"/>
  <c r="D7685" i="2"/>
  <c r="C7685" i="2"/>
  <c r="B7685" i="2"/>
  <c r="A7685" i="2"/>
  <c r="U7684" i="2"/>
  <c r="N7684" i="2"/>
  <c r="M7684" i="2"/>
  <c r="J7684" i="2"/>
  <c r="I7684" i="2"/>
  <c r="H7684" i="2"/>
  <c r="G7684" i="2"/>
  <c r="F7684" i="2"/>
  <c r="E7684" i="2"/>
  <c r="D7684" i="2"/>
  <c r="C7684" i="2"/>
  <c r="B7684" i="2"/>
  <c r="A7684" i="2"/>
  <c r="U7683" i="2"/>
  <c r="N7683" i="2"/>
  <c r="M7683" i="2"/>
  <c r="J7683" i="2"/>
  <c r="I7683" i="2"/>
  <c r="H7683" i="2"/>
  <c r="G7683" i="2"/>
  <c r="F7683" i="2"/>
  <c r="E7683" i="2"/>
  <c r="D7683" i="2"/>
  <c r="C7683" i="2"/>
  <c r="B7683" i="2"/>
  <c r="A7683" i="2"/>
  <c r="U7682" i="2"/>
  <c r="N7682" i="2"/>
  <c r="M7682" i="2"/>
  <c r="J7682" i="2"/>
  <c r="I7682" i="2"/>
  <c r="H7682" i="2"/>
  <c r="G7682" i="2"/>
  <c r="F7682" i="2"/>
  <c r="E7682" i="2"/>
  <c r="D7682" i="2"/>
  <c r="C7682" i="2"/>
  <c r="B7682" i="2"/>
  <c r="A7682" i="2"/>
  <c r="Q7681" i="2"/>
  <c r="U7681" i="2" s="1"/>
  <c r="N7681" i="2"/>
  <c r="M7681" i="2"/>
  <c r="J7681" i="2"/>
  <c r="I7681" i="2"/>
  <c r="H7681" i="2"/>
  <c r="G7681" i="2"/>
  <c r="F7681" i="2"/>
  <c r="E7681" i="2"/>
  <c r="D7681" i="2"/>
  <c r="C7681" i="2"/>
  <c r="B7681" i="2"/>
  <c r="A7681" i="2"/>
  <c r="U7680" i="2"/>
  <c r="N7680" i="2"/>
  <c r="M7680" i="2"/>
  <c r="J7680" i="2"/>
  <c r="I7680" i="2"/>
  <c r="H7680" i="2"/>
  <c r="G7680" i="2"/>
  <c r="F7680" i="2"/>
  <c r="E7680" i="2"/>
  <c r="D7680" i="2"/>
  <c r="C7680" i="2"/>
  <c r="B7680" i="2"/>
  <c r="A7680" i="2"/>
  <c r="U7679" i="2"/>
  <c r="N7679" i="2"/>
  <c r="M7679" i="2"/>
  <c r="J7679" i="2"/>
  <c r="I7679" i="2"/>
  <c r="H7679" i="2"/>
  <c r="G7679" i="2"/>
  <c r="F7679" i="2"/>
  <c r="E7679" i="2"/>
  <c r="D7679" i="2"/>
  <c r="C7679" i="2"/>
  <c r="B7679" i="2"/>
  <c r="A7679" i="2"/>
  <c r="U7678" i="2"/>
  <c r="N7678" i="2"/>
  <c r="M7678" i="2"/>
  <c r="J7678" i="2"/>
  <c r="I7678" i="2"/>
  <c r="H7678" i="2"/>
  <c r="G7678" i="2"/>
  <c r="F7678" i="2"/>
  <c r="E7678" i="2"/>
  <c r="D7678" i="2"/>
  <c r="C7678" i="2"/>
  <c r="B7678" i="2"/>
  <c r="A7678" i="2"/>
  <c r="U7677" i="2"/>
  <c r="N7677" i="2"/>
  <c r="M7677" i="2"/>
  <c r="J7677" i="2"/>
  <c r="I7677" i="2"/>
  <c r="H7677" i="2"/>
  <c r="G7677" i="2"/>
  <c r="F7677" i="2"/>
  <c r="E7677" i="2"/>
  <c r="D7677" i="2"/>
  <c r="C7677" i="2"/>
  <c r="B7677" i="2"/>
  <c r="A7677" i="2"/>
  <c r="U7676" i="2"/>
  <c r="N7676" i="2"/>
  <c r="M7676" i="2"/>
  <c r="J7676" i="2"/>
  <c r="I7676" i="2"/>
  <c r="H7676" i="2"/>
  <c r="G7676" i="2"/>
  <c r="F7676" i="2"/>
  <c r="E7676" i="2"/>
  <c r="D7676" i="2"/>
  <c r="C7676" i="2"/>
  <c r="B7676" i="2"/>
  <c r="A7676" i="2"/>
  <c r="U7675" i="2"/>
  <c r="N7675" i="2"/>
  <c r="M7675" i="2"/>
  <c r="J7675" i="2"/>
  <c r="I7675" i="2"/>
  <c r="H7675" i="2"/>
  <c r="G7675" i="2"/>
  <c r="F7675" i="2"/>
  <c r="E7675" i="2"/>
  <c r="D7675" i="2"/>
  <c r="C7675" i="2"/>
  <c r="B7675" i="2"/>
  <c r="A7675" i="2"/>
  <c r="U7674" i="2"/>
  <c r="N7674" i="2"/>
  <c r="M7674" i="2"/>
  <c r="J7674" i="2"/>
  <c r="I7674" i="2"/>
  <c r="H7674" i="2"/>
  <c r="G7674" i="2"/>
  <c r="F7674" i="2"/>
  <c r="E7674" i="2"/>
  <c r="D7674" i="2"/>
  <c r="C7674" i="2"/>
  <c r="B7674" i="2"/>
  <c r="A7674" i="2"/>
  <c r="U7673" i="2"/>
  <c r="N7673" i="2"/>
  <c r="M7673" i="2"/>
  <c r="J7673" i="2"/>
  <c r="I7673" i="2"/>
  <c r="H7673" i="2"/>
  <c r="G7673" i="2"/>
  <c r="F7673" i="2"/>
  <c r="E7673" i="2"/>
  <c r="D7673" i="2"/>
  <c r="C7673" i="2"/>
  <c r="B7673" i="2"/>
  <c r="A7673" i="2"/>
  <c r="U7672" i="2"/>
  <c r="N7672" i="2"/>
  <c r="M7672" i="2"/>
  <c r="J7672" i="2"/>
  <c r="I7672" i="2"/>
  <c r="H7672" i="2"/>
  <c r="G7672" i="2"/>
  <c r="F7672" i="2"/>
  <c r="E7672" i="2"/>
  <c r="D7672" i="2"/>
  <c r="C7672" i="2"/>
  <c r="B7672" i="2"/>
  <c r="A7672" i="2"/>
  <c r="U7671" i="2"/>
  <c r="N7671" i="2"/>
  <c r="M7671" i="2"/>
  <c r="J7671" i="2"/>
  <c r="I7671" i="2"/>
  <c r="H7671" i="2"/>
  <c r="G7671" i="2"/>
  <c r="F7671" i="2"/>
  <c r="E7671" i="2"/>
  <c r="D7671" i="2"/>
  <c r="C7671" i="2"/>
  <c r="B7671" i="2"/>
  <c r="A7671" i="2"/>
  <c r="Q7670" i="2"/>
  <c r="U7670" i="2" s="1"/>
  <c r="N7670" i="2"/>
  <c r="M7670" i="2"/>
  <c r="J7670" i="2"/>
  <c r="I7670" i="2"/>
  <c r="H7670" i="2"/>
  <c r="G7670" i="2"/>
  <c r="F7670" i="2"/>
  <c r="E7670" i="2"/>
  <c r="D7670" i="2"/>
  <c r="C7670" i="2"/>
  <c r="B7670" i="2"/>
  <c r="A7670" i="2"/>
  <c r="U7669" i="2"/>
  <c r="N7669" i="2"/>
  <c r="M7669" i="2"/>
  <c r="J7669" i="2"/>
  <c r="I7669" i="2"/>
  <c r="H7669" i="2"/>
  <c r="G7669" i="2"/>
  <c r="F7669" i="2"/>
  <c r="E7669" i="2"/>
  <c r="D7669" i="2"/>
  <c r="C7669" i="2"/>
  <c r="B7669" i="2"/>
  <c r="A7669" i="2"/>
  <c r="U7668" i="2"/>
  <c r="N7668" i="2"/>
  <c r="M7668" i="2"/>
  <c r="J7668" i="2"/>
  <c r="I7668" i="2"/>
  <c r="H7668" i="2"/>
  <c r="G7668" i="2"/>
  <c r="F7668" i="2"/>
  <c r="E7668" i="2"/>
  <c r="D7668" i="2"/>
  <c r="C7668" i="2"/>
  <c r="B7668" i="2"/>
  <c r="A7668" i="2"/>
  <c r="Q7667" i="2"/>
  <c r="U7667" i="2" s="1"/>
  <c r="N7667" i="2"/>
  <c r="M7667" i="2"/>
  <c r="J7667" i="2"/>
  <c r="I7667" i="2"/>
  <c r="H7667" i="2"/>
  <c r="G7667" i="2"/>
  <c r="F7667" i="2"/>
  <c r="E7667" i="2"/>
  <c r="D7667" i="2"/>
  <c r="C7667" i="2"/>
  <c r="B7667" i="2"/>
  <c r="A7667" i="2"/>
  <c r="U7666" i="2"/>
  <c r="N7666" i="2"/>
  <c r="M7666" i="2"/>
  <c r="J7666" i="2"/>
  <c r="I7666" i="2"/>
  <c r="H7666" i="2"/>
  <c r="G7666" i="2"/>
  <c r="F7666" i="2"/>
  <c r="E7666" i="2"/>
  <c r="D7666" i="2"/>
  <c r="C7666" i="2"/>
  <c r="B7666" i="2"/>
  <c r="A7666" i="2"/>
  <c r="Q7665" i="2"/>
  <c r="U7665" i="2" s="1"/>
  <c r="N7665" i="2"/>
  <c r="M7665" i="2"/>
  <c r="J7665" i="2"/>
  <c r="I7665" i="2"/>
  <c r="H7665" i="2"/>
  <c r="G7665" i="2"/>
  <c r="F7665" i="2"/>
  <c r="E7665" i="2"/>
  <c r="D7665" i="2"/>
  <c r="C7665" i="2"/>
  <c r="B7665" i="2"/>
  <c r="A7665" i="2"/>
  <c r="U7664" i="2"/>
  <c r="N7664" i="2"/>
  <c r="M7664" i="2"/>
  <c r="J7664" i="2"/>
  <c r="I7664" i="2"/>
  <c r="H7664" i="2"/>
  <c r="G7664" i="2"/>
  <c r="F7664" i="2"/>
  <c r="E7664" i="2"/>
  <c r="D7664" i="2"/>
  <c r="C7664" i="2"/>
  <c r="B7664" i="2"/>
  <c r="A7664" i="2"/>
  <c r="U7663" i="2"/>
  <c r="N7663" i="2"/>
  <c r="M7663" i="2"/>
  <c r="J7663" i="2"/>
  <c r="I7663" i="2"/>
  <c r="H7663" i="2"/>
  <c r="G7663" i="2"/>
  <c r="F7663" i="2"/>
  <c r="E7663" i="2"/>
  <c r="D7663" i="2"/>
  <c r="C7663" i="2"/>
  <c r="B7663" i="2"/>
  <c r="A7663" i="2"/>
  <c r="U7662" i="2"/>
  <c r="N7662" i="2"/>
  <c r="M7662" i="2"/>
  <c r="J7662" i="2"/>
  <c r="I7662" i="2"/>
  <c r="H7662" i="2"/>
  <c r="G7662" i="2"/>
  <c r="F7662" i="2"/>
  <c r="E7662" i="2"/>
  <c r="D7662" i="2"/>
  <c r="C7662" i="2"/>
  <c r="B7662" i="2"/>
  <c r="A7662" i="2"/>
  <c r="U7661" i="2"/>
  <c r="N7661" i="2"/>
  <c r="M7661" i="2"/>
  <c r="J7661" i="2"/>
  <c r="I7661" i="2"/>
  <c r="H7661" i="2"/>
  <c r="G7661" i="2"/>
  <c r="F7661" i="2"/>
  <c r="E7661" i="2"/>
  <c r="D7661" i="2"/>
  <c r="C7661" i="2"/>
  <c r="B7661" i="2"/>
  <c r="A7661" i="2"/>
  <c r="U7660" i="2"/>
  <c r="N7660" i="2"/>
  <c r="M7660" i="2"/>
  <c r="J7660" i="2"/>
  <c r="I7660" i="2"/>
  <c r="H7660" i="2"/>
  <c r="G7660" i="2"/>
  <c r="F7660" i="2"/>
  <c r="E7660" i="2"/>
  <c r="D7660" i="2"/>
  <c r="C7660" i="2"/>
  <c r="B7660" i="2"/>
  <c r="A7660" i="2"/>
  <c r="U7659" i="2"/>
  <c r="N7659" i="2"/>
  <c r="M7659" i="2"/>
  <c r="J7659" i="2"/>
  <c r="I7659" i="2"/>
  <c r="H7659" i="2"/>
  <c r="G7659" i="2"/>
  <c r="F7659" i="2"/>
  <c r="E7659" i="2"/>
  <c r="D7659" i="2"/>
  <c r="C7659" i="2"/>
  <c r="B7659" i="2"/>
  <c r="A7659" i="2"/>
  <c r="Q7658" i="2"/>
  <c r="U7658" i="2" s="1"/>
  <c r="N7658" i="2"/>
  <c r="M7658" i="2"/>
  <c r="J7658" i="2"/>
  <c r="I7658" i="2"/>
  <c r="H7658" i="2"/>
  <c r="G7658" i="2"/>
  <c r="F7658" i="2"/>
  <c r="E7658" i="2"/>
  <c r="D7658" i="2"/>
  <c r="C7658" i="2"/>
  <c r="B7658" i="2"/>
  <c r="A7658" i="2"/>
  <c r="U7657" i="2"/>
  <c r="N7657" i="2"/>
  <c r="M7657" i="2"/>
  <c r="J7657" i="2"/>
  <c r="I7657" i="2"/>
  <c r="H7657" i="2"/>
  <c r="G7657" i="2"/>
  <c r="F7657" i="2"/>
  <c r="E7657" i="2"/>
  <c r="D7657" i="2"/>
  <c r="C7657" i="2"/>
  <c r="B7657" i="2"/>
  <c r="A7657" i="2"/>
  <c r="Q7656" i="2"/>
  <c r="U7656" i="2" s="1"/>
  <c r="N7656" i="2"/>
  <c r="M7656" i="2"/>
  <c r="J7656" i="2"/>
  <c r="I7656" i="2"/>
  <c r="H7656" i="2"/>
  <c r="G7656" i="2"/>
  <c r="F7656" i="2"/>
  <c r="E7656" i="2"/>
  <c r="D7656" i="2"/>
  <c r="C7656" i="2"/>
  <c r="B7656" i="2"/>
  <c r="A7656" i="2"/>
  <c r="U7655" i="2"/>
  <c r="N7655" i="2"/>
  <c r="M7655" i="2"/>
  <c r="J7655" i="2"/>
  <c r="I7655" i="2"/>
  <c r="H7655" i="2"/>
  <c r="G7655" i="2"/>
  <c r="F7655" i="2"/>
  <c r="E7655" i="2"/>
  <c r="D7655" i="2"/>
  <c r="C7655" i="2"/>
  <c r="B7655" i="2"/>
  <c r="A7655" i="2"/>
  <c r="U7654" i="2"/>
  <c r="N7654" i="2"/>
  <c r="M7654" i="2"/>
  <c r="J7654" i="2"/>
  <c r="I7654" i="2"/>
  <c r="H7654" i="2"/>
  <c r="G7654" i="2"/>
  <c r="F7654" i="2"/>
  <c r="E7654" i="2"/>
  <c r="D7654" i="2"/>
  <c r="C7654" i="2"/>
  <c r="B7654" i="2"/>
  <c r="A7654" i="2"/>
  <c r="U7653" i="2"/>
  <c r="N7653" i="2"/>
  <c r="M7653" i="2"/>
  <c r="J7653" i="2"/>
  <c r="I7653" i="2"/>
  <c r="H7653" i="2"/>
  <c r="G7653" i="2"/>
  <c r="F7653" i="2"/>
  <c r="E7653" i="2"/>
  <c r="D7653" i="2"/>
  <c r="C7653" i="2"/>
  <c r="B7653" i="2"/>
  <c r="A7653" i="2"/>
  <c r="U7652" i="2"/>
  <c r="N7652" i="2"/>
  <c r="M7652" i="2"/>
  <c r="J7652" i="2"/>
  <c r="I7652" i="2"/>
  <c r="H7652" i="2"/>
  <c r="G7652" i="2"/>
  <c r="F7652" i="2"/>
  <c r="E7652" i="2"/>
  <c r="D7652" i="2"/>
  <c r="C7652" i="2"/>
  <c r="B7652" i="2"/>
  <c r="A7652" i="2"/>
  <c r="U7651" i="2"/>
  <c r="N7651" i="2"/>
  <c r="M7651" i="2"/>
  <c r="J7651" i="2"/>
  <c r="I7651" i="2"/>
  <c r="H7651" i="2"/>
  <c r="G7651" i="2"/>
  <c r="F7651" i="2"/>
  <c r="E7651" i="2"/>
  <c r="D7651" i="2"/>
  <c r="C7651" i="2"/>
  <c r="B7651" i="2"/>
  <c r="A7651" i="2"/>
  <c r="U7650" i="2"/>
  <c r="N7650" i="2"/>
  <c r="M7650" i="2"/>
  <c r="J7650" i="2"/>
  <c r="I7650" i="2"/>
  <c r="H7650" i="2"/>
  <c r="G7650" i="2"/>
  <c r="F7650" i="2"/>
  <c r="E7650" i="2"/>
  <c r="D7650" i="2"/>
  <c r="C7650" i="2"/>
  <c r="B7650" i="2"/>
  <c r="A7650" i="2"/>
  <c r="Q7649" i="2"/>
  <c r="U7649" i="2" s="1"/>
  <c r="N7649" i="2"/>
  <c r="M7649" i="2"/>
  <c r="J7649" i="2"/>
  <c r="I7649" i="2"/>
  <c r="H7649" i="2"/>
  <c r="G7649" i="2"/>
  <c r="F7649" i="2"/>
  <c r="E7649" i="2"/>
  <c r="D7649" i="2"/>
  <c r="C7649" i="2"/>
  <c r="B7649" i="2"/>
  <c r="A7649" i="2"/>
  <c r="U7648" i="2"/>
  <c r="N7648" i="2"/>
  <c r="M7648" i="2"/>
  <c r="J7648" i="2"/>
  <c r="I7648" i="2"/>
  <c r="H7648" i="2"/>
  <c r="G7648" i="2"/>
  <c r="F7648" i="2"/>
  <c r="E7648" i="2"/>
  <c r="D7648" i="2"/>
  <c r="C7648" i="2"/>
  <c r="B7648" i="2"/>
  <c r="A7648" i="2"/>
  <c r="R7647" i="2"/>
  <c r="Q7647" i="2"/>
  <c r="N7647" i="2"/>
  <c r="M7647" i="2"/>
  <c r="J7647" i="2"/>
  <c r="I7647" i="2"/>
  <c r="H7647" i="2"/>
  <c r="G7647" i="2"/>
  <c r="F7647" i="2"/>
  <c r="E7647" i="2"/>
  <c r="D7647" i="2"/>
  <c r="C7647" i="2"/>
  <c r="B7647" i="2"/>
  <c r="A7647" i="2"/>
  <c r="R7646" i="2"/>
  <c r="Q7646" i="2"/>
  <c r="N7646" i="2"/>
  <c r="M7646" i="2"/>
  <c r="J7646" i="2"/>
  <c r="I7646" i="2"/>
  <c r="H7646" i="2"/>
  <c r="G7646" i="2"/>
  <c r="F7646" i="2"/>
  <c r="E7646" i="2"/>
  <c r="D7646" i="2"/>
  <c r="C7646" i="2"/>
  <c r="B7646" i="2"/>
  <c r="A7646" i="2"/>
  <c r="R7645" i="2"/>
  <c r="Q7645" i="2"/>
  <c r="N7645" i="2"/>
  <c r="M7645" i="2"/>
  <c r="J7645" i="2"/>
  <c r="I7645" i="2"/>
  <c r="H7645" i="2"/>
  <c r="G7645" i="2"/>
  <c r="F7645" i="2"/>
  <c r="E7645" i="2"/>
  <c r="D7645" i="2"/>
  <c r="C7645" i="2"/>
  <c r="B7645" i="2"/>
  <c r="A7645" i="2"/>
  <c r="R7644" i="2"/>
  <c r="Q7644" i="2"/>
  <c r="N7644" i="2"/>
  <c r="M7644" i="2"/>
  <c r="J7644" i="2"/>
  <c r="I7644" i="2"/>
  <c r="H7644" i="2"/>
  <c r="G7644" i="2"/>
  <c r="F7644" i="2"/>
  <c r="E7644" i="2"/>
  <c r="D7644" i="2"/>
  <c r="C7644" i="2"/>
  <c r="B7644" i="2"/>
  <c r="A7644" i="2"/>
  <c r="R7643" i="2"/>
  <c r="Q7643" i="2"/>
  <c r="N7643" i="2"/>
  <c r="M7643" i="2"/>
  <c r="J7643" i="2"/>
  <c r="I7643" i="2"/>
  <c r="H7643" i="2"/>
  <c r="G7643" i="2"/>
  <c r="F7643" i="2"/>
  <c r="E7643" i="2"/>
  <c r="D7643" i="2"/>
  <c r="C7643" i="2"/>
  <c r="B7643" i="2"/>
  <c r="A7643" i="2"/>
  <c r="R7642" i="2"/>
  <c r="Q7642" i="2"/>
  <c r="N7642" i="2"/>
  <c r="M7642" i="2"/>
  <c r="J7642" i="2"/>
  <c r="I7642" i="2"/>
  <c r="H7642" i="2"/>
  <c r="G7642" i="2"/>
  <c r="F7642" i="2"/>
  <c r="E7642" i="2"/>
  <c r="D7642" i="2"/>
  <c r="C7642" i="2"/>
  <c r="B7642" i="2"/>
  <c r="A7642" i="2"/>
  <c r="R7641" i="2"/>
  <c r="Q7641" i="2"/>
  <c r="N7641" i="2"/>
  <c r="M7641" i="2"/>
  <c r="J7641" i="2"/>
  <c r="I7641" i="2"/>
  <c r="H7641" i="2"/>
  <c r="G7641" i="2"/>
  <c r="F7641" i="2"/>
  <c r="E7641" i="2"/>
  <c r="D7641" i="2"/>
  <c r="C7641" i="2"/>
  <c r="B7641" i="2"/>
  <c r="A7641" i="2"/>
  <c r="Q7640" i="2"/>
  <c r="U7640" i="2" s="1"/>
  <c r="N7640" i="2"/>
  <c r="M7640" i="2"/>
  <c r="J7640" i="2"/>
  <c r="I7640" i="2"/>
  <c r="H7640" i="2"/>
  <c r="G7640" i="2"/>
  <c r="F7640" i="2"/>
  <c r="E7640" i="2"/>
  <c r="D7640" i="2"/>
  <c r="C7640" i="2"/>
  <c r="B7640" i="2"/>
  <c r="A7640" i="2"/>
  <c r="R7639" i="2"/>
  <c r="Q7639" i="2"/>
  <c r="N7639" i="2"/>
  <c r="M7639" i="2"/>
  <c r="J7639" i="2"/>
  <c r="I7639" i="2"/>
  <c r="H7639" i="2"/>
  <c r="G7639" i="2"/>
  <c r="F7639" i="2"/>
  <c r="E7639" i="2"/>
  <c r="D7639" i="2"/>
  <c r="C7639" i="2"/>
  <c r="B7639" i="2"/>
  <c r="A7639" i="2"/>
  <c r="R7638" i="2"/>
  <c r="Q7638" i="2"/>
  <c r="N7638" i="2"/>
  <c r="M7638" i="2"/>
  <c r="J7638" i="2"/>
  <c r="I7638" i="2"/>
  <c r="H7638" i="2"/>
  <c r="G7638" i="2"/>
  <c r="F7638" i="2"/>
  <c r="E7638" i="2"/>
  <c r="D7638" i="2"/>
  <c r="C7638" i="2"/>
  <c r="B7638" i="2"/>
  <c r="A7638" i="2"/>
  <c r="R7637" i="2"/>
  <c r="Q7637" i="2"/>
  <c r="N7637" i="2"/>
  <c r="M7637" i="2"/>
  <c r="J7637" i="2"/>
  <c r="I7637" i="2"/>
  <c r="H7637" i="2"/>
  <c r="G7637" i="2"/>
  <c r="F7637" i="2"/>
  <c r="E7637" i="2"/>
  <c r="D7637" i="2"/>
  <c r="C7637" i="2"/>
  <c r="B7637" i="2"/>
  <c r="A7637" i="2"/>
  <c r="Q7636" i="2"/>
  <c r="U7636" i="2" s="1"/>
  <c r="N7636" i="2"/>
  <c r="M7636" i="2"/>
  <c r="J7636" i="2"/>
  <c r="I7636" i="2"/>
  <c r="H7636" i="2"/>
  <c r="G7636" i="2"/>
  <c r="F7636" i="2"/>
  <c r="E7636" i="2"/>
  <c r="D7636" i="2"/>
  <c r="C7636" i="2"/>
  <c r="B7636" i="2"/>
  <c r="A7636" i="2"/>
  <c r="U7635" i="2"/>
  <c r="N7635" i="2"/>
  <c r="M7635" i="2"/>
  <c r="J7635" i="2"/>
  <c r="I7635" i="2"/>
  <c r="H7635" i="2"/>
  <c r="G7635" i="2"/>
  <c r="F7635" i="2"/>
  <c r="E7635" i="2"/>
  <c r="D7635" i="2"/>
  <c r="C7635" i="2"/>
  <c r="B7635" i="2"/>
  <c r="A7635" i="2"/>
  <c r="U7634" i="2"/>
  <c r="N7634" i="2"/>
  <c r="M7634" i="2"/>
  <c r="J7634" i="2"/>
  <c r="I7634" i="2"/>
  <c r="H7634" i="2"/>
  <c r="G7634" i="2"/>
  <c r="F7634" i="2"/>
  <c r="E7634" i="2"/>
  <c r="D7634" i="2"/>
  <c r="C7634" i="2"/>
  <c r="B7634" i="2"/>
  <c r="A7634" i="2"/>
  <c r="U7633" i="2"/>
  <c r="N7633" i="2"/>
  <c r="M7633" i="2"/>
  <c r="J7633" i="2"/>
  <c r="I7633" i="2"/>
  <c r="H7633" i="2"/>
  <c r="G7633" i="2"/>
  <c r="F7633" i="2"/>
  <c r="E7633" i="2"/>
  <c r="D7633" i="2"/>
  <c r="C7633" i="2"/>
  <c r="B7633" i="2"/>
  <c r="A7633" i="2"/>
  <c r="U7632" i="2"/>
  <c r="N7632" i="2"/>
  <c r="M7632" i="2"/>
  <c r="J7632" i="2"/>
  <c r="I7632" i="2"/>
  <c r="H7632" i="2"/>
  <c r="G7632" i="2"/>
  <c r="F7632" i="2"/>
  <c r="E7632" i="2"/>
  <c r="D7632" i="2"/>
  <c r="C7632" i="2"/>
  <c r="B7632" i="2"/>
  <c r="A7632" i="2"/>
  <c r="U7631" i="2"/>
  <c r="N7631" i="2"/>
  <c r="M7631" i="2"/>
  <c r="J7631" i="2"/>
  <c r="I7631" i="2"/>
  <c r="H7631" i="2"/>
  <c r="G7631" i="2"/>
  <c r="F7631" i="2"/>
  <c r="E7631" i="2"/>
  <c r="D7631" i="2"/>
  <c r="C7631" i="2"/>
  <c r="B7631" i="2"/>
  <c r="A7631" i="2"/>
  <c r="U7630" i="2"/>
  <c r="N7630" i="2"/>
  <c r="M7630" i="2"/>
  <c r="J7630" i="2"/>
  <c r="I7630" i="2"/>
  <c r="H7630" i="2"/>
  <c r="G7630" i="2"/>
  <c r="F7630" i="2"/>
  <c r="E7630" i="2"/>
  <c r="D7630" i="2"/>
  <c r="C7630" i="2"/>
  <c r="B7630" i="2"/>
  <c r="A7630" i="2"/>
  <c r="U7629" i="2"/>
  <c r="N7629" i="2"/>
  <c r="M7629" i="2"/>
  <c r="J7629" i="2"/>
  <c r="I7629" i="2"/>
  <c r="H7629" i="2"/>
  <c r="G7629" i="2"/>
  <c r="F7629" i="2"/>
  <c r="E7629" i="2"/>
  <c r="D7629" i="2"/>
  <c r="C7629" i="2"/>
  <c r="B7629" i="2"/>
  <c r="A7629" i="2"/>
  <c r="Q7628" i="2"/>
  <c r="U7628" i="2" s="1"/>
  <c r="N7628" i="2"/>
  <c r="M7628" i="2"/>
  <c r="J7628" i="2"/>
  <c r="I7628" i="2"/>
  <c r="H7628" i="2"/>
  <c r="G7628" i="2"/>
  <c r="F7628" i="2"/>
  <c r="E7628" i="2"/>
  <c r="D7628" i="2"/>
  <c r="C7628" i="2"/>
  <c r="B7628" i="2"/>
  <c r="A7628" i="2"/>
  <c r="U7627" i="2"/>
  <c r="N7627" i="2"/>
  <c r="M7627" i="2"/>
  <c r="J7627" i="2"/>
  <c r="I7627" i="2"/>
  <c r="H7627" i="2"/>
  <c r="G7627" i="2"/>
  <c r="F7627" i="2"/>
  <c r="E7627" i="2"/>
  <c r="D7627" i="2"/>
  <c r="C7627" i="2"/>
  <c r="B7627" i="2"/>
  <c r="A7627" i="2"/>
  <c r="U7626" i="2"/>
  <c r="N7626" i="2"/>
  <c r="M7626" i="2"/>
  <c r="J7626" i="2"/>
  <c r="I7626" i="2"/>
  <c r="H7626" i="2"/>
  <c r="G7626" i="2"/>
  <c r="F7626" i="2"/>
  <c r="E7626" i="2"/>
  <c r="D7626" i="2"/>
  <c r="C7626" i="2"/>
  <c r="B7626" i="2"/>
  <c r="A7626" i="2"/>
  <c r="U7625" i="2"/>
  <c r="N7625" i="2"/>
  <c r="M7625" i="2"/>
  <c r="J7625" i="2"/>
  <c r="I7625" i="2"/>
  <c r="H7625" i="2"/>
  <c r="G7625" i="2"/>
  <c r="F7625" i="2"/>
  <c r="E7625" i="2"/>
  <c r="D7625" i="2"/>
  <c r="C7625" i="2"/>
  <c r="B7625" i="2"/>
  <c r="A7625" i="2"/>
  <c r="U7624" i="2"/>
  <c r="N7624" i="2"/>
  <c r="M7624" i="2"/>
  <c r="J7624" i="2"/>
  <c r="I7624" i="2"/>
  <c r="H7624" i="2"/>
  <c r="G7624" i="2"/>
  <c r="F7624" i="2"/>
  <c r="E7624" i="2"/>
  <c r="D7624" i="2"/>
  <c r="C7624" i="2"/>
  <c r="B7624" i="2"/>
  <c r="A7624" i="2"/>
  <c r="U7623" i="2"/>
  <c r="N7623" i="2"/>
  <c r="M7623" i="2"/>
  <c r="J7623" i="2"/>
  <c r="I7623" i="2"/>
  <c r="H7623" i="2"/>
  <c r="G7623" i="2"/>
  <c r="F7623" i="2"/>
  <c r="E7623" i="2"/>
  <c r="D7623" i="2"/>
  <c r="C7623" i="2"/>
  <c r="B7623" i="2"/>
  <c r="A7623" i="2"/>
  <c r="U7622" i="2"/>
  <c r="N7622" i="2"/>
  <c r="M7622" i="2"/>
  <c r="J7622" i="2"/>
  <c r="I7622" i="2"/>
  <c r="H7622" i="2"/>
  <c r="G7622" i="2"/>
  <c r="F7622" i="2"/>
  <c r="E7622" i="2"/>
  <c r="D7622" i="2"/>
  <c r="C7622" i="2"/>
  <c r="B7622" i="2"/>
  <c r="A7622" i="2"/>
  <c r="U7621" i="2"/>
  <c r="N7621" i="2"/>
  <c r="M7621" i="2"/>
  <c r="J7621" i="2"/>
  <c r="I7621" i="2"/>
  <c r="H7621" i="2"/>
  <c r="G7621" i="2"/>
  <c r="F7621" i="2"/>
  <c r="E7621" i="2"/>
  <c r="D7621" i="2"/>
  <c r="C7621" i="2"/>
  <c r="B7621" i="2"/>
  <c r="A7621" i="2"/>
  <c r="U7620" i="2"/>
  <c r="N7620" i="2"/>
  <c r="M7620" i="2"/>
  <c r="J7620" i="2"/>
  <c r="I7620" i="2"/>
  <c r="H7620" i="2"/>
  <c r="G7620" i="2"/>
  <c r="F7620" i="2"/>
  <c r="E7620" i="2"/>
  <c r="D7620" i="2"/>
  <c r="C7620" i="2"/>
  <c r="B7620" i="2"/>
  <c r="A7620" i="2"/>
  <c r="U7619" i="2"/>
  <c r="N7619" i="2"/>
  <c r="M7619" i="2"/>
  <c r="J7619" i="2"/>
  <c r="I7619" i="2"/>
  <c r="H7619" i="2"/>
  <c r="G7619" i="2"/>
  <c r="F7619" i="2"/>
  <c r="E7619" i="2"/>
  <c r="D7619" i="2"/>
  <c r="C7619" i="2"/>
  <c r="B7619" i="2"/>
  <c r="A7619" i="2"/>
  <c r="U7618" i="2"/>
  <c r="N7618" i="2"/>
  <c r="M7618" i="2"/>
  <c r="J7618" i="2"/>
  <c r="I7618" i="2"/>
  <c r="H7618" i="2"/>
  <c r="G7618" i="2"/>
  <c r="F7618" i="2"/>
  <c r="E7618" i="2"/>
  <c r="D7618" i="2"/>
  <c r="C7618" i="2"/>
  <c r="B7618" i="2"/>
  <c r="A7618" i="2"/>
  <c r="U7617" i="2"/>
  <c r="N7617" i="2"/>
  <c r="M7617" i="2"/>
  <c r="J7617" i="2"/>
  <c r="I7617" i="2"/>
  <c r="H7617" i="2"/>
  <c r="G7617" i="2"/>
  <c r="F7617" i="2"/>
  <c r="E7617" i="2"/>
  <c r="D7617" i="2"/>
  <c r="C7617" i="2"/>
  <c r="B7617" i="2"/>
  <c r="A7617" i="2"/>
  <c r="Q7616" i="2"/>
  <c r="U7616" i="2" s="1"/>
  <c r="N7616" i="2"/>
  <c r="M7616" i="2"/>
  <c r="J7616" i="2"/>
  <c r="I7616" i="2"/>
  <c r="H7616" i="2"/>
  <c r="G7616" i="2"/>
  <c r="F7616" i="2"/>
  <c r="E7616" i="2"/>
  <c r="D7616" i="2"/>
  <c r="C7616" i="2"/>
  <c r="B7616" i="2"/>
  <c r="A7616" i="2"/>
  <c r="U7615" i="2"/>
  <c r="N7615" i="2"/>
  <c r="M7615" i="2"/>
  <c r="J7615" i="2"/>
  <c r="I7615" i="2"/>
  <c r="H7615" i="2"/>
  <c r="G7615" i="2"/>
  <c r="F7615" i="2"/>
  <c r="E7615" i="2"/>
  <c r="D7615" i="2"/>
  <c r="C7615" i="2"/>
  <c r="B7615" i="2"/>
  <c r="A7615" i="2"/>
  <c r="U7614" i="2"/>
  <c r="N7614" i="2"/>
  <c r="M7614" i="2"/>
  <c r="J7614" i="2"/>
  <c r="I7614" i="2"/>
  <c r="H7614" i="2"/>
  <c r="G7614" i="2"/>
  <c r="F7614" i="2"/>
  <c r="E7614" i="2"/>
  <c r="D7614" i="2"/>
  <c r="C7614" i="2"/>
  <c r="B7614" i="2"/>
  <c r="A7614" i="2"/>
  <c r="U7613" i="2"/>
  <c r="N7613" i="2"/>
  <c r="M7613" i="2"/>
  <c r="J7613" i="2"/>
  <c r="I7613" i="2"/>
  <c r="H7613" i="2"/>
  <c r="G7613" i="2"/>
  <c r="F7613" i="2"/>
  <c r="E7613" i="2"/>
  <c r="D7613" i="2"/>
  <c r="C7613" i="2"/>
  <c r="B7613" i="2"/>
  <c r="A7613" i="2"/>
  <c r="U7612" i="2"/>
  <c r="N7612" i="2"/>
  <c r="M7612" i="2"/>
  <c r="J7612" i="2"/>
  <c r="I7612" i="2"/>
  <c r="H7612" i="2"/>
  <c r="G7612" i="2"/>
  <c r="F7612" i="2"/>
  <c r="E7612" i="2"/>
  <c r="D7612" i="2"/>
  <c r="C7612" i="2"/>
  <c r="B7612" i="2"/>
  <c r="A7612" i="2"/>
  <c r="U7611" i="2"/>
  <c r="N7611" i="2"/>
  <c r="M7611" i="2"/>
  <c r="J7611" i="2"/>
  <c r="I7611" i="2"/>
  <c r="H7611" i="2"/>
  <c r="G7611" i="2"/>
  <c r="F7611" i="2"/>
  <c r="E7611" i="2"/>
  <c r="D7611" i="2"/>
  <c r="C7611" i="2"/>
  <c r="B7611" i="2"/>
  <c r="A7611" i="2"/>
  <c r="U7610" i="2"/>
  <c r="N7610" i="2"/>
  <c r="M7610" i="2"/>
  <c r="J7610" i="2"/>
  <c r="I7610" i="2"/>
  <c r="H7610" i="2"/>
  <c r="G7610" i="2"/>
  <c r="F7610" i="2"/>
  <c r="E7610" i="2"/>
  <c r="D7610" i="2"/>
  <c r="C7610" i="2"/>
  <c r="B7610" i="2"/>
  <c r="A7610" i="2"/>
  <c r="U7609" i="2"/>
  <c r="N7609" i="2"/>
  <c r="M7609" i="2"/>
  <c r="J7609" i="2"/>
  <c r="I7609" i="2"/>
  <c r="H7609" i="2"/>
  <c r="G7609" i="2"/>
  <c r="F7609" i="2"/>
  <c r="E7609" i="2"/>
  <c r="D7609" i="2"/>
  <c r="C7609" i="2"/>
  <c r="B7609" i="2"/>
  <c r="A7609" i="2"/>
  <c r="U7608" i="2"/>
  <c r="N7608" i="2"/>
  <c r="M7608" i="2"/>
  <c r="J7608" i="2"/>
  <c r="I7608" i="2"/>
  <c r="H7608" i="2"/>
  <c r="G7608" i="2"/>
  <c r="F7608" i="2"/>
  <c r="E7608" i="2"/>
  <c r="D7608" i="2"/>
  <c r="C7608" i="2"/>
  <c r="B7608" i="2"/>
  <c r="A7608" i="2"/>
  <c r="U7607" i="2"/>
  <c r="N7607" i="2"/>
  <c r="M7607" i="2"/>
  <c r="J7607" i="2"/>
  <c r="I7607" i="2"/>
  <c r="H7607" i="2"/>
  <c r="G7607" i="2"/>
  <c r="F7607" i="2"/>
  <c r="E7607" i="2"/>
  <c r="D7607" i="2"/>
  <c r="C7607" i="2"/>
  <c r="B7607" i="2"/>
  <c r="A7607" i="2"/>
  <c r="U7606" i="2"/>
  <c r="N7606" i="2"/>
  <c r="M7606" i="2"/>
  <c r="J7606" i="2"/>
  <c r="I7606" i="2"/>
  <c r="H7606" i="2"/>
  <c r="G7606" i="2"/>
  <c r="F7606" i="2"/>
  <c r="E7606" i="2"/>
  <c r="D7606" i="2"/>
  <c r="C7606" i="2"/>
  <c r="B7606" i="2"/>
  <c r="A7606" i="2"/>
  <c r="U7605" i="2"/>
  <c r="N7605" i="2"/>
  <c r="M7605" i="2"/>
  <c r="J7605" i="2"/>
  <c r="I7605" i="2"/>
  <c r="H7605" i="2"/>
  <c r="G7605" i="2"/>
  <c r="F7605" i="2"/>
  <c r="E7605" i="2"/>
  <c r="D7605" i="2"/>
  <c r="C7605" i="2"/>
  <c r="B7605" i="2"/>
  <c r="A7605" i="2"/>
  <c r="U7604" i="2"/>
  <c r="N7604" i="2"/>
  <c r="M7604" i="2"/>
  <c r="J7604" i="2"/>
  <c r="I7604" i="2"/>
  <c r="H7604" i="2"/>
  <c r="G7604" i="2"/>
  <c r="F7604" i="2"/>
  <c r="E7604" i="2"/>
  <c r="D7604" i="2"/>
  <c r="C7604" i="2"/>
  <c r="B7604" i="2"/>
  <c r="A7604" i="2"/>
  <c r="U7603" i="2"/>
  <c r="N7603" i="2"/>
  <c r="M7603" i="2"/>
  <c r="J7603" i="2"/>
  <c r="I7603" i="2"/>
  <c r="H7603" i="2"/>
  <c r="G7603" i="2"/>
  <c r="F7603" i="2"/>
  <c r="E7603" i="2"/>
  <c r="D7603" i="2"/>
  <c r="C7603" i="2"/>
  <c r="B7603" i="2"/>
  <c r="A7603" i="2"/>
  <c r="U7602" i="2"/>
  <c r="N7602" i="2"/>
  <c r="M7602" i="2"/>
  <c r="J7602" i="2"/>
  <c r="I7602" i="2"/>
  <c r="H7602" i="2"/>
  <c r="G7602" i="2"/>
  <c r="F7602" i="2"/>
  <c r="E7602" i="2"/>
  <c r="D7602" i="2"/>
  <c r="C7602" i="2"/>
  <c r="B7602" i="2"/>
  <c r="A7602" i="2"/>
  <c r="U7601" i="2"/>
  <c r="N7601" i="2"/>
  <c r="M7601" i="2"/>
  <c r="J7601" i="2"/>
  <c r="I7601" i="2"/>
  <c r="H7601" i="2"/>
  <c r="G7601" i="2"/>
  <c r="F7601" i="2"/>
  <c r="E7601" i="2"/>
  <c r="D7601" i="2"/>
  <c r="C7601" i="2"/>
  <c r="B7601" i="2"/>
  <c r="A7601" i="2"/>
  <c r="U7600" i="2"/>
  <c r="N7600" i="2"/>
  <c r="M7600" i="2"/>
  <c r="J7600" i="2"/>
  <c r="I7600" i="2"/>
  <c r="H7600" i="2"/>
  <c r="G7600" i="2"/>
  <c r="F7600" i="2"/>
  <c r="E7600" i="2"/>
  <c r="D7600" i="2"/>
  <c r="C7600" i="2"/>
  <c r="B7600" i="2"/>
  <c r="A7600" i="2"/>
  <c r="U7599" i="2"/>
  <c r="N7599" i="2"/>
  <c r="M7599" i="2"/>
  <c r="J7599" i="2"/>
  <c r="I7599" i="2"/>
  <c r="H7599" i="2"/>
  <c r="G7599" i="2"/>
  <c r="F7599" i="2"/>
  <c r="E7599" i="2"/>
  <c r="D7599" i="2"/>
  <c r="C7599" i="2"/>
  <c r="B7599" i="2"/>
  <c r="A7599" i="2"/>
  <c r="U7598" i="2"/>
  <c r="N7598" i="2"/>
  <c r="M7598" i="2"/>
  <c r="J7598" i="2"/>
  <c r="I7598" i="2"/>
  <c r="H7598" i="2"/>
  <c r="G7598" i="2"/>
  <c r="F7598" i="2"/>
  <c r="E7598" i="2"/>
  <c r="D7598" i="2"/>
  <c r="C7598" i="2"/>
  <c r="B7598" i="2"/>
  <c r="A7598" i="2"/>
  <c r="U7597" i="2"/>
  <c r="N7597" i="2"/>
  <c r="M7597" i="2"/>
  <c r="J7597" i="2"/>
  <c r="I7597" i="2"/>
  <c r="H7597" i="2"/>
  <c r="G7597" i="2"/>
  <c r="F7597" i="2"/>
  <c r="E7597" i="2"/>
  <c r="D7597" i="2"/>
  <c r="C7597" i="2"/>
  <c r="B7597" i="2"/>
  <c r="A7597" i="2"/>
  <c r="U7596" i="2"/>
  <c r="N7596" i="2"/>
  <c r="M7596" i="2"/>
  <c r="J7596" i="2"/>
  <c r="I7596" i="2"/>
  <c r="H7596" i="2"/>
  <c r="G7596" i="2"/>
  <c r="F7596" i="2"/>
  <c r="E7596" i="2"/>
  <c r="D7596" i="2"/>
  <c r="C7596" i="2"/>
  <c r="B7596" i="2"/>
  <c r="A7596" i="2"/>
  <c r="Q7595" i="2"/>
  <c r="U7595" i="2" s="1"/>
  <c r="N7595" i="2"/>
  <c r="M7595" i="2"/>
  <c r="J7595" i="2"/>
  <c r="I7595" i="2"/>
  <c r="H7595" i="2"/>
  <c r="G7595" i="2"/>
  <c r="F7595" i="2"/>
  <c r="E7595" i="2"/>
  <c r="D7595" i="2"/>
  <c r="C7595" i="2"/>
  <c r="B7595" i="2"/>
  <c r="A7595" i="2"/>
  <c r="U7594" i="2"/>
  <c r="N7594" i="2"/>
  <c r="M7594" i="2"/>
  <c r="J7594" i="2"/>
  <c r="I7594" i="2"/>
  <c r="H7594" i="2"/>
  <c r="G7594" i="2"/>
  <c r="F7594" i="2"/>
  <c r="E7594" i="2"/>
  <c r="D7594" i="2"/>
  <c r="C7594" i="2"/>
  <c r="B7594" i="2"/>
  <c r="A7594" i="2"/>
  <c r="U7593" i="2"/>
  <c r="N7593" i="2"/>
  <c r="M7593" i="2"/>
  <c r="J7593" i="2"/>
  <c r="I7593" i="2"/>
  <c r="H7593" i="2"/>
  <c r="G7593" i="2"/>
  <c r="F7593" i="2"/>
  <c r="E7593" i="2"/>
  <c r="D7593" i="2"/>
  <c r="C7593" i="2"/>
  <c r="B7593" i="2"/>
  <c r="A7593" i="2"/>
  <c r="U7592" i="2"/>
  <c r="N7592" i="2"/>
  <c r="M7592" i="2"/>
  <c r="J7592" i="2"/>
  <c r="I7592" i="2"/>
  <c r="H7592" i="2"/>
  <c r="G7592" i="2"/>
  <c r="F7592" i="2"/>
  <c r="E7592" i="2"/>
  <c r="D7592" i="2"/>
  <c r="C7592" i="2"/>
  <c r="B7592" i="2"/>
  <c r="A7592" i="2"/>
  <c r="U7591" i="2"/>
  <c r="N7591" i="2"/>
  <c r="M7591" i="2"/>
  <c r="J7591" i="2"/>
  <c r="I7591" i="2"/>
  <c r="H7591" i="2"/>
  <c r="G7591" i="2"/>
  <c r="F7591" i="2"/>
  <c r="E7591" i="2"/>
  <c r="D7591" i="2"/>
  <c r="C7591" i="2"/>
  <c r="B7591" i="2"/>
  <c r="A7591" i="2"/>
  <c r="U7590" i="2"/>
  <c r="N7590" i="2"/>
  <c r="M7590" i="2"/>
  <c r="J7590" i="2"/>
  <c r="I7590" i="2"/>
  <c r="H7590" i="2"/>
  <c r="G7590" i="2"/>
  <c r="F7590" i="2"/>
  <c r="E7590" i="2"/>
  <c r="D7590" i="2"/>
  <c r="C7590" i="2"/>
  <c r="B7590" i="2"/>
  <c r="A7590" i="2"/>
  <c r="Q7589" i="2"/>
  <c r="U7589" i="2" s="1"/>
  <c r="N7589" i="2"/>
  <c r="M7589" i="2"/>
  <c r="J7589" i="2"/>
  <c r="I7589" i="2"/>
  <c r="H7589" i="2"/>
  <c r="G7589" i="2"/>
  <c r="F7589" i="2"/>
  <c r="E7589" i="2"/>
  <c r="D7589" i="2"/>
  <c r="C7589" i="2"/>
  <c r="B7589" i="2"/>
  <c r="A7589" i="2"/>
  <c r="U7588" i="2"/>
  <c r="N7588" i="2"/>
  <c r="M7588" i="2"/>
  <c r="J7588" i="2"/>
  <c r="I7588" i="2"/>
  <c r="H7588" i="2"/>
  <c r="G7588" i="2"/>
  <c r="F7588" i="2"/>
  <c r="E7588" i="2"/>
  <c r="D7588" i="2"/>
  <c r="C7588" i="2"/>
  <c r="B7588" i="2"/>
  <c r="A7588" i="2"/>
  <c r="U7587" i="2"/>
  <c r="N7587" i="2"/>
  <c r="M7587" i="2"/>
  <c r="J7587" i="2"/>
  <c r="I7587" i="2"/>
  <c r="H7587" i="2"/>
  <c r="G7587" i="2"/>
  <c r="F7587" i="2"/>
  <c r="E7587" i="2"/>
  <c r="D7587" i="2"/>
  <c r="C7587" i="2"/>
  <c r="B7587" i="2"/>
  <c r="A7587" i="2"/>
  <c r="U7586" i="2"/>
  <c r="N7586" i="2"/>
  <c r="M7586" i="2"/>
  <c r="J7586" i="2"/>
  <c r="I7586" i="2"/>
  <c r="H7586" i="2"/>
  <c r="G7586" i="2"/>
  <c r="F7586" i="2"/>
  <c r="E7586" i="2"/>
  <c r="D7586" i="2"/>
  <c r="C7586" i="2"/>
  <c r="B7586" i="2"/>
  <c r="A7586" i="2"/>
  <c r="U7585" i="2"/>
  <c r="N7585" i="2"/>
  <c r="M7585" i="2"/>
  <c r="J7585" i="2"/>
  <c r="I7585" i="2"/>
  <c r="H7585" i="2"/>
  <c r="G7585" i="2"/>
  <c r="F7585" i="2"/>
  <c r="E7585" i="2"/>
  <c r="D7585" i="2"/>
  <c r="C7585" i="2"/>
  <c r="B7585" i="2"/>
  <c r="A7585" i="2"/>
  <c r="U7584" i="2"/>
  <c r="N7584" i="2"/>
  <c r="M7584" i="2"/>
  <c r="J7584" i="2"/>
  <c r="I7584" i="2"/>
  <c r="H7584" i="2"/>
  <c r="G7584" i="2"/>
  <c r="F7584" i="2"/>
  <c r="E7584" i="2"/>
  <c r="D7584" i="2"/>
  <c r="C7584" i="2"/>
  <c r="B7584" i="2"/>
  <c r="A7584" i="2"/>
  <c r="U7583" i="2"/>
  <c r="N7583" i="2"/>
  <c r="M7583" i="2"/>
  <c r="J7583" i="2"/>
  <c r="I7583" i="2"/>
  <c r="H7583" i="2"/>
  <c r="G7583" i="2"/>
  <c r="F7583" i="2"/>
  <c r="E7583" i="2"/>
  <c r="D7583" i="2"/>
  <c r="C7583" i="2"/>
  <c r="B7583" i="2"/>
  <c r="A7583" i="2"/>
  <c r="U7582" i="2"/>
  <c r="N7582" i="2"/>
  <c r="M7582" i="2"/>
  <c r="J7582" i="2"/>
  <c r="I7582" i="2"/>
  <c r="H7582" i="2"/>
  <c r="G7582" i="2"/>
  <c r="F7582" i="2"/>
  <c r="E7582" i="2"/>
  <c r="D7582" i="2"/>
  <c r="C7582" i="2"/>
  <c r="B7582" i="2"/>
  <c r="A7582" i="2"/>
  <c r="U7581" i="2"/>
  <c r="N7581" i="2"/>
  <c r="M7581" i="2"/>
  <c r="J7581" i="2"/>
  <c r="I7581" i="2"/>
  <c r="H7581" i="2"/>
  <c r="G7581" i="2"/>
  <c r="F7581" i="2"/>
  <c r="E7581" i="2"/>
  <c r="D7581" i="2"/>
  <c r="C7581" i="2"/>
  <c r="B7581" i="2"/>
  <c r="A7581" i="2"/>
  <c r="U7580" i="2"/>
  <c r="N7580" i="2"/>
  <c r="M7580" i="2"/>
  <c r="J7580" i="2"/>
  <c r="I7580" i="2"/>
  <c r="H7580" i="2"/>
  <c r="G7580" i="2"/>
  <c r="F7580" i="2"/>
  <c r="E7580" i="2"/>
  <c r="D7580" i="2"/>
  <c r="C7580" i="2"/>
  <c r="B7580" i="2"/>
  <c r="A7580" i="2"/>
  <c r="U7579" i="2"/>
  <c r="N7579" i="2"/>
  <c r="M7579" i="2"/>
  <c r="J7579" i="2"/>
  <c r="I7579" i="2"/>
  <c r="H7579" i="2"/>
  <c r="G7579" i="2"/>
  <c r="F7579" i="2"/>
  <c r="E7579" i="2"/>
  <c r="D7579" i="2"/>
  <c r="C7579" i="2"/>
  <c r="B7579" i="2"/>
  <c r="A7579" i="2"/>
  <c r="U7578" i="2"/>
  <c r="N7578" i="2"/>
  <c r="M7578" i="2"/>
  <c r="J7578" i="2"/>
  <c r="I7578" i="2"/>
  <c r="H7578" i="2"/>
  <c r="G7578" i="2"/>
  <c r="F7578" i="2"/>
  <c r="E7578" i="2"/>
  <c r="D7578" i="2"/>
  <c r="C7578" i="2"/>
  <c r="B7578" i="2"/>
  <c r="A7578" i="2"/>
  <c r="U7577" i="2"/>
  <c r="N7577" i="2"/>
  <c r="M7577" i="2"/>
  <c r="J7577" i="2"/>
  <c r="I7577" i="2"/>
  <c r="H7577" i="2"/>
  <c r="G7577" i="2"/>
  <c r="F7577" i="2"/>
  <c r="E7577" i="2"/>
  <c r="D7577" i="2"/>
  <c r="C7577" i="2"/>
  <c r="B7577" i="2"/>
  <c r="A7577" i="2"/>
  <c r="U7576" i="2"/>
  <c r="N7576" i="2"/>
  <c r="M7576" i="2"/>
  <c r="J7576" i="2"/>
  <c r="I7576" i="2"/>
  <c r="H7576" i="2"/>
  <c r="G7576" i="2"/>
  <c r="F7576" i="2"/>
  <c r="E7576" i="2"/>
  <c r="D7576" i="2"/>
  <c r="C7576" i="2"/>
  <c r="B7576" i="2"/>
  <c r="A7576" i="2"/>
  <c r="U7575" i="2"/>
  <c r="N7575" i="2"/>
  <c r="M7575" i="2"/>
  <c r="J7575" i="2"/>
  <c r="I7575" i="2"/>
  <c r="H7575" i="2"/>
  <c r="G7575" i="2"/>
  <c r="F7575" i="2"/>
  <c r="E7575" i="2"/>
  <c r="D7575" i="2"/>
  <c r="C7575" i="2"/>
  <c r="B7575" i="2"/>
  <c r="A7575" i="2"/>
  <c r="U7574" i="2"/>
  <c r="N7574" i="2"/>
  <c r="M7574" i="2"/>
  <c r="J7574" i="2"/>
  <c r="I7574" i="2"/>
  <c r="H7574" i="2"/>
  <c r="G7574" i="2"/>
  <c r="F7574" i="2"/>
  <c r="E7574" i="2"/>
  <c r="D7574" i="2"/>
  <c r="C7574" i="2"/>
  <c r="B7574" i="2"/>
  <c r="A7574" i="2"/>
  <c r="U7573" i="2"/>
  <c r="N7573" i="2"/>
  <c r="M7573" i="2"/>
  <c r="J7573" i="2"/>
  <c r="I7573" i="2"/>
  <c r="H7573" i="2"/>
  <c r="G7573" i="2"/>
  <c r="F7573" i="2"/>
  <c r="E7573" i="2"/>
  <c r="D7573" i="2"/>
  <c r="C7573" i="2"/>
  <c r="B7573" i="2"/>
  <c r="A7573" i="2"/>
  <c r="U7572" i="2"/>
  <c r="N7572" i="2"/>
  <c r="M7572" i="2"/>
  <c r="J7572" i="2"/>
  <c r="I7572" i="2"/>
  <c r="H7572" i="2"/>
  <c r="G7572" i="2"/>
  <c r="F7572" i="2"/>
  <c r="E7572" i="2"/>
  <c r="D7572" i="2"/>
  <c r="C7572" i="2"/>
  <c r="B7572" i="2"/>
  <c r="A7572" i="2"/>
  <c r="U7571" i="2"/>
  <c r="N7571" i="2"/>
  <c r="M7571" i="2"/>
  <c r="J7571" i="2"/>
  <c r="I7571" i="2"/>
  <c r="H7571" i="2"/>
  <c r="G7571" i="2"/>
  <c r="F7571" i="2"/>
  <c r="E7571" i="2"/>
  <c r="D7571" i="2"/>
  <c r="C7571" i="2"/>
  <c r="B7571" i="2"/>
  <c r="A7571" i="2"/>
  <c r="U7570" i="2"/>
  <c r="N7570" i="2"/>
  <c r="M7570" i="2"/>
  <c r="J7570" i="2"/>
  <c r="I7570" i="2"/>
  <c r="H7570" i="2"/>
  <c r="G7570" i="2"/>
  <c r="F7570" i="2"/>
  <c r="E7570" i="2"/>
  <c r="D7570" i="2"/>
  <c r="C7570" i="2"/>
  <c r="B7570" i="2"/>
  <c r="A7570" i="2"/>
  <c r="U7569" i="2"/>
  <c r="N7569" i="2"/>
  <c r="M7569" i="2"/>
  <c r="J7569" i="2"/>
  <c r="I7569" i="2"/>
  <c r="H7569" i="2"/>
  <c r="G7569" i="2"/>
  <c r="F7569" i="2"/>
  <c r="E7569" i="2"/>
  <c r="D7569" i="2"/>
  <c r="C7569" i="2"/>
  <c r="B7569" i="2"/>
  <c r="A7569" i="2"/>
  <c r="U7568" i="2"/>
  <c r="N7568" i="2"/>
  <c r="M7568" i="2"/>
  <c r="J7568" i="2"/>
  <c r="I7568" i="2"/>
  <c r="H7568" i="2"/>
  <c r="G7568" i="2"/>
  <c r="F7568" i="2"/>
  <c r="E7568" i="2"/>
  <c r="D7568" i="2"/>
  <c r="C7568" i="2"/>
  <c r="B7568" i="2"/>
  <c r="A7568" i="2"/>
  <c r="U7567" i="2"/>
  <c r="N7567" i="2"/>
  <c r="M7567" i="2"/>
  <c r="J7567" i="2"/>
  <c r="I7567" i="2"/>
  <c r="H7567" i="2"/>
  <c r="G7567" i="2"/>
  <c r="F7567" i="2"/>
  <c r="E7567" i="2"/>
  <c r="D7567" i="2"/>
  <c r="C7567" i="2"/>
  <c r="B7567" i="2"/>
  <c r="A7567" i="2"/>
  <c r="U7566" i="2"/>
  <c r="N7566" i="2"/>
  <c r="M7566" i="2"/>
  <c r="J7566" i="2"/>
  <c r="I7566" i="2"/>
  <c r="H7566" i="2"/>
  <c r="G7566" i="2"/>
  <c r="F7566" i="2"/>
  <c r="E7566" i="2"/>
  <c r="D7566" i="2"/>
  <c r="C7566" i="2"/>
  <c r="B7566" i="2"/>
  <c r="A7566" i="2"/>
  <c r="R7565" i="2"/>
  <c r="Q7565" i="2"/>
  <c r="N7565" i="2"/>
  <c r="M7565" i="2"/>
  <c r="J7565" i="2"/>
  <c r="I7565" i="2"/>
  <c r="H7565" i="2"/>
  <c r="G7565" i="2"/>
  <c r="F7565" i="2"/>
  <c r="E7565" i="2"/>
  <c r="D7565" i="2"/>
  <c r="C7565" i="2"/>
  <c r="B7565" i="2"/>
  <c r="A7565" i="2"/>
  <c r="R7564" i="2"/>
  <c r="Q7564" i="2"/>
  <c r="N7564" i="2"/>
  <c r="M7564" i="2"/>
  <c r="J7564" i="2"/>
  <c r="I7564" i="2"/>
  <c r="H7564" i="2"/>
  <c r="G7564" i="2"/>
  <c r="F7564" i="2"/>
  <c r="E7564" i="2"/>
  <c r="D7564" i="2"/>
  <c r="C7564" i="2"/>
  <c r="B7564" i="2"/>
  <c r="A7564" i="2"/>
  <c r="R7563" i="2"/>
  <c r="Q7563" i="2"/>
  <c r="N7563" i="2"/>
  <c r="M7563" i="2"/>
  <c r="J7563" i="2"/>
  <c r="I7563" i="2"/>
  <c r="H7563" i="2"/>
  <c r="G7563" i="2"/>
  <c r="F7563" i="2"/>
  <c r="E7563" i="2"/>
  <c r="D7563" i="2"/>
  <c r="C7563" i="2"/>
  <c r="B7563" i="2"/>
  <c r="A7563" i="2"/>
  <c r="Q7562" i="2"/>
  <c r="U7562" i="2" s="1"/>
  <c r="N7562" i="2"/>
  <c r="M7562" i="2"/>
  <c r="J7562" i="2"/>
  <c r="I7562" i="2"/>
  <c r="H7562" i="2"/>
  <c r="G7562" i="2"/>
  <c r="F7562" i="2"/>
  <c r="E7562" i="2"/>
  <c r="D7562" i="2"/>
  <c r="C7562" i="2"/>
  <c r="B7562" i="2"/>
  <c r="A7562" i="2"/>
  <c r="Q7561" i="2"/>
  <c r="U7561" i="2" s="1"/>
  <c r="N7561" i="2"/>
  <c r="M7561" i="2"/>
  <c r="J7561" i="2"/>
  <c r="I7561" i="2"/>
  <c r="H7561" i="2"/>
  <c r="G7561" i="2"/>
  <c r="F7561" i="2"/>
  <c r="E7561" i="2"/>
  <c r="D7561" i="2"/>
  <c r="C7561" i="2"/>
  <c r="B7561" i="2"/>
  <c r="A7561" i="2"/>
  <c r="Q7560" i="2"/>
  <c r="U7560" i="2" s="1"/>
  <c r="N7560" i="2"/>
  <c r="M7560" i="2"/>
  <c r="J7560" i="2"/>
  <c r="I7560" i="2"/>
  <c r="H7560" i="2"/>
  <c r="G7560" i="2"/>
  <c r="F7560" i="2"/>
  <c r="E7560" i="2"/>
  <c r="D7560" i="2"/>
  <c r="C7560" i="2"/>
  <c r="B7560" i="2"/>
  <c r="A7560" i="2"/>
  <c r="U7559" i="2"/>
  <c r="N7559" i="2"/>
  <c r="M7559" i="2"/>
  <c r="J7559" i="2"/>
  <c r="I7559" i="2"/>
  <c r="H7559" i="2"/>
  <c r="G7559" i="2"/>
  <c r="F7559" i="2"/>
  <c r="E7559" i="2"/>
  <c r="D7559" i="2"/>
  <c r="C7559" i="2"/>
  <c r="B7559" i="2"/>
  <c r="A7559" i="2"/>
  <c r="U7558" i="2"/>
  <c r="N7558" i="2"/>
  <c r="M7558" i="2"/>
  <c r="J7558" i="2"/>
  <c r="I7558" i="2"/>
  <c r="H7558" i="2"/>
  <c r="G7558" i="2"/>
  <c r="F7558" i="2"/>
  <c r="E7558" i="2"/>
  <c r="D7558" i="2"/>
  <c r="C7558" i="2"/>
  <c r="B7558" i="2"/>
  <c r="A7558" i="2"/>
  <c r="U7557" i="2"/>
  <c r="N7557" i="2"/>
  <c r="M7557" i="2"/>
  <c r="J7557" i="2"/>
  <c r="I7557" i="2"/>
  <c r="H7557" i="2"/>
  <c r="G7557" i="2"/>
  <c r="F7557" i="2"/>
  <c r="E7557" i="2"/>
  <c r="D7557" i="2"/>
  <c r="C7557" i="2"/>
  <c r="B7557" i="2"/>
  <c r="A7557" i="2"/>
  <c r="U7556" i="2"/>
  <c r="N7556" i="2"/>
  <c r="M7556" i="2"/>
  <c r="J7556" i="2"/>
  <c r="I7556" i="2"/>
  <c r="H7556" i="2"/>
  <c r="G7556" i="2"/>
  <c r="F7556" i="2"/>
  <c r="E7556" i="2"/>
  <c r="D7556" i="2"/>
  <c r="C7556" i="2"/>
  <c r="B7556" i="2"/>
  <c r="A7556" i="2"/>
  <c r="U7555" i="2"/>
  <c r="N7555" i="2"/>
  <c r="M7555" i="2"/>
  <c r="J7555" i="2"/>
  <c r="I7555" i="2"/>
  <c r="H7555" i="2"/>
  <c r="G7555" i="2"/>
  <c r="F7555" i="2"/>
  <c r="E7555" i="2"/>
  <c r="D7555" i="2"/>
  <c r="C7555" i="2"/>
  <c r="B7555" i="2"/>
  <c r="A7555" i="2"/>
  <c r="U7554" i="2"/>
  <c r="N7554" i="2"/>
  <c r="M7554" i="2"/>
  <c r="J7554" i="2"/>
  <c r="I7554" i="2"/>
  <c r="H7554" i="2"/>
  <c r="G7554" i="2"/>
  <c r="F7554" i="2"/>
  <c r="E7554" i="2"/>
  <c r="D7554" i="2"/>
  <c r="C7554" i="2"/>
  <c r="B7554" i="2"/>
  <c r="A7554" i="2"/>
  <c r="U7553" i="2"/>
  <c r="N7553" i="2"/>
  <c r="M7553" i="2"/>
  <c r="J7553" i="2"/>
  <c r="I7553" i="2"/>
  <c r="H7553" i="2"/>
  <c r="G7553" i="2"/>
  <c r="F7553" i="2"/>
  <c r="E7553" i="2"/>
  <c r="D7553" i="2"/>
  <c r="C7553" i="2"/>
  <c r="B7553" i="2"/>
  <c r="A7553" i="2"/>
  <c r="U7552" i="2"/>
  <c r="N7552" i="2"/>
  <c r="M7552" i="2"/>
  <c r="J7552" i="2"/>
  <c r="I7552" i="2"/>
  <c r="H7552" i="2"/>
  <c r="G7552" i="2"/>
  <c r="F7552" i="2"/>
  <c r="E7552" i="2"/>
  <c r="D7552" i="2"/>
  <c r="C7552" i="2"/>
  <c r="B7552" i="2"/>
  <c r="A7552" i="2"/>
  <c r="U7551" i="2"/>
  <c r="N7551" i="2"/>
  <c r="M7551" i="2"/>
  <c r="J7551" i="2"/>
  <c r="I7551" i="2"/>
  <c r="H7551" i="2"/>
  <c r="G7551" i="2"/>
  <c r="F7551" i="2"/>
  <c r="E7551" i="2"/>
  <c r="D7551" i="2"/>
  <c r="C7551" i="2"/>
  <c r="B7551" i="2"/>
  <c r="A7551" i="2"/>
  <c r="U7550" i="2"/>
  <c r="N7550" i="2"/>
  <c r="M7550" i="2"/>
  <c r="J7550" i="2"/>
  <c r="I7550" i="2"/>
  <c r="H7550" i="2"/>
  <c r="G7550" i="2"/>
  <c r="F7550" i="2"/>
  <c r="E7550" i="2"/>
  <c r="D7550" i="2"/>
  <c r="C7550" i="2"/>
  <c r="B7550" i="2"/>
  <c r="A7550" i="2"/>
  <c r="U7549" i="2"/>
  <c r="N7549" i="2"/>
  <c r="M7549" i="2"/>
  <c r="J7549" i="2"/>
  <c r="I7549" i="2"/>
  <c r="H7549" i="2"/>
  <c r="G7549" i="2"/>
  <c r="F7549" i="2"/>
  <c r="E7549" i="2"/>
  <c r="D7549" i="2"/>
  <c r="C7549" i="2"/>
  <c r="B7549" i="2"/>
  <c r="A7549" i="2"/>
  <c r="U7548" i="2"/>
  <c r="N7548" i="2"/>
  <c r="M7548" i="2"/>
  <c r="J7548" i="2"/>
  <c r="I7548" i="2"/>
  <c r="H7548" i="2"/>
  <c r="G7548" i="2"/>
  <c r="F7548" i="2"/>
  <c r="E7548" i="2"/>
  <c r="D7548" i="2"/>
  <c r="C7548" i="2"/>
  <c r="B7548" i="2"/>
  <c r="A7548" i="2"/>
  <c r="U7547" i="2"/>
  <c r="N7547" i="2"/>
  <c r="M7547" i="2"/>
  <c r="J7547" i="2"/>
  <c r="I7547" i="2"/>
  <c r="H7547" i="2"/>
  <c r="G7547" i="2"/>
  <c r="F7547" i="2"/>
  <c r="E7547" i="2"/>
  <c r="D7547" i="2"/>
  <c r="C7547" i="2"/>
  <c r="B7547" i="2"/>
  <c r="A7547" i="2"/>
  <c r="U7546" i="2"/>
  <c r="N7546" i="2"/>
  <c r="M7546" i="2"/>
  <c r="J7546" i="2"/>
  <c r="I7546" i="2"/>
  <c r="H7546" i="2"/>
  <c r="G7546" i="2"/>
  <c r="F7546" i="2"/>
  <c r="E7546" i="2"/>
  <c r="D7546" i="2"/>
  <c r="C7546" i="2"/>
  <c r="B7546" i="2"/>
  <c r="A7546" i="2"/>
  <c r="U7545" i="2"/>
  <c r="N7545" i="2"/>
  <c r="M7545" i="2"/>
  <c r="J7545" i="2"/>
  <c r="I7545" i="2"/>
  <c r="H7545" i="2"/>
  <c r="G7545" i="2"/>
  <c r="F7545" i="2"/>
  <c r="E7545" i="2"/>
  <c r="D7545" i="2"/>
  <c r="C7545" i="2"/>
  <c r="B7545" i="2"/>
  <c r="A7545" i="2"/>
  <c r="U7544" i="2"/>
  <c r="N7544" i="2"/>
  <c r="M7544" i="2"/>
  <c r="J7544" i="2"/>
  <c r="I7544" i="2"/>
  <c r="H7544" i="2"/>
  <c r="G7544" i="2"/>
  <c r="F7544" i="2"/>
  <c r="E7544" i="2"/>
  <c r="D7544" i="2"/>
  <c r="C7544" i="2"/>
  <c r="B7544" i="2"/>
  <c r="A7544" i="2"/>
  <c r="U7543" i="2"/>
  <c r="N7543" i="2"/>
  <c r="M7543" i="2"/>
  <c r="J7543" i="2"/>
  <c r="I7543" i="2"/>
  <c r="H7543" i="2"/>
  <c r="G7543" i="2"/>
  <c r="F7543" i="2"/>
  <c r="E7543" i="2"/>
  <c r="D7543" i="2"/>
  <c r="C7543" i="2"/>
  <c r="B7543" i="2"/>
  <c r="A7543" i="2"/>
  <c r="U7542" i="2"/>
  <c r="N7542" i="2"/>
  <c r="M7542" i="2"/>
  <c r="J7542" i="2"/>
  <c r="I7542" i="2"/>
  <c r="H7542" i="2"/>
  <c r="G7542" i="2"/>
  <c r="F7542" i="2"/>
  <c r="E7542" i="2"/>
  <c r="D7542" i="2"/>
  <c r="C7542" i="2"/>
  <c r="B7542" i="2"/>
  <c r="A7542" i="2"/>
  <c r="U7541" i="2"/>
  <c r="N7541" i="2"/>
  <c r="M7541" i="2"/>
  <c r="J7541" i="2"/>
  <c r="I7541" i="2"/>
  <c r="H7541" i="2"/>
  <c r="G7541" i="2"/>
  <c r="F7541" i="2"/>
  <c r="E7541" i="2"/>
  <c r="D7541" i="2"/>
  <c r="C7541" i="2"/>
  <c r="B7541" i="2"/>
  <c r="A7541" i="2"/>
  <c r="U7540" i="2"/>
  <c r="N7540" i="2"/>
  <c r="M7540" i="2"/>
  <c r="J7540" i="2"/>
  <c r="I7540" i="2"/>
  <c r="H7540" i="2"/>
  <c r="G7540" i="2"/>
  <c r="F7540" i="2"/>
  <c r="E7540" i="2"/>
  <c r="D7540" i="2"/>
  <c r="C7540" i="2"/>
  <c r="B7540" i="2"/>
  <c r="A7540" i="2"/>
  <c r="U7539" i="2"/>
  <c r="N7539" i="2"/>
  <c r="M7539" i="2"/>
  <c r="J7539" i="2"/>
  <c r="I7539" i="2"/>
  <c r="H7539" i="2"/>
  <c r="G7539" i="2"/>
  <c r="F7539" i="2"/>
  <c r="E7539" i="2"/>
  <c r="D7539" i="2"/>
  <c r="C7539" i="2"/>
  <c r="B7539" i="2"/>
  <c r="A7539" i="2"/>
  <c r="U7538" i="2"/>
  <c r="N7538" i="2"/>
  <c r="M7538" i="2"/>
  <c r="J7538" i="2"/>
  <c r="I7538" i="2"/>
  <c r="H7538" i="2"/>
  <c r="G7538" i="2"/>
  <c r="F7538" i="2"/>
  <c r="E7538" i="2"/>
  <c r="D7538" i="2"/>
  <c r="C7538" i="2"/>
  <c r="B7538" i="2"/>
  <c r="A7538" i="2"/>
  <c r="U7537" i="2"/>
  <c r="N7537" i="2"/>
  <c r="M7537" i="2"/>
  <c r="J7537" i="2"/>
  <c r="I7537" i="2"/>
  <c r="H7537" i="2"/>
  <c r="G7537" i="2"/>
  <c r="F7537" i="2"/>
  <c r="E7537" i="2"/>
  <c r="D7537" i="2"/>
  <c r="C7537" i="2"/>
  <c r="B7537" i="2"/>
  <c r="A7537" i="2"/>
  <c r="U7536" i="2"/>
  <c r="N7536" i="2"/>
  <c r="M7536" i="2"/>
  <c r="J7536" i="2"/>
  <c r="I7536" i="2"/>
  <c r="H7536" i="2"/>
  <c r="G7536" i="2"/>
  <c r="F7536" i="2"/>
  <c r="E7536" i="2"/>
  <c r="D7536" i="2"/>
  <c r="C7536" i="2"/>
  <c r="B7536" i="2"/>
  <c r="A7536" i="2"/>
  <c r="Q7535" i="2"/>
  <c r="U7535" i="2" s="1"/>
  <c r="N7535" i="2"/>
  <c r="M7535" i="2"/>
  <c r="J7535" i="2"/>
  <c r="I7535" i="2"/>
  <c r="H7535" i="2"/>
  <c r="G7535" i="2"/>
  <c r="F7535" i="2"/>
  <c r="E7535" i="2"/>
  <c r="D7535" i="2"/>
  <c r="C7535" i="2"/>
  <c r="B7535" i="2"/>
  <c r="A7535" i="2"/>
  <c r="U7534" i="2"/>
  <c r="N7534" i="2"/>
  <c r="M7534" i="2"/>
  <c r="J7534" i="2"/>
  <c r="I7534" i="2"/>
  <c r="H7534" i="2"/>
  <c r="G7534" i="2"/>
  <c r="F7534" i="2"/>
  <c r="E7534" i="2"/>
  <c r="D7534" i="2"/>
  <c r="C7534" i="2"/>
  <c r="B7534" i="2"/>
  <c r="A7534" i="2"/>
  <c r="U7533" i="2"/>
  <c r="N7533" i="2"/>
  <c r="M7533" i="2"/>
  <c r="J7533" i="2"/>
  <c r="I7533" i="2"/>
  <c r="H7533" i="2"/>
  <c r="G7533" i="2"/>
  <c r="F7533" i="2"/>
  <c r="E7533" i="2"/>
  <c r="D7533" i="2"/>
  <c r="C7533" i="2"/>
  <c r="B7533" i="2"/>
  <c r="A7533" i="2"/>
  <c r="U7532" i="2"/>
  <c r="N7532" i="2"/>
  <c r="M7532" i="2"/>
  <c r="J7532" i="2"/>
  <c r="I7532" i="2"/>
  <c r="H7532" i="2"/>
  <c r="G7532" i="2"/>
  <c r="F7532" i="2"/>
  <c r="E7532" i="2"/>
  <c r="D7532" i="2"/>
  <c r="C7532" i="2"/>
  <c r="B7532" i="2"/>
  <c r="A7532" i="2"/>
  <c r="U7531" i="2"/>
  <c r="N7531" i="2"/>
  <c r="M7531" i="2"/>
  <c r="J7531" i="2"/>
  <c r="I7531" i="2"/>
  <c r="H7531" i="2"/>
  <c r="G7531" i="2"/>
  <c r="F7531" i="2"/>
  <c r="E7531" i="2"/>
  <c r="D7531" i="2"/>
  <c r="C7531" i="2"/>
  <c r="B7531" i="2"/>
  <c r="A7531" i="2"/>
  <c r="U7530" i="2"/>
  <c r="N7530" i="2"/>
  <c r="M7530" i="2"/>
  <c r="J7530" i="2"/>
  <c r="I7530" i="2"/>
  <c r="H7530" i="2"/>
  <c r="G7530" i="2"/>
  <c r="F7530" i="2"/>
  <c r="E7530" i="2"/>
  <c r="D7530" i="2"/>
  <c r="C7530" i="2"/>
  <c r="B7530" i="2"/>
  <c r="A7530" i="2"/>
  <c r="U7529" i="2"/>
  <c r="N7529" i="2"/>
  <c r="M7529" i="2"/>
  <c r="J7529" i="2"/>
  <c r="I7529" i="2"/>
  <c r="H7529" i="2"/>
  <c r="G7529" i="2"/>
  <c r="F7529" i="2"/>
  <c r="E7529" i="2"/>
  <c r="D7529" i="2"/>
  <c r="C7529" i="2"/>
  <c r="B7529" i="2"/>
  <c r="A7529" i="2"/>
  <c r="U7528" i="2"/>
  <c r="N7528" i="2"/>
  <c r="M7528" i="2"/>
  <c r="J7528" i="2"/>
  <c r="I7528" i="2"/>
  <c r="H7528" i="2"/>
  <c r="G7528" i="2"/>
  <c r="F7528" i="2"/>
  <c r="E7528" i="2"/>
  <c r="D7528" i="2"/>
  <c r="C7528" i="2"/>
  <c r="B7528" i="2"/>
  <c r="A7528" i="2"/>
  <c r="U7527" i="2"/>
  <c r="N7527" i="2"/>
  <c r="M7527" i="2"/>
  <c r="J7527" i="2"/>
  <c r="I7527" i="2"/>
  <c r="H7527" i="2"/>
  <c r="G7527" i="2"/>
  <c r="F7527" i="2"/>
  <c r="E7527" i="2"/>
  <c r="D7527" i="2"/>
  <c r="C7527" i="2"/>
  <c r="B7527" i="2"/>
  <c r="A7527" i="2"/>
  <c r="U7526" i="2"/>
  <c r="N7526" i="2"/>
  <c r="M7526" i="2"/>
  <c r="J7526" i="2"/>
  <c r="I7526" i="2"/>
  <c r="H7526" i="2"/>
  <c r="G7526" i="2"/>
  <c r="F7526" i="2"/>
  <c r="E7526" i="2"/>
  <c r="D7526" i="2"/>
  <c r="C7526" i="2"/>
  <c r="B7526" i="2"/>
  <c r="A7526" i="2"/>
  <c r="U7525" i="2"/>
  <c r="N7525" i="2"/>
  <c r="M7525" i="2"/>
  <c r="J7525" i="2"/>
  <c r="I7525" i="2"/>
  <c r="H7525" i="2"/>
  <c r="G7525" i="2"/>
  <c r="F7525" i="2"/>
  <c r="E7525" i="2"/>
  <c r="D7525" i="2"/>
  <c r="C7525" i="2"/>
  <c r="B7525" i="2"/>
  <c r="A7525" i="2"/>
  <c r="U7524" i="2"/>
  <c r="N7524" i="2"/>
  <c r="M7524" i="2"/>
  <c r="J7524" i="2"/>
  <c r="I7524" i="2"/>
  <c r="H7524" i="2"/>
  <c r="G7524" i="2"/>
  <c r="F7524" i="2"/>
  <c r="E7524" i="2"/>
  <c r="D7524" i="2"/>
  <c r="C7524" i="2"/>
  <c r="B7524" i="2"/>
  <c r="A7524" i="2"/>
  <c r="U7523" i="2"/>
  <c r="N7523" i="2"/>
  <c r="M7523" i="2"/>
  <c r="J7523" i="2"/>
  <c r="I7523" i="2"/>
  <c r="H7523" i="2"/>
  <c r="G7523" i="2"/>
  <c r="F7523" i="2"/>
  <c r="E7523" i="2"/>
  <c r="D7523" i="2"/>
  <c r="C7523" i="2"/>
  <c r="B7523" i="2"/>
  <c r="A7523" i="2"/>
  <c r="U7522" i="2"/>
  <c r="N7522" i="2"/>
  <c r="M7522" i="2"/>
  <c r="J7522" i="2"/>
  <c r="I7522" i="2"/>
  <c r="H7522" i="2"/>
  <c r="G7522" i="2"/>
  <c r="F7522" i="2"/>
  <c r="E7522" i="2"/>
  <c r="D7522" i="2"/>
  <c r="C7522" i="2"/>
  <c r="B7522" i="2"/>
  <c r="A7522" i="2"/>
  <c r="U7521" i="2"/>
  <c r="N7521" i="2"/>
  <c r="M7521" i="2"/>
  <c r="J7521" i="2"/>
  <c r="I7521" i="2"/>
  <c r="H7521" i="2"/>
  <c r="G7521" i="2"/>
  <c r="F7521" i="2"/>
  <c r="E7521" i="2"/>
  <c r="D7521" i="2"/>
  <c r="C7521" i="2"/>
  <c r="B7521" i="2"/>
  <c r="A7521" i="2"/>
  <c r="U7520" i="2"/>
  <c r="N7520" i="2"/>
  <c r="M7520" i="2"/>
  <c r="J7520" i="2"/>
  <c r="I7520" i="2"/>
  <c r="H7520" i="2"/>
  <c r="G7520" i="2"/>
  <c r="F7520" i="2"/>
  <c r="E7520" i="2"/>
  <c r="D7520" i="2"/>
  <c r="C7520" i="2"/>
  <c r="B7520" i="2"/>
  <c r="A7520" i="2"/>
  <c r="U7519" i="2"/>
  <c r="N7519" i="2"/>
  <c r="M7519" i="2"/>
  <c r="J7519" i="2"/>
  <c r="I7519" i="2"/>
  <c r="H7519" i="2"/>
  <c r="G7519" i="2"/>
  <c r="F7519" i="2"/>
  <c r="E7519" i="2"/>
  <c r="D7519" i="2"/>
  <c r="C7519" i="2"/>
  <c r="B7519" i="2"/>
  <c r="A7519" i="2"/>
  <c r="U7518" i="2"/>
  <c r="N7518" i="2"/>
  <c r="M7518" i="2"/>
  <c r="J7518" i="2"/>
  <c r="I7518" i="2"/>
  <c r="H7518" i="2"/>
  <c r="G7518" i="2"/>
  <c r="F7518" i="2"/>
  <c r="E7518" i="2"/>
  <c r="D7518" i="2"/>
  <c r="C7518" i="2"/>
  <c r="B7518" i="2"/>
  <c r="A7518" i="2"/>
  <c r="U7517" i="2"/>
  <c r="N7517" i="2"/>
  <c r="M7517" i="2"/>
  <c r="J7517" i="2"/>
  <c r="I7517" i="2"/>
  <c r="H7517" i="2"/>
  <c r="G7517" i="2"/>
  <c r="F7517" i="2"/>
  <c r="E7517" i="2"/>
  <c r="D7517" i="2"/>
  <c r="C7517" i="2"/>
  <c r="B7517" i="2"/>
  <c r="A7517" i="2"/>
  <c r="U7516" i="2"/>
  <c r="N7516" i="2"/>
  <c r="M7516" i="2"/>
  <c r="J7516" i="2"/>
  <c r="I7516" i="2"/>
  <c r="H7516" i="2"/>
  <c r="G7516" i="2"/>
  <c r="F7516" i="2"/>
  <c r="E7516" i="2"/>
  <c r="D7516" i="2"/>
  <c r="C7516" i="2"/>
  <c r="B7516" i="2"/>
  <c r="A7516" i="2"/>
  <c r="U7515" i="2"/>
  <c r="N7515" i="2"/>
  <c r="M7515" i="2"/>
  <c r="J7515" i="2"/>
  <c r="I7515" i="2"/>
  <c r="H7515" i="2"/>
  <c r="G7515" i="2"/>
  <c r="F7515" i="2"/>
  <c r="E7515" i="2"/>
  <c r="D7515" i="2"/>
  <c r="C7515" i="2"/>
  <c r="B7515" i="2"/>
  <c r="A7515" i="2"/>
  <c r="U7514" i="2"/>
  <c r="N7514" i="2"/>
  <c r="M7514" i="2"/>
  <c r="J7514" i="2"/>
  <c r="I7514" i="2"/>
  <c r="H7514" i="2"/>
  <c r="G7514" i="2"/>
  <c r="F7514" i="2"/>
  <c r="E7514" i="2"/>
  <c r="D7514" i="2"/>
  <c r="C7514" i="2"/>
  <c r="B7514" i="2"/>
  <c r="A7514" i="2"/>
  <c r="U7513" i="2"/>
  <c r="N7513" i="2"/>
  <c r="M7513" i="2"/>
  <c r="J7513" i="2"/>
  <c r="I7513" i="2"/>
  <c r="H7513" i="2"/>
  <c r="G7513" i="2"/>
  <c r="F7513" i="2"/>
  <c r="E7513" i="2"/>
  <c r="D7513" i="2"/>
  <c r="C7513" i="2"/>
  <c r="B7513" i="2"/>
  <c r="A7513" i="2"/>
  <c r="U7512" i="2"/>
  <c r="N7512" i="2"/>
  <c r="M7512" i="2"/>
  <c r="J7512" i="2"/>
  <c r="I7512" i="2"/>
  <c r="H7512" i="2"/>
  <c r="G7512" i="2"/>
  <c r="F7512" i="2"/>
  <c r="E7512" i="2"/>
  <c r="D7512" i="2"/>
  <c r="C7512" i="2"/>
  <c r="B7512" i="2"/>
  <c r="A7512" i="2"/>
  <c r="U7511" i="2"/>
  <c r="N7511" i="2"/>
  <c r="M7511" i="2"/>
  <c r="J7511" i="2"/>
  <c r="I7511" i="2"/>
  <c r="H7511" i="2"/>
  <c r="G7511" i="2"/>
  <c r="F7511" i="2"/>
  <c r="E7511" i="2"/>
  <c r="D7511" i="2"/>
  <c r="C7511" i="2"/>
  <c r="B7511" i="2"/>
  <c r="A7511" i="2"/>
  <c r="Q7510" i="2"/>
  <c r="U7510" i="2" s="1"/>
  <c r="N7510" i="2"/>
  <c r="M7510" i="2"/>
  <c r="J7510" i="2"/>
  <c r="I7510" i="2"/>
  <c r="H7510" i="2"/>
  <c r="G7510" i="2"/>
  <c r="F7510" i="2"/>
  <c r="E7510" i="2"/>
  <c r="D7510" i="2"/>
  <c r="C7510" i="2"/>
  <c r="B7510" i="2"/>
  <c r="A7510" i="2"/>
  <c r="U7509" i="2"/>
  <c r="N7509" i="2"/>
  <c r="M7509" i="2"/>
  <c r="J7509" i="2"/>
  <c r="I7509" i="2"/>
  <c r="H7509" i="2"/>
  <c r="G7509" i="2"/>
  <c r="F7509" i="2"/>
  <c r="E7509" i="2"/>
  <c r="D7509" i="2"/>
  <c r="C7509" i="2"/>
  <c r="B7509" i="2"/>
  <c r="A7509" i="2"/>
  <c r="U7508" i="2"/>
  <c r="N7508" i="2"/>
  <c r="M7508" i="2"/>
  <c r="J7508" i="2"/>
  <c r="I7508" i="2"/>
  <c r="H7508" i="2"/>
  <c r="G7508" i="2"/>
  <c r="F7508" i="2"/>
  <c r="E7508" i="2"/>
  <c r="D7508" i="2"/>
  <c r="C7508" i="2"/>
  <c r="B7508" i="2"/>
  <c r="A7508" i="2"/>
  <c r="U7507" i="2"/>
  <c r="N7507" i="2"/>
  <c r="M7507" i="2"/>
  <c r="J7507" i="2"/>
  <c r="I7507" i="2"/>
  <c r="H7507" i="2"/>
  <c r="G7507" i="2"/>
  <c r="F7507" i="2"/>
  <c r="E7507" i="2"/>
  <c r="D7507" i="2"/>
  <c r="C7507" i="2"/>
  <c r="B7507" i="2"/>
  <c r="A7507" i="2"/>
  <c r="U7506" i="2"/>
  <c r="N7506" i="2"/>
  <c r="M7506" i="2"/>
  <c r="J7506" i="2"/>
  <c r="I7506" i="2"/>
  <c r="H7506" i="2"/>
  <c r="G7506" i="2"/>
  <c r="F7506" i="2"/>
  <c r="E7506" i="2"/>
  <c r="D7506" i="2"/>
  <c r="C7506" i="2"/>
  <c r="B7506" i="2"/>
  <c r="A7506" i="2"/>
  <c r="U7505" i="2"/>
  <c r="N7505" i="2"/>
  <c r="M7505" i="2"/>
  <c r="J7505" i="2"/>
  <c r="I7505" i="2"/>
  <c r="H7505" i="2"/>
  <c r="G7505" i="2"/>
  <c r="F7505" i="2"/>
  <c r="E7505" i="2"/>
  <c r="D7505" i="2"/>
  <c r="C7505" i="2"/>
  <c r="B7505" i="2"/>
  <c r="A7505" i="2"/>
  <c r="U7504" i="2"/>
  <c r="N7504" i="2"/>
  <c r="M7504" i="2"/>
  <c r="J7504" i="2"/>
  <c r="I7504" i="2"/>
  <c r="H7504" i="2"/>
  <c r="G7504" i="2"/>
  <c r="F7504" i="2"/>
  <c r="E7504" i="2"/>
  <c r="D7504" i="2"/>
  <c r="C7504" i="2"/>
  <c r="B7504" i="2"/>
  <c r="A7504" i="2"/>
  <c r="Q7503" i="2"/>
  <c r="U7503" i="2" s="1"/>
  <c r="N7503" i="2"/>
  <c r="M7503" i="2"/>
  <c r="J7503" i="2"/>
  <c r="I7503" i="2"/>
  <c r="H7503" i="2"/>
  <c r="G7503" i="2"/>
  <c r="F7503" i="2"/>
  <c r="E7503" i="2"/>
  <c r="D7503" i="2"/>
  <c r="C7503" i="2"/>
  <c r="B7503" i="2"/>
  <c r="A7503" i="2"/>
  <c r="U7502" i="2"/>
  <c r="N7502" i="2"/>
  <c r="M7502" i="2"/>
  <c r="J7502" i="2"/>
  <c r="I7502" i="2"/>
  <c r="H7502" i="2"/>
  <c r="G7502" i="2"/>
  <c r="F7502" i="2"/>
  <c r="E7502" i="2"/>
  <c r="D7502" i="2"/>
  <c r="C7502" i="2"/>
  <c r="B7502" i="2"/>
  <c r="A7502" i="2"/>
  <c r="U7501" i="2"/>
  <c r="N7501" i="2"/>
  <c r="M7501" i="2"/>
  <c r="J7501" i="2"/>
  <c r="I7501" i="2"/>
  <c r="H7501" i="2"/>
  <c r="G7501" i="2"/>
  <c r="F7501" i="2"/>
  <c r="E7501" i="2"/>
  <c r="D7501" i="2"/>
  <c r="C7501" i="2"/>
  <c r="B7501" i="2"/>
  <c r="A7501" i="2"/>
  <c r="U7500" i="2"/>
  <c r="N7500" i="2"/>
  <c r="M7500" i="2"/>
  <c r="J7500" i="2"/>
  <c r="I7500" i="2"/>
  <c r="H7500" i="2"/>
  <c r="G7500" i="2"/>
  <c r="F7500" i="2"/>
  <c r="E7500" i="2"/>
  <c r="D7500" i="2"/>
  <c r="C7500" i="2"/>
  <c r="B7500" i="2"/>
  <c r="A7500" i="2"/>
  <c r="U7499" i="2"/>
  <c r="N7499" i="2"/>
  <c r="M7499" i="2"/>
  <c r="J7499" i="2"/>
  <c r="I7499" i="2"/>
  <c r="H7499" i="2"/>
  <c r="G7499" i="2"/>
  <c r="F7499" i="2"/>
  <c r="E7499" i="2"/>
  <c r="D7499" i="2"/>
  <c r="C7499" i="2"/>
  <c r="B7499" i="2"/>
  <c r="A7499" i="2"/>
  <c r="U7498" i="2"/>
  <c r="N7498" i="2"/>
  <c r="M7498" i="2"/>
  <c r="J7498" i="2"/>
  <c r="I7498" i="2"/>
  <c r="H7498" i="2"/>
  <c r="G7498" i="2"/>
  <c r="F7498" i="2"/>
  <c r="E7498" i="2"/>
  <c r="D7498" i="2"/>
  <c r="C7498" i="2"/>
  <c r="B7498" i="2"/>
  <c r="A7498" i="2"/>
  <c r="U7497" i="2"/>
  <c r="N7497" i="2"/>
  <c r="M7497" i="2"/>
  <c r="J7497" i="2"/>
  <c r="I7497" i="2"/>
  <c r="H7497" i="2"/>
  <c r="G7497" i="2"/>
  <c r="F7497" i="2"/>
  <c r="E7497" i="2"/>
  <c r="D7497" i="2"/>
  <c r="C7497" i="2"/>
  <c r="B7497" i="2"/>
  <c r="A7497" i="2"/>
  <c r="U7496" i="2"/>
  <c r="N7496" i="2"/>
  <c r="M7496" i="2"/>
  <c r="J7496" i="2"/>
  <c r="I7496" i="2"/>
  <c r="H7496" i="2"/>
  <c r="G7496" i="2"/>
  <c r="F7496" i="2"/>
  <c r="E7496" i="2"/>
  <c r="D7496" i="2"/>
  <c r="C7496" i="2"/>
  <c r="B7496" i="2"/>
  <c r="A7496" i="2"/>
  <c r="U7495" i="2"/>
  <c r="N7495" i="2"/>
  <c r="M7495" i="2"/>
  <c r="J7495" i="2"/>
  <c r="I7495" i="2"/>
  <c r="H7495" i="2"/>
  <c r="G7495" i="2"/>
  <c r="F7495" i="2"/>
  <c r="E7495" i="2"/>
  <c r="D7495" i="2"/>
  <c r="C7495" i="2"/>
  <c r="B7495" i="2"/>
  <c r="A7495" i="2"/>
  <c r="U7494" i="2"/>
  <c r="N7494" i="2"/>
  <c r="M7494" i="2"/>
  <c r="J7494" i="2"/>
  <c r="I7494" i="2"/>
  <c r="H7494" i="2"/>
  <c r="G7494" i="2"/>
  <c r="F7494" i="2"/>
  <c r="E7494" i="2"/>
  <c r="D7494" i="2"/>
  <c r="C7494" i="2"/>
  <c r="B7494" i="2"/>
  <c r="A7494" i="2"/>
  <c r="U7493" i="2"/>
  <c r="N7493" i="2"/>
  <c r="M7493" i="2"/>
  <c r="J7493" i="2"/>
  <c r="I7493" i="2"/>
  <c r="H7493" i="2"/>
  <c r="G7493" i="2"/>
  <c r="F7493" i="2"/>
  <c r="E7493" i="2"/>
  <c r="D7493" i="2"/>
  <c r="C7493" i="2"/>
  <c r="B7493" i="2"/>
  <c r="A7493" i="2"/>
  <c r="U7492" i="2"/>
  <c r="N7492" i="2"/>
  <c r="M7492" i="2"/>
  <c r="J7492" i="2"/>
  <c r="I7492" i="2"/>
  <c r="H7492" i="2"/>
  <c r="G7492" i="2"/>
  <c r="F7492" i="2"/>
  <c r="E7492" i="2"/>
  <c r="D7492" i="2"/>
  <c r="C7492" i="2"/>
  <c r="B7492" i="2"/>
  <c r="A7492" i="2"/>
  <c r="U7491" i="2"/>
  <c r="N7491" i="2"/>
  <c r="M7491" i="2"/>
  <c r="J7491" i="2"/>
  <c r="I7491" i="2"/>
  <c r="H7491" i="2"/>
  <c r="G7491" i="2"/>
  <c r="F7491" i="2"/>
  <c r="E7491" i="2"/>
  <c r="D7491" i="2"/>
  <c r="C7491" i="2"/>
  <c r="B7491" i="2"/>
  <c r="A7491" i="2"/>
  <c r="U7490" i="2"/>
  <c r="N7490" i="2"/>
  <c r="M7490" i="2"/>
  <c r="J7490" i="2"/>
  <c r="I7490" i="2"/>
  <c r="H7490" i="2"/>
  <c r="G7490" i="2"/>
  <c r="F7490" i="2"/>
  <c r="E7490" i="2"/>
  <c r="D7490" i="2"/>
  <c r="C7490" i="2"/>
  <c r="B7490" i="2"/>
  <c r="A7490" i="2"/>
  <c r="Q7489" i="2"/>
  <c r="U7489" i="2" s="1"/>
  <c r="N7489" i="2"/>
  <c r="M7489" i="2"/>
  <c r="J7489" i="2"/>
  <c r="I7489" i="2"/>
  <c r="H7489" i="2"/>
  <c r="G7489" i="2"/>
  <c r="F7489" i="2"/>
  <c r="E7489" i="2"/>
  <c r="D7489" i="2"/>
  <c r="C7489" i="2"/>
  <c r="B7489" i="2"/>
  <c r="A7489" i="2"/>
  <c r="U7488" i="2"/>
  <c r="N7488" i="2"/>
  <c r="M7488" i="2"/>
  <c r="J7488" i="2"/>
  <c r="I7488" i="2"/>
  <c r="H7488" i="2"/>
  <c r="G7488" i="2"/>
  <c r="F7488" i="2"/>
  <c r="E7488" i="2"/>
  <c r="D7488" i="2"/>
  <c r="C7488" i="2"/>
  <c r="B7488" i="2"/>
  <c r="A7488" i="2"/>
  <c r="U7487" i="2"/>
  <c r="N7487" i="2"/>
  <c r="M7487" i="2"/>
  <c r="J7487" i="2"/>
  <c r="I7487" i="2"/>
  <c r="H7487" i="2"/>
  <c r="G7487" i="2"/>
  <c r="F7487" i="2"/>
  <c r="E7487" i="2"/>
  <c r="D7487" i="2"/>
  <c r="C7487" i="2"/>
  <c r="B7487" i="2"/>
  <c r="A7487" i="2"/>
  <c r="U7486" i="2"/>
  <c r="N7486" i="2"/>
  <c r="M7486" i="2"/>
  <c r="J7486" i="2"/>
  <c r="I7486" i="2"/>
  <c r="H7486" i="2"/>
  <c r="G7486" i="2"/>
  <c r="F7486" i="2"/>
  <c r="E7486" i="2"/>
  <c r="D7486" i="2"/>
  <c r="C7486" i="2"/>
  <c r="B7486" i="2"/>
  <c r="A7486" i="2"/>
  <c r="U7485" i="2"/>
  <c r="N7485" i="2"/>
  <c r="M7485" i="2"/>
  <c r="J7485" i="2"/>
  <c r="I7485" i="2"/>
  <c r="H7485" i="2"/>
  <c r="G7485" i="2"/>
  <c r="F7485" i="2"/>
  <c r="E7485" i="2"/>
  <c r="D7485" i="2"/>
  <c r="C7485" i="2"/>
  <c r="B7485" i="2"/>
  <c r="A7485" i="2"/>
  <c r="U7484" i="2"/>
  <c r="N7484" i="2"/>
  <c r="M7484" i="2"/>
  <c r="J7484" i="2"/>
  <c r="I7484" i="2"/>
  <c r="H7484" i="2"/>
  <c r="G7484" i="2"/>
  <c r="F7484" i="2"/>
  <c r="E7484" i="2"/>
  <c r="D7484" i="2"/>
  <c r="C7484" i="2"/>
  <c r="B7484" i="2"/>
  <c r="A7484" i="2"/>
  <c r="U7483" i="2"/>
  <c r="N7483" i="2"/>
  <c r="M7483" i="2"/>
  <c r="J7483" i="2"/>
  <c r="I7483" i="2"/>
  <c r="H7483" i="2"/>
  <c r="G7483" i="2"/>
  <c r="F7483" i="2"/>
  <c r="E7483" i="2"/>
  <c r="D7483" i="2"/>
  <c r="C7483" i="2"/>
  <c r="B7483" i="2"/>
  <c r="A7483" i="2"/>
  <c r="U7482" i="2"/>
  <c r="N7482" i="2"/>
  <c r="M7482" i="2"/>
  <c r="J7482" i="2"/>
  <c r="I7482" i="2"/>
  <c r="H7482" i="2"/>
  <c r="G7482" i="2"/>
  <c r="F7482" i="2"/>
  <c r="E7482" i="2"/>
  <c r="D7482" i="2"/>
  <c r="C7482" i="2"/>
  <c r="B7482" i="2"/>
  <c r="A7482" i="2"/>
  <c r="Q7481" i="2"/>
  <c r="U7481" i="2" s="1"/>
  <c r="N7481" i="2"/>
  <c r="M7481" i="2"/>
  <c r="J7481" i="2"/>
  <c r="I7481" i="2"/>
  <c r="H7481" i="2"/>
  <c r="G7481" i="2"/>
  <c r="F7481" i="2"/>
  <c r="E7481" i="2"/>
  <c r="D7481" i="2"/>
  <c r="C7481" i="2"/>
  <c r="B7481" i="2"/>
  <c r="A7481" i="2"/>
  <c r="Q7480" i="2"/>
  <c r="U7480" i="2" s="1"/>
  <c r="N7480" i="2"/>
  <c r="M7480" i="2"/>
  <c r="J7480" i="2"/>
  <c r="I7480" i="2"/>
  <c r="H7480" i="2"/>
  <c r="G7480" i="2"/>
  <c r="F7480" i="2"/>
  <c r="E7480" i="2"/>
  <c r="D7480" i="2"/>
  <c r="C7480" i="2"/>
  <c r="B7480" i="2"/>
  <c r="A7480" i="2"/>
  <c r="Q7479" i="2"/>
  <c r="U7479" i="2" s="1"/>
  <c r="N7479" i="2"/>
  <c r="M7479" i="2"/>
  <c r="J7479" i="2"/>
  <c r="I7479" i="2"/>
  <c r="H7479" i="2"/>
  <c r="G7479" i="2"/>
  <c r="F7479" i="2"/>
  <c r="E7479" i="2"/>
  <c r="D7479" i="2"/>
  <c r="C7479" i="2"/>
  <c r="B7479" i="2"/>
  <c r="A7479" i="2"/>
  <c r="U7478" i="2"/>
  <c r="N7478" i="2"/>
  <c r="M7478" i="2"/>
  <c r="J7478" i="2"/>
  <c r="I7478" i="2"/>
  <c r="H7478" i="2"/>
  <c r="G7478" i="2"/>
  <c r="F7478" i="2"/>
  <c r="E7478" i="2"/>
  <c r="D7478" i="2"/>
  <c r="C7478" i="2"/>
  <c r="B7478" i="2"/>
  <c r="A7478" i="2"/>
  <c r="U7477" i="2"/>
  <c r="N7477" i="2"/>
  <c r="M7477" i="2"/>
  <c r="J7477" i="2"/>
  <c r="I7477" i="2"/>
  <c r="H7477" i="2"/>
  <c r="G7477" i="2"/>
  <c r="F7477" i="2"/>
  <c r="E7477" i="2"/>
  <c r="D7477" i="2"/>
  <c r="C7477" i="2"/>
  <c r="B7477" i="2"/>
  <c r="A7477" i="2"/>
  <c r="U7476" i="2"/>
  <c r="N7476" i="2"/>
  <c r="M7476" i="2"/>
  <c r="J7476" i="2"/>
  <c r="I7476" i="2"/>
  <c r="H7476" i="2"/>
  <c r="G7476" i="2"/>
  <c r="F7476" i="2"/>
  <c r="E7476" i="2"/>
  <c r="D7476" i="2"/>
  <c r="C7476" i="2"/>
  <c r="B7476" i="2"/>
  <c r="A7476" i="2"/>
  <c r="U7475" i="2"/>
  <c r="N7475" i="2"/>
  <c r="M7475" i="2"/>
  <c r="J7475" i="2"/>
  <c r="I7475" i="2"/>
  <c r="H7475" i="2"/>
  <c r="G7475" i="2"/>
  <c r="F7475" i="2"/>
  <c r="E7475" i="2"/>
  <c r="D7475" i="2"/>
  <c r="C7475" i="2"/>
  <c r="B7475" i="2"/>
  <c r="A7475" i="2"/>
  <c r="U7474" i="2"/>
  <c r="N7474" i="2"/>
  <c r="M7474" i="2"/>
  <c r="J7474" i="2"/>
  <c r="I7474" i="2"/>
  <c r="H7474" i="2"/>
  <c r="G7474" i="2"/>
  <c r="F7474" i="2"/>
  <c r="E7474" i="2"/>
  <c r="D7474" i="2"/>
  <c r="C7474" i="2"/>
  <c r="B7474" i="2"/>
  <c r="A7474" i="2"/>
  <c r="U7473" i="2"/>
  <c r="N7473" i="2"/>
  <c r="M7473" i="2"/>
  <c r="J7473" i="2"/>
  <c r="I7473" i="2"/>
  <c r="H7473" i="2"/>
  <c r="G7473" i="2"/>
  <c r="F7473" i="2"/>
  <c r="E7473" i="2"/>
  <c r="D7473" i="2"/>
  <c r="C7473" i="2"/>
  <c r="B7473" i="2"/>
  <c r="A7473" i="2"/>
  <c r="U7472" i="2"/>
  <c r="N7472" i="2"/>
  <c r="M7472" i="2"/>
  <c r="J7472" i="2"/>
  <c r="I7472" i="2"/>
  <c r="H7472" i="2"/>
  <c r="G7472" i="2"/>
  <c r="F7472" i="2"/>
  <c r="E7472" i="2"/>
  <c r="D7472" i="2"/>
  <c r="C7472" i="2"/>
  <c r="B7472" i="2"/>
  <c r="A7472" i="2"/>
  <c r="U7471" i="2"/>
  <c r="N7471" i="2"/>
  <c r="M7471" i="2"/>
  <c r="J7471" i="2"/>
  <c r="I7471" i="2"/>
  <c r="H7471" i="2"/>
  <c r="G7471" i="2"/>
  <c r="F7471" i="2"/>
  <c r="E7471" i="2"/>
  <c r="D7471" i="2"/>
  <c r="C7471" i="2"/>
  <c r="B7471" i="2"/>
  <c r="A7471" i="2"/>
  <c r="U7470" i="2"/>
  <c r="N7470" i="2"/>
  <c r="M7470" i="2"/>
  <c r="J7470" i="2"/>
  <c r="I7470" i="2"/>
  <c r="H7470" i="2"/>
  <c r="G7470" i="2"/>
  <c r="F7470" i="2"/>
  <c r="E7470" i="2"/>
  <c r="D7470" i="2"/>
  <c r="C7470" i="2"/>
  <c r="B7470" i="2"/>
  <c r="A7470" i="2"/>
  <c r="U7469" i="2"/>
  <c r="N7469" i="2"/>
  <c r="M7469" i="2"/>
  <c r="J7469" i="2"/>
  <c r="I7469" i="2"/>
  <c r="H7469" i="2"/>
  <c r="G7469" i="2"/>
  <c r="F7469" i="2"/>
  <c r="E7469" i="2"/>
  <c r="D7469" i="2"/>
  <c r="C7469" i="2"/>
  <c r="B7469" i="2"/>
  <c r="A7469" i="2"/>
  <c r="U7468" i="2"/>
  <c r="N7468" i="2"/>
  <c r="M7468" i="2"/>
  <c r="J7468" i="2"/>
  <c r="I7468" i="2"/>
  <c r="H7468" i="2"/>
  <c r="G7468" i="2"/>
  <c r="F7468" i="2"/>
  <c r="E7468" i="2"/>
  <c r="D7468" i="2"/>
  <c r="C7468" i="2"/>
  <c r="B7468" i="2"/>
  <c r="A7468" i="2"/>
  <c r="U7467" i="2"/>
  <c r="N7467" i="2"/>
  <c r="M7467" i="2"/>
  <c r="J7467" i="2"/>
  <c r="I7467" i="2"/>
  <c r="H7467" i="2"/>
  <c r="G7467" i="2"/>
  <c r="F7467" i="2"/>
  <c r="E7467" i="2"/>
  <c r="D7467" i="2"/>
  <c r="C7467" i="2"/>
  <c r="B7467" i="2"/>
  <c r="A7467" i="2"/>
  <c r="U7466" i="2"/>
  <c r="N7466" i="2"/>
  <c r="M7466" i="2"/>
  <c r="J7466" i="2"/>
  <c r="I7466" i="2"/>
  <c r="H7466" i="2"/>
  <c r="G7466" i="2"/>
  <c r="F7466" i="2"/>
  <c r="E7466" i="2"/>
  <c r="D7466" i="2"/>
  <c r="C7466" i="2"/>
  <c r="B7466" i="2"/>
  <c r="A7466" i="2"/>
  <c r="U7465" i="2"/>
  <c r="N7465" i="2"/>
  <c r="M7465" i="2"/>
  <c r="J7465" i="2"/>
  <c r="I7465" i="2"/>
  <c r="H7465" i="2"/>
  <c r="G7465" i="2"/>
  <c r="F7465" i="2"/>
  <c r="E7465" i="2"/>
  <c r="D7465" i="2"/>
  <c r="C7465" i="2"/>
  <c r="B7465" i="2"/>
  <c r="A7465" i="2"/>
  <c r="U7464" i="2"/>
  <c r="N7464" i="2"/>
  <c r="M7464" i="2"/>
  <c r="J7464" i="2"/>
  <c r="I7464" i="2"/>
  <c r="H7464" i="2"/>
  <c r="G7464" i="2"/>
  <c r="F7464" i="2"/>
  <c r="E7464" i="2"/>
  <c r="D7464" i="2"/>
  <c r="C7464" i="2"/>
  <c r="B7464" i="2"/>
  <c r="A7464" i="2"/>
  <c r="U7463" i="2"/>
  <c r="N7463" i="2"/>
  <c r="M7463" i="2"/>
  <c r="J7463" i="2"/>
  <c r="I7463" i="2"/>
  <c r="H7463" i="2"/>
  <c r="G7463" i="2"/>
  <c r="F7463" i="2"/>
  <c r="E7463" i="2"/>
  <c r="D7463" i="2"/>
  <c r="C7463" i="2"/>
  <c r="B7463" i="2"/>
  <c r="A7463" i="2"/>
  <c r="U7462" i="2"/>
  <c r="N7462" i="2"/>
  <c r="M7462" i="2"/>
  <c r="J7462" i="2"/>
  <c r="I7462" i="2"/>
  <c r="H7462" i="2"/>
  <c r="G7462" i="2"/>
  <c r="F7462" i="2"/>
  <c r="E7462" i="2"/>
  <c r="D7462" i="2"/>
  <c r="C7462" i="2"/>
  <c r="B7462" i="2"/>
  <c r="A7462" i="2"/>
  <c r="U7461" i="2"/>
  <c r="N7461" i="2"/>
  <c r="M7461" i="2"/>
  <c r="J7461" i="2"/>
  <c r="I7461" i="2"/>
  <c r="H7461" i="2"/>
  <c r="G7461" i="2"/>
  <c r="F7461" i="2"/>
  <c r="E7461" i="2"/>
  <c r="D7461" i="2"/>
  <c r="C7461" i="2"/>
  <c r="B7461" i="2"/>
  <c r="A7461" i="2"/>
  <c r="U7460" i="2"/>
  <c r="N7460" i="2"/>
  <c r="M7460" i="2"/>
  <c r="J7460" i="2"/>
  <c r="I7460" i="2"/>
  <c r="H7460" i="2"/>
  <c r="G7460" i="2"/>
  <c r="F7460" i="2"/>
  <c r="E7460" i="2"/>
  <c r="D7460" i="2"/>
  <c r="C7460" i="2"/>
  <c r="B7460" i="2"/>
  <c r="A7460" i="2"/>
  <c r="U7459" i="2"/>
  <c r="N7459" i="2"/>
  <c r="M7459" i="2"/>
  <c r="J7459" i="2"/>
  <c r="I7459" i="2"/>
  <c r="H7459" i="2"/>
  <c r="G7459" i="2"/>
  <c r="F7459" i="2"/>
  <c r="E7459" i="2"/>
  <c r="D7459" i="2"/>
  <c r="C7459" i="2"/>
  <c r="B7459" i="2"/>
  <c r="A7459" i="2"/>
  <c r="U7458" i="2"/>
  <c r="N7458" i="2"/>
  <c r="M7458" i="2"/>
  <c r="J7458" i="2"/>
  <c r="I7458" i="2"/>
  <c r="H7458" i="2"/>
  <c r="G7458" i="2"/>
  <c r="F7458" i="2"/>
  <c r="E7458" i="2"/>
  <c r="D7458" i="2"/>
  <c r="C7458" i="2"/>
  <c r="B7458" i="2"/>
  <c r="A7458" i="2"/>
  <c r="U7457" i="2"/>
  <c r="N7457" i="2"/>
  <c r="M7457" i="2"/>
  <c r="J7457" i="2"/>
  <c r="I7457" i="2"/>
  <c r="H7457" i="2"/>
  <c r="G7457" i="2"/>
  <c r="F7457" i="2"/>
  <c r="E7457" i="2"/>
  <c r="D7457" i="2"/>
  <c r="C7457" i="2"/>
  <c r="B7457" i="2"/>
  <c r="A7457" i="2"/>
  <c r="Q7456" i="2"/>
  <c r="U7456" i="2" s="1"/>
  <c r="N7456" i="2"/>
  <c r="M7456" i="2"/>
  <c r="J7456" i="2"/>
  <c r="I7456" i="2"/>
  <c r="H7456" i="2"/>
  <c r="G7456" i="2"/>
  <c r="F7456" i="2"/>
  <c r="E7456" i="2"/>
  <c r="D7456" i="2"/>
  <c r="C7456" i="2"/>
  <c r="B7456" i="2"/>
  <c r="A7456" i="2"/>
  <c r="U7455" i="2"/>
  <c r="N7455" i="2"/>
  <c r="M7455" i="2"/>
  <c r="J7455" i="2"/>
  <c r="I7455" i="2"/>
  <c r="H7455" i="2"/>
  <c r="G7455" i="2"/>
  <c r="F7455" i="2"/>
  <c r="E7455" i="2"/>
  <c r="D7455" i="2"/>
  <c r="C7455" i="2"/>
  <c r="B7455" i="2"/>
  <c r="A7455" i="2"/>
  <c r="U7454" i="2"/>
  <c r="N7454" i="2"/>
  <c r="M7454" i="2"/>
  <c r="J7454" i="2"/>
  <c r="I7454" i="2"/>
  <c r="H7454" i="2"/>
  <c r="G7454" i="2"/>
  <c r="F7454" i="2"/>
  <c r="E7454" i="2"/>
  <c r="D7454" i="2"/>
  <c r="C7454" i="2"/>
  <c r="B7454" i="2"/>
  <c r="A7454" i="2"/>
  <c r="U7453" i="2"/>
  <c r="N7453" i="2"/>
  <c r="M7453" i="2"/>
  <c r="J7453" i="2"/>
  <c r="I7453" i="2"/>
  <c r="H7453" i="2"/>
  <c r="G7453" i="2"/>
  <c r="F7453" i="2"/>
  <c r="E7453" i="2"/>
  <c r="D7453" i="2"/>
  <c r="C7453" i="2"/>
  <c r="B7453" i="2"/>
  <c r="A7453" i="2"/>
  <c r="U7452" i="2"/>
  <c r="N7452" i="2"/>
  <c r="M7452" i="2"/>
  <c r="J7452" i="2"/>
  <c r="I7452" i="2"/>
  <c r="H7452" i="2"/>
  <c r="G7452" i="2"/>
  <c r="F7452" i="2"/>
  <c r="E7452" i="2"/>
  <c r="D7452" i="2"/>
  <c r="C7452" i="2"/>
  <c r="B7452" i="2"/>
  <c r="A7452" i="2"/>
  <c r="U7451" i="2"/>
  <c r="N7451" i="2"/>
  <c r="M7451" i="2"/>
  <c r="J7451" i="2"/>
  <c r="I7451" i="2"/>
  <c r="H7451" i="2"/>
  <c r="G7451" i="2"/>
  <c r="F7451" i="2"/>
  <c r="E7451" i="2"/>
  <c r="D7451" i="2"/>
  <c r="C7451" i="2"/>
  <c r="B7451" i="2"/>
  <c r="A7451" i="2"/>
  <c r="U7450" i="2"/>
  <c r="N7450" i="2"/>
  <c r="M7450" i="2"/>
  <c r="J7450" i="2"/>
  <c r="I7450" i="2"/>
  <c r="H7450" i="2"/>
  <c r="G7450" i="2"/>
  <c r="F7450" i="2"/>
  <c r="E7450" i="2"/>
  <c r="D7450" i="2"/>
  <c r="C7450" i="2"/>
  <c r="B7450" i="2"/>
  <c r="A7450" i="2"/>
  <c r="U7449" i="2"/>
  <c r="N7449" i="2"/>
  <c r="M7449" i="2"/>
  <c r="J7449" i="2"/>
  <c r="I7449" i="2"/>
  <c r="H7449" i="2"/>
  <c r="G7449" i="2"/>
  <c r="F7449" i="2"/>
  <c r="E7449" i="2"/>
  <c r="D7449" i="2"/>
  <c r="C7449" i="2"/>
  <c r="B7449" i="2"/>
  <c r="A7449" i="2"/>
  <c r="U7448" i="2"/>
  <c r="N7448" i="2"/>
  <c r="M7448" i="2"/>
  <c r="J7448" i="2"/>
  <c r="I7448" i="2"/>
  <c r="H7448" i="2"/>
  <c r="G7448" i="2"/>
  <c r="F7448" i="2"/>
  <c r="E7448" i="2"/>
  <c r="D7448" i="2"/>
  <c r="C7448" i="2"/>
  <c r="B7448" i="2"/>
  <c r="A7448" i="2"/>
  <c r="U7447" i="2"/>
  <c r="N7447" i="2"/>
  <c r="M7447" i="2"/>
  <c r="J7447" i="2"/>
  <c r="I7447" i="2"/>
  <c r="H7447" i="2"/>
  <c r="G7447" i="2"/>
  <c r="F7447" i="2"/>
  <c r="E7447" i="2"/>
  <c r="D7447" i="2"/>
  <c r="C7447" i="2"/>
  <c r="B7447" i="2"/>
  <c r="A7447" i="2"/>
  <c r="U7446" i="2"/>
  <c r="N7446" i="2"/>
  <c r="M7446" i="2"/>
  <c r="J7446" i="2"/>
  <c r="I7446" i="2"/>
  <c r="H7446" i="2"/>
  <c r="G7446" i="2"/>
  <c r="F7446" i="2"/>
  <c r="E7446" i="2"/>
  <c r="D7446" i="2"/>
  <c r="C7446" i="2"/>
  <c r="B7446" i="2"/>
  <c r="A7446" i="2"/>
  <c r="Q7445" i="2"/>
  <c r="U7445" i="2" s="1"/>
  <c r="N7445" i="2"/>
  <c r="M7445" i="2"/>
  <c r="J7445" i="2"/>
  <c r="I7445" i="2"/>
  <c r="H7445" i="2"/>
  <c r="G7445" i="2"/>
  <c r="F7445" i="2"/>
  <c r="E7445" i="2"/>
  <c r="D7445" i="2"/>
  <c r="C7445" i="2"/>
  <c r="B7445" i="2"/>
  <c r="A7445" i="2"/>
  <c r="U7444" i="2"/>
  <c r="N7444" i="2"/>
  <c r="M7444" i="2"/>
  <c r="J7444" i="2"/>
  <c r="I7444" i="2"/>
  <c r="H7444" i="2"/>
  <c r="G7444" i="2"/>
  <c r="F7444" i="2"/>
  <c r="E7444" i="2"/>
  <c r="D7444" i="2"/>
  <c r="C7444" i="2"/>
  <c r="B7444" i="2"/>
  <c r="A7444" i="2"/>
  <c r="U7443" i="2"/>
  <c r="N7443" i="2"/>
  <c r="M7443" i="2"/>
  <c r="J7443" i="2"/>
  <c r="I7443" i="2"/>
  <c r="H7443" i="2"/>
  <c r="G7443" i="2"/>
  <c r="F7443" i="2"/>
  <c r="E7443" i="2"/>
  <c r="D7443" i="2"/>
  <c r="C7443" i="2"/>
  <c r="B7443" i="2"/>
  <c r="A7443" i="2"/>
  <c r="U7442" i="2"/>
  <c r="N7442" i="2"/>
  <c r="M7442" i="2"/>
  <c r="J7442" i="2"/>
  <c r="I7442" i="2"/>
  <c r="H7442" i="2"/>
  <c r="G7442" i="2"/>
  <c r="F7442" i="2"/>
  <c r="E7442" i="2"/>
  <c r="D7442" i="2"/>
  <c r="C7442" i="2"/>
  <c r="B7442" i="2"/>
  <c r="A7442" i="2"/>
  <c r="U7441" i="2"/>
  <c r="N7441" i="2"/>
  <c r="M7441" i="2"/>
  <c r="J7441" i="2"/>
  <c r="I7441" i="2"/>
  <c r="H7441" i="2"/>
  <c r="G7441" i="2"/>
  <c r="F7441" i="2"/>
  <c r="E7441" i="2"/>
  <c r="D7441" i="2"/>
  <c r="C7441" i="2"/>
  <c r="B7441" i="2"/>
  <c r="A7441" i="2"/>
  <c r="U7440" i="2"/>
  <c r="N7440" i="2"/>
  <c r="M7440" i="2"/>
  <c r="J7440" i="2"/>
  <c r="I7440" i="2"/>
  <c r="H7440" i="2"/>
  <c r="G7440" i="2"/>
  <c r="F7440" i="2"/>
  <c r="E7440" i="2"/>
  <c r="D7440" i="2"/>
  <c r="C7440" i="2"/>
  <c r="B7440" i="2"/>
  <c r="A7440" i="2"/>
  <c r="Q7439" i="2"/>
  <c r="U7439" i="2" s="1"/>
  <c r="N7439" i="2"/>
  <c r="M7439" i="2"/>
  <c r="J7439" i="2"/>
  <c r="I7439" i="2"/>
  <c r="H7439" i="2"/>
  <c r="G7439" i="2"/>
  <c r="F7439" i="2"/>
  <c r="E7439" i="2"/>
  <c r="D7439" i="2"/>
  <c r="C7439" i="2"/>
  <c r="B7439" i="2"/>
  <c r="A7439" i="2"/>
  <c r="U7438" i="2"/>
  <c r="N7438" i="2"/>
  <c r="M7438" i="2"/>
  <c r="J7438" i="2"/>
  <c r="I7438" i="2"/>
  <c r="H7438" i="2"/>
  <c r="G7438" i="2"/>
  <c r="F7438" i="2"/>
  <c r="E7438" i="2"/>
  <c r="D7438" i="2"/>
  <c r="C7438" i="2"/>
  <c r="B7438" i="2"/>
  <c r="A7438" i="2"/>
  <c r="U7437" i="2"/>
  <c r="N7437" i="2"/>
  <c r="M7437" i="2"/>
  <c r="J7437" i="2"/>
  <c r="I7437" i="2"/>
  <c r="H7437" i="2"/>
  <c r="G7437" i="2"/>
  <c r="F7437" i="2"/>
  <c r="E7437" i="2"/>
  <c r="D7437" i="2"/>
  <c r="C7437" i="2"/>
  <c r="B7437" i="2"/>
  <c r="A7437" i="2"/>
  <c r="U7436" i="2"/>
  <c r="N7436" i="2"/>
  <c r="M7436" i="2"/>
  <c r="J7436" i="2"/>
  <c r="I7436" i="2"/>
  <c r="H7436" i="2"/>
  <c r="G7436" i="2"/>
  <c r="F7436" i="2"/>
  <c r="E7436" i="2"/>
  <c r="D7436" i="2"/>
  <c r="C7436" i="2"/>
  <c r="B7436" i="2"/>
  <c r="A7436" i="2"/>
  <c r="U7435" i="2"/>
  <c r="N7435" i="2"/>
  <c r="M7435" i="2"/>
  <c r="J7435" i="2"/>
  <c r="I7435" i="2"/>
  <c r="H7435" i="2"/>
  <c r="G7435" i="2"/>
  <c r="F7435" i="2"/>
  <c r="E7435" i="2"/>
  <c r="D7435" i="2"/>
  <c r="C7435" i="2"/>
  <c r="B7435" i="2"/>
  <c r="A7435" i="2"/>
  <c r="U7434" i="2"/>
  <c r="N7434" i="2"/>
  <c r="M7434" i="2"/>
  <c r="J7434" i="2"/>
  <c r="I7434" i="2"/>
  <c r="H7434" i="2"/>
  <c r="G7434" i="2"/>
  <c r="F7434" i="2"/>
  <c r="E7434" i="2"/>
  <c r="D7434" i="2"/>
  <c r="C7434" i="2"/>
  <c r="B7434" i="2"/>
  <c r="A7434" i="2"/>
  <c r="U7433" i="2"/>
  <c r="N7433" i="2"/>
  <c r="M7433" i="2"/>
  <c r="J7433" i="2"/>
  <c r="I7433" i="2"/>
  <c r="H7433" i="2"/>
  <c r="G7433" i="2"/>
  <c r="F7433" i="2"/>
  <c r="E7433" i="2"/>
  <c r="D7433" i="2"/>
  <c r="C7433" i="2"/>
  <c r="B7433" i="2"/>
  <c r="A7433" i="2"/>
  <c r="U7432" i="2"/>
  <c r="N7432" i="2"/>
  <c r="M7432" i="2"/>
  <c r="J7432" i="2"/>
  <c r="I7432" i="2"/>
  <c r="H7432" i="2"/>
  <c r="G7432" i="2"/>
  <c r="F7432" i="2"/>
  <c r="E7432" i="2"/>
  <c r="D7432" i="2"/>
  <c r="C7432" i="2"/>
  <c r="B7432" i="2"/>
  <c r="A7432" i="2"/>
  <c r="U7431" i="2"/>
  <c r="N7431" i="2"/>
  <c r="M7431" i="2"/>
  <c r="J7431" i="2"/>
  <c r="I7431" i="2"/>
  <c r="H7431" i="2"/>
  <c r="G7431" i="2"/>
  <c r="F7431" i="2"/>
  <c r="E7431" i="2"/>
  <c r="D7431" i="2"/>
  <c r="C7431" i="2"/>
  <c r="B7431" i="2"/>
  <c r="A7431" i="2"/>
  <c r="U7430" i="2"/>
  <c r="N7430" i="2"/>
  <c r="M7430" i="2"/>
  <c r="J7430" i="2"/>
  <c r="I7430" i="2"/>
  <c r="H7430" i="2"/>
  <c r="G7430" i="2"/>
  <c r="F7430" i="2"/>
  <c r="E7430" i="2"/>
  <c r="D7430" i="2"/>
  <c r="C7430" i="2"/>
  <c r="B7430" i="2"/>
  <c r="A7430" i="2"/>
  <c r="U7429" i="2"/>
  <c r="N7429" i="2"/>
  <c r="M7429" i="2"/>
  <c r="J7429" i="2"/>
  <c r="I7429" i="2"/>
  <c r="H7429" i="2"/>
  <c r="G7429" i="2"/>
  <c r="F7429" i="2"/>
  <c r="E7429" i="2"/>
  <c r="D7429" i="2"/>
  <c r="C7429" i="2"/>
  <c r="B7429" i="2"/>
  <c r="A7429" i="2"/>
  <c r="U7428" i="2"/>
  <c r="N7428" i="2"/>
  <c r="M7428" i="2"/>
  <c r="J7428" i="2"/>
  <c r="I7428" i="2"/>
  <c r="H7428" i="2"/>
  <c r="G7428" i="2"/>
  <c r="F7428" i="2"/>
  <c r="E7428" i="2"/>
  <c r="D7428" i="2"/>
  <c r="C7428" i="2"/>
  <c r="B7428" i="2"/>
  <c r="A7428" i="2"/>
  <c r="U7427" i="2"/>
  <c r="N7427" i="2"/>
  <c r="M7427" i="2"/>
  <c r="J7427" i="2"/>
  <c r="I7427" i="2"/>
  <c r="H7427" i="2"/>
  <c r="G7427" i="2"/>
  <c r="F7427" i="2"/>
  <c r="E7427" i="2"/>
  <c r="D7427" i="2"/>
  <c r="C7427" i="2"/>
  <c r="B7427" i="2"/>
  <c r="A7427" i="2"/>
  <c r="U7426" i="2"/>
  <c r="N7426" i="2"/>
  <c r="M7426" i="2"/>
  <c r="J7426" i="2"/>
  <c r="I7426" i="2"/>
  <c r="H7426" i="2"/>
  <c r="G7426" i="2"/>
  <c r="F7426" i="2"/>
  <c r="E7426" i="2"/>
  <c r="D7426" i="2"/>
  <c r="C7426" i="2"/>
  <c r="B7426" i="2"/>
  <c r="A7426" i="2"/>
  <c r="U7425" i="2"/>
  <c r="N7425" i="2"/>
  <c r="M7425" i="2"/>
  <c r="J7425" i="2"/>
  <c r="I7425" i="2"/>
  <c r="H7425" i="2"/>
  <c r="G7425" i="2"/>
  <c r="F7425" i="2"/>
  <c r="E7425" i="2"/>
  <c r="D7425" i="2"/>
  <c r="C7425" i="2"/>
  <c r="B7425" i="2"/>
  <c r="A7425" i="2"/>
  <c r="U7424" i="2"/>
  <c r="N7424" i="2"/>
  <c r="M7424" i="2"/>
  <c r="J7424" i="2"/>
  <c r="I7424" i="2"/>
  <c r="H7424" i="2"/>
  <c r="G7424" i="2"/>
  <c r="F7424" i="2"/>
  <c r="E7424" i="2"/>
  <c r="D7424" i="2"/>
  <c r="C7424" i="2"/>
  <c r="B7424" i="2"/>
  <c r="A7424" i="2"/>
  <c r="U7423" i="2"/>
  <c r="N7423" i="2"/>
  <c r="M7423" i="2"/>
  <c r="J7423" i="2"/>
  <c r="I7423" i="2"/>
  <c r="H7423" i="2"/>
  <c r="G7423" i="2"/>
  <c r="F7423" i="2"/>
  <c r="E7423" i="2"/>
  <c r="D7423" i="2"/>
  <c r="C7423" i="2"/>
  <c r="B7423" i="2"/>
  <c r="A7423" i="2"/>
  <c r="U7422" i="2"/>
  <c r="N7422" i="2"/>
  <c r="M7422" i="2"/>
  <c r="J7422" i="2"/>
  <c r="I7422" i="2"/>
  <c r="H7422" i="2"/>
  <c r="G7422" i="2"/>
  <c r="F7422" i="2"/>
  <c r="E7422" i="2"/>
  <c r="D7422" i="2"/>
  <c r="C7422" i="2"/>
  <c r="B7422" i="2"/>
  <c r="A7422" i="2"/>
  <c r="U7421" i="2"/>
  <c r="N7421" i="2"/>
  <c r="M7421" i="2"/>
  <c r="J7421" i="2"/>
  <c r="I7421" i="2"/>
  <c r="H7421" i="2"/>
  <c r="G7421" i="2"/>
  <c r="F7421" i="2"/>
  <c r="E7421" i="2"/>
  <c r="D7421" i="2"/>
  <c r="C7421" i="2"/>
  <c r="B7421" i="2"/>
  <c r="A7421" i="2"/>
  <c r="U7420" i="2"/>
  <c r="N7420" i="2"/>
  <c r="M7420" i="2"/>
  <c r="J7420" i="2"/>
  <c r="I7420" i="2"/>
  <c r="H7420" i="2"/>
  <c r="G7420" i="2"/>
  <c r="F7420" i="2"/>
  <c r="E7420" i="2"/>
  <c r="D7420" i="2"/>
  <c r="C7420" i="2"/>
  <c r="B7420" i="2"/>
  <c r="A7420" i="2"/>
  <c r="U7419" i="2"/>
  <c r="N7419" i="2"/>
  <c r="M7419" i="2"/>
  <c r="J7419" i="2"/>
  <c r="I7419" i="2"/>
  <c r="H7419" i="2"/>
  <c r="G7419" i="2"/>
  <c r="F7419" i="2"/>
  <c r="E7419" i="2"/>
  <c r="D7419" i="2"/>
  <c r="C7419" i="2"/>
  <c r="B7419" i="2"/>
  <c r="A7419" i="2"/>
  <c r="U7418" i="2"/>
  <c r="N7418" i="2"/>
  <c r="M7418" i="2"/>
  <c r="J7418" i="2"/>
  <c r="I7418" i="2"/>
  <c r="H7418" i="2"/>
  <c r="G7418" i="2"/>
  <c r="F7418" i="2"/>
  <c r="E7418" i="2"/>
  <c r="D7418" i="2"/>
  <c r="C7418" i="2"/>
  <c r="B7418" i="2"/>
  <c r="A7418" i="2"/>
  <c r="U7417" i="2"/>
  <c r="N7417" i="2"/>
  <c r="M7417" i="2"/>
  <c r="J7417" i="2"/>
  <c r="I7417" i="2"/>
  <c r="H7417" i="2"/>
  <c r="G7417" i="2"/>
  <c r="F7417" i="2"/>
  <c r="E7417" i="2"/>
  <c r="D7417" i="2"/>
  <c r="C7417" i="2"/>
  <c r="B7417" i="2"/>
  <c r="A7417" i="2"/>
  <c r="U7416" i="2"/>
  <c r="N7416" i="2"/>
  <c r="M7416" i="2"/>
  <c r="J7416" i="2"/>
  <c r="I7416" i="2"/>
  <c r="H7416" i="2"/>
  <c r="G7416" i="2"/>
  <c r="F7416" i="2"/>
  <c r="E7416" i="2"/>
  <c r="D7416" i="2"/>
  <c r="C7416" i="2"/>
  <c r="B7416" i="2"/>
  <c r="A7416" i="2"/>
  <c r="U7415" i="2"/>
  <c r="N7415" i="2"/>
  <c r="M7415" i="2"/>
  <c r="J7415" i="2"/>
  <c r="I7415" i="2"/>
  <c r="H7415" i="2"/>
  <c r="G7415" i="2"/>
  <c r="F7415" i="2"/>
  <c r="E7415" i="2"/>
  <c r="D7415" i="2"/>
  <c r="C7415" i="2"/>
  <c r="B7415" i="2"/>
  <c r="A7415" i="2"/>
  <c r="U7414" i="2"/>
  <c r="N7414" i="2"/>
  <c r="M7414" i="2"/>
  <c r="J7414" i="2"/>
  <c r="I7414" i="2"/>
  <c r="H7414" i="2"/>
  <c r="G7414" i="2"/>
  <c r="F7414" i="2"/>
  <c r="E7414" i="2"/>
  <c r="D7414" i="2"/>
  <c r="C7414" i="2"/>
  <c r="B7414" i="2"/>
  <c r="A7414" i="2"/>
  <c r="U7413" i="2"/>
  <c r="N7413" i="2"/>
  <c r="M7413" i="2"/>
  <c r="J7413" i="2"/>
  <c r="I7413" i="2"/>
  <c r="H7413" i="2"/>
  <c r="G7413" i="2"/>
  <c r="F7413" i="2"/>
  <c r="E7413" i="2"/>
  <c r="D7413" i="2"/>
  <c r="C7413" i="2"/>
  <c r="B7413" i="2"/>
  <c r="A7413" i="2"/>
  <c r="U7412" i="2"/>
  <c r="N7412" i="2"/>
  <c r="M7412" i="2"/>
  <c r="J7412" i="2"/>
  <c r="I7412" i="2"/>
  <c r="H7412" i="2"/>
  <c r="G7412" i="2"/>
  <c r="F7412" i="2"/>
  <c r="E7412" i="2"/>
  <c r="D7412" i="2"/>
  <c r="C7412" i="2"/>
  <c r="B7412" i="2"/>
  <c r="A7412" i="2"/>
  <c r="Q7411" i="2"/>
  <c r="U7411" i="2" s="1"/>
  <c r="N7411" i="2"/>
  <c r="M7411" i="2"/>
  <c r="J7411" i="2"/>
  <c r="I7411" i="2"/>
  <c r="H7411" i="2"/>
  <c r="G7411" i="2"/>
  <c r="F7411" i="2"/>
  <c r="E7411" i="2"/>
  <c r="D7411" i="2"/>
  <c r="C7411" i="2"/>
  <c r="B7411" i="2"/>
  <c r="A7411" i="2"/>
  <c r="Q7410" i="2"/>
  <c r="U7410" i="2" s="1"/>
  <c r="N7410" i="2"/>
  <c r="M7410" i="2"/>
  <c r="J7410" i="2"/>
  <c r="I7410" i="2"/>
  <c r="H7410" i="2"/>
  <c r="G7410" i="2"/>
  <c r="F7410" i="2"/>
  <c r="E7410" i="2"/>
  <c r="D7410" i="2"/>
  <c r="C7410" i="2"/>
  <c r="B7410" i="2"/>
  <c r="A7410" i="2"/>
  <c r="U7409" i="2"/>
  <c r="N7409" i="2"/>
  <c r="M7409" i="2"/>
  <c r="J7409" i="2"/>
  <c r="I7409" i="2"/>
  <c r="H7409" i="2"/>
  <c r="G7409" i="2"/>
  <c r="F7409" i="2"/>
  <c r="E7409" i="2"/>
  <c r="D7409" i="2"/>
  <c r="C7409" i="2"/>
  <c r="B7409" i="2"/>
  <c r="A7409" i="2"/>
  <c r="U7408" i="2"/>
  <c r="N7408" i="2"/>
  <c r="M7408" i="2"/>
  <c r="J7408" i="2"/>
  <c r="I7408" i="2"/>
  <c r="H7408" i="2"/>
  <c r="G7408" i="2"/>
  <c r="F7408" i="2"/>
  <c r="E7408" i="2"/>
  <c r="D7408" i="2"/>
  <c r="C7408" i="2"/>
  <c r="B7408" i="2"/>
  <c r="A7408" i="2"/>
  <c r="U7407" i="2"/>
  <c r="N7407" i="2"/>
  <c r="M7407" i="2"/>
  <c r="J7407" i="2"/>
  <c r="I7407" i="2"/>
  <c r="H7407" i="2"/>
  <c r="G7407" i="2"/>
  <c r="F7407" i="2"/>
  <c r="E7407" i="2"/>
  <c r="D7407" i="2"/>
  <c r="C7407" i="2"/>
  <c r="B7407" i="2"/>
  <c r="A7407" i="2"/>
  <c r="Q7406" i="2"/>
  <c r="U7406" i="2" s="1"/>
  <c r="N7406" i="2"/>
  <c r="M7406" i="2"/>
  <c r="J7406" i="2"/>
  <c r="I7406" i="2"/>
  <c r="H7406" i="2"/>
  <c r="G7406" i="2"/>
  <c r="F7406" i="2"/>
  <c r="E7406" i="2"/>
  <c r="D7406" i="2"/>
  <c r="C7406" i="2"/>
  <c r="B7406" i="2"/>
  <c r="A7406" i="2"/>
  <c r="U7405" i="2"/>
  <c r="N7405" i="2"/>
  <c r="M7405" i="2"/>
  <c r="J7405" i="2"/>
  <c r="I7405" i="2"/>
  <c r="H7405" i="2"/>
  <c r="G7405" i="2"/>
  <c r="F7405" i="2"/>
  <c r="E7405" i="2"/>
  <c r="D7405" i="2"/>
  <c r="C7405" i="2"/>
  <c r="B7405" i="2"/>
  <c r="A7405" i="2"/>
  <c r="Q7404" i="2"/>
  <c r="U7404" i="2" s="1"/>
  <c r="N7404" i="2"/>
  <c r="M7404" i="2"/>
  <c r="J7404" i="2"/>
  <c r="I7404" i="2"/>
  <c r="H7404" i="2"/>
  <c r="G7404" i="2"/>
  <c r="F7404" i="2"/>
  <c r="E7404" i="2"/>
  <c r="D7404" i="2"/>
  <c r="C7404" i="2"/>
  <c r="B7404" i="2"/>
  <c r="A7404" i="2"/>
  <c r="R7403" i="2"/>
  <c r="Q7403" i="2"/>
  <c r="N7403" i="2"/>
  <c r="M7403" i="2"/>
  <c r="J7403" i="2"/>
  <c r="I7403" i="2"/>
  <c r="H7403" i="2"/>
  <c r="G7403" i="2"/>
  <c r="F7403" i="2"/>
  <c r="E7403" i="2"/>
  <c r="D7403" i="2"/>
  <c r="C7403" i="2"/>
  <c r="B7403" i="2"/>
  <c r="A7403" i="2"/>
  <c r="R7402" i="2"/>
  <c r="Q7402" i="2"/>
  <c r="N7402" i="2"/>
  <c r="M7402" i="2"/>
  <c r="J7402" i="2"/>
  <c r="I7402" i="2"/>
  <c r="H7402" i="2"/>
  <c r="G7402" i="2"/>
  <c r="F7402" i="2"/>
  <c r="E7402" i="2"/>
  <c r="D7402" i="2"/>
  <c r="C7402" i="2"/>
  <c r="B7402" i="2"/>
  <c r="A7402" i="2"/>
  <c r="R7401" i="2"/>
  <c r="Q7401" i="2"/>
  <c r="N7401" i="2"/>
  <c r="M7401" i="2"/>
  <c r="J7401" i="2"/>
  <c r="I7401" i="2"/>
  <c r="H7401" i="2"/>
  <c r="G7401" i="2"/>
  <c r="F7401" i="2"/>
  <c r="E7401" i="2"/>
  <c r="D7401" i="2"/>
  <c r="C7401" i="2"/>
  <c r="B7401" i="2"/>
  <c r="A7401" i="2"/>
  <c r="R7400" i="2"/>
  <c r="Q7400" i="2"/>
  <c r="N7400" i="2"/>
  <c r="M7400" i="2"/>
  <c r="J7400" i="2"/>
  <c r="I7400" i="2"/>
  <c r="H7400" i="2"/>
  <c r="G7400" i="2"/>
  <c r="F7400" i="2"/>
  <c r="E7400" i="2"/>
  <c r="D7400" i="2"/>
  <c r="C7400" i="2"/>
  <c r="B7400" i="2"/>
  <c r="A7400" i="2"/>
  <c r="R7399" i="2"/>
  <c r="Q7399" i="2"/>
  <c r="N7399" i="2"/>
  <c r="M7399" i="2"/>
  <c r="J7399" i="2"/>
  <c r="I7399" i="2"/>
  <c r="H7399" i="2"/>
  <c r="G7399" i="2"/>
  <c r="F7399" i="2"/>
  <c r="E7399" i="2"/>
  <c r="D7399" i="2"/>
  <c r="C7399" i="2"/>
  <c r="B7399" i="2"/>
  <c r="A7399" i="2"/>
  <c r="R7398" i="2"/>
  <c r="Q7398" i="2"/>
  <c r="N7398" i="2"/>
  <c r="M7398" i="2"/>
  <c r="J7398" i="2"/>
  <c r="I7398" i="2"/>
  <c r="H7398" i="2"/>
  <c r="G7398" i="2"/>
  <c r="F7398" i="2"/>
  <c r="E7398" i="2"/>
  <c r="D7398" i="2"/>
  <c r="C7398" i="2"/>
  <c r="B7398" i="2"/>
  <c r="A7398" i="2"/>
  <c r="R7397" i="2"/>
  <c r="Q7397" i="2"/>
  <c r="N7397" i="2"/>
  <c r="M7397" i="2"/>
  <c r="J7397" i="2"/>
  <c r="I7397" i="2"/>
  <c r="H7397" i="2"/>
  <c r="G7397" i="2"/>
  <c r="F7397" i="2"/>
  <c r="E7397" i="2"/>
  <c r="D7397" i="2"/>
  <c r="C7397" i="2"/>
  <c r="B7397" i="2"/>
  <c r="A7397" i="2"/>
  <c r="Q7396" i="2"/>
  <c r="U7396" i="2" s="1"/>
  <c r="N7396" i="2"/>
  <c r="M7396" i="2"/>
  <c r="J7396" i="2"/>
  <c r="I7396" i="2"/>
  <c r="H7396" i="2"/>
  <c r="G7396" i="2"/>
  <c r="F7396" i="2"/>
  <c r="E7396" i="2"/>
  <c r="D7396" i="2"/>
  <c r="C7396" i="2"/>
  <c r="B7396" i="2"/>
  <c r="A7396" i="2"/>
  <c r="Q7395" i="2"/>
  <c r="U7395" i="2" s="1"/>
  <c r="N7395" i="2"/>
  <c r="M7395" i="2"/>
  <c r="J7395" i="2"/>
  <c r="I7395" i="2"/>
  <c r="H7395" i="2"/>
  <c r="G7395" i="2"/>
  <c r="F7395" i="2"/>
  <c r="E7395" i="2"/>
  <c r="D7395" i="2"/>
  <c r="C7395" i="2"/>
  <c r="B7395" i="2"/>
  <c r="A7395" i="2"/>
  <c r="Q7394" i="2"/>
  <c r="U7394" i="2" s="1"/>
  <c r="N7394" i="2"/>
  <c r="M7394" i="2"/>
  <c r="J7394" i="2"/>
  <c r="I7394" i="2"/>
  <c r="H7394" i="2"/>
  <c r="G7394" i="2"/>
  <c r="F7394" i="2"/>
  <c r="E7394" i="2"/>
  <c r="D7394" i="2"/>
  <c r="C7394" i="2"/>
  <c r="B7394" i="2"/>
  <c r="A7394" i="2"/>
  <c r="Q7393" i="2"/>
  <c r="U7393" i="2" s="1"/>
  <c r="N7393" i="2"/>
  <c r="M7393" i="2"/>
  <c r="J7393" i="2"/>
  <c r="I7393" i="2"/>
  <c r="H7393" i="2"/>
  <c r="G7393" i="2"/>
  <c r="F7393" i="2"/>
  <c r="E7393" i="2"/>
  <c r="D7393" i="2"/>
  <c r="C7393" i="2"/>
  <c r="B7393" i="2"/>
  <c r="A7393" i="2"/>
  <c r="Q7392" i="2"/>
  <c r="U7392" i="2" s="1"/>
  <c r="N7392" i="2"/>
  <c r="M7392" i="2"/>
  <c r="J7392" i="2"/>
  <c r="I7392" i="2"/>
  <c r="H7392" i="2"/>
  <c r="G7392" i="2"/>
  <c r="F7392" i="2"/>
  <c r="E7392" i="2"/>
  <c r="D7392" i="2"/>
  <c r="C7392" i="2"/>
  <c r="B7392" i="2"/>
  <c r="A7392" i="2"/>
  <c r="Q7391" i="2"/>
  <c r="U7391" i="2" s="1"/>
  <c r="N7391" i="2"/>
  <c r="M7391" i="2"/>
  <c r="J7391" i="2"/>
  <c r="I7391" i="2"/>
  <c r="H7391" i="2"/>
  <c r="G7391" i="2"/>
  <c r="F7391" i="2"/>
  <c r="E7391" i="2"/>
  <c r="D7391" i="2"/>
  <c r="C7391" i="2"/>
  <c r="B7391" i="2"/>
  <c r="A7391" i="2"/>
  <c r="Q7390" i="2"/>
  <c r="U7390" i="2" s="1"/>
  <c r="N7390" i="2"/>
  <c r="M7390" i="2"/>
  <c r="J7390" i="2"/>
  <c r="I7390" i="2"/>
  <c r="H7390" i="2"/>
  <c r="G7390" i="2"/>
  <c r="F7390" i="2"/>
  <c r="E7390" i="2"/>
  <c r="D7390" i="2"/>
  <c r="C7390" i="2"/>
  <c r="B7390" i="2"/>
  <c r="A7390" i="2"/>
  <c r="U7389" i="2"/>
  <c r="N7389" i="2"/>
  <c r="M7389" i="2"/>
  <c r="J7389" i="2"/>
  <c r="I7389" i="2"/>
  <c r="H7389" i="2"/>
  <c r="G7389" i="2"/>
  <c r="F7389" i="2"/>
  <c r="E7389" i="2"/>
  <c r="D7389" i="2"/>
  <c r="C7389" i="2"/>
  <c r="B7389" i="2"/>
  <c r="A7389" i="2"/>
  <c r="U7388" i="2"/>
  <c r="N7388" i="2"/>
  <c r="M7388" i="2"/>
  <c r="J7388" i="2"/>
  <c r="I7388" i="2"/>
  <c r="H7388" i="2"/>
  <c r="G7388" i="2"/>
  <c r="F7388" i="2"/>
  <c r="E7388" i="2"/>
  <c r="D7388" i="2"/>
  <c r="C7388" i="2"/>
  <c r="B7388" i="2"/>
  <c r="A7388" i="2"/>
  <c r="U7387" i="2"/>
  <c r="N7387" i="2"/>
  <c r="M7387" i="2"/>
  <c r="J7387" i="2"/>
  <c r="I7387" i="2"/>
  <c r="H7387" i="2"/>
  <c r="G7387" i="2"/>
  <c r="F7387" i="2"/>
  <c r="E7387" i="2"/>
  <c r="D7387" i="2"/>
  <c r="C7387" i="2"/>
  <c r="B7387" i="2"/>
  <c r="A7387" i="2"/>
  <c r="U7386" i="2"/>
  <c r="N7386" i="2"/>
  <c r="M7386" i="2"/>
  <c r="J7386" i="2"/>
  <c r="I7386" i="2"/>
  <c r="H7386" i="2"/>
  <c r="G7386" i="2"/>
  <c r="F7386" i="2"/>
  <c r="E7386" i="2"/>
  <c r="D7386" i="2"/>
  <c r="C7386" i="2"/>
  <c r="B7386" i="2"/>
  <c r="A7386" i="2"/>
  <c r="U7385" i="2"/>
  <c r="N7385" i="2"/>
  <c r="M7385" i="2"/>
  <c r="J7385" i="2"/>
  <c r="I7385" i="2"/>
  <c r="H7385" i="2"/>
  <c r="G7385" i="2"/>
  <c r="F7385" i="2"/>
  <c r="E7385" i="2"/>
  <c r="D7385" i="2"/>
  <c r="C7385" i="2"/>
  <c r="B7385" i="2"/>
  <c r="A7385" i="2"/>
  <c r="U7384" i="2"/>
  <c r="N7384" i="2"/>
  <c r="M7384" i="2"/>
  <c r="J7384" i="2"/>
  <c r="I7384" i="2"/>
  <c r="H7384" i="2"/>
  <c r="G7384" i="2"/>
  <c r="F7384" i="2"/>
  <c r="E7384" i="2"/>
  <c r="D7384" i="2"/>
  <c r="C7384" i="2"/>
  <c r="B7384" i="2"/>
  <c r="A7384" i="2"/>
  <c r="U7383" i="2"/>
  <c r="N7383" i="2"/>
  <c r="M7383" i="2"/>
  <c r="J7383" i="2"/>
  <c r="I7383" i="2"/>
  <c r="H7383" i="2"/>
  <c r="G7383" i="2"/>
  <c r="F7383" i="2"/>
  <c r="E7383" i="2"/>
  <c r="D7383" i="2"/>
  <c r="C7383" i="2"/>
  <c r="B7383" i="2"/>
  <c r="A7383" i="2"/>
  <c r="U7382" i="2"/>
  <c r="N7382" i="2"/>
  <c r="M7382" i="2"/>
  <c r="J7382" i="2"/>
  <c r="I7382" i="2"/>
  <c r="H7382" i="2"/>
  <c r="G7382" i="2"/>
  <c r="F7382" i="2"/>
  <c r="E7382" i="2"/>
  <c r="D7382" i="2"/>
  <c r="C7382" i="2"/>
  <c r="B7382" i="2"/>
  <c r="A7382" i="2"/>
  <c r="U7381" i="2"/>
  <c r="N7381" i="2"/>
  <c r="M7381" i="2"/>
  <c r="J7381" i="2"/>
  <c r="I7381" i="2"/>
  <c r="H7381" i="2"/>
  <c r="G7381" i="2"/>
  <c r="F7381" i="2"/>
  <c r="E7381" i="2"/>
  <c r="D7381" i="2"/>
  <c r="C7381" i="2"/>
  <c r="B7381" i="2"/>
  <c r="A7381" i="2"/>
  <c r="U7380" i="2"/>
  <c r="N7380" i="2"/>
  <c r="M7380" i="2"/>
  <c r="J7380" i="2"/>
  <c r="I7380" i="2"/>
  <c r="H7380" i="2"/>
  <c r="G7380" i="2"/>
  <c r="F7380" i="2"/>
  <c r="E7380" i="2"/>
  <c r="D7380" i="2"/>
  <c r="C7380" i="2"/>
  <c r="B7380" i="2"/>
  <c r="A7380" i="2"/>
  <c r="Q7379" i="2"/>
  <c r="U7379" i="2" s="1"/>
  <c r="N7379" i="2"/>
  <c r="M7379" i="2"/>
  <c r="J7379" i="2"/>
  <c r="I7379" i="2"/>
  <c r="H7379" i="2"/>
  <c r="G7379" i="2"/>
  <c r="F7379" i="2"/>
  <c r="E7379" i="2"/>
  <c r="D7379" i="2"/>
  <c r="C7379" i="2"/>
  <c r="B7379" i="2"/>
  <c r="A7379" i="2"/>
  <c r="U7378" i="2"/>
  <c r="N7378" i="2"/>
  <c r="M7378" i="2"/>
  <c r="J7378" i="2"/>
  <c r="I7378" i="2"/>
  <c r="H7378" i="2"/>
  <c r="G7378" i="2"/>
  <c r="F7378" i="2"/>
  <c r="E7378" i="2"/>
  <c r="D7378" i="2"/>
  <c r="C7378" i="2"/>
  <c r="B7378" i="2"/>
  <c r="A7378" i="2"/>
  <c r="U7377" i="2"/>
  <c r="N7377" i="2"/>
  <c r="M7377" i="2"/>
  <c r="J7377" i="2"/>
  <c r="I7377" i="2"/>
  <c r="H7377" i="2"/>
  <c r="G7377" i="2"/>
  <c r="F7377" i="2"/>
  <c r="E7377" i="2"/>
  <c r="D7377" i="2"/>
  <c r="C7377" i="2"/>
  <c r="B7377" i="2"/>
  <c r="A7377" i="2"/>
  <c r="U7376" i="2"/>
  <c r="N7376" i="2"/>
  <c r="M7376" i="2"/>
  <c r="J7376" i="2"/>
  <c r="I7376" i="2"/>
  <c r="H7376" i="2"/>
  <c r="G7376" i="2"/>
  <c r="F7376" i="2"/>
  <c r="E7376" i="2"/>
  <c r="D7376" i="2"/>
  <c r="C7376" i="2"/>
  <c r="B7376" i="2"/>
  <c r="A7376" i="2"/>
  <c r="U7375" i="2"/>
  <c r="N7375" i="2"/>
  <c r="M7375" i="2"/>
  <c r="J7375" i="2"/>
  <c r="I7375" i="2"/>
  <c r="H7375" i="2"/>
  <c r="G7375" i="2"/>
  <c r="F7375" i="2"/>
  <c r="E7375" i="2"/>
  <c r="D7375" i="2"/>
  <c r="C7375" i="2"/>
  <c r="B7375" i="2"/>
  <c r="A7375" i="2"/>
  <c r="U7374" i="2"/>
  <c r="N7374" i="2"/>
  <c r="M7374" i="2"/>
  <c r="J7374" i="2"/>
  <c r="I7374" i="2"/>
  <c r="H7374" i="2"/>
  <c r="G7374" i="2"/>
  <c r="F7374" i="2"/>
  <c r="E7374" i="2"/>
  <c r="D7374" i="2"/>
  <c r="C7374" i="2"/>
  <c r="B7374" i="2"/>
  <c r="A7374" i="2"/>
  <c r="U7373" i="2"/>
  <c r="N7373" i="2"/>
  <c r="M7373" i="2"/>
  <c r="J7373" i="2"/>
  <c r="I7373" i="2"/>
  <c r="H7373" i="2"/>
  <c r="G7373" i="2"/>
  <c r="F7373" i="2"/>
  <c r="E7373" i="2"/>
  <c r="D7373" i="2"/>
  <c r="C7373" i="2"/>
  <c r="B7373" i="2"/>
  <c r="A7373" i="2"/>
  <c r="U7372" i="2"/>
  <c r="N7372" i="2"/>
  <c r="M7372" i="2"/>
  <c r="J7372" i="2"/>
  <c r="I7372" i="2"/>
  <c r="H7372" i="2"/>
  <c r="G7372" i="2"/>
  <c r="F7372" i="2"/>
  <c r="E7372" i="2"/>
  <c r="D7372" i="2"/>
  <c r="C7372" i="2"/>
  <c r="B7372" i="2"/>
  <c r="A7372" i="2"/>
  <c r="U7371" i="2"/>
  <c r="N7371" i="2"/>
  <c r="M7371" i="2"/>
  <c r="J7371" i="2"/>
  <c r="I7371" i="2"/>
  <c r="H7371" i="2"/>
  <c r="G7371" i="2"/>
  <c r="F7371" i="2"/>
  <c r="E7371" i="2"/>
  <c r="D7371" i="2"/>
  <c r="C7371" i="2"/>
  <c r="B7371" i="2"/>
  <c r="A7371" i="2"/>
  <c r="U7370" i="2"/>
  <c r="N7370" i="2"/>
  <c r="M7370" i="2"/>
  <c r="J7370" i="2"/>
  <c r="I7370" i="2"/>
  <c r="H7370" i="2"/>
  <c r="G7370" i="2"/>
  <c r="F7370" i="2"/>
  <c r="E7370" i="2"/>
  <c r="D7370" i="2"/>
  <c r="C7370" i="2"/>
  <c r="B7370" i="2"/>
  <c r="A7370" i="2"/>
  <c r="U7369" i="2"/>
  <c r="N7369" i="2"/>
  <c r="M7369" i="2"/>
  <c r="J7369" i="2"/>
  <c r="I7369" i="2"/>
  <c r="H7369" i="2"/>
  <c r="G7369" i="2"/>
  <c r="F7369" i="2"/>
  <c r="E7369" i="2"/>
  <c r="D7369" i="2"/>
  <c r="C7369" i="2"/>
  <c r="B7369" i="2"/>
  <c r="A7369" i="2"/>
  <c r="U7368" i="2"/>
  <c r="N7368" i="2"/>
  <c r="M7368" i="2"/>
  <c r="J7368" i="2"/>
  <c r="I7368" i="2"/>
  <c r="H7368" i="2"/>
  <c r="G7368" i="2"/>
  <c r="F7368" i="2"/>
  <c r="E7368" i="2"/>
  <c r="D7368" i="2"/>
  <c r="C7368" i="2"/>
  <c r="B7368" i="2"/>
  <c r="A7368" i="2"/>
  <c r="U7367" i="2"/>
  <c r="N7367" i="2"/>
  <c r="M7367" i="2"/>
  <c r="J7367" i="2"/>
  <c r="I7367" i="2"/>
  <c r="H7367" i="2"/>
  <c r="G7367" i="2"/>
  <c r="F7367" i="2"/>
  <c r="E7367" i="2"/>
  <c r="D7367" i="2"/>
  <c r="C7367" i="2"/>
  <c r="B7367" i="2"/>
  <c r="A7367" i="2"/>
  <c r="U7366" i="2"/>
  <c r="N7366" i="2"/>
  <c r="M7366" i="2"/>
  <c r="J7366" i="2"/>
  <c r="I7366" i="2"/>
  <c r="H7366" i="2"/>
  <c r="G7366" i="2"/>
  <c r="F7366" i="2"/>
  <c r="E7366" i="2"/>
  <c r="D7366" i="2"/>
  <c r="C7366" i="2"/>
  <c r="B7366" i="2"/>
  <c r="A7366" i="2"/>
  <c r="U7365" i="2"/>
  <c r="N7365" i="2"/>
  <c r="M7365" i="2"/>
  <c r="J7365" i="2"/>
  <c r="I7365" i="2"/>
  <c r="H7365" i="2"/>
  <c r="G7365" i="2"/>
  <c r="F7365" i="2"/>
  <c r="E7365" i="2"/>
  <c r="D7365" i="2"/>
  <c r="C7365" i="2"/>
  <c r="B7365" i="2"/>
  <c r="A7365" i="2"/>
  <c r="U7364" i="2"/>
  <c r="N7364" i="2"/>
  <c r="M7364" i="2"/>
  <c r="J7364" i="2"/>
  <c r="I7364" i="2"/>
  <c r="H7364" i="2"/>
  <c r="G7364" i="2"/>
  <c r="F7364" i="2"/>
  <c r="E7364" i="2"/>
  <c r="D7364" i="2"/>
  <c r="C7364" i="2"/>
  <c r="B7364" i="2"/>
  <c r="A7364" i="2"/>
  <c r="Q7363" i="2"/>
  <c r="U7363" i="2" s="1"/>
  <c r="N7363" i="2"/>
  <c r="M7363" i="2"/>
  <c r="J7363" i="2"/>
  <c r="I7363" i="2"/>
  <c r="H7363" i="2"/>
  <c r="G7363" i="2"/>
  <c r="F7363" i="2"/>
  <c r="E7363" i="2"/>
  <c r="D7363" i="2"/>
  <c r="C7363" i="2"/>
  <c r="B7363" i="2"/>
  <c r="A7363" i="2"/>
  <c r="U7362" i="2"/>
  <c r="N7362" i="2"/>
  <c r="M7362" i="2"/>
  <c r="J7362" i="2"/>
  <c r="I7362" i="2"/>
  <c r="H7362" i="2"/>
  <c r="G7362" i="2"/>
  <c r="F7362" i="2"/>
  <c r="E7362" i="2"/>
  <c r="D7362" i="2"/>
  <c r="C7362" i="2"/>
  <c r="B7362" i="2"/>
  <c r="A7362" i="2"/>
  <c r="U7361" i="2"/>
  <c r="N7361" i="2"/>
  <c r="M7361" i="2"/>
  <c r="J7361" i="2"/>
  <c r="I7361" i="2"/>
  <c r="H7361" i="2"/>
  <c r="G7361" i="2"/>
  <c r="F7361" i="2"/>
  <c r="E7361" i="2"/>
  <c r="D7361" i="2"/>
  <c r="C7361" i="2"/>
  <c r="B7361" i="2"/>
  <c r="A7361" i="2"/>
  <c r="U7360" i="2"/>
  <c r="N7360" i="2"/>
  <c r="M7360" i="2"/>
  <c r="J7360" i="2"/>
  <c r="I7360" i="2"/>
  <c r="H7360" i="2"/>
  <c r="G7360" i="2"/>
  <c r="F7360" i="2"/>
  <c r="E7360" i="2"/>
  <c r="D7360" i="2"/>
  <c r="C7360" i="2"/>
  <c r="B7360" i="2"/>
  <c r="A7360" i="2"/>
  <c r="U7359" i="2"/>
  <c r="N7359" i="2"/>
  <c r="M7359" i="2"/>
  <c r="J7359" i="2"/>
  <c r="I7359" i="2"/>
  <c r="H7359" i="2"/>
  <c r="G7359" i="2"/>
  <c r="F7359" i="2"/>
  <c r="E7359" i="2"/>
  <c r="D7359" i="2"/>
  <c r="C7359" i="2"/>
  <c r="B7359" i="2"/>
  <c r="A7359" i="2"/>
  <c r="U7358" i="2"/>
  <c r="N7358" i="2"/>
  <c r="M7358" i="2"/>
  <c r="J7358" i="2"/>
  <c r="I7358" i="2"/>
  <c r="H7358" i="2"/>
  <c r="G7358" i="2"/>
  <c r="F7358" i="2"/>
  <c r="E7358" i="2"/>
  <c r="D7358" i="2"/>
  <c r="C7358" i="2"/>
  <c r="B7358" i="2"/>
  <c r="A7358" i="2"/>
  <c r="U7357" i="2"/>
  <c r="N7357" i="2"/>
  <c r="M7357" i="2"/>
  <c r="J7357" i="2"/>
  <c r="I7357" i="2"/>
  <c r="H7357" i="2"/>
  <c r="G7357" i="2"/>
  <c r="F7357" i="2"/>
  <c r="E7357" i="2"/>
  <c r="D7357" i="2"/>
  <c r="C7357" i="2"/>
  <c r="B7357" i="2"/>
  <c r="A7357" i="2"/>
  <c r="U7356" i="2"/>
  <c r="N7356" i="2"/>
  <c r="M7356" i="2"/>
  <c r="J7356" i="2"/>
  <c r="I7356" i="2"/>
  <c r="H7356" i="2"/>
  <c r="G7356" i="2"/>
  <c r="F7356" i="2"/>
  <c r="E7356" i="2"/>
  <c r="D7356" i="2"/>
  <c r="C7356" i="2"/>
  <c r="B7356" i="2"/>
  <c r="A7356" i="2"/>
  <c r="U7355" i="2"/>
  <c r="N7355" i="2"/>
  <c r="M7355" i="2"/>
  <c r="J7355" i="2"/>
  <c r="I7355" i="2"/>
  <c r="H7355" i="2"/>
  <c r="G7355" i="2"/>
  <c r="F7355" i="2"/>
  <c r="E7355" i="2"/>
  <c r="D7355" i="2"/>
  <c r="C7355" i="2"/>
  <c r="B7355" i="2"/>
  <c r="A7355" i="2"/>
  <c r="U7354" i="2"/>
  <c r="N7354" i="2"/>
  <c r="M7354" i="2"/>
  <c r="J7354" i="2"/>
  <c r="I7354" i="2"/>
  <c r="H7354" i="2"/>
  <c r="G7354" i="2"/>
  <c r="F7354" i="2"/>
  <c r="E7354" i="2"/>
  <c r="D7354" i="2"/>
  <c r="C7354" i="2"/>
  <c r="B7354" i="2"/>
  <c r="A7354" i="2"/>
  <c r="U7353" i="2"/>
  <c r="N7353" i="2"/>
  <c r="M7353" i="2"/>
  <c r="J7353" i="2"/>
  <c r="I7353" i="2"/>
  <c r="H7353" i="2"/>
  <c r="G7353" i="2"/>
  <c r="F7353" i="2"/>
  <c r="E7353" i="2"/>
  <c r="D7353" i="2"/>
  <c r="C7353" i="2"/>
  <c r="B7353" i="2"/>
  <c r="A7353" i="2"/>
  <c r="U7352" i="2"/>
  <c r="N7352" i="2"/>
  <c r="M7352" i="2"/>
  <c r="J7352" i="2"/>
  <c r="I7352" i="2"/>
  <c r="H7352" i="2"/>
  <c r="G7352" i="2"/>
  <c r="F7352" i="2"/>
  <c r="E7352" i="2"/>
  <c r="D7352" i="2"/>
  <c r="C7352" i="2"/>
  <c r="B7352" i="2"/>
  <c r="A7352" i="2"/>
  <c r="U7351" i="2"/>
  <c r="N7351" i="2"/>
  <c r="M7351" i="2"/>
  <c r="J7351" i="2"/>
  <c r="I7351" i="2"/>
  <c r="H7351" i="2"/>
  <c r="G7351" i="2"/>
  <c r="F7351" i="2"/>
  <c r="E7351" i="2"/>
  <c r="D7351" i="2"/>
  <c r="C7351" i="2"/>
  <c r="B7351" i="2"/>
  <c r="A7351" i="2"/>
  <c r="U7350" i="2"/>
  <c r="N7350" i="2"/>
  <c r="M7350" i="2"/>
  <c r="J7350" i="2"/>
  <c r="I7350" i="2"/>
  <c r="H7350" i="2"/>
  <c r="G7350" i="2"/>
  <c r="F7350" i="2"/>
  <c r="E7350" i="2"/>
  <c r="D7350" i="2"/>
  <c r="C7350" i="2"/>
  <c r="B7350" i="2"/>
  <c r="A7350" i="2"/>
  <c r="U7349" i="2"/>
  <c r="N7349" i="2"/>
  <c r="M7349" i="2"/>
  <c r="J7349" i="2"/>
  <c r="I7349" i="2"/>
  <c r="H7349" i="2"/>
  <c r="G7349" i="2"/>
  <c r="F7349" i="2"/>
  <c r="E7349" i="2"/>
  <c r="D7349" i="2"/>
  <c r="C7349" i="2"/>
  <c r="B7349" i="2"/>
  <c r="A7349" i="2"/>
  <c r="U7348" i="2"/>
  <c r="N7348" i="2"/>
  <c r="M7348" i="2"/>
  <c r="J7348" i="2"/>
  <c r="I7348" i="2"/>
  <c r="H7348" i="2"/>
  <c r="G7348" i="2"/>
  <c r="F7348" i="2"/>
  <c r="E7348" i="2"/>
  <c r="D7348" i="2"/>
  <c r="C7348" i="2"/>
  <c r="B7348" i="2"/>
  <c r="A7348" i="2"/>
  <c r="U7347" i="2"/>
  <c r="N7347" i="2"/>
  <c r="M7347" i="2"/>
  <c r="J7347" i="2"/>
  <c r="I7347" i="2"/>
  <c r="H7347" i="2"/>
  <c r="G7347" i="2"/>
  <c r="F7347" i="2"/>
  <c r="E7347" i="2"/>
  <c r="D7347" i="2"/>
  <c r="C7347" i="2"/>
  <c r="B7347" i="2"/>
  <c r="A7347" i="2"/>
  <c r="Q7346" i="2"/>
  <c r="U7346" i="2" s="1"/>
  <c r="N7346" i="2"/>
  <c r="M7346" i="2"/>
  <c r="J7346" i="2"/>
  <c r="I7346" i="2"/>
  <c r="H7346" i="2"/>
  <c r="G7346" i="2"/>
  <c r="F7346" i="2"/>
  <c r="E7346" i="2"/>
  <c r="D7346" i="2"/>
  <c r="C7346" i="2"/>
  <c r="B7346" i="2"/>
  <c r="A7346" i="2"/>
  <c r="U7345" i="2"/>
  <c r="N7345" i="2"/>
  <c r="M7345" i="2"/>
  <c r="J7345" i="2"/>
  <c r="I7345" i="2"/>
  <c r="H7345" i="2"/>
  <c r="G7345" i="2"/>
  <c r="F7345" i="2"/>
  <c r="E7345" i="2"/>
  <c r="D7345" i="2"/>
  <c r="C7345" i="2"/>
  <c r="B7345" i="2"/>
  <c r="A7345" i="2"/>
  <c r="Q7344" i="2"/>
  <c r="U7344" i="2" s="1"/>
  <c r="N7344" i="2"/>
  <c r="M7344" i="2"/>
  <c r="J7344" i="2"/>
  <c r="I7344" i="2"/>
  <c r="H7344" i="2"/>
  <c r="G7344" i="2"/>
  <c r="F7344" i="2"/>
  <c r="E7344" i="2"/>
  <c r="D7344" i="2"/>
  <c r="C7344" i="2"/>
  <c r="B7344" i="2"/>
  <c r="A7344" i="2"/>
  <c r="U7343" i="2"/>
  <c r="N7343" i="2"/>
  <c r="M7343" i="2"/>
  <c r="J7343" i="2"/>
  <c r="I7343" i="2"/>
  <c r="H7343" i="2"/>
  <c r="G7343" i="2"/>
  <c r="F7343" i="2"/>
  <c r="E7343" i="2"/>
  <c r="D7343" i="2"/>
  <c r="C7343" i="2"/>
  <c r="B7343" i="2"/>
  <c r="A7343" i="2"/>
  <c r="U7342" i="2"/>
  <c r="N7342" i="2"/>
  <c r="M7342" i="2"/>
  <c r="J7342" i="2"/>
  <c r="I7342" i="2"/>
  <c r="H7342" i="2"/>
  <c r="G7342" i="2"/>
  <c r="F7342" i="2"/>
  <c r="E7342" i="2"/>
  <c r="D7342" i="2"/>
  <c r="C7342" i="2"/>
  <c r="B7342" i="2"/>
  <c r="A7342" i="2"/>
  <c r="U7341" i="2"/>
  <c r="N7341" i="2"/>
  <c r="M7341" i="2"/>
  <c r="J7341" i="2"/>
  <c r="I7341" i="2"/>
  <c r="H7341" i="2"/>
  <c r="G7341" i="2"/>
  <c r="F7341" i="2"/>
  <c r="E7341" i="2"/>
  <c r="D7341" i="2"/>
  <c r="C7341" i="2"/>
  <c r="B7341" i="2"/>
  <c r="A7341" i="2"/>
  <c r="U7340" i="2"/>
  <c r="N7340" i="2"/>
  <c r="M7340" i="2"/>
  <c r="J7340" i="2"/>
  <c r="I7340" i="2"/>
  <c r="H7340" i="2"/>
  <c r="G7340" i="2"/>
  <c r="F7340" i="2"/>
  <c r="E7340" i="2"/>
  <c r="D7340" i="2"/>
  <c r="C7340" i="2"/>
  <c r="B7340" i="2"/>
  <c r="A7340" i="2"/>
  <c r="U7339" i="2"/>
  <c r="N7339" i="2"/>
  <c r="M7339" i="2"/>
  <c r="J7339" i="2"/>
  <c r="I7339" i="2"/>
  <c r="H7339" i="2"/>
  <c r="G7339" i="2"/>
  <c r="F7339" i="2"/>
  <c r="E7339" i="2"/>
  <c r="D7339" i="2"/>
  <c r="C7339" i="2"/>
  <c r="B7339" i="2"/>
  <c r="A7339" i="2"/>
  <c r="U7338" i="2"/>
  <c r="N7338" i="2"/>
  <c r="M7338" i="2"/>
  <c r="J7338" i="2"/>
  <c r="I7338" i="2"/>
  <c r="H7338" i="2"/>
  <c r="G7338" i="2"/>
  <c r="F7338" i="2"/>
  <c r="E7338" i="2"/>
  <c r="D7338" i="2"/>
  <c r="C7338" i="2"/>
  <c r="B7338" i="2"/>
  <c r="A7338" i="2"/>
  <c r="U7337" i="2"/>
  <c r="N7337" i="2"/>
  <c r="M7337" i="2"/>
  <c r="J7337" i="2"/>
  <c r="I7337" i="2"/>
  <c r="H7337" i="2"/>
  <c r="G7337" i="2"/>
  <c r="F7337" i="2"/>
  <c r="E7337" i="2"/>
  <c r="D7337" i="2"/>
  <c r="C7337" i="2"/>
  <c r="B7337" i="2"/>
  <c r="A7337" i="2"/>
  <c r="U7336" i="2"/>
  <c r="N7336" i="2"/>
  <c r="M7336" i="2"/>
  <c r="J7336" i="2"/>
  <c r="I7336" i="2"/>
  <c r="H7336" i="2"/>
  <c r="G7336" i="2"/>
  <c r="F7336" i="2"/>
  <c r="E7336" i="2"/>
  <c r="D7336" i="2"/>
  <c r="C7336" i="2"/>
  <c r="B7336" i="2"/>
  <c r="A7336" i="2"/>
  <c r="U7335" i="2"/>
  <c r="N7335" i="2"/>
  <c r="M7335" i="2"/>
  <c r="J7335" i="2"/>
  <c r="I7335" i="2"/>
  <c r="H7335" i="2"/>
  <c r="G7335" i="2"/>
  <c r="F7335" i="2"/>
  <c r="E7335" i="2"/>
  <c r="D7335" i="2"/>
  <c r="C7335" i="2"/>
  <c r="B7335" i="2"/>
  <c r="A7335" i="2"/>
  <c r="U7334" i="2"/>
  <c r="N7334" i="2"/>
  <c r="M7334" i="2"/>
  <c r="J7334" i="2"/>
  <c r="I7334" i="2"/>
  <c r="H7334" i="2"/>
  <c r="G7334" i="2"/>
  <c r="F7334" i="2"/>
  <c r="E7334" i="2"/>
  <c r="D7334" i="2"/>
  <c r="C7334" i="2"/>
  <c r="B7334" i="2"/>
  <c r="A7334" i="2"/>
  <c r="U7333" i="2"/>
  <c r="N7333" i="2"/>
  <c r="M7333" i="2"/>
  <c r="J7333" i="2"/>
  <c r="I7333" i="2"/>
  <c r="H7333" i="2"/>
  <c r="G7333" i="2"/>
  <c r="F7333" i="2"/>
  <c r="E7333" i="2"/>
  <c r="D7333" i="2"/>
  <c r="C7333" i="2"/>
  <c r="B7333" i="2"/>
  <c r="A7333" i="2"/>
  <c r="U7332" i="2"/>
  <c r="N7332" i="2"/>
  <c r="M7332" i="2"/>
  <c r="J7332" i="2"/>
  <c r="I7332" i="2"/>
  <c r="H7332" i="2"/>
  <c r="G7332" i="2"/>
  <c r="F7332" i="2"/>
  <c r="E7332" i="2"/>
  <c r="D7332" i="2"/>
  <c r="C7332" i="2"/>
  <c r="B7332" i="2"/>
  <c r="A7332" i="2"/>
  <c r="U7331" i="2"/>
  <c r="N7331" i="2"/>
  <c r="M7331" i="2"/>
  <c r="J7331" i="2"/>
  <c r="I7331" i="2"/>
  <c r="H7331" i="2"/>
  <c r="G7331" i="2"/>
  <c r="F7331" i="2"/>
  <c r="E7331" i="2"/>
  <c r="D7331" i="2"/>
  <c r="C7331" i="2"/>
  <c r="B7331" i="2"/>
  <c r="A7331" i="2"/>
  <c r="U7330" i="2"/>
  <c r="N7330" i="2"/>
  <c r="M7330" i="2"/>
  <c r="J7330" i="2"/>
  <c r="I7330" i="2"/>
  <c r="H7330" i="2"/>
  <c r="G7330" i="2"/>
  <c r="F7330" i="2"/>
  <c r="E7330" i="2"/>
  <c r="D7330" i="2"/>
  <c r="C7330" i="2"/>
  <c r="B7330" i="2"/>
  <c r="A7330" i="2"/>
  <c r="U7329" i="2"/>
  <c r="N7329" i="2"/>
  <c r="M7329" i="2"/>
  <c r="J7329" i="2"/>
  <c r="I7329" i="2"/>
  <c r="H7329" i="2"/>
  <c r="G7329" i="2"/>
  <c r="F7329" i="2"/>
  <c r="E7329" i="2"/>
  <c r="D7329" i="2"/>
  <c r="C7329" i="2"/>
  <c r="B7329" i="2"/>
  <c r="A7329" i="2"/>
  <c r="Q7328" i="2"/>
  <c r="U7328" i="2" s="1"/>
  <c r="N7328" i="2"/>
  <c r="M7328" i="2"/>
  <c r="J7328" i="2"/>
  <c r="I7328" i="2"/>
  <c r="H7328" i="2"/>
  <c r="G7328" i="2"/>
  <c r="F7328" i="2"/>
  <c r="E7328" i="2"/>
  <c r="D7328" i="2"/>
  <c r="C7328" i="2"/>
  <c r="B7328" i="2"/>
  <c r="A7328" i="2"/>
  <c r="U7327" i="2"/>
  <c r="N7327" i="2"/>
  <c r="M7327" i="2"/>
  <c r="J7327" i="2"/>
  <c r="I7327" i="2"/>
  <c r="H7327" i="2"/>
  <c r="G7327" i="2"/>
  <c r="F7327" i="2"/>
  <c r="E7327" i="2"/>
  <c r="D7327" i="2"/>
  <c r="C7327" i="2"/>
  <c r="B7327" i="2"/>
  <c r="A7327" i="2"/>
  <c r="U7326" i="2"/>
  <c r="N7326" i="2"/>
  <c r="M7326" i="2"/>
  <c r="J7326" i="2"/>
  <c r="I7326" i="2"/>
  <c r="H7326" i="2"/>
  <c r="G7326" i="2"/>
  <c r="F7326" i="2"/>
  <c r="E7326" i="2"/>
  <c r="D7326" i="2"/>
  <c r="C7326" i="2"/>
  <c r="B7326" i="2"/>
  <c r="A7326" i="2"/>
  <c r="U7325" i="2"/>
  <c r="N7325" i="2"/>
  <c r="M7325" i="2"/>
  <c r="J7325" i="2"/>
  <c r="I7325" i="2"/>
  <c r="H7325" i="2"/>
  <c r="G7325" i="2"/>
  <c r="F7325" i="2"/>
  <c r="E7325" i="2"/>
  <c r="D7325" i="2"/>
  <c r="C7325" i="2"/>
  <c r="B7325" i="2"/>
  <c r="A7325" i="2"/>
  <c r="U7324" i="2"/>
  <c r="N7324" i="2"/>
  <c r="M7324" i="2"/>
  <c r="J7324" i="2"/>
  <c r="I7324" i="2"/>
  <c r="H7324" i="2"/>
  <c r="G7324" i="2"/>
  <c r="F7324" i="2"/>
  <c r="E7324" i="2"/>
  <c r="D7324" i="2"/>
  <c r="C7324" i="2"/>
  <c r="B7324" i="2"/>
  <c r="A7324" i="2"/>
  <c r="U7323" i="2"/>
  <c r="N7323" i="2"/>
  <c r="M7323" i="2"/>
  <c r="J7323" i="2"/>
  <c r="I7323" i="2"/>
  <c r="H7323" i="2"/>
  <c r="G7323" i="2"/>
  <c r="F7323" i="2"/>
  <c r="E7323" i="2"/>
  <c r="D7323" i="2"/>
  <c r="C7323" i="2"/>
  <c r="B7323" i="2"/>
  <c r="A7323" i="2"/>
  <c r="U7322" i="2"/>
  <c r="N7322" i="2"/>
  <c r="M7322" i="2"/>
  <c r="J7322" i="2"/>
  <c r="I7322" i="2"/>
  <c r="H7322" i="2"/>
  <c r="G7322" i="2"/>
  <c r="F7322" i="2"/>
  <c r="E7322" i="2"/>
  <c r="D7322" i="2"/>
  <c r="C7322" i="2"/>
  <c r="B7322" i="2"/>
  <c r="A7322" i="2"/>
  <c r="U7321" i="2"/>
  <c r="N7321" i="2"/>
  <c r="M7321" i="2"/>
  <c r="J7321" i="2"/>
  <c r="I7321" i="2"/>
  <c r="H7321" i="2"/>
  <c r="G7321" i="2"/>
  <c r="F7321" i="2"/>
  <c r="E7321" i="2"/>
  <c r="D7321" i="2"/>
  <c r="C7321" i="2"/>
  <c r="B7321" i="2"/>
  <c r="A7321" i="2"/>
  <c r="U7320" i="2"/>
  <c r="N7320" i="2"/>
  <c r="M7320" i="2"/>
  <c r="J7320" i="2"/>
  <c r="I7320" i="2"/>
  <c r="H7320" i="2"/>
  <c r="G7320" i="2"/>
  <c r="F7320" i="2"/>
  <c r="E7320" i="2"/>
  <c r="D7320" i="2"/>
  <c r="C7320" i="2"/>
  <c r="B7320" i="2"/>
  <c r="A7320" i="2"/>
  <c r="U7319" i="2"/>
  <c r="N7319" i="2"/>
  <c r="M7319" i="2"/>
  <c r="J7319" i="2"/>
  <c r="I7319" i="2"/>
  <c r="H7319" i="2"/>
  <c r="G7319" i="2"/>
  <c r="F7319" i="2"/>
  <c r="E7319" i="2"/>
  <c r="D7319" i="2"/>
  <c r="C7319" i="2"/>
  <c r="B7319" i="2"/>
  <c r="A7319" i="2"/>
  <c r="U7318" i="2"/>
  <c r="N7318" i="2"/>
  <c r="M7318" i="2"/>
  <c r="J7318" i="2"/>
  <c r="I7318" i="2"/>
  <c r="H7318" i="2"/>
  <c r="G7318" i="2"/>
  <c r="F7318" i="2"/>
  <c r="E7318" i="2"/>
  <c r="D7318" i="2"/>
  <c r="C7318" i="2"/>
  <c r="B7318" i="2"/>
  <c r="A7318" i="2"/>
  <c r="U7317" i="2"/>
  <c r="N7317" i="2"/>
  <c r="M7317" i="2"/>
  <c r="J7317" i="2"/>
  <c r="I7317" i="2"/>
  <c r="H7317" i="2"/>
  <c r="G7317" i="2"/>
  <c r="F7317" i="2"/>
  <c r="E7317" i="2"/>
  <c r="D7317" i="2"/>
  <c r="C7317" i="2"/>
  <c r="B7317" i="2"/>
  <c r="A7317" i="2"/>
  <c r="U7316" i="2"/>
  <c r="N7316" i="2"/>
  <c r="M7316" i="2"/>
  <c r="J7316" i="2"/>
  <c r="I7316" i="2"/>
  <c r="H7316" i="2"/>
  <c r="G7316" i="2"/>
  <c r="F7316" i="2"/>
  <c r="E7316" i="2"/>
  <c r="D7316" i="2"/>
  <c r="C7316" i="2"/>
  <c r="B7316" i="2"/>
  <c r="A7316" i="2"/>
  <c r="U7315" i="2"/>
  <c r="N7315" i="2"/>
  <c r="M7315" i="2"/>
  <c r="J7315" i="2"/>
  <c r="I7315" i="2"/>
  <c r="H7315" i="2"/>
  <c r="G7315" i="2"/>
  <c r="F7315" i="2"/>
  <c r="E7315" i="2"/>
  <c r="D7315" i="2"/>
  <c r="C7315" i="2"/>
  <c r="B7315" i="2"/>
  <c r="A7315" i="2"/>
  <c r="U7314" i="2"/>
  <c r="N7314" i="2"/>
  <c r="M7314" i="2"/>
  <c r="J7314" i="2"/>
  <c r="I7314" i="2"/>
  <c r="H7314" i="2"/>
  <c r="G7314" i="2"/>
  <c r="F7314" i="2"/>
  <c r="E7314" i="2"/>
  <c r="D7314" i="2"/>
  <c r="C7314" i="2"/>
  <c r="B7314" i="2"/>
  <c r="A7314" i="2"/>
  <c r="U7313" i="2"/>
  <c r="N7313" i="2"/>
  <c r="M7313" i="2"/>
  <c r="J7313" i="2"/>
  <c r="I7313" i="2"/>
  <c r="H7313" i="2"/>
  <c r="G7313" i="2"/>
  <c r="F7313" i="2"/>
  <c r="E7313" i="2"/>
  <c r="D7313" i="2"/>
  <c r="C7313" i="2"/>
  <c r="B7313" i="2"/>
  <c r="A7313" i="2"/>
  <c r="U7312" i="2"/>
  <c r="N7312" i="2"/>
  <c r="M7312" i="2"/>
  <c r="J7312" i="2"/>
  <c r="I7312" i="2"/>
  <c r="H7312" i="2"/>
  <c r="G7312" i="2"/>
  <c r="F7312" i="2"/>
  <c r="E7312" i="2"/>
  <c r="D7312" i="2"/>
  <c r="C7312" i="2"/>
  <c r="B7312" i="2"/>
  <c r="A7312" i="2"/>
  <c r="U7311" i="2"/>
  <c r="N7311" i="2"/>
  <c r="M7311" i="2"/>
  <c r="J7311" i="2"/>
  <c r="I7311" i="2"/>
  <c r="H7311" i="2"/>
  <c r="G7311" i="2"/>
  <c r="F7311" i="2"/>
  <c r="E7311" i="2"/>
  <c r="D7311" i="2"/>
  <c r="C7311" i="2"/>
  <c r="B7311" i="2"/>
  <c r="A7311" i="2"/>
  <c r="U7310" i="2"/>
  <c r="N7310" i="2"/>
  <c r="M7310" i="2"/>
  <c r="J7310" i="2"/>
  <c r="I7310" i="2"/>
  <c r="H7310" i="2"/>
  <c r="G7310" i="2"/>
  <c r="F7310" i="2"/>
  <c r="E7310" i="2"/>
  <c r="D7310" i="2"/>
  <c r="C7310" i="2"/>
  <c r="B7310" i="2"/>
  <c r="A7310" i="2"/>
  <c r="U7309" i="2"/>
  <c r="N7309" i="2"/>
  <c r="M7309" i="2"/>
  <c r="J7309" i="2"/>
  <c r="I7309" i="2"/>
  <c r="H7309" i="2"/>
  <c r="G7309" i="2"/>
  <c r="F7309" i="2"/>
  <c r="E7309" i="2"/>
  <c r="D7309" i="2"/>
  <c r="C7309" i="2"/>
  <c r="B7309" i="2"/>
  <c r="A7309" i="2"/>
  <c r="U7308" i="2"/>
  <c r="N7308" i="2"/>
  <c r="M7308" i="2"/>
  <c r="J7308" i="2"/>
  <c r="I7308" i="2"/>
  <c r="H7308" i="2"/>
  <c r="G7308" i="2"/>
  <c r="F7308" i="2"/>
  <c r="E7308" i="2"/>
  <c r="D7308" i="2"/>
  <c r="C7308" i="2"/>
  <c r="B7308" i="2"/>
  <c r="A7308" i="2"/>
  <c r="U7307" i="2"/>
  <c r="N7307" i="2"/>
  <c r="M7307" i="2"/>
  <c r="J7307" i="2"/>
  <c r="I7307" i="2"/>
  <c r="H7307" i="2"/>
  <c r="G7307" i="2"/>
  <c r="F7307" i="2"/>
  <c r="E7307" i="2"/>
  <c r="D7307" i="2"/>
  <c r="C7307" i="2"/>
  <c r="B7307" i="2"/>
  <c r="A7307" i="2"/>
  <c r="U7306" i="2"/>
  <c r="N7306" i="2"/>
  <c r="M7306" i="2"/>
  <c r="J7306" i="2"/>
  <c r="I7306" i="2"/>
  <c r="H7306" i="2"/>
  <c r="G7306" i="2"/>
  <c r="F7306" i="2"/>
  <c r="E7306" i="2"/>
  <c r="D7306" i="2"/>
  <c r="C7306" i="2"/>
  <c r="B7306" i="2"/>
  <c r="A7306" i="2"/>
  <c r="U7305" i="2"/>
  <c r="N7305" i="2"/>
  <c r="M7305" i="2"/>
  <c r="J7305" i="2"/>
  <c r="I7305" i="2"/>
  <c r="H7305" i="2"/>
  <c r="G7305" i="2"/>
  <c r="F7305" i="2"/>
  <c r="E7305" i="2"/>
  <c r="D7305" i="2"/>
  <c r="C7305" i="2"/>
  <c r="B7305" i="2"/>
  <c r="A7305" i="2"/>
  <c r="U7304" i="2"/>
  <c r="N7304" i="2"/>
  <c r="M7304" i="2"/>
  <c r="J7304" i="2"/>
  <c r="I7304" i="2"/>
  <c r="H7304" i="2"/>
  <c r="G7304" i="2"/>
  <c r="F7304" i="2"/>
  <c r="E7304" i="2"/>
  <c r="D7304" i="2"/>
  <c r="C7304" i="2"/>
  <c r="B7304" i="2"/>
  <c r="A7304" i="2"/>
  <c r="U7303" i="2"/>
  <c r="N7303" i="2"/>
  <c r="M7303" i="2"/>
  <c r="J7303" i="2"/>
  <c r="I7303" i="2"/>
  <c r="H7303" i="2"/>
  <c r="G7303" i="2"/>
  <c r="F7303" i="2"/>
  <c r="E7303" i="2"/>
  <c r="D7303" i="2"/>
  <c r="C7303" i="2"/>
  <c r="B7303" i="2"/>
  <c r="A7303" i="2"/>
  <c r="U7302" i="2"/>
  <c r="N7302" i="2"/>
  <c r="M7302" i="2"/>
  <c r="J7302" i="2"/>
  <c r="I7302" i="2"/>
  <c r="H7302" i="2"/>
  <c r="G7302" i="2"/>
  <c r="F7302" i="2"/>
  <c r="E7302" i="2"/>
  <c r="D7302" i="2"/>
  <c r="C7302" i="2"/>
  <c r="B7302" i="2"/>
  <c r="A7302" i="2"/>
  <c r="U7301" i="2"/>
  <c r="N7301" i="2"/>
  <c r="M7301" i="2"/>
  <c r="J7301" i="2"/>
  <c r="I7301" i="2"/>
  <c r="H7301" i="2"/>
  <c r="G7301" i="2"/>
  <c r="F7301" i="2"/>
  <c r="E7301" i="2"/>
  <c r="D7301" i="2"/>
  <c r="C7301" i="2"/>
  <c r="B7301" i="2"/>
  <c r="A7301" i="2"/>
  <c r="U7300" i="2"/>
  <c r="N7300" i="2"/>
  <c r="M7300" i="2"/>
  <c r="J7300" i="2"/>
  <c r="I7300" i="2"/>
  <c r="H7300" i="2"/>
  <c r="G7300" i="2"/>
  <c r="F7300" i="2"/>
  <c r="E7300" i="2"/>
  <c r="D7300" i="2"/>
  <c r="C7300" i="2"/>
  <c r="B7300" i="2"/>
  <c r="A7300" i="2"/>
  <c r="U7299" i="2"/>
  <c r="N7299" i="2"/>
  <c r="M7299" i="2"/>
  <c r="J7299" i="2"/>
  <c r="I7299" i="2"/>
  <c r="H7299" i="2"/>
  <c r="G7299" i="2"/>
  <c r="F7299" i="2"/>
  <c r="E7299" i="2"/>
  <c r="D7299" i="2"/>
  <c r="C7299" i="2"/>
  <c r="B7299" i="2"/>
  <c r="A7299" i="2"/>
  <c r="U7298" i="2"/>
  <c r="N7298" i="2"/>
  <c r="M7298" i="2"/>
  <c r="J7298" i="2"/>
  <c r="I7298" i="2"/>
  <c r="H7298" i="2"/>
  <c r="G7298" i="2"/>
  <c r="F7298" i="2"/>
  <c r="E7298" i="2"/>
  <c r="D7298" i="2"/>
  <c r="C7298" i="2"/>
  <c r="B7298" i="2"/>
  <c r="A7298" i="2"/>
  <c r="U7297" i="2"/>
  <c r="N7297" i="2"/>
  <c r="M7297" i="2"/>
  <c r="J7297" i="2"/>
  <c r="I7297" i="2"/>
  <c r="H7297" i="2"/>
  <c r="G7297" i="2"/>
  <c r="F7297" i="2"/>
  <c r="E7297" i="2"/>
  <c r="D7297" i="2"/>
  <c r="C7297" i="2"/>
  <c r="B7297" i="2"/>
  <c r="A7297" i="2"/>
  <c r="U7296" i="2"/>
  <c r="N7296" i="2"/>
  <c r="M7296" i="2"/>
  <c r="J7296" i="2"/>
  <c r="I7296" i="2"/>
  <c r="H7296" i="2"/>
  <c r="G7296" i="2"/>
  <c r="F7296" i="2"/>
  <c r="E7296" i="2"/>
  <c r="D7296" i="2"/>
  <c r="C7296" i="2"/>
  <c r="B7296" i="2"/>
  <c r="A7296" i="2"/>
  <c r="U7295" i="2"/>
  <c r="N7295" i="2"/>
  <c r="M7295" i="2"/>
  <c r="J7295" i="2"/>
  <c r="I7295" i="2"/>
  <c r="H7295" i="2"/>
  <c r="G7295" i="2"/>
  <c r="F7295" i="2"/>
  <c r="E7295" i="2"/>
  <c r="D7295" i="2"/>
  <c r="C7295" i="2"/>
  <c r="B7295" i="2"/>
  <c r="A7295" i="2"/>
  <c r="Q7294" i="2"/>
  <c r="U7294" i="2" s="1"/>
  <c r="N7294" i="2"/>
  <c r="M7294" i="2"/>
  <c r="J7294" i="2"/>
  <c r="I7294" i="2"/>
  <c r="H7294" i="2"/>
  <c r="G7294" i="2"/>
  <c r="F7294" i="2"/>
  <c r="E7294" i="2"/>
  <c r="D7294" i="2"/>
  <c r="C7294" i="2"/>
  <c r="B7294" i="2"/>
  <c r="A7294" i="2"/>
  <c r="U7293" i="2"/>
  <c r="N7293" i="2"/>
  <c r="M7293" i="2"/>
  <c r="J7293" i="2"/>
  <c r="I7293" i="2"/>
  <c r="H7293" i="2"/>
  <c r="G7293" i="2"/>
  <c r="F7293" i="2"/>
  <c r="E7293" i="2"/>
  <c r="D7293" i="2"/>
  <c r="C7293" i="2"/>
  <c r="B7293" i="2"/>
  <c r="A7293" i="2"/>
  <c r="U7292" i="2"/>
  <c r="N7292" i="2"/>
  <c r="M7292" i="2"/>
  <c r="J7292" i="2"/>
  <c r="I7292" i="2"/>
  <c r="H7292" i="2"/>
  <c r="G7292" i="2"/>
  <c r="F7292" i="2"/>
  <c r="E7292" i="2"/>
  <c r="D7292" i="2"/>
  <c r="C7292" i="2"/>
  <c r="B7292" i="2"/>
  <c r="A7292" i="2"/>
  <c r="U7291" i="2"/>
  <c r="N7291" i="2"/>
  <c r="M7291" i="2"/>
  <c r="J7291" i="2"/>
  <c r="I7291" i="2"/>
  <c r="H7291" i="2"/>
  <c r="G7291" i="2"/>
  <c r="F7291" i="2"/>
  <c r="E7291" i="2"/>
  <c r="D7291" i="2"/>
  <c r="C7291" i="2"/>
  <c r="B7291" i="2"/>
  <c r="A7291" i="2"/>
  <c r="U7290" i="2"/>
  <c r="N7290" i="2"/>
  <c r="M7290" i="2"/>
  <c r="J7290" i="2"/>
  <c r="I7290" i="2"/>
  <c r="H7290" i="2"/>
  <c r="G7290" i="2"/>
  <c r="F7290" i="2"/>
  <c r="E7290" i="2"/>
  <c r="D7290" i="2"/>
  <c r="C7290" i="2"/>
  <c r="B7290" i="2"/>
  <c r="A7290" i="2"/>
  <c r="U7289" i="2"/>
  <c r="N7289" i="2"/>
  <c r="M7289" i="2"/>
  <c r="J7289" i="2"/>
  <c r="I7289" i="2"/>
  <c r="H7289" i="2"/>
  <c r="G7289" i="2"/>
  <c r="F7289" i="2"/>
  <c r="E7289" i="2"/>
  <c r="D7289" i="2"/>
  <c r="C7289" i="2"/>
  <c r="B7289" i="2"/>
  <c r="A7289" i="2"/>
  <c r="U7288" i="2"/>
  <c r="N7288" i="2"/>
  <c r="M7288" i="2"/>
  <c r="J7288" i="2"/>
  <c r="I7288" i="2"/>
  <c r="H7288" i="2"/>
  <c r="G7288" i="2"/>
  <c r="F7288" i="2"/>
  <c r="E7288" i="2"/>
  <c r="D7288" i="2"/>
  <c r="C7288" i="2"/>
  <c r="B7288" i="2"/>
  <c r="A7288" i="2"/>
  <c r="U7287" i="2"/>
  <c r="N7287" i="2"/>
  <c r="M7287" i="2"/>
  <c r="J7287" i="2"/>
  <c r="I7287" i="2"/>
  <c r="H7287" i="2"/>
  <c r="G7287" i="2"/>
  <c r="F7287" i="2"/>
  <c r="E7287" i="2"/>
  <c r="D7287" i="2"/>
  <c r="C7287" i="2"/>
  <c r="B7287" i="2"/>
  <c r="A7287" i="2"/>
  <c r="U7286" i="2"/>
  <c r="N7286" i="2"/>
  <c r="M7286" i="2"/>
  <c r="J7286" i="2"/>
  <c r="I7286" i="2"/>
  <c r="H7286" i="2"/>
  <c r="G7286" i="2"/>
  <c r="F7286" i="2"/>
  <c r="E7286" i="2"/>
  <c r="D7286" i="2"/>
  <c r="C7286" i="2"/>
  <c r="B7286" i="2"/>
  <c r="A7286" i="2"/>
  <c r="U7285" i="2"/>
  <c r="N7285" i="2"/>
  <c r="M7285" i="2"/>
  <c r="J7285" i="2"/>
  <c r="I7285" i="2"/>
  <c r="H7285" i="2"/>
  <c r="G7285" i="2"/>
  <c r="F7285" i="2"/>
  <c r="E7285" i="2"/>
  <c r="D7285" i="2"/>
  <c r="C7285" i="2"/>
  <c r="B7285" i="2"/>
  <c r="A7285" i="2"/>
  <c r="U7284" i="2"/>
  <c r="N7284" i="2"/>
  <c r="M7284" i="2"/>
  <c r="J7284" i="2"/>
  <c r="I7284" i="2"/>
  <c r="H7284" i="2"/>
  <c r="G7284" i="2"/>
  <c r="F7284" i="2"/>
  <c r="E7284" i="2"/>
  <c r="D7284" i="2"/>
  <c r="C7284" i="2"/>
  <c r="B7284" i="2"/>
  <c r="A7284" i="2"/>
  <c r="U7283" i="2"/>
  <c r="N7283" i="2"/>
  <c r="M7283" i="2"/>
  <c r="J7283" i="2"/>
  <c r="I7283" i="2"/>
  <c r="H7283" i="2"/>
  <c r="G7283" i="2"/>
  <c r="F7283" i="2"/>
  <c r="E7283" i="2"/>
  <c r="D7283" i="2"/>
  <c r="C7283" i="2"/>
  <c r="B7283" i="2"/>
  <c r="A7283" i="2"/>
  <c r="U7282" i="2"/>
  <c r="N7282" i="2"/>
  <c r="M7282" i="2"/>
  <c r="J7282" i="2"/>
  <c r="I7282" i="2"/>
  <c r="H7282" i="2"/>
  <c r="G7282" i="2"/>
  <c r="F7282" i="2"/>
  <c r="E7282" i="2"/>
  <c r="D7282" i="2"/>
  <c r="C7282" i="2"/>
  <c r="B7282" i="2"/>
  <c r="A7282" i="2"/>
  <c r="U7281" i="2"/>
  <c r="N7281" i="2"/>
  <c r="M7281" i="2"/>
  <c r="J7281" i="2"/>
  <c r="I7281" i="2"/>
  <c r="H7281" i="2"/>
  <c r="G7281" i="2"/>
  <c r="F7281" i="2"/>
  <c r="E7281" i="2"/>
  <c r="D7281" i="2"/>
  <c r="C7281" i="2"/>
  <c r="B7281" i="2"/>
  <c r="A7281" i="2"/>
  <c r="U7280" i="2"/>
  <c r="N7280" i="2"/>
  <c r="M7280" i="2"/>
  <c r="J7280" i="2"/>
  <c r="I7280" i="2"/>
  <c r="H7280" i="2"/>
  <c r="G7280" i="2"/>
  <c r="F7280" i="2"/>
  <c r="E7280" i="2"/>
  <c r="D7280" i="2"/>
  <c r="C7280" i="2"/>
  <c r="B7280" i="2"/>
  <c r="A7280" i="2"/>
  <c r="U7279" i="2"/>
  <c r="N7279" i="2"/>
  <c r="M7279" i="2"/>
  <c r="J7279" i="2"/>
  <c r="I7279" i="2"/>
  <c r="H7279" i="2"/>
  <c r="G7279" i="2"/>
  <c r="F7279" i="2"/>
  <c r="E7279" i="2"/>
  <c r="D7279" i="2"/>
  <c r="C7279" i="2"/>
  <c r="B7279" i="2"/>
  <c r="A7279" i="2"/>
  <c r="U7278" i="2"/>
  <c r="N7278" i="2"/>
  <c r="M7278" i="2"/>
  <c r="J7278" i="2"/>
  <c r="I7278" i="2"/>
  <c r="H7278" i="2"/>
  <c r="G7278" i="2"/>
  <c r="F7278" i="2"/>
  <c r="E7278" i="2"/>
  <c r="D7278" i="2"/>
  <c r="C7278" i="2"/>
  <c r="B7278" i="2"/>
  <c r="A7278" i="2"/>
  <c r="U7277" i="2"/>
  <c r="N7277" i="2"/>
  <c r="M7277" i="2"/>
  <c r="J7277" i="2"/>
  <c r="I7277" i="2"/>
  <c r="H7277" i="2"/>
  <c r="G7277" i="2"/>
  <c r="F7277" i="2"/>
  <c r="E7277" i="2"/>
  <c r="D7277" i="2"/>
  <c r="C7277" i="2"/>
  <c r="B7277" i="2"/>
  <c r="A7277" i="2"/>
  <c r="U7276" i="2"/>
  <c r="N7276" i="2"/>
  <c r="M7276" i="2"/>
  <c r="J7276" i="2"/>
  <c r="I7276" i="2"/>
  <c r="H7276" i="2"/>
  <c r="G7276" i="2"/>
  <c r="F7276" i="2"/>
  <c r="E7276" i="2"/>
  <c r="D7276" i="2"/>
  <c r="C7276" i="2"/>
  <c r="B7276" i="2"/>
  <c r="A7276" i="2"/>
  <c r="U7275" i="2"/>
  <c r="N7275" i="2"/>
  <c r="M7275" i="2"/>
  <c r="J7275" i="2"/>
  <c r="I7275" i="2"/>
  <c r="H7275" i="2"/>
  <c r="G7275" i="2"/>
  <c r="F7275" i="2"/>
  <c r="E7275" i="2"/>
  <c r="D7275" i="2"/>
  <c r="C7275" i="2"/>
  <c r="B7275" i="2"/>
  <c r="A7275" i="2"/>
  <c r="U7274" i="2"/>
  <c r="N7274" i="2"/>
  <c r="M7274" i="2"/>
  <c r="J7274" i="2"/>
  <c r="I7274" i="2"/>
  <c r="H7274" i="2"/>
  <c r="G7274" i="2"/>
  <c r="F7274" i="2"/>
  <c r="E7274" i="2"/>
  <c r="D7274" i="2"/>
  <c r="C7274" i="2"/>
  <c r="B7274" i="2"/>
  <c r="A7274" i="2"/>
  <c r="U7273" i="2"/>
  <c r="N7273" i="2"/>
  <c r="M7273" i="2"/>
  <c r="J7273" i="2"/>
  <c r="I7273" i="2"/>
  <c r="H7273" i="2"/>
  <c r="G7273" i="2"/>
  <c r="F7273" i="2"/>
  <c r="E7273" i="2"/>
  <c r="D7273" i="2"/>
  <c r="C7273" i="2"/>
  <c r="B7273" i="2"/>
  <c r="A7273" i="2"/>
  <c r="U7272" i="2"/>
  <c r="N7272" i="2"/>
  <c r="M7272" i="2"/>
  <c r="J7272" i="2"/>
  <c r="I7272" i="2"/>
  <c r="H7272" i="2"/>
  <c r="G7272" i="2"/>
  <c r="F7272" i="2"/>
  <c r="E7272" i="2"/>
  <c r="D7272" i="2"/>
  <c r="C7272" i="2"/>
  <c r="B7272" i="2"/>
  <c r="A7272" i="2"/>
  <c r="Q7271" i="2"/>
  <c r="U7271" i="2" s="1"/>
  <c r="N7271" i="2"/>
  <c r="M7271" i="2"/>
  <c r="J7271" i="2"/>
  <c r="I7271" i="2"/>
  <c r="H7271" i="2"/>
  <c r="G7271" i="2"/>
  <c r="F7271" i="2"/>
  <c r="E7271" i="2"/>
  <c r="D7271" i="2"/>
  <c r="C7271" i="2"/>
  <c r="B7271" i="2"/>
  <c r="A7271" i="2"/>
  <c r="U7270" i="2"/>
  <c r="N7270" i="2"/>
  <c r="M7270" i="2"/>
  <c r="J7270" i="2"/>
  <c r="I7270" i="2"/>
  <c r="H7270" i="2"/>
  <c r="G7270" i="2"/>
  <c r="F7270" i="2"/>
  <c r="E7270" i="2"/>
  <c r="D7270" i="2"/>
  <c r="C7270" i="2"/>
  <c r="B7270" i="2"/>
  <c r="A7270" i="2"/>
  <c r="U7269" i="2"/>
  <c r="N7269" i="2"/>
  <c r="M7269" i="2"/>
  <c r="J7269" i="2"/>
  <c r="I7269" i="2"/>
  <c r="H7269" i="2"/>
  <c r="G7269" i="2"/>
  <c r="F7269" i="2"/>
  <c r="E7269" i="2"/>
  <c r="D7269" i="2"/>
  <c r="C7269" i="2"/>
  <c r="B7269" i="2"/>
  <c r="A7269" i="2"/>
  <c r="U7268" i="2"/>
  <c r="N7268" i="2"/>
  <c r="M7268" i="2"/>
  <c r="J7268" i="2"/>
  <c r="I7268" i="2"/>
  <c r="H7268" i="2"/>
  <c r="G7268" i="2"/>
  <c r="F7268" i="2"/>
  <c r="E7268" i="2"/>
  <c r="D7268" i="2"/>
  <c r="C7268" i="2"/>
  <c r="B7268" i="2"/>
  <c r="A7268" i="2"/>
  <c r="Q7267" i="2"/>
  <c r="U7267" i="2" s="1"/>
  <c r="N7267" i="2"/>
  <c r="M7267" i="2"/>
  <c r="J7267" i="2"/>
  <c r="I7267" i="2"/>
  <c r="H7267" i="2"/>
  <c r="G7267" i="2"/>
  <c r="F7267" i="2"/>
  <c r="E7267" i="2"/>
  <c r="D7267" i="2"/>
  <c r="C7267" i="2"/>
  <c r="B7267" i="2"/>
  <c r="A7267" i="2"/>
  <c r="U7266" i="2"/>
  <c r="N7266" i="2"/>
  <c r="M7266" i="2"/>
  <c r="J7266" i="2"/>
  <c r="I7266" i="2"/>
  <c r="H7266" i="2"/>
  <c r="G7266" i="2"/>
  <c r="F7266" i="2"/>
  <c r="E7266" i="2"/>
  <c r="D7266" i="2"/>
  <c r="C7266" i="2"/>
  <c r="B7266" i="2"/>
  <c r="A7266" i="2"/>
  <c r="U7265" i="2"/>
  <c r="N7265" i="2"/>
  <c r="M7265" i="2"/>
  <c r="J7265" i="2"/>
  <c r="I7265" i="2"/>
  <c r="H7265" i="2"/>
  <c r="G7265" i="2"/>
  <c r="F7265" i="2"/>
  <c r="E7265" i="2"/>
  <c r="D7265" i="2"/>
  <c r="C7265" i="2"/>
  <c r="B7265" i="2"/>
  <c r="A7265" i="2"/>
  <c r="U7264" i="2"/>
  <c r="N7264" i="2"/>
  <c r="M7264" i="2"/>
  <c r="J7264" i="2"/>
  <c r="I7264" i="2"/>
  <c r="H7264" i="2"/>
  <c r="G7264" i="2"/>
  <c r="F7264" i="2"/>
  <c r="E7264" i="2"/>
  <c r="D7264" i="2"/>
  <c r="C7264" i="2"/>
  <c r="B7264" i="2"/>
  <c r="A7264" i="2"/>
  <c r="U7263" i="2"/>
  <c r="N7263" i="2"/>
  <c r="M7263" i="2"/>
  <c r="J7263" i="2"/>
  <c r="I7263" i="2"/>
  <c r="H7263" i="2"/>
  <c r="G7263" i="2"/>
  <c r="F7263" i="2"/>
  <c r="E7263" i="2"/>
  <c r="D7263" i="2"/>
  <c r="C7263" i="2"/>
  <c r="B7263" i="2"/>
  <c r="A7263" i="2"/>
  <c r="U7262" i="2"/>
  <c r="N7262" i="2"/>
  <c r="M7262" i="2"/>
  <c r="J7262" i="2"/>
  <c r="I7262" i="2"/>
  <c r="H7262" i="2"/>
  <c r="G7262" i="2"/>
  <c r="F7262" i="2"/>
  <c r="E7262" i="2"/>
  <c r="D7262" i="2"/>
  <c r="C7262" i="2"/>
  <c r="B7262" i="2"/>
  <c r="A7262" i="2"/>
  <c r="U7261" i="2"/>
  <c r="N7261" i="2"/>
  <c r="M7261" i="2"/>
  <c r="J7261" i="2"/>
  <c r="I7261" i="2"/>
  <c r="H7261" i="2"/>
  <c r="G7261" i="2"/>
  <c r="F7261" i="2"/>
  <c r="E7261" i="2"/>
  <c r="D7261" i="2"/>
  <c r="C7261" i="2"/>
  <c r="B7261" i="2"/>
  <c r="A7261" i="2"/>
  <c r="U7260" i="2"/>
  <c r="N7260" i="2"/>
  <c r="M7260" i="2"/>
  <c r="J7260" i="2"/>
  <c r="I7260" i="2"/>
  <c r="H7260" i="2"/>
  <c r="G7260" i="2"/>
  <c r="F7260" i="2"/>
  <c r="E7260" i="2"/>
  <c r="D7260" i="2"/>
  <c r="C7260" i="2"/>
  <c r="B7260" i="2"/>
  <c r="A7260" i="2"/>
  <c r="U7259" i="2"/>
  <c r="N7259" i="2"/>
  <c r="M7259" i="2"/>
  <c r="J7259" i="2"/>
  <c r="I7259" i="2"/>
  <c r="H7259" i="2"/>
  <c r="G7259" i="2"/>
  <c r="F7259" i="2"/>
  <c r="E7259" i="2"/>
  <c r="D7259" i="2"/>
  <c r="C7259" i="2"/>
  <c r="B7259" i="2"/>
  <c r="A7259" i="2"/>
  <c r="U7258" i="2"/>
  <c r="N7258" i="2"/>
  <c r="M7258" i="2"/>
  <c r="J7258" i="2"/>
  <c r="I7258" i="2"/>
  <c r="H7258" i="2"/>
  <c r="G7258" i="2"/>
  <c r="F7258" i="2"/>
  <c r="E7258" i="2"/>
  <c r="D7258" i="2"/>
  <c r="C7258" i="2"/>
  <c r="B7258" i="2"/>
  <c r="A7258" i="2"/>
  <c r="U7257" i="2"/>
  <c r="N7257" i="2"/>
  <c r="M7257" i="2"/>
  <c r="J7257" i="2"/>
  <c r="I7257" i="2"/>
  <c r="H7257" i="2"/>
  <c r="G7257" i="2"/>
  <c r="F7257" i="2"/>
  <c r="E7257" i="2"/>
  <c r="D7257" i="2"/>
  <c r="C7257" i="2"/>
  <c r="B7257" i="2"/>
  <c r="A7257" i="2"/>
  <c r="U7256" i="2"/>
  <c r="N7256" i="2"/>
  <c r="M7256" i="2"/>
  <c r="J7256" i="2"/>
  <c r="I7256" i="2"/>
  <c r="H7256" i="2"/>
  <c r="G7256" i="2"/>
  <c r="F7256" i="2"/>
  <c r="E7256" i="2"/>
  <c r="D7256" i="2"/>
  <c r="C7256" i="2"/>
  <c r="B7256" i="2"/>
  <c r="A7256" i="2"/>
  <c r="U7255" i="2"/>
  <c r="N7255" i="2"/>
  <c r="M7255" i="2"/>
  <c r="J7255" i="2"/>
  <c r="I7255" i="2"/>
  <c r="H7255" i="2"/>
  <c r="G7255" i="2"/>
  <c r="F7255" i="2"/>
  <c r="E7255" i="2"/>
  <c r="D7255" i="2"/>
  <c r="C7255" i="2"/>
  <c r="B7255" i="2"/>
  <c r="A7255" i="2"/>
  <c r="U7254" i="2"/>
  <c r="N7254" i="2"/>
  <c r="M7254" i="2"/>
  <c r="J7254" i="2"/>
  <c r="I7254" i="2"/>
  <c r="H7254" i="2"/>
  <c r="G7254" i="2"/>
  <c r="F7254" i="2"/>
  <c r="E7254" i="2"/>
  <c r="D7254" i="2"/>
  <c r="C7254" i="2"/>
  <c r="B7254" i="2"/>
  <c r="A7254" i="2"/>
  <c r="U7253" i="2"/>
  <c r="N7253" i="2"/>
  <c r="M7253" i="2"/>
  <c r="J7253" i="2"/>
  <c r="I7253" i="2"/>
  <c r="H7253" i="2"/>
  <c r="G7253" i="2"/>
  <c r="F7253" i="2"/>
  <c r="E7253" i="2"/>
  <c r="D7253" i="2"/>
  <c r="C7253" i="2"/>
  <c r="B7253" i="2"/>
  <c r="A7253" i="2"/>
  <c r="U7252" i="2"/>
  <c r="N7252" i="2"/>
  <c r="M7252" i="2"/>
  <c r="J7252" i="2"/>
  <c r="I7252" i="2"/>
  <c r="H7252" i="2"/>
  <c r="G7252" i="2"/>
  <c r="F7252" i="2"/>
  <c r="E7252" i="2"/>
  <c r="D7252" i="2"/>
  <c r="C7252" i="2"/>
  <c r="B7252" i="2"/>
  <c r="A7252" i="2"/>
  <c r="U7251" i="2"/>
  <c r="N7251" i="2"/>
  <c r="M7251" i="2"/>
  <c r="J7251" i="2"/>
  <c r="I7251" i="2"/>
  <c r="H7251" i="2"/>
  <c r="G7251" i="2"/>
  <c r="F7251" i="2"/>
  <c r="E7251" i="2"/>
  <c r="D7251" i="2"/>
  <c r="C7251" i="2"/>
  <c r="B7251" i="2"/>
  <c r="A7251" i="2"/>
  <c r="U7250" i="2"/>
  <c r="N7250" i="2"/>
  <c r="M7250" i="2"/>
  <c r="J7250" i="2"/>
  <c r="I7250" i="2"/>
  <c r="H7250" i="2"/>
  <c r="G7250" i="2"/>
  <c r="F7250" i="2"/>
  <c r="E7250" i="2"/>
  <c r="D7250" i="2"/>
  <c r="C7250" i="2"/>
  <c r="B7250" i="2"/>
  <c r="A7250" i="2"/>
  <c r="U7249" i="2"/>
  <c r="N7249" i="2"/>
  <c r="M7249" i="2"/>
  <c r="J7249" i="2"/>
  <c r="I7249" i="2"/>
  <c r="H7249" i="2"/>
  <c r="G7249" i="2"/>
  <c r="F7249" i="2"/>
  <c r="E7249" i="2"/>
  <c r="D7249" i="2"/>
  <c r="C7249" i="2"/>
  <c r="B7249" i="2"/>
  <c r="A7249" i="2"/>
  <c r="U7248" i="2"/>
  <c r="N7248" i="2"/>
  <c r="M7248" i="2"/>
  <c r="J7248" i="2"/>
  <c r="I7248" i="2"/>
  <c r="H7248" i="2"/>
  <c r="G7248" i="2"/>
  <c r="F7248" i="2"/>
  <c r="E7248" i="2"/>
  <c r="D7248" i="2"/>
  <c r="C7248" i="2"/>
  <c r="B7248" i="2"/>
  <c r="A7248" i="2"/>
  <c r="U7247" i="2"/>
  <c r="N7247" i="2"/>
  <c r="M7247" i="2"/>
  <c r="J7247" i="2"/>
  <c r="I7247" i="2"/>
  <c r="H7247" i="2"/>
  <c r="G7247" i="2"/>
  <c r="F7247" i="2"/>
  <c r="E7247" i="2"/>
  <c r="D7247" i="2"/>
  <c r="C7247" i="2"/>
  <c r="B7247" i="2"/>
  <c r="A7247" i="2"/>
  <c r="U7246" i="2"/>
  <c r="N7246" i="2"/>
  <c r="M7246" i="2"/>
  <c r="J7246" i="2"/>
  <c r="I7246" i="2"/>
  <c r="H7246" i="2"/>
  <c r="G7246" i="2"/>
  <c r="F7246" i="2"/>
  <c r="E7246" i="2"/>
  <c r="D7246" i="2"/>
  <c r="C7246" i="2"/>
  <c r="B7246" i="2"/>
  <c r="A7246" i="2"/>
  <c r="U7245" i="2"/>
  <c r="N7245" i="2"/>
  <c r="M7245" i="2"/>
  <c r="J7245" i="2"/>
  <c r="I7245" i="2"/>
  <c r="H7245" i="2"/>
  <c r="G7245" i="2"/>
  <c r="F7245" i="2"/>
  <c r="E7245" i="2"/>
  <c r="D7245" i="2"/>
  <c r="C7245" i="2"/>
  <c r="B7245" i="2"/>
  <c r="A7245" i="2"/>
  <c r="Q7244" i="2"/>
  <c r="U7244" i="2" s="1"/>
  <c r="N7244" i="2"/>
  <c r="M7244" i="2"/>
  <c r="J7244" i="2"/>
  <c r="I7244" i="2"/>
  <c r="H7244" i="2"/>
  <c r="G7244" i="2"/>
  <c r="F7244" i="2"/>
  <c r="E7244" i="2"/>
  <c r="D7244" i="2"/>
  <c r="C7244" i="2"/>
  <c r="B7244" i="2"/>
  <c r="A7244" i="2"/>
  <c r="U7243" i="2"/>
  <c r="N7243" i="2"/>
  <c r="M7243" i="2"/>
  <c r="J7243" i="2"/>
  <c r="I7243" i="2"/>
  <c r="H7243" i="2"/>
  <c r="G7243" i="2"/>
  <c r="F7243" i="2"/>
  <c r="E7243" i="2"/>
  <c r="D7243" i="2"/>
  <c r="C7243" i="2"/>
  <c r="B7243" i="2"/>
  <c r="A7243" i="2"/>
  <c r="U7242" i="2"/>
  <c r="N7242" i="2"/>
  <c r="M7242" i="2"/>
  <c r="J7242" i="2"/>
  <c r="I7242" i="2"/>
  <c r="H7242" i="2"/>
  <c r="G7242" i="2"/>
  <c r="F7242" i="2"/>
  <c r="E7242" i="2"/>
  <c r="D7242" i="2"/>
  <c r="C7242" i="2"/>
  <c r="B7242" i="2"/>
  <c r="A7242" i="2"/>
  <c r="U7241" i="2"/>
  <c r="N7241" i="2"/>
  <c r="M7241" i="2"/>
  <c r="J7241" i="2"/>
  <c r="I7241" i="2"/>
  <c r="H7241" i="2"/>
  <c r="G7241" i="2"/>
  <c r="F7241" i="2"/>
  <c r="E7241" i="2"/>
  <c r="D7241" i="2"/>
  <c r="C7241" i="2"/>
  <c r="B7241" i="2"/>
  <c r="A7241" i="2"/>
  <c r="U7240" i="2"/>
  <c r="N7240" i="2"/>
  <c r="M7240" i="2"/>
  <c r="J7240" i="2"/>
  <c r="I7240" i="2"/>
  <c r="H7240" i="2"/>
  <c r="G7240" i="2"/>
  <c r="F7240" i="2"/>
  <c r="E7240" i="2"/>
  <c r="D7240" i="2"/>
  <c r="C7240" i="2"/>
  <c r="B7240" i="2"/>
  <c r="A7240" i="2"/>
  <c r="Q7239" i="2"/>
  <c r="U7239" i="2" s="1"/>
  <c r="N7239" i="2"/>
  <c r="M7239" i="2"/>
  <c r="J7239" i="2"/>
  <c r="I7239" i="2"/>
  <c r="H7239" i="2"/>
  <c r="G7239" i="2"/>
  <c r="F7239" i="2"/>
  <c r="E7239" i="2"/>
  <c r="D7239" i="2"/>
  <c r="C7239" i="2"/>
  <c r="B7239" i="2"/>
  <c r="A7239" i="2"/>
  <c r="U7238" i="2"/>
  <c r="N7238" i="2"/>
  <c r="M7238" i="2"/>
  <c r="J7238" i="2"/>
  <c r="I7238" i="2"/>
  <c r="H7238" i="2"/>
  <c r="G7238" i="2"/>
  <c r="F7238" i="2"/>
  <c r="E7238" i="2"/>
  <c r="D7238" i="2"/>
  <c r="C7238" i="2"/>
  <c r="B7238" i="2"/>
  <c r="A7238" i="2"/>
  <c r="U7237" i="2"/>
  <c r="N7237" i="2"/>
  <c r="M7237" i="2"/>
  <c r="J7237" i="2"/>
  <c r="I7237" i="2"/>
  <c r="H7237" i="2"/>
  <c r="G7237" i="2"/>
  <c r="F7237" i="2"/>
  <c r="E7237" i="2"/>
  <c r="D7237" i="2"/>
  <c r="C7237" i="2"/>
  <c r="B7237" i="2"/>
  <c r="A7237" i="2"/>
  <c r="U7236" i="2"/>
  <c r="N7236" i="2"/>
  <c r="M7236" i="2"/>
  <c r="J7236" i="2"/>
  <c r="I7236" i="2"/>
  <c r="H7236" i="2"/>
  <c r="G7236" i="2"/>
  <c r="F7236" i="2"/>
  <c r="E7236" i="2"/>
  <c r="D7236" i="2"/>
  <c r="C7236" i="2"/>
  <c r="B7236" i="2"/>
  <c r="A7236" i="2"/>
  <c r="U7235" i="2"/>
  <c r="N7235" i="2"/>
  <c r="M7235" i="2"/>
  <c r="J7235" i="2"/>
  <c r="I7235" i="2"/>
  <c r="H7235" i="2"/>
  <c r="G7235" i="2"/>
  <c r="F7235" i="2"/>
  <c r="E7235" i="2"/>
  <c r="D7235" i="2"/>
  <c r="C7235" i="2"/>
  <c r="B7235" i="2"/>
  <c r="A7235" i="2"/>
  <c r="U7234" i="2"/>
  <c r="N7234" i="2"/>
  <c r="M7234" i="2"/>
  <c r="J7234" i="2"/>
  <c r="I7234" i="2"/>
  <c r="H7234" i="2"/>
  <c r="G7234" i="2"/>
  <c r="F7234" i="2"/>
  <c r="E7234" i="2"/>
  <c r="D7234" i="2"/>
  <c r="C7234" i="2"/>
  <c r="B7234" i="2"/>
  <c r="A7234" i="2"/>
  <c r="U7233" i="2"/>
  <c r="N7233" i="2"/>
  <c r="M7233" i="2"/>
  <c r="J7233" i="2"/>
  <c r="I7233" i="2"/>
  <c r="H7233" i="2"/>
  <c r="G7233" i="2"/>
  <c r="F7233" i="2"/>
  <c r="E7233" i="2"/>
  <c r="D7233" i="2"/>
  <c r="C7233" i="2"/>
  <c r="B7233" i="2"/>
  <c r="A7233" i="2"/>
  <c r="U7232" i="2"/>
  <c r="N7232" i="2"/>
  <c r="M7232" i="2"/>
  <c r="J7232" i="2"/>
  <c r="I7232" i="2"/>
  <c r="H7232" i="2"/>
  <c r="G7232" i="2"/>
  <c r="F7232" i="2"/>
  <c r="E7232" i="2"/>
  <c r="D7232" i="2"/>
  <c r="C7232" i="2"/>
  <c r="B7232" i="2"/>
  <c r="A7232" i="2"/>
  <c r="U7231" i="2"/>
  <c r="N7231" i="2"/>
  <c r="M7231" i="2"/>
  <c r="J7231" i="2"/>
  <c r="I7231" i="2"/>
  <c r="H7231" i="2"/>
  <c r="G7231" i="2"/>
  <c r="F7231" i="2"/>
  <c r="E7231" i="2"/>
  <c r="D7231" i="2"/>
  <c r="C7231" i="2"/>
  <c r="B7231" i="2"/>
  <c r="A7231" i="2"/>
  <c r="R7230" i="2"/>
  <c r="Q7230" i="2"/>
  <c r="N7230" i="2"/>
  <c r="M7230" i="2"/>
  <c r="J7230" i="2"/>
  <c r="I7230" i="2"/>
  <c r="H7230" i="2"/>
  <c r="G7230" i="2"/>
  <c r="F7230" i="2"/>
  <c r="E7230" i="2"/>
  <c r="D7230" i="2"/>
  <c r="C7230" i="2"/>
  <c r="B7230" i="2"/>
  <c r="A7230" i="2"/>
  <c r="Q7229" i="2"/>
  <c r="U7229" i="2" s="1"/>
  <c r="N7229" i="2"/>
  <c r="M7229" i="2"/>
  <c r="J7229" i="2"/>
  <c r="I7229" i="2"/>
  <c r="H7229" i="2"/>
  <c r="G7229" i="2"/>
  <c r="F7229" i="2"/>
  <c r="E7229" i="2"/>
  <c r="D7229" i="2"/>
  <c r="C7229" i="2"/>
  <c r="B7229" i="2"/>
  <c r="A7229" i="2"/>
  <c r="R7228" i="2"/>
  <c r="Q7228" i="2"/>
  <c r="N7228" i="2"/>
  <c r="M7228" i="2"/>
  <c r="J7228" i="2"/>
  <c r="I7228" i="2"/>
  <c r="H7228" i="2"/>
  <c r="G7228" i="2"/>
  <c r="F7228" i="2"/>
  <c r="E7228" i="2"/>
  <c r="D7228" i="2"/>
  <c r="C7228" i="2"/>
  <c r="B7228" i="2"/>
  <c r="A7228" i="2"/>
  <c r="R7227" i="2"/>
  <c r="Q7227" i="2"/>
  <c r="N7227" i="2"/>
  <c r="M7227" i="2"/>
  <c r="J7227" i="2"/>
  <c r="I7227" i="2"/>
  <c r="H7227" i="2"/>
  <c r="G7227" i="2"/>
  <c r="F7227" i="2"/>
  <c r="E7227" i="2"/>
  <c r="D7227" i="2"/>
  <c r="C7227" i="2"/>
  <c r="B7227" i="2"/>
  <c r="A7227" i="2"/>
  <c r="R7226" i="2"/>
  <c r="Q7226" i="2"/>
  <c r="N7226" i="2"/>
  <c r="M7226" i="2"/>
  <c r="J7226" i="2"/>
  <c r="I7226" i="2"/>
  <c r="H7226" i="2"/>
  <c r="G7226" i="2"/>
  <c r="F7226" i="2"/>
  <c r="E7226" i="2"/>
  <c r="D7226" i="2"/>
  <c r="C7226" i="2"/>
  <c r="B7226" i="2"/>
  <c r="A7226" i="2"/>
  <c r="R7225" i="2"/>
  <c r="U7225" i="2" s="1"/>
  <c r="Q7225" i="2"/>
  <c r="N7225" i="2"/>
  <c r="M7225" i="2"/>
  <c r="J7225" i="2"/>
  <c r="I7225" i="2"/>
  <c r="H7225" i="2"/>
  <c r="G7225" i="2"/>
  <c r="F7225" i="2"/>
  <c r="E7225" i="2"/>
  <c r="D7225" i="2"/>
  <c r="C7225" i="2"/>
  <c r="B7225" i="2"/>
  <c r="A7225" i="2"/>
  <c r="U7224" i="2"/>
  <c r="N7224" i="2"/>
  <c r="M7224" i="2"/>
  <c r="J7224" i="2"/>
  <c r="I7224" i="2"/>
  <c r="H7224" i="2"/>
  <c r="G7224" i="2"/>
  <c r="F7224" i="2"/>
  <c r="E7224" i="2"/>
  <c r="D7224" i="2"/>
  <c r="C7224" i="2"/>
  <c r="B7224" i="2"/>
  <c r="A7224" i="2"/>
  <c r="U7223" i="2"/>
  <c r="N7223" i="2"/>
  <c r="M7223" i="2"/>
  <c r="J7223" i="2"/>
  <c r="I7223" i="2"/>
  <c r="H7223" i="2"/>
  <c r="G7223" i="2"/>
  <c r="F7223" i="2"/>
  <c r="E7223" i="2"/>
  <c r="D7223" i="2"/>
  <c r="C7223" i="2"/>
  <c r="B7223" i="2"/>
  <c r="A7223" i="2"/>
  <c r="U7222" i="2"/>
  <c r="N7222" i="2"/>
  <c r="M7222" i="2"/>
  <c r="J7222" i="2"/>
  <c r="I7222" i="2"/>
  <c r="H7222" i="2"/>
  <c r="G7222" i="2"/>
  <c r="F7222" i="2"/>
  <c r="E7222" i="2"/>
  <c r="D7222" i="2"/>
  <c r="C7222" i="2"/>
  <c r="B7222" i="2"/>
  <c r="A7222" i="2"/>
  <c r="U7221" i="2"/>
  <c r="N7221" i="2"/>
  <c r="M7221" i="2"/>
  <c r="J7221" i="2"/>
  <c r="I7221" i="2"/>
  <c r="H7221" i="2"/>
  <c r="G7221" i="2"/>
  <c r="F7221" i="2"/>
  <c r="E7221" i="2"/>
  <c r="D7221" i="2"/>
  <c r="C7221" i="2"/>
  <c r="B7221" i="2"/>
  <c r="A7221" i="2"/>
  <c r="U7220" i="2"/>
  <c r="N7220" i="2"/>
  <c r="M7220" i="2"/>
  <c r="J7220" i="2"/>
  <c r="I7220" i="2"/>
  <c r="H7220" i="2"/>
  <c r="G7220" i="2"/>
  <c r="F7220" i="2"/>
  <c r="E7220" i="2"/>
  <c r="D7220" i="2"/>
  <c r="C7220" i="2"/>
  <c r="B7220" i="2"/>
  <c r="A7220" i="2"/>
  <c r="U7219" i="2"/>
  <c r="N7219" i="2"/>
  <c r="M7219" i="2"/>
  <c r="J7219" i="2"/>
  <c r="I7219" i="2"/>
  <c r="H7219" i="2"/>
  <c r="G7219" i="2"/>
  <c r="F7219" i="2"/>
  <c r="E7219" i="2"/>
  <c r="D7219" i="2"/>
  <c r="C7219" i="2"/>
  <c r="B7219" i="2"/>
  <c r="A7219" i="2"/>
  <c r="U7218" i="2"/>
  <c r="N7218" i="2"/>
  <c r="M7218" i="2"/>
  <c r="J7218" i="2"/>
  <c r="I7218" i="2"/>
  <c r="H7218" i="2"/>
  <c r="G7218" i="2"/>
  <c r="F7218" i="2"/>
  <c r="E7218" i="2"/>
  <c r="D7218" i="2"/>
  <c r="C7218" i="2"/>
  <c r="B7218" i="2"/>
  <c r="A7218" i="2"/>
  <c r="U7217" i="2"/>
  <c r="N7217" i="2"/>
  <c r="M7217" i="2"/>
  <c r="J7217" i="2"/>
  <c r="I7217" i="2"/>
  <c r="H7217" i="2"/>
  <c r="G7217" i="2"/>
  <c r="F7217" i="2"/>
  <c r="E7217" i="2"/>
  <c r="D7217" i="2"/>
  <c r="C7217" i="2"/>
  <c r="B7217" i="2"/>
  <c r="A7217" i="2"/>
  <c r="U7216" i="2"/>
  <c r="N7216" i="2"/>
  <c r="M7216" i="2"/>
  <c r="J7216" i="2"/>
  <c r="I7216" i="2"/>
  <c r="H7216" i="2"/>
  <c r="G7216" i="2"/>
  <c r="F7216" i="2"/>
  <c r="E7216" i="2"/>
  <c r="D7216" i="2"/>
  <c r="C7216" i="2"/>
  <c r="B7216" i="2"/>
  <c r="A7216" i="2"/>
  <c r="U7215" i="2"/>
  <c r="N7215" i="2"/>
  <c r="M7215" i="2"/>
  <c r="J7215" i="2"/>
  <c r="I7215" i="2"/>
  <c r="H7215" i="2"/>
  <c r="G7215" i="2"/>
  <c r="F7215" i="2"/>
  <c r="E7215" i="2"/>
  <c r="D7215" i="2"/>
  <c r="C7215" i="2"/>
  <c r="B7215" i="2"/>
  <c r="A7215" i="2"/>
  <c r="Q7214" i="2"/>
  <c r="U7214" i="2" s="1"/>
  <c r="N7214" i="2"/>
  <c r="M7214" i="2"/>
  <c r="J7214" i="2"/>
  <c r="I7214" i="2"/>
  <c r="H7214" i="2"/>
  <c r="G7214" i="2"/>
  <c r="F7214" i="2"/>
  <c r="E7214" i="2"/>
  <c r="D7214" i="2"/>
  <c r="C7214" i="2"/>
  <c r="B7214" i="2"/>
  <c r="A7214" i="2"/>
  <c r="U7213" i="2"/>
  <c r="N7213" i="2"/>
  <c r="M7213" i="2"/>
  <c r="J7213" i="2"/>
  <c r="I7213" i="2"/>
  <c r="H7213" i="2"/>
  <c r="G7213" i="2"/>
  <c r="F7213" i="2"/>
  <c r="E7213" i="2"/>
  <c r="D7213" i="2"/>
  <c r="C7213" i="2"/>
  <c r="B7213" i="2"/>
  <c r="A7213" i="2"/>
  <c r="U7212" i="2"/>
  <c r="N7212" i="2"/>
  <c r="M7212" i="2"/>
  <c r="J7212" i="2"/>
  <c r="I7212" i="2"/>
  <c r="H7212" i="2"/>
  <c r="G7212" i="2"/>
  <c r="F7212" i="2"/>
  <c r="E7212" i="2"/>
  <c r="D7212" i="2"/>
  <c r="C7212" i="2"/>
  <c r="B7212" i="2"/>
  <c r="A7212" i="2"/>
  <c r="U7211" i="2"/>
  <c r="N7211" i="2"/>
  <c r="M7211" i="2"/>
  <c r="J7211" i="2"/>
  <c r="I7211" i="2"/>
  <c r="H7211" i="2"/>
  <c r="G7211" i="2"/>
  <c r="F7211" i="2"/>
  <c r="E7211" i="2"/>
  <c r="D7211" i="2"/>
  <c r="C7211" i="2"/>
  <c r="B7211" i="2"/>
  <c r="A7211" i="2"/>
  <c r="U7210" i="2"/>
  <c r="N7210" i="2"/>
  <c r="M7210" i="2"/>
  <c r="J7210" i="2"/>
  <c r="I7210" i="2"/>
  <c r="H7210" i="2"/>
  <c r="G7210" i="2"/>
  <c r="F7210" i="2"/>
  <c r="E7210" i="2"/>
  <c r="D7210" i="2"/>
  <c r="C7210" i="2"/>
  <c r="B7210" i="2"/>
  <c r="A7210" i="2"/>
  <c r="U7209" i="2"/>
  <c r="N7209" i="2"/>
  <c r="M7209" i="2"/>
  <c r="J7209" i="2"/>
  <c r="I7209" i="2"/>
  <c r="H7209" i="2"/>
  <c r="G7209" i="2"/>
  <c r="F7209" i="2"/>
  <c r="E7209" i="2"/>
  <c r="D7209" i="2"/>
  <c r="C7209" i="2"/>
  <c r="B7209" i="2"/>
  <c r="A7209" i="2"/>
  <c r="U7208" i="2"/>
  <c r="N7208" i="2"/>
  <c r="M7208" i="2"/>
  <c r="J7208" i="2"/>
  <c r="I7208" i="2"/>
  <c r="H7208" i="2"/>
  <c r="G7208" i="2"/>
  <c r="F7208" i="2"/>
  <c r="E7208" i="2"/>
  <c r="D7208" i="2"/>
  <c r="C7208" i="2"/>
  <c r="B7208" i="2"/>
  <c r="A7208" i="2"/>
  <c r="U7207" i="2"/>
  <c r="N7207" i="2"/>
  <c r="M7207" i="2"/>
  <c r="J7207" i="2"/>
  <c r="I7207" i="2"/>
  <c r="H7207" i="2"/>
  <c r="G7207" i="2"/>
  <c r="F7207" i="2"/>
  <c r="E7207" i="2"/>
  <c r="D7207" i="2"/>
  <c r="C7207" i="2"/>
  <c r="B7207" i="2"/>
  <c r="A7207" i="2"/>
  <c r="U7206" i="2"/>
  <c r="N7206" i="2"/>
  <c r="M7206" i="2"/>
  <c r="J7206" i="2"/>
  <c r="I7206" i="2"/>
  <c r="H7206" i="2"/>
  <c r="G7206" i="2"/>
  <c r="F7206" i="2"/>
  <c r="E7206" i="2"/>
  <c r="D7206" i="2"/>
  <c r="C7206" i="2"/>
  <c r="B7206" i="2"/>
  <c r="A7206" i="2"/>
  <c r="U7205" i="2"/>
  <c r="N7205" i="2"/>
  <c r="M7205" i="2"/>
  <c r="J7205" i="2"/>
  <c r="I7205" i="2"/>
  <c r="H7205" i="2"/>
  <c r="G7205" i="2"/>
  <c r="F7205" i="2"/>
  <c r="E7205" i="2"/>
  <c r="D7205" i="2"/>
  <c r="C7205" i="2"/>
  <c r="B7205" i="2"/>
  <c r="A7205" i="2"/>
  <c r="U7204" i="2"/>
  <c r="N7204" i="2"/>
  <c r="M7204" i="2"/>
  <c r="J7204" i="2"/>
  <c r="I7204" i="2"/>
  <c r="H7204" i="2"/>
  <c r="G7204" i="2"/>
  <c r="F7204" i="2"/>
  <c r="E7204" i="2"/>
  <c r="D7204" i="2"/>
  <c r="C7204" i="2"/>
  <c r="B7204" i="2"/>
  <c r="A7204" i="2"/>
  <c r="U7203" i="2"/>
  <c r="N7203" i="2"/>
  <c r="M7203" i="2"/>
  <c r="J7203" i="2"/>
  <c r="I7203" i="2"/>
  <c r="H7203" i="2"/>
  <c r="G7203" i="2"/>
  <c r="F7203" i="2"/>
  <c r="E7203" i="2"/>
  <c r="D7203" i="2"/>
  <c r="C7203" i="2"/>
  <c r="B7203" i="2"/>
  <c r="A7203" i="2"/>
  <c r="U7202" i="2"/>
  <c r="N7202" i="2"/>
  <c r="M7202" i="2"/>
  <c r="J7202" i="2"/>
  <c r="I7202" i="2"/>
  <c r="H7202" i="2"/>
  <c r="G7202" i="2"/>
  <c r="F7202" i="2"/>
  <c r="E7202" i="2"/>
  <c r="D7202" i="2"/>
  <c r="C7202" i="2"/>
  <c r="B7202" i="2"/>
  <c r="A7202" i="2"/>
  <c r="U7201" i="2"/>
  <c r="N7201" i="2"/>
  <c r="M7201" i="2"/>
  <c r="J7201" i="2"/>
  <c r="I7201" i="2"/>
  <c r="H7201" i="2"/>
  <c r="G7201" i="2"/>
  <c r="F7201" i="2"/>
  <c r="E7201" i="2"/>
  <c r="D7201" i="2"/>
  <c r="C7201" i="2"/>
  <c r="B7201" i="2"/>
  <c r="A7201" i="2"/>
  <c r="U7200" i="2"/>
  <c r="N7200" i="2"/>
  <c r="M7200" i="2"/>
  <c r="J7200" i="2"/>
  <c r="I7200" i="2"/>
  <c r="H7200" i="2"/>
  <c r="G7200" i="2"/>
  <c r="F7200" i="2"/>
  <c r="E7200" i="2"/>
  <c r="D7200" i="2"/>
  <c r="C7200" i="2"/>
  <c r="B7200" i="2"/>
  <c r="A7200" i="2"/>
  <c r="U7199" i="2"/>
  <c r="N7199" i="2"/>
  <c r="M7199" i="2"/>
  <c r="J7199" i="2"/>
  <c r="I7199" i="2"/>
  <c r="H7199" i="2"/>
  <c r="G7199" i="2"/>
  <c r="F7199" i="2"/>
  <c r="E7199" i="2"/>
  <c r="D7199" i="2"/>
  <c r="C7199" i="2"/>
  <c r="B7199" i="2"/>
  <c r="A7199" i="2"/>
  <c r="U7198" i="2"/>
  <c r="N7198" i="2"/>
  <c r="M7198" i="2"/>
  <c r="J7198" i="2"/>
  <c r="I7198" i="2"/>
  <c r="H7198" i="2"/>
  <c r="G7198" i="2"/>
  <c r="F7198" i="2"/>
  <c r="E7198" i="2"/>
  <c r="D7198" i="2"/>
  <c r="C7198" i="2"/>
  <c r="B7198" i="2"/>
  <c r="A7198" i="2"/>
  <c r="U7197" i="2"/>
  <c r="N7197" i="2"/>
  <c r="M7197" i="2"/>
  <c r="J7197" i="2"/>
  <c r="I7197" i="2"/>
  <c r="H7197" i="2"/>
  <c r="G7197" i="2"/>
  <c r="F7197" i="2"/>
  <c r="E7197" i="2"/>
  <c r="D7197" i="2"/>
  <c r="C7197" i="2"/>
  <c r="B7197" i="2"/>
  <c r="A7197" i="2"/>
  <c r="U7196" i="2"/>
  <c r="N7196" i="2"/>
  <c r="M7196" i="2"/>
  <c r="J7196" i="2"/>
  <c r="I7196" i="2"/>
  <c r="H7196" i="2"/>
  <c r="G7196" i="2"/>
  <c r="F7196" i="2"/>
  <c r="E7196" i="2"/>
  <c r="D7196" i="2"/>
  <c r="C7196" i="2"/>
  <c r="B7196" i="2"/>
  <c r="A7196" i="2"/>
  <c r="U7195" i="2"/>
  <c r="N7195" i="2"/>
  <c r="M7195" i="2"/>
  <c r="J7195" i="2"/>
  <c r="I7195" i="2"/>
  <c r="H7195" i="2"/>
  <c r="G7195" i="2"/>
  <c r="F7195" i="2"/>
  <c r="E7195" i="2"/>
  <c r="D7195" i="2"/>
  <c r="C7195" i="2"/>
  <c r="B7195" i="2"/>
  <c r="A7195" i="2"/>
  <c r="U7194" i="2"/>
  <c r="N7194" i="2"/>
  <c r="M7194" i="2"/>
  <c r="J7194" i="2"/>
  <c r="I7194" i="2"/>
  <c r="H7194" i="2"/>
  <c r="G7194" i="2"/>
  <c r="F7194" i="2"/>
  <c r="E7194" i="2"/>
  <c r="D7194" i="2"/>
  <c r="C7194" i="2"/>
  <c r="B7194" i="2"/>
  <c r="A7194" i="2"/>
  <c r="U7193" i="2"/>
  <c r="N7193" i="2"/>
  <c r="M7193" i="2"/>
  <c r="J7193" i="2"/>
  <c r="I7193" i="2"/>
  <c r="H7193" i="2"/>
  <c r="G7193" i="2"/>
  <c r="F7193" i="2"/>
  <c r="E7193" i="2"/>
  <c r="D7193" i="2"/>
  <c r="C7193" i="2"/>
  <c r="B7193" i="2"/>
  <c r="A7193" i="2"/>
  <c r="U7192" i="2"/>
  <c r="N7192" i="2"/>
  <c r="M7192" i="2"/>
  <c r="J7192" i="2"/>
  <c r="I7192" i="2"/>
  <c r="H7192" i="2"/>
  <c r="G7192" i="2"/>
  <c r="F7192" i="2"/>
  <c r="E7192" i="2"/>
  <c r="D7192" i="2"/>
  <c r="C7192" i="2"/>
  <c r="B7192" i="2"/>
  <c r="A7192" i="2"/>
  <c r="U7191" i="2"/>
  <c r="N7191" i="2"/>
  <c r="M7191" i="2"/>
  <c r="J7191" i="2"/>
  <c r="I7191" i="2"/>
  <c r="H7191" i="2"/>
  <c r="G7191" i="2"/>
  <c r="F7191" i="2"/>
  <c r="E7191" i="2"/>
  <c r="D7191" i="2"/>
  <c r="C7191" i="2"/>
  <c r="B7191" i="2"/>
  <c r="A7191" i="2"/>
  <c r="U7190" i="2"/>
  <c r="N7190" i="2"/>
  <c r="M7190" i="2"/>
  <c r="J7190" i="2"/>
  <c r="I7190" i="2"/>
  <c r="H7190" i="2"/>
  <c r="G7190" i="2"/>
  <c r="F7190" i="2"/>
  <c r="E7190" i="2"/>
  <c r="D7190" i="2"/>
  <c r="C7190" i="2"/>
  <c r="B7190" i="2"/>
  <c r="A7190" i="2"/>
  <c r="U7189" i="2"/>
  <c r="N7189" i="2"/>
  <c r="M7189" i="2"/>
  <c r="J7189" i="2"/>
  <c r="I7189" i="2"/>
  <c r="H7189" i="2"/>
  <c r="G7189" i="2"/>
  <c r="F7189" i="2"/>
  <c r="E7189" i="2"/>
  <c r="D7189" i="2"/>
  <c r="C7189" i="2"/>
  <c r="B7189" i="2"/>
  <c r="A7189" i="2"/>
  <c r="U7188" i="2"/>
  <c r="N7188" i="2"/>
  <c r="M7188" i="2"/>
  <c r="J7188" i="2"/>
  <c r="I7188" i="2"/>
  <c r="H7188" i="2"/>
  <c r="G7188" i="2"/>
  <c r="F7188" i="2"/>
  <c r="E7188" i="2"/>
  <c r="D7188" i="2"/>
  <c r="C7188" i="2"/>
  <c r="B7188" i="2"/>
  <c r="A7188" i="2"/>
  <c r="U7187" i="2"/>
  <c r="N7187" i="2"/>
  <c r="M7187" i="2"/>
  <c r="J7187" i="2"/>
  <c r="I7187" i="2"/>
  <c r="H7187" i="2"/>
  <c r="G7187" i="2"/>
  <c r="F7187" i="2"/>
  <c r="E7187" i="2"/>
  <c r="D7187" i="2"/>
  <c r="C7187" i="2"/>
  <c r="B7187" i="2"/>
  <c r="A7187" i="2"/>
  <c r="U7186" i="2"/>
  <c r="N7186" i="2"/>
  <c r="M7186" i="2"/>
  <c r="J7186" i="2"/>
  <c r="I7186" i="2"/>
  <c r="H7186" i="2"/>
  <c r="G7186" i="2"/>
  <c r="F7186" i="2"/>
  <c r="E7186" i="2"/>
  <c r="D7186" i="2"/>
  <c r="C7186" i="2"/>
  <c r="B7186" i="2"/>
  <c r="A7186" i="2"/>
  <c r="U7185" i="2"/>
  <c r="N7185" i="2"/>
  <c r="M7185" i="2"/>
  <c r="J7185" i="2"/>
  <c r="I7185" i="2"/>
  <c r="H7185" i="2"/>
  <c r="G7185" i="2"/>
  <c r="F7185" i="2"/>
  <c r="E7185" i="2"/>
  <c r="D7185" i="2"/>
  <c r="C7185" i="2"/>
  <c r="B7185" i="2"/>
  <c r="A7185" i="2"/>
  <c r="U7184" i="2"/>
  <c r="N7184" i="2"/>
  <c r="M7184" i="2"/>
  <c r="J7184" i="2"/>
  <c r="I7184" i="2"/>
  <c r="H7184" i="2"/>
  <c r="G7184" i="2"/>
  <c r="F7184" i="2"/>
  <c r="E7184" i="2"/>
  <c r="D7184" i="2"/>
  <c r="C7184" i="2"/>
  <c r="B7184" i="2"/>
  <c r="A7184" i="2"/>
  <c r="U7183" i="2"/>
  <c r="N7183" i="2"/>
  <c r="M7183" i="2"/>
  <c r="J7183" i="2"/>
  <c r="I7183" i="2"/>
  <c r="H7183" i="2"/>
  <c r="G7183" i="2"/>
  <c r="F7183" i="2"/>
  <c r="E7183" i="2"/>
  <c r="D7183" i="2"/>
  <c r="C7183" i="2"/>
  <c r="B7183" i="2"/>
  <c r="A7183" i="2"/>
  <c r="U7182" i="2"/>
  <c r="N7182" i="2"/>
  <c r="M7182" i="2"/>
  <c r="J7182" i="2"/>
  <c r="I7182" i="2"/>
  <c r="H7182" i="2"/>
  <c r="G7182" i="2"/>
  <c r="F7182" i="2"/>
  <c r="E7182" i="2"/>
  <c r="D7182" i="2"/>
  <c r="C7182" i="2"/>
  <c r="B7182" i="2"/>
  <c r="A7182" i="2"/>
  <c r="U7181" i="2"/>
  <c r="N7181" i="2"/>
  <c r="M7181" i="2"/>
  <c r="J7181" i="2"/>
  <c r="I7181" i="2"/>
  <c r="H7181" i="2"/>
  <c r="G7181" i="2"/>
  <c r="F7181" i="2"/>
  <c r="E7181" i="2"/>
  <c r="D7181" i="2"/>
  <c r="C7181" i="2"/>
  <c r="B7181" i="2"/>
  <c r="A7181" i="2"/>
  <c r="U7180" i="2"/>
  <c r="N7180" i="2"/>
  <c r="M7180" i="2"/>
  <c r="J7180" i="2"/>
  <c r="I7180" i="2"/>
  <c r="H7180" i="2"/>
  <c r="G7180" i="2"/>
  <c r="F7180" i="2"/>
  <c r="E7180" i="2"/>
  <c r="D7180" i="2"/>
  <c r="C7180" i="2"/>
  <c r="B7180" i="2"/>
  <c r="A7180" i="2"/>
  <c r="U7179" i="2"/>
  <c r="N7179" i="2"/>
  <c r="M7179" i="2"/>
  <c r="J7179" i="2"/>
  <c r="I7179" i="2"/>
  <c r="H7179" i="2"/>
  <c r="G7179" i="2"/>
  <c r="F7179" i="2"/>
  <c r="E7179" i="2"/>
  <c r="D7179" i="2"/>
  <c r="C7179" i="2"/>
  <c r="B7179" i="2"/>
  <c r="A7179" i="2"/>
  <c r="U7178" i="2"/>
  <c r="N7178" i="2"/>
  <c r="M7178" i="2"/>
  <c r="J7178" i="2"/>
  <c r="I7178" i="2"/>
  <c r="H7178" i="2"/>
  <c r="G7178" i="2"/>
  <c r="F7178" i="2"/>
  <c r="E7178" i="2"/>
  <c r="D7178" i="2"/>
  <c r="C7178" i="2"/>
  <c r="B7178" i="2"/>
  <c r="A7178" i="2"/>
  <c r="U7177" i="2"/>
  <c r="N7177" i="2"/>
  <c r="M7177" i="2"/>
  <c r="J7177" i="2"/>
  <c r="I7177" i="2"/>
  <c r="H7177" i="2"/>
  <c r="G7177" i="2"/>
  <c r="F7177" i="2"/>
  <c r="E7177" i="2"/>
  <c r="D7177" i="2"/>
  <c r="C7177" i="2"/>
  <c r="B7177" i="2"/>
  <c r="A7177" i="2"/>
  <c r="U7176" i="2"/>
  <c r="N7176" i="2"/>
  <c r="M7176" i="2"/>
  <c r="J7176" i="2"/>
  <c r="I7176" i="2"/>
  <c r="H7176" i="2"/>
  <c r="G7176" i="2"/>
  <c r="F7176" i="2"/>
  <c r="E7176" i="2"/>
  <c r="D7176" i="2"/>
  <c r="C7176" i="2"/>
  <c r="B7176" i="2"/>
  <c r="A7176" i="2"/>
  <c r="U7175" i="2"/>
  <c r="N7175" i="2"/>
  <c r="M7175" i="2"/>
  <c r="J7175" i="2"/>
  <c r="I7175" i="2"/>
  <c r="H7175" i="2"/>
  <c r="G7175" i="2"/>
  <c r="F7175" i="2"/>
  <c r="E7175" i="2"/>
  <c r="D7175" i="2"/>
  <c r="C7175" i="2"/>
  <c r="B7175" i="2"/>
  <c r="A7175" i="2"/>
  <c r="U7174" i="2"/>
  <c r="N7174" i="2"/>
  <c r="M7174" i="2"/>
  <c r="J7174" i="2"/>
  <c r="I7174" i="2"/>
  <c r="H7174" i="2"/>
  <c r="G7174" i="2"/>
  <c r="F7174" i="2"/>
  <c r="E7174" i="2"/>
  <c r="D7174" i="2"/>
  <c r="C7174" i="2"/>
  <c r="B7174" i="2"/>
  <c r="A7174" i="2"/>
  <c r="U7173" i="2"/>
  <c r="N7173" i="2"/>
  <c r="M7173" i="2"/>
  <c r="J7173" i="2"/>
  <c r="I7173" i="2"/>
  <c r="H7173" i="2"/>
  <c r="G7173" i="2"/>
  <c r="F7173" i="2"/>
  <c r="E7173" i="2"/>
  <c r="D7173" i="2"/>
  <c r="C7173" i="2"/>
  <c r="B7173" i="2"/>
  <c r="A7173" i="2"/>
  <c r="U7172" i="2"/>
  <c r="N7172" i="2"/>
  <c r="M7172" i="2"/>
  <c r="J7172" i="2"/>
  <c r="I7172" i="2"/>
  <c r="H7172" i="2"/>
  <c r="G7172" i="2"/>
  <c r="F7172" i="2"/>
  <c r="E7172" i="2"/>
  <c r="D7172" i="2"/>
  <c r="C7172" i="2"/>
  <c r="B7172" i="2"/>
  <c r="A7172" i="2"/>
  <c r="U7171" i="2"/>
  <c r="N7171" i="2"/>
  <c r="M7171" i="2"/>
  <c r="J7171" i="2"/>
  <c r="I7171" i="2"/>
  <c r="H7171" i="2"/>
  <c r="G7171" i="2"/>
  <c r="F7171" i="2"/>
  <c r="E7171" i="2"/>
  <c r="D7171" i="2"/>
  <c r="C7171" i="2"/>
  <c r="B7171" i="2"/>
  <c r="A7171" i="2"/>
  <c r="U7170" i="2"/>
  <c r="N7170" i="2"/>
  <c r="M7170" i="2"/>
  <c r="J7170" i="2"/>
  <c r="I7170" i="2"/>
  <c r="H7170" i="2"/>
  <c r="G7170" i="2"/>
  <c r="F7170" i="2"/>
  <c r="E7170" i="2"/>
  <c r="D7170" i="2"/>
  <c r="C7170" i="2"/>
  <c r="B7170" i="2"/>
  <c r="A7170" i="2"/>
  <c r="U7169" i="2"/>
  <c r="N7169" i="2"/>
  <c r="M7169" i="2"/>
  <c r="J7169" i="2"/>
  <c r="I7169" i="2"/>
  <c r="H7169" i="2"/>
  <c r="G7169" i="2"/>
  <c r="F7169" i="2"/>
  <c r="E7169" i="2"/>
  <c r="D7169" i="2"/>
  <c r="C7169" i="2"/>
  <c r="B7169" i="2"/>
  <c r="A7169" i="2"/>
  <c r="U7168" i="2"/>
  <c r="N7168" i="2"/>
  <c r="M7168" i="2"/>
  <c r="J7168" i="2"/>
  <c r="I7168" i="2"/>
  <c r="H7168" i="2"/>
  <c r="G7168" i="2"/>
  <c r="F7168" i="2"/>
  <c r="E7168" i="2"/>
  <c r="D7168" i="2"/>
  <c r="C7168" i="2"/>
  <c r="B7168" i="2"/>
  <c r="A7168" i="2"/>
  <c r="U7167" i="2"/>
  <c r="N7167" i="2"/>
  <c r="M7167" i="2"/>
  <c r="J7167" i="2"/>
  <c r="I7167" i="2"/>
  <c r="H7167" i="2"/>
  <c r="G7167" i="2"/>
  <c r="F7167" i="2"/>
  <c r="E7167" i="2"/>
  <c r="D7167" i="2"/>
  <c r="C7167" i="2"/>
  <c r="B7167" i="2"/>
  <c r="A7167" i="2"/>
  <c r="U7166" i="2"/>
  <c r="N7166" i="2"/>
  <c r="M7166" i="2"/>
  <c r="J7166" i="2"/>
  <c r="I7166" i="2"/>
  <c r="H7166" i="2"/>
  <c r="G7166" i="2"/>
  <c r="F7166" i="2"/>
  <c r="E7166" i="2"/>
  <c r="D7166" i="2"/>
  <c r="C7166" i="2"/>
  <c r="B7166" i="2"/>
  <c r="A7166" i="2"/>
  <c r="Q7165" i="2"/>
  <c r="U7165" i="2" s="1"/>
  <c r="N7165" i="2"/>
  <c r="M7165" i="2"/>
  <c r="J7165" i="2"/>
  <c r="I7165" i="2"/>
  <c r="H7165" i="2"/>
  <c r="G7165" i="2"/>
  <c r="F7165" i="2"/>
  <c r="E7165" i="2"/>
  <c r="D7165" i="2"/>
  <c r="C7165" i="2"/>
  <c r="B7165" i="2"/>
  <c r="A7165" i="2"/>
  <c r="U7164" i="2"/>
  <c r="N7164" i="2"/>
  <c r="M7164" i="2"/>
  <c r="J7164" i="2"/>
  <c r="I7164" i="2"/>
  <c r="H7164" i="2"/>
  <c r="G7164" i="2"/>
  <c r="F7164" i="2"/>
  <c r="E7164" i="2"/>
  <c r="D7164" i="2"/>
  <c r="C7164" i="2"/>
  <c r="B7164" i="2"/>
  <c r="A7164" i="2"/>
  <c r="Q7163" i="2"/>
  <c r="U7163" i="2" s="1"/>
  <c r="N7163" i="2"/>
  <c r="M7163" i="2"/>
  <c r="J7163" i="2"/>
  <c r="I7163" i="2"/>
  <c r="H7163" i="2"/>
  <c r="G7163" i="2"/>
  <c r="F7163" i="2"/>
  <c r="E7163" i="2"/>
  <c r="D7163" i="2"/>
  <c r="C7163" i="2"/>
  <c r="B7163" i="2"/>
  <c r="A7163" i="2"/>
  <c r="U7162" i="2"/>
  <c r="N7162" i="2"/>
  <c r="M7162" i="2"/>
  <c r="J7162" i="2"/>
  <c r="I7162" i="2"/>
  <c r="H7162" i="2"/>
  <c r="G7162" i="2"/>
  <c r="F7162" i="2"/>
  <c r="E7162" i="2"/>
  <c r="D7162" i="2"/>
  <c r="C7162" i="2"/>
  <c r="B7162" i="2"/>
  <c r="A7162" i="2"/>
  <c r="U7161" i="2"/>
  <c r="N7161" i="2"/>
  <c r="M7161" i="2"/>
  <c r="J7161" i="2"/>
  <c r="I7161" i="2"/>
  <c r="H7161" i="2"/>
  <c r="G7161" i="2"/>
  <c r="F7161" i="2"/>
  <c r="E7161" i="2"/>
  <c r="D7161" i="2"/>
  <c r="C7161" i="2"/>
  <c r="B7161" i="2"/>
  <c r="A7161" i="2"/>
  <c r="U7160" i="2"/>
  <c r="N7160" i="2"/>
  <c r="M7160" i="2"/>
  <c r="J7160" i="2"/>
  <c r="I7160" i="2"/>
  <c r="H7160" i="2"/>
  <c r="G7160" i="2"/>
  <c r="F7160" i="2"/>
  <c r="E7160" i="2"/>
  <c r="D7160" i="2"/>
  <c r="C7160" i="2"/>
  <c r="B7160" i="2"/>
  <c r="A7160" i="2"/>
  <c r="U7159" i="2"/>
  <c r="N7159" i="2"/>
  <c r="M7159" i="2"/>
  <c r="J7159" i="2"/>
  <c r="I7159" i="2"/>
  <c r="H7159" i="2"/>
  <c r="G7159" i="2"/>
  <c r="F7159" i="2"/>
  <c r="E7159" i="2"/>
  <c r="D7159" i="2"/>
  <c r="C7159" i="2"/>
  <c r="B7159" i="2"/>
  <c r="A7159" i="2"/>
  <c r="U7158" i="2"/>
  <c r="N7158" i="2"/>
  <c r="M7158" i="2"/>
  <c r="J7158" i="2"/>
  <c r="I7158" i="2"/>
  <c r="H7158" i="2"/>
  <c r="G7158" i="2"/>
  <c r="F7158" i="2"/>
  <c r="E7158" i="2"/>
  <c r="D7158" i="2"/>
  <c r="C7158" i="2"/>
  <c r="B7158" i="2"/>
  <c r="A7158" i="2"/>
  <c r="U7157" i="2"/>
  <c r="N7157" i="2"/>
  <c r="M7157" i="2"/>
  <c r="J7157" i="2"/>
  <c r="I7157" i="2"/>
  <c r="H7157" i="2"/>
  <c r="G7157" i="2"/>
  <c r="F7157" i="2"/>
  <c r="E7157" i="2"/>
  <c r="D7157" i="2"/>
  <c r="C7157" i="2"/>
  <c r="B7157" i="2"/>
  <c r="A7157" i="2"/>
  <c r="U7156" i="2"/>
  <c r="N7156" i="2"/>
  <c r="M7156" i="2"/>
  <c r="J7156" i="2"/>
  <c r="I7156" i="2"/>
  <c r="H7156" i="2"/>
  <c r="G7156" i="2"/>
  <c r="F7156" i="2"/>
  <c r="E7156" i="2"/>
  <c r="D7156" i="2"/>
  <c r="C7156" i="2"/>
  <c r="B7156" i="2"/>
  <c r="A7156" i="2"/>
  <c r="U7155" i="2"/>
  <c r="N7155" i="2"/>
  <c r="M7155" i="2"/>
  <c r="J7155" i="2"/>
  <c r="I7155" i="2"/>
  <c r="H7155" i="2"/>
  <c r="G7155" i="2"/>
  <c r="F7155" i="2"/>
  <c r="E7155" i="2"/>
  <c r="D7155" i="2"/>
  <c r="C7155" i="2"/>
  <c r="B7155" i="2"/>
  <c r="A7155" i="2"/>
  <c r="U7154" i="2"/>
  <c r="N7154" i="2"/>
  <c r="M7154" i="2"/>
  <c r="J7154" i="2"/>
  <c r="I7154" i="2"/>
  <c r="H7154" i="2"/>
  <c r="G7154" i="2"/>
  <c r="F7154" i="2"/>
  <c r="E7154" i="2"/>
  <c r="D7154" i="2"/>
  <c r="C7154" i="2"/>
  <c r="B7154" i="2"/>
  <c r="A7154" i="2"/>
  <c r="U7153" i="2"/>
  <c r="N7153" i="2"/>
  <c r="M7153" i="2"/>
  <c r="J7153" i="2"/>
  <c r="I7153" i="2"/>
  <c r="H7153" i="2"/>
  <c r="G7153" i="2"/>
  <c r="F7153" i="2"/>
  <c r="E7153" i="2"/>
  <c r="D7153" i="2"/>
  <c r="C7153" i="2"/>
  <c r="B7153" i="2"/>
  <c r="A7153" i="2"/>
  <c r="U7152" i="2"/>
  <c r="N7152" i="2"/>
  <c r="M7152" i="2"/>
  <c r="J7152" i="2"/>
  <c r="I7152" i="2"/>
  <c r="H7152" i="2"/>
  <c r="G7152" i="2"/>
  <c r="F7152" i="2"/>
  <c r="E7152" i="2"/>
  <c r="D7152" i="2"/>
  <c r="C7152" i="2"/>
  <c r="B7152" i="2"/>
  <c r="A7152" i="2"/>
  <c r="R7151" i="2"/>
  <c r="Q7151" i="2"/>
  <c r="N7151" i="2"/>
  <c r="M7151" i="2"/>
  <c r="J7151" i="2"/>
  <c r="I7151" i="2"/>
  <c r="H7151" i="2"/>
  <c r="G7151" i="2"/>
  <c r="F7151" i="2"/>
  <c r="E7151" i="2"/>
  <c r="D7151" i="2"/>
  <c r="C7151" i="2"/>
  <c r="B7151" i="2"/>
  <c r="A7151" i="2"/>
  <c r="R7150" i="2"/>
  <c r="Q7150" i="2"/>
  <c r="N7150" i="2"/>
  <c r="M7150" i="2"/>
  <c r="J7150" i="2"/>
  <c r="I7150" i="2"/>
  <c r="H7150" i="2"/>
  <c r="G7150" i="2"/>
  <c r="F7150" i="2"/>
  <c r="E7150" i="2"/>
  <c r="D7150" i="2"/>
  <c r="C7150" i="2"/>
  <c r="B7150" i="2"/>
  <c r="A7150" i="2"/>
  <c r="R7149" i="2"/>
  <c r="U7149" i="2" s="1"/>
  <c r="Q7149" i="2"/>
  <c r="N7149" i="2"/>
  <c r="M7149" i="2"/>
  <c r="J7149" i="2"/>
  <c r="I7149" i="2"/>
  <c r="H7149" i="2"/>
  <c r="G7149" i="2"/>
  <c r="F7149" i="2"/>
  <c r="E7149" i="2"/>
  <c r="D7149" i="2"/>
  <c r="C7149" i="2"/>
  <c r="B7149" i="2"/>
  <c r="A7149" i="2"/>
  <c r="R7148" i="2"/>
  <c r="Q7148" i="2"/>
  <c r="N7148" i="2"/>
  <c r="M7148" i="2"/>
  <c r="J7148" i="2"/>
  <c r="I7148" i="2"/>
  <c r="H7148" i="2"/>
  <c r="G7148" i="2"/>
  <c r="F7148" i="2"/>
  <c r="E7148" i="2"/>
  <c r="D7148" i="2"/>
  <c r="C7148" i="2"/>
  <c r="B7148" i="2"/>
  <c r="A7148" i="2"/>
  <c r="R7147" i="2"/>
  <c r="Q7147" i="2"/>
  <c r="N7147" i="2"/>
  <c r="M7147" i="2"/>
  <c r="J7147" i="2"/>
  <c r="I7147" i="2"/>
  <c r="H7147" i="2"/>
  <c r="G7147" i="2"/>
  <c r="F7147" i="2"/>
  <c r="E7147" i="2"/>
  <c r="D7147" i="2"/>
  <c r="C7147" i="2"/>
  <c r="B7147" i="2"/>
  <c r="A7147" i="2"/>
  <c r="R7146" i="2"/>
  <c r="U7146" i="2" s="1"/>
  <c r="Q7146" i="2"/>
  <c r="N7146" i="2"/>
  <c r="M7146" i="2"/>
  <c r="J7146" i="2"/>
  <c r="I7146" i="2"/>
  <c r="H7146" i="2"/>
  <c r="G7146" i="2"/>
  <c r="F7146" i="2"/>
  <c r="E7146" i="2"/>
  <c r="D7146" i="2"/>
  <c r="C7146" i="2"/>
  <c r="B7146" i="2"/>
  <c r="A7146" i="2"/>
  <c r="R7145" i="2"/>
  <c r="U7145" i="2" s="1"/>
  <c r="Q7145" i="2"/>
  <c r="N7145" i="2"/>
  <c r="M7145" i="2"/>
  <c r="J7145" i="2"/>
  <c r="I7145" i="2"/>
  <c r="H7145" i="2"/>
  <c r="G7145" i="2"/>
  <c r="F7145" i="2"/>
  <c r="E7145" i="2"/>
  <c r="D7145" i="2"/>
  <c r="C7145" i="2"/>
  <c r="B7145" i="2"/>
  <c r="A7145" i="2"/>
  <c r="R7144" i="2"/>
  <c r="Q7144" i="2"/>
  <c r="N7144" i="2"/>
  <c r="M7144" i="2"/>
  <c r="J7144" i="2"/>
  <c r="I7144" i="2"/>
  <c r="H7144" i="2"/>
  <c r="G7144" i="2"/>
  <c r="F7144" i="2"/>
  <c r="E7144" i="2"/>
  <c r="D7144" i="2"/>
  <c r="C7144" i="2"/>
  <c r="B7144" i="2"/>
  <c r="A7144" i="2"/>
  <c r="R7143" i="2"/>
  <c r="Q7143" i="2"/>
  <c r="N7143" i="2"/>
  <c r="M7143" i="2"/>
  <c r="J7143" i="2"/>
  <c r="I7143" i="2"/>
  <c r="H7143" i="2"/>
  <c r="G7143" i="2"/>
  <c r="F7143" i="2"/>
  <c r="E7143" i="2"/>
  <c r="D7143" i="2"/>
  <c r="C7143" i="2"/>
  <c r="B7143" i="2"/>
  <c r="A7143" i="2"/>
  <c r="R7142" i="2"/>
  <c r="Q7142" i="2"/>
  <c r="N7142" i="2"/>
  <c r="M7142" i="2"/>
  <c r="J7142" i="2"/>
  <c r="I7142" i="2"/>
  <c r="H7142" i="2"/>
  <c r="G7142" i="2"/>
  <c r="F7142" i="2"/>
  <c r="E7142" i="2"/>
  <c r="D7142" i="2"/>
  <c r="C7142" i="2"/>
  <c r="B7142" i="2"/>
  <c r="A7142" i="2"/>
  <c r="R7141" i="2"/>
  <c r="Q7141" i="2"/>
  <c r="N7141" i="2"/>
  <c r="M7141" i="2"/>
  <c r="J7141" i="2"/>
  <c r="I7141" i="2"/>
  <c r="H7141" i="2"/>
  <c r="G7141" i="2"/>
  <c r="F7141" i="2"/>
  <c r="E7141" i="2"/>
  <c r="D7141" i="2"/>
  <c r="C7141" i="2"/>
  <c r="B7141" i="2"/>
  <c r="A7141" i="2"/>
  <c r="R7140" i="2"/>
  <c r="Q7140" i="2"/>
  <c r="N7140" i="2"/>
  <c r="M7140" i="2"/>
  <c r="J7140" i="2"/>
  <c r="I7140" i="2"/>
  <c r="H7140" i="2"/>
  <c r="G7140" i="2"/>
  <c r="F7140" i="2"/>
  <c r="E7140" i="2"/>
  <c r="D7140" i="2"/>
  <c r="C7140" i="2"/>
  <c r="B7140" i="2"/>
  <c r="A7140" i="2"/>
  <c r="R7139" i="2"/>
  <c r="Q7139" i="2"/>
  <c r="N7139" i="2"/>
  <c r="M7139" i="2"/>
  <c r="J7139" i="2"/>
  <c r="I7139" i="2"/>
  <c r="H7139" i="2"/>
  <c r="G7139" i="2"/>
  <c r="F7139" i="2"/>
  <c r="E7139" i="2"/>
  <c r="D7139" i="2"/>
  <c r="C7139" i="2"/>
  <c r="B7139" i="2"/>
  <c r="A7139" i="2"/>
  <c r="R7138" i="2"/>
  <c r="Q7138" i="2"/>
  <c r="N7138" i="2"/>
  <c r="M7138" i="2"/>
  <c r="J7138" i="2"/>
  <c r="I7138" i="2"/>
  <c r="H7138" i="2"/>
  <c r="G7138" i="2"/>
  <c r="F7138" i="2"/>
  <c r="E7138" i="2"/>
  <c r="D7138" i="2"/>
  <c r="C7138" i="2"/>
  <c r="B7138" i="2"/>
  <c r="A7138" i="2"/>
  <c r="R7137" i="2"/>
  <c r="Q7137" i="2"/>
  <c r="N7137" i="2"/>
  <c r="M7137" i="2"/>
  <c r="J7137" i="2"/>
  <c r="I7137" i="2"/>
  <c r="H7137" i="2"/>
  <c r="G7137" i="2"/>
  <c r="F7137" i="2"/>
  <c r="E7137" i="2"/>
  <c r="D7137" i="2"/>
  <c r="C7137" i="2"/>
  <c r="B7137" i="2"/>
  <c r="A7137" i="2"/>
  <c r="Q7136" i="2"/>
  <c r="U7136" i="2" s="1"/>
  <c r="N7136" i="2"/>
  <c r="M7136" i="2"/>
  <c r="J7136" i="2"/>
  <c r="I7136" i="2"/>
  <c r="H7136" i="2"/>
  <c r="G7136" i="2"/>
  <c r="F7136" i="2"/>
  <c r="E7136" i="2"/>
  <c r="D7136" i="2"/>
  <c r="C7136" i="2"/>
  <c r="B7136" i="2"/>
  <c r="A7136" i="2"/>
  <c r="R7135" i="2"/>
  <c r="Q7135" i="2"/>
  <c r="N7135" i="2"/>
  <c r="M7135" i="2"/>
  <c r="J7135" i="2"/>
  <c r="I7135" i="2"/>
  <c r="H7135" i="2"/>
  <c r="G7135" i="2"/>
  <c r="F7135" i="2"/>
  <c r="E7135" i="2"/>
  <c r="D7135" i="2"/>
  <c r="C7135" i="2"/>
  <c r="B7135" i="2"/>
  <c r="A7135" i="2"/>
  <c r="U7134" i="2"/>
  <c r="N7134" i="2"/>
  <c r="M7134" i="2"/>
  <c r="J7134" i="2"/>
  <c r="I7134" i="2"/>
  <c r="H7134" i="2"/>
  <c r="G7134" i="2"/>
  <c r="F7134" i="2"/>
  <c r="E7134" i="2"/>
  <c r="D7134" i="2"/>
  <c r="C7134" i="2"/>
  <c r="B7134" i="2"/>
  <c r="A7134" i="2"/>
  <c r="U7133" i="2"/>
  <c r="N7133" i="2"/>
  <c r="M7133" i="2"/>
  <c r="J7133" i="2"/>
  <c r="I7133" i="2"/>
  <c r="H7133" i="2"/>
  <c r="G7133" i="2"/>
  <c r="F7133" i="2"/>
  <c r="E7133" i="2"/>
  <c r="D7133" i="2"/>
  <c r="C7133" i="2"/>
  <c r="B7133" i="2"/>
  <c r="A7133" i="2"/>
  <c r="U7132" i="2"/>
  <c r="N7132" i="2"/>
  <c r="M7132" i="2"/>
  <c r="J7132" i="2"/>
  <c r="I7132" i="2"/>
  <c r="H7132" i="2"/>
  <c r="G7132" i="2"/>
  <c r="F7132" i="2"/>
  <c r="E7132" i="2"/>
  <c r="D7132" i="2"/>
  <c r="C7132" i="2"/>
  <c r="B7132" i="2"/>
  <c r="A7132" i="2"/>
  <c r="U7131" i="2"/>
  <c r="N7131" i="2"/>
  <c r="M7131" i="2"/>
  <c r="J7131" i="2"/>
  <c r="I7131" i="2"/>
  <c r="H7131" i="2"/>
  <c r="G7131" i="2"/>
  <c r="F7131" i="2"/>
  <c r="E7131" i="2"/>
  <c r="D7131" i="2"/>
  <c r="C7131" i="2"/>
  <c r="B7131" i="2"/>
  <c r="A7131" i="2"/>
  <c r="U7130" i="2"/>
  <c r="N7130" i="2"/>
  <c r="M7130" i="2"/>
  <c r="J7130" i="2"/>
  <c r="I7130" i="2"/>
  <c r="H7130" i="2"/>
  <c r="G7130" i="2"/>
  <c r="F7130" i="2"/>
  <c r="E7130" i="2"/>
  <c r="D7130" i="2"/>
  <c r="C7130" i="2"/>
  <c r="B7130" i="2"/>
  <c r="A7130" i="2"/>
  <c r="U7129" i="2"/>
  <c r="N7129" i="2"/>
  <c r="M7129" i="2"/>
  <c r="J7129" i="2"/>
  <c r="I7129" i="2"/>
  <c r="H7129" i="2"/>
  <c r="G7129" i="2"/>
  <c r="F7129" i="2"/>
  <c r="E7129" i="2"/>
  <c r="D7129" i="2"/>
  <c r="C7129" i="2"/>
  <c r="B7129" i="2"/>
  <c r="A7129" i="2"/>
  <c r="U7128" i="2"/>
  <c r="N7128" i="2"/>
  <c r="M7128" i="2"/>
  <c r="J7128" i="2"/>
  <c r="I7128" i="2"/>
  <c r="H7128" i="2"/>
  <c r="G7128" i="2"/>
  <c r="F7128" i="2"/>
  <c r="E7128" i="2"/>
  <c r="D7128" i="2"/>
  <c r="C7128" i="2"/>
  <c r="B7128" i="2"/>
  <c r="A7128" i="2"/>
  <c r="U7127" i="2"/>
  <c r="N7127" i="2"/>
  <c r="M7127" i="2"/>
  <c r="J7127" i="2"/>
  <c r="I7127" i="2"/>
  <c r="H7127" i="2"/>
  <c r="G7127" i="2"/>
  <c r="F7127" i="2"/>
  <c r="E7127" i="2"/>
  <c r="D7127" i="2"/>
  <c r="C7127" i="2"/>
  <c r="B7127" i="2"/>
  <c r="A7127" i="2"/>
  <c r="U7126" i="2"/>
  <c r="N7126" i="2"/>
  <c r="M7126" i="2"/>
  <c r="J7126" i="2"/>
  <c r="I7126" i="2"/>
  <c r="H7126" i="2"/>
  <c r="G7126" i="2"/>
  <c r="F7126" i="2"/>
  <c r="E7126" i="2"/>
  <c r="D7126" i="2"/>
  <c r="C7126" i="2"/>
  <c r="B7126" i="2"/>
  <c r="A7126" i="2"/>
  <c r="U7125" i="2"/>
  <c r="N7125" i="2"/>
  <c r="M7125" i="2"/>
  <c r="J7125" i="2"/>
  <c r="I7125" i="2"/>
  <c r="H7125" i="2"/>
  <c r="G7125" i="2"/>
  <c r="F7125" i="2"/>
  <c r="E7125" i="2"/>
  <c r="D7125" i="2"/>
  <c r="C7125" i="2"/>
  <c r="B7125" i="2"/>
  <c r="A7125" i="2"/>
  <c r="U7124" i="2"/>
  <c r="N7124" i="2"/>
  <c r="M7124" i="2"/>
  <c r="J7124" i="2"/>
  <c r="I7124" i="2"/>
  <c r="H7124" i="2"/>
  <c r="G7124" i="2"/>
  <c r="F7124" i="2"/>
  <c r="E7124" i="2"/>
  <c r="D7124" i="2"/>
  <c r="C7124" i="2"/>
  <c r="B7124" i="2"/>
  <c r="A7124" i="2"/>
  <c r="U7123" i="2"/>
  <c r="N7123" i="2"/>
  <c r="M7123" i="2"/>
  <c r="J7123" i="2"/>
  <c r="I7123" i="2"/>
  <c r="H7123" i="2"/>
  <c r="G7123" i="2"/>
  <c r="F7123" i="2"/>
  <c r="E7123" i="2"/>
  <c r="D7123" i="2"/>
  <c r="C7123" i="2"/>
  <c r="B7123" i="2"/>
  <c r="A7123" i="2"/>
  <c r="U7122" i="2"/>
  <c r="N7122" i="2"/>
  <c r="M7122" i="2"/>
  <c r="J7122" i="2"/>
  <c r="I7122" i="2"/>
  <c r="H7122" i="2"/>
  <c r="G7122" i="2"/>
  <c r="F7122" i="2"/>
  <c r="E7122" i="2"/>
  <c r="D7122" i="2"/>
  <c r="C7122" i="2"/>
  <c r="B7122" i="2"/>
  <c r="A7122" i="2"/>
  <c r="U7121" i="2"/>
  <c r="N7121" i="2"/>
  <c r="M7121" i="2"/>
  <c r="J7121" i="2"/>
  <c r="I7121" i="2"/>
  <c r="H7121" i="2"/>
  <c r="G7121" i="2"/>
  <c r="F7121" i="2"/>
  <c r="E7121" i="2"/>
  <c r="D7121" i="2"/>
  <c r="C7121" i="2"/>
  <c r="B7121" i="2"/>
  <c r="A7121" i="2"/>
  <c r="U7120" i="2"/>
  <c r="N7120" i="2"/>
  <c r="M7120" i="2"/>
  <c r="J7120" i="2"/>
  <c r="I7120" i="2"/>
  <c r="H7120" i="2"/>
  <c r="G7120" i="2"/>
  <c r="F7120" i="2"/>
  <c r="E7120" i="2"/>
  <c r="D7120" i="2"/>
  <c r="C7120" i="2"/>
  <c r="B7120" i="2"/>
  <c r="A7120" i="2"/>
  <c r="U7119" i="2"/>
  <c r="N7119" i="2"/>
  <c r="M7119" i="2"/>
  <c r="J7119" i="2"/>
  <c r="I7119" i="2"/>
  <c r="H7119" i="2"/>
  <c r="G7119" i="2"/>
  <c r="F7119" i="2"/>
  <c r="E7119" i="2"/>
  <c r="D7119" i="2"/>
  <c r="C7119" i="2"/>
  <c r="B7119" i="2"/>
  <c r="A7119" i="2"/>
  <c r="U7118" i="2"/>
  <c r="N7118" i="2"/>
  <c r="M7118" i="2"/>
  <c r="J7118" i="2"/>
  <c r="I7118" i="2"/>
  <c r="H7118" i="2"/>
  <c r="G7118" i="2"/>
  <c r="F7118" i="2"/>
  <c r="E7118" i="2"/>
  <c r="D7118" i="2"/>
  <c r="C7118" i="2"/>
  <c r="B7118" i="2"/>
  <c r="A7118" i="2"/>
  <c r="U7117" i="2"/>
  <c r="N7117" i="2"/>
  <c r="M7117" i="2"/>
  <c r="J7117" i="2"/>
  <c r="I7117" i="2"/>
  <c r="H7117" i="2"/>
  <c r="G7117" i="2"/>
  <c r="F7117" i="2"/>
  <c r="E7117" i="2"/>
  <c r="D7117" i="2"/>
  <c r="C7117" i="2"/>
  <c r="B7117" i="2"/>
  <c r="A7117" i="2"/>
  <c r="U7116" i="2"/>
  <c r="N7116" i="2"/>
  <c r="M7116" i="2"/>
  <c r="J7116" i="2"/>
  <c r="I7116" i="2"/>
  <c r="H7116" i="2"/>
  <c r="G7116" i="2"/>
  <c r="F7116" i="2"/>
  <c r="E7116" i="2"/>
  <c r="D7116" i="2"/>
  <c r="C7116" i="2"/>
  <c r="B7116" i="2"/>
  <c r="A7116" i="2"/>
  <c r="U7115" i="2"/>
  <c r="N7115" i="2"/>
  <c r="M7115" i="2"/>
  <c r="J7115" i="2"/>
  <c r="I7115" i="2"/>
  <c r="H7115" i="2"/>
  <c r="G7115" i="2"/>
  <c r="F7115" i="2"/>
  <c r="E7115" i="2"/>
  <c r="D7115" i="2"/>
  <c r="C7115" i="2"/>
  <c r="B7115" i="2"/>
  <c r="A7115" i="2"/>
  <c r="U7114" i="2"/>
  <c r="N7114" i="2"/>
  <c r="M7114" i="2"/>
  <c r="J7114" i="2"/>
  <c r="I7114" i="2"/>
  <c r="H7114" i="2"/>
  <c r="G7114" i="2"/>
  <c r="F7114" i="2"/>
  <c r="E7114" i="2"/>
  <c r="D7114" i="2"/>
  <c r="C7114" i="2"/>
  <c r="B7114" i="2"/>
  <c r="A7114" i="2"/>
  <c r="U7113" i="2"/>
  <c r="N7113" i="2"/>
  <c r="M7113" i="2"/>
  <c r="J7113" i="2"/>
  <c r="I7113" i="2"/>
  <c r="H7113" i="2"/>
  <c r="G7113" i="2"/>
  <c r="F7113" i="2"/>
  <c r="E7113" i="2"/>
  <c r="D7113" i="2"/>
  <c r="C7113" i="2"/>
  <c r="B7113" i="2"/>
  <c r="A7113" i="2"/>
  <c r="U7112" i="2"/>
  <c r="N7112" i="2"/>
  <c r="M7112" i="2"/>
  <c r="J7112" i="2"/>
  <c r="I7112" i="2"/>
  <c r="H7112" i="2"/>
  <c r="G7112" i="2"/>
  <c r="F7112" i="2"/>
  <c r="E7112" i="2"/>
  <c r="D7112" i="2"/>
  <c r="C7112" i="2"/>
  <c r="B7112" i="2"/>
  <c r="A7112" i="2"/>
  <c r="Q7111" i="2"/>
  <c r="U7111" i="2" s="1"/>
  <c r="N7111" i="2"/>
  <c r="M7111" i="2"/>
  <c r="J7111" i="2"/>
  <c r="I7111" i="2"/>
  <c r="H7111" i="2"/>
  <c r="G7111" i="2"/>
  <c r="F7111" i="2"/>
  <c r="E7111" i="2"/>
  <c r="D7111" i="2"/>
  <c r="C7111" i="2"/>
  <c r="B7111" i="2"/>
  <c r="A7111" i="2"/>
  <c r="U7110" i="2"/>
  <c r="N7110" i="2"/>
  <c r="M7110" i="2"/>
  <c r="J7110" i="2"/>
  <c r="I7110" i="2"/>
  <c r="H7110" i="2"/>
  <c r="G7110" i="2"/>
  <c r="F7110" i="2"/>
  <c r="E7110" i="2"/>
  <c r="D7110" i="2"/>
  <c r="C7110" i="2"/>
  <c r="B7110" i="2"/>
  <c r="A7110" i="2"/>
  <c r="U7109" i="2"/>
  <c r="N7109" i="2"/>
  <c r="M7109" i="2"/>
  <c r="J7109" i="2"/>
  <c r="I7109" i="2"/>
  <c r="H7109" i="2"/>
  <c r="G7109" i="2"/>
  <c r="F7109" i="2"/>
  <c r="E7109" i="2"/>
  <c r="D7109" i="2"/>
  <c r="C7109" i="2"/>
  <c r="B7109" i="2"/>
  <c r="A7109" i="2"/>
  <c r="U7108" i="2"/>
  <c r="N7108" i="2"/>
  <c r="M7108" i="2"/>
  <c r="J7108" i="2"/>
  <c r="I7108" i="2"/>
  <c r="H7108" i="2"/>
  <c r="G7108" i="2"/>
  <c r="F7108" i="2"/>
  <c r="E7108" i="2"/>
  <c r="D7108" i="2"/>
  <c r="C7108" i="2"/>
  <c r="B7108" i="2"/>
  <c r="A7108" i="2"/>
  <c r="U7107" i="2"/>
  <c r="N7107" i="2"/>
  <c r="M7107" i="2"/>
  <c r="J7107" i="2"/>
  <c r="I7107" i="2"/>
  <c r="H7107" i="2"/>
  <c r="G7107" i="2"/>
  <c r="F7107" i="2"/>
  <c r="E7107" i="2"/>
  <c r="D7107" i="2"/>
  <c r="C7107" i="2"/>
  <c r="B7107" i="2"/>
  <c r="A7107" i="2"/>
  <c r="U7106" i="2"/>
  <c r="N7106" i="2"/>
  <c r="M7106" i="2"/>
  <c r="J7106" i="2"/>
  <c r="I7106" i="2"/>
  <c r="H7106" i="2"/>
  <c r="G7106" i="2"/>
  <c r="F7106" i="2"/>
  <c r="E7106" i="2"/>
  <c r="D7106" i="2"/>
  <c r="C7106" i="2"/>
  <c r="B7106" i="2"/>
  <c r="A7106" i="2"/>
  <c r="U7105" i="2"/>
  <c r="N7105" i="2"/>
  <c r="M7105" i="2"/>
  <c r="J7105" i="2"/>
  <c r="I7105" i="2"/>
  <c r="H7105" i="2"/>
  <c r="G7105" i="2"/>
  <c r="F7105" i="2"/>
  <c r="E7105" i="2"/>
  <c r="D7105" i="2"/>
  <c r="C7105" i="2"/>
  <c r="B7105" i="2"/>
  <c r="A7105" i="2"/>
  <c r="U7104" i="2"/>
  <c r="N7104" i="2"/>
  <c r="M7104" i="2"/>
  <c r="J7104" i="2"/>
  <c r="I7104" i="2"/>
  <c r="H7104" i="2"/>
  <c r="G7104" i="2"/>
  <c r="F7104" i="2"/>
  <c r="E7104" i="2"/>
  <c r="D7104" i="2"/>
  <c r="C7104" i="2"/>
  <c r="B7104" i="2"/>
  <c r="A7104" i="2"/>
  <c r="U7103" i="2"/>
  <c r="N7103" i="2"/>
  <c r="M7103" i="2"/>
  <c r="J7103" i="2"/>
  <c r="I7103" i="2"/>
  <c r="H7103" i="2"/>
  <c r="G7103" i="2"/>
  <c r="F7103" i="2"/>
  <c r="E7103" i="2"/>
  <c r="D7103" i="2"/>
  <c r="C7103" i="2"/>
  <c r="B7103" i="2"/>
  <c r="A7103" i="2"/>
  <c r="Q7102" i="2"/>
  <c r="U7102" i="2" s="1"/>
  <c r="N7102" i="2"/>
  <c r="M7102" i="2"/>
  <c r="J7102" i="2"/>
  <c r="I7102" i="2"/>
  <c r="H7102" i="2"/>
  <c r="G7102" i="2"/>
  <c r="F7102" i="2"/>
  <c r="E7102" i="2"/>
  <c r="D7102" i="2"/>
  <c r="C7102" i="2"/>
  <c r="B7102" i="2"/>
  <c r="A7102" i="2"/>
  <c r="U7101" i="2"/>
  <c r="N7101" i="2"/>
  <c r="M7101" i="2"/>
  <c r="J7101" i="2"/>
  <c r="I7101" i="2"/>
  <c r="H7101" i="2"/>
  <c r="G7101" i="2"/>
  <c r="F7101" i="2"/>
  <c r="E7101" i="2"/>
  <c r="D7101" i="2"/>
  <c r="C7101" i="2"/>
  <c r="B7101" i="2"/>
  <c r="A7101" i="2"/>
  <c r="U7100" i="2"/>
  <c r="N7100" i="2"/>
  <c r="M7100" i="2"/>
  <c r="J7100" i="2"/>
  <c r="I7100" i="2"/>
  <c r="H7100" i="2"/>
  <c r="G7100" i="2"/>
  <c r="F7100" i="2"/>
  <c r="E7100" i="2"/>
  <c r="D7100" i="2"/>
  <c r="C7100" i="2"/>
  <c r="B7100" i="2"/>
  <c r="A7100" i="2"/>
  <c r="U7099" i="2"/>
  <c r="N7099" i="2"/>
  <c r="M7099" i="2"/>
  <c r="J7099" i="2"/>
  <c r="I7099" i="2"/>
  <c r="H7099" i="2"/>
  <c r="G7099" i="2"/>
  <c r="F7099" i="2"/>
  <c r="E7099" i="2"/>
  <c r="D7099" i="2"/>
  <c r="C7099" i="2"/>
  <c r="B7099" i="2"/>
  <c r="A7099" i="2"/>
  <c r="U7098" i="2"/>
  <c r="N7098" i="2"/>
  <c r="M7098" i="2"/>
  <c r="J7098" i="2"/>
  <c r="I7098" i="2"/>
  <c r="H7098" i="2"/>
  <c r="G7098" i="2"/>
  <c r="F7098" i="2"/>
  <c r="E7098" i="2"/>
  <c r="D7098" i="2"/>
  <c r="C7098" i="2"/>
  <c r="B7098" i="2"/>
  <c r="A7098" i="2"/>
  <c r="U7097" i="2"/>
  <c r="N7097" i="2"/>
  <c r="M7097" i="2"/>
  <c r="J7097" i="2"/>
  <c r="I7097" i="2"/>
  <c r="H7097" i="2"/>
  <c r="G7097" i="2"/>
  <c r="F7097" i="2"/>
  <c r="E7097" i="2"/>
  <c r="D7097" i="2"/>
  <c r="C7097" i="2"/>
  <c r="B7097" i="2"/>
  <c r="A7097" i="2"/>
  <c r="Q7096" i="2"/>
  <c r="U7096" i="2" s="1"/>
  <c r="N7096" i="2"/>
  <c r="M7096" i="2"/>
  <c r="J7096" i="2"/>
  <c r="I7096" i="2"/>
  <c r="H7096" i="2"/>
  <c r="G7096" i="2"/>
  <c r="F7096" i="2"/>
  <c r="E7096" i="2"/>
  <c r="D7096" i="2"/>
  <c r="C7096" i="2"/>
  <c r="B7096" i="2"/>
  <c r="A7096" i="2"/>
  <c r="U7095" i="2"/>
  <c r="N7095" i="2"/>
  <c r="M7095" i="2"/>
  <c r="J7095" i="2"/>
  <c r="I7095" i="2"/>
  <c r="H7095" i="2"/>
  <c r="G7095" i="2"/>
  <c r="F7095" i="2"/>
  <c r="E7095" i="2"/>
  <c r="D7095" i="2"/>
  <c r="C7095" i="2"/>
  <c r="B7095" i="2"/>
  <c r="A7095" i="2"/>
  <c r="U7094" i="2"/>
  <c r="N7094" i="2"/>
  <c r="M7094" i="2"/>
  <c r="J7094" i="2"/>
  <c r="I7094" i="2"/>
  <c r="H7094" i="2"/>
  <c r="G7094" i="2"/>
  <c r="F7094" i="2"/>
  <c r="E7094" i="2"/>
  <c r="D7094" i="2"/>
  <c r="C7094" i="2"/>
  <c r="B7094" i="2"/>
  <c r="A7094" i="2"/>
  <c r="U7093" i="2"/>
  <c r="N7093" i="2"/>
  <c r="M7093" i="2"/>
  <c r="J7093" i="2"/>
  <c r="I7093" i="2"/>
  <c r="H7093" i="2"/>
  <c r="G7093" i="2"/>
  <c r="F7093" i="2"/>
  <c r="E7093" i="2"/>
  <c r="D7093" i="2"/>
  <c r="C7093" i="2"/>
  <c r="B7093" i="2"/>
  <c r="A7093" i="2"/>
  <c r="U7092" i="2"/>
  <c r="N7092" i="2"/>
  <c r="M7092" i="2"/>
  <c r="J7092" i="2"/>
  <c r="I7092" i="2"/>
  <c r="H7092" i="2"/>
  <c r="G7092" i="2"/>
  <c r="F7092" i="2"/>
  <c r="E7092" i="2"/>
  <c r="D7092" i="2"/>
  <c r="C7092" i="2"/>
  <c r="B7092" i="2"/>
  <c r="A7092" i="2"/>
  <c r="U7091" i="2"/>
  <c r="N7091" i="2"/>
  <c r="M7091" i="2"/>
  <c r="J7091" i="2"/>
  <c r="I7091" i="2"/>
  <c r="H7091" i="2"/>
  <c r="G7091" i="2"/>
  <c r="F7091" i="2"/>
  <c r="E7091" i="2"/>
  <c r="D7091" i="2"/>
  <c r="C7091" i="2"/>
  <c r="B7091" i="2"/>
  <c r="A7091" i="2"/>
  <c r="Q7090" i="2"/>
  <c r="U7090" i="2" s="1"/>
  <c r="N7090" i="2"/>
  <c r="M7090" i="2"/>
  <c r="J7090" i="2"/>
  <c r="I7090" i="2"/>
  <c r="H7090" i="2"/>
  <c r="G7090" i="2"/>
  <c r="F7090" i="2"/>
  <c r="E7090" i="2"/>
  <c r="D7090" i="2"/>
  <c r="C7090" i="2"/>
  <c r="B7090" i="2"/>
  <c r="A7090" i="2"/>
  <c r="U7089" i="2"/>
  <c r="N7089" i="2"/>
  <c r="M7089" i="2"/>
  <c r="J7089" i="2"/>
  <c r="I7089" i="2"/>
  <c r="H7089" i="2"/>
  <c r="G7089" i="2"/>
  <c r="F7089" i="2"/>
  <c r="E7089" i="2"/>
  <c r="D7089" i="2"/>
  <c r="C7089" i="2"/>
  <c r="B7089" i="2"/>
  <c r="A7089" i="2"/>
  <c r="U7088" i="2"/>
  <c r="N7088" i="2"/>
  <c r="M7088" i="2"/>
  <c r="J7088" i="2"/>
  <c r="I7088" i="2"/>
  <c r="H7088" i="2"/>
  <c r="G7088" i="2"/>
  <c r="F7088" i="2"/>
  <c r="E7088" i="2"/>
  <c r="D7088" i="2"/>
  <c r="C7088" i="2"/>
  <c r="B7088" i="2"/>
  <c r="A7088" i="2"/>
  <c r="U7087" i="2"/>
  <c r="N7087" i="2"/>
  <c r="M7087" i="2"/>
  <c r="J7087" i="2"/>
  <c r="I7087" i="2"/>
  <c r="H7087" i="2"/>
  <c r="G7087" i="2"/>
  <c r="F7087" i="2"/>
  <c r="E7087" i="2"/>
  <c r="D7087" i="2"/>
  <c r="C7087" i="2"/>
  <c r="B7087" i="2"/>
  <c r="A7087" i="2"/>
  <c r="U7086" i="2"/>
  <c r="N7086" i="2"/>
  <c r="M7086" i="2"/>
  <c r="J7086" i="2"/>
  <c r="I7086" i="2"/>
  <c r="H7086" i="2"/>
  <c r="G7086" i="2"/>
  <c r="F7086" i="2"/>
  <c r="E7086" i="2"/>
  <c r="D7086" i="2"/>
  <c r="C7086" i="2"/>
  <c r="B7086" i="2"/>
  <c r="A7086" i="2"/>
  <c r="Q7085" i="2"/>
  <c r="U7085" i="2" s="1"/>
  <c r="N7085" i="2"/>
  <c r="M7085" i="2"/>
  <c r="J7085" i="2"/>
  <c r="I7085" i="2"/>
  <c r="H7085" i="2"/>
  <c r="G7085" i="2"/>
  <c r="F7085" i="2"/>
  <c r="E7085" i="2"/>
  <c r="D7085" i="2"/>
  <c r="C7085" i="2"/>
  <c r="B7085" i="2"/>
  <c r="A7085" i="2"/>
  <c r="U7084" i="2"/>
  <c r="N7084" i="2"/>
  <c r="M7084" i="2"/>
  <c r="J7084" i="2"/>
  <c r="I7084" i="2"/>
  <c r="H7084" i="2"/>
  <c r="G7084" i="2"/>
  <c r="F7084" i="2"/>
  <c r="E7084" i="2"/>
  <c r="D7084" i="2"/>
  <c r="C7084" i="2"/>
  <c r="B7084" i="2"/>
  <c r="A7084" i="2"/>
  <c r="U7083" i="2"/>
  <c r="N7083" i="2"/>
  <c r="M7083" i="2"/>
  <c r="J7083" i="2"/>
  <c r="I7083" i="2"/>
  <c r="H7083" i="2"/>
  <c r="G7083" i="2"/>
  <c r="F7083" i="2"/>
  <c r="E7083" i="2"/>
  <c r="D7083" i="2"/>
  <c r="C7083" i="2"/>
  <c r="B7083" i="2"/>
  <c r="A7083" i="2"/>
  <c r="U7082" i="2"/>
  <c r="N7082" i="2"/>
  <c r="M7082" i="2"/>
  <c r="J7082" i="2"/>
  <c r="I7082" i="2"/>
  <c r="H7082" i="2"/>
  <c r="G7082" i="2"/>
  <c r="F7082" i="2"/>
  <c r="E7082" i="2"/>
  <c r="D7082" i="2"/>
  <c r="C7082" i="2"/>
  <c r="B7082" i="2"/>
  <c r="A7082" i="2"/>
  <c r="U7081" i="2"/>
  <c r="N7081" i="2"/>
  <c r="M7081" i="2"/>
  <c r="J7081" i="2"/>
  <c r="I7081" i="2"/>
  <c r="H7081" i="2"/>
  <c r="G7081" i="2"/>
  <c r="F7081" i="2"/>
  <c r="E7081" i="2"/>
  <c r="D7081" i="2"/>
  <c r="C7081" i="2"/>
  <c r="B7081" i="2"/>
  <c r="A7081" i="2"/>
  <c r="U7080" i="2"/>
  <c r="N7080" i="2"/>
  <c r="M7080" i="2"/>
  <c r="J7080" i="2"/>
  <c r="I7080" i="2"/>
  <c r="H7080" i="2"/>
  <c r="G7080" i="2"/>
  <c r="F7080" i="2"/>
  <c r="E7080" i="2"/>
  <c r="D7080" i="2"/>
  <c r="C7080" i="2"/>
  <c r="B7080" i="2"/>
  <c r="A7080" i="2"/>
  <c r="U7079" i="2"/>
  <c r="N7079" i="2"/>
  <c r="M7079" i="2"/>
  <c r="J7079" i="2"/>
  <c r="I7079" i="2"/>
  <c r="H7079" i="2"/>
  <c r="G7079" i="2"/>
  <c r="F7079" i="2"/>
  <c r="E7079" i="2"/>
  <c r="D7079" i="2"/>
  <c r="C7079" i="2"/>
  <c r="B7079" i="2"/>
  <c r="A7079" i="2"/>
  <c r="U7078" i="2"/>
  <c r="N7078" i="2"/>
  <c r="M7078" i="2"/>
  <c r="J7078" i="2"/>
  <c r="I7078" i="2"/>
  <c r="H7078" i="2"/>
  <c r="G7078" i="2"/>
  <c r="F7078" i="2"/>
  <c r="E7078" i="2"/>
  <c r="D7078" i="2"/>
  <c r="C7078" i="2"/>
  <c r="B7078" i="2"/>
  <c r="A7078" i="2"/>
  <c r="U7077" i="2"/>
  <c r="N7077" i="2"/>
  <c r="M7077" i="2"/>
  <c r="J7077" i="2"/>
  <c r="I7077" i="2"/>
  <c r="H7077" i="2"/>
  <c r="G7077" i="2"/>
  <c r="F7077" i="2"/>
  <c r="E7077" i="2"/>
  <c r="D7077" i="2"/>
  <c r="C7077" i="2"/>
  <c r="B7077" i="2"/>
  <c r="A7077" i="2"/>
  <c r="U7076" i="2"/>
  <c r="N7076" i="2"/>
  <c r="M7076" i="2"/>
  <c r="J7076" i="2"/>
  <c r="I7076" i="2"/>
  <c r="H7076" i="2"/>
  <c r="G7076" i="2"/>
  <c r="F7076" i="2"/>
  <c r="E7076" i="2"/>
  <c r="D7076" i="2"/>
  <c r="C7076" i="2"/>
  <c r="B7076" i="2"/>
  <c r="A7076" i="2"/>
  <c r="U7075" i="2"/>
  <c r="N7075" i="2"/>
  <c r="M7075" i="2"/>
  <c r="J7075" i="2"/>
  <c r="I7075" i="2"/>
  <c r="H7075" i="2"/>
  <c r="G7075" i="2"/>
  <c r="F7075" i="2"/>
  <c r="E7075" i="2"/>
  <c r="D7075" i="2"/>
  <c r="C7075" i="2"/>
  <c r="B7075" i="2"/>
  <c r="A7075" i="2"/>
  <c r="U7074" i="2"/>
  <c r="N7074" i="2"/>
  <c r="M7074" i="2"/>
  <c r="J7074" i="2"/>
  <c r="I7074" i="2"/>
  <c r="H7074" i="2"/>
  <c r="G7074" i="2"/>
  <c r="F7074" i="2"/>
  <c r="E7074" i="2"/>
  <c r="D7074" i="2"/>
  <c r="C7074" i="2"/>
  <c r="B7074" i="2"/>
  <c r="A7074" i="2"/>
  <c r="Q7073" i="2"/>
  <c r="U7073" i="2" s="1"/>
  <c r="N7073" i="2"/>
  <c r="M7073" i="2"/>
  <c r="J7073" i="2"/>
  <c r="I7073" i="2"/>
  <c r="H7073" i="2"/>
  <c r="G7073" i="2"/>
  <c r="F7073" i="2"/>
  <c r="E7073" i="2"/>
  <c r="D7073" i="2"/>
  <c r="C7073" i="2"/>
  <c r="B7073" i="2"/>
  <c r="A7073" i="2"/>
  <c r="U7072" i="2"/>
  <c r="N7072" i="2"/>
  <c r="M7072" i="2"/>
  <c r="J7072" i="2"/>
  <c r="I7072" i="2"/>
  <c r="H7072" i="2"/>
  <c r="G7072" i="2"/>
  <c r="F7072" i="2"/>
  <c r="E7072" i="2"/>
  <c r="D7072" i="2"/>
  <c r="C7072" i="2"/>
  <c r="B7072" i="2"/>
  <c r="A7072" i="2"/>
  <c r="U7071" i="2"/>
  <c r="N7071" i="2"/>
  <c r="M7071" i="2"/>
  <c r="J7071" i="2"/>
  <c r="I7071" i="2"/>
  <c r="H7071" i="2"/>
  <c r="G7071" i="2"/>
  <c r="F7071" i="2"/>
  <c r="E7071" i="2"/>
  <c r="D7071" i="2"/>
  <c r="C7071" i="2"/>
  <c r="B7071" i="2"/>
  <c r="A7071" i="2"/>
  <c r="U7070" i="2"/>
  <c r="N7070" i="2"/>
  <c r="M7070" i="2"/>
  <c r="J7070" i="2"/>
  <c r="I7070" i="2"/>
  <c r="H7070" i="2"/>
  <c r="G7070" i="2"/>
  <c r="F7070" i="2"/>
  <c r="E7070" i="2"/>
  <c r="D7070" i="2"/>
  <c r="C7070" i="2"/>
  <c r="B7070" i="2"/>
  <c r="A7070" i="2"/>
  <c r="Q7069" i="2"/>
  <c r="U7069" i="2" s="1"/>
  <c r="N7069" i="2"/>
  <c r="M7069" i="2"/>
  <c r="J7069" i="2"/>
  <c r="I7069" i="2"/>
  <c r="H7069" i="2"/>
  <c r="G7069" i="2"/>
  <c r="F7069" i="2"/>
  <c r="E7069" i="2"/>
  <c r="D7069" i="2"/>
  <c r="C7069" i="2"/>
  <c r="B7069" i="2"/>
  <c r="A7069" i="2"/>
  <c r="U7068" i="2"/>
  <c r="N7068" i="2"/>
  <c r="M7068" i="2"/>
  <c r="J7068" i="2"/>
  <c r="I7068" i="2"/>
  <c r="H7068" i="2"/>
  <c r="G7068" i="2"/>
  <c r="F7068" i="2"/>
  <c r="E7068" i="2"/>
  <c r="D7068" i="2"/>
  <c r="C7068" i="2"/>
  <c r="B7068" i="2"/>
  <c r="A7068" i="2"/>
  <c r="U7067" i="2"/>
  <c r="N7067" i="2"/>
  <c r="M7067" i="2"/>
  <c r="J7067" i="2"/>
  <c r="I7067" i="2"/>
  <c r="H7067" i="2"/>
  <c r="G7067" i="2"/>
  <c r="F7067" i="2"/>
  <c r="E7067" i="2"/>
  <c r="D7067" i="2"/>
  <c r="C7067" i="2"/>
  <c r="B7067" i="2"/>
  <c r="A7067" i="2"/>
  <c r="Q7066" i="2"/>
  <c r="U7066" i="2" s="1"/>
  <c r="N7066" i="2"/>
  <c r="M7066" i="2"/>
  <c r="J7066" i="2"/>
  <c r="I7066" i="2"/>
  <c r="H7066" i="2"/>
  <c r="G7066" i="2"/>
  <c r="F7066" i="2"/>
  <c r="E7066" i="2"/>
  <c r="D7066" i="2"/>
  <c r="C7066" i="2"/>
  <c r="B7066" i="2"/>
  <c r="A7066" i="2"/>
  <c r="U7065" i="2"/>
  <c r="N7065" i="2"/>
  <c r="M7065" i="2"/>
  <c r="J7065" i="2"/>
  <c r="I7065" i="2"/>
  <c r="H7065" i="2"/>
  <c r="G7065" i="2"/>
  <c r="F7065" i="2"/>
  <c r="E7065" i="2"/>
  <c r="D7065" i="2"/>
  <c r="C7065" i="2"/>
  <c r="B7065" i="2"/>
  <c r="A7065" i="2"/>
  <c r="U7064" i="2"/>
  <c r="N7064" i="2"/>
  <c r="M7064" i="2"/>
  <c r="J7064" i="2"/>
  <c r="I7064" i="2"/>
  <c r="H7064" i="2"/>
  <c r="G7064" i="2"/>
  <c r="F7064" i="2"/>
  <c r="E7064" i="2"/>
  <c r="D7064" i="2"/>
  <c r="C7064" i="2"/>
  <c r="B7064" i="2"/>
  <c r="A7064" i="2"/>
  <c r="U7063" i="2"/>
  <c r="N7063" i="2"/>
  <c r="M7063" i="2"/>
  <c r="J7063" i="2"/>
  <c r="I7063" i="2"/>
  <c r="H7063" i="2"/>
  <c r="G7063" i="2"/>
  <c r="F7063" i="2"/>
  <c r="E7063" i="2"/>
  <c r="D7063" i="2"/>
  <c r="C7063" i="2"/>
  <c r="B7063" i="2"/>
  <c r="A7063" i="2"/>
  <c r="U7062" i="2"/>
  <c r="N7062" i="2"/>
  <c r="M7062" i="2"/>
  <c r="J7062" i="2"/>
  <c r="I7062" i="2"/>
  <c r="H7062" i="2"/>
  <c r="G7062" i="2"/>
  <c r="F7062" i="2"/>
  <c r="E7062" i="2"/>
  <c r="D7062" i="2"/>
  <c r="C7062" i="2"/>
  <c r="B7062" i="2"/>
  <c r="A7062" i="2"/>
  <c r="U7061" i="2"/>
  <c r="N7061" i="2"/>
  <c r="M7061" i="2"/>
  <c r="J7061" i="2"/>
  <c r="I7061" i="2"/>
  <c r="H7061" i="2"/>
  <c r="G7061" i="2"/>
  <c r="F7061" i="2"/>
  <c r="E7061" i="2"/>
  <c r="D7061" i="2"/>
  <c r="C7061" i="2"/>
  <c r="B7061" i="2"/>
  <c r="A7061" i="2"/>
  <c r="U7060" i="2"/>
  <c r="N7060" i="2"/>
  <c r="M7060" i="2"/>
  <c r="J7060" i="2"/>
  <c r="I7060" i="2"/>
  <c r="H7060" i="2"/>
  <c r="G7060" i="2"/>
  <c r="F7060" i="2"/>
  <c r="E7060" i="2"/>
  <c r="D7060" i="2"/>
  <c r="C7060" i="2"/>
  <c r="B7060" i="2"/>
  <c r="A7060" i="2"/>
  <c r="U7059" i="2"/>
  <c r="N7059" i="2"/>
  <c r="M7059" i="2"/>
  <c r="J7059" i="2"/>
  <c r="I7059" i="2"/>
  <c r="H7059" i="2"/>
  <c r="G7059" i="2"/>
  <c r="F7059" i="2"/>
  <c r="E7059" i="2"/>
  <c r="D7059" i="2"/>
  <c r="C7059" i="2"/>
  <c r="B7059" i="2"/>
  <c r="A7059" i="2"/>
  <c r="U7058" i="2"/>
  <c r="N7058" i="2"/>
  <c r="M7058" i="2"/>
  <c r="J7058" i="2"/>
  <c r="I7058" i="2"/>
  <c r="H7058" i="2"/>
  <c r="G7058" i="2"/>
  <c r="F7058" i="2"/>
  <c r="E7058" i="2"/>
  <c r="D7058" i="2"/>
  <c r="C7058" i="2"/>
  <c r="B7058" i="2"/>
  <c r="A7058" i="2"/>
  <c r="U7057" i="2"/>
  <c r="N7057" i="2"/>
  <c r="M7057" i="2"/>
  <c r="J7057" i="2"/>
  <c r="I7057" i="2"/>
  <c r="H7057" i="2"/>
  <c r="G7057" i="2"/>
  <c r="F7057" i="2"/>
  <c r="E7057" i="2"/>
  <c r="D7057" i="2"/>
  <c r="C7057" i="2"/>
  <c r="B7057" i="2"/>
  <c r="A7057" i="2"/>
  <c r="U7056" i="2"/>
  <c r="N7056" i="2"/>
  <c r="M7056" i="2"/>
  <c r="J7056" i="2"/>
  <c r="I7056" i="2"/>
  <c r="H7056" i="2"/>
  <c r="G7056" i="2"/>
  <c r="F7056" i="2"/>
  <c r="E7056" i="2"/>
  <c r="D7056" i="2"/>
  <c r="C7056" i="2"/>
  <c r="B7056" i="2"/>
  <c r="A7056" i="2"/>
  <c r="U7055" i="2"/>
  <c r="N7055" i="2"/>
  <c r="M7055" i="2"/>
  <c r="J7055" i="2"/>
  <c r="I7055" i="2"/>
  <c r="H7055" i="2"/>
  <c r="G7055" i="2"/>
  <c r="F7055" i="2"/>
  <c r="E7055" i="2"/>
  <c r="D7055" i="2"/>
  <c r="C7055" i="2"/>
  <c r="B7055" i="2"/>
  <c r="A7055" i="2"/>
  <c r="U7054" i="2"/>
  <c r="N7054" i="2"/>
  <c r="M7054" i="2"/>
  <c r="J7054" i="2"/>
  <c r="I7054" i="2"/>
  <c r="H7054" i="2"/>
  <c r="G7054" i="2"/>
  <c r="F7054" i="2"/>
  <c r="E7054" i="2"/>
  <c r="D7054" i="2"/>
  <c r="C7054" i="2"/>
  <c r="B7054" i="2"/>
  <c r="A7054" i="2"/>
  <c r="U7053" i="2"/>
  <c r="N7053" i="2"/>
  <c r="M7053" i="2"/>
  <c r="J7053" i="2"/>
  <c r="I7053" i="2"/>
  <c r="H7053" i="2"/>
  <c r="G7053" i="2"/>
  <c r="F7053" i="2"/>
  <c r="E7053" i="2"/>
  <c r="D7053" i="2"/>
  <c r="C7053" i="2"/>
  <c r="B7053" i="2"/>
  <c r="A7053" i="2"/>
  <c r="U7052" i="2"/>
  <c r="N7052" i="2"/>
  <c r="M7052" i="2"/>
  <c r="J7052" i="2"/>
  <c r="I7052" i="2"/>
  <c r="H7052" i="2"/>
  <c r="G7052" i="2"/>
  <c r="F7052" i="2"/>
  <c r="E7052" i="2"/>
  <c r="D7052" i="2"/>
  <c r="C7052" i="2"/>
  <c r="B7052" i="2"/>
  <c r="A7052" i="2"/>
  <c r="U7051" i="2"/>
  <c r="N7051" i="2"/>
  <c r="M7051" i="2"/>
  <c r="J7051" i="2"/>
  <c r="I7051" i="2"/>
  <c r="H7051" i="2"/>
  <c r="G7051" i="2"/>
  <c r="F7051" i="2"/>
  <c r="E7051" i="2"/>
  <c r="D7051" i="2"/>
  <c r="C7051" i="2"/>
  <c r="B7051" i="2"/>
  <c r="A7051" i="2"/>
  <c r="U7050" i="2"/>
  <c r="N7050" i="2"/>
  <c r="M7050" i="2"/>
  <c r="J7050" i="2"/>
  <c r="I7050" i="2"/>
  <c r="H7050" i="2"/>
  <c r="G7050" i="2"/>
  <c r="F7050" i="2"/>
  <c r="E7050" i="2"/>
  <c r="D7050" i="2"/>
  <c r="C7050" i="2"/>
  <c r="B7050" i="2"/>
  <c r="A7050" i="2"/>
  <c r="U7049" i="2"/>
  <c r="N7049" i="2"/>
  <c r="M7049" i="2"/>
  <c r="J7049" i="2"/>
  <c r="I7049" i="2"/>
  <c r="H7049" i="2"/>
  <c r="G7049" i="2"/>
  <c r="F7049" i="2"/>
  <c r="E7049" i="2"/>
  <c r="D7049" i="2"/>
  <c r="C7049" i="2"/>
  <c r="B7049" i="2"/>
  <c r="A7049" i="2"/>
  <c r="U7048" i="2"/>
  <c r="N7048" i="2"/>
  <c r="M7048" i="2"/>
  <c r="J7048" i="2"/>
  <c r="I7048" i="2"/>
  <c r="H7048" i="2"/>
  <c r="G7048" i="2"/>
  <c r="F7048" i="2"/>
  <c r="E7048" i="2"/>
  <c r="D7048" i="2"/>
  <c r="C7048" i="2"/>
  <c r="B7048" i="2"/>
  <c r="A7048" i="2"/>
  <c r="U7047" i="2"/>
  <c r="N7047" i="2"/>
  <c r="M7047" i="2"/>
  <c r="J7047" i="2"/>
  <c r="I7047" i="2"/>
  <c r="H7047" i="2"/>
  <c r="G7047" i="2"/>
  <c r="F7047" i="2"/>
  <c r="E7047" i="2"/>
  <c r="D7047" i="2"/>
  <c r="C7047" i="2"/>
  <c r="B7047" i="2"/>
  <c r="A7047" i="2"/>
  <c r="U7046" i="2"/>
  <c r="N7046" i="2"/>
  <c r="M7046" i="2"/>
  <c r="J7046" i="2"/>
  <c r="I7046" i="2"/>
  <c r="H7046" i="2"/>
  <c r="G7046" i="2"/>
  <c r="F7046" i="2"/>
  <c r="E7046" i="2"/>
  <c r="D7046" i="2"/>
  <c r="C7046" i="2"/>
  <c r="B7046" i="2"/>
  <c r="A7046" i="2"/>
  <c r="U7045" i="2"/>
  <c r="N7045" i="2"/>
  <c r="M7045" i="2"/>
  <c r="J7045" i="2"/>
  <c r="I7045" i="2"/>
  <c r="H7045" i="2"/>
  <c r="G7045" i="2"/>
  <c r="F7045" i="2"/>
  <c r="E7045" i="2"/>
  <c r="D7045" i="2"/>
  <c r="C7045" i="2"/>
  <c r="B7045" i="2"/>
  <c r="A7045" i="2"/>
  <c r="U7044" i="2"/>
  <c r="N7044" i="2"/>
  <c r="M7044" i="2"/>
  <c r="J7044" i="2"/>
  <c r="I7044" i="2"/>
  <c r="H7044" i="2"/>
  <c r="G7044" i="2"/>
  <c r="F7044" i="2"/>
  <c r="E7044" i="2"/>
  <c r="D7044" i="2"/>
  <c r="C7044" i="2"/>
  <c r="B7044" i="2"/>
  <c r="A7044" i="2"/>
  <c r="U7043" i="2"/>
  <c r="N7043" i="2"/>
  <c r="M7043" i="2"/>
  <c r="J7043" i="2"/>
  <c r="I7043" i="2"/>
  <c r="H7043" i="2"/>
  <c r="G7043" i="2"/>
  <c r="F7043" i="2"/>
  <c r="E7043" i="2"/>
  <c r="D7043" i="2"/>
  <c r="C7043" i="2"/>
  <c r="B7043" i="2"/>
  <c r="A7043" i="2"/>
  <c r="U7042" i="2"/>
  <c r="N7042" i="2"/>
  <c r="M7042" i="2"/>
  <c r="J7042" i="2"/>
  <c r="I7042" i="2"/>
  <c r="H7042" i="2"/>
  <c r="G7042" i="2"/>
  <c r="F7042" i="2"/>
  <c r="E7042" i="2"/>
  <c r="D7042" i="2"/>
  <c r="C7042" i="2"/>
  <c r="B7042" i="2"/>
  <c r="A7042" i="2"/>
  <c r="U7041" i="2"/>
  <c r="N7041" i="2"/>
  <c r="M7041" i="2"/>
  <c r="J7041" i="2"/>
  <c r="I7041" i="2"/>
  <c r="H7041" i="2"/>
  <c r="G7041" i="2"/>
  <c r="F7041" i="2"/>
  <c r="E7041" i="2"/>
  <c r="D7041" i="2"/>
  <c r="C7041" i="2"/>
  <c r="B7041" i="2"/>
  <c r="A7041" i="2"/>
  <c r="U7040" i="2"/>
  <c r="N7040" i="2"/>
  <c r="M7040" i="2"/>
  <c r="J7040" i="2"/>
  <c r="I7040" i="2"/>
  <c r="H7040" i="2"/>
  <c r="G7040" i="2"/>
  <c r="F7040" i="2"/>
  <c r="E7040" i="2"/>
  <c r="D7040" i="2"/>
  <c r="C7040" i="2"/>
  <c r="B7040" i="2"/>
  <c r="A7040" i="2"/>
  <c r="U7039" i="2"/>
  <c r="N7039" i="2"/>
  <c r="M7039" i="2"/>
  <c r="J7039" i="2"/>
  <c r="I7039" i="2"/>
  <c r="H7039" i="2"/>
  <c r="G7039" i="2"/>
  <c r="F7039" i="2"/>
  <c r="E7039" i="2"/>
  <c r="D7039" i="2"/>
  <c r="C7039" i="2"/>
  <c r="B7039" i="2"/>
  <c r="A7039" i="2"/>
  <c r="U7038" i="2"/>
  <c r="N7038" i="2"/>
  <c r="M7038" i="2"/>
  <c r="J7038" i="2"/>
  <c r="I7038" i="2"/>
  <c r="H7038" i="2"/>
  <c r="G7038" i="2"/>
  <c r="F7038" i="2"/>
  <c r="E7038" i="2"/>
  <c r="D7038" i="2"/>
  <c r="C7038" i="2"/>
  <c r="B7038" i="2"/>
  <c r="A7038" i="2"/>
  <c r="U7037" i="2"/>
  <c r="N7037" i="2"/>
  <c r="M7037" i="2"/>
  <c r="J7037" i="2"/>
  <c r="I7037" i="2"/>
  <c r="H7037" i="2"/>
  <c r="G7037" i="2"/>
  <c r="F7037" i="2"/>
  <c r="E7037" i="2"/>
  <c r="D7037" i="2"/>
  <c r="C7037" i="2"/>
  <c r="B7037" i="2"/>
  <c r="A7037" i="2"/>
  <c r="U7036" i="2"/>
  <c r="N7036" i="2"/>
  <c r="M7036" i="2"/>
  <c r="J7036" i="2"/>
  <c r="I7036" i="2"/>
  <c r="H7036" i="2"/>
  <c r="G7036" i="2"/>
  <c r="F7036" i="2"/>
  <c r="E7036" i="2"/>
  <c r="D7036" i="2"/>
  <c r="C7036" i="2"/>
  <c r="B7036" i="2"/>
  <c r="A7036" i="2"/>
  <c r="U7035" i="2"/>
  <c r="N7035" i="2"/>
  <c r="M7035" i="2"/>
  <c r="J7035" i="2"/>
  <c r="I7035" i="2"/>
  <c r="H7035" i="2"/>
  <c r="G7035" i="2"/>
  <c r="F7035" i="2"/>
  <c r="E7035" i="2"/>
  <c r="D7035" i="2"/>
  <c r="C7035" i="2"/>
  <c r="B7035" i="2"/>
  <c r="A7035" i="2"/>
  <c r="U7034" i="2"/>
  <c r="N7034" i="2"/>
  <c r="M7034" i="2"/>
  <c r="J7034" i="2"/>
  <c r="I7034" i="2"/>
  <c r="H7034" i="2"/>
  <c r="G7034" i="2"/>
  <c r="F7034" i="2"/>
  <c r="E7034" i="2"/>
  <c r="D7034" i="2"/>
  <c r="C7034" i="2"/>
  <c r="B7034" i="2"/>
  <c r="A7034" i="2"/>
  <c r="U7033" i="2"/>
  <c r="N7033" i="2"/>
  <c r="M7033" i="2"/>
  <c r="J7033" i="2"/>
  <c r="I7033" i="2"/>
  <c r="H7033" i="2"/>
  <c r="G7033" i="2"/>
  <c r="F7033" i="2"/>
  <c r="E7033" i="2"/>
  <c r="D7033" i="2"/>
  <c r="C7033" i="2"/>
  <c r="B7033" i="2"/>
  <c r="A7033" i="2"/>
  <c r="U7032" i="2"/>
  <c r="N7032" i="2"/>
  <c r="M7032" i="2"/>
  <c r="J7032" i="2"/>
  <c r="I7032" i="2"/>
  <c r="H7032" i="2"/>
  <c r="G7032" i="2"/>
  <c r="F7032" i="2"/>
  <c r="E7032" i="2"/>
  <c r="D7032" i="2"/>
  <c r="C7032" i="2"/>
  <c r="B7032" i="2"/>
  <c r="A7032" i="2"/>
  <c r="U7031" i="2"/>
  <c r="N7031" i="2"/>
  <c r="M7031" i="2"/>
  <c r="J7031" i="2"/>
  <c r="I7031" i="2"/>
  <c r="H7031" i="2"/>
  <c r="G7031" i="2"/>
  <c r="F7031" i="2"/>
  <c r="E7031" i="2"/>
  <c r="D7031" i="2"/>
  <c r="C7031" i="2"/>
  <c r="B7031" i="2"/>
  <c r="A7031" i="2"/>
  <c r="U7030" i="2"/>
  <c r="N7030" i="2"/>
  <c r="M7030" i="2"/>
  <c r="J7030" i="2"/>
  <c r="I7030" i="2"/>
  <c r="H7030" i="2"/>
  <c r="G7030" i="2"/>
  <c r="F7030" i="2"/>
  <c r="E7030" i="2"/>
  <c r="D7030" i="2"/>
  <c r="C7030" i="2"/>
  <c r="B7030" i="2"/>
  <c r="A7030" i="2"/>
  <c r="U7029" i="2"/>
  <c r="N7029" i="2"/>
  <c r="M7029" i="2"/>
  <c r="J7029" i="2"/>
  <c r="I7029" i="2"/>
  <c r="H7029" i="2"/>
  <c r="G7029" i="2"/>
  <c r="F7029" i="2"/>
  <c r="E7029" i="2"/>
  <c r="D7029" i="2"/>
  <c r="C7029" i="2"/>
  <c r="B7029" i="2"/>
  <c r="A7029" i="2"/>
  <c r="U7028" i="2"/>
  <c r="N7028" i="2"/>
  <c r="M7028" i="2"/>
  <c r="J7028" i="2"/>
  <c r="I7028" i="2"/>
  <c r="H7028" i="2"/>
  <c r="G7028" i="2"/>
  <c r="F7028" i="2"/>
  <c r="E7028" i="2"/>
  <c r="D7028" i="2"/>
  <c r="C7028" i="2"/>
  <c r="B7028" i="2"/>
  <c r="A7028" i="2"/>
  <c r="U7027" i="2"/>
  <c r="N7027" i="2"/>
  <c r="M7027" i="2"/>
  <c r="J7027" i="2"/>
  <c r="I7027" i="2"/>
  <c r="H7027" i="2"/>
  <c r="G7027" i="2"/>
  <c r="F7027" i="2"/>
  <c r="E7027" i="2"/>
  <c r="D7027" i="2"/>
  <c r="C7027" i="2"/>
  <c r="B7027" i="2"/>
  <c r="A7027" i="2"/>
  <c r="Q7026" i="2"/>
  <c r="U7026" i="2" s="1"/>
  <c r="N7026" i="2"/>
  <c r="M7026" i="2"/>
  <c r="J7026" i="2"/>
  <c r="I7026" i="2"/>
  <c r="H7026" i="2"/>
  <c r="G7026" i="2"/>
  <c r="F7026" i="2"/>
  <c r="E7026" i="2"/>
  <c r="D7026" i="2"/>
  <c r="C7026" i="2"/>
  <c r="B7026" i="2"/>
  <c r="A7026" i="2"/>
  <c r="U7025" i="2"/>
  <c r="N7025" i="2"/>
  <c r="M7025" i="2"/>
  <c r="J7025" i="2"/>
  <c r="I7025" i="2"/>
  <c r="H7025" i="2"/>
  <c r="G7025" i="2"/>
  <c r="F7025" i="2"/>
  <c r="E7025" i="2"/>
  <c r="D7025" i="2"/>
  <c r="C7025" i="2"/>
  <c r="B7025" i="2"/>
  <c r="A7025" i="2"/>
  <c r="U7024" i="2"/>
  <c r="N7024" i="2"/>
  <c r="M7024" i="2"/>
  <c r="J7024" i="2"/>
  <c r="I7024" i="2"/>
  <c r="H7024" i="2"/>
  <c r="G7024" i="2"/>
  <c r="F7024" i="2"/>
  <c r="E7024" i="2"/>
  <c r="D7024" i="2"/>
  <c r="C7024" i="2"/>
  <c r="B7024" i="2"/>
  <c r="A7024" i="2"/>
  <c r="U7023" i="2"/>
  <c r="N7023" i="2"/>
  <c r="M7023" i="2"/>
  <c r="J7023" i="2"/>
  <c r="I7023" i="2"/>
  <c r="H7023" i="2"/>
  <c r="G7023" i="2"/>
  <c r="F7023" i="2"/>
  <c r="E7023" i="2"/>
  <c r="D7023" i="2"/>
  <c r="C7023" i="2"/>
  <c r="B7023" i="2"/>
  <c r="A7023" i="2"/>
  <c r="U7022" i="2"/>
  <c r="N7022" i="2"/>
  <c r="M7022" i="2"/>
  <c r="J7022" i="2"/>
  <c r="I7022" i="2"/>
  <c r="H7022" i="2"/>
  <c r="G7022" i="2"/>
  <c r="F7022" i="2"/>
  <c r="E7022" i="2"/>
  <c r="D7022" i="2"/>
  <c r="C7022" i="2"/>
  <c r="B7022" i="2"/>
  <c r="A7022" i="2"/>
  <c r="U7021" i="2"/>
  <c r="N7021" i="2"/>
  <c r="M7021" i="2"/>
  <c r="J7021" i="2"/>
  <c r="I7021" i="2"/>
  <c r="H7021" i="2"/>
  <c r="G7021" i="2"/>
  <c r="F7021" i="2"/>
  <c r="E7021" i="2"/>
  <c r="D7021" i="2"/>
  <c r="C7021" i="2"/>
  <c r="B7021" i="2"/>
  <c r="A7021" i="2"/>
  <c r="U7020" i="2"/>
  <c r="N7020" i="2"/>
  <c r="M7020" i="2"/>
  <c r="J7020" i="2"/>
  <c r="I7020" i="2"/>
  <c r="H7020" i="2"/>
  <c r="G7020" i="2"/>
  <c r="F7020" i="2"/>
  <c r="E7020" i="2"/>
  <c r="D7020" i="2"/>
  <c r="C7020" i="2"/>
  <c r="B7020" i="2"/>
  <c r="A7020" i="2"/>
  <c r="U7019" i="2"/>
  <c r="N7019" i="2"/>
  <c r="M7019" i="2"/>
  <c r="J7019" i="2"/>
  <c r="I7019" i="2"/>
  <c r="H7019" i="2"/>
  <c r="G7019" i="2"/>
  <c r="F7019" i="2"/>
  <c r="E7019" i="2"/>
  <c r="D7019" i="2"/>
  <c r="C7019" i="2"/>
  <c r="B7019" i="2"/>
  <c r="A7019" i="2"/>
  <c r="Q7018" i="2"/>
  <c r="U7018" i="2" s="1"/>
  <c r="N7018" i="2"/>
  <c r="M7018" i="2"/>
  <c r="J7018" i="2"/>
  <c r="I7018" i="2"/>
  <c r="H7018" i="2"/>
  <c r="G7018" i="2"/>
  <c r="F7018" i="2"/>
  <c r="E7018" i="2"/>
  <c r="D7018" i="2"/>
  <c r="C7018" i="2"/>
  <c r="B7018" i="2"/>
  <c r="A7018" i="2"/>
  <c r="U7017" i="2"/>
  <c r="N7017" i="2"/>
  <c r="M7017" i="2"/>
  <c r="J7017" i="2"/>
  <c r="I7017" i="2"/>
  <c r="H7017" i="2"/>
  <c r="G7017" i="2"/>
  <c r="F7017" i="2"/>
  <c r="E7017" i="2"/>
  <c r="D7017" i="2"/>
  <c r="C7017" i="2"/>
  <c r="B7017" i="2"/>
  <c r="A7017" i="2"/>
  <c r="U7016" i="2"/>
  <c r="N7016" i="2"/>
  <c r="M7016" i="2"/>
  <c r="J7016" i="2"/>
  <c r="I7016" i="2"/>
  <c r="H7016" i="2"/>
  <c r="G7016" i="2"/>
  <c r="F7016" i="2"/>
  <c r="E7016" i="2"/>
  <c r="D7016" i="2"/>
  <c r="C7016" i="2"/>
  <c r="B7016" i="2"/>
  <c r="A7016" i="2"/>
  <c r="U7015" i="2"/>
  <c r="N7015" i="2"/>
  <c r="M7015" i="2"/>
  <c r="J7015" i="2"/>
  <c r="I7015" i="2"/>
  <c r="H7015" i="2"/>
  <c r="G7015" i="2"/>
  <c r="F7015" i="2"/>
  <c r="E7015" i="2"/>
  <c r="D7015" i="2"/>
  <c r="C7015" i="2"/>
  <c r="B7015" i="2"/>
  <c r="A7015" i="2"/>
  <c r="Q7014" i="2"/>
  <c r="U7014" i="2" s="1"/>
  <c r="N7014" i="2"/>
  <c r="M7014" i="2"/>
  <c r="J7014" i="2"/>
  <c r="I7014" i="2"/>
  <c r="H7014" i="2"/>
  <c r="G7014" i="2"/>
  <c r="F7014" i="2"/>
  <c r="E7014" i="2"/>
  <c r="D7014" i="2"/>
  <c r="C7014" i="2"/>
  <c r="B7014" i="2"/>
  <c r="A7014" i="2"/>
  <c r="U7013" i="2"/>
  <c r="N7013" i="2"/>
  <c r="M7013" i="2"/>
  <c r="J7013" i="2"/>
  <c r="I7013" i="2"/>
  <c r="H7013" i="2"/>
  <c r="G7013" i="2"/>
  <c r="F7013" i="2"/>
  <c r="E7013" i="2"/>
  <c r="D7013" i="2"/>
  <c r="C7013" i="2"/>
  <c r="B7013" i="2"/>
  <c r="A7013" i="2"/>
  <c r="U7012" i="2"/>
  <c r="N7012" i="2"/>
  <c r="M7012" i="2"/>
  <c r="J7012" i="2"/>
  <c r="I7012" i="2"/>
  <c r="H7012" i="2"/>
  <c r="G7012" i="2"/>
  <c r="F7012" i="2"/>
  <c r="E7012" i="2"/>
  <c r="D7012" i="2"/>
  <c r="C7012" i="2"/>
  <c r="B7012" i="2"/>
  <c r="A7012" i="2"/>
  <c r="U7011" i="2"/>
  <c r="N7011" i="2"/>
  <c r="M7011" i="2"/>
  <c r="J7011" i="2"/>
  <c r="I7011" i="2"/>
  <c r="H7011" i="2"/>
  <c r="G7011" i="2"/>
  <c r="F7011" i="2"/>
  <c r="E7011" i="2"/>
  <c r="D7011" i="2"/>
  <c r="C7011" i="2"/>
  <c r="B7011" i="2"/>
  <c r="A7011" i="2"/>
  <c r="U7010" i="2"/>
  <c r="N7010" i="2"/>
  <c r="M7010" i="2"/>
  <c r="J7010" i="2"/>
  <c r="I7010" i="2"/>
  <c r="H7010" i="2"/>
  <c r="G7010" i="2"/>
  <c r="F7010" i="2"/>
  <c r="E7010" i="2"/>
  <c r="D7010" i="2"/>
  <c r="C7010" i="2"/>
  <c r="B7010" i="2"/>
  <c r="A7010" i="2"/>
  <c r="U7009" i="2"/>
  <c r="N7009" i="2"/>
  <c r="M7009" i="2"/>
  <c r="J7009" i="2"/>
  <c r="I7009" i="2"/>
  <c r="H7009" i="2"/>
  <c r="G7009" i="2"/>
  <c r="F7009" i="2"/>
  <c r="E7009" i="2"/>
  <c r="D7009" i="2"/>
  <c r="C7009" i="2"/>
  <c r="B7009" i="2"/>
  <c r="A7009" i="2"/>
  <c r="U7008" i="2"/>
  <c r="N7008" i="2"/>
  <c r="M7008" i="2"/>
  <c r="J7008" i="2"/>
  <c r="I7008" i="2"/>
  <c r="H7008" i="2"/>
  <c r="G7008" i="2"/>
  <c r="F7008" i="2"/>
  <c r="E7008" i="2"/>
  <c r="D7008" i="2"/>
  <c r="C7008" i="2"/>
  <c r="B7008" i="2"/>
  <c r="A7008" i="2"/>
  <c r="U7007" i="2"/>
  <c r="N7007" i="2"/>
  <c r="M7007" i="2"/>
  <c r="J7007" i="2"/>
  <c r="I7007" i="2"/>
  <c r="H7007" i="2"/>
  <c r="G7007" i="2"/>
  <c r="F7007" i="2"/>
  <c r="E7007" i="2"/>
  <c r="D7007" i="2"/>
  <c r="C7007" i="2"/>
  <c r="B7007" i="2"/>
  <c r="A7007" i="2"/>
  <c r="U7006" i="2"/>
  <c r="N7006" i="2"/>
  <c r="M7006" i="2"/>
  <c r="J7006" i="2"/>
  <c r="I7006" i="2"/>
  <c r="H7006" i="2"/>
  <c r="G7006" i="2"/>
  <c r="F7006" i="2"/>
  <c r="E7006" i="2"/>
  <c r="D7006" i="2"/>
  <c r="C7006" i="2"/>
  <c r="B7006" i="2"/>
  <c r="A7006" i="2"/>
  <c r="U7005" i="2"/>
  <c r="N7005" i="2"/>
  <c r="M7005" i="2"/>
  <c r="J7005" i="2"/>
  <c r="I7005" i="2"/>
  <c r="H7005" i="2"/>
  <c r="G7005" i="2"/>
  <c r="F7005" i="2"/>
  <c r="E7005" i="2"/>
  <c r="D7005" i="2"/>
  <c r="C7005" i="2"/>
  <c r="B7005" i="2"/>
  <c r="A7005" i="2"/>
  <c r="U7004" i="2"/>
  <c r="N7004" i="2"/>
  <c r="M7004" i="2"/>
  <c r="J7004" i="2"/>
  <c r="I7004" i="2"/>
  <c r="H7004" i="2"/>
  <c r="G7004" i="2"/>
  <c r="F7004" i="2"/>
  <c r="E7004" i="2"/>
  <c r="D7004" i="2"/>
  <c r="C7004" i="2"/>
  <c r="B7004" i="2"/>
  <c r="A7004" i="2"/>
  <c r="U7003" i="2"/>
  <c r="N7003" i="2"/>
  <c r="M7003" i="2"/>
  <c r="J7003" i="2"/>
  <c r="I7003" i="2"/>
  <c r="H7003" i="2"/>
  <c r="G7003" i="2"/>
  <c r="F7003" i="2"/>
  <c r="E7003" i="2"/>
  <c r="D7003" i="2"/>
  <c r="C7003" i="2"/>
  <c r="B7003" i="2"/>
  <c r="A7003" i="2"/>
  <c r="U7002" i="2"/>
  <c r="N7002" i="2"/>
  <c r="M7002" i="2"/>
  <c r="J7002" i="2"/>
  <c r="I7002" i="2"/>
  <c r="H7002" i="2"/>
  <c r="G7002" i="2"/>
  <c r="F7002" i="2"/>
  <c r="E7002" i="2"/>
  <c r="D7002" i="2"/>
  <c r="C7002" i="2"/>
  <c r="B7002" i="2"/>
  <c r="A7002" i="2"/>
  <c r="Q7001" i="2"/>
  <c r="U7001" i="2" s="1"/>
  <c r="N7001" i="2"/>
  <c r="M7001" i="2"/>
  <c r="J7001" i="2"/>
  <c r="I7001" i="2"/>
  <c r="H7001" i="2"/>
  <c r="G7001" i="2"/>
  <c r="F7001" i="2"/>
  <c r="E7001" i="2"/>
  <c r="D7001" i="2"/>
  <c r="C7001" i="2"/>
  <c r="B7001" i="2"/>
  <c r="A7001" i="2"/>
  <c r="U7000" i="2"/>
  <c r="N7000" i="2"/>
  <c r="M7000" i="2"/>
  <c r="J7000" i="2"/>
  <c r="I7000" i="2"/>
  <c r="H7000" i="2"/>
  <c r="G7000" i="2"/>
  <c r="F7000" i="2"/>
  <c r="E7000" i="2"/>
  <c r="D7000" i="2"/>
  <c r="C7000" i="2"/>
  <c r="B7000" i="2"/>
  <c r="A7000" i="2"/>
  <c r="U6999" i="2"/>
  <c r="N6999" i="2"/>
  <c r="M6999" i="2"/>
  <c r="J6999" i="2"/>
  <c r="I6999" i="2"/>
  <c r="H6999" i="2"/>
  <c r="G6999" i="2"/>
  <c r="F6999" i="2"/>
  <c r="E6999" i="2"/>
  <c r="D6999" i="2"/>
  <c r="C6999" i="2"/>
  <c r="B6999" i="2"/>
  <c r="A6999" i="2"/>
  <c r="Q6998" i="2"/>
  <c r="U6998" i="2" s="1"/>
  <c r="N6998" i="2"/>
  <c r="M6998" i="2"/>
  <c r="J6998" i="2"/>
  <c r="I6998" i="2"/>
  <c r="H6998" i="2"/>
  <c r="G6998" i="2"/>
  <c r="F6998" i="2"/>
  <c r="E6998" i="2"/>
  <c r="D6998" i="2"/>
  <c r="C6998" i="2"/>
  <c r="B6998" i="2"/>
  <c r="A6998" i="2"/>
  <c r="U6997" i="2"/>
  <c r="N6997" i="2"/>
  <c r="M6997" i="2"/>
  <c r="J6997" i="2"/>
  <c r="I6997" i="2"/>
  <c r="H6997" i="2"/>
  <c r="G6997" i="2"/>
  <c r="F6997" i="2"/>
  <c r="E6997" i="2"/>
  <c r="D6997" i="2"/>
  <c r="C6997" i="2"/>
  <c r="B6997" i="2"/>
  <c r="A6997" i="2"/>
  <c r="U6996" i="2"/>
  <c r="N6996" i="2"/>
  <c r="M6996" i="2"/>
  <c r="J6996" i="2"/>
  <c r="I6996" i="2"/>
  <c r="H6996" i="2"/>
  <c r="G6996" i="2"/>
  <c r="F6996" i="2"/>
  <c r="E6996" i="2"/>
  <c r="D6996" i="2"/>
  <c r="C6996" i="2"/>
  <c r="B6996" i="2"/>
  <c r="A6996" i="2"/>
  <c r="U6995" i="2"/>
  <c r="N6995" i="2"/>
  <c r="M6995" i="2"/>
  <c r="J6995" i="2"/>
  <c r="I6995" i="2"/>
  <c r="H6995" i="2"/>
  <c r="G6995" i="2"/>
  <c r="F6995" i="2"/>
  <c r="E6995" i="2"/>
  <c r="D6995" i="2"/>
  <c r="C6995" i="2"/>
  <c r="B6995" i="2"/>
  <c r="A6995" i="2"/>
  <c r="U6994" i="2"/>
  <c r="N6994" i="2"/>
  <c r="M6994" i="2"/>
  <c r="J6994" i="2"/>
  <c r="I6994" i="2"/>
  <c r="H6994" i="2"/>
  <c r="G6994" i="2"/>
  <c r="F6994" i="2"/>
  <c r="E6994" i="2"/>
  <c r="D6994" i="2"/>
  <c r="C6994" i="2"/>
  <c r="B6994" i="2"/>
  <c r="A6994" i="2"/>
  <c r="Q6993" i="2"/>
  <c r="U6993" i="2" s="1"/>
  <c r="N6993" i="2"/>
  <c r="M6993" i="2"/>
  <c r="J6993" i="2"/>
  <c r="I6993" i="2"/>
  <c r="H6993" i="2"/>
  <c r="G6993" i="2"/>
  <c r="F6993" i="2"/>
  <c r="E6993" i="2"/>
  <c r="D6993" i="2"/>
  <c r="C6993" i="2"/>
  <c r="B6993" i="2"/>
  <c r="A6993" i="2"/>
  <c r="U6992" i="2"/>
  <c r="N6992" i="2"/>
  <c r="M6992" i="2"/>
  <c r="J6992" i="2"/>
  <c r="I6992" i="2"/>
  <c r="H6992" i="2"/>
  <c r="G6992" i="2"/>
  <c r="F6992" i="2"/>
  <c r="E6992" i="2"/>
  <c r="D6992" i="2"/>
  <c r="C6992" i="2"/>
  <c r="B6992" i="2"/>
  <c r="A6992" i="2"/>
  <c r="U6991" i="2"/>
  <c r="N6991" i="2"/>
  <c r="M6991" i="2"/>
  <c r="J6991" i="2"/>
  <c r="I6991" i="2"/>
  <c r="H6991" i="2"/>
  <c r="G6991" i="2"/>
  <c r="F6991" i="2"/>
  <c r="E6991" i="2"/>
  <c r="D6991" i="2"/>
  <c r="C6991" i="2"/>
  <c r="B6991" i="2"/>
  <c r="A6991" i="2"/>
  <c r="Q6990" i="2"/>
  <c r="U6990" i="2" s="1"/>
  <c r="N6990" i="2"/>
  <c r="M6990" i="2"/>
  <c r="J6990" i="2"/>
  <c r="I6990" i="2"/>
  <c r="H6990" i="2"/>
  <c r="G6990" i="2"/>
  <c r="F6990" i="2"/>
  <c r="E6990" i="2"/>
  <c r="D6990" i="2"/>
  <c r="C6990" i="2"/>
  <c r="B6990" i="2"/>
  <c r="A6990" i="2"/>
  <c r="U6989" i="2"/>
  <c r="N6989" i="2"/>
  <c r="M6989" i="2"/>
  <c r="J6989" i="2"/>
  <c r="I6989" i="2"/>
  <c r="H6989" i="2"/>
  <c r="G6989" i="2"/>
  <c r="F6989" i="2"/>
  <c r="E6989" i="2"/>
  <c r="D6989" i="2"/>
  <c r="C6989" i="2"/>
  <c r="B6989" i="2"/>
  <c r="A6989" i="2"/>
  <c r="U6988" i="2"/>
  <c r="N6988" i="2"/>
  <c r="M6988" i="2"/>
  <c r="J6988" i="2"/>
  <c r="I6988" i="2"/>
  <c r="H6988" i="2"/>
  <c r="G6988" i="2"/>
  <c r="F6988" i="2"/>
  <c r="E6988" i="2"/>
  <c r="D6988" i="2"/>
  <c r="C6988" i="2"/>
  <c r="B6988" i="2"/>
  <c r="A6988" i="2"/>
  <c r="U6987" i="2"/>
  <c r="N6987" i="2"/>
  <c r="M6987" i="2"/>
  <c r="J6987" i="2"/>
  <c r="I6987" i="2"/>
  <c r="H6987" i="2"/>
  <c r="G6987" i="2"/>
  <c r="F6987" i="2"/>
  <c r="E6987" i="2"/>
  <c r="D6987" i="2"/>
  <c r="C6987" i="2"/>
  <c r="B6987" i="2"/>
  <c r="A6987" i="2"/>
  <c r="U6986" i="2"/>
  <c r="N6986" i="2"/>
  <c r="M6986" i="2"/>
  <c r="J6986" i="2"/>
  <c r="I6986" i="2"/>
  <c r="H6986" i="2"/>
  <c r="G6986" i="2"/>
  <c r="F6986" i="2"/>
  <c r="E6986" i="2"/>
  <c r="D6986" i="2"/>
  <c r="C6986" i="2"/>
  <c r="B6986" i="2"/>
  <c r="A6986" i="2"/>
  <c r="U6985" i="2"/>
  <c r="N6985" i="2"/>
  <c r="M6985" i="2"/>
  <c r="J6985" i="2"/>
  <c r="I6985" i="2"/>
  <c r="H6985" i="2"/>
  <c r="G6985" i="2"/>
  <c r="F6985" i="2"/>
  <c r="E6985" i="2"/>
  <c r="D6985" i="2"/>
  <c r="C6985" i="2"/>
  <c r="B6985" i="2"/>
  <c r="A6985" i="2"/>
  <c r="U6984" i="2"/>
  <c r="N6984" i="2"/>
  <c r="M6984" i="2"/>
  <c r="J6984" i="2"/>
  <c r="I6984" i="2"/>
  <c r="H6984" i="2"/>
  <c r="G6984" i="2"/>
  <c r="F6984" i="2"/>
  <c r="E6984" i="2"/>
  <c r="D6984" i="2"/>
  <c r="C6984" i="2"/>
  <c r="B6984" i="2"/>
  <c r="A6984" i="2"/>
  <c r="U6983" i="2"/>
  <c r="N6983" i="2"/>
  <c r="M6983" i="2"/>
  <c r="J6983" i="2"/>
  <c r="I6983" i="2"/>
  <c r="H6983" i="2"/>
  <c r="G6983" i="2"/>
  <c r="F6983" i="2"/>
  <c r="E6983" i="2"/>
  <c r="D6983" i="2"/>
  <c r="C6983" i="2"/>
  <c r="B6983" i="2"/>
  <c r="A6983" i="2"/>
  <c r="U6982" i="2"/>
  <c r="N6982" i="2"/>
  <c r="M6982" i="2"/>
  <c r="J6982" i="2"/>
  <c r="I6982" i="2"/>
  <c r="H6982" i="2"/>
  <c r="G6982" i="2"/>
  <c r="F6982" i="2"/>
  <c r="E6982" i="2"/>
  <c r="D6982" i="2"/>
  <c r="C6982" i="2"/>
  <c r="B6982" i="2"/>
  <c r="A6982" i="2"/>
  <c r="U6981" i="2"/>
  <c r="N6981" i="2"/>
  <c r="M6981" i="2"/>
  <c r="J6981" i="2"/>
  <c r="I6981" i="2"/>
  <c r="H6981" i="2"/>
  <c r="G6981" i="2"/>
  <c r="F6981" i="2"/>
  <c r="E6981" i="2"/>
  <c r="D6981" i="2"/>
  <c r="C6981" i="2"/>
  <c r="B6981" i="2"/>
  <c r="A6981" i="2"/>
  <c r="U6980" i="2"/>
  <c r="N6980" i="2"/>
  <c r="M6980" i="2"/>
  <c r="J6980" i="2"/>
  <c r="I6980" i="2"/>
  <c r="H6980" i="2"/>
  <c r="G6980" i="2"/>
  <c r="F6980" i="2"/>
  <c r="E6980" i="2"/>
  <c r="D6980" i="2"/>
  <c r="C6980" i="2"/>
  <c r="B6980" i="2"/>
  <c r="A6980" i="2"/>
  <c r="R6979" i="2"/>
  <c r="Q6979" i="2"/>
  <c r="N6979" i="2"/>
  <c r="M6979" i="2"/>
  <c r="J6979" i="2"/>
  <c r="I6979" i="2"/>
  <c r="H6979" i="2"/>
  <c r="G6979" i="2"/>
  <c r="F6979" i="2"/>
  <c r="E6979" i="2"/>
  <c r="D6979" i="2"/>
  <c r="C6979" i="2"/>
  <c r="B6979" i="2"/>
  <c r="A6979" i="2"/>
  <c r="Q6978" i="2"/>
  <c r="U6978" i="2" s="1"/>
  <c r="N6978" i="2"/>
  <c r="M6978" i="2"/>
  <c r="J6978" i="2"/>
  <c r="I6978" i="2"/>
  <c r="H6978" i="2"/>
  <c r="G6978" i="2"/>
  <c r="F6978" i="2"/>
  <c r="E6978" i="2"/>
  <c r="D6978" i="2"/>
  <c r="C6978" i="2"/>
  <c r="B6978" i="2"/>
  <c r="A6978" i="2"/>
  <c r="Q6977" i="2"/>
  <c r="U6977" i="2" s="1"/>
  <c r="N6977" i="2"/>
  <c r="M6977" i="2"/>
  <c r="J6977" i="2"/>
  <c r="I6977" i="2"/>
  <c r="H6977" i="2"/>
  <c r="G6977" i="2"/>
  <c r="F6977" i="2"/>
  <c r="E6977" i="2"/>
  <c r="D6977" i="2"/>
  <c r="C6977" i="2"/>
  <c r="B6977" i="2"/>
  <c r="A6977" i="2"/>
  <c r="R6976" i="2"/>
  <c r="U6976" i="2" s="1"/>
  <c r="Q6976" i="2"/>
  <c r="N6976" i="2"/>
  <c r="M6976" i="2"/>
  <c r="J6976" i="2"/>
  <c r="I6976" i="2"/>
  <c r="H6976" i="2"/>
  <c r="G6976" i="2"/>
  <c r="F6976" i="2"/>
  <c r="E6976" i="2"/>
  <c r="D6976" i="2"/>
  <c r="C6976" i="2"/>
  <c r="B6976" i="2"/>
  <c r="A6976" i="2"/>
  <c r="R6975" i="2"/>
  <c r="Q6975" i="2"/>
  <c r="N6975" i="2"/>
  <c r="M6975" i="2"/>
  <c r="J6975" i="2"/>
  <c r="I6975" i="2"/>
  <c r="H6975" i="2"/>
  <c r="G6975" i="2"/>
  <c r="F6975" i="2"/>
  <c r="E6975" i="2"/>
  <c r="D6975" i="2"/>
  <c r="C6975" i="2"/>
  <c r="B6975" i="2"/>
  <c r="A6975" i="2"/>
  <c r="R6974" i="2"/>
  <c r="Q6974" i="2"/>
  <c r="N6974" i="2"/>
  <c r="M6974" i="2"/>
  <c r="J6974" i="2"/>
  <c r="I6974" i="2"/>
  <c r="H6974" i="2"/>
  <c r="G6974" i="2"/>
  <c r="F6974" i="2"/>
  <c r="E6974" i="2"/>
  <c r="D6974" i="2"/>
  <c r="C6974" i="2"/>
  <c r="B6974" i="2"/>
  <c r="A6974" i="2"/>
  <c r="R6973" i="2"/>
  <c r="Q6973" i="2"/>
  <c r="N6973" i="2"/>
  <c r="M6973" i="2"/>
  <c r="J6973" i="2"/>
  <c r="I6973" i="2"/>
  <c r="H6973" i="2"/>
  <c r="G6973" i="2"/>
  <c r="F6973" i="2"/>
  <c r="E6973" i="2"/>
  <c r="D6973" i="2"/>
  <c r="C6973" i="2"/>
  <c r="B6973" i="2"/>
  <c r="A6973" i="2"/>
  <c r="R6972" i="2"/>
  <c r="Q6972" i="2"/>
  <c r="N6972" i="2"/>
  <c r="M6972" i="2"/>
  <c r="J6972" i="2"/>
  <c r="I6972" i="2"/>
  <c r="H6972" i="2"/>
  <c r="G6972" i="2"/>
  <c r="F6972" i="2"/>
  <c r="E6972" i="2"/>
  <c r="D6972" i="2"/>
  <c r="C6972" i="2"/>
  <c r="B6972" i="2"/>
  <c r="A6972" i="2"/>
  <c r="R6971" i="2"/>
  <c r="Q6971" i="2"/>
  <c r="N6971" i="2"/>
  <c r="M6971" i="2"/>
  <c r="J6971" i="2"/>
  <c r="I6971" i="2"/>
  <c r="H6971" i="2"/>
  <c r="G6971" i="2"/>
  <c r="F6971" i="2"/>
  <c r="E6971" i="2"/>
  <c r="D6971" i="2"/>
  <c r="C6971" i="2"/>
  <c r="B6971" i="2"/>
  <c r="A6971" i="2"/>
  <c r="Q6970" i="2"/>
  <c r="U6970" i="2" s="1"/>
  <c r="N6970" i="2"/>
  <c r="M6970" i="2"/>
  <c r="J6970" i="2"/>
  <c r="I6970" i="2"/>
  <c r="H6970" i="2"/>
  <c r="G6970" i="2"/>
  <c r="F6970" i="2"/>
  <c r="E6970" i="2"/>
  <c r="D6970" i="2"/>
  <c r="C6970" i="2"/>
  <c r="B6970" i="2"/>
  <c r="A6970" i="2"/>
  <c r="Q6969" i="2"/>
  <c r="U6969" i="2" s="1"/>
  <c r="N6969" i="2"/>
  <c r="M6969" i="2"/>
  <c r="J6969" i="2"/>
  <c r="I6969" i="2"/>
  <c r="H6969" i="2"/>
  <c r="G6969" i="2"/>
  <c r="F6969" i="2"/>
  <c r="E6969" i="2"/>
  <c r="D6969" i="2"/>
  <c r="C6969" i="2"/>
  <c r="B6969" i="2"/>
  <c r="A6969" i="2"/>
  <c r="U6968" i="2"/>
  <c r="N6968" i="2"/>
  <c r="M6968" i="2"/>
  <c r="J6968" i="2"/>
  <c r="I6968" i="2"/>
  <c r="H6968" i="2"/>
  <c r="G6968" i="2"/>
  <c r="F6968" i="2"/>
  <c r="E6968" i="2"/>
  <c r="D6968" i="2"/>
  <c r="C6968" i="2"/>
  <c r="B6968" i="2"/>
  <c r="A6968" i="2"/>
  <c r="U6967" i="2"/>
  <c r="N6967" i="2"/>
  <c r="M6967" i="2"/>
  <c r="J6967" i="2"/>
  <c r="I6967" i="2"/>
  <c r="H6967" i="2"/>
  <c r="G6967" i="2"/>
  <c r="F6967" i="2"/>
  <c r="E6967" i="2"/>
  <c r="D6967" i="2"/>
  <c r="C6967" i="2"/>
  <c r="B6967" i="2"/>
  <c r="A6967" i="2"/>
  <c r="U6966" i="2"/>
  <c r="N6966" i="2"/>
  <c r="M6966" i="2"/>
  <c r="J6966" i="2"/>
  <c r="I6966" i="2"/>
  <c r="H6966" i="2"/>
  <c r="G6966" i="2"/>
  <c r="F6966" i="2"/>
  <c r="E6966" i="2"/>
  <c r="D6966" i="2"/>
  <c r="C6966" i="2"/>
  <c r="B6966" i="2"/>
  <c r="A6966" i="2"/>
  <c r="U6965" i="2"/>
  <c r="N6965" i="2"/>
  <c r="M6965" i="2"/>
  <c r="J6965" i="2"/>
  <c r="I6965" i="2"/>
  <c r="H6965" i="2"/>
  <c r="G6965" i="2"/>
  <c r="F6965" i="2"/>
  <c r="E6965" i="2"/>
  <c r="D6965" i="2"/>
  <c r="C6965" i="2"/>
  <c r="B6965" i="2"/>
  <c r="A6965" i="2"/>
  <c r="U6964" i="2"/>
  <c r="N6964" i="2"/>
  <c r="M6964" i="2"/>
  <c r="J6964" i="2"/>
  <c r="I6964" i="2"/>
  <c r="H6964" i="2"/>
  <c r="G6964" i="2"/>
  <c r="F6964" i="2"/>
  <c r="E6964" i="2"/>
  <c r="D6964" i="2"/>
  <c r="C6964" i="2"/>
  <c r="B6964" i="2"/>
  <c r="A6964" i="2"/>
  <c r="U6963" i="2"/>
  <c r="N6963" i="2"/>
  <c r="M6963" i="2"/>
  <c r="J6963" i="2"/>
  <c r="I6963" i="2"/>
  <c r="H6963" i="2"/>
  <c r="G6963" i="2"/>
  <c r="F6963" i="2"/>
  <c r="E6963" i="2"/>
  <c r="D6963" i="2"/>
  <c r="C6963" i="2"/>
  <c r="B6963" i="2"/>
  <c r="A6963" i="2"/>
  <c r="U6962" i="2"/>
  <c r="N6962" i="2"/>
  <c r="M6962" i="2"/>
  <c r="J6962" i="2"/>
  <c r="I6962" i="2"/>
  <c r="H6962" i="2"/>
  <c r="G6962" i="2"/>
  <c r="F6962" i="2"/>
  <c r="E6962" i="2"/>
  <c r="D6962" i="2"/>
  <c r="C6962" i="2"/>
  <c r="B6962" i="2"/>
  <c r="A6962" i="2"/>
  <c r="U6961" i="2"/>
  <c r="N6961" i="2"/>
  <c r="M6961" i="2"/>
  <c r="J6961" i="2"/>
  <c r="I6961" i="2"/>
  <c r="H6961" i="2"/>
  <c r="G6961" i="2"/>
  <c r="F6961" i="2"/>
  <c r="E6961" i="2"/>
  <c r="D6961" i="2"/>
  <c r="C6961" i="2"/>
  <c r="B6961" i="2"/>
  <c r="A6961" i="2"/>
  <c r="U6960" i="2"/>
  <c r="N6960" i="2"/>
  <c r="M6960" i="2"/>
  <c r="J6960" i="2"/>
  <c r="I6960" i="2"/>
  <c r="H6960" i="2"/>
  <c r="G6960" i="2"/>
  <c r="F6960" i="2"/>
  <c r="E6960" i="2"/>
  <c r="D6960" i="2"/>
  <c r="C6960" i="2"/>
  <c r="B6960" i="2"/>
  <c r="A6960" i="2"/>
  <c r="U6959" i="2"/>
  <c r="N6959" i="2"/>
  <c r="M6959" i="2"/>
  <c r="J6959" i="2"/>
  <c r="I6959" i="2"/>
  <c r="H6959" i="2"/>
  <c r="G6959" i="2"/>
  <c r="F6959" i="2"/>
  <c r="E6959" i="2"/>
  <c r="D6959" i="2"/>
  <c r="C6959" i="2"/>
  <c r="B6959" i="2"/>
  <c r="A6959" i="2"/>
  <c r="Q6958" i="2"/>
  <c r="U6958" i="2" s="1"/>
  <c r="N6958" i="2"/>
  <c r="M6958" i="2"/>
  <c r="J6958" i="2"/>
  <c r="I6958" i="2"/>
  <c r="H6958" i="2"/>
  <c r="G6958" i="2"/>
  <c r="F6958" i="2"/>
  <c r="E6958" i="2"/>
  <c r="D6958" i="2"/>
  <c r="C6958" i="2"/>
  <c r="B6958" i="2"/>
  <c r="A6958" i="2"/>
  <c r="U6957" i="2"/>
  <c r="N6957" i="2"/>
  <c r="M6957" i="2"/>
  <c r="J6957" i="2"/>
  <c r="I6957" i="2"/>
  <c r="H6957" i="2"/>
  <c r="G6957" i="2"/>
  <c r="F6957" i="2"/>
  <c r="E6957" i="2"/>
  <c r="D6957" i="2"/>
  <c r="C6957" i="2"/>
  <c r="B6957" i="2"/>
  <c r="A6957" i="2"/>
  <c r="U6956" i="2"/>
  <c r="N6956" i="2"/>
  <c r="M6956" i="2"/>
  <c r="J6956" i="2"/>
  <c r="I6956" i="2"/>
  <c r="H6956" i="2"/>
  <c r="G6956" i="2"/>
  <c r="F6956" i="2"/>
  <c r="E6956" i="2"/>
  <c r="D6956" i="2"/>
  <c r="C6956" i="2"/>
  <c r="B6956" i="2"/>
  <c r="A6956" i="2"/>
  <c r="U6955" i="2"/>
  <c r="N6955" i="2"/>
  <c r="M6955" i="2"/>
  <c r="J6955" i="2"/>
  <c r="I6955" i="2"/>
  <c r="H6955" i="2"/>
  <c r="G6955" i="2"/>
  <c r="F6955" i="2"/>
  <c r="E6955" i="2"/>
  <c r="D6955" i="2"/>
  <c r="C6955" i="2"/>
  <c r="B6955" i="2"/>
  <c r="A6955" i="2"/>
  <c r="U6954" i="2"/>
  <c r="N6954" i="2"/>
  <c r="M6954" i="2"/>
  <c r="J6954" i="2"/>
  <c r="I6954" i="2"/>
  <c r="H6954" i="2"/>
  <c r="G6954" i="2"/>
  <c r="F6954" i="2"/>
  <c r="E6954" i="2"/>
  <c r="D6954" i="2"/>
  <c r="C6954" i="2"/>
  <c r="B6954" i="2"/>
  <c r="A6954" i="2"/>
  <c r="U6953" i="2"/>
  <c r="N6953" i="2"/>
  <c r="M6953" i="2"/>
  <c r="J6953" i="2"/>
  <c r="I6953" i="2"/>
  <c r="H6953" i="2"/>
  <c r="G6953" i="2"/>
  <c r="F6953" i="2"/>
  <c r="E6953" i="2"/>
  <c r="D6953" i="2"/>
  <c r="C6953" i="2"/>
  <c r="B6953" i="2"/>
  <c r="A6953" i="2"/>
  <c r="U6952" i="2"/>
  <c r="N6952" i="2"/>
  <c r="M6952" i="2"/>
  <c r="J6952" i="2"/>
  <c r="I6952" i="2"/>
  <c r="H6952" i="2"/>
  <c r="G6952" i="2"/>
  <c r="F6952" i="2"/>
  <c r="E6952" i="2"/>
  <c r="D6952" i="2"/>
  <c r="C6952" i="2"/>
  <c r="B6952" i="2"/>
  <c r="A6952" i="2"/>
  <c r="U6951" i="2"/>
  <c r="N6951" i="2"/>
  <c r="M6951" i="2"/>
  <c r="J6951" i="2"/>
  <c r="I6951" i="2"/>
  <c r="H6951" i="2"/>
  <c r="G6951" i="2"/>
  <c r="F6951" i="2"/>
  <c r="E6951" i="2"/>
  <c r="D6951" i="2"/>
  <c r="C6951" i="2"/>
  <c r="B6951" i="2"/>
  <c r="A6951" i="2"/>
  <c r="U6950" i="2"/>
  <c r="N6950" i="2"/>
  <c r="M6950" i="2"/>
  <c r="J6950" i="2"/>
  <c r="I6950" i="2"/>
  <c r="H6950" i="2"/>
  <c r="G6950" i="2"/>
  <c r="F6950" i="2"/>
  <c r="E6950" i="2"/>
  <c r="D6950" i="2"/>
  <c r="C6950" i="2"/>
  <c r="B6950" i="2"/>
  <c r="A6950" i="2"/>
  <c r="U6949" i="2"/>
  <c r="N6949" i="2"/>
  <c r="M6949" i="2"/>
  <c r="J6949" i="2"/>
  <c r="I6949" i="2"/>
  <c r="H6949" i="2"/>
  <c r="G6949" i="2"/>
  <c r="F6949" i="2"/>
  <c r="E6949" i="2"/>
  <c r="D6949" i="2"/>
  <c r="C6949" i="2"/>
  <c r="B6949" i="2"/>
  <c r="A6949" i="2"/>
  <c r="U6948" i="2"/>
  <c r="N6948" i="2"/>
  <c r="M6948" i="2"/>
  <c r="J6948" i="2"/>
  <c r="I6948" i="2"/>
  <c r="H6948" i="2"/>
  <c r="G6948" i="2"/>
  <c r="F6948" i="2"/>
  <c r="E6948" i="2"/>
  <c r="D6948" i="2"/>
  <c r="C6948" i="2"/>
  <c r="B6948" i="2"/>
  <c r="A6948" i="2"/>
  <c r="U6947" i="2"/>
  <c r="N6947" i="2"/>
  <c r="M6947" i="2"/>
  <c r="J6947" i="2"/>
  <c r="I6947" i="2"/>
  <c r="H6947" i="2"/>
  <c r="G6947" i="2"/>
  <c r="F6947" i="2"/>
  <c r="E6947" i="2"/>
  <c r="D6947" i="2"/>
  <c r="C6947" i="2"/>
  <c r="B6947" i="2"/>
  <c r="A6947" i="2"/>
  <c r="U6946" i="2"/>
  <c r="N6946" i="2"/>
  <c r="M6946" i="2"/>
  <c r="J6946" i="2"/>
  <c r="I6946" i="2"/>
  <c r="H6946" i="2"/>
  <c r="G6946" i="2"/>
  <c r="F6946" i="2"/>
  <c r="E6946" i="2"/>
  <c r="D6946" i="2"/>
  <c r="C6946" i="2"/>
  <c r="B6946" i="2"/>
  <c r="A6946" i="2"/>
  <c r="U6945" i="2"/>
  <c r="N6945" i="2"/>
  <c r="M6945" i="2"/>
  <c r="J6945" i="2"/>
  <c r="I6945" i="2"/>
  <c r="H6945" i="2"/>
  <c r="G6945" i="2"/>
  <c r="F6945" i="2"/>
  <c r="E6945" i="2"/>
  <c r="D6945" i="2"/>
  <c r="C6945" i="2"/>
  <c r="B6945" i="2"/>
  <c r="A6945" i="2"/>
  <c r="U6944" i="2"/>
  <c r="N6944" i="2"/>
  <c r="M6944" i="2"/>
  <c r="J6944" i="2"/>
  <c r="I6944" i="2"/>
  <c r="H6944" i="2"/>
  <c r="G6944" i="2"/>
  <c r="F6944" i="2"/>
  <c r="E6944" i="2"/>
  <c r="D6944" i="2"/>
  <c r="C6944" i="2"/>
  <c r="B6944" i="2"/>
  <c r="A6944" i="2"/>
  <c r="U6943" i="2"/>
  <c r="N6943" i="2"/>
  <c r="M6943" i="2"/>
  <c r="J6943" i="2"/>
  <c r="I6943" i="2"/>
  <c r="H6943" i="2"/>
  <c r="G6943" i="2"/>
  <c r="F6943" i="2"/>
  <c r="E6943" i="2"/>
  <c r="D6943" i="2"/>
  <c r="C6943" i="2"/>
  <c r="B6943" i="2"/>
  <c r="A6943" i="2"/>
  <c r="U6942" i="2"/>
  <c r="N6942" i="2"/>
  <c r="M6942" i="2"/>
  <c r="J6942" i="2"/>
  <c r="I6942" i="2"/>
  <c r="H6942" i="2"/>
  <c r="G6942" i="2"/>
  <c r="F6942" i="2"/>
  <c r="E6942" i="2"/>
  <c r="D6942" i="2"/>
  <c r="C6942" i="2"/>
  <c r="B6942" i="2"/>
  <c r="A6942" i="2"/>
  <c r="U6941" i="2"/>
  <c r="N6941" i="2"/>
  <c r="M6941" i="2"/>
  <c r="J6941" i="2"/>
  <c r="I6941" i="2"/>
  <c r="H6941" i="2"/>
  <c r="G6941" i="2"/>
  <c r="F6941" i="2"/>
  <c r="E6941" i="2"/>
  <c r="D6941" i="2"/>
  <c r="C6941" i="2"/>
  <c r="B6941" i="2"/>
  <c r="A6941" i="2"/>
  <c r="Q6940" i="2"/>
  <c r="U6940" i="2" s="1"/>
  <c r="N6940" i="2"/>
  <c r="M6940" i="2"/>
  <c r="J6940" i="2"/>
  <c r="I6940" i="2"/>
  <c r="H6940" i="2"/>
  <c r="G6940" i="2"/>
  <c r="F6940" i="2"/>
  <c r="E6940" i="2"/>
  <c r="D6940" i="2"/>
  <c r="C6940" i="2"/>
  <c r="B6940" i="2"/>
  <c r="A6940" i="2"/>
  <c r="U6939" i="2"/>
  <c r="N6939" i="2"/>
  <c r="M6939" i="2"/>
  <c r="J6939" i="2"/>
  <c r="I6939" i="2"/>
  <c r="H6939" i="2"/>
  <c r="G6939" i="2"/>
  <c r="F6939" i="2"/>
  <c r="E6939" i="2"/>
  <c r="D6939" i="2"/>
  <c r="C6939" i="2"/>
  <c r="B6939" i="2"/>
  <c r="A6939" i="2"/>
  <c r="U6938" i="2"/>
  <c r="N6938" i="2"/>
  <c r="M6938" i="2"/>
  <c r="J6938" i="2"/>
  <c r="I6938" i="2"/>
  <c r="H6938" i="2"/>
  <c r="G6938" i="2"/>
  <c r="F6938" i="2"/>
  <c r="E6938" i="2"/>
  <c r="D6938" i="2"/>
  <c r="C6938" i="2"/>
  <c r="B6938" i="2"/>
  <c r="A6938" i="2"/>
  <c r="U6937" i="2"/>
  <c r="N6937" i="2"/>
  <c r="M6937" i="2"/>
  <c r="J6937" i="2"/>
  <c r="I6937" i="2"/>
  <c r="H6937" i="2"/>
  <c r="G6937" i="2"/>
  <c r="F6937" i="2"/>
  <c r="E6937" i="2"/>
  <c r="D6937" i="2"/>
  <c r="C6937" i="2"/>
  <c r="B6937" i="2"/>
  <c r="A6937" i="2"/>
  <c r="U6936" i="2"/>
  <c r="N6936" i="2"/>
  <c r="M6936" i="2"/>
  <c r="J6936" i="2"/>
  <c r="I6936" i="2"/>
  <c r="H6936" i="2"/>
  <c r="G6936" i="2"/>
  <c r="F6936" i="2"/>
  <c r="E6936" i="2"/>
  <c r="D6936" i="2"/>
  <c r="C6936" i="2"/>
  <c r="B6936" i="2"/>
  <c r="A6936" i="2"/>
  <c r="U6935" i="2"/>
  <c r="N6935" i="2"/>
  <c r="M6935" i="2"/>
  <c r="J6935" i="2"/>
  <c r="I6935" i="2"/>
  <c r="H6935" i="2"/>
  <c r="G6935" i="2"/>
  <c r="F6935" i="2"/>
  <c r="E6935" i="2"/>
  <c r="D6935" i="2"/>
  <c r="C6935" i="2"/>
  <c r="B6935" i="2"/>
  <c r="A6935" i="2"/>
  <c r="U6934" i="2"/>
  <c r="N6934" i="2"/>
  <c r="M6934" i="2"/>
  <c r="J6934" i="2"/>
  <c r="I6934" i="2"/>
  <c r="H6934" i="2"/>
  <c r="G6934" i="2"/>
  <c r="F6934" i="2"/>
  <c r="E6934" i="2"/>
  <c r="D6934" i="2"/>
  <c r="C6934" i="2"/>
  <c r="B6934" i="2"/>
  <c r="A6934" i="2"/>
  <c r="U6933" i="2"/>
  <c r="N6933" i="2"/>
  <c r="M6933" i="2"/>
  <c r="J6933" i="2"/>
  <c r="I6933" i="2"/>
  <c r="H6933" i="2"/>
  <c r="G6933" i="2"/>
  <c r="F6933" i="2"/>
  <c r="E6933" i="2"/>
  <c r="D6933" i="2"/>
  <c r="C6933" i="2"/>
  <c r="B6933" i="2"/>
  <c r="A6933" i="2"/>
  <c r="U6932" i="2"/>
  <c r="N6932" i="2"/>
  <c r="M6932" i="2"/>
  <c r="J6932" i="2"/>
  <c r="I6932" i="2"/>
  <c r="H6932" i="2"/>
  <c r="G6932" i="2"/>
  <c r="F6932" i="2"/>
  <c r="E6932" i="2"/>
  <c r="D6932" i="2"/>
  <c r="C6932" i="2"/>
  <c r="B6932" i="2"/>
  <c r="A6932" i="2"/>
  <c r="U6931" i="2"/>
  <c r="N6931" i="2"/>
  <c r="M6931" i="2"/>
  <c r="J6931" i="2"/>
  <c r="I6931" i="2"/>
  <c r="H6931" i="2"/>
  <c r="G6931" i="2"/>
  <c r="F6931" i="2"/>
  <c r="E6931" i="2"/>
  <c r="D6931" i="2"/>
  <c r="C6931" i="2"/>
  <c r="B6931" i="2"/>
  <c r="A6931" i="2"/>
  <c r="U6930" i="2"/>
  <c r="N6930" i="2"/>
  <c r="M6930" i="2"/>
  <c r="J6930" i="2"/>
  <c r="I6930" i="2"/>
  <c r="H6930" i="2"/>
  <c r="G6930" i="2"/>
  <c r="F6930" i="2"/>
  <c r="E6930" i="2"/>
  <c r="D6930" i="2"/>
  <c r="C6930" i="2"/>
  <c r="B6930" i="2"/>
  <c r="A6930" i="2"/>
  <c r="U6929" i="2"/>
  <c r="N6929" i="2"/>
  <c r="M6929" i="2"/>
  <c r="J6929" i="2"/>
  <c r="I6929" i="2"/>
  <c r="H6929" i="2"/>
  <c r="G6929" i="2"/>
  <c r="F6929" i="2"/>
  <c r="E6929" i="2"/>
  <c r="D6929" i="2"/>
  <c r="C6929" i="2"/>
  <c r="B6929" i="2"/>
  <c r="A6929" i="2"/>
  <c r="U6928" i="2"/>
  <c r="N6928" i="2"/>
  <c r="M6928" i="2"/>
  <c r="J6928" i="2"/>
  <c r="I6928" i="2"/>
  <c r="H6928" i="2"/>
  <c r="G6928" i="2"/>
  <c r="F6928" i="2"/>
  <c r="E6928" i="2"/>
  <c r="D6928" i="2"/>
  <c r="C6928" i="2"/>
  <c r="B6928" i="2"/>
  <c r="A6928" i="2"/>
  <c r="U6927" i="2"/>
  <c r="N6927" i="2"/>
  <c r="M6927" i="2"/>
  <c r="J6927" i="2"/>
  <c r="I6927" i="2"/>
  <c r="H6927" i="2"/>
  <c r="G6927" i="2"/>
  <c r="F6927" i="2"/>
  <c r="E6927" i="2"/>
  <c r="D6927" i="2"/>
  <c r="C6927" i="2"/>
  <c r="B6927" i="2"/>
  <c r="A6927" i="2"/>
  <c r="U6926" i="2"/>
  <c r="N6926" i="2"/>
  <c r="M6926" i="2"/>
  <c r="J6926" i="2"/>
  <c r="I6926" i="2"/>
  <c r="H6926" i="2"/>
  <c r="G6926" i="2"/>
  <c r="F6926" i="2"/>
  <c r="E6926" i="2"/>
  <c r="D6926" i="2"/>
  <c r="C6926" i="2"/>
  <c r="B6926" i="2"/>
  <c r="A6926" i="2"/>
  <c r="U6925" i="2"/>
  <c r="N6925" i="2"/>
  <c r="M6925" i="2"/>
  <c r="J6925" i="2"/>
  <c r="I6925" i="2"/>
  <c r="H6925" i="2"/>
  <c r="G6925" i="2"/>
  <c r="F6925" i="2"/>
  <c r="E6925" i="2"/>
  <c r="D6925" i="2"/>
  <c r="C6925" i="2"/>
  <c r="B6925" i="2"/>
  <c r="A6925" i="2"/>
  <c r="Q6924" i="2"/>
  <c r="U6924" i="2" s="1"/>
  <c r="N6924" i="2"/>
  <c r="M6924" i="2"/>
  <c r="J6924" i="2"/>
  <c r="I6924" i="2"/>
  <c r="H6924" i="2"/>
  <c r="G6924" i="2"/>
  <c r="F6924" i="2"/>
  <c r="E6924" i="2"/>
  <c r="D6924" i="2"/>
  <c r="C6924" i="2"/>
  <c r="B6924" i="2"/>
  <c r="A6924" i="2"/>
  <c r="U6923" i="2"/>
  <c r="N6923" i="2"/>
  <c r="M6923" i="2"/>
  <c r="J6923" i="2"/>
  <c r="I6923" i="2"/>
  <c r="H6923" i="2"/>
  <c r="G6923" i="2"/>
  <c r="F6923" i="2"/>
  <c r="E6923" i="2"/>
  <c r="D6923" i="2"/>
  <c r="C6923" i="2"/>
  <c r="B6923" i="2"/>
  <c r="A6923" i="2"/>
  <c r="U6922" i="2"/>
  <c r="N6922" i="2"/>
  <c r="M6922" i="2"/>
  <c r="J6922" i="2"/>
  <c r="I6922" i="2"/>
  <c r="H6922" i="2"/>
  <c r="G6922" i="2"/>
  <c r="F6922" i="2"/>
  <c r="E6922" i="2"/>
  <c r="D6922" i="2"/>
  <c r="C6922" i="2"/>
  <c r="B6922" i="2"/>
  <c r="A6922" i="2"/>
  <c r="U6921" i="2"/>
  <c r="N6921" i="2"/>
  <c r="M6921" i="2"/>
  <c r="J6921" i="2"/>
  <c r="I6921" i="2"/>
  <c r="H6921" i="2"/>
  <c r="G6921" i="2"/>
  <c r="F6921" i="2"/>
  <c r="E6921" i="2"/>
  <c r="D6921" i="2"/>
  <c r="C6921" i="2"/>
  <c r="B6921" i="2"/>
  <c r="A6921" i="2"/>
  <c r="U6920" i="2"/>
  <c r="N6920" i="2"/>
  <c r="M6920" i="2"/>
  <c r="J6920" i="2"/>
  <c r="I6920" i="2"/>
  <c r="H6920" i="2"/>
  <c r="G6920" i="2"/>
  <c r="F6920" i="2"/>
  <c r="E6920" i="2"/>
  <c r="D6920" i="2"/>
  <c r="C6920" i="2"/>
  <c r="B6920" i="2"/>
  <c r="A6920" i="2"/>
  <c r="U6919" i="2"/>
  <c r="N6919" i="2"/>
  <c r="M6919" i="2"/>
  <c r="J6919" i="2"/>
  <c r="I6919" i="2"/>
  <c r="H6919" i="2"/>
  <c r="G6919" i="2"/>
  <c r="F6919" i="2"/>
  <c r="E6919" i="2"/>
  <c r="D6919" i="2"/>
  <c r="C6919" i="2"/>
  <c r="B6919" i="2"/>
  <c r="A6919" i="2"/>
  <c r="U6918" i="2"/>
  <c r="N6918" i="2"/>
  <c r="M6918" i="2"/>
  <c r="J6918" i="2"/>
  <c r="I6918" i="2"/>
  <c r="H6918" i="2"/>
  <c r="G6918" i="2"/>
  <c r="F6918" i="2"/>
  <c r="E6918" i="2"/>
  <c r="D6918" i="2"/>
  <c r="C6918" i="2"/>
  <c r="B6918" i="2"/>
  <c r="A6918" i="2"/>
  <c r="U6917" i="2"/>
  <c r="N6917" i="2"/>
  <c r="M6917" i="2"/>
  <c r="J6917" i="2"/>
  <c r="I6917" i="2"/>
  <c r="H6917" i="2"/>
  <c r="G6917" i="2"/>
  <c r="F6917" i="2"/>
  <c r="E6917" i="2"/>
  <c r="D6917" i="2"/>
  <c r="C6917" i="2"/>
  <c r="B6917" i="2"/>
  <c r="A6917" i="2"/>
  <c r="U6916" i="2"/>
  <c r="N6916" i="2"/>
  <c r="M6916" i="2"/>
  <c r="J6916" i="2"/>
  <c r="I6916" i="2"/>
  <c r="H6916" i="2"/>
  <c r="G6916" i="2"/>
  <c r="F6916" i="2"/>
  <c r="E6916" i="2"/>
  <c r="D6916" i="2"/>
  <c r="C6916" i="2"/>
  <c r="B6916" i="2"/>
  <c r="A6916" i="2"/>
  <c r="U6915" i="2"/>
  <c r="N6915" i="2"/>
  <c r="M6915" i="2"/>
  <c r="J6915" i="2"/>
  <c r="I6915" i="2"/>
  <c r="H6915" i="2"/>
  <c r="G6915" i="2"/>
  <c r="F6915" i="2"/>
  <c r="E6915" i="2"/>
  <c r="D6915" i="2"/>
  <c r="C6915" i="2"/>
  <c r="B6915" i="2"/>
  <c r="A6915" i="2"/>
  <c r="U6914" i="2"/>
  <c r="N6914" i="2"/>
  <c r="M6914" i="2"/>
  <c r="J6914" i="2"/>
  <c r="I6914" i="2"/>
  <c r="H6914" i="2"/>
  <c r="G6914" i="2"/>
  <c r="F6914" i="2"/>
  <c r="E6914" i="2"/>
  <c r="D6914" i="2"/>
  <c r="C6914" i="2"/>
  <c r="B6914" i="2"/>
  <c r="A6914" i="2"/>
  <c r="U6913" i="2"/>
  <c r="N6913" i="2"/>
  <c r="M6913" i="2"/>
  <c r="J6913" i="2"/>
  <c r="I6913" i="2"/>
  <c r="H6913" i="2"/>
  <c r="G6913" i="2"/>
  <c r="F6913" i="2"/>
  <c r="E6913" i="2"/>
  <c r="D6913" i="2"/>
  <c r="C6913" i="2"/>
  <c r="B6913" i="2"/>
  <c r="A6913" i="2"/>
  <c r="U6912" i="2"/>
  <c r="N6912" i="2"/>
  <c r="M6912" i="2"/>
  <c r="J6912" i="2"/>
  <c r="I6912" i="2"/>
  <c r="H6912" i="2"/>
  <c r="G6912" i="2"/>
  <c r="F6912" i="2"/>
  <c r="E6912" i="2"/>
  <c r="D6912" i="2"/>
  <c r="C6912" i="2"/>
  <c r="B6912" i="2"/>
  <c r="A6912" i="2"/>
  <c r="U6911" i="2"/>
  <c r="N6911" i="2"/>
  <c r="M6911" i="2"/>
  <c r="J6911" i="2"/>
  <c r="I6911" i="2"/>
  <c r="H6911" i="2"/>
  <c r="G6911" i="2"/>
  <c r="F6911" i="2"/>
  <c r="E6911" i="2"/>
  <c r="D6911" i="2"/>
  <c r="C6911" i="2"/>
  <c r="B6911" i="2"/>
  <c r="A6911" i="2"/>
  <c r="U6910" i="2"/>
  <c r="N6910" i="2"/>
  <c r="M6910" i="2"/>
  <c r="J6910" i="2"/>
  <c r="I6910" i="2"/>
  <c r="H6910" i="2"/>
  <c r="G6910" i="2"/>
  <c r="F6910" i="2"/>
  <c r="E6910" i="2"/>
  <c r="D6910" i="2"/>
  <c r="C6910" i="2"/>
  <c r="B6910" i="2"/>
  <c r="A6910" i="2"/>
  <c r="U6909" i="2"/>
  <c r="N6909" i="2"/>
  <c r="M6909" i="2"/>
  <c r="J6909" i="2"/>
  <c r="I6909" i="2"/>
  <c r="H6909" i="2"/>
  <c r="G6909" i="2"/>
  <c r="F6909" i="2"/>
  <c r="E6909" i="2"/>
  <c r="D6909" i="2"/>
  <c r="C6909" i="2"/>
  <c r="B6909" i="2"/>
  <c r="A6909" i="2"/>
  <c r="U6908" i="2"/>
  <c r="N6908" i="2"/>
  <c r="M6908" i="2"/>
  <c r="J6908" i="2"/>
  <c r="I6908" i="2"/>
  <c r="H6908" i="2"/>
  <c r="G6908" i="2"/>
  <c r="F6908" i="2"/>
  <c r="E6908" i="2"/>
  <c r="D6908" i="2"/>
  <c r="C6908" i="2"/>
  <c r="B6908" i="2"/>
  <c r="A6908" i="2"/>
  <c r="U6907" i="2"/>
  <c r="N6907" i="2"/>
  <c r="M6907" i="2"/>
  <c r="J6907" i="2"/>
  <c r="I6907" i="2"/>
  <c r="H6907" i="2"/>
  <c r="G6907" i="2"/>
  <c r="F6907" i="2"/>
  <c r="E6907" i="2"/>
  <c r="D6907" i="2"/>
  <c r="C6907" i="2"/>
  <c r="B6907" i="2"/>
  <c r="A6907" i="2"/>
  <c r="U6906" i="2"/>
  <c r="N6906" i="2"/>
  <c r="M6906" i="2"/>
  <c r="J6906" i="2"/>
  <c r="I6906" i="2"/>
  <c r="H6906" i="2"/>
  <c r="G6906" i="2"/>
  <c r="F6906" i="2"/>
  <c r="E6906" i="2"/>
  <c r="D6906" i="2"/>
  <c r="C6906" i="2"/>
  <c r="B6906" i="2"/>
  <c r="A6906" i="2"/>
  <c r="U6905" i="2"/>
  <c r="N6905" i="2"/>
  <c r="M6905" i="2"/>
  <c r="J6905" i="2"/>
  <c r="I6905" i="2"/>
  <c r="H6905" i="2"/>
  <c r="G6905" i="2"/>
  <c r="F6905" i="2"/>
  <c r="E6905" i="2"/>
  <c r="D6905" i="2"/>
  <c r="C6905" i="2"/>
  <c r="B6905" i="2"/>
  <c r="A6905" i="2"/>
  <c r="U6904" i="2"/>
  <c r="N6904" i="2"/>
  <c r="M6904" i="2"/>
  <c r="J6904" i="2"/>
  <c r="I6904" i="2"/>
  <c r="H6904" i="2"/>
  <c r="G6904" i="2"/>
  <c r="F6904" i="2"/>
  <c r="E6904" i="2"/>
  <c r="D6904" i="2"/>
  <c r="C6904" i="2"/>
  <c r="B6904" i="2"/>
  <c r="A6904" i="2"/>
  <c r="U6903" i="2"/>
  <c r="N6903" i="2"/>
  <c r="M6903" i="2"/>
  <c r="J6903" i="2"/>
  <c r="I6903" i="2"/>
  <c r="H6903" i="2"/>
  <c r="G6903" i="2"/>
  <c r="F6903" i="2"/>
  <c r="E6903" i="2"/>
  <c r="D6903" i="2"/>
  <c r="C6903" i="2"/>
  <c r="B6903" i="2"/>
  <c r="A6903" i="2"/>
  <c r="U6902" i="2"/>
  <c r="N6902" i="2"/>
  <c r="M6902" i="2"/>
  <c r="J6902" i="2"/>
  <c r="I6902" i="2"/>
  <c r="H6902" i="2"/>
  <c r="G6902" i="2"/>
  <c r="F6902" i="2"/>
  <c r="E6902" i="2"/>
  <c r="D6902" i="2"/>
  <c r="C6902" i="2"/>
  <c r="B6902" i="2"/>
  <c r="A6902" i="2"/>
  <c r="U6901" i="2"/>
  <c r="N6901" i="2"/>
  <c r="M6901" i="2"/>
  <c r="J6901" i="2"/>
  <c r="I6901" i="2"/>
  <c r="H6901" i="2"/>
  <c r="G6901" i="2"/>
  <c r="F6901" i="2"/>
  <c r="E6901" i="2"/>
  <c r="D6901" i="2"/>
  <c r="C6901" i="2"/>
  <c r="B6901" i="2"/>
  <c r="A6901" i="2"/>
  <c r="U6900" i="2"/>
  <c r="N6900" i="2"/>
  <c r="M6900" i="2"/>
  <c r="J6900" i="2"/>
  <c r="I6900" i="2"/>
  <c r="H6900" i="2"/>
  <c r="G6900" i="2"/>
  <c r="F6900" i="2"/>
  <c r="E6900" i="2"/>
  <c r="D6900" i="2"/>
  <c r="C6900" i="2"/>
  <c r="B6900" i="2"/>
  <c r="A6900" i="2"/>
  <c r="U6899" i="2"/>
  <c r="N6899" i="2"/>
  <c r="M6899" i="2"/>
  <c r="J6899" i="2"/>
  <c r="I6899" i="2"/>
  <c r="H6899" i="2"/>
  <c r="G6899" i="2"/>
  <c r="F6899" i="2"/>
  <c r="E6899" i="2"/>
  <c r="D6899" i="2"/>
  <c r="C6899" i="2"/>
  <c r="B6899" i="2"/>
  <c r="A6899" i="2"/>
  <c r="U6898" i="2"/>
  <c r="N6898" i="2"/>
  <c r="M6898" i="2"/>
  <c r="J6898" i="2"/>
  <c r="I6898" i="2"/>
  <c r="H6898" i="2"/>
  <c r="G6898" i="2"/>
  <c r="F6898" i="2"/>
  <c r="E6898" i="2"/>
  <c r="D6898" i="2"/>
  <c r="C6898" i="2"/>
  <c r="B6898" i="2"/>
  <c r="A6898" i="2"/>
  <c r="U6897" i="2"/>
  <c r="N6897" i="2"/>
  <c r="M6897" i="2"/>
  <c r="J6897" i="2"/>
  <c r="I6897" i="2"/>
  <c r="H6897" i="2"/>
  <c r="G6897" i="2"/>
  <c r="F6897" i="2"/>
  <c r="E6897" i="2"/>
  <c r="D6897" i="2"/>
  <c r="C6897" i="2"/>
  <c r="B6897" i="2"/>
  <c r="A6897" i="2"/>
  <c r="U6896" i="2"/>
  <c r="N6896" i="2"/>
  <c r="M6896" i="2"/>
  <c r="J6896" i="2"/>
  <c r="I6896" i="2"/>
  <c r="H6896" i="2"/>
  <c r="G6896" i="2"/>
  <c r="F6896" i="2"/>
  <c r="E6896" i="2"/>
  <c r="D6896" i="2"/>
  <c r="C6896" i="2"/>
  <c r="B6896" i="2"/>
  <c r="A6896" i="2"/>
  <c r="U6895" i="2"/>
  <c r="N6895" i="2"/>
  <c r="M6895" i="2"/>
  <c r="J6895" i="2"/>
  <c r="I6895" i="2"/>
  <c r="H6895" i="2"/>
  <c r="G6895" i="2"/>
  <c r="F6895" i="2"/>
  <c r="E6895" i="2"/>
  <c r="D6895" i="2"/>
  <c r="C6895" i="2"/>
  <c r="B6895" i="2"/>
  <c r="A6895" i="2"/>
  <c r="U6894" i="2"/>
  <c r="N6894" i="2"/>
  <c r="M6894" i="2"/>
  <c r="J6894" i="2"/>
  <c r="I6894" i="2"/>
  <c r="H6894" i="2"/>
  <c r="G6894" i="2"/>
  <c r="F6894" i="2"/>
  <c r="E6894" i="2"/>
  <c r="D6894" i="2"/>
  <c r="C6894" i="2"/>
  <c r="B6894" i="2"/>
  <c r="A6894" i="2"/>
  <c r="U6893" i="2"/>
  <c r="N6893" i="2"/>
  <c r="M6893" i="2"/>
  <c r="J6893" i="2"/>
  <c r="I6893" i="2"/>
  <c r="H6893" i="2"/>
  <c r="G6893" i="2"/>
  <c r="F6893" i="2"/>
  <c r="E6893" i="2"/>
  <c r="D6893" i="2"/>
  <c r="C6893" i="2"/>
  <c r="B6893" i="2"/>
  <c r="A6893" i="2"/>
  <c r="U6892" i="2"/>
  <c r="N6892" i="2"/>
  <c r="M6892" i="2"/>
  <c r="J6892" i="2"/>
  <c r="I6892" i="2"/>
  <c r="H6892" i="2"/>
  <c r="G6892" i="2"/>
  <c r="F6892" i="2"/>
  <c r="E6892" i="2"/>
  <c r="D6892" i="2"/>
  <c r="C6892" i="2"/>
  <c r="B6892" i="2"/>
  <c r="A6892" i="2"/>
  <c r="U6891" i="2"/>
  <c r="N6891" i="2"/>
  <c r="M6891" i="2"/>
  <c r="J6891" i="2"/>
  <c r="I6891" i="2"/>
  <c r="H6891" i="2"/>
  <c r="G6891" i="2"/>
  <c r="F6891" i="2"/>
  <c r="E6891" i="2"/>
  <c r="D6891" i="2"/>
  <c r="C6891" i="2"/>
  <c r="B6891" i="2"/>
  <c r="A6891" i="2"/>
  <c r="U6890" i="2"/>
  <c r="N6890" i="2"/>
  <c r="M6890" i="2"/>
  <c r="J6890" i="2"/>
  <c r="I6890" i="2"/>
  <c r="H6890" i="2"/>
  <c r="G6890" i="2"/>
  <c r="F6890" i="2"/>
  <c r="E6890" i="2"/>
  <c r="D6890" i="2"/>
  <c r="C6890" i="2"/>
  <c r="B6890" i="2"/>
  <c r="A6890" i="2"/>
  <c r="U6889" i="2"/>
  <c r="N6889" i="2"/>
  <c r="M6889" i="2"/>
  <c r="J6889" i="2"/>
  <c r="I6889" i="2"/>
  <c r="H6889" i="2"/>
  <c r="G6889" i="2"/>
  <c r="F6889" i="2"/>
  <c r="E6889" i="2"/>
  <c r="D6889" i="2"/>
  <c r="C6889" i="2"/>
  <c r="B6889" i="2"/>
  <c r="A6889" i="2"/>
  <c r="U6888" i="2"/>
  <c r="N6888" i="2"/>
  <c r="M6888" i="2"/>
  <c r="J6888" i="2"/>
  <c r="I6888" i="2"/>
  <c r="H6888" i="2"/>
  <c r="G6888" i="2"/>
  <c r="F6888" i="2"/>
  <c r="E6888" i="2"/>
  <c r="D6888" i="2"/>
  <c r="C6888" i="2"/>
  <c r="B6888" i="2"/>
  <c r="A6888" i="2"/>
  <c r="U6887" i="2"/>
  <c r="N6887" i="2"/>
  <c r="M6887" i="2"/>
  <c r="J6887" i="2"/>
  <c r="I6887" i="2"/>
  <c r="H6887" i="2"/>
  <c r="G6887" i="2"/>
  <c r="F6887" i="2"/>
  <c r="E6887" i="2"/>
  <c r="D6887" i="2"/>
  <c r="C6887" i="2"/>
  <c r="B6887" i="2"/>
  <c r="A6887" i="2"/>
  <c r="U6886" i="2"/>
  <c r="N6886" i="2"/>
  <c r="M6886" i="2"/>
  <c r="J6886" i="2"/>
  <c r="I6886" i="2"/>
  <c r="H6886" i="2"/>
  <c r="G6886" i="2"/>
  <c r="F6886" i="2"/>
  <c r="E6886" i="2"/>
  <c r="D6886" i="2"/>
  <c r="C6886" i="2"/>
  <c r="B6886" i="2"/>
  <c r="A6886" i="2"/>
  <c r="U6885" i="2"/>
  <c r="N6885" i="2"/>
  <c r="M6885" i="2"/>
  <c r="J6885" i="2"/>
  <c r="I6885" i="2"/>
  <c r="H6885" i="2"/>
  <c r="G6885" i="2"/>
  <c r="F6885" i="2"/>
  <c r="E6885" i="2"/>
  <c r="D6885" i="2"/>
  <c r="C6885" i="2"/>
  <c r="B6885" i="2"/>
  <c r="A6885" i="2"/>
  <c r="U6884" i="2"/>
  <c r="N6884" i="2"/>
  <c r="M6884" i="2"/>
  <c r="J6884" i="2"/>
  <c r="I6884" i="2"/>
  <c r="H6884" i="2"/>
  <c r="G6884" i="2"/>
  <c r="F6884" i="2"/>
  <c r="E6884" i="2"/>
  <c r="D6884" i="2"/>
  <c r="C6884" i="2"/>
  <c r="B6884" i="2"/>
  <c r="A6884" i="2"/>
  <c r="U6883" i="2"/>
  <c r="N6883" i="2"/>
  <c r="M6883" i="2"/>
  <c r="J6883" i="2"/>
  <c r="I6883" i="2"/>
  <c r="H6883" i="2"/>
  <c r="G6883" i="2"/>
  <c r="F6883" i="2"/>
  <c r="E6883" i="2"/>
  <c r="D6883" i="2"/>
  <c r="C6883" i="2"/>
  <c r="B6883" i="2"/>
  <c r="A6883" i="2"/>
  <c r="U6882" i="2"/>
  <c r="N6882" i="2"/>
  <c r="M6882" i="2"/>
  <c r="J6882" i="2"/>
  <c r="I6882" i="2"/>
  <c r="H6882" i="2"/>
  <c r="G6882" i="2"/>
  <c r="F6882" i="2"/>
  <c r="E6882" i="2"/>
  <c r="D6882" i="2"/>
  <c r="C6882" i="2"/>
  <c r="B6882" i="2"/>
  <c r="A6882" i="2"/>
  <c r="U6881" i="2"/>
  <c r="N6881" i="2"/>
  <c r="M6881" i="2"/>
  <c r="J6881" i="2"/>
  <c r="I6881" i="2"/>
  <c r="H6881" i="2"/>
  <c r="G6881" i="2"/>
  <c r="F6881" i="2"/>
  <c r="E6881" i="2"/>
  <c r="D6881" i="2"/>
  <c r="C6881" i="2"/>
  <c r="B6881" i="2"/>
  <c r="A6881" i="2"/>
  <c r="U6880" i="2"/>
  <c r="N6880" i="2"/>
  <c r="M6880" i="2"/>
  <c r="J6880" i="2"/>
  <c r="I6880" i="2"/>
  <c r="H6880" i="2"/>
  <c r="G6880" i="2"/>
  <c r="F6880" i="2"/>
  <c r="E6880" i="2"/>
  <c r="D6880" i="2"/>
  <c r="C6880" i="2"/>
  <c r="B6880" i="2"/>
  <c r="A6880" i="2"/>
  <c r="U6879" i="2"/>
  <c r="N6879" i="2"/>
  <c r="M6879" i="2"/>
  <c r="J6879" i="2"/>
  <c r="I6879" i="2"/>
  <c r="H6879" i="2"/>
  <c r="G6879" i="2"/>
  <c r="F6879" i="2"/>
  <c r="E6879" i="2"/>
  <c r="D6879" i="2"/>
  <c r="C6879" i="2"/>
  <c r="B6879" i="2"/>
  <c r="A6879" i="2"/>
  <c r="U6878" i="2"/>
  <c r="N6878" i="2"/>
  <c r="M6878" i="2"/>
  <c r="J6878" i="2"/>
  <c r="I6878" i="2"/>
  <c r="H6878" i="2"/>
  <c r="G6878" i="2"/>
  <c r="F6878" i="2"/>
  <c r="E6878" i="2"/>
  <c r="D6878" i="2"/>
  <c r="C6878" i="2"/>
  <c r="B6878" i="2"/>
  <c r="A6878" i="2"/>
  <c r="U6877" i="2"/>
  <c r="N6877" i="2"/>
  <c r="M6877" i="2"/>
  <c r="J6877" i="2"/>
  <c r="I6877" i="2"/>
  <c r="H6877" i="2"/>
  <c r="G6877" i="2"/>
  <c r="F6877" i="2"/>
  <c r="E6877" i="2"/>
  <c r="D6877" i="2"/>
  <c r="C6877" i="2"/>
  <c r="B6877" i="2"/>
  <c r="A6877" i="2"/>
  <c r="U6876" i="2"/>
  <c r="N6876" i="2"/>
  <c r="M6876" i="2"/>
  <c r="J6876" i="2"/>
  <c r="I6876" i="2"/>
  <c r="H6876" i="2"/>
  <c r="G6876" i="2"/>
  <c r="F6876" i="2"/>
  <c r="E6876" i="2"/>
  <c r="D6876" i="2"/>
  <c r="C6876" i="2"/>
  <c r="B6876" i="2"/>
  <c r="A6876" i="2"/>
  <c r="U6875" i="2"/>
  <c r="N6875" i="2"/>
  <c r="M6875" i="2"/>
  <c r="J6875" i="2"/>
  <c r="I6875" i="2"/>
  <c r="H6875" i="2"/>
  <c r="G6875" i="2"/>
  <c r="F6875" i="2"/>
  <c r="E6875" i="2"/>
  <c r="D6875" i="2"/>
  <c r="C6875" i="2"/>
  <c r="B6875" i="2"/>
  <c r="A6875" i="2"/>
  <c r="U6874" i="2"/>
  <c r="N6874" i="2"/>
  <c r="M6874" i="2"/>
  <c r="J6874" i="2"/>
  <c r="I6874" i="2"/>
  <c r="H6874" i="2"/>
  <c r="G6874" i="2"/>
  <c r="F6874" i="2"/>
  <c r="E6874" i="2"/>
  <c r="D6874" i="2"/>
  <c r="C6874" i="2"/>
  <c r="B6874" i="2"/>
  <c r="A6874" i="2"/>
  <c r="U6873" i="2"/>
  <c r="N6873" i="2"/>
  <c r="M6873" i="2"/>
  <c r="J6873" i="2"/>
  <c r="I6873" i="2"/>
  <c r="H6873" i="2"/>
  <c r="G6873" i="2"/>
  <c r="F6873" i="2"/>
  <c r="E6873" i="2"/>
  <c r="D6873" i="2"/>
  <c r="C6873" i="2"/>
  <c r="B6873" i="2"/>
  <c r="A6873" i="2"/>
  <c r="U6872" i="2"/>
  <c r="N6872" i="2"/>
  <c r="M6872" i="2"/>
  <c r="J6872" i="2"/>
  <c r="I6872" i="2"/>
  <c r="H6872" i="2"/>
  <c r="G6872" i="2"/>
  <c r="F6872" i="2"/>
  <c r="E6872" i="2"/>
  <c r="D6872" i="2"/>
  <c r="C6872" i="2"/>
  <c r="B6872" i="2"/>
  <c r="A6872" i="2"/>
  <c r="U6871" i="2"/>
  <c r="N6871" i="2"/>
  <c r="M6871" i="2"/>
  <c r="J6871" i="2"/>
  <c r="I6871" i="2"/>
  <c r="H6871" i="2"/>
  <c r="G6871" i="2"/>
  <c r="F6871" i="2"/>
  <c r="E6871" i="2"/>
  <c r="D6871" i="2"/>
  <c r="C6871" i="2"/>
  <c r="B6871" i="2"/>
  <c r="A6871" i="2"/>
  <c r="U6870" i="2"/>
  <c r="N6870" i="2"/>
  <c r="M6870" i="2"/>
  <c r="J6870" i="2"/>
  <c r="I6870" i="2"/>
  <c r="H6870" i="2"/>
  <c r="G6870" i="2"/>
  <c r="F6870" i="2"/>
  <c r="E6870" i="2"/>
  <c r="D6870" i="2"/>
  <c r="C6870" i="2"/>
  <c r="B6870" i="2"/>
  <c r="A6870" i="2"/>
  <c r="U6869" i="2"/>
  <c r="N6869" i="2"/>
  <c r="M6869" i="2"/>
  <c r="J6869" i="2"/>
  <c r="I6869" i="2"/>
  <c r="H6869" i="2"/>
  <c r="G6869" i="2"/>
  <c r="F6869" i="2"/>
  <c r="E6869" i="2"/>
  <c r="D6869" i="2"/>
  <c r="C6869" i="2"/>
  <c r="B6869" i="2"/>
  <c r="A6869" i="2"/>
  <c r="U6868" i="2"/>
  <c r="N6868" i="2"/>
  <c r="M6868" i="2"/>
  <c r="J6868" i="2"/>
  <c r="I6868" i="2"/>
  <c r="H6868" i="2"/>
  <c r="G6868" i="2"/>
  <c r="F6868" i="2"/>
  <c r="E6868" i="2"/>
  <c r="D6868" i="2"/>
  <c r="C6868" i="2"/>
  <c r="B6868" i="2"/>
  <c r="A6868" i="2"/>
  <c r="U6867" i="2"/>
  <c r="N6867" i="2"/>
  <c r="M6867" i="2"/>
  <c r="J6867" i="2"/>
  <c r="I6867" i="2"/>
  <c r="H6867" i="2"/>
  <c r="G6867" i="2"/>
  <c r="F6867" i="2"/>
  <c r="E6867" i="2"/>
  <c r="D6867" i="2"/>
  <c r="C6867" i="2"/>
  <c r="B6867" i="2"/>
  <c r="A6867" i="2"/>
  <c r="U6866" i="2"/>
  <c r="N6866" i="2"/>
  <c r="M6866" i="2"/>
  <c r="J6866" i="2"/>
  <c r="I6866" i="2"/>
  <c r="H6866" i="2"/>
  <c r="G6866" i="2"/>
  <c r="F6866" i="2"/>
  <c r="E6866" i="2"/>
  <c r="D6866" i="2"/>
  <c r="C6866" i="2"/>
  <c r="B6866" i="2"/>
  <c r="A6866" i="2"/>
  <c r="U6865" i="2"/>
  <c r="N6865" i="2"/>
  <c r="M6865" i="2"/>
  <c r="J6865" i="2"/>
  <c r="I6865" i="2"/>
  <c r="H6865" i="2"/>
  <c r="G6865" i="2"/>
  <c r="F6865" i="2"/>
  <c r="E6865" i="2"/>
  <c r="D6865" i="2"/>
  <c r="C6865" i="2"/>
  <c r="B6865" i="2"/>
  <c r="A6865" i="2"/>
  <c r="U6864" i="2"/>
  <c r="N6864" i="2"/>
  <c r="M6864" i="2"/>
  <c r="J6864" i="2"/>
  <c r="I6864" i="2"/>
  <c r="H6864" i="2"/>
  <c r="G6864" i="2"/>
  <c r="F6864" i="2"/>
  <c r="E6864" i="2"/>
  <c r="D6864" i="2"/>
  <c r="C6864" i="2"/>
  <c r="B6864" i="2"/>
  <c r="A6864" i="2"/>
  <c r="U6863" i="2"/>
  <c r="N6863" i="2"/>
  <c r="M6863" i="2"/>
  <c r="J6863" i="2"/>
  <c r="I6863" i="2"/>
  <c r="H6863" i="2"/>
  <c r="G6863" i="2"/>
  <c r="F6863" i="2"/>
  <c r="E6863" i="2"/>
  <c r="D6863" i="2"/>
  <c r="C6863" i="2"/>
  <c r="B6863" i="2"/>
  <c r="A6863" i="2"/>
  <c r="U6862" i="2"/>
  <c r="N6862" i="2"/>
  <c r="M6862" i="2"/>
  <c r="J6862" i="2"/>
  <c r="I6862" i="2"/>
  <c r="H6862" i="2"/>
  <c r="G6862" i="2"/>
  <c r="F6862" i="2"/>
  <c r="E6862" i="2"/>
  <c r="D6862" i="2"/>
  <c r="C6862" i="2"/>
  <c r="B6862" i="2"/>
  <c r="A6862" i="2"/>
  <c r="U6861" i="2"/>
  <c r="N6861" i="2"/>
  <c r="M6861" i="2"/>
  <c r="J6861" i="2"/>
  <c r="I6861" i="2"/>
  <c r="H6861" i="2"/>
  <c r="G6861" i="2"/>
  <c r="F6861" i="2"/>
  <c r="E6861" i="2"/>
  <c r="D6861" i="2"/>
  <c r="C6861" i="2"/>
  <c r="B6861" i="2"/>
  <c r="A6861" i="2"/>
  <c r="U6860" i="2"/>
  <c r="N6860" i="2"/>
  <c r="M6860" i="2"/>
  <c r="J6860" i="2"/>
  <c r="I6860" i="2"/>
  <c r="H6860" i="2"/>
  <c r="G6860" i="2"/>
  <c r="F6860" i="2"/>
  <c r="E6860" i="2"/>
  <c r="D6860" i="2"/>
  <c r="C6860" i="2"/>
  <c r="B6860" i="2"/>
  <c r="A6860" i="2"/>
  <c r="U6859" i="2"/>
  <c r="N6859" i="2"/>
  <c r="M6859" i="2"/>
  <c r="J6859" i="2"/>
  <c r="I6859" i="2"/>
  <c r="H6859" i="2"/>
  <c r="G6859" i="2"/>
  <c r="F6859" i="2"/>
  <c r="E6859" i="2"/>
  <c r="D6859" i="2"/>
  <c r="C6859" i="2"/>
  <c r="B6859" i="2"/>
  <c r="A6859" i="2"/>
  <c r="U6858" i="2"/>
  <c r="N6858" i="2"/>
  <c r="M6858" i="2"/>
  <c r="J6858" i="2"/>
  <c r="I6858" i="2"/>
  <c r="H6858" i="2"/>
  <c r="G6858" i="2"/>
  <c r="F6858" i="2"/>
  <c r="E6858" i="2"/>
  <c r="D6858" i="2"/>
  <c r="C6858" i="2"/>
  <c r="B6858" i="2"/>
  <c r="A6858" i="2"/>
  <c r="U6857" i="2"/>
  <c r="N6857" i="2"/>
  <c r="M6857" i="2"/>
  <c r="J6857" i="2"/>
  <c r="I6857" i="2"/>
  <c r="H6857" i="2"/>
  <c r="G6857" i="2"/>
  <c r="F6857" i="2"/>
  <c r="E6857" i="2"/>
  <c r="D6857" i="2"/>
  <c r="C6857" i="2"/>
  <c r="B6857" i="2"/>
  <c r="A6857" i="2"/>
  <c r="U6856" i="2"/>
  <c r="N6856" i="2"/>
  <c r="M6856" i="2"/>
  <c r="J6856" i="2"/>
  <c r="I6856" i="2"/>
  <c r="H6856" i="2"/>
  <c r="G6856" i="2"/>
  <c r="F6856" i="2"/>
  <c r="E6856" i="2"/>
  <c r="D6856" i="2"/>
  <c r="C6856" i="2"/>
  <c r="B6856" i="2"/>
  <c r="A6856" i="2"/>
  <c r="U6855" i="2"/>
  <c r="N6855" i="2"/>
  <c r="M6855" i="2"/>
  <c r="J6855" i="2"/>
  <c r="I6855" i="2"/>
  <c r="H6855" i="2"/>
  <c r="G6855" i="2"/>
  <c r="F6855" i="2"/>
  <c r="E6855" i="2"/>
  <c r="D6855" i="2"/>
  <c r="C6855" i="2"/>
  <c r="B6855" i="2"/>
  <c r="A6855" i="2"/>
  <c r="U6854" i="2"/>
  <c r="N6854" i="2"/>
  <c r="M6854" i="2"/>
  <c r="J6854" i="2"/>
  <c r="I6854" i="2"/>
  <c r="H6854" i="2"/>
  <c r="G6854" i="2"/>
  <c r="F6854" i="2"/>
  <c r="E6854" i="2"/>
  <c r="D6854" i="2"/>
  <c r="C6854" i="2"/>
  <c r="B6854" i="2"/>
  <c r="A6854" i="2"/>
  <c r="U6853" i="2"/>
  <c r="N6853" i="2"/>
  <c r="M6853" i="2"/>
  <c r="J6853" i="2"/>
  <c r="I6853" i="2"/>
  <c r="H6853" i="2"/>
  <c r="G6853" i="2"/>
  <c r="F6853" i="2"/>
  <c r="E6853" i="2"/>
  <c r="D6853" i="2"/>
  <c r="C6853" i="2"/>
  <c r="B6853" i="2"/>
  <c r="A6853" i="2"/>
  <c r="U6852" i="2"/>
  <c r="N6852" i="2"/>
  <c r="M6852" i="2"/>
  <c r="J6852" i="2"/>
  <c r="I6852" i="2"/>
  <c r="H6852" i="2"/>
  <c r="G6852" i="2"/>
  <c r="F6852" i="2"/>
  <c r="E6852" i="2"/>
  <c r="D6852" i="2"/>
  <c r="C6852" i="2"/>
  <c r="B6852" i="2"/>
  <c r="A6852" i="2"/>
  <c r="U6851" i="2"/>
  <c r="N6851" i="2"/>
  <c r="M6851" i="2"/>
  <c r="J6851" i="2"/>
  <c r="I6851" i="2"/>
  <c r="H6851" i="2"/>
  <c r="G6851" i="2"/>
  <c r="F6851" i="2"/>
  <c r="E6851" i="2"/>
  <c r="D6851" i="2"/>
  <c r="C6851" i="2"/>
  <c r="B6851" i="2"/>
  <c r="A6851" i="2"/>
  <c r="U6850" i="2"/>
  <c r="N6850" i="2"/>
  <c r="M6850" i="2"/>
  <c r="J6850" i="2"/>
  <c r="I6850" i="2"/>
  <c r="H6850" i="2"/>
  <c r="G6850" i="2"/>
  <c r="F6850" i="2"/>
  <c r="E6850" i="2"/>
  <c r="D6850" i="2"/>
  <c r="C6850" i="2"/>
  <c r="B6850" i="2"/>
  <c r="A6850" i="2"/>
  <c r="U6849" i="2"/>
  <c r="N6849" i="2"/>
  <c r="M6849" i="2"/>
  <c r="J6849" i="2"/>
  <c r="I6849" i="2"/>
  <c r="H6849" i="2"/>
  <c r="G6849" i="2"/>
  <c r="F6849" i="2"/>
  <c r="E6849" i="2"/>
  <c r="D6849" i="2"/>
  <c r="C6849" i="2"/>
  <c r="B6849" i="2"/>
  <c r="A6849" i="2"/>
  <c r="U6848" i="2"/>
  <c r="N6848" i="2"/>
  <c r="M6848" i="2"/>
  <c r="J6848" i="2"/>
  <c r="I6848" i="2"/>
  <c r="H6848" i="2"/>
  <c r="G6848" i="2"/>
  <c r="F6848" i="2"/>
  <c r="E6848" i="2"/>
  <c r="D6848" i="2"/>
  <c r="C6848" i="2"/>
  <c r="B6848" i="2"/>
  <c r="A6848" i="2"/>
  <c r="U6847" i="2"/>
  <c r="N6847" i="2"/>
  <c r="M6847" i="2"/>
  <c r="J6847" i="2"/>
  <c r="I6847" i="2"/>
  <c r="H6847" i="2"/>
  <c r="G6847" i="2"/>
  <c r="F6847" i="2"/>
  <c r="E6847" i="2"/>
  <c r="D6847" i="2"/>
  <c r="C6847" i="2"/>
  <c r="B6847" i="2"/>
  <c r="A6847" i="2"/>
  <c r="U6846" i="2"/>
  <c r="N6846" i="2"/>
  <c r="M6846" i="2"/>
  <c r="J6846" i="2"/>
  <c r="I6846" i="2"/>
  <c r="H6846" i="2"/>
  <c r="G6846" i="2"/>
  <c r="F6846" i="2"/>
  <c r="E6846" i="2"/>
  <c r="D6846" i="2"/>
  <c r="C6846" i="2"/>
  <c r="B6846" i="2"/>
  <c r="A6846" i="2"/>
  <c r="U6845" i="2"/>
  <c r="N6845" i="2"/>
  <c r="M6845" i="2"/>
  <c r="J6845" i="2"/>
  <c r="I6845" i="2"/>
  <c r="H6845" i="2"/>
  <c r="G6845" i="2"/>
  <c r="F6845" i="2"/>
  <c r="E6845" i="2"/>
  <c r="D6845" i="2"/>
  <c r="C6845" i="2"/>
  <c r="B6845" i="2"/>
  <c r="A6845" i="2"/>
  <c r="U6844" i="2"/>
  <c r="N6844" i="2"/>
  <c r="M6844" i="2"/>
  <c r="J6844" i="2"/>
  <c r="I6844" i="2"/>
  <c r="H6844" i="2"/>
  <c r="G6844" i="2"/>
  <c r="F6844" i="2"/>
  <c r="E6844" i="2"/>
  <c r="D6844" i="2"/>
  <c r="C6844" i="2"/>
  <c r="B6844" i="2"/>
  <c r="A6844" i="2"/>
  <c r="U6843" i="2"/>
  <c r="N6843" i="2"/>
  <c r="M6843" i="2"/>
  <c r="J6843" i="2"/>
  <c r="I6843" i="2"/>
  <c r="H6843" i="2"/>
  <c r="G6843" i="2"/>
  <c r="F6843" i="2"/>
  <c r="E6843" i="2"/>
  <c r="D6843" i="2"/>
  <c r="C6843" i="2"/>
  <c r="B6843" i="2"/>
  <c r="A6843" i="2"/>
  <c r="U6842" i="2"/>
  <c r="N6842" i="2"/>
  <c r="M6842" i="2"/>
  <c r="J6842" i="2"/>
  <c r="I6842" i="2"/>
  <c r="H6842" i="2"/>
  <c r="G6842" i="2"/>
  <c r="F6842" i="2"/>
  <c r="E6842" i="2"/>
  <c r="D6842" i="2"/>
  <c r="C6842" i="2"/>
  <c r="B6842" i="2"/>
  <c r="A6842" i="2"/>
  <c r="U6841" i="2"/>
  <c r="N6841" i="2"/>
  <c r="M6841" i="2"/>
  <c r="J6841" i="2"/>
  <c r="I6841" i="2"/>
  <c r="H6841" i="2"/>
  <c r="G6841" i="2"/>
  <c r="F6841" i="2"/>
  <c r="E6841" i="2"/>
  <c r="D6841" i="2"/>
  <c r="C6841" i="2"/>
  <c r="B6841" i="2"/>
  <c r="A6841" i="2"/>
  <c r="U6840" i="2"/>
  <c r="N6840" i="2"/>
  <c r="M6840" i="2"/>
  <c r="J6840" i="2"/>
  <c r="I6840" i="2"/>
  <c r="H6840" i="2"/>
  <c r="G6840" i="2"/>
  <c r="F6840" i="2"/>
  <c r="E6840" i="2"/>
  <c r="D6840" i="2"/>
  <c r="C6840" i="2"/>
  <c r="B6840" i="2"/>
  <c r="A6840" i="2"/>
  <c r="U6839" i="2"/>
  <c r="N6839" i="2"/>
  <c r="M6839" i="2"/>
  <c r="J6839" i="2"/>
  <c r="I6839" i="2"/>
  <c r="H6839" i="2"/>
  <c r="G6839" i="2"/>
  <c r="F6839" i="2"/>
  <c r="E6839" i="2"/>
  <c r="D6839" i="2"/>
  <c r="C6839" i="2"/>
  <c r="B6839" i="2"/>
  <c r="A6839" i="2"/>
  <c r="U6838" i="2"/>
  <c r="N6838" i="2"/>
  <c r="M6838" i="2"/>
  <c r="J6838" i="2"/>
  <c r="I6838" i="2"/>
  <c r="H6838" i="2"/>
  <c r="G6838" i="2"/>
  <c r="F6838" i="2"/>
  <c r="E6838" i="2"/>
  <c r="D6838" i="2"/>
  <c r="C6838" i="2"/>
  <c r="B6838" i="2"/>
  <c r="A6838" i="2"/>
  <c r="U6837" i="2"/>
  <c r="N6837" i="2"/>
  <c r="M6837" i="2"/>
  <c r="J6837" i="2"/>
  <c r="I6837" i="2"/>
  <c r="H6837" i="2"/>
  <c r="G6837" i="2"/>
  <c r="F6837" i="2"/>
  <c r="E6837" i="2"/>
  <c r="D6837" i="2"/>
  <c r="C6837" i="2"/>
  <c r="B6837" i="2"/>
  <c r="A6837" i="2"/>
  <c r="U6836" i="2"/>
  <c r="N6836" i="2"/>
  <c r="M6836" i="2"/>
  <c r="J6836" i="2"/>
  <c r="I6836" i="2"/>
  <c r="H6836" i="2"/>
  <c r="G6836" i="2"/>
  <c r="F6836" i="2"/>
  <c r="E6836" i="2"/>
  <c r="D6836" i="2"/>
  <c r="C6836" i="2"/>
  <c r="B6836" i="2"/>
  <c r="A6836" i="2"/>
  <c r="U6835" i="2"/>
  <c r="N6835" i="2"/>
  <c r="M6835" i="2"/>
  <c r="J6835" i="2"/>
  <c r="I6835" i="2"/>
  <c r="H6835" i="2"/>
  <c r="G6835" i="2"/>
  <c r="F6835" i="2"/>
  <c r="E6835" i="2"/>
  <c r="D6835" i="2"/>
  <c r="C6835" i="2"/>
  <c r="B6835" i="2"/>
  <c r="A6835" i="2"/>
  <c r="U6834" i="2"/>
  <c r="N6834" i="2"/>
  <c r="M6834" i="2"/>
  <c r="J6834" i="2"/>
  <c r="I6834" i="2"/>
  <c r="H6834" i="2"/>
  <c r="G6834" i="2"/>
  <c r="F6834" i="2"/>
  <c r="E6834" i="2"/>
  <c r="D6834" i="2"/>
  <c r="C6834" i="2"/>
  <c r="B6834" i="2"/>
  <c r="A6834" i="2"/>
  <c r="U6833" i="2"/>
  <c r="N6833" i="2"/>
  <c r="M6833" i="2"/>
  <c r="J6833" i="2"/>
  <c r="I6833" i="2"/>
  <c r="H6833" i="2"/>
  <c r="G6833" i="2"/>
  <c r="F6833" i="2"/>
  <c r="E6833" i="2"/>
  <c r="D6833" i="2"/>
  <c r="C6833" i="2"/>
  <c r="B6833" i="2"/>
  <c r="A6833" i="2"/>
  <c r="U6832" i="2"/>
  <c r="N6832" i="2"/>
  <c r="M6832" i="2"/>
  <c r="J6832" i="2"/>
  <c r="I6832" i="2"/>
  <c r="H6832" i="2"/>
  <c r="G6832" i="2"/>
  <c r="F6832" i="2"/>
  <c r="E6832" i="2"/>
  <c r="D6832" i="2"/>
  <c r="C6832" i="2"/>
  <c r="B6832" i="2"/>
  <c r="A6832" i="2"/>
  <c r="U6831" i="2"/>
  <c r="N6831" i="2"/>
  <c r="M6831" i="2"/>
  <c r="J6831" i="2"/>
  <c r="I6831" i="2"/>
  <c r="H6831" i="2"/>
  <c r="G6831" i="2"/>
  <c r="F6831" i="2"/>
  <c r="E6831" i="2"/>
  <c r="D6831" i="2"/>
  <c r="C6831" i="2"/>
  <c r="B6831" i="2"/>
  <c r="A6831" i="2"/>
  <c r="U6830" i="2"/>
  <c r="N6830" i="2"/>
  <c r="M6830" i="2"/>
  <c r="J6830" i="2"/>
  <c r="I6830" i="2"/>
  <c r="H6830" i="2"/>
  <c r="G6830" i="2"/>
  <c r="F6830" i="2"/>
  <c r="E6830" i="2"/>
  <c r="D6830" i="2"/>
  <c r="C6830" i="2"/>
  <c r="B6830" i="2"/>
  <c r="A6830" i="2"/>
  <c r="U6829" i="2"/>
  <c r="N6829" i="2"/>
  <c r="M6829" i="2"/>
  <c r="J6829" i="2"/>
  <c r="I6829" i="2"/>
  <c r="H6829" i="2"/>
  <c r="G6829" i="2"/>
  <c r="F6829" i="2"/>
  <c r="E6829" i="2"/>
  <c r="D6829" i="2"/>
  <c r="C6829" i="2"/>
  <c r="B6829" i="2"/>
  <c r="A6829" i="2"/>
  <c r="U6828" i="2"/>
  <c r="N6828" i="2"/>
  <c r="M6828" i="2"/>
  <c r="J6828" i="2"/>
  <c r="I6828" i="2"/>
  <c r="H6828" i="2"/>
  <c r="G6828" i="2"/>
  <c r="F6828" i="2"/>
  <c r="E6828" i="2"/>
  <c r="D6828" i="2"/>
  <c r="C6828" i="2"/>
  <c r="B6828" i="2"/>
  <c r="A6828" i="2"/>
  <c r="U6827" i="2"/>
  <c r="N6827" i="2"/>
  <c r="M6827" i="2"/>
  <c r="J6827" i="2"/>
  <c r="I6827" i="2"/>
  <c r="H6827" i="2"/>
  <c r="G6827" i="2"/>
  <c r="F6827" i="2"/>
  <c r="E6827" i="2"/>
  <c r="D6827" i="2"/>
  <c r="C6827" i="2"/>
  <c r="B6827" i="2"/>
  <c r="A6827" i="2"/>
  <c r="U6826" i="2"/>
  <c r="N6826" i="2"/>
  <c r="M6826" i="2"/>
  <c r="J6826" i="2"/>
  <c r="I6826" i="2"/>
  <c r="H6826" i="2"/>
  <c r="G6826" i="2"/>
  <c r="F6826" i="2"/>
  <c r="E6826" i="2"/>
  <c r="D6826" i="2"/>
  <c r="C6826" i="2"/>
  <c r="B6826" i="2"/>
  <c r="A6826" i="2"/>
  <c r="U6825" i="2"/>
  <c r="N6825" i="2"/>
  <c r="M6825" i="2"/>
  <c r="J6825" i="2"/>
  <c r="I6825" i="2"/>
  <c r="H6825" i="2"/>
  <c r="G6825" i="2"/>
  <c r="F6825" i="2"/>
  <c r="E6825" i="2"/>
  <c r="D6825" i="2"/>
  <c r="C6825" i="2"/>
  <c r="B6825" i="2"/>
  <c r="A6825" i="2"/>
  <c r="U6824" i="2"/>
  <c r="N6824" i="2"/>
  <c r="M6824" i="2"/>
  <c r="J6824" i="2"/>
  <c r="I6824" i="2"/>
  <c r="H6824" i="2"/>
  <c r="G6824" i="2"/>
  <c r="F6824" i="2"/>
  <c r="E6824" i="2"/>
  <c r="D6824" i="2"/>
  <c r="C6824" i="2"/>
  <c r="B6824" i="2"/>
  <c r="A6824" i="2"/>
  <c r="U6823" i="2"/>
  <c r="N6823" i="2"/>
  <c r="M6823" i="2"/>
  <c r="J6823" i="2"/>
  <c r="I6823" i="2"/>
  <c r="H6823" i="2"/>
  <c r="G6823" i="2"/>
  <c r="F6823" i="2"/>
  <c r="E6823" i="2"/>
  <c r="D6823" i="2"/>
  <c r="C6823" i="2"/>
  <c r="B6823" i="2"/>
  <c r="A6823" i="2"/>
  <c r="U6822" i="2"/>
  <c r="N6822" i="2"/>
  <c r="M6822" i="2"/>
  <c r="J6822" i="2"/>
  <c r="I6822" i="2"/>
  <c r="H6822" i="2"/>
  <c r="G6822" i="2"/>
  <c r="F6822" i="2"/>
  <c r="E6822" i="2"/>
  <c r="D6822" i="2"/>
  <c r="C6822" i="2"/>
  <c r="B6822" i="2"/>
  <c r="A6822" i="2"/>
  <c r="U6821" i="2"/>
  <c r="N6821" i="2"/>
  <c r="M6821" i="2"/>
  <c r="J6821" i="2"/>
  <c r="I6821" i="2"/>
  <c r="H6821" i="2"/>
  <c r="G6821" i="2"/>
  <c r="F6821" i="2"/>
  <c r="E6821" i="2"/>
  <c r="D6821" i="2"/>
  <c r="C6821" i="2"/>
  <c r="B6821" i="2"/>
  <c r="A6821" i="2"/>
  <c r="U6820" i="2"/>
  <c r="N6820" i="2"/>
  <c r="M6820" i="2"/>
  <c r="J6820" i="2"/>
  <c r="I6820" i="2"/>
  <c r="H6820" i="2"/>
  <c r="G6820" i="2"/>
  <c r="F6820" i="2"/>
  <c r="E6820" i="2"/>
  <c r="D6820" i="2"/>
  <c r="C6820" i="2"/>
  <c r="B6820" i="2"/>
  <c r="A6820" i="2"/>
  <c r="U6819" i="2"/>
  <c r="N6819" i="2"/>
  <c r="M6819" i="2"/>
  <c r="J6819" i="2"/>
  <c r="I6819" i="2"/>
  <c r="H6819" i="2"/>
  <c r="G6819" i="2"/>
  <c r="F6819" i="2"/>
  <c r="E6819" i="2"/>
  <c r="D6819" i="2"/>
  <c r="C6819" i="2"/>
  <c r="B6819" i="2"/>
  <c r="A6819" i="2"/>
  <c r="U6818" i="2"/>
  <c r="N6818" i="2"/>
  <c r="M6818" i="2"/>
  <c r="J6818" i="2"/>
  <c r="I6818" i="2"/>
  <c r="H6818" i="2"/>
  <c r="G6818" i="2"/>
  <c r="F6818" i="2"/>
  <c r="E6818" i="2"/>
  <c r="D6818" i="2"/>
  <c r="C6818" i="2"/>
  <c r="B6818" i="2"/>
  <c r="A6818" i="2"/>
  <c r="U6817" i="2"/>
  <c r="N6817" i="2"/>
  <c r="M6817" i="2"/>
  <c r="J6817" i="2"/>
  <c r="I6817" i="2"/>
  <c r="H6817" i="2"/>
  <c r="G6817" i="2"/>
  <c r="F6817" i="2"/>
  <c r="E6817" i="2"/>
  <c r="D6817" i="2"/>
  <c r="C6817" i="2"/>
  <c r="B6817" i="2"/>
  <c r="A6817" i="2"/>
  <c r="U6816" i="2"/>
  <c r="N6816" i="2"/>
  <c r="M6816" i="2"/>
  <c r="J6816" i="2"/>
  <c r="I6816" i="2"/>
  <c r="H6816" i="2"/>
  <c r="G6816" i="2"/>
  <c r="F6816" i="2"/>
  <c r="E6816" i="2"/>
  <c r="D6816" i="2"/>
  <c r="C6816" i="2"/>
  <c r="B6816" i="2"/>
  <c r="A6816" i="2"/>
  <c r="U6815" i="2"/>
  <c r="N6815" i="2"/>
  <c r="M6815" i="2"/>
  <c r="J6815" i="2"/>
  <c r="I6815" i="2"/>
  <c r="H6815" i="2"/>
  <c r="G6815" i="2"/>
  <c r="F6815" i="2"/>
  <c r="E6815" i="2"/>
  <c r="D6815" i="2"/>
  <c r="C6815" i="2"/>
  <c r="B6815" i="2"/>
  <c r="A6815" i="2"/>
  <c r="U6814" i="2"/>
  <c r="N6814" i="2"/>
  <c r="M6814" i="2"/>
  <c r="J6814" i="2"/>
  <c r="I6814" i="2"/>
  <c r="H6814" i="2"/>
  <c r="G6814" i="2"/>
  <c r="F6814" i="2"/>
  <c r="E6814" i="2"/>
  <c r="D6814" i="2"/>
  <c r="C6814" i="2"/>
  <c r="B6814" i="2"/>
  <c r="A6814" i="2"/>
  <c r="U6813" i="2"/>
  <c r="N6813" i="2"/>
  <c r="M6813" i="2"/>
  <c r="J6813" i="2"/>
  <c r="I6813" i="2"/>
  <c r="H6813" i="2"/>
  <c r="G6813" i="2"/>
  <c r="F6813" i="2"/>
  <c r="E6813" i="2"/>
  <c r="D6813" i="2"/>
  <c r="C6813" i="2"/>
  <c r="B6813" i="2"/>
  <c r="A6813" i="2"/>
  <c r="U6812" i="2"/>
  <c r="N6812" i="2"/>
  <c r="M6812" i="2"/>
  <c r="J6812" i="2"/>
  <c r="I6812" i="2"/>
  <c r="H6812" i="2"/>
  <c r="G6812" i="2"/>
  <c r="F6812" i="2"/>
  <c r="E6812" i="2"/>
  <c r="D6812" i="2"/>
  <c r="C6812" i="2"/>
  <c r="B6812" i="2"/>
  <c r="A6812" i="2"/>
  <c r="U6811" i="2"/>
  <c r="N6811" i="2"/>
  <c r="M6811" i="2"/>
  <c r="J6811" i="2"/>
  <c r="I6811" i="2"/>
  <c r="H6811" i="2"/>
  <c r="G6811" i="2"/>
  <c r="F6811" i="2"/>
  <c r="E6811" i="2"/>
  <c r="D6811" i="2"/>
  <c r="C6811" i="2"/>
  <c r="B6811" i="2"/>
  <c r="A6811" i="2"/>
  <c r="U6810" i="2"/>
  <c r="N6810" i="2"/>
  <c r="M6810" i="2"/>
  <c r="J6810" i="2"/>
  <c r="I6810" i="2"/>
  <c r="H6810" i="2"/>
  <c r="G6810" i="2"/>
  <c r="F6810" i="2"/>
  <c r="E6810" i="2"/>
  <c r="D6810" i="2"/>
  <c r="C6810" i="2"/>
  <c r="B6810" i="2"/>
  <c r="A6810" i="2"/>
  <c r="U6809" i="2"/>
  <c r="N6809" i="2"/>
  <c r="M6809" i="2"/>
  <c r="J6809" i="2"/>
  <c r="I6809" i="2"/>
  <c r="H6809" i="2"/>
  <c r="G6809" i="2"/>
  <c r="F6809" i="2"/>
  <c r="E6809" i="2"/>
  <c r="D6809" i="2"/>
  <c r="C6809" i="2"/>
  <c r="B6809" i="2"/>
  <c r="A6809" i="2"/>
  <c r="U6808" i="2"/>
  <c r="N6808" i="2"/>
  <c r="M6808" i="2"/>
  <c r="J6808" i="2"/>
  <c r="I6808" i="2"/>
  <c r="H6808" i="2"/>
  <c r="G6808" i="2"/>
  <c r="F6808" i="2"/>
  <c r="E6808" i="2"/>
  <c r="D6808" i="2"/>
  <c r="C6808" i="2"/>
  <c r="B6808" i="2"/>
  <c r="A6808" i="2"/>
  <c r="U6807" i="2"/>
  <c r="N6807" i="2"/>
  <c r="M6807" i="2"/>
  <c r="J6807" i="2"/>
  <c r="I6807" i="2"/>
  <c r="H6807" i="2"/>
  <c r="G6807" i="2"/>
  <c r="F6807" i="2"/>
  <c r="E6807" i="2"/>
  <c r="D6807" i="2"/>
  <c r="C6807" i="2"/>
  <c r="B6807" i="2"/>
  <c r="A6807" i="2"/>
  <c r="U6806" i="2"/>
  <c r="N6806" i="2"/>
  <c r="M6806" i="2"/>
  <c r="J6806" i="2"/>
  <c r="I6806" i="2"/>
  <c r="H6806" i="2"/>
  <c r="G6806" i="2"/>
  <c r="F6806" i="2"/>
  <c r="E6806" i="2"/>
  <c r="D6806" i="2"/>
  <c r="C6806" i="2"/>
  <c r="B6806" i="2"/>
  <c r="A6806" i="2"/>
  <c r="U6805" i="2"/>
  <c r="N6805" i="2"/>
  <c r="M6805" i="2"/>
  <c r="J6805" i="2"/>
  <c r="I6805" i="2"/>
  <c r="H6805" i="2"/>
  <c r="G6805" i="2"/>
  <c r="F6805" i="2"/>
  <c r="E6805" i="2"/>
  <c r="D6805" i="2"/>
  <c r="C6805" i="2"/>
  <c r="B6805" i="2"/>
  <c r="A6805" i="2"/>
  <c r="U6804" i="2"/>
  <c r="N6804" i="2"/>
  <c r="M6804" i="2"/>
  <c r="J6804" i="2"/>
  <c r="I6804" i="2"/>
  <c r="H6804" i="2"/>
  <c r="G6804" i="2"/>
  <c r="F6804" i="2"/>
  <c r="E6804" i="2"/>
  <c r="D6804" i="2"/>
  <c r="C6804" i="2"/>
  <c r="B6804" i="2"/>
  <c r="A6804" i="2"/>
  <c r="U6803" i="2"/>
  <c r="N6803" i="2"/>
  <c r="M6803" i="2"/>
  <c r="J6803" i="2"/>
  <c r="I6803" i="2"/>
  <c r="H6803" i="2"/>
  <c r="G6803" i="2"/>
  <c r="F6803" i="2"/>
  <c r="E6803" i="2"/>
  <c r="D6803" i="2"/>
  <c r="C6803" i="2"/>
  <c r="B6803" i="2"/>
  <c r="A6803" i="2"/>
  <c r="U6802" i="2"/>
  <c r="N6802" i="2"/>
  <c r="M6802" i="2"/>
  <c r="J6802" i="2"/>
  <c r="I6802" i="2"/>
  <c r="H6802" i="2"/>
  <c r="G6802" i="2"/>
  <c r="F6802" i="2"/>
  <c r="E6802" i="2"/>
  <c r="D6802" i="2"/>
  <c r="C6802" i="2"/>
  <c r="B6802" i="2"/>
  <c r="A6802" i="2"/>
  <c r="U6801" i="2"/>
  <c r="N6801" i="2"/>
  <c r="M6801" i="2"/>
  <c r="J6801" i="2"/>
  <c r="I6801" i="2"/>
  <c r="H6801" i="2"/>
  <c r="G6801" i="2"/>
  <c r="F6801" i="2"/>
  <c r="E6801" i="2"/>
  <c r="D6801" i="2"/>
  <c r="C6801" i="2"/>
  <c r="B6801" i="2"/>
  <c r="A6801" i="2"/>
  <c r="U6800" i="2"/>
  <c r="N6800" i="2"/>
  <c r="M6800" i="2"/>
  <c r="J6800" i="2"/>
  <c r="I6800" i="2"/>
  <c r="H6800" i="2"/>
  <c r="G6800" i="2"/>
  <c r="F6800" i="2"/>
  <c r="E6800" i="2"/>
  <c r="D6800" i="2"/>
  <c r="C6800" i="2"/>
  <c r="B6800" i="2"/>
  <c r="A6800" i="2"/>
  <c r="U6799" i="2"/>
  <c r="N6799" i="2"/>
  <c r="M6799" i="2"/>
  <c r="J6799" i="2"/>
  <c r="I6799" i="2"/>
  <c r="H6799" i="2"/>
  <c r="G6799" i="2"/>
  <c r="F6799" i="2"/>
  <c r="E6799" i="2"/>
  <c r="D6799" i="2"/>
  <c r="C6799" i="2"/>
  <c r="B6799" i="2"/>
  <c r="A6799" i="2"/>
  <c r="U6798" i="2"/>
  <c r="N6798" i="2"/>
  <c r="M6798" i="2"/>
  <c r="J6798" i="2"/>
  <c r="I6798" i="2"/>
  <c r="H6798" i="2"/>
  <c r="G6798" i="2"/>
  <c r="F6798" i="2"/>
  <c r="E6798" i="2"/>
  <c r="D6798" i="2"/>
  <c r="C6798" i="2"/>
  <c r="B6798" i="2"/>
  <c r="A6798" i="2"/>
  <c r="U6797" i="2"/>
  <c r="N6797" i="2"/>
  <c r="M6797" i="2"/>
  <c r="J6797" i="2"/>
  <c r="I6797" i="2"/>
  <c r="H6797" i="2"/>
  <c r="G6797" i="2"/>
  <c r="F6797" i="2"/>
  <c r="E6797" i="2"/>
  <c r="D6797" i="2"/>
  <c r="C6797" i="2"/>
  <c r="B6797" i="2"/>
  <c r="A6797" i="2"/>
  <c r="U6796" i="2"/>
  <c r="N6796" i="2"/>
  <c r="M6796" i="2"/>
  <c r="J6796" i="2"/>
  <c r="I6796" i="2"/>
  <c r="H6796" i="2"/>
  <c r="G6796" i="2"/>
  <c r="F6796" i="2"/>
  <c r="E6796" i="2"/>
  <c r="D6796" i="2"/>
  <c r="C6796" i="2"/>
  <c r="B6796" i="2"/>
  <c r="A6796" i="2"/>
  <c r="U6795" i="2"/>
  <c r="N6795" i="2"/>
  <c r="M6795" i="2"/>
  <c r="J6795" i="2"/>
  <c r="I6795" i="2"/>
  <c r="H6795" i="2"/>
  <c r="G6795" i="2"/>
  <c r="F6795" i="2"/>
  <c r="E6795" i="2"/>
  <c r="D6795" i="2"/>
  <c r="C6795" i="2"/>
  <c r="B6795" i="2"/>
  <c r="A6795" i="2"/>
  <c r="U6794" i="2"/>
  <c r="N6794" i="2"/>
  <c r="M6794" i="2"/>
  <c r="J6794" i="2"/>
  <c r="I6794" i="2"/>
  <c r="H6794" i="2"/>
  <c r="G6794" i="2"/>
  <c r="F6794" i="2"/>
  <c r="E6794" i="2"/>
  <c r="D6794" i="2"/>
  <c r="C6794" i="2"/>
  <c r="B6794" i="2"/>
  <c r="A6794" i="2"/>
  <c r="U6793" i="2"/>
  <c r="N6793" i="2"/>
  <c r="M6793" i="2"/>
  <c r="J6793" i="2"/>
  <c r="I6793" i="2"/>
  <c r="H6793" i="2"/>
  <c r="G6793" i="2"/>
  <c r="F6793" i="2"/>
  <c r="E6793" i="2"/>
  <c r="D6793" i="2"/>
  <c r="C6793" i="2"/>
  <c r="B6793" i="2"/>
  <c r="A6793" i="2"/>
  <c r="U6792" i="2"/>
  <c r="N6792" i="2"/>
  <c r="M6792" i="2"/>
  <c r="J6792" i="2"/>
  <c r="I6792" i="2"/>
  <c r="H6792" i="2"/>
  <c r="G6792" i="2"/>
  <c r="F6792" i="2"/>
  <c r="E6792" i="2"/>
  <c r="D6792" i="2"/>
  <c r="C6792" i="2"/>
  <c r="B6792" i="2"/>
  <c r="A6792" i="2"/>
  <c r="U6791" i="2"/>
  <c r="N6791" i="2"/>
  <c r="M6791" i="2"/>
  <c r="J6791" i="2"/>
  <c r="I6791" i="2"/>
  <c r="H6791" i="2"/>
  <c r="G6791" i="2"/>
  <c r="F6791" i="2"/>
  <c r="E6791" i="2"/>
  <c r="D6791" i="2"/>
  <c r="C6791" i="2"/>
  <c r="B6791" i="2"/>
  <c r="A6791" i="2"/>
  <c r="U6790" i="2"/>
  <c r="N6790" i="2"/>
  <c r="M6790" i="2"/>
  <c r="J6790" i="2"/>
  <c r="I6790" i="2"/>
  <c r="H6790" i="2"/>
  <c r="G6790" i="2"/>
  <c r="F6790" i="2"/>
  <c r="E6790" i="2"/>
  <c r="D6790" i="2"/>
  <c r="C6790" i="2"/>
  <c r="B6790" i="2"/>
  <c r="A6790" i="2"/>
  <c r="U6789" i="2"/>
  <c r="N6789" i="2"/>
  <c r="M6789" i="2"/>
  <c r="J6789" i="2"/>
  <c r="I6789" i="2"/>
  <c r="H6789" i="2"/>
  <c r="G6789" i="2"/>
  <c r="F6789" i="2"/>
  <c r="E6789" i="2"/>
  <c r="D6789" i="2"/>
  <c r="C6789" i="2"/>
  <c r="B6789" i="2"/>
  <c r="A6789" i="2"/>
  <c r="U6788" i="2"/>
  <c r="N6788" i="2"/>
  <c r="M6788" i="2"/>
  <c r="J6788" i="2"/>
  <c r="I6788" i="2"/>
  <c r="H6788" i="2"/>
  <c r="G6788" i="2"/>
  <c r="F6788" i="2"/>
  <c r="E6788" i="2"/>
  <c r="D6788" i="2"/>
  <c r="C6788" i="2"/>
  <c r="B6788" i="2"/>
  <c r="A6788" i="2"/>
  <c r="U6787" i="2"/>
  <c r="N6787" i="2"/>
  <c r="M6787" i="2"/>
  <c r="J6787" i="2"/>
  <c r="I6787" i="2"/>
  <c r="H6787" i="2"/>
  <c r="G6787" i="2"/>
  <c r="F6787" i="2"/>
  <c r="E6787" i="2"/>
  <c r="D6787" i="2"/>
  <c r="C6787" i="2"/>
  <c r="B6787" i="2"/>
  <c r="A6787" i="2"/>
  <c r="U6786" i="2"/>
  <c r="N6786" i="2"/>
  <c r="M6786" i="2"/>
  <c r="J6786" i="2"/>
  <c r="I6786" i="2"/>
  <c r="H6786" i="2"/>
  <c r="G6786" i="2"/>
  <c r="F6786" i="2"/>
  <c r="E6786" i="2"/>
  <c r="D6786" i="2"/>
  <c r="C6786" i="2"/>
  <c r="B6786" i="2"/>
  <c r="A6786" i="2"/>
  <c r="U6785" i="2"/>
  <c r="N6785" i="2"/>
  <c r="M6785" i="2"/>
  <c r="J6785" i="2"/>
  <c r="I6785" i="2"/>
  <c r="H6785" i="2"/>
  <c r="G6785" i="2"/>
  <c r="F6785" i="2"/>
  <c r="E6785" i="2"/>
  <c r="D6785" i="2"/>
  <c r="C6785" i="2"/>
  <c r="B6785" i="2"/>
  <c r="A6785" i="2"/>
  <c r="U6784" i="2"/>
  <c r="N6784" i="2"/>
  <c r="M6784" i="2"/>
  <c r="J6784" i="2"/>
  <c r="I6784" i="2"/>
  <c r="H6784" i="2"/>
  <c r="G6784" i="2"/>
  <c r="F6784" i="2"/>
  <c r="E6784" i="2"/>
  <c r="D6784" i="2"/>
  <c r="C6784" i="2"/>
  <c r="B6784" i="2"/>
  <c r="A6784" i="2"/>
  <c r="U6783" i="2"/>
  <c r="N6783" i="2"/>
  <c r="M6783" i="2"/>
  <c r="J6783" i="2"/>
  <c r="I6783" i="2"/>
  <c r="H6783" i="2"/>
  <c r="G6783" i="2"/>
  <c r="F6783" i="2"/>
  <c r="E6783" i="2"/>
  <c r="D6783" i="2"/>
  <c r="C6783" i="2"/>
  <c r="B6783" i="2"/>
  <c r="A6783" i="2"/>
  <c r="U6782" i="2"/>
  <c r="N6782" i="2"/>
  <c r="M6782" i="2"/>
  <c r="J6782" i="2"/>
  <c r="I6782" i="2"/>
  <c r="H6782" i="2"/>
  <c r="G6782" i="2"/>
  <c r="F6782" i="2"/>
  <c r="E6782" i="2"/>
  <c r="D6782" i="2"/>
  <c r="C6782" i="2"/>
  <c r="B6782" i="2"/>
  <c r="A6782" i="2"/>
  <c r="U6781" i="2"/>
  <c r="N6781" i="2"/>
  <c r="M6781" i="2"/>
  <c r="J6781" i="2"/>
  <c r="I6781" i="2"/>
  <c r="H6781" i="2"/>
  <c r="G6781" i="2"/>
  <c r="F6781" i="2"/>
  <c r="E6781" i="2"/>
  <c r="D6781" i="2"/>
  <c r="C6781" i="2"/>
  <c r="B6781" i="2"/>
  <c r="A6781" i="2"/>
  <c r="U6780" i="2"/>
  <c r="N6780" i="2"/>
  <c r="M6780" i="2"/>
  <c r="J6780" i="2"/>
  <c r="I6780" i="2"/>
  <c r="H6780" i="2"/>
  <c r="G6780" i="2"/>
  <c r="F6780" i="2"/>
  <c r="E6780" i="2"/>
  <c r="D6780" i="2"/>
  <c r="C6780" i="2"/>
  <c r="B6780" i="2"/>
  <c r="A6780" i="2"/>
  <c r="U6779" i="2"/>
  <c r="N6779" i="2"/>
  <c r="M6779" i="2"/>
  <c r="J6779" i="2"/>
  <c r="I6779" i="2"/>
  <c r="H6779" i="2"/>
  <c r="G6779" i="2"/>
  <c r="F6779" i="2"/>
  <c r="E6779" i="2"/>
  <c r="D6779" i="2"/>
  <c r="C6779" i="2"/>
  <c r="B6779" i="2"/>
  <c r="A6779" i="2"/>
  <c r="U6778" i="2"/>
  <c r="N6778" i="2"/>
  <c r="M6778" i="2"/>
  <c r="J6778" i="2"/>
  <c r="I6778" i="2"/>
  <c r="H6778" i="2"/>
  <c r="G6778" i="2"/>
  <c r="F6778" i="2"/>
  <c r="E6778" i="2"/>
  <c r="D6778" i="2"/>
  <c r="C6778" i="2"/>
  <c r="B6778" i="2"/>
  <c r="A6778" i="2"/>
  <c r="U6777" i="2"/>
  <c r="N6777" i="2"/>
  <c r="M6777" i="2"/>
  <c r="J6777" i="2"/>
  <c r="I6777" i="2"/>
  <c r="H6777" i="2"/>
  <c r="G6777" i="2"/>
  <c r="F6777" i="2"/>
  <c r="E6777" i="2"/>
  <c r="D6777" i="2"/>
  <c r="C6777" i="2"/>
  <c r="B6777" i="2"/>
  <c r="A6777" i="2"/>
  <c r="U6776" i="2"/>
  <c r="N6776" i="2"/>
  <c r="M6776" i="2"/>
  <c r="J6776" i="2"/>
  <c r="I6776" i="2"/>
  <c r="H6776" i="2"/>
  <c r="G6776" i="2"/>
  <c r="F6776" i="2"/>
  <c r="E6776" i="2"/>
  <c r="D6776" i="2"/>
  <c r="C6776" i="2"/>
  <c r="B6776" i="2"/>
  <c r="A6776" i="2"/>
  <c r="U6775" i="2"/>
  <c r="N6775" i="2"/>
  <c r="M6775" i="2"/>
  <c r="J6775" i="2"/>
  <c r="I6775" i="2"/>
  <c r="H6775" i="2"/>
  <c r="G6775" i="2"/>
  <c r="F6775" i="2"/>
  <c r="E6775" i="2"/>
  <c r="D6775" i="2"/>
  <c r="C6775" i="2"/>
  <c r="B6775" i="2"/>
  <c r="A6775" i="2"/>
  <c r="U6774" i="2"/>
  <c r="N6774" i="2"/>
  <c r="M6774" i="2"/>
  <c r="J6774" i="2"/>
  <c r="I6774" i="2"/>
  <c r="H6774" i="2"/>
  <c r="G6774" i="2"/>
  <c r="F6774" i="2"/>
  <c r="E6774" i="2"/>
  <c r="D6774" i="2"/>
  <c r="C6774" i="2"/>
  <c r="B6774" i="2"/>
  <c r="A6774" i="2"/>
  <c r="U6773" i="2"/>
  <c r="N6773" i="2"/>
  <c r="M6773" i="2"/>
  <c r="J6773" i="2"/>
  <c r="I6773" i="2"/>
  <c r="H6773" i="2"/>
  <c r="G6773" i="2"/>
  <c r="F6773" i="2"/>
  <c r="E6773" i="2"/>
  <c r="D6773" i="2"/>
  <c r="C6773" i="2"/>
  <c r="B6773" i="2"/>
  <c r="A6773" i="2"/>
  <c r="U6772" i="2"/>
  <c r="N6772" i="2"/>
  <c r="M6772" i="2"/>
  <c r="J6772" i="2"/>
  <c r="I6772" i="2"/>
  <c r="H6772" i="2"/>
  <c r="G6772" i="2"/>
  <c r="F6772" i="2"/>
  <c r="E6772" i="2"/>
  <c r="D6772" i="2"/>
  <c r="C6772" i="2"/>
  <c r="B6772" i="2"/>
  <c r="A6772" i="2"/>
  <c r="U6771" i="2"/>
  <c r="N6771" i="2"/>
  <c r="M6771" i="2"/>
  <c r="J6771" i="2"/>
  <c r="I6771" i="2"/>
  <c r="H6771" i="2"/>
  <c r="G6771" i="2"/>
  <c r="F6771" i="2"/>
  <c r="E6771" i="2"/>
  <c r="D6771" i="2"/>
  <c r="C6771" i="2"/>
  <c r="B6771" i="2"/>
  <c r="A6771" i="2"/>
  <c r="U6770" i="2"/>
  <c r="N6770" i="2"/>
  <c r="M6770" i="2"/>
  <c r="J6770" i="2"/>
  <c r="I6770" i="2"/>
  <c r="H6770" i="2"/>
  <c r="G6770" i="2"/>
  <c r="F6770" i="2"/>
  <c r="E6770" i="2"/>
  <c r="D6770" i="2"/>
  <c r="C6770" i="2"/>
  <c r="B6770" i="2"/>
  <c r="A6770" i="2"/>
  <c r="U6769" i="2"/>
  <c r="N6769" i="2"/>
  <c r="M6769" i="2"/>
  <c r="J6769" i="2"/>
  <c r="I6769" i="2"/>
  <c r="H6769" i="2"/>
  <c r="G6769" i="2"/>
  <c r="F6769" i="2"/>
  <c r="E6769" i="2"/>
  <c r="D6769" i="2"/>
  <c r="C6769" i="2"/>
  <c r="B6769" i="2"/>
  <c r="A6769" i="2"/>
  <c r="U6768" i="2"/>
  <c r="N6768" i="2"/>
  <c r="M6768" i="2"/>
  <c r="J6768" i="2"/>
  <c r="I6768" i="2"/>
  <c r="H6768" i="2"/>
  <c r="G6768" i="2"/>
  <c r="F6768" i="2"/>
  <c r="E6768" i="2"/>
  <c r="D6768" i="2"/>
  <c r="C6768" i="2"/>
  <c r="B6768" i="2"/>
  <c r="A6768" i="2"/>
  <c r="U6767" i="2"/>
  <c r="N6767" i="2"/>
  <c r="M6767" i="2"/>
  <c r="J6767" i="2"/>
  <c r="I6767" i="2"/>
  <c r="H6767" i="2"/>
  <c r="G6767" i="2"/>
  <c r="F6767" i="2"/>
  <c r="E6767" i="2"/>
  <c r="D6767" i="2"/>
  <c r="C6767" i="2"/>
  <c r="B6767" i="2"/>
  <c r="A6767" i="2"/>
  <c r="U6766" i="2"/>
  <c r="N6766" i="2"/>
  <c r="M6766" i="2"/>
  <c r="J6766" i="2"/>
  <c r="I6766" i="2"/>
  <c r="H6766" i="2"/>
  <c r="G6766" i="2"/>
  <c r="F6766" i="2"/>
  <c r="E6766" i="2"/>
  <c r="D6766" i="2"/>
  <c r="C6766" i="2"/>
  <c r="B6766" i="2"/>
  <c r="A6766" i="2"/>
  <c r="U6765" i="2"/>
  <c r="N6765" i="2"/>
  <c r="M6765" i="2"/>
  <c r="J6765" i="2"/>
  <c r="I6765" i="2"/>
  <c r="H6765" i="2"/>
  <c r="G6765" i="2"/>
  <c r="F6765" i="2"/>
  <c r="E6765" i="2"/>
  <c r="D6765" i="2"/>
  <c r="C6765" i="2"/>
  <c r="B6765" i="2"/>
  <c r="A6765" i="2"/>
  <c r="U6764" i="2"/>
  <c r="N6764" i="2"/>
  <c r="M6764" i="2"/>
  <c r="J6764" i="2"/>
  <c r="I6764" i="2"/>
  <c r="H6764" i="2"/>
  <c r="G6764" i="2"/>
  <c r="F6764" i="2"/>
  <c r="E6764" i="2"/>
  <c r="D6764" i="2"/>
  <c r="C6764" i="2"/>
  <c r="B6764" i="2"/>
  <c r="A6764" i="2"/>
  <c r="U6763" i="2"/>
  <c r="N6763" i="2"/>
  <c r="M6763" i="2"/>
  <c r="J6763" i="2"/>
  <c r="I6763" i="2"/>
  <c r="H6763" i="2"/>
  <c r="G6763" i="2"/>
  <c r="F6763" i="2"/>
  <c r="E6763" i="2"/>
  <c r="D6763" i="2"/>
  <c r="C6763" i="2"/>
  <c r="B6763" i="2"/>
  <c r="A6763" i="2"/>
  <c r="U6762" i="2"/>
  <c r="N6762" i="2"/>
  <c r="M6762" i="2"/>
  <c r="J6762" i="2"/>
  <c r="I6762" i="2"/>
  <c r="H6762" i="2"/>
  <c r="G6762" i="2"/>
  <c r="F6762" i="2"/>
  <c r="E6762" i="2"/>
  <c r="D6762" i="2"/>
  <c r="C6762" i="2"/>
  <c r="B6762" i="2"/>
  <c r="A6762" i="2"/>
  <c r="U6761" i="2"/>
  <c r="N6761" i="2"/>
  <c r="M6761" i="2"/>
  <c r="J6761" i="2"/>
  <c r="I6761" i="2"/>
  <c r="H6761" i="2"/>
  <c r="G6761" i="2"/>
  <c r="F6761" i="2"/>
  <c r="E6761" i="2"/>
  <c r="D6761" i="2"/>
  <c r="C6761" i="2"/>
  <c r="B6761" i="2"/>
  <c r="A6761" i="2"/>
  <c r="U6760" i="2"/>
  <c r="N6760" i="2"/>
  <c r="M6760" i="2"/>
  <c r="J6760" i="2"/>
  <c r="I6760" i="2"/>
  <c r="H6760" i="2"/>
  <c r="G6760" i="2"/>
  <c r="F6760" i="2"/>
  <c r="E6760" i="2"/>
  <c r="D6760" i="2"/>
  <c r="C6760" i="2"/>
  <c r="B6760" i="2"/>
  <c r="A6760" i="2"/>
  <c r="U6759" i="2"/>
  <c r="N6759" i="2"/>
  <c r="M6759" i="2"/>
  <c r="J6759" i="2"/>
  <c r="I6759" i="2"/>
  <c r="H6759" i="2"/>
  <c r="G6759" i="2"/>
  <c r="F6759" i="2"/>
  <c r="E6759" i="2"/>
  <c r="D6759" i="2"/>
  <c r="C6759" i="2"/>
  <c r="B6759" i="2"/>
  <c r="A6759" i="2"/>
  <c r="U6758" i="2"/>
  <c r="N6758" i="2"/>
  <c r="M6758" i="2"/>
  <c r="J6758" i="2"/>
  <c r="I6758" i="2"/>
  <c r="H6758" i="2"/>
  <c r="G6758" i="2"/>
  <c r="F6758" i="2"/>
  <c r="E6758" i="2"/>
  <c r="D6758" i="2"/>
  <c r="C6758" i="2"/>
  <c r="B6758" i="2"/>
  <c r="A6758" i="2"/>
  <c r="U6757" i="2"/>
  <c r="N6757" i="2"/>
  <c r="M6757" i="2"/>
  <c r="J6757" i="2"/>
  <c r="I6757" i="2"/>
  <c r="H6757" i="2"/>
  <c r="G6757" i="2"/>
  <c r="F6757" i="2"/>
  <c r="E6757" i="2"/>
  <c r="D6757" i="2"/>
  <c r="C6757" i="2"/>
  <c r="B6757" i="2"/>
  <c r="A6757" i="2"/>
  <c r="U6756" i="2"/>
  <c r="N6756" i="2"/>
  <c r="M6756" i="2"/>
  <c r="J6756" i="2"/>
  <c r="I6756" i="2"/>
  <c r="H6756" i="2"/>
  <c r="G6756" i="2"/>
  <c r="F6756" i="2"/>
  <c r="E6756" i="2"/>
  <c r="D6756" i="2"/>
  <c r="C6756" i="2"/>
  <c r="B6756" i="2"/>
  <c r="A6756" i="2"/>
  <c r="U6755" i="2"/>
  <c r="N6755" i="2"/>
  <c r="M6755" i="2"/>
  <c r="J6755" i="2"/>
  <c r="I6755" i="2"/>
  <c r="H6755" i="2"/>
  <c r="G6755" i="2"/>
  <c r="F6755" i="2"/>
  <c r="E6755" i="2"/>
  <c r="D6755" i="2"/>
  <c r="C6755" i="2"/>
  <c r="B6755" i="2"/>
  <c r="A6755" i="2"/>
  <c r="U6754" i="2"/>
  <c r="N6754" i="2"/>
  <c r="M6754" i="2"/>
  <c r="J6754" i="2"/>
  <c r="I6754" i="2"/>
  <c r="H6754" i="2"/>
  <c r="G6754" i="2"/>
  <c r="F6754" i="2"/>
  <c r="E6754" i="2"/>
  <c r="D6754" i="2"/>
  <c r="C6754" i="2"/>
  <c r="B6754" i="2"/>
  <c r="A6754" i="2"/>
  <c r="U6753" i="2"/>
  <c r="N6753" i="2"/>
  <c r="M6753" i="2"/>
  <c r="J6753" i="2"/>
  <c r="I6753" i="2"/>
  <c r="H6753" i="2"/>
  <c r="G6753" i="2"/>
  <c r="F6753" i="2"/>
  <c r="E6753" i="2"/>
  <c r="D6753" i="2"/>
  <c r="C6753" i="2"/>
  <c r="B6753" i="2"/>
  <c r="A6753" i="2"/>
  <c r="U6752" i="2"/>
  <c r="N6752" i="2"/>
  <c r="M6752" i="2"/>
  <c r="J6752" i="2"/>
  <c r="I6752" i="2"/>
  <c r="H6752" i="2"/>
  <c r="G6752" i="2"/>
  <c r="F6752" i="2"/>
  <c r="E6752" i="2"/>
  <c r="D6752" i="2"/>
  <c r="C6752" i="2"/>
  <c r="B6752" i="2"/>
  <c r="A6752" i="2"/>
  <c r="U6751" i="2"/>
  <c r="N6751" i="2"/>
  <c r="M6751" i="2"/>
  <c r="J6751" i="2"/>
  <c r="I6751" i="2"/>
  <c r="H6751" i="2"/>
  <c r="G6751" i="2"/>
  <c r="F6751" i="2"/>
  <c r="E6751" i="2"/>
  <c r="D6751" i="2"/>
  <c r="C6751" i="2"/>
  <c r="B6751" i="2"/>
  <c r="A6751" i="2"/>
  <c r="U6750" i="2"/>
  <c r="N6750" i="2"/>
  <c r="M6750" i="2"/>
  <c r="J6750" i="2"/>
  <c r="I6750" i="2"/>
  <c r="H6750" i="2"/>
  <c r="G6750" i="2"/>
  <c r="F6750" i="2"/>
  <c r="E6750" i="2"/>
  <c r="D6750" i="2"/>
  <c r="C6750" i="2"/>
  <c r="B6750" i="2"/>
  <c r="A6750" i="2"/>
  <c r="U6749" i="2"/>
  <c r="N6749" i="2"/>
  <c r="M6749" i="2"/>
  <c r="J6749" i="2"/>
  <c r="I6749" i="2"/>
  <c r="H6749" i="2"/>
  <c r="G6749" i="2"/>
  <c r="F6749" i="2"/>
  <c r="E6749" i="2"/>
  <c r="D6749" i="2"/>
  <c r="C6749" i="2"/>
  <c r="B6749" i="2"/>
  <c r="A6749" i="2"/>
  <c r="U6748" i="2"/>
  <c r="N6748" i="2"/>
  <c r="M6748" i="2"/>
  <c r="J6748" i="2"/>
  <c r="I6748" i="2"/>
  <c r="H6748" i="2"/>
  <c r="G6748" i="2"/>
  <c r="F6748" i="2"/>
  <c r="E6748" i="2"/>
  <c r="D6748" i="2"/>
  <c r="C6748" i="2"/>
  <c r="B6748" i="2"/>
  <c r="A6748" i="2"/>
  <c r="U6747" i="2"/>
  <c r="N6747" i="2"/>
  <c r="M6747" i="2"/>
  <c r="J6747" i="2"/>
  <c r="I6747" i="2"/>
  <c r="H6747" i="2"/>
  <c r="G6747" i="2"/>
  <c r="F6747" i="2"/>
  <c r="E6747" i="2"/>
  <c r="D6747" i="2"/>
  <c r="C6747" i="2"/>
  <c r="B6747" i="2"/>
  <c r="A6747" i="2"/>
  <c r="U6746" i="2"/>
  <c r="N6746" i="2"/>
  <c r="M6746" i="2"/>
  <c r="J6746" i="2"/>
  <c r="I6746" i="2"/>
  <c r="H6746" i="2"/>
  <c r="G6746" i="2"/>
  <c r="F6746" i="2"/>
  <c r="E6746" i="2"/>
  <c r="D6746" i="2"/>
  <c r="C6746" i="2"/>
  <c r="B6746" i="2"/>
  <c r="A6746" i="2"/>
  <c r="U6745" i="2"/>
  <c r="N6745" i="2"/>
  <c r="M6745" i="2"/>
  <c r="J6745" i="2"/>
  <c r="I6745" i="2"/>
  <c r="H6745" i="2"/>
  <c r="G6745" i="2"/>
  <c r="F6745" i="2"/>
  <c r="E6745" i="2"/>
  <c r="D6745" i="2"/>
  <c r="C6745" i="2"/>
  <c r="B6745" i="2"/>
  <c r="A6745" i="2"/>
  <c r="U6744" i="2"/>
  <c r="N6744" i="2"/>
  <c r="M6744" i="2"/>
  <c r="J6744" i="2"/>
  <c r="I6744" i="2"/>
  <c r="H6744" i="2"/>
  <c r="G6744" i="2"/>
  <c r="F6744" i="2"/>
  <c r="E6744" i="2"/>
  <c r="D6744" i="2"/>
  <c r="C6744" i="2"/>
  <c r="B6744" i="2"/>
  <c r="A6744" i="2"/>
  <c r="U6743" i="2"/>
  <c r="N6743" i="2"/>
  <c r="M6743" i="2"/>
  <c r="J6743" i="2"/>
  <c r="I6743" i="2"/>
  <c r="H6743" i="2"/>
  <c r="G6743" i="2"/>
  <c r="F6743" i="2"/>
  <c r="E6743" i="2"/>
  <c r="D6743" i="2"/>
  <c r="C6743" i="2"/>
  <c r="B6743" i="2"/>
  <c r="A6743" i="2"/>
  <c r="U6742" i="2"/>
  <c r="N6742" i="2"/>
  <c r="M6742" i="2"/>
  <c r="J6742" i="2"/>
  <c r="I6742" i="2"/>
  <c r="H6742" i="2"/>
  <c r="G6742" i="2"/>
  <c r="F6742" i="2"/>
  <c r="E6742" i="2"/>
  <c r="D6742" i="2"/>
  <c r="C6742" i="2"/>
  <c r="B6742" i="2"/>
  <c r="A6742" i="2"/>
  <c r="U6741" i="2"/>
  <c r="N6741" i="2"/>
  <c r="M6741" i="2"/>
  <c r="J6741" i="2"/>
  <c r="I6741" i="2"/>
  <c r="H6741" i="2"/>
  <c r="G6741" i="2"/>
  <c r="F6741" i="2"/>
  <c r="E6741" i="2"/>
  <c r="D6741" i="2"/>
  <c r="C6741" i="2"/>
  <c r="B6741" i="2"/>
  <c r="A6741" i="2"/>
  <c r="U6740" i="2"/>
  <c r="N6740" i="2"/>
  <c r="M6740" i="2"/>
  <c r="J6740" i="2"/>
  <c r="I6740" i="2"/>
  <c r="H6740" i="2"/>
  <c r="G6740" i="2"/>
  <c r="F6740" i="2"/>
  <c r="E6740" i="2"/>
  <c r="D6740" i="2"/>
  <c r="C6740" i="2"/>
  <c r="B6740" i="2"/>
  <c r="A6740" i="2"/>
  <c r="U6739" i="2"/>
  <c r="N6739" i="2"/>
  <c r="M6739" i="2"/>
  <c r="J6739" i="2"/>
  <c r="I6739" i="2"/>
  <c r="H6739" i="2"/>
  <c r="G6739" i="2"/>
  <c r="F6739" i="2"/>
  <c r="E6739" i="2"/>
  <c r="D6739" i="2"/>
  <c r="C6739" i="2"/>
  <c r="B6739" i="2"/>
  <c r="A6739" i="2"/>
  <c r="U6738" i="2"/>
  <c r="N6738" i="2"/>
  <c r="M6738" i="2"/>
  <c r="J6738" i="2"/>
  <c r="I6738" i="2"/>
  <c r="H6738" i="2"/>
  <c r="G6738" i="2"/>
  <c r="F6738" i="2"/>
  <c r="E6738" i="2"/>
  <c r="D6738" i="2"/>
  <c r="C6738" i="2"/>
  <c r="B6738" i="2"/>
  <c r="A6738" i="2"/>
  <c r="U6737" i="2"/>
  <c r="N6737" i="2"/>
  <c r="M6737" i="2"/>
  <c r="J6737" i="2"/>
  <c r="I6737" i="2"/>
  <c r="H6737" i="2"/>
  <c r="G6737" i="2"/>
  <c r="F6737" i="2"/>
  <c r="E6737" i="2"/>
  <c r="D6737" i="2"/>
  <c r="C6737" i="2"/>
  <c r="B6737" i="2"/>
  <c r="A6737" i="2"/>
  <c r="U6736" i="2"/>
  <c r="N6736" i="2"/>
  <c r="M6736" i="2"/>
  <c r="J6736" i="2"/>
  <c r="I6736" i="2"/>
  <c r="H6736" i="2"/>
  <c r="G6736" i="2"/>
  <c r="F6736" i="2"/>
  <c r="E6736" i="2"/>
  <c r="D6736" i="2"/>
  <c r="C6736" i="2"/>
  <c r="B6736" i="2"/>
  <c r="A6736" i="2"/>
  <c r="U6735" i="2"/>
  <c r="N6735" i="2"/>
  <c r="M6735" i="2"/>
  <c r="J6735" i="2"/>
  <c r="I6735" i="2"/>
  <c r="H6735" i="2"/>
  <c r="G6735" i="2"/>
  <c r="F6735" i="2"/>
  <c r="E6735" i="2"/>
  <c r="D6735" i="2"/>
  <c r="C6735" i="2"/>
  <c r="B6735" i="2"/>
  <c r="A6735" i="2"/>
  <c r="U6734" i="2"/>
  <c r="N6734" i="2"/>
  <c r="M6734" i="2"/>
  <c r="J6734" i="2"/>
  <c r="I6734" i="2"/>
  <c r="H6734" i="2"/>
  <c r="G6734" i="2"/>
  <c r="F6734" i="2"/>
  <c r="E6734" i="2"/>
  <c r="D6734" i="2"/>
  <c r="C6734" i="2"/>
  <c r="B6734" i="2"/>
  <c r="A6734" i="2"/>
  <c r="U6733" i="2"/>
  <c r="N6733" i="2"/>
  <c r="M6733" i="2"/>
  <c r="J6733" i="2"/>
  <c r="I6733" i="2"/>
  <c r="H6733" i="2"/>
  <c r="G6733" i="2"/>
  <c r="F6733" i="2"/>
  <c r="E6733" i="2"/>
  <c r="D6733" i="2"/>
  <c r="C6733" i="2"/>
  <c r="B6733" i="2"/>
  <c r="A6733" i="2"/>
  <c r="U6732" i="2"/>
  <c r="N6732" i="2"/>
  <c r="M6732" i="2"/>
  <c r="J6732" i="2"/>
  <c r="I6732" i="2"/>
  <c r="H6732" i="2"/>
  <c r="G6732" i="2"/>
  <c r="F6732" i="2"/>
  <c r="E6732" i="2"/>
  <c r="D6732" i="2"/>
  <c r="C6732" i="2"/>
  <c r="B6732" i="2"/>
  <c r="A6732" i="2"/>
  <c r="U6731" i="2"/>
  <c r="N6731" i="2"/>
  <c r="M6731" i="2"/>
  <c r="J6731" i="2"/>
  <c r="I6731" i="2"/>
  <c r="H6731" i="2"/>
  <c r="G6731" i="2"/>
  <c r="F6731" i="2"/>
  <c r="E6731" i="2"/>
  <c r="D6731" i="2"/>
  <c r="C6731" i="2"/>
  <c r="B6731" i="2"/>
  <c r="A6731" i="2"/>
  <c r="U6730" i="2"/>
  <c r="N6730" i="2"/>
  <c r="M6730" i="2"/>
  <c r="J6730" i="2"/>
  <c r="I6730" i="2"/>
  <c r="H6730" i="2"/>
  <c r="G6730" i="2"/>
  <c r="F6730" i="2"/>
  <c r="E6730" i="2"/>
  <c r="D6730" i="2"/>
  <c r="C6730" i="2"/>
  <c r="B6730" i="2"/>
  <c r="A6730" i="2"/>
  <c r="U6729" i="2"/>
  <c r="N6729" i="2"/>
  <c r="M6729" i="2"/>
  <c r="J6729" i="2"/>
  <c r="I6729" i="2"/>
  <c r="H6729" i="2"/>
  <c r="G6729" i="2"/>
  <c r="F6729" i="2"/>
  <c r="E6729" i="2"/>
  <c r="D6729" i="2"/>
  <c r="C6729" i="2"/>
  <c r="B6729" i="2"/>
  <c r="A6729" i="2"/>
  <c r="U6728" i="2"/>
  <c r="N6728" i="2"/>
  <c r="M6728" i="2"/>
  <c r="J6728" i="2"/>
  <c r="I6728" i="2"/>
  <c r="H6728" i="2"/>
  <c r="G6728" i="2"/>
  <c r="F6728" i="2"/>
  <c r="E6728" i="2"/>
  <c r="D6728" i="2"/>
  <c r="C6728" i="2"/>
  <c r="B6728" i="2"/>
  <c r="A6728" i="2"/>
  <c r="U6727" i="2"/>
  <c r="N6727" i="2"/>
  <c r="M6727" i="2"/>
  <c r="J6727" i="2"/>
  <c r="I6727" i="2"/>
  <c r="H6727" i="2"/>
  <c r="G6727" i="2"/>
  <c r="F6727" i="2"/>
  <c r="E6727" i="2"/>
  <c r="D6727" i="2"/>
  <c r="C6727" i="2"/>
  <c r="B6727" i="2"/>
  <c r="A6727" i="2"/>
  <c r="U6726" i="2"/>
  <c r="N6726" i="2"/>
  <c r="M6726" i="2"/>
  <c r="J6726" i="2"/>
  <c r="I6726" i="2"/>
  <c r="H6726" i="2"/>
  <c r="G6726" i="2"/>
  <c r="F6726" i="2"/>
  <c r="E6726" i="2"/>
  <c r="D6726" i="2"/>
  <c r="C6726" i="2"/>
  <c r="B6726" i="2"/>
  <c r="A6726" i="2"/>
  <c r="U6725" i="2"/>
  <c r="N6725" i="2"/>
  <c r="M6725" i="2"/>
  <c r="J6725" i="2"/>
  <c r="I6725" i="2"/>
  <c r="H6725" i="2"/>
  <c r="G6725" i="2"/>
  <c r="F6725" i="2"/>
  <c r="E6725" i="2"/>
  <c r="D6725" i="2"/>
  <c r="C6725" i="2"/>
  <c r="B6725" i="2"/>
  <c r="A6725" i="2"/>
  <c r="U6724" i="2"/>
  <c r="N6724" i="2"/>
  <c r="M6724" i="2"/>
  <c r="J6724" i="2"/>
  <c r="I6724" i="2"/>
  <c r="H6724" i="2"/>
  <c r="G6724" i="2"/>
  <c r="F6724" i="2"/>
  <c r="E6724" i="2"/>
  <c r="D6724" i="2"/>
  <c r="C6724" i="2"/>
  <c r="B6724" i="2"/>
  <c r="A6724" i="2"/>
  <c r="U6723" i="2"/>
  <c r="N6723" i="2"/>
  <c r="M6723" i="2"/>
  <c r="J6723" i="2"/>
  <c r="I6723" i="2"/>
  <c r="H6723" i="2"/>
  <c r="G6723" i="2"/>
  <c r="F6723" i="2"/>
  <c r="E6723" i="2"/>
  <c r="D6723" i="2"/>
  <c r="C6723" i="2"/>
  <c r="B6723" i="2"/>
  <c r="A6723" i="2"/>
  <c r="U6722" i="2"/>
  <c r="N6722" i="2"/>
  <c r="M6722" i="2"/>
  <c r="J6722" i="2"/>
  <c r="I6722" i="2"/>
  <c r="H6722" i="2"/>
  <c r="G6722" i="2"/>
  <c r="F6722" i="2"/>
  <c r="E6722" i="2"/>
  <c r="D6722" i="2"/>
  <c r="C6722" i="2"/>
  <c r="B6722" i="2"/>
  <c r="A6722" i="2"/>
  <c r="U6721" i="2"/>
  <c r="N6721" i="2"/>
  <c r="M6721" i="2"/>
  <c r="J6721" i="2"/>
  <c r="I6721" i="2"/>
  <c r="H6721" i="2"/>
  <c r="G6721" i="2"/>
  <c r="F6721" i="2"/>
  <c r="E6721" i="2"/>
  <c r="D6721" i="2"/>
  <c r="C6721" i="2"/>
  <c r="B6721" i="2"/>
  <c r="A6721" i="2"/>
  <c r="U6720" i="2"/>
  <c r="N6720" i="2"/>
  <c r="M6720" i="2"/>
  <c r="J6720" i="2"/>
  <c r="I6720" i="2"/>
  <c r="H6720" i="2"/>
  <c r="G6720" i="2"/>
  <c r="F6720" i="2"/>
  <c r="E6720" i="2"/>
  <c r="D6720" i="2"/>
  <c r="C6720" i="2"/>
  <c r="B6720" i="2"/>
  <c r="A6720" i="2"/>
  <c r="U6719" i="2"/>
  <c r="N6719" i="2"/>
  <c r="M6719" i="2"/>
  <c r="J6719" i="2"/>
  <c r="I6719" i="2"/>
  <c r="H6719" i="2"/>
  <c r="G6719" i="2"/>
  <c r="F6719" i="2"/>
  <c r="E6719" i="2"/>
  <c r="D6719" i="2"/>
  <c r="C6719" i="2"/>
  <c r="B6719" i="2"/>
  <c r="A6719" i="2"/>
  <c r="U6718" i="2"/>
  <c r="N6718" i="2"/>
  <c r="M6718" i="2"/>
  <c r="J6718" i="2"/>
  <c r="I6718" i="2"/>
  <c r="H6718" i="2"/>
  <c r="G6718" i="2"/>
  <c r="F6718" i="2"/>
  <c r="E6718" i="2"/>
  <c r="D6718" i="2"/>
  <c r="C6718" i="2"/>
  <c r="B6718" i="2"/>
  <c r="A6718" i="2"/>
  <c r="U6717" i="2"/>
  <c r="N6717" i="2"/>
  <c r="M6717" i="2"/>
  <c r="J6717" i="2"/>
  <c r="I6717" i="2"/>
  <c r="H6717" i="2"/>
  <c r="G6717" i="2"/>
  <c r="F6717" i="2"/>
  <c r="E6717" i="2"/>
  <c r="D6717" i="2"/>
  <c r="C6717" i="2"/>
  <c r="B6717" i="2"/>
  <c r="A6717" i="2"/>
  <c r="U6716" i="2"/>
  <c r="N6716" i="2"/>
  <c r="M6716" i="2"/>
  <c r="J6716" i="2"/>
  <c r="I6716" i="2"/>
  <c r="H6716" i="2"/>
  <c r="G6716" i="2"/>
  <c r="F6716" i="2"/>
  <c r="E6716" i="2"/>
  <c r="D6716" i="2"/>
  <c r="C6716" i="2"/>
  <c r="B6716" i="2"/>
  <c r="A6716" i="2"/>
  <c r="U6715" i="2"/>
  <c r="N6715" i="2"/>
  <c r="M6715" i="2"/>
  <c r="J6715" i="2"/>
  <c r="I6715" i="2"/>
  <c r="H6715" i="2"/>
  <c r="G6715" i="2"/>
  <c r="F6715" i="2"/>
  <c r="E6715" i="2"/>
  <c r="D6715" i="2"/>
  <c r="C6715" i="2"/>
  <c r="B6715" i="2"/>
  <c r="A6715" i="2"/>
  <c r="U6714" i="2"/>
  <c r="N6714" i="2"/>
  <c r="M6714" i="2"/>
  <c r="J6714" i="2"/>
  <c r="I6714" i="2"/>
  <c r="H6714" i="2"/>
  <c r="G6714" i="2"/>
  <c r="F6714" i="2"/>
  <c r="E6714" i="2"/>
  <c r="D6714" i="2"/>
  <c r="C6714" i="2"/>
  <c r="B6714" i="2"/>
  <c r="A6714" i="2"/>
  <c r="U6713" i="2"/>
  <c r="N6713" i="2"/>
  <c r="M6713" i="2"/>
  <c r="J6713" i="2"/>
  <c r="I6713" i="2"/>
  <c r="H6713" i="2"/>
  <c r="G6713" i="2"/>
  <c r="F6713" i="2"/>
  <c r="E6713" i="2"/>
  <c r="D6713" i="2"/>
  <c r="C6713" i="2"/>
  <c r="B6713" i="2"/>
  <c r="A6713" i="2"/>
  <c r="U6712" i="2"/>
  <c r="N6712" i="2"/>
  <c r="M6712" i="2"/>
  <c r="J6712" i="2"/>
  <c r="I6712" i="2"/>
  <c r="H6712" i="2"/>
  <c r="G6712" i="2"/>
  <c r="F6712" i="2"/>
  <c r="E6712" i="2"/>
  <c r="D6712" i="2"/>
  <c r="C6712" i="2"/>
  <c r="B6712" i="2"/>
  <c r="A6712" i="2"/>
  <c r="U6711" i="2"/>
  <c r="N6711" i="2"/>
  <c r="M6711" i="2"/>
  <c r="J6711" i="2"/>
  <c r="I6711" i="2"/>
  <c r="H6711" i="2"/>
  <c r="G6711" i="2"/>
  <c r="F6711" i="2"/>
  <c r="E6711" i="2"/>
  <c r="D6711" i="2"/>
  <c r="C6711" i="2"/>
  <c r="B6711" i="2"/>
  <c r="A6711" i="2"/>
  <c r="U6710" i="2"/>
  <c r="N6710" i="2"/>
  <c r="M6710" i="2"/>
  <c r="J6710" i="2"/>
  <c r="I6710" i="2"/>
  <c r="H6710" i="2"/>
  <c r="G6710" i="2"/>
  <c r="F6710" i="2"/>
  <c r="E6710" i="2"/>
  <c r="D6710" i="2"/>
  <c r="C6710" i="2"/>
  <c r="B6710" i="2"/>
  <c r="A6710" i="2"/>
  <c r="Q6709" i="2"/>
  <c r="U6709" i="2" s="1"/>
  <c r="N6709" i="2"/>
  <c r="M6709" i="2"/>
  <c r="J6709" i="2"/>
  <c r="I6709" i="2"/>
  <c r="H6709" i="2"/>
  <c r="G6709" i="2"/>
  <c r="F6709" i="2"/>
  <c r="E6709" i="2"/>
  <c r="D6709" i="2"/>
  <c r="C6709" i="2"/>
  <c r="B6709" i="2"/>
  <c r="A6709" i="2"/>
  <c r="U6708" i="2"/>
  <c r="N6708" i="2"/>
  <c r="M6708" i="2"/>
  <c r="J6708" i="2"/>
  <c r="I6708" i="2"/>
  <c r="H6708" i="2"/>
  <c r="G6708" i="2"/>
  <c r="F6708" i="2"/>
  <c r="E6708" i="2"/>
  <c r="D6708" i="2"/>
  <c r="C6708" i="2"/>
  <c r="B6708" i="2"/>
  <c r="A6708" i="2"/>
  <c r="U6707" i="2"/>
  <c r="N6707" i="2"/>
  <c r="M6707" i="2"/>
  <c r="J6707" i="2"/>
  <c r="I6707" i="2"/>
  <c r="H6707" i="2"/>
  <c r="G6707" i="2"/>
  <c r="F6707" i="2"/>
  <c r="E6707" i="2"/>
  <c r="D6707" i="2"/>
  <c r="C6707" i="2"/>
  <c r="B6707" i="2"/>
  <c r="A6707" i="2"/>
  <c r="U6706" i="2"/>
  <c r="N6706" i="2"/>
  <c r="M6706" i="2"/>
  <c r="J6706" i="2"/>
  <c r="I6706" i="2"/>
  <c r="H6706" i="2"/>
  <c r="G6706" i="2"/>
  <c r="F6706" i="2"/>
  <c r="E6706" i="2"/>
  <c r="D6706" i="2"/>
  <c r="C6706" i="2"/>
  <c r="B6706" i="2"/>
  <c r="A6706" i="2"/>
  <c r="U6705" i="2"/>
  <c r="N6705" i="2"/>
  <c r="M6705" i="2"/>
  <c r="J6705" i="2"/>
  <c r="I6705" i="2"/>
  <c r="H6705" i="2"/>
  <c r="G6705" i="2"/>
  <c r="F6705" i="2"/>
  <c r="E6705" i="2"/>
  <c r="D6705" i="2"/>
  <c r="C6705" i="2"/>
  <c r="B6705" i="2"/>
  <c r="A6705" i="2"/>
  <c r="U6704" i="2"/>
  <c r="N6704" i="2"/>
  <c r="M6704" i="2"/>
  <c r="J6704" i="2"/>
  <c r="I6704" i="2"/>
  <c r="H6704" i="2"/>
  <c r="G6704" i="2"/>
  <c r="F6704" i="2"/>
  <c r="E6704" i="2"/>
  <c r="D6704" i="2"/>
  <c r="C6704" i="2"/>
  <c r="B6704" i="2"/>
  <c r="A6704" i="2"/>
  <c r="U6703" i="2"/>
  <c r="N6703" i="2"/>
  <c r="M6703" i="2"/>
  <c r="J6703" i="2"/>
  <c r="I6703" i="2"/>
  <c r="H6703" i="2"/>
  <c r="G6703" i="2"/>
  <c r="F6703" i="2"/>
  <c r="E6703" i="2"/>
  <c r="D6703" i="2"/>
  <c r="C6703" i="2"/>
  <c r="B6703" i="2"/>
  <c r="A6703" i="2"/>
  <c r="U6702" i="2"/>
  <c r="N6702" i="2"/>
  <c r="M6702" i="2"/>
  <c r="J6702" i="2"/>
  <c r="I6702" i="2"/>
  <c r="H6702" i="2"/>
  <c r="G6702" i="2"/>
  <c r="F6702" i="2"/>
  <c r="E6702" i="2"/>
  <c r="D6702" i="2"/>
  <c r="C6702" i="2"/>
  <c r="B6702" i="2"/>
  <c r="A6702" i="2"/>
  <c r="U6701" i="2"/>
  <c r="N6701" i="2"/>
  <c r="M6701" i="2"/>
  <c r="J6701" i="2"/>
  <c r="I6701" i="2"/>
  <c r="H6701" i="2"/>
  <c r="G6701" i="2"/>
  <c r="F6701" i="2"/>
  <c r="E6701" i="2"/>
  <c r="D6701" i="2"/>
  <c r="C6701" i="2"/>
  <c r="B6701" i="2"/>
  <c r="A6701" i="2"/>
  <c r="U6700" i="2"/>
  <c r="N6700" i="2"/>
  <c r="M6700" i="2"/>
  <c r="J6700" i="2"/>
  <c r="I6700" i="2"/>
  <c r="H6700" i="2"/>
  <c r="G6700" i="2"/>
  <c r="F6700" i="2"/>
  <c r="E6700" i="2"/>
  <c r="D6700" i="2"/>
  <c r="C6700" i="2"/>
  <c r="B6700" i="2"/>
  <c r="A6700" i="2"/>
  <c r="U6699" i="2"/>
  <c r="N6699" i="2"/>
  <c r="M6699" i="2"/>
  <c r="J6699" i="2"/>
  <c r="I6699" i="2"/>
  <c r="H6699" i="2"/>
  <c r="G6699" i="2"/>
  <c r="F6699" i="2"/>
  <c r="E6699" i="2"/>
  <c r="D6699" i="2"/>
  <c r="C6699" i="2"/>
  <c r="B6699" i="2"/>
  <c r="A6699" i="2"/>
  <c r="U6698" i="2"/>
  <c r="N6698" i="2"/>
  <c r="M6698" i="2"/>
  <c r="J6698" i="2"/>
  <c r="I6698" i="2"/>
  <c r="H6698" i="2"/>
  <c r="G6698" i="2"/>
  <c r="F6698" i="2"/>
  <c r="E6698" i="2"/>
  <c r="D6698" i="2"/>
  <c r="C6698" i="2"/>
  <c r="B6698" i="2"/>
  <c r="A6698" i="2"/>
  <c r="U6697" i="2"/>
  <c r="N6697" i="2"/>
  <c r="M6697" i="2"/>
  <c r="J6697" i="2"/>
  <c r="I6697" i="2"/>
  <c r="H6697" i="2"/>
  <c r="G6697" i="2"/>
  <c r="F6697" i="2"/>
  <c r="E6697" i="2"/>
  <c r="D6697" i="2"/>
  <c r="C6697" i="2"/>
  <c r="B6697" i="2"/>
  <c r="A6697" i="2"/>
  <c r="U6696" i="2"/>
  <c r="N6696" i="2"/>
  <c r="M6696" i="2"/>
  <c r="J6696" i="2"/>
  <c r="I6696" i="2"/>
  <c r="H6696" i="2"/>
  <c r="G6696" i="2"/>
  <c r="F6696" i="2"/>
  <c r="E6696" i="2"/>
  <c r="D6696" i="2"/>
  <c r="C6696" i="2"/>
  <c r="B6696" i="2"/>
  <c r="A6696" i="2"/>
  <c r="U6695" i="2"/>
  <c r="N6695" i="2"/>
  <c r="M6695" i="2"/>
  <c r="J6695" i="2"/>
  <c r="I6695" i="2"/>
  <c r="H6695" i="2"/>
  <c r="G6695" i="2"/>
  <c r="F6695" i="2"/>
  <c r="E6695" i="2"/>
  <c r="D6695" i="2"/>
  <c r="C6695" i="2"/>
  <c r="B6695" i="2"/>
  <c r="A6695" i="2"/>
  <c r="U6694" i="2"/>
  <c r="N6694" i="2"/>
  <c r="M6694" i="2"/>
  <c r="J6694" i="2"/>
  <c r="I6694" i="2"/>
  <c r="H6694" i="2"/>
  <c r="G6694" i="2"/>
  <c r="F6694" i="2"/>
  <c r="E6694" i="2"/>
  <c r="D6694" i="2"/>
  <c r="C6694" i="2"/>
  <c r="B6694" i="2"/>
  <c r="A6694" i="2"/>
  <c r="U6693" i="2"/>
  <c r="N6693" i="2"/>
  <c r="M6693" i="2"/>
  <c r="J6693" i="2"/>
  <c r="I6693" i="2"/>
  <c r="H6693" i="2"/>
  <c r="G6693" i="2"/>
  <c r="F6693" i="2"/>
  <c r="E6693" i="2"/>
  <c r="D6693" i="2"/>
  <c r="C6693" i="2"/>
  <c r="B6693" i="2"/>
  <c r="A6693" i="2"/>
  <c r="U6692" i="2"/>
  <c r="N6692" i="2"/>
  <c r="M6692" i="2"/>
  <c r="J6692" i="2"/>
  <c r="I6692" i="2"/>
  <c r="H6692" i="2"/>
  <c r="G6692" i="2"/>
  <c r="F6692" i="2"/>
  <c r="E6692" i="2"/>
  <c r="D6692" i="2"/>
  <c r="C6692" i="2"/>
  <c r="B6692" i="2"/>
  <c r="A6692" i="2"/>
  <c r="U6691" i="2"/>
  <c r="N6691" i="2"/>
  <c r="M6691" i="2"/>
  <c r="J6691" i="2"/>
  <c r="I6691" i="2"/>
  <c r="H6691" i="2"/>
  <c r="G6691" i="2"/>
  <c r="F6691" i="2"/>
  <c r="E6691" i="2"/>
  <c r="D6691" i="2"/>
  <c r="C6691" i="2"/>
  <c r="B6691" i="2"/>
  <c r="A6691" i="2"/>
  <c r="U6690" i="2"/>
  <c r="N6690" i="2"/>
  <c r="M6690" i="2"/>
  <c r="J6690" i="2"/>
  <c r="I6690" i="2"/>
  <c r="H6690" i="2"/>
  <c r="G6690" i="2"/>
  <c r="F6690" i="2"/>
  <c r="E6690" i="2"/>
  <c r="D6690" i="2"/>
  <c r="C6690" i="2"/>
  <c r="B6690" i="2"/>
  <c r="A6690" i="2"/>
  <c r="U6689" i="2"/>
  <c r="N6689" i="2"/>
  <c r="M6689" i="2"/>
  <c r="J6689" i="2"/>
  <c r="I6689" i="2"/>
  <c r="H6689" i="2"/>
  <c r="G6689" i="2"/>
  <c r="F6689" i="2"/>
  <c r="E6689" i="2"/>
  <c r="D6689" i="2"/>
  <c r="C6689" i="2"/>
  <c r="B6689" i="2"/>
  <c r="A6689" i="2"/>
  <c r="U6688" i="2"/>
  <c r="N6688" i="2"/>
  <c r="M6688" i="2"/>
  <c r="J6688" i="2"/>
  <c r="I6688" i="2"/>
  <c r="H6688" i="2"/>
  <c r="G6688" i="2"/>
  <c r="F6688" i="2"/>
  <c r="E6688" i="2"/>
  <c r="D6688" i="2"/>
  <c r="C6688" i="2"/>
  <c r="B6688" i="2"/>
  <c r="A6688" i="2"/>
  <c r="U6687" i="2"/>
  <c r="N6687" i="2"/>
  <c r="M6687" i="2"/>
  <c r="J6687" i="2"/>
  <c r="I6687" i="2"/>
  <c r="H6687" i="2"/>
  <c r="G6687" i="2"/>
  <c r="F6687" i="2"/>
  <c r="E6687" i="2"/>
  <c r="D6687" i="2"/>
  <c r="C6687" i="2"/>
  <c r="B6687" i="2"/>
  <c r="A6687" i="2"/>
  <c r="U6686" i="2"/>
  <c r="N6686" i="2"/>
  <c r="M6686" i="2"/>
  <c r="J6686" i="2"/>
  <c r="I6686" i="2"/>
  <c r="H6686" i="2"/>
  <c r="G6686" i="2"/>
  <c r="F6686" i="2"/>
  <c r="E6686" i="2"/>
  <c r="D6686" i="2"/>
  <c r="C6686" i="2"/>
  <c r="B6686" i="2"/>
  <c r="A6686" i="2"/>
  <c r="U6685" i="2"/>
  <c r="N6685" i="2"/>
  <c r="M6685" i="2"/>
  <c r="J6685" i="2"/>
  <c r="I6685" i="2"/>
  <c r="H6685" i="2"/>
  <c r="G6685" i="2"/>
  <c r="F6685" i="2"/>
  <c r="E6685" i="2"/>
  <c r="D6685" i="2"/>
  <c r="C6685" i="2"/>
  <c r="B6685" i="2"/>
  <c r="A6685" i="2"/>
  <c r="U6684" i="2"/>
  <c r="N6684" i="2"/>
  <c r="M6684" i="2"/>
  <c r="J6684" i="2"/>
  <c r="I6684" i="2"/>
  <c r="H6684" i="2"/>
  <c r="G6684" i="2"/>
  <c r="F6684" i="2"/>
  <c r="E6684" i="2"/>
  <c r="D6684" i="2"/>
  <c r="C6684" i="2"/>
  <c r="B6684" i="2"/>
  <c r="A6684" i="2"/>
  <c r="U6683" i="2"/>
  <c r="N6683" i="2"/>
  <c r="M6683" i="2"/>
  <c r="J6683" i="2"/>
  <c r="I6683" i="2"/>
  <c r="H6683" i="2"/>
  <c r="G6683" i="2"/>
  <c r="F6683" i="2"/>
  <c r="E6683" i="2"/>
  <c r="D6683" i="2"/>
  <c r="C6683" i="2"/>
  <c r="B6683" i="2"/>
  <c r="A6683" i="2"/>
  <c r="U6682" i="2"/>
  <c r="N6682" i="2"/>
  <c r="M6682" i="2"/>
  <c r="J6682" i="2"/>
  <c r="I6682" i="2"/>
  <c r="H6682" i="2"/>
  <c r="G6682" i="2"/>
  <c r="F6682" i="2"/>
  <c r="E6682" i="2"/>
  <c r="D6682" i="2"/>
  <c r="C6682" i="2"/>
  <c r="B6682" i="2"/>
  <c r="A6682" i="2"/>
  <c r="U6681" i="2"/>
  <c r="N6681" i="2"/>
  <c r="M6681" i="2"/>
  <c r="J6681" i="2"/>
  <c r="I6681" i="2"/>
  <c r="H6681" i="2"/>
  <c r="G6681" i="2"/>
  <c r="F6681" i="2"/>
  <c r="E6681" i="2"/>
  <c r="D6681" i="2"/>
  <c r="C6681" i="2"/>
  <c r="B6681" i="2"/>
  <c r="A6681" i="2"/>
  <c r="U6680" i="2"/>
  <c r="N6680" i="2"/>
  <c r="M6680" i="2"/>
  <c r="J6680" i="2"/>
  <c r="I6680" i="2"/>
  <c r="H6680" i="2"/>
  <c r="G6680" i="2"/>
  <c r="F6680" i="2"/>
  <c r="E6680" i="2"/>
  <c r="D6680" i="2"/>
  <c r="C6680" i="2"/>
  <c r="B6680" i="2"/>
  <c r="A6680" i="2"/>
  <c r="U6679" i="2"/>
  <c r="N6679" i="2"/>
  <c r="M6679" i="2"/>
  <c r="J6679" i="2"/>
  <c r="I6679" i="2"/>
  <c r="H6679" i="2"/>
  <c r="G6679" i="2"/>
  <c r="F6679" i="2"/>
  <c r="E6679" i="2"/>
  <c r="D6679" i="2"/>
  <c r="C6679" i="2"/>
  <c r="B6679" i="2"/>
  <c r="A6679" i="2"/>
  <c r="U6678" i="2"/>
  <c r="N6678" i="2"/>
  <c r="M6678" i="2"/>
  <c r="J6678" i="2"/>
  <c r="I6678" i="2"/>
  <c r="H6678" i="2"/>
  <c r="G6678" i="2"/>
  <c r="F6678" i="2"/>
  <c r="E6678" i="2"/>
  <c r="D6678" i="2"/>
  <c r="C6678" i="2"/>
  <c r="B6678" i="2"/>
  <c r="A6678" i="2"/>
  <c r="U6677" i="2"/>
  <c r="N6677" i="2"/>
  <c r="M6677" i="2"/>
  <c r="J6677" i="2"/>
  <c r="I6677" i="2"/>
  <c r="H6677" i="2"/>
  <c r="G6677" i="2"/>
  <c r="F6677" i="2"/>
  <c r="E6677" i="2"/>
  <c r="D6677" i="2"/>
  <c r="C6677" i="2"/>
  <c r="B6677" i="2"/>
  <c r="A6677" i="2"/>
  <c r="U6676" i="2"/>
  <c r="N6676" i="2"/>
  <c r="M6676" i="2"/>
  <c r="J6676" i="2"/>
  <c r="I6676" i="2"/>
  <c r="H6676" i="2"/>
  <c r="G6676" i="2"/>
  <c r="F6676" i="2"/>
  <c r="E6676" i="2"/>
  <c r="D6676" i="2"/>
  <c r="C6676" i="2"/>
  <c r="B6676" i="2"/>
  <c r="A6676" i="2"/>
  <c r="U6675" i="2"/>
  <c r="N6675" i="2"/>
  <c r="M6675" i="2"/>
  <c r="J6675" i="2"/>
  <c r="I6675" i="2"/>
  <c r="H6675" i="2"/>
  <c r="G6675" i="2"/>
  <c r="F6675" i="2"/>
  <c r="E6675" i="2"/>
  <c r="D6675" i="2"/>
  <c r="C6675" i="2"/>
  <c r="B6675" i="2"/>
  <c r="A6675" i="2"/>
  <c r="U6674" i="2"/>
  <c r="N6674" i="2"/>
  <c r="M6674" i="2"/>
  <c r="J6674" i="2"/>
  <c r="I6674" i="2"/>
  <c r="H6674" i="2"/>
  <c r="G6674" i="2"/>
  <c r="F6674" i="2"/>
  <c r="E6674" i="2"/>
  <c r="D6674" i="2"/>
  <c r="C6674" i="2"/>
  <c r="B6674" i="2"/>
  <c r="A6674" i="2"/>
  <c r="U6673" i="2"/>
  <c r="N6673" i="2"/>
  <c r="M6673" i="2"/>
  <c r="J6673" i="2"/>
  <c r="I6673" i="2"/>
  <c r="H6673" i="2"/>
  <c r="G6673" i="2"/>
  <c r="F6673" i="2"/>
  <c r="E6673" i="2"/>
  <c r="D6673" i="2"/>
  <c r="C6673" i="2"/>
  <c r="B6673" i="2"/>
  <c r="A6673" i="2"/>
  <c r="U6672" i="2"/>
  <c r="N6672" i="2"/>
  <c r="M6672" i="2"/>
  <c r="J6672" i="2"/>
  <c r="I6672" i="2"/>
  <c r="H6672" i="2"/>
  <c r="G6672" i="2"/>
  <c r="F6672" i="2"/>
  <c r="E6672" i="2"/>
  <c r="D6672" i="2"/>
  <c r="C6672" i="2"/>
  <c r="B6672" i="2"/>
  <c r="A6672" i="2"/>
  <c r="U6671" i="2"/>
  <c r="N6671" i="2"/>
  <c r="M6671" i="2"/>
  <c r="J6671" i="2"/>
  <c r="I6671" i="2"/>
  <c r="H6671" i="2"/>
  <c r="G6671" i="2"/>
  <c r="F6671" i="2"/>
  <c r="E6671" i="2"/>
  <c r="D6671" i="2"/>
  <c r="C6671" i="2"/>
  <c r="B6671" i="2"/>
  <c r="A6671" i="2"/>
  <c r="U6670" i="2"/>
  <c r="N6670" i="2"/>
  <c r="M6670" i="2"/>
  <c r="J6670" i="2"/>
  <c r="I6670" i="2"/>
  <c r="H6670" i="2"/>
  <c r="G6670" i="2"/>
  <c r="F6670" i="2"/>
  <c r="E6670" i="2"/>
  <c r="D6670" i="2"/>
  <c r="C6670" i="2"/>
  <c r="B6670" i="2"/>
  <c r="A6670" i="2"/>
  <c r="U6669" i="2"/>
  <c r="N6669" i="2"/>
  <c r="M6669" i="2"/>
  <c r="J6669" i="2"/>
  <c r="I6669" i="2"/>
  <c r="H6669" i="2"/>
  <c r="G6669" i="2"/>
  <c r="F6669" i="2"/>
  <c r="E6669" i="2"/>
  <c r="D6669" i="2"/>
  <c r="C6669" i="2"/>
  <c r="B6669" i="2"/>
  <c r="A6669" i="2"/>
  <c r="U6668" i="2"/>
  <c r="N6668" i="2"/>
  <c r="M6668" i="2"/>
  <c r="J6668" i="2"/>
  <c r="I6668" i="2"/>
  <c r="H6668" i="2"/>
  <c r="G6668" i="2"/>
  <c r="F6668" i="2"/>
  <c r="E6668" i="2"/>
  <c r="D6668" i="2"/>
  <c r="C6668" i="2"/>
  <c r="B6668" i="2"/>
  <c r="A6668" i="2"/>
  <c r="U6667" i="2"/>
  <c r="N6667" i="2"/>
  <c r="M6667" i="2"/>
  <c r="J6667" i="2"/>
  <c r="I6667" i="2"/>
  <c r="H6667" i="2"/>
  <c r="G6667" i="2"/>
  <c r="F6667" i="2"/>
  <c r="E6667" i="2"/>
  <c r="D6667" i="2"/>
  <c r="C6667" i="2"/>
  <c r="B6667" i="2"/>
  <c r="A6667" i="2"/>
  <c r="U6666" i="2"/>
  <c r="N6666" i="2"/>
  <c r="M6666" i="2"/>
  <c r="J6666" i="2"/>
  <c r="I6666" i="2"/>
  <c r="H6666" i="2"/>
  <c r="G6666" i="2"/>
  <c r="F6666" i="2"/>
  <c r="E6666" i="2"/>
  <c r="D6666" i="2"/>
  <c r="C6666" i="2"/>
  <c r="B6666" i="2"/>
  <c r="A6666" i="2"/>
  <c r="U6665" i="2"/>
  <c r="N6665" i="2"/>
  <c r="M6665" i="2"/>
  <c r="J6665" i="2"/>
  <c r="I6665" i="2"/>
  <c r="H6665" i="2"/>
  <c r="G6665" i="2"/>
  <c r="F6665" i="2"/>
  <c r="E6665" i="2"/>
  <c r="D6665" i="2"/>
  <c r="C6665" i="2"/>
  <c r="B6665" i="2"/>
  <c r="A6665" i="2"/>
  <c r="U6664" i="2"/>
  <c r="N6664" i="2"/>
  <c r="M6664" i="2"/>
  <c r="J6664" i="2"/>
  <c r="I6664" i="2"/>
  <c r="H6664" i="2"/>
  <c r="G6664" i="2"/>
  <c r="F6664" i="2"/>
  <c r="E6664" i="2"/>
  <c r="D6664" i="2"/>
  <c r="C6664" i="2"/>
  <c r="B6664" i="2"/>
  <c r="A6664" i="2"/>
  <c r="U6663" i="2"/>
  <c r="N6663" i="2"/>
  <c r="M6663" i="2"/>
  <c r="J6663" i="2"/>
  <c r="I6663" i="2"/>
  <c r="H6663" i="2"/>
  <c r="G6663" i="2"/>
  <c r="F6663" i="2"/>
  <c r="E6663" i="2"/>
  <c r="D6663" i="2"/>
  <c r="C6663" i="2"/>
  <c r="B6663" i="2"/>
  <c r="A6663" i="2"/>
  <c r="U6662" i="2"/>
  <c r="N6662" i="2"/>
  <c r="M6662" i="2"/>
  <c r="J6662" i="2"/>
  <c r="I6662" i="2"/>
  <c r="H6662" i="2"/>
  <c r="G6662" i="2"/>
  <c r="F6662" i="2"/>
  <c r="E6662" i="2"/>
  <c r="D6662" i="2"/>
  <c r="C6662" i="2"/>
  <c r="B6662" i="2"/>
  <c r="A6662" i="2"/>
  <c r="U6661" i="2"/>
  <c r="N6661" i="2"/>
  <c r="M6661" i="2"/>
  <c r="J6661" i="2"/>
  <c r="I6661" i="2"/>
  <c r="H6661" i="2"/>
  <c r="G6661" i="2"/>
  <c r="F6661" i="2"/>
  <c r="E6661" i="2"/>
  <c r="D6661" i="2"/>
  <c r="C6661" i="2"/>
  <c r="B6661" i="2"/>
  <c r="A6661" i="2"/>
  <c r="U6660" i="2"/>
  <c r="N6660" i="2"/>
  <c r="M6660" i="2"/>
  <c r="J6660" i="2"/>
  <c r="I6660" i="2"/>
  <c r="H6660" i="2"/>
  <c r="G6660" i="2"/>
  <c r="F6660" i="2"/>
  <c r="E6660" i="2"/>
  <c r="D6660" i="2"/>
  <c r="C6660" i="2"/>
  <c r="B6660" i="2"/>
  <c r="A6660" i="2"/>
  <c r="U6659" i="2"/>
  <c r="N6659" i="2"/>
  <c r="M6659" i="2"/>
  <c r="J6659" i="2"/>
  <c r="I6659" i="2"/>
  <c r="H6659" i="2"/>
  <c r="G6659" i="2"/>
  <c r="F6659" i="2"/>
  <c r="E6659" i="2"/>
  <c r="D6659" i="2"/>
  <c r="C6659" i="2"/>
  <c r="B6659" i="2"/>
  <c r="A6659" i="2"/>
  <c r="U6658" i="2"/>
  <c r="N6658" i="2"/>
  <c r="M6658" i="2"/>
  <c r="J6658" i="2"/>
  <c r="I6658" i="2"/>
  <c r="H6658" i="2"/>
  <c r="G6658" i="2"/>
  <c r="F6658" i="2"/>
  <c r="E6658" i="2"/>
  <c r="D6658" i="2"/>
  <c r="C6658" i="2"/>
  <c r="B6658" i="2"/>
  <c r="A6658" i="2"/>
  <c r="U6657" i="2"/>
  <c r="N6657" i="2"/>
  <c r="M6657" i="2"/>
  <c r="J6657" i="2"/>
  <c r="I6657" i="2"/>
  <c r="H6657" i="2"/>
  <c r="G6657" i="2"/>
  <c r="F6657" i="2"/>
  <c r="E6657" i="2"/>
  <c r="D6657" i="2"/>
  <c r="C6657" i="2"/>
  <c r="B6657" i="2"/>
  <c r="A6657" i="2"/>
  <c r="U6656" i="2"/>
  <c r="N6656" i="2"/>
  <c r="M6656" i="2"/>
  <c r="J6656" i="2"/>
  <c r="I6656" i="2"/>
  <c r="H6656" i="2"/>
  <c r="G6656" i="2"/>
  <c r="F6656" i="2"/>
  <c r="E6656" i="2"/>
  <c r="D6656" i="2"/>
  <c r="C6656" i="2"/>
  <c r="B6656" i="2"/>
  <c r="A6656" i="2"/>
  <c r="U6655" i="2"/>
  <c r="N6655" i="2"/>
  <c r="M6655" i="2"/>
  <c r="J6655" i="2"/>
  <c r="I6655" i="2"/>
  <c r="H6655" i="2"/>
  <c r="G6655" i="2"/>
  <c r="F6655" i="2"/>
  <c r="E6655" i="2"/>
  <c r="D6655" i="2"/>
  <c r="C6655" i="2"/>
  <c r="B6655" i="2"/>
  <c r="A6655" i="2"/>
  <c r="U6654" i="2"/>
  <c r="N6654" i="2"/>
  <c r="M6654" i="2"/>
  <c r="J6654" i="2"/>
  <c r="I6654" i="2"/>
  <c r="H6654" i="2"/>
  <c r="G6654" i="2"/>
  <c r="F6654" i="2"/>
  <c r="E6654" i="2"/>
  <c r="D6654" i="2"/>
  <c r="C6654" i="2"/>
  <c r="B6654" i="2"/>
  <c r="A6654" i="2"/>
  <c r="U6653" i="2"/>
  <c r="N6653" i="2"/>
  <c r="M6653" i="2"/>
  <c r="J6653" i="2"/>
  <c r="I6653" i="2"/>
  <c r="H6653" i="2"/>
  <c r="G6653" i="2"/>
  <c r="F6653" i="2"/>
  <c r="E6653" i="2"/>
  <c r="D6653" i="2"/>
  <c r="C6653" i="2"/>
  <c r="B6653" i="2"/>
  <c r="A6653" i="2"/>
  <c r="U6652" i="2"/>
  <c r="N6652" i="2"/>
  <c r="M6652" i="2"/>
  <c r="J6652" i="2"/>
  <c r="I6652" i="2"/>
  <c r="H6652" i="2"/>
  <c r="G6652" i="2"/>
  <c r="F6652" i="2"/>
  <c r="E6652" i="2"/>
  <c r="D6652" i="2"/>
  <c r="C6652" i="2"/>
  <c r="B6652" i="2"/>
  <c r="A6652" i="2"/>
  <c r="U6651" i="2"/>
  <c r="N6651" i="2"/>
  <c r="M6651" i="2"/>
  <c r="J6651" i="2"/>
  <c r="I6651" i="2"/>
  <c r="H6651" i="2"/>
  <c r="G6651" i="2"/>
  <c r="F6651" i="2"/>
  <c r="E6651" i="2"/>
  <c r="D6651" i="2"/>
  <c r="C6651" i="2"/>
  <c r="B6651" i="2"/>
  <c r="A6651" i="2"/>
  <c r="U6650" i="2"/>
  <c r="N6650" i="2"/>
  <c r="M6650" i="2"/>
  <c r="J6650" i="2"/>
  <c r="I6650" i="2"/>
  <c r="H6650" i="2"/>
  <c r="G6650" i="2"/>
  <c r="F6650" i="2"/>
  <c r="E6650" i="2"/>
  <c r="D6650" i="2"/>
  <c r="C6650" i="2"/>
  <c r="B6650" i="2"/>
  <c r="A6650" i="2"/>
  <c r="U6649" i="2"/>
  <c r="N6649" i="2"/>
  <c r="M6649" i="2"/>
  <c r="J6649" i="2"/>
  <c r="I6649" i="2"/>
  <c r="H6649" i="2"/>
  <c r="G6649" i="2"/>
  <c r="F6649" i="2"/>
  <c r="E6649" i="2"/>
  <c r="D6649" i="2"/>
  <c r="C6649" i="2"/>
  <c r="B6649" i="2"/>
  <c r="A6649" i="2"/>
  <c r="U6648" i="2"/>
  <c r="N6648" i="2"/>
  <c r="M6648" i="2"/>
  <c r="J6648" i="2"/>
  <c r="I6648" i="2"/>
  <c r="H6648" i="2"/>
  <c r="G6648" i="2"/>
  <c r="F6648" i="2"/>
  <c r="E6648" i="2"/>
  <c r="D6648" i="2"/>
  <c r="C6648" i="2"/>
  <c r="B6648" i="2"/>
  <c r="A6648" i="2"/>
  <c r="U6647" i="2"/>
  <c r="N6647" i="2"/>
  <c r="M6647" i="2"/>
  <c r="J6647" i="2"/>
  <c r="I6647" i="2"/>
  <c r="H6647" i="2"/>
  <c r="G6647" i="2"/>
  <c r="F6647" i="2"/>
  <c r="E6647" i="2"/>
  <c r="D6647" i="2"/>
  <c r="C6647" i="2"/>
  <c r="B6647" i="2"/>
  <c r="A6647" i="2"/>
  <c r="U6646" i="2"/>
  <c r="N6646" i="2"/>
  <c r="M6646" i="2"/>
  <c r="J6646" i="2"/>
  <c r="I6646" i="2"/>
  <c r="H6646" i="2"/>
  <c r="G6646" i="2"/>
  <c r="F6646" i="2"/>
  <c r="E6646" i="2"/>
  <c r="D6646" i="2"/>
  <c r="C6646" i="2"/>
  <c r="B6646" i="2"/>
  <c r="A6646" i="2"/>
  <c r="U6645" i="2"/>
  <c r="N6645" i="2"/>
  <c r="M6645" i="2"/>
  <c r="J6645" i="2"/>
  <c r="I6645" i="2"/>
  <c r="H6645" i="2"/>
  <c r="G6645" i="2"/>
  <c r="F6645" i="2"/>
  <c r="E6645" i="2"/>
  <c r="D6645" i="2"/>
  <c r="C6645" i="2"/>
  <c r="B6645" i="2"/>
  <c r="A6645" i="2"/>
  <c r="U6644" i="2"/>
  <c r="N6644" i="2"/>
  <c r="M6644" i="2"/>
  <c r="J6644" i="2"/>
  <c r="I6644" i="2"/>
  <c r="H6644" i="2"/>
  <c r="G6644" i="2"/>
  <c r="F6644" i="2"/>
  <c r="E6644" i="2"/>
  <c r="D6644" i="2"/>
  <c r="C6644" i="2"/>
  <c r="B6644" i="2"/>
  <c r="A6644" i="2"/>
  <c r="U6643" i="2"/>
  <c r="N6643" i="2"/>
  <c r="M6643" i="2"/>
  <c r="J6643" i="2"/>
  <c r="I6643" i="2"/>
  <c r="H6643" i="2"/>
  <c r="G6643" i="2"/>
  <c r="F6643" i="2"/>
  <c r="E6643" i="2"/>
  <c r="D6643" i="2"/>
  <c r="C6643" i="2"/>
  <c r="B6643" i="2"/>
  <c r="A6643" i="2"/>
  <c r="U6642" i="2"/>
  <c r="N6642" i="2"/>
  <c r="M6642" i="2"/>
  <c r="J6642" i="2"/>
  <c r="I6642" i="2"/>
  <c r="H6642" i="2"/>
  <c r="G6642" i="2"/>
  <c r="F6642" i="2"/>
  <c r="E6642" i="2"/>
  <c r="D6642" i="2"/>
  <c r="C6642" i="2"/>
  <c r="B6642" i="2"/>
  <c r="A6642" i="2"/>
  <c r="U6641" i="2"/>
  <c r="N6641" i="2"/>
  <c r="M6641" i="2"/>
  <c r="J6641" i="2"/>
  <c r="I6641" i="2"/>
  <c r="H6641" i="2"/>
  <c r="G6641" i="2"/>
  <c r="F6641" i="2"/>
  <c r="E6641" i="2"/>
  <c r="D6641" i="2"/>
  <c r="C6641" i="2"/>
  <c r="B6641" i="2"/>
  <c r="A6641" i="2"/>
  <c r="U6640" i="2"/>
  <c r="N6640" i="2"/>
  <c r="M6640" i="2"/>
  <c r="J6640" i="2"/>
  <c r="I6640" i="2"/>
  <c r="H6640" i="2"/>
  <c r="G6640" i="2"/>
  <c r="F6640" i="2"/>
  <c r="E6640" i="2"/>
  <c r="D6640" i="2"/>
  <c r="C6640" i="2"/>
  <c r="B6640" i="2"/>
  <c r="A6640" i="2"/>
  <c r="U6639" i="2"/>
  <c r="N6639" i="2"/>
  <c r="M6639" i="2"/>
  <c r="J6639" i="2"/>
  <c r="I6639" i="2"/>
  <c r="H6639" i="2"/>
  <c r="G6639" i="2"/>
  <c r="F6639" i="2"/>
  <c r="E6639" i="2"/>
  <c r="D6639" i="2"/>
  <c r="C6639" i="2"/>
  <c r="B6639" i="2"/>
  <c r="A6639" i="2"/>
  <c r="U6638" i="2"/>
  <c r="N6638" i="2"/>
  <c r="M6638" i="2"/>
  <c r="J6638" i="2"/>
  <c r="I6638" i="2"/>
  <c r="H6638" i="2"/>
  <c r="G6638" i="2"/>
  <c r="F6638" i="2"/>
  <c r="E6638" i="2"/>
  <c r="D6638" i="2"/>
  <c r="C6638" i="2"/>
  <c r="B6638" i="2"/>
  <c r="A6638" i="2"/>
  <c r="U6637" i="2"/>
  <c r="N6637" i="2"/>
  <c r="M6637" i="2"/>
  <c r="J6637" i="2"/>
  <c r="I6637" i="2"/>
  <c r="H6637" i="2"/>
  <c r="G6637" i="2"/>
  <c r="F6637" i="2"/>
  <c r="E6637" i="2"/>
  <c r="D6637" i="2"/>
  <c r="C6637" i="2"/>
  <c r="B6637" i="2"/>
  <c r="A6637" i="2"/>
  <c r="U6636" i="2"/>
  <c r="N6636" i="2"/>
  <c r="M6636" i="2"/>
  <c r="J6636" i="2"/>
  <c r="I6636" i="2"/>
  <c r="H6636" i="2"/>
  <c r="G6636" i="2"/>
  <c r="F6636" i="2"/>
  <c r="E6636" i="2"/>
  <c r="D6636" i="2"/>
  <c r="C6636" i="2"/>
  <c r="B6636" i="2"/>
  <c r="A6636" i="2"/>
  <c r="U6635" i="2"/>
  <c r="N6635" i="2"/>
  <c r="M6635" i="2"/>
  <c r="J6635" i="2"/>
  <c r="I6635" i="2"/>
  <c r="H6635" i="2"/>
  <c r="G6635" i="2"/>
  <c r="F6635" i="2"/>
  <c r="E6635" i="2"/>
  <c r="D6635" i="2"/>
  <c r="C6635" i="2"/>
  <c r="B6635" i="2"/>
  <c r="A6635" i="2"/>
  <c r="U6634" i="2"/>
  <c r="N6634" i="2"/>
  <c r="M6634" i="2"/>
  <c r="J6634" i="2"/>
  <c r="I6634" i="2"/>
  <c r="H6634" i="2"/>
  <c r="G6634" i="2"/>
  <c r="F6634" i="2"/>
  <c r="E6634" i="2"/>
  <c r="D6634" i="2"/>
  <c r="C6634" i="2"/>
  <c r="B6634" i="2"/>
  <c r="A6634" i="2"/>
  <c r="U6633" i="2"/>
  <c r="N6633" i="2"/>
  <c r="M6633" i="2"/>
  <c r="J6633" i="2"/>
  <c r="I6633" i="2"/>
  <c r="H6633" i="2"/>
  <c r="G6633" i="2"/>
  <c r="F6633" i="2"/>
  <c r="E6633" i="2"/>
  <c r="D6633" i="2"/>
  <c r="C6633" i="2"/>
  <c r="B6633" i="2"/>
  <c r="A6633" i="2"/>
  <c r="U6632" i="2"/>
  <c r="N6632" i="2"/>
  <c r="M6632" i="2"/>
  <c r="J6632" i="2"/>
  <c r="I6632" i="2"/>
  <c r="H6632" i="2"/>
  <c r="G6632" i="2"/>
  <c r="F6632" i="2"/>
  <c r="E6632" i="2"/>
  <c r="D6632" i="2"/>
  <c r="C6632" i="2"/>
  <c r="B6632" i="2"/>
  <c r="A6632" i="2"/>
  <c r="U6631" i="2"/>
  <c r="N6631" i="2"/>
  <c r="M6631" i="2"/>
  <c r="J6631" i="2"/>
  <c r="I6631" i="2"/>
  <c r="H6631" i="2"/>
  <c r="G6631" i="2"/>
  <c r="F6631" i="2"/>
  <c r="E6631" i="2"/>
  <c r="D6631" i="2"/>
  <c r="C6631" i="2"/>
  <c r="B6631" i="2"/>
  <c r="A6631" i="2"/>
  <c r="U6630" i="2"/>
  <c r="N6630" i="2"/>
  <c r="M6630" i="2"/>
  <c r="J6630" i="2"/>
  <c r="I6630" i="2"/>
  <c r="H6630" i="2"/>
  <c r="G6630" i="2"/>
  <c r="F6630" i="2"/>
  <c r="E6630" i="2"/>
  <c r="D6630" i="2"/>
  <c r="C6630" i="2"/>
  <c r="B6630" i="2"/>
  <c r="A6630" i="2"/>
  <c r="U6629" i="2"/>
  <c r="N6629" i="2"/>
  <c r="M6629" i="2"/>
  <c r="J6629" i="2"/>
  <c r="I6629" i="2"/>
  <c r="H6629" i="2"/>
  <c r="G6629" i="2"/>
  <c r="F6629" i="2"/>
  <c r="E6629" i="2"/>
  <c r="D6629" i="2"/>
  <c r="C6629" i="2"/>
  <c r="B6629" i="2"/>
  <c r="A6629" i="2"/>
  <c r="U6628" i="2"/>
  <c r="N6628" i="2"/>
  <c r="M6628" i="2"/>
  <c r="J6628" i="2"/>
  <c r="I6628" i="2"/>
  <c r="H6628" i="2"/>
  <c r="G6628" i="2"/>
  <c r="F6628" i="2"/>
  <c r="E6628" i="2"/>
  <c r="D6628" i="2"/>
  <c r="C6628" i="2"/>
  <c r="B6628" i="2"/>
  <c r="A6628" i="2"/>
  <c r="U6627" i="2"/>
  <c r="N6627" i="2"/>
  <c r="M6627" i="2"/>
  <c r="J6627" i="2"/>
  <c r="I6627" i="2"/>
  <c r="H6627" i="2"/>
  <c r="G6627" i="2"/>
  <c r="F6627" i="2"/>
  <c r="E6627" i="2"/>
  <c r="D6627" i="2"/>
  <c r="C6627" i="2"/>
  <c r="B6627" i="2"/>
  <c r="A6627" i="2"/>
  <c r="U6626" i="2"/>
  <c r="N6626" i="2"/>
  <c r="M6626" i="2"/>
  <c r="J6626" i="2"/>
  <c r="I6626" i="2"/>
  <c r="H6626" i="2"/>
  <c r="G6626" i="2"/>
  <c r="F6626" i="2"/>
  <c r="E6626" i="2"/>
  <c r="D6626" i="2"/>
  <c r="C6626" i="2"/>
  <c r="B6626" i="2"/>
  <c r="A6626" i="2"/>
  <c r="U6625" i="2"/>
  <c r="N6625" i="2"/>
  <c r="M6625" i="2"/>
  <c r="J6625" i="2"/>
  <c r="I6625" i="2"/>
  <c r="H6625" i="2"/>
  <c r="G6625" i="2"/>
  <c r="F6625" i="2"/>
  <c r="E6625" i="2"/>
  <c r="D6625" i="2"/>
  <c r="C6625" i="2"/>
  <c r="B6625" i="2"/>
  <c r="A6625" i="2"/>
  <c r="U6624" i="2"/>
  <c r="N6624" i="2"/>
  <c r="M6624" i="2"/>
  <c r="J6624" i="2"/>
  <c r="I6624" i="2"/>
  <c r="H6624" i="2"/>
  <c r="G6624" i="2"/>
  <c r="F6624" i="2"/>
  <c r="E6624" i="2"/>
  <c r="D6624" i="2"/>
  <c r="C6624" i="2"/>
  <c r="B6624" i="2"/>
  <c r="A6624" i="2"/>
  <c r="U6623" i="2"/>
  <c r="N6623" i="2"/>
  <c r="M6623" i="2"/>
  <c r="J6623" i="2"/>
  <c r="I6623" i="2"/>
  <c r="H6623" i="2"/>
  <c r="G6623" i="2"/>
  <c r="F6623" i="2"/>
  <c r="E6623" i="2"/>
  <c r="D6623" i="2"/>
  <c r="C6623" i="2"/>
  <c r="B6623" i="2"/>
  <c r="A6623" i="2"/>
  <c r="U6622" i="2"/>
  <c r="N6622" i="2"/>
  <c r="M6622" i="2"/>
  <c r="J6622" i="2"/>
  <c r="I6622" i="2"/>
  <c r="H6622" i="2"/>
  <c r="G6622" i="2"/>
  <c r="F6622" i="2"/>
  <c r="E6622" i="2"/>
  <c r="D6622" i="2"/>
  <c r="C6622" i="2"/>
  <c r="B6622" i="2"/>
  <c r="A6622" i="2"/>
  <c r="U6621" i="2"/>
  <c r="N6621" i="2"/>
  <c r="M6621" i="2"/>
  <c r="J6621" i="2"/>
  <c r="I6621" i="2"/>
  <c r="H6621" i="2"/>
  <c r="G6621" i="2"/>
  <c r="F6621" i="2"/>
  <c r="E6621" i="2"/>
  <c r="D6621" i="2"/>
  <c r="C6621" i="2"/>
  <c r="B6621" i="2"/>
  <c r="A6621" i="2"/>
  <c r="U6620" i="2"/>
  <c r="N6620" i="2"/>
  <c r="M6620" i="2"/>
  <c r="J6620" i="2"/>
  <c r="I6620" i="2"/>
  <c r="H6620" i="2"/>
  <c r="G6620" i="2"/>
  <c r="F6620" i="2"/>
  <c r="E6620" i="2"/>
  <c r="D6620" i="2"/>
  <c r="C6620" i="2"/>
  <c r="B6620" i="2"/>
  <c r="A6620" i="2"/>
  <c r="U6619" i="2"/>
  <c r="N6619" i="2"/>
  <c r="M6619" i="2"/>
  <c r="J6619" i="2"/>
  <c r="I6619" i="2"/>
  <c r="H6619" i="2"/>
  <c r="G6619" i="2"/>
  <c r="F6619" i="2"/>
  <c r="E6619" i="2"/>
  <c r="D6619" i="2"/>
  <c r="C6619" i="2"/>
  <c r="B6619" i="2"/>
  <c r="A6619" i="2"/>
  <c r="U6618" i="2"/>
  <c r="N6618" i="2"/>
  <c r="M6618" i="2"/>
  <c r="J6618" i="2"/>
  <c r="I6618" i="2"/>
  <c r="H6618" i="2"/>
  <c r="G6618" i="2"/>
  <c r="F6618" i="2"/>
  <c r="E6618" i="2"/>
  <c r="D6618" i="2"/>
  <c r="C6618" i="2"/>
  <c r="B6618" i="2"/>
  <c r="A6618" i="2"/>
  <c r="U6617" i="2"/>
  <c r="N6617" i="2"/>
  <c r="M6617" i="2"/>
  <c r="J6617" i="2"/>
  <c r="I6617" i="2"/>
  <c r="H6617" i="2"/>
  <c r="G6617" i="2"/>
  <c r="F6617" i="2"/>
  <c r="E6617" i="2"/>
  <c r="D6617" i="2"/>
  <c r="C6617" i="2"/>
  <c r="B6617" i="2"/>
  <c r="A6617" i="2"/>
  <c r="U6616" i="2"/>
  <c r="N6616" i="2"/>
  <c r="M6616" i="2"/>
  <c r="J6616" i="2"/>
  <c r="I6616" i="2"/>
  <c r="H6616" i="2"/>
  <c r="G6616" i="2"/>
  <c r="F6616" i="2"/>
  <c r="E6616" i="2"/>
  <c r="D6616" i="2"/>
  <c r="C6616" i="2"/>
  <c r="B6616" i="2"/>
  <c r="A6616" i="2"/>
  <c r="U6615" i="2"/>
  <c r="N6615" i="2"/>
  <c r="M6615" i="2"/>
  <c r="J6615" i="2"/>
  <c r="I6615" i="2"/>
  <c r="H6615" i="2"/>
  <c r="G6615" i="2"/>
  <c r="F6615" i="2"/>
  <c r="E6615" i="2"/>
  <c r="D6615" i="2"/>
  <c r="C6615" i="2"/>
  <c r="B6615" i="2"/>
  <c r="A6615" i="2"/>
  <c r="U6614" i="2"/>
  <c r="N6614" i="2"/>
  <c r="M6614" i="2"/>
  <c r="J6614" i="2"/>
  <c r="I6614" i="2"/>
  <c r="H6614" i="2"/>
  <c r="G6614" i="2"/>
  <c r="F6614" i="2"/>
  <c r="E6614" i="2"/>
  <c r="D6614" i="2"/>
  <c r="C6614" i="2"/>
  <c r="B6614" i="2"/>
  <c r="A6614" i="2"/>
  <c r="U6613" i="2"/>
  <c r="N6613" i="2"/>
  <c r="M6613" i="2"/>
  <c r="J6613" i="2"/>
  <c r="I6613" i="2"/>
  <c r="H6613" i="2"/>
  <c r="G6613" i="2"/>
  <c r="F6613" i="2"/>
  <c r="E6613" i="2"/>
  <c r="D6613" i="2"/>
  <c r="C6613" i="2"/>
  <c r="B6613" i="2"/>
  <c r="A6613" i="2"/>
  <c r="U6612" i="2"/>
  <c r="N6612" i="2"/>
  <c r="M6612" i="2"/>
  <c r="J6612" i="2"/>
  <c r="I6612" i="2"/>
  <c r="H6612" i="2"/>
  <c r="G6612" i="2"/>
  <c r="F6612" i="2"/>
  <c r="E6612" i="2"/>
  <c r="D6612" i="2"/>
  <c r="C6612" i="2"/>
  <c r="B6612" i="2"/>
  <c r="A6612" i="2"/>
  <c r="U6611" i="2"/>
  <c r="N6611" i="2"/>
  <c r="M6611" i="2"/>
  <c r="J6611" i="2"/>
  <c r="I6611" i="2"/>
  <c r="H6611" i="2"/>
  <c r="G6611" i="2"/>
  <c r="F6611" i="2"/>
  <c r="E6611" i="2"/>
  <c r="D6611" i="2"/>
  <c r="C6611" i="2"/>
  <c r="B6611" i="2"/>
  <c r="A6611" i="2"/>
  <c r="U6610" i="2"/>
  <c r="N6610" i="2"/>
  <c r="M6610" i="2"/>
  <c r="J6610" i="2"/>
  <c r="I6610" i="2"/>
  <c r="H6610" i="2"/>
  <c r="G6610" i="2"/>
  <c r="F6610" i="2"/>
  <c r="E6610" i="2"/>
  <c r="D6610" i="2"/>
  <c r="C6610" i="2"/>
  <c r="B6610" i="2"/>
  <c r="A6610" i="2"/>
  <c r="U6609" i="2"/>
  <c r="N6609" i="2"/>
  <c r="M6609" i="2"/>
  <c r="J6609" i="2"/>
  <c r="I6609" i="2"/>
  <c r="H6609" i="2"/>
  <c r="G6609" i="2"/>
  <c r="F6609" i="2"/>
  <c r="E6609" i="2"/>
  <c r="D6609" i="2"/>
  <c r="C6609" i="2"/>
  <c r="B6609" i="2"/>
  <c r="A6609" i="2"/>
  <c r="U6608" i="2"/>
  <c r="N6608" i="2"/>
  <c r="M6608" i="2"/>
  <c r="J6608" i="2"/>
  <c r="I6608" i="2"/>
  <c r="H6608" i="2"/>
  <c r="G6608" i="2"/>
  <c r="F6608" i="2"/>
  <c r="E6608" i="2"/>
  <c r="D6608" i="2"/>
  <c r="C6608" i="2"/>
  <c r="B6608" i="2"/>
  <c r="A6608" i="2"/>
  <c r="U6607" i="2"/>
  <c r="N6607" i="2"/>
  <c r="M6607" i="2"/>
  <c r="J6607" i="2"/>
  <c r="I6607" i="2"/>
  <c r="H6607" i="2"/>
  <c r="G6607" i="2"/>
  <c r="F6607" i="2"/>
  <c r="E6607" i="2"/>
  <c r="D6607" i="2"/>
  <c r="C6607" i="2"/>
  <c r="B6607" i="2"/>
  <c r="A6607" i="2"/>
  <c r="U6606" i="2"/>
  <c r="N6606" i="2"/>
  <c r="M6606" i="2"/>
  <c r="J6606" i="2"/>
  <c r="I6606" i="2"/>
  <c r="H6606" i="2"/>
  <c r="G6606" i="2"/>
  <c r="F6606" i="2"/>
  <c r="E6606" i="2"/>
  <c r="D6606" i="2"/>
  <c r="C6606" i="2"/>
  <c r="B6606" i="2"/>
  <c r="A6606" i="2"/>
  <c r="U6605" i="2"/>
  <c r="N6605" i="2"/>
  <c r="M6605" i="2"/>
  <c r="J6605" i="2"/>
  <c r="I6605" i="2"/>
  <c r="H6605" i="2"/>
  <c r="G6605" i="2"/>
  <c r="F6605" i="2"/>
  <c r="E6605" i="2"/>
  <c r="D6605" i="2"/>
  <c r="C6605" i="2"/>
  <c r="B6605" i="2"/>
  <c r="A6605" i="2"/>
  <c r="U6604" i="2"/>
  <c r="N6604" i="2"/>
  <c r="M6604" i="2"/>
  <c r="J6604" i="2"/>
  <c r="I6604" i="2"/>
  <c r="H6604" i="2"/>
  <c r="G6604" i="2"/>
  <c r="F6604" i="2"/>
  <c r="E6604" i="2"/>
  <c r="D6604" i="2"/>
  <c r="C6604" i="2"/>
  <c r="B6604" i="2"/>
  <c r="A6604" i="2"/>
  <c r="U6603" i="2"/>
  <c r="N6603" i="2"/>
  <c r="M6603" i="2"/>
  <c r="J6603" i="2"/>
  <c r="I6603" i="2"/>
  <c r="H6603" i="2"/>
  <c r="G6603" i="2"/>
  <c r="F6603" i="2"/>
  <c r="E6603" i="2"/>
  <c r="D6603" i="2"/>
  <c r="C6603" i="2"/>
  <c r="B6603" i="2"/>
  <c r="A6603" i="2"/>
  <c r="U6602" i="2"/>
  <c r="N6602" i="2"/>
  <c r="M6602" i="2"/>
  <c r="J6602" i="2"/>
  <c r="I6602" i="2"/>
  <c r="H6602" i="2"/>
  <c r="G6602" i="2"/>
  <c r="F6602" i="2"/>
  <c r="E6602" i="2"/>
  <c r="D6602" i="2"/>
  <c r="C6602" i="2"/>
  <c r="B6602" i="2"/>
  <c r="A6602" i="2"/>
  <c r="U6601" i="2"/>
  <c r="N6601" i="2"/>
  <c r="M6601" i="2"/>
  <c r="J6601" i="2"/>
  <c r="I6601" i="2"/>
  <c r="H6601" i="2"/>
  <c r="G6601" i="2"/>
  <c r="F6601" i="2"/>
  <c r="E6601" i="2"/>
  <c r="D6601" i="2"/>
  <c r="C6601" i="2"/>
  <c r="B6601" i="2"/>
  <c r="A6601" i="2"/>
  <c r="U6600" i="2"/>
  <c r="N6600" i="2"/>
  <c r="M6600" i="2"/>
  <c r="J6600" i="2"/>
  <c r="I6600" i="2"/>
  <c r="H6600" i="2"/>
  <c r="G6600" i="2"/>
  <c r="F6600" i="2"/>
  <c r="E6600" i="2"/>
  <c r="D6600" i="2"/>
  <c r="C6600" i="2"/>
  <c r="B6600" i="2"/>
  <c r="A6600" i="2"/>
  <c r="U6599" i="2"/>
  <c r="N6599" i="2"/>
  <c r="M6599" i="2"/>
  <c r="J6599" i="2"/>
  <c r="I6599" i="2"/>
  <c r="H6599" i="2"/>
  <c r="G6599" i="2"/>
  <c r="F6599" i="2"/>
  <c r="E6599" i="2"/>
  <c r="D6599" i="2"/>
  <c r="C6599" i="2"/>
  <c r="B6599" i="2"/>
  <c r="A6599" i="2"/>
  <c r="U6598" i="2"/>
  <c r="N6598" i="2"/>
  <c r="M6598" i="2"/>
  <c r="J6598" i="2"/>
  <c r="I6598" i="2"/>
  <c r="H6598" i="2"/>
  <c r="G6598" i="2"/>
  <c r="F6598" i="2"/>
  <c r="E6598" i="2"/>
  <c r="D6598" i="2"/>
  <c r="C6598" i="2"/>
  <c r="B6598" i="2"/>
  <c r="A6598" i="2"/>
  <c r="U6597" i="2"/>
  <c r="N6597" i="2"/>
  <c r="M6597" i="2"/>
  <c r="J6597" i="2"/>
  <c r="I6597" i="2"/>
  <c r="H6597" i="2"/>
  <c r="G6597" i="2"/>
  <c r="F6597" i="2"/>
  <c r="E6597" i="2"/>
  <c r="D6597" i="2"/>
  <c r="C6597" i="2"/>
  <c r="B6597" i="2"/>
  <c r="A6597" i="2"/>
  <c r="U6596" i="2"/>
  <c r="N6596" i="2"/>
  <c r="M6596" i="2"/>
  <c r="J6596" i="2"/>
  <c r="I6596" i="2"/>
  <c r="H6596" i="2"/>
  <c r="G6596" i="2"/>
  <c r="F6596" i="2"/>
  <c r="E6596" i="2"/>
  <c r="D6596" i="2"/>
  <c r="C6596" i="2"/>
  <c r="B6596" i="2"/>
  <c r="A6596" i="2"/>
  <c r="U6595" i="2"/>
  <c r="N6595" i="2"/>
  <c r="M6595" i="2"/>
  <c r="J6595" i="2"/>
  <c r="I6595" i="2"/>
  <c r="H6595" i="2"/>
  <c r="G6595" i="2"/>
  <c r="F6595" i="2"/>
  <c r="E6595" i="2"/>
  <c r="D6595" i="2"/>
  <c r="C6595" i="2"/>
  <c r="B6595" i="2"/>
  <c r="A6595" i="2"/>
  <c r="U6594" i="2"/>
  <c r="N6594" i="2"/>
  <c r="M6594" i="2"/>
  <c r="J6594" i="2"/>
  <c r="I6594" i="2"/>
  <c r="H6594" i="2"/>
  <c r="G6594" i="2"/>
  <c r="F6594" i="2"/>
  <c r="E6594" i="2"/>
  <c r="D6594" i="2"/>
  <c r="C6594" i="2"/>
  <c r="B6594" i="2"/>
  <c r="A6594" i="2"/>
  <c r="U6593" i="2"/>
  <c r="N6593" i="2"/>
  <c r="M6593" i="2"/>
  <c r="J6593" i="2"/>
  <c r="I6593" i="2"/>
  <c r="H6593" i="2"/>
  <c r="G6593" i="2"/>
  <c r="F6593" i="2"/>
  <c r="E6593" i="2"/>
  <c r="D6593" i="2"/>
  <c r="C6593" i="2"/>
  <c r="B6593" i="2"/>
  <c r="A6593" i="2"/>
  <c r="U6592" i="2"/>
  <c r="N6592" i="2"/>
  <c r="M6592" i="2"/>
  <c r="J6592" i="2"/>
  <c r="I6592" i="2"/>
  <c r="H6592" i="2"/>
  <c r="G6592" i="2"/>
  <c r="F6592" i="2"/>
  <c r="E6592" i="2"/>
  <c r="D6592" i="2"/>
  <c r="C6592" i="2"/>
  <c r="B6592" i="2"/>
  <c r="A6592" i="2"/>
  <c r="U6591" i="2"/>
  <c r="N6591" i="2"/>
  <c r="M6591" i="2"/>
  <c r="J6591" i="2"/>
  <c r="I6591" i="2"/>
  <c r="H6591" i="2"/>
  <c r="G6591" i="2"/>
  <c r="F6591" i="2"/>
  <c r="E6591" i="2"/>
  <c r="D6591" i="2"/>
  <c r="C6591" i="2"/>
  <c r="B6591" i="2"/>
  <c r="A6591" i="2"/>
  <c r="U6590" i="2"/>
  <c r="N6590" i="2"/>
  <c r="M6590" i="2"/>
  <c r="J6590" i="2"/>
  <c r="I6590" i="2"/>
  <c r="H6590" i="2"/>
  <c r="G6590" i="2"/>
  <c r="F6590" i="2"/>
  <c r="E6590" i="2"/>
  <c r="D6590" i="2"/>
  <c r="C6590" i="2"/>
  <c r="B6590" i="2"/>
  <c r="A6590" i="2"/>
  <c r="U6589" i="2"/>
  <c r="N6589" i="2"/>
  <c r="M6589" i="2"/>
  <c r="J6589" i="2"/>
  <c r="I6589" i="2"/>
  <c r="H6589" i="2"/>
  <c r="G6589" i="2"/>
  <c r="F6589" i="2"/>
  <c r="E6589" i="2"/>
  <c r="D6589" i="2"/>
  <c r="C6589" i="2"/>
  <c r="B6589" i="2"/>
  <c r="A6589" i="2"/>
  <c r="U6588" i="2"/>
  <c r="N6588" i="2"/>
  <c r="M6588" i="2"/>
  <c r="J6588" i="2"/>
  <c r="I6588" i="2"/>
  <c r="H6588" i="2"/>
  <c r="G6588" i="2"/>
  <c r="F6588" i="2"/>
  <c r="E6588" i="2"/>
  <c r="D6588" i="2"/>
  <c r="C6588" i="2"/>
  <c r="B6588" i="2"/>
  <c r="A6588" i="2"/>
  <c r="U6587" i="2"/>
  <c r="N6587" i="2"/>
  <c r="M6587" i="2"/>
  <c r="J6587" i="2"/>
  <c r="I6587" i="2"/>
  <c r="H6587" i="2"/>
  <c r="G6587" i="2"/>
  <c r="F6587" i="2"/>
  <c r="E6587" i="2"/>
  <c r="D6587" i="2"/>
  <c r="C6587" i="2"/>
  <c r="B6587" i="2"/>
  <c r="A6587" i="2"/>
  <c r="U6586" i="2"/>
  <c r="N6586" i="2"/>
  <c r="M6586" i="2"/>
  <c r="J6586" i="2"/>
  <c r="I6586" i="2"/>
  <c r="H6586" i="2"/>
  <c r="G6586" i="2"/>
  <c r="F6586" i="2"/>
  <c r="E6586" i="2"/>
  <c r="D6586" i="2"/>
  <c r="C6586" i="2"/>
  <c r="B6586" i="2"/>
  <c r="A6586" i="2"/>
  <c r="U6585" i="2"/>
  <c r="N6585" i="2"/>
  <c r="M6585" i="2"/>
  <c r="J6585" i="2"/>
  <c r="I6585" i="2"/>
  <c r="H6585" i="2"/>
  <c r="G6585" i="2"/>
  <c r="F6585" i="2"/>
  <c r="E6585" i="2"/>
  <c r="D6585" i="2"/>
  <c r="C6585" i="2"/>
  <c r="B6585" i="2"/>
  <c r="A6585" i="2"/>
  <c r="U6584" i="2"/>
  <c r="N6584" i="2"/>
  <c r="M6584" i="2"/>
  <c r="J6584" i="2"/>
  <c r="I6584" i="2"/>
  <c r="H6584" i="2"/>
  <c r="G6584" i="2"/>
  <c r="F6584" i="2"/>
  <c r="E6584" i="2"/>
  <c r="D6584" i="2"/>
  <c r="C6584" i="2"/>
  <c r="B6584" i="2"/>
  <c r="A6584" i="2"/>
  <c r="U6583" i="2"/>
  <c r="N6583" i="2"/>
  <c r="M6583" i="2"/>
  <c r="J6583" i="2"/>
  <c r="I6583" i="2"/>
  <c r="H6583" i="2"/>
  <c r="G6583" i="2"/>
  <c r="F6583" i="2"/>
  <c r="E6583" i="2"/>
  <c r="D6583" i="2"/>
  <c r="C6583" i="2"/>
  <c r="B6583" i="2"/>
  <c r="A6583" i="2"/>
  <c r="U6582" i="2"/>
  <c r="N6582" i="2"/>
  <c r="M6582" i="2"/>
  <c r="J6582" i="2"/>
  <c r="I6582" i="2"/>
  <c r="H6582" i="2"/>
  <c r="G6582" i="2"/>
  <c r="F6582" i="2"/>
  <c r="E6582" i="2"/>
  <c r="D6582" i="2"/>
  <c r="C6582" i="2"/>
  <c r="B6582" i="2"/>
  <c r="A6582" i="2"/>
  <c r="U6581" i="2"/>
  <c r="N6581" i="2"/>
  <c r="M6581" i="2"/>
  <c r="J6581" i="2"/>
  <c r="I6581" i="2"/>
  <c r="H6581" i="2"/>
  <c r="G6581" i="2"/>
  <c r="F6581" i="2"/>
  <c r="E6581" i="2"/>
  <c r="D6581" i="2"/>
  <c r="C6581" i="2"/>
  <c r="B6581" i="2"/>
  <c r="A6581" i="2"/>
  <c r="U6580" i="2"/>
  <c r="N6580" i="2"/>
  <c r="M6580" i="2"/>
  <c r="J6580" i="2"/>
  <c r="I6580" i="2"/>
  <c r="H6580" i="2"/>
  <c r="G6580" i="2"/>
  <c r="F6580" i="2"/>
  <c r="E6580" i="2"/>
  <c r="D6580" i="2"/>
  <c r="C6580" i="2"/>
  <c r="B6580" i="2"/>
  <c r="A6580" i="2"/>
  <c r="U6579" i="2"/>
  <c r="N6579" i="2"/>
  <c r="M6579" i="2"/>
  <c r="J6579" i="2"/>
  <c r="I6579" i="2"/>
  <c r="H6579" i="2"/>
  <c r="G6579" i="2"/>
  <c r="F6579" i="2"/>
  <c r="E6579" i="2"/>
  <c r="D6579" i="2"/>
  <c r="C6579" i="2"/>
  <c r="B6579" i="2"/>
  <c r="A6579" i="2"/>
  <c r="U6578" i="2"/>
  <c r="N6578" i="2"/>
  <c r="M6578" i="2"/>
  <c r="J6578" i="2"/>
  <c r="I6578" i="2"/>
  <c r="H6578" i="2"/>
  <c r="G6578" i="2"/>
  <c r="F6578" i="2"/>
  <c r="E6578" i="2"/>
  <c r="D6578" i="2"/>
  <c r="C6578" i="2"/>
  <c r="B6578" i="2"/>
  <c r="A6578" i="2"/>
  <c r="U6577" i="2"/>
  <c r="N6577" i="2"/>
  <c r="M6577" i="2"/>
  <c r="J6577" i="2"/>
  <c r="I6577" i="2"/>
  <c r="H6577" i="2"/>
  <c r="G6577" i="2"/>
  <c r="F6577" i="2"/>
  <c r="E6577" i="2"/>
  <c r="D6577" i="2"/>
  <c r="C6577" i="2"/>
  <c r="B6577" i="2"/>
  <c r="A6577" i="2"/>
  <c r="U6576" i="2"/>
  <c r="N6576" i="2"/>
  <c r="M6576" i="2"/>
  <c r="J6576" i="2"/>
  <c r="I6576" i="2"/>
  <c r="H6576" i="2"/>
  <c r="G6576" i="2"/>
  <c r="F6576" i="2"/>
  <c r="E6576" i="2"/>
  <c r="D6576" i="2"/>
  <c r="C6576" i="2"/>
  <c r="B6576" i="2"/>
  <c r="A6576" i="2"/>
  <c r="U6575" i="2"/>
  <c r="N6575" i="2"/>
  <c r="M6575" i="2"/>
  <c r="J6575" i="2"/>
  <c r="I6575" i="2"/>
  <c r="H6575" i="2"/>
  <c r="G6575" i="2"/>
  <c r="F6575" i="2"/>
  <c r="E6575" i="2"/>
  <c r="D6575" i="2"/>
  <c r="C6575" i="2"/>
  <c r="B6575" i="2"/>
  <c r="A6575" i="2"/>
  <c r="U6574" i="2"/>
  <c r="N6574" i="2"/>
  <c r="M6574" i="2"/>
  <c r="J6574" i="2"/>
  <c r="I6574" i="2"/>
  <c r="H6574" i="2"/>
  <c r="G6574" i="2"/>
  <c r="F6574" i="2"/>
  <c r="E6574" i="2"/>
  <c r="D6574" i="2"/>
  <c r="C6574" i="2"/>
  <c r="B6574" i="2"/>
  <c r="A6574" i="2"/>
  <c r="U6573" i="2"/>
  <c r="N6573" i="2"/>
  <c r="M6573" i="2"/>
  <c r="J6573" i="2"/>
  <c r="I6573" i="2"/>
  <c r="H6573" i="2"/>
  <c r="G6573" i="2"/>
  <c r="F6573" i="2"/>
  <c r="E6573" i="2"/>
  <c r="D6573" i="2"/>
  <c r="C6573" i="2"/>
  <c r="B6573" i="2"/>
  <c r="A6573" i="2"/>
  <c r="U6572" i="2"/>
  <c r="N6572" i="2"/>
  <c r="M6572" i="2"/>
  <c r="J6572" i="2"/>
  <c r="I6572" i="2"/>
  <c r="H6572" i="2"/>
  <c r="G6572" i="2"/>
  <c r="F6572" i="2"/>
  <c r="E6572" i="2"/>
  <c r="D6572" i="2"/>
  <c r="C6572" i="2"/>
  <c r="B6572" i="2"/>
  <c r="A6572" i="2"/>
  <c r="U6571" i="2"/>
  <c r="N6571" i="2"/>
  <c r="M6571" i="2"/>
  <c r="J6571" i="2"/>
  <c r="I6571" i="2"/>
  <c r="H6571" i="2"/>
  <c r="G6571" i="2"/>
  <c r="F6571" i="2"/>
  <c r="E6571" i="2"/>
  <c r="D6571" i="2"/>
  <c r="C6571" i="2"/>
  <c r="B6571" i="2"/>
  <c r="A6571" i="2"/>
  <c r="U6570" i="2"/>
  <c r="N6570" i="2"/>
  <c r="M6570" i="2"/>
  <c r="J6570" i="2"/>
  <c r="I6570" i="2"/>
  <c r="H6570" i="2"/>
  <c r="G6570" i="2"/>
  <c r="F6570" i="2"/>
  <c r="E6570" i="2"/>
  <c r="D6570" i="2"/>
  <c r="C6570" i="2"/>
  <c r="B6570" i="2"/>
  <c r="A6570" i="2"/>
  <c r="U6569" i="2"/>
  <c r="N6569" i="2"/>
  <c r="M6569" i="2"/>
  <c r="J6569" i="2"/>
  <c r="I6569" i="2"/>
  <c r="H6569" i="2"/>
  <c r="G6569" i="2"/>
  <c r="F6569" i="2"/>
  <c r="E6569" i="2"/>
  <c r="D6569" i="2"/>
  <c r="C6569" i="2"/>
  <c r="B6569" i="2"/>
  <c r="A6569" i="2"/>
  <c r="U6568" i="2"/>
  <c r="N6568" i="2"/>
  <c r="M6568" i="2"/>
  <c r="J6568" i="2"/>
  <c r="I6568" i="2"/>
  <c r="H6568" i="2"/>
  <c r="G6568" i="2"/>
  <c r="F6568" i="2"/>
  <c r="E6568" i="2"/>
  <c r="D6568" i="2"/>
  <c r="C6568" i="2"/>
  <c r="B6568" i="2"/>
  <c r="A6568" i="2"/>
  <c r="U6567" i="2"/>
  <c r="N6567" i="2"/>
  <c r="M6567" i="2"/>
  <c r="J6567" i="2"/>
  <c r="I6567" i="2"/>
  <c r="H6567" i="2"/>
  <c r="G6567" i="2"/>
  <c r="F6567" i="2"/>
  <c r="E6567" i="2"/>
  <c r="D6567" i="2"/>
  <c r="C6567" i="2"/>
  <c r="B6567" i="2"/>
  <c r="A6567" i="2"/>
  <c r="U6566" i="2"/>
  <c r="N6566" i="2"/>
  <c r="M6566" i="2"/>
  <c r="J6566" i="2"/>
  <c r="I6566" i="2"/>
  <c r="H6566" i="2"/>
  <c r="G6566" i="2"/>
  <c r="F6566" i="2"/>
  <c r="E6566" i="2"/>
  <c r="D6566" i="2"/>
  <c r="C6566" i="2"/>
  <c r="B6566" i="2"/>
  <c r="A6566" i="2"/>
  <c r="U6565" i="2"/>
  <c r="N6565" i="2"/>
  <c r="M6565" i="2"/>
  <c r="J6565" i="2"/>
  <c r="I6565" i="2"/>
  <c r="H6565" i="2"/>
  <c r="G6565" i="2"/>
  <c r="F6565" i="2"/>
  <c r="E6565" i="2"/>
  <c r="D6565" i="2"/>
  <c r="C6565" i="2"/>
  <c r="B6565" i="2"/>
  <c r="A6565" i="2"/>
  <c r="U6564" i="2"/>
  <c r="N6564" i="2"/>
  <c r="M6564" i="2"/>
  <c r="J6564" i="2"/>
  <c r="I6564" i="2"/>
  <c r="H6564" i="2"/>
  <c r="G6564" i="2"/>
  <c r="F6564" i="2"/>
  <c r="E6564" i="2"/>
  <c r="D6564" i="2"/>
  <c r="C6564" i="2"/>
  <c r="B6564" i="2"/>
  <c r="A6564" i="2"/>
  <c r="U6563" i="2"/>
  <c r="N6563" i="2"/>
  <c r="M6563" i="2"/>
  <c r="J6563" i="2"/>
  <c r="I6563" i="2"/>
  <c r="H6563" i="2"/>
  <c r="G6563" i="2"/>
  <c r="F6563" i="2"/>
  <c r="E6563" i="2"/>
  <c r="D6563" i="2"/>
  <c r="C6563" i="2"/>
  <c r="B6563" i="2"/>
  <c r="A6563" i="2"/>
  <c r="U6562" i="2"/>
  <c r="N6562" i="2"/>
  <c r="M6562" i="2"/>
  <c r="J6562" i="2"/>
  <c r="I6562" i="2"/>
  <c r="H6562" i="2"/>
  <c r="G6562" i="2"/>
  <c r="F6562" i="2"/>
  <c r="E6562" i="2"/>
  <c r="D6562" i="2"/>
  <c r="C6562" i="2"/>
  <c r="B6562" i="2"/>
  <c r="A6562" i="2"/>
  <c r="U6561" i="2"/>
  <c r="N6561" i="2"/>
  <c r="M6561" i="2"/>
  <c r="J6561" i="2"/>
  <c r="I6561" i="2"/>
  <c r="H6561" i="2"/>
  <c r="G6561" i="2"/>
  <c r="F6561" i="2"/>
  <c r="E6561" i="2"/>
  <c r="D6561" i="2"/>
  <c r="C6561" i="2"/>
  <c r="B6561" i="2"/>
  <c r="A6561" i="2"/>
  <c r="U6560" i="2"/>
  <c r="N6560" i="2"/>
  <c r="M6560" i="2"/>
  <c r="J6560" i="2"/>
  <c r="I6560" i="2"/>
  <c r="H6560" i="2"/>
  <c r="G6560" i="2"/>
  <c r="F6560" i="2"/>
  <c r="E6560" i="2"/>
  <c r="D6560" i="2"/>
  <c r="C6560" i="2"/>
  <c r="B6560" i="2"/>
  <c r="A6560" i="2"/>
  <c r="U6559" i="2"/>
  <c r="N6559" i="2"/>
  <c r="M6559" i="2"/>
  <c r="J6559" i="2"/>
  <c r="I6559" i="2"/>
  <c r="H6559" i="2"/>
  <c r="G6559" i="2"/>
  <c r="F6559" i="2"/>
  <c r="E6559" i="2"/>
  <c r="D6559" i="2"/>
  <c r="C6559" i="2"/>
  <c r="B6559" i="2"/>
  <c r="A6559" i="2"/>
  <c r="U6558" i="2"/>
  <c r="N6558" i="2"/>
  <c r="M6558" i="2"/>
  <c r="J6558" i="2"/>
  <c r="I6558" i="2"/>
  <c r="H6558" i="2"/>
  <c r="G6558" i="2"/>
  <c r="F6558" i="2"/>
  <c r="E6558" i="2"/>
  <c r="D6558" i="2"/>
  <c r="C6558" i="2"/>
  <c r="B6558" i="2"/>
  <c r="A6558" i="2"/>
  <c r="U6557" i="2"/>
  <c r="N6557" i="2"/>
  <c r="M6557" i="2"/>
  <c r="J6557" i="2"/>
  <c r="I6557" i="2"/>
  <c r="H6557" i="2"/>
  <c r="G6557" i="2"/>
  <c r="F6557" i="2"/>
  <c r="E6557" i="2"/>
  <c r="D6557" i="2"/>
  <c r="C6557" i="2"/>
  <c r="B6557" i="2"/>
  <c r="A6557" i="2"/>
  <c r="U6556" i="2"/>
  <c r="N6556" i="2"/>
  <c r="M6556" i="2"/>
  <c r="J6556" i="2"/>
  <c r="I6556" i="2"/>
  <c r="H6556" i="2"/>
  <c r="G6556" i="2"/>
  <c r="F6556" i="2"/>
  <c r="E6556" i="2"/>
  <c r="D6556" i="2"/>
  <c r="C6556" i="2"/>
  <c r="B6556" i="2"/>
  <c r="A6556" i="2"/>
  <c r="U6555" i="2"/>
  <c r="N6555" i="2"/>
  <c r="M6555" i="2"/>
  <c r="J6555" i="2"/>
  <c r="I6555" i="2"/>
  <c r="H6555" i="2"/>
  <c r="G6555" i="2"/>
  <c r="F6555" i="2"/>
  <c r="E6555" i="2"/>
  <c r="D6555" i="2"/>
  <c r="C6555" i="2"/>
  <c r="B6555" i="2"/>
  <c r="A6555" i="2"/>
  <c r="U6554" i="2"/>
  <c r="N6554" i="2"/>
  <c r="M6554" i="2"/>
  <c r="J6554" i="2"/>
  <c r="I6554" i="2"/>
  <c r="H6554" i="2"/>
  <c r="G6554" i="2"/>
  <c r="F6554" i="2"/>
  <c r="E6554" i="2"/>
  <c r="D6554" i="2"/>
  <c r="C6554" i="2"/>
  <c r="B6554" i="2"/>
  <c r="A6554" i="2"/>
  <c r="U6553" i="2"/>
  <c r="N6553" i="2"/>
  <c r="M6553" i="2"/>
  <c r="J6553" i="2"/>
  <c r="I6553" i="2"/>
  <c r="H6553" i="2"/>
  <c r="G6553" i="2"/>
  <c r="F6553" i="2"/>
  <c r="E6553" i="2"/>
  <c r="D6553" i="2"/>
  <c r="C6553" i="2"/>
  <c r="B6553" i="2"/>
  <c r="A6553" i="2"/>
  <c r="U6552" i="2"/>
  <c r="N6552" i="2"/>
  <c r="M6552" i="2"/>
  <c r="J6552" i="2"/>
  <c r="I6552" i="2"/>
  <c r="H6552" i="2"/>
  <c r="G6552" i="2"/>
  <c r="F6552" i="2"/>
  <c r="E6552" i="2"/>
  <c r="D6552" i="2"/>
  <c r="C6552" i="2"/>
  <c r="B6552" i="2"/>
  <c r="A6552" i="2"/>
  <c r="U6551" i="2"/>
  <c r="N6551" i="2"/>
  <c r="M6551" i="2"/>
  <c r="J6551" i="2"/>
  <c r="I6551" i="2"/>
  <c r="H6551" i="2"/>
  <c r="G6551" i="2"/>
  <c r="F6551" i="2"/>
  <c r="E6551" i="2"/>
  <c r="D6551" i="2"/>
  <c r="C6551" i="2"/>
  <c r="B6551" i="2"/>
  <c r="A6551" i="2"/>
  <c r="U6550" i="2"/>
  <c r="N6550" i="2"/>
  <c r="M6550" i="2"/>
  <c r="J6550" i="2"/>
  <c r="I6550" i="2"/>
  <c r="H6550" i="2"/>
  <c r="G6550" i="2"/>
  <c r="F6550" i="2"/>
  <c r="E6550" i="2"/>
  <c r="D6550" i="2"/>
  <c r="C6550" i="2"/>
  <c r="B6550" i="2"/>
  <c r="A6550" i="2"/>
  <c r="U6549" i="2"/>
  <c r="N6549" i="2"/>
  <c r="M6549" i="2"/>
  <c r="J6549" i="2"/>
  <c r="I6549" i="2"/>
  <c r="H6549" i="2"/>
  <c r="G6549" i="2"/>
  <c r="F6549" i="2"/>
  <c r="E6549" i="2"/>
  <c r="D6549" i="2"/>
  <c r="C6549" i="2"/>
  <c r="B6549" i="2"/>
  <c r="A6549" i="2"/>
  <c r="U6548" i="2"/>
  <c r="N6548" i="2"/>
  <c r="M6548" i="2"/>
  <c r="J6548" i="2"/>
  <c r="I6548" i="2"/>
  <c r="H6548" i="2"/>
  <c r="G6548" i="2"/>
  <c r="F6548" i="2"/>
  <c r="E6548" i="2"/>
  <c r="D6548" i="2"/>
  <c r="C6548" i="2"/>
  <c r="B6548" i="2"/>
  <c r="A6548" i="2"/>
  <c r="U6547" i="2"/>
  <c r="N6547" i="2"/>
  <c r="M6547" i="2"/>
  <c r="J6547" i="2"/>
  <c r="I6547" i="2"/>
  <c r="H6547" i="2"/>
  <c r="G6547" i="2"/>
  <c r="F6547" i="2"/>
  <c r="E6547" i="2"/>
  <c r="D6547" i="2"/>
  <c r="C6547" i="2"/>
  <c r="B6547" i="2"/>
  <c r="A6547" i="2"/>
  <c r="U6546" i="2"/>
  <c r="N6546" i="2"/>
  <c r="M6546" i="2"/>
  <c r="J6546" i="2"/>
  <c r="I6546" i="2"/>
  <c r="H6546" i="2"/>
  <c r="G6546" i="2"/>
  <c r="F6546" i="2"/>
  <c r="E6546" i="2"/>
  <c r="D6546" i="2"/>
  <c r="C6546" i="2"/>
  <c r="B6546" i="2"/>
  <c r="A6546" i="2"/>
  <c r="U6545" i="2"/>
  <c r="N6545" i="2"/>
  <c r="M6545" i="2"/>
  <c r="J6545" i="2"/>
  <c r="I6545" i="2"/>
  <c r="H6545" i="2"/>
  <c r="G6545" i="2"/>
  <c r="F6545" i="2"/>
  <c r="E6545" i="2"/>
  <c r="D6545" i="2"/>
  <c r="C6545" i="2"/>
  <c r="B6545" i="2"/>
  <c r="A6545" i="2"/>
  <c r="U6544" i="2"/>
  <c r="N6544" i="2"/>
  <c r="M6544" i="2"/>
  <c r="J6544" i="2"/>
  <c r="I6544" i="2"/>
  <c r="H6544" i="2"/>
  <c r="G6544" i="2"/>
  <c r="F6544" i="2"/>
  <c r="E6544" i="2"/>
  <c r="D6544" i="2"/>
  <c r="C6544" i="2"/>
  <c r="B6544" i="2"/>
  <c r="A6544" i="2"/>
  <c r="U6543" i="2"/>
  <c r="N6543" i="2"/>
  <c r="M6543" i="2"/>
  <c r="J6543" i="2"/>
  <c r="I6543" i="2"/>
  <c r="H6543" i="2"/>
  <c r="G6543" i="2"/>
  <c r="F6543" i="2"/>
  <c r="E6543" i="2"/>
  <c r="D6543" i="2"/>
  <c r="C6543" i="2"/>
  <c r="B6543" i="2"/>
  <c r="A6543" i="2"/>
  <c r="U6542" i="2"/>
  <c r="N6542" i="2"/>
  <c r="M6542" i="2"/>
  <c r="J6542" i="2"/>
  <c r="I6542" i="2"/>
  <c r="H6542" i="2"/>
  <c r="G6542" i="2"/>
  <c r="F6542" i="2"/>
  <c r="E6542" i="2"/>
  <c r="D6542" i="2"/>
  <c r="C6542" i="2"/>
  <c r="B6542" i="2"/>
  <c r="A6542" i="2"/>
  <c r="U6541" i="2"/>
  <c r="N6541" i="2"/>
  <c r="M6541" i="2"/>
  <c r="J6541" i="2"/>
  <c r="I6541" i="2"/>
  <c r="H6541" i="2"/>
  <c r="G6541" i="2"/>
  <c r="F6541" i="2"/>
  <c r="E6541" i="2"/>
  <c r="D6541" i="2"/>
  <c r="C6541" i="2"/>
  <c r="B6541" i="2"/>
  <c r="A6541" i="2"/>
  <c r="U6540" i="2"/>
  <c r="N6540" i="2"/>
  <c r="M6540" i="2"/>
  <c r="J6540" i="2"/>
  <c r="I6540" i="2"/>
  <c r="H6540" i="2"/>
  <c r="G6540" i="2"/>
  <c r="F6540" i="2"/>
  <c r="E6540" i="2"/>
  <c r="D6540" i="2"/>
  <c r="C6540" i="2"/>
  <c r="B6540" i="2"/>
  <c r="A6540" i="2"/>
  <c r="U6539" i="2"/>
  <c r="N6539" i="2"/>
  <c r="M6539" i="2"/>
  <c r="J6539" i="2"/>
  <c r="I6539" i="2"/>
  <c r="H6539" i="2"/>
  <c r="G6539" i="2"/>
  <c r="F6539" i="2"/>
  <c r="E6539" i="2"/>
  <c r="D6539" i="2"/>
  <c r="C6539" i="2"/>
  <c r="B6539" i="2"/>
  <c r="A6539" i="2"/>
  <c r="U6538" i="2"/>
  <c r="N6538" i="2"/>
  <c r="M6538" i="2"/>
  <c r="J6538" i="2"/>
  <c r="I6538" i="2"/>
  <c r="H6538" i="2"/>
  <c r="G6538" i="2"/>
  <c r="F6538" i="2"/>
  <c r="E6538" i="2"/>
  <c r="D6538" i="2"/>
  <c r="C6538" i="2"/>
  <c r="B6538" i="2"/>
  <c r="A6538" i="2"/>
  <c r="U6537" i="2"/>
  <c r="N6537" i="2"/>
  <c r="M6537" i="2"/>
  <c r="J6537" i="2"/>
  <c r="I6537" i="2"/>
  <c r="H6537" i="2"/>
  <c r="G6537" i="2"/>
  <c r="F6537" i="2"/>
  <c r="E6537" i="2"/>
  <c r="D6537" i="2"/>
  <c r="C6537" i="2"/>
  <c r="B6537" i="2"/>
  <c r="A6537" i="2"/>
  <c r="U6536" i="2"/>
  <c r="N6536" i="2"/>
  <c r="M6536" i="2"/>
  <c r="J6536" i="2"/>
  <c r="I6536" i="2"/>
  <c r="H6536" i="2"/>
  <c r="G6536" i="2"/>
  <c r="F6536" i="2"/>
  <c r="E6536" i="2"/>
  <c r="D6536" i="2"/>
  <c r="C6536" i="2"/>
  <c r="B6536" i="2"/>
  <c r="A6536" i="2"/>
  <c r="U6535" i="2"/>
  <c r="N6535" i="2"/>
  <c r="M6535" i="2"/>
  <c r="J6535" i="2"/>
  <c r="I6535" i="2"/>
  <c r="H6535" i="2"/>
  <c r="G6535" i="2"/>
  <c r="F6535" i="2"/>
  <c r="E6535" i="2"/>
  <c r="D6535" i="2"/>
  <c r="C6535" i="2"/>
  <c r="B6535" i="2"/>
  <c r="A6535" i="2"/>
  <c r="U6534" i="2"/>
  <c r="N6534" i="2"/>
  <c r="M6534" i="2"/>
  <c r="J6534" i="2"/>
  <c r="I6534" i="2"/>
  <c r="H6534" i="2"/>
  <c r="G6534" i="2"/>
  <c r="F6534" i="2"/>
  <c r="E6534" i="2"/>
  <c r="D6534" i="2"/>
  <c r="C6534" i="2"/>
  <c r="B6534" i="2"/>
  <c r="A6534" i="2"/>
  <c r="U6533" i="2"/>
  <c r="N6533" i="2"/>
  <c r="M6533" i="2"/>
  <c r="J6533" i="2"/>
  <c r="I6533" i="2"/>
  <c r="H6533" i="2"/>
  <c r="G6533" i="2"/>
  <c r="F6533" i="2"/>
  <c r="E6533" i="2"/>
  <c r="D6533" i="2"/>
  <c r="C6533" i="2"/>
  <c r="B6533" i="2"/>
  <c r="A6533" i="2"/>
  <c r="U6532" i="2"/>
  <c r="N6532" i="2"/>
  <c r="M6532" i="2"/>
  <c r="J6532" i="2"/>
  <c r="I6532" i="2"/>
  <c r="H6532" i="2"/>
  <c r="G6532" i="2"/>
  <c r="F6532" i="2"/>
  <c r="E6532" i="2"/>
  <c r="D6532" i="2"/>
  <c r="C6532" i="2"/>
  <c r="B6532" i="2"/>
  <c r="A6532" i="2"/>
  <c r="U6531" i="2"/>
  <c r="N6531" i="2"/>
  <c r="M6531" i="2"/>
  <c r="J6531" i="2"/>
  <c r="I6531" i="2"/>
  <c r="H6531" i="2"/>
  <c r="G6531" i="2"/>
  <c r="F6531" i="2"/>
  <c r="E6531" i="2"/>
  <c r="D6531" i="2"/>
  <c r="C6531" i="2"/>
  <c r="B6531" i="2"/>
  <c r="A6531" i="2"/>
  <c r="U6530" i="2"/>
  <c r="N6530" i="2"/>
  <c r="M6530" i="2"/>
  <c r="J6530" i="2"/>
  <c r="I6530" i="2"/>
  <c r="H6530" i="2"/>
  <c r="G6530" i="2"/>
  <c r="F6530" i="2"/>
  <c r="E6530" i="2"/>
  <c r="D6530" i="2"/>
  <c r="C6530" i="2"/>
  <c r="B6530" i="2"/>
  <c r="A6530" i="2"/>
  <c r="U6529" i="2"/>
  <c r="N6529" i="2"/>
  <c r="M6529" i="2"/>
  <c r="J6529" i="2"/>
  <c r="I6529" i="2"/>
  <c r="H6529" i="2"/>
  <c r="G6529" i="2"/>
  <c r="F6529" i="2"/>
  <c r="E6529" i="2"/>
  <c r="D6529" i="2"/>
  <c r="C6529" i="2"/>
  <c r="B6529" i="2"/>
  <c r="A6529" i="2"/>
  <c r="U6528" i="2"/>
  <c r="N6528" i="2"/>
  <c r="M6528" i="2"/>
  <c r="J6528" i="2"/>
  <c r="I6528" i="2"/>
  <c r="H6528" i="2"/>
  <c r="G6528" i="2"/>
  <c r="F6528" i="2"/>
  <c r="E6528" i="2"/>
  <c r="D6528" i="2"/>
  <c r="C6528" i="2"/>
  <c r="B6528" i="2"/>
  <c r="A6528" i="2"/>
  <c r="U6527" i="2"/>
  <c r="N6527" i="2"/>
  <c r="M6527" i="2"/>
  <c r="J6527" i="2"/>
  <c r="I6527" i="2"/>
  <c r="H6527" i="2"/>
  <c r="G6527" i="2"/>
  <c r="F6527" i="2"/>
  <c r="E6527" i="2"/>
  <c r="D6527" i="2"/>
  <c r="C6527" i="2"/>
  <c r="B6527" i="2"/>
  <c r="A6527" i="2"/>
  <c r="U6526" i="2"/>
  <c r="N6526" i="2"/>
  <c r="M6526" i="2"/>
  <c r="J6526" i="2"/>
  <c r="I6526" i="2"/>
  <c r="H6526" i="2"/>
  <c r="G6526" i="2"/>
  <c r="F6526" i="2"/>
  <c r="E6526" i="2"/>
  <c r="D6526" i="2"/>
  <c r="C6526" i="2"/>
  <c r="B6526" i="2"/>
  <c r="A6526" i="2"/>
  <c r="U6525" i="2"/>
  <c r="N6525" i="2"/>
  <c r="M6525" i="2"/>
  <c r="J6525" i="2"/>
  <c r="I6525" i="2"/>
  <c r="H6525" i="2"/>
  <c r="G6525" i="2"/>
  <c r="F6525" i="2"/>
  <c r="E6525" i="2"/>
  <c r="D6525" i="2"/>
  <c r="C6525" i="2"/>
  <c r="B6525" i="2"/>
  <c r="A6525" i="2"/>
  <c r="U6524" i="2"/>
  <c r="N6524" i="2"/>
  <c r="M6524" i="2"/>
  <c r="J6524" i="2"/>
  <c r="I6524" i="2"/>
  <c r="H6524" i="2"/>
  <c r="G6524" i="2"/>
  <c r="F6524" i="2"/>
  <c r="E6524" i="2"/>
  <c r="D6524" i="2"/>
  <c r="C6524" i="2"/>
  <c r="B6524" i="2"/>
  <c r="A6524" i="2"/>
  <c r="U6523" i="2"/>
  <c r="N6523" i="2"/>
  <c r="M6523" i="2"/>
  <c r="J6523" i="2"/>
  <c r="I6523" i="2"/>
  <c r="H6523" i="2"/>
  <c r="G6523" i="2"/>
  <c r="F6523" i="2"/>
  <c r="E6523" i="2"/>
  <c r="D6523" i="2"/>
  <c r="C6523" i="2"/>
  <c r="B6523" i="2"/>
  <c r="A6523" i="2"/>
  <c r="U6522" i="2"/>
  <c r="N6522" i="2"/>
  <c r="M6522" i="2"/>
  <c r="J6522" i="2"/>
  <c r="I6522" i="2"/>
  <c r="H6522" i="2"/>
  <c r="G6522" i="2"/>
  <c r="F6522" i="2"/>
  <c r="E6522" i="2"/>
  <c r="D6522" i="2"/>
  <c r="C6522" i="2"/>
  <c r="B6522" i="2"/>
  <c r="A6522" i="2"/>
  <c r="U6521" i="2"/>
  <c r="N6521" i="2"/>
  <c r="M6521" i="2"/>
  <c r="J6521" i="2"/>
  <c r="I6521" i="2"/>
  <c r="H6521" i="2"/>
  <c r="G6521" i="2"/>
  <c r="F6521" i="2"/>
  <c r="E6521" i="2"/>
  <c r="D6521" i="2"/>
  <c r="C6521" i="2"/>
  <c r="B6521" i="2"/>
  <c r="A6521" i="2"/>
  <c r="U6520" i="2"/>
  <c r="N6520" i="2"/>
  <c r="M6520" i="2"/>
  <c r="J6520" i="2"/>
  <c r="I6520" i="2"/>
  <c r="H6520" i="2"/>
  <c r="G6520" i="2"/>
  <c r="F6520" i="2"/>
  <c r="E6520" i="2"/>
  <c r="D6520" i="2"/>
  <c r="C6520" i="2"/>
  <c r="B6520" i="2"/>
  <c r="A6520" i="2"/>
  <c r="U6519" i="2"/>
  <c r="N6519" i="2"/>
  <c r="M6519" i="2"/>
  <c r="J6519" i="2"/>
  <c r="I6519" i="2"/>
  <c r="H6519" i="2"/>
  <c r="G6519" i="2"/>
  <c r="F6519" i="2"/>
  <c r="E6519" i="2"/>
  <c r="D6519" i="2"/>
  <c r="C6519" i="2"/>
  <c r="B6519" i="2"/>
  <c r="A6519" i="2"/>
  <c r="U6518" i="2"/>
  <c r="N6518" i="2"/>
  <c r="M6518" i="2"/>
  <c r="J6518" i="2"/>
  <c r="I6518" i="2"/>
  <c r="H6518" i="2"/>
  <c r="G6518" i="2"/>
  <c r="F6518" i="2"/>
  <c r="E6518" i="2"/>
  <c r="D6518" i="2"/>
  <c r="C6518" i="2"/>
  <c r="B6518" i="2"/>
  <c r="A6518" i="2"/>
  <c r="U6517" i="2"/>
  <c r="N6517" i="2"/>
  <c r="M6517" i="2"/>
  <c r="J6517" i="2"/>
  <c r="I6517" i="2"/>
  <c r="H6517" i="2"/>
  <c r="G6517" i="2"/>
  <c r="F6517" i="2"/>
  <c r="E6517" i="2"/>
  <c r="D6517" i="2"/>
  <c r="C6517" i="2"/>
  <c r="B6517" i="2"/>
  <c r="A6517" i="2"/>
  <c r="U6516" i="2"/>
  <c r="N6516" i="2"/>
  <c r="M6516" i="2"/>
  <c r="J6516" i="2"/>
  <c r="I6516" i="2"/>
  <c r="H6516" i="2"/>
  <c r="G6516" i="2"/>
  <c r="F6516" i="2"/>
  <c r="E6516" i="2"/>
  <c r="D6516" i="2"/>
  <c r="C6516" i="2"/>
  <c r="B6516" i="2"/>
  <c r="A6516" i="2"/>
  <c r="U6515" i="2"/>
  <c r="N6515" i="2"/>
  <c r="M6515" i="2"/>
  <c r="J6515" i="2"/>
  <c r="I6515" i="2"/>
  <c r="H6515" i="2"/>
  <c r="G6515" i="2"/>
  <c r="F6515" i="2"/>
  <c r="E6515" i="2"/>
  <c r="D6515" i="2"/>
  <c r="C6515" i="2"/>
  <c r="B6515" i="2"/>
  <c r="A6515" i="2"/>
  <c r="U6514" i="2"/>
  <c r="N6514" i="2"/>
  <c r="M6514" i="2"/>
  <c r="J6514" i="2"/>
  <c r="I6514" i="2"/>
  <c r="H6514" i="2"/>
  <c r="G6514" i="2"/>
  <c r="F6514" i="2"/>
  <c r="E6514" i="2"/>
  <c r="D6514" i="2"/>
  <c r="C6514" i="2"/>
  <c r="B6514" i="2"/>
  <c r="A6514" i="2"/>
  <c r="U6513" i="2"/>
  <c r="N6513" i="2"/>
  <c r="M6513" i="2"/>
  <c r="J6513" i="2"/>
  <c r="I6513" i="2"/>
  <c r="H6513" i="2"/>
  <c r="G6513" i="2"/>
  <c r="F6513" i="2"/>
  <c r="E6513" i="2"/>
  <c r="D6513" i="2"/>
  <c r="C6513" i="2"/>
  <c r="B6513" i="2"/>
  <c r="A6513" i="2"/>
  <c r="U6512" i="2"/>
  <c r="N6512" i="2"/>
  <c r="M6512" i="2"/>
  <c r="J6512" i="2"/>
  <c r="I6512" i="2"/>
  <c r="H6512" i="2"/>
  <c r="G6512" i="2"/>
  <c r="F6512" i="2"/>
  <c r="E6512" i="2"/>
  <c r="D6512" i="2"/>
  <c r="C6512" i="2"/>
  <c r="B6512" i="2"/>
  <c r="A6512" i="2"/>
  <c r="U6511" i="2"/>
  <c r="N6511" i="2"/>
  <c r="M6511" i="2"/>
  <c r="J6511" i="2"/>
  <c r="I6511" i="2"/>
  <c r="H6511" i="2"/>
  <c r="G6511" i="2"/>
  <c r="F6511" i="2"/>
  <c r="E6511" i="2"/>
  <c r="D6511" i="2"/>
  <c r="C6511" i="2"/>
  <c r="B6511" i="2"/>
  <c r="A6511" i="2"/>
  <c r="U6510" i="2"/>
  <c r="N6510" i="2"/>
  <c r="M6510" i="2"/>
  <c r="J6510" i="2"/>
  <c r="I6510" i="2"/>
  <c r="H6510" i="2"/>
  <c r="G6510" i="2"/>
  <c r="F6510" i="2"/>
  <c r="E6510" i="2"/>
  <c r="D6510" i="2"/>
  <c r="C6510" i="2"/>
  <c r="B6510" i="2"/>
  <c r="A6510" i="2"/>
  <c r="U6509" i="2"/>
  <c r="N6509" i="2"/>
  <c r="M6509" i="2"/>
  <c r="J6509" i="2"/>
  <c r="I6509" i="2"/>
  <c r="H6509" i="2"/>
  <c r="G6509" i="2"/>
  <c r="F6509" i="2"/>
  <c r="E6509" i="2"/>
  <c r="D6509" i="2"/>
  <c r="C6509" i="2"/>
  <c r="B6509" i="2"/>
  <c r="A6509" i="2"/>
  <c r="U6508" i="2"/>
  <c r="N6508" i="2"/>
  <c r="M6508" i="2"/>
  <c r="J6508" i="2"/>
  <c r="I6508" i="2"/>
  <c r="H6508" i="2"/>
  <c r="G6508" i="2"/>
  <c r="F6508" i="2"/>
  <c r="E6508" i="2"/>
  <c r="D6508" i="2"/>
  <c r="C6508" i="2"/>
  <c r="B6508" i="2"/>
  <c r="A6508" i="2"/>
  <c r="U6507" i="2"/>
  <c r="N6507" i="2"/>
  <c r="M6507" i="2"/>
  <c r="J6507" i="2"/>
  <c r="I6507" i="2"/>
  <c r="H6507" i="2"/>
  <c r="G6507" i="2"/>
  <c r="F6507" i="2"/>
  <c r="E6507" i="2"/>
  <c r="D6507" i="2"/>
  <c r="C6507" i="2"/>
  <c r="B6507" i="2"/>
  <c r="A6507" i="2"/>
  <c r="U6506" i="2"/>
  <c r="N6506" i="2"/>
  <c r="M6506" i="2"/>
  <c r="J6506" i="2"/>
  <c r="I6506" i="2"/>
  <c r="H6506" i="2"/>
  <c r="G6506" i="2"/>
  <c r="F6506" i="2"/>
  <c r="E6506" i="2"/>
  <c r="D6506" i="2"/>
  <c r="C6506" i="2"/>
  <c r="B6506" i="2"/>
  <c r="A6506" i="2"/>
  <c r="U6505" i="2"/>
  <c r="N6505" i="2"/>
  <c r="M6505" i="2"/>
  <c r="J6505" i="2"/>
  <c r="I6505" i="2"/>
  <c r="H6505" i="2"/>
  <c r="G6505" i="2"/>
  <c r="F6505" i="2"/>
  <c r="E6505" i="2"/>
  <c r="D6505" i="2"/>
  <c r="C6505" i="2"/>
  <c r="B6505" i="2"/>
  <c r="A6505" i="2"/>
  <c r="U6504" i="2"/>
  <c r="N6504" i="2"/>
  <c r="M6504" i="2"/>
  <c r="J6504" i="2"/>
  <c r="I6504" i="2"/>
  <c r="H6504" i="2"/>
  <c r="G6504" i="2"/>
  <c r="F6504" i="2"/>
  <c r="E6504" i="2"/>
  <c r="D6504" i="2"/>
  <c r="C6504" i="2"/>
  <c r="B6504" i="2"/>
  <c r="A6504" i="2"/>
  <c r="U6503" i="2"/>
  <c r="N6503" i="2"/>
  <c r="M6503" i="2"/>
  <c r="J6503" i="2"/>
  <c r="I6503" i="2"/>
  <c r="H6503" i="2"/>
  <c r="G6503" i="2"/>
  <c r="F6503" i="2"/>
  <c r="E6503" i="2"/>
  <c r="D6503" i="2"/>
  <c r="C6503" i="2"/>
  <c r="B6503" i="2"/>
  <c r="A6503" i="2"/>
  <c r="U6502" i="2"/>
  <c r="N6502" i="2"/>
  <c r="M6502" i="2"/>
  <c r="J6502" i="2"/>
  <c r="I6502" i="2"/>
  <c r="H6502" i="2"/>
  <c r="G6502" i="2"/>
  <c r="F6502" i="2"/>
  <c r="E6502" i="2"/>
  <c r="D6502" i="2"/>
  <c r="C6502" i="2"/>
  <c r="B6502" i="2"/>
  <c r="A6502" i="2"/>
  <c r="U6501" i="2"/>
  <c r="N6501" i="2"/>
  <c r="M6501" i="2"/>
  <c r="J6501" i="2"/>
  <c r="I6501" i="2"/>
  <c r="H6501" i="2"/>
  <c r="G6501" i="2"/>
  <c r="F6501" i="2"/>
  <c r="E6501" i="2"/>
  <c r="D6501" i="2"/>
  <c r="C6501" i="2"/>
  <c r="B6501" i="2"/>
  <c r="A6501" i="2"/>
  <c r="U6500" i="2"/>
  <c r="N6500" i="2"/>
  <c r="M6500" i="2"/>
  <c r="J6500" i="2"/>
  <c r="I6500" i="2"/>
  <c r="H6500" i="2"/>
  <c r="G6500" i="2"/>
  <c r="F6500" i="2"/>
  <c r="E6500" i="2"/>
  <c r="D6500" i="2"/>
  <c r="C6500" i="2"/>
  <c r="B6500" i="2"/>
  <c r="A6500" i="2"/>
  <c r="U6499" i="2"/>
  <c r="N6499" i="2"/>
  <c r="M6499" i="2"/>
  <c r="J6499" i="2"/>
  <c r="I6499" i="2"/>
  <c r="H6499" i="2"/>
  <c r="G6499" i="2"/>
  <c r="F6499" i="2"/>
  <c r="E6499" i="2"/>
  <c r="D6499" i="2"/>
  <c r="C6499" i="2"/>
  <c r="B6499" i="2"/>
  <c r="A6499" i="2"/>
  <c r="U6498" i="2"/>
  <c r="N6498" i="2"/>
  <c r="M6498" i="2"/>
  <c r="J6498" i="2"/>
  <c r="I6498" i="2"/>
  <c r="H6498" i="2"/>
  <c r="G6498" i="2"/>
  <c r="F6498" i="2"/>
  <c r="E6498" i="2"/>
  <c r="D6498" i="2"/>
  <c r="C6498" i="2"/>
  <c r="B6498" i="2"/>
  <c r="A6498" i="2"/>
  <c r="U6497" i="2"/>
  <c r="N6497" i="2"/>
  <c r="M6497" i="2"/>
  <c r="J6497" i="2"/>
  <c r="I6497" i="2"/>
  <c r="H6497" i="2"/>
  <c r="G6497" i="2"/>
  <c r="F6497" i="2"/>
  <c r="E6497" i="2"/>
  <c r="D6497" i="2"/>
  <c r="C6497" i="2"/>
  <c r="B6497" i="2"/>
  <c r="A6497" i="2"/>
  <c r="U6496" i="2"/>
  <c r="N6496" i="2"/>
  <c r="M6496" i="2"/>
  <c r="J6496" i="2"/>
  <c r="I6496" i="2"/>
  <c r="H6496" i="2"/>
  <c r="G6496" i="2"/>
  <c r="F6496" i="2"/>
  <c r="E6496" i="2"/>
  <c r="D6496" i="2"/>
  <c r="C6496" i="2"/>
  <c r="B6496" i="2"/>
  <c r="A6496" i="2"/>
  <c r="U6495" i="2"/>
  <c r="N6495" i="2"/>
  <c r="M6495" i="2"/>
  <c r="J6495" i="2"/>
  <c r="I6495" i="2"/>
  <c r="H6495" i="2"/>
  <c r="G6495" i="2"/>
  <c r="F6495" i="2"/>
  <c r="E6495" i="2"/>
  <c r="D6495" i="2"/>
  <c r="C6495" i="2"/>
  <c r="B6495" i="2"/>
  <c r="A6495" i="2"/>
  <c r="U6494" i="2"/>
  <c r="N6494" i="2"/>
  <c r="M6494" i="2"/>
  <c r="J6494" i="2"/>
  <c r="I6494" i="2"/>
  <c r="H6494" i="2"/>
  <c r="G6494" i="2"/>
  <c r="F6494" i="2"/>
  <c r="E6494" i="2"/>
  <c r="D6494" i="2"/>
  <c r="C6494" i="2"/>
  <c r="B6494" i="2"/>
  <c r="A6494" i="2"/>
  <c r="U6493" i="2"/>
  <c r="N6493" i="2"/>
  <c r="M6493" i="2"/>
  <c r="J6493" i="2"/>
  <c r="I6493" i="2"/>
  <c r="H6493" i="2"/>
  <c r="G6493" i="2"/>
  <c r="F6493" i="2"/>
  <c r="E6493" i="2"/>
  <c r="D6493" i="2"/>
  <c r="C6493" i="2"/>
  <c r="B6493" i="2"/>
  <c r="A6493" i="2"/>
  <c r="U6492" i="2"/>
  <c r="N6492" i="2"/>
  <c r="M6492" i="2"/>
  <c r="J6492" i="2"/>
  <c r="I6492" i="2"/>
  <c r="H6492" i="2"/>
  <c r="G6492" i="2"/>
  <c r="F6492" i="2"/>
  <c r="E6492" i="2"/>
  <c r="D6492" i="2"/>
  <c r="C6492" i="2"/>
  <c r="B6492" i="2"/>
  <c r="A6492" i="2"/>
  <c r="U6491" i="2"/>
  <c r="N6491" i="2"/>
  <c r="M6491" i="2"/>
  <c r="J6491" i="2"/>
  <c r="I6491" i="2"/>
  <c r="H6491" i="2"/>
  <c r="G6491" i="2"/>
  <c r="F6491" i="2"/>
  <c r="E6491" i="2"/>
  <c r="D6491" i="2"/>
  <c r="C6491" i="2"/>
  <c r="B6491" i="2"/>
  <c r="A6491" i="2"/>
  <c r="U6490" i="2"/>
  <c r="N6490" i="2"/>
  <c r="M6490" i="2"/>
  <c r="J6490" i="2"/>
  <c r="I6490" i="2"/>
  <c r="H6490" i="2"/>
  <c r="G6490" i="2"/>
  <c r="F6490" i="2"/>
  <c r="E6490" i="2"/>
  <c r="D6490" i="2"/>
  <c r="C6490" i="2"/>
  <c r="B6490" i="2"/>
  <c r="A6490" i="2"/>
  <c r="U6489" i="2"/>
  <c r="N6489" i="2"/>
  <c r="M6489" i="2"/>
  <c r="J6489" i="2"/>
  <c r="I6489" i="2"/>
  <c r="H6489" i="2"/>
  <c r="G6489" i="2"/>
  <c r="F6489" i="2"/>
  <c r="E6489" i="2"/>
  <c r="D6489" i="2"/>
  <c r="C6489" i="2"/>
  <c r="B6489" i="2"/>
  <c r="A6489" i="2"/>
  <c r="U6488" i="2"/>
  <c r="N6488" i="2"/>
  <c r="M6488" i="2"/>
  <c r="J6488" i="2"/>
  <c r="I6488" i="2"/>
  <c r="H6488" i="2"/>
  <c r="G6488" i="2"/>
  <c r="F6488" i="2"/>
  <c r="E6488" i="2"/>
  <c r="D6488" i="2"/>
  <c r="C6488" i="2"/>
  <c r="B6488" i="2"/>
  <c r="A6488" i="2"/>
  <c r="U6487" i="2"/>
  <c r="N6487" i="2"/>
  <c r="M6487" i="2"/>
  <c r="J6487" i="2"/>
  <c r="I6487" i="2"/>
  <c r="H6487" i="2"/>
  <c r="G6487" i="2"/>
  <c r="F6487" i="2"/>
  <c r="E6487" i="2"/>
  <c r="D6487" i="2"/>
  <c r="C6487" i="2"/>
  <c r="B6487" i="2"/>
  <c r="A6487" i="2"/>
  <c r="U6486" i="2"/>
  <c r="N6486" i="2"/>
  <c r="M6486" i="2"/>
  <c r="J6486" i="2"/>
  <c r="I6486" i="2"/>
  <c r="H6486" i="2"/>
  <c r="G6486" i="2"/>
  <c r="F6486" i="2"/>
  <c r="E6486" i="2"/>
  <c r="D6486" i="2"/>
  <c r="C6486" i="2"/>
  <c r="B6486" i="2"/>
  <c r="A6486" i="2"/>
  <c r="U6485" i="2"/>
  <c r="N6485" i="2"/>
  <c r="M6485" i="2"/>
  <c r="J6485" i="2"/>
  <c r="I6485" i="2"/>
  <c r="H6485" i="2"/>
  <c r="G6485" i="2"/>
  <c r="F6485" i="2"/>
  <c r="E6485" i="2"/>
  <c r="D6485" i="2"/>
  <c r="C6485" i="2"/>
  <c r="B6485" i="2"/>
  <c r="A6485" i="2"/>
  <c r="U6484" i="2"/>
  <c r="N6484" i="2"/>
  <c r="M6484" i="2"/>
  <c r="J6484" i="2"/>
  <c r="I6484" i="2"/>
  <c r="H6484" i="2"/>
  <c r="G6484" i="2"/>
  <c r="F6484" i="2"/>
  <c r="E6484" i="2"/>
  <c r="D6484" i="2"/>
  <c r="C6484" i="2"/>
  <c r="B6484" i="2"/>
  <c r="A6484" i="2"/>
  <c r="U6483" i="2"/>
  <c r="N6483" i="2"/>
  <c r="M6483" i="2"/>
  <c r="J6483" i="2"/>
  <c r="I6483" i="2"/>
  <c r="H6483" i="2"/>
  <c r="G6483" i="2"/>
  <c r="F6483" i="2"/>
  <c r="E6483" i="2"/>
  <c r="D6483" i="2"/>
  <c r="C6483" i="2"/>
  <c r="B6483" i="2"/>
  <c r="A6483" i="2"/>
  <c r="U6482" i="2"/>
  <c r="N6482" i="2"/>
  <c r="M6482" i="2"/>
  <c r="J6482" i="2"/>
  <c r="I6482" i="2"/>
  <c r="H6482" i="2"/>
  <c r="G6482" i="2"/>
  <c r="F6482" i="2"/>
  <c r="E6482" i="2"/>
  <c r="D6482" i="2"/>
  <c r="C6482" i="2"/>
  <c r="B6482" i="2"/>
  <c r="A6482" i="2"/>
  <c r="U6481" i="2"/>
  <c r="N6481" i="2"/>
  <c r="M6481" i="2"/>
  <c r="J6481" i="2"/>
  <c r="I6481" i="2"/>
  <c r="H6481" i="2"/>
  <c r="G6481" i="2"/>
  <c r="F6481" i="2"/>
  <c r="E6481" i="2"/>
  <c r="D6481" i="2"/>
  <c r="C6481" i="2"/>
  <c r="B6481" i="2"/>
  <c r="A6481" i="2"/>
  <c r="U6480" i="2"/>
  <c r="N6480" i="2"/>
  <c r="M6480" i="2"/>
  <c r="J6480" i="2"/>
  <c r="I6480" i="2"/>
  <c r="H6480" i="2"/>
  <c r="G6480" i="2"/>
  <c r="F6480" i="2"/>
  <c r="E6480" i="2"/>
  <c r="D6480" i="2"/>
  <c r="C6480" i="2"/>
  <c r="B6480" i="2"/>
  <c r="A6480" i="2"/>
  <c r="U6479" i="2"/>
  <c r="N6479" i="2"/>
  <c r="M6479" i="2"/>
  <c r="J6479" i="2"/>
  <c r="I6479" i="2"/>
  <c r="H6479" i="2"/>
  <c r="G6479" i="2"/>
  <c r="F6479" i="2"/>
  <c r="E6479" i="2"/>
  <c r="D6479" i="2"/>
  <c r="C6479" i="2"/>
  <c r="B6479" i="2"/>
  <c r="A6479" i="2"/>
  <c r="U6478" i="2"/>
  <c r="N6478" i="2"/>
  <c r="M6478" i="2"/>
  <c r="J6478" i="2"/>
  <c r="I6478" i="2"/>
  <c r="H6478" i="2"/>
  <c r="G6478" i="2"/>
  <c r="F6478" i="2"/>
  <c r="E6478" i="2"/>
  <c r="D6478" i="2"/>
  <c r="C6478" i="2"/>
  <c r="B6478" i="2"/>
  <c r="A6478" i="2"/>
  <c r="U6477" i="2"/>
  <c r="N6477" i="2"/>
  <c r="M6477" i="2"/>
  <c r="J6477" i="2"/>
  <c r="I6477" i="2"/>
  <c r="H6477" i="2"/>
  <c r="G6477" i="2"/>
  <c r="F6477" i="2"/>
  <c r="E6477" i="2"/>
  <c r="D6477" i="2"/>
  <c r="C6477" i="2"/>
  <c r="B6477" i="2"/>
  <c r="A6477" i="2"/>
  <c r="U6476" i="2"/>
  <c r="N6476" i="2"/>
  <c r="M6476" i="2"/>
  <c r="J6476" i="2"/>
  <c r="I6476" i="2"/>
  <c r="H6476" i="2"/>
  <c r="G6476" i="2"/>
  <c r="F6476" i="2"/>
  <c r="E6476" i="2"/>
  <c r="D6476" i="2"/>
  <c r="C6476" i="2"/>
  <c r="B6476" i="2"/>
  <c r="A6476" i="2"/>
  <c r="U6475" i="2"/>
  <c r="N6475" i="2"/>
  <c r="M6475" i="2"/>
  <c r="J6475" i="2"/>
  <c r="I6475" i="2"/>
  <c r="H6475" i="2"/>
  <c r="G6475" i="2"/>
  <c r="F6475" i="2"/>
  <c r="E6475" i="2"/>
  <c r="D6475" i="2"/>
  <c r="C6475" i="2"/>
  <c r="B6475" i="2"/>
  <c r="A6475" i="2"/>
  <c r="U6474" i="2"/>
  <c r="N6474" i="2"/>
  <c r="M6474" i="2"/>
  <c r="J6474" i="2"/>
  <c r="I6474" i="2"/>
  <c r="H6474" i="2"/>
  <c r="G6474" i="2"/>
  <c r="F6474" i="2"/>
  <c r="E6474" i="2"/>
  <c r="D6474" i="2"/>
  <c r="C6474" i="2"/>
  <c r="B6474" i="2"/>
  <c r="A6474" i="2"/>
  <c r="U6473" i="2"/>
  <c r="N6473" i="2"/>
  <c r="M6473" i="2"/>
  <c r="J6473" i="2"/>
  <c r="I6473" i="2"/>
  <c r="H6473" i="2"/>
  <c r="G6473" i="2"/>
  <c r="F6473" i="2"/>
  <c r="E6473" i="2"/>
  <c r="D6473" i="2"/>
  <c r="C6473" i="2"/>
  <c r="B6473" i="2"/>
  <c r="A6473" i="2"/>
  <c r="U6472" i="2"/>
  <c r="N6472" i="2"/>
  <c r="M6472" i="2"/>
  <c r="J6472" i="2"/>
  <c r="I6472" i="2"/>
  <c r="H6472" i="2"/>
  <c r="G6472" i="2"/>
  <c r="F6472" i="2"/>
  <c r="E6472" i="2"/>
  <c r="D6472" i="2"/>
  <c r="C6472" i="2"/>
  <c r="B6472" i="2"/>
  <c r="A6472" i="2"/>
  <c r="U6471" i="2"/>
  <c r="N6471" i="2"/>
  <c r="M6471" i="2"/>
  <c r="J6471" i="2"/>
  <c r="I6471" i="2"/>
  <c r="H6471" i="2"/>
  <c r="G6471" i="2"/>
  <c r="F6471" i="2"/>
  <c r="E6471" i="2"/>
  <c r="D6471" i="2"/>
  <c r="C6471" i="2"/>
  <c r="B6471" i="2"/>
  <c r="A6471" i="2"/>
  <c r="U6470" i="2"/>
  <c r="N6470" i="2"/>
  <c r="M6470" i="2"/>
  <c r="J6470" i="2"/>
  <c r="I6470" i="2"/>
  <c r="H6470" i="2"/>
  <c r="G6470" i="2"/>
  <c r="F6470" i="2"/>
  <c r="E6470" i="2"/>
  <c r="D6470" i="2"/>
  <c r="C6470" i="2"/>
  <c r="B6470" i="2"/>
  <c r="A6470" i="2"/>
  <c r="U6469" i="2"/>
  <c r="N6469" i="2"/>
  <c r="M6469" i="2"/>
  <c r="J6469" i="2"/>
  <c r="I6469" i="2"/>
  <c r="H6469" i="2"/>
  <c r="G6469" i="2"/>
  <c r="F6469" i="2"/>
  <c r="E6469" i="2"/>
  <c r="D6469" i="2"/>
  <c r="C6469" i="2"/>
  <c r="B6469" i="2"/>
  <c r="A6469" i="2"/>
  <c r="U6468" i="2"/>
  <c r="N6468" i="2"/>
  <c r="M6468" i="2"/>
  <c r="J6468" i="2"/>
  <c r="I6468" i="2"/>
  <c r="H6468" i="2"/>
  <c r="G6468" i="2"/>
  <c r="F6468" i="2"/>
  <c r="E6468" i="2"/>
  <c r="D6468" i="2"/>
  <c r="C6468" i="2"/>
  <c r="B6468" i="2"/>
  <c r="A6468" i="2"/>
  <c r="U6467" i="2"/>
  <c r="N6467" i="2"/>
  <c r="M6467" i="2"/>
  <c r="J6467" i="2"/>
  <c r="I6467" i="2"/>
  <c r="H6467" i="2"/>
  <c r="G6467" i="2"/>
  <c r="F6467" i="2"/>
  <c r="E6467" i="2"/>
  <c r="D6467" i="2"/>
  <c r="C6467" i="2"/>
  <c r="B6467" i="2"/>
  <c r="A6467" i="2"/>
  <c r="U6466" i="2"/>
  <c r="N6466" i="2"/>
  <c r="M6466" i="2"/>
  <c r="J6466" i="2"/>
  <c r="I6466" i="2"/>
  <c r="H6466" i="2"/>
  <c r="G6466" i="2"/>
  <c r="F6466" i="2"/>
  <c r="E6466" i="2"/>
  <c r="D6466" i="2"/>
  <c r="C6466" i="2"/>
  <c r="B6466" i="2"/>
  <c r="A6466" i="2"/>
  <c r="U6465" i="2"/>
  <c r="N6465" i="2"/>
  <c r="M6465" i="2"/>
  <c r="J6465" i="2"/>
  <c r="I6465" i="2"/>
  <c r="H6465" i="2"/>
  <c r="G6465" i="2"/>
  <c r="F6465" i="2"/>
  <c r="E6465" i="2"/>
  <c r="D6465" i="2"/>
  <c r="C6465" i="2"/>
  <c r="B6465" i="2"/>
  <c r="A6465" i="2"/>
  <c r="U6464" i="2"/>
  <c r="N6464" i="2"/>
  <c r="M6464" i="2"/>
  <c r="J6464" i="2"/>
  <c r="I6464" i="2"/>
  <c r="H6464" i="2"/>
  <c r="G6464" i="2"/>
  <c r="F6464" i="2"/>
  <c r="E6464" i="2"/>
  <c r="D6464" i="2"/>
  <c r="C6464" i="2"/>
  <c r="B6464" i="2"/>
  <c r="A6464" i="2"/>
  <c r="U6463" i="2"/>
  <c r="N6463" i="2"/>
  <c r="M6463" i="2"/>
  <c r="J6463" i="2"/>
  <c r="I6463" i="2"/>
  <c r="H6463" i="2"/>
  <c r="G6463" i="2"/>
  <c r="F6463" i="2"/>
  <c r="E6463" i="2"/>
  <c r="D6463" i="2"/>
  <c r="C6463" i="2"/>
  <c r="B6463" i="2"/>
  <c r="A6463" i="2"/>
  <c r="U6462" i="2"/>
  <c r="N6462" i="2"/>
  <c r="M6462" i="2"/>
  <c r="J6462" i="2"/>
  <c r="I6462" i="2"/>
  <c r="H6462" i="2"/>
  <c r="G6462" i="2"/>
  <c r="F6462" i="2"/>
  <c r="E6462" i="2"/>
  <c r="D6462" i="2"/>
  <c r="C6462" i="2"/>
  <c r="B6462" i="2"/>
  <c r="A6462" i="2"/>
  <c r="U6461" i="2"/>
  <c r="N6461" i="2"/>
  <c r="M6461" i="2"/>
  <c r="J6461" i="2"/>
  <c r="I6461" i="2"/>
  <c r="H6461" i="2"/>
  <c r="G6461" i="2"/>
  <c r="F6461" i="2"/>
  <c r="E6461" i="2"/>
  <c r="D6461" i="2"/>
  <c r="C6461" i="2"/>
  <c r="B6461" i="2"/>
  <c r="A6461" i="2"/>
  <c r="U6460" i="2"/>
  <c r="N6460" i="2"/>
  <c r="M6460" i="2"/>
  <c r="J6460" i="2"/>
  <c r="I6460" i="2"/>
  <c r="H6460" i="2"/>
  <c r="G6460" i="2"/>
  <c r="F6460" i="2"/>
  <c r="E6460" i="2"/>
  <c r="D6460" i="2"/>
  <c r="C6460" i="2"/>
  <c r="B6460" i="2"/>
  <c r="A6460" i="2"/>
  <c r="U6459" i="2"/>
  <c r="N6459" i="2"/>
  <c r="M6459" i="2"/>
  <c r="J6459" i="2"/>
  <c r="I6459" i="2"/>
  <c r="H6459" i="2"/>
  <c r="G6459" i="2"/>
  <c r="F6459" i="2"/>
  <c r="E6459" i="2"/>
  <c r="D6459" i="2"/>
  <c r="C6459" i="2"/>
  <c r="B6459" i="2"/>
  <c r="A6459" i="2"/>
  <c r="U6458" i="2"/>
  <c r="N6458" i="2"/>
  <c r="M6458" i="2"/>
  <c r="J6458" i="2"/>
  <c r="I6458" i="2"/>
  <c r="H6458" i="2"/>
  <c r="G6458" i="2"/>
  <c r="F6458" i="2"/>
  <c r="E6458" i="2"/>
  <c r="D6458" i="2"/>
  <c r="C6458" i="2"/>
  <c r="B6458" i="2"/>
  <c r="A6458" i="2"/>
  <c r="U6457" i="2"/>
  <c r="N6457" i="2"/>
  <c r="M6457" i="2"/>
  <c r="J6457" i="2"/>
  <c r="I6457" i="2"/>
  <c r="H6457" i="2"/>
  <c r="G6457" i="2"/>
  <c r="F6457" i="2"/>
  <c r="E6457" i="2"/>
  <c r="D6457" i="2"/>
  <c r="C6457" i="2"/>
  <c r="B6457" i="2"/>
  <c r="A6457" i="2"/>
  <c r="U6456" i="2"/>
  <c r="N6456" i="2"/>
  <c r="M6456" i="2"/>
  <c r="J6456" i="2"/>
  <c r="I6456" i="2"/>
  <c r="H6456" i="2"/>
  <c r="G6456" i="2"/>
  <c r="F6456" i="2"/>
  <c r="E6456" i="2"/>
  <c r="D6456" i="2"/>
  <c r="C6456" i="2"/>
  <c r="B6456" i="2"/>
  <c r="A6456" i="2"/>
  <c r="U6455" i="2"/>
  <c r="N6455" i="2"/>
  <c r="M6455" i="2"/>
  <c r="J6455" i="2"/>
  <c r="I6455" i="2"/>
  <c r="H6455" i="2"/>
  <c r="G6455" i="2"/>
  <c r="F6455" i="2"/>
  <c r="E6455" i="2"/>
  <c r="D6455" i="2"/>
  <c r="C6455" i="2"/>
  <c r="B6455" i="2"/>
  <c r="A6455" i="2"/>
  <c r="U6454" i="2"/>
  <c r="N6454" i="2"/>
  <c r="M6454" i="2"/>
  <c r="J6454" i="2"/>
  <c r="I6454" i="2"/>
  <c r="H6454" i="2"/>
  <c r="G6454" i="2"/>
  <c r="F6454" i="2"/>
  <c r="E6454" i="2"/>
  <c r="D6454" i="2"/>
  <c r="C6454" i="2"/>
  <c r="B6454" i="2"/>
  <c r="A6454" i="2"/>
  <c r="U6453" i="2"/>
  <c r="N6453" i="2"/>
  <c r="M6453" i="2"/>
  <c r="J6453" i="2"/>
  <c r="I6453" i="2"/>
  <c r="H6453" i="2"/>
  <c r="G6453" i="2"/>
  <c r="F6453" i="2"/>
  <c r="E6453" i="2"/>
  <c r="D6453" i="2"/>
  <c r="C6453" i="2"/>
  <c r="B6453" i="2"/>
  <c r="A6453" i="2"/>
  <c r="U6452" i="2"/>
  <c r="N6452" i="2"/>
  <c r="M6452" i="2"/>
  <c r="J6452" i="2"/>
  <c r="I6452" i="2"/>
  <c r="H6452" i="2"/>
  <c r="G6452" i="2"/>
  <c r="F6452" i="2"/>
  <c r="E6452" i="2"/>
  <c r="D6452" i="2"/>
  <c r="C6452" i="2"/>
  <c r="B6452" i="2"/>
  <c r="A6452" i="2"/>
  <c r="U6451" i="2"/>
  <c r="N6451" i="2"/>
  <c r="M6451" i="2"/>
  <c r="J6451" i="2"/>
  <c r="I6451" i="2"/>
  <c r="H6451" i="2"/>
  <c r="G6451" i="2"/>
  <c r="F6451" i="2"/>
  <c r="E6451" i="2"/>
  <c r="D6451" i="2"/>
  <c r="C6451" i="2"/>
  <c r="B6451" i="2"/>
  <c r="A6451" i="2"/>
  <c r="U6450" i="2"/>
  <c r="N6450" i="2"/>
  <c r="M6450" i="2"/>
  <c r="J6450" i="2"/>
  <c r="I6450" i="2"/>
  <c r="H6450" i="2"/>
  <c r="G6450" i="2"/>
  <c r="F6450" i="2"/>
  <c r="E6450" i="2"/>
  <c r="D6450" i="2"/>
  <c r="C6450" i="2"/>
  <c r="B6450" i="2"/>
  <c r="A6450" i="2"/>
  <c r="U6449" i="2"/>
  <c r="N6449" i="2"/>
  <c r="M6449" i="2"/>
  <c r="J6449" i="2"/>
  <c r="I6449" i="2"/>
  <c r="H6449" i="2"/>
  <c r="G6449" i="2"/>
  <c r="F6449" i="2"/>
  <c r="E6449" i="2"/>
  <c r="D6449" i="2"/>
  <c r="C6449" i="2"/>
  <c r="B6449" i="2"/>
  <c r="A6449" i="2"/>
  <c r="U6448" i="2"/>
  <c r="N6448" i="2"/>
  <c r="M6448" i="2"/>
  <c r="J6448" i="2"/>
  <c r="I6448" i="2"/>
  <c r="H6448" i="2"/>
  <c r="G6448" i="2"/>
  <c r="F6448" i="2"/>
  <c r="E6448" i="2"/>
  <c r="D6448" i="2"/>
  <c r="C6448" i="2"/>
  <c r="B6448" i="2"/>
  <c r="A6448" i="2"/>
  <c r="U6447" i="2"/>
  <c r="N6447" i="2"/>
  <c r="M6447" i="2"/>
  <c r="J6447" i="2"/>
  <c r="I6447" i="2"/>
  <c r="H6447" i="2"/>
  <c r="G6447" i="2"/>
  <c r="F6447" i="2"/>
  <c r="E6447" i="2"/>
  <c r="D6447" i="2"/>
  <c r="C6447" i="2"/>
  <c r="B6447" i="2"/>
  <c r="A6447" i="2"/>
  <c r="U6446" i="2"/>
  <c r="N6446" i="2"/>
  <c r="M6446" i="2"/>
  <c r="J6446" i="2"/>
  <c r="I6446" i="2"/>
  <c r="H6446" i="2"/>
  <c r="G6446" i="2"/>
  <c r="F6446" i="2"/>
  <c r="E6446" i="2"/>
  <c r="D6446" i="2"/>
  <c r="C6446" i="2"/>
  <c r="B6446" i="2"/>
  <c r="A6446" i="2"/>
  <c r="U6445" i="2"/>
  <c r="N6445" i="2"/>
  <c r="M6445" i="2"/>
  <c r="J6445" i="2"/>
  <c r="I6445" i="2"/>
  <c r="H6445" i="2"/>
  <c r="G6445" i="2"/>
  <c r="F6445" i="2"/>
  <c r="E6445" i="2"/>
  <c r="D6445" i="2"/>
  <c r="C6445" i="2"/>
  <c r="B6445" i="2"/>
  <c r="A6445" i="2"/>
  <c r="U6444" i="2"/>
  <c r="N6444" i="2"/>
  <c r="M6444" i="2"/>
  <c r="J6444" i="2"/>
  <c r="I6444" i="2"/>
  <c r="H6444" i="2"/>
  <c r="G6444" i="2"/>
  <c r="F6444" i="2"/>
  <c r="E6444" i="2"/>
  <c r="D6444" i="2"/>
  <c r="C6444" i="2"/>
  <c r="B6444" i="2"/>
  <c r="A6444" i="2"/>
  <c r="U6443" i="2"/>
  <c r="N6443" i="2"/>
  <c r="M6443" i="2"/>
  <c r="J6443" i="2"/>
  <c r="I6443" i="2"/>
  <c r="H6443" i="2"/>
  <c r="G6443" i="2"/>
  <c r="F6443" i="2"/>
  <c r="E6443" i="2"/>
  <c r="D6443" i="2"/>
  <c r="C6443" i="2"/>
  <c r="B6443" i="2"/>
  <c r="A6443" i="2"/>
  <c r="U6442" i="2"/>
  <c r="N6442" i="2"/>
  <c r="M6442" i="2"/>
  <c r="J6442" i="2"/>
  <c r="I6442" i="2"/>
  <c r="H6442" i="2"/>
  <c r="G6442" i="2"/>
  <c r="F6442" i="2"/>
  <c r="E6442" i="2"/>
  <c r="D6442" i="2"/>
  <c r="C6442" i="2"/>
  <c r="B6442" i="2"/>
  <c r="A6442" i="2"/>
  <c r="U6441" i="2"/>
  <c r="N6441" i="2"/>
  <c r="M6441" i="2"/>
  <c r="J6441" i="2"/>
  <c r="I6441" i="2"/>
  <c r="H6441" i="2"/>
  <c r="G6441" i="2"/>
  <c r="F6441" i="2"/>
  <c r="E6441" i="2"/>
  <c r="D6441" i="2"/>
  <c r="C6441" i="2"/>
  <c r="B6441" i="2"/>
  <c r="A6441" i="2"/>
  <c r="U6440" i="2"/>
  <c r="N6440" i="2"/>
  <c r="M6440" i="2"/>
  <c r="J6440" i="2"/>
  <c r="I6440" i="2"/>
  <c r="H6440" i="2"/>
  <c r="G6440" i="2"/>
  <c r="F6440" i="2"/>
  <c r="E6440" i="2"/>
  <c r="D6440" i="2"/>
  <c r="C6440" i="2"/>
  <c r="B6440" i="2"/>
  <c r="A6440" i="2"/>
  <c r="U6439" i="2"/>
  <c r="N6439" i="2"/>
  <c r="M6439" i="2"/>
  <c r="J6439" i="2"/>
  <c r="I6439" i="2"/>
  <c r="H6439" i="2"/>
  <c r="G6439" i="2"/>
  <c r="F6439" i="2"/>
  <c r="E6439" i="2"/>
  <c r="D6439" i="2"/>
  <c r="C6439" i="2"/>
  <c r="B6439" i="2"/>
  <c r="A6439" i="2"/>
  <c r="U6438" i="2"/>
  <c r="N6438" i="2"/>
  <c r="M6438" i="2"/>
  <c r="J6438" i="2"/>
  <c r="I6438" i="2"/>
  <c r="H6438" i="2"/>
  <c r="G6438" i="2"/>
  <c r="F6438" i="2"/>
  <c r="E6438" i="2"/>
  <c r="D6438" i="2"/>
  <c r="C6438" i="2"/>
  <c r="B6438" i="2"/>
  <c r="A6438" i="2"/>
  <c r="U6437" i="2"/>
  <c r="N6437" i="2"/>
  <c r="M6437" i="2"/>
  <c r="J6437" i="2"/>
  <c r="I6437" i="2"/>
  <c r="H6437" i="2"/>
  <c r="G6437" i="2"/>
  <c r="F6437" i="2"/>
  <c r="E6437" i="2"/>
  <c r="D6437" i="2"/>
  <c r="C6437" i="2"/>
  <c r="B6437" i="2"/>
  <c r="A6437" i="2"/>
  <c r="U6436" i="2"/>
  <c r="N6436" i="2"/>
  <c r="M6436" i="2"/>
  <c r="J6436" i="2"/>
  <c r="I6436" i="2"/>
  <c r="H6436" i="2"/>
  <c r="G6436" i="2"/>
  <c r="F6436" i="2"/>
  <c r="E6436" i="2"/>
  <c r="D6436" i="2"/>
  <c r="C6436" i="2"/>
  <c r="B6436" i="2"/>
  <c r="A6436" i="2"/>
  <c r="U6435" i="2"/>
  <c r="N6435" i="2"/>
  <c r="M6435" i="2"/>
  <c r="J6435" i="2"/>
  <c r="I6435" i="2"/>
  <c r="H6435" i="2"/>
  <c r="G6435" i="2"/>
  <c r="F6435" i="2"/>
  <c r="E6435" i="2"/>
  <c r="D6435" i="2"/>
  <c r="C6435" i="2"/>
  <c r="B6435" i="2"/>
  <c r="A6435" i="2"/>
  <c r="U6434" i="2"/>
  <c r="N6434" i="2"/>
  <c r="M6434" i="2"/>
  <c r="J6434" i="2"/>
  <c r="I6434" i="2"/>
  <c r="H6434" i="2"/>
  <c r="G6434" i="2"/>
  <c r="F6434" i="2"/>
  <c r="E6434" i="2"/>
  <c r="D6434" i="2"/>
  <c r="C6434" i="2"/>
  <c r="B6434" i="2"/>
  <c r="A6434" i="2"/>
  <c r="U6433" i="2"/>
  <c r="N6433" i="2"/>
  <c r="M6433" i="2"/>
  <c r="J6433" i="2"/>
  <c r="I6433" i="2"/>
  <c r="H6433" i="2"/>
  <c r="G6433" i="2"/>
  <c r="F6433" i="2"/>
  <c r="E6433" i="2"/>
  <c r="D6433" i="2"/>
  <c r="C6433" i="2"/>
  <c r="B6433" i="2"/>
  <c r="A6433" i="2"/>
  <c r="U6432" i="2"/>
  <c r="N6432" i="2"/>
  <c r="M6432" i="2"/>
  <c r="J6432" i="2"/>
  <c r="I6432" i="2"/>
  <c r="H6432" i="2"/>
  <c r="G6432" i="2"/>
  <c r="F6432" i="2"/>
  <c r="E6432" i="2"/>
  <c r="D6432" i="2"/>
  <c r="C6432" i="2"/>
  <c r="B6432" i="2"/>
  <c r="A6432" i="2"/>
  <c r="U6431" i="2"/>
  <c r="N6431" i="2"/>
  <c r="M6431" i="2"/>
  <c r="J6431" i="2"/>
  <c r="I6431" i="2"/>
  <c r="H6431" i="2"/>
  <c r="G6431" i="2"/>
  <c r="F6431" i="2"/>
  <c r="E6431" i="2"/>
  <c r="D6431" i="2"/>
  <c r="C6431" i="2"/>
  <c r="B6431" i="2"/>
  <c r="A6431" i="2"/>
  <c r="U6430" i="2"/>
  <c r="N6430" i="2"/>
  <c r="M6430" i="2"/>
  <c r="J6430" i="2"/>
  <c r="I6430" i="2"/>
  <c r="H6430" i="2"/>
  <c r="G6430" i="2"/>
  <c r="F6430" i="2"/>
  <c r="E6430" i="2"/>
  <c r="D6430" i="2"/>
  <c r="C6430" i="2"/>
  <c r="B6430" i="2"/>
  <c r="A6430" i="2"/>
  <c r="U6429" i="2"/>
  <c r="N6429" i="2"/>
  <c r="M6429" i="2"/>
  <c r="J6429" i="2"/>
  <c r="I6429" i="2"/>
  <c r="H6429" i="2"/>
  <c r="G6429" i="2"/>
  <c r="F6429" i="2"/>
  <c r="E6429" i="2"/>
  <c r="D6429" i="2"/>
  <c r="C6429" i="2"/>
  <c r="B6429" i="2"/>
  <c r="A6429" i="2"/>
  <c r="U6428" i="2"/>
  <c r="N6428" i="2"/>
  <c r="M6428" i="2"/>
  <c r="J6428" i="2"/>
  <c r="I6428" i="2"/>
  <c r="H6428" i="2"/>
  <c r="G6428" i="2"/>
  <c r="F6428" i="2"/>
  <c r="E6428" i="2"/>
  <c r="D6428" i="2"/>
  <c r="C6428" i="2"/>
  <c r="B6428" i="2"/>
  <c r="A6428" i="2"/>
  <c r="U6427" i="2"/>
  <c r="N6427" i="2"/>
  <c r="M6427" i="2"/>
  <c r="J6427" i="2"/>
  <c r="I6427" i="2"/>
  <c r="H6427" i="2"/>
  <c r="G6427" i="2"/>
  <c r="F6427" i="2"/>
  <c r="E6427" i="2"/>
  <c r="D6427" i="2"/>
  <c r="C6427" i="2"/>
  <c r="B6427" i="2"/>
  <c r="A6427" i="2"/>
  <c r="U6426" i="2"/>
  <c r="N6426" i="2"/>
  <c r="M6426" i="2"/>
  <c r="J6426" i="2"/>
  <c r="I6426" i="2"/>
  <c r="H6426" i="2"/>
  <c r="G6426" i="2"/>
  <c r="F6426" i="2"/>
  <c r="E6426" i="2"/>
  <c r="D6426" i="2"/>
  <c r="C6426" i="2"/>
  <c r="B6426" i="2"/>
  <c r="A6426" i="2"/>
  <c r="U6425" i="2"/>
  <c r="N6425" i="2"/>
  <c r="M6425" i="2"/>
  <c r="J6425" i="2"/>
  <c r="I6425" i="2"/>
  <c r="H6425" i="2"/>
  <c r="G6425" i="2"/>
  <c r="F6425" i="2"/>
  <c r="E6425" i="2"/>
  <c r="D6425" i="2"/>
  <c r="C6425" i="2"/>
  <c r="B6425" i="2"/>
  <c r="A6425" i="2"/>
  <c r="U6424" i="2"/>
  <c r="N6424" i="2"/>
  <c r="M6424" i="2"/>
  <c r="J6424" i="2"/>
  <c r="I6424" i="2"/>
  <c r="H6424" i="2"/>
  <c r="G6424" i="2"/>
  <c r="F6424" i="2"/>
  <c r="E6424" i="2"/>
  <c r="D6424" i="2"/>
  <c r="C6424" i="2"/>
  <c r="B6424" i="2"/>
  <c r="A6424" i="2"/>
  <c r="U6423" i="2"/>
  <c r="N6423" i="2"/>
  <c r="M6423" i="2"/>
  <c r="J6423" i="2"/>
  <c r="I6423" i="2"/>
  <c r="H6423" i="2"/>
  <c r="G6423" i="2"/>
  <c r="F6423" i="2"/>
  <c r="E6423" i="2"/>
  <c r="D6423" i="2"/>
  <c r="C6423" i="2"/>
  <c r="B6423" i="2"/>
  <c r="A6423" i="2"/>
  <c r="U6422" i="2"/>
  <c r="N6422" i="2"/>
  <c r="M6422" i="2"/>
  <c r="J6422" i="2"/>
  <c r="I6422" i="2"/>
  <c r="H6422" i="2"/>
  <c r="G6422" i="2"/>
  <c r="F6422" i="2"/>
  <c r="E6422" i="2"/>
  <c r="D6422" i="2"/>
  <c r="C6422" i="2"/>
  <c r="B6422" i="2"/>
  <c r="A6422" i="2"/>
  <c r="U6421" i="2"/>
  <c r="N6421" i="2"/>
  <c r="M6421" i="2"/>
  <c r="J6421" i="2"/>
  <c r="I6421" i="2"/>
  <c r="H6421" i="2"/>
  <c r="G6421" i="2"/>
  <c r="F6421" i="2"/>
  <c r="E6421" i="2"/>
  <c r="D6421" i="2"/>
  <c r="C6421" i="2"/>
  <c r="B6421" i="2"/>
  <c r="A6421" i="2"/>
  <c r="U6420" i="2"/>
  <c r="N6420" i="2"/>
  <c r="M6420" i="2"/>
  <c r="J6420" i="2"/>
  <c r="I6420" i="2"/>
  <c r="H6420" i="2"/>
  <c r="G6420" i="2"/>
  <c r="F6420" i="2"/>
  <c r="E6420" i="2"/>
  <c r="D6420" i="2"/>
  <c r="C6420" i="2"/>
  <c r="B6420" i="2"/>
  <c r="A6420" i="2"/>
  <c r="U6419" i="2"/>
  <c r="N6419" i="2"/>
  <c r="M6419" i="2"/>
  <c r="J6419" i="2"/>
  <c r="I6419" i="2"/>
  <c r="H6419" i="2"/>
  <c r="G6419" i="2"/>
  <c r="F6419" i="2"/>
  <c r="E6419" i="2"/>
  <c r="D6419" i="2"/>
  <c r="C6419" i="2"/>
  <c r="B6419" i="2"/>
  <c r="A6419" i="2"/>
  <c r="U6418" i="2"/>
  <c r="N6418" i="2"/>
  <c r="M6418" i="2"/>
  <c r="J6418" i="2"/>
  <c r="I6418" i="2"/>
  <c r="H6418" i="2"/>
  <c r="G6418" i="2"/>
  <c r="F6418" i="2"/>
  <c r="E6418" i="2"/>
  <c r="D6418" i="2"/>
  <c r="C6418" i="2"/>
  <c r="B6418" i="2"/>
  <c r="A6418" i="2"/>
  <c r="U6417" i="2"/>
  <c r="N6417" i="2"/>
  <c r="M6417" i="2"/>
  <c r="J6417" i="2"/>
  <c r="I6417" i="2"/>
  <c r="H6417" i="2"/>
  <c r="G6417" i="2"/>
  <c r="F6417" i="2"/>
  <c r="E6417" i="2"/>
  <c r="D6417" i="2"/>
  <c r="C6417" i="2"/>
  <c r="B6417" i="2"/>
  <c r="A6417" i="2"/>
  <c r="U6416" i="2"/>
  <c r="N6416" i="2"/>
  <c r="M6416" i="2"/>
  <c r="J6416" i="2"/>
  <c r="I6416" i="2"/>
  <c r="H6416" i="2"/>
  <c r="G6416" i="2"/>
  <c r="F6416" i="2"/>
  <c r="E6416" i="2"/>
  <c r="D6416" i="2"/>
  <c r="C6416" i="2"/>
  <c r="B6416" i="2"/>
  <c r="A6416" i="2"/>
  <c r="U6415" i="2"/>
  <c r="N6415" i="2"/>
  <c r="M6415" i="2"/>
  <c r="J6415" i="2"/>
  <c r="I6415" i="2"/>
  <c r="H6415" i="2"/>
  <c r="G6415" i="2"/>
  <c r="F6415" i="2"/>
  <c r="E6415" i="2"/>
  <c r="D6415" i="2"/>
  <c r="C6415" i="2"/>
  <c r="B6415" i="2"/>
  <c r="A6415" i="2"/>
  <c r="U6414" i="2"/>
  <c r="N6414" i="2"/>
  <c r="M6414" i="2"/>
  <c r="J6414" i="2"/>
  <c r="I6414" i="2"/>
  <c r="H6414" i="2"/>
  <c r="G6414" i="2"/>
  <c r="F6414" i="2"/>
  <c r="E6414" i="2"/>
  <c r="D6414" i="2"/>
  <c r="C6414" i="2"/>
  <c r="B6414" i="2"/>
  <c r="A6414" i="2"/>
  <c r="U6413" i="2"/>
  <c r="N6413" i="2"/>
  <c r="M6413" i="2"/>
  <c r="J6413" i="2"/>
  <c r="I6413" i="2"/>
  <c r="H6413" i="2"/>
  <c r="G6413" i="2"/>
  <c r="F6413" i="2"/>
  <c r="E6413" i="2"/>
  <c r="D6413" i="2"/>
  <c r="C6413" i="2"/>
  <c r="B6413" i="2"/>
  <c r="A6413" i="2"/>
  <c r="U6412" i="2"/>
  <c r="N6412" i="2"/>
  <c r="M6412" i="2"/>
  <c r="J6412" i="2"/>
  <c r="I6412" i="2"/>
  <c r="H6412" i="2"/>
  <c r="G6412" i="2"/>
  <c r="F6412" i="2"/>
  <c r="E6412" i="2"/>
  <c r="D6412" i="2"/>
  <c r="C6412" i="2"/>
  <c r="B6412" i="2"/>
  <c r="A6412" i="2"/>
  <c r="U6411" i="2"/>
  <c r="N6411" i="2"/>
  <c r="M6411" i="2"/>
  <c r="J6411" i="2"/>
  <c r="I6411" i="2"/>
  <c r="H6411" i="2"/>
  <c r="G6411" i="2"/>
  <c r="F6411" i="2"/>
  <c r="E6411" i="2"/>
  <c r="D6411" i="2"/>
  <c r="C6411" i="2"/>
  <c r="B6411" i="2"/>
  <c r="A6411" i="2"/>
  <c r="U6410" i="2"/>
  <c r="N6410" i="2"/>
  <c r="M6410" i="2"/>
  <c r="J6410" i="2"/>
  <c r="I6410" i="2"/>
  <c r="H6410" i="2"/>
  <c r="G6410" i="2"/>
  <c r="F6410" i="2"/>
  <c r="E6410" i="2"/>
  <c r="D6410" i="2"/>
  <c r="C6410" i="2"/>
  <c r="B6410" i="2"/>
  <c r="A6410" i="2"/>
  <c r="U6409" i="2"/>
  <c r="N6409" i="2"/>
  <c r="M6409" i="2"/>
  <c r="J6409" i="2"/>
  <c r="I6409" i="2"/>
  <c r="H6409" i="2"/>
  <c r="G6409" i="2"/>
  <c r="F6409" i="2"/>
  <c r="E6409" i="2"/>
  <c r="D6409" i="2"/>
  <c r="C6409" i="2"/>
  <c r="B6409" i="2"/>
  <c r="A6409" i="2"/>
  <c r="U6408" i="2"/>
  <c r="N6408" i="2"/>
  <c r="M6408" i="2"/>
  <c r="J6408" i="2"/>
  <c r="I6408" i="2"/>
  <c r="H6408" i="2"/>
  <c r="G6408" i="2"/>
  <c r="F6408" i="2"/>
  <c r="E6408" i="2"/>
  <c r="D6408" i="2"/>
  <c r="C6408" i="2"/>
  <c r="B6408" i="2"/>
  <c r="A6408" i="2"/>
  <c r="U6407" i="2"/>
  <c r="N6407" i="2"/>
  <c r="M6407" i="2"/>
  <c r="J6407" i="2"/>
  <c r="I6407" i="2"/>
  <c r="H6407" i="2"/>
  <c r="G6407" i="2"/>
  <c r="F6407" i="2"/>
  <c r="E6407" i="2"/>
  <c r="D6407" i="2"/>
  <c r="C6407" i="2"/>
  <c r="B6407" i="2"/>
  <c r="A6407" i="2"/>
  <c r="U6406" i="2"/>
  <c r="N6406" i="2"/>
  <c r="M6406" i="2"/>
  <c r="J6406" i="2"/>
  <c r="I6406" i="2"/>
  <c r="H6406" i="2"/>
  <c r="G6406" i="2"/>
  <c r="F6406" i="2"/>
  <c r="E6406" i="2"/>
  <c r="D6406" i="2"/>
  <c r="C6406" i="2"/>
  <c r="B6406" i="2"/>
  <c r="A6406" i="2"/>
  <c r="U6405" i="2"/>
  <c r="N6405" i="2"/>
  <c r="M6405" i="2"/>
  <c r="J6405" i="2"/>
  <c r="I6405" i="2"/>
  <c r="H6405" i="2"/>
  <c r="G6405" i="2"/>
  <c r="F6405" i="2"/>
  <c r="E6405" i="2"/>
  <c r="D6405" i="2"/>
  <c r="C6405" i="2"/>
  <c r="B6405" i="2"/>
  <c r="A6405" i="2"/>
  <c r="U6404" i="2"/>
  <c r="N6404" i="2"/>
  <c r="M6404" i="2"/>
  <c r="J6404" i="2"/>
  <c r="I6404" i="2"/>
  <c r="H6404" i="2"/>
  <c r="G6404" i="2"/>
  <c r="F6404" i="2"/>
  <c r="E6404" i="2"/>
  <c r="D6404" i="2"/>
  <c r="C6404" i="2"/>
  <c r="B6404" i="2"/>
  <c r="A6404" i="2"/>
  <c r="U6403" i="2"/>
  <c r="N6403" i="2"/>
  <c r="M6403" i="2"/>
  <c r="J6403" i="2"/>
  <c r="I6403" i="2"/>
  <c r="H6403" i="2"/>
  <c r="G6403" i="2"/>
  <c r="F6403" i="2"/>
  <c r="E6403" i="2"/>
  <c r="D6403" i="2"/>
  <c r="C6403" i="2"/>
  <c r="B6403" i="2"/>
  <c r="A6403" i="2"/>
  <c r="U6402" i="2"/>
  <c r="N6402" i="2"/>
  <c r="M6402" i="2"/>
  <c r="J6402" i="2"/>
  <c r="I6402" i="2"/>
  <c r="H6402" i="2"/>
  <c r="G6402" i="2"/>
  <c r="F6402" i="2"/>
  <c r="E6402" i="2"/>
  <c r="D6402" i="2"/>
  <c r="C6402" i="2"/>
  <c r="B6402" i="2"/>
  <c r="A6402" i="2"/>
  <c r="U6401" i="2"/>
  <c r="N6401" i="2"/>
  <c r="M6401" i="2"/>
  <c r="J6401" i="2"/>
  <c r="I6401" i="2"/>
  <c r="H6401" i="2"/>
  <c r="G6401" i="2"/>
  <c r="F6401" i="2"/>
  <c r="E6401" i="2"/>
  <c r="D6401" i="2"/>
  <c r="C6401" i="2"/>
  <c r="B6401" i="2"/>
  <c r="A6401" i="2"/>
  <c r="U6400" i="2"/>
  <c r="N6400" i="2"/>
  <c r="M6400" i="2"/>
  <c r="J6400" i="2"/>
  <c r="I6400" i="2"/>
  <c r="H6400" i="2"/>
  <c r="G6400" i="2"/>
  <c r="F6400" i="2"/>
  <c r="E6400" i="2"/>
  <c r="D6400" i="2"/>
  <c r="C6400" i="2"/>
  <c r="B6400" i="2"/>
  <c r="A6400" i="2"/>
  <c r="U6399" i="2"/>
  <c r="N6399" i="2"/>
  <c r="M6399" i="2"/>
  <c r="J6399" i="2"/>
  <c r="I6399" i="2"/>
  <c r="H6399" i="2"/>
  <c r="G6399" i="2"/>
  <c r="F6399" i="2"/>
  <c r="E6399" i="2"/>
  <c r="D6399" i="2"/>
  <c r="C6399" i="2"/>
  <c r="B6399" i="2"/>
  <c r="A6399" i="2"/>
  <c r="U6398" i="2"/>
  <c r="N6398" i="2"/>
  <c r="M6398" i="2"/>
  <c r="J6398" i="2"/>
  <c r="I6398" i="2"/>
  <c r="H6398" i="2"/>
  <c r="G6398" i="2"/>
  <c r="F6398" i="2"/>
  <c r="E6398" i="2"/>
  <c r="D6398" i="2"/>
  <c r="C6398" i="2"/>
  <c r="B6398" i="2"/>
  <c r="A6398" i="2"/>
  <c r="U6397" i="2"/>
  <c r="N6397" i="2"/>
  <c r="M6397" i="2"/>
  <c r="J6397" i="2"/>
  <c r="I6397" i="2"/>
  <c r="H6397" i="2"/>
  <c r="G6397" i="2"/>
  <c r="F6397" i="2"/>
  <c r="E6397" i="2"/>
  <c r="D6397" i="2"/>
  <c r="C6397" i="2"/>
  <c r="B6397" i="2"/>
  <c r="A6397" i="2"/>
  <c r="U6396" i="2"/>
  <c r="N6396" i="2"/>
  <c r="M6396" i="2"/>
  <c r="J6396" i="2"/>
  <c r="I6396" i="2"/>
  <c r="H6396" i="2"/>
  <c r="G6396" i="2"/>
  <c r="F6396" i="2"/>
  <c r="E6396" i="2"/>
  <c r="D6396" i="2"/>
  <c r="C6396" i="2"/>
  <c r="B6396" i="2"/>
  <c r="A6396" i="2"/>
  <c r="U6395" i="2"/>
  <c r="N6395" i="2"/>
  <c r="M6395" i="2"/>
  <c r="J6395" i="2"/>
  <c r="I6395" i="2"/>
  <c r="H6395" i="2"/>
  <c r="G6395" i="2"/>
  <c r="F6395" i="2"/>
  <c r="E6395" i="2"/>
  <c r="D6395" i="2"/>
  <c r="C6395" i="2"/>
  <c r="B6395" i="2"/>
  <c r="A6395" i="2"/>
  <c r="U6394" i="2"/>
  <c r="N6394" i="2"/>
  <c r="M6394" i="2"/>
  <c r="J6394" i="2"/>
  <c r="I6394" i="2"/>
  <c r="H6394" i="2"/>
  <c r="G6394" i="2"/>
  <c r="F6394" i="2"/>
  <c r="E6394" i="2"/>
  <c r="D6394" i="2"/>
  <c r="C6394" i="2"/>
  <c r="B6394" i="2"/>
  <c r="A6394" i="2"/>
  <c r="U6393" i="2"/>
  <c r="N6393" i="2"/>
  <c r="M6393" i="2"/>
  <c r="J6393" i="2"/>
  <c r="I6393" i="2"/>
  <c r="H6393" i="2"/>
  <c r="G6393" i="2"/>
  <c r="F6393" i="2"/>
  <c r="E6393" i="2"/>
  <c r="D6393" i="2"/>
  <c r="C6393" i="2"/>
  <c r="B6393" i="2"/>
  <c r="A6393" i="2"/>
  <c r="U6392" i="2"/>
  <c r="N6392" i="2"/>
  <c r="M6392" i="2"/>
  <c r="J6392" i="2"/>
  <c r="I6392" i="2"/>
  <c r="H6392" i="2"/>
  <c r="G6392" i="2"/>
  <c r="F6392" i="2"/>
  <c r="E6392" i="2"/>
  <c r="D6392" i="2"/>
  <c r="C6392" i="2"/>
  <c r="B6392" i="2"/>
  <c r="A6392" i="2"/>
  <c r="U6391" i="2"/>
  <c r="N6391" i="2"/>
  <c r="M6391" i="2"/>
  <c r="J6391" i="2"/>
  <c r="I6391" i="2"/>
  <c r="H6391" i="2"/>
  <c r="G6391" i="2"/>
  <c r="F6391" i="2"/>
  <c r="E6391" i="2"/>
  <c r="D6391" i="2"/>
  <c r="C6391" i="2"/>
  <c r="B6391" i="2"/>
  <c r="A6391" i="2"/>
  <c r="U6390" i="2"/>
  <c r="N6390" i="2"/>
  <c r="M6390" i="2"/>
  <c r="J6390" i="2"/>
  <c r="I6390" i="2"/>
  <c r="H6390" i="2"/>
  <c r="G6390" i="2"/>
  <c r="F6390" i="2"/>
  <c r="E6390" i="2"/>
  <c r="D6390" i="2"/>
  <c r="C6390" i="2"/>
  <c r="B6390" i="2"/>
  <c r="A6390" i="2"/>
  <c r="U6389" i="2"/>
  <c r="N6389" i="2"/>
  <c r="M6389" i="2"/>
  <c r="J6389" i="2"/>
  <c r="I6389" i="2"/>
  <c r="H6389" i="2"/>
  <c r="G6389" i="2"/>
  <c r="F6389" i="2"/>
  <c r="E6389" i="2"/>
  <c r="D6389" i="2"/>
  <c r="C6389" i="2"/>
  <c r="B6389" i="2"/>
  <c r="A6389" i="2"/>
  <c r="U6388" i="2"/>
  <c r="N6388" i="2"/>
  <c r="M6388" i="2"/>
  <c r="J6388" i="2"/>
  <c r="I6388" i="2"/>
  <c r="H6388" i="2"/>
  <c r="G6388" i="2"/>
  <c r="F6388" i="2"/>
  <c r="E6388" i="2"/>
  <c r="D6388" i="2"/>
  <c r="C6388" i="2"/>
  <c r="B6388" i="2"/>
  <c r="A6388" i="2"/>
  <c r="U6387" i="2"/>
  <c r="N6387" i="2"/>
  <c r="M6387" i="2"/>
  <c r="J6387" i="2"/>
  <c r="I6387" i="2"/>
  <c r="H6387" i="2"/>
  <c r="G6387" i="2"/>
  <c r="F6387" i="2"/>
  <c r="E6387" i="2"/>
  <c r="D6387" i="2"/>
  <c r="C6387" i="2"/>
  <c r="B6387" i="2"/>
  <c r="A6387" i="2"/>
  <c r="U6386" i="2"/>
  <c r="N6386" i="2"/>
  <c r="M6386" i="2"/>
  <c r="J6386" i="2"/>
  <c r="I6386" i="2"/>
  <c r="H6386" i="2"/>
  <c r="G6386" i="2"/>
  <c r="F6386" i="2"/>
  <c r="E6386" i="2"/>
  <c r="D6386" i="2"/>
  <c r="C6386" i="2"/>
  <c r="B6386" i="2"/>
  <c r="A6386" i="2"/>
  <c r="U6385" i="2"/>
  <c r="N6385" i="2"/>
  <c r="M6385" i="2"/>
  <c r="J6385" i="2"/>
  <c r="I6385" i="2"/>
  <c r="H6385" i="2"/>
  <c r="G6385" i="2"/>
  <c r="F6385" i="2"/>
  <c r="E6385" i="2"/>
  <c r="D6385" i="2"/>
  <c r="C6385" i="2"/>
  <c r="B6385" i="2"/>
  <c r="A6385" i="2"/>
  <c r="U6384" i="2"/>
  <c r="N6384" i="2"/>
  <c r="M6384" i="2"/>
  <c r="J6384" i="2"/>
  <c r="I6384" i="2"/>
  <c r="H6384" i="2"/>
  <c r="G6384" i="2"/>
  <c r="F6384" i="2"/>
  <c r="E6384" i="2"/>
  <c r="D6384" i="2"/>
  <c r="C6384" i="2"/>
  <c r="B6384" i="2"/>
  <c r="A6384" i="2"/>
  <c r="U6383" i="2"/>
  <c r="N6383" i="2"/>
  <c r="M6383" i="2"/>
  <c r="J6383" i="2"/>
  <c r="I6383" i="2"/>
  <c r="H6383" i="2"/>
  <c r="G6383" i="2"/>
  <c r="F6383" i="2"/>
  <c r="E6383" i="2"/>
  <c r="D6383" i="2"/>
  <c r="C6383" i="2"/>
  <c r="B6383" i="2"/>
  <c r="A6383" i="2"/>
  <c r="U6382" i="2"/>
  <c r="N6382" i="2"/>
  <c r="M6382" i="2"/>
  <c r="J6382" i="2"/>
  <c r="I6382" i="2"/>
  <c r="H6382" i="2"/>
  <c r="G6382" i="2"/>
  <c r="F6382" i="2"/>
  <c r="E6382" i="2"/>
  <c r="D6382" i="2"/>
  <c r="C6382" i="2"/>
  <c r="B6382" i="2"/>
  <c r="A6382" i="2"/>
  <c r="U6381" i="2"/>
  <c r="N6381" i="2"/>
  <c r="M6381" i="2"/>
  <c r="J6381" i="2"/>
  <c r="I6381" i="2"/>
  <c r="H6381" i="2"/>
  <c r="G6381" i="2"/>
  <c r="F6381" i="2"/>
  <c r="E6381" i="2"/>
  <c r="D6381" i="2"/>
  <c r="C6381" i="2"/>
  <c r="B6381" i="2"/>
  <c r="A6381" i="2"/>
  <c r="U6380" i="2"/>
  <c r="N6380" i="2"/>
  <c r="M6380" i="2"/>
  <c r="J6380" i="2"/>
  <c r="I6380" i="2"/>
  <c r="H6380" i="2"/>
  <c r="G6380" i="2"/>
  <c r="F6380" i="2"/>
  <c r="E6380" i="2"/>
  <c r="D6380" i="2"/>
  <c r="C6380" i="2"/>
  <c r="B6380" i="2"/>
  <c r="A6380" i="2"/>
  <c r="U6379" i="2"/>
  <c r="N6379" i="2"/>
  <c r="M6379" i="2"/>
  <c r="J6379" i="2"/>
  <c r="I6379" i="2"/>
  <c r="H6379" i="2"/>
  <c r="G6379" i="2"/>
  <c r="F6379" i="2"/>
  <c r="E6379" i="2"/>
  <c r="D6379" i="2"/>
  <c r="C6379" i="2"/>
  <c r="B6379" i="2"/>
  <c r="A6379" i="2"/>
  <c r="U6378" i="2"/>
  <c r="N6378" i="2"/>
  <c r="M6378" i="2"/>
  <c r="J6378" i="2"/>
  <c r="I6378" i="2"/>
  <c r="H6378" i="2"/>
  <c r="G6378" i="2"/>
  <c r="F6378" i="2"/>
  <c r="E6378" i="2"/>
  <c r="D6378" i="2"/>
  <c r="C6378" i="2"/>
  <c r="B6378" i="2"/>
  <c r="A6378" i="2"/>
  <c r="U6377" i="2"/>
  <c r="N6377" i="2"/>
  <c r="M6377" i="2"/>
  <c r="J6377" i="2"/>
  <c r="I6377" i="2"/>
  <c r="H6377" i="2"/>
  <c r="G6377" i="2"/>
  <c r="F6377" i="2"/>
  <c r="E6377" i="2"/>
  <c r="D6377" i="2"/>
  <c r="C6377" i="2"/>
  <c r="B6377" i="2"/>
  <c r="A6377" i="2"/>
  <c r="U6376" i="2"/>
  <c r="N6376" i="2"/>
  <c r="M6376" i="2"/>
  <c r="J6376" i="2"/>
  <c r="I6376" i="2"/>
  <c r="H6376" i="2"/>
  <c r="G6376" i="2"/>
  <c r="F6376" i="2"/>
  <c r="E6376" i="2"/>
  <c r="D6376" i="2"/>
  <c r="C6376" i="2"/>
  <c r="B6376" i="2"/>
  <c r="A6376" i="2"/>
  <c r="Q6375" i="2"/>
  <c r="U6375" i="2" s="1"/>
  <c r="N6375" i="2"/>
  <c r="M6375" i="2"/>
  <c r="J6375" i="2"/>
  <c r="I6375" i="2"/>
  <c r="H6375" i="2"/>
  <c r="G6375" i="2"/>
  <c r="F6375" i="2"/>
  <c r="E6375" i="2"/>
  <c r="D6375" i="2"/>
  <c r="C6375" i="2"/>
  <c r="B6375" i="2"/>
  <c r="A6375" i="2"/>
  <c r="U6374" i="2"/>
  <c r="N6374" i="2"/>
  <c r="M6374" i="2"/>
  <c r="J6374" i="2"/>
  <c r="I6374" i="2"/>
  <c r="H6374" i="2"/>
  <c r="G6374" i="2"/>
  <c r="F6374" i="2"/>
  <c r="E6374" i="2"/>
  <c r="D6374" i="2"/>
  <c r="C6374" i="2"/>
  <c r="B6374" i="2"/>
  <c r="A6374" i="2"/>
  <c r="U6373" i="2"/>
  <c r="N6373" i="2"/>
  <c r="M6373" i="2"/>
  <c r="J6373" i="2"/>
  <c r="I6373" i="2"/>
  <c r="H6373" i="2"/>
  <c r="G6373" i="2"/>
  <c r="F6373" i="2"/>
  <c r="E6373" i="2"/>
  <c r="D6373" i="2"/>
  <c r="C6373" i="2"/>
  <c r="B6373" i="2"/>
  <c r="A6373" i="2"/>
  <c r="U6372" i="2"/>
  <c r="N6372" i="2"/>
  <c r="M6372" i="2"/>
  <c r="J6372" i="2"/>
  <c r="I6372" i="2"/>
  <c r="H6372" i="2"/>
  <c r="G6372" i="2"/>
  <c r="F6372" i="2"/>
  <c r="E6372" i="2"/>
  <c r="D6372" i="2"/>
  <c r="C6372" i="2"/>
  <c r="B6372" i="2"/>
  <c r="A6372" i="2"/>
  <c r="U6371" i="2"/>
  <c r="N6371" i="2"/>
  <c r="M6371" i="2"/>
  <c r="J6371" i="2"/>
  <c r="I6371" i="2"/>
  <c r="H6371" i="2"/>
  <c r="G6371" i="2"/>
  <c r="F6371" i="2"/>
  <c r="E6371" i="2"/>
  <c r="D6371" i="2"/>
  <c r="C6371" i="2"/>
  <c r="B6371" i="2"/>
  <c r="A6371" i="2"/>
  <c r="Q6370" i="2"/>
  <c r="U6370" i="2" s="1"/>
  <c r="N6370" i="2"/>
  <c r="M6370" i="2"/>
  <c r="J6370" i="2"/>
  <c r="I6370" i="2"/>
  <c r="H6370" i="2"/>
  <c r="G6370" i="2"/>
  <c r="F6370" i="2"/>
  <c r="E6370" i="2"/>
  <c r="D6370" i="2"/>
  <c r="C6370" i="2"/>
  <c r="B6370" i="2"/>
  <c r="A6370" i="2"/>
  <c r="U6369" i="2"/>
  <c r="N6369" i="2"/>
  <c r="M6369" i="2"/>
  <c r="J6369" i="2"/>
  <c r="I6369" i="2"/>
  <c r="H6369" i="2"/>
  <c r="G6369" i="2"/>
  <c r="F6369" i="2"/>
  <c r="E6369" i="2"/>
  <c r="D6369" i="2"/>
  <c r="C6369" i="2"/>
  <c r="B6369" i="2"/>
  <c r="A6369" i="2"/>
  <c r="U6368" i="2"/>
  <c r="N6368" i="2"/>
  <c r="M6368" i="2"/>
  <c r="J6368" i="2"/>
  <c r="I6368" i="2"/>
  <c r="H6368" i="2"/>
  <c r="G6368" i="2"/>
  <c r="F6368" i="2"/>
  <c r="E6368" i="2"/>
  <c r="D6368" i="2"/>
  <c r="C6368" i="2"/>
  <c r="B6368" i="2"/>
  <c r="A6368" i="2"/>
  <c r="U6367" i="2"/>
  <c r="N6367" i="2"/>
  <c r="M6367" i="2"/>
  <c r="J6367" i="2"/>
  <c r="I6367" i="2"/>
  <c r="H6367" i="2"/>
  <c r="G6367" i="2"/>
  <c r="F6367" i="2"/>
  <c r="E6367" i="2"/>
  <c r="D6367" i="2"/>
  <c r="C6367" i="2"/>
  <c r="B6367" i="2"/>
  <c r="A6367" i="2"/>
  <c r="U6366" i="2"/>
  <c r="N6366" i="2"/>
  <c r="M6366" i="2"/>
  <c r="J6366" i="2"/>
  <c r="I6366" i="2"/>
  <c r="H6366" i="2"/>
  <c r="G6366" i="2"/>
  <c r="F6366" i="2"/>
  <c r="E6366" i="2"/>
  <c r="D6366" i="2"/>
  <c r="C6366" i="2"/>
  <c r="B6366" i="2"/>
  <c r="A6366" i="2"/>
  <c r="U6365" i="2"/>
  <c r="N6365" i="2"/>
  <c r="M6365" i="2"/>
  <c r="J6365" i="2"/>
  <c r="I6365" i="2"/>
  <c r="H6365" i="2"/>
  <c r="G6365" i="2"/>
  <c r="F6365" i="2"/>
  <c r="E6365" i="2"/>
  <c r="D6365" i="2"/>
  <c r="C6365" i="2"/>
  <c r="B6365" i="2"/>
  <c r="A6365" i="2"/>
  <c r="U6364" i="2"/>
  <c r="N6364" i="2"/>
  <c r="M6364" i="2"/>
  <c r="J6364" i="2"/>
  <c r="I6364" i="2"/>
  <c r="H6364" i="2"/>
  <c r="G6364" i="2"/>
  <c r="F6364" i="2"/>
  <c r="E6364" i="2"/>
  <c r="D6364" i="2"/>
  <c r="C6364" i="2"/>
  <c r="B6364" i="2"/>
  <c r="A6364" i="2"/>
  <c r="U6363" i="2"/>
  <c r="N6363" i="2"/>
  <c r="M6363" i="2"/>
  <c r="J6363" i="2"/>
  <c r="I6363" i="2"/>
  <c r="H6363" i="2"/>
  <c r="G6363" i="2"/>
  <c r="F6363" i="2"/>
  <c r="E6363" i="2"/>
  <c r="D6363" i="2"/>
  <c r="C6363" i="2"/>
  <c r="B6363" i="2"/>
  <c r="A6363" i="2"/>
  <c r="U6362" i="2"/>
  <c r="N6362" i="2"/>
  <c r="M6362" i="2"/>
  <c r="J6362" i="2"/>
  <c r="I6362" i="2"/>
  <c r="H6362" i="2"/>
  <c r="G6362" i="2"/>
  <c r="F6362" i="2"/>
  <c r="E6362" i="2"/>
  <c r="D6362" i="2"/>
  <c r="C6362" i="2"/>
  <c r="B6362" i="2"/>
  <c r="A6362" i="2"/>
  <c r="U6361" i="2"/>
  <c r="N6361" i="2"/>
  <c r="M6361" i="2"/>
  <c r="J6361" i="2"/>
  <c r="I6361" i="2"/>
  <c r="H6361" i="2"/>
  <c r="G6361" i="2"/>
  <c r="F6361" i="2"/>
  <c r="E6361" i="2"/>
  <c r="D6361" i="2"/>
  <c r="C6361" i="2"/>
  <c r="B6361" i="2"/>
  <c r="A6361" i="2"/>
  <c r="U6360" i="2"/>
  <c r="N6360" i="2"/>
  <c r="M6360" i="2"/>
  <c r="J6360" i="2"/>
  <c r="I6360" i="2"/>
  <c r="H6360" i="2"/>
  <c r="G6360" i="2"/>
  <c r="F6360" i="2"/>
  <c r="E6360" i="2"/>
  <c r="D6360" i="2"/>
  <c r="C6360" i="2"/>
  <c r="B6360" i="2"/>
  <c r="A6360" i="2"/>
  <c r="U6359" i="2"/>
  <c r="N6359" i="2"/>
  <c r="M6359" i="2"/>
  <c r="J6359" i="2"/>
  <c r="I6359" i="2"/>
  <c r="H6359" i="2"/>
  <c r="G6359" i="2"/>
  <c r="F6359" i="2"/>
  <c r="E6359" i="2"/>
  <c r="D6359" i="2"/>
  <c r="C6359" i="2"/>
  <c r="B6359" i="2"/>
  <c r="A6359" i="2"/>
  <c r="U6358" i="2"/>
  <c r="N6358" i="2"/>
  <c r="M6358" i="2"/>
  <c r="J6358" i="2"/>
  <c r="I6358" i="2"/>
  <c r="H6358" i="2"/>
  <c r="G6358" i="2"/>
  <c r="F6358" i="2"/>
  <c r="E6358" i="2"/>
  <c r="D6358" i="2"/>
  <c r="C6358" i="2"/>
  <c r="B6358" i="2"/>
  <c r="A6358" i="2"/>
  <c r="U6357" i="2"/>
  <c r="N6357" i="2"/>
  <c r="M6357" i="2"/>
  <c r="J6357" i="2"/>
  <c r="I6357" i="2"/>
  <c r="H6357" i="2"/>
  <c r="G6357" i="2"/>
  <c r="F6357" i="2"/>
  <c r="E6357" i="2"/>
  <c r="D6357" i="2"/>
  <c r="C6357" i="2"/>
  <c r="B6357" i="2"/>
  <c r="A6357" i="2"/>
  <c r="U6356" i="2"/>
  <c r="N6356" i="2"/>
  <c r="M6356" i="2"/>
  <c r="J6356" i="2"/>
  <c r="I6356" i="2"/>
  <c r="H6356" i="2"/>
  <c r="G6356" i="2"/>
  <c r="F6356" i="2"/>
  <c r="E6356" i="2"/>
  <c r="D6356" i="2"/>
  <c r="C6356" i="2"/>
  <c r="B6356" i="2"/>
  <c r="A6356" i="2"/>
  <c r="U6355" i="2"/>
  <c r="N6355" i="2"/>
  <c r="M6355" i="2"/>
  <c r="J6355" i="2"/>
  <c r="I6355" i="2"/>
  <c r="H6355" i="2"/>
  <c r="G6355" i="2"/>
  <c r="F6355" i="2"/>
  <c r="E6355" i="2"/>
  <c r="D6355" i="2"/>
  <c r="C6355" i="2"/>
  <c r="B6355" i="2"/>
  <c r="A6355" i="2"/>
  <c r="U6354" i="2"/>
  <c r="N6354" i="2"/>
  <c r="M6354" i="2"/>
  <c r="J6354" i="2"/>
  <c r="I6354" i="2"/>
  <c r="H6354" i="2"/>
  <c r="G6354" i="2"/>
  <c r="F6354" i="2"/>
  <c r="E6354" i="2"/>
  <c r="D6354" i="2"/>
  <c r="C6354" i="2"/>
  <c r="B6354" i="2"/>
  <c r="A6354" i="2"/>
  <c r="U6353" i="2"/>
  <c r="N6353" i="2"/>
  <c r="M6353" i="2"/>
  <c r="J6353" i="2"/>
  <c r="I6353" i="2"/>
  <c r="H6353" i="2"/>
  <c r="G6353" i="2"/>
  <c r="F6353" i="2"/>
  <c r="E6353" i="2"/>
  <c r="D6353" i="2"/>
  <c r="C6353" i="2"/>
  <c r="B6353" i="2"/>
  <c r="A6353" i="2"/>
  <c r="U6352" i="2"/>
  <c r="N6352" i="2"/>
  <c r="M6352" i="2"/>
  <c r="J6352" i="2"/>
  <c r="I6352" i="2"/>
  <c r="H6352" i="2"/>
  <c r="G6352" i="2"/>
  <c r="F6352" i="2"/>
  <c r="E6352" i="2"/>
  <c r="D6352" i="2"/>
  <c r="C6352" i="2"/>
  <c r="B6352" i="2"/>
  <c r="A6352" i="2"/>
  <c r="U6351" i="2"/>
  <c r="N6351" i="2"/>
  <c r="M6351" i="2"/>
  <c r="J6351" i="2"/>
  <c r="I6351" i="2"/>
  <c r="H6351" i="2"/>
  <c r="G6351" i="2"/>
  <c r="F6351" i="2"/>
  <c r="E6351" i="2"/>
  <c r="D6351" i="2"/>
  <c r="C6351" i="2"/>
  <c r="B6351" i="2"/>
  <c r="A6351" i="2"/>
  <c r="U6350" i="2"/>
  <c r="N6350" i="2"/>
  <c r="M6350" i="2"/>
  <c r="J6350" i="2"/>
  <c r="I6350" i="2"/>
  <c r="H6350" i="2"/>
  <c r="G6350" i="2"/>
  <c r="F6350" i="2"/>
  <c r="E6350" i="2"/>
  <c r="D6350" i="2"/>
  <c r="C6350" i="2"/>
  <c r="B6350" i="2"/>
  <c r="A6350" i="2"/>
  <c r="U6349" i="2"/>
  <c r="N6349" i="2"/>
  <c r="M6349" i="2"/>
  <c r="J6349" i="2"/>
  <c r="I6349" i="2"/>
  <c r="H6349" i="2"/>
  <c r="G6349" i="2"/>
  <c r="F6349" i="2"/>
  <c r="E6349" i="2"/>
  <c r="D6349" i="2"/>
  <c r="C6349" i="2"/>
  <c r="B6349" i="2"/>
  <c r="A6349" i="2"/>
  <c r="U6348" i="2"/>
  <c r="N6348" i="2"/>
  <c r="M6348" i="2"/>
  <c r="J6348" i="2"/>
  <c r="I6348" i="2"/>
  <c r="H6348" i="2"/>
  <c r="G6348" i="2"/>
  <c r="F6348" i="2"/>
  <c r="E6348" i="2"/>
  <c r="D6348" i="2"/>
  <c r="C6348" i="2"/>
  <c r="B6348" i="2"/>
  <c r="A6348" i="2"/>
  <c r="U6347" i="2"/>
  <c r="N6347" i="2"/>
  <c r="M6347" i="2"/>
  <c r="J6347" i="2"/>
  <c r="I6347" i="2"/>
  <c r="H6347" i="2"/>
  <c r="G6347" i="2"/>
  <c r="F6347" i="2"/>
  <c r="E6347" i="2"/>
  <c r="D6347" i="2"/>
  <c r="C6347" i="2"/>
  <c r="B6347" i="2"/>
  <c r="A6347" i="2"/>
  <c r="U6346" i="2"/>
  <c r="N6346" i="2"/>
  <c r="M6346" i="2"/>
  <c r="J6346" i="2"/>
  <c r="I6346" i="2"/>
  <c r="H6346" i="2"/>
  <c r="G6346" i="2"/>
  <c r="F6346" i="2"/>
  <c r="E6346" i="2"/>
  <c r="D6346" i="2"/>
  <c r="C6346" i="2"/>
  <c r="B6346" i="2"/>
  <c r="A6346" i="2"/>
  <c r="U6345" i="2"/>
  <c r="N6345" i="2"/>
  <c r="M6345" i="2"/>
  <c r="J6345" i="2"/>
  <c r="I6345" i="2"/>
  <c r="H6345" i="2"/>
  <c r="G6345" i="2"/>
  <c r="F6345" i="2"/>
  <c r="E6345" i="2"/>
  <c r="D6345" i="2"/>
  <c r="C6345" i="2"/>
  <c r="B6345" i="2"/>
  <c r="A6345" i="2"/>
  <c r="U6344" i="2"/>
  <c r="N6344" i="2"/>
  <c r="M6344" i="2"/>
  <c r="J6344" i="2"/>
  <c r="I6344" i="2"/>
  <c r="H6344" i="2"/>
  <c r="G6344" i="2"/>
  <c r="F6344" i="2"/>
  <c r="E6344" i="2"/>
  <c r="D6344" i="2"/>
  <c r="C6344" i="2"/>
  <c r="B6344" i="2"/>
  <c r="A6344" i="2"/>
  <c r="U6343" i="2"/>
  <c r="N6343" i="2"/>
  <c r="M6343" i="2"/>
  <c r="J6343" i="2"/>
  <c r="I6343" i="2"/>
  <c r="H6343" i="2"/>
  <c r="G6343" i="2"/>
  <c r="F6343" i="2"/>
  <c r="E6343" i="2"/>
  <c r="D6343" i="2"/>
  <c r="C6343" i="2"/>
  <c r="B6343" i="2"/>
  <c r="A6343" i="2"/>
  <c r="U6342" i="2"/>
  <c r="N6342" i="2"/>
  <c r="M6342" i="2"/>
  <c r="J6342" i="2"/>
  <c r="I6342" i="2"/>
  <c r="H6342" i="2"/>
  <c r="G6342" i="2"/>
  <c r="F6342" i="2"/>
  <c r="E6342" i="2"/>
  <c r="D6342" i="2"/>
  <c r="C6342" i="2"/>
  <c r="B6342" i="2"/>
  <c r="A6342" i="2"/>
  <c r="U6341" i="2"/>
  <c r="N6341" i="2"/>
  <c r="M6341" i="2"/>
  <c r="J6341" i="2"/>
  <c r="I6341" i="2"/>
  <c r="H6341" i="2"/>
  <c r="G6341" i="2"/>
  <c r="F6341" i="2"/>
  <c r="E6341" i="2"/>
  <c r="D6341" i="2"/>
  <c r="C6341" i="2"/>
  <c r="B6341" i="2"/>
  <c r="A6341" i="2"/>
  <c r="U6340" i="2"/>
  <c r="N6340" i="2"/>
  <c r="M6340" i="2"/>
  <c r="J6340" i="2"/>
  <c r="I6340" i="2"/>
  <c r="H6340" i="2"/>
  <c r="G6340" i="2"/>
  <c r="F6340" i="2"/>
  <c r="E6340" i="2"/>
  <c r="D6340" i="2"/>
  <c r="C6340" i="2"/>
  <c r="B6340" i="2"/>
  <c r="A6340" i="2"/>
  <c r="U6339" i="2"/>
  <c r="N6339" i="2"/>
  <c r="M6339" i="2"/>
  <c r="J6339" i="2"/>
  <c r="I6339" i="2"/>
  <c r="H6339" i="2"/>
  <c r="G6339" i="2"/>
  <c r="F6339" i="2"/>
  <c r="E6339" i="2"/>
  <c r="D6339" i="2"/>
  <c r="C6339" i="2"/>
  <c r="B6339" i="2"/>
  <c r="A6339" i="2"/>
  <c r="U6338" i="2"/>
  <c r="N6338" i="2"/>
  <c r="M6338" i="2"/>
  <c r="J6338" i="2"/>
  <c r="I6338" i="2"/>
  <c r="H6338" i="2"/>
  <c r="G6338" i="2"/>
  <c r="F6338" i="2"/>
  <c r="E6338" i="2"/>
  <c r="D6338" i="2"/>
  <c r="C6338" i="2"/>
  <c r="B6338" i="2"/>
  <c r="A6338" i="2"/>
  <c r="U6337" i="2"/>
  <c r="N6337" i="2"/>
  <c r="M6337" i="2"/>
  <c r="J6337" i="2"/>
  <c r="I6337" i="2"/>
  <c r="H6337" i="2"/>
  <c r="G6337" i="2"/>
  <c r="F6337" i="2"/>
  <c r="E6337" i="2"/>
  <c r="D6337" i="2"/>
  <c r="C6337" i="2"/>
  <c r="B6337" i="2"/>
  <c r="A6337" i="2"/>
  <c r="U6336" i="2"/>
  <c r="N6336" i="2"/>
  <c r="M6336" i="2"/>
  <c r="J6336" i="2"/>
  <c r="I6336" i="2"/>
  <c r="H6336" i="2"/>
  <c r="G6336" i="2"/>
  <c r="F6336" i="2"/>
  <c r="E6336" i="2"/>
  <c r="D6336" i="2"/>
  <c r="C6336" i="2"/>
  <c r="B6336" i="2"/>
  <c r="A6336" i="2"/>
  <c r="U6335" i="2"/>
  <c r="N6335" i="2"/>
  <c r="M6335" i="2"/>
  <c r="J6335" i="2"/>
  <c r="I6335" i="2"/>
  <c r="H6335" i="2"/>
  <c r="G6335" i="2"/>
  <c r="F6335" i="2"/>
  <c r="E6335" i="2"/>
  <c r="D6335" i="2"/>
  <c r="C6335" i="2"/>
  <c r="B6335" i="2"/>
  <c r="A6335" i="2"/>
  <c r="U6334" i="2"/>
  <c r="N6334" i="2"/>
  <c r="M6334" i="2"/>
  <c r="J6334" i="2"/>
  <c r="I6334" i="2"/>
  <c r="H6334" i="2"/>
  <c r="G6334" i="2"/>
  <c r="F6334" i="2"/>
  <c r="E6334" i="2"/>
  <c r="D6334" i="2"/>
  <c r="C6334" i="2"/>
  <c r="B6334" i="2"/>
  <c r="A6334" i="2"/>
  <c r="U6333" i="2"/>
  <c r="N6333" i="2"/>
  <c r="M6333" i="2"/>
  <c r="J6333" i="2"/>
  <c r="I6333" i="2"/>
  <c r="H6333" i="2"/>
  <c r="G6333" i="2"/>
  <c r="F6333" i="2"/>
  <c r="E6333" i="2"/>
  <c r="D6333" i="2"/>
  <c r="C6333" i="2"/>
  <c r="B6333" i="2"/>
  <c r="A6333" i="2"/>
  <c r="U6332" i="2"/>
  <c r="N6332" i="2"/>
  <c r="M6332" i="2"/>
  <c r="J6332" i="2"/>
  <c r="I6332" i="2"/>
  <c r="H6332" i="2"/>
  <c r="G6332" i="2"/>
  <c r="F6332" i="2"/>
  <c r="E6332" i="2"/>
  <c r="D6332" i="2"/>
  <c r="C6332" i="2"/>
  <c r="B6332" i="2"/>
  <c r="A6332" i="2"/>
  <c r="U6331" i="2"/>
  <c r="N6331" i="2"/>
  <c r="M6331" i="2"/>
  <c r="J6331" i="2"/>
  <c r="I6331" i="2"/>
  <c r="H6331" i="2"/>
  <c r="G6331" i="2"/>
  <c r="F6331" i="2"/>
  <c r="E6331" i="2"/>
  <c r="D6331" i="2"/>
  <c r="C6331" i="2"/>
  <c r="B6331" i="2"/>
  <c r="A6331" i="2"/>
  <c r="U6330" i="2"/>
  <c r="N6330" i="2"/>
  <c r="M6330" i="2"/>
  <c r="J6330" i="2"/>
  <c r="I6330" i="2"/>
  <c r="H6330" i="2"/>
  <c r="G6330" i="2"/>
  <c r="F6330" i="2"/>
  <c r="E6330" i="2"/>
  <c r="D6330" i="2"/>
  <c r="C6330" i="2"/>
  <c r="B6330" i="2"/>
  <c r="A6330" i="2"/>
  <c r="U6329" i="2"/>
  <c r="N6329" i="2"/>
  <c r="M6329" i="2"/>
  <c r="J6329" i="2"/>
  <c r="I6329" i="2"/>
  <c r="H6329" i="2"/>
  <c r="G6329" i="2"/>
  <c r="F6329" i="2"/>
  <c r="E6329" i="2"/>
  <c r="D6329" i="2"/>
  <c r="C6329" i="2"/>
  <c r="B6329" i="2"/>
  <c r="A6329" i="2"/>
  <c r="U6328" i="2"/>
  <c r="N6328" i="2"/>
  <c r="M6328" i="2"/>
  <c r="J6328" i="2"/>
  <c r="I6328" i="2"/>
  <c r="H6328" i="2"/>
  <c r="G6328" i="2"/>
  <c r="F6328" i="2"/>
  <c r="E6328" i="2"/>
  <c r="D6328" i="2"/>
  <c r="C6328" i="2"/>
  <c r="B6328" i="2"/>
  <c r="A6328" i="2"/>
  <c r="U6327" i="2"/>
  <c r="N6327" i="2"/>
  <c r="M6327" i="2"/>
  <c r="J6327" i="2"/>
  <c r="I6327" i="2"/>
  <c r="H6327" i="2"/>
  <c r="G6327" i="2"/>
  <c r="F6327" i="2"/>
  <c r="E6327" i="2"/>
  <c r="D6327" i="2"/>
  <c r="C6327" i="2"/>
  <c r="B6327" i="2"/>
  <c r="A6327" i="2"/>
  <c r="U6326" i="2"/>
  <c r="N6326" i="2"/>
  <c r="M6326" i="2"/>
  <c r="J6326" i="2"/>
  <c r="I6326" i="2"/>
  <c r="H6326" i="2"/>
  <c r="G6326" i="2"/>
  <c r="F6326" i="2"/>
  <c r="E6326" i="2"/>
  <c r="D6326" i="2"/>
  <c r="C6326" i="2"/>
  <c r="B6326" i="2"/>
  <c r="A6326" i="2"/>
  <c r="U6325" i="2"/>
  <c r="N6325" i="2"/>
  <c r="M6325" i="2"/>
  <c r="J6325" i="2"/>
  <c r="I6325" i="2"/>
  <c r="H6325" i="2"/>
  <c r="G6325" i="2"/>
  <c r="F6325" i="2"/>
  <c r="E6325" i="2"/>
  <c r="D6325" i="2"/>
  <c r="C6325" i="2"/>
  <c r="B6325" i="2"/>
  <c r="A6325" i="2"/>
  <c r="U6324" i="2"/>
  <c r="N6324" i="2"/>
  <c r="M6324" i="2"/>
  <c r="J6324" i="2"/>
  <c r="I6324" i="2"/>
  <c r="H6324" i="2"/>
  <c r="G6324" i="2"/>
  <c r="F6324" i="2"/>
  <c r="E6324" i="2"/>
  <c r="D6324" i="2"/>
  <c r="C6324" i="2"/>
  <c r="B6324" i="2"/>
  <c r="A6324" i="2"/>
  <c r="U6323" i="2"/>
  <c r="N6323" i="2"/>
  <c r="M6323" i="2"/>
  <c r="J6323" i="2"/>
  <c r="I6323" i="2"/>
  <c r="H6323" i="2"/>
  <c r="G6323" i="2"/>
  <c r="F6323" i="2"/>
  <c r="E6323" i="2"/>
  <c r="D6323" i="2"/>
  <c r="C6323" i="2"/>
  <c r="B6323" i="2"/>
  <c r="A6323" i="2"/>
  <c r="U6322" i="2"/>
  <c r="N6322" i="2"/>
  <c r="M6322" i="2"/>
  <c r="J6322" i="2"/>
  <c r="I6322" i="2"/>
  <c r="H6322" i="2"/>
  <c r="G6322" i="2"/>
  <c r="F6322" i="2"/>
  <c r="E6322" i="2"/>
  <c r="D6322" i="2"/>
  <c r="C6322" i="2"/>
  <c r="B6322" i="2"/>
  <c r="A6322" i="2"/>
  <c r="U6321" i="2"/>
  <c r="N6321" i="2"/>
  <c r="M6321" i="2"/>
  <c r="J6321" i="2"/>
  <c r="I6321" i="2"/>
  <c r="H6321" i="2"/>
  <c r="G6321" i="2"/>
  <c r="F6321" i="2"/>
  <c r="E6321" i="2"/>
  <c r="D6321" i="2"/>
  <c r="C6321" i="2"/>
  <c r="B6321" i="2"/>
  <c r="A6321" i="2"/>
  <c r="U6320" i="2"/>
  <c r="N6320" i="2"/>
  <c r="M6320" i="2"/>
  <c r="J6320" i="2"/>
  <c r="I6320" i="2"/>
  <c r="H6320" i="2"/>
  <c r="G6320" i="2"/>
  <c r="F6320" i="2"/>
  <c r="E6320" i="2"/>
  <c r="D6320" i="2"/>
  <c r="C6320" i="2"/>
  <c r="B6320" i="2"/>
  <c r="A6320" i="2"/>
  <c r="U6319" i="2"/>
  <c r="N6319" i="2"/>
  <c r="M6319" i="2"/>
  <c r="J6319" i="2"/>
  <c r="I6319" i="2"/>
  <c r="H6319" i="2"/>
  <c r="G6319" i="2"/>
  <c r="F6319" i="2"/>
  <c r="E6319" i="2"/>
  <c r="D6319" i="2"/>
  <c r="C6319" i="2"/>
  <c r="B6319" i="2"/>
  <c r="A6319" i="2"/>
  <c r="U6318" i="2"/>
  <c r="N6318" i="2"/>
  <c r="M6318" i="2"/>
  <c r="J6318" i="2"/>
  <c r="I6318" i="2"/>
  <c r="H6318" i="2"/>
  <c r="G6318" i="2"/>
  <c r="F6318" i="2"/>
  <c r="E6318" i="2"/>
  <c r="D6318" i="2"/>
  <c r="C6318" i="2"/>
  <c r="B6318" i="2"/>
  <c r="A6318" i="2"/>
  <c r="U6317" i="2"/>
  <c r="N6317" i="2"/>
  <c r="M6317" i="2"/>
  <c r="J6317" i="2"/>
  <c r="I6317" i="2"/>
  <c r="H6317" i="2"/>
  <c r="G6317" i="2"/>
  <c r="F6317" i="2"/>
  <c r="E6317" i="2"/>
  <c r="D6317" i="2"/>
  <c r="C6317" i="2"/>
  <c r="B6317" i="2"/>
  <c r="A6317" i="2"/>
  <c r="U6316" i="2"/>
  <c r="N6316" i="2"/>
  <c r="M6316" i="2"/>
  <c r="J6316" i="2"/>
  <c r="I6316" i="2"/>
  <c r="H6316" i="2"/>
  <c r="G6316" i="2"/>
  <c r="F6316" i="2"/>
  <c r="E6316" i="2"/>
  <c r="D6316" i="2"/>
  <c r="C6316" i="2"/>
  <c r="B6316" i="2"/>
  <c r="A6316" i="2"/>
  <c r="U6315" i="2"/>
  <c r="N6315" i="2"/>
  <c r="M6315" i="2"/>
  <c r="J6315" i="2"/>
  <c r="I6315" i="2"/>
  <c r="H6315" i="2"/>
  <c r="G6315" i="2"/>
  <c r="F6315" i="2"/>
  <c r="E6315" i="2"/>
  <c r="D6315" i="2"/>
  <c r="C6315" i="2"/>
  <c r="B6315" i="2"/>
  <c r="A6315" i="2"/>
  <c r="U6314" i="2"/>
  <c r="N6314" i="2"/>
  <c r="M6314" i="2"/>
  <c r="J6314" i="2"/>
  <c r="I6314" i="2"/>
  <c r="H6314" i="2"/>
  <c r="G6314" i="2"/>
  <c r="F6314" i="2"/>
  <c r="E6314" i="2"/>
  <c r="D6314" i="2"/>
  <c r="C6314" i="2"/>
  <c r="B6314" i="2"/>
  <c r="A6314" i="2"/>
  <c r="U6313" i="2"/>
  <c r="N6313" i="2"/>
  <c r="M6313" i="2"/>
  <c r="J6313" i="2"/>
  <c r="I6313" i="2"/>
  <c r="H6313" i="2"/>
  <c r="G6313" i="2"/>
  <c r="F6313" i="2"/>
  <c r="E6313" i="2"/>
  <c r="D6313" i="2"/>
  <c r="C6313" i="2"/>
  <c r="B6313" i="2"/>
  <c r="A6313" i="2"/>
  <c r="U6312" i="2"/>
  <c r="N6312" i="2"/>
  <c r="M6312" i="2"/>
  <c r="J6312" i="2"/>
  <c r="I6312" i="2"/>
  <c r="H6312" i="2"/>
  <c r="G6312" i="2"/>
  <c r="F6312" i="2"/>
  <c r="E6312" i="2"/>
  <c r="D6312" i="2"/>
  <c r="C6312" i="2"/>
  <c r="B6312" i="2"/>
  <c r="A6312" i="2"/>
  <c r="U6311" i="2"/>
  <c r="N6311" i="2"/>
  <c r="M6311" i="2"/>
  <c r="J6311" i="2"/>
  <c r="I6311" i="2"/>
  <c r="H6311" i="2"/>
  <c r="G6311" i="2"/>
  <c r="F6311" i="2"/>
  <c r="E6311" i="2"/>
  <c r="D6311" i="2"/>
  <c r="C6311" i="2"/>
  <c r="B6311" i="2"/>
  <c r="A6311" i="2"/>
  <c r="U6310" i="2"/>
  <c r="N6310" i="2"/>
  <c r="M6310" i="2"/>
  <c r="J6310" i="2"/>
  <c r="I6310" i="2"/>
  <c r="H6310" i="2"/>
  <c r="G6310" i="2"/>
  <c r="F6310" i="2"/>
  <c r="E6310" i="2"/>
  <c r="D6310" i="2"/>
  <c r="C6310" i="2"/>
  <c r="B6310" i="2"/>
  <c r="A6310" i="2"/>
  <c r="U6309" i="2"/>
  <c r="N6309" i="2"/>
  <c r="M6309" i="2"/>
  <c r="J6309" i="2"/>
  <c r="I6309" i="2"/>
  <c r="H6309" i="2"/>
  <c r="G6309" i="2"/>
  <c r="F6309" i="2"/>
  <c r="E6309" i="2"/>
  <c r="D6309" i="2"/>
  <c r="C6309" i="2"/>
  <c r="B6309" i="2"/>
  <c r="A6309" i="2"/>
  <c r="U6308" i="2"/>
  <c r="N6308" i="2"/>
  <c r="M6308" i="2"/>
  <c r="J6308" i="2"/>
  <c r="I6308" i="2"/>
  <c r="H6308" i="2"/>
  <c r="G6308" i="2"/>
  <c r="F6308" i="2"/>
  <c r="E6308" i="2"/>
  <c r="D6308" i="2"/>
  <c r="C6308" i="2"/>
  <c r="B6308" i="2"/>
  <c r="A6308" i="2"/>
  <c r="U6307" i="2"/>
  <c r="N6307" i="2"/>
  <c r="M6307" i="2"/>
  <c r="J6307" i="2"/>
  <c r="I6307" i="2"/>
  <c r="H6307" i="2"/>
  <c r="G6307" i="2"/>
  <c r="F6307" i="2"/>
  <c r="E6307" i="2"/>
  <c r="D6307" i="2"/>
  <c r="C6307" i="2"/>
  <c r="B6307" i="2"/>
  <c r="A6307" i="2"/>
  <c r="U6306" i="2"/>
  <c r="N6306" i="2"/>
  <c r="M6306" i="2"/>
  <c r="J6306" i="2"/>
  <c r="I6306" i="2"/>
  <c r="H6306" i="2"/>
  <c r="G6306" i="2"/>
  <c r="F6306" i="2"/>
  <c r="E6306" i="2"/>
  <c r="D6306" i="2"/>
  <c r="C6306" i="2"/>
  <c r="B6306" i="2"/>
  <c r="A6306" i="2"/>
  <c r="U6305" i="2"/>
  <c r="N6305" i="2"/>
  <c r="M6305" i="2"/>
  <c r="J6305" i="2"/>
  <c r="I6305" i="2"/>
  <c r="H6305" i="2"/>
  <c r="G6305" i="2"/>
  <c r="F6305" i="2"/>
  <c r="E6305" i="2"/>
  <c r="D6305" i="2"/>
  <c r="C6305" i="2"/>
  <c r="B6305" i="2"/>
  <c r="A6305" i="2"/>
  <c r="U6304" i="2"/>
  <c r="N6304" i="2"/>
  <c r="M6304" i="2"/>
  <c r="J6304" i="2"/>
  <c r="I6304" i="2"/>
  <c r="H6304" i="2"/>
  <c r="G6304" i="2"/>
  <c r="F6304" i="2"/>
  <c r="E6304" i="2"/>
  <c r="D6304" i="2"/>
  <c r="C6304" i="2"/>
  <c r="B6304" i="2"/>
  <c r="A6304" i="2"/>
  <c r="U6303" i="2"/>
  <c r="N6303" i="2"/>
  <c r="M6303" i="2"/>
  <c r="J6303" i="2"/>
  <c r="I6303" i="2"/>
  <c r="H6303" i="2"/>
  <c r="G6303" i="2"/>
  <c r="F6303" i="2"/>
  <c r="E6303" i="2"/>
  <c r="D6303" i="2"/>
  <c r="C6303" i="2"/>
  <c r="B6303" i="2"/>
  <c r="A6303" i="2"/>
  <c r="U6302" i="2"/>
  <c r="N6302" i="2"/>
  <c r="M6302" i="2"/>
  <c r="J6302" i="2"/>
  <c r="I6302" i="2"/>
  <c r="H6302" i="2"/>
  <c r="G6302" i="2"/>
  <c r="F6302" i="2"/>
  <c r="E6302" i="2"/>
  <c r="D6302" i="2"/>
  <c r="C6302" i="2"/>
  <c r="B6302" i="2"/>
  <c r="A6302" i="2"/>
  <c r="U6301" i="2"/>
  <c r="N6301" i="2"/>
  <c r="M6301" i="2"/>
  <c r="J6301" i="2"/>
  <c r="I6301" i="2"/>
  <c r="H6301" i="2"/>
  <c r="G6301" i="2"/>
  <c r="F6301" i="2"/>
  <c r="E6301" i="2"/>
  <c r="D6301" i="2"/>
  <c r="C6301" i="2"/>
  <c r="B6301" i="2"/>
  <c r="A6301" i="2"/>
  <c r="U6300" i="2"/>
  <c r="N6300" i="2"/>
  <c r="M6300" i="2"/>
  <c r="J6300" i="2"/>
  <c r="I6300" i="2"/>
  <c r="H6300" i="2"/>
  <c r="G6300" i="2"/>
  <c r="F6300" i="2"/>
  <c r="E6300" i="2"/>
  <c r="D6300" i="2"/>
  <c r="C6300" i="2"/>
  <c r="B6300" i="2"/>
  <c r="A6300" i="2"/>
  <c r="U6299" i="2"/>
  <c r="N6299" i="2"/>
  <c r="M6299" i="2"/>
  <c r="J6299" i="2"/>
  <c r="I6299" i="2"/>
  <c r="H6299" i="2"/>
  <c r="G6299" i="2"/>
  <c r="F6299" i="2"/>
  <c r="E6299" i="2"/>
  <c r="D6299" i="2"/>
  <c r="C6299" i="2"/>
  <c r="B6299" i="2"/>
  <c r="A6299" i="2"/>
  <c r="Q6298" i="2"/>
  <c r="U6298" i="2" s="1"/>
  <c r="N6298" i="2"/>
  <c r="M6298" i="2"/>
  <c r="J6298" i="2"/>
  <c r="I6298" i="2"/>
  <c r="H6298" i="2"/>
  <c r="G6298" i="2"/>
  <c r="F6298" i="2"/>
  <c r="E6298" i="2"/>
  <c r="D6298" i="2"/>
  <c r="C6298" i="2"/>
  <c r="B6298" i="2"/>
  <c r="A6298" i="2"/>
  <c r="Q6297" i="2"/>
  <c r="U6297" i="2" s="1"/>
  <c r="N6297" i="2"/>
  <c r="M6297" i="2"/>
  <c r="J6297" i="2"/>
  <c r="I6297" i="2"/>
  <c r="H6297" i="2"/>
  <c r="G6297" i="2"/>
  <c r="F6297" i="2"/>
  <c r="E6297" i="2"/>
  <c r="D6297" i="2"/>
  <c r="C6297" i="2"/>
  <c r="B6297" i="2"/>
  <c r="A6297" i="2"/>
  <c r="U6296" i="2"/>
  <c r="N6296" i="2"/>
  <c r="M6296" i="2"/>
  <c r="J6296" i="2"/>
  <c r="I6296" i="2"/>
  <c r="H6296" i="2"/>
  <c r="G6296" i="2"/>
  <c r="F6296" i="2"/>
  <c r="E6296" i="2"/>
  <c r="D6296" i="2"/>
  <c r="C6296" i="2"/>
  <c r="B6296" i="2"/>
  <c r="A6296" i="2"/>
  <c r="U6295" i="2"/>
  <c r="N6295" i="2"/>
  <c r="M6295" i="2"/>
  <c r="J6295" i="2"/>
  <c r="I6295" i="2"/>
  <c r="H6295" i="2"/>
  <c r="G6295" i="2"/>
  <c r="F6295" i="2"/>
  <c r="E6295" i="2"/>
  <c r="D6295" i="2"/>
  <c r="C6295" i="2"/>
  <c r="B6295" i="2"/>
  <c r="A6295" i="2"/>
  <c r="U6294" i="2"/>
  <c r="N6294" i="2"/>
  <c r="M6294" i="2"/>
  <c r="J6294" i="2"/>
  <c r="I6294" i="2"/>
  <c r="H6294" i="2"/>
  <c r="G6294" i="2"/>
  <c r="F6294" i="2"/>
  <c r="E6294" i="2"/>
  <c r="D6294" i="2"/>
  <c r="C6294" i="2"/>
  <c r="B6294" i="2"/>
  <c r="A6294" i="2"/>
  <c r="U6293" i="2"/>
  <c r="N6293" i="2"/>
  <c r="M6293" i="2"/>
  <c r="J6293" i="2"/>
  <c r="I6293" i="2"/>
  <c r="H6293" i="2"/>
  <c r="G6293" i="2"/>
  <c r="F6293" i="2"/>
  <c r="E6293" i="2"/>
  <c r="D6293" i="2"/>
  <c r="C6293" i="2"/>
  <c r="B6293" i="2"/>
  <c r="A6293" i="2"/>
  <c r="U6292" i="2"/>
  <c r="N6292" i="2"/>
  <c r="M6292" i="2"/>
  <c r="J6292" i="2"/>
  <c r="I6292" i="2"/>
  <c r="H6292" i="2"/>
  <c r="G6292" i="2"/>
  <c r="F6292" i="2"/>
  <c r="E6292" i="2"/>
  <c r="D6292" i="2"/>
  <c r="C6292" i="2"/>
  <c r="B6292" i="2"/>
  <c r="A6292" i="2"/>
  <c r="U6291" i="2"/>
  <c r="N6291" i="2"/>
  <c r="M6291" i="2"/>
  <c r="J6291" i="2"/>
  <c r="I6291" i="2"/>
  <c r="H6291" i="2"/>
  <c r="G6291" i="2"/>
  <c r="F6291" i="2"/>
  <c r="E6291" i="2"/>
  <c r="D6291" i="2"/>
  <c r="C6291" i="2"/>
  <c r="B6291" i="2"/>
  <c r="A6291" i="2"/>
  <c r="U6290" i="2"/>
  <c r="N6290" i="2"/>
  <c r="M6290" i="2"/>
  <c r="J6290" i="2"/>
  <c r="I6290" i="2"/>
  <c r="H6290" i="2"/>
  <c r="G6290" i="2"/>
  <c r="F6290" i="2"/>
  <c r="E6290" i="2"/>
  <c r="D6290" i="2"/>
  <c r="C6290" i="2"/>
  <c r="B6290" i="2"/>
  <c r="A6290" i="2"/>
  <c r="U6289" i="2"/>
  <c r="N6289" i="2"/>
  <c r="M6289" i="2"/>
  <c r="J6289" i="2"/>
  <c r="I6289" i="2"/>
  <c r="H6289" i="2"/>
  <c r="G6289" i="2"/>
  <c r="F6289" i="2"/>
  <c r="E6289" i="2"/>
  <c r="D6289" i="2"/>
  <c r="C6289" i="2"/>
  <c r="B6289" i="2"/>
  <c r="A6289" i="2"/>
  <c r="U6288" i="2"/>
  <c r="N6288" i="2"/>
  <c r="M6288" i="2"/>
  <c r="J6288" i="2"/>
  <c r="I6288" i="2"/>
  <c r="H6288" i="2"/>
  <c r="G6288" i="2"/>
  <c r="F6288" i="2"/>
  <c r="E6288" i="2"/>
  <c r="D6288" i="2"/>
  <c r="C6288" i="2"/>
  <c r="B6288" i="2"/>
  <c r="A6288" i="2"/>
  <c r="U6287" i="2"/>
  <c r="N6287" i="2"/>
  <c r="M6287" i="2"/>
  <c r="J6287" i="2"/>
  <c r="I6287" i="2"/>
  <c r="H6287" i="2"/>
  <c r="G6287" i="2"/>
  <c r="F6287" i="2"/>
  <c r="E6287" i="2"/>
  <c r="D6287" i="2"/>
  <c r="C6287" i="2"/>
  <c r="B6287" i="2"/>
  <c r="A6287" i="2"/>
  <c r="U6286" i="2"/>
  <c r="N6286" i="2"/>
  <c r="M6286" i="2"/>
  <c r="J6286" i="2"/>
  <c r="I6286" i="2"/>
  <c r="H6286" i="2"/>
  <c r="G6286" i="2"/>
  <c r="F6286" i="2"/>
  <c r="E6286" i="2"/>
  <c r="D6286" i="2"/>
  <c r="C6286" i="2"/>
  <c r="B6286" i="2"/>
  <c r="A6286" i="2"/>
  <c r="U6285" i="2"/>
  <c r="N6285" i="2"/>
  <c r="M6285" i="2"/>
  <c r="J6285" i="2"/>
  <c r="I6285" i="2"/>
  <c r="H6285" i="2"/>
  <c r="G6285" i="2"/>
  <c r="F6285" i="2"/>
  <c r="E6285" i="2"/>
  <c r="D6285" i="2"/>
  <c r="C6285" i="2"/>
  <c r="B6285" i="2"/>
  <c r="A6285" i="2"/>
  <c r="U6284" i="2"/>
  <c r="N6284" i="2"/>
  <c r="M6284" i="2"/>
  <c r="J6284" i="2"/>
  <c r="I6284" i="2"/>
  <c r="H6284" i="2"/>
  <c r="G6284" i="2"/>
  <c r="F6284" i="2"/>
  <c r="E6284" i="2"/>
  <c r="D6284" i="2"/>
  <c r="C6284" i="2"/>
  <c r="B6284" i="2"/>
  <c r="A6284" i="2"/>
  <c r="U6283" i="2"/>
  <c r="N6283" i="2"/>
  <c r="M6283" i="2"/>
  <c r="J6283" i="2"/>
  <c r="I6283" i="2"/>
  <c r="H6283" i="2"/>
  <c r="G6283" i="2"/>
  <c r="F6283" i="2"/>
  <c r="E6283" i="2"/>
  <c r="D6283" i="2"/>
  <c r="C6283" i="2"/>
  <c r="B6283" i="2"/>
  <c r="A6283" i="2"/>
  <c r="U6282" i="2"/>
  <c r="N6282" i="2"/>
  <c r="M6282" i="2"/>
  <c r="J6282" i="2"/>
  <c r="I6282" i="2"/>
  <c r="H6282" i="2"/>
  <c r="G6282" i="2"/>
  <c r="F6282" i="2"/>
  <c r="E6282" i="2"/>
  <c r="D6282" i="2"/>
  <c r="C6282" i="2"/>
  <c r="B6282" i="2"/>
  <c r="A6282" i="2"/>
  <c r="U6281" i="2"/>
  <c r="N6281" i="2"/>
  <c r="M6281" i="2"/>
  <c r="J6281" i="2"/>
  <c r="I6281" i="2"/>
  <c r="H6281" i="2"/>
  <c r="G6281" i="2"/>
  <c r="F6281" i="2"/>
  <c r="E6281" i="2"/>
  <c r="D6281" i="2"/>
  <c r="C6281" i="2"/>
  <c r="B6281" i="2"/>
  <c r="A6281" i="2"/>
  <c r="U6280" i="2"/>
  <c r="N6280" i="2"/>
  <c r="M6280" i="2"/>
  <c r="J6280" i="2"/>
  <c r="I6280" i="2"/>
  <c r="H6280" i="2"/>
  <c r="G6280" i="2"/>
  <c r="F6280" i="2"/>
  <c r="E6280" i="2"/>
  <c r="D6280" i="2"/>
  <c r="C6280" i="2"/>
  <c r="B6280" i="2"/>
  <c r="A6280" i="2"/>
  <c r="U6279" i="2"/>
  <c r="N6279" i="2"/>
  <c r="M6279" i="2"/>
  <c r="J6279" i="2"/>
  <c r="I6279" i="2"/>
  <c r="H6279" i="2"/>
  <c r="G6279" i="2"/>
  <c r="F6279" i="2"/>
  <c r="E6279" i="2"/>
  <c r="D6279" i="2"/>
  <c r="C6279" i="2"/>
  <c r="B6279" i="2"/>
  <c r="A6279" i="2"/>
  <c r="U6278" i="2"/>
  <c r="N6278" i="2"/>
  <c r="M6278" i="2"/>
  <c r="J6278" i="2"/>
  <c r="I6278" i="2"/>
  <c r="H6278" i="2"/>
  <c r="G6278" i="2"/>
  <c r="F6278" i="2"/>
  <c r="E6278" i="2"/>
  <c r="D6278" i="2"/>
  <c r="C6278" i="2"/>
  <c r="B6278" i="2"/>
  <c r="A6278" i="2"/>
  <c r="U6277" i="2"/>
  <c r="N6277" i="2"/>
  <c r="M6277" i="2"/>
  <c r="J6277" i="2"/>
  <c r="I6277" i="2"/>
  <c r="H6277" i="2"/>
  <c r="G6277" i="2"/>
  <c r="F6277" i="2"/>
  <c r="E6277" i="2"/>
  <c r="D6277" i="2"/>
  <c r="C6277" i="2"/>
  <c r="B6277" i="2"/>
  <c r="A6277" i="2"/>
  <c r="U6276" i="2"/>
  <c r="N6276" i="2"/>
  <c r="M6276" i="2"/>
  <c r="J6276" i="2"/>
  <c r="I6276" i="2"/>
  <c r="H6276" i="2"/>
  <c r="G6276" i="2"/>
  <c r="F6276" i="2"/>
  <c r="E6276" i="2"/>
  <c r="D6276" i="2"/>
  <c r="C6276" i="2"/>
  <c r="B6276" i="2"/>
  <c r="A6276" i="2"/>
  <c r="U6275" i="2"/>
  <c r="N6275" i="2"/>
  <c r="M6275" i="2"/>
  <c r="J6275" i="2"/>
  <c r="I6275" i="2"/>
  <c r="H6275" i="2"/>
  <c r="G6275" i="2"/>
  <c r="F6275" i="2"/>
  <c r="E6275" i="2"/>
  <c r="D6275" i="2"/>
  <c r="C6275" i="2"/>
  <c r="B6275" i="2"/>
  <c r="A6275" i="2"/>
  <c r="U6274" i="2"/>
  <c r="N6274" i="2"/>
  <c r="M6274" i="2"/>
  <c r="J6274" i="2"/>
  <c r="I6274" i="2"/>
  <c r="H6274" i="2"/>
  <c r="G6274" i="2"/>
  <c r="F6274" i="2"/>
  <c r="E6274" i="2"/>
  <c r="D6274" i="2"/>
  <c r="C6274" i="2"/>
  <c r="B6274" i="2"/>
  <c r="A6274" i="2"/>
  <c r="U6273" i="2"/>
  <c r="N6273" i="2"/>
  <c r="M6273" i="2"/>
  <c r="J6273" i="2"/>
  <c r="I6273" i="2"/>
  <c r="H6273" i="2"/>
  <c r="G6273" i="2"/>
  <c r="F6273" i="2"/>
  <c r="E6273" i="2"/>
  <c r="D6273" i="2"/>
  <c r="C6273" i="2"/>
  <c r="B6273" i="2"/>
  <c r="A6273" i="2"/>
  <c r="U6272" i="2"/>
  <c r="N6272" i="2"/>
  <c r="M6272" i="2"/>
  <c r="J6272" i="2"/>
  <c r="I6272" i="2"/>
  <c r="H6272" i="2"/>
  <c r="G6272" i="2"/>
  <c r="F6272" i="2"/>
  <c r="E6272" i="2"/>
  <c r="D6272" i="2"/>
  <c r="C6272" i="2"/>
  <c r="B6272" i="2"/>
  <c r="A6272" i="2"/>
  <c r="U6271" i="2"/>
  <c r="N6271" i="2"/>
  <c r="M6271" i="2"/>
  <c r="J6271" i="2"/>
  <c r="I6271" i="2"/>
  <c r="H6271" i="2"/>
  <c r="G6271" i="2"/>
  <c r="F6271" i="2"/>
  <c r="E6271" i="2"/>
  <c r="D6271" i="2"/>
  <c r="C6271" i="2"/>
  <c r="B6271" i="2"/>
  <c r="A6271" i="2"/>
  <c r="U6270" i="2"/>
  <c r="N6270" i="2"/>
  <c r="M6270" i="2"/>
  <c r="J6270" i="2"/>
  <c r="I6270" i="2"/>
  <c r="H6270" i="2"/>
  <c r="G6270" i="2"/>
  <c r="F6270" i="2"/>
  <c r="E6270" i="2"/>
  <c r="D6270" i="2"/>
  <c r="C6270" i="2"/>
  <c r="B6270" i="2"/>
  <c r="A6270" i="2"/>
  <c r="U6269" i="2"/>
  <c r="N6269" i="2"/>
  <c r="M6269" i="2"/>
  <c r="J6269" i="2"/>
  <c r="I6269" i="2"/>
  <c r="H6269" i="2"/>
  <c r="G6269" i="2"/>
  <c r="F6269" i="2"/>
  <c r="E6269" i="2"/>
  <c r="D6269" i="2"/>
  <c r="C6269" i="2"/>
  <c r="B6269" i="2"/>
  <c r="A6269" i="2"/>
  <c r="U6268" i="2"/>
  <c r="N6268" i="2"/>
  <c r="M6268" i="2"/>
  <c r="J6268" i="2"/>
  <c r="I6268" i="2"/>
  <c r="H6268" i="2"/>
  <c r="G6268" i="2"/>
  <c r="F6268" i="2"/>
  <c r="E6268" i="2"/>
  <c r="D6268" i="2"/>
  <c r="C6268" i="2"/>
  <c r="B6268" i="2"/>
  <c r="A6268" i="2"/>
  <c r="U6267" i="2"/>
  <c r="N6267" i="2"/>
  <c r="M6267" i="2"/>
  <c r="J6267" i="2"/>
  <c r="I6267" i="2"/>
  <c r="H6267" i="2"/>
  <c r="G6267" i="2"/>
  <c r="F6267" i="2"/>
  <c r="E6267" i="2"/>
  <c r="D6267" i="2"/>
  <c r="C6267" i="2"/>
  <c r="B6267" i="2"/>
  <c r="A6267" i="2"/>
  <c r="U6266" i="2"/>
  <c r="N6266" i="2"/>
  <c r="M6266" i="2"/>
  <c r="J6266" i="2"/>
  <c r="I6266" i="2"/>
  <c r="H6266" i="2"/>
  <c r="G6266" i="2"/>
  <c r="F6266" i="2"/>
  <c r="E6266" i="2"/>
  <c r="D6266" i="2"/>
  <c r="C6266" i="2"/>
  <c r="B6266" i="2"/>
  <c r="A6266" i="2"/>
  <c r="U6265" i="2"/>
  <c r="N6265" i="2"/>
  <c r="M6265" i="2"/>
  <c r="J6265" i="2"/>
  <c r="I6265" i="2"/>
  <c r="H6265" i="2"/>
  <c r="G6265" i="2"/>
  <c r="F6265" i="2"/>
  <c r="E6265" i="2"/>
  <c r="D6265" i="2"/>
  <c r="C6265" i="2"/>
  <c r="B6265" i="2"/>
  <c r="A6265" i="2"/>
  <c r="U6264" i="2"/>
  <c r="N6264" i="2"/>
  <c r="M6264" i="2"/>
  <c r="J6264" i="2"/>
  <c r="I6264" i="2"/>
  <c r="H6264" i="2"/>
  <c r="G6264" i="2"/>
  <c r="F6264" i="2"/>
  <c r="E6264" i="2"/>
  <c r="D6264" i="2"/>
  <c r="C6264" i="2"/>
  <c r="B6264" i="2"/>
  <c r="A6264" i="2"/>
  <c r="U6263" i="2"/>
  <c r="N6263" i="2"/>
  <c r="M6263" i="2"/>
  <c r="J6263" i="2"/>
  <c r="I6263" i="2"/>
  <c r="H6263" i="2"/>
  <c r="G6263" i="2"/>
  <c r="F6263" i="2"/>
  <c r="E6263" i="2"/>
  <c r="D6263" i="2"/>
  <c r="C6263" i="2"/>
  <c r="B6263" i="2"/>
  <c r="A6263" i="2"/>
  <c r="U6262" i="2"/>
  <c r="N6262" i="2"/>
  <c r="M6262" i="2"/>
  <c r="J6262" i="2"/>
  <c r="I6262" i="2"/>
  <c r="H6262" i="2"/>
  <c r="G6262" i="2"/>
  <c r="F6262" i="2"/>
  <c r="E6262" i="2"/>
  <c r="D6262" i="2"/>
  <c r="C6262" i="2"/>
  <c r="B6262" i="2"/>
  <c r="A6262" i="2"/>
  <c r="U6261" i="2"/>
  <c r="N6261" i="2"/>
  <c r="M6261" i="2"/>
  <c r="J6261" i="2"/>
  <c r="I6261" i="2"/>
  <c r="H6261" i="2"/>
  <c r="G6261" i="2"/>
  <c r="F6261" i="2"/>
  <c r="E6261" i="2"/>
  <c r="D6261" i="2"/>
  <c r="C6261" i="2"/>
  <c r="B6261" i="2"/>
  <c r="A6261" i="2"/>
  <c r="U6260" i="2"/>
  <c r="N6260" i="2"/>
  <c r="M6260" i="2"/>
  <c r="J6260" i="2"/>
  <c r="I6260" i="2"/>
  <c r="H6260" i="2"/>
  <c r="G6260" i="2"/>
  <c r="F6260" i="2"/>
  <c r="E6260" i="2"/>
  <c r="D6260" i="2"/>
  <c r="C6260" i="2"/>
  <c r="B6260" i="2"/>
  <c r="A6260" i="2"/>
  <c r="U6259" i="2"/>
  <c r="N6259" i="2"/>
  <c r="M6259" i="2"/>
  <c r="J6259" i="2"/>
  <c r="I6259" i="2"/>
  <c r="H6259" i="2"/>
  <c r="G6259" i="2"/>
  <c r="F6259" i="2"/>
  <c r="E6259" i="2"/>
  <c r="D6259" i="2"/>
  <c r="C6259" i="2"/>
  <c r="B6259" i="2"/>
  <c r="A6259" i="2"/>
  <c r="U6258" i="2"/>
  <c r="N6258" i="2"/>
  <c r="M6258" i="2"/>
  <c r="J6258" i="2"/>
  <c r="I6258" i="2"/>
  <c r="H6258" i="2"/>
  <c r="G6258" i="2"/>
  <c r="F6258" i="2"/>
  <c r="E6258" i="2"/>
  <c r="D6258" i="2"/>
  <c r="C6258" i="2"/>
  <c r="B6258" i="2"/>
  <c r="A6258" i="2"/>
  <c r="Q6257" i="2"/>
  <c r="U6257" i="2" s="1"/>
  <c r="N6257" i="2"/>
  <c r="M6257" i="2"/>
  <c r="J6257" i="2"/>
  <c r="I6257" i="2"/>
  <c r="H6257" i="2"/>
  <c r="G6257" i="2"/>
  <c r="F6257" i="2"/>
  <c r="E6257" i="2"/>
  <c r="D6257" i="2"/>
  <c r="C6257" i="2"/>
  <c r="B6257" i="2"/>
  <c r="A6257" i="2"/>
  <c r="U6256" i="2"/>
  <c r="N6256" i="2"/>
  <c r="M6256" i="2"/>
  <c r="J6256" i="2"/>
  <c r="I6256" i="2"/>
  <c r="H6256" i="2"/>
  <c r="G6256" i="2"/>
  <c r="F6256" i="2"/>
  <c r="E6256" i="2"/>
  <c r="D6256" i="2"/>
  <c r="C6256" i="2"/>
  <c r="B6256" i="2"/>
  <c r="A6256" i="2"/>
  <c r="U6255" i="2"/>
  <c r="N6255" i="2"/>
  <c r="M6255" i="2"/>
  <c r="J6255" i="2"/>
  <c r="I6255" i="2"/>
  <c r="H6255" i="2"/>
  <c r="G6255" i="2"/>
  <c r="F6255" i="2"/>
  <c r="E6255" i="2"/>
  <c r="D6255" i="2"/>
  <c r="C6255" i="2"/>
  <c r="B6255" i="2"/>
  <c r="A6255" i="2"/>
  <c r="U6254" i="2"/>
  <c r="N6254" i="2"/>
  <c r="M6254" i="2"/>
  <c r="J6254" i="2"/>
  <c r="I6254" i="2"/>
  <c r="H6254" i="2"/>
  <c r="G6254" i="2"/>
  <c r="F6254" i="2"/>
  <c r="E6254" i="2"/>
  <c r="D6254" i="2"/>
  <c r="C6254" i="2"/>
  <c r="B6254" i="2"/>
  <c r="A6254" i="2"/>
  <c r="U6253" i="2"/>
  <c r="N6253" i="2"/>
  <c r="M6253" i="2"/>
  <c r="J6253" i="2"/>
  <c r="I6253" i="2"/>
  <c r="H6253" i="2"/>
  <c r="G6253" i="2"/>
  <c r="F6253" i="2"/>
  <c r="E6253" i="2"/>
  <c r="D6253" i="2"/>
  <c r="C6253" i="2"/>
  <c r="B6253" i="2"/>
  <c r="A6253" i="2"/>
  <c r="U6252" i="2"/>
  <c r="N6252" i="2"/>
  <c r="M6252" i="2"/>
  <c r="J6252" i="2"/>
  <c r="I6252" i="2"/>
  <c r="H6252" i="2"/>
  <c r="G6252" i="2"/>
  <c r="F6252" i="2"/>
  <c r="E6252" i="2"/>
  <c r="D6252" i="2"/>
  <c r="C6252" i="2"/>
  <c r="B6252" i="2"/>
  <c r="A6252" i="2"/>
  <c r="U6251" i="2"/>
  <c r="N6251" i="2"/>
  <c r="M6251" i="2"/>
  <c r="J6251" i="2"/>
  <c r="I6251" i="2"/>
  <c r="H6251" i="2"/>
  <c r="G6251" i="2"/>
  <c r="F6251" i="2"/>
  <c r="E6251" i="2"/>
  <c r="D6251" i="2"/>
  <c r="C6251" i="2"/>
  <c r="B6251" i="2"/>
  <c r="A6251" i="2"/>
  <c r="U6250" i="2"/>
  <c r="N6250" i="2"/>
  <c r="M6250" i="2"/>
  <c r="J6250" i="2"/>
  <c r="I6250" i="2"/>
  <c r="H6250" i="2"/>
  <c r="G6250" i="2"/>
  <c r="F6250" i="2"/>
  <c r="E6250" i="2"/>
  <c r="D6250" i="2"/>
  <c r="C6250" i="2"/>
  <c r="B6250" i="2"/>
  <c r="A6250" i="2"/>
  <c r="U6249" i="2"/>
  <c r="N6249" i="2"/>
  <c r="M6249" i="2"/>
  <c r="J6249" i="2"/>
  <c r="I6249" i="2"/>
  <c r="H6249" i="2"/>
  <c r="G6249" i="2"/>
  <c r="F6249" i="2"/>
  <c r="E6249" i="2"/>
  <c r="D6249" i="2"/>
  <c r="C6249" i="2"/>
  <c r="B6249" i="2"/>
  <c r="A6249" i="2"/>
  <c r="U6248" i="2"/>
  <c r="N6248" i="2"/>
  <c r="M6248" i="2"/>
  <c r="J6248" i="2"/>
  <c r="I6248" i="2"/>
  <c r="H6248" i="2"/>
  <c r="G6248" i="2"/>
  <c r="F6248" i="2"/>
  <c r="E6248" i="2"/>
  <c r="D6248" i="2"/>
  <c r="C6248" i="2"/>
  <c r="B6248" i="2"/>
  <c r="A6248" i="2"/>
  <c r="U6247" i="2"/>
  <c r="N6247" i="2"/>
  <c r="M6247" i="2"/>
  <c r="J6247" i="2"/>
  <c r="I6247" i="2"/>
  <c r="H6247" i="2"/>
  <c r="G6247" i="2"/>
  <c r="F6247" i="2"/>
  <c r="E6247" i="2"/>
  <c r="D6247" i="2"/>
  <c r="C6247" i="2"/>
  <c r="B6247" i="2"/>
  <c r="A6247" i="2"/>
  <c r="U6246" i="2"/>
  <c r="N6246" i="2"/>
  <c r="M6246" i="2"/>
  <c r="J6246" i="2"/>
  <c r="I6246" i="2"/>
  <c r="H6246" i="2"/>
  <c r="G6246" i="2"/>
  <c r="F6246" i="2"/>
  <c r="E6246" i="2"/>
  <c r="D6246" i="2"/>
  <c r="C6246" i="2"/>
  <c r="B6246" i="2"/>
  <c r="A6246" i="2"/>
  <c r="U6245" i="2"/>
  <c r="N6245" i="2"/>
  <c r="M6245" i="2"/>
  <c r="J6245" i="2"/>
  <c r="I6245" i="2"/>
  <c r="H6245" i="2"/>
  <c r="G6245" i="2"/>
  <c r="F6245" i="2"/>
  <c r="E6245" i="2"/>
  <c r="D6245" i="2"/>
  <c r="C6245" i="2"/>
  <c r="B6245" i="2"/>
  <c r="A6245" i="2"/>
  <c r="U6244" i="2"/>
  <c r="N6244" i="2"/>
  <c r="M6244" i="2"/>
  <c r="J6244" i="2"/>
  <c r="I6244" i="2"/>
  <c r="H6244" i="2"/>
  <c r="G6244" i="2"/>
  <c r="F6244" i="2"/>
  <c r="E6244" i="2"/>
  <c r="D6244" i="2"/>
  <c r="C6244" i="2"/>
  <c r="B6244" i="2"/>
  <c r="A6244" i="2"/>
  <c r="U6243" i="2"/>
  <c r="N6243" i="2"/>
  <c r="M6243" i="2"/>
  <c r="J6243" i="2"/>
  <c r="I6243" i="2"/>
  <c r="H6243" i="2"/>
  <c r="G6243" i="2"/>
  <c r="F6243" i="2"/>
  <c r="E6243" i="2"/>
  <c r="D6243" i="2"/>
  <c r="C6243" i="2"/>
  <c r="B6243" i="2"/>
  <c r="A6243" i="2"/>
  <c r="U6242" i="2"/>
  <c r="N6242" i="2"/>
  <c r="M6242" i="2"/>
  <c r="J6242" i="2"/>
  <c r="I6242" i="2"/>
  <c r="H6242" i="2"/>
  <c r="G6242" i="2"/>
  <c r="F6242" i="2"/>
  <c r="E6242" i="2"/>
  <c r="D6242" i="2"/>
  <c r="C6242" i="2"/>
  <c r="B6242" i="2"/>
  <c r="A6242" i="2"/>
  <c r="U6241" i="2"/>
  <c r="N6241" i="2"/>
  <c r="M6241" i="2"/>
  <c r="J6241" i="2"/>
  <c r="I6241" i="2"/>
  <c r="H6241" i="2"/>
  <c r="G6241" i="2"/>
  <c r="F6241" i="2"/>
  <c r="E6241" i="2"/>
  <c r="D6241" i="2"/>
  <c r="C6241" i="2"/>
  <c r="B6241" i="2"/>
  <c r="A6241" i="2"/>
  <c r="U6240" i="2"/>
  <c r="N6240" i="2"/>
  <c r="M6240" i="2"/>
  <c r="J6240" i="2"/>
  <c r="I6240" i="2"/>
  <c r="H6240" i="2"/>
  <c r="G6240" i="2"/>
  <c r="F6240" i="2"/>
  <c r="E6240" i="2"/>
  <c r="D6240" i="2"/>
  <c r="C6240" i="2"/>
  <c r="B6240" i="2"/>
  <c r="A6240" i="2"/>
  <c r="U6239" i="2"/>
  <c r="N6239" i="2"/>
  <c r="M6239" i="2"/>
  <c r="J6239" i="2"/>
  <c r="I6239" i="2"/>
  <c r="H6239" i="2"/>
  <c r="G6239" i="2"/>
  <c r="F6239" i="2"/>
  <c r="E6239" i="2"/>
  <c r="D6239" i="2"/>
  <c r="C6239" i="2"/>
  <c r="B6239" i="2"/>
  <c r="A6239" i="2"/>
  <c r="U6238" i="2"/>
  <c r="N6238" i="2"/>
  <c r="M6238" i="2"/>
  <c r="J6238" i="2"/>
  <c r="I6238" i="2"/>
  <c r="H6238" i="2"/>
  <c r="G6238" i="2"/>
  <c r="F6238" i="2"/>
  <c r="E6238" i="2"/>
  <c r="D6238" i="2"/>
  <c r="C6238" i="2"/>
  <c r="B6238" i="2"/>
  <c r="A6238" i="2"/>
  <c r="U6237" i="2"/>
  <c r="N6237" i="2"/>
  <c r="M6237" i="2"/>
  <c r="J6237" i="2"/>
  <c r="I6237" i="2"/>
  <c r="H6237" i="2"/>
  <c r="G6237" i="2"/>
  <c r="F6237" i="2"/>
  <c r="E6237" i="2"/>
  <c r="D6237" i="2"/>
  <c r="C6237" i="2"/>
  <c r="B6237" i="2"/>
  <c r="A6237" i="2"/>
  <c r="U6236" i="2"/>
  <c r="N6236" i="2"/>
  <c r="M6236" i="2"/>
  <c r="J6236" i="2"/>
  <c r="I6236" i="2"/>
  <c r="H6236" i="2"/>
  <c r="G6236" i="2"/>
  <c r="F6236" i="2"/>
  <c r="E6236" i="2"/>
  <c r="D6236" i="2"/>
  <c r="C6236" i="2"/>
  <c r="B6236" i="2"/>
  <c r="A6236" i="2"/>
  <c r="U6235" i="2"/>
  <c r="N6235" i="2"/>
  <c r="M6235" i="2"/>
  <c r="J6235" i="2"/>
  <c r="I6235" i="2"/>
  <c r="H6235" i="2"/>
  <c r="G6235" i="2"/>
  <c r="F6235" i="2"/>
  <c r="E6235" i="2"/>
  <c r="D6235" i="2"/>
  <c r="C6235" i="2"/>
  <c r="B6235" i="2"/>
  <c r="A6235" i="2"/>
  <c r="U6234" i="2"/>
  <c r="N6234" i="2"/>
  <c r="M6234" i="2"/>
  <c r="J6234" i="2"/>
  <c r="I6234" i="2"/>
  <c r="H6234" i="2"/>
  <c r="G6234" i="2"/>
  <c r="F6234" i="2"/>
  <c r="E6234" i="2"/>
  <c r="D6234" i="2"/>
  <c r="C6234" i="2"/>
  <c r="B6234" i="2"/>
  <c r="A6234" i="2"/>
  <c r="U6233" i="2"/>
  <c r="N6233" i="2"/>
  <c r="M6233" i="2"/>
  <c r="J6233" i="2"/>
  <c r="I6233" i="2"/>
  <c r="H6233" i="2"/>
  <c r="G6233" i="2"/>
  <c r="F6233" i="2"/>
  <c r="E6233" i="2"/>
  <c r="D6233" i="2"/>
  <c r="C6233" i="2"/>
  <c r="B6233" i="2"/>
  <c r="A6233" i="2"/>
  <c r="U6232" i="2"/>
  <c r="N6232" i="2"/>
  <c r="M6232" i="2"/>
  <c r="J6232" i="2"/>
  <c r="I6232" i="2"/>
  <c r="H6232" i="2"/>
  <c r="G6232" i="2"/>
  <c r="F6232" i="2"/>
  <c r="E6232" i="2"/>
  <c r="D6232" i="2"/>
  <c r="C6232" i="2"/>
  <c r="B6232" i="2"/>
  <c r="A6232" i="2"/>
  <c r="U6231" i="2"/>
  <c r="N6231" i="2"/>
  <c r="M6231" i="2"/>
  <c r="J6231" i="2"/>
  <c r="I6231" i="2"/>
  <c r="H6231" i="2"/>
  <c r="G6231" i="2"/>
  <c r="F6231" i="2"/>
  <c r="E6231" i="2"/>
  <c r="D6231" i="2"/>
  <c r="C6231" i="2"/>
  <c r="B6231" i="2"/>
  <c r="A6231" i="2"/>
  <c r="U6230" i="2"/>
  <c r="N6230" i="2"/>
  <c r="M6230" i="2"/>
  <c r="J6230" i="2"/>
  <c r="I6230" i="2"/>
  <c r="H6230" i="2"/>
  <c r="G6230" i="2"/>
  <c r="F6230" i="2"/>
  <c r="E6230" i="2"/>
  <c r="D6230" i="2"/>
  <c r="C6230" i="2"/>
  <c r="B6230" i="2"/>
  <c r="A6230" i="2"/>
  <c r="U6229" i="2"/>
  <c r="N6229" i="2"/>
  <c r="M6229" i="2"/>
  <c r="J6229" i="2"/>
  <c r="I6229" i="2"/>
  <c r="H6229" i="2"/>
  <c r="G6229" i="2"/>
  <c r="F6229" i="2"/>
  <c r="E6229" i="2"/>
  <c r="D6229" i="2"/>
  <c r="C6229" i="2"/>
  <c r="B6229" i="2"/>
  <c r="A6229" i="2"/>
  <c r="U6228" i="2"/>
  <c r="N6228" i="2"/>
  <c r="M6228" i="2"/>
  <c r="J6228" i="2"/>
  <c r="I6228" i="2"/>
  <c r="H6228" i="2"/>
  <c r="G6228" i="2"/>
  <c r="F6228" i="2"/>
  <c r="E6228" i="2"/>
  <c r="D6228" i="2"/>
  <c r="C6228" i="2"/>
  <c r="B6228" i="2"/>
  <c r="A6228" i="2"/>
  <c r="U6227" i="2"/>
  <c r="N6227" i="2"/>
  <c r="M6227" i="2"/>
  <c r="J6227" i="2"/>
  <c r="I6227" i="2"/>
  <c r="H6227" i="2"/>
  <c r="G6227" i="2"/>
  <c r="F6227" i="2"/>
  <c r="E6227" i="2"/>
  <c r="D6227" i="2"/>
  <c r="C6227" i="2"/>
  <c r="B6227" i="2"/>
  <c r="A6227" i="2"/>
  <c r="U6226" i="2"/>
  <c r="N6226" i="2"/>
  <c r="M6226" i="2"/>
  <c r="J6226" i="2"/>
  <c r="I6226" i="2"/>
  <c r="H6226" i="2"/>
  <c r="G6226" i="2"/>
  <c r="F6226" i="2"/>
  <c r="E6226" i="2"/>
  <c r="D6226" i="2"/>
  <c r="C6226" i="2"/>
  <c r="B6226" i="2"/>
  <c r="A6226" i="2"/>
  <c r="U6225" i="2"/>
  <c r="N6225" i="2"/>
  <c r="M6225" i="2"/>
  <c r="J6225" i="2"/>
  <c r="I6225" i="2"/>
  <c r="H6225" i="2"/>
  <c r="G6225" i="2"/>
  <c r="F6225" i="2"/>
  <c r="E6225" i="2"/>
  <c r="D6225" i="2"/>
  <c r="C6225" i="2"/>
  <c r="B6225" i="2"/>
  <c r="A6225" i="2"/>
  <c r="R6224" i="2"/>
  <c r="Q6224" i="2"/>
  <c r="N6224" i="2"/>
  <c r="M6224" i="2"/>
  <c r="J6224" i="2"/>
  <c r="I6224" i="2"/>
  <c r="H6224" i="2"/>
  <c r="G6224" i="2"/>
  <c r="F6224" i="2"/>
  <c r="E6224" i="2"/>
  <c r="D6224" i="2"/>
  <c r="C6224" i="2"/>
  <c r="B6224" i="2"/>
  <c r="A6224" i="2"/>
  <c r="U6223" i="2"/>
  <c r="N6223" i="2"/>
  <c r="M6223" i="2"/>
  <c r="J6223" i="2"/>
  <c r="I6223" i="2"/>
  <c r="H6223" i="2"/>
  <c r="G6223" i="2"/>
  <c r="F6223" i="2"/>
  <c r="E6223" i="2"/>
  <c r="D6223" i="2"/>
  <c r="C6223" i="2"/>
  <c r="B6223" i="2"/>
  <c r="A6223" i="2"/>
  <c r="U6222" i="2"/>
  <c r="N6222" i="2"/>
  <c r="M6222" i="2"/>
  <c r="J6222" i="2"/>
  <c r="I6222" i="2"/>
  <c r="H6222" i="2"/>
  <c r="G6222" i="2"/>
  <c r="F6222" i="2"/>
  <c r="E6222" i="2"/>
  <c r="D6222" i="2"/>
  <c r="C6222" i="2"/>
  <c r="B6222" i="2"/>
  <c r="A6222" i="2"/>
  <c r="U6221" i="2"/>
  <c r="N6221" i="2"/>
  <c r="M6221" i="2"/>
  <c r="J6221" i="2"/>
  <c r="I6221" i="2"/>
  <c r="H6221" i="2"/>
  <c r="G6221" i="2"/>
  <c r="F6221" i="2"/>
  <c r="E6221" i="2"/>
  <c r="D6221" i="2"/>
  <c r="C6221" i="2"/>
  <c r="B6221" i="2"/>
  <c r="A6221" i="2"/>
  <c r="U6220" i="2"/>
  <c r="N6220" i="2"/>
  <c r="M6220" i="2"/>
  <c r="J6220" i="2"/>
  <c r="I6220" i="2"/>
  <c r="H6220" i="2"/>
  <c r="G6220" i="2"/>
  <c r="F6220" i="2"/>
  <c r="E6220" i="2"/>
  <c r="D6220" i="2"/>
  <c r="C6220" i="2"/>
  <c r="B6220" i="2"/>
  <c r="A6220" i="2"/>
  <c r="U6219" i="2"/>
  <c r="N6219" i="2"/>
  <c r="M6219" i="2"/>
  <c r="J6219" i="2"/>
  <c r="I6219" i="2"/>
  <c r="H6219" i="2"/>
  <c r="G6219" i="2"/>
  <c r="F6219" i="2"/>
  <c r="E6219" i="2"/>
  <c r="D6219" i="2"/>
  <c r="C6219" i="2"/>
  <c r="B6219" i="2"/>
  <c r="A6219" i="2"/>
  <c r="U6218" i="2"/>
  <c r="N6218" i="2"/>
  <c r="M6218" i="2"/>
  <c r="J6218" i="2"/>
  <c r="I6218" i="2"/>
  <c r="H6218" i="2"/>
  <c r="G6218" i="2"/>
  <c r="F6218" i="2"/>
  <c r="E6218" i="2"/>
  <c r="D6218" i="2"/>
  <c r="C6218" i="2"/>
  <c r="B6218" i="2"/>
  <c r="A6218" i="2"/>
  <c r="U6217" i="2"/>
  <c r="N6217" i="2"/>
  <c r="M6217" i="2"/>
  <c r="J6217" i="2"/>
  <c r="I6217" i="2"/>
  <c r="H6217" i="2"/>
  <c r="G6217" i="2"/>
  <c r="F6217" i="2"/>
  <c r="E6217" i="2"/>
  <c r="D6217" i="2"/>
  <c r="C6217" i="2"/>
  <c r="B6217" i="2"/>
  <c r="A6217" i="2"/>
  <c r="U6216" i="2"/>
  <c r="N6216" i="2"/>
  <c r="M6216" i="2"/>
  <c r="J6216" i="2"/>
  <c r="I6216" i="2"/>
  <c r="H6216" i="2"/>
  <c r="G6216" i="2"/>
  <c r="F6216" i="2"/>
  <c r="E6216" i="2"/>
  <c r="D6216" i="2"/>
  <c r="C6216" i="2"/>
  <c r="B6216" i="2"/>
  <c r="A6216" i="2"/>
  <c r="U6215" i="2"/>
  <c r="N6215" i="2"/>
  <c r="M6215" i="2"/>
  <c r="J6215" i="2"/>
  <c r="I6215" i="2"/>
  <c r="H6215" i="2"/>
  <c r="G6215" i="2"/>
  <c r="F6215" i="2"/>
  <c r="E6215" i="2"/>
  <c r="D6215" i="2"/>
  <c r="C6215" i="2"/>
  <c r="B6215" i="2"/>
  <c r="A6215" i="2"/>
  <c r="U6214" i="2"/>
  <c r="N6214" i="2"/>
  <c r="M6214" i="2"/>
  <c r="J6214" i="2"/>
  <c r="I6214" i="2"/>
  <c r="H6214" i="2"/>
  <c r="G6214" i="2"/>
  <c r="F6214" i="2"/>
  <c r="E6214" i="2"/>
  <c r="D6214" i="2"/>
  <c r="C6214" i="2"/>
  <c r="B6214" i="2"/>
  <c r="A6214" i="2"/>
  <c r="U6213" i="2"/>
  <c r="N6213" i="2"/>
  <c r="M6213" i="2"/>
  <c r="J6213" i="2"/>
  <c r="I6213" i="2"/>
  <c r="H6213" i="2"/>
  <c r="G6213" i="2"/>
  <c r="F6213" i="2"/>
  <c r="E6213" i="2"/>
  <c r="D6213" i="2"/>
  <c r="C6213" i="2"/>
  <c r="B6213" i="2"/>
  <c r="A6213" i="2"/>
  <c r="Q6212" i="2"/>
  <c r="U6212" i="2" s="1"/>
  <c r="N6212" i="2"/>
  <c r="M6212" i="2"/>
  <c r="J6212" i="2"/>
  <c r="I6212" i="2"/>
  <c r="H6212" i="2"/>
  <c r="G6212" i="2"/>
  <c r="F6212" i="2"/>
  <c r="E6212" i="2"/>
  <c r="D6212" i="2"/>
  <c r="C6212" i="2"/>
  <c r="B6212" i="2"/>
  <c r="A6212" i="2"/>
  <c r="U6211" i="2"/>
  <c r="N6211" i="2"/>
  <c r="M6211" i="2"/>
  <c r="J6211" i="2"/>
  <c r="I6211" i="2"/>
  <c r="H6211" i="2"/>
  <c r="G6211" i="2"/>
  <c r="F6211" i="2"/>
  <c r="E6211" i="2"/>
  <c r="D6211" i="2"/>
  <c r="C6211" i="2"/>
  <c r="B6211" i="2"/>
  <c r="A6211" i="2"/>
  <c r="U6210" i="2"/>
  <c r="N6210" i="2"/>
  <c r="M6210" i="2"/>
  <c r="J6210" i="2"/>
  <c r="I6210" i="2"/>
  <c r="H6210" i="2"/>
  <c r="G6210" i="2"/>
  <c r="F6210" i="2"/>
  <c r="E6210" i="2"/>
  <c r="D6210" i="2"/>
  <c r="C6210" i="2"/>
  <c r="B6210" i="2"/>
  <c r="A6210" i="2"/>
  <c r="U6209" i="2"/>
  <c r="N6209" i="2"/>
  <c r="M6209" i="2"/>
  <c r="J6209" i="2"/>
  <c r="I6209" i="2"/>
  <c r="H6209" i="2"/>
  <c r="G6209" i="2"/>
  <c r="F6209" i="2"/>
  <c r="E6209" i="2"/>
  <c r="D6209" i="2"/>
  <c r="C6209" i="2"/>
  <c r="B6209" i="2"/>
  <c r="A6209" i="2"/>
  <c r="U6208" i="2"/>
  <c r="N6208" i="2"/>
  <c r="M6208" i="2"/>
  <c r="J6208" i="2"/>
  <c r="I6208" i="2"/>
  <c r="H6208" i="2"/>
  <c r="G6208" i="2"/>
  <c r="F6208" i="2"/>
  <c r="E6208" i="2"/>
  <c r="D6208" i="2"/>
  <c r="C6208" i="2"/>
  <c r="B6208" i="2"/>
  <c r="A6208" i="2"/>
  <c r="U6207" i="2"/>
  <c r="N6207" i="2"/>
  <c r="M6207" i="2"/>
  <c r="J6207" i="2"/>
  <c r="I6207" i="2"/>
  <c r="H6207" i="2"/>
  <c r="G6207" i="2"/>
  <c r="F6207" i="2"/>
  <c r="E6207" i="2"/>
  <c r="D6207" i="2"/>
  <c r="C6207" i="2"/>
  <c r="B6207" i="2"/>
  <c r="A6207" i="2"/>
  <c r="U6206" i="2"/>
  <c r="N6206" i="2"/>
  <c r="M6206" i="2"/>
  <c r="J6206" i="2"/>
  <c r="I6206" i="2"/>
  <c r="H6206" i="2"/>
  <c r="G6206" i="2"/>
  <c r="F6206" i="2"/>
  <c r="E6206" i="2"/>
  <c r="D6206" i="2"/>
  <c r="C6206" i="2"/>
  <c r="B6206" i="2"/>
  <c r="A6206" i="2"/>
  <c r="U6205" i="2"/>
  <c r="N6205" i="2"/>
  <c r="M6205" i="2"/>
  <c r="J6205" i="2"/>
  <c r="I6205" i="2"/>
  <c r="H6205" i="2"/>
  <c r="G6205" i="2"/>
  <c r="F6205" i="2"/>
  <c r="E6205" i="2"/>
  <c r="D6205" i="2"/>
  <c r="C6205" i="2"/>
  <c r="B6205" i="2"/>
  <c r="A6205" i="2"/>
  <c r="U6204" i="2"/>
  <c r="N6204" i="2"/>
  <c r="M6204" i="2"/>
  <c r="J6204" i="2"/>
  <c r="I6204" i="2"/>
  <c r="H6204" i="2"/>
  <c r="G6204" i="2"/>
  <c r="F6204" i="2"/>
  <c r="E6204" i="2"/>
  <c r="D6204" i="2"/>
  <c r="C6204" i="2"/>
  <c r="B6204" i="2"/>
  <c r="A6204" i="2"/>
  <c r="U6203" i="2"/>
  <c r="N6203" i="2"/>
  <c r="M6203" i="2"/>
  <c r="J6203" i="2"/>
  <c r="I6203" i="2"/>
  <c r="H6203" i="2"/>
  <c r="G6203" i="2"/>
  <c r="F6203" i="2"/>
  <c r="E6203" i="2"/>
  <c r="D6203" i="2"/>
  <c r="C6203" i="2"/>
  <c r="B6203" i="2"/>
  <c r="A6203" i="2"/>
  <c r="U6202" i="2"/>
  <c r="N6202" i="2"/>
  <c r="M6202" i="2"/>
  <c r="J6202" i="2"/>
  <c r="I6202" i="2"/>
  <c r="H6202" i="2"/>
  <c r="G6202" i="2"/>
  <c r="F6202" i="2"/>
  <c r="E6202" i="2"/>
  <c r="D6202" i="2"/>
  <c r="C6202" i="2"/>
  <c r="B6202" i="2"/>
  <c r="A6202" i="2"/>
  <c r="U6201" i="2"/>
  <c r="N6201" i="2"/>
  <c r="M6201" i="2"/>
  <c r="J6201" i="2"/>
  <c r="I6201" i="2"/>
  <c r="H6201" i="2"/>
  <c r="G6201" i="2"/>
  <c r="F6201" i="2"/>
  <c r="E6201" i="2"/>
  <c r="D6201" i="2"/>
  <c r="C6201" i="2"/>
  <c r="B6201" i="2"/>
  <c r="A6201" i="2"/>
  <c r="U6200" i="2"/>
  <c r="N6200" i="2"/>
  <c r="M6200" i="2"/>
  <c r="J6200" i="2"/>
  <c r="I6200" i="2"/>
  <c r="H6200" i="2"/>
  <c r="G6200" i="2"/>
  <c r="F6200" i="2"/>
  <c r="E6200" i="2"/>
  <c r="D6200" i="2"/>
  <c r="C6200" i="2"/>
  <c r="B6200" i="2"/>
  <c r="A6200" i="2"/>
  <c r="U6199" i="2"/>
  <c r="N6199" i="2"/>
  <c r="M6199" i="2"/>
  <c r="J6199" i="2"/>
  <c r="I6199" i="2"/>
  <c r="H6199" i="2"/>
  <c r="G6199" i="2"/>
  <c r="F6199" i="2"/>
  <c r="E6199" i="2"/>
  <c r="D6199" i="2"/>
  <c r="C6199" i="2"/>
  <c r="B6199" i="2"/>
  <c r="A6199" i="2"/>
  <c r="U6198" i="2"/>
  <c r="N6198" i="2"/>
  <c r="M6198" i="2"/>
  <c r="J6198" i="2"/>
  <c r="I6198" i="2"/>
  <c r="H6198" i="2"/>
  <c r="G6198" i="2"/>
  <c r="F6198" i="2"/>
  <c r="E6198" i="2"/>
  <c r="D6198" i="2"/>
  <c r="C6198" i="2"/>
  <c r="B6198" i="2"/>
  <c r="A6198" i="2"/>
  <c r="U6197" i="2"/>
  <c r="N6197" i="2"/>
  <c r="M6197" i="2"/>
  <c r="J6197" i="2"/>
  <c r="I6197" i="2"/>
  <c r="H6197" i="2"/>
  <c r="G6197" i="2"/>
  <c r="F6197" i="2"/>
  <c r="E6197" i="2"/>
  <c r="D6197" i="2"/>
  <c r="C6197" i="2"/>
  <c r="B6197" i="2"/>
  <c r="A6197" i="2"/>
  <c r="U6196" i="2"/>
  <c r="N6196" i="2"/>
  <c r="M6196" i="2"/>
  <c r="J6196" i="2"/>
  <c r="I6196" i="2"/>
  <c r="H6196" i="2"/>
  <c r="G6196" i="2"/>
  <c r="F6196" i="2"/>
  <c r="E6196" i="2"/>
  <c r="D6196" i="2"/>
  <c r="C6196" i="2"/>
  <c r="B6196" i="2"/>
  <c r="A6196" i="2"/>
  <c r="U6195" i="2"/>
  <c r="N6195" i="2"/>
  <c r="M6195" i="2"/>
  <c r="J6195" i="2"/>
  <c r="I6195" i="2"/>
  <c r="H6195" i="2"/>
  <c r="G6195" i="2"/>
  <c r="F6195" i="2"/>
  <c r="E6195" i="2"/>
  <c r="D6195" i="2"/>
  <c r="C6195" i="2"/>
  <c r="B6195" i="2"/>
  <c r="A6195" i="2"/>
  <c r="U6194" i="2"/>
  <c r="N6194" i="2"/>
  <c r="M6194" i="2"/>
  <c r="J6194" i="2"/>
  <c r="I6194" i="2"/>
  <c r="H6194" i="2"/>
  <c r="G6194" i="2"/>
  <c r="F6194" i="2"/>
  <c r="E6194" i="2"/>
  <c r="D6194" i="2"/>
  <c r="C6194" i="2"/>
  <c r="B6194" i="2"/>
  <c r="A6194" i="2"/>
  <c r="U6193" i="2"/>
  <c r="N6193" i="2"/>
  <c r="M6193" i="2"/>
  <c r="J6193" i="2"/>
  <c r="I6193" i="2"/>
  <c r="H6193" i="2"/>
  <c r="G6193" i="2"/>
  <c r="F6193" i="2"/>
  <c r="E6193" i="2"/>
  <c r="D6193" i="2"/>
  <c r="C6193" i="2"/>
  <c r="B6193" i="2"/>
  <c r="A6193" i="2"/>
  <c r="U6192" i="2"/>
  <c r="N6192" i="2"/>
  <c r="M6192" i="2"/>
  <c r="J6192" i="2"/>
  <c r="I6192" i="2"/>
  <c r="H6192" i="2"/>
  <c r="G6192" i="2"/>
  <c r="F6192" i="2"/>
  <c r="E6192" i="2"/>
  <c r="D6192" i="2"/>
  <c r="C6192" i="2"/>
  <c r="B6192" i="2"/>
  <c r="A6192" i="2"/>
  <c r="U6191" i="2"/>
  <c r="N6191" i="2"/>
  <c r="M6191" i="2"/>
  <c r="J6191" i="2"/>
  <c r="I6191" i="2"/>
  <c r="H6191" i="2"/>
  <c r="G6191" i="2"/>
  <c r="F6191" i="2"/>
  <c r="E6191" i="2"/>
  <c r="D6191" i="2"/>
  <c r="C6191" i="2"/>
  <c r="B6191" i="2"/>
  <c r="A6191" i="2"/>
  <c r="U6190" i="2"/>
  <c r="N6190" i="2"/>
  <c r="M6190" i="2"/>
  <c r="J6190" i="2"/>
  <c r="I6190" i="2"/>
  <c r="H6190" i="2"/>
  <c r="G6190" i="2"/>
  <c r="F6190" i="2"/>
  <c r="E6190" i="2"/>
  <c r="D6190" i="2"/>
  <c r="C6190" i="2"/>
  <c r="B6190" i="2"/>
  <c r="A6190" i="2"/>
  <c r="U6189" i="2"/>
  <c r="N6189" i="2"/>
  <c r="M6189" i="2"/>
  <c r="J6189" i="2"/>
  <c r="I6189" i="2"/>
  <c r="H6189" i="2"/>
  <c r="G6189" i="2"/>
  <c r="F6189" i="2"/>
  <c r="E6189" i="2"/>
  <c r="D6189" i="2"/>
  <c r="C6189" i="2"/>
  <c r="B6189" i="2"/>
  <c r="A6189" i="2"/>
  <c r="U6188" i="2"/>
  <c r="N6188" i="2"/>
  <c r="M6188" i="2"/>
  <c r="J6188" i="2"/>
  <c r="I6188" i="2"/>
  <c r="H6188" i="2"/>
  <c r="G6188" i="2"/>
  <c r="F6188" i="2"/>
  <c r="E6188" i="2"/>
  <c r="D6188" i="2"/>
  <c r="C6188" i="2"/>
  <c r="B6188" i="2"/>
  <c r="A6188" i="2"/>
  <c r="U6187" i="2"/>
  <c r="N6187" i="2"/>
  <c r="M6187" i="2"/>
  <c r="J6187" i="2"/>
  <c r="I6187" i="2"/>
  <c r="H6187" i="2"/>
  <c r="G6187" i="2"/>
  <c r="F6187" i="2"/>
  <c r="E6187" i="2"/>
  <c r="D6187" i="2"/>
  <c r="C6187" i="2"/>
  <c r="B6187" i="2"/>
  <c r="A6187" i="2"/>
  <c r="U6186" i="2"/>
  <c r="N6186" i="2"/>
  <c r="M6186" i="2"/>
  <c r="J6186" i="2"/>
  <c r="I6186" i="2"/>
  <c r="H6186" i="2"/>
  <c r="G6186" i="2"/>
  <c r="F6186" i="2"/>
  <c r="E6186" i="2"/>
  <c r="D6186" i="2"/>
  <c r="C6186" i="2"/>
  <c r="B6186" i="2"/>
  <c r="A6186" i="2"/>
  <c r="U6185" i="2"/>
  <c r="N6185" i="2"/>
  <c r="M6185" i="2"/>
  <c r="J6185" i="2"/>
  <c r="I6185" i="2"/>
  <c r="H6185" i="2"/>
  <c r="G6185" i="2"/>
  <c r="F6185" i="2"/>
  <c r="E6185" i="2"/>
  <c r="D6185" i="2"/>
  <c r="C6185" i="2"/>
  <c r="B6185" i="2"/>
  <c r="A6185" i="2"/>
  <c r="U6184" i="2"/>
  <c r="N6184" i="2"/>
  <c r="M6184" i="2"/>
  <c r="J6184" i="2"/>
  <c r="I6184" i="2"/>
  <c r="H6184" i="2"/>
  <c r="G6184" i="2"/>
  <c r="F6184" i="2"/>
  <c r="E6184" i="2"/>
  <c r="D6184" i="2"/>
  <c r="C6184" i="2"/>
  <c r="B6184" i="2"/>
  <c r="A6184" i="2"/>
  <c r="U6183" i="2"/>
  <c r="N6183" i="2"/>
  <c r="M6183" i="2"/>
  <c r="J6183" i="2"/>
  <c r="I6183" i="2"/>
  <c r="H6183" i="2"/>
  <c r="G6183" i="2"/>
  <c r="F6183" i="2"/>
  <c r="E6183" i="2"/>
  <c r="D6183" i="2"/>
  <c r="C6183" i="2"/>
  <c r="B6183" i="2"/>
  <c r="A6183" i="2"/>
  <c r="U6182" i="2"/>
  <c r="N6182" i="2"/>
  <c r="M6182" i="2"/>
  <c r="J6182" i="2"/>
  <c r="I6182" i="2"/>
  <c r="H6182" i="2"/>
  <c r="G6182" i="2"/>
  <c r="F6182" i="2"/>
  <c r="E6182" i="2"/>
  <c r="D6182" i="2"/>
  <c r="C6182" i="2"/>
  <c r="B6182" i="2"/>
  <c r="A6182" i="2"/>
  <c r="U6181" i="2"/>
  <c r="N6181" i="2"/>
  <c r="M6181" i="2"/>
  <c r="J6181" i="2"/>
  <c r="I6181" i="2"/>
  <c r="H6181" i="2"/>
  <c r="G6181" i="2"/>
  <c r="F6181" i="2"/>
  <c r="E6181" i="2"/>
  <c r="D6181" i="2"/>
  <c r="C6181" i="2"/>
  <c r="B6181" i="2"/>
  <c r="A6181" i="2"/>
  <c r="U6180" i="2"/>
  <c r="N6180" i="2"/>
  <c r="M6180" i="2"/>
  <c r="J6180" i="2"/>
  <c r="I6180" i="2"/>
  <c r="H6180" i="2"/>
  <c r="G6180" i="2"/>
  <c r="F6180" i="2"/>
  <c r="E6180" i="2"/>
  <c r="D6180" i="2"/>
  <c r="C6180" i="2"/>
  <c r="B6180" i="2"/>
  <c r="A6180" i="2"/>
  <c r="U6179" i="2"/>
  <c r="N6179" i="2"/>
  <c r="M6179" i="2"/>
  <c r="J6179" i="2"/>
  <c r="I6179" i="2"/>
  <c r="H6179" i="2"/>
  <c r="G6179" i="2"/>
  <c r="F6179" i="2"/>
  <c r="E6179" i="2"/>
  <c r="D6179" i="2"/>
  <c r="C6179" i="2"/>
  <c r="B6179" i="2"/>
  <c r="A6179" i="2"/>
  <c r="U6178" i="2"/>
  <c r="N6178" i="2"/>
  <c r="M6178" i="2"/>
  <c r="J6178" i="2"/>
  <c r="I6178" i="2"/>
  <c r="H6178" i="2"/>
  <c r="G6178" i="2"/>
  <c r="F6178" i="2"/>
  <c r="E6178" i="2"/>
  <c r="D6178" i="2"/>
  <c r="C6178" i="2"/>
  <c r="B6178" i="2"/>
  <c r="A6178" i="2"/>
  <c r="U6177" i="2"/>
  <c r="N6177" i="2"/>
  <c r="M6177" i="2"/>
  <c r="J6177" i="2"/>
  <c r="I6177" i="2"/>
  <c r="H6177" i="2"/>
  <c r="G6177" i="2"/>
  <c r="F6177" i="2"/>
  <c r="E6177" i="2"/>
  <c r="D6177" i="2"/>
  <c r="C6177" i="2"/>
  <c r="B6177" i="2"/>
  <c r="A6177" i="2"/>
  <c r="U6176" i="2"/>
  <c r="N6176" i="2"/>
  <c r="M6176" i="2"/>
  <c r="J6176" i="2"/>
  <c r="I6176" i="2"/>
  <c r="H6176" i="2"/>
  <c r="G6176" i="2"/>
  <c r="F6176" i="2"/>
  <c r="E6176" i="2"/>
  <c r="D6176" i="2"/>
  <c r="C6176" i="2"/>
  <c r="B6176" i="2"/>
  <c r="A6176" i="2"/>
  <c r="U6175" i="2"/>
  <c r="N6175" i="2"/>
  <c r="M6175" i="2"/>
  <c r="J6175" i="2"/>
  <c r="I6175" i="2"/>
  <c r="H6175" i="2"/>
  <c r="G6175" i="2"/>
  <c r="F6175" i="2"/>
  <c r="E6175" i="2"/>
  <c r="D6175" i="2"/>
  <c r="C6175" i="2"/>
  <c r="B6175" i="2"/>
  <c r="A6175" i="2"/>
  <c r="U6174" i="2"/>
  <c r="N6174" i="2"/>
  <c r="M6174" i="2"/>
  <c r="J6174" i="2"/>
  <c r="I6174" i="2"/>
  <c r="H6174" i="2"/>
  <c r="G6174" i="2"/>
  <c r="F6174" i="2"/>
  <c r="E6174" i="2"/>
  <c r="D6174" i="2"/>
  <c r="C6174" i="2"/>
  <c r="B6174" i="2"/>
  <c r="A6174" i="2"/>
  <c r="U6173" i="2"/>
  <c r="N6173" i="2"/>
  <c r="M6173" i="2"/>
  <c r="J6173" i="2"/>
  <c r="I6173" i="2"/>
  <c r="H6173" i="2"/>
  <c r="G6173" i="2"/>
  <c r="F6173" i="2"/>
  <c r="E6173" i="2"/>
  <c r="D6173" i="2"/>
  <c r="C6173" i="2"/>
  <c r="B6173" i="2"/>
  <c r="A6173" i="2"/>
  <c r="U6172" i="2"/>
  <c r="N6172" i="2"/>
  <c r="M6172" i="2"/>
  <c r="J6172" i="2"/>
  <c r="I6172" i="2"/>
  <c r="H6172" i="2"/>
  <c r="G6172" i="2"/>
  <c r="F6172" i="2"/>
  <c r="E6172" i="2"/>
  <c r="D6172" i="2"/>
  <c r="C6172" i="2"/>
  <c r="B6172" i="2"/>
  <c r="A6172" i="2"/>
  <c r="U6171" i="2"/>
  <c r="N6171" i="2"/>
  <c r="M6171" i="2"/>
  <c r="J6171" i="2"/>
  <c r="I6171" i="2"/>
  <c r="H6171" i="2"/>
  <c r="G6171" i="2"/>
  <c r="F6171" i="2"/>
  <c r="E6171" i="2"/>
  <c r="D6171" i="2"/>
  <c r="C6171" i="2"/>
  <c r="B6171" i="2"/>
  <c r="A6171" i="2"/>
  <c r="U6170" i="2"/>
  <c r="N6170" i="2"/>
  <c r="M6170" i="2"/>
  <c r="J6170" i="2"/>
  <c r="I6170" i="2"/>
  <c r="H6170" i="2"/>
  <c r="G6170" i="2"/>
  <c r="F6170" i="2"/>
  <c r="E6170" i="2"/>
  <c r="D6170" i="2"/>
  <c r="C6170" i="2"/>
  <c r="B6170" i="2"/>
  <c r="A6170" i="2"/>
  <c r="U6169" i="2"/>
  <c r="N6169" i="2"/>
  <c r="M6169" i="2"/>
  <c r="J6169" i="2"/>
  <c r="I6169" i="2"/>
  <c r="H6169" i="2"/>
  <c r="G6169" i="2"/>
  <c r="F6169" i="2"/>
  <c r="E6169" i="2"/>
  <c r="D6169" i="2"/>
  <c r="C6169" i="2"/>
  <c r="B6169" i="2"/>
  <c r="A6169" i="2"/>
  <c r="U6168" i="2"/>
  <c r="N6168" i="2"/>
  <c r="M6168" i="2"/>
  <c r="J6168" i="2"/>
  <c r="I6168" i="2"/>
  <c r="H6168" i="2"/>
  <c r="G6168" i="2"/>
  <c r="F6168" i="2"/>
  <c r="E6168" i="2"/>
  <c r="D6168" i="2"/>
  <c r="C6168" i="2"/>
  <c r="B6168" i="2"/>
  <c r="A6168" i="2"/>
  <c r="U6167" i="2"/>
  <c r="N6167" i="2"/>
  <c r="M6167" i="2"/>
  <c r="J6167" i="2"/>
  <c r="I6167" i="2"/>
  <c r="H6167" i="2"/>
  <c r="G6167" i="2"/>
  <c r="F6167" i="2"/>
  <c r="E6167" i="2"/>
  <c r="D6167" i="2"/>
  <c r="C6167" i="2"/>
  <c r="B6167" i="2"/>
  <c r="A6167" i="2"/>
  <c r="U6166" i="2"/>
  <c r="N6166" i="2"/>
  <c r="M6166" i="2"/>
  <c r="J6166" i="2"/>
  <c r="I6166" i="2"/>
  <c r="H6166" i="2"/>
  <c r="G6166" i="2"/>
  <c r="F6166" i="2"/>
  <c r="E6166" i="2"/>
  <c r="D6166" i="2"/>
  <c r="C6166" i="2"/>
  <c r="B6166" i="2"/>
  <c r="A6166" i="2"/>
  <c r="U6165" i="2"/>
  <c r="N6165" i="2"/>
  <c r="M6165" i="2"/>
  <c r="J6165" i="2"/>
  <c r="I6165" i="2"/>
  <c r="H6165" i="2"/>
  <c r="G6165" i="2"/>
  <c r="F6165" i="2"/>
  <c r="E6165" i="2"/>
  <c r="D6165" i="2"/>
  <c r="C6165" i="2"/>
  <c r="B6165" i="2"/>
  <c r="A6165" i="2"/>
  <c r="U6164" i="2"/>
  <c r="N6164" i="2"/>
  <c r="M6164" i="2"/>
  <c r="J6164" i="2"/>
  <c r="I6164" i="2"/>
  <c r="H6164" i="2"/>
  <c r="G6164" i="2"/>
  <c r="F6164" i="2"/>
  <c r="E6164" i="2"/>
  <c r="D6164" i="2"/>
  <c r="C6164" i="2"/>
  <c r="B6164" i="2"/>
  <c r="A6164" i="2"/>
  <c r="U6163" i="2"/>
  <c r="N6163" i="2"/>
  <c r="M6163" i="2"/>
  <c r="J6163" i="2"/>
  <c r="I6163" i="2"/>
  <c r="H6163" i="2"/>
  <c r="G6163" i="2"/>
  <c r="F6163" i="2"/>
  <c r="E6163" i="2"/>
  <c r="D6163" i="2"/>
  <c r="C6163" i="2"/>
  <c r="B6163" i="2"/>
  <c r="A6163" i="2"/>
  <c r="U6162" i="2"/>
  <c r="N6162" i="2"/>
  <c r="M6162" i="2"/>
  <c r="J6162" i="2"/>
  <c r="I6162" i="2"/>
  <c r="H6162" i="2"/>
  <c r="G6162" i="2"/>
  <c r="F6162" i="2"/>
  <c r="E6162" i="2"/>
  <c r="D6162" i="2"/>
  <c r="C6162" i="2"/>
  <c r="B6162" i="2"/>
  <c r="A6162" i="2"/>
  <c r="U6161" i="2"/>
  <c r="N6161" i="2"/>
  <c r="M6161" i="2"/>
  <c r="J6161" i="2"/>
  <c r="I6161" i="2"/>
  <c r="H6161" i="2"/>
  <c r="G6161" i="2"/>
  <c r="F6161" i="2"/>
  <c r="E6161" i="2"/>
  <c r="D6161" i="2"/>
  <c r="C6161" i="2"/>
  <c r="B6161" i="2"/>
  <c r="A6161" i="2"/>
  <c r="Q6160" i="2"/>
  <c r="U6160" i="2" s="1"/>
  <c r="N6160" i="2"/>
  <c r="M6160" i="2"/>
  <c r="J6160" i="2"/>
  <c r="I6160" i="2"/>
  <c r="H6160" i="2"/>
  <c r="G6160" i="2"/>
  <c r="F6160" i="2"/>
  <c r="E6160" i="2"/>
  <c r="D6160" i="2"/>
  <c r="C6160" i="2"/>
  <c r="B6160" i="2"/>
  <c r="A6160" i="2"/>
  <c r="U6159" i="2"/>
  <c r="N6159" i="2"/>
  <c r="M6159" i="2"/>
  <c r="J6159" i="2"/>
  <c r="I6159" i="2"/>
  <c r="H6159" i="2"/>
  <c r="G6159" i="2"/>
  <c r="F6159" i="2"/>
  <c r="E6159" i="2"/>
  <c r="D6159" i="2"/>
  <c r="C6159" i="2"/>
  <c r="B6159" i="2"/>
  <c r="A6159" i="2"/>
  <c r="U6158" i="2"/>
  <c r="N6158" i="2"/>
  <c r="M6158" i="2"/>
  <c r="J6158" i="2"/>
  <c r="I6158" i="2"/>
  <c r="H6158" i="2"/>
  <c r="G6158" i="2"/>
  <c r="F6158" i="2"/>
  <c r="E6158" i="2"/>
  <c r="D6158" i="2"/>
  <c r="C6158" i="2"/>
  <c r="B6158" i="2"/>
  <c r="A6158" i="2"/>
  <c r="U6157" i="2"/>
  <c r="N6157" i="2"/>
  <c r="M6157" i="2"/>
  <c r="J6157" i="2"/>
  <c r="I6157" i="2"/>
  <c r="H6157" i="2"/>
  <c r="G6157" i="2"/>
  <c r="F6157" i="2"/>
  <c r="E6157" i="2"/>
  <c r="D6157" i="2"/>
  <c r="C6157" i="2"/>
  <c r="B6157" i="2"/>
  <c r="A6157" i="2"/>
  <c r="U6156" i="2"/>
  <c r="N6156" i="2"/>
  <c r="M6156" i="2"/>
  <c r="J6156" i="2"/>
  <c r="I6156" i="2"/>
  <c r="H6156" i="2"/>
  <c r="G6156" i="2"/>
  <c r="F6156" i="2"/>
  <c r="E6156" i="2"/>
  <c r="D6156" i="2"/>
  <c r="C6156" i="2"/>
  <c r="B6156" i="2"/>
  <c r="A6156" i="2"/>
  <c r="U6155" i="2"/>
  <c r="N6155" i="2"/>
  <c r="M6155" i="2"/>
  <c r="J6155" i="2"/>
  <c r="I6155" i="2"/>
  <c r="H6155" i="2"/>
  <c r="G6155" i="2"/>
  <c r="F6155" i="2"/>
  <c r="E6155" i="2"/>
  <c r="D6155" i="2"/>
  <c r="C6155" i="2"/>
  <c r="B6155" i="2"/>
  <c r="A6155" i="2"/>
  <c r="U6154" i="2"/>
  <c r="N6154" i="2"/>
  <c r="M6154" i="2"/>
  <c r="J6154" i="2"/>
  <c r="I6154" i="2"/>
  <c r="H6154" i="2"/>
  <c r="G6154" i="2"/>
  <c r="F6154" i="2"/>
  <c r="E6154" i="2"/>
  <c r="D6154" i="2"/>
  <c r="C6154" i="2"/>
  <c r="B6154" i="2"/>
  <c r="A6154" i="2"/>
  <c r="U6153" i="2"/>
  <c r="N6153" i="2"/>
  <c r="M6153" i="2"/>
  <c r="J6153" i="2"/>
  <c r="I6153" i="2"/>
  <c r="H6153" i="2"/>
  <c r="G6153" i="2"/>
  <c r="F6153" i="2"/>
  <c r="E6153" i="2"/>
  <c r="D6153" i="2"/>
  <c r="C6153" i="2"/>
  <c r="B6153" i="2"/>
  <c r="A6153" i="2"/>
  <c r="U6152" i="2"/>
  <c r="N6152" i="2"/>
  <c r="M6152" i="2"/>
  <c r="J6152" i="2"/>
  <c r="I6152" i="2"/>
  <c r="H6152" i="2"/>
  <c r="G6152" i="2"/>
  <c r="F6152" i="2"/>
  <c r="E6152" i="2"/>
  <c r="D6152" i="2"/>
  <c r="C6152" i="2"/>
  <c r="B6152" i="2"/>
  <c r="A6152" i="2"/>
  <c r="U6151" i="2"/>
  <c r="N6151" i="2"/>
  <c r="M6151" i="2"/>
  <c r="J6151" i="2"/>
  <c r="I6151" i="2"/>
  <c r="H6151" i="2"/>
  <c r="G6151" i="2"/>
  <c r="F6151" i="2"/>
  <c r="E6151" i="2"/>
  <c r="D6151" i="2"/>
  <c r="C6151" i="2"/>
  <c r="B6151" i="2"/>
  <c r="A6151" i="2"/>
  <c r="U6150" i="2"/>
  <c r="N6150" i="2"/>
  <c r="M6150" i="2"/>
  <c r="J6150" i="2"/>
  <c r="I6150" i="2"/>
  <c r="H6150" i="2"/>
  <c r="G6150" i="2"/>
  <c r="F6150" i="2"/>
  <c r="E6150" i="2"/>
  <c r="D6150" i="2"/>
  <c r="C6150" i="2"/>
  <c r="B6150" i="2"/>
  <c r="A6150" i="2"/>
  <c r="U6149" i="2"/>
  <c r="N6149" i="2"/>
  <c r="M6149" i="2"/>
  <c r="J6149" i="2"/>
  <c r="I6149" i="2"/>
  <c r="H6149" i="2"/>
  <c r="G6149" i="2"/>
  <c r="F6149" i="2"/>
  <c r="E6149" i="2"/>
  <c r="D6149" i="2"/>
  <c r="C6149" i="2"/>
  <c r="B6149" i="2"/>
  <c r="A6149" i="2"/>
  <c r="U6148" i="2"/>
  <c r="N6148" i="2"/>
  <c r="M6148" i="2"/>
  <c r="J6148" i="2"/>
  <c r="I6148" i="2"/>
  <c r="H6148" i="2"/>
  <c r="G6148" i="2"/>
  <c r="F6148" i="2"/>
  <c r="E6148" i="2"/>
  <c r="D6148" i="2"/>
  <c r="C6148" i="2"/>
  <c r="B6148" i="2"/>
  <c r="A6148" i="2"/>
  <c r="U6147" i="2"/>
  <c r="N6147" i="2"/>
  <c r="M6147" i="2"/>
  <c r="J6147" i="2"/>
  <c r="I6147" i="2"/>
  <c r="H6147" i="2"/>
  <c r="G6147" i="2"/>
  <c r="F6147" i="2"/>
  <c r="E6147" i="2"/>
  <c r="D6147" i="2"/>
  <c r="C6147" i="2"/>
  <c r="B6147" i="2"/>
  <c r="A6147" i="2"/>
  <c r="Q6146" i="2"/>
  <c r="U6146" i="2" s="1"/>
  <c r="N6146" i="2"/>
  <c r="M6146" i="2"/>
  <c r="J6146" i="2"/>
  <c r="I6146" i="2"/>
  <c r="H6146" i="2"/>
  <c r="G6146" i="2"/>
  <c r="F6146" i="2"/>
  <c r="E6146" i="2"/>
  <c r="D6146" i="2"/>
  <c r="C6146" i="2"/>
  <c r="B6146" i="2"/>
  <c r="A6146" i="2"/>
  <c r="U6145" i="2"/>
  <c r="N6145" i="2"/>
  <c r="M6145" i="2"/>
  <c r="J6145" i="2"/>
  <c r="I6145" i="2"/>
  <c r="H6145" i="2"/>
  <c r="G6145" i="2"/>
  <c r="F6145" i="2"/>
  <c r="E6145" i="2"/>
  <c r="D6145" i="2"/>
  <c r="C6145" i="2"/>
  <c r="B6145" i="2"/>
  <c r="A6145" i="2"/>
  <c r="U6144" i="2"/>
  <c r="N6144" i="2"/>
  <c r="M6144" i="2"/>
  <c r="J6144" i="2"/>
  <c r="I6144" i="2"/>
  <c r="H6144" i="2"/>
  <c r="G6144" i="2"/>
  <c r="F6144" i="2"/>
  <c r="E6144" i="2"/>
  <c r="D6144" i="2"/>
  <c r="C6144" i="2"/>
  <c r="B6144" i="2"/>
  <c r="A6144" i="2"/>
  <c r="U6143" i="2"/>
  <c r="N6143" i="2"/>
  <c r="M6143" i="2"/>
  <c r="J6143" i="2"/>
  <c r="I6143" i="2"/>
  <c r="H6143" i="2"/>
  <c r="G6143" i="2"/>
  <c r="F6143" i="2"/>
  <c r="E6143" i="2"/>
  <c r="D6143" i="2"/>
  <c r="C6143" i="2"/>
  <c r="B6143" i="2"/>
  <c r="A6143" i="2"/>
  <c r="U6142" i="2"/>
  <c r="N6142" i="2"/>
  <c r="M6142" i="2"/>
  <c r="J6142" i="2"/>
  <c r="I6142" i="2"/>
  <c r="H6142" i="2"/>
  <c r="G6142" i="2"/>
  <c r="F6142" i="2"/>
  <c r="E6142" i="2"/>
  <c r="D6142" i="2"/>
  <c r="C6142" i="2"/>
  <c r="B6142" i="2"/>
  <c r="A6142" i="2"/>
  <c r="U6141" i="2"/>
  <c r="N6141" i="2"/>
  <c r="M6141" i="2"/>
  <c r="J6141" i="2"/>
  <c r="I6141" i="2"/>
  <c r="H6141" i="2"/>
  <c r="G6141" i="2"/>
  <c r="F6141" i="2"/>
  <c r="E6141" i="2"/>
  <c r="D6141" i="2"/>
  <c r="C6141" i="2"/>
  <c r="B6141" i="2"/>
  <c r="A6141" i="2"/>
  <c r="U6140" i="2"/>
  <c r="N6140" i="2"/>
  <c r="M6140" i="2"/>
  <c r="J6140" i="2"/>
  <c r="I6140" i="2"/>
  <c r="H6140" i="2"/>
  <c r="G6140" i="2"/>
  <c r="F6140" i="2"/>
  <c r="E6140" i="2"/>
  <c r="D6140" i="2"/>
  <c r="C6140" i="2"/>
  <c r="B6140" i="2"/>
  <c r="A6140" i="2"/>
  <c r="U6139" i="2"/>
  <c r="N6139" i="2"/>
  <c r="M6139" i="2"/>
  <c r="J6139" i="2"/>
  <c r="I6139" i="2"/>
  <c r="H6139" i="2"/>
  <c r="G6139" i="2"/>
  <c r="F6139" i="2"/>
  <c r="E6139" i="2"/>
  <c r="D6139" i="2"/>
  <c r="C6139" i="2"/>
  <c r="B6139" i="2"/>
  <c r="A6139" i="2"/>
  <c r="U6138" i="2"/>
  <c r="N6138" i="2"/>
  <c r="M6138" i="2"/>
  <c r="J6138" i="2"/>
  <c r="I6138" i="2"/>
  <c r="H6138" i="2"/>
  <c r="G6138" i="2"/>
  <c r="F6138" i="2"/>
  <c r="E6138" i="2"/>
  <c r="D6138" i="2"/>
  <c r="C6138" i="2"/>
  <c r="B6138" i="2"/>
  <c r="A6138" i="2"/>
  <c r="U6137" i="2"/>
  <c r="N6137" i="2"/>
  <c r="M6137" i="2"/>
  <c r="J6137" i="2"/>
  <c r="I6137" i="2"/>
  <c r="H6137" i="2"/>
  <c r="G6137" i="2"/>
  <c r="F6137" i="2"/>
  <c r="E6137" i="2"/>
  <c r="D6137" i="2"/>
  <c r="C6137" i="2"/>
  <c r="B6137" i="2"/>
  <c r="A6137" i="2"/>
  <c r="U6136" i="2"/>
  <c r="N6136" i="2"/>
  <c r="M6136" i="2"/>
  <c r="J6136" i="2"/>
  <c r="I6136" i="2"/>
  <c r="H6136" i="2"/>
  <c r="G6136" i="2"/>
  <c r="F6136" i="2"/>
  <c r="E6136" i="2"/>
  <c r="D6136" i="2"/>
  <c r="C6136" i="2"/>
  <c r="B6136" i="2"/>
  <c r="A6136" i="2"/>
  <c r="Q6135" i="2"/>
  <c r="U6135" i="2" s="1"/>
  <c r="N6135" i="2"/>
  <c r="M6135" i="2"/>
  <c r="J6135" i="2"/>
  <c r="I6135" i="2"/>
  <c r="H6135" i="2"/>
  <c r="G6135" i="2"/>
  <c r="F6135" i="2"/>
  <c r="E6135" i="2"/>
  <c r="D6135" i="2"/>
  <c r="C6135" i="2"/>
  <c r="B6135" i="2"/>
  <c r="A6135" i="2"/>
  <c r="U6134" i="2"/>
  <c r="N6134" i="2"/>
  <c r="M6134" i="2"/>
  <c r="J6134" i="2"/>
  <c r="I6134" i="2"/>
  <c r="H6134" i="2"/>
  <c r="G6134" i="2"/>
  <c r="F6134" i="2"/>
  <c r="E6134" i="2"/>
  <c r="D6134" i="2"/>
  <c r="C6134" i="2"/>
  <c r="B6134" i="2"/>
  <c r="A6134" i="2"/>
  <c r="U6133" i="2"/>
  <c r="N6133" i="2"/>
  <c r="M6133" i="2"/>
  <c r="J6133" i="2"/>
  <c r="I6133" i="2"/>
  <c r="H6133" i="2"/>
  <c r="G6133" i="2"/>
  <c r="F6133" i="2"/>
  <c r="E6133" i="2"/>
  <c r="D6133" i="2"/>
  <c r="C6133" i="2"/>
  <c r="B6133" i="2"/>
  <c r="A6133" i="2"/>
  <c r="U6132" i="2"/>
  <c r="N6132" i="2"/>
  <c r="M6132" i="2"/>
  <c r="J6132" i="2"/>
  <c r="I6132" i="2"/>
  <c r="H6132" i="2"/>
  <c r="G6132" i="2"/>
  <c r="F6132" i="2"/>
  <c r="E6132" i="2"/>
  <c r="D6132" i="2"/>
  <c r="C6132" i="2"/>
  <c r="B6132" i="2"/>
  <c r="A6132" i="2"/>
  <c r="U6131" i="2"/>
  <c r="N6131" i="2"/>
  <c r="M6131" i="2"/>
  <c r="J6131" i="2"/>
  <c r="I6131" i="2"/>
  <c r="H6131" i="2"/>
  <c r="G6131" i="2"/>
  <c r="F6131" i="2"/>
  <c r="E6131" i="2"/>
  <c r="D6131" i="2"/>
  <c r="C6131" i="2"/>
  <c r="B6131" i="2"/>
  <c r="A6131" i="2"/>
  <c r="U6130" i="2"/>
  <c r="N6130" i="2"/>
  <c r="M6130" i="2"/>
  <c r="J6130" i="2"/>
  <c r="I6130" i="2"/>
  <c r="H6130" i="2"/>
  <c r="G6130" i="2"/>
  <c r="F6130" i="2"/>
  <c r="E6130" i="2"/>
  <c r="D6130" i="2"/>
  <c r="C6130" i="2"/>
  <c r="B6130" i="2"/>
  <c r="A6130" i="2"/>
  <c r="U6129" i="2"/>
  <c r="N6129" i="2"/>
  <c r="M6129" i="2"/>
  <c r="J6129" i="2"/>
  <c r="I6129" i="2"/>
  <c r="H6129" i="2"/>
  <c r="G6129" i="2"/>
  <c r="F6129" i="2"/>
  <c r="E6129" i="2"/>
  <c r="D6129" i="2"/>
  <c r="C6129" i="2"/>
  <c r="B6129" i="2"/>
  <c r="A6129" i="2"/>
  <c r="U6128" i="2"/>
  <c r="N6128" i="2"/>
  <c r="M6128" i="2"/>
  <c r="J6128" i="2"/>
  <c r="I6128" i="2"/>
  <c r="H6128" i="2"/>
  <c r="G6128" i="2"/>
  <c r="F6128" i="2"/>
  <c r="E6128" i="2"/>
  <c r="D6128" i="2"/>
  <c r="C6128" i="2"/>
  <c r="B6128" i="2"/>
  <c r="A6128" i="2"/>
  <c r="U6127" i="2"/>
  <c r="N6127" i="2"/>
  <c r="M6127" i="2"/>
  <c r="J6127" i="2"/>
  <c r="I6127" i="2"/>
  <c r="H6127" i="2"/>
  <c r="G6127" i="2"/>
  <c r="F6127" i="2"/>
  <c r="E6127" i="2"/>
  <c r="D6127" i="2"/>
  <c r="C6127" i="2"/>
  <c r="B6127" i="2"/>
  <c r="A6127" i="2"/>
  <c r="U6126" i="2"/>
  <c r="N6126" i="2"/>
  <c r="M6126" i="2"/>
  <c r="J6126" i="2"/>
  <c r="I6126" i="2"/>
  <c r="H6126" i="2"/>
  <c r="G6126" i="2"/>
  <c r="F6126" i="2"/>
  <c r="E6126" i="2"/>
  <c r="D6126" i="2"/>
  <c r="C6126" i="2"/>
  <c r="B6126" i="2"/>
  <c r="A6126" i="2"/>
  <c r="U6125" i="2"/>
  <c r="N6125" i="2"/>
  <c r="M6125" i="2"/>
  <c r="J6125" i="2"/>
  <c r="I6125" i="2"/>
  <c r="H6125" i="2"/>
  <c r="G6125" i="2"/>
  <c r="F6125" i="2"/>
  <c r="E6125" i="2"/>
  <c r="D6125" i="2"/>
  <c r="C6125" i="2"/>
  <c r="B6125" i="2"/>
  <c r="A6125" i="2"/>
  <c r="U6124" i="2"/>
  <c r="N6124" i="2"/>
  <c r="M6124" i="2"/>
  <c r="J6124" i="2"/>
  <c r="I6124" i="2"/>
  <c r="H6124" i="2"/>
  <c r="G6124" i="2"/>
  <c r="F6124" i="2"/>
  <c r="E6124" i="2"/>
  <c r="D6124" i="2"/>
  <c r="C6124" i="2"/>
  <c r="B6124" i="2"/>
  <c r="A6124" i="2"/>
  <c r="U6123" i="2"/>
  <c r="N6123" i="2"/>
  <c r="M6123" i="2"/>
  <c r="J6123" i="2"/>
  <c r="I6123" i="2"/>
  <c r="H6123" i="2"/>
  <c r="G6123" i="2"/>
  <c r="F6123" i="2"/>
  <c r="E6123" i="2"/>
  <c r="D6123" i="2"/>
  <c r="C6123" i="2"/>
  <c r="B6123" i="2"/>
  <c r="A6123" i="2"/>
  <c r="U6122" i="2"/>
  <c r="N6122" i="2"/>
  <c r="M6122" i="2"/>
  <c r="J6122" i="2"/>
  <c r="I6122" i="2"/>
  <c r="H6122" i="2"/>
  <c r="G6122" i="2"/>
  <c r="F6122" i="2"/>
  <c r="E6122" i="2"/>
  <c r="D6122" i="2"/>
  <c r="C6122" i="2"/>
  <c r="B6122" i="2"/>
  <c r="A6122" i="2"/>
  <c r="U6121" i="2"/>
  <c r="N6121" i="2"/>
  <c r="M6121" i="2"/>
  <c r="J6121" i="2"/>
  <c r="I6121" i="2"/>
  <c r="H6121" i="2"/>
  <c r="G6121" i="2"/>
  <c r="F6121" i="2"/>
  <c r="E6121" i="2"/>
  <c r="D6121" i="2"/>
  <c r="C6121" i="2"/>
  <c r="B6121" i="2"/>
  <c r="A6121" i="2"/>
  <c r="U6120" i="2"/>
  <c r="N6120" i="2"/>
  <c r="M6120" i="2"/>
  <c r="J6120" i="2"/>
  <c r="I6120" i="2"/>
  <c r="H6120" i="2"/>
  <c r="G6120" i="2"/>
  <c r="F6120" i="2"/>
  <c r="E6120" i="2"/>
  <c r="D6120" i="2"/>
  <c r="C6120" i="2"/>
  <c r="B6120" i="2"/>
  <c r="A6120" i="2"/>
  <c r="U6119" i="2"/>
  <c r="N6119" i="2"/>
  <c r="M6119" i="2"/>
  <c r="J6119" i="2"/>
  <c r="I6119" i="2"/>
  <c r="H6119" i="2"/>
  <c r="G6119" i="2"/>
  <c r="F6119" i="2"/>
  <c r="E6119" i="2"/>
  <c r="D6119" i="2"/>
  <c r="C6119" i="2"/>
  <c r="B6119" i="2"/>
  <c r="A6119" i="2"/>
  <c r="U6118" i="2"/>
  <c r="N6118" i="2"/>
  <c r="M6118" i="2"/>
  <c r="J6118" i="2"/>
  <c r="I6118" i="2"/>
  <c r="H6118" i="2"/>
  <c r="G6118" i="2"/>
  <c r="F6118" i="2"/>
  <c r="E6118" i="2"/>
  <c r="D6118" i="2"/>
  <c r="C6118" i="2"/>
  <c r="B6118" i="2"/>
  <c r="A6118" i="2"/>
  <c r="U6117" i="2"/>
  <c r="N6117" i="2"/>
  <c r="M6117" i="2"/>
  <c r="J6117" i="2"/>
  <c r="I6117" i="2"/>
  <c r="H6117" i="2"/>
  <c r="G6117" i="2"/>
  <c r="F6117" i="2"/>
  <c r="E6117" i="2"/>
  <c r="D6117" i="2"/>
  <c r="C6117" i="2"/>
  <c r="B6117" i="2"/>
  <c r="A6117" i="2"/>
  <c r="U6116" i="2"/>
  <c r="N6116" i="2"/>
  <c r="M6116" i="2"/>
  <c r="J6116" i="2"/>
  <c r="I6116" i="2"/>
  <c r="H6116" i="2"/>
  <c r="G6116" i="2"/>
  <c r="F6116" i="2"/>
  <c r="E6116" i="2"/>
  <c r="D6116" i="2"/>
  <c r="C6116" i="2"/>
  <c r="B6116" i="2"/>
  <c r="A6116" i="2"/>
  <c r="U6115" i="2"/>
  <c r="N6115" i="2"/>
  <c r="M6115" i="2"/>
  <c r="J6115" i="2"/>
  <c r="I6115" i="2"/>
  <c r="H6115" i="2"/>
  <c r="G6115" i="2"/>
  <c r="F6115" i="2"/>
  <c r="E6115" i="2"/>
  <c r="D6115" i="2"/>
  <c r="C6115" i="2"/>
  <c r="B6115" i="2"/>
  <c r="A6115" i="2"/>
  <c r="Q6114" i="2"/>
  <c r="U6114" i="2" s="1"/>
  <c r="N6114" i="2"/>
  <c r="M6114" i="2"/>
  <c r="J6114" i="2"/>
  <c r="I6114" i="2"/>
  <c r="H6114" i="2"/>
  <c r="G6114" i="2"/>
  <c r="F6114" i="2"/>
  <c r="E6114" i="2"/>
  <c r="D6114" i="2"/>
  <c r="C6114" i="2"/>
  <c r="B6114" i="2"/>
  <c r="A6114" i="2"/>
  <c r="U6113" i="2"/>
  <c r="N6113" i="2"/>
  <c r="M6113" i="2"/>
  <c r="J6113" i="2"/>
  <c r="I6113" i="2"/>
  <c r="H6113" i="2"/>
  <c r="G6113" i="2"/>
  <c r="F6113" i="2"/>
  <c r="E6113" i="2"/>
  <c r="D6113" i="2"/>
  <c r="C6113" i="2"/>
  <c r="B6113" i="2"/>
  <c r="A6113" i="2"/>
  <c r="U6112" i="2"/>
  <c r="N6112" i="2"/>
  <c r="M6112" i="2"/>
  <c r="J6112" i="2"/>
  <c r="I6112" i="2"/>
  <c r="H6112" i="2"/>
  <c r="G6112" i="2"/>
  <c r="F6112" i="2"/>
  <c r="E6112" i="2"/>
  <c r="D6112" i="2"/>
  <c r="C6112" i="2"/>
  <c r="B6112" i="2"/>
  <c r="A6112" i="2"/>
  <c r="U6111" i="2"/>
  <c r="N6111" i="2"/>
  <c r="M6111" i="2"/>
  <c r="J6111" i="2"/>
  <c r="I6111" i="2"/>
  <c r="H6111" i="2"/>
  <c r="G6111" i="2"/>
  <c r="F6111" i="2"/>
  <c r="E6111" i="2"/>
  <c r="D6111" i="2"/>
  <c r="C6111" i="2"/>
  <c r="B6111" i="2"/>
  <c r="A6111" i="2"/>
  <c r="U6110" i="2"/>
  <c r="N6110" i="2"/>
  <c r="M6110" i="2"/>
  <c r="J6110" i="2"/>
  <c r="I6110" i="2"/>
  <c r="H6110" i="2"/>
  <c r="G6110" i="2"/>
  <c r="F6110" i="2"/>
  <c r="E6110" i="2"/>
  <c r="D6110" i="2"/>
  <c r="C6110" i="2"/>
  <c r="B6110" i="2"/>
  <c r="A6110" i="2"/>
  <c r="U6109" i="2"/>
  <c r="N6109" i="2"/>
  <c r="M6109" i="2"/>
  <c r="J6109" i="2"/>
  <c r="I6109" i="2"/>
  <c r="H6109" i="2"/>
  <c r="G6109" i="2"/>
  <c r="F6109" i="2"/>
  <c r="E6109" i="2"/>
  <c r="D6109" i="2"/>
  <c r="C6109" i="2"/>
  <c r="B6109" i="2"/>
  <c r="A6109" i="2"/>
  <c r="U6108" i="2"/>
  <c r="N6108" i="2"/>
  <c r="M6108" i="2"/>
  <c r="J6108" i="2"/>
  <c r="I6108" i="2"/>
  <c r="H6108" i="2"/>
  <c r="G6108" i="2"/>
  <c r="F6108" i="2"/>
  <c r="E6108" i="2"/>
  <c r="D6108" i="2"/>
  <c r="C6108" i="2"/>
  <c r="B6108" i="2"/>
  <c r="A6108" i="2"/>
  <c r="Q6107" i="2"/>
  <c r="U6107" i="2" s="1"/>
  <c r="N6107" i="2"/>
  <c r="M6107" i="2"/>
  <c r="J6107" i="2"/>
  <c r="I6107" i="2"/>
  <c r="H6107" i="2"/>
  <c r="G6107" i="2"/>
  <c r="F6107" i="2"/>
  <c r="E6107" i="2"/>
  <c r="D6107" i="2"/>
  <c r="C6107" i="2"/>
  <c r="B6107" i="2"/>
  <c r="A6107" i="2"/>
  <c r="U6106" i="2"/>
  <c r="N6106" i="2"/>
  <c r="M6106" i="2"/>
  <c r="J6106" i="2"/>
  <c r="I6106" i="2"/>
  <c r="H6106" i="2"/>
  <c r="G6106" i="2"/>
  <c r="F6106" i="2"/>
  <c r="E6106" i="2"/>
  <c r="D6106" i="2"/>
  <c r="C6106" i="2"/>
  <c r="B6106" i="2"/>
  <c r="A6106" i="2"/>
  <c r="U6105" i="2"/>
  <c r="N6105" i="2"/>
  <c r="M6105" i="2"/>
  <c r="J6105" i="2"/>
  <c r="I6105" i="2"/>
  <c r="H6105" i="2"/>
  <c r="G6105" i="2"/>
  <c r="F6105" i="2"/>
  <c r="E6105" i="2"/>
  <c r="D6105" i="2"/>
  <c r="C6105" i="2"/>
  <c r="B6105" i="2"/>
  <c r="A6105" i="2"/>
  <c r="U6104" i="2"/>
  <c r="N6104" i="2"/>
  <c r="M6104" i="2"/>
  <c r="J6104" i="2"/>
  <c r="I6104" i="2"/>
  <c r="H6104" i="2"/>
  <c r="G6104" i="2"/>
  <c r="F6104" i="2"/>
  <c r="E6104" i="2"/>
  <c r="D6104" i="2"/>
  <c r="C6104" i="2"/>
  <c r="B6104" i="2"/>
  <c r="A6104" i="2"/>
  <c r="U6103" i="2"/>
  <c r="N6103" i="2"/>
  <c r="M6103" i="2"/>
  <c r="J6103" i="2"/>
  <c r="I6103" i="2"/>
  <c r="H6103" i="2"/>
  <c r="G6103" i="2"/>
  <c r="F6103" i="2"/>
  <c r="E6103" i="2"/>
  <c r="D6103" i="2"/>
  <c r="C6103" i="2"/>
  <c r="B6103" i="2"/>
  <c r="A6103" i="2"/>
  <c r="U6102" i="2"/>
  <c r="N6102" i="2"/>
  <c r="M6102" i="2"/>
  <c r="J6102" i="2"/>
  <c r="I6102" i="2"/>
  <c r="H6102" i="2"/>
  <c r="G6102" i="2"/>
  <c r="F6102" i="2"/>
  <c r="E6102" i="2"/>
  <c r="D6102" i="2"/>
  <c r="C6102" i="2"/>
  <c r="B6102" i="2"/>
  <c r="A6102" i="2"/>
  <c r="U6101" i="2"/>
  <c r="N6101" i="2"/>
  <c r="M6101" i="2"/>
  <c r="J6101" i="2"/>
  <c r="I6101" i="2"/>
  <c r="H6101" i="2"/>
  <c r="G6101" i="2"/>
  <c r="F6101" i="2"/>
  <c r="E6101" i="2"/>
  <c r="D6101" i="2"/>
  <c r="C6101" i="2"/>
  <c r="B6101" i="2"/>
  <c r="A6101" i="2"/>
  <c r="U6100" i="2"/>
  <c r="N6100" i="2"/>
  <c r="M6100" i="2"/>
  <c r="J6100" i="2"/>
  <c r="I6100" i="2"/>
  <c r="H6100" i="2"/>
  <c r="G6100" i="2"/>
  <c r="F6100" i="2"/>
  <c r="E6100" i="2"/>
  <c r="D6100" i="2"/>
  <c r="C6100" i="2"/>
  <c r="B6100" i="2"/>
  <c r="A6100" i="2"/>
  <c r="U6099" i="2"/>
  <c r="N6099" i="2"/>
  <c r="M6099" i="2"/>
  <c r="J6099" i="2"/>
  <c r="I6099" i="2"/>
  <c r="H6099" i="2"/>
  <c r="G6099" i="2"/>
  <c r="F6099" i="2"/>
  <c r="E6099" i="2"/>
  <c r="D6099" i="2"/>
  <c r="C6099" i="2"/>
  <c r="B6099" i="2"/>
  <c r="A6099" i="2"/>
  <c r="U6098" i="2"/>
  <c r="N6098" i="2"/>
  <c r="M6098" i="2"/>
  <c r="J6098" i="2"/>
  <c r="I6098" i="2"/>
  <c r="H6098" i="2"/>
  <c r="G6098" i="2"/>
  <c r="F6098" i="2"/>
  <c r="E6098" i="2"/>
  <c r="D6098" i="2"/>
  <c r="C6098" i="2"/>
  <c r="B6098" i="2"/>
  <c r="A6098" i="2"/>
  <c r="U6097" i="2"/>
  <c r="N6097" i="2"/>
  <c r="M6097" i="2"/>
  <c r="J6097" i="2"/>
  <c r="I6097" i="2"/>
  <c r="H6097" i="2"/>
  <c r="G6097" i="2"/>
  <c r="F6097" i="2"/>
  <c r="E6097" i="2"/>
  <c r="D6097" i="2"/>
  <c r="C6097" i="2"/>
  <c r="B6097" i="2"/>
  <c r="A6097" i="2"/>
  <c r="U6096" i="2"/>
  <c r="N6096" i="2"/>
  <c r="M6096" i="2"/>
  <c r="J6096" i="2"/>
  <c r="I6096" i="2"/>
  <c r="H6096" i="2"/>
  <c r="G6096" i="2"/>
  <c r="F6096" i="2"/>
  <c r="E6096" i="2"/>
  <c r="D6096" i="2"/>
  <c r="C6096" i="2"/>
  <c r="B6096" i="2"/>
  <c r="A6096" i="2"/>
  <c r="U6095" i="2"/>
  <c r="N6095" i="2"/>
  <c r="M6095" i="2"/>
  <c r="J6095" i="2"/>
  <c r="I6095" i="2"/>
  <c r="H6095" i="2"/>
  <c r="G6095" i="2"/>
  <c r="F6095" i="2"/>
  <c r="E6095" i="2"/>
  <c r="D6095" i="2"/>
  <c r="C6095" i="2"/>
  <c r="B6095" i="2"/>
  <c r="A6095" i="2"/>
  <c r="U6094" i="2"/>
  <c r="N6094" i="2"/>
  <c r="M6094" i="2"/>
  <c r="J6094" i="2"/>
  <c r="I6094" i="2"/>
  <c r="H6094" i="2"/>
  <c r="G6094" i="2"/>
  <c r="F6094" i="2"/>
  <c r="E6094" i="2"/>
  <c r="D6094" i="2"/>
  <c r="C6094" i="2"/>
  <c r="B6094" i="2"/>
  <c r="A6094" i="2"/>
  <c r="U6093" i="2"/>
  <c r="N6093" i="2"/>
  <c r="M6093" i="2"/>
  <c r="J6093" i="2"/>
  <c r="I6093" i="2"/>
  <c r="H6093" i="2"/>
  <c r="G6093" i="2"/>
  <c r="F6093" i="2"/>
  <c r="E6093" i="2"/>
  <c r="D6093" i="2"/>
  <c r="C6093" i="2"/>
  <c r="B6093" i="2"/>
  <c r="A6093" i="2"/>
  <c r="U6092" i="2"/>
  <c r="N6092" i="2"/>
  <c r="M6092" i="2"/>
  <c r="J6092" i="2"/>
  <c r="I6092" i="2"/>
  <c r="H6092" i="2"/>
  <c r="G6092" i="2"/>
  <c r="F6092" i="2"/>
  <c r="E6092" i="2"/>
  <c r="D6092" i="2"/>
  <c r="C6092" i="2"/>
  <c r="B6092" i="2"/>
  <c r="A6092" i="2"/>
  <c r="U6091" i="2"/>
  <c r="N6091" i="2"/>
  <c r="M6091" i="2"/>
  <c r="J6091" i="2"/>
  <c r="I6091" i="2"/>
  <c r="H6091" i="2"/>
  <c r="G6091" i="2"/>
  <c r="F6091" i="2"/>
  <c r="E6091" i="2"/>
  <c r="D6091" i="2"/>
  <c r="C6091" i="2"/>
  <c r="B6091" i="2"/>
  <c r="A6091" i="2"/>
  <c r="U6090" i="2"/>
  <c r="N6090" i="2"/>
  <c r="M6090" i="2"/>
  <c r="J6090" i="2"/>
  <c r="I6090" i="2"/>
  <c r="H6090" i="2"/>
  <c r="G6090" i="2"/>
  <c r="F6090" i="2"/>
  <c r="E6090" i="2"/>
  <c r="D6090" i="2"/>
  <c r="C6090" i="2"/>
  <c r="B6090" i="2"/>
  <c r="A6090" i="2"/>
  <c r="U6089" i="2"/>
  <c r="N6089" i="2"/>
  <c r="M6089" i="2"/>
  <c r="J6089" i="2"/>
  <c r="I6089" i="2"/>
  <c r="H6089" i="2"/>
  <c r="G6089" i="2"/>
  <c r="F6089" i="2"/>
  <c r="E6089" i="2"/>
  <c r="D6089" i="2"/>
  <c r="C6089" i="2"/>
  <c r="B6089" i="2"/>
  <c r="A6089" i="2"/>
  <c r="U6088" i="2"/>
  <c r="N6088" i="2"/>
  <c r="M6088" i="2"/>
  <c r="J6088" i="2"/>
  <c r="I6088" i="2"/>
  <c r="H6088" i="2"/>
  <c r="G6088" i="2"/>
  <c r="F6088" i="2"/>
  <c r="E6088" i="2"/>
  <c r="D6088" i="2"/>
  <c r="C6088" i="2"/>
  <c r="B6088" i="2"/>
  <c r="A6088" i="2"/>
  <c r="U6087" i="2"/>
  <c r="N6087" i="2"/>
  <c r="M6087" i="2"/>
  <c r="J6087" i="2"/>
  <c r="I6087" i="2"/>
  <c r="H6087" i="2"/>
  <c r="G6087" i="2"/>
  <c r="F6087" i="2"/>
  <c r="E6087" i="2"/>
  <c r="D6087" i="2"/>
  <c r="C6087" i="2"/>
  <c r="B6087" i="2"/>
  <c r="A6087" i="2"/>
  <c r="U6086" i="2"/>
  <c r="N6086" i="2"/>
  <c r="M6086" i="2"/>
  <c r="J6086" i="2"/>
  <c r="I6086" i="2"/>
  <c r="H6086" i="2"/>
  <c r="G6086" i="2"/>
  <c r="F6086" i="2"/>
  <c r="E6086" i="2"/>
  <c r="D6086" i="2"/>
  <c r="C6086" i="2"/>
  <c r="B6086" i="2"/>
  <c r="A6086" i="2"/>
  <c r="U6085" i="2"/>
  <c r="N6085" i="2"/>
  <c r="M6085" i="2"/>
  <c r="J6085" i="2"/>
  <c r="I6085" i="2"/>
  <c r="H6085" i="2"/>
  <c r="G6085" i="2"/>
  <c r="F6085" i="2"/>
  <c r="E6085" i="2"/>
  <c r="D6085" i="2"/>
  <c r="C6085" i="2"/>
  <c r="B6085" i="2"/>
  <c r="A6085" i="2"/>
  <c r="U6084" i="2"/>
  <c r="N6084" i="2"/>
  <c r="M6084" i="2"/>
  <c r="J6084" i="2"/>
  <c r="I6084" i="2"/>
  <c r="H6084" i="2"/>
  <c r="G6084" i="2"/>
  <c r="F6084" i="2"/>
  <c r="E6084" i="2"/>
  <c r="D6084" i="2"/>
  <c r="C6084" i="2"/>
  <c r="B6084" i="2"/>
  <c r="A6084" i="2"/>
  <c r="Q6083" i="2"/>
  <c r="U6083" i="2" s="1"/>
  <c r="N6083" i="2"/>
  <c r="M6083" i="2"/>
  <c r="J6083" i="2"/>
  <c r="I6083" i="2"/>
  <c r="H6083" i="2"/>
  <c r="G6083" i="2"/>
  <c r="F6083" i="2"/>
  <c r="E6083" i="2"/>
  <c r="D6083" i="2"/>
  <c r="C6083" i="2"/>
  <c r="B6083" i="2"/>
  <c r="A6083" i="2"/>
  <c r="U6082" i="2"/>
  <c r="N6082" i="2"/>
  <c r="M6082" i="2"/>
  <c r="J6082" i="2"/>
  <c r="I6082" i="2"/>
  <c r="H6082" i="2"/>
  <c r="G6082" i="2"/>
  <c r="F6082" i="2"/>
  <c r="E6082" i="2"/>
  <c r="D6082" i="2"/>
  <c r="C6082" i="2"/>
  <c r="B6082" i="2"/>
  <c r="A6082" i="2"/>
  <c r="U6081" i="2"/>
  <c r="N6081" i="2"/>
  <c r="M6081" i="2"/>
  <c r="J6081" i="2"/>
  <c r="I6081" i="2"/>
  <c r="H6081" i="2"/>
  <c r="G6081" i="2"/>
  <c r="F6081" i="2"/>
  <c r="E6081" i="2"/>
  <c r="D6081" i="2"/>
  <c r="C6081" i="2"/>
  <c r="B6081" i="2"/>
  <c r="A6081" i="2"/>
  <c r="U6080" i="2"/>
  <c r="N6080" i="2"/>
  <c r="M6080" i="2"/>
  <c r="J6080" i="2"/>
  <c r="I6080" i="2"/>
  <c r="H6080" i="2"/>
  <c r="G6080" i="2"/>
  <c r="F6080" i="2"/>
  <c r="E6080" i="2"/>
  <c r="D6080" i="2"/>
  <c r="C6080" i="2"/>
  <c r="B6080" i="2"/>
  <c r="A6080" i="2"/>
  <c r="U6079" i="2"/>
  <c r="N6079" i="2"/>
  <c r="M6079" i="2"/>
  <c r="J6079" i="2"/>
  <c r="I6079" i="2"/>
  <c r="H6079" i="2"/>
  <c r="G6079" i="2"/>
  <c r="F6079" i="2"/>
  <c r="E6079" i="2"/>
  <c r="D6079" i="2"/>
  <c r="C6079" i="2"/>
  <c r="B6079" i="2"/>
  <c r="A6079" i="2"/>
  <c r="U6078" i="2"/>
  <c r="N6078" i="2"/>
  <c r="M6078" i="2"/>
  <c r="J6078" i="2"/>
  <c r="I6078" i="2"/>
  <c r="H6078" i="2"/>
  <c r="G6078" i="2"/>
  <c r="F6078" i="2"/>
  <c r="E6078" i="2"/>
  <c r="D6078" i="2"/>
  <c r="C6078" i="2"/>
  <c r="B6078" i="2"/>
  <c r="A6078" i="2"/>
  <c r="U6077" i="2"/>
  <c r="N6077" i="2"/>
  <c r="M6077" i="2"/>
  <c r="J6077" i="2"/>
  <c r="I6077" i="2"/>
  <c r="H6077" i="2"/>
  <c r="G6077" i="2"/>
  <c r="F6077" i="2"/>
  <c r="E6077" i="2"/>
  <c r="D6077" i="2"/>
  <c r="C6077" i="2"/>
  <c r="B6077" i="2"/>
  <c r="A6077" i="2"/>
  <c r="U6076" i="2"/>
  <c r="N6076" i="2"/>
  <c r="M6076" i="2"/>
  <c r="J6076" i="2"/>
  <c r="I6076" i="2"/>
  <c r="H6076" i="2"/>
  <c r="G6076" i="2"/>
  <c r="F6076" i="2"/>
  <c r="E6076" i="2"/>
  <c r="D6076" i="2"/>
  <c r="C6076" i="2"/>
  <c r="B6076" i="2"/>
  <c r="A6076" i="2"/>
  <c r="U6075" i="2"/>
  <c r="N6075" i="2"/>
  <c r="M6075" i="2"/>
  <c r="J6075" i="2"/>
  <c r="I6075" i="2"/>
  <c r="H6075" i="2"/>
  <c r="G6075" i="2"/>
  <c r="F6075" i="2"/>
  <c r="E6075" i="2"/>
  <c r="D6075" i="2"/>
  <c r="C6075" i="2"/>
  <c r="B6075" i="2"/>
  <c r="A6075" i="2"/>
  <c r="U6074" i="2"/>
  <c r="N6074" i="2"/>
  <c r="M6074" i="2"/>
  <c r="J6074" i="2"/>
  <c r="I6074" i="2"/>
  <c r="H6074" i="2"/>
  <c r="G6074" i="2"/>
  <c r="F6074" i="2"/>
  <c r="E6074" i="2"/>
  <c r="D6074" i="2"/>
  <c r="C6074" i="2"/>
  <c r="B6074" i="2"/>
  <c r="A6074" i="2"/>
  <c r="U6073" i="2"/>
  <c r="N6073" i="2"/>
  <c r="M6073" i="2"/>
  <c r="J6073" i="2"/>
  <c r="I6073" i="2"/>
  <c r="H6073" i="2"/>
  <c r="G6073" i="2"/>
  <c r="F6073" i="2"/>
  <c r="E6073" i="2"/>
  <c r="D6073" i="2"/>
  <c r="C6073" i="2"/>
  <c r="B6073" i="2"/>
  <c r="A6073" i="2"/>
  <c r="U6072" i="2"/>
  <c r="N6072" i="2"/>
  <c r="M6072" i="2"/>
  <c r="J6072" i="2"/>
  <c r="I6072" i="2"/>
  <c r="H6072" i="2"/>
  <c r="G6072" i="2"/>
  <c r="F6072" i="2"/>
  <c r="E6072" i="2"/>
  <c r="D6072" i="2"/>
  <c r="C6072" i="2"/>
  <c r="B6072" i="2"/>
  <c r="A6072" i="2"/>
  <c r="U6071" i="2"/>
  <c r="N6071" i="2"/>
  <c r="M6071" i="2"/>
  <c r="J6071" i="2"/>
  <c r="I6071" i="2"/>
  <c r="H6071" i="2"/>
  <c r="G6071" i="2"/>
  <c r="F6071" i="2"/>
  <c r="E6071" i="2"/>
  <c r="D6071" i="2"/>
  <c r="C6071" i="2"/>
  <c r="B6071" i="2"/>
  <c r="A6071" i="2"/>
  <c r="U6070" i="2"/>
  <c r="N6070" i="2"/>
  <c r="M6070" i="2"/>
  <c r="J6070" i="2"/>
  <c r="I6070" i="2"/>
  <c r="H6070" i="2"/>
  <c r="G6070" i="2"/>
  <c r="F6070" i="2"/>
  <c r="E6070" i="2"/>
  <c r="D6070" i="2"/>
  <c r="C6070" i="2"/>
  <c r="B6070" i="2"/>
  <c r="A6070" i="2"/>
  <c r="U6069" i="2"/>
  <c r="N6069" i="2"/>
  <c r="M6069" i="2"/>
  <c r="J6069" i="2"/>
  <c r="I6069" i="2"/>
  <c r="H6069" i="2"/>
  <c r="G6069" i="2"/>
  <c r="F6069" i="2"/>
  <c r="E6069" i="2"/>
  <c r="D6069" i="2"/>
  <c r="C6069" i="2"/>
  <c r="B6069" i="2"/>
  <c r="A6069" i="2"/>
  <c r="U6068" i="2"/>
  <c r="N6068" i="2"/>
  <c r="M6068" i="2"/>
  <c r="J6068" i="2"/>
  <c r="I6068" i="2"/>
  <c r="H6068" i="2"/>
  <c r="G6068" i="2"/>
  <c r="F6068" i="2"/>
  <c r="E6068" i="2"/>
  <c r="D6068" i="2"/>
  <c r="C6068" i="2"/>
  <c r="B6068" i="2"/>
  <c r="A6068" i="2"/>
  <c r="U6067" i="2"/>
  <c r="N6067" i="2"/>
  <c r="M6067" i="2"/>
  <c r="J6067" i="2"/>
  <c r="I6067" i="2"/>
  <c r="H6067" i="2"/>
  <c r="G6067" i="2"/>
  <c r="F6067" i="2"/>
  <c r="E6067" i="2"/>
  <c r="D6067" i="2"/>
  <c r="C6067" i="2"/>
  <c r="B6067" i="2"/>
  <c r="A6067" i="2"/>
  <c r="U6066" i="2"/>
  <c r="N6066" i="2"/>
  <c r="M6066" i="2"/>
  <c r="J6066" i="2"/>
  <c r="I6066" i="2"/>
  <c r="H6066" i="2"/>
  <c r="G6066" i="2"/>
  <c r="F6066" i="2"/>
  <c r="E6066" i="2"/>
  <c r="D6066" i="2"/>
  <c r="C6066" i="2"/>
  <c r="B6066" i="2"/>
  <c r="A6066" i="2"/>
  <c r="U6065" i="2"/>
  <c r="N6065" i="2"/>
  <c r="M6065" i="2"/>
  <c r="J6065" i="2"/>
  <c r="I6065" i="2"/>
  <c r="H6065" i="2"/>
  <c r="G6065" i="2"/>
  <c r="F6065" i="2"/>
  <c r="E6065" i="2"/>
  <c r="D6065" i="2"/>
  <c r="C6065" i="2"/>
  <c r="B6065" i="2"/>
  <c r="A6065" i="2"/>
  <c r="U6064" i="2"/>
  <c r="N6064" i="2"/>
  <c r="M6064" i="2"/>
  <c r="J6064" i="2"/>
  <c r="I6064" i="2"/>
  <c r="H6064" i="2"/>
  <c r="G6064" i="2"/>
  <c r="F6064" i="2"/>
  <c r="E6064" i="2"/>
  <c r="D6064" i="2"/>
  <c r="C6064" i="2"/>
  <c r="B6064" i="2"/>
  <c r="A6064" i="2"/>
  <c r="U6063" i="2"/>
  <c r="N6063" i="2"/>
  <c r="M6063" i="2"/>
  <c r="J6063" i="2"/>
  <c r="I6063" i="2"/>
  <c r="H6063" i="2"/>
  <c r="G6063" i="2"/>
  <c r="F6063" i="2"/>
  <c r="E6063" i="2"/>
  <c r="D6063" i="2"/>
  <c r="C6063" i="2"/>
  <c r="B6063" i="2"/>
  <c r="A6063" i="2"/>
  <c r="U6062" i="2"/>
  <c r="N6062" i="2"/>
  <c r="M6062" i="2"/>
  <c r="J6062" i="2"/>
  <c r="I6062" i="2"/>
  <c r="H6062" i="2"/>
  <c r="G6062" i="2"/>
  <c r="F6062" i="2"/>
  <c r="E6062" i="2"/>
  <c r="D6062" i="2"/>
  <c r="C6062" i="2"/>
  <c r="B6062" i="2"/>
  <c r="A6062" i="2"/>
  <c r="U6061" i="2"/>
  <c r="N6061" i="2"/>
  <c r="M6061" i="2"/>
  <c r="J6061" i="2"/>
  <c r="I6061" i="2"/>
  <c r="H6061" i="2"/>
  <c r="G6061" i="2"/>
  <c r="F6061" i="2"/>
  <c r="E6061" i="2"/>
  <c r="D6061" i="2"/>
  <c r="C6061" i="2"/>
  <c r="B6061" i="2"/>
  <c r="A6061" i="2"/>
  <c r="Q6060" i="2"/>
  <c r="U6060" i="2" s="1"/>
  <c r="N6060" i="2"/>
  <c r="M6060" i="2"/>
  <c r="J6060" i="2"/>
  <c r="I6060" i="2"/>
  <c r="H6060" i="2"/>
  <c r="G6060" i="2"/>
  <c r="F6060" i="2"/>
  <c r="E6060" i="2"/>
  <c r="D6060" i="2"/>
  <c r="C6060" i="2"/>
  <c r="B6060" i="2"/>
  <c r="A6060" i="2"/>
  <c r="U6059" i="2"/>
  <c r="N6059" i="2"/>
  <c r="M6059" i="2"/>
  <c r="J6059" i="2"/>
  <c r="I6059" i="2"/>
  <c r="H6059" i="2"/>
  <c r="G6059" i="2"/>
  <c r="F6059" i="2"/>
  <c r="E6059" i="2"/>
  <c r="D6059" i="2"/>
  <c r="C6059" i="2"/>
  <c r="B6059" i="2"/>
  <c r="A6059" i="2"/>
  <c r="U6058" i="2"/>
  <c r="N6058" i="2"/>
  <c r="M6058" i="2"/>
  <c r="J6058" i="2"/>
  <c r="I6058" i="2"/>
  <c r="H6058" i="2"/>
  <c r="G6058" i="2"/>
  <c r="F6058" i="2"/>
  <c r="E6058" i="2"/>
  <c r="D6058" i="2"/>
  <c r="C6058" i="2"/>
  <c r="B6058" i="2"/>
  <c r="A6058" i="2"/>
  <c r="Q6057" i="2"/>
  <c r="U6057" i="2" s="1"/>
  <c r="N6057" i="2"/>
  <c r="M6057" i="2"/>
  <c r="J6057" i="2"/>
  <c r="I6057" i="2"/>
  <c r="H6057" i="2"/>
  <c r="G6057" i="2"/>
  <c r="F6057" i="2"/>
  <c r="E6057" i="2"/>
  <c r="D6057" i="2"/>
  <c r="C6057" i="2"/>
  <c r="B6057" i="2"/>
  <c r="A6057" i="2"/>
  <c r="U6056" i="2"/>
  <c r="N6056" i="2"/>
  <c r="M6056" i="2"/>
  <c r="J6056" i="2"/>
  <c r="I6056" i="2"/>
  <c r="H6056" i="2"/>
  <c r="G6056" i="2"/>
  <c r="F6056" i="2"/>
  <c r="E6056" i="2"/>
  <c r="D6056" i="2"/>
  <c r="C6056" i="2"/>
  <c r="B6056" i="2"/>
  <c r="A6056" i="2"/>
  <c r="U6055" i="2"/>
  <c r="N6055" i="2"/>
  <c r="M6055" i="2"/>
  <c r="J6055" i="2"/>
  <c r="I6055" i="2"/>
  <c r="H6055" i="2"/>
  <c r="G6055" i="2"/>
  <c r="F6055" i="2"/>
  <c r="E6055" i="2"/>
  <c r="D6055" i="2"/>
  <c r="C6055" i="2"/>
  <c r="B6055" i="2"/>
  <c r="A6055" i="2"/>
  <c r="U6054" i="2"/>
  <c r="N6054" i="2"/>
  <c r="M6054" i="2"/>
  <c r="J6054" i="2"/>
  <c r="I6054" i="2"/>
  <c r="H6054" i="2"/>
  <c r="G6054" i="2"/>
  <c r="F6054" i="2"/>
  <c r="E6054" i="2"/>
  <c r="D6054" i="2"/>
  <c r="C6054" i="2"/>
  <c r="B6054" i="2"/>
  <c r="A6054" i="2"/>
  <c r="Q6053" i="2"/>
  <c r="U6053" i="2" s="1"/>
  <c r="N6053" i="2"/>
  <c r="M6053" i="2"/>
  <c r="J6053" i="2"/>
  <c r="I6053" i="2"/>
  <c r="H6053" i="2"/>
  <c r="G6053" i="2"/>
  <c r="F6053" i="2"/>
  <c r="E6053" i="2"/>
  <c r="D6053" i="2"/>
  <c r="C6053" i="2"/>
  <c r="B6053" i="2"/>
  <c r="A6053" i="2"/>
  <c r="U6052" i="2"/>
  <c r="N6052" i="2"/>
  <c r="M6052" i="2"/>
  <c r="J6052" i="2"/>
  <c r="I6052" i="2"/>
  <c r="H6052" i="2"/>
  <c r="G6052" i="2"/>
  <c r="F6052" i="2"/>
  <c r="E6052" i="2"/>
  <c r="D6052" i="2"/>
  <c r="C6052" i="2"/>
  <c r="B6052" i="2"/>
  <c r="A6052" i="2"/>
  <c r="U6051" i="2"/>
  <c r="N6051" i="2"/>
  <c r="M6051" i="2"/>
  <c r="J6051" i="2"/>
  <c r="I6051" i="2"/>
  <c r="H6051" i="2"/>
  <c r="G6051" i="2"/>
  <c r="F6051" i="2"/>
  <c r="E6051" i="2"/>
  <c r="D6051" i="2"/>
  <c r="C6051" i="2"/>
  <c r="B6051" i="2"/>
  <c r="A6051" i="2"/>
  <c r="U6050" i="2"/>
  <c r="N6050" i="2"/>
  <c r="M6050" i="2"/>
  <c r="J6050" i="2"/>
  <c r="I6050" i="2"/>
  <c r="H6050" i="2"/>
  <c r="G6050" i="2"/>
  <c r="F6050" i="2"/>
  <c r="E6050" i="2"/>
  <c r="D6050" i="2"/>
  <c r="C6050" i="2"/>
  <c r="B6050" i="2"/>
  <c r="A6050" i="2"/>
  <c r="U6049" i="2"/>
  <c r="N6049" i="2"/>
  <c r="M6049" i="2"/>
  <c r="J6049" i="2"/>
  <c r="I6049" i="2"/>
  <c r="H6049" i="2"/>
  <c r="G6049" i="2"/>
  <c r="F6049" i="2"/>
  <c r="E6049" i="2"/>
  <c r="D6049" i="2"/>
  <c r="C6049" i="2"/>
  <c r="B6049" i="2"/>
  <c r="A6049" i="2"/>
  <c r="U6048" i="2"/>
  <c r="N6048" i="2"/>
  <c r="M6048" i="2"/>
  <c r="J6048" i="2"/>
  <c r="I6048" i="2"/>
  <c r="H6048" i="2"/>
  <c r="G6048" i="2"/>
  <c r="F6048" i="2"/>
  <c r="E6048" i="2"/>
  <c r="D6048" i="2"/>
  <c r="C6048" i="2"/>
  <c r="B6048" i="2"/>
  <c r="A6048" i="2"/>
  <c r="U6047" i="2"/>
  <c r="N6047" i="2"/>
  <c r="M6047" i="2"/>
  <c r="J6047" i="2"/>
  <c r="I6047" i="2"/>
  <c r="H6047" i="2"/>
  <c r="G6047" i="2"/>
  <c r="F6047" i="2"/>
  <c r="E6047" i="2"/>
  <c r="D6047" i="2"/>
  <c r="C6047" i="2"/>
  <c r="B6047" i="2"/>
  <c r="A6047" i="2"/>
  <c r="U6046" i="2"/>
  <c r="N6046" i="2"/>
  <c r="M6046" i="2"/>
  <c r="J6046" i="2"/>
  <c r="I6046" i="2"/>
  <c r="H6046" i="2"/>
  <c r="G6046" i="2"/>
  <c r="F6046" i="2"/>
  <c r="E6046" i="2"/>
  <c r="D6046" i="2"/>
  <c r="C6046" i="2"/>
  <c r="B6046" i="2"/>
  <c r="A6046" i="2"/>
  <c r="U6045" i="2"/>
  <c r="N6045" i="2"/>
  <c r="M6045" i="2"/>
  <c r="J6045" i="2"/>
  <c r="I6045" i="2"/>
  <c r="H6045" i="2"/>
  <c r="G6045" i="2"/>
  <c r="F6045" i="2"/>
  <c r="E6045" i="2"/>
  <c r="D6045" i="2"/>
  <c r="C6045" i="2"/>
  <c r="B6045" i="2"/>
  <c r="A6045" i="2"/>
  <c r="U6044" i="2"/>
  <c r="N6044" i="2"/>
  <c r="M6044" i="2"/>
  <c r="J6044" i="2"/>
  <c r="I6044" i="2"/>
  <c r="H6044" i="2"/>
  <c r="G6044" i="2"/>
  <c r="F6044" i="2"/>
  <c r="E6044" i="2"/>
  <c r="D6044" i="2"/>
  <c r="C6044" i="2"/>
  <c r="B6044" i="2"/>
  <c r="A6044" i="2"/>
  <c r="U6043" i="2"/>
  <c r="N6043" i="2"/>
  <c r="M6043" i="2"/>
  <c r="J6043" i="2"/>
  <c r="I6043" i="2"/>
  <c r="H6043" i="2"/>
  <c r="G6043" i="2"/>
  <c r="F6043" i="2"/>
  <c r="E6043" i="2"/>
  <c r="D6043" i="2"/>
  <c r="C6043" i="2"/>
  <c r="B6043" i="2"/>
  <c r="A6043" i="2"/>
  <c r="U6042" i="2"/>
  <c r="N6042" i="2"/>
  <c r="M6042" i="2"/>
  <c r="J6042" i="2"/>
  <c r="I6042" i="2"/>
  <c r="H6042" i="2"/>
  <c r="G6042" i="2"/>
  <c r="F6042" i="2"/>
  <c r="E6042" i="2"/>
  <c r="D6042" i="2"/>
  <c r="C6042" i="2"/>
  <c r="B6042" i="2"/>
  <c r="A6042" i="2"/>
  <c r="U6041" i="2"/>
  <c r="N6041" i="2"/>
  <c r="M6041" i="2"/>
  <c r="J6041" i="2"/>
  <c r="I6041" i="2"/>
  <c r="H6041" i="2"/>
  <c r="G6041" i="2"/>
  <c r="F6041" i="2"/>
  <c r="E6041" i="2"/>
  <c r="D6041" i="2"/>
  <c r="C6041" i="2"/>
  <c r="B6041" i="2"/>
  <c r="A6041" i="2"/>
  <c r="Q6040" i="2"/>
  <c r="U6040" i="2" s="1"/>
  <c r="N6040" i="2"/>
  <c r="M6040" i="2"/>
  <c r="J6040" i="2"/>
  <c r="I6040" i="2"/>
  <c r="H6040" i="2"/>
  <c r="G6040" i="2"/>
  <c r="F6040" i="2"/>
  <c r="E6040" i="2"/>
  <c r="D6040" i="2"/>
  <c r="C6040" i="2"/>
  <c r="B6040" i="2"/>
  <c r="A6040" i="2"/>
  <c r="U6039" i="2"/>
  <c r="N6039" i="2"/>
  <c r="M6039" i="2"/>
  <c r="J6039" i="2"/>
  <c r="I6039" i="2"/>
  <c r="H6039" i="2"/>
  <c r="G6039" i="2"/>
  <c r="F6039" i="2"/>
  <c r="E6039" i="2"/>
  <c r="D6039" i="2"/>
  <c r="C6039" i="2"/>
  <c r="B6039" i="2"/>
  <c r="A6039" i="2"/>
  <c r="U6038" i="2"/>
  <c r="N6038" i="2"/>
  <c r="M6038" i="2"/>
  <c r="J6038" i="2"/>
  <c r="I6038" i="2"/>
  <c r="H6038" i="2"/>
  <c r="G6038" i="2"/>
  <c r="F6038" i="2"/>
  <c r="E6038" i="2"/>
  <c r="D6038" i="2"/>
  <c r="C6038" i="2"/>
  <c r="B6038" i="2"/>
  <c r="A6038" i="2"/>
  <c r="U6037" i="2"/>
  <c r="N6037" i="2"/>
  <c r="M6037" i="2"/>
  <c r="J6037" i="2"/>
  <c r="I6037" i="2"/>
  <c r="H6037" i="2"/>
  <c r="G6037" i="2"/>
  <c r="F6037" i="2"/>
  <c r="E6037" i="2"/>
  <c r="D6037" i="2"/>
  <c r="C6037" i="2"/>
  <c r="B6037" i="2"/>
  <c r="A6037" i="2"/>
  <c r="U6036" i="2"/>
  <c r="N6036" i="2"/>
  <c r="M6036" i="2"/>
  <c r="J6036" i="2"/>
  <c r="I6036" i="2"/>
  <c r="H6036" i="2"/>
  <c r="G6036" i="2"/>
  <c r="F6036" i="2"/>
  <c r="E6036" i="2"/>
  <c r="D6036" i="2"/>
  <c r="C6036" i="2"/>
  <c r="B6036" i="2"/>
  <c r="A6036" i="2"/>
  <c r="U6035" i="2"/>
  <c r="N6035" i="2"/>
  <c r="M6035" i="2"/>
  <c r="J6035" i="2"/>
  <c r="I6035" i="2"/>
  <c r="H6035" i="2"/>
  <c r="G6035" i="2"/>
  <c r="F6035" i="2"/>
  <c r="E6035" i="2"/>
  <c r="D6035" i="2"/>
  <c r="C6035" i="2"/>
  <c r="B6035" i="2"/>
  <c r="A6035" i="2"/>
  <c r="U6034" i="2"/>
  <c r="N6034" i="2"/>
  <c r="M6034" i="2"/>
  <c r="J6034" i="2"/>
  <c r="I6034" i="2"/>
  <c r="H6034" i="2"/>
  <c r="G6034" i="2"/>
  <c r="F6034" i="2"/>
  <c r="E6034" i="2"/>
  <c r="D6034" i="2"/>
  <c r="C6034" i="2"/>
  <c r="B6034" i="2"/>
  <c r="A6034" i="2"/>
  <c r="U6033" i="2"/>
  <c r="N6033" i="2"/>
  <c r="M6033" i="2"/>
  <c r="J6033" i="2"/>
  <c r="I6033" i="2"/>
  <c r="H6033" i="2"/>
  <c r="G6033" i="2"/>
  <c r="F6033" i="2"/>
  <c r="E6033" i="2"/>
  <c r="D6033" i="2"/>
  <c r="C6033" i="2"/>
  <c r="B6033" i="2"/>
  <c r="A6033" i="2"/>
  <c r="U6032" i="2"/>
  <c r="N6032" i="2"/>
  <c r="M6032" i="2"/>
  <c r="J6032" i="2"/>
  <c r="I6032" i="2"/>
  <c r="H6032" i="2"/>
  <c r="G6032" i="2"/>
  <c r="F6032" i="2"/>
  <c r="E6032" i="2"/>
  <c r="D6032" i="2"/>
  <c r="C6032" i="2"/>
  <c r="B6032" i="2"/>
  <c r="A6032" i="2"/>
  <c r="U6031" i="2"/>
  <c r="N6031" i="2"/>
  <c r="M6031" i="2"/>
  <c r="J6031" i="2"/>
  <c r="I6031" i="2"/>
  <c r="H6031" i="2"/>
  <c r="G6031" i="2"/>
  <c r="F6031" i="2"/>
  <c r="E6031" i="2"/>
  <c r="D6031" i="2"/>
  <c r="C6031" i="2"/>
  <c r="B6031" i="2"/>
  <c r="A6031" i="2"/>
  <c r="U6030" i="2"/>
  <c r="N6030" i="2"/>
  <c r="M6030" i="2"/>
  <c r="J6030" i="2"/>
  <c r="I6030" i="2"/>
  <c r="H6030" i="2"/>
  <c r="G6030" i="2"/>
  <c r="F6030" i="2"/>
  <c r="E6030" i="2"/>
  <c r="D6030" i="2"/>
  <c r="C6030" i="2"/>
  <c r="B6030" i="2"/>
  <c r="A6030" i="2"/>
  <c r="U6029" i="2"/>
  <c r="N6029" i="2"/>
  <c r="M6029" i="2"/>
  <c r="J6029" i="2"/>
  <c r="I6029" i="2"/>
  <c r="H6029" i="2"/>
  <c r="G6029" i="2"/>
  <c r="F6029" i="2"/>
  <c r="E6029" i="2"/>
  <c r="D6029" i="2"/>
  <c r="C6029" i="2"/>
  <c r="B6029" i="2"/>
  <c r="A6029" i="2"/>
  <c r="U6028" i="2"/>
  <c r="N6028" i="2"/>
  <c r="M6028" i="2"/>
  <c r="J6028" i="2"/>
  <c r="I6028" i="2"/>
  <c r="H6028" i="2"/>
  <c r="G6028" i="2"/>
  <c r="F6028" i="2"/>
  <c r="E6028" i="2"/>
  <c r="D6028" i="2"/>
  <c r="C6028" i="2"/>
  <c r="B6028" i="2"/>
  <c r="A6028" i="2"/>
  <c r="Q6027" i="2"/>
  <c r="U6027" i="2" s="1"/>
  <c r="N6027" i="2"/>
  <c r="M6027" i="2"/>
  <c r="J6027" i="2"/>
  <c r="I6027" i="2"/>
  <c r="H6027" i="2"/>
  <c r="G6027" i="2"/>
  <c r="F6027" i="2"/>
  <c r="E6027" i="2"/>
  <c r="D6027" i="2"/>
  <c r="C6027" i="2"/>
  <c r="B6027" i="2"/>
  <c r="A6027" i="2"/>
  <c r="U6026" i="2"/>
  <c r="N6026" i="2"/>
  <c r="M6026" i="2"/>
  <c r="J6026" i="2"/>
  <c r="I6026" i="2"/>
  <c r="H6026" i="2"/>
  <c r="G6026" i="2"/>
  <c r="F6026" i="2"/>
  <c r="E6026" i="2"/>
  <c r="D6026" i="2"/>
  <c r="C6026" i="2"/>
  <c r="B6026" i="2"/>
  <c r="A6026" i="2"/>
  <c r="U6025" i="2"/>
  <c r="N6025" i="2"/>
  <c r="M6025" i="2"/>
  <c r="J6025" i="2"/>
  <c r="I6025" i="2"/>
  <c r="H6025" i="2"/>
  <c r="G6025" i="2"/>
  <c r="F6025" i="2"/>
  <c r="E6025" i="2"/>
  <c r="D6025" i="2"/>
  <c r="C6025" i="2"/>
  <c r="B6025" i="2"/>
  <c r="A6025" i="2"/>
  <c r="U6024" i="2"/>
  <c r="N6024" i="2"/>
  <c r="M6024" i="2"/>
  <c r="J6024" i="2"/>
  <c r="I6024" i="2"/>
  <c r="H6024" i="2"/>
  <c r="G6024" i="2"/>
  <c r="F6024" i="2"/>
  <c r="E6024" i="2"/>
  <c r="D6024" i="2"/>
  <c r="C6024" i="2"/>
  <c r="B6024" i="2"/>
  <c r="A6024" i="2"/>
  <c r="U6023" i="2"/>
  <c r="N6023" i="2"/>
  <c r="M6023" i="2"/>
  <c r="J6023" i="2"/>
  <c r="I6023" i="2"/>
  <c r="H6023" i="2"/>
  <c r="G6023" i="2"/>
  <c r="F6023" i="2"/>
  <c r="E6023" i="2"/>
  <c r="D6023" i="2"/>
  <c r="C6023" i="2"/>
  <c r="B6023" i="2"/>
  <c r="A6023" i="2"/>
  <c r="U6022" i="2"/>
  <c r="N6022" i="2"/>
  <c r="M6022" i="2"/>
  <c r="J6022" i="2"/>
  <c r="I6022" i="2"/>
  <c r="H6022" i="2"/>
  <c r="G6022" i="2"/>
  <c r="F6022" i="2"/>
  <c r="E6022" i="2"/>
  <c r="D6022" i="2"/>
  <c r="C6022" i="2"/>
  <c r="B6022" i="2"/>
  <c r="A6022" i="2"/>
  <c r="U6021" i="2"/>
  <c r="N6021" i="2"/>
  <c r="M6021" i="2"/>
  <c r="J6021" i="2"/>
  <c r="I6021" i="2"/>
  <c r="H6021" i="2"/>
  <c r="G6021" i="2"/>
  <c r="F6021" i="2"/>
  <c r="E6021" i="2"/>
  <c r="D6021" i="2"/>
  <c r="C6021" i="2"/>
  <c r="B6021" i="2"/>
  <c r="A6021" i="2"/>
  <c r="U6020" i="2"/>
  <c r="N6020" i="2"/>
  <c r="M6020" i="2"/>
  <c r="J6020" i="2"/>
  <c r="I6020" i="2"/>
  <c r="H6020" i="2"/>
  <c r="G6020" i="2"/>
  <c r="F6020" i="2"/>
  <c r="E6020" i="2"/>
  <c r="D6020" i="2"/>
  <c r="C6020" i="2"/>
  <c r="B6020" i="2"/>
  <c r="A6020" i="2"/>
  <c r="Q6019" i="2"/>
  <c r="U6019" i="2" s="1"/>
  <c r="N6019" i="2"/>
  <c r="M6019" i="2"/>
  <c r="J6019" i="2"/>
  <c r="I6019" i="2"/>
  <c r="H6019" i="2"/>
  <c r="G6019" i="2"/>
  <c r="F6019" i="2"/>
  <c r="E6019" i="2"/>
  <c r="D6019" i="2"/>
  <c r="C6019" i="2"/>
  <c r="B6019" i="2"/>
  <c r="A6019" i="2"/>
  <c r="U6018" i="2"/>
  <c r="N6018" i="2"/>
  <c r="M6018" i="2"/>
  <c r="J6018" i="2"/>
  <c r="I6018" i="2"/>
  <c r="H6018" i="2"/>
  <c r="G6018" i="2"/>
  <c r="F6018" i="2"/>
  <c r="E6018" i="2"/>
  <c r="D6018" i="2"/>
  <c r="C6018" i="2"/>
  <c r="B6018" i="2"/>
  <c r="A6018" i="2"/>
  <c r="U6017" i="2"/>
  <c r="N6017" i="2"/>
  <c r="M6017" i="2"/>
  <c r="J6017" i="2"/>
  <c r="I6017" i="2"/>
  <c r="H6017" i="2"/>
  <c r="G6017" i="2"/>
  <c r="F6017" i="2"/>
  <c r="E6017" i="2"/>
  <c r="D6017" i="2"/>
  <c r="C6017" i="2"/>
  <c r="B6017" i="2"/>
  <c r="A6017" i="2"/>
  <c r="U6016" i="2"/>
  <c r="N6016" i="2"/>
  <c r="M6016" i="2"/>
  <c r="J6016" i="2"/>
  <c r="I6016" i="2"/>
  <c r="H6016" i="2"/>
  <c r="G6016" i="2"/>
  <c r="F6016" i="2"/>
  <c r="E6016" i="2"/>
  <c r="D6016" i="2"/>
  <c r="C6016" i="2"/>
  <c r="B6016" i="2"/>
  <c r="A6016" i="2"/>
  <c r="U6015" i="2"/>
  <c r="N6015" i="2"/>
  <c r="M6015" i="2"/>
  <c r="J6015" i="2"/>
  <c r="I6015" i="2"/>
  <c r="H6015" i="2"/>
  <c r="G6015" i="2"/>
  <c r="F6015" i="2"/>
  <c r="E6015" i="2"/>
  <c r="D6015" i="2"/>
  <c r="C6015" i="2"/>
  <c r="B6015" i="2"/>
  <c r="A6015" i="2"/>
  <c r="U6014" i="2"/>
  <c r="N6014" i="2"/>
  <c r="M6014" i="2"/>
  <c r="J6014" i="2"/>
  <c r="I6014" i="2"/>
  <c r="H6014" i="2"/>
  <c r="G6014" i="2"/>
  <c r="F6014" i="2"/>
  <c r="E6014" i="2"/>
  <c r="D6014" i="2"/>
  <c r="C6014" i="2"/>
  <c r="B6014" i="2"/>
  <c r="A6014" i="2"/>
  <c r="U6013" i="2"/>
  <c r="N6013" i="2"/>
  <c r="M6013" i="2"/>
  <c r="J6013" i="2"/>
  <c r="I6013" i="2"/>
  <c r="H6013" i="2"/>
  <c r="G6013" i="2"/>
  <c r="F6013" i="2"/>
  <c r="E6013" i="2"/>
  <c r="D6013" i="2"/>
  <c r="C6013" i="2"/>
  <c r="B6013" i="2"/>
  <c r="A6013" i="2"/>
  <c r="U6012" i="2"/>
  <c r="N6012" i="2"/>
  <c r="M6012" i="2"/>
  <c r="J6012" i="2"/>
  <c r="I6012" i="2"/>
  <c r="H6012" i="2"/>
  <c r="G6012" i="2"/>
  <c r="F6012" i="2"/>
  <c r="E6012" i="2"/>
  <c r="D6012" i="2"/>
  <c r="C6012" i="2"/>
  <c r="B6012" i="2"/>
  <c r="A6012" i="2"/>
  <c r="U6011" i="2"/>
  <c r="N6011" i="2"/>
  <c r="M6011" i="2"/>
  <c r="J6011" i="2"/>
  <c r="I6011" i="2"/>
  <c r="H6011" i="2"/>
  <c r="G6011" i="2"/>
  <c r="F6011" i="2"/>
  <c r="E6011" i="2"/>
  <c r="D6011" i="2"/>
  <c r="C6011" i="2"/>
  <c r="B6011" i="2"/>
  <c r="A6011" i="2"/>
  <c r="U6010" i="2"/>
  <c r="N6010" i="2"/>
  <c r="M6010" i="2"/>
  <c r="J6010" i="2"/>
  <c r="I6010" i="2"/>
  <c r="H6010" i="2"/>
  <c r="G6010" i="2"/>
  <c r="F6010" i="2"/>
  <c r="E6010" i="2"/>
  <c r="D6010" i="2"/>
  <c r="C6010" i="2"/>
  <c r="B6010" i="2"/>
  <c r="A6010" i="2"/>
  <c r="U6009" i="2"/>
  <c r="N6009" i="2"/>
  <c r="M6009" i="2"/>
  <c r="J6009" i="2"/>
  <c r="I6009" i="2"/>
  <c r="H6009" i="2"/>
  <c r="G6009" i="2"/>
  <c r="F6009" i="2"/>
  <c r="E6009" i="2"/>
  <c r="D6009" i="2"/>
  <c r="C6009" i="2"/>
  <c r="B6009" i="2"/>
  <c r="A6009" i="2"/>
  <c r="U6008" i="2"/>
  <c r="N6008" i="2"/>
  <c r="M6008" i="2"/>
  <c r="J6008" i="2"/>
  <c r="I6008" i="2"/>
  <c r="H6008" i="2"/>
  <c r="G6008" i="2"/>
  <c r="F6008" i="2"/>
  <c r="E6008" i="2"/>
  <c r="D6008" i="2"/>
  <c r="C6008" i="2"/>
  <c r="B6008" i="2"/>
  <c r="A6008" i="2"/>
  <c r="U6007" i="2"/>
  <c r="N6007" i="2"/>
  <c r="M6007" i="2"/>
  <c r="J6007" i="2"/>
  <c r="I6007" i="2"/>
  <c r="H6007" i="2"/>
  <c r="G6007" i="2"/>
  <c r="F6007" i="2"/>
  <c r="E6007" i="2"/>
  <c r="D6007" i="2"/>
  <c r="C6007" i="2"/>
  <c r="B6007" i="2"/>
  <c r="A6007" i="2"/>
  <c r="U6006" i="2"/>
  <c r="N6006" i="2"/>
  <c r="M6006" i="2"/>
  <c r="J6006" i="2"/>
  <c r="I6006" i="2"/>
  <c r="H6006" i="2"/>
  <c r="G6006" i="2"/>
  <c r="F6006" i="2"/>
  <c r="E6006" i="2"/>
  <c r="D6006" i="2"/>
  <c r="C6006" i="2"/>
  <c r="B6006" i="2"/>
  <c r="A6006" i="2"/>
  <c r="U6005" i="2"/>
  <c r="N6005" i="2"/>
  <c r="M6005" i="2"/>
  <c r="J6005" i="2"/>
  <c r="I6005" i="2"/>
  <c r="H6005" i="2"/>
  <c r="G6005" i="2"/>
  <c r="F6005" i="2"/>
  <c r="E6005" i="2"/>
  <c r="D6005" i="2"/>
  <c r="C6005" i="2"/>
  <c r="B6005" i="2"/>
  <c r="A6005" i="2"/>
  <c r="U6004" i="2"/>
  <c r="N6004" i="2"/>
  <c r="M6004" i="2"/>
  <c r="J6004" i="2"/>
  <c r="I6004" i="2"/>
  <c r="H6004" i="2"/>
  <c r="G6004" i="2"/>
  <c r="F6004" i="2"/>
  <c r="E6004" i="2"/>
  <c r="D6004" i="2"/>
  <c r="C6004" i="2"/>
  <c r="B6004" i="2"/>
  <c r="A6004" i="2"/>
  <c r="U6003" i="2"/>
  <c r="N6003" i="2"/>
  <c r="M6003" i="2"/>
  <c r="J6003" i="2"/>
  <c r="I6003" i="2"/>
  <c r="H6003" i="2"/>
  <c r="G6003" i="2"/>
  <c r="F6003" i="2"/>
  <c r="E6003" i="2"/>
  <c r="D6003" i="2"/>
  <c r="C6003" i="2"/>
  <c r="B6003" i="2"/>
  <c r="A6003" i="2"/>
  <c r="Q6002" i="2"/>
  <c r="U6002" i="2" s="1"/>
  <c r="N6002" i="2"/>
  <c r="M6002" i="2"/>
  <c r="J6002" i="2"/>
  <c r="I6002" i="2"/>
  <c r="H6002" i="2"/>
  <c r="G6002" i="2"/>
  <c r="F6002" i="2"/>
  <c r="E6002" i="2"/>
  <c r="D6002" i="2"/>
  <c r="C6002" i="2"/>
  <c r="B6002" i="2"/>
  <c r="A6002" i="2"/>
  <c r="U6001" i="2"/>
  <c r="N6001" i="2"/>
  <c r="M6001" i="2"/>
  <c r="J6001" i="2"/>
  <c r="I6001" i="2"/>
  <c r="H6001" i="2"/>
  <c r="G6001" i="2"/>
  <c r="F6001" i="2"/>
  <c r="E6001" i="2"/>
  <c r="D6001" i="2"/>
  <c r="C6001" i="2"/>
  <c r="B6001" i="2"/>
  <c r="A6001" i="2"/>
  <c r="U6000" i="2"/>
  <c r="N6000" i="2"/>
  <c r="M6000" i="2"/>
  <c r="J6000" i="2"/>
  <c r="I6000" i="2"/>
  <c r="H6000" i="2"/>
  <c r="G6000" i="2"/>
  <c r="F6000" i="2"/>
  <c r="E6000" i="2"/>
  <c r="D6000" i="2"/>
  <c r="C6000" i="2"/>
  <c r="B6000" i="2"/>
  <c r="A6000" i="2"/>
  <c r="U5999" i="2"/>
  <c r="N5999" i="2"/>
  <c r="M5999" i="2"/>
  <c r="J5999" i="2"/>
  <c r="I5999" i="2"/>
  <c r="H5999" i="2"/>
  <c r="G5999" i="2"/>
  <c r="F5999" i="2"/>
  <c r="E5999" i="2"/>
  <c r="D5999" i="2"/>
  <c r="C5999" i="2"/>
  <c r="B5999" i="2"/>
  <c r="A5999" i="2"/>
  <c r="U5998" i="2"/>
  <c r="N5998" i="2"/>
  <c r="M5998" i="2"/>
  <c r="J5998" i="2"/>
  <c r="I5998" i="2"/>
  <c r="H5998" i="2"/>
  <c r="G5998" i="2"/>
  <c r="F5998" i="2"/>
  <c r="E5998" i="2"/>
  <c r="D5998" i="2"/>
  <c r="C5998" i="2"/>
  <c r="B5998" i="2"/>
  <c r="A5998" i="2"/>
  <c r="U5997" i="2"/>
  <c r="N5997" i="2"/>
  <c r="M5997" i="2"/>
  <c r="J5997" i="2"/>
  <c r="I5997" i="2"/>
  <c r="H5997" i="2"/>
  <c r="G5997" i="2"/>
  <c r="F5997" i="2"/>
  <c r="E5997" i="2"/>
  <c r="D5997" i="2"/>
  <c r="C5997" i="2"/>
  <c r="B5997" i="2"/>
  <c r="A5997" i="2"/>
  <c r="U5996" i="2"/>
  <c r="N5996" i="2"/>
  <c r="M5996" i="2"/>
  <c r="J5996" i="2"/>
  <c r="I5996" i="2"/>
  <c r="H5996" i="2"/>
  <c r="G5996" i="2"/>
  <c r="F5996" i="2"/>
  <c r="E5996" i="2"/>
  <c r="D5996" i="2"/>
  <c r="C5996" i="2"/>
  <c r="B5996" i="2"/>
  <c r="A5996" i="2"/>
  <c r="U5995" i="2"/>
  <c r="N5995" i="2"/>
  <c r="M5995" i="2"/>
  <c r="J5995" i="2"/>
  <c r="I5995" i="2"/>
  <c r="H5995" i="2"/>
  <c r="G5995" i="2"/>
  <c r="F5995" i="2"/>
  <c r="E5995" i="2"/>
  <c r="D5995" i="2"/>
  <c r="C5995" i="2"/>
  <c r="B5995" i="2"/>
  <c r="A5995" i="2"/>
  <c r="U5994" i="2"/>
  <c r="N5994" i="2"/>
  <c r="M5994" i="2"/>
  <c r="J5994" i="2"/>
  <c r="I5994" i="2"/>
  <c r="H5994" i="2"/>
  <c r="G5994" i="2"/>
  <c r="F5994" i="2"/>
  <c r="E5994" i="2"/>
  <c r="D5994" i="2"/>
  <c r="C5994" i="2"/>
  <c r="B5994" i="2"/>
  <c r="A5994" i="2"/>
  <c r="Q5993" i="2"/>
  <c r="U5993" i="2" s="1"/>
  <c r="N5993" i="2"/>
  <c r="M5993" i="2"/>
  <c r="J5993" i="2"/>
  <c r="I5993" i="2"/>
  <c r="H5993" i="2"/>
  <c r="G5993" i="2"/>
  <c r="F5993" i="2"/>
  <c r="E5993" i="2"/>
  <c r="D5993" i="2"/>
  <c r="C5993" i="2"/>
  <c r="B5993" i="2"/>
  <c r="A5993" i="2"/>
  <c r="U5992" i="2"/>
  <c r="N5992" i="2"/>
  <c r="M5992" i="2"/>
  <c r="J5992" i="2"/>
  <c r="I5992" i="2"/>
  <c r="H5992" i="2"/>
  <c r="G5992" i="2"/>
  <c r="F5992" i="2"/>
  <c r="E5992" i="2"/>
  <c r="D5992" i="2"/>
  <c r="C5992" i="2"/>
  <c r="B5992" i="2"/>
  <c r="A5992" i="2"/>
  <c r="U5991" i="2"/>
  <c r="N5991" i="2"/>
  <c r="M5991" i="2"/>
  <c r="J5991" i="2"/>
  <c r="I5991" i="2"/>
  <c r="H5991" i="2"/>
  <c r="G5991" i="2"/>
  <c r="F5991" i="2"/>
  <c r="E5991" i="2"/>
  <c r="D5991" i="2"/>
  <c r="C5991" i="2"/>
  <c r="B5991" i="2"/>
  <c r="A5991" i="2"/>
  <c r="U5990" i="2"/>
  <c r="N5990" i="2"/>
  <c r="M5990" i="2"/>
  <c r="J5990" i="2"/>
  <c r="I5990" i="2"/>
  <c r="H5990" i="2"/>
  <c r="G5990" i="2"/>
  <c r="F5990" i="2"/>
  <c r="E5990" i="2"/>
  <c r="D5990" i="2"/>
  <c r="C5990" i="2"/>
  <c r="B5990" i="2"/>
  <c r="A5990" i="2"/>
  <c r="U5989" i="2"/>
  <c r="N5989" i="2"/>
  <c r="M5989" i="2"/>
  <c r="J5989" i="2"/>
  <c r="I5989" i="2"/>
  <c r="H5989" i="2"/>
  <c r="G5989" i="2"/>
  <c r="F5989" i="2"/>
  <c r="E5989" i="2"/>
  <c r="D5989" i="2"/>
  <c r="C5989" i="2"/>
  <c r="B5989" i="2"/>
  <c r="A5989" i="2"/>
  <c r="U5988" i="2"/>
  <c r="N5988" i="2"/>
  <c r="M5988" i="2"/>
  <c r="J5988" i="2"/>
  <c r="I5988" i="2"/>
  <c r="H5988" i="2"/>
  <c r="G5988" i="2"/>
  <c r="F5988" i="2"/>
  <c r="E5988" i="2"/>
  <c r="D5988" i="2"/>
  <c r="C5988" i="2"/>
  <c r="B5988" i="2"/>
  <c r="A5988" i="2"/>
  <c r="U5987" i="2"/>
  <c r="N5987" i="2"/>
  <c r="M5987" i="2"/>
  <c r="J5987" i="2"/>
  <c r="I5987" i="2"/>
  <c r="H5987" i="2"/>
  <c r="G5987" i="2"/>
  <c r="F5987" i="2"/>
  <c r="E5987" i="2"/>
  <c r="D5987" i="2"/>
  <c r="C5987" i="2"/>
  <c r="B5987" i="2"/>
  <c r="A5987" i="2"/>
  <c r="U5986" i="2"/>
  <c r="N5986" i="2"/>
  <c r="M5986" i="2"/>
  <c r="J5986" i="2"/>
  <c r="I5986" i="2"/>
  <c r="H5986" i="2"/>
  <c r="G5986" i="2"/>
  <c r="F5986" i="2"/>
  <c r="E5986" i="2"/>
  <c r="D5986" i="2"/>
  <c r="C5986" i="2"/>
  <c r="B5986" i="2"/>
  <c r="A5986" i="2"/>
  <c r="U5985" i="2"/>
  <c r="N5985" i="2"/>
  <c r="M5985" i="2"/>
  <c r="J5985" i="2"/>
  <c r="I5985" i="2"/>
  <c r="H5985" i="2"/>
  <c r="G5985" i="2"/>
  <c r="F5985" i="2"/>
  <c r="E5985" i="2"/>
  <c r="D5985" i="2"/>
  <c r="C5985" i="2"/>
  <c r="B5985" i="2"/>
  <c r="A5985" i="2"/>
  <c r="U5984" i="2"/>
  <c r="N5984" i="2"/>
  <c r="M5984" i="2"/>
  <c r="J5984" i="2"/>
  <c r="I5984" i="2"/>
  <c r="H5984" i="2"/>
  <c r="G5984" i="2"/>
  <c r="F5984" i="2"/>
  <c r="E5984" i="2"/>
  <c r="D5984" i="2"/>
  <c r="C5984" i="2"/>
  <c r="B5984" i="2"/>
  <c r="A5984" i="2"/>
  <c r="U5983" i="2"/>
  <c r="N5983" i="2"/>
  <c r="M5983" i="2"/>
  <c r="J5983" i="2"/>
  <c r="I5983" i="2"/>
  <c r="H5983" i="2"/>
  <c r="G5983" i="2"/>
  <c r="F5983" i="2"/>
  <c r="E5983" i="2"/>
  <c r="D5983" i="2"/>
  <c r="C5983" i="2"/>
  <c r="B5983" i="2"/>
  <c r="A5983" i="2"/>
  <c r="U5982" i="2"/>
  <c r="N5982" i="2"/>
  <c r="M5982" i="2"/>
  <c r="J5982" i="2"/>
  <c r="I5982" i="2"/>
  <c r="H5982" i="2"/>
  <c r="G5982" i="2"/>
  <c r="F5982" i="2"/>
  <c r="E5982" i="2"/>
  <c r="D5982" i="2"/>
  <c r="C5982" i="2"/>
  <c r="B5982" i="2"/>
  <c r="A5982" i="2"/>
  <c r="U5981" i="2"/>
  <c r="N5981" i="2"/>
  <c r="M5981" i="2"/>
  <c r="J5981" i="2"/>
  <c r="I5981" i="2"/>
  <c r="H5981" i="2"/>
  <c r="G5981" i="2"/>
  <c r="F5981" i="2"/>
  <c r="E5981" i="2"/>
  <c r="D5981" i="2"/>
  <c r="C5981" i="2"/>
  <c r="B5981" i="2"/>
  <c r="A5981" i="2"/>
  <c r="U5980" i="2"/>
  <c r="N5980" i="2"/>
  <c r="M5980" i="2"/>
  <c r="J5980" i="2"/>
  <c r="I5980" i="2"/>
  <c r="H5980" i="2"/>
  <c r="G5980" i="2"/>
  <c r="F5980" i="2"/>
  <c r="E5980" i="2"/>
  <c r="D5980" i="2"/>
  <c r="C5980" i="2"/>
  <c r="B5980" i="2"/>
  <c r="A5980" i="2"/>
  <c r="U5979" i="2"/>
  <c r="N5979" i="2"/>
  <c r="M5979" i="2"/>
  <c r="J5979" i="2"/>
  <c r="I5979" i="2"/>
  <c r="H5979" i="2"/>
  <c r="G5979" i="2"/>
  <c r="F5979" i="2"/>
  <c r="E5979" i="2"/>
  <c r="D5979" i="2"/>
  <c r="C5979" i="2"/>
  <c r="B5979" i="2"/>
  <c r="A5979" i="2"/>
  <c r="U5978" i="2"/>
  <c r="N5978" i="2"/>
  <c r="M5978" i="2"/>
  <c r="J5978" i="2"/>
  <c r="I5978" i="2"/>
  <c r="H5978" i="2"/>
  <c r="G5978" i="2"/>
  <c r="F5978" i="2"/>
  <c r="E5978" i="2"/>
  <c r="D5978" i="2"/>
  <c r="C5978" i="2"/>
  <c r="B5978" i="2"/>
  <c r="A5978" i="2"/>
  <c r="U5977" i="2"/>
  <c r="N5977" i="2"/>
  <c r="M5977" i="2"/>
  <c r="J5977" i="2"/>
  <c r="I5977" i="2"/>
  <c r="H5977" i="2"/>
  <c r="G5977" i="2"/>
  <c r="F5977" i="2"/>
  <c r="E5977" i="2"/>
  <c r="D5977" i="2"/>
  <c r="C5977" i="2"/>
  <c r="B5977" i="2"/>
  <c r="A5977" i="2"/>
  <c r="U5976" i="2"/>
  <c r="N5976" i="2"/>
  <c r="M5976" i="2"/>
  <c r="J5976" i="2"/>
  <c r="I5976" i="2"/>
  <c r="H5976" i="2"/>
  <c r="G5976" i="2"/>
  <c r="F5976" i="2"/>
  <c r="E5976" i="2"/>
  <c r="D5976" i="2"/>
  <c r="C5976" i="2"/>
  <c r="B5976" i="2"/>
  <c r="A5976" i="2"/>
  <c r="U5975" i="2"/>
  <c r="N5975" i="2"/>
  <c r="M5975" i="2"/>
  <c r="J5975" i="2"/>
  <c r="I5975" i="2"/>
  <c r="H5975" i="2"/>
  <c r="G5975" i="2"/>
  <c r="F5975" i="2"/>
  <c r="E5975" i="2"/>
  <c r="D5975" i="2"/>
  <c r="C5975" i="2"/>
  <c r="B5975" i="2"/>
  <c r="A5975" i="2"/>
  <c r="U5974" i="2"/>
  <c r="N5974" i="2"/>
  <c r="M5974" i="2"/>
  <c r="J5974" i="2"/>
  <c r="I5974" i="2"/>
  <c r="H5974" i="2"/>
  <c r="G5974" i="2"/>
  <c r="F5974" i="2"/>
  <c r="E5974" i="2"/>
  <c r="D5974" i="2"/>
  <c r="C5974" i="2"/>
  <c r="B5974" i="2"/>
  <c r="A5974" i="2"/>
  <c r="U5973" i="2"/>
  <c r="N5973" i="2"/>
  <c r="M5973" i="2"/>
  <c r="J5973" i="2"/>
  <c r="I5973" i="2"/>
  <c r="H5973" i="2"/>
  <c r="G5973" i="2"/>
  <c r="F5973" i="2"/>
  <c r="E5973" i="2"/>
  <c r="D5973" i="2"/>
  <c r="C5973" i="2"/>
  <c r="B5973" i="2"/>
  <c r="A5973" i="2"/>
  <c r="U5972" i="2"/>
  <c r="N5972" i="2"/>
  <c r="M5972" i="2"/>
  <c r="J5972" i="2"/>
  <c r="I5972" i="2"/>
  <c r="H5972" i="2"/>
  <c r="G5972" i="2"/>
  <c r="F5972" i="2"/>
  <c r="E5972" i="2"/>
  <c r="D5972" i="2"/>
  <c r="C5972" i="2"/>
  <c r="B5972" i="2"/>
  <c r="A5972" i="2"/>
  <c r="U5971" i="2"/>
  <c r="N5971" i="2"/>
  <c r="M5971" i="2"/>
  <c r="J5971" i="2"/>
  <c r="I5971" i="2"/>
  <c r="H5971" i="2"/>
  <c r="G5971" i="2"/>
  <c r="F5971" i="2"/>
  <c r="E5971" i="2"/>
  <c r="D5971" i="2"/>
  <c r="C5971" i="2"/>
  <c r="B5971" i="2"/>
  <c r="A5971" i="2"/>
  <c r="U5970" i="2"/>
  <c r="N5970" i="2"/>
  <c r="M5970" i="2"/>
  <c r="J5970" i="2"/>
  <c r="I5970" i="2"/>
  <c r="H5970" i="2"/>
  <c r="G5970" i="2"/>
  <c r="F5970" i="2"/>
  <c r="E5970" i="2"/>
  <c r="D5970" i="2"/>
  <c r="C5970" i="2"/>
  <c r="B5970" i="2"/>
  <c r="A5970" i="2"/>
  <c r="U5969" i="2"/>
  <c r="N5969" i="2"/>
  <c r="M5969" i="2"/>
  <c r="J5969" i="2"/>
  <c r="I5969" i="2"/>
  <c r="H5969" i="2"/>
  <c r="G5969" i="2"/>
  <c r="F5969" i="2"/>
  <c r="E5969" i="2"/>
  <c r="D5969" i="2"/>
  <c r="C5969" i="2"/>
  <c r="B5969" i="2"/>
  <c r="A5969" i="2"/>
  <c r="U5968" i="2"/>
  <c r="N5968" i="2"/>
  <c r="M5968" i="2"/>
  <c r="J5968" i="2"/>
  <c r="I5968" i="2"/>
  <c r="H5968" i="2"/>
  <c r="G5968" i="2"/>
  <c r="F5968" i="2"/>
  <c r="E5968" i="2"/>
  <c r="D5968" i="2"/>
  <c r="C5968" i="2"/>
  <c r="B5968" i="2"/>
  <c r="A5968" i="2"/>
  <c r="U5967" i="2"/>
  <c r="N5967" i="2"/>
  <c r="M5967" i="2"/>
  <c r="J5967" i="2"/>
  <c r="I5967" i="2"/>
  <c r="H5967" i="2"/>
  <c r="G5967" i="2"/>
  <c r="F5967" i="2"/>
  <c r="E5967" i="2"/>
  <c r="D5967" i="2"/>
  <c r="C5967" i="2"/>
  <c r="B5967" i="2"/>
  <c r="A5967" i="2"/>
  <c r="U5966" i="2"/>
  <c r="N5966" i="2"/>
  <c r="M5966" i="2"/>
  <c r="J5966" i="2"/>
  <c r="I5966" i="2"/>
  <c r="H5966" i="2"/>
  <c r="G5966" i="2"/>
  <c r="F5966" i="2"/>
  <c r="E5966" i="2"/>
  <c r="D5966" i="2"/>
  <c r="C5966" i="2"/>
  <c r="B5966" i="2"/>
  <c r="A5966" i="2"/>
  <c r="U5965" i="2"/>
  <c r="N5965" i="2"/>
  <c r="M5965" i="2"/>
  <c r="J5965" i="2"/>
  <c r="I5965" i="2"/>
  <c r="H5965" i="2"/>
  <c r="G5965" i="2"/>
  <c r="F5965" i="2"/>
  <c r="E5965" i="2"/>
  <c r="D5965" i="2"/>
  <c r="C5965" i="2"/>
  <c r="B5965" i="2"/>
  <c r="A5965" i="2"/>
  <c r="U5964" i="2"/>
  <c r="N5964" i="2"/>
  <c r="M5964" i="2"/>
  <c r="J5964" i="2"/>
  <c r="I5964" i="2"/>
  <c r="H5964" i="2"/>
  <c r="G5964" i="2"/>
  <c r="F5964" i="2"/>
  <c r="E5964" i="2"/>
  <c r="D5964" i="2"/>
  <c r="C5964" i="2"/>
  <c r="B5964" i="2"/>
  <c r="A5964" i="2"/>
  <c r="U5963" i="2"/>
  <c r="N5963" i="2"/>
  <c r="M5963" i="2"/>
  <c r="J5963" i="2"/>
  <c r="I5963" i="2"/>
  <c r="H5963" i="2"/>
  <c r="G5963" i="2"/>
  <c r="F5963" i="2"/>
  <c r="E5963" i="2"/>
  <c r="D5963" i="2"/>
  <c r="C5963" i="2"/>
  <c r="B5963" i="2"/>
  <c r="A5963" i="2"/>
  <c r="U5962" i="2"/>
  <c r="N5962" i="2"/>
  <c r="M5962" i="2"/>
  <c r="J5962" i="2"/>
  <c r="I5962" i="2"/>
  <c r="H5962" i="2"/>
  <c r="G5962" i="2"/>
  <c r="F5962" i="2"/>
  <c r="E5962" i="2"/>
  <c r="D5962" i="2"/>
  <c r="C5962" i="2"/>
  <c r="B5962" i="2"/>
  <c r="A5962" i="2"/>
  <c r="U5961" i="2"/>
  <c r="N5961" i="2"/>
  <c r="M5961" i="2"/>
  <c r="J5961" i="2"/>
  <c r="I5961" i="2"/>
  <c r="H5961" i="2"/>
  <c r="G5961" i="2"/>
  <c r="F5961" i="2"/>
  <c r="E5961" i="2"/>
  <c r="D5961" i="2"/>
  <c r="C5961" i="2"/>
  <c r="B5961" i="2"/>
  <c r="A5961" i="2"/>
  <c r="U5960" i="2"/>
  <c r="N5960" i="2"/>
  <c r="M5960" i="2"/>
  <c r="J5960" i="2"/>
  <c r="I5960" i="2"/>
  <c r="H5960" i="2"/>
  <c r="G5960" i="2"/>
  <c r="F5960" i="2"/>
  <c r="E5960" i="2"/>
  <c r="D5960" i="2"/>
  <c r="C5960" i="2"/>
  <c r="B5960" i="2"/>
  <c r="A5960" i="2"/>
  <c r="U5959" i="2"/>
  <c r="N5959" i="2"/>
  <c r="M5959" i="2"/>
  <c r="J5959" i="2"/>
  <c r="I5959" i="2"/>
  <c r="H5959" i="2"/>
  <c r="G5959" i="2"/>
  <c r="F5959" i="2"/>
  <c r="E5959" i="2"/>
  <c r="D5959" i="2"/>
  <c r="C5959" i="2"/>
  <c r="B5959" i="2"/>
  <c r="A5959" i="2"/>
  <c r="U5958" i="2"/>
  <c r="N5958" i="2"/>
  <c r="M5958" i="2"/>
  <c r="J5958" i="2"/>
  <c r="I5958" i="2"/>
  <c r="H5958" i="2"/>
  <c r="G5958" i="2"/>
  <c r="F5958" i="2"/>
  <c r="E5958" i="2"/>
  <c r="D5958" i="2"/>
  <c r="C5958" i="2"/>
  <c r="B5958" i="2"/>
  <c r="A5958" i="2"/>
  <c r="U5957" i="2"/>
  <c r="N5957" i="2"/>
  <c r="M5957" i="2"/>
  <c r="J5957" i="2"/>
  <c r="I5957" i="2"/>
  <c r="H5957" i="2"/>
  <c r="G5957" i="2"/>
  <c r="F5957" i="2"/>
  <c r="E5957" i="2"/>
  <c r="D5957" i="2"/>
  <c r="C5957" i="2"/>
  <c r="B5957" i="2"/>
  <c r="A5957" i="2"/>
  <c r="U5956" i="2"/>
  <c r="N5956" i="2"/>
  <c r="M5956" i="2"/>
  <c r="J5956" i="2"/>
  <c r="I5956" i="2"/>
  <c r="H5956" i="2"/>
  <c r="G5956" i="2"/>
  <c r="F5956" i="2"/>
  <c r="E5956" i="2"/>
  <c r="D5956" i="2"/>
  <c r="C5956" i="2"/>
  <c r="B5956" i="2"/>
  <c r="A5956" i="2"/>
  <c r="U5955" i="2"/>
  <c r="N5955" i="2"/>
  <c r="M5955" i="2"/>
  <c r="J5955" i="2"/>
  <c r="I5955" i="2"/>
  <c r="H5955" i="2"/>
  <c r="G5955" i="2"/>
  <c r="F5955" i="2"/>
  <c r="E5955" i="2"/>
  <c r="D5955" i="2"/>
  <c r="C5955" i="2"/>
  <c r="B5955" i="2"/>
  <c r="A5955" i="2"/>
  <c r="U5954" i="2"/>
  <c r="N5954" i="2"/>
  <c r="M5954" i="2"/>
  <c r="J5954" i="2"/>
  <c r="I5954" i="2"/>
  <c r="H5954" i="2"/>
  <c r="G5954" i="2"/>
  <c r="F5954" i="2"/>
  <c r="E5954" i="2"/>
  <c r="D5954" i="2"/>
  <c r="C5954" i="2"/>
  <c r="B5954" i="2"/>
  <c r="A5954" i="2"/>
  <c r="U5953" i="2"/>
  <c r="N5953" i="2"/>
  <c r="M5953" i="2"/>
  <c r="J5953" i="2"/>
  <c r="I5953" i="2"/>
  <c r="H5953" i="2"/>
  <c r="G5953" i="2"/>
  <c r="F5953" i="2"/>
  <c r="E5953" i="2"/>
  <c r="D5953" i="2"/>
  <c r="C5953" i="2"/>
  <c r="B5953" i="2"/>
  <c r="A5953" i="2"/>
  <c r="U5952" i="2"/>
  <c r="N5952" i="2"/>
  <c r="M5952" i="2"/>
  <c r="J5952" i="2"/>
  <c r="I5952" i="2"/>
  <c r="H5952" i="2"/>
  <c r="G5952" i="2"/>
  <c r="F5952" i="2"/>
  <c r="E5952" i="2"/>
  <c r="D5952" i="2"/>
  <c r="C5952" i="2"/>
  <c r="B5952" i="2"/>
  <c r="A5952" i="2"/>
  <c r="U5951" i="2"/>
  <c r="N5951" i="2"/>
  <c r="M5951" i="2"/>
  <c r="J5951" i="2"/>
  <c r="I5951" i="2"/>
  <c r="H5951" i="2"/>
  <c r="G5951" i="2"/>
  <c r="F5951" i="2"/>
  <c r="E5951" i="2"/>
  <c r="D5951" i="2"/>
  <c r="C5951" i="2"/>
  <c r="B5951" i="2"/>
  <c r="A5951" i="2"/>
  <c r="U5950" i="2"/>
  <c r="N5950" i="2"/>
  <c r="M5950" i="2"/>
  <c r="J5950" i="2"/>
  <c r="I5950" i="2"/>
  <c r="H5950" i="2"/>
  <c r="G5950" i="2"/>
  <c r="F5950" i="2"/>
  <c r="E5950" i="2"/>
  <c r="D5950" i="2"/>
  <c r="C5950" i="2"/>
  <c r="B5950" i="2"/>
  <c r="A5950" i="2"/>
  <c r="U5949" i="2"/>
  <c r="N5949" i="2"/>
  <c r="M5949" i="2"/>
  <c r="J5949" i="2"/>
  <c r="I5949" i="2"/>
  <c r="H5949" i="2"/>
  <c r="G5949" i="2"/>
  <c r="F5949" i="2"/>
  <c r="E5949" i="2"/>
  <c r="D5949" i="2"/>
  <c r="C5949" i="2"/>
  <c r="B5949" i="2"/>
  <c r="A5949" i="2"/>
  <c r="U5948" i="2"/>
  <c r="N5948" i="2"/>
  <c r="M5948" i="2"/>
  <c r="J5948" i="2"/>
  <c r="I5948" i="2"/>
  <c r="H5948" i="2"/>
  <c r="G5948" i="2"/>
  <c r="F5948" i="2"/>
  <c r="E5948" i="2"/>
  <c r="D5948" i="2"/>
  <c r="C5948" i="2"/>
  <c r="B5948" i="2"/>
  <c r="A5948" i="2"/>
  <c r="U5947" i="2"/>
  <c r="N5947" i="2"/>
  <c r="M5947" i="2"/>
  <c r="J5947" i="2"/>
  <c r="I5947" i="2"/>
  <c r="H5947" i="2"/>
  <c r="G5947" i="2"/>
  <c r="F5947" i="2"/>
  <c r="E5947" i="2"/>
  <c r="D5947" i="2"/>
  <c r="C5947" i="2"/>
  <c r="B5947" i="2"/>
  <c r="A5947" i="2"/>
  <c r="U5946" i="2"/>
  <c r="N5946" i="2"/>
  <c r="M5946" i="2"/>
  <c r="J5946" i="2"/>
  <c r="I5946" i="2"/>
  <c r="H5946" i="2"/>
  <c r="G5946" i="2"/>
  <c r="F5946" i="2"/>
  <c r="E5946" i="2"/>
  <c r="D5946" i="2"/>
  <c r="C5946" i="2"/>
  <c r="B5946" i="2"/>
  <c r="A5946" i="2"/>
  <c r="U5945" i="2"/>
  <c r="N5945" i="2"/>
  <c r="M5945" i="2"/>
  <c r="J5945" i="2"/>
  <c r="I5945" i="2"/>
  <c r="H5945" i="2"/>
  <c r="G5945" i="2"/>
  <c r="F5945" i="2"/>
  <c r="E5945" i="2"/>
  <c r="D5945" i="2"/>
  <c r="C5945" i="2"/>
  <c r="B5945" i="2"/>
  <c r="A5945" i="2"/>
  <c r="U5944" i="2"/>
  <c r="N5944" i="2"/>
  <c r="M5944" i="2"/>
  <c r="J5944" i="2"/>
  <c r="I5944" i="2"/>
  <c r="H5944" i="2"/>
  <c r="G5944" i="2"/>
  <c r="F5944" i="2"/>
  <c r="E5944" i="2"/>
  <c r="D5944" i="2"/>
  <c r="C5944" i="2"/>
  <c r="B5944" i="2"/>
  <c r="A5944" i="2"/>
  <c r="U5943" i="2"/>
  <c r="N5943" i="2"/>
  <c r="M5943" i="2"/>
  <c r="J5943" i="2"/>
  <c r="I5943" i="2"/>
  <c r="H5943" i="2"/>
  <c r="G5943" i="2"/>
  <c r="F5943" i="2"/>
  <c r="E5943" i="2"/>
  <c r="D5943" i="2"/>
  <c r="C5943" i="2"/>
  <c r="B5943" i="2"/>
  <c r="A5943" i="2"/>
  <c r="U5942" i="2"/>
  <c r="N5942" i="2"/>
  <c r="M5942" i="2"/>
  <c r="J5942" i="2"/>
  <c r="I5942" i="2"/>
  <c r="H5942" i="2"/>
  <c r="G5942" i="2"/>
  <c r="F5942" i="2"/>
  <c r="E5942" i="2"/>
  <c r="D5942" i="2"/>
  <c r="C5942" i="2"/>
  <c r="B5942" i="2"/>
  <c r="A5942" i="2"/>
  <c r="U5941" i="2"/>
  <c r="N5941" i="2"/>
  <c r="M5941" i="2"/>
  <c r="J5941" i="2"/>
  <c r="I5941" i="2"/>
  <c r="H5941" i="2"/>
  <c r="G5941" i="2"/>
  <c r="F5941" i="2"/>
  <c r="E5941" i="2"/>
  <c r="D5941" i="2"/>
  <c r="C5941" i="2"/>
  <c r="B5941" i="2"/>
  <c r="A5941" i="2"/>
  <c r="U5940" i="2"/>
  <c r="N5940" i="2"/>
  <c r="M5940" i="2"/>
  <c r="J5940" i="2"/>
  <c r="I5940" i="2"/>
  <c r="H5940" i="2"/>
  <c r="G5940" i="2"/>
  <c r="F5940" i="2"/>
  <c r="E5940" i="2"/>
  <c r="D5940" i="2"/>
  <c r="C5940" i="2"/>
  <c r="B5940" i="2"/>
  <c r="A5940" i="2"/>
  <c r="U5939" i="2"/>
  <c r="N5939" i="2"/>
  <c r="M5939" i="2"/>
  <c r="J5939" i="2"/>
  <c r="I5939" i="2"/>
  <c r="H5939" i="2"/>
  <c r="G5939" i="2"/>
  <c r="F5939" i="2"/>
  <c r="E5939" i="2"/>
  <c r="D5939" i="2"/>
  <c r="C5939" i="2"/>
  <c r="B5939" i="2"/>
  <c r="A5939" i="2"/>
  <c r="U5938" i="2"/>
  <c r="N5938" i="2"/>
  <c r="M5938" i="2"/>
  <c r="J5938" i="2"/>
  <c r="I5938" i="2"/>
  <c r="H5938" i="2"/>
  <c r="G5938" i="2"/>
  <c r="F5938" i="2"/>
  <c r="E5938" i="2"/>
  <c r="D5938" i="2"/>
  <c r="C5938" i="2"/>
  <c r="B5938" i="2"/>
  <c r="A5938" i="2"/>
  <c r="U5937" i="2"/>
  <c r="N5937" i="2"/>
  <c r="M5937" i="2"/>
  <c r="J5937" i="2"/>
  <c r="I5937" i="2"/>
  <c r="H5937" i="2"/>
  <c r="G5937" i="2"/>
  <c r="F5937" i="2"/>
  <c r="E5937" i="2"/>
  <c r="D5937" i="2"/>
  <c r="C5937" i="2"/>
  <c r="B5937" i="2"/>
  <c r="A5937" i="2"/>
  <c r="U5936" i="2"/>
  <c r="N5936" i="2"/>
  <c r="M5936" i="2"/>
  <c r="J5936" i="2"/>
  <c r="I5936" i="2"/>
  <c r="H5936" i="2"/>
  <c r="G5936" i="2"/>
  <c r="F5936" i="2"/>
  <c r="E5936" i="2"/>
  <c r="D5936" i="2"/>
  <c r="C5936" i="2"/>
  <c r="B5936" i="2"/>
  <c r="A5936" i="2"/>
  <c r="U5935" i="2"/>
  <c r="N5935" i="2"/>
  <c r="M5935" i="2"/>
  <c r="J5935" i="2"/>
  <c r="I5935" i="2"/>
  <c r="H5935" i="2"/>
  <c r="G5935" i="2"/>
  <c r="F5935" i="2"/>
  <c r="E5935" i="2"/>
  <c r="D5935" i="2"/>
  <c r="C5935" i="2"/>
  <c r="B5935" i="2"/>
  <c r="A5935" i="2"/>
  <c r="U5934" i="2"/>
  <c r="N5934" i="2"/>
  <c r="M5934" i="2"/>
  <c r="J5934" i="2"/>
  <c r="I5934" i="2"/>
  <c r="H5934" i="2"/>
  <c r="G5934" i="2"/>
  <c r="F5934" i="2"/>
  <c r="E5934" i="2"/>
  <c r="D5934" i="2"/>
  <c r="C5934" i="2"/>
  <c r="B5934" i="2"/>
  <c r="A5934" i="2"/>
  <c r="U5933" i="2"/>
  <c r="N5933" i="2"/>
  <c r="M5933" i="2"/>
  <c r="J5933" i="2"/>
  <c r="I5933" i="2"/>
  <c r="H5933" i="2"/>
  <c r="G5933" i="2"/>
  <c r="F5933" i="2"/>
  <c r="E5933" i="2"/>
  <c r="D5933" i="2"/>
  <c r="C5933" i="2"/>
  <c r="B5933" i="2"/>
  <c r="A5933" i="2"/>
  <c r="U5932" i="2"/>
  <c r="N5932" i="2"/>
  <c r="M5932" i="2"/>
  <c r="J5932" i="2"/>
  <c r="I5932" i="2"/>
  <c r="H5932" i="2"/>
  <c r="G5932" i="2"/>
  <c r="F5932" i="2"/>
  <c r="E5932" i="2"/>
  <c r="D5932" i="2"/>
  <c r="C5932" i="2"/>
  <c r="B5932" i="2"/>
  <c r="A5932" i="2"/>
  <c r="U5931" i="2"/>
  <c r="N5931" i="2"/>
  <c r="M5931" i="2"/>
  <c r="J5931" i="2"/>
  <c r="I5931" i="2"/>
  <c r="H5931" i="2"/>
  <c r="G5931" i="2"/>
  <c r="F5931" i="2"/>
  <c r="E5931" i="2"/>
  <c r="D5931" i="2"/>
  <c r="C5931" i="2"/>
  <c r="B5931" i="2"/>
  <c r="A5931" i="2"/>
  <c r="U5930" i="2"/>
  <c r="N5930" i="2"/>
  <c r="M5930" i="2"/>
  <c r="J5930" i="2"/>
  <c r="I5930" i="2"/>
  <c r="H5930" i="2"/>
  <c r="G5930" i="2"/>
  <c r="F5930" i="2"/>
  <c r="E5930" i="2"/>
  <c r="D5930" i="2"/>
  <c r="C5930" i="2"/>
  <c r="B5930" i="2"/>
  <c r="A5930" i="2"/>
  <c r="U5929" i="2"/>
  <c r="N5929" i="2"/>
  <c r="M5929" i="2"/>
  <c r="J5929" i="2"/>
  <c r="I5929" i="2"/>
  <c r="H5929" i="2"/>
  <c r="G5929" i="2"/>
  <c r="F5929" i="2"/>
  <c r="E5929" i="2"/>
  <c r="D5929" i="2"/>
  <c r="C5929" i="2"/>
  <c r="B5929" i="2"/>
  <c r="A5929" i="2"/>
  <c r="U5928" i="2"/>
  <c r="N5928" i="2"/>
  <c r="M5928" i="2"/>
  <c r="J5928" i="2"/>
  <c r="I5928" i="2"/>
  <c r="H5928" i="2"/>
  <c r="G5928" i="2"/>
  <c r="F5928" i="2"/>
  <c r="E5928" i="2"/>
  <c r="D5928" i="2"/>
  <c r="C5928" i="2"/>
  <c r="B5928" i="2"/>
  <c r="A5928" i="2"/>
  <c r="U5927" i="2"/>
  <c r="N5927" i="2"/>
  <c r="M5927" i="2"/>
  <c r="J5927" i="2"/>
  <c r="I5927" i="2"/>
  <c r="H5927" i="2"/>
  <c r="G5927" i="2"/>
  <c r="F5927" i="2"/>
  <c r="E5927" i="2"/>
  <c r="D5927" i="2"/>
  <c r="C5927" i="2"/>
  <c r="B5927" i="2"/>
  <c r="A5927" i="2"/>
  <c r="U5926" i="2"/>
  <c r="N5926" i="2"/>
  <c r="M5926" i="2"/>
  <c r="J5926" i="2"/>
  <c r="I5926" i="2"/>
  <c r="H5926" i="2"/>
  <c r="G5926" i="2"/>
  <c r="F5926" i="2"/>
  <c r="E5926" i="2"/>
  <c r="D5926" i="2"/>
  <c r="C5926" i="2"/>
  <c r="B5926" i="2"/>
  <c r="A5926" i="2"/>
  <c r="U5925" i="2"/>
  <c r="N5925" i="2"/>
  <c r="M5925" i="2"/>
  <c r="J5925" i="2"/>
  <c r="I5925" i="2"/>
  <c r="H5925" i="2"/>
  <c r="G5925" i="2"/>
  <c r="F5925" i="2"/>
  <c r="E5925" i="2"/>
  <c r="D5925" i="2"/>
  <c r="C5925" i="2"/>
  <c r="B5925" i="2"/>
  <c r="A5925" i="2"/>
  <c r="U5924" i="2"/>
  <c r="N5924" i="2"/>
  <c r="M5924" i="2"/>
  <c r="J5924" i="2"/>
  <c r="I5924" i="2"/>
  <c r="H5924" i="2"/>
  <c r="G5924" i="2"/>
  <c r="F5924" i="2"/>
  <c r="E5924" i="2"/>
  <c r="D5924" i="2"/>
  <c r="C5924" i="2"/>
  <c r="B5924" i="2"/>
  <c r="A5924" i="2"/>
  <c r="U5923" i="2"/>
  <c r="N5923" i="2"/>
  <c r="M5923" i="2"/>
  <c r="J5923" i="2"/>
  <c r="I5923" i="2"/>
  <c r="H5923" i="2"/>
  <c r="G5923" i="2"/>
  <c r="F5923" i="2"/>
  <c r="E5923" i="2"/>
  <c r="D5923" i="2"/>
  <c r="C5923" i="2"/>
  <c r="B5923" i="2"/>
  <c r="A5923" i="2"/>
  <c r="U5922" i="2"/>
  <c r="N5922" i="2"/>
  <c r="M5922" i="2"/>
  <c r="J5922" i="2"/>
  <c r="I5922" i="2"/>
  <c r="H5922" i="2"/>
  <c r="G5922" i="2"/>
  <c r="F5922" i="2"/>
  <c r="E5922" i="2"/>
  <c r="D5922" i="2"/>
  <c r="C5922" i="2"/>
  <c r="B5922" i="2"/>
  <c r="A5922" i="2"/>
  <c r="Q5921" i="2"/>
  <c r="U5921" i="2" s="1"/>
  <c r="N5921" i="2"/>
  <c r="M5921" i="2"/>
  <c r="J5921" i="2"/>
  <c r="I5921" i="2"/>
  <c r="H5921" i="2"/>
  <c r="G5921" i="2"/>
  <c r="F5921" i="2"/>
  <c r="E5921" i="2"/>
  <c r="D5921" i="2"/>
  <c r="C5921" i="2"/>
  <c r="B5921" i="2"/>
  <c r="A5921" i="2"/>
  <c r="U5920" i="2"/>
  <c r="N5920" i="2"/>
  <c r="M5920" i="2"/>
  <c r="J5920" i="2"/>
  <c r="I5920" i="2"/>
  <c r="H5920" i="2"/>
  <c r="G5920" i="2"/>
  <c r="F5920" i="2"/>
  <c r="E5920" i="2"/>
  <c r="D5920" i="2"/>
  <c r="C5920" i="2"/>
  <c r="B5920" i="2"/>
  <c r="A5920" i="2"/>
  <c r="U5919" i="2"/>
  <c r="N5919" i="2"/>
  <c r="M5919" i="2"/>
  <c r="J5919" i="2"/>
  <c r="I5919" i="2"/>
  <c r="H5919" i="2"/>
  <c r="G5919" i="2"/>
  <c r="F5919" i="2"/>
  <c r="E5919" i="2"/>
  <c r="D5919" i="2"/>
  <c r="C5919" i="2"/>
  <c r="B5919" i="2"/>
  <c r="A5919" i="2"/>
  <c r="U5918" i="2"/>
  <c r="N5918" i="2"/>
  <c r="M5918" i="2"/>
  <c r="J5918" i="2"/>
  <c r="I5918" i="2"/>
  <c r="H5918" i="2"/>
  <c r="G5918" i="2"/>
  <c r="F5918" i="2"/>
  <c r="E5918" i="2"/>
  <c r="D5918" i="2"/>
  <c r="C5918" i="2"/>
  <c r="B5918" i="2"/>
  <c r="A5918" i="2"/>
  <c r="U5917" i="2"/>
  <c r="N5917" i="2"/>
  <c r="M5917" i="2"/>
  <c r="J5917" i="2"/>
  <c r="I5917" i="2"/>
  <c r="H5917" i="2"/>
  <c r="G5917" i="2"/>
  <c r="F5917" i="2"/>
  <c r="E5917" i="2"/>
  <c r="D5917" i="2"/>
  <c r="C5917" i="2"/>
  <c r="B5917" i="2"/>
  <c r="A5917" i="2"/>
  <c r="U5916" i="2"/>
  <c r="N5916" i="2"/>
  <c r="M5916" i="2"/>
  <c r="J5916" i="2"/>
  <c r="I5916" i="2"/>
  <c r="H5916" i="2"/>
  <c r="G5916" i="2"/>
  <c r="F5916" i="2"/>
  <c r="E5916" i="2"/>
  <c r="D5916" i="2"/>
  <c r="C5916" i="2"/>
  <c r="B5916" i="2"/>
  <c r="A5916" i="2"/>
  <c r="U5915" i="2"/>
  <c r="N5915" i="2"/>
  <c r="M5915" i="2"/>
  <c r="J5915" i="2"/>
  <c r="I5915" i="2"/>
  <c r="H5915" i="2"/>
  <c r="G5915" i="2"/>
  <c r="F5915" i="2"/>
  <c r="E5915" i="2"/>
  <c r="D5915" i="2"/>
  <c r="C5915" i="2"/>
  <c r="B5915" i="2"/>
  <c r="A5915" i="2"/>
  <c r="U5914" i="2"/>
  <c r="N5914" i="2"/>
  <c r="M5914" i="2"/>
  <c r="J5914" i="2"/>
  <c r="I5914" i="2"/>
  <c r="H5914" i="2"/>
  <c r="G5914" i="2"/>
  <c r="F5914" i="2"/>
  <c r="E5914" i="2"/>
  <c r="D5914" i="2"/>
  <c r="C5914" i="2"/>
  <c r="B5914" i="2"/>
  <c r="A5914" i="2"/>
  <c r="U5913" i="2"/>
  <c r="N5913" i="2"/>
  <c r="M5913" i="2"/>
  <c r="J5913" i="2"/>
  <c r="I5913" i="2"/>
  <c r="H5913" i="2"/>
  <c r="G5913" i="2"/>
  <c r="F5913" i="2"/>
  <c r="E5913" i="2"/>
  <c r="D5913" i="2"/>
  <c r="C5913" i="2"/>
  <c r="B5913" i="2"/>
  <c r="A5913" i="2"/>
  <c r="U5912" i="2"/>
  <c r="N5912" i="2"/>
  <c r="M5912" i="2"/>
  <c r="J5912" i="2"/>
  <c r="I5912" i="2"/>
  <c r="H5912" i="2"/>
  <c r="G5912" i="2"/>
  <c r="F5912" i="2"/>
  <c r="E5912" i="2"/>
  <c r="D5912" i="2"/>
  <c r="C5912" i="2"/>
  <c r="B5912" i="2"/>
  <c r="A5912" i="2"/>
  <c r="U5911" i="2"/>
  <c r="N5911" i="2"/>
  <c r="M5911" i="2"/>
  <c r="J5911" i="2"/>
  <c r="I5911" i="2"/>
  <c r="H5911" i="2"/>
  <c r="G5911" i="2"/>
  <c r="F5911" i="2"/>
  <c r="E5911" i="2"/>
  <c r="D5911" i="2"/>
  <c r="C5911" i="2"/>
  <c r="B5911" i="2"/>
  <c r="A5911" i="2"/>
  <c r="U5910" i="2"/>
  <c r="N5910" i="2"/>
  <c r="M5910" i="2"/>
  <c r="J5910" i="2"/>
  <c r="I5910" i="2"/>
  <c r="H5910" i="2"/>
  <c r="G5910" i="2"/>
  <c r="F5910" i="2"/>
  <c r="E5910" i="2"/>
  <c r="D5910" i="2"/>
  <c r="C5910" i="2"/>
  <c r="B5910" i="2"/>
  <c r="A5910" i="2"/>
  <c r="U5909" i="2"/>
  <c r="N5909" i="2"/>
  <c r="M5909" i="2"/>
  <c r="J5909" i="2"/>
  <c r="I5909" i="2"/>
  <c r="H5909" i="2"/>
  <c r="G5909" i="2"/>
  <c r="F5909" i="2"/>
  <c r="E5909" i="2"/>
  <c r="D5909" i="2"/>
  <c r="C5909" i="2"/>
  <c r="B5909" i="2"/>
  <c r="A5909" i="2"/>
  <c r="Q5908" i="2"/>
  <c r="U5908" i="2" s="1"/>
  <c r="N5908" i="2"/>
  <c r="M5908" i="2"/>
  <c r="J5908" i="2"/>
  <c r="I5908" i="2"/>
  <c r="H5908" i="2"/>
  <c r="G5908" i="2"/>
  <c r="F5908" i="2"/>
  <c r="E5908" i="2"/>
  <c r="D5908" i="2"/>
  <c r="C5908" i="2"/>
  <c r="B5908" i="2"/>
  <c r="A5908" i="2"/>
  <c r="U5907" i="2"/>
  <c r="N5907" i="2"/>
  <c r="M5907" i="2"/>
  <c r="J5907" i="2"/>
  <c r="I5907" i="2"/>
  <c r="H5907" i="2"/>
  <c r="G5907" i="2"/>
  <c r="F5907" i="2"/>
  <c r="E5907" i="2"/>
  <c r="D5907" i="2"/>
  <c r="C5907" i="2"/>
  <c r="B5907" i="2"/>
  <c r="A5907" i="2"/>
  <c r="U5906" i="2"/>
  <c r="N5906" i="2"/>
  <c r="M5906" i="2"/>
  <c r="J5906" i="2"/>
  <c r="I5906" i="2"/>
  <c r="H5906" i="2"/>
  <c r="G5906" i="2"/>
  <c r="F5906" i="2"/>
  <c r="E5906" i="2"/>
  <c r="D5906" i="2"/>
  <c r="C5906" i="2"/>
  <c r="B5906" i="2"/>
  <c r="A5906" i="2"/>
  <c r="U5905" i="2"/>
  <c r="N5905" i="2"/>
  <c r="M5905" i="2"/>
  <c r="J5905" i="2"/>
  <c r="I5905" i="2"/>
  <c r="H5905" i="2"/>
  <c r="G5905" i="2"/>
  <c r="F5905" i="2"/>
  <c r="E5905" i="2"/>
  <c r="D5905" i="2"/>
  <c r="C5905" i="2"/>
  <c r="B5905" i="2"/>
  <c r="A5905" i="2"/>
  <c r="U5904" i="2"/>
  <c r="N5904" i="2"/>
  <c r="M5904" i="2"/>
  <c r="J5904" i="2"/>
  <c r="I5904" i="2"/>
  <c r="H5904" i="2"/>
  <c r="G5904" i="2"/>
  <c r="F5904" i="2"/>
  <c r="E5904" i="2"/>
  <c r="D5904" i="2"/>
  <c r="C5904" i="2"/>
  <c r="B5904" i="2"/>
  <c r="A5904" i="2"/>
  <c r="U5903" i="2"/>
  <c r="N5903" i="2"/>
  <c r="M5903" i="2"/>
  <c r="J5903" i="2"/>
  <c r="I5903" i="2"/>
  <c r="H5903" i="2"/>
  <c r="G5903" i="2"/>
  <c r="F5903" i="2"/>
  <c r="E5903" i="2"/>
  <c r="D5903" i="2"/>
  <c r="C5903" i="2"/>
  <c r="B5903" i="2"/>
  <c r="A5903" i="2"/>
  <c r="U5902" i="2"/>
  <c r="N5902" i="2"/>
  <c r="M5902" i="2"/>
  <c r="J5902" i="2"/>
  <c r="I5902" i="2"/>
  <c r="H5902" i="2"/>
  <c r="G5902" i="2"/>
  <c r="F5902" i="2"/>
  <c r="E5902" i="2"/>
  <c r="D5902" i="2"/>
  <c r="C5902" i="2"/>
  <c r="B5902" i="2"/>
  <c r="A5902" i="2"/>
  <c r="U5901" i="2"/>
  <c r="N5901" i="2"/>
  <c r="M5901" i="2"/>
  <c r="J5901" i="2"/>
  <c r="I5901" i="2"/>
  <c r="H5901" i="2"/>
  <c r="G5901" i="2"/>
  <c r="F5901" i="2"/>
  <c r="E5901" i="2"/>
  <c r="D5901" i="2"/>
  <c r="C5901" i="2"/>
  <c r="B5901" i="2"/>
  <c r="A5901" i="2"/>
  <c r="U5900" i="2"/>
  <c r="N5900" i="2"/>
  <c r="M5900" i="2"/>
  <c r="J5900" i="2"/>
  <c r="I5900" i="2"/>
  <c r="H5900" i="2"/>
  <c r="G5900" i="2"/>
  <c r="F5900" i="2"/>
  <c r="E5900" i="2"/>
  <c r="D5900" i="2"/>
  <c r="C5900" i="2"/>
  <c r="B5900" i="2"/>
  <c r="A5900" i="2"/>
  <c r="U5899" i="2"/>
  <c r="N5899" i="2"/>
  <c r="M5899" i="2"/>
  <c r="J5899" i="2"/>
  <c r="I5899" i="2"/>
  <c r="H5899" i="2"/>
  <c r="G5899" i="2"/>
  <c r="F5899" i="2"/>
  <c r="E5899" i="2"/>
  <c r="D5899" i="2"/>
  <c r="C5899" i="2"/>
  <c r="B5899" i="2"/>
  <c r="A5899" i="2"/>
  <c r="U5898" i="2"/>
  <c r="N5898" i="2"/>
  <c r="M5898" i="2"/>
  <c r="J5898" i="2"/>
  <c r="I5898" i="2"/>
  <c r="H5898" i="2"/>
  <c r="G5898" i="2"/>
  <c r="F5898" i="2"/>
  <c r="E5898" i="2"/>
  <c r="D5898" i="2"/>
  <c r="C5898" i="2"/>
  <c r="B5898" i="2"/>
  <c r="A5898" i="2"/>
  <c r="U5897" i="2"/>
  <c r="N5897" i="2"/>
  <c r="M5897" i="2"/>
  <c r="J5897" i="2"/>
  <c r="I5897" i="2"/>
  <c r="H5897" i="2"/>
  <c r="G5897" i="2"/>
  <c r="F5897" i="2"/>
  <c r="E5897" i="2"/>
  <c r="D5897" i="2"/>
  <c r="C5897" i="2"/>
  <c r="B5897" i="2"/>
  <c r="A5897" i="2"/>
  <c r="U5896" i="2"/>
  <c r="N5896" i="2"/>
  <c r="M5896" i="2"/>
  <c r="J5896" i="2"/>
  <c r="I5896" i="2"/>
  <c r="H5896" i="2"/>
  <c r="G5896" i="2"/>
  <c r="F5896" i="2"/>
  <c r="E5896" i="2"/>
  <c r="D5896" i="2"/>
  <c r="C5896" i="2"/>
  <c r="B5896" i="2"/>
  <c r="A5896" i="2"/>
  <c r="U5895" i="2"/>
  <c r="N5895" i="2"/>
  <c r="M5895" i="2"/>
  <c r="J5895" i="2"/>
  <c r="I5895" i="2"/>
  <c r="H5895" i="2"/>
  <c r="G5895" i="2"/>
  <c r="F5895" i="2"/>
  <c r="E5895" i="2"/>
  <c r="D5895" i="2"/>
  <c r="C5895" i="2"/>
  <c r="B5895" i="2"/>
  <c r="A5895" i="2"/>
  <c r="U5894" i="2"/>
  <c r="N5894" i="2"/>
  <c r="M5894" i="2"/>
  <c r="J5894" i="2"/>
  <c r="I5894" i="2"/>
  <c r="H5894" i="2"/>
  <c r="G5894" i="2"/>
  <c r="F5894" i="2"/>
  <c r="E5894" i="2"/>
  <c r="D5894" i="2"/>
  <c r="C5894" i="2"/>
  <c r="B5894" i="2"/>
  <c r="A5894" i="2"/>
  <c r="U5893" i="2"/>
  <c r="N5893" i="2"/>
  <c r="M5893" i="2"/>
  <c r="J5893" i="2"/>
  <c r="I5893" i="2"/>
  <c r="H5893" i="2"/>
  <c r="G5893" i="2"/>
  <c r="F5893" i="2"/>
  <c r="E5893" i="2"/>
  <c r="D5893" i="2"/>
  <c r="C5893" i="2"/>
  <c r="B5893" i="2"/>
  <c r="A5893" i="2"/>
  <c r="U5892" i="2"/>
  <c r="N5892" i="2"/>
  <c r="M5892" i="2"/>
  <c r="J5892" i="2"/>
  <c r="I5892" i="2"/>
  <c r="H5892" i="2"/>
  <c r="G5892" i="2"/>
  <c r="F5892" i="2"/>
  <c r="E5892" i="2"/>
  <c r="D5892" i="2"/>
  <c r="C5892" i="2"/>
  <c r="B5892" i="2"/>
  <c r="A5892" i="2"/>
  <c r="U5891" i="2"/>
  <c r="N5891" i="2"/>
  <c r="M5891" i="2"/>
  <c r="J5891" i="2"/>
  <c r="I5891" i="2"/>
  <c r="H5891" i="2"/>
  <c r="G5891" i="2"/>
  <c r="F5891" i="2"/>
  <c r="E5891" i="2"/>
  <c r="D5891" i="2"/>
  <c r="C5891" i="2"/>
  <c r="B5891" i="2"/>
  <c r="A5891" i="2"/>
  <c r="U5890" i="2"/>
  <c r="N5890" i="2"/>
  <c r="M5890" i="2"/>
  <c r="J5890" i="2"/>
  <c r="I5890" i="2"/>
  <c r="H5890" i="2"/>
  <c r="G5890" i="2"/>
  <c r="F5890" i="2"/>
  <c r="E5890" i="2"/>
  <c r="D5890" i="2"/>
  <c r="C5890" i="2"/>
  <c r="B5890" i="2"/>
  <c r="A5890" i="2"/>
  <c r="U5889" i="2"/>
  <c r="N5889" i="2"/>
  <c r="M5889" i="2"/>
  <c r="J5889" i="2"/>
  <c r="I5889" i="2"/>
  <c r="H5889" i="2"/>
  <c r="G5889" i="2"/>
  <c r="F5889" i="2"/>
  <c r="E5889" i="2"/>
  <c r="D5889" i="2"/>
  <c r="C5889" i="2"/>
  <c r="B5889" i="2"/>
  <c r="A5889" i="2"/>
  <c r="U5888" i="2"/>
  <c r="N5888" i="2"/>
  <c r="M5888" i="2"/>
  <c r="J5888" i="2"/>
  <c r="I5888" i="2"/>
  <c r="H5888" i="2"/>
  <c r="G5888" i="2"/>
  <c r="F5888" i="2"/>
  <c r="E5888" i="2"/>
  <c r="D5888" i="2"/>
  <c r="C5888" i="2"/>
  <c r="B5888" i="2"/>
  <c r="A5888" i="2"/>
  <c r="U5887" i="2"/>
  <c r="N5887" i="2"/>
  <c r="M5887" i="2"/>
  <c r="J5887" i="2"/>
  <c r="I5887" i="2"/>
  <c r="H5887" i="2"/>
  <c r="G5887" i="2"/>
  <c r="F5887" i="2"/>
  <c r="E5887" i="2"/>
  <c r="D5887" i="2"/>
  <c r="C5887" i="2"/>
  <c r="B5887" i="2"/>
  <c r="A5887" i="2"/>
  <c r="U5886" i="2"/>
  <c r="N5886" i="2"/>
  <c r="M5886" i="2"/>
  <c r="J5886" i="2"/>
  <c r="I5886" i="2"/>
  <c r="H5886" i="2"/>
  <c r="G5886" i="2"/>
  <c r="F5886" i="2"/>
  <c r="E5886" i="2"/>
  <c r="D5886" i="2"/>
  <c r="C5886" i="2"/>
  <c r="B5886" i="2"/>
  <c r="A5886" i="2"/>
  <c r="U5885" i="2"/>
  <c r="N5885" i="2"/>
  <c r="M5885" i="2"/>
  <c r="J5885" i="2"/>
  <c r="I5885" i="2"/>
  <c r="H5885" i="2"/>
  <c r="G5885" i="2"/>
  <c r="F5885" i="2"/>
  <c r="E5885" i="2"/>
  <c r="D5885" i="2"/>
  <c r="C5885" i="2"/>
  <c r="B5885" i="2"/>
  <c r="A5885" i="2"/>
  <c r="U5884" i="2"/>
  <c r="N5884" i="2"/>
  <c r="M5884" i="2"/>
  <c r="J5884" i="2"/>
  <c r="I5884" i="2"/>
  <c r="H5884" i="2"/>
  <c r="G5884" i="2"/>
  <c r="F5884" i="2"/>
  <c r="E5884" i="2"/>
  <c r="D5884" i="2"/>
  <c r="C5884" i="2"/>
  <c r="B5884" i="2"/>
  <c r="A5884" i="2"/>
  <c r="U5883" i="2"/>
  <c r="N5883" i="2"/>
  <c r="M5883" i="2"/>
  <c r="J5883" i="2"/>
  <c r="I5883" i="2"/>
  <c r="H5883" i="2"/>
  <c r="G5883" i="2"/>
  <c r="F5883" i="2"/>
  <c r="E5883" i="2"/>
  <c r="D5883" i="2"/>
  <c r="C5883" i="2"/>
  <c r="B5883" i="2"/>
  <c r="A5883" i="2"/>
  <c r="U5882" i="2"/>
  <c r="N5882" i="2"/>
  <c r="M5882" i="2"/>
  <c r="J5882" i="2"/>
  <c r="I5882" i="2"/>
  <c r="H5882" i="2"/>
  <c r="G5882" i="2"/>
  <c r="F5882" i="2"/>
  <c r="E5882" i="2"/>
  <c r="D5882" i="2"/>
  <c r="C5882" i="2"/>
  <c r="B5882" i="2"/>
  <c r="A5882" i="2"/>
  <c r="U5881" i="2"/>
  <c r="N5881" i="2"/>
  <c r="M5881" i="2"/>
  <c r="J5881" i="2"/>
  <c r="I5881" i="2"/>
  <c r="H5881" i="2"/>
  <c r="G5881" i="2"/>
  <c r="F5881" i="2"/>
  <c r="E5881" i="2"/>
  <c r="D5881" i="2"/>
  <c r="C5881" i="2"/>
  <c r="B5881" i="2"/>
  <c r="A5881" i="2"/>
  <c r="U5880" i="2"/>
  <c r="N5880" i="2"/>
  <c r="M5880" i="2"/>
  <c r="J5880" i="2"/>
  <c r="I5880" i="2"/>
  <c r="H5880" i="2"/>
  <c r="G5880" i="2"/>
  <c r="F5880" i="2"/>
  <c r="E5880" i="2"/>
  <c r="D5880" i="2"/>
  <c r="C5880" i="2"/>
  <c r="B5880" i="2"/>
  <c r="A5880" i="2"/>
  <c r="U5879" i="2"/>
  <c r="N5879" i="2"/>
  <c r="M5879" i="2"/>
  <c r="J5879" i="2"/>
  <c r="I5879" i="2"/>
  <c r="H5879" i="2"/>
  <c r="G5879" i="2"/>
  <c r="F5879" i="2"/>
  <c r="E5879" i="2"/>
  <c r="D5879" i="2"/>
  <c r="C5879" i="2"/>
  <c r="B5879" i="2"/>
  <c r="A5879" i="2"/>
  <c r="U5878" i="2"/>
  <c r="N5878" i="2"/>
  <c r="M5878" i="2"/>
  <c r="J5878" i="2"/>
  <c r="I5878" i="2"/>
  <c r="H5878" i="2"/>
  <c r="G5878" i="2"/>
  <c r="F5878" i="2"/>
  <c r="E5878" i="2"/>
  <c r="D5878" i="2"/>
  <c r="C5878" i="2"/>
  <c r="B5878" i="2"/>
  <c r="A5878" i="2"/>
  <c r="U5877" i="2"/>
  <c r="N5877" i="2"/>
  <c r="M5877" i="2"/>
  <c r="J5877" i="2"/>
  <c r="I5877" i="2"/>
  <c r="H5877" i="2"/>
  <c r="G5877" i="2"/>
  <c r="F5877" i="2"/>
  <c r="E5877" i="2"/>
  <c r="D5877" i="2"/>
  <c r="C5877" i="2"/>
  <c r="B5877" i="2"/>
  <c r="A5877" i="2"/>
  <c r="U5876" i="2"/>
  <c r="N5876" i="2"/>
  <c r="M5876" i="2"/>
  <c r="J5876" i="2"/>
  <c r="I5876" i="2"/>
  <c r="H5876" i="2"/>
  <c r="G5876" i="2"/>
  <c r="F5876" i="2"/>
  <c r="E5876" i="2"/>
  <c r="D5876" i="2"/>
  <c r="C5876" i="2"/>
  <c r="B5876" i="2"/>
  <c r="A5876" i="2"/>
  <c r="U5875" i="2"/>
  <c r="N5875" i="2"/>
  <c r="M5875" i="2"/>
  <c r="J5875" i="2"/>
  <c r="I5875" i="2"/>
  <c r="H5875" i="2"/>
  <c r="G5875" i="2"/>
  <c r="F5875" i="2"/>
  <c r="E5875" i="2"/>
  <c r="D5875" i="2"/>
  <c r="C5875" i="2"/>
  <c r="B5875" i="2"/>
  <c r="A5875" i="2"/>
  <c r="U5874" i="2"/>
  <c r="N5874" i="2"/>
  <c r="M5874" i="2"/>
  <c r="J5874" i="2"/>
  <c r="I5874" i="2"/>
  <c r="H5874" i="2"/>
  <c r="G5874" i="2"/>
  <c r="F5874" i="2"/>
  <c r="E5874" i="2"/>
  <c r="D5874" i="2"/>
  <c r="C5874" i="2"/>
  <c r="B5874" i="2"/>
  <c r="A5874" i="2"/>
  <c r="U5873" i="2"/>
  <c r="N5873" i="2"/>
  <c r="M5873" i="2"/>
  <c r="J5873" i="2"/>
  <c r="I5873" i="2"/>
  <c r="H5873" i="2"/>
  <c r="G5873" i="2"/>
  <c r="F5873" i="2"/>
  <c r="E5873" i="2"/>
  <c r="D5873" i="2"/>
  <c r="C5873" i="2"/>
  <c r="B5873" i="2"/>
  <c r="A5873" i="2"/>
  <c r="U5872" i="2"/>
  <c r="N5872" i="2"/>
  <c r="M5872" i="2"/>
  <c r="J5872" i="2"/>
  <c r="I5872" i="2"/>
  <c r="H5872" i="2"/>
  <c r="G5872" i="2"/>
  <c r="F5872" i="2"/>
  <c r="E5872" i="2"/>
  <c r="D5872" i="2"/>
  <c r="C5872" i="2"/>
  <c r="B5872" i="2"/>
  <c r="A5872" i="2"/>
  <c r="U5871" i="2"/>
  <c r="N5871" i="2"/>
  <c r="M5871" i="2"/>
  <c r="J5871" i="2"/>
  <c r="I5871" i="2"/>
  <c r="H5871" i="2"/>
  <c r="G5871" i="2"/>
  <c r="F5871" i="2"/>
  <c r="E5871" i="2"/>
  <c r="D5871" i="2"/>
  <c r="C5871" i="2"/>
  <c r="B5871" i="2"/>
  <c r="A5871" i="2"/>
  <c r="U5870" i="2"/>
  <c r="N5870" i="2"/>
  <c r="M5870" i="2"/>
  <c r="J5870" i="2"/>
  <c r="I5870" i="2"/>
  <c r="H5870" i="2"/>
  <c r="G5870" i="2"/>
  <c r="F5870" i="2"/>
  <c r="E5870" i="2"/>
  <c r="D5870" i="2"/>
  <c r="C5870" i="2"/>
  <c r="B5870" i="2"/>
  <c r="A5870" i="2"/>
  <c r="U5869" i="2"/>
  <c r="N5869" i="2"/>
  <c r="M5869" i="2"/>
  <c r="J5869" i="2"/>
  <c r="I5869" i="2"/>
  <c r="H5869" i="2"/>
  <c r="G5869" i="2"/>
  <c r="F5869" i="2"/>
  <c r="E5869" i="2"/>
  <c r="D5869" i="2"/>
  <c r="C5869" i="2"/>
  <c r="B5869" i="2"/>
  <c r="A5869" i="2"/>
  <c r="U5868" i="2"/>
  <c r="N5868" i="2"/>
  <c r="M5868" i="2"/>
  <c r="J5868" i="2"/>
  <c r="I5868" i="2"/>
  <c r="H5868" i="2"/>
  <c r="G5868" i="2"/>
  <c r="F5868" i="2"/>
  <c r="E5868" i="2"/>
  <c r="D5868" i="2"/>
  <c r="C5868" i="2"/>
  <c r="B5868" i="2"/>
  <c r="A5868" i="2"/>
  <c r="U5867" i="2"/>
  <c r="N5867" i="2"/>
  <c r="M5867" i="2"/>
  <c r="J5867" i="2"/>
  <c r="I5867" i="2"/>
  <c r="H5867" i="2"/>
  <c r="G5867" i="2"/>
  <c r="F5867" i="2"/>
  <c r="E5867" i="2"/>
  <c r="D5867" i="2"/>
  <c r="C5867" i="2"/>
  <c r="B5867" i="2"/>
  <c r="A5867" i="2"/>
  <c r="U5866" i="2"/>
  <c r="N5866" i="2"/>
  <c r="M5866" i="2"/>
  <c r="J5866" i="2"/>
  <c r="I5866" i="2"/>
  <c r="H5866" i="2"/>
  <c r="G5866" i="2"/>
  <c r="F5866" i="2"/>
  <c r="E5866" i="2"/>
  <c r="D5866" i="2"/>
  <c r="C5866" i="2"/>
  <c r="B5866" i="2"/>
  <c r="A5866" i="2"/>
  <c r="U5865" i="2"/>
  <c r="N5865" i="2"/>
  <c r="M5865" i="2"/>
  <c r="J5865" i="2"/>
  <c r="I5865" i="2"/>
  <c r="H5865" i="2"/>
  <c r="G5865" i="2"/>
  <c r="F5865" i="2"/>
  <c r="E5865" i="2"/>
  <c r="D5865" i="2"/>
  <c r="C5865" i="2"/>
  <c r="B5865" i="2"/>
  <c r="A5865" i="2"/>
  <c r="U5864" i="2"/>
  <c r="N5864" i="2"/>
  <c r="M5864" i="2"/>
  <c r="J5864" i="2"/>
  <c r="I5864" i="2"/>
  <c r="H5864" i="2"/>
  <c r="G5864" i="2"/>
  <c r="F5864" i="2"/>
  <c r="E5864" i="2"/>
  <c r="D5864" i="2"/>
  <c r="C5864" i="2"/>
  <c r="B5864" i="2"/>
  <c r="A5864" i="2"/>
  <c r="U5863" i="2"/>
  <c r="N5863" i="2"/>
  <c r="M5863" i="2"/>
  <c r="J5863" i="2"/>
  <c r="I5863" i="2"/>
  <c r="H5863" i="2"/>
  <c r="G5863" i="2"/>
  <c r="F5863" i="2"/>
  <c r="E5863" i="2"/>
  <c r="D5863" i="2"/>
  <c r="C5863" i="2"/>
  <c r="B5863" i="2"/>
  <c r="A5863" i="2"/>
  <c r="U5862" i="2"/>
  <c r="N5862" i="2"/>
  <c r="M5862" i="2"/>
  <c r="J5862" i="2"/>
  <c r="I5862" i="2"/>
  <c r="H5862" i="2"/>
  <c r="G5862" i="2"/>
  <c r="F5862" i="2"/>
  <c r="E5862" i="2"/>
  <c r="D5862" i="2"/>
  <c r="C5862" i="2"/>
  <c r="B5862" i="2"/>
  <c r="A5862" i="2"/>
  <c r="U5861" i="2"/>
  <c r="N5861" i="2"/>
  <c r="M5861" i="2"/>
  <c r="J5861" i="2"/>
  <c r="I5861" i="2"/>
  <c r="H5861" i="2"/>
  <c r="G5861" i="2"/>
  <c r="F5861" i="2"/>
  <c r="E5861" i="2"/>
  <c r="D5861" i="2"/>
  <c r="C5861" i="2"/>
  <c r="B5861" i="2"/>
  <c r="A5861" i="2"/>
  <c r="U5860" i="2"/>
  <c r="N5860" i="2"/>
  <c r="M5860" i="2"/>
  <c r="J5860" i="2"/>
  <c r="I5860" i="2"/>
  <c r="H5860" i="2"/>
  <c r="G5860" i="2"/>
  <c r="F5860" i="2"/>
  <c r="E5860" i="2"/>
  <c r="D5860" i="2"/>
  <c r="C5860" i="2"/>
  <c r="B5860" i="2"/>
  <c r="A5860" i="2"/>
  <c r="U5859" i="2"/>
  <c r="N5859" i="2"/>
  <c r="M5859" i="2"/>
  <c r="J5859" i="2"/>
  <c r="I5859" i="2"/>
  <c r="H5859" i="2"/>
  <c r="G5859" i="2"/>
  <c r="F5859" i="2"/>
  <c r="E5859" i="2"/>
  <c r="D5859" i="2"/>
  <c r="C5859" i="2"/>
  <c r="B5859" i="2"/>
  <c r="A5859" i="2"/>
  <c r="U5858" i="2"/>
  <c r="N5858" i="2"/>
  <c r="M5858" i="2"/>
  <c r="J5858" i="2"/>
  <c r="I5858" i="2"/>
  <c r="H5858" i="2"/>
  <c r="G5858" i="2"/>
  <c r="F5858" i="2"/>
  <c r="E5858" i="2"/>
  <c r="D5858" i="2"/>
  <c r="C5858" i="2"/>
  <c r="B5858" i="2"/>
  <c r="A5858" i="2"/>
  <c r="U5857" i="2"/>
  <c r="N5857" i="2"/>
  <c r="M5857" i="2"/>
  <c r="J5857" i="2"/>
  <c r="I5857" i="2"/>
  <c r="H5857" i="2"/>
  <c r="G5857" i="2"/>
  <c r="F5857" i="2"/>
  <c r="E5857" i="2"/>
  <c r="D5857" i="2"/>
  <c r="C5857" i="2"/>
  <c r="B5857" i="2"/>
  <c r="A5857" i="2"/>
  <c r="U5856" i="2"/>
  <c r="N5856" i="2"/>
  <c r="M5856" i="2"/>
  <c r="J5856" i="2"/>
  <c r="I5856" i="2"/>
  <c r="H5856" i="2"/>
  <c r="G5856" i="2"/>
  <c r="F5856" i="2"/>
  <c r="E5856" i="2"/>
  <c r="D5856" i="2"/>
  <c r="C5856" i="2"/>
  <c r="B5856" i="2"/>
  <c r="A5856" i="2"/>
  <c r="U5855" i="2"/>
  <c r="N5855" i="2"/>
  <c r="M5855" i="2"/>
  <c r="J5855" i="2"/>
  <c r="I5855" i="2"/>
  <c r="H5855" i="2"/>
  <c r="G5855" i="2"/>
  <c r="F5855" i="2"/>
  <c r="E5855" i="2"/>
  <c r="D5855" i="2"/>
  <c r="C5855" i="2"/>
  <c r="B5855" i="2"/>
  <c r="A5855" i="2"/>
  <c r="U5854" i="2"/>
  <c r="N5854" i="2"/>
  <c r="M5854" i="2"/>
  <c r="J5854" i="2"/>
  <c r="I5854" i="2"/>
  <c r="H5854" i="2"/>
  <c r="G5854" i="2"/>
  <c r="F5854" i="2"/>
  <c r="E5854" i="2"/>
  <c r="D5854" i="2"/>
  <c r="C5854" i="2"/>
  <c r="B5854" i="2"/>
  <c r="A5854" i="2"/>
  <c r="U5853" i="2"/>
  <c r="N5853" i="2"/>
  <c r="M5853" i="2"/>
  <c r="J5853" i="2"/>
  <c r="I5853" i="2"/>
  <c r="H5853" i="2"/>
  <c r="G5853" i="2"/>
  <c r="F5853" i="2"/>
  <c r="E5853" i="2"/>
  <c r="D5853" i="2"/>
  <c r="C5853" i="2"/>
  <c r="B5853" i="2"/>
  <c r="A5853" i="2"/>
  <c r="U5852" i="2"/>
  <c r="N5852" i="2"/>
  <c r="M5852" i="2"/>
  <c r="J5852" i="2"/>
  <c r="I5852" i="2"/>
  <c r="H5852" i="2"/>
  <c r="G5852" i="2"/>
  <c r="F5852" i="2"/>
  <c r="E5852" i="2"/>
  <c r="D5852" i="2"/>
  <c r="C5852" i="2"/>
  <c r="B5852" i="2"/>
  <c r="A5852" i="2"/>
  <c r="U5851" i="2"/>
  <c r="N5851" i="2"/>
  <c r="M5851" i="2"/>
  <c r="J5851" i="2"/>
  <c r="I5851" i="2"/>
  <c r="H5851" i="2"/>
  <c r="G5851" i="2"/>
  <c r="F5851" i="2"/>
  <c r="E5851" i="2"/>
  <c r="D5851" i="2"/>
  <c r="C5851" i="2"/>
  <c r="B5851" i="2"/>
  <c r="A5851" i="2"/>
  <c r="U5850" i="2"/>
  <c r="N5850" i="2"/>
  <c r="M5850" i="2"/>
  <c r="J5850" i="2"/>
  <c r="I5850" i="2"/>
  <c r="H5850" i="2"/>
  <c r="G5850" i="2"/>
  <c r="F5850" i="2"/>
  <c r="E5850" i="2"/>
  <c r="D5850" i="2"/>
  <c r="C5850" i="2"/>
  <c r="B5850" i="2"/>
  <c r="A5850" i="2"/>
  <c r="U5849" i="2"/>
  <c r="N5849" i="2"/>
  <c r="M5849" i="2"/>
  <c r="J5849" i="2"/>
  <c r="I5849" i="2"/>
  <c r="H5849" i="2"/>
  <c r="G5849" i="2"/>
  <c r="F5849" i="2"/>
  <c r="E5849" i="2"/>
  <c r="D5849" i="2"/>
  <c r="C5849" i="2"/>
  <c r="B5849" i="2"/>
  <c r="A5849" i="2"/>
  <c r="U5848" i="2"/>
  <c r="N5848" i="2"/>
  <c r="M5848" i="2"/>
  <c r="J5848" i="2"/>
  <c r="I5848" i="2"/>
  <c r="H5848" i="2"/>
  <c r="G5848" i="2"/>
  <c r="F5848" i="2"/>
  <c r="E5848" i="2"/>
  <c r="D5848" i="2"/>
  <c r="C5848" i="2"/>
  <c r="B5848" i="2"/>
  <c r="A5848" i="2"/>
  <c r="U5847" i="2"/>
  <c r="N5847" i="2"/>
  <c r="M5847" i="2"/>
  <c r="J5847" i="2"/>
  <c r="I5847" i="2"/>
  <c r="H5847" i="2"/>
  <c r="G5847" i="2"/>
  <c r="F5847" i="2"/>
  <c r="E5847" i="2"/>
  <c r="D5847" i="2"/>
  <c r="C5847" i="2"/>
  <c r="B5847" i="2"/>
  <c r="A5847" i="2"/>
  <c r="U5846" i="2"/>
  <c r="N5846" i="2"/>
  <c r="M5846" i="2"/>
  <c r="J5846" i="2"/>
  <c r="I5846" i="2"/>
  <c r="H5846" i="2"/>
  <c r="G5846" i="2"/>
  <c r="F5846" i="2"/>
  <c r="E5846" i="2"/>
  <c r="D5846" i="2"/>
  <c r="C5846" i="2"/>
  <c r="B5846" i="2"/>
  <c r="A5846" i="2"/>
  <c r="U5845" i="2"/>
  <c r="N5845" i="2"/>
  <c r="M5845" i="2"/>
  <c r="J5845" i="2"/>
  <c r="I5845" i="2"/>
  <c r="H5845" i="2"/>
  <c r="G5845" i="2"/>
  <c r="F5845" i="2"/>
  <c r="E5845" i="2"/>
  <c r="D5845" i="2"/>
  <c r="C5845" i="2"/>
  <c r="B5845" i="2"/>
  <c r="A5845" i="2"/>
  <c r="U5844" i="2"/>
  <c r="N5844" i="2"/>
  <c r="M5844" i="2"/>
  <c r="J5844" i="2"/>
  <c r="I5844" i="2"/>
  <c r="H5844" i="2"/>
  <c r="G5844" i="2"/>
  <c r="F5844" i="2"/>
  <c r="E5844" i="2"/>
  <c r="D5844" i="2"/>
  <c r="C5844" i="2"/>
  <c r="B5844" i="2"/>
  <c r="A5844" i="2"/>
  <c r="U5843" i="2"/>
  <c r="N5843" i="2"/>
  <c r="M5843" i="2"/>
  <c r="J5843" i="2"/>
  <c r="I5843" i="2"/>
  <c r="H5843" i="2"/>
  <c r="G5843" i="2"/>
  <c r="F5843" i="2"/>
  <c r="E5843" i="2"/>
  <c r="D5843" i="2"/>
  <c r="C5843" i="2"/>
  <c r="B5843" i="2"/>
  <c r="A5843" i="2"/>
  <c r="U5842" i="2"/>
  <c r="N5842" i="2"/>
  <c r="M5842" i="2"/>
  <c r="J5842" i="2"/>
  <c r="I5842" i="2"/>
  <c r="H5842" i="2"/>
  <c r="G5842" i="2"/>
  <c r="F5842" i="2"/>
  <c r="E5842" i="2"/>
  <c r="D5842" i="2"/>
  <c r="C5842" i="2"/>
  <c r="B5842" i="2"/>
  <c r="A5842" i="2"/>
  <c r="U5841" i="2"/>
  <c r="N5841" i="2"/>
  <c r="M5841" i="2"/>
  <c r="J5841" i="2"/>
  <c r="I5841" i="2"/>
  <c r="H5841" i="2"/>
  <c r="G5841" i="2"/>
  <c r="F5841" i="2"/>
  <c r="E5841" i="2"/>
  <c r="D5841" i="2"/>
  <c r="C5841" i="2"/>
  <c r="B5841" i="2"/>
  <c r="A5841" i="2"/>
  <c r="U5840" i="2"/>
  <c r="N5840" i="2"/>
  <c r="M5840" i="2"/>
  <c r="J5840" i="2"/>
  <c r="I5840" i="2"/>
  <c r="H5840" i="2"/>
  <c r="G5840" i="2"/>
  <c r="F5840" i="2"/>
  <c r="E5840" i="2"/>
  <c r="D5840" i="2"/>
  <c r="C5840" i="2"/>
  <c r="B5840" i="2"/>
  <c r="A5840" i="2"/>
  <c r="U5839" i="2"/>
  <c r="N5839" i="2"/>
  <c r="M5839" i="2"/>
  <c r="J5839" i="2"/>
  <c r="I5839" i="2"/>
  <c r="H5839" i="2"/>
  <c r="G5839" i="2"/>
  <c r="F5839" i="2"/>
  <c r="E5839" i="2"/>
  <c r="D5839" i="2"/>
  <c r="C5839" i="2"/>
  <c r="B5839" i="2"/>
  <c r="A5839" i="2"/>
  <c r="U5838" i="2"/>
  <c r="N5838" i="2"/>
  <c r="M5838" i="2"/>
  <c r="J5838" i="2"/>
  <c r="I5838" i="2"/>
  <c r="H5838" i="2"/>
  <c r="G5838" i="2"/>
  <c r="F5838" i="2"/>
  <c r="E5838" i="2"/>
  <c r="D5838" i="2"/>
  <c r="C5838" i="2"/>
  <c r="B5838" i="2"/>
  <c r="A5838" i="2"/>
  <c r="U5837" i="2"/>
  <c r="N5837" i="2"/>
  <c r="M5837" i="2"/>
  <c r="J5837" i="2"/>
  <c r="I5837" i="2"/>
  <c r="H5837" i="2"/>
  <c r="G5837" i="2"/>
  <c r="F5837" i="2"/>
  <c r="E5837" i="2"/>
  <c r="D5837" i="2"/>
  <c r="C5837" i="2"/>
  <c r="B5837" i="2"/>
  <c r="A5837" i="2"/>
  <c r="U5836" i="2"/>
  <c r="N5836" i="2"/>
  <c r="M5836" i="2"/>
  <c r="J5836" i="2"/>
  <c r="I5836" i="2"/>
  <c r="H5836" i="2"/>
  <c r="G5836" i="2"/>
  <c r="F5836" i="2"/>
  <c r="E5836" i="2"/>
  <c r="D5836" i="2"/>
  <c r="C5836" i="2"/>
  <c r="B5836" i="2"/>
  <c r="A5836" i="2"/>
  <c r="U5835" i="2"/>
  <c r="N5835" i="2"/>
  <c r="M5835" i="2"/>
  <c r="J5835" i="2"/>
  <c r="I5835" i="2"/>
  <c r="H5835" i="2"/>
  <c r="G5835" i="2"/>
  <c r="F5835" i="2"/>
  <c r="E5835" i="2"/>
  <c r="D5835" i="2"/>
  <c r="C5835" i="2"/>
  <c r="B5835" i="2"/>
  <c r="A5835" i="2"/>
  <c r="U5834" i="2"/>
  <c r="N5834" i="2"/>
  <c r="M5834" i="2"/>
  <c r="J5834" i="2"/>
  <c r="I5834" i="2"/>
  <c r="H5834" i="2"/>
  <c r="G5834" i="2"/>
  <c r="F5834" i="2"/>
  <c r="E5834" i="2"/>
  <c r="D5834" i="2"/>
  <c r="C5834" i="2"/>
  <c r="B5834" i="2"/>
  <c r="A5834" i="2"/>
  <c r="U5833" i="2"/>
  <c r="N5833" i="2"/>
  <c r="M5833" i="2"/>
  <c r="J5833" i="2"/>
  <c r="I5833" i="2"/>
  <c r="H5833" i="2"/>
  <c r="G5833" i="2"/>
  <c r="F5833" i="2"/>
  <c r="E5833" i="2"/>
  <c r="D5833" i="2"/>
  <c r="C5833" i="2"/>
  <c r="B5833" i="2"/>
  <c r="A5833" i="2"/>
  <c r="U5832" i="2"/>
  <c r="N5832" i="2"/>
  <c r="M5832" i="2"/>
  <c r="J5832" i="2"/>
  <c r="I5832" i="2"/>
  <c r="H5832" i="2"/>
  <c r="G5832" i="2"/>
  <c r="F5832" i="2"/>
  <c r="E5832" i="2"/>
  <c r="D5832" i="2"/>
  <c r="C5832" i="2"/>
  <c r="B5832" i="2"/>
  <c r="A5832" i="2"/>
  <c r="U5831" i="2"/>
  <c r="N5831" i="2"/>
  <c r="M5831" i="2"/>
  <c r="J5831" i="2"/>
  <c r="I5831" i="2"/>
  <c r="H5831" i="2"/>
  <c r="G5831" i="2"/>
  <c r="F5831" i="2"/>
  <c r="E5831" i="2"/>
  <c r="D5831" i="2"/>
  <c r="C5831" i="2"/>
  <c r="B5831" i="2"/>
  <c r="A5831" i="2"/>
  <c r="U5830" i="2"/>
  <c r="N5830" i="2"/>
  <c r="M5830" i="2"/>
  <c r="J5830" i="2"/>
  <c r="I5830" i="2"/>
  <c r="H5830" i="2"/>
  <c r="G5830" i="2"/>
  <c r="F5830" i="2"/>
  <c r="E5830" i="2"/>
  <c r="D5830" i="2"/>
  <c r="C5830" i="2"/>
  <c r="B5830" i="2"/>
  <c r="A5830" i="2"/>
  <c r="U5829" i="2"/>
  <c r="N5829" i="2"/>
  <c r="M5829" i="2"/>
  <c r="J5829" i="2"/>
  <c r="I5829" i="2"/>
  <c r="H5829" i="2"/>
  <c r="G5829" i="2"/>
  <c r="F5829" i="2"/>
  <c r="E5829" i="2"/>
  <c r="D5829" i="2"/>
  <c r="C5829" i="2"/>
  <c r="B5829" i="2"/>
  <c r="A5829" i="2"/>
  <c r="U5828" i="2"/>
  <c r="N5828" i="2"/>
  <c r="M5828" i="2"/>
  <c r="J5828" i="2"/>
  <c r="I5828" i="2"/>
  <c r="H5828" i="2"/>
  <c r="G5828" i="2"/>
  <c r="F5828" i="2"/>
  <c r="E5828" i="2"/>
  <c r="D5828" i="2"/>
  <c r="C5828" i="2"/>
  <c r="B5828" i="2"/>
  <c r="A5828" i="2"/>
  <c r="U5827" i="2"/>
  <c r="N5827" i="2"/>
  <c r="M5827" i="2"/>
  <c r="J5827" i="2"/>
  <c r="I5827" i="2"/>
  <c r="H5827" i="2"/>
  <c r="G5827" i="2"/>
  <c r="F5827" i="2"/>
  <c r="E5827" i="2"/>
  <c r="D5827" i="2"/>
  <c r="C5827" i="2"/>
  <c r="B5827" i="2"/>
  <c r="A5827" i="2"/>
  <c r="U5826" i="2"/>
  <c r="N5826" i="2"/>
  <c r="M5826" i="2"/>
  <c r="J5826" i="2"/>
  <c r="I5826" i="2"/>
  <c r="H5826" i="2"/>
  <c r="G5826" i="2"/>
  <c r="F5826" i="2"/>
  <c r="E5826" i="2"/>
  <c r="D5826" i="2"/>
  <c r="C5826" i="2"/>
  <c r="B5826" i="2"/>
  <c r="A5826" i="2"/>
  <c r="U5825" i="2"/>
  <c r="N5825" i="2"/>
  <c r="M5825" i="2"/>
  <c r="J5825" i="2"/>
  <c r="I5825" i="2"/>
  <c r="H5825" i="2"/>
  <c r="G5825" i="2"/>
  <c r="F5825" i="2"/>
  <c r="E5825" i="2"/>
  <c r="D5825" i="2"/>
  <c r="C5825" i="2"/>
  <c r="B5825" i="2"/>
  <c r="A5825" i="2"/>
  <c r="U5824" i="2"/>
  <c r="N5824" i="2"/>
  <c r="M5824" i="2"/>
  <c r="J5824" i="2"/>
  <c r="I5824" i="2"/>
  <c r="H5824" i="2"/>
  <c r="G5824" i="2"/>
  <c r="F5824" i="2"/>
  <c r="E5824" i="2"/>
  <c r="D5824" i="2"/>
  <c r="C5824" i="2"/>
  <c r="B5824" i="2"/>
  <c r="A5824" i="2"/>
  <c r="U5823" i="2"/>
  <c r="N5823" i="2"/>
  <c r="M5823" i="2"/>
  <c r="J5823" i="2"/>
  <c r="I5823" i="2"/>
  <c r="H5823" i="2"/>
  <c r="G5823" i="2"/>
  <c r="F5823" i="2"/>
  <c r="E5823" i="2"/>
  <c r="D5823" i="2"/>
  <c r="C5823" i="2"/>
  <c r="B5823" i="2"/>
  <c r="A5823" i="2"/>
  <c r="U5822" i="2"/>
  <c r="N5822" i="2"/>
  <c r="M5822" i="2"/>
  <c r="J5822" i="2"/>
  <c r="I5822" i="2"/>
  <c r="H5822" i="2"/>
  <c r="G5822" i="2"/>
  <c r="F5822" i="2"/>
  <c r="E5822" i="2"/>
  <c r="D5822" i="2"/>
  <c r="C5822" i="2"/>
  <c r="B5822" i="2"/>
  <c r="A5822" i="2"/>
  <c r="U5821" i="2"/>
  <c r="N5821" i="2"/>
  <c r="M5821" i="2"/>
  <c r="J5821" i="2"/>
  <c r="I5821" i="2"/>
  <c r="H5821" i="2"/>
  <c r="G5821" i="2"/>
  <c r="F5821" i="2"/>
  <c r="E5821" i="2"/>
  <c r="D5821" i="2"/>
  <c r="C5821" i="2"/>
  <c r="B5821" i="2"/>
  <c r="A5821" i="2"/>
  <c r="U5820" i="2"/>
  <c r="N5820" i="2"/>
  <c r="M5820" i="2"/>
  <c r="J5820" i="2"/>
  <c r="I5820" i="2"/>
  <c r="H5820" i="2"/>
  <c r="G5820" i="2"/>
  <c r="F5820" i="2"/>
  <c r="E5820" i="2"/>
  <c r="D5820" i="2"/>
  <c r="C5820" i="2"/>
  <c r="B5820" i="2"/>
  <c r="A5820" i="2"/>
  <c r="U5819" i="2"/>
  <c r="N5819" i="2"/>
  <c r="M5819" i="2"/>
  <c r="J5819" i="2"/>
  <c r="I5819" i="2"/>
  <c r="H5819" i="2"/>
  <c r="G5819" i="2"/>
  <c r="F5819" i="2"/>
  <c r="E5819" i="2"/>
  <c r="D5819" i="2"/>
  <c r="C5819" i="2"/>
  <c r="B5819" i="2"/>
  <c r="A5819" i="2"/>
  <c r="U5818" i="2"/>
  <c r="N5818" i="2"/>
  <c r="M5818" i="2"/>
  <c r="J5818" i="2"/>
  <c r="I5818" i="2"/>
  <c r="H5818" i="2"/>
  <c r="G5818" i="2"/>
  <c r="F5818" i="2"/>
  <c r="E5818" i="2"/>
  <c r="D5818" i="2"/>
  <c r="C5818" i="2"/>
  <c r="B5818" i="2"/>
  <c r="A5818" i="2"/>
  <c r="U5817" i="2"/>
  <c r="N5817" i="2"/>
  <c r="M5817" i="2"/>
  <c r="J5817" i="2"/>
  <c r="I5817" i="2"/>
  <c r="H5817" i="2"/>
  <c r="G5817" i="2"/>
  <c r="F5817" i="2"/>
  <c r="E5817" i="2"/>
  <c r="D5817" i="2"/>
  <c r="C5817" i="2"/>
  <c r="B5817" i="2"/>
  <c r="A5817" i="2"/>
  <c r="U5816" i="2"/>
  <c r="N5816" i="2"/>
  <c r="M5816" i="2"/>
  <c r="J5816" i="2"/>
  <c r="I5816" i="2"/>
  <c r="H5816" i="2"/>
  <c r="G5816" i="2"/>
  <c r="F5816" i="2"/>
  <c r="E5816" i="2"/>
  <c r="D5816" i="2"/>
  <c r="C5816" i="2"/>
  <c r="B5816" i="2"/>
  <c r="A5816" i="2"/>
  <c r="U5815" i="2"/>
  <c r="N5815" i="2"/>
  <c r="M5815" i="2"/>
  <c r="J5815" i="2"/>
  <c r="I5815" i="2"/>
  <c r="H5815" i="2"/>
  <c r="G5815" i="2"/>
  <c r="F5815" i="2"/>
  <c r="E5815" i="2"/>
  <c r="D5815" i="2"/>
  <c r="C5815" i="2"/>
  <c r="B5815" i="2"/>
  <c r="A5815" i="2"/>
  <c r="U5814" i="2"/>
  <c r="N5814" i="2"/>
  <c r="M5814" i="2"/>
  <c r="J5814" i="2"/>
  <c r="I5814" i="2"/>
  <c r="H5814" i="2"/>
  <c r="G5814" i="2"/>
  <c r="F5814" i="2"/>
  <c r="E5814" i="2"/>
  <c r="D5814" i="2"/>
  <c r="C5814" i="2"/>
  <c r="B5814" i="2"/>
  <c r="A5814" i="2"/>
  <c r="U5813" i="2"/>
  <c r="N5813" i="2"/>
  <c r="M5813" i="2"/>
  <c r="J5813" i="2"/>
  <c r="I5813" i="2"/>
  <c r="H5813" i="2"/>
  <c r="G5813" i="2"/>
  <c r="F5813" i="2"/>
  <c r="E5813" i="2"/>
  <c r="D5813" i="2"/>
  <c r="C5813" i="2"/>
  <c r="B5813" i="2"/>
  <c r="A5813" i="2"/>
  <c r="U5812" i="2"/>
  <c r="N5812" i="2"/>
  <c r="M5812" i="2"/>
  <c r="J5812" i="2"/>
  <c r="I5812" i="2"/>
  <c r="H5812" i="2"/>
  <c r="G5812" i="2"/>
  <c r="F5812" i="2"/>
  <c r="E5812" i="2"/>
  <c r="D5812" i="2"/>
  <c r="C5812" i="2"/>
  <c r="B5812" i="2"/>
  <c r="A5812" i="2"/>
  <c r="U5811" i="2"/>
  <c r="N5811" i="2"/>
  <c r="M5811" i="2"/>
  <c r="J5811" i="2"/>
  <c r="I5811" i="2"/>
  <c r="H5811" i="2"/>
  <c r="G5811" i="2"/>
  <c r="F5811" i="2"/>
  <c r="E5811" i="2"/>
  <c r="D5811" i="2"/>
  <c r="C5811" i="2"/>
  <c r="B5811" i="2"/>
  <c r="A5811" i="2"/>
  <c r="U5810" i="2"/>
  <c r="N5810" i="2"/>
  <c r="M5810" i="2"/>
  <c r="J5810" i="2"/>
  <c r="I5810" i="2"/>
  <c r="H5810" i="2"/>
  <c r="G5810" i="2"/>
  <c r="F5810" i="2"/>
  <c r="E5810" i="2"/>
  <c r="D5810" i="2"/>
  <c r="C5810" i="2"/>
  <c r="B5810" i="2"/>
  <c r="A5810" i="2"/>
  <c r="U5809" i="2"/>
  <c r="N5809" i="2"/>
  <c r="M5809" i="2"/>
  <c r="J5809" i="2"/>
  <c r="I5809" i="2"/>
  <c r="H5809" i="2"/>
  <c r="G5809" i="2"/>
  <c r="F5809" i="2"/>
  <c r="E5809" i="2"/>
  <c r="D5809" i="2"/>
  <c r="C5809" i="2"/>
  <c r="B5809" i="2"/>
  <c r="A5809" i="2"/>
  <c r="U5808" i="2"/>
  <c r="N5808" i="2"/>
  <c r="M5808" i="2"/>
  <c r="J5808" i="2"/>
  <c r="I5808" i="2"/>
  <c r="H5808" i="2"/>
  <c r="G5808" i="2"/>
  <c r="F5808" i="2"/>
  <c r="E5808" i="2"/>
  <c r="D5808" i="2"/>
  <c r="C5808" i="2"/>
  <c r="B5808" i="2"/>
  <c r="A5808" i="2"/>
  <c r="U5807" i="2"/>
  <c r="N5807" i="2"/>
  <c r="M5807" i="2"/>
  <c r="J5807" i="2"/>
  <c r="I5807" i="2"/>
  <c r="H5807" i="2"/>
  <c r="G5807" i="2"/>
  <c r="F5807" i="2"/>
  <c r="E5807" i="2"/>
  <c r="D5807" i="2"/>
  <c r="C5807" i="2"/>
  <c r="B5807" i="2"/>
  <c r="A5807" i="2"/>
  <c r="Q5806" i="2"/>
  <c r="U5806" i="2" s="1"/>
  <c r="N5806" i="2"/>
  <c r="M5806" i="2"/>
  <c r="J5806" i="2"/>
  <c r="I5806" i="2"/>
  <c r="H5806" i="2"/>
  <c r="G5806" i="2"/>
  <c r="F5806" i="2"/>
  <c r="E5806" i="2"/>
  <c r="D5806" i="2"/>
  <c r="C5806" i="2"/>
  <c r="B5806" i="2"/>
  <c r="A5806" i="2"/>
  <c r="U5805" i="2"/>
  <c r="N5805" i="2"/>
  <c r="M5805" i="2"/>
  <c r="J5805" i="2"/>
  <c r="I5805" i="2"/>
  <c r="H5805" i="2"/>
  <c r="G5805" i="2"/>
  <c r="F5805" i="2"/>
  <c r="E5805" i="2"/>
  <c r="D5805" i="2"/>
  <c r="C5805" i="2"/>
  <c r="B5805" i="2"/>
  <c r="A5805" i="2"/>
  <c r="U5804" i="2"/>
  <c r="N5804" i="2"/>
  <c r="M5804" i="2"/>
  <c r="J5804" i="2"/>
  <c r="I5804" i="2"/>
  <c r="H5804" i="2"/>
  <c r="G5804" i="2"/>
  <c r="F5804" i="2"/>
  <c r="E5804" i="2"/>
  <c r="D5804" i="2"/>
  <c r="C5804" i="2"/>
  <c r="B5804" i="2"/>
  <c r="A5804" i="2"/>
  <c r="U5803" i="2"/>
  <c r="N5803" i="2"/>
  <c r="M5803" i="2"/>
  <c r="J5803" i="2"/>
  <c r="I5803" i="2"/>
  <c r="H5803" i="2"/>
  <c r="G5803" i="2"/>
  <c r="F5803" i="2"/>
  <c r="E5803" i="2"/>
  <c r="D5803" i="2"/>
  <c r="C5803" i="2"/>
  <c r="B5803" i="2"/>
  <c r="A5803" i="2"/>
  <c r="U5802" i="2"/>
  <c r="N5802" i="2"/>
  <c r="M5802" i="2"/>
  <c r="J5802" i="2"/>
  <c r="I5802" i="2"/>
  <c r="H5802" i="2"/>
  <c r="G5802" i="2"/>
  <c r="F5802" i="2"/>
  <c r="E5802" i="2"/>
  <c r="D5802" i="2"/>
  <c r="C5802" i="2"/>
  <c r="B5802" i="2"/>
  <c r="A5802" i="2"/>
  <c r="U5801" i="2"/>
  <c r="N5801" i="2"/>
  <c r="M5801" i="2"/>
  <c r="J5801" i="2"/>
  <c r="I5801" i="2"/>
  <c r="H5801" i="2"/>
  <c r="G5801" i="2"/>
  <c r="F5801" i="2"/>
  <c r="E5801" i="2"/>
  <c r="D5801" i="2"/>
  <c r="C5801" i="2"/>
  <c r="B5801" i="2"/>
  <c r="A5801" i="2"/>
  <c r="U5800" i="2"/>
  <c r="N5800" i="2"/>
  <c r="M5800" i="2"/>
  <c r="J5800" i="2"/>
  <c r="I5800" i="2"/>
  <c r="H5800" i="2"/>
  <c r="G5800" i="2"/>
  <c r="F5800" i="2"/>
  <c r="E5800" i="2"/>
  <c r="D5800" i="2"/>
  <c r="C5800" i="2"/>
  <c r="B5800" i="2"/>
  <c r="A5800" i="2"/>
  <c r="U5799" i="2"/>
  <c r="N5799" i="2"/>
  <c r="M5799" i="2"/>
  <c r="J5799" i="2"/>
  <c r="I5799" i="2"/>
  <c r="H5799" i="2"/>
  <c r="G5799" i="2"/>
  <c r="F5799" i="2"/>
  <c r="E5799" i="2"/>
  <c r="D5799" i="2"/>
  <c r="C5799" i="2"/>
  <c r="B5799" i="2"/>
  <c r="A5799" i="2"/>
  <c r="U5798" i="2"/>
  <c r="N5798" i="2"/>
  <c r="M5798" i="2"/>
  <c r="J5798" i="2"/>
  <c r="I5798" i="2"/>
  <c r="H5798" i="2"/>
  <c r="G5798" i="2"/>
  <c r="F5798" i="2"/>
  <c r="E5798" i="2"/>
  <c r="D5798" i="2"/>
  <c r="C5798" i="2"/>
  <c r="B5798" i="2"/>
  <c r="A5798" i="2"/>
  <c r="U5797" i="2"/>
  <c r="N5797" i="2"/>
  <c r="M5797" i="2"/>
  <c r="J5797" i="2"/>
  <c r="I5797" i="2"/>
  <c r="H5797" i="2"/>
  <c r="G5797" i="2"/>
  <c r="F5797" i="2"/>
  <c r="E5797" i="2"/>
  <c r="D5797" i="2"/>
  <c r="C5797" i="2"/>
  <c r="B5797" i="2"/>
  <c r="A5797" i="2"/>
  <c r="U5796" i="2"/>
  <c r="N5796" i="2"/>
  <c r="M5796" i="2"/>
  <c r="J5796" i="2"/>
  <c r="I5796" i="2"/>
  <c r="H5796" i="2"/>
  <c r="G5796" i="2"/>
  <c r="F5796" i="2"/>
  <c r="E5796" i="2"/>
  <c r="D5796" i="2"/>
  <c r="C5796" i="2"/>
  <c r="B5796" i="2"/>
  <c r="A5796" i="2"/>
  <c r="U5795" i="2"/>
  <c r="N5795" i="2"/>
  <c r="M5795" i="2"/>
  <c r="J5795" i="2"/>
  <c r="I5795" i="2"/>
  <c r="H5795" i="2"/>
  <c r="G5795" i="2"/>
  <c r="F5795" i="2"/>
  <c r="E5795" i="2"/>
  <c r="D5795" i="2"/>
  <c r="C5795" i="2"/>
  <c r="B5795" i="2"/>
  <c r="A5795" i="2"/>
  <c r="U5794" i="2"/>
  <c r="N5794" i="2"/>
  <c r="M5794" i="2"/>
  <c r="J5794" i="2"/>
  <c r="I5794" i="2"/>
  <c r="H5794" i="2"/>
  <c r="G5794" i="2"/>
  <c r="F5794" i="2"/>
  <c r="E5794" i="2"/>
  <c r="D5794" i="2"/>
  <c r="C5794" i="2"/>
  <c r="B5794" i="2"/>
  <c r="A5794" i="2"/>
  <c r="U5793" i="2"/>
  <c r="N5793" i="2"/>
  <c r="M5793" i="2"/>
  <c r="J5793" i="2"/>
  <c r="I5793" i="2"/>
  <c r="H5793" i="2"/>
  <c r="G5793" i="2"/>
  <c r="F5793" i="2"/>
  <c r="E5793" i="2"/>
  <c r="D5793" i="2"/>
  <c r="C5793" i="2"/>
  <c r="B5793" i="2"/>
  <c r="A5793" i="2"/>
  <c r="U5792" i="2"/>
  <c r="N5792" i="2"/>
  <c r="M5792" i="2"/>
  <c r="J5792" i="2"/>
  <c r="I5792" i="2"/>
  <c r="H5792" i="2"/>
  <c r="G5792" i="2"/>
  <c r="F5792" i="2"/>
  <c r="E5792" i="2"/>
  <c r="D5792" i="2"/>
  <c r="C5792" i="2"/>
  <c r="B5792" i="2"/>
  <c r="A5792" i="2"/>
  <c r="U5791" i="2"/>
  <c r="N5791" i="2"/>
  <c r="M5791" i="2"/>
  <c r="J5791" i="2"/>
  <c r="I5791" i="2"/>
  <c r="H5791" i="2"/>
  <c r="G5791" i="2"/>
  <c r="F5791" i="2"/>
  <c r="E5791" i="2"/>
  <c r="D5791" i="2"/>
  <c r="C5791" i="2"/>
  <c r="B5791" i="2"/>
  <c r="A5791" i="2"/>
  <c r="U5790" i="2"/>
  <c r="N5790" i="2"/>
  <c r="M5790" i="2"/>
  <c r="J5790" i="2"/>
  <c r="I5790" i="2"/>
  <c r="H5790" i="2"/>
  <c r="G5790" i="2"/>
  <c r="F5790" i="2"/>
  <c r="E5790" i="2"/>
  <c r="D5790" i="2"/>
  <c r="C5790" i="2"/>
  <c r="B5790" i="2"/>
  <c r="A5790" i="2"/>
  <c r="U5789" i="2"/>
  <c r="N5789" i="2"/>
  <c r="M5789" i="2"/>
  <c r="J5789" i="2"/>
  <c r="I5789" i="2"/>
  <c r="H5789" i="2"/>
  <c r="G5789" i="2"/>
  <c r="F5789" i="2"/>
  <c r="E5789" i="2"/>
  <c r="D5789" i="2"/>
  <c r="C5789" i="2"/>
  <c r="B5789" i="2"/>
  <c r="A5789" i="2"/>
  <c r="Q5788" i="2"/>
  <c r="U5788" i="2" s="1"/>
  <c r="N5788" i="2"/>
  <c r="M5788" i="2"/>
  <c r="J5788" i="2"/>
  <c r="I5788" i="2"/>
  <c r="H5788" i="2"/>
  <c r="G5788" i="2"/>
  <c r="F5788" i="2"/>
  <c r="E5788" i="2"/>
  <c r="D5788" i="2"/>
  <c r="C5788" i="2"/>
  <c r="B5788" i="2"/>
  <c r="A5788" i="2"/>
  <c r="U5787" i="2"/>
  <c r="N5787" i="2"/>
  <c r="M5787" i="2"/>
  <c r="J5787" i="2"/>
  <c r="I5787" i="2"/>
  <c r="H5787" i="2"/>
  <c r="G5787" i="2"/>
  <c r="F5787" i="2"/>
  <c r="E5787" i="2"/>
  <c r="D5787" i="2"/>
  <c r="C5787" i="2"/>
  <c r="B5787" i="2"/>
  <c r="A5787" i="2"/>
  <c r="U5786" i="2"/>
  <c r="N5786" i="2"/>
  <c r="M5786" i="2"/>
  <c r="J5786" i="2"/>
  <c r="I5786" i="2"/>
  <c r="H5786" i="2"/>
  <c r="G5786" i="2"/>
  <c r="F5786" i="2"/>
  <c r="E5786" i="2"/>
  <c r="D5786" i="2"/>
  <c r="C5786" i="2"/>
  <c r="B5786" i="2"/>
  <c r="A5786" i="2"/>
  <c r="U5785" i="2"/>
  <c r="N5785" i="2"/>
  <c r="M5785" i="2"/>
  <c r="J5785" i="2"/>
  <c r="I5785" i="2"/>
  <c r="H5785" i="2"/>
  <c r="G5785" i="2"/>
  <c r="F5785" i="2"/>
  <c r="E5785" i="2"/>
  <c r="D5785" i="2"/>
  <c r="C5785" i="2"/>
  <c r="B5785" i="2"/>
  <c r="A5785" i="2"/>
  <c r="U5784" i="2"/>
  <c r="N5784" i="2"/>
  <c r="M5784" i="2"/>
  <c r="J5784" i="2"/>
  <c r="I5784" i="2"/>
  <c r="H5784" i="2"/>
  <c r="G5784" i="2"/>
  <c r="F5784" i="2"/>
  <c r="E5784" i="2"/>
  <c r="D5784" i="2"/>
  <c r="C5784" i="2"/>
  <c r="B5784" i="2"/>
  <c r="A5784" i="2"/>
  <c r="U5783" i="2"/>
  <c r="N5783" i="2"/>
  <c r="M5783" i="2"/>
  <c r="J5783" i="2"/>
  <c r="I5783" i="2"/>
  <c r="H5783" i="2"/>
  <c r="G5783" i="2"/>
  <c r="F5783" i="2"/>
  <c r="E5783" i="2"/>
  <c r="D5783" i="2"/>
  <c r="C5783" i="2"/>
  <c r="B5783" i="2"/>
  <c r="A5783" i="2"/>
  <c r="U5782" i="2"/>
  <c r="N5782" i="2"/>
  <c r="M5782" i="2"/>
  <c r="J5782" i="2"/>
  <c r="I5782" i="2"/>
  <c r="H5782" i="2"/>
  <c r="G5782" i="2"/>
  <c r="F5782" i="2"/>
  <c r="E5782" i="2"/>
  <c r="D5782" i="2"/>
  <c r="C5782" i="2"/>
  <c r="B5782" i="2"/>
  <c r="A5782" i="2"/>
  <c r="U5781" i="2"/>
  <c r="N5781" i="2"/>
  <c r="M5781" i="2"/>
  <c r="J5781" i="2"/>
  <c r="I5781" i="2"/>
  <c r="H5781" i="2"/>
  <c r="G5781" i="2"/>
  <c r="F5781" i="2"/>
  <c r="E5781" i="2"/>
  <c r="D5781" i="2"/>
  <c r="C5781" i="2"/>
  <c r="B5781" i="2"/>
  <c r="A5781" i="2"/>
  <c r="U5780" i="2"/>
  <c r="N5780" i="2"/>
  <c r="M5780" i="2"/>
  <c r="J5780" i="2"/>
  <c r="I5780" i="2"/>
  <c r="H5780" i="2"/>
  <c r="G5780" i="2"/>
  <c r="F5780" i="2"/>
  <c r="E5780" i="2"/>
  <c r="D5780" i="2"/>
  <c r="C5780" i="2"/>
  <c r="B5780" i="2"/>
  <c r="A5780" i="2"/>
  <c r="U5779" i="2"/>
  <c r="N5779" i="2"/>
  <c r="M5779" i="2"/>
  <c r="J5779" i="2"/>
  <c r="I5779" i="2"/>
  <c r="H5779" i="2"/>
  <c r="G5779" i="2"/>
  <c r="F5779" i="2"/>
  <c r="E5779" i="2"/>
  <c r="D5779" i="2"/>
  <c r="C5779" i="2"/>
  <c r="B5779" i="2"/>
  <c r="A5779" i="2"/>
  <c r="U5778" i="2"/>
  <c r="N5778" i="2"/>
  <c r="M5778" i="2"/>
  <c r="J5778" i="2"/>
  <c r="I5778" i="2"/>
  <c r="H5778" i="2"/>
  <c r="G5778" i="2"/>
  <c r="F5778" i="2"/>
  <c r="E5778" i="2"/>
  <c r="D5778" i="2"/>
  <c r="C5778" i="2"/>
  <c r="B5778" i="2"/>
  <c r="A5778" i="2"/>
  <c r="U5777" i="2"/>
  <c r="N5777" i="2"/>
  <c r="M5777" i="2"/>
  <c r="J5777" i="2"/>
  <c r="I5777" i="2"/>
  <c r="H5777" i="2"/>
  <c r="G5777" i="2"/>
  <c r="F5777" i="2"/>
  <c r="E5777" i="2"/>
  <c r="D5777" i="2"/>
  <c r="C5777" i="2"/>
  <c r="B5777" i="2"/>
  <c r="A5777" i="2"/>
  <c r="U5776" i="2"/>
  <c r="N5776" i="2"/>
  <c r="M5776" i="2"/>
  <c r="J5776" i="2"/>
  <c r="I5776" i="2"/>
  <c r="H5776" i="2"/>
  <c r="G5776" i="2"/>
  <c r="F5776" i="2"/>
  <c r="E5776" i="2"/>
  <c r="D5776" i="2"/>
  <c r="C5776" i="2"/>
  <c r="B5776" i="2"/>
  <c r="A5776" i="2"/>
  <c r="U5775" i="2"/>
  <c r="N5775" i="2"/>
  <c r="M5775" i="2"/>
  <c r="J5775" i="2"/>
  <c r="I5775" i="2"/>
  <c r="H5775" i="2"/>
  <c r="G5775" i="2"/>
  <c r="F5775" i="2"/>
  <c r="E5775" i="2"/>
  <c r="D5775" i="2"/>
  <c r="C5775" i="2"/>
  <c r="B5775" i="2"/>
  <c r="A5775" i="2"/>
  <c r="U5774" i="2"/>
  <c r="N5774" i="2"/>
  <c r="M5774" i="2"/>
  <c r="J5774" i="2"/>
  <c r="I5774" i="2"/>
  <c r="H5774" i="2"/>
  <c r="G5774" i="2"/>
  <c r="F5774" i="2"/>
  <c r="E5774" i="2"/>
  <c r="D5774" i="2"/>
  <c r="C5774" i="2"/>
  <c r="B5774" i="2"/>
  <c r="A5774" i="2"/>
  <c r="U5773" i="2"/>
  <c r="N5773" i="2"/>
  <c r="M5773" i="2"/>
  <c r="J5773" i="2"/>
  <c r="I5773" i="2"/>
  <c r="H5773" i="2"/>
  <c r="G5773" i="2"/>
  <c r="F5773" i="2"/>
  <c r="E5773" i="2"/>
  <c r="D5773" i="2"/>
  <c r="C5773" i="2"/>
  <c r="B5773" i="2"/>
  <c r="A5773" i="2"/>
  <c r="U5772" i="2"/>
  <c r="N5772" i="2"/>
  <c r="M5772" i="2"/>
  <c r="J5772" i="2"/>
  <c r="I5772" i="2"/>
  <c r="H5772" i="2"/>
  <c r="G5772" i="2"/>
  <c r="F5772" i="2"/>
  <c r="E5772" i="2"/>
  <c r="D5772" i="2"/>
  <c r="C5772" i="2"/>
  <c r="B5772" i="2"/>
  <c r="A5772" i="2"/>
  <c r="U5771" i="2"/>
  <c r="N5771" i="2"/>
  <c r="M5771" i="2"/>
  <c r="J5771" i="2"/>
  <c r="I5771" i="2"/>
  <c r="H5771" i="2"/>
  <c r="G5771" i="2"/>
  <c r="F5771" i="2"/>
  <c r="E5771" i="2"/>
  <c r="D5771" i="2"/>
  <c r="C5771" i="2"/>
  <c r="B5771" i="2"/>
  <c r="A5771" i="2"/>
  <c r="U5770" i="2"/>
  <c r="N5770" i="2"/>
  <c r="M5770" i="2"/>
  <c r="J5770" i="2"/>
  <c r="I5770" i="2"/>
  <c r="H5770" i="2"/>
  <c r="G5770" i="2"/>
  <c r="F5770" i="2"/>
  <c r="E5770" i="2"/>
  <c r="D5770" i="2"/>
  <c r="C5770" i="2"/>
  <c r="B5770" i="2"/>
  <c r="A5770" i="2"/>
  <c r="U5769" i="2"/>
  <c r="N5769" i="2"/>
  <c r="M5769" i="2"/>
  <c r="J5769" i="2"/>
  <c r="I5769" i="2"/>
  <c r="H5769" i="2"/>
  <c r="G5769" i="2"/>
  <c r="F5769" i="2"/>
  <c r="E5769" i="2"/>
  <c r="D5769" i="2"/>
  <c r="C5769" i="2"/>
  <c r="B5769" i="2"/>
  <c r="A5769" i="2"/>
  <c r="U5768" i="2"/>
  <c r="N5768" i="2"/>
  <c r="M5768" i="2"/>
  <c r="J5768" i="2"/>
  <c r="I5768" i="2"/>
  <c r="H5768" i="2"/>
  <c r="G5768" i="2"/>
  <c r="F5768" i="2"/>
  <c r="E5768" i="2"/>
  <c r="D5768" i="2"/>
  <c r="C5768" i="2"/>
  <c r="B5768" i="2"/>
  <c r="A5768" i="2"/>
  <c r="U5767" i="2"/>
  <c r="N5767" i="2"/>
  <c r="M5767" i="2"/>
  <c r="J5767" i="2"/>
  <c r="I5767" i="2"/>
  <c r="H5767" i="2"/>
  <c r="G5767" i="2"/>
  <c r="F5767" i="2"/>
  <c r="E5767" i="2"/>
  <c r="D5767" i="2"/>
  <c r="C5767" i="2"/>
  <c r="B5767" i="2"/>
  <c r="A5767" i="2"/>
  <c r="U5766" i="2"/>
  <c r="N5766" i="2"/>
  <c r="M5766" i="2"/>
  <c r="J5766" i="2"/>
  <c r="I5766" i="2"/>
  <c r="H5766" i="2"/>
  <c r="G5766" i="2"/>
  <c r="F5766" i="2"/>
  <c r="E5766" i="2"/>
  <c r="D5766" i="2"/>
  <c r="C5766" i="2"/>
  <c r="B5766" i="2"/>
  <c r="A5766" i="2"/>
  <c r="U5765" i="2"/>
  <c r="N5765" i="2"/>
  <c r="M5765" i="2"/>
  <c r="J5765" i="2"/>
  <c r="I5765" i="2"/>
  <c r="H5765" i="2"/>
  <c r="G5765" i="2"/>
  <c r="F5765" i="2"/>
  <c r="E5765" i="2"/>
  <c r="D5765" i="2"/>
  <c r="C5765" i="2"/>
  <c r="B5765" i="2"/>
  <c r="A5765" i="2"/>
  <c r="U5764" i="2"/>
  <c r="N5764" i="2"/>
  <c r="M5764" i="2"/>
  <c r="J5764" i="2"/>
  <c r="I5764" i="2"/>
  <c r="H5764" i="2"/>
  <c r="G5764" i="2"/>
  <c r="F5764" i="2"/>
  <c r="E5764" i="2"/>
  <c r="D5764" i="2"/>
  <c r="C5764" i="2"/>
  <c r="B5764" i="2"/>
  <c r="A5764" i="2"/>
  <c r="U5763" i="2"/>
  <c r="N5763" i="2"/>
  <c r="M5763" i="2"/>
  <c r="J5763" i="2"/>
  <c r="I5763" i="2"/>
  <c r="H5763" i="2"/>
  <c r="G5763" i="2"/>
  <c r="F5763" i="2"/>
  <c r="E5763" i="2"/>
  <c r="D5763" i="2"/>
  <c r="C5763" i="2"/>
  <c r="B5763" i="2"/>
  <c r="A5763" i="2"/>
  <c r="U5762" i="2"/>
  <c r="N5762" i="2"/>
  <c r="M5762" i="2"/>
  <c r="J5762" i="2"/>
  <c r="I5762" i="2"/>
  <c r="H5762" i="2"/>
  <c r="G5762" i="2"/>
  <c r="F5762" i="2"/>
  <c r="E5762" i="2"/>
  <c r="D5762" i="2"/>
  <c r="C5762" i="2"/>
  <c r="B5762" i="2"/>
  <c r="A5762" i="2"/>
  <c r="U5761" i="2"/>
  <c r="N5761" i="2"/>
  <c r="M5761" i="2"/>
  <c r="J5761" i="2"/>
  <c r="I5761" i="2"/>
  <c r="H5761" i="2"/>
  <c r="G5761" i="2"/>
  <c r="F5761" i="2"/>
  <c r="E5761" i="2"/>
  <c r="D5761" i="2"/>
  <c r="C5761" i="2"/>
  <c r="B5761" i="2"/>
  <c r="A5761" i="2"/>
  <c r="U5760" i="2"/>
  <c r="N5760" i="2"/>
  <c r="M5760" i="2"/>
  <c r="J5760" i="2"/>
  <c r="I5760" i="2"/>
  <c r="H5760" i="2"/>
  <c r="G5760" i="2"/>
  <c r="F5760" i="2"/>
  <c r="E5760" i="2"/>
  <c r="D5760" i="2"/>
  <c r="C5760" i="2"/>
  <c r="B5760" i="2"/>
  <c r="A5760" i="2"/>
  <c r="U5759" i="2"/>
  <c r="N5759" i="2"/>
  <c r="M5759" i="2"/>
  <c r="J5759" i="2"/>
  <c r="I5759" i="2"/>
  <c r="H5759" i="2"/>
  <c r="G5759" i="2"/>
  <c r="F5759" i="2"/>
  <c r="E5759" i="2"/>
  <c r="D5759" i="2"/>
  <c r="C5759" i="2"/>
  <c r="B5759" i="2"/>
  <c r="A5759" i="2"/>
  <c r="U5758" i="2"/>
  <c r="N5758" i="2"/>
  <c r="M5758" i="2"/>
  <c r="J5758" i="2"/>
  <c r="I5758" i="2"/>
  <c r="H5758" i="2"/>
  <c r="G5758" i="2"/>
  <c r="F5758" i="2"/>
  <c r="E5758" i="2"/>
  <c r="D5758" i="2"/>
  <c r="C5758" i="2"/>
  <c r="B5758" i="2"/>
  <c r="A5758" i="2"/>
  <c r="U5757" i="2"/>
  <c r="N5757" i="2"/>
  <c r="M5757" i="2"/>
  <c r="J5757" i="2"/>
  <c r="I5757" i="2"/>
  <c r="H5757" i="2"/>
  <c r="G5757" i="2"/>
  <c r="F5757" i="2"/>
  <c r="E5757" i="2"/>
  <c r="D5757" i="2"/>
  <c r="C5757" i="2"/>
  <c r="B5757" i="2"/>
  <c r="A5757" i="2"/>
  <c r="U5756" i="2"/>
  <c r="N5756" i="2"/>
  <c r="M5756" i="2"/>
  <c r="J5756" i="2"/>
  <c r="I5756" i="2"/>
  <c r="H5756" i="2"/>
  <c r="G5756" i="2"/>
  <c r="F5756" i="2"/>
  <c r="E5756" i="2"/>
  <c r="D5756" i="2"/>
  <c r="C5756" i="2"/>
  <c r="B5756" i="2"/>
  <c r="A5756" i="2"/>
  <c r="U5755" i="2"/>
  <c r="N5755" i="2"/>
  <c r="M5755" i="2"/>
  <c r="J5755" i="2"/>
  <c r="I5755" i="2"/>
  <c r="H5755" i="2"/>
  <c r="G5755" i="2"/>
  <c r="F5755" i="2"/>
  <c r="E5755" i="2"/>
  <c r="D5755" i="2"/>
  <c r="C5755" i="2"/>
  <c r="B5755" i="2"/>
  <c r="A5755" i="2"/>
  <c r="U5754" i="2"/>
  <c r="N5754" i="2"/>
  <c r="M5754" i="2"/>
  <c r="J5754" i="2"/>
  <c r="I5754" i="2"/>
  <c r="H5754" i="2"/>
  <c r="G5754" i="2"/>
  <c r="F5754" i="2"/>
  <c r="E5754" i="2"/>
  <c r="D5754" i="2"/>
  <c r="C5754" i="2"/>
  <c r="B5754" i="2"/>
  <c r="A5754" i="2"/>
  <c r="U5753" i="2"/>
  <c r="N5753" i="2"/>
  <c r="M5753" i="2"/>
  <c r="J5753" i="2"/>
  <c r="I5753" i="2"/>
  <c r="H5753" i="2"/>
  <c r="G5753" i="2"/>
  <c r="F5753" i="2"/>
  <c r="E5753" i="2"/>
  <c r="D5753" i="2"/>
  <c r="C5753" i="2"/>
  <c r="B5753" i="2"/>
  <c r="A5753" i="2"/>
  <c r="U5752" i="2"/>
  <c r="N5752" i="2"/>
  <c r="M5752" i="2"/>
  <c r="J5752" i="2"/>
  <c r="I5752" i="2"/>
  <c r="H5752" i="2"/>
  <c r="G5752" i="2"/>
  <c r="F5752" i="2"/>
  <c r="E5752" i="2"/>
  <c r="D5752" i="2"/>
  <c r="C5752" i="2"/>
  <c r="B5752" i="2"/>
  <c r="A5752" i="2"/>
  <c r="U5751" i="2"/>
  <c r="N5751" i="2"/>
  <c r="M5751" i="2"/>
  <c r="J5751" i="2"/>
  <c r="I5751" i="2"/>
  <c r="H5751" i="2"/>
  <c r="G5751" i="2"/>
  <c r="F5751" i="2"/>
  <c r="E5751" i="2"/>
  <c r="D5751" i="2"/>
  <c r="C5751" i="2"/>
  <c r="B5751" i="2"/>
  <c r="A5751" i="2"/>
  <c r="U5750" i="2"/>
  <c r="N5750" i="2"/>
  <c r="M5750" i="2"/>
  <c r="J5750" i="2"/>
  <c r="I5750" i="2"/>
  <c r="H5750" i="2"/>
  <c r="G5750" i="2"/>
  <c r="F5750" i="2"/>
  <c r="E5750" i="2"/>
  <c r="D5750" i="2"/>
  <c r="C5750" i="2"/>
  <c r="B5750" i="2"/>
  <c r="A5750" i="2"/>
  <c r="U5749" i="2"/>
  <c r="N5749" i="2"/>
  <c r="M5749" i="2"/>
  <c r="J5749" i="2"/>
  <c r="I5749" i="2"/>
  <c r="H5749" i="2"/>
  <c r="G5749" i="2"/>
  <c r="F5749" i="2"/>
  <c r="E5749" i="2"/>
  <c r="D5749" i="2"/>
  <c r="C5749" i="2"/>
  <c r="B5749" i="2"/>
  <c r="A5749" i="2"/>
  <c r="U5748" i="2"/>
  <c r="N5748" i="2"/>
  <c r="M5748" i="2"/>
  <c r="J5748" i="2"/>
  <c r="I5748" i="2"/>
  <c r="H5748" i="2"/>
  <c r="G5748" i="2"/>
  <c r="F5748" i="2"/>
  <c r="E5748" i="2"/>
  <c r="D5748" i="2"/>
  <c r="C5748" i="2"/>
  <c r="B5748" i="2"/>
  <c r="A5748" i="2"/>
  <c r="U5747" i="2"/>
  <c r="N5747" i="2"/>
  <c r="M5747" i="2"/>
  <c r="J5747" i="2"/>
  <c r="I5747" i="2"/>
  <c r="H5747" i="2"/>
  <c r="G5747" i="2"/>
  <c r="F5747" i="2"/>
  <c r="E5747" i="2"/>
  <c r="D5747" i="2"/>
  <c r="C5747" i="2"/>
  <c r="B5747" i="2"/>
  <c r="A5747" i="2"/>
  <c r="U5746" i="2"/>
  <c r="N5746" i="2"/>
  <c r="M5746" i="2"/>
  <c r="J5746" i="2"/>
  <c r="I5746" i="2"/>
  <c r="H5746" i="2"/>
  <c r="G5746" i="2"/>
  <c r="F5746" i="2"/>
  <c r="E5746" i="2"/>
  <c r="D5746" i="2"/>
  <c r="C5746" i="2"/>
  <c r="B5746" i="2"/>
  <c r="A5746" i="2"/>
  <c r="U5745" i="2"/>
  <c r="N5745" i="2"/>
  <c r="M5745" i="2"/>
  <c r="J5745" i="2"/>
  <c r="I5745" i="2"/>
  <c r="H5745" i="2"/>
  <c r="G5745" i="2"/>
  <c r="F5745" i="2"/>
  <c r="E5745" i="2"/>
  <c r="D5745" i="2"/>
  <c r="C5745" i="2"/>
  <c r="B5745" i="2"/>
  <c r="A5745" i="2"/>
  <c r="Q5744" i="2"/>
  <c r="U5744" i="2" s="1"/>
  <c r="N5744" i="2"/>
  <c r="M5744" i="2"/>
  <c r="J5744" i="2"/>
  <c r="I5744" i="2"/>
  <c r="H5744" i="2"/>
  <c r="G5744" i="2"/>
  <c r="F5744" i="2"/>
  <c r="E5744" i="2"/>
  <c r="D5744" i="2"/>
  <c r="C5744" i="2"/>
  <c r="B5744" i="2"/>
  <c r="A5744" i="2"/>
  <c r="U5743" i="2"/>
  <c r="N5743" i="2"/>
  <c r="M5743" i="2"/>
  <c r="J5743" i="2"/>
  <c r="I5743" i="2"/>
  <c r="H5743" i="2"/>
  <c r="G5743" i="2"/>
  <c r="F5743" i="2"/>
  <c r="E5743" i="2"/>
  <c r="D5743" i="2"/>
  <c r="C5743" i="2"/>
  <c r="B5743" i="2"/>
  <c r="A5743" i="2"/>
  <c r="U5742" i="2"/>
  <c r="N5742" i="2"/>
  <c r="M5742" i="2"/>
  <c r="J5742" i="2"/>
  <c r="I5742" i="2"/>
  <c r="H5742" i="2"/>
  <c r="G5742" i="2"/>
  <c r="F5742" i="2"/>
  <c r="E5742" i="2"/>
  <c r="D5742" i="2"/>
  <c r="C5742" i="2"/>
  <c r="B5742" i="2"/>
  <c r="A5742" i="2"/>
  <c r="U5741" i="2"/>
  <c r="N5741" i="2"/>
  <c r="M5741" i="2"/>
  <c r="J5741" i="2"/>
  <c r="I5741" i="2"/>
  <c r="H5741" i="2"/>
  <c r="G5741" i="2"/>
  <c r="F5741" i="2"/>
  <c r="E5741" i="2"/>
  <c r="D5741" i="2"/>
  <c r="C5741" i="2"/>
  <c r="B5741" i="2"/>
  <c r="A5741" i="2"/>
  <c r="Q5740" i="2"/>
  <c r="U5740" i="2" s="1"/>
  <c r="N5740" i="2"/>
  <c r="M5740" i="2"/>
  <c r="J5740" i="2"/>
  <c r="I5740" i="2"/>
  <c r="H5740" i="2"/>
  <c r="G5740" i="2"/>
  <c r="F5740" i="2"/>
  <c r="E5740" i="2"/>
  <c r="D5740" i="2"/>
  <c r="C5740" i="2"/>
  <c r="B5740" i="2"/>
  <c r="A5740" i="2"/>
  <c r="U5739" i="2"/>
  <c r="N5739" i="2"/>
  <c r="M5739" i="2"/>
  <c r="J5739" i="2"/>
  <c r="I5739" i="2"/>
  <c r="H5739" i="2"/>
  <c r="G5739" i="2"/>
  <c r="F5739" i="2"/>
  <c r="E5739" i="2"/>
  <c r="D5739" i="2"/>
  <c r="C5739" i="2"/>
  <c r="B5739" i="2"/>
  <c r="A5739" i="2"/>
  <c r="U5738" i="2"/>
  <c r="N5738" i="2"/>
  <c r="M5738" i="2"/>
  <c r="J5738" i="2"/>
  <c r="I5738" i="2"/>
  <c r="H5738" i="2"/>
  <c r="G5738" i="2"/>
  <c r="F5738" i="2"/>
  <c r="E5738" i="2"/>
  <c r="D5738" i="2"/>
  <c r="C5738" i="2"/>
  <c r="B5738" i="2"/>
  <c r="A5738" i="2"/>
  <c r="U5737" i="2"/>
  <c r="N5737" i="2"/>
  <c r="M5737" i="2"/>
  <c r="J5737" i="2"/>
  <c r="I5737" i="2"/>
  <c r="H5737" i="2"/>
  <c r="G5737" i="2"/>
  <c r="F5737" i="2"/>
  <c r="E5737" i="2"/>
  <c r="D5737" i="2"/>
  <c r="C5737" i="2"/>
  <c r="B5737" i="2"/>
  <c r="A5737" i="2"/>
  <c r="U5736" i="2"/>
  <c r="N5736" i="2"/>
  <c r="M5736" i="2"/>
  <c r="J5736" i="2"/>
  <c r="I5736" i="2"/>
  <c r="H5736" i="2"/>
  <c r="G5736" i="2"/>
  <c r="F5736" i="2"/>
  <c r="E5736" i="2"/>
  <c r="D5736" i="2"/>
  <c r="C5736" i="2"/>
  <c r="B5736" i="2"/>
  <c r="A5736" i="2"/>
  <c r="U5735" i="2"/>
  <c r="N5735" i="2"/>
  <c r="M5735" i="2"/>
  <c r="J5735" i="2"/>
  <c r="I5735" i="2"/>
  <c r="H5735" i="2"/>
  <c r="G5735" i="2"/>
  <c r="F5735" i="2"/>
  <c r="E5735" i="2"/>
  <c r="D5735" i="2"/>
  <c r="C5735" i="2"/>
  <c r="B5735" i="2"/>
  <c r="A5735" i="2"/>
  <c r="U5734" i="2"/>
  <c r="N5734" i="2"/>
  <c r="M5734" i="2"/>
  <c r="J5734" i="2"/>
  <c r="I5734" i="2"/>
  <c r="H5734" i="2"/>
  <c r="G5734" i="2"/>
  <c r="F5734" i="2"/>
  <c r="E5734" i="2"/>
  <c r="D5734" i="2"/>
  <c r="C5734" i="2"/>
  <c r="B5734" i="2"/>
  <c r="A5734" i="2"/>
  <c r="U5733" i="2"/>
  <c r="N5733" i="2"/>
  <c r="M5733" i="2"/>
  <c r="J5733" i="2"/>
  <c r="I5733" i="2"/>
  <c r="H5733" i="2"/>
  <c r="G5733" i="2"/>
  <c r="F5733" i="2"/>
  <c r="E5733" i="2"/>
  <c r="D5733" i="2"/>
  <c r="C5733" i="2"/>
  <c r="B5733" i="2"/>
  <c r="A5733" i="2"/>
  <c r="U5732" i="2"/>
  <c r="N5732" i="2"/>
  <c r="M5732" i="2"/>
  <c r="J5732" i="2"/>
  <c r="I5732" i="2"/>
  <c r="H5732" i="2"/>
  <c r="G5732" i="2"/>
  <c r="F5732" i="2"/>
  <c r="E5732" i="2"/>
  <c r="D5732" i="2"/>
  <c r="C5732" i="2"/>
  <c r="B5732" i="2"/>
  <c r="A5732" i="2"/>
  <c r="U5731" i="2"/>
  <c r="N5731" i="2"/>
  <c r="M5731" i="2"/>
  <c r="J5731" i="2"/>
  <c r="I5731" i="2"/>
  <c r="H5731" i="2"/>
  <c r="G5731" i="2"/>
  <c r="F5731" i="2"/>
  <c r="E5731" i="2"/>
  <c r="D5731" i="2"/>
  <c r="C5731" i="2"/>
  <c r="B5731" i="2"/>
  <c r="A5731" i="2"/>
  <c r="U5730" i="2"/>
  <c r="N5730" i="2"/>
  <c r="M5730" i="2"/>
  <c r="J5730" i="2"/>
  <c r="I5730" i="2"/>
  <c r="H5730" i="2"/>
  <c r="G5730" i="2"/>
  <c r="F5730" i="2"/>
  <c r="E5730" i="2"/>
  <c r="D5730" i="2"/>
  <c r="C5730" i="2"/>
  <c r="B5730" i="2"/>
  <c r="A5730" i="2"/>
  <c r="U5729" i="2"/>
  <c r="N5729" i="2"/>
  <c r="M5729" i="2"/>
  <c r="J5729" i="2"/>
  <c r="I5729" i="2"/>
  <c r="H5729" i="2"/>
  <c r="G5729" i="2"/>
  <c r="F5729" i="2"/>
  <c r="E5729" i="2"/>
  <c r="D5729" i="2"/>
  <c r="C5729" i="2"/>
  <c r="B5729" i="2"/>
  <c r="A5729" i="2"/>
  <c r="U5728" i="2"/>
  <c r="N5728" i="2"/>
  <c r="M5728" i="2"/>
  <c r="J5728" i="2"/>
  <c r="I5728" i="2"/>
  <c r="H5728" i="2"/>
  <c r="G5728" i="2"/>
  <c r="F5728" i="2"/>
  <c r="E5728" i="2"/>
  <c r="D5728" i="2"/>
  <c r="C5728" i="2"/>
  <c r="B5728" i="2"/>
  <c r="A5728" i="2"/>
  <c r="U5727" i="2"/>
  <c r="N5727" i="2"/>
  <c r="M5727" i="2"/>
  <c r="J5727" i="2"/>
  <c r="I5727" i="2"/>
  <c r="H5727" i="2"/>
  <c r="G5727" i="2"/>
  <c r="F5727" i="2"/>
  <c r="E5727" i="2"/>
  <c r="D5727" i="2"/>
  <c r="C5727" i="2"/>
  <c r="B5727" i="2"/>
  <c r="A5727" i="2"/>
  <c r="U5726" i="2"/>
  <c r="N5726" i="2"/>
  <c r="M5726" i="2"/>
  <c r="J5726" i="2"/>
  <c r="I5726" i="2"/>
  <c r="H5726" i="2"/>
  <c r="G5726" i="2"/>
  <c r="F5726" i="2"/>
  <c r="E5726" i="2"/>
  <c r="D5726" i="2"/>
  <c r="C5726" i="2"/>
  <c r="B5726" i="2"/>
  <c r="A5726" i="2"/>
  <c r="U5725" i="2"/>
  <c r="N5725" i="2"/>
  <c r="M5725" i="2"/>
  <c r="J5725" i="2"/>
  <c r="I5725" i="2"/>
  <c r="H5725" i="2"/>
  <c r="G5725" i="2"/>
  <c r="F5725" i="2"/>
  <c r="E5725" i="2"/>
  <c r="D5725" i="2"/>
  <c r="C5725" i="2"/>
  <c r="B5725" i="2"/>
  <c r="A5725" i="2"/>
  <c r="U5724" i="2"/>
  <c r="N5724" i="2"/>
  <c r="M5724" i="2"/>
  <c r="J5724" i="2"/>
  <c r="I5724" i="2"/>
  <c r="H5724" i="2"/>
  <c r="G5724" i="2"/>
  <c r="F5724" i="2"/>
  <c r="E5724" i="2"/>
  <c r="D5724" i="2"/>
  <c r="C5724" i="2"/>
  <c r="B5724" i="2"/>
  <c r="A5724" i="2"/>
  <c r="U5723" i="2"/>
  <c r="N5723" i="2"/>
  <c r="M5723" i="2"/>
  <c r="J5723" i="2"/>
  <c r="I5723" i="2"/>
  <c r="H5723" i="2"/>
  <c r="G5723" i="2"/>
  <c r="F5723" i="2"/>
  <c r="E5723" i="2"/>
  <c r="D5723" i="2"/>
  <c r="C5723" i="2"/>
  <c r="B5723" i="2"/>
  <c r="A5723" i="2"/>
  <c r="U5722" i="2"/>
  <c r="N5722" i="2"/>
  <c r="M5722" i="2"/>
  <c r="J5722" i="2"/>
  <c r="I5722" i="2"/>
  <c r="H5722" i="2"/>
  <c r="G5722" i="2"/>
  <c r="F5722" i="2"/>
  <c r="E5722" i="2"/>
  <c r="D5722" i="2"/>
  <c r="C5722" i="2"/>
  <c r="B5722" i="2"/>
  <c r="A5722" i="2"/>
  <c r="U5721" i="2"/>
  <c r="N5721" i="2"/>
  <c r="M5721" i="2"/>
  <c r="J5721" i="2"/>
  <c r="I5721" i="2"/>
  <c r="H5721" i="2"/>
  <c r="G5721" i="2"/>
  <c r="F5721" i="2"/>
  <c r="E5721" i="2"/>
  <c r="D5721" i="2"/>
  <c r="C5721" i="2"/>
  <c r="B5721" i="2"/>
  <c r="A5721" i="2"/>
  <c r="U5720" i="2"/>
  <c r="N5720" i="2"/>
  <c r="M5720" i="2"/>
  <c r="J5720" i="2"/>
  <c r="I5720" i="2"/>
  <c r="H5720" i="2"/>
  <c r="G5720" i="2"/>
  <c r="F5720" i="2"/>
  <c r="E5720" i="2"/>
  <c r="D5720" i="2"/>
  <c r="C5720" i="2"/>
  <c r="B5720" i="2"/>
  <c r="A5720" i="2"/>
  <c r="U5719" i="2"/>
  <c r="N5719" i="2"/>
  <c r="M5719" i="2"/>
  <c r="J5719" i="2"/>
  <c r="I5719" i="2"/>
  <c r="H5719" i="2"/>
  <c r="G5719" i="2"/>
  <c r="F5719" i="2"/>
  <c r="E5719" i="2"/>
  <c r="D5719" i="2"/>
  <c r="C5719" i="2"/>
  <c r="B5719" i="2"/>
  <c r="A5719" i="2"/>
  <c r="U5718" i="2"/>
  <c r="N5718" i="2"/>
  <c r="M5718" i="2"/>
  <c r="J5718" i="2"/>
  <c r="I5718" i="2"/>
  <c r="H5718" i="2"/>
  <c r="G5718" i="2"/>
  <c r="F5718" i="2"/>
  <c r="E5718" i="2"/>
  <c r="D5718" i="2"/>
  <c r="C5718" i="2"/>
  <c r="B5718" i="2"/>
  <c r="A5718" i="2"/>
  <c r="Q5717" i="2"/>
  <c r="U5717" i="2" s="1"/>
  <c r="N5717" i="2"/>
  <c r="M5717" i="2"/>
  <c r="J5717" i="2"/>
  <c r="I5717" i="2"/>
  <c r="H5717" i="2"/>
  <c r="G5717" i="2"/>
  <c r="F5717" i="2"/>
  <c r="E5717" i="2"/>
  <c r="D5717" i="2"/>
  <c r="C5717" i="2"/>
  <c r="B5717" i="2"/>
  <c r="A5717" i="2"/>
  <c r="U5716" i="2"/>
  <c r="N5716" i="2"/>
  <c r="M5716" i="2"/>
  <c r="J5716" i="2"/>
  <c r="I5716" i="2"/>
  <c r="H5716" i="2"/>
  <c r="G5716" i="2"/>
  <c r="F5716" i="2"/>
  <c r="E5716" i="2"/>
  <c r="D5716" i="2"/>
  <c r="C5716" i="2"/>
  <c r="B5716" i="2"/>
  <c r="A5716" i="2"/>
  <c r="U5715" i="2"/>
  <c r="N5715" i="2"/>
  <c r="M5715" i="2"/>
  <c r="J5715" i="2"/>
  <c r="I5715" i="2"/>
  <c r="H5715" i="2"/>
  <c r="G5715" i="2"/>
  <c r="F5715" i="2"/>
  <c r="E5715" i="2"/>
  <c r="D5715" i="2"/>
  <c r="C5715" i="2"/>
  <c r="B5715" i="2"/>
  <c r="A5715" i="2"/>
  <c r="U5714" i="2"/>
  <c r="N5714" i="2"/>
  <c r="M5714" i="2"/>
  <c r="J5714" i="2"/>
  <c r="I5714" i="2"/>
  <c r="H5714" i="2"/>
  <c r="G5714" i="2"/>
  <c r="F5714" i="2"/>
  <c r="E5714" i="2"/>
  <c r="D5714" i="2"/>
  <c r="C5714" i="2"/>
  <c r="B5714" i="2"/>
  <c r="A5714" i="2"/>
  <c r="U5713" i="2"/>
  <c r="N5713" i="2"/>
  <c r="M5713" i="2"/>
  <c r="J5713" i="2"/>
  <c r="I5713" i="2"/>
  <c r="H5713" i="2"/>
  <c r="G5713" i="2"/>
  <c r="F5713" i="2"/>
  <c r="E5713" i="2"/>
  <c r="D5713" i="2"/>
  <c r="C5713" i="2"/>
  <c r="B5713" i="2"/>
  <c r="A5713" i="2"/>
  <c r="Q5712" i="2"/>
  <c r="U5712" i="2" s="1"/>
  <c r="N5712" i="2"/>
  <c r="M5712" i="2"/>
  <c r="J5712" i="2"/>
  <c r="I5712" i="2"/>
  <c r="H5712" i="2"/>
  <c r="G5712" i="2"/>
  <c r="F5712" i="2"/>
  <c r="E5712" i="2"/>
  <c r="D5712" i="2"/>
  <c r="C5712" i="2"/>
  <c r="B5712" i="2"/>
  <c r="A5712" i="2"/>
  <c r="U5711" i="2"/>
  <c r="N5711" i="2"/>
  <c r="M5711" i="2"/>
  <c r="J5711" i="2"/>
  <c r="I5711" i="2"/>
  <c r="H5711" i="2"/>
  <c r="G5711" i="2"/>
  <c r="F5711" i="2"/>
  <c r="E5711" i="2"/>
  <c r="D5711" i="2"/>
  <c r="C5711" i="2"/>
  <c r="B5711" i="2"/>
  <c r="A5711" i="2"/>
  <c r="Q5710" i="2"/>
  <c r="U5710" i="2" s="1"/>
  <c r="N5710" i="2"/>
  <c r="M5710" i="2"/>
  <c r="J5710" i="2"/>
  <c r="I5710" i="2"/>
  <c r="H5710" i="2"/>
  <c r="G5710" i="2"/>
  <c r="F5710" i="2"/>
  <c r="E5710" i="2"/>
  <c r="D5710" i="2"/>
  <c r="C5710" i="2"/>
  <c r="B5710" i="2"/>
  <c r="A5710" i="2"/>
  <c r="U5709" i="2"/>
  <c r="N5709" i="2"/>
  <c r="M5709" i="2"/>
  <c r="J5709" i="2"/>
  <c r="I5709" i="2"/>
  <c r="H5709" i="2"/>
  <c r="G5709" i="2"/>
  <c r="F5709" i="2"/>
  <c r="E5709" i="2"/>
  <c r="D5709" i="2"/>
  <c r="C5709" i="2"/>
  <c r="B5709" i="2"/>
  <c r="A5709" i="2"/>
  <c r="U5708" i="2"/>
  <c r="N5708" i="2"/>
  <c r="M5708" i="2"/>
  <c r="J5708" i="2"/>
  <c r="I5708" i="2"/>
  <c r="H5708" i="2"/>
  <c r="G5708" i="2"/>
  <c r="F5708" i="2"/>
  <c r="E5708" i="2"/>
  <c r="D5708" i="2"/>
  <c r="C5708" i="2"/>
  <c r="B5708" i="2"/>
  <c r="A5708" i="2"/>
  <c r="U5707" i="2"/>
  <c r="N5707" i="2"/>
  <c r="M5707" i="2"/>
  <c r="J5707" i="2"/>
  <c r="I5707" i="2"/>
  <c r="H5707" i="2"/>
  <c r="G5707" i="2"/>
  <c r="F5707" i="2"/>
  <c r="E5707" i="2"/>
  <c r="D5707" i="2"/>
  <c r="C5707" i="2"/>
  <c r="B5707" i="2"/>
  <c r="A5707" i="2"/>
  <c r="Q5706" i="2"/>
  <c r="U5706" i="2" s="1"/>
  <c r="N5706" i="2"/>
  <c r="M5706" i="2"/>
  <c r="J5706" i="2"/>
  <c r="I5706" i="2"/>
  <c r="H5706" i="2"/>
  <c r="G5706" i="2"/>
  <c r="F5706" i="2"/>
  <c r="E5706" i="2"/>
  <c r="D5706" i="2"/>
  <c r="C5706" i="2"/>
  <c r="B5706" i="2"/>
  <c r="A5706" i="2"/>
  <c r="Q5705" i="2"/>
  <c r="U5705" i="2" s="1"/>
  <c r="N5705" i="2"/>
  <c r="M5705" i="2"/>
  <c r="J5705" i="2"/>
  <c r="I5705" i="2"/>
  <c r="H5705" i="2"/>
  <c r="G5705" i="2"/>
  <c r="F5705" i="2"/>
  <c r="E5705" i="2"/>
  <c r="D5705" i="2"/>
  <c r="C5705" i="2"/>
  <c r="B5705" i="2"/>
  <c r="A5705" i="2"/>
  <c r="R5704" i="2"/>
  <c r="Q5704" i="2"/>
  <c r="N5704" i="2"/>
  <c r="M5704" i="2"/>
  <c r="J5704" i="2"/>
  <c r="I5704" i="2"/>
  <c r="H5704" i="2"/>
  <c r="G5704" i="2"/>
  <c r="F5704" i="2"/>
  <c r="E5704" i="2"/>
  <c r="D5704" i="2"/>
  <c r="C5704" i="2"/>
  <c r="B5704" i="2"/>
  <c r="A5704" i="2"/>
  <c r="Q5703" i="2"/>
  <c r="U5703" i="2" s="1"/>
  <c r="N5703" i="2"/>
  <c r="M5703" i="2"/>
  <c r="J5703" i="2"/>
  <c r="I5703" i="2"/>
  <c r="H5703" i="2"/>
  <c r="G5703" i="2"/>
  <c r="F5703" i="2"/>
  <c r="E5703" i="2"/>
  <c r="D5703" i="2"/>
  <c r="C5703" i="2"/>
  <c r="B5703" i="2"/>
  <c r="A5703" i="2"/>
  <c r="R5702" i="2"/>
  <c r="Q5702" i="2"/>
  <c r="N5702" i="2"/>
  <c r="M5702" i="2"/>
  <c r="J5702" i="2"/>
  <c r="I5702" i="2"/>
  <c r="H5702" i="2"/>
  <c r="G5702" i="2"/>
  <c r="F5702" i="2"/>
  <c r="E5702" i="2"/>
  <c r="D5702" i="2"/>
  <c r="C5702" i="2"/>
  <c r="B5702" i="2"/>
  <c r="A5702" i="2"/>
  <c r="Q5701" i="2"/>
  <c r="U5701" i="2" s="1"/>
  <c r="N5701" i="2"/>
  <c r="M5701" i="2"/>
  <c r="J5701" i="2"/>
  <c r="I5701" i="2"/>
  <c r="H5701" i="2"/>
  <c r="G5701" i="2"/>
  <c r="F5701" i="2"/>
  <c r="E5701" i="2"/>
  <c r="D5701" i="2"/>
  <c r="C5701" i="2"/>
  <c r="B5701" i="2"/>
  <c r="A5701" i="2"/>
  <c r="Q5700" i="2"/>
  <c r="U5700" i="2" s="1"/>
  <c r="N5700" i="2"/>
  <c r="M5700" i="2"/>
  <c r="J5700" i="2"/>
  <c r="I5700" i="2"/>
  <c r="H5700" i="2"/>
  <c r="G5700" i="2"/>
  <c r="F5700" i="2"/>
  <c r="E5700" i="2"/>
  <c r="D5700" i="2"/>
  <c r="C5700" i="2"/>
  <c r="B5700" i="2"/>
  <c r="A5700" i="2"/>
  <c r="Q5699" i="2"/>
  <c r="U5699" i="2" s="1"/>
  <c r="N5699" i="2"/>
  <c r="M5699" i="2"/>
  <c r="J5699" i="2"/>
  <c r="I5699" i="2"/>
  <c r="H5699" i="2"/>
  <c r="G5699" i="2"/>
  <c r="F5699" i="2"/>
  <c r="E5699" i="2"/>
  <c r="D5699" i="2"/>
  <c r="C5699" i="2"/>
  <c r="B5699" i="2"/>
  <c r="A5699" i="2"/>
  <c r="R5698" i="2"/>
  <c r="Q5698" i="2"/>
  <c r="N5698" i="2"/>
  <c r="M5698" i="2"/>
  <c r="J5698" i="2"/>
  <c r="I5698" i="2"/>
  <c r="H5698" i="2"/>
  <c r="G5698" i="2"/>
  <c r="F5698" i="2"/>
  <c r="E5698" i="2"/>
  <c r="D5698" i="2"/>
  <c r="C5698" i="2"/>
  <c r="B5698" i="2"/>
  <c r="A5698" i="2"/>
  <c r="R5697" i="2"/>
  <c r="Q5697" i="2"/>
  <c r="N5697" i="2"/>
  <c r="M5697" i="2"/>
  <c r="J5697" i="2"/>
  <c r="I5697" i="2"/>
  <c r="H5697" i="2"/>
  <c r="G5697" i="2"/>
  <c r="F5697" i="2"/>
  <c r="E5697" i="2"/>
  <c r="D5697" i="2"/>
  <c r="C5697" i="2"/>
  <c r="B5697" i="2"/>
  <c r="A5697" i="2"/>
  <c r="U5696" i="2"/>
  <c r="N5696" i="2"/>
  <c r="M5696" i="2"/>
  <c r="J5696" i="2"/>
  <c r="I5696" i="2"/>
  <c r="H5696" i="2"/>
  <c r="G5696" i="2"/>
  <c r="F5696" i="2"/>
  <c r="E5696" i="2"/>
  <c r="D5696" i="2"/>
  <c r="C5696" i="2"/>
  <c r="B5696" i="2"/>
  <c r="A5696" i="2"/>
  <c r="U5695" i="2"/>
  <c r="N5695" i="2"/>
  <c r="M5695" i="2"/>
  <c r="J5695" i="2"/>
  <c r="I5695" i="2"/>
  <c r="H5695" i="2"/>
  <c r="G5695" i="2"/>
  <c r="F5695" i="2"/>
  <c r="E5695" i="2"/>
  <c r="D5695" i="2"/>
  <c r="C5695" i="2"/>
  <c r="B5695" i="2"/>
  <c r="A5695" i="2"/>
  <c r="U5694" i="2"/>
  <c r="N5694" i="2"/>
  <c r="M5694" i="2"/>
  <c r="J5694" i="2"/>
  <c r="I5694" i="2"/>
  <c r="H5694" i="2"/>
  <c r="G5694" i="2"/>
  <c r="F5694" i="2"/>
  <c r="E5694" i="2"/>
  <c r="D5694" i="2"/>
  <c r="C5694" i="2"/>
  <c r="B5694" i="2"/>
  <c r="A5694" i="2"/>
  <c r="U5693" i="2"/>
  <c r="N5693" i="2"/>
  <c r="M5693" i="2"/>
  <c r="J5693" i="2"/>
  <c r="I5693" i="2"/>
  <c r="H5693" i="2"/>
  <c r="G5693" i="2"/>
  <c r="F5693" i="2"/>
  <c r="E5693" i="2"/>
  <c r="D5693" i="2"/>
  <c r="C5693" i="2"/>
  <c r="B5693" i="2"/>
  <c r="A5693" i="2"/>
  <c r="U5692" i="2"/>
  <c r="N5692" i="2"/>
  <c r="M5692" i="2"/>
  <c r="J5692" i="2"/>
  <c r="I5692" i="2"/>
  <c r="H5692" i="2"/>
  <c r="G5692" i="2"/>
  <c r="F5692" i="2"/>
  <c r="E5692" i="2"/>
  <c r="D5692" i="2"/>
  <c r="C5692" i="2"/>
  <c r="B5692" i="2"/>
  <c r="A5692" i="2"/>
  <c r="U5691" i="2"/>
  <c r="N5691" i="2"/>
  <c r="M5691" i="2"/>
  <c r="J5691" i="2"/>
  <c r="I5691" i="2"/>
  <c r="H5691" i="2"/>
  <c r="G5691" i="2"/>
  <c r="F5691" i="2"/>
  <c r="E5691" i="2"/>
  <c r="D5691" i="2"/>
  <c r="C5691" i="2"/>
  <c r="B5691" i="2"/>
  <c r="A5691" i="2"/>
  <c r="U5690" i="2"/>
  <c r="N5690" i="2"/>
  <c r="M5690" i="2"/>
  <c r="J5690" i="2"/>
  <c r="I5690" i="2"/>
  <c r="H5690" i="2"/>
  <c r="G5690" i="2"/>
  <c r="F5690" i="2"/>
  <c r="E5690" i="2"/>
  <c r="D5690" i="2"/>
  <c r="C5690" i="2"/>
  <c r="B5690" i="2"/>
  <c r="A5690" i="2"/>
  <c r="U5689" i="2"/>
  <c r="N5689" i="2"/>
  <c r="M5689" i="2"/>
  <c r="J5689" i="2"/>
  <c r="I5689" i="2"/>
  <c r="H5689" i="2"/>
  <c r="G5689" i="2"/>
  <c r="F5689" i="2"/>
  <c r="E5689" i="2"/>
  <c r="D5689" i="2"/>
  <c r="C5689" i="2"/>
  <c r="B5689" i="2"/>
  <c r="A5689" i="2"/>
  <c r="U5688" i="2"/>
  <c r="N5688" i="2"/>
  <c r="M5688" i="2"/>
  <c r="J5688" i="2"/>
  <c r="I5688" i="2"/>
  <c r="H5688" i="2"/>
  <c r="G5688" i="2"/>
  <c r="F5688" i="2"/>
  <c r="E5688" i="2"/>
  <c r="D5688" i="2"/>
  <c r="C5688" i="2"/>
  <c r="B5688" i="2"/>
  <c r="A5688" i="2"/>
  <c r="U5687" i="2"/>
  <c r="N5687" i="2"/>
  <c r="M5687" i="2"/>
  <c r="J5687" i="2"/>
  <c r="I5687" i="2"/>
  <c r="H5687" i="2"/>
  <c r="G5687" i="2"/>
  <c r="F5687" i="2"/>
  <c r="E5687" i="2"/>
  <c r="D5687" i="2"/>
  <c r="C5687" i="2"/>
  <c r="B5687" i="2"/>
  <c r="A5687" i="2"/>
  <c r="U5686" i="2"/>
  <c r="N5686" i="2"/>
  <c r="M5686" i="2"/>
  <c r="J5686" i="2"/>
  <c r="I5686" i="2"/>
  <c r="H5686" i="2"/>
  <c r="G5686" i="2"/>
  <c r="F5686" i="2"/>
  <c r="E5686" i="2"/>
  <c r="D5686" i="2"/>
  <c r="C5686" i="2"/>
  <c r="B5686" i="2"/>
  <c r="A5686" i="2"/>
  <c r="U5685" i="2"/>
  <c r="N5685" i="2"/>
  <c r="M5685" i="2"/>
  <c r="J5685" i="2"/>
  <c r="I5685" i="2"/>
  <c r="H5685" i="2"/>
  <c r="G5685" i="2"/>
  <c r="F5685" i="2"/>
  <c r="E5685" i="2"/>
  <c r="D5685" i="2"/>
  <c r="C5685" i="2"/>
  <c r="B5685" i="2"/>
  <c r="A5685" i="2"/>
  <c r="U5684" i="2"/>
  <c r="N5684" i="2"/>
  <c r="M5684" i="2"/>
  <c r="J5684" i="2"/>
  <c r="I5684" i="2"/>
  <c r="H5684" i="2"/>
  <c r="G5684" i="2"/>
  <c r="F5684" i="2"/>
  <c r="E5684" i="2"/>
  <c r="D5684" i="2"/>
  <c r="C5684" i="2"/>
  <c r="B5684" i="2"/>
  <c r="A5684" i="2"/>
  <c r="U5683" i="2"/>
  <c r="N5683" i="2"/>
  <c r="M5683" i="2"/>
  <c r="J5683" i="2"/>
  <c r="I5683" i="2"/>
  <c r="H5683" i="2"/>
  <c r="G5683" i="2"/>
  <c r="F5683" i="2"/>
  <c r="E5683" i="2"/>
  <c r="D5683" i="2"/>
  <c r="C5683" i="2"/>
  <c r="B5683" i="2"/>
  <c r="A5683" i="2"/>
  <c r="U5682" i="2"/>
  <c r="N5682" i="2"/>
  <c r="M5682" i="2"/>
  <c r="J5682" i="2"/>
  <c r="I5682" i="2"/>
  <c r="H5682" i="2"/>
  <c r="G5682" i="2"/>
  <c r="F5682" i="2"/>
  <c r="E5682" i="2"/>
  <c r="D5682" i="2"/>
  <c r="C5682" i="2"/>
  <c r="B5682" i="2"/>
  <c r="A5682" i="2"/>
  <c r="U5681" i="2"/>
  <c r="N5681" i="2"/>
  <c r="M5681" i="2"/>
  <c r="J5681" i="2"/>
  <c r="I5681" i="2"/>
  <c r="H5681" i="2"/>
  <c r="G5681" i="2"/>
  <c r="F5681" i="2"/>
  <c r="E5681" i="2"/>
  <c r="D5681" i="2"/>
  <c r="C5681" i="2"/>
  <c r="B5681" i="2"/>
  <c r="A5681" i="2"/>
  <c r="U5680" i="2"/>
  <c r="N5680" i="2"/>
  <c r="M5680" i="2"/>
  <c r="J5680" i="2"/>
  <c r="I5680" i="2"/>
  <c r="H5680" i="2"/>
  <c r="G5680" i="2"/>
  <c r="F5680" i="2"/>
  <c r="E5680" i="2"/>
  <c r="D5680" i="2"/>
  <c r="C5680" i="2"/>
  <c r="B5680" i="2"/>
  <c r="A5680" i="2"/>
  <c r="U5679" i="2"/>
  <c r="N5679" i="2"/>
  <c r="M5679" i="2"/>
  <c r="J5679" i="2"/>
  <c r="I5679" i="2"/>
  <c r="H5679" i="2"/>
  <c r="G5679" i="2"/>
  <c r="F5679" i="2"/>
  <c r="E5679" i="2"/>
  <c r="D5679" i="2"/>
  <c r="C5679" i="2"/>
  <c r="B5679" i="2"/>
  <c r="A5679" i="2"/>
  <c r="U5678" i="2"/>
  <c r="N5678" i="2"/>
  <c r="M5678" i="2"/>
  <c r="J5678" i="2"/>
  <c r="I5678" i="2"/>
  <c r="H5678" i="2"/>
  <c r="G5678" i="2"/>
  <c r="F5678" i="2"/>
  <c r="E5678" i="2"/>
  <c r="D5678" i="2"/>
  <c r="C5678" i="2"/>
  <c r="B5678" i="2"/>
  <c r="A5678" i="2"/>
  <c r="U5677" i="2"/>
  <c r="N5677" i="2"/>
  <c r="M5677" i="2"/>
  <c r="J5677" i="2"/>
  <c r="I5677" i="2"/>
  <c r="H5677" i="2"/>
  <c r="G5677" i="2"/>
  <c r="F5677" i="2"/>
  <c r="E5677" i="2"/>
  <c r="D5677" i="2"/>
  <c r="C5677" i="2"/>
  <c r="B5677" i="2"/>
  <c r="A5677" i="2"/>
  <c r="U5676" i="2"/>
  <c r="N5676" i="2"/>
  <c r="M5676" i="2"/>
  <c r="J5676" i="2"/>
  <c r="I5676" i="2"/>
  <c r="H5676" i="2"/>
  <c r="G5676" i="2"/>
  <c r="F5676" i="2"/>
  <c r="E5676" i="2"/>
  <c r="D5676" i="2"/>
  <c r="C5676" i="2"/>
  <c r="B5676" i="2"/>
  <c r="A5676" i="2"/>
  <c r="U5675" i="2"/>
  <c r="N5675" i="2"/>
  <c r="M5675" i="2"/>
  <c r="J5675" i="2"/>
  <c r="I5675" i="2"/>
  <c r="H5675" i="2"/>
  <c r="G5675" i="2"/>
  <c r="F5675" i="2"/>
  <c r="E5675" i="2"/>
  <c r="D5675" i="2"/>
  <c r="C5675" i="2"/>
  <c r="B5675" i="2"/>
  <c r="A5675" i="2"/>
  <c r="U5674" i="2"/>
  <c r="N5674" i="2"/>
  <c r="M5674" i="2"/>
  <c r="J5674" i="2"/>
  <c r="I5674" i="2"/>
  <c r="H5674" i="2"/>
  <c r="G5674" i="2"/>
  <c r="F5674" i="2"/>
  <c r="E5674" i="2"/>
  <c r="D5674" i="2"/>
  <c r="C5674" i="2"/>
  <c r="B5674" i="2"/>
  <c r="A5674" i="2"/>
  <c r="U5673" i="2"/>
  <c r="N5673" i="2"/>
  <c r="M5673" i="2"/>
  <c r="J5673" i="2"/>
  <c r="I5673" i="2"/>
  <c r="H5673" i="2"/>
  <c r="G5673" i="2"/>
  <c r="F5673" i="2"/>
  <c r="E5673" i="2"/>
  <c r="D5673" i="2"/>
  <c r="C5673" i="2"/>
  <c r="B5673" i="2"/>
  <c r="A5673" i="2"/>
  <c r="U5672" i="2"/>
  <c r="N5672" i="2"/>
  <c r="M5672" i="2"/>
  <c r="J5672" i="2"/>
  <c r="I5672" i="2"/>
  <c r="H5672" i="2"/>
  <c r="G5672" i="2"/>
  <c r="F5672" i="2"/>
  <c r="E5672" i="2"/>
  <c r="D5672" i="2"/>
  <c r="C5672" i="2"/>
  <c r="B5672" i="2"/>
  <c r="A5672" i="2"/>
  <c r="U5671" i="2"/>
  <c r="N5671" i="2"/>
  <c r="M5671" i="2"/>
  <c r="J5671" i="2"/>
  <c r="I5671" i="2"/>
  <c r="H5671" i="2"/>
  <c r="G5671" i="2"/>
  <c r="F5671" i="2"/>
  <c r="E5671" i="2"/>
  <c r="D5671" i="2"/>
  <c r="C5671" i="2"/>
  <c r="B5671" i="2"/>
  <c r="A5671" i="2"/>
  <c r="U5670" i="2"/>
  <c r="N5670" i="2"/>
  <c r="M5670" i="2"/>
  <c r="J5670" i="2"/>
  <c r="I5670" i="2"/>
  <c r="H5670" i="2"/>
  <c r="G5670" i="2"/>
  <c r="F5670" i="2"/>
  <c r="E5670" i="2"/>
  <c r="D5670" i="2"/>
  <c r="C5670" i="2"/>
  <c r="B5670" i="2"/>
  <c r="A5670" i="2"/>
  <c r="U5669" i="2"/>
  <c r="N5669" i="2"/>
  <c r="M5669" i="2"/>
  <c r="J5669" i="2"/>
  <c r="I5669" i="2"/>
  <c r="H5669" i="2"/>
  <c r="G5669" i="2"/>
  <c r="F5669" i="2"/>
  <c r="E5669" i="2"/>
  <c r="D5669" i="2"/>
  <c r="C5669" i="2"/>
  <c r="B5669" i="2"/>
  <c r="A5669" i="2"/>
  <c r="U5668" i="2"/>
  <c r="N5668" i="2"/>
  <c r="M5668" i="2"/>
  <c r="J5668" i="2"/>
  <c r="I5668" i="2"/>
  <c r="H5668" i="2"/>
  <c r="G5668" i="2"/>
  <c r="F5668" i="2"/>
  <c r="E5668" i="2"/>
  <c r="D5668" i="2"/>
  <c r="C5668" i="2"/>
  <c r="B5668" i="2"/>
  <c r="A5668" i="2"/>
  <c r="U5667" i="2"/>
  <c r="N5667" i="2"/>
  <c r="M5667" i="2"/>
  <c r="J5667" i="2"/>
  <c r="I5667" i="2"/>
  <c r="H5667" i="2"/>
  <c r="G5667" i="2"/>
  <c r="F5667" i="2"/>
  <c r="E5667" i="2"/>
  <c r="D5667" i="2"/>
  <c r="C5667" i="2"/>
  <c r="B5667" i="2"/>
  <c r="A5667" i="2"/>
  <c r="U5666" i="2"/>
  <c r="N5666" i="2"/>
  <c r="M5666" i="2"/>
  <c r="J5666" i="2"/>
  <c r="I5666" i="2"/>
  <c r="H5666" i="2"/>
  <c r="G5666" i="2"/>
  <c r="F5666" i="2"/>
  <c r="E5666" i="2"/>
  <c r="D5666" i="2"/>
  <c r="C5666" i="2"/>
  <c r="B5666" i="2"/>
  <c r="A5666" i="2"/>
  <c r="U5665" i="2"/>
  <c r="N5665" i="2"/>
  <c r="M5665" i="2"/>
  <c r="J5665" i="2"/>
  <c r="I5665" i="2"/>
  <c r="H5665" i="2"/>
  <c r="G5665" i="2"/>
  <c r="F5665" i="2"/>
  <c r="E5665" i="2"/>
  <c r="D5665" i="2"/>
  <c r="C5665" i="2"/>
  <c r="B5665" i="2"/>
  <c r="A5665" i="2"/>
  <c r="U5664" i="2"/>
  <c r="N5664" i="2"/>
  <c r="M5664" i="2"/>
  <c r="J5664" i="2"/>
  <c r="I5664" i="2"/>
  <c r="H5664" i="2"/>
  <c r="G5664" i="2"/>
  <c r="F5664" i="2"/>
  <c r="E5664" i="2"/>
  <c r="D5664" i="2"/>
  <c r="C5664" i="2"/>
  <c r="B5664" i="2"/>
  <c r="A5664" i="2"/>
  <c r="U5663" i="2"/>
  <c r="N5663" i="2"/>
  <c r="M5663" i="2"/>
  <c r="J5663" i="2"/>
  <c r="I5663" i="2"/>
  <c r="H5663" i="2"/>
  <c r="G5663" i="2"/>
  <c r="F5663" i="2"/>
  <c r="E5663" i="2"/>
  <c r="D5663" i="2"/>
  <c r="C5663" i="2"/>
  <c r="B5663" i="2"/>
  <c r="A5663" i="2"/>
  <c r="U5662" i="2"/>
  <c r="N5662" i="2"/>
  <c r="M5662" i="2"/>
  <c r="J5662" i="2"/>
  <c r="I5662" i="2"/>
  <c r="H5662" i="2"/>
  <c r="G5662" i="2"/>
  <c r="F5662" i="2"/>
  <c r="E5662" i="2"/>
  <c r="D5662" i="2"/>
  <c r="C5662" i="2"/>
  <c r="B5662" i="2"/>
  <c r="A5662" i="2"/>
  <c r="U5661" i="2"/>
  <c r="N5661" i="2"/>
  <c r="M5661" i="2"/>
  <c r="J5661" i="2"/>
  <c r="I5661" i="2"/>
  <c r="H5661" i="2"/>
  <c r="G5661" i="2"/>
  <c r="F5661" i="2"/>
  <c r="E5661" i="2"/>
  <c r="D5661" i="2"/>
  <c r="C5661" i="2"/>
  <c r="B5661" i="2"/>
  <c r="A5661" i="2"/>
  <c r="U5660" i="2"/>
  <c r="N5660" i="2"/>
  <c r="M5660" i="2"/>
  <c r="J5660" i="2"/>
  <c r="I5660" i="2"/>
  <c r="H5660" i="2"/>
  <c r="G5660" i="2"/>
  <c r="F5660" i="2"/>
  <c r="E5660" i="2"/>
  <c r="D5660" i="2"/>
  <c r="C5660" i="2"/>
  <c r="B5660" i="2"/>
  <c r="A5660" i="2"/>
  <c r="U5659" i="2"/>
  <c r="N5659" i="2"/>
  <c r="M5659" i="2"/>
  <c r="J5659" i="2"/>
  <c r="I5659" i="2"/>
  <c r="H5659" i="2"/>
  <c r="G5659" i="2"/>
  <c r="F5659" i="2"/>
  <c r="E5659" i="2"/>
  <c r="D5659" i="2"/>
  <c r="C5659" i="2"/>
  <c r="B5659" i="2"/>
  <c r="A5659" i="2"/>
  <c r="U5658" i="2"/>
  <c r="N5658" i="2"/>
  <c r="M5658" i="2"/>
  <c r="J5658" i="2"/>
  <c r="I5658" i="2"/>
  <c r="H5658" i="2"/>
  <c r="G5658" i="2"/>
  <c r="F5658" i="2"/>
  <c r="E5658" i="2"/>
  <c r="D5658" i="2"/>
  <c r="C5658" i="2"/>
  <c r="B5658" i="2"/>
  <c r="A5658" i="2"/>
  <c r="U5657" i="2"/>
  <c r="N5657" i="2"/>
  <c r="M5657" i="2"/>
  <c r="J5657" i="2"/>
  <c r="I5657" i="2"/>
  <c r="H5657" i="2"/>
  <c r="G5657" i="2"/>
  <c r="F5657" i="2"/>
  <c r="E5657" i="2"/>
  <c r="D5657" i="2"/>
  <c r="C5657" i="2"/>
  <c r="B5657" i="2"/>
  <c r="A5657" i="2"/>
  <c r="U5656" i="2"/>
  <c r="N5656" i="2"/>
  <c r="M5656" i="2"/>
  <c r="J5656" i="2"/>
  <c r="I5656" i="2"/>
  <c r="H5656" i="2"/>
  <c r="G5656" i="2"/>
  <c r="F5656" i="2"/>
  <c r="E5656" i="2"/>
  <c r="D5656" i="2"/>
  <c r="C5656" i="2"/>
  <c r="B5656" i="2"/>
  <c r="A5656" i="2"/>
  <c r="Q5655" i="2"/>
  <c r="U5655" i="2" s="1"/>
  <c r="N5655" i="2"/>
  <c r="M5655" i="2"/>
  <c r="J5655" i="2"/>
  <c r="I5655" i="2"/>
  <c r="H5655" i="2"/>
  <c r="G5655" i="2"/>
  <c r="F5655" i="2"/>
  <c r="E5655" i="2"/>
  <c r="D5655" i="2"/>
  <c r="C5655" i="2"/>
  <c r="B5655" i="2"/>
  <c r="A5655" i="2"/>
  <c r="Q5654" i="2"/>
  <c r="U5654" i="2" s="1"/>
  <c r="N5654" i="2"/>
  <c r="M5654" i="2"/>
  <c r="J5654" i="2"/>
  <c r="I5654" i="2"/>
  <c r="H5654" i="2"/>
  <c r="G5654" i="2"/>
  <c r="F5654" i="2"/>
  <c r="E5654" i="2"/>
  <c r="D5654" i="2"/>
  <c r="C5654" i="2"/>
  <c r="B5654" i="2"/>
  <c r="A5654" i="2"/>
  <c r="U5653" i="2"/>
  <c r="N5653" i="2"/>
  <c r="M5653" i="2"/>
  <c r="J5653" i="2"/>
  <c r="I5653" i="2"/>
  <c r="H5653" i="2"/>
  <c r="G5653" i="2"/>
  <c r="F5653" i="2"/>
  <c r="E5653" i="2"/>
  <c r="D5653" i="2"/>
  <c r="C5653" i="2"/>
  <c r="B5653" i="2"/>
  <c r="A5653" i="2"/>
  <c r="U5652" i="2"/>
  <c r="N5652" i="2"/>
  <c r="M5652" i="2"/>
  <c r="J5652" i="2"/>
  <c r="I5652" i="2"/>
  <c r="H5652" i="2"/>
  <c r="G5652" i="2"/>
  <c r="F5652" i="2"/>
  <c r="E5652" i="2"/>
  <c r="D5652" i="2"/>
  <c r="C5652" i="2"/>
  <c r="B5652" i="2"/>
  <c r="A5652" i="2"/>
  <c r="U5651" i="2"/>
  <c r="N5651" i="2"/>
  <c r="M5651" i="2"/>
  <c r="J5651" i="2"/>
  <c r="I5651" i="2"/>
  <c r="H5651" i="2"/>
  <c r="G5651" i="2"/>
  <c r="F5651" i="2"/>
  <c r="E5651" i="2"/>
  <c r="D5651" i="2"/>
  <c r="C5651" i="2"/>
  <c r="B5651" i="2"/>
  <c r="A5651" i="2"/>
  <c r="U5650" i="2"/>
  <c r="N5650" i="2"/>
  <c r="M5650" i="2"/>
  <c r="J5650" i="2"/>
  <c r="I5650" i="2"/>
  <c r="H5650" i="2"/>
  <c r="G5650" i="2"/>
  <c r="F5650" i="2"/>
  <c r="E5650" i="2"/>
  <c r="D5650" i="2"/>
  <c r="C5650" i="2"/>
  <c r="B5650" i="2"/>
  <c r="A5650" i="2"/>
  <c r="U5649" i="2"/>
  <c r="N5649" i="2"/>
  <c r="M5649" i="2"/>
  <c r="J5649" i="2"/>
  <c r="I5649" i="2"/>
  <c r="H5649" i="2"/>
  <c r="G5649" i="2"/>
  <c r="F5649" i="2"/>
  <c r="E5649" i="2"/>
  <c r="D5649" i="2"/>
  <c r="C5649" i="2"/>
  <c r="B5649" i="2"/>
  <c r="A5649" i="2"/>
  <c r="U5648" i="2"/>
  <c r="N5648" i="2"/>
  <c r="M5648" i="2"/>
  <c r="J5648" i="2"/>
  <c r="I5648" i="2"/>
  <c r="H5648" i="2"/>
  <c r="G5648" i="2"/>
  <c r="F5648" i="2"/>
  <c r="E5648" i="2"/>
  <c r="D5648" i="2"/>
  <c r="C5648" i="2"/>
  <c r="B5648" i="2"/>
  <c r="A5648" i="2"/>
  <c r="U5647" i="2"/>
  <c r="N5647" i="2"/>
  <c r="M5647" i="2"/>
  <c r="J5647" i="2"/>
  <c r="I5647" i="2"/>
  <c r="H5647" i="2"/>
  <c r="G5647" i="2"/>
  <c r="F5647" i="2"/>
  <c r="E5647" i="2"/>
  <c r="D5647" i="2"/>
  <c r="C5647" i="2"/>
  <c r="B5647" i="2"/>
  <c r="A5647" i="2"/>
  <c r="U5646" i="2"/>
  <c r="N5646" i="2"/>
  <c r="M5646" i="2"/>
  <c r="J5646" i="2"/>
  <c r="I5646" i="2"/>
  <c r="H5646" i="2"/>
  <c r="G5646" i="2"/>
  <c r="F5646" i="2"/>
  <c r="E5646" i="2"/>
  <c r="D5646" i="2"/>
  <c r="C5646" i="2"/>
  <c r="B5646" i="2"/>
  <c r="A5646" i="2"/>
  <c r="U5645" i="2"/>
  <c r="N5645" i="2"/>
  <c r="M5645" i="2"/>
  <c r="J5645" i="2"/>
  <c r="I5645" i="2"/>
  <c r="H5645" i="2"/>
  <c r="G5645" i="2"/>
  <c r="F5645" i="2"/>
  <c r="E5645" i="2"/>
  <c r="D5645" i="2"/>
  <c r="C5645" i="2"/>
  <c r="B5645" i="2"/>
  <c r="A5645" i="2"/>
  <c r="U5644" i="2"/>
  <c r="N5644" i="2"/>
  <c r="M5644" i="2"/>
  <c r="J5644" i="2"/>
  <c r="I5644" i="2"/>
  <c r="H5644" i="2"/>
  <c r="G5644" i="2"/>
  <c r="F5644" i="2"/>
  <c r="E5644" i="2"/>
  <c r="D5644" i="2"/>
  <c r="C5644" i="2"/>
  <c r="B5644" i="2"/>
  <c r="A5644" i="2"/>
  <c r="U5643" i="2"/>
  <c r="N5643" i="2"/>
  <c r="M5643" i="2"/>
  <c r="J5643" i="2"/>
  <c r="I5643" i="2"/>
  <c r="H5643" i="2"/>
  <c r="G5643" i="2"/>
  <c r="F5643" i="2"/>
  <c r="E5643" i="2"/>
  <c r="D5643" i="2"/>
  <c r="C5643" i="2"/>
  <c r="B5643" i="2"/>
  <c r="A5643" i="2"/>
  <c r="U5642" i="2"/>
  <c r="N5642" i="2"/>
  <c r="M5642" i="2"/>
  <c r="J5642" i="2"/>
  <c r="I5642" i="2"/>
  <c r="H5642" i="2"/>
  <c r="G5642" i="2"/>
  <c r="F5642" i="2"/>
  <c r="E5642" i="2"/>
  <c r="D5642" i="2"/>
  <c r="C5642" i="2"/>
  <c r="B5642" i="2"/>
  <c r="A5642" i="2"/>
  <c r="U5641" i="2"/>
  <c r="N5641" i="2"/>
  <c r="M5641" i="2"/>
  <c r="J5641" i="2"/>
  <c r="I5641" i="2"/>
  <c r="H5641" i="2"/>
  <c r="G5641" i="2"/>
  <c r="F5641" i="2"/>
  <c r="E5641" i="2"/>
  <c r="D5641" i="2"/>
  <c r="C5641" i="2"/>
  <c r="B5641" i="2"/>
  <c r="A5641" i="2"/>
  <c r="U5640" i="2"/>
  <c r="N5640" i="2"/>
  <c r="M5640" i="2"/>
  <c r="J5640" i="2"/>
  <c r="I5640" i="2"/>
  <c r="H5640" i="2"/>
  <c r="G5640" i="2"/>
  <c r="F5640" i="2"/>
  <c r="E5640" i="2"/>
  <c r="D5640" i="2"/>
  <c r="C5640" i="2"/>
  <c r="B5640" i="2"/>
  <c r="A5640" i="2"/>
  <c r="U5639" i="2"/>
  <c r="N5639" i="2"/>
  <c r="M5639" i="2"/>
  <c r="J5639" i="2"/>
  <c r="I5639" i="2"/>
  <c r="H5639" i="2"/>
  <c r="G5639" i="2"/>
  <c r="F5639" i="2"/>
  <c r="E5639" i="2"/>
  <c r="D5639" i="2"/>
  <c r="C5639" i="2"/>
  <c r="B5639" i="2"/>
  <c r="A5639" i="2"/>
  <c r="U5638" i="2"/>
  <c r="N5638" i="2"/>
  <c r="M5638" i="2"/>
  <c r="J5638" i="2"/>
  <c r="I5638" i="2"/>
  <c r="H5638" i="2"/>
  <c r="G5638" i="2"/>
  <c r="F5638" i="2"/>
  <c r="E5638" i="2"/>
  <c r="D5638" i="2"/>
  <c r="C5638" i="2"/>
  <c r="B5638" i="2"/>
  <c r="A5638" i="2"/>
  <c r="U5637" i="2"/>
  <c r="N5637" i="2"/>
  <c r="M5637" i="2"/>
  <c r="J5637" i="2"/>
  <c r="I5637" i="2"/>
  <c r="H5637" i="2"/>
  <c r="G5637" i="2"/>
  <c r="F5637" i="2"/>
  <c r="E5637" i="2"/>
  <c r="D5637" i="2"/>
  <c r="C5637" i="2"/>
  <c r="B5637" i="2"/>
  <c r="A5637" i="2"/>
  <c r="U5636" i="2"/>
  <c r="N5636" i="2"/>
  <c r="M5636" i="2"/>
  <c r="J5636" i="2"/>
  <c r="I5636" i="2"/>
  <c r="H5636" i="2"/>
  <c r="G5636" i="2"/>
  <c r="F5636" i="2"/>
  <c r="E5636" i="2"/>
  <c r="D5636" i="2"/>
  <c r="C5636" i="2"/>
  <c r="B5636" i="2"/>
  <c r="A5636" i="2"/>
  <c r="U5635" i="2"/>
  <c r="N5635" i="2"/>
  <c r="M5635" i="2"/>
  <c r="J5635" i="2"/>
  <c r="I5635" i="2"/>
  <c r="H5635" i="2"/>
  <c r="G5635" i="2"/>
  <c r="F5635" i="2"/>
  <c r="E5635" i="2"/>
  <c r="D5635" i="2"/>
  <c r="C5635" i="2"/>
  <c r="B5635" i="2"/>
  <c r="A5635" i="2"/>
  <c r="U5634" i="2"/>
  <c r="N5634" i="2"/>
  <c r="M5634" i="2"/>
  <c r="J5634" i="2"/>
  <c r="I5634" i="2"/>
  <c r="H5634" i="2"/>
  <c r="G5634" i="2"/>
  <c r="F5634" i="2"/>
  <c r="E5634" i="2"/>
  <c r="D5634" i="2"/>
  <c r="C5634" i="2"/>
  <c r="B5634" i="2"/>
  <c r="A5634" i="2"/>
  <c r="U5633" i="2"/>
  <c r="N5633" i="2"/>
  <c r="M5633" i="2"/>
  <c r="J5633" i="2"/>
  <c r="I5633" i="2"/>
  <c r="H5633" i="2"/>
  <c r="G5633" i="2"/>
  <c r="F5633" i="2"/>
  <c r="E5633" i="2"/>
  <c r="D5633" i="2"/>
  <c r="C5633" i="2"/>
  <c r="B5633" i="2"/>
  <c r="A5633" i="2"/>
  <c r="U5632" i="2"/>
  <c r="N5632" i="2"/>
  <c r="M5632" i="2"/>
  <c r="J5632" i="2"/>
  <c r="I5632" i="2"/>
  <c r="H5632" i="2"/>
  <c r="G5632" i="2"/>
  <c r="F5632" i="2"/>
  <c r="E5632" i="2"/>
  <c r="D5632" i="2"/>
  <c r="C5632" i="2"/>
  <c r="B5632" i="2"/>
  <c r="A5632" i="2"/>
  <c r="U5631" i="2"/>
  <c r="N5631" i="2"/>
  <c r="M5631" i="2"/>
  <c r="J5631" i="2"/>
  <c r="I5631" i="2"/>
  <c r="H5631" i="2"/>
  <c r="G5631" i="2"/>
  <c r="F5631" i="2"/>
  <c r="E5631" i="2"/>
  <c r="D5631" i="2"/>
  <c r="C5631" i="2"/>
  <c r="B5631" i="2"/>
  <c r="A5631" i="2"/>
  <c r="U5630" i="2"/>
  <c r="N5630" i="2"/>
  <c r="M5630" i="2"/>
  <c r="J5630" i="2"/>
  <c r="I5630" i="2"/>
  <c r="H5630" i="2"/>
  <c r="G5630" i="2"/>
  <c r="F5630" i="2"/>
  <c r="E5630" i="2"/>
  <c r="D5630" i="2"/>
  <c r="C5630" i="2"/>
  <c r="B5630" i="2"/>
  <c r="A5630" i="2"/>
  <c r="U5629" i="2"/>
  <c r="N5629" i="2"/>
  <c r="M5629" i="2"/>
  <c r="J5629" i="2"/>
  <c r="I5629" i="2"/>
  <c r="H5629" i="2"/>
  <c r="G5629" i="2"/>
  <c r="F5629" i="2"/>
  <c r="E5629" i="2"/>
  <c r="D5629" i="2"/>
  <c r="C5629" i="2"/>
  <c r="B5629" i="2"/>
  <c r="A5629" i="2"/>
  <c r="U5628" i="2"/>
  <c r="N5628" i="2"/>
  <c r="M5628" i="2"/>
  <c r="J5628" i="2"/>
  <c r="I5628" i="2"/>
  <c r="H5628" i="2"/>
  <c r="G5628" i="2"/>
  <c r="F5628" i="2"/>
  <c r="E5628" i="2"/>
  <c r="D5628" i="2"/>
  <c r="C5628" i="2"/>
  <c r="B5628" i="2"/>
  <c r="A5628" i="2"/>
  <c r="U5627" i="2"/>
  <c r="N5627" i="2"/>
  <c r="M5627" i="2"/>
  <c r="J5627" i="2"/>
  <c r="I5627" i="2"/>
  <c r="H5627" i="2"/>
  <c r="G5627" i="2"/>
  <c r="F5627" i="2"/>
  <c r="E5627" i="2"/>
  <c r="D5627" i="2"/>
  <c r="C5627" i="2"/>
  <c r="B5627" i="2"/>
  <c r="A5627" i="2"/>
  <c r="U5626" i="2"/>
  <c r="N5626" i="2"/>
  <c r="M5626" i="2"/>
  <c r="J5626" i="2"/>
  <c r="I5626" i="2"/>
  <c r="H5626" i="2"/>
  <c r="G5626" i="2"/>
  <c r="F5626" i="2"/>
  <c r="E5626" i="2"/>
  <c r="D5626" i="2"/>
  <c r="C5626" i="2"/>
  <c r="B5626" i="2"/>
  <c r="A5626" i="2"/>
  <c r="U5625" i="2"/>
  <c r="N5625" i="2"/>
  <c r="M5625" i="2"/>
  <c r="J5625" i="2"/>
  <c r="I5625" i="2"/>
  <c r="H5625" i="2"/>
  <c r="G5625" i="2"/>
  <c r="F5625" i="2"/>
  <c r="E5625" i="2"/>
  <c r="D5625" i="2"/>
  <c r="C5625" i="2"/>
  <c r="B5625" i="2"/>
  <c r="A5625" i="2"/>
  <c r="Q5624" i="2"/>
  <c r="U5624" i="2" s="1"/>
  <c r="N5624" i="2"/>
  <c r="M5624" i="2"/>
  <c r="J5624" i="2"/>
  <c r="I5624" i="2"/>
  <c r="H5624" i="2"/>
  <c r="G5624" i="2"/>
  <c r="F5624" i="2"/>
  <c r="E5624" i="2"/>
  <c r="D5624" i="2"/>
  <c r="C5624" i="2"/>
  <c r="B5624" i="2"/>
  <c r="A5624" i="2"/>
  <c r="U5623" i="2"/>
  <c r="N5623" i="2"/>
  <c r="M5623" i="2"/>
  <c r="J5623" i="2"/>
  <c r="I5623" i="2"/>
  <c r="H5623" i="2"/>
  <c r="G5623" i="2"/>
  <c r="F5623" i="2"/>
  <c r="E5623" i="2"/>
  <c r="D5623" i="2"/>
  <c r="C5623" i="2"/>
  <c r="B5623" i="2"/>
  <c r="A5623" i="2"/>
  <c r="Q5622" i="2"/>
  <c r="U5622" i="2" s="1"/>
  <c r="N5622" i="2"/>
  <c r="M5622" i="2"/>
  <c r="J5622" i="2"/>
  <c r="I5622" i="2"/>
  <c r="H5622" i="2"/>
  <c r="G5622" i="2"/>
  <c r="F5622" i="2"/>
  <c r="E5622" i="2"/>
  <c r="D5622" i="2"/>
  <c r="C5622" i="2"/>
  <c r="B5622" i="2"/>
  <c r="A5622" i="2"/>
  <c r="U5621" i="2"/>
  <c r="N5621" i="2"/>
  <c r="M5621" i="2"/>
  <c r="J5621" i="2"/>
  <c r="I5621" i="2"/>
  <c r="H5621" i="2"/>
  <c r="G5621" i="2"/>
  <c r="F5621" i="2"/>
  <c r="E5621" i="2"/>
  <c r="D5621" i="2"/>
  <c r="C5621" i="2"/>
  <c r="B5621" i="2"/>
  <c r="A5621" i="2"/>
  <c r="U5620" i="2"/>
  <c r="N5620" i="2"/>
  <c r="M5620" i="2"/>
  <c r="J5620" i="2"/>
  <c r="I5620" i="2"/>
  <c r="H5620" i="2"/>
  <c r="G5620" i="2"/>
  <c r="F5620" i="2"/>
  <c r="E5620" i="2"/>
  <c r="D5620" i="2"/>
  <c r="C5620" i="2"/>
  <c r="B5620" i="2"/>
  <c r="A5620" i="2"/>
  <c r="U5619" i="2"/>
  <c r="N5619" i="2"/>
  <c r="M5619" i="2"/>
  <c r="J5619" i="2"/>
  <c r="I5619" i="2"/>
  <c r="H5619" i="2"/>
  <c r="G5619" i="2"/>
  <c r="F5619" i="2"/>
  <c r="E5619" i="2"/>
  <c r="D5619" i="2"/>
  <c r="C5619" i="2"/>
  <c r="B5619" i="2"/>
  <c r="A5619" i="2"/>
  <c r="U5618" i="2"/>
  <c r="N5618" i="2"/>
  <c r="M5618" i="2"/>
  <c r="J5618" i="2"/>
  <c r="I5618" i="2"/>
  <c r="H5618" i="2"/>
  <c r="G5618" i="2"/>
  <c r="F5618" i="2"/>
  <c r="E5618" i="2"/>
  <c r="D5618" i="2"/>
  <c r="C5618" i="2"/>
  <c r="B5618" i="2"/>
  <c r="A5618" i="2"/>
  <c r="U5617" i="2"/>
  <c r="N5617" i="2"/>
  <c r="M5617" i="2"/>
  <c r="J5617" i="2"/>
  <c r="I5617" i="2"/>
  <c r="H5617" i="2"/>
  <c r="G5617" i="2"/>
  <c r="F5617" i="2"/>
  <c r="E5617" i="2"/>
  <c r="D5617" i="2"/>
  <c r="C5617" i="2"/>
  <c r="B5617" i="2"/>
  <c r="A5617" i="2"/>
  <c r="U5616" i="2"/>
  <c r="N5616" i="2"/>
  <c r="M5616" i="2"/>
  <c r="J5616" i="2"/>
  <c r="I5616" i="2"/>
  <c r="H5616" i="2"/>
  <c r="G5616" i="2"/>
  <c r="F5616" i="2"/>
  <c r="E5616" i="2"/>
  <c r="D5616" i="2"/>
  <c r="C5616" i="2"/>
  <c r="B5616" i="2"/>
  <c r="A5616" i="2"/>
  <c r="U5615" i="2"/>
  <c r="N5615" i="2"/>
  <c r="M5615" i="2"/>
  <c r="J5615" i="2"/>
  <c r="I5615" i="2"/>
  <c r="H5615" i="2"/>
  <c r="G5615" i="2"/>
  <c r="F5615" i="2"/>
  <c r="E5615" i="2"/>
  <c r="D5615" i="2"/>
  <c r="C5615" i="2"/>
  <c r="B5615" i="2"/>
  <c r="A5615" i="2"/>
  <c r="U5614" i="2"/>
  <c r="N5614" i="2"/>
  <c r="M5614" i="2"/>
  <c r="J5614" i="2"/>
  <c r="I5614" i="2"/>
  <c r="H5614" i="2"/>
  <c r="G5614" i="2"/>
  <c r="F5614" i="2"/>
  <c r="E5614" i="2"/>
  <c r="D5614" i="2"/>
  <c r="C5614" i="2"/>
  <c r="B5614" i="2"/>
  <c r="A5614" i="2"/>
  <c r="U5613" i="2"/>
  <c r="N5613" i="2"/>
  <c r="M5613" i="2"/>
  <c r="J5613" i="2"/>
  <c r="I5613" i="2"/>
  <c r="H5613" i="2"/>
  <c r="G5613" i="2"/>
  <c r="F5613" i="2"/>
  <c r="E5613" i="2"/>
  <c r="D5613" i="2"/>
  <c r="C5613" i="2"/>
  <c r="B5613" i="2"/>
  <c r="A5613" i="2"/>
  <c r="U5612" i="2"/>
  <c r="N5612" i="2"/>
  <c r="M5612" i="2"/>
  <c r="J5612" i="2"/>
  <c r="I5612" i="2"/>
  <c r="H5612" i="2"/>
  <c r="G5612" i="2"/>
  <c r="F5612" i="2"/>
  <c r="E5612" i="2"/>
  <c r="D5612" i="2"/>
  <c r="C5612" i="2"/>
  <c r="B5612" i="2"/>
  <c r="A5612" i="2"/>
  <c r="Q5611" i="2"/>
  <c r="U5611" i="2" s="1"/>
  <c r="N5611" i="2"/>
  <c r="M5611" i="2"/>
  <c r="J5611" i="2"/>
  <c r="I5611" i="2"/>
  <c r="H5611" i="2"/>
  <c r="G5611" i="2"/>
  <c r="F5611" i="2"/>
  <c r="E5611" i="2"/>
  <c r="D5611" i="2"/>
  <c r="C5611" i="2"/>
  <c r="B5611" i="2"/>
  <c r="A5611" i="2"/>
  <c r="U5610" i="2"/>
  <c r="N5610" i="2"/>
  <c r="M5610" i="2"/>
  <c r="J5610" i="2"/>
  <c r="I5610" i="2"/>
  <c r="H5610" i="2"/>
  <c r="G5610" i="2"/>
  <c r="F5610" i="2"/>
  <c r="E5610" i="2"/>
  <c r="D5610" i="2"/>
  <c r="C5610" i="2"/>
  <c r="B5610" i="2"/>
  <c r="A5610" i="2"/>
  <c r="U5609" i="2"/>
  <c r="N5609" i="2"/>
  <c r="M5609" i="2"/>
  <c r="J5609" i="2"/>
  <c r="I5609" i="2"/>
  <c r="H5609" i="2"/>
  <c r="G5609" i="2"/>
  <c r="F5609" i="2"/>
  <c r="E5609" i="2"/>
  <c r="D5609" i="2"/>
  <c r="C5609" i="2"/>
  <c r="B5609" i="2"/>
  <c r="A5609" i="2"/>
  <c r="U5608" i="2"/>
  <c r="N5608" i="2"/>
  <c r="M5608" i="2"/>
  <c r="J5608" i="2"/>
  <c r="I5608" i="2"/>
  <c r="H5608" i="2"/>
  <c r="G5608" i="2"/>
  <c r="F5608" i="2"/>
  <c r="E5608" i="2"/>
  <c r="D5608" i="2"/>
  <c r="C5608" i="2"/>
  <c r="B5608" i="2"/>
  <c r="A5608" i="2"/>
  <c r="U5607" i="2"/>
  <c r="N5607" i="2"/>
  <c r="M5607" i="2"/>
  <c r="J5607" i="2"/>
  <c r="I5607" i="2"/>
  <c r="H5607" i="2"/>
  <c r="G5607" i="2"/>
  <c r="F5607" i="2"/>
  <c r="E5607" i="2"/>
  <c r="D5607" i="2"/>
  <c r="C5607" i="2"/>
  <c r="B5607" i="2"/>
  <c r="A5607" i="2"/>
  <c r="U5606" i="2"/>
  <c r="N5606" i="2"/>
  <c r="M5606" i="2"/>
  <c r="J5606" i="2"/>
  <c r="I5606" i="2"/>
  <c r="H5606" i="2"/>
  <c r="G5606" i="2"/>
  <c r="F5606" i="2"/>
  <c r="E5606" i="2"/>
  <c r="D5606" i="2"/>
  <c r="C5606" i="2"/>
  <c r="B5606" i="2"/>
  <c r="A5606" i="2"/>
  <c r="U5605" i="2"/>
  <c r="N5605" i="2"/>
  <c r="M5605" i="2"/>
  <c r="J5605" i="2"/>
  <c r="I5605" i="2"/>
  <c r="H5605" i="2"/>
  <c r="G5605" i="2"/>
  <c r="F5605" i="2"/>
  <c r="E5605" i="2"/>
  <c r="D5605" i="2"/>
  <c r="C5605" i="2"/>
  <c r="B5605" i="2"/>
  <c r="A5605" i="2"/>
  <c r="U5604" i="2"/>
  <c r="N5604" i="2"/>
  <c r="M5604" i="2"/>
  <c r="J5604" i="2"/>
  <c r="I5604" i="2"/>
  <c r="H5604" i="2"/>
  <c r="G5604" i="2"/>
  <c r="F5604" i="2"/>
  <c r="E5604" i="2"/>
  <c r="D5604" i="2"/>
  <c r="C5604" i="2"/>
  <c r="B5604" i="2"/>
  <c r="A5604" i="2"/>
  <c r="U5603" i="2"/>
  <c r="N5603" i="2"/>
  <c r="M5603" i="2"/>
  <c r="J5603" i="2"/>
  <c r="I5603" i="2"/>
  <c r="H5603" i="2"/>
  <c r="G5603" i="2"/>
  <c r="F5603" i="2"/>
  <c r="E5603" i="2"/>
  <c r="D5603" i="2"/>
  <c r="C5603" i="2"/>
  <c r="B5603" i="2"/>
  <c r="A5603" i="2"/>
  <c r="U5602" i="2"/>
  <c r="N5602" i="2"/>
  <c r="M5602" i="2"/>
  <c r="J5602" i="2"/>
  <c r="I5602" i="2"/>
  <c r="H5602" i="2"/>
  <c r="G5602" i="2"/>
  <c r="F5602" i="2"/>
  <c r="E5602" i="2"/>
  <c r="D5602" i="2"/>
  <c r="C5602" i="2"/>
  <c r="B5602" i="2"/>
  <c r="A5602" i="2"/>
  <c r="U5601" i="2"/>
  <c r="N5601" i="2"/>
  <c r="M5601" i="2"/>
  <c r="J5601" i="2"/>
  <c r="I5601" i="2"/>
  <c r="H5601" i="2"/>
  <c r="G5601" i="2"/>
  <c r="F5601" i="2"/>
  <c r="E5601" i="2"/>
  <c r="D5601" i="2"/>
  <c r="C5601" i="2"/>
  <c r="B5601" i="2"/>
  <c r="A5601" i="2"/>
  <c r="U5600" i="2"/>
  <c r="N5600" i="2"/>
  <c r="M5600" i="2"/>
  <c r="J5600" i="2"/>
  <c r="I5600" i="2"/>
  <c r="H5600" i="2"/>
  <c r="G5600" i="2"/>
  <c r="F5600" i="2"/>
  <c r="E5600" i="2"/>
  <c r="D5600" i="2"/>
  <c r="C5600" i="2"/>
  <c r="B5600" i="2"/>
  <c r="A5600" i="2"/>
  <c r="U5599" i="2"/>
  <c r="N5599" i="2"/>
  <c r="M5599" i="2"/>
  <c r="J5599" i="2"/>
  <c r="I5599" i="2"/>
  <c r="H5599" i="2"/>
  <c r="G5599" i="2"/>
  <c r="F5599" i="2"/>
  <c r="E5599" i="2"/>
  <c r="D5599" i="2"/>
  <c r="C5599" i="2"/>
  <c r="B5599" i="2"/>
  <c r="A5599" i="2"/>
  <c r="U5598" i="2"/>
  <c r="N5598" i="2"/>
  <c r="M5598" i="2"/>
  <c r="J5598" i="2"/>
  <c r="I5598" i="2"/>
  <c r="H5598" i="2"/>
  <c r="G5598" i="2"/>
  <c r="F5598" i="2"/>
  <c r="E5598" i="2"/>
  <c r="D5598" i="2"/>
  <c r="C5598" i="2"/>
  <c r="B5598" i="2"/>
  <c r="A5598" i="2"/>
  <c r="U5597" i="2"/>
  <c r="N5597" i="2"/>
  <c r="M5597" i="2"/>
  <c r="J5597" i="2"/>
  <c r="I5597" i="2"/>
  <c r="H5597" i="2"/>
  <c r="G5597" i="2"/>
  <c r="F5597" i="2"/>
  <c r="E5597" i="2"/>
  <c r="D5597" i="2"/>
  <c r="C5597" i="2"/>
  <c r="B5597" i="2"/>
  <c r="A5597" i="2"/>
  <c r="U5596" i="2"/>
  <c r="N5596" i="2"/>
  <c r="M5596" i="2"/>
  <c r="J5596" i="2"/>
  <c r="I5596" i="2"/>
  <c r="H5596" i="2"/>
  <c r="G5596" i="2"/>
  <c r="F5596" i="2"/>
  <c r="E5596" i="2"/>
  <c r="D5596" i="2"/>
  <c r="C5596" i="2"/>
  <c r="B5596" i="2"/>
  <c r="A5596" i="2"/>
  <c r="U5595" i="2"/>
  <c r="N5595" i="2"/>
  <c r="M5595" i="2"/>
  <c r="J5595" i="2"/>
  <c r="I5595" i="2"/>
  <c r="H5595" i="2"/>
  <c r="G5595" i="2"/>
  <c r="F5595" i="2"/>
  <c r="E5595" i="2"/>
  <c r="D5595" i="2"/>
  <c r="C5595" i="2"/>
  <c r="B5595" i="2"/>
  <c r="A5595" i="2"/>
  <c r="U5594" i="2"/>
  <c r="N5594" i="2"/>
  <c r="M5594" i="2"/>
  <c r="J5594" i="2"/>
  <c r="I5594" i="2"/>
  <c r="H5594" i="2"/>
  <c r="G5594" i="2"/>
  <c r="F5594" i="2"/>
  <c r="E5594" i="2"/>
  <c r="D5594" i="2"/>
  <c r="C5594" i="2"/>
  <c r="B5594" i="2"/>
  <c r="A5594" i="2"/>
  <c r="U5593" i="2"/>
  <c r="N5593" i="2"/>
  <c r="M5593" i="2"/>
  <c r="J5593" i="2"/>
  <c r="I5593" i="2"/>
  <c r="H5593" i="2"/>
  <c r="G5593" i="2"/>
  <c r="F5593" i="2"/>
  <c r="E5593" i="2"/>
  <c r="D5593" i="2"/>
  <c r="C5593" i="2"/>
  <c r="B5593" i="2"/>
  <c r="A5593" i="2"/>
  <c r="U5592" i="2"/>
  <c r="N5592" i="2"/>
  <c r="M5592" i="2"/>
  <c r="J5592" i="2"/>
  <c r="I5592" i="2"/>
  <c r="H5592" i="2"/>
  <c r="G5592" i="2"/>
  <c r="F5592" i="2"/>
  <c r="E5592" i="2"/>
  <c r="D5592" i="2"/>
  <c r="C5592" i="2"/>
  <c r="B5592" i="2"/>
  <c r="A5592" i="2"/>
  <c r="U5591" i="2"/>
  <c r="N5591" i="2"/>
  <c r="M5591" i="2"/>
  <c r="J5591" i="2"/>
  <c r="I5591" i="2"/>
  <c r="H5591" i="2"/>
  <c r="G5591" i="2"/>
  <c r="F5591" i="2"/>
  <c r="E5591" i="2"/>
  <c r="D5591" i="2"/>
  <c r="C5591" i="2"/>
  <c r="B5591" i="2"/>
  <c r="A5591" i="2"/>
  <c r="U5590" i="2"/>
  <c r="N5590" i="2"/>
  <c r="M5590" i="2"/>
  <c r="J5590" i="2"/>
  <c r="I5590" i="2"/>
  <c r="H5590" i="2"/>
  <c r="G5590" i="2"/>
  <c r="F5590" i="2"/>
  <c r="E5590" i="2"/>
  <c r="D5590" i="2"/>
  <c r="C5590" i="2"/>
  <c r="B5590" i="2"/>
  <c r="A5590" i="2"/>
  <c r="U5589" i="2"/>
  <c r="N5589" i="2"/>
  <c r="M5589" i="2"/>
  <c r="J5589" i="2"/>
  <c r="I5589" i="2"/>
  <c r="H5589" i="2"/>
  <c r="G5589" i="2"/>
  <c r="F5589" i="2"/>
  <c r="E5589" i="2"/>
  <c r="D5589" i="2"/>
  <c r="C5589" i="2"/>
  <c r="B5589" i="2"/>
  <c r="A5589" i="2"/>
  <c r="U5588" i="2"/>
  <c r="N5588" i="2"/>
  <c r="M5588" i="2"/>
  <c r="J5588" i="2"/>
  <c r="I5588" i="2"/>
  <c r="H5588" i="2"/>
  <c r="G5588" i="2"/>
  <c r="F5588" i="2"/>
  <c r="E5588" i="2"/>
  <c r="D5588" i="2"/>
  <c r="C5588" i="2"/>
  <c r="B5588" i="2"/>
  <c r="A5588" i="2"/>
  <c r="U5587" i="2"/>
  <c r="N5587" i="2"/>
  <c r="M5587" i="2"/>
  <c r="J5587" i="2"/>
  <c r="I5587" i="2"/>
  <c r="H5587" i="2"/>
  <c r="G5587" i="2"/>
  <c r="F5587" i="2"/>
  <c r="E5587" i="2"/>
  <c r="D5587" i="2"/>
  <c r="C5587" i="2"/>
  <c r="B5587" i="2"/>
  <c r="A5587" i="2"/>
  <c r="U5586" i="2"/>
  <c r="N5586" i="2"/>
  <c r="M5586" i="2"/>
  <c r="J5586" i="2"/>
  <c r="I5586" i="2"/>
  <c r="H5586" i="2"/>
  <c r="G5586" i="2"/>
  <c r="F5586" i="2"/>
  <c r="E5586" i="2"/>
  <c r="D5586" i="2"/>
  <c r="C5586" i="2"/>
  <c r="B5586" i="2"/>
  <c r="A5586" i="2"/>
  <c r="U5585" i="2"/>
  <c r="N5585" i="2"/>
  <c r="M5585" i="2"/>
  <c r="J5585" i="2"/>
  <c r="I5585" i="2"/>
  <c r="H5585" i="2"/>
  <c r="G5585" i="2"/>
  <c r="F5585" i="2"/>
  <c r="E5585" i="2"/>
  <c r="D5585" i="2"/>
  <c r="C5585" i="2"/>
  <c r="B5585" i="2"/>
  <c r="A5585" i="2"/>
  <c r="U5584" i="2"/>
  <c r="N5584" i="2"/>
  <c r="M5584" i="2"/>
  <c r="J5584" i="2"/>
  <c r="I5584" i="2"/>
  <c r="H5584" i="2"/>
  <c r="G5584" i="2"/>
  <c r="F5584" i="2"/>
  <c r="E5584" i="2"/>
  <c r="D5584" i="2"/>
  <c r="C5584" i="2"/>
  <c r="B5584" i="2"/>
  <c r="A5584" i="2"/>
  <c r="U5583" i="2"/>
  <c r="N5583" i="2"/>
  <c r="M5583" i="2"/>
  <c r="J5583" i="2"/>
  <c r="I5583" i="2"/>
  <c r="H5583" i="2"/>
  <c r="G5583" i="2"/>
  <c r="F5583" i="2"/>
  <c r="E5583" i="2"/>
  <c r="D5583" i="2"/>
  <c r="C5583" i="2"/>
  <c r="B5583" i="2"/>
  <c r="A5583" i="2"/>
  <c r="U5582" i="2"/>
  <c r="N5582" i="2"/>
  <c r="M5582" i="2"/>
  <c r="J5582" i="2"/>
  <c r="I5582" i="2"/>
  <c r="H5582" i="2"/>
  <c r="G5582" i="2"/>
  <c r="F5582" i="2"/>
  <c r="E5582" i="2"/>
  <c r="D5582" i="2"/>
  <c r="C5582" i="2"/>
  <c r="B5582" i="2"/>
  <c r="A5582" i="2"/>
  <c r="U5581" i="2"/>
  <c r="N5581" i="2"/>
  <c r="M5581" i="2"/>
  <c r="J5581" i="2"/>
  <c r="I5581" i="2"/>
  <c r="H5581" i="2"/>
  <c r="G5581" i="2"/>
  <c r="F5581" i="2"/>
  <c r="E5581" i="2"/>
  <c r="D5581" i="2"/>
  <c r="C5581" i="2"/>
  <c r="B5581" i="2"/>
  <c r="A5581" i="2"/>
  <c r="U5580" i="2"/>
  <c r="N5580" i="2"/>
  <c r="M5580" i="2"/>
  <c r="J5580" i="2"/>
  <c r="I5580" i="2"/>
  <c r="H5580" i="2"/>
  <c r="G5580" i="2"/>
  <c r="F5580" i="2"/>
  <c r="E5580" i="2"/>
  <c r="D5580" i="2"/>
  <c r="C5580" i="2"/>
  <c r="B5580" i="2"/>
  <c r="A5580" i="2"/>
  <c r="U5579" i="2"/>
  <c r="N5579" i="2"/>
  <c r="M5579" i="2"/>
  <c r="J5579" i="2"/>
  <c r="I5579" i="2"/>
  <c r="H5579" i="2"/>
  <c r="G5579" i="2"/>
  <c r="F5579" i="2"/>
  <c r="E5579" i="2"/>
  <c r="D5579" i="2"/>
  <c r="C5579" i="2"/>
  <c r="B5579" i="2"/>
  <c r="A5579" i="2"/>
  <c r="U5578" i="2"/>
  <c r="N5578" i="2"/>
  <c r="M5578" i="2"/>
  <c r="J5578" i="2"/>
  <c r="I5578" i="2"/>
  <c r="H5578" i="2"/>
  <c r="G5578" i="2"/>
  <c r="F5578" i="2"/>
  <c r="E5578" i="2"/>
  <c r="D5578" i="2"/>
  <c r="C5578" i="2"/>
  <c r="B5578" i="2"/>
  <c r="A5578" i="2"/>
  <c r="U5577" i="2"/>
  <c r="N5577" i="2"/>
  <c r="M5577" i="2"/>
  <c r="J5577" i="2"/>
  <c r="I5577" i="2"/>
  <c r="H5577" i="2"/>
  <c r="G5577" i="2"/>
  <c r="F5577" i="2"/>
  <c r="E5577" i="2"/>
  <c r="D5577" i="2"/>
  <c r="C5577" i="2"/>
  <c r="B5577" i="2"/>
  <c r="A5577" i="2"/>
  <c r="U5576" i="2"/>
  <c r="N5576" i="2"/>
  <c r="M5576" i="2"/>
  <c r="J5576" i="2"/>
  <c r="I5576" i="2"/>
  <c r="H5576" i="2"/>
  <c r="G5576" i="2"/>
  <c r="F5576" i="2"/>
  <c r="E5576" i="2"/>
  <c r="D5576" i="2"/>
  <c r="C5576" i="2"/>
  <c r="B5576" i="2"/>
  <c r="A5576" i="2"/>
  <c r="U5575" i="2"/>
  <c r="N5575" i="2"/>
  <c r="M5575" i="2"/>
  <c r="J5575" i="2"/>
  <c r="I5575" i="2"/>
  <c r="H5575" i="2"/>
  <c r="G5575" i="2"/>
  <c r="F5575" i="2"/>
  <c r="E5575" i="2"/>
  <c r="D5575" i="2"/>
  <c r="C5575" i="2"/>
  <c r="B5575" i="2"/>
  <c r="A5575" i="2"/>
  <c r="U5574" i="2"/>
  <c r="N5574" i="2"/>
  <c r="M5574" i="2"/>
  <c r="J5574" i="2"/>
  <c r="I5574" i="2"/>
  <c r="H5574" i="2"/>
  <c r="G5574" i="2"/>
  <c r="F5574" i="2"/>
  <c r="E5574" i="2"/>
  <c r="D5574" i="2"/>
  <c r="C5574" i="2"/>
  <c r="B5574" i="2"/>
  <c r="A5574" i="2"/>
  <c r="U5573" i="2"/>
  <c r="N5573" i="2"/>
  <c r="M5573" i="2"/>
  <c r="J5573" i="2"/>
  <c r="I5573" i="2"/>
  <c r="H5573" i="2"/>
  <c r="G5573" i="2"/>
  <c r="F5573" i="2"/>
  <c r="E5573" i="2"/>
  <c r="D5573" i="2"/>
  <c r="C5573" i="2"/>
  <c r="B5573" i="2"/>
  <c r="A5573" i="2"/>
  <c r="U5572" i="2"/>
  <c r="N5572" i="2"/>
  <c r="M5572" i="2"/>
  <c r="J5572" i="2"/>
  <c r="I5572" i="2"/>
  <c r="H5572" i="2"/>
  <c r="G5572" i="2"/>
  <c r="F5572" i="2"/>
  <c r="E5572" i="2"/>
  <c r="D5572" i="2"/>
  <c r="C5572" i="2"/>
  <c r="B5572" i="2"/>
  <c r="A5572" i="2"/>
  <c r="U5571" i="2"/>
  <c r="N5571" i="2"/>
  <c r="M5571" i="2"/>
  <c r="J5571" i="2"/>
  <c r="I5571" i="2"/>
  <c r="H5571" i="2"/>
  <c r="G5571" i="2"/>
  <c r="F5571" i="2"/>
  <c r="E5571" i="2"/>
  <c r="D5571" i="2"/>
  <c r="C5571" i="2"/>
  <c r="B5571" i="2"/>
  <c r="A5571" i="2"/>
  <c r="U5570" i="2"/>
  <c r="N5570" i="2"/>
  <c r="M5570" i="2"/>
  <c r="J5570" i="2"/>
  <c r="I5570" i="2"/>
  <c r="H5570" i="2"/>
  <c r="G5570" i="2"/>
  <c r="F5570" i="2"/>
  <c r="E5570" i="2"/>
  <c r="D5570" i="2"/>
  <c r="C5570" i="2"/>
  <c r="B5570" i="2"/>
  <c r="A5570" i="2"/>
  <c r="U5569" i="2"/>
  <c r="N5569" i="2"/>
  <c r="M5569" i="2"/>
  <c r="J5569" i="2"/>
  <c r="I5569" i="2"/>
  <c r="H5569" i="2"/>
  <c r="G5569" i="2"/>
  <c r="F5569" i="2"/>
  <c r="E5569" i="2"/>
  <c r="D5569" i="2"/>
  <c r="C5569" i="2"/>
  <c r="B5569" i="2"/>
  <c r="A5569" i="2"/>
  <c r="U5568" i="2"/>
  <c r="N5568" i="2"/>
  <c r="M5568" i="2"/>
  <c r="J5568" i="2"/>
  <c r="I5568" i="2"/>
  <c r="H5568" i="2"/>
  <c r="G5568" i="2"/>
  <c r="F5568" i="2"/>
  <c r="E5568" i="2"/>
  <c r="D5568" i="2"/>
  <c r="C5568" i="2"/>
  <c r="B5568" i="2"/>
  <c r="A5568" i="2"/>
  <c r="U5567" i="2"/>
  <c r="N5567" i="2"/>
  <c r="M5567" i="2"/>
  <c r="J5567" i="2"/>
  <c r="I5567" i="2"/>
  <c r="H5567" i="2"/>
  <c r="G5567" i="2"/>
  <c r="F5567" i="2"/>
  <c r="E5567" i="2"/>
  <c r="D5567" i="2"/>
  <c r="C5567" i="2"/>
  <c r="B5567" i="2"/>
  <c r="A5567" i="2"/>
  <c r="U5566" i="2"/>
  <c r="N5566" i="2"/>
  <c r="M5566" i="2"/>
  <c r="J5566" i="2"/>
  <c r="I5566" i="2"/>
  <c r="H5566" i="2"/>
  <c r="G5566" i="2"/>
  <c r="F5566" i="2"/>
  <c r="E5566" i="2"/>
  <c r="D5566" i="2"/>
  <c r="C5566" i="2"/>
  <c r="B5566" i="2"/>
  <c r="A5566" i="2"/>
  <c r="U5565" i="2"/>
  <c r="N5565" i="2"/>
  <c r="M5565" i="2"/>
  <c r="J5565" i="2"/>
  <c r="I5565" i="2"/>
  <c r="H5565" i="2"/>
  <c r="G5565" i="2"/>
  <c r="F5565" i="2"/>
  <c r="E5565" i="2"/>
  <c r="D5565" i="2"/>
  <c r="C5565" i="2"/>
  <c r="B5565" i="2"/>
  <c r="A5565" i="2"/>
  <c r="U5564" i="2"/>
  <c r="N5564" i="2"/>
  <c r="M5564" i="2"/>
  <c r="J5564" i="2"/>
  <c r="I5564" i="2"/>
  <c r="H5564" i="2"/>
  <c r="G5564" i="2"/>
  <c r="F5564" i="2"/>
  <c r="E5564" i="2"/>
  <c r="D5564" i="2"/>
  <c r="C5564" i="2"/>
  <c r="B5564" i="2"/>
  <c r="A5564" i="2"/>
  <c r="U5563" i="2"/>
  <c r="N5563" i="2"/>
  <c r="M5563" i="2"/>
  <c r="J5563" i="2"/>
  <c r="I5563" i="2"/>
  <c r="H5563" i="2"/>
  <c r="G5563" i="2"/>
  <c r="F5563" i="2"/>
  <c r="E5563" i="2"/>
  <c r="D5563" i="2"/>
  <c r="C5563" i="2"/>
  <c r="B5563" i="2"/>
  <c r="A5563" i="2"/>
  <c r="U5562" i="2"/>
  <c r="N5562" i="2"/>
  <c r="M5562" i="2"/>
  <c r="J5562" i="2"/>
  <c r="I5562" i="2"/>
  <c r="H5562" i="2"/>
  <c r="G5562" i="2"/>
  <c r="F5562" i="2"/>
  <c r="E5562" i="2"/>
  <c r="D5562" i="2"/>
  <c r="C5562" i="2"/>
  <c r="B5562" i="2"/>
  <c r="A5562" i="2"/>
  <c r="U5561" i="2"/>
  <c r="N5561" i="2"/>
  <c r="M5561" i="2"/>
  <c r="J5561" i="2"/>
  <c r="I5561" i="2"/>
  <c r="H5561" i="2"/>
  <c r="G5561" i="2"/>
  <c r="F5561" i="2"/>
  <c r="E5561" i="2"/>
  <c r="D5561" i="2"/>
  <c r="C5561" i="2"/>
  <c r="B5561" i="2"/>
  <c r="A5561" i="2"/>
  <c r="U5560" i="2"/>
  <c r="N5560" i="2"/>
  <c r="M5560" i="2"/>
  <c r="J5560" i="2"/>
  <c r="I5560" i="2"/>
  <c r="H5560" i="2"/>
  <c r="G5560" i="2"/>
  <c r="F5560" i="2"/>
  <c r="E5560" i="2"/>
  <c r="D5560" i="2"/>
  <c r="C5560" i="2"/>
  <c r="B5560" i="2"/>
  <c r="A5560" i="2"/>
  <c r="U5559" i="2"/>
  <c r="N5559" i="2"/>
  <c r="M5559" i="2"/>
  <c r="J5559" i="2"/>
  <c r="I5559" i="2"/>
  <c r="H5559" i="2"/>
  <c r="G5559" i="2"/>
  <c r="F5559" i="2"/>
  <c r="E5559" i="2"/>
  <c r="D5559" i="2"/>
  <c r="C5559" i="2"/>
  <c r="B5559" i="2"/>
  <c r="A5559" i="2"/>
  <c r="U5558" i="2"/>
  <c r="N5558" i="2"/>
  <c r="M5558" i="2"/>
  <c r="J5558" i="2"/>
  <c r="I5558" i="2"/>
  <c r="H5558" i="2"/>
  <c r="G5558" i="2"/>
  <c r="F5558" i="2"/>
  <c r="E5558" i="2"/>
  <c r="D5558" i="2"/>
  <c r="C5558" i="2"/>
  <c r="B5558" i="2"/>
  <c r="A5558" i="2"/>
  <c r="U5557" i="2"/>
  <c r="N5557" i="2"/>
  <c r="M5557" i="2"/>
  <c r="J5557" i="2"/>
  <c r="I5557" i="2"/>
  <c r="H5557" i="2"/>
  <c r="G5557" i="2"/>
  <c r="F5557" i="2"/>
  <c r="E5557" i="2"/>
  <c r="D5557" i="2"/>
  <c r="C5557" i="2"/>
  <c r="B5557" i="2"/>
  <c r="A5557" i="2"/>
  <c r="U5556" i="2"/>
  <c r="N5556" i="2"/>
  <c r="M5556" i="2"/>
  <c r="J5556" i="2"/>
  <c r="I5556" i="2"/>
  <c r="H5556" i="2"/>
  <c r="G5556" i="2"/>
  <c r="F5556" i="2"/>
  <c r="E5556" i="2"/>
  <c r="D5556" i="2"/>
  <c r="C5556" i="2"/>
  <c r="B5556" i="2"/>
  <c r="A5556" i="2"/>
  <c r="U5555" i="2"/>
  <c r="N5555" i="2"/>
  <c r="M5555" i="2"/>
  <c r="J5555" i="2"/>
  <c r="I5555" i="2"/>
  <c r="H5555" i="2"/>
  <c r="G5555" i="2"/>
  <c r="F5555" i="2"/>
  <c r="E5555" i="2"/>
  <c r="D5555" i="2"/>
  <c r="C5555" i="2"/>
  <c r="B5555" i="2"/>
  <c r="A5555" i="2"/>
  <c r="U5554" i="2"/>
  <c r="N5554" i="2"/>
  <c r="M5554" i="2"/>
  <c r="J5554" i="2"/>
  <c r="I5554" i="2"/>
  <c r="H5554" i="2"/>
  <c r="G5554" i="2"/>
  <c r="F5554" i="2"/>
  <c r="E5554" i="2"/>
  <c r="D5554" i="2"/>
  <c r="C5554" i="2"/>
  <c r="B5554" i="2"/>
  <c r="A5554" i="2"/>
  <c r="U5553" i="2"/>
  <c r="N5553" i="2"/>
  <c r="M5553" i="2"/>
  <c r="J5553" i="2"/>
  <c r="I5553" i="2"/>
  <c r="H5553" i="2"/>
  <c r="G5553" i="2"/>
  <c r="F5553" i="2"/>
  <c r="E5553" i="2"/>
  <c r="D5553" i="2"/>
  <c r="C5553" i="2"/>
  <c r="B5553" i="2"/>
  <c r="A5553" i="2"/>
  <c r="Q5552" i="2"/>
  <c r="U5552" i="2" s="1"/>
  <c r="N5552" i="2"/>
  <c r="M5552" i="2"/>
  <c r="J5552" i="2"/>
  <c r="I5552" i="2"/>
  <c r="H5552" i="2"/>
  <c r="G5552" i="2"/>
  <c r="F5552" i="2"/>
  <c r="E5552" i="2"/>
  <c r="D5552" i="2"/>
  <c r="C5552" i="2"/>
  <c r="B5552" i="2"/>
  <c r="A5552" i="2"/>
  <c r="U5551" i="2"/>
  <c r="N5551" i="2"/>
  <c r="M5551" i="2"/>
  <c r="J5551" i="2"/>
  <c r="I5551" i="2"/>
  <c r="H5551" i="2"/>
  <c r="G5551" i="2"/>
  <c r="F5551" i="2"/>
  <c r="E5551" i="2"/>
  <c r="D5551" i="2"/>
  <c r="C5551" i="2"/>
  <c r="B5551" i="2"/>
  <c r="A5551" i="2"/>
  <c r="U5550" i="2"/>
  <c r="N5550" i="2"/>
  <c r="M5550" i="2"/>
  <c r="J5550" i="2"/>
  <c r="I5550" i="2"/>
  <c r="H5550" i="2"/>
  <c r="G5550" i="2"/>
  <c r="F5550" i="2"/>
  <c r="E5550" i="2"/>
  <c r="D5550" i="2"/>
  <c r="C5550" i="2"/>
  <c r="B5550" i="2"/>
  <c r="A5550" i="2"/>
  <c r="U5549" i="2"/>
  <c r="N5549" i="2"/>
  <c r="M5549" i="2"/>
  <c r="J5549" i="2"/>
  <c r="I5549" i="2"/>
  <c r="H5549" i="2"/>
  <c r="G5549" i="2"/>
  <c r="F5549" i="2"/>
  <c r="E5549" i="2"/>
  <c r="D5549" i="2"/>
  <c r="C5549" i="2"/>
  <c r="B5549" i="2"/>
  <c r="A5549" i="2"/>
  <c r="U5548" i="2"/>
  <c r="N5548" i="2"/>
  <c r="M5548" i="2"/>
  <c r="J5548" i="2"/>
  <c r="I5548" i="2"/>
  <c r="H5548" i="2"/>
  <c r="G5548" i="2"/>
  <c r="F5548" i="2"/>
  <c r="E5548" i="2"/>
  <c r="D5548" i="2"/>
  <c r="C5548" i="2"/>
  <c r="B5548" i="2"/>
  <c r="A5548" i="2"/>
  <c r="U5547" i="2"/>
  <c r="N5547" i="2"/>
  <c r="M5547" i="2"/>
  <c r="J5547" i="2"/>
  <c r="I5547" i="2"/>
  <c r="H5547" i="2"/>
  <c r="G5547" i="2"/>
  <c r="F5547" i="2"/>
  <c r="E5547" i="2"/>
  <c r="D5547" i="2"/>
  <c r="C5547" i="2"/>
  <c r="B5547" i="2"/>
  <c r="A5547" i="2"/>
  <c r="U5546" i="2"/>
  <c r="N5546" i="2"/>
  <c r="M5546" i="2"/>
  <c r="J5546" i="2"/>
  <c r="I5546" i="2"/>
  <c r="H5546" i="2"/>
  <c r="G5546" i="2"/>
  <c r="F5546" i="2"/>
  <c r="E5546" i="2"/>
  <c r="D5546" i="2"/>
  <c r="C5546" i="2"/>
  <c r="B5546" i="2"/>
  <c r="A5546" i="2"/>
  <c r="U5545" i="2"/>
  <c r="N5545" i="2"/>
  <c r="M5545" i="2"/>
  <c r="J5545" i="2"/>
  <c r="I5545" i="2"/>
  <c r="H5545" i="2"/>
  <c r="G5545" i="2"/>
  <c r="F5545" i="2"/>
  <c r="E5545" i="2"/>
  <c r="D5545" i="2"/>
  <c r="C5545" i="2"/>
  <c r="B5545" i="2"/>
  <c r="A5545" i="2"/>
  <c r="U5544" i="2"/>
  <c r="N5544" i="2"/>
  <c r="M5544" i="2"/>
  <c r="J5544" i="2"/>
  <c r="I5544" i="2"/>
  <c r="H5544" i="2"/>
  <c r="G5544" i="2"/>
  <c r="F5544" i="2"/>
  <c r="E5544" i="2"/>
  <c r="D5544" i="2"/>
  <c r="C5544" i="2"/>
  <c r="B5544" i="2"/>
  <c r="A5544" i="2"/>
  <c r="U5543" i="2"/>
  <c r="N5543" i="2"/>
  <c r="M5543" i="2"/>
  <c r="J5543" i="2"/>
  <c r="I5543" i="2"/>
  <c r="H5543" i="2"/>
  <c r="G5543" i="2"/>
  <c r="F5543" i="2"/>
  <c r="E5543" i="2"/>
  <c r="D5543" i="2"/>
  <c r="C5543" i="2"/>
  <c r="B5543" i="2"/>
  <c r="A5543" i="2"/>
  <c r="U5542" i="2"/>
  <c r="N5542" i="2"/>
  <c r="M5542" i="2"/>
  <c r="J5542" i="2"/>
  <c r="I5542" i="2"/>
  <c r="H5542" i="2"/>
  <c r="G5542" i="2"/>
  <c r="F5542" i="2"/>
  <c r="E5542" i="2"/>
  <c r="D5542" i="2"/>
  <c r="C5542" i="2"/>
  <c r="B5542" i="2"/>
  <c r="A5542" i="2"/>
  <c r="U5541" i="2"/>
  <c r="N5541" i="2"/>
  <c r="M5541" i="2"/>
  <c r="J5541" i="2"/>
  <c r="I5541" i="2"/>
  <c r="H5541" i="2"/>
  <c r="G5541" i="2"/>
  <c r="F5541" i="2"/>
  <c r="E5541" i="2"/>
  <c r="D5541" i="2"/>
  <c r="C5541" i="2"/>
  <c r="B5541" i="2"/>
  <c r="A5541" i="2"/>
  <c r="U5540" i="2"/>
  <c r="N5540" i="2"/>
  <c r="M5540" i="2"/>
  <c r="J5540" i="2"/>
  <c r="I5540" i="2"/>
  <c r="H5540" i="2"/>
  <c r="G5540" i="2"/>
  <c r="F5540" i="2"/>
  <c r="E5540" i="2"/>
  <c r="D5540" i="2"/>
  <c r="C5540" i="2"/>
  <c r="B5540" i="2"/>
  <c r="A5540" i="2"/>
  <c r="U5539" i="2"/>
  <c r="N5539" i="2"/>
  <c r="M5539" i="2"/>
  <c r="J5539" i="2"/>
  <c r="I5539" i="2"/>
  <c r="H5539" i="2"/>
  <c r="G5539" i="2"/>
  <c r="F5539" i="2"/>
  <c r="E5539" i="2"/>
  <c r="D5539" i="2"/>
  <c r="C5539" i="2"/>
  <c r="B5539" i="2"/>
  <c r="A5539" i="2"/>
  <c r="U5538" i="2"/>
  <c r="N5538" i="2"/>
  <c r="M5538" i="2"/>
  <c r="J5538" i="2"/>
  <c r="I5538" i="2"/>
  <c r="H5538" i="2"/>
  <c r="G5538" i="2"/>
  <c r="F5538" i="2"/>
  <c r="E5538" i="2"/>
  <c r="D5538" i="2"/>
  <c r="C5538" i="2"/>
  <c r="B5538" i="2"/>
  <c r="A5538" i="2"/>
  <c r="U5537" i="2"/>
  <c r="N5537" i="2"/>
  <c r="M5537" i="2"/>
  <c r="J5537" i="2"/>
  <c r="I5537" i="2"/>
  <c r="H5537" i="2"/>
  <c r="G5537" i="2"/>
  <c r="F5537" i="2"/>
  <c r="E5537" i="2"/>
  <c r="D5537" i="2"/>
  <c r="C5537" i="2"/>
  <c r="B5537" i="2"/>
  <c r="A5537" i="2"/>
  <c r="U5536" i="2"/>
  <c r="N5536" i="2"/>
  <c r="M5536" i="2"/>
  <c r="J5536" i="2"/>
  <c r="I5536" i="2"/>
  <c r="H5536" i="2"/>
  <c r="G5536" i="2"/>
  <c r="F5536" i="2"/>
  <c r="E5536" i="2"/>
  <c r="D5536" i="2"/>
  <c r="C5536" i="2"/>
  <c r="B5536" i="2"/>
  <c r="A5536" i="2"/>
  <c r="U5535" i="2"/>
  <c r="N5535" i="2"/>
  <c r="M5535" i="2"/>
  <c r="J5535" i="2"/>
  <c r="I5535" i="2"/>
  <c r="H5535" i="2"/>
  <c r="G5535" i="2"/>
  <c r="F5535" i="2"/>
  <c r="E5535" i="2"/>
  <c r="D5535" i="2"/>
  <c r="C5535" i="2"/>
  <c r="B5535" i="2"/>
  <c r="A5535" i="2"/>
  <c r="U5534" i="2"/>
  <c r="N5534" i="2"/>
  <c r="M5534" i="2"/>
  <c r="J5534" i="2"/>
  <c r="I5534" i="2"/>
  <c r="H5534" i="2"/>
  <c r="G5534" i="2"/>
  <c r="F5534" i="2"/>
  <c r="E5534" i="2"/>
  <c r="D5534" i="2"/>
  <c r="C5534" i="2"/>
  <c r="B5534" i="2"/>
  <c r="A5534" i="2"/>
  <c r="U5533" i="2"/>
  <c r="N5533" i="2"/>
  <c r="M5533" i="2"/>
  <c r="J5533" i="2"/>
  <c r="I5533" i="2"/>
  <c r="H5533" i="2"/>
  <c r="G5533" i="2"/>
  <c r="F5533" i="2"/>
  <c r="E5533" i="2"/>
  <c r="D5533" i="2"/>
  <c r="C5533" i="2"/>
  <c r="B5533" i="2"/>
  <c r="A5533" i="2"/>
  <c r="U5532" i="2"/>
  <c r="N5532" i="2"/>
  <c r="M5532" i="2"/>
  <c r="J5532" i="2"/>
  <c r="I5532" i="2"/>
  <c r="H5532" i="2"/>
  <c r="G5532" i="2"/>
  <c r="F5532" i="2"/>
  <c r="E5532" i="2"/>
  <c r="D5532" i="2"/>
  <c r="C5532" i="2"/>
  <c r="B5532" i="2"/>
  <c r="A5532" i="2"/>
  <c r="U5531" i="2"/>
  <c r="N5531" i="2"/>
  <c r="M5531" i="2"/>
  <c r="J5531" i="2"/>
  <c r="I5531" i="2"/>
  <c r="H5531" i="2"/>
  <c r="G5531" i="2"/>
  <c r="F5531" i="2"/>
  <c r="E5531" i="2"/>
  <c r="D5531" i="2"/>
  <c r="C5531" i="2"/>
  <c r="B5531" i="2"/>
  <c r="A5531" i="2"/>
  <c r="U5530" i="2"/>
  <c r="N5530" i="2"/>
  <c r="M5530" i="2"/>
  <c r="J5530" i="2"/>
  <c r="I5530" i="2"/>
  <c r="H5530" i="2"/>
  <c r="G5530" i="2"/>
  <c r="F5530" i="2"/>
  <c r="E5530" i="2"/>
  <c r="D5530" i="2"/>
  <c r="C5530" i="2"/>
  <c r="B5530" i="2"/>
  <c r="A5530" i="2"/>
  <c r="U5529" i="2"/>
  <c r="N5529" i="2"/>
  <c r="M5529" i="2"/>
  <c r="J5529" i="2"/>
  <c r="I5529" i="2"/>
  <c r="H5529" i="2"/>
  <c r="G5529" i="2"/>
  <c r="F5529" i="2"/>
  <c r="E5529" i="2"/>
  <c r="D5529" i="2"/>
  <c r="C5529" i="2"/>
  <c r="B5529" i="2"/>
  <c r="A5529" i="2"/>
  <c r="U5528" i="2"/>
  <c r="N5528" i="2"/>
  <c r="M5528" i="2"/>
  <c r="J5528" i="2"/>
  <c r="I5528" i="2"/>
  <c r="H5528" i="2"/>
  <c r="G5528" i="2"/>
  <c r="F5528" i="2"/>
  <c r="E5528" i="2"/>
  <c r="D5528" i="2"/>
  <c r="C5528" i="2"/>
  <c r="B5528" i="2"/>
  <c r="A5528" i="2"/>
  <c r="U5527" i="2"/>
  <c r="N5527" i="2"/>
  <c r="M5527" i="2"/>
  <c r="J5527" i="2"/>
  <c r="I5527" i="2"/>
  <c r="H5527" i="2"/>
  <c r="G5527" i="2"/>
  <c r="F5527" i="2"/>
  <c r="E5527" i="2"/>
  <c r="D5527" i="2"/>
  <c r="C5527" i="2"/>
  <c r="B5527" i="2"/>
  <c r="A5527" i="2"/>
  <c r="U5526" i="2"/>
  <c r="N5526" i="2"/>
  <c r="M5526" i="2"/>
  <c r="J5526" i="2"/>
  <c r="I5526" i="2"/>
  <c r="H5526" i="2"/>
  <c r="G5526" i="2"/>
  <c r="F5526" i="2"/>
  <c r="E5526" i="2"/>
  <c r="D5526" i="2"/>
  <c r="C5526" i="2"/>
  <c r="B5526" i="2"/>
  <c r="A5526" i="2"/>
  <c r="U5525" i="2"/>
  <c r="N5525" i="2"/>
  <c r="M5525" i="2"/>
  <c r="J5525" i="2"/>
  <c r="I5525" i="2"/>
  <c r="H5525" i="2"/>
  <c r="G5525" i="2"/>
  <c r="F5525" i="2"/>
  <c r="E5525" i="2"/>
  <c r="D5525" i="2"/>
  <c r="C5525" i="2"/>
  <c r="B5525" i="2"/>
  <c r="A5525" i="2"/>
  <c r="U5524" i="2"/>
  <c r="N5524" i="2"/>
  <c r="M5524" i="2"/>
  <c r="J5524" i="2"/>
  <c r="I5524" i="2"/>
  <c r="H5524" i="2"/>
  <c r="G5524" i="2"/>
  <c r="F5524" i="2"/>
  <c r="E5524" i="2"/>
  <c r="D5524" i="2"/>
  <c r="C5524" i="2"/>
  <c r="B5524" i="2"/>
  <c r="A5524" i="2"/>
  <c r="U5523" i="2"/>
  <c r="N5523" i="2"/>
  <c r="M5523" i="2"/>
  <c r="J5523" i="2"/>
  <c r="I5523" i="2"/>
  <c r="H5523" i="2"/>
  <c r="G5523" i="2"/>
  <c r="F5523" i="2"/>
  <c r="E5523" i="2"/>
  <c r="D5523" i="2"/>
  <c r="C5523" i="2"/>
  <c r="B5523" i="2"/>
  <c r="A5523" i="2"/>
  <c r="U5522" i="2"/>
  <c r="N5522" i="2"/>
  <c r="M5522" i="2"/>
  <c r="J5522" i="2"/>
  <c r="I5522" i="2"/>
  <c r="H5522" i="2"/>
  <c r="G5522" i="2"/>
  <c r="F5522" i="2"/>
  <c r="E5522" i="2"/>
  <c r="D5522" i="2"/>
  <c r="C5522" i="2"/>
  <c r="B5522" i="2"/>
  <c r="A5522" i="2"/>
  <c r="U5521" i="2"/>
  <c r="N5521" i="2"/>
  <c r="M5521" i="2"/>
  <c r="J5521" i="2"/>
  <c r="I5521" i="2"/>
  <c r="H5521" i="2"/>
  <c r="G5521" i="2"/>
  <c r="F5521" i="2"/>
  <c r="E5521" i="2"/>
  <c r="D5521" i="2"/>
  <c r="C5521" i="2"/>
  <c r="B5521" i="2"/>
  <c r="A5521" i="2"/>
  <c r="Q5520" i="2"/>
  <c r="U5520" i="2" s="1"/>
  <c r="N5520" i="2"/>
  <c r="M5520" i="2"/>
  <c r="J5520" i="2"/>
  <c r="I5520" i="2"/>
  <c r="H5520" i="2"/>
  <c r="G5520" i="2"/>
  <c r="F5520" i="2"/>
  <c r="E5520" i="2"/>
  <c r="D5520" i="2"/>
  <c r="C5520" i="2"/>
  <c r="B5520" i="2"/>
  <c r="A5520" i="2"/>
  <c r="U5519" i="2"/>
  <c r="N5519" i="2"/>
  <c r="M5519" i="2"/>
  <c r="J5519" i="2"/>
  <c r="I5519" i="2"/>
  <c r="H5519" i="2"/>
  <c r="G5519" i="2"/>
  <c r="F5519" i="2"/>
  <c r="E5519" i="2"/>
  <c r="D5519" i="2"/>
  <c r="C5519" i="2"/>
  <c r="B5519" i="2"/>
  <c r="A5519" i="2"/>
  <c r="U5518" i="2"/>
  <c r="N5518" i="2"/>
  <c r="M5518" i="2"/>
  <c r="J5518" i="2"/>
  <c r="I5518" i="2"/>
  <c r="H5518" i="2"/>
  <c r="G5518" i="2"/>
  <c r="F5518" i="2"/>
  <c r="E5518" i="2"/>
  <c r="D5518" i="2"/>
  <c r="C5518" i="2"/>
  <c r="B5518" i="2"/>
  <c r="A5518" i="2"/>
  <c r="U5517" i="2"/>
  <c r="N5517" i="2"/>
  <c r="M5517" i="2"/>
  <c r="J5517" i="2"/>
  <c r="I5517" i="2"/>
  <c r="H5517" i="2"/>
  <c r="G5517" i="2"/>
  <c r="F5517" i="2"/>
  <c r="E5517" i="2"/>
  <c r="D5517" i="2"/>
  <c r="C5517" i="2"/>
  <c r="B5517" i="2"/>
  <c r="A5517" i="2"/>
  <c r="U5516" i="2"/>
  <c r="N5516" i="2"/>
  <c r="M5516" i="2"/>
  <c r="J5516" i="2"/>
  <c r="I5516" i="2"/>
  <c r="H5516" i="2"/>
  <c r="G5516" i="2"/>
  <c r="F5516" i="2"/>
  <c r="E5516" i="2"/>
  <c r="D5516" i="2"/>
  <c r="C5516" i="2"/>
  <c r="B5516" i="2"/>
  <c r="A5516" i="2"/>
  <c r="U5515" i="2"/>
  <c r="N5515" i="2"/>
  <c r="M5515" i="2"/>
  <c r="J5515" i="2"/>
  <c r="I5515" i="2"/>
  <c r="H5515" i="2"/>
  <c r="G5515" i="2"/>
  <c r="F5515" i="2"/>
  <c r="E5515" i="2"/>
  <c r="D5515" i="2"/>
  <c r="C5515" i="2"/>
  <c r="B5515" i="2"/>
  <c r="A5515" i="2"/>
  <c r="Q5514" i="2"/>
  <c r="U5514" i="2" s="1"/>
  <c r="N5514" i="2"/>
  <c r="M5514" i="2"/>
  <c r="J5514" i="2"/>
  <c r="I5514" i="2"/>
  <c r="H5514" i="2"/>
  <c r="G5514" i="2"/>
  <c r="F5514" i="2"/>
  <c r="E5514" i="2"/>
  <c r="D5514" i="2"/>
  <c r="C5514" i="2"/>
  <c r="B5514" i="2"/>
  <c r="A5514" i="2"/>
  <c r="U5513" i="2"/>
  <c r="N5513" i="2"/>
  <c r="M5513" i="2"/>
  <c r="J5513" i="2"/>
  <c r="I5513" i="2"/>
  <c r="H5513" i="2"/>
  <c r="G5513" i="2"/>
  <c r="F5513" i="2"/>
  <c r="E5513" i="2"/>
  <c r="D5513" i="2"/>
  <c r="C5513" i="2"/>
  <c r="B5513" i="2"/>
  <c r="A5513" i="2"/>
  <c r="U5512" i="2"/>
  <c r="N5512" i="2"/>
  <c r="M5512" i="2"/>
  <c r="J5512" i="2"/>
  <c r="I5512" i="2"/>
  <c r="H5512" i="2"/>
  <c r="G5512" i="2"/>
  <c r="F5512" i="2"/>
  <c r="E5512" i="2"/>
  <c r="D5512" i="2"/>
  <c r="C5512" i="2"/>
  <c r="B5512" i="2"/>
  <c r="A5512" i="2"/>
  <c r="U5511" i="2"/>
  <c r="N5511" i="2"/>
  <c r="M5511" i="2"/>
  <c r="J5511" i="2"/>
  <c r="I5511" i="2"/>
  <c r="H5511" i="2"/>
  <c r="G5511" i="2"/>
  <c r="F5511" i="2"/>
  <c r="E5511" i="2"/>
  <c r="D5511" i="2"/>
  <c r="C5511" i="2"/>
  <c r="B5511" i="2"/>
  <c r="A5511" i="2"/>
  <c r="U5510" i="2"/>
  <c r="N5510" i="2"/>
  <c r="M5510" i="2"/>
  <c r="J5510" i="2"/>
  <c r="I5510" i="2"/>
  <c r="H5510" i="2"/>
  <c r="G5510" i="2"/>
  <c r="F5510" i="2"/>
  <c r="E5510" i="2"/>
  <c r="D5510" i="2"/>
  <c r="C5510" i="2"/>
  <c r="B5510" i="2"/>
  <c r="A5510" i="2"/>
  <c r="U5509" i="2"/>
  <c r="N5509" i="2"/>
  <c r="M5509" i="2"/>
  <c r="J5509" i="2"/>
  <c r="I5509" i="2"/>
  <c r="H5509" i="2"/>
  <c r="G5509" i="2"/>
  <c r="F5509" i="2"/>
  <c r="E5509" i="2"/>
  <c r="D5509" i="2"/>
  <c r="C5509" i="2"/>
  <c r="B5509" i="2"/>
  <c r="A5509" i="2"/>
  <c r="U5508" i="2"/>
  <c r="N5508" i="2"/>
  <c r="M5508" i="2"/>
  <c r="J5508" i="2"/>
  <c r="I5508" i="2"/>
  <c r="H5508" i="2"/>
  <c r="G5508" i="2"/>
  <c r="F5508" i="2"/>
  <c r="E5508" i="2"/>
  <c r="D5508" i="2"/>
  <c r="C5508" i="2"/>
  <c r="B5508" i="2"/>
  <c r="A5508" i="2"/>
  <c r="U5507" i="2"/>
  <c r="N5507" i="2"/>
  <c r="M5507" i="2"/>
  <c r="J5507" i="2"/>
  <c r="I5507" i="2"/>
  <c r="H5507" i="2"/>
  <c r="G5507" i="2"/>
  <c r="F5507" i="2"/>
  <c r="E5507" i="2"/>
  <c r="D5507" i="2"/>
  <c r="C5507" i="2"/>
  <c r="B5507" i="2"/>
  <c r="A5507" i="2"/>
  <c r="U5506" i="2"/>
  <c r="N5506" i="2"/>
  <c r="M5506" i="2"/>
  <c r="J5506" i="2"/>
  <c r="I5506" i="2"/>
  <c r="H5506" i="2"/>
  <c r="G5506" i="2"/>
  <c r="F5506" i="2"/>
  <c r="E5506" i="2"/>
  <c r="D5506" i="2"/>
  <c r="C5506" i="2"/>
  <c r="B5506" i="2"/>
  <c r="A5506" i="2"/>
  <c r="U5505" i="2"/>
  <c r="N5505" i="2"/>
  <c r="M5505" i="2"/>
  <c r="J5505" i="2"/>
  <c r="I5505" i="2"/>
  <c r="H5505" i="2"/>
  <c r="G5505" i="2"/>
  <c r="F5505" i="2"/>
  <c r="E5505" i="2"/>
  <c r="D5505" i="2"/>
  <c r="C5505" i="2"/>
  <c r="B5505" i="2"/>
  <c r="A5505" i="2"/>
  <c r="U5504" i="2"/>
  <c r="N5504" i="2"/>
  <c r="M5504" i="2"/>
  <c r="J5504" i="2"/>
  <c r="I5504" i="2"/>
  <c r="H5504" i="2"/>
  <c r="G5504" i="2"/>
  <c r="F5504" i="2"/>
  <c r="E5504" i="2"/>
  <c r="D5504" i="2"/>
  <c r="C5504" i="2"/>
  <c r="B5504" i="2"/>
  <c r="A5504" i="2"/>
  <c r="U5503" i="2"/>
  <c r="N5503" i="2"/>
  <c r="M5503" i="2"/>
  <c r="J5503" i="2"/>
  <c r="I5503" i="2"/>
  <c r="H5503" i="2"/>
  <c r="G5503" i="2"/>
  <c r="F5503" i="2"/>
  <c r="E5503" i="2"/>
  <c r="D5503" i="2"/>
  <c r="C5503" i="2"/>
  <c r="B5503" i="2"/>
  <c r="A5503" i="2"/>
  <c r="U5502" i="2"/>
  <c r="N5502" i="2"/>
  <c r="M5502" i="2"/>
  <c r="J5502" i="2"/>
  <c r="I5502" i="2"/>
  <c r="H5502" i="2"/>
  <c r="G5502" i="2"/>
  <c r="F5502" i="2"/>
  <c r="E5502" i="2"/>
  <c r="D5502" i="2"/>
  <c r="C5502" i="2"/>
  <c r="B5502" i="2"/>
  <c r="A5502" i="2"/>
  <c r="U5501" i="2"/>
  <c r="N5501" i="2"/>
  <c r="M5501" i="2"/>
  <c r="J5501" i="2"/>
  <c r="I5501" i="2"/>
  <c r="H5501" i="2"/>
  <c r="G5501" i="2"/>
  <c r="F5501" i="2"/>
  <c r="E5501" i="2"/>
  <c r="D5501" i="2"/>
  <c r="C5501" i="2"/>
  <c r="B5501" i="2"/>
  <c r="A5501" i="2"/>
  <c r="U5500" i="2"/>
  <c r="N5500" i="2"/>
  <c r="M5500" i="2"/>
  <c r="J5500" i="2"/>
  <c r="I5500" i="2"/>
  <c r="H5500" i="2"/>
  <c r="G5500" i="2"/>
  <c r="F5500" i="2"/>
  <c r="E5500" i="2"/>
  <c r="D5500" i="2"/>
  <c r="C5500" i="2"/>
  <c r="B5500" i="2"/>
  <c r="A5500" i="2"/>
  <c r="U5499" i="2"/>
  <c r="N5499" i="2"/>
  <c r="M5499" i="2"/>
  <c r="J5499" i="2"/>
  <c r="I5499" i="2"/>
  <c r="H5499" i="2"/>
  <c r="G5499" i="2"/>
  <c r="F5499" i="2"/>
  <c r="E5499" i="2"/>
  <c r="D5499" i="2"/>
  <c r="C5499" i="2"/>
  <c r="B5499" i="2"/>
  <c r="A5499" i="2"/>
  <c r="Q5498" i="2"/>
  <c r="U5498" i="2" s="1"/>
  <c r="N5498" i="2"/>
  <c r="M5498" i="2"/>
  <c r="J5498" i="2"/>
  <c r="I5498" i="2"/>
  <c r="H5498" i="2"/>
  <c r="G5498" i="2"/>
  <c r="F5498" i="2"/>
  <c r="E5498" i="2"/>
  <c r="D5498" i="2"/>
  <c r="C5498" i="2"/>
  <c r="B5498" i="2"/>
  <c r="A5498" i="2"/>
  <c r="U5497" i="2"/>
  <c r="N5497" i="2"/>
  <c r="M5497" i="2"/>
  <c r="J5497" i="2"/>
  <c r="I5497" i="2"/>
  <c r="H5497" i="2"/>
  <c r="G5497" i="2"/>
  <c r="F5497" i="2"/>
  <c r="E5497" i="2"/>
  <c r="D5497" i="2"/>
  <c r="C5497" i="2"/>
  <c r="B5497" i="2"/>
  <c r="A5497" i="2"/>
  <c r="U5496" i="2"/>
  <c r="N5496" i="2"/>
  <c r="M5496" i="2"/>
  <c r="J5496" i="2"/>
  <c r="I5496" i="2"/>
  <c r="H5496" i="2"/>
  <c r="G5496" i="2"/>
  <c r="F5496" i="2"/>
  <c r="E5496" i="2"/>
  <c r="D5496" i="2"/>
  <c r="C5496" i="2"/>
  <c r="B5496" i="2"/>
  <c r="A5496" i="2"/>
  <c r="U5495" i="2"/>
  <c r="N5495" i="2"/>
  <c r="M5495" i="2"/>
  <c r="J5495" i="2"/>
  <c r="I5495" i="2"/>
  <c r="H5495" i="2"/>
  <c r="G5495" i="2"/>
  <c r="F5495" i="2"/>
  <c r="E5495" i="2"/>
  <c r="D5495" i="2"/>
  <c r="C5495" i="2"/>
  <c r="B5495" i="2"/>
  <c r="A5495" i="2"/>
  <c r="U5494" i="2"/>
  <c r="N5494" i="2"/>
  <c r="M5494" i="2"/>
  <c r="J5494" i="2"/>
  <c r="I5494" i="2"/>
  <c r="H5494" i="2"/>
  <c r="G5494" i="2"/>
  <c r="F5494" i="2"/>
  <c r="E5494" i="2"/>
  <c r="D5494" i="2"/>
  <c r="C5494" i="2"/>
  <c r="B5494" i="2"/>
  <c r="A5494" i="2"/>
  <c r="Q5493" i="2"/>
  <c r="U5493" i="2" s="1"/>
  <c r="N5493" i="2"/>
  <c r="M5493" i="2"/>
  <c r="J5493" i="2"/>
  <c r="I5493" i="2"/>
  <c r="H5493" i="2"/>
  <c r="G5493" i="2"/>
  <c r="F5493" i="2"/>
  <c r="E5493" i="2"/>
  <c r="D5493" i="2"/>
  <c r="C5493" i="2"/>
  <c r="B5493" i="2"/>
  <c r="A5493" i="2"/>
  <c r="U5492" i="2"/>
  <c r="N5492" i="2"/>
  <c r="M5492" i="2"/>
  <c r="J5492" i="2"/>
  <c r="I5492" i="2"/>
  <c r="H5492" i="2"/>
  <c r="G5492" i="2"/>
  <c r="F5492" i="2"/>
  <c r="E5492" i="2"/>
  <c r="D5492" i="2"/>
  <c r="C5492" i="2"/>
  <c r="B5492" i="2"/>
  <c r="A5492" i="2"/>
  <c r="U5491" i="2"/>
  <c r="N5491" i="2"/>
  <c r="M5491" i="2"/>
  <c r="J5491" i="2"/>
  <c r="I5491" i="2"/>
  <c r="H5491" i="2"/>
  <c r="G5491" i="2"/>
  <c r="F5491" i="2"/>
  <c r="E5491" i="2"/>
  <c r="D5491" i="2"/>
  <c r="C5491" i="2"/>
  <c r="B5491" i="2"/>
  <c r="A5491" i="2"/>
  <c r="U5490" i="2"/>
  <c r="N5490" i="2"/>
  <c r="M5490" i="2"/>
  <c r="J5490" i="2"/>
  <c r="I5490" i="2"/>
  <c r="H5490" i="2"/>
  <c r="G5490" i="2"/>
  <c r="F5490" i="2"/>
  <c r="E5490" i="2"/>
  <c r="D5490" i="2"/>
  <c r="C5490" i="2"/>
  <c r="B5490" i="2"/>
  <c r="A5490" i="2"/>
  <c r="U5489" i="2"/>
  <c r="N5489" i="2"/>
  <c r="M5489" i="2"/>
  <c r="J5489" i="2"/>
  <c r="I5489" i="2"/>
  <c r="H5489" i="2"/>
  <c r="G5489" i="2"/>
  <c r="F5489" i="2"/>
  <c r="E5489" i="2"/>
  <c r="D5489" i="2"/>
  <c r="C5489" i="2"/>
  <c r="B5489" i="2"/>
  <c r="A5489" i="2"/>
  <c r="U5488" i="2"/>
  <c r="N5488" i="2"/>
  <c r="M5488" i="2"/>
  <c r="J5488" i="2"/>
  <c r="I5488" i="2"/>
  <c r="H5488" i="2"/>
  <c r="G5488" i="2"/>
  <c r="F5488" i="2"/>
  <c r="E5488" i="2"/>
  <c r="D5488" i="2"/>
  <c r="C5488" i="2"/>
  <c r="B5488" i="2"/>
  <c r="A5488" i="2"/>
  <c r="U5487" i="2"/>
  <c r="N5487" i="2"/>
  <c r="M5487" i="2"/>
  <c r="J5487" i="2"/>
  <c r="I5487" i="2"/>
  <c r="H5487" i="2"/>
  <c r="G5487" i="2"/>
  <c r="F5487" i="2"/>
  <c r="E5487" i="2"/>
  <c r="D5487" i="2"/>
  <c r="C5487" i="2"/>
  <c r="B5487" i="2"/>
  <c r="A5487" i="2"/>
  <c r="U5486" i="2"/>
  <c r="N5486" i="2"/>
  <c r="M5486" i="2"/>
  <c r="J5486" i="2"/>
  <c r="I5486" i="2"/>
  <c r="H5486" i="2"/>
  <c r="G5486" i="2"/>
  <c r="F5486" i="2"/>
  <c r="E5486" i="2"/>
  <c r="D5486" i="2"/>
  <c r="C5486" i="2"/>
  <c r="B5486" i="2"/>
  <c r="A5486" i="2"/>
  <c r="U5485" i="2"/>
  <c r="N5485" i="2"/>
  <c r="M5485" i="2"/>
  <c r="J5485" i="2"/>
  <c r="I5485" i="2"/>
  <c r="H5485" i="2"/>
  <c r="G5485" i="2"/>
  <c r="F5485" i="2"/>
  <c r="E5485" i="2"/>
  <c r="D5485" i="2"/>
  <c r="C5485" i="2"/>
  <c r="B5485" i="2"/>
  <c r="A5485" i="2"/>
  <c r="U5484" i="2"/>
  <c r="N5484" i="2"/>
  <c r="M5484" i="2"/>
  <c r="J5484" i="2"/>
  <c r="I5484" i="2"/>
  <c r="H5484" i="2"/>
  <c r="G5484" i="2"/>
  <c r="F5484" i="2"/>
  <c r="E5484" i="2"/>
  <c r="D5484" i="2"/>
  <c r="C5484" i="2"/>
  <c r="B5484" i="2"/>
  <c r="A5484" i="2"/>
  <c r="Q5483" i="2"/>
  <c r="U5483" i="2" s="1"/>
  <c r="N5483" i="2"/>
  <c r="M5483" i="2"/>
  <c r="J5483" i="2"/>
  <c r="I5483" i="2"/>
  <c r="H5483" i="2"/>
  <c r="G5483" i="2"/>
  <c r="F5483" i="2"/>
  <c r="E5483" i="2"/>
  <c r="D5483" i="2"/>
  <c r="C5483" i="2"/>
  <c r="B5483" i="2"/>
  <c r="A5483" i="2"/>
  <c r="U5482" i="2"/>
  <c r="N5482" i="2"/>
  <c r="M5482" i="2"/>
  <c r="J5482" i="2"/>
  <c r="I5482" i="2"/>
  <c r="H5482" i="2"/>
  <c r="G5482" i="2"/>
  <c r="F5482" i="2"/>
  <c r="E5482" i="2"/>
  <c r="D5482" i="2"/>
  <c r="C5482" i="2"/>
  <c r="B5482" i="2"/>
  <c r="A5482" i="2"/>
  <c r="Q5481" i="2"/>
  <c r="U5481" i="2" s="1"/>
  <c r="N5481" i="2"/>
  <c r="M5481" i="2"/>
  <c r="J5481" i="2"/>
  <c r="I5481" i="2"/>
  <c r="H5481" i="2"/>
  <c r="G5481" i="2"/>
  <c r="F5481" i="2"/>
  <c r="E5481" i="2"/>
  <c r="D5481" i="2"/>
  <c r="C5481" i="2"/>
  <c r="B5481" i="2"/>
  <c r="A5481" i="2"/>
  <c r="U5480" i="2"/>
  <c r="N5480" i="2"/>
  <c r="M5480" i="2"/>
  <c r="J5480" i="2"/>
  <c r="I5480" i="2"/>
  <c r="H5480" i="2"/>
  <c r="G5480" i="2"/>
  <c r="F5480" i="2"/>
  <c r="E5480" i="2"/>
  <c r="D5480" i="2"/>
  <c r="C5480" i="2"/>
  <c r="B5480" i="2"/>
  <c r="A5480" i="2"/>
  <c r="U5479" i="2"/>
  <c r="N5479" i="2"/>
  <c r="M5479" i="2"/>
  <c r="J5479" i="2"/>
  <c r="I5479" i="2"/>
  <c r="H5479" i="2"/>
  <c r="G5479" i="2"/>
  <c r="F5479" i="2"/>
  <c r="E5479" i="2"/>
  <c r="D5479" i="2"/>
  <c r="C5479" i="2"/>
  <c r="B5479" i="2"/>
  <c r="A5479" i="2"/>
  <c r="Q5478" i="2"/>
  <c r="U5478" i="2" s="1"/>
  <c r="N5478" i="2"/>
  <c r="M5478" i="2"/>
  <c r="J5478" i="2"/>
  <c r="I5478" i="2"/>
  <c r="H5478" i="2"/>
  <c r="G5478" i="2"/>
  <c r="F5478" i="2"/>
  <c r="E5478" i="2"/>
  <c r="D5478" i="2"/>
  <c r="C5478" i="2"/>
  <c r="B5478" i="2"/>
  <c r="A5478" i="2"/>
  <c r="U5477" i="2"/>
  <c r="N5477" i="2"/>
  <c r="M5477" i="2"/>
  <c r="J5477" i="2"/>
  <c r="I5477" i="2"/>
  <c r="H5477" i="2"/>
  <c r="G5477" i="2"/>
  <c r="F5477" i="2"/>
  <c r="E5477" i="2"/>
  <c r="D5477" i="2"/>
  <c r="C5477" i="2"/>
  <c r="B5477" i="2"/>
  <c r="A5477" i="2"/>
  <c r="Q5476" i="2"/>
  <c r="U5476" i="2" s="1"/>
  <c r="N5476" i="2"/>
  <c r="M5476" i="2"/>
  <c r="J5476" i="2"/>
  <c r="I5476" i="2"/>
  <c r="H5476" i="2"/>
  <c r="G5476" i="2"/>
  <c r="F5476" i="2"/>
  <c r="E5476" i="2"/>
  <c r="D5476" i="2"/>
  <c r="C5476" i="2"/>
  <c r="B5476" i="2"/>
  <c r="A5476" i="2"/>
  <c r="U5475" i="2"/>
  <c r="N5475" i="2"/>
  <c r="M5475" i="2"/>
  <c r="J5475" i="2"/>
  <c r="I5475" i="2"/>
  <c r="H5475" i="2"/>
  <c r="G5475" i="2"/>
  <c r="F5475" i="2"/>
  <c r="E5475" i="2"/>
  <c r="D5475" i="2"/>
  <c r="C5475" i="2"/>
  <c r="B5475" i="2"/>
  <c r="A5475" i="2"/>
  <c r="U5474" i="2"/>
  <c r="N5474" i="2"/>
  <c r="M5474" i="2"/>
  <c r="J5474" i="2"/>
  <c r="I5474" i="2"/>
  <c r="H5474" i="2"/>
  <c r="G5474" i="2"/>
  <c r="F5474" i="2"/>
  <c r="E5474" i="2"/>
  <c r="D5474" i="2"/>
  <c r="C5474" i="2"/>
  <c r="B5474" i="2"/>
  <c r="A5474" i="2"/>
  <c r="Q5473" i="2"/>
  <c r="U5473" i="2" s="1"/>
  <c r="N5473" i="2"/>
  <c r="M5473" i="2"/>
  <c r="J5473" i="2"/>
  <c r="I5473" i="2"/>
  <c r="H5473" i="2"/>
  <c r="G5473" i="2"/>
  <c r="F5473" i="2"/>
  <c r="E5473" i="2"/>
  <c r="D5473" i="2"/>
  <c r="C5473" i="2"/>
  <c r="B5473" i="2"/>
  <c r="A5473" i="2"/>
  <c r="U5472" i="2"/>
  <c r="N5472" i="2"/>
  <c r="M5472" i="2"/>
  <c r="J5472" i="2"/>
  <c r="I5472" i="2"/>
  <c r="H5472" i="2"/>
  <c r="G5472" i="2"/>
  <c r="F5472" i="2"/>
  <c r="E5472" i="2"/>
  <c r="D5472" i="2"/>
  <c r="C5472" i="2"/>
  <c r="B5472" i="2"/>
  <c r="A5472" i="2"/>
  <c r="U5471" i="2"/>
  <c r="N5471" i="2"/>
  <c r="M5471" i="2"/>
  <c r="J5471" i="2"/>
  <c r="I5471" i="2"/>
  <c r="H5471" i="2"/>
  <c r="G5471" i="2"/>
  <c r="F5471" i="2"/>
  <c r="E5471" i="2"/>
  <c r="D5471" i="2"/>
  <c r="C5471" i="2"/>
  <c r="B5471" i="2"/>
  <c r="A5471" i="2"/>
  <c r="U5470" i="2"/>
  <c r="N5470" i="2"/>
  <c r="M5470" i="2"/>
  <c r="J5470" i="2"/>
  <c r="I5470" i="2"/>
  <c r="H5470" i="2"/>
  <c r="G5470" i="2"/>
  <c r="F5470" i="2"/>
  <c r="E5470" i="2"/>
  <c r="D5470" i="2"/>
  <c r="C5470" i="2"/>
  <c r="B5470" i="2"/>
  <c r="A5470" i="2"/>
  <c r="U5469" i="2"/>
  <c r="N5469" i="2"/>
  <c r="M5469" i="2"/>
  <c r="J5469" i="2"/>
  <c r="I5469" i="2"/>
  <c r="H5469" i="2"/>
  <c r="G5469" i="2"/>
  <c r="F5469" i="2"/>
  <c r="E5469" i="2"/>
  <c r="D5469" i="2"/>
  <c r="C5469" i="2"/>
  <c r="B5469" i="2"/>
  <c r="A5469" i="2"/>
  <c r="U5468" i="2"/>
  <c r="N5468" i="2"/>
  <c r="M5468" i="2"/>
  <c r="J5468" i="2"/>
  <c r="I5468" i="2"/>
  <c r="H5468" i="2"/>
  <c r="G5468" i="2"/>
  <c r="F5468" i="2"/>
  <c r="E5468" i="2"/>
  <c r="D5468" i="2"/>
  <c r="C5468" i="2"/>
  <c r="B5468" i="2"/>
  <c r="A5468" i="2"/>
  <c r="U5467" i="2"/>
  <c r="N5467" i="2"/>
  <c r="M5467" i="2"/>
  <c r="J5467" i="2"/>
  <c r="I5467" i="2"/>
  <c r="H5467" i="2"/>
  <c r="G5467" i="2"/>
  <c r="F5467" i="2"/>
  <c r="E5467" i="2"/>
  <c r="D5467" i="2"/>
  <c r="C5467" i="2"/>
  <c r="B5467" i="2"/>
  <c r="A5467" i="2"/>
  <c r="Q5466" i="2"/>
  <c r="U5466" i="2" s="1"/>
  <c r="N5466" i="2"/>
  <c r="M5466" i="2"/>
  <c r="J5466" i="2"/>
  <c r="I5466" i="2"/>
  <c r="H5466" i="2"/>
  <c r="G5466" i="2"/>
  <c r="F5466" i="2"/>
  <c r="E5466" i="2"/>
  <c r="D5466" i="2"/>
  <c r="C5466" i="2"/>
  <c r="B5466" i="2"/>
  <c r="A5466" i="2"/>
  <c r="Q5465" i="2"/>
  <c r="U5465" i="2" s="1"/>
  <c r="N5465" i="2"/>
  <c r="M5465" i="2"/>
  <c r="J5465" i="2"/>
  <c r="I5465" i="2"/>
  <c r="H5465" i="2"/>
  <c r="G5465" i="2"/>
  <c r="F5465" i="2"/>
  <c r="E5465" i="2"/>
  <c r="D5465" i="2"/>
  <c r="C5465" i="2"/>
  <c r="B5465" i="2"/>
  <c r="A5465" i="2"/>
  <c r="U5464" i="2"/>
  <c r="N5464" i="2"/>
  <c r="M5464" i="2"/>
  <c r="J5464" i="2"/>
  <c r="I5464" i="2"/>
  <c r="H5464" i="2"/>
  <c r="G5464" i="2"/>
  <c r="F5464" i="2"/>
  <c r="E5464" i="2"/>
  <c r="D5464" i="2"/>
  <c r="C5464" i="2"/>
  <c r="B5464" i="2"/>
  <c r="A5464" i="2"/>
  <c r="Q5463" i="2"/>
  <c r="U5463" i="2" s="1"/>
  <c r="N5463" i="2"/>
  <c r="M5463" i="2"/>
  <c r="J5463" i="2"/>
  <c r="I5463" i="2"/>
  <c r="H5463" i="2"/>
  <c r="G5463" i="2"/>
  <c r="F5463" i="2"/>
  <c r="E5463" i="2"/>
  <c r="D5463" i="2"/>
  <c r="C5463" i="2"/>
  <c r="B5463" i="2"/>
  <c r="A5463" i="2"/>
  <c r="U5462" i="2"/>
  <c r="N5462" i="2"/>
  <c r="M5462" i="2"/>
  <c r="J5462" i="2"/>
  <c r="I5462" i="2"/>
  <c r="H5462" i="2"/>
  <c r="G5462" i="2"/>
  <c r="F5462" i="2"/>
  <c r="E5462" i="2"/>
  <c r="D5462" i="2"/>
  <c r="C5462" i="2"/>
  <c r="B5462" i="2"/>
  <c r="A5462" i="2"/>
  <c r="Q5461" i="2"/>
  <c r="U5461" i="2" s="1"/>
  <c r="N5461" i="2"/>
  <c r="M5461" i="2"/>
  <c r="J5461" i="2"/>
  <c r="I5461" i="2"/>
  <c r="H5461" i="2"/>
  <c r="G5461" i="2"/>
  <c r="F5461" i="2"/>
  <c r="E5461" i="2"/>
  <c r="D5461" i="2"/>
  <c r="C5461" i="2"/>
  <c r="B5461" i="2"/>
  <c r="A5461" i="2"/>
  <c r="U5460" i="2"/>
  <c r="N5460" i="2"/>
  <c r="M5460" i="2"/>
  <c r="J5460" i="2"/>
  <c r="I5460" i="2"/>
  <c r="H5460" i="2"/>
  <c r="G5460" i="2"/>
  <c r="F5460" i="2"/>
  <c r="E5460" i="2"/>
  <c r="D5460" i="2"/>
  <c r="C5460" i="2"/>
  <c r="B5460" i="2"/>
  <c r="A5460" i="2"/>
  <c r="U5459" i="2"/>
  <c r="N5459" i="2"/>
  <c r="M5459" i="2"/>
  <c r="J5459" i="2"/>
  <c r="I5459" i="2"/>
  <c r="H5459" i="2"/>
  <c r="G5459" i="2"/>
  <c r="F5459" i="2"/>
  <c r="E5459" i="2"/>
  <c r="D5459" i="2"/>
  <c r="C5459" i="2"/>
  <c r="B5459" i="2"/>
  <c r="A5459" i="2"/>
  <c r="Q5458" i="2"/>
  <c r="U5458" i="2" s="1"/>
  <c r="N5458" i="2"/>
  <c r="M5458" i="2"/>
  <c r="J5458" i="2"/>
  <c r="I5458" i="2"/>
  <c r="H5458" i="2"/>
  <c r="G5458" i="2"/>
  <c r="F5458" i="2"/>
  <c r="E5458" i="2"/>
  <c r="D5458" i="2"/>
  <c r="C5458" i="2"/>
  <c r="B5458" i="2"/>
  <c r="A5458" i="2"/>
  <c r="Q5457" i="2"/>
  <c r="U5457" i="2" s="1"/>
  <c r="N5457" i="2"/>
  <c r="M5457" i="2"/>
  <c r="J5457" i="2"/>
  <c r="I5457" i="2"/>
  <c r="H5457" i="2"/>
  <c r="G5457" i="2"/>
  <c r="F5457" i="2"/>
  <c r="E5457" i="2"/>
  <c r="D5457" i="2"/>
  <c r="C5457" i="2"/>
  <c r="B5457" i="2"/>
  <c r="A5457" i="2"/>
  <c r="U5456" i="2"/>
  <c r="N5456" i="2"/>
  <c r="M5456" i="2"/>
  <c r="J5456" i="2"/>
  <c r="I5456" i="2"/>
  <c r="H5456" i="2"/>
  <c r="G5456" i="2"/>
  <c r="F5456" i="2"/>
  <c r="E5456" i="2"/>
  <c r="D5456" i="2"/>
  <c r="C5456" i="2"/>
  <c r="B5456" i="2"/>
  <c r="A5456" i="2"/>
  <c r="U5455" i="2"/>
  <c r="N5455" i="2"/>
  <c r="M5455" i="2"/>
  <c r="J5455" i="2"/>
  <c r="I5455" i="2"/>
  <c r="H5455" i="2"/>
  <c r="G5455" i="2"/>
  <c r="F5455" i="2"/>
  <c r="E5455" i="2"/>
  <c r="D5455" i="2"/>
  <c r="C5455" i="2"/>
  <c r="B5455" i="2"/>
  <c r="A5455" i="2"/>
  <c r="U5454" i="2"/>
  <c r="N5454" i="2"/>
  <c r="M5454" i="2"/>
  <c r="J5454" i="2"/>
  <c r="I5454" i="2"/>
  <c r="H5454" i="2"/>
  <c r="G5454" i="2"/>
  <c r="F5454" i="2"/>
  <c r="E5454" i="2"/>
  <c r="D5454" i="2"/>
  <c r="C5454" i="2"/>
  <c r="B5454" i="2"/>
  <c r="A5454" i="2"/>
  <c r="U5453" i="2"/>
  <c r="N5453" i="2"/>
  <c r="M5453" i="2"/>
  <c r="J5453" i="2"/>
  <c r="I5453" i="2"/>
  <c r="H5453" i="2"/>
  <c r="G5453" i="2"/>
  <c r="F5453" i="2"/>
  <c r="E5453" i="2"/>
  <c r="D5453" i="2"/>
  <c r="C5453" i="2"/>
  <c r="B5453" i="2"/>
  <c r="A5453" i="2"/>
  <c r="Q5452" i="2"/>
  <c r="U5452" i="2" s="1"/>
  <c r="N5452" i="2"/>
  <c r="M5452" i="2"/>
  <c r="J5452" i="2"/>
  <c r="I5452" i="2"/>
  <c r="H5452" i="2"/>
  <c r="G5452" i="2"/>
  <c r="F5452" i="2"/>
  <c r="E5452" i="2"/>
  <c r="D5452" i="2"/>
  <c r="C5452" i="2"/>
  <c r="B5452" i="2"/>
  <c r="A5452" i="2"/>
  <c r="U5451" i="2"/>
  <c r="N5451" i="2"/>
  <c r="M5451" i="2"/>
  <c r="J5451" i="2"/>
  <c r="I5451" i="2"/>
  <c r="H5451" i="2"/>
  <c r="G5451" i="2"/>
  <c r="F5451" i="2"/>
  <c r="E5451" i="2"/>
  <c r="D5451" i="2"/>
  <c r="C5451" i="2"/>
  <c r="B5451" i="2"/>
  <c r="A5451" i="2"/>
  <c r="U5450" i="2"/>
  <c r="N5450" i="2"/>
  <c r="M5450" i="2"/>
  <c r="J5450" i="2"/>
  <c r="I5450" i="2"/>
  <c r="H5450" i="2"/>
  <c r="G5450" i="2"/>
  <c r="F5450" i="2"/>
  <c r="E5450" i="2"/>
  <c r="D5450" i="2"/>
  <c r="C5450" i="2"/>
  <c r="B5450" i="2"/>
  <c r="A5450" i="2"/>
  <c r="U5449" i="2"/>
  <c r="N5449" i="2"/>
  <c r="M5449" i="2"/>
  <c r="J5449" i="2"/>
  <c r="I5449" i="2"/>
  <c r="H5449" i="2"/>
  <c r="G5449" i="2"/>
  <c r="F5449" i="2"/>
  <c r="E5449" i="2"/>
  <c r="D5449" i="2"/>
  <c r="C5449" i="2"/>
  <c r="B5449" i="2"/>
  <c r="A5449" i="2"/>
  <c r="U5448" i="2"/>
  <c r="N5448" i="2"/>
  <c r="M5448" i="2"/>
  <c r="J5448" i="2"/>
  <c r="I5448" i="2"/>
  <c r="H5448" i="2"/>
  <c r="G5448" i="2"/>
  <c r="F5448" i="2"/>
  <c r="E5448" i="2"/>
  <c r="D5448" i="2"/>
  <c r="C5448" i="2"/>
  <c r="B5448" i="2"/>
  <c r="A5448" i="2"/>
  <c r="U5447" i="2"/>
  <c r="N5447" i="2"/>
  <c r="M5447" i="2"/>
  <c r="J5447" i="2"/>
  <c r="I5447" i="2"/>
  <c r="H5447" i="2"/>
  <c r="G5447" i="2"/>
  <c r="F5447" i="2"/>
  <c r="E5447" i="2"/>
  <c r="D5447" i="2"/>
  <c r="C5447" i="2"/>
  <c r="B5447" i="2"/>
  <c r="A5447" i="2"/>
  <c r="Q5446" i="2"/>
  <c r="U5446" i="2" s="1"/>
  <c r="N5446" i="2"/>
  <c r="M5446" i="2"/>
  <c r="J5446" i="2"/>
  <c r="I5446" i="2"/>
  <c r="H5446" i="2"/>
  <c r="G5446" i="2"/>
  <c r="F5446" i="2"/>
  <c r="E5446" i="2"/>
  <c r="D5446" i="2"/>
  <c r="C5446" i="2"/>
  <c r="B5446" i="2"/>
  <c r="A5446" i="2"/>
  <c r="U5445" i="2"/>
  <c r="N5445" i="2"/>
  <c r="M5445" i="2"/>
  <c r="J5445" i="2"/>
  <c r="I5445" i="2"/>
  <c r="H5445" i="2"/>
  <c r="G5445" i="2"/>
  <c r="F5445" i="2"/>
  <c r="E5445" i="2"/>
  <c r="D5445" i="2"/>
  <c r="C5445" i="2"/>
  <c r="B5445" i="2"/>
  <c r="A5445" i="2"/>
  <c r="U5444" i="2"/>
  <c r="N5444" i="2"/>
  <c r="M5444" i="2"/>
  <c r="J5444" i="2"/>
  <c r="I5444" i="2"/>
  <c r="H5444" i="2"/>
  <c r="G5444" i="2"/>
  <c r="F5444" i="2"/>
  <c r="E5444" i="2"/>
  <c r="D5444" i="2"/>
  <c r="C5444" i="2"/>
  <c r="B5444" i="2"/>
  <c r="A5444" i="2"/>
  <c r="U5443" i="2"/>
  <c r="N5443" i="2"/>
  <c r="M5443" i="2"/>
  <c r="J5443" i="2"/>
  <c r="I5443" i="2"/>
  <c r="H5443" i="2"/>
  <c r="G5443" i="2"/>
  <c r="F5443" i="2"/>
  <c r="E5443" i="2"/>
  <c r="D5443" i="2"/>
  <c r="C5443" i="2"/>
  <c r="B5443" i="2"/>
  <c r="A5443" i="2"/>
  <c r="Q5442" i="2"/>
  <c r="U5442" i="2" s="1"/>
  <c r="N5442" i="2"/>
  <c r="M5442" i="2"/>
  <c r="J5442" i="2"/>
  <c r="I5442" i="2"/>
  <c r="H5442" i="2"/>
  <c r="G5442" i="2"/>
  <c r="F5442" i="2"/>
  <c r="E5442" i="2"/>
  <c r="D5442" i="2"/>
  <c r="C5442" i="2"/>
  <c r="B5442" i="2"/>
  <c r="A5442" i="2"/>
  <c r="Q5441" i="2"/>
  <c r="U5441" i="2" s="1"/>
  <c r="N5441" i="2"/>
  <c r="M5441" i="2"/>
  <c r="J5441" i="2"/>
  <c r="I5441" i="2"/>
  <c r="H5441" i="2"/>
  <c r="G5441" i="2"/>
  <c r="F5441" i="2"/>
  <c r="E5441" i="2"/>
  <c r="D5441" i="2"/>
  <c r="C5441" i="2"/>
  <c r="B5441" i="2"/>
  <c r="A5441" i="2"/>
  <c r="U5440" i="2"/>
  <c r="N5440" i="2"/>
  <c r="M5440" i="2"/>
  <c r="J5440" i="2"/>
  <c r="I5440" i="2"/>
  <c r="H5440" i="2"/>
  <c r="G5440" i="2"/>
  <c r="F5440" i="2"/>
  <c r="E5440" i="2"/>
  <c r="D5440" i="2"/>
  <c r="C5440" i="2"/>
  <c r="B5440" i="2"/>
  <c r="A5440" i="2"/>
  <c r="Q5439" i="2"/>
  <c r="U5439" i="2" s="1"/>
  <c r="N5439" i="2"/>
  <c r="M5439" i="2"/>
  <c r="J5439" i="2"/>
  <c r="I5439" i="2"/>
  <c r="H5439" i="2"/>
  <c r="G5439" i="2"/>
  <c r="F5439" i="2"/>
  <c r="E5439" i="2"/>
  <c r="D5439" i="2"/>
  <c r="C5439" i="2"/>
  <c r="B5439" i="2"/>
  <c r="A5439" i="2"/>
  <c r="Q5438" i="2"/>
  <c r="U5438" i="2" s="1"/>
  <c r="N5438" i="2"/>
  <c r="M5438" i="2"/>
  <c r="J5438" i="2"/>
  <c r="I5438" i="2"/>
  <c r="H5438" i="2"/>
  <c r="G5438" i="2"/>
  <c r="F5438" i="2"/>
  <c r="E5438" i="2"/>
  <c r="D5438" i="2"/>
  <c r="C5438" i="2"/>
  <c r="B5438" i="2"/>
  <c r="A5438" i="2"/>
  <c r="Q5437" i="2"/>
  <c r="U5437" i="2" s="1"/>
  <c r="N5437" i="2"/>
  <c r="M5437" i="2"/>
  <c r="J5437" i="2"/>
  <c r="I5437" i="2"/>
  <c r="H5437" i="2"/>
  <c r="G5437" i="2"/>
  <c r="F5437" i="2"/>
  <c r="E5437" i="2"/>
  <c r="D5437" i="2"/>
  <c r="C5437" i="2"/>
  <c r="B5437" i="2"/>
  <c r="A5437" i="2"/>
  <c r="U5436" i="2"/>
  <c r="N5436" i="2"/>
  <c r="M5436" i="2"/>
  <c r="J5436" i="2"/>
  <c r="I5436" i="2"/>
  <c r="H5436" i="2"/>
  <c r="G5436" i="2"/>
  <c r="F5436" i="2"/>
  <c r="E5436" i="2"/>
  <c r="D5436" i="2"/>
  <c r="C5436" i="2"/>
  <c r="B5436" i="2"/>
  <c r="A5436" i="2"/>
  <c r="U5435" i="2"/>
  <c r="N5435" i="2"/>
  <c r="M5435" i="2"/>
  <c r="J5435" i="2"/>
  <c r="I5435" i="2"/>
  <c r="H5435" i="2"/>
  <c r="G5435" i="2"/>
  <c r="F5435" i="2"/>
  <c r="E5435" i="2"/>
  <c r="D5435" i="2"/>
  <c r="C5435" i="2"/>
  <c r="B5435" i="2"/>
  <c r="A5435" i="2"/>
  <c r="U5434" i="2"/>
  <c r="N5434" i="2"/>
  <c r="M5434" i="2"/>
  <c r="J5434" i="2"/>
  <c r="I5434" i="2"/>
  <c r="H5434" i="2"/>
  <c r="G5434" i="2"/>
  <c r="F5434" i="2"/>
  <c r="E5434" i="2"/>
  <c r="D5434" i="2"/>
  <c r="C5434" i="2"/>
  <c r="B5434" i="2"/>
  <c r="A5434" i="2"/>
  <c r="U5433" i="2"/>
  <c r="N5433" i="2"/>
  <c r="M5433" i="2"/>
  <c r="J5433" i="2"/>
  <c r="I5433" i="2"/>
  <c r="H5433" i="2"/>
  <c r="G5433" i="2"/>
  <c r="F5433" i="2"/>
  <c r="E5433" i="2"/>
  <c r="D5433" i="2"/>
  <c r="C5433" i="2"/>
  <c r="B5433" i="2"/>
  <c r="A5433" i="2"/>
  <c r="U5432" i="2"/>
  <c r="N5432" i="2"/>
  <c r="M5432" i="2"/>
  <c r="J5432" i="2"/>
  <c r="I5432" i="2"/>
  <c r="H5432" i="2"/>
  <c r="G5432" i="2"/>
  <c r="F5432" i="2"/>
  <c r="E5432" i="2"/>
  <c r="D5432" i="2"/>
  <c r="C5432" i="2"/>
  <c r="B5432" i="2"/>
  <c r="A5432" i="2"/>
  <c r="U5431" i="2"/>
  <c r="N5431" i="2"/>
  <c r="M5431" i="2"/>
  <c r="J5431" i="2"/>
  <c r="I5431" i="2"/>
  <c r="H5431" i="2"/>
  <c r="G5431" i="2"/>
  <c r="F5431" i="2"/>
  <c r="E5431" i="2"/>
  <c r="D5431" i="2"/>
  <c r="C5431" i="2"/>
  <c r="B5431" i="2"/>
  <c r="A5431" i="2"/>
  <c r="U5430" i="2"/>
  <c r="N5430" i="2"/>
  <c r="M5430" i="2"/>
  <c r="J5430" i="2"/>
  <c r="I5430" i="2"/>
  <c r="H5430" i="2"/>
  <c r="G5430" i="2"/>
  <c r="F5430" i="2"/>
  <c r="E5430" i="2"/>
  <c r="D5430" i="2"/>
  <c r="C5430" i="2"/>
  <c r="B5430" i="2"/>
  <c r="A5430" i="2"/>
  <c r="U5429" i="2"/>
  <c r="N5429" i="2"/>
  <c r="M5429" i="2"/>
  <c r="J5429" i="2"/>
  <c r="I5429" i="2"/>
  <c r="H5429" i="2"/>
  <c r="G5429" i="2"/>
  <c r="F5429" i="2"/>
  <c r="E5429" i="2"/>
  <c r="D5429" i="2"/>
  <c r="C5429" i="2"/>
  <c r="B5429" i="2"/>
  <c r="A5429" i="2"/>
  <c r="U5428" i="2"/>
  <c r="N5428" i="2"/>
  <c r="M5428" i="2"/>
  <c r="J5428" i="2"/>
  <c r="I5428" i="2"/>
  <c r="H5428" i="2"/>
  <c r="G5428" i="2"/>
  <c r="F5428" i="2"/>
  <c r="E5428" i="2"/>
  <c r="D5428" i="2"/>
  <c r="C5428" i="2"/>
  <c r="B5428" i="2"/>
  <c r="A5428" i="2"/>
  <c r="U5427" i="2"/>
  <c r="N5427" i="2"/>
  <c r="M5427" i="2"/>
  <c r="J5427" i="2"/>
  <c r="I5427" i="2"/>
  <c r="H5427" i="2"/>
  <c r="G5427" i="2"/>
  <c r="F5427" i="2"/>
  <c r="E5427" i="2"/>
  <c r="D5427" i="2"/>
  <c r="C5427" i="2"/>
  <c r="B5427" i="2"/>
  <c r="A5427" i="2"/>
  <c r="U5426" i="2"/>
  <c r="N5426" i="2"/>
  <c r="M5426" i="2"/>
  <c r="J5426" i="2"/>
  <c r="I5426" i="2"/>
  <c r="H5426" i="2"/>
  <c r="G5426" i="2"/>
  <c r="F5426" i="2"/>
  <c r="E5426" i="2"/>
  <c r="D5426" i="2"/>
  <c r="C5426" i="2"/>
  <c r="B5426" i="2"/>
  <c r="A5426" i="2"/>
  <c r="U5425" i="2"/>
  <c r="N5425" i="2"/>
  <c r="M5425" i="2"/>
  <c r="J5425" i="2"/>
  <c r="I5425" i="2"/>
  <c r="H5425" i="2"/>
  <c r="G5425" i="2"/>
  <c r="F5425" i="2"/>
  <c r="E5425" i="2"/>
  <c r="D5425" i="2"/>
  <c r="C5425" i="2"/>
  <c r="B5425" i="2"/>
  <c r="A5425" i="2"/>
  <c r="U5424" i="2"/>
  <c r="N5424" i="2"/>
  <c r="M5424" i="2"/>
  <c r="J5424" i="2"/>
  <c r="I5424" i="2"/>
  <c r="H5424" i="2"/>
  <c r="G5424" i="2"/>
  <c r="F5424" i="2"/>
  <c r="E5424" i="2"/>
  <c r="D5424" i="2"/>
  <c r="C5424" i="2"/>
  <c r="B5424" i="2"/>
  <c r="A5424" i="2"/>
  <c r="U5423" i="2"/>
  <c r="N5423" i="2"/>
  <c r="M5423" i="2"/>
  <c r="J5423" i="2"/>
  <c r="I5423" i="2"/>
  <c r="H5423" i="2"/>
  <c r="G5423" i="2"/>
  <c r="F5423" i="2"/>
  <c r="E5423" i="2"/>
  <c r="D5423" i="2"/>
  <c r="C5423" i="2"/>
  <c r="B5423" i="2"/>
  <c r="A5423" i="2"/>
  <c r="U5422" i="2"/>
  <c r="N5422" i="2"/>
  <c r="M5422" i="2"/>
  <c r="J5422" i="2"/>
  <c r="I5422" i="2"/>
  <c r="H5422" i="2"/>
  <c r="G5422" i="2"/>
  <c r="F5422" i="2"/>
  <c r="E5422" i="2"/>
  <c r="D5422" i="2"/>
  <c r="C5422" i="2"/>
  <c r="B5422" i="2"/>
  <c r="A5422" i="2"/>
  <c r="U5421" i="2"/>
  <c r="N5421" i="2"/>
  <c r="M5421" i="2"/>
  <c r="J5421" i="2"/>
  <c r="I5421" i="2"/>
  <c r="H5421" i="2"/>
  <c r="G5421" i="2"/>
  <c r="F5421" i="2"/>
  <c r="E5421" i="2"/>
  <c r="D5421" i="2"/>
  <c r="C5421" i="2"/>
  <c r="B5421" i="2"/>
  <c r="A5421" i="2"/>
  <c r="U5420" i="2"/>
  <c r="N5420" i="2"/>
  <c r="M5420" i="2"/>
  <c r="J5420" i="2"/>
  <c r="I5420" i="2"/>
  <c r="H5420" i="2"/>
  <c r="G5420" i="2"/>
  <c r="F5420" i="2"/>
  <c r="E5420" i="2"/>
  <c r="D5420" i="2"/>
  <c r="C5420" i="2"/>
  <c r="B5420" i="2"/>
  <c r="A5420" i="2"/>
  <c r="U5419" i="2"/>
  <c r="N5419" i="2"/>
  <c r="M5419" i="2"/>
  <c r="J5419" i="2"/>
  <c r="I5419" i="2"/>
  <c r="H5419" i="2"/>
  <c r="G5419" i="2"/>
  <c r="F5419" i="2"/>
  <c r="E5419" i="2"/>
  <c r="D5419" i="2"/>
  <c r="C5419" i="2"/>
  <c r="B5419" i="2"/>
  <c r="A5419" i="2"/>
  <c r="U5418" i="2"/>
  <c r="N5418" i="2"/>
  <c r="M5418" i="2"/>
  <c r="J5418" i="2"/>
  <c r="I5418" i="2"/>
  <c r="H5418" i="2"/>
  <c r="G5418" i="2"/>
  <c r="F5418" i="2"/>
  <c r="E5418" i="2"/>
  <c r="D5418" i="2"/>
  <c r="C5418" i="2"/>
  <c r="B5418" i="2"/>
  <c r="A5418" i="2"/>
  <c r="U5417" i="2"/>
  <c r="N5417" i="2"/>
  <c r="M5417" i="2"/>
  <c r="J5417" i="2"/>
  <c r="I5417" i="2"/>
  <c r="H5417" i="2"/>
  <c r="G5417" i="2"/>
  <c r="F5417" i="2"/>
  <c r="E5417" i="2"/>
  <c r="D5417" i="2"/>
  <c r="C5417" i="2"/>
  <c r="B5417" i="2"/>
  <c r="A5417" i="2"/>
  <c r="U5416" i="2"/>
  <c r="N5416" i="2"/>
  <c r="M5416" i="2"/>
  <c r="J5416" i="2"/>
  <c r="I5416" i="2"/>
  <c r="H5416" i="2"/>
  <c r="G5416" i="2"/>
  <c r="F5416" i="2"/>
  <c r="E5416" i="2"/>
  <c r="D5416" i="2"/>
  <c r="C5416" i="2"/>
  <c r="B5416" i="2"/>
  <c r="A5416" i="2"/>
  <c r="U5415" i="2"/>
  <c r="N5415" i="2"/>
  <c r="M5415" i="2"/>
  <c r="J5415" i="2"/>
  <c r="I5415" i="2"/>
  <c r="H5415" i="2"/>
  <c r="G5415" i="2"/>
  <c r="F5415" i="2"/>
  <c r="E5415" i="2"/>
  <c r="D5415" i="2"/>
  <c r="C5415" i="2"/>
  <c r="B5415" i="2"/>
  <c r="A5415" i="2"/>
  <c r="U5414" i="2"/>
  <c r="N5414" i="2"/>
  <c r="M5414" i="2"/>
  <c r="J5414" i="2"/>
  <c r="I5414" i="2"/>
  <c r="H5414" i="2"/>
  <c r="G5414" i="2"/>
  <c r="F5414" i="2"/>
  <c r="E5414" i="2"/>
  <c r="D5414" i="2"/>
  <c r="C5414" i="2"/>
  <c r="B5414" i="2"/>
  <c r="A5414" i="2"/>
  <c r="U5413" i="2"/>
  <c r="N5413" i="2"/>
  <c r="M5413" i="2"/>
  <c r="J5413" i="2"/>
  <c r="I5413" i="2"/>
  <c r="H5413" i="2"/>
  <c r="G5413" i="2"/>
  <c r="F5413" i="2"/>
  <c r="E5413" i="2"/>
  <c r="D5413" i="2"/>
  <c r="C5413" i="2"/>
  <c r="B5413" i="2"/>
  <c r="A5413" i="2"/>
  <c r="U5412" i="2"/>
  <c r="N5412" i="2"/>
  <c r="M5412" i="2"/>
  <c r="J5412" i="2"/>
  <c r="I5412" i="2"/>
  <c r="H5412" i="2"/>
  <c r="G5412" i="2"/>
  <c r="F5412" i="2"/>
  <c r="E5412" i="2"/>
  <c r="D5412" i="2"/>
  <c r="C5412" i="2"/>
  <c r="B5412" i="2"/>
  <c r="A5412" i="2"/>
  <c r="U5411" i="2"/>
  <c r="N5411" i="2"/>
  <c r="M5411" i="2"/>
  <c r="J5411" i="2"/>
  <c r="I5411" i="2"/>
  <c r="H5411" i="2"/>
  <c r="G5411" i="2"/>
  <c r="F5411" i="2"/>
  <c r="E5411" i="2"/>
  <c r="D5411" i="2"/>
  <c r="C5411" i="2"/>
  <c r="B5411" i="2"/>
  <c r="A5411" i="2"/>
  <c r="U5410" i="2"/>
  <c r="N5410" i="2"/>
  <c r="M5410" i="2"/>
  <c r="J5410" i="2"/>
  <c r="I5410" i="2"/>
  <c r="H5410" i="2"/>
  <c r="G5410" i="2"/>
  <c r="F5410" i="2"/>
  <c r="E5410" i="2"/>
  <c r="D5410" i="2"/>
  <c r="C5410" i="2"/>
  <c r="B5410" i="2"/>
  <c r="A5410" i="2"/>
  <c r="U5409" i="2"/>
  <c r="N5409" i="2"/>
  <c r="M5409" i="2"/>
  <c r="J5409" i="2"/>
  <c r="I5409" i="2"/>
  <c r="H5409" i="2"/>
  <c r="G5409" i="2"/>
  <c r="F5409" i="2"/>
  <c r="E5409" i="2"/>
  <c r="D5409" i="2"/>
  <c r="C5409" i="2"/>
  <c r="B5409" i="2"/>
  <c r="A5409" i="2"/>
  <c r="U5408" i="2"/>
  <c r="N5408" i="2"/>
  <c r="M5408" i="2"/>
  <c r="J5408" i="2"/>
  <c r="I5408" i="2"/>
  <c r="H5408" i="2"/>
  <c r="G5408" i="2"/>
  <c r="F5408" i="2"/>
  <c r="E5408" i="2"/>
  <c r="D5408" i="2"/>
  <c r="C5408" i="2"/>
  <c r="B5408" i="2"/>
  <c r="A5408" i="2"/>
  <c r="U5407" i="2"/>
  <c r="N5407" i="2"/>
  <c r="M5407" i="2"/>
  <c r="J5407" i="2"/>
  <c r="I5407" i="2"/>
  <c r="H5407" i="2"/>
  <c r="G5407" i="2"/>
  <c r="F5407" i="2"/>
  <c r="E5407" i="2"/>
  <c r="D5407" i="2"/>
  <c r="C5407" i="2"/>
  <c r="B5407" i="2"/>
  <c r="A5407" i="2"/>
  <c r="U5406" i="2"/>
  <c r="N5406" i="2"/>
  <c r="M5406" i="2"/>
  <c r="J5406" i="2"/>
  <c r="I5406" i="2"/>
  <c r="H5406" i="2"/>
  <c r="G5406" i="2"/>
  <c r="F5406" i="2"/>
  <c r="E5406" i="2"/>
  <c r="D5406" i="2"/>
  <c r="C5406" i="2"/>
  <c r="B5406" i="2"/>
  <c r="A5406" i="2"/>
  <c r="U5405" i="2"/>
  <c r="N5405" i="2"/>
  <c r="M5405" i="2"/>
  <c r="J5405" i="2"/>
  <c r="I5405" i="2"/>
  <c r="H5405" i="2"/>
  <c r="G5405" i="2"/>
  <c r="F5405" i="2"/>
  <c r="E5405" i="2"/>
  <c r="D5405" i="2"/>
  <c r="C5405" i="2"/>
  <c r="B5405" i="2"/>
  <c r="A5405" i="2"/>
  <c r="U5404" i="2"/>
  <c r="N5404" i="2"/>
  <c r="M5404" i="2"/>
  <c r="J5404" i="2"/>
  <c r="I5404" i="2"/>
  <c r="H5404" i="2"/>
  <c r="G5404" i="2"/>
  <c r="F5404" i="2"/>
  <c r="E5404" i="2"/>
  <c r="D5404" i="2"/>
  <c r="C5404" i="2"/>
  <c r="B5404" i="2"/>
  <c r="A5404" i="2"/>
  <c r="U5403" i="2"/>
  <c r="N5403" i="2"/>
  <c r="M5403" i="2"/>
  <c r="J5403" i="2"/>
  <c r="I5403" i="2"/>
  <c r="H5403" i="2"/>
  <c r="G5403" i="2"/>
  <c r="F5403" i="2"/>
  <c r="E5403" i="2"/>
  <c r="D5403" i="2"/>
  <c r="C5403" i="2"/>
  <c r="B5403" i="2"/>
  <c r="A5403" i="2"/>
  <c r="U5402" i="2"/>
  <c r="N5402" i="2"/>
  <c r="M5402" i="2"/>
  <c r="J5402" i="2"/>
  <c r="I5402" i="2"/>
  <c r="H5402" i="2"/>
  <c r="G5402" i="2"/>
  <c r="F5402" i="2"/>
  <c r="E5402" i="2"/>
  <c r="D5402" i="2"/>
  <c r="C5402" i="2"/>
  <c r="B5402" i="2"/>
  <c r="A5402" i="2"/>
  <c r="U5401" i="2"/>
  <c r="N5401" i="2"/>
  <c r="M5401" i="2"/>
  <c r="J5401" i="2"/>
  <c r="I5401" i="2"/>
  <c r="H5401" i="2"/>
  <c r="G5401" i="2"/>
  <c r="F5401" i="2"/>
  <c r="E5401" i="2"/>
  <c r="D5401" i="2"/>
  <c r="C5401" i="2"/>
  <c r="B5401" i="2"/>
  <c r="A5401" i="2"/>
  <c r="U5400" i="2"/>
  <c r="N5400" i="2"/>
  <c r="M5400" i="2"/>
  <c r="J5400" i="2"/>
  <c r="I5400" i="2"/>
  <c r="H5400" i="2"/>
  <c r="G5400" i="2"/>
  <c r="F5400" i="2"/>
  <c r="E5400" i="2"/>
  <c r="D5400" i="2"/>
  <c r="C5400" i="2"/>
  <c r="B5400" i="2"/>
  <c r="A5400" i="2"/>
  <c r="U5399" i="2"/>
  <c r="N5399" i="2"/>
  <c r="M5399" i="2"/>
  <c r="J5399" i="2"/>
  <c r="I5399" i="2"/>
  <c r="H5399" i="2"/>
  <c r="G5399" i="2"/>
  <c r="F5399" i="2"/>
  <c r="E5399" i="2"/>
  <c r="D5399" i="2"/>
  <c r="C5399" i="2"/>
  <c r="B5399" i="2"/>
  <c r="A5399" i="2"/>
  <c r="U5398" i="2"/>
  <c r="N5398" i="2"/>
  <c r="M5398" i="2"/>
  <c r="J5398" i="2"/>
  <c r="I5398" i="2"/>
  <c r="H5398" i="2"/>
  <c r="G5398" i="2"/>
  <c r="F5398" i="2"/>
  <c r="E5398" i="2"/>
  <c r="D5398" i="2"/>
  <c r="C5398" i="2"/>
  <c r="B5398" i="2"/>
  <c r="A5398" i="2"/>
  <c r="U5397" i="2"/>
  <c r="N5397" i="2"/>
  <c r="M5397" i="2"/>
  <c r="J5397" i="2"/>
  <c r="I5397" i="2"/>
  <c r="H5397" i="2"/>
  <c r="G5397" i="2"/>
  <c r="F5397" i="2"/>
  <c r="E5397" i="2"/>
  <c r="D5397" i="2"/>
  <c r="C5397" i="2"/>
  <c r="B5397" i="2"/>
  <c r="A5397" i="2"/>
  <c r="U5396" i="2"/>
  <c r="N5396" i="2"/>
  <c r="M5396" i="2"/>
  <c r="J5396" i="2"/>
  <c r="I5396" i="2"/>
  <c r="H5396" i="2"/>
  <c r="G5396" i="2"/>
  <c r="F5396" i="2"/>
  <c r="E5396" i="2"/>
  <c r="D5396" i="2"/>
  <c r="C5396" i="2"/>
  <c r="B5396" i="2"/>
  <c r="A5396" i="2"/>
  <c r="U5395" i="2"/>
  <c r="N5395" i="2"/>
  <c r="M5395" i="2"/>
  <c r="J5395" i="2"/>
  <c r="I5395" i="2"/>
  <c r="H5395" i="2"/>
  <c r="G5395" i="2"/>
  <c r="F5395" i="2"/>
  <c r="E5395" i="2"/>
  <c r="D5395" i="2"/>
  <c r="C5395" i="2"/>
  <c r="B5395" i="2"/>
  <c r="A5395" i="2"/>
  <c r="U5394" i="2"/>
  <c r="N5394" i="2"/>
  <c r="M5394" i="2"/>
  <c r="J5394" i="2"/>
  <c r="I5394" i="2"/>
  <c r="H5394" i="2"/>
  <c r="G5394" i="2"/>
  <c r="F5394" i="2"/>
  <c r="E5394" i="2"/>
  <c r="D5394" i="2"/>
  <c r="C5394" i="2"/>
  <c r="B5394" i="2"/>
  <c r="A5394" i="2"/>
  <c r="U5393" i="2"/>
  <c r="N5393" i="2"/>
  <c r="M5393" i="2"/>
  <c r="J5393" i="2"/>
  <c r="I5393" i="2"/>
  <c r="H5393" i="2"/>
  <c r="G5393" i="2"/>
  <c r="F5393" i="2"/>
  <c r="E5393" i="2"/>
  <c r="D5393" i="2"/>
  <c r="C5393" i="2"/>
  <c r="B5393" i="2"/>
  <c r="A5393" i="2"/>
  <c r="U5392" i="2"/>
  <c r="N5392" i="2"/>
  <c r="M5392" i="2"/>
  <c r="J5392" i="2"/>
  <c r="I5392" i="2"/>
  <c r="H5392" i="2"/>
  <c r="G5392" i="2"/>
  <c r="F5392" i="2"/>
  <c r="E5392" i="2"/>
  <c r="D5392" i="2"/>
  <c r="C5392" i="2"/>
  <c r="B5392" i="2"/>
  <c r="A5392" i="2"/>
  <c r="U5391" i="2"/>
  <c r="N5391" i="2"/>
  <c r="M5391" i="2"/>
  <c r="J5391" i="2"/>
  <c r="I5391" i="2"/>
  <c r="H5391" i="2"/>
  <c r="G5391" i="2"/>
  <c r="F5391" i="2"/>
  <c r="E5391" i="2"/>
  <c r="D5391" i="2"/>
  <c r="C5391" i="2"/>
  <c r="B5391" i="2"/>
  <c r="A5391" i="2"/>
  <c r="U5390" i="2"/>
  <c r="N5390" i="2"/>
  <c r="M5390" i="2"/>
  <c r="J5390" i="2"/>
  <c r="I5390" i="2"/>
  <c r="H5390" i="2"/>
  <c r="G5390" i="2"/>
  <c r="F5390" i="2"/>
  <c r="E5390" i="2"/>
  <c r="D5390" i="2"/>
  <c r="C5390" i="2"/>
  <c r="B5390" i="2"/>
  <c r="A5390" i="2"/>
  <c r="U5389" i="2"/>
  <c r="N5389" i="2"/>
  <c r="M5389" i="2"/>
  <c r="J5389" i="2"/>
  <c r="I5389" i="2"/>
  <c r="H5389" i="2"/>
  <c r="G5389" i="2"/>
  <c r="F5389" i="2"/>
  <c r="E5389" i="2"/>
  <c r="D5389" i="2"/>
  <c r="C5389" i="2"/>
  <c r="B5389" i="2"/>
  <c r="A5389" i="2"/>
  <c r="U5388" i="2"/>
  <c r="N5388" i="2"/>
  <c r="M5388" i="2"/>
  <c r="J5388" i="2"/>
  <c r="I5388" i="2"/>
  <c r="H5388" i="2"/>
  <c r="G5388" i="2"/>
  <c r="F5388" i="2"/>
  <c r="E5388" i="2"/>
  <c r="D5388" i="2"/>
  <c r="C5388" i="2"/>
  <c r="B5388" i="2"/>
  <c r="A5388" i="2"/>
  <c r="U5387" i="2"/>
  <c r="N5387" i="2"/>
  <c r="M5387" i="2"/>
  <c r="J5387" i="2"/>
  <c r="I5387" i="2"/>
  <c r="H5387" i="2"/>
  <c r="G5387" i="2"/>
  <c r="F5387" i="2"/>
  <c r="E5387" i="2"/>
  <c r="D5387" i="2"/>
  <c r="C5387" i="2"/>
  <c r="B5387" i="2"/>
  <c r="A5387" i="2"/>
  <c r="U5386" i="2"/>
  <c r="N5386" i="2"/>
  <c r="M5386" i="2"/>
  <c r="J5386" i="2"/>
  <c r="I5386" i="2"/>
  <c r="H5386" i="2"/>
  <c r="G5386" i="2"/>
  <c r="F5386" i="2"/>
  <c r="E5386" i="2"/>
  <c r="D5386" i="2"/>
  <c r="C5386" i="2"/>
  <c r="B5386" i="2"/>
  <c r="A5386" i="2"/>
  <c r="U5385" i="2"/>
  <c r="N5385" i="2"/>
  <c r="M5385" i="2"/>
  <c r="J5385" i="2"/>
  <c r="I5385" i="2"/>
  <c r="H5385" i="2"/>
  <c r="G5385" i="2"/>
  <c r="F5385" i="2"/>
  <c r="E5385" i="2"/>
  <c r="D5385" i="2"/>
  <c r="C5385" i="2"/>
  <c r="B5385" i="2"/>
  <c r="A5385" i="2"/>
  <c r="U5384" i="2"/>
  <c r="N5384" i="2"/>
  <c r="M5384" i="2"/>
  <c r="J5384" i="2"/>
  <c r="I5384" i="2"/>
  <c r="H5384" i="2"/>
  <c r="G5384" i="2"/>
  <c r="F5384" i="2"/>
  <c r="E5384" i="2"/>
  <c r="D5384" i="2"/>
  <c r="C5384" i="2"/>
  <c r="B5384" i="2"/>
  <c r="A5384" i="2"/>
  <c r="U5383" i="2"/>
  <c r="N5383" i="2"/>
  <c r="M5383" i="2"/>
  <c r="J5383" i="2"/>
  <c r="I5383" i="2"/>
  <c r="H5383" i="2"/>
  <c r="G5383" i="2"/>
  <c r="F5383" i="2"/>
  <c r="E5383" i="2"/>
  <c r="D5383" i="2"/>
  <c r="C5383" i="2"/>
  <c r="B5383" i="2"/>
  <c r="A5383" i="2"/>
  <c r="U5382" i="2"/>
  <c r="N5382" i="2"/>
  <c r="M5382" i="2"/>
  <c r="J5382" i="2"/>
  <c r="I5382" i="2"/>
  <c r="H5382" i="2"/>
  <c r="G5382" i="2"/>
  <c r="F5382" i="2"/>
  <c r="E5382" i="2"/>
  <c r="D5382" i="2"/>
  <c r="C5382" i="2"/>
  <c r="B5382" i="2"/>
  <c r="A5382" i="2"/>
  <c r="U5381" i="2"/>
  <c r="N5381" i="2"/>
  <c r="M5381" i="2"/>
  <c r="J5381" i="2"/>
  <c r="I5381" i="2"/>
  <c r="H5381" i="2"/>
  <c r="G5381" i="2"/>
  <c r="F5381" i="2"/>
  <c r="E5381" i="2"/>
  <c r="D5381" i="2"/>
  <c r="C5381" i="2"/>
  <c r="B5381" i="2"/>
  <c r="A5381" i="2"/>
  <c r="U5380" i="2"/>
  <c r="N5380" i="2"/>
  <c r="M5380" i="2"/>
  <c r="J5380" i="2"/>
  <c r="I5380" i="2"/>
  <c r="H5380" i="2"/>
  <c r="G5380" i="2"/>
  <c r="F5380" i="2"/>
  <c r="E5380" i="2"/>
  <c r="D5380" i="2"/>
  <c r="C5380" i="2"/>
  <c r="B5380" i="2"/>
  <c r="A5380" i="2"/>
  <c r="U5379" i="2"/>
  <c r="N5379" i="2"/>
  <c r="M5379" i="2"/>
  <c r="J5379" i="2"/>
  <c r="I5379" i="2"/>
  <c r="H5379" i="2"/>
  <c r="G5379" i="2"/>
  <c r="F5379" i="2"/>
  <c r="E5379" i="2"/>
  <c r="D5379" i="2"/>
  <c r="C5379" i="2"/>
  <c r="B5379" i="2"/>
  <c r="A5379" i="2"/>
  <c r="U5378" i="2"/>
  <c r="N5378" i="2"/>
  <c r="M5378" i="2"/>
  <c r="J5378" i="2"/>
  <c r="I5378" i="2"/>
  <c r="H5378" i="2"/>
  <c r="G5378" i="2"/>
  <c r="F5378" i="2"/>
  <c r="E5378" i="2"/>
  <c r="D5378" i="2"/>
  <c r="C5378" i="2"/>
  <c r="B5378" i="2"/>
  <c r="A5378" i="2"/>
  <c r="U5377" i="2"/>
  <c r="N5377" i="2"/>
  <c r="M5377" i="2"/>
  <c r="J5377" i="2"/>
  <c r="I5377" i="2"/>
  <c r="H5377" i="2"/>
  <c r="G5377" i="2"/>
  <c r="F5377" i="2"/>
  <c r="E5377" i="2"/>
  <c r="D5377" i="2"/>
  <c r="C5377" i="2"/>
  <c r="B5377" i="2"/>
  <c r="A5377" i="2"/>
  <c r="U5376" i="2"/>
  <c r="N5376" i="2"/>
  <c r="M5376" i="2"/>
  <c r="J5376" i="2"/>
  <c r="I5376" i="2"/>
  <c r="H5376" i="2"/>
  <c r="G5376" i="2"/>
  <c r="F5376" i="2"/>
  <c r="E5376" i="2"/>
  <c r="D5376" i="2"/>
  <c r="C5376" i="2"/>
  <c r="B5376" i="2"/>
  <c r="A5376" i="2"/>
  <c r="U5375" i="2"/>
  <c r="N5375" i="2"/>
  <c r="M5375" i="2"/>
  <c r="J5375" i="2"/>
  <c r="I5375" i="2"/>
  <c r="H5375" i="2"/>
  <c r="G5375" i="2"/>
  <c r="F5375" i="2"/>
  <c r="E5375" i="2"/>
  <c r="D5375" i="2"/>
  <c r="C5375" i="2"/>
  <c r="B5375" i="2"/>
  <c r="A5375" i="2"/>
  <c r="U5374" i="2"/>
  <c r="N5374" i="2"/>
  <c r="M5374" i="2"/>
  <c r="J5374" i="2"/>
  <c r="I5374" i="2"/>
  <c r="H5374" i="2"/>
  <c r="G5374" i="2"/>
  <c r="F5374" i="2"/>
  <c r="E5374" i="2"/>
  <c r="D5374" i="2"/>
  <c r="C5374" i="2"/>
  <c r="B5374" i="2"/>
  <c r="A5374" i="2"/>
  <c r="U5373" i="2"/>
  <c r="N5373" i="2"/>
  <c r="M5373" i="2"/>
  <c r="J5373" i="2"/>
  <c r="I5373" i="2"/>
  <c r="H5373" i="2"/>
  <c r="G5373" i="2"/>
  <c r="F5373" i="2"/>
  <c r="E5373" i="2"/>
  <c r="D5373" i="2"/>
  <c r="C5373" i="2"/>
  <c r="B5373" i="2"/>
  <c r="A5373" i="2"/>
  <c r="U5372" i="2"/>
  <c r="N5372" i="2"/>
  <c r="M5372" i="2"/>
  <c r="J5372" i="2"/>
  <c r="I5372" i="2"/>
  <c r="H5372" i="2"/>
  <c r="G5372" i="2"/>
  <c r="F5372" i="2"/>
  <c r="E5372" i="2"/>
  <c r="D5372" i="2"/>
  <c r="C5372" i="2"/>
  <c r="B5372" i="2"/>
  <c r="A5372" i="2"/>
  <c r="U5371" i="2"/>
  <c r="N5371" i="2"/>
  <c r="M5371" i="2"/>
  <c r="J5371" i="2"/>
  <c r="I5371" i="2"/>
  <c r="H5371" i="2"/>
  <c r="G5371" i="2"/>
  <c r="F5371" i="2"/>
  <c r="E5371" i="2"/>
  <c r="D5371" i="2"/>
  <c r="C5371" i="2"/>
  <c r="B5371" i="2"/>
  <c r="A5371" i="2"/>
  <c r="U5370" i="2"/>
  <c r="N5370" i="2"/>
  <c r="M5370" i="2"/>
  <c r="J5370" i="2"/>
  <c r="I5370" i="2"/>
  <c r="H5370" i="2"/>
  <c r="G5370" i="2"/>
  <c r="F5370" i="2"/>
  <c r="E5370" i="2"/>
  <c r="D5370" i="2"/>
  <c r="C5370" i="2"/>
  <c r="B5370" i="2"/>
  <c r="A5370" i="2"/>
  <c r="U5369" i="2"/>
  <c r="N5369" i="2"/>
  <c r="M5369" i="2"/>
  <c r="J5369" i="2"/>
  <c r="I5369" i="2"/>
  <c r="H5369" i="2"/>
  <c r="G5369" i="2"/>
  <c r="F5369" i="2"/>
  <c r="E5369" i="2"/>
  <c r="D5369" i="2"/>
  <c r="C5369" i="2"/>
  <c r="B5369" i="2"/>
  <c r="A5369" i="2"/>
  <c r="U5368" i="2"/>
  <c r="N5368" i="2"/>
  <c r="M5368" i="2"/>
  <c r="J5368" i="2"/>
  <c r="I5368" i="2"/>
  <c r="H5368" i="2"/>
  <c r="G5368" i="2"/>
  <c r="F5368" i="2"/>
  <c r="E5368" i="2"/>
  <c r="D5368" i="2"/>
  <c r="C5368" i="2"/>
  <c r="B5368" i="2"/>
  <c r="A5368" i="2"/>
  <c r="U5367" i="2"/>
  <c r="N5367" i="2"/>
  <c r="M5367" i="2"/>
  <c r="J5367" i="2"/>
  <c r="I5367" i="2"/>
  <c r="H5367" i="2"/>
  <c r="G5367" i="2"/>
  <c r="F5367" i="2"/>
  <c r="E5367" i="2"/>
  <c r="D5367" i="2"/>
  <c r="C5367" i="2"/>
  <c r="B5367" i="2"/>
  <c r="A5367" i="2"/>
  <c r="U5366" i="2"/>
  <c r="N5366" i="2"/>
  <c r="M5366" i="2"/>
  <c r="J5366" i="2"/>
  <c r="I5366" i="2"/>
  <c r="H5366" i="2"/>
  <c r="G5366" i="2"/>
  <c r="F5366" i="2"/>
  <c r="E5366" i="2"/>
  <c r="D5366" i="2"/>
  <c r="C5366" i="2"/>
  <c r="B5366" i="2"/>
  <c r="A5366" i="2"/>
  <c r="U5365" i="2"/>
  <c r="N5365" i="2"/>
  <c r="M5365" i="2"/>
  <c r="J5365" i="2"/>
  <c r="I5365" i="2"/>
  <c r="H5365" i="2"/>
  <c r="G5365" i="2"/>
  <c r="F5365" i="2"/>
  <c r="E5365" i="2"/>
  <c r="D5365" i="2"/>
  <c r="C5365" i="2"/>
  <c r="B5365" i="2"/>
  <c r="A5365" i="2"/>
  <c r="U5364" i="2"/>
  <c r="N5364" i="2"/>
  <c r="M5364" i="2"/>
  <c r="J5364" i="2"/>
  <c r="I5364" i="2"/>
  <c r="H5364" i="2"/>
  <c r="G5364" i="2"/>
  <c r="F5364" i="2"/>
  <c r="E5364" i="2"/>
  <c r="D5364" i="2"/>
  <c r="C5364" i="2"/>
  <c r="B5364" i="2"/>
  <c r="A5364" i="2"/>
  <c r="U5363" i="2"/>
  <c r="N5363" i="2"/>
  <c r="M5363" i="2"/>
  <c r="J5363" i="2"/>
  <c r="I5363" i="2"/>
  <c r="H5363" i="2"/>
  <c r="G5363" i="2"/>
  <c r="F5363" i="2"/>
  <c r="E5363" i="2"/>
  <c r="D5363" i="2"/>
  <c r="C5363" i="2"/>
  <c r="B5363" i="2"/>
  <c r="A5363" i="2"/>
  <c r="U5362" i="2"/>
  <c r="N5362" i="2"/>
  <c r="M5362" i="2"/>
  <c r="J5362" i="2"/>
  <c r="I5362" i="2"/>
  <c r="H5362" i="2"/>
  <c r="G5362" i="2"/>
  <c r="F5362" i="2"/>
  <c r="E5362" i="2"/>
  <c r="D5362" i="2"/>
  <c r="C5362" i="2"/>
  <c r="B5362" i="2"/>
  <c r="A5362" i="2"/>
  <c r="U5361" i="2"/>
  <c r="N5361" i="2"/>
  <c r="M5361" i="2"/>
  <c r="J5361" i="2"/>
  <c r="I5361" i="2"/>
  <c r="H5361" i="2"/>
  <c r="G5361" i="2"/>
  <c r="F5361" i="2"/>
  <c r="E5361" i="2"/>
  <c r="D5361" i="2"/>
  <c r="C5361" i="2"/>
  <c r="B5361" i="2"/>
  <c r="A5361" i="2"/>
  <c r="U5360" i="2"/>
  <c r="N5360" i="2"/>
  <c r="M5360" i="2"/>
  <c r="J5360" i="2"/>
  <c r="I5360" i="2"/>
  <c r="H5360" i="2"/>
  <c r="G5360" i="2"/>
  <c r="F5360" i="2"/>
  <c r="E5360" i="2"/>
  <c r="D5360" i="2"/>
  <c r="C5360" i="2"/>
  <c r="B5360" i="2"/>
  <c r="A5360" i="2"/>
  <c r="U5359" i="2"/>
  <c r="N5359" i="2"/>
  <c r="M5359" i="2"/>
  <c r="J5359" i="2"/>
  <c r="I5359" i="2"/>
  <c r="H5359" i="2"/>
  <c r="G5359" i="2"/>
  <c r="F5359" i="2"/>
  <c r="E5359" i="2"/>
  <c r="D5359" i="2"/>
  <c r="C5359" i="2"/>
  <c r="B5359" i="2"/>
  <c r="A5359" i="2"/>
  <c r="U5358" i="2"/>
  <c r="N5358" i="2"/>
  <c r="M5358" i="2"/>
  <c r="J5358" i="2"/>
  <c r="I5358" i="2"/>
  <c r="H5358" i="2"/>
  <c r="G5358" i="2"/>
  <c r="F5358" i="2"/>
  <c r="E5358" i="2"/>
  <c r="D5358" i="2"/>
  <c r="C5358" i="2"/>
  <c r="B5358" i="2"/>
  <c r="A5358" i="2"/>
  <c r="U5357" i="2"/>
  <c r="N5357" i="2"/>
  <c r="M5357" i="2"/>
  <c r="J5357" i="2"/>
  <c r="I5357" i="2"/>
  <c r="H5357" i="2"/>
  <c r="G5357" i="2"/>
  <c r="F5357" i="2"/>
  <c r="E5357" i="2"/>
  <c r="D5357" i="2"/>
  <c r="C5357" i="2"/>
  <c r="B5357" i="2"/>
  <c r="A5357" i="2"/>
  <c r="U5356" i="2"/>
  <c r="N5356" i="2"/>
  <c r="M5356" i="2"/>
  <c r="J5356" i="2"/>
  <c r="I5356" i="2"/>
  <c r="H5356" i="2"/>
  <c r="G5356" i="2"/>
  <c r="F5356" i="2"/>
  <c r="E5356" i="2"/>
  <c r="D5356" i="2"/>
  <c r="C5356" i="2"/>
  <c r="B5356" i="2"/>
  <c r="A5356" i="2"/>
  <c r="U5355" i="2"/>
  <c r="N5355" i="2"/>
  <c r="M5355" i="2"/>
  <c r="J5355" i="2"/>
  <c r="I5355" i="2"/>
  <c r="H5355" i="2"/>
  <c r="G5355" i="2"/>
  <c r="F5355" i="2"/>
  <c r="E5355" i="2"/>
  <c r="D5355" i="2"/>
  <c r="C5355" i="2"/>
  <c r="B5355" i="2"/>
  <c r="A5355" i="2"/>
  <c r="U5354" i="2"/>
  <c r="N5354" i="2"/>
  <c r="M5354" i="2"/>
  <c r="J5354" i="2"/>
  <c r="I5354" i="2"/>
  <c r="H5354" i="2"/>
  <c r="G5354" i="2"/>
  <c r="F5354" i="2"/>
  <c r="E5354" i="2"/>
  <c r="D5354" i="2"/>
  <c r="C5354" i="2"/>
  <c r="B5354" i="2"/>
  <c r="A5354" i="2"/>
  <c r="U5353" i="2"/>
  <c r="N5353" i="2"/>
  <c r="M5353" i="2"/>
  <c r="J5353" i="2"/>
  <c r="I5353" i="2"/>
  <c r="H5353" i="2"/>
  <c r="G5353" i="2"/>
  <c r="F5353" i="2"/>
  <c r="E5353" i="2"/>
  <c r="D5353" i="2"/>
  <c r="C5353" i="2"/>
  <c r="B5353" i="2"/>
  <c r="A5353" i="2"/>
  <c r="U5352" i="2"/>
  <c r="N5352" i="2"/>
  <c r="M5352" i="2"/>
  <c r="J5352" i="2"/>
  <c r="I5352" i="2"/>
  <c r="H5352" i="2"/>
  <c r="G5352" i="2"/>
  <c r="F5352" i="2"/>
  <c r="E5352" i="2"/>
  <c r="D5352" i="2"/>
  <c r="C5352" i="2"/>
  <c r="B5352" i="2"/>
  <c r="A5352" i="2"/>
  <c r="U5351" i="2"/>
  <c r="N5351" i="2"/>
  <c r="M5351" i="2"/>
  <c r="J5351" i="2"/>
  <c r="I5351" i="2"/>
  <c r="H5351" i="2"/>
  <c r="G5351" i="2"/>
  <c r="F5351" i="2"/>
  <c r="E5351" i="2"/>
  <c r="D5351" i="2"/>
  <c r="C5351" i="2"/>
  <c r="B5351" i="2"/>
  <c r="A5351" i="2"/>
  <c r="U5350" i="2"/>
  <c r="N5350" i="2"/>
  <c r="M5350" i="2"/>
  <c r="J5350" i="2"/>
  <c r="I5350" i="2"/>
  <c r="H5350" i="2"/>
  <c r="G5350" i="2"/>
  <c r="F5350" i="2"/>
  <c r="E5350" i="2"/>
  <c r="D5350" i="2"/>
  <c r="C5350" i="2"/>
  <c r="B5350" i="2"/>
  <c r="A5350" i="2"/>
  <c r="U5349" i="2"/>
  <c r="N5349" i="2"/>
  <c r="M5349" i="2"/>
  <c r="J5349" i="2"/>
  <c r="I5349" i="2"/>
  <c r="H5349" i="2"/>
  <c r="G5349" i="2"/>
  <c r="F5349" i="2"/>
  <c r="E5349" i="2"/>
  <c r="D5349" i="2"/>
  <c r="C5349" i="2"/>
  <c r="B5349" i="2"/>
  <c r="A5349" i="2"/>
  <c r="U5348" i="2"/>
  <c r="N5348" i="2"/>
  <c r="M5348" i="2"/>
  <c r="J5348" i="2"/>
  <c r="I5348" i="2"/>
  <c r="H5348" i="2"/>
  <c r="G5348" i="2"/>
  <c r="F5348" i="2"/>
  <c r="E5348" i="2"/>
  <c r="D5348" i="2"/>
  <c r="C5348" i="2"/>
  <c r="B5348" i="2"/>
  <c r="A5348" i="2"/>
  <c r="U5347" i="2"/>
  <c r="N5347" i="2"/>
  <c r="M5347" i="2"/>
  <c r="J5347" i="2"/>
  <c r="I5347" i="2"/>
  <c r="H5347" i="2"/>
  <c r="G5347" i="2"/>
  <c r="F5347" i="2"/>
  <c r="E5347" i="2"/>
  <c r="D5347" i="2"/>
  <c r="C5347" i="2"/>
  <c r="B5347" i="2"/>
  <c r="A5347" i="2"/>
  <c r="U5346" i="2"/>
  <c r="N5346" i="2"/>
  <c r="M5346" i="2"/>
  <c r="J5346" i="2"/>
  <c r="I5346" i="2"/>
  <c r="H5346" i="2"/>
  <c r="G5346" i="2"/>
  <c r="F5346" i="2"/>
  <c r="E5346" i="2"/>
  <c r="D5346" i="2"/>
  <c r="C5346" i="2"/>
  <c r="B5346" i="2"/>
  <c r="A5346" i="2"/>
  <c r="U5345" i="2"/>
  <c r="N5345" i="2"/>
  <c r="M5345" i="2"/>
  <c r="J5345" i="2"/>
  <c r="I5345" i="2"/>
  <c r="H5345" i="2"/>
  <c r="G5345" i="2"/>
  <c r="F5345" i="2"/>
  <c r="E5345" i="2"/>
  <c r="D5345" i="2"/>
  <c r="C5345" i="2"/>
  <c r="B5345" i="2"/>
  <c r="A5345" i="2"/>
  <c r="U5344" i="2"/>
  <c r="N5344" i="2"/>
  <c r="M5344" i="2"/>
  <c r="J5344" i="2"/>
  <c r="I5344" i="2"/>
  <c r="H5344" i="2"/>
  <c r="G5344" i="2"/>
  <c r="F5344" i="2"/>
  <c r="E5344" i="2"/>
  <c r="D5344" i="2"/>
  <c r="C5344" i="2"/>
  <c r="B5344" i="2"/>
  <c r="A5344" i="2"/>
  <c r="U5343" i="2"/>
  <c r="N5343" i="2"/>
  <c r="M5343" i="2"/>
  <c r="J5343" i="2"/>
  <c r="I5343" i="2"/>
  <c r="H5343" i="2"/>
  <c r="G5343" i="2"/>
  <c r="F5343" i="2"/>
  <c r="E5343" i="2"/>
  <c r="D5343" i="2"/>
  <c r="C5343" i="2"/>
  <c r="B5343" i="2"/>
  <c r="A5343" i="2"/>
  <c r="U5342" i="2"/>
  <c r="N5342" i="2"/>
  <c r="M5342" i="2"/>
  <c r="J5342" i="2"/>
  <c r="I5342" i="2"/>
  <c r="H5342" i="2"/>
  <c r="G5342" i="2"/>
  <c r="F5342" i="2"/>
  <c r="E5342" i="2"/>
  <c r="D5342" i="2"/>
  <c r="C5342" i="2"/>
  <c r="B5342" i="2"/>
  <c r="A5342" i="2"/>
  <c r="U5341" i="2"/>
  <c r="N5341" i="2"/>
  <c r="M5341" i="2"/>
  <c r="J5341" i="2"/>
  <c r="I5341" i="2"/>
  <c r="H5341" i="2"/>
  <c r="G5341" i="2"/>
  <c r="F5341" i="2"/>
  <c r="E5341" i="2"/>
  <c r="D5341" i="2"/>
  <c r="C5341" i="2"/>
  <c r="B5341" i="2"/>
  <c r="A5341" i="2"/>
  <c r="U5340" i="2"/>
  <c r="N5340" i="2"/>
  <c r="M5340" i="2"/>
  <c r="J5340" i="2"/>
  <c r="I5340" i="2"/>
  <c r="H5340" i="2"/>
  <c r="G5340" i="2"/>
  <c r="F5340" i="2"/>
  <c r="E5340" i="2"/>
  <c r="D5340" i="2"/>
  <c r="C5340" i="2"/>
  <c r="B5340" i="2"/>
  <c r="A5340" i="2"/>
  <c r="U5339" i="2"/>
  <c r="N5339" i="2"/>
  <c r="M5339" i="2"/>
  <c r="J5339" i="2"/>
  <c r="I5339" i="2"/>
  <c r="H5339" i="2"/>
  <c r="G5339" i="2"/>
  <c r="F5339" i="2"/>
  <c r="E5339" i="2"/>
  <c r="D5339" i="2"/>
  <c r="C5339" i="2"/>
  <c r="B5339" i="2"/>
  <c r="A5339" i="2"/>
  <c r="U5338" i="2"/>
  <c r="N5338" i="2"/>
  <c r="M5338" i="2"/>
  <c r="J5338" i="2"/>
  <c r="I5338" i="2"/>
  <c r="H5338" i="2"/>
  <c r="G5338" i="2"/>
  <c r="F5338" i="2"/>
  <c r="E5338" i="2"/>
  <c r="D5338" i="2"/>
  <c r="C5338" i="2"/>
  <c r="B5338" i="2"/>
  <c r="A5338" i="2"/>
  <c r="U5337" i="2"/>
  <c r="N5337" i="2"/>
  <c r="M5337" i="2"/>
  <c r="J5337" i="2"/>
  <c r="I5337" i="2"/>
  <c r="H5337" i="2"/>
  <c r="G5337" i="2"/>
  <c r="F5337" i="2"/>
  <c r="E5337" i="2"/>
  <c r="D5337" i="2"/>
  <c r="C5337" i="2"/>
  <c r="B5337" i="2"/>
  <c r="A5337" i="2"/>
  <c r="U5336" i="2"/>
  <c r="N5336" i="2"/>
  <c r="M5336" i="2"/>
  <c r="J5336" i="2"/>
  <c r="I5336" i="2"/>
  <c r="H5336" i="2"/>
  <c r="G5336" i="2"/>
  <c r="F5336" i="2"/>
  <c r="E5336" i="2"/>
  <c r="D5336" i="2"/>
  <c r="C5336" i="2"/>
  <c r="B5336" i="2"/>
  <c r="A5336" i="2"/>
  <c r="U5335" i="2"/>
  <c r="N5335" i="2"/>
  <c r="M5335" i="2"/>
  <c r="J5335" i="2"/>
  <c r="I5335" i="2"/>
  <c r="H5335" i="2"/>
  <c r="G5335" i="2"/>
  <c r="F5335" i="2"/>
  <c r="E5335" i="2"/>
  <c r="D5335" i="2"/>
  <c r="C5335" i="2"/>
  <c r="B5335" i="2"/>
  <c r="A5335" i="2"/>
  <c r="U5334" i="2"/>
  <c r="N5334" i="2"/>
  <c r="M5334" i="2"/>
  <c r="J5334" i="2"/>
  <c r="I5334" i="2"/>
  <c r="H5334" i="2"/>
  <c r="G5334" i="2"/>
  <c r="F5334" i="2"/>
  <c r="E5334" i="2"/>
  <c r="D5334" i="2"/>
  <c r="C5334" i="2"/>
  <c r="B5334" i="2"/>
  <c r="A5334" i="2"/>
  <c r="U5333" i="2"/>
  <c r="N5333" i="2"/>
  <c r="M5333" i="2"/>
  <c r="J5333" i="2"/>
  <c r="I5333" i="2"/>
  <c r="H5333" i="2"/>
  <c r="G5333" i="2"/>
  <c r="F5333" i="2"/>
  <c r="E5333" i="2"/>
  <c r="D5333" i="2"/>
  <c r="C5333" i="2"/>
  <c r="B5333" i="2"/>
  <c r="A5333" i="2"/>
  <c r="U5332" i="2"/>
  <c r="N5332" i="2"/>
  <c r="M5332" i="2"/>
  <c r="J5332" i="2"/>
  <c r="I5332" i="2"/>
  <c r="H5332" i="2"/>
  <c r="G5332" i="2"/>
  <c r="F5332" i="2"/>
  <c r="E5332" i="2"/>
  <c r="D5332" i="2"/>
  <c r="C5332" i="2"/>
  <c r="B5332" i="2"/>
  <c r="A5332" i="2"/>
  <c r="Q5331" i="2"/>
  <c r="U5331" i="2" s="1"/>
  <c r="N5331" i="2"/>
  <c r="M5331" i="2"/>
  <c r="J5331" i="2"/>
  <c r="I5331" i="2"/>
  <c r="H5331" i="2"/>
  <c r="G5331" i="2"/>
  <c r="F5331" i="2"/>
  <c r="E5331" i="2"/>
  <c r="D5331" i="2"/>
  <c r="C5331" i="2"/>
  <c r="B5331" i="2"/>
  <c r="A5331" i="2"/>
  <c r="U5330" i="2"/>
  <c r="N5330" i="2"/>
  <c r="M5330" i="2"/>
  <c r="J5330" i="2"/>
  <c r="I5330" i="2"/>
  <c r="H5330" i="2"/>
  <c r="G5330" i="2"/>
  <c r="F5330" i="2"/>
  <c r="E5330" i="2"/>
  <c r="D5330" i="2"/>
  <c r="C5330" i="2"/>
  <c r="B5330" i="2"/>
  <c r="A5330" i="2"/>
  <c r="U5329" i="2"/>
  <c r="N5329" i="2"/>
  <c r="M5329" i="2"/>
  <c r="J5329" i="2"/>
  <c r="I5329" i="2"/>
  <c r="H5329" i="2"/>
  <c r="G5329" i="2"/>
  <c r="F5329" i="2"/>
  <c r="E5329" i="2"/>
  <c r="D5329" i="2"/>
  <c r="C5329" i="2"/>
  <c r="B5329" i="2"/>
  <c r="A5329" i="2"/>
  <c r="U5328" i="2"/>
  <c r="N5328" i="2"/>
  <c r="M5328" i="2"/>
  <c r="J5328" i="2"/>
  <c r="I5328" i="2"/>
  <c r="H5328" i="2"/>
  <c r="G5328" i="2"/>
  <c r="F5328" i="2"/>
  <c r="E5328" i="2"/>
  <c r="D5328" i="2"/>
  <c r="C5328" i="2"/>
  <c r="B5328" i="2"/>
  <c r="A5328" i="2"/>
  <c r="Q5327" i="2"/>
  <c r="U5327" i="2" s="1"/>
  <c r="N5327" i="2"/>
  <c r="M5327" i="2"/>
  <c r="J5327" i="2"/>
  <c r="I5327" i="2"/>
  <c r="H5327" i="2"/>
  <c r="G5327" i="2"/>
  <c r="F5327" i="2"/>
  <c r="E5327" i="2"/>
  <c r="D5327" i="2"/>
  <c r="C5327" i="2"/>
  <c r="B5327" i="2"/>
  <c r="A5327" i="2"/>
  <c r="Q5326" i="2"/>
  <c r="U5326" i="2" s="1"/>
  <c r="N5326" i="2"/>
  <c r="M5326" i="2"/>
  <c r="J5326" i="2"/>
  <c r="I5326" i="2"/>
  <c r="H5326" i="2"/>
  <c r="G5326" i="2"/>
  <c r="F5326" i="2"/>
  <c r="E5326" i="2"/>
  <c r="D5326" i="2"/>
  <c r="C5326" i="2"/>
  <c r="B5326" i="2"/>
  <c r="A5326" i="2"/>
  <c r="Q5325" i="2"/>
  <c r="U5325" i="2" s="1"/>
  <c r="N5325" i="2"/>
  <c r="M5325" i="2"/>
  <c r="J5325" i="2"/>
  <c r="I5325" i="2"/>
  <c r="H5325" i="2"/>
  <c r="G5325" i="2"/>
  <c r="F5325" i="2"/>
  <c r="E5325" i="2"/>
  <c r="D5325" i="2"/>
  <c r="C5325" i="2"/>
  <c r="B5325" i="2"/>
  <c r="A5325" i="2"/>
  <c r="U5324" i="2"/>
  <c r="N5324" i="2"/>
  <c r="M5324" i="2"/>
  <c r="J5324" i="2"/>
  <c r="I5324" i="2"/>
  <c r="H5324" i="2"/>
  <c r="G5324" i="2"/>
  <c r="F5324" i="2"/>
  <c r="E5324" i="2"/>
  <c r="D5324" i="2"/>
  <c r="C5324" i="2"/>
  <c r="B5324" i="2"/>
  <c r="A5324" i="2"/>
  <c r="U5323" i="2"/>
  <c r="N5323" i="2"/>
  <c r="M5323" i="2"/>
  <c r="J5323" i="2"/>
  <c r="I5323" i="2"/>
  <c r="H5323" i="2"/>
  <c r="G5323" i="2"/>
  <c r="F5323" i="2"/>
  <c r="E5323" i="2"/>
  <c r="D5323" i="2"/>
  <c r="C5323" i="2"/>
  <c r="B5323" i="2"/>
  <c r="A5323" i="2"/>
  <c r="U5322" i="2"/>
  <c r="N5322" i="2"/>
  <c r="M5322" i="2"/>
  <c r="J5322" i="2"/>
  <c r="I5322" i="2"/>
  <c r="H5322" i="2"/>
  <c r="G5322" i="2"/>
  <c r="F5322" i="2"/>
  <c r="E5322" i="2"/>
  <c r="D5322" i="2"/>
  <c r="C5322" i="2"/>
  <c r="B5322" i="2"/>
  <c r="A5322" i="2"/>
  <c r="U5321" i="2"/>
  <c r="N5321" i="2"/>
  <c r="M5321" i="2"/>
  <c r="J5321" i="2"/>
  <c r="I5321" i="2"/>
  <c r="H5321" i="2"/>
  <c r="G5321" i="2"/>
  <c r="F5321" i="2"/>
  <c r="E5321" i="2"/>
  <c r="D5321" i="2"/>
  <c r="C5321" i="2"/>
  <c r="B5321" i="2"/>
  <c r="A5321" i="2"/>
  <c r="Q5320" i="2"/>
  <c r="U5320" i="2" s="1"/>
  <c r="N5320" i="2"/>
  <c r="M5320" i="2"/>
  <c r="J5320" i="2"/>
  <c r="I5320" i="2"/>
  <c r="H5320" i="2"/>
  <c r="G5320" i="2"/>
  <c r="F5320" i="2"/>
  <c r="E5320" i="2"/>
  <c r="D5320" i="2"/>
  <c r="C5320" i="2"/>
  <c r="B5320" i="2"/>
  <c r="A5320" i="2"/>
  <c r="Q5319" i="2"/>
  <c r="U5319" i="2" s="1"/>
  <c r="N5319" i="2"/>
  <c r="M5319" i="2"/>
  <c r="J5319" i="2"/>
  <c r="I5319" i="2"/>
  <c r="H5319" i="2"/>
  <c r="G5319" i="2"/>
  <c r="F5319" i="2"/>
  <c r="E5319" i="2"/>
  <c r="D5319" i="2"/>
  <c r="C5319" i="2"/>
  <c r="B5319" i="2"/>
  <c r="A5319" i="2"/>
  <c r="Q5318" i="2"/>
  <c r="U5318" i="2" s="1"/>
  <c r="N5318" i="2"/>
  <c r="M5318" i="2"/>
  <c r="J5318" i="2"/>
  <c r="I5318" i="2"/>
  <c r="H5318" i="2"/>
  <c r="G5318" i="2"/>
  <c r="F5318" i="2"/>
  <c r="E5318" i="2"/>
  <c r="D5318" i="2"/>
  <c r="C5318" i="2"/>
  <c r="B5318" i="2"/>
  <c r="A5318" i="2"/>
  <c r="U5317" i="2"/>
  <c r="N5317" i="2"/>
  <c r="M5317" i="2"/>
  <c r="J5317" i="2"/>
  <c r="I5317" i="2"/>
  <c r="H5317" i="2"/>
  <c r="G5317" i="2"/>
  <c r="F5317" i="2"/>
  <c r="E5317" i="2"/>
  <c r="D5317" i="2"/>
  <c r="C5317" i="2"/>
  <c r="B5317" i="2"/>
  <c r="A5317" i="2"/>
  <c r="U5316" i="2"/>
  <c r="N5316" i="2"/>
  <c r="M5316" i="2"/>
  <c r="J5316" i="2"/>
  <c r="I5316" i="2"/>
  <c r="H5316" i="2"/>
  <c r="G5316" i="2"/>
  <c r="F5316" i="2"/>
  <c r="E5316" i="2"/>
  <c r="D5316" i="2"/>
  <c r="C5316" i="2"/>
  <c r="B5316" i="2"/>
  <c r="A5316" i="2"/>
  <c r="U5315" i="2"/>
  <c r="N5315" i="2"/>
  <c r="M5315" i="2"/>
  <c r="J5315" i="2"/>
  <c r="I5315" i="2"/>
  <c r="H5315" i="2"/>
  <c r="G5315" i="2"/>
  <c r="F5315" i="2"/>
  <c r="E5315" i="2"/>
  <c r="D5315" i="2"/>
  <c r="C5315" i="2"/>
  <c r="B5315" i="2"/>
  <c r="A5315" i="2"/>
  <c r="U5314" i="2"/>
  <c r="N5314" i="2"/>
  <c r="M5314" i="2"/>
  <c r="J5314" i="2"/>
  <c r="I5314" i="2"/>
  <c r="H5314" i="2"/>
  <c r="G5314" i="2"/>
  <c r="F5314" i="2"/>
  <c r="E5314" i="2"/>
  <c r="D5314" i="2"/>
  <c r="C5314" i="2"/>
  <c r="B5314" i="2"/>
  <c r="A5314" i="2"/>
  <c r="U5313" i="2"/>
  <c r="N5313" i="2"/>
  <c r="M5313" i="2"/>
  <c r="J5313" i="2"/>
  <c r="I5313" i="2"/>
  <c r="H5313" i="2"/>
  <c r="G5313" i="2"/>
  <c r="F5313" i="2"/>
  <c r="E5313" i="2"/>
  <c r="D5313" i="2"/>
  <c r="C5313" i="2"/>
  <c r="B5313" i="2"/>
  <c r="A5313" i="2"/>
  <c r="U5312" i="2"/>
  <c r="N5312" i="2"/>
  <c r="M5312" i="2"/>
  <c r="J5312" i="2"/>
  <c r="I5312" i="2"/>
  <c r="H5312" i="2"/>
  <c r="G5312" i="2"/>
  <c r="F5312" i="2"/>
  <c r="E5312" i="2"/>
  <c r="D5312" i="2"/>
  <c r="C5312" i="2"/>
  <c r="B5312" i="2"/>
  <c r="A5312" i="2"/>
  <c r="U5311" i="2"/>
  <c r="N5311" i="2"/>
  <c r="M5311" i="2"/>
  <c r="J5311" i="2"/>
  <c r="I5311" i="2"/>
  <c r="H5311" i="2"/>
  <c r="G5311" i="2"/>
  <c r="F5311" i="2"/>
  <c r="E5311" i="2"/>
  <c r="D5311" i="2"/>
  <c r="C5311" i="2"/>
  <c r="B5311" i="2"/>
  <c r="A5311" i="2"/>
  <c r="U5310" i="2"/>
  <c r="N5310" i="2"/>
  <c r="M5310" i="2"/>
  <c r="J5310" i="2"/>
  <c r="I5310" i="2"/>
  <c r="H5310" i="2"/>
  <c r="G5310" i="2"/>
  <c r="F5310" i="2"/>
  <c r="E5310" i="2"/>
  <c r="D5310" i="2"/>
  <c r="C5310" i="2"/>
  <c r="B5310" i="2"/>
  <c r="A5310" i="2"/>
  <c r="U5309" i="2"/>
  <c r="N5309" i="2"/>
  <c r="M5309" i="2"/>
  <c r="J5309" i="2"/>
  <c r="I5309" i="2"/>
  <c r="H5309" i="2"/>
  <c r="G5309" i="2"/>
  <c r="F5309" i="2"/>
  <c r="E5309" i="2"/>
  <c r="D5309" i="2"/>
  <c r="C5309" i="2"/>
  <c r="B5309" i="2"/>
  <c r="A5309" i="2"/>
  <c r="U5308" i="2"/>
  <c r="N5308" i="2"/>
  <c r="M5308" i="2"/>
  <c r="J5308" i="2"/>
  <c r="I5308" i="2"/>
  <c r="H5308" i="2"/>
  <c r="G5308" i="2"/>
  <c r="F5308" i="2"/>
  <c r="E5308" i="2"/>
  <c r="D5308" i="2"/>
  <c r="C5308" i="2"/>
  <c r="B5308" i="2"/>
  <c r="A5308" i="2"/>
  <c r="U5307" i="2"/>
  <c r="N5307" i="2"/>
  <c r="M5307" i="2"/>
  <c r="J5307" i="2"/>
  <c r="I5307" i="2"/>
  <c r="H5307" i="2"/>
  <c r="G5307" i="2"/>
  <c r="F5307" i="2"/>
  <c r="E5307" i="2"/>
  <c r="D5307" i="2"/>
  <c r="C5307" i="2"/>
  <c r="B5307" i="2"/>
  <c r="A5307" i="2"/>
  <c r="U5306" i="2"/>
  <c r="N5306" i="2"/>
  <c r="M5306" i="2"/>
  <c r="J5306" i="2"/>
  <c r="I5306" i="2"/>
  <c r="H5306" i="2"/>
  <c r="G5306" i="2"/>
  <c r="F5306" i="2"/>
  <c r="E5306" i="2"/>
  <c r="D5306" i="2"/>
  <c r="C5306" i="2"/>
  <c r="B5306" i="2"/>
  <c r="A5306" i="2"/>
  <c r="U5305" i="2"/>
  <c r="N5305" i="2"/>
  <c r="M5305" i="2"/>
  <c r="J5305" i="2"/>
  <c r="I5305" i="2"/>
  <c r="H5305" i="2"/>
  <c r="G5305" i="2"/>
  <c r="F5305" i="2"/>
  <c r="E5305" i="2"/>
  <c r="D5305" i="2"/>
  <c r="C5305" i="2"/>
  <c r="B5305" i="2"/>
  <c r="A5305" i="2"/>
  <c r="U5304" i="2"/>
  <c r="N5304" i="2"/>
  <c r="M5304" i="2"/>
  <c r="J5304" i="2"/>
  <c r="I5304" i="2"/>
  <c r="H5304" i="2"/>
  <c r="G5304" i="2"/>
  <c r="F5304" i="2"/>
  <c r="E5304" i="2"/>
  <c r="D5304" i="2"/>
  <c r="C5304" i="2"/>
  <c r="B5304" i="2"/>
  <c r="A5304" i="2"/>
  <c r="U5303" i="2"/>
  <c r="N5303" i="2"/>
  <c r="M5303" i="2"/>
  <c r="J5303" i="2"/>
  <c r="I5303" i="2"/>
  <c r="H5303" i="2"/>
  <c r="G5303" i="2"/>
  <c r="F5303" i="2"/>
  <c r="E5303" i="2"/>
  <c r="D5303" i="2"/>
  <c r="C5303" i="2"/>
  <c r="B5303" i="2"/>
  <c r="A5303" i="2"/>
  <c r="Q5302" i="2"/>
  <c r="U5302" i="2" s="1"/>
  <c r="N5302" i="2"/>
  <c r="M5302" i="2"/>
  <c r="J5302" i="2"/>
  <c r="I5302" i="2"/>
  <c r="H5302" i="2"/>
  <c r="G5302" i="2"/>
  <c r="F5302" i="2"/>
  <c r="E5302" i="2"/>
  <c r="D5302" i="2"/>
  <c r="C5302" i="2"/>
  <c r="B5302" i="2"/>
  <c r="A5302" i="2"/>
  <c r="U5301" i="2"/>
  <c r="N5301" i="2"/>
  <c r="M5301" i="2"/>
  <c r="J5301" i="2"/>
  <c r="I5301" i="2"/>
  <c r="H5301" i="2"/>
  <c r="G5301" i="2"/>
  <c r="F5301" i="2"/>
  <c r="E5301" i="2"/>
  <c r="D5301" i="2"/>
  <c r="C5301" i="2"/>
  <c r="B5301" i="2"/>
  <c r="A5301" i="2"/>
  <c r="U5300" i="2"/>
  <c r="N5300" i="2"/>
  <c r="M5300" i="2"/>
  <c r="J5300" i="2"/>
  <c r="I5300" i="2"/>
  <c r="H5300" i="2"/>
  <c r="G5300" i="2"/>
  <c r="F5300" i="2"/>
  <c r="E5300" i="2"/>
  <c r="D5300" i="2"/>
  <c r="C5300" i="2"/>
  <c r="B5300" i="2"/>
  <c r="A5300" i="2"/>
  <c r="U5299" i="2"/>
  <c r="N5299" i="2"/>
  <c r="M5299" i="2"/>
  <c r="J5299" i="2"/>
  <c r="I5299" i="2"/>
  <c r="H5299" i="2"/>
  <c r="G5299" i="2"/>
  <c r="F5299" i="2"/>
  <c r="E5299" i="2"/>
  <c r="D5299" i="2"/>
  <c r="C5299" i="2"/>
  <c r="B5299" i="2"/>
  <c r="A5299" i="2"/>
  <c r="U5298" i="2"/>
  <c r="N5298" i="2"/>
  <c r="M5298" i="2"/>
  <c r="J5298" i="2"/>
  <c r="I5298" i="2"/>
  <c r="H5298" i="2"/>
  <c r="G5298" i="2"/>
  <c r="F5298" i="2"/>
  <c r="E5298" i="2"/>
  <c r="D5298" i="2"/>
  <c r="C5298" i="2"/>
  <c r="B5298" i="2"/>
  <c r="A5298" i="2"/>
  <c r="U5297" i="2"/>
  <c r="N5297" i="2"/>
  <c r="M5297" i="2"/>
  <c r="J5297" i="2"/>
  <c r="I5297" i="2"/>
  <c r="H5297" i="2"/>
  <c r="G5297" i="2"/>
  <c r="F5297" i="2"/>
  <c r="E5297" i="2"/>
  <c r="D5297" i="2"/>
  <c r="C5297" i="2"/>
  <c r="B5297" i="2"/>
  <c r="A5297" i="2"/>
  <c r="Q5296" i="2"/>
  <c r="U5296" i="2" s="1"/>
  <c r="N5296" i="2"/>
  <c r="M5296" i="2"/>
  <c r="J5296" i="2"/>
  <c r="I5296" i="2"/>
  <c r="H5296" i="2"/>
  <c r="G5296" i="2"/>
  <c r="F5296" i="2"/>
  <c r="E5296" i="2"/>
  <c r="D5296" i="2"/>
  <c r="C5296" i="2"/>
  <c r="B5296" i="2"/>
  <c r="A5296" i="2"/>
  <c r="U5295" i="2"/>
  <c r="N5295" i="2"/>
  <c r="M5295" i="2"/>
  <c r="J5295" i="2"/>
  <c r="I5295" i="2"/>
  <c r="H5295" i="2"/>
  <c r="G5295" i="2"/>
  <c r="F5295" i="2"/>
  <c r="E5295" i="2"/>
  <c r="D5295" i="2"/>
  <c r="C5295" i="2"/>
  <c r="B5295" i="2"/>
  <c r="A5295" i="2"/>
  <c r="U5294" i="2"/>
  <c r="N5294" i="2"/>
  <c r="M5294" i="2"/>
  <c r="J5294" i="2"/>
  <c r="I5294" i="2"/>
  <c r="H5294" i="2"/>
  <c r="G5294" i="2"/>
  <c r="F5294" i="2"/>
  <c r="E5294" i="2"/>
  <c r="D5294" i="2"/>
  <c r="C5294" i="2"/>
  <c r="B5294" i="2"/>
  <c r="A5294" i="2"/>
  <c r="U5293" i="2"/>
  <c r="N5293" i="2"/>
  <c r="M5293" i="2"/>
  <c r="J5293" i="2"/>
  <c r="I5293" i="2"/>
  <c r="H5293" i="2"/>
  <c r="G5293" i="2"/>
  <c r="F5293" i="2"/>
  <c r="E5293" i="2"/>
  <c r="D5293" i="2"/>
  <c r="C5293" i="2"/>
  <c r="B5293" i="2"/>
  <c r="A5293" i="2"/>
  <c r="U5292" i="2"/>
  <c r="N5292" i="2"/>
  <c r="M5292" i="2"/>
  <c r="J5292" i="2"/>
  <c r="I5292" i="2"/>
  <c r="H5292" i="2"/>
  <c r="G5292" i="2"/>
  <c r="F5292" i="2"/>
  <c r="E5292" i="2"/>
  <c r="D5292" i="2"/>
  <c r="C5292" i="2"/>
  <c r="B5292" i="2"/>
  <c r="A5292" i="2"/>
  <c r="Q5291" i="2"/>
  <c r="U5291" i="2" s="1"/>
  <c r="N5291" i="2"/>
  <c r="M5291" i="2"/>
  <c r="J5291" i="2"/>
  <c r="I5291" i="2"/>
  <c r="H5291" i="2"/>
  <c r="G5291" i="2"/>
  <c r="F5291" i="2"/>
  <c r="E5291" i="2"/>
  <c r="D5291" i="2"/>
  <c r="C5291" i="2"/>
  <c r="B5291" i="2"/>
  <c r="A5291" i="2"/>
  <c r="U5290" i="2"/>
  <c r="N5290" i="2"/>
  <c r="M5290" i="2"/>
  <c r="J5290" i="2"/>
  <c r="I5290" i="2"/>
  <c r="H5290" i="2"/>
  <c r="G5290" i="2"/>
  <c r="F5290" i="2"/>
  <c r="E5290" i="2"/>
  <c r="D5290" i="2"/>
  <c r="C5290" i="2"/>
  <c r="B5290" i="2"/>
  <c r="A5290" i="2"/>
  <c r="Q5289" i="2"/>
  <c r="U5289" i="2" s="1"/>
  <c r="N5289" i="2"/>
  <c r="M5289" i="2"/>
  <c r="J5289" i="2"/>
  <c r="I5289" i="2"/>
  <c r="H5289" i="2"/>
  <c r="G5289" i="2"/>
  <c r="F5289" i="2"/>
  <c r="E5289" i="2"/>
  <c r="D5289" i="2"/>
  <c r="C5289" i="2"/>
  <c r="B5289" i="2"/>
  <c r="A5289" i="2"/>
  <c r="U5288" i="2"/>
  <c r="N5288" i="2"/>
  <c r="M5288" i="2"/>
  <c r="J5288" i="2"/>
  <c r="I5288" i="2"/>
  <c r="H5288" i="2"/>
  <c r="G5288" i="2"/>
  <c r="F5288" i="2"/>
  <c r="E5288" i="2"/>
  <c r="D5288" i="2"/>
  <c r="C5288" i="2"/>
  <c r="B5288" i="2"/>
  <c r="A5288" i="2"/>
  <c r="U5287" i="2"/>
  <c r="N5287" i="2"/>
  <c r="M5287" i="2"/>
  <c r="J5287" i="2"/>
  <c r="I5287" i="2"/>
  <c r="H5287" i="2"/>
  <c r="G5287" i="2"/>
  <c r="F5287" i="2"/>
  <c r="E5287" i="2"/>
  <c r="D5287" i="2"/>
  <c r="C5287" i="2"/>
  <c r="B5287" i="2"/>
  <c r="A5287" i="2"/>
  <c r="U5286" i="2"/>
  <c r="N5286" i="2"/>
  <c r="M5286" i="2"/>
  <c r="J5286" i="2"/>
  <c r="I5286" i="2"/>
  <c r="H5286" i="2"/>
  <c r="G5286" i="2"/>
  <c r="F5286" i="2"/>
  <c r="E5286" i="2"/>
  <c r="D5286" i="2"/>
  <c r="C5286" i="2"/>
  <c r="B5286" i="2"/>
  <c r="A5286" i="2"/>
  <c r="U5285" i="2"/>
  <c r="N5285" i="2"/>
  <c r="M5285" i="2"/>
  <c r="J5285" i="2"/>
  <c r="I5285" i="2"/>
  <c r="H5285" i="2"/>
  <c r="G5285" i="2"/>
  <c r="F5285" i="2"/>
  <c r="E5285" i="2"/>
  <c r="D5285" i="2"/>
  <c r="C5285" i="2"/>
  <c r="B5285" i="2"/>
  <c r="A5285" i="2"/>
  <c r="U5284" i="2"/>
  <c r="N5284" i="2"/>
  <c r="M5284" i="2"/>
  <c r="J5284" i="2"/>
  <c r="I5284" i="2"/>
  <c r="H5284" i="2"/>
  <c r="G5284" i="2"/>
  <c r="F5284" i="2"/>
  <c r="E5284" i="2"/>
  <c r="D5284" i="2"/>
  <c r="C5284" i="2"/>
  <c r="B5284" i="2"/>
  <c r="A5284" i="2"/>
  <c r="U5283" i="2"/>
  <c r="N5283" i="2"/>
  <c r="M5283" i="2"/>
  <c r="J5283" i="2"/>
  <c r="I5283" i="2"/>
  <c r="H5283" i="2"/>
  <c r="G5283" i="2"/>
  <c r="F5283" i="2"/>
  <c r="E5283" i="2"/>
  <c r="D5283" i="2"/>
  <c r="C5283" i="2"/>
  <c r="B5283" i="2"/>
  <c r="A5283" i="2"/>
  <c r="U5282" i="2"/>
  <c r="N5282" i="2"/>
  <c r="M5282" i="2"/>
  <c r="J5282" i="2"/>
  <c r="I5282" i="2"/>
  <c r="H5282" i="2"/>
  <c r="G5282" i="2"/>
  <c r="F5282" i="2"/>
  <c r="E5282" i="2"/>
  <c r="D5282" i="2"/>
  <c r="C5282" i="2"/>
  <c r="B5282" i="2"/>
  <c r="A5282" i="2"/>
  <c r="U5281" i="2"/>
  <c r="N5281" i="2"/>
  <c r="M5281" i="2"/>
  <c r="J5281" i="2"/>
  <c r="I5281" i="2"/>
  <c r="H5281" i="2"/>
  <c r="G5281" i="2"/>
  <c r="F5281" i="2"/>
  <c r="E5281" i="2"/>
  <c r="D5281" i="2"/>
  <c r="C5281" i="2"/>
  <c r="B5281" i="2"/>
  <c r="A5281" i="2"/>
  <c r="Q5280" i="2"/>
  <c r="U5280" i="2" s="1"/>
  <c r="N5280" i="2"/>
  <c r="M5280" i="2"/>
  <c r="J5280" i="2"/>
  <c r="I5280" i="2"/>
  <c r="H5280" i="2"/>
  <c r="G5280" i="2"/>
  <c r="F5280" i="2"/>
  <c r="E5280" i="2"/>
  <c r="D5280" i="2"/>
  <c r="C5280" i="2"/>
  <c r="B5280" i="2"/>
  <c r="A5280" i="2"/>
  <c r="U5279" i="2"/>
  <c r="N5279" i="2"/>
  <c r="M5279" i="2"/>
  <c r="J5279" i="2"/>
  <c r="I5279" i="2"/>
  <c r="H5279" i="2"/>
  <c r="G5279" i="2"/>
  <c r="F5279" i="2"/>
  <c r="E5279" i="2"/>
  <c r="D5279" i="2"/>
  <c r="C5279" i="2"/>
  <c r="B5279" i="2"/>
  <c r="A5279" i="2"/>
  <c r="U5278" i="2"/>
  <c r="N5278" i="2"/>
  <c r="M5278" i="2"/>
  <c r="J5278" i="2"/>
  <c r="I5278" i="2"/>
  <c r="H5278" i="2"/>
  <c r="G5278" i="2"/>
  <c r="F5278" i="2"/>
  <c r="E5278" i="2"/>
  <c r="D5278" i="2"/>
  <c r="C5278" i="2"/>
  <c r="B5278" i="2"/>
  <c r="A5278" i="2"/>
  <c r="R5277" i="2"/>
  <c r="U5277" i="2" s="1"/>
  <c r="Q5277" i="2"/>
  <c r="N5277" i="2"/>
  <c r="M5277" i="2"/>
  <c r="J5277" i="2"/>
  <c r="I5277" i="2"/>
  <c r="H5277" i="2"/>
  <c r="G5277" i="2"/>
  <c r="F5277" i="2"/>
  <c r="E5277" i="2"/>
  <c r="D5277" i="2"/>
  <c r="C5277" i="2"/>
  <c r="B5277" i="2"/>
  <c r="A5277" i="2"/>
  <c r="R5276" i="2"/>
  <c r="U5276" i="2" s="1"/>
  <c r="Q5276" i="2"/>
  <c r="N5276" i="2"/>
  <c r="M5276" i="2"/>
  <c r="J5276" i="2"/>
  <c r="I5276" i="2"/>
  <c r="H5276" i="2"/>
  <c r="G5276" i="2"/>
  <c r="F5276" i="2"/>
  <c r="E5276" i="2"/>
  <c r="D5276" i="2"/>
  <c r="C5276" i="2"/>
  <c r="B5276" i="2"/>
  <c r="A5276" i="2"/>
  <c r="R5275" i="2"/>
  <c r="U5275" i="2" s="1"/>
  <c r="Q5275" i="2"/>
  <c r="N5275" i="2"/>
  <c r="M5275" i="2"/>
  <c r="J5275" i="2"/>
  <c r="I5275" i="2"/>
  <c r="H5275" i="2"/>
  <c r="G5275" i="2"/>
  <c r="F5275" i="2"/>
  <c r="E5275" i="2"/>
  <c r="D5275" i="2"/>
  <c r="C5275" i="2"/>
  <c r="B5275" i="2"/>
  <c r="A5275" i="2"/>
  <c r="Q5274" i="2"/>
  <c r="U5274" i="2" s="1"/>
  <c r="N5274" i="2"/>
  <c r="M5274" i="2"/>
  <c r="J5274" i="2"/>
  <c r="I5274" i="2"/>
  <c r="H5274" i="2"/>
  <c r="G5274" i="2"/>
  <c r="F5274" i="2"/>
  <c r="E5274" i="2"/>
  <c r="D5274" i="2"/>
  <c r="C5274" i="2"/>
  <c r="B5274" i="2"/>
  <c r="A5274" i="2"/>
  <c r="Q5273" i="2"/>
  <c r="U5273" i="2" s="1"/>
  <c r="N5273" i="2"/>
  <c r="M5273" i="2"/>
  <c r="J5273" i="2"/>
  <c r="I5273" i="2"/>
  <c r="H5273" i="2"/>
  <c r="G5273" i="2"/>
  <c r="F5273" i="2"/>
  <c r="E5273" i="2"/>
  <c r="D5273" i="2"/>
  <c r="C5273" i="2"/>
  <c r="B5273" i="2"/>
  <c r="A5273" i="2"/>
  <c r="Q5272" i="2"/>
  <c r="U5272" i="2" s="1"/>
  <c r="N5272" i="2"/>
  <c r="M5272" i="2"/>
  <c r="J5272" i="2"/>
  <c r="I5272" i="2"/>
  <c r="H5272" i="2"/>
  <c r="G5272" i="2"/>
  <c r="F5272" i="2"/>
  <c r="E5272" i="2"/>
  <c r="D5272" i="2"/>
  <c r="C5272" i="2"/>
  <c r="B5272" i="2"/>
  <c r="A5272" i="2"/>
  <c r="U5271" i="2"/>
  <c r="N5271" i="2"/>
  <c r="M5271" i="2"/>
  <c r="J5271" i="2"/>
  <c r="I5271" i="2"/>
  <c r="H5271" i="2"/>
  <c r="G5271" i="2"/>
  <c r="F5271" i="2"/>
  <c r="E5271" i="2"/>
  <c r="D5271" i="2"/>
  <c r="C5271" i="2"/>
  <c r="B5271" i="2"/>
  <c r="A5271" i="2"/>
  <c r="U5270" i="2"/>
  <c r="N5270" i="2"/>
  <c r="M5270" i="2"/>
  <c r="J5270" i="2"/>
  <c r="I5270" i="2"/>
  <c r="H5270" i="2"/>
  <c r="G5270" i="2"/>
  <c r="F5270" i="2"/>
  <c r="E5270" i="2"/>
  <c r="D5270" i="2"/>
  <c r="C5270" i="2"/>
  <c r="B5270" i="2"/>
  <c r="A5270" i="2"/>
  <c r="Q5269" i="2"/>
  <c r="U5269" i="2" s="1"/>
  <c r="N5269" i="2"/>
  <c r="M5269" i="2"/>
  <c r="J5269" i="2"/>
  <c r="I5269" i="2"/>
  <c r="H5269" i="2"/>
  <c r="G5269" i="2"/>
  <c r="F5269" i="2"/>
  <c r="E5269" i="2"/>
  <c r="D5269" i="2"/>
  <c r="C5269" i="2"/>
  <c r="B5269" i="2"/>
  <c r="A5269" i="2"/>
  <c r="U5268" i="2"/>
  <c r="N5268" i="2"/>
  <c r="M5268" i="2"/>
  <c r="J5268" i="2"/>
  <c r="I5268" i="2"/>
  <c r="H5268" i="2"/>
  <c r="G5268" i="2"/>
  <c r="F5268" i="2"/>
  <c r="E5268" i="2"/>
  <c r="D5268" i="2"/>
  <c r="C5268" i="2"/>
  <c r="B5268" i="2"/>
  <c r="A5268" i="2"/>
  <c r="U5267" i="2"/>
  <c r="N5267" i="2"/>
  <c r="M5267" i="2"/>
  <c r="J5267" i="2"/>
  <c r="I5267" i="2"/>
  <c r="H5267" i="2"/>
  <c r="G5267" i="2"/>
  <c r="F5267" i="2"/>
  <c r="E5267" i="2"/>
  <c r="D5267" i="2"/>
  <c r="C5267" i="2"/>
  <c r="B5267" i="2"/>
  <c r="A5267" i="2"/>
  <c r="Q5266" i="2"/>
  <c r="U5266" i="2" s="1"/>
  <c r="N5266" i="2"/>
  <c r="M5266" i="2"/>
  <c r="J5266" i="2"/>
  <c r="I5266" i="2"/>
  <c r="H5266" i="2"/>
  <c r="G5266" i="2"/>
  <c r="F5266" i="2"/>
  <c r="E5266" i="2"/>
  <c r="D5266" i="2"/>
  <c r="C5266" i="2"/>
  <c r="B5266" i="2"/>
  <c r="A5266" i="2"/>
  <c r="U5265" i="2"/>
  <c r="N5265" i="2"/>
  <c r="M5265" i="2"/>
  <c r="J5265" i="2"/>
  <c r="I5265" i="2"/>
  <c r="H5265" i="2"/>
  <c r="G5265" i="2"/>
  <c r="F5265" i="2"/>
  <c r="E5265" i="2"/>
  <c r="D5265" i="2"/>
  <c r="C5265" i="2"/>
  <c r="B5265" i="2"/>
  <c r="A5265" i="2"/>
  <c r="Q5264" i="2"/>
  <c r="U5264" i="2" s="1"/>
  <c r="N5264" i="2"/>
  <c r="M5264" i="2"/>
  <c r="J5264" i="2"/>
  <c r="I5264" i="2"/>
  <c r="H5264" i="2"/>
  <c r="G5264" i="2"/>
  <c r="F5264" i="2"/>
  <c r="E5264" i="2"/>
  <c r="D5264" i="2"/>
  <c r="C5264" i="2"/>
  <c r="B5264" i="2"/>
  <c r="A5264" i="2"/>
  <c r="Q5263" i="2"/>
  <c r="U5263" i="2" s="1"/>
  <c r="N5263" i="2"/>
  <c r="M5263" i="2"/>
  <c r="J5263" i="2"/>
  <c r="I5263" i="2"/>
  <c r="H5263" i="2"/>
  <c r="G5263" i="2"/>
  <c r="F5263" i="2"/>
  <c r="E5263" i="2"/>
  <c r="D5263" i="2"/>
  <c r="C5263" i="2"/>
  <c r="B5263" i="2"/>
  <c r="A5263" i="2"/>
  <c r="Q5262" i="2"/>
  <c r="U5262" i="2" s="1"/>
  <c r="N5262" i="2"/>
  <c r="M5262" i="2"/>
  <c r="J5262" i="2"/>
  <c r="I5262" i="2"/>
  <c r="H5262" i="2"/>
  <c r="G5262" i="2"/>
  <c r="F5262" i="2"/>
  <c r="E5262" i="2"/>
  <c r="D5262" i="2"/>
  <c r="C5262" i="2"/>
  <c r="B5262" i="2"/>
  <c r="A5262" i="2"/>
  <c r="Q5261" i="2"/>
  <c r="U5261" i="2" s="1"/>
  <c r="N5261" i="2"/>
  <c r="M5261" i="2"/>
  <c r="J5261" i="2"/>
  <c r="I5261" i="2"/>
  <c r="H5261" i="2"/>
  <c r="G5261" i="2"/>
  <c r="F5261" i="2"/>
  <c r="E5261" i="2"/>
  <c r="D5261" i="2"/>
  <c r="C5261" i="2"/>
  <c r="B5261" i="2"/>
  <c r="A5261" i="2"/>
  <c r="U5260" i="2"/>
  <c r="N5260" i="2"/>
  <c r="M5260" i="2"/>
  <c r="J5260" i="2"/>
  <c r="I5260" i="2"/>
  <c r="H5260" i="2"/>
  <c r="G5260" i="2"/>
  <c r="F5260" i="2"/>
  <c r="E5260" i="2"/>
  <c r="D5260" i="2"/>
  <c r="C5260" i="2"/>
  <c r="B5260" i="2"/>
  <c r="A5260" i="2"/>
  <c r="Q5259" i="2"/>
  <c r="U5259" i="2" s="1"/>
  <c r="N5259" i="2"/>
  <c r="M5259" i="2"/>
  <c r="J5259" i="2"/>
  <c r="I5259" i="2"/>
  <c r="H5259" i="2"/>
  <c r="G5259" i="2"/>
  <c r="F5259" i="2"/>
  <c r="E5259" i="2"/>
  <c r="D5259" i="2"/>
  <c r="C5259" i="2"/>
  <c r="B5259" i="2"/>
  <c r="A5259" i="2"/>
  <c r="U5258" i="2"/>
  <c r="N5258" i="2"/>
  <c r="M5258" i="2"/>
  <c r="J5258" i="2"/>
  <c r="I5258" i="2"/>
  <c r="H5258" i="2"/>
  <c r="G5258" i="2"/>
  <c r="F5258" i="2"/>
  <c r="E5258" i="2"/>
  <c r="D5258" i="2"/>
  <c r="C5258" i="2"/>
  <c r="B5258" i="2"/>
  <c r="A5258" i="2"/>
  <c r="U5257" i="2"/>
  <c r="N5257" i="2"/>
  <c r="M5257" i="2"/>
  <c r="J5257" i="2"/>
  <c r="I5257" i="2"/>
  <c r="H5257" i="2"/>
  <c r="G5257" i="2"/>
  <c r="F5257" i="2"/>
  <c r="E5257" i="2"/>
  <c r="D5257" i="2"/>
  <c r="C5257" i="2"/>
  <c r="B5257" i="2"/>
  <c r="A5257" i="2"/>
  <c r="Q5256" i="2"/>
  <c r="U5256" i="2" s="1"/>
  <c r="N5256" i="2"/>
  <c r="M5256" i="2"/>
  <c r="J5256" i="2"/>
  <c r="I5256" i="2"/>
  <c r="H5256" i="2"/>
  <c r="G5256" i="2"/>
  <c r="F5256" i="2"/>
  <c r="E5256" i="2"/>
  <c r="D5256" i="2"/>
  <c r="C5256" i="2"/>
  <c r="B5256" i="2"/>
  <c r="A5256" i="2"/>
  <c r="U5255" i="2"/>
  <c r="N5255" i="2"/>
  <c r="M5255" i="2"/>
  <c r="J5255" i="2"/>
  <c r="I5255" i="2"/>
  <c r="H5255" i="2"/>
  <c r="G5255" i="2"/>
  <c r="F5255" i="2"/>
  <c r="E5255" i="2"/>
  <c r="D5255" i="2"/>
  <c r="C5255" i="2"/>
  <c r="B5255" i="2"/>
  <c r="A5255" i="2"/>
  <c r="U5254" i="2"/>
  <c r="N5254" i="2"/>
  <c r="M5254" i="2"/>
  <c r="J5254" i="2"/>
  <c r="I5254" i="2"/>
  <c r="H5254" i="2"/>
  <c r="G5254" i="2"/>
  <c r="F5254" i="2"/>
  <c r="E5254" i="2"/>
  <c r="D5254" i="2"/>
  <c r="C5254" i="2"/>
  <c r="B5254" i="2"/>
  <c r="A5254" i="2"/>
  <c r="U5253" i="2"/>
  <c r="N5253" i="2"/>
  <c r="M5253" i="2"/>
  <c r="J5253" i="2"/>
  <c r="I5253" i="2"/>
  <c r="H5253" i="2"/>
  <c r="G5253" i="2"/>
  <c r="F5253" i="2"/>
  <c r="E5253" i="2"/>
  <c r="D5253" i="2"/>
  <c r="C5253" i="2"/>
  <c r="B5253" i="2"/>
  <c r="A5253" i="2"/>
  <c r="Q5252" i="2"/>
  <c r="U5252" i="2" s="1"/>
  <c r="N5252" i="2"/>
  <c r="M5252" i="2"/>
  <c r="J5252" i="2"/>
  <c r="I5252" i="2"/>
  <c r="H5252" i="2"/>
  <c r="G5252" i="2"/>
  <c r="F5252" i="2"/>
  <c r="E5252" i="2"/>
  <c r="D5252" i="2"/>
  <c r="C5252" i="2"/>
  <c r="B5252" i="2"/>
  <c r="A5252" i="2"/>
  <c r="U5251" i="2"/>
  <c r="N5251" i="2"/>
  <c r="M5251" i="2"/>
  <c r="J5251" i="2"/>
  <c r="I5251" i="2"/>
  <c r="H5251" i="2"/>
  <c r="G5251" i="2"/>
  <c r="F5251" i="2"/>
  <c r="E5251" i="2"/>
  <c r="D5251" i="2"/>
  <c r="C5251" i="2"/>
  <c r="B5251" i="2"/>
  <c r="A5251" i="2"/>
  <c r="Q5250" i="2"/>
  <c r="U5250" i="2" s="1"/>
  <c r="N5250" i="2"/>
  <c r="M5250" i="2"/>
  <c r="J5250" i="2"/>
  <c r="I5250" i="2"/>
  <c r="H5250" i="2"/>
  <c r="G5250" i="2"/>
  <c r="F5250" i="2"/>
  <c r="E5250" i="2"/>
  <c r="D5250" i="2"/>
  <c r="C5250" i="2"/>
  <c r="B5250" i="2"/>
  <c r="A5250" i="2"/>
  <c r="U5249" i="2"/>
  <c r="N5249" i="2"/>
  <c r="M5249" i="2"/>
  <c r="J5249" i="2"/>
  <c r="I5249" i="2"/>
  <c r="H5249" i="2"/>
  <c r="G5249" i="2"/>
  <c r="F5249" i="2"/>
  <c r="E5249" i="2"/>
  <c r="D5249" i="2"/>
  <c r="C5249" i="2"/>
  <c r="B5249" i="2"/>
  <c r="A5249" i="2"/>
  <c r="Q5248" i="2"/>
  <c r="U5248" i="2" s="1"/>
  <c r="N5248" i="2"/>
  <c r="M5248" i="2"/>
  <c r="J5248" i="2"/>
  <c r="I5248" i="2"/>
  <c r="H5248" i="2"/>
  <c r="G5248" i="2"/>
  <c r="F5248" i="2"/>
  <c r="E5248" i="2"/>
  <c r="D5248" i="2"/>
  <c r="C5248" i="2"/>
  <c r="B5248" i="2"/>
  <c r="A5248" i="2"/>
  <c r="U5247" i="2"/>
  <c r="N5247" i="2"/>
  <c r="M5247" i="2"/>
  <c r="J5247" i="2"/>
  <c r="I5247" i="2"/>
  <c r="H5247" i="2"/>
  <c r="G5247" i="2"/>
  <c r="F5247" i="2"/>
  <c r="E5247" i="2"/>
  <c r="D5247" i="2"/>
  <c r="C5247" i="2"/>
  <c r="B5247" i="2"/>
  <c r="A5247" i="2"/>
  <c r="U5246" i="2"/>
  <c r="N5246" i="2"/>
  <c r="M5246" i="2"/>
  <c r="J5246" i="2"/>
  <c r="I5246" i="2"/>
  <c r="H5246" i="2"/>
  <c r="G5246" i="2"/>
  <c r="F5246" i="2"/>
  <c r="E5246" i="2"/>
  <c r="D5246" i="2"/>
  <c r="C5246" i="2"/>
  <c r="B5246" i="2"/>
  <c r="A5246" i="2"/>
  <c r="U5245" i="2"/>
  <c r="N5245" i="2"/>
  <c r="M5245" i="2"/>
  <c r="J5245" i="2"/>
  <c r="I5245" i="2"/>
  <c r="H5245" i="2"/>
  <c r="G5245" i="2"/>
  <c r="F5245" i="2"/>
  <c r="E5245" i="2"/>
  <c r="D5245" i="2"/>
  <c r="C5245" i="2"/>
  <c r="B5245" i="2"/>
  <c r="A5245" i="2"/>
  <c r="U5244" i="2"/>
  <c r="N5244" i="2"/>
  <c r="M5244" i="2"/>
  <c r="J5244" i="2"/>
  <c r="I5244" i="2"/>
  <c r="H5244" i="2"/>
  <c r="G5244" i="2"/>
  <c r="F5244" i="2"/>
  <c r="E5244" i="2"/>
  <c r="D5244" i="2"/>
  <c r="C5244" i="2"/>
  <c r="B5244" i="2"/>
  <c r="A5244" i="2"/>
  <c r="U5243" i="2"/>
  <c r="N5243" i="2"/>
  <c r="M5243" i="2"/>
  <c r="J5243" i="2"/>
  <c r="I5243" i="2"/>
  <c r="H5243" i="2"/>
  <c r="G5243" i="2"/>
  <c r="F5243" i="2"/>
  <c r="E5243" i="2"/>
  <c r="D5243" i="2"/>
  <c r="C5243" i="2"/>
  <c r="B5243" i="2"/>
  <c r="A5243" i="2"/>
  <c r="Q5242" i="2"/>
  <c r="U5242" i="2" s="1"/>
  <c r="N5242" i="2"/>
  <c r="M5242" i="2"/>
  <c r="J5242" i="2"/>
  <c r="I5242" i="2"/>
  <c r="H5242" i="2"/>
  <c r="G5242" i="2"/>
  <c r="F5242" i="2"/>
  <c r="E5242" i="2"/>
  <c r="D5242" i="2"/>
  <c r="C5242" i="2"/>
  <c r="B5242" i="2"/>
  <c r="A5242" i="2"/>
  <c r="U5241" i="2"/>
  <c r="N5241" i="2"/>
  <c r="M5241" i="2"/>
  <c r="J5241" i="2"/>
  <c r="I5241" i="2"/>
  <c r="H5241" i="2"/>
  <c r="G5241" i="2"/>
  <c r="F5241" i="2"/>
  <c r="E5241" i="2"/>
  <c r="D5241" i="2"/>
  <c r="C5241" i="2"/>
  <c r="B5241" i="2"/>
  <c r="A5241" i="2"/>
  <c r="U5240" i="2"/>
  <c r="N5240" i="2"/>
  <c r="M5240" i="2"/>
  <c r="J5240" i="2"/>
  <c r="I5240" i="2"/>
  <c r="H5240" i="2"/>
  <c r="G5240" i="2"/>
  <c r="F5240" i="2"/>
  <c r="E5240" i="2"/>
  <c r="D5240" i="2"/>
  <c r="C5240" i="2"/>
  <c r="B5240" i="2"/>
  <c r="A5240" i="2"/>
  <c r="U5239" i="2"/>
  <c r="N5239" i="2"/>
  <c r="M5239" i="2"/>
  <c r="J5239" i="2"/>
  <c r="I5239" i="2"/>
  <c r="H5239" i="2"/>
  <c r="G5239" i="2"/>
  <c r="F5239" i="2"/>
  <c r="E5239" i="2"/>
  <c r="D5239" i="2"/>
  <c r="C5239" i="2"/>
  <c r="B5239" i="2"/>
  <c r="A5239" i="2"/>
  <c r="Q5238" i="2"/>
  <c r="U5238" i="2" s="1"/>
  <c r="N5238" i="2"/>
  <c r="M5238" i="2"/>
  <c r="J5238" i="2"/>
  <c r="I5238" i="2"/>
  <c r="H5238" i="2"/>
  <c r="G5238" i="2"/>
  <c r="F5238" i="2"/>
  <c r="E5238" i="2"/>
  <c r="D5238" i="2"/>
  <c r="C5238" i="2"/>
  <c r="B5238" i="2"/>
  <c r="A5238" i="2"/>
  <c r="U5237" i="2"/>
  <c r="N5237" i="2"/>
  <c r="M5237" i="2"/>
  <c r="J5237" i="2"/>
  <c r="I5237" i="2"/>
  <c r="H5237" i="2"/>
  <c r="G5237" i="2"/>
  <c r="F5237" i="2"/>
  <c r="E5237" i="2"/>
  <c r="D5237" i="2"/>
  <c r="C5237" i="2"/>
  <c r="B5237" i="2"/>
  <c r="A5237" i="2"/>
  <c r="Q5236" i="2"/>
  <c r="U5236" i="2" s="1"/>
  <c r="N5236" i="2"/>
  <c r="M5236" i="2"/>
  <c r="J5236" i="2"/>
  <c r="I5236" i="2"/>
  <c r="H5236" i="2"/>
  <c r="G5236" i="2"/>
  <c r="F5236" i="2"/>
  <c r="E5236" i="2"/>
  <c r="D5236" i="2"/>
  <c r="C5236" i="2"/>
  <c r="B5236" i="2"/>
  <c r="A5236" i="2"/>
  <c r="Q5235" i="2"/>
  <c r="U5235" i="2" s="1"/>
  <c r="N5235" i="2"/>
  <c r="M5235" i="2"/>
  <c r="J5235" i="2"/>
  <c r="I5235" i="2"/>
  <c r="H5235" i="2"/>
  <c r="G5235" i="2"/>
  <c r="F5235" i="2"/>
  <c r="E5235" i="2"/>
  <c r="D5235" i="2"/>
  <c r="C5235" i="2"/>
  <c r="B5235" i="2"/>
  <c r="A5235" i="2"/>
  <c r="Q5234" i="2"/>
  <c r="U5234" i="2" s="1"/>
  <c r="N5234" i="2"/>
  <c r="M5234" i="2"/>
  <c r="J5234" i="2"/>
  <c r="I5234" i="2"/>
  <c r="H5234" i="2"/>
  <c r="G5234" i="2"/>
  <c r="F5234" i="2"/>
  <c r="E5234" i="2"/>
  <c r="D5234" i="2"/>
  <c r="C5234" i="2"/>
  <c r="B5234" i="2"/>
  <c r="A5234" i="2"/>
  <c r="U5233" i="2"/>
  <c r="N5233" i="2"/>
  <c r="M5233" i="2"/>
  <c r="J5233" i="2"/>
  <c r="I5233" i="2"/>
  <c r="H5233" i="2"/>
  <c r="G5233" i="2"/>
  <c r="F5233" i="2"/>
  <c r="E5233" i="2"/>
  <c r="D5233" i="2"/>
  <c r="C5233" i="2"/>
  <c r="B5233" i="2"/>
  <c r="A5233" i="2"/>
  <c r="U5232" i="2"/>
  <c r="N5232" i="2"/>
  <c r="M5232" i="2"/>
  <c r="J5232" i="2"/>
  <c r="I5232" i="2"/>
  <c r="H5232" i="2"/>
  <c r="G5232" i="2"/>
  <c r="F5232" i="2"/>
  <c r="E5232" i="2"/>
  <c r="D5232" i="2"/>
  <c r="C5232" i="2"/>
  <c r="B5232" i="2"/>
  <c r="A5232" i="2"/>
  <c r="U5231" i="2"/>
  <c r="N5231" i="2"/>
  <c r="M5231" i="2"/>
  <c r="J5231" i="2"/>
  <c r="I5231" i="2"/>
  <c r="H5231" i="2"/>
  <c r="G5231" i="2"/>
  <c r="F5231" i="2"/>
  <c r="E5231" i="2"/>
  <c r="D5231" i="2"/>
  <c r="C5231" i="2"/>
  <c r="B5231" i="2"/>
  <c r="A5231" i="2"/>
  <c r="U5230" i="2"/>
  <c r="N5230" i="2"/>
  <c r="M5230" i="2"/>
  <c r="J5230" i="2"/>
  <c r="I5230" i="2"/>
  <c r="H5230" i="2"/>
  <c r="G5230" i="2"/>
  <c r="F5230" i="2"/>
  <c r="E5230" i="2"/>
  <c r="D5230" i="2"/>
  <c r="C5230" i="2"/>
  <c r="B5230" i="2"/>
  <c r="A5230" i="2"/>
  <c r="Q5229" i="2"/>
  <c r="U5229" i="2" s="1"/>
  <c r="N5229" i="2"/>
  <c r="M5229" i="2"/>
  <c r="J5229" i="2"/>
  <c r="I5229" i="2"/>
  <c r="H5229" i="2"/>
  <c r="G5229" i="2"/>
  <c r="F5229" i="2"/>
  <c r="E5229" i="2"/>
  <c r="D5229" i="2"/>
  <c r="C5229" i="2"/>
  <c r="B5229" i="2"/>
  <c r="A5229" i="2"/>
  <c r="U5228" i="2"/>
  <c r="N5228" i="2"/>
  <c r="M5228" i="2"/>
  <c r="J5228" i="2"/>
  <c r="I5228" i="2"/>
  <c r="H5228" i="2"/>
  <c r="G5228" i="2"/>
  <c r="F5228" i="2"/>
  <c r="E5228" i="2"/>
  <c r="D5228" i="2"/>
  <c r="C5228" i="2"/>
  <c r="B5228" i="2"/>
  <c r="A5228" i="2"/>
  <c r="U5227" i="2"/>
  <c r="N5227" i="2"/>
  <c r="M5227" i="2"/>
  <c r="J5227" i="2"/>
  <c r="I5227" i="2"/>
  <c r="H5227" i="2"/>
  <c r="G5227" i="2"/>
  <c r="F5227" i="2"/>
  <c r="E5227" i="2"/>
  <c r="D5227" i="2"/>
  <c r="C5227" i="2"/>
  <c r="B5227" i="2"/>
  <c r="A5227" i="2"/>
  <c r="U5226" i="2"/>
  <c r="N5226" i="2"/>
  <c r="M5226" i="2"/>
  <c r="J5226" i="2"/>
  <c r="I5226" i="2"/>
  <c r="H5226" i="2"/>
  <c r="G5226" i="2"/>
  <c r="F5226" i="2"/>
  <c r="E5226" i="2"/>
  <c r="D5226" i="2"/>
  <c r="C5226" i="2"/>
  <c r="B5226" i="2"/>
  <c r="A5226" i="2"/>
  <c r="U5225" i="2"/>
  <c r="N5225" i="2"/>
  <c r="M5225" i="2"/>
  <c r="J5225" i="2"/>
  <c r="I5225" i="2"/>
  <c r="H5225" i="2"/>
  <c r="G5225" i="2"/>
  <c r="F5225" i="2"/>
  <c r="E5225" i="2"/>
  <c r="D5225" i="2"/>
  <c r="C5225" i="2"/>
  <c r="B5225" i="2"/>
  <c r="A5225" i="2"/>
  <c r="U5224" i="2"/>
  <c r="N5224" i="2"/>
  <c r="M5224" i="2"/>
  <c r="J5224" i="2"/>
  <c r="I5224" i="2"/>
  <c r="H5224" i="2"/>
  <c r="G5224" i="2"/>
  <c r="F5224" i="2"/>
  <c r="E5224" i="2"/>
  <c r="D5224" i="2"/>
  <c r="C5224" i="2"/>
  <c r="B5224" i="2"/>
  <c r="A5224" i="2"/>
  <c r="Q5223" i="2"/>
  <c r="U5223" i="2" s="1"/>
  <c r="N5223" i="2"/>
  <c r="M5223" i="2"/>
  <c r="J5223" i="2"/>
  <c r="I5223" i="2"/>
  <c r="H5223" i="2"/>
  <c r="G5223" i="2"/>
  <c r="F5223" i="2"/>
  <c r="E5223" i="2"/>
  <c r="D5223" i="2"/>
  <c r="C5223" i="2"/>
  <c r="B5223" i="2"/>
  <c r="A5223" i="2"/>
  <c r="U5222" i="2"/>
  <c r="N5222" i="2"/>
  <c r="M5222" i="2"/>
  <c r="J5222" i="2"/>
  <c r="I5222" i="2"/>
  <c r="H5222" i="2"/>
  <c r="G5222" i="2"/>
  <c r="F5222" i="2"/>
  <c r="E5222" i="2"/>
  <c r="D5222" i="2"/>
  <c r="C5222" i="2"/>
  <c r="B5222" i="2"/>
  <c r="A5222" i="2"/>
  <c r="Q5221" i="2"/>
  <c r="U5221" i="2" s="1"/>
  <c r="N5221" i="2"/>
  <c r="M5221" i="2"/>
  <c r="J5221" i="2"/>
  <c r="I5221" i="2"/>
  <c r="H5221" i="2"/>
  <c r="G5221" i="2"/>
  <c r="F5221" i="2"/>
  <c r="E5221" i="2"/>
  <c r="D5221" i="2"/>
  <c r="C5221" i="2"/>
  <c r="B5221" i="2"/>
  <c r="A5221" i="2"/>
  <c r="U5220" i="2"/>
  <c r="N5220" i="2"/>
  <c r="M5220" i="2"/>
  <c r="J5220" i="2"/>
  <c r="I5220" i="2"/>
  <c r="H5220" i="2"/>
  <c r="G5220" i="2"/>
  <c r="F5220" i="2"/>
  <c r="E5220" i="2"/>
  <c r="D5220" i="2"/>
  <c r="C5220" i="2"/>
  <c r="B5220" i="2"/>
  <c r="A5220" i="2"/>
  <c r="Q5219" i="2"/>
  <c r="U5219" i="2" s="1"/>
  <c r="N5219" i="2"/>
  <c r="M5219" i="2"/>
  <c r="J5219" i="2"/>
  <c r="I5219" i="2"/>
  <c r="H5219" i="2"/>
  <c r="G5219" i="2"/>
  <c r="F5219" i="2"/>
  <c r="E5219" i="2"/>
  <c r="D5219" i="2"/>
  <c r="C5219" i="2"/>
  <c r="B5219" i="2"/>
  <c r="A5219" i="2"/>
  <c r="U5218" i="2"/>
  <c r="N5218" i="2"/>
  <c r="M5218" i="2"/>
  <c r="J5218" i="2"/>
  <c r="I5218" i="2"/>
  <c r="H5218" i="2"/>
  <c r="G5218" i="2"/>
  <c r="F5218" i="2"/>
  <c r="E5218" i="2"/>
  <c r="D5218" i="2"/>
  <c r="C5218" i="2"/>
  <c r="B5218" i="2"/>
  <c r="A5218" i="2"/>
  <c r="U5217" i="2"/>
  <c r="N5217" i="2"/>
  <c r="M5217" i="2"/>
  <c r="J5217" i="2"/>
  <c r="I5217" i="2"/>
  <c r="H5217" i="2"/>
  <c r="G5217" i="2"/>
  <c r="F5217" i="2"/>
  <c r="E5217" i="2"/>
  <c r="D5217" i="2"/>
  <c r="C5217" i="2"/>
  <c r="B5217" i="2"/>
  <c r="A5217" i="2"/>
  <c r="Q5216" i="2"/>
  <c r="U5216" i="2" s="1"/>
  <c r="N5216" i="2"/>
  <c r="M5216" i="2"/>
  <c r="J5216" i="2"/>
  <c r="I5216" i="2"/>
  <c r="H5216" i="2"/>
  <c r="G5216" i="2"/>
  <c r="F5216" i="2"/>
  <c r="E5216" i="2"/>
  <c r="D5216" i="2"/>
  <c r="C5216" i="2"/>
  <c r="B5216" i="2"/>
  <c r="A5216" i="2"/>
  <c r="U5215" i="2"/>
  <c r="N5215" i="2"/>
  <c r="M5215" i="2"/>
  <c r="J5215" i="2"/>
  <c r="I5215" i="2"/>
  <c r="H5215" i="2"/>
  <c r="G5215" i="2"/>
  <c r="F5215" i="2"/>
  <c r="E5215" i="2"/>
  <c r="D5215" i="2"/>
  <c r="C5215" i="2"/>
  <c r="B5215" i="2"/>
  <c r="A5215" i="2"/>
  <c r="U5214" i="2"/>
  <c r="N5214" i="2"/>
  <c r="M5214" i="2"/>
  <c r="J5214" i="2"/>
  <c r="I5214" i="2"/>
  <c r="H5214" i="2"/>
  <c r="G5214" i="2"/>
  <c r="F5214" i="2"/>
  <c r="E5214" i="2"/>
  <c r="D5214" i="2"/>
  <c r="C5214" i="2"/>
  <c r="B5214" i="2"/>
  <c r="A5214" i="2"/>
  <c r="U5213" i="2"/>
  <c r="N5213" i="2"/>
  <c r="M5213" i="2"/>
  <c r="J5213" i="2"/>
  <c r="I5213" i="2"/>
  <c r="H5213" i="2"/>
  <c r="G5213" i="2"/>
  <c r="F5213" i="2"/>
  <c r="E5213" i="2"/>
  <c r="D5213" i="2"/>
  <c r="C5213" i="2"/>
  <c r="B5213" i="2"/>
  <c r="A5213" i="2"/>
  <c r="U5212" i="2"/>
  <c r="N5212" i="2"/>
  <c r="M5212" i="2"/>
  <c r="J5212" i="2"/>
  <c r="I5212" i="2"/>
  <c r="H5212" i="2"/>
  <c r="G5212" i="2"/>
  <c r="F5212" i="2"/>
  <c r="E5212" i="2"/>
  <c r="D5212" i="2"/>
  <c r="C5212" i="2"/>
  <c r="B5212" i="2"/>
  <c r="A5212" i="2"/>
  <c r="U5211" i="2"/>
  <c r="N5211" i="2"/>
  <c r="M5211" i="2"/>
  <c r="J5211" i="2"/>
  <c r="I5211" i="2"/>
  <c r="H5211" i="2"/>
  <c r="G5211" i="2"/>
  <c r="F5211" i="2"/>
  <c r="E5211" i="2"/>
  <c r="D5211" i="2"/>
  <c r="C5211" i="2"/>
  <c r="B5211" i="2"/>
  <c r="A5211" i="2"/>
  <c r="U5210" i="2"/>
  <c r="N5210" i="2"/>
  <c r="M5210" i="2"/>
  <c r="J5210" i="2"/>
  <c r="I5210" i="2"/>
  <c r="H5210" i="2"/>
  <c r="G5210" i="2"/>
  <c r="F5210" i="2"/>
  <c r="E5210" i="2"/>
  <c r="D5210" i="2"/>
  <c r="C5210" i="2"/>
  <c r="B5210" i="2"/>
  <c r="A5210" i="2"/>
  <c r="Q5209" i="2"/>
  <c r="U5209" i="2" s="1"/>
  <c r="N5209" i="2"/>
  <c r="M5209" i="2"/>
  <c r="J5209" i="2"/>
  <c r="I5209" i="2"/>
  <c r="H5209" i="2"/>
  <c r="G5209" i="2"/>
  <c r="F5209" i="2"/>
  <c r="E5209" i="2"/>
  <c r="D5209" i="2"/>
  <c r="C5209" i="2"/>
  <c r="B5209" i="2"/>
  <c r="A5209" i="2"/>
  <c r="U5208" i="2"/>
  <c r="N5208" i="2"/>
  <c r="M5208" i="2"/>
  <c r="J5208" i="2"/>
  <c r="I5208" i="2"/>
  <c r="H5208" i="2"/>
  <c r="G5208" i="2"/>
  <c r="F5208" i="2"/>
  <c r="E5208" i="2"/>
  <c r="D5208" i="2"/>
  <c r="C5208" i="2"/>
  <c r="B5208" i="2"/>
  <c r="A5208" i="2"/>
  <c r="U5207" i="2"/>
  <c r="N5207" i="2"/>
  <c r="M5207" i="2"/>
  <c r="J5207" i="2"/>
  <c r="I5207" i="2"/>
  <c r="H5207" i="2"/>
  <c r="G5207" i="2"/>
  <c r="F5207" i="2"/>
  <c r="E5207" i="2"/>
  <c r="D5207" i="2"/>
  <c r="C5207" i="2"/>
  <c r="B5207" i="2"/>
  <c r="A5207" i="2"/>
  <c r="U5206" i="2"/>
  <c r="N5206" i="2"/>
  <c r="M5206" i="2"/>
  <c r="J5206" i="2"/>
  <c r="I5206" i="2"/>
  <c r="H5206" i="2"/>
  <c r="G5206" i="2"/>
  <c r="F5206" i="2"/>
  <c r="E5206" i="2"/>
  <c r="D5206" i="2"/>
  <c r="C5206" i="2"/>
  <c r="B5206" i="2"/>
  <c r="A5206" i="2"/>
  <c r="Q5205" i="2"/>
  <c r="U5205" i="2" s="1"/>
  <c r="N5205" i="2"/>
  <c r="M5205" i="2"/>
  <c r="J5205" i="2"/>
  <c r="I5205" i="2"/>
  <c r="H5205" i="2"/>
  <c r="G5205" i="2"/>
  <c r="F5205" i="2"/>
  <c r="E5205" i="2"/>
  <c r="D5205" i="2"/>
  <c r="C5205" i="2"/>
  <c r="B5205" i="2"/>
  <c r="A5205" i="2"/>
  <c r="U5204" i="2"/>
  <c r="N5204" i="2"/>
  <c r="M5204" i="2"/>
  <c r="J5204" i="2"/>
  <c r="I5204" i="2"/>
  <c r="H5204" i="2"/>
  <c r="G5204" i="2"/>
  <c r="F5204" i="2"/>
  <c r="E5204" i="2"/>
  <c r="D5204" i="2"/>
  <c r="C5204" i="2"/>
  <c r="B5204" i="2"/>
  <c r="A5204" i="2"/>
  <c r="U5203" i="2"/>
  <c r="N5203" i="2"/>
  <c r="M5203" i="2"/>
  <c r="J5203" i="2"/>
  <c r="I5203" i="2"/>
  <c r="H5203" i="2"/>
  <c r="G5203" i="2"/>
  <c r="F5203" i="2"/>
  <c r="E5203" i="2"/>
  <c r="D5203" i="2"/>
  <c r="C5203" i="2"/>
  <c r="B5203" i="2"/>
  <c r="A5203" i="2"/>
  <c r="U5202" i="2"/>
  <c r="N5202" i="2"/>
  <c r="M5202" i="2"/>
  <c r="J5202" i="2"/>
  <c r="I5202" i="2"/>
  <c r="H5202" i="2"/>
  <c r="G5202" i="2"/>
  <c r="F5202" i="2"/>
  <c r="E5202" i="2"/>
  <c r="D5202" i="2"/>
  <c r="C5202" i="2"/>
  <c r="B5202" i="2"/>
  <c r="A5202" i="2"/>
  <c r="U5201" i="2"/>
  <c r="N5201" i="2"/>
  <c r="M5201" i="2"/>
  <c r="J5201" i="2"/>
  <c r="I5201" i="2"/>
  <c r="H5201" i="2"/>
  <c r="G5201" i="2"/>
  <c r="F5201" i="2"/>
  <c r="E5201" i="2"/>
  <c r="D5201" i="2"/>
  <c r="C5201" i="2"/>
  <c r="B5201" i="2"/>
  <c r="A5201" i="2"/>
  <c r="U5200" i="2"/>
  <c r="N5200" i="2"/>
  <c r="M5200" i="2"/>
  <c r="J5200" i="2"/>
  <c r="I5200" i="2"/>
  <c r="H5200" i="2"/>
  <c r="G5200" i="2"/>
  <c r="F5200" i="2"/>
  <c r="E5200" i="2"/>
  <c r="D5200" i="2"/>
  <c r="C5200" i="2"/>
  <c r="B5200" i="2"/>
  <c r="A5200" i="2"/>
  <c r="U5199" i="2"/>
  <c r="N5199" i="2"/>
  <c r="M5199" i="2"/>
  <c r="J5199" i="2"/>
  <c r="I5199" i="2"/>
  <c r="H5199" i="2"/>
  <c r="G5199" i="2"/>
  <c r="F5199" i="2"/>
  <c r="E5199" i="2"/>
  <c r="D5199" i="2"/>
  <c r="C5199" i="2"/>
  <c r="B5199" i="2"/>
  <c r="A5199" i="2"/>
  <c r="U5198" i="2"/>
  <c r="N5198" i="2"/>
  <c r="M5198" i="2"/>
  <c r="J5198" i="2"/>
  <c r="I5198" i="2"/>
  <c r="H5198" i="2"/>
  <c r="G5198" i="2"/>
  <c r="F5198" i="2"/>
  <c r="E5198" i="2"/>
  <c r="D5198" i="2"/>
  <c r="C5198" i="2"/>
  <c r="B5198" i="2"/>
  <c r="A5198" i="2"/>
  <c r="U5197" i="2"/>
  <c r="N5197" i="2"/>
  <c r="M5197" i="2"/>
  <c r="J5197" i="2"/>
  <c r="I5197" i="2"/>
  <c r="H5197" i="2"/>
  <c r="G5197" i="2"/>
  <c r="F5197" i="2"/>
  <c r="E5197" i="2"/>
  <c r="D5197" i="2"/>
  <c r="C5197" i="2"/>
  <c r="B5197" i="2"/>
  <c r="A5197" i="2"/>
  <c r="U5196" i="2"/>
  <c r="N5196" i="2"/>
  <c r="M5196" i="2"/>
  <c r="J5196" i="2"/>
  <c r="I5196" i="2"/>
  <c r="H5196" i="2"/>
  <c r="G5196" i="2"/>
  <c r="F5196" i="2"/>
  <c r="E5196" i="2"/>
  <c r="D5196" i="2"/>
  <c r="C5196" i="2"/>
  <c r="B5196" i="2"/>
  <c r="A5196" i="2"/>
  <c r="Q5195" i="2"/>
  <c r="U5195" i="2" s="1"/>
  <c r="N5195" i="2"/>
  <c r="M5195" i="2"/>
  <c r="J5195" i="2"/>
  <c r="I5195" i="2"/>
  <c r="H5195" i="2"/>
  <c r="G5195" i="2"/>
  <c r="F5195" i="2"/>
  <c r="E5195" i="2"/>
  <c r="D5195" i="2"/>
  <c r="C5195" i="2"/>
  <c r="B5195" i="2"/>
  <c r="A5195" i="2"/>
  <c r="Q5194" i="2"/>
  <c r="U5194" i="2" s="1"/>
  <c r="N5194" i="2"/>
  <c r="M5194" i="2"/>
  <c r="J5194" i="2"/>
  <c r="I5194" i="2"/>
  <c r="H5194" i="2"/>
  <c r="G5194" i="2"/>
  <c r="F5194" i="2"/>
  <c r="E5194" i="2"/>
  <c r="D5194" i="2"/>
  <c r="C5194" i="2"/>
  <c r="B5194" i="2"/>
  <c r="A5194" i="2"/>
  <c r="Q5193" i="2"/>
  <c r="U5193" i="2" s="1"/>
  <c r="N5193" i="2"/>
  <c r="M5193" i="2"/>
  <c r="J5193" i="2"/>
  <c r="I5193" i="2"/>
  <c r="H5193" i="2"/>
  <c r="G5193" i="2"/>
  <c r="F5193" i="2"/>
  <c r="E5193" i="2"/>
  <c r="D5193" i="2"/>
  <c r="C5193" i="2"/>
  <c r="B5193" i="2"/>
  <c r="A5193" i="2"/>
  <c r="Q5192" i="2"/>
  <c r="U5192" i="2" s="1"/>
  <c r="N5192" i="2"/>
  <c r="M5192" i="2"/>
  <c r="J5192" i="2"/>
  <c r="I5192" i="2"/>
  <c r="H5192" i="2"/>
  <c r="G5192" i="2"/>
  <c r="F5192" i="2"/>
  <c r="E5192" i="2"/>
  <c r="D5192" i="2"/>
  <c r="C5192" i="2"/>
  <c r="B5192" i="2"/>
  <c r="A5192" i="2"/>
  <c r="Q5191" i="2"/>
  <c r="U5191" i="2" s="1"/>
  <c r="N5191" i="2"/>
  <c r="M5191" i="2"/>
  <c r="J5191" i="2"/>
  <c r="I5191" i="2"/>
  <c r="H5191" i="2"/>
  <c r="G5191" i="2"/>
  <c r="F5191" i="2"/>
  <c r="E5191" i="2"/>
  <c r="D5191" i="2"/>
  <c r="C5191" i="2"/>
  <c r="B5191" i="2"/>
  <c r="A5191" i="2"/>
  <c r="U5190" i="2"/>
  <c r="N5190" i="2"/>
  <c r="M5190" i="2"/>
  <c r="J5190" i="2"/>
  <c r="I5190" i="2"/>
  <c r="H5190" i="2"/>
  <c r="G5190" i="2"/>
  <c r="F5190" i="2"/>
  <c r="E5190" i="2"/>
  <c r="D5190" i="2"/>
  <c r="C5190" i="2"/>
  <c r="B5190" i="2"/>
  <c r="A5190" i="2"/>
  <c r="U5189" i="2"/>
  <c r="N5189" i="2"/>
  <c r="M5189" i="2"/>
  <c r="J5189" i="2"/>
  <c r="I5189" i="2"/>
  <c r="H5189" i="2"/>
  <c r="G5189" i="2"/>
  <c r="F5189" i="2"/>
  <c r="E5189" i="2"/>
  <c r="D5189" i="2"/>
  <c r="C5189" i="2"/>
  <c r="B5189" i="2"/>
  <c r="A5189" i="2"/>
  <c r="U5188" i="2"/>
  <c r="N5188" i="2"/>
  <c r="M5188" i="2"/>
  <c r="J5188" i="2"/>
  <c r="I5188" i="2"/>
  <c r="H5188" i="2"/>
  <c r="G5188" i="2"/>
  <c r="F5188" i="2"/>
  <c r="E5188" i="2"/>
  <c r="D5188" i="2"/>
  <c r="C5188" i="2"/>
  <c r="B5188" i="2"/>
  <c r="A5188" i="2"/>
  <c r="Q5187" i="2"/>
  <c r="U5187" i="2" s="1"/>
  <c r="N5187" i="2"/>
  <c r="M5187" i="2"/>
  <c r="J5187" i="2"/>
  <c r="I5187" i="2"/>
  <c r="H5187" i="2"/>
  <c r="G5187" i="2"/>
  <c r="F5187" i="2"/>
  <c r="E5187" i="2"/>
  <c r="D5187" i="2"/>
  <c r="C5187" i="2"/>
  <c r="B5187" i="2"/>
  <c r="A5187" i="2"/>
  <c r="Q5186" i="2"/>
  <c r="U5186" i="2" s="1"/>
  <c r="N5186" i="2"/>
  <c r="M5186" i="2"/>
  <c r="J5186" i="2"/>
  <c r="I5186" i="2"/>
  <c r="H5186" i="2"/>
  <c r="G5186" i="2"/>
  <c r="F5186" i="2"/>
  <c r="E5186" i="2"/>
  <c r="D5186" i="2"/>
  <c r="C5186" i="2"/>
  <c r="B5186" i="2"/>
  <c r="A5186" i="2"/>
  <c r="U5185" i="2"/>
  <c r="N5185" i="2"/>
  <c r="M5185" i="2"/>
  <c r="J5185" i="2"/>
  <c r="I5185" i="2"/>
  <c r="H5185" i="2"/>
  <c r="G5185" i="2"/>
  <c r="F5185" i="2"/>
  <c r="E5185" i="2"/>
  <c r="D5185" i="2"/>
  <c r="C5185" i="2"/>
  <c r="B5185" i="2"/>
  <c r="A5185" i="2"/>
  <c r="Q5184" i="2"/>
  <c r="U5184" i="2" s="1"/>
  <c r="N5184" i="2"/>
  <c r="M5184" i="2"/>
  <c r="J5184" i="2"/>
  <c r="I5184" i="2"/>
  <c r="H5184" i="2"/>
  <c r="G5184" i="2"/>
  <c r="F5184" i="2"/>
  <c r="E5184" i="2"/>
  <c r="D5184" i="2"/>
  <c r="C5184" i="2"/>
  <c r="B5184" i="2"/>
  <c r="A5184" i="2"/>
  <c r="U5183" i="2"/>
  <c r="N5183" i="2"/>
  <c r="M5183" i="2"/>
  <c r="J5183" i="2"/>
  <c r="I5183" i="2"/>
  <c r="H5183" i="2"/>
  <c r="G5183" i="2"/>
  <c r="F5183" i="2"/>
  <c r="E5183" i="2"/>
  <c r="D5183" i="2"/>
  <c r="C5183" i="2"/>
  <c r="B5183" i="2"/>
  <c r="A5183" i="2"/>
  <c r="Q5182" i="2"/>
  <c r="U5182" i="2" s="1"/>
  <c r="N5182" i="2"/>
  <c r="M5182" i="2"/>
  <c r="J5182" i="2"/>
  <c r="I5182" i="2"/>
  <c r="H5182" i="2"/>
  <c r="G5182" i="2"/>
  <c r="F5182" i="2"/>
  <c r="E5182" i="2"/>
  <c r="D5182" i="2"/>
  <c r="C5182" i="2"/>
  <c r="B5182" i="2"/>
  <c r="A5182" i="2"/>
  <c r="U5181" i="2"/>
  <c r="N5181" i="2"/>
  <c r="M5181" i="2"/>
  <c r="J5181" i="2"/>
  <c r="I5181" i="2"/>
  <c r="H5181" i="2"/>
  <c r="G5181" i="2"/>
  <c r="F5181" i="2"/>
  <c r="E5181" i="2"/>
  <c r="D5181" i="2"/>
  <c r="C5181" i="2"/>
  <c r="B5181" i="2"/>
  <c r="A5181" i="2"/>
  <c r="Q5180" i="2"/>
  <c r="U5180" i="2" s="1"/>
  <c r="N5180" i="2"/>
  <c r="M5180" i="2"/>
  <c r="J5180" i="2"/>
  <c r="I5180" i="2"/>
  <c r="H5180" i="2"/>
  <c r="G5180" i="2"/>
  <c r="F5180" i="2"/>
  <c r="E5180" i="2"/>
  <c r="D5180" i="2"/>
  <c r="C5180" i="2"/>
  <c r="B5180" i="2"/>
  <c r="A5180" i="2"/>
  <c r="U5179" i="2"/>
  <c r="N5179" i="2"/>
  <c r="M5179" i="2"/>
  <c r="J5179" i="2"/>
  <c r="I5179" i="2"/>
  <c r="H5179" i="2"/>
  <c r="G5179" i="2"/>
  <c r="F5179" i="2"/>
  <c r="E5179" i="2"/>
  <c r="D5179" i="2"/>
  <c r="C5179" i="2"/>
  <c r="B5179" i="2"/>
  <c r="A5179" i="2"/>
  <c r="U5178" i="2"/>
  <c r="N5178" i="2"/>
  <c r="M5178" i="2"/>
  <c r="J5178" i="2"/>
  <c r="I5178" i="2"/>
  <c r="H5178" i="2"/>
  <c r="G5178" i="2"/>
  <c r="F5178" i="2"/>
  <c r="E5178" i="2"/>
  <c r="D5178" i="2"/>
  <c r="C5178" i="2"/>
  <c r="B5178" i="2"/>
  <c r="A5178" i="2"/>
  <c r="Q5177" i="2"/>
  <c r="U5177" i="2" s="1"/>
  <c r="N5177" i="2"/>
  <c r="M5177" i="2"/>
  <c r="J5177" i="2"/>
  <c r="I5177" i="2"/>
  <c r="H5177" i="2"/>
  <c r="G5177" i="2"/>
  <c r="F5177" i="2"/>
  <c r="E5177" i="2"/>
  <c r="D5177" i="2"/>
  <c r="C5177" i="2"/>
  <c r="B5177" i="2"/>
  <c r="A5177" i="2"/>
  <c r="U5176" i="2"/>
  <c r="N5176" i="2"/>
  <c r="M5176" i="2"/>
  <c r="J5176" i="2"/>
  <c r="I5176" i="2"/>
  <c r="H5176" i="2"/>
  <c r="G5176" i="2"/>
  <c r="F5176" i="2"/>
  <c r="E5176" i="2"/>
  <c r="D5176" i="2"/>
  <c r="C5176" i="2"/>
  <c r="B5176" i="2"/>
  <c r="A5176" i="2"/>
  <c r="U5175" i="2"/>
  <c r="N5175" i="2"/>
  <c r="M5175" i="2"/>
  <c r="J5175" i="2"/>
  <c r="I5175" i="2"/>
  <c r="H5175" i="2"/>
  <c r="G5175" i="2"/>
  <c r="F5175" i="2"/>
  <c r="E5175" i="2"/>
  <c r="D5175" i="2"/>
  <c r="C5175" i="2"/>
  <c r="B5175" i="2"/>
  <c r="A5175" i="2"/>
  <c r="U5174" i="2"/>
  <c r="N5174" i="2"/>
  <c r="M5174" i="2"/>
  <c r="J5174" i="2"/>
  <c r="I5174" i="2"/>
  <c r="H5174" i="2"/>
  <c r="G5174" i="2"/>
  <c r="F5174" i="2"/>
  <c r="E5174" i="2"/>
  <c r="D5174" i="2"/>
  <c r="C5174" i="2"/>
  <c r="B5174" i="2"/>
  <c r="A5174" i="2"/>
  <c r="U5173" i="2"/>
  <c r="N5173" i="2"/>
  <c r="M5173" i="2"/>
  <c r="J5173" i="2"/>
  <c r="I5173" i="2"/>
  <c r="H5173" i="2"/>
  <c r="G5173" i="2"/>
  <c r="F5173" i="2"/>
  <c r="E5173" i="2"/>
  <c r="D5173" i="2"/>
  <c r="C5173" i="2"/>
  <c r="B5173" i="2"/>
  <c r="A5173" i="2"/>
  <c r="U5172" i="2"/>
  <c r="N5172" i="2"/>
  <c r="M5172" i="2"/>
  <c r="J5172" i="2"/>
  <c r="I5172" i="2"/>
  <c r="H5172" i="2"/>
  <c r="G5172" i="2"/>
  <c r="F5172" i="2"/>
  <c r="E5172" i="2"/>
  <c r="D5172" i="2"/>
  <c r="C5172" i="2"/>
  <c r="B5172" i="2"/>
  <c r="A5172" i="2"/>
  <c r="U5171" i="2"/>
  <c r="N5171" i="2"/>
  <c r="M5171" i="2"/>
  <c r="J5171" i="2"/>
  <c r="I5171" i="2"/>
  <c r="H5171" i="2"/>
  <c r="G5171" i="2"/>
  <c r="F5171" i="2"/>
  <c r="E5171" i="2"/>
  <c r="D5171" i="2"/>
  <c r="C5171" i="2"/>
  <c r="B5171" i="2"/>
  <c r="A5171" i="2"/>
  <c r="Q5170" i="2"/>
  <c r="U5170" i="2" s="1"/>
  <c r="N5170" i="2"/>
  <c r="M5170" i="2"/>
  <c r="J5170" i="2"/>
  <c r="I5170" i="2"/>
  <c r="H5170" i="2"/>
  <c r="G5170" i="2"/>
  <c r="F5170" i="2"/>
  <c r="E5170" i="2"/>
  <c r="D5170" i="2"/>
  <c r="C5170" i="2"/>
  <c r="B5170" i="2"/>
  <c r="A5170" i="2"/>
  <c r="U5169" i="2"/>
  <c r="N5169" i="2"/>
  <c r="M5169" i="2"/>
  <c r="J5169" i="2"/>
  <c r="I5169" i="2"/>
  <c r="H5169" i="2"/>
  <c r="G5169" i="2"/>
  <c r="F5169" i="2"/>
  <c r="E5169" i="2"/>
  <c r="D5169" i="2"/>
  <c r="C5169" i="2"/>
  <c r="B5169" i="2"/>
  <c r="A5169" i="2"/>
  <c r="U5168" i="2"/>
  <c r="N5168" i="2"/>
  <c r="M5168" i="2"/>
  <c r="J5168" i="2"/>
  <c r="I5168" i="2"/>
  <c r="H5168" i="2"/>
  <c r="G5168" i="2"/>
  <c r="F5168" i="2"/>
  <c r="E5168" i="2"/>
  <c r="D5168" i="2"/>
  <c r="C5168" i="2"/>
  <c r="B5168" i="2"/>
  <c r="A5168" i="2"/>
  <c r="U5167" i="2"/>
  <c r="N5167" i="2"/>
  <c r="M5167" i="2"/>
  <c r="J5167" i="2"/>
  <c r="I5167" i="2"/>
  <c r="H5167" i="2"/>
  <c r="G5167" i="2"/>
  <c r="F5167" i="2"/>
  <c r="E5167" i="2"/>
  <c r="D5167" i="2"/>
  <c r="C5167" i="2"/>
  <c r="B5167" i="2"/>
  <c r="A5167" i="2"/>
  <c r="Q5166" i="2"/>
  <c r="U5166" i="2" s="1"/>
  <c r="N5166" i="2"/>
  <c r="M5166" i="2"/>
  <c r="J5166" i="2"/>
  <c r="I5166" i="2"/>
  <c r="H5166" i="2"/>
  <c r="G5166" i="2"/>
  <c r="F5166" i="2"/>
  <c r="E5166" i="2"/>
  <c r="D5166" i="2"/>
  <c r="C5166" i="2"/>
  <c r="B5166" i="2"/>
  <c r="A5166" i="2"/>
  <c r="Q5165" i="2"/>
  <c r="U5165" i="2" s="1"/>
  <c r="N5165" i="2"/>
  <c r="M5165" i="2"/>
  <c r="J5165" i="2"/>
  <c r="I5165" i="2"/>
  <c r="H5165" i="2"/>
  <c r="G5165" i="2"/>
  <c r="F5165" i="2"/>
  <c r="E5165" i="2"/>
  <c r="D5165" i="2"/>
  <c r="C5165" i="2"/>
  <c r="B5165" i="2"/>
  <c r="A5165" i="2"/>
  <c r="U5164" i="2"/>
  <c r="N5164" i="2"/>
  <c r="M5164" i="2"/>
  <c r="J5164" i="2"/>
  <c r="I5164" i="2"/>
  <c r="H5164" i="2"/>
  <c r="G5164" i="2"/>
  <c r="F5164" i="2"/>
  <c r="E5164" i="2"/>
  <c r="D5164" i="2"/>
  <c r="C5164" i="2"/>
  <c r="B5164" i="2"/>
  <c r="A5164" i="2"/>
  <c r="Q5163" i="2"/>
  <c r="U5163" i="2" s="1"/>
  <c r="N5163" i="2"/>
  <c r="M5163" i="2"/>
  <c r="J5163" i="2"/>
  <c r="I5163" i="2"/>
  <c r="H5163" i="2"/>
  <c r="G5163" i="2"/>
  <c r="F5163" i="2"/>
  <c r="E5163" i="2"/>
  <c r="D5163" i="2"/>
  <c r="C5163" i="2"/>
  <c r="B5163" i="2"/>
  <c r="A5163" i="2"/>
  <c r="Q5162" i="2"/>
  <c r="U5162" i="2" s="1"/>
  <c r="N5162" i="2"/>
  <c r="M5162" i="2"/>
  <c r="J5162" i="2"/>
  <c r="I5162" i="2"/>
  <c r="H5162" i="2"/>
  <c r="G5162" i="2"/>
  <c r="F5162" i="2"/>
  <c r="E5162" i="2"/>
  <c r="D5162" i="2"/>
  <c r="C5162" i="2"/>
  <c r="B5162" i="2"/>
  <c r="A5162" i="2"/>
  <c r="U5161" i="2"/>
  <c r="N5161" i="2"/>
  <c r="M5161" i="2"/>
  <c r="J5161" i="2"/>
  <c r="I5161" i="2"/>
  <c r="H5161" i="2"/>
  <c r="G5161" i="2"/>
  <c r="F5161" i="2"/>
  <c r="E5161" i="2"/>
  <c r="D5161" i="2"/>
  <c r="C5161" i="2"/>
  <c r="B5161" i="2"/>
  <c r="A5161" i="2"/>
  <c r="Q5160" i="2"/>
  <c r="U5160" i="2" s="1"/>
  <c r="N5160" i="2"/>
  <c r="M5160" i="2"/>
  <c r="J5160" i="2"/>
  <c r="I5160" i="2"/>
  <c r="H5160" i="2"/>
  <c r="G5160" i="2"/>
  <c r="F5160" i="2"/>
  <c r="E5160" i="2"/>
  <c r="D5160" i="2"/>
  <c r="C5160" i="2"/>
  <c r="B5160" i="2"/>
  <c r="A5160" i="2"/>
  <c r="U5159" i="2"/>
  <c r="N5159" i="2"/>
  <c r="M5159" i="2"/>
  <c r="J5159" i="2"/>
  <c r="I5159" i="2"/>
  <c r="H5159" i="2"/>
  <c r="G5159" i="2"/>
  <c r="F5159" i="2"/>
  <c r="E5159" i="2"/>
  <c r="D5159" i="2"/>
  <c r="C5159" i="2"/>
  <c r="B5159" i="2"/>
  <c r="A5159" i="2"/>
  <c r="U5158" i="2"/>
  <c r="N5158" i="2"/>
  <c r="M5158" i="2"/>
  <c r="J5158" i="2"/>
  <c r="I5158" i="2"/>
  <c r="H5158" i="2"/>
  <c r="G5158" i="2"/>
  <c r="F5158" i="2"/>
  <c r="E5158" i="2"/>
  <c r="D5158" i="2"/>
  <c r="C5158" i="2"/>
  <c r="B5158" i="2"/>
  <c r="A5158" i="2"/>
  <c r="U5157" i="2"/>
  <c r="N5157" i="2"/>
  <c r="M5157" i="2"/>
  <c r="J5157" i="2"/>
  <c r="I5157" i="2"/>
  <c r="H5157" i="2"/>
  <c r="G5157" i="2"/>
  <c r="F5157" i="2"/>
  <c r="E5157" i="2"/>
  <c r="D5157" i="2"/>
  <c r="C5157" i="2"/>
  <c r="B5157" i="2"/>
  <c r="A5157" i="2"/>
  <c r="U5156" i="2"/>
  <c r="N5156" i="2"/>
  <c r="M5156" i="2"/>
  <c r="J5156" i="2"/>
  <c r="I5156" i="2"/>
  <c r="H5156" i="2"/>
  <c r="G5156" i="2"/>
  <c r="F5156" i="2"/>
  <c r="E5156" i="2"/>
  <c r="D5156" i="2"/>
  <c r="C5156" i="2"/>
  <c r="B5156" i="2"/>
  <c r="A5156" i="2"/>
  <c r="U5155" i="2"/>
  <c r="N5155" i="2"/>
  <c r="M5155" i="2"/>
  <c r="J5155" i="2"/>
  <c r="I5155" i="2"/>
  <c r="H5155" i="2"/>
  <c r="G5155" i="2"/>
  <c r="F5155" i="2"/>
  <c r="E5155" i="2"/>
  <c r="D5155" i="2"/>
  <c r="C5155" i="2"/>
  <c r="B5155" i="2"/>
  <c r="A5155" i="2"/>
  <c r="U5154" i="2"/>
  <c r="N5154" i="2"/>
  <c r="M5154" i="2"/>
  <c r="J5154" i="2"/>
  <c r="I5154" i="2"/>
  <c r="H5154" i="2"/>
  <c r="G5154" i="2"/>
  <c r="F5154" i="2"/>
  <c r="E5154" i="2"/>
  <c r="D5154" i="2"/>
  <c r="C5154" i="2"/>
  <c r="B5154" i="2"/>
  <c r="A5154" i="2"/>
  <c r="Q5153" i="2"/>
  <c r="U5153" i="2" s="1"/>
  <c r="N5153" i="2"/>
  <c r="M5153" i="2"/>
  <c r="J5153" i="2"/>
  <c r="I5153" i="2"/>
  <c r="H5153" i="2"/>
  <c r="G5153" i="2"/>
  <c r="F5153" i="2"/>
  <c r="E5153" i="2"/>
  <c r="D5153" i="2"/>
  <c r="C5153" i="2"/>
  <c r="B5153" i="2"/>
  <c r="A5153" i="2"/>
  <c r="U5152" i="2"/>
  <c r="N5152" i="2"/>
  <c r="M5152" i="2"/>
  <c r="J5152" i="2"/>
  <c r="I5152" i="2"/>
  <c r="H5152" i="2"/>
  <c r="G5152" i="2"/>
  <c r="F5152" i="2"/>
  <c r="E5152" i="2"/>
  <c r="D5152" i="2"/>
  <c r="C5152" i="2"/>
  <c r="B5152" i="2"/>
  <c r="A5152" i="2"/>
  <c r="U5151" i="2"/>
  <c r="N5151" i="2"/>
  <c r="M5151" i="2"/>
  <c r="J5151" i="2"/>
  <c r="I5151" i="2"/>
  <c r="H5151" i="2"/>
  <c r="G5151" i="2"/>
  <c r="F5151" i="2"/>
  <c r="E5151" i="2"/>
  <c r="D5151" i="2"/>
  <c r="C5151" i="2"/>
  <c r="B5151" i="2"/>
  <c r="A5151" i="2"/>
  <c r="Q5150" i="2"/>
  <c r="U5150" i="2" s="1"/>
  <c r="N5150" i="2"/>
  <c r="M5150" i="2"/>
  <c r="J5150" i="2"/>
  <c r="I5150" i="2"/>
  <c r="H5150" i="2"/>
  <c r="G5150" i="2"/>
  <c r="F5150" i="2"/>
  <c r="E5150" i="2"/>
  <c r="D5150" i="2"/>
  <c r="C5150" i="2"/>
  <c r="B5150" i="2"/>
  <c r="A5150" i="2"/>
  <c r="U5149" i="2"/>
  <c r="N5149" i="2"/>
  <c r="M5149" i="2"/>
  <c r="J5149" i="2"/>
  <c r="I5149" i="2"/>
  <c r="H5149" i="2"/>
  <c r="G5149" i="2"/>
  <c r="F5149" i="2"/>
  <c r="E5149" i="2"/>
  <c r="D5149" i="2"/>
  <c r="C5149" i="2"/>
  <c r="B5149" i="2"/>
  <c r="A5149" i="2"/>
  <c r="Q5148" i="2"/>
  <c r="U5148" i="2" s="1"/>
  <c r="N5148" i="2"/>
  <c r="M5148" i="2"/>
  <c r="J5148" i="2"/>
  <c r="I5148" i="2"/>
  <c r="H5148" i="2"/>
  <c r="G5148" i="2"/>
  <c r="F5148" i="2"/>
  <c r="E5148" i="2"/>
  <c r="D5148" i="2"/>
  <c r="C5148" i="2"/>
  <c r="B5148" i="2"/>
  <c r="A5148" i="2"/>
  <c r="U5147" i="2"/>
  <c r="N5147" i="2"/>
  <c r="M5147" i="2"/>
  <c r="J5147" i="2"/>
  <c r="I5147" i="2"/>
  <c r="H5147" i="2"/>
  <c r="G5147" i="2"/>
  <c r="F5147" i="2"/>
  <c r="E5147" i="2"/>
  <c r="D5147" i="2"/>
  <c r="C5147" i="2"/>
  <c r="B5147" i="2"/>
  <c r="A5147" i="2"/>
  <c r="U5146" i="2"/>
  <c r="N5146" i="2"/>
  <c r="M5146" i="2"/>
  <c r="J5146" i="2"/>
  <c r="I5146" i="2"/>
  <c r="H5146" i="2"/>
  <c r="G5146" i="2"/>
  <c r="F5146" i="2"/>
  <c r="E5146" i="2"/>
  <c r="D5146" i="2"/>
  <c r="C5146" i="2"/>
  <c r="B5146" i="2"/>
  <c r="A5146" i="2"/>
  <c r="U5145" i="2"/>
  <c r="N5145" i="2"/>
  <c r="M5145" i="2"/>
  <c r="J5145" i="2"/>
  <c r="I5145" i="2"/>
  <c r="H5145" i="2"/>
  <c r="G5145" i="2"/>
  <c r="F5145" i="2"/>
  <c r="E5145" i="2"/>
  <c r="D5145" i="2"/>
  <c r="C5145" i="2"/>
  <c r="B5145" i="2"/>
  <c r="A5145" i="2"/>
  <c r="U5144" i="2"/>
  <c r="N5144" i="2"/>
  <c r="M5144" i="2"/>
  <c r="J5144" i="2"/>
  <c r="I5144" i="2"/>
  <c r="H5144" i="2"/>
  <c r="G5144" i="2"/>
  <c r="F5144" i="2"/>
  <c r="E5144" i="2"/>
  <c r="D5144" i="2"/>
  <c r="C5144" i="2"/>
  <c r="B5144" i="2"/>
  <c r="A5144" i="2"/>
  <c r="U5143" i="2"/>
  <c r="N5143" i="2"/>
  <c r="M5143" i="2"/>
  <c r="J5143" i="2"/>
  <c r="I5143" i="2"/>
  <c r="H5143" i="2"/>
  <c r="G5143" i="2"/>
  <c r="F5143" i="2"/>
  <c r="E5143" i="2"/>
  <c r="D5143" i="2"/>
  <c r="C5143" i="2"/>
  <c r="B5143" i="2"/>
  <c r="A5143" i="2"/>
  <c r="U5142" i="2"/>
  <c r="N5142" i="2"/>
  <c r="M5142" i="2"/>
  <c r="J5142" i="2"/>
  <c r="I5142" i="2"/>
  <c r="H5142" i="2"/>
  <c r="G5142" i="2"/>
  <c r="F5142" i="2"/>
  <c r="E5142" i="2"/>
  <c r="D5142" i="2"/>
  <c r="C5142" i="2"/>
  <c r="B5142" i="2"/>
  <c r="A5142" i="2"/>
  <c r="U5141" i="2"/>
  <c r="N5141" i="2"/>
  <c r="M5141" i="2"/>
  <c r="J5141" i="2"/>
  <c r="I5141" i="2"/>
  <c r="H5141" i="2"/>
  <c r="G5141" i="2"/>
  <c r="F5141" i="2"/>
  <c r="E5141" i="2"/>
  <c r="D5141" i="2"/>
  <c r="C5141" i="2"/>
  <c r="B5141" i="2"/>
  <c r="A5141" i="2"/>
  <c r="U5140" i="2"/>
  <c r="N5140" i="2"/>
  <c r="M5140" i="2"/>
  <c r="J5140" i="2"/>
  <c r="I5140" i="2"/>
  <c r="H5140" i="2"/>
  <c r="G5140" i="2"/>
  <c r="F5140" i="2"/>
  <c r="E5140" i="2"/>
  <c r="D5140" i="2"/>
  <c r="C5140" i="2"/>
  <c r="B5140" i="2"/>
  <c r="A5140" i="2"/>
  <c r="U5139" i="2"/>
  <c r="N5139" i="2"/>
  <c r="M5139" i="2"/>
  <c r="J5139" i="2"/>
  <c r="I5139" i="2"/>
  <c r="H5139" i="2"/>
  <c r="G5139" i="2"/>
  <c r="F5139" i="2"/>
  <c r="E5139" i="2"/>
  <c r="D5139" i="2"/>
  <c r="C5139" i="2"/>
  <c r="B5139" i="2"/>
  <c r="A5139" i="2"/>
  <c r="U5138" i="2"/>
  <c r="N5138" i="2"/>
  <c r="M5138" i="2"/>
  <c r="J5138" i="2"/>
  <c r="I5138" i="2"/>
  <c r="H5138" i="2"/>
  <c r="G5138" i="2"/>
  <c r="F5138" i="2"/>
  <c r="E5138" i="2"/>
  <c r="D5138" i="2"/>
  <c r="C5138" i="2"/>
  <c r="B5138" i="2"/>
  <c r="A5138" i="2"/>
  <c r="U5137" i="2"/>
  <c r="N5137" i="2"/>
  <c r="M5137" i="2"/>
  <c r="J5137" i="2"/>
  <c r="I5137" i="2"/>
  <c r="H5137" i="2"/>
  <c r="G5137" i="2"/>
  <c r="F5137" i="2"/>
  <c r="E5137" i="2"/>
  <c r="D5137" i="2"/>
  <c r="C5137" i="2"/>
  <c r="B5137" i="2"/>
  <c r="A5137" i="2"/>
  <c r="U5136" i="2"/>
  <c r="N5136" i="2"/>
  <c r="M5136" i="2"/>
  <c r="J5136" i="2"/>
  <c r="I5136" i="2"/>
  <c r="H5136" i="2"/>
  <c r="G5136" i="2"/>
  <c r="F5136" i="2"/>
  <c r="E5136" i="2"/>
  <c r="D5136" i="2"/>
  <c r="C5136" i="2"/>
  <c r="B5136" i="2"/>
  <c r="A5136" i="2"/>
  <c r="U5135" i="2"/>
  <c r="N5135" i="2"/>
  <c r="M5135" i="2"/>
  <c r="J5135" i="2"/>
  <c r="I5135" i="2"/>
  <c r="H5135" i="2"/>
  <c r="G5135" i="2"/>
  <c r="F5135" i="2"/>
  <c r="E5135" i="2"/>
  <c r="D5135" i="2"/>
  <c r="C5135" i="2"/>
  <c r="B5135" i="2"/>
  <c r="A5135" i="2"/>
  <c r="U5134" i="2"/>
  <c r="N5134" i="2"/>
  <c r="M5134" i="2"/>
  <c r="J5134" i="2"/>
  <c r="I5134" i="2"/>
  <c r="H5134" i="2"/>
  <c r="G5134" i="2"/>
  <c r="F5134" i="2"/>
  <c r="E5134" i="2"/>
  <c r="D5134" i="2"/>
  <c r="C5134" i="2"/>
  <c r="B5134" i="2"/>
  <c r="A5134" i="2"/>
  <c r="U5133" i="2"/>
  <c r="N5133" i="2"/>
  <c r="M5133" i="2"/>
  <c r="J5133" i="2"/>
  <c r="I5133" i="2"/>
  <c r="H5133" i="2"/>
  <c r="G5133" i="2"/>
  <c r="F5133" i="2"/>
  <c r="E5133" i="2"/>
  <c r="D5133" i="2"/>
  <c r="C5133" i="2"/>
  <c r="B5133" i="2"/>
  <c r="A5133" i="2"/>
  <c r="U5132" i="2"/>
  <c r="N5132" i="2"/>
  <c r="M5132" i="2"/>
  <c r="J5132" i="2"/>
  <c r="I5132" i="2"/>
  <c r="H5132" i="2"/>
  <c r="G5132" i="2"/>
  <c r="F5132" i="2"/>
  <c r="E5132" i="2"/>
  <c r="D5132" i="2"/>
  <c r="C5132" i="2"/>
  <c r="B5132" i="2"/>
  <c r="A5132" i="2"/>
  <c r="U5131" i="2"/>
  <c r="N5131" i="2"/>
  <c r="M5131" i="2"/>
  <c r="J5131" i="2"/>
  <c r="I5131" i="2"/>
  <c r="H5131" i="2"/>
  <c r="G5131" i="2"/>
  <c r="F5131" i="2"/>
  <c r="E5131" i="2"/>
  <c r="D5131" i="2"/>
  <c r="C5131" i="2"/>
  <c r="B5131" i="2"/>
  <c r="A5131" i="2"/>
  <c r="U5130" i="2"/>
  <c r="N5130" i="2"/>
  <c r="M5130" i="2"/>
  <c r="J5130" i="2"/>
  <c r="I5130" i="2"/>
  <c r="H5130" i="2"/>
  <c r="G5130" i="2"/>
  <c r="F5130" i="2"/>
  <c r="E5130" i="2"/>
  <c r="D5130" i="2"/>
  <c r="C5130" i="2"/>
  <c r="B5130" i="2"/>
  <c r="A5130" i="2"/>
  <c r="U5129" i="2"/>
  <c r="N5129" i="2"/>
  <c r="M5129" i="2"/>
  <c r="J5129" i="2"/>
  <c r="I5129" i="2"/>
  <c r="H5129" i="2"/>
  <c r="G5129" i="2"/>
  <c r="F5129" i="2"/>
  <c r="E5129" i="2"/>
  <c r="D5129" i="2"/>
  <c r="C5129" i="2"/>
  <c r="B5129" i="2"/>
  <c r="A5129" i="2"/>
  <c r="U5128" i="2"/>
  <c r="N5128" i="2"/>
  <c r="M5128" i="2"/>
  <c r="J5128" i="2"/>
  <c r="I5128" i="2"/>
  <c r="H5128" i="2"/>
  <c r="G5128" i="2"/>
  <c r="F5128" i="2"/>
  <c r="E5128" i="2"/>
  <c r="D5128" i="2"/>
  <c r="C5128" i="2"/>
  <c r="B5128" i="2"/>
  <c r="A5128" i="2"/>
  <c r="U5127" i="2"/>
  <c r="N5127" i="2"/>
  <c r="M5127" i="2"/>
  <c r="J5127" i="2"/>
  <c r="I5127" i="2"/>
  <c r="H5127" i="2"/>
  <c r="G5127" i="2"/>
  <c r="F5127" i="2"/>
  <c r="E5127" i="2"/>
  <c r="D5127" i="2"/>
  <c r="C5127" i="2"/>
  <c r="B5127" i="2"/>
  <c r="A5127" i="2"/>
  <c r="U5126" i="2"/>
  <c r="N5126" i="2"/>
  <c r="M5126" i="2"/>
  <c r="J5126" i="2"/>
  <c r="I5126" i="2"/>
  <c r="H5126" i="2"/>
  <c r="G5126" i="2"/>
  <c r="F5126" i="2"/>
  <c r="E5126" i="2"/>
  <c r="D5126" i="2"/>
  <c r="C5126" i="2"/>
  <c r="B5126" i="2"/>
  <c r="A5126" i="2"/>
  <c r="U5125" i="2"/>
  <c r="N5125" i="2"/>
  <c r="M5125" i="2"/>
  <c r="J5125" i="2"/>
  <c r="I5125" i="2"/>
  <c r="H5125" i="2"/>
  <c r="G5125" i="2"/>
  <c r="F5125" i="2"/>
  <c r="E5125" i="2"/>
  <c r="D5125" i="2"/>
  <c r="C5125" i="2"/>
  <c r="B5125" i="2"/>
  <c r="A5125" i="2"/>
  <c r="U5124" i="2"/>
  <c r="N5124" i="2"/>
  <c r="M5124" i="2"/>
  <c r="J5124" i="2"/>
  <c r="I5124" i="2"/>
  <c r="H5124" i="2"/>
  <c r="G5124" i="2"/>
  <c r="F5124" i="2"/>
  <c r="E5124" i="2"/>
  <c r="D5124" i="2"/>
  <c r="C5124" i="2"/>
  <c r="B5124" i="2"/>
  <c r="A5124" i="2"/>
  <c r="U5123" i="2"/>
  <c r="N5123" i="2"/>
  <c r="M5123" i="2"/>
  <c r="J5123" i="2"/>
  <c r="I5123" i="2"/>
  <c r="H5123" i="2"/>
  <c r="G5123" i="2"/>
  <c r="F5123" i="2"/>
  <c r="E5123" i="2"/>
  <c r="D5123" i="2"/>
  <c r="C5123" i="2"/>
  <c r="B5123" i="2"/>
  <c r="A5123" i="2"/>
  <c r="U5122" i="2"/>
  <c r="N5122" i="2"/>
  <c r="M5122" i="2"/>
  <c r="J5122" i="2"/>
  <c r="I5122" i="2"/>
  <c r="H5122" i="2"/>
  <c r="G5122" i="2"/>
  <c r="F5122" i="2"/>
  <c r="E5122" i="2"/>
  <c r="D5122" i="2"/>
  <c r="C5122" i="2"/>
  <c r="B5122" i="2"/>
  <c r="A5122" i="2"/>
  <c r="U5121" i="2"/>
  <c r="N5121" i="2"/>
  <c r="M5121" i="2"/>
  <c r="J5121" i="2"/>
  <c r="I5121" i="2"/>
  <c r="H5121" i="2"/>
  <c r="G5121" i="2"/>
  <c r="F5121" i="2"/>
  <c r="E5121" i="2"/>
  <c r="D5121" i="2"/>
  <c r="C5121" i="2"/>
  <c r="B5121" i="2"/>
  <c r="A5121" i="2"/>
  <c r="U5120" i="2"/>
  <c r="N5120" i="2"/>
  <c r="M5120" i="2"/>
  <c r="J5120" i="2"/>
  <c r="I5120" i="2"/>
  <c r="H5120" i="2"/>
  <c r="G5120" i="2"/>
  <c r="F5120" i="2"/>
  <c r="E5120" i="2"/>
  <c r="D5120" i="2"/>
  <c r="C5120" i="2"/>
  <c r="B5120" i="2"/>
  <c r="A5120" i="2"/>
  <c r="U5119" i="2"/>
  <c r="N5119" i="2"/>
  <c r="M5119" i="2"/>
  <c r="J5119" i="2"/>
  <c r="I5119" i="2"/>
  <c r="H5119" i="2"/>
  <c r="G5119" i="2"/>
  <c r="F5119" i="2"/>
  <c r="E5119" i="2"/>
  <c r="D5119" i="2"/>
  <c r="C5119" i="2"/>
  <c r="B5119" i="2"/>
  <c r="A5119" i="2"/>
  <c r="Q5118" i="2"/>
  <c r="U5118" i="2" s="1"/>
  <c r="N5118" i="2"/>
  <c r="M5118" i="2"/>
  <c r="J5118" i="2"/>
  <c r="I5118" i="2"/>
  <c r="H5118" i="2"/>
  <c r="G5118" i="2"/>
  <c r="F5118" i="2"/>
  <c r="E5118" i="2"/>
  <c r="D5118" i="2"/>
  <c r="C5118" i="2"/>
  <c r="B5118" i="2"/>
  <c r="A5118" i="2"/>
  <c r="U5117" i="2"/>
  <c r="N5117" i="2"/>
  <c r="M5117" i="2"/>
  <c r="J5117" i="2"/>
  <c r="I5117" i="2"/>
  <c r="H5117" i="2"/>
  <c r="G5117" i="2"/>
  <c r="F5117" i="2"/>
  <c r="E5117" i="2"/>
  <c r="D5117" i="2"/>
  <c r="C5117" i="2"/>
  <c r="B5117" i="2"/>
  <c r="A5117" i="2"/>
  <c r="U5116" i="2"/>
  <c r="N5116" i="2"/>
  <c r="M5116" i="2"/>
  <c r="J5116" i="2"/>
  <c r="I5116" i="2"/>
  <c r="H5116" i="2"/>
  <c r="G5116" i="2"/>
  <c r="F5116" i="2"/>
  <c r="E5116" i="2"/>
  <c r="D5116" i="2"/>
  <c r="C5116" i="2"/>
  <c r="B5116" i="2"/>
  <c r="A5116" i="2"/>
  <c r="U5115" i="2"/>
  <c r="N5115" i="2"/>
  <c r="M5115" i="2"/>
  <c r="J5115" i="2"/>
  <c r="I5115" i="2"/>
  <c r="H5115" i="2"/>
  <c r="G5115" i="2"/>
  <c r="F5115" i="2"/>
  <c r="E5115" i="2"/>
  <c r="D5115" i="2"/>
  <c r="C5115" i="2"/>
  <c r="B5115" i="2"/>
  <c r="A5115" i="2"/>
  <c r="U5114" i="2"/>
  <c r="N5114" i="2"/>
  <c r="M5114" i="2"/>
  <c r="J5114" i="2"/>
  <c r="I5114" i="2"/>
  <c r="H5114" i="2"/>
  <c r="G5114" i="2"/>
  <c r="F5114" i="2"/>
  <c r="E5114" i="2"/>
  <c r="D5114" i="2"/>
  <c r="C5114" i="2"/>
  <c r="B5114" i="2"/>
  <c r="A5114" i="2"/>
  <c r="U5113" i="2"/>
  <c r="N5113" i="2"/>
  <c r="M5113" i="2"/>
  <c r="J5113" i="2"/>
  <c r="I5113" i="2"/>
  <c r="H5113" i="2"/>
  <c r="G5113" i="2"/>
  <c r="F5113" i="2"/>
  <c r="E5113" i="2"/>
  <c r="D5113" i="2"/>
  <c r="C5113" i="2"/>
  <c r="B5113" i="2"/>
  <c r="A5113" i="2"/>
  <c r="U5112" i="2"/>
  <c r="N5112" i="2"/>
  <c r="M5112" i="2"/>
  <c r="J5112" i="2"/>
  <c r="I5112" i="2"/>
  <c r="H5112" i="2"/>
  <c r="G5112" i="2"/>
  <c r="F5112" i="2"/>
  <c r="E5112" i="2"/>
  <c r="D5112" i="2"/>
  <c r="C5112" i="2"/>
  <c r="B5112" i="2"/>
  <c r="A5112" i="2"/>
  <c r="U5111" i="2"/>
  <c r="N5111" i="2"/>
  <c r="M5111" i="2"/>
  <c r="J5111" i="2"/>
  <c r="I5111" i="2"/>
  <c r="H5111" i="2"/>
  <c r="G5111" i="2"/>
  <c r="F5111" i="2"/>
  <c r="E5111" i="2"/>
  <c r="D5111" i="2"/>
  <c r="C5111" i="2"/>
  <c r="B5111" i="2"/>
  <c r="A5111" i="2"/>
  <c r="Q5110" i="2"/>
  <c r="U5110" i="2" s="1"/>
  <c r="N5110" i="2"/>
  <c r="M5110" i="2"/>
  <c r="J5110" i="2"/>
  <c r="I5110" i="2"/>
  <c r="H5110" i="2"/>
  <c r="G5110" i="2"/>
  <c r="F5110" i="2"/>
  <c r="E5110" i="2"/>
  <c r="D5110" i="2"/>
  <c r="C5110" i="2"/>
  <c r="B5110" i="2"/>
  <c r="A5110" i="2"/>
  <c r="U5109" i="2"/>
  <c r="N5109" i="2"/>
  <c r="M5109" i="2"/>
  <c r="J5109" i="2"/>
  <c r="I5109" i="2"/>
  <c r="H5109" i="2"/>
  <c r="G5109" i="2"/>
  <c r="F5109" i="2"/>
  <c r="E5109" i="2"/>
  <c r="D5109" i="2"/>
  <c r="C5109" i="2"/>
  <c r="B5109" i="2"/>
  <c r="A5109" i="2"/>
  <c r="U5108" i="2"/>
  <c r="N5108" i="2"/>
  <c r="M5108" i="2"/>
  <c r="J5108" i="2"/>
  <c r="I5108" i="2"/>
  <c r="H5108" i="2"/>
  <c r="G5108" i="2"/>
  <c r="F5108" i="2"/>
  <c r="E5108" i="2"/>
  <c r="D5108" i="2"/>
  <c r="C5108" i="2"/>
  <c r="B5108" i="2"/>
  <c r="A5108" i="2"/>
  <c r="U5107" i="2"/>
  <c r="N5107" i="2"/>
  <c r="M5107" i="2"/>
  <c r="J5107" i="2"/>
  <c r="I5107" i="2"/>
  <c r="H5107" i="2"/>
  <c r="G5107" i="2"/>
  <c r="F5107" i="2"/>
  <c r="E5107" i="2"/>
  <c r="D5107" i="2"/>
  <c r="C5107" i="2"/>
  <c r="B5107" i="2"/>
  <c r="A5107" i="2"/>
  <c r="U5106" i="2"/>
  <c r="N5106" i="2"/>
  <c r="M5106" i="2"/>
  <c r="J5106" i="2"/>
  <c r="I5106" i="2"/>
  <c r="H5106" i="2"/>
  <c r="G5106" i="2"/>
  <c r="F5106" i="2"/>
  <c r="E5106" i="2"/>
  <c r="D5106" i="2"/>
  <c r="C5106" i="2"/>
  <c r="B5106" i="2"/>
  <c r="A5106" i="2"/>
  <c r="U5105" i="2"/>
  <c r="N5105" i="2"/>
  <c r="M5105" i="2"/>
  <c r="J5105" i="2"/>
  <c r="I5105" i="2"/>
  <c r="H5105" i="2"/>
  <c r="G5105" i="2"/>
  <c r="F5105" i="2"/>
  <c r="E5105" i="2"/>
  <c r="D5105" i="2"/>
  <c r="C5105" i="2"/>
  <c r="B5105" i="2"/>
  <c r="A5105" i="2"/>
  <c r="U5104" i="2"/>
  <c r="N5104" i="2"/>
  <c r="M5104" i="2"/>
  <c r="J5104" i="2"/>
  <c r="I5104" i="2"/>
  <c r="H5104" i="2"/>
  <c r="G5104" i="2"/>
  <c r="F5104" i="2"/>
  <c r="E5104" i="2"/>
  <c r="D5104" i="2"/>
  <c r="C5104" i="2"/>
  <c r="B5104" i="2"/>
  <c r="A5104" i="2"/>
  <c r="U5103" i="2"/>
  <c r="N5103" i="2"/>
  <c r="M5103" i="2"/>
  <c r="J5103" i="2"/>
  <c r="I5103" i="2"/>
  <c r="H5103" i="2"/>
  <c r="G5103" i="2"/>
  <c r="F5103" i="2"/>
  <c r="E5103" i="2"/>
  <c r="D5103" i="2"/>
  <c r="C5103" i="2"/>
  <c r="B5103" i="2"/>
  <c r="A5103" i="2"/>
  <c r="U5102" i="2"/>
  <c r="N5102" i="2"/>
  <c r="M5102" i="2"/>
  <c r="J5102" i="2"/>
  <c r="I5102" i="2"/>
  <c r="H5102" i="2"/>
  <c r="G5102" i="2"/>
  <c r="F5102" i="2"/>
  <c r="E5102" i="2"/>
  <c r="D5102" i="2"/>
  <c r="C5102" i="2"/>
  <c r="B5102" i="2"/>
  <c r="A5102" i="2"/>
  <c r="U5101" i="2"/>
  <c r="N5101" i="2"/>
  <c r="M5101" i="2"/>
  <c r="J5101" i="2"/>
  <c r="I5101" i="2"/>
  <c r="H5101" i="2"/>
  <c r="G5101" i="2"/>
  <c r="F5101" i="2"/>
  <c r="E5101" i="2"/>
  <c r="D5101" i="2"/>
  <c r="C5101" i="2"/>
  <c r="B5101" i="2"/>
  <c r="A5101" i="2"/>
  <c r="U5100" i="2"/>
  <c r="N5100" i="2"/>
  <c r="M5100" i="2"/>
  <c r="J5100" i="2"/>
  <c r="I5100" i="2"/>
  <c r="H5100" i="2"/>
  <c r="G5100" i="2"/>
  <c r="F5100" i="2"/>
  <c r="E5100" i="2"/>
  <c r="D5100" i="2"/>
  <c r="C5100" i="2"/>
  <c r="B5100" i="2"/>
  <c r="A5100" i="2"/>
  <c r="U5099" i="2"/>
  <c r="N5099" i="2"/>
  <c r="M5099" i="2"/>
  <c r="J5099" i="2"/>
  <c r="I5099" i="2"/>
  <c r="H5099" i="2"/>
  <c r="G5099" i="2"/>
  <c r="F5099" i="2"/>
  <c r="E5099" i="2"/>
  <c r="D5099" i="2"/>
  <c r="C5099" i="2"/>
  <c r="B5099" i="2"/>
  <c r="A5099" i="2"/>
  <c r="U5098" i="2"/>
  <c r="N5098" i="2"/>
  <c r="M5098" i="2"/>
  <c r="J5098" i="2"/>
  <c r="I5098" i="2"/>
  <c r="H5098" i="2"/>
  <c r="G5098" i="2"/>
  <c r="F5098" i="2"/>
  <c r="E5098" i="2"/>
  <c r="D5098" i="2"/>
  <c r="C5098" i="2"/>
  <c r="B5098" i="2"/>
  <c r="A5098" i="2"/>
  <c r="U5097" i="2"/>
  <c r="N5097" i="2"/>
  <c r="M5097" i="2"/>
  <c r="J5097" i="2"/>
  <c r="I5097" i="2"/>
  <c r="H5097" i="2"/>
  <c r="G5097" i="2"/>
  <c r="F5097" i="2"/>
  <c r="E5097" i="2"/>
  <c r="D5097" i="2"/>
  <c r="C5097" i="2"/>
  <c r="B5097" i="2"/>
  <c r="A5097" i="2"/>
  <c r="U5096" i="2"/>
  <c r="N5096" i="2"/>
  <c r="M5096" i="2"/>
  <c r="J5096" i="2"/>
  <c r="I5096" i="2"/>
  <c r="H5096" i="2"/>
  <c r="G5096" i="2"/>
  <c r="F5096" i="2"/>
  <c r="E5096" i="2"/>
  <c r="D5096" i="2"/>
  <c r="C5096" i="2"/>
  <c r="B5096" i="2"/>
  <c r="A5096" i="2"/>
  <c r="U5095" i="2"/>
  <c r="N5095" i="2"/>
  <c r="M5095" i="2"/>
  <c r="J5095" i="2"/>
  <c r="I5095" i="2"/>
  <c r="H5095" i="2"/>
  <c r="G5095" i="2"/>
  <c r="F5095" i="2"/>
  <c r="E5095" i="2"/>
  <c r="D5095" i="2"/>
  <c r="C5095" i="2"/>
  <c r="B5095" i="2"/>
  <c r="A5095" i="2"/>
  <c r="U5094" i="2"/>
  <c r="N5094" i="2"/>
  <c r="M5094" i="2"/>
  <c r="J5094" i="2"/>
  <c r="I5094" i="2"/>
  <c r="H5094" i="2"/>
  <c r="G5094" i="2"/>
  <c r="F5094" i="2"/>
  <c r="E5094" i="2"/>
  <c r="D5094" i="2"/>
  <c r="C5094" i="2"/>
  <c r="B5094" i="2"/>
  <c r="A5094" i="2"/>
  <c r="U5093" i="2"/>
  <c r="N5093" i="2"/>
  <c r="M5093" i="2"/>
  <c r="J5093" i="2"/>
  <c r="I5093" i="2"/>
  <c r="H5093" i="2"/>
  <c r="G5093" i="2"/>
  <c r="F5093" i="2"/>
  <c r="E5093" i="2"/>
  <c r="D5093" i="2"/>
  <c r="C5093" i="2"/>
  <c r="B5093" i="2"/>
  <c r="A5093" i="2"/>
  <c r="U5092" i="2"/>
  <c r="N5092" i="2"/>
  <c r="M5092" i="2"/>
  <c r="J5092" i="2"/>
  <c r="I5092" i="2"/>
  <c r="H5092" i="2"/>
  <c r="G5092" i="2"/>
  <c r="F5092" i="2"/>
  <c r="E5092" i="2"/>
  <c r="D5092" i="2"/>
  <c r="C5092" i="2"/>
  <c r="B5092" i="2"/>
  <c r="A5092" i="2"/>
  <c r="U5091" i="2"/>
  <c r="N5091" i="2"/>
  <c r="M5091" i="2"/>
  <c r="J5091" i="2"/>
  <c r="I5091" i="2"/>
  <c r="H5091" i="2"/>
  <c r="G5091" i="2"/>
  <c r="F5091" i="2"/>
  <c r="E5091" i="2"/>
  <c r="D5091" i="2"/>
  <c r="C5091" i="2"/>
  <c r="B5091" i="2"/>
  <c r="A5091" i="2"/>
  <c r="U5090" i="2"/>
  <c r="N5090" i="2"/>
  <c r="M5090" i="2"/>
  <c r="J5090" i="2"/>
  <c r="I5090" i="2"/>
  <c r="H5090" i="2"/>
  <c r="G5090" i="2"/>
  <c r="F5090" i="2"/>
  <c r="E5090" i="2"/>
  <c r="D5090" i="2"/>
  <c r="C5090" i="2"/>
  <c r="B5090" i="2"/>
  <c r="A5090" i="2"/>
  <c r="U5089" i="2"/>
  <c r="N5089" i="2"/>
  <c r="M5089" i="2"/>
  <c r="J5089" i="2"/>
  <c r="I5089" i="2"/>
  <c r="H5089" i="2"/>
  <c r="G5089" i="2"/>
  <c r="F5089" i="2"/>
  <c r="E5089" i="2"/>
  <c r="D5089" i="2"/>
  <c r="C5089" i="2"/>
  <c r="B5089" i="2"/>
  <c r="A5089" i="2"/>
  <c r="U5088" i="2"/>
  <c r="N5088" i="2"/>
  <c r="M5088" i="2"/>
  <c r="J5088" i="2"/>
  <c r="I5088" i="2"/>
  <c r="H5088" i="2"/>
  <c r="G5088" i="2"/>
  <c r="F5088" i="2"/>
  <c r="E5088" i="2"/>
  <c r="D5088" i="2"/>
  <c r="C5088" i="2"/>
  <c r="B5088" i="2"/>
  <c r="A5088" i="2"/>
  <c r="U5087" i="2"/>
  <c r="N5087" i="2"/>
  <c r="M5087" i="2"/>
  <c r="J5087" i="2"/>
  <c r="I5087" i="2"/>
  <c r="H5087" i="2"/>
  <c r="G5087" i="2"/>
  <c r="F5087" i="2"/>
  <c r="E5087" i="2"/>
  <c r="D5087" i="2"/>
  <c r="C5087" i="2"/>
  <c r="B5087" i="2"/>
  <c r="A5087" i="2"/>
  <c r="U5086" i="2"/>
  <c r="N5086" i="2"/>
  <c r="M5086" i="2"/>
  <c r="J5086" i="2"/>
  <c r="I5086" i="2"/>
  <c r="H5086" i="2"/>
  <c r="G5086" i="2"/>
  <c r="F5086" i="2"/>
  <c r="E5086" i="2"/>
  <c r="D5086" i="2"/>
  <c r="C5086" i="2"/>
  <c r="B5086" i="2"/>
  <c r="A5086" i="2"/>
  <c r="U5085" i="2"/>
  <c r="N5085" i="2"/>
  <c r="M5085" i="2"/>
  <c r="J5085" i="2"/>
  <c r="I5085" i="2"/>
  <c r="H5085" i="2"/>
  <c r="G5085" i="2"/>
  <c r="F5085" i="2"/>
  <c r="E5085" i="2"/>
  <c r="D5085" i="2"/>
  <c r="C5085" i="2"/>
  <c r="B5085" i="2"/>
  <c r="A5085" i="2"/>
  <c r="U5084" i="2"/>
  <c r="N5084" i="2"/>
  <c r="M5084" i="2"/>
  <c r="J5084" i="2"/>
  <c r="I5084" i="2"/>
  <c r="H5084" i="2"/>
  <c r="G5084" i="2"/>
  <c r="F5084" i="2"/>
  <c r="E5084" i="2"/>
  <c r="D5084" i="2"/>
  <c r="C5084" i="2"/>
  <c r="B5084" i="2"/>
  <c r="A5084" i="2"/>
  <c r="U5083" i="2"/>
  <c r="N5083" i="2"/>
  <c r="M5083" i="2"/>
  <c r="J5083" i="2"/>
  <c r="I5083" i="2"/>
  <c r="H5083" i="2"/>
  <c r="G5083" i="2"/>
  <c r="F5083" i="2"/>
  <c r="E5083" i="2"/>
  <c r="D5083" i="2"/>
  <c r="C5083" i="2"/>
  <c r="B5083" i="2"/>
  <c r="A5083" i="2"/>
  <c r="U5082" i="2"/>
  <c r="N5082" i="2"/>
  <c r="M5082" i="2"/>
  <c r="J5082" i="2"/>
  <c r="I5082" i="2"/>
  <c r="H5082" i="2"/>
  <c r="G5082" i="2"/>
  <c r="F5082" i="2"/>
  <c r="E5082" i="2"/>
  <c r="D5082" i="2"/>
  <c r="C5082" i="2"/>
  <c r="B5082" i="2"/>
  <c r="A5082" i="2"/>
  <c r="U5081" i="2"/>
  <c r="N5081" i="2"/>
  <c r="M5081" i="2"/>
  <c r="J5081" i="2"/>
  <c r="I5081" i="2"/>
  <c r="H5081" i="2"/>
  <c r="G5081" i="2"/>
  <c r="F5081" i="2"/>
  <c r="E5081" i="2"/>
  <c r="D5081" i="2"/>
  <c r="C5081" i="2"/>
  <c r="B5081" i="2"/>
  <c r="A5081" i="2"/>
  <c r="U5080" i="2"/>
  <c r="N5080" i="2"/>
  <c r="M5080" i="2"/>
  <c r="J5080" i="2"/>
  <c r="I5080" i="2"/>
  <c r="H5080" i="2"/>
  <c r="G5080" i="2"/>
  <c r="F5080" i="2"/>
  <c r="E5080" i="2"/>
  <c r="D5080" i="2"/>
  <c r="C5080" i="2"/>
  <c r="B5080" i="2"/>
  <c r="A5080" i="2"/>
  <c r="U5079" i="2"/>
  <c r="N5079" i="2"/>
  <c r="M5079" i="2"/>
  <c r="J5079" i="2"/>
  <c r="I5079" i="2"/>
  <c r="H5079" i="2"/>
  <c r="G5079" i="2"/>
  <c r="F5079" i="2"/>
  <c r="E5079" i="2"/>
  <c r="D5079" i="2"/>
  <c r="C5079" i="2"/>
  <c r="B5079" i="2"/>
  <c r="A5079" i="2"/>
  <c r="U5078" i="2"/>
  <c r="N5078" i="2"/>
  <c r="M5078" i="2"/>
  <c r="J5078" i="2"/>
  <c r="I5078" i="2"/>
  <c r="H5078" i="2"/>
  <c r="G5078" i="2"/>
  <c r="F5078" i="2"/>
  <c r="E5078" i="2"/>
  <c r="D5078" i="2"/>
  <c r="C5078" i="2"/>
  <c r="B5078" i="2"/>
  <c r="A5078" i="2"/>
  <c r="U5077" i="2"/>
  <c r="N5077" i="2"/>
  <c r="M5077" i="2"/>
  <c r="J5077" i="2"/>
  <c r="I5077" i="2"/>
  <c r="H5077" i="2"/>
  <c r="G5077" i="2"/>
  <c r="F5077" i="2"/>
  <c r="E5077" i="2"/>
  <c r="D5077" i="2"/>
  <c r="C5077" i="2"/>
  <c r="B5077" i="2"/>
  <c r="A5077" i="2"/>
  <c r="U5076" i="2"/>
  <c r="N5076" i="2"/>
  <c r="M5076" i="2"/>
  <c r="J5076" i="2"/>
  <c r="I5076" i="2"/>
  <c r="H5076" i="2"/>
  <c r="G5076" i="2"/>
  <c r="F5076" i="2"/>
  <c r="E5076" i="2"/>
  <c r="D5076" i="2"/>
  <c r="C5076" i="2"/>
  <c r="B5076" i="2"/>
  <c r="A5076" i="2"/>
  <c r="U5075" i="2"/>
  <c r="N5075" i="2"/>
  <c r="M5075" i="2"/>
  <c r="J5075" i="2"/>
  <c r="I5075" i="2"/>
  <c r="H5075" i="2"/>
  <c r="G5075" i="2"/>
  <c r="F5075" i="2"/>
  <c r="E5075" i="2"/>
  <c r="D5075" i="2"/>
  <c r="C5075" i="2"/>
  <c r="B5075" i="2"/>
  <c r="A5075" i="2"/>
  <c r="U5074" i="2"/>
  <c r="N5074" i="2"/>
  <c r="M5074" i="2"/>
  <c r="J5074" i="2"/>
  <c r="I5074" i="2"/>
  <c r="H5074" i="2"/>
  <c r="G5074" i="2"/>
  <c r="F5074" i="2"/>
  <c r="E5074" i="2"/>
  <c r="D5074" i="2"/>
  <c r="C5074" i="2"/>
  <c r="B5074" i="2"/>
  <c r="A5074" i="2"/>
  <c r="U5073" i="2"/>
  <c r="N5073" i="2"/>
  <c r="M5073" i="2"/>
  <c r="J5073" i="2"/>
  <c r="I5073" i="2"/>
  <c r="H5073" i="2"/>
  <c r="G5073" i="2"/>
  <c r="F5073" i="2"/>
  <c r="E5073" i="2"/>
  <c r="D5073" i="2"/>
  <c r="C5073" i="2"/>
  <c r="B5073" i="2"/>
  <c r="A5073" i="2"/>
  <c r="U5072" i="2"/>
  <c r="N5072" i="2"/>
  <c r="M5072" i="2"/>
  <c r="J5072" i="2"/>
  <c r="I5072" i="2"/>
  <c r="H5072" i="2"/>
  <c r="G5072" i="2"/>
  <c r="F5072" i="2"/>
  <c r="E5072" i="2"/>
  <c r="D5072" i="2"/>
  <c r="C5072" i="2"/>
  <c r="B5072" i="2"/>
  <c r="A5072" i="2"/>
  <c r="U5071" i="2"/>
  <c r="N5071" i="2"/>
  <c r="M5071" i="2"/>
  <c r="J5071" i="2"/>
  <c r="I5071" i="2"/>
  <c r="H5071" i="2"/>
  <c r="G5071" i="2"/>
  <c r="F5071" i="2"/>
  <c r="E5071" i="2"/>
  <c r="D5071" i="2"/>
  <c r="C5071" i="2"/>
  <c r="B5071" i="2"/>
  <c r="A5071" i="2"/>
  <c r="U5070" i="2"/>
  <c r="N5070" i="2"/>
  <c r="M5070" i="2"/>
  <c r="J5070" i="2"/>
  <c r="I5070" i="2"/>
  <c r="H5070" i="2"/>
  <c r="G5070" i="2"/>
  <c r="F5070" i="2"/>
  <c r="E5070" i="2"/>
  <c r="D5070" i="2"/>
  <c r="C5070" i="2"/>
  <c r="B5070" i="2"/>
  <c r="A5070" i="2"/>
  <c r="U5069" i="2"/>
  <c r="N5069" i="2"/>
  <c r="M5069" i="2"/>
  <c r="J5069" i="2"/>
  <c r="I5069" i="2"/>
  <c r="H5069" i="2"/>
  <c r="G5069" i="2"/>
  <c r="F5069" i="2"/>
  <c r="E5069" i="2"/>
  <c r="D5069" i="2"/>
  <c r="C5069" i="2"/>
  <c r="B5069" i="2"/>
  <c r="A5069" i="2"/>
  <c r="U5068" i="2"/>
  <c r="N5068" i="2"/>
  <c r="M5068" i="2"/>
  <c r="J5068" i="2"/>
  <c r="I5068" i="2"/>
  <c r="H5068" i="2"/>
  <c r="G5068" i="2"/>
  <c r="F5068" i="2"/>
  <c r="E5068" i="2"/>
  <c r="D5068" i="2"/>
  <c r="C5068" i="2"/>
  <c r="B5068" i="2"/>
  <c r="A5068" i="2"/>
  <c r="U5067" i="2"/>
  <c r="N5067" i="2"/>
  <c r="M5067" i="2"/>
  <c r="J5067" i="2"/>
  <c r="I5067" i="2"/>
  <c r="H5067" i="2"/>
  <c r="G5067" i="2"/>
  <c r="F5067" i="2"/>
  <c r="E5067" i="2"/>
  <c r="D5067" i="2"/>
  <c r="C5067" i="2"/>
  <c r="B5067" i="2"/>
  <c r="A5067" i="2"/>
  <c r="U5066" i="2"/>
  <c r="N5066" i="2"/>
  <c r="M5066" i="2"/>
  <c r="J5066" i="2"/>
  <c r="I5066" i="2"/>
  <c r="H5066" i="2"/>
  <c r="G5066" i="2"/>
  <c r="F5066" i="2"/>
  <c r="E5066" i="2"/>
  <c r="D5066" i="2"/>
  <c r="C5066" i="2"/>
  <c r="B5066" i="2"/>
  <c r="A5066" i="2"/>
  <c r="U5065" i="2"/>
  <c r="N5065" i="2"/>
  <c r="M5065" i="2"/>
  <c r="J5065" i="2"/>
  <c r="I5065" i="2"/>
  <c r="H5065" i="2"/>
  <c r="G5065" i="2"/>
  <c r="F5065" i="2"/>
  <c r="E5065" i="2"/>
  <c r="D5065" i="2"/>
  <c r="C5065" i="2"/>
  <c r="B5065" i="2"/>
  <c r="A5065" i="2"/>
  <c r="U5064" i="2"/>
  <c r="N5064" i="2"/>
  <c r="M5064" i="2"/>
  <c r="J5064" i="2"/>
  <c r="I5064" i="2"/>
  <c r="H5064" i="2"/>
  <c r="G5064" i="2"/>
  <c r="F5064" i="2"/>
  <c r="E5064" i="2"/>
  <c r="D5064" i="2"/>
  <c r="C5064" i="2"/>
  <c r="B5064" i="2"/>
  <c r="A5064" i="2"/>
  <c r="U5063" i="2"/>
  <c r="N5063" i="2"/>
  <c r="M5063" i="2"/>
  <c r="J5063" i="2"/>
  <c r="I5063" i="2"/>
  <c r="H5063" i="2"/>
  <c r="G5063" i="2"/>
  <c r="F5063" i="2"/>
  <c r="E5063" i="2"/>
  <c r="D5063" i="2"/>
  <c r="C5063" i="2"/>
  <c r="B5063" i="2"/>
  <c r="A5063" i="2"/>
  <c r="U5062" i="2"/>
  <c r="N5062" i="2"/>
  <c r="M5062" i="2"/>
  <c r="J5062" i="2"/>
  <c r="I5062" i="2"/>
  <c r="H5062" i="2"/>
  <c r="G5062" i="2"/>
  <c r="F5062" i="2"/>
  <c r="E5062" i="2"/>
  <c r="D5062" i="2"/>
  <c r="C5062" i="2"/>
  <c r="B5062" i="2"/>
  <c r="A5062" i="2"/>
  <c r="U5061" i="2"/>
  <c r="N5061" i="2"/>
  <c r="M5061" i="2"/>
  <c r="J5061" i="2"/>
  <c r="I5061" i="2"/>
  <c r="H5061" i="2"/>
  <c r="G5061" i="2"/>
  <c r="F5061" i="2"/>
  <c r="E5061" i="2"/>
  <c r="D5061" i="2"/>
  <c r="C5061" i="2"/>
  <c r="B5061" i="2"/>
  <c r="A5061" i="2"/>
  <c r="U5060" i="2"/>
  <c r="N5060" i="2"/>
  <c r="M5060" i="2"/>
  <c r="J5060" i="2"/>
  <c r="I5060" i="2"/>
  <c r="H5060" i="2"/>
  <c r="G5060" i="2"/>
  <c r="F5060" i="2"/>
  <c r="E5060" i="2"/>
  <c r="D5060" i="2"/>
  <c r="C5060" i="2"/>
  <c r="B5060" i="2"/>
  <c r="A5060" i="2"/>
  <c r="Q5059" i="2"/>
  <c r="U5059" i="2" s="1"/>
  <c r="N5059" i="2"/>
  <c r="M5059" i="2"/>
  <c r="J5059" i="2"/>
  <c r="I5059" i="2"/>
  <c r="H5059" i="2"/>
  <c r="G5059" i="2"/>
  <c r="F5059" i="2"/>
  <c r="E5059" i="2"/>
  <c r="D5059" i="2"/>
  <c r="C5059" i="2"/>
  <c r="B5059" i="2"/>
  <c r="A5059" i="2"/>
  <c r="U5058" i="2"/>
  <c r="N5058" i="2"/>
  <c r="M5058" i="2"/>
  <c r="J5058" i="2"/>
  <c r="I5058" i="2"/>
  <c r="H5058" i="2"/>
  <c r="G5058" i="2"/>
  <c r="F5058" i="2"/>
  <c r="E5058" i="2"/>
  <c r="D5058" i="2"/>
  <c r="C5058" i="2"/>
  <c r="B5058" i="2"/>
  <c r="A5058" i="2"/>
  <c r="U5057" i="2"/>
  <c r="N5057" i="2"/>
  <c r="M5057" i="2"/>
  <c r="J5057" i="2"/>
  <c r="I5057" i="2"/>
  <c r="H5057" i="2"/>
  <c r="G5057" i="2"/>
  <c r="F5057" i="2"/>
  <c r="E5057" i="2"/>
  <c r="D5057" i="2"/>
  <c r="C5057" i="2"/>
  <c r="B5057" i="2"/>
  <c r="A5057" i="2"/>
  <c r="U5056" i="2"/>
  <c r="N5056" i="2"/>
  <c r="M5056" i="2"/>
  <c r="J5056" i="2"/>
  <c r="I5056" i="2"/>
  <c r="H5056" i="2"/>
  <c r="G5056" i="2"/>
  <c r="F5056" i="2"/>
  <c r="E5056" i="2"/>
  <c r="D5056" i="2"/>
  <c r="C5056" i="2"/>
  <c r="B5056" i="2"/>
  <c r="A5056" i="2"/>
  <c r="U5055" i="2"/>
  <c r="N5055" i="2"/>
  <c r="M5055" i="2"/>
  <c r="J5055" i="2"/>
  <c r="I5055" i="2"/>
  <c r="H5055" i="2"/>
  <c r="G5055" i="2"/>
  <c r="F5055" i="2"/>
  <c r="E5055" i="2"/>
  <c r="D5055" i="2"/>
  <c r="C5055" i="2"/>
  <c r="B5055" i="2"/>
  <c r="A5055" i="2"/>
  <c r="U5054" i="2"/>
  <c r="N5054" i="2"/>
  <c r="M5054" i="2"/>
  <c r="J5054" i="2"/>
  <c r="I5054" i="2"/>
  <c r="H5054" i="2"/>
  <c r="G5054" i="2"/>
  <c r="F5054" i="2"/>
  <c r="E5054" i="2"/>
  <c r="D5054" i="2"/>
  <c r="C5054" i="2"/>
  <c r="B5054" i="2"/>
  <c r="A5054" i="2"/>
  <c r="U5053" i="2"/>
  <c r="N5053" i="2"/>
  <c r="M5053" i="2"/>
  <c r="J5053" i="2"/>
  <c r="I5053" i="2"/>
  <c r="H5053" i="2"/>
  <c r="G5053" i="2"/>
  <c r="F5053" i="2"/>
  <c r="E5053" i="2"/>
  <c r="D5053" i="2"/>
  <c r="C5053" i="2"/>
  <c r="B5053" i="2"/>
  <c r="A5053" i="2"/>
  <c r="U5052" i="2"/>
  <c r="N5052" i="2"/>
  <c r="M5052" i="2"/>
  <c r="J5052" i="2"/>
  <c r="I5052" i="2"/>
  <c r="H5052" i="2"/>
  <c r="G5052" i="2"/>
  <c r="F5052" i="2"/>
  <c r="E5052" i="2"/>
  <c r="D5052" i="2"/>
  <c r="C5052" i="2"/>
  <c r="B5052" i="2"/>
  <c r="A5052" i="2"/>
  <c r="U5051" i="2"/>
  <c r="N5051" i="2"/>
  <c r="M5051" i="2"/>
  <c r="J5051" i="2"/>
  <c r="I5051" i="2"/>
  <c r="H5051" i="2"/>
  <c r="G5051" i="2"/>
  <c r="F5051" i="2"/>
  <c r="E5051" i="2"/>
  <c r="D5051" i="2"/>
  <c r="C5051" i="2"/>
  <c r="B5051" i="2"/>
  <c r="A5051" i="2"/>
  <c r="U5050" i="2"/>
  <c r="N5050" i="2"/>
  <c r="M5050" i="2"/>
  <c r="J5050" i="2"/>
  <c r="I5050" i="2"/>
  <c r="H5050" i="2"/>
  <c r="G5050" i="2"/>
  <c r="F5050" i="2"/>
  <c r="E5050" i="2"/>
  <c r="D5050" i="2"/>
  <c r="C5050" i="2"/>
  <c r="B5050" i="2"/>
  <c r="A5050" i="2"/>
  <c r="U5049" i="2"/>
  <c r="N5049" i="2"/>
  <c r="M5049" i="2"/>
  <c r="J5049" i="2"/>
  <c r="I5049" i="2"/>
  <c r="H5049" i="2"/>
  <c r="G5049" i="2"/>
  <c r="F5049" i="2"/>
  <c r="E5049" i="2"/>
  <c r="D5049" i="2"/>
  <c r="C5049" i="2"/>
  <c r="B5049" i="2"/>
  <c r="A5049" i="2"/>
  <c r="U5048" i="2"/>
  <c r="N5048" i="2"/>
  <c r="M5048" i="2"/>
  <c r="J5048" i="2"/>
  <c r="I5048" i="2"/>
  <c r="H5048" i="2"/>
  <c r="G5048" i="2"/>
  <c r="F5048" i="2"/>
  <c r="E5048" i="2"/>
  <c r="D5048" i="2"/>
  <c r="C5048" i="2"/>
  <c r="B5048" i="2"/>
  <c r="A5048" i="2"/>
  <c r="U5047" i="2"/>
  <c r="N5047" i="2"/>
  <c r="M5047" i="2"/>
  <c r="J5047" i="2"/>
  <c r="I5047" i="2"/>
  <c r="H5047" i="2"/>
  <c r="G5047" i="2"/>
  <c r="F5047" i="2"/>
  <c r="E5047" i="2"/>
  <c r="D5047" i="2"/>
  <c r="C5047" i="2"/>
  <c r="B5047" i="2"/>
  <c r="A5047" i="2"/>
  <c r="U5046" i="2"/>
  <c r="N5046" i="2"/>
  <c r="M5046" i="2"/>
  <c r="J5046" i="2"/>
  <c r="I5046" i="2"/>
  <c r="H5046" i="2"/>
  <c r="G5046" i="2"/>
  <c r="F5046" i="2"/>
  <c r="E5046" i="2"/>
  <c r="D5046" i="2"/>
  <c r="C5046" i="2"/>
  <c r="B5046" i="2"/>
  <c r="A5046" i="2"/>
  <c r="U5045" i="2"/>
  <c r="N5045" i="2"/>
  <c r="M5045" i="2"/>
  <c r="J5045" i="2"/>
  <c r="I5045" i="2"/>
  <c r="H5045" i="2"/>
  <c r="G5045" i="2"/>
  <c r="F5045" i="2"/>
  <c r="E5045" i="2"/>
  <c r="D5045" i="2"/>
  <c r="C5045" i="2"/>
  <c r="B5045" i="2"/>
  <c r="A5045" i="2"/>
  <c r="U5044" i="2"/>
  <c r="N5044" i="2"/>
  <c r="M5044" i="2"/>
  <c r="J5044" i="2"/>
  <c r="I5044" i="2"/>
  <c r="H5044" i="2"/>
  <c r="G5044" i="2"/>
  <c r="F5044" i="2"/>
  <c r="E5044" i="2"/>
  <c r="D5044" i="2"/>
  <c r="C5044" i="2"/>
  <c r="B5044" i="2"/>
  <c r="A5044" i="2"/>
  <c r="U5043" i="2"/>
  <c r="N5043" i="2"/>
  <c r="M5043" i="2"/>
  <c r="J5043" i="2"/>
  <c r="I5043" i="2"/>
  <c r="H5043" i="2"/>
  <c r="G5043" i="2"/>
  <c r="F5043" i="2"/>
  <c r="E5043" i="2"/>
  <c r="D5043" i="2"/>
  <c r="C5043" i="2"/>
  <c r="B5043" i="2"/>
  <c r="A5043" i="2"/>
  <c r="U5042" i="2"/>
  <c r="N5042" i="2"/>
  <c r="M5042" i="2"/>
  <c r="J5042" i="2"/>
  <c r="I5042" i="2"/>
  <c r="H5042" i="2"/>
  <c r="G5042" i="2"/>
  <c r="F5042" i="2"/>
  <c r="E5042" i="2"/>
  <c r="D5042" i="2"/>
  <c r="C5042" i="2"/>
  <c r="B5042" i="2"/>
  <c r="A5042" i="2"/>
  <c r="U5041" i="2"/>
  <c r="N5041" i="2"/>
  <c r="M5041" i="2"/>
  <c r="J5041" i="2"/>
  <c r="I5041" i="2"/>
  <c r="H5041" i="2"/>
  <c r="G5041" i="2"/>
  <c r="F5041" i="2"/>
  <c r="E5041" i="2"/>
  <c r="D5041" i="2"/>
  <c r="C5041" i="2"/>
  <c r="B5041" i="2"/>
  <c r="A5041" i="2"/>
  <c r="U5040" i="2"/>
  <c r="N5040" i="2"/>
  <c r="M5040" i="2"/>
  <c r="J5040" i="2"/>
  <c r="I5040" i="2"/>
  <c r="H5040" i="2"/>
  <c r="G5040" i="2"/>
  <c r="F5040" i="2"/>
  <c r="E5040" i="2"/>
  <c r="D5040" i="2"/>
  <c r="C5040" i="2"/>
  <c r="B5040" i="2"/>
  <c r="A5040" i="2"/>
  <c r="U5039" i="2"/>
  <c r="N5039" i="2"/>
  <c r="M5039" i="2"/>
  <c r="J5039" i="2"/>
  <c r="I5039" i="2"/>
  <c r="H5039" i="2"/>
  <c r="G5039" i="2"/>
  <c r="F5039" i="2"/>
  <c r="E5039" i="2"/>
  <c r="D5039" i="2"/>
  <c r="C5039" i="2"/>
  <c r="B5039" i="2"/>
  <c r="A5039" i="2"/>
  <c r="U5038" i="2"/>
  <c r="N5038" i="2"/>
  <c r="M5038" i="2"/>
  <c r="J5038" i="2"/>
  <c r="I5038" i="2"/>
  <c r="H5038" i="2"/>
  <c r="G5038" i="2"/>
  <c r="F5038" i="2"/>
  <c r="E5038" i="2"/>
  <c r="D5038" i="2"/>
  <c r="C5038" i="2"/>
  <c r="B5038" i="2"/>
  <c r="A5038" i="2"/>
  <c r="U5037" i="2"/>
  <c r="N5037" i="2"/>
  <c r="M5037" i="2"/>
  <c r="J5037" i="2"/>
  <c r="I5037" i="2"/>
  <c r="H5037" i="2"/>
  <c r="G5037" i="2"/>
  <c r="F5037" i="2"/>
  <c r="E5037" i="2"/>
  <c r="D5037" i="2"/>
  <c r="C5037" i="2"/>
  <c r="B5037" i="2"/>
  <c r="A5037" i="2"/>
  <c r="U5036" i="2"/>
  <c r="N5036" i="2"/>
  <c r="M5036" i="2"/>
  <c r="J5036" i="2"/>
  <c r="I5036" i="2"/>
  <c r="H5036" i="2"/>
  <c r="G5036" i="2"/>
  <c r="F5036" i="2"/>
  <c r="E5036" i="2"/>
  <c r="D5036" i="2"/>
  <c r="C5036" i="2"/>
  <c r="B5036" i="2"/>
  <c r="A5036" i="2"/>
  <c r="U5035" i="2"/>
  <c r="N5035" i="2"/>
  <c r="M5035" i="2"/>
  <c r="J5035" i="2"/>
  <c r="I5035" i="2"/>
  <c r="H5035" i="2"/>
  <c r="G5035" i="2"/>
  <c r="F5035" i="2"/>
  <c r="E5035" i="2"/>
  <c r="D5035" i="2"/>
  <c r="C5035" i="2"/>
  <c r="B5035" i="2"/>
  <c r="A5035" i="2"/>
  <c r="U5034" i="2"/>
  <c r="N5034" i="2"/>
  <c r="M5034" i="2"/>
  <c r="J5034" i="2"/>
  <c r="I5034" i="2"/>
  <c r="H5034" i="2"/>
  <c r="G5034" i="2"/>
  <c r="F5034" i="2"/>
  <c r="E5034" i="2"/>
  <c r="D5034" i="2"/>
  <c r="C5034" i="2"/>
  <c r="B5034" i="2"/>
  <c r="A5034" i="2"/>
  <c r="U5033" i="2"/>
  <c r="N5033" i="2"/>
  <c r="M5033" i="2"/>
  <c r="J5033" i="2"/>
  <c r="I5033" i="2"/>
  <c r="H5033" i="2"/>
  <c r="G5033" i="2"/>
  <c r="F5033" i="2"/>
  <c r="E5033" i="2"/>
  <c r="D5033" i="2"/>
  <c r="C5033" i="2"/>
  <c r="B5033" i="2"/>
  <c r="A5033" i="2"/>
  <c r="U5032" i="2"/>
  <c r="N5032" i="2"/>
  <c r="M5032" i="2"/>
  <c r="J5032" i="2"/>
  <c r="I5032" i="2"/>
  <c r="H5032" i="2"/>
  <c r="G5032" i="2"/>
  <c r="F5032" i="2"/>
  <c r="E5032" i="2"/>
  <c r="D5032" i="2"/>
  <c r="C5032" i="2"/>
  <c r="B5032" i="2"/>
  <c r="A5032" i="2"/>
  <c r="U5031" i="2"/>
  <c r="N5031" i="2"/>
  <c r="M5031" i="2"/>
  <c r="J5031" i="2"/>
  <c r="I5031" i="2"/>
  <c r="H5031" i="2"/>
  <c r="G5031" i="2"/>
  <c r="F5031" i="2"/>
  <c r="E5031" i="2"/>
  <c r="D5031" i="2"/>
  <c r="C5031" i="2"/>
  <c r="B5031" i="2"/>
  <c r="A5031" i="2"/>
  <c r="U5030" i="2"/>
  <c r="N5030" i="2"/>
  <c r="M5030" i="2"/>
  <c r="J5030" i="2"/>
  <c r="I5030" i="2"/>
  <c r="H5030" i="2"/>
  <c r="G5030" i="2"/>
  <c r="F5030" i="2"/>
  <c r="E5030" i="2"/>
  <c r="D5030" i="2"/>
  <c r="C5030" i="2"/>
  <c r="B5030" i="2"/>
  <c r="A5030" i="2"/>
  <c r="U5029" i="2"/>
  <c r="N5029" i="2"/>
  <c r="M5029" i="2"/>
  <c r="J5029" i="2"/>
  <c r="I5029" i="2"/>
  <c r="H5029" i="2"/>
  <c r="G5029" i="2"/>
  <c r="F5029" i="2"/>
  <c r="E5029" i="2"/>
  <c r="D5029" i="2"/>
  <c r="C5029" i="2"/>
  <c r="B5029" i="2"/>
  <c r="A5029" i="2"/>
  <c r="U5028" i="2"/>
  <c r="N5028" i="2"/>
  <c r="M5028" i="2"/>
  <c r="J5028" i="2"/>
  <c r="I5028" i="2"/>
  <c r="H5028" i="2"/>
  <c r="G5028" i="2"/>
  <c r="F5028" i="2"/>
  <c r="E5028" i="2"/>
  <c r="D5028" i="2"/>
  <c r="C5028" i="2"/>
  <c r="B5028" i="2"/>
  <c r="A5028" i="2"/>
  <c r="U5027" i="2"/>
  <c r="N5027" i="2"/>
  <c r="M5027" i="2"/>
  <c r="J5027" i="2"/>
  <c r="I5027" i="2"/>
  <c r="H5027" i="2"/>
  <c r="G5027" i="2"/>
  <c r="F5027" i="2"/>
  <c r="E5027" i="2"/>
  <c r="D5027" i="2"/>
  <c r="C5027" i="2"/>
  <c r="B5027" i="2"/>
  <c r="A5027" i="2"/>
  <c r="U5026" i="2"/>
  <c r="N5026" i="2"/>
  <c r="M5026" i="2"/>
  <c r="J5026" i="2"/>
  <c r="I5026" i="2"/>
  <c r="H5026" i="2"/>
  <c r="G5026" i="2"/>
  <c r="F5026" i="2"/>
  <c r="E5026" i="2"/>
  <c r="D5026" i="2"/>
  <c r="C5026" i="2"/>
  <c r="B5026" i="2"/>
  <c r="A5026" i="2"/>
  <c r="U5025" i="2"/>
  <c r="N5025" i="2"/>
  <c r="M5025" i="2"/>
  <c r="J5025" i="2"/>
  <c r="I5025" i="2"/>
  <c r="H5025" i="2"/>
  <c r="G5025" i="2"/>
  <c r="F5025" i="2"/>
  <c r="E5025" i="2"/>
  <c r="D5025" i="2"/>
  <c r="C5025" i="2"/>
  <c r="B5025" i="2"/>
  <c r="A5025" i="2"/>
  <c r="U5024" i="2"/>
  <c r="N5024" i="2"/>
  <c r="M5024" i="2"/>
  <c r="J5024" i="2"/>
  <c r="I5024" i="2"/>
  <c r="H5024" i="2"/>
  <c r="G5024" i="2"/>
  <c r="F5024" i="2"/>
  <c r="E5024" i="2"/>
  <c r="D5024" i="2"/>
  <c r="C5024" i="2"/>
  <c r="B5024" i="2"/>
  <c r="A5024" i="2"/>
  <c r="U5023" i="2"/>
  <c r="N5023" i="2"/>
  <c r="M5023" i="2"/>
  <c r="J5023" i="2"/>
  <c r="I5023" i="2"/>
  <c r="H5023" i="2"/>
  <c r="G5023" i="2"/>
  <c r="F5023" i="2"/>
  <c r="E5023" i="2"/>
  <c r="D5023" i="2"/>
  <c r="C5023" i="2"/>
  <c r="B5023" i="2"/>
  <c r="A5023" i="2"/>
  <c r="Q5022" i="2"/>
  <c r="U5022" i="2" s="1"/>
  <c r="N5022" i="2"/>
  <c r="M5022" i="2"/>
  <c r="J5022" i="2"/>
  <c r="I5022" i="2"/>
  <c r="H5022" i="2"/>
  <c r="G5022" i="2"/>
  <c r="F5022" i="2"/>
  <c r="E5022" i="2"/>
  <c r="D5022" i="2"/>
  <c r="C5022" i="2"/>
  <c r="B5022" i="2"/>
  <c r="A5022" i="2"/>
  <c r="U5021" i="2"/>
  <c r="N5021" i="2"/>
  <c r="M5021" i="2"/>
  <c r="J5021" i="2"/>
  <c r="I5021" i="2"/>
  <c r="H5021" i="2"/>
  <c r="G5021" i="2"/>
  <c r="F5021" i="2"/>
  <c r="E5021" i="2"/>
  <c r="D5021" i="2"/>
  <c r="C5021" i="2"/>
  <c r="B5021" i="2"/>
  <c r="A5021" i="2"/>
  <c r="U5020" i="2"/>
  <c r="N5020" i="2"/>
  <c r="M5020" i="2"/>
  <c r="J5020" i="2"/>
  <c r="I5020" i="2"/>
  <c r="H5020" i="2"/>
  <c r="G5020" i="2"/>
  <c r="F5020" i="2"/>
  <c r="E5020" i="2"/>
  <c r="D5020" i="2"/>
  <c r="C5020" i="2"/>
  <c r="B5020" i="2"/>
  <c r="A5020" i="2"/>
  <c r="Q5019" i="2"/>
  <c r="U5019" i="2" s="1"/>
  <c r="N5019" i="2"/>
  <c r="M5019" i="2"/>
  <c r="J5019" i="2"/>
  <c r="I5019" i="2"/>
  <c r="H5019" i="2"/>
  <c r="G5019" i="2"/>
  <c r="F5019" i="2"/>
  <c r="E5019" i="2"/>
  <c r="D5019" i="2"/>
  <c r="C5019" i="2"/>
  <c r="B5019" i="2"/>
  <c r="A5019" i="2"/>
  <c r="Q5018" i="2"/>
  <c r="U5018" i="2" s="1"/>
  <c r="N5018" i="2"/>
  <c r="M5018" i="2"/>
  <c r="J5018" i="2"/>
  <c r="I5018" i="2"/>
  <c r="H5018" i="2"/>
  <c r="G5018" i="2"/>
  <c r="F5018" i="2"/>
  <c r="E5018" i="2"/>
  <c r="D5018" i="2"/>
  <c r="C5018" i="2"/>
  <c r="B5018" i="2"/>
  <c r="A5018" i="2"/>
  <c r="U5017" i="2"/>
  <c r="N5017" i="2"/>
  <c r="M5017" i="2"/>
  <c r="J5017" i="2"/>
  <c r="I5017" i="2"/>
  <c r="H5017" i="2"/>
  <c r="G5017" i="2"/>
  <c r="F5017" i="2"/>
  <c r="E5017" i="2"/>
  <c r="D5017" i="2"/>
  <c r="C5017" i="2"/>
  <c r="B5017" i="2"/>
  <c r="A5017" i="2"/>
  <c r="U5016" i="2"/>
  <c r="N5016" i="2"/>
  <c r="M5016" i="2"/>
  <c r="J5016" i="2"/>
  <c r="I5016" i="2"/>
  <c r="H5016" i="2"/>
  <c r="G5016" i="2"/>
  <c r="F5016" i="2"/>
  <c r="E5016" i="2"/>
  <c r="D5016" i="2"/>
  <c r="C5016" i="2"/>
  <c r="B5016" i="2"/>
  <c r="A5016" i="2"/>
  <c r="Q5015" i="2"/>
  <c r="U5015" i="2" s="1"/>
  <c r="N5015" i="2"/>
  <c r="M5015" i="2"/>
  <c r="J5015" i="2"/>
  <c r="I5015" i="2"/>
  <c r="H5015" i="2"/>
  <c r="G5015" i="2"/>
  <c r="F5015" i="2"/>
  <c r="E5015" i="2"/>
  <c r="D5015" i="2"/>
  <c r="C5015" i="2"/>
  <c r="B5015" i="2"/>
  <c r="A5015" i="2"/>
  <c r="U5014" i="2"/>
  <c r="N5014" i="2"/>
  <c r="M5014" i="2"/>
  <c r="J5014" i="2"/>
  <c r="I5014" i="2"/>
  <c r="H5014" i="2"/>
  <c r="G5014" i="2"/>
  <c r="F5014" i="2"/>
  <c r="E5014" i="2"/>
  <c r="D5014" i="2"/>
  <c r="C5014" i="2"/>
  <c r="B5014" i="2"/>
  <c r="A5014" i="2"/>
  <c r="Q5013" i="2"/>
  <c r="U5013" i="2" s="1"/>
  <c r="N5013" i="2"/>
  <c r="M5013" i="2"/>
  <c r="J5013" i="2"/>
  <c r="I5013" i="2"/>
  <c r="H5013" i="2"/>
  <c r="G5013" i="2"/>
  <c r="F5013" i="2"/>
  <c r="E5013" i="2"/>
  <c r="D5013" i="2"/>
  <c r="C5013" i="2"/>
  <c r="B5013" i="2"/>
  <c r="A5013" i="2"/>
  <c r="U5012" i="2"/>
  <c r="N5012" i="2"/>
  <c r="M5012" i="2"/>
  <c r="J5012" i="2"/>
  <c r="I5012" i="2"/>
  <c r="H5012" i="2"/>
  <c r="G5012" i="2"/>
  <c r="F5012" i="2"/>
  <c r="E5012" i="2"/>
  <c r="D5012" i="2"/>
  <c r="C5012" i="2"/>
  <c r="B5012" i="2"/>
  <c r="A5012" i="2"/>
  <c r="U5011" i="2"/>
  <c r="N5011" i="2"/>
  <c r="M5011" i="2"/>
  <c r="J5011" i="2"/>
  <c r="I5011" i="2"/>
  <c r="H5011" i="2"/>
  <c r="G5011" i="2"/>
  <c r="F5011" i="2"/>
  <c r="E5011" i="2"/>
  <c r="D5011" i="2"/>
  <c r="C5011" i="2"/>
  <c r="B5011" i="2"/>
  <c r="A5011" i="2"/>
  <c r="U5010" i="2"/>
  <c r="N5010" i="2"/>
  <c r="M5010" i="2"/>
  <c r="J5010" i="2"/>
  <c r="I5010" i="2"/>
  <c r="H5010" i="2"/>
  <c r="G5010" i="2"/>
  <c r="F5010" i="2"/>
  <c r="E5010" i="2"/>
  <c r="D5010" i="2"/>
  <c r="C5010" i="2"/>
  <c r="B5010" i="2"/>
  <c r="A5010" i="2"/>
  <c r="U5009" i="2"/>
  <c r="N5009" i="2"/>
  <c r="M5009" i="2"/>
  <c r="J5009" i="2"/>
  <c r="I5009" i="2"/>
  <c r="H5009" i="2"/>
  <c r="G5009" i="2"/>
  <c r="F5009" i="2"/>
  <c r="E5009" i="2"/>
  <c r="D5009" i="2"/>
  <c r="C5009" i="2"/>
  <c r="B5009" i="2"/>
  <c r="A5009" i="2"/>
  <c r="Q5008" i="2"/>
  <c r="U5008" i="2" s="1"/>
  <c r="N5008" i="2"/>
  <c r="M5008" i="2"/>
  <c r="J5008" i="2"/>
  <c r="I5008" i="2"/>
  <c r="H5008" i="2"/>
  <c r="G5008" i="2"/>
  <c r="F5008" i="2"/>
  <c r="E5008" i="2"/>
  <c r="D5008" i="2"/>
  <c r="C5008" i="2"/>
  <c r="B5008" i="2"/>
  <c r="A5008" i="2"/>
  <c r="U5007" i="2"/>
  <c r="N5007" i="2"/>
  <c r="M5007" i="2"/>
  <c r="J5007" i="2"/>
  <c r="I5007" i="2"/>
  <c r="H5007" i="2"/>
  <c r="G5007" i="2"/>
  <c r="F5007" i="2"/>
  <c r="E5007" i="2"/>
  <c r="D5007" i="2"/>
  <c r="C5007" i="2"/>
  <c r="B5007" i="2"/>
  <c r="A5007" i="2"/>
  <c r="U5006" i="2"/>
  <c r="N5006" i="2"/>
  <c r="M5006" i="2"/>
  <c r="J5006" i="2"/>
  <c r="I5006" i="2"/>
  <c r="H5006" i="2"/>
  <c r="G5006" i="2"/>
  <c r="F5006" i="2"/>
  <c r="E5006" i="2"/>
  <c r="D5006" i="2"/>
  <c r="C5006" i="2"/>
  <c r="B5006" i="2"/>
  <c r="A5006" i="2"/>
  <c r="U5005" i="2"/>
  <c r="N5005" i="2"/>
  <c r="M5005" i="2"/>
  <c r="J5005" i="2"/>
  <c r="I5005" i="2"/>
  <c r="H5005" i="2"/>
  <c r="G5005" i="2"/>
  <c r="F5005" i="2"/>
  <c r="E5005" i="2"/>
  <c r="D5005" i="2"/>
  <c r="C5005" i="2"/>
  <c r="B5005" i="2"/>
  <c r="A5005" i="2"/>
  <c r="U5004" i="2"/>
  <c r="N5004" i="2"/>
  <c r="M5004" i="2"/>
  <c r="J5004" i="2"/>
  <c r="I5004" i="2"/>
  <c r="H5004" i="2"/>
  <c r="G5004" i="2"/>
  <c r="F5004" i="2"/>
  <c r="E5004" i="2"/>
  <c r="D5004" i="2"/>
  <c r="C5004" i="2"/>
  <c r="B5004" i="2"/>
  <c r="A5004" i="2"/>
  <c r="U5003" i="2"/>
  <c r="N5003" i="2"/>
  <c r="M5003" i="2"/>
  <c r="J5003" i="2"/>
  <c r="I5003" i="2"/>
  <c r="H5003" i="2"/>
  <c r="G5003" i="2"/>
  <c r="F5003" i="2"/>
  <c r="E5003" i="2"/>
  <c r="D5003" i="2"/>
  <c r="C5003" i="2"/>
  <c r="B5003" i="2"/>
  <c r="A5003" i="2"/>
  <c r="U5002" i="2"/>
  <c r="N5002" i="2"/>
  <c r="M5002" i="2"/>
  <c r="J5002" i="2"/>
  <c r="I5002" i="2"/>
  <c r="H5002" i="2"/>
  <c r="G5002" i="2"/>
  <c r="F5002" i="2"/>
  <c r="E5002" i="2"/>
  <c r="D5002" i="2"/>
  <c r="C5002" i="2"/>
  <c r="B5002" i="2"/>
  <c r="A5002" i="2"/>
  <c r="U5001" i="2"/>
  <c r="N5001" i="2"/>
  <c r="M5001" i="2"/>
  <c r="J5001" i="2"/>
  <c r="I5001" i="2"/>
  <c r="H5001" i="2"/>
  <c r="G5001" i="2"/>
  <c r="F5001" i="2"/>
  <c r="E5001" i="2"/>
  <c r="D5001" i="2"/>
  <c r="C5001" i="2"/>
  <c r="B5001" i="2"/>
  <c r="A5001" i="2"/>
  <c r="U5000" i="2"/>
  <c r="N5000" i="2"/>
  <c r="M5000" i="2"/>
  <c r="J5000" i="2"/>
  <c r="I5000" i="2"/>
  <c r="H5000" i="2"/>
  <c r="G5000" i="2"/>
  <c r="F5000" i="2"/>
  <c r="E5000" i="2"/>
  <c r="D5000" i="2"/>
  <c r="C5000" i="2"/>
  <c r="B5000" i="2"/>
  <c r="A5000" i="2"/>
  <c r="U4999" i="2"/>
  <c r="N4999" i="2"/>
  <c r="M4999" i="2"/>
  <c r="J4999" i="2"/>
  <c r="I4999" i="2"/>
  <c r="H4999" i="2"/>
  <c r="G4999" i="2"/>
  <c r="F4999" i="2"/>
  <c r="E4999" i="2"/>
  <c r="D4999" i="2"/>
  <c r="C4999" i="2"/>
  <c r="B4999" i="2"/>
  <c r="A4999" i="2"/>
  <c r="U4998" i="2"/>
  <c r="N4998" i="2"/>
  <c r="M4998" i="2"/>
  <c r="J4998" i="2"/>
  <c r="I4998" i="2"/>
  <c r="H4998" i="2"/>
  <c r="G4998" i="2"/>
  <c r="F4998" i="2"/>
  <c r="E4998" i="2"/>
  <c r="D4998" i="2"/>
  <c r="C4998" i="2"/>
  <c r="B4998" i="2"/>
  <c r="A4998" i="2"/>
  <c r="Q4997" i="2"/>
  <c r="U4997" i="2" s="1"/>
  <c r="N4997" i="2"/>
  <c r="M4997" i="2"/>
  <c r="J4997" i="2"/>
  <c r="I4997" i="2"/>
  <c r="H4997" i="2"/>
  <c r="G4997" i="2"/>
  <c r="F4997" i="2"/>
  <c r="E4997" i="2"/>
  <c r="D4997" i="2"/>
  <c r="C4997" i="2"/>
  <c r="B4997" i="2"/>
  <c r="A4997" i="2"/>
  <c r="U4996" i="2"/>
  <c r="N4996" i="2"/>
  <c r="M4996" i="2"/>
  <c r="J4996" i="2"/>
  <c r="I4996" i="2"/>
  <c r="H4996" i="2"/>
  <c r="G4996" i="2"/>
  <c r="F4996" i="2"/>
  <c r="E4996" i="2"/>
  <c r="D4996" i="2"/>
  <c r="C4996" i="2"/>
  <c r="B4996" i="2"/>
  <c r="A4996" i="2"/>
  <c r="U4995" i="2"/>
  <c r="N4995" i="2"/>
  <c r="M4995" i="2"/>
  <c r="J4995" i="2"/>
  <c r="I4995" i="2"/>
  <c r="H4995" i="2"/>
  <c r="G4995" i="2"/>
  <c r="F4995" i="2"/>
  <c r="E4995" i="2"/>
  <c r="D4995" i="2"/>
  <c r="C4995" i="2"/>
  <c r="B4995" i="2"/>
  <c r="A4995" i="2"/>
  <c r="U4994" i="2"/>
  <c r="N4994" i="2"/>
  <c r="M4994" i="2"/>
  <c r="J4994" i="2"/>
  <c r="I4994" i="2"/>
  <c r="H4994" i="2"/>
  <c r="G4994" i="2"/>
  <c r="F4994" i="2"/>
  <c r="E4994" i="2"/>
  <c r="D4994" i="2"/>
  <c r="C4994" i="2"/>
  <c r="B4994" i="2"/>
  <c r="A4994" i="2"/>
  <c r="U4993" i="2"/>
  <c r="N4993" i="2"/>
  <c r="M4993" i="2"/>
  <c r="J4993" i="2"/>
  <c r="I4993" i="2"/>
  <c r="H4993" i="2"/>
  <c r="G4993" i="2"/>
  <c r="F4993" i="2"/>
  <c r="E4993" i="2"/>
  <c r="D4993" i="2"/>
  <c r="C4993" i="2"/>
  <c r="B4993" i="2"/>
  <c r="A4993" i="2"/>
  <c r="Q4992" i="2"/>
  <c r="U4992" i="2" s="1"/>
  <c r="N4992" i="2"/>
  <c r="M4992" i="2"/>
  <c r="J4992" i="2"/>
  <c r="I4992" i="2"/>
  <c r="H4992" i="2"/>
  <c r="G4992" i="2"/>
  <c r="F4992" i="2"/>
  <c r="E4992" i="2"/>
  <c r="D4992" i="2"/>
  <c r="C4992" i="2"/>
  <c r="B4992" i="2"/>
  <c r="A4992" i="2"/>
  <c r="U4991" i="2"/>
  <c r="N4991" i="2"/>
  <c r="M4991" i="2"/>
  <c r="J4991" i="2"/>
  <c r="I4991" i="2"/>
  <c r="H4991" i="2"/>
  <c r="G4991" i="2"/>
  <c r="F4991" i="2"/>
  <c r="E4991" i="2"/>
  <c r="D4991" i="2"/>
  <c r="C4991" i="2"/>
  <c r="B4991" i="2"/>
  <c r="A4991" i="2"/>
  <c r="U4990" i="2"/>
  <c r="N4990" i="2"/>
  <c r="M4990" i="2"/>
  <c r="J4990" i="2"/>
  <c r="I4990" i="2"/>
  <c r="H4990" i="2"/>
  <c r="G4990" i="2"/>
  <c r="F4990" i="2"/>
  <c r="E4990" i="2"/>
  <c r="D4990" i="2"/>
  <c r="C4990" i="2"/>
  <c r="B4990" i="2"/>
  <c r="A4990" i="2"/>
  <c r="U4989" i="2"/>
  <c r="N4989" i="2"/>
  <c r="M4989" i="2"/>
  <c r="J4989" i="2"/>
  <c r="I4989" i="2"/>
  <c r="H4989" i="2"/>
  <c r="G4989" i="2"/>
  <c r="F4989" i="2"/>
  <c r="E4989" i="2"/>
  <c r="D4989" i="2"/>
  <c r="C4989" i="2"/>
  <c r="B4989" i="2"/>
  <c r="A4989" i="2"/>
  <c r="U4988" i="2"/>
  <c r="N4988" i="2"/>
  <c r="M4988" i="2"/>
  <c r="J4988" i="2"/>
  <c r="I4988" i="2"/>
  <c r="H4988" i="2"/>
  <c r="G4988" i="2"/>
  <c r="F4988" i="2"/>
  <c r="E4988" i="2"/>
  <c r="D4988" i="2"/>
  <c r="C4988" i="2"/>
  <c r="B4988" i="2"/>
  <c r="A4988" i="2"/>
  <c r="Q4987" i="2"/>
  <c r="U4987" i="2" s="1"/>
  <c r="N4987" i="2"/>
  <c r="M4987" i="2"/>
  <c r="J4987" i="2"/>
  <c r="I4987" i="2"/>
  <c r="H4987" i="2"/>
  <c r="G4987" i="2"/>
  <c r="F4987" i="2"/>
  <c r="E4987" i="2"/>
  <c r="D4987" i="2"/>
  <c r="C4987" i="2"/>
  <c r="B4987" i="2"/>
  <c r="A4987" i="2"/>
  <c r="Q4986" i="2"/>
  <c r="U4986" i="2" s="1"/>
  <c r="N4986" i="2"/>
  <c r="M4986" i="2"/>
  <c r="J4986" i="2"/>
  <c r="I4986" i="2"/>
  <c r="H4986" i="2"/>
  <c r="G4986" i="2"/>
  <c r="F4986" i="2"/>
  <c r="E4986" i="2"/>
  <c r="D4986" i="2"/>
  <c r="C4986" i="2"/>
  <c r="B4986" i="2"/>
  <c r="A4986" i="2"/>
  <c r="Q4985" i="2"/>
  <c r="U4985" i="2" s="1"/>
  <c r="N4985" i="2"/>
  <c r="M4985" i="2"/>
  <c r="J4985" i="2"/>
  <c r="I4985" i="2"/>
  <c r="H4985" i="2"/>
  <c r="G4985" i="2"/>
  <c r="F4985" i="2"/>
  <c r="E4985" i="2"/>
  <c r="D4985" i="2"/>
  <c r="C4985" i="2"/>
  <c r="B4985" i="2"/>
  <c r="A4985" i="2"/>
  <c r="U4984" i="2"/>
  <c r="N4984" i="2"/>
  <c r="M4984" i="2"/>
  <c r="J4984" i="2"/>
  <c r="I4984" i="2"/>
  <c r="H4984" i="2"/>
  <c r="G4984" i="2"/>
  <c r="F4984" i="2"/>
  <c r="E4984" i="2"/>
  <c r="D4984" i="2"/>
  <c r="C4984" i="2"/>
  <c r="B4984" i="2"/>
  <c r="A4984" i="2"/>
  <c r="Q4983" i="2"/>
  <c r="U4983" i="2" s="1"/>
  <c r="N4983" i="2"/>
  <c r="M4983" i="2"/>
  <c r="J4983" i="2"/>
  <c r="I4983" i="2"/>
  <c r="H4983" i="2"/>
  <c r="G4983" i="2"/>
  <c r="F4983" i="2"/>
  <c r="E4983" i="2"/>
  <c r="D4983" i="2"/>
  <c r="C4983" i="2"/>
  <c r="B4983" i="2"/>
  <c r="A4983" i="2"/>
  <c r="U4982" i="2"/>
  <c r="N4982" i="2"/>
  <c r="M4982" i="2"/>
  <c r="J4982" i="2"/>
  <c r="I4982" i="2"/>
  <c r="H4982" i="2"/>
  <c r="G4982" i="2"/>
  <c r="F4982" i="2"/>
  <c r="E4982" i="2"/>
  <c r="D4982" i="2"/>
  <c r="C4982" i="2"/>
  <c r="B4982" i="2"/>
  <c r="A4982" i="2"/>
  <c r="U4981" i="2"/>
  <c r="N4981" i="2"/>
  <c r="M4981" i="2"/>
  <c r="J4981" i="2"/>
  <c r="I4981" i="2"/>
  <c r="H4981" i="2"/>
  <c r="G4981" i="2"/>
  <c r="F4981" i="2"/>
  <c r="E4981" i="2"/>
  <c r="D4981" i="2"/>
  <c r="C4981" i="2"/>
  <c r="B4981" i="2"/>
  <c r="A4981" i="2"/>
  <c r="U4980" i="2"/>
  <c r="N4980" i="2"/>
  <c r="M4980" i="2"/>
  <c r="J4980" i="2"/>
  <c r="I4980" i="2"/>
  <c r="H4980" i="2"/>
  <c r="G4980" i="2"/>
  <c r="F4980" i="2"/>
  <c r="E4980" i="2"/>
  <c r="D4980" i="2"/>
  <c r="C4980" i="2"/>
  <c r="B4980" i="2"/>
  <c r="A4980" i="2"/>
  <c r="U4979" i="2"/>
  <c r="N4979" i="2"/>
  <c r="M4979" i="2"/>
  <c r="J4979" i="2"/>
  <c r="I4979" i="2"/>
  <c r="H4979" i="2"/>
  <c r="G4979" i="2"/>
  <c r="F4979" i="2"/>
  <c r="E4979" i="2"/>
  <c r="D4979" i="2"/>
  <c r="C4979" i="2"/>
  <c r="B4979" i="2"/>
  <c r="A4979" i="2"/>
  <c r="U4978" i="2"/>
  <c r="N4978" i="2"/>
  <c r="M4978" i="2"/>
  <c r="J4978" i="2"/>
  <c r="I4978" i="2"/>
  <c r="H4978" i="2"/>
  <c r="G4978" i="2"/>
  <c r="F4978" i="2"/>
  <c r="E4978" i="2"/>
  <c r="D4978" i="2"/>
  <c r="C4978" i="2"/>
  <c r="B4978" i="2"/>
  <c r="A4978" i="2"/>
  <c r="U4977" i="2"/>
  <c r="N4977" i="2"/>
  <c r="M4977" i="2"/>
  <c r="J4977" i="2"/>
  <c r="I4977" i="2"/>
  <c r="H4977" i="2"/>
  <c r="G4977" i="2"/>
  <c r="F4977" i="2"/>
  <c r="E4977" i="2"/>
  <c r="D4977" i="2"/>
  <c r="C4977" i="2"/>
  <c r="B4977" i="2"/>
  <c r="A4977" i="2"/>
  <c r="U4976" i="2"/>
  <c r="N4976" i="2"/>
  <c r="M4976" i="2"/>
  <c r="J4976" i="2"/>
  <c r="I4976" i="2"/>
  <c r="H4976" i="2"/>
  <c r="G4976" i="2"/>
  <c r="F4976" i="2"/>
  <c r="E4976" i="2"/>
  <c r="D4976" i="2"/>
  <c r="C4976" i="2"/>
  <c r="B4976" i="2"/>
  <c r="A4976" i="2"/>
  <c r="U4975" i="2"/>
  <c r="N4975" i="2"/>
  <c r="M4975" i="2"/>
  <c r="J4975" i="2"/>
  <c r="I4975" i="2"/>
  <c r="H4975" i="2"/>
  <c r="G4975" i="2"/>
  <c r="F4975" i="2"/>
  <c r="E4975" i="2"/>
  <c r="D4975" i="2"/>
  <c r="C4975" i="2"/>
  <c r="B4975" i="2"/>
  <c r="A4975" i="2"/>
  <c r="Q4974" i="2"/>
  <c r="U4974" i="2" s="1"/>
  <c r="N4974" i="2"/>
  <c r="M4974" i="2"/>
  <c r="J4974" i="2"/>
  <c r="I4974" i="2"/>
  <c r="H4974" i="2"/>
  <c r="G4974" i="2"/>
  <c r="F4974" i="2"/>
  <c r="E4974" i="2"/>
  <c r="D4974" i="2"/>
  <c r="C4974" i="2"/>
  <c r="B4974" i="2"/>
  <c r="A4974" i="2"/>
  <c r="Q4973" i="2"/>
  <c r="U4973" i="2" s="1"/>
  <c r="N4973" i="2"/>
  <c r="M4973" i="2"/>
  <c r="J4973" i="2"/>
  <c r="I4973" i="2"/>
  <c r="H4973" i="2"/>
  <c r="G4973" i="2"/>
  <c r="F4973" i="2"/>
  <c r="E4973" i="2"/>
  <c r="D4973" i="2"/>
  <c r="C4973" i="2"/>
  <c r="B4973" i="2"/>
  <c r="A4973" i="2"/>
  <c r="U4972" i="2"/>
  <c r="N4972" i="2"/>
  <c r="M4972" i="2"/>
  <c r="J4972" i="2"/>
  <c r="I4972" i="2"/>
  <c r="H4972" i="2"/>
  <c r="G4972" i="2"/>
  <c r="F4972" i="2"/>
  <c r="E4972" i="2"/>
  <c r="D4972" i="2"/>
  <c r="C4972" i="2"/>
  <c r="B4972" i="2"/>
  <c r="A4972" i="2"/>
  <c r="Q4971" i="2"/>
  <c r="U4971" i="2" s="1"/>
  <c r="N4971" i="2"/>
  <c r="M4971" i="2"/>
  <c r="J4971" i="2"/>
  <c r="I4971" i="2"/>
  <c r="H4971" i="2"/>
  <c r="G4971" i="2"/>
  <c r="F4971" i="2"/>
  <c r="E4971" i="2"/>
  <c r="D4971" i="2"/>
  <c r="C4971" i="2"/>
  <c r="B4971" i="2"/>
  <c r="A4971" i="2"/>
  <c r="U4970" i="2"/>
  <c r="N4970" i="2"/>
  <c r="M4970" i="2"/>
  <c r="J4970" i="2"/>
  <c r="I4970" i="2"/>
  <c r="H4970" i="2"/>
  <c r="G4970" i="2"/>
  <c r="F4970" i="2"/>
  <c r="E4970" i="2"/>
  <c r="D4970" i="2"/>
  <c r="C4970" i="2"/>
  <c r="B4970" i="2"/>
  <c r="A4970" i="2"/>
  <c r="U4969" i="2"/>
  <c r="N4969" i="2"/>
  <c r="M4969" i="2"/>
  <c r="J4969" i="2"/>
  <c r="I4969" i="2"/>
  <c r="H4969" i="2"/>
  <c r="G4969" i="2"/>
  <c r="F4969" i="2"/>
  <c r="E4969" i="2"/>
  <c r="D4969" i="2"/>
  <c r="C4969" i="2"/>
  <c r="B4969" i="2"/>
  <c r="A4969" i="2"/>
  <c r="U4968" i="2"/>
  <c r="N4968" i="2"/>
  <c r="M4968" i="2"/>
  <c r="J4968" i="2"/>
  <c r="I4968" i="2"/>
  <c r="H4968" i="2"/>
  <c r="G4968" i="2"/>
  <c r="F4968" i="2"/>
  <c r="E4968" i="2"/>
  <c r="D4968" i="2"/>
  <c r="C4968" i="2"/>
  <c r="B4968" i="2"/>
  <c r="A4968" i="2"/>
  <c r="U4967" i="2"/>
  <c r="N4967" i="2"/>
  <c r="M4967" i="2"/>
  <c r="J4967" i="2"/>
  <c r="I4967" i="2"/>
  <c r="H4967" i="2"/>
  <c r="G4967" i="2"/>
  <c r="F4967" i="2"/>
  <c r="E4967" i="2"/>
  <c r="D4967" i="2"/>
  <c r="C4967" i="2"/>
  <c r="B4967" i="2"/>
  <c r="A4967" i="2"/>
  <c r="U4966" i="2"/>
  <c r="N4966" i="2"/>
  <c r="M4966" i="2"/>
  <c r="J4966" i="2"/>
  <c r="I4966" i="2"/>
  <c r="H4966" i="2"/>
  <c r="G4966" i="2"/>
  <c r="F4966" i="2"/>
  <c r="E4966" i="2"/>
  <c r="D4966" i="2"/>
  <c r="C4966" i="2"/>
  <c r="B4966" i="2"/>
  <c r="A4966" i="2"/>
  <c r="U4965" i="2"/>
  <c r="N4965" i="2"/>
  <c r="M4965" i="2"/>
  <c r="J4965" i="2"/>
  <c r="I4965" i="2"/>
  <c r="H4965" i="2"/>
  <c r="G4965" i="2"/>
  <c r="F4965" i="2"/>
  <c r="E4965" i="2"/>
  <c r="D4965" i="2"/>
  <c r="C4965" i="2"/>
  <c r="B4965" i="2"/>
  <c r="A4965" i="2"/>
  <c r="U4964" i="2"/>
  <c r="N4964" i="2"/>
  <c r="M4964" i="2"/>
  <c r="J4964" i="2"/>
  <c r="I4964" i="2"/>
  <c r="H4964" i="2"/>
  <c r="G4964" i="2"/>
  <c r="F4964" i="2"/>
  <c r="E4964" i="2"/>
  <c r="D4964" i="2"/>
  <c r="C4964" i="2"/>
  <c r="B4964" i="2"/>
  <c r="A4964" i="2"/>
  <c r="U4963" i="2"/>
  <c r="N4963" i="2"/>
  <c r="M4963" i="2"/>
  <c r="J4963" i="2"/>
  <c r="I4963" i="2"/>
  <c r="H4963" i="2"/>
  <c r="G4963" i="2"/>
  <c r="F4963" i="2"/>
  <c r="E4963" i="2"/>
  <c r="D4963" i="2"/>
  <c r="C4963" i="2"/>
  <c r="B4963" i="2"/>
  <c r="A4963" i="2"/>
  <c r="U4962" i="2"/>
  <c r="N4962" i="2"/>
  <c r="M4962" i="2"/>
  <c r="J4962" i="2"/>
  <c r="I4962" i="2"/>
  <c r="H4962" i="2"/>
  <c r="G4962" i="2"/>
  <c r="F4962" i="2"/>
  <c r="E4962" i="2"/>
  <c r="D4962" i="2"/>
  <c r="C4962" i="2"/>
  <c r="B4962" i="2"/>
  <c r="A4962" i="2"/>
  <c r="U4961" i="2"/>
  <c r="N4961" i="2"/>
  <c r="M4961" i="2"/>
  <c r="J4961" i="2"/>
  <c r="I4961" i="2"/>
  <c r="H4961" i="2"/>
  <c r="G4961" i="2"/>
  <c r="F4961" i="2"/>
  <c r="E4961" i="2"/>
  <c r="D4961" i="2"/>
  <c r="C4961" i="2"/>
  <c r="B4961" i="2"/>
  <c r="A4961" i="2"/>
  <c r="U4960" i="2"/>
  <c r="N4960" i="2"/>
  <c r="M4960" i="2"/>
  <c r="J4960" i="2"/>
  <c r="I4960" i="2"/>
  <c r="H4960" i="2"/>
  <c r="G4960" i="2"/>
  <c r="F4960" i="2"/>
  <c r="E4960" i="2"/>
  <c r="D4960" i="2"/>
  <c r="C4960" i="2"/>
  <c r="B4960" i="2"/>
  <c r="A4960" i="2"/>
  <c r="U4959" i="2"/>
  <c r="N4959" i="2"/>
  <c r="M4959" i="2"/>
  <c r="J4959" i="2"/>
  <c r="I4959" i="2"/>
  <c r="H4959" i="2"/>
  <c r="G4959" i="2"/>
  <c r="F4959" i="2"/>
  <c r="E4959" i="2"/>
  <c r="D4959" i="2"/>
  <c r="C4959" i="2"/>
  <c r="B4959" i="2"/>
  <c r="A4959" i="2"/>
  <c r="Q4958" i="2"/>
  <c r="U4958" i="2" s="1"/>
  <c r="N4958" i="2"/>
  <c r="M4958" i="2"/>
  <c r="J4958" i="2"/>
  <c r="I4958" i="2"/>
  <c r="H4958" i="2"/>
  <c r="G4958" i="2"/>
  <c r="F4958" i="2"/>
  <c r="E4958" i="2"/>
  <c r="D4958" i="2"/>
  <c r="C4958" i="2"/>
  <c r="B4958" i="2"/>
  <c r="A4958" i="2"/>
  <c r="U4957" i="2"/>
  <c r="N4957" i="2"/>
  <c r="M4957" i="2"/>
  <c r="J4957" i="2"/>
  <c r="I4957" i="2"/>
  <c r="H4957" i="2"/>
  <c r="G4957" i="2"/>
  <c r="F4957" i="2"/>
  <c r="E4957" i="2"/>
  <c r="D4957" i="2"/>
  <c r="C4957" i="2"/>
  <c r="B4957" i="2"/>
  <c r="A4957" i="2"/>
  <c r="U4956" i="2"/>
  <c r="N4956" i="2"/>
  <c r="M4956" i="2"/>
  <c r="J4956" i="2"/>
  <c r="I4956" i="2"/>
  <c r="H4956" i="2"/>
  <c r="G4956" i="2"/>
  <c r="F4956" i="2"/>
  <c r="E4956" i="2"/>
  <c r="D4956" i="2"/>
  <c r="C4956" i="2"/>
  <c r="B4956" i="2"/>
  <c r="A4956" i="2"/>
  <c r="U4955" i="2"/>
  <c r="N4955" i="2"/>
  <c r="M4955" i="2"/>
  <c r="J4955" i="2"/>
  <c r="I4955" i="2"/>
  <c r="H4955" i="2"/>
  <c r="G4955" i="2"/>
  <c r="F4955" i="2"/>
  <c r="E4955" i="2"/>
  <c r="D4955" i="2"/>
  <c r="C4955" i="2"/>
  <c r="B4955" i="2"/>
  <c r="A4955" i="2"/>
  <c r="U4954" i="2"/>
  <c r="N4954" i="2"/>
  <c r="M4954" i="2"/>
  <c r="J4954" i="2"/>
  <c r="I4954" i="2"/>
  <c r="H4954" i="2"/>
  <c r="G4954" i="2"/>
  <c r="F4954" i="2"/>
  <c r="E4954" i="2"/>
  <c r="D4954" i="2"/>
  <c r="C4954" i="2"/>
  <c r="B4954" i="2"/>
  <c r="A4954" i="2"/>
  <c r="U4953" i="2"/>
  <c r="N4953" i="2"/>
  <c r="M4953" i="2"/>
  <c r="J4953" i="2"/>
  <c r="I4953" i="2"/>
  <c r="H4953" i="2"/>
  <c r="G4953" i="2"/>
  <c r="F4953" i="2"/>
  <c r="E4953" i="2"/>
  <c r="D4953" i="2"/>
  <c r="C4953" i="2"/>
  <c r="B4953" i="2"/>
  <c r="A4953" i="2"/>
  <c r="U4952" i="2"/>
  <c r="N4952" i="2"/>
  <c r="M4952" i="2"/>
  <c r="J4952" i="2"/>
  <c r="I4952" i="2"/>
  <c r="H4952" i="2"/>
  <c r="G4952" i="2"/>
  <c r="F4952" i="2"/>
  <c r="E4952" i="2"/>
  <c r="D4952" i="2"/>
  <c r="C4952" i="2"/>
  <c r="B4952" i="2"/>
  <c r="A4952" i="2"/>
  <c r="U4951" i="2"/>
  <c r="N4951" i="2"/>
  <c r="M4951" i="2"/>
  <c r="J4951" i="2"/>
  <c r="I4951" i="2"/>
  <c r="H4951" i="2"/>
  <c r="G4951" i="2"/>
  <c r="F4951" i="2"/>
  <c r="E4951" i="2"/>
  <c r="D4951" i="2"/>
  <c r="C4951" i="2"/>
  <c r="B4951" i="2"/>
  <c r="A4951" i="2"/>
  <c r="U4950" i="2"/>
  <c r="N4950" i="2"/>
  <c r="M4950" i="2"/>
  <c r="J4950" i="2"/>
  <c r="I4950" i="2"/>
  <c r="H4950" i="2"/>
  <c r="G4950" i="2"/>
  <c r="F4950" i="2"/>
  <c r="E4950" i="2"/>
  <c r="D4950" i="2"/>
  <c r="C4950" i="2"/>
  <c r="B4950" i="2"/>
  <c r="A4950" i="2"/>
  <c r="Q4949" i="2"/>
  <c r="U4949" i="2" s="1"/>
  <c r="N4949" i="2"/>
  <c r="M4949" i="2"/>
  <c r="J4949" i="2"/>
  <c r="I4949" i="2"/>
  <c r="H4949" i="2"/>
  <c r="G4949" i="2"/>
  <c r="F4949" i="2"/>
  <c r="E4949" i="2"/>
  <c r="D4949" i="2"/>
  <c r="C4949" i="2"/>
  <c r="B4949" i="2"/>
  <c r="A4949" i="2"/>
  <c r="Q4948" i="2"/>
  <c r="U4948" i="2" s="1"/>
  <c r="N4948" i="2"/>
  <c r="M4948" i="2"/>
  <c r="J4948" i="2"/>
  <c r="I4948" i="2"/>
  <c r="H4948" i="2"/>
  <c r="G4948" i="2"/>
  <c r="F4948" i="2"/>
  <c r="E4948" i="2"/>
  <c r="D4948" i="2"/>
  <c r="C4948" i="2"/>
  <c r="B4948" i="2"/>
  <c r="A4948" i="2"/>
  <c r="U4947" i="2"/>
  <c r="N4947" i="2"/>
  <c r="M4947" i="2"/>
  <c r="J4947" i="2"/>
  <c r="I4947" i="2"/>
  <c r="H4947" i="2"/>
  <c r="G4947" i="2"/>
  <c r="F4947" i="2"/>
  <c r="E4947" i="2"/>
  <c r="D4947" i="2"/>
  <c r="C4947" i="2"/>
  <c r="B4947" i="2"/>
  <c r="A4947" i="2"/>
  <c r="U4946" i="2"/>
  <c r="N4946" i="2"/>
  <c r="M4946" i="2"/>
  <c r="J4946" i="2"/>
  <c r="I4946" i="2"/>
  <c r="H4946" i="2"/>
  <c r="G4946" i="2"/>
  <c r="F4946" i="2"/>
  <c r="E4946" i="2"/>
  <c r="D4946" i="2"/>
  <c r="C4946" i="2"/>
  <c r="B4946" i="2"/>
  <c r="A4946" i="2"/>
  <c r="U4945" i="2"/>
  <c r="N4945" i="2"/>
  <c r="M4945" i="2"/>
  <c r="J4945" i="2"/>
  <c r="I4945" i="2"/>
  <c r="H4945" i="2"/>
  <c r="G4945" i="2"/>
  <c r="F4945" i="2"/>
  <c r="E4945" i="2"/>
  <c r="D4945" i="2"/>
  <c r="C4945" i="2"/>
  <c r="B4945" i="2"/>
  <c r="A4945" i="2"/>
  <c r="U4944" i="2"/>
  <c r="N4944" i="2"/>
  <c r="M4944" i="2"/>
  <c r="J4944" i="2"/>
  <c r="I4944" i="2"/>
  <c r="H4944" i="2"/>
  <c r="G4944" i="2"/>
  <c r="F4944" i="2"/>
  <c r="E4944" i="2"/>
  <c r="D4944" i="2"/>
  <c r="C4944" i="2"/>
  <c r="B4944" i="2"/>
  <c r="A4944" i="2"/>
  <c r="U4943" i="2"/>
  <c r="N4943" i="2"/>
  <c r="M4943" i="2"/>
  <c r="J4943" i="2"/>
  <c r="I4943" i="2"/>
  <c r="H4943" i="2"/>
  <c r="G4943" i="2"/>
  <c r="F4943" i="2"/>
  <c r="E4943" i="2"/>
  <c r="D4943" i="2"/>
  <c r="C4943" i="2"/>
  <c r="B4943" i="2"/>
  <c r="A4943" i="2"/>
  <c r="U4942" i="2"/>
  <c r="N4942" i="2"/>
  <c r="M4942" i="2"/>
  <c r="J4942" i="2"/>
  <c r="I4942" i="2"/>
  <c r="H4942" i="2"/>
  <c r="G4942" i="2"/>
  <c r="F4942" i="2"/>
  <c r="E4942" i="2"/>
  <c r="D4942" i="2"/>
  <c r="C4942" i="2"/>
  <c r="B4942" i="2"/>
  <c r="A4942" i="2"/>
  <c r="U4941" i="2"/>
  <c r="N4941" i="2"/>
  <c r="M4941" i="2"/>
  <c r="J4941" i="2"/>
  <c r="I4941" i="2"/>
  <c r="H4941" i="2"/>
  <c r="G4941" i="2"/>
  <c r="F4941" i="2"/>
  <c r="E4941" i="2"/>
  <c r="D4941" i="2"/>
  <c r="C4941" i="2"/>
  <c r="B4941" i="2"/>
  <c r="A4941" i="2"/>
  <c r="U4940" i="2"/>
  <c r="N4940" i="2"/>
  <c r="M4940" i="2"/>
  <c r="J4940" i="2"/>
  <c r="I4940" i="2"/>
  <c r="H4940" i="2"/>
  <c r="G4940" i="2"/>
  <c r="F4940" i="2"/>
  <c r="E4940" i="2"/>
  <c r="D4940" i="2"/>
  <c r="C4940" i="2"/>
  <c r="B4940" i="2"/>
  <c r="A4940" i="2"/>
  <c r="U4939" i="2"/>
  <c r="N4939" i="2"/>
  <c r="M4939" i="2"/>
  <c r="J4939" i="2"/>
  <c r="I4939" i="2"/>
  <c r="H4939" i="2"/>
  <c r="G4939" i="2"/>
  <c r="F4939" i="2"/>
  <c r="E4939" i="2"/>
  <c r="D4939" i="2"/>
  <c r="C4939" i="2"/>
  <c r="B4939" i="2"/>
  <c r="A4939" i="2"/>
  <c r="U4938" i="2"/>
  <c r="N4938" i="2"/>
  <c r="M4938" i="2"/>
  <c r="J4938" i="2"/>
  <c r="I4938" i="2"/>
  <c r="H4938" i="2"/>
  <c r="G4938" i="2"/>
  <c r="F4938" i="2"/>
  <c r="E4938" i="2"/>
  <c r="D4938" i="2"/>
  <c r="C4938" i="2"/>
  <c r="B4938" i="2"/>
  <c r="A4938" i="2"/>
  <c r="U4937" i="2"/>
  <c r="N4937" i="2"/>
  <c r="M4937" i="2"/>
  <c r="J4937" i="2"/>
  <c r="I4937" i="2"/>
  <c r="H4937" i="2"/>
  <c r="G4937" i="2"/>
  <c r="F4937" i="2"/>
  <c r="E4937" i="2"/>
  <c r="D4937" i="2"/>
  <c r="C4937" i="2"/>
  <c r="B4937" i="2"/>
  <c r="A4937" i="2"/>
  <c r="U4936" i="2"/>
  <c r="N4936" i="2"/>
  <c r="M4936" i="2"/>
  <c r="J4936" i="2"/>
  <c r="I4936" i="2"/>
  <c r="H4936" i="2"/>
  <c r="G4936" i="2"/>
  <c r="F4936" i="2"/>
  <c r="E4936" i="2"/>
  <c r="D4936" i="2"/>
  <c r="C4936" i="2"/>
  <c r="B4936" i="2"/>
  <c r="A4936" i="2"/>
  <c r="Q4935" i="2"/>
  <c r="U4935" i="2" s="1"/>
  <c r="N4935" i="2"/>
  <c r="M4935" i="2"/>
  <c r="J4935" i="2"/>
  <c r="I4935" i="2"/>
  <c r="H4935" i="2"/>
  <c r="G4935" i="2"/>
  <c r="F4935" i="2"/>
  <c r="E4935" i="2"/>
  <c r="D4935" i="2"/>
  <c r="C4935" i="2"/>
  <c r="B4935" i="2"/>
  <c r="A4935" i="2"/>
  <c r="U4934" i="2"/>
  <c r="N4934" i="2"/>
  <c r="M4934" i="2"/>
  <c r="J4934" i="2"/>
  <c r="I4934" i="2"/>
  <c r="H4934" i="2"/>
  <c r="G4934" i="2"/>
  <c r="F4934" i="2"/>
  <c r="E4934" i="2"/>
  <c r="D4934" i="2"/>
  <c r="C4934" i="2"/>
  <c r="B4934" i="2"/>
  <c r="A4934" i="2"/>
  <c r="Q4933" i="2"/>
  <c r="U4933" i="2" s="1"/>
  <c r="N4933" i="2"/>
  <c r="M4933" i="2"/>
  <c r="J4933" i="2"/>
  <c r="I4933" i="2"/>
  <c r="H4933" i="2"/>
  <c r="G4933" i="2"/>
  <c r="F4933" i="2"/>
  <c r="E4933" i="2"/>
  <c r="D4933" i="2"/>
  <c r="C4933" i="2"/>
  <c r="B4933" i="2"/>
  <c r="A4933" i="2"/>
  <c r="U4932" i="2"/>
  <c r="N4932" i="2"/>
  <c r="M4932" i="2"/>
  <c r="J4932" i="2"/>
  <c r="I4932" i="2"/>
  <c r="H4932" i="2"/>
  <c r="G4932" i="2"/>
  <c r="F4932" i="2"/>
  <c r="E4932" i="2"/>
  <c r="D4932" i="2"/>
  <c r="C4932" i="2"/>
  <c r="B4932" i="2"/>
  <c r="A4932" i="2"/>
  <c r="U4931" i="2"/>
  <c r="N4931" i="2"/>
  <c r="M4931" i="2"/>
  <c r="J4931" i="2"/>
  <c r="I4931" i="2"/>
  <c r="H4931" i="2"/>
  <c r="G4931" i="2"/>
  <c r="F4931" i="2"/>
  <c r="E4931" i="2"/>
  <c r="D4931" i="2"/>
  <c r="C4931" i="2"/>
  <c r="B4931" i="2"/>
  <c r="A4931" i="2"/>
  <c r="U4930" i="2"/>
  <c r="N4930" i="2"/>
  <c r="M4930" i="2"/>
  <c r="J4930" i="2"/>
  <c r="I4930" i="2"/>
  <c r="H4930" i="2"/>
  <c r="G4930" i="2"/>
  <c r="F4930" i="2"/>
  <c r="E4930" i="2"/>
  <c r="D4930" i="2"/>
  <c r="C4930" i="2"/>
  <c r="B4930" i="2"/>
  <c r="A4930" i="2"/>
  <c r="U4929" i="2"/>
  <c r="N4929" i="2"/>
  <c r="M4929" i="2"/>
  <c r="J4929" i="2"/>
  <c r="I4929" i="2"/>
  <c r="H4929" i="2"/>
  <c r="G4929" i="2"/>
  <c r="F4929" i="2"/>
  <c r="E4929" i="2"/>
  <c r="D4929" i="2"/>
  <c r="C4929" i="2"/>
  <c r="B4929" i="2"/>
  <c r="A4929" i="2"/>
  <c r="U4928" i="2"/>
  <c r="N4928" i="2"/>
  <c r="M4928" i="2"/>
  <c r="J4928" i="2"/>
  <c r="I4928" i="2"/>
  <c r="H4928" i="2"/>
  <c r="G4928" i="2"/>
  <c r="F4928" i="2"/>
  <c r="E4928" i="2"/>
  <c r="D4928" i="2"/>
  <c r="C4928" i="2"/>
  <c r="B4928" i="2"/>
  <c r="A4928" i="2"/>
  <c r="U4927" i="2"/>
  <c r="N4927" i="2"/>
  <c r="M4927" i="2"/>
  <c r="J4927" i="2"/>
  <c r="I4927" i="2"/>
  <c r="H4927" i="2"/>
  <c r="G4927" i="2"/>
  <c r="F4927" i="2"/>
  <c r="E4927" i="2"/>
  <c r="D4927" i="2"/>
  <c r="C4927" i="2"/>
  <c r="B4927" i="2"/>
  <c r="A4927" i="2"/>
  <c r="U4926" i="2"/>
  <c r="N4926" i="2"/>
  <c r="M4926" i="2"/>
  <c r="J4926" i="2"/>
  <c r="I4926" i="2"/>
  <c r="H4926" i="2"/>
  <c r="G4926" i="2"/>
  <c r="F4926" i="2"/>
  <c r="E4926" i="2"/>
  <c r="D4926" i="2"/>
  <c r="C4926" i="2"/>
  <c r="B4926" i="2"/>
  <c r="A4926" i="2"/>
  <c r="U4925" i="2"/>
  <c r="N4925" i="2"/>
  <c r="M4925" i="2"/>
  <c r="J4925" i="2"/>
  <c r="I4925" i="2"/>
  <c r="H4925" i="2"/>
  <c r="G4925" i="2"/>
  <c r="F4925" i="2"/>
  <c r="E4925" i="2"/>
  <c r="D4925" i="2"/>
  <c r="C4925" i="2"/>
  <c r="B4925" i="2"/>
  <c r="A4925" i="2"/>
  <c r="R4924" i="2"/>
  <c r="U4924" i="2" s="1"/>
  <c r="Q4924" i="2"/>
  <c r="N4924" i="2"/>
  <c r="M4924" i="2"/>
  <c r="J4924" i="2"/>
  <c r="I4924" i="2"/>
  <c r="H4924" i="2"/>
  <c r="G4924" i="2"/>
  <c r="F4924" i="2"/>
  <c r="E4924" i="2"/>
  <c r="D4924" i="2"/>
  <c r="C4924" i="2"/>
  <c r="B4924" i="2"/>
  <c r="A4924" i="2"/>
  <c r="Q4923" i="2"/>
  <c r="U4923" i="2" s="1"/>
  <c r="N4923" i="2"/>
  <c r="M4923" i="2"/>
  <c r="J4923" i="2"/>
  <c r="I4923" i="2"/>
  <c r="H4923" i="2"/>
  <c r="G4923" i="2"/>
  <c r="F4923" i="2"/>
  <c r="E4923" i="2"/>
  <c r="D4923" i="2"/>
  <c r="C4923" i="2"/>
  <c r="B4923" i="2"/>
  <c r="A4923" i="2"/>
  <c r="Q4922" i="2"/>
  <c r="U4922" i="2" s="1"/>
  <c r="N4922" i="2"/>
  <c r="M4922" i="2"/>
  <c r="J4922" i="2"/>
  <c r="I4922" i="2"/>
  <c r="H4922" i="2"/>
  <c r="G4922" i="2"/>
  <c r="F4922" i="2"/>
  <c r="E4922" i="2"/>
  <c r="D4922" i="2"/>
  <c r="C4922" i="2"/>
  <c r="B4922" i="2"/>
  <c r="A4922" i="2"/>
  <c r="R4921" i="2"/>
  <c r="U4921" i="2" s="1"/>
  <c r="Q4921" i="2"/>
  <c r="N4921" i="2"/>
  <c r="M4921" i="2"/>
  <c r="J4921" i="2"/>
  <c r="I4921" i="2"/>
  <c r="H4921" i="2"/>
  <c r="G4921" i="2"/>
  <c r="F4921" i="2"/>
  <c r="E4921" i="2"/>
  <c r="D4921" i="2"/>
  <c r="C4921" i="2"/>
  <c r="B4921" i="2"/>
  <c r="A4921" i="2"/>
  <c r="Q4920" i="2"/>
  <c r="U4920" i="2" s="1"/>
  <c r="N4920" i="2"/>
  <c r="M4920" i="2"/>
  <c r="J4920" i="2"/>
  <c r="I4920" i="2"/>
  <c r="H4920" i="2"/>
  <c r="G4920" i="2"/>
  <c r="F4920" i="2"/>
  <c r="E4920" i="2"/>
  <c r="D4920" i="2"/>
  <c r="C4920" i="2"/>
  <c r="B4920" i="2"/>
  <c r="A4920" i="2"/>
  <c r="R4919" i="2"/>
  <c r="U4919" i="2" s="1"/>
  <c r="Q4919" i="2"/>
  <c r="N4919" i="2"/>
  <c r="M4919" i="2"/>
  <c r="J4919" i="2"/>
  <c r="I4919" i="2"/>
  <c r="H4919" i="2"/>
  <c r="G4919" i="2"/>
  <c r="F4919" i="2"/>
  <c r="E4919" i="2"/>
  <c r="D4919" i="2"/>
  <c r="C4919" i="2"/>
  <c r="B4919" i="2"/>
  <c r="A4919" i="2"/>
  <c r="R4918" i="2"/>
  <c r="Q4918" i="2"/>
  <c r="N4918" i="2"/>
  <c r="M4918" i="2"/>
  <c r="J4918" i="2"/>
  <c r="I4918" i="2"/>
  <c r="H4918" i="2"/>
  <c r="G4918" i="2"/>
  <c r="F4918" i="2"/>
  <c r="E4918" i="2"/>
  <c r="D4918" i="2"/>
  <c r="C4918" i="2"/>
  <c r="B4918" i="2"/>
  <c r="A4918" i="2"/>
  <c r="Q4917" i="2"/>
  <c r="U4917" i="2" s="1"/>
  <c r="N4917" i="2"/>
  <c r="M4917" i="2"/>
  <c r="J4917" i="2"/>
  <c r="I4917" i="2"/>
  <c r="H4917" i="2"/>
  <c r="G4917" i="2"/>
  <c r="F4917" i="2"/>
  <c r="E4917" i="2"/>
  <c r="D4917" i="2"/>
  <c r="C4917" i="2"/>
  <c r="B4917" i="2"/>
  <c r="A4917" i="2"/>
  <c r="R4916" i="2"/>
  <c r="Q4916" i="2"/>
  <c r="N4916" i="2"/>
  <c r="M4916" i="2"/>
  <c r="J4916" i="2"/>
  <c r="I4916" i="2"/>
  <c r="H4916" i="2"/>
  <c r="G4916" i="2"/>
  <c r="F4916" i="2"/>
  <c r="E4916" i="2"/>
  <c r="D4916" i="2"/>
  <c r="C4916" i="2"/>
  <c r="B4916" i="2"/>
  <c r="A4916" i="2"/>
  <c r="Q4915" i="2"/>
  <c r="U4915" i="2" s="1"/>
  <c r="N4915" i="2"/>
  <c r="M4915" i="2"/>
  <c r="J4915" i="2"/>
  <c r="I4915" i="2"/>
  <c r="H4915" i="2"/>
  <c r="G4915" i="2"/>
  <c r="F4915" i="2"/>
  <c r="E4915" i="2"/>
  <c r="D4915" i="2"/>
  <c r="C4915" i="2"/>
  <c r="B4915" i="2"/>
  <c r="A4915" i="2"/>
  <c r="U4914" i="2"/>
  <c r="N4914" i="2"/>
  <c r="M4914" i="2"/>
  <c r="J4914" i="2"/>
  <c r="I4914" i="2"/>
  <c r="H4914" i="2"/>
  <c r="G4914" i="2"/>
  <c r="F4914" i="2"/>
  <c r="E4914" i="2"/>
  <c r="D4914" i="2"/>
  <c r="C4914" i="2"/>
  <c r="B4914" i="2"/>
  <c r="A4914" i="2"/>
  <c r="U4913" i="2"/>
  <c r="N4913" i="2"/>
  <c r="M4913" i="2"/>
  <c r="J4913" i="2"/>
  <c r="I4913" i="2"/>
  <c r="H4913" i="2"/>
  <c r="G4913" i="2"/>
  <c r="F4913" i="2"/>
  <c r="E4913" i="2"/>
  <c r="D4913" i="2"/>
  <c r="C4913" i="2"/>
  <c r="B4913" i="2"/>
  <c r="A4913" i="2"/>
  <c r="U4912" i="2"/>
  <c r="N4912" i="2"/>
  <c r="M4912" i="2"/>
  <c r="J4912" i="2"/>
  <c r="I4912" i="2"/>
  <c r="H4912" i="2"/>
  <c r="G4912" i="2"/>
  <c r="F4912" i="2"/>
  <c r="E4912" i="2"/>
  <c r="D4912" i="2"/>
  <c r="C4912" i="2"/>
  <c r="B4912" i="2"/>
  <c r="A4912" i="2"/>
  <c r="U4911" i="2"/>
  <c r="N4911" i="2"/>
  <c r="M4911" i="2"/>
  <c r="J4911" i="2"/>
  <c r="I4911" i="2"/>
  <c r="H4911" i="2"/>
  <c r="G4911" i="2"/>
  <c r="F4911" i="2"/>
  <c r="E4911" i="2"/>
  <c r="D4911" i="2"/>
  <c r="C4911" i="2"/>
  <c r="B4911" i="2"/>
  <c r="A4911" i="2"/>
  <c r="U4910" i="2"/>
  <c r="N4910" i="2"/>
  <c r="M4910" i="2"/>
  <c r="J4910" i="2"/>
  <c r="I4910" i="2"/>
  <c r="H4910" i="2"/>
  <c r="G4910" i="2"/>
  <c r="F4910" i="2"/>
  <c r="E4910" i="2"/>
  <c r="D4910" i="2"/>
  <c r="C4910" i="2"/>
  <c r="B4910" i="2"/>
  <c r="A4910" i="2"/>
  <c r="U4909" i="2"/>
  <c r="N4909" i="2"/>
  <c r="M4909" i="2"/>
  <c r="J4909" i="2"/>
  <c r="I4909" i="2"/>
  <c r="H4909" i="2"/>
  <c r="G4909" i="2"/>
  <c r="F4909" i="2"/>
  <c r="E4909" i="2"/>
  <c r="D4909" i="2"/>
  <c r="C4909" i="2"/>
  <c r="B4909" i="2"/>
  <c r="A4909" i="2"/>
  <c r="U4908" i="2"/>
  <c r="N4908" i="2"/>
  <c r="M4908" i="2"/>
  <c r="J4908" i="2"/>
  <c r="I4908" i="2"/>
  <c r="H4908" i="2"/>
  <c r="G4908" i="2"/>
  <c r="F4908" i="2"/>
  <c r="E4908" i="2"/>
  <c r="D4908" i="2"/>
  <c r="C4908" i="2"/>
  <c r="B4908" i="2"/>
  <c r="A4908" i="2"/>
  <c r="U4907" i="2"/>
  <c r="N4907" i="2"/>
  <c r="M4907" i="2"/>
  <c r="J4907" i="2"/>
  <c r="I4907" i="2"/>
  <c r="H4907" i="2"/>
  <c r="G4907" i="2"/>
  <c r="F4907" i="2"/>
  <c r="E4907" i="2"/>
  <c r="D4907" i="2"/>
  <c r="C4907" i="2"/>
  <c r="B4907" i="2"/>
  <c r="A4907" i="2"/>
  <c r="U4906" i="2"/>
  <c r="N4906" i="2"/>
  <c r="M4906" i="2"/>
  <c r="J4906" i="2"/>
  <c r="I4906" i="2"/>
  <c r="H4906" i="2"/>
  <c r="G4906" i="2"/>
  <c r="F4906" i="2"/>
  <c r="E4906" i="2"/>
  <c r="D4906" i="2"/>
  <c r="C4906" i="2"/>
  <c r="B4906" i="2"/>
  <c r="A4906" i="2"/>
  <c r="U4905" i="2"/>
  <c r="N4905" i="2"/>
  <c r="M4905" i="2"/>
  <c r="J4905" i="2"/>
  <c r="I4905" i="2"/>
  <c r="H4905" i="2"/>
  <c r="G4905" i="2"/>
  <c r="F4905" i="2"/>
  <c r="E4905" i="2"/>
  <c r="D4905" i="2"/>
  <c r="C4905" i="2"/>
  <c r="B4905" i="2"/>
  <c r="A4905" i="2"/>
  <c r="Q4904" i="2"/>
  <c r="U4904" i="2" s="1"/>
  <c r="N4904" i="2"/>
  <c r="M4904" i="2"/>
  <c r="J4904" i="2"/>
  <c r="I4904" i="2"/>
  <c r="H4904" i="2"/>
  <c r="G4904" i="2"/>
  <c r="F4904" i="2"/>
  <c r="E4904" i="2"/>
  <c r="D4904" i="2"/>
  <c r="C4904" i="2"/>
  <c r="B4904" i="2"/>
  <c r="A4904" i="2"/>
  <c r="U4903" i="2"/>
  <c r="N4903" i="2"/>
  <c r="M4903" i="2"/>
  <c r="J4903" i="2"/>
  <c r="I4903" i="2"/>
  <c r="H4903" i="2"/>
  <c r="G4903" i="2"/>
  <c r="F4903" i="2"/>
  <c r="E4903" i="2"/>
  <c r="D4903" i="2"/>
  <c r="C4903" i="2"/>
  <c r="B4903" i="2"/>
  <c r="A4903" i="2"/>
  <c r="U4902" i="2"/>
  <c r="N4902" i="2"/>
  <c r="M4902" i="2"/>
  <c r="J4902" i="2"/>
  <c r="I4902" i="2"/>
  <c r="H4902" i="2"/>
  <c r="G4902" i="2"/>
  <c r="F4902" i="2"/>
  <c r="E4902" i="2"/>
  <c r="D4902" i="2"/>
  <c r="C4902" i="2"/>
  <c r="B4902" i="2"/>
  <c r="A4902" i="2"/>
  <c r="U4901" i="2"/>
  <c r="N4901" i="2"/>
  <c r="M4901" i="2"/>
  <c r="J4901" i="2"/>
  <c r="I4901" i="2"/>
  <c r="H4901" i="2"/>
  <c r="G4901" i="2"/>
  <c r="F4901" i="2"/>
  <c r="E4901" i="2"/>
  <c r="D4901" i="2"/>
  <c r="C4901" i="2"/>
  <c r="B4901" i="2"/>
  <c r="A4901" i="2"/>
  <c r="U4900" i="2"/>
  <c r="N4900" i="2"/>
  <c r="M4900" i="2"/>
  <c r="J4900" i="2"/>
  <c r="I4900" i="2"/>
  <c r="H4900" i="2"/>
  <c r="G4900" i="2"/>
  <c r="F4900" i="2"/>
  <c r="E4900" i="2"/>
  <c r="D4900" i="2"/>
  <c r="C4900" i="2"/>
  <c r="B4900" i="2"/>
  <c r="A4900" i="2"/>
  <c r="Q4899" i="2"/>
  <c r="U4899" i="2" s="1"/>
  <c r="N4899" i="2"/>
  <c r="M4899" i="2"/>
  <c r="J4899" i="2"/>
  <c r="I4899" i="2"/>
  <c r="H4899" i="2"/>
  <c r="G4899" i="2"/>
  <c r="F4899" i="2"/>
  <c r="E4899" i="2"/>
  <c r="D4899" i="2"/>
  <c r="C4899" i="2"/>
  <c r="B4899" i="2"/>
  <c r="A4899" i="2"/>
  <c r="Q4898" i="2"/>
  <c r="U4898" i="2" s="1"/>
  <c r="N4898" i="2"/>
  <c r="M4898" i="2"/>
  <c r="J4898" i="2"/>
  <c r="I4898" i="2"/>
  <c r="H4898" i="2"/>
  <c r="G4898" i="2"/>
  <c r="F4898" i="2"/>
  <c r="E4898" i="2"/>
  <c r="D4898" i="2"/>
  <c r="C4898" i="2"/>
  <c r="B4898" i="2"/>
  <c r="A4898" i="2"/>
  <c r="U4897" i="2"/>
  <c r="N4897" i="2"/>
  <c r="M4897" i="2"/>
  <c r="J4897" i="2"/>
  <c r="I4897" i="2"/>
  <c r="H4897" i="2"/>
  <c r="G4897" i="2"/>
  <c r="F4897" i="2"/>
  <c r="E4897" i="2"/>
  <c r="D4897" i="2"/>
  <c r="C4897" i="2"/>
  <c r="B4897" i="2"/>
  <c r="A4897" i="2"/>
  <c r="U4896" i="2"/>
  <c r="N4896" i="2"/>
  <c r="M4896" i="2"/>
  <c r="J4896" i="2"/>
  <c r="I4896" i="2"/>
  <c r="H4896" i="2"/>
  <c r="G4896" i="2"/>
  <c r="F4896" i="2"/>
  <c r="E4896" i="2"/>
  <c r="D4896" i="2"/>
  <c r="C4896" i="2"/>
  <c r="B4896" i="2"/>
  <c r="A4896" i="2"/>
  <c r="U4895" i="2"/>
  <c r="N4895" i="2"/>
  <c r="M4895" i="2"/>
  <c r="J4895" i="2"/>
  <c r="I4895" i="2"/>
  <c r="H4895" i="2"/>
  <c r="G4895" i="2"/>
  <c r="F4895" i="2"/>
  <c r="E4895" i="2"/>
  <c r="D4895" i="2"/>
  <c r="C4895" i="2"/>
  <c r="B4895" i="2"/>
  <c r="A4895" i="2"/>
  <c r="U4894" i="2"/>
  <c r="N4894" i="2"/>
  <c r="M4894" i="2"/>
  <c r="J4894" i="2"/>
  <c r="I4894" i="2"/>
  <c r="H4894" i="2"/>
  <c r="G4894" i="2"/>
  <c r="F4894" i="2"/>
  <c r="E4894" i="2"/>
  <c r="D4894" i="2"/>
  <c r="C4894" i="2"/>
  <c r="B4894" i="2"/>
  <c r="A4894" i="2"/>
  <c r="Q4893" i="2"/>
  <c r="U4893" i="2" s="1"/>
  <c r="N4893" i="2"/>
  <c r="M4893" i="2"/>
  <c r="J4893" i="2"/>
  <c r="I4893" i="2"/>
  <c r="H4893" i="2"/>
  <c r="G4893" i="2"/>
  <c r="F4893" i="2"/>
  <c r="E4893" i="2"/>
  <c r="D4893" i="2"/>
  <c r="C4893" i="2"/>
  <c r="B4893" i="2"/>
  <c r="A4893" i="2"/>
  <c r="U4892" i="2"/>
  <c r="N4892" i="2"/>
  <c r="M4892" i="2"/>
  <c r="J4892" i="2"/>
  <c r="I4892" i="2"/>
  <c r="H4892" i="2"/>
  <c r="G4892" i="2"/>
  <c r="F4892" i="2"/>
  <c r="E4892" i="2"/>
  <c r="D4892" i="2"/>
  <c r="C4892" i="2"/>
  <c r="B4892" i="2"/>
  <c r="A4892" i="2"/>
  <c r="Q4891" i="2"/>
  <c r="U4891" i="2" s="1"/>
  <c r="N4891" i="2"/>
  <c r="M4891" i="2"/>
  <c r="J4891" i="2"/>
  <c r="I4891" i="2"/>
  <c r="H4891" i="2"/>
  <c r="G4891" i="2"/>
  <c r="F4891" i="2"/>
  <c r="E4891" i="2"/>
  <c r="D4891" i="2"/>
  <c r="C4891" i="2"/>
  <c r="B4891" i="2"/>
  <c r="A4891" i="2"/>
  <c r="U4890" i="2"/>
  <c r="N4890" i="2"/>
  <c r="M4890" i="2"/>
  <c r="J4890" i="2"/>
  <c r="I4890" i="2"/>
  <c r="H4890" i="2"/>
  <c r="G4890" i="2"/>
  <c r="F4890" i="2"/>
  <c r="E4890" i="2"/>
  <c r="D4890" i="2"/>
  <c r="C4890" i="2"/>
  <c r="B4890" i="2"/>
  <c r="A4890" i="2"/>
  <c r="U4889" i="2"/>
  <c r="N4889" i="2"/>
  <c r="M4889" i="2"/>
  <c r="J4889" i="2"/>
  <c r="I4889" i="2"/>
  <c r="H4889" i="2"/>
  <c r="G4889" i="2"/>
  <c r="F4889" i="2"/>
  <c r="E4889" i="2"/>
  <c r="D4889" i="2"/>
  <c r="C4889" i="2"/>
  <c r="B4889" i="2"/>
  <c r="A4889" i="2"/>
  <c r="Q4888" i="2"/>
  <c r="U4888" i="2" s="1"/>
  <c r="N4888" i="2"/>
  <c r="M4888" i="2"/>
  <c r="J4888" i="2"/>
  <c r="I4888" i="2"/>
  <c r="H4888" i="2"/>
  <c r="G4888" i="2"/>
  <c r="F4888" i="2"/>
  <c r="E4888" i="2"/>
  <c r="D4888" i="2"/>
  <c r="C4888" i="2"/>
  <c r="B4888" i="2"/>
  <c r="A4888" i="2"/>
  <c r="U4887" i="2"/>
  <c r="N4887" i="2"/>
  <c r="M4887" i="2"/>
  <c r="J4887" i="2"/>
  <c r="I4887" i="2"/>
  <c r="H4887" i="2"/>
  <c r="G4887" i="2"/>
  <c r="F4887" i="2"/>
  <c r="E4887" i="2"/>
  <c r="D4887" i="2"/>
  <c r="C4887" i="2"/>
  <c r="B4887" i="2"/>
  <c r="A4887" i="2"/>
  <c r="U4886" i="2"/>
  <c r="N4886" i="2"/>
  <c r="M4886" i="2"/>
  <c r="J4886" i="2"/>
  <c r="I4886" i="2"/>
  <c r="H4886" i="2"/>
  <c r="G4886" i="2"/>
  <c r="F4886" i="2"/>
  <c r="E4886" i="2"/>
  <c r="D4886" i="2"/>
  <c r="C4886" i="2"/>
  <c r="B4886" i="2"/>
  <c r="A4886" i="2"/>
  <c r="U4885" i="2"/>
  <c r="N4885" i="2"/>
  <c r="M4885" i="2"/>
  <c r="J4885" i="2"/>
  <c r="I4885" i="2"/>
  <c r="H4885" i="2"/>
  <c r="G4885" i="2"/>
  <c r="F4885" i="2"/>
  <c r="E4885" i="2"/>
  <c r="D4885" i="2"/>
  <c r="C4885" i="2"/>
  <c r="B4885" i="2"/>
  <c r="A4885" i="2"/>
  <c r="U4884" i="2"/>
  <c r="N4884" i="2"/>
  <c r="M4884" i="2"/>
  <c r="J4884" i="2"/>
  <c r="I4884" i="2"/>
  <c r="H4884" i="2"/>
  <c r="G4884" i="2"/>
  <c r="F4884" i="2"/>
  <c r="E4884" i="2"/>
  <c r="D4884" i="2"/>
  <c r="C4884" i="2"/>
  <c r="B4884" i="2"/>
  <c r="A4884" i="2"/>
  <c r="Q4883" i="2"/>
  <c r="U4883" i="2" s="1"/>
  <c r="N4883" i="2"/>
  <c r="M4883" i="2"/>
  <c r="J4883" i="2"/>
  <c r="I4883" i="2"/>
  <c r="H4883" i="2"/>
  <c r="G4883" i="2"/>
  <c r="F4883" i="2"/>
  <c r="E4883" i="2"/>
  <c r="D4883" i="2"/>
  <c r="C4883" i="2"/>
  <c r="B4883" i="2"/>
  <c r="A4883" i="2"/>
  <c r="U4882" i="2"/>
  <c r="N4882" i="2"/>
  <c r="M4882" i="2"/>
  <c r="J4882" i="2"/>
  <c r="I4882" i="2"/>
  <c r="H4882" i="2"/>
  <c r="G4882" i="2"/>
  <c r="F4882" i="2"/>
  <c r="E4882" i="2"/>
  <c r="D4882" i="2"/>
  <c r="C4882" i="2"/>
  <c r="B4882" i="2"/>
  <c r="A4882" i="2"/>
  <c r="U4881" i="2"/>
  <c r="N4881" i="2"/>
  <c r="M4881" i="2"/>
  <c r="J4881" i="2"/>
  <c r="I4881" i="2"/>
  <c r="H4881" i="2"/>
  <c r="G4881" i="2"/>
  <c r="F4881" i="2"/>
  <c r="E4881" i="2"/>
  <c r="D4881" i="2"/>
  <c r="C4881" i="2"/>
  <c r="B4881" i="2"/>
  <c r="A4881" i="2"/>
  <c r="U4880" i="2"/>
  <c r="N4880" i="2"/>
  <c r="M4880" i="2"/>
  <c r="J4880" i="2"/>
  <c r="I4880" i="2"/>
  <c r="H4880" i="2"/>
  <c r="G4880" i="2"/>
  <c r="F4880" i="2"/>
  <c r="E4880" i="2"/>
  <c r="D4880" i="2"/>
  <c r="C4880" i="2"/>
  <c r="B4880" i="2"/>
  <c r="A4880" i="2"/>
  <c r="Q4879" i="2"/>
  <c r="U4879" i="2" s="1"/>
  <c r="N4879" i="2"/>
  <c r="M4879" i="2"/>
  <c r="J4879" i="2"/>
  <c r="I4879" i="2"/>
  <c r="H4879" i="2"/>
  <c r="G4879" i="2"/>
  <c r="F4879" i="2"/>
  <c r="E4879" i="2"/>
  <c r="D4879" i="2"/>
  <c r="C4879" i="2"/>
  <c r="B4879" i="2"/>
  <c r="A4879" i="2"/>
  <c r="U4878" i="2"/>
  <c r="N4878" i="2"/>
  <c r="M4878" i="2"/>
  <c r="J4878" i="2"/>
  <c r="I4878" i="2"/>
  <c r="H4878" i="2"/>
  <c r="G4878" i="2"/>
  <c r="F4878" i="2"/>
  <c r="E4878" i="2"/>
  <c r="D4878" i="2"/>
  <c r="C4878" i="2"/>
  <c r="B4878" i="2"/>
  <c r="A4878" i="2"/>
  <c r="U4877" i="2"/>
  <c r="N4877" i="2"/>
  <c r="M4877" i="2"/>
  <c r="J4877" i="2"/>
  <c r="I4877" i="2"/>
  <c r="H4877" i="2"/>
  <c r="G4877" i="2"/>
  <c r="F4877" i="2"/>
  <c r="E4877" i="2"/>
  <c r="D4877" i="2"/>
  <c r="C4877" i="2"/>
  <c r="B4877" i="2"/>
  <c r="A4877" i="2"/>
  <c r="Q4876" i="2"/>
  <c r="U4876" i="2" s="1"/>
  <c r="N4876" i="2"/>
  <c r="M4876" i="2"/>
  <c r="J4876" i="2"/>
  <c r="I4876" i="2"/>
  <c r="H4876" i="2"/>
  <c r="G4876" i="2"/>
  <c r="F4876" i="2"/>
  <c r="E4876" i="2"/>
  <c r="D4876" i="2"/>
  <c r="C4876" i="2"/>
  <c r="B4876" i="2"/>
  <c r="A4876" i="2"/>
  <c r="Q4875" i="2"/>
  <c r="U4875" i="2" s="1"/>
  <c r="N4875" i="2"/>
  <c r="M4875" i="2"/>
  <c r="J4875" i="2"/>
  <c r="I4875" i="2"/>
  <c r="H4875" i="2"/>
  <c r="G4875" i="2"/>
  <c r="F4875" i="2"/>
  <c r="E4875" i="2"/>
  <c r="D4875" i="2"/>
  <c r="C4875" i="2"/>
  <c r="B4875" i="2"/>
  <c r="A4875" i="2"/>
  <c r="Q4874" i="2"/>
  <c r="U4874" i="2" s="1"/>
  <c r="N4874" i="2"/>
  <c r="M4874" i="2"/>
  <c r="J4874" i="2"/>
  <c r="I4874" i="2"/>
  <c r="H4874" i="2"/>
  <c r="G4874" i="2"/>
  <c r="F4874" i="2"/>
  <c r="E4874" i="2"/>
  <c r="D4874" i="2"/>
  <c r="C4874" i="2"/>
  <c r="B4874" i="2"/>
  <c r="A4874" i="2"/>
  <c r="U4873" i="2"/>
  <c r="N4873" i="2"/>
  <c r="M4873" i="2"/>
  <c r="J4873" i="2"/>
  <c r="I4873" i="2"/>
  <c r="H4873" i="2"/>
  <c r="G4873" i="2"/>
  <c r="F4873" i="2"/>
  <c r="E4873" i="2"/>
  <c r="D4873" i="2"/>
  <c r="C4873" i="2"/>
  <c r="B4873" i="2"/>
  <c r="A4873" i="2"/>
  <c r="U4872" i="2"/>
  <c r="N4872" i="2"/>
  <c r="M4872" i="2"/>
  <c r="J4872" i="2"/>
  <c r="I4872" i="2"/>
  <c r="H4872" i="2"/>
  <c r="G4872" i="2"/>
  <c r="F4872" i="2"/>
  <c r="E4872" i="2"/>
  <c r="D4872" i="2"/>
  <c r="C4872" i="2"/>
  <c r="B4872" i="2"/>
  <c r="A4872" i="2"/>
  <c r="U4871" i="2"/>
  <c r="N4871" i="2"/>
  <c r="M4871" i="2"/>
  <c r="J4871" i="2"/>
  <c r="I4871" i="2"/>
  <c r="H4871" i="2"/>
  <c r="G4871" i="2"/>
  <c r="F4871" i="2"/>
  <c r="E4871" i="2"/>
  <c r="D4871" i="2"/>
  <c r="C4871" i="2"/>
  <c r="B4871" i="2"/>
  <c r="A4871" i="2"/>
  <c r="Q4870" i="2"/>
  <c r="U4870" i="2" s="1"/>
  <c r="N4870" i="2"/>
  <c r="M4870" i="2"/>
  <c r="J4870" i="2"/>
  <c r="I4870" i="2"/>
  <c r="H4870" i="2"/>
  <c r="G4870" i="2"/>
  <c r="F4870" i="2"/>
  <c r="E4870" i="2"/>
  <c r="D4870" i="2"/>
  <c r="C4870" i="2"/>
  <c r="B4870" i="2"/>
  <c r="A4870" i="2"/>
  <c r="Q4869" i="2"/>
  <c r="U4869" i="2" s="1"/>
  <c r="N4869" i="2"/>
  <c r="M4869" i="2"/>
  <c r="J4869" i="2"/>
  <c r="I4869" i="2"/>
  <c r="H4869" i="2"/>
  <c r="G4869" i="2"/>
  <c r="F4869" i="2"/>
  <c r="E4869" i="2"/>
  <c r="D4869" i="2"/>
  <c r="C4869" i="2"/>
  <c r="B4869" i="2"/>
  <c r="A4869" i="2"/>
  <c r="U4868" i="2"/>
  <c r="N4868" i="2"/>
  <c r="M4868" i="2"/>
  <c r="J4868" i="2"/>
  <c r="I4868" i="2"/>
  <c r="H4868" i="2"/>
  <c r="G4868" i="2"/>
  <c r="F4868" i="2"/>
  <c r="E4868" i="2"/>
  <c r="D4868" i="2"/>
  <c r="C4868" i="2"/>
  <c r="B4868" i="2"/>
  <c r="A4868" i="2"/>
  <c r="Q4867" i="2"/>
  <c r="U4867" i="2" s="1"/>
  <c r="N4867" i="2"/>
  <c r="M4867" i="2"/>
  <c r="J4867" i="2"/>
  <c r="I4867" i="2"/>
  <c r="H4867" i="2"/>
  <c r="G4867" i="2"/>
  <c r="F4867" i="2"/>
  <c r="E4867" i="2"/>
  <c r="D4867" i="2"/>
  <c r="C4867" i="2"/>
  <c r="B4867" i="2"/>
  <c r="A4867" i="2"/>
  <c r="U4866" i="2"/>
  <c r="N4866" i="2"/>
  <c r="M4866" i="2"/>
  <c r="J4866" i="2"/>
  <c r="I4866" i="2"/>
  <c r="H4866" i="2"/>
  <c r="G4866" i="2"/>
  <c r="F4866" i="2"/>
  <c r="E4866" i="2"/>
  <c r="D4866" i="2"/>
  <c r="C4866" i="2"/>
  <c r="B4866" i="2"/>
  <c r="A4866" i="2"/>
  <c r="Q4865" i="2"/>
  <c r="U4865" i="2" s="1"/>
  <c r="N4865" i="2"/>
  <c r="M4865" i="2"/>
  <c r="J4865" i="2"/>
  <c r="I4865" i="2"/>
  <c r="H4865" i="2"/>
  <c r="G4865" i="2"/>
  <c r="F4865" i="2"/>
  <c r="E4865" i="2"/>
  <c r="D4865" i="2"/>
  <c r="C4865" i="2"/>
  <c r="B4865" i="2"/>
  <c r="A4865" i="2"/>
  <c r="Q4864" i="2"/>
  <c r="U4864" i="2" s="1"/>
  <c r="N4864" i="2"/>
  <c r="M4864" i="2"/>
  <c r="J4864" i="2"/>
  <c r="I4864" i="2"/>
  <c r="H4864" i="2"/>
  <c r="G4864" i="2"/>
  <c r="F4864" i="2"/>
  <c r="E4864" i="2"/>
  <c r="D4864" i="2"/>
  <c r="C4864" i="2"/>
  <c r="B4864" i="2"/>
  <c r="A4864" i="2"/>
  <c r="U4863" i="2"/>
  <c r="N4863" i="2"/>
  <c r="M4863" i="2"/>
  <c r="J4863" i="2"/>
  <c r="I4863" i="2"/>
  <c r="H4863" i="2"/>
  <c r="G4863" i="2"/>
  <c r="F4863" i="2"/>
  <c r="E4863" i="2"/>
  <c r="D4863" i="2"/>
  <c r="C4863" i="2"/>
  <c r="B4863" i="2"/>
  <c r="A4863" i="2"/>
  <c r="Q4862" i="2"/>
  <c r="U4862" i="2" s="1"/>
  <c r="N4862" i="2"/>
  <c r="M4862" i="2"/>
  <c r="J4862" i="2"/>
  <c r="I4862" i="2"/>
  <c r="H4862" i="2"/>
  <c r="G4862" i="2"/>
  <c r="F4862" i="2"/>
  <c r="E4862" i="2"/>
  <c r="D4862" i="2"/>
  <c r="C4862" i="2"/>
  <c r="B4862" i="2"/>
  <c r="A4862" i="2"/>
  <c r="U4861" i="2"/>
  <c r="N4861" i="2"/>
  <c r="M4861" i="2"/>
  <c r="J4861" i="2"/>
  <c r="I4861" i="2"/>
  <c r="H4861" i="2"/>
  <c r="G4861" i="2"/>
  <c r="F4861" i="2"/>
  <c r="E4861" i="2"/>
  <c r="D4861" i="2"/>
  <c r="C4861" i="2"/>
  <c r="B4861" i="2"/>
  <c r="A4861" i="2"/>
  <c r="U4860" i="2"/>
  <c r="N4860" i="2"/>
  <c r="M4860" i="2"/>
  <c r="J4860" i="2"/>
  <c r="I4860" i="2"/>
  <c r="H4860" i="2"/>
  <c r="G4860" i="2"/>
  <c r="F4860" i="2"/>
  <c r="E4860" i="2"/>
  <c r="D4860" i="2"/>
  <c r="C4860" i="2"/>
  <c r="B4860" i="2"/>
  <c r="A4860" i="2"/>
  <c r="U4859" i="2"/>
  <c r="N4859" i="2"/>
  <c r="M4859" i="2"/>
  <c r="J4859" i="2"/>
  <c r="I4859" i="2"/>
  <c r="H4859" i="2"/>
  <c r="G4859" i="2"/>
  <c r="F4859" i="2"/>
  <c r="E4859" i="2"/>
  <c r="D4859" i="2"/>
  <c r="C4859" i="2"/>
  <c r="B4859" i="2"/>
  <c r="A4859" i="2"/>
  <c r="Q4858" i="2"/>
  <c r="U4858" i="2" s="1"/>
  <c r="N4858" i="2"/>
  <c r="M4858" i="2"/>
  <c r="J4858" i="2"/>
  <c r="I4858" i="2"/>
  <c r="H4858" i="2"/>
  <c r="G4858" i="2"/>
  <c r="F4858" i="2"/>
  <c r="E4858" i="2"/>
  <c r="D4858" i="2"/>
  <c r="C4858" i="2"/>
  <c r="B4858" i="2"/>
  <c r="A4858" i="2"/>
  <c r="U4857" i="2"/>
  <c r="N4857" i="2"/>
  <c r="M4857" i="2"/>
  <c r="J4857" i="2"/>
  <c r="I4857" i="2"/>
  <c r="H4857" i="2"/>
  <c r="G4857" i="2"/>
  <c r="F4857" i="2"/>
  <c r="E4857" i="2"/>
  <c r="D4857" i="2"/>
  <c r="C4857" i="2"/>
  <c r="B4857" i="2"/>
  <c r="A4857" i="2"/>
  <c r="Q4856" i="2"/>
  <c r="U4856" i="2" s="1"/>
  <c r="N4856" i="2"/>
  <c r="M4856" i="2"/>
  <c r="J4856" i="2"/>
  <c r="I4856" i="2"/>
  <c r="H4856" i="2"/>
  <c r="G4856" i="2"/>
  <c r="F4856" i="2"/>
  <c r="E4856" i="2"/>
  <c r="D4856" i="2"/>
  <c r="C4856" i="2"/>
  <c r="B4856" i="2"/>
  <c r="A4856" i="2"/>
  <c r="U4855" i="2"/>
  <c r="N4855" i="2"/>
  <c r="M4855" i="2"/>
  <c r="J4855" i="2"/>
  <c r="I4855" i="2"/>
  <c r="H4855" i="2"/>
  <c r="G4855" i="2"/>
  <c r="F4855" i="2"/>
  <c r="E4855" i="2"/>
  <c r="D4855" i="2"/>
  <c r="C4855" i="2"/>
  <c r="B4855" i="2"/>
  <c r="A4855" i="2"/>
  <c r="U4854" i="2"/>
  <c r="N4854" i="2"/>
  <c r="M4854" i="2"/>
  <c r="J4854" i="2"/>
  <c r="I4854" i="2"/>
  <c r="H4854" i="2"/>
  <c r="G4854" i="2"/>
  <c r="F4854" i="2"/>
  <c r="E4854" i="2"/>
  <c r="D4854" i="2"/>
  <c r="C4854" i="2"/>
  <c r="B4854" i="2"/>
  <c r="A4854" i="2"/>
  <c r="U4853" i="2"/>
  <c r="N4853" i="2"/>
  <c r="M4853" i="2"/>
  <c r="J4853" i="2"/>
  <c r="I4853" i="2"/>
  <c r="H4853" i="2"/>
  <c r="G4853" i="2"/>
  <c r="F4853" i="2"/>
  <c r="E4853" i="2"/>
  <c r="D4853" i="2"/>
  <c r="C4853" i="2"/>
  <c r="B4853" i="2"/>
  <c r="A4853" i="2"/>
  <c r="U4852" i="2"/>
  <c r="N4852" i="2"/>
  <c r="M4852" i="2"/>
  <c r="J4852" i="2"/>
  <c r="I4852" i="2"/>
  <c r="H4852" i="2"/>
  <c r="G4852" i="2"/>
  <c r="F4852" i="2"/>
  <c r="E4852" i="2"/>
  <c r="D4852" i="2"/>
  <c r="C4852" i="2"/>
  <c r="B4852" i="2"/>
  <c r="A4852" i="2"/>
  <c r="U4851" i="2"/>
  <c r="N4851" i="2"/>
  <c r="M4851" i="2"/>
  <c r="J4851" i="2"/>
  <c r="I4851" i="2"/>
  <c r="H4851" i="2"/>
  <c r="G4851" i="2"/>
  <c r="F4851" i="2"/>
  <c r="E4851" i="2"/>
  <c r="D4851" i="2"/>
  <c r="C4851" i="2"/>
  <c r="B4851" i="2"/>
  <c r="A4851" i="2"/>
  <c r="U4850" i="2"/>
  <c r="N4850" i="2"/>
  <c r="M4850" i="2"/>
  <c r="J4850" i="2"/>
  <c r="I4850" i="2"/>
  <c r="H4850" i="2"/>
  <c r="G4850" i="2"/>
  <c r="F4850" i="2"/>
  <c r="E4850" i="2"/>
  <c r="D4850" i="2"/>
  <c r="C4850" i="2"/>
  <c r="B4850" i="2"/>
  <c r="A4850" i="2"/>
  <c r="U4849" i="2"/>
  <c r="N4849" i="2"/>
  <c r="M4849" i="2"/>
  <c r="J4849" i="2"/>
  <c r="I4849" i="2"/>
  <c r="H4849" i="2"/>
  <c r="G4849" i="2"/>
  <c r="F4849" i="2"/>
  <c r="E4849" i="2"/>
  <c r="D4849" i="2"/>
  <c r="C4849" i="2"/>
  <c r="B4849" i="2"/>
  <c r="A4849" i="2"/>
  <c r="U4848" i="2"/>
  <c r="N4848" i="2"/>
  <c r="M4848" i="2"/>
  <c r="J4848" i="2"/>
  <c r="I4848" i="2"/>
  <c r="H4848" i="2"/>
  <c r="G4848" i="2"/>
  <c r="F4848" i="2"/>
  <c r="E4848" i="2"/>
  <c r="D4848" i="2"/>
  <c r="C4848" i="2"/>
  <c r="B4848" i="2"/>
  <c r="A4848" i="2"/>
  <c r="U4847" i="2"/>
  <c r="N4847" i="2"/>
  <c r="M4847" i="2"/>
  <c r="J4847" i="2"/>
  <c r="I4847" i="2"/>
  <c r="H4847" i="2"/>
  <c r="G4847" i="2"/>
  <c r="F4847" i="2"/>
  <c r="E4847" i="2"/>
  <c r="D4847" i="2"/>
  <c r="C4847" i="2"/>
  <c r="B4847" i="2"/>
  <c r="A4847" i="2"/>
  <c r="U4846" i="2"/>
  <c r="N4846" i="2"/>
  <c r="M4846" i="2"/>
  <c r="J4846" i="2"/>
  <c r="I4846" i="2"/>
  <c r="H4846" i="2"/>
  <c r="G4846" i="2"/>
  <c r="F4846" i="2"/>
  <c r="E4846" i="2"/>
  <c r="D4846" i="2"/>
  <c r="C4846" i="2"/>
  <c r="B4846" i="2"/>
  <c r="A4846" i="2"/>
  <c r="Q4845" i="2"/>
  <c r="U4845" i="2" s="1"/>
  <c r="N4845" i="2"/>
  <c r="M4845" i="2"/>
  <c r="J4845" i="2"/>
  <c r="I4845" i="2"/>
  <c r="H4845" i="2"/>
  <c r="G4845" i="2"/>
  <c r="F4845" i="2"/>
  <c r="E4845" i="2"/>
  <c r="D4845" i="2"/>
  <c r="C4845" i="2"/>
  <c r="B4845" i="2"/>
  <c r="A4845" i="2"/>
  <c r="U4844" i="2"/>
  <c r="N4844" i="2"/>
  <c r="M4844" i="2"/>
  <c r="J4844" i="2"/>
  <c r="I4844" i="2"/>
  <c r="H4844" i="2"/>
  <c r="G4844" i="2"/>
  <c r="F4844" i="2"/>
  <c r="E4844" i="2"/>
  <c r="D4844" i="2"/>
  <c r="C4844" i="2"/>
  <c r="B4844" i="2"/>
  <c r="A4844" i="2"/>
  <c r="Q4843" i="2"/>
  <c r="U4843" i="2" s="1"/>
  <c r="N4843" i="2"/>
  <c r="M4843" i="2"/>
  <c r="J4843" i="2"/>
  <c r="I4843" i="2"/>
  <c r="H4843" i="2"/>
  <c r="G4843" i="2"/>
  <c r="F4843" i="2"/>
  <c r="E4843" i="2"/>
  <c r="D4843" i="2"/>
  <c r="C4843" i="2"/>
  <c r="B4843" i="2"/>
  <c r="A4843" i="2"/>
  <c r="Q4842" i="2"/>
  <c r="U4842" i="2" s="1"/>
  <c r="N4842" i="2"/>
  <c r="M4842" i="2"/>
  <c r="J4842" i="2"/>
  <c r="I4842" i="2"/>
  <c r="H4842" i="2"/>
  <c r="G4842" i="2"/>
  <c r="F4842" i="2"/>
  <c r="E4842" i="2"/>
  <c r="D4842" i="2"/>
  <c r="C4842" i="2"/>
  <c r="B4842" i="2"/>
  <c r="A4842" i="2"/>
  <c r="U4841" i="2"/>
  <c r="N4841" i="2"/>
  <c r="M4841" i="2"/>
  <c r="J4841" i="2"/>
  <c r="I4841" i="2"/>
  <c r="H4841" i="2"/>
  <c r="G4841" i="2"/>
  <c r="F4841" i="2"/>
  <c r="E4841" i="2"/>
  <c r="D4841" i="2"/>
  <c r="C4841" i="2"/>
  <c r="B4841" i="2"/>
  <c r="A4841" i="2"/>
  <c r="Q4840" i="2"/>
  <c r="U4840" i="2" s="1"/>
  <c r="N4840" i="2"/>
  <c r="M4840" i="2"/>
  <c r="J4840" i="2"/>
  <c r="I4840" i="2"/>
  <c r="H4840" i="2"/>
  <c r="G4840" i="2"/>
  <c r="F4840" i="2"/>
  <c r="E4840" i="2"/>
  <c r="D4840" i="2"/>
  <c r="C4840" i="2"/>
  <c r="B4840" i="2"/>
  <c r="A4840" i="2"/>
  <c r="U4839" i="2"/>
  <c r="N4839" i="2"/>
  <c r="M4839" i="2"/>
  <c r="J4839" i="2"/>
  <c r="I4839" i="2"/>
  <c r="H4839" i="2"/>
  <c r="G4839" i="2"/>
  <c r="F4839" i="2"/>
  <c r="E4839" i="2"/>
  <c r="D4839" i="2"/>
  <c r="C4839" i="2"/>
  <c r="B4839" i="2"/>
  <c r="A4839" i="2"/>
  <c r="U4838" i="2"/>
  <c r="N4838" i="2"/>
  <c r="M4838" i="2"/>
  <c r="J4838" i="2"/>
  <c r="I4838" i="2"/>
  <c r="H4838" i="2"/>
  <c r="G4838" i="2"/>
  <c r="F4838" i="2"/>
  <c r="E4838" i="2"/>
  <c r="D4838" i="2"/>
  <c r="C4838" i="2"/>
  <c r="B4838" i="2"/>
  <c r="A4838" i="2"/>
  <c r="U4837" i="2"/>
  <c r="N4837" i="2"/>
  <c r="M4837" i="2"/>
  <c r="J4837" i="2"/>
  <c r="I4837" i="2"/>
  <c r="H4837" i="2"/>
  <c r="G4837" i="2"/>
  <c r="F4837" i="2"/>
  <c r="E4837" i="2"/>
  <c r="D4837" i="2"/>
  <c r="C4837" i="2"/>
  <c r="B4837" i="2"/>
  <c r="A4837" i="2"/>
  <c r="U4836" i="2"/>
  <c r="N4836" i="2"/>
  <c r="M4836" i="2"/>
  <c r="J4836" i="2"/>
  <c r="I4836" i="2"/>
  <c r="H4836" i="2"/>
  <c r="G4836" i="2"/>
  <c r="F4836" i="2"/>
  <c r="E4836" i="2"/>
  <c r="D4836" i="2"/>
  <c r="C4836" i="2"/>
  <c r="B4836" i="2"/>
  <c r="A4836" i="2"/>
  <c r="Q4835" i="2"/>
  <c r="U4835" i="2" s="1"/>
  <c r="N4835" i="2"/>
  <c r="M4835" i="2"/>
  <c r="J4835" i="2"/>
  <c r="I4835" i="2"/>
  <c r="H4835" i="2"/>
  <c r="G4835" i="2"/>
  <c r="F4835" i="2"/>
  <c r="E4835" i="2"/>
  <c r="D4835" i="2"/>
  <c r="C4835" i="2"/>
  <c r="B4835" i="2"/>
  <c r="A4835" i="2"/>
  <c r="Q4834" i="2"/>
  <c r="U4834" i="2" s="1"/>
  <c r="N4834" i="2"/>
  <c r="M4834" i="2"/>
  <c r="J4834" i="2"/>
  <c r="I4834" i="2"/>
  <c r="H4834" i="2"/>
  <c r="G4834" i="2"/>
  <c r="F4834" i="2"/>
  <c r="E4834" i="2"/>
  <c r="D4834" i="2"/>
  <c r="C4834" i="2"/>
  <c r="B4834" i="2"/>
  <c r="A4834" i="2"/>
  <c r="U4833" i="2"/>
  <c r="N4833" i="2"/>
  <c r="M4833" i="2"/>
  <c r="J4833" i="2"/>
  <c r="I4833" i="2"/>
  <c r="H4833" i="2"/>
  <c r="G4833" i="2"/>
  <c r="F4833" i="2"/>
  <c r="E4833" i="2"/>
  <c r="D4833" i="2"/>
  <c r="C4833" i="2"/>
  <c r="B4833" i="2"/>
  <c r="A4833" i="2"/>
  <c r="U4832" i="2"/>
  <c r="N4832" i="2"/>
  <c r="M4832" i="2"/>
  <c r="J4832" i="2"/>
  <c r="I4832" i="2"/>
  <c r="H4832" i="2"/>
  <c r="G4832" i="2"/>
  <c r="F4832" i="2"/>
  <c r="E4832" i="2"/>
  <c r="D4832" i="2"/>
  <c r="C4832" i="2"/>
  <c r="B4832" i="2"/>
  <c r="A4832" i="2"/>
  <c r="Q4831" i="2"/>
  <c r="U4831" i="2" s="1"/>
  <c r="N4831" i="2"/>
  <c r="M4831" i="2"/>
  <c r="J4831" i="2"/>
  <c r="I4831" i="2"/>
  <c r="H4831" i="2"/>
  <c r="G4831" i="2"/>
  <c r="F4831" i="2"/>
  <c r="E4831" i="2"/>
  <c r="D4831" i="2"/>
  <c r="C4831" i="2"/>
  <c r="B4831" i="2"/>
  <c r="A4831" i="2"/>
  <c r="U4830" i="2"/>
  <c r="N4830" i="2"/>
  <c r="M4830" i="2"/>
  <c r="J4830" i="2"/>
  <c r="I4830" i="2"/>
  <c r="H4830" i="2"/>
  <c r="G4830" i="2"/>
  <c r="F4830" i="2"/>
  <c r="E4830" i="2"/>
  <c r="D4830" i="2"/>
  <c r="C4830" i="2"/>
  <c r="B4830" i="2"/>
  <c r="A4830" i="2"/>
  <c r="U4829" i="2"/>
  <c r="N4829" i="2"/>
  <c r="M4829" i="2"/>
  <c r="J4829" i="2"/>
  <c r="I4829" i="2"/>
  <c r="H4829" i="2"/>
  <c r="G4829" i="2"/>
  <c r="F4829" i="2"/>
  <c r="E4829" i="2"/>
  <c r="D4829" i="2"/>
  <c r="C4829" i="2"/>
  <c r="B4829" i="2"/>
  <c r="A4829" i="2"/>
  <c r="Q4828" i="2"/>
  <c r="U4828" i="2" s="1"/>
  <c r="N4828" i="2"/>
  <c r="M4828" i="2"/>
  <c r="J4828" i="2"/>
  <c r="I4828" i="2"/>
  <c r="H4828" i="2"/>
  <c r="G4828" i="2"/>
  <c r="F4828" i="2"/>
  <c r="E4828" i="2"/>
  <c r="D4828" i="2"/>
  <c r="C4828" i="2"/>
  <c r="B4828" i="2"/>
  <c r="A4828" i="2"/>
  <c r="Q4827" i="2"/>
  <c r="U4827" i="2" s="1"/>
  <c r="N4827" i="2"/>
  <c r="M4827" i="2"/>
  <c r="J4827" i="2"/>
  <c r="I4827" i="2"/>
  <c r="H4827" i="2"/>
  <c r="G4827" i="2"/>
  <c r="F4827" i="2"/>
  <c r="E4827" i="2"/>
  <c r="D4827" i="2"/>
  <c r="C4827" i="2"/>
  <c r="B4827" i="2"/>
  <c r="A4827" i="2"/>
  <c r="U4826" i="2"/>
  <c r="N4826" i="2"/>
  <c r="M4826" i="2"/>
  <c r="J4826" i="2"/>
  <c r="I4826" i="2"/>
  <c r="H4826" i="2"/>
  <c r="G4826" i="2"/>
  <c r="F4826" i="2"/>
  <c r="E4826" i="2"/>
  <c r="D4826" i="2"/>
  <c r="C4826" i="2"/>
  <c r="B4826" i="2"/>
  <c r="A4826" i="2"/>
  <c r="U4825" i="2"/>
  <c r="N4825" i="2"/>
  <c r="M4825" i="2"/>
  <c r="J4825" i="2"/>
  <c r="I4825" i="2"/>
  <c r="H4825" i="2"/>
  <c r="G4825" i="2"/>
  <c r="F4825" i="2"/>
  <c r="E4825" i="2"/>
  <c r="D4825" i="2"/>
  <c r="C4825" i="2"/>
  <c r="B4825" i="2"/>
  <c r="A4825" i="2"/>
  <c r="U4824" i="2"/>
  <c r="N4824" i="2"/>
  <c r="M4824" i="2"/>
  <c r="J4824" i="2"/>
  <c r="I4824" i="2"/>
  <c r="H4824" i="2"/>
  <c r="G4824" i="2"/>
  <c r="F4824" i="2"/>
  <c r="E4824" i="2"/>
  <c r="D4824" i="2"/>
  <c r="C4824" i="2"/>
  <c r="B4824" i="2"/>
  <c r="A4824" i="2"/>
  <c r="U4823" i="2"/>
  <c r="N4823" i="2"/>
  <c r="M4823" i="2"/>
  <c r="J4823" i="2"/>
  <c r="I4823" i="2"/>
  <c r="H4823" i="2"/>
  <c r="G4823" i="2"/>
  <c r="F4823" i="2"/>
  <c r="E4823" i="2"/>
  <c r="D4823" i="2"/>
  <c r="C4823" i="2"/>
  <c r="B4823" i="2"/>
  <c r="A4823" i="2"/>
  <c r="U4822" i="2"/>
  <c r="N4822" i="2"/>
  <c r="M4822" i="2"/>
  <c r="J4822" i="2"/>
  <c r="I4822" i="2"/>
  <c r="H4822" i="2"/>
  <c r="G4822" i="2"/>
  <c r="F4822" i="2"/>
  <c r="E4822" i="2"/>
  <c r="D4822" i="2"/>
  <c r="C4822" i="2"/>
  <c r="B4822" i="2"/>
  <c r="A4822" i="2"/>
  <c r="U4821" i="2"/>
  <c r="N4821" i="2"/>
  <c r="M4821" i="2"/>
  <c r="J4821" i="2"/>
  <c r="I4821" i="2"/>
  <c r="H4821" i="2"/>
  <c r="G4821" i="2"/>
  <c r="F4821" i="2"/>
  <c r="E4821" i="2"/>
  <c r="D4821" i="2"/>
  <c r="C4821" i="2"/>
  <c r="B4821" i="2"/>
  <c r="A4821" i="2"/>
  <c r="Q4820" i="2"/>
  <c r="U4820" i="2" s="1"/>
  <c r="N4820" i="2"/>
  <c r="M4820" i="2"/>
  <c r="J4820" i="2"/>
  <c r="I4820" i="2"/>
  <c r="H4820" i="2"/>
  <c r="G4820" i="2"/>
  <c r="F4820" i="2"/>
  <c r="E4820" i="2"/>
  <c r="D4820" i="2"/>
  <c r="C4820" i="2"/>
  <c r="B4820" i="2"/>
  <c r="A4820" i="2"/>
  <c r="Q4819" i="2"/>
  <c r="U4819" i="2" s="1"/>
  <c r="N4819" i="2"/>
  <c r="M4819" i="2"/>
  <c r="J4819" i="2"/>
  <c r="I4819" i="2"/>
  <c r="H4819" i="2"/>
  <c r="G4819" i="2"/>
  <c r="F4819" i="2"/>
  <c r="E4819" i="2"/>
  <c r="D4819" i="2"/>
  <c r="C4819" i="2"/>
  <c r="B4819" i="2"/>
  <c r="A4819" i="2"/>
  <c r="U4818" i="2"/>
  <c r="N4818" i="2"/>
  <c r="M4818" i="2"/>
  <c r="J4818" i="2"/>
  <c r="I4818" i="2"/>
  <c r="H4818" i="2"/>
  <c r="G4818" i="2"/>
  <c r="F4818" i="2"/>
  <c r="E4818" i="2"/>
  <c r="D4818" i="2"/>
  <c r="C4818" i="2"/>
  <c r="B4818" i="2"/>
  <c r="A4818" i="2"/>
  <c r="U4817" i="2"/>
  <c r="N4817" i="2"/>
  <c r="M4817" i="2"/>
  <c r="J4817" i="2"/>
  <c r="I4817" i="2"/>
  <c r="H4817" i="2"/>
  <c r="G4817" i="2"/>
  <c r="F4817" i="2"/>
  <c r="E4817" i="2"/>
  <c r="D4817" i="2"/>
  <c r="C4817" i="2"/>
  <c r="B4817" i="2"/>
  <c r="A4817" i="2"/>
  <c r="Q4816" i="2"/>
  <c r="U4816" i="2" s="1"/>
  <c r="N4816" i="2"/>
  <c r="M4816" i="2"/>
  <c r="J4816" i="2"/>
  <c r="I4816" i="2"/>
  <c r="H4816" i="2"/>
  <c r="G4816" i="2"/>
  <c r="F4816" i="2"/>
  <c r="E4816" i="2"/>
  <c r="D4816" i="2"/>
  <c r="C4816" i="2"/>
  <c r="B4816" i="2"/>
  <c r="A4816" i="2"/>
  <c r="U4815" i="2"/>
  <c r="N4815" i="2"/>
  <c r="M4815" i="2"/>
  <c r="J4815" i="2"/>
  <c r="I4815" i="2"/>
  <c r="H4815" i="2"/>
  <c r="G4815" i="2"/>
  <c r="F4815" i="2"/>
  <c r="E4815" i="2"/>
  <c r="D4815" i="2"/>
  <c r="C4815" i="2"/>
  <c r="B4815" i="2"/>
  <c r="A4815" i="2"/>
  <c r="U4814" i="2"/>
  <c r="N4814" i="2"/>
  <c r="M4814" i="2"/>
  <c r="J4814" i="2"/>
  <c r="I4814" i="2"/>
  <c r="H4814" i="2"/>
  <c r="G4814" i="2"/>
  <c r="F4814" i="2"/>
  <c r="E4814" i="2"/>
  <c r="D4814" i="2"/>
  <c r="C4814" i="2"/>
  <c r="B4814" i="2"/>
  <c r="A4814" i="2"/>
  <c r="Q4813" i="2"/>
  <c r="U4813" i="2" s="1"/>
  <c r="N4813" i="2"/>
  <c r="M4813" i="2"/>
  <c r="J4813" i="2"/>
  <c r="I4813" i="2"/>
  <c r="H4813" i="2"/>
  <c r="G4813" i="2"/>
  <c r="F4813" i="2"/>
  <c r="E4813" i="2"/>
  <c r="D4813" i="2"/>
  <c r="C4813" i="2"/>
  <c r="B4813" i="2"/>
  <c r="A4813" i="2"/>
  <c r="Q4812" i="2"/>
  <c r="U4812" i="2" s="1"/>
  <c r="N4812" i="2"/>
  <c r="M4812" i="2"/>
  <c r="J4812" i="2"/>
  <c r="I4812" i="2"/>
  <c r="H4812" i="2"/>
  <c r="G4812" i="2"/>
  <c r="F4812" i="2"/>
  <c r="E4812" i="2"/>
  <c r="D4812" i="2"/>
  <c r="C4812" i="2"/>
  <c r="B4812" i="2"/>
  <c r="A4812" i="2"/>
  <c r="U4811" i="2"/>
  <c r="N4811" i="2"/>
  <c r="M4811" i="2"/>
  <c r="J4811" i="2"/>
  <c r="I4811" i="2"/>
  <c r="H4811" i="2"/>
  <c r="G4811" i="2"/>
  <c r="F4811" i="2"/>
  <c r="E4811" i="2"/>
  <c r="D4811" i="2"/>
  <c r="C4811" i="2"/>
  <c r="B4811" i="2"/>
  <c r="A4811" i="2"/>
  <c r="U4810" i="2"/>
  <c r="N4810" i="2"/>
  <c r="M4810" i="2"/>
  <c r="J4810" i="2"/>
  <c r="I4810" i="2"/>
  <c r="H4810" i="2"/>
  <c r="G4810" i="2"/>
  <c r="F4810" i="2"/>
  <c r="E4810" i="2"/>
  <c r="D4810" i="2"/>
  <c r="C4810" i="2"/>
  <c r="B4810" i="2"/>
  <c r="A4810" i="2"/>
  <c r="U4809" i="2"/>
  <c r="N4809" i="2"/>
  <c r="M4809" i="2"/>
  <c r="J4809" i="2"/>
  <c r="I4809" i="2"/>
  <c r="H4809" i="2"/>
  <c r="G4809" i="2"/>
  <c r="F4809" i="2"/>
  <c r="E4809" i="2"/>
  <c r="D4809" i="2"/>
  <c r="C4809" i="2"/>
  <c r="B4809" i="2"/>
  <c r="A4809" i="2"/>
  <c r="U4808" i="2"/>
  <c r="N4808" i="2"/>
  <c r="M4808" i="2"/>
  <c r="J4808" i="2"/>
  <c r="I4808" i="2"/>
  <c r="H4808" i="2"/>
  <c r="G4808" i="2"/>
  <c r="F4808" i="2"/>
  <c r="E4808" i="2"/>
  <c r="D4808" i="2"/>
  <c r="C4808" i="2"/>
  <c r="B4808" i="2"/>
  <c r="A4808" i="2"/>
  <c r="Q4807" i="2"/>
  <c r="U4807" i="2" s="1"/>
  <c r="N4807" i="2"/>
  <c r="M4807" i="2"/>
  <c r="J4807" i="2"/>
  <c r="I4807" i="2"/>
  <c r="H4807" i="2"/>
  <c r="G4807" i="2"/>
  <c r="F4807" i="2"/>
  <c r="E4807" i="2"/>
  <c r="D4807" i="2"/>
  <c r="C4807" i="2"/>
  <c r="B4807" i="2"/>
  <c r="A4807" i="2"/>
  <c r="U4806" i="2"/>
  <c r="N4806" i="2"/>
  <c r="M4806" i="2"/>
  <c r="J4806" i="2"/>
  <c r="I4806" i="2"/>
  <c r="H4806" i="2"/>
  <c r="G4806" i="2"/>
  <c r="F4806" i="2"/>
  <c r="E4806" i="2"/>
  <c r="D4806" i="2"/>
  <c r="C4806" i="2"/>
  <c r="B4806" i="2"/>
  <c r="A4806" i="2"/>
  <c r="U4805" i="2"/>
  <c r="N4805" i="2"/>
  <c r="M4805" i="2"/>
  <c r="J4805" i="2"/>
  <c r="I4805" i="2"/>
  <c r="H4805" i="2"/>
  <c r="G4805" i="2"/>
  <c r="F4805" i="2"/>
  <c r="E4805" i="2"/>
  <c r="D4805" i="2"/>
  <c r="C4805" i="2"/>
  <c r="B4805" i="2"/>
  <c r="A4805" i="2"/>
  <c r="U4804" i="2"/>
  <c r="N4804" i="2"/>
  <c r="M4804" i="2"/>
  <c r="J4804" i="2"/>
  <c r="I4804" i="2"/>
  <c r="H4804" i="2"/>
  <c r="G4804" i="2"/>
  <c r="F4804" i="2"/>
  <c r="E4804" i="2"/>
  <c r="D4804" i="2"/>
  <c r="C4804" i="2"/>
  <c r="B4804" i="2"/>
  <c r="A4804" i="2"/>
  <c r="Q4803" i="2"/>
  <c r="U4803" i="2" s="1"/>
  <c r="N4803" i="2"/>
  <c r="M4803" i="2"/>
  <c r="J4803" i="2"/>
  <c r="I4803" i="2"/>
  <c r="H4803" i="2"/>
  <c r="G4803" i="2"/>
  <c r="F4803" i="2"/>
  <c r="E4803" i="2"/>
  <c r="D4803" i="2"/>
  <c r="C4803" i="2"/>
  <c r="B4803" i="2"/>
  <c r="A4803" i="2"/>
  <c r="Q4802" i="2"/>
  <c r="U4802" i="2" s="1"/>
  <c r="N4802" i="2"/>
  <c r="M4802" i="2"/>
  <c r="J4802" i="2"/>
  <c r="I4802" i="2"/>
  <c r="H4802" i="2"/>
  <c r="G4802" i="2"/>
  <c r="F4802" i="2"/>
  <c r="E4802" i="2"/>
  <c r="D4802" i="2"/>
  <c r="C4802" i="2"/>
  <c r="B4802" i="2"/>
  <c r="A4802" i="2"/>
  <c r="U4801" i="2"/>
  <c r="N4801" i="2"/>
  <c r="M4801" i="2"/>
  <c r="J4801" i="2"/>
  <c r="I4801" i="2"/>
  <c r="H4801" i="2"/>
  <c r="G4801" i="2"/>
  <c r="F4801" i="2"/>
  <c r="E4801" i="2"/>
  <c r="D4801" i="2"/>
  <c r="C4801" i="2"/>
  <c r="B4801" i="2"/>
  <c r="A4801" i="2"/>
  <c r="U4800" i="2"/>
  <c r="N4800" i="2"/>
  <c r="M4800" i="2"/>
  <c r="J4800" i="2"/>
  <c r="I4800" i="2"/>
  <c r="H4800" i="2"/>
  <c r="G4800" i="2"/>
  <c r="F4800" i="2"/>
  <c r="E4800" i="2"/>
  <c r="D4800" i="2"/>
  <c r="C4800" i="2"/>
  <c r="B4800" i="2"/>
  <c r="A4800" i="2"/>
  <c r="U4799" i="2"/>
  <c r="N4799" i="2"/>
  <c r="M4799" i="2"/>
  <c r="J4799" i="2"/>
  <c r="I4799" i="2"/>
  <c r="H4799" i="2"/>
  <c r="G4799" i="2"/>
  <c r="F4799" i="2"/>
  <c r="E4799" i="2"/>
  <c r="D4799" i="2"/>
  <c r="C4799" i="2"/>
  <c r="B4799" i="2"/>
  <c r="A4799" i="2"/>
  <c r="Q4798" i="2"/>
  <c r="U4798" i="2" s="1"/>
  <c r="N4798" i="2"/>
  <c r="M4798" i="2"/>
  <c r="J4798" i="2"/>
  <c r="I4798" i="2"/>
  <c r="H4798" i="2"/>
  <c r="G4798" i="2"/>
  <c r="F4798" i="2"/>
  <c r="E4798" i="2"/>
  <c r="D4798" i="2"/>
  <c r="C4798" i="2"/>
  <c r="B4798" i="2"/>
  <c r="A4798" i="2"/>
  <c r="U4797" i="2"/>
  <c r="N4797" i="2"/>
  <c r="M4797" i="2"/>
  <c r="J4797" i="2"/>
  <c r="I4797" i="2"/>
  <c r="H4797" i="2"/>
  <c r="G4797" i="2"/>
  <c r="F4797" i="2"/>
  <c r="E4797" i="2"/>
  <c r="D4797" i="2"/>
  <c r="C4797" i="2"/>
  <c r="B4797" i="2"/>
  <c r="A4797" i="2"/>
  <c r="Q4796" i="2"/>
  <c r="U4796" i="2" s="1"/>
  <c r="N4796" i="2"/>
  <c r="M4796" i="2"/>
  <c r="J4796" i="2"/>
  <c r="I4796" i="2"/>
  <c r="H4796" i="2"/>
  <c r="G4796" i="2"/>
  <c r="F4796" i="2"/>
  <c r="E4796" i="2"/>
  <c r="D4796" i="2"/>
  <c r="C4796" i="2"/>
  <c r="B4796" i="2"/>
  <c r="A4796" i="2"/>
  <c r="Q4795" i="2"/>
  <c r="U4795" i="2" s="1"/>
  <c r="N4795" i="2"/>
  <c r="M4795" i="2"/>
  <c r="J4795" i="2"/>
  <c r="I4795" i="2"/>
  <c r="H4795" i="2"/>
  <c r="G4795" i="2"/>
  <c r="F4795" i="2"/>
  <c r="E4795" i="2"/>
  <c r="D4795" i="2"/>
  <c r="C4795" i="2"/>
  <c r="B4795" i="2"/>
  <c r="A4795" i="2"/>
  <c r="U4794" i="2"/>
  <c r="N4794" i="2"/>
  <c r="M4794" i="2"/>
  <c r="J4794" i="2"/>
  <c r="I4794" i="2"/>
  <c r="H4794" i="2"/>
  <c r="G4794" i="2"/>
  <c r="F4794" i="2"/>
  <c r="E4794" i="2"/>
  <c r="D4794" i="2"/>
  <c r="C4794" i="2"/>
  <c r="B4794" i="2"/>
  <c r="A4794" i="2"/>
  <c r="U4793" i="2"/>
  <c r="N4793" i="2"/>
  <c r="M4793" i="2"/>
  <c r="J4793" i="2"/>
  <c r="I4793" i="2"/>
  <c r="H4793" i="2"/>
  <c r="G4793" i="2"/>
  <c r="F4793" i="2"/>
  <c r="E4793" i="2"/>
  <c r="D4793" i="2"/>
  <c r="C4793" i="2"/>
  <c r="B4793" i="2"/>
  <c r="A4793" i="2"/>
  <c r="U4792" i="2"/>
  <c r="N4792" i="2"/>
  <c r="M4792" i="2"/>
  <c r="J4792" i="2"/>
  <c r="I4792" i="2"/>
  <c r="H4792" i="2"/>
  <c r="G4792" i="2"/>
  <c r="F4792" i="2"/>
  <c r="E4792" i="2"/>
  <c r="D4792" i="2"/>
  <c r="C4792" i="2"/>
  <c r="B4792" i="2"/>
  <c r="A4792" i="2"/>
  <c r="U4791" i="2"/>
  <c r="N4791" i="2"/>
  <c r="M4791" i="2"/>
  <c r="J4791" i="2"/>
  <c r="I4791" i="2"/>
  <c r="H4791" i="2"/>
  <c r="G4791" i="2"/>
  <c r="F4791" i="2"/>
  <c r="E4791" i="2"/>
  <c r="D4791" i="2"/>
  <c r="C4791" i="2"/>
  <c r="B4791" i="2"/>
  <c r="A4791" i="2"/>
  <c r="U4790" i="2"/>
  <c r="N4790" i="2"/>
  <c r="M4790" i="2"/>
  <c r="J4790" i="2"/>
  <c r="I4790" i="2"/>
  <c r="H4790" i="2"/>
  <c r="G4790" i="2"/>
  <c r="F4790" i="2"/>
  <c r="E4790" i="2"/>
  <c r="D4790" i="2"/>
  <c r="C4790" i="2"/>
  <c r="B4790" i="2"/>
  <c r="A4790" i="2"/>
  <c r="U4789" i="2"/>
  <c r="N4789" i="2"/>
  <c r="M4789" i="2"/>
  <c r="J4789" i="2"/>
  <c r="I4789" i="2"/>
  <c r="H4789" i="2"/>
  <c r="G4789" i="2"/>
  <c r="F4789" i="2"/>
  <c r="E4789" i="2"/>
  <c r="D4789" i="2"/>
  <c r="C4789" i="2"/>
  <c r="B4789" i="2"/>
  <c r="A4789" i="2"/>
  <c r="Q4788" i="2"/>
  <c r="U4788" i="2" s="1"/>
  <c r="N4788" i="2"/>
  <c r="M4788" i="2"/>
  <c r="J4788" i="2"/>
  <c r="I4788" i="2"/>
  <c r="H4788" i="2"/>
  <c r="G4788" i="2"/>
  <c r="F4788" i="2"/>
  <c r="E4788" i="2"/>
  <c r="D4788" i="2"/>
  <c r="C4788" i="2"/>
  <c r="B4788" i="2"/>
  <c r="A4788" i="2"/>
  <c r="U4787" i="2"/>
  <c r="N4787" i="2"/>
  <c r="M4787" i="2"/>
  <c r="J4787" i="2"/>
  <c r="I4787" i="2"/>
  <c r="H4787" i="2"/>
  <c r="G4787" i="2"/>
  <c r="F4787" i="2"/>
  <c r="E4787" i="2"/>
  <c r="D4787" i="2"/>
  <c r="C4787" i="2"/>
  <c r="B4787" i="2"/>
  <c r="A4787" i="2"/>
  <c r="U4786" i="2"/>
  <c r="N4786" i="2"/>
  <c r="M4786" i="2"/>
  <c r="J4786" i="2"/>
  <c r="I4786" i="2"/>
  <c r="H4786" i="2"/>
  <c r="G4786" i="2"/>
  <c r="F4786" i="2"/>
  <c r="E4786" i="2"/>
  <c r="D4786" i="2"/>
  <c r="C4786" i="2"/>
  <c r="B4786" i="2"/>
  <c r="A4786" i="2"/>
  <c r="U4785" i="2"/>
  <c r="N4785" i="2"/>
  <c r="M4785" i="2"/>
  <c r="J4785" i="2"/>
  <c r="I4785" i="2"/>
  <c r="H4785" i="2"/>
  <c r="G4785" i="2"/>
  <c r="F4785" i="2"/>
  <c r="E4785" i="2"/>
  <c r="D4785" i="2"/>
  <c r="C4785" i="2"/>
  <c r="B4785" i="2"/>
  <c r="A4785" i="2"/>
  <c r="U4784" i="2"/>
  <c r="N4784" i="2"/>
  <c r="M4784" i="2"/>
  <c r="J4784" i="2"/>
  <c r="I4784" i="2"/>
  <c r="H4784" i="2"/>
  <c r="G4784" i="2"/>
  <c r="F4784" i="2"/>
  <c r="E4784" i="2"/>
  <c r="D4784" i="2"/>
  <c r="C4784" i="2"/>
  <c r="B4784" i="2"/>
  <c r="A4784" i="2"/>
  <c r="Q4783" i="2"/>
  <c r="U4783" i="2" s="1"/>
  <c r="N4783" i="2"/>
  <c r="M4783" i="2"/>
  <c r="J4783" i="2"/>
  <c r="I4783" i="2"/>
  <c r="H4783" i="2"/>
  <c r="G4783" i="2"/>
  <c r="F4783" i="2"/>
  <c r="E4783" i="2"/>
  <c r="D4783" i="2"/>
  <c r="C4783" i="2"/>
  <c r="B4783" i="2"/>
  <c r="A4783" i="2"/>
  <c r="U4782" i="2"/>
  <c r="N4782" i="2"/>
  <c r="M4782" i="2"/>
  <c r="J4782" i="2"/>
  <c r="I4782" i="2"/>
  <c r="H4782" i="2"/>
  <c r="G4782" i="2"/>
  <c r="F4782" i="2"/>
  <c r="E4782" i="2"/>
  <c r="D4782" i="2"/>
  <c r="C4782" i="2"/>
  <c r="B4782" i="2"/>
  <c r="A4782" i="2"/>
  <c r="U4781" i="2"/>
  <c r="N4781" i="2"/>
  <c r="M4781" i="2"/>
  <c r="J4781" i="2"/>
  <c r="I4781" i="2"/>
  <c r="H4781" i="2"/>
  <c r="G4781" i="2"/>
  <c r="F4781" i="2"/>
  <c r="E4781" i="2"/>
  <c r="D4781" i="2"/>
  <c r="C4781" i="2"/>
  <c r="B4781" i="2"/>
  <c r="A4781" i="2"/>
  <c r="U4780" i="2"/>
  <c r="N4780" i="2"/>
  <c r="M4780" i="2"/>
  <c r="J4780" i="2"/>
  <c r="I4780" i="2"/>
  <c r="H4780" i="2"/>
  <c r="G4780" i="2"/>
  <c r="F4780" i="2"/>
  <c r="E4780" i="2"/>
  <c r="D4780" i="2"/>
  <c r="C4780" i="2"/>
  <c r="B4780" i="2"/>
  <c r="A4780" i="2"/>
  <c r="U4779" i="2"/>
  <c r="N4779" i="2"/>
  <c r="M4779" i="2"/>
  <c r="J4779" i="2"/>
  <c r="I4779" i="2"/>
  <c r="H4779" i="2"/>
  <c r="G4779" i="2"/>
  <c r="F4779" i="2"/>
  <c r="E4779" i="2"/>
  <c r="D4779" i="2"/>
  <c r="C4779" i="2"/>
  <c r="B4779" i="2"/>
  <c r="A4779" i="2"/>
  <c r="U4778" i="2"/>
  <c r="N4778" i="2"/>
  <c r="M4778" i="2"/>
  <c r="J4778" i="2"/>
  <c r="I4778" i="2"/>
  <c r="H4778" i="2"/>
  <c r="G4778" i="2"/>
  <c r="F4778" i="2"/>
  <c r="E4778" i="2"/>
  <c r="D4778" i="2"/>
  <c r="C4778" i="2"/>
  <c r="B4778" i="2"/>
  <c r="A4778" i="2"/>
  <c r="U4777" i="2"/>
  <c r="N4777" i="2"/>
  <c r="M4777" i="2"/>
  <c r="J4777" i="2"/>
  <c r="I4777" i="2"/>
  <c r="H4777" i="2"/>
  <c r="G4777" i="2"/>
  <c r="F4777" i="2"/>
  <c r="E4777" i="2"/>
  <c r="D4777" i="2"/>
  <c r="C4777" i="2"/>
  <c r="B4777" i="2"/>
  <c r="A4777" i="2"/>
  <c r="U4776" i="2"/>
  <c r="N4776" i="2"/>
  <c r="M4776" i="2"/>
  <c r="J4776" i="2"/>
  <c r="I4776" i="2"/>
  <c r="H4776" i="2"/>
  <c r="G4776" i="2"/>
  <c r="F4776" i="2"/>
  <c r="E4776" i="2"/>
  <c r="D4776" i="2"/>
  <c r="C4776" i="2"/>
  <c r="B4776" i="2"/>
  <c r="A4776" i="2"/>
  <c r="U4775" i="2"/>
  <c r="N4775" i="2"/>
  <c r="M4775" i="2"/>
  <c r="J4775" i="2"/>
  <c r="I4775" i="2"/>
  <c r="H4775" i="2"/>
  <c r="G4775" i="2"/>
  <c r="F4775" i="2"/>
  <c r="E4775" i="2"/>
  <c r="D4775" i="2"/>
  <c r="C4775" i="2"/>
  <c r="B4775" i="2"/>
  <c r="A4775" i="2"/>
  <c r="U4774" i="2"/>
  <c r="N4774" i="2"/>
  <c r="M4774" i="2"/>
  <c r="J4774" i="2"/>
  <c r="I4774" i="2"/>
  <c r="H4774" i="2"/>
  <c r="G4774" i="2"/>
  <c r="F4774" i="2"/>
  <c r="E4774" i="2"/>
  <c r="D4774" i="2"/>
  <c r="C4774" i="2"/>
  <c r="B4774" i="2"/>
  <c r="A4774" i="2"/>
  <c r="U4773" i="2"/>
  <c r="N4773" i="2"/>
  <c r="M4773" i="2"/>
  <c r="J4773" i="2"/>
  <c r="I4773" i="2"/>
  <c r="H4773" i="2"/>
  <c r="G4773" i="2"/>
  <c r="F4773" i="2"/>
  <c r="E4773" i="2"/>
  <c r="D4773" i="2"/>
  <c r="C4773" i="2"/>
  <c r="B4773" i="2"/>
  <c r="A4773" i="2"/>
  <c r="U4772" i="2"/>
  <c r="N4772" i="2"/>
  <c r="M4772" i="2"/>
  <c r="J4772" i="2"/>
  <c r="I4772" i="2"/>
  <c r="H4772" i="2"/>
  <c r="G4772" i="2"/>
  <c r="F4772" i="2"/>
  <c r="E4772" i="2"/>
  <c r="D4772" i="2"/>
  <c r="C4772" i="2"/>
  <c r="B4772" i="2"/>
  <c r="A4772" i="2"/>
  <c r="Q4771" i="2"/>
  <c r="U4771" i="2" s="1"/>
  <c r="N4771" i="2"/>
  <c r="M4771" i="2"/>
  <c r="J4771" i="2"/>
  <c r="I4771" i="2"/>
  <c r="H4771" i="2"/>
  <c r="G4771" i="2"/>
  <c r="F4771" i="2"/>
  <c r="E4771" i="2"/>
  <c r="D4771" i="2"/>
  <c r="C4771" i="2"/>
  <c r="B4771" i="2"/>
  <c r="A4771" i="2"/>
  <c r="U4770" i="2"/>
  <c r="N4770" i="2"/>
  <c r="M4770" i="2"/>
  <c r="J4770" i="2"/>
  <c r="I4770" i="2"/>
  <c r="H4770" i="2"/>
  <c r="G4770" i="2"/>
  <c r="F4770" i="2"/>
  <c r="E4770" i="2"/>
  <c r="D4770" i="2"/>
  <c r="C4770" i="2"/>
  <c r="B4770" i="2"/>
  <c r="A4770" i="2"/>
  <c r="U4769" i="2"/>
  <c r="N4769" i="2"/>
  <c r="M4769" i="2"/>
  <c r="J4769" i="2"/>
  <c r="I4769" i="2"/>
  <c r="H4769" i="2"/>
  <c r="G4769" i="2"/>
  <c r="F4769" i="2"/>
  <c r="E4769" i="2"/>
  <c r="D4769" i="2"/>
  <c r="C4769" i="2"/>
  <c r="B4769" i="2"/>
  <c r="A4769" i="2"/>
  <c r="U4768" i="2"/>
  <c r="N4768" i="2"/>
  <c r="M4768" i="2"/>
  <c r="J4768" i="2"/>
  <c r="I4768" i="2"/>
  <c r="H4768" i="2"/>
  <c r="G4768" i="2"/>
  <c r="F4768" i="2"/>
  <c r="E4768" i="2"/>
  <c r="D4768" i="2"/>
  <c r="C4768" i="2"/>
  <c r="B4768" i="2"/>
  <c r="A4768" i="2"/>
  <c r="U4767" i="2"/>
  <c r="N4767" i="2"/>
  <c r="M4767" i="2"/>
  <c r="J4767" i="2"/>
  <c r="I4767" i="2"/>
  <c r="H4767" i="2"/>
  <c r="G4767" i="2"/>
  <c r="F4767" i="2"/>
  <c r="E4767" i="2"/>
  <c r="D4767" i="2"/>
  <c r="C4767" i="2"/>
  <c r="B4767" i="2"/>
  <c r="A4767" i="2"/>
  <c r="U4766" i="2"/>
  <c r="N4766" i="2"/>
  <c r="M4766" i="2"/>
  <c r="J4766" i="2"/>
  <c r="I4766" i="2"/>
  <c r="H4766" i="2"/>
  <c r="G4766" i="2"/>
  <c r="F4766" i="2"/>
  <c r="E4766" i="2"/>
  <c r="D4766" i="2"/>
  <c r="C4766" i="2"/>
  <c r="B4766" i="2"/>
  <c r="A4766" i="2"/>
  <c r="U4765" i="2"/>
  <c r="N4765" i="2"/>
  <c r="M4765" i="2"/>
  <c r="J4765" i="2"/>
  <c r="I4765" i="2"/>
  <c r="H4765" i="2"/>
  <c r="G4765" i="2"/>
  <c r="F4765" i="2"/>
  <c r="E4765" i="2"/>
  <c r="D4765" i="2"/>
  <c r="C4765" i="2"/>
  <c r="B4765" i="2"/>
  <c r="A4765" i="2"/>
  <c r="U4764" i="2"/>
  <c r="N4764" i="2"/>
  <c r="M4764" i="2"/>
  <c r="J4764" i="2"/>
  <c r="I4764" i="2"/>
  <c r="H4764" i="2"/>
  <c r="G4764" i="2"/>
  <c r="F4764" i="2"/>
  <c r="E4764" i="2"/>
  <c r="D4764" i="2"/>
  <c r="C4764" i="2"/>
  <c r="B4764" i="2"/>
  <c r="A4764" i="2"/>
  <c r="U4763" i="2"/>
  <c r="N4763" i="2"/>
  <c r="M4763" i="2"/>
  <c r="J4763" i="2"/>
  <c r="I4763" i="2"/>
  <c r="H4763" i="2"/>
  <c r="G4763" i="2"/>
  <c r="F4763" i="2"/>
  <c r="E4763" i="2"/>
  <c r="D4763" i="2"/>
  <c r="C4763" i="2"/>
  <c r="B4763" i="2"/>
  <c r="A4763" i="2"/>
  <c r="U4762" i="2"/>
  <c r="N4762" i="2"/>
  <c r="M4762" i="2"/>
  <c r="J4762" i="2"/>
  <c r="I4762" i="2"/>
  <c r="H4762" i="2"/>
  <c r="G4762" i="2"/>
  <c r="F4762" i="2"/>
  <c r="E4762" i="2"/>
  <c r="D4762" i="2"/>
  <c r="C4762" i="2"/>
  <c r="B4762" i="2"/>
  <c r="A4762" i="2"/>
  <c r="U4761" i="2"/>
  <c r="N4761" i="2"/>
  <c r="M4761" i="2"/>
  <c r="J4761" i="2"/>
  <c r="I4761" i="2"/>
  <c r="H4761" i="2"/>
  <c r="G4761" i="2"/>
  <c r="F4761" i="2"/>
  <c r="E4761" i="2"/>
  <c r="D4761" i="2"/>
  <c r="C4761" i="2"/>
  <c r="B4761" i="2"/>
  <c r="A4761" i="2"/>
  <c r="U4760" i="2"/>
  <c r="N4760" i="2"/>
  <c r="M4760" i="2"/>
  <c r="J4760" i="2"/>
  <c r="I4760" i="2"/>
  <c r="H4760" i="2"/>
  <c r="G4760" i="2"/>
  <c r="F4760" i="2"/>
  <c r="E4760" i="2"/>
  <c r="D4760" i="2"/>
  <c r="C4760" i="2"/>
  <c r="B4760" i="2"/>
  <c r="A4760" i="2"/>
  <c r="U4759" i="2"/>
  <c r="N4759" i="2"/>
  <c r="M4759" i="2"/>
  <c r="J4759" i="2"/>
  <c r="I4759" i="2"/>
  <c r="H4759" i="2"/>
  <c r="G4759" i="2"/>
  <c r="F4759" i="2"/>
  <c r="E4759" i="2"/>
  <c r="D4759" i="2"/>
  <c r="C4759" i="2"/>
  <c r="B4759" i="2"/>
  <c r="A4759" i="2"/>
  <c r="U4758" i="2"/>
  <c r="N4758" i="2"/>
  <c r="M4758" i="2"/>
  <c r="J4758" i="2"/>
  <c r="I4758" i="2"/>
  <c r="H4758" i="2"/>
  <c r="G4758" i="2"/>
  <c r="F4758" i="2"/>
  <c r="E4758" i="2"/>
  <c r="D4758" i="2"/>
  <c r="C4758" i="2"/>
  <c r="B4758" i="2"/>
  <c r="A4758" i="2"/>
  <c r="U4757" i="2"/>
  <c r="N4757" i="2"/>
  <c r="M4757" i="2"/>
  <c r="J4757" i="2"/>
  <c r="I4757" i="2"/>
  <c r="H4757" i="2"/>
  <c r="G4757" i="2"/>
  <c r="F4757" i="2"/>
  <c r="E4757" i="2"/>
  <c r="D4757" i="2"/>
  <c r="C4757" i="2"/>
  <c r="B4757" i="2"/>
  <c r="A4757" i="2"/>
  <c r="U4756" i="2"/>
  <c r="N4756" i="2"/>
  <c r="M4756" i="2"/>
  <c r="J4756" i="2"/>
  <c r="I4756" i="2"/>
  <c r="H4756" i="2"/>
  <c r="G4756" i="2"/>
  <c r="F4756" i="2"/>
  <c r="E4756" i="2"/>
  <c r="D4756" i="2"/>
  <c r="C4756" i="2"/>
  <c r="B4756" i="2"/>
  <c r="A4756" i="2"/>
  <c r="U4755" i="2"/>
  <c r="N4755" i="2"/>
  <c r="M4755" i="2"/>
  <c r="J4755" i="2"/>
  <c r="I4755" i="2"/>
  <c r="H4755" i="2"/>
  <c r="G4755" i="2"/>
  <c r="F4755" i="2"/>
  <c r="E4755" i="2"/>
  <c r="D4755" i="2"/>
  <c r="C4755" i="2"/>
  <c r="B4755" i="2"/>
  <c r="A4755" i="2"/>
  <c r="U4754" i="2"/>
  <c r="N4754" i="2"/>
  <c r="M4754" i="2"/>
  <c r="J4754" i="2"/>
  <c r="I4754" i="2"/>
  <c r="H4754" i="2"/>
  <c r="G4754" i="2"/>
  <c r="F4754" i="2"/>
  <c r="E4754" i="2"/>
  <c r="D4754" i="2"/>
  <c r="C4754" i="2"/>
  <c r="B4754" i="2"/>
  <c r="A4754" i="2"/>
  <c r="U4753" i="2"/>
  <c r="N4753" i="2"/>
  <c r="M4753" i="2"/>
  <c r="J4753" i="2"/>
  <c r="I4753" i="2"/>
  <c r="H4753" i="2"/>
  <c r="G4753" i="2"/>
  <c r="F4753" i="2"/>
  <c r="E4753" i="2"/>
  <c r="D4753" i="2"/>
  <c r="C4753" i="2"/>
  <c r="B4753" i="2"/>
  <c r="A4753" i="2"/>
  <c r="U4752" i="2"/>
  <c r="N4752" i="2"/>
  <c r="M4752" i="2"/>
  <c r="J4752" i="2"/>
  <c r="I4752" i="2"/>
  <c r="H4752" i="2"/>
  <c r="G4752" i="2"/>
  <c r="F4752" i="2"/>
  <c r="E4752" i="2"/>
  <c r="D4752" i="2"/>
  <c r="C4752" i="2"/>
  <c r="B4752" i="2"/>
  <c r="A4752" i="2"/>
  <c r="U4751" i="2"/>
  <c r="N4751" i="2"/>
  <c r="M4751" i="2"/>
  <c r="J4751" i="2"/>
  <c r="I4751" i="2"/>
  <c r="H4751" i="2"/>
  <c r="G4751" i="2"/>
  <c r="F4751" i="2"/>
  <c r="E4751" i="2"/>
  <c r="D4751" i="2"/>
  <c r="C4751" i="2"/>
  <c r="B4751" i="2"/>
  <c r="A4751" i="2"/>
  <c r="U4750" i="2"/>
  <c r="N4750" i="2"/>
  <c r="M4750" i="2"/>
  <c r="J4750" i="2"/>
  <c r="I4750" i="2"/>
  <c r="H4750" i="2"/>
  <c r="G4750" i="2"/>
  <c r="F4750" i="2"/>
  <c r="E4750" i="2"/>
  <c r="D4750" i="2"/>
  <c r="C4750" i="2"/>
  <c r="B4750" i="2"/>
  <c r="A4750" i="2"/>
  <c r="U4749" i="2"/>
  <c r="N4749" i="2"/>
  <c r="M4749" i="2"/>
  <c r="J4749" i="2"/>
  <c r="I4749" i="2"/>
  <c r="H4749" i="2"/>
  <c r="G4749" i="2"/>
  <c r="F4749" i="2"/>
  <c r="E4749" i="2"/>
  <c r="D4749" i="2"/>
  <c r="C4749" i="2"/>
  <c r="B4749" i="2"/>
  <c r="A4749" i="2"/>
  <c r="U4748" i="2"/>
  <c r="N4748" i="2"/>
  <c r="M4748" i="2"/>
  <c r="J4748" i="2"/>
  <c r="I4748" i="2"/>
  <c r="H4748" i="2"/>
  <c r="G4748" i="2"/>
  <c r="F4748" i="2"/>
  <c r="E4748" i="2"/>
  <c r="D4748" i="2"/>
  <c r="C4748" i="2"/>
  <c r="B4748" i="2"/>
  <c r="A4748" i="2"/>
  <c r="U4747" i="2"/>
  <c r="N4747" i="2"/>
  <c r="M4747" i="2"/>
  <c r="J4747" i="2"/>
  <c r="I4747" i="2"/>
  <c r="H4747" i="2"/>
  <c r="G4747" i="2"/>
  <c r="F4747" i="2"/>
  <c r="E4747" i="2"/>
  <c r="D4747" i="2"/>
  <c r="C4747" i="2"/>
  <c r="B4747" i="2"/>
  <c r="A4747" i="2"/>
  <c r="U4746" i="2"/>
  <c r="N4746" i="2"/>
  <c r="M4746" i="2"/>
  <c r="J4746" i="2"/>
  <c r="I4746" i="2"/>
  <c r="H4746" i="2"/>
  <c r="G4746" i="2"/>
  <c r="F4746" i="2"/>
  <c r="E4746" i="2"/>
  <c r="D4746" i="2"/>
  <c r="C4746" i="2"/>
  <c r="B4746" i="2"/>
  <c r="A4746" i="2"/>
  <c r="U4745" i="2"/>
  <c r="N4745" i="2"/>
  <c r="M4745" i="2"/>
  <c r="J4745" i="2"/>
  <c r="I4745" i="2"/>
  <c r="H4745" i="2"/>
  <c r="G4745" i="2"/>
  <c r="F4745" i="2"/>
  <c r="E4745" i="2"/>
  <c r="D4745" i="2"/>
  <c r="C4745" i="2"/>
  <c r="B4745" i="2"/>
  <c r="A4745" i="2"/>
  <c r="U4744" i="2"/>
  <c r="N4744" i="2"/>
  <c r="M4744" i="2"/>
  <c r="J4744" i="2"/>
  <c r="I4744" i="2"/>
  <c r="H4744" i="2"/>
  <c r="G4744" i="2"/>
  <c r="F4744" i="2"/>
  <c r="E4744" i="2"/>
  <c r="D4744" i="2"/>
  <c r="C4744" i="2"/>
  <c r="B4744" i="2"/>
  <c r="A4744" i="2"/>
  <c r="Q4743" i="2"/>
  <c r="U4743" i="2" s="1"/>
  <c r="N4743" i="2"/>
  <c r="M4743" i="2"/>
  <c r="J4743" i="2"/>
  <c r="I4743" i="2"/>
  <c r="H4743" i="2"/>
  <c r="G4743" i="2"/>
  <c r="F4743" i="2"/>
  <c r="E4743" i="2"/>
  <c r="D4743" i="2"/>
  <c r="C4743" i="2"/>
  <c r="B4743" i="2"/>
  <c r="A4743" i="2"/>
  <c r="U4742" i="2"/>
  <c r="N4742" i="2"/>
  <c r="M4742" i="2"/>
  <c r="J4742" i="2"/>
  <c r="I4742" i="2"/>
  <c r="H4742" i="2"/>
  <c r="G4742" i="2"/>
  <c r="F4742" i="2"/>
  <c r="E4742" i="2"/>
  <c r="D4742" i="2"/>
  <c r="C4742" i="2"/>
  <c r="B4742" i="2"/>
  <c r="A4742" i="2"/>
  <c r="U4741" i="2"/>
  <c r="N4741" i="2"/>
  <c r="M4741" i="2"/>
  <c r="J4741" i="2"/>
  <c r="I4741" i="2"/>
  <c r="H4741" i="2"/>
  <c r="G4741" i="2"/>
  <c r="F4741" i="2"/>
  <c r="E4741" i="2"/>
  <c r="D4741" i="2"/>
  <c r="C4741" i="2"/>
  <c r="B4741" i="2"/>
  <c r="A4741" i="2"/>
  <c r="U4740" i="2"/>
  <c r="N4740" i="2"/>
  <c r="M4740" i="2"/>
  <c r="J4740" i="2"/>
  <c r="I4740" i="2"/>
  <c r="H4740" i="2"/>
  <c r="G4740" i="2"/>
  <c r="F4740" i="2"/>
  <c r="E4740" i="2"/>
  <c r="D4740" i="2"/>
  <c r="C4740" i="2"/>
  <c r="B4740" i="2"/>
  <c r="A4740" i="2"/>
  <c r="U4739" i="2"/>
  <c r="N4739" i="2"/>
  <c r="M4739" i="2"/>
  <c r="J4739" i="2"/>
  <c r="I4739" i="2"/>
  <c r="H4739" i="2"/>
  <c r="G4739" i="2"/>
  <c r="F4739" i="2"/>
  <c r="E4739" i="2"/>
  <c r="D4739" i="2"/>
  <c r="C4739" i="2"/>
  <c r="B4739" i="2"/>
  <c r="A4739" i="2"/>
  <c r="U4738" i="2"/>
  <c r="N4738" i="2"/>
  <c r="M4738" i="2"/>
  <c r="J4738" i="2"/>
  <c r="I4738" i="2"/>
  <c r="H4738" i="2"/>
  <c r="G4738" i="2"/>
  <c r="F4738" i="2"/>
  <c r="E4738" i="2"/>
  <c r="D4738" i="2"/>
  <c r="C4738" i="2"/>
  <c r="B4738" i="2"/>
  <c r="A4738" i="2"/>
  <c r="U4737" i="2"/>
  <c r="N4737" i="2"/>
  <c r="M4737" i="2"/>
  <c r="J4737" i="2"/>
  <c r="I4737" i="2"/>
  <c r="H4737" i="2"/>
  <c r="G4737" i="2"/>
  <c r="F4737" i="2"/>
  <c r="E4737" i="2"/>
  <c r="D4737" i="2"/>
  <c r="C4737" i="2"/>
  <c r="B4737" i="2"/>
  <c r="A4737" i="2"/>
  <c r="U4736" i="2"/>
  <c r="N4736" i="2"/>
  <c r="M4736" i="2"/>
  <c r="J4736" i="2"/>
  <c r="I4736" i="2"/>
  <c r="H4736" i="2"/>
  <c r="G4736" i="2"/>
  <c r="F4736" i="2"/>
  <c r="E4736" i="2"/>
  <c r="D4736" i="2"/>
  <c r="C4736" i="2"/>
  <c r="B4736" i="2"/>
  <c r="A4736" i="2"/>
  <c r="U4735" i="2"/>
  <c r="N4735" i="2"/>
  <c r="M4735" i="2"/>
  <c r="J4735" i="2"/>
  <c r="I4735" i="2"/>
  <c r="H4735" i="2"/>
  <c r="G4735" i="2"/>
  <c r="F4735" i="2"/>
  <c r="E4735" i="2"/>
  <c r="D4735" i="2"/>
  <c r="C4735" i="2"/>
  <c r="B4735" i="2"/>
  <c r="A4735" i="2"/>
  <c r="U4734" i="2"/>
  <c r="N4734" i="2"/>
  <c r="M4734" i="2"/>
  <c r="J4734" i="2"/>
  <c r="I4734" i="2"/>
  <c r="H4734" i="2"/>
  <c r="G4734" i="2"/>
  <c r="F4734" i="2"/>
  <c r="E4734" i="2"/>
  <c r="D4734" i="2"/>
  <c r="C4734" i="2"/>
  <c r="B4734" i="2"/>
  <c r="A4734" i="2"/>
  <c r="U4733" i="2"/>
  <c r="N4733" i="2"/>
  <c r="M4733" i="2"/>
  <c r="J4733" i="2"/>
  <c r="I4733" i="2"/>
  <c r="H4733" i="2"/>
  <c r="G4733" i="2"/>
  <c r="F4733" i="2"/>
  <c r="E4733" i="2"/>
  <c r="D4733" i="2"/>
  <c r="C4733" i="2"/>
  <c r="B4733" i="2"/>
  <c r="A4733" i="2"/>
  <c r="U4732" i="2"/>
  <c r="N4732" i="2"/>
  <c r="M4732" i="2"/>
  <c r="J4732" i="2"/>
  <c r="I4732" i="2"/>
  <c r="H4732" i="2"/>
  <c r="G4732" i="2"/>
  <c r="F4732" i="2"/>
  <c r="E4732" i="2"/>
  <c r="D4732" i="2"/>
  <c r="C4732" i="2"/>
  <c r="B4732" i="2"/>
  <c r="A4732" i="2"/>
  <c r="U4731" i="2"/>
  <c r="N4731" i="2"/>
  <c r="M4731" i="2"/>
  <c r="J4731" i="2"/>
  <c r="I4731" i="2"/>
  <c r="H4731" i="2"/>
  <c r="G4731" i="2"/>
  <c r="F4731" i="2"/>
  <c r="E4731" i="2"/>
  <c r="D4731" i="2"/>
  <c r="C4731" i="2"/>
  <c r="B4731" i="2"/>
  <c r="A4731" i="2"/>
  <c r="U4730" i="2"/>
  <c r="N4730" i="2"/>
  <c r="M4730" i="2"/>
  <c r="J4730" i="2"/>
  <c r="I4730" i="2"/>
  <c r="H4730" i="2"/>
  <c r="G4730" i="2"/>
  <c r="F4730" i="2"/>
  <c r="E4730" i="2"/>
  <c r="D4730" i="2"/>
  <c r="C4730" i="2"/>
  <c r="B4730" i="2"/>
  <c r="A4730" i="2"/>
  <c r="U4729" i="2"/>
  <c r="N4729" i="2"/>
  <c r="M4729" i="2"/>
  <c r="J4729" i="2"/>
  <c r="I4729" i="2"/>
  <c r="H4729" i="2"/>
  <c r="G4729" i="2"/>
  <c r="F4729" i="2"/>
  <c r="E4729" i="2"/>
  <c r="D4729" i="2"/>
  <c r="C4729" i="2"/>
  <c r="B4729" i="2"/>
  <c r="A4729" i="2"/>
  <c r="U4728" i="2"/>
  <c r="N4728" i="2"/>
  <c r="M4728" i="2"/>
  <c r="J4728" i="2"/>
  <c r="I4728" i="2"/>
  <c r="H4728" i="2"/>
  <c r="G4728" i="2"/>
  <c r="F4728" i="2"/>
  <c r="E4728" i="2"/>
  <c r="D4728" i="2"/>
  <c r="C4728" i="2"/>
  <c r="B4728" i="2"/>
  <c r="A4728" i="2"/>
  <c r="U4727" i="2"/>
  <c r="N4727" i="2"/>
  <c r="M4727" i="2"/>
  <c r="J4727" i="2"/>
  <c r="I4727" i="2"/>
  <c r="H4727" i="2"/>
  <c r="G4727" i="2"/>
  <c r="F4727" i="2"/>
  <c r="E4727" i="2"/>
  <c r="D4727" i="2"/>
  <c r="C4727" i="2"/>
  <c r="B4727" i="2"/>
  <c r="A4727" i="2"/>
  <c r="U4726" i="2"/>
  <c r="N4726" i="2"/>
  <c r="M4726" i="2"/>
  <c r="J4726" i="2"/>
  <c r="I4726" i="2"/>
  <c r="H4726" i="2"/>
  <c r="G4726" i="2"/>
  <c r="F4726" i="2"/>
  <c r="E4726" i="2"/>
  <c r="D4726" i="2"/>
  <c r="C4726" i="2"/>
  <c r="B4726" i="2"/>
  <c r="A4726" i="2"/>
  <c r="U4725" i="2"/>
  <c r="N4725" i="2"/>
  <c r="M4725" i="2"/>
  <c r="J4725" i="2"/>
  <c r="I4725" i="2"/>
  <c r="H4725" i="2"/>
  <c r="G4725" i="2"/>
  <c r="F4725" i="2"/>
  <c r="E4725" i="2"/>
  <c r="D4725" i="2"/>
  <c r="C4725" i="2"/>
  <c r="B4725" i="2"/>
  <c r="A4725" i="2"/>
  <c r="U4724" i="2"/>
  <c r="N4724" i="2"/>
  <c r="M4724" i="2"/>
  <c r="J4724" i="2"/>
  <c r="I4724" i="2"/>
  <c r="H4724" i="2"/>
  <c r="G4724" i="2"/>
  <c r="F4724" i="2"/>
  <c r="E4724" i="2"/>
  <c r="D4724" i="2"/>
  <c r="C4724" i="2"/>
  <c r="B4724" i="2"/>
  <c r="A4724" i="2"/>
  <c r="U4723" i="2"/>
  <c r="N4723" i="2"/>
  <c r="M4723" i="2"/>
  <c r="J4723" i="2"/>
  <c r="I4723" i="2"/>
  <c r="H4723" i="2"/>
  <c r="G4723" i="2"/>
  <c r="F4723" i="2"/>
  <c r="E4723" i="2"/>
  <c r="D4723" i="2"/>
  <c r="C4723" i="2"/>
  <c r="B4723" i="2"/>
  <c r="A4723" i="2"/>
  <c r="U4722" i="2"/>
  <c r="N4722" i="2"/>
  <c r="M4722" i="2"/>
  <c r="J4722" i="2"/>
  <c r="I4722" i="2"/>
  <c r="H4722" i="2"/>
  <c r="G4722" i="2"/>
  <c r="F4722" i="2"/>
  <c r="E4722" i="2"/>
  <c r="D4722" i="2"/>
  <c r="C4722" i="2"/>
  <c r="B4722" i="2"/>
  <c r="A4722" i="2"/>
  <c r="U4721" i="2"/>
  <c r="N4721" i="2"/>
  <c r="M4721" i="2"/>
  <c r="J4721" i="2"/>
  <c r="I4721" i="2"/>
  <c r="H4721" i="2"/>
  <c r="G4721" i="2"/>
  <c r="F4721" i="2"/>
  <c r="E4721" i="2"/>
  <c r="D4721" i="2"/>
  <c r="C4721" i="2"/>
  <c r="B4721" i="2"/>
  <c r="A4721" i="2"/>
  <c r="U4720" i="2"/>
  <c r="N4720" i="2"/>
  <c r="M4720" i="2"/>
  <c r="J4720" i="2"/>
  <c r="I4720" i="2"/>
  <c r="H4720" i="2"/>
  <c r="G4720" i="2"/>
  <c r="F4720" i="2"/>
  <c r="E4720" i="2"/>
  <c r="D4720" i="2"/>
  <c r="C4720" i="2"/>
  <c r="B4720" i="2"/>
  <c r="A4720" i="2"/>
  <c r="U4719" i="2"/>
  <c r="N4719" i="2"/>
  <c r="M4719" i="2"/>
  <c r="J4719" i="2"/>
  <c r="I4719" i="2"/>
  <c r="H4719" i="2"/>
  <c r="G4719" i="2"/>
  <c r="F4719" i="2"/>
  <c r="E4719" i="2"/>
  <c r="D4719" i="2"/>
  <c r="C4719" i="2"/>
  <c r="B4719" i="2"/>
  <c r="A4719" i="2"/>
  <c r="U4718" i="2"/>
  <c r="N4718" i="2"/>
  <c r="M4718" i="2"/>
  <c r="J4718" i="2"/>
  <c r="I4718" i="2"/>
  <c r="H4718" i="2"/>
  <c r="G4718" i="2"/>
  <c r="F4718" i="2"/>
  <c r="E4718" i="2"/>
  <c r="D4718" i="2"/>
  <c r="C4718" i="2"/>
  <c r="B4718" i="2"/>
  <c r="A4718" i="2"/>
  <c r="U4717" i="2"/>
  <c r="N4717" i="2"/>
  <c r="M4717" i="2"/>
  <c r="J4717" i="2"/>
  <c r="I4717" i="2"/>
  <c r="H4717" i="2"/>
  <c r="G4717" i="2"/>
  <c r="F4717" i="2"/>
  <c r="E4717" i="2"/>
  <c r="D4717" i="2"/>
  <c r="C4717" i="2"/>
  <c r="B4717" i="2"/>
  <c r="A4717" i="2"/>
  <c r="U4716" i="2"/>
  <c r="N4716" i="2"/>
  <c r="M4716" i="2"/>
  <c r="J4716" i="2"/>
  <c r="I4716" i="2"/>
  <c r="H4716" i="2"/>
  <c r="G4716" i="2"/>
  <c r="F4716" i="2"/>
  <c r="E4716" i="2"/>
  <c r="D4716" i="2"/>
  <c r="C4716" i="2"/>
  <c r="B4716" i="2"/>
  <c r="A4716" i="2"/>
  <c r="U4715" i="2"/>
  <c r="N4715" i="2"/>
  <c r="M4715" i="2"/>
  <c r="J4715" i="2"/>
  <c r="I4715" i="2"/>
  <c r="H4715" i="2"/>
  <c r="G4715" i="2"/>
  <c r="F4715" i="2"/>
  <c r="E4715" i="2"/>
  <c r="D4715" i="2"/>
  <c r="C4715" i="2"/>
  <c r="B4715" i="2"/>
  <c r="A4715" i="2"/>
  <c r="U4714" i="2"/>
  <c r="N4714" i="2"/>
  <c r="M4714" i="2"/>
  <c r="J4714" i="2"/>
  <c r="I4714" i="2"/>
  <c r="H4714" i="2"/>
  <c r="G4714" i="2"/>
  <c r="F4714" i="2"/>
  <c r="E4714" i="2"/>
  <c r="D4714" i="2"/>
  <c r="C4714" i="2"/>
  <c r="B4714" i="2"/>
  <c r="A4714" i="2"/>
  <c r="U4713" i="2"/>
  <c r="N4713" i="2"/>
  <c r="M4713" i="2"/>
  <c r="J4713" i="2"/>
  <c r="I4713" i="2"/>
  <c r="H4713" i="2"/>
  <c r="G4713" i="2"/>
  <c r="F4713" i="2"/>
  <c r="E4713" i="2"/>
  <c r="D4713" i="2"/>
  <c r="C4713" i="2"/>
  <c r="B4713" i="2"/>
  <c r="A4713" i="2"/>
  <c r="U4712" i="2"/>
  <c r="N4712" i="2"/>
  <c r="M4712" i="2"/>
  <c r="J4712" i="2"/>
  <c r="I4712" i="2"/>
  <c r="H4712" i="2"/>
  <c r="G4712" i="2"/>
  <c r="F4712" i="2"/>
  <c r="E4712" i="2"/>
  <c r="D4712" i="2"/>
  <c r="C4712" i="2"/>
  <c r="B4712" i="2"/>
  <c r="A4712" i="2"/>
  <c r="U4711" i="2"/>
  <c r="N4711" i="2"/>
  <c r="M4711" i="2"/>
  <c r="J4711" i="2"/>
  <c r="I4711" i="2"/>
  <c r="H4711" i="2"/>
  <c r="G4711" i="2"/>
  <c r="F4711" i="2"/>
  <c r="E4711" i="2"/>
  <c r="D4711" i="2"/>
  <c r="C4711" i="2"/>
  <c r="B4711" i="2"/>
  <c r="A4711" i="2"/>
  <c r="U4710" i="2"/>
  <c r="N4710" i="2"/>
  <c r="M4710" i="2"/>
  <c r="J4710" i="2"/>
  <c r="I4710" i="2"/>
  <c r="H4710" i="2"/>
  <c r="G4710" i="2"/>
  <c r="F4710" i="2"/>
  <c r="E4710" i="2"/>
  <c r="D4710" i="2"/>
  <c r="C4710" i="2"/>
  <c r="B4710" i="2"/>
  <c r="A4710" i="2"/>
  <c r="U4709" i="2"/>
  <c r="N4709" i="2"/>
  <c r="M4709" i="2"/>
  <c r="J4709" i="2"/>
  <c r="I4709" i="2"/>
  <c r="H4709" i="2"/>
  <c r="G4709" i="2"/>
  <c r="F4709" i="2"/>
  <c r="E4709" i="2"/>
  <c r="D4709" i="2"/>
  <c r="C4709" i="2"/>
  <c r="B4709" i="2"/>
  <c r="A4709" i="2"/>
  <c r="U4708" i="2"/>
  <c r="N4708" i="2"/>
  <c r="M4708" i="2"/>
  <c r="J4708" i="2"/>
  <c r="I4708" i="2"/>
  <c r="H4708" i="2"/>
  <c r="G4708" i="2"/>
  <c r="F4708" i="2"/>
  <c r="E4708" i="2"/>
  <c r="D4708" i="2"/>
  <c r="C4708" i="2"/>
  <c r="B4708" i="2"/>
  <c r="A4708" i="2"/>
  <c r="U4707" i="2"/>
  <c r="N4707" i="2"/>
  <c r="M4707" i="2"/>
  <c r="J4707" i="2"/>
  <c r="I4707" i="2"/>
  <c r="H4707" i="2"/>
  <c r="G4707" i="2"/>
  <c r="F4707" i="2"/>
  <c r="E4707" i="2"/>
  <c r="D4707" i="2"/>
  <c r="C4707" i="2"/>
  <c r="B4707" i="2"/>
  <c r="A4707" i="2"/>
  <c r="U4706" i="2"/>
  <c r="N4706" i="2"/>
  <c r="M4706" i="2"/>
  <c r="J4706" i="2"/>
  <c r="I4706" i="2"/>
  <c r="H4706" i="2"/>
  <c r="G4706" i="2"/>
  <c r="F4706" i="2"/>
  <c r="E4706" i="2"/>
  <c r="D4706" i="2"/>
  <c r="C4706" i="2"/>
  <c r="B4706" i="2"/>
  <c r="A4706" i="2"/>
  <c r="U4705" i="2"/>
  <c r="N4705" i="2"/>
  <c r="M4705" i="2"/>
  <c r="J4705" i="2"/>
  <c r="I4705" i="2"/>
  <c r="H4705" i="2"/>
  <c r="G4705" i="2"/>
  <c r="F4705" i="2"/>
  <c r="E4705" i="2"/>
  <c r="D4705" i="2"/>
  <c r="C4705" i="2"/>
  <c r="B4705" i="2"/>
  <c r="A4705" i="2"/>
  <c r="U4704" i="2"/>
  <c r="N4704" i="2"/>
  <c r="M4704" i="2"/>
  <c r="J4704" i="2"/>
  <c r="I4704" i="2"/>
  <c r="H4704" i="2"/>
  <c r="G4704" i="2"/>
  <c r="F4704" i="2"/>
  <c r="E4704" i="2"/>
  <c r="D4704" i="2"/>
  <c r="C4704" i="2"/>
  <c r="B4704" i="2"/>
  <c r="A4704" i="2"/>
  <c r="U4703" i="2"/>
  <c r="N4703" i="2"/>
  <c r="M4703" i="2"/>
  <c r="J4703" i="2"/>
  <c r="I4703" i="2"/>
  <c r="H4703" i="2"/>
  <c r="G4703" i="2"/>
  <c r="F4703" i="2"/>
  <c r="E4703" i="2"/>
  <c r="D4703" i="2"/>
  <c r="C4703" i="2"/>
  <c r="B4703" i="2"/>
  <c r="A4703" i="2"/>
  <c r="U4702" i="2"/>
  <c r="N4702" i="2"/>
  <c r="M4702" i="2"/>
  <c r="J4702" i="2"/>
  <c r="I4702" i="2"/>
  <c r="H4702" i="2"/>
  <c r="G4702" i="2"/>
  <c r="F4702" i="2"/>
  <c r="E4702" i="2"/>
  <c r="D4702" i="2"/>
  <c r="C4702" i="2"/>
  <c r="B4702" i="2"/>
  <c r="A4702" i="2"/>
  <c r="U4701" i="2"/>
  <c r="N4701" i="2"/>
  <c r="M4701" i="2"/>
  <c r="J4701" i="2"/>
  <c r="I4701" i="2"/>
  <c r="H4701" i="2"/>
  <c r="G4701" i="2"/>
  <c r="F4701" i="2"/>
  <c r="E4701" i="2"/>
  <c r="D4701" i="2"/>
  <c r="C4701" i="2"/>
  <c r="B4701" i="2"/>
  <c r="A4701" i="2"/>
  <c r="U4700" i="2"/>
  <c r="N4700" i="2"/>
  <c r="M4700" i="2"/>
  <c r="J4700" i="2"/>
  <c r="I4700" i="2"/>
  <c r="H4700" i="2"/>
  <c r="G4700" i="2"/>
  <c r="F4700" i="2"/>
  <c r="E4700" i="2"/>
  <c r="D4700" i="2"/>
  <c r="C4700" i="2"/>
  <c r="B4700" i="2"/>
  <c r="A4700" i="2"/>
  <c r="U4699" i="2"/>
  <c r="N4699" i="2"/>
  <c r="M4699" i="2"/>
  <c r="J4699" i="2"/>
  <c r="I4699" i="2"/>
  <c r="H4699" i="2"/>
  <c r="G4699" i="2"/>
  <c r="F4699" i="2"/>
  <c r="E4699" i="2"/>
  <c r="D4699" i="2"/>
  <c r="C4699" i="2"/>
  <c r="B4699" i="2"/>
  <c r="A4699" i="2"/>
  <c r="U4698" i="2"/>
  <c r="N4698" i="2"/>
  <c r="M4698" i="2"/>
  <c r="J4698" i="2"/>
  <c r="I4698" i="2"/>
  <c r="H4698" i="2"/>
  <c r="G4698" i="2"/>
  <c r="F4698" i="2"/>
  <c r="E4698" i="2"/>
  <c r="D4698" i="2"/>
  <c r="C4698" i="2"/>
  <c r="B4698" i="2"/>
  <c r="A4698" i="2"/>
  <c r="U4697" i="2"/>
  <c r="N4697" i="2"/>
  <c r="M4697" i="2"/>
  <c r="J4697" i="2"/>
  <c r="I4697" i="2"/>
  <c r="H4697" i="2"/>
  <c r="G4697" i="2"/>
  <c r="F4697" i="2"/>
  <c r="E4697" i="2"/>
  <c r="D4697" i="2"/>
  <c r="C4697" i="2"/>
  <c r="B4697" i="2"/>
  <c r="A4697" i="2"/>
  <c r="U4696" i="2"/>
  <c r="N4696" i="2"/>
  <c r="M4696" i="2"/>
  <c r="J4696" i="2"/>
  <c r="I4696" i="2"/>
  <c r="H4696" i="2"/>
  <c r="G4696" i="2"/>
  <c r="F4696" i="2"/>
  <c r="E4696" i="2"/>
  <c r="D4696" i="2"/>
  <c r="C4696" i="2"/>
  <c r="B4696" i="2"/>
  <c r="A4696" i="2"/>
  <c r="U4695" i="2"/>
  <c r="N4695" i="2"/>
  <c r="M4695" i="2"/>
  <c r="J4695" i="2"/>
  <c r="I4695" i="2"/>
  <c r="H4695" i="2"/>
  <c r="G4695" i="2"/>
  <c r="F4695" i="2"/>
  <c r="E4695" i="2"/>
  <c r="D4695" i="2"/>
  <c r="C4695" i="2"/>
  <c r="B4695" i="2"/>
  <c r="A4695" i="2"/>
  <c r="U4694" i="2"/>
  <c r="N4694" i="2"/>
  <c r="M4694" i="2"/>
  <c r="J4694" i="2"/>
  <c r="I4694" i="2"/>
  <c r="H4694" i="2"/>
  <c r="G4694" i="2"/>
  <c r="F4694" i="2"/>
  <c r="E4694" i="2"/>
  <c r="D4694" i="2"/>
  <c r="C4694" i="2"/>
  <c r="B4694" i="2"/>
  <c r="A4694" i="2"/>
  <c r="U4693" i="2"/>
  <c r="N4693" i="2"/>
  <c r="M4693" i="2"/>
  <c r="J4693" i="2"/>
  <c r="I4693" i="2"/>
  <c r="H4693" i="2"/>
  <c r="G4693" i="2"/>
  <c r="F4693" i="2"/>
  <c r="E4693" i="2"/>
  <c r="D4693" i="2"/>
  <c r="C4693" i="2"/>
  <c r="B4693" i="2"/>
  <c r="A4693" i="2"/>
  <c r="U4692" i="2"/>
  <c r="N4692" i="2"/>
  <c r="M4692" i="2"/>
  <c r="J4692" i="2"/>
  <c r="I4692" i="2"/>
  <c r="H4692" i="2"/>
  <c r="G4692" i="2"/>
  <c r="F4692" i="2"/>
  <c r="E4692" i="2"/>
  <c r="D4692" i="2"/>
  <c r="C4692" i="2"/>
  <c r="B4692" i="2"/>
  <c r="A4692" i="2"/>
  <c r="U4691" i="2"/>
  <c r="N4691" i="2"/>
  <c r="M4691" i="2"/>
  <c r="J4691" i="2"/>
  <c r="I4691" i="2"/>
  <c r="H4691" i="2"/>
  <c r="G4691" i="2"/>
  <c r="F4691" i="2"/>
  <c r="E4691" i="2"/>
  <c r="D4691" i="2"/>
  <c r="C4691" i="2"/>
  <c r="B4691" i="2"/>
  <c r="A4691" i="2"/>
  <c r="U4690" i="2"/>
  <c r="N4690" i="2"/>
  <c r="M4690" i="2"/>
  <c r="J4690" i="2"/>
  <c r="I4690" i="2"/>
  <c r="H4690" i="2"/>
  <c r="G4690" i="2"/>
  <c r="F4690" i="2"/>
  <c r="E4690" i="2"/>
  <c r="D4690" i="2"/>
  <c r="C4690" i="2"/>
  <c r="B4690" i="2"/>
  <c r="A4690" i="2"/>
  <c r="U4689" i="2"/>
  <c r="N4689" i="2"/>
  <c r="M4689" i="2"/>
  <c r="J4689" i="2"/>
  <c r="I4689" i="2"/>
  <c r="H4689" i="2"/>
  <c r="G4689" i="2"/>
  <c r="F4689" i="2"/>
  <c r="E4689" i="2"/>
  <c r="D4689" i="2"/>
  <c r="C4689" i="2"/>
  <c r="B4689" i="2"/>
  <c r="A4689" i="2"/>
  <c r="U4688" i="2"/>
  <c r="N4688" i="2"/>
  <c r="M4688" i="2"/>
  <c r="J4688" i="2"/>
  <c r="I4688" i="2"/>
  <c r="H4688" i="2"/>
  <c r="G4688" i="2"/>
  <c r="F4688" i="2"/>
  <c r="E4688" i="2"/>
  <c r="D4688" i="2"/>
  <c r="C4688" i="2"/>
  <c r="B4688" i="2"/>
  <c r="A4688" i="2"/>
  <c r="U4687" i="2"/>
  <c r="N4687" i="2"/>
  <c r="M4687" i="2"/>
  <c r="J4687" i="2"/>
  <c r="I4687" i="2"/>
  <c r="H4687" i="2"/>
  <c r="G4687" i="2"/>
  <c r="F4687" i="2"/>
  <c r="E4687" i="2"/>
  <c r="D4687" i="2"/>
  <c r="C4687" i="2"/>
  <c r="B4687" i="2"/>
  <c r="A4687" i="2"/>
  <c r="U4686" i="2"/>
  <c r="N4686" i="2"/>
  <c r="M4686" i="2"/>
  <c r="J4686" i="2"/>
  <c r="I4686" i="2"/>
  <c r="H4686" i="2"/>
  <c r="G4686" i="2"/>
  <c r="F4686" i="2"/>
  <c r="E4686" i="2"/>
  <c r="D4686" i="2"/>
  <c r="C4686" i="2"/>
  <c r="B4686" i="2"/>
  <c r="A4686" i="2"/>
  <c r="U4685" i="2"/>
  <c r="N4685" i="2"/>
  <c r="M4685" i="2"/>
  <c r="J4685" i="2"/>
  <c r="I4685" i="2"/>
  <c r="H4685" i="2"/>
  <c r="G4685" i="2"/>
  <c r="F4685" i="2"/>
  <c r="E4685" i="2"/>
  <c r="D4685" i="2"/>
  <c r="C4685" i="2"/>
  <c r="B4685" i="2"/>
  <c r="A4685" i="2"/>
  <c r="U4684" i="2"/>
  <c r="N4684" i="2"/>
  <c r="M4684" i="2"/>
  <c r="J4684" i="2"/>
  <c r="I4684" i="2"/>
  <c r="H4684" i="2"/>
  <c r="G4684" i="2"/>
  <c r="F4684" i="2"/>
  <c r="E4684" i="2"/>
  <c r="D4684" i="2"/>
  <c r="C4684" i="2"/>
  <c r="B4684" i="2"/>
  <c r="A4684" i="2"/>
  <c r="U4683" i="2"/>
  <c r="N4683" i="2"/>
  <c r="M4683" i="2"/>
  <c r="J4683" i="2"/>
  <c r="I4683" i="2"/>
  <c r="H4683" i="2"/>
  <c r="G4683" i="2"/>
  <c r="F4683" i="2"/>
  <c r="E4683" i="2"/>
  <c r="D4683" i="2"/>
  <c r="C4683" i="2"/>
  <c r="B4683" i="2"/>
  <c r="A4683" i="2"/>
  <c r="U4682" i="2"/>
  <c r="N4682" i="2"/>
  <c r="M4682" i="2"/>
  <c r="J4682" i="2"/>
  <c r="I4682" i="2"/>
  <c r="H4682" i="2"/>
  <c r="G4682" i="2"/>
  <c r="F4682" i="2"/>
  <c r="E4682" i="2"/>
  <c r="D4682" i="2"/>
  <c r="C4682" i="2"/>
  <c r="B4682" i="2"/>
  <c r="A4682" i="2"/>
  <c r="U4681" i="2"/>
  <c r="N4681" i="2"/>
  <c r="M4681" i="2"/>
  <c r="J4681" i="2"/>
  <c r="I4681" i="2"/>
  <c r="H4681" i="2"/>
  <c r="G4681" i="2"/>
  <c r="F4681" i="2"/>
  <c r="E4681" i="2"/>
  <c r="D4681" i="2"/>
  <c r="C4681" i="2"/>
  <c r="B4681" i="2"/>
  <c r="A4681" i="2"/>
  <c r="U4680" i="2"/>
  <c r="N4680" i="2"/>
  <c r="M4680" i="2"/>
  <c r="J4680" i="2"/>
  <c r="I4680" i="2"/>
  <c r="H4680" i="2"/>
  <c r="G4680" i="2"/>
  <c r="F4680" i="2"/>
  <c r="E4680" i="2"/>
  <c r="D4680" i="2"/>
  <c r="C4680" i="2"/>
  <c r="B4680" i="2"/>
  <c r="A4680" i="2"/>
  <c r="U4679" i="2"/>
  <c r="N4679" i="2"/>
  <c r="M4679" i="2"/>
  <c r="J4679" i="2"/>
  <c r="I4679" i="2"/>
  <c r="H4679" i="2"/>
  <c r="G4679" i="2"/>
  <c r="F4679" i="2"/>
  <c r="E4679" i="2"/>
  <c r="D4679" i="2"/>
  <c r="C4679" i="2"/>
  <c r="B4679" i="2"/>
  <c r="A4679" i="2"/>
  <c r="U4678" i="2"/>
  <c r="N4678" i="2"/>
  <c r="M4678" i="2"/>
  <c r="J4678" i="2"/>
  <c r="I4678" i="2"/>
  <c r="H4678" i="2"/>
  <c r="G4678" i="2"/>
  <c r="F4678" i="2"/>
  <c r="E4678" i="2"/>
  <c r="D4678" i="2"/>
  <c r="C4678" i="2"/>
  <c r="B4678" i="2"/>
  <c r="A4678" i="2"/>
  <c r="U4677" i="2"/>
  <c r="N4677" i="2"/>
  <c r="M4677" i="2"/>
  <c r="J4677" i="2"/>
  <c r="I4677" i="2"/>
  <c r="H4677" i="2"/>
  <c r="G4677" i="2"/>
  <c r="F4677" i="2"/>
  <c r="E4677" i="2"/>
  <c r="D4677" i="2"/>
  <c r="C4677" i="2"/>
  <c r="B4677" i="2"/>
  <c r="A4677" i="2"/>
  <c r="U4676" i="2"/>
  <c r="N4676" i="2"/>
  <c r="M4676" i="2"/>
  <c r="J4676" i="2"/>
  <c r="I4676" i="2"/>
  <c r="H4676" i="2"/>
  <c r="G4676" i="2"/>
  <c r="F4676" i="2"/>
  <c r="E4676" i="2"/>
  <c r="D4676" i="2"/>
  <c r="C4676" i="2"/>
  <c r="B4676" i="2"/>
  <c r="A4676" i="2"/>
  <c r="U4675" i="2"/>
  <c r="N4675" i="2"/>
  <c r="M4675" i="2"/>
  <c r="J4675" i="2"/>
  <c r="I4675" i="2"/>
  <c r="H4675" i="2"/>
  <c r="G4675" i="2"/>
  <c r="F4675" i="2"/>
  <c r="E4675" i="2"/>
  <c r="D4675" i="2"/>
  <c r="C4675" i="2"/>
  <c r="B4675" i="2"/>
  <c r="A4675" i="2"/>
  <c r="U4674" i="2"/>
  <c r="N4674" i="2"/>
  <c r="M4674" i="2"/>
  <c r="J4674" i="2"/>
  <c r="I4674" i="2"/>
  <c r="H4674" i="2"/>
  <c r="G4674" i="2"/>
  <c r="F4674" i="2"/>
  <c r="E4674" i="2"/>
  <c r="D4674" i="2"/>
  <c r="C4674" i="2"/>
  <c r="B4674" i="2"/>
  <c r="A4674" i="2"/>
  <c r="U4673" i="2"/>
  <c r="N4673" i="2"/>
  <c r="M4673" i="2"/>
  <c r="J4673" i="2"/>
  <c r="I4673" i="2"/>
  <c r="H4673" i="2"/>
  <c r="G4673" i="2"/>
  <c r="F4673" i="2"/>
  <c r="E4673" i="2"/>
  <c r="D4673" i="2"/>
  <c r="C4673" i="2"/>
  <c r="B4673" i="2"/>
  <c r="A4673" i="2"/>
  <c r="U4672" i="2"/>
  <c r="N4672" i="2"/>
  <c r="M4672" i="2"/>
  <c r="J4672" i="2"/>
  <c r="I4672" i="2"/>
  <c r="H4672" i="2"/>
  <c r="G4672" i="2"/>
  <c r="F4672" i="2"/>
  <c r="E4672" i="2"/>
  <c r="D4672" i="2"/>
  <c r="C4672" i="2"/>
  <c r="B4672" i="2"/>
  <c r="A4672" i="2"/>
  <c r="U4671" i="2"/>
  <c r="N4671" i="2"/>
  <c r="M4671" i="2"/>
  <c r="J4671" i="2"/>
  <c r="I4671" i="2"/>
  <c r="H4671" i="2"/>
  <c r="G4671" i="2"/>
  <c r="F4671" i="2"/>
  <c r="E4671" i="2"/>
  <c r="D4671" i="2"/>
  <c r="C4671" i="2"/>
  <c r="B4671" i="2"/>
  <c r="A4671" i="2"/>
  <c r="U4670" i="2"/>
  <c r="N4670" i="2"/>
  <c r="M4670" i="2"/>
  <c r="J4670" i="2"/>
  <c r="I4670" i="2"/>
  <c r="H4670" i="2"/>
  <c r="G4670" i="2"/>
  <c r="F4670" i="2"/>
  <c r="E4670" i="2"/>
  <c r="D4670" i="2"/>
  <c r="C4670" i="2"/>
  <c r="B4670" i="2"/>
  <c r="A4670" i="2"/>
  <c r="U4669" i="2"/>
  <c r="N4669" i="2"/>
  <c r="M4669" i="2"/>
  <c r="J4669" i="2"/>
  <c r="I4669" i="2"/>
  <c r="H4669" i="2"/>
  <c r="G4669" i="2"/>
  <c r="F4669" i="2"/>
  <c r="E4669" i="2"/>
  <c r="D4669" i="2"/>
  <c r="C4669" i="2"/>
  <c r="B4669" i="2"/>
  <c r="A4669" i="2"/>
  <c r="U4668" i="2"/>
  <c r="N4668" i="2"/>
  <c r="M4668" i="2"/>
  <c r="J4668" i="2"/>
  <c r="I4668" i="2"/>
  <c r="H4668" i="2"/>
  <c r="G4668" i="2"/>
  <c r="F4668" i="2"/>
  <c r="E4668" i="2"/>
  <c r="D4668" i="2"/>
  <c r="C4668" i="2"/>
  <c r="B4668" i="2"/>
  <c r="A4668" i="2"/>
  <c r="U4667" i="2"/>
  <c r="N4667" i="2"/>
  <c r="M4667" i="2"/>
  <c r="J4667" i="2"/>
  <c r="I4667" i="2"/>
  <c r="H4667" i="2"/>
  <c r="G4667" i="2"/>
  <c r="F4667" i="2"/>
  <c r="E4667" i="2"/>
  <c r="D4667" i="2"/>
  <c r="C4667" i="2"/>
  <c r="B4667" i="2"/>
  <c r="A4667" i="2"/>
  <c r="U4666" i="2"/>
  <c r="N4666" i="2"/>
  <c r="M4666" i="2"/>
  <c r="J4666" i="2"/>
  <c r="I4666" i="2"/>
  <c r="H4666" i="2"/>
  <c r="G4666" i="2"/>
  <c r="F4666" i="2"/>
  <c r="E4666" i="2"/>
  <c r="D4666" i="2"/>
  <c r="C4666" i="2"/>
  <c r="B4666" i="2"/>
  <c r="A4666" i="2"/>
  <c r="U4665" i="2"/>
  <c r="N4665" i="2"/>
  <c r="M4665" i="2"/>
  <c r="J4665" i="2"/>
  <c r="I4665" i="2"/>
  <c r="H4665" i="2"/>
  <c r="G4665" i="2"/>
  <c r="F4665" i="2"/>
  <c r="E4665" i="2"/>
  <c r="D4665" i="2"/>
  <c r="C4665" i="2"/>
  <c r="B4665" i="2"/>
  <c r="A4665" i="2"/>
  <c r="U4664" i="2"/>
  <c r="N4664" i="2"/>
  <c r="M4664" i="2"/>
  <c r="J4664" i="2"/>
  <c r="I4664" i="2"/>
  <c r="H4664" i="2"/>
  <c r="G4664" i="2"/>
  <c r="F4664" i="2"/>
  <c r="E4664" i="2"/>
  <c r="D4664" i="2"/>
  <c r="C4664" i="2"/>
  <c r="B4664" i="2"/>
  <c r="A4664" i="2"/>
  <c r="U4663" i="2"/>
  <c r="N4663" i="2"/>
  <c r="M4663" i="2"/>
  <c r="J4663" i="2"/>
  <c r="I4663" i="2"/>
  <c r="H4663" i="2"/>
  <c r="G4663" i="2"/>
  <c r="F4663" i="2"/>
  <c r="E4663" i="2"/>
  <c r="D4663" i="2"/>
  <c r="C4663" i="2"/>
  <c r="B4663" i="2"/>
  <c r="A4663" i="2"/>
  <c r="U4662" i="2"/>
  <c r="N4662" i="2"/>
  <c r="M4662" i="2"/>
  <c r="J4662" i="2"/>
  <c r="I4662" i="2"/>
  <c r="H4662" i="2"/>
  <c r="G4662" i="2"/>
  <c r="F4662" i="2"/>
  <c r="E4662" i="2"/>
  <c r="D4662" i="2"/>
  <c r="C4662" i="2"/>
  <c r="B4662" i="2"/>
  <c r="A4662" i="2"/>
  <c r="U4661" i="2"/>
  <c r="N4661" i="2"/>
  <c r="M4661" i="2"/>
  <c r="J4661" i="2"/>
  <c r="I4661" i="2"/>
  <c r="H4661" i="2"/>
  <c r="G4661" i="2"/>
  <c r="F4661" i="2"/>
  <c r="E4661" i="2"/>
  <c r="D4661" i="2"/>
  <c r="C4661" i="2"/>
  <c r="B4661" i="2"/>
  <c r="A4661" i="2"/>
  <c r="U4660" i="2"/>
  <c r="N4660" i="2"/>
  <c r="M4660" i="2"/>
  <c r="J4660" i="2"/>
  <c r="I4660" i="2"/>
  <c r="H4660" i="2"/>
  <c r="G4660" i="2"/>
  <c r="F4660" i="2"/>
  <c r="E4660" i="2"/>
  <c r="D4660" i="2"/>
  <c r="C4660" i="2"/>
  <c r="B4660" i="2"/>
  <c r="A4660" i="2"/>
  <c r="U4659" i="2"/>
  <c r="N4659" i="2"/>
  <c r="M4659" i="2"/>
  <c r="J4659" i="2"/>
  <c r="I4659" i="2"/>
  <c r="H4659" i="2"/>
  <c r="G4659" i="2"/>
  <c r="F4659" i="2"/>
  <c r="E4659" i="2"/>
  <c r="D4659" i="2"/>
  <c r="C4659" i="2"/>
  <c r="B4659" i="2"/>
  <c r="A4659" i="2"/>
  <c r="U4658" i="2"/>
  <c r="N4658" i="2"/>
  <c r="M4658" i="2"/>
  <c r="J4658" i="2"/>
  <c r="I4658" i="2"/>
  <c r="H4658" i="2"/>
  <c r="G4658" i="2"/>
  <c r="F4658" i="2"/>
  <c r="E4658" i="2"/>
  <c r="D4658" i="2"/>
  <c r="C4658" i="2"/>
  <c r="B4658" i="2"/>
  <c r="A4658" i="2"/>
  <c r="U4657" i="2"/>
  <c r="N4657" i="2"/>
  <c r="M4657" i="2"/>
  <c r="J4657" i="2"/>
  <c r="I4657" i="2"/>
  <c r="H4657" i="2"/>
  <c r="G4657" i="2"/>
  <c r="F4657" i="2"/>
  <c r="E4657" i="2"/>
  <c r="D4657" i="2"/>
  <c r="C4657" i="2"/>
  <c r="B4657" i="2"/>
  <c r="A4657" i="2"/>
  <c r="U4656" i="2"/>
  <c r="N4656" i="2"/>
  <c r="M4656" i="2"/>
  <c r="J4656" i="2"/>
  <c r="I4656" i="2"/>
  <c r="H4656" i="2"/>
  <c r="G4656" i="2"/>
  <c r="F4656" i="2"/>
  <c r="E4656" i="2"/>
  <c r="D4656" i="2"/>
  <c r="C4656" i="2"/>
  <c r="B4656" i="2"/>
  <c r="A4656" i="2"/>
  <c r="U4655" i="2"/>
  <c r="N4655" i="2"/>
  <c r="M4655" i="2"/>
  <c r="J4655" i="2"/>
  <c r="I4655" i="2"/>
  <c r="H4655" i="2"/>
  <c r="G4655" i="2"/>
  <c r="F4655" i="2"/>
  <c r="E4655" i="2"/>
  <c r="D4655" i="2"/>
  <c r="C4655" i="2"/>
  <c r="B4655" i="2"/>
  <c r="A4655" i="2"/>
  <c r="U4654" i="2"/>
  <c r="N4654" i="2"/>
  <c r="M4654" i="2"/>
  <c r="J4654" i="2"/>
  <c r="I4654" i="2"/>
  <c r="H4654" i="2"/>
  <c r="G4654" i="2"/>
  <c r="F4654" i="2"/>
  <c r="E4654" i="2"/>
  <c r="D4654" i="2"/>
  <c r="C4654" i="2"/>
  <c r="B4654" i="2"/>
  <c r="A4654" i="2"/>
  <c r="U4653" i="2"/>
  <c r="N4653" i="2"/>
  <c r="M4653" i="2"/>
  <c r="J4653" i="2"/>
  <c r="I4653" i="2"/>
  <c r="H4653" i="2"/>
  <c r="G4653" i="2"/>
  <c r="F4653" i="2"/>
  <c r="E4653" i="2"/>
  <c r="D4653" i="2"/>
  <c r="C4653" i="2"/>
  <c r="B4653" i="2"/>
  <c r="A4653" i="2"/>
  <c r="U4652" i="2"/>
  <c r="N4652" i="2"/>
  <c r="M4652" i="2"/>
  <c r="J4652" i="2"/>
  <c r="I4652" i="2"/>
  <c r="H4652" i="2"/>
  <c r="G4652" i="2"/>
  <c r="F4652" i="2"/>
  <c r="E4652" i="2"/>
  <c r="D4652" i="2"/>
  <c r="C4652" i="2"/>
  <c r="B4652" i="2"/>
  <c r="A4652" i="2"/>
  <c r="U4651" i="2"/>
  <c r="N4651" i="2"/>
  <c r="M4651" i="2"/>
  <c r="J4651" i="2"/>
  <c r="I4651" i="2"/>
  <c r="H4651" i="2"/>
  <c r="G4651" i="2"/>
  <c r="F4651" i="2"/>
  <c r="E4651" i="2"/>
  <c r="D4651" i="2"/>
  <c r="C4651" i="2"/>
  <c r="B4651" i="2"/>
  <c r="A4651" i="2"/>
  <c r="U4650" i="2"/>
  <c r="N4650" i="2"/>
  <c r="M4650" i="2"/>
  <c r="J4650" i="2"/>
  <c r="I4650" i="2"/>
  <c r="H4650" i="2"/>
  <c r="G4650" i="2"/>
  <c r="F4650" i="2"/>
  <c r="E4650" i="2"/>
  <c r="D4650" i="2"/>
  <c r="C4650" i="2"/>
  <c r="B4650" i="2"/>
  <c r="A4650" i="2"/>
  <c r="U4649" i="2"/>
  <c r="N4649" i="2"/>
  <c r="M4649" i="2"/>
  <c r="J4649" i="2"/>
  <c r="I4649" i="2"/>
  <c r="H4649" i="2"/>
  <c r="G4649" i="2"/>
  <c r="F4649" i="2"/>
  <c r="E4649" i="2"/>
  <c r="D4649" i="2"/>
  <c r="C4649" i="2"/>
  <c r="B4649" i="2"/>
  <c r="A4649" i="2"/>
  <c r="U4648" i="2"/>
  <c r="N4648" i="2"/>
  <c r="M4648" i="2"/>
  <c r="J4648" i="2"/>
  <c r="I4648" i="2"/>
  <c r="H4648" i="2"/>
  <c r="G4648" i="2"/>
  <c r="F4648" i="2"/>
  <c r="E4648" i="2"/>
  <c r="D4648" i="2"/>
  <c r="C4648" i="2"/>
  <c r="B4648" i="2"/>
  <c r="A4648" i="2"/>
  <c r="U4647" i="2"/>
  <c r="N4647" i="2"/>
  <c r="M4647" i="2"/>
  <c r="J4647" i="2"/>
  <c r="I4647" i="2"/>
  <c r="H4647" i="2"/>
  <c r="G4647" i="2"/>
  <c r="F4647" i="2"/>
  <c r="E4647" i="2"/>
  <c r="D4647" i="2"/>
  <c r="C4647" i="2"/>
  <c r="B4647" i="2"/>
  <c r="A4647" i="2"/>
  <c r="U4646" i="2"/>
  <c r="N4646" i="2"/>
  <c r="M4646" i="2"/>
  <c r="J4646" i="2"/>
  <c r="I4646" i="2"/>
  <c r="H4646" i="2"/>
  <c r="G4646" i="2"/>
  <c r="F4646" i="2"/>
  <c r="E4646" i="2"/>
  <c r="D4646" i="2"/>
  <c r="C4646" i="2"/>
  <c r="B4646" i="2"/>
  <c r="A4646" i="2"/>
  <c r="U4645" i="2"/>
  <c r="N4645" i="2"/>
  <c r="M4645" i="2"/>
  <c r="J4645" i="2"/>
  <c r="I4645" i="2"/>
  <c r="H4645" i="2"/>
  <c r="G4645" i="2"/>
  <c r="F4645" i="2"/>
  <c r="E4645" i="2"/>
  <c r="D4645" i="2"/>
  <c r="C4645" i="2"/>
  <c r="B4645" i="2"/>
  <c r="A4645" i="2"/>
  <c r="U4644" i="2"/>
  <c r="N4644" i="2"/>
  <c r="M4644" i="2"/>
  <c r="J4644" i="2"/>
  <c r="I4644" i="2"/>
  <c r="H4644" i="2"/>
  <c r="G4644" i="2"/>
  <c r="F4644" i="2"/>
  <c r="E4644" i="2"/>
  <c r="D4644" i="2"/>
  <c r="C4644" i="2"/>
  <c r="B4644" i="2"/>
  <c r="A4644" i="2"/>
  <c r="U4643" i="2"/>
  <c r="N4643" i="2"/>
  <c r="M4643" i="2"/>
  <c r="J4643" i="2"/>
  <c r="I4643" i="2"/>
  <c r="H4643" i="2"/>
  <c r="G4643" i="2"/>
  <c r="F4643" i="2"/>
  <c r="E4643" i="2"/>
  <c r="D4643" i="2"/>
  <c r="C4643" i="2"/>
  <c r="B4643" i="2"/>
  <c r="A4643" i="2"/>
  <c r="U4642" i="2"/>
  <c r="N4642" i="2"/>
  <c r="M4642" i="2"/>
  <c r="J4642" i="2"/>
  <c r="I4642" i="2"/>
  <c r="H4642" i="2"/>
  <c r="G4642" i="2"/>
  <c r="F4642" i="2"/>
  <c r="E4642" i="2"/>
  <c r="D4642" i="2"/>
  <c r="C4642" i="2"/>
  <c r="B4642" i="2"/>
  <c r="A4642" i="2"/>
  <c r="U4641" i="2"/>
  <c r="N4641" i="2"/>
  <c r="M4641" i="2"/>
  <c r="J4641" i="2"/>
  <c r="I4641" i="2"/>
  <c r="H4641" i="2"/>
  <c r="G4641" i="2"/>
  <c r="F4641" i="2"/>
  <c r="E4641" i="2"/>
  <c r="D4641" i="2"/>
  <c r="C4641" i="2"/>
  <c r="B4641" i="2"/>
  <c r="A4641" i="2"/>
  <c r="U4640" i="2"/>
  <c r="N4640" i="2"/>
  <c r="M4640" i="2"/>
  <c r="J4640" i="2"/>
  <c r="I4640" i="2"/>
  <c r="H4640" i="2"/>
  <c r="G4640" i="2"/>
  <c r="F4640" i="2"/>
  <c r="E4640" i="2"/>
  <c r="D4640" i="2"/>
  <c r="C4640" i="2"/>
  <c r="B4640" i="2"/>
  <c r="A4640" i="2"/>
  <c r="U4639" i="2"/>
  <c r="N4639" i="2"/>
  <c r="M4639" i="2"/>
  <c r="J4639" i="2"/>
  <c r="I4639" i="2"/>
  <c r="H4639" i="2"/>
  <c r="G4639" i="2"/>
  <c r="F4639" i="2"/>
  <c r="E4639" i="2"/>
  <c r="D4639" i="2"/>
  <c r="C4639" i="2"/>
  <c r="B4639" i="2"/>
  <c r="A4639" i="2"/>
  <c r="U4638" i="2"/>
  <c r="N4638" i="2"/>
  <c r="M4638" i="2"/>
  <c r="J4638" i="2"/>
  <c r="I4638" i="2"/>
  <c r="H4638" i="2"/>
  <c r="G4638" i="2"/>
  <c r="F4638" i="2"/>
  <c r="E4638" i="2"/>
  <c r="D4638" i="2"/>
  <c r="C4638" i="2"/>
  <c r="B4638" i="2"/>
  <c r="A4638" i="2"/>
  <c r="U4637" i="2"/>
  <c r="N4637" i="2"/>
  <c r="M4637" i="2"/>
  <c r="J4637" i="2"/>
  <c r="I4637" i="2"/>
  <c r="H4637" i="2"/>
  <c r="G4637" i="2"/>
  <c r="F4637" i="2"/>
  <c r="E4637" i="2"/>
  <c r="D4637" i="2"/>
  <c r="C4637" i="2"/>
  <c r="B4637" i="2"/>
  <c r="A4637" i="2"/>
  <c r="U4636" i="2"/>
  <c r="N4636" i="2"/>
  <c r="M4636" i="2"/>
  <c r="J4636" i="2"/>
  <c r="I4636" i="2"/>
  <c r="H4636" i="2"/>
  <c r="G4636" i="2"/>
  <c r="F4636" i="2"/>
  <c r="E4636" i="2"/>
  <c r="D4636" i="2"/>
  <c r="C4636" i="2"/>
  <c r="B4636" i="2"/>
  <c r="A4636" i="2"/>
  <c r="U4635" i="2"/>
  <c r="N4635" i="2"/>
  <c r="M4635" i="2"/>
  <c r="J4635" i="2"/>
  <c r="I4635" i="2"/>
  <c r="H4635" i="2"/>
  <c r="G4635" i="2"/>
  <c r="F4635" i="2"/>
  <c r="E4635" i="2"/>
  <c r="D4635" i="2"/>
  <c r="C4635" i="2"/>
  <c r="B4635" i="2"/>
  <c r="A4635" i="2"/>
  <c r="U4634" i="2"/>
  <c r="N4634" i="2"/>
  <c r="M4634" i="2"/>
  <c r="J4634" i="2"/>
  <c r="I4634" i="2"/>
  <c r="H4634" i="2"/>
  <c r="G4634" i="2"/>
  <c r="F4634" i="2"/>
  <c r="E4634" i="2"/>
  <c r="D4634" i="2"/>
  <c r="C4634" i="2"/>
  <c r="B4634" i="2"/>
  <c r="A4634" i="2"/>
  <c r="U4633" i="2"/>
  <c r="N4633" i="2"/>
  <c r="M4633" i="2"/>
  <c r="J4633" i="2"/>
  <c r="I4633" i="2"/>
  <c r="H4633" i="2"/>
  <c r="G4633" i="2"/>
  <c r="F4633" i="2"/>
  <c r="E4633" i="2"/>
  <c r="D4633" i="2"/>
  <c r="C4633" i="2"/>
  <c r="B4633" i="2"/>
  <c r="A4633" i="2"/>
  <c r="U4632" i="2"/>
  <c r="N4632" i="2"/>
  <c r="M4632" i="2"/>
  <c r="J4632" i="2"/>
  <c r="I4632" i="2"/>
  <c r="H4632" i="2"/>
  <c r="G4632" i="2"/>
  <c r="F4632" i="2"/>
  <c r="E4632" i="2"/>
  <c r="D4632" i="2"/>
  <c r="C4632" i="2"/>
  <c r="B4632" i="2"/>
  <c r="A4632" i="2"/>
  <c r="U4631" i="2"/>
  <c r="N4631" i="2"/>
  <c r="M4631" i="2"/>
  <c r="J4631" i="2"/>
  <c r="I4631" i="2"/>
  <c r="H4631" i="2"/>
  <c r="G4631" i="2"/>
  <c r="F4631" i="2"/>
  <c r="E4631" i="2"/>
  <c r="D4631" i="2"/>
  <c r="C4631" i="2"/>
  <c r="B4631" i="2"/>
  <c r="A4631" i="2"/>
  <c r="U4630" i="2"/>
  <c r="N4630" i="2"/>
  <c r="M4630" i="2"/>
  <c r="J4630" i="2"/>
  <c r="I4630" i="2"/>
  <c r="H4630" i="2"/>
  <c r="G4630" i="2"/>
  <c r="F4630" i="2"/>
  <c r="E4630" i="2"/>
  <c r="D4630" i="2"/>
  <c r="C4630" i="2"/>
  <c r="B4630" i="2"/>
  <c r="A4630" i="2"/>
  <c r="U4629" i="2"/>
  <c r="N4629" i="2"/>
  <c r="M4629" i="2"/>
  <c r="J4629" i="2"/>
  <c r="I4629" i="2"/>
  <c r="H4629" i="2"/>
  <c r="G4629" i="2"/>
  <c r="F4629" i="2"/>
  <c r="E4629" i="2"/>
  <c r="D4629" i="2"/>
  <c r="C4629" i="2"/>
  <c r="B4629" i="2"/>
  <c r="A4629" i="2"/>
  <c r="U4628" i="2"/>
  <c r="N4628" i="2"/>
  <c r="M4628" i="2"/>
  <c r="J4628" i="2"/>
  <c r="I4628" i="2"/>
  <c r="H4628" i="2"/>
  <c r="G4628" i="2"/>
  <c r="F4628" i="2"/>
  <c r="E4628" i="2"/>
  <c r="D4628" i="2"/>
  <c r="C4628" i="2"/>
  <c r="B4628" i="2"/>
  <c r="A4628" i="2"/>
  <c r="U4627" i="2"/>
  <c r="N4627" i="2"/>
  <c r="M4627" i="2"/>
  <c r="J4627" i="2"/>
  <c r="I4627" i="2"/>
  <c r="H4627" i="2"/>
  <c r="G4627" i="2"/>
  <c r="F4627" i="2"/>
  <c r="E4627" i="2"/>
  <c r="D4627" i="2"/>
  <c r="C4627" i="2"/>
  <c r="B4627" i="2"/>
  <c r="A4627" i="2"/>
  <c r="U4626" i="2"/>
  <c r="N4626" i="2"/>
  <c r="M4626" i="2"/>
  <c r="J4626" i="2"/>
  <c r="I4626" i="2"/>
  <c r="H4626" i="2"/>
  <c r="G4626" i="2"/>
  <c r="F4626" i="2"/>
  <c r="E4626" i="2"/>
  <c r="D4626" i="2"/>
  <c r="C4626" i="2"/>
  <c r="B4626" i="2"/>
  <c r="A4626" i="2"/>
  <c r="U4625" i="2"/>
  <c r="N4625" i="2"/>
  <c r="M4625" i="2"/>
  <c r="J4625" i="2"/>
  <c r="I4625" i="2"/>
  <c r="H4625" i="2"/>
  <c r="G4625" i="2"/>
  <c r="F4625" i="2"/>
  <c r="E4625" i="2"/>
  <c r="D4625" i="2"/>
  <c r="C4625" i="2"/>
  <c r="B4625" i="2"/>
  <c r="A4625" i="2"/>
  <c r="U4624" i="2"/>
  <c r="N4624" i="2"/>
  <c r="M4624" i="2"/>
  <c r="J4624" i="2"/>
  <c r="I4624" i="2"/>
  <c r="H4624" i="2"/>
  <c r="G4624" i="2"/>
  <c r="F4624" i="2"/>
  <c r="E4624" i="2"/>
  <c r="D4624" i="2"/>
  <c r="C4624" i="2"/>
  <c r="B4624" i="2"/>
  <c r="A4624" i="2"/>
  <c r="U4623" i="2"/>
  <c r="N4623" i="2"/>
  <c r="M4623" i="2"/>
  <c r="J4623" i="2"/>
  <c r="I4623" i="2"/>
  <c r="H4623" i="2"/>
  <c r="G4623" i="2"/>
  <c r="F4623" i="2"/>
  <c r="E4623" i="2"/>
  <c r="D4623" i="2"/>
  <c r="C4623" i="2"/>
  <c r="B4623" i="2"/>
  <c r="A4623" i="2"/>
  <c r="U4622" i="2"/>
  <c r="N4622" i="2"/>
  <c r="M4622" i="2"/>
  <c r="J4622" i="2"/>
  <c r="I4622" i="2"/>
  <c r="H4622" i="2"/>
  <c r="G4622" i="2"/>
  <c r="F4622" i="2"/>
  <c r="E4622" i="2"/>
  <c r="D4622" i="2"/>
  <c r="C4622" i="2"/>
  <c r="B4622" i="2"/>
  <c r="A4622" i="2"/>
  <c r="U4621" i="2"/>
  <c r="N4621" i="2"/>
  <c r="M4621" i="2"/>
  <c r="J4621" i="2"/>
  <c r="I4621" i="2"/>
  <c r="H4621" i="2"/>
  <c r="G4621" i="2"/>
  <c r="F4621" i="2"/>
  <c r="E4621" i="2"/>
  <c r="D4621" i="2"/>
  <c r="C4621" i="2"/>
  <c r="B4621" i="2"/>
  <c r="A4621" i="2"/>
  <c r="U4620" i="2"/>
  <c r="N4620" i="2"/>
  <c r="M4620" i="2"/>
  <c r="J4620" i="2"/>
  <c r="I4620" i="2"/>
  <c r="H4620" i="2"/>
  <c r="G4620" i="2"/>
  <c r="F4620" i="2"/>
  <c r="E4620" i="2"/>
  <c r="D4620" i="2"/>
  <c r="C4620" i="2"/>
  <c r="B4620" i="2"/>
  <c r="A4620" i="2"/>
  <c r="U4619" i="2"/>
  <c r="N4619" i="2"/>
  <c r="M4619" i="2"/>
  <c r="J4619" i="2"/>
  <c r="I4619" i="2"/>
  <c r="H4619" i="2"/>
  <c r="G4619" i="2"/>
  <c r="F4619" i="2"/>
  <c r="E4619" i="2"/>
  <c r="D4619" i="2"/>
  <c r="C4619" i="2"/>
  <c r="B4619" i="2"/>
  <c r="A4619" i="2"/>
  <c r="U4618" i="2"/>
  <c r="N4618" i="2"/>
  <c r="M4618" i="2"/>
  <c r="J4618" i="2"/>
  <c r="I4618" i="2"/>
  <c r="H4618" i="2"/>
  <c r="G4618" i="2"/>
  <c r="F4618" i="2"/>
  <c r="E4618" i="2"/>
  <c r="D4618" i="2"/>
  <c r="C4618" i="2"/>
  <c r="B4618" i="2"/>
  <c r="A4618" i="2"/>
  <c r="U4617" i="2"/>
  <c r="N4617" i="2"/>
  <c r="M4617" i="2"/>
  <c r="J4617" i="2"/>
  <c r="I4617" i="2"/>
  <c r="H4617" i="2"/>
  <c r="G4617" i="2"/>
  <c r="F4617" i="2"/>
  <c r="E4617" i="2"/>
  <c r="D4617" i="2"/>
  <c r="C4617" i="2"/>
  <c r="B4617" i="2"/>
  <c r="A4617" i="2"/>
  <c r="U4616" i="2"/>
  <c r="N4616" i="2"/>
  <c r="M4616" i="2"/>
  <c r="J4616" i="2"/>
  <c r="I4616" i="2"/>
  <c r="H4616" i="2"/>
  <c r="G4616" i="2"/>
  <c r="F4616" i="2"/>
  <c r="E4616" i="2"/>
  <c r="D4616" i="2"/>
  <c r="C4616" i="2"/>
  <c r="B4616" i="2"/>
  <c r="A4616" i="2"/>
  <c r="U4615" i="2"/>
  <c r="N4615" i="2"/>
  <c r="M4615" i="2"/>
  <c r="J4615" i="2"/>
  <c r="I4615" i="2"/>
  <c r="H4615" i="2"/>
  <c r="G4615" i="2"/>
  <c r="F4615" i="2"/>
  <c r="E4615" i="2"/>
  <c r="D4615" i="2"/>
  <c r="C4615" i="2"/>
  <c r="B4615" i="2"/>
  <c r="A4615" i="2"/>
  <c r="Q4614" i="2"/>
  <c r="U4614" i="2" s="1"/>
  <c r="N4614" i="2"/>
  <c r="M4614" i="2"/>
  <c r="J4614" i="2"/>
  <c r="I4614" i="2"/>
  <c r="H4614" i="2"/>
  <c r="G4614" i="2"/>
  <c r="F4614" i="2"/>
  <c r="E4614" i="2"/>
  <c r="D4614" i="2"/>
  <c r="C4614" i="2"/>
  <c r="B4614" i="2"/>
  <c r="A4614" i="2"/>
  <c r="U4613" i="2"/>
  <c r="N4613" i="2"/>
  <c r="M4613" i="2"/>
  <c r="J4613" i="2"/>
  <c r="I4613" i="2"/>
  <c r="H4613" i="2"/>
  <c r="G4613" i="2"/>
  <c r="F4613" i="2"/>
  <c r="E4613" i="2"/>
  <c r="D4613" i="2"/>
  <c r="C4613" i="2"/>
  <c r="B4613" i="2"/>
  <c r="A4613" i="2"/>
  <c r="U4612" i="2"/>
  <c r="N4612" i="2"/>
  <c r="M4612" i="2"/>
  <c r="J4612" i="2"/>
  <c r="I4612" i="2"/>
  <c r="H4612" i="2"/>
  <c r="G4612" i="2"/>
  <c r="F4612" i="2"/>
  <c r="E4612" i="2"/>
  <c r="D4612" i="2"/>
  <c r="C4612" i="2"/>
  <c r="B4612" i="2"/>
  <c r="A4612" i="2"/>
  <c r="U4611" i="2"/>
  <c r="N4611" i="2"/>
  <c r="M4611" i="2"/>
  <c r="J4611" i="2"/>
  <c r="I4611" i="2"/>
  <c r="H4611" i="2"/>
  <c r="G4611" i="2"/>
  <c r="F4611" i="2"/>
  <c r="E4611" i="2"/>
  <c r="D4611" i="2"/>
  <c r="C4611" i="2"/>
  <c r="B4611" i="2"/>
  <c r="A4611" i="2"/>
  <c r="U4610" i="2"/>
  <c r="N4610" i="2"/>
  <c r="M4610" i="2"/>
  <c r="J4610" i="2"/>
  <c r="I4610" i="2"/>
  <c r="H4610" i="2"/>
  <c r="G4610" i="2"/>
  <c r="F4610" i="2"/>
  <c r="E4610" i="2"/>
  <c r="D4610" i="2"/>
  <c r="C4610" i="2"/>
  <c r="B4610" i="2"/>
  <c r="A4610" i="2"/>
  <c r="U4609" i="2"/>
  <c r="N4609" i="2"/>
  <c r="M4609" i="2"/>
  <c r="J4609" i="2"/>
  <c r="I4609" i="2"/>
  <c r="H4609" i="2"/>
  <c r="G4609" i="2"/>
  <c r="F4609" i="2"/>
  <c r="E4609" i="2"/>
  <c r="D4609" i="2"/>
  <c r="C4609" i="2"/>
  <c r="B4609" i="2"/>
  <c r="A4609" i="2"/>
  <c r="Q4608" i="2"/>
  <c r="U4608" i="2" s="1"/>
  <c r="N4608" i="2"/>
  <c r="M4608" i="2"/>
  <c r="J4608" i="2"/>
  <c r="I4608" i="2"/>
  <c r="H4608" i="2"/>
  <c r="G4608" i="2"/>
  <c r="F4608" i="2"/>
  <c r="E4608" i="2"/>
  <c r="D4608" i="2"/>
  <c r="C4608" i="2"/>
  <c r="B4608" i="2"/>
  <c r="A4608" i="2"/>
  <c r="U4607" i="2"/>
  <c r="N4607" i="2"/>
  <c r="M4607" i="2"/>
  <c r="J4607" i="2"/>
  <c r="I4607" i="2"/>
  <c r="H4607" i="2"/>
  <c r="G4607" i="2"/>
  <c r="F4607" i="2"/>
  <c r="E4607" i="2"/>
  <c r="D4607" i="2"/>
  <c r="C4607" i="2"/>
  <c r="B4607" i="2"/>
  <c r="A4607" i="2"/>
  <c r="U4606" i="2"/>
  <c r="N4606" i="2"/>
  <c r="M4606" i="2"/>
  <c r="J4606" i="2"/>
  <c r="I4606" i="2"/>
  <c r="H4606" i="2"/>
  <c r="G4606" i="2"/>
  <c r="F4606" i="2"/>
  <c r="E4606" i="2"/>
  <c r="D4606" i="2"/>
  <c r="C4606" i="2"/>
  <c r="B4606" i="2"/>
  <c r="A4606" i="2"/>
  <c r="U4605" i="2"/>
  <c r="N4605" i="2"/>
  <c r="M4605" i="2"/>
  <c r="J4605" i="2"/>
  <c r="I4605" i="2"/>
  <c r="H4605" i="2"/>
  <c r="G4605" i="2"/>
  <c r="F4605" i="2"/>
  <c r="E4605" i="2"/>
  <c r="D4605" i="2"/>
  <c r="C4605" i="2"/>
  <c r="B4605" i="2"/>
  <c r="A4605" i="2"/>
  <c r="U4604" i="2"/>
  <c r="N4604" i="2"/>
  <c r="M4604" i="2"/>
  <c r="J4604" i="2"/>
  <c r="I4604" i="2"/>
  <c r="H4604" i="2"/>
  <c r="G4604" i="2"/>
  <c r="F4604" i="2"/>
  <c r="E4604" i="2"/>
  <c r="D4604" i="2"/>
  <c r="C4604" i="2"/>
  <c r="B4604" i="2"/>
  <c r="A4604" i="2"/>
  <c r="U4603" i="2"/>
  <c r="N4603" i="2"/>
  <c r="M4603" i="2"/>
  <c r="J4603" i="2"/>
  <c r="I4603" i="2"/>
  <c r="H4603" i="2"/>
  <c r="G4603" i="2"/>
  <c r="F4603" i="2"/>
  <c r="E4603" i="2"/>
  <c r="D4603" i="2"/>
  <c r="C4603" i="2"/>
  <c r="B4603" i="2"/>
  <c r="A4603" i="2"/>
  <c r="Q4602" i="2"/>
  <c r="U4602" i="2" s="1"/>
  <c r="N4602" i="2"/>
  <c r="M4602" i="2"/>
  <c r="J4602" i="2"/>
  <c r="I4602" i="2"/>
  <c r="H4602" i="2"/>
  <c r="G4602" i="2"/>
  <c r="F4602" i="2"/>
  <c r="E4602" i="2"/>
  <c r="D4602" i="2"/>
  <c r="C4602" i="2"/>
  <c r="B4602" i="2"/>
  <c r="A4602" i="2"/>
  <c r="U4601" i="2"/>
  <c r="N4601" i="2"/>
  <c r="M4601" i="2"/>
  <c r="J4601" i="2"/>
  <c r="I4601" i="2"/>
  <c r="H4601" i="2"/>
  <c r="G4601" i="2"/>
  <c r="F4601" i="2"/>
  <c r="E4601" i="2"/>
  <c r="D4601" i="2"/>
  <c r="C4601" i="2"/>
  <c r="B4601" i="2"/>
  <c r="A4601" i="2"/>
  <c r="U4600" i="2"/>
  <c r="N4600" i="2"/>
  <c r="M4600" i="2"/>
  <c r="J4600" i="2"/>
  <c r="I4600" i="2"/>
  <c r="H4600" i="2"/>
  <c r="G4600" i="2"/>
  <c r="F4600" i="2"/>
  <c r="E4600" i="2"/>
  <c r="D4600" i="2"/>
  <c r="C4600" i="2"/>
  <c r="B4600" i="2"/>
  <c r="A4600" i="2"/>
  <c r="U4599" i="2"/>
  <c r="N4599" i="2"/>
  <c r="M4599" i="2"/>
  <c r="J4599" i="2"/>
  <c r="I4599" i="2"/>
  <c r="H4599" i="2"/>
  <c r="G4599" i="2"/>
  <c r="F4599" i="2"/>
  <c r="E4599" i="2"/>
  <c r="D4599" i="2"/>
  <c r="C4599" i="2"/>
  <c r="B4599" i="2"/>
  <c r="A4599" i="2"/>
  <c r="U4598" i="2"/>
  <c r="N4598" i="2"/>
  <c r="M4598" i="2"/>
  <c r="J4598" i="2"/>
  <c r="I4598" i="2"/>
  <c r="H4598" i="2"/>
  <c r="G4598" i="2"/>
  <c r="F4598" i="2"/>
  <c r="E4598" i="2"/>
  <c r="D4598" i="2"/>
  <c r="C4598" i="2"/>
  <c r="B4598" i="2"/>
  <c r="A4598" i="2"/>
  <c r="Q4597" i="2"/>
  <c r="U4597" i="2" s="1"/>
  <c r="N4597" i="2"/>
  <c r="M4597" i="2"/>
  <c r="J4597" i="2"/>
  <c r="I4597" i="2"/>
  <c r="H4597" i="2"/>
  <c r="G4597" i="2"/>
  <c r="F4597" i="2"/>
  <c r="E4597" i="2"/>
  <c r="D4597" i="2"/>
  <c r="C4597" i="2"/>
  <c r="B4597" i="2"/>
  <c r="A4597" i="2"/>
  <c r="U4596" i="2"/>
  <c r="N4596" i="2"/>
  <c r="M4596" i="2"/>
  <c r="J4596" i="2"/>
  <c r="I4596" i="2"/>
  <c r="H4596" i="2"/>
  <c r="G4596" i="2"/>
  <c r="F4596" i="2"/>
  <c r="E4596" i="2"/>
  <c r="D4596" i="2"/>
  <c r="C4596" i="2"/>
  <c r="B4596" i="2"/>
  <c r="A4596" i="2"/>
  <c r="U4595" i="2"/>
  <c r="N4595" i="2"/>
  <c r="M4595" i="2"/>
  <c r="J4595" i="2"/>
  <c r="I4595" i="2"/>
  <c r="H4595" i="2"/>
  <c r="G4595" i="2"/>
  <c r="F4595" i="2"/>
  <c r="E4595" i="2"/>
  <c r="D4595" i="2"/>
  <c r="C4595" i="2"/>
  <c r="B4595" i="2"/>
  <c r="A4595" i="2"/>
  <c r="Q4594" i="2"/>
  <c r="U4594" i="2" s="1"/>
  <c r="N4594" i="2"/>
  <c r="M4594" i="2"/>
  <c r="J4594" i="2"/>
  <c r="I4594" i="2"/>
  <c r="H4594" i="2"/>
  <c r="G4594" i="2"/>
  <c r="F4594" i="2"/>
  <c r="E4594" i="2"/>
  <c r="D4594" i="2"/>
  <c r="C4594" i="2"/>
  <c r="B4594" i="2"/>
  <c r="A4594" i="2"/>
  <c r="U4593" i="2"/>
  <c r="N4593" i="2"/>
  <c r="M4593" i="2"/>
  <c r="J4593" i="2"/>
  <c r="I4593" i="2"/>
  <c r="H4593" i="2"/>
  <c r="G4593" i="2"/>
  <c r="F4593" i="2"/>
  <c r="E4593" i="2"/>
  <c r="D4593" i="2"/>
  <c r="C4593" i="2"/>
  <c r="B4593" i="2"/>
  <c r="A4593" i="2"/>
  <c r="U4592" i="2"/>
  <c r="N4592" i="2"/>
  <c r="M4592" i="2"/>
  <c r="J4592" i="2"/>
  <c r="I4592" i="2"/>
  <c r="H4592" i="2"/>
  <c r="G4592" i="2"/>
  <c r="F4592" i="2"/>
  <c r="E4592" i="2"/>
  <c r="D4592" i="2"/>
  <c r="C4592" i="2"/>
  <c r="B4592" i="2"/>
  <c r="A4592" i="2"/>
  <c r="U4591" i="2"/>
  <c r="N4591" i="2"/>
  <c r="M4591" i="2"/>
  <c r="J4591" i="2"/>
  <c r="I4591" i="2"/>
  <c r="H4591" i="2"/>
  <c r="G4591" i="2"/>
  <c r="F4591" i="2"/>
  <c r="E4591" i="2"/>
  <c r="D4591" i="2"/>
  <c r="C4591" i="2"/>
  <c r="B4591" i="2"/>
  <c r="A4591" i="2"/>
  <c r="U4590" i="2"/>
  <c r="N4590" i="2"/>
  <c r="M4590" i="2"/>
  <c r="J4590" i="2"/>
  <c r="I4590" i="2"/>
  <c r="H4590" i="2"/>
  <c r="G4590" i="2"/>
  <c r="F4590" i="2"/>
  <c r="E4590" i="2"/>
  <c r="D4590" i="2"/>
  <c r="C4590" i="2"/>
  <c r="B4590" i="2"/>
  <c r="A4590" i="2"/>
  <c r="U4589" i="2"/>
  <c r="N4589" i="2"/>
  <c r="M4589" i="2"/>
  <c r="J4589" i="2"/>
  <c r="I4589" i="2"/>
  <c r="H4589" i="2"/>
  <c r="G4589" i="2"/>
  <c r="F4589" i="2"/>
  <c r="E4589" i="2"/>
  <c r="D4589" i="2"/>
  <c r="C4589" i="2"/>
  <c r="B4589" i="2"/>
  <c r="A4589" i="2"/>
  <c r="U4588" i="2"/>
  <c r="N4588" i="2"/>
  <c r="M4588" i="2"/>
  <c r="J4588" i="2"/>
  <c r="I4588" i="2"/>
  <c r="H4588" i="2"/>
  <c r="G4588" i="2"/>
  <c r="F4588" i="2"/>
  <c r="E4588" i="2"/>
  <c r="D4588" i="2"/>
  <c r="C4588" i="2"/>
  <c r="B4588" i="2"/>
  <c r="A4588" i="2"/>
  <c r="U4587" i="2"/>
  <c r="N4587" i="2"/>
  <c r="M4587" i="2"/>
  <c r="J4587" i="2"/>
  <c r="I4587" i="2"/>
  <c r="H4587" i="2"/>
  <c r="G4587" i="2"/>
  <c r="F4587" i="2"/>
  <c r="E4587" i="2"/>
  <c r="D4587" i="2"/>
  <c r="C4587" i="2"/>
  <c r="B4587" i="2"/>
  <c r="A4587" i="2"/>
  <c r="U4586" i="2"/>
  <c r="N4586" i="2"/>
  <c r="M4586" i="2"/>
  <c r="J4586" i="2"/>
  <c r="I4586" i="2"/>
  <c r="H4586" i="2"/>
  <c r="G4586" i="2"/>
  <c r="F4586" i="2"/>
  <c r="E4586" i="2"/>
  <c r="D4586" i="2"/>
  <c r="C4586" i="2"/>
  <c r="B4586" i="2"/>
  <c r="A4586" i="2"/>
  <c r="U4585" i="2"/>
  <c r="N4585" i="2"/>
  <c r="M4585" i="2"/>
  <c r="J4585" i="2"/>
  <c r="I4585" i="2"/>
  <c r="H4585" i="2"/>
  <c r="G4585" i="2"/>
  <c r="F4585" i="2"/>
  <c r="E4585" i="2"/>
  <c r="D4585" i="2"/>
  <c r="C4585" i="2"/>
  <c r="B4585" i="2"/>
  <c r="A4585" i="2"/>
  <c r="U4584" i="2"/>
  <c r="N4584" i="2"/>
  <c r="M4584" i="2"/>
  <c r="J4584" i="2"/>
  <c r="I4584" i="2"/>
  <c r="H4584" i="2"/>
  <c r="G4584" i="2"/>
  <c r="F4584" i="2"/>
  <c r="E4584" i="2"/>
  <c r="D4584" i="2"/>
  <c r="C4584" i="2"/>
  <c r="B4584" i="2"/>
  <c r="A4584" i="2"/>
  <c r="U4583" i="2"/>
  <c r="N4583" i="2"/>
  <c r="M4583" i="2"/>
  <c r="J4583" i="2"/>
  <c r="I4583" i="2"/>
  <c r="H4583" i="2"/>
  <c r="G4583" i="2"/>
  <c r="F4583" i="2"/>
  <c r="E4583" i="2"/>
  <c r="D4583" i="2"/>
  <c r="C4583" i="2"/>
  <c r="B4583" i="2"/>
  <c r="A4583" i="2"/>
  <c r="U4582" i="2"/>
  <c r="N4582" i="2"/>
  <c r="M4582" i="2"/>
  <c r="J4582" i="2"/>
  <c r="I4582" i="2"/>
  <c r="H4582" i="2"/>
  <c r="G4582" i="2"/>
  <c r="F4582" i="2"/>
  <c r="E4582" i="2"/>
  <c r="D4582" i="2"/>
  <c r="C4582" i="2"/>
  <c r="B4582" i="2"/>
  <c r="A4582" i="2"/>
  <c r="U4581" i="2"/>
  <c r="N4581" i="2"/>
  <c r="M4581" i="2"/>
  <c r="J4581" i="2"/>
  <c r="I4581" i="2"/>
  <c r="H4581" i="2"/>
  <c r="G4581" i="2"/>
  <c r="F4581" i="2"/>
  <c r="E4581" i="2"/>
  <c r="D4581" i="2"/>
  <c r="C4581" i="2"/>
  <c r="B4581" i="2"/>
  <c r="A4581" i="2"/>
  <c r="U4580" i="2"/>
  <c r="N4580" i="2"/>
  <c r="M4580" i="2"/>
  <c r="J4580" i="2"/>
  <c r="I4580" i="2"/>
  <c r="H4580" i="2"/>
  <c r="G4580" i="2"/>
  <c r="F4580" i="2"/>
  <c r="E4580" i="2"/>
  <c r="D4580" i="2"/>
  <c r="C4580" i="2"/>
  <c r="B4580" i="2"/>
  <c r="A4580" i="2"/>
  <c r="U4579" i="2"/>
  <c r="N4579" i="2"/>
  <c r="M4579" i="2"/>
  <c r="J4579" i="2"/>
  <c r="I4579" i="2"/>
  <c r="H4579" i="2"/>
  <c r="G4579" i="2"/>
  <c r="F4579" i="2"/>
  <c r="E4579" i="2"/>
  <c r="D4579" i="2"/>
  <c r="C4579" i="2"/>
  <c r="B4579" i="2"/>
  <c r="A4579" i="2"/>
  <c r="U4578" i="2"/>
  <c r="N4578" i="2"/>
  <c r="M4578" i="2"/>
  <c r="J4578" i="2"/>
  <c r="I4578" i="2"/>
  <c r="H4578" i="2"/>
  <c r="G4578" i="2"/>
  <c r="F4578" i="2"/>
  <c r="E4578" i="2"/>
  <c r="D4578" i="2"/>
  <c r="C4578" i="2"/>
  <c r="B4578" i="2"/>
  <c r="A4578" i="2"/>
  <c r="U4577" i="2"/>
  <c r="N4577" i="2"/>
  <c r="M4577" i="2"/>
  <c r="J4577" i="2"/>
  <c r="I4577" i="2"/>
  <c r="H4577" i="2"/>
  <c r="G4577" i="2"/>
  <c r="F4577" i="2"/>
  <c r="E4577" i="2"/>
  <c r="D4577" i="2"/>
  <c r="C4577" i="2"/>
  <c r="B4577" i="2"/>
  <c r="A4577" i="2"/>
  <c r="Q4576" i="2"/>
  <c r="U4576" i="2" s="1"/>
  <c r="N4576" i="2"/>
  <c r="M4576" i="2"/>
  <c r="J4576" i="2"/>
  <c r="I4576" i="2"/>
  <c r="H4576" i="2"/>
  <c r="G4576" i="2"/>
  <c r="F4576" i="2"/>
  <c r="E4576" i="2"/>
  <c r="D4576" i="2"/>
  <c r="C4576" i="2"/>
  <c r="B4576" i="2"/>
  <c r="A4576" i="2"/>
  <c r="U4575" i="2"/>
  <c r="N4575" i="2"/>
  <c r="M4575" i="2"/>
  <c r="J4575" i="2"/>
  <c r="I4575" i="2"/>
  <c r="H4575" i="2"/>
  <c r="G4575" i="2"/>
  <c r="F4575" i="2"/>
  <c r="E4575" i="2"/>
  <c r="D4575" i="2"/>
  <c r="C4575" i="2"/>
  <c r="B4575" i="2"/>
  <c r="A4575" i="2"/>
  <c r="U4574" i="2"/>
  <c r="N4574" i="2"/>
  <c r="M4574" i="2"/>
  <c r="J4574" i="2"/>
  <c r="I4574" i="2"/>
  <c r="H4574" i="2"/>
  <c r="G4574" i="2"/>
  <c r="F4574" i="2"/>
  <c r="E4574" i="2"/>
  <c r="D4574" i="2"/>
  <c r="C4574" i="2"/>
  <c r="B4574" i="2"/>
  <c r="A4574" i="2"/>
  <c r="U4573" i="2"/>
  <c r="N4573" i="2"/>
  <c r="M4573" i="2"/>
  <c r="J4573" i="2"/>
  <c r="I4573" i="2"/>
  <c r="H4573" i="2"/>
  <c r="G4573" i="2"/>
  <c r="F4573" i="2"/>
  <c r="E4573" i="2"/>
  <c r="D4573" i="2"/>
  <c r="C4573" i="2"/>
  <c r="B4573" i="2"/>
  <c r="A4573" i="2"/>
  <c r="U4572" i="2"/>
  <c r="N4572" i="2"/>
  <c r="M4572" i="2"/>
  <c r="J4572" i="2"/>
  <c r="I4572" i="2"/>
  <c r="H4572" i="2"/>
  <c r="G4572" i="2"/>
  <c r="F4572" i="2"/>
  <c r="E4572" i="2"/>
  <c r="D4572" i="2"/>
  <c r="C4572" i="2"/>
  <c r="B4572" i="2"/>
  <c r="A4572" i="2"/>
  <c r="U4571" i="2"/>
  <c r="N4571" i="2"/>
  <c r="M4571" i="2"/>
  <c r="J4571" i="2"/>
  <c r="I4571" i="2"/>
  <c r="H4571" i="2"/>
  <c r="G4571" i="2"/>
  <c r="F4571" i="2"/>
  <c r="E4571" i="2"/>
  <c r="D4571" i="2"/>
  <c r="C4571" i="2"/>
  <c r="B4571" i="2"/>
  <c r="A4571" i="2"/>
  <c r="U4570" i="2"/>
  <c r="N4570" i="2"/>
  <c r="M4570" i="2"/>
  <c r="J4570" i="2"/>
  <c r="I4570" i="2"/>
  <c r="H4570" i="2"/>
  <c r="G4570" i="2"/>
  <c r="F4570" i="2"/>
  <c r="E4570" i="2"/>
  <c r="D4570" i="2"/>
  <c r="C4570" i="2"/>
  <c r="B4570" i="2"/>
  <c r="A4570" i="2"/>
  <c r="U4569" i="2"/>
  <c r="N4569" i="2"/>
  <c r="M4569" i="2"/>
  <c r="J4569" i="2"/>
  <c r="I4569" i="2"/>
  <c r="H4569" i="2"/>
  <c r="G4569" i="2"/>
  <c r="F4569" i="2"/>
  <c r="E4569" i="2"/>
  <c r="D4569" i="2"/>
  <c r="C4569" i="2"/>
  <c r="B4569" i="2"/>
  <c r="A4569" i="2"/>
  <c r="Q4568" i="2"/>
  <c r="U4568" i="2" s="1"/>
  <c r="N4568" i="2"/>
  <c r="M4568" i="2"/>
  <c r="J4568" i="2"/>
  <c r="I4568" i="2"/>
  <c r="H4568" i="2"/>
  <c r="G4568" i="2"/>
  <c r="F4568" i="2"/>
  <c r="E4568" i="2"/>
  <c r="D4568" i="2"/>
  <c r="C4568" i="2"/>
  <c r="B4568" i="2"/>
  <c r="A4568" i="2"/>
  <c r="U4567" i="2"/>
  <c r="N4567" i="2"/>
  <c r="M4567" i="2"/>
  <c r="J4567" i="2"/>
  <c r="I4567" i="2"/>
  <c r="H4567" i="2"/>
  <c r="G4567" i="2"/>
  <c r="F4567" i="2"/>
  <c r="E4567" i="2"/>
  <c r="D4567" i="2"/>
  <c r="C4567" i="2"/>
  <c r="B4567" i="2"/>
  <c r="A4567" i="2"/>
  <c r="U4566" i="2"/>
  <c r="N4566" i="2"/>
  <c r="M4566" i="2"/>
  <c r="J4566" i="2"/>
  <c r="I4566" i="2"/>
  <c r="H4566" i="2"/>
  <c r="G4566" i="2"/>
  <c r="F4566" i="2"/>
  <c r="E4566" i="2"/>
  <c r="D4566" i="2"/>
  <c r="C4566" i="2"/>
  <c r="B4566" i="2"/>
  <c r="A4566" i="2"/>
  <c r="Q4565" i="2"/>
  <c r="U4565" i="2" s="1"/>
  <c r="N4565" i="2"/>
  <c r="M4565" i="2"/>
  <c r="J4565" i="2"/>
  <c r="I4565" i="2"/>
  <c r="H4565" i="2"/>
  <c r="G4565" i="2"/>
  <c r="F4565" i="2"/>
  <c r="E4565" i="2"/>
  <c r="D4565" i="2"/>
  <c r="C4565" i="2"/>
  <c r="B4565" i="2"/>
  <c r="A4565" i="2"/>
  <c r="Q4564" i="2"/>
  <c r="U4564" i="2" s="1"/>
  <c r="N4564" i="2"/>
  <c r="M4564" i="2"/>
  <c r="J4564" i="2"/>
  <c r="I4564" i="2"/>
  <c r="H4564" i="2"/>
  <c r="G4564" i="2"/>
  <c r="F4564" i="2"/>
  <c r="E4564" i="2"/>
  <c r="D4564" i="2"/>
  <c r="C4564" i="2"/>
  <c r="B4564" i="2"/>
  <c r="A4564" i="2"/>
  <c r="U4563" i="2"/>
  <c r="N4563" i="2"/>
  <c r="M4563" i="2"/>
  <c r="J4563" i="2"/>
  <c r="I4563" i="2"/>
  <c r="H4563" i="2"/>
  <c r="G4563" i="2"/>
  <c r="F4563" i="2"/>
  <c r="E4563" i="2"/>
  <c r="D4563" i="2"/>
  <c r="C4563" i="2"/>
  <c r="B4563" i="2"/>
  <c r="A4563" i="2"/>
  <c r="U4562" i="2"/>
  <c r="N4562" i="2"/>
  <c r="M4562" i="2"/>
  <c r="J4562" i="2"/>
  <c r="I4562" i="2"/>
  <c r="H4562" i="2"/>
  <c r="G4562" i="2"/>
  <c r="F4562" i="2"/>
  <c r="E4562" i="2"/>
  <c r="D4562" i="2"/>
  <c r="C4562" i="2"/>
  <c r="B4562" i="2"/>
  <c r="A4562" i="2"/>
  <c r="U4561" i="2"/>
  <c r="N4561" i="2"/>
  <c r="M4561" i="2"/>
  <c r="J4561" i="2"/>
  <c r="I4561" i="2"/>
  <c r="H4561" i="2"/>
  <c r="G4561" i="2"/>
  <c r="F4561" i="2"/>
  <c r="E4561" i="2"/>
  <c r="D4561" i="2"/>
  <c r="C4561" i="2"/>
  <c r="B4561" i="2"/>
  <c r="A4561" i="2"/>
  <c r="U4560" i="2"/>
  <c r="N4560" i="2"/>
  <c r="M4560" i="2"/>
  <c r="J4560" i="2"/>
  <c r="I4560" i="2"/>
  <c r="H4560" i="2"/>
  <c r="G4560" i="2"/>
  <c r="F4560" i="2"/>
  <c r="E4560" i="2"/>
  <c r="D4560" i="2"/>
  <c r="C4560" i="2"/>
  <c r="B4560" i="2"/>
  <c r="A4560" i="2"/>
  <c r="U4559" i="2"/>
  <c r="N4559" i="2"/>
  <c r="M4559" i="2"/>
  <c r="J4559" i="2"/>
  <c r="I4559" i="2"/>
  <c r="H4559" i="2"/>
  <c r="G4559" i="2"/>
  <c r="F4559" i="2"/>
  <c r="E4559" i="2"/>
  <c r="D4559" i="2"/>
  <c r="C4559" i="2"/>
  <c r="B4559" i="2"/>
  <c r="A4559" i="2"/>
  <c r="Q4558" i="2"/>
  <c r="U4558" i="2" s="1"/>
  <c r="N4558" i="2"/>
  <c r="M4558" i="2"/>
  <c r="J4558" i="2"/>
  <c r="I4558" i="2"/>
  <c r="H4558" i="2"/>
  <c r="G4558" i="2"/>
  <c r="F4558" i="2"/>
  <c r="E4558" i="2"/>
  <c r="D4558" i="2"/>
  <c r="C4558" i="2"/>
  <c r="B4558" i="2"/>
  <c r="A4558" i="2"/>
  <c r="U4557" i="2"/>
  <c r="N4557" i="2"/>
  <c r="M4557" i="2"/>
  <c r="J4557" i="2"/>
  <c r="I4557" i="2"/>
  <c r="H4557" i="2"/>
  <c r="G4557" i="2"/>
  <c r="F4557" i="2"/>
  <c r="E4557" i="2"/>
  <c r="D4557" i="2"/>
  <c r="C4557" i="2"/>
  <c r="B4557" i="2"/>
  <c r="A4557" i="2"/>
  <c r="U4556" i="2"/>
  <c r="N4556" i="2"/>
  <c r="M4556" i="2"/>
  <c r="J4556" i="2"/>
  <c r="I4556" i="2"/>
  <c r="H4556" i="2"/>
  <c r="G4556" i="2"/>
  <c r="F4556" i="2"/>
  <c r="E4556" i="2"/>
  <c r="D4556" i="2"/>
  <c r="C4556" i="2"/>
  <c r="B4556" i="2"/>
  <c r="A4556" i="2"/>
  <c r="U4555" i="2"/>
  <c r="N4555" i="2"/>
  <c r="M4555" i="2"/>
  <c r="J4555" i="2"/>
  <c r="I4555" i="2"/>
  <c r="H4555" i="2"/>
  <c r="G4555" i="2"/>
  <c r="F4555" i="2"/>
  <c r="E4555" i="2"/>
  <c r="D4555" i="2"/>
  <c r="C4555" i="2"/>
  <c r="B4555" i="2"/>
  <c r="A4555" i="2"/>
  <c r="U4554" i="2"/>
  <c r="N4554" i="2"/>
  <c r="M4554" i="2"/>
  <c r="J4554" i="2"/>
  <c r="I4554" i="2"/>
  <c r="H4554" i="2"/>
  <c r="G4554" i="2"/>
  <c r="F4554" i="2"/>
  <c r="E4554" i="2"/>
  <c r="D4554" i="2"/>
  <c r="C4554" i="2"/>
  <c r="B4554" i="2"/>
  <c r="A4554" i="2"/>
  <c r="U4553" i="2"/>
  <c r="N4553" i="2"/>
  <c r="M4553" i="2"/>
  <c r="J4553" i="2"/>
  <c r="I4553" i="2"/>
  <c r="H4553" i="2"/>
  <c r="G4553" i="2"/>
  <c r="F4553" i="2"/>
  <c r="E4553" i="2"/>
  <c r="D4553" i="2"/>
  <c r="C4553" i="2"/>
  <c r="B4553" i="2"/>
  <c r="A4553" i="2"/>
  <c r="U4552" i="2"/>
  <c r="N4552" i="2"/>
  <c r="M4552" i="2"/>
  <c r="J4552" i="2"/>
  <c r="I4552" i="2"/>
  <c r="H4552" i="2"/>
  <c r="G4552" i="2"/>
  <c r="F4552" i="2"/>
  <c r="E4552" i="2"/>
  <c r="D4552" i="2"/>
  <c r="C4552" i="2"/>
  <c r="B4552" i="2"/>
  <c r="A4552" i="2"/>
  <c r="U4551" i="2"/>
  <c r="N4551" i="2"/>
  <c r="M4551" i="2"/>
  <c r="J4551" i="2"/>
  <c r="I4551" i="2"/>
  <c r="H4551" i="2"/>
  <c r="G4551" i="2"/>
  <c r="F4551" i="2"/>
  <c r="E4551" i="2"/>
  <c r="D4551" i="2"/>
  <c r="C4551" i="2"/>
  <c r="B4551" i="2"/>
  <c r="A4551" i="2"/>
  <c r="U4550" i="2"/>
  <c r="N4550" i="2"/>
  <c r="M4550" i="2"/>
  <c r="J4550" i="2"/>
  <c r="I4550" i="2"/>
  <c r="H4550" i="2"/>
  <c r="G4550" i="2"/>
  <c r="F4550" i="2"/>
  <c r="E4550" i="2"/>
  <c r="D4550" i="2"/>
  <c r="C4550" i="2"/>
  <c r="B4550" i="2"/>
  <c r="A4550" i="2"/>
  <c r="U4549" i="2"/>
  <c r="N4549" i="2"/>
  <c r="M4549" i="2"/>
  <c r="J4549" i="2"/>
  <c r="I4549" i="2"/>
  <c r="H4549" i="2"/>
  <c r="G4549" i="2"/>
  <c r="F4549" i="2"/>
  <c r="E4549" i="2"/>
  <c r="D4549" i="2"/>
  <c r="C4549" i="2"/>
  <c r="B4549" i="2"/>
  <c r="A4549" i="2"/>
  <c r="U4548" i="2"/>
  <c r="N4548" i="2"/>
  <c r="M4548" i="2"/>
  <c r="J4548" i="2"/>
  <c r="I4548" i="2"/>
  <c r="H4548" i="2"/>
  <c r="G4548" i="2"/>
  <c r="F4548" i="2"/>
  <c r="E4548" i="2"/>
  <c r="D4548" i="2"/>
  <c r="C4548" i="2"/>
  <c r="B4548" i="2"/>
  <c r="A4548" i="2"/>
  <c r="U4547" i="2"/>
  <c r="N4547" i="2"/>
  <c r="M4547" i="2"/>
  <c r="J4547" i="2"/>
  <c r="I4547" i="2"/>
  <c r="H4547" i="2"/>
  <c r="G4547" i="2"/>
  <c r="F4547" i="2"/>
  <c r="E4547" i="2"/>
  <c r="D4547" i="2"/>
  <c r="C4547" i="2"/>
  <c r="B4547" i="2"/>
  <c r="A4547" i="2"/>
  <c r="U4546" i="2"/>
  <c r="N4546" i="2"/>
  <c r="M4546" i="2"/>
  <c r="J4546" i="2"/>
  <c r="I4546" i="2"/>
  <c r="H4546" i="2"/>
  <c r="G4546" i="2"/>
  <c r="F4546" i="2"/>
  <c r="E4546" i="2"/>
  <c r="D4546" i="2"/>
  <c r="C4546" i="2"/>
  <c r="B4546" i="2"/>
  <c r="A4546" i="2"/>
  <c r="U4545" i="2"/>
  <c r="N4545" i="2"/>
  <c r="M4545" i="2"/>
  <c r="J4545" i="2"/>
  <c r="I4545" i="2"/>
  <c r="H4545" i="2"/>
  <c r="G4545" i="2"/>
  <c r="F4545" i="2"/>
  <c r="E4545" i="2"/>
  <c r="D4545" i="2"/>
  <c r="C4545" i="2"/>
  <c r="B4545" i="2"/>
  <c r="A4545" i="2"/>
  <c r="U4544" i="2"/>
  <c r="N4544" i="2"/>
  <c r="M4544" i="2"/>
  <c r="J4544" i="2"/>
  <c r="I4544" i="2"/>
  <c r="H4544" i="2"/>
  <c r="G4544" i="2"/>
  <c r="F4544" i="2"/>
  <c r="E4544" i="2"/>
  <c r="D4544" i="2"/>
  <c r="C4544" i="2"/>
  <c r="B4544" i="2"/>
  <c r="A4544" i="2"/>
  <c r="U4543" i="2"/>
  <c r="N4543" i="2"/>
  <c r="M4543" i="2"/>
  <c r="J4543" i="2"/>
  <c r="I4543" i="2"/>
  <c r="H4543" i="2"/>
  <c r="G4543" i="2"/>
  <c r="F4543" i="2"/>
  <c r="E4543" i="2"/>
  <c r="D4543" i="2"/>
  <c r="C4543" i="2"/>
  <c r="B4543" i="2"/>
  <c r="A4543" i="2"/>
  <c r="U4542" i="2"/>
  <c r="N4542" i="2"/>
  <c r="M4542" i="2"/>
  <c r="J4542" i="2"/>
  <c r="I4542" i="2"/>
  <c r="H4542" i="2"/>
  <c r="G4542" i="2"/>
  <c r="F4542" i="2"/>
  <c r="E4542" i="2"/>
  <c r="D4542" i="2"/>
  <c r="C4542" i="2"/>
  <c r="B4542" i="2"/>
  <c r="A4542" i="2"/>
  <c r="U4541" i="2"/>
  <c r="N4541" i="2"/>
  <c r="M4541" i="2"/>
  <c r="J4541" i="2"/>
  <c r="I4541" i="2"/>
  <c r="H4541" i="2"/>
  <c r="G4541" i="2"/>
  <c r="F4541" i="2"/>
  <c r="E4541" i="2"/>
  <c r="D4541" i="2"/>
  <c r="C4541" i="2"/>
  <c r="B4541" i="2"/>
  <c r="A4541" i="2"/>
  <c r="U4540" i="2"/>
  <c r="N4540" i="2"/>
  <c r="M4540" i="2"/>
  <c r="J4540" i="2"/>
  <c r="I4540" i="2"/>
  <c r="H4540" i="2"/>
  <c r="G4540" i="2"/>
  <c r="F4540" i="2"/>
  <c r="E4540" i="2"/>
  <c r="D4540" i="2"/>
  <c r="C4540" i="2"/>
  <c r="B4540" i="2"/>
  <c r="A4540" i="2"/>
  <c r="U4539" i="2"/>
  <c r="N4539" i="2"/>
  <c r="M4539" i="2"/>
  <c r="J4539" i="2"/>
  <c r="I4539" i="2"/>
  <c r="H4539" i="2"/>
  <c r="G4539" i="2"/>
  <c r="F4539" i="2"/>
  <c r="E4539" i="2"/>
  <c r="D4539" i="2"/>
  <c r="C4539" i="2"/>
  <c r="B4539" i="2"/>
  <c r="A4539" i="2"/>
  <c r="R4538" i="2"/>
  <c r="Q4538" i="2"/>
  <c r="N4538" i="2"/>
  <c r="M4538" i="2"/>
  <c r="J4538" i="2"/>
  <c r="I4538" i="2"/>
  <c r="H4538" i="2"/>
  <c r="G4538" i="2"/>
  <c r="F4538" i="2"/>
  <c r="E4538" i="2"/>
  <c r="D4538" i="2"/>
  <c r="C4538" i="2"/>
  <c r="B4538" i="2"/>
  <c r="A4538" i="2"/>
  <c r="R4537" i="2"/>
  <c r="U4537" i="2" s="1"/>
  <c r="Q4537" i="2"/>
  <c r="N4537" i="2"/>
  <c r="M4537" i="2"/>
  <c r="J4537" i="2"/>
  <c r="I4537" i="2"/>
  <c r="H4537" i="2"/>
  <c r="G4537" i="2"/>
  <c r="F4537" i="2"/>
  <c r="E4537" i="2"/>
  <c r="D4537" i="2"/>
  <c r="C4537" i="2"/>
  <c r="B4537" i="2"/>
  <c r="A4537" i="2"/>
  <c r="Q4536" i="2"/>
  <c r="U4536" i="2" s="1"/>
  <c r="N4536" i="2"/>
  <c r="M4536" i="2"/>
  <c r="J4536" i="2"/>
  <c r="I4536" i="2"/>
  <c r="H4536" i="2"/>
  <c r="G4536" i="2"/>
  <c r="F4536" i="2"/>
  <c r="E4536" i="2"/>
  <c r="D4536" i="2"/>
  <c r="C4536" i="2"/>
  <c r="B4536" i="2"/>
  <c r="A4536" i="2"/>
  <c r="R4535" i="2"/>
  <c r="U4535" i="2" s="1"/>
  <c r="Q4535" i="2"/>
  <c r="N4535" i="2"/>
  <c r="M4535" i="2"/>
  <c r="J4535" i="2"/>
  <c r="I4535" i="2"/>
  <c r="H4535" i="2"/>
  <c r="G4535" i="2"/>
  <c r="F4535" i="2"/>
  <c r="E4535" i="2"/>
  <c r="D4535" i="2"/>
  <c r="C4535" i="2"/>
  <c r="B4535" i="2"/>
  <c r="A4535" i="2"/>
  <c r="Q4534" i="2"/>
  <c r="U4534" i="2" s="1"/>
  <c r="N4534" i="2"/>
  <c r="M4534" i="2"/>
  <c r="J4534" i="2"/>
  <c r="I4534" i="2"/>
  <c r="H4534" i="2"/>
  <c r="G4534" i="2"/>
  <c r="F4534" i="2"/>
  <c r="E4534" i="2"/>
  <c r="D4534" i="2"/>
  <c r="C4534" i="2"/>
  <c r="B4534" i="2"/>
  <c r="A4534" i="2"/>
  <c r="Q4533" i="2"/>
  <c r="U4533" i="2" s="1"/>
  <c r="N4533" i="2"/>
  <c r="M4533" i="2"/>
  <c r="J4533" i="2"/>
  <c r="I4533" i="2"/>
  <c r="H4533" i="2"/>
  <c r="G4533" i="2"/>
  <c r="F4533" i="2"/>
  <c r="E4533" i="2"/>
  <c r="D4533" i="2"/>
  <c r="C4533" i="2"/>
  <c r="B4533" i="2"/>
  <c r="A4533" i="2"/>
  <c r="R4532" i="2"/>
  <c r="Q4532" i="2"/>
  <c r="N4532" i="2"/>
  <c r="M4532" i="2"/>
  <c r="J4532" i="2"/>
  <c r="I4532" i="2"/>
  <c r="H4532" i="2"/>
  <c r="G4532" i="2"/>
  <c r="F4532" i="2"/>
  <c r="E4532" i="2"/>
  <c r="D4532" i="2"/>
  <c r="C4532" i="2"/>
  <c r="B4532" i="2"/>
  <c r="A4532" i="2"/>
  <c r="Q4531" i="2"/>
  <c r="U4531" i="2" s="1"/>
  <c r="N4531" i="2"/>
  <c r="M4531" i="2"/>
  <c r="J4531" i="2"/>
  <c r="I4531" i="2"/>
  <c r="H4531" i="2"/>
  <c r="G4531" i="2"/>
  <c r="F4531" i="2"/>
  <c r="E4531" i="2"/>
  <c r="D4531" i="2"/>
  <c r="C4531" i="2"/>
  <c r="B4531" i="2"/>
  <c r="A4531" i="2"/>
  <c r="Q4530" i="2"/>
  <c r="U4530" i="2" s="1"/>
  <c r="N4530" i="2"/>
  <c r="M4530" i="2"/>
  <c r="J4530" i="2"/>
  <c r="I4530" i="2"/>
  <c r="H4530" i="2"/>
  <c r="G4530" i="2"/>
  <c r="F4530" i="2"/>
  <c r="E4530" i="2"/>
  <c r="D4530" i="2"/>
  <c r="C4530" i="2"/>
  <c r="B4530" i="2"/>
  <c r="A4530" i="2"/>
  <c r="Q4529" i="2"/>
  <c r="U4529" i="2" s="1"/>
  <c r="N4529" i="2"/>
  <c r="M4529" i="2"/>
  <c r="J4529" i="2"/>
  <c r="I4529" i="2"/>
  <c r="H4529" i="2"/>
  <c r="G4529" i="2"/>
  <c r="F4529" i="2"/>
  <c r="E4529" i="2"/>
  <c r="D4529" i="2"/>
  <c r="C4529" i="2"/>
  <c r="B4529" i="2"/>
  <c r="A4529" i="2"/>
  <c r="U4528" i="2"/>
  <c r="N4528" i="2"/>
  <c r="M4528" i="2"/>
  <c r="J4528" i="2"/>
  <c r="I4528" i="2"/>
  <c r="H4528" i="2"/>
  <c r="G4528" i="2"/>
  <c r="F4528" i="2"/>
  <c r="E4528" i="2"/>
  <c r="D4528" i="2"/>
  <c r="C4528" i="2"/>
  <c r="B4528" i="2"/>
  <c r="A4528" i="2"/>
  <c r="Q4527" i="2"/>
  <c r="U4527" i="2" s="1"/>
  <c r="N4527" i="2"/>
  <c r="M4527" i="2"/>
  <c r="J4527" i="2"/>
  <c r="I4527" i="2"/>
  <c r="H4527" i="2"/>
  <c r="G4527" i="2"/>
  <c r="F4527" i="2"/>
  <c r="E4527" i="2"/>
  <c r="D4527" i="2"/>
  <c r="C4527" i="2"/>
  <c r="B4527" i="2"/>
  <c r="A4527" i="2"/>
  <c r="Q4526" i="2"/>
  <c r="U4526" i="2" s="1"/>
  <c r="N4526" i="2"/>
  <c r="M4526" i="2"/>
  <c r="J4526" i="2"/>
  <c r="I4526" i="2"/>
  <c r="H4526" i="2"/>
  <c r="G4526" i="2"/>
  <c r="F4526" i="2"/>
  <c r="E4526" i="2"/>
  <c r="D4526" i="2"/>
  <c r="C4526" i="2"/>
  <c r="B4526" i="2"/>
  <c r="A4526" i="2"/>
  <c r="Q4525" i="2"/>
  <c r="U4525" i="2" s="1"/>
  <c r="N4525" i="2"/>
  <c r="M4525" i="2"/>
  <c r="J4525" i="2"/>
  <c r="I4525" i="2"/>
  <c r="H4525" i="2"/>
  <c r="G4525" i="2"/>
  <c r="F4525" i="2"/>
  <c r="E4525" i="2"/>
  <c r="D4525" i="2"/>
  <c r="C4525" i="2"/>
  <c r="B4525" i="2"/>
  <c r="A4525" i="2"/>
  <c r="Q4524" i="2"/>
  <c r="U4524" i="2" s="1"/>
  <c r="N4524" i="2"/>
  <c r="M4524" i="2"/>
  <c r="J4524" i="2"/>
  <c r="I4524" i="2"/>
  <c r="H4524" i="2"/>
  <c r="G4524" i="2"/>
  <c r="F4524" i="2"/>
  <c r="E4524" i="2"/>
  <c r="D4524" i="2"/>
  <c r="C4524" i="2"/>
  <c r="B4524" i="2"/>
  <c r="A4524" i="2"/>
  <c r="R4523" i="2"/>
  <c r="U4523" i="2" s="1"/>
  <c r="Q4523" i="2"/>
  <c r="N4523" i="2"/>
  <c r="M4523" i="2"/>
  <c r="J4523" i="2"/>
  <c r="I4523" i="2"/>
  <c r="H4523" i="2"/>
  <c r="G4523" i="2"/>
  <c r="F4523" i="2"/>
  <c r="E4523" i="2"/>
  <c r="D4523" i="2"/>
  <c r="C4523" i="2"/>
  <c r="B4523" i="2"/>
  <c r="A4523" i="2"/>
  <c r="Q4522" i="2"/>
  <c r="U4522" i="2" s="1"/>
  <c r="N4522" i="2"/>
  <c r="M4522" i="2"/>
  <c r="J4522" i="2"/>
  <c r="I4522" i="2"/>
  <c r="H4522" i="2"/>
  <c r="G4522" i="2"/>
  <c r="F4522" i="2"/>
  <c r="E4522" i="2"/>
  <c r="D4522" i="2"/>
  <c r="C4522" i="2"/>
  <c r="B4522" i="2"/>
  <c r="A4522" i="2"/>
  <c r="Q4521" i="2"/>
  <c r="U4521" i="2" s="1"/>
  <c r="N4521" i="2"/>
  <c r="M4521" i="2"/>
  <c r="J4521" i="2"/>
  <c r="I4521" i="2"/>
  <c r="H4521" i="2"/>
  <c r="G4521" i="2"/>
  <c r="F4521" i="2"/>
  <c r="E4521" i="2"/>
  <c r="D4521" i="2"/>
  <c r="C4521" i="2"/>
  <c r="B4521" i="2"/>
  <c r="A4521" i="2"/>
  <c r="Q4520" i="2"/>
  <c r="U4520" i="2" s="1"/>
  <c r="N4520" i="2"/>
  <c r="M4520" i="2"/>
  <c r="J4520" i="2"/>
  <c r="I4520" i="2"/>
  <c r="H4520" i="2"/>
  <c r="G4520" i="2"/>
  <c r="F4520" i="2"/>
  <c r="E4520" i="2"/>
  <c r="D4520" i="2"/>
  <c r="C4520" i="2"/>
  <c r="B4520" i="2"/>
  <c r="A4520" i="2"/>
  <c r="R4519" i="2"/>
  <c r="U4519" i="2" s="1"/>
  <c r="Q4519" i="2"/>
  <c r="N4519" i="2"/>
  <c r="M4519" i="2"/>
  <c r="J4519" i="2"/>
  <c r="I4519" i="2"/>
  <c r="H4519" i="2"/>
  <c r="G4519" i="2"/>
  <c r="F4519" i="2"/>
  <c r="E4519" i="2"/>
  <c r="D4519" i="2"/>
  <c r="C4519" i="2"/>
  <c r="B4519" i="2"/>
  <c r="A4519" i="2"/>
  <c r="R4518" i="2"/>
  <c r="Q4518" i="2"/>
  <c r="N4518" i="2"/>
  <c r="M4518" i="2"/>
  <c r="J4518" i="2"/>
  <c r="I4518" i="2"/>
  <c r="H4518" i="2"/>
  <c r="G4518" i="2"/>
  <c r="F4518" i="2"/>
  <c r="E4518" i="2"/>
  <c r="D4518" i="2"/>
  <c r="C4518" i="2"/>
  <c r="B4518" i="2"/>
  <c r="A4518" i="2"/>
  <c r="U4517" i="2"/>
  <c r="N4517" i="2"/>
  <c r="M4517" i="2"/>
  <c r="J4517" i="2"/>
  <c r="I4517" i="2"/>
  <c r="H4517" i="2"/>
  <c r="G4517" i="2"/>
  <c r="F4517" i="2"/>
  <c r="E4517" i="2"/>
  <c r="D4517" i="2"/>
  <c r="C4517" i="2"/>
  <c r="B4517" i="2"/>
  <c r="A4517" i="2"/>
  <c r="U4516" i="2"/>
  <c r="N4516" i="2"/>
  <c r="M4516" i="2"/>
  <c r="J4516" i="2"/>
  <c r="I4516" i="2"/>
  <c r="H4516" i="2"/>
  <c r="G4516" i="2"/>
  <c r="F4516" i="2"/>
  <c r="E4516" i="2"/>
  <c r="D4516" i="2"/>
  <c r="C4516" i="2"/>
  <c r="B4516" i="2"/>
  <c r="A4516" i="2"/>
  <c r="U4515" i="2"/>
  <c r="N4515" i="2"/>
  <c r="M4515" i="2"/>
  <c r="J4515" i="2"/>
  <c r="I4515" i="2"/>
  <c r="H4515" i="2"/>
  <c r="G4515" i="2"/>
  <c r="F4515" i="2"/>
  <c r="E4515" i="2"/>
  <c r="D4515" i="2"/>
  <c r="C4515" i="2"/>
  <c r="B4515" i="2"/>
  <c r="A4515" i="2"/>
  <c r="U4514" i="2"/>
  <c r="N4514" i="2"/>
  <c r="M4514" i="2"/>
  <c r="J4514" i="2"/>
  <c r="I4514" i="2"/>
  <c r="H4514" i="2"/>
  <c r="G4514" i="2"/>
  <c r="F4514" i="2"/>
  <c r="E4514" i="2"/>
  <c r="D4514" i="2"/>
  <c r="C4514" i="2"/>
  <c r="B4514" i="2"/>
  <c r="A4514" i="2"/>
  <c r="Q4513" i="2"/>
  <c r="U4513" i="2" s="1"/>
  <c r="N4513" i="2"/>
  <c r="M4513" i="2"/>
  <c r="J4513" i="2"/>
  <c r="I4513" i="2"/>
  <c r="H4513" i="2"/>
  <c r="G4513" i="2"/>
  <c r="F4513" i="2"/>
  <c r="E4513" i="2"/>
  <c r="D4513" i="2"/>
  <c r="C4513" i="2"/>
  <c r="B4513" i="2"/>
  <c r="A4513" i="2"/>
  <c r="U4512" i="2"/>
  <c r="N4512" i="2"/>
  <c r="M4512" i="2"/>
  <c r="J4512" i="2"/>
  <c r="I4512" i="2"/>
  <c r="H4512" i="2"/>
  <c r="G4512" i="2"/>
  <c r="F4512" i="2"/>
  <c r="E4512" i="2"/>
  <c r="D4512" i="2"/>
  <c r="C4512" i="2"/>
  <c r="B4512" i="2"/>
  <c r="A4512" i="2"/>
  <c r="U4511" i="2"/>
  <c r="N4511" i="2"/>
  <c r="M4511" i="2"/>
  <c r="J4511" i="2"/>
  <c r="I4511" i="2"/>
  <c r="H4511" i="2"/>
  <c r="G4511" i="2"/>
  <c r="F4511" i="2"/>
  <c r="E4511" i="2"/>
  <c r="D4511" i="2"/>
  <c r="C4511" i="2"/>
  <c r="B4511" i="2"/>
  <c r="A4511" i="2"/>
  <c r="U4510" i="2"/>
  <c r="N4510" i="2"/>
  <c r="M4510" i="2"/>
  <c r="J4510" i="2"/>
  <c r="I4510" i="2"/>
  <c r="H4510" i="2"/>
  <c r="G4510" i="2"/>
  <c r="F4510" i="2"/>
  <c r="E4510" i="2"/>
  <c r="D4510" i="2"/>
  <c r="C4510" i="2"/>
  <c r="B4510" i="2"/>
  <c r="A4510" i="2"/>
  <c r="U4509" i="2"/>
  <c r="N4509" i="2"/>
  <c r="M4509" i="2"/>
  <c r="J4509" i="2"/>
  <c r="I4509" i="2"/>
  <c r="H4509" i="2"/>
  <c r="G4509" i="2"/>
  <c r="F4509" i="2"/>
  <c r="E4509" i="2"/>
  <c r="D4509" i="2"/>
  <c r="C4509" i="2"/>
  <c r="B4509" i="2"/>
  <c r="A4509" i="2"/>
  <c r="U4508" i="2"/>
  <c r="N4508" i="2"/>
  <c r="M4508" i="2"/>
  <c r="J4508" i="2"/>
  <c r="I4508" i="2"/>
  <c r="H4508" i="2"/>
  <c r="G4508" i="2"/>
  <c r="F4508" i="2"/>
  <c r="E4508" i="2"/>
  <c r="D4508" i="2"/>
  <c r="C4508" i="2"/>
  <c r="B4508" i="2"/>
  <c r="A4508" i="2"/>
  <c r="U4507" i="2"/>
  <c r="N4507" i="2"/>
  <c r="M4507" i="2"/>
  <c r="J4507" i="2"/>
  <c r="I4507" i="2"/>
  <c r="H4507" i="2"/>
  <c r="G4507" i="2"/>
  <c r="F4507" i="2"/>
  <c r="E4507" i="2"/>
  <c r="D4507" i="2"/>
  <c r="C4507" i="2"/>
  <c r="B4507" i="2"/>
  <c r="A4507" i="2"/>
  <c r="U4506" i="2"/>
  <c r="N4506" i="2"/>
  <c r="M4506" i="2"/>
  <c r="J4506" i="2"/>
  <c r="I4506" i="2"/>
  <c r="H4506" i="2"/>
  <c r="G4506" i="2"/>
  <c r="F4506" i="2"/>
  <c r="E4506" i="2"/>
  <c r="D4506" i="2"/>
  <c r="C4506" i="2"/>
  <c r="B4506" i="2"/>
  <c r="A4506" i="2"/>
  <c r="U4505" i="2"/>
  <c r="N4505" i="2"/>
  <c r="M4505" i="2"/>
  <c r="J4505" i="2"/>
  <c r="I4505" i="2"/>
  <c r="H4505" i="2"/>
  <c r="G4505" i="2"/>
  <c r="F4505" i="2"/>
  <c r="E4505" i="2"/>
  <c r="D4505" i="2"/>
  <c r="C4505" i="2"/>
  <c r="B4505" i="2"/>
  <c r="A4505" i="2"/>
  <c r="U4504" i="2"/>
  <c r="N4504" i="2"/>
  <c r="M4504" i="2"/>
  <c r="J4504" i="2"/>
  <c r="I4504" i="2"/>
  <c r="H4504" i="2"/>
  <c r="G4504" i="2"/>
  <c r="F4504" i="2"/>
  <c r="E4504" i="2"/>
  <c r="D4504" i="2"/>
  <c r="C4504" i="2"/>
  <c r="B4504" i="2"/>
  <c r="A4504" i="2"/>
  <c r="Q4503" i="2"/>
  <c r="U4503" i="2" s="1"/>
  <c r="N4503" i="2"/>
  <c r="M4503" i="2"/>
  <c r="J4503" i="2"/>
  <c r="I4503" i="2"/>
  <c r="H4503" i="2"/>
  <c r="G4503" i="2"/>
  <c r="F4503" i="2"/>
  <c r="E4503" i="2"/>
  <c r="D4503" i="2"/>
  <c r="C4503" i="2"/>
  <c r="B4503" i="2"/>
  <c r="A4503" i="2"/>
  <c r="Q4502" i="2"/>
  <c r="U4502" i="2" s="1"/>
  <c r="N4502" i="2"/>
  <c r="M4502" i="2"/>
  <c r="J4502" i="2"/>
  <c r="I4502" i="2"/>
  <c r="H4502" i="2"/>
  <c r="G4502" i="2"/>
  <c r="F4502" i="2"/>
  <c r="E4502" i="2"/>
  <c r="D4502" i="2"/>
  <c r="C4502" i="2"/>
  <c r="B4502" i="2"/>
  <c r="A4502" i="2"/>
  <c r="U4501" i="2"/>
  <c r="N4501" i="2"/>
  <c r="M4501" i="2"/>
  <c r="J4501" i="2"/>
  <c r="I4501" i="2"/>
  <c r="H4501" i="2"/>
  <c r="G4501" i="2"/>
  <c r="F4501" i="2"/>
  <c r="E4501" i="2"/>
  <c r="D4501" i="2"/>
  <c r="C4501" i="2"/>
  <c r="B4501" i="2"/>
  <c r="A4501" i="2"/>
  <c r="U4500" i="2"/>
  <c r="N4500" i="2"/>
  <c r="M4500" i="2"/>
  <c r="J4500" i="2"/>
  <c r="I4500" i="2"/>
  <c r="H4500" i="2"/>
  <c r="G4500" i="2"/>
  <c r="F4500" i="2"/>
  <c r="E4500" i="2"/>
  <c r="D4500" i="2"/>
  <c r="C4500" i="2"/>
  <c r="B4500" i="2"/>
  <c r="A4500" i="2"/>
  <c r="U4499" i="2"/>
  <c r="N4499" i="2"/>
  <c r="M4499" i="2"/>
  <c r="J4499" i="2"/>
  <c r="I4499" i="2"/>
  <c r="H4499" i="2"/>
  <c r="G4499" i="2"/>
  <c r="F4499" i="2"/>
  <c r="E4499" i="2"/>
  <c r="D4499" i="2"/>
  <c r="C4499" i="2"/>
  <c r="B4499" i="2"/>
  <c r="A4499" i="2"/>
  <c r="U4498" i="2"/>
  <c r="N4498" i="2"/>
  <c r="M4498" i="2"/>
  <c r="J4498" i="2"/>
  <c r="I4498" i="2"/>
  <c r="H4498" i="2"/>
  <c r="G4498" i="2"/>
  <c r="F4498" i="2"/>
  <c r="E4498" i="2"/>
  <c r="D4498" i="2"/>
  <c r="C4498" i="2"/>
  <c r="B4498" i="2"/>
  <c r="A4498" i="2"/>
  <c r="U4497" i="2"/>
  <c r="N4497" i="2"/>
  <c r="M4497" i="2"/>
  <c r="J4497" i="2"/>
  <c r="I4497" i="2"/>
  <c r="H4497" i="2"/>
  <c r="G4497" i="2"/>
  <c r="F4497" i="2"/>
  <c r="E4497" i="2"/>
  <c r="D4497" i="2"/>
  <c r="C4497" i="2"/>
  <c r="B4497" i="2"/>
  <c r="A4497" i="2"/>
  <c r="U4496" i="2"/>
  <c r="N4496" i="2"/>
  <c r="M4496" i="2"/>
  <c r="J4496" i="2"/>
  <c r="I4496" i="2"/>
  <c r="H4496" i="2"/>
  <c r="G4496" i="2"/>
  <c r="F4496" i="2"/>
  <c r="E4496" i="2"/>
  <c r="D4496" i="2"/>
  <c r="C4496" i="2"/>
  <c r="B4496" i="2"/>
  <c r="A4496" i="2"/>
  <c r="U4495" i="2"/>
  <c r="N4495" i="2"/>
  <c r="M4495" i="2"/>
  <c r="J4495" i="2"/>
  <c r="I4495" i="2"/>
  <c r="H4495" i="2"/>
  <c r="G4495" i="2"/>
  <c r="F4495" i="2"/>
  <c r="E4495" i="2"/>
  <c r="D4495" i="2"/>
  <c r="C4495" i="2"/>
  <c r="B4495" i="2"/>
  <c r="A4495" i="2"/>
  <c r="U4494" i="2"/>
  <c r="N4494" i="2"/>
  <c r="M4494" i="2"/>
  <c r="J4494" i="2"/>
  <c r="I4494" i="2"/>
  <c r="H4494" i="2"/>
  <c r="G4494" i="2"/>
  <c r="F4494" i="2"/>
  <c r="E4494" i="2"/>
  <c r="D4494" i="2"/>
  <c r="C4494" i="2"/>
  <c r="B4494" i="2"/>
  <c r="A4494" i="2"/>
  <c r="Q4493" i="2"/>
  <c r="U4493" i="2" s="1"/>
  <c r="N4493" i="2"/>
  <c r="M4493" i="2"/>
  <c r="J4493" i="2"/>
  <c r="I4493" i="2"/>
  <c r="H4493" i="2"/>
  <c r="G4493" i="2"/>
  <c r="F4493" i="2"/>
  <c r="E4493" i="2"/>
  <c r="D4493" i="2"/>
  <c r="C4493" i="2"/>
  <c r="B4493" i="2"/>
  <c r="A4493" i="2"/>
  <c r="U4492" i="2"/>
  <c r="N4492" i="2"/>
  <c r="M4492" i="2"/>
  <c r="J4492" i="2"/>
  <c r="I4492" i="2"/>
  <c r="H4492" i="2"/>
  <c r="G4492" i="2"/>
  <c r="F4492" i="2"/>
  <c r="E4492" i="2"/>
  <c r="D4492" i="2"/>
  <c r="C4492" i="2"/>
  <c r="B4492" i="2"/>
  <c r="A4492" i="2"/>
  <c r="Q4491" i="2"/>
  <c r="U4491" i="2" s="1"/>
  <c r="N4491" i="2"/>
  <c r="M4491" i="2"/>
  <c r="J4491" i="2"/>
  <c r="I4491" i="2"/>
  <c r="H4491" i="2"/>
  <c r="G4491" i="2"/>
  <c r="F4491" i="2"/>
  <c r="E4491" i="2"/>
  <c r="D4491" i="2"/>
  <c r="C4491" i="2"/>
  <c r="B4491" i="2"/>
  <c r="A4491" i="2"/>
  <c r="U4490" i="2"/>
  <c r="N4490" i="2"/>
  <c r="M4490" i="2"/>
  <c r="J4490" i="2"/>
  <c r="I4490" i="2"/>
  <c r="H4490" i="2"/>
  <c r="G4490" i="2"/>
  <c r="F4490" i="2"/>
  <c r="E4490" i="2"/>
  <c r="D4490" i="2"/>
  <c r="C4490" i="2"/>
  <c r="B4490" i="2"/>
  <c r="A4490" i="2"/>
  <c r="Q4489" i="2"/>
  <c r="U4489" i="2" s="1"/>
  <c r="N4489" i="2"/>
  <c r="M4489" i="2"/>
  <c r="J4489" i="2"/>
  <c r="I4489" i="2"/>
  <c r="H4489" i="2"/>
  <c r="G4489" i="2"/>
  <c r="F4489" i="2"/>
  <c r="E4489" i="2"/>
  <c r="D4489" i="2"/>
  <c r="C4489" i="2"/>
  <c r="B4489" i="2"/>
  <c r="A4489" i="2"/>
  <c r="U4488" i="2"/>
  <c r="N4488" i="2"/>
  <c r="M4488" i="2"/>
  <c r="J4488" i="2"/>
  <c r="I4488" i="2"/>
  <c r="H4488" i="2"/>
  <c r="G4488" i="2"/>
  <c r="F4488" i="2"/>
  <c r="E4488" i="2"/>
  <c r="D4488" i="2"/>
  <c r="C4488" i="2"/>
  <c r="B4488" i="2"/>
  <c r="A4488" i="2"/>
  <c r="U4487" i="2"/>
  <c r="N4487" i="2"/>
  <c r="M4487" i="2"/>
  <c r="J4487" i="2"/>
  <c r="I4487" i="2"/>
  <c r="H4487" i="2"/>
  <c r="G4487" i="2"/>
  <c r="F4487" i="2"/>
  <c r="E4487" i="2"/>
  <c r="D4487" i="2"/>
  <c r="C4487" i="2"/>
  <c r="B4487" i="2"/>
  <c r="A4487" i="2"/>
  <c r="U4486" i="2"/>
  <c r="N4486" i="2"/>
  <c r="M4486" i="2"/>
  <c r="J4486" i="2"/>
  <c r="I4486" i="2"/>
  <c r="H4486" i="2"/>
  <c r="G4486" i="2"/>
  <c r="F4486" i="2"/>
  <c r="E4486" i="2"/>
  <c r="D4486" i="2"/>
  <c r="C4486" i="2"/>
  <c r="B4486" i="2"/>
  <c r="A4486" i="2"/>
  <c r="U4485" i="2"/>
  <c r="N4485" i="2"/>
  <c r="M4485" i="2"/>
  <c r="J4485" i="2"/>
  <c r="I4485" i="2"/>
  <c r="H4485" i="2"/>
  <c r="G4485" i="2"/>
  <c r="F4485" i="2"/>
  <c r="E4485" i="2"/>
  <c r="D4485" i="2"/>
  <c r="C4485" i="2"/>
  <c r="B4485" i="2"/>
  <c r="A4485" i="2"/>
  <c r="U4484" i="2"/>
  <c r="N4484" i="2"/>
  <c r="M4484" i="2"/>
  <c r="J4484" i="2"/>
  <c r="I4484" i="2"/>
  <c r="H4484" i="2"/>
  <c r="G4484" i="2"/>
  <c r="F4484" i="2"/>
  <c r="E4484" i="2"/>
  <c r="D4484" i="2"/>
  <c r="C4484" i="2"/>
  <c r="B4484" i="2"/>
  <c r="A4484" i="2"/>
  <c r="U4483" i="2"/>
  <c r="N4483" i="2"/>
  <c r="M4483" i="2"/>
  <c r="J4483" i="2"/>
  <c r="I4483" i="2"/>
  <c r="H4483" i="2"/>
  <c r="G4483" i="2"/>
  <c r="F4483" i="2"/>
  <c r="E4483" i="2"/>
  <c r="D4483" i="2"/>
  <c r="C4483" i="2"/>
  <c r="B4483" i="2"/>
  <c r="A4483" i="2"/>
  <c r="U4482" i="2"/>
  <c r="N4482" i="2"/>
  <c r="M4482" i="2"/>
  <c r="J4482" i="2"/>
  <c r="I4482" i="2"/>
  <c r="H4482" i="2"/>
  <c r="G4482" i="2"/>
  <c r="F4482" i="2"/>
  <c r="E4482" i="2"/>
  <c r="D4482" i="2"/>
  <c r="C4482" i="2"/>
  <c r="B4482" i="2"/>
  <c r="A4482" i="2"/>
  <c r="U4481" i="2"/>
  <c r="N4481" i="2"/>
  <c r="M4481" i="2"/>
  <c r="J4481" i="2"/>
  <c r="I4481" i="2"/>
  <c r="H4481" i="2"/>
  <c r="G4481" i="2"/>
  <c r="F4481" i="2"/>
  <c r="E4481" i="2"/>
  <c r="D4481" i="2"/>
  <c r="C4481" i="2"/>
  <c r="B4481" i="2"/>
  <c r="A4481" i="2"/>
  <c r="U4480" i="2"/>
  <c r="N4480" i="2"/>
  <c r="M4480" i="2"/>
  <c r="J4480" i="2"/>
  <c r="I4480" i="2"/>
  <c r="H4480" i="2"/>
  <c r="G4480" i="2"/>
  <c r="F4480" i="2"/>
  <c r="E4480" i="2"/>
  <c r="D4480" i="2"/>
  <c r="C4480" i="2"/>
  <c r="B4480" i="2"/>
  <c r="A4480" i="2"/>
  <c r="U4479" i="2"/>
  <c r="N4479" i="2"/>
  <c r="M4479" i="2"/>
  <c r="J4479" i="2"/>
  <c r="I4479" i="2"/>
  <c r="H4479" i="2"/>
  <c r="G4479" i="2"/>
  <c r="F4479" i="2"/>
  <c r="E4479" i="2"/>
  <c r="D4479" i="2"/>
  <c r="C4479" i="2"/>
  <c r="B4479" i="2"/>
  <c r="A4479" i="2"/>
  <c r="U4478" i="2"/>
  <c r="N4478" i="2"/>
  <c r="M4478" i="2"/>
  <c r="J4478" i="2"/>
  <c r="I4478" i="2"/>
  <c r="H4478" i="2"/>
  <c r="G4478" i="2"/>
  <c r="F4478" i="2"/>
  <c r="E4478" i="2"/>
  <c r="D4478" i="2"/>
  <c r="C4478" i="2"/>
  <c r="B4478" i="2"/>
  <c r="A4478" i="2"/>
  <c r="U4477" i="2"/>
  <c r="N4477" i="2"/>
  <c r="M4477" i="2"/>
  <c r="J4477" i="2"/>
  <c r="I4477" i="2"/>
  <c r="H4477" i="2"/>
  <c r="G4477" i="2"/>
  <c r="F4477" i="2"/>
  <c r="E4477" i="2"/>
  <c r="D4477" i="2"/>
  <c r="C4477" i="2"/>
  <c r="B4477" i="2"/>
  <c r="A4477" i="2"/>
  <c r="U4476" i="2"/>
  <c r="N4476" i="2"/>
  <c r="M4476" i="2"/>
  <c r="J4476" i="2"/>
  <c r="I4476" i="2"/>
  <c r="H4476" i="2"/>
  <c r="G4476" i="2"/>
  <c r="F4476" i="2"/>
  <c r="E4476" i="2"/>
  <c r="D4476" i="2"/>
  <c r="C4476" i="2"/>
  <c r="B4476" i="2"/>
  <c r="A4476" i="2"/>
  <c r="U4475" i="2"/>
  <c r="N4475" i="2"/>
  <c r="M4475" i="2"/>
  <c r="J4475" i="2"/>
  <c r="I4475" i="2"/>
  <c r="H4475" i="2"/>
  <c r="G4475" i="2"/>
  <c r="F4475" i="2"/>
  <c r="E4475" i="2"/>
  <c r="D4475" i="2"/>
  <c r="C4475" i="2"/>
  <c r="B4475" i="2"/>
  <c r="A4475" i="2"/>
  <c r="U4474" i="2"/>
  <c r="N4474" i="2"/>
  <c r="M4474" i="2"/>
  <c r="J4474" i="2"/>
  <c r="I4474" i="2"/>
  <c r="H4474" i="2"/>
  <c r="G4474" i="2"/>
  <c r="F4474" i="2"/>
  <c r="E4474" i="2"/>
  <c r="D4474" i="2"/>
  <c r="C4474" i="2"/>
  <c r="B4474" i="2"/>
  <c r="A4474" i="2"/>
  <c r="U4473" i="2"/>
  <c r="N4473" i="2"/>
  <c r="M4473" i="2"/>
  <c r="J4473" i="2"/>
  <c r="I4473" i="2"/>
  <c r="H4473" i="2"/>
  <c r="G4473" i="2"/>
  <c r="F4473" i="2"/>
  <c r="E4473" i="2"/>
  <c r="D4473" i="2"/>
  <c r="C4473" i="2"/>
  <c r="B4473" i="2"/>
  <c r="A4473" i="2"/>
  <c r="U4472" i="2"/>
  <c r="N4472" i="2"/>
  <c r="M4472" i="2"/>
  <c r="J4472" i="2"/>
  <c r="I4472" i="2"/>
  <c r="H4472" i="2"/>
  <c r="G4472" i="2"/>
  <c r="F4472" i="2"/>
  <c r="E4472" i="2"/>
  <c r="D4472" i="2"/>
  <c r="C4472" i="2"/>
  <c r="B4472" i="2"/>
  <c r="A4472" i="2"/>
  <c r="U4471" i="2"/>
  <c r="N4471" i="2"/>
  <c r="M4471" i="2"/>
  <c r="J4471" i="2"/>
  <c r="I4471" i="2"/>
  <c r="H4471" i="2"/>
  <c r="G4471" i="2"/>
  <c r="F4471" i="2"/>
  <c r="E4471" i="2"/>
  <c r="D4471" i="2"/>
  <c r="C4471" i="2"/>
  <c r="B4471" i="2"/>
  <c r="A4471" i="2"/>
  <c r="U4470" i="2"/>
  <c r="N4470" i="2"/>
  <c r="M4470" i="2"/>
  <c r="J4470" i="2"/>
  <c r="I4470" i="2"/>
  <c r="H4470" i="2"/>
  <c r="G4470" i="2"/>
  <c r="F4470" i="2"/>
  <c r="E4470" i="2"/>
  <c r="D4470" i="2"/>
  <c r="C4470" i="2"/>
  <c r="B4470" i="2"/>
  <c r="A4470" i="2"/>
  <c r="U4469" i="2"/>
  <c r="N4469" i="2"/>
  <c r="M4469" i="2"/>
  <c r="J4469" i="2"/>
  <c r="I4469" i="2"/>
  <c r="H4469" i="2"/>
  <c r="G4469" i="2"/>
  <c r="F4469" i="2"/>
  <c r="E4469" i="2"/>
  <c r="D4469" i="2"/>
  <c r="C4469" i="2"/>
  <c r="B4469" i="2"/>
  <c r="A4469" i="2"/>
  <c r="U4468" i="2"/>
  <c r="N4468" i="2"/>
  <c r="M4468" i="2"/>
  <c r="J4468" i="2"/>
  <c r="I4468" i="2"/>
  <c r="H4468" i="2"/>
  <c r="G4468" i="2"/>
  <c r="F4468" i="2"/>
  <c r="E4468" i="2"/>
  <c r="D4468" i="2"/>
  <c r="C4468" i="2"/>
  <c r="B4468" i="2"/>
  <c r="A4468" i="2"/>
  <c r="U4467" i="2"/>
  <c r="N4467" i="2"/>
  <c r="M4467" i="2"/>
  <c r="J4467" i="2"/>
  <c r="I4467" i="2"/>
  <c r="H4467" i="2"/>
  <c r="G4467" i="2"/>
  <c r="F4467" i="2"/>
  <c r="E4467" i="2"/>
  <c r="D4467" i="2"/>
  <c r="C4467" i="2"/>
  <c r="B4467" i="2"/>
  <c r="A4467" i="2"/>
  <c r="U4466" i="2"/>
  <c r="N4466" i="2"/>
  <c r="M4466" i="2"/>
  <c r="J4466" i="2"/>
  <c r="I4466" i="2"/>
  <c r="H4466" i="2"/>
  <c r="G4466" i="2"/>
  <c r="F4466" i="2"/>
  <c r="E4466" i="2"/>
  <c r="D4466" i="2"/>
  <c r="C4466" i="2"/>
  <c r="B4466" i="2"/>
  <c r="A4466" i="2"/>
  <c r="U4465" i="2"/>
  <c r="N4465" i="2"/>
  <c r="M4465" i="2"/>
  <c r="J4465" i="2"/>
  <c r="I4465" i="2"/>
  <c r="H4465" i="2"/>
  <c r="G4465" i="2"/>
  <c r="F4465" i="2"/>
  <c r="E4465" i="2"/>
  <c r="D4465" i="2"/>
  <c r="C4465" i="2"/>
  <c r="B4465" i="2"/>
  <c r="A4465" i="2"/>
  <c r="U4464" i="2"/>
  <c r="N4464" i="2"/>
  <c r="M4464" i="2"/>
  <c r="J4464" i="2"/>
  <c r="I4464" i="2"/>
  <c r="H4464" i="2"/>
  <c r="G4464" i="2"/>
  <c r="F4464" i="2"/>
  <c r="E4464" i="2"/>
  <c r="D4464" i="2"/>
  <c r="C4464" i="2"/>
  <c r="B4464" i="2"/>
  <c r="A4464" i="2"/>
  <c r="U4463" i="2"/>
  <c r="N4463" i="2"/>
  <c r="M4463" i="2"/>
  <c r="J4463" i="2"/>
  <c r="I4463" i="2"/>
  <c r="H4463" i="2"/>
  <c r="G4463" i="2"/>
  <c r="F4463" i="2"/>
  <c r="E4463" i="2"/>
  <c r="D4463" i="2"/>
  <c r="C4463" i="2"/>
  <c r="B4463" i="2"/>
  <c r="A4463" i="2"/>
  <c r="U4462" i="2"/>
  <c r="N4462" i="2"/>
  <c r="M4462" i="2"/>
  <c r="J4462" i="2"/>
  <c r="I4462" i="2"/>
  <c r="H4462" i="2"/>
  <c r="G4462" i="2"/>
  <c r="F4462" i="2"/>
  <c r="E4462" i="2"/>
  <c r="D4462" i="2"/>
  <c r="C4462" i="2"/>
  <c r="B4462" i="2"/>
  <c r="A4462" i="2"/>
  <c r="U4461" i="2"/>
  <c r="N4461" i="2"/>
  <c r="M4461" i="2"/>
  <c r="J4461" i="2"/>
  <c r="I4461" i="2"/>
  <c r="H4461" i="2"/>
  <c r="G4461" i="2"/>
  <c r="F4461" i="2"/>
  <c r="E4461" i="2"/>
  <c r="D4461" i="2"/>
  <c r="C4461" i="2"/>
  <c r="B4461" i="2"/>
  <c r="A4461" i="2"/>
  <c r="U4460" i="2"/>
  <c r="N4460" i="2"/>
  <c r="M4460" i="2"/>
  <c r="J4460" i="2"/>
  <c r="I4460" i="2"/>
  <c r="H4460" i="2"/>
  <c r="G4460" i="2"/>
  <c r="F4460" i="2"/>
  <c r="E4460" i="2"/>
  <c r="D4460" i="2"/>
  <c r="C4460" i="2"/>
  <c r="B4460" i="2"/>
  <c r="A4460" i="2"/>
  <c r="U4459" i="2"/>
  <c r="N4459" i="2"/>
  <c r="M4459" i="2"/>
  <c r="J4459" i="2"/>
  <c r="I4459" i="2"/>
  <c r="H4459" i="2"/>
  <c r="G4459" i="2"/>
  <c r="F4459" i="2"/>
  <c r="E4459" i="2"/>
  <c r="D4459" i="2"/>
  <c r="C4459" i="2"/>
  <c r="B4459" i="2"/>
  <c r="A4459" i="2"/>
  <c r="U4458" i="2"/>
  <c r="N4458" i="2"/>
  <c r="M4458" i="2"/>
  <c r="J4458" i="2"/>
  <c r="I4458" i="2"/>
  <c r="H4458" i="2"/>
  <c r="G4458" i="2"/>
  <c r="F4458" i="2"/>
  <c r="E4458" i="2"/>
  <c r="D4458" i="2"/>
  <c r="C4458" i="2"/>
  <c r="B4458" i="2"/>
  <c r="A4458" i="2"/>
  <c r="U4457" i="2"/>
  <c r="N4457" i="2"/>
  <c r="M4457" i="2"/>
  <c r="J4457" i="2"/>
  <c r="I4457" i="2"/>
  <c r="H4457" i="2"/>
  <c r="G4457" i="2"/>
  <c r="F4457" i="2"/>
  <c r="E4457" i="2"/>
  <c r="D4457" i="2"/>
  <c r="C4457" i="2"/>
  <c r="B4457" i="2"/>
  <c r="A4457" i="2"/>
  <c r="U4456" i="2"/>
  <c r="N4456" i="2"/>
  <c r="M4456" i="2"/>
  <c r="J4456" i="2"/>
  <c r="I4456" i="2"/>
  <c r="H4456" i="2"/>
  <c r="G4456" i="2"/>
  <c r="F4456" i="2"/>
  <c r="E4456" i="2"/>
  <c r="D4456" i="2"/>
  <c r="C4456" i="2"/>
  <c r="B4456" i="2"/>
  <c r="A4456" i="2"/>
  <c r="U4455" i="2"/>
  <c r="N4455" i="2"/>
  <c r="M4455" i="2"/>
  <c r="J4455" i="2"/>
  <c r="I4455" i="2"/>
  <c r="H4455" i="2"/>
  <c r="G4455" i="2"/>
  <c r="F4455" i="2"/>
  <c r="E4455" i="2"/>
  <c r="D4455" i="2"/>
  <c r="C4455" i="2"/>
  <c r="B4455" i="2"/>
  <c r="A4455" i="2"/>
  <c r="U4454" i="2"/>
  <c r="N4454" i="2"/>
  <c r="M4454" i="2"/>
  <c r="J4454" i="2"/>
  <c r="I4454" i="2"/>
  <c r="H4454" i="2"/>
  <c r="G4454" i="2"/>
  <c r="F4454" i="2"/>
  <c r="E4454" i="2"/>
  <c r="D4454" i="2"/>
  <c r="C4454" i="2"/>
  <c r="B4454" i="2"/>
  <c r="A4454" i="2"/>
  <c r="U4453" i="2"/>
  <c r="N4453" i="2"/>
  <c r="M4453" i="2"/>
  <c r="J4453" i="2"/>
  <c r="I4453" i="2"/>
  <c r="H4453" i="2"/>
  <c r="G4453" i="2"/>
  <c r="F4453" i="2"/>
  <c r="E4453" i="2"/>
  <c r="D4453" i="2"/>
  <c r="C4453" i="2"/>
  <c r="B4453" i="2"/>
  <c r="A4453" i="2"/>
  <c r="U4452" i="2"/>
  <c r="N4452" i="2"/>
  <c r="M4452" i="2"/>
  <c r="J4452" i="2"/>
  <c r="I4452" i="2"/>
  <c r="H4452" i="2"/>
  <c r="G4452" i="2"/>
  <c r="F4452" i="2"/>
  <c r="E4452" i="2"/>
  <c r="D4452" i="2"/>
  <c r="C4452" i="2"/>
  <c r="B4452" i="2"/>
  <c r="A4452" i="2"/>
  <c r="U4451" i="2"/>
  <c r="N4451" i="2"/>
  <c r="M4451" i="2"/>
  <c r="J4451" i="2"/>
  <c r="I4451" i="2"/>
  <c r="H4451" i="2"/>
  <c r="G4451" i="2"/>
  <c r="F4451" i="2"/>
  <c r="E4451" i="2"/>
  <c r="D4451" i="2"/>
  <c r="C4451" i="2"/>
  <c r="B4451" i="2"/>
  <c r="A4451" i="2"/>
  <c r="U4450" i="2"/>
  <c r="N4450" i="2"/>
  <c r="M4450" i="2"/>
  <c r="J4450" i="2"/>
  <c r="I4450" i="2"/>
  <c r="H4450" i="2"/>
  <c r="G4450" i="2"/>
  <c r="F4450" i="2"/>
  <c r="E4450" i="2"/>
  <c r="D4450" i="2"/>
  <c r="C4450" i="2"/>
  <c r="B4450" i="2"/>
  <c r="A4450" i="2"/>
  <c r="U4449" i="2"/>
  <c r="N4449" i="2"/>
  <c r="M4449" i="2"/>
  <c r="J4449" i="2"/>
  <c r="I4449" i="2"/>
  <c r="H4449" i="2"/>
  <c r="G4449" i="2"/>
  <c r="F4449" i="2"/>
  <c r="E4449" i="2"/>
  <c r="D4449" i="2"/>
  <c r="C4449" i="2"/>
  <c r="B4449" i="2"/>
  <c r="A4449" i="2"/>
  <c r="U4448" i="2"/>
  <c r="N4448" i="2"/>
  <c r="M4448" i="2"/>
  <c r="J4448" i="2"/>
  <c r="I4448" i="2"/>
  <c r="H4448" i="2"/>
  <c r="G4448" i="2"/>
  <c r="F4448" i="2"/>
  <c r="E4448" i="2"/>
  <c r="D4448" i="2"/>
  <c r="C4448" i="2"/>
  <c r="B4448" i="2"/>
  <c r="A4448" i="2"/>
  <c r="U4447" i="2"/>
  <c r="N4447" i="2"/>
  <c r="M4447" i="2"/>
  <c r="J4447" i="2"/>
  <c r="I4447" i="2"/>
  <c r="H4447" i="2"/>
  <c r="G4447" i="2"/>
  <c r="F4447" i="2"/>
  <c r="E4447" i="2"/>
  <c r="D4447" i="2"/>
  <c r="C4447" i="2"/>
  <c r="B4447" i="2"/>
  <c r="A4447" i="2"/>
  <c r="U4446" i="2"/>
  <c r="N4446" i="2"/>
  <c r="M4446" i="2"/>
  <c r="J4446" i="2"/>
  <c r="I4446" i="2"/>
  <c r="H4446" i="2"/>
  <c r="G4446" i="2"/>
  <c r="F4446" i="2"/>
  <c r="E4446" i="2"/>
  <c r="D4446" i="2"/>
  <c r="C4446" i="2"/>
  <c r="B4446" i="2"/>
  <c r="A4446" i="2"/>
  <c r="U4445" i="2"/>
  <c r="N4445" i="2"/>
  <c r="M4445" i="2"/>
  <c r="J4445" i="2"/>
  <c r="I4445" i="2"/>
  <c r="H4445" i="2"/>
  <c r="G4445" i="2"/>
  <c r="F4445" i="2"/>
  <c r="E4445" i="2"/>
  <c r="D4445" i="2"/>
  <c r="C4445" i="2"/>
  <c r="B4445" i="2"/>
  <c r="A4445" i="2"/>
  <c r="U4444" i="2"/>
  <c r="N4444" i="2"/>
  <c r="M4444" i="2"/>
  <c r="J4444" i="2"/>
  <c r="I4444" i="2"/>
  <c r="H4444" i="2"/>
  <c r="G4444" i="2"/>
  <c r="F4444" i="2"/>
  <c r="E4444" i="2"/>
  <c r="D4444" i="2"/>
  <c r="C4444" i="2"/>
  <c r="B4444" i="2"/>
  <c r="A4444" i="2"/>
  <c r="U4443" i="2"/>
  <c r="N4443" i="2"/>
  <c r="M4443" i="2"/>
  <c r="J4443" i="2"/>
  <c r="I4443" i="2"/>
  <c r="H4443" i="2"/>
  <c r="G4443" i="2"/>
  <c r="F4443" i="2"/>
  <c r="E4443" i="2"/>
  <c r="D4443" i="2"/>
  <c r="C4443" i="2"/>
  <c r="B4443" i="2"/>
  <c r="A4443" i="2"/>
  <c r="U4442" i="2"/>
  <c r="N4442" i="2"/>
  <c r="M4442" i="2"/>
  <c r="J4442" i="2"/>
  <c r="I4442" i="2"/>
  <c r="H4442" i="2"/>
  <c r="G4442" i="2"/>
  <c r="F4442" i="2"/>
  <c r="E4442" i="2"/>
  <c r="D4442" i="2"/>
  <c r="C4442" i="2"/>
  <c r="B4442" i="2"/>
  <c r="A4442" i="2"/>
  <c r="U4441" i="2"/>
  <c r="N4441" i="2"/>
  <c r="M4441" i="2"/>
  <c r="J4441" i="2"/>
  <c r="I4441" i="2"/>
  <c r="H4441" i="2"/>
  <c r="G4441" i="2"/>
  <c r="F4441" i="2"/>
  <c r="E4441" i="2"/>
  <c r="D4441" i="2"/>
  <c r="C4441" i="2"/>
  <c r="B4441" i="2"/>
  <c r="A4441" i="2"/>
  <c r="U4440" i="2"/>
  <c r="N4440" i="2"/>
  <c r="M4440" i="2"/>
  <c r="J4440" i="2"/>
  <c r="I4440" i="2"/>
  <c r="H4440" i="2"/>
  <c r="G4440" i="2"/>
  <c r="F4440" i="2"/>
  <c r="E4440" i="2"/>
  <c r="D4440" i="2"/>
  <c r="C4440" i="2"/>
  <c r="B4440" i="2"/>
  <c r="A4440" i="2"/>
  <c r="U4439" i="2"/>
  <c r="N4439" i="2"/>
  <c r="M4439" i="2"/>
  <c r="J4439" i="2"/>
  <c r="I4439" i="2"/>
  <c r="H4439" i="2"/>
  <c r="G4439" i="2"/>
  <c r="F4439" i="2"/>
  <c r="E4439" i="2"/>
  <c r="D4439" i="2"/>
  <c r="C4439" i="2"/>
  <c r="B4439" i="2"/>
  <c r="A4439" i="2"/>
  <c r="U4438" i="2"/>
  <c r="N4438" i="2"/>
  <c r="M4438" i="2"/>
  <c r="J4438" i="2"/>
  <c r="I4438" i="2"/>
  <c r="H4438" i="2"/>
  <c r="G4438" i="2"/>
  <c r="F4438" i="2"/>
  <c r="E4438" i="2"/>
  <c r="D4438" i="2"/>
  <c r="C4438" i="2"/>
  <c r="B4438" i="2"/>
  <c r="A4438" i="2"/>
  <c r="U4437" i="2"/>
  <c r="N4437" i="2"/>
  <c r="M4437" i="2"/>
  <c r="J4437" i="2"/>
  <c r="I4437" i="2"/>
  <c r="H4437" i="2"/>
  <c r="G4437" i="2"/>
  <c r="F4437" i="2"/>
  <c r="E4437" i="2"/>
  <c r="D4437" i="2"/>
  <c r="C4437" i="2"/>
  <c r="B4437" i="2"/>
  <c r="A4437" i="2"/>
  <c r="U4436" i="2"/>
  <c r="N4436" i="2"/>
  <c r="M4436" i="2"/>
  <c r="J4436" i="2"/>
  <c r="I4436" i="2"/>
  <c r="H4436" i="2"/>
  <c r="G4436" i="2"/>
  <c r="F4436" i="2"/>
  <c r="E4436" i="2"/>
  <c r="D4436" i="2"/>
  <c r="C4436" i="2"/>
  <c r="B4436" i="2"/>
  <c r="A4436" i="2"/>
  <c r="U4435" i="2"/>
  <c r="N4435" i="2"/>
  <c r="M4435" i="2"/>
  <c r="J4435" i="2"/>
  <c r="I4435" i="2"/>
  <c r="H4435" i="2"/>
  <c r="G4435" i="2"/>
  <c r="F4435" i="2"/>
  <c r="E4435" i="2"/>
  <c r="D4435" i="2"/>
  <c r="C4435" i="2"/>
  <c r="B4435" i="2"/>
  <c r="A4435" i="2"/>
  <c r="U4434" i="2"/>
  <c r="N4434" i="2"/>
  <c r="M4434" i="2"/>
  <c r="J4434" i="2"/>
  <c r="I4434" i="2"/>
  <c r="H4434" i="2"/>
  <c r="G4434" i="2"/>
  <c r="F4434" i="2"/>
  <c r="E4434" i="2"/>
  <c r="D4434" i="2"/>
  <c r="C4434" i="2"/>
  <c r="B4434" i="2"/>
  <c r="A4434" i="2"/>
  <c r="U4433" i="2"/>
  <c r="N4433" i="2"/>
  <c r="M4433" i="2"/>
  <c r="J4433" i="2"/>
  <c r="I4433" i="2"/>
  <c r="H4433" i="2"/>
  <c r="G4433" i="2"/>
  <c r="F4433" i="2"/>
  <c r="E4433" i="2"/>
  <c r="D4433" i="2"/>
  <c r="C4433" i="2"/>
  <c r="B4433" i="2"/>
  <c r="A4433" i="2"/>
  <c r="U4432" i="2"/>
  <c r="N4432" i="2"/>
  <c r="M4432" i="2"/>
  <c r="J4432" i="2"/>
  <c r="I4432" i="2"/>
  <c r="H4432" i="2"/>
  <c r="G4432" i="2"/>
  <c r="F4432" i="2"/>
  <c r="E4432" i="2"/>
  <c r="D4432" i="2"/>
  <c r="C4432" i="2"/>
  <c r="B4432" i="2"/>
  <c r="A4432" i="2"/>
  <c r="U4431" i="2"/>
  <c r="N4431" i="2"/>
  <c r="M4431" i="2"/>
  <c r="J4431" i="2"/>
  <c r="I4431" i="2"/>
  <c r="H4431" i="2"/>
  <c r="G4431" i="2"/>
  <c r="F4431" i="2"/>
  <c r="E4431" i="2"/>
  <c r="D4431" i="2"/>
  <c r="C4431" i="2"/>
  <c r="B4431" i="2"/>
  <c r="A4431" i="2"/>
  <c r="U4430" i="2"/>
  <c r="N4430" i="2"/>
  <c r="M4430" i="2"/>
  <c r="J4430" i="2"/>
  <c r="I4430" i="2"/>
  <c r="H4430" i="2"/>
  <c r="G4430" i="2"/>
  <c r="F4430" i="2"/>
  <c r="E4430" i="2"/>
  <c r="D4430" i="2"/>
  <c r="C4430" i="2"/>
  <c r="B4430" i="2"/>
  <c r="A4430" i="2"/>
  <c r="U4429" i="2"/>
  <c r="N4429" i="2"/>
  <c r="M4429" i="2"/>
  <c r="J4429" i="2"/>
  <c r="I4429" i="2"/>
  <c r="H4429" i="2"/>
  <c r="G4429" i="2"/>
  <c r="F4429" i="2"/>
  <c r="E4429" i="2"/>
  <c r="D4429" i="2"/>
  <c r="C4429" i="2"/>
  <c r="B4429" i="2"/>
  <c r="A4429" i="2"/>
  <c r="U4428" i="2"/>
  <c r="N4428" i="2"/>
  <c r="M4428" i="2"/>
  <c r="J4428" i="2"/>
  <c r="I4428" i="2"/>
  <c r="H4428" i="2"/>
  <c r="G4428" i="2"/>
  <c r="F4428" i="2"/>
  <c r="E4428" i="2"/>
  <c r="D4428" i="2"/>
  <c r="C4428" i="2"/>
  <c r="B4428" i="2"/>
  <c r="A4428" i="2"/>
  <c r="U4427" i="2"/>
  <c r="N4427" i="2"/>
  <c r="M4427" i="2"/>
  <c r="J4427" i="2"/>
  <c r="I4427" i="2"/>
  <c r="H4427" i="2"/>
  <c r="G4427" i="2"/>
  <c r="F4427" i="2"/>
  <c r="E4427" i="2"/>
  <c r="D4427" i="2"/>
  <c r="C4427" i="2"/>
  <c r="B4427" i="2"/>
  <c r="A4427" i="2"/>
  <c r="U4426" i="2"/>
  <c r="N4426" i="2"/>
  <c r="M4426" i="2"/>
  <c r="J4426" i="2"/>
  <c r="I4426" i="2"/>
  <c r="H4426" i="2"/>
  <c r="G4426" i="2"/>
  <c r="F4426" i="2"/>
  <c r="E4426" i="2"/>
  <c r="D4426" i="2"/>
  <c r="C4426" i="2"/>
  <c r="B4426" i="2"/>
  <c r="A4426" i="2"/>
  <c r="U4425" i="2"/>
  <c r="N4425" i="2"/>
  <c r="M4425" i="2"/>
  <c r="J4425" i="2"/>
  <c r="I4425" i="2"/>
  <c r="H4425" i="2"/>
  <c r="G4425" i="2"/>
  <c r="F4425" i="2"/>
  <c r="E4425" i="2"/>
  <c r="D4425" i="2"/>
  <c r="C4425" i="2"/>
  <c r="B4425" i="2"/>
  <c r="A4425" i="2"/>
  <c r="U4424" i="2"/>
  <c r="N4424" i="2"/>
  <c r="M4424" i="2"/>
  <c r="J4424" i="2"/>
  <c r="I4424" i="2"/>
  <c r="H4424" i="2"/>
  <c r="G4424" i="2"/>
  <c r="F4424" i="2"/>
  <c r="E4424" i="2"/>
  <c r="D4424" i="2"/>
  <c r="C4424" i="2"/>
  <c r="B4424" i="2"/>
  <c r="A4424" i="2"/>
  <c r="U4423" i="2"/>
  <c r="N4423" i="2"/>
  <c r="M4423" i="2"/>
  <c r="J4423" i="2"/>
  <c r="I4423" i="2"/>
  <c r="H4423" i="2"/>
  <c r="G4423" i="2"/>
  <c r="F4423" i="2"/>
  <c r="E4423" i="2"/>
  <c r="D4423" i="2"/>
  <c r="C4423" i="2"/>
  <c r="B4423" i="2"/>
  <c r="A4423" i="2"/>
  <c r="U4422" i="2"/>
  <c r="N4422" i="2"/>
  <c r="M4422" i="2"/>
  <c r="J4422" i="2"/>
  <c r="I4422" i="2"/>
  <c r="H4422" i="2"/>
  <c r="G4422" i="2"/>
  <c r="F4422" i="2"/>
  <c r="E4422" i="2"/>
  <c r="D4422" i="2"/>
  <c r="C4422" i="2"/>
  <c r="B4422" i="2"/>
  <c r="A4422" i="2"/>
  <c r="U4421" i="2"/>
  <c r="N4421" i="2"/>
  <c r="M4421" i="2"/>
  <c r="J4421" i="2"/>
  <c r="I4421" i="2"/>
  <c r="H4421" i="2"/>
  <c r="G4421" i="2"/>
  <c r="F4421" i="2"/>
  <c r="E4421" i="2"/>
  <c r="D4421" i="2"/>
  <c r="C4421" i="2"/>
  <c r="B4421" i="2"/>
  <c r="A4421" i="2"/>
  <c r="U4420" i="2"/>
  <c r="N4420" i="2"/>
  <c r="M4420" i="2"/>
  <c r="J4420" i="2"/>
  <c r="I4420" i="2"/>
  <c r="H4420" i="2"/>
  <c r="G4420" i="2"/>
  <c r="F4420" i="2"/>
  <c r="E4420" i="2"/>
  <c r="D4420" i="2"/>
  <c r="C4420" i="2"/>
  <c r="B4420" i="2"/>
  <c r="A4420" i="2"/>
  <c r="U4419" i="2"/>
  <c r="N4419" i="2"/>
  <c r="M4419" i="2"/>
  <c r="J4419" i="2"/>
  <c r="I4419" i="2"/>
  <c r="H4419" i="2"/>
  <c r="G4419" i="2"/>
  <c r="F4419" i="2"/>
  <c r="E4419" i="2"/>
  <c r="D4419" i="2"/>
  <c r="C4419" i="2"/>
  <c r="B4419" i="2"/>
  <c r="A4419" i="2"/>
  <c r="U4418" i="2"/>
  <c r="N4418" i="2"/>
  <c r="M4418" i="2"/>
  <c r="J4418" i="2"/>
  <c r="I4418" i="2"/>
  <c r="H4418" i="2"/>
  <c r="G4418" i="2"/>
  <c r="F4418" i="2"/>
  <c r="E4418" i="2"/>
  <c r="D4418" i="2"/>
  <c r="C4418" i="2"/>
  <c r="B4418" i="2"/>
  <c r="A4418" i="2"/>
  <c r="U4417" i="2"/>
  <c r="N4417" i="2"/>
  <c r="M4417" i="2"/>
  <c r="J4417" i="2"/>
  <c r="I4417" i="2"/>
  <c r="H4417" i="2"/>
  <c r="G4417" i="2"/>
  <c r="F4417" i="2"/>
  <c r="E4417" i="2"/>
  <c r="D4417" i="2"/>
  <c r="C4417" i="2"/>
  <c r="B4417" i="2"/>
  <c r="A4417" i="2"/>
  <c r="U4416" i="2"/>
  <c r="N4416" i="2"/>
  <c r="M4416" i="2"/>
  <c r="J4416" i="2"/>
  <c r="I4416" i="2"/>
  <c r="H4416" i="2"/>
  <c r="G4416" i="2"/>
  <c r="F4416" i="2"/>
  <c r="E4416" i="2"/>
  <c r="D4416" i="2"/>
  <c r="C4416" i="2"/>
  <c r="B4416" i="2"/>
  <c r="A4416" i="2"/>
  <c r="U4415" i="2"/>
  <c r="N4415" i="2"/>
  <c r="M4415" i="2"/>
  <c r="J4415" i="2"/>
  <c r="I4415" i="2"/>
  <c r="H4415" i="2"/>
  <c r="G4415" i="2"/>
  <c r="F4415" i="2"/>
  <c r="E4415" i="2"/>
  <c r="D4415" i="2"/>
  <c r="C4415" i="2"/>
  <c r="B4415" i="2"/>
  <c r="A4415" i="2"/>
  <c r="U4414" i="2"/>
  <c r="N4414" i="2"/>
  <c r="M4414" i="2"/>
  <c r="J4414" i="2"/>
  <c r="I4414" i="2"/>
  <c r="H4414" i="2"/>
  <c r="G4414" i="2"/>
  <c r="F4414" i="2"/>
  <c r="E4414" i="2"/>
  <c r="D4414" i="2"/>
  <c r="C4414" i="2"/>
  <c r="B4414" i="2"/>
  <c r="A4414" i="2"/>
  <c r="U4413" i="2"/>
  <c r="N4413" i="2"/>
  <c r="M4413" i="2"/>
  <c r="J4413" i="2"/>
  <c r="I4413" i="2"/>
  <c r="H4413" i="2"/>
  <c r="G4413" i="2"/>
  <c r="F4413" i="2"/>
  <c r="E4413" i="2"/>
  <c r="D4413" i="2"/>
  <c r="C4413" i="2"/>
  <c r="B4413" i="2"/>
  <c r="A4413" i="2"/>
  <c r="U4412" i="2"/>
  <c r="N4412" i="2"/>
  <c r="M4412" i="2"/>
  <c r="J4412" i="2"/>
  <c r="I4412" i="2"/>
  <c r="H4412" i="2"/>
  <c r="G4412" i="2"/>
  <c r="F4412" i="2"/>
  <c r="E4412" i="2"/>
  <c r="D4412" i="2"/>
  <c r="C4412" i="2"/>
  <c r="B4412" i="2"/>
  <c r="A4412" i="2"/>
  <c r="U4411" i="2"/>
  <c r="N4411" i="2"/>
  <c r="M4411" i="2"/>
  <c r="J4411" i="2"/>
  <c r="I4411" i="2"/>
  <c r="H4411" i="2"/>
  <c r="G4411" i="2"/>
  <c r="F4411" i="2"/>
  <c r="E4411" i="2"/>
  <c r="D4411" i="2"/>
  <c r="C4411" i="2"/>
  <c r="B4411" i="2"/>
  <c r="A4411" i="2"/>
  <c r="U4410" i="2"/>
  <c r="N4410" i="2"/>
  <c r="M4410" i="2"/>
  <c r="J4410" i="2"/>
  <c r="I4410" i="2"/>
  <c r="H4410" i="2"/>
  <c r="G4410" i="2"/>
  <c r="F4410" i="2"/>
  <c r="E4410" i="2"/>
  <c r="D4410" i="2"/>
  <c r="C4410" i="2"/>
  <c r="B4410" i="2"/>
  <c r="A4410" i="2"/>
  <c r="U4409" i="2"/>
  <c r="N4409" i="2"/>
  <c r="M4409" i="2"/>
  <c r="J4409" i="2"/>
  <c r="I4409" i="2"/>
  <c r="H4409" i="2"/>
  <c r="G4409" i="2"/>
  <c r="F4409" i="2"/>
  <c r="E4409" i="2"/>
  <c r="D4409" i="2"/>
  <c r="C4409" i="2"/>
  <c r="B4409" i="2"/>
  <c r="A4409" i="2"/>
  <c r="U4408" i="2"/>
  <c r="N4408" i="2"/>
  <c r="M4408" i="2"/>
  <c r="J4408" i="2"/>
  <c r="I4408" i="2"/>
  <c r="H4408" i="2"/>
  <c r="G4408" i="2"/>
  <c r="F4408" i="2"/>
  <c r="E4408" i="2"/>
  <c r="D4408" i="2"/>
  <c r="C4408" i="2"/>
  <c r="B4408" i="2"/>
  <c r="A4408" i="2"/>
  <c r="U4407" i="2"/>
  <c r="N4407" i="2"/>
  <c r="M4407" i="2"/>
  <c r="J4407" i="2"/>
  <c r="I4407" i="2"/>
  <c r="H4407" i="2"/>
  <c r="G4407" i="2"/>
  <c r="F4407" i="2"/>
  <c r="E4407" i="2"/>
  <c r="D4407" i="2"/>
  <c r="C4407" i="2"/>
  <c r="B4407" i="2"/>
  <c r="A4407" i="2"/>
  <c r="U4406" i="2"/>
  <c r="N4406" i="2"/>
  <c r="M4406" i="2"/>
  <c r="J4406" i="2"/>
  <c r="I4406" i="2"/>
  <c r="H4406" i="2"/>
  <c r="G4406" i="2"/>
  <c r="F4406" i="2"/>
  <c r="E4406" i="2"/>
  <c r="D4406" i="2"/>
  <c r="C4406" i="2"/>
  <c r="B4406" i="2"/>
  <c r="A4406" i="2"/>
  <c r="U4405" i="2"/>
  <c r="N4405" i="2"/>
  <c r="M4405" i="2"/>
  <c r="J4405" i="2"/>
  <c r="I4405" i="2"/>
  <c r="H4405" i="2"/>
  <c r="G4405" i="2"/>
  <c r="F4405" i="2"/>
  <c r="E4405" i="2"/>
  <c r="D4405" i="2"/>
  <c r="C4405" i="2"/>
  <c r="B4405" i="2"/>
  <c r="A4405" i="2"/>
  <c r="U4404" i="2"/>
  <c r="N4404" i="2"/>
  <c r="M4404" i="2"/>
  <c r="J4404" i="2"/>
  <c r="I4404" i="2"/>
  <c r="H4404" i="2"/>
  <c r="G4404" i="2"/>
  <c r="F4404" i="2"/>
  <c r="E4404" i="2"/>
  <c r="D4404" i="2"/>
  <c r="C4404" i="2"/>
  <c r="B4404" i="2"/>
  <c r="A4404" i="2"/>
  <c r="U4403" i="2"/>
  <c r="N4403" i="2"/>
  <c r="M4403" i="2"/>
  <c r="J4403" i="2"/>
  <c r="I4403" i="2"/>
  <c r="H4403" i="2"/>
  <c r="G4403" i="2"/>
  <c r="F4403" i="2"/>
  <c r="E4403" i="2"/>
  <c r="D4403" i="2"/>
  <c r="C4403" i="2"/>
  <c r="B4403" i="2"/>
  <c r="A4403" i="2"/>
  <c r="U4402" i="2"/>
  <c r="N4402" i="2"/>
  <c r="M4402" i="2"/>
  <c r="J4402" i="2"/>
  <c r="I4402" i="2"/>
  <c r="H4402" i="2"/>
  <c r="G4402" i="2"/>
  <c r="F4402" i="2"/>
  <c r="E4402" i="2"/>
  <c r="D4402" i="2"/>
  <c r="C4402" i="2"/>
  <c r="B4402" i="2"/>
  <c r="A4402" i="2"/>
  <c r="U4401" i="2"/>
  <c r="N4401" i="2"/>
  <c r="M4401" i="2"/>
  <c r="J4401" i="2"/>
  <c r="I4401" i="2"/>
  <c r="H4401" i="2"/>
  <c r="G4401" i="2"/>
  <c r="F4401" i="2"/>
  <c r="E4401" i="2"/>
  <c r="D4401" i="2"/>
  <c r="C4401" i="2"/>
  <c r="B4401" i="2"/>
  <c r="A4401" i="2"/>
  <c r="U4400" i="2"/>
  <c r="N4400" i="2"/>
  <c r="M4400" i="2"/>
  <c r="J4400" i="2"/>
  <c r="I4400" i="2"/>
  <c r="H4400" i="2"/>
  <c r="G4400" i="2"/>
  <c r="F4400" i="2"/>
  <c r="E4400" i="2"/>
  <c r="D4400" i="2"/>
  <c r="C4400" i="2"/>
  <c r="B4400" i="2"/>
  <c r="A4400" i="2"/>
  <c r="U4399" i="2"/>
  <c r="N4399" i="2"/>
  <c r="M4399" i="2"/>
  <c r="J4399" i="2"/>
  <c r="I4399" i="2"/>
  <c r="H4399" i="2"/>
  <c r="G4399" i="2"/>
  <c r="F4399" i="2"/>
  <c r="E4399" i="2"/>
  <c r="D4399" i="2"/>
  <c r="C4399" i="2"/>
  <c r="B4399" i="2"/>
  <c r="A4399" i="2"/>
  <c r="U4398" i="2"/>
  <c r="N4398" i="2"/>
  <c r="M4398" i="2"/>
  <c r="J4398" i="2"/>
  <c r="I4398" i="2"/>
  <c r="H4398" i="2"/>
  <c r="G4398" i="2"/>
  <c r="F4398" i="2"/>
  <c r="E4398" i="2"/>
  <c r="D4398" i="2"/>
  <c r="C4398" i="2"/>
  <c r="B4398" i="2"/>
  <c r="A4398" i="2"/>
  <c r="U4397" i="2"/>
  <c r="N4397" i="2"/>
  <c r="M4397" i="2"/>
  <c r="J4397" i="2"/>
  <c r="I4397" i="2"/>
  <c r="H4397" i="2"/>
  <c r="G4397" i="2"/>
  <c r="F4397" i="2"/>
  <c r="E4397" i="2"/>
  <c r="D4397" i="2"/>
  <c r="C4397" i="2"/>
  <c r="B4397" i="2"/>
  <c r="A4397" i="2"/>
  <c r="U4396" i="2"/>
  <c r="N4396" i="2"/>
  <c r="M4396" i="2"/>
  <c r="J4396" i="2"/>
  <c r="I4396" i="2"/>
  <c r="H4396" i="2"/>
  <c r="G4396" i="2"/>
  <c r="F4396" i="2"/>
  <c r="E4396" i="2"/>
  <c r="D4396" i="2"/>
  <c r="C4396" i="2"/>
  <c r="B4396" i="2"/>
  <c r="A4396" i="2"/>
  <c r="U4395" i="2"/>
  <c r="N4395" i="2"/>
  <c r="M4395" i="2"/>
  <c r="J4395" i="2"/>
  <c r="I4395" i="2"/>
  <c r="H4395" i="2"/>
  <c r="G4395" i="2"/>
  <c r="F4395" i="2"/>
  <c r="E4395" i="2"/>
  <c r="D4395" i="2"/>
  <c r="C4395" i="2"/>
  <c r="B4395" i="2"/>
  <c r="A4395" i="2"/>
  <c r="U4394" i="2"/>
  <c r="N4394" i="2"/>
  <c r="M4394" i="2"/>
  <c r="J4394" i="2"/>
  <c r="I4394" i="2"/>
  <c r="H4394" i="2"/>
  <c r="G4394" i="2"/>
  <c r="F4394" i="2"/>
  <c r="E4394" i="2"/>
  <c r="D4394" i="2"/>
  <c r="C4394" i="2"/>
  <c r="B4394" i="2"/>
  <c r="A4394" i="2"/>
  <c r="U4393" i="2"/>
  <c r="N4393" i="2"/>
  <c r="M4393" i="2"/>
  <c r="J4393" i="2"/>
  <c r="I4393" i="2"/>
  <c r="H4393" i="2"/>
  <c r="G4393" i="2"/>
  <c r="F4393" i="2"/>
  <c r="E4393" i="2"/>
  <c r="D4393" i="2"/>
  <c r="C4393" i="2"/>
  <c r="B4393" i="2"/>
  <c r="A4393" i="2"/>
  <c r="U4392" i="2"/>
  <c r="N4392" i="2"/>
  <c r="M4392" i="2"/>
  <c r="J4392" i="2"/>
  <c r="I4392" i="2"/>
  <c r="H4392" i="2"/>
  <c r="G4392" i="2"/>
  <c r="F4392" i="2"/>
  <c r="E4392" i="2"/>
  <c r="D4392" i="2"/>
  <c r="C4392" i="2"/>
  <c r="B4392" i="2"/>
  <c r="A4392" i="2"/>
  <c r="U4391" i="2"/>
  <c r="N4391" i="2"/>
  <c r="M4391" i="2"/>
  <c r="J4391" i="2"/>
  <c r="I4391" i="2"/>
  <c r="H4391" i="2"/>
  <c r="G4391" i="2"/>
  <c r="F4391" i="2"/>
  <c r="E4391" i="2"/>
  <c r="D4391" i="2"/>
  <c r="C4391" i="2"/>
  <c r="B4391" i="2"/>
  <c r="A4391" i="2"/>
  <c r="U4390" i="2"/>
  <c r="N4390" i="2"/>
  <c r="M4390" i="2"/>
  <c r="J4390" i="2"/>
  <c r="I4390" i="2"/>
  <c r="H4390" i="2"/>
  <c r="G4390" i="2"/>
  <c r="F4390" i="2"/>
  <c r="E4390" i="2"/>
  <c r="D4390" i="2"/>
  <c r="C4390" i="2"/>
  <c r="B4390" i="2"/>
  <c r="A4390" i="2"/>
  <c r="U4389" i="2"/>
  <c r="N4389" i="2"/>
  <c r="M4389" i="2"/>
  <c r="J4389" i="2"/>
  <c r="I4389" i="2"/>
  <c r="H4389" i="2"/>
  <c r="G4389" i="2"/>
  <c r="F4389" i="2"/>
  <c r="E4389" i="2"/>
  <c r="D4389" i="2"/>
  <c r="C4389" i="2"/>
  <c r="B4389" i="2"/>
  <c r="A4389" i="2"/>
  <c r="U4388" i="2"/>
  <c r="N4388" i="2"/>
  <c r="M4388" i="2"/>
  <c r="J4388" i="2"/>
  <c r="I4388" i="2"/>
  <c r="H4388" i="2"/>
  <c r="G4388" i="2"/>
  <c r="F4388" i="2"/>
  <c r="E4388" i="2"/>
  <c r="D4388" i="2"/>
  <c r="C4388" i="2"/>
  <c r="B4388" i="2"/>
  <c r="A4388" i="2"/>
  <c r="U4387" i="2"/>
  <c r="N4387" i="2"/>
  <c r="M4387" i="2"/>
  <c r="J4387" i="2"/>
  <c r="I4387" i="2"/>
  <c r="H4387" i="2"/>
  <c r="G4387" i="2"/>
  <c r="F4387" i="2"/>
  <c r="E4387" i="2"/>
  <c r="D4387" i="2"/>
  <c r="C4387" i="2"/>
  <c r="B4387" i="2"/>
  <c r="A4387" i="2"/>
  <c r="U4386" i="2"/>
  <c r="N4386" i="2"/>
  <c r="M4386" i="2"/>
  <c r="J4386" i="2"/>
  <c r="I4386" i="2"/>
  <c r="H4386" i="2"/>
  <c r="G4386" i="2"/>
  <c r="F4386" i="2"/>
  <c r="E4386" i="2"/>
  <c r="D4386" i="2"/>
  <c r="C4386" i="2"/>
  <c r="B4386" i="2"/>
  <c r="A4386" i="2"/>
  <c r="U4385" i="2"/>
  <c r="N4385" i="2"/>
  <c r="M4385" i="2"/>
  <c r="J4385" i="2"/>
  <c r="I4385" i="2"/>
  <c r="H4385" i="2"/>
  <c r="G4385" i="2"/>
  <c r="F4385" i="2"/>
  <c r="E4385" i="2"/>
  <c r="D4385" i="2"/>
  <c r="C4385" i="2"/>
  <c r="B4385" i="2"/>
  <c r="A4385" i="2"/>
  <c r="U4384" i="2"/>
  <c r="N4384" i="2"/>
  <c r="M4384" i="2"/>
  <c r="J4384" i="2"/>
  <c r="I4384" i="2"/>
  <c r="H4384" i="2"/>
  <c r="G4384" i="2"/>
  <c r="F4384" i="2"/>
  <c r="E4384" i="2"/>
  <c r="D4384" i="2"/>
  <c r="C4384" i="2"/>
  <c r="B4384" i="2"/>
  <c r="A4384" i="2"/>
  <c r="U4383" i="2"/>
  <c r="N4383" i="2"/>
  <c r="M4383" i="2"/>
  <c r="J4383" i="2"/>
  <c r="I4383" i="2"/>
  <c r="H4383" i="2"/>
  <c r="G4383" i="2"/>
  <c r="F4383" i="2"/>
  <c r="E4383" i="2"/>
  <c r="D4383" i="2"/>
  <c r="C4383" i="2"/>
  <c r="B4383" i="2"/>
  <c r="A4383" i="2"/>
  <c r="U4382" i="2"/>
  <c r="N4382" i="2"/>
  <c r="M4382" i="2"/>
  <c r="J4382" i="2"/>
  <c r="I4382" i="2"/>
  <c r="H4382" i="2"/>
  <c r="G4382" i="2"/>
  <c r="F4382" i="2"/>
  <c r="E4382" i="2"/>
  <c r="D4382" i="2"/>
  <c r="C4382" i="2"/>
  <c r="B4382" i="2"/>
  <c r="A4382" i="2"/>
  <c r="U4381" i="2"/>
  <c r="N4381" i="2"/>
  <c r="M4381" i="2"/>
  <c r="J4381" i="2"/>
  <c r="I4381" i="2"/>
  <c r="H4381" i="2"/>
  <c r="G4381" i="2"/>
  <c r="F4381" i="2"/>
  <c r="E4381" i="2"/>
  <c r="D4381" i="2"/>
  <c r="C4381" i="2"/>
  <c r="B4381" i="2"/>
  <c r="A4381" i="2"/>
  <c r="U4380" i="2"/>
  <c r="N4380" i="2"/>
  <c r="M4380" i="2"/>
  <c r="J4380" i="2"/>
  <c r="I4380" i="2"/>
  <c r="H4380" i="2"/>
  <c r="G4380" i="2"/>
  <c r="F4380" i="2"/>
  <c r="E4380" i="2"/>
  <c r="D4380" i="2"/>
  <c r="C4380" i="2"/>
  <c r="B4380" i="2"/>
  <c r="A4380" i="2"/>
  <c r="U4379" i="2"/>
  <c r="N4379" i="2"/>
  <c r="M4379" i="2"/>
  <c r="J4379" i="2"/>
  <c r="I4379" i="2"/>
  <c r="H4379" i="2"/>
  <c r="G4379" i="2"/>
  <c r="F4379" i="2"/>
  <c r="E4379" i="2"/>
  <c r="D4379" i="2"/>
  <c r="C4379" i="2"/>
  <c r="B4379" i="2"/>
  <c r="A4379" i="2"/>
  <c r="U4378" i="2"/>
  <c r="N4378" i="2"/>
  <c r="M4378" i="2"/>
  <c r="J4378" i="2"/>
  <c r="I4378" i="2"/>
  <c r="H4378" i="2"/>
  <c r="G4378" i="2"/>
  <c r="F4378" i="2"/>
  <c r="E4378" i="2"/>
  <c r="D4378" i="2"/>
  <c r="C4378" i="2"/>
  <c r="B4378" i="2"/>
  <c r="A4378" i="2"/>
  <c r="U4377" i="2"/>
  <c r="N4377" i="2"/>
  <c r="M4377" i="2"/>
  <c r="J4377" i="2"/>
  <c r="I4377" i="2"/>
  <c r="H4377" i="2"/>
  <c r="G4377" i="2"/>
  <c r="F4377" i="2"/>
  <c r="E4377" i="2"/>
  <c r="D4377" i="2"/>
  <c r="C4377" i="2"/>
  <c r="B4377" i="2"/>
  <c r="A4377" i="2"/>
  <c r="U4376" i="2"/>
  <c r="N4376" i="2"/>
  <c r="M4376" i="2"/>
  <c r="J4376" i="2"/>
  <c r="I4376" i="2"/>
  <c r="H4376" i="2"/>
  <c r="G4376" i="2"/>
  <c r="F4376" i="2"/>
  <c r="E4376" i="2"/>
  <c r="D4376" i="2"/>
  <c r="C4376" i="2"/>
  <c r="B4376" i="2"/>
  <c r="A4376" i="2"/>
  <c r="U4375" i="2"/>
  <c r="N4375" i="2"/>
  <c r="M4375" i="2"/>
  <c r="J4375" i="2"/>
  <c r="I4375" i="2"/>
  <c r="H4375" i="2"/>
  <c r="G4375" i="2"/>
  <c r="F4375" i="2"/>
  <c r="E4375" i="2"/>
  <c r="D4375" i="2"/>
  <c r="C4375" i="2"/>
  <c r="B4375" i="2"/>
  <c r="A4375" i="2"/>
  <c r="U4374" i="2"/>
  <c r="N4374" i="2"/>
  <c r="M4374" i="2"/>
  <c r="J4374" i="2"/>
  <c r="I4374" i="2"/>
  <c r="H4374" i="2"/>
  <c r="G4374" i="2"/>
  <c r="F4374" i="2"/>
  <c r="E4374" i="2"/>
  <c r="D4374" i="2"/>
  <c r="C4374" i="2"/>
  <c r="B4374" i="2"/>
  <c r="A4374" i="2"/>
  <c r="U4373" i="2"/>
  <c r="N4373" i="2"/>
  <c r="M4373" i="2"/>
  <c r="J4373" i="2"/>
  <c r="I4373" i="2"/>
  <c r="H4373" i="2"/>
  <c r="G4373" i="2"/>
  <c r="F4373" i="2"/>
  <c r="E4373" i="2"/>
  <c r="D4373" i="2"/>
  <c r="C4373" i="2"/>
  <c r="B4373" i="2"/>
  <c r="A4373" i="2"/>
  <c r="U4372" i="2"/>
  <c r="N4372" i="2"/>
  <c r="M4372" i="2"/>
  <c r="J4372" i="2"/>
  <c r="I4372" i="2"/>
  <c r="H4372" i="2"/>
  <c r="G4372" i="2"/>
  <c r="F4372" i="2"/>
  <c r="E4372" i="2"/>
  <c r="D4372" i="2"/>
  <c r="C4372" i="2"/>
  <c r="B4372" i="2"/>
  <c r="A4372" i="2"/>
  <c r="U4371" i="2"/>
  <c r="N4371" i="2"/>
  <c r="M4371" i="2"/>
  <c r="J4371" i="2"/>
  <c r="I4371" i="2"/>
  <c r="H4371" i="2"/>
  <c r="G4371" i="2"/>
  <c r="F4371" i="2"/>
  <c r="E4371" i="2"/>
  <c r="D4371" i="2"/>
  <c r="C4371" i="2"/>
  <c r="B4371" i="2"/>
  <c r="A4371" i="2"/>
  <c r="U4370" i="2"/>
  <c r="N4370" i="2"/>
  <c r="M4370" i="2"/>
  <c r="J4370" i="2"/>
  <c r="I4370" i="2"/>
  <c r="H4370" i="2"/>
  <c r="G4370" i="2"/>
  <c r="F4370" i="2"/>
  <c r="E4370" i="2"/>
  <c r="D4370" i="2"/>
  <c r="C4370" i="2"/>
  <c r="B4370" i="2"/>
  <c r="A4370" i="2"/>
  <c r="U4369" i="2"/>
  <c r="N4369" i="2"/>
  <c r="M4369" i="2"/>
  <c r="J4369" i="2"/>
  <c r="I4369" i="2"/>
  <c r="H4369" i="2"/>
  <c r="G4369" i="2"/>
  <c r="F4369" i="2"/>
  <c r="E4369" i="2"/>
  <c r="D4369" i="2"/>
  <c r="C4369" i="2"/>
  <c r="B4369" i="2"/>
  <c r="A4369" i="2"/>
  <c r="U4368" i="2"/>
  <c r="N4368" i="2"/>
  <c r="M4368" i="2"/>
  <c r="J4368" i="2"/>
  <c r="I4368" i="2"/>
  <c r="H4368" i="2"/>
  <c r="G4368" i="2"/>
  <c r="F4368" i="2"/>
  <c r="E4368" i="2"/>
  <c r="D4368" i="2"/>
  <c r="C4368" i="2"/>
  <c r="B4368" i="2"/>
  <c r="A4368" i="2"/>
  <c r="U4367" i="2"/>
  <c r="N4367" i="2"/>
  <c r="M4367" i="2"/>
  <c r="J4367" i="2"/>
  <c r="I4367" i="2"/>
  <c r="H4367" i="2"/>
  <c r="G4367" i="2"/>
  <c r="F4367" i="2"/>
  <c r="E4367" i="2"/>
  <c r="D4367" i="2"/>
  <c r="C4367" i="2"/>
  <c r="B4367" i="2"/>
  <c r="A4367" i="2"/>
  <c r="U4366" i="2"/>
  <c r="N4366" i="2"/>
  <c r="M4366" i="2"/>
  <c r="J4366" i="2"/>
  <c r="I4366" i="2"/>
  <c r="H4366" i="2"/>
  <c r="G4366" i="2"/>
  <c r="F4366" i="2"/>
  <c r="E4366" i="2"/>
  <c r="D4366" i="2"/>
  <c r="C4366" i="2"/>
  <c r="B4366" i="2"/>
  <c r="A4366" i="2"/>
  <c r="U4365" i="2"/>
  <c r="N4365" i="2"/>
  <c r="M4365" i="2"/>
  <c r="J4365" i="2"/>
  <c r="I4365" i="2"/>
  <c r="H4365" i="2"/>
  <c r="G4365" i="2"/>
  <c r="F4365" i="2"/>
  <c r="E4365" i="2"/>
  <c r="D4365" i="2"/>
  <c r="C4365" i="2"/>
  <c r="B4365" i="2"/>
  <c r="A4365" i="2"/>
  <c r="U4364" i="2"/>
  <c r="N4364" i="2"/>
  <c r="M4364" i="2"/>
  <c r="J4364" i="2"/>
  <c r="I4364" i="2"/>
  <c r="H4364" i="2"/>
  <c r="G4364" i="2"/>
  <c r="F4364" i="2"/>
  <c r="E4364" i="2"/>
  <c r="D4364" i="2"/>
  <c r="C4364" i="2"/>
  <c r="B4364" i="2"/>
  <c r="A4364" i="2"/>
  <c r="U4363" i="2"/>
  <c r="N4363" i="2"/>
  <c r="M4363" i="2"/>
  <c r="J4363" i="2"/>
  <c r="I4363" i="2"/>
  <c r="H4363" i="2"/>
  <c r="G4363" i="2"/>
  <c r="F4363" i="2"/>
  <c r="E4363" i="2"/>
  <c r="D4363" i="2"/>
  <c r="C4363" i="2"/>
  <c r="B4363" i="2"/>
  <c r="A4363" i="2"/>
  <c r="U4362" i="2"/>
  <c r="N4362" i="2"/>
  <c r="M4362" i="2"/>
  <c r="J4362" i="2"/>
  <c r="I4362" i="2"/>
  <c r="H4362" i="2"/>
  <c r="G4362" i="2"/>
  <c r="F4362" i="2"/>
  <c r="E4362" i="2"/>
  <c r="D4362" i="2"/>
  <c r="C4362" i="2"/>
  <c r="B4362" i="2"/>
  <c r="A4362" i="2"/>
  <c r="U4361" i="2"/>
  <c r="N4361" i="2"/>
  <c r="M4361" i="2"/>
  <c r="J4361" i="2"/>
  <c r="I4361" i="2"/>
  <c r="H4361" i="2"/>
  <c r="G4361" i="2"/>
  <c r="F4361" i="2"/>
  <c r="E4361" i="2"/>
  <c r="D4361" i="2"/>
  <c r="C4361" i="2"/>
  <c r="B4361" i="2"/>
  <c r="A4361" i="2"/>
  <c r="U4360" i="2"/>
  <c r="N4360" i="2"/>
  <c r="M4360" i="2"/>
  <c r="J4360" i="2"/>
  <c r="I4360" i="2"/>
  <c r="H4360" i="2"/>
  <c r="G4360" i="2"/>
  <c r="F4360" i="2"/>
  <c r="E4360" i="2"/>
  <c r="D4360" i="2"/>
  <c r="C4360" i="2"/>
  <c r="B4360" i="2"/>
  <c r="A4360" i="2"/>
  <c r="U4359" i="2"/>
  <c r="N4359" i="2"/>
  <c r="M4359" i="2"/>
  <c r="J4359" i="2"/>
  <c r="I4359" i="2"/>
  <c r="H4359" i="2"/>
  <c r="G4359" i="2"/>
  <c r="F4359" i="2"/>
  <c r="E4359" i="2"/>
  <c r="D4359" i="2"/>
  <c r="C4359" i="2"/>
  <c r="B4359" i="2"/>
  <c r="A4359" i="2"/>
  <c r="U4358" i="2"/>
  <c r="N4358" i="2"/>
  <c r="M4358" i="2"/>
  <c r="J4358" i="2"/>
  <c r="I4358" i="2"/>
  <c r="H4358" i="2"/>
  <c r="G4358" i="2"/>
  <c r="F4358" i="2"/>
  <c r="E4358" i="2"/>
  <c r="D4358" i="2"/>
  <c r="C4358" i="2"/>
  <c r="B4358" i="2"/>
  <c r="A4358" i="2"/>
  <c r="Q4357" i="2"/>
  <c r="U4357" i="2" s="1"/>
  <c r="N4357" i="2"/>
  <c r="M4357" i="2"/>
  <c r="J4357" i="2"/>
  <c r="I4357" i="2"/>
  <c r="H4357" i="2"/>
  <c r="G4357" i="2"/>
  <c r="F4357" i="2"/>
  <c r="E4357" i="2"/>
  <c r="D4357" i="2"/>
  <c r="C4357" i="2"/>
  <c r="B4357" i="2"/>
  <c r="A4357" i="2"/>
  <c r="U4356" i="2"/>
  <c r="N4356" i="2"/>
  <c r="M4356" i="2"/>
  <c r="J4356" i="2"/>
  <c r="I4356" i="2"/>
  <c r="H4356" i="2"/>
  <c r="G4356" i="2"/>
  <c r="F4356" i="2"/>
  <c r="E4356" i="2"/>
  <c r="D4356" i="2"/>
  <c r="C4356" i="2"/>
  <c r="B4356" i="2"/>
  <c r="A4356" i="2"/>
  <c r="U4355" i="2"/>
  <c r="N4355" i="2"/>
  <c r="M4355" i="2"/>
  <c r="J4355" i="2"/>
  <c r="I4355" i="2"/>
  <c r="H4355" i="2"/>
  <c r="G4355" i="2"/>
  <c r="F4355" i="2"/>
  <c r="E4355" i="2"/>
  <c r="D4355" i="2"/>
  <c r="C4355" i="2"/>
  <c r="B4355" i="2"/>
  <c r="A4355" i="2"/>
  <c r="U4354" i="2"/>
  <c r="N4354" i="2"/>
  <c r="M4354" i="2"/>
  <c r="J4354" i="2"/>
  <c r="I4354" i="2"/>
  <c r="H4354" i="2"/>
  <c r="G4354" i="2"/>
  <c r="F4354" i="2"/>
  <c r="E4354" i="2"/>
  <c r="D4354" i="2"/>
  <c r="C4354" i="2"/>
  <c r="B4354" i="2"/>
  <c r="A4354" i="2"/>
  <c r="U4353" i="2"/>
  <c r="N4353" i="2"/>
  <c r="M4353" i="2"/>
  <c r="J4353" i="2"/>
  <c r="I4353" i="2"/>
  <c r="H4353" i="2"/>
  <c r="G4353" i="2"/>
  <c r="F4353" i="2"/>
  <c r="E4353" i="2"/>
  <c r="D4353" i="2"/>
  <c r="C4353" i="2"/>
  <c r="B4353" i="2"/>
  <c r="A4353" i="2"/>
  <c r="U4352" i="2"/>
  <c r="N4352" i="2"/>
  <c r="M4352" i="2"/>
  <c r="J4352" i="2"/>
  <c r="I4352" i="2"/>
  <c r="H4352" i="2"/>
  <c r="G4352" i="2"/>
  <c r="F4352" i="2"/>
  <c r="E4352" i="2"/>
  <c r="D4352" i="2"/>
  <c r="C4352" i="2"/>
  <c r="B4352" i="2"/>
  <c r="A4352" i="2"/>
  <c r="U4351" i="2"/>
  <c r="N4351" i="2"/>
  <c r="M4351" i="2"/>
  <c r="J4351" i="2"/>
  <c r="I4351" i="2"/>
  <c r="H4351" i="2"/>
  <c r="G4351" i="2"/>
  <c r="F4351" i="2"/>
  <c r="E4351" i="2"/>
  <c r="D4351" i="2"/>
  <c r="C4351" i="2"/>
  <c r="B4351" i="2"/>
  <c r="A4351" i="2"/>
  <c r="U4350" i="2"/>
  <c r="N4350" i="2"/>
  <c r="M4350" i="2"/>
  <c r="J4350" i="2"/>
  <c r="I4350" i="2"/>
  <c r="H4350" i="2"/>
  <c r="G4350" i="2"/>
  <c r="F4350" i="2"/>
  <c r="E4350" i="2"/>
  <c r="D4350" i="2"/>
  <c r="C4350" i="2"/>
  <c r="B4350" i="2"/>
  <c r="A4350" i="2"/>
  <c r="U4349" i="2"/>
  <c r="N4349" i="2"/>
  <c r="M4349" i="2"/>
  <c r="J4349" i="2"/>
  <c r="I4349" i="2"/>
  <c r="H4349" i="2"/>
  <c r="G4349" i="2"/>
  <c r="F4349" i="2"/>
  <c r="E4349" i="2"/>
  <c r="D4349" i="2"/>
  <c r="C4349" i="2"/>
  <c r="B4349" i="2"/>
  <c r="A4349" i="2"/>
  <c r="U4348" i="2"/>
  <c r="N4348" i="2"/>
  <c r="M4348" i="2"/>
  <c r="J4348" i="2"/>
  <c r="I4348" i="2"/>
  <c r="H4348" i="2"/>
  <c r="G4348" i="2"/>
  <c r="F4348" i="2"/>
  <c r="E4348" i="2"/>
  <c r="D4348" i="2"/>
  <c r="C4348" i="2"/>
  <c r="B4348" i="2"/>
  <c r="A4348" i="2"/>
  <c r="Q4347" i="2"/>
  <c r="U4347" i="2" s="1"/>
  <c r="N4347" i="2"/>
  <c r="M4347" i="2"/>
  <c r="J4347" i="2"/>
  <c r="I4347" i="2"/>
  <c r="H4347" i="2"/>
  <c r="G4347" i="2"/>
  <c r="F4347" i="2"/>
  <c r="E4347" i="2"/>
  <c r="D4347" i="2"/>
  <c r="C4347" i="2"/>
  <c r="B4347" i="2"/>
  <c r="A4347" i="2"/>
  <c r="U4346" i="2"/>
  <c r="N4346" i="2"/>
  <c r="M4346" i="2"/>
  <c r="J4346" i="2"/>
  <c r="I4346" i="2"/>
  <c r="H4346" i="2"/>
  <c r="G4346" i="2"/>
  <c r="F4346" i="2"/>
  <c r="E4346" i="2"/>
  <c r="D4346" i="2"/>
  <c r="C4346" i="2"/>
  <c r="B4346" i="2"/>
  <c r="A4346" i="2"/>
  <c r="U4345" i="2"/>
  <c r="N4345" i="2"/>
  <c r="M4345" i="2"/>
  <c r="J4345" i="2"/>
  <c r="I4345" i="2"/>
  <c r="H4345" i="2"/>
  <c r="G4345" i="2"/>
  <c r="F4345" i="2"/>
  <c r="E4345" i="2"/>
  <c r="D4345" i="2"/>
  <c r="C4345" i="2"/>
  <c r="B4345" i="2"/>
  <c r="A4345" i="2"/>
  <c r="Q4344" i="2"/>
  <c r="U4344" i="2" s="1"/>
  <c r="N4344" i="2"/>
  <c r="M4344" i="2"/>
  <c r="J4344" i="2"/>
  <c r="I4344" i="2"/>
  <c r="H4344" i="2"/>
  <c r="G4344" i="2"/>
  <c r="F4344" i="2"/>
  <c r="E4344" i="2"/>
  <c r="D4344" i="2"/>
  <c r="C4344" i="2"/>
  <c r="B4344" i="2"/>
  <c r="A4344" i="2"/>
  <c r="U4343" i="2"/>
  <c r="N4343" i="2"/>
  <c r="M4343" i="2"/>
  <c r="J4343" i="2"/>
  <c r="I4343" i="2"/>
  <c r="H4343" i="2"/>
  <c r="G4343" i="2"/>
  <c r="F4343" i="2"/>
  <c r="E4343" i="2"/>
  <c r="D4343" i="2"/>
  <c r="C4343" i="2"/>
  <c r="B4343" i="2"/>
  <c r="A4343" i="2"/>
  <c r="U4342" i="2"/>
  <c r="N4342" i="2"/>
  <c r="M4342" i="2"/>
  <c r="J4342" i="2"/>
  <c r="I4342" i="2"/>
  <c r="H4342" i="2"/>
  <c r="G4342" i="2"/>
  <c r="F4342" i="2"/>
  <c r="E4342" i="2"/>
  <c r="D4342" i="2"/>
  <c r="C4342" i="2"/>
  <c r="B4342" i="2"/>
  <c r="A4342" i="2"/>
  <c r="U4341" i="2"/>
  <c r="N4341" i="2"/>
  <c r="M4341" i="2"/>
  <c r="J4341" i="2"/>
  <c r="I4341" i="2"/>
  <c r="H4341" i="2"/>
  <c r="G4341" i="2"/>
  <c r="F4341" i="2"/>
  <c r="E4341" i="2"/>
  <c r="D4341" i="2"/>
  <c r="C4341" i="2"/>
  <c r="B4341" i="2"/>
  <c r="A4341" i="2"/>
  <c r="U4340" i="2"/>
  <c r="N4340" i="2"/>
  <c r="M4340" i="2"/>
  <c r="J4340" i="2"/>
  <c r="I4340" i="2"/>
  <c r="H4340" i="2"/>
  <c r="G4340" i="2"/>
  <c r="F4340" i="2"/>
  <c r="E4340" i="2"/>
  <c r="D4340" i="2"/>
  <c r="C4340" i="2"/>
  <c r="B4340" i="2"/>
  <c r="A4340" i="2"/>
  <c r="U4339" i="2"/>
  <c r="N4339" i="2"/>
  <c r="M4339" i="2"/>
  <c r="J4339" i="2"/>
  <c r="I4339" i="2"/>
  <c r="H4339" i="2"/>
  <c r="G4339" i="2"/>
  <c r="F4339" i="2"/>
  <c r="E4339" i="2"/>
  <c r="D4339" i="2"/>
  <c r="C4339" i="2"/>
  <c r="B4339" i="2"/>
  <c r="A4339" i="2"/>
  <c r="U4338" i="2"/>
  <c r="N4338" i="2"/>
  <c r="M4338" i="2"/>
  <c r="J4338" i="2"/>
  <c r="I4338" i="2"/>
  <c r="H4338" i="2"/>
  <c r="G4338" i="2"/>
  <c r="F4338" i="2"/>
  <c r="E4338" i="2"/>
  <c r="D4338" i="2"/>
  <c r="C4338" i="2"/>
  <c r="B4338" i="2"/>
  <c r="A4338" i="2"/>
  <c r="Q4337" i="2"/>
  <c r="U4337" i="2" s="1"/>
  <c r="N4337" i="2"/>
  <c r="M4337" i="2"/>
  <c r="J4337" i="2"/>
  <c r="I4337" i="2"/>
  <c r="H4337" i="2"/>
  <c r="G4337" i="2"/>
  <c r="F4337" i="2"/>
  <c r="E4337" i="2"/>
  <c r="D4337" i="2"/>
  <c r="C4337" i="2"/>
  <c r="B4337" i="2"/>
  <c r="A4337" i="2"/>
  <c r="Q4336" i="2"/>
  <c r="U4336" i="2" s="1"/>
  <c r="N4336" i="2"/>
  <c r="M4336" i="2"/>
  <c r="J4336" i="2"/>
  <c r="I4336" i="2"/>
  <c r="H4336" i="2"/>
  <c r="G4336" i="2"/>
  <c r="F4336" i="2"/>
  <c r="E4336" i="2"/>
  <c r="D4336" i="2"/>
  <c r="C4336" i="2"/>
  <c r="B4336" i="2"/>
  <c r="A4336" i="2"/>
  <c r="Q4335" i="2"/>
  <c r="U4335" i="2" s="1"/>
  <c r="N4335" i="2"/>
  <c r="M4335" i="2"/>
  <c r="J4335" i="2"/>
  <c r="I4335" i="2"/>
  <c r="H4335" i="2"/>
  <c r="G4335" i="2"/>
  <c r="F4335" i="2"/>
  <c r="E4335" i="2"/>
  <c r="D4335" i="2"/>
  <c r="C4335" i="2"/>
  <c r="B4335" i="2"/>
  <c r="A4335" i="2"/>
  <c r="U4334" i="2"/>
  <c r="N4334" i="2"/>
  <c r="M4334" i="2"/>
  <c r="J4334" i="2"/>
  <c r="I4334" i="2"/>
  <c r="H4334" i="2"/>
  <c r="G4334" i="2"/>
  <c r="F4334" i="2"/>
  <c r="E4334" i="2"/>
  <c r="D4334" i="2"/>
  <c r="C4334" i="2"/>
  <c r="B4334" i="2"/>
  <c r="A4334" i="2"/>
  <c r="Q4333" i="2"/>
  <c r="U4333" i="2" s="1"/>
  <c r="N4333" i="2"/>
  <c r="M4333" i="2"/>
  <c r="J4333" i="2"/>
  <c r="I4333" i="2"/>
  <c r="H4333" i="2"/>
  <c r="G4333" i="2"/>
  <c r="F4333" i="2"/>
  <c r="E4333" i="2"/>
  <c r="D4333" i="2"/>
  <c r="C4333" i="2"/>
  <c r="B4333" i="2"/>
  <c r="A4333" i="2"/>
  <c r="U4332" i="2"/>
  <c r="N4332" i="2"/>
  <c r="M4332" i="2"/>
  <c r="J4332" i="2"/>
  <c r="I4332" i="2"/>
  <c r="H4332" i="2"/>
  <c r="G4332" i="2"/>
  <c r="F4332" i="2"/>
  <c r="E4332" i="2"/>
  <c r="D4332" i="2"/>
  <c r="C4332" i="2"/>
  <c r="B4332" i="2"/>
  <c r="A4332" i="2"/>
  <c r="U4331" i="2"/>
  <c r="N4331" i="2"/>
  <c r="M4331" i="2"/>
  <c r="J4331" i="2"/>
  <c r="I4331" i="2"/>
  <c r="H4331" i="2"/>
  <c r="G4331" i="2"/>
  <c r="F4331" i="2"/>
  <c r="E4331" i="2"/>
  <c r="D4331" i="2"/>
  <c r="C4331" i="2"/>
  <c r="B4331" i="2"/>
  <c r="A4331" i="2"/>
  <c r="Q4330" i="2"/>
  <c r="U4330" i="2" s="1"/>
  <c r="N4330" i="2"/>
  <c r="M4330" i="2"/>
  <c r="J4330" i="2"/>
  <c r="I4330" i="2"/>
  <c r="H4330" i="2"/>
  <c r="G4330" i="2"/>
  <c r="F4330" i="2"/>
  <c r="E4330" i="2"/>
  <c r="D4330" i="2"/>
  <c r="C4330" i="2"/>
  <c r="B4330" i="2"/>
  <c r="A4330" i="2"/>
  <c r="Q4329" i="2"/>
  <c r="U4329" i="2" s="1"/>
  <c r="N4329" i="2"/>
  <c r="M4329" i="2"/>
  <c r="J4329" i="2"/>
  <c r="I4329" i="2"/>
  <c r="H4329" i="2"/>
  <c r="G4329" i="2"/>
  <c r="F4329" i="2"/>
  <c r="E4329" i="2"/>
  <c r="D4329" i="2"/>
  <c r="C4329" i="2"/>
  <c r="B4329" i="2"/>
  <c r="A4329" i="2"/>
  <c r="U4328" i="2"/>
  <c r="N4328" i="2"/>
  <c r="M4328" i="2"/>
  <c r="J4328" i="2"/>
  <c r="I4328" i="2"/>
  <c r="H4328" i="2"/>
  <c r="G4328" i="2"/>
  <c r="F4328" i="2"/>
  <c r="E4328" i="2"/>
  <c r="D4328" i="2"/>
  <c r="C4328" i="2"/>
  <c r="B4328" i="2"/>
  <c r="A4328" i="2"/>
  <c r="U4327" i="2"/>
  <c r="N4327" i="2"/>
  <c r="M4327" i="2"/>
  <c r="J4327" i="2"/>
  <c r="I4327" i="2"/>
  <c r="H4327" i="2"/>
  <c r="G4327" i="2"/>
  <c r="F4327" i="2"/>
  <c r="E4327" i="2"/>
  <c r="D4327" i="2"/>
  <c r="C4327" i="2"/>
  <c r="B4327" i="2"/>
  <c r="A4327" i="2"/>
  <c r="Q4326" i="2"/>
  <c r="U4326" i="2" s="1"/>
  <c r="N4326" i="2"/>
  <c r="M4326" i="2"/>
  <c r="J4326" i="2"/>
  <c r="I4326" i="2"/>
  <c r="H4326" i="2"/>
  <c r="G4326" i="2"/>
  <c r="F4326" i="2"/>
  <c r="E4326" i="2"/>
  <c r="D4326" i="2"/>
  <c r="C4326" i="2"/>
  <c r="B4326" i="2"/>
  <c r="A4326" i="2"/>
  <c r="Q4325" i="2"/>
  <c r="U4325" i="2" s="1"/>
  <c r="N4325" i="2"/>
  <c r="M4325" i="2"/>
  <c r="J4325" i="2"/>
  <c r="I4325" i="2"/>
  <c r="H4325" i="2"/>
  <c r="G4325" i="2"/>
  <c r="F4325" i="2"/>
  <c r="E4325" i="2"/>
  <c r="D4325" i="2"/>
  <c r="C4325" i="2"/>
  <c r="B4325" i="2"/>
  <c r="A4325" i="2"/>
  <c r="U4324" i="2"/>
  <c r="N4324" i="2"/>
  <c r="M4324" i="2"/>
  <c r="J4324" i="2"/>
  <c r="I4324" i="2"/>
  <c r="H4324" i="2"/>
  <c r="G4324" i="2"/>
  <c r="F4324" i="2"/>
  <c r="E4324" i="2"/>
  <c r="D4324" i="2"/>
  <c r="C4324" i="2"/>
  <c r="B4324" i="2"/>
  <c r="A4324" i="2"/>
  <c r="Q4323" i="2"/>
  <c r="U4323" i="2" s="1"/>
  <c r="N4323" i="2"/>
  <c r="M4323" i="2"/>
  <c r="J4323" i="2"/>
  <c r="I4323" i="2"/>
  <c r="H4323" i="2"/>
  <c r="G4323" i="2"/>
  <c r="F4323" i="2"/>
  <c r="E4323" i="2"/>
  <c r="D4323" i="2"/>
  <c r="C4323" i="2"/>
  <c r="B4323" i="2"/>
  <c r="A4323" i="2"/>
  <c r="U4322" i="2"/>
  <c r="N4322" i="2"/>
  <c r="M4322" i="2"/>
  <c r="J4322" i="2"/>
  <c r="I4322" i="2"/>
  <c r="H4322" i="2"/>
  <c r="G4322" i="2"/>
  <c r="F4322" i="2"/>
  <c r="E4322" i="2"/>
  <c r="D4322" i="2"/>
  <c r="C4322" i="2"/>
  <c r="B4322" i="2"/>
  <c r="A4322" i="2"/>
  <c r="Q4321" i="2"/>
  <c r="U4321" i="2" s="1"/>
  <c r="N4321" i="2"/>
  <c r="M4321" i="2"/>
  <c r="J4321" i="2"/>
  <c r="I4321" i="2"/>
  <c r="H4321" i="2"/>
  <c r="G4321" i="2"/>
  <c r="F4321" i="2"/>
  <c r="E4321" i="2"/>
  <c r="D4321" i="2"/>
  <c r="C4321" i="2"/>
  <c r="B4321" i="2"/>
  <c r="A4321" i="2"/>
  <c r="U4320" i="2"/>
  <c r="N4320" i="2"/>
  <c r="M4320" i="2"/>
  <c r="J4320" i="2"/>
  <c r="I4320" i="2"/>
  <c r="H4320" i="2"/>
  <c r="G4320" i="2"/>
  <c r="F4320" i="2"/>
  <c r="E4320" i="2"/>
  <c r="D4320" i="2"/>
  <c r="C4320" i="2"/>
  <c r="B4320" i="2"/>
  <c r="A4320" i="2"/>
  <c r="U4319" i="2"/>
  <c r="N4319" i="2"/>
  <c r="M4319" i="2"/>
  <c r="J4319" i="2"/>
  <c r="I4319" i="2"/>
  <c r="H4319" i="2"/>
  <c r="G4319" i="2"/>
  <c r="F4319" i="2"/>
  <c r="E4319" i="2"/>
  <c r="D4319" i="2"/>
  <c r="C4319" i="2"/>
  <c r="B4319" i="2"/>
  <c r="A4319" i="2"/>
  <c r="U4318" i="2"/>
  <c r="N4318" i="2"/>
  <c r="M4318" i="2"/>
  <c r="J4318" i="2"/>
  <c r="I4318" i="2"/>
  <c r="H4318" i="2"/>
  <c r="G4318" i="2"/>
  <c r="F4318" i="2"/>
  <c r="E4318" i="2"/>
  <c r="D4318" i="2"/>
  <c r="C4318" i="2"/>
  <c r="B4318" i="2"/>
  <c r="A4318" i="2"/>
  <c r="Q4317" i="2"/>
  <c r="U4317" i="2" s="1"/>
  <c r="N4317" i="2"/>
  <c r="M4317" i="2"/>
  <c r="J4317" i="2"/>
  <c r="I4317" i="2"/>
  <c r="H4317" i="2"/>
  <c r="G4317" i="2"/>
  <c r="F4317" i="2"/>
  <c r="E4317" i="2"/>
  <c r="D4317" i="2"/>
  <c r="C4317" i="2"/>
  <c r="B4317" i="2"/>
  <c r="A4317" i="2"/>
  <c r="U4316" i="2"/>
  <c r="N4316" i="2"/>
  <c r="M4316" i="2"/>
  <c r="J4316" i="2"/>
  <c r="I4316" i="2"/>
  <c r="H4316" i="2"/>
  <c r="G4316" i="2"/>
  <c r="F4316" i="2"/>
  <c r="E4316" i="2"/>
  <c r="D4316" i="2"/>
  <c r="C4316" i="2"/>
  <c r="B4316" i="2"/>
  <c r="A4316" i="2"/>
  <c r="U4315" i="2"/>
  <c r="N4315" i="2"/>
  <c r="M4315" i="2"/>
  <c r="J4315" i="2"/>
  <c r="I4315" i="2"/>
  <c r="H4315" i="2"/>
  <c r="G4315" i="2"/>
  <c r="F4315" i="2"/>
  <c r="E4315" i="2"/>
  <c r="D4315" i="2"/>
  <c r="C4315" i="2"/>
  <c r="B4315" i="2"/>
  <c r="A4315" i="2"/>
  <c r="Q4314" i="2"/>
  <c r="U4314" i="2" s="1"/>
  <c r="N4314" i="2"/>
  <c r="M4314" i="2"/>
  <c r="J4314" i="2"/>
  <c r="I4314" i="2"/>
  <c r="H4314" i="2"/>
  <c r="G4314" i="2"/>
  <c r="F4314" i="2"/>
  <c r="E4314" i="2"/>
  <c r="D4314" i="2"/>
  <c r="C4314" i="2"/>
  <c r="B4314" i="2"/>
  <c r="A4314" i="2"/>
  <c r="Q4313" i="2"/>
  <c r="U4313" i="2" s="1"/>
  <c r="N4313" i="2"/>
  <c r="M4313" i="2"/>
  <c r="J4313" i="2"/>
  <c r="I4313" i="2"/>
  <c r="H4313" i="2"/>
  <c r="G4313" i="2"/>
  <c r="F4313" i="2"/>
  <c r="E4313" i="2"/>
  <c r="D4313" i="2"/>
  <c r="C4313" i="2"/>
  <c r="B4313" i="2"/>
  <c r="A4313" i="2"/>
  <c r="Q4312" i="2"/>
  <c r="U4312" i="2" s="1"/>
  <c r="N4312" i="2"/>
  <c r="M4312" i="2"/>
  <c r="J4312" i="2"/>
  <c r="I4312" i="2"/>
  <c r="H4312" i="2"/>
  <c r="G4312" i="2"/>
  <c r="F4312" i="2"/>
  <c r="E4312" i="2"/>
  <c r="D4312" i="2"/>
  <c r="C4312" i="2"/>
  <c r="B4312" i="2"/>
  <c r="A4312" i="2"/>
  <c r="U4311" i="2"/>
  <c r="N4311" i="2"/>
  <c r="M4311" i="2"/>
  <c r="J4311" i="2"/>
  <c r="I4311" i="2"/>
  <c r="H4311" i="2"/>
  <c r="G4311" i="2"/>
  <c r="F4311" i="2"/>
  <c r="E4311" i="2"/>
  <c r="D4311" i="2"/>
  <c r="C4311" i="2"/>
  <c r="B4311" i="2"/>
  <c r="A4311" i="2"/>
  <c r="U4310" i="2"/>
  <c r="N4310" i="2"/>
  <c r="M4310" i="2"/>
  <c r="J4310" i="2"/>
  <c r="I4310" i="2"/>
  <c r="H4310" i="2"/>
  <c r="G4310" i="2"/>
  <c r="F4310" i="2"/>
  <c r="E4310" i="2"/>
  <c r="D4310" i="2"/>
  <c r="C4310" i="2"/>
  <c r="B4310" i="2"/>
  <c r="A4310" i="2"/>
  <c r="Q4309" i="2"/>
  <c r="U4309" i="2" s="1"/>
  <c r="N4309" i="2"/>
  <c r="M4309" i="2"/>
  <c r="J4309" i="2"/>
  <c r="I4309" i="2"/>
  <c r="H4309" i="2"/>
  <c r="G4309" i="2"/>
  <c r="F4309" i="2"/>
  <c r="E4309" i="2"/>
  <c r="D4309" i="2"/>
  <c r="C4309" i="2"/>
  <c r="B4309" i="2"/>
  <c r="A4309" i="2"/>
  <c r="U4308" i="2"/>
  <c r="N4308" i="2"/>
  <c r="M4308" i="2"/>
  <c r="J4308" i="2"/>
  <c r="I4308" i="2"/>
  <c r="H4308" i="2"/>
  <c r="G4308" i="2"/>
  <c r="F4308" i="2"/>
  <c r="E4308" i="2"/>
  <c r="D4308" i="2"/>
  <c r="C4308" i="2"/>
  <c r="B4308" i="2"/>
  <c r="A4308" i="2"/>
  <c r="U4307" i="2"/>
  <c r="N4307" i="2"/>
  <c r="M4307" i="2"/>
  <c r="J4307" i="2"/>
  <c r="I4307" i="2"/>
  <c r="H4307" i="2"/>
  <c r="G4307" i="2"/>
  <c r="F4307" i="2"/>
  <c r="E4307" i="2"/>
  <c r="D4307" i="2"/>
  <c r="C4307" i="2"/>
  <c r="B4307" i="2"/>
  <c r="A4307" i="2"/>
  <c r="U4306" i="2"/>
  <c r="N4306" i="2"/>
  <c r="M4306" i="2"/>
  <c r="J4306" i="2"/>
  <c r="I4306" i="2"/>
  <c r="H4306" i="2"/>
  <c r="G4306" i="2"/>
  <c r="F4306" i="2"/>
  <c r="E4306" i="2"/>
  <c r="D4306" i="2"/>
  <c r="C4306" i="2"/>
  <c r="B4306" i="2"/>
  <c r="A4306" i="2"/>
  <c r="U4305" i="2"/>
  <c r="N4305" i="2"/>
  <c r="M4305" i="2"/>
  <c r="J4305" i="2"/>
  <c r="I4305" i="2"/>
  <c r="H4305" i="2"/>
  <c r="G4305" i="2"/>
  <c r="F4305" i="2"/>
  <c r="E4305" i="2"/>
  <c r="D4305" i="2"/>
  <c r="C4305" i="2"/>
  <c r="B4305" i="2"/>
  <c r="A4305" i="2"/>
  <c r="U4304" i="2"/>
  <c r="N4304" i="2"/>
  <c r="M4304" i="2"/>
  <c r="J4304" i="2"/>
  <c r="I4304" i="2"/>
  <c r="H4304" i="2"/>
  <c r="G4304" i="2"/>
  <c r="F4304" i="2"/>
  <c r="E4304" i="2"/>
  <c r="D4304" i="2"/>
  <c r="C4304" i="2"/>
  <c r="B4304" i="2"/>
  <c r="A4304" i="2"/>
  <c r="Q4303" i="2"/>
  <c r="U4303" i="2" s="1"/>
  <c r="N4303" i="2"/>
  <c r="M4303" i="2"/>
  <c r="J4303" i="2"/>
  <c r="I4303" i="2"/>
  <c r="H4303" i="2"/>
  <c r="G4303" i="2"/>
  <c r="F4303" i="2"/>
  <c r="E4303" i="2"/>
  <c r="D4303" i="2"/>
  <c r="C4303" i="2"/>
  <c r="B4303" i="2"/>
  <c r="A4303" i="2"/>
  <c r="U4302" i="2"/>
  <c r="N4302" i="2"/>
  <c r="M4302" i="2"/>
  <c r="J4302" i="2"/>
  <c r="I4302" i="2"/>
  <c r="H4302" i="2"/>
  <c r="G4302" i="2"/>
  <c r="F4302" i="2"/>
  <c r="E4302" i="2"/>
  <c r="D4302" i="2"/>
  <c r="C4302" i="2"/>
  <c r="B4302" i="2"/>
  <c r="A4302" i="2"/>
  <c r="Q4301" i="2"/>
  <c r="U4301" i="2" s="1"/>
  <c r="N4301" i="2"/>
  <c r="M4301" i="2"/>
  <c r="J4301" i="2"/>
  <c r="I4301" i="2"/>
  <c r="H4301" i="2"/>
  <c r="G4301" i="2"/>
  <c r="F4301" i="2"/>
  <c r="E4301" i="2"/>
  <c r="D4301" i="2"/>
  <c r="C4301" i="2"/>
  <c r="B4301" i="2"/>
  <c r="A4301" i="2"/>
  <c r="U4300" i="2"/>
  <c r="N4300" i="2"/>
  <c r="M4300" i="2"/>
  <c r="J4300" i="2"/>
  <c r="I4300" i="2"/>
  <c r="H4300" i="2"/>
  <c r="G4300" i="2"/>
  <c r="F4300" i="2"/>
  <c r="E4300" i="2"/>
  <c r="D4300" i="2"/>
  <c r="C4300" i="2"/>
  <c r="B4300" i="2"/>
  <c r="A4300" i="2"/>
  <c r="Q4299" i="2"/>
  <c r="U4299" i="2" s="1"/>
  <c r="N4299" i="2"/>
  <c r="M4299" i="2"/>
  <c r="J4299" i="2"/>
  <c r="I4299" i="2"/>
  <c r="H4299" i="2"/>
  <c r="G4299" i="2"/>
  <c r="F4299" i="2"/>
  <c r="E4299" i="2"/>
  <c r="D4299" i="2"/>
  <c r="C4299" i="2"/>
  <c r="B4299" i="2"/>
  <c r="A4299" i="2"/>
  <c r="U4298" i="2"/>
  <c r="N4298" i="2"/>
  <c r="M4298" i="2"/>
  <c r="J4298" i="2"/>
  <c r="I4298" i="2"/>
  <c r="H4298" i="2"/>
  <c r="G4298" i="2"/>
  <c r="F4298" i="2"/>
  <c r="E4298" i="2"/>
  <c r="D4298" i="2"/>
  <c r="C4298" i="2"/>
  <c r="B4298" i="2"/>
  <c r="A4298" i="2"/>
  <c r="U4297" i="2"/>
  <c r="N4297" i="2"/>
  <c r="M4297" i="2"/>
  <c r="J4297" i="2"/>
  <c r="I4297" i="2"/>
  <c r="H4297" i="2"/>
  <c r="G4297" i="2"/>
  <c r="F4297" i="2"/>
  <c r="E4297" i="2"/>
  <c r="D4297" i="2"/>
  <c r="C4297" i="2"/>
  <c r="B4297" i="2"/>
  <c r="A4297" i="2"/>
  <c r="U4296" i="2"/>
  <c r="N4296" i="2"/>
  <c r="M4296" i="2"/>
  <c r="J4296" i="2"/>
  <c r="I4296" i="2"/>
  <c r="H4296" i="2"/>
  <c r="G4296" i="2"/>
  <c r="F4296" i="2"/>
  <c r="E4296" i="2"/>
  <c r="D4296" i="2"/>
  <c r="C4296" i="2"/>
  <c r="B4296" i="2"/>
  <c r="A4296" i="2"/>
  <c r="U4295" i="2"/>
  <c r="N4295" i="2"/>
  <c r="M4295" i="2"/>
  <c r="J4295" i="2"/>
  <c r="I4295" i="2"/>
  <c r="H4295" i="2"/>
  <c r="G4295" i="2"/>
  <c r="F4295" i="2"/>
  <c r="E4295" i="2"/>
  <c r="D4295" i="2"/>
  <c r="C4295" i="2"/>
  <c r="B4295" i="2"/>
  <c r="A4295" i="2"/>
  <c r="Q4294" i="2"/>
  <c r="U4294" i="2" s="1"/>
  <c r="N4294" i="2"/>
  <c r="M4294" i="2"/>
  <c r="J4294" i="2"/>
  <c r="I4294" i="2"/>
  <c r="H4294" i="2"/>
  <c r="G4294" i="2"/>
  <c r="F4294" i="2"/>
  <c r="E4294" i="2"/>
  <c r="D4294" i="2"/>
  <c r="C4294" i="2"/>
  <c r="B4294" i="2"/>
  <c r="A4294" i="2"/>
  <c r="U4293" i="2"/>
  <c r="N4293" i="2"/>
  <c r="M4293" i="2"/>
  <c r="J4293" i="2"/>
  <c r="I4293" i="2"/>
  <c r="H4293" i="2"/>
  <c r="G4293" i="2"/>
  <c r="F4293" i="2"/>
  <c r="E4293" i="2"/>
  <c r="D4293" i="2"/>
  <c r="C4293" i="2"/>
  <c r="B4293" i="2"/>
  <c r="A4293" i="2"/>
  <c r="U4292" i="2"/>
  <c r="N4292" i="2"/>
  <c r="M4292" i="2"/>
  <c r="J4292" i="2"/>
  <c r="I4292" i="2"/>
  <c r="H4292" i="2"/>
  <c r="G4292" i="2"/>
  <c r="F4292" i="2"/>
  <c r="E4292" i="2"/>
  <c r="D4292" i="2"/>
  <c r="C4292" i="2"/>
  <c r="B4292" i="2"/>
  <c r="A4292" i="2"/>
  <c r="Q4291" i="2"/>
  <c r="U4291" i="2" s="1"/>
  <c r="N4291" i="2"/>
  <c r="M4291" i="2"/>
  <c r="J4291" i="2"/>
  <c r="I4291" i="2"/>
  <c r="H4291" i="2"/>
  <c r="G4291" i="2"/>
  <c r="F4291" i="2"/>
  <c r="E4291" i="2"/>
  <c r="D4291" i="2"/>
  <c r="C4291" i="2"/>
  <c r="B4291" i="2"/>
  <c r="A4291" i="2"/>
  <c r="U4290" i="2"/>
  <c r="N4290" i="2"/>
  <c r="M4290" i="2"/>
  <c r="J4290" i="2"/>
  <c r="I4290" i="2"/>
  <c r="H4290" i="2"/>
  <c r="G4290" i="2"/>
  <c r="F4290" i="2"/>
  <c r="E4290" i="2"/>
  <c r="D4290" i="2"/>
  <c r="C4290" i="2"/>
  <c r="B4290" i="2"/>
  <c r="A4290" i="2"/>
  <c r="U4289" i="2"/>
  <c r="N4289" i="2"/>
  <c r="M4289" i="2"/>
  <c r="J4289" i="2"/>
  <c r="I4289" i="2"/>
  <c r="H4289" i="2"/>
  <c r="G4289" i="2"/>
  <c r="F4289" i="2"/>
  <c r="E4289" i="2"/>
  <c r="D4289" i="2"/>
  <c r="C4289" i="2"/>
  <c r="B4289" i="2"/>
  <c r="A4289" i="2"/>
  <c r="U4288" i="2"/>
  <c r="N4288" i="2"/>
  <c r="M4288" i="2"/>
  <c r="J4288" i="2"/>
  <c r="I4288" i="2"/>
  <c r="H4288" i="2"/>
  <c r="G4288" i="2"/>
  <c r="F4288" i="2"/>
  <c r="E4288" i="2"/>
  <c r="D4288" i="2"/>
  <c r="C4288" i="2"/>
  <c r="B4288" i="2"/>
  <c r="A4288" i="2"/>
  <c r="Q4287" i="2"/>
  <c r="U4287" i="2" s="1"/>
  <c r="N4287" i="2"/>
  <c r="M4287" i="2"/>
  <c r="J4287" i="2"/>
  <c r="I4287" i="2"/>
  <c r="H4287" i="2"/>
  <c r="G4287" i="2"/>
  <c r="F4287" i="2"/>
  <c r="E4287" i="2"/>
  <c r="D4287" i="2"/>
  <c r="C4287" i="2"/>
  <c r="B4287" i="2"/>
  <c r="A4287" i="2"/>
  <c r="Q4286" i="2"/>
  <c r="U4286" i="2" s="1"/>
  <c r="N4286" i="2"/>
  <c r="M4286" i="2"/>
  <c r="J4286" i="2"/>
  <c r="I4286" i="2"/>
  <c r="H4286" i="2"/>
  <c r="G4286" i="2"/>
  <c r="F4286" i="2"/>
  <c r="E4286" i="2"/>
  <c r="D4286" i="2"/>
  <c r="C4286" i="2"/>
  <c r="B4286" i="2"/>
  <c r="A4286" i="2"/>
  <c r="Q4285" i="2"/>
  <c r="U4285" i="2" s="1"/>
  <c r="N4285" i="2"/>
  <c r="M4285" i="2"/>
  <c r="J4285" i="2"/>
  <c r="I4285" i="2"/>
  <c r="H4285" i="2"/>
  <c r="G4285" i="2"/>
  <c r="F4285" i="2"/>
  <c r="E4285" i="2"/>
  <c r="D4285" i="2"/>
  <c r="C4285" i="2"/>
  <c r="B4285" i="2"/>
  <c r="A4285" i="2"/>
  <c r="U4284" i="2"/>
  <c r="N4284" i="2"/>
  <c r="M4284" i="2"/>
  <c r="J4284" i="2"/>
  <c r="I4284" i="2"/>
  <c r="H4284" i="2"/>
  <c r="G4284" i="2"/>
  <c r="F4284" i="2"/>
  <c r="E4284" i="2"/>
  <c r="D4284" i="2"/>
  <c r="C4284" i="2"/>
  <c r="B4284" i="2"/>
  <c r="A4284" i="2"/>
  <c r="U4283" i="2"/>
  <c r="N4283" i="2"/>
  <c r="M4283" i="2"/>
  <c r="J4283" i="2"/>
  <c r="I4283" i="2"/>
  <c r="H4283" i="2"/>
  <c r="G4283" i="2"/>
  <c r="F4283" i="2"/>
  <c r="E4283" i="2"/>
  <c r="D4283" i="2"/>
  <c r="C4283" i="2"/>
  <c r="B4283" i="2"/>
  <c r="A4283" i="2"/>
  <c r="U4282" i="2"/>
  <c r="N4282" i="2"/>
  <c r="M4282" i="2"/>
  <c r="J4282" i="2"/>
  <c r="I4282" i="2"/>
  <c r="H4282" i="2"/>
  <c r="G4282" i="2"/>
  <c r="F4282" i="2"/>
  <c r="E4282" i="2"/>
  <c r="D4282" i="2"/>
  <c r="C4282" i="2"/>
  <c r="B4282" i="2"/>
  <c r="A4282" i="2"/>
  <c r="Q4281" i="2"/>
  <c r="U4281" i="2" s="1"/>
  <c r="N4281" i="2"/>
  <c r="M4281" i="2"/>
  <c r="J4281" i="2"/>
  <c r="I4281" i="2"/>
  <c r="H4281" i="2"/>
  <c r="G4281" i="2"/>
  <c r="F4281" i="2"/>
  <c r="E4281" i="2"/>
  <c r="D4281" i="2"/>
  <c r="C4281" i="2"/>
  <c r="B4281" i="2"/>
  <c r="A4281" i="2"/>
  <c r="U4280" i="2"/>
  <c r="N4280" i="2"/>
  <c r="M4280" i="2"/>
  <c r="J4280" i="2"/>
  <c r="I4280" i="2"/>
  <c r="H4280" i="2"/>
  <c r="G4280" i="2"/>
  <c r="F4280" i="2"/>
  <c r="E4280" i="2"/>
  <c r="D4280" i="2"/>
  <c r="C4280" i="2"/>
  <c r="B4280" i="2"/>
  <c r="A4280" i="2"/>
  <c r="Q4279" i="2"/>
  <c r="U4279" i="2" s="1"/>
  <c r="N4279" i="2"/>
  <c r="M4279" i="2"/>
  <c r="J4279" i="2"/>
  <c r="I4279" i="2"/>
  <c r="H4279" i="2"/>
  <c r="G4279" i="2"/>
  <c r="F4279" i="2"/>
  <c r="E4279" i="2"/>
  <c r="D4279" i="2"/>
  <c r="C4279" i="2"/>
  <c r="B4279" i="2"/>
  <c r="A4279" i="2"/>
  <c r="Q4278" i="2"/>
  <c r="U4278" i="2" s="1"/>
  <c r="N4278" i="2"/>
  <c r="M4278" i="2"/>
  <c r="J4278" i="2"/>
  <c r="I4278" i="2"/>
  <c r="H4278" i="2"/>
  <c r="G4278" i="2"/>
  <c r="F4278" i="2"/>
  <c r="E4278" i="2"/>
  <c r="D4278" i="2"/>
  <c r="C4278" i="2"/>
  <c r="B4278" i="2"/>
  <c r="A4278" i="2"/>
  <c r="U4277" i="2"/>
  <c r="N4277" i="2"/>
  <c r="M4277" i="2"/>
  <c r="J4277" i="2"/>
  <c r="I4277" i="2"/>
  <c r="H4277" i="2"/>
  <c r="G4277" i="2"/>
  <c r="F4277" i="2"/>
  <c r="E4277" i="2"/>
  <c r="D4277" i="2"/>
  <c r="C4277" i="2"/>
  <c r="B4277" i="2"/>
  <c r="A4277" i="2"/>
  <c r="Q4276" i="2"/>
  <c r="U4276" i="2" s="1"/>
  <c r="N4276" i="2"/>
  <c r="M4276" i="2"/>
  <c r="J4276" i="2"/>
  <c r="I4276" i="2"/>
  <c r="H4276" i="2"/>
  <c r="G4276" i="2"/>
  <c r="F4276" i="2"/>
  <c r="E4276" i="2"/>
  <c r="D4276" i="2"/>
  <c r="C4276" i="2"/>
  <c r="B4276" i="2"/>
  <c r="A4276" i="2"/>
  <c r="U4275" i="2"/>
  <c r="N4275" i="2"/>
  <c r="M4275" i="2"/>
  <c r="J4275" i="2"/>
  <c r="I4275" i="2"/>
  <c r="H4275" i="2"/>
  <c r="G4275" i="2"/>
  <c r="F4275" i="2"/>
  <c r="E4275" i="2"/>
  <c r="D4275" i="2"/>
  <c r="C4275" i="2"/>
  <c r="B4275" i="2"/>
  <c r="A4275" i="2"/>
  <c r="U4274" i="2"/>
  <c r="N4274" i="2"/>
  <c r="M4274" i="2"/>
  <c r="J4274" i="2"/>
  <c r="I4274" i="2"/>
  <c r="H4274" i="2"/>
  <c r="G4274" i="2"/>
  <c r="F4274" i="2"/>
  <c r="E4274" i="2"/>
  <c r="D4274" i="2"/>
  <c r="C4274" i="2"/>
  <c r="B4274" i="2"/>
  <c r="A4274" i="2"/>
  <c r="U4273" i="2"/>
  <c r="N4273" i="2"/>
  <c r="M4273" i="2"/>
  <c r="J4273" i="2"/>
  <c r="I4273" i="2"/>
  <c r="H4273" i="2"/>
  <c r="G4273" i="2"/>
  <c r="F4273" i="2"/>
  <c r="E4273" i="2"/>
  <c r="D4273" i="2"/>
  <c r="C4273" i="2"/>
  <c r="B4273" i="2"/>
  <c r="A4273" i="2"/>
  <c r="Q4272" i="2"/>
  <c r="U4272" i="2" s="1"/>
  <c r="N4272" i="2"/>
  <c r="M4272" i="2"/>
  <c r="J4272" i="2"/>
  <c r="I4272" i="2"/>
  <c r="H4272" i="2"/>
  <c r="G4272" i="2"/>
  <c r="F4272" i="2"/>
  <c r="E4272" i="2"/>
  <c r="D4272" i="2"/>
  <c r="C4272" i="2"/>
  <c r="B4272" i="2"/>
  <c r="A4272" i="2"/>
  <c r="U4271" i="2"/>
  <c r="N4271" i="2"/>
  <c r="M4271" i="2"/>
  <c r="J4271" i="2"/>
  <c r="I4271" i="2"/>
  <c r="H4271" i="2"/>
  <c r="G4271" i="2"/>
  <c r="F4271" i="2"/>
  <c r="E4271" i="2"/>
  <c r="D4271" i="2"/>
  <c r="C4271" i="2"/>
  <c r="B4271" i="2"/>
  <c r="A4271" i="2"/>
  <c r="Q4270" i="2"/>
  <c r="U4270" i="2" s="1"/>
  <c r="N4270" i="2"/>
  <c r="M4270" i="2"/>
  <c r="J4270" i="2"/>
  <c r="I4270" i="2"/>
  <c r="H4270" i="2"/>
  <c r="G4270" i="2"/>
  <c r="F4270" i="2"/>
  <c r="E4270" i="2"/>
  <c r="D4270" i="2"/>
  <c r="C4270" i="2"/>
  <c r="B4270" i="2"/>
  <c r="A4270" i="2"/>
  <c r="Q4269" i="2"/>
  <c r="U4269" i="2" s="1"/>
  <c r="N4269" i="2"/>
  <c r="M4269" i="2"/>
  <c r="J4269" i="2"/>
  <c r="I4269" i="2"/>
  <c r="H4269" i="2"/>
  <c r="G4269" i="2"/>
  <c r="F4269" i="2"/>
  <c r="E4269" i="2"/>
  <c r="D4269" i="2"/>
  <c r="C4269" i="2"/>
  <c r="B4269" i="2"/>
  <c r="A4269" i="2"/>
  <c r="U4268" i="2"/>
  <c r="N4268" i="2"/>
  <c r="M4268" i="2"/>
  <c r="J4268" i="2"/>
  <c r="I4268" i="2"/>
  <c r="H4268" i="2"/>
  <c r="G4268" i="2"/>
  <c r="F4268" i="2"/>
  <c r="E4268" i="2"/>
  <c r="D4268" i="2"/>
  <c r="C4268" i="2"/>
  <c r="B4268" i="2"/>
  <c r="A4268" i="2"/>
  <c r="U4267" i="2"/>
  <c r="N4267" i="2"/>
  <c r="M4267" i="2"/>
  <c r="J4267" i="2"/>
  <c r="I4267" i="2"/>
  <c r="H4267" i="2"/>
  <c r="G4267" i="2"/>
  <c r="F4267" i="2"/>
  <c r="E4267" i="2"/>
  <c r="D4267" i="2"/>
  <c r="C4267" i="2"/>
  <c r="B4267" i="2"/>
  <c r="A4267" i="2"/>
  <c r="U4266" i="2"/>
  <c r="N4266" i="2"/>
  <c r="M4266" i="2"/>
  <c r="J4266" i="2"/>
  <c r="I4266" i="2"/>
  <c r="H4266" i="2"/>
  <c r="G4266" i="2"/>
  <c r="F4266" i="2"/>
  <c r="E4266" i="2"/>
  <c r="D4266" i="2"/>
  <c r="C4266" i="2"/>
  <c r="B4266" i="2"/>
  <c r="A4266" i="2"/>
  <c r="Q4265" i="2"/>
  <c r="U4265" i="2" s="1"/>
  <c r="N4265" i="2"/>
  <c r="M4265" i="2"/>
  <c r="J4265" i="2"/>
  <c r="I4265" i="2"/>
  <c r="H4265" i="2"/>
  <c r="G4265" i="2"/>
  <c r="F4265" i="2"/>
  <c r="E4265" i="2"/>
  <c r="D4265" i="2"/>
  <c r="C4265" i="2"/>
  <c r="B4265" i="2"/>
  <c r="A4265" i="2"/>
  <c r="U4264" i="2"/>
  <c r="N4264" i="2"/>
  <c r="M4264" i="2"/>
  <c r="J4264" i="2"/>
  <c r="I4264" i="2"/>
  <c r="H4264" i="2"/>
  <c r="G4264" i="2"/>
  <c r="F4264" i="2"/>
  <c r="E4264" i="2"/>
  <c r="D4264" i="2"/>
  <c r="C4264" i="2"/>
  <c r="B4264" i="2"/>
  <c r="A4264" i="2"/>
  <c r="U4263" i="2"/>
  <c r="N4263" i="2"/>
  <c r="M4263" i="2"/>
  <c r="J4263" i="2"/>
  <c r="I4263" i="2"/>
  <c r="H4263" i="2"/>
  <c r="G4263" i="2"/>
  <c r="F4263" i="2"/>
  <c r="E4263" i="2"/>
  <c r="D4263" i="2"/>
  <c r="C4263" i="2"/>
  <c r="B4263" i="2"/>
  <c r="A4263" i="2"/>
  <c r="U4262" i="2"/>
  <c r="N4262" i="2"/>
  <c r="M4262" i="2"/>
  <c r="J4262" i="2"/>
  <c r="I4262" i="2"/>
  <c r="H4262" i="2"/>
  <c r="G4262" i="2"/>
  <c r="F4262" i="2"/>
  <c r="E4262" i="2"/>
  <c r="D4262" i="2"/>
  <c r="C4262" i="2"/>
  <c r="B4262" i="2"/>
  <c r="A4262" i="2"/>
  <c r="U4261" i="2"/>
  <c r="N4261" i="2"/>
  <c r="M4261" i="2"/>
  <c r="J4261" i="2"/>
  <c r="I4261" i="2"/>
  <c r="H4261" i="2"/>
  <c r="G4261" i="2"/>
  <c r="F4261" i="2"/>
  <c r="E4261" i="2"/>
  <c r="D4261" i="2"/>
  <c r="C4261" i="2"/>
  <c r="B4261" i="2"/>
  <c r="A4261" i="2"/>
  <c r="U4260" i="2"/>
  <c r="N4260" i="2"/>
  <c r="M4260" i="2"/>
  <c r="J4260" i="2"/>
  <c r="I4260" i="2"/>
  <c r="H4260" i="2"/>
  <c r="G4260" i="2"/>
  <c r="F4260" i="2"/>
  <c r="E4260" i="2"/>
  <c r="D4260" i="2"/>
  <c r="C4260" i="2"/>
  <c r="B4260" i="2"/>
  <c r="A4260" i="2"/>
  <c r="U4259" i="2"/>
  <c r="N4259" i="2"/>
  <c r="M4259" i="2"/>
  <c r="J4259" i="2"/>
  <c r="I4259" i="2"/>
  <c r="H4259" i="2"/>
  <c r="G4259" i="2"/>
  <c r="F4259" i="2"/>
  <c r="E4259" i="2"/>
  <c r="D4259" i="2"/>
  <c r="C4259" i="2"/>
  <c r="B4259" i="2"/>
  <c r="A4259" i="2"/>
  <c r="U4258" i="2"/>
  <c r="N4258" i="2"/>
  <c r="M4258" i="2"/>
  <c r="J4258" i="2"/>
  <c r="I4258" i="2"/>
  <c r="H4258" i="2"/>
  <c r="G4258" i="2"/>
  <c r="F4258" i="2"/>
  <c r="E4258" i="2"/>
  <c r="D4258" i="2"/>
  <c r="C4258" i="2"/>
  <c r="B4258" i="2"/>
  <c r="A4258" i="2"/>
  <c r="U4257" i="2"/>
  <c r="N4257" i="2"/>
  <c r="M4257" i="2"/>
  <c r="J4257" i="2"/>
  <c r="I4257" i="2"/>
  <c r="H4257" i="2"/>
  <c r="G4257" i="2"/>
  <c r="F4257" i="2"/>
  <c r="E4257" i="2"/>
  <c r="D4257" i="2"/>
  <c r="C4257" i="2"/>
  <c r="B4257" i="2"/>
  <c r="A4257" i="2"/>
  <c r="U4256" i="2"/>
  <c r="N4256" i="2"/>
  <c r="M4256" i="2"/>
  <c r="J4256" i="2"/>
  <c r="I4256" i="2"/>
  <c r="H4256" i="2"/>
  <c r="G4256" i="2"/>
  <c r="F4256" i="2"/>
  <c r="E4256" i="2"/>
  <c r="D4256" i="2"/>
  <c r="C4256" i="2"/>
  <c r="B4256" i="2"/>
  <c r="A4256" i="2"/>
  <c r="U4255" i="2"/>
  <c r="N4255" i="2"/>
  <c r="M4255" i="2"/>
  <c r="J4255" i="2"/>
  <c r="I4255" i="2"/>
  <c r="H4255" i="2"/>
  <c r="G4255" i="2"/>
  <c r="F4255" i="2"/>
  <c r="E4255" i="2"/>
  <c r="D4255" i="2"/>
  <c r="C4255" i="2"/>
  <c r="B4255" i="2"/>
  <c r="A4255" i="2"/>
  <c r="U4254" i="2"/>
  <c r="N4254" i="2"/>
  <c r="M4254" i="2"/>
  <c r="J4254" i="2"/>
  <c r="I4254" i="2"/>
  <c r="H4254" i="2"/>
  <c r="G4254" i="2"/>
  <c r="F4254" i="2"/>
  <c r="E4254" i="2"/>
  <c r="D4254" i="2"/>
  <c r="C4254" i="2"/>
  <c r="B4254" i="2"/>
  <c r="A4254" i="2"/>
  <c r="U4253" i="2"/>
  <c r="N4253" i="2"/>
  <c r="M4253" i="2"/>
  <c r="J4253" i="2"/>
  <c r="I4253" i="2"/>
  <c r="H4253" i="2"/>
  <c r="G4253" i="2"/>
  <c r="F4253" i="2"/>
  <c r="E4253" i="2"/>
  <c r="D4253" i="2"/>
  <c r="C4253" i="2"/>
  <c r="B4253" i="2"/>
  <c r="A4253" i="2"/>
  <c r="U4252" i="2"/>
  <c r="N4252" i="2"/>
  <c r="M4252" i="2"/>
  <c r="J4252" i="2"/>
  <c r="I4252" i="2"/>
  <c r="H4252" i="2"/>
  <c r="G4252" i="2"/>
  <c r="F4252" i="2"/>
  <c r="E4252" i="2"/>
  <c r="D4252" i="2"/>
  <c r="C4252" i="2"/>
  <c r="B4252" i="2"/>
  <c r="A4252" i="2"/>
  <c r="U4251" i="2"/>
  <c r="N4251" i="2"/>
  <c r="M4251" i="2"/>
  <c r="J4251" i="2"/>
  <c r="I4251" i="2"/>
  <c r="H4251" i="2"/>
  <c r="G4251" i="2"/>
  <c r="F4251" i="2"/>
  <c r="E4251" i="2"/>
  <c r="D4251" i="2"/>
  <c r="C4251" i="2"/>
  <c r="B4251" i="2"/>
  <c r="A4251" i="2"/>
  <c r="U4250" i="2"/>
  <c r="N4250" i="2"/>
  <c r="M4250" i="2"/>
  <c r="J4250" i="2"/>
  <c r="I4250" i="2"/>
  <c r="H4250" i="2"/>
  <c r="G4250" i="2"/>
  <c r="F4250" i="2"/>
  <c r="E4250" i="2"/>
  <c r="D4250" i="2"/>
  <c r="C4250" i="2"/>
  <c r="B4250" i="2"/>
  <c r="A4250" i="2"/>
  <c r="U4249" i="2"/>
  <c r="N4249" i="2"/>
  <c r="M4249" i="2"/>
  <c r="J4249" i="2"/>
  <c r="I4249" i="2"/>
  <c r="H4249" i="2"/>
  <c r="G4249" i="2"/>
  <c r="F4249" i="2"/>
  <c r="E4249" i="2"/>
  <c r="D4249" i="2"/>
  <c r="C4249" i="2"/>
  <c r="B4249" i="2"/>
  <c r="A4249" i="2"/>
  <c r="U4248" i="2"/>
  <c r="N4248" i="2"/>
  <c r="M4248" i="2"/>
  <c r="J4248" i="2"/>
  <c r="I4248" i="2"/>
  <c r="H4248" i="2"/>
  <c r="G4248" i="2"/>
  <c r="F4248" i="2"/>
  <c r="E4248" i="2"/>
  <c r="D4248" i="2"/>
  <c r="C4248" i="2"/>
  <c r="B4248" i="2"/>
  <c r="A4248" i="2"/>
  <c r="U4247" i="2"/>
  <c r="N4247" i="2"/>
  <c r="M4247" i="2"/>
  <c r="J4247" i="2"/>
  <c r="I4247" i="2"/>
  <c r="H4247" i="2"/>
  <c r="G4247" i="2"/>
  <c r="F4247" i="2"/>
  <c r="E4247" i="2"/>
  <c r="D4247" i="2"/>
  <c r="C4247" i="2"/>
  <c r="B4247" i="2"/>
  <c r="A4247" i="2"/>
  <c r="U4246" i="2"/>
  <c r="N4246" i="2"/>
  <c r="M4246" i="2"/>
  <c r="J4246" i="2"/>
  <c r="I4246" i="2"/>
  <c r="H4246" i="2"/>
  <c r="G4246" i="2"/>
  <c r="F4246" i="2"/>
  <c r="E4246" i="2"/>
  <c r="D4246" i="2"/>
  <c r="C4246" i="2"/>
  <c r="B4246" i="2"/>
  <c r="A4246" i="2"/>
  <c r="U4245" i="2"/>
  <c r="N4245" i="2"/>
  <c r="M4245" i="2"/>
  <c r="J4245" i="2"/>
  <c r="I4245" i="2"/>
  <c r="H4245" i="2"/>
  <c r="G4245" i="2"/>
  <c r="F4245" i="2"/>
  <c r="E4245" i="2"/>
  <c r="D4245" i="2"/>
  <c r="C4245" i="2"/>
  <c r="B4245" i="2"/>
  <c r="A4245" i="2"/>
  <c r="U4244" i="2"/>
  <c r="N4244" i="2"/>
  <c r="M4244" i="2"/>
  <c r="J4244" i="2"/>
  <c r="I4244" i="2"/>
  <c r="H4244" i="2"/>
  <c r="G4244" i="2"/>
  <c r="F4244" i="2"/>
  <c r="E4244" i="2"/>
  <c r="D4244" i="2"/>
  <c r="C4244" i="2"/>
  <c r="B4244" i="2"/>
  <c r="A4244" i="2"/>
  <c r="U4243" i="2"/>
  <c r="N4243" i="2"/>
  <c r="M4243" i="2"/>
  <c r="J4243" i="2"/>
  <c r="I4243" i="2"/>
  <c r="H4243" i="2"/>
  <c r="G4243" i="2"/>
  <c r="F4243" i="2"/>
  <c r="E4243" i="2"/>
  <c r="D4243" i="2"/>
  <c r="C4243" i="2"/>
  <c r="B4243" i="2"/>
  <c r="A4243" i="2"/>
  <c r="U4242" i="2"/>
  <c r="N4242" i="2"/>
  <c r="M4242" i="2"/>
  <c r="J4242" i="2"/>
  <c r="I4242" i="2"/>
  <c r="H4242" i="2"/>
  <c r="G4242" i="2"/>
  <c r="F4242" i="2"/>
  <c r="E4242" i="2"/>
  <c r="D4242" i="2"/>
  <c r="C4242" i="2"/>
  <c r="B4242" i="2"/>
  <c r="A4242" i="2"/>
  <c r="U4241" i="2"/>
  <c r="N4241" i="2"/>
  <c r="M4241" i="2"/>
  <c r="J4241" i="2"/>
  <c r="I4241" i="2"/>
  <c r="H4241" i="2"/>
  <c r="G4241" i="2"/>
  <c r="F4241" i="2"/>
  <c r="E4241" i="2"/>
  <c r="D4241" i="2"/>
  <c r="C4241" i="2"/>
  <c r="B4241" i="2"/>
  <c r="A4241" i="2"/>
  <c r="U4240" i="2"/>
  <c r="N4240" i="2"/>
  <c r="M4240" i="2"/>
  <c r="J4240" i="2"/>
  <c r="I4240" i="2"/>
  <c r="H4240" i="2"/>
  <c r="G4240" i="2"/>
  <c r="F4240" i="2"/>
  <c r="E4240" i="2"/>
  <c r="D4240" i="2"/>
  <c r="C4240" i="2"/>
  <c r="B4240" i="2"/>
  <c r="A4240" i="2"/>
  <c r="U4239" i="2"/>
  <c r="N4239" i="2"/>
  <c r="M4239" i="2"/>
  <c r="J4239" i="2"/>
  <c r="I4239" i="2"/>
  <c r="H4239" i="2"/>
  <c r="G4239" i="2"/>
  <c r="F4239" i="2"/>
  <c r="E4239" i="2"/>
  <c r="D4239" i="2"/>
  <c r="C4239" i="2"/>
  <c r="B4239" i="2"/>
  <c r="A4239" i="2"/>
  <c r="U4238" i="2"/>
  <c r="N4238" i="2"/>
  <c r="M4238" i="2"/>
  <c r="J4238" i="2"/>
  <c r="I4238" i="2"/>
  <c r="H4238" i="2"/>
  <c r="G4238" i="2"/>
  <c r="F4238" i="2"/>
  <c r="E4238" i="2"/>
  <c r="D4238" i="2"/>
  <c r="C4238" i="2"/>
  <c r="B4238" i="2"/>
  <c r="A4238" i="2"/>
  <c r="U4237" i="2"/>
  <c r="N4237" i="2"/>
  <c r="M4237" i="2"/>
  <c r="J4237" i="2"/>
  <c r="I4237" i="2"/>
  <c r="H4237" i="2"/>
  <c r="G4237" i="2"/>
  <c r="F4237" i="2"/>
  <c r="E4237" i="2"/>
  <c r="D4237" i="2"/>
  <c r="C4237" i="2"/>
  <c r="B4237" i="2"/>
  <c r="A4237" i="2"/>
  <c r="U4236" i="2"/>
  <c r="N4236" i="2"/>
  <c r="M4236" i="2"/>
  <c r="J4236" i="2"/>
  <c r="I4236" i="2"/>
  <c r="H4236" i="2"/>
  <c r="G4236" i="2"/>
  <c r="F4236" i="2"/>
  <c r="E4236" i="2"/>
  <c r="D4236" i="2"/>
  <c r="C4236" i="2"/>
  <c r="B4236" i="2"/>
  <c r="A4236" i="2"/>
  <c r="U4235" i="2"/>
  <c r="N4235" i="2"/>
  <c r="M4235" i="2"/>
  <c r="J4235" i="2"/>
  <c r="I4235" i="2"/>
  <c r="H4235" i="2"/>
  <c r="G4235" i="2"/>
  <c r="F4235" i="2"/>
  <c r="E4235" i="2"/>
  <c r="D4235" i="2"/>
  <c r="C4235" i="2"/>
  <c r="B4235" i="2"/>
  <c r="A4235" i="2"/>
  <c r="U4234" i="2"/>
  <c r="N4234" i="2"/>
  <c r="M4234" i="2"/>
  <c r="J4234" i="2"/>
  <c r="I4234" i="2"/>
  <c r="H4234" i="2"/>
  <c r="G4234" i="2"/>
  <c r="F4234" i="2"/>
  <c r="E4234" i="2"/>
  <c r="D4234" i="2"/>
  <c r="C4234" i="2"/>
  <c r="B4234" i="2"/>
  <c r="A4234" i="2"/>
  <c r="U4233" i="2"/>
  <c r="N4233" i="2"/>
  <c r="M4233" i="2"/>
  <c r="J4233" i="2"/>
  <c r="I4233" i="2"/>
  <c r="H4233" i="2"/>
  <c r="G4233" i="2"/>
  <c r="F4233" i="2"/>
  <c r="E4233" i="2"/>
  <c r="D4233" i="2"/>
  <c r="C4233" i="2"/>
  <c r="B4233" i="2"/>
  <c r="A4233" i="2"/>
  <c r="U4232" i="2"/>
  <c r="N4232" i="2"/>
  <c r="M4232" i="2"/>
  <c r="J4232" i="2"/>
  <c r="I4232" i="2"/>
  <c r="H4232" i="2"/>
  <c r="G4232" i="2"/>
  <c r="F4232" i="2"/>
  <c r="E4232" i="2"/>
  <c r="D4232" i="2"/>
  <c r="C4232" i="2"/>
  <c r="B4232" i="2"/>
  <c r="A4232" i="2"/>
  <c r="U4231" i="2"/>
  <c r="N4231" i="2"/>
  <c r="M4231" i="2"/>
  <c r="J4231" i="2"/>
  <c r="I4231" i="2"/>
  <c r="H4231" i="2"/>
  <c r="G4231" i="2"/>
  <c r="F4231" i="2"/>
  <c r="E4231" i="2"/>
  <c r="D4231" i="2"/>
  <c r="C4231" i="2"/>
  <c r="B4231" i="2"/>
  <c r="A4231" i="2"/>
  <c r="U4230" i="2"/>
  <c r="N4230" i="2"/>
  <c r="M4230" i="2"/>
  <c r="J4230" i="2"/>
  <c r="I4230" i="2"/>
  <c r="H4230" i="2"/>
  <c r="G4230" i="2"/>
  <c r="F4230" i="2"/>
  <c r="E4230" i="2"/>
  <c r="D4230" i="2"/>
  <c r="C4230" i="2"/>
  <c r="B4230" i="2"/>
  <c r="A4230" i="2"/>
  <c r="U4229" i="2"/>
  <c r="N4229" i="2"/>
  <c r="M4229" i="2"/>
  <c r="J4229" i="2"/>
  <c r="I4229" i="2"/>
  <c r="H4229" i="2"/>
  <c r="G4229" i="2"/>
  <c r="F4229" i="2"/>
  <c r="E4229" i="2"/>
  <c r="D4229" i="2"/>
  <c r="C4229" i="2"/>
  <c r="B4229" i="2"/>
  <c r="A4229" i="2"/>
  <c r="U4228" i="2"/>
  <c r="N4228" i="2"/>
  <c r="M4228" i="2"/>
  <c r="J4228" i="2"/>
  <c r="I4228" i="2"/>
  <c r="H4228" i="2"/>
  <c r="G4228" i="2"/>
  <c r="F4228" i="2"/>
  <c r="E4228" i="2"/>
  <c r="D4228" i="2"/>
  <c r="C4228" i="2"/>
  <c r="B4228" i="2"/>
  <c r="A4228" i="2"/>
  <c r="U4227" i="2"/>
  <c r="N4227" i="2"/>
  <c r="M4227" i="2"/>
  <c r="J4227" i="2"/>
  <c r="I4227" i="2"/>
  <c r="H4227" i="2"/>
  <c r="G4227" i="2"/>
  <c r="F4227" i="2"/>
  <c r="E4227" i="2"/>
  <c r="D4227" i="2"/>
  <c r="C4227" i="2"/>
  <c r="B4227" i="2"/>
  <c r="A4227" i="2"/>
  <c r="U4226" i="2"/>
  <c r="N4226" i="2"/>
  <c r="M4226" i="2"/>
  <c r="J4226" i="2"/>
  <c r="I4226" i="2"/>
  <c r="H4226" i="2"/>
  <c r="G4226" i="2"/>
  <c r="F4226" i="2"/>
  <c r="E4226" i="2"/>
  <c r="D4226" i="2"/>
  <c r="C4226" i="2"/>
  <c r="B4226" i="2"/>
  <c r="A4226" i="2"/>
  <c r="U4225" i="2"/>
  <c r="N4225" i="2"/>
  <c r="M4225" i="2"/>
  <c r="J4225" i="2"/>
  <c r="I4225" i="2"/>
  <c r="H4225" i="2"/>
  <c r="G4225" i="2"/>
  <c r="F4225" i="2"/>
  <c r="E4225" i="2"/>
  <c r="D4225" i="2"/>
  <c r="C4225" i="2"/>
  <c r="B4225" i="2"/>
  <c r="A4225" i="2"/>
  <c r="U4224" i="2"/>
  <c r="N4224" i="2"/>
  <c r="M4224" i="2"/>
  <c r="J4224" i="2"/>
  <c r="I4224" i="2"/>
  <c r="H4224" i="2"/>
  <c r="G4224" i="2"/>
  <c r="F4224" i="2"/>
  <c r="E4224" i="2"/>
  <c r="D4224" i="2"/>
  <c r="C4224" i="2"/>
  <c r="B4224" i="2"/>
  <c r="A4224" i="2"/>
  <c r="U4223" i="2"/>
  <c r="N4223" i="2"/>
  <c r="M4223" i="2"/>
  <c r="J4223" i="2"/>
  <c r="I4223" i="2"/>
  <c r="H4223" i="2"/>
  <c r="G4223" i="2"/>
  <c r="F4223" i="2"/>
  <c r="E4223" i="2"/>
  <c r="D4223" i="2"/>
  <c r="C4223" i="2"/>
  <c r="B4223" i="2"/>
  <c r="A4223" i="2"/>
  <c r="U4222" i="2"/>
  <c r="N4222" i="2"/>
  <c r="M4222" i="2"/>
  <c r="J4222" i="2"/>
  <c r="I4222" i="2"/>
  <c r="H4222" i="2"/>
  <c r="G4222" i="2"/>
  <c r="F4222" i="2"/>
  <c r="E4222" i="2"/>
  <c r="D4222" i="2"/>
  <c r="C4222" i="2"/>
  <c r="B4222" i="2"/>
  <c r="A4222" i="2"/>
  <c r="U4221" i="2"/>
  <c r="N4221" i="2"/>
  <c r="M4221" i="2"/>
  <c r="J4221" i="2"/>
  <c r="I4221" i="2"/>
  <c r="H4221" i="2"/>
  <c r="G4221" i="2"/>
  <c r="F4221" i="2"/>
  <c r="E4221" i="2"/>
  <c r="D4221" i="2"/>
  <c r="C4221" i="2"/>
  <c r="B4221" i="2"/>
  <c r="A4221" i="2"/>
  <c r="U4220" i="2"/>
  <c r="N4220" i="2"/>
  <c r="M4220" i="2"/>
  <c r="J4220" i="2"/>
  <c r="I4220" i="2"/>
  <c r="H4220" i="2"/>
  <c r="G4220" i="2"/>
  <c r="F4220" i="2"/>
  <c r="E4220" i="2"/>
  <c r="D4220" i="2"/>
  <c r="C4220" i="2"/>
  <c r="B4220" i="2"/>
  <c r="A4220" i="2"/>
  <c r="U4219" i="2"/>
  <c r="N4219" i="2"/>
  <c r="M4219" i="2"/>
  <c r="J4219" i="2"/>
  <c r="I4219" i="2"/>
  <c r="H4219" i="2"/>
  <c r="G4219" i="2"/>
  <c r="F4219" i="2"/>
  <c r="E4219" i="2"/>
  <c r="D4219" i="2"/>
  <c r="C4219" i="2"/>
  <c r="B4219" i="2"/>
  <c r="A4219" i="2"/>
  <c r="U4218" i="2"/>
  <c r="N4218" i="2"/>
  <c r="M4218" i="2"/>
  <c r="J4218" i="2"/>
  <c r="I4218" i="2"/>
  <c r="H4218" i="2"/>
  <c r="G4218" i="2"/>
  <c r="F4218" i="2"/>
  <c r="E4218" i="2"/>
  <c r="D4218" i="2"/>
  <c r="C4218" i="2"/>
  <c r="B4218" i="2"/>
  <c r="A4218" i="2"/>
  <c r="U4217" i="2"/>
  <c r="N4217" i="2"/>
  <c r="M4217" i="2"/>
  <c r="J4217" i="2"/>
  <c r="I4217" i="2"/>
  <c r="H4217" i="2"/>
  <c r="G4217" i="2"/>
  <c r="F4217" i="2"/>
  <c r="E4217" i="2"/>
  <c r="D4217" i="2"/>
  <c r="C4217" i="2"/>
  <c r="B4217" i="2"/>
  <c r="A4217" i="2"/>
  <c r="U4216" i="2"/>
  <c r="N4216" i="2"/>
  <c r="M4216" i="2"/>
  <c r="J4216" i="2"/>
  <c r="I4216" i="2"/>
  <c r="H4216" i="2"/>
  <c r="G4216" i="2"/>
  <c r="F4216" i="2"/>
  <c r="E4216" i="2"/>
  <c r="D4216" i="2"/>
  <c r="C4216" i="2"/>
  <c r="B4216" i="2"/>
  <c r="A4216" i="2"/>
  <c r="U4215" i="2"/>
  <c r="N4215" i="2"/>
  <c r="M4215" i="2"/>
  <c r="J4215" i="2"/>
  <c r="I4215" i="2"/>
  <c r="H4215" i="2"/>
  <c r="G4215" i="2"/>
  <c r="F4215" i="2"/>
  <c r="E4215" i="2"/>
  <c r="D4215" i="2"/>
  <c r="C4215" i="2"/>
  <c r="B4215" i="2"/>
  <c r="A4215" i="2"/>
  <c r="U4214" i="2"/>
  <c r="N4214" i="2"/>
  <c r="M4214" i="2"/>
  <c r="J4214" i="2"/>
  <c r="I4214" i="2"/>
  <c r="H4214" i="2"/>
  <c r="G4214" i="2"/>
  <c r="F4214" i="2"/>
  <c r="E4214" i="2"/>
  <c r="D4214" i="2"/>
  <c r="C4214" i="2"/>
  <c r="B4214" i="2"/>
  <c r="A4214" i="2"/>
  <c r="U4213" i="2"/>
  <c r="N4213" i="2"/>
  <c r="M4213" i="2"/>
  <c r="J4213" i="2"/>
  <c r="I4213" i="2"/>
  <c r="H4213" i="2"/>
  <c r="G4213" i="2"/>
  <c r="F4213" i="2"/>
  <c r="E4213" i="2"/>
  <c r="D4213" i="2"/>
  <c r="C4213" i="2"/>
  <c r="B4213" i="2"/>
  <c r="A4213" i="2"/>
  <c r="U4212" i="2"/>
  <c r="N4212" i="2"/>
  <c r="M4212" i="2"/>
  <c r="J4212" i="2"/>
  <c r="I4212" i="2"/>
  <c r="H4212" i="2"/>
  <c r="G4212" i="2"/>
  <c r="F4212" i="2"/>
  <c r="E4212" i="2"/>
  <c r="D4212" i="2"/>
  <c r="C4212" i="2"/>
  <c r="B4212" i="2"/>
  <c r="A4212" i="2"/>
  <c r="U4211" i="2"/>
  <c r="N4211" i="2"/>
  <c r="M4211" i="2"/>
  <c r="J4211" i="2"/>
  <c r="I4211" i="2"/>
  <c r="H4211" i="2"/>
  <c r="G4211" i="2"/>
  <c r="F4211" i="2"/>
  <c r="E4211" i="2"/>
  <c r="D4211" i="2"/>
  <c r="C4211" i="2"/>
  <c r="B4211" i="2"/>
  <c r="A4211" i="2"/>
  <c r="U4210" i="2"/>
  <c r="N4210" i="2"/>
  <c r="M4210" i="2"/>
  <c r="J4210" i="2"/>
  <c r="I4210" i="2"/>
  <c r="H4210" i="2"/>
  <c r="G4210" i="2"/>
  <c r="F4210" i="2"/>
  <c r="E4210" i="2"/>
  <c r="D4210" i="2"/>
  <c r="C4210" i="2"/>
  <c r="B4210" i="2"/>
  <c r="A4210" i="2"/>
  <c r="U4209" i="2"/>
  <c r="N4209" i="2"/>
  <c r="M4209" i="2"/>
  <c r="J4209" i="2"/>
  <c r="I4209" i="2"/>
  <c r="H4209" i="2"/>
  <c r="G4209" i="2"/>
  <c r="F4209" i="2"/>
  <c r="E4209" i="2"/>
  <c r="D4209" i="2"/>
  <c r="C4209" i="2"/>
  <c r="B4209" i="2"/>
  <c r="A4209" i="2"/>
  <c r="U4208" i="2"/>
  <c r="N4208" i="2"/>
  <c r="M4208" i="2"/>
  <c r="J4208" i="2"/>
  <c r="I4208" i="2"/>
  <c r="H4208" i="2"/>
  <c r="G4208" i="2"/>
  <c r="F4208" i="2"/>
  <c r="E4208" i="2"/>
  <c r="D4208" i="2"/>
  <c r="C4208" i="2"/>
  <c r="B4208" i="2"/>
  <c r="A4208" i="2"/>
  <c r="U4207" i="2"/>
  <c r="N4207" i="2"/>
  <c r="M4207" i="2"/>
  <c r="J4207" i="2"/>
  <c r="I4207" i="2"/>
  <c r="H4207" i="2"/>
  <c r="G4207" i="2"/>
  <c r="F4207" i="2"/>
  <c r="E4207" i="2"/>
  <c r="D4207" i="2"/>
  <c r="C4207" i="2"/>
  <c r="B4207" i="2"/>
  <c r="A4207" i="2"/>
  <c r="R4206" i="2"/>
  <c r="Q4206" i="2"/>
  <c r="N4206" i="2"/>
  <c r="M4206" i="2"/>
  <c r="J4206" i="2"/>
  <c r="I4206" i="2"/>
  <c r="H4206" i="2"/>
  <c r="G4206" i="2"/>
  <c r="F4206" i="2"/>
  <c r="E4206" i="2"/>
  <c r="D4206" i="2"/>
  <c r="C4206" i="2"/>
  <c r="B4206" i="2"/>
  <c r="A4206" i="2"/>
  <c r="U4205" i="2"/>
  <c r="N4205" i="2"/>
  <c r="M4205" i="2"/>
  <c r="J4205" i="2"/>
  <c r="I4205" i="2"/>
  <c r="H4205" i="2"/>
  <c r="G4205" i="2"/>
  <c r="F4205" i="2"/>
  <c r="E4205" i="2"/>
  <c r="D4205" i="2"/>
  <c r="C4205" i="2"/>
  <c r="B4205" i="2"/>
  <c r="A4205" i="2"/>
  <c r="U4204" i="2"/>
  <c r="N4204" i="2"/>
  <c r="M4204" i="2"/>
  <c r="J4204" i="2"/>
  <c r="I4204" i="2"/>
  <c r="H4204" i="2"/>
  <c r="G4204" i="2"/>
  <c r="F4204" i="2"/>
  <c r="E4204" i="2"/>
  <c r="D4204" i="2"/>
  <c r="C4204" i="2"/>
  <c r="B4204" i="2"/>
  <c r="A4204" i="2"/>
  <c r="Q4203" i="2"/>
  <c r="U4203" i="2" s="1"/>
  <c r="N4203" i="2"/>
  <c r="M4203" i="2"/>
  <c r="J4203" i="2"/>
  <c r="I4203" i="2"/>
  <c r="H4203" i="2"/>
  <c r="G4203" i="2"/>
  <c r="F4203" i="2"/>
  <c r="E4203" i="2"/>
  <c r="D4203" i="2"/>
  <c r="C4203" i="2"/>
  <c r="B4203" i="2"/>
  <c r="A4203" i="2"/>
  <c r="U4202" i="2"/>
  <c r="N4202" i="2"/>
  <c r="M4202" i="2"/>
  <c r="J4202" i="2"/>
  <c r="I4202" i="2"/>
  <c r="H4202" i="2"/>
  <c r="G4202" i="2"/>
  <c r="F4202" i="2"/>
  <c r="E4202" i="2"/>
  <c r="D4202" i="2"/>
  <c r="C4202" i="2"/>
  <c r="B4202" i="2"/>
  <c r="A4202" i="2"/>
  <c r="U4201" i="2"/>
  <c r="N4201" i="2"/>
  <c r="M4201" i="2"/>
  <c r="J4201" i="2"/>
  <c r="I4201" i="2"/>
  <c r="H4201" i="2"/>
  <c r="G4201" i="2"/>
  <c r="F4201" i="2"/>
  <c r="E4201" i="2"/>
  <c r="D4201" i="2"/>
  <c r="C4201" i="2"/>
  <c r="B4201" i="2"/>
  <c r="A4201" i="2"/>
  <c r="Q4200" i="2"/>
  <c r="U4200" i="2" s="1"/>
  <c r="N4200" i="2"/>
  <c r="M4200" i="2"/>
  <c r="J4200" i="2"/>
  <c r="I4200" i="2"/>
  <c r="H4200" i="2"/>
  <c r="G4200" i="2"/>
  <c r="F4200" i="2"/>
  <c r="E4200" i="2"/>
  <c r="D4200" i="2"/>
  <c r="C4200" i="2"/>
  <c r="B4200" i="2"/>
  <c r="A4200" i="2"/>
  <c r="U4199" i="2"/>
  <c r="N4199" i="2"/>
  <c r="M4199" i="2"/>
  <c r="J4199" i="2"/>
  <c r="I4199" i="2"/>
  <c r="H4199" i="2"/>
  <c r="G4199" i="2"/>
  <c r="F4199" i="2"/>
  <c r="E4199" i="2"/>
  <c r="D4199" i="2"/>
  <c r="C4199" i="2"/>
  <c r="B4199" i="2"/>
  <c r="A4199" i="2"/>
  <c r="U4198" i="2"/>
  <c r="N4198" i="2"/>
  <c r="M4198" i="2"/>
  <c r="J4198" i="2"/>
  <c r="I4198" i="2"/>
  <c r="H4198" i="2"/>
  <c r="G4198" i="2"/>
  <c r="F4198" i="2"/>
  <c r="E4198" i="2"/>
  <c r="D4198" i="2"/>
  <c r="C4198" i="2"/>
  <c r="B4198" i="2"/>
  <c r="A4198" i="2"/>
  <c r="U4197" i="2"/>
  <c r="N4197" i="2"/>
  <c r="M4197" i="2"/>
  <c r="J4197" i="2"/>
  <c r="I4197" i="2"/>
  <c r="H4197" i="2"/>
  <c r="G4197" i="2"/>
  <c r="F4197" i="2"/>
  <c r="E4197" i="2"/>
  <c r="D4197" i="2"/>
  <c r="C4197" i="2"/>
  <c r="B4197" i="2"/>
  <c r="A4197" i="2"/>
  <c r="U4196" i="2"/>
  <c r="N4196" i="2"/>
  <c r="M4196" i="2"/>
  <c r="J4196" i="2"/>
  <c r="I4196" i="2"/>
  <c r="H4196" i="2"/>
  <c r="G4196" i="2"/>
  <c r="F4196" i="2"/>
  <c r="E4196" i="2"/>
  <c r="D4196" i="2"/>
  <c r="C4196" i="2"/>
  <c r="B4196" i="2"/>
  <c r="A4196" i="2"/>
  <c r="Q4195" i="2"/>
  <c r="U4195" i="2" s="1"/>
  <c r="N4195" i="2"/>
  <c r="M4195" i="2"/>
  <c r="J4195" i="2"/>
  <c r="I4195" i="2"/>
  <c r="H4195" i="2"/>
  <c r="G4195" i="2"/>
  <c r="F4195" i="2"/>
  <c r="E4195" i="2"/>
  <c r="D4195" i="2"/>
  <c r="C4195" i="2"/>
  <c r="B4195" i="2"/>
  <c r="A4195" i="2"/>
  <c r="U4194" i="2"/>
  <c r="N4194" i="2"/>
  <c r="M4194" i="2"/>
  <c r="J4194" i="2"/>
  <c r="I4194" i="2"/>
  <c r="H4194" i="2"/>
  <c r="G4194" i="2"/>
  <c r="F4194" i="2"/>
  <c r="E4194" i="2"/>
  <c r="D4194" i="2"/>
  <c r="C4194" i="2"/>
  <c r="B4194" i="2"/>
  <c r="A4194" i="2"/>
  <c r="U4193" i="2"/>
  <c r="N4193" i="2"/>
  <c r="M4193" i="2"/>
  <c r="J4193" i="2"/>
  <c r="I4193" i="2"/>
  <c r="H4193" i="2"/>
  <c r="G4193" i="2"/>
  <c r="F4193" i="2"/>
  <c r="E4193" i="2"/>
  <c r="D4193" i="2"/>
  <c r="C4193" i="2"/>
  <c r="B4193" i="2"/>
  <c r="A4193" i="2"/>
  <c r="Q4192" i="2"/>
  <c r="U4192" i="2" s="1"/>
  <c r="N4192" i="2"/>
  <c r="M4192" i="2"/>
  <c r="J4192" i="2"/>
  <c r="I4192" i="2"/>
  <c r="H4192" i="2"/>
  <c r="G4192" i="2"/>
  <c r="F4192" i="2"/>
  <c r="E4192" i="2"/>
  <c r="D4192" i="2"/>
  <c r="C4192" i="2"/>
  <c r="B4192" i="2"/>
  <c r="A4192" i="2"/>
  <c r="Q4191" i="2"/>
  <c r="U4191" i="2" s="1"/>
  <c r="N4191" i="2"/>
  <c r="M4191" i="2"/>
  <c r="J4191" i="2"/>
  <c r="I4191" i="2"/>
  <c r="H4191" i="2"/>
  <c r="G4191" i="2"/>
  <c r="F4191" i="2"/>
  <c r="E4191" i="2"/>
  <c r="D4191" i="2"/>
  <c r="C4191" i="2"/>
  <c r="B4191" i="2"/>
  <c r="A4191" i="2"/>
  <c r="U4190" i="2"/>
  <c r="N4190" i="2"/>
  <c r="M4190" i="2"/>
  <c r="J4190" i="2"/>
  <c r="I4190" i="2"/>
  <c r="H4190" i="2"/>
  <c r="G4190" i="2"/>
  <c r="F4190" i="2"/>
  <c r="E4190" i="2"/>
  <c r="D4190" i="2"/>
  <c r="C4190" i="2"/>
  <c r="B4190" i="2"/>
  <c r="A4190" i="2"/>
  <c r="Q4189" i="2"/>
  <c r="U4189" i="2" s="1"/>
  <c r="N4189" i="2"/>
  <c r="M4189" i="2"/>
  <c r="J4189" i="2"/>
  <c r="I4189" i="2"/>
  <c r="H4189" i="2"/>
  <c r="G4189" i="2"/>
  <c r="F4189" i="2"/>
  <c r="E4189" i="2"/>
  <c r="D4189" i="2"/>
  <c r="C4189" i="2"/>
  <c r="B4189" i="2"/>
  <c r="A4189" i="2"/>
  <c r="U4188" i="2"/>
  <c r="N4188" i="2"/>
  <c r="M4188" i="2"/>
  <c r="J4188" i="2"/>
  <c r="I4188" i="2"/>
  <c r="H4188" i="2"/>
  <c r="G4188" i="2"/>
  <c r="F4188" i="2"/>
  <c r="E4188" i="2"/>
  <c r="D4188" i="2"/>
  <c r="C4188" i="2"/>
  <c r="B4188" i="2"/>
  <c r="A4188" i="2"/>
  <c r="U4187" i="2"/>
  <c r="N4187" i="2"/>
  <c r="M4187" i="2"/>
  <c r="J4187" i="2"/>
  <c r="I4187" i="2"/>
  <c r="H4187" i="2"/>
  <c r="G4187" i="2"/>
  <c r="F4187" i="2"/>
  <c r="E4187" i="2"/>
  <c r="D4187" i="2"/>
  <c r="C4187" i="2"/>
  <c r="B4187" i="2"/>
  <c r="A4187" i="2"/>
  <c r="U4186" i="2"/>
  <c r="N4186" i="2"/>
  <c r="M4186" i="2"/>
  <c r="J4186" i="2"/>
  <c r="I4186" i="2"/>
  <c r="H4186" i="2"/>
  <c r="G4186" i="2"/>
  <c r="F4186" i="2"/>
  <c r="E4186" i="2"/>
  <c r="D4186" i="2"/>
  <c r="C4186" i="2"/>
  <c r="B4186" i="2"/>
  <c r="A4186" i="2"/>
  <c r="U4185" i="2"/>
  <c r="N4185" i="2"/>
  <c r="M4185" i="2"/>
  <c r="J4185" i="2"/>
  <c r="I4185" i="2"/>
  <c r="H4185" i="2"/>
  <c r="G4185" i="2"/>
  <c r="F4185" i="2"/>
  <c r="E4185" i="2"/>
  <c r="D4185" i="2"/>
  <c r="C4185" i="2"/>
  <c r="B4185" i="2"/>
  <c r="A4185" i="2"/>
  <c r="U4184" i="2"/>
  <c r="N4184" i="2"/>
  <c r="M4184" i="2"/>
  <c r="J4184" i="2"/>
  <c r="I4184" i="2"/>
  <c r="H4184" i="2"/>
  <c r="G4184" i="2"/>
  <c r="F4184" i="2"/>
  <c r="E4184" i="2"/>
  <c r="D4184" i="2"/>
  <c r="C4184" i="2"/>
  <c r="B4184" i="2"/>
  <c r="A4184" i="2"/>
  <c r="U4183" i="2"/>
  <c r="N4183" i="2"/>
  <c r="M4183" i="2"/>
  <c r="J4183" i="2"/>
  <c r="I4183" i="2"/>
  <c r="H4183" i="2"/>
  <c r="G4183" i="2"/>
  <c r="F4183" i="2"/>
  <c r="E4183" i="2"/>
  <c r="D4183" i="2"/>
  <c r="C4183" i="2"/>
  <c r="B4183" i="2"/>
  <c r="A4183" i="2"/>
  <c r="U4182" i="2"/>
  <c r="N4182" i="2"/>
  <c r="M4182" i="2"/>
  <c r="J4182" i="2"/>
  <c r="I4182" i="2"/>
  <c r="H4182" i="2"/>
  <c r="G4182" i="2"/>
  <c r="F4182" i="2"/>
  <c r="E4182" i="2"/>
  <c r="D4182" i="2"/>
  <c r="C4182" i="2"/>
  <c r="B4182" i="2"/>
  <c r="A4182" i="2"/>
  <c r="Q4181" i="2"/>
  <c r="U4181" i="2" s="1"/>
  <c r="N4181" i="2"/>
  <c r="M4181" i="2"/>
  <c r="J4181" i="2"/>
  <c r="I4181" i="2"/>
  <c r="H4181" i="2"/>
  <c r="G4181" i="2"/>
  <c r="F4181" i="2"/>
  <c r="E4181" i="2"/>
  <c r="D4181" i="2"/>
  <c r="C4181" i="2"/>
  <c r="B4181" i="2"/>
  <c r="A4181" i="2"/>
  <c r="U4180" i="2"/>
  <c r="N4180" i="2"/>
  <c r="M4180" i="2"/>
  <c r="J4180" i="2"/>
  <c r="I4180" i="2"/>
  <c r="H4180" i="2"/>
  <c r="G4180" i="2"/>
  <c r="F4180" i="2"/>
  <c r="E4180" i="2"/>
  <c r="D4180" i="2"/>
  <c r="C4180" i="2"/>
  <c r="B4180" i="2"/>
  <c r="A4180" i="2"/>
  <c r="U4179" i="2"/>
  <c r="N4179" i="2"/>
  <c r="M4179" i="2"/>
  <c r="J4179" i="2"/>
  <c r="I4179" i="2"/>
  <c r="H4179" i="2"/>
  <c r="G4179" i="2"/>
  <c r="F4179" i="2"/>
  <c r="E4179" i="2"/>
  <c r="D4179" i="2"/>
  <c r="C4179" i="2"/>
  <c r="B4179" i="2"/>
  <c r="A4179" i="2"/>
  <c r="U4178" i="2"/>
  <c r="N4178" i="2"/>
  <c r="M4178" i="2"/>
  <c r="J4178" i="2"/>
  <c r="I4178" i="2"/>
  <c r="H4178" i="2"/>
  <c r="G4178" i="2"/>
  <c r="F4178" i="2"/>
  <c r="E4178" i="2"/>
  <c r="D4178" i="2"/>
  <c r="C4178" i="2"/>
  <c r="B4178" i="2"/>
  <c r="A4178" i="2"/>
  <c r="U4177" i="2"/>
  <c r="N4177" i="2"/>
  <c r="M4177" i="2"/>
  <c r="J4177" i="2"/>
  <c r="I4177" i="2"/>
  <c r="H4177" i="2"/>
  <c r="G4177" i="2"/>
  <c r="F4177" i="2"/>
  <c r="E4177" i="2"/>
  <c r="D4177" i="2"/>
  <c r="C4177" i="2"/>
  <c r="B4177" i="2"/>
  <c r="A4177" i="2"/>
  <c r="U4176" i="2"/>
  <c r="N4176" i="2"/>
  <c r="M4176" i="2"/>
  <c r="J4176" i="2"/>
  <c r="I4176" i="2"/>
  <c r="H4176" i="2"/>
  <c r="G4176" i="2"/>
  <c r="F4176" i="2"/>
  <c r="E4176" i="2"/>
  <c r="D4176" i="2"/>
  <c r="C4176" i="2"/>
  <c r="B4176" i="2"/>
  <c r="A4176" i="2"/>
  <c r="U4175" i="2"/>
  <c r="N4175" i="2"/>
  <c r="M4175" i="2"/>
  <c r="J4175" i="2"/>
  <c r="I4175" i="2"/>
  <c r="H4175" i="2"/>
  <c r="G4175" i="2"/>
  <c r="F4175" i="2"/>
  <c r="E4175" i="2"/>
  <c r="D4175" i="2"/>
  <c r="C4175" i="2"/>
  <c r="B4175" i="2"/>
  <c r="A4175" i="2"/>
  <c r="U4174" i="2"/>
  <c r="N4174" i="2"/>
  <c r="M4174" i="2"/>
  <c r="J4174" i="2"/>
  <c r="I4174" i="2"/>
  <c r="H4174" i="2"/>
  <c r="G4174" i="2"/>
  <c r="F4174" i="2"/>
  <c r="E4174" i="2"/>
  <c r="D4174" i="2"/>
  <c r="C4174" i="2"/>
  <c r="B4174" i="2"/>
  <c r="A4174" i="2"/>
  <c r="U4173" i="2"/>
  <c r="N4173" i="2"/>
  <c r="M4173" i="2"/>
  <c r="J4173" i="2"/>
  <c r="I4173" i="2"/>
  <c r="H4173" i="2"/>
  <c r="G4173" i="2"/>
  <c r="F4173" i="2"/>
  <c r="E4173" i="2"/>
  <c r="D4173" i="2"/>
  <c r="C4173" i="2"/>
  <c r="B4173" i="2"/>
  <c r="A4173" i="2"/>
  <c r="U4172" i="2"/>
  <c r="N4172" i="2"/>
  <c r="M4172" i="2"/>
  <c r="J4172" i="2"/>
  <c r="I4172" i="2"/>
  <c r="H4172" i="2"/>
  <c r="G4172" i="2"/>
  <c r="F4172" i="2"/>
  <c r="E4172" i="2"/>
  <c r="D4172" i="2"/>
  <c r="C4172" i="2"/>
  <c r="B4172" i="2"/>
  <c r="A4172" i="2"/>
  <c r="U4171" i="2"/>
  <c r="N4171" i="2"/>
  <c r="M4171" i="2"/>
  <c r="J4171" i="2"/>
  <c r="I4171" i="2"/>
  <c r="H4171" i="2"/>
  <c r="G4171" i="2"/>
  <c r="F4171" i="2"/>
  <c r="E4171" i="2"/>
  <c r="D4171" i="2"/>
  <c r="C4171" i="2"/>
  <c r="B4171" i="2"/>
  <c r="A4171" i="2"/>
  <c r="U4170" i="2"/>
  <c r="N4170" i="2"/>
  <c r="M4170" i="2"/>
  <c r="J4170" i="2"/>
  <c r="I4170" i="2"/>
  <c r="H4170" i="2"/>
  <c r="G4170" i="2"/>
  <c r="F4170" i="2"/>
  <c r="E4170" i="2"/>
  <c r="D4170" i="2"/>
  <c r="C4170" i="2"/>
  <c r="B4170" i="2"/>
  <c r="A4170" i="2"/>
  <c r="U4169" i="2"/>
  <c r="N4169" i="2"/>
  <c r="M4169" i="2"/>
  <c r="J4169" i="2"/>
  <c r="I4169" i="2"/>
  <c r="H4169" i="2"/>
  <c r="G4169" i="2"/>
  <c r="F4169" i="2"/>
  <c r="E4169" i="2"/>
  <c r="D4169" i="2"/>
  <c r="C4169" i="2"/>
  <c r="B4169" i="2"/>
  <c r="A4169" i="2"/>
  <c r="U4168" i="2"/>
  <c r="N4168" i="2"/>
  <c r="M4168" i="2"/>
  <c r="J4168" i="2"/>
  <c r="I4168" i="2"/>
  <c r="H4168" i="2"/>
  <c r="G4168" i="2"/>
  <c r="F4168" i="2"/>
  <c r="E4168" i="2"/>
  <c r="D4168" i="2"/>
  <c r="C4168" i="2"/>
  <c r="B4168" i="2"/>
  <c r="A4168" i="2"/>
  <c r="U4167" i="2"/>
  <c r="N4167" i="2"/>
  <c r="M4167" i="2"/>
  <c r="J4167" i="2"/>
  <c r="I4167" i="2"/>
  <c r="H4167" i="2"/>
  <c r="G4167" i="2"/>
  <c r="F4167" i="2"/>
  <c r="E4167" i="2"/>
  <c r="D4167" i="2"/>
  <c r="C4167" i="2"/>
  <c r="B4167" i="2"/>
  <c r="A4167" i="2"/>
  <c r="U4166" i="2"/>
  <c r="N4166" i="2"/>
  <c r="M4166" i="2"/>
  <c r="J4166" i="2"/>
  <c r="I4166" i="2"/>
  <c r="H4166" i="2"/>
  <c r="G4166" i="2"/>
  <c r="F4166" i="2"/>
  <c r="E4166" i="2"/>
  <c r="D4166" i="2"/>
  <c r="C4166" i="2"/>
  <c r="B4166" i="2"/>
  <c r="A4166" i="2"/>
  <c r="U4165" i="2"/>
  <c r="N4165" i="2"/>
  <c r="M4165" i="2"/>
  <c r="J4165" i="2"/>
  <c r="I4165" i="2"/>
  <c r="H4165" i="2"/>
  <c r="G4165" i="2"/>
  <c r="F4165" i="2"/>
  <c r="E4165" i="2"/>
  <c r="D4165" i="2"/>
  <c r="C4165" i="2"/>
  <c r="B4165" i="2"/>
  <c r="A4165" i="2"/>
  <c r="U4164" i="2"/>
  <c r="N4164" i="2"/>
  <c r="M4164" i="2"/>
  <c r="J4164" i="2"/>
  <c r="I4164" i="2"/>
  <c r="H4164" i="2"/>
  <c r="G4164" i="2"/>
  <c r="F4164" i="2"/>
  <c r="E4164" i="2"/>
  <c r="D4164" i="2"/>
  <c r="C4164" i="2"/>
  <c r="B4164" i="2"/>
  <c r="A4164" i="2"/>
  <c r="U4163" i="2"/>
  <c r="N4163" i="2"/>
  <c r="M4163" i="2"/>
  <c r="J4163" i="2"/>
  <c r="I4163" i="2"/>
  <c r="H4163" i="2"/>
  <c r="G4163" i="2"/>
  <c r="F4163" i="2"/>
  <c r="E4163" i="2"/>
  <c r="D4163" i="2"/>
  <c r="C4163" i="2"/>
  <c r="B4163" i="2"/>
  <c r="A4163" i="2"/>
  <c r="U4162" i="2"/>
  <c r="N4162" i="2"/>
  <c r="M4162" i="2"/>
  <c r="J4162" i="2"/>
  <c r="I4162" i="2"/>
  <c r="H4162" i="2"/>
  <c r="G4162" i="2"/>
  <c r="F4162" i="2"/>
  <c r="E4162" i="2"/>
  <c r="D4162" i="2"/>
  <c r="C4162" i="2"/>
  <c r="B4162" i="2"/>
  <c r="A4162" i="2"/>
  <c r="U4161" i="2"/>
  <c r="N4161" i="2"/>
  <c r="M4161" i="2"/>
  <c r="J4161" i="2"/>
  <c r="I4161" i="2"/>
  <c r="H4161" i="2"/>
  <c r="G4161" i="2"/>
  <c r="F4161" i="2"/>
  <c r="E4161" i="2"/>
  <c r="D4161" i="2"/>
  <c r="C4161" i="2"/>
  <c r="B4161" i="2"/>
  <c r="A4161" i="2"/>
  <c r="U4160" i="2"/>
  <c r="N4160" i="2"/>
  <c r="M4160" i="2"/>
  <c r="J4160" i="2"/>
  <c r="I4160" i="2"/>
  <c r="H4160" i="2"/>
  <c r="G4160" i="2"/>
  <c r="F4160" i="2"/>
  <c r="E4160" i="2"/>
  <c r="D4160" i="2"/>
  <c r="C4160" i="2"/>
  <c r="B4160" i="2"/>
  <c r="A4160" i="2"/>
  <c r="U4159" i="2"/>
  <c r="N4159" i="2"/>
  <c r="M4159" i="2"/>
  <c r="J4159" i="2"/>
  <c r="I4159" i="2"/>
  <c r="H4159" i="2"/>
  <c r="G4159" i="2"/>
  <c r="F4159" i="2"/>
  <c r="E4159" i="2"/>
  <c r="D4159" i="2"/>
  <c r="C4159" i="2"/>
  <c r="B4159" i="2"/>
  <c r="A4159" i="2"/>
  <c r="U4158" i="2"/>
  <c r="N4158" i="2"/>
  <c r="M4158" i="2"/>
  <c r="J4158" i="2"/>
  <c r="I4158" i="2"/>
  <c r="H4158" i="2"/>
  <c r="G4158" i="2"/>
  <c r="F4158" i="2"/>
  <c r="E4158" i="2"/>
  <c r="D4158" i="2"/>
  <c r="C4158" i="2"/>
  <c r="B4158" i="2"/>
  <c r="A4158" i="2"/>
  <c r="U4157" i="2"/>
  <c r="N4157" i="2"/>
  <c r="M4157" i="2"/>
  <c r="J4157" i="2"/>
  <c r="I4157" i="2"/>
  <c r="H4157" i="2"/>
  <c r="G4157" i="2"/>
  <c r="F4157" i="2"/>
  <c r="E4157" i="2"/>
  <c r="D4157" i="2"/>
  <c r="C4157" i="2"/>
  <c r="B4157" i="2"/>
  <c r="A4157" i="2"/>
  <c r="U4156" i="2"/>
  <c r="N4156" i="2"/>
  <c r="M4156" i="2"/>
  <c r="J4156" i="2"/>
  <c r="I4156" i="2"/>
  <c r="H4156" i="2"/>
  <c r="G4156" i="2"/>
  <c r="F4156" i="2"/>
  <c r="E4156" i="2"/>
  <c r="D4156" i="2"/>
  <c r="C4156" i="2"/>
  <c r="B4156" i="2"/>
  <c r="A4156" i="2"/>
  <c r="U4155" i="2"/>
  <c r="N4155" i="2"/>
  <c r="M4155" i="2"/>
  <c r="J4155" i="2"/>
  <c r="I4155" i="2"/>
  <c r="H4155" i="2"/>
  <c r="G4155" i="2"/>
  <c r="F4155" i="2"/>
  <c r="E4155" i="2"/>
  <c r="D4155" i="2"/>
  <c r="C4155" i="2"/>
  <c r="B4155" i="2"/>
  <c r="A4155" i="2"/>
  <c r="U4154" i="2"/>
  <c r="N4154" i="2"/>
  <c r="M4154" i="2"/>
  <c r="J4154" i="2"/>
  <c r="I4154" i="2"/>
  <c r="H4154" i="2"/>
  <c r="G4154" i="2"/>
  <c r="F4154" i="2"/>
  <c r="E4154" i="2"/>
  <c r="D4154" i="2"/>
  <c r="C4154" i="2"/>
  <c r="B4154" i="2"/>
  <c r="A4154" i="2"/>
  <c r="U4153" i="2"/>
  <c r="N4153" i="2"/>
  <c r="M4153" i="2"/>
  <c r="J4153" i="2"/>
  <c r="I4153" i="2"/>
  <c r="H4153" i="2"/>
  <c r="G4153" i="2"/>
  <c r="F4153" i="2"/>
  <c r="E4153" i="2"/>
  <c r="D4153" i="2"/>
  <c r="C4153" i="2"/>
  <c r="B4153" i="2"/>
  <c r="A4153" i="2"/>
  <c r="U4152" i="2"/>
  <c r="N4152" i="2"/>
  <c r="M4152" i="2"/>
  <c r="J4152" i="2"/>
  <c r="I4152" i="2"/>
  <c r="H4152" i="2"/>
  <c r="G4152" i="2"/>
  <c r="F4152" i="2"/>
  <c r="E4152" i="2"/>
  <c r="D4152" i="2"/>
  <c r="C4152" i="2"/>
  <c r="B4152" i="2"/>
  <c r="A4152" i="2"/>
  <c r="U4151" i="2"/>
  <c r="N4151" i="2"/>
  <c r="M4151" i="2"/>
  <c r="J4151" i="2"/>
  <c r="I4151" i="2"/>
  <c r="H4151" i="2"/>
  <c r="G4151" i="2"/>
  <c r="F4151" i="2"/>
  <c r="E4151" i="2"/>
  <c r="D4151" i="2"/>
  <c r="C4151" i="2"/>
  <c r="B4151" i="2"/>
  <c r="A4151" i="2"/>
  <c r="U4150" i="2"/>
  <c r="N4150" i="2"/>
  <c r="M4150" i="2"/>
  <c r="J4150" i="2"/>
  <c r="I4150" i="2"/>
  <c r="H4150" i="2"/>
  <c r="G4150" i="2"/>
  <c r="F4150" i="2"/>
  <c r="E4150" i="2"/>
  <c r="D4150" i="2"/>
  <c r="C4150" i="2"/>
  <c r="B4150" i="2"/>
  <c r="A4150" i="2"/>
  <c r="U4149" i="2"/>
  <c r="N4149" i="2"/>
  <c r="M4149" i="2"/>
  <c r="J4149" i="2"/>
  <c r="I4149" i="2"/>
  <c r="H4149" i="2"/>
  <c r="G4149" i="2"/>
  <c r="F4149" i="2"/>
  <c r="E4149" i="2"/>
  <c r="D4149" i="2"/>
  <c r="C4149" i="2"/>
  <c r="B4149" i="2"/>
  <c r="A4149" i="2"/>
  <c r="U4148" i="2"/>
  <c r="N4148" i="2"/>
  <c r="M4148" i="2"/>
  <c r="J4148" i="2"/>
  <c r="I4148" i="2"/>
  <c r="H4148" i="2"/>
  <c r="G4148" i="2"/>
  <c r="F4148" i="2"/>
  <c r="E4148" i="2"/>
  <c r="D4148" i="2"/>
  <c r="C4148" i="2"/>
  <c r="B4148" i="2"/>
  <c r="A4148" i="2"/>
  <c r="U4147" i="2"/>
  <c r="N4147" i="2"/>
  <c r="M4147" i="2"/>
  <c r="J4147" i="2"/>
  <c r="I4147" i="2"/>
  <c r="H4147" i="2"/>
  <c r="G4147" i="2"/>
  <c r="F4147" i="2"/>
  <c r="E4147" i="2"/>
  <c r="D4147" i="2"/>
  <c r="C4147" i="2"/>
  <c r="B4147" i="2"/>
  <c r="A4147" i="2"/>
  <c r="U4146" i="2"/>
  <c r="N4146" i="2"/>
  <c r="M4146" i="2"/>
  <c r="J4146" i="2"/>
  <c r="I4146" i="2"/>
  <c r="H4146" i="2"/>
  <c r="G4146" i="2"/>
  <c r="F4146" i="2"/>
  <c r="E4146" i="2"/>
  <c r="D4146" i="2"/>
  <c r="C4146" i="2"/>
  <c r="B4146" i="2"/>
  <c r="A4146" i="2"/>
  <c r="U4145" i="2"/>
  <c r="N4145" i="2"/>
  <c r="M4145" i="2"/>
  <c r="J4145" i="2"/>
  <c r="I4145" i="2"/>
  <c r="H4145" i="2"/>
  <c r="G4145" i="2"/>
  <c r="F4145" i="2"/>
  <c r="E4145" i="2"/>
  <c r="D4145" i="2"/>
  <c r="C4145" i="2"/>
  <c r="B4145" i="2"/>
  <c r="A4145" i="2"/>
  <c r="U4144" i="2"/>
  <c r="N4144" i="2"/>
  <c r="M4144" i="2"/>
  <c r="J4144" i="2"/>
  <c r="I4144" i="2"/>
  <c r="H4144" i="2"/>
  <c r="G4144" i="2"/>
  <c r="F4144" i="2"/>
  <c r="E4144" i="2"/>
  <c r="D4144" i="2"/>
  <c r="C4144" i="2"/>
  <c r="B4144" i="2"/>
  <c r="A4144" i="2"/>
  <c r="U4143" i="2"/>
  <c r="N4143" i="2"/>
  <c r="M4143" i="2"/>
  <c r="J4143" i="2"/>
  <c r="I4143" i="2"/>
  <c r="H4143" i="2"/>
  <c r="G4143" i="2"/>
  <c r="F4143" i="2"/>
  <c r="E4143" i="2"/>
  <c r="D4143" i="2"/>
  <c r="C4143" i="2"/>
  <c r="B4143" i="2"/>
  <c r="A4143" i="2"/>
  <c r="U4142" i="2"/>
  <c r="N4142" i="2"/>
  <c r="M4142" i="2"/>
  <c r="J4142" i="2"/>
  <c r="I4142" i="2"/>
  <c r="H4142" i="2"/>
  <c r="G4142" i="2"/>
  <c r="F4142" i="2"/>
  <c r="E4142" i="2"/>
  <c r="D4142" i="2"/>
  <c r="C4142" i="2"/>
  <c r="B4142" i="2"/>
  <c r="A4142" i="2"/>
  <c r="U4141" i="2"/>
  <c r="N4141" i="2"/>
  <c r="M4141" i="2"/>
  <c r="J4141" i="2"/>
  <c r="I4141" i="2"/>
  <c r="H4141" i="2"/>
  <c r="G4141" i="2"/>
  <c r="F4141" i="2"/>
  <c r="E4141" i="2"/>
  <c r="D4141" i="2"/>
  <c r="C4141" i="2"/>
  <c r="B4141" i="2"/>
  <c r="A4141" i="2"/>
  <c r="Q4140" i="2"/>
  <c r="U4140" i="2" s="1"/>
  <c r="N4140" i="2"/>
  <c r="M4140" i="2"/>
  <c r="J4140" i="2"/>
  <c r="I4140" i="2"/>
  <c r="H4140" i="2"/>
  <c r="G4140" i="2"/>
  <c r="F4140" i="2"/>
  <c r="E4140" i="2"/>
  <c r="D4140" i="2"/>
  <c r="C4140" i="2"/>
  <c r="B4140" i="2"/>
  <c r="A4140" i="2"/>
  <c r="Q4139" i="2"/>
  <c r="U4139" i="2" s="1"/>
  <c r="N4139" i="2"/>
  <c r="M4139" i="2"/>
  <c r="J4139" i="2"/>
  <c r="I4139" i="2"/>
  <c r="H4139" i="2"/>
  <c r="G4139" i="2"/>
  <c r="F4139" i="2"/>
  <c r="E4139" i="2"/>
  <c r="D4139" i="2"/>
  <c r="C4139" i="2"/>
  <c r="B4139" i="2"/>
  <c r="A4139" i="2"/>
  <c r="U4138" i="2"/>
  <c r="N4138" i="2"/>
  <c r="M4138" i="2"/>
  <c r="J4138" i="2"/>
  <c r="I4138" i="2"/>
  <c r="H4138" i="2"/>
  <c r="G4138" i="2"/>
  <c r="F4138" i="2"/>
  <c r="E4138" i="2"/>
  <c r="D4138" i="2"/>
  <c r="C4138" i="2"/>
  <c r="B4138" i="2"/>
  <c r="A4138" i="2"/>
  <c r="U4137" i="2"/>
  <c r="N4137" i="2"/>
  <c r="M4137" i="2"/>
  <c r="J4137" i="2"/>
  <c r="I4137" i="2"/>
  <c r="H4137" i="2"/>
  <c r="G4137" i="2"/>
  <c r="F4137" i="2"/>
  <c r="E4137" i="2"/>
  <c r="D4137" i="2"/>
  <c r="C4137" i="2"/>
  <c r="B4137" i="2"/>
  <c r="A4137" i="2"/>
  <c r="Q4136" i="2"/>
  <c r="U4136" i="2" s="1"/>
  <c r="N4136" i="2"/>
  <c r="M4136" i="2"/>
  <c r="J4136" i="2"/>
  <c r="I4136" i="2"/>
  <c r="H4136" i="2"/>
  <c r="G4136" i="2"/>
  <c r="F4136" i="2"/>
  <c r="E4136" i="2"/>
  <c r="D4136" i="2"/>
  <c r="C4136" i="2"/>
  <c r="B4136" i="2"/>
  <c r="A4136" i="2"/>
  <c r="Q4135" i="2"/>
  <c r="U4135" i="2" s="1"/>
  <c r="N4135" i="2"/>
  <c r="M4135" i="2"/>
  <c r="J4135" i="2"/>
  <c r="I4135" i="2"/>
  <c r="H4135" i="2"/>
  <c r="G4135" i="2"/>
  <c r="F4135" i="2"/>
  <c r="E4135" i="2"/>
  <c r="D4135" i="2"/>
  <c r="C4135" i="2"/>
  <c r="B4135" i="2"/>
  <c r="A4135" i="2"/>
  <c r="Q4134" i="2"/>
  <c r="U4134" i="2" s="1"/>
  <c r="N4134" i="2"/>
  <c r="M4134" i="2"/>
  <c r="J4134" i="2"/>
  <c r="I4134" i="2"/>
  <c r="H4134" i="2"/>
  <c r="G4134" i="2"/>
  <c r="F4134" i="2"/>
  <c r="E4134" i="2"/>
  <c r="D4134" i="2"/>
  <c r="C4134" i="2"/>
  <c r="B4134" i="2"/>
  <c r="A4134" i="2"/>
  <c r="Q4133" i="2"/>
  <c r="U4133" i="2" s="1"/>
  <c r="N4133" i="2"/>
  <c r="M4133" i="2"/>
  <c r="J4133" i="2"/>
  <c r="I4133" i="2"/>
  <c r="H4133" i="2"/>
  <c r="G4133" i="2"/>
  <c r="F4133" i="2"/>
  <c r="E4133" i="2"/>
  <c r="D4133" i="2"/>
  <c r="C4133" i="2"/>
  <c r="B4133" i="2"/>
  <c r="A4133" i="2"/>
  <c r="U4132" i="2"/>
  <c r="N4132" i="2"/>
  <c r="M4132" i="2"/>
  <c r="J4132" i="2"/>
  <c r="I4132" i="2"/>
  <c r="H4132" i="2"/>
  <c r="G4132" i="2"/>
  <c r="F4132" i="2"/>
  <c r="E4132" i="2"/>
  <c r="D4132" i="2"/>
  <c r="C4132" i="2"/>
  <c r="B4132" i="2"/>
  <c r="A4132" i="2"/>
  <c r="U4131" i="2"/>
  <c r="N4131" i="2"/>
  <c r="M4131" i="2"/>
  <c r="J4131" i="2"/>
  <c r="I4131" i="2"/>
  <c r="H4131" i="2"/>
  <c r="G4131" i="2"/>
  <c r="F4131" i="2"/>
  <c r="E4131" i="2"/>
  <c r="D4131" i="2"/>
  <c r="C4131" i="2"/>
  <c r="B4131" i="2"/>
  <c r="A4131" i="2"/>
  <c r="Q4130" i="2"/>
  <c r="U4130" i="2" s="1"/>
  <c r="N4130" i="2"/>
  <c r="M4130" i="2"/>
  <c r="J4130" i="2"/>
  <c r="I4130" i="2"/>
  <c r="H4130" i="2"/>
  <c r="G4130" i="2"/>
  <c r="F4130" i="2"/>
  <c r="E4130" i="2"/>
  <c r="D4130" i="2"/>
  <c r="C4130" i="2"/>
  <c r="B4130" i="2"/>
  <c r="A4130" i="2"/>
  <c r="U4129" i="2"/>
  <c r="N4129" i="2"/>
  <c r="M4129" i="2"/>
  <c r="J4129" i="2"/>
  <c r="I4129" i="2"/>
  <c r="H4129" i="2"/>
  <c r="G4129" i="2"/>
  <c r="F4129" i="2"/>
  <c r="E4129" i="2"/>
  <c r="D4129" i="2"/>
  <c r="C4129" i="2"/>
  <c r="B4129" i="2"/>
  <c r="A4129" i="2"/>
  <c r="Q4128" i="2"/>
  <c r="U4128" i="2" s="1"/>
  <c r="N4128" i="2"/>
  <c r="M4128" i="2"/>
  <c r="J4128" i="2"/>
  <c r="I4128" i="2"/>
  <c r="H4128" i="2"/>
  <c r="G4128" i="2"/>
  <c r="F4128" i="2"/>
  <c r="E4128" i="2"/>
  <c r="D4128" i="2"/>
  <c r="C4128" i="2"/>
  <c r="B4128" i="2"/>
  <c r="A4128" i="2"/>
  <c r="U4127" i="2"/>
  <c r="N4127" i="2"/>
  <c r="M4127" i="2"/>
  <c r="J4127" i="2"/>
  <c r="I4127" i="2"/>
  <c r="H4127" i="2"/>
  <c r="G4127" i="2"/>
  <c r="F4127" i="2"/>
  <c r="E4127" i="2"/>
  <c r="D4127" i="2"/>
  <c r="C4127" i="2"/>
  <c r="B4127" i="2"/>
  <c r="A4127" i="2"/>
  <c r="U4126" i="2"/>
  <c r="N4126" i="2"/>
  <c r="M4126" i="2"/>
  <c r="J4126" i="2"/>
  <c r="I4126" i="2"/>
  <c r="H4126" i="2"/>
  <c r="G4126" i="2"/>
  <c r="F4126" i="2"/>
  <c r="E4126" i="2"/>
  <c r="D4126" i="2"/>
  <c r="C4126" i="2"/>
  <c r="B4126" i="2"/>
  <c r="A4126" i="2"/>
  <c r="U4125" i="2"/>
  <c r="N4125" i="2"/>
  <c r="M4125" i="2"/>
  <c r="J4125" i="2"/>
  <c r="I4125" i="2"/>
  <c r="H4125" i="2"/>
  <c r="G4125" i="2"/>
  <c r="F4125" i="2"/>
  <c r="E4125" i="2"/>
  <c r="D4125" i="2"/>
  <c r="C4125" i="2"/>
  <c r="B4125" i="2"/>
  <c r="A4125" i="2"/>
  <c r="Q4124" i="2"/>
  <c r="U4124" i="2" s="1"/>
  <c r="N4124" i="2"/>
  <c r="M4124" i="2"/>
  <c r="J4124" i="2"/>
  <c r="I4124" i="2"/>
  <c r="H4124" i="2"/>
  <c r="G4124" i="2"/>
  <c r="F4124" i="2"/>
  <c r="E4124" i="2"/>
  <c r="D4124" i="2"/>
  <c r="C4124" i="2"/>
  <c r="B4124" i="2"/>
  <c r="A4124" i="2"/>
  <c r="Q4123" i="2"/>
  <c r="U4123" i="2" s="1"/>
  <c r="N4123" i="2"/>
  <c r="M4123" i="2"/>
  <c r="J4123" i="2"/>
  <c r="I4123" i="2"/>
  <c r="H4123" i="2"/>
  <c r="G4123" i="2"/>
  <c r="F4123" i="2"/>
  <c r="E4123" i="2"/>
  <c r="D4123" i="2"/>
  <c r="C4123" i="2"/>
  <c r="B4123" i="2"/>
  <c r="A4123" i="2"/>
  <c r="Q4122" i="2"/>
  <c r="U4122" i="2" s="1"/>
  <c r="N4122" i="2"/>
  <c r="M4122" i="2"/>
  <c r="J4122" i="2"/>
  <c r="I4122" i="2"/>
  <c r="H4122" i="2"/>
  <c r="G4122" i="2"/>
  <c r="F4122" i="2"/>
  <c r="E4122" i="2"/>
  <c r="D4122" i="2"/>
  <c r="C4122" i="2"/>
  <c r="B4122" i="2"/>
  <c r="A4122" i="2"/>
  <c r="U4121" i="2"/>
  <c r="N4121" i="2"/>
  <c r="M4121" i="2"/>
  <c r="J4121" i="2"/>
  <c r="I4121" i="2"/>
  <c r="H4121" i="2"/>
  <c r="G4121" i="2"/>
  <c r="F4121" i="2"/>
  <c r="E4121" i="2"/>
  <c r="D4121" i="2"/>
  <c r="C4121" i="2"/>
  <c r="B4121" i="2"/>
  <c r="A4121" i="2"/>
  <c r="U4120" i="2"/>
  <c r="N4120" i="2"/>
  <c r="M4120" i="2"/>
  <c r="J4120" i="2"/>
  <c r="I4120" i="2"/>
  <c r="H4120" i="2"/>
  <c r="G4120" i="2"/>
  <c r="F4120" i="2"/>
  <c r="E4120" i="2"/>
  <c r="D4120" i="2"/>
  <c r="C4120" i="2"/>
  <c r="B4120" i="2"/>
  <c r="A4120" i="2"/>
  <c r="U4119" i="2"/>
  <c r="N4119" i="2"/>
  <c r="M4119" i="2"/>
  <c r="J4119" i="2"/>
  <c r="I4119" i="2"/>
  <c r="H4119" i="2"/>
  <c r="G4119" i="2"/>
  <c r="F4119" i="2"/>
  <c r="E4119" i="2"/>
  <c r="D4119" i="2"/>
  <c r="C4119" i="2"/>
  <c r="B4119" i="2"/>
  <c r="A4119" i="2"/>
  <c r="U4118" i="2"/>
  <c r="N4118" i="2"/>
  <c r="M4118" i="2"/>
  <c r="J4118" i="2"/>
  <c r="I4118" i="2"/>
  <c r="H4118" i="2"/>
  <c r="G4118" i="2"/>
  <c r="F4118" i="2"/>
  <c r="E4118" i="2"/>
  <c r="D4118" i="2"/>
  <c r="C4118" i="2"/>
  <c r="B4118" i="2"/>
  <c r="A4118" i="2"/>
  <c r="U4117" i="2"/>
  <c r="N4117" i="2"/>
  <c r="M4117" i="2"/>
  <c r="J4117" i="2"/>
  <c r="I4117" i="2"/>
  <c r="H4117" i="2"/>
  <c r="G4117" i="2"/>
  <c r="F4117" i="2"/>
  <c r="E4117" i="2"/>
  <c r="D4117" i="2"/>
  <c r="C4117" i="2"/>
  <c r="B4117" i="2"/>
  <c r="A4117" i="2"/>
  <c r="U4116" i="2"/>
  <c r="N4116" i="2"/>
  <c r="M4116" i="2"/>
  <c r="J4116" i="2"/>
  <c r="I4116" i="2"/>
  <c r="H4116" i="2"/>
  <c r="G4116" i="2"/>
  <c r="F4116" i="2"/>
  <c r="E4116" i="2"/>
  <c r="D4116" i="2"/>
  <c r="C4116" i="2"/>
  <c r="B4116" i="2"/>
  <c r="A4116" i="2"/>
  <c r="U4115" i="2"/>
  <c r="N4115" i="2"/>
  <c r="M4115" i="2"/>
  <c r="J4115" i="2"/>
  <c r="I4115" i="2"/>
  <c r="H4115" i="2"/>
  <c r="G4115" i="2"/>
  <c r="F4115" i="2"/>
  <c r="E4115" i="2"/>
  <c r="D4115" i="2"/>
  <c r="C4115" i="2"/>
  <c r="B4115" i="2"/>
  <c r="A4115" i="2"/>
  <c r="U4114" i="2"/>
  <c r="N4114" i="2"/>
  <c r="M4114" i="2"/>
  <c r="J4114" i="2"/>
  <c r="I4114" i="2"/>
  <c r="H4114" i="2"/>
  <c r="G4114" i="2"/>
  <c r="F4114" i="2"/>
  <c r="E4114" i="2"/>
  <c r="D4114" i="2"/>
  <c r="C4114" i="2"/>
  <c r="B4114" i="2"/>
  <c r="A4114" i="2"/>
  <c r="U4113" i="2"/>
  <c r="N4113" i="2"/>
  <c r="M4113" i="2"/>
  <c r="J4113" i="2"/>
  <c r="I4113" i="2"/>
  <c r="H4113" i="2"/>
  <c r="G4113" i="2"/>
  <c r="F4113" i="2"/>
  <c r="E4113" i="2"/>
  <c r="D4113" i="2"/>
  <c r="C4113" i="2"/>
  <c r="B4113" i="2"/>
  <c r="A4113" i="2"/>
  <c r="U4112" i="2"/>
  <c r="N4112" i="2"/>
  <c r="M4112" i="2"/>
  <c r="J4112" i="2"/>
  <c r="I4112" i="2"/>
  <c r="H4112" i="2"/>
  <c r="G4112" i="2"/>
  <c r="F4112" i="2"/>
  <c r="E4112" i="2"/>
  <c r="D4112" i="2"/>
  <c r="C4112" i="2"/>
  <c r="B4112" i="2"/>
  <c r="A4112" i="2"/>
  <c r="U4111" i="2"/>
  <c r="N4111" i="2"/>
  <c r="M4111" i="2"/>
  <c r="J4111" i="2"/>
  <c r="I4111" i="2"/>
  <c r="H4111" i="2"/>
  <c r="G4111" i="2"/>
  <c r="F4111" i="2"/>
  <c r="E4111" i="2"/>
  <c r="D4111" i="2"/>
  <c r="C4111" i="2"/>
  <c r="B4111" i="2"/>
  <c r="A4111" i="2"/>
  <c r="U4110" i="2"/>
  <c r="N4110" i="2"/>
  <c r="M4110" i="2"/>
  <c r="J4110" i="2"/>
  <c r="I4110" i="2"/>
  <c r="H4110" i="2"/>
  <c r="G4110" i="2"/>
  <c r="F4110" i="2"/>
  <c r="E4110" i="2"/>
  <c r="D4110" i="2"/>
  <c r="C4110" i="2"/>
  <c r="B4110" i="2"/>
  <c r="A4110" i="2"/>
  <c r="U4109" i="2"/>
  <c r="N4109" i="2"/>
  <c r="M4109" i="2"/>
  <c r="J4109" i="2"/>
  <c r="I4109" i="2"/>
  <c r="H4109" i="2"/>
  <c r="G4109" i="2"/>
  <c r="F4109" i="2"/>
  <c r="E4109" i="2"/>
  <c r="D4109" i="2"/>
  <c r="C4109" i="2"/>
  <c r="B4109" i="2"/>
  <c r="A4109" i="2"/>
  <c r="U4108" i="2"/>
  <c r="N4108" i="2"/>
  <c r="M4108" i="2"/>
  <c r="J4108" i="2"/>
  <c r="I4108" i="2"/>
  <c r="H4108" i="2"/>
  <c r="G4108" i="2"/>
  <c r="F4108" i="2"/>
  <c r="E4108" i="2"/>
  <c r="D4108" i="2"/>
  <c r="C4108" i="2"/>
  <c r="B4108" i="2"/>
  <c r="A4108" i="2"/>
  <c r="U4107" i="2"/>
  <c r="N4107" i="2"/>
  <c r="M4107" i="2"/>
  <c r="J4107" i="2"/>
  <c r="I4107" i="2"/>
  <c r="H4107" i="2"/>
  <c r="G4107" i="2"/>
  <c r="F4107" i="2"/>
  <c r="E4107" i="2"/>
  <c r="D4107" i="2"/>
  <c r="C4107" i="2"/>
  <c r="B4107" i="2"/>
  <c r="A4107" i="2"/>
  <c r="U4106" i="2"/>
  <c r="N4106" i="2"/>
  <c r="M4106" i="2"/>
  <c r="J4106" i="2"/>
  <c r="I4106" i="2"/>
  <c r="H4106" i="2"/>
  <c r="G4106" i="2"/>
  <c r="F4106" i="2"/>
  <c r="E4106" i="2"/>
  <c r="D4106" i="2"/>
  <c r="C4106" i="2"/>
  <c r="B4106" i="2"/>
  <c r="A4106" i="2"/>
  <c r="U4105" i="2"/>
  <c r="N4105" i="2"/>
  <c r="M4105" i="2"/>
  <c r="J4105" i="2"/>
  <c r="I4105" i="2"/>
  <c r="H4105" i="2"/>
  <c r="G4105" i="2"/>
  <c r="F4105" i="2"/>
  <c r="E4105" i="2"/>
  <c r="D4105" i="2"/>
  <c r="C4105" i="2"/>
  <c r="B4105" i="2"/>
  <c r="A4105" i="2"/>
  <c r="U4104" i="2"/>
  <c r="N4104" i="2"/>
  <c r="M4104" i="2"/>
  <c r="J4104" i="2"/>
  <c r="I4104" i="2"/>
  <c r="H4104" i="2"/>
  <c r="G4104" i="2"/>
  <c r="F4104" i="2"/>
  <c r="E4104" i="2"/>
  <c r="D4104" i="2"/>
  <c r="C4104" i="2"/>
  <c r="B4104" i="2"/>
  <c r="A4104" i="2"/>
  <c r="U4103" i="2"/>
  <c r="N4103" i="2"/>
  <c r="M4103" i="2"/>
  <c r="J4103" i="2"/>
  <c r="I4103" i="2"/>
  <c r="H4103" i="2"/>
  <c r="G4103" i="2"/>
  <c r="F4103" i="2"/>
  <c r="E4103" i="2"/>
  <c r="D4103" i="2"/>
  <c r="C4103" i="2"/>
  <c r="B4103" i="2"/>
  <c r="A4103" i="2"/>
  <c r="U4102" i="2"/>
  <c r="N4102" i="2"/>
  <c r="M4102" i="2"/>
  <c r="J4102" i="2"/>
  <c r="I4102" i="2"/>
  <c r="H4102" i="2"/>
  <c r="G4102" i="2"/>
  <c r="F4102" i="2"/>
  <c r="E4102" i="2"/>
  <c r="D4102" i="2"/>
  <c r="C4102" i="2"/>
  <c r="B4102" i="2"/>
  <c r="A4102" i="2"/>
  <c r="U4101" i="2"/>
  <c r="N4101" i="2"/>
  <c r="M4101" i="2"/>
  <c r="J4101" i="2"/>
  <c r="I4101" i="2"/>
  <c r="H4101" i="2"/>
  <c r="G4101" i="2"/>
  <c r="F4101" i="2"/>
  <c r="E4101" i="2"/>
  <c r="D4101" i="2"/>
  <c r="C4101" i="2"/>
  <c r="B4101" i="2"/>
  <c r="A4101" i="2"/>
  <c r="U4100" i="2"/>
  <c r="N4100" i="2"/>
  <c r="M4100" i="2"/>
  <c r="J4100" i="2"/>
  <c r="I4100" i="2"/>
  <c r="H4100" i="2"/>
  <c r="G4100" i="2"/>
  <c r="F4100" i="2"/>
  <c r="E4100" i="2"/>
  <c r="D4100" i="2"/>
  <c r="C4100" i="2"/>
  <c r="B4100" i="2"/>
  <c r="A4100" i="2"/>
  <c r="U4099" i="2"/>
  <c r="N4099" i="2"/>
  <c r="M4099" i="2"/>
  <c r="J4099" i="2"/>
  <c r="I4099" i="2"/>
  <c r="H4099" i="2"/>
  <c r="G4099" i="2"/>
  <c r="F4099" i="2"/>
  <c r="E4099" i="2"/>
  <c r="D4099" i="2"/>
  <c r="C4099" i="2"/>
  <c r="B4099" i="2"/>
  <c r="A4099" i="2"/>
  <c r="U4098" i="2"/>
  <c r="N4098" i="2"/>
  <c r="M4098" i="2"/>
  <c r="J4098" i="2"/>
  <c r="I4098" i="2"/>
  <c r="H4098" i="2"/>
  <c r="G4098" i="2"/>
  <c r="F4098" i="2"/>
  <c r="E4098" i="2"/>
  <c r="D4098" i="2"/>
  <c r="C4098" i="2"/>
  <c r="B4098" i="2"/>
  <c r="A4098" i="2"/>
  <c r="U4097" i="2"/>
  <c r="N4097" i="2"/>
  <c r="M4097" i="2"/>
  <c r="J4097" i="2"/>
  <c r="I4097" i="2"/>
  <c r="H4097" i="2"/>
  <c r="G4097" i="2"/>
  <c r="F4097" i="2"/>
  <c r="E4097" i="2"/>
  <c r="D4097" i="2"/>
  <c r="C4097" i="2"/>
  <c r="B4097" i="2"/>
  <c r="A4097" i="2"/>
  <c r="U4096" i="2"/>
  <c r="N4096" i="2"/>
  <c r="M4096" i="2"/>
  <c r="J4096" i="2"/>
  <c r="I4096" i="2"/>
  <c r="H4096" i="2"/>
  <c r="G4096" i="2"/>
  <c r="F4096" i="2"/>
  <c r="E4096" i="2"/>
  <c r="D4096" i="2"/>
  <c r="C4096" i="2"/>
  <c r="B4096" i="2"/>
  <c r="A4096" i="2"/>
  <c r="U4095" i="2"/>
  <c r="N4095" i="2"/>
  <c r="M4095" i="2"/>
  <c r="J4095" i="2"/>
  <c r="I4095" i="2"/>
  <c r="H4095" i="2"/>
  <c r="G4095" i="2"/>
  <c r="F4095" i="2"/>
  <c r="E4095" i="2"/>
  <c r="D4095" i="2"/>
  <c r="C4095" i="2"/>
  <c r="B4095" i="2"/>
  <c r="A4095" i="2"/>
  <c r="U4094" i="2"/>
  <c r="N4094" i="2"/>
  <c r="M4094" i="2"/>
  <c r="J4094" i="2"/>
  <c r="I4094" i="2"/>
  <c r="H4094" i="2"/>
  <c r="G4094" i="2"/>
  <c r="F4094" i="2"/>
  <c r="E4094" i="2"/>
  <c r="D4094" i="2"/>
  <c r="C4094" i="2"/>
  <c r="B4094" i="2"/>
  <c r="A4094" i="2"/>
  <c r="U4093" i="2"/>
  <c r="N4093" i="2"/>
  <c r="M4093" i="2"/>
  <c r="J4093" i="2"/>
  <c r="I4093" i="2"/>
  <c r="H4093" i="2"/>
  <c r="G4093" i="2"/>
  <c r="F4093" i="2"/>
  <c r="E4093" i="2"/>
  <c r="D4093" i="2"/>
  <c r="C4093" i="2"/>
  <c r="B4093" i="2"/>
  <c r="A4093" i="2"/>
  <c r="U4092" i="2"/>
  <c r="N4092" i="2"/>
  <c r="M4092" i="2"/>
  <c r="J4092" i="2"/>
  <c r="I4092" i="2"/>
  <c r="H4092" i="2"/>
  <c r="G4092" i="2"/>
  <c r="F4092" i="2"/>
  <c r="E4092" i="2"/>
  <c r="D4092" i="2"/>
  <c r="C4092" i="2"/>
  <c r="B4092" i="2"/>
  <c r="A4092" i="2"/>
  <c r="U4091" i="2"/>
  <c r="N4091" i="2"/>
  <c r="M4091" i="2"/>
  <c r="J4091" i="2"/>
  <c r="I4091" i="2"/>
  <c r="H4091" i="2"/>
  <c r="G4091" i="2"/>
  <c r="F4091" i="2"/>
  <c r="E4091" i="2"/>
  <c r="D4091" i="2"/>
  <c r="C4091" i="2"/>
  <c r="B4091" i="2"/>
  <c r="A4091" i="2"/>
  <c r="U4090" i="2"/>
  <c r="N4090" i="2"/>
  <c r="M4090" i="2"/>
  <c r="J4090" i="2"/>
  <c r="I4090" i="2"/>
  <c r="H4090" i="2"/>
  <c r="G4090" i="2"/>
  <c r="F4090" i="2"/>
  <c r="E4090" i="2"/>
  <c r="D4090" i="2"/>
  <c r="C4090" i="2"/>
  <c r="B4090" i="2"/>
  <c r="A4090" i="2"/>
  <c r="U4089" i="2"/>
  <c r="N4089" i="2"/>
  <c r="M4089" i="2"/>
  <c r="J4089" i="2"/>
  <c r="I4089" i="2"/>
  <c r="H4089" i="2"/>
  <c r="G4089" i="2"/>
  <c r="F4089" i="2"/>
  <c r="E4089" i="2"/>
  <c r="D4089" i="2"/>
  <c r="C4089" i="2"/>
  <c r="B4089" i="2"/>
  <c r="A4089" i="2"/>
  <c r="U4088" i="2"/>
  <c r="N4088" i="2"/>
  <c r="M4088" i="2"/>
  <c r="J4088" i="2"/>
  <c r="I4088" i="2"/>
  <c r="H4088" i="2"/>
  <c r="G4088" i="2"/>
  <c r="F4088" i="2"/>
  <c r="E4088" i="2"/>
  <c r="D4088" i="2"/>
  <c r="C4088" i="2"/>
  <c r="B4088" i="2"/>
  <c r="A4088" i="2"/>
  <c r="U4087" i="2"/>
  <c r="N4087" i="2"/>
  <c r="M4087" i="2"/>
  <c r="J4087" i="2"/>
  <c r="I4087" i="2"/>
  <c r="H4087" i="2"/>
  <c r="G4087" i="2"/>
  <c r="F4087" i="2"/>
  <c r="E4087" i="2"/>
  <c r="D4087" i="2"/>
  <c r="C4087" i="2"/>
  <c r="B4087" i="2"/>
  <c r="A4087" i="2"/>
  <c r="U4086" i="2"/>
  <c r="N4086" i="2"/>
  <c r="M4086" i="2"/>
  <c r="J4086" i="2"/>
  <c r="I4086" i="2"/>
  <c r="H4086" i="2"/>
  <c r="G4086" i="2"/>
  <c r="F4086" i="2"/>
  <c r="E4086" i="2"/>
  <c r="D4086" i="2"/>
  <c r="C4086" i="2"/>
  <c r="B4086" i="2"/>
  <c r="A4086" i="2"/>
  <c r="U4085" i="2"/>
  <c r="N4085" i="2"/>
  <c r="M4085" i="2"/>
  <c r="J4085" i="2"/>
  <c r="I4085" i="2"/>
  <c r="H4085" i="2"/>
  <c r="G4085" i="2"/>
  <c r="F4085" i="2"/>
  <c r="E4085" i="2"/>
  <c r="D4085" i="2"/>
  <c r="C4085" i="2"/>
  <c r="B4085" i="2"/>
  <c r="A4085" i="2"/>
  <c r="U4084" i="2"/>
  <c r="N4084" i="2"/>
  <c r="M4084" i="2"/>
  <c r="J4084" i="2"/>
  <c r="I4084" i="2"/>
  <c r="H4084" i="2"/>
  <c r="G4084" i="2"/>
  <c r="F4084" i="2"/>
  <c r="E4084" i="2"/>
  <c r="D4084" i="2"/>
  <c r="C4084" i="2"/>
  <c r="B4084" i="2"/>
  <c r="A4084" i="2"/>
  <c r="U4083" i="2"/>
  <c r="N4083" i="2"/>
  <c r="M4083" i="2"/>
  <c r="J4083" i="2"/>
  <c r="I4083" i="2"/>
  <c r="H4083" i="2"/>
  <c r="G4083" i="2"/>
  <c r="F4083" i="2"/>
  <c r="E4083" i="2"/>
  <c r="D4083" i="2"/>
  <c r="C4083" i="2"/>
  <c r="B4083" i="2"/>
  <c r="A4083" i="2"/>
  <c r="U4082" i="2"/>
  <c r="N4082" i="2"/>
  <c r="M4082" i="2"/>
  <c r="J4082" i="2"/>
  <c r="I4082" i="2"/>
  <c r="H4082" i="2"/>
  <c r="G4082" i="2"/>
  <c r="F4082" i="2"/>
  <c r="E4082" i="2"/>
  <c r="D4082" i="2"/>
  <c r="C4082" i="2"/>
  <c r="B4082" i="2"/>
  <c r="A4082" i="2"/>
  <c r="U4081" i="2"/>
  <c r="N4081" i="2"/>
  <c r="M4081" i="2"/>
  <c r="J4081" i="2"/>
  <c r="I4081" i="2"/>
  <c r="H4081" i="2"/>
  <c r="G4081" i="2"/>
  <c r="F4081" i="2"/>
  <c r="E4081" i="2"/>
  <c r="D4081" i="2"/>
  <c r="C4081" i="2"/>
  <c r="B4081" i="2"/>
  <c r="A4081" i="2"/>
  <c r="U4080" i="2"/>
  <c r="N4080" i="2"/>
  <c r="M4080" i="2"/>
  <c r="J4080" i="2"/>
  <c r="I4080" i="2"/>
  <c r="H4080" i="2"/>
  <c r="G4080" i="2"/>
  <c r="F4080" i="2"/>
  <c r="E4080" i="2"/>
  <c r="D4080" i="2"/>
  <c r="C4080" i="2"/>
  <c r="B4080" i="2"/>
  <c r="A4080" i="2"/>
  <c r="U4079" i="2"/>
  <c r="N4079" i="2"/>
  <c r="M4079" i="2"/>
  <c r="J4079" i="2"/>
  <c r="I4079" i="2"/>
  <c r="H4079" i="2"/>
  <c r="G4079" i="2"/>
  <c r="F4079" i="2"/>
  <c r="E4079" i="2"/>
  <c r="D4079" i="2"/>
  <c r="C4079" i="2"/>
  <c r="B4079" i="2"/>
  <c r="A4079" i="2"/>
  <c r="U4078" i="2"/>
  <c r="N4078" i="2"/>
  <c r="M4078" i="2"/>
  <c r="J4078" i="2"/>
  <c r="I4078" i="2"/>
  <c r="H4078" i="2"/>
  <c r="G4078" i="2"/>
  <c r="F4078" i="2"/>
  <c r="E4078" i="2"/>
  <c r="D4078" i="2"/>
  <c r="C4078" i="2"/>
  <c r="B4078" i="2"/>
  <c r="A4078" i="2"/>
  <c r="U4077" i="2"/>
  <c r="N4077" i="2"/>
  <c r="M4077" i="2"/>
  <c r="J4077" i="2"/>
  <c r="I4077" i="2"/>
  <c r="H4077" i="2"/>
  <c r="G4077" i="2"/>
  <c r="F4077" i="2"/>
  <c r="E4077" i="2"/>
  <c r="D4077" i="2"/>
  <c r="C4077" i="2"/>
  <c r="B4077" i="2"/>
  <c r="A4077" i="2"/>
  <c r="U4076" i="2"/>
  <c r="N4076" i="2"/>
  <c r="M4076" i="2"/>
  <c r="J4076" i="2"/>
  <c r="I4076" i="2"/>
  <c r="H4076" i="2"/>
  <c r="G4076" i="2"/>
  <c r="F4076" i="2"/>
  <c r="E4076" i="2"/>
  <c r="D4076" i="2"/>
  <c r="C4076" i="2"/>
  <c r="B4076" i="2"/>
  <c r="A4076" i="2"/>
  <c r="U4075" i="2"/>
  <c r="N4075" i="2"/>
  <c r="M4075" i="2"/>
  <c r="J4075" i="2"/>
  <c r="I4075" i="2"/>
  <c r="H4075" i="2"/>
  <c r="G4075" i="2"/>
  <c r="F4075" i="2"/>
  <c r="E4075" i="2"/>
  <c r="D4075" i="2"/>
  <c r="C4075" i="2"/>
  <c r="B4075" i="2"/>
  <c r="A4075" i="2"/>
  <c r="U4074" i="2"/>
  <c r="N4074" i="2"/>
  <c r="M4074" i="2"/>
  <c r="J4074" i="2"/>
  <c r="I4074" i="2"/>
  <c r="H4074" i="2"/>
  <c r="G4074" i="2"/>
  <c r="F4074" i="2"/>
  <c r="E4074" i="2"/>
  <c r="D4074" i="2"/>
  <c r="C4074" i="2"/>
  <c r="B4074" i="2"/>
  <c r="A4074" i="2"/>
  <c r="U4073" i="2"/>
  <c r="N4073" i="2"/>
  <c r="M4073" i="2"/>
  <c r="J4073" i="2"/>
  <c r="I4073" i="2"/>
  <c r="H4073" i="2"/>
  <c r="G4073" i="2"/>
  <c r="F4073" i="2"/>
  <c r="E4073" i="2"/>
  <c r="D4073" i="2"/>
  <c r="C4073" i="2"/>
  <c r="B4073" i="2"/>
  <c r="A4073" i="2"/>
  <c r="Q4072" i="2"/>
  <c r="U4072" i="2" s="1"/>
  <c r="N4072" i="2"/>
  <c r="M4072" i="2"/>
  <c r="J4072" i="2"/>
  <c r="I4072" i="2"/>
  <c r="H4072" i="2"/>
  <c r="G4072" i="2"/>
  <c r="F4072" i="2"/>
  <c r="E4072" i="2"/>
  <c r="D4072" i="2"/>
  <c r="C4072" i="2"/>
  <c r="B4072" i="2"/>
  <c r="A4072" i="2"/>
  <c r="U4071" i="2"/>
  <c r="N4071" i="2"/>
  <c r="M4071" i="2"/>
  <c r="J4071" i="2"/>
  <c r="I4071" i="2"/>
  <c r="H4071" i="2"/>
  <c r="G4071" i="2"/>
  <c r="F4071" i="2"/>
  <c r="E4071" i="2"/>
  <c r="D4071" i="2"/>
  <c r="C4071" i="2"/>
  <c r="B4071" i="2"/>
  <c r="A4071" i="2"/>
  <c r="U4070" i="2"/>
  <c r="N4070" i="2"/>
  <c r="M4070" i="2"/>
  <c r="J4070" i="2"/>
  <c r="I4070" i="2"/>
  <c r="H4070" i="2"/>
  <c r="G4070" i="2"/>
  <c r="F4070" i="2"/>
  <c r="E4070" i="2"/>
  <c r="D4070" i="2"/>
  <c r="C4070" i="2"/>
  <c r="B4070" i="2"/>
  <c r="A4070" i="2"/>
  <c r="U4069" i="2"/>
  <c r="N4069" i="2"/>
  <c r="M4069" i="2"/>
  <c r="J4069" i="2"/>
  <c r="I4069" i="2"/>
  <c r="H4069" i="2"/>
  <c r="G4069" i="2"/>
  <c r="F4069" i="2"/>
  <c r="E4069" i="2"/>
  <c r="D4069" i="2"/>
  <c r="C4069" i="2"/>
  <c r="B4069" i="2"/>
  <c r="A4069" i="2"/>
  <c r="Q4068" i="2"/>
  <c r="U4068" i="2" s="1"/>
  <c r="N4068" i="2"/>
  <c r="M4068" i="2"/>
  <c r="J4068" i="2"/>
  <c r="I4068" i="2"/>
  <c r="H4068" i="2"/>
  <c r="G4068" i="2"/>
  <c r="F4068" i="2"/>
  <c r="E4068" i="2"/>
  <c r="D4068" i="2"/>
  <c r="C4068" i="2"/>
  <c r="B4068" i="2"/>
  <c r="A4068" i="2"/>
  <c r="U4067" i="2"/>
  <c r="N4067" i="2"/>
  <c r="M4067" i="2"/>
  <c r="J4067" i="2"/>
  <c r="I4067" i="2"/>
  <c r="H4067" i="2"/>
  <c r="G4067" i="2"/>
  <c r="F4067" i="2"/>
  <c r="E4067" i="2"/>
  <c r="D4067" i="2"/>
  <c r="C4067" i="2"/>
  <c r="B4067" i="2"/>
  <c r="A4067" i="2"/>
  <c r="Q4066" i="2"/>
  <c r="U4066" i="2" s="1"/>
  <c r="N4066" i="2"/>
  <c r="M4066" i="2"/>
  <c r="J4066" i="2"/>
  <c r="I4066" i="2"/>
  <c r="H4066" i="2"/>
  <c r="G4066" i="2"/>
  <c r="F4066" i="2"/>
  <c r="E4066" i="2"/>
  <c r="D4066" i="2"/>
  <c r="C4066" i="2"/>
  <c r="B4066" i="2"/>
  <c r="A4066" i="2"/>
  <c r="U4065" i="2"/>
  <c r="N4065" i="2"/>
  <c r="M4065" i="2"/>
  <c r="J4065" i="2"/>
  <c r="I4065" i="2"/>
  <c r="H4065" i="2"/>
  <c r="G4065" i="2"/>
  <c r="F4065" i="2"/>
  <c r="E4065" i="2"/>
  <c r="D4065" i="2"/>
  <c r="C4065" i="2"/>
  <c r="B4065" i="2"/>
  <c r="A4065" i="2"/>
  <c r="U4064" i="2"/>
  <c r="N4064" i="2"/>
  <c r="M4064" i="2"/>
  <c r="J4064" i="2"/>
  <c r="I4064" i="2"/>
  <c r="H4064" i="2"/>
  <c r="G4064" i="2"/>
  <c r="F4064" i="2"/>
  <c r="E4064" i="2"/>
  <c r="D4064" i="2"/>
  <c r="C4064" i="2"/>
  <c r="B4064" i="2"/>
  <c r="A4064" i="2"/>
  <c r="U4063" i="2"/>
  <c r="N4063" i="2"/>
  <c r="M4063" i="2"/>
  <c r="J4063" i="2"/>
  <c r="I4063" i="2"/>
  <c r="H4063" i="2"/>
  <c r="G4063" i="2"/>
  <c r="F4063" i="2"/>
  <c r="E4063" i="2"/>
  <c r="D4063" i="2"/>
  <c r="C4063" i="2"/>
  <c r="B4063" i="2"/>
  <c r="A4063" i="2"/>
  <c r="U4062" i="2"/>
  <c r="N4062" i="2"/>
  <c r="M4062" i="2"/>
  <c r="J4062" i="2"/>
  <c r="I4062" i="2"/>
  <c r="H4062" i="2"/>
  <c r="G4062" i="2"/>
  <c r="F4062" i="2"/>
  <c r="E4062" i="2"/>
  <c r="D4062" i="2"/>
  <c r="C4062" i="2"/>
  <c r="B4062" i="2"/>
  <c r="A4062" i="2"/>
  <c r="Q4061" i="2"/>
  <c r="U4061" i="2" s="1"/>
  <c r="N4061" i="2"/>
  <c r="M4061" i="2"/>
  <c r="J4061" i="2"/>
  <c r="I4061" i="2"/>
  <c r="H4061" i="2"/>
  <c r="G4061" i="2"/>
  <c r="F4061" i="2"/>
  <c r="E4061" i="2"/>
  <c r="D4061" i="2"/>
  <c r="C4061" i="2"/>
  <c r="B4061" i="2"/>
  <c r="A4061" i="2"/>
  <c r="U4060" i="2"/>
  <c r="N4060" i="2"/>
  <c r="M4060" i="2"/>
  <c r="J4060" i="2"/>
  <c r="I4060" i="2"/>
  <c r="H4060" i="2"/>
  <c r="G4060" i="2"/>
  <c r="F4060" i="2"/>
  <c r="E4060" i="2"/>
  <c r="D4060" i="2"/>
  <c r="C4060" i="2"/>
  <c r="B4060" i="2"/>
  <c r="A4060" i="2"/>
  <c r="Q4059" i="2"/>
  <c r="U4059" i="2" s="1"/>
  <c r="N4059" i="2"/>
  <c r="M4059" i="2"/>
  <c r="J4059" i="2"/>
  <c r="I4059" i="2"/>
  <c r="H4059" i="2"/>
  <c r="G4059" i="2"/>
  <c r="F4059" i="2"/>
  <c r="E4059" i="2"/>
  <c r="D4059" i="2"/>
  <c r="C4059" i="2"/>
  <c r="B4059" i="2"/>
  <c r="A4059" i="2"/>
  <c r="U4058" i="2"/>
  <c r="N4058" i="2"/>
  <c r="M4058" i="2"/>
  <c r="J4058" i="2"/>
  <c r="I4058" i="2"/>
  <c r="H4058" i="2"/>
  <c r="G4058" i="2"/>
  <c r="F4058" i="2"/>
  <c r="E4058" i="2"/>
  <c r="D4058" i="2"/>
  <c r="C4058" i="2"/>
  <c r="B4058" i="2"/>
  <c r="A4058" i="2"/>
  <c r="U4057" i="2"/>
  <c r="N4057" i="2"/>
  <c r="M4057" i="2"/>
  <c r="J4057" i="2"/>
  <c r="I4057" i="2"/>
  <c r="H4057" i="2"/>
  <c r="G4057" i="2"/>
  <c r="F4057" i="2"/>
  <c r="E4057" i="2"/>
  <c r="D4057" i="2"/>
  <c r="C4057" i="2"/>
  <c r="B4057" i="2"/>
  <c r="A4057" i="2"/>
  <c r="Q4056" i="2"/>
  <c r="U4056" i="2" s="1"/>
  <c r="N4056" i="2"/>
  <c r="M4056" i="2"/>
  <c r="J4056" i="2"/>
  <c r="I4056" i="2"/>
  <c r="H4056" i="2"/>
  <c r="G4056" i="2"/>
  <c r="F4056" i="2"/>
  <c r="E4056" i="2"/>
  <c r="D4056" i="2"/>
  <c r="C4056" i="2"/>
  <c r="B4056" i="2"/>
  <c r="A4056" i="2"/>
  <c r="Q4055" i="2"/>
  <c r="U4055" i="2" s="1"/>
  <c r="N4055" i="2"/>
  <c r="M4055" i="2"/>
  <c r="J4055" i="2"/>
  <c r="I4055" i="2"/>
  <c r="H4055" i="2"/>
  <c r="G4055" i="2"/>
  <c r="F4055" i="2"/>
  <c r="E4055" i="2"/>
  <c r="D4055" i="2"/>
  <c r="C4055" i="2"/>
  <c r="B4055" i="2"/>
  <c r="A4055" i="2"/>
  <c r="Q4054" i="2"/>
  <c r="U4054" i="2" s="1"/>
  <c r="N4054" i="2"/>
  <c r="M4054" i="2"/>
  <c r="J4054" i="2"/>
  <c r="I4054" i="2"/>
  <c r="H4054" i="2"/>
  <c r="G4054" i="2"/>
  <c r="F4054" i="2"/>
  <c r="E4054" i="2"/>
  <c r="D4054" i="2"/>
  <c r="C4054" i="2"/>
  <c r="B4054" i="2"/>
  <c r="A4054" i="2"/>
  <c r="U4053" i="2"/>
  <c r="N4053" i="2"/>
  <c r="M4053" i="2"/>
  <c r="J4053" i="2"/>
  <c r="I4053" i="2"/>
  <c r="H4053" i="2"/>
  <c r="G4053" i="2"/>
  <c r="F4053" i="2"/>
  <c r="E4053" i="2"/>
  <c r="D4053" i="2"/>
  <c r="C4053" i="2"/>
  <c r="B4053" i="2"/>
  <c r="A4053" i="2"/>
  <c r="U4052" i="2"/>
  <c r="N4052" i="2"/>
  <c r="M4052" i="2"/>
  <c r="J4052" i="2"/>
  <c r="I4052" i="2"/>
  <c r="H4052" i="2"/>
  <c r="G4052" i="2"/>
  <c r="F4052" i="2"/>
  <c r="E4052" i="2"/>
  <c r="D4052" i="2"/>
  <c r="C4052" i="2"/>
  <c r="B4052" i="2"/>
  <c r="A4052" i="2"/>
  <c r="U4051" i="2"/>
  <c r="N4051" i="2"/>
  <c r="M4051" i="2"/>
  <c r="J4051" i="2"/>
  <c r="I4051" i="2"/>
  <c r="H4051" i="2"/>
  <c r="G4051" i="2"/>
  <c r="F4051" i="2"/>
  <c r="E4051" i="2"/>
  <c r="D4051" i="2"/>
  <c r="C4051" i="2"/>
  <c r="B4051" i="2"/>
  <c r="A4051" i="2"/>
  <c r="U4050" i="2"/>
  <c r="N4050" i="2"/>
  <c r="M4050" i="2"/>
  <c r="J4050" i="2"/>
  <c r="I4050" i="2"/>
  <c r="H4050" i="2"/>
  <c r="G4050" i="2"/>
  <c r="F4050" i="2"/>
  <c r="E4050" i="2"/>
  <c r="D4050" i="2"/>
  <c r="C4050" i="2"/>
  <c r="B4050" i="2"/>
  <c r="A4050" i="2"/>
  <c r="U4049" i="2"/>
  <c r="N4049" i="2"/>
  <c r="M4049" i="2"/>
  <c r="J4049" i="2"/>
  <c r="I4049" i="2"/>
  <c r="H4049" i="2"/>
  <c r="G4049" i="2"/>
  <c r="F4049" i="2"/>
  <c r="E4049" i="2"/>
  <c r="D4049" i="2"/>
  <c r="C4049" i="2"/>
  <c r="B4049" i="2"/>
  <c r="A4049" i="2"/>
  <c r="U4048" i="2"/>
  <c r="N4048" i="2"/>
  <c r="M4048" i="2"/>
  <c r="J4048" i="2"/>
  <c r="I4048" i="2"/>
  <c r="H4048" i="2"/>
  <c r="G4048" i="2"/>
  <c r="F4048" i="2"/>
  <c r="E4048" i="2"/>
  <c r="D4048" i="2"/>
  <c r="C4048" i="2"/>
  <c r="B4048" i="2"/>
  <c r="A4048" i="2"/>
  <c r="U4047" i="2"/>
  <c r="N4047" i="2"/>
  <c r="M4047" i="2"/>
  <c r="J4047" i="2"/>
  <c r="I4047" i="2"/>
  <c r="H4047" i="2"/>
  <c r="G4047" i="2"/>
  <c r="F4047" i="2"/>
  <c r="E4047" i="2"/>
  <c r="D4047" i="2"/>
  <c r="C4047" i="2"/>
  <c r="B4047" i="2"/>
  <c r="A4047" i="2"/>
  <c r="U4046" i="2"/>
  <c r="N4046" i="2"/>
  <c r="M4046" i="2"/>
  <c r="J4046" i="2"/>
  <c r="I4046" i="2"/>
  <c r="H4046" i="2"/>
  <c r="G4046" i="2"/>
  <c r="F4046" i="2"/>
  <c r="E4046" i="2"/>
  <c r="D4046" i="2"/>
  <c r="C4046" i="2"/>
  <c r="B4046" i="2"/>
  <c r="A4046" i="2"/>
  <c r="R4045" i="2"/>
  <c r="Q4045" i="2"/>
  <c r="N4045" i="2"/>
  <c r="M4045" i="2"/>
  <c r="J4045" i="2"/>
  <c r="I4045" i="2"/>
  <c r="H4045" i="2"/>
  <c r="G4045" i="2"/>
  <c r="F4045" i="2"/>
  <c r="E4045" i="2"/>
  <c r="D4045" i="2"/>
  <c r="C4045" i="2"/>
  <c r="B4045" i="2"/>
  <c r="A4045" i="2"/>
  <c r="U4044" i="2"/>
  <c r="N4044" i="2"/>
  <c r="M4044" i="2"/>
  <c r="J4044" i="2"/>
  <c r="I4044" i="2"/>
  <c r="H4044" i="2"/>
  <c r="G4044" i="2"/>
  <c r="F4044" i="2"/>
  <c r="E4044" i="2"/>
  <c r="D4044" i="2"/>
  <c r="C4044" i="2"/>
  <c r="B4044" i="2"/>
  <c r="A4044" i="2"/>
  <c r="U4043" i="2"/>
  <c r="N4043" i="2"/>
  <c r="M4043" i="2"/>
  <c r="J4043" i="2"/>
  <c r="I4043" i="2"/>
  <c r="H4043" i="2"/>
  <c r="G4043" i="2"/>
  <c r="F4043" i="2"/>
  <c r="E4043" i="2"/>
  <c r="D4043" i="2"/>
  <c r="C4043" i="2"/>
  <c r="B4043" i="2"/>
  <c r="A4043" i="2"/>
  <c r="U4042" i="2"/>
  <c r="N4042" i="2"/>
  <c r="M4042" i="2"/>
  <c r="J4042" i="2"/>
  <c r="I4042" i="2"/>
  <c r="H4042" i="2"/>
  <c r="G4042" i="2"/>
  <c r="F4042" i="2"/>
  <c r="E4042" i="2"/>
  <c r="D4042" i="2"/>
  <c r="C4042" i="2"/>
  <c r="B4042" i="2"/>
  <c r="A4042" i="2"/>
  <c r="U4041" i="2"/>
  <c r="N4041" i="2"/>
  <c r="M4041" i="2"/>
  <c r="J4041" i="2"/>
  <c r="I4041" i="2"/>
  <c r="H4041" i="2"/>
  <c r="G4041" i="2"/>
  <c r="F4041" i="2"/>
  <c r="E4041" i="2"/>
  <c r="D4041" i="2"/>
  <c r="C4041" i="2"/>
  <c r="B4041" i="2"/>
  <c r="A4041" i="2"/>
  <c r="U4040" i="2"/>
  <c r="N4040" i="2"/>
  <c r="M4040" i="2"/>
  <c r="J4040" i="2"/>
  <c r="I4040" i="2"/>
  <c r="H4040" i="2"/>
  <c r="G4040" i="2"/>
  <c r="F4040" i="2"/>
  <c r="E4040" i="2"/>
  <c r="D4040" i="2"/>
  <c r="C4040" i="2"/>
  <c r="B4040" i="2"/>
  <c r="A4040" i="2"/>
  <c r="U4039" i="2"/>
  <c r="N4039" i="2"/>
  <c r="M4039" i="2"/>
  <c r="J4039" i="2"/>
  <c r="I4039" i="2"/>
  <c r="H4039" i="2"/>
  <c r="G4039" i="2"/>
  <c r="F4039" i="2"/>
  <c r="E4039" i="2"/>
  <c r="D4039" i="2"/>
  <c r="C4039" i="2"/>
  <c r="B4039" i="2"/>
  <c r="A4039" i="2"/>
  <c r="U4038" i="2"/>
  <c r="N4038" i="2"/>
  <c r="M4038" i="2"/>
  <c r="J4038" i="2"/>
  <c r="I4038" i="2"/>
  <c r="H4038" i="2"/>
  <c r="G4038" i="2"/>
  <c r="F4038" i="2"/>
  <c r="E4038" i="2"/>
  <c r="D4038" i="2"/>
  <c r="C4038" i="2"/>
  <c r="B4038" i="2"/>
  <c r="A4038" i="2"/>
  <c r="U4037" i="2"/>
  <c r="N4037" i="2"/>
  <c r="M4037" i="2"/>
  <c r="J4037" i="2"/>
  <c r="I4037" i="2"/>
  <c r="H4037" i="2"/>
  <c r="G4037" i="2"/>
  <c r="F4037" i="2"/>
  <c r="E4037" i="2"/>
  <c r="D4037" i="2"/>
  <c r="C4037" i="2"/>
  <c r="B4037" i="2"/>
  <c r="A4037" i="2"/>
  <c r="U4036" i="2"/>
  <c r="N4036" i="2"/>
  <c r="M4036" i="2"/>
  <c r="J4036" i="2"/>
  <c r="I4036" i="2"/>
  <c r="H4036" i="2"/>
  <c r="G4036" i="2"/>
  <c r="F4036" i="2"/>
  <c r="E4036" i="2"/>
  <c r="D4036" i="2"/>
  <c r="C4036" i="2"/>
  <c r="B4036" i="2"/>
  <c r="A4036" i="2"/>
  <c r="U4035" i="2"/>
  <c r="N4035" i="2"/>
  <c r="M4035" i="2"/>
  <c r="J4035" i="2"/>
  <c r="I4035" i="2"/>
  <c r="H4035" i="2"/>
  <c r="G4035" i="2"/>
  <c r="F4035" i="2"/>
  <c r="E4035" i="2"/>
  <c r="D4035" i="2"/>
  <c r="C4035" i="2"/>
  <c r="B4035" i="2"/>
  <c r="A4035" i="2"/>
  <c r="U4034" i="2"/>
  <c r="N4034" i="2"/>
  <c r="M4034" i="2"/>
  <c r="J4034" i="2"/>
  <c r="I4034" i="2"/>
  <c r="H4034" i="2"/>
  <c r="G4034" i="2"/>
  <c r="F4034" i="2"/>
  <c r="E4034" i="2"/>
  <c r="D4034" i="2"/>
  <c r="C4034" i="2"/>
  <c r="B4034" i="2"/>
  <c r="A4034" i="2"/>
  <c r="U4033" i="2"/>
  <c r="N4033" i="2"/>
  <c r="M4033" i="2"/>
  <c r="J4033" i="2"/>
  <c r="I4033" i="2"/>
  <c r="H4033" i="2"/>
  <c r="G4033" i="2"/>
  <c r="F4033" i="2"/>
  <c r="E4033" i="2"/>
  <c r="D4033" i="2"/>
  <c r="C4033" i="2"/>
  <c r="B4033" i="2"/>
  <c r="A4033" i="2"/>
  <c r="U4032" i="2"/>
  <c r="N4032" i="2"/>
  <c r="M4032" i="2"/>
  <c r="J4032" i="2"/>
  <c r="I4032" i="2"/>
  <c r="H4032" i="2"/>
  <c r="G4032" i="2"/>
  <c r="F4032" i="2"/>
  <c r="E4032" i="2"/>
  <c r="D4032" i="2"/>
  <c r="C4032" i="2"/>
  <c r="B4032" i="2"/>
  <c r="A4032" i="2"/>
  <c r="Q4031" i="2"/>
  <c r="U4031" i="2" s="1"/>
  <c r="N4031" i="2"/>
  <c r="M4031" i="2"/>
  <c r="J4031" i="2"/>
  <c r="I4031" i="2"/>
  <c r="H4031" i="2"/>
  <c r="G4031" i="2"/>
  <c r="F4031" i="2"/>
  <c r="E4031" i="2"/>
  <c r="D4031" i="2"/>
  <c r="C4031" i="2"/>
  <c r="B4031" i="2"/>
  <c r="A4031" i="2"/>
  <c r="U4030" i="2"/>
  <c r="N4030" i="2"/>
  <c r="M4030" i="2"/>
  <c r="J4030" i="2"/>
  <c r="I4030" i="2"/>
  <c r="H4030" i="2"/>
  <c r="G4030" i="2"/>
  <c r="F4030" i="2"/>
  <c r="E4030" i="2"/>
  <c r="D4030" i="2"/>
  <c r="C4030" i="2"/>
  <c r="B4030" i="2"/>
  <c r="A4030" i="2"/>
  <c r="U4029" i="2"/>
  <c r="N4029" i="2"/>
  <c r="M4029" i="2"/>
  <c r="J4029" i="2"/>
  <c r="I4029" i="2"/>
  <c r="H4029" i="2"/>
  <c r="G4029" i="2"/>
  <c r="F4029" i="2"/>
  <c r="E4029" i="2"/>
  <c r="D4029" i="2"/>
  <c r="C4029" i="2"/>
  <c r="B4029" i="2"/>
  <c r="A4029" i="2"/>
  <c r="U4028" i="2"/>
  <c r="N4028" i="2"/>
  <c r="M4028" i="2"/>
  <c r="J4028" i="2"/>
  <c r="I4028" i="2"/>
  <c r="H4028" i="2"/>
  <c r="G4028" i="2"/>
  <c r="F4028" i="2"/>
  <c r="E4028" i="2"/>
  <c r="D4028" i="2"/>
  <c r="C4028" i="2"/>
  <c r="B4028" i="2"/>
  <c r="A4028" i="2"/>
  <c r="U4027" i="2"/>
  <c r="N4027" i="2"/>
  <c r="M4027" i="2"/>
  <c r="J4027" i="2"/>
  <c r="I4027" i="2"/>
  <c r="H4027" i="2"/>
  <c r="G4027" i="2"/>
  <c r="F4027" i="2"/>
  <c r="E4027" i="2"/>
  <c r="D4027" i="2"/>
  <c r="C4027" i="2"/>
  <c r="B4027" i="2"/>
  <c r="A4027" i="2"/>
  <c r="U4026" i="2"/>
  <c r="N4026" i="2"/>
  <c r="M4026" i="2"/>
  <c r="J4026" i="2"/>
  <c r="I4026" i="2"/>
  <c r="H4026" i="2"/>
  <c r="G4026" i="2"/>
  <c r="F4026" i="2"/>
  <c r="E4026" i="2"/>
  <c r="D4026" i="2"/>
  <c r="C4026" i="2"/>
  <c r="B4026" i="2"/>
  <c r="A4026" i="2"/>
  <c r="U4025" i="2"/>
  <c r="N4025" i="2"/>
  <c r="M4025" i="2"/>
  <c r="J4025" i="2"/>
  <c r="I4025" i="2"/>
  <c r="H4025" i="2"/>
  <c r="G4025" i="2"/>
  <c r="F4025" i="2"/>
  <c r="E4025" i="2"/>
  <c r="D4025" i="2"/>
  <c r="C4025" i="2"/>
  <c r="B4025" i="2"/>
  <c r="A4025" i="2"/>
  <c r="U4024" i="2"/>
  <c r="N4024" i="2"/>
  <c r="M4024" i="2"/>
  <c r="J4024" i="2"/>
  <c r="I4024" i="2"/>
  <c r="H4024" i="2"/>
  <c r="G4024" i="2"/>
  <c r="F4024" i="2"/>
  <c r="E4024" i="2"/>
  <c r="D4024" i="2"/>
  <c r="C4024" i="2"/>
  <c r="B4024" i="2"/>
  <c r="A4024" i="2"/>
  <c r="U4023" i="2"/>
  <c r="N4023" i="2"/>
  <c r="M4023" i="2"/>
  <c r="J4023" i="2"/>
  <c r="I4023" i="2"/>
  <c r="H4023" i="2"/>
  <c r="G4023" i="2"/>
  <c r="F4023" i="2"/>
  <c r="E4023" i="2"/>
  <c r="D4023" i="2"/>
  <c r="C4023" i="2"/>
  <c r="B4023" i="2"/>
  <c r="A4023" i="2"/>
  <c r="U4022" i="2"/>
  <c r="N4022" i="2"/>
  <c r="M4022" i="2"/>
  <c r="J4022" i="2"/>
  <c r="I4022" i="2"/>
  <c r="H4022" i="2"/>
  <c r="G4022" i="2"/>
  <c r="F4022" i="2"/>
  <c r="E4022" i="2"/>
  <c r="D4022" i="2"/>
  <c r="C4022" i="2"/>
  <c r="B4022" i="2"/>
  <c r="A4022" i="2"/>
  <c r="U4021" i="2"/>
  <c r="N4021" i="2"/>
  <c r="M4021" i="2"/>
  <c r="J4021" i="2"/>
  <c r="I4021" i="2"/>
  <c r="H4021" i="2"/>
  <c r="G4021" i="2"/>
  <c r="F4021" i="2"/>
  <c r="E4021" i="2"/>
  <c r="D4021" i="2"/>
  <c r="C4021" i="2"/>
  <c r="B4021" i="2"/>
  <c r="A4021" i="2"/>
  <c r="U4020" i="2"/>
  <c r="N4020" i="2"/>
  <c r="M4020" i="2"/>
  <c r="J4020" i="2"/>
  <c r="I4020" i="2"/>
  <c r="H4020" i="2"/>
  <c r="G4020" i="2"/>
  <c r="F4020" i="2"/>
  <c r="E4020" i="2"/>
  <c r="D4020" i="2"/>
  <c r="C4020" i="2"/>
  <c r="B4020" i="2"/>
  <c r="A4020" i="2"/>
  <c r="U4019" i="2"/>
  <c r="N4019" i="2"/>
  <c r="M4019" i="2"/>
  <c r="J4019" i="2"/>
  <c r="I4019" i="2"/>
  <c r="H4019" i="2"/>
  <c r="G4019" i="2"/>
  <c r="F4019" i="2"/>
  <c r="E4019" i="2"/>
  <c r="D4019" i="2"/>
  <c r="C4019" i="2"/>
  <c r="B4019" i="2"/>
  <c r="A4019" i="2"/>
  <c r="U4018" i="2"/>
  <c r="N4018" i="2"/>
  <c r="M4018" i="2"/>
  <c r="J4018" i="2"/>
  <c r="I4018" i="2"/>
  <c r="H4018" i="2"/>
  <c r="G4018" i="2"/>
  <c r="F4018" i="2"/>
  <c r="E4018" i="2"/>
  <c r="D4018" i="2"/>
  <c r="C4018" i="2"/>
  <c r="B4018" i="2"/>
  <c r="A4018" i="2"/>
  <c r="U4017" i="2"/>
  <c r="N4017" i="2"/>
  <c r="M4017" i="2"/>
  <c r="J4017" i="2"/>
  <c r="I4017" i="2"/>
  <c r="H4017" i="2"/>
  <c r="G4017" i="2"/>
  <c r="F4017" i="2"/>
  <c r="E4017" i="2"/>
  <c r="D4017" i="2"/>
  <c r="C4017" i="2"/>
  <c r="B4017" i="2"/>
  <c r="A4017" i="2"/>
  <c r="U4016" i="2"/>
  <c r="N4016" i="2"/>
  <c r="M4016" i="2"/>
  <c r="J4016" i="2"/>
  <c r="I4016" i="2"/>
  <c r="H4016" i="2"/>
  <c r="G4016" i="2"/>
  <c r="F4016" i="2"/>
  <c r="E4016" i="2"/>
  <c r="D4016" i="2"/>
  <c r="C4016" i="2"/>
  <c r="B4016" i="2"/>
  <c r="A4016" i="2"/>
  <c r="U4015" i="2"/>
  <c r="N4015" i="2"/>
  <c r="M4015" i="2"/>
  <c r="J4015" i="2"/>
  <c r="I4015" i="2"/>
  <c r="H4015" i="2"/>
  <c r="G4015" i="2"/>
  <c r="F4015" i="2"/>
  <c r="E4015" i="2"/>
  <c r="D4015" i="2"/>
  <c r="C4015" i="2"/>
  <c r="B4015" i="2"/>
  <c r="A4015" i="2"/>
  <c r="Q4014" i="2"/>
  <c r="U4014" i="2" s="1"/>
  <c r="N4014" i="2"/>
  <c r="M4014" i="2"/>
  <c r="J4014" i="2"/>
  <c r="I4014" i="2"/>
  <c r="H4014" i="2"/>
  <c r="G4014" i="2"/>
  <c r="F4014" i="2"/>
  <c r="E4014" i="2"/>
  <c r="D4014" i="2"/>
  <c r="C4014" i="2"/>
  <c r="B4014" i="2"/>
  <c r="A4014" i="2"/>
  <c r="U4013" i="2"/>
  <c r="N4013" i="2"/>
  <c r="M4013" i="2"/>
  <c r="J4013" i="2"/>
  <c r="I4013" i="2"/>
  <c r="H4013" i="2"/>
  <c r="G4013" i="2"/>
  <c r="F4013" i="2"/>
  <c r="E4013" i="2"/>
  <c r="D4013" i="2"/>
  <c r="C4013" i="2"/>
  <c r="B4013" i="2"/>
  <c r="A4013" i="2"/>
  <c r="U4012" i="2"/>
  <c r="N4012" i="2"/>
  <c r="M4012" i="2"/>
  <c r="J4012" i="2"/>
  <c r="I4012" i="2"/>
  <c r="H4012" i="2"/>
  <c r="G4012" i="2"/>
  <c r="F4012" i="2"/>
  <c r="E4012" i="2"/>
  <c r="D4012" i="2"/>
  <c r="C4012" i="2"/>
  <c r="B4012" i="2"/>
  <c r="A4012" i="2"/>
  <c r="U4011" i="2"/>
  <c r="N4011" i="2"/>
  <c r="M4011" i="2"/>
  <c r="J4011" i="2"/>
  <c r="I4011" i="2"/>
  <c r="H4011" i="2"/>
  <c r="G4011" i="2"/>
  <c r="F4011" i="2"/>
  <c r="E4011" i="2"/>
  <c r="D4011" i="2"/>
  <c r="C4011" i="2"/>
  <c r="B4011" i="2"/>
  <c r="A4011" i="2"/>
  <c r="Q4010" i="2"/>
  <c r="U4010" i="2" s="1"/>
  <c r="N4010" i="2"/>
  <c r="M4010" i="2"/>
  <c r="J4010" i="2"/>
  <c r="I4010" i="2"/>
  <c r="H4010" i="2"/>
  <c r="G4010" i="2"/>
  <c r="F4010" i="2"/>
  <c r="E4010" i="2"/>
  <c r="D4010" i="2"/>
  <c r="C4010" i="2"/>
  <c r="B4010" i="2"/>
  <c r="A4010" i="2"/>
  <c r="Q4009" i="2"/>
  <c r="U4009" i="2" s="1"/>
  <c r="N4009" i="2"/>
  <c r="M4009" i="2"/>
  <c r="J4009" i="2"/>
  <c r="I4009" i="2"/>
  <c r="H4009" i="2"/>
  <c r="G4009" i="2"/>
  <c r="F4009" i="2"/>
  <c r="E4009" i="2"/>
  <c r="D4009" i="2"/>
  <c r="C4009" i="2"/>
  <c r="B4009" i="2"/>
  <c r="A4009" i="2"/>
  <c r="U4008" i="2"/>
  <c r="N4008" i="2"/>
  <c r="M4008" i="2"/>
  <c r="J4008" i="2"/>
  <c r="I4008" i="2"/>
  <c r="H4008" i="2"/>
  <c r="G4008" i="2"/>
  <c r="F4008" i="2"/>
  <c r="E4008" i="2"/>
  <c r="D4008" i="2"/>
  <c r="C4008" i="2"/>
  <c r="B4008" i="2"/>
  <c r="A4008" i="2"/>
  <c r="U4007" i="2"/>
  <c r="N4007" i="2"/>
  <c r="M4007" i="2"/>
  <c r="J4007" i="2"/>
  <c r="I4007" i="2"/>
  <c r="H4007" i="2"/>
  <c r="G4007" i="2"/>
  <c r="F4007" i="2"/>
  <c r="E4007" i="2"/>
  <c r="D4007" i="2"/>
  <c r="C4007" i="2"/>
  <c r="B4007" i="2"/>
  <c r="A4007" i="2"/>
  <c r="Q4006" i="2"/>
  <c r="U4006" i="2" s="1"/>
  <c r="N4006" i="2"/>
  <c r="M4006" i="2"/>
  <c r="J4006" i="2"/>
  <c r="I4006" i="2"/>
  <c r="H4006" i="2"/>
  <c r="G4006" i="2"/>
  <c r="F4006" i="2"/>
  <c r="E4006" i="2"/>
  <c r="D4006" i="2"/>
  <c r="C4006" i="2"/>
  <c r="B4006" i="2"/>
  <c r="A4006" i="2"/>
  <c r="Q4005" i="2"/>
  <c r="U4005" i="2" s="1"/>
  <c r="N4005" i="2"/>
  <c r="M4005" i="2"/>
  <c r="J4005" i="2"/>
  <c r="I4005" i="2"/>
  <c r="H4005" i="2"/>
  <c r="G4005" i="2"/>
  <c r="F4005" i="2"/>
  <c r="E4005" i="2"/>
  <c r="D4005" i="2"/>
  <c r="C4005" i="2"/>
  <c r="B4005" i="2"/>
  <c r="A4005" i="2"/>
  <c r="U4004" i="2"/>
  <c r="N4004" i="2"/>
  <c r="M4004" i="2"/>
  <c r="J4004" i="2"/>
  <c r="I4004" i="2"/>
  <c r="H4004" i="2"/>
  <c r="G4004" i="2"/>
  <c r="F4004" i="2"/>
  <c r="E4004" i="2"/>
  <c r="D4004" i="2"/>
  <c r="C4004" i="2"/>
  <c r="B4004" i="2"/>
  <c r="A4004" i="2"/>
  <c r="U4003" i="2"/>
  <c r="N4003" i="2"/>
  <c r="M4003" i="2"/>
  <c r="J4003" i="2"/>
  <c r="I4003" i="2"/>
  <c r="H4003" i="2"/>
  <c r="G4003" i="2"/>
  <c r="F4003" i="2"/>
  <c r="E4003" i="2"/>
  <c r="D4003" i="2"/>
  <c r="C4003" i="2"/>
  <c r="B4003" i="2"/>
  <c r="A4003" i="2"/>
  <c r="U4002" i="2"/>
  <c r="N4002" i="2"/>
  <c r="M4002" i="2"/>
  <c r="J4002" i="2"/>
  <c r="I4002" i="2"/>
  <c r="H4002" i="2"/>
  <c r="G4002" i="2"/>
  <c r="F4002" i="2"/>
  <c r="E4002" i="2"/>
  <c r="D4002" i="2"/>
  <c r="C4002" i="2"/>
  <c r="B4002" i="2"/>
  <c r="A4002" i="2"/>
  <c r="Q4001" i="2"/>
  <c r="U4001" i="2" s="1"/>
  <c r="N4001" i="2"/>
  <c r="M4001" i="2"/>
  <c r="J4001" i="2"/>
  <c r="I4001" i="2"/>
  <c r="H4001" i="2"/>
  <c r="G4001" i="2"/>
  <c r="F4001" i="2"/>
  <c r="E4001" i="2"/>
  <c r="D4001" i="2"/>
  <c r="C4001" i="2"/>
  <c r="B4001" i="2"/>
  <c r="A4001" i="2"/>
  <c r="U4000" i="2"/>
  <c r="N4000" i="2"/>
  <c r="M4000" i="2"/>
  <c r="J4000" i="2"/>
  <c r="I4000" i="2"/>
  <c r="H4000" i="2"/>
  <c r="G4000" i="2"/>
  <c r="F4000" i="2"/>
  <c r="E4000" i="2"/>
  <c r="D4000" i="2"/>
  <c r="C4000" i="2"/>
  <c r="B4000" i="2"/>
  <c r="A4000" i="2"/>
  <c r="Q3999" i="2"/>
  <c r="U3999" i="2" s="1"/>
  <c r="N3999" i="2"/>
  <c r="M3999" i="2"/>
  <c r="J3999" i="2"/>
  <c r="I3999" i="2"/>
  <c r="H3999" i="2"/>
  <c r="G3999" i="2"/>
  <c r="F3999" i="2"/>
  <c r="E3999" i="2"/>
  <c r="D3999" i="2"/>
  <c r="C3999" i="2"/>
  <c r="B3999" i="2"/>
  <c r="A3999" i="2"/>
  <c r="U3998" i="2"/>
  <c r="N3998" i="2"/>
  <c r="M3998" i="2"/>
  <c r="J3998" i="2"/>
  <c r="I3998" i="2"/>
  <c r="H3998" i="2"/>
  <c r="G3998" i="2"/>
  <c r="F3998" i="2"/>
  <c r="E3998" i="2"/>
  <c r="D3998" i="2"/>
  <c r="C3998" i="2"/>
  <c r="B3998" i="2"/>
  <c r="A3998" i="2"/>
  <c r="U3997" i="2"/>
  <c r="N3997" i="2"/>
  <c r="M3997" i="2"/>
  <c r="J3997" i="2"/>
  <c r="I3997" i="2"/>
  <c r="H3997" i="2"/>
  <c r="G3997" i="2"/>
  <c r="F3997" i="2"/>
  <c r="E3997" i="2"/>
  <c r="D3997" i="2"/>
  <c r="C3997" i="2"/>
  <c r="B3997" i="2"/>
  <c r="A3997" i="2"/>
  <c r="U3996" i="2"/>
  <c r="N3996" i="2"/>
  <c r="M3996" i="2"/>
  <c r="J3996" i="2"/>
  <c r="I3996" i="2"/>
  <c r="H3996" i="2"/>
  <c r="G3996" i="2"/>
  <c r="F3996" i="2"/>
  <c r="E3996" i="2"/>
  <c r="D3996" i="2"/>
  <c r="C3996" i="2"/>
  <c r="B3996" i="2"/>
  <c r="A3996" i="2"/>
  <c r="U3995" i="2"/>
  <c r="N3995" i="2"/>
  <c r="M3995" i="2"/>
  <c r="J3995" i="2"/>
  <c r="I3995" i="2"/>
  <c r="H3995" i="2"/>
  <c r="G3995" i="2"/>
  <c r="F3995" i="2"/>
  <c r="E3995" i="2"/>
  <c r="D3995" i="2"/>
  <c r="C3995" i="2"/>
  <c r="B3995" i="2"/>
  <c r="A3995" i="2"/>
  <c r="U3994" i="2"/>
  <c r="N3994" i="2"/>
  <c r="M3994" i="2"/>
  <c r="J3994" i="2"/>
  <c r="I3994" i="2"/>
  <c r="H3994" i="2"/>
  <c r="G3994" i="2"/>
  <c r="F3994" i="2"/>
  <c r="E3994" i="2"/>
  <c r="D3994" i="2"/>
  <c r="C3994" i="2"/>
  <c r="B3994" i="2"/>
  <c r="A3994" i="2"/>
  <c r="U3993" i="2"/>
  <c r="N3993" i="2"/>
  <c r="M3993" i="2"/>
  <c r="J3993" i="2"/>
  <c r="I3993" i="2"/>
  <c r="H3993" i="2"/>
  <c r="G3993" i="2"/>
  <c r="F3993" i="2"/>
  <c r="E3993" i="2"/>
  <c r="D3993" i="2"/>
  <c r="C3993" i="2"/>
  <c r="B3993" i="2"/>
  <c r="A3993" i="2"/>
  <c r="U3992" i="2"/>
  <c r="N3992" i="2"/>
  <c r="M3992" i="2"/>
  <c r="J3992" i="2"/>
  <c r="I3992" i="2"/>
  <c r="H3992" i="2"/>
  <c r="G3992" i="2"/>
  <c r="F3992" i="2"/>
  <c r="E3992" i="2"/>
  <c r="D3992" i="2"/>
  <c r="C3992" i="2"/>
  <c r="B3992" i="2"/>
  <c r="A3992" i="2"/>
  <c r="U3991" i="2"/>
  <c r="N3991" i="2"/>
  <c r="M3991" i="2"/>
  <c r="J3991" i="2"/>
  <c r="I3991" i="2"/>
  <c r="H3991" i="2"/>
  <c r="G3991" i="2"/>
  <c r="F3991" i="2"/>
  <c r="E3991" i="2"/>
  <c r="D3991" i="2"/>
  <c r="C3991" i="2"/>
  <c r="B3991" i="2"/>
  <c r="A3991" i="2"/>
  <c r="U3990" i="2"/>
  <c r="N3990" i="2"/>
  <c r="M3990" i="2"/>
  <c r="J3990" i="2"/>
  <c r="I3990" i="2"/>
  <c r="H3990" i="2"/>
  <c r="G3990" i="2"/>
  <c r="F3990" i="2"/>
  <c r="E3990" i="2"/>
  <c r="D3990" i="2"/>
  <c r="C3990" i="2"/>
  <c r="B3990" i="2"/>
  <c r="A3990" i="2"/>
  <c r="U3989" i="2"/>
  <c r="N3989" i="2"/>
  <c r="M3989" i="2"/>
  <c r="J3989" i="2"/>
  <c r="I3989" i="2"/>
  <c r="H3989" i="2"/>
  <c r="G3989" i="2"/>
  <c r="F3989" i="2"/>
  <c r="E3989" i="2"/>
  <c r="D3989" i="2"/>
  <c r="C3989" i="2"/>
  <c r="B3989" i="2"/>
  <c r="A3989" i="2"/>
  <c r="U3988" i="2"/>
  <c r="N3988" i="2"/>
  <c r="M3988" i="2"/>
  <c r="J3988" i="2"/>
  <c r="I3988" i="2"/>
  <c r="H3988" i="2"/>
  <c r="G3988" i="2"/>
  <c r="F3988" i="2"/>
  <c r="E3988" i="2"/>
  <c r="D3988" i="2"/>
  <c r="C3988" i="2"/>
  <c r="B3988" i="2"/>
  <c r="A3988" i="2"/>
  <c r="U3987" i="2"/>
  <c r="N3987" i="2"/>
  <c r="M3987" i="2"/>
  <c r="J3987" i="2"/>
  <c r="I3987" i="2"/>
  <c r="H3987" i="2"/>
  <c r="G3987" i="2"/>
  <c r="F3987" i="2"/>
  <c r="E3987" i="2"/>
  <c r="D3987" i="2"/>
  <c r="C3987" i="2"/>
  <c r="B3987" i="2"/>
  <c r="A3987" i="2"/>
  <c r="U3986" i="2"/>
  <c r="N3986" i="2"/>
  <c r="M3986" i="2"/>
  <c r="J3986" i="2"/>
  <c r="I3986" i="2"/>
  <c r="H3986" i="2"/>
  <c r="G3986" i="2"/>
  <c r="F3986" i="2"/>
  <c r="E3986" i="2"/>
  <c r="D3986" i="2"/>
  <c r="C3986" i="2"/>
  <c r="B3986" i="2"/>
  <c r="A3986" i="2"/>
  <c r="U3985" i="2"/>
  <c r="N3985" i="2"/>
  <c r="M3985" i="2"/>
  <c r="J3985" i="2"/>
  <c r="I3985" i="2"/>
  <c r="H3985" i="2"/>
  <c r="G3985" i="2"/>
  <c r="F3985" i="2"/>
  <c r="E3985" i="2"/>
  <c r="D3985" i="2"/>
  <c r="C3985" i="2"/>
  <c r="B3985" i="2"/>
  <c r="A3985" i="2"/>
  <c r="U3984" i="2"/>
  <c r="N3984" i="2"/>
  <c r="M3984" i="2"/>
  <c r="J3984" i="2"/>
  <c r="I3984" i="2"/>
  <c r="H3984" i="2"/>
  <c r="G3984" i="2"/>
  <c r="F3984" i="2"/>
  <c r="E3984" i="2"/>
  <c r="D3984" i="2"/>
  <c r="C3984" i="2"/>
  <c r="B3984" i="2"/>
  <c r="A3984" i="2"/>
  <c r="U3983" i="2"/>
  <c r="N3983" i="2"/>
  <c r="M3983" i="2"/>
  <c r="J3983" i="2"/>
  <c r="I3983" i="2"/>
  <c r="H3983" i="2"/>
  <c r="G3983" i="2"/>
  <c r="F3983" i="2"/>
  <c r="E3983" i="2"/>
  <c r="D3983" i="2"/>
  <c r="C3983" i="2"/>
  <c r="B3983" i="2"/>
  <c r="A3983" i="2"/>
  <c r="U3982" i="2"/>
  <c r="N3982" i="2"/>
  <c r="M3982" i="2"/>
  <c r="J3982" i="2"/>
  <c r="I3982" i="2"/>
  <c r="H3982" i="2"/>
  <c r="G3982" i="2"/>
  <c r="F3982" i="2"/>
  <c r="E3982" i="2"/>
  <c r="D3982" i="2"/>
  <c r="C3982" i="2"/>
  <c r="B3982" i="2"/>
  <c r="A3982" i="2"/>
  <c r="U3981" i="2"/>
  <c r="N3981" i="2"/>
  <c r="M3981" i="2"/>
  <c r="J3981" i="2"/>
  <c r="I3981" i="2"/>
  <c r="H3981" i="2"/>
  <c r="G3981" i="2"/>
  <c r="F3981" i="2"/>
  <c r="E3981" i="2"/>
  <c r="D3981" i="2"/>
  <c r="C3981" i="2"/>
  <c r="B3981" i="2"/>
  <c r="A3981" i="2"/>
  <c r="U3980" i="2"/>
  <c r="N3980" i="2"/>
  <c r="M3980" i="2"/>
  <c r="J3980" i="2"/>
  <c r="I3980" i="2"/>
  <c r="H3980" i="2"/>
  <c r="G3980" i="2"/>
  <c r="F3980" i="2"/>
  <c r="E3980" i="2"/>
  <c r="D3980" i="2"/>
  <c r="C3980" i="2"/>
  <c r="B3980" i="2"/>
  <c r="A3980" i="2"/>
  <c r="U3979" i="2"/>
  <c r="N3979" i="2"/>
  <c r="M3979" i="2"/>
  <c r="J3979" i="2"/>
  <c r="I3979" i="2"/>
  <c r="H3979" i="2"/>
  <c r="G3979" i="2"/>
  <c r="F3979" i="2"/>
  <c r="E3979" i="2"/>
  <c r="D3979" i="2"/>
  <c r="C3979" i="2"/>
  <c r="B3979" i="2"/>
  <c r="A3979" i="2"/>
  <c r="U3978" i="2"/>
  <c r="N3978" i="2"/>
  <c r="M3978" i="2"/>
  <c r="J3978" i="2"/>
  <c r="I3978" i="2"/>
  <c r="H3978" i="2"/>
  <c r="G3978" i="2"/>
  <c r="F3978" i="2"/>
  <c r="E3978" i="2"/>
  <c r="D3978" i="2"/>
  <c r="C3978" i="2"/>
  <c r="B3978" i="2"/>
  <c r="A3978" i="2"/>
  <c r="U3977" i="2"/>
  <c r="N3977" i="2"/>
  <c r="M3977" i="2"/>
  <c r="J3977" i="2"/>
  <c r="I3977" i="2"/>
  <c r="H3977" i="2"/>
  <c r="G3977" i="2"/>
  <c r="F3977" i="2"/>
  <c r="E3977" i="2"/>
  <c r="D3977" i="2"/>
  <c r="C3977" i="2"/>
  <c r="B3977" i="2"/>
  <c r="A3977" i="2"/>
  <c r="U3976" i="2"/>
  <c r="N3976" i="2"/>
  <c r="M3976" i="2"/>
  <c r="J3976" i="2"/>
  <c r="I3976" i="2"/>
  <c r="H3976" i="2"/>
  <c r="G3976" i="2"/>
  <c r="F3976" i="2"/>
  <c r="E3976" i="2"/>
  <c r="D3976" i="2"/>
  <c r="C3976" i="2"/>
  <c r="B3976" i="2"/>
  <c r="A3976" i="2"/>
  <c r="U3975" i="2"/>
  <c r="N3975" i="2"/>
  <c r="M3975" i="2"/>
  <c r="J3975" i="2"/>
  <c r="I3975" i="2"/>
  <c r="H3975" i="2"/>
  <c r="G3975" i="2"/>
  <c r="F3975" i="2"/>
  <c r="E3975" i="2"/>
  <c r="D3975" i="2"/>
  <c r="C3975" i="2"/>
  <c r="B3975" i="2"/>
  <c r="A3975" i="2"/>
  <c r="U3974" i="2"/>
  <c r="N3974" i="2"/>
  <c r="M3974" i="2"/>
  <c r="J3974" i="2"/>
  <c r="I3974" i="2"/>
  <c r="H3974" i="2"/>
  <c r="G3974" i="2"/>
  <c r="F3974" i="2"/>
  <c r="E3974" i="2"/>
  <c r="D3974" i="2"/>
  <c r="C3974" i="2"/>
  <c r="B3974" i="2"/>
  <c r="A3974" i="2"/>
  <c r="U3973" i="2"/>
  <c r="N3973" i="2"/>
  <c r="M3973" i="2"/>
  <c r="J3973" i="2"/>
  <c r="I3973" i="2"/>
  <c r="H3973" i="2"/>
  <c r="G3973" i="2"/>
  <c r="F3973" i="2"/>
  <c r="E3973" i="2"/>
  <c r="D3973" i="2"/>
  <c r="C3973" i="2"/>
  <c r="B3973" i="2"/>
  <c r="A3973" i="2"/>
  <c r="U3972" i="2"/>
  <c r="N3972" i="2"/>
  <c r="M3972" i="2"/>
  <c r="J3972" i="2"/>
  <c r="I3972" i="2"/>
  <c r="H3972" i="2"/>
  <c r="G3972" i="2"/>
  <c r="F3972" i="2"/>
  <c r="E3972" i="2"/>
  <c r="D3972" i="2"/>
  <c r="C3972" i="2"/>
  <c r="B3972" i="2"/>
  <c r="A3972" i="2"/>
  <c r="U3971" i="2"/>
  <c r="N3971" i="2"/>
  <c r="M3971" i="2"/>
  <c r="J3971" i="2"/>
  <c r="I3971" i="2"/>
  <c r="H3971" i="2"/>
  <c r="G3971" i="2"/>
  <c r="F3971" i="2"/>
  <c r="E3971" i="2"/>
  <c r="D3971" i="2"/>
  <c r="C3971" i="2"/>
  <c r="B3971" i="2"/>
  <c r="A3971" i="2"/>
  <c r="U3970" i="2"/>
  <c r="N3970" i="2"/>
  <c r="M3970" i="2"/>
  <c r="J3970" i="2"/>
  <c r="I3970" i="2"/>
  <c r="H3970" i="2"/>
  <c r="G3970" i="2"/>
  <c r="F3970" i="2"/>
  <c r="E3970" i="2"/>
  <c r="D3970" i="2"/>
  <c r="C3970" i="2"/>
  <c r="B3970" i="2"/>
  <c r="A3970" i="2"/>
  <c r="U3969" i="2"/>
  <c r="N3969" i="2"/>
  <c r="M3969" i="2"/>
  <c r="J3969" i="2"/>
  <c r="I3969" i="2"/>
  <c r="H3969" i="2"/>
  <c r="G3969" i="2"/>
  <c r="F3969" i="2"/>
  <c r="E3969" i="2"/>
  <c r="D3969" i="2"/>
  <c r="C3969" i="2"/>
  <c r="B3969" i="2"/>
  <c r="A3969" i="2"/>
  <c r="U3968" i="2"/>
  <c r="N3968" i="2"/>
  <c r="M3968" i="2"/>
  <c r="J3968" i="2"/>
  <c r="I3968" i="2"/>
  <c r="H3968" i="2"/>
  <c r="G3968" i="2"/>
  <c r="F3968" i="2"/>
  <c r="E3968" i="2"/>
  <c r="D3968" i="2"/>
  <c r="C3968" i="2"/>
  <c r="B3968" i="2"/>
  <c r="A3968" i="2"/>
  <c r="U3967" i="2"/>
  <c r="N3967" i="2"/>
  <c r="M3967" i="2"/>
  <c r="J3967" i="2"/>
  <c r="I3967" i="2"/>
  <c r="H3967" i="2"/>
  <c r="G3967" i="2"/>
  <c r="F3967" i="2"/>
  <c r="E3967" i="2"/>
  <c r="D3967" i="2"/>
  <c r="C3967" i="2"/>
  <c r="B3967" i="2"/>
  <c r="A3967" i="2"/>
  <c r="U3966" i="2"/>
  <c r="N3966" i="2"/>
  <c r="M3966" i="2"/>
  <c r="J3966" i="2"/>
  <c r="I3966" i="2"/>
  <c r="H3966" i="2"/>
  <c r="G3966" i="2"/>
  <c r="F3966" i="2"/>
  <c r="E3966" i="2"/>
  <c r="D3966" i="2"/>
  <c r="C3966" i="2"/>
  <c r="B3966" i="2"/>
  <c r="A3966" i="2"/>
  <c r="U3965" i="2"/>
  <c r="N3965" i="2"/>
  <c r="M3965" i="2"/>
  <c r="J3965" i="2"/>
  <c r="I3965" i="2"/>
  <c r="H3965" i="2"/>
  <c r="G3965" i="2"/>
  <c r="F3965" i="2"/>
  <c r="E3965" i="2"/>
  <c r="D3965" i="2"/>
  <c r="C3965" i="2"/>
  <c r="B3965" i="2"/>
  <c r="A3965" i="2"/>
  <c r="U3964" i="2"/>
  <c r="N3964" i="2"/>
  <c r="M3964" i="2"/>
  <c r="J3964" i="2"/>
  <c r="I3964" i="2"/>
  <c r="H3964" i="2"/>
  <c r="G3964" i="2"/>
  <c r="F3964" i="2"/>
  <c r="E3964" i="2"/>
  <c r="D3964" i="2"/>
  <c r="C3964" i="2"/>
  <c r="B3964" i="2"/>
  <c r="A3964" i="2"/>
  <c r="U3963" i="2"/>
  <c r="N3963" i="2"/>
  <c r="M3963" i="2"/>
  <c r="J3963" i="2"/>
  <c r="I3963" i="2"/>
  <c r="H3963" i="2"/>
  <c r="G3963" i="2"/>
  <c r="F3963" i="2"/>
  <c r="E3963" i="2"/>
  <c r="D3963" i="2"/>
  <c r="C3963" i="2"/>
  <c r="B3963" i="2"/>
  <c r="A3963" i="2"/>
  <c r="U3962" i="2"/>
  <c r="N3962" i="2"/>
  <c r="M3962" i="2"/>
  <c r="J3962" i="2"/>
  <c r="I3962" i="2"/>
  <c r="H3962" i="2"/>
  <c r="G3962" i="2"/>
  <c r="F3962" i="2"/>
  <c r="E3962" i="2"/>
  <c r="D3962" i="2"/>
  <c r="C3962" i="2"/>
  <c r="B3962" i="2"/>
  <c r="A3962" i="2"/>
  <c r="Q3961" i="2"/>
  <c r="U3961" i="2" s="1"/>
  <c r="N3961" i="2"/>
  <c r="M3961" i="2"/>
  <c r="J3961" i="2"/>
  <c r="I3961" i="2"/>
  <c r="H3961" i="2"/>
  <c r="G3961" i="2"/>
  <c r="F3961" i="2"/>
  <c r="E3961" i="2"/>
  <c r="D3961" i="2"/>
  <c r="C3961" i="2"/>
  <c r="B3961" i="2"/>
  <c r="A3961" i="2"/>
  <c r="Q3960" i="2"/>
  <c r="U3960" i="2" s="1"/>
  <c r="N3960" i="2"/>
  <c r="M3960" i="2"/>
  <c r="J3960" i="2"/>
  <c r="I3960" i="2"/>
  <c r="H3960" i="2"/>
  <c r="G3960" i="2"/>
  <c r="F3960" i="2"/>
  <c r="E3960" i="2"/>
  <c r="D3960" i="2"/>
  <c r="C3960" i="2"/>
  <c r="B3960" i="2"/>
  <c r="A3960" i="2"/>
  <c r="U3959" i="2"/>
  <c r="N3959" i="2"/>
  <c r="M3959" i="2"/>
  <c r="J3959" i="2"/>
  <c r="I3959" i="2"/>
  <c r="H3959" i="2"/>
  <c r="G3959" i="2"/>
  <c r="F3959" i="2"/>
  <c r="E3959" i="2"/>
  <c r="D3959" i="2"/>
  <c r="C3959" i="2"/>
  <c r="B3959" i="2"/>
  <c r="A3959" i="2"/>
  <c r="U3958" i="2"/>
  <c r="N3958" i="2"/>
  <c r="M3958" i="2"/>
  <c r="J3958" i="2"/>
  <c r="I3958" i="2"/>
  <c r="H3958" i="2"/>
  <c r="G3958" i="2"/>
  <c r="F3958" i="2"/>
  <c r="E3958" i="2"/>
  <c r="D3958" i="2"/>
  <c r="C3958" i="2"/>
  <c r="B3958" i="2"/>
  <c r="A3958" i="2"/>
  <c r="U3957" i="2"/>
  <c r="N3957" i="2"/>
  <c r="M3957" i="2"/>
  <c r="J3957" i="2"/>
  <c r="I3957" i="2"/>
  <c r="H3957" i="2"/>
  <c r="G3957" i="2"/>
  <c r="F3957" i="2"/>
  <c r="E3957" i="2"/>
  <c r="D3957" i="2"/>
  <c r="C3957" i="2"/>
  <c r="B3957" i="2"/>
  <c r="A3957" i="2"/>
  <c r="Q3956" i="2"/>
  <c r="U3956" i="2" s="1"/>
  <c r="N3956" i="2"/>
  <c r="M3956" i="2"/>
  <c r="J3956" i="2"/>
  <c r="I3956" i="2"/>
  <c r="H3956" i="2"/>
  <c r="G3956" i="2"/>
  <c r="F3956" i="2"/>
  <c r="E3956" i="2"/>
  <c r="D3956" i="2"/>
  <c r="C3956" i="2"/>
  <c r="B3956" i="2"/>
  <c r="A3956" i="2"/>
  <c r="U3955" i="2"/>
  <c r="N3955" i="2"/>
  <c r="M3955" i="2"/>
  <c r="J3955" i="2"/>
  <c r="I3955" i="2"/>
  <c r="H3955" i="2"/>
  <c r="G3955" i="2"/>
  <c r="F3955" i="2"/>
  <c r="E3955" i="2"/>
  <c r="D3955" i="2"/>
  <c r="C3955" i="2"/>
  <c r="B3955" i="2"/>
  <c r="A3955" i="2"/>
  <c r="Q3954" i="2"/>
  <c r="U3954" i="2" s="1"/>
  <c r="N3954" i="2"/>
  <c r="M3954" i="2"/>
  <c r="J3954" i="2"/>
  <c r="I3954" i="2"/>
  <c r="H3954" i="2"/>
  <c r="G3954" i="2"/>
  <c r="F3954" i="2"/>
  <c r="E3954" i="2"/>
  <c r="D3954" i="2"/>
  <c r="C3954" i="2"/>
  <c r="B3954" i="2"/>
  <c r="A3954" i="2"/>
  <c r="U3953" i="2"/>
  <c r="N3953" i="2"/>
  <c r="M3953" i="2"/>
  <c r="J3953" i="2"/>
  <c r="I3953" i="2"/>
  <c r="H3953" i="2"/>
  <c r="G3953" i="2"/>
  <c r="F3953" i="2"/>
  <c r="E3953" i="2"/>
  <c r="D3953" i="2"/>
  <c r="C3953" i="2"/>
  <c r="B3953" i="2"/>
  <c r="A3953" i="2"/>
  <c r="U3952" i="2"/>
  <c r="N3952" i="2"/>
  <c r="M3952" i="2"/>
  <c r="J3952" i="2"/>
  <c r="I3952" i="2"/>
  <c r="H3952" i="2"/>
  <c r="G3952" i="2"/>
  <c r="F3952" i="2"/>
  <c r="E3952" i="2"/>
  <c r="D3952" i="2"/>
  <c r="C3952" i="2"/>
  <c r="B3952" i="2"/>
  <c r="A3952" i="2"/>
  <c r="Q3951" i="2"/>
  <c r="U3951" i="2" s="1"/>
  <c r="N3951" i="2"/>
  <c r="M3951" i="2"/>
  <c r="J3951" i="2"/>
  <c r="I3951" i="2"/>
  <c r="H3951" i="2"/>
  <c r="G3951" i="2"/>
  <c r="F3951" i="2"/>
  <c r="E3951" i="2"/>
  <c r="D3951" i="2"/>
  <c r="C3951" i="2"/>
  <c r="B3951" i="2"/>
  <c r="A3951" i="2"/>
  <c r="Q3950" i="2"/>
  <c r="U3950" i="2" s="1"/>
  <c r="N3950" i="2"/>
  <c r="M3950" i="2"/>
  <c r="J3950" i="2"/>
  <c r="I3950" i="2"/>
  <c r="H3950" i="2"/>
  <c r="G3950" i="2"/>
  <c r="F3950" i="2"/>
  <c r="E3950" i="2"/>
  <c r="D3950" i="2"/>
  <c r="C3950" i="2"/>
  <c r="B3950" i="2"/>
  <c r="A3950" i="2"/>
  <c r="Q3949" i="2"/>
  <c r="U3949" i="2" s="1"/>
  <c r="N3949" i="2"/>
  <c r="M3949" i="2"/>
  <c r="J3949" i="2"/>
  <c r="I3949" i="2"/>
  <c r="H3949" i="2"/>
  <c r="G3949" i="2"/>
  <c r="F3949" i="2"/>
  <c r="E3949" i="2"/>
  <c r="D3949" i="2"/>
  <c r="C3949" i="2"/>
  <c r="B3949" i="2"/>
  <c r="A3949" i="2"/>
  <c r="U3948" i="2"/>
  <c r="N3948" i="2"/>
  <c r="M3948" i="2"/>
  <c r="J3948" i="2"/>
  <c r="I3948" i="2"/>
  <c r="H3948" i="2"/>
  <c r="G3948" i="2"/>
  <c r="F3948" i="2"/>
  <c r="E3948" i="2"/>
  <c r="D3948" i="2"/>
  <c r="C3948" i="2"/>
  <c r="B3948" i="2"/>
  <c r="A3948" i="2"/>
  <c r="Q3947" i="2"/>
  <c r="U3947" i="2" s="1"/>
  <c r="N3947" i="2"/>
  <c r="M3947" i="2"/>
  <c r="J3947" i="2"/>
  <c r="I3947" i="2"/>
  <c r="H3947" i="2"/>
  <c r="G3947" i="2"/>
  <c r="F3947" i="2"/>
  <c r="E3947" i="2"/>
  <c r="D3947" i="2"/>
  <c r="C3947" i="2"/>
  <c r="B3947" i="2"/>
  <c r="A3947" i="2"/>
  <c r="Q3946" i="2"/>
  <c r="U3946" i="2" s="1"/>
  <c r="N3946" i="2"/>
  <c r="M3946" i="2"/>
  <c r="J3946" i="2"/>
  <c r="I3946" i="2"/>
  <c r="H3946" i="2"/>
  <c r="G3946" i="2"/>
  <c r="F3946" i="2"/>
  <c r="E3946" i="2"/>
  <c r="D3946" i="2"/>
  <c r="C3946" i="2"/>
  <c r="B3946" i="2"/>
  <c r="A3946" i="2"/>
  <c r="U3945" i="2"/>
  <c r="N3945" i="2"/>
  <c r="M3945" i="2"/>
  <c r="J3945" i="2"/>
  <c r="I3945" i="2"/>
  <c r="H3945" i="2"/>
  <c r="G3945" i="2"/>
  <c r="F3945" i="2"/>
  <c r="E3945" i="2"/>
  <c r="D3945" i="2"/>
  <c r="C3945" i="2"/>
  <c r="B3945" i="2"/>
  <c r="A3945" i="2"/>
  <c r="U3944" i="2"/>
  <c r="N3944" i="2"/>
  <c r="M3944" i="2"/>
  <c r="J3944" i="2"/>
  <c r="I3944" i="2"/>
  <c r="H3944" i="2"/>
  <c r="G3944" i="2"/>
  <c r="F3944" i="2"/>
  <c r="E3944" i="2"/>
  <c r="D3944" i="2"/>
  <c r="C3944" i="2"/>
  <c r="B3944" i="2"/>
  <c r="A3944" i="2"/>
  <c r="U3943" i="2"/>
  <c r="N3943" i="2"/>
  <c r="M3943" i="2"/>
  <c r="J3943" i="2"/>
  <c r="I3943" i="2"/>
  <c r="H3943" i="2"/>
  <c r="G3943" i="2"/>
  <c r="F3943" i="2"/>
  <c r="E3943" i="2"/>
  <c r="D3943" i="2"/>
  <c r="C3943" i="2"/>
  <c r="B3943" i="2"/>
  <c r="A3943" i="2"/>
  <c r="U3942" i="2"/>
  <c r="N3942" i="2"/>
  <c r="M3942" i="2"/>
  <c r="J3942" i="2"/>
  <c r="I3942" i="2"/>
  <c r="H3942" i="2"/>
  <c r="G3942" i="2"/>
  <c r="F3942" i="2"/>
  <c r="E3942" i="2"/>
  <c r="D3942" i="2"/>
  <c r="C3942" i="2"/>
  <c r="B3942" i="2"/>
  <c r="A3942" i="2"/>
  <c r="U3941" i="2"/>
  <c r="N3941" i="2"/>
  <c r="M3941" i="2"/>
  <c r="J3941" i="2"/>
  <c r="I3941" i="2"/>
  <c r="H3941" i="2"/>
  <c r="G3941" i="2"/>
  <c r="F3941" i="2"/>
  <c r="E3941" i="2"/>
  <c r="D3941" i="2"/>
  <c r="C3941" i="2"/>
  <c r="B3941" i="2"/>
  <c r="A3941" i="2"/>
  <c r="U3940" i="2"/>
  <c r="N3940" i="2"/>
  <c r="M3940" i="2"/>
  <c r="J3940" i="2"/>
  <c r="I3940" i="2"/>
  <c r="H3940" i="2"/>
  <c r="G3940" i="2"/>
  <c r="F3940" i="2"/>
  <c r="E3940" i="2"/>
  <c r="D3940" i="2"/>
  <c r="C3940" i="2"/>
  <c r="B3940" i="2"/>
  <c r="A3940" i="2"/>
  <c r="U3939" i="2"/>
  <c r="N3939" i="2"/>
  <c r="M3939" i="2"/>
  <c r="J3939" i="2"/>
  <c r="I3939" i="2"/>
  <c r="H3939" i="2"/>
  <c r="G3939" i="2"/>
  <c r="F3939" i="2"/>
  <c r="E3939" i="2"/>
  <c r="D3939" i="2"/>
  <c r="C3939" i="2"/>
  <c r="B3939" i="2"/>
  <c r="A3939" i="2"/>
  <c r="U3938" i="2"/>
  <c r="N3938" i="2"/>
  <c r="M3938" i="2"/>
  <c r="J3938" i="2"/>
  <c r="I3938" i="2"/>
  <c r="H3938" i="2"/>
  <c r="G3938" i="2"/>
  <c r="F3938" i="2"/>
  <c r="E3938" i="2"/>
  <c r="D3938" i="2"/>
  <c r="C3938" i="2"/>
  <c r="B3938" i="2"/>
  <c r="A3938" i="2"/>
  <c r="U3937" i="2"/>
  <c r="N3937" i="2"/>
  <c r="M3937" i="2"/>
  <c r="J3937" i="2"/>
  <c r="I3937" i="2"/>
  <c r="H3937" i="2"/>
  <c r="G3937" i="2"/>
  <c r="F3937" i="2"/>
  <c r="E3937" i="2"/>
  <c r="D3937" i="2"/>
  <c r="C3937" i="2"/>
  <c r="B3937" i="2"/>
  <c r="A3937" i="2"/>
  <c r="U3936" i="2"/>
  <c r="N3936" i="2"/>
  <c r="M3936" i="2"/>
  <c r="J3936" i="2"/>
  <c r="I3936" i="2"/>
  <c r="H3936" i="2"/>
  <c r="G3936" i="2"/>
  <c r="F3936" i="2"/>
  <c r="E3936" i="2"/>
  <c r="D3936" i="2"/>
  <c r="C3936" i="2"/>
  <c r="B3936" i="2"/>
  <c r="A3936" i="2"/>
  <c r="U3935" i="2"/>
  <c r="N3935" i="2"/>
  <c r="M3935" i="2"/>
  <c r="J3935" i="2"/>
  <c r="I3935" i="2"/>
  <c r="H3935" i="2"/>
  <c r="G3935" i="2"/>
  <c r="F3935" i="2"/>
  <c r="E3935" i="2"/>
  <c r="D3935" i="2"/>
  <c r="C3935" i="2"/>
  <c r="B3935" i="2"/>
  <c r="A3935" i="2"/>
  <c r="U3934" i="2"/>
  <c r="N3934" i="2"/>
  <c r="M3934" i="2"/>
  <c r="J3934" i="2"/>
  <c r="I3934" i="2"/>
  <c r="H3934" i="2"/>
  <c r="G3934" i="2"/>
  <c r="F3934" i="2"/>
  <c r="E3934" i="2"/>
  <c r="D3934" i="2"/>
  <c r="C3934" i="2"/>
  <c r="B3934" i="2"/>
  <c r="A3934" i="2"/>
  <c r="U3933" i="2"/>
  <c r="N3933" i="2"/>
  <c r="M3933" i="2"/>
  <c r="J3933" i="2"/>
  <c r="I3933" i="2"/>
  <c r="H3933" i="2"/>
  <c r="G3933" i="2"/>
  <c r="F3933" i="2"/>
  <c r="E3933" i="2"/>
  <c r="D3933" i="2"/>
  <c r="C3933" i="2"/>
  <c r="B3933" i="2"/>
  <c r="A3933" i="2"/>
  <c r="U3932" i="2"/>
  <c r="N3932" i="2"/>
  <c r="M3932" i="2"/>
  <c r="J3932" i="2"/>
  <c r="I3932" i="2"/>
  <c r="H3932" i="2"/>
  <c r="G3932" i="2"/>
  <c r="F3932" i="2"/>
  <c r="E3932" i="2"/>
  <c r="D3932" i="2"/>
  <c r="C3932" i="2"/>
  <c r="B3932" i="2"/>
  <c r="A3932" i="2"/>
  <c r="U3931" i="2"/>
  <c r="N3931" i="2"/>
  <c r="M3931" i="2"/>
  <c r="J3931" i="2"/>
  <c r="I3931" i="2"/>
  <c r="H3931" i="2"/>
  <c r="G3931" i="2"/>
  <c r="F3931" i="2"/>
  <c r="E3931" i="2"/>
  <c r="D3931" i="2"/>
  <c r="C3931" i="2"/>
  <c r="B3931" i="2"/>
  <c r="A3931" i="2"/>
  <c r="U3930" i="2"/>
  <c r="N3930" i="2"/>
  <c r="M3930" i="2"/>
  <c r="J3930" i="2"/>
  <c r="I3930" i="2"/>
  <c r="H3930" i="2"/>
  <c r="G3930" i="2"/>
  <c r="F3930" i="2"/>
  <c r="E3930" i="2"/>
  <c r="D3930" i="2"/>
  <c r="C3930" i="2"/>
  <c r="B3930" i="2"/>
  <c r="A3930" i="2"/>
  <c r="U3929" i="2"/>
  <c r="N3929" i="2"/>
  <c r="M3929" i="2"/>
  <c r="J3929" i="2"/>
  <c r="I3929" i="2"/>
  <c r="H3929" i="2"/>
  <c r="G3929" i="2"/>
  <c r="F3929" i="2"/>
  <c r="E3929" i="2"/>
  <c r="D3929" i="2"/>
  <c r="C3929" i="2"/>
  <c r="B3929" i="2"/>
  <c r="A3929" i="2"/>
  <c r="U3928" i="2"/>
  <c r="N3928" i="2"/>
  <c r="M3928" i="2"/>
  <c r="J3928" i="2"/>
  <c r="I3928" i="2"/>
  <c r="H3928" i="2"/>
  <c r="G3928" i="2"/>
  <c r="F3928" i="2"/>
  <c r="E3928" i="2"/>
  <c r="D3928" i="2"/>
  <c r="C3928" i="2"/>
  <c r="B3928" i="2"/>
  <c r="A3928" i="2"/>
  <c r="U3927" i="2"/>
  <c r="N3927" i="2"/>
  <c r="M3927" i="2"/>
  <c r="J3927" i="2"/>
  <c r="I3927" i="2"/>
  <c r="H3927" i="2"/>
  <c r="G3927" i="2"/>
  <c r="F3927" i="2"/>
  <c r="E3927" i="2"/>
  <c r="D3927" i="2"/>
  <c r="C3927" i="2"/>
  <c r="B3927" i="2"/>
  <c r="A3927" i="2"/>
  <c r="U3926" i="2"/>
  <c r="N3926" i="2"/>
  <c r="M3926" i="2"/>
  <c r="J3926" i="2"/>
  <c r="I3926" i="2"/>
  <c r="H3926" i="2"/>
  <c r="G3926" i="2"/>
  <c r="F3926" i="2"/>
  <c r="E3926" i="2"/>
  <c r="D3926" i="2"/>
  <c r="C3926" i="2"/>
  <c r="B3926" i="2"/>
  <c r="A3926" i="2"/>
  <c r="U3925" i="2"/>
  <c r="N3925" i="2"/>
  <c r="M3925" i="2"/>
  <c r="J3925" i="2"/>
  <c r="I3925" i="2"/>
  <c r="H3925" i="2"/>
  <c r="G3925" i="2"/>
  <c r="F3925" i="2"/>
  <c r="E3925" i="2"/>
  <c r="D3925" i="2"/>
  <c r="C3925" i="2"/>
  <c r="B3925" i="2"/>
  <c r="A3925" i="2"/>
  <c r="U3924" i="2"/>
  <c r="N3924" i="2"/>
  <c r="M3924" i="2"/>
  <c r="J3924" i="2"/>
  <c r="I3924" i="2"/>
  <c r="H3924" i="2"/>
  <c r="G3924" i="2"/>
  <c r="F3924" i="2"/>
  <c r="E3924" i="2"/>
  <c r="D3924" i="2"/>
  <c r="C3924" i="2"/>
  <c r="B3924" i="2"/>
  <c r="A3924" i="2"/>
  <c r="U3923" i="2"/>
  <c r="N3923" i="2"/>
  <c r="M3923" i="2"/>
  <c r="J3923" i="2"/>
  <c r="I3923" i="2"/>
  <c r="H3923" i="2"/>
  <c r="G3923" i="2"/>
  <c r="F3923" i="2"/>
  <c r="E3923" i="2"/>
  <c r="D3923" i="2"/>
  <c r="C3923" i="2"/>
  <c r="B3923" i="2"/>
  <c r="A3923" i="2"/>
  <c r="U3922" i="2"/>
  <c r="N3922" i="2"/>
  <c r="M3922" i="2"/>
  <c r="J3922" i="2"/>
  <c r="I3922" i="2"/>
  <c r="H3922" i="2"/>
  <c r="G3922" i="2"/>
  <c r="F3922" i="2"/>
  <c r="E3922" i="2"/>
  <c r="D3922" i="2"/>
  <c r="C3922" i="2"/>
  <c r="B3922" i="2"/>
  <c r="A3922" i="2"/>
  <c r="Q3921" i="2"/>
  <c r="U3921" i="2" s="1"/>
  <c r="N3921" i="2"/>
  <c r="M3921" i="2"/>
  <c r="J3921" i="2"/>
  <c r="I3921" i="2"/>
  <c r="H3921" i="2"/>
  <c r="G3921" i="2"/>
  <c r="F3921" i="2"/>
  <c r="E3921" i="2"/>
  <c r="D3921" i="2"/>
  <c r="C3921" i="2"/>
  <c r="B3921" i="2"/>
  <c r="A3921" i="2"/>
  <c r="Q3920" i="2"/>
  <c r="U3920" i="2" s="1"/>
  <c r="N3920" i="2"/>
  <c r="M3920" i="2"/>
  <c r="J3920" i="2"/>
  <c r="I3920" i="2"/>
  <c r="H3920" i="2"/>
  <c r="G3920" i="2"/>
  <c r="F3920" i="2"/>
  <c r="E3920" i="2"/>
  <c r="D3920" i="2"/>
  <c r="C3920" i="2"/>
  <c r="B3920" i="2"/>
  <c r="A3920" i="2"/>
  <c r="Q3919" i="2"/>
  <c r="U3919" i="2" s="1"/>
  <c r="N3919" i="2"/>
  <c r="M3919" i="2"/>
  <c r="J3919" i="2"/>
  <c r="I3919" i="2"/>
  <c r="H3919" i="2"/>
  <c r="G3919" i="2"/>
  <c r="F3919" i="2"/>
  <c r="E3919" i="2"/>
  <c r="D3919" i="2"/>
  <c r="C3919" i="2"/>
  <c r="B3919" i="2"/>
  <c r="A3919" i="2"/>
  <c r="Q3918" i="2"/>
  <c r="U3918" i="2" s="1"/>
  <c r="N3918" i="2"/>
  <c r="M3918" i="2"/>
  <c r="J3918" i="2"/>
  <c r="I3918" i="2"/>
  <c r="H3918" i="2"/>
  <c r="G3918" i="2"/>
  <c r="F3918" i="2"/>
  <c r="E3918" i="2"/>
  <c r="D3918" i="2"/>
  <c r="C3918" i="2"/>
  <c r="B3918" i="2"/>
  <c r="A3918" i="2"/>
  <c r="U3917" i="2"/>
  <c r="N3917" i="2"/>
  <c r="M3917" i="2"/>
  <c r="J3917" i="2"/>
  <c r="I3917" i="2"/>
  <c r="H3917" i="2"/>
  <c r="G3917" i="2"/>
  <c r="F3917" i="2"/>
  <c r="E3917" i="2"/>
  <c r="D3917" i="2"/>
  <c r="C3917" i="2"/>
  <c r="B3917" i="2"/>
  <c r="A3917" i="2"/>
  <c r="Q3916" i="2"/>
  <c r="U3916" i="2" s="1"/>
  <c r="N3916" i="2"/>
  <c r="M3916" i="2"/>
  <c r="J3916" i="2"/>
  <c r="I3916" i="2"/>
  <c r="H3916" i="2"/>
  <c r="G3916" i="2"/>
  <c r="F3916" i="2"/>
  <c r="E3916" i="2"/>
  <c r="D3916" i="2"/>
  <c r="C3916" i="2"/>
  <c r="B3916" i="2"/>
  <c r="A3916" i="2"/>
  <c r="Q3915" i="2"/>
  <c r="U3915" i="2" s="1"/>
  <c r="N3915" i="2"/>
  <c r="M3915" i="2"/>
  <c r="J3915" i="2"/>
  <c r="I3915" i="2"/>
  <c r="H3915" i="2"/>
  <c r="G3915" i="2"/>
  <c r="F3915" i="2"/>
  <c r="E3915" i="2"/>
  <c r="D3915" i="2"/>
  <c r="C3915" i="2"/>
  <c r="B3915" i="2"/>
  <c r="A3915" i="2"/>
  <c r="Q3914" i="2"/>
  <c r="U3914" i="2" s="1"/>
  <c r="N3914" i="2"/>
  <c r="M3914" i="2"/>
  <c r="J3914" i="2"/>
  <c r="I3914" i="2"/>
  <c r="H3914" i="2"/>
  <c r="G3914" i="2"/>
  <c r="F3914" i="2"/>
  <c r="E3914" i="2"/>
  <c r="D3914" i="2"/>
  <c r="C3914" i="2"/>
  <c r="B3914" i="2"/>
  <c r="A3914" i="2"/>
  <c r="U3913" i="2"/>
  <c r="N3913" i="2"/>
  <c r="M3913" i="2"/>
  <c r="J3913" i="2"/>
  <c r="I3913" i="2"/>
  <c r="H3913" i="2"/>
  <c r="G3913" i="2"/>
  <c r="F3913" i="2"/>
  <c r="E3913" i="2"/>
  <c r="D3913" i="2"/>
  <c r="C3913" i="2"/>
  <c r="B3913" i="2"/>
  <c r="A3913" i="2"/>
  <c r="U3912" i="2"/>
  <c r="N3912" i="2"/>
  <c r="M3912" i="2"/>
  <c r="J3912" i="2"/>
  <c r="I3912" i="2"/>
  <c r="H3912" i="2"/>
  <c r="G3912" i="2"/>
  <c r="F3912" i="2"/>
  <c r="E3912" i="2"/>
  <c r="D3912" i="2"/>
  <c r="C3912" i="2"/>
  <c r="B3912" i="2"/>
  <c r="A3912" i="2"/>
  <c r="Q3911" i="2"/>
  <c r="U3911" i="2" s="1"/>
  <c r="N3911" i="2"/>
  <c r="M3911" i="2"/>
  <c r="J3911" i="2"/>
  <c r="I3911" i="2"/>
  <c r="H3911" i="2"/>
  <c r="G3911" i="2"/>
  <c r="F3911" i="2"/>
  <c r="E3911" i="2"/>
  <c r="D3911" i="2"/>
  <c r="C3911" i="2"/>
  <c r="B3911" i="2"/>
  <c r="A3911" i="2"/>
  <c r="U3910" i="2"/>
  <c r="N3910" i="2"/>
  <c r="M3910" i="2"/>
  <c r="J3910" i="2"/>
  <c r="I3910" i="2"/>
  <c r="H3910" i="2"/>
  <c r="G3910" i="2"/>
  <c r="F3910" i="2"/>
  <c r="E3910" i="2"/>
  <c r="D3910" i="2"/>
  <c r="C3910" i="2"/>
  <c r="B3910" i="2"/>
  <c r="A3910" i="2"/>
  <c r="U3909" i="2"/>
  <c r="N3909" i="2"/>
  <c r="M3909" i="2"/>
  <c r="J3909" i="2"/>
  <c r="I3909" i="2"/>
  <c r="H3909" i="2"/>
  <c r="G3909" i="2"/>
  <c r="F3909" i="2"/>
  <c r="E3909" i="2"/>
  <c r="D3909" i="2"/>
  <c r="C3909" i="2"/>
  <c r="B3909" i="2"/>
  <c r="A3909" i="2"/>
  <c r="U3908" i="2"/>
  <c r="N3908" i="2"/>
  <c r="M3908" i="2"/>
  <c r="J3908" i="2"/>
  <c r="I3908" i="2"/>
  <c r="H3908" i="2"/>
  <c r="G3908" i="2"/>
  <c r="F3908" i="2"/>
  <c r="E3908" i="2"/>
  <c r="D3908" i="2"/>
  <c r="C3908" i="2"/>
  <c r="B3908" i="2"/>
  <c r="A3908" i="2"/>
  <c r="U3907" i="2"/>
  <c r="N3907" i="2"/>
  <c r="M3907" i="2"/>
  <c r="J3907" i="2"/>
  <c r="I3907" i="2"/>
  <c r="H3907" i="2"/>
  <c r="G3907" i="2"/>
  <c r="F3907" i="2"/>
  <c r="E3907" i="2"/>
  <c r="D3907" i="2"/>
  <c r="C3907" i="2"/>
  <c r="B3907" i="2"/>
  <c r="A3907" i="2"/>
  <c r="U3906" i="2"/>
  <c r="N3906" i="2"/>
  <c r="M3906" i="2"/>
  <c r="J3906" i="2"/>
  <c r="I3906" i="2"/>
  <c r="H3906" i="2"/>
  <c r="G3906" i="2"/>
  <c r="F3906" i="2"/>
  <c r="E3906" i="2"/>
  <c r="D3906" i="2"/>
  <c r="C3906" i="2"/>
  <c r="B3906" i="2"/>
  <c r="A3906" i="2"/>
  <c r="U3905" i="2"/>
  <c r="N3905" i="2"/>
  <c r="M3905" i="2"/>
  <c r="J3905" i="2"/>
  <c r="I3905" i="2"/>
  <c r="H3905" i="2"/>
  <c r="G3905" i="2"/>
  <c r="F3905" i="2"/>
  <c r="E3905" i="2"/>
  <c r="D3905" i="2"/>
  <c r="C3905" i="2"/>
  <c r="B3905" i="2"/>
  <c r="A3905" i="2"/>
  <c r="U3904" i="2"/>
  <c r="N3904" i="2"/>
  <c r="M3904" i="2"/>
  <c r="J3904" i="2"/>
  <c r="I3904" i="2"/>
  <c r="H3904" i="2"/>
  <c r="G3904" i="2"/>
  <c r="F3904" i="2"/>
  <c r="E3904" i="2"/>
  <c r="D3904" i="2"/>
  <c r="C3904" i="2"/>
  <c r="B3904" i="2"/>
  <c r="A3904" i="2"/>
  <c r="U3903" i="2"/>
  <c r="N3903" i="2"/>
  <c r="M3903" i="2"/>
  <c r="J3903" i="2"/>
  <c r="I3903" i="2"/>
  <c r="H3903" i="2"/>
  <c r="G3903" i="2"/>
  <c r="F3903" i="2"/>
  <c r="E3903" i="2"/>
  <c r="D3903" i="2"/>
  <c r="C3903" i="2"/>
  <c r="B3903" i="2"/>
  <c r="A3903" i="2"/>
  <c r="U3902" i="2"/>
  <c r="N3902" i="2"/>
  <c r="M3902" i="2"/>
  <c r="J3902" i="2"/>
  <c r="I3902" i="2"/>
  <c r="H3902" i="2"/>
  <c r="G3902" i="2"/>
  <c r="F3902" i="2"/>
  <c r="E3902" i="2"/>
  <c r="D3902" i="2"/>
  <c r="C3902" i="2"/>
  <c r="B3902" i="2"/>
  <c r="A3902" i="2"/>
  <c r="U3901" i="2"/>
  <c r="N3901" i="2"/>
  <c r="M3901" i="2"/>
  <c r="J3901" i="2"/>
  <c r="I3901" i="2"/>
  <c r="H3901" i="2"/>
  <c r="G3901" i="2"/>
  <c r="F3901" i="2"/>
  <c r="E3901" i="2"/>
  <c r="D3901" i="2"/>
  <c r="C3901" i="2"/>
  <c r="B3901" i="2"/>
  <c r="A3901" i="2"/>
  <c r="U3900" i="2"/>
  <c r="N3900" i="2"/>
  <c r="M3900" i="2"/>
  <c r="J3900" i="2"/>
  <c r="I3900" i="2"/>
  <c r="H3900" i="2"/>
  <c r="G3900" i="2"/>
  <c r="F3900" i="2"/>
  <c r="E3900" i="2"/>
  <c r="D3900" i="2"/>
  <c r="C3900" i="2"/>
  <c r="B3900" i="2"/>
  <c r="A3900" i="2"/>
  <c r="U3899" i="2"/>
  <c r="N3899" i="2"/>
  <c r="M3899" i="2"/>
  <c r="J3899" i="2"/>
  <c r="I3899" i="2"/>
  <c r="H3899" i="2"/>
  <c r="G3899" i="2"/>
  <c r="F3899" i="2"/>
  <c r="E3899" i="2"/>
  <c r="D3899" i="2"/>
  <c r="C3899" i="2"/>
  <c r="B3899" i="2"/>
  <c r="A3899" i="2"/>
  <c r="U3898" i="2"/>
  <c r="N3898" i="2"/>
  <c r="M3898" i="2"/>
  <c r="J3898" i="2"/>
  <c r="I3898" i="2"/>
  <c r="H3898" i="2"/>
  <c r="G3898" i="2"/>
  <c r="F3898" i="2"/>
  <c r="E3898" i="2"/>
  <c r="D3898" i="2"/>
  <c r="C3898" i="2"/>
  <c r="B3898" i="2"/>
  <c r="A3898" i="2"/>
  <c r="U3897" i="2"/>
  <c r="N3897" i="2"/>
  <c r="M3897" i="2"/>
  <c r="J3897" i="2"/>
  <c r="I3897" i="2"/>
  <c r="H3897" i="2"/>
  <c r="G3897" i="2"/>
  <c r="F3897" i="2"/>
  <c r="E3897" i="2"/>
  <c r="D3897" i="2"/>
  <c r="C3897" i="2"/>
  <c r="B3897" i="2"/>
  <c r="A3897" i="2"/>
  <c r="U3896" i="2"/>
  <c r="N3896" i="2"/>
  <c r="M3896" i="2"/>
  <c r="J3896" i="2"/>
  <c r="I3896" i="2"/>
  <c r="H3896" i="2"/>
  <c r="G3896" i="2"/>
  <c r="F3896" i="2"/>
  <c r="E3896" i="2"/>
  <c r="D3896" i="2"/>
  <c r="C3896" i="2"/>
  <c r="B3896" i="2"/>
  <c r="A3896" i="2"/>
  <c r="U3895" i="2"/>
  <c r="N3895" i="2"/>
  <c r="M3895" i="2"/>
  <c r="J3895" i="2"/>
  <c r="I3895" i="2"/>
  <c r="H3895" i="2"/>
  <c r="G3895" i="2"/>
  <c r="F3895" i="2"/>
  <c r="E3895" i="2"/>
  <c r="D3895" i="2"/>
  <c r="C3895" i="2"/>
  <c r="B3895" i="2"/>
  <c r="A3895" i="2"/>
  <c r="U3894" i="2"/>
  <c r="N3894" i="2"/>
  <c r="M3894" i="2"/>
  <c r="J3894" i="2"/>
  <c r="I3894" i="2"/>
  <c r="H3894" i="2"/>
  <c r="G3894" i="2"/>
  <c r="F3894" i="2"/>
  <c r="E3894" i="2"/>
  <c r="D3894" i="2"/>
  <c r="C3894" i="2"/>
  <c r="B3894" i="2"/>
  <c r="A3894" i="2"/>
  <c r="Q3893" i="2"/>
  <c r="U3893" i="2" s="1"/>
  <c r="N3893" i="2"/>
  <c r="M3893" i="2"/>
  <c r="J3893" i="2"/>
  <c r="I3893" i="2"/>
  <c r="H3893" i="2"/>
  <c r="G3893" i="2"/>
  <c r="F3893" i="2"/>
  <c r="E3893" i="2"/>
  <c r="D3893" i="2"/>
  <c r="C3893" i="2"/>
  <c r="B3893" i="2"/>
  <c r="A3893" i="2"/>
  <c r="U3892" i="2"/>
  <c r="N3892" i="2"/>
  <c r="M3892" i="2"/>
  <c r="J3892" i="2"/>
  <c r="I3892" i="2"/>
  <c r="H3892" i="2"/>
  <c r="G3892" i="2"/>
  <c r="F3892" i="2"/>
  <c r="E3892" i="2"/>
  <c r="D3892" i="2"/>
  <c r="C3892" i="2"/>
  <c r="B3892" i="2"/>
  <c r="A3892" i="2"/>
  <c r="U3891" i="2"/>
  <c r="N3891" i="2"/>
  <c r="M3891" i="2"/>
  <c r="J3891" i="2"/>
  <c r="I3891" i="2"/>
  <c r="H3891" i="2"/>
  <c r="G3891" i="2"/>
  <c r="F3891" i="2"/>
  <c r="E3891" i="2"/>
  <c r="D3891" i="2"/>
  <c r="C3891" i="2"/>
  <c r="B3891" i="2"/>
  <c r="A3891" i="2"/>
  <c r="U3890" i="2"/>
  <c r="N3890" i="2"/>
  <c r="M3890" i="2"/>
  <c r="J3890" i="2"/>
  <c r="I3890" i="2"/>
  <c r="H3890" i="2"/>
  <c r="G3890" i="2"/>
  <c r="F3890" i="2"/>
  <c r="E3890" i="2"/>
  <c r="D3890" i="2"/>
  <c r="C3890" i="2"/>
  <c r="B3890" i="2"/>
  <c r="A3890" i="2"/>
  <c r="U3889" i="2"/>
  <c r="N3889" i="2"/>
  <c r="M3889" i="2"/>
  <c r="J3889" i="2"/>
  <c r="I3889" i="2"/>
  <c r="H3889" i="2"/>
  <c r="G3889" i="2"/>
  <c r="F3889" i="2"/>
  <c r="E3889" i="2"/>
  <c r="D3889" i="2"/>
  <c r="C3889" i="2"/>
  <c r="B3889" i="2"/>
  <c r="A3889" i="2"/>
  <c r="Q3888" i="2"/>
  <c r="U3888" i="2" s="1"/>
  <c r="N3888" i="2"/>
  <c r="M3888" i="2"/>
  <c r="J3888" i="2"/>
  <c r="I3888" i="2"/>
  <c r="H3888" i="2"/>
  <c r="G3888" i="2"/>
  <c r="F3888" i="2"/>
  <c r="E3888" i="2"/>
  <c r="D3888" i="2"/>
  <c r="C3888" i="2"/>
  <c r="B3888" i="2"/>
  <c r="A3888" i="2"/>
  <c r="U3887" i="2"/>
  <c r="N3887" i="2"/>
  <c r="M3887" i="2"/>
  <c r="J3887" i="2"/>
  <c r="I3887" i="2"/>
  <c r="H3887" i="2"/>
  <c r="G3887" i="2"/>
  <c r="F3887" i="2"/>
  <c r="E3887" i="2"/>
  <c r="D3887" i="2"/>
  <c r="C3887" i="2"/>
  <c r="B3887" i="2"/>
  <c r="A3887" i="2"/>
  <c r="U3886" i="2"/>
  <c r="N3886" i="2"/>
  <c r="M3886" i="2"/>
  <c r="J3886" i="2"/>
  <c r="I3886" i="2"/>
  <c r="H3886" i="2"/>
  <c r="G3886" i="2"/>
  <c r="F3886" i="2"/>
  <c r="E3886" i="2"/>
  <c r="D3886" i="2"/>
  <c r="C3886" i="2"/>
  <c r="B3886" i="2"/>
  <c r="A3886" i="2"/>
  <c r="U3885" i="2"/>
  <c r="N3885" i="2"/>
  <c r="M3885" i="2"/>
  <c r="J3885" i="2"/>
  <c r="I3885" i="2"/>
  <c r="H3885" i="2"/>
  <c r="G3885" i="2"/>
  <c r="F3885" i="2"/>
  <c r="E3885" i="2"/>
  <c r="D3885" i="2"/>
  <c r="C3885" i="2"/>
  <c r="B3885" i="2"/>
  <c r="A3885" i="2"/>
  <c r="U3884" i="2"/>
  <c r="N3884" i="2"/>
  <c r="M3884" i="2"/>
  <c r="J3884" i="2"/>
  <c r="I3884" i="2"/>
  <c r="H3884" i="2"/>
  <c r="G3884" i="2"/>
  <c r="F3884" i="2"/>
  <c r="E3884" i="2"/>
  <c r="D3884" i="2"/>
  <c r="C3884" i="2"/>
  <c r="B3884" i="2"/>
  <c r="A3884" i="2"/>
  <c r="U3883" i="2"/>
  <c r="N3883" i="2"/>
  <c r="M3883" i="2"/>
  <c r="J3883" i="2"/>
  <c r="I3883" i="2"/>
  <c r="H3883" i="2"/>
  <c r="G3883" i="2"/>
  <c r="F3883" i="2"/>
  <c r="E3883" i="2"/>
  <c r="D3883" i="2"/>
  <c r="C3883" i="2"/>
  <c r="B3883" i="2"/>
  <c r="A3883" i="2"/>
  <c r="U3882" i="2"/>
  <c r="N3882" i="2"/>
  <c r="M3882" i="2"/>
  <c r="J3882" i="2"/>
  <c r="I3882" i="2"/>
  <c r="H3882" i="2"/>
  <c r="G3882" i="2"/>
  <c r="F3882" i="2"/>
  <c r="E3882" i="2"/>
  <c r="D3882" i="2"/>
  <c r="C3882" i="2"/>
  <c r="B3882" i="2"/>
  <c r="A3882" i="2"/>
  <c r="U3881" i="2"/>
  <c r="N3881" i="2"/>
  <c r="M3881" i="2"/>
  <c r="J3881" i="2"/>
  <c r="I3881" i="2"/>
  <c r="H3881" i="2"/>
  <c r="G3881" i="2"/>
  <c r="F3881" i="2"/>
  <c r="E3881" i="2"/>
  <c r="D3881" i="2"/>
  <c r="C3881" i="2"/>
  <c r="B3881" i="2"/>
  <c r="A3881" i="2"/>
  <c r="U3880" i="2"/>
  <c r="N3880" i="2"/>
  <c r="M3880" i="2"/>
  <c r="J3880" i="2"/>
  <c r="I3880" i="2"/>
  <c r="H3880" i="2"/>
  <c r="G3880" i="2"/>
  <c r="F3880" i="2"/>
  <c r="E3880" i="2"/>
  <c r="D3880" i="2"/>
  <c r="C3880" i="2"/>
  <c r="B3880" i="2"/>
  <c r="A3880" i="2"/>
  <c r="U3879" i="2"/>
  <c r="N3879" i="2"/>
  <c r="M3879" i="2"/>
  <c r="J3879" i="2"/>
  <c r="I3879" i="2"/>
  <c r="H3879" i="2"/>
  <c r="G3879" i="2"/>
  <c r="F3879" i="2"/>
  <c r="E3879" i="2"/>
  <c r="D3879" i="2"/>
  <c r="C3879" i="2"/>
  <c r="B3879" i="2"/>
  <c r="A3879" i="2"/>
  <c r="U3878" i="2"/>
  <c r="N3878" i="2"/>
  <c r="M3878" i="2"/>
  <c r="J3878" i="2"/>
  <c r="I3878" i="2"/>
  <c r="H3878" i="2"/>
  <c r="G3878" i="2"/>
  <c r="F3878" i="2"/>
  <c r="E3878" i="2"/>
  <c r="D3878" i="2"/>
  <c r="C3878" i="2"/>
  <c r="B3878" i="2"/>
  <c r="A3878" i="2"/>
  <c r="U3877" i="2"/>
  <c r="N3877" i="2"/>
  <c r="M3877" i="2"/>
  <c r="J3877" i="2"/>
  <c r="I3877" i="2"/>
  <c r="H3877" i="2"/>
  <c r="G3877" i="2"/>
  <c r="F3877" i="2"/>
  <c r="E3877" i="2"/>
  <c r="D3877" i="2"/>
  <c r="C3877" i="2"/>
  <c r="B3877" i="2"/>
  <c r="A3877" i="2"/>
  <c r="U3876" i="2"/>
  <c r="N3876" i="2"/>
  <c r="M3876" i="2"/>
  <c r="J3876" i="2"/>
  <c r="I3876" i="2"/>
  <c r="H3876" i="2"/>
  <c r="G3876" i="2"/>
  <c r="F3876" i="2"/>
  <c r="E3876" i="2"/>
  <c r="D3876" i="2"/>
  <c r="C3876" i="2"/>
  <c r="B3876" i="2"/>
  <c r="A3876" i="2"/>
  <c r="Q3875" i="2"/>
  <c r="U3875" i="2" s="1"/>
  <c r="N3875" i="2"/>
  <c r="M3875" i="2"/>
  <c r="J3875" i="2"/>
  <c r="I3875" i="2"/>
  <c r="H3875" i="2"/>
  <c r="G3875" i="2"/>
  <c r="F3875" i="2"/>
  <c r="E3875" i="2"/>
  <c r="D3875" i="2"/>
  <c r="C3875" i="2"/>
  <c r="B3875" i="2"/>
  <c r="A3875" i="2"/>
  <c r="U3874" i="2"/>
  <c r="N3874" i="2"/>
  <c r="M3874" i="2"/>
  <c r="J3874" i="2"/>
  <c r="I3874" i="2"/>
  <c r="H3874" i="2"/>
  <c r="G3874" i="2"/>
  <c r="F3874" i="2"/>
  <c r="E3874" i="2"/>
  <c r="D3874" i="2"/>
  <c r="C3874" i="2"/>
  <c r="B3874" i="2"/>
  <c r="A3874" i="2"/>
  <c r="U3873" i="2"/>
  <c r="N3873" i="2"/>
  <c r="M3873" i="2"/>
  <c r="J3873" i="2"/>
  <c r="I3873" i="2"/>
  <c r="H3873" i="2"/>
  <c r="G3873" i="2"/>
  <c r="F3873" i="2"/>
  <c r="E3873" i="2"/>
  <c r="D3873" i="2"/>
  <c r="C3873" i="2"/>
  <c r="B3873" i="2"/>
  <c r="A3873" i="2"/>
  <c r="U3872" i="2"/>
  <c r="N3872" i="2"/>
  <c r="M3872" i="2"/>
  <c r="J3872" i="2"/>
  <c r="I3872" i="2"/>
  <c r="H3872" i="2"/>
  <c r="G3872" i="2"/>
  <c r="F3872" i="2"/>
  <c r="E3872" i="2"/>
  <c r="D3872" i="2"/>
  <c r="C3872" i="2"/>
  <c r="B3872" i="2"/>
  <c r="A3872" i="2"/>
  <c r="U3871" i="2"/>
  <c r="N3871" i="2"/>
  <c r="M3871" i="2"/>
  <c r="J3871" i="2"/>
  <c r="I3871" i="2"/>
  <c r="H3871" i="2"/>
  <c r="G3871" i="2"/>
  <c r="F3871" i="2"/>
  <c r="E3871" i="2"/>
  <c r="D3871" i="2"/>
  <c r="C3871" i="2"/>
  <c r="B3871" i="2"/>
  <c r="A3871" i="2"/>
  <c r="U3870" i="2"/>
  <c r="N3870" i="2"/>
  <c r="M3870" i="2"/>
  <c r="J3870" i="2"/>
  <c r="I3870" i="2"/>
  <c r="H3870" i="2"/>
  <c r="G3870" i="2"/>
  <c r="F3870" i="2"/>
  <c r="E3870" i="2"/>
  <c r="D3870" i="2"/>
  <c r="C3870" i="2"/>
  <c r="B3870" i="2"/>
  <c r="A3870" i="2"/>
  <c r="U3869" i="2"/>
  <c r="N3869" i="2"/>
  <c r="M3869" i="2"/>
  <c r="J3869" i="2"/>
  <c r="I3869" i="2"/>
  <c r="H3869" i="2"/>
  <c r="G3869" i="2"/>
  <c r="F3869" i="2"/>
  <c r="E3869" i="2"/>
  <c r="D3869" i="2"/>
  <c r="C3869" i="2"/>
  <c r="B3869" i="2"/>
  <c r="A3869" i="2"/>
  <c r="U3868" i="2"/>
  <c r="N3868" i="2"/>
  <c r="M3868" i="2"/>
  <c r="J3868" i="2"/>
  <c r="I3868" i="2"/>
  <c r="H3868" i="2"/>
  <c r="G3868" i="2"/>
  <c r="F3868" i="2"/>
  <c r="E3868" i="2"/>
  <c r="D3868" i="2"/>
  <c r="C3868" i="2"/>
  <c r="B3868" i="2"/>
  <c r="A3868" i="2"/>
  <c r="U3867" i="2"/>
  <c r="N3867" i="2"/>
  <c r="M3867" i="2"/>
  <c r="J3867" i="2"/>
  <c r="I3867" i="2"/>
  <c r="H3867" i="2"/>
  <c r="G3867" i="2"/>
  <c r="F3867" i="2"/>
  <c r="E3867" i="2"/>
  <c r="D3867" i="2"/>
  <c r="C3867" i="2"/>
  <c r="B3867" i="2"/>
  <c r="A3867" i="2"/>
  <c r="U3866" i="2"/>
  <c r="N3866" i="2"/>
  <c r="M3866" i="2"/>
  <c r="J3866" i="2"/>
  <c r="I3866" i="2"/>
  <c r="H3866" i="2"/>
  <c r="G3866" i="2"/>
  <c r="F3866" i="2"/>
  <c r="E3866" i="2"/>
  <c r="D3866" i="2"/>
  <c r="C3866" i="2"/>
  <c r="B3866" i="2"/>
  <c r="A3866" i="2"/>
  <c r="U3865" i="2"/>
  <c r="N3865" i="2"/>
  <c r="M3865" i="2"/>
  <c r="J3865" i="2"/>
  <c r="I3865" i="2"/>
  <c r="H3865" i="2"/>
  <c r="G3865" i="2"/>
  <c r="F3865" i="2"/>
  <c r="E3865" i="2"/>
  <c r="D3865" i="2"/>
  <c r="C3865" i="2"/>
  <c r="B3865" i="2"/>
  <c r="A3865" i="2"/>
  <c r="U3864" i="2"/>
  <c r="N3864" i="2"/>
  <c r="M3864" i="2"/>
  <c r="J3864" i="2"/>
  <c r="I3864" i="2"/>
  <c r="H3864" i="2"/>
  <c r="G3864" i="2"/>
  <c r="F3864" i="2"/>
  <c r="E3864" i="2"/>
  <c r="D3864" i="2"/>
  <c r="C3864" i="2"/>
  <c r="B3864" i="2"/>
  <c r="A3864" i="2"/>
  <c r="U3863" i="2"/>
  <c r="N3863" i="2"/>
  <c r="M3863" i="2"/>
  <c r="J3863" i="2"/>
  <c r="I3863" i="2"/>
  <c r="H3863" i="2"/>
  <c r="G3863" i="2"/>
  <c r="F3863" i="2"/>
  <c r="E3863" i="2"/>
  <c r="D3863" i="2"/>
  <c r="C3863" i="2"/>
  <c r="B3863" i="2"/>
  <c r="A3863" i="2"/>
  <c r="U3862" i="2"/>
  <c r="N3862" i="2"/>
  <c r="M3862" i="2"/>
  <c r="J3862" i="2"/>
  <c r="I3862" i="2"/>
  <c r="H3862" i="2"/>
  <c r="G3862" i="2"/>
  <c r="F3862" i="2"/>
  <c r="E3862" i="2"/>
  <c r="D3862" i="2"/>
  <c r="C3862" i="2"/>
  <c r="B3862" i="2"/>
  <c r="A3862" i="2"/>
  <c r="U3861" i="2"/>
  <c r="N3861" i="2"/>
  <c r="M3861" i="2"/>
  <c r="J3861" i="2"/>
  <c r="I3861" i="2"/>
  <c r="H3861" i="2"/>
  <c r="G3861" i="2"/>
  <c r="F3861" i="2"/>
  <c r="E3861" i="2"/>
  <c r="D3861" i="2"/>
  <c r="C3861" i="2"/>
  <c r="B3861" i="2"/>
  <c r="A3861" i="2"/>
  <c r="U3860" i="2"/>
  <c r="N3860" i="2"/>
  <c r="M3860" i="2"/>
  <c r="J3860" i="2"/>
  <c r="I3860" i="2"/>
  <c r="H3860" i="2"/>
  <c r="G3860" i="2"/>
  <c r="F3860" i="2"/>
  <c r="E3860" i="2"/>
  <c r="D3860" i="2"/>
  <c r="C3860" i="2"/>
  <c r="B3860" i="2"/>
  <c r="A3860" i="2"/>
  <c r="U3859" i="2"/>
  <c r="N3859" i="2"/>
  <c r="M3859" i="2"/>
  <c r="J3859" i="2"/>
  <c r="I3859" i="2"/>
  <c r="H3859" i="2"/>
  <c r="G3859" i="2"/>
  <c r="F3859" i="2"/>
  <c r="E3859" i="2"/>
  <c r="D3859" i="2"/>
  <c r="C3859" i="2"/>
  <c r="B3859" i="2"/>
  <c r="A3859" i="2"/>
  <c r="U3858" i="2"/>
  <c r="N3858" i="2"/>
  <c r="M3858" i="2"/>
  <c r="J3858" i="2"/>
  <c r="I3858" i="2"/>
  <c r="H3858" i="2"/>
  <c r="G3858" i="2"/>
  <c r="F3858" i="2"/>
  <c r="E3858" i="2"/>
  <c r="D3858" i="2"/>
  <c r="C3858" i="2"/>
  <c r="B3858" i="2"/>
  <c r="A3858" i="2"/>
  <c r="U3857" i="2"/>
  <c r="N3857" i="2"/>
  <c r="M3857" i="2"/>
  <c r="J3857" i="2"/>
  <c r="I3857" i="2"/>
  <c r="H3857" i="2"/>
  <c r="G3857" i="2"/>
  <c r="F3857" i="2"/>
  <c r="E3857" i="2"/>
  <c r="D3857" i="2"/>
  <c r="C3857" i="2"/>
  <c r="B3857" i="2"/>
  <c r="A3857" i="2"/>
  <c r="U3856" i="2"/>
  <c r="N3856" i="2"/>
  <c r="M3856" i="2"/>
  <c r="J3856" i="2"/>
  <c r="I3856" i="2"/>
  <c r="H3856" i="2"/>
  <c r="G3856" i="2"/>
  <c r="F3856" i="2"/>
  <c r="E3856" i="2"/>
  <c r="D3856" i="2"/>
  <c r="C3856" i="2"/>
  <c r="B3856" i="2"/>
  <c r="A3856" i="2"/>
  <c r="U3855" i="2"/>
  <c r="N3855" i="2"/>
  <c r="M3855" i="2"/>
  <c r="J3855" i="2"/>
  <c r="I3855" i="2"/>
  <c r="H3855" i="2"/>
  <c r="G3855" i="2"/>
  <c r="F3855" i="2"/>
  <c r="E3855" i="2"/>
  <c r="D3855" i="2"/>
  <c r="C3855" i="2"/>
  <c r="B3855" i="2"/>
  <c r="A3855" i="2"/>
  <c r="U3854" i="2"/>
  <c r="N3854" i="2"/>
  <c r="M3854" i="2"/>
  <c r="J3854" i="2"/>
  <c r="I3854" i="2"/>
  <c r="H3854" i="2"/>
  <c r="G3854" i="2"/>
  <c r="F3854" i="2"/>
  <c r="E3854" i="2"/>
  <c r="D3854" i="2"/>
  <c r="C3854" i="2"/>
  <c r="B3854" i="2"/>
  <c r="A3854" i="2"/>
  <c r="U3853" i="2"/>
  <c r="N3853" i="2"/>
  <c r="M3853" i="2"/>
  <c r="J3853" i="2"/>
  <c r="I3853" i="2"/>
  <c r="H3853" i="2"/>
  <c r="G3853" i="2"/>
  <c r="F3853" i="2"/>
  <c r="E3853" i="2"/>
  <c r="D3853" i="2"/>
  <c r="C3853" i="2"/>
  <c r="B3853" i="2"/>
  <c r="A3853" i="2"/>
  <c r="U3852" i="2"/>
  <c r="N3852" i="2"/>
  <c r="M3852" i="2"/>
  <c r="J3852" i="2"/>
  <c r="I3852" i="2"/>
  <c r="H3852" i="2"/>
  <c r="G3852" i="2"/>
  <c r="F3852" i="2"/>
  <c r="E3852" i="2"/>
  <c r="D3852" i="2"/>
  <c r="C3852" i="2"/>
  <c r="B3852" i="2"/>
  <c r="A3852" i="2"/>
  <c r="U3851" i="2"/>
  <c r="N3851" i="2"/>
  <c r="M3851" i="2"/>
  <c r="J3851" i="2"/>
  <c r="I3851" i="2"/>
  <c r="H3851" i="2"/>
  <c r="G3851" i="2"/>
  <c r="F3851" i="2"/>
  <c r="E3851" i="2"/>
  <c r="D3851" i="2"/>
  <c r="C3851" i="2"/>
  <c r="B3851" i="2"/>
  <c r="A3851" i="2"/>
  <c r="U3850" i="2"/>
  <c r="N3850" i="2"/>
  <c r="M3850" i="2"/>
  <c r="J3850" i="2"/>
  <c r="I3850" i="2"/>
  <c r="H3850" i="2"/>
  <c r="G3850" i="2"/>
  <c r="F3850" i="2"/>
  <c r="E3850" i="2"/>
  <c r="D3850" i="2"/>
  <c r="C3850" i="2"/>
  <c r="B3850" i="2"/>
  <c r="A3850" i="2"/>
  <c r="U3849" i="2"/>
  <c r="N3849" i="2"/>
  <c r="M3849" i="2"/>
  <c r="J3849" i="2"/>
  <c r="I3849" i="2"/>
  <c r="H3849" i="2"/>
  <c r="G3849" i="2"/>
  <c r="F3849" i="2"/>
  <c r="E3849" i="2"/>
  <c r="D3849" i="2"/>
  <c r="C3849" i="2"/>
  <c r="B3849" i="2"/>
  <c r="A3849" i="2"/>
  <c r="U3848" i="2"/>
  <c r="N3848" i="2"/>
  <c r="M3848" i="2"/>
  <c r="J3848" i="2"/>
  <c r="I3848" i="2"/>
  <c r="H3848" i="2"/>
  <c r="G3848" i="2"/>
  <c r="F3848" i="2"/>
  <c r="E3848" i="2"/>
  <c r="D3848" i="2"/>
  <c r="C3848" i="2"/>
  <c r="B3848" i="2"/>
  <c r="A3848" i="2"/>
  <c r="U3847" i="2"/>
  <c r="N3847" i="2"/>
  <c r="M3847" i="2"/>
  <c r="J3847" i="2"/>
  <c r="I3847" i="2"/>
  <c r="H3847" i="2"/>
  <c r="G3847" i="2"/>
  <c r="F3847" i="2"/>
  <c r="E3847" i="2"/>
  <c r="D3847" i="2"/>
  <c r="C3847" i="2"/>
  <c r="B3847" i="2"/>
  <c r="A3847" i="2"/>
  <c r="U3846" i="2"/>
  <c r="N3846" i="2"/>
  <c r="M3846" i="2"/>
  <c r="J3846" i="2"/>
  <c r="I3846" i="2"/>
  <c r="H3846" i="2"/>
  <c r="G3846" i="2"/>
  <c r="F3846" i="2"/>
  <c r="E3846" i="2"/>
  <c r="D3846" i="2"/>
  <c r="C3846" i="2"/>
  <c r="B3846" i="2"/>
  <c r="A3846" i="2"/>
  <c r="U3845" i="2"/>
  <c r="N3845" i="2"/>
  <c r="M3845" i="2"/>
  <c r="J3845" i="2"/>
  <c r="I3845" i="2"/>
  <c r="H3845" i="2"/>
  <c r="G3845" i="2"/>
  <c r="F3845" i="2"/>
  <c r="E3845" i="2"/>
  <c r="D3845" i="2"/>
  <c r="C3845" i="2"/>
  <c r="B3845" i="2"/>
  <c r="A3845" i="2"/>
  <c r="U3844" i="2"/>
  <c r="N3844" i="2"/>
  <c r="M3844" i="2"/>
  <c r="J3844" i="2"/>
  <c r="I3844" i="2"/>
  <c r="H3844" i="2"/>
  <c r="G3844" i="2"/>
  <c r="F3844" i="2"/>
  <c r="E3844" i="2"/>
  <c r="D3844" i="2"/>
  <c r="C3844" i="2"/>
  <c r="B3844" i="2"/>
  <c r="A3844" i="2"/>
  <c r="U3843" i="2"/>
  <c r="N3843" i="2"/>
  <c r="M3843" i="2"/>
  <c r="J3843" i="2"/>
  <c r="I3843" i="2"/>
  <c r="H3843" i="2"/>
  <c r="G3843" i="2"/>
  <c r="F3843" i="2"/>
  <c r="E3843" i="2"/>
  <c r="D3843" i="2"/>
  <c r="C3843" i="2"/>
  <c r="B3843" i="2"/>
  <c r="A3843" i="2"/>
  <c r="U3842" i="2"/>
  <c r="N3842" i="2"/>
  <c r="M3842" i="2"/>
  <c r="J3842" i="2"/>
  <c r="I3842" i="2"/>
  <c r="H3842" i="2"/>
  <c r="G3842" i="2"/>
  <c r="F3842" i="2"/>
  <c r="E3842" i="2"/>
  <c r="D3842" i="2"/>
  <c r="C3842" i="2"/>
  <c r="B3842" i="2"/>
  <c r="A3842" i="2"/>
  <c r="U3841" i="2"/>
  <c r="N3841" i="2"/>
  <c r="M3841" i="2"/>
  <c r="J3841" i="2"/>
  <c r="I3841" i="2"/>
  <c r="H3841" i="2"/>
  <c r="G3841" i="2"/>
  <c r="F3841" i="2"/>
  <c r="E3841" i="2"/>
  <c r="D3841" i="2"/>
  <c r="C3841" i="2"/>
  <c r="B3841" i="2"/>
  <c r="A3841" i="2"/>
  <c r="U3840" i="2"/>
  <c r="N3840" i="2"/>
  <c r="M3840" i="2"/>
  <c r="J3840" i="2"/>
  <c r="I3840" i="2"/>
  <c r="H3840" i="2"/>
  <c r="G3840" i="2"/>
  <c r="F3840" i="2"/>
  <c r="E3840" i="2"/>
  <c r="D3840" i="2"/>
  <c r="C3840" i="2"/>
  <c r="B3840" i="2"/>
  <c r="A3840" i="2"/>
  <c r="U3839" i="2"/>
  <c r="N3839" i="2"/>
  <c r="M3839" i="2"/>
  <c r="J3839" i="2"/>
  <c r="I3839" i="2"/>
  <c r="H3839" i="2"/>
  <c r="G3839" i="2"/>
  <c r="F3839" i="2"/>
  <c r="E3839" i="2"/>
  <c r="D3839" i="2"/>
  <c r="C3839" i="2"/>
  <c r="B3839" i="2"/>
  <c r="A3839" i="2"/>
  <c r="U3838" i="2"/>
  <c r="N3838" i="2"/>
  <c r="M3838" i="2"/>
  <c r="J3838" i="2"/>
  <c r="I3838" i="2"/>
  <c r="H3838" i="2"/>
  <c r="G3838" i="2"/>
  <c r="F3838" i="2"/>
  <c r="E3838" i="2"/>
  <c r="D3838" i="2"/>
  <c r="C3838" i="2"/>
  <c r="B3838" i="2"/>
  <c r="A3838" i="2"/>
  <c r="U3837" i="2"/>
  <c r="N3837" i="2"/>
  <c r="M3837" i="2"/>
  <c r="J3837" i="2"/>
  <c r="I3837" i="2"/>
  <c r="H3837" i="2"/>
  <c r="G3837" i="2"/>
  <c r="F3837" i="2"/>
  <c r="E3837" i="2"/>
  <c r="D3837" i="2"/>
  <c r="C3837" i="2"/>
  <c r="B3837" i="2"/>
  <c r="A3837" i="2"/>
  <c r="U3836" i="2"/>
  <c r="N3836" i="2"/>
  <c r="M3836" i="2"/>
  <c r="J3836" i="2"/>
  <c r="I3836" i="2"/>
  <c r="H3836" i="2"/>
  <c r="G3836" i="2"/>
  <c r="F3836" i="2"/>
  <c r="E3836" i="2"/>
  <c r="D3836" i="2"/>
  <c r="C3836" i="2"/>
  <c r="B3836" i="2"/>
  <c r="A3836" i="2"/>
  <c r="U3835" i="2"/>
  <c r="N3835" i="2"/>
  <c r="M3835" i="2"/>
  <c r="J3835" i="2"/>
  <c r="I3835" i="2"/>
  <c r="H3835" i="2"/>
  <c r="G3835" i="2"/>
  <c r="F3835" i="2"/>
  <c r="E3835" i="2"/>
  <c r="D3835" i="2"/>
  <c r="C3835" i="2"/>
  <c r="B3835" i="2"/>
  <c r="A3835" i="2"/>
  <c r="U3834" i="2"/>
  <c r="N3834" i="2"/>
  <c r="M3834" i="2"/>
  <c r="J3834" i="2"/>
  <c r="I3834" i="2"/>
  <c r="H3834" i="2"/>
  <c r="G3834" i="2"/>
  <c r="F3834" i="2"/>
  <c r="E3834" i="2"/>
  <c r="D3834" i="2"/>
  <c r="C3834" i="2"/>
  <c r="B3834" i="2"/>
  <c r="A3834" i="2"/>
  <c r="U3833" i="2"/>
  <c r="N3833" i="2"/>
  <c r="M3833" i="2"/>
  <c r="J3833" i="2"/>
  <c r="I3833" i="2"/>
  <c r="H3833" i="2"/>
  <c r="G3833" i="2"/>
  <c r="F3833" i="2"/>
  <c r="E3833" i="2"/>
  <c r="D3833" i="2"/>
  <c r="C3833" i="2"/>
  <c r="B3833" i="2"/>
  <c r="A3833" i="2"/>
  <c r="U3832" i="2"/>
  <c r="N3832" i="2"/>
  <c r="M3832" i="2"/>
  <c r="J3832" i="2"/>
  <c r="I3832" i="2"/>
  <c r="H3832" i="2"/>
  <c r="G3832" i="2"/>
  <c r="F3832" i="2"/>
  <c r="E3832" i="2"/>
  <c r="D3832" i="2"/>
  <c r="C3832" i="2"/>
  <c r="B3832" i="2"/>
  <c r="A3832" i="2"/>
  <c r="U3831" i="2"/>
  <c r="N3831" i="2"/>
  <c r="M3831" i="2"/>
  <c r="J3831" i="2"/>
  <c r="I3831" i="2"/>
  <c r="H3831" i="2"/>
  <c r="G3831" i="2"/>
  <c r="F3831" i="2"/>
  <c r="E3831" i="2"/>
  <c r="D3831" i="2"/>
  <c r="C3831" i="2"/>
  <c r="B3831" i="2"/>
  <c r="A3831" i="2"/>
  <c r="U3830" i="2"/>
  <c r="N3830" i="2"/>
  <c r="M3830" i="2"/>
  <c r="J3830" i="2"/>
  <c r="I3830" i="2"/>
  <c r="H3830" i="2"/>
  <c r="G3830" i="2"/>
  <c r="F3830" i="2"/>
  <c r="E3830" i="2"/>
  <c r="D3830" i="2"/>
  <c r="C3830" i="2"/>
  <c r="B3830" i="2"/>
  <c r="A3830" i="2"/>
  <c r="U3829" i="2"/>
  <c r="N3829" i="2"/>
  <c r="M3829" i="2"/>
  <c r="J3829" i="2"/>
  <c r="I3829" i="2"/>
  <c r="H3829" i="2"/>
  <c r="G3829" i="2"/>
  <c r="F3829" i="2"/>
  <c r="E3829" i="2"/>
  <c r="D3829" i="2"/>
  <c r="C3829" i="2"/>
  <c r="B3829" i="2"/>
  <c r="A3829" i="2"/>
  <c r="U3828" i="2"/>
  <c r="N3828" i="2"/>
  <c r="M3828" i="2"/>
  <c r="J3828" i="2"/>
  <c r="I3828" i="2"/>
  <c r="H3828" i="2"/>
  <c r="G3828" i="2"/>
  <c r="F3828" i="2"/>
  <c r="E3828" i="2"/>
  <c r="D3828" i="2"/>
  <c r="C3828" i="2"/>
  <c r="B3828" i="2"/>
  <c r="A3828" i="2"/>
  <c r="U3827" i="2"/>
  <c r="N3827" i="2"/>
  <c r="M3827" i="2"/>
  <c r="J3827" i="2"/>
  <c r="I3827" i="2"/>
  <c r="H3827" i="2"/>
  <c r="G3827" i="2"/>
  <c r="F3827" i="2"/>
  <c r="E3827" i="2"/>
  <c r="D3827" i="2"/>
  <c r="C3827" i="2"/>
  <c r="B3827" i="2"/>
  <c r="A3827" i="2"/>
  <c r="U3826" i="2"/>
  <c r="N3826" i="2"/>
  <c r="M3826" i="2"/>
  <c r="J3826" i="2"/>
  <c r="I3826" i="2"/>
  <c r="H3826" i="2"/>
  <c r="G3826" i="2"/>
  <c r="F3826" i="2"/>
  <c r="E3826" i="2"/>
  <c r="D3826" i="2"/>
  <c r="C3826" i="2"/>
  <c r="B3826" i="2"/>
  <c r="A3826" i="2"/>
  <c r="U3825" i="2"/>
  <c r="N3825" i="2"/>
  <c r="M3825" i="2"/>
  <c r="J3825" i="2"/>
  <c r="I3825" i="2"/>
  <c r="H3825" i="2"/>
  <c r="G3825" i="2"/>
  <c r="F3825" i="2"/>
  <c r="E3825" i="2"/>
  <c r="D3825" i="2"/>
  <c r="C3825" i="2"/>
  <c r="B3825" i="2"/>
  <c r="A3825" i="2"/>
  <c r="U3824" i="2"/>
  <c r="N3824" i="2"/>
  <c r="M3824" i="2"/>
  <c r="J3824" i="2"/>
  <c r="I3824" i="2"/>
  <c r="H3824" i="2"/>
  <c r="G3824" i="2"/>
  <c r="F3824" i="2"/>
  <c r="E3824" i="2"/>
  <c r="D3824" i="2"/>
  <c r="C3824" i="2"/>
  <c r="B3824" i="2"/>
  <c r="A3824" i="2"/>
  <c r="U3823" i="2"/>
  <c r="N3823" i="2"/>
  <c r="M3823" i="2"/>
  <c r="J3823" i="2"/>
  <c r="I3823" i="2"/>
  <c r="H3823" i="2"/>
  <c r="G3823" i="2"/>
  <c r="F3823" i="2"/>
  <c r="E3823" i="2"/>
  <c r="D3823" i="2"/>
  <c r="C3823" i="2"/>
  <c r="B3823" i="2"/>
  <c r="A3823" i="2"/>
  <c r="U3822" i="2"/>
  <c r="N3822" i="2"/>
  <c r="M3822" i="2"/>
  <c r="J3822" i="2"/>
  <c r="I3822" i="2"/>
  <c r="H3822" i="2"/>
  <c r="G3822" i="2"/>
  <c r="F3822" i="2"/>
  <c r="E3822" i="2"/>
  <c r="D3822" i="2"/>
  <c r="C3822" i="2"/>
  <c r="B3822" i="2"/>
  <c r="A3822" i="2"/>
  <c r="U3821" i="2"/>
  <c r="N3821" i="2"/>
  <c r="M3821" i="2"/>
  <c r="J3821" i="2"/>
  <c r="I3821" i="2"/>
  <c r="H3821" i="2"/>
  <c r="G3821" i="2"/>
  <c r="F3821" i="2"/>
  <c r="E3821" i="2"/>
  <c r="D3821" i="2"/>
  <c r="C3821" i="2"/>
  <c r="B3821" i="2"/>
  <c r="A3821" i="2"/>
  <c r="U3820" i="2"/>
  <c r="N3820" i="2"/>
  <c r="M3820" i="2"/>
  <c r="J3820" i="2"/>
  <c r="I3820" i="2"/>
  <c r="H3820" i="2"/>
  <c r="G3820" i="2"/>
  <c r="F3820" i="2"/>
  <c r="E3820" i="2"/>
  <c r="D3820" i="2"/>
  <c r="C3820" i="2"/>
  <c r="B3820" i="2"/>
  <c r="A3820" i="2"/>
  <c r="U3819" i="2"/>
  <c r="N3819" i="2"/>
  <c r="M3819" i="2"/>
  <c r="J3819" i="2"/>
  <c r="I3819" i="2"/>
  <c r="H3819" i="2"/>
  <c r="G3819" i="2"/>
  <c r="F3819" i="2"/>
  <c r="E3819" i="2"/>
  <c r="D3819" i="2"/>
  <c r="C3819" i="2"/>
  <c r="B3819" i="2"/>
  <c r="A3819" i="2"/>
  <c r="U3818" i="2"/>
  <c r="N3818" i="2"/>
  <c r="M3818" i="2"/>
  <c r="J3818" i="2"/>
  <c r="I3818" i="2"/>
  <c r="H3818" i="2"/>
  <c r="G3818" i="2"/>
  <c r="F3818" i="2"/>
  <c r="E3818" i="2"/>
  <c r="D3818" i="2"/>
  <c r="C3818" i="2"/>
  <c r="B3818" i="2"/>
  <c r="A3818" i="2"/>
  <c r="U3817" i="2"/>
  <c r="N3817" i="2"/>
  <c r="M3817" i="2"/>
  <c r="J3817" i="2"/>
  <c r="I3817" i="2"/>
  <c r="H3817" i="2"/>
  <c r="G3817" i="2"/>
  <c r="F3817" i="2"/>
  <c r="E3817" i="2"/>
  <c r="D3817" i="2"/>
  <c r="C3817" i="2"/>
  <c r="B3817" i="2"/>
  <c r="A3817" i="2"/>
  <c r="U3816" i="2"/>
  <c r="N3816" i="2"/>
  <c r="M3816" i="2"/>
  <c r="J3816" i="2"/>
  <c r="I3816" i="2"/>
  <c r="H3816" i="2"/>
  <c r="G3816" i="2"/>
  <c r="F3816" i="2"/>
  <c r="E3816" i="2"/>
  <c r="D3816" i="2"/>
  <c r="C3816" i="2"/>
  <c r="B3816" i="2"/>
  <c r="A3816" i="2"/>
  <c r="U3815" i="2"/>
  <c r="N3815" i="2"/>
  <c r="M3815" i="2"/>
  <c r="J3815" i="2"/>
  <c r="I3815" i="2"/>
  <c r="H3815" i="2"/>
  <c r="G3815" i="2"/>
  <c r="F3815" i="2"/>
  <c r="E3815" i="2"/>
  <c r="D3815" i="2"/>
  <c r="C3815" i="2"/>
  <c r="B3815" i="2"/>
  <c r="A3815" i="2"/>
  <c r="U3814" i="2"/>
  <c r="N3814" i="2"/>
  <c r="M3814" i="2"/>
  <c r="J3814" i="2"/>
  <c r="I3814" i="2"/>
  <c r="H3814" i="2"/>
  <c r="G3814" i="2"/>
  <c r="F3814" i="2"/>
  <c r="E3814" i="2"/>
  <c r="D3814" i="2"/>
  <c r="C3814" i="2"/>
  <c r="B3814" i="2"/>
  <c r="A3814" i="2"/>
  <c r="U3813" i="2"/>
  <c r="N3813" i="2"/>
  <c r="M3813" i="2"/>
  <c r="J3813" i="2"/>
  <c r="I3813" i="2"/>
  <c r="H3813" i="2"/>
  <c r="G3813" i="2"/>
  <c r="F3813" i="2"/>
  <c r="E3813" i="2"/>
  <c r="D3813" i="2"/>
  <c r="C3813" i="2"/>
  <c r="B3813" i="2"/>
  <c r="A3813" i="2"/>
  <c r="U3812" i="2"/>
  <c r="N3812" i="2"/>
  <c r="M3812" i="2"/>
  <c r="J3812" i="2"/>
  <c r="I3812" i="2"/>
  <c r="H3812" i="2"/>
  <c r="G3812" i="2"/>
  <c r="F3812" i="2"/>
  <c r="E3812" i="2"/>
  <c r="D3812" i="2"/>
  <c r="C3812" i="2"/>
  <c r="B3812" i="2"/>
  <c r="A3812" i="2"/>
  <c r="U3811" i="2"/>
  <c r="N3811" i="2"/>
  <c r="M3811" i="2"/>
  <c r="J3811" i="2"/>
  <c r="I3811" i="2"/>
  <c r="H3811" i="2"/>
  <c r="G3811" i="2"/>
  <c r="F3811" i="2"/>
  <c r="E3811" i="2"/>
  <c r="D3811" i="2"/>
  <c r="C3811" i="2"/>
  <c r="B3811" i="2"/>
  <c r="A3811" i="2"/>
  <c r="U3810" i="2"/>
  <c r="N3810" i="2"/>
  <c r="M3810" i="2"/>
  <c r="J3810" i="2"/>
  <c r="I3810" i="2"/>
  <c r="H3810" i="2"/>
  <c r="G3810" i="2"/>
  <c r="F3810" i="2"/>
  <c r="E3810" i="2"/>
  <c r="D3810" i="2"/>
  <c r="C3810" i="2"/>
  <c r="B3810" i="2"/>
  <c r="A3810" i="2"/>
  <c r="U3809" i="2"/>
  <c r="N3809" i="2"/>
  <c r="M3809" i="2"/>
  <c r="J3809" i="2"/>
  <c r="I3809" i="2"/>
  <c r="H3809" i="2"/>
  <c r="G3809" i="2"/>
  <c r="F3809" i="2"/>
  <c r="E3809" i="2"/>
  <c r="D3809" i="2"/>
  <c r="C3809" i="2"/>
  <c r="B3809" i="2"/>
  <c r="A3809" i="2"/>
  <c r="U3808" i="2"/>
  <c r="N3808" i="2"/>
  <c r="M3808" i="2"/>
  <c r="J3808" i="2"/>
  <c r="I3808" i="2"/>
  <c r="H3808" i="2"/>
  <c r="G3808" i="2"/>
  <c r="F3808" i="2"/>
  <c r="E3808" i="2"/>
  <c r="D3808" i="2"/>
  <c r="C3808" i="2"/>
  <c r="B3808" i="2"/>
  <c r="A3808" i="2"/>
  <c r="U3807" i="2"/>
  <c r="N3807" i="2"/>
  <c r="M3807" i="2"/>
  <c r="J3807" i="2"/>
  <c r="I3807" i="2"/>
  <c r="H3807" i="2"/>
  <c r="G3807" i="2"/>
  <c r="F3807" i="2"/>
  <c r="E3807" i="2"/>
  <c r="D3807" i="2"/>
  <c r="C3807" i="2"/>
  <c r="B3807" i="2"/>
  <c r="A3807" i="2"/>
  <c r="U3806" i="2"/>
  <c r="N3806" i="2"/>
  <c r="M3806" i="2"/>
  <c r="J3806" i="2"/>
  <c r="I3806" i="2"/>
  <c r="H3806" i="2"/>
  <c r="G3806" i="2"/>
  <c r="F3806" i="2"/>
  <c r="E3806" i="2"/>
  <c r="D3806" i="2"/>
  <c r="C3806" i="2"/>
  <c r="B3806" i="2"/>
  <c r="A3806" i="2"/>
  <c r="U3805" i="2"/>
  <c r="N3805" i="2"/>
  <c r="M3805" i="2"/>
  <c r="J3805" i="2"/>
  <c r="I3805" i="2"/>
  <c r="H3805" i="2"/>
  <c r="G3805" i="2"/>
  <c r="F3805" i="2"/>
  <c r="E3805" i="2"/>
  <c r="D3805" i="2"/>
  <c r="C3805" i="2"/>
  <c r="B3805" i="2"/>
  <c r="A3805" i="2"/>
  <c r="U3804" i="2"/>
  <c r="N3804" i="2"/>
  <c r="M3804" i="2"/>
  <c r="J3804" i="2"/>
  <c r="I3804" i="2"/>
  <c r="H3804" i="2"/>
  <c r="G3804" i="2"/>
  <c r="F3804" i="2"/>
  <c r="E3804" i="2"/>
  <c r="D3804" i="2"/>
  <c r="C3804" i="2"/>
  <c r="B3804" i="2"/>
  <c r="A3804" i="2"/>
  <c r="U3803" i="2"/>
  <c r="N3803" i="2"/>
  <c r="M3803" i="2"/>
  <c r="J3803" i="2"/>
  <c r="I3803" i="2"/>
  <c r="H3803" i="2"/>
  <c r="G3803" i="2"/>
  <c r="F3803" i="2"/>
  <c r="E3803" i="2"/>
  <c r="D3803" i="2"/>
  <c r="C3803" i="2"/>
  <c r="B3803" i="2"/>
  <c r="A3803" i="2"/>
  <c r="Q3802" i="2"/>
  <c r="U3802" i="2" s="1"/>
  <c r="N3802" i="2"/>
  <c r="M3802" i="2"/>
  <c r="J3802" i="2"/>
  <c r="I3802" i="2"/>
  <c r="H3802" i="2"/>
  <c r="G3802" i="2"/>
  <c r="F3802" i="2"/>
  <c r="E3802" i="2"/>
  <c r="D3802" i="2"/>
  <c r="C3802" i="2"/>
  <c r="B3802" i="2"/>
  <c r="A3802" i="2"/>
  <c r="U3801" i="2"/>
  <c r="N3801" i="2"/>
  <c r="M3801" i="2"/>
  <c r="J3801" i="2"/>
  <c r="I3801" i="2"/>
  <c r="H3801" i="2"/>
  <c r="G3801" i="2"/>
  <c r="F3801" i="2"/>
  <c r="E3801" i="2"/>
  <c r="D3801" i="2"/>
  <c r="C3801" i="2"/>
  <c r="B3801" i="2"/>
  <c r="A3801" i="2"/>
  <c r="U3800" i="2"/>
  <c r="N3800" i="2"/>
  <c r="M3800" i="2"/>
  <c r="J3800" i="2"/>
  <c r="I3800" i="2"/>
  <c r="H3800" i="2"/>
  <c r="G3800" i="2"/>
  <c r="F3800" i="2"/>
  <c r="E3800" i="2"/>
  <c r="D3800" i="2"/>
  <c r="C3800" i="2"/>
  <c r="B3800" i="2"/>
  <c r="A3800" i="2"/>
  <c r="U3799" i="2"/>
  <c r="N3799" i="2"/>
  <c r="M3799" i="2"/>
  <c r="J3799" i="2"/>
  <c r="I3799" i="2"/>
  <c r="H3799" i="2"/>
  <c r="G3799" i="2"/>
  <c r="F3799" i="2"/>
  <c r="E3799" i="2"/>
  <c r="D3799" i="2"/>
  <c r="C3799" i="2"/>
  <c r="B3799" i="2"/>
  <c r="A3799" i="2"/>
  <c r="U3798" i="2"/>
  <c r="N3798" i="2"/>
  <c r="M3798" i="2"/>
  <c r="J3798" i="2"/>
  <c r="I3798" i="2"/>
  <c r="H3798" i="2"/>
  <c r="G3798" i="2"/>
  <c r="F3798" i="2"/>
  <c r="E3798" i="2"/>
  <c r="D3798" i="2"/>
  <c r="C3798" i="2"/>
  <c r="B3798" i="2"/>
  <c r="A3798" i="2"/>
  <c r="Q3797" i="2"/>
  <c r="U3797" i="2" s="1"/>
  <c r="N3797" i="2"/>
  <c r="M3797" i="2"/>
  <c r="J3797" i="2"/>
  <c r="I3797" i="2"/>
  <c r="H3797" i="2"/>
  <c r="G3797" i="2"/>
  <c r="F3797" i="2"/>
  <c r="E3797" i="2"/>
  <c r="D3797" i="2"/>
  <c r="C3797" i="2"/>
  <c r="B3797" i="2"/>
  <c r="A3797" i="2"/>
  <c r="U3796" i="2"/>
  <c r="N3796" i="2"/>
  <c r="M3796" i="2"/>
  <c r="J3796" i="2"/>
  <c r="I3796" i="2"/>
  <c r="H3796" i="2"/>
  <c r="G3796" i="2"/>
  <c r="F3796" i="2"/>
  <c r="E3796" i="2"/>
  <c r="D3796" i="2"/>
  <c r="C3796" i="2"/>
  <c r="B3796" i="2"/>
  <c r="A3796" i="2"/>
  <c r="U3795" i="2"/>
  <c r="N3795" i="2"/>
  <c r="M3795" i="2"/>
  <c r="J3795" i="2"/>
  <c r="I3795" i="2"/>
  <c r="H3795" i="2"/>
  <c r="G3795" i="2"/>
  <c r="F3795" i="2"/>
  <c r="E3795" i="2"/>
  <c r="D3795" i="2"/>
  <c r="C3795" i="2"/>
  <c r="B3795" i="2"/>
  <c r="A3795" i="2"/>
  <c r="U3794" i="2"/>
  <c r="N3794" i="2"/>
  <c r="M3794" i="2"/>
  <c r="J3794" i="2"/>
  <c r="I3794" i="2"/>
  <c r="H3794" i="2"/>
  <c r="G3794" i="2"/>
  <c r="F3794" i="2"/>
  <c r="E3794" i="2"/>
  <c r="D3794" i="2"/>
  <c r="C3794" i="2"/>
  <c r="B3794" i="2"/>
  <c r="A3794" i="2"/>
  <c r="U3793" i="2"/>
  <c r="N3793" i="2"/>
  <c r="M3793" i="2"/>
  <c r="J3793" i="2"/>
  <c r="I3793" i="2"/>
  <c r="H3793" i="2"/>
  <c r="G3793" i="2"/>
  <c r="F3793" i="2"/>
  <c r="E3793" i="2"/>
  <c r="D3793" i="2"/>
  <c r="C3793" i="2"/>
  <c r="B3793" i="2"/>
  <c r="A3793" i="2"/>
  <c r="U3792" i="2"/>
  <c r="N3792" i="2"/>
  <c r="M3792" i="2"/>
  <c r="J3792" i="2"/>
  <c r="I3792" i="2"/>
  <c r="H3792" i="2"/>
  <c r="G3792" i="2"/>
  <c r="F3792" i="2"/>
  <c r="E3792" i="2"/>
  <c r="D3792" i="2"/>
  <c r="C3792" i="2"/>
  <c r="B3792" i="2"/>
  <c r="A3792" i="2"/>
  <c r="U3791" i="2"/>
  <c r="N3791" i="2"/>
  <c r="M3791" i="2"/>
  <c r="J3791" i="2"/>
  <c r="I3791" i="2"/>
  <c r="H3791" i="2"/>
  <c r="G3791" i="2"/>
  <c r="F3791" i="2"/>
  <c r="E3791" i="2"/>
  <c r="D3791" i="2"/>
  <c r="C3791" i="2"/>
  <c r="B3791" i="2"/>
  <c r="A3791" i="2"/>
  <c r="U3790" i="2"/>
  <c r="N3790" i="2"/>
  <c r="M3790" i="2"/>
  <c r="J3790" i="2"/>
  <c r="I3790" i="2"/>
  <c r="H3790" i="2"/>
  <c r="G3790" i="2"/>
  <c r="F3790" i="2"/>
  <c r="E3790" i="2"/>
  <c r="D3790" i="2"/>
  <c r="C3790" i="2"/>
  <c r="B3790" i="2"/>
  <c r="A3790" i="2"/>
  <c r="U3789" i="2"/>
  <c r="N3789" i="2"/>
  <c r="M3789" i="2"/>
  <c r="J3789" i="2"/>
  <c r="I3789" i="2"/>
  <c r="H3789" i="2"/>
  <c r="G3789" i="2"/>
  <c r="F3789" i="2"/>
  <c r="E3789" i="2"/>
  <c r="D3789" i="2"/>
  <c r="C3789" i="2"/>
  <c r="B3789" i="2"/>
  <c r="A3789" i="2"/>
  <c r="U3788" i="2"/>
  <c r="N3788" i="2"/>
  <c r="M3788" i="2"/>
  <c r="J3788" i="2"/>
  <c r="I3788" i="2"/>
  <c r="H3788" i="2"/>
  <c r="G3788" i="2"/>
  <c r="F3788" i="2"/>
  <c r="E3788" i="2"/>
  <c r="D3788" i="2"/>
  <c r="C3788" i="2"/>
  <c r="B3788" i="2"/>
  <c r="A3788" i="2"/>
  <c r="U3787" i="2"/>
  <c r="N3787" i="2"/>
  <c r="M3787" i="2"/>
  <c r="J3787" i="2"/>
  <c r="I3787" i="2"/>
  <c r="H3787" i="2"/>
  <c r="G3787" i="2"/>
  <c r="F3787" i="2"/>
  <c r="E3787" i="2"/>
  <c r="D3787" i="2"/>
  <c r="C3787" i="2"/>
  <c r="B3787" i="2"/>
  <c r="A3787" i="2"/>
  <c r="U3786" i="2"/>
  <c r="N3786" i="2"/>
  <c r="M3786" i="2"/>
  <c r="J3786" i="2"/>
  <c r="I3786" i="2"/>
  <c r="H3786" i="2"/>
  <c r="G3786" i="2"/>
  <c r="F3786" i="2"/>
  <c r="E3786" i="2"/>
  <c r="D3786" i="2"/>
  <c r="C3786" i="2"/>
  <c r="B3786" i="2"/>
  <c r="A3786" i="2"/>
  <c r="U3785" i="2"/>
  <c r="N3785" i="2"/>
  <c r="M3785" i="2"/>
  <c r="J3785" i="2"/>
  <c r="I3785" i="2"/>
  <c r="H3785" i="2"/>
  <c r="G3785" i="2"/>
  <c r="F3785" i="2"/>
  <c r="E3785" i="2"/>
  <c r="D3785" i="2"/>
  <c r="C3785" i="2"/>
  <c r="B3785" i="2"/>
  <c r="A3785" i="2"/>
  <c r="U3784" i="2"/>
  <c r="N3784" i="2"/>
  <c r="M3784" i="2"/>
  <c r="J3784" i="2"/>
  <c r="I3784" i="2"/>
  <c r="H3784" i="2"/>
  <c r="G3784" i="2"/>
  <c r="F3784" i="2"/>
  <c r="E3784" i="2"/>
  <c r="D3784" i="2"/>
  <c r="C3784" i="2"/>
  <c r="B3784" i="2"/>
  <c r="A3784" i="2"/>
  <c r="U3783" i="2"/>
  <c r="N3783" i="2"/>
  <c r="M3783" i="2"/>
  <c r="J3783" i="2"/>
  <c r="I3783" i="2"/>
  <c r="H3783" i="2"/>
  <c r="G3783" i="2"/>
  <c r="F3783" i="2"/>
  <c r="E3783" i="2"/>
  <c r="D3783" i="2"/>
  <c r="C3783" i="2"/>
  <c r="B3783" i="2"/>
  <c r="A3783" i="2"/>
  <c r="U3782" i="2"/>
  <c r="N3782" i="2"/>
  <c r="M3782" i="2"/>
  <c r="J3782" i="2"/>
  <c r="I3782" i="2"/>
  <c r="H3782" i="2"/>
  <c r="G3782" i="2"/>
  <c r="F3782" i="2"/>
  <c r="E3782" i="2"/>
  <c r="D3782" i="2"/>
  <c r="C3782" i="2"/>
  <c r="B3782" i="2"/>
  <c r="A3782" i="2"/>
  <c r="U3781" i="2"/>
  <c r="N3781" i="2"/>
  <c r="M3781" i="2"/>
  <c r="J3781" i="2"/>
  <c r="I3781" i="2"/>
  <c r="H3781" i="2"/>
  <c r="G3781" i="2"/>
  <c r="F3781" i="2"/>
  <c r="E3781" i="2"/>
  <c r="D3781" i="2"/>
  <c r="C3781" i="2"/>
  <c r="B3781" i="2"/>
  <c r="A3781" i="2"/>
  <c r="U3780" i="2"/>
  <c r="N3780" i="2"/>
  <c r="M3780" i="2"/>
  <c r="J3780" i="2"/>
  <c r="I3780" i="2"/>
  <c r="H3780" i="2"/>
  <c r="G3780" i="2"/>
  <c r="F3780" i="2"/>
  <c r="E3780" i="2"/>
  <c r="D3780" i="2"/>
  <c r="C3780" i="2"/>
  <c r="B3780" i="2"/>
  <c r="A3780" i="2"/>
  <c r="U3779" i="2"/>
  <c r="N3779" i="2"/>
  <c r="M3779" i="2"/>
  <c r="J3779" i="2"/>
  <c r="I3779" i="2"/>
  <c r="H3779" i="2"/>
  <c r="G3779" i="2"/>
  <c r="F3779" i="2"/>
  <c r="E3779" i="2"/>
  <c r="D3779" i="2"/>
  <c r="C3779" i="2"/>
  <c r="B3779" i="2"/>
  <c r="A3779" i="2"/>
  <c r="U3778" i="2"/>
  <c r="N3778" i="2"/>
  <c r="M3778" i="2"/>
  <c r="J3778" i="2"/>
  <c r="I3778" i="2"/>
  <c r="H3778" i="2"/>
  <c r="G3778" i="2"/>
  <c r="F3778" i="2"/>
  <c r="E3778" i="2"/>
  <c r="D3778" i="2"/>
  <c r="C3778" i="2"/>
  <c r="B3778" i="2"/>
  <c r="A3778" i="2"/>
  <c r="Q3777" i="2"/>
  <c r="U3777" i="2" s="1"/>
  <c r="N3777" i="2"/>
  <c r="M3777" i="2"/>
  <c r="J3777" i="2"/>
  <c r="I3777" i="2"/>
  <c r="H3777" i="2"/>
  <c r="G3777" i="2"/>
  <c r="F3777" i="2"/>
  <c r="E3777" i="2"/>
  <c r="D3777" i="2"/>
  <c r="C3777" i="2"/>
  <c r="B3777" i="2"/>
  <c r="A3777" i="2"/>
  <c r="U3776" i="2"/>
  <c r="N3776" i="2"/>
  <c r="M3776" i="2"/>
  <c r="J3776" i="2"/>
  <c r="I3776" i="2"/>
  <c r="H3776" i="2"/>
  <c r="G3776" i="2"/>
  <c r="F3776" i="2"/>
  <c r="E3776" i="2"/>
  <c r="D3776" i="2"/>
  <c r="C3776" i="2"/>
  <c r="B3776" i="2"/>
  <c r="A3776" i="2"/>
  <c r="U3775" i="2"/>
  <c r="N3775" i="2"/>
  <c r="M3775" i="2"/>
  <c r="J3775" i="2"/>
  <c r="I3775" i="2"/>
  <c r="H3775" i="2"/>
  <c r="G3775" i="2"/>
  <c r="F3775" i="2"/>
  <c r="E3775" i="2"/>
  <c r="D3775" i="2"/>
  <c r="C3775" i="2"/>
  <c r="B3775" i="2"/>
  <c r="A3775" i="2"/>
  <c r="U3774" i="2"/>
  <c r="N3774" i="2"/>
  <c r="M3774" i="2"/>
  <c r="J3774" i="2"/>
  <c r="I3774" i="2"/>
  <c r="H3774" i="2"/>
  <c r="G3774" i="2"/>
  <c r="F3774" i="2"/>
  <c r="E3774" i="2"/>
  <c r="D3774" i="2"/>
  <c r="C3774" i="2"/>
  <c r="B3774" i="2"/>
  <c r="A3774" i="2"/>
  <c r="U3773" i="2"/>
  <c r="N3773" i="2"/>
  <c r="M3773" i="2"/>
  <c r="J3773" i="2"/>
  <c r="I3773" i="2"/>
  <c r="H3773" i="2"/>
  <c r="G3773" i="2"/>
  <c r="F3773" i="2"/>
  <c r="E3773" i="2"/>
  <c r="D3773" i="2"/>
  <c r="C3773" i="2"/>
  <c r="B3773" i="2"/>
  <c r="A3773" i="2"/>
  <c r="U3772" i="2"/>
  <c r="N3772" i="2"/>
  <c r="M3772" i="2"/>
  <c r="J3772" i="2"/>
  <c r="I3772" i="2"/>
  <c r="H3772" i="2"/>
  <c r="G3772" i="2"/>
  <c r="F3772" i="2"/>
  <c r="E3772" i="2"/>
  <c r="D3772" i="2"/>
  <c r="C3772" i="2"/>
  <c r="B3772" i="2"/>
  <c r="A3772" i="2"/>
  <c r="U3771" i="2"/>
  <c r="N3771" i="2"/>
  <c r="M3771" i="2"/>
  <c r="J3771" i="2"/>
  <c r="I3771" i="2"/>
  <c r="H3771" i="2"/>
  <c r="G3771" i="2"/>
  <c r="F3771" i="2"/>
  <c r="E3771" i="2"/>
  <c r="D3771" i="2"/>
  <c r="C3771" i="2"/>
  <c r="B3771" i="2"/>
  <c r="A3771" i="2"/>
  <c r="U3770" i="2"/>
  <c r="N3770" i="2"/>
  <c r="M3770" i="2"/>
  <c r="J3770" i="2"/>
  <c r="I3770" i="2"/>
  <c r="H3770" i="2"/>
  <c r="G3770" i="2"/>
  <c r="F3770" i="2"/>
  <c r="E3770" i="2"/>
  <c r="D3770" i="2"/>
  <c r="C3770" i="2"/>
  <c r="B3770" i="2"/>
  <c r="A3770" i="2"/>
  <c r="U3769" i="2"/>
  <c r="N3769" i="2"/>
  <c r="M3769" i="2"/>
  <c r="J3769" i="2"/>
  <c r="I3769" i="2"/>
  <c r="H3769" i="2"/>
  <c r="G3769" i="2"/>
  <c r="F3769" i="2"/>
  <c r="E3769" i="2"/>
  <c r="D3769" i="2"/>
  <c r="C3769" i="2"/>
  <c r="B3769" i="2"/>
  <c r="A3769" i="2"/>
  <c r="U3768" i="2"/>
  <c r="N3768" i="2"/>
  <c r="M3768" i="2"/>
  <c r="J3768" i="2"/>
  <c r="I3768" i="2"/>
  <c r="H3768" i="2"/>
  <c r="G3768" i="2"/>
  <c r="F3768" i="2"/>
  <c r="E3768" i="2"/>
  <c r="D3768" i="2"/>
  <c r="C3768" i="2"/>
  <c r="B3768" i="2"/>
  <c r="A3768" i="2"/>
  <c r="U3767" i="2"/>
  <c r="N3767" i="2"/>
  <c r="M3767" i="2"/>
  <c r="J3767" i="2"/>
  <c r="I3767" i="2"/>
  <c r="H3767" i="2"/>
  <c r="G3767" i="2"/>
  <c r="F3767" i="2"/>
  <c r="E3767" i="2"/>
  <c r="D3767" i="2"/>
  <c r="C3767" i="2"/>
  <c r="B3767" i="2"/>
  <c r="A3767" i="2"/>
  <c r="U3766" i="2"/>
  <c r="N3766" i="2"/>
  <c r="M3766" i="2"/>
  <c r="J3766" i="2"/>
  <c r="I3766" i="2"/>
  <c r="H3766" i="2"/>
  <c r="G3766" i="2"/>
  <c r="F3766" i="2"/>
  <c r="E3766" i="2"/>
  <c r="D3766" i="2"/>
  <c r="C3766" i="2"/>
  <c r="B3766" i="2"/>
  <c r="A3766" i="2"/>
  <c r="U3765" i="2"/>
  <c r="N3765" i="2"/>
  <c r="M3765" i="2"/>
  <c r="J3765" i="2"/>
  <c r="I3765" i="2"/>
  <c r="H3765" i="2"/>
  <c r="G3765" i="2"/>
  <c r="F3765" i="2"/>
  <c r="E3765" i="2"/>
  <c r="D3765" i="2"/>
  <c r="C3765" i="2"/>
  <c r="B3765" i="2"/>
  <c r="A3765" i="2"/>
  <c r="U3764" i="2"/>
  <c r="N3764" i="2"/>
  <c r="M3764" i="2"/>
  <c r="J3764" i="2"/>
  <c r="I3764" i="2"/>
  <c r="H3764" i="2"/>
  <c r="G3764" i="2"/>
  <c r="F3764" i="2"/>
  <c r="E3764" i="2"/>
  <c r="D3764" i="2"/>
  <c r="C3764" i="2"/>
  <c r="B3764" i="2"/>
  <c r="A3764" i="2"/>
  <c r="Q3763" i="2"/>
  <c r="U3763" i="2" s="1"/>
  <c r="N3763" i="2"/>
  <c r="M3763" i="2"/>
  <c r="J3763" i="2"/>
  <c r="I3763" i="2"/>
  <c r="H3763" i="2"/>
  <c r="G3763" i="2"/>
  <c r="F3763" i="2"/>
  <c r="E3763" i="2"/>
  <c r="D3763" i="2"/>
  <c r="C3763" i="2"/>
  <c r="B3763" i="2"/>
  <c r="A3763" i="2"/>
  <c r="U3762" i="2"/>
  <c r="N3762" i="2"/>
  <c r="M3762" i="2"/>
  <c r="J3762" i="2"/>
  <c r="I3762" i="2"/>
  <c r="H3762" i="2"/>
  <c r="G3762" i="2"/>
  <c r="F3762" i="2"/>
  <c r="E3762" i="2"/>
  <c r="D3762" i="2"/>
  <c r="C3762" i="2"/>
  <c r="B3762" i="2"/>
  <c r="A3762" i="2"/>
  <c r="U3761" i="2"/>
  <c r="N3761" i="2"/>
  <c r="M3761" i="2"/>
  <c r="J3761" i="2"/>
  <c r="I3761" i="2"/>
  <c r="H3761" i="2"/>
  <c r="G3761" i="2"/>
  <c r="F3761" i="2"/>
  <c r="E3761" i="2"/>
  <c r="D3761" i="2"/>
  <c r="C3761" i="2"/>
  <c r="B3761" i="2"/>
  <c r="A3761" i="2"/>
  <c r="U3760" i="2"/>
  <c r="N3760" i="2"/>
  <c r="M3760" i="2"/>
  <c r="J3760" i="2"/>
  <c r="I3760" i="2"/>
  <c r="H3760" i="2"/>
  <c r="G3760" i="2"/>
  <c r="F3760" i="2"/>
  <c r="E3760" i="2"/>
  <c r="D3760" i="2"/>
  <c r="C3760" i="2"/>
  <c r="B3760" i="2"/>
  <c r="A3760" i="2"/>
  <c r="U3759" i="2"/>
  <c r="N3759" i="2"/>
  <c r="M3759" i="2"/>
  <c r="J3759" i="2"/>
  <c r="I3759" i="2"/>
  <c r="H3759" i="2"/>
  <c r="G3759" i="2"/>
  <c r="F3759" i="2"/>
  <c r="E3759" i="2"/>
  <c r="D3759" i="2"/>
  <c r="C3759" i="2"/>
  <c r="B3759" i="2"/>
  <c r="A3759" i="2"/>
  <c r="U3758" i="2"/>
  <c r="N3758" i="2"/>
  <c r="M3758" i="2"/>
  <c r="J3758" i="2"/>
  <c r="I3758" i="2"/>
  <c r="H3758" i="2"/>
  <c r="G3758" i="2"/>
  <c r="F3758" i="2"/>
  <c r="E3758" i="2"/>
  <c r="D3758" i="2"/>
  <c r="C3758" i="2"/>
  <c r="B3758" i="2"/>
  <c r="A3758" i="2"/>
  <c r="U3757" i="2"/>
  <c r="N3757" i="2"/>
  <c r="M3757" i="2"/>
  <c r="J3757" i="2"/>
  <c r="I3757" i="2"/>
  <c r="H3757" i="2"/>
  <c r="G3757" i="2"/>
  <c r="F3757" i="2"/>
  <c r="E3757" i="2"/>
  <c r="D3757" i="2"/>
  <c r="C3757" i="2"/>
  <c r="B3757" i="2"/>
  <c r="A3757" i="2"/>
  <c r="U3756" i="2"/>
  <c r="N3756" i="2"/>
  <c r="M3756" i="2"/>
  <c r="J3756" i="2"/>
  <c r="I3756" i="2"/>
  <c r="H3756" i="2"/>
  <c r="G3756" i="2"/>
  <c r="F3756" i="2"/>
  <c r="E3756" i="2"/>
  <c r="D3756" i="2"/>
  <c r="C3756" i="2"/>
  <c r="B3756" i="2"/>
  <c r="A3756" i="2"/>
  <c r="U3755" i="2"/>
  <c r="N3755" i="2"/>
  <c r="M3755" i="2"/>
  <c r="J3755" i="2"/>
  <c r="I3755" i="2"/>
  <c r="H3755" i="2"/>
  <c r="G3755" i="2"/>
  <c r="F3755" i="2"/>
  <c r="E3755" i="2"/>
  <c r="D3755" i="2"/>
  <c r="C3755" i="2"/>
  <c r="B3755" i="2"/>
  <c r="A3755" i="2"/>
  <c r="U3754" i="2"/>
  <c r="N3754" i="2"/>
  <c r="M3754" i="2"/>
  <c r="J3754" i="2"/>
  <c r="I3754" i="2"/>
  <c r="H3754" i="2"/>
  <c r="G3754" i="2"/>
  <c r="F3754" i="2"/>
  <c r="E3754" i="2"/>
  <c r="D3754" i="2"/>
  <c r="C3754" i="2"/>
  <c r="B3754" i="2"/>
  <c r="A3754" i="2"/>
  <c r="U3753" i="2"/>
  <c r="N3753" i="2"/>
  <c r="M3753" i="2"/>
  <c r="J3753" i="2"/>
  <c r="I3753" i="2"/>
  <c r="H3753" i="2"/>
  <c r="G3753" i="2"/>
  <c r="F3753" i="2"/>
  <c r="E3753" i="2"/>
  <c r="D3753" i="2"/>
  <c r="C3753" i="2"/>
  <c r="B3753" i="2"/>
  <c r="A3753" i="2"/>
  <c r="U3752" i="2"/>
  <c r="N3752" i="2"/>
  <c r="M3752" i="2"/>
  <c r="J3752" i="2"/>
  <c r="I3752" i="2"/>
  <c r="H3752" i="2"/>
  <c r="G3752" i="2"/>
  <c r="F3752" i="2"/>
  <c r="E3752" i="2"/>
  <c r="D3752" i="2"/>
  <c r="C3752" i="2"/>
  <c r="B3752" i="2"/>
  <c r="A3752" i="2"/>
  <c r="U3751" i="2"/>
  <c r="N3751" i="2"/>
  <c r="M3751" i="2"/>
  <c r="J3751" i="2"/>
  <c r="I3751" i="2"/>
  <c r="H3751" i="2"/>
  <c r="G3751" i="2"/>
  <c r="F3751" i="2"/>
  <c r="E3751" i="2"/>
  <c r="D3751" i="2"/>
  <c r="C3751" i="2"/>
  <c r="B3751" i="2"/>
  <c r="A3751" i="2"/>
  <c r="U3750" i="2"/>
  <c r="N3750" i="2"/>
  <c r="M3750" i="2"/>
  <c r="J3750" i="2"/>
  <c r="I3750" i="2"/>
  <c r="H3750" i="2"/>
  <c r="G3750" i="2"/>
  <c r="F3750" i="2"/>
  <c r="E3750" i="2"/>
  <c r="D3750" i="2"/>
  <c r="C3750" i="2"/>
  <c r="B3750" i="2"/>
  <c r="A3750" i="2"/>
  <c r="U3749" i="2"/>
  <c r="N3749" i="2"/>
  <c r="M3749" i="2"/>
  <c r="J3749" i="2"/>
  <c r="I3749" i="2"/>
  <c r="H3749" i="2"/>
  <c r="G3749" i="2"/>
  <c r="F3749" i="2"/>
  <c r="E3749" i="2"/>
  <c r="D3749" i="2"/>
  <c r="C3749" i="2"/>
  <c r="B3749" i="2"/>
  <c r="A3749" i="2"/>
  <c r="U3748" i="2"/>
  <c r="N3748" i="2"/>
  <c r="M3748" i="2"/>
  <c r="J3748" i="2"/>
  <c r="I3748" i="2"/>
  <c r="H3748" i="2"/>
  <c r="G3748" i="2"/>
  <c r="F3748" i="2"/>
  <c r="E3748" i="2"/>
  <c r="D3748" i="2"/>
  <c r="C3748" i="2"/>
  <c r="B3748" i="2"/>
  <c r="A3748" i="2"/>
  <c r="U3747" i="2"/>
  <c r="N3747" i="2"/>
  <c r="M3747" i="2"/>
  <c r="J3747" i="2"/>
  <c r="I3747" i="2"/>
  <c r="H3747" i="2"/>
  <c r="G3747" i="2"/>
  <c r="F3747" i="2"/>
  <c r="E3747" i="2"/>
  <c r="D3747" i="2"/>
  <c r="C3747" i="2"/>
  <c r="B3747" i="2"/>
  <c r="A3747" i="2"/>
  <c r="U3746" i="2"/>
  <c r="N3746" i="2"/>
  <c r="M3746" i="2"/>
  <c r="J3746" i="2"/>
  <c r="I3746" i="2"/>
  <c r="H3746" i="2"/>
  <c r="G3746" i="2"/>
  <c r="F3746" i="2"/>
  <c r="E3746" i="2"/>
  <c r="D3746" i="2"/>
  <c r="C3746" i="2"/>
  <c r="B3746" i="2"/>
  <c r="A3746" i="2"/>
  <c r="U3745" i="2"/>
  <c r="N3745" i="2"/>
  <c r="M3745" i="2"/>
  <c r="J3745" i="2"/>
  <c r="I3745" i="2"/>
  <c r="H3745" i="2"/>
  <c r="G3745" i="2"/>
  <c r="F3745" i="2"/>
  <c r="E3745" i="2"/>
  <c r="D3745" i="2"/>
  <c r="C3745" i="2"/>
  <c r="B3745" i="2"/>
  <c r="A3745" i="2"/>
  <c r="Q3744" i="2"/>
  <c r="U3744" i="2" s="1"/>
  <c r="N3744" i="2"/>
  <c r="M3744" i="2"/>
  <c r="J3744" i="2"/>
  <c r="I3744" i="2"/>
  <c r="H3744" i="2"/>
  <c r="G3744" i="2"/>
  <c r="F3744" i="2"/>
  <c r="E3744" i="2"/>
  <c r="D3744" i="2"/>
  <c r="C3744" i="2"/>
  <c r="B3744" i="2"/>
  <c r="A3744" i="2"/>
  <c r="U3743" i="2"/>
  <c r="N3743" i="2"/>
  <c r="M3743" i="2"/>
  <c r="J3743" i="2"/>
  <c r="I3743" i="2"/>
  <c r="H3743" i="2"/>
  <c r="G3743" i="2"/>
  <c r="F3743" i="2"/>
  <c r="E3743" i="2"/>
  <c r="D3743" i="2"/>
  <c r="C3743" i="2"/>
  <c r="B3743" i="2"/>
  <c r="A3743" i="2"/>
  <c r="U3742" i="2"/>
  <c r="N3742" i="2"/>
  <c r="M3742" i="2"/>
  <c r="J3742" i="2"/>
  <c r="I3742" i="2"/>
  <c r="H3742" i="2"/>
  <c r="G3742" i="2"/>
  <c r="F3742" i="2"/>
  <c r="E3742" i="2"/>
  <c r="D3742" i="2"/>
  <c r="C3742" i="2"/>
  <c r="B3742" i="2"/>
  <c r="A3742" i="2"/>
  <c r="U3741" i="2"/>
  <c r="N3741" i="2"/>
  <c r="M3741" i="2"/>
  <c r="J3741" i="2"/>
  <c r="I3741" i="2"/>
  <c r="H3741" i="2"/>
  <c r="G3741" i="2"/>
  <c r="F3741" i="2"/>
  <c r="E3741" i="2"/>
  <c r="D3741" i="2"/>
  <c r="C3741" i="2"/>
  <c r="B3741" i="2"/>
  <c r="A3741" i="2"/>
  <c r="U3740" i="2"/>
  <c r="N3740" i="2"/>
  <c r="M3740" i="2"/>
  <c r="J3740" i="2"/>
  <c r="I3740" i="2"/>
  <c r="H3740" i="2"/>
  <c r="G3740" i="2"/>
  <c r="F3740" i="2"/>
  <c r="E3740" i="2"/>
  <c r="D3740" i="2"/>
  <c r="C3740" i="2"/>
  <c r="B3740" i="2"/>
  <c r="A3740" i="2"/>
  <c r="U3739" i="2"/>
  <c r="N3739" i="2"/>
  <c r="M3739" i="2"/>
  <c r="J3739" i="2"/>
  <c r="I3739" i="2"/>
  <c r="H3739" i="2"/>
  <c r="G3739" i="2"/>
  <c r="F3739" i="2"/>
  <c r="E3739" i="2"/>
  <c r="D3739" i="2"/>
  <c r="C3739" i="2"/>
  <c r="B3739" i="2"/>
  <c r="A3739" i="2"/>
  <c r="U3738" i="2"/>
  <c r="N3738" i="2"/>
  <c r="M3738" i="2"/>
  <c r="J3738" i="2"/>
  <c r="I3738" i="2"/>
  <c r="H3738" i="2"/>
  <c r="G3738" i="2"/>
  <c r="F3738" i="2"/>
  <c r="E3738" i="2"/>
  <c r="D3738" i="2"/>
  <c r="C3738" i="2"/>
  <c r="B3738" i="2"/>
  <c r="A3738" i="2"/>
  <c r="U3737" i="2"/>
  <c r="N3737" i="2"/>
  <c r="M3737" i="2"/>
  <c r="J3737" i="2"/>
  <c r="I3737" i="2"/>
  <c r="H3737" i="2"/>
  <c r="G3737" i="2"/>
  <c r="F3737" i="2"/>
  <c r="E3737" i="2"/>
  <c r="D3737" i="2"/>
  <c r="C3737" i="2"/>
  <c r="B3737" i="2"/>
  <c r="A3737" i="2"/>
  <c r="U3736" i="2"/>
  <c r="N3736" i="2"/>
  <c r="M3736" i="2"/>
  <c r="J3736" i="2"/>
  <c r="I3736" i="2"/>
  <c r="H3736" i="2"/>
  <c r="G3736" i="2"/>
  <c r="F3736" i="2"/>
  <c r="E3736" i="2"/>
  <c r="D3736" i="2"/>
  <c r="C3736" i="2"/>
  <c r="B3736" i="2"/>
  <c r="A3736" i="2"/>
  <c r="U3735" i="2"/>
  <c r="N3735" i="2"/>
  <c r="M3735" i="2"/>
  <c r="J3735" i="2"/>
  <c r="I3735" i="2"/>
  <c r="H3735" i="2"/>
  <c r="G3735" i="2"/>
  <c r="F3735" i="2"/>
  <c r="E3735" i="2"/>
  <c r="D3735" i="2"/>
  <c r="C3735" i="2"/>
  <c r="B3735" i="2"/>
  <c r="A3735" i="2"/>
  <c r="U3734" i="2"/>
  <c r="N3734" i="2"/>
  <c r="M3734" i="2"/>
  <c r="J3734" i="2"/>
  <c r="I3734" i="2"/>
  <c r="H3734" i="2"/>
  <c r="G3734" i="2"/>
  <c r="F3734" i="2"/>
  <c r="E3734" i="2"/>
  <c r="D3734" i="2"/>
  <c r="C3734" i="2"/>
  <c r="B3734" i="2"/>
  <c r="A3734" i="2"/>
  <c r="U3733" i="2"/>
  <c r="N3733" i="2"/>
  <c r="M3733" i="2"/>
  <c r="J3733" i="2"/>
  <c r="I3733" i="2"/>
  <c r="H3733" i="2"/>
  <c r="G3733" i="2"/>
  <c r="F3733" i="2"/>
  <c r="E3733" i="2"/>
  <c r="D3733" i="2"/>
  <c r="C3733" i="2"/>
  <c r="B3733" i="2"/>
  <c r="A3733" i="2"/>
  <c r="U3732" i="2"/>
  <c r="N3732" i="2"/>
  <c r="M3732" i="2"/>
  <c r="J3732" i="2"/>
  <c r="I3732" i="2"/>
  <c r="H3732" i="2"/>
  <c r="G3732" i="2"/>
  <c r="F3732" i="2"/>
  <c r="E3732" i="2"/>
  <c r="D3732" i="2"/>
  <c r="C3732" i="2"/>
  <c r="B3732" i="2"/>
  <c r="A3732" i="2"/>
  <c r="U3731" i="2"/>
  <c r="N3731" i="2"/>
  <c r="M3731" i="2"/>
  <c r="J3731" i="2"/>
  <c r="I3731" i="2"/>
  <c r="H3731" i="2"/>
  <c r="G3731" i="2"/>
  <c r="F3731" i="2"/>
  <c r="E3731" i="2"/>
  <c r="D3731" i="2"/>
  <c r="C3731" i="2"/>
  <c r="B3731" i="2"/>
  <c r="A3731" i="2"/>
  <c r="U3730" i="2"/>
  <c r="N3730" i="2"/>
  <c r="M3730" i="2"/>
  <c r="J3730" i="2"/>
  <c r="I3730" i="2"/>
  <c r="H3730" i="2"/>
  <c r="G3730" i="2"/>
  <c r="F3730" i="2"/>
  <c r="E3730" i="2"/>
  <c r="D3730" i="2"/>
  <c r="C3730" i="2"/>
  <c r="B3730" i="2"/>
  <c r="A3730" i="2"/>
  <c r="U3729" i="2"/>
  <c r="N3729" i="2"/>
  <c r="M3729" i="2"/>
  <c r="J3729" i="2"/>
  <c r="I3729" i="2"/>
  <c r="H3729" i="2"/>
  <c r="G3729" i="2"/>
  <c r="F3729" i="2"/>
  <c r="E3729" i="2"/>
  <c r="D3729" i="2"/>
  <c r="C3729" i="2"/>
  <c r="B3729" i="2"/>
  <c r="A3729" i="2"/>
  <c r="U3728" i="2"/>
  <c r="N3728" i="2"/>
  <c r="M3728" i="2"/>
  <c r="J3728" i="2"/>
  <c r="I3728" i="2"/>
  <c r="H3728" i="2"/>
  <c r="G3728" i="2"/>
  <c r="F3728" i="2"/>
  <c r="E3728" i="2"/>
  <c r="D3728" i="2"/>
  <c r="C3728" i="2"/>
  <c r="B3728" i="2"/>
  <c r="A3728" i="2"/>
  <c r="U3727" i="2"/>
  <c r="N3727" i="2"/>
  <c r="M3727" i="2"/>
  <c r="J3727" i="2"/>
  <c r="I3727" i="2"/>
  <c r="H3727" i="2"/>
  <c r="G3727" i="2"/>
  <c r="F3727" i="2"/>
  <c r="E3727" i="2"/>
  <c r="D3727" i="2"/>
  <c r="C3727" i="2"/>
  <c r="B3727" i="2"/>
  <c r="A3727" i="2"/>
  <c r="Q3726" i="2"/>
  <c r="U3726" i="2" s="1"/>
  <c r="N3726" i="2"/>
  <c r="M3726" i="2"/>
  <c r="J3726" i="2"/>
  <c r="I3726" i="2"/>
  <c r="H3726" i="2"/>
  <c r="G3726" i="2"/>
  <c r="F3726" i="2"/>
  <c r="E3726" i="2"/>
  <c r="D3726" i="2"/>
  <c r="C3726" i="2"/>
  <c r="B3726" i="2"/>
  <c r="A3726" i="2"/>
  <c r="U3725" i="2"/>
  <c r="N3725" i="2"/>
  <c r="M3725" i="2"/>
  <c r="J3725" i="2"/>
  <c r="I3725" i="2"/>
  <c r="H3725" i="2"/>
  <c r="G3725" i="2"/>
  <c r="F3725" i="2"/>
  <c r="E3725" i="2"/>
  <c r="D3725" i="2"/>
  <c r="C3725" i="2"/>
  <c r="B3725" i="2"/>
  <c r="A3725" i="2"/>
  <c r="U3724" i="2"/>
  <c r="N3724" i="2"/>
  <c r="M3724" i="2"/>
  <c r="J3724" i="2"/>
  <c r="I3724" i="2"/>
  <c r="H3724" i="2"/>
  <c r="G3724" i="2"/>
  <c r="F3724" i="2"/>
  <c r="E3724" i="2"/>
  <c r="D3724" i="2"/>
  <c r="C3724" i="2"/>
  <c r="B3724" i="2"/>
  <c r="A3724" i="2"/>
  <c r="U3723" i="2"/>
  <c r="N3723" i="2"/>
  <c r="M3723" i="2"/>
  <c r="J3723" i="2"/>
  <c r="I3723" i="2"/>
  <c r="H3723" i="2"/>
  <c r="G3723" i="2"/>
  <c r="F3723" i="2"/>
  <c r="E3723" i="2"/>
  <c r="D3723" i="2"/>
  <c r="C3723" i="2"/>
  <c r="B3723" i="2"/>
  <c r="A3723" i="2"/>
  <c r="U3722" i="2"/>
  <c r="N3722" i="2"/>
  <c r="M3722" i="2"/>
  <c r="J3722" i="2"/>
  <c r="I3722" i="2"/>
  <c r="H3722" i="2"/>
  <c r="G3722" i="2"/>
  <c r="F3722" i="2"/>
  <c r="E3722" i="2"/>
  <c r="D3722" i="2"/>
  <c r="C3722" i="2"/>
  <c r="B3722" i="2"/>
  <c r="A3722" i="2"/>
  <c r="U3721" i="2"/>
  <c r="N3721" i="2"/>
  <c r="M3721" i="2"/>
  <c r="J3721" i="2"/>
  <c r="I3721" i="2"/>
  <c r="H3721" i="2"/>
  <c r="G3721" i="2"/>
  <c r="F3721" i="2"/>
  <c r="E3721" i="2"/>
  <c r="D3721" i="2"/>
  <c r="C3721" i="2"/>
  <c r="B3721" i="2"/>
  <c r="A3721" i="2"/>
  <c r="U3720" i="2"/>
  <c r="N3720" i="2"/>
  <c r="M3720" i="2"/>
  <c r="J3720" i="2"/>
  <c r="I3720" i="2"/>
  <c r="H3720" i="2"/>
  <c r="G3720" i="2"/>
  <c r="F3720" i="2"/>
  <c r="E3720" i="2"/>
  <c r="D3720" i="2"/>
  <c r="C3720" i="2"/>
  <c r="B3720" i="2"/>
  <c r="A3720" i="2"/>
  <c r="U3719" i="2"/>
  <c r="N3719" i="2"/>
  <c r="M3719" i="2"/>
  <c r="J3719" i="2"/>
  <c r="I3719" i="2"/>
  <c r="H3719" i="2"/>
  <c r="G3719" i="2"/>
  <c r="F3719" i="2"/>
  <c r="E3719" i="2"/>
  <c r="D3719" i="2"/>
  <c r="C3719" i="2"/>
  <c r="B3719" i="2"/>
  <c r="A3719" i="2"/>
  <c r="Q3718" i="2"/>
  <c r="U3718" i="2" s="1"/>
  <c r="N3718" i="2"/>
  <c r="M3718" i="2"/>
  <c r="J3718" i="2"/>
  <c r="I3718" i="2"/>
  <c r="H3718" i="2"/>
  <c r="G3718" i="2"/>
  <c r="F3718" i="2"/>
  <c r="E3718" i="2"/>
  <c r="D3718" i="2"/>
  <c r="C3718" i="2"/>
  <c r="B3718" i="2"/>
  <c r="A3718" i="2"/>
  <c r="U3717" i="2"/>
  <c r="N3717" i="2"/>
  <c r="M3717" i="2"/>
  <c r="J3717" i="2"/>
  <c r="I3717" i="2"/>
  <c r="H3717" i="2"/>
  <c r="G3717" i="2"/>
  <c r="F3717" i="2"/>
  <c r="E3717" i="2"/>
  <c r="D3717" i="2"/>
  <c r="C3717" i="2"/>
  <c r="B3717" i="2"/>
  <c r="A3717" i="2"/>
  <c r="U3716" i="2"/>
  <c r="N3716" i="2"/>
  <c r="M3716" i="2"/>
  <c r="J3716" i="2"/>
  <c r="I3716" i="2"/>
  <c r="H3716" i="2"/>
  <c r="G3716" i="2"/>
  <c r="F3716" i="2"/>
  <c r="E3716" i="2"/>
  <c r="D3716" i="2"/>
  <c r="C3716" i="2"/>
  <c r="B3716" i="2"/>
  <c r="A3716" i="2"/>
  <c r="Q3715" i="2"/>
  <c r="U3715" i="2" s="1"/>
  <c r="N3715" i="2"/>
  <c r="M3715" i="2"/>
  <c r="J3715" i="2"/>
  <c r="I3715" i="2"/>
  <c r="H3715" i="2"/>
  <c r="G3715" i="2"/>
  <c r="F3715" i="2"/>
  <c r="E3715" i="2"/>
  <c r="D3715" i="2"/>
  <c r="C3715" i="2"/>
  <c r="B3715" i="2"/>
  <c r="A3715" i="2"/>
  <c r="U3714" i="2"/>
  <c r="N3714" i="2"/>
  <c r="M3714" i="2"/>
  <c r="J3714" i="2"/>
  <c r="I3714" i="2"/>
  <c r="H3714" i="2"/>
  <c r="G3714" i="2"/>
  <c r="F3714" i="2"/>
  <c r="E3714" i="2"/>
  <c r="D3714" i="2"/>
  <c r="C3714" i="2"/>
  <c r="B3714" i="2"/>
  <c r="A3714" i="2"/>
  <c r="U3713" i="2"/>
  <c r="N3713" i="2"/>
  <c r="M3713" i="2"/>
  <c r="J3713" i="2"/>
  <c r="I3713" i="2"/>
  <c r="H3713" i="2"/>
  <c r="G3713" i="2"/>
  <c r="F3713" i="2"/>
  <c r="E3713" i="2"/>
  <c r="D3713" i="2"/>
  <c r="C3713" i="2"/>
  <c r="B3713" i="2"/>
  <c r="A3713" i="2"/>
  <c r="U3712" i="2"/>
  <c r="N3712" i="2"/>
  <c r="M3712" i="2"/>
  <c r="J3712" i="2"/>
  <c r="I3712" i="2"/>
  <c r="H3712" i="2"/>
  <c r="G3712" i="2"/>
  <c r="F3712" i="2"/>
  <c r="E3712" i="2"/>
  <c r="D3712" i="2"/>
  <c r="C3712" i="2"/>
  <c r="B3712" i="2"/>
  <c r="A3712" i="2"/>
  <c r="U3711" i="2"/>
  <c r="N3711" i="2"/>
  <c r="M3711" i="2"/>
  <c r="J3711" i="2"/>
  <c r="I3711" i="2"/>
  <c r="H3711" i="2"/>
  <c r="G3711" i="2"/>
  <c r="F3711" i="2"/>
  <c r="E3711" i="2"/>
  <c r="D3711" i="2"/>
  <c r="C3711" i="2"/>
  <c r="B3711" i="2"/>
  <c r="A3711" i="2"/>
  <c r="U3710" i="2"/>
  <c r="N3710" i="2"/>
  <c r="M3710" i="2"/>
  <c r="J3710" i="2"/>
  <c r="I3710" i="2"/>
  <c r="H3710" i="2"/>
  <c r="G3710" i="2"/>
  <c r="F3710" i="2"/>
  <c r="E3710" i="2"/>
  <c r="D3710" i="2"/>
  <c r="C3710" i="2"/>
  <c r="B3710" i="2"/>
  <c r="A3710" i="2"/>
  <c r="U3709" i="2"/>
  <c r="N3709" i="2"/>
  <c r="M3709" i="2"/>
  <c r="J3709" i="2"/>
  <c r="I3709" i="2"/>
  <c r="H3709" i="2"/>
  <c r="G3709" i="2"/>
  <c r="F3709" i="2"/>
  <c r="E3709" i="2"/>
  <c r="D3709" i="2"/>
  <c r="C3709" i="2"/>
  <c r="B3709" i="2"/>
  <c r="A3709" i="2"/>
  <c r="U3708" i="2"/>
  <c r="N3708" i="2"/>
  <c r="M3708" i="2"/>
  <c r="J3708" i="2"/>
  <c r="I3708" i="2"/>
  <c r="H3708" i="2"/>
  <c r="G3708" i="2"/>
  <c r="F3708" i="2"/>
  <c r="E3708" i="2"/>
  <c r="D3708" i="2"/>
  <c r="C3708" i="2"/>
  <c r="B3708" i="2"/>
  <c r="A3708" i="2"/>
  <c r="U3707" i="2"/>
  <c r="N3707" i="2"/>
  <c r="M3707" i="2"/>
  <c r="J3707" i="2"/>
  <c r="I3707" i="2"/>
  <c r="H3707" i="2"/>
  <c r="G3707" i="2"/>
  <c r="F3707" i="2"/>
  <c r="E3707" i="2"/>
  <c r="D3707" i="2"/>
  <c r="C3707" i="2"/>
  <c r="B3707" i="2"/>
  <c r="A3707" i="2"/>
  <c r="U3706" i="2"/>
  <c r="N3706" i="2"/>
  <c r="M3706" i="2"/>
  <c r="J3706" i="2"/>
  <c r="I3706" i="2"/>
  <c r="H3706" i="2"/>
  <c r="G3706" i="2"/>
  <c r="F3706" i="2"/>
  <c r="E3706" i="2"/>
  <c r="D3706" i="2"/>
  <c r="C3706" i="2"/>
  <c r="B3706" i="2"/>
  <c r="A3706" i="2"/>
  <c r="U3705" i="2"/>
  <c r="N3705" i="2"/>
  <c r="M3705" i="2"/>
  <c r="J3705" i="2"/>
  <c r="I3705" i="2"/>
  <c r="H3705" i="2"/>
  <c r="G3705" i="2"/>
  <c r="F3705" i="2"/>
  <c r="E3705" i="2"/>
  <c r="D3705" i="2"/>
  <c r="C3705" i="2"/>
  <c r="B3705" i="2"/>
  <c r="A3705" i="2"/>
  <c r="U3704" i="2"/>
  <c r="N3704" i="2"/>
  <c r="M3704" i="2"/>
  <c r="J3704" i="2"/>
  <c r="I3704" i="2"/>
  <c r="H3704" i="2"/>
  <c r="G3704" i="2"/>
  <c r="F3704" i="2"/>
  <c r="E3704" i="2"/>
  <c r="D3704" i="2"/>
  <c r="C3704" i="2"/>
  <c r="B3704" i="2"/>
  <c r="A3704" i="2"/>
  <c r="U3703" i="2"/>
  <c r="N3703" i="2"/>
  <c r="M3703" i="2"/>
  <c r="J3703" i="2"/>
  <c r="I3703" i="2"/>
  <c r="H3703" i="2"/>
  <c r="G3703" i="2"/>
  <c r="F3703" i="2"/>
  <c r="E3703" i="2"/>
  <c r="D3703" i="2"/>
  <c r="C3703" i="2"/>
  <c r="B3703" i="2"/>
  <c r="A3703" i="2"/>
  <c r="U3702" i="2"/>
  <c r="N3702" i="2"/>
  <c r="M3702" i="2"/>
  <c r="J3702" i="2"/>
  <c r="I3702" i="2"/>
  <c r="H3702" i="2"/>
  <c r="G3702" i="2"/>
  <c r="F3702" i="2"/>
  <c r="E3702" i="2"/>
  <c r="D3702" i="2"/>
  <c r="C3702" i="2"/>
  <c r="B3702" i="2"/>
  <c r="A3702" i="2"/>
  <c r="U3701" i="2"/>
  <c r="N3701" i="2"/>
  <c r="M3701" i="2"/>
  <c r="J3701" i="2"/>
  <c r="I3701" i="2"/>
  <c r="H3701" i="2"/>
  <c r="G3701" i="2"/>
  <c r="F3701" i="2"/>
  <c r="E3701" i="2"/>
  <c r="D3701" i="2"/>
  <c r="C3701" i="2"/>
  <c r="B3701" i="2"/>
  <c r="A3701" i="2"/>
  <c r="U3700" i="2"/>
  <c r="N3700" i="2"/>
  <c r="M3700" i="2"/>
  <c r="J3700" i="2"/>
  <c r="I3700" i="2"/>
  <c r="H3700" i="2"/>
  <c r="G3700" i="2"/>
  <c r="F3700" i="2"/>
  <c r="E3700" i="2"/>
  <c r="D3700" i="2"/>
  <c r="C3700" i="2"/>
  <c r="B3700" i="2"/>
  <c r="A3700" i="2"/>
  <c r="U3699" i="2"/>
  <c r="N3699" i="2"/>
  <c r="M3699" i="2"/>
  <c r="J3699" i="2"/>
  <c r="I3699" i="2"/>
  <c r="H3699" i="2"/>
  <c r="G3699" i="2"/>
  <c r="F3699" i="2"/>
  <c r="E3699" i="2"/>
  <c r="D3699" i="2"/>
  <c r="C3699" i="2"/>
  <c r="B3699" i="2"/>
  <c r="A3699" i="2"/>
  <c r="U3698" i="2"/>
  <c r="N3698" i="2"/>
  <c r="M3698" i="2"/>
  <c r="J3698" i="2"/>
  <c r="I3698" i="2"/>
  <c r="H3698" i="2"/>
  <c r="G3698" i="2"/>
  <c r="F3698" i="2"/>
  <c r="E3698" i="2"/>
  <c r="D3698" i="2"/>
  <c r="C3698" i="2"/>
  <c r="B3698" i="2"/>
  <c r="A3698" i="2"/>
  <c r="U3697" i="2"/>
  <c r="N3697" i="2"/>
  <c r="M3697" i="2"/>
  <c r="J3697" i="2"/>
  <c r="I3697" i="2"/>
  <c r="H3697" i="2"/>
  <c r="G3697" i="2"/>
  <c r="F3697" i="2"/>
  <c r="E3697" i="2"/>
  <c r="D3697" i="2"/>
  <c r="C3697" i="2"/>
  <c r="B3697" i="2"/>
  <c r="A3697" i="2"/>
  <c r="U3696" i="2"/>
  <c r="N3696" i="2"/>
  <c r="M3696" i="2"/>
  <c r="J3696" i="2"/>
  <c r="I3696" i="2"/>
  <c r="H3696" i="2"/>
  <c r="G3696" i="2"/>
  <c r="F3696" i="2"/>
  <c r="E3696" i="2"/>
  <c r="D3696" i="2"/>
  <c r="C3696" i="2"/>
  <c r="B3696" i="2"/>
  <c r="A3696" i="2"/>
  <c r="U3695" i="2"/>
  <c r="N3695" i="2"/>
  <c r="M3695" i="2"/>
  <c r="J3695" i="2"/>
  <c r="I3695" i="2"/>
  <c r="H3695" i="2"/>
  <c r="G3695" i="2"/>
  <c r="F3695" i="2"/>
  <c r="E3695" i="2"/>
  <c r="D3695" i="2"/>
  <c r="C3695" i="2"/>
  <c r="B3695" i="2"/>
  <c r="A3695" i="2"/>
  <c r="Q3694" i="2"/>
  <c r="U3694" i="2" s="1"/>
  <c r="N3694" i="2"/>
  <c r="M3694" i="2"/>
  <c r="J3694" i="2"/>
  <c r="I3694" i="2"/>
  <c r="H3694" i="2"/>
  <c r="G3694" i="2"/>
  <c r="F3694" i="2"/>
  <c r="E3694" i="2"/>
  <c r="D3694" i="2"/>
  <c r="C3694" i="2"/>
  <c r="B3694" i="2"/>
  <c r="A3694" i="2"/>
  <c r="U3693" i="2"/>
  <c r="N3693" i="2"/>
  <c r="M3693" i="2"/>
  <c r="J3693" i="2"/>
  <c r="I3693" i="2"/>
  <c r="H3693" i="2"/>
  <c r="G3693" i="2"/>
  <c r="F3693" i="2"/>
  <c r="E3693" i="2"/>
  <c r="D3693" i="2"/>
  <c r="C3693" i="2"/>
  <c r="B3693" i="2"/>
  <c r="A3693" i="2"/>
  <c r="U3692" i="2"/>
  <c r="N3692" i="2"/>
  <c r="M3692" i="2"/>
  <c r="J3692" i="2"/>
  <c r="I3692" i="2"/>
  <c r="H3692" i="2"/>
  <c r="G3692" i="2"/>
  <c r="F3692" i="2"/>
  <c r="E3692" i="2"/>
  <c r="D3692" i="2"/>
  <c r="C3692" i="2"/>
  <c r="B3692" i="2"/>
  <c r="A3692" i="2"/>
  <c r="U3691" i="2"/>
  <c r="N3691" i="2"/>
  <c r="M3691" i="2"/>
  <c r="J3691" i="2"/>
  <c r="I3691" i="2"/>
  <c r="H3691" i="2"/>
  <c r="G3691" i="2"/>
  <c r="F3691" i="2"/>
  <c r="E3691" i="2"/>
  <c r="D3691" i="2"/>
  <c r="C3691" i="2"/>
  <c r="B3691" i="2"/>
  <c r="A3691" i="2"/>
  <c r="U3690" i="2"/>
  <c r="N3690" i="2"/>
  <c r="M3690" i="2"/>
  <c r="J3690" i="2"/>
  <c r="I3690" i="2"/>
  <c r="H3690" i="2"/>
  <c r="G3690" i="2"/>
  <c r="F3690" i="2"/>
  <c r="E3690" i="2"/>
  <c r="D3690" i="2"/>
  <c r="C3690" i="2"/>
  <c r="B3690" i="2"/>
  <c r="A3690" i="2"/>
  <c r="U3689" i="2"/>
  <c r="N3689" i="2"/>
  <c r="M3689" i="2"/>
  <c r="J3689" i="2"/>
  <c r="I3689" i="2"/>
  <c r="H3689" i="2"/>
  <c r="G3689" i="2"/>
  <c r="F3689" i="2"/>
  <c r="E3689" i="2"/>
  <c r="D3689" i="2"/>
  <c r="C3689" i="2"/>
  <c r="B3689" i="2"/>
  <c r="A3689" i="2"/>
  <c r="U3688" i="2"/>
  <c r="N3688" i="2"/>
  <c r="M3688" i="2"/>
  <c r="J3688" i="2"/>
  <c r="I3688" i="2"/>
  <c r="H3688" i="2"/>
  <c r="G3688" i="2"/>
  <c r="F3688" i="2"/>
  <c r="E3688" i="2"/>
  <c r="D3688" i="2"/>
  <c r="C3688" i="2"/>
  <c r="B3688" i="2"/>
  <c r="A3688" i="2"/>
  <c r="U3687" i="2"/>
  <c r="N3687" i="2"/>
  <c r="M3687" i="2"/>
  <c r="J3687" i="2"/>
  <c r="I3687" i="2"/>
  <c r="H3687" i="2"/>
  <c r="G3687" i="2"/>
  <c r="F3687" i="2"/>
  <c r="E3687" i="2"/>
  <c r="D3687" i="2"/>
  <c r="C3687" i="2"/>
  <c r="B3687" i="2"/>
  <c r="A3687" i="2"/>
  <c r="U3686" i="2"/>
  <c r="N3686" i="2"/>
  <c r="M3686" i="2"/>
  <c r="J3686" i="2"/>
  <c r="I3686" i="2"/>
  <c r="H3686" i="2"/>
  <c r="G3686" i="2"/>
  <c r="F3686" i="2"/>
  <c r="E3686" i="2"/>
  <c r="D3686" i="2"/>
  <c r="C3686" i="2"/>
  <c r="B3686" i="2"/>
  <c r="A3686" i="2"/>
  <c r="U3685" i="2"/>
  <c r="N3685" i="2"/>
  <c r="M3685" i="2"/>
  <c r="J3685" i="2"/>
  <c r="I3685" i="2"/>
  <c r="H3685" i="2"/>
  <c r="G3685" i="2"/>
  <c r="F3685" i="2"/>
  <c r="E3685" i="2"/>
  <c r="D3685" i="2"/>
  <c r="C3685" i="2"/>
  <c r="B3685" i="2"/>
  <c r="A3685" i="2"/>
  <c r="U3684" i="2"/>
  <c r="N3684" i="2"/>
  <c r="M3684" i="2"/>
  <c r="J3684" i="2"/>
  <c r="I3684" i="2"/>
  <c r="H3684" i="2"/>
  <c r="G3684" i="2"/>
  <c r="F3684" i="2"/>
  <c r="E3684" i="2"/>
  <c r="D3684" i="2"/>
  <c r="C3684" i="2"/>
  <c r="B3684" i="2"/>
  <c r="A3684" i="2"/>
  <c r="Q3683" i="2"/>
  <c r="U3683" i="2" s="1"/>
  <c r="N3683" i="2"/>
  <c r="M3683" i="2"/>
  <c r="J3683" i="2"/>
  <c r="I3683" i="2"/>
  <c r="H3683" i="2"/>
  <c r="G3683" i="2"/>
  <c r="F3683" i="2"/>
  <c r="E3683" i="2"/>
  <c r="D3683" i="2"/>
  <c r="C3683" i="2"/>
  <c r="B3683" i="2"/>
  <c r="A3683" i="2"/>
  <c r="U3682" i="2"/>
  <c r="N3682" i="2"/>
  <c r="M3682" i="2"/>
  <c r="J3682" i="2"/>
  <c r="I3682" i="2"/>
  <c r="H3682" i="2"/>
  <c r="G3682" i="2"/>
  <c r="F3682" i="2"/>
  <c r="E3682" i="2"/>
  <c r="D3682" i="2"/>
  <c r="C3682" i="2"/>
  <c r="B3682" i="2"/>
  <c r="A3682" i="2"/>
  <c r="U3681" i="2"/>
  <c r="N3681" i="2"/>
  <c r="M3681" i="2"/>
  <c r="J3681" i="2"/>
  <c r="I3681" i="2"/>
  <c r="H3681" i="2"/>
  <c r="G3681" i="2"/>
  <c r="F3681" i="2"/>
  <c r="E3681" i="2"/>
  <c r="D3681" i="2"/>
  <c r="C3681" i="2"/>
  <c r="B3681" i="2"/>
  <c r="A3681" i="2"/>
  <c r="U3680" i="2"/>
  <c r="N3680" i="2"/>
  <c r="M3680" i="2"/>
  <c r="J3680" i="2"/>
  <c r="I3680" i="2"/>
  <c r="H3680" i="2"/>
  <c r="G3680" i="2"/>
  <c r="F3680" i="2"/>
  <c r="E3680" i="2"/>
  <c r="D3680" i="2"/>
  <c r="C3680" i="2"/>
  <c r="B3680" i="2"/>
  <c r="A3680" i="2"/>
  <c r="U3679" i="2"/>
  <c r="N3679" i="2"/>
  <c r="M3679" i="2"/>
  <c r="J3679" i="2"/>
  <c r="I3679" i="2"/>
  <c r="H3679" i="2"/>
  <c r="G3679" i="2"/>
  <c r="F3679" i="2"/>
  <c r="E3679" i="2"/>
  <c r="D3679" i="2"/>
  <c r="C3679" i="2"/>
  <c r="B3679" i="2"/>
  <c r="A3679" i="2"/>
  <c r="U3678" i="2"/>
  <c r="N3678" i="2"/>
  <c r="M3678" i="2"/>
  <c r="J3678" i="2"/>
  <c r="I3678" i="2"/>
  <c r="H3678" i="2"/>
  <c r="G3678" i="2"/>
  <c r="F3678" i="2"/>
  <c r="E3678" i="2"/>
  <c r="D3678" i="2"/>
  <c r="C3678" i="2"/>
  <c r="B3678" i="2"/>
  <c r="A3678" i="2"/>
  <c r="U3677" i="2"/>
  <c r="N3677" i="2"/>
  <c r="M3677" i="2"/>
  <c r="J3677" i="2"/>
  <c r="I3677" i="2"/>
  <c r="H3677" i="2"/>
  <c r="G3677" i="2"/>
  <c r="F3677" i="2"/>
  <c r="E3677" i="2"/>
  <c r="D3677" i="2"/>
  <c r="C3677" i="2"/>
  <c r="B3677" i="2"/>
  <c r="A3677" i="2"/>
  <c r="U3676" i="2"/>
  <c r="N3676" i="2"/>
  <c r="M3676" i="2"/>
  <c r="J3676" i="2"/>
  <c r="I3676" i="2"/>
  <c r="H3676" i="2"/>
  <c r="G3676" i="2"/>
  <c r="F3676" i="2"/>
  <c r="E3676" i="2"/>
  <c r="D3676" i="2"/>
  <c r="C3676" i="2"/>
  <c r="B3676" i="2"/>
  <c r="A3676" i="2"/>
  <c r="U3675" i="2"/>
  <c r="N3675" i="2"/>
  <c r="M3675" i="2"/>
  <c r="J3675" i="2"/>
  <c r="I3675" i="2"/>
  <c r="H3675" i="2"/>
  <c r="G3675" i="2"/>
  <c r="F3675" i="2"/>
  <c r="E3675" i="2"/>
  <c r="D3675" i="2"/>
  <c r="C3675" i="2"/>
  <c r="B3675" i="2"/>
  <c r="A3675" i="2"/>
  <c r="U3674" i="2"/>
  <c r="N3674" i="2"/>
  <c r="M3674" i="2"/>
  <c r="J3674" i="2"/>
  <c r="I3674" i="2"/>
  <c r="H3674" i="2"/>
  <c r="G3674" i="2"/>
  <c r="F3674" i="2"/>
  <c r="E3674" i="2"/>
  <c r="D3674" i="2"/>
  <c r="C3674" i="2"/>
  <c r="B3674" i="2"/>
  <c r="A3674" i="2"/>
  <c r="U3673" i="2"/>
  <c r="N3673" i="2"/>
  <c r="M3673" i="2"/>
  <c r="J3673" i="2"/>
  <c r="I3673" i="2"/>
  <c r="H3673" i="2"/>
  <c r="G3673" i="2"/>
  <c r="F3673" i="2"/>
  <c r="E3673" i="2"/>
  <c r="D3673" i="2"/>
  <c r="C3673" i="2"/>
  <c r="B3673" i="2"/>
  <c r="A3673" i="2"/>
  <c r="U3672" i="2"/>
  <c r="N3672" i="2"/>
  <c r="M3672" i="2"/>
  <c r="J3672" i="2"/>
  <c r="I3672" i="2"/>
  <c r="H3672" i="2"/>
  <c r="G3672" i="2"/>
  <c r="F3672" i="2"/>
  <c r="E3672" i="2"/>
  <c r="D3672" i="2"/>
  <c r="C3672" i="2"/>
  <c r="B3672" i="2"/>
  <c r="A3672" i="2"/>
  <c r="U3671" i="2"/>
  <c r="N3671" i="2"/>
  <c r="M3671" i="2"/>
  <c r="J3671" i="2"/>
  <c r="I3671" i="2"/>
  <c r="H3671" i="2"/>
  <c r="G3671" i="2"/>
  <c r="F3671" i="2"/>
  <c r="E3671" i="2"/>
  <c r="D3671" i="2"/>
  <c r="C3671" i="2"/>
  <c r="B3671" i="2"/>
  <c r="A3671" i="2"/>
  <c r="U3670" i="2"/>
  <c r="N3670" i="2"/>
  <c r="M3670" i="2"/>
  <c r="J3670" i="2"/>
  <c r="I3670" i="2"/>
  <c r="H3670" i="2"/>
  <c r="G3670" i="2"/>
  <c r="F3670" i="2"/>
  <c r="E3670" i="2"/>
  <c r="D3670" i="2"/>
  <c r="C3670" i="2"/>
  <c r="B3670" i="2"/>
  <c r="A3670" i="2"/>
  <c r="U3669" i="2"/>
  <c r="N3669" i="2"/>
  <c r="M3669" i="2"/>
  <c r="J3669" i="2"/>
  <c r="I3669" i="2"/>
  <c r="H3669" i="2"/>
  <c r="G3669" i="2"/>
  <c r="F3669" i="2"/>
  <c r="E3669" i="2"/>
  <c r="D3669" i="2"/>
  <c r="C3669" i="2"/>
  <c r="B3669" i="2"/>
  <c r="A3669" i="2"/>
  <c r="U3668" i="2"/>
  <c r="N3668" i="2"/>
  <c r="M3668" i="2"/>
  <c r="J3668" i="2"/>
  <c r="I3668" i="2"/>
  <c r="H3668" i="2"/>
  <c r="G3668" i="2"/>
  <c r="F3668" i="2"/>
  <c r="E3668" i="2"/>
  <c r="D3668" i="2"/>
  <c r="C3668" i="2"/>
  <c r="B3668" i="2"/>
  <c r="A3668" i="2"/>
  <c r="U3667" i="2"/>
  <c r="N3667" i="2"/>
  <c r="M3667" i="2"/>
  <c r="J3667" i="2"/>
  <c r="I3667" i="2"/>
  <c r="H3667" i="2"/>
  <c r="G3667" i="2"/>
  <c r="F3667" i="2"/>
  <c r="E3667" i="2"/>
  <c r="D3667" i="2"/>
  <c r="C3667" i="2"/>
  <c r="B3667" i="2"/>
  <c r="A3667" i="2"/>
  <c r="U3666" i="2"/>
  <c r="N3666" i="2"/>
  <c r="M3666" i="2"/>
  <c r="J3666" i="2"/>
  <c r="I3666" i="2"/>
  <c r="H3666" i="2"/>
  <c r="G3666" i="2"/>
  <c r="F3666" i="2"/>
  <c r="E3666" i="2"/>
  <c r="D3666" i="2"/>
  <c r="C3666" i="2"/>
  <c r="B3666" i="2"/>
  <c r="A3666" i="2"/>
  <c r="U3665" i="2"/>
  <c r="N3665" i="2"/>
  <c r="M3665" i="2"/>
  <c r="J3665" i="2"/>
  <c r="I3665" i="2"/>
  <c r="H3665" i="2"/>
  <c r="G3665" i="2"/>
  <c r="F3665" i="2"/>
  <c r="E3665" i="2"/>
  <c r="D3665" i="2"/>
  <c r="C3665" i="2"/>
  <c r="B3665" i="2"/>
  <c r="A3665" i="2"/>
  <c r="U3664" i="2"/>
  <c r="N3664" i="2"/>
  <c r="M3664" i="2"/>
  <c r="J3664" i="2"/>
  <c r="I3664" i="2"/>
  <c r="H3664" i="2"/>
  <c r="G3664" i="2"/>
  <c r="F3664" i="2"/>
  <c r="E3664" i="2"/>
  <c r="D3664" i="2"/>
  <c r="C3664" i="2"/>
  <c r="B3664" i="2"/>
  <c r="A3664" i="2"/>
  <c r="U3663" i="2"/>
  <c r="N3663" i="2"/>
  <c r="M3663" i="2"/>
  <c r="J3663" i="2"/>
  <c r="I3663" i="2"/>
  <c r="H3663" i="2"/>
  <c r="G3663" i="2"/>
  <c r="F3663" i="2"/>
  <c r="E3663" i="2"/>
  <c r="D3663" i="2"/>
  <c r="C3663" i="2"/>
  <c r="B3663" i="2"/>
  <c r="A3663" i="2"/>
  <c r="U3662" i="2"/>
  <c r="N3662" i="2"/>
  <c r="M3662" i="2"/>
  <c r="J3662" i="2"/>
  <c r="I3662" i="2"/>
  <c r="H3662" i="2"/>
  <c r="G3662" i="2"/>
  <c r="F3662" i="2"/>
  <c r="E3662" i="2"/>
  <c r="D3662" i="2"/>
  <c r="C3662" i="2"/>
  <c r="B3662" i="2"/>
  <c r="A3662" i="2"/>
  <c r="U3661" i="2"/>
  <c r="N3661" i="2"/>
  <c r="M3661" i="2"/>
  <c r="J3661" i="2"/>
  <c r="I3661" i="2"/>
  <c r="H3661" i="2"/>
  <c r="G3661" i="2"/>
  <c r="F3661" i="2"/>
  <c r="E3661" i="2"/>
  <c r="D3661" i="2"/>
  <c r="C3661" i="2"/>
  <c r="B3661" i="2"/>
  <c r="A3661" i="2"/>
  <c r="U3660" i="2"/>
  <c r="N3660" i="2"/>
  <c r="M3660" i="2"/>
  <c r="J3660" i="2"/>
  <c r="I3660" i="2"/>
  <c r="H3660" i="2"/>
  <c r="G3660" i="2"/>
  <c r="F3660" i="2"/>
  <c r="E3660" i="2"/>
  <c r="D3660" i="2"/>
  <c r="C3660" i="2"/>
  <c r="B3660" i="2"/>
  <c r="A3660" i="2"/>
  <c r="U3659" i="2"/>
  <c r="N3659" i="2"/>
  <c r="M3659" i="2"/>
  <c r="J3659" i="2"/>
  <c r="I3659" i="2"/>
  <c r="H3659" i="2"/>
  <c r="G3659" i="2"/>
  <c r="F3659" i="2"/>
  <c r="E3659" i="2"/>
  <c r="D3659" i="2"/>
  <c r="C3659" i="2"/>
  <c r="B3659" i="2"/>
  <c r="A3659" i="2"/>
  <c r="Q3658" i="2"/>
  <c r="U3658" i="2" s="1"/>
  <c r="N3658" i="2"/>
  <c r="M3658" i="2"/>
  <c r="J3658" i="2"/>
  <c r="I3658" i="2"/>
  <c r="H3658" i="2"/>
  <c r="G3658" i="2"/>
  <c r="F3658" i="2"/>
  <c r="E3658" i="2"/>
  <c r="D3658" i="2"/>
  <c r="C3658" i="2"/>
  <c r="B3658" i="2"/>
  <c r="A3658" i="2"/>
  <c r="U3657" i="2"/>
  <c r="N3657" i="2"/>
  <c r="M3657" i="2"/>
  <c r="J3657" i="2"/>
  <c r="I3657" i="2"/>
  <c r="H3657" i="2"/>
  <c r="G3657" i="2"/>
  <c r="F3657" i="2"/>
  <c r="E3657" i="2"/>
  <c r="D3657" i="2"/>
  <c r="C3657" i="2"/>
  <c r="B3657" i="2"/>
  <c r="A3657" i="2"/>
  <c r="U3656" i="2"/>
  <c r="N3656" i="2"/>
  <c r="M3656" i="2"/>
  <c r="J3656" i="2"/>
  <c r="I3656" i="2"/>
  <c r="H3656" i="2"/>
  <c r="G3656" i="2"/>
  <c r="F3656" i="2"/>
  <c r="E3656" i="2"/>
  <c r="D3656" i="2"/>
  <c r="C3656" i="2"/>
  <c r="B3656" i="2"/>
  <c r="A3656" i="2"/>
  <c r="U3655" i="2"/>
  <c r="N3655" i="2"/>
  <c r="M3655" i="2"/>
  <c r="J3655" i="2"/>
  <c r="I3655" i="2"/>
  <c r="H3655" i="2"/>
  <c r="G3655" i="2"/>
  <c r="F3655" i="2"/>
  <c r="E3655" i="2"/>
  <c r="D3655" i="2"/>
  <c r="C3655" i="2"/>
  <c r="B3655" i="2"/>
  <c r="A3655" i="2"/>
  <c r="U3654" i="2"/>
  <c r="N3654" i="2"/>
  <c r="M3654" i="2"/>
  <c r="J3654" i="2"/>
  <c r="I3654" i="2"/>
  <c r="H3654" i="2"/>
  <c r="G3654" i="2"/>
  <c r="F3654" i="2"/>
  <c r="E3654" i="2"/>
  <c r="D3654" i="2"/>
  <c r="C3654" i="2"/>
  <c r="B3654" i="2"/>
  <c r="A3654" i="2"/>
  <c r="U3653" i="2"/>
  <c r="N3653" i="2"/>
  <c r="M3653" i="2"/>
  <c r="J3653" i="2"/>
  <c r="I3653" i="2"/>
  <c r="H3653" i="2"/>
  <c r="G3653" i="2"/>
  <c r="F3653" i="2"/>
  <c r="E3653" i="2"/>
  <c r="D3653" i="2"/>
  <c r="C3653" i="2"/>
  <c r="B3653" i="2"/>
  <c r="A3653" i="2"/>
  <c r="U3652" i="2"/>
  <c r="N3652" i="2"/>
  <c r="M3652" i="2"/>
  <c r="J3652" i="2"/>
  <c r="I3652" i="2"/>
  <c r="H3652" i="2"/>
  <c r="G3652" i="2"/>
  <c r="F3652" i="2"/>
  <c r="E3652" i="2"/>
  <c r="D3652" i="2"/>
  <c r="C3652" i="2"/>
  <c r="B3652" i="2"/>
  <c r="A3652" i="2"/>
  <c r="U3651" i="2"/>
  <c r="N3651" i="2"/>
  <c r="M3651" i="2"/>
  <c r="J3651" i="2"/>
  <c r="I3651" i="2"/>
  <c r="H3651" i="2"/>
  <c r="G3651" i="2"/>
  <c r="F3651" i="2"/>
  <c r="E3651" i="2"/>
  <c r="D3651" i="2"/>
  <c r="C3651" i="2"/>
  <c r="B3651" i="2"/>
  <c r="A3651" i="2"/>
  <c r="U3650" i="2"/>
  <c r="N3650" i="2"/>
  <c r="M3650" i="2"/>
  <c r="J3650" i="2"/>
  <c r="I3650" i="2"/>
  <c r="H3650" i="2"/>
  <c r="G3650" i="2"/>
  <c r="F3650" i="2"/>
  <c r="E3650" i="2"/>
  <c r="D3650" i="2"/>
  <c r="C3650" i="2"/>
  <c r="B3650" i="2"/>
  <c r="A3650" i="2"/>
  <c r="U3649" i="2"/>
  <c r="N3649" i="2"/>
  <c r="M3649" i="2"/>
  <c r="J3649" i="2"/>
  <c r="I3649" i="2"/>
  <c r="H3649" i="2"/>
  <c r="G3649" i="2"/>
  <c r="F3649" i="2"/>
  <c r="E3649" i="2"/>
  <c r="D3649" i="2"/>
  <c r="C3649" i="2"/>
  <c r="B3649" i="2"/>
  <c r="A3649" i="2"/>
  <c r="U3648" i="2"/>
  <c r="N3648" i="2"/>
  <c r="M3648" i="2"/>
  <c r="J3648" i="2"/>
  <c r="I3648" i="2"/>
  <c r="H3648" i="2"/>
  <c r="G3648" i="2"/>
  <c r="F3648" i="2"/>
  <c r="E3648" i="2"/>
  <c r="D3648" i="2"/>
  <c r="C3648" i="2"/>
  <c r="B3648" i="2"/>
  <c r="A3648" i="2"/>
  <c r="U3647" i="2"/>
  <c r="N3647" i="2"/>
  <c r="M3647" i="2"/>
  <c r="J3647" i="2"/>
  <c r="I3647" i="2"/>
  <c r="H3647" i="2"/>
  <c r="G3647" i="2"/>
  <c r="F3647" i="2"/>
  <c r="E3647" i="2"/>
  <c r="D3647" i="2"/>
  <c r="C3647" i="2"/>
  <c r="B3647" i="2"/>
  <c r="A3647" i="2"/>
  <c r="Q3646" i="2"/>
  <c r="U3646" i="2" s="1"/>
  <c r="N3646" i="2"/>
  <c r="M3646" i="2"/>
  <c r="J3646" i="2"/>
  <c r="I3646" i="2"/>
  <c r="H3646" i="2"/>
  <c r="G3646" i="2"/>
  <c r="F3646" i="2"/>
  <c r="E3646" i="2"/>
  <c r="D3646" i="2"/>
  <c r="C3646" i="2"/>
  <c r="B3646" i="2"/>
  <c r="A3646" i="2"/>
  <c r="U3645" i="2"/>
  <c r="N3645" i="2"/>
  <c r="M3645" i="2"/>
  <c r="J3645" i="2"/>
  <c r="I3645" i="2"/>
  <c r="H3645" i="2"/>
  <c r="G3645" i="2"/>
  <c r="F3645" i="2"/>
  <c r="E3645" i="2"/>
  <c r="D3645" i="2"/>
  <c r="C3645" i="2"/>
  <c r="B3645" i="2"/>
  <c r="A3645" i="2"/>
  <c r="U3644" i="2"/>
  <c r="N3644" i="2"/>
  <c r="M3644" i="2"/>
  <c r="J3644" i="2"/>
  <c r="I3644" i="2"/>
  <c r="H3644" i="2"/>
  <c r="G3644" i="2"/>
  <c r="F3644" i="2"/>
  <c r="E3644" i="2"/>
  <c r="D3644" i="2"/>
  <c r="C3644" i="2"/>
  <c r="B3644" i="2"/>
  <c r="A3644" i="2"/>
  <c r="U3643" i="2"/>
  <c r="N3643" i="2"/>
  <c r="M3643" i="2"/>
  <c r="J3643" i="2"/>
  <c r="I3643" i="2"/>
  <c r="H3643" i="2"/>
  <c r="G3643" i="2"/>
  <c r="F3643" i="2"/>
  <c r="E3643" i="2"/>
  <c r="D3643" i="2"/>
  <c r="C3643" i="2"/>
  <c r="B3643" i="2"/>
  <c r="A3643" i="2"/>
  <c r="U3642" i="2"/>
  <c r="N3642" i="2"/>
  <c r="M3642" i="2"/>
  <c r="J3642" i="2"/>
  <c r="I3642" i="2"/>
  <c r="H3642" i="2"/>
  <c r="G3642" i="2"/>
  <c r="F3642" i="2"/>
  <c r="E3642" i="2"/>
  <c r="D3642" i="2"/>
  <c r="C3642" i="2"/>
  <c r="B3642" i="2"/>
  <c r="A3642" i="2"/>
  <c r="U3641" i="2"/>
  <c r="N3641" i="2"/>
  <c r="M3641" i="2"/>
  <c r="J3641" i="2"/>
  <c r="I3641" i="2"/>
  <c r="H3641" i="2"/>
  <c r="G3641" i="2"/>
  <c r="F3641" i="2"/>
  <c r="E3641" i="2"/>
  <c r="D3641" i="2"/>
  <c r="C3641" i="2"/>
  <c r="B3641" i="2"/>
  <c r="A3641" i="2"/>
  <c r="U3640" i="2"/>
  <c r="N3640" i="2"/>
  <c r="M3640" i="2"/>
  <c r="J3640" i="2"/>
  <c r="I3640" i="2"/>
  <c r="H3640" i="2"/>
  <c r="G3640" i="2"/>
  <c r="F3640" i="2"/>
  <c r="E3640" i="2"/>
  <c r="D3640" i="2"/>
  <c r="C3640" i="2"/>
  <c r="B3640" i="2"/>
  <c r="A3640" i="2"/>
  <c r="U3639" i="2"/>
  <c r="N3639" i="2"/>
  <c r="M3639" i="2"/>
  <c r="J3639" i="2"/>
  <c r="I3639" i="2"/>
  <c r="H3639" i="2"/>
  <c r="G3639" i="2"/>
  <c r="F3639" i="2"/>
  <c r="E3639" i="2"/>
  <c r="D3639" i="2"/>
  <c r="C3639" i="2"/>
  <c r="B3639" i="2"/>
  <c r="A3639" i="2"/>
  <c r="U3638" i="2"/>
  <c r="N3638" i="2"/>
  <c r="M3638" i="2"/>
  <c r="J3638" i="2"/>
  <c r="I3638" i="2"/>
  <c r="H3638" i="2"/>
  <c r="G3638" i="2"/>
  <c r="F3638" i="2"/>
  <c r="E3638" i="2"/>
  <c r="D3638" i="2"/>
  <c r="C3638" i="2"/>
  <c r="B3638" i="2"/>
  <c r="A3638" i="2"/>
  <c r="U3637" i="2"/>
  <c r="N3637" i="2"/>
  <c r="M3637" i="2"/>
  <c r="J3637" i="2"/>
  <c r="I3637" i="2"/>
  <c r="H3637" i="2"/>
  <c r="G3637" i="2"/>
  <c r="F3637" i="2"/>
  <c r="E3637" i="2"/>
  <c r="D3637" i="2"/>
  <c r="C3637" i="2"/>
  <c r="B3637" i="2"/>
  <c r="A3637" i="2"/>
  <c r="U3636" i="2"/>
  <c r="N3636" i="2"/>
  <c r="M3636" i="2"/>
  <c r="J3636" i="2"/>
  <c r="I3636" i="2"/>
  <c r="H3636" i="2"/>
  <c r="G3636" i="2"/>
  <c r="F3636" i="2"/>
  <c r="E3636" i="2"/>
  <c r="D3636" i="2"/>
  <c r="C3636" i="2"/>
  <c r="B3636" i="2"/>
  <c r="A3636" i="2"/>
  <c r="Q3635" i="2"/>
  <c r="U3635" i="2" s="1"/>
  <c r="N3635" i="2"/>
  <c r="M3635" i="2"/>
  <c r="J3635" i="2"/>
  <c r="I3635" i="2"/>
  <c r="H3635" i="2"/>
  <c r="G3635" i="2"/>
  <c r="F3635" i="2"/>
  <c r="E3635" i="2"/>
  <c r="D3635" i="2"/>
  <c r="C3635" i="2"/>
  <c r="B3635" i="2"/>
  <c r="A3635" i="2"/>
  <c r="U3634" i="2"/>
  <c r="N3634" i="2"/>
  <c r="M3634" i="2"/>
  <c r="J3634" i="2"/>
  <c r="I3634" i="2"/>
  <c r="H3634" i="2"/>
  <c r="G3634" i="2"/>
  <c r="F3634" i="2"/>
  <c r="E3634" i="2"/>
  <c r="D3634" i="2"/>
  <c r="C3634" i="2"/>
  <c r="B3634" i="2"/>
  <c r="A3634" i="2"/>
  <c r="U3633" i="2"/>
  <c r="N3633" i="2"/>
  <c r="M3633" i="2"/>
  <c r="J3633" i="2"/>
  <c r="I3633" i="2"/>
  <c r="H3633" i="2"/>
  <c r="G3633" i="2"/>
  <c r="F3633" i="2"/>
  <c r="E3633" i="2"/>
  <c r="D3633" i="2"/>
  <c r="C3633" i="2"/>
  <c r="B3633" i="2"/>
  <c r="A3633" i="2"/>
  <c r="U3632" i="2"/>
  <c r="N3632" i="2"/>
  <c r="M3632" i="2"/>
  <c r="J3632" i="2"/>
  <c r="I3632" i="2"/>
  <c r="H3632" i="2"/>
  <c r="G3632" i="2"/>
  <c r="F3632" i="2"/>
  <c r="E3632" i="2"/>
  <c r="D3632" i="2"/>
  <c r="C3632" i="2"/>
  <c r="B3632" i="2"/>
  <c r="A3632" i="2"/>
  <c r="U3631" i="2"/>
  <c r="N3631" i="2"/>
  <c r="M3631" i="2"/>
  <c r="J3631" i="2"/>
  <c r="I3631" i="2"/>
  <c r="H3631" i="2"/>
  <c r="G3631" i="2"/>
  <c r="F3631" i="2"/>
  <c r="E3631" i="2"/>
  <c r="D3631" i="2"/>
  <c r="C3631" i="2"/>
  <c r="B3631" i="2"/>
  <c r="A3631" i="2"/>
  <c r="U3630" i="2"/>
  <c r="N3630" i="2"/>
  <c r="M3630" i="2"/>
  <c r="J3630" i="2"/>
  <c r="I3630" i="2"/>
  <c r="H3630" i="2"/>
  <c r="G3630" i="2"/>
  <c r="F3630" i="2"/>
  <c r="E3630" i="2"/>
  <c r="D3630" i="2"/>
  <c r="C3630" i="2"/>
  <c r="B3630" i="2"/>
  <c r="A3630" i="2"/>
  <c r="U3629" i="2"/>
  <c r="N3629" i="2"/>
  <c r="M3629" i="2"/>
  <c r="J3629" i="2"/>
  <c r="I3629" i="2"/>
  <c r="H3629" i="2"/>
  <c r="G3629" i="2"/>
  <c r="F3629" i="2"/>
  <c r="E3629" i="2"/>
  <c r="D3629" i="2"/>
  <c r="C3629" i="2"/>
  <c r="B3629" i="2"/>
  <c r="A3629" i="2"/>
  <c r="U3628" i="2"/>
  <c r="N3628" i="2"/>
  <c r="M3628" i="2"/>
  <c r="J3628" i="2"/>
  <c r="I3628" i="2"/>
  <c r="H3628" i="2"/>
  <c r="G3628" i="2"/>
  <c r="F3628" i="2"/>
  <c r="E3628" i="2"/>
  <c r="D3628" i="2"/>
  <c r="C3628" i="2"/>
  <c r="B3628" i="2"/>
  <c r="A3628" i="2"/>
  <c r="U3627" i="2"/>
  <c r="N3627" i="2"/>
  <c r="M3627" i="2"/>
  <c r="J3627" i="2"/>
  <c r="I3627" i="2"/>
  <c r="H3627" i="2"/>
  <c r="G3627" i="2"/>
  <c r="F3627" i="2"/>
  <c r="E3627" i="2"/>
  <c r="D3627" i="2"/>
  <c r="C3627" i="2"/>
  <c r="B3627" i="2"/>
  <c r="A3627" i="2"/>
  <c r="U3626" i="2"/>
  <c r="N3626" i="2"/>
  <c r="M3626" i="2"/>
  <c r="J3626" i="2"/>
  <c r="I3626" i="2"/>
  <c r="H3626" i="2"/>
  <c r="G3626" i="2"/>
  <c r="F3626" i="2"/>
  <c r="E3626" i="2"/>
  <c r="D3626" i="2"/>
  <c r="C3626" i="2"/>
  <c r="B3626" i="2"/>
  <c r="A3626" i="2"/>
  <c r="U3625" i="2"/>
  <c r="N3625" i="2"/>
  <c r="M3625" i="2"/>
  <c r="J3625" i="2"/>
  <c r="I3625" i="2"/>
  <c r="H3625" i="2"/>
  <c r="G3625" i="2"/>
  <c r="F3625" i="2"/>
  <c r="E3625" i="2"/>
  <c r="D3625" i="2"/>
  <c r="C3625" i="2"/>
  <c r="B3625" i="2"/>
  <c r="A3625" i="2"/>
  <c r="U3624" i="2"/>
  <c r="N3624" i="2"/>
  <c r="M3624" i="2"/>
  <c r="J3624" i="2"/>
  <c r="I3624" i="2"/>
  <c r="H3624" i="2"/>
  <c r="G3624" i="2"/>
  <c r="F3624" i="2"/>
  <c r="E3624" i="2"/>
  <c r="D3624" i="2"/>
  <c r="C3624" i="2"/>
  <c r="B3624" i="2"/>
  <c r="A3624" i="2"/>
  <c r="U3623" i="2"/>
  <c r="N3623" i="2"/>
  <c r="M3623" i="2"/>
  <c r="J3623" i="2"/>
  <c r="I3623" i="2"/>
  <c r="H3623" i="2"/>
  <c r="G3623" i="2"/>
  <c r="F3623" i="2"/>
  <c r="E3623" i="2"/>
  <c r="D3623" i="2"/>
  <c r="C3623" i="2"/>
  <c r="B3623" i="2"/>
  <c r="A3623" i="2"/>
  <c r="U3622" i="2"/>
  <c r="N3622" i="2"/>
  <c r="M3622" i="2"/>
  <c r="J3622" i="2"/>
  <c r="I3622" i="2"/>
  <c r="H3622" i="2"/>
  <c r="G3622" i="2"/>
  <c r="F3622" i="2"/>
  <c r="E3622" i="2"/>
  <c r="D3622" i="2"/>
  <c r="C3622" i="2"/>
  <c r="B3622" i="2"/>
  <c r="A3622" i="2"/>
  <c r="U3621" i="2"/>
  <c r="N3621" i="2"/>
  <c r="M3621" i="2"/>
  <c r="J3621" i="2"/>
  <c r="I3621" i="2"/>
  <c r="H3621" i="2"/>
  <c r="G3621" i="2"/>
  <c r="F3621" i="2"/>
  <c r="E3621" i="2"/>
  <c r="D3621" i="2"/>
  <c r="C3621" i="2"/>
  <c r="B3621" i="2"/>
  <c r="A3621" i="2"/>
  <c r="U3620" i="2"/>
  <c r="N3620" i="2"/>
  <c r="M3620" i="2"/>
  <c r="J3620" i="2"/>
  <c r="I3620" i="2"/>
  <c r="H3620" i="2"/>
  <c r="G3620" i="2"/>
  <c r="F3620" i="2"/>
  <c r="E3620" i="2"/>
  <c r="D3620" i="2"/>
  <c r="C3620" i="2"/>
  <c r="B3620" i="2"/>
  <c r="A3620" i="2"/>
  <c r="U3619" i="2"/>
  <c r="N3619" i="2"/>
  <c r="M3619" i="2"/>
  <c r="J3619" i="2"/>
  <c r="I3619" i="2"/>
  <c r="H3619" i="2"/>
  <c r="G3619" i="2"/>
  <c r="F3619" i="2"/>
  <c r="E3619" i="2"/>
  <c r="D3619" i="2"/>
  <c r="C3619" i="2"/>
  <c r="B3619" i="2"/>
  <c r="A3619" i="2"/>
  <c r="U3618" i="2"/>
  <c r="N3618" i="2"/>
  <c r="M3618" i="2"/>
  <c r="J3618" i="2"/>
  <c r="I3618" i="2"/>
  <c r="H3618" i="2"/>
  <c r="G3618" i="2"/>
  <c r="F3618" i="2"/>
  <c r="E3618" i="2"/>
  <c r="D3618" i="2"/>
  <c r="C3618" i="2"/>
  <c r="B3618" i="2"/>
  <c r="A3618" i="2"/>
  <c r="U3617" i="2"/>
  <c r="N3617" i="2"/>
  <c r="M3617" i="2"/>
  <c r="J3617" i="2"/>
  <c r="I3617" i="2"/>
  <c r="H3617" i="2"/>
  <c r="G3617" i="2"/>
  <c r="F3617" i="2"/>
  <c r="E3617" i="2"/>
  <c r="D3617" i="2"/>
  <c r="C3617" i="2"/>
  <c r="B3617" i="2"/>
  <c r="A3617" i="2"/>
  <c r="U3616" i="2"/>
  <c r="N3616" i="2"/>
  <c r="M3616" i="2"/>
  <c r="J3616" i="2"/>
  <c r="I3616" i="2"/>
  <c r="H3616" i="2"/>
  <c r="G3616" i="2"/>
  <c r="F3616" i="2"/>
  <c r="E3616" i="2"/>
  <c r="D3616" i="2"/>
  <c r="C3616" i="2"/>
  <c r="B3616" i="2"/>
  <c r="A3616" i="2"/>
  <c r="Q3615" i="2"/>
  <c r="U3615" i="2" s="1"/>
  <c r="N3615" i="2"/>
  <c r="M3615" i="2"/>
  <c r="J3615" i="2"/>
  <c r="I3615" i="2"/>
  <c r="H3615" i="2"/>
  <c r="G3615" i="2"/>
  <c r="F3615" i="2"/>
  <c r="E3615" i="2"/>
  <c r="D3615" i="2"/>
  <c r="C3615" i="2"/>
  <c r="B3615" i="2"/>
  <c r="A3615" i="2"/>
  <c r="U3614" i="2"/>
  <c r="N3614" i="2"/>
  <c r="M3614" i="2"/>
  <c r="J3614" i="2"/>
  <c r="I3614" i="2"/>
  <c r="H3614" i="2"/>
  <c r="G3614" i="2"/>
  <c r="F3614" i="2"/>
  <c r="E3614" i="2"/>
  <c r="D3614" i="2"/>
  <c r="C3614" i="2"/>
  <c r="B3614" i="2"/>
  <c r="A3614" i="2"/>
  <c r="Q3613" i="2"/>
  <c r="U3613" i="2" s="1"/>
  <c r="N3613" i="2"/>
  <c r="M3613" i="2"/>
  <c r="J3613" i="2"/>
  <c r="I3613" i="2"/>
  <c r="H3613" i="2"/>
  <c r="G3613" i="2"/>
  <c r="F3613" i="2"/>
  <c r="E3613" i="2"/>
  <c r="D3613" i="2"/>
  <c r="C3613" i="2"/>
  <c r="B3613" i="2"/>
  <c r="A3613" i="2"/>
  <c r="U3612" i="2"/>
  <c r="N3612" i="2"/>
  <c r="M3612" i="2"/>
  <c r="J3612" i="2"/>
  <c r="I3612" i="2"/>
  <c r="H3612" i="2"/>
  <c r="G3612" i="2"/>
  <c r="F3612" i="2"/>
  <c r="E3612" i="2"/>
  <c r="D3612" i="2"/>
  <c r="C3612" i="2"/>
  <c r="B3612" i="2"/>
  <c r="A3612" i="2"/>
  <c r="U3611" i="2"/>
  <c r="N3611" i="2"/>
  <c r="M3611" i="2"/>
  <c r="J3611" i="2"/>
  <c r="I3611" i="2"/>
  <c r="H3611" i="2"/>
  <c r="G3611" i="2"/>
  <c r="F3611" i="2"/>
  <c r="E3611" i="2"/>
  <c r="D3611" i="2"/>
  <c r="C3611" i="2"/>
  <c r="B3611" i="2"/>
  <c r="A3611" i="2"/>
  <c r="U3610" i="2"/>
  <c r="N3610" i="2"/>
  <c r="M3610" i="2"/>
  <c r="J3610" i="2"/>
  <c r="I3610" i="2"/>
  <c r="H3610" i="2"/>
  <c r="G3610" i="2"/>
  <c r="F3610" i="2"/>
  <c r="E3610" i="2"/>
  <c r="D3610" i="2"/>
  <c r="C3610" i="2"/>
  <c r="B3610" i="2"/>
  <c r="A3610" i="2"/>
  <c r="U3609" i="2"/>
  <c r="N3609" i="2"/>
  <c r="M3609" i="2"/>
  <c r="J3609" i="2"/>
  <c r="I3609" i="2"/>
  <c r="H3609" i="2"/>
  <c r="G3609" i="2"/>
  <c r="F3609" i="2"/>
  <c r="E3609" i="2"/>
  <c r="D3609" i="2"/>
  <c r="C3609" i="2"/>
  <c r="B3609" i="2"/>
  <c r="A3609" i="2"/>
  <c r="Q3608" i="2"/>
  <c r="U3608" i="2" s="1"/>
  <c r="N3608" i="2"/>
  <c r="M3608" i="2"/>
  <c r="J3608" i="2"/>
  <c r="I3608" i="2"/>
  <c r="H3608" i="2"/>
  <c r="G3608" i="2"/>
  <c r="F3608" i="2"/>
  <c r="E3608" i="2"/>
  <c r="D3608" i="2"/>
  <c r="C3608" i="2"/>
  <c r="B3608" i="2"/>
  <c r="A3608" i="2"/>
  <c r="Q3607" i="2"/>
  <c r="U3607" i="2" s="1"/>
  <c r="N3607" i="2"/>
  <c r="M3607" i="2"/>
  <c r="J3607" i="2"/>
  <c r="I3607" i="2"/>
  <c r="H3607" i="2"/>
  <c r="G3607" i="2"/>
  <c r="F3607" i="2"/>
  <c r="E3607" i="2"/>
  <c r="D3607" i="2"/>
  <c r="C3607" i="2"/>
  <c r="B3607" i="2"/>
  <c r="A3607" i="2"/>
  <c r="U3606" i="2"/>
  <c r="N3606" i="2"/>
  <c r="M3606" i="2"/>
  <c r="J3606" i="2"/>
  <c r="I3606" i="2"/>
  <c r="H3606" i="2"/>
  <c r="G3606" i="2"/>
  <c r="F3606" i="2"/>
  <c r="E3606" i="2"/>
  <c r="D3606" i="2"/>
  <c r="C3606" i="2"/>
  <c r="B3606" i="2"/>
  <c r="A3606" i="2"/>
  <c r="U3605" i="2"/>
  <c r="N3605" i="2"/>
  <c r="M3605" i="2"/>
  <c r="J3605" i="2"/>
  <c r="I3605" i="2"/>
  <c r="H3605" i="2"/>
  <c r="G3605" i="2"/>
  <c r="F3605" i="2"/>
  <c r="E3605" i="2"/>
  <c r="D3605" i="2"/>
  <c r="C3605" i="2"/>
  <c r="B3605" i="2"/>
  <c r="A3605" i="2"/>
  <c r="U3604" i="2"/>
  <c r="N3604" i="2"/>
  <c r="M3604" i="2"/>
  <c r="J3604" i="2"/>
  <c r="I3604" i="2"/>
  <c r="H3604" i="2"/>
  <c r="G3604" i="2"/>
  <c r="F3604" i="2"/>
  <c r="E3604" i="2"/>
  <c r="D3604" i="2"/>
  <c r="C3604" i="2"/>
  <c r="B3604" i="2"/>
  <c r="A3604" i="2"/>
  <c r="U3603" i="2"/>
  <c r="N3603" i="2"/>
  <c r="M3603" i="2"/>
  <c r="J3603" i="2"/>
  <c r="I3603" i="2"/>
  <c r="H3603" i="2"/>
  <c r="G3603" i="2"/>
  <c r="F3603" i="2"/>
  <c r="E3603" i="2"/>
  <c r="D3603" i="2"/>
  <c r="C3603" i="2"/>
  <c r="B3603" i="2"/>
  <c r="A3603" i="2"/>
  <c r="U3602" i="2"/>
  <c r="N3602" i="2"/>
  <c r="M3602" i="2"/>
  <c r="J3602" i="2"/>
  <c r="I3602" i="2"/>
  <c r="H3602" i="2"/>
  <c r="G3602" i="2"/>
  <c r="F3602" i="2"/>
  <c r="E3602" i="2"/>
  <c r="D3602" i="2"/>
  <c r="C3602" i="2"/>
  <c r="B3602" i="2"/>
  <c r="A3602" i="2"/>
  <c r="U3601" i="2"/>
  <c r="N3601" i="2"/>
  <c r="M3601" i="2"/>
  <c r="J3601" i="2"/>
  <c r="I3601" i="2"/>
  <c r="H3601" i="2"/>
  <c r="G3601" i="2"/>
  <c r="F3601" i="2"/>
  <c r="E3601" i="2"/>
  <c r="D3601" i="2"/>
  <c r="C3601" i="2"/>
  <c r="B3601" i="2"/>
  <c r="A3601" i="2"/>
  <c r="U3600" i="2"/>
  <c r="N3600" i="2"/>
  <c r="M3600" i="2"/>
  <c r="J3600" i="2"/>
  <c r="I3600" i="2"/>
  <c r="H3600" i="2"/>
  <c r="G3600" i="2"/>
  <c r="F3600" i="2"/>
  <c r="E3600" i="2"/>
  <c r="D3600" i="2"/>
  <c r="C3600" i="2"/>
  <c r="B3600" i="2"/>
  <c r="A3600" i="2"/>
  <c r="U3599" i="2"/>
  <c r="N3599" i="2"/>
  <c r="M3599" i="2"/>
  <c r="J3599" i="2"/>
  <c r="I3599" i="2"/>
  <c r="H3599" i="2"/>
  <c r="G3599" i="2"/>
  <c r="F3599" i="2"/>
  <c r="E3599" i="2"/>
  <c r="D3599" i="2"/>
  <c r="C3599" i="2"/>
  <c r="B3599" i="2"/>
  <c r="A3599" i="2"/>
  <c r="U3598" i="2"/>
  <c r="N3598" i="2"/>
  <c r="M3598" i="2"/>
  <c r="J3598" i="2"/>
  <c r="I3598" i="2"/>
  <c r="H3598" i="2"/>
  <c r="G3598" i="2"/>
  <c r="F3598" i="2"/>
  <c r="E3598" i="2"/>
  <c r="D3598" i="2"/>
  <c r="C3598" i="2"/>
  <c r="B3598" i="2"/>
  <c r="A3598" i="2"/>
  <c r="Q3597" i="2"/>
  <c r="U3597" i="2" s="1"/>
  <c r="N3597" i="2"/>
  <c r="M3597" i="2"/>
  <c r="J3597" i="2"/>
  <c r="I3597" i="2"/>
  <c r="H3597" i="2"/>
  <c r="G3597" i="2"/>
  <c r="F3597" i="2"/>
  <c r="E3597" i="2"/>
  <c r="D3597" i="2"/>
  <c r="C3597" i="2"/>
  <c r="B3597" i="2"/>
  <c r="A3597" i="2"/>
  <c r="U3596" i="2"/>
  <c r="N3596" i="2"/>
  <c r="M3596" i="2"/>
  <c r="J3596" i="2"/>
  <c r="I3596" i="2"/>
  <c r="H3596" i="2"/>
  <c r="G3596" i="2"/>
  <c r="F3596" i="2"/>
  <c r="E3596" i="2"/>
  <c r="D3596" i="2"/>
  <c r="C3596" i="2"/>
  <c r="B3596" i="2"/>
  <c r="A3596" i="2"/>
  <c r="Q3595" i="2"/>
  <c r="U3595" i="2" s="1"/>
  <c r="N3595" i="2"/>
  <c r="M3595" i="2"/>
  <c r="J3595" i="2"/>
  <c r="I3595" i="2"/>
  <c r="H3595" i="2"/>
  <c r="G3595" i="2"/>
  <c r="F3595" i="2"/>
  <c r="E3595" i="2"/>
  <c r="D3595" i="2"/>
  <c r="C3595" i="2"/>
  <c r="B3595" i="2"/>
  <c r="A3595" i="2"/>
  <c r="U3594" i="2"/>
  <c r="N3594" i="2"/>
  <c r="M3594" i="2"/>
  <c r="J3594" i="2"/>
  <c r="I3594" i="2"/>
  <c r="H3594" i="2"/>
  <c r="G3594" i="2"/>
  <c r="F3594" i="2"/>
  <c r="E3594" i="2"/>
  <c r="D3594" i="2"/>
  <c r="C3594" i="2"/>
  <c r="B3594" i="2"/>
  <c r="A3594" i="2"/>
  <c r="Q3593" i="2"/>
  <c r="U3593" i="2" s="1"/>
  <c r="N3593" i="2"/>
  <c r="M3593" i="2"/>
  <c r="J3593" i="2"/>
  <c r="I3593" i="2"/>
  <c r="H3593" i="2"/>
  <c r="G3593" i="2"/>
  <c r="F3593" i="2"/>
  <c r="E3593" i="2"/>
  <c r="D3593" i="2"/>
  <c r="C3593" i="2"/>
  <c r="B3593" i="2"/>
  <c r="A3593" i="2"/>
  <c r="U3592" i="2"/>
  <c r="N3592" i="2"/>
  <c r="M3592" i="2"/>
  <c r="J3592" i="2"/>
  <c r="I3592" i="2"/>
  <c r="H3592" i="2"/>
  <c r="G3592" i="2"/>
  <c r="F3592" i="2"/>
  <c r="E3592" i="2"/>
  <c r="D3592" i="2"/>
  <c r="C3592" i="2"/>
  <c r="B3592" i="2"/>
  <c r="A3592" i="2"/>
  <c r="Q3591" i="2"/>
  <c r="U3591" i="2" s="1"/>
  <c r="N3591" i="2"/>
  <c r="M3591" i="2"/>
  <c r="J3591" i="2"/>
  <c r="I3591" i="2"/>
  <c r="H3591" i="2"/>
  <c r="G3591" i="2"/>
  <c r="F3591" i="2"/>
  <c r="E3591" i="2"/>
  <c r="D3591" i="2"/>
  <c r="C3591" i="2"/>
  <c r="B3591" i="2"/>
  <c r="A3591" i="2"/>
  <c r="U3590" i="2"/>
  <c r="N3590" i="2"/>
  <c r="M3590" i="2"/>
  <c r="J3590" i="2"/>
  <c r="I3590" i="2"/>
  <c r="H3590" i="2"/>
  <c r="G3590" i="2"/>
  <c r="F3590" i="2"/>
  <c r="E3590" i="2"/>
  <c r="D3590" i="2"/>
  <c r="C3590" i="2"/>
  <c r="B3590" i="2"/>
  <c r="A3590" i="2"/>
  <c r="U3589" i="2"/>
  <c r="N3589" i="2"/>
  <c r="M3589" i="2"/>
  <c r="J3589" i="2"/>
  <c r="I3589" i="2"/>
  <c r="H3589" i="2"/>
  <c r="G3589" i="2"/>
  <c r="F3589" i="2"/>
  <c r="E3589" i="2"/>
  <c r="D3589" i="2"/>
  <c r="C3589" i="2"/>
  <c r="B3589" i="2"/>
  <c r="A3589" i="2"/>
  <c r="Q3588" i="2"/>
  <c r="U3588" i="2" s="1"/>
  <c r="N3588" i="2"/>
  <c r="M3588" i="2"/>
  <c r="J3588" i="2"/>
  <c r="I3588" i="2"/>
  <c r="H3588" i="2"/>
  <c r="G3588" i="2"/>
  <c r="F3588" i="2"/>
  <c r="E3588" i="2"/>
  <c r="D3588" i="2"/>
  <c r="C3588" i="2"/>
  <c r="B3588" i="2"/>
  <c r="A3588" i="2"/>
  <c r="U3587" i="2"/>
  <c r="N3587" i="2"/>
  <c r="M3587" i="2"/>
  <c r="J3587" i="2"/>
  <c r="I3587" i="2"/>
  <c r="H3587" i="2"/>
  <c r="G3587" i="2"/>
  <c r="F3587" i="2"/>
  <c r="E3587" i="2"/>
  <c r="D3587" i="2"/>
  <c r="C3587" i="2"/>
  <c r="B3587" i="2"/>
  <c r="A3587" i="2"/>
  <c r="Q3586" i="2"/>
  <c r="U3586" i="2" s="1"/>
  <c r="N3586" i="2"/>
  <c r="M3586" i="2"/>
  <c r="J3586" i="2"/>
  <c r="I3586" i="2"/>
  <c r="H3586" i="2"/>
  <c r="G3586" i="2"/>
  <c r="F3586" i="2"/>
  <c r="E3586" i="2"/>
  <c r="D3586" i="2"/>
  <c r="C3586" i="2"/>
  <c r="B3586" i="2"/>
  <c r="A3586" i="2"/>
  <c r="U3585" i="2"/>
  <c r="N3585" i="2"/>
  <c r="M3585" i="2"/>
  <c r="J3585" i="2"/>
  <c r="I3585" i="2"/>
  <c r="H3585" i="2"/>
  <c r="G3585" i="2"/>
  <c r="F3585" i="2"/>
  <c r="E3585" i="2"/>
  <c r="D3585" i="2"/>
  <c r="C3585" i="2"/>
  <c r="B3585" i="2"/>
  <c r="A3585" i="2"/>
  <c r="U3584" i="2"/>
  <c r="N3584" i="2"/>
  <c r="M3584" i="2"/>
  <c r="J3584" i="2"/>
  <c r="I3584" i="2"/>
  <c r="H3584" i="2"/>
  <c r="G3584" i="2"/>
  <c r="F3584" i="2"/>
  <c r="E3584" i="2"/>
  <c r="D3584" i="2"/>
  <c r="C3584" i="2"/>
  <c r="B3584" i="2"/>
  <c r="A3584" i="2"/>
  <c r="U3583" i="2"/>
  <c r="N3583" i="2"/>
  <c r="M3583" i="2"/>
  <c r="J3583" i="2"/>
  <c r="I3583" i="2"/>
  <c r="H3583" i="2"/>
  <c r="G3583" i="2"/>
  <c r="F3583" i="2"/>
  <c r="E3583" i="2"/>
  <c r="D3583" i="2"/>
  <c r="C3583" i="2"/>
  <c r="B3583" i="2"/>
  <c r="A3583" i="2"/>
  <c r="Q3582" i="2"/>
  <c r="U3582" i="2" s="1"/>
  <c r="N3582" i="2"/>
  <c r="M3582" i="2"/>
  <c r="J3582" i="2"/>
  <c r="I3582" i="2"/>
  <c r="H3582" i="2"/>
  <c r="G3582" i="2"/>
  <c r="F3582" i="2"/>
  <c r="E3582" i="2"/>
  <c r="D3582" i="2"/>
  <c r="C3582" i="2"/>
  <c r="B3582" i="2"/>
  <c r="A3582" i="2"/>
  <c r="U3581" i="2"/>
  <c r="N3581" i="2"/>
  <c r="M3581" i="2"/>
  <c r="J3581" i="2"/>
  <c r="I3581" i="2"/>
  <c r="H3581" i="2"/>
  <c r="G3581" i="2"/>
  <c r="F3581" i="2"/>
  <c r="E3581" i="2"/>
  <c r="D3581" i="2"/>
  <c r="C3581" i="2"/>
  <c r="B3581" i="2"/>
  <c r="A3581" i="2"/>
  <c r="U3580" i="2"/>
  <c r="N3580" i="2"/>
  <c r="M3580" i="2"/>
  <c r="J3580" i="2"/>
  <c r="I3580" i="2"/>
  <c r="H3580" i="2"/>
  <c r="G3580" i="2"/>
  <c r="F3580" i="2"/>
  <c r="E3580" i="2"/>
  <c r="D3580" i="2"/>
  <c r="C3580" i="2"/>
  <c r="B3580" i="2"/>
  <c r="A3580" i="2"/>
  <c r="Q3579" i="2"/>
  <c r="U3579" i="2" s="1"/>
  <c r="N3579" i="2"/>
  <c r="M3579" i="2"/>
  <c r="J3579" i="2"/>
  <c r="I3579" i="2"/>
  <c r="H3579" i="2"/>
  <c r="G3579" i="2"/>
  <c r="F3579" i="2"/>
  <c r="E3579" i="2"/>
  <c r="D3579" i="2"/>
  <c r="C3579" i="2"/>
  <c r="B3579" i="2"/>
  <c r="A3579" i="2"/>
  <c r="U3578" i="2"/>
  <c r="N3578" i="2"/>
  <c r="M3578" i="2"/>
  <c r="J3578" i="2"/>
  <c r="I3578" i="2"/>
  <c r="H3578" i="2"/>
  <c r="G3578" i="2"/>
  <c r="F3578" i="2"/>
  <c r="E3578" i="2"/>
  <c r="D3578" i="2"/>
  <c r="C3578" i="2"/>
  <c r="B3578" i="2"/>
  <c r="A3578" i="2"/>
  <c r="U3577" i="2"/>
  <c r="N3577" i="2"/>
  <c r="M3577" i="2"/>
  <c r="J3577" i="2"/>
  <c r="I3577" i="2"/>
  <c r="H3577" i="2"/>
  <c r="G3577" i="2"/>
  <c r="F3577" i="2"/>
  <c r="E3577" i="2"/>
  <c r="D3577" i="2"/>
  <c r="C3577" i="2"/>
  <c r="B3577" i="2"/>
  <c r="A3577" i="2"/>
  <c r="U3576" i="2"/>
  <c r="N3576" i="2"/>
  <c r="M3576" i="2"/>
  <c r="J3576" i="2"/>
  <c r="I3576" i="2"/>
  <c r="H3576" i="2"/>
  <c r="G3576" i="2"/>
  <c r="F3576" i="2"/>
  <c r="E3576" i="2"/>
  <c r="D3576" i="2"/>
  <c r="C3576" i="2"/>
  <c r="B3576" i="2"/>
  <c r="A3576" i="2"/>
  <c r="U3575" i="2"/>
  <c r="N3575" i="2"/>
  <c r="M3575" i="2"/>
  <c r="J3575" i="2"/>
  <c r="I3575" i="2"/>
  <c r="H3575" i="2"/>
  <c r="G3575" i="2"/>
  <c r="F3575" i="2"/>
  <c r="E3575" i="2"/>
  <c r="D3575" i="2"/>
  <c r="C3575" i="2"/>
  <c r="B3575" i="2"/>
  <c r="A3575" i="2"/>
  <c r="U3574" i="2"/>
  <c r="N3574" i="2"/>
  <c r="M3574" i="2"/>
  <c r="J3574" i="2"/>
  <c r="I3574" i="2"/>
  <c r="H3574" i="2"/>
  <c r="G3574" i="2"/>
  <c r="F3574" i="2"/>
  <c r="E3574" i="2"/>
  <c r="D3574" i="2"/>
  <c r="C3574" i="2"/>
  <c r="B3574" i="2"/>
  <c r="A3574" i="2"/>
  <c r="Q3573" i="2"/>
  <c r="U3573" i="2" s="1"/>
  <c r="N3573" i="2"/>
  <c r="M3573" i="2"/>
  <c r="J3573" i="2"/>
  <c r="I3573" i="2"/>
  <c r="H3573" i="2"/>
  <c r="G3573" i="2"/>
  <c r="F3573" i="2"/>
  <c r="E3573" i="2"/>
  <c r="D3573" i="2"/>
  <c r="C3573" i="2"/>
  <c r="B3573" i="2"/>
  <c r="A3573" i="2"/>
  <c r="Q3572" i="2"/>
  <c r="U3572" i="2" s="1"/>
  <c r="N3572" i="2"/>
  <c r="M3572" i="2"/>
  <c r="J3572" i="2"/>
  <c r="I3572" i="2"/>
  <c r="H3572" i="2"/>
  <c r="G3572" i="2"/>
  <c r="F3572" i="2"/>
  <c r="E3572" i="2"/>
  <c r="D3572" i="2"/>
  <c r="C3572" i="2"/>
  <c r="B3572" i="2"/>
  <c r="A3572" i="2"/>
  <c r="U3571" i="2"/>
  <c r="N3571" i="2"/>
  <c r="M3571" i="2"/>
  <c r="J3571" i="2"/>
  <c r="I3571" i="2"/>
  <c r="H3571" i="2"/>
  <c r="G3571" i="2"/>
  <c r="F3571" i="2"/>
  <c r="E3571" i="2"/>
  <c r="D3571" i="2"/>
  <c r="C3571" i="2"/>
  <c r="B3571" i="2"/>
  <c r="A3571" i="2"/>
  <c r="U3570" i="2"/>
  <c r="N3570" i="2"/>
  <c r="M3570" i="2"/>
  <c r="J3570" i="2"/>
  <c r="I3570" i="2"/>
  <c r="H3570" i="2"/>
  <c r="G3570" i="2"/>
  <c r="F3570" i="2"/>
  <c r="E3570" i="2"/>
  <c r="D3570" i="2"/>
  <c r="C3570" i="2"/>
  <c r="B3570" i="2"/>
  <c r="A3570" i="2"/>
  <c r="U3569" i="2"/>
  <c r="N3569" i="2"/>
  <c r="M3569" i="2"/>
  <c r="J3569" i="2"/>
  <c r="I3569" i="2"/>
  <c r="H3569" i="2"/>
  <c r="G3569" i="2"/>
  <c r="F3569" i="2"/>
  <c r="E3569" i="2"/>
  <c r="D3569" i="2"/>
  <c r="C3569" i="2"/>
  <c r="B3569" i="2"/>
  <c r="A3569" i="2"/>
  <c r="U3568" i="2"/>
  <c r="N3568" i="2"/>
  <c r="M3568" i="2"/>
  <c r="J3568" i="2"/>
  <c r="I3568" i="2"/>
  <c r="H3568" i="2"/>
  <c r="G3568" i="2"/>
  <c r="F3568" i="2"/>
  <c r="E3568" i="2"/>
  <c r="D3568" i="2"/>
  <c r="C3568" i="2"/>
  <c r="B3568" i="2"/>
  <c r="A3568" i="2"/>
  <c r="U3567" i="2"/>
  <c r="N3567" i="2"/>
  <c r="M3567" i="2"/>
  <c r="J3567" i="2"/>
  <c r="I3567" i="2"/>
  <c r="H3567" i="2"/>
  <c r="G3567" i="2"/>
  <c r="F3567" i="2"/>
  <c r="E3567" i="2"/>
  <c r="D3567" i="2"/>
  <c r="C3567" i="2"/>
  <c r="B3567" i="2"/>
  <c r="A3567" i="2"/>
  <c r="U3566" i="2"/>
  <c r="N3566" i="2"/>
  <c r="M3566" i="2"/>
  <c r="J3566" i="2"/>
  <c r="I3566" i="2"/>
  <c r="H3566" i="2"/>
  <c r="G3566" i="2"/>
  <c r="F3566" i="2"/>
  <c r="E3566" i="2"/>
  <c r="D3566" i="2"/>
  <c r="C3566" i="2"/>
  <c r="B3566" i="2"/>
  <c r="A3566" i="2"/>
  <c r="U3565" i="2"/>
  <c r="N3565" i="2"/>
  <c r="M3565" i="2"/>
  <c r="J3565" i="2"/>
  <c r="I3565" i="2"/>
  <c r="H3565" i="2"/>
  <c r="G3565" i="2"/>
  <c r="F3565" i="2"/>
  <c r="E3565" i="2"/>
  <c r="D3565" i="2"/>
  <c r="C3565" i="2"/>
  <c r="B3565" i="2"/>
  <c r="A3565" i="2"/>
  <c r="U3564" i="2"/>
  <c r="N3564" i="2"/>
  <c r="M3564" i="2"/>
  <c r="J3564" i="2"/>
  <c r="I3564" i="2"/>
  <c r="H3564" i="2"/>
  <c r="G3564" i="2"/>
  <c r="F3564" i="2"/>
  <c r="E3564" i="2"/>
  <c r="D3564" i="2"/>
  <c r="C3564" i="2"/>
  <c r="B3564" i="2"/>
  <c r="A3564" i="2"/>
  <c r="U3563" i="2"/>
  <c r="N3563" i="2"/>
  <c r="M3563" i="2"/>
  <c r="J3563" i="2"/>
  <c r="I3563" i="2"/>
  <c r="H3563" i="2"/>
  <c r="G3563" i="2"/>
  <c r="F3563" i="2"/>
  <c r="E3563" i="2"/>
  <c r="D3563" i="2"/>
  <c r="C3563" i="2"/>
  <c r="B3563" i="2"/>
  <c r="A3563" i="2"/>
  <c r="U3562" i="2"/>
  <c r="N3562" i="2"/>
  <c r="M3562" i="2"/>
  <c r="J3562" i="2"/>
  <c r="I3562" i="2"/>
  <c r="H3562" i="2"/>
  <c r="G3562" i="2"/>
  <c r="F3562" i="2"/>
  <c r="E3562" i="2"/>
  <c r="D3562" i="2"/>
  <c r="C3562" i="2"/>
  <c r="B3562" i="2"/>
  <c r="A3562" i="2"/>
  <c r="Q3561" i="2"/>
  <c r="U3561" i="2" s="1"/>
  <c r="N3561" i="2"/>
  <c r="M3561" i="2"/>
  <c r="J3561" i="2"/>
  <c r="I3561" i="2"/>
  <c r="H3561" i="2"/>
  <c r="G3561" i="2"/>
  <c r="F3561" i="2"/>
  <c r="E3561" i="2"/>
  <c r="D3561" i="2"/>
  <c r="C3561" i="2"/>
  <c r="B3561" i="2"/>
  <c r="A3561" i="2"/>
  <c r="Q3560" i="2"/>
  <c r="U3560" i="2" s="1"/>
  <c r="N3560" i="2"/>
  <c r="M3560" i="2"/>
  <c r="J3560" i="2"/>
  <c r="I3560" i="2"/>
  <c r="H3560" i="2"/>
  <c r="G3560" i="2"/>
  <c r="F3560" i="2"/>
  <c r="E3560" i="2"/>
  <c r="D3560" i="2"/>
  <c r="C3560" i="2"/>
  <c r="B3560" i="2"/>
  <c r="A3560" i="2"/>
  <c r="U3559" i="2"/>
  <c r="N3559" i="2"/>
  <c r="M3559" i="2"/>
  <c r="J3559" i="2"/>
  <c r="I3559" i="2"/>
  <c r="H3559" i="2"/>
  <c r="G3559" i="2"/>
  <c r="F3559" i="2"/>
  <c r="E3559" i="2"/>
  <c r="D3559" i="2"/>
  <c r="C3559" i="2"/>
  <c r="B3559" i="2"/>
  <c r="A3559" i="2"/>
  <c r="Q3558" i="2"/>
  <c r="U3558" i="2" s="1"/>
  <c r="N3558" i="2"/>
  <c r="M3558" i="2"/>
  <c r="J3558" i="2"/>
  <c r="I3558" i="2"/>
  <c r="H3558" i="2"/>
  <c r="G3558" i="2"/>
  <c r="F3558" i="2"/>
  <c r="E3558" i="2"/>
  <c r="D3558" i="2"/>
  <c r="C3558" i="2"/>
  <c r="B3558" i="2"/>
  <c r="A3558" i="2"/>
  <c r="Q3557" i="2"/>
  <c r="U3557" i="2" s="1"/>
  <c r="N3557" i="2"/>
  <c r="M3557" i="2"/>
  <c r="J3557" i="2"/>
  <c r="I3557" i="2"/>
  <c r="H3557" i="2"/>
  <c r="G3557" i="2"/>
  <c r="F3557" i="2"/>
  <c r="E3557" i="2"/>
  <c r="D3557" i="2"/>
  <c r="C3557" i="2"/>
  <c r="B3557" i="2"/>
  <c r="A3557" i="2"/>
  <c r="U3556" i="2"/>
  <c r="N3556" i="2"/>
  <c r="M3556" i="2"/>
  <c r="J3556" i="2"/>
  <c r="I3556" i="2"/>
  <c r="H3556" i="2"/>
  <c r="G3556" i="2"/>
  <c r="F3556" i="2"/>
  <c r="E3556" i="2"/>
  <c r="D3556" i="2"/>
  <c r="C3556" i="2"/>
  <c r="B3556" i="2"/>
  <c r="A3556" i="2"/>
  <c r="U3555" i="2"/>
  <c r="N3555" i="2"/>
  <c r="M3555" i="2"/>
  <c r="J3555" i="2"/>
  <c r="I3555" i="2"/>
  <c r="H3555" i="2"/>
  <c r="G3555" i="2"/>
  <c r="F3555" i="2"/>
  <c r="E3555" i="2"/>
  <c r="D3555" i="2"/>
  <c r="C3555" i="2"/>
  <c r="B3555" i="2"/>
  <c r="A3555" i="2"/>
  <c r="U3554" i="2"/>
  <c r="N3554" i="2"/>
  <c r="M3554" i="2"/>
  <c r="J3554" i="2"/>
  <c r="I3554" i="2"/>
  <c r="H3554" i="2"/>
  <c r="G3554" i="2"/>
  <c r="F3554" i="2"/>
  <c r="E3554" i="2"/>
  <c r="D3554" i="2"/>
  <c r="C3554" i="2"/>
  <c r="B3554" i="2"/>
  <c r="A3554" i="2"/>
  <c r="U3553" i="2"/>
  <c r="N3553" i="2"/>
  <c r="M3553" i="2"/>
  <c r="J3553" i="2"/>
  <c r="I3553" i="2"/>
  <c r="H3553" i="2"/>
  <c r="G3553" i="2"/>
  <c r="F3553" i="2"/>
  <c r="E3553" i="2"/>
  <c r="D3553" i="2"/>
  <c r="C3553" i="2"/>
  <c r="B3553" i="2"/>
  <c r="A3553" i="2"/>
  <c r="U3552" i="2"/>
  <c r="N3552" i="2"/>
  <c r="M3552" i="2"/>
  <c r="J3552" i="2"/>
  <c r="I3552" i="2"/>
  <c r="H3552" i="2"/>
  <c r="G3552" i="2"/>
  <c r="F3552" i="2"/>
  <c r="E3552" i="2"/>
  <c r="D3552" i="2"/>
  <c r="C3552" i="2"/>
  <c r="B3552" i="2"/>
  <c r="A3552" i="2"/>
  <c r="U3551" i="2"/>
  <c r="N3551" i="2"/>
  <c r="M3551" i="2"/>
  <c r="J3551" i="2"/>
  <c r="I3551" i="2"/>
  <c r="H3551" i="2"/>
  <c r="G3551" i="2"/>
  <c r="F3551" i="2"/>
  <c r="E3551" i="2"/>
  <c r="D3551" i="2"/>
  <c r="C3551" i="2"/>
  <c r="B3551" i="2"/>
  <c r="A3551" i="2"/>
  <c r="U3550" i="2"/>
  <c r="N3550" i="2"/>
  <c r="M3550" i="2"/>
  <c r="J3550" i="2"/>
  <c r="I3550" i="2"/>
  <c r="H3550" i="2"/>
  <c r="G3550" i="2"/>
  <c r="F3550" i="2"/>
  <c r="E3550" i="2"/>
  <c r="D3550" i="2"/>
  <c r="C3550" i="2"/>
  <c r="B3550" i="2"/>
  <c r="A3550" i="2"/>
  <c r="U3549" i="2"/>
  <c r="N3549" i="2"/>
  <c r="M3549" i="2"/>
  <c r="J3549" i="2"/>
  <c r="I3549" i="2"/>
  <c r="H3549" i="2"/>
  <c r="G3549" i="2"/>
  <c r="F3549" i="2"/>
  <c r="E3549" i="2"/>
  <c r="D3549" i="2"/>
  <c r="C3549" i="2"/>
  <c r="B3549" i="2"/>
  <c r="A3549" i="2"/>
  <c r="U3548" i="2"/>
  <c r="N3548" i="2"/>
  <c r="M3548" i="2"/>
  <c r="J3548" i="2"/>
  <c r="I3548" i="2"/>
  <c r="H3548" i="2"/>
  <c r="G3548" i="2"/>
  <c r="F3548" i="2"/>
  <c r="E3548" i="2"/>
  <c r="D3548" i="2"/>
  <c r="C3548" i="2"/>
  <c r="B3548" i="2"/>
  <c r="A3548" i="2"/>
  <c r="U3547" i="2"/>
  <c r="N3547" i="2"/>
  <c r="M3547" i="2"/>
  <c r="J3547" i="2"/>
  <c r="I3547" i="2"/>
  <c r="H3547" i="2"/>
  <c r="G3547" i="2"/>
  <c r="F3547" i="2"/>
  <c r="E3547" i="2"/>
  <c r="D3547" i="2"/>
  <c r="C3547" i="2"/>
  <c r="B3547" i="2"/>
  <c r="A3547" i="2"/>
  <c r="U3546" i="2"/>
  <c r="N3546" i="2"/>
  <c r="M3546" i="2"/>
  <c r="J3546" i="2"/>
  <c r="I3546" i="2"/>
  <c r="H3546" i="2"/>
  <c r="G3546" i="2"/>
  <c r="F3546" i="2"/>
  <c r="E3546" i="2"/>
  <c r="D3546" i="2"/>
  <c r="C3546" i="2"/>
  <c r="B3546" i="2"/>
  <c r="A3546" i="2"/>
  <c r="Q3545" i="2"/>
  <c r="U3545" i="2" s="1"/>
  <c r="N3545" i="2"/>
  <c r="M3545" i="2"/>
  <c r="J3545" i="2"/>
  <c r="I3545" i="2"/>
  <c r="H3545" i="2"/>
  <c r="G3545" i="2"/>
  <c r="F3545" i="2"/>
  <c r="E3545" i="2"/>
  <c r="D3545" i="2"/>
  <c r="C3545" i="2"/>
  <c r="B3545" i="2"/>
  <c r="A3545" i="2"/>
  <c r="U3544" i="2"/>
  <c r="N3544" i="2"/>
  <c r="M3544" i="2"/>
  <c r="J3544" i="2"/>
  <c r="I3544" i="2"/>
  <c r="H3544" i="2"/>
  <c r="G3544" i="2"/>
  <c r="F3544" i="2"/>
  <c r="E3544" i="2"/>
  <c r="D3544" i="2"/>
  <c r="C3544" i="2"/>
  <c r="B3544" i="2"/>
  <c r="A3544" i="2"/>
  <c r="Q3543" i="2"/>
  <c r="U3543" i="2" s="1"/>
  <c r="N3543" i="2"/>
  <c r="M3543" i="2"/>
  <c r="J3543" i="2"/>
  <c r="I3543" i="2"/>
  <c r="H3543" i="2"/>
  <c r="G3543" i="2"/>
  <c r="F3543" i="2"/>
  <c r="E3543" i="2"/>
  <c r="D3543" i="2"/>
  <c r="C3543" i="2"/>
  <c r="B3543" i="2"/>
  <c r="A3543" i="2"/>
  <c r="U3542" i="2"/>
  <c r="N3542" i="2"/>
  <c r="M3542" i="2"/>
  <c r="J3542" i="2"/>
  <c r="I3542" i="2"/>
  <c r="H3542" i="2"/>
  <c r="G3542" i="2"/>
  <c r="F3542" i="2"/>
  <c r="E3542" i="2"/>
  <c r="D3542" i="2"/>
  <c r="C3542" i="2"/>
  <c r="B3542" i="2"/>
  <c r="A3542" i="2"/>
  <c r="U3541" i="2"/>
  <c r="N3541" i="2"/>
  <c r="M3541" i="2"/>
  <c r="J3541" i="2"/>
  <c r="I3541" i="2"/>
  <c r="H3541" i="2"/>
  <c r="G3541" i="2"/>
  <c r="F3541" i="2"/>
  <c r="E3541" i="2"/>
  <c r="D3541" i="2"/>
  <c r="C3541" i="2"/>
  <c r="B3541" i="2"/>
  <c r="A3541" i="2"/>
  <c r="U3540" i="2"/>
  <c r="N3540" i="2"/>
  <c r="M3540" i="2"/>
  <c r="J3540" i="2"/>
  <c r="I3540" i="2"/>
  <c r="H3540" i="2"/>
  <c r="G3540" i="2"/>
  <c r="F3540" i="2"/>
  <c r="E3540" i="2"/>
  <c r="D3540" i="2"/>
  <c r="C3540" i="2"/>
  <c r="B3540" i="2"/>
  <c r="A3540" i="2"/>
  <c r="U3539" i="2"/>
  <c r="N3539" i="2"/>
  <c r="M3539" i="2"/>
  <c r="J3539" i="2"/>
  <c r="I3539" i="2"/>
  <c r="H3539" i="2"/>
  <c r="G3539" i="2"/>
  <c r="F3539" i="2"/>
  <c r="E3539" i="2"/>
  <c r="D3539" i="2"/>
  <c r="C3539" i="2"/>
  <c r="B3539" i="2"/>
  <c r="A3539" i="2"/>
  <c r="Q3538" i="2"/>
  <c r="U3538" i="2" s="1"/>
  <c r="N3538" i="2"/>
  <c r="M3538" i="2"/>
  <c r="J3538" i="2"/>
  <c r="I3538" i="2"/>
  <c r="H3538" i="2"/>
  <c r="G3538" i="2"/>
  <c r="F3538" i="2"/>
  <c r="E3538" i="2"/>
  <c r="D3538" i="2"/>
  <c r="C3538" i="2"/>
  <c r="B3538" i="2"/>
  <c r="A3538" i="2"/>
  <c r="Q3537" i="2"/>
  <c r="U3537" i="2" s="1"/>
  <c r="N3537" i="2"/>
  <c r="M3537" i="2"/>
  <c r="J3537" i="2"/>
  <c r="I3537" i="2"/>
  <c r="H3537" i="2"/>
  <c r="G3537" i="2"/>
  <c r="F3537" i="2"/>
  <c r="E3537" i="2"/>
  <c r="D3537" i="2"/>
  <c r="C3537" i="2"/>
  <c r="B3537" i="2"/>
  <c r="A3537" i="2"/>
  <c r="Q3536" i="2"/>
  <c r="U3536" i="2" s="1"/>
  <c r="N3536" i="2"/>
  <c r="M3536" i="2"/>
  <c r="J3536" i="2"/>
  <c r="I3536" i="2"/>
  <c r="H3536" i="2"/>
  <c r="G3536" i="2"/>
  <c r="F3536" i="2"/>
  <c r="E3536" i="2"/>
  <c r="D3536" i="2"/>
  <c r="C3536" i="2"/>
  <c r="B3536" i="2"/>
  <c r="A3536" i="2"/>
  <c r="Q3535" i="2"/>
  <c r="U3535" i="2" s="1"/>
  <c r="N3535" i="2"/>
  <c r="M3535" i="2"/>
  <c r="J3535" i="2"/>
  <c r="I3535" i="2"/>
  <c r="H3535" i="2"/>
  <c r="G3535" i="2"/>
  <c r="F3535" i="2"/>
  <c r="E3535" i="2"/>
  <c r="D3535" i="2"/>
  <c r="C3535" i="2"/>
  <c r="B3535" i="2"/>
  <c r="A3535" i="2"/>
  <c r="Q3534" i="2"/>
  <c r="U3534" i="2" s="1"/>
  <c r="N3534" i="2"/>
  <c r="M3534" i="2"/>
  <c r="J3534" i="2"/>
  <c r="I3534" i="2"/>
  <c r="H3534" i="2"/>
  <c r="G3534" i="2"/>
  <c r="F3534" i="2"/>
  <c r="E3534" i="2"/>
  <c r="D3534" i="2"/>
  <c r="C3534" i="2"/>
  <c r="B3534" i="2"/>
  <c r="A3534" i="2"/>
  <c r="U3533" i="2"/>
  <c r="N3533" i="2"/>
  <c r="M3533" i="2"/>
  <c r="J3533" i="2"/>
  <c r="I3533" i="2"/>
  <c r="H3533" i="2"/>
  <c r="G3533" i="2"/>
  <c r="F3533" i="2"/>
  <c r="E3533" i="2"/>
  <c r="D3533" i="2"/>
  <c r="C3533" i="2"/>
  <c r="B3533" i="2"/>
  <c r="A3533" i="2"/>
  <c r="U3532" i="2"/>
  <c r="N3532" i="2"/>
  <c r="M3532" i="2"/>
  <c r="J3532" i="2"/>
  <c r="I3532" i="2"/>
  <c r="H3532" i="2"/>
  <c r="G3532" i="2"/>
  <c r="F3532" i="2"/>
  <c r="E3532" i="2"/>
  <c r="D3532" i="2"/>
  <c r="C3532" i="2"/>
  <c r="B3532" i="2"/>
  <c r="A3532" i="2"/>
  <c r="U3531" i="2"/>
  <c r="N3531" i="2"/>
  <c r="M3531" i="2"/>
  <c r="J3531" i="2"/>
  <c r="I3531" i="2"/>
  <c r="H3531" i="2"/>
  <c r="G3531" i="2"/>
  <c r="F3531" i="2"/>
  <c r="E3531" i="2"/>
  <c r="D3531" i="2"/>
  <c r="C3531" i="2"/>
  <c r="B3531" i="2"/>
  <c r="A3531" i="2"/>
  <c r="U3530" i="2"/>
  <c r="N3530" i="2"/>
  <c r="M3530" i="2"/>
  <c r="J3530" i="2"/>
  <c r="I3530" i="2"/>
  <c r="H3530" i="2"/>
  <c r="G3530" i="2"/>
  <c r="F3530" i="2"/>
  <c r="E3530" i="2"/>
  <c r="D3530" i="2"/>
  <c r="C3530" i="2"/>
  <c r="B3530" i="2"/>
  <c r="A3530" i="2"/>
  <c r="U3529" i="2"/>
  <c r="N3529" i="2"/>
  <c r="M3529" i="2"/>
  <c r="J3529" i="2"/>
  <c r="I3529" i="2"/>
  <c r="H3529" i="2"/>
  <c r="G3529" i="2"/>
  <c r="F3529" i="2"/>
  <c r="E3529" i="2"/>
  <c r="D3529" i="2"/>
  <c r="C3529" i="2"/>
  <c r="B3529" i="2"/>
  <c r="A3529" i="2"/>
  <c r="U3528" i="2"/>
  <c r="N3528" i="2"/>
  <c r="M3528" i="2"/>
  <c r="J3528" i="2"/>
  <c r="I3528" i="2"/>
  <c r="H3528" i="2"/>
  <c r="G3528" i="2"/>
  <c r="F3528" i="2"/>
  <c r="E3528" i="2"/>
  <c r="D3528" i="2"/>
  <c r="C3528" i="2"/>
  <c r="B3528" i="2"/>
  <c r="A3528" i="2"/>
  <c r="U3527" i="2"/>
  <c r="N3527" i="2"/>
  <c r="M3527" i="2"/>
  <c r="J3527" i="2"/>
  <c r="I3527" i="2"/>
  <c r="H3527" i="2"/>
  <c r="G3527" i="2"/>
  <c r="F3527" i="2"/>
  <c r="E3527" i="2"/>
  <c r="D3527" i="2"/>
  <c r="C3527" i="2"/>
  <c r="B3527" i="2"/>
  <c r="A3527" i="2"/>
  <c r="U3526" i="2"/>
  <c r="N3526" i="2"/>
  <c r="M3526" i="2"/>
  <c r="J3526" i="2"/>
  <c r="I3526" i="2"/>
  <c r="H3526" i="2"/>
  <c r="G3526" i="2"/>
  <c r="F3526" i="2"/>
  <c r="E3526" i="2"/>
  <c r="D3526" i="2"/>
  <c r="C3526" i="2"/>
  <c r="B3526" i="2"/>
  <c r="A3526" i="2"/>
  <c r="U3525" i="2"/>
  <c r="N3525" i="2"/>
  <c r="M3525" i="2"/>
  <c r="J3525" i="2"/>
  <c r="I3525" i="2"/>
  <c r="H3525" i="2"/>
  <c r="G3525" i="2"/>
  <c r="F3525" i="2"/>
  <c r="E3525" i="2"/>
  <c r="D3525" i="2"/>
  <c r="C3525" i="2"/>
  <c r="B3525" i="2"/>
  <c r="A3525" i="2"/>
  <c r="U3524" i="2"/>
  <c r="N3524" i="2"/>
  <c r="M3524" i="2"/>
  <c r="J3524" i="2"/>
  <c r="I3524" i="2"/>
  <c r="H3524" i="2"/>
  <c r="G3524" i="2"/>
  <c r="F3524" i="2"/>
  <c r="E3524" i="2"/>
  <c r="D3524" i="2"/>
  <c r="C3524" i="2"/>
  <c r="B3524" i="2"/>
  <c r="A3524" i="2"/>
  <c r="U3523" i="2"/>
  <c r="N3523" i="2"/>
  <c r="M3523" i="2"/>
  <c r="J3523" i="2"/>
  <c r="I3523" i="2"/>
  <c r="H3523" i="2"/>
  <c r="G3523" i="2"/>
  <c r="F3523" i="2"/>
  <c r="E3523" i="2"/>
  <c r="D3523" i="2"/>
  <c r="C3523" i="2"/>
  <c r="B3523" i="2"/>
  <c r="A3523" i="2"/>
  <c r="U3522" i="2"/>
  <c r="N3522" i="2"/>
  <c r="M3522" i="2"/>
  <c r="J3522" i="2"/>
  <c r="I3522" i="2"/>
  <c r="H3522" i="2"/>
  <c r="G3522" i="2"/>
  <c r="F3522" i="2"/>
  <c r="E3522" i="2"/>
  <c r="D3522" i="2"/>
  <c r="C3522" i="2"/>
  <c r="B3522" i="2"/>
  <c r="A3522" i="2"/>
  <c r="U3521" i="2"/>
  <c r="N3521" i="2"/>
  <c r="M3521" i="2"/>
  <c r="J3521" i="2"/>
  <c r="I3521" i="2"/>
  <c r="H3521" i="2"/>
  <c r="G3521" i="2"/>
  <c r="F3521" i="2"/>
  <c r="E3521" i="2"/>
  <c r="D3521" i="2"/>
  <c r="C3521" i="2"/>
  <c r="B3521" i="2"/>
  <c r="A3521" i="2"/>
  <c r="U3520" i="2"/>
  <c r="N3520" i="2"/>
  <c r="M3520" i="2"/>
  <c r="J3520" i="2"/>
  <c r="I3520" i="2"/>
  <c r="H3520" i="2"/>
  <c r="G3520" i="2"/>
  <c r="F3520" i="2"/>
  <c r="E3520" i="2"/>
  <c r="D3520" i="2"/>
  <c r="C3520" i="2"/>
  <c r="B3520" i="2"/>
  <c r="A3520" i="2"/>
  <c r="U3519" i="2"/>
  <c r="N3519" i="2"/>
  <c r="M3519" i="2"/>
  <c r="J3519" i="2"/>
  <c r="I3519" i="2"/>
  <c r="H3519" i="2"/>
  <c r="G3519" i="2"/>
  <c r="F3519" i="2"/>
  <c r="E3519" i="2"/>
  <c r="D3519" i="2"/>
  <c r="C3519" i="2"/>
  <c r="B3519" i="2"/>
  <c r="A3519" i="2"/>
  <c r="U3518" i="2"/>
  <c r="N3518" i="2"/>
  <c r="M3518" i="2"/>
  <c r="J3518" i="2"/>
  <c r="I3518" i="2"/>
  <c r="H3518" i="2"/>
  <c r="G3518" i="2"/>
  <c r="F3518" i="2"/>
  <c r="E3518" i="2"/>
  <c r="D3518" i="2"/>
  <c r="C3518" i="2"/>
  <c r="B3518" i="2"/>
  <c r="A3518" i="2"/>
  <c r="U3517" i="2"/>
  <c r="N3517" i="2"/>
  <c r="M3517" i="2"/>
  <c r="J3517" i="2"/>
  <c r="I3517" i="2"/>
  <c r="H3517" i="2"/>
  <c r="G3517" i="2"/>
  <c r="F3517" i="2"/>
  <c r="E3517" i="2"/>
  <c r="D3517" i="2"/>
  <c r="C3517" i="2"/>
  <c r="B3517" i="2"/>
  <c r="A3517" i="2"/>
  <c r="U3516" i="2"/>
  <c r="N3516" i="2"/>
  <c r="M3516" i="2"/>
  <c r="J3516" i="2"/>
  <c r="I3516" i="2"/>
  <c r="H3516" i="2"/>
  <c r="G3516" i="2"/>
  <c r="F3516" i="2"/>
  <c r="E3516" i="2"/>
  <c r="D3516" i="2"/>
  <c r="C3516" i="2"/>
  <c r="B3516" i="2"/>
  <c r="A3516" i="2"/>
  <c r="U3515" i="2"/>
  <c r="N3515" i="2"/>
  <c r="M3515" i="2"/>
  <c r="J3515" i="2"/>
  <c r="I3515" i="2"/>
  <c r="H3515" i="2"/>
  <c r="G3515" i="2"/>
  <c r="F3515" i="2"/>
  <c r="E3515" i="2"/>
  <c r="D3515" i="2"/>
  <c r="C3515" i="2"/>
  <c r="B3515" i="2"/>
  <c r="A3515" i="2"/>
  <c r="U3514" i="2"/>
  <c r="N3514" i="2"/>
  <c r="M3514" i="2"/>
  <c r="J3514" i="2"/>
  <c r="I3514" i="2"/>
  <c r="H3514" i="2"/>
  <c r="G3514" i="2"/>
  <c r="F3514" i="2"/>
  <c r="E3514" i="2"/>
  <c r="D3514" i="2"/>
  <c r="C3514" i="2"/>
  <c r="B3514" i="2"/>
  <c r="A3514" i="2"/>
  <c r="U3513" i="2"/>
  <c r="N3513" i="2"/>
  <c r="M3513" i="2"/>
  <c r="J3513" i="2"/>
  <c r="I3513" i="2"/>
  <c r="H3513" i="2"/>
  <c r="G3513" i="2"/>
  <c r="F3513" i="2"/>
  <c r="E3513" i="2"/>
  <c r="D3513" i="2"/>
  <c r="C3513" i="2"/>
  <c r="B3513" i="2"/>
  <c r="A3513" i="2"/>
  <c r="U3512" i="2"/>
  <c r="N3512" i="2"/>
  <c r="M3512" i="2"/>
  <c r="J3512" i="2"/>
  <c r="I3512" i="2"/>
  <c r="H3512" i="2"/>
  <c r="G3512" i="2"/>
  <c r="F3512" i="2"/>
  <c r="E3512" i="2"/>
  <c r="D3512" i="2"/>
  <c r="C3512" i="2"/>
  <c r="B3512" i="2"/>
  <c r="A3512" i="2"/>
  <c r="Q3511" i="2"/>
  <c r="U3511" i="2" s="1"/>
  <c r="N3511" i="2"/>
  <c r="M3511" i="2"/>
  <c r="J3511" i="2"/>
  <c r="I3511" i="2"/>
  <c r="H3511" i="2"/>
  <c r="G3511" i="2"/>
  <c r="F3511" i="2"/>
  <c r="E3511" i="2"/>
  <c r="D3511" i="2"/>
  <c r="C3511" i="2"/>
  <c r="B3511" i="2"/>
  <c r="A3511" i="2"/>
  <c r="Q3510" i="2"/>
  <c r="U3510" i="2" s="1"/>
  <c r="N3510" i="2"/>
  <c r="M3510" i="2"/>
  <c r="J3510" i="2"/>
  <c r="I3510" i="2"/>
  <c r="H3510" i="2"/>
  <c r="G3510" i="2"/>
  <c r="F3510" i="2"/>
  <c r="E3510" i="2"/>
  <c r="D3510" i="2"/>
  <c r="C3510" i="2"/>
  <c r="B3510" i="2"/>
  <c r="A3510" i="2"/>
  <c r="Q3509" i="2"/>
  <c r="U3509" i="2" s="1"/>
  <c r="N3509" i="2"/>
  <c r="M3509" i="2"/>
  <c r="J3509" i="2"/>
  <c r="I3509" i="2"/>
  <c r="H3509" i="2"/>
  <c r="G3509" i="2"/>
  <c r="F3509" i="2"/>
  <c r="E3509" i="2"/>
  <c r="D3509" i="2"/>
  <c r="C3509" i="2"/>
  <c r="B3509" i="2"/>
  <c r="A3509" i="2"/>
  <c r="Q3508" i="2"/>
  <c r="U3508" i="2" s="1"/>
  <c r="N3508" i="2"/>
  <c r="M3508" i="2"/>
  <c r="J3508" i="2"/>
  <c r="I3508" i="2"/>
  <c r="H3508" i="2"/>
  <c r="G3508" i="2"/>
  <c r="F3508" i="2"/>
  <c r="E3508" i="2"/>
  <c r="D3508" i="2"/>
  <c r="C3508" i="2"/>
  <c r="B3508" i="2"/>
  <c r="A3508" i="2"/>
  <c r="U3507" i="2"/>
  <c r="N3507" i="2"/>
  <c r="M3507" i="2"/>
  <c r="J3507" i="2"/>
  <c r="I3507" i="2"/>
  <c r="H3507" i="2"/>
  <c r="G3507" i="2"/>
  <c r="F3507" i="2"/>
  <c r="E3507" i="2"/>
  <c r="D3507" i="2"/>
  <c r="C3507" i="2"/>
  <c r="B3507" i="2"/>
  <c r="A3507" i="2"/>
  <c r="U3506" i="2"/>
  <c r="N3506" i="2"/>
  <c r="M3506" i="2"/>
  <c r="J3506" i="2"/>
  <c r="I3506" i="2"/>
  <c r="H3506" i="2"/>
  <c r="G3506" i="2"/>
  <c r="F3506" i="2"/>
  <c r="E3506" i="2"/>
  <c r="D3506" i="2"/>
  <c r="C3506" i="2"/>
  <c r="B3506" i="2"/>
  <c r="A3506" i="2"/>
  <c r="Q3505" i="2"/>
  <c r="U3505" i="2" s="1"/>
  <c r="N3505" i="2"/>
  <c r="M3505" i="2"/>
  <c r="J3505" i="2"/>
  <c r="I3505" i="2"/>
  <c r="H3505" i="2"/>
  <c r="G3505" i="2"/>
  <c r="F3505" i="2"/>
  <c r="E3505" i="2"/>
  <c r="D3505" i="2"/>
  <c r="C3505" i="2"/>
  <c r="B3505" i="2"/>
  <c r="A3505" i="2"/>
  <c r="U3504" i="2"/>
  <c r="N3504" i="2"/>
  <c r="M3504" i="2"/>
  <c r="J3504" i="2"/>
  <c r="I3504" i="2"/>
  <c r="H3504" i="2"/>
  <c r="G3504" i="2"/>
  <c r="F3504" i="2"/>
  <c r="E3504" i="2"/>
  <c r="D3504" i="2"/>
  <c r="C3504" i="2"/>
  <c r="B3504" i="2"/>
  <c r="A3504" i="2"/>
  <c r="U3503" i="2"/>
  <c r="N3503" i="2"/>
  <c r="M3503" i="2"/>
  <c r="J3503" i="2"/>
  <c r="I3503" i="2"/>
  <c r="H3503" i="2"/>
  <c r="G3503" i="2"/>
  <c r="F3503" i="2"/>
  <c r="E3503" i="2"/>
  <c r="D3503" i="2"/>
  <c r="C3503" i="2"/>
  <c r="B3503" i="2"/>
  <c r="A3503" i="2"/>
  <c r="Q3502" i="2"/>
  <c r="U3502" i="2" s="1"/>
  <c r="N3502" i="2"/>
  <c r="M3502" i="2"/>
  <c r="J3502" i="2"/>
  <c r="I3502" i="2"/>
  <c r="H3502" i="2"/>
  <c r="G3502" i="2"/>
  <c r="F3502" i="2"/>
  <c r="E3502" i="2"/>
  <c r="D3502" i="2"/>
  <c r="C3502" i="2"/>
  <c r="B3502" i="2"/>
  <c r="A3502" i="2"/>
  <c r="U3501" i="2"/>
  <c r="N3501" i="2"/>
  <c r="M3501" i="2"/>
  <c r="J3501" i="2"/>
  <c r="I3501" i="2"/>
  <c r="H3501" i="2"/>
  <c r="G3501" i="2"/>
  <c r="F3501" i="2"/>
  <c r="E3501" i="2"/>
  <c r="D3501" i="2"/>
  <c r="C3501" i="2"/>
  <c r="B3501" i="2"/>
  <c r="A3501" i="2"/>
  <c r="U3500" i="2"/>
  <c r="N3500" i="2"/>
  <c r="M3500" i="2"/>
  <c r="J3500" i="2"/>
  <c r="I3500" i="2"/>
  <c r="H3500" i="2"/>
  <c r="G3500" i="2"/>
  <c r="F3500" i="2"/>
  <c r="E3500" i="2"/>
  <c r="D3500" i="2"/>
  <c r="C3500" i="2"/>
  <c r="B3500" i="2"/>
  <c r="A3500" i="2"/>
  <c r="U3499" i="2"/>
  <c r="N3499" i="2"/>
  <c r="M3499" i="2"/>
  <c r="J3499" i="2"/>
  <c r="I3499" i="2"/>
  <c r="H3499" i="2"/>
  <c r="G3499" i="2"/>
  <c r="F3499" i="2"/>
  <c r="E3499" i="2"/>
  <c r="D3499" i="2"/>
  <c r="C3499" i="2"/>
  <c r="B3499" i="2"/>
  <c r="A3499" i="2"/>
  <c r="U3498" i="2"/>
  <c r="N3498" i="2"/>
  <c r="M3498" i="2"/>
  <c r="J3498" i="2"/>
  <c r="I3498" i="2"/>
  <c r="H3498" i="2"/>
  <c r="G3498" i="2"/>
  <c r="F3498" i="2"/>
  <c r="E3498" i="2"/>
  <c r="D3498" i="2"/>
  <c r="C3498" i="2"/>
  <c r="B3498" i="2"/>
  <c r="A3498" i="2"/>
  <c r="U3497" i="2"/>
  <c r="N3497" i="2"/>
  <c r="M3497" i="2"/>
  <c r="J3497" i="2"/>
  <c r="I3497" i="2"/>
  <c r="H3497" i="2"/>
  <c r="G3497" i="2"/>
  <c r="F3497" i="2"/>
  <c r="E3497" i="2"/>
  <c r="D3497" i="2"/>
  <c r="C3497" i="2"/>
  <c r="B3497" i="2"/>
  <c r="A3497" i="2"/>
  <c r="U3496" i="2"/>
  <c r="N3496" i="2"/>
  <c r="M3496" i="2"/>
  <c r="J3496" i="2"/>
  <c r="I3496" i="2"/>
  <c r="H3496" i="2"/>
  <c r="G3496" i="2"/>
  <c r="F3496" i="2"/>
  <c r="E3496" i="2"/>
  <c r="D3496" i="2"/>
  <c r="C3496" i="2"/>
  <c r="B3496" i="2"/>
  <c r="A3496" i="2"/>
  <c r="U3495" i="2"/>
  <c r="N3495" i="2"/>
  <c r="M3495" i="2"/>
  <c r="J3495" i="2"/>
  <c r="I3495" i="2"/>
  <c r="H3495" i="2"/>
  <c r="G3495" i="2"/>
  <c r="F3495" i="2"/>
  <c r="E3495" i="2"/>
  <c r="D3495" i="2"/>
  <c r="C3495" i="2"/>
  <c r="B3495" i="2"/>
  <c r="A3495" i="2"/>
  <c r="U3494" i="2"/>
  <c r="N3494" i="2"/>
  <c r="M3494" i="2"/>
  <c r="J3494" i="2"/>
  <c r="I3494" i="2"/>
  <c r="H3494" i="2"/>
  <c r="G3494" i="2"/>
  <c r="F3494" i="2"/>
  <c r="E3494" i="2"/>
  <c r="D3494" i="2"/>
  <c r="C3494" i="2"/>
  <c r="B3494" i="2"/>
  <c r="A3494" i="2"/>
  <c r="Q3493" i="2"/>
  <c r="U3493" i="2" s="1"/>
  <c r="N3493" i="2"/>
  <c r="M3493" i="2"/>
  <c r="J3493" i="2"/>
  <c r="I3493" i="2"/>
  <c r="H3493" i="2"/>
  <c r="G3493" i="2"/>
  <c r="F3493" i="2"/>
  <c r="E3493" i="2"/>
  <c r="D3493" i="2"/>
  <c r="C3493" i="2"/>
  <c r="B3493" i="2"/>
  <c r="A3493" i="2"/>
  <c r="U3492" i="2"/>
  <c r="N3492" i="2"/>
  <c r="M3492" i="2"/>
  <c r="J3492" i="2"/>
  <c r="I3492" i="2"/>
  <c r="H3492" i="2"/>
  <c r="G3492" i="2"/>
  <c r="F3492" i="2"/>
  <c r="E3492" i="2"/>
  <c r="D3492" i="2"/>
  <c r="C3492" i="2"/>
  <c r="B3492" i="2"/>
  <c r="A3492" i="2"/>
  <c r="U3491" i="2"/>
  <c r="N3491" i="2"/>
  <c r="M3491" i="2"/>
  <c r="J3491" i="2"/>
  <c r="I3491" i="2"/>
  <c r="H3491" i="2"/>
  <c r="G3491" i="2"/>
  <c r="F3491" i="2"/>
  <c r="E3491" i="2"/>
  <c r="D3491" i="2"/>
  <c r="C3491" i="2"/>
  <c r="B3491" i="2"/>
  <c r="A3491" i="2"/>
  <c r="Q3490" i="2"/>
  <c r="U3490" i="2" s="1"/>
  <c r="N3490" i="2"/>
  <c r="M3490" i="2"/>
  <c r="J3490" i="2"/>
  <c r="I3490" i="2"/>
  <c r="H3490" i="2"/>
  <c r="G3490" i="2"/>
  <c r="F3490" i="2"/>
  <c r="E3490" i="2"/>
  <c r="D3490" i="2"/>
  <c r="C3490" i="2"/>
  <c r="B3490" i="2"/>
  <c r="A3490" i="2"/>
  <c r="U3489" i="2"/>
  <c r="N3489" i="2"/>
  <c r="M3489" i="2"/>
  <c r="J3489" i="2"/>
  <c r="I3489" i="2"/>
  <c r="H3489" i="2"/>
  <c r="G3489" i="2"/>
  <c r="F3489" i="2"/>
  <c r="E3489" i="2"/>
  <c r="D3489" i="2"/>
  <c r="C3489" i="2"/>
  <c r="B3489" i="2"/>
  <c r="A3489" i="2"/>
  <c r="U3488" i="2"/>
  <c r="N3488" i="2"/>
  <c r="M3488" i="2"/>
  <c r="J3488" i="2"/>
  <c r="I3488" i="2"/>
  <c r="H3488" i="2"/>
  <c r="G3488" i="2"/>
  <c r="F3488" i="2"/>
  <c r="E3488" i="2"/>
  <c r="D3488" i="2"/>
  <c r="C3488" i="2"/>
  <c r="B3488" i="2"/>
  <c r="A3488" i="2"/>
  <c r="U3487" i="2"/>
  <c r="N3487" i="2"/>
  <c r="M3487" i="2"/>
  <c r="J3487" i="2"/>
  <c r="I3487" i="2"/>
  <c r="H3487" i="2"/>
  <c r="G3487" i="2"/>
  <c r="F3487" i="2"/>
  <c r="E3487" i="2"/>
  <c r="D3487" i="2"/>
  <c r="C3487" i="2"/>
  <c r="B3487" i="2"/>
  <c r="A3487" i="2"/>
  <c r="U3486" i="2"/>
  <c r="N3486" i="2"/>
  <c r="M3486" i="2"/>
  <c r="J3486" i="2"/>
  <c r="I3486" i="2"/>
  <c r="H3486" i="2"/>
  <c r="G3486" i="2"/>
  <c r="F3486" i="2"/>
  <c r="E3486" i="2"/>
  <c r="D3486" i="2"/>
  <c r="C3486" i="2"/>
  <c r="B3486" i="2"/>
  <c r="A3486" i="2"/>
  <c r="Q3485" i="2"/>
  <c r="U3485" i="2" s="1"/>
  <c r="N3485" i="2"/>
  <c r="M3485" i="2"/>
  <c r="J3485" i="2"/>
  <c r="I3485" i="2"/>
  <c r="H3485" i="2"/>
  <c r="G3485" i="2"/>
  <c r="F3485" i="2"/>
  <c r="E3485" i="2"/>
  <c r="D3485" i="2"/>
  <c r="C3485" i="2"/>
  <c r="B3485" i="2"/>
  <c r="A3485" i="2"/>
  <c r="Q3484" i="2"/>
  <c r="U3484" i="2" s="1"/>
  <c r="N3484" i="2"/>
  <c r="M3484" i="2"/>
  <c r="J3484" i="2"/>
  <c r="I3484" i="2"/>
  <c r="H3484" i="2"/>
  <c r="G3484" i="2"/>
  <c r="F3484" i="2"/>
  <c r="E3484" i="2"/>
  <c r="D3484" i="2"/>
  <c r="C3484" i="2"/>
  <c r="B3484" i="2"/>
  <c r="A3484" i="2"/>
  <c r="U3483" i="2"/>
  <c r="N3483" i="2"/>
  <c r="M3483" i="2"/>
  <c r="J3483" i="2"/>
  <c r="I3483" i="2"/>
  <c r="H3483" i="2"/>
  <c r="G3483" i="2"/>
  <c r="F3483" i="2"/>
  <c r="E3483" i="2"/>
  <c r="D3483" i="2"/>
  <c r="C3483" i="2"/>
  <c r="B3483" i="2"/>
  <c r="A3483" i="2"/>
  <c r="U3482" i="2"/>
  <c r="N3482" i="2"/>
  <c r="M3482" i="2"/>
  <c r="J3482" i="2"/>
  <c r="I3482" i="2"/>
  <c r="H3482" i="2"/>
  <c r="G3482" i="2"/>
  <c r="F3482" i="2"/>
  <c r="E3482" i="2"/>
  <c r="D3482" i="2"/>
  <c r="C3482" i="2"/>
  <c r="B3482" i="2"/>
  <c r="A3482" i="2"/>
  <c r="Q3481" i="2"/>
  <c r="U3481" i="2" s="1"/>
  <c r="N3481" i="2"/>
  <c r="M3481" i="2"/>
  <c r="J3481" i="2"/>
  <c r="I3481" i="2"/>
  <c r="H3481" i="2"/>
  <c r="G3481" i="2"/>
  <c r="F3481" i="2"/>
  <c r="E3481" i="2"/>
  <c r="D3481" i="2"/>
  <c r="C3481" i="2"/>
  <c r="B3481" i="2"/>
  <c r="A3481" i="2"/>
  <c r="U3480" i="2"/>
  <c r="N3480" i="2"/>
  <c r="M3480" i="2"/>
  <c r="J3480" i="2"/>
  <c r="I3480" i="2"/>
  <c r="H3480" i="2"/>
  <c r="G3480" i="2"/>
  <c r="F3480" i="2"/>
  <c r="E3480" i="2"/>
  <c r="D3480" i="2"/>
  <c r="C3480" i="2"/>
  <c r="B3480" i="2"/>
  <c r="A3480" i="2"/>
  <c r="U3479" i="2"/>
  <c r="N3479" i="2"/>
  <c r="M3479" i="2"/>
  <c r="J3479" i="2"/>
  <c r="I3479" i="2"/>
  <c r="H3479" i="2"/>
  <c r="G3479" i="2"/>
  <c r="F3479" i="2"/>
  <c r="E3479" i="2"/>
  <c r="D3479" i="2"/>
  <c r="C3479" i="2"/>
  <c r="B3479" i="2"/>
  <c r="A3479" i="2"/>
  <c r="U3478" i="2"/>
  <c r="N3478" i="2"/>
  <c r="M3478" i="2"/>
  <c r="J3478" i="2"/>
  <c r="I3478" i="2"/>
  <c r="H3478" i="2"/>
  <c r="G3478" i="2"/>
  <c r="F3478" i="2"/>
  <c r="E3478" i="2"/>
  <c r="D3478" i="2"/>
  <c r="C3478" i="2"/>
  <c r="B3478" i="2"/>
  <c r="A3478" i="2"/>
  <c r="U3477" i="2"/>
  <c r="N3477" i="2"/>
  <c r="M3477" i="2"/>
  <c r="J3477" i="2"/>
  <c r="I3477" i="2"/>
  <c r="H3477" i="2"/>
  <c r="G3477" i="2"/>
  <c r="F3477" i="2"/>
  <c r="E3477" i="2"/>
  <c r="D3477" i="2"/>
  <c r="C3477" i="2"/>
  <c r="B3477" i="2"/>
  <c r="A3477" i="2"/>
  <c r="U3476" i="2"/>
  <c r="N3476" i="2"/>
  <c r="M3476" i="2"/>
  <c r="J3476" i="2"/>
  <c r="I3476" i="2"/>
  <c r="H3476" i="2"/>
  <c r="G3476" i="2"/>
  <c r="F3476" i="2"/>
  <c r="E3476" i="2"/>
  <c r="D3476" i="2"/>
  <c r="C3476" i="2"/>
  <c r="B3476" i="2"/>
  <c r="A3476" i="2"/>
  <c r="U3475" i="2"/>
  <c r="N3475" i="2"/>
  <c r="M3475" i="2"/>
  <c r="J3475" i="2"/>
  <c r="I3475" i="2"/>
  <c r="H3475" i="2"/>
  <c r="G3475" i="2"/>
  <c r="F3475" i="2"/>
  <c r="E3475" i="2"/>
  <c r="D3475" i="2"/>
  <c r="C3475" i="2"/>
  <c r="B3475" i="2"/>
  <c r="A3475" i="2"/>
  <c r="Q3474" i="2"/>
  <c r="U3474" i="2" s="1"/>
  <c r="N3474" i="2"/>
  <c r="M3474" i="2"/>
  <c r="J3474" i="2"/>
  <c r="I3474" i="2"/>
  <c r="H3474" i="2"/>
  <c r="G3474" i="2"/>
  <c r="F3474" i="2"/>
  <c r="E3474" i="2"/>
  <c r="D3474" i="2"/>
  <c r="C3474" i="2"/>
  <c r="B3474" i="2"/>
  <c r="A3474" i="2"/>
  <c r="Q3473" i="2"/>
  <c r="U3473" i="2" s="1"/>
  <c r="N3473" i="2"/>
  <c r="M3473" i="2"/>
  <c r="J3473" i="2"/>
  <c r="I3473" i="2"/>
  <c r="H3473" i="2"/>
  <c r="G3473" i="2"/>
  <c r="F3473" i="2"/>
  <c r="E3473" i="2"/>
  <c r="D3473" i="2"/>
  <c r="C3473" i="2"/>
  <c r="B3473" i="2"/>
  <c r="A3473" i="2"/>
  <c r="Q3472" i="2"/>
  <c r="U3472" i="2" s="1"/>
  <c r="N3472" i="2"/>
  <c r="M3472" i="2"/>
  <c r="J3472" i="2"/>
  <c r="I3472" i="2"/>
  <c r="H3472" i="2"/>
  <c r="G3472" i="2"/>
  <c r="F3472" i="2"/>
  <c r="E3472" i="2"/>
  <c r="D3472" i="2"/>
  <c r="C3472" i="2"/>
  <c r="B3472" i="2"/>
  <c r="A3472" i="2"/>
  <c r="U3471" i="2"/>
  <c r="N3471" i="2"/>
  <c r="M3471" i="2"/>
  <c r="J3471" i="2"/>
  <c r="I3471" i="2"/>
  <c r="H3471" i="2"/>
  <c r="G3471" i="2"/>
  <c r="F3471" i="2"/>
  <c r="E3471" i="2"/>
  <c r="D3471" i="2"/>
  <c r="C3471" i="2"/>
  <c r="B3471" i="2"/>
  <c r="A3471" i="2"/>
  <c r="U3470" i="2"/>
  <c r="N3470" i="2"/>
  <c r="M3470" i="2"/>
  <c r="J3470" i="2"/>
  <c r="I3470" i="2"/>
  <c r="H3470" i="2"/>
  <c r="G3470" i="2"/>
  <c r="F3470" i="2"/>
  <c r="E3470" i="2"/>
  <c r="D3470" i="2"/>
  <c r="C3470" i="2"/>
  <c r="B3470" i="2"/>
  <c r="A3470" i="2"/>
  <c r="U3469" i="2"/>
  <c r="N3469" i="2"/>
  <c r="M3469" i="2"/>
  <c r="J3469" i="2"/>
  <c r="I3469" i="2"/>
  <c r="H3469" i="2"/>
  <c r="G3469" i="2"/>
  <c r="F3469" i="2"/>
  <c r="E3469" i="2"/>
  <c r="D3469" i="2"/>
  <c r="C3469" i="2"/>
  <c r="B3469" i="2"/>
  <c r="A3469" i="2"/>
  <c r="Q3468" i="2"/>
  <c r="U3468" i="2" s="1"/>
  <c r="N3468" i="2"/>
  <c r="M3468" i="2"/>
  <c r="J3468" i="2"/>
  <c r="I3468" i="2"/>
  <c r="H3468" i="2"/>
  <c r="G3468" i="2"/>
  <c r="F3468" i="2"/>
  <c r="E3468" i="2"/>
  <c r="D3468" i="2"/>
  <c r="C3468" i="2"/>
  <c r="B3468" i="2"/>
  <c r="A3468" i="2"/>
  <c r="U3467" i="2"/>
  <c r="N3467" i="2"/>
  <c r="M3467" i="2"/>
  <c r="J3467" i="2"/>
  <c r="I3467" i="2"/>
  <c r="H3467" i="2"/>
  <c r="G3467" i="2"/>
  <c r="F3467" i="2"/>
  <c r="E3467" i="2"/>
  <c r="D3467" i="2"/>
  <c r="C3467" i="2"/>
  <c r="B3467" i="2"/>
  <c r="A3467" i="2"/>
  <c r="U3466" i="2"/>
  <c r="N3466" i="2"/>
  <c r="M3466" i="2"/>
  <c r="J3466" i="2"/>
  <c r="I3466" i="2"/>
  <c r="H3466" i="2"/>
  <c r="G3466" i="2"/>
  <c r="F3466" i="2"/>
  <c r="E3466" i="2"/>
  <c r="D3466" i="2"/>
  <c r="C3466" i="2"/>
  <c r="B3466" i="2"/>
  <c r="A3466" i="2"/>
  <c r="U3465" i="2"/>
  <c r="N3465" i="2"/>
  <c r="M3465" i="2"/>
  <c r="J3465" i="2"/>
  <c r="I3465" i="2"/>
  <c r="H3465" i="2"/>
  <c r="G3465" i="2"/>
  <c r="F3465" i="2"/>
  <c r="E3465" i="2"/>
  <c r="D3465" i="2"/>
  <c r="C3465" i="2"/>
  <c r="B3465" i="2"/>
  <c r="A3465" i="2"/>
  <c r="Q3464" i="2"/>
  <c r="U3464" i="2" s="1"/>
  <c r="N3464" i="2"/>
  <c r="M3464" i="2"/>
  <c r="J3464" i="2"/>
  <c r="I3464" i="2"/>
  <c r="H3464" i="2"/>
  <c r="G3464" i="2"/>
  <c r="F3464" i="2"/>
  <c r="E3464" i="2"/>
  <c r="D3464" i="2"/>
  <c r="C3464" i="2"/>
  <c r="B3464" i="2"/>
  <c r="A3464" i="2"/>
  <c r="U3463" i="2"/>
  <c r="N3463" i="2"/>
  <c r="M3463" i="2"/>
  <c r="J3463" i="2"/>
  <c r="I3463" i="2"/>
  <c r="H3463" i="2"/>
  <c r="G3463" i="2"/>
  <c r="F3463" i="2"/>
  <c r="E3463" i="2"/>
  <c r="D3463" i="2"/>
  <c r="C3463" i="2"/>
  <c r="B3463" i="2"/>
  <c r="A3463" i="2"/>
  <c r="U3462" i="2"/>
  <c r="N3462" i="2"/>
  <c r="M3462" i="2"/>
  <c r="J3462" i="2"/>
  <c r="I3462" i="2"/>
  <c r="H3462" i="2"/>
  <c r="G3462" i="2"/>
  <c r="F3462" i="2"/>
  <c r="E3462" i="2"/>
  <c r="D3462" i="2"/>
  <c r="C3462" i="2"/>
  <c r="B3462" i="2"/>
  <c r="A3462" i="2"/>
  <c r="Q3461" i="2"/>
  <c r="U3461" i="2" s="1"/>
  <c r="N3461" i="2"/>
  <c r="M3461" i="2"/>
  <c r="J3461" i="2"/>
  <c r="I3461" i="2"/>
  <c r="H3461" i="2"/>
  <c r="G3461" i="2"/>
  <c r="F3461" i="2"/>
  <c r="E3461" i="2"/>
  <c r="D3461" i="2"/>
  <c r="C3461" i="2"/>
  <c r="B3461" i="2"/>
  <c r="A3461" i="2"/>
  <c r="U3460" i="2"/>
  <c r="N3460" i="2"/>
  <c r="M3460" i="2"/>
  <c r="J3460" i="2"/>
  <c r="I3460" i="2"/>
  <c r="H3460" i="2"/>
  <c r="G3460" i="2"/>
  <c r="F3460" i="2"/>
  <c r="E3460" i="2"/>
  <c r="D3460" i="2"/>
  <c r="C3460" i="2"/>
  <c r="B3460" i="2"/>
  <c r="A3460" i="2"/>
  <c r="Q3459" i="2"/>
  <c r="U3459" i="2" s="1"/>
  <c r="N3459" i="2"/>
  <c r="M3459" i="2"/>
  <c r="J3459" i="2"/>
  <c r="I3459" i="2"/>
  <c r="H3459" i="2"/>
  <c r="G3459" i="2"/>
  <c r="F3459" i="2"/>
  <c r="E3459" i="2"/>
  <c r="D3459" i="2"/>
  <c r="C3459" i="2"/>
  <c r="B3459" i="2"/>
  <c r="A3459" i="2"/>
  <c r="Q3458" i="2"/>
  <c r="U3458" i="2" s="1"/>
  <c r="N3458" i="2"/>
  <c r="M3458" i="2"/>
  <c r="J3458" i="2"/>
  <c r="I3458" i="2"/>
  <c r="H3458" i="2"/>
  <c r="G3458" i="2"/>
  <c r="F3458" i="2"/>
  <c r="E3458" i="2"/>
  <c r="D3458" i="2"/>
  <c r="C3458" i="2"/>
  <c r="B3458" i="2"/>
  <c r="A3458" i="2"/>
  <c r="R3457" i="2"/>
  <c r="U3457" i="2" s="1"/>
  <c r="Q3457" i="2"/>
  <c r="N3457" i="2"/>
  <c r="M3457" i="2"/>
  <c r="J3457" i="2"/>
  <c r="I3457" i="2"/>
  <c r="H3457" i="2"/>
  <c r="G3457" i="2"/>
  <c r="F3457" i="2"/>
  <c r="E3457" i="2"/>
  <c r="D3457" i="2"/>
  <c r="C3457" i="2"/>
  <c r="B3457" i="2"/>
  <c r="A3457" i="2"/>
  <c r="U3456" i="2"/>
  <c r="N3456" i="2"/>
  <c r="M3456" i="2"/>
  <c r="J3456" i="2"/>
  <c r="I3456" i="2"/>
  <c r="H3456" i="2"/>
  <c r="G3456" i="2"/>
  <c r="F3456" i="2"/>
  <c r="E3456" i="2"/>
  <c r="D3456" i="2"/>
  <c r="C3456" i="2"/>
  <c r="B3456" i="2"/>
  <c r="A3456" i="2"/>
  <c r="R3455" i="2"/>
  <c r="Q3455" i="2"/>
  <c r="N3455" i="2"/>
  <c r="M3455" i="2"/>
  <c r="J3455" i="2"/>
  <c r="I3455" i="2"/>
  <c r="H3455" i="2"/>
  <c r="G3455" i="2"/>
  <c r="F3455" i="2"/>
  <c r="E3455" i="2"/>
  <c r="D3455" i="2"/>
  <c r="C3455" i="2"/>
  <c r="B3455" i="2"/>
  <c r="A3455" i="2"/>
  <c r="Q3454" i="2"/>
  <c r="U3454" i="2" s="1"/>
  <c r="N3454" i="2"/>
  <c r="M3454" i="2"/>
  <c r="J3454" i="2"/>
  <c r="I3454" i="2"/>
  <c r="H3454" i="2"/>
  <c r="G3454" i="2"/>
  <c r="F3454" i="2"/>
  <c r="E3454" i="2"/>
  <c r="D3454" i="2"/>
  <c r="C3454" i="2"/>
  <c r="B3454" i="2"/>
  <c r="A3454" i="2"/>
  <c r="R3453" i="2"/>
  <c r="Q3453" i="2"/>
  <c r="N3453" i="2"/>
  <c r="M3453" i="2"/>
  <c r="J3453" i="2"/>
  <c r="I3453" i="2"/>
  <c r="H3453" i="2"/>
  <c r="G3453" i="2"/>
  <c r="F3453" i="2"/>
  <c r="E3453" i="2"/>
  <c r="D3453" i="2"/>
  <c r="C3453" i="2"/>
  <c r="B3453" i="2"/>
  <c r="A3453" i="2"/>
  <c r="U3452" i="2"/>
  <c r="N3452" i="2"/>
  <c r="M3452" i="2"/>
  <c r="J3452" i="2"/>
  <c r="I3452" i="2"/>
  <c r="H3452" i="2"/>
  <c r="G3452" i="2"/>
  <c r="F3452" i="2"/>
  <c r="E3452" i="2"/>
  <c r="D3452" i="2"/>
  <c r="C3452" i="2"/>
  <c r="B3452" i="2"/>
  <c r="A3452" i="2"/>
  <c r="U3451" i="2"/>
  <c r="N3451" i="2"/>
  <c r="M3451" i="2"/>
  <c r="J3451" i="2"/>
  <c r="I3451" i="2"/>
  <c r="H3451" i="2"/>
  <c r="G3451" i="2"/>
  <c r="F3451" i="2"/>
  <c r="E3451" i="2"/>
  <c r="D3451" i="2"/>
  <c r="C3451" i="2"/>
  <c r="B3451" i="2"/>
  <c r="A3451" i="2"/>
  <c r="U3450" i="2"/>
  <c r="N3450" i="2"/>
  <c r="M3450" i="2"/>
  <c r="J3450" i="2"/>
  <c r="I3450" i="2"/>
  <c r="H3450" i="2"/>
  <c r="G3450" i="2"/>
  <c r="F3450" i="2"/>
  <c r="E3450" i="2"/>
  <c r="D3450" i="2"/>
  <c r="C3450" i="2"/>
  <c r="B3450" i="2"/>
  <c r="A3450" i="2"/>
  <c r="U3449" i="2"/>
  <c r="N3449" i="2"/>
  <c r="M3449" i="2"/>
  <c r="J3449" i="2"/>
  <c r="I3449" i="2"/>
  <c r="H3449" i="2"/>
  <c r="G3449" i="2"/>
  <c r="F3449" i="2"/>
  <c r="E3449" i="2"/>
  <c r="D3449" i="2"/>
  <c r="C3449" i="2"/>
  <c r="B3449" i="2"/>
  <c r="A3449" i="2"/>
  <c r="U3448" i="2"/>
  <c r="N3448" i="2"/>
  <c r="M3448" i="2"/>
  <c r="J3448" i="2"/>
  <c r="I3448" i="2"/>
  <c r="H3448" i="2"/>
  <c r="G3448" i="2"/>
  <c r="F3448" i="2"/>
  <c r="E3448" i="2"/>
  <c r="D3448" i="2"/>
  <c r="C3448" i="2"/>
  <c r="B3448" i="2"/>
  <c r="A3448" i="2"/>
  <c r="U3447" i="2"/>
  <c r="N3447" i="2"/>
  <c r="M3447" i="2"/>
  <c r="J3447" i="2"/>
  <c r="I3447" i="2"/>
  <c r="H3447" i="2"/>
  <c r="G3447" i="2"/>
  <c r="F3447" i="2"/>
  <c r="E3447" i="2"/>
  <c r="D3447" i="2"/>
  <c r="C3447" i="2"/>
  <c r="B3447" i="2"/>
  <c r="A3447" i="2"/>
  <c r="Q3446" i="2"/>
  <c r="U3446" i="2" s="1"/>
  <c r="N3446" i="2"/>
  <c r="M3446" i="2"/>
  <c r="J3446" i="2"/>
  <c r="I3446" i="2"/>
  <c r="H3446" i="2"/>
  <c r="G3446" i="2"/>
  <c r="F3446" i="2"/>
  <c r="E3446" i="2"/>
  <c r="D3446" i="2"/>
  <c r="C3446" i="2"/>
  <c r="B3446" i="2"/>
  <c r="A3446" i="2"/>
  <c r="Q3445" i="2"/>
  <c r="U3445" i="2" s="1"/>
  <c r="N3445" i="2"/>
  <c r="M3445" i="2"/>
  <c r="J3445" i="2"/>
  <c r="I3445" i="2"/>
  <c r="H3445" i="2"/>
  <c r="G3445" i="2"/>
  <c r="F3445" i="2"/>
  <c r="E3445" i="2"/>
  <c r="D3445" i="2"/>
  <c r="C3445" i="2"/>
  <c r="B3445" i="2"/>
  <c r="A3445" i="2"/>
  <c r="Q3444" i="2"/>
  <c r="U3444" i="2" s="1"/>
  <c r="N3444" i="2"/>
  <c r="M3444" i="2"/>
  <c r="J3444" i="2"/>
  <c r="I3444" i="2"/>
  <c r="H3444" i="2"/>
  <c r="G3444" i="2"/>
  <c r="F3444" i="2"/>
  <c r="E3444" i="2"/>
  <c r="D3444" i="2"/>
  <c r="C3444" i="2"/>
  <c r="B3444" i="2"/>
  <c r="A3444" i="2"/>
  <c r="U3443" i="2"/>
  <c r="N3443" i="2"/>
  <c r="M3443" i="2"/>
  <c r="J3443" i="2"/>
  <c r="I3443" i="2"/>
  <c r="H3443" i="2"/>
  <c r="G3443" i="2"/>
  <c r="F3443" i="2"/>
  <c r="E3443" i="2"/>
  <c r="D3443" i="2"/>
  <c r="C3443" i="2"/>
  <c r="B3443" i="2"/>
  <c r="A3443" i="2"/>
  <c r="U3442" i="2"/>
  <c r="N3442" i="2"/>
  <c r="M3442" i="2"/>
  <c r="J3442" i="2"/>
  <c r="I3442" i="2"/>
  <c r="H3442" i="2"/>
  <c r="G3442" i="2"/>
  <c r="F3442" i="2"/>
  <c r="E3442" i="2"/>
  <c r="D3442" i="2"/>
  <c r="C3442" i="2"/>
  <c r="B3442" i="2"/>
  <c r="A3442" i="2"/>
  <c r="Q3441" i="2"/>
  <c r="U3441" i="2" s="1"/>
  <c r="N3441" i="2"/>
  <c r="M3441" i="2"/>
  <c r="J3441" i="2"/>
  <c r="I3441" i="2"/>
  <c r="H3441" i="2"/>
  <c r="G3441" i="2"/>
  <c r="F3441" i="2"/>
  <c r="E3441" i="2"/>
  <c r="D3441" i="2"/>
  <c r="C3441" i="2"/>
  <c r="B3441" i="2"/>
  <c r="A3441" i="2"/>
  <c r="U3440" i="2"/>
  <c r="N3440" i="2"/>
  <c r="M3440" i="2"/>
  <c r="J3440" i="2"/>
  <c r="I3440" i="2"/>
  <c r="H3440" i="2"/>
  <c r="G3440" i="2"/>
  <c r="F3440" i="2"/>
  <c r="E3440" i="2"/>
  <c r="D3440" i="2"/>
  <c r="C3440" i="2"/>
  <c r="B3440" i="2"/>
  <c r="A3440" i="2"/>
  <c r="U3439" i="2"/>
  <c r="N3439" i="2"/>
  <c r="M3439" i="2"/>
  <c r="J3439" i="2"/>
  <c r="I3439" i="2"/>
  <c r="H3439" i="2"/>
  <c r="G3439" i="2"/>
  <c r="F3439" i="2"/>
  <c r="E3439" i="2"/>
  <c r="D3439" i="2"/>
  <c r="C3439" i="2"/>
  <c r="B3439" i="2"/>
  <c r="A3439" i="2"/>
  <c r="U3438" i="2"/>
  <c r="N3438" i="2"/>
  <c r="M3438" i="2"/>
  <c r="J3438" i="2"/>
  <c r="I3438" i="2"/>
  <c r="H3438" i="2"/>
  <c r="G3438" i="2"/>
  <c r="F3438" i="2"/>
  <c r="E3438" i="2"/>
  <c r="D3438" i="2"/>
  <c r="C3438" i="2"/>
  <c r="B3438" i="2"/>
  <c r="A3438" i="2"/>
  <c r="U3437" i="2"/>
  <c r="N3437" i="2"/>
  <c r="M3437" i="2"/>
  <c r="J3437" i="2"/>
  <c r="I3437" i="2"/>
  <c r="H3437" i="2"/>
  <c r="G3437" i="2"/>
  <c r="F3437" i="2"/>
  <c r="E3437" i="2"/>
  <c r="D3437" i="2"/>
  <c r="C3437" i="2"/>
  <c r="B3437" i="2"/>
  <c r="A3437" i="2"/>
  <c r="Q3436" i="2"/>
  <c r="U3436" i="2" s="1"/>
  <c r="N3436" i="2"/>
  <c r="M3436" i="2"/>
  <c r="J3436" i="2"/>
  <c r="I3436" i="2"/>
  <c r="H3436" i="2"/>
  <c r="G3436" i="2"/>
  <c r="F3436" i="2"/>
  <c r="E3436" i="2"/>
  <c r="D3436" i="2"/>
  <c r="C3436" i="2"/>
  <c r="B3436" i="2"/>
  <c r="A3436" i="2"/>
  <c r="U3435" i="2"/>
  <c r="N3435" i="2"/>
  <c r="M3435" i="2"/>
  <c r="J3435" i="2"/>
  <c r="I3435" i="2"/>
  <c r="H3435" i="2"/>
  <c r="G3435" i="2"/>
  <c r="F3435" i="2"/>
  <c r="E3435" i="2"/>
  <c r="D3435" i="2"/>
  <c r="C3435" i="2"/>
  <c r="B3435" i="2"/>
  <c r="A3435" i="2"/>
  <c r="Q3434" i="2"/>
  <c r="U3434" i="2" s="1"/>
  <c r="N3434" i="2"/>
  <c r="M3434" i="2"/>
  <c r="J3434" i="2"/>
  <c r="I3434" i="2"/>
  <c r="H3434" i="2"/>
  <c r="G3434" i="2"/>
  <c r="F3434" i="2"/>
  <c r="E3434" i="2"/>
  <c r="D3434" i="2"/>
  <c r="C3434" i="2"/>
  <c r="B3434" i="2"/>
  <c r="A3434" i="2"/>
  <c r="U3433" i="2"/>
  <c r="N3433" i="2"/>
  <c r="M3433" i="2"/>
  <c r="J3433" i="2"/>
  <c r="I3433" i="2"/>
  <c r="H3433" i="2"/>
  <c r="G3433" i="2"/>
  <c r="F3433" i="2"/>
  <c r="E3433" i="2"/>
  <c r="D3433" i="2"/>
  <c r="C3433" i="2"/>
  <c r="B3433" i="2"/>
  <c r="A3433" i="2"/>
  <c r="U3432" i="2"/>
  <c r="N3432" i="2"/>
  <c r="M3432" i="2"/>
  <c r="J3432" i="2"/>
  <c r="I3432" i="2"/>
  <c r="H3432" i="2"/>
  <c r="G3432" i="2"/>
  <c r="F3432" i="2"/>
  <c r="E3432" i="2"/>
  <c r="D3432" i="2"/>
  <c r="C3432" i="2"/>
  <c r="B3432" i="2"/>
  <c r="A3432" i="2"/>
  <c r="U3431" i="2"/>
  <c r="N3431" i="2"/>
  <c r="M3431" i="2"/>
  <c r="J3431" i="2"/>
  <c r="I3431" i="2"/>
  <c r="H3431" i="2"/>
  <c r="G3431" i="2"/>
  <c r="F3431" i="2"/>
  <c r="E3431" i="2"/>
  <c r="D3431" i="2"/>
  <c r="C3431" i="2"/>
  <c r="B3431" i="2"/>
  <c r="A3431" i="2"/>
  <c r="U3430" i="2"/>
  <c r="N3430" i="2"/>
  <c r="M3430" i="2"/>
  <c r="J3430" i="2"/>
  <c r="I3430" i="2"/>
  <c r="H3430" i="2"/>
  <c r="G3430" i="2"/>
  <c r="F3430" i="2"/>
  <c r="E3430" i="2"/>
  <c r="D3430" i="2"/>
  <c r="C3430" i="2"/>
  <c r="B3430" i="2"/>
  <c r="A3430" i="2"/>
  <c r="U3429" i="2"/>
  <c r="N3429" i="2"/>
  <c r="M3429" i="2"/>
  <c r="J3429" i="2"/>
  <c r="I3429" i="2"/>
  <c r="H3429" i="2"/>
  <c r="G3429" i="2"/>
  <c r="F3429" i="2"/>
  <c r="E3429" i="2"/>
  <c r="D3429" i="2"/>
  <c r="C3429" i="2"/>
  <c r="B3429" i="2"/>
  <c r="A3429" i="2"/>
  <c r="Q3428" i="2"/>
  <c r="U3428" i="2" s="1"/>
  <c r="N3428" i="2"/>
  <c r="M3428" i="2"/>
  <c r="J3428" i="2"/>
  <c r="I3428" i="2"/>
  <c r="H3428" i="2"/>
  <c r="G3428" i="2"/>
  <c r="F3428" i="2"/>
  <c r="E3428" i="2"/>
  <c r="D3428" i="2"/>
  <c r="C3428" i="2"/>
  <c r="B3428" i="2"/>
  <c r="A3428" i="2"/>
  <c r="U3427" i="2"/>
  <c r="N3427" i="2"/>
  <c r="M3427" i="2"/>
  <c r="J3427" i="2"/>
  <c r="I3427" i="2"/>
  <c r="H3427" i="2"/>
  <c r="G3427" i="2"/>
  <c r="F3427" i="2"/>
  <c r="E3427" i="2"/>
  <c r="D3427" i="2"/>
  <c r="C3427" i="2"/>
  <c r="B3427" i="2"/>
  <c r="A3427" i="2"/>
  <c r="U3426" i="2"/>
  <c r="N3426" i="2"/>
  <c r="M3426" i="2"/>
  <c r="J3426" i="2"/>
  <c r="I3426" i="2"/>
  <c r="H3426" i="2"/>
  <c r="G3426" i="2"/>
  <c r="F3426" i="2"/>
  <c r="E3426" i="2"/>
  <c r="D3426" i="2"/>
  <c r="C3426" i="2"/>
  <c r="B3426" i="2"/>
  <c r="A3426" i="2"/>
  <c r="U3425" i="2"/>
  <c r="N3425" i="2"/>
  <c r="M3425" i="2"/>
  <c r="J3425" i="2"/>
  <c r="I3425" i="2"/>
  <c r="H3425" i="2"/>
  <c r="G3425" i="2"/>
  <c r="F3425" i="2"/>
  <c r="E3425" i="2"/>
  <c r="D3425" i="2"/>
  <c r="C3425" i="2"/>
  <c r="B3425" i="2"/>
  <c r="A3425" i="2"/>
  <c r="U3424" i="2"/>
  <c r="N3424" i="2"/>
  <c r="M3424" i="2"/>
  <c r="J3424" i="2"/>
  <c r="I3424" i="2"/>
  <c r="H3424" i="2"/>
  <c r="G3424" i="2"/>
  <c r="F3424" i="2"/>
  <c r="E3424" i="2"/>
  <c r="D3424" i="2"/>
  <c r="C3424" i="2"/>
  <c r="B3424" i="2"/>
  <c r="A3424" i="2"/>
  <c r="Q3423" i="2"/>
  <c r="U3423" i="2" s="1"/>
  <c r="N3423" i="2"/>
  <c r="M3423" i="2"/>
  <c r="J3423" i="2"/>
  <c r="I3423" i="2"/>
  <c r="H3423" i="2"/>
  <c r="G3423" i="2"/>
  <c r="F3423" i="2"/>
  <c r="E3423" i="2"/>
  <c r="D3423" i="2"/>
  <c r="C3423" i="2"/>
  <c r="B3423" i="2"/>
  <c r="A3423" i="2"/>
  <c r="U3422" i="2"/>
  <c r="N3422" i="2"/>
  <c r="M3422" i="2"/>
  <c r="J3422" i="2"/>
  <c r="I3422" i="2"/>
  <c r="H3422" i="2"/>
  <c r="G3422" i="2"/>
  <c r="F3422" i="2"/>
  <c r="E3422" i="2"/>
  <c r="D3422" i="2"/>
  <c r="C3422" i="2"/>
  <c r="B3422" i="2"/>
  <c r="A3422" i="2"/>
  <c r="U3421" i="2"/>
  <c r="N3421" i="2"/>
  <c r="M3421" i="2"/>
  <c r="J3421" i="2"/>
  <c r="I3421" i="2"/>
  <c r="H3421" i="2"/>
  <c r="G3421" i="2"/>
  <c r="F3421" i="2"/>
  <c r="E3421" i="2"/>
  <c r="D3421" i="2"/>
  <c r="C3421" i="2"/>
  <c r="B3421" i="2"/>
  <c r="A3421" i="2"/>
  <c r="U3420" i="2"/>
  <c r="N3420" i="2"/>
  <c r="M3420" i="2"/>
  <c r="J3420" i="2"/>
  <c r="I3420" i="2"/>
  <c r="H3420" i="2"/>
  <c r="G3420" i="2"/>
  <c r="F3420" i="2"/>
  <c r="E3420" i="2"/>
  <c r="D3420" i="2"/>
  <c r="C3420" i="2"/>
  <c r="B3420" i="2"/>
  <c r="A3420" i="2"/>
  <c r="Q3419" i="2"/>
  <c r="U3419" i="2" s="1"/>
  <c r="N3419" i="2"/>
  <c r="M3419" i="2"/>
  <c r="J3419" i="2"/>
  <c r="I3419" i="2"/>
  <c r="H3419" i="2"/>
  <c r="G3419" i="2"/>
  <c r="F3419" i="2"/>
  <c r="E3419" i="2"/>
  <c r="D3419" i="2"/>
  <c r="C3419" i="2"/>
  <c r="B3419" i="2"/>
  <c r="A3419" i="2"/>
  <c r="U3418" i="2"/>
  <c r="N3418" i="2"/>
  <c r="M3418" i="2"/>
  <c r="J3418" i="2"/>
  <c r="I3418" i="2"/>
  <c r="H3418" i="2"/>
  <c r="G3418" i="2"/>
  <c r="F3418" i="2"/>
  <c r="E3418" i="2"/>
  <c r="D3418" i="2"/>
  <c r="C3418" i="2"/>
  <c r="B3418" i="2"/>
  <c r="A3418" i="2"/>
  <c r="U3417" i="2"/>
  <c r="N3417" i="2"/>
  <c r="M3417" i="2"/>
  <c r="J3417" i="2"/>
  <c r="I3417" i="2"/>
  <c r="H3417" i="2"/>
  <c r="G3417" i="2"/>
  <c r="F3417" i="2"/>
  <c r="E3417" i="2"/>
  <c r="D3417" i="2"/>
  <c r="C3417" i="2"/>
  <c r="B3417" i="2"/>
  <c r="A3417" i="2"/>
  <c r="U3416" i="2"/>
  <c r="N3416" i="2"/>
  <c r="M3416" i="2"/>
  <c r="J3416" i="2"/>
  <c r="I3416" i="2"/>
  <c r="H3416" i="2"/>
  <c r="G3416" i="2"/>
  <c r="F3416" i="2"/>
  <c r="E3416" i="2"/>
  <c r="D3416" i="2"/>
  <c r="C3416" i="2"/>
  <c r="B3416" i="2"/>
  <c r="A3416" i="2"/>
  <c r="U3415" i="2"/>
  <c r="N3415" i="2"/>
  <c r="M3415" i="2"/>
  <c r="J3415" i="2"/>
  <c r="I3415" i="2"/>
  <c r="H3415" i="2"/>
  <c r="G3415" i="2"/>
  <c r="F3415" i="2"/>
  <c r="E3415" i="2"/>
  <c r="D3415" i="2"/>
  <c r="C3415" i="2"/>
  <c r="B3415" i="2"/>
  <c r="A3415" i="2"/>
  <c r="U3414" i="2"/>
  <c r="N3414" i="2"/>
  <c r="M3414" i="2"/>
  <c r="J3414" i="2"/>
  <c r="I3414" i="2"/>
  <c r="H3414" i="2"/>
  <c r="G3414" i="2"/>
  <c r="F3414" i="2"/>
  <c r="E3414" i="2"/>
  <c r="D3414" i="2"/>
  <c r="C3414" i="2"/>
  <c r="B3414" i="2"/>
  <c r="A3414" i="2"/>
  <c r="U3413" i="2"/>
  <c r="N3413" i="2"/>
  <c r="M3413" i="2"/>
  <c r="J3413" i="2"/>
  <c r="I3413" i="2"/>
  <c r="H3413" i="2"/>
  <c r="G3413" i="2"/>
  <c r="F3413" i="2"/>
  <c r="E3413" i="2"/>
  <c r="D3413" i="2"/>
  <c r="C3413" i="2"/>
  <c r="B3413" i="2"/>
  <c r="A3413" i="2"/>
  <c r="U3412" i="2"/>
  <c r="N3412" i="2"/>
  <c r="M3412" i="2"/>
  <c r="J3412" i="2"/>
  <c r="I3412" i="2"/>
  <c r="H3412" i="2"/>
  <c r="G3412" i="2"/>
  <c r="F3412" i="2"/>
  <c r="E3412" i="2"/>
  <c r="D3412" i="2"/>
  <c r="C3412" i="2"/>
  <c r="B3412" i="2"/>
  <c r="A3412" i="2"/>
  <c r="U3411" i="2"/>
  <c r="N3411" i="2"/>
  <c r="M3411" i="2"/>
  <c r="J3411" i="2"/>
  <c r="I3411" i="2"/>
  <c r="H3411" i="2"/>
  <c r="G3411" i="2"/>
  <c r="F3411" i="2"/>
  <c r="E3411" i="2"/>
  <c r="D3411" i="2"/>
  <c r="C3411" i="2"/>
  <c r="B3411" i="2"/>
  <c r="A3411" i="2"/>
  <c r="Q3410" i="2"/>
  <c r="U3410" i="2" s="1"/>
  <c r="N3410" i="2"/>
  <c r="M3410" i="2"/>
  <c r="J3410" i="2"/>
  <c r="I3410" i="2"/>
  <c r="H3410" i="2"/>
  <c r="G3410" i="2"/>
  <c r="F3410" i="2"/>
  <c r="E3410" i="2"/>
  <c r="D3410" i="2"/>
  <c r="C3410" i="2"/>
  <c r="B3410" i="2"/>
  <c r="A3410" i="2"/>
  <c r="U3409" i="2"/>
  <c r="N3409" i="2"/>
  <c r="M3409" i="2"/>
  <c r="J3409" i="2"/>
  <c r="I3409" i="2"/>
  <c r="H3409" i="2"/>
  <c r="G3409" i="2"/>
  <c r="F3409" i="2"/>
  <c r="E3409" i="2"/>
  <c r="D3409" i="2"/>
  <c r="C3409" i="2"/>
  <c r="B3409" i="2"/>
  <c r="A3409" i="2"/>
  <c r="U3408" i="2"/>
  <c r="N3408" i="2"/>
  <c r="M3408" i="2"/>
  <c r="J3408" i="2"/>
  <c r="I3408" i="2"/>
  <c r="H3408" i="2"/>
  <c r="G3408" i="2"/>
  <c r="F3408" i="2"/>
  <c r="E3408" i="2"/>
  <c r="D3408" i="2"/>
  <c r="C3408" i="2"/>
  <c r="B3408" i="2"/>
  <c r="A3408" i="2"/>
  <c r="U3407" i="2"/>
  <c r="N3407" i="2"/>
  <c r="M3407" i="2"/>
  <c r="J3407" i="2"/>
  <c r="I3407" i="2"/>
  <c r="H3407" i="2"/>
  <c r="G3407" i="2"/>
  <c r="F3407" i="2"/>
  <c r="E3407" i="2"/>
  <c r="D3407" i="2"/>
  <c r="C3407" i="2"/>
  <c r="B3407" i="2"/>
  <c r="A3407" i="2"/>
  <c r="Q3406" i="2"/>
  <c r="U3406" i="2" s="1"/>
  <c r="N3406" i="2"/>
  <c r="M3406" i="2"/>
  <c r="J3406" i="2"/>
  <c r="I3406" i="2"/>
  <c r="H3406" i="2"/>
  <c r="G3406" i="2"/>
  <c r="F3406" i="2"/>
  <c r="E3406" i="2"/>
  <c r="D3406" i="2"/>
  <c r="C3406" i="2"/>
  <c r="B3406" i="2"/>
  <c r="A3406" i="2"/>
  <c r="U3405" i="2"/>
  <c r="N3405" i="2"/>
  <c r="M3405" i="2"/>
  <c r="J3405" i="2"/>
  <c r="I3405" i="2"/>
  <c r="H3405" i="2"/>
  <c r="G3405" i="2"/>
  <c r="F3405" i="2"/>
  <c r="E3405" i="2"/>
  <c r="D3405" i="2"/>
  <c r="C3405" i="2"/>
  <c r="B3405" i="2"/>
  <c r="A3405" i="2"/>
  <c r="U3404" i="2"/>
  <c r="N3404" i="2"/>
  <c r="M3404" i="2"/>
  <c r="J3404" i="2"/>
  <c r="I3404" i="2"/>
  <c r="H3404" i="2"/>
  <c r="G3404" i="2"/>
  <c r="F3404" i="2"/>
  <c r="E3404" i="2"/>
  <c r="D3404" i="2"/>
  <c r="C3404" i="2"/>
  <c r="B3404" i="2"/>
  <c r="A3404" i="2"/>
  <c r="Q3403" i="2"/>
  <c r="U3403" i="2" s="1"/>
  <c r="N3403" i="2"/>
  <c r="M3403" i="2"/>
  <c r="J3403" i="2"/>
  <c r="I3403" i="2"/>
  <c r="H3403" i="2"/>
  <c r="G3403" i="2"/>
  <c r="F3403" i="2"/>
  <c r="E3403" i="2"/>
  <c r="D3403" i="2"/>
  <c r="C3403" i="2"/>
  <c r="B3403" i="2"/>
  <c r="A3403" i="2"/>
  <c r="U3402" i="2"/>
  <c r="N3402" i="2"/>
  <c r="M3402" i="2"/>
  <c r="J3402" i="2"/>
  <c r="I3402" i="2"/>
  <c r="H3402" i="2"/>
  <c r="G3402" i="2"/>
  <c r="F3402" i="2"/>
  <c r="E3402" i="2"/>
  <c r="D3402" i="2"/>
  <c r="C3402" i="2"/>
  <c r="B3402" i="2"/>
  <c r="A3402" i="2"/>
  <c r="U3401" i="2"/>
  <c r="N3401" i="2"/>
  <c r="M3401" i="2"/>
  <c r="J3401" i="2"/>
  <c r="I3401" i="2"/>
  <c r="H3401" i="2"/>
  <c r="G3401" i="2"/>
  <c r="F3401" i="2"/>
  <c r="E3401" i="2"/>
  <c r="D3401" i="2"/>
  <c r="C3401" i="2"/>
  <c r="B3401" i="2"/>
  <c r="A3401" i="2"/>
  <c r="U3400" i="2"/>
  <c r="N3400" i="2"/>
  <c r="M3400" i="2"/>
  <c r="J3400" i="2"/>
  <c r="I3400" i="2"/>
  <c r="H3400" i="2"/>
  <c r="G3400" i="2"/>
  <c r="F3400" i="2"/>
  <c r="E3400" i="2"/>
  <c r="D3400" i="2"/>
  <c r="C3400" i="2"/>
  <c r="B3400" i="2"/>
  <c r="A3400" i="2"/>
  <c r="U3399" i="2"/>
  <c r="N3399" i="2"/>
  <c r="M3399" i="2"/>
  <c r="J3399" i="2"/>
  <c r="I3399" i="2"/>
  <c r="H3399" i="2"/>
  <c r="G3399" i="2"/>
  <c r="F3399" i="2"/>
  <c r="E3399" i="2"/>
  <c r="D3399" i="2"/>
  <c r="C3399" i="2"/>
  <c r="B3399" i="2"/>
  <c r="A3399" i="2"/>
  <c r="U3398" i="2"/>
  <c r="N3398" i="2"/>
  <c r="M3398" i="2"/>
  <c r="J3398" i="2"/>
  <c r="I3398" i="2"/>
  <c r="H3398" i="2"/>
  <c r="G3398" i="2"/>
  <c r="F3398" i="2"/>
  <c r="E3398" i="2"/>
  <c r="D3398" i="2"/>
  <c r="C3398" i="2"/>
  <c r="B3398" i="2"/>
  <c r="A3398" i="2"/>
  <c r="Q3397" i="2"/>
  <c r="U3397" i="2" s="1"/>
  <c r="N3397" i="2"/>
  <c r="M3397" i="2"/>
  <c r="J3397" i="2"/>
  <c r="I3397" i="2"/>
  <c r="H3397" i="2"/>
  <c r="G3397" i="2"/>
  <c r="F3397" i="2"/>
  <c r="E3397" i="2"/>
  <c r="D3397" i="2"/>
  <c r="C3397" i="2"/>
  <c r="B3397" i="2"/>
  <c r="A3397" i="2"/>
  <c r="U3396" i="2"/>
  <c r="N3396" i="2"/>
  <c r="M3396" i="2"/>
  <c r="J3396" i="2"/>
  <c r="I3396" i="2"/>
  <c r="H3396" i="2"/>
  <c r="G3396" i="2"/>
  <c r="F3396" i="2"/>
  <c r="E3396" i="2"/>
  <c r="D3396" i="2"/>
  <c r="C3396" i="2"/>
  <c r="B3396" i="2"/>
  <c r="A3396" i="2"/>
  <c r="U3395" i="2"/>
  <c r="N3395" i="2"/>
  <c r="M3395" i="2"/>
  <c r="J3395" i="2"/>
  <c r="I3395" i="2"/>
  <c r="H3395" i="2"/>
  <c r="G3395" i="2"/>
  <c r="F3395" i="2"/>
  <c r="E3395" i="2"/>
  <c r="D3395" i="2"/>
  <c r="C3395" i="2"/>
  <c r="B3395" i="2"/>
  <c r="A3395" i="2"/>
  <c r="U3394" i="2"/>
  <c r="N3394" i="2"/>
  <c r="M3394" i="2"/>
  <c r="J3394" i="2"/>
  <c r="I3394" i="2"/>
  <c r="H3394" i="2"/>
  <c r="G3394" i="2"/>
  <c r="F3394" i="2"/>
  <c r="E3394" i="2"/>
  <c r="D3394" i="2"/>
  <c r="C3394" i="2"/>
  <c r="B3394" i="2"/>
  <c r="A3394" i="2"/>
  <c r="U3393" i="2"/>
  <c r="N3393" i="2"/>
  <c r="M3393" i="2"/>
  <c r="J3393" i="2"/>
  <c r="I3393" i="2"/>
  <c r="H3393" i="2"/>
  <c r="G3393" i="2"/>
  <c r="F3393" i="2"/>
  <c r="E3393" i="2"/>
  <c r="D3393" i="2"/>
  <c r="C3393" i="2"/>
  <c r="B3393" i="2"/>
  <c r="A3393" i="2"/>
  <c r="U3392" i="2"/>
  <c r="N3392" i="2"/>
  <c r="M3392" i="2"/>
  <c r="J3392" i="2"/>
  <c r="I3392" i="2"/>
  <c r="H3392" i="2"/>
  <c r="G3392" i="2"/>
  <c r="F3392" i="2"/>
  <c r="E3392" i="2"/>
  <c r="D3392" i="2"/>
  <c r="C3392" i="2"/>
  <c r="B3392" i="2"/>
  <c r="A3392" i="2"/>
  <c r="U3391" i="2"/>
  <c r="N3391" i="2"/>
  <c r="M3391" i="2"/>
  <c r="J3391" i="2"/>
  <c r="I3391" i="2"/>
  <c r="H3391" i="2"/>
  <c r="G3391" i="2"/>
  <c r="F3391" i="2"/>
  <c r="E3391" i="2"/>
  <c r="D3391" i="2"/>
  <c r="C3391" i="2"/>
  <c r="B3391" i="2"/>
  <c r="A3391" i="2"/>
  <c r="U3390" i="2"/>
  <c r="N3390" i="2"/>
  <c r="M3390" i="2"/>
  <c r="J3390" i="2"/>
  <c r="I3390" i="2"/>
  <c r="H3390" i="2"/>
  <c r="G3390" i="2"/>
  <c r="F3390" i="2"/>
  <c r="E3390" i="2"/>
  <c r="D3390" i="2"/>
  <c r="C3390" i="2"/>
  <c r="B3390" i="2"/>
  <c r="A3390" i="2"/>
  <c r="U3389" i="2"/>
  <c r="N3389" i="2"/>
  <c r="M3389" i="2"/>
  <c r="J3389" i="2"/>
  <c r="I3389" i="2"/>
  <c r="H3389" i="2"/>
  <c r="G3389" i="2"/>
  <c r="F3389" i="2"/>
  <c r="E3389" i="2"/>
  <c r="D3389" i="2"/>
  <c r="C3389" i="2"/>
  <c r="B3389" i="2"/>
  <c r="A3389" i="2"/>
  <c r="U3388" i="2"/>
  <c r="N3388" i="2"/>
  <c r="M3388" i="2"/>
  <c r="J3388" i="2"/>
  <c r="I3388" i="2"/>
  <c r="H3388" i="2"/>
  <c r="G3388" i="2"/>
  <c r="F3388" i="2"/>
  <c r="E3388" i="2"/>
  <c r="D3388" i="2"/>
  <c r="C3388" i="2"/>
  <c r="B3388" i="2"/>
  <c r="A3388" i="2"/>
  <c r="U3387" i="2"/>
  <c r="N3387" i="2"/>
  <c r="M3387" i="2"/>
  <c r="J3387" i="2"/>
  <c r="I3387" i="2"/>
  <c r="H3387" i="2"/>
  <c r="G3387" i="2"/>
  <c r="F3387" i="2"/>
  <c r="E3387" i="2"/>
  <c r="D3387" i="2"/>
  <c r="C3387" i="2"/>
  <c r="B3387" i="2"/>
  <c r="A3387" i="2"/>
  <c r="U3386" i="2"/>
  <c r="N3386" i="2"/>
  <c r="M3386" i="2"/>
  <c r="J3386" i="2"/>
  <c r="I3386" i="2"/>
  <c r="H3386" i="2"/>
  <c r="G3386" i="2"/>
  <c r="F3386" i="2"/>
  <c r="E3386" i="2"/>
  <c r="D3386" i="2"/>
  <c r="C3386" i="2"/>
  <c r="B3386" i="2"/>
  <c r="A3386" i="2"/>
  <c r="U3385" i="2"/>
  <c r="N3385" i="2"/>
  <c r="M3385" i="2"/>
  <c r="J3385" i="2"/>
  <c r="I3385" i="2"/>
  <c r="H3385" i="2"/>
  <c r="G3385" i="2"/>
  <c r="F3385" i="2"/>
  <c r="E3385" i="2"/>
  <c r="D3385" i="2"/>
  <c r="C3385" i="2"/>
  <c r="B3385" i="2"/>
  <c r="A3385" i="2"/>
  <c r="U3384" i="2"/>
  <c r="N3384" i="2"/>
  <c r="M3384" i="2"/>
  <c r="J3384" i="2"/>
  <c r="I3384" i="2"/>
  <c r="H3384" i="2"/>
  <c r="G3384" i="2"/>
  <c r="F3384" i="2"/>
  <c r="E3384" i="2"/>
  <c r="D3384" i="2"/>
  <c r="C3384" i="2"/>
  <c r="B3384" i="2"/>
  <c r="A3384" i="2"/>
  <c r="U3383" i="2"/>
  <c r="N3383" i="2"/>
  <c r="M3383" i="2"/>
  <c r="J3383" i="2"/>
  <c r="I3383" i="2"/>
  <c r="H3383" i="2"/>
  <c r="G3383" i="2"/>
  <c r="F3383" i="2"/>
  <c r="E3383" i="2"/>
  <c r="D3383" i="2"/>
  <c r="C3383" i="2"/>
  <c r="B3383" i="2"/>
  <c r="A3383" i="2"/>
  <c r="U3382" i="2"/>
  <c r="N3382" i="2"/>
  <c r="M3382" i="2"/>
  <c r="J3382" i="2"/>
  <c r="I3382" i="2"/>
  <c r="H3382" i="2"/>
  <c r="G3382" i="2"/>
  <c r="F3382" i="2"/>
  <c r="E3382" i="2"/>
  <c r="D3382" i="2"/>
  <c r="C3382" i="2"/>
  <c r="B3382" i="2"/>
  <c r="A3382" i="2"/>
  <c r="U3381" i="2"/>
  <c r="N3381" i="2"/>
  <c r="M3381" i="2"/>
  <c r="J3381" i="2"/>
  <c r="I3381" i="2"/>
  <c r="H3381" i="2"/>
  <c r="G3381" i="2"/>
  <c r="F3381" i="2"/>
  <c r="E3381" i="2"/>
  <c r="D3381" i="2"/>
  <c r="C3381" i="2"/>
  <c r="B3381" i="2"/>
  <c r="A3381" i="2"/>
  <c r="U3380" i="2"/>
  <c r="N3380" i="2"/>
  <c r="M3380" i="2"/>
  <c r="J3380" i="2"/>
  <c r="I3380" i="2"/>
  <c r="H3380" i="2"/>
  <c r="G3380" i="2"/>
  <c r="F3380" i="2"/>
  <c r="E3380" i="2"/>
  <c r="D3380" i="2"/>
  <c r="C3380" i="2"/>
  <c r="B3380" i="2"/>
  <c r="A3380" i="2"/>
  <c r="U3379" i="2"/>
  <c r="N3379" i="2"/>
  <c r="M3379" i="2"/>
  <c r="J3379" i="2"/>
  <c r="I3379" i="2"/>
  <c r="H3379" i="2"/>
  <c r="G3379" i="2"/>
  <c r="F3379" i="2"/>
  <c r="E3379" i="2"/>
  <c r="D3379" i="2"/>
  <c r="C3379" i="2"/>
  <c r="B3379" i="2"/>
  <c r="A3379" i="2"/>
  <c r="U3378" i="2"/>
  <c r="N3378" i="2"/>
  <c r="M3378" i="2"/>
  <c r="J3378" i="2"/>
  <c r="I3378" i="2"/>
  <c r="H3378" i="2"/>
  <c r="G3378" i="2"/>
  <c r="F3378" i="2"/>
  <c r="E3378" i="2"/>
  <c r="D3378" i="2"/>
  <c r="C3378" i="2"/>
  <c r="B3378" i="2"/>
  <c r="A3378" i="2"/>
  <c r="U3377" i="2"/>
  <c r="N3377" i="2"/>
  <c r="M3377" i="2"/>
  <c r="J3377" i="2"/>
  <c r="I3377" i="2"/>
  <c r="H3377" i="2"/>
  <c r="G3377" i="2"/>
  <c r="F3377" i="2"/>
  <c r="E3377" i="2"/>
  <c r="D3377" i="2"/>
  <c r="C3377" i="2"/>
  <c r="B3377" i="2"/>
  <c r="A3377" i="2"/>
  <c r="U3376" i="2"/>
  <c r="N3376" i="2"/>
  <c r="M3376" i="2"/>
  <c r="J3376" i="2"/>
  <c r="I3376" i="2"/>
  <c r="H3376" i="2"/>
  <c r="G3376" i="2"/>
  <c r="F3376" i="2"/>
  <c r="E3376" i="2"/>
  <c r="D3376" i="2"/>
  <c r="C3376" i="2"/>
  <c r="B3376" i="2"/>
  <c r="A3376" i="2"/>
  <c r="U3375" i="2"/>
  <c r="N3375" i="2"/>
  <c r="M3375" i="2"/>
  <c r="J3375" i="2"/>
  <c r="I3375" i="2"/>
  <c r="H3375" i="2"/>
  <c r="G3375" i="2"/>
  <c r="F3375" i="2"/>
  <c r="E3375" i="2"/>
  <c r="D3375" i="2"/>
  <c r="C3375" i="2"/>
  <c r="B3375" i="2"/>
  <c r="A3375" i="2"/>
  <c r="U3374" i="2"/>
  <c r="N3374" i="2"/>
  <c r="M3374" i="2"/>
  <c r="J3374" i="2"/>
  <c r="I3374" i="2"/>
  <c r="H3374" i="2"/>
  <c r="G3374" i="2"/>
  <c r="F3374" i="2"/>
  <c r="E3374" i="2"/>
  <c r="D3374" i="2"/>
  <c r="C3374" i="2"/>
  <c r="B3374" i="2"/>
  <c r="A3374" i="2"/>
  <c r="U3373" i="2"/>
  <c r="N3373" i="2"/>
  <c r="M3373" i="2"/>
  <c r="J3373" i="2"/>
  <c r="I3373" i="2"/>
  <c r="H3373" i="2"/>
  <c r="G3373" i="2"/>
  <c r="F3373" i="2"/>
  <c r="E3373" i="2"/>
  <c r="D3373" i="2"/>
  <c r="C3373" i="2"/>
  <c r="B3373" i="2"/>
  <c r="A3373" i="2"/>
  <c r="U3372" i="2"/>
  <c r="N3372" i="2"/>
  <c r="M3372" i="2"/>
  <c r="J3372" i="2"/>
  <c r="I3372" i="2"/>
  <c r="H3372" i="2"/>
  <c r="G3372" i="2"/>
  <c r="F3372" i="2"/>
  <c r="E3372" i="2"/>
  <c r="D3372" i="2"/>
  <c r="C3372" i="2"/>
  <c r="B3372" i="2"/>
  <c r="A3372" i="2"/>
  <c r="U3371" i="2"/>
  <c r="N3371" i="2"/>
  <c r="M3371" i="2"/>
  <c r="J3371" i="2"/>
  <c r="I3371" i="2"/>
  <c r="H3371" i="2"/>
  <c r="G3371" i="2"/>
  <c r="F3371" i="2"/>
  <c r="E3371" i="2"/>
  <c r="D3371" i="2"/>
  <c r="C3371" i="2"/>
  <c r="B3371" i="2"/>
  <c r="A3371" i="2"/>
  <c r="U3370" i="2"/>
  <c r="N3370" i="2"/>
  <c r="M3370" i="2"/>
  <c r="J3370" i="2"/>
  <c r="I3370" i="2"/>
  <c r="H3370" i="2"/>
  <c r="G3370" i="2"/>
  <c r="F3370" i="2"/>
  <c r="E3370" i="2"/>
  <c r="D3370" i="2"/>
  <c r="C3370" i="2"/>
  <c r="B3370" i="2"/>
  <c r="A3370" i="2"/>
  <c r="U3369" i="2"/>
  <c r="N3369" i="2"/>
  <c r="M3369" i="2"/>
  <c r="J3369" i="2"/>
  <c r="I3369" i="2"/>
  <c r="H3369" i="2"/>
  <c r="G3369" i="2"/>
  <c r="F3369" i="2"/>
  <c r="E3369" i="2"/>
  <c r="D3369" i="2"/>
  <c r="C3369" i="2"/>
  <c r="B3369" i="2"/>
  <c r="A3369" i="2"/>
  <c r="U3368" i="2"/>
  <c r="N3368" i="2"/>
  <c r="M3368" i="2"/>
  <c r="J3368" i="2"/>
  <c r="I3368" i="2"/>
  <c r="H3368" i="2"/>
  <c r="G3368" i="2"/>
  <c r="F3368" i="2"/>
  <c r="E3368" i="2"/>
  <c r="D3368" i="2"/>
  <c r="C3368" i="2"/>
  <c r="B3368" i="2"/>
  <c r="A3368" i="2"/>
  <c r="U3367" i="2"/>
  <c r="N3367" i="2"/>
  <c r="M3367" i="2"/>
  <c r="J3367" i="2"/>
  <c r="I3367" i="2"/>
  <c r="H3367" i="2"/>
  <c r="G3367" i="2"/>
  <c r="F3367" i="2"/>
  <c r="E3367" i="2"/>
  <c r="D3367" i="2"/>
  <c r="C3367" i="2"/>
  <c r="B3367" i="2"/>
  <c r="A3367" i="2"/>
  <c r="U3366" i="2"/>
  <c r="N3366" i="2"/>
  <c r="M3366" i="2"/>
  <c r="J3366" i="2"/>
  <c r="I3366" i="2"/>
  <c r="H3366" i="2"/>
  <c r="G3366" i="2"/>
  <c r="F3366" i="2"/>
  <c r="E3366" i="2"/>
  <c r="D3366" i="2"/>
  <c r="C3366" i="2"/>
  <c r="B3366" i="2"/>
  <c r="A3366" i="2"/>
  <c r="U3365" i="2"/>
  <c r="N3365" i="2"/>
  <c r="M3365" i="2"/>
  <c r="J3365" i="2"/>
  <c r="I3365" i="2"/>
  <c r="H3365" i="2"/>
  <c r="G3365" i="2"/>
  <c r="F3365" i="2"/>
  <c r="E3365" i="2"/>
  <c r="D3365" i="2"/>
  <c r="C3365" i="2"/>
  <c r="B3365" i="2"/>
  <c r="A3365" i="2"/>
  <c r="U3364" i="2"/>
  <c r="N3364" i="2"/>
  <c r="M3364" i="2"/>
  <c r="J3364" i="2"/>
  <c r="I3364" i="2"/>
  <c r="H3364" i="2"/>
  <c r="G3364" i="2"/>
  <c r="F3364" i="2"/>
  <c r="E3364" i="2"/>
  <c r="D3364" i="2"/>
  <c r="C3364" i="2"/>
  <c r="B3364" i="2"/>
  <c r="A3364" i="2"/>
  <c r="U3363" i="2"/>
  <c r="N3363" i="2"/>
  <c r="M3363" i="2"/>
  <c r="J3363" i="2"/>
  <c r="I3363" i="2"/>
  <c r="H3363" i="2"/>
  <c r="G3363" i="2"/>
  <c r="F3363" i="2"/>
  <c r="E3363" i="2"/>
  <c r="D3363" i="2"/>
  <c r="C3363" i="2"/>
  <c r="B3363" i="2"/>
  <c r="A3363" i="2"/>
  <c r="U3362" i="2"/>
  <c r="N3362" i="2"/>
  <c r="M3362" i="2"/>
  <c r="J3362" i="2"/>
  <c r="I3362" i="2"/>
  <c r="H3362" i="2"/>
  <c r="G3362" i="2"/>
  <c r="F3362" i="2"/>
  <c r="E3362" i="2"/>
  <c r="D3362" i="2"/>
  <c r="C3362" i="2"/>
  <c r="B3362" i="2"/>
  <c r="A3362" i="2"/>
  <c r="U3361" i="2"/>
  <c r="N3361" i="2"/>
  <c r="M3361" i="2"/>
  <c r="J3361" i="2"/>
  <c r="I3361" i="2"/>
  <c r="H3361" i="2"/>
  <c r="G3361" i="2"/>
  <c r="F3361" i="2"/>
  <c r="E3361" i="2"/>
  <c r="D3361" i="2"/>
  <c r="C3361" i="2"/>
  <c r="B3361" i="2"/>
  <c r="A3361" i="2"/>
  <c r="U3360" i="2"/>
  <c r="N3360" i="2"/>
  <c r="M3360" i="2"/>
  <c r="J3360" i="2"/>
  <c r="I3360" i="2"/>
  <c r="H3360" i="2"/>
  <c r="G3360" i="2"/>
  <c r="F3360" i="2"/>
  <c r="E3360" i="2"/>
  <c r="D3360" i="2"/>
  <c r="C3360" i="2"/>
  <c r="B3360" i="2"/>
  <c r="A3360" i="2"/>
  <c r="U3359" i="2"/>
  <c r="N3359" i="2"/>
  <c r="M3359" i="2"/>
  <c r="J3359" i="2"/>
  <c r="I3359" i="2"/>
  <c r="H3359" i="2"/>
  <c r="G3359" i="2"/>
  <c r="F3359" i="2"/>
  <c r="E3359" i="2"/>
  <c r="D3359" i="2"/>
  <c r="C3359" i="2"/>
  <c r="B3359" i="2"/>
  <c r="A3359" i="2"/>
  <c r="U3358" i="2"/>
  <c r="N3358" i="2"/>
  <c r="M3358" i="2"/>
  <c r="J3358" i="2"/>
  <c r="I3358" i="2"/>
  <c r="H3358" i="2"/>
  <c r="G3358" i="2"/>
  <c r="F3358" i="2"/>
  <c r="E3358" i="2"/>
  <c r="D3358" i="2"/>
  <c r="C3358" i="2"/>
  <c r="B3358" i="2"/>
  <c r="A3358" i="2"/>
  <c r="U3357" i="2"/>
  <c r="N3357" i="2"/>
  <c r="M3357" i="2"/>
  <c r="J3357" i="2"/>
  <c r="I3357" i="2"/>
  <c r="H3357" i="2"/>
  <c r="G3357" i="2"/>
  <c r="F3357" i="2"/>
  <c r="E3357" i="2"/>
  <c r="D3357" i="2"/>
  <c r="C3357" i="2"/>
  <c r="B3357" i="2"/>
  <c r="A3357" i="2"/>
  <c r="U3356" i="2"/>
  <c r="N3356" i="2"/>
  <c r="M3356" i="2"/>
  <c r="J3356" i="2"/>
  <c r="I3356" i="2"/>
  <c r="H3356" i="2"/>
  <c r="G3356" i="2"/>
  <c r="F3356" i="2"/>
  <c r="E3356" i="2"/>
  <c r="D3356" i="2"/>
  <c r="C3356" i="2"/>
  <c r="B3356" i="2"/>
  <c r="A3356" i="2"/>
  <c r="U3355" i="2"/>
  <c r="N3355" i="2"/>
  <c r="M3355" i="2"/>
  <c r="J3355" i="2"/>
  <c r="I3355" i="2"/>
  <c r="H3355" i="2"/>
  <c r="G3355" i="2"/>
  <c r="F3355" i="2"/>
  <c r="E3355" i="2"/>
  <c r="D3355" i="2"/>
  <c r="C3355" i="2"/>
  <c r="B3355" i="2"/>
  <c r="A3355" i="2"/>
  <c r="U3354" i="2"/>
  <c r="N3354" i="2"/>
  <c r="M3354" i="2"/>
  <c r="J3354" i="2"/>
  <c r="I3354" i="2"/>
  <c r="H3354" i="2"/>
  <c r="G3354" i="2"/>
  <c r="F3354" i="2"/>
  <c r="E3354" i="2"/>
  <c r="D3354" i="2"/>
  <c r="C3354" i="2"/>
  <c r="B3354" i="2"/>
  <c r="A3354" i="2"/>
  <c r="U3353" i="2"/>
  <c r="N3353" i="2"/>
  <c r="M3353" i="2"/>
  <c r="J3353" i="2"/>
  <c r="I3353" i="2"/>
  <c r="H3353" i="2"/>
  <c r="G3353" i="2"/>
  <c r="F3353" i="2"/>
  <c r="E3353" i="2"/>
  <c r="D3353" i="2"/>
  <c r="C3353" i="2"/>
  <c r="B3353" i="2"/>
  <c r="A3353" i="2"/>
  <c r="U3352" i="2"/>
  <c r="N3352" i="2"/>
  <c r="M3352" i="2"/>
  <c r="J3352" i="2"/>
  <c r="I3352" i="2"/>
  <c r="H3352" i="2"/>
  <c r="G3352" i="2"/>
  <c r="F3352" i="2"/>
  <c r="E3352" i="2"/>
  <c r="D3352" i="2"/>
  <c r="C3352" i="2"/>
  <c r="B3352" i="2"/>
  <c r="A3352" i="2"/>
  <c r="U3351" i="2"/>
  <c r="N3351" i="2"/>
  <c r="M3351" i="2"/>
  <c r="J3351" i="2"/>
  <c r="I3351" i="2"/>
  <c r="H3351" i="2"/>
  <c r="G3351" i="2"/>
  <c r="F3351" i="2"/>
  <c r="E3351" i="2"/>
  <c r="D3351" i="2"/>
  <c r="C3351" i="2"/>
  <c r="B3351" i="2"/>
  <c r="A3351" i="2"/>
  <c r="U3350" i="2"/>
  <c r="N3350" i="2"/>
  <c r="M3350" i="2"/>
  <c r="J3350" i="2"/>
  <c r="I3350" i="2"/>
  <c r="H3350" i="2"/>
  <c r="G3350" i="2"/>
  <c r="F3350" i="2"/>
  <c r="E3350" i="2"/>
  <c r="D3350" i="2"/>
  <c r="C3350" i="2"/>
  <c r="B3350" i="2"/>
  <c r="A3350" i="2"/>
  <c r="U3349" i="2"/>
  <c r="N3349" i="2"/>
  <c r="M3349" i="2"/>
  <c r="J3349" i="2"/>
  <c r="I3349" i="2"/>
  <c r="H3349" i="2"/>
  <c r="G3349" i="2"/>
  <c r="F3349" i="2"/>
  <c r="E3349" i="2"/>
  <c r="D3349" i="2"/>
  <c r="C3349" i="2"/>
  <c r="B3349" i="2"/>
  <c r="A3349" i="2"/>
  <c r="U3348" i="2"/>
  <c r="N3348" i="2"/>
  <c r="M3348" i="2"/>
  <c r="J3348" i="2"/>
  <c r="I3348" i="2"/>
  <c r="H3348" i="2"/>
  <c r="G3348" i="2"/>
  <c r="F3348" i="2"/>
  <c r="E3348" i="2"/>
  <c r="D3348" i="2"/>
  <c r="C3348" i="2"/>
  <c r="B3348" i="2"/>
  <c r="A3348" i="2"/>
  <c r="U3347" i="2"/>
  <c r="N3347" i="2"/>
  <c r="M3347" i="2"/>
  <c r="J3347" i="2"/>
  <c r="I3347" i="2"/>
  <c r="H3347" i="2"/>
  <c r="G3347" i="2"/>
  <c r="F3347" i="2"/>
  <c r="E3347" i="2"/>
  <c r="D3347" i="2"/>
  <c r="C3347" i="2"/>
  <c r="B3347" i="2"/>
  <c r="A3347" i="2"/>
  <c r="U3346" i="2"/>
  <c r="N3346" i="2"/>
  <c r="M3346" i="2"/>
  <c r="J3346" i="2"/>
  <c r="I3346" i="2"/>
  <c r="H3346" i="2"/>
  <c r="G3346" i="2"/>
  <c r="F3346" i="2"/>
  <c r="E3346" i="2"/>
  <c r="D3346" i="2"/>
  <c r="C3346" i="2"/>
  <c r="B3346" i="2"/>
  <c r="A3346" i="2"/>
  <c r="U3345" i="2"/>
  <c r="N3345" i="2"/>
  <c r="M3345" i="2"/>
  <c r="J3345" i="2"/>
  <c r="I3345" i="2"/>
  <c r="H3345" i="2"/>
  <c r="G3345" i="2"/>
  <c r="F3345" i="2"/>
  <c r="E3345" i="2"/>
  <c r="D3345" i="2"/>
  <c r="C3345" i="2"/>
  <c r="B3345" i="2"/>
  <c r="A3345" i="2"/>
  <c r="U3344" i="2"/>
  <c r="N3344" i="2"/>
  <c r="M3344" i="2"/>
  <c r="J3344" i="2"/>
  <c r="I3344" i="2"/>
  <c r="H3344" i="2"/>
  <c r="G3344" i="2"/>
  <c r="F3344" i="2"/>
  <c r="E3344" i="2"/>
  <c r="D3344" i="2"/>
  <c r="C3344" i="2"/>
  <c r="B3344" i="2"/>
  <c r="A3344" i="2"/>
  <c r="U3343" i="2"/>
  <c r="N3343" i="2"/>
  <c r="M3343" i="2"/>
  <c r="J3343" i="2"/>
  <c r="I3343" i="2"/>
  <c r="H3343" i="2"/>
  <c r="G3343" i="2"/>
  <c r="F3343" i="2"/>
  <c r="E3343" i="2"/>
  <c r="D3343" i="2"/>
  <c r="C3343" i="2"/>
  <c r="B3343" i="2"/>
  <c r="A3343" i="2"/>
  <c r="U3342" i="2"/>
  <c r="N3342" i="2"/>
  <c r="M3342" i="2"/>
  <c r="J3342" i="2"/>
  <c r="I3342" i="2"/>
  <c r="H3342" i="2"/>
  <c r="G3342" i="2"/>
  <c r="F3342" i="2"/>
  <c r="E3342" i="2"/>
  <c r="D3342" i="2"/>
  <c r="C3342" i="2"/>
  <c r="B3342" i="2"/>
  <c r="A3342" i="2"/>
  <c r="U3341" i="2"/>
  <c r="N3341" i="2"/>
  <c r="M3341" i="2"/>
  <c r="J3341" i="2"/>
  <c r="I3341" i="2"/>
  <c r="H3341" i="2"/>
  <c r="G3341" i="2"/>
  <c r="F3341" i="2"/>
  <c r="E3341" i="2"/>
  <c r="D3341" i="2"/>
  <c r="C3341" i="2"/>
  <c r="B3341" i="2"/>
  <c r="A3341" i="2"/>
  <c r="U3340" i="2"/>
  <c r="N3340" i="2"/>
  <c r="M3340" i="2"/>
  <c r="J3340" i="2"/>
  <c r="I3340" i="2"/>
  <c r="H3340" i="2"/>
  <c r="G3340" i="2"/>
  <c r="F3340" i="2"/>
  <c r="E3340" i="2"/>
  <c r="D3340" i="2"/>
  <c r="C3340" i="2"/>
  <c r="B3340" i="2"/>
  <c r="A3340" i="2"/>
  <c r="U3339" i="2"/>
  <c r="N3339" i="2"/>
  <c r="M3339" i="2"/>
  <c r="J3339" i="2"/>
  <c r="I3339" i="2"/>
  <c r="H3339" i="2"/>
  <c r="G3339" i="2"/>
  <c r="F3339" i="2"/>
  <c r="E3339" i="2"/>
  <c r="D3339" i="2"/>
  <c r="C3339" i="2"/>
  <c r="B3339" i="2"/>
  <c r="A3339" i="2"/>
  <c r="Q3338" i="2"/>
  <c r="U3338" i="2" s="1"/>
  <c r="N3338" i="2"/>
  <c r="M3338" i="2"/>
  <c r="J3338" i="2"/>
  <c r="I3338" i="2"/>
  <c r="H3338" i="2"/>
  <c r="G3338" i="2"/>
  <c r="F3338" i="2"/>
  <c r="E3338" i="2"/>
  <c r="D3338" i="2"/>
  <c r="C3338" i="2"/>
  <c r="B3338" i="2"/>
  <c r="A3338" i="2"/>
  <c r="U3337" i="2"/>
  <c r="N3337" i="2"/>
  <c r="M3337" i="2"/>
  <c r="J3337" i="2"/>
  <c r="I3337" i="2"/>
  <c r="H3337" i="2"/>
  <c r="G3337" i="2"/>
  <c r="F3337" i="2"/>
  <c r="E3337" i="2"/>
  <c r="D3337" i="2"/>
  <c r="C3337" i="2"/>
  <c r="B3337" i="2"/>
  <c r="A3337" i="2"/>
  <c r="U3336" i="2"/>
  <c r="N3336" i="2"/>
  <c r="M3336" i="2"/>
  <c r="J3336" i="2"/>
  <c r="I3336" i="2"/>
  <c r="H3336" i="2"/>
  <c r="G3336" i="2"/>
  <c r="F3336" i="2"/>
  <c r="E3336" i="2"/>
  <c r="D3336" i="2"/>
  <c r="C3336" i="2"/>
  <c r="B3336" i="2"/>
  <c r="A3336" i="2"/>
  <c r="U3335" i="2"/>
  <c r="N3335" i="2"/>
  <c r="M3335" i="2"/>
  <c r="J3335" i="2"/>
  <c r="I3335" i="2"/>
  <c r="H3335" i="2"/>
  <c r="G3335" i="2"/>
  <c r="F3335" i="2"/>
  <c r="E3335" i="2"/>
  <c r="D3335" i="2"/>
  <c r="C3335" i="2"/>
  <c r="B3335" i="2"/>
  <c r="A3335" i="2"/>
  <c r="U3334" i="2"/>
  <c r="N3334" i="2"/>
  <c r="M3334" i="2"/>
  <c r="J3334" i="2"/>
  <c r="I3334" i="2"/>
  <c r="H3334" i="2"/>
  <c r="G3334" i="2"/>
  <c r="F3334" i="2"/>
  <c r="E3334" i="2"/>
  <c r="D3334" i="2"/>
  <c r="C3334" i="2"/>
  <c r="B3334" i="2"/>
  <c r="A3334" i="2"/>
  <c r="U3333" i="2"/>
  <c r="N3333" i="2"/>
  <c r="M3333" i="2"/>
  <c r="J3333" i="2"/>
  <c r="I3333" i="2"/>
  <c r="H3333" i="2"/>
  <c r="G3333" i="2"/>
  <c r="F3333" i="2"/>
  <c r="E3333" i="2"/>
  <c r="D3333" i="2"/>
  <c r="C3333" i="2"/>
  <c r="B3333" i="2"/>
  <c r="A3333" i="2"/>
  <c r="U3332" i="2"/>
  <c r="N3332" i="2"/>
  <c r="M3332" i="2"/>
  <c r="J3332" i="2"/>
  <c r="I3332" i="2"/>
  <c r="H3332" i="2"/>
  <c r="G3332" i="2"/>
  <c r="F3332" i="2"/>
  <c r="E3332" i="2"/>
  <c r="D3332" i="2"/>
  <c r="C3332" i="2"/>
  <c r="B3332" i="2"/>
  <c r="A3332" i="2"/>
  <c r="U3331" i="2"/>
  <c r="N3331" i="2"/>
  <c r="M3331" i="2"/>
  <c r="J3331" i="2"/>
  <c r="I3331" i="2"/>
  <c r="H3331" i="2"/>
  <c r="G3331" i="2"/>
  <c r="F3331" i="2"/>
  <c r="E3331" i="2"/>
  <c r="D3331" i="2"/>
  <c r="C3331" i="2"/>
  <c r="B3331" i="2"/>
  <c r="A3331" i="2"/>
  <c r="U3330" i="2"/>
  <c r="N3330" i="2"/>
  <c r="M3330" i="2"/>
  <c r="J3330" i="2"/>
  <c r="I3330" i="2"/>
  <c r="H3330" i="2"/>
  <c r="G3330" i="2"/>
  <c r="F3330" i="2"/>
  <c r="E3330" i="2"/>
  <c r="D3330" i="2"/>
  <c r="C3330" i="2"/>
  <c r="B3330" i="2"/>
  <c r="A3330" i="2"/>
  <c r="U3329" i="2"/>
  <c r="N3329" i="2"/>
  <c r="M3329" i="2"/>
  <c r="J3329" i="2"/>
  <c r="I3329" i="2"/>
  <c r="H3329" i="2"/>
  <c r="G3329" i="2"/>
  <c r="F3329" i="2"/>
  <c r="E3329" i="2"/>
  <c r="D3329" i="2"/>
  <c r="C3329" i="2"/>
  <c r="B3329" i="2"/>
  <c r="A3329" i="2"/>
  <c r="U3328" i="2"/>
  <c r="N3328" i="2"/>
  <c r="M3328" i="2"/>
  <c r="J3328" i="2"/>
  <c r="I3328" i="2"/>
  <c r="H3328" i="2"/>
  <c r="G3328" i="2"/>
  <c r="F3328" i="2"/>
  <c r="E3328" i="2"/>
  <c r="D3328" i="2"/>
  <c r="C3328" i="2"/>
  <c r="B3328" i="2"/>
  <c r="A3328" i="2"/>
  <c r="U3327" i="2"/>
  <c r="N3327" i="2"/>
  <c r="M3327" i="2"/>
  <c r="J3327" i="2"/>
  <c r="I3327" i="2"/>
  <c r="H3327" i="2"/>
  <c r="G3327" i="2"/>
  <c r="F3327" i="2"/>
  <c r="E3327" i="2"/>
  <c r="D3327" i="2"/>
  <c r="C3327" i="2"/>
  <c r="B3327" i="2"/>
  <c r="A3327" i="2"/>
  <c r="U3326" i="2"/>
  <c r="N3326" i="2"/>
  <c r="M3326" i="2"/>
  <c r="J3326" i="2"/>
  <c r="I3326" i="2"/>
  <c r="H3326" i="2"/>
  <c r="G3326" i="2"/>
  <c r="F3326" i="2"/>
  <c r="E3326" i="2"/>
  <c r="D3326" i="2"/>
  <c r="C3326" i="2"/>
  <c r="B3326" i="2"/>
  <c r="A3326" i="2"/>
  <c r="U3325" i="2"/>
  <c r="N3325" i="2"/>
  <c r="M3325" i="2"/>
  <c r="J3325" i="2"/>
  <c r="I3325" i="2"/>
  <c r="H3325" i="2"/>
  <c r="G3325" i="2"/>
  <c r="F3325" i="2"/>
  <c r="E3325" i="2"/>
  <c r="D3325" i="2"/>
  <c r="C3325" i="2"/>
  <c r="B3325" i="2"/>
  <c r="A3325" i="2"/>
  <c r="U3324" i="2"/>
  <c r="N3324" i="2"/>
  <c r="M3324" i="2"/>
  <c r="J3324" i="2"/>
  <c r="I3324" i="2"/>
  <c r="H3324" i="2"/>
  <c r="G3324" i="2"/>
  <c r="F3324" i="2"/>
  <c r="E3324" i="2"/>
  <c r="D3324" i="2"/>
  <c r="C3324" i="2"/>
  <c r="B3324" i="2"/>
  <c r="A3324" i="2"/>
  <c r="U3323" i="2"/>
  <c r="N3323" i="2"/>
  <c r="M3323" i="2"/>
  <c r="J3323" i="2"/>
  <c r="I3323" i="2"/>
  <c r="H3323" i="2"/>
  <c r="G3323" i="2"/>
  <c r="F3323" i="2"/>
  <c r="E3323" i="2"/>
  <c r="D3323" i="2"/>
  <c r="C3323" i="2"/>
  <c r="B3323" i="2"/>
  <c r="A3323" i="2"/>
  <c r="U3322" i="2"/>
  <c r="N3322" i="2"/>
  <c r="M3322" i="2"/>
  <c r="J3322" i="2"/>
  <c r="I3322" i="2"/>
  <c r="H3322" i="2"/>
  <c r="G3322" i="2"/>
  <c r="F3322" i="2"/>
  <c r="E3322" i="2"/>
  <c r="D3322" i="2"/>
  <c r="C3322" i="2"/>
  <c r="B3322" i="2"/>
  <c r="A3322" i="2"/>
  <c r="U3321" i="2"/>
  <c r="N3321" i="2"/>
  <c r="M3321" i="2"/>
  <c r="J3321" i="2"/>
  <c r="I3321" i="2"/>
  <c r="H3321" i="2"/>
  <c r="G3321" i="2"/>
  <c r="F3321" i="2"/>
  <c r="E3321" i="2"/>
  <c r="D3321" i="2"/>
  <c r="C3321" i="2"/>
  <c r="B3321" i="2"/>
  <c r="A3321" i="2"/>
  <c r="U3320" i="2"/>
  <c r="N3320" i="2"/>
  <c r="M3320" i="2"/>
  <c r="J3320" i="2"/>
  <c r="I3320" i="2"/>
  <c r="H3320" i="2"/>
  <c r="G3320" i="2"/>
  <c r="F3320" i="2"/>
  <c r="E3320" i="2"/>
  <c r="D3320" i="2"/>
  <c r="C3320" i="2"/>
  <c r="B3320" i="2"/>
  <c r="A3320" i="2"/>
  <c r="U3319" i="2"/>
  <c r="N3319" i="2"/>
  <c r="M3319" i="2"/>
  <c r="J3319" i="2"/>
  <c r="I3319" i="2"/>
  <c r="H3319" i="2"/>
  <c r="G3319" i="2"/>
  <c r="F3319" i="2"/>
  <c r="E3319" i="2"/>
  <c r="D3319" i="2"/>
  <c r="C3319" i="2"/>
  <c r="B3319" i="2"/>
  <c r="A3319" i="2"/>
  <c r="U3318" i="2"/>
  <c r="N3318" i="2"/>
  <c r="M3318" i="2"/>
  <c r="J3318" i="2"/>
  <c r="I3318" i="2"/>
  <c r="H3318" i="2"/>
  <c r="G3318" i="2"/>
  <c r="F3318" i="2"/>
  <c r="E3318" i="2"/>
  <c r="D3318" i="2"/>
  <c r="C3318" i="2"/>
  <c r="B3318" i="2"/>
  <c r="A3318" i="2"/>
  <c r="U3317" i="2"/>
  <c r="N3317" i="2"/>
  <c r="M3317" i="2"/>
  <c r="J3317" i="2"/>
  <c r="I3317" i="2"/>
  <c r="H3317" i="2"/>
  <c r="G3317" i="2"/>
  <c r="F3317" i="2"/>
  <c r="E3317" i="2"/>
  <c r="D3317" i="2"/>
  <c r="C3317" i="2"/>
  <c r="B3317" i="2"/>
  <c r="A3317" i="2"/>
  <c r="U3316" i="2"/>
  <c r="N3316" i="2"/>
  <c r="M3316" i="2"/>
  <c r="J3316" i="2"/>
  <c r="I3316" i="2"/>
  <c r="H3316" i="2"/>
  <c r="G3316" i="2"/>
  <c r="F3316" i="2"/>
  <c r="E3316" i="2"/>
  <c r="D3316" i="2"/>
  <c r="C3316" i="2"/>
  <c r="B3316" i="2"/>
  <c r="A3316" i="2"/>
  <c r="U3315" i="2"/>
  <c r="N3315" i="2"/>
  <c r="M3315" i="2"/>
  <c r="J3315" i="2"/>
  <c r="I3315" i="2"/>
  <c r="H3315" i="2"/>
  <c r="G3315" i="2"/>
  <c r="F3315" i="2"/>
  <c r="E3315" i="2"/>
  <c r="D3315" i="2"/>
  <c r="C3315" i="2"/>
  <c r="B3315" i="2"/>
  <c r="A3315" i="2"/>
  <c r="U3314" i="2"/>
  <c r="N3314" i="2"/>
  <c r="M3314" i="2"/>
  <c r="J3314" i="2"/>
  <c r="I3314" i="2"/>
  <c r="H3314" i="2"/>
  <c r="G3314" i="2"/>
  <c r="F3314" i="2"/>
  <c r="E3314" i="2"/>
  <c r="D3314" i="2"/>
  <c r="C3314" i="2"/>
  <c r="B3314" i="2"/>
  <c r="A3314" i="2"/>
  <c r="U3313" i="2"/>
  <c r="N3313" i="2"/>
  <c r="M3313" i="2"/>
  <c r="J3313" i="2"/>
  <c r="I3313" i="2"/>
  <c r="H3313" i="2"/>
  <c r="G3313" i="2"/>
  <c r="F3313" i="2"/>
  <c r="E3313" i="2"/>
  <c r="D3313" i="2"/>
  <c r="C3313" i="2"/>
  <c r="B3313" i="2"/>
  <c r="A3313" i="2"/>
  <c r="U3312" i="2"/>
  <c r="N3312" i="2"/>
  <c r="M3312" i="2"/>
  <c r="J3312" i="2"/>
  <c r="I3312" i="2"/>
  <c r="H3312" i="2"/>
  <c r="G3312" i="2"/>
  <c r="F3312" i="2"/>
  <c r="E3312" i="2"/>
  <c r="D3312" i="2"/>
  <c r="C3312" i="2"/>
  <c r="B3312" i="2"/>
  <c r="A3312" i="2"/>
  <c r="U3311" i="2"/>
  <c r="N3311" i="2"/>
  <c r="M3311" i="2"/>
  <c r="J3311" i="2"/>
  <c r="I3311" i="2"/>
  <c r="H3311" i="2"/>
  <c r="G3311" i="2"/>
  <c r="F3311" i="2"/>
  <c r="E3311" i="2"/>
  <c r="D3311" i="2"/>
  <c r="C3311" i="2"/>
  <c r="B3311" i="2"/>
  <c r="A3311" i="2"/>
  <c r="U3310" i="2"/>
  <c r="N3310" i="2"/>
  <c r="M3310" i="2"/>
  <c r="J3310" i="2"/>
  <c r="I3310" i="2"/>
  <c r="H3310" i="2"/>
  <c r="G3310" i="2"/>
  <c r="F3310" i="2"/>
  <c r="E3310" i="2"/>
  <c r="D3310" i="2"/>
  <c r="C3310" i="2"/>
  <c r="B3310" i="2"/>
  <c r="A3310" i="2"/>
  <c r="U3309" i="2"/>
  <c r="N3309" i="2"/>
  <c r="M3309" i="2"/>
  <c r="J3309" i="2"/>
  <c r="I3309" i="2"/>
  <c r="H3309" i="2"/>
  <c r="G3309" i="2"/>
  <c r="F3309" i="2"/>
  <c r="E3309" i="2"/>
  <c r="D3309" i="2"/>
  <c r="C3309" i="2"/>
  <c r="B3309" i="2"/>
  <c r="A3309" i="2"/>
  <c r="U3308" i="2"/>
  <c r="N3308" i="2"/>
  <c r="M3308" i="2"/>
  <c r="J3308" i="2"/>
  <c r="I3308" i="2"/>
  <c r="H3308" i="2"/>
  <c r="G3308" i="2"/>
  <c r="F3308" i="2"/>
  <c r="E3308" i="2"/>
  <c r="D3308" i="2"/>
  <c r="C3308" i="2"/>
  <c r="B3308" i="2"/>
  <c r="A3308" i="2"/>
  <c r="U3307" i="2"/>
  <c r="N3307" i="2"/>
  <c r="M3307" i="2"/>
  <c r="J3307" i="2"/>
  <c r="I3307" i="2"/>
  <c r="H3307" i="2"/>
  <c r="G3307" i="2"/>
  <c r="F3307" i="2"/>
  <c r="E3307" i="2"/>
  <c r="D3307" i="2"/>
  <c r="C3307" i="2"/>
  <c r="B3307" i="2"/>
  <c r="A3307" i="2"/>
  <c r="U3306" i="2"/>
  <c r="N3306" i="2"/>
  <c r="M3306" i="2"/>
  <c r="J3306" i="2"/>
  <c r="I3306" i="2"/>
  <c r="H3306" i="2"/>
  <c r="G3306" i="2"/>
  <c r="F3306" i="2"/>
  <c r="E3306" i="2"/>
  <c r="D3306" i="2"/>
  <c r="C3306" i="2"/>
  <c r="B3306" i="2"/>
  <c r="A3306" i="2"/>
  <c r="U3305" i="2"/>
  <c r="N3305" i="2"/>
  <c r="M3305" i="2"/>
  <c r="J3305" i="2"/>
  <c r="I3305" i="2"/>
  <c r="H3305" i="2"/>
  <c r="G3305" i="2"/>
  <c r="F3305" i="2"/>
  <c r="E3305" i="2"/>
  <c r="D3305" i="2"/>
  <c r="C3305" i="2"/>
  <c r="B3305" i="2"/>
  <c r="A3305" i="2"/>
  <c r="U3304" i="2"/>
  <c r="N3304" i="2"/>
  <c r="M3304" i="2"/>
  <c r="J3304" i="2"/>
  <c r="I3304" i="2"/>
  <c r="H3304" i="2"/>
  <c r="G3304" i="2"/>
  <c r="F3304" i="2"/>
  <c r="E3304" i="2"/>
  <c r="D3304" i="2"/>
  <c r="C3304" i="2"/>
  <c r="B3304" i="2"/>
  <c r="A3304" i="2"/>
  <c r="U3303" i="2"/>
  <c r="N3303" i="2"/>
  <c r="M3303" i="2"/>
  <c r="J3303" i="2"/>
  <c r="I3303" i="2"/>
  <c r="H3303" i="2"/>
  <c r="G3303" i="2"/>
  <c r="F3303" i="2"/>
  <c r="E3303" i="2"/>
  <c r="D3303" i="2"/>
  <c r="C3303" i="2"/>
  <c r="B3303" i="2"/>
  <c r="A3303" i="2"/>
  <c r="U3302" i="2"/>
  <c r="N3302" i="2"/>
  <c r="M3302" i="2"/>
  <c r="J3302" i="2"/>
  <c r="I3302" i="2"/>
  <c r="H3302" i="2"/>
  <c r="G3302" i="2"/>
  <c r="F3302" i="2"/>
  <c r="E3302" i="2"/>
  <c r="D3302" i="2"/>
  <c r="C3302" i="2"/>
  <c r="B3302" i="2"/>
  <c r="A3302" i="2"/>
  <c r="U3301" i="2"/>
  <c r="N3301" i="2"/>
  <c r="M3301" i="2"/>
  <c r="J3301" i="2"/>
  <c r="I3301" i="2"/>
  <c r="H3301" i="2"/>
  <c r="G3301" i="2"/>
  <c r="F3301" i="2"/>
  <c r="E3301" i="2"/>
  <c r="D3301" i="2"/>
  <c r="C3301" i="2"/>
  <c r="B3301" i="2"/>
  <c r="A3301" i="2"/>
  <c r="U3300" i="2"/>
  <c r="N3300" i="2"/>
  <c r="M3300" i="2"/>
  <c r="J3300" i="2"/>
  <c r="I3300" i="2"/>
  <c r="H3300" i="2"/>
  <c r="G3300" i="2"/>
  <c r="F3300" i="2"/>
  <c r="E3300" i="2"/>
  <c r="D3300" i="2"/>
  <c r="C3300" i="2"/>
  <c r="B3300" i="2"/>
  <c r="A3300" i="2"/>
  <c r="U3299" i="2"/>
  <c r="N3299" i="2"/>
  <c r="M3299" i="2"/>
  <c r="J3299" i="2"/>
  <c r="I3299" i="2"/>
  <c r="H3299" i="2"/>
  <c r="G3299" i="2"/>
  <c r="F3299" i="2"/>
  <c r="E3299" i="2"/>
  <c r="D3299" i="2"/>
  <c r="C3299" i="2"/>
  <c r="B3299" i="2"/>
  <c r="A3299" i="2"/>
  <c r="U3298" i="2"/>
  <c r="N3298" i="2"/>
  <c r="M3298" i="2"/>
  <c r="J3298" i="2"/>
  <c r="I3298" i="2"/>
  <c r="H3298" i="2"/>
  <c r="G3298" i="2"/>
  <c r="F3298" i="2"/>
  <c r="E3298" i="2"/>
  <c r="D3298" i="2"/>
  <c r="C3298" i="2"/>
  <c r="B3298" i="2"/>
  <c r="A3298" i="2"/>
  <c r="U3297" i="2"/>
  <c r="N3297" i="2"/>
  <c r="M3297" i="2"/>
  <c r="J3297" i="2"/>
  <c r="I3297" i="2"/>
  <c r="H3297" i="2"/>
  <c r="G3297" i="2"/>
  <c r="F3297" i="2"/>
  <c r="E3297" i="2"/>
  <c r="D3297" i="2"/>
  <c r="C3297" i="2"/>
  <c r="B3297" i="2"/>
  <c r="A3297" i="2"/>
  <c r="U3296" i="2"/>
  <c r="N3296" i="2"/>
  <c r="M3296" i="2"/>
  <c r="J3296" i="2"/>
  <c r="I3296" i="2"/>
  <c r="H3296" i="2"/>
  <c r="G3296" i="2"/>
  <c r="F3296" i="2"/>
  <c r="E3296" i="2"/>
  <c r="D3296" i="2"/>
  <c r="C3296" i="2"/>
  <c r="B3296" i="2"/>
  <c r="A3296" i="2"/>
  <c r="U3295" i="2"/>
  <c r="N3295" i="2"/>
  <c r="M3295" i="2"/>
  <c r="J3295" i="2"/>
  <c r="I3295" i="2"/>
  <c r="H3295" i="2"/>
  <c r="G3295" i="2"/>
  <c r="F3295" i="2"/>
  <c r="E3295" i="2"/>
  <c r="D3295" i="2"/>
  <c r="C3295" i="2"/>
  <c r="B3295" i="2"/>
  <c r="A3295" i="2"/>
  <c r="U3294" i="2"/>
  <c r="N3294" i="2"/>
  <c r="M3294" i="2"/>
  <c r="J3294" i="2"/>
  <c r="I3294" i="2"/>
  <c r="H3294" i="2"/>
  <c r="G3294" i="2"/>
  <c r="F3294" i="2"/>
  <c r="E3294" i="2"/>
  <c r="D3294" i="2"/>
  <c r="C3294" i="2"/>
  <c r="B3294" i="2"/>
  <c r="A3294" i="2"/>
  <c r="U3293" i="2"/>
  <c r="N3293" i="2"/>
  <c r="M3293" i="2"/>
  <c r="J3293" i="2"/>
  <c r="I3293" i="2"/>
  <c r="H3293" i="2"/>
  <c r="G3293" i="2"/>
  <c r="F3293" i="2"/>
  <c r="E3293" i="2"/>
  <c r="D3293" i="2"/>
  <c r="C3293" i="2"/>
  <c r="B3293" i="2"/>
  <c r="A3293" i="2"/>
  <c r="U3292" i="2"/>
  <c r="N3292" i="2"/>
  <c r="M3292" i="2"/>
  <c r="J3292" i="2"/>
  <c r="I3292" i="2"/>
  <c r="H3292" i="2"/>
  <c r="G3292" i="2"/>
  <c r="F3292" i="2"/>
  <c r="E3292" i="2"/>
  <c r="D3292" i="2"/>
  <c r="C3292" i="2"/>
  <c r="B3292" i="2"/>
  <c r="A3292" i="2"/>
  <c r="U3291" i="2"/>
  <c r="N3291" i="2"/>
  <c r="M3291" i="2"/>
  <c r="J3291" i="2"/>
  <c r="I3291" i="2"/>
  <c r="H3291" i="2"/>
  <c r="G3291" i="2"/>
  <c r="F3291" i="2"/>
  <c r="E3291" i="2"/>
  <c r="D3291" i="2"/>
  <c r="C3291" i="2"/>
  <c r="B3291" i="2"/>
  <c r="A3291" i="2"/>
  <c r="U3290" i="2"/>
  <c r="N3290" i="2"/>
  <c r="M3290" i="2"/>
  <c r="J3290" i="2"/>
  <c r="I3290" i="2"/>
  <c r="H3290" i="2"/>
  <c r="G3290" i="2"/>
  <c r="F3290" i="2"/>
  <c r="E3290" i="2"/>
  <c r="D3290" i="2"/>
  <c r="C3290" i="2"/>
  <c r="B3290" i="2"/>
  <c r="A3290" i="2"/>
  <c r="U3289" i="2"/>
  <c r="N3289" i="2"/>
  <c r="M3289" i="2"/>
  <c r="J3289" i="2"/>
  <c r="I3289" i="2"/>
  <c r="H3289" i="2"/>
  <c r="G3289" i="2"/>
  <c r="F3289" i="2"/>
  <c r="E3289" i="2"/>
  <c r="D3289" i="2"/>
  <c r="C3289" i="2"/>
  <c r="B3289" i="2"/>
  <c r="A3289" i="2"/>
  <c r="U3288" i="2"/>
  <c r="N3288" i="2"/>
  <c r="M3288" i="2"/>
  <c r="J3288" i="2"/>
  <c r="I3288" i="2"/>
  <c r="H3288" i="2"/>
  <c r="G3288" i="2"/>
  <c r="F3288" i="2"/>
  <c r="E3288" i="2"/>
  <c r="D3288" i="2"/>
  <c r="C3288" i="2"/>
  <c r="B3288" i="2"/>
  <c r="A3288" i="2"/>
  <c r="U3287" i="2"/>
  <c r="N3287" i="2"/>
  <c r="M3287" i="2"/>
  <c r="J3287" i="2"/>
  <c r="I3287" i="2"/>
  <c r="H3287" i="2"/>
  <c r="G3287" i="2"/>
  <c r="F3287" i="2"/>
  <c r="E3287" i="2"/>
  <c r="D3287" i="2"/>
  <c r="C3287" i="2"/>
  <c r="B3287" i="2"/>
  <c r="A3287" i="2"/>
  <c r="U3286" i="2"/>
  <c r="N3286" i="2"/>
  <c r="M3286" i="2"/>
  <c r="J3286" i="2"/>
  <c r="I3286" i="2"/>
  <c r="H3286" i="2"/>
  <c r="G3286" i="2"/>
  <c r="F3286" i="2"/>
  <c r="E3286" i="2"/>
  <c r="D3286" i="2"/>
  <c r="C3286" i="2"/>
  <c r="B3286" i="2"/>
  <c r="A3286" i="2"/>
  <c r="U3285" i="2"/>
  <c r="N3285" i="2"/>
  <c r="M3285" i="2"/>
  <c r="J3285" i="2"/>
  <c r="I3285" i="2"/>
  <c r="H3285" i="2"/>
  <c r="G3285" i="2"/>
  <c r="F3285" i="2"/>
  <c r="E3285" i="2"/>
  <c r="D3285" i="2"/>
  <c r="C3285" i="2"/>
  <c r="B3285" i="2"/>
  <c r="A3285" i="2"/>
  <c r="U3284" i="2"/>
  <c r="N3284" i="2"/>
  <c r="M3284" i="2"/>
  <c r="J3284" i="2"/>
  <c r="I3284" i="2"/>
  <c r="H3284" i="2"/>
  <c r="G3284" i="2"/>
  <c r="F3284" i="2"/>
  <c r="E3284" i="2"/>
  <c r="D3284" i="2"/>
  <c r="C3284" i="2"/>
  <c r="B3284" i="2"/>
  <c r="A3284" i="2"/>
  <c r="Q3283" i="2"/>
  <c r="U3283" i="2" s="1"/>
  <c r="N3283" i="2"/>
  <c r="M3283" i="2"/>
  <c r="J3283" i="2"/>
  <c r="I3283" i="2"/>
  <c r="H3283" i="2"/>
  <c r="G3283" i="2"/>
  <c r="F3283" i="2"/>
  <c r="E3283" i="2"/>
  <c r="D3283" i="2"/>
  <c r="C3283" i="2"/>
  <c r="B3283" i="2"/>
  <c r="A3283" i="2"/>
  <c r="U3282" i="2"/>
  <c r="N3282" i="2"/>
  <c r="M3282" i="2"/>
  <c r="J3282" i="2"/>
  <c r="I3282" i="2"/>
  <c r="H3282" i="2"/>
  <c r="G3282" i="2"/>
  <c r="F3282" i="2"/>
  <c r="E3282" i="2"/>
  <c r="D3282" i="2"/>
  <c r="C3282" i="2"/>
  <c r="B3282" i="2"/>
  <c r="A3282" i="2"/>
  <c r="U3281" i="2"/>
  <c r="N3281" i="2"/>
  <c r="M3281" i="2"/>
  <c r="J3281" i="2"/>
  <c r="I3281" i="2"/>
  <c r="H3281" i="2"/>
  <c r="G3281" i="2"/>
  <c r="F3281" i="2"/>
  <c r="E3281" i="2"/>
  <c r="D3281" i="2"/>
  <c r="C3281" i="2"/>
  <c r="B3281" i="2"/>
  <c r="A3281" i="2"/>
  <c r="U3280" i="2"/>
  <c r="N3280" i="2"/>
  <c r="M3280" i="2"/>
  <c r="J3280" i="2"/>
  <c r="I3280" i="2"/>
  <c r="H3280" i="2"/>
  <c r="G3280" i="2"/>
  <c r="F3280" i="2"/>
  <c r="E3280" i="2"/>
  <c r="D3280" i="2"/>
  <c r="C3280" i="2"/>
  <c r="B3280" i="2"/>
  <c r="A3280" i="2"/>
  <c r="U3279" i="2"/>
  <c r="N3279" i="2"/>
  <c r="M3279" i="2"/>
  <c r="J3279" i="2"/>
  <c r="I3279" i="2"/>
  <c r="H3279" i="2"/>
  <c r="G3279" i="2"/>
  <c r="F3279" i="2"/>
  <c r="E3279" i="2"/>
  <c r="D3279" i="2"/>
  <c r="C3279" i="2"/>
  <c r="B3279" i="2"/>
  <c r="A3279" i="2"/>
  <c r="U3278" i="2"/>
  <c r="N3278" i="2"/>
  <c r="M3278" i="2"/>
  <c r="J3278" i="2"/>
  <c r="I3278" i="2"/>
  <c r="H3278" i="2"/>
  <c r="G3278" i="2"/>
  <c r="F3278" i="2"/>
  <c r="E3278" i="2"/>
  <c r="D3278" i="2"/>
  <c r="C3278" i="2"/>
  <c r="B3278" i="2"/>
  <c r="A3278" i="2"/>
  <c r="Q3277" i="2"/>
  <c r="U3277" i="2" s="1"/>
  <c r="N3277" i="2"/>
  <c r="M3277" i="2"/>
  <c r="J3277" i="2"/>
  <c r="I3277" i="2"/>
  <c r="H3277" i="2"/>
  <c r="G3277" i="2"/>
  <c r="F3277" i="2"/>
  <c r="E3277" i="2"/>
  <c r="D3277" i="2"/>
  <c r="C3277" i="2"/>
  <c r="B3277" i="2"/>
  <c r="A3277" i="2"/>
  <c r="U3276" i="2"/>
  <c r="N3276" i="2"/>
  <c r="M3276" i="2"/>
  <c r="J3276" i="2"/>
  <c r="I3276" i="2"/>
  <c r="H3276" i="2"/>
  <c r="G3276" i="2"/>
  <c r="F3276" i="2"/>
  <c r="E3276" i="2"/>
  <c r="D3276" i="2"/>
  <c r="C3276" i="2"/>
  <c r="B3276" i="2"/>
  <c r="A3276" i="2"/>
  <c r="Q3275" i="2"/>
  <c r="U3275" i="2" s="1"/>
  <c r="N3275" i="2"/>
  <c r="M3275" i="2"/>
  <c r="J3275" i="2"/>
  <c r="I3275" i="2"/>
  <c r="H3275" i="2"/>
  <c r="G3275" i="2"/>
  <c r="F3275" i="2"/>
  <c r="E3275" i="2"/>
  <c r="D3275" i="2"/>
  <c r="C3275" i="2"/>
  <c r="B3275" i="2"/>
  <c r="A3275" i="2"/>
  <c r="U3274" i="2"/>
  <c r="N3274" i="2"/>
  <c r="M3274" i="2"/>
  <c r="J3274" i="2"/>
  <c r="I3274" i="2"/>
  <c r="H3274" i="2"/>
  <c r="G3274" i="2"/>
  <c r="F3274" i="2"/>
  <c r="E3274" i="2"/>
  <c r="D3274" i="2"/>
  <c r="C3274" i="2"/>
  <c r="B3274" i="2"/>
  <c r="A3274" i="2"/>
  <c r="U3273" i="2"/>
  <c r="N3273" i="2"/>
  <c r="M3273" i="2"/>
  <c r="J3273" i="2"/>
  <c r="I3273" i="2"/>
  <c r="H3273" i="2"/>
  <c r="G3273" i="2"/>
  <c r="F3273" i="2"/>
  <c r="E3273" i="2"/>
  <c r="D3273" i="2"/>
  <c r="C3273" i="2"/>
  <c r="B3273" i="2"/>
  <c r="A3273" i="2"/>
  <c r="U3272" i="2"/>
  <c r="N3272" i="2"/>
  <c r="M3272" i="2"/>
  <c r="J3272" i="2"/>
  <c r="I3272" i="2"/>
  <c r="H3272" i="2"/>
  <c r="G3272" i="2"/>
  <c r="F3272" i="2"/>
  <c r="E3272" i="2"/>
  <c r="D3272" i="2"/>
  <c r="C3272" i="2"/>
  <c r="B3272" i="2"/>
  <c r="A3272" i="2"/>
  <c r="U3271" i="2"/>
  <c r="N3271" i="2"/>
  <c r="M3271" i="2"/>
  <c r="J3271" i="2"/>
  <c r="I3271" i="2"/>
  <c r="H3271" i="2"/>
  <c r="G3271" i="2"/>
  <c r="F3271" i="2"/>
  <c r="E3271" i="2"/>
  <c r="D3271" i="2"/>
  <c r="C3271" i="2"/>
  <c r="B3271" i="2"/>
  <c r="A3271" i="2"/>
  <c r="U3270" i="2"/>
  <c r="N3270" i="2"/>
  <c r="M3270" i="2"/>
  <c r="J3270" i="2"/>
  <c r="I3270" i="2"/>
  <c r="H3270" i="2"/>
  <c r="G3270" i="2"/>
  <c r="F3270" i="2"/>
  <c r="E3270" i="2"/>
  <c r="D3270" i="2"/>
  <c r="C3270" i="2"/>
  <c r="B3270" i="2"/>
  <c r="A3270" i="2"/>
  <c r="U3269" i="2"/>
  <c r="N3269" i="2"/>
  <c r="M3269" i="2"/>
  <c r="J3269" i="2"/>
  <c r="I3269" i="2"/>
  <c r="H3269" i="2"/>
  <c r="G3269" i="2"/>
  <c r="F3269" i="2"/>
  <c r="E3269" i="2"/>
  <c r="D3269" i="2"/>
  <c r="C3269" i="2"/>
  <c r="B3269" i="2"/>
  <c r="A3269" i="2"/>
  <c r="U3268" i="2"/>
  <c r="N3268" i="2"/>
  <c r="M3268" i="2"/>
  <c r="J3268" i="2"/>
  <c r="I3268" i="2"/>
  <c r="H3268" i="2"/>
  <c r="G3268" i="2"/>
  <c r="F3268" i="2"/>
  <c r="E3268" i="2"/>
  <c r="D3268" i="2"/>
  <c r="C3268" i="2"/>
  <c r="B3268" i="2"/>
  <c r="A3268" i="2"/>
  <c r="Q3267" i="2"/>
  <c r="U3267" i="2" s="1"/>
  <c r="N3267" i="2"/>
  <c r="M3267" i="2"/>
  <c r="J3267" i="2"/>
  <c r="I3267" i="2"/>
  <c r="H3267" i="2"/>
  <c r="G3267" i="2"/>
  <c r="F3267" i="2"/>
  <c r="E3267" i="2"/>
  <c r="D3267" i="2"/>
  <c r="C3267" i="2"/>
  <c r="B3267" i="2"/>
  <c r="A3267" i="2"/>
  <c r="Q3266" i="2"/>
  <c r="U3266" i="2" s="1"/>
  <c r="N3266" i="2"/>
  <c r="M3266" i="2"/>
  <c r="J3266" i="2"/>
  <c r="I3266" i="2"/>
  <c r="H3266" i="2"/>
  <c r="G3266" i="2"/>
  <c r="F3266" i="2"/>
  <c r="E3266" i="2"/>
  <c r="D3266" i="2"/>
  <c r="C3266" i="2"/>
  <c r="B3266" i="2"/>
  <c r="A3266" i="2"/>
  <c r="Q3265" i="2"/>
  <c r="U3265" i="2" s="1"/>
  <c r="N3265" i="2"/>
  <c r="M3265" i="2"/>
  <c r="J3265" i="2"/>
  <c r="I3265" i="2"/>
  <c r="H3265" i="2"/>
  <c r="G3265" i="2"/>
  <c r="F3265" i="2"/>
  <c r="E3265" i="2"/>
  <c r="D3265" i="2"/>
  <c r="C3265" i="2"/>
  <c r="B3265" i="2"/>
  <c r="A3265" i="2"/>
  <c r="U3264" i="2"/>
  <c r="N3264" i="2"/>
  <c r="M3264" i="2"/>
  <c r="J3264" i="2"/>
  <c r="I3264" i="2"/>
  <c r="H3264" i="2"/>
  <c r="G3264" i="2"/>
  <c r="F3264" i="2"/>
  <c r="E3264" i="2"/>
  <c r="D3264" i="2"/>
  <c r="C3264" i="2"/>
  <c r="B3264" i="2"/>
  <c r="A3264" i="2"/>
  <c r="U3263" i="2"/>
  <c r="N3263" i="2"/>
  <c r="M3263" i="2"/>
  <c r="J3263" i="2"/>
  <c r="I3263" i="2"/>
  <c r="H3263" i="2"/>
  <c r="G3263" i="2"/>
  <c r="F3263" i="2"/>
  <c r="E3263" i="2"/>
  <c r="D3263" i="2"/>
  <c r="C3263" i="2"/>
  <c r="B3263" i="2"/>
  <c r="A3263" i="2"/>
  <c r="U3262" i="2"/>
  <c r="N3262" i="2"/>
  <c r="M3262" i="2"/>
  <c r="J3262" i="2"/>
  <c r="I3262" i="2"/>
  <c r="H3262" i="2"/>
  <c r="G3262" i="2"/>
  <c r="F3262" i="2"/>
  <c r="E3262" i="2"/>
  <c r="D3262" i="2"/>
  <c r="C3262" i="2"/>
  <c r="B3262" i="2"/>
  <c r="A3262" i="2"/>
  <c r="U3261" i="2"/>
  <c r="N3261" i="2"/>
  <c r="M3261" i="2"/>
  <c r="J3261" i="2"/>
  <c r="I3261" i="2"/>
  <c r="H3261" i="2"/>
  <c r="G3261" i="2"/>
  <c r="F3261" i="2"/>
  <c r="E3261" i="2"/>
  <c r="D3261" i="2"/>
  <c r="C3261" i="2"/>
  <c r="B3261" i="2"/>
  <c r="A3261" i="2"/>
  <c r="Q3260" i="2"/>
  <c r="U3260" i="2" s="1"/>
  <c r="N3260" i="2"/>
  <c r="M3260" i="2"/>
  <c r="J3260" i="2"/>
  <c r="I3260" i="2"/>
  <c r="H3260" i="2"/>
  <c r="G3260" i="2"/>
  <c r="F3260" i="2"/>
  <c r="E3260" i="2"/>
  <c r="D3260" i="2"/>
  <c r="C3260" i="2"/>
  <c r="B3260" i="2"/>
  <c r="A3260" i="2"/>
  <c r="U3259" i="2"/>
  <c r="N3259" i="2"/>
  <c r="M3259" i="2"/>
  <c r="J3259" i="2"/>
  <c r="I3259" i="2"/>
  <c r="H3259" i="2"/>
  <c r="G3259" i="2"/>
  <c r="F3259" i="2"/>
  <c r="E3259" i="2"/>
  <c r="D3259" i="2"/>
  <c r="C3259" i="2"/>
  <c r="B3259" i="2"/>
  <c r="A3259" i="2"/>
  <c r="Q3258" i="2"/>
  <c r="U3258" i="2" s="1"/>
  <c r="N3258" i="2"/>
  <c r="M3258" i="2"/>
  <c r="J3258" i="2"/>
  <c r="I3258" i="2"/>
  <c r="H3258" i="2"/>
  <c r="G3258" i="2"/>
  <c r="F3258" i="2"/>
  <c r="E3258" i="2"/>
  <c r="D3258" i="2"/>
  <c r="C3258" i="2"/>
  <c r="B3258" i="2"/>
  <c r="A3258" i="2"/>
  <c r="U3257" i="2"/>
  <c r="N3257" i="2"/>
  <c r="M3257" i="2"/>
  <c r="J3257" i="2"/>
  <c r="I3257" i="2"/>
  <c r="H3257" i="2"/>
  <c r="G3257" i="2"/>
  <c r="F3257" i="2"/>
  <c r="E3257" i="2"/>
  <c r="D3257" i="2"/>
  <c r="C3257" i="2"/>
  <c r="B3257" i="2"/>
  <c r="A3257" i="2"/>
  <c r="U3256" i="2"/>
  <c r="N3256" i="2"/>
  <c r="M3256" i="2"/>
  <c r="J3256" i="2"/>
  <c r="I3256" i="2"/>
  <c r="H3256" i="2"/>
  <c r="G3256" i="2"/>
  <c r="F3256" i="2"/>
  <c r="E3256" i="2"/>
  <c r="D3256" i="2"/>
  <c r="C3256" i="2"/>
  <c r="B3256" i="2"/>
  <c r="A3256" i="2"/>
  <c r="U3255" i="2"/>
  <c r="N3255" i="2"/>
  <c r="M3255" i="2"/>
  <c r="J3255" i="2"/>
  <c r="I3255" i="2"/>
  <c r="H3255" i="2"/>
  <c r="G3255" i="2"/>
  <c r="F3255" i="2"/>
  <c r="E3255" i="2"/>
  <c r="D3255" i="2"/>
  <c r="C3255" i="2"/>
  <c r="B3255" i="2"/>
  <c r="A3255" i="2"/>
  <c r="Q3254" i="2"/>
  <c r="U3254" i="2" s="1"/>
  <c r="N3254" i="2"/>
  <c r="M3254" i="2"/>
  <c r="J3254" i="2"/>
  <c r="I3254" i="2"/>
  <c r="H3254" i="2"/>
  <c r="G3254" i="2"/>
  <c r="F3254" i="2"/>
  <c r="E3254" i="2"/>
  <c r="D3254" i="2"/>
  <c r="C3254" i="2"/>
  <c r="B3254" i="2"/>
  <c r="A3254" i="2"/>
  <c r="U3253" i="2"/>
  <c r="N3253" i="2"/>
  <c r="M3253" i="2"/>
  <c r="J3253" i="2"/>
  <c r="I3253" i="2"/>
  <c r="H3253" i="2"/>
  <c r="G3253" i="2"/>
  <c r="F3253" i="2"/>
  <c r="E3253" i="2"/>
  <c r="D3253" i="2"/>
  <c r="C3253" i="2"/>
  <c r="B3253" i="2"/>
  <c r="A3253" i="2"/>
  <c r="U3252" i="2"/>
  <c r="N3252" i="2"/>
  <c r="M3252" i="2"/>
  <c r="J3252" i="2"/>
  <c r="I3252" i="2"/>
  <c r="H3252" i="2"/>
  <c r="G3252" i="2"/>
  <c r="F3252" i="2"/>
  <c r="E3252" i="2"/>
  <c r="D3252" i="2"/>
  <c r="C3252" i="2"/>
  <c r="B3252" i="2"/>
  <c r="A3252" i="2"/>
  <c r="U3251" i="2"/>
  <c r="N3251" i="2"/>
  <c r="M3251" i="2"/>
  <c r="J3251" i="2"/>
  <c r="I3251" i="2"/>
  <c r="H3251" i="2"/>
  <c r="G3251" i="2"/>
  <c r="F3251" i="2"/>
  <c r="E3251" i="2"/>
  <c r="D3251" i="2"/>
  <c r="C3251" i="2"/>
  <c r="B3251" i="2"/>
  <c r="A3251" i="2"/>
  <c r="U3250" i="2"/>
  <c r="N3250" i="2"/>
  <c r="M3250" i="2"/>
  <c r="J3250" i="2"/>
  <c r="I3250" i="2"/>
  <c r="H3250" i="2"/>
  <c r="G3250" i="2"/>
  <c r="F3250" i="2"/>
  <c r="E3250" i="2"/>
  <c r="D3250" i="2"/>
  <c r="C3250" i="2"/>
  <c r="B3250" i="2"/>
  <c r="A3250" i="2"/>
  <c r="Q3249" i="2"/>
  <c r="U3249" i="2" s="1"/>
  <c r="N3249" i="2"/>
  <c r="M3249" i="2"/>
  <c r="J3249" i="2"/>
  <c r="I3249" i="2"/>
  <c r="H3249" i="2"/>
  <c r="G3249" i="2"/>
  <c r="F3249" i="2"/>
  <c r="E3249" i="2"/>
  <c r="D3249" i="2"/>
  <c r="C3249" i="2"/>
  <c r="B3249" i="2"/>
  <c r="A3249" i="2"/>
  <c r="Q3248" i="2"/>
  <c r="U3248" i="2" s="1"/>
  <c r="N3248" i="2"/>
  <c r="M3248" i="2"/>
  <c r="J3248" i="2"/>
  <c r="I3248" i="2"/>
  <c r="H3248" i="2"/>
  <c r="G3248" i="2"/>
  <c r="F3248" i="2"/>
  <c r="E3248" i="2"/>
  <c r="D3248" i="2"/>
  <c r="C3248" i="2"/>
  <c r="B3248" i="2"/>
  <c r="A3248" i="2"/>
  <c r="U3247" i="2"/>
  <c r="N3247" i="2"/>
  <c r="M3247" i="2"/>
  <c r="J3247" i="2"/>
  <c r="I3247" i="2"/>
  <c r="H3247" i="2"/>
  <c r="G3247" i="2"/>
  <c r="F3247" i="2"/>
  <c r="E3247" i="2"/>
  <c r="D3247" i="2"/>
  <c r="C3247" i="2"/>
  <c r="B3247" i="2"/>
  <c r="A3247" i="2"/>
  <c r="Q3246" i="2"/>
  <c r="U3246" i="2" s="1"/>
  <c r="N3246" i="2"/>
  <c r="M3246" i="2"/>
  <c r="J3246" i="2"/>
  <c r="I3246" i="2"/>
  <c r="H3246" i="2"/>
  <c r="G3246" i="2"/>
  <c r="F3246" i="2"/>
  <c r="E3246" i="2"/>
  <c r="D3246" i="2"/>
  <c r="C3246" i="2"/>
  <c r="B3246" i="2"/>
  <c r="A3246" i="2"/>
  <c r="U3245" i="2"/>
  <c r="N3245" i="2"/>
  <c r="M3245" i="2"/>
  <c r="J3245" i="2"/>
  <c r="I3245" i="2"/>
  <c r="H3245" i="2"/>
  <c r="G3245" i="2"/>
  <c r="F3245" i="2"/>
  <c r="E3245" i="2"/>
  <c r="D3245" i="2"/>
  <c r="C3245" i="2"/>
  <c r="B3245" i="2"/>
  <c r="A3245" i="2"/>
  <c r="U3244" i="2"/>
  <c r="N3244" i="2"/>
  <c r="M3244" i="2"/>
  <c r="J3244" i="2"/>
  <c r="I3244" i="2"/>
  <c r="H3244" i="2"/>
  <c r="G3244" i="2"/>
  <c r="F3244" i="2"/>
  <c r="E3244" i="2"/>
  <c r="D3244" i="2"/>
  <c r="C3244" i="2"/>
  <c r="B3244" i="2"/>
  <c r="A3244" i="2"/>
  <c r="U3243" i="2"/>
  <c r="N3243" i="2"/>
  <c r="M3243" i="2"/>
  <c r="J3243" i="2"/>
  <c r="I3243" i="2"/>
  <c r="H3243" i="2"/>
  <c r="G3243" i="2"/>
  <c r="F3243" i="2"/>
  <c r="E3243" i="2"/>
  <c r="D3243" i="2"/>
  <c r="C3243" i="2"/>
  <c r="B3243" i="2"/>
  <c r="A3243" i="2"/>
  <c r="Q3242" i="2"/>
  <c r="U3242" i="2" s="1"/>
  <c r="N3242" i="2"/>
  <c r="M3242" i="2"/>
  <c r="J3242" i="2"/>
  <c r="I3242" i="2"/>
  <c r="H3242" i="2"/>
  <c r="G3242" i="2"/>
  <c r="F3242" i="2"/>
  <c r="E3242" i="2"/>
  <c r="D3242" i="2"/>
  <c r="C3242" i="2"/>
  <c r="B3242" i="2"/>
  <c r="A3242" i="2"/>
  <c r="U3241" i="2"/>
  <c r="N3241" i="2"/>
  <c r="M3241" i="2"/>
  <c r="J3241" i="2"/>
  <c r="I3241" i="2"/>
  <c r="H3241" i="2"/>
  <c r="G3241" i="2"/>
  <c r="F3241" i="2"/>
  <c r="E3241" i="2"/>
  <c r="D3241" i="2"/>
  <c r="C3241" i="2"/>
  <c r="B3241" i="2"/>
  <c r="A3241" i="2"/>
  <c r="U3240" i="2"/>
  <c r="N3240" i="2"/>
  <c r="M3240" i="2"/>
  <c r="J3240" i="2"/>
  <c r="I3240" i="2"/>
  <c r="H3240" i="2"/>
  <c r="G3240" i="2"/>
  <c r="F3240" i="2"/>
  <c r="E3240" i="2"/>
  <c r="D3240" i="2"/>
  <c r="C3240" i="2"/>
  <c r="B3240" i="2"/>
  <c r="A3240" i="2"/>
  <c r="Q3239" i="2"/>
  <c r="U3239" i="2" s="1"/>
  <c r="N3239" i="2"/>
  <c r="M3239" i="2"/>
  <c r="J3239" i="2"/>
  <c r="I3239" i="2"/>
  <c r="H3239" i="2"/>
  <c r="G3239" i="2"/>
  <c r="F3239" i="2"/>
  <c r="E3239" i="2"/>
  <c r="D3239" i="2"/>
  <c r="C3239" i="2"/>
  <c r="B3239" i="2"/>
  <c r="A3239" i="2"/>
  <c r="R3238" i="2"/>
  <c r="Q3238" i="2"/>
  <c r="N3238" i="2"/>
  <c r="M3238" i="2"/>
  <c r="J3238" i="2"/>
  <c r="I3238" i="2"/>
  <c r="H3238" i="2"/>
  <c r="G3238" i="2"/>
  <c r="F3238" i="2"/>
  <c r="E3238" i="2"/>
  <c r="D3238" i="2"/>
  <c r="C3238" i="2"/>
  <c r="B3238" i="2"/>
  <c r="A3238" i="2"/>
  <c r="Q3237" i="2"/>
  <c r="U3237" i="2" s="1"/>
  <c r="N3237" i="2"/>
  <c r="M3237" i="2"/>
  <c r="J3237" i="2"/>
  <c r="I3237" i="2"/>
  <c r="H3237" i="2"/>
  <c r="G3237" i="2"/>
  <c r="F3237" i="2"/>
  <c r="E3237" i="2"/>
  <c r="D3237" i="2"/>
  <c r="C3237" i="2"/>
  <c r="B3237" i="2"/>
  <c r="A3237" i="2"/>
  <c r="Q3236" i="2"/>
  <c r="U3236" i="2" s="1"/>
  <c r="N3236" i="2"/>
  <c r="M3236" i="2"/>
  <c r="J3236" i="2"/>
  <c r="I3236" i="2"/>
  <c r="H3236" i="2"/>
  <c r="G3236" i="2"/>
  <c r="F3236" i="2"/>
  <c r="E3236" i="2"/>
  <c r="D3236" i="2"/>
  <c r="C3236" i="2"/>
  <c r="B3236" i="2"/>
  <c r="A3236" i="2"/>
  <c r="Q3235" i="2"/>
  <c r="U3235" i="2" s="1"/>
  <c r="N3235" i="2"/>
  <c r="M3235" i="2"/>
  <c r="J3235" i="2"/>
  <c r="I3235" i="2"/>
  <c r="H3235" i="2"/>
  <c r="G3235" i="2"/>
  <c r="F3235" i="2"/>
  <c r="E3235" i="2"/>
  <c r="D3235" i="2"/>
  <c r="C3235" i="2"/>
  <c r="B3235" i="2"/>
  <c r="A3235" i="2"/>
  <c r="Q3234" i="2"/>
  <c r="U3234" i="2" s="1"/>
  <c r="N3234" i="2"/>
  <c r="M3234" i="2"/>
  <c r="J3234" i="2"/>
  <c r="I3234" i="2"/>
  <c r="H3234" i="2"/>
  <c r="G3234" i="2"/>
  <c r="F3234" i="2"/>
  <c r="E3234" i="2"/>
  <c r="D3234" i="2"/>
  <c r="C3234" i="2"/>
  <c r="B3234" i="2"/>
  <c r="A3234" i="2"/>
  <c r="Q3233" i="2"/>
  <c r="U3233" i="2" s="1"/>
  <c r="N3233" i="2"/>
  <c r="M3233" i="2"/>
  <c r="J3233" i="2"/>
  <c r="I3233" i="2"/>
  <c r="H3233" i="2"/>
  <c r="G3233" i="2"/>
  <c r="F3233" i="2"/>
  <c r="E3233" i="2"/>
  <c r="D3233" i="2"/>
  <c r="C3233" i="2"/>
  <c r="B3233" i="2"/>
  <c r="A3233" i="2"/>
  <c r="U3232" i="2"/>
  <c r="N3232" i="2"/>
  <c r="M3232" i="2"/>
  <c r="J3232" i="2"/>
  <c r="I3232" i="2"/>
  <c r="H3232" i="2"/>
  <c r="G3232" i="2"/>
  <c r="F3232" i="2"/>
  <c r="E3232" i="2"/>
  <c r="D3232" i="2"/>
  <c r="C3232" i="2"/>
  <c r="B3232" i="2"/>
  <c r="A3232" i="2"/>
  <c r="U3231" i="2"/>
  <c r="N3231" i="2"/>
  <c r="M3231" i="2"/>
  <c r="J3231" i="2"/>
  <c r="I3231" i="2"/>
  <c r="H3231" i="2"/>
  <c r="G3231" i="2"/>
  <c r="F3231" i="2"/>
  <c r="E3231" i="2"/>
  <c r="D3231" i="2"/>
  <c r="C3231" i="2"/>
  <c r="B3231" i="2"/>
  <c r="A3231" i="2"/>
  <c r="Q3230" i="2"/>
  <c r="U3230" i="2" s="1"/>
  <c r="N3230" i="2"/>
  <c r="M3230" i="2"/>
  <c r="J3230" i="2"/>
  <c r="I3230" i="2"/>
  <c r="H3230" i="2"/>
  <c r="G3230" i="2"/>
  <c r="F3230" i="2"/>
  <c r="E3230" i="2"/>
  <c r="D3230" i="2"/>
  <c r="C3230" i="2"/>
  <c r="B3230" i="2"/>
  <c r="A3230" i="2"/>
  <c r="U3229" i="2"/>
  <c r="N3229" i="2"/>
  <c r="M3229" i="2"/>
  <c r="J3229" i="2"/>
  <c r="I3229" i="2"/>
  <c r="H3229" i="2"/>
  <c r="G3229" i="2"/>
  <c r="F3229" i="2"/>
  <c r="E3229" i="2"/>
  <c r="D3229" i="2"/>
  <c r="C3229" i="2"/>
  <c r="B3229" i="2"/>
  <c r="A3229" i="2"/>
  <c r="U3228" i="2"/>
  <c r="N3228" i="2"/>
  <c r="M3228" i="2"/>
  <c r="J3228" i="2"/>
  <c r="I3228" i="2"/>
  <c r="H3228" i="2"/>
  <c r="G3228" i="2"/>
  <c r="F3228" i="2"/>
  <c r="E3228" i="2"/>
  <c r="D3228" i="2"/>
  <c r="C3228" i="2"/>
  <c r="B3228" i="2"/>
  <c r="A3228" i="2"/>
  <c r="U3227" i="2"/>
  <c r="N3227" i="2"/>
  <c r="M3227" i="2"/>
  <c r="J3227" i="2"/>
  <c r="I3227" i="2"/>
  <c r="H3227" i="2"/>
  <c r="G3227" i="2"/>
  <c r="F3227" i="2"/>
  <c r="E3227" i="2"/>
  <c r="D3227" i="2"/>
  <c r="C3227" i="2"/>
  <c r="B3227" i="2"/>
  <c r="A3227" i="2"/>
  <c r="U3226" i="2"/>
  <c r="N3226" i="2"/>
  <c r="M3226" i="2"/>
  <c r="J3226" i="2"/>
  <c r="I3226" i="2"/>
  <c r="H3226" i="2"/>
  <c r="G3226" i="2"/>
  <c r="F3226" i="2"/>
  <c r="E3226" i="2"/>
  <c r="D3226" i="2"/>
  <c r="C3226" i="2"/>
  <c r="B3226" i="2"/>
  <c r="A3226" i="2"/>
  <c r="U3225" i="2"/>
  <c r="N3225" i="2"/>
  <c r="M3225" i="2"/>
  <c r="J3225" i="2"/>
  <c r="I3225" i="2"/>
  <c r="H3225" i="2"/>
  <c r="G3225" i="2"/>
  <c r="F3225" i="2"/>
  <c r="E3225" i="2"/>
  <c r="D3225" i="2"/>
  <c r="C3225" i="2"/>
  <c r="B3225" i="2"/>
  <c r="A3225" i="2"/>
  <c r="U3224" i="2"/>
  <c r="N3224" i="2"/>
  <c r="M3224" i="2"/>
  <c r="J3224" i="2"/>
  <c r="I3224" i="2"/>
  <c r="H3224" i="2"/>
  <c r="G3224" i="2"/>
  <c r="F3224" i="2"/>
  <c r="E3224" i="2"/>
  <c r="D3224" i="2"/>
  <c r="C3224" i="2"/>
  <c r="B3224" i="2"/>
  <c r="A3224" i="2"/>
  <c r="Q3223" i="2"/>
  <c r="U3223" i="2" s="1"/>
  <c r="N3223" i="2"/>
  <c r="M3223" i="2"/>
  <c r="J3223" i="2"/>
  <c r="I3223" i="2"/>
  <c r="H3223" i="2"/>
  <c r="G3223" i="2"/>
  <c r="F3223" i="2"/>
  <c r="E3223" i="2"/>
  <c r="D3223" i="2"/>
  <c r="C3223" i="2"/>
  <c r="B3223" i="2"/>
  <c r="A3223" i="2"/>
  <c r="Q3222" i="2"/>
  <c r="U3222" i="2" s="1"/>
  <c r="N3222" i="2"/>
  <c r="M3222" i="2"/>
  <c r="J3222" i="2"/>
  <c r="I3222" i="2"/>
  <c r="H3222" i="2"/>
  <c r="G3222" i="2"/>
  <c r="F3222" i="2"/>
  <c r="E3222" i="2"/>
  <c r="D3222" i="2"/>
  <c r="C3222" i="2"/>
  <c r="B3222" i="2"/>
  <c r="A3222" i="2"/>
  <c r="U3221" i="2"/>
  <c r="N3221" i="2"/>
  <c r="M3221" i="2"/>
  <c r="J3221" i="2"/>
  <c r="I3221" i="2"/>
  <c r="H3221" i="2"/>
  <c r="G3221" i="2"/>
  <c r="F3221" i="2"/>
  <c r="E3221" i="2"/>
  <c r="D3221" i="2"/>
  <c r="C3221" i="2"/>
  <c r="B3221" i="2"/>
  <c r="A3221" i="2"/>
  <c r="R3220" i="2"/>
  <c r="U3220" i="2" s="1"/>
  <c r="Q3220" i="2"/>
  <c r="N3220" i="2"/>
  <c r="M3220" i="2"/>
  <c r="J3220" i="2"/>
  <c r="I3220" i="2"/>
  <c r="H3220" i="2"/>
  <c r="G3220" i="2"/>
  <c r="F3220" i="2"/>
  <c r="E3220" i="2"/>
  <c r="D3220" i="2"/>
  <c r="C3220" i="2"/>
  <c r="B3220" i="2"/>
  <c r="A3220" i="2"/>
  <c r="U3219" i="2"/>
  <c r="N3219" i="2"/>
  <c r="M3219" i="2"/>
  <c r="J3219" i="2"/>
  <c r="I3219" i="2"/>
  <c r="H3219" i="2"/>
  <c r="G3219" i="2"/>
  <c r="F3219" i="2"/>
  <c r="E3219" i="2"/>
  <c r="D3219" i="2"/>
  <c r="C3219" i="2"/>
  <c r="B3219" i="2"/>
  <c r="A3219" i="2"/>
  <c r="U3218" i="2"/>
  <c r="N3218" i="2"/>
  <c r="M3218" i="2"/>
  <c r="J3218" i="2"/>
  <c r="I3218" i="2"/>
  <c r="H3218" i="2"/>
  <c r="G3218" i="2"/>
  <c r="F3218" i="2"/>
  <c r="E3218" i="2"/>
  <c r="D3218" i="2"/>
  <c r="C3218" i="2"/>
  <c r="B3218" i="2"/>
  <c r="A3218" i="2"/>
  <c r="U3217" i="2"/>
  <c r="N3217" i="2"/>
  <c r="M3217" i="2"/>
  <c r="J3217" i="2"/>
  <c r="I3217" i="2"/>
  <c r="H3217" i="2"/>
  <c r="G3217" i="2"/>
  <c r="F3217" i="2"/>
  <c r="E3217" i="2"/>
  <c r="D3217" i="2"/>
  <c r="C3217" i="2"/>
  <c r="B3217" i="2"/>
  <c r="A3217" i="2"/>
  <c r="U3216" i="2"/>
  <c r="N3216" i="2"/>
  <c r="M3216" i="2"/>
  <c r="J3216" i="2"/>
  <c r="I3216" i="2"/>
  <c r="H3216" i="2"/>
  <c r="G3216" i="2"/>
  <c r="F3216" i="2"/>
  <c r="E3216" i="2"/>
  <c r="D3216" i="2"/>
  <c r="C3216" i="2"/>
  <c r="B3216" i="2"/>
  <c r="A3216" i="2"/>
  <c r="U3215" i="2"/>
  <c r="N3215" i="2"/>
  <c r="M3215" i="2"/>
  <c r="J3215" i="2"/>
  <c r="I3215" i="2"/>
  <c r="H3215" i="2"/>
  <c r="G3215" i="2"/>
  <c r="F3215" i="2"/>
  <c r="E3215" i="2"/>
  <c r="D3215" i="2"/>
  <c r="C3215" i="2"/>
  <c r="B3215" i="2"/>
  <c r="A3215" i="2"/>
  <c r="U3214" i="2"/>
  <c r="N3214" i="2"/>
  <c r="M3214" i="2"/>
  <c r="J3214" i="2"/>
  <c r="I3214" i="2"/>
  <c r="H3214" i="2"/>
  <c r="G3214" i="2"/>
  <c r="F3214" i="2"/>
  <c r="E3214" i="2"/>
  <c r="D3214" i="2"/>
  <c r="C3214" i="2"/>
  <c r="B3214" i="2"/>
  <c r="A3214" i="2"/>
  <c r="U3213" i="2"/>
  <c r="N3213" i="2"/>
  <c r="M3213" i="2"/>
  <c r="J3213" i="2"/>
  <c r="I3213" i="2"/>
  <c r="H3213" i="2"/>
  <c r="G3213" i="2"/>
  <c r="F3213" i="2"/>
  <c r="E3213" i="2"/>
  <c r="D3213" i="2"/>
  <c r="C3213" i="2"/>
  <c r="B3213" i="2"/>
  <c r="A3213" i="2"/>
  <c r="U3212" i="2"/>
  <c r="N3212" i="2"/>
  <c r="M3212" i="2"/>
  <c r="J3212" i="2"/>
  <c r="I3212" i="2"/>
  <c r="H3212" i="2"/>
  <c r="G3212" i="2"/>
  <c r="F3212" i="2"/>
  <c r="E3212" i="2"/>
  <c r="D3212" i="2"/>
  <c r="C3212" i="2"/>
  <c r="B3212" i="2"/>
  <c r="A3212" i="2"/>
  <c r="U3211" i="2"/>
  <c r="N3211" i="2"/>
  <c r="M3211" i="2"/>
  <c r="J3211" i="2"/>
  <c r="I3211" i="2"/>
  <c r="H3211" i="2"/>
  <c r="G3211" i="2"/>
  <c r="F3211" i="2"/>
  <c r="E3211" i="2"/>
  <c r="D3211" i="2"/>
  <c r="C3211" i="2"/>
  <c r="B3211" i="2"/>
  <c r="A3211" i="2"/>
  <c r="U3210" i="2"/>
  <c r="N3210" i="2"/>
  <c r="M3210" i="2"/>
  <c r="J3210" i="2"/>
  <c r="I3210" i="2"/>
  <c r="H3210" i="2"/>
  <c r="G3210" i="2"/>
  <c r="F3210" i="2"/>
  <c r="E3210" i="2"/>
  <c r="D3210" i="2"/>
  <c r="C3210" i="2"/>
  <c r="B3210" i="2"/>
  <c r="A3210" i="2"/>
  <c r="U3209" i="2"/>
  <c r="N3209" i="2"/>
  <c r="M3209" i="2"/>
  <c r="J3209" i="2"/>
  <c r="I3209" i="2"/>
  <c r="H3209" i="2"/>
  <c r="G3209" i="2"/>
  <c r="F3209" i="2"/>
  <c r="E3209" i="2"/>
  <c r="D3209" i="2"/>
  <c r="C3209" i="2"/>
  <c r="B3209" i="2"/>
  <c r="A3209" i="2"/>
  <c r="U3208" i="2"/>
  <c r="N3208" i="2"/>
  <c r="M3208" i="2"/>
  <c r="J3208" i="2"/>
  <c r="I3208" i="2"/>
  <c r="H3208" i="2"/>
  <c r="G3208" i="2"/>
  <c r="F3208" i="2"/>
  <c r="E3208" i="2"/>
  <c r="D3208" i="2"/>
  <c r="C3208" i="2"/>
  <c r="B3208" i="2"/>
  <c r="A3208" i="2"/>
  <c r="Q3207" i="2"/>
  <c r="U3207" i="2" s="1"/>
  <c r="N3207" i="2"/>
  <c r="M3207" i="2"/>
  <c r="J3207" i="2"/>
  <c r="I3207" i="2"/>
  <c r="H3207" i="2"/>
  <c r="G3207" i="2"/>
  <c r="F3207" i="2"/>
  <c r="E3207" i="2"/>
  <c r="D3207" i="2"/>
  <c r="C3207" i="2"/>
  <c r="B3207" i="2"/>
  <c r="A3207" i="2"/>
  <c r="U3206" i="2"/>
  <c r="N3206" i="2"/>
  <c r="M3206" i="2"/>
  <c r="J3206" i="2"/>
  <c r="I3206" i="2"/>
  <c r="H3206" i="2"/>
  <c r="G3206" i="2"/>
  <c r="F3206" i="2"/>
  <c r="E3206" i="2"/>
  <c r="D3206" i="2"/>
  <c r="C3206" i="2"/>
  <c r="B3206" i="2"/>
  <c r="A3206" i="2"/>
  <c r="U3205" i="2"/>
  <c r="N3205" i="2"/>
  <c r="M3205" i="2"/>
  <c r="J3205" i="2"/>
  <c r="I3205" i="2"/>
  <c r="H3205" i="2"/>
  <c r="G3205" i="2"/>
  <c r="F3205" i="2"/>
  <c r="E3205" i="2"/>
  <c r="D3205" i="2"/>
  <c r="C3205" i="2"/>
  <c r="B3205" i="2"/>
  <c r="A3205" i="2"/>
  <c r="U3204" i="2"/>
  <c r="N3204" i="2"/>
  <c r="M3204" i="2"/>
  <c r="J3204" i="2"/>
  <c r="I3204" i="2"/>
  <c r="H3204" i="2"/>
  <c r="G3204" i="2"/>
  <c r="F3204" i="2"/>
  <c r="E3204" i="2"/>
  <c r="D3204" i="2"/>
  <c r="C3204" i="2"/>
  <c r="B3204" i="2"/>
  <c r="A3204" i="2"/>
  <c r="U3203" i="2"/>
  <c r="N3203" i="2"/>
  <c r="M3203" i="2"/>
  <c r="J3203" i="2"/>
  <c r="I3203" i="2"/>
  <c r="H3203" i="2"/>
  <c r="G3203" i="2"/>
  <c r="F3203" i="2"/>
  <c r="E3203" i="2"/>
  <c r="D3203" i="2"/>
  <c r="C3203" i="2"/>
  <c r="B3203" i="2"/>
  <c r="A3203" i="2"/>
  <c r="U3202" i="2"/>
  <c r="N3202" i="2"/>
  <c r="M3202" i="2"/>
  <c r="J3202" i="2"/>
  <c r="I3202" i="2"/>
  <c r="H3202" i="2"/>
  <c r="G3202" i="2"/>
  <c r="F3202" i="2"/>
  <c r="E3202" i="2"/>
  <c r="D3202" i="2"/>
  <c r="C3202" i="2"/>
  <c r="B3202" i="2"/>
  <c r="A3202" i="2"/>
  <c r="U3201" i="2"/>
  <c r="N3201" i="2"/>
  <c r="M3201" i="2"/>
  <c r="J3201" i="2"/>
  <c r="I3201" i="2"/>
  <c r="H3201" i="2"/>
  <c r="G3201" i="2"/>
  <c r="F3201" i="2"/>
  <c r="E3201" i="2"/>
  <c r="D3201" i="2"/>
  <c r="C3201" i="2"/>
  <c r="B3201" i="2"/>
  <c r="A3201" i="2"/>
  <c r="U3200" i="2"/>
  <c r="N3200" i="2"/>
  <c r="M3200" i="2"/>
  <c r="J3200" i="2"/>
  <c r="I3200" i="2"/>
  <c r="H3200" i="2"/>
  <c r="G3200" i="2"/>
  <c r="F3200" i="2"/>
  <c r="E3200" i="2"/>
  <c r="D3200" i="2"/>
  <c r="C3200" i="2"/>
  <c r="B3200" i="2"/>
  <c r="A3200" i="2"/>
  <c r="U3199" i="2"/>
  <c r="N3199" i="2"/>
  <c r="M3199" i="2"/>
  <c r="J3199" i="2"/>
  <c r="I3199" i="2"/>
  <c r="H3199" i="2"/>
  <c r="G3199" i="2"/>
  <c r="F3199" i="2"/>
  <c r="E3199" i="2"/>
  <c r="D3199" i="2"/>
  <c r="C3199" i="2"/>
  <c r="B3199" i="2"/>
  <c r="A3199" i="2"/>
  <c r="U3198" i="2"/>
  <c r="N3198" i="2"/>
  <c r="M3198" i="2"/>
  <c r="J3198" i="2"/>
  <c r="I3198" i="2"/>
  <c r="H3198" i="2"/>
  <c r="G3198" i="2"/>
  <c r="F3198" i="2"/>
  <c r="E3198" i="2"/>
  <c r="D3198" i="2"/>
  <c r="C3198" i="2"/>
  <c r="B3198" i="2"/>
  <c r="A3198" i="2"/>
  <c r="U3197" i="2"/>
  <c r="N3197" i="2"/>
  <c r="M3197" i="2"/>
  <c r="J3197" i="2"/>
  <c r="I3197" i="2"/>
  <c r="H3197" i="2"/>
  <c r="G3197" i="2"/>
  <c r="F3197" i="2"/>
  <c r="E3197" i="2"/>
  <c r="D3197" i="2"/>
  <c r="C3197" i="2"/>
  <c r="B3197" i="2"/>
  <c r="A3197" i="2"/>
  <c r="U3196" i="2"/>
  <c r="N3196" i="2"/>
  <c r="M3196" i="2"/>
  <c r="J3196" i="2"/>
  <c r="I3196" i="2"/>
  <c r="H3196" i="2"/>
  <c r="G3196" i="2"/>
  <c r="F3196" i="2"/>
  <c r="E3196" i="2"/>
  <c r="D3196" i="2"/>
  <c r="C3196" i="2"/>
  <c r="B3196" i="2"/>
  <c r="A3196" i="2"/>
  <c r="U3195" i="2"/>
  <c r="N3195" i="2"/>
  <c r="M3195" i="2"/>
  <c r="J3195" i="2"/>
  <c r="I3195" i="2"/>
  <c r="H3195" i="2"/>
  <c r="G3195" i="2"/>
  <c r="F3195" i="2"/>
  <c r="E3195" i="2"/>
  <c r="D3195" i="2"/>
  <c r="C3195" i="2"/>
  <c r="B3195" i="2"/>
  <c r="A3195" i="2"/>
  <c r="U3194" i="2"/>
  <c r="N3194" i="2"/>
  <c r="M3194" i="2"/>
  <c r="J3194" i="2"/>
  <c r="I3194" i="2"/>
  <c r="H3194" i="2"/>
  <c r="G3194" i="2"/>
  <c r="F3194" i="2"/>
  <c r="E3194" i="2"/>
  <c r="D3194" i="2"/>
  <c r="C3194" i="2"/>
  <c r="B3194" i="2"/>
  <c r="A3194" i="2"/>
  <c r="U3193" i="2"/>
  <c r="N3193" i="2"/>
  <c r="M3193" i="2"/>
  <c r="J3193" i="2"/>
  <c r="I3193" i="2"/>
  <c r="H3193" i="2"/>
  <c r="G3193" i="2"/>
  <c r="F3193" i="2"/>
  <c r="E3193" i="2"/>
  <c r="D3193" i="2"/>
  <c r="C3193" i="2"/>
  <c r="B3193" i="2"/>
  <c r="A3193" i="2"/>
  <c r="U3192" i="2"/>
  <c r="N3192" i="2"/>
  <c r="M3192" i="2"/>
  <c r="J3192" i="2"/>
  <c r="I3192" i="2"/>
  <c r="H3192" i="2"/>
  <c r="G3192" i="2"/>
  <c r="F3192" i="2"/>
  <c r="E3192" i="2"/>
  <c r="D3192" i="2"/>
  <c r="C3192" i="2"/>
  <c r="B3192" i="2"/>
  <c r="A3192" i="2"/>
  <c r="U3191" i="2"/>
  <c r="N3191" i="2"/>
  <c r="M3191" i="2"/>
  <c r="J3191" i="2"/>
  <c r="I3191" i="2"/>
  <c r="H3191" i="2"/>
  <c r="G3191" i="2"/>
  <c r="F3191" i="2"/>
  <c r="E3191" i="2"/>
  <c r="D3191" i="2"/>
  <c r="C3191" i="2"/>
  <c r="B3191" i="2"/>
  <c r="A3191" i="2"/>
  <c r="U3190" i="2"/>
  <c r="N3190" i="2"/>
  <c r="M3190" i="2"/>
  <c r="J3190" i="2"/>
  <c r="I3190" i="2"/>
  <c r="H3190" i="2"/>
  <c r="G3190" i="2"/>
  <c r="F3190" i="2"/>
  <c r="E3190" i="2"/>
  <c r="D3190" i="2"/>
  <c r="C3190" i="2"/>
  <c r="B3190" i="2"/>
  <c r="A3190" i="2"/>
  <c r="U3189" i="2"/>
  <c r="N3189" i="2"/>
  <c r="M3189" i="2"/>
  <c r="J3189" i="2"/>
  <c r="I3189" i="2"/>
  <c r="H3189" i="2"/>
  <c r="G3189" i="2"/>
  <c r="F3189" i="2"/>
  <c r="E3189" i="2"/>
  <c r="D3189" i="2"/>
  <c r="C3189" i="2"/>
  <c r="B3189" i="2"/>
  <c r="A3189" i="2"/>
  <c r="U3188" i="2"/>
  <c r="N3188" i="2"/>
  <c r="M3188" i="2"/>
  <c r="J3188" i="2"/>
  <c r="I3188" i="2"/>
  <c r="H3188" i="2"/>
  <c r="G3188" i="2"/>
  <c r="F3188" i="2"/>
  <c r="E3188" i="2"/>
  <c r="D3188" i="2"/>
  <c r="C3188" i="2"/>
  <c r="B3188" i="2"/>
  <c r="A3188" i="2"/>
  <c r="U3187" i="2"/>
  <c r="N3187" i="2"/>
  <c r="M3187" i="2"/>
  <c r="J3187" i="2"/>
  <c r="I3187" i="2"/>
  <c r="H3187" i="2"/>
  <c r="G3187" i="2"/>
  <c r="F3187" i="2"/>
  <c r="E3187" i="2"/>
  <c r="D3187" i="2"/>
  <c r="C3187" i="2"/>
  <c r="B3187" i="2"/>
  <c r="A3187" i="2"/>
  <c r="U3186" i="2"/>
  <c r="N3186" i="2"/>
  <c r="M3186" i="2"/>
  <c r="J3186" i="2"/>
  <c r="I3186" i="2"/>
  <c r="H3186" i="2"/>
  <c r="G3186" i="2"/>
  <c r="F3186" i="2"/>
  <c r="E3186" i="2"/>
  <c r="D3186" i="2"/>
  <c r="C3186" i="2"/>
  <c r="B3186" i="2"/>
  <c r="A3186" i="2"/>
  <c r="U3185" i="2"/>
  <c r="N3185" i="2"/>
  <c r="M3185" i="2"/>
  <c r="J3185" i="2"/>
  <c r="I3185" i="2"/>
  <c r="H3185" i="2"/>
  <c r="G3185" i="2"/>
  <c r="F3185" i="2"/>
  <c r="E3185" i="2"/>
  <c r="D3185" i="2"/>
  <c r="C3185" i="2"/>
  <c r="B3185" i="2"/>
  <c r="A3185" i="2"/>
  <c r="U3184" i="2"/>
  <c r="N3184" i="2"/>
  <c r="M3184" i="2"/>
  <c r="J3184" i="2"/>
  <c r="I3184" i="2"/>
  <c r="H3184" i="2"/>
  <c r="G3184" i="2"/>
  <c r="F3184" i="2"/>
  <c r="E3184" i="2"/>
  <c r="D3184" i="2"/>
  <c r="C3184" i="2"/>
  <c r="B3184" i="2"/>
  <c r="A3184" i="2"/>
  <c r="U3183" i="2"/>
  <c r="N3183" i="2"/>
  <c r="M3183" i="2"/>
  <c r="J3183" i="2"/>
  <c r="I3183" i="2"/>
  <c r="H3183" i="2"/>
  <c r="G3183" i="2"/>
  <c r="F3183" i="2"/>
  <c r="E3183" i="2"/>
  <c r="D3183" i="2"/>
  <c r="C3183" i="2"/>
  <c r="B3183" i="2"/>
  <c r="A3183" i="2"/>
  <c r="U3182" i="2"/>
  <c r="N3182" i="2"/>
  <c r="M3182" i="2"/>
  <c r="J3182" i="2"/>
  <c r="I3182" i="2"/>
  <c r="H3182" i="2"/>
  <c r="G3182" i="2"/>
  <c r="F3182" i="2"/>
  <c r="E3182" i="2"/>
  <c r="D3182" i="2"/>
  <c r="C3182" i="2"/>
  <c r="B3182" i="2"/>
  <c r="A3182" i="2"/>
  <c r="U3181" i="2"/>
  <c r="N3181" i="2"/>
  <c r="M3181" i="2"/>
  <c r="J3181" i="2"/>
  <c r="I3181" i="2"/>
  <c r="H3181" i="2"/>
  <c r="G3181" i="2"/>
  <c r="F3181" i="2"/>
  <c r="E3181" i="2"/>
  <c r="D3181" i="2"/>
  <c r="C3181" i="2"/>
  <c r="B3181" i="2"/>
  <c r="A3181" i="2"/>
  <c r="U3180" i="2"/>
  <c r="N3180" i="2"/>
  <c r="M3180" i="2"/>
  <c r="J3180" i="2"/>
  <c r="I3180" i="2"/>
  <c r="H3180" i="2"/>
  <c r="G3180" i="2"/>
  <c r="F3180" i="2"/>
  <c r="E3180" i="2"/>
  <c r="D3180" i="2"/>
  <c r="C3180" i="2"/>
  <c r="B3180" i="2"/>
  <c r="A3180" i="2"/>
  <c r="U3179" i="2"/>
  <c r="N3179" i="2"/>
  <c r="M3179" i="2"/>
  <c r="J3179" i="2"/>
  <c r="I3179" i="2"/>
  <c r="H3179" i="2"/>
  <c r="G3179" i="2"/>
  <c r="F3179" i="2"/>
  <c r="E3179" i="2"/>
  <c r="D3179" i="2"/>
  <c r="C3179" i="2"/>
  <c r="B3179" i="2"/>
  <c r="A3179" i="2"/>
  <c r="U3178" i="2"/>
  <c r="N3178" i="2"/>
  <c r="M3178" i="2"/>
  <c r="J3178" i="2"/>
  <c r="I3178" i="2"/>
  <c r="H3178" i="2"/>
  <c r="G3178" i="2"/>
  <c r="F3178" i="2"/>
  <c r="E3178" i="2"/>
  <c r="D3178" i="2"/>
  <c r="C3178" i="2"/>
  <c r="B3178" i="2"/>
  <c r="A3178" i="2"/>
  <c r="U3177" i="2"/>
  <c r="N3177" i="2"/>
  <c r="M3177" i="2"/>
  <c r="J3177" i="2"/>
  <c r="I3177" i="2"/>
  <c r="H3177" i="2"/>
  <c r="G3177" i="2"/>
  <c r="F3177" i="2"/>
  <c r="E3177" i="2"/>
  <c r="D3177" i="2"/>
  <c r="C3177" i="2"/>
  <c r="B3177" i="2"/>
  <c r="A3177" i="2"/>
  <c r="U3176" i="2"/>
  <c r="N3176" i="2"/>
  <c r="M3176" i="2"/>
  <c r="J3176" i="2"/>
  <c r="I3176" i="2"/>
  <c r="H3176" i="2"/>
  <c r="G3176" i="2"/>
  <c r="F3176" i="2"/>
  <c r="E3176" i="2"/>
  <c r="D3176" i="2"/>
  <c r="C3176" i="2"/>
  <c r="B3176" i="2"/>
  <c r="A3176" i="2"/>
  <c r="U3175" i="2"/>
  <c r="N3175" i="2"/>
  <c r="M3175" i="2"/>
  <c r="J3175" i="2"/>
  <c r="I3175" i="2"/>
  <c r="H3175" i="2"/>
  <c r="G3175" i="2"/>
  <c r="F3175" i="2"/>
  <c r="E3175" i="2"/>
  <c r="D3175" i="2"/>
  <c r="C3175" i="2"/>
  <c r="B3175" i="2"/>
  <c r="A3175" i="2"/>
  <c r="U3174" i="2"/>
  <c r="N3174" i="2"/>
  <c r="M3174" i="2"/>
  <c r="J3174" i="2"/>
  <c r="I3174" i="2"/>
  <c r="H3174" i="2"/>
  <c r="G3174" i="2"/>
  <c r="F3174" i="2"/>
  <c r="E3174" i="2"/>
  <c r="D3174" i="2"/>
  <c r="C3174" i="2"/>
  <c r="B3174" i="2"/>
  <c r="A3174" i="2"/>
  <c r="U3173" i="2"/>
  <c r="N3173" i="2"/>
  <c r="M3173" i="2"/>
  <c r="J3173" i="2"/>
  <c r="I3173" i="2"/>
  <c r="H3173" i="2"/>
  <c r="G3173" i="2"/>
  <c r="F3173" i="2"/>
  <c r="E3173" i="2"/>
  <c r="D3173" i="2"/>
  <c r="C3173" i="2"/>
  <c r="B3173" i="2"/>
  <c r="A3173" i="2"/>
  <c r="U3172" i="2"/>
  <c r="N3172" i="2"/>
  <c r="M3172" i="2"/>
  <c r="J3172" i="2"/>
  <c r="I3172" i="2"/>
  <c r="H3172" i="2"/>
  <c r="G3172" i="2"/>
  <c r="F3172" i="2"/>
  <c r="E3172" i="2"/>
  <c r="D3172" i="2"/>
  <c r="C3172" i="2"/>
  <c r="B3172" i="2"/>
  <c r="A3172" i="2"/>
  <c r="U3171" i="2"/>
  <c r="N3171" i="2"/>
  <c r="M3171" i="2"/>
  <c r="J3171" i="2"/>
  <c r="I3171" i="2"/>
  <c r="H3171" i="2"/>
  <c r="G3171" i="2"/>
  <c r="F3171" i="2"/>
  <c r="E3171" i="2"/>
  <c r="D3171" i="2"/>
  <c r="C3171" i="2"/>
  <c r="B3171" i="2"/>
  <c r="A3171" i="2"/>
  <c r="U3170" i="2"/>
  <c r="N3170" i="2"/>
  <c r="M3170" i="2"/>
  <c r="J3170" i="2"/>
  <c r="I3170" i="2"/>
  <c r="H3170" i="2"/>
  <c r="G3170" i="2"/>
  <c r="F3170" i="2"/>
  <c r="E3170" i="2"/>
  <c r="D3170" i="2"/>
  <c r="C3170" i="2"/>
  <c r="B3170" i="2"/>
  <c r="A3170" i="2"/>
  <c r="U3169" i="2"/>
  <c r="N3169" i="2"/>
  <c r="M3169" i="2"/>
  <c r="J3169" i="2"/>
  <c r="I3169" i="2"/>
  <c r="H3169" i="2"/>
  <c r="G3169" i="2"/>
  <c r="F3169" i="2"/>
  <c r="E3169" i="2"/>
  <c r="D3169" i="2"/>
  <c r="C3169" i="2"/>
  <c r="B3169" i="2"/>
  <c r="A3169" i="2"/>
  <c r="U3168" i="2"/>
  <c r="N3168" i="2"/>
  <c r="M3168" i="2"/>
  <c r="J3168" i="2"/>
  <c r="I3168" i="2"/>
  <c r="H3168" i="2"/>
  <c r="G3168" i="2"/>
  <c r="F3168" i="2"/>
  <c r="E3168" i="2"/>
  <c r="D3168" i="2"/>
  <c r="C3168" i="2"/>
  <c r="B3168" i="2"/>
  <c r="A3168" i="2"/>
  <c r="U3167" i="2"/>
  <c r="N3167" i="2"/>
  <c r="M3167" i="2"/>
  <c r="J3167" i="2"/>
  <c r="I3167" i="2"/>
  <c r="H3167" i="2"/>
  <c r="G3167" i="2"/>
  <c r="F3167" i="2"/>
  <c r="E3167" i="2"/>
  <c r="D3167" i="2"/>
  <c r="C3167" i="2"/>
  <c r="B3167" i="2"/>
  <c r="A3167" i="2"/>
  <c r="U3166" i="2"/>
  <c r="N3166" i="2"/>
  <c r="M3166" i="2"/>
  <c r="J3166" i="2"/>
  <c r="I3166" i="2"/>
  <c r="H3166" i="2"/>
  <c r="G3166" i="2"/>
  <c r="F3166" i="2"/>
  <c r="E3166" i="2"/>
  <c r="D3166" i="2"/>
  <c r="C3166" i="2"/>
  <c r="B3166" i="2"/>
  <c r="A3166" i="2"/>
  <c r="U3165" i="2"/>
  <c r="N3165" i="2"/>
  <c r="M3165" i="2"/>
  <c r="J3165" i="2"/>
  <c r="I3165" i="2"/>
  <c r="H3165" i="2"/>
  <c r="G3165" i="2"/>
  <c r="F3165" i="2"/>
  <c r="E3165" i="2"/>
  <c r="D3165" i="2"/>
  <c r="C3165" i="2"/>
  <c r="B3165" i="2"/>
  <c r="A3165" i="2"/>
  <c r="U3164" i="2"/>
  <c r="N3164" i="2"/>
  <c r="M3164" i="2"/>
  <c r="J3164" i="2"/>
  <c r="I3164" i="2"/>
  <c r="H3164" i="2"/>
  <c r="G3164" i="2"/>
  <c r="F3164" i="2"/>
  <c r="E3164" i="2"/>
  <c r="D3164" i="2"/>
  <c r="C3164" i="2"/>
  <c r="B3164" i="2"/>
  <c r="A3164" i="2"/>
  <c r="U3163" i="2"/>
  <c r="N3163" i="2"/>
  <c r="M3163" i="2"/>
  <c r="J3163" i="2"/>
  <c r="I3163" i="2"/>
  <c r="H3163" i="2"/>
  <c r="G3163" i="2"/>
  <c r="F3163" i="2"/>
  <c r="E3163" i="2"/>
  <c r="D3163" i="2"/>
  <c r="C3163" i="2"/>
  <c r="B3163" i="2"/>
  <c r="A3163" i="2"/>
  <c r="U3162" i="2"/>
  <c r="N3162" i="2"/>
  <c r="M3162" i="2"/>
  <c r="J3162" i="2"/>
  <c r="I3162" i="2"/>
  <c r="H3162" i="2"/>
  <c r="G3162" i="2"/>
  <c r="F3162" i="2"/>
  <c r="E3162" i="2"/>
  <c r="D3162" i="2"/>
  <c r="C3162" i="2"/>
  <c r="B3162" i="2"/>
  <c r="A3162" i="2"/>
  <c r="U3161" i="2"/>
  <c r="N3161" i="2"/>
  <c r="M3161" i="2"/>
  <c r="J3161" i="2"/>
  <c r="I3161" i="2"/>
  <c r="H3161" i="2"/>
  <c r="G3161" i="2"/>
  <c r="F3161" i="2"/>
  <c r="E3161" i="2"/>
  <c r="D3161" i="2"/>
  <c r="C3161" i="2"/>
  <c r="B3161" i="2"/>
  <c r="A3161" i="2"/>
  <c r="U3160" i="2"/>
  <c r="N3160" i="2"/>
  <c r="M3160" i="2"/>
  <c r="J3160" i="2"/>
  <c r="I3160" i="2"/>
  <c r="H3160" i="2"/>
  <c r="G3160" i="2"/>
  <c r="F3160" i="2"/>
  <c r="E3160" i="2"/>
  <c r="D3160" i="2"/>
  <c r="C3160" i="2"/>
  <c r="B3160" i="2"/>
  <c r="A3160" i="2"/>
  <c r="U3159" i="2"/>
  <c r="N3159" i="2"/>
  <c r="M3159" i="2"/>
  <c r="J3159" i="2"/>
  <c r="I3159" i="2"/>
  <c r="H3159" i="2"/>
  <c r="G3159" i="2"/>
  <c r="F3159" i="2"/>
  <c r="E3159" i="2"/>
  <c r="D3159" i="2"/>
  <c r="C3159" i="2"/>
  <c r="B3159" i="2"/>
  <c r="A3159" i="2"/>
  <c r="U3158" i="2"/>
  <c r="N3158" i="2"/>
  <c r="M3158" i="2"/>
  <c r="J3158" i="2"/>
  <c r="I3158" i="2"/>
  <c r="H3158" i="2"/>
  <c r="G3158" i="2"/>
  <c r="F3158" i="2"/>
  <c r="E3158" i="2"/>
  <c r="D3158" i="2"/>
  <c r="C3158" i="2"/>
  <c r="B3158" i="2"/>
  <c r="A3158" i="2"/>
  <c r="U3157" i="2"/>
  <c r="N3157" i="2"/>
  <c r="M3157" i="2"/>
  <c r="J3157" i="2"/>
  <c r="I3157" i="2"/>
  <c r="H3157" i="2"/>
  <c r="G3157" i="2"/>
  <c r="F3157" i="2"/>
  <c r="E3157" i="2"/>
  <c r="D3157" i="2"/>
  <c r="C3157" i="2"/>
  <c r="B3157" i="2"/>
  <c r="A3157" i="2"/>
  <c r="U3156" i="2"/>
  <c r="N3156" i="2"/>
  <c r="M3156" i="2"/>
  <c r="J3156" i="2"/>
  <c r="I3156" i="2"/>
  <c r="H3156" i="2"/>
  <c r="G3156" i="2"/>
  <c r="F3156" i="2"/>
  <c r="E3156" i="2"/>
  <c r="D3156" i="2"/>
  <c r="C3156" i="2"/>
  <c r="B3156" i="2"/>
  <c r="A3156" i="2"/>
  <c r="U3155" i="2"/>
  <c r="N3155" i="2"/>
  <c r="M3155" i="2"/>
  <c r="J3155" i="2"/>
  <c r="I3155" i="2"/>
  <c r="H3155" i="2"/>
  <c r="G3155" i="2"/>
  <c r="F3155" i="2"/>
  <c r="E3155" i="2"/>
  <c r="D3155" i="2"/>
  <c r="C3155" i="2"/>
  <c r="B3155" i="2"/>
  <c r="A3155" i="2"/>
  <c r="Q3154" i="2"/>
  <c r="U3154" i="2" s="1"/>
  <c r="N3154" i="2"/>
  <c r="M3154" i="2"/>
  <c r="J3154" i="2"/>
  <c r="I3154" i="2"/>
  <c r="H3154" i="2"/>
  <c r="G3154" i="2"/>
  <c r="F3154" i="2"/>
  <c r="E3154" i="2"/>
  <c r="D3154" i="2"/>
  <c r="C3154" i="2"/>
  <c r="B3154" i="2"/>
  <c r="A3154" i="2"/>
  <c r="U3153" i="2"/>
  <c r="N3153" i="2"/>
  <c r="M3153" i="2"/>
  <c r="J3153" i="2"/>
  <c r="I3153" i="2"/>
  <c r="H3153" i="2"/>
  <c r="G3153" i="2"/>
  <c r="F3153" i="2"/>
  <c r="E3153" i="2"/>
  <c r="D3153" i="2"/>
  <c r="C3153" i="2"/>
  <c r="B3153" i="2"/>
  <c r="A3153" i="2"/>
  <c r="U3152" i="2"/>
  <c r="N3152" i="2"/>
  <c r="M3152" i="2"/>
  <c r="J3152" i="2"/>
  <c r="I3152" i="2"/>
  <c r="H3152" i="2"/>
  <c r="G3152" i="2"/>
  <c r="F3152" i="2"/>
  <c r="E3152" i="2"/>
  <c r="D3152" i="2"/>
  <c r="C3152" i="2"/>
  <c r="B3152" i="2"/>
  <c r="A3152" i="2"/>
  <c r="Q3151" i="2"/>
  <c r="U3151" i="2" s="1"/>
  <c r="N3151" i="2"/>
  <c r="M3151" i="2"/>
  <c r="J3151" i="2"/>
  <c r="I3151" i="2"/>
  <c r="H3151" i="2"/>
  <c r="G3151" i="2"/>
  <c r="F3151" i="2"/>
  <c r="E3151" i="2"/>
  <c r="D3151" i="2"/>
  <c r="C3151" i="2"/>
  <c r="B3151" i="2"/>
  <c r="A3151" i="2"/>
  <c r="U3150" i="2"/>
  <c r="N3150" i="2"/>
  <c r="M3150" i="2"/>
  <c r="J3150" i="2"/>
  <c r="I3150" i="2"/>
  <c r="H3150" i="2"/>
  <c r="G3150" i="2"/>
  <c r="F3150" i="2"/>
  <c r="E3150" i="2"/>
  <c r="D3150" i="2"/>
  <c r="C3150" i="2"/>
  <c r="B3150" i="2"/>
  <c r="A3150" i="2"/>
  <c r="Q3149" i="2"/>
  <c r="U3149" i="2" s="1"/>
  <c r="N3149" i="2"/>
  <c r="M3149" i="2"/>
  <c r="J3149" i="2"/>
  <c r="I3149" i="2"/>
  <c r="H3149" i="2"/>
  <c r="G3149" i="2"/>
  <c r="F3149" i="2"/>
  <c r="E3149" i="2"/>
  <c r="D3149" i="2"/>
  <c r="C3149" i="2"/>
  <c r="B3149" i="2"/>
  <c r="A3149" i="2"/>
  <c r="U3148" i="2"/>
  <c r="N3148" i="2"/>
  <c r="M3148" i="2"/>
  <c r="J3148" i="2"/>
  <c r="I3148" i="2"/>
  <c r="H3148" i="2"/>
  <c r="G3148" i="2"/>
  <c r="F3148" i="2"/>
  <c r="E3148" i="2"/>
  <c r="D3148" i="2"/>
  <c r="C3148" i="2"/>
  <c r="B3148" i="2"/>
  <c r="A3148" i="2"/>
  <c r="U3147" i="2"/>
  <c r="N3147" i="2"/>
  <c r="M3147" i="2"/>
  <c r="J3147" i="2"/>
  <c r="I3147" i="2"/>
  <c r="H3147" i="2"/>
  <c r="G3147" i="2"/>
  <c r="F3147" i="2"/>
  <c r="E3147" i="2"/>
  <c r="D3147" i="2"/>
  <c r="C3147" i="2"/>
  <c r="B3147" i="2"/>
  <c r="A3147" i="2"/>
  <c r="U3146" i="2"/>
  <c r="N3146" i="2"/>
  <c r="M3146" i="2"/>
  <c r="J3146" i="2"/>
  <c r="I3146" i="2"/>
  <c r="H3146" i="2"/>
  <c r="G3146" i="2"/>
  <c r="F3146" i="2"/>
  <c r="E3146" i="2"/>
  <c r="D3146" i="2"/>
  <c r="C3146" i="2"/>
  <c r="B3146" i="2"/>
  <c r="A3146" i="2"/>
  <c r="Q3145" i="2"/>
  <c r="U3145" i="2" s="1"/>
  <c r="N3145" i="2"/>
  <c r="M3145" i="2"/>
  <c r="J3145" i="2"/>
  <c r="I3145" i="2"/>
  <c r="H3145" i="2"/>
  <c r="G3145" i="2"/>
  <c r="F3145" i="2"/>
  <c r="E3145" i="2"/>
  <c r="D3145" i="2"/>
  <c r="C3145" i="2"/>
  <c r="B3145" i="2"/>
  <c r="A3145" i="2"/>
  <c r="U3144" i="2"/>
  <c r="N3144" i="2"/>
  <c r="M3144" i="2"/>
  <c r="J3144" i="2"/>
  <c r="I3144" i="2"/>
  <c r="H3144" i="2"/>
  <c r="G3144" i="2"/>
  <c r="F3144" i="2"/>
  <c r="E3144" i="2"/>
  <c r="D3144" i="2"/>
  <c r="C3144" i="2"/>
  <c r="B3144" i="2"/>
  <c r="A3144" i="2"/>
  <c r="U3143" i="2"/>
  <c r="N3143" i="2"/>
  <c r="M3143" i="2"/>
  <c r="J3143" i="2"/>
  <c r="I3143" i="2"/>
  <c r="H3143" i="2"/>
  <c r="G3143" i="2"/>
  <c r="F3143" i="2"/>
  <c r="E3143" i="2"/>
  <c r="D3143" i="2"/>
  <c r="C3143" i="2"/>
  <c r="B3143" i="2"/>
  <c r="A3143" i="2"/>
  <c r="U3142" i="2"/>
  <c r="N3142" i="2"/>
  <c r="M3142" i="2"/>
  <c r="J3142" i="2"/>
  <c r="I3142" i="2"/>
  <c r="H3142" i="2"/>
  <c r="G3142" i="2"/>
  <c r="F3142" i="2"/>
  <c r="E3142" i="2"/>
  <c r="D3142" i="2"/>
  <c r="C3142" i="2"/>
  <c r="B3142" i="2"/>
  <c r="A3142" i="2"/>
  <c r="U3141" i="2"/>
  <c r="N3141" i="2"/>
  <c r="M3141" i="2"/>
  <c r="J3141" i="2"/>
  <c r="I3141" i="2"/>
  <c r="H3141" i="2"/>
  <c r="G3141" i="2"/>
  <c r="F3141" i="2"/>
  <c r="E3141" i="2"/>
  <c r="D3141" i="2"/>
  <c r="C3141" i="2"/>
  <c r="B3141" i="2"/>
  <c r="A3141" i="2"/>
  <c r="Q3140" i="2"/>
  <c r="U3140" i="2" s="1"/>
  <c r="N3140" i="2"/>
  <c r="M3140" i="2"/>
  <c r="J3140" i="2"/>
  <c r="I3140" i="2"/>
  <c r="H3140" i="2"/>
  <c r="G3140" i="2"/>
  <c r="F3140" i="2"/>
  <c r="E3140" i="2"/>
  <c r="D3140" i="2"/>
  <c r="C3140" i="2"/>
  <c r="B3140" i="2"/>
  <c r="A3140" i="2"/>
  <c r="U3139" i="2"/>
  <c r="N3139" i="2"/>
  <c r="M3139" i="2"/>
  <c r="J3139" i="2"/>
  <c r="I3139" i="2"/>
  <c r="H3139" i="2"/>
  <c r="G3139" i="2"/>
  <c r="F3139" i="2"/>
  <c r="E3139" i="2"/>
  <c r="D3139" i="2"/>
  <c r="C3139" i="2"/>
  <c r="B3139" i="2"/>
  <c r="A3139" i="2"/>
  <c r="U3138" i="2"/>
  <c r="N3138" i="2"/>
  <c r="M3138" i="2"/>
  <c r="J3138" i="2"/>
  <c r="I3138" i="2"/>
  <c r="H3138" i="2"/>
  <c r="G3138" i="2"/>
  <c r="F3138" i="2"/>
  <c r="E3138" i="2"/>
  <c r="D3138" i="2"/>
  <c r="C3138" i="2"/>
  <c r="B3138" i="2"/>
  <c r="A3138" i="2"/>
  <c r="U3137" i="2"/>
  <c r="N3137" i="2"/>
  <c r="M3137" i="2"/>
  <c r="J3137" i="2"/>
  <c r="I3137" i="2"/>
  <c r="H3137" i="2"/>
  <c r="G3137" i="2"/>
  <c r="F3137" i="2"/>
  <c r="E3137" i="2"/>
  <c r="D3137" i="2"/>
  <c r="C3137" i="2"/>
  <c r="B3137" i="2"/>
  <c r="A3137" i="2"/>
  <c r="U3136" i="2"/>
  <c r="N3136" i="2"/>
  <c r="M3136" i="2"/>
  <c r="J3136" i="2"/>
  <c r="I3136" i="2"/>
  <c r="H3136" i="2"/>
  <c r="G3136" i="2"/>
  <c r="F3136" i="2"/>
  <c r="E3136" i="2"/>
  <c r="D3136" i="2"/>
  <c r="C3136" i="2"/>
  <c r="B3136" i="2"/>
  <c r="A3136" i="2"/>
  <c r="U3135" i="2"/>
  <c r="N3135" i="2"/>
  <c r="M3135" i="2"/>
  <c r="J3135" i="2"/>
  <c r="I3135" i="2"/>
  <c r="H3135" i="2"/>
  <c r="G3135" i="2"/>
  <c r="F3135" i="2"/>
  <c r="E3135" i="2"/>
  <c r="D3135" i="2"/>
  <c r="C3135" i="2"/>
  <c r="B3135" i="2"/>
  <c r="A3135" i="2"/>
  <c r="U3134" i="2"/>
  <c r="N3134" i="2"/>
  <c r="M3134" i="2"/>
  <c r="J3134" i="2"/>
  <c r="I3134" i="2"/>
  <c r="H3134" i="2"/>
  <c r="G3134" i="2"/>
  <c r="F3134" i="2"/>
  <c r="E3134" i="2"/>
  <c r="D3134" i="2"/>
  <c r="C3134" i="2"/>
  <c r="B3134" i="2"/>
  <c r="A3134" i="2"/>
  <c r="U3133" i="2"/>
  <c r="N3133" i="2"/>
  <c r="M3133" i="2"/>
  <c r="J3133" i="2"/>
  <c r="I3133" i="2"/>
  <c r="H3133" i="2"/>
  <c r="G3133" i="2"/>
  <c r="F3133" i="2"/>
  <c r="E3133" i="2"/>
  <c r="D3133" i="2"/>
  <c r="C3133" i="2"/>
  <c r="B3133" i="2"/>
  <c r="A3133" i="2"/>
  <c r="Q3132" i="2"/>
  <c r="U3132" i="2" s="1"/>
  <c r="N3132" i="2"/>
  <c r="M3132" i="2"/>
  <c r="J3132" i="2"/>
  <c r="I3132" i="2"/>
  <c r="H3132" i="2"/>
  <c r="G3132" i="2"/>
  <c r="F3132" i="2"/>
  <c r="E3132" i="2"/>
  <c r="D3132" i="2"/>
  <c r="C3132" i="2"/>
  <c r="B3132" i="2"/>
  <c r="A3132" i="2"/>
  <c r="Q3131" i="2"/>
  <c r="U3131" i="2" s="1"/>
  <c r="N3131" i="2"/>
  <c r="M3131" i="2"/>
  <c r="J3131" i="2"/>
  <c r="I3131" i="2"/>
  <c r="H3131" i="2"/>
  <c r="G3131" i="2"/>
  <c r="F3131" i="2"/>
  <c r="E3131" i="2"/>
  <c r="D3131" i="2"/>
  <c r="C3131" i="2"/>
  <c r="B3131" i="2"/>
  <c r="A3131" i="2"/>
  <c r="U3130" i="2"/>
  <c r="N3130" i="2"/>
  <c r="M3130" i="2"/>
  <c r="J3130" i="2"/>
  <c r="I3130" i="2"/>
  <c r="H3130" i="2"/>
  <c r="G3130" i="2"/>
  <c r="F3130" i="2"/>
  <c r="E3130" i="2"/>
  <c r="D3130" i="2"/>
  <c r="C3130" i="2"/>
  <c r="B3130" i="2"/>
  <c r="A3130" i="2"/>
  <c r="U3129" i="2"/>
  <c r="N3129" i="2"/>
  <c r="M3129" i="2"/>
  <c r="J3129" i="2"/>
  <c r="I3129" i="2"/>
  <c r="H3129" i="2"/>
  <c r="G3129" i="2"/>
  <c r="F3129" i="2"/>
  <c r="E3129" i="2"/>
  <c r="D3129" i="2"/>
  <c r="C3129" i="2"/>
  <c r="B3129" i="2"/>
  <c r="A3129" i="2"/>
  <c r="Q3128" i="2"/>
  <c r="U3128" i="2" s="1"/>
  <c r="N3128" i="2"/>
  <c r="M3128" i="2"/>
  <c r="J3128" i="2"/>
  <c r="I3128" i="2"/>
  <c r="H3128" i="2"/>
  <c r="G3128" i="2"/>
  <c r="F3128" i="2"/>
  <c r="E3128" i="2"/>
  <c r="D3128" i="2"/>
  <c r="C3128" i="2"/>
  <c r="B3128" i="2"/>
  <c r="A3128" i="2"/>
  <c r="U3127" i="2"/>
  <c r="N3127" i="2"/>
  <c r="M3127" i="2"/>
  <c r="J3127" i="2"/>
  <c r="I3127" i="2"/>
  <c r="H3127" i="2"/>
  <c r="G3127" i="2"/>
  <c r="F3127" i="2"/>
  <c r="E3127" i="2"/>
  <c r="D3127" i="2"/>
  <c r="C3127" i="2"/>
  <c r="B3127" i="2"/>
  <c r="A3127" i="2"/>
  <c r="U3126" i="2"/>
  <c r="N3126" i="2"/>
  <c r="M3126" i="2"/>
  <c r="J3126" i="2"/>
  <c r="I3126" i="2"/>
  <c r="H3126" i="2"/>
  <c r="G3126" i="2"/>
  <c r="F3126" i="2"/>
  <c r="E3126" i="2"/>
  <c r="D3126" i="2"/>
  <c r="C3126" i="2"/>
  <c r="B3126" i="2"/>
  <c r="A3126" i="2"/>
  <c r="U3125" i="2"/>
  <c r="N3125" i="2"/>
  <c r="M3125" i="2"/>
  <c r="J3125" i="2"/>
  <c r="I3125" i="2"/>
  <c r="H3125" i="2"/>
  <c r="G3125" i="2"/>
  <c r="F3125" i="2"/>
  <c r="E3125" i="2"/>
  <c r="D3125" i="2"/>
  <c r="C3125" i="2"/>
  <c r="B3125" i="2"/>
  <c r="A3125" i="2"/>
  <c r="U3124" i="2"/>
  <c r="N3124" i="2"/>
  <c r="M3124" i="2"/>
  <c r="J3124" i="2"/>
  <c r="I3124" i="2"/>
  <c r="H3124" i="2"/>
  <c r="G3124" i="2"/>
  <c r="F3124" i="2"/>
  <c r="E3124" i="2"/>
  <c r="D3124" i="2"/>
  <c r="C3124" i="2"/>
  <c r="B3124" i="2"/>
  <c r="A3124" i="2"/>
  <c r="Q3123" i="2"/>
  <c r="U3123" i="2" s="1"/>
  <c r="N3123" i="2"/>
  <c r="M3123" i="2"/>
  <c r="J3123" i="2"/>
  <c r="I3123" i="2"/>
  <c r="H3123" i="2"/>
  <c r="G3123" i="2"/>
  <c r="F3123" i="2"/>
  <c r="E3123" i="2"/>
  <c r="D3123" i="2"/>
  <c r="C3123" i="2"/>
  <c r="B3123" i="2"/>
  <c r="A3123" i="2"/>
  <c r="U3122" i="2"/>
  <c r="N3122" i="2"/>
  <c r="M3122" i="2"/>
  <c r="J3122" i="2"/>
  <c r="I3122" i="2"/>
  <c r="H3122" i="2"/>
  <c r="G3122" i="2"/>
  <c r="F3122" i="2"/>
  <c r="E3122" i="2"/>
  <c r="D3122" i="2"/>
  <c r="C3122" i="2"/>
  <c r="B3122" i="2"/>
  <c r="A3122" i="2"/>
  <c r="U3121" i="2"/>
  <c r="N3121" i="2"/>
  <c r="M3121" i="2"/>
  <c r="J3121" i="2"/>
  <c r="I3121" i="2"/>
  <c r="H3121" i="2"/>
  <c r="G3121" i="2"/>
  <c r="F3121" i="2"/>
  <c r="E3121" i="2"/>
  <c r="D3121" i="2"/>
  <c r="C3121" i="2"/>
  <c r="B3121" i="2"/>
  <c r="A3121" i="2"/>
  <c r="U3120" i="2"/>
  <c r="N3120" i="2"/>
  <c r="M3120" i="2"/>
  <c r="J3120" i="2"/>
  <c r="I3120" i="2"/>
  <c r="H3120" i="2"/>
  <c r="G3120" i="2"/>
  <c r="F3120" i="2"/>
  <c r="E3120" i="2"/>
  <c r="D3120" i="2"/>
  <c r="C3120" i="2"/>
  <c r="B3120" i="2"/>
  <c r="A3120" i="2"/>
  <c r="U3119" i="2"/>
  <c r="N3119" i="2"/>
  <c r="M3119" i="2"/>
  <c r="J3119" i="2"/>
  <c r="I3119" i="2"/>
  <c r="H3119" i="2"/>
  <c r="G3119" i="2"/>
  <c r="F3119" i="2"/>
  <c r="E3119" i="2"/>
  <c r="D3119" i="2"/>
  <c r="C3119" i="2"/>
  <c r="B3119" i="2"/>
  <c r="A3119" i="2"/>
  <c r="U3118" i="2"/>
  <c r="N3118" i="2"/>
  <c r="M3118" i="2"/>
  <c r="J3118" i="2"/>
  <c r="I3118" i="2"/>
  <c r="H3118" i="2"/>
  <c r="G3118" i="2"/>
  <c r="F3118" i="2"/>
  <c r="E3118" i="2"/>
  <c r="D3118" i="2"/>
  <c r="C3118" i="2"/>
  <c r="B3118" i="2"/>
  <c r="A3118" i="2"/>
  <c r="U3117" i="2"/>
  <c r="N3117" i="2"/>
  <c r="M3117" i="2"/>
  <c r="J3117" i="2"/>
  <c r="I3117" i="2"/>
  <c r="H3117" i="2"/>
  <c r="G3117" i="2"/>
  <c r="F3117" i="2"/>
  <c r="E3117" i="2"/>
  <c r="D3117" i="2"/>
  <c r="C3117" i="2"/>
  <c r="B3117" i="2"/>
  <c r="A3117" i="2"/>
  <c r="U3116" i="2"/>
  <c r="N3116" i="2"/>
  <c r="M3116" i="2"/>
  <c r="J3116" i="2"/>
  <c r="I3116" i="2"/>
  <c r="H3116" i="2"/>
  <c r="G3116" i="2"/>
  <c r="F3116" i="2"/>
  <c r="E3116" i="2"/>
  <c r="D3116" i="2"/>
  <c r="C3116" i="2"/>
  <c r="B3116" i="2"/>
  <c r="A3116" i="2"/>
  <c r="U3115" i="2"/>
  <c r="N3115" i="2"/>
  <c r="M3115" i="2"/>
  <c r="J3115" i="2"/>
  <c r="I3115" i="2"/>
  <c r="H3115" i="2"/>
  <c r="G3115" i="2"/>
  <c r="F3115" i="2"/>
  <c r="E3115" i="2"/>
  <c r="D3115" i="2"/>
  <c r="C3115" i="2"/>
  <c r="B3115" i="2"/>
  <c r="A3115" i="2"/>
  <c r="Q3114" i="2"/>
  <c r="U3114" i="2" s="1"/>
  <c r="N3114" i="2"/>
  <c r="M3114" i="2"/>
  <c r="J3114" i="2"/>
  <c r="I3114" i="2"/>
  <c r="H3114" i="2"/>
  <c r="G3114" i="2"/>
  <c r="F3114" i="2"/>
  <c r="E3114" i="2"/>
  <c r="D3114" i="2"/>
  <c r="C3114" i="2"/>
  <c r="B3114" i="2"/>
  <c r="A3114" i="2"/>
  <c r="Q3113" i="2"/>
  <c r="U3113" i="2" s="1"/>
  <c r="N3113" i="2"/>
  <c r="M3113" i="2"/>
  <c r="J3113" i="2"/>
  <c r="I3113" i="2"/>
  <c r="H3113" i="2"/>
  <c r="G3113" i="2"/>
  <c r="F3113" i="2"/>
  <c r="E3113" i="2"/>
  <c r="D3113" i="2"/>
  <c r="C3113" i="2"/>
  <c r="B3113" i="2"/>
  <c r="A3113" i="2"/>
  <c r="U3112" i="2"/>
  <c r="N3112" i="2"/>
  <c r="M3112" i="2"/>
  <c r="J3112" i="2"/>
  <c r="I3112" i="2"/>
  <c r="H3112" i="2"/>
  <c r="G3112" i="2"/>
  <c r="F3112" i="2"/>
  <c r="E3112" i="2"/>
  <c r="D3112" i="2"/>
  <c r="C3112" i="2"/>
  <c r="B3112" i="2"/>
  <c r="A3112" i="2"/>
  <c r="U3111" i="2"/>
  <c r="N3111" i="2"/>
  <c r="M3111" i="2"/>
  <c r="J3111" i="2"/>
  <c r="I3111" i="2"/>
  <c r="H3111" i="2"/>
  <c r="G3111" i="2"/>
  <c r="F3111" i="2"/>
  <c r="E3111" i="2"/>
  <c r="D3111" i="2"/>
  <c r="C3111" i="2"/>
  <c r="B3111" i="2"/>
  <c r="A3111" i="2"/>
  <c r="U3110" i="2"/>
  <c r="N3110" i="2"/>
  <c r="M3110" i="2"/>
  <c r="J3110" i="2"/>
  <c r="I3110" i="2"/>
  <c r="H3110" i="2"/>
  <c r="G3110" i="2"/>
  <c r="F3110" i="2"/>
  <c r="E3110" i="2"/>
  <c r="D3110" i="2"/>
  <c r="C3110" i="2"/>
  <c r="B3110" i="2"/>
  <c r="A3110" i="2"/>
  <c r="U3109" i="2"/>
  <c r="N3109" i="2"/>
  <c r="M3109" i="2"/>
  <c r="J3109" i="2"/>
  <c r="I3109" i="2"/>
  <c r="H3109" i="2"/>
  <c r="G3109" i="2"/>
  <c r="F3109" i="2"/>
  <c r="E3109" i="2"/>
  <c r="D3109" i="2"/>
  <c r="C3109" i="2"/>
  <c r="B3109" i="2"/>
  <c r="A3109" i="2"/>
  <c r="U3108" i="2"/>
  <c r="N3108" i="2"/>
  <c r="M3108" i="2"/>
  <c r="J3108" i="2"/>
  <c r="I3108" i="2"/>
  <c r="H3108" i="2"/>
  <c r="G3108" i="2"/>
  <c r="F3108" i="2"/>
  <c r="E3108" i="2"/>
  <c r="D3108" i="2"/>
  <c r="C3108" i="2"/>
  <c r="B3108" i="2"/>
  <c r="A3108" i="2"/>
  <c r="U3107" i="2"/>
  <c r="N3107" i="2"/>
  <c r="M3107" i="2"/>
  <c r="J3107" i="2"/>
  <c r="I3107" i="2"/>
  <c r="H3107" i="2"/>
  <c r="G3107" i="2"/>
  <c r="F3107" i="2"/>
  <c r="E3107" i="2"/>
  <c r="D3107" i="2"/>
  <c r="C3107" i="2"/>
  <c r="B3107" i="2"/>
  <c r="A3107" i="2"/>
  <c r="U3106" i="2"/>
  <c r="N3106" i="2"/>
  <c r="M3106" i="2"/>
  <c r="J3106" i="2"/>
  <c r="I3106" i="2"/>
  <c r="H3106" i="2"/>
  <c r="G3106" i="2"/>
  <c r="F3106" i="2"/>
  <c r="E3106" i="2"/>
  <c r="D3106" i="2"/>
  <c r="C3106" i="2"/>
  <c r="B3106" i="2"/>
  <c r="A3106" i="2"/>
  <c r="U3105" i="2"/>
  <c r="N3105" i="2"/>
  <c r="M3105" i="2"/>
  <c r="J3105" i="2"/>
  <c r="I3105" i="2"/>
  <c r="H3105" i="2"/>
  <c r="G3105" i="2"/>
  <c r="F3105" i="2"/>
  <c r="E3105" i="2"/>
  <c r="D3105" i="2"/>
  <c r="C3105" i="2"/>
  <c r="B3105" i="2"/>
  <c r="A3105" i="2"/>
  <c r="U3104" i="2"/>
  <c r="N3104" i="2"/>
  <c r="M3104" i="2"/>
  <c r="J3104" i="2"/>
  <c r="I3104" i="2"/>
  <c r="H3104" i="2"/>
  <c r="G3104" i="2"/>
  <c r="F3104" i="2"/>
  <c r="E3104" i="2"/>
  <c r="D3104" i="2"/>
  <c r="C3104" i="2"/>
  <c r="B3104" i="2"/>
  <c r="A3104" i="2"/>
  <c r="U3103" i="2"/>
  <c r="N3103" i="2"/>
  <c r="M3103" i="2"/>
  <c r="J3103" i="2"/>
  <c r="I3103" i="2"/>
  <c r="H3103" i="2"/>
  <c r="G3103" i="2"/>
  <c r="F3103" i="2"/>
  <c r="E3103" i="2"/>
  <c r="D3103" i="2"/>
  <c r="C3103" i="2"/>
  <c r="B3103" i="2"/>
  <c r="A3103" i="2"/>
  <c r="Q3102" i="2"/>
  <c r="U3102" i="2" s="1"/>
  <c r="N3102" i="2"/>
  <c r="M3102" i="2"/>
  <c r="J3102" i="2"/>
  <c r="I3102" i="2"/>
  <c r="H3102" i="2"/>
  <c r="G3102" i="2"/>
  <c r="F3102" i="2"/>
  <c r="E3102" i="2"/>
  <c r="D3102" i="2"/>
  <c r="C3102" i="2"/>
  <c r="B3102" i="2"/>
  <c r="A3102" i="2"/>
  <c r="U3101" i="2"/>
  <c r="N3101" i="2"/>
  <c r="M3101" i="2"/>
  <c r="J3101" i="2"/>
  <c r="I3101" i="2"/>
  <c r="H3101" i="2"/>
  <c r="G3101" i="2"/>
  <c r="F3101" i="2"/>
  <c r="E3101" i="2"/>
  <c r="D3101" i="2"/>
  <c r="C3101" i="2"/>
  <c r="B3101" i="2"/>
  <c r="A3101" i="2"/>
  <c r="U3100" i="2"/>
  <c r="N3100" i="2"/>
  <c r="M3100" i="2"/>
  <c r="J3100" i="2"/>
  <c r="I3100" i="2"/>
  <c r="H3100" i="2"/>
  <c r="G3100" i="2"/>
  <c r="F3100" i="2"/>
  <c r="E3100" i="2"/>
  <c r="D3100" i="2"/>
  <c r="C3100" i="2"/>
  <c r="B3100" i="2"/>
  <c r="A3100" i="2"/>
  <c r="Q3099" i="2"/>
  <c r="U3099" i="2" s="1"/>
  <c r="N3099" i="2"/>
  <c r="M3099" i="2"/>
  <c r="J3099" i="2"/>
  <c r="I3099" i="2"/>
  <c r="H3099" i="2"/>
  <c r="G3099" i="2"/>
  <c r="F3099" i="2"/>
  <c r="E3099" i="2"/>
  <c r="D3099" i="2"/>
  <c r="C3099" i="2"/>
  <c r="B3099" i="2"/>
  <c r="A3099" i="2"/>
  <c r="U3098" i="2"/>
  <c r="N3098" i="2"/>
  <c r="M3098" i="2"/>
  <c r="J3098" i="2"/>
  <c r="I3098" i="2"/>
  <c r="H3098" i="2"/>
  <c r="G3098" i="2"/>
  <c r="F3098" i="2"/>
  <c r="E3098" i="2"/>
  <c r="D3098" i="2"/>
  <c r="C3098" i="2"/>
  <c r="B3098" i="2"/>
  <c r="A3098" i="2"/>
  <c r="U3097" i="2"/>
  <c r="N3097" i="2"/>
  <c r="M3097" i="2"/>
  <c r="J3097" i="2"/>
  <c r="I3097" i="2"/>
  <c r="H3097" i="2"/>
  <c r="G3097" i="2"/>
  <c r="F3097" i="2"/>
  <c r="E3097" i="2"/>
  <c r="D3097" i="2"/>
  <c r="C3097" i="2"/>
  <c r="B3097" i="2"/>
  <c r="A3097" i="2"/>
  <c r="Q3096" i="2"/>
  <c r="U3096" i="2" s="1"/>
  <c r="N3096" i="2"/>
  <c r="M3096" i="2"/>
  <c r="J3096" i="2"/>
  <c r="I3096" i="2"/>
  <c r="H3096" i="2"/>
  <c r="G3096" i="2"/>
  <c r="F3096" i="2"/>
  <c r="E3096" i="2"/>
  <c r="D3096" i="2"/>
  <c r="C3096" i="2"/>
  <c r="B3096" i="2"/>
  <c r="A3096" i="2"/>
  <c r="U3095" i="2"/>
  <c r="N3095" i="2"/>
  <c r="M3095" i="2"/>
  <c r="J3095" i="2"/>
  <c r="I3095" i="2"/>
  <c r="H3095" i="2"/>
  <c r="G3095" i="2"/>
  <c r="F3095" i="2"/>
  <c r="E3095" i="2"/>
  <c r="D3095" i="2"/>
  <c r="C3095" i="2"/>
  <c r="B3095" i="2"/>
  <c r="A3095" i="2"/>
  <c r="Q3094" i="2"/>
  <c r="U3094" i="2" s="1"/>
  <c r="N3094" i="2"/>
  <c r="M3094" i="2"/>
  <c r="J3094" i="2"/>
  <c r="I3094" i="2"/>
  <c r="H3094" i="2"/>
  <c r="G3094" i="2"/>
  <c r="F3094" i="2"/>
  <c r="E3094" i="2"/>
  <c r="D3094" i="2"/>
  <c r="C3094" i="2"/>
  <c r="B3094" i="2"/>
  <c r="A3094" i="2"/>
  <c r="Q3093" i="2"/>
  <c r="U3093" i="2" s="1"/>
  <c r="N3093" i="2"/>
  <c r="M3093" i="2"/>
  <c r="J3093" i="2"/>
  <c r="I3093" i="2"/>
  <c r="H3093" i="2"/>
  <c r="G3093" i="2"/>
  <c r="F3093" i="2"/>
  <c r="E3093" i="2"/>
  <c r="D3093" i="2"/>
  <c r="C3093" i="2"/>
  <c r="B3093" i="2"/>
  <c r="A3093" i="2"/>
  <c r="Q3092" i="2"/>
  <c r="U3092" i="2" s="1"/>
  <c r="N3092" i="2"/>
  <c r="M3092" i="2"/>
  <c r="J3092" i="2"/>
  <c r="I3092" i="2"/>
  <c r="H3092" i="2"/>
  <c r="G3092" i="2"/>
  <c r="F3092" i="2"/>
  <c r="E3092" i="2"/>
  <c r="D3092" i="2"/>
  <c r="C3092" i="2"/>
  <c r="B3092" i="2"/>
  <c r="A3092" i="2"/>
  <c r="U3091" i="2"/>
  <c r="N3091" i="2"/>
  <c r="M3091" i="2"/>
  <c r="J3091" i="2"/>
  <c r="I3091" i="2"/>
  <c r="H3091" i="2"/>
  <c r="G3091" i="2"/>
  <c r="F3091" i="2"/>
  <c r="E3091" i="2"/>
  <c r="D3091" i="2"/>
  <c r="C3091" i="2"/>
  <c r="B3091" i="2"/>
  <c r="A3091" i="2"/>
  <c r="Q3090" i="2"/>
  <c r="U3090" i="2" s="1"/>
  <c r="N3090" i="2"/>
  <c r="M3090" i="2"/>
  <c r="J3090" i="2"/>
  <c r="I3090" i="2"/>
  <c r="H3090" i="2"/>
  <c r="G3090" i="2"/>
  <c r="F3090" i="2"/>
  <c r="E3090" i="2"/>
  <c r="D3090" i="2"/>
  <c r="C3090" i="2"/>
  <c r="B3090" i="2"/>
  <c r="A3090" i="2"/>
  <c r="U3089" i="2"/>
  <c r="N3089" i="2"/>
  <c r="M3089" i="2"/>
  <c r="J3089" i="2"/>
  <c r="I3089" i="2"/>
  <c r="H3089" i="2"/>
  <c r="G3089" i="2"/>
  <c r="F3089" i="2"/>
  <c r="E3089" i="2"/>
  <c r="D3089" i="2"/>
  <c r="C3089" i="2"/>
  <c r="B3089" i="2"/>
  <c r="A3089" i="2"/>
  <c r="U3088" i="2"/>
  <c r="N3088" i="2"/>
  <c r="M3088" i="2"/>
  <c r="J3088" i="2"/>
  <c r="I3088" i="2"/>
  <c r="H3088" i="2"/>
  <c r="G3088" i="2"/>
  <c r="F3088" i="2"/>
  <c r="E3088" i="2"/>
  <c r="D3088" i="2"/>
  <c r="C3088" i="2"/>
  <c r="B3088" i="2"/>
  <c r="A3088" i="2"/>
  <c r="U3087" i="2"/>
  <c r="N3087" i="2"/>
  <c r="M3087" i="2"/>
  <c r="J3087" i="2"/>
  <c r="I3087" i="2"/>
  <c r="H3087" i="2"/>
  <c r="G3087" i="2"/>
  <c r="F3087" i="2"/>
  <c r="E3087" i="2"/>
  <c r="D3087" i="2"/>
  <c r="C3087" i="2"/>
  <c r="B3087" i="2"/>
  <c r="A3087" i="2"/>
  <c r="U3086" i="2"/>
  <c r="N3086" i="2"/>
  <c r="M3086" i="2"/>
  <c r="J3086" i="2"/>
  <c r="I3086" i="2"/>
  <c r="H3086" i="2"/>
  <c r="G3086" i="2"/>
  <c r="F3086" i="2"/>
  <c r="E3086" i="2"/>
  <c r="D3086" i="2"/>
  <c r="C3086" i="2"/>
  <c r="B3086" i="2"/>
  <c r="A3086" i="2"/>
  <c r="U3085" i="2"/>
  <c r="N3085" i="2"/>
  <c r="M3085" i="2"/>
  <c r="J3085" i="2"/>
  <c r="I3085" i="2"/>
  <c r="H3085" i="2"/>
  <c r="G3085" i="2"/>
  <c r="F3085" i="2"/>
  <c r="E3085" i="2"/>
  <c r="D3085" i="2"/>
  <c r="C3085" i="2"/>
  <c r="B3085" i="2"/>
  <c r="A3085" i="2"/>
  <c r="Q3084" i="2"/>
  <c r="U3084" i="2" s="1"/>
  <c r="N3084" i="2"/>
  <c r="M3084" i="2"/>
  <c r="J3084" i="2"/>
  <c r="I3084" i="2"/>
  <c r="H3084" i="2"/>
  <c r="G3084" i="2"/>
  <c r="F3084" i="2"/>
  <c r="E3084" i="2"/>
  <c r="D3084" i="2"/>
  <c r="C3084" i="2"/>
  <c r="B3084" i="2"/>
  <c r="A3084" i="2"/>
  <c r="U3083" i="2"/>
  <c r="N3083" i="2"/>
  <c r="M3083" i="2"/>
  <c r="J3083" i="2"/>
  <c r="I3083" i="2"/>
  <c r="H3083" i="2"/>
  <c r="G3083" i="2"/>
  <c r="F3083" i="2"/>
  <c r="E3083" i="2"/>
  <c r="D3083" i="2"/>
  <c r="C3083" i="2"/>
  <c r="B3083" i="2"/>
  <c r="A3083" i="2"/>
  <c r="Q3082" i="2"/>
  <c r="U3082" i="2" s="1"/>
  <c r="N3082" i="2"/>
  <c r="M3082" i="2"/>
  <c r="J3082" i="2"/>
  <c r="I3082" i="2"/>
  <c r="H3082" i="2"/>
  <c r="G3082" i="2"/>
  <c r="F3082" i="2"/>
  <c r="E3082" i="2"/>
  <c r="D3082" i="2"/>
  <c r="C3082" i="2"/>
  <c r="B3082" i="2"/>
  <c r="A3082" i="2"/>
  <c r="U3081" i="2"/>
  <c r="N3081" i="2"/>
  <c r="M3081" i="2"/>
  <c r="J3081" i="2"/>
  <c r="I3081" i="2"/>
  <c r="H3081" i="2"/>
  <c r="G3081" i="2"/>
  <c r="F3081" i="2"/>
  <c r="E3081" i="2"/>
  <c r="D3081" i="2"/>
  <c r="C3081" i="2"/>
  <c r="B3081" i="2"/>
  <c r="A3081" i="2"/>
  <c r="U3080" i="2"/>
  <c r="N3080" i="2"/>
  <c r="M3080" i="2"/>
  <c r="J3080" i="2"/>
  <c r="I3080" i="2"/>
  <c r="H3080" i="2"/>
  <c r="G3080" i="2"/>
  <c r="F3080" i="2"/>
  <c r="E3080" i="2"/>
  <c r="D3080" i="2"/>
  <c r="C3080" i="2"/>
  <c r="B3080" i="2"/>
  <c r="A3080" i="2"/>
  <c r="U3079" i="2"/>
  <c r="N3079" i="2"/>
  <c r="M3079" i="2"/>
  <c r="J3079" i="2"/>
  <c r="I3079" i="2"/>
  <c r="H3079" i="2"/>
  <c r="G3079" i="2"/>
  <c r="F3079" i="2"/>
  <c r="E3079" i="2"/>
  <c r="D3079" i="2"/>
  <c r="C3079" i="2"/>
  <c r="B3079" i="2"/>
  <c r="A3079" i="2"/>
  <c r="U3078" i="2"/>
  <c r="N3078" i="2"/>
  <c r="M3078" i="2"/>
  <c r="J3078" i="2"/>
  <c r="I3078" i="2"/>
  <c r="H3078" i="2"/>
  <c r="G3078" i="2"/>
  <c r="F3078" i="2"/>
  <c r="E3078" i="2"/>
  <c r="D3078" i="2"/>
  <c r="C3078" i="2"/>
  <c r="B3078" i="2"/>
  <c r="A3078" i="2"/>
  <c r="U3077" i="2"/>
  <c r="N3077" i="2"/>
  <c r="M3077" i="2"/>
  <c r="J3077" i="2"/>
  <c r="I3077" i="2"/>
  <c r="H3077" i="2"/>
  <c r="G3077" i="2"/>
  <c r="F3077" i="2"/>
  <c r="E3077" i="2"/>
  <c r="D3077" i="2"/>
  <c r="C3077" i="2"/>
  <c r="B3077" i="2"/>
  <c r="A3077" i="2"/>
  <c r="U3076" i="2"/>
  <c r="N3076" i="2"/>
  <c r="M3076" i="2"/>
  <c r="J3076" i="2"/>
  <c r="I3076" i="2"/>
  <c r="H3076" i="2"/>
  <c r="G3076" i="2"/>
  <c r="F3076" i="2"/>
  <c r="E3076" i="2"/>
  <c r="D3076" i="2"/>
  <c r="C3076" i="2"/>
  <c r="B3076" i="2"/>
  <c r="A3076" i="2"/>
  <c r="Q3075" i="2"/>
  <c r="U3075" i="2" s="1"/>
  <c r="N3075" i="2"/>
  <c r="M3075" i="2"/>
  <c r="J3075" i="2"/>
  <c r="I3075" i="2"/>
  <c r="H3075" i="2"/>
  <c r="G3075" i="2"/>
  <c r="F3075" i="2"/>
  <c r="E3075" i="2"/>
  <c r="D3075" i="2"/>
  <c r="C3075" i="2"/>
  <c r="B3075" i="2"/>
  <c r="A3075" i="2"/>
  <c r="U3074" i="2"/>
  <c r="N3074" i="2"/>
  <c r="M3074" i="2"/>
  <c r="J3074" i="2"/>
  <c r="I3074" i="2"/>
  <c r="H3074" i="2"/>
  <c r="G3074" i="2"/>
  <c r="F3074" i="2"/>
  <c r="E3074" i="2"/>
  <c r="D3074" i="2"/>
  <c r="C3074" i="2"/>
  <c r="B3074" i="2"/>
  <c r="A3074" i="2"/>
  <c r="U3073" i="2"/>
  <c r="N3073" i="2"/>
  <c r="M3073" i="2"/>
  <c r="J3073" i="2"/>
  <c r="I3073" i="2"/>
  <c r="H3073" i="2"/>
  <c r="G3073" i="2"/>
  <c r="F3073" i="2"/>
  <c r="E3073" i="2"/>
  <c r="D3073" i="2"/>
  <c r="C3073" i="2"/>
  <c r="B3073" i="2"/>
  <c r="A3073" i="2"/>
  <c r="U3072" i="2"/>
  <c r="N3072" i="2"/>
  <c r="M3072" i="2"/>
  <c r="J3072" i="2"/>
  <c r="I3072" i="2"/>
  <c r="H3072" i="2"/>
  <c r="G3072" i="2"/>
  <c r="F3072" i="2"/>
  <c r="E3072" i="2"/>
  <c r="D3072" i="2"/>
  <c r="C3072" i="2"/>
  <c r="B3072" i="2"/>
  <c r="A3072" i="2"/>
  <c r="U3071" i="2"/>
  <c r="N3071" i="2"/>
  <c r="M3071" i="2"/>
  <c r="J3071" i="2"/>
  <c r="I3071" i="2"/>
  <c r="H3071" i="2"/>
  <c r="G3071" i="2"/>
  <c r="F3071" i="2"/>
  <c r="E3071" i="2"/>
  <c r="D3071" i="2"/>
  <c r="C3071" i="2"/>
  <c r="B3071" i="2"/>
  <c r="A3071" i="2"/>
  <c r="U3070" i="2"/>
  <c r="N3070" i="2"/>
  <c r="M3070" i="2"/>
  <c r="J3070" i="2"/>
  <c r="I3070" i="2"/>
  <c r="H3070" i="2"/>
  <c r="G3070" i="2"/>
  <c r="F3070" i="2"/>
  <c r="E3070" i="2"/>
  <c r="D3070" i="2"/>
  <c r="C3070" i="2"/>
  <c r="B3070" i="2"/>
  <c r="A3070" i="2"/>
  <c r="U3069" i="2"/>
  <c r="N3069" i="2"/>
  <c r="M3069" i="2"/>
  <c r="J3069" i="2"/>
  <c r="I3069" i="2"/>
  <c r="H3069" i="2"/>
  <c r="G3069" i="2"/>
  <c r="F3069" i="2"/>
  <c r="E3069" i="2"/>
  <c r="D3069" i="2"/>
  <c r="C3069" i="2"/>
  <c r="B3069" i="2"/>
  <c r="A3069" i="2"/>
  <c r="U3068" i="2"/>
  <c r="N3068" i="2"/>
  <c r="M3068" i="2"/>
  <c r="J3068" i="2"/>
  <c r="I3068" i="2"/>
  <c r="H3068" i="2"/>
  <c r="G3068" i="2"/>
  <c r="F3068" i="2"/>
  <c r="E3068" i="2"/>
  <c r="D3068" i="2"/>
  <c r="C3068" i="2"/>
  <c r="B3068" i="2"/>
  <c r="A3068" i="2"/>
  <c r="U3067" i="2"/>
  <c r="N3067" i="2"/>
  <c r="M3067" i="2"/>
  <c r="J3067" i="2"/>
  <c r="I3067" i="2"/>
  <c r="H3067" i="2"/>
  <c r="G3067" i="2"/>
  <c r="F3067" i="2"/>
  <c r="E3067" i="2"/>
  <c r="D3067" i="2"/>
  <c r="C3067" i="2"/>
  <c r="B3067" i="2"/>
  <c r="A3067" i="2"/>
  <c r="U3066" i="2"/>
  <c r="N3066" i="2"/>
  <c r="M3066" i="2"/>
  <c r="J3066" i="2"/>
  <c r="I3066" i="2"/>
  <c r="H3066" i="2"/>
  <c r="G3066" i="2"/>
  <c r="F3066" i="2"/>
  <c r="E3066" i="2"/>
  <c r="D3066" i="2"/>
  <c r="C3066" i="2"/>
  <c r="B3066" i="2"/>
  <c r="A3066" i="2"/>
  <c r="U3065" i="2"/>
  <c r="N3065" i="2"/>
  <c r="M3065" i="2"/>
  <c r="J3065" i="2"/>
  <c r="I3065" i="2"/>
  <c r="H3065" i="2"/>
  <c r="G3065" i="2"/>
  <c r="F3065" i="2"/>
  <c r="E3065" i="2"/>
  <c r="D3065" i="2"/>
  <c r="C3065" i="2"/>
  <c r="B3065" i="2"/>
  <c r="A3065" i="2"/>
  <c r="U3064" i="2"/>
  <c r="N3064" i="2"/>
  <c r="M3064" i="2"/>
  <c r="J3064" i="2"/>
  <c r="I3064" i="2"/>
  <c r="H3064" i="2"/>
  <c r="G3064" i="2"/>
  <c r="F3064" i="2"/>
  <c r="E3064" i="2"/>
  <c r="D3064" i="2"/>
  <c r="C3064" i="2"/>
  <c r="B3064" i="2"/>
  <c r="A3064" i="2"/>
  <c r="U3063" i="2"/>
  <c r="N3063" i="2"/>
  <c r="M3063" i="2"/>
  <c r="J3063" i="2"/>
  <c r="I3063" i="2"/>
  <c r="H3063" i="2"/>
  <c r="G3063" i="2"/>
  <c r="F3063" i="2"/>
  <c r="E3063" i="2"/>
  <c r="D3063" i="2"/>
  <c r="C3063" i="2"/>
  <c r="B3063" i="2"/>
  <c r="A3063" i="2"/>
  <c r="U3062" i="2"/>
  <c r="N3062" i="2"/>
  <c r="M3062" i="2"/>
  <c r="J3062" i="2"/>
  <c r="I3062" i="2"/>
  <c r="H3062" i="2"/>
  <c r="G3062" i="2"/>
  <c r="F3062" i="2"/>
  <c r="E3062" i="2"/>
  <c r="D3062" i="2"/>
  <c r="C3062" i="2"/>
  <c r="B3062" i="2"/>
  <c r="A3062" i="2"/>
  <c r="U3061" i="2"/>
  <c r="N3061" i="2"/>
  <c r="M3061" i="2"/>
  <c r="J3061" i="2"/>
  <c r="I3061" i="2"/>
  <c r="H3061" i="2"/>
  <c r="G3061" i="2"/>
  <c r="F3061" i="2"/>
  <c r="E3061" i="2"/>
  <c r="D3061" i="2"/>
  <c r="C3061" i="2"/>
  <c r="B3061" i="2"/>
  <c r="A3061" i="2"/>
  <c r="U3060" i="2"/>
  <c r="N3060" i="2"/>
  <c r="M3060" i="2"/>
  <c r="J3060" i="2"/>
  <c r="I3060" i="2"/>
  <c r="H3060" i="2"/>
  <c r="G3060" i="2"/>
  <c r="F3060" i="2"/>
  <c r="E3060" i="2"/>
  <c r="D3060" i="2"/>
  <c r="C3060" i="2"/>
  <c r="B3060" i="2"/>
  <c r="A3060" i="2"/>
  <c r="U3059" i="2"/>
  <c r="N3059" i="2"/>
  <c r="M3059" i="2"/>
  <c r="J3059" i="2"/>
  <c r="I3059" i="2"/>
  <c r="H3059" i="2"/>
  <c r="G3059" i="2"/>
  <c r="F3059" i="2"/>
  <c r="E3059" i="2"/>
  <c r="D3059" i="2"/>
  <c r="C3059" i="2"/>
  <c r="B3059" i="2"/>
  <c r="A3059" i="2"/>
  <c r="U3058" i="2"/>
  <c r="N3058" i="2"/>
  <c r="M3058" i="2"/>
  <c r="J3058" i="2"/>
  <c r="I3058" i="2"/>
  <c r="H3058" i="2"/>
  <c r="G3058" i="2"/>
  <c r="F3058" i="2"/>
  <c r="E3058" i="2"/>
  <c r="D3058" i="2"/>
  <c r="C3058" i="2"/>
  <c r="B3058" i="2"/>
  <c r="A3058" i="2"/>
  <c r="U3057" i="2"/>
  <c r="N3057" i="2"/>
  <c r="M3057" i="2"/>
  <c r="J3057" i="2"/>
  <c r="I3057" i="2"/>
  <c r="H3057" i="2"/>
  <c r="G3057" i="2"/>
  <c r="F3057" i="2"/>
  <c r="E3057" i="2"/>
  <c r="D3057" i="2"/>
  <c r="C3057" i="2"/>
  <c r="B3057" i="2"/>
  <c r="A3057" i="2"/>
  <c r="U3056" i="2"/>
  <c r="N3056" i="2"/>
  <c r="M3056" i="2"/>
  <c r="J3056" i="2"/>
  <c r="I3056" i="2"/>
  <c r="H3056" i="2"/>
  <c r="G3056" i="2"/>
  <c r="F3056" i="2"/>
  <c r="E3056" i="2"/>
  <c r="D3056" i="2"/>
  <c r="C3056" i="2"/>
  <c r="B3056" i="2"/>
  <c r="A3056" i="2"/>
  <c r="U3055" i="2"/>
  <c r="N3055" i="2"/>
  <c r="M3055" i="2"/>
  <c r="J3055" i="2"/>
  <c r="I3055" i="2"/>
  <c r="H3055" i="2"/>
  <c r="G3055" i="2"/>
  <c r="F3055" i="2"/>
  <c r="E3055" i="2"/>
  <c r="D3055" i="2"/>
  <c r="C3055" i="2"/>
  <c r="B3055" i="2"/>
  <c r="A3055" i="2"/>
  <c r="U3054" i="2"/>
  <c r="N3054" i="2"/>
  <c r="M3054" i="2"/>
  <c r="J3054" i="2"/>
  <c r="I3054" i="2"/>
  <c r="H3054" i="2"/>
  <c r="G3054" i="2"/>
  <c r="F3054" i="2"/>
  <c r="E3054" i="2"/>
  <c r="D3054" i="2"/>
  <c r="C3054" i="2"/>
  <c r="B3054" i="2"/>
  <c r="A3054" i="2"/>
  <c r="U3053" i="2"/>
  <c r="N3053" i="2"/>
  <c r="M3053" i="2"/>
  <c r="J3053" i="2"/>
  <c r="I3053" i="2"/>
  <c r="H3053" i="2"/>
  <c r="G3053" i="2"/>
  <c r="F3053" i="2"/>
  <c r="E3053" i="2"/>
  <c r="D3053" i="2"/>
  <c r="C3053" i="2"/>
  <c r="B3053" i="2"/>
  <c r="A3053" i="2"/>
  <c r="U3052" i="2"/>
  <c r="N3052" i="2"/>
  <c r="M3052" i="2"/>
  <c r="J3052" i="2"/>
  <c r="I3052" i="2"/>
  <c r="H3052" i="2"/>
  <c r="G3052" i="2"/>
  <c r="F3052" i="2"/>
  <c r="E3052" i="2"/>
  <c r="D3052" i="2"/>
  <c r="C3052" i="2"/>
  <c r="B3052" i="2"/>
  <c r="A3052" i="2"/>
  <c r="U3051" i="2"/>
  <c r="N3051" i="2"/>
  <c r="M3051" i="2"/>
  <c r="J3051" i="2"/>
  <c r="I3051" i="2"/>
  <c r="H3051" i="2"/>
  <c r="G3051" i="2"/>
  <c r="F3051" i="2"/>
  <c r="E3051" i="2"/>
  <c r="D3051" i="2"/>
  <c r="C3051" i="2"/>
  <c r="B3051" i="2"/>
  <c r="A3051" i="2"/>
  <c r="U3050" i="2"/>
  <c r="N3050" i="2"/>
  <c r="M3050" i="2"/>
  <c r="J3050" i="2"/>
  <c r="I3050" i="2"/>
  <c r="H3050" i="2"/>
  <c r="G3050" i="2"/>
  <c r="F3050" i="2"/>
  <c r="E3050" i="2"/>
  <c r="D3050" i="2"/>
  <c r="C3050" i="2"/>
  <c r="B3050" i="2"/>
  <c r="A3050" i="2"/>
  <c r="U3049" i="2"/>
  <c r="N3049" i="2"/>
  <c r="M3049" i="2"/>
  <c r="J3049" i="2"/>
  <c r="I3049" i="2"/>
  <c r="H3049" i="2"/>
  <c r="G3049" i="2"/>
  <c r="F3049" i="2"/>
  <c r="E3049" i="2"/>
  <c r="D3049" i="2"/>
  <c r="C3049" i="2"/>
  <c r="B3049" i="2"/>
  <c r="A3049" i="2"/>
  <c r="U3048" i="2"/>
  <c r="N3048" i="2"/>
  <c r="M3048" i="2"/>
  <c r="J3048" i="2"/>
  <c r="I3048" i="2"/>
  <c r="H3048" i="2"/>
  <c r="G3048" i="2"/>
  <c r="F3048" i="2"/>
  <c r="E3048" i="2"/>
  <c r="D3048" i="2"/>
  <c r="C3048" i="2"/>
  <c r="B3048" i="2"/>
  <c r="A3048" i="2"/>
  <c r="U3047" i="2"/>
  <c r="N3047" i="2"/>
  <c r="M3047" i="2"/>
  <c r="J3047" i="2"/>
  <c r="I3047" i="2"/>
  <c r="H3047" i="2"/>
  <c r="G3047" i="2"/>
  <c r="F3047" i="2"/>
  <c r="E3047" i="2"/>
  <c r="D3047" i="2"/>
  <c r="C3047" i="2"/>
  <c r="B3047" i="2"/>
  <c r="A3047" i="2"/>
  <c r="U3046" i="2"/>
  <c r="N3046" i="2"/>
  <c r="M3046" i="2"/>
  <c r="J3046" i="2"/>
  <c r="I3046" i="2"/>
  <c r="H3046" i="2"/>
  <c r="G3046" i="2"/>
  <c r="F3046" i="2"/>
  <c r="E3046" i="2"/>
  <c r="D3046" i="2"/>
  <c r="C3046" i="2"/>
  <c r="B3046" i="2"/>
  <c r="A3046" i="2"/>
  <c r="U3045" i="2"/>
  <c r="N3045" i="2"/>
  <c r="M3045" i="2"/>
  <c r="J3045" i="2"/>
  <c r="I3045" i="2"/>
  <c r="H3045" i="2"/>
  <c r="G3045" i="2"/>
  <c r="F3045" i="2"/>
  <c r="E3045" i="2"/>
  <c r="D3045" i="2"/>
  <c r="C3045" i="2"/>
  <c r="B3045" i="2"/>
  <c r="A3045" i="2"/>
  <c r="U3044" i="2"/>
  <c r="N3044" i="2"/>
  <c r="M3044" i="2"/>
  <c r="J3044" i="2"/>
  <c r="I3044" i="2"/>
  <c r="H3044" i="2"/>
  <c r="G3044" i="2"/>
  <c r="F3044" i="2"/>
  <c r="E3044" i="2"/>
  <c r="D3044" i="2"/>
  <c r="C3044" i="2"/>
  <c r="B3044" i="2"/>
  <c r="A3044" i="2"/>
  <c r="U3043" i="2"/>
  <c r="N3043" i="2"/>
  <c r="M3043" i="2"/>
  <c r="J3043" i="2"/>
  <c r="I3043" i="2"/>
  <c r="H3043" i="2"/>
  <c r="G3043" i="2"/>
  <c r="F3043" i="2"/>
  <c r="E3043" i="2"/>
  <c r="D3043" i="2"/>
  <c r="C3043" i="2"/>
  <c r="B3043" i="2"/>
  <c r="A3043" i="2"/>
  <c r="U3042" i="2"/>
  <c r="N3042" i="2"/>
  <c r="M3042" i="2"/>
  <c r="J3042" i="2"/>
  <c r="I3042" i="2"/>
  <c r="H3042" i="2"/>
  <c r="G3042" i="2"/>
  <c r="F3042" i="2"/>
  <c r="E3042" i="2"/>
  <c r="D3042" i="2"/>
  <c r="C3042" i="2"/>
  <c r="B3042" i="2"/>
  <c r="A3042" i="2"/>
  <c r="U3041" i="2"/>
  <c r="N3041" i="2"/>
  <c r="M3041" i="2"/>
  <c r="J3041" i="2"/>
  <c r="I3041" i="2"/>
  <c r="H3041" i="2"/>
  <c r="G3041" i="2"/>
  <c r="F3041" i="2"/>
  <c r="E3041" i="2"/>
  <c r="D3041" i="2"/>
  <c r="C3041" i="2"/>
  <c r="B3041" i="2"/>
  <c r="A3041" i="2"/>
  <c r="U3040" i="2"/>
  <c r="N3040" i="2"/>
  <c r="M3040" i="2"/>
  <c r="J3040" i="2"/>
  <c r="I3040" i="2"/>
  <c r="H3040" i="2"/>
  <c r="G3040" i="2"/>
  <c r="F3040" i="2"/>
  <c r="E3040" i="2"/>
  <c r="D3040" i="2"/>
  <c r="C3040" i="2"/>
  <c r="B3040" i="2"/>
  <c r="A3040" i="2"/>
  <c r="U3039" i="2"/>
  <c r="N3039" i="2"/>
  <c r="M3039" i="2"/>
  <c r="J3039" i="2"/>
  <c r="I3039" i="2"/>
  <c r="H3039" i="2"/>
  <c r="G3039" i="2"/>
  <c r="F3039" i="2"/>
  <c r="E3039" i="2"/>
  <c r="D3039" i="2"/>
  <c r="C3039" i="2"/>
  <c r="B3039" i="2"/>
  <c r="A3039" i="2"/>
  <c r="U3038" i="2"/>
  <c r="N3038" i="2"/>
  <c r="M3038" i="2"/>
  <c r="J3038" i="2"/>
  <c r="I3038" i="2"/>
  <c r="H3038" i="2"/>
  <c r="G3038" i="2"/>
  <c r="F3038" i="2"/>
  <c r="E3038" i="2"/>
  <c r="D3038" i="2"/>
  <c r="C3038" i="2"/>
  <c r="B3038" i="2"/>
  <c r="A3038" i="2"/>
  <c r="U3037" i="2"/>
  <c r="N3037" i="2"/>
  <c r="M3037" i="2"/>
  <c r="J3037" i="2"/>
  <c r="I3037" i="2"/>
  <c r="H3037" i="2"/>
  <c r="G3037" i="2"/>
  <c r="F3037" i="2"/>
  <c r="E3037" i="2"/>
  <c r="D3037" i="2"/>
  <c r="C3037" i="2"/>
  <c r="B3037" i="2"/>
  <c r="A3037" i="2"/>
  <c r="U3036" i="2"/>
  <c r="N3036" i="2"/>
  <c r="M3036" i="2"/>
  <c r="J3036" i="2"/>
  <c r="I3036" i="2"/>
  <c r="H3036" i="2"/>
  <c r="G3036" i="2"/>
  <c r="F3036" i="2"/>
  <c r="E3036" i="2"/>
  <c r="D3036" i="2"/>
  <c r="C3036" i="2"/>
  <c r="B3036" i="2"/>
  <c r="A3036" i="2"/>
  <c r="U3035" i="2"/>
  <c r="N3035" i="2"/>
  <c r="M3035" i="2"/>
  <c r="J3035" i="2"/>
  <c r="I3035" i="2"/>
  <c r="H3035" i="2"/>
  <c r="G3035" i="2"/>
  <c r="F3035" i="2"/>
  <c r="E3035" i="2"/>
  <c r="D3035" i="2"/>
  <c r="C3035" i="2"/>
  <c r="B3035" i="2"/>
  <c r="A3035" i="2"/>
  <c r="U3034" i="2"/>
  <c r="N3034" i="2"/>
  <c r="M3034" i="2"/>
  <c r="J3034" i="2"/>
  <c r="I3034" i="2"/>
  <c r="H3034" i="2"/>
  <c r="G3034" i="2"/>
  <c r="F3034" i="2"/>
  <c r="E3034" i="2"/>
  <c r="D3034" i="2"/>
  <c r="C3034" i="2"/>
  <c r="B3034" i="2"/>
  <c r="A3034" i="2"/>
  <c r="U3033" i="2"/>
  <c r="N3033" i="2"/>
  <c r="M3033" i="2"/>
  <c r="J3033" i="2"/>
  <c r="I3033" i="2"/>
  <c r="H3033" i="2"/>
  <c r="G3033" i="2"/>
  <c r="F3033" i="2"/>
  <c r="E3033" i="2"/>
  <c r="D3033" i="2"/>
  <c r="C3033" i="2"/>
  <c r="B3033" i="2"/>
  <c r="A3033" i="2"/>
  <c r="U3032" i="2"/>
  <c r="N3032" i="2"/>
  <c r="M3032" i="2"/>
  <c r="J3032" i="2"/>
  <c r="I3032" i="2"/>
  <c r="H3032" i="2"/>
  <c r="G3032" i="2"/>
  <c r="F3032" i="2"/>
  <c r="E3032" i="2"/>
  <c r="D3032" i="2"/>
  <c r="C3032" i="2"/>
  <c r="B3032" i="2"/>
  <c r="A3032" i="2"/>
  <c r="U3031" i="2"/>
  <c r="N3031" i="2"/>
  <c r="M3031" i="2"/>
  <c r="J3031" i="2"/>
  <c r="I3031" i="2"/>
  <c r="H3031" i="2"/>
  <c r="G3031" i="2"/>
  <c r="F3031" i="2"/>
  <c r="E3031" i="2"/>
  <c r="D3031" i="2"/>
  <c r="C3031" i="2"/>
  <c r="B3031" i="2"/>
  <c r="A3031" i="2"/>
  <c r="U3030" i="2"/>
  <c r="N3030" i="2"/>
  <c r="M3030" i="2"/>
  <c r="J3030" i="2"/>
  <c r="I3030" i="2"/>
  <c r="H3030" i="2"/>
  <c r="G3030" i="2"/>
  <c r="F3030" i="2"/>
  <c r="E3030" i="2"/>
  <c r="D3030" i="2"/>
  <c r="C3030" i="2"/>
  <c r="B3030" i="2"/>
  <c r="A3030" i="2"/>
  <c r="U3029" i="2"/>
  <c r="N3029" i="2"/>
  <c r="M3029" i="2"/>
  <c r="J3029" i="2"/>
  <c r="I3029" i="2"/>
  <c r="H3029" i="2"/>
  <c r="G3029" i="2"/>
  <c r="F3029" i="2"/>
  <c r="E3029" i="2"/>
  <c r="D3029" i="2"/>
  <c r="C3029" i="2"/>
  <c r="B3029" i="2"/>
  <c r="A3029" i="2"/>
  <c r="U3028" i="2"/>
  <c r="N3028" i="2"/>
  <c r="M3028" i="2"/>
  <c r="J3028" i="2"/>
  <c r="I3028" i="2"/>
  <c r="H3028" i="2"/>
  <c r="G3028" i="2"/>
  <c r="F3028" i="2"/>
  <c r="E3028" i="2"/>
  <c r="D3028" i="2"/>
  <c r="C3028" i="2"/>
  <c r="B3028" i="2"/>
  <c r="A3028" i="2"/>
  <c r="U3027" i="2"/>
  <c r="N3027" i="2"/>
  <c r="M3027" i="2"/>
  <c r="J3027" i="2"/>
  <c r="I3027" i="2"/>
  <c r="H3027" i="2"/>
  <c r="G3027" i="2"/>
  <c r="F3027" i="2"/>
  <c r="E3027" i="2"/>
  <c r="D3027" i="2"/>
  <c r="C3027" i="2"/>
  <c r="B3027" i="2"/>
  <c r="A3027" i="2"/>
  <c r="U3026" i="2"/>
  <c r="N3026" i="2"/>
  <c r="M3026" i="2"/>
  <c r="J3026" i="2"/>
  <c r="I3026" i="2"/>
  <c r="H3026" i="2"/>
  <c r="G3026" i="2"/>
  <c r="F3026" i="2"/>
  <c r="E3026" i="2"/>
  <c r="D3026" i="2"/>
  <c r="C3026" i="2"/>
  <c r="B3026" i="2"/>
  <c r="A3026" i="2"/>
  <c r="U3025" i="2"/>
  <c r="N3025" i="2"/>
  <c r="M3025" i="2"/>
  <c r="J3025" i="2"/>
  <c r="I3025" i="2"/>
  <c r="H3025" i="2"/>
  <c r="G3025" i="2"/>
  <c r="F3025" i="2"/>
  <c r="E3025" i="2"/>
  <c r="D3025" i="2"/>
  <c r="C3025" i="2"/>
  <c r="B3025" i="2"/>
  <c r="A3025" i="2"/>
  <c r="U3024" i="2"/>
  <c r="N3024" i="2"/>
  <c r="M3024" i="2"/>
  <c r="J3024" i="2"/>
  <c r="I3024" i="2"/>
  <c r="H3024" i="2"/>
  <c r="G3024" i="2"/>
  <c r="F3024" i="2"/>
  <c r="E3024" i="2"/>
  <c r="D3024" i="2"/>
  <c r="C3024" i="2"/>
  <c r="B3024" i="2"/>
  <c r="A3024" i="2"/>
  <c r="U3023" i="2"/>
  <c r="N3023" i="2"/>
  <c r="M3023" i="2"/>
  <c r="J3023" i="2"/>
  <c r="I3023" i="2"/>
  <c r="H3023" i="2"/>
  <c r="G3023" i="2"/>
  <c r="F3023" i="2"/>
  <c r="E3023" i="2"/>
  <c r="D3023" i="2"/>
  <c r="C3023" i="2"/>
  <c r="B3023" i="2"/>
  <c r="A3023" i="2"/>
  <c r="U3022" i="2"/>
  <c r="N3022" i="2"/>
  <c r="M3022" i="2"/>
  <c r="J3022" i="2"/>
  <c r="I3022" i="2"/>
  <c r="H3022" i="2"/>
  <c r="G3022" i="2"/>
  <c r="F3022" i="2"/>
  <c r="E3022" i="2"/>
  <c r="D3022" i="2"/>
  <c r="C3022" i="2"/>
  <c r="B3022" i="2"/>
  <c r="A3022" i="2"/>
  <c r="U3021" i="2"/>
  <c r="N3021" i="2"/>
  <c r="M3021" i="2"/>
  <c r="J3021" i="2"/>
  <c r="I3021" i="2"/>
  <c r="H3021" i="2"/>
  <c r="G3021" i="2"/>
  <c r="F3021" i="2"/>
  <c r="E3021" i="2"/>
  <c r="D3021" i="2"/>
  <c r="C3021" i="2"/>
  <c r="B3021" i="2"/>
  <c r="A3021" i="2"/>
  <c r="U3020" i="2"/>
  <c r="N3020" i="2"/>
  <c r="M3020" i="2"/>
  <c r="J3020" i="2"/>
  <c r="I3020" i="2"/>
  <c r="H3020" i="2"/>
  <c r="G3020" i="2"/>
  <c r="F3020" i="2"/>
  <c r="E3020" i="2"/>
  <c r="D3020" i="2"/>
  <c r="C3020" i="2"/>
  <c r="B3020" i="2"/>
  <c r="A3020" i="2"/>
  <c r="U3019" i="2"/>
  <c r="N3019" i="2"/>
  <c r="M3019" i="2"/>
  <c r="J3019" i="2"/>
  <c r="I3019" i="2"/>
  <c r="H3019" i="2"/>
  <c r="G3019" i="2"/>
  <c r="F3019" i="2"/>
  <c r="E3019" i="2"/>
  <c r="D3019" i="2"/>
  <c r="C3019" i="2"/>
  <c r="B3019" i="2"/>
  <c r="A3019" i="2"/>
  <c r="U3018" i="2"/>
  <c r="N3018" i="2"/>
  <c r="M3018" i="2"/>
  <c r="J3018" i="2"/>
  <c r="I3018" i="2"/>
  <c r="H3018" i="2"/>
  <c r="G3018" i="2"/>
  <c r="F3018" i="2"/>
  <c r="E3018" i="2"/>
  <c r="D3018" i="2"/>
  <c r="C3018" i="2"/>
  <c r="B3018" i="2"/>
  <c r="A3018" i="2"/>
  <c r="U3017" i="2"/>
  <c r="N3017" i="2"/>
  <c r="M3017" i="2"/>
  <c r="J3017" i="2"/>
  <c r="I3017" i="2"/>
  <c r="H3017" i="2"/>
  <c r="G3017" i="2"/>
  <c r="F3017" i="2"/>
  <c r="E3017" i="2"/>
  <c r="D3017" i="2"/>
  <c r="C3017" i="2"/>
  <c r="B3017" i="2"/>
  <c r="A3017" i="2"/>
  <c r="U3016" i="2"/>
  <c r="N3016" i="2"/>
  <c r="M3016" i="2"/>
  <c r="J3016" i="2"/>
  <c r="I3016" i="2"/>
  <c r="H3016" i="2"/>
  <c r="G3016" i="2"/>
  <c r="F3016" i="2"/>
  <c r="E3016" i="2"/>
  <c r="D3016" i="2"/>
  <c r="C3016" i="2"/>
  <c r="B3016" i="2"/>
  <c r="A3016" i="2"/>
  <c r="U3015" i="2"/>
  <c r="N3015" i="2"/>
  <c r="M3015" i="2"/>
  <c r="J3015" i="2"/>
  <c r="I3015" i="2"/>
  <c r="H3015" i="2"/>
  <c r="G3015" i="2"/>
  <c r="F3015" i="2"/>
  <c r="E3015" i="2"/>
  <c r="D3015" i="2"/>
  <c r="C3015" i="2"/>
  <c r="B3015" i="2"/>
  <c r="A3015" i="2"/>
  <c r="U3014" i="2"/>
  <c r="N3014" i="2"/>
  <c r="M3014" i="2"/>
  <c r="J3014" i="2"/>
  <c r="I3014" i="2"/>
  <c r="H3014" i="2"/>
  <c r="G3014" i="2"/>
  <c r="F3014" i="2"/>
  <c r="E3014" i="2"/>
  <c r="D3014" i="2"/>
  <c r="C3014" i="2"/>
  <c r="B3014" i="2"/>
  <c r="A3014" i="2"/>
  <c r="U3013" i="2"/>
  <c r="N3013" i="2"/>
  <c r="M3013" i="2"/>
  <c r="J3013" i="2"/>
  <c r="I3013" i="2"/>
  <c r="H3013" i="2"/>
  <c r="G3013" i="2"/>
  <c r="F3013" i="2"/>
  <c r="E3013" i="2"/>
  <c r="D3013" i="2"/>
  <c r="C3013" i="2"/>
  <c r="B3013" i="2"/>
  <c r="A3013" i="2"/>
  <c r="U3012" i="2"/>
  <c r="N3012" i="2"/>
  <c r="M3012" i="2"/>
  <c r="J3012" i="2"/>
  <c r="I3012" i="2"/>
  <c r="H3012" i="2"/>
  <c r="G3012" i="2"/>
  <c r="F3012" i="2"/>
  <c r="E3012" i="2"/>
  <c r="D3012" i="2"/>
  <c r="C3012" i="2"/>
  <c r="B3012" i="2"/>
  <c r="A3012" i="2"/>
  <c r="U3011" i="2"/>
  <c r="N3011" i="2"/>
  <c r="M3011" i="2"/>
  <c r="J3011" i="2"/>
  <c r="I3011" i="2"/>
  <c r="H3011" i="2"/>
  <c r="G3011" i="2"/>
  <c r="F3011" i="2"/>
  <c r="E3011" i="2"/>
  <c r="D3011" i="2"/>
  <c r="C3011" i="2"/>
  <c r="B3011" i="2"/>
  <c r="A3011" i="2"/>
  <c r="U3010" i="2"/>
  <c r="N3010" i="2"/>
  <c r="M3010" i="2"/>
  <c r="J3010" i="2"/>
  <c r="I3010" i="2"/>
  <c r="H3010" i="2"/>
  <c r="G3010" i="2"/>
  <c r="F3010" i="2"/>
  <c r="E3010" i="2"/>
  <c r="D3010" i="2"/>
  <c r="C3010" i="2"/>
  <c r="B3010" i="2"/>
  <c r="A3010" i="2"/>
  <c r="U3009" i="2"/>
  <c r="N3009" i="2"/>
  <c r="M3009" i="2"/>
  <c r="J3009" i="2"/>
  <c r="I3009" i="2"/>
  <c r="H3009" i="2"/>
  <c r="G3009" i="2"/>
  <c r="F3009" i="2"/>
  <c r="E3009" i="2"/>
  <c r="D3009" i="2"/>
  <c r="C3009" i="2"/>
  <c r="B3009" i="2"/>
  <c r="A3009" i="2"/>
  <c r="U3008" i="2"/>
  <c r="N3008" i="2"/>
  <c r="M3008" i="2"/>
  <c r="J3008" i="2"/>
  <c r="I3008" i="2"/>
  <c r="H3008" i="2"/>
  <c r="G3008" i="2"/>
  <c r="F3008" i="2"/>
  <c r="E3008" i="2"/>
  <c r="D3008" i="2"/>
  <c r="C3008" i="2"/>
  <c r="B3008" i="2"/>
  <c r="A3008" i="2"/>
  <c r="U3007" i="2"/>
  <c r="N3007" i="2"/>
  <c r="M3007" i="2"/>
  <c r="J3007" i="2"/>
  <c r="I3007" i="2"/>
  <c r="H3007" i="2"/>
  <c r="G3007" i="2"/>
  <c r="F3007" i="2"/>
  <c r="E3007" i="2"/>
  <c r="D3007" i="2"/>
  <c r="C3007" i="2"/>
  <c r="B3007" i="2"/>
  <c r="A3007" i="2"/>
  <c r="U3006" i="2"/>
  <c r="N3006" i="2"/>
  <c r="M3006" i="2"/>
  <c r="J3006" i="2"/>
  <c r="I3006" i="2"/>
  <c r="H3006" i="2"/>
  <c r="G3006" i="2"/>
  <c r="F3006" i="2"/>
  <c r="E3006" i="2"/>
  <c r="D3006" i="2"/>
  <c r="C3006" i="2"/>
  <c r="B3006" i="2"/>
  <c r="A3006" i="2"/>
  <c r="U3005" i="2"/>
  <c r="N3005" i="2"/>
  <c r="M3005" i="2"/>
  <c r="J3005" i="2"/>
  <c r="I3005" i="2"/>
  <c r="H3005" i="2"/>
  <c r="G3005" i="2"/>
  <c r="F3005" i="2"/>
  <c r="E3005" i="2"/>
  <c r="D3005" i="2"/>
  <c r="C3005" i="2"/>
  <c r="B3005" i="2"/>
  <c r="A3005" i="2"/>
  <c r="U3004" i="2"/>
  <c r="N3004" i="2"/>
  <c r="M3004" i="2"/>
  <c r="J3004" i="2"/>
  <c r="I3004" i="2"/>
  <c r="H3004" i="2"/>
  <c r="G3004" i="2"/>
  <c r="F3004" i="2"/>
  <c r="E3004" i="2"/>
  <c r="D3004" i="2"/>
  <c r="C3004" i="2"/>
  <c r="B3004" i="2"/>
  <c r="A3004" i="2"/>
  <c r="U3003" i="2"/>
  <c r="N3003" i="2"/>
  <c r="M3003" i="2"/>
  <c r="J3003" i="2"/>
  <c r="I3003" i="2"/>
  <c r="H3003" i="2"/>
  <c r="G3003" i="2"/>
  <c r="F3003" i="2"/>
  <c r="E3003" i="2"/>
  <c r="D3003" i="2"/>
  <c r="C3003" i="2"/>
  <c r="B3003" i="2"/>
  <c r="A3003" i="2"/>
  <c r="U3002" i="2"/>
  <c r="N3002" i="2"/>
  <c r="M3002" i="2"/>
  <c r="J3002" i="2"/>
  <c r="I3002" i="2"/>
  <c r="H3002" i="2"/>
  <c r="G3002" i="2"/>
  <c r="F3002" i="2"/>
  <c r="E3002" i="2"/>
  <c r="D3002" i="2"/>
  <c r="C3002" i="2"/>
  <c r="B3002" i="2"/>
  <c r="A3002" i="2"/>
  <c r="U3001" i="2"/>
  <c r="N3001" i="2"/>
  <c r="M3001" i="2"/>
  <c r="J3001" i="2"/>
  <c r="I3001" i="2"/>
  <c r="H3001" i="2"/>
  <c r="G3001" i="2"/>
  <c r="F3001" i="2"/>
  <c r="E3001" i="2"/>
  <c r="D3001" i="2"/>
  <c r="C3001" i="2"/>
  <c r="B3001" i="2"/>
  <c r="A3001" i="2"/>
  <c r="U3000" i="2"/>
  <c r="N3000" i="2"/>
  <c r="M3000" i="2"/>
  <c r="J3000" i="2"/>
  <c r="I3000" i="2"/>
  <c r="H3000" i="2"/>
  <c r="G3000" i="2"/>
  <c r="F3000" i="2"/>
  <c r="E3000" i="2"/>
  <c r="D3000" i="2"/>
  <c r="C3000" i="2"/>
  <c r="B3000" i="2"/>
  <c r="A3000" i="2"/>
  <c r="U2999" i="2"/>
  <c r="N2999" i="2"/>
  <c r="M2999" i="2"/>
  <c r="J2999" i="2"/>
  <c r="I2999" i="2"/>
  <c r="H2999" i="2"/>
  <c r="G2999" i="2"/>
  <c r="F2999" i="2"/>
  <c r="E2999" i="2"/>
  <c r="D2999" i="2"/>
  <c r="C2999" i="2"/>
  <c r="B2999" i="2"/>
  <c r="A2999" i="2"/>
  <c r="U2998" i="2"/>
  <c r="N2998" i="2"/>
  <c r="M2998" i="2"/>
  <c r="J2998" i="2"/>
  <c r="I2998" i="2"/>
  <c r="H2998" i="2"/>
  <c r="G2998" i="2"/>
  <c r="F2998" i="2"/>
  <c r="E2998" i="2"/>
  <c r="D2998" i="2"/>
  <c r="C2998" i="2"/>
  <c r="B2998" i="2"/>
  <c r="A2998" i="2"/>
  <c r="U2997" i="2"/>
  <c r="N2997" i="2"/>
  <c r="M2997" i="2"/>
  <c r="J2997" i="2"/>
  <c r="I2997" i="2"/>
  <c r="H2997" i="2"/>
  <c r="G2997" i="2"/>
  <c r="F2997" i="2"/>
  <c r="E2997" i="2"/>
  <c r="D2997" i="2"/>
  <c r="C2997" i="2"/>
  <c r="B2997" i="2"/>
  <c r="A2997" i="2"/>
  <c r="U2996" i="2"/>
  <c r="N2996" i="2"/>
  <c r="M2996" i="2"/>
  <c r="J2996" i="2"/>
  <c r="I2996" i="2"/>
  <c r="H2996" i="2"/>
  <c r="G2996" i="2"/>
  <c r="F2996" i="2"/>
  <c r="E2996" i="2"/>
  <c r="D2996" i="2"/>
  <c r="C2996" i="2"/>
  <c r="B2996" i="2"/>
  <c r="A2996" i="2"/>
  <c r="U2995" i="2"/>
  <c r="N2995" i="2"/>
  <c r="M2995" i="2"/>
  <c r="J2995" i="2"/>
  <c r="I2995" i="2"/>
  <c r="H2995" i="2"/>
  <c r="G2995" i="2"/>
  <c r="F2995" i="2"/>
  <c r="E2995" i="2"/>
  <c r="D2995" i="2"/>
  <c r="C2995" i="2"/>
  <c r="B2995" i="2"/>
  <c r="A2995" i="2"/>
  <c r="U2994" i="2"/>
  <c r="N2994" i="2"/>
  <c r="M2994" i="2"/>
  <c r="J2994" i="2"/>
  <c r="I2994" i="2"/>
  <c r="H2994" i="2"/>
  <c r="G2994" i="2"/>
  <c r="F2994" i="2"/>
  <c r="E2994" i="2"/>
  <c r="D2994" i="2"/>
  <c r="C2994" i="2"/>
  <c r="B2994" i="2"/>
  <c r="A2994" i="2"/>
  <c r="U2993" i="2"/>
  <c r="N2993" i="2"/>
  <c r="M2993" i="2"/>
  <c r="J2993" i="2"/>
  <c r="I2993" i="2"/>
  <c r="H2993" i="2"/>
  <c r="G2993" i="2"/>
  <c r="F2993" i="2"/>
  <c r="E2993" i="2"/>
  <c r="D2993" i="2"/>
  <c r="C2993" i="2"/>
  <c r="B2993" i="2"/>
  <c r="A2993" i="2"/>
  <c r="Q2992" i="2"/>
  <c r="U2992" i="2" s="1"/>
  <c r="N2992" i="2"/>
  <c r="M2992" i="2"/>
  <c r="J2992" i="2"/>
  <c r="I2992" i="2"/>
  <c r="H2992" i="2"/>
  <c r="G2992" i="2"/>
  <c r="F2992" i="2"/>
  <c r="E2992" i="2"/>
  <c r="D2992" i="2"/>
  <c r="C2992" i="2"/>
  <c r="B2992" i="2"/>
  <c r="A2992" i="2"/>
  <c r="U2991" i="2"/>
  <c r="N2991" i="2"/>
  <c r="M2991" i="2"/>
  <c r="J2991" i="2"/>
  <c r="I2991" i="2"/>
  <c r="H2991" i="2"/>
  <c r="G2991" i="2"/>
  <c r="F2991" i="2"/>
  <c r="E2991" i="2"/>
  <c r="D2991" i="2"/>
  <c r="C2991" i="2"/>
  <c r="B2991" i="2"/>
  <c r="A2991" i="2"/>
  <c r="Q2990" i="2"/>
  <c r="U2990" i="2" s="1"/>
  <c r="N2990" i="2"/>
  <c r="M2990" i="2"/>
  <c r="J2990" i="2"/>
  <c r="I2990" i="2"/>
  <c r="H2990" i="2"/>
  <c r="G2990" i="2"/>
  <c r="F2990" i="2"/>
  <c r="E2990" i="2"/>
  <c r="D2990" i="2"/>
  <c r="C2990" i="2"/>
  <c r="B2990" i="2"/>
  <c r="A2990" i="2"/>
  <c r="Q2989" i="2"/>
  <c r="U2989" i="2" s="1"/>
  <c r="N2989" i="2"/>
  <c r="M2989" i="2"/>
  <c r="J2989" i="2"/>
  <c r="I2989" i="2"/>
  <c r="H2989" i="2"/>
  <c r="G2989" i="2"/>
  <c r="F2989" i="2"/>
  <c r="E2989" i="2"/>
  <c r="D2989" i="2"/>
  <c r="C2989" i="2"/>
  <c r="B2989" i="2"/>
  <c r="A2989" i="2"/>
  <c r="U2988" i="2"/>
  <c r="N2988" i="2"/>
  <c r="M2988" i="2"/>
  <c r="J2988" i="2"/>
  <c r="I2988" i="2"/>
  <c r="H2988" i="2"/>
  <c r="G2988" i="2"/>
  <c r="F2988" i="2"/>
  <c r="E2988" i="2"/>
  <c r="D2988" i="2"/>
  <c r="C2988" i="2"/>
  <c r="B2988" i="2"/>
  <c r="A2988" i="2"/>
  <c r="U2987" i="2"/>
  <c r="N2987" i="2"/>
  <c r="M2987" i="2"/>
  <c r="J2987" i="2"/>
  <c r="I2987" i="2"/>
  <c r="H2987" i="2"/>
  <c r="G2987" i="2"/>
  <c r="F2987" i="2"/>
  <c r="E2987" i="2"/>
  <c r="D2987" i="2"/>
  <c r="C2987" i="2"/>
  <c r="B2987" i="2"/>
  <c r="A2987" i="2"/>
  <c r="U2986" i="2"/>
  <c r="N2986" i="2"/>
  <c r="M2986" i="2"/>
  <c r="J2986" i="2"/>
  <c r="I2986" i="2"/>
  <c r="H2986" i="2"/>
  <c r="G2986" i="2"/>
  <c r="F2986" i="2"/>
  <c r="E2986" i="2"/>
  <c r="D2986" i="2"/>
  <c r="C2986" i="2"/>
  <c r="B2986" i="2"/>
  <c r="A2986" i="2"/>
  <c r="Q2985" i="2"/>
  <c r="U2985" i="2" s="1"/>
  <c r="N2985" i="2"/>
  <c r="M2985" i="2"/>
  <c r="J2985" i="2"/>
  <c r="I2985" i="2"/>
  <c r="H2985" i="2"/>
  <c r="G2985" i="2"/>
  <c r="F2985" i="2"/>
  <c r="E2985" i="2"/>
  <c r="D2985" i="2"/>
  <c r="C2985" i="2"/>
  <c r="B2985" i="2"/>
  <c r="A2985" i="2"/>
  <c r="U2984" i="2"/>
  <c r="N2984" i="2"/>
  <c r="M2984" i="2"/>
  <c r="J2984" i="2"/>
  <c r="I2984" i="2"/>
  <c r="H2984" i="2"/>
  <c r="G2984" i="2"/>
  <c r="F2984" i="2"/>
  <c r="E2984" i="2"/>
  <c r="D2984" i="2"/>
  <c r="C2984" i="2"/>
  <c r="B2984" i="2"/>
  <c r="A2984" i="2"/>
  <c r="U2983" i="2"/>
  <c r="N2983" i="2"/>
  <c r="M2983" i="2"/>
  <c r="J2983" i="2"/>
  <c r="I2983" i="2"/>
  <c r="H2983" i="2"/>
  <c r="G2983" i="2"/>
  <c r="F2983" i="2"/>
  <c r="E2983" i="2"/>
  <c r="D2983" i="2"/>
  <c r="C2983" i="2"/>
  <c r="B2983" i="2"/>
  <c r="A2983" i="2"/>
  <c r="U2982" i="2"/>
  <c r="N2982" i="2"/>
  <c r="M2982" i="2"/>
  <c r="J2982" i="2"/>
  <c r="I2982" i="2"/>
  <c r="H2982" i="2"/>
  <c r="G2982" i="2"/>
  <c r="F2982" i="2"/>
  <c r="E2982" i="2"/>
  <c r="D2982" i="2"/>
  <c r="C2982" i="2"/>
  <c r="B2982" i="2"/>
  <c r="A2982" i="2"/>
  <c r="U2981" i="2"/>
  <c r="N2981" i="2"/>
  <c r="M2981" i="2"/>
  <c r="J2981" i="2"/>
  <c r="I2981" i="2"/>
  <c r="H2981" i="2"/>
  <c r="G2981" i="2"/>
  <c r="F2981" i="2"/>
  <c r="E2981" i="2"/>
  <c r="D2981" i="2"/>
  <c r="C2981" i="2"/>
  <c r="B2981" i="2"/>
  <c r="A2981" i="2"/>
  <c r="U2980" i="2"/>
  <c r="N2980" i="2"/>
  <c r="M2980" i="2"/>
  <c r="J2980" i="2"/>
  <c r="I2980" i="2"/>
  <c r="H2980" i="2"/>
  <c r="G2980" i="2"/>
  <c r="F2980" i="2"/>
  <c r="E2980" i="2"/>
  <c r="D2980" i="2"/>
  <c r="C2980" i="2"/>
  <c r="B2980" i="2"/>
  <c r="A2980" i="2"/>
  <c r="Q2979" i="2"/>
  <c r="U2979" i="2" s="1"/>
  <c r="N2979" i="2"/>
  <c r="M2979" i="2"/>
  <c r="J2979" i="2"/>
  <c r="I2979" i="2"/>
  <c r="H2979" i="2"/>
  <c r="G2979" i="2"/>
  <c r="F2979" i="2"/>
  <c r="E2979" i="2"/>
  <c r="D2979" i="2"/>
  <c r="C2979" i="2"/>
  <c r="B2979" i="2"/>
  <c r="A2979" i="2"/>
  <c r="U2978" i="2"/>
  <c r="N2978" i="2"/>
  <c r="M2978" i="2"/>
  <c r="J2978" i="2"/>
  <c r="I2978" i="2"/>
  <c r="H2978" i="2"/>
  <c r="G2978" i="2"/>
  <c r="F2978" i="2"/>
  <c r="E2978" i="2"/>
  <c r="D2978" i="2"/>
  <c r="C2978" i="2"/>
  <c r="B2978" i="2"/>
  <c r="A2978" i="2"/>
  <c r="U2977" i="2"/>
  <c r="N2977" i="2"/>
  <c r="M2977" i="2"/>
  <c r="J2977" i="2"/>
  <c r="I2977" i="2"/>
  <c r="H2977" i="2"/>
  <c r="G2977" i="2"/>
  <c r="F2977" i="2"/>
  <c r="E2977" i="2"/>
  <c r="D2977" i="2"/>
  <c r="C2977" i="2"/>
  <c r="B2977" i="2"/>
  <c r="A2977" i="2"/>
  <c r="U2976" i="2"/>
  <c r="N2976" i="2"/>
  <c r="M2976" i="2"/>
  <c r="J2976" i="2"/>
  <c r="I2976" i="2"/>
  <c r="H2976" i="2"/>
  <c r="G2976" i="2"/>
  <c r="F2976" i="2"/>
  <c r="E2976" i="2"/>
  <c r="D2976" i="2"/>
  <c r="C2976" i="2"/>
  <c r="B2976" i="2"/>
  <c r="A2976" i="2"/>
  <c r="U2975" i="2"/>
  <c r="N2975" i="2"/>
  <c r="M2975" i="2"/>
  <c r="J2975" i="2"/>
  <c r="I2975" i="2"/>
  <c r="H2975" i="2"/>
  <c r="G2975" i="2"/>
  <c r="F2975" i="2"/>
  <c r="E2975" i="2"/>
  <c r="D2975" i="2"/>
  <c r="C2975" i="2"/>
  <c r="B2975" i="2"/>
  <c r="A2975" i="2"/>
  <c r="U2974" i="2"/>
  <c r="N2974" i="2"/>
  <c r="M2974" i="2"/>
  <c r="J2974" i="2"/>
  <c r="I2974" i="2"/>
  <c r="H2974" i="2"/>
  <c r="G2974" i="2"/>
  <c r="F2974" i="2"/>
  <c r="E2974" i="2"/>
  <c r="D2974" i="2"/>
  <c r="C2974" i="2"/>
  <c r="B2974" i="2"/>
  <c r="A2974" i="2"/>
  <c r="R2973" i="2"/>
  <c r="U2973" i="2" s="1"/>
  <c r="Q2973" i="2"/>
  <c r="N2973" i="2"/>
  <c r="M2973" i="2"/>
  <c r="J2973" i="2"/>
  <c r="I2973" i="2"/>
  <c r="H2973" i="2"/>
  <c r="G2973" i="2"/>
  <c r="F2973" i="2"/>
  <c r="E2973" i="2"/>
  <c r="D2973" i="2"/>
  <c r="C2973" i="2"/>
  <c r="B2973" i="2"/>
  <c r="A2973" i="2"/>
  <c r="R2972" i="2"/>
  <c r="Q2972" i="2"/>
  <c r="N2972" i="2"/>
  <c r="M2972" i="2"/>
  <c r="J2972" i="2"/>
  <c r="I2972" i="2"/>
  <c r="H2972" i="2"/>
  <c r="G2972" i="2"/>
  <c r="F2972" i="2"/>
  <c r="E2972" i="2"/>
  <c r="D2972" i="2"/>
  <c r="C2972" i="2"/>
  <c r="B2972" i="2"/>
  <c r="A2972" i="2"/>
  <c r="Q2971" i="2"/>
  <c r="U2971" i="2" s="1"/>
  <c r="N2971" i="2"/>
  <c r="M2971" i="2"/>
  <c r="J2971" i="2"/>
  <c r="I2971" i="2"/>
  <c r="H2971" i="2"/>
  <c r="G2971" i="2"/>
  <c r="F2971" i="2"/>
  <c r="E2971" i="2"/>
  <c r="D2971" i="2"/>
  <c r="C2971" i="2"/>
  <c r="B2971" i="2"/>
  <c r="A2971" i="2"/>
  <c r="Q2970" i="2"/>
  <c r="U2970" i="2" s="1"/>
  <c r="N2970" i="2"/>
  <c r="M2970" i="2"/>
  <c r="J2970" i="2"/>
  <c r="I2970" i="2"/>
  <c r="H2970" i="2"/>
  <c r="G2970" i="2"/>
  <c r="F2970" i="2"/>
  <c r="E2970" i="2"/>
  <c r="D2970" i="2"/>
  <c r="C2970" i="2"/>
  <c r="B2970" i="2"/>
  <c r="A2970" i="2"/>
  <c r="U2969" i="2"/>
  <c r="N2969" i="2"/>
  <c r="M2969" i="2"/>
  <c r="J2969" i="2"/>
  <c r="I2969" i="2"/>
  <c r="H2969" i="2"/>
  <c r="G2969" i="2"/>
  <c r="F2969" i="2"/>
  <c r="E2969" i="2"/>
  <c r="D2969" i="2"/>
  <c r="C2969" i="2"/>
  <c r="B2969" i="2"/>
  <c r="A2969" i="2"/>
  <c r="U2968" i="2"/>
  <c r="N2968" i="2"/>
  <c r="M2968" i="2"/>
  <c r="J2968" i="2"/>
  <c r="I2968" i="2"/>
  <c r="H2968" i="2"/>
  <c r="G2968" i="2"/>
  <c r="F2968" i="2"/>
  <c r="E2968" i="2"/>
  <c r="D2968" i="2"/>
  <c r="C2968" i="2"/>
  <c r="B2968" i="2"/>
  <c r="A2968" i="2"/>
  <c r="U2967" i="2"/>
  <c r="N2967" i="2"/>
  <c r="M2967" i="2"/>
  <c r="J2967" i="2"/>
  <c r="I2967" i="2"/>
  <c r="H2967" i="2"/>
  <c r="G2967" i="2"/>
  <c r="F2967" i="2"/>
  <c r="E2967" i="2"/>
  <c r="D2967" i="2"/>
  <c r="C2967" i="2"/>
  <c r="B2967" i="2"/>
  <c r="A2967" i="2"/>
  <c r="U2966" i="2"/>
  <c r="N2966" i="2"/>
  <c r="M2966" i="2"/>
  <c r="J2966" i="2"/>
  <c r="I2966" i="2"/>
  <c r="H2966" i="2"/>
  <c r="G2966" i="2"/>
  <c r="F2966" i="2"/>
  <c r="E2966" i="2"/>
  <c r="D2966" i="2"/>
  <c r="C2966" i="2"/>
  <c r="B2966" i="2"/>
  <c r="A2966" i="2"/>
  <c r="U2965" i="2"/>
  <c r="N2965" i="2"/>
  <c r="M2965" i="2"/>
  <c r="J2965" i="2"/>
  <c r="I2965" i="2"/>
  <c r="H2965" i="2"/>
  <c r="G2965" i="2"/>
  <c r="F2965" i="2"/>
  <c r="E2965" i="2"/>
  <c r="D2965" i="2"/>
  <c r="C2965" i="2"/>
  <c r="B2965" i="2"/>
  <c r="A2965" i="2"/>
  <c r="U2964" i="2"/>
  <c r="N2964" i="2"/>
  <c r="M2964" i="2"/>
  <c r="J2964" i="2"/>
  <c r="I2964" i="2"/>
  <c r="H2964" i="2"/>
  <c r="G2964" i="2"/>
  <c r="F2964" i="2"/>
  <c r="E2964" i="2"/>
  <c r="D2964" i="2"/>
  <c r="C2964" i="2"/>
  <c r="B2964" i="2"/>
  <c r="A2964" i="2"/>
  <c r="U2963" i="2"/>
  <c r="N2963" i="2"/>
  <c r="M2963" i="2"/>
  <c r="J2963" i="2"/>
  <c r="I2963" i="2"/>
  <c r="H2963" i="2"/>
  <c r="G2963" i="2"/>
  <c r="F2963" i="2"/>
  <c r="E2963" i="2"/>
  <c r="D2963" i="2"/>
  <c r="C2963" i="2"/>
  <c r="B2963" i="2"/>
  <c r="A2963" i="2"/>
  <c r="U2962" i="2"/>
  <c r="N2962" i="2"/>
  <c r="M2962" i="2"/>
  <c r="J2962" i="2"/>
  <c r="I2962" i="2"/>
  <c r="H2962" i="2"/>
  <c r="G2962" i="2"/>
  <c r="F2962" i="2"/>
  <c r="E2962" i="2"/>
  <c r="D2962" i="2"/>
  <c r="C2962" i="2"/>
  <c r="B2962" i="2"/>
  <c r="A2962" i="2"/>
  <c r="U2961" i="2"/>
  <c r="N2961" i="2"/>
  <c r="M2961" i="2"/>
  <c r="J2961" i="2"/>
  <c r="I2961" i="2"/>
  <c r="H2961" i="2"/>
  <c r="G2961" i="2"/>
  <c r="F2961" i="2"/>
  <c r="E2961" i="2"/>
  <c r="D2961" i="2"/>
  <c r="C2961" i="2"/>
  <c r="B2961" i="2"/>
  <c r="A2961" i="2"/>
  <c r="U2960" i="2"/>
  <c r="N2960" i="2"/>
  <c r="M2960" i="2"/>
  <c r="J2960" i="2"/>
  <c r="I2960" i="2"/>
  <c r="H2960" i="2"/>
  <c r="G2960" i="2"/>
  <c r="F2960" i="2"/>
  <c r="E2960" i="2"/>
  <c r="D2960" i="2"/>
  <c r="C2960" i="2"/>
  <c r="B2960" i="2"/>
  <c r="A2960" i="2"/>
  <c r="U2959" i="2"/>
  <c r="N2959" i="2"/>
  <c r="M2959" i="2"/>
  <c r="J2959" i="2"/>
  <c r="I2959" i="2"/>
  <c r="H2959" i="2"/>
  <c r="G2959" i="2"/>
  <c r="F2959" i="2"/>
  <c r="E2959" i="2"/>
  <c r="D2959" i="2"/>
  <c r="C2959" i="2"/>
  <c r="B2959" i="2"/>
  <c r="A2959" i="2"/>
  <c r="U2958" i="2"/>
  <c r="N2958" i="2"/>
  <c r="M2958" i="2"/>
  <c r="J2958" i="2"/>
  <c r="I2958" i="2"/>
  <c r="H2958" i="2"/>
  <c r="G2958" i="2"/>
  <c r="F2958" i="2"/>
  <c r="E2958" i="2"/>
  <c r="D2958" i="2"/>
  <c r="C2958" i="2"/>
  <c r="B2958" i="2"/>
  <c r="A2958" i="2"/>
  <c r="U2957" i="2"/>
  <c r="N2957" i="2"/>
  <c r="M2957" i="2"/>
  <c r="J2957" i="2"/>
  <c r="I2957" i="2"/>
  <c r="H2957" i="2"/>
  <c r="G2957" i="2"/>
  <c r="F2957" i="2"/>
  <c r="E2957" i="2"/>
  <c r="D2957" i="2"/>
  <c r="C2957" i="2"/>
  <c r="B2957" i="2"/>
  <c r="A2957" i="2"/>
  <c r="U2956" i="2"/>
  <c r="N2956" i="2"/>
  <c r="M2956" i="2"/>
  <c r="J2956" i="2"/>
  <c r="I2956" i="2"/>
  <c r="H2956" i="2"/>
  <c r="G2956" i="2"/>
  <c r="F2956" i="2"/>
  <c r="E2956" i="2"/>
  <c r="D2956" i="2"/>
  <c r="C2956" i="2"/>
  <c r="B2956" i="2"/>
  <c r="A2956" i="2"/>
  <c r="U2955" i="2"/>
  <c r="N2955" i="2"/>
  <c r="M2955" i="2"/>
  <c r="J2955" i="2"/>
  <c r="I2955" i="2"/>
  <c r="H2955" i="2"/>
  <c r="G2955" i="2"/>
  <c r="F2955" i="2"/>
  <c r="E2955" i="2"/>
  <c r="D2955" i="2"/>
  <c r="C2955" i="2"/>
  <c r="B2955" i="2"/>
  <c r="A2955" i="2"/>
  <c r="U2954" i="2"/>
  <c r="N2954" i="2"/>
  <c r="M2954" i="2"/>
  <c r="J2954" i="2"/>
  <c r="I2954" i="2"/>
  <c r="H2954" i="2"/>
  <c r="G2954" i="2"/>
  <c r="F2954" i="2"/>
  <c r="E2954" i="2"/>
  <c r="D2954" i="2"/>
  <c r="C2954" i="2"/>
  <c r="B2954" i="2"/>
  <c r="A2954" i="2"/>
  <c r="U2953" i="2"/>
  <c r="N2953" i="2"/>
  <c r="M2953" i="2"/>
  <c r="J2953" i="2"/>
  <c r="I2953" i="2"/>
  <c r="H2953" i="2"/>
  <c r="G2953" i="2"/>
  <c r="F2953" i="2"/>
  <c r="E2953" i="2"/>
  <c r="D2953" i="2"/>
  <c r="C2953" i="2"/>
  <c r="B2953" i="2"/>
  <c r="A2953" i="2"/>
  <c r="U2952" i="2"/>
  <c r="N2952" i="2"/>
  <c r="M2952" i="2"/>
  <c r="J2952" i="2"/>
  <c r="I2952" i="2"/>
  <c r="H2952" i="2"/>
  <c r="G2952" i="2"/>
  <c r="F2952" i="2"/>
  <c r="E2952" i="2"/>
  <c r="D2952" i="2"/>
  <c r="C2952" i="2"/>
  <c r="B2952" i="2"/>
  <c r="A2952" i="2"/>
  <c r="U2951" i="2"/>
  <c r="N2951" i="2"/>
  <c r="M2951" i="2"/>
  <c r="J2951" i="2"/>
  <c r="I2951" i="2"/>
  <c r="H2951" i="2"/>
  <c r="G2951" i="2"/>
  <c r="F2951" i="2"/>
  <c r="E2951" i="2"/>
  <c r="D2951" i="2"/>
  <c r="C2951" i="2"/>
  <c r="B2951" i="2"/>
  <c r="A2951" i="2"/>
  <c r="U2950" i="2"/>
  <c r="N2950" i="2"/>
  <c r="M2950" i="2"/>
  <c r="J2950" i="2"/>
  <c r="I2950" i="2"/>
  <c r="H2950" i="2"/>
  <c r="G2950" i="2"/>
  <c r="F2950" i="2"/>
  <c r="E2950" i="2"/>
  <c r="D2950" i="2"/>
  <c r="C2950" i="2"/>
  <c r="B2950" i="2"/>
  <c r="A2950" i="2"/>
  <c r="U2949" i="2"/>
  <c r="N2949" i="2"/>
  <c r="M2949" i="2"/>
  <c r="J2949" i="2"/>
  <c r="I2949" i="2"/>
  <c r="H2949" i="2"/>
  <c r="G2949" i="2"/>
  <c r="F2949" i="2"/>
  <c r="E2949" i="2"/>
  <c r="D2949" i="2"/>
  <c r="C2949" i="2"/>
  <c r="B2949" i="2"/>
  <c r="A2949" i="2"/>
  <c r="U2948" i="2"/>
  <c r="N2948" i="2"/>
  <c r="M2948" i="2"/>
  <c r="J2948" i="2"/>
  <c r="I2948" i="2"/>
  <c r="H2948" i="2"/>
  <c r="G2948" i="2"/>
  <c r="F2948" i="2"/>
  <c r="E2948" i="2"/>
  <c r="D2948" i="2"/>
  <c r="C2948" i="2"/>
  <c r="B2948" i="2"/>
  <c r="A2948" i="2"/>
  <c r="U2947" i="2"/>
  <c r="N2947" i="2"/>
  <c r="M2947" i="2"/>
  <c r="J2947" i="2"/>
  <c r="I2947" i="2"/>
  <c r="H2947" i="2"/>
  <c r="G2947" i="2"/>
  <c r="F2947" i="2"/>
  <c r="E2947" i="2"/>
  <c r="D2947" i="2"/>
  <c r="C2947" i="2"/>
  <c r="B2947" i="2"/>
  <c r="A2947" i="2"/>
  <c r="U2946" i="2"/>
  <c r="N2946" i="2"/>
  <c r="M2946" i="2"/>
  <c r="J2946" i="2"/>
  <c r="I2946" i="2"/>
  <c r="H2946" i="2"/>
  <c r="G2946" i="2"/>
  <c r="F2946" i="2"/>
  <c r="E2946" i="2"/>
  <c r="D2946" i="2"/>
  <c r="C2946" i="2"/>
  <c r="B2946" i="2"/>
  <c r="A2946" i="2"/>
  <c r="U2945" i="2"/>
  <c r="N2945" i="2"/>
  <c r="M2945" i="2"/>
  <c r="J2945" i="2"/>
  <c r="I2945" i="2"/>
  <c r="H2945" i="2"/>
  <c r="G2945" i="2"/>
  <c r="F2945" i="2"/>
  <c r="E2945" i="2"/>
  <c r="D2945" i="2"/>
  <c r="C2945" i="2"/>
  <c r="B2945" i="2"/>
  <c r="A2945" i="2"/>
  <c r="U2944" i="2"/>
  <c r="N2944" i="2"/>
  <c r="M2944" i="2"/>
  <c r="J2944" i="2"/>
  <c r="I2944" i="2"/>
  <c r="H2944" i="2"/>
  <c r="G2944" i="2"/>
  <c r="F2944" i="2"/>
  <c r="E2944" i="2"/>
  <c r="D2944" i="2"/>
  <c r="C2944" i="2"/>
  <c r="B2944" i="2"/>
  <c r="A2944" i="2"/>
  <c r="Q2943" i="2"/>
  <c r="U2943" i="2" s="1"/>
  <c r="N2943" i="2"/>
  <c r="M2943" i="2"/>
  <c r="J2943" i="2"/>
  <c r="I2943" i="2"/>
  <c r="H2943" i="2"/>
  <c r="G2943" i="2"/>
  <c r="F2943" i="2"/>
  <c r="E2943" i="2"/>
  <c r="D2943" i="2"/>
  <c r="C2943" i="2"/>
  <c r="B2943" i="2"/>
  <c r="A2943" i="2"/>
  <c r="Q2942" i="2"/>
  <c r="U2942" i="2" s="1"/>
  <c r="N2942" i="2"/>
  <c r="M2942" i="2"/>
  <c r="J2942" i="2"/>
  <c r="I2942" i="2"/>
  <c r="H2942" i="2"/>
  <c r="G2942" i="2"/>
  <c r="F2942" i="2"/>
  <c r="E2942" i="2"/>
  <c r="D2942" i="2"/>
  <c r="C2942" i="2"/>
  <c r="B2942" i="2"/>
  <c r="A2942" i="2"/>
  <c r="Q2941" i="2"/>
  <c r="U2941" i="2" s="1"/>
  <c r="N2941" i="2"/>
  <c r="M2941" i="2"/>
  <c r="J2941" i="2"/>
  <c r="I2941" i="2"/>
  <c r="H2941" i="2"/>
  <c r="G2941" i="2"/>
  <c r="F2941" i="2"/>
  <c r="E2941" i="2"/>
  <c r="D2941" i="2"/>
  <c r="C2941" i="2"/>
  <c r="B2941" i="2"/>
  <c r="A2941" i="2"/>
  <c r="U2940" i="2"/>
  <c r="N2940" i="2"/>
  <c r="M2940" i="2"/>
  <c r="J2940" i="2"/>
  <c r="I2940" i="2"/>
  <c r="H2940" i="2"/>
  <c r="G2940" i="2"/>
  <c r="F2940" i="2"/>
  <c r="E2940" i="2"/>
  <c r="D2940" i="2"/>
  <c r="C2940" i="2"/>
  <c r="B2940" i="2"/>
  <c r="A2940" i="2"/>
  <c r="Q2939" i="2"/>
  <c r="U2939" i="2" s="1"/>
  <c r="N2939" i="2"/>
  <c r="M2939" i="2"/>
  <c r="J2939" i="2"/>
  <c r="I2939" i="2"/>
  <c r="H2939" i="2"/>
  <c r="G2939" i="2"/>
  <c r="F2939" i="2"/>
  <c r="E2939" i="2"/>
  <c r="D2939" i="2"/>
  <c r="C2939" i="2"/>
  <c r="B2939" i="2"/>
  <c r="A2939" i="2"/>
  <c r="Q2938" i="2"/>
  <c r="U2938" i="2" s="1"/>
  <c r="N2938" i="2"/>
  <c r="M2938" i="2"/>
  <c r="J2938" i="2"/>
  <c r="I2938" i="2"/>
  <c r="H2938" i="2"/>
  <c r="G2938" i="2"/>
  <c r="F2938" i="2"/>
  <c r="E2938" i="2"/>
  <c r="D2938" i="2"/>
  <c r="C2938" i="2"/>
  <c r="B2938" i="2"/>
  <c r="A2938" i="2"/>
  <c r="U2937" i="2"/>
  <c r="N2937" i="2"/>
  <c r="M2937" i="2"/>
  <c r="J2937" i="2"/>
  <c r="I2937" i="2"/>
  <c r="H2937" i="2"/>
  <c r="G2937" i="2"/>
  <c r="F2937" i="2"/>
  <c r="E2937" i="2"/>
  <c r="D2937" i="2"/>
  <c r="C2937" i="2"/>
  <c r="B2937" i="2"/>
  <c r="A2937" i="2"/>
  <c r="U2936" i="2"/>
  <c r="N2936" i="2"/>
  <c r="M2936" i="2"/>
  <c r="J2936" i="2"/>
  <c r="I2936" i="2"/>
  <c r="H2936" i="2"/>
  <c r="G2936" i="2"/>
  <c r="F2936" i="2"/>
  <c r="E2936" i="2"/>
  <c r="D2936" i="2"/>
  <c r="C2936" i="2"/>
  <c r="B2936" i="2"/>
  <c r="A2936" i="2"/>
  <c r="U2935" i="2"/>
  <c r="N2935" i="2"/>
  <c r="M2935" i="2"/>
  <c r="J2935" i="2"/>
  <c r="I2935" i="2"/>
  <c r="H2935" i="2"/>
  <c r="G2935" i="2"/>
  <c r="F2935" i="2"/>
  <c r="E2935" i="2"/>
  <c r="D2935" i="2"/>
  <c r="C2935" i="2"/>
  <c r="B2935" i="2"/>
  <c r="A2935" i="2"/>
  <c r="U2934" i="2"/>
  <c r="N2934" i="2"/>
  <c r="M2934" i="2"/>
  <c r="J2934" i="2"/>
  <c r="I2934" i="2"/>
  <c r="H2934" i="2"/>
  <c r="G2934" i="2"/>
  <c r="F2934" i="2"/>
  <c r="E2934" i="2"/>
  <c r="D2934" i="2"/>
  <c r="C2934" i="2"/>
  <c r="B2934" i="2"/>
  <c r="A2934" i="2"/>
  <c r="U2933" i="2"/>
  <c r="N2933" i="2"/>
  <c r="M2933" i="2"/>
  <c r="J2933" i="2"/>
  <c r="I2933" i="2"/>
  <c r="H2933" i="2"/>
  <c r="G2933" i="2"/>
  <c r="F2933" i="2"/>
  <c r="E2933" i="2"/>
  <c r="D2933" i="2"/>
  <c r="C2933" i="2"/>
  <c r="B2933" i="2"/>
  <c r="A2933" i="2"/>
  <c r="U2932" i="2"/>
  <c r="N2932" i="2"/>
  <c r="M2932" i="2"/>
  <c r="J2932" i="2"/>
  <c r="I2932" i="2"/>
  <c r="H2932" i="2"/>
  <c r="G2932" i="2"/>
  <c r="F2932" i="2"/>
  <c r="E2932" i="2"/>
  <c r="D2932" i="2"/>
  <c r="C2932" i="2"/>
  <c r="B2932" i="2"/>
  <c r="A2932" i="2"/>
  <c r="U2931" i="2"/>
  <c r="N2931" i="2"/>
  <c r="M2931" i="2"/>
  <c r="J2931" i="2"/>
  <c r="I2931" i="2"/>
  <c r="H2931" i="2"/>
  <c r="G2931" i="2"/>
  <c r="F2931" i="2"/>
  <c r="E2931" i="2"/>
  <c r="D2931" i="2"/>
  <c r="C2931" i="2"/>
  <c r="B2931" i="2"/>
  <c r="A2931" i="2"/>
  <c r="U2930" i="2"/>
  <c r="N2930" i="2"/>
  <c r="M2930" i="2"/>
  <c r="J2930" i="2"/>
  <c r="I2930" i="2"/>
  <c r="H2930" i="2"/>
  <c r="G2930" i="2"/>
  <c r="F2930" i="2"/>
  <c r="E2930" i="2"/>
  <c r="D2930" i="2"/>
  <c r="C2930" i="2"/>
  <c r="B2930" i="2"/>
  <c r="A2930" i="2"/>
  <c r="U2929" i="2"/>
  <c r="N2929" i="2"/>
  <c r="M2929" i="2"/>
  <c r="J2929" i="2"/>
  <c r="I2929" i="2"/>
  <c r="H2929" i="2"/>
  <c r="G2929" i="2"/>
  <c r="F2929" i="2"/>
  <c r="E2929" i="2"/>
  <c r="D2929" i="2"/>
  <c r="C2929" i="2"/>
  <c r="B2929" i="2"/>
  <c r="A2929" i="2"/>
  <c r="U2928" i="2"/>
  <c r="N2928" i="2"/>
  <c r="M2928" i="2"/>
  <c r="J2928" i="2"/>
  <c r="I2928" i="2"/>
  <c r="H2928" i="2"/>
  <c r="G2928" i="2"/>
  <c r="F2928" i="2"/>
  <c r="E2928" i="2"/>
  <c r="D2928" i="2"/>
  <c r="C2928" i="2"/>
  <c r="B2928" i="2"/>
  <c r="A2928" i="2"/>
  <c r="U2927" i="2"/>
  <c r="N2927" i="2"/>
  <c r="M2927" i="2"/>
  <c r="J2927" i="2"/>
  <c r="I2927" i="2"/>
  <c r="H2927" i="2"/>
  <c r="G2927" i="2"/>
  <c r="F2927" i="2"/>
  <c r="E2927" i="2"/>
  <c r="D2927" i="2"/>
  <c r="C2927" i="2"/>
  <c r="B2927" i="2"/>
  <c r="A2927" i="2"/>
  <c r="Q2926" i="2"/>
  <c r="U2926" i="2" s="1"/>
  <c r="N2926" i="2"/>
  <c r="M2926" i="2"/>
  <c r="J2926" i="2"/>
  <c r="I2926" i="2"/>
  <c r="H2926" i="2"/>
  <c r="G2926" i="2"/>
  <c r="F2926" i="2"/>
  <c r="E2926" i="2"/>
  <c r="D2926" i="2"/>
  <c r="C2926" i="2"/>
  <c r="B2926" i="2"/>
  <c r="A2926" i="2"/>
  <c r="U2925" i="2"/>
  <c r="N2925" i="2"/>
  <c r="M2925" i="2"/>
  <c r="J2925" i="2"/>
  <c r="I2925" i="2"/>
  <c r="H2925" i="2"/>
  <c r="G2925" i="2"/>
  <c r="F2925" i="2"/>
  <c r="E2925" i="2"/>
  <c r="D2925" i="2"/>
  <c r="C2925" i="2"/>
  <c r="B2925" i="2"/>
  <c r="A2925" i="2"/>
  <c r="U2924" i="2"/>
  <c r="N2924" i="2"/>
  <c r="M2924" i="2"/>
  <c r="J2924" i="2"/>
  <c r="I2924" i="2"/>
  <c r="H2924" i="2"/>
  <c r="G2924" i="2"/>
  <c r="F2924" i="2"/>
  <c r="E2924" i="2"/>
  <c r="D2924" i="2"/>
  <c r="C2924" i="2"/>
  <c r="B2924" i="2"/>
  <c r="A2924" i="2"/>
  <c r="U2923" i="2"/>
  <c r="N2923" i="2"/>
  <c r="M2923" i="2"/>
  <c r="J2923" i="2"/>
  <c r="I2923" i="2"/>
  <c r="H2923" i="2"/>
  <c r="G2923" i="2"/>
  <c r="F2923" i="2"/>
  <c r="E2923" i="2"/>
  <c r="D2923" i="2"/>
  <c r="C2923" i="2"/>
  <c r="B2923" i="2"/>
  <c r="A2923" i="2"/>
  <c r="U2922" i="2"/>
  <c r="N2922" i="2"/>
  <c r="M2922" i="2"/>
  <c r="J2922" i="2"/>
  <c r="I2922" i="2"/>
  <c r="H2922" i="2"/>
  <c r="G2922" i="2"/>
  <c r="F2922" i="2"/>
  <c r="E2922" i="2"/>
  <c r="D2922" i="2"/>
  <c r="C2922" i="2"/>
  <c r="B2922" i="2"/>
  <c r="A2922" i="2"/>
  <c r="U2921" i="2"/>
  <c r="N2921" i="2"/>
  <c r="M2921" i="2"/>
  <c r="J2921" i="2"/>
  <c r="I2921" i="2"/>
  <c r="H2921" i="2"/>
  <c r="G2921" i="2"/>
  <c r="F2921" i="2"/>
  <c r="E2921" i="2"/>
  <c r="D2921" i="2"/>
  <c r="C2921" i="2"/>
  <c r="B2921" i="2"/>
  <c r="A2921" i="2"/>
  <c r="Q2920" i="2"/>
  <c r="U2920" i="2" s="1"/>
  <c r="N2920" i="2"/>
  <c r="M2920" i="2"/>
  <c r="J2920" i="2"/>
  <c r="I2920" i="2"/>
  <c r="H2920" i="2"/>
  <c r="G2920" i="2"/>
  <c r="F2920" i="2"/>
  <c r="E2920" i="2"/>
  <c r="D2920" i="2"/>
  <c r="C2920" i="2"/>
  <c r="B2920" i="2"/>
  <c r="A2920" i="2"/>
  <c r="U2919" i="2"/>
  <c r="N2919" i="2"/>
  <c r="M2919" i="2"/>
  <c r="J2919" i="2"/>
  <c r="I2919" i="2"/>
  <c r="H2919" i="2"/>
  <c r="G2919" i="2"/>
  <c r="F2919" i="2"/>
  <c r="E2919" i="2"/>
  <c r="D2919" i="2"/>
  <c r="C2919" i="2"/>
  <c r="B2919" i="2"/>
  <c r="A2919" i="2"/>
  <c r="U2918" i="2"/>
  <c r="N2918" i="2"/>
  <c r="M2918" i="2"/>
  <c r="J2918" i="2"/>
  <c r="I2918" i="2"/>
  <c r="H2918" i="2"/>
  <c r="G2918" i="2"/>
  <c r="F2918" i="2"/>
  <c r="E2918" i="2"/>
  <c r="D2918" i="2"/>
  <c r="C2918" i="2"/>
  <c r="B2918" i="2"/>
  <c r="A2918" i="2"/>
  <c r="U2917" i="2"/>
  <c r="N2917" i="2"/>
  <c r="M2917" i="2"/>
  <c r="J2917" i="2"/>
  <c r="I2917" i="2"/>
  <c r="H2917" i="2"/>
  <c r="G2917" i="2"/>
  <c r="F2917" i="2"/>
  <c r="E2917" i="2"/>
  <c r="D2917" i="2"/>
  <c r="C2917" i="2"/>
  <c r="B2917" i="2"/>
  <c r="A2917" i="2"/>
  <c r="U2916" i="2"/>
  <c r="N2916" i="2"/>
  <c r="M2916" i="2"/>
  <c r="J2916" i="2"/>
  <c r="I2916" i="2"/>
  <c r="H2916" i="2"/>
  <c r="G2916" i="2"/>
  <c r="F2916" i="2"/>
  <c r="E2916" i="2"/>
  <c r="D2916" i="2"/>
  <c r="C2916" i="2"/>
  <c r="B2916" i="2"/>
  <c r="A2916" i="2"/>
  <c r="U2915" i="2"/>
  <c r="N2915" i="2"/>
  <c r="M2915" i="2"/>
  <c r="J2915" i="2"/>
  <c r="I2915" i="2"/>
  <c r="H2915" i="2"/>
  <c r="G2915" i="2"/>
  <c r="F2915" i="2"/>
  <c r="E2915" i="2"/>
  <c r="D2915" i="2"/>
  <c r="C2915" i="2"/>
  <c r="B2915" i="2"/>
  <c r="A2915" i="2"/>
  <c r="U2914" i="2"/>
  <c r="N2914" i="2"/>
  <c r="M2914" i="2"/>
  <c r="J2914" i="2"/>
  <c r="I2914" i="2"/>
  <c r="H2914" i="2"/>
  <c r="G2914" i="2"/>
  <c r="F2914" i="2"/>
  <c r="E2914" i="2"/>
  <c r="D2914" i="2"/>
  <c r="C2914" i="2"/>
  <c r="B2914" i="2"/>
  <c r="A2914" i="2"/>
  <c r="U2913" i="2"/>
  <c r="N2913" i="2"/>
  <c r="M2913" i="2"/>
  <c r="J2913" i="2"/>
  <c r="I2913" i="2"/>
  <c r="H2913" i="2"/>
  <c r="G2913" i="2"/>
  <c r="F2913" i="2"/>
  <c r="E2913" i="2"/>
  <c r="D2913" i="2"/>
  <c r="C2913" i="2"/>
  <c r="B2913" i="2"/>
  <c r="A2913" i="2"/>
  <c r="U2912" i="2"/>
  <c r="N2912" i="2"/>
  <c r="M2912" i="2"/>
  <c r="J2912" i="2"/>
  <c r="I2912" i="2"/>
  <c r="H2912" i="2"/>
  <c r="G2912" i="2"/>
  <c r="F2912" i="2"/>
  <c r="E2912" i="2"/>
  <c r="D2912" i="2"/>
  <c r="C2912" i="2"/>
  <c r="B2912" i="2"/>
  <c r="A2912" i="2"/>
  <c r="U2911" i="2"/>
  <c r="N2911" i="2"/>
  <c r="M2911" i="2"/>
  <c r="J2911" i="2"/>
  <c r="I2911" i="2"/>
  <c r="H2911" i="2"/>
  <c r="G2911" i="2"/>
  <c r="F2911" i="2"/>
  <c r="E2911" i="2"/>
  <c r="D2911" i="2"/>
  <c r="C2911" i="2"/>
  <c r="B2911" i="2"/>
  <c r="A2911" i="2"/>
  <c r="U2910" i="2"/>
  <c r="N2910" i="2"/>
  <c r="M2910" i="2"/>
  <c r="J2910" i="2"/>
  <c r="I2910" i="2"/>
  <c r="H2910" i="2"/>
  <c r="G2910" i="2"/>
  <c r="F2910" i="2"/>
  <c r="E2910" i="2"/>
  <c r="D2910" i="2"/>
  <c r="C2910" i="2"/>
  <c r="B2910" i="2"/>
  <c r="A2910" i="2"/>
  <c r="U2909" i="2"/>
  <c r="N2909" i="2"/>
  <c r="M2909" i="2"/>
  <c r="J2909" i="2"/>
  <c r="I2909" i="2"/>
  <c r="H2909" i="2"/>
  <c r="G2909" i="2"/>
  <c r="F2909" i="2"/>
  <c r="E2909" i="2"/>
  <c r="D2909" i="2"/>
  <c r="C2909" i="2"/>
  <c r="B2909" i="2"/>
  <c r="A2909" i="2"/>
  <c r="U2908" i="2"/>
  <c r="N2908" i="2"/>
  <c r="M2908" i="2"/>
  <c r="J2908" i="2"/>
  <c r="I2908" i="2"/>
  <c r="H2908" i="2"/>
  <c r="G2908" i="2"/>
  <c r="F2908" i="2"/>
  <c r="E2908" i="2"/>
  <c r="D2908" i="2"/>
  <c r="C2908" i="2"/>
  <c r="B2908" i="2"/>
  <c r="A2908" i="2"/>
  <c r="U2907" i="2"/>
  <c r="N2907" i="2"/>
  <c r="M2907" i="2"/>
  <c r="J2907" i="2"/>
  <c r="I2907" i="2"/>
  <c r="H2907" i="2"/>
  <c r="G2907" i="2"/>
  <c r="F2907" i="2"/>
  <c r="E2907" i="2"/>
  <c r="D2907" i="2"/>
  <c r="C2907" i="2"/>
  <c r="B2907" i="2"/>
  <c r="A2907" i="2"/>
  <c r="U2906" i="2"/>
  <c r="N2906" i="2"/>
  <c r="M2906" i="2"/>
  <c r="J2906" i="2"/>
  <c r="I2906" i="2"/>
  <c r="H2906" i="2"/>
  <c r="G2906" i="2"/>
  <c r="F2906" i="2"/>
  <c r="E2906" i="2"/>
  <c r="D2906" i="2"/>
  <c r="C2906" i="2"/>
  <c r="B2906" i="2"/>
  <c r="A2906" i="2"/>
  <c r="U2905" i="2"/>
  <c r="N2905" i="2"/>
  <c r="M2905" i="2"/>
  <c r="J2905" i="2"/>
  <c r="I2905" i="2"/>
  <c r="H2905" i="2"/>
  <c r="G2905" i="2"/>
  <c r="F2905" i="2"/>
  <c r="E2905" i="2"/>
  <c r="D2905" i="2"/>
  <c r="C2905" i="2"/>
  <c r="B2905" i="2"/>
  <c r="A2905" i="2"/>
  <c r="U2904" i="2"/>
  <c r="N2904" i="2"/>
  <c r="M2904" i="2"/>
  <c r="J2904" i="2"/>
  <c r="I2904" i="2"/>
  <c r="H2904" i="2"/>
  <c r="G2904" i="2"/>
  <c r="F2904" i="2"/>
  <c r="E2904" i="2"/>
  <c r="D2904" i="2"/>
  <c r="C2904" i="2"/>
  <c r="B2904" i="2"/>
  <c r="A2904" i="2"/>
  <c r="U2903" i="2"/>
  <c r="N2903" i="2"/>
  <c r="M2903" i="2"/>
  <c r="J2903" i="2"/>
  <c r="I2903" i="2"/>
  <c r="H2903" i="2"/>
  <c r="G2903" i="2"/>
  <c r="F2903" i="2"/>
  <c r="E2903" i="2"/>
  <c r="D2903" i="2"/>
  <c r="C2903" i="2"/>
  <c r="B2903" i="2"/>
  <c r="A2903" i="2"/>
  <c r="U2902" i="2"/>
  <c r="N2902" i="2"/>
  <c r="M2902" i="2"/>
  <c r="J2902" i="2"/>
  <c r="I2902" i="2"/>
  <c r="H2902" i="2"/>
  <c r="G2902" i="2"/>
  <c r="F2902" i="2"/>
  <c r="E2902" i="2"/>
  <c r="D2902" i="2"/>
  <c r="C2902" i="2"/>
  <c r="B2902" i="2"/>
  <c r="A2902" i="2"/>
  <c r="U2901" i="2"/>
  <c r="N2901" i="2"/>
  <c r="M2901" i="2"/>
  <c r="J2901" i="2"/>
  <c r="I2901" i="2"/>
  <c r="H2901" i="2"/>
  <c r="G2901" i="2"/>
  <c r="F2901" i="2"/>
  <c r="E2901" i="2"/>
  <c r="D2901" i="2"/>
  <c r="C2901" i="2"/>
  <c r="B2901" i="2"/>
  <c r="A2901" i="2"/>
  <c r="U2900" i="2"/>
  <c r="N2900" i="2"/>
  <c r="M2900" i="2"/>
  <c r="J2900" i="2"/>
  <c r="I2900" i="2"/>
  <c r="H2900" i="2"/>
  <c r="G2900" i="2"/>
  <c r="F2900" i="2"/>
  <c r="E2900" i="2"/>
  <c r="D2900" i="2"/>
  <c r="C2900" i="2"/>
  <c r="B2900" i="2"/>
  <c r="A2900" i="2"/>
  <c r="U2899" i="2"/>
  <c r="N2899" i="2"/>
  <c r="M2899" i="2"/>
  <c r="J2899" i="2"/>
  <c r="I2899" i="2"/>
  <c r="H2899" i="2"/>
  <c r="G2899" i="2"/>
  <c r="F2899" i="2"/>
  <c r="E2899" i="2"/>
  <c r="D2899" i="2"/>
  <c r="C2899" i="2"/>
  <c r="B2899" i="2"/>
  <c r="A2899" i="2"/>
  <c r="U2898" i="2"/>
  <c r="N2898" i="2"/>
  <c r="M2898" i="2"/>
  <c r="J2898" i="2"/>
  <c r="I2898" i="2"/>
  <c r="H2898" i="2"/>
  <c r="G2898" i="2"/>
  <c r="F2898" i="2"/>
  <c r="E2898" i="2"/>
  <c r="D2898" i="2"/>
  <c r="C2898" i="2"/>
  <c r="B2898" i="2"/>
  <c r="A2898" i="2"/>
  <c r="U2897" i="2"/>
  <c r="N2897" i="2"/>
  <c r="M2897" i="2"/>
  <c r="J2897" i="2"/>
  <c r="I2897" i="2"/>
  <c r="H2897" i="2"/>
  <c r="G2897" i="2"/>
  <c r="F2897" i="2"/>
  <c r="E2897" i="2"/>
  <c r="D2897" i="2"/>
  <c r="C2897" i="2"/>
  <c r="B2897" i="2"/>
  <c r="A2897" i="2"/>
  <c r="U2896" i="2"/>
  <c r="N2896" i="2"/>
  <c r="M2896" i="2"/>
  <c r="J2896" i="2"/>
  <c r="I2896" i="2"/>
  <c r="H2896" i="2"/>
  <c r="G2896" i="2"/>
  <c r="F2896" i="2"/>
  <c r="E2896" i="2"/>
  <c r="D2896" i="2"/>
  <c r="C2896" i="2"/>
  <c r="B2896" i="2"/>
  <c r="A2896" i="2"/>
  <c r="U2895" i="2"/>
  <c r="N2895" i="2"/>
  <c r="M2895" i="2"/>
  <c r="J2895" i="2"/>
  <c r="I2895" i="2"/>
  <c r="H2895" i="2"/>
  <c r="G2895" i="2"/>
  <c r="F2895" i="2"/>
  <c r="E2895" i="2"/>
  <c r="D2895" i="2"/>
  <c r="C2895" i="2"/>
  <c r="B2895" i="2"/>
  <c r="A2895" i="2"/>
  <c r="U2894" i="2"/>
  <c r="N2894" i="2"/>
  <c r="M2894" i="2"/>
  <c r="J2894" i="2"/>
  <c r="I2894" i="2"/>
  <c r="H2894" i="2"/>
  <c r="G2894" i="2"/>
  <c r="F2894" i="2"/>
  <c r="E2894" i="2"/>
  <c r="D2894" i="2"/>
  <c r="C2894" i="2"/>
  <c r="B2894" i="2"/>
  <c r="A2894" i="2"/>
  <c r="U2893" i="2"/>
  <c r="N2893" i="2"/>
  <c r="M2893" i="2"/>
  <c r="J2893" i="2"/>
  <c r="I2893" i="2"/>
  <c r="H2893" i="2"/>
  <c r="G2893" i="2"/>
  <c r="F2893" i="2"/>
  <c r="E2893" i="2"/>
  <c r="D2893" i="2"/>
  <c r="C2893" i="2"/>
  <c r="B2893" i="2"/>
  <c r="A2893" i="2"/>
  <c r="U2892" i="2"/>
  <c r="N2892" i="2"/>
  <c r="M2892" i="2"/>
  <c r="J2892" i="2"/>
  <c r="I2892" i="2"/>
  <c r="H2892" i="2"/>
  <c r="G2892" i="2"/>
  <c r="F2892" i="2"/>
  <c r="E2892" i="2"/>
  <c r="D2892" i="2"/>
  <c r="C2892" i="2"/>
  <c r="B2892" i="2"/>
  <c r="A2892" i="2"/>
  <c r="U2891" i="2"/>
  <c r="N2891" i="2"/>
  <c r="M2891" i="2"/>
  <c r="J2891" i="2"/>
  <c r="I2891" i="2"/>
  <c r="H2891" i="2"/>
  <c r="G2891" i="2"/>
  <c r="F2891" i="2"/>
  <c r="E2891" i="2"/>
  <c r="D2891" i="2"/>
  <c r="C2891" i="2"/>
  <c r="B2891" i="2"/>
  <c r="A2891" i="2"/>
  <c r="U2890" i="2"/>
  <c r="N2890" i="2"/>
  <c r="M2890" i="2"/>
  <c r="J2890" i="2"/>
  <c r="I2890" i="2"/>
  <c r="H2890" i="2"/>
  <c r="G2890" i="2"/>
  <c r="F2890" i="2"/>
  <c r="E2890" i="2"/>
  <c r="D2890" i="2"/>
  <c r="C2890" i="2"/>
  <c r="B2890" i="2"/>
  <c r="A2890" i="2"/>
  <c r="U2889" i="2"/>
  <c r="N2889" i="2"/>
  <c r="M2889" i="2"/>
  <c r="J2889" i="2"/>
  <c r="I2889" i="2"/>
  <c r="H2889" i="2"/>
  <c r="G2889" i="2"/>
  <c r="F2889" i="2"/>
  <c r="E2889" i="2"/>
  <c r="D2889" i="2"/>
  <c r="C2889" i="2"/>
  <c r="B2889" i="2"/>
  <c r="A2889" i="2"/>
  <c r="U2888" i="2"/>
  <c r="N2888" i="2"/>
  <c r="M2888" i="2"/>
  <c r="J2888" i="2"/>
  <c r="I2888" i="2"/>
  <c r="H2888" i="2"/>
  <c r="G2888" i="2"/>
  <c r="F2888" i="2"/>
  <c r="E2888" i="2"/>
  <c r="D2888" i="2"/>
  <c r="C2888" i="2"/>
  <c r="B2888" i="2"/>
  <c r="A2888" i="2"/>
  <c r="U2887" i="2"/>
  <c r="N2887" i="2"/>
  <c r="M2887" i="2"/>
  <c r="J2887" i="2"/>
  <c r="I2887" i="2"/>
  <c r="H2887" i="2"/>
  <c r="G2887" i="2"/>
  <c r="F2887" i="2"/>
  <c r="E2887" i="2"/>
  <c r="D2887" i="2"/>
  <c r="C2887" i="2"/>
  <c r="B2887" i="2"/>
  <c r="A2887" i="2"/>
  <c r="U2886" i="2"/>
  <c r="N2886" i="2"/>
  <c r="M2886" i="2"/>
  <c r="J2886" i="2"/>
  <c r="I2886" i="2"/>
  <c r="H2886" i="2"/>
  <c r="G2886" i="2"/>
  <c r="F2886" i="2"/>
  <c r="E2886" i="2"/>
  <c r="D2886" i="2"/>
  <c r="C2886" i="2"/>
  <c r="B2886" i="2"/>
  <c r="A2886" i="2"/>
  <c r="U2885" i="2"/>
  <c r="N2885" i="2"/>
  <c r="M2885" i="2"/>
  <c r="J2885" i="2"/>
  <c r="I2885" i="2"/>
  <c r="H2885" i="2"/>
  <c r="G2885" i="2"/>
  <c r="F2885" i="2"/>
  <c r="E2885" i="2"/>
  <c r="D2885" i="2"/>
  <c r="C2885" i="2"/>
  <c r="B2885" i="2"/>
  <c r="A2885" i="2"/>
  <c r="U2884" i="2"/>
  <c r="N2884" i="2"/>
  <c r="M2884" i="2"/>
  <c r="J2884" i="2"/>
  <c r="I2884" i="2"/>
  <c r="H2884" i="2"/>
  <c r="G2884" i="2"/>
  <c r="F2884" i="2"/>
  <c r="E2884" i="2"/>
  <c r="D2884" i="2"/>
  <c r="C2884" i="2"/>
  <c r="B2884" i="2"/>
  <c r="A2884" i="2"/>
  <c r="U2883" i="2"/>
  <c r="N2883" i="2"/>
  <c r="M2883" i="2"/>
  <c r="J2883" i="2"/>
  <c r="I2883" i="2"/>
  <c r="H2883" i="2"/>
  <c r="G2883" i="2"/>
  <c r="F2883" i="2"/>
  <c r="E2883" i="2"/>
  <c r="D2883" i="2"/>
  <c r="C2883" i="2"/>
  <c r="B2883" i="2"/>
  <c r="A2883" i="2"/>
  <c r="U2882" i="2"/>
  <c r="N2882" i="2"/>
  <c r="M2882" i="2"/>
  <c r="J2882" i="2"/>
  <c r="I2882" i="2"/>
  <c r="H2882" i="2"/>
  <c r="G2882" i="2"/>
  <c r="F2882" i="2"/>
  <c r="E2882" i="2"/>
  <c r="D2882" i="2"/>
  <c r="C2882" i="2"/>
  <c r="B2882" i="2"/>
  <c r="A2882" i="2"/>
  <c r="U2881" i="2"/>
  <c r="N2881" i="2"/>
  <c r="M2881" i="2"/>
  <c r="J2881" i="2"/>
  <c r="I2881" i="2"/>
  <c r="H2881" i="2"/>
  <c r="G2881" i="2"/>
  <c r="F2881" i="2"/>
  <c r="E2881" i="2"/>
  <c r="D2881" i="2"/>
  <c r="C2881" i="2"/>
  <c r="B2881" i="2"/>
  <c r="A2881" i="2"/>
  <c r="U2880" i="2"/>
  <c r="N2880" i="2"/>
  <c r="M2880" i="2"/>
  <c r="J2880" i="2"/>
  <c r="I2880" i="2"/>
  <c r="H2880" i="2"/>
  <c r="G2880" i="2"/>
  <c r="F2880" i="2"/>
  <c r="E2880" i="2"/>
  <c r="D2880" i="2"/>
  <c r="C2880" i="2"/>
  <c r="B2880" i="2"/>
  <c r="A2880" i="2"/>
  <c r="U2879" i="2"/>
  <c r="N2879" i="2"/>
  <c r="M2879" i="2"/>
  <c r="J2879" i="2"/>
  <c r="I2879" i="2"/>
  <c r="H2879" i="2"/>
  <c r="G2879" i="2"/>
  <c r="F2879" i="2"/>
  <c r="E2879" i="2"/>
  <c r="D2879" i="2"/>
  <c r="C2879" i="2"/>
  <c r="B2879" i="2"/>
  <c r="A2879" i="2"/>
  <c r="U2878" i="2"/>
  <c r="N2878" i="2"/>
  <c r="M2878" i="2"/>
  <c r="J2878" i="2"/>
  <c r="I2878" i="2"/>
  <c r="H2878" i="2"/>
  <c r="G2878" i="2"/>
  <c r="F2878" i="2"/>
  <c r="E2878" i="2"/>
  <c r="D2878" i="2"/>
  <c r="C2878" i="2"/>
  <c r="B2878" i="2"/>
  <c r="A2878" i="2"/>
  <c r="U2877" i="2"/>
  <c r="N2877" i="2"/>
  <c r="M2877" i="2"/>
  <c r="J2877" i="2"/>
  <c r="I2877" i="2"/>
  <c r="H2877" i="2"/>
  <c r="G2877" i="2"/>
  <c r="F2877" i="2"/>
  <c r="E2877" i="2"/>
  <c r="D2877" i="2"/>
  <c r="C2877" i="2"/>
  <c r="B2877" i="2"/>
  <c r="A2877" i="2"/>
  <c r="U2876" i="2"/>
  <c r="N2876" i="2"/>
  <c r="M2876" i="2"/>
  <c r="J2876" i="2"/>
  <c r="I2876" i="2"/>
  <c r="H2876" i="2"/>
  <c r="G2876" i="2"/>
  <c r="F2876" i="2"/>
  <c r="E2876" i="2"/>
  <c r="D2876" i="2"/>
  <c r="C2876" i="2"/>
  <c r="B2876" i="2"/>
  <c r="A2876" i="2"/>
  <c r="U2875" i="2"/>
  <c r="N2875" i="2"/>
  <c r="M2875" i="2"/>
  <c r="J2875" i="2"/>
  <c r="I2875" i="2"/>
  <c r="H2875" i="2"/>
  <c r="G2875" i="2"/>
  <c r="F2875" i="2"/>
  <c r="E2875" i="2"/>
  <c r="D2875" i="2"/>
  <c r="C2875" i="2"/>
  <c r="B2875" i="2"/>
  <c r="A2875" i="2"/>
  <c r="U2874" i="2"/>
  <c r="N2874" i="2"/>
  <c r="M2874" i="2"/>
  <c r="J2874" i="2"/>
  <c r="I2874" i="2"/>
  <c r="H2874" i="2"/>
  <c r="G2874" i="2"/>
  <c r="F2874" i="2"/>
  <c r="E2874" i="2"/>
  <c r="D2874" i="2"/>
  <c r="C2874" i="2"/>
  <c r="B2874" i="2"/>
  <c r="A2874" i="2"/>
  <c r="U2873" i="2"/>
  <c r="N2873" i="2"/>
  <c r="M2873" i="2"/>
  <c r="J2873" i="2"/>
  <c r="I2873" i="2"/>
  <c r="H2873" i="2"/>
  <c r="G2873" i="2"/>
  <c r="F2873" i="2"/>
  <c r="E2873" i="2"/>
  <c r="D2873" i="2"/>
  <c r="C2873" i="2"/>
  <c r="B2873" i="2"/>
  <c r="A2873" i="2"/>
  <c r="U2872" i="2"/>
  <c r="N2872" i="2"/>
  <c r="M2872" i="2"/>
  <c r="J2872" i="2"/>
  <c r="I2872" i="2"/>
  <c r="H2872" i="2"/>
  <c r="G2872" i="2"/>
  <c r="F2872" i="2"/>
  <c r="E2872" i="2"/>
  <c r="D2872" i="2"/>
  <c r="C2872" i="2"/>
  <c r="B2872" i="2"/>
  <c r="A2872" i="2"/>
  <c r="Q2871" i="2"/>
  <c r="U2871" i="2" s="1"/>
  <c r="N2871" i="2"/>
  <c r="M2871" i="2"/>
  <c r="J2871" i="2"/>
  <c r="I2871" i="2"/>
  <c r="H2871" i="2"/>
  <c r="G2871" i="2"/>
  <c r="F2871" i="2"/>
  <c r="E2871" i="2"/>
  <c r="D2871" i="2"/>
  <c r="C2871" i="2"/>
  <c r="B2871" i="2"/>
  <c r="A2871" i="2"/>
  <c r="U2870" i="2"/>
  <c r="N2870" i="2"/>
  <c r="M2870" i="2"/>
  <c r="J2870" i="2"/>
  <c r="I2870" i="2"/>
  <c r="H2870" i="2"/>
  <c r="G2870" i="2"/>
  <c r="F2870" i="2"/>
  <c r="E2870" i="2"/>
  <c r="D2870" i="2"/>
  <c r="C2870" i="2"/>
  <c r="B2870" i="2"/>
  <c r="A2870" i="2"/>
  <c r="U2869" i="2"/>
  <c r="N2869" i="2"/>
  <c r="M2869" i="2"/>
  <c r="J2869" i="2"/>
  <c r="I2869" i="2"/>
  <c r="H2869" i="2"/>
  <c r="G2869" i="2"/>
  <c r="F2869" i="2"/>
  <c r="E2869" i="2"/>
  <c r="D2869" i="2"/>
  <c r="C2869" i="2"/>
  <c r="B2869" i="2"/>
  <c r="A2869" i="2"/>
  <c r="U2868" i="2"/>
  <c r="N2868" i="2"/>
  <c r="M2868" i="2"/>
  <c r="J2868" i="2"/>
  <c r="I2868" i="2"/>
  <c r="H2868" i="2"/>
  <c r="G2868" i="2"/>
  <c r="F2868" i="2"/>
  <c r="E2868" i="2"/>
  <c r="D2868" i="2"/>
  <c r="C2868" i="2"/>
  <c r="B2868" i="2"/>
  <c r="A2868" i="2"/>
  <c r="U2867" i="2"/>
  <c r="N2867" i="2"/>
  <c r="M2867" i="2"/>
  <c r="J2867" i="2"/>
  <c r="I2867" i="2"/>
  <c r="H2867" i="2"/>
  <c r="G2867" i="2"/>
  <c r="F2867" i="2"/>
  <c r="E2867" i="2"/>
  <c r="D2867" i="2"/>
  <c r="C2867" i="2"/>
  <c r="B2867" i="2"/>
  <c r="A2867" i="2"/>
  <c r="U2866" i="2"/>
  <c r="N2866" i="2"/>
  <c r="M2866" i="2"/>
  <c r="J2866" i="2"/>
  <c r="I2866" i="2"/>
  <c r="H2866" i="2"/>
  <c r="G2866" i="2"/>
  <c r="F2866" i="2"/>
  <c r="E2866" i="2"/>
  <c r="D2866" i="2"/>
  <c r="C2866" i="2"/>
  <c r="B2866" i="2"/>
  <c r="A2866" i="2"/>
  <c r="U2865" i="2"/>
  <c r="N2865" i="2"/>
  <c r="M2865" i="2"/>
  <c r="J2865" i="2"/>
  <c r="I2865" i="2"/>
  <c r="H2865" i="2"/>
  <c r="G2865" i="2"/>
  <c r="F2865" i="2"/>
  <c r="E2865" i="2"/>
  <c r="D2865" i="2"/>
  <c r="C2865" i="2"/>
  <c r="B2865" i="2"/>
  <c r="A2865" i="2"/>
  <c r="U2864" i="2"/>
  <c r="N2864" i="2"/>
  <c r="M2864" i="2"/>
  <c r="J2864" i="2"/>
  <c r="I2864" i="2"/>
  <c r="H2864" i="2"/>
  <c r="G2864" i="2"/>
  <c r="F2864" i="2"/>
  <c r="E2864" i="2"/>
  <c r="D2864" i="2"/>
  <c r="C2864" i="2"/>
  <c r="B2864" i="2"/>
  <c r="A2864" i="2"/>
  <c r="U2863" i="2"/>
  <c r="N2863" i="2"/>
  <c r="M2863" i="2"/>
  <c r="J2863" i="2"/>
  <c r="I2863" i="2"/>
  <c r="H2863" i="2"/>
  <c r="G2863" i="2"/>
  <c r="F2863" i="2"/>
  <c r="E2863" i="2"/>
  <c r="D2863" i="2"/>
  <c r="C2863" i="2"/>
  <c r="B2863" i="2"/>
  <c r="A2863" i="2"/>
  <c r="U2862" i="2"/>
  <c r="N2862" i="2"/>
  <c r="M2862" i="2"/>
  <c r="J2862" i="2"/>
  <c r="I2862" i="2"/>
  <c r="H2862" i="2"/>
  <c r="G2862" i="2"/>
  <c r="F2862" i="2"/>
  <c r="E2862" i="2"/>
  <c r="D2862" i="2"/>
  <c r="C2862" i="2"/>
  <c r="B2862" i="2"/>
  <c r="A2862" i="2"/>
  <c r="U2861" i="2"/>
  <c r="N2861" i="2"/>
  <c r="M2861" i="2"/>
  <c r="J2861" i="2"/>
  <c r="I2861" i="2"/>
  <c r="H2861" i="2"/>
  <c r="G2861" i="2"/>
  <c r="F2861" i="2"/>
  <c r="E2861" i="2"/>
  <c r="D2861" i="2"/>
  <c r="C2861" i="2"/>
  <c r="B2861" i="2"/>
  <c r="A2861" i="2"/>
  <c r="U2860" i="2"/>
  <c r="N2860" i="2"/>
  <c r="M2860" i="2"/>
  <c r="J2860" i="2"/>
  <c r="I2860" i="2"/>
  <c r="H2860" i="2"/>
  <c r="G2860" i="2"/>
  <c r="F2860" i="2"/>
  <c r="E2860" i="2"/>
  <c r="D2860" i="2"/>
  <c r="C2860" i="2"/>
  <c r="B2860" i="2"/>
  <c r="A2860" i="2"/>
  <c r="U2859" i="2"/>
  <c r="N2859" i="2"/>
  <c r="M2859" i="2"/>
  <c r="J2859" i="2"/>
  <c r="I2859" i="2"/>
  <c r="H2859" i="2"/>
  <c r="G2859" i="2"/>
  <c r="F2859" i="2"/>
  <c r="E2859" i="2"/>
  <c r="D2859" i="2"/>
  <c r="C2859" i="2"/>
  <c r="B2859" i="2"/>
  <c r="A2859" i="2"/>
  <c r="U2858" i="2"/>
  <c r="N2858" i="2"/>
  <c r="M2858" i="2"/>
  <c r="J2858" i="2"/>
  <c r="I2858" i="2"/>
  <c r="H2858" i="2"/>
  <c r="G2858" i="2"/>
  <c r="F2858" i="2"/>
  <c r="E2858" i="2"/>
  <c r="D2858" i="2"/>
  <c r="C2858" i="2"/>
  <c r="B2858" i="2"/>
  <c r="A2858" i="2"/>
  <c r="U2857" i="2"/>
  <c r="N2857" i="2"/>
  <c r="M2857" i="2"/>
  <c r="J2857" i="2"/>
  <c r="I2857" i="2"/>
  <c r="H2857" i="2"/>
  <c r="G2857" i="2"/>
  <c r="F2857" i="2"/>
  <c r="E2857" i="2"/>
  <c r="D2857" i="2"/>
  <c r="C2857" i="2"/>
  <c r="B2857" i="2"/>
  <c r="A2857" i="2"/>
  <c r="U2856" i="2"/>
  <c r="N2856" i="2"/>
  <c r="M2856" i="2"/>
  <c r="J2856" i="2"/>
  <c r="I2856" i="2"/>
  <c r="H2856" i="2"/>
  <c r="G2856" i="2"/>
  <c r="F2856" i="2"/>
  <c r="E2856" i="2"/>
  <c r="D2856" i="2"/>
  <c r="C2856" i="2"/>
  <c r="B2856" i="2"/>
  <c r="A2856" i="2"/>
  <c r="U2855" i="2"/>
  <c r="N2855" i="2"/>
  <c r="M2855" i="2"/>
  <c r="J2855" i="2"/>
  <c r="I2855" i="2"/>
  <c r="H2855" i="2"/>
  <c r="G2855" i="2"/>
  <c r="F2855" i="2"/>
  <c r="E2855" i="2"/>
  <c r="D2855" i="2"/>
  <c r="C2855" i="2"/>
  <c r="B2855" i="2"/>
  <c r="A2855" i="2"/>
  <c r="U2854" i="2"/>
  <c r="N2854" i="2"/>
  <c r="M2854" i="2"/>
  <c r="J2854" i="2"/>
  <c r="I2854" i="2"/>
  <c r="H2854" i="2"/>
  <c r="G2854" i="2"/>
  <c r="F2854" i="2"/>
  <c r="E2854" i="2"/>
  <c r="D2854" i="2"/>
  <c r="C2854" i="2"/>
  <c r="B2854" i="2"/>
  <c r="A2854" i="2"/>
  <c r="U2853" i="2"/>
  <c r="N2853" i="2"/>
  <c r="M2853" i="2"/>
  <c r="J2853" i="2"/>
  <c r="I2853" i="2"/>
  <c r="H2853" i="2"/>
  <c r="G2853" i="2"/>
  <c r="F2853" i="2"/>
  <c r="E2853" i="2"/>
  <c r="D2853" i="2"/>
  <c r="C2853" i="2"/>
  <c r="B2853" i="2"/>
  <c r="A2853" i="2"/>
  <c r="U2852" i="2"/>
  <c r="N2852" i="2"/>
  <c r="M2852" i="2"/>
  <c r="J2852" i="2"/>
  <c r="I2852" i="2"/>
  <c r="H2852" i="2"/>
  <c r="G2852" i="2"/>
  <c r="F2852" i="2"/>
  <c r="E2852" i="2"/>
  <c r="D2852" i="2"/>
  <c r="C2852" i="2"/>
  <c r="B2852" i="2"/>
  <c r="A2852" i="2"/>
  <c r="U2851" i="2"/>
  <c r="N2851" i="2"/>
  <c r="M2851" i="2"/>
  <c r="J2851" i="2"/>
  <c r="I2851" i="2"/>
  <c r="H2851" i="2"/>
  <c r="G2851" i="2"/>
  <c r="F2851" i="2"/>
  <c r="E2851" i="2"/>
  <c r="D2851" i="2"/>
  <c r="C2851" i="2"/>
  <c r="B2851" i="2"/>
  <c r="A2851" i="2"/>
  <c r="U2850" i="2"/>
  <c r="N2850" i="2"/>
  <c r="M2850" i="2"/>
  <c r="J2850" i="2"/>
  <c r="I2850" i="2"/>
  <c r="H2850" i="2"/>
  <c r="G2850" i="2"/>
  <c r="F2850" i="2"/>
  <c r="E2850" i="2"/>
  <c r="D2850" i="2"/>
  <c r="C2850" i="2"/>
  <c r="B2850" i="2"/>
  <c r="A2850" i="2"/>
  <c r="U2849" i="2"/>
  <c r="N2849" i="2"/>
  <c r="M2849" i="2"/>
  <c r="J2849" i="2"/>
  <c r="I2849" i="2"/>
  <c r="H2849" i="2"/>
  <c r="G2849" i="2"/>
  <c r="F2849" i="2"/>
  <c r="E2849" i="2"/>
  <c r="D2849" i="2"/>
  <c r="C2849" i="2"/>
  <c r="B2849" i="2"/>
  <c r="A2849" i="2"/>
  <c r="U2848" i="2"/>
  <c r="N2848" i="2"/>
  <c r="M2848" i="2"/>
  <c r="J2848" i="2"/>
  <c r="I2848" i="2"/>
  <c r="H2848" i="2"/>
  <c r="G2848" i="2"/>
  <c r="F2848" i="2"/>
  <c r="E2848" i="2"/>
  <c r="D2848" i="2"/>
  <c r="C2848" i="2"/>
  <c r="B2848" i="2"/>
  <c r="A2848" i="2"/>
  <c r="U2847" i="2"/>
  <c r="N2847" i="2"/>
  <c r="M2847" i="2"/>
  <c r="J2847" i="2"/>
  <c r="I2847" i="2"/>
  <c r="H2847" i="2"/>
  <c r="G2847" i="2"/>
  <c r="F2847" i="2"/>
  <c r="E2847" i="2"/>
  <c r="D2847" i="2"/>
  <c r="C2847" i="2"/>
  <c r="B2847" i="2"/>
  <c r="A2847" i="2"/>
  <c r="U2846" i="2"/>
  <c r="N2846" i="2"/>
  <c r="M2846" i="2"/>
  <c r="J2846" i="2"/>
  <c r="I2846" i="2"/>
  <c r="H2846" i="2"/>
  <c r="G2846" i="2"/>
  <c r="F2846" i="2"/>
  <c r="E2846" i="2"/>
  <c r="D2846" i="2"/>
  <c r="C2846" i="2"/>
  <c r="B2846" i="2"/>
  <c r="A2846" i="2"/>
  <c r="U2845" i="2"/>
  <c r="N2845" i="2"/>
  <c r="M2845" i="2"/>
  <c r="J2845" i="2"/>
  <c r="I2845" i="2"/>
  <c r="H2845" i="2"/>
  <c r="G2845" i="2"/>
  <c r="F2845" i="2"/>
  <c r="E2845" i="2"/>
  <c r="D2845" i="2"/>
  <c r="C2845" i="2"/>
  <c r="B2845" i="2"/>
  <c r="A2845" i="2"/>
  <c r="U2844" i="2"/>
  <c r="N2844" i="2"/>
  <c r="M2844" i="2"/>
  <c r="J2844" i="2"/>
  <c r="I2844" i="2"/>
  <c r="H2844" i="2"/>
  <c r="G2844" i="2"/>
  <c r="F2844" i="2"/>
  <c r="E2844" i="2"/>
  <c r="D2844" i="2"/>
  <c r="C2844" i="2"/>
  <c r="B2844" i="2"/>
  <c r="A2844" i="2"/>
  <c r="U2843" i="2"/>
  <c r="N2843" i="2"/>
  <c r="M2843" i="2"/>
  <c r="J2843" i="2"/>
  <c r="I2843" i="2"/>
  <c r="H2843" i="2"/>
  <c r="G2843" i="2"/>
  <c r="F2843" i="2"/>
  <c r="E2843" i="2"/>
  <c r="D2843" i="2"/>
  <c r="C2843" i="2"/>
  <c r="B2843" i="2"/>
  <c r="A2843" i="2"/>
  <c r="U2842" i="2"/>
  <c r="N2842" i="2"/>
  <c r="M2842" i="2"/>
  <c r="J2842" i="2"/>
  <c r="I2842" i="2"/>
  <c r="H2842" i="2"/>
  <c r="G2842" i="2"/>
  <c r="F2842" i="2"/>
  <c r="E2842" i="2"/>
  <c r="D2842" i="2"/>
  <c r="C2842" i="2"/>
  <c r="B2842" i="2"/>
  <c r="A2842" i="2"/>
  <c r="U2841" i="2"/>
  <c r="N2841" i="2"/>
  <c r="M2841" i="2"/>
  <c r="J2841" i="2"/>
  <c r="I2841" i="2"/>
  <c r="H2841" i="2"/>
  <c r="G2841" i="2"/>
  <c r="F2841" i="2"/>
  <c r="E2841" i="2"/>
  <c r="D2841" i="2"/>
  <c r="C2841" i="2"/>
  <c r="B2841" i="2"/>
  <c r="A2841" i="2"/>
  <c r="U2840" i="2"/>
  <c r="N2840" i="2"/>
  <c r="M2840" i="2"/>
  <c r="J2840" i="2"/>
  <c r="I2840" i="2"/>
  <c r="H2840" i="2"/>
  <c r="G2840" i="2"/>
  <c r="F2840" i="2"/>
  <c r="E2840" i="2"/>
  <c r="D2840" i="2"/>
  <c r="C2840" i="2"/>
  <c r="B2840" i="2"/>
  <c r="A2840" i="2"/>
  <c r="U2839" i="2"/>
  <c r="N2839" i="2"/>
  <c r="M2839" i="2"/>
  <c r="J2839" i="2"/>
  <c r="I2839" i="2"/>
  <c r="H2839" i="2"/>
  <c r="G2839" i="2"/>
  <c r="F2839" i="2"/>
  <c r="E2839" i="2"/>
  <c r="D2839" i="2"/>
  <c r="C2839" i="2"/>
  <c r="B2839" i="2"/>
  <c r="A2839" i="2"/>
  <c r="U2838" i="2"/>
  <c r="N2838" i="2"/>
  <c r="M2838" i="2"/>
  <c r="J2838" i="2"/>
  <c r="I2838" i="2"/>
  <c r="H2838" i="2"/>
  <c r="G2838" i="2"/>
  <c r="F2838" i="2"/>
  <c r="E2838" i="2"/>
  <c r="D2838" i="2"/>
  <c r="C2838" i="2"/>
  <c r="B2838" i="2"/>
  <c r="A2838" i="2"/>
  <c r="U2837" i="2"/>
  <c r="N2837" i="2"/>
  <c r="M2837" i="2"/>
  <c r="J2837" i="2"/>
  <c r="I2837" i="2"/>
  <c r="H2837" i="2"/>
  <c r="G2837" i="2"/>
  <c r="F2837" i="2"/>
  <c r="E2837" i="2"/>
  <c r="D2837" i="2"/>
  <c r="C2837" i="2"/>
  <c r="B2837" i="2"/>
  <c r="A2837" i="2"/>
  <c r="U2836" i="2"/>
  <c r="N2836" i="2"/>
  <c r="M2836" i="2"/>
  <c r="J2836" i="2"/>
  <c r="I2836" i="2"/>
  <c r="H2836" i="2"/>
  <c r="G2836" i="2"/>
  <c r="F2836" i="2"/>
  <c r="E2836" i="2"/>
  <c r="D2836" i="2"/>
  <c r="C2836" i="2"/>
  <c r="B2836" i="2"/>
  <c r="A2836" i="2"/>
  <c r="Q2835" i="2"/>
  <c r="U2835" i="2" s="1"/>
  <c r="N2835" i="2"/>
  <c r="M2835" i="2"/>
  <c r="J2835" i="2"/>
  <c r="I2835" i="2"/>
  <c r="H2835" i="2"/>
  <c r="G2835" i="2"/>
  <c r="F2835" i="2"/>
  <c r="E2835" i="2"/>
  <c r="D2835" i="2"/>
  <c r="C2835" i="2"/>
  <c r="B2835" i="2"/>
  <c r="A2835" i="2"/>
  <c r="Q2834" i="2"/>
  <c r="U2834" i="2" s="1"/>
  <c r="N2834" i="2"/>
  <c r="M2834" i="2"/>
  <c r="J2834" i="2"/>
  <c r="I2834" i="2"/>
  <c r="H2834" i="2"/>
  <c r="G2834" i="2"/>
  <c r="F2834" i="2"/>
  <c r="E2834" i="2"/>
  <c r="D2834" i="2"/>
  <c r="C2834" i="2"/>
  <c r="B2834" i="2"/>
  <c r="A2834" i="2"/>
  <c r="U2833" i="2"/>
  <c r="N2833" i="2"/>
  <c r="M2833" i="2"/>
  <c r="J2833" i="2"/>
  <c r="I2833" i="2"/>
  <c r="H2833" i="2"/>
  <c r="G2833" i="2"/>
  <c r="F2833" i="2"/>
  <c r="E2833" i="2"/>
  <c r="D2833" i="2"/>
  <c r="C2833" i="2"/>
  <c r="B2833" i="2"/>
  <c r="A2833" i="2"/>
  <c r="U2832" i="2"/>
  <c r="N2832" i="2"/>
  <c r="M2832" i="2"/>
  <c r="J2832" i="2"/>
  <c r="I2832" i="2"/>
  <c r="H2832" i="2"/>
  <c r="G2832" i="2"/>
  <c r="F2832" i="2"/>
  <c r="E2832" i="2"/>
  <c r="D2832" i="2"/>
  <c r="C2832" i="2"/>
  <c r="B2832" i="2"/>
  <c r="A2832" i="2"/>
  <c r="Q2831" i="2"/>
  <c r="U2831" i="2" s="1"/>
  <c r="N2831" i="2"/>
  <c r="M2831" i="2"/>
  <c r="J2831" i="2"/>
  <c r="I2831" i="2"/>
  <c r="H2831" i="2"/>
  <c r="G2831" i="2"/>
  <c r="F2831" i="2"/>
  <c r="E2831" i="2"/>
  <c r="D2831" i="2"/>
  <c r="C2831" i="2"/>
  <c r="B2831" i="2"/>
  <c r="A2831" i="2"/>
  <c r="Q2830" i="2"/>
  <c r="U2830" i="2" s="1"/>
  <c r="N2830" i="2"/>
  <c r="M2830" i="2"/>
  <c r="J2830" i="2"/>
  <c r="I2830" i="2"/>
  <c r="H2830" i="2"/>
  <c r="G2830" i="2"/>
  <c r="F2830" i="2"/>
  <c r="E2830" i="2"/>
  <c r="D2830" i="2"/>
  <c r="C2830" i="2"/>
  <c r="B2830" i="2"/>
  <c r="A2830" i="2"/>
  <c r="U2829" i="2"/>
  <c r="N2829" i="2"/>
  <c r="M2829" i="2"/>
  <c r="J2829" i="2"/>
  <c r="I2829" i="2"/>
  <c r="H2829" i="2"/>
  <c r="G2829" i="2"/>
  <c r="F2829" i="2"/>
  <c r="E2829" i="2"/>
  <c r="D2829" i="2"/>
  <c r="C2829" i="2"/>
  <c r="B2829" i="2"/>
  <c r="A2829" i="2"/>
  <c r="U2828" i="2"/>
  <c r="N2828" i="2"/>
  <c r="M2828" i="2"/>
  <c r="J2828" i="2"/>
  <c r="I2828" i="2"/>
  <c r="H2828" i="2"/>
  <c r="G2828" i="2"/>
  <c r="F2828" i="2"/>
  <c r="E2828" i="2"/>
  <c r="D2828" i="2"/>
  <c r="C2828" i="2"/>
  <c r="B2828" i="2"/>
  <c r="A2828" i="2"/>
  <c r="U2827" i="2"/>
  <c r="N2827" i="2"/>
  <c r="M2827" i="2"/>
  <c r="J2827" i="2"/>
  <c r="I2827" i="2"/>
  <c r="H2827" i="2"/>
  <c r="G2827" i="2"/>
  <c r="F2827" i="2"/>
  <c r="E2827" i="2"/>
  <c r="D2827" i="2"/>
  <c r="C2827" i="2"/>
  <c r="B2827" i="2"/>
  <c r="A2827" i="2"/>
  <c r="U2826" i="2"/>
  <c r="N2826" i="2"/>
  <c r="M2826" i="2"/>
  <c r="J2826" i="2"/>
  <c r="I2826" i="2"/>
  <c r="H2826" i="2"/>
  <c r="G2826" i="2"/>
  <c r="F2826" i="2"/>
  <c r="E2826" i="2"/>
  <c r="D2826" i="2"/>
  <c r="C2826" i="2"/>
  <c r="B2826" i="2"/>
  <c r="A2826" i="2"/>
  <c r="U2825" i="2"/>
  <c r="N2825" i="2"/>
  <c r="M2825" i="2"/>
  <c r="J2825" i="2"/>
  <c r="I2825" i="2"/>
  <c r="H2825" i="2"/>
  <c r="G2825" i="2"/>
  <c r="F2825" i="2"/>
  <c r="E2825" i="2"/>
  <c r="D2825" i="2"/>
  <c r="C2825" i="2"/>
  <c r="B2825" i="2"/>
  <c r="A2825" i="2"/>
  <c r="U2824" i="2"/>
  <c r="N2824" i="2"/>
  <c r="M2824" i="2"/>
  <c r="J2824" i="2"/>
  <c r="I2824" i="2"/>
  <c r="H2824" i="2"/>
  <c r="G2824" i="2"/>
  <c r="F2824" i="2"/>
  <c r="E2824" i="2"/>
  <c r="D2824" i="2"/>
  <c r="C2824" i="2"/>
  <c r="B2824" i="2"/>
  <c r="A2824" i="2"/>
  <c r="U2823" i="2"/>
  <c r="N2823" i="2"/>
  <c r="M2823" i="2"/>
  <c r="J2823" i="2"/>
  <c r="I2823" i="2"/>
  <c r="H2823" i="2"/>
  <c r="G2823" i="2"/>
  <c r="F2823" i="2"/>
  <c r="E2823" i="2"/>
  <c r="D2823" i="2"/>
  <c r="C2823" i="2"/>
  <c r="B2823" i="2"/>
  <c r="A2823" i="2"/>
  <c r="U2822" i="2"/>
  <c r="N2822" i="2"/>
  <c r="M2822" i="2"/>
  <c r="J2822" i="2"/>
  <c r="I2822" i="2"/>
  <c r="H2822" i="2"/>
  <c r="G2822" i="2"/>
  <c r="F2822" i="2"/>
  <c r="E2822" i="2"/>
  <c r="D2822" i="2"/>
  <c r="C2822" i="2"/>
  <c r="B2822" i="2"/>
  <c r="A2822" i="2"/>
  <c r="U2821" i="2"/>
  <c r="N2821" i="2"/>
  <c r="M2821" i="2"/>
  <c r="J2821" i="2"/>
  <c r="I2821" i="2"/>
  <c r="H2821" i="2"/>
  <c r="G2821" i="2"/>
  <c r="F2821" i="2"/>
  <c r="E2821" i="2"/>
  <c r="D2821" i="2"/>
  <c r="C2821" i="2"/>
  <c r="B2821" i="2"/>
  <c r="A2821" i="2"/>
  <c r="U2820" i="2"/>
  <c r="N2820" i="2"/>
  <c r="M2820" i="2"/>
  <c r="J2820" i="2"/>
  <c r="I2820" i="2"/>
  <c r="H2820" i="2"/>
  <c r="G2820" i="2"/>
  <c r="F2820" i="2"/>
  <c r="E2820" i="2"/>
  <c r="D2820" i="2"/>
  <c r="C2820" i="2"/>
  <c r="B2820" i="2"/>
  <c r="A2820" i="2"/>
  <c r="Q2819" i="2"/>
  <c r="U2819" i="2" s="1"/>
  <c r="N2819" i="2"/>
  <c r="M2819" i="2"/>
  <c r="J2819" i="2"/>
  <c r="I2819" i="2"/>
  <c r="H2819" i="2"/>
  <c r="G2819" i="2"/>
  <c r="F2819" i="2"/>
  <c r="E2819" i="2"/>
  <c r="D2819" i="2"/>
  <c r="C2819" i="2"/>
  <c r="B2819" i="2"/>
  <c r="A2819" i="2"/>
  <c r="U2818" i="2"/>
  <c r="N2818" i="2"/>
  <c r="M2818" i="2"/>
  <c r="J2818" i="2"/>
  <c r="I2818" i="2"/>
  <c r="H2818" i="2"/>
  <c r="G2818" i="2"/>
  <c r="F2818" i="2"/>
  <c r="E2818" i="2"/>
  <c r="D2818" i="2"/>
  <c r="C2818" i="2"/>
  <c r="B2818" i="2"/>
  <c r="A2818" i="2"/>
  <c r="U2817" i="2"/>
  <c r="N2817" i="2"/>
  <c r="M2817" i="2"/>
  <c r="J2817" i="2"/>
  <c r="I2817" i="2"/>
  <c r="H2817" i="2"/>
  <c r="G2817" i="2"/>
  <c r="F2817" i="2"/>
  <c r="E2817" i="2"/>
  <c r="D2817" i="2"/>
  <c r="C2817" i="2"/>
  <c r="B2817" i="2"/>
  <c r="A2817" i="2"/>
  <c r="U2816" i="2"/>
  <c r="N2816" i="2"/>
  <c r="M2816" i="2"/>
  <c r="J2816" i="2"/>
  <c r="I2816" i="2"/>
  <c r="H2816" i="2"/>
  <c r="G2816" i="2"/>
  <c r="F2816" i="2"/>
  <c r="E2816" i="2"/>
  <c r="D2816" i="2"/>
  <c r="C2816" i="2"/>
  <c r="B2816" i="2"/>
  <c r="A2816" i="2"/>
  <c r="U2815" i="2"/>
  <c r="N2815" i="2"/>
  <c r="M2815" i="2"/>
  <c r="J2815" i="2"/>
  <c r="I2815" i="2"/>
  <c r="H2815" i="2"/>
  <c r="G2815" i="2"/>
  <c r="F2815" i="2"/>
  <c r="E2815" i="2"/>
  <c r="D2815" i="2"/>
  <c r="C2815" i="2"/>
  <c r="B2815" i="2"/>
  <c r="A2815" i="2"/>
  <c r="Q2814" i="2"/>
  <c r="U2814" i="2" s="1"/>
  <c r="N2814" i="2"/>
  <c r="M2814" i="2"/>
  <c r="J2814" i="2"/>
  <c r="I2814" i="2"/>
  <c r="H2814" i="2"/>
  <c r="G2814" i="2"/>
  <c r="F2814" i="2"/>
  <c r="E2814" i="2"/>
  <c r="D2814" i="2"/>
  <c r="C2814" i="2"/>
  <c r="B2814" i="2"/>
  <c r="A2814" i="2"/>
  <c r="U2813" i="2"/>
  <c r="N2813" i="2"/>
  <c r="M2813" i="2"/>
  <c r="J2813" i="2"/>
  <c r="I2813" i="2"/>
  <c r="H2813" i="2"/>
  <c r="G2813" i="2"/>
  <c r="F2813" i="2"/>
  <c r="E2813" i="2"/>
  <c r="D2813" i="2"/>
  <c r="C2813" i="2"/>
  <c r="B2813" i="2"/>
  <c r="A2813" i="2"/>
  <c r="U2812" i="2"/>
  <c r="N2812" i="2"/>
  <c r="M2812" i="2"/>
  <c r="J2812" i="2"/>
  <c r="I2812" i="2"/>
  <c r="H2812" i="2"/>
  <c r="G2812" i="2"/>
  <c r="F2812" i="2"/>
  <c r="E2812" i="2"/>
  <c r="D2812" i="2"/>
  <c r="C2812" i="2"/>
  <c r="B2812" i="2"/>
  <c r="A2812" i="2"/>
  <c r="Q2811" i="2"/>
  <c r="U2811" i="2" s="1"/>
  <c r="N2811" i="2"/>
  <c r="M2811" i="2"/>
  <c r="J2811" i="2"/>
  <c r="I2811" i="2"/>
  <c r="H2811" i="2"/>
  <c r="G2811" i="2"/>
  <c r="F2811" i="2"/>
  <c r="E2811" i="2"/>
  <c r="D2811" i="2"/>
  <c r="C2811" i="2"/>
  <c r="B2811" i="2"/>
  <c r="A2811" i="2"/>
  <c r="U2810" i="2"/>
  <c r="N2810" i="2"/>
  <c r="M2810" i="2"/>
  <c r="J2810" i="2"/>
  <c r="I2810" i="2"/>
  <c r="H2810" i="2"/>
  <c r="G2810" i="2"/>
  <c r="F2810" i="2"/>
  <c r="E2810" i="2"/>
  <c r="D2810" i="2"/>
  <c r="C2810" i="2"/>
  <c r="B2810" i="2"/>
  <c r="A2810" i="2"/>
  <c r="U2809" i="2"/>
  <c r="N2809" i="2"/>
  <c r="M2809" i="2"/>
  <c r="J2809" i="2"/>
  <c r="I2809" i="2"/>
  <c r="H2809" i="2"/>
  <c r="G2809" i="2"/>
  <c r="F2809" i="2"/>
  <c r="E2809" i="2"/>
  <c r="D2809" i="2"/>
  <c r="C2809" i="2"/>
  <c r="B2809" i="2"/>
  <c r="A2809" i="2"/>
  <c r="Q2808" i="2"/>
  <c r="U2808" i="2" s="1"/>
  <c r="N2808" i="2"/>
  <c r="M2808" i="2"/>
  <c r="J2808" i="2"/>
  <c r="I2808" i="2"/>
  <c r="H2808" i="2"/>
  <c r="G2808" i="2"/>
  <c r="F2808" i="2"/>
  <c r="E2808" i="2"/>
  <c r="D2808" i="2"/>
  <c r="C2808" i="2"/>
  <c r="B2808" i="2"/>
  <c r="A2808" i="2"/>
  <c r="U2807" i="2"/>
  <c r="N2807" i="2"/>
  <c r="M2807" i="2"/>
  <c r="J2807" i="2"/>
  <c r="I2807" i="2"/>
  <c r="H2807" i="2"/>
  <c r="G2807" i="2"/>
  <c r="F2807" i="2"/>
  <c r="E2807" i="2"/>
  <c r="D2807" i="2"/>
  <c r="C2807" i="2"/>
  <c r="B2807" i="2"/>
  <c r="A2807" i="2"/>
  <c r="U2806" i="2"/>
  <c r="N2806" i="2"/>
  <c r="M2806" i="2"/>
  <c r="J2806" i="2"/>
  <c r="I2806" i="2"/>
  <c r="H2806" i="2"/>
  <c r="G2806" i="2"/>
  <c r="F2806" i="2"/>
  <c r="E2806" i="2"/>
  <c r="D2806" i="2"/>
  <c r="C2806" i="2"/>
  <c r="B2806" i="2"/>
  <c r="A2806" i="2"/>
  <c r="Q2805" i="2"/>
  <c r="U2805" i="2" s="1"/>
  <c r="N2805" i="2"/>
  <c r="M2805" i="2"/>
  <c r="J2805" i="2"/>
  <c r="I2805" i="2"/>
  <c r="H2805" i="2"/>
  <c r="G2805" i="2"/>
  <c r="F2805" i="2"/>
  <c r="E2805" i="2"/>
  <c r="D2805" i="2"/>
  <c r="C2805" i="2"/>
  <c r="B2805" i="2"/>
  <c r="A2805" i="2"/>
  <c r="Q2804" i="2"/>
  <c r="U2804" i="2" s="1"/>
  <c r="N2804" i="2"/>
  <c r="M2804" i="2"/>
  <c r="J2804" i="2"/>
  <c r="I2804" i="2"/>
  <c r="H2804" i="2"/>
  <c r="G2804" i="2"/>
  <c r="F2804" i="2"/>
  <c r="E2804" i="2"/>
  <c r="D2804" i="2"/>
  <c r="C2804" i="2"/>
  <c r="B2804" i="2"/>
  <c r="A2804" i="2"/>
  <c r="U2803" i="2"/>
  <c r="N2803" i="2"/>
  <c r="M2803" i="2"/>
  <c r="J2803" i="2"/>
  <c r="I2803" i="2"/>
  <c r="H2803" i="2"/>
  <c r="G2803" i="2"/>
  <c r="F2803" i="2"/>
  <c r="E2803" i="2"/>
  <c r="D2803" i="2"/>
  <c r="C2803" i="2"/>
  <c r="B2803" i="2"/>
  <c r="A2803" i="2"/>
  <c r="Q2802" i="2"/>
  <c r="U2802" i="2" s="1"/>
  <c r="N2802" i="2"/>
  <c r="M2802" i="2"/>
  <c r="J2802" i="2"/>
  <c r="I2802" i="2"/>
  <c r="H2802" i="2"/>
  <c r="G2802" i="2"/>
  <c r="F2802" i="2"/>
  <c r="E2802" i="2"/>
  <c r="D2802" i="2"/>
  <c r="C2802" i="2"/>
  <c r="B2802" i="2"/>
  <c r="A2802" i="2"/>
  <c r="U2801" i="2"/>
  <c r="N2801" i="2"/>
  <c r="M2801" i="2"/>
  <c r="J2801" i="2"/>
  <c r="I2801" i="2"/>
  <c r="H2801" i="2"/>
  <c r="G2801" i="2"/>
  <c r="F2801" i="2"/>
  <c r="E2801" i="2"/>
  <c r="D2801" i="2"/>
  <c r="C2801" i="2"/>
  <c r="B2801" i="2"/>
  <c r="A2801" i="2"/>
  <c r="U2800" i="2"/>
  <c r="N2800" i="2"/>
  <c r="M2800" i="2"/>
  <c r="J2800" i="2"/>
  <c r="I2800" i="2"/>
  <c r="H2800" i="2"/>
  <c r="G2800" i="2"/>
  <c r="F2800" i="2"/>
  <c r="E2800" i="2"/>
  <c r="D2800" i="2"/>
  <c r="C2800" i="2"/>
  <c r="B2800" i="2"/>
  <c r="A2800" i="2"/>
  <c r="U2799" i="2"/>
  <c r="N2799" i="2"/>
  <c r="M2799" i="2"/>
  <c r="J2799" i="2"/>
  <c r="I2799" i="2"/>
  <c r="H2799" i="2"/>
  <c r="G2799" i="2"/>
  <c r="F2799" i="2"/>
  <c r="E2799" i="2"/>
  <c r="D2799" i="2"/>
  <c r="C2799" i="2"/>
  <c r="B2799" i="2"/>
  <c r="A2799" i="2"/>
  <c r="Q2798" i="2"/>
  <c r="U2798" i="2" s="1"/>
  <c r="N2798" i="2"/>
  <c r="M2798" i="2"/>
  <c r="J2798" i="2"/>
  <c r="I2798" i="2"/>
  <c r="H2798" i="2"/>
  <c r="G2798" i="2"/>
  <c r="F2798" i="2"/>
  <c r="E2798" i="2"/>
  <c r="D2798" i="2"/>
  <c r="C2798" i="2"/>
  <c r="B2798" i="2"/>
  <c r="A2798" i="2"/>
  <c r="Q2797" i="2"/>
  <c r="U2797" i="2" s="1"/>
  <c r="N2797" i="2"/>
  <c r="M2797" i="2"/>
  <c r="J2797" i="2"/>
  <c r="I2797" i="2"/>
  <c r="H2797" i="2"/>
  <c r="G2797" i="2"/>
  <c r="F2797" i="2"/>
  <c r="E2797" i="2"/>
  <c r="D2797" i="2"/>
  <c r="C2797" i="2"/>
  <c r="B2797" i="2"/>
  <c r="A2797" i="2"/>
  <c r="Q2796" i="2"/>
  <c r="U2796" i="2" s="1"/>
  <c r="N2796" i="2"/>
  <c r="M2796" i="2"/>
  <c r="J2796" i="2"/>
  <c r="I2796" i="2"/>
  <c r="H2796" i="2"/>
  <c r="G2796" i="2"/>
  <c r="F2796" i="2"/>
  <c r="E2796" i="2"/>
  <c r="D2796" i="2"/>
  <c r="C2796" i="2"/>
  <c r="B2796" i="2"/>
  <c r="A2796" i="2"/>
  <c r="U2795" i="2"/>
  <c r="N2795" i="2"/>
  <c r="M2795" i="2"/>
  <c r="J2795" i="2"/>
  <c r="I2795" i="2"/>
  <c r="H2795" i="2"/>
  <c r="G2795" i="2"/>
  <c r="F2795" i="2"/>
  <c r="E2795" i="2"/>
  <c r="D2795" i="2"/>
  <c r="C2795" i="2"/>
  <c r="B2795" i="2"/>
  <c r="A2795" i="2"/>
  <c r="Q2794" i="2"/>
  <c r="U2794" i="2" s="1"/>
  <c r="N2794" i="2"/>
  <c r="M2794" i="2"/>
  <c r="J2794" i="2"/>
  <c r="I2794" i="2"/>
  <c r="H2794" i="2"/>
  <c r="G2794" i="2"/>
  <c r="F2794" i="2"/>
  <c r="E2794" i="2"/>
  <c r="D2794" i="2"/>
  <c r="C2794" i="2"/>
  <c r="B2794" i="2"/>
  <c r="A2794" i="2"/>
  <c r="Q2793" i="2"/>
  <c r="U2793" i="2" s="1"/>
  <c r="N2793" i="2"/>
  <c r="M2793" i="2"/>
  <c r="J2793" i="2"/>
  <c r="I2793" i="2"/>
  <c r="H2793" i="2"/>
  <c r="G2793" i="2"/>
  <c r="F2793" i="2"/>
  <c r="E2793" i="2"/>
  <c r="D2793" i="2"/>
  <c r="C2793" i="2"/>
  <c r="B2793" i="2"/>
  <c r="A2793" i="2"/>
  <c r="U2792" i="2"/>
  <c r="N2792" i="2"/>
  <c r="M2792" i="2"/>
  <c r="J2792" i="2"/>
  <c r="I2792" i="2"/>
  <c r="H2792" i="2"/>
  <c r="G2792" i="2"/>
  <c r="F2792" i="2"/>
  <c r="E2792" i="2"/>
  <c r="D2792" i="2"/>
  <c r="C2792" i="2"/>
  <c r="B2792" i="2"/>
  <c r="A2792" i="2"/>
  <c r="U2791" i="2"/>
  <c r="N2791" i="2"/>
  <c r="M2791" i="2"/>
  <c r="J2791" i="2"/>
  <c r="I2791" i="2"/>
  <c r="H2791" i="2"/>
  <c r="G2791" i="2"/>
  <c r="F2791" i="2"/>
  <c r="E2791" i="2"/>
  <c r="D2791" i="2"/>
  <c r="C2791" i="2"/>
  <c r="B2791" i="2"/>
  <c r="A2791" i="2"/>
  <c r="U2790" i="2"/>
  <c r="N2790" i="2"/>
  <c r="M2790" i="2"/>
  <c r="J2790" i="2"/>
  <c r="I2790" i="2"/>
  <c r="H2790" i="2"/>
  <c r="G2790" i="2"/>
  <c r="F2790" i="2"/>
  <c r="E2790" i="2"/>
  <c r="D2790" i="2"/>
  <c r="C2790" i="2"/>
  <c r="B2790" i="2"/>
  <c r="A2790" i="2"/>
  <c r="U2789" i="2"/>
  <c r="N2789" i="2"/>
  <c r="M2789" i="2"/>
  <c r="J2789" i="2"/>
  <c r="I2789" i="2"/>
  <c r="H2789" i="2"/>
  <c r="G2789" i="2"/>
  <c r="F2789" i="2"/>
  <c r="E2789" i="2"/>
  <c r="D2789" i="2"/>
  <c r="C2789" i="2"/>
  <c r="B2789" i="2"/>
  <c r="A2789" i="2"/>
  <c r="U2788" i="2"/>
  <c r="N2788" i="2"/>
  <c r="M2788" i="2"/>
  <c r="J2788" i="2"/>
  <c r="I2788" i="2"/>
  <c r="H2788" i="2"/>
  <c r="G2788" i="2"/>
  <c r="F2788" i="2"/>
  <c r="E2788" i="2"/>
  <c r="D2788" i="2"/>
  <c r="C2788" i="2"/>
  <c r="B2788" i="2"/>
  <c r="A2788" i="2"/>
  <c r="U2787" i="2"/>
  <c r="N2787" i="2"/>
  <c r="M2787" i="2"/>
  <c r="J2787" i="2"/>
  <c r="I2787" i="2"/>
  <c r="H2787" i="2"/>
  <c r="G2787" i="2"/>
  <c r="F2787" i="2"/>
  <c r="E2787" i="2"/>
  <c r="D2787" i="2"/>
  <c r="C2787" i="2"/>
  <c r="B2787" i="2"/>
  <c r="A2787" i="2"/>
  <c r="Q2786" i="2"/>
  <c r="U2786" i="2" s="1"/>
  <c r="N2786" i="2"/>
  <c r="M2786" i="2"/>
  <c r="J2786" i="2"/>
  <c r="I2786" i="2"/>
  <c r="H2786" i="2"/>
  <c r="G2786" i="2"/>
  <c r="F2786" i="2"/>
  <c r="E2786" i="2"/>
  <c r="D2786" i="2"/>
  <c r="C2786" i="2"/>
  <c r="B2786" i="2"/>
  <c r="A2786" i="2"/>
  <c r="U2785" i="2"/>
  <c r="N2785" i="2"/>
  <c r="M2785" i="2"/>
  <c r="J2785" i="2"/>
  <c r="I2785" i="2"/>
  <c r="H2785" i="2"/>
  <c r="G2785" i="2"/>
  <c r="F2785" i="2"/>
  <c r="E2785" i="2"/>
  <c r="D2785" i="2"/>
  <c r="C2785" i="2"/>
  <c r="B2785" i="2"/>
  <c r="A2785" i="2"/>
  <c r="Q2784" i="2"/>
  <c r="U2784" i="2" s="1"/>
  <c r="N2784" i="2"/>
  <c r="M2784" i="2"/>
  <c r="J2784" i="2"/>
  <c r="I2784" i="2"/>
  <c r="H2784" i="2"/>
  <c r="G2784" i="2"/>
  <c r="F2784" i="2"/>
  <c r="E2784" i="2"/>
  <c r="D2784" i="2"/>
  <c r="C2784" i="2"/>
  <c r="B2784" i="2"/>
  <c r="A2784" i="2"/>
  <c r="U2783" i="2"/>
  <c r="N2783" i="2"/>
  <c r="M2783" i="2"/>
  <c r="J2783" i="2"/>
  <c r="I2783" i="2"/>
  <c r="H2783" i="2"/>
  <c r="G2783" i="2"/>
  <c r="F2783" i="2"/>
  <c r="E2783" i="2"/>
  <c r="D2783" i="2"/>
  <c r="C2783" i="2"/>
  <c r="B2783" i="2"/>
  <c r="A2783" i="2"/>
  <c r="U2782" i="2"/>
  <c r="N2782" i="2"/>
  <c r="M2782" i="2"/>
  <c r="J2782" i="2"/>
  <c r="I2782" i="2"/>
  <c r="H2782" i="2"/>
  <c r="G2782" i="2"/>
  <c r="F2782" i="2"/>
  <c r="E2782" i="2"/>
  <c r="D2782" i="2"/>
  <c r="C2782" i="2"/>
  <c r="B2782" i="2"/>
  <c r="A2782" i="2"/>
  <c r="U2781" i="2"/>
  <c r="N2781" i="2"/>
  <c r="M2781" i="2"/>
  <c r="J2781" i="2"/>
  <c r="I2781" i="2"/>
  <c r="H2781" i="2"/>
  <c r="G2781" i="2"/>
  <c r="F2781" i="2"/>
  <c r="E2781" i="2"/>
  <c r="D2781" i="2"/>
  <c r="C2781" i="2"/>
  <c r="B2781" i="2"/>
  <c r="A2781" i="2"/>
  <c r="U2780" i="2"/>
  <c r="N2780" i="2"/>
  <c r="M2780" i="2"/>
  <c r="J2780" i="2"/>
  <c r="I2780" i="2"/>
  <c r="H2780" i="2"/>
  <c r="G2780" i="2"/>
  <c r="F2780" i="2"/>
  <c r="E2780" i="2"/>
  <c r="D2780" i="2"/>
  <c r="C2780" i="2"/>
  <c r="B2780" i="2"/>
  <c r="A2780" i="2"/>
  <c r="U2779" i="2"/>
  <c r="N2779" i="2"/>
  <c r="M2779" i="2"/>
  <c r="J2779" i="2"/>
  <c r="I2779" i="2"/>
  <c r="H2779" i="2"/>
  <c r="G2779" i="2"/>
  <c r="F2779" i="2"/>
  <c r="E2779" i="2"/>
  <c r="D2779" i="2"/>
  <c r="C2779" i="2"/>
  <c r="B2779" i="2"/>
  <c r="A2779" i="2"/>
  <c r="U2778" i="2"/>
  <c r="N2778" i="2"/>
  <c r="M2778" i="2"/>
  <c r="J2778" i="2"/>
  <c r="I2778" i="2"/>
  <c r="H2778" i="2"/>
  <c r="G2778" i="2"/>
  <c r="F2778" i="2"/>
  <c r="E2778" i="2"/>
  <c r="D2778" i="2"/>
  <c r="C2778" i="2"/>
  <c r="B2778" i="2"/>
  <c r="A2778" i="2"/>
  <c r="Q2777" i="2"/>
  <c r="U2777" i="2" s="1"/>
  <c r="N2777" i="2"/>
  <c r="M2777" i="2"/>
  <c r="J2777" i="2"/>
  <c r="I2777" i="2"/>
  <c r="H2777" i="2"/>
  <c r="G2777" i="2"/>
  <c r="F2777" i="2"/>
  <c r="E2777" i="2"/>
  <c r="D2777" i="2"/>
  <c r="C2777" i="2"/>
  <c r="B2777" i="2"/>
  <c r="A2777" i="2"/>
  <c r="Q2776" i="2"/>
  <c r="U2776" i="2" s="1"/>
  <c r="N2776" i="2"/>
  <c r="M2776" i="2"/>
  <c r="J2776" i="2"/>
  <c r="I2776" i="2"/>
  <c r="H2776" i="2"/>
  <c r="G2776" i="2"/>
  <c r="F2776" i="2"/>
  <c r="E2776" i="2"/>
  <c r="D2776" i="2"/>
  <c r="C2776" i="2"/>
  <c r="B2776" i="2"/>
  <c r="A2776" i="2"/>
  <c r="U2775" i="2"/>
  <c r="N2775" i="2"/>
  <c r="M2775" i="2"/>
  <c r="J2775" i="2"/>
  <c r="I2775" i="2"/>
  <c r="H2775" i="2"/>
  <c r="G2775" i="2"/>
  <c r="F2775" i="2"/>
  <c r="E2775" i="2"/>
  <c r="D2775" i="2"/>
  <c r="C2775" i="2"/>
  <c r="B2775" i="2"/>
  <c r="A2775" i="2"/>
  <c r="U2774" i="2"/>
  <c r="N2774" i="2"/>
  <c r="M2774" i="2"/>
  <c r="J2774" i="2"/>
  <c r="I2774" i="2"/>
  <c r="H2774" i="2"/>
  <c r="G2774" i="2"/>
  <c r="F2774" i="2"/>
  <c r="E2774" i="2"/>
  <c r="D2774" i="2"/>
  <c r="C2774" i="2"/>
  <c r="B2774" i="2"/>
  <c r="A2774" i="2"/>
  <c r="U2773" i="2"/>
  <c r="N2773" i="2"/>
  <c r="M2773" i="2"/>
  <c r="J2773" i="2"/>
  <c r="I2773" i="2"/>
  <c r="H2773" i="2"/>
  <c r="G2773" i="2"/>
  <c r="F2773" i="2"/>
  <c r="E2773" i="2"/>
  <c r="D2773" i="2"/>
  <c r="C2773" i="2"/>
  <c r="B2773" i="2"/>
  <c r="A2773" i="2"/>
  <c r="Q2772" i="2"/>
  <c r="U2772" i="2" s="1"/>
  <c r="N2772" i="2"/>
  <c r="M2772" i="2"/>
  <c r="J2772" i="2"/>
  <c r="I2772" i="2"/>
  <c r="H2772" i="2"/>
  <c r="G2772" i="2"/>
  <c r="F2772" i="2"/>
  <c r="E2772" i="2"/>
  <c r="D2772" i="2"/>
  <c r="C2772" i="2"/>
  <c r="B2772" i="2"/>
  <c r="A2772" i="2"/>
  <c r="U2771" i="2"/>
  <c r="N2771" i="2"/>
  <c r="M2771" i="2"/>
  <c r="J2771" i="2"/>
  <c r="I2771" i="2"/>
  <c r="H2771" i="2"/>
  <c r="G2771" i="2"/>
  <c r="F2771" i="2"/>
  <c r="E2771" i="2"/>
  <c r="D2771" i="2"/>
  <c r="C2771" i="2"/>
  <c r="B2771" i="2"/>
  <c r="A2771" i="2"/>
  <c r="U2770" i="2"/>
  <c r="N2770" i="2"/>
  <c r="M2770" i="2"/>
  <c r="J2770" i="2"/>
  <c r="I2770" i="2"/>
  <c r="H2770" i="2"/>
  <c r="G2770" i="2"/>
  <c r="F2770" i="2"/>
  <c r="E2770" i="2"/>
  <c r="D2770" i="2"/>
  <c r="C2770" i="2"/>
  <c r="B2770" i="2"/>
  <c r="A2770" i="2"/>
  <c r="U2769" i="2"/>
  <c r="N2769" i="2"/>
  <c r="M2769" i="2"/>
  <c r="J2769" i="2"/>
  <c r="I2769" i="2"/>
  <c r="H2769" i="2"/>
  <c r="G2769" i="2"/>
  <c r="F2769" i="2"/>
  <c r="E2769" i="2"/>
  <c r="D2769" i="2"/>
  <c r="C2769" i="2"/>
  <c r="B2769" i="2"/>
  <c r="A2769" i="2"/>
  <c r="Q2768" i="2"/>
  <c r="U2768" i="2" s="1"/>
  <c r="N2768" i="2"/>
  <c r="M2768" i="2"/>
  <c r="J2768" i="2"/>
  <c r="I2768" i="2"/>
  <c r="H2768" i="2"/>
  <c r="G2768" i="2"/>
  <c r="F2768" i="2"/>
  <c r="E2768" i="2"/>
  <c r="D2768" i="2"/>
  <c r="C2768" i="2"/>
  <c r="B2768" i="2"/>
  <c r="A2768" i="2"/>
  <c r="U2767" i="2"/>
  <c r="N2767" i="2"/>
  <c r="M2767" i="2"/>
  <c r="J2767" i="2"/>
  <c r="I2767" i="2"/>
  <c r="H2767" i="2"/>
  <c r="G2767" i="2"/>
  <c r="F2767" i="2"/>
  <c r="E2767" i="2"/>
  <c r="D2767" i="2"/>
  <c r="C2767" i="2"/>
  <c r="B2767" i="2"/>
  <c r="A2767" i="2"/>
  <c r="U2766" i="2"/>
  <c r="N2766" i="2"/>
  <c r="M2766" i="2"/>
  <c r="J2766" i="2"/>
  <c r="I2766" i="2"/>
  <c r="H2766" i="2"/>
  <c r="G2766" i="2"/>
  <c r="F2766" i="2"/>
  <c r="E2766" i="2"/>
  <c r="D2766" i="2"/>
  <c r="C2766" i="2"/>
  <c r="B2766" i="2"/>
  <c r="A2766" i="2"/>
  <c r="U2765" i="2"/>
  <c r="N2765" i="2"/>
  <c r="M2765" i="2"/>
  <c r="J2765" i="2"/>
  <c r="I2765" i="2"/>
  <c r="H2765" i="2"/>
  <c r="G2765" i="2"/>
  <c r="F2765" i="2"/>
  <c r="E2765" i="2"/>
  <c r="D2765" i="2"/>
  <c r="C2765" i="2"/>
  <c r="B2765" i="2"/>
  <c r="A2765" i="2"/>
  <c r="U2764" i="2"/>
  <c r="N2764" i="2"/>
  <c r="M2764" i="2"/>
  <c r="J2764" i="2"/>
  <c r="I2764" i="2"/>
  <c r="H2764" i="2"/>
  <c r="G2764" i="2"/>
  <c r="F2764" i="2"/>
  <c r="E2764" i="2"/>
  <c r="D2764" i="2"/>
  <c r="C2764" i="2"/>
  <c r="B2764" i="2"/>
  <c r="A2764" i="2"/>
  <c r="U2763" i="2"/>
  <c r="N2763" i="2"/>
  <c r="M2763" i="2"/>
  <c r="J2763" i="2"/>
  <c r="I2763" i="2"/>
  <c r="H2763" i="2"/>
  <c r="G2763" i="2"/>
  <c r="F2763" i="2"/>
  <c r="E2763" i="2"/>
  <c r="D2763" i="2"/>
  <c r="C2763" i="2"/>
  <c r="B2763" i="2"/>
  <c r="A2763" i="2"/>
  <c r="R2762" i="2"/>
  <c r="Q2762" i="2"/>
  <c r="N2762" i="2"/>
  <c r="M2762" i="2"/>
  <c r="J2762" i="2"/>
  <c r="I2762" i="2"/>
  <c r="H2762" i="2"/>
  <c r="G2762" i="2"/>
  <c r="F2762" i="2"/>
  <c r="E2762" i="2"/>
  <c r="D2762" i="2"/>
  <c r="C2762" i="2"/>
  <c r="B2762" i="2"/>
  <c r="A2762" i="2"/>
  <c r="R2761" i="2"/>
  <c r="U2761" i="2" s="1"/>
  <c r="Q2761" i="2"/>
  <c r="N2761" i="2"/>
  <c r="M2761" i="2"/>
  <c r="J2761" i="2"/>
  <c r="I2761" i="2"/>
  <c r="H2761" i="2"/>
  <c r="G2761" i="2"/>
  <c r="F2761" i="2"/>
  <c r="E2761" i="2"/>
  <c r="D2761" i="2"/>
  <c r="C2761" i="2"/>
  <c r="B2761" i="2"/>
  <c r="A2761" i="2"/>
  <c r="R2760" i="2"/>
  <c r="Q2760" i="2"/>
  <c r="N2760" i="2"/>
  <c r="M2760" i="2"/>
  <c r="J2760" i="2"/>
  <c r="I2760" i="2"/>
  <c r="H2760" i="2"/>
  <c r="G2760" i="2"/>
  <c r="F2760" i="2"/>
  <c r="E2760" i="2"/>
  <c r="D2760" i="2"/>
  <c r="C2760" i="2"/>
  <c r="B2760" i="2"/>
  <c r="A2760" i="2"/>
  <c r="U2759" i="2"/>
  <c r="N2759" i="2"/>
  <c r="M2759" i="2"/>
  <c r="J2759" i="2"/>
  <c r="I2759" i="2"/>
  <c r="H2759" i="2"/>
  <c r="G2759" i="2"/>
  <c r="F2759" i="2"/>
  <c r="E2759" i="2"/>
  <c r="D2759" i="2"/>
  <c r="C2759" i="2"/>
  <c r="B2759" i="2"/>
  <c r="A2759" i="2"/>
  <c r="R2758" i="2"/>
  <c r="U2758" i="2" s="1"/>
  <c r="Q2758" i="2"/>
  <c r="N2758" i="2"/>
  <c r="M2758" i="2"/>
  <c r="J2758" i="2"/>
  <c r="I2758" i="2"/>
  <c r="H2758" i="2"/>
  <c r="G2758" i="2"/>
  <c r="F2758" i="2"/>
  <c r="E2758" i="2"/>
  <c r="D2758" i="2"/>
  <c r="C2758" i="2"/>
  <c r="B2758" i="2"/>
  <c r="A2758" i="2"/>
  <c r="U2757" i="2"/>
  <c r="N2757" i="2"/>
  <c r="M2757" i="2"/>
  <c r="J2757" i="2"/>
  <c r="I2757" i="2"/>
  <c r="H2757" i="2"/>
  <c r="G2757" i="2"/>
  <c r="F2757" i="2"/>
  <c r="E2757" i="2"/>
  <c r="D2757" i="2"/>
  <c r="C2757" i="2"/>
  <c r="B2757" i="2"/>
  <c r="A2757" i="2"/>
  <c r="U2756" i="2"/>
  <c r="N2756" i="2"/>
  <c r="M2756" i="2"/>
  <c r="J2756" i="2"/>
  <c r="I2756" i="2"/>
  <c r="H2756" i="2"/>
  <c r="G2756" i="2"/>
  <c r="F2756" i="2"/>
  <c r="E2756" i="2"/>
  <c r="D2756" i="2"/>
  <c r="C2756" i="2"/>
  <c r="B2756" i="2"/>
  <c r="A2756" i="2"/>
  <c r="R2755" i="2"/>
  <c r="Q2755" i="2"/>
  <c r="N2755" i="2"/>
  <c r="M2755" i="2"/>
  <c r="J2755" i="2"/>
  <c r="I2755" i="2"/>
  <c r="H2755" i="2"/>
  <c r="G2755" i="2"/>
  <c r="F2755" i="2"/>
  <c r="E2755" i="2"/>
  <c r="D2755" i="2"/>
  <c r="C2755" i="2"/>
  <c r="B2755" i="2"/>
  <c r="A2755" i="2"/>
  <c r="U2754" i="2"/>
  <c r="N2754" i="2"/>
  <c r="M2754" i="2"/>
  <c r="J2754" i="2"/>
  <c r="I2754" i="2"/>
  <c r="H2754" i="2"/>
  <c r="G2754" i="2"/>
  <c r="F2754" i="2"/>
  <c r="E2754" i="2"/>
  <c r="D2754" i="2"/>
  <c r="C2754" i="2"/>
  <c r="B2754" i="2"/>
  <c r="A2754" i="2"/>
  <c r="U2753" i="2"/>
  <c r="N2753" i="2"/>
  <c r="M2753" i="2"/>
  <c r="J2753" i="2"/>
  <c r="I2753" i="2"/>
  <c r="H2753" i="2"/>
  <c r="G2753" i="2"/>
  <c r="F2753" i="2"/>
  <c r="E2753" i="2"/>
  <c r="D2753" i="2"/>
  <c r="C2753" i="2"/>
  <c r="B2753" i="2"/>
  <c r="A2753" i="2"/>
  <c r="U2752" i="2"/>
  <c r="N2752" i="2"/>
  <c r="M2752" i="2"/>
  <c r="J2752" i="2"/>
  <c r="I2752" i="2"/>
  <c r="H2752" i="2"/>
  <c r="G2752" i="2"/>
  <c r="F2752" i="2"/>
  <c r="E2752" i="2"/>
  <c r="D2752" i="2"/>
  <c r="C2752" i="2"/>
  <c r="B2752" i="2"/>
  <c r="A2752" i="2"/>
  <c r="Q2751" i="2"/>
  <c r="U2751" i="2" s="1"/>
  <c r="N2751" i="2"/>
  <c r="M2751" i="2"/>
  <c r="J2751" i="2"/>
  <c r="I2751" i="2"/>
  <c r="H2751" i="2"/>
  <c r="G2751" i="2"/>
  <c r="F2751" i="2"/>
  <c r="E2751" i="2"/>
  <c r="D2751" i="2"/>
  <c r="C2751" i="2"/>
  <c r="B2751" i="2"/>
  <c r="A2751" i="2"/>
  <c r="U2750" i="2"/>
  <c r="N2750" i="2"/>
  <c r="M2750" i="2"/>
  <c r="J2750" i="2"/>
  <c r="I2750" i="2"/>
  <c r="H2750" i="2"/>
  <c r="G2750" i="2"/>
  <c r="F2750" i="2"/>
  <c r="E2750" i="2"/>
  <c r="D2750" i="2"/>
  <c r="C2750" i="2"/>
  <c r="B2750" i="2"/>
  <c r="A2750" i="2"/>
  <c r="U2749" i="2"/>
  <c r="N2749" i="2"/>
  <c r="M2749" i="2"/>
  <c r="J2749" i="2"/>
  <c r="I2749" i="2"/>
  <c r="H2749" i="2"/>
  <c r="G2749" i="2"/>
  <c r="F2749" i="2"/>
  <c r="E2749" i="2"/>
  <c r="D2749" i="2"/>
  <c r="C2749" i="2"/>
  <c r="B2749" i="2"/>
  <c r="A2749" i="2"/>
  <c r="R2748" i="2"/>
  <c r="U2748" i="2" s="1"/>
  <c r="Q2748" i="2"/>
  <c r="N2748" i="2"/>
  <c r="M2748" i="2"/>
  <c r="J2748" i="2"/>
  <c r="I2748" i="2"/>
  <c r="H2748" i="2"/>
  <c r="G2748" i="2"/>
  <c r="F2748" i="2"/>
  <c r="E2748" i="2"/>
  <c r="D2748" i="2"/>
  <c r="C2748" i="2"/>
  <c r="B2748" i="2"/>
  <c r="A2748" i="2"/>
  <c r="U2747" i="2"/>
  <c r="N2747" i="2"/>
  <c r="M2747" i="2"/>
  <c r="J2747" i="2"/>
  <c r="I2747" i="2"/>
  <c r="H2747" i="2"/>
  <c r="G2747" i="2"/>
  <c r="F2747" i="2"/>
  <c r="E2747" i="2"/>
  <c r="D2747" i="2"/>
  <c r="C2747" i="2"/>
  <c r="B2747" i="2"/>
  <c r="A2747" i="2"/>
  <c r="U2746" i="2"/>
  <c r="N2746" i="2"/>
  <c r="M2746" i="2"/>
  <c r="J2746" i="2"/>
  <c r="I2746" i="2"/>
  <c r="H2746" i="2"/>
  <c r="G2746" i="2"/>
  <c r="F2746" i="2"/>
  <c r="E2746" i="2"/>
  <c r="D2746" i="2"/>
  <c r="C2746" i="2"/>
  <c r="B2746" i="2"/>
  <c r="A2746" i="2"/>
  <c r="U2745" i="2"/>
  <c r="N2745" i="2"/>
  <c r="M2745" i="2"/>
  <c r="J2745" i="2"/>
  <c r="I2745" i="2"/>
  <c r="H2745" i="2"/>
  <c r="G2745" i="2"/>
  <c r="F2745" i="2"/>
  <c r="E2745" i="2"/>
  <c r="D2745" i="2"/>
  <c r="C2745" i="2"/>
  <c r="B2745" i="2"/>
  <c r="A2745" i="2"/>
  <c r="U2744" i="2"/>
  <c r="N2744" i="2"/>
  <c r="M2744" i="2"/>
  <c r="J2744" i="2"/>
  <c r="I2744" i="2"/>
  <c r="H2744" i="2"/>
  <c r="G2744" i="2"/>
  <c r="F2744" i="2"/>
  <c r="E2744" i="2"/>
  <c r="D2744" i="2"/>
  <c r="C2744" i="2"/>
  <c r="B2744" i="2"/>
  <c r="A2744" i="2"/>
  <c r="U2743" i="2"/>
  <c r="N2743" i="2"/>
  <c r="M2743" i="2"/>
  <c r="J2743" i="2"/>
  <c r="I2743" i="2"/>
  <c r="H2743" i="2"/>
  <c r="G2743" i="2"/>
  <c r="F2743" i="2"/>
  <c r="E2743" i="2"/>
  <c r="D2743" i="2"/>
  <c r="C2743" i="2"/>
  <c r="B2743" i="2"/>
  <c r="A2743" i="2"/>
  <c r="U2742" i="2"/>
  <c r="N2742" i="2"/>
  <c r="M2742" i="2"/>
  <c r="J2742" i="2"/>
  <c r="I2742" i="2"/>
  <c r="H2742" i="2"/>
  <c r="G2742" i="2"/>
  <c r="F2742" i="2"/>
  <c r="E2742" i="2"/>
  <c r="D2742" i="2"/>
  <c r="C2742" i="2"/>
  <c r="B2742" i="2"/>
  <c r="A2742" i="2"/>
  <c r="U2741" i="2"/>
  <c r="N2741" i="2"/>
  <c r="M2741" i="2"/>
  <c r="J2741" i="2"/>
  <c r="I2741" i="2"/>
  <c r="H2741" i="2"/>
  <c r="G2741" i="2"/>
  <c r="F2741" i="2"/>
  <c r="E2741" i="2"/>
  <c r="D2741" i="2"/>
  <c r="C2741" i="2"/>
  <c r="B2741" i="2"/>
  <c r="A2741" i="2"/>
  <c r="U2740" i="2"/>
  <c r="N2740" i="2"/>
  <c r="M2740" i="2"/>
  <c r="J2740" i="2"/>
  <c r="I2740" i="2"/>
  <c r="H2740" i="2"/>
  <c r="G2740" i="2"/>
  <c r="F2740" i="2"/>
  <c r="E2740" i="2"/>
  <c r="D2740" i="2"/>
  <c r="C2740" i="2"/>
  <c r="B2740" i="2"/>
  <c r="A2740" i="2"/>
  <c r="U2739" i="2"/>
  <c r="N2739" i="2"/>
  <c r="M2739" i="2"/>
  <c r="J2739" i="2"/>
  <c r="I2739" i="2"/>
  <c r="H2739" i="2"/>
  <c r="G2739" i="2"/>
  <c r="F2739" i="2"/>
  <c r="E2739" i="2"/>
  <c r="D2739" i="2"/>
  <c r="C2739" i="2"/>
  <c r="B2739" i="2"/>
  <c r="A2739" i="2"/>
  <c r="U2738" i="2"/>
  <c r="N2738" i="2"/>
  <c r="M2738" i="2"/>
  <c r="J2738" i="2"/>
  <c r="I2738" i="2"/>
  <c r="H2738" i="2"/>
  <c r="G2738" i="2"/>
  <c r="F2738" i="2"/>
  <c r="E2738" i="2"/>
  <c r="D2738" i="2"/>
  <c r="C2738" i="2"/>
  <c r="B2738" i="2"/>
  <c r="A2738" i="2"/>
  <c r="U2737" i="2"/>
  <c r="N2737" i="2"/>
  <c r="M2737" i="2"/>
  <c r="J2737" i="2"/>
  <c r="I2737" i="2"/>
  <c r="H2737" i="2"/>
  <c r="G2737" i="2"/>
  <c r="F2737" i="2"/>
  <c r="E2737" i="2"/>
  <c r="D2737" i="2"/>
  <c r="C2737" i="2"/>
  <c r="B2737" i="2"/>
  <c r="A2737" i="2"/>
  <c r="U2736" i="2"/>
  <c r="N2736" i="2"/>
  <c r="M2736" i="2"/>
  <c r="J2736" i="2"/>
  <c r="I2736" i="2"/>
  <c r="H2736" i="2"/>
  <c r="G2736" i="2"/>
  <c r="F2736" i="2"/>
  <c r="E2736" i="2"/>
  <c r="D2736" i="2"/>
  <c r="C2736" i="2"/>
  <c r="B2736" i="2"/>
  <c r="A2736" i="2"/>
  <c r="U2735" i="2"/>
  <c r="N2735" i="2"/>
  <c r="M2735" i="2"/>
  <c r="J2735" i="2"/>
  <c r="I2735" i="2"/>
  <c r="H2735" i="2"/>
  <c r="G2735" i="2"/>
  <c r="F2735" i="2"/>
  <c r="E2735" i="2"/>
  <c r="D2735" i="2"/>
  <c r="C2735" i="2"/>
  <c r="B2735" i="2"/>
  <c r="A2735" i="2"/>
  <c r="U2734" i="2"/>
  <c r="N2734" i="2"/>
  <c r="M2734" i="2"/>
  <c r="J2734" i="2"/>
  <c r="I2734" i="2"/>
  <c r="H2734" i="2"/>
  <c r="G2734" i="2"/>
  <c r="F2734" i="2"/>
  <c r="E2734" i="2"/>
  <c r="D2734" i="2"/>
  <c r="C2734" i="2"/>
  <c r="B2734" i="2"/>
  <c r="A2734" i="2"/>
  <c r="U2733" i="2"/>
  <c r="N2733" i="2"/>
  <c r="M2733" i="2"/>
  <c r="J2733" i="2"/>
  <c r="I2733" i="2"/>
  <c r="H2733" i="2"/>
  <c r="G2733" i="2"/>
  <c r="F2733" i="2"/>
  <c r="E2733" i="2"/>
  <c r="D2733" i="2"/>
  <c r="C2733" i="2"/>
  <c r="B2733" i="2"/>
  <c r="A2733" i="2"/>
  <c r="U2732" i="2"/>
  <c r="N2732" i="2"/>
  <c r="M2732" i="2"/>
  <c r="J2732" i="2"/>
  <c r="I2732" i="2"/>
  <c r="H2732" i="2"/>
  <c r="G2732" i="2"/>
  <c r="F2732" i="2"/>
  <c r="E2732" i="2"/>
  <c r="D2732" i="2"/>
  <c r="C2732" i="2"/>
  <c r="B2732" i="2"/>
  <c r="A2732" i="2"/>
  <c r="U2731" i="2"/>
  <c r="N2731" i="2"/>
  <c r="M2731" i="2"/>
  <c r="J2731" i="2"/>
  <c r="I2731" i="2"/>
  <c r="H2731" i="2"/>
  <c r="G2731" i="2"/>
  <c r="F2731" i="2"/>
  <c r="E2731" i="2"/>
  <c r="D2731" i="2"/>
  <c r="C2731" i="2"/>
  <c r="B2731" i="2"/>
  <c r="A2731" i="2"/>
  <c r="U2730" i="2"/>
  <c r="N2730" i="2"/>
  <c r="M2730" i="2"/>
  <c r="J2730" i="2"/>
  <c r="I2730" i="2"/>
  <c r="H2730" i="2"/>
  <c r="G2730" i="2"/>
  <c r="F2730" i="2"/>
  <c r="E2730" i="2"/>
  <c r="D2730" i="2"/>
  <c r="C2730" i="2"/>
  <c r="B2730" i="2"/>
  <c r="A2730" i="2"/>
  <c r="U2729" i="2"/>
  <c r="N2729" i="2"/>
  <c r="M2729" i="2"/>
  <c r="J2729" i="2"/>
  <c r="I2729" i="2"/>
  <c r="H2729" i="2"/>
  <c r="G2729" i="2"/>
  <c r="F2729" i="2"/>
  <c r="E2729" i="2"/>
  <c r="D2729" i="2"/>
  <c r="C2729" i="2"/>
  <c r="B2729" i="2"/>
  <c r="A2729" i="2"/>
  <c r="U2728" i="2"/>
  <c r="N2728" i="2"/>
  <c r="M2728" i="2"/>
  <c r="J2728" i="2"/>
  <c r="I2728" i="2"/>
  <c r="H2728" i="2"/>
  <c r="G2728" i="2"/>
  <c r="F2728" i="2"/>
  <c r="E2728" i="2"/>
  <c r="D2728" i="2"/>
  <c r="C2728" i="2"/>
  <c r="B2728" i="2"/>
  <c r="A2728" i="2"/>
  <c r="Q2727" i="2"/>
  <c r="U2727" i="2" s="1"/>
  <c r="N2727" i="2"/>
  <c r="M2727" i="2"/>
  <c r="J2727" i="2"/>
  <c r="I2727" i="2"/>
  <c r="H2727" i="2"/>
  <c r="G2727" i="2"/>
  <c r="F2727" i="2"/>
  <c r="E2727" i="2"/>
  <c r="D2727" i="2"/>
  <c r="C2727" i="2"/>
  <c r="B2727" i="2"/>
  <c r="A2727" i="2"/>
  <c r="U2726" i="2"/>
  <c r="N2726" i="2"/>
  <c r="M2726" i="2"/>
  <c r="J2726" i="2"/>
  <c r="I2726" i="2"/>
  <c r="H2726" i="2"/>
  <c r="G2726" i="2"/>
  <c r="F2726" i="2"/>
  <c r="E2726" i="2"/>
  <c r="D2726" i="2"/>
  <c r="C2726" i="2"/>
  <c r="B2726" i="2"/>
  <c r="A2726" i="2"/>
  <c r="U2725" i="2"/>
  <c r="N2725" i="2"/>
  <c r="M2725" i="2"/>
  <c r="J2725" i="2"/>
  <c r="I2725" i="2"/>
  <c r="H2725" i="2"/>
  <c r="G2725" i="2"/>
  <c r="F2725" i="2"/>
  <c r="E2725" i="2"/>
  <c r="D2725" i="2"/>
  <c r="C2725" i="2"/>
  <c r="B2725" i="2"/>
  <c r="A2725" i="2"/>
  <c r="U2724" i="2"/>
  <c r="N2724" i="2"/>
  <c r="M2724" i="2"/>
  <c r="J2724" i="2"/>
  <c r="I2724" i="2"/>
  <c r="H2724" i="2"/>
  <c r="G2724" i="2"/>
  <c r="F2724" i="2"/>
  <c r="E2724" i="2"/>
  <c r="D2724" i="2"/>
  <c r="C2724" i="2"/>
  <c r="B2724" i="2"/>
  <c r="A2724" i="2"/>
  <c r="U2723" i="2"/>
  <c r="N2723" i="2"/>
  <c r="M2723" i="2"/>
  <c r="J2723" i="2"/>
  <c r="I2723" i="2"/>
  <c r="H2723" i="2"/>
  <c r="G2723" i="2"/>
  <c r="F2723" i="2"/>
  <c r="E2723" i="2"/>
  <c r="D2723" i="2"/>
  <c r="C2723" i="2"/>
  <c r="B2723" i="2"/>
  <c r="A2723" i="2"/>
  <c r="Q2722" i="2"/>
  <c r="U2722" i="2" s="1"/>
  <c r="N2722" i="2"/>
  <c r="M2722" i="2"/>
  <c r="J2722" i="2"/>
  <c r="I2722" i="2"/>
  <c r="H2722" i="2"/>
  <c r="G2722" i="2"/>
  <c r="F2722" i="2"/>
  <c r="E2722" i="2"/>
  <c r="D2722" i="2"/>
  <c r="C2722" i="2"/>
  <c r="B2722" i="2"/>
  <c r="A2722" i="2"/>
  <c r="U2721" i="2"/>
  <c r="N2721" i="2"/>
  <c r="M2721" i="2"/>
  <c r="J2721" i="2"/>
  <c r="I2721" i="2"/>
  <c r="H2721" i="2"/>
  <c r="G2721" i="2"/>
  <c r="F2721" i="2"/>
  <c r="E2721" i="2"/>
  <c r="D2721" i="2"/>
  <c r="C2721" i="2"/>
  <c r="B2721" i="2"/>
  <c r="A2721" i="2"/>
  <c r="U2720" i="2"/>
  <c r="N2720" i="2"/>
  <c r="M2720" i="2"/>
  <c r="J2720" i="2"/>
  <c r="I2720" i="2"/>
  <c r="H2720" i="2"/>
  <c r="G2720" i="2"/>
  <c r="F2720" i="2"/>
  <c r="E2720" i="2"/>
  <c r="D2720" i="2"/>
  <c r="C2720" i="2"/>
  <c r="B2720" i="2"/>
  <c r="A2720" i="2"/>
  <c r="U2719" i="2"/>
  <c r="N2719" i="2"/>
  <c r="M2719" i="2"/>
  <c r="J2719" i="2"/>
  <c r="I2719" i="2"/>
  <c r="H2719" i="2"/>
  <c r="G2719" i="2"/>
  <c r="F2719" i="2"/>
  <c r="E2719" i="2"/>
  <c r="D2719" i="2"/>
  <c r="C2719" i="2"/>
  <c r="B2719" i="2"/>
  <c r="A2719" i="2"/>
  <c r="U2718" i="2"/>
  <c r="N2718" i="2"/>
  <c r="M2718" i="2"/>
  <c r="J2718" i="2"/>
  <c r="I2718" i="2"/>
  <c r="H2718" i="2"/>
  <c r="G2718" i="2"/>
  <c r="F2718" i="2"/>
  <c r="E2718" i="2"/>
  <c r="D2718" i="2"/>
  <c r="C2718" i="2"/>
  <c r="B2718" i="2"/>
  <c r="A2718" i="2"/>
  <c r="U2717" i="2"/>
  <c r="N2717" i="2"/>
  <c r="M2717" i="2"/>
  <c r="J2717" i="2"/>
  <c r="I2717" i="2"/>
  <c r="H2717" i="2"/>
  <c r="G2717" i="2"/>
  <c r="F2717" i="2"/>
  <c r="E2717" i="2"/>
  <c r="D2717" i="2"/>
  <c r="C2717" i="2"/>
  <c r="B2717" i="2"/>
  <c r="A2717" i="2"/>
  <c r="U2716" i="2"/>
  <c r="N2716" i="2"/>
  <c r="M2716" i="2"/>
  <c r="J2716" i="2"/>
  <c r="I2716" i="2"/>
  <c r="H2716" i="2"/>
  <c r="G2716" i="2"/>
  <c r="F2716" i="2"/>
  <c r="E2716" i="2"/>
  <c r="D2716" i="2"/>
  <c r="C2716" i="2"/>
  <c r="B2716" i="2"/>
  <c r="A2716" i="2"/>
  <c r="Q2715" i="2"/>
  <c r="U2715" i="2" s="1"/>
  <c r="N2715" i="2"/>
  <c r="M2715" i="2"/>
  <c r="J2715" i="2"/>
  <c r="I2715" i="2"/>
  <c r="H2715" i="2"/>
  <c r="G2715" i="2"/>
  <c r="F2715" i="2"/>
  <c r="E2715" i="2"/>
  <c r="D2715" i="2"/>
  <c r="C2715" i="2"/>
  <c r="B2715" i="2"/>
  <c r="A2715" i="2"/>
  <c r="U2714" i="2"/>
  <c r="N2714" i="2"/>
  <c r="M2714" i="2"/>
  <c r="J2714" i="2"/>
  <c r="I2714" i="2"/>
  <c r="H2714" i="2"/>
  <c r="G2714" i="2"/>
  <c r="F2714" i="2"/>
  <c r="E2714" i="2"/>
  <c r="D2714" i="2"/>
  <c r="C2714" i="2"/>
  <c r="B2714" i="2"/>
  <c r="A2714" i="2"/>
  <c r="U2713" i="2"/>
  <c r="N2713" i="2"/>
  <c r="M2713" i="2"/>
  <c r="J2713" i="2"/>
  <c r="I2713" i="2"/>
  <c r="H2713" i="2"/>
  <c r="G2713" i="2"/>
  <c r="F2713" i="2"/>
  <c r="E2713" i="2"/>
  <c r="D2713" i="2"/>
  <c r="C2713" i="2"/>
  <c r="B2713" i="2"/>
  <c r="A2713" i="2"/>
  <c r="U2712" i="2"/>
  <c r="N2712" i="2"/>
  <c r="M2712" i="2"/>
  <c r="J2712" i="2"/>
  <c r="I2712" i="2"/>
  <c r="H2712" i="2"/>
  <c r="G2712" i="2"/>
  <c r="F2712" i="2"/>
  <c r="E2712" i="2"/>
  <c r="D2712" i="2"/>
  <c r="C2712" i="2"/>
  <c r="B2712" i="2"/>
  <c r="A2712" i="2"/>
  <c r="U2711" i="2"/>
  <c r="N2711" i="2"/>
  <c r="M2711" i="2"/>
  <c r="J2711" i="2"/>
  <c r="I2711" i="2"/>
  <c r="H2711" i="2"/>
  <c r="G2711" i="2"/>
  <c r="F2711" i="2"/>
  <c r="E2711" i="2"/>
  <c r="D2711" i="2"/>
  <c r="C2711" i="2"/>
  <c r="B2711" i="2"/>
  <c r="A2711" i="2"/>
  <c r="U2710" i="2"/>
  <c r="N2710" i="2"/>
  <c r="M2710" i="2"/>
  <c r="J2710" i="2"/>
  <c r="I2710" i="2"/>
  <c r="H2710" i="2"/>
  <c r="G2710" i="2"/>
  <c r="F2710" i="2"/>
  <c r="E2710" i="2"/>
  <c r="D2710" i="2"/>
  <c r="C2710" i="2"/>
  <c r="B2710" i="2"/>
  <c r="A2710" i="2"/>
  <c r="Q2709" i="2"/>
  <c r="U2709" i="2" s="1"/>
  <c r="N2709" i="2"/>
  <c r="M2709" i="2"/>
  <c r="J2709" i="2"/>
  <c r="I2709" i="2"/>
  <c r="H2709" i="2"/>
  <c r="G2709" i="2"/>
  <c r="F2709" i="2"/>
  <c r="E2709" i="2"/>
  <c r="D2709" i="2"/>
  <c r="C2709" i="2"/>
  <c r="B2709" i="2"/>
  <c r="A2709" i="2"/>
  <c r="U2708" i="2"/>
  <c r="N2708" i="2"/>
  <c r="M2708" i="2"/>
  <c r="J2708" i="2"/>
  <c r="I2708" i="2"/>
  <c r="H2708" i="2"/>
  <c r="G2708" i="2"/>
  <c r="F2708" i="2"/>
  <c r="E2708" i="2"/>
  <c r="D2708" i="2"/>
  <c r="C2708" i="2"/>
  <c r="B2708" i="2"/>
  <c r="A2708" i="2"/>
  <c r="U2707" i="2"/>
  <c r="N2707" i="2"/>
  <c r="M2707" i="2"/>
  <c r="J2707" i="2"/>
  <c r="I2707" i="2"/>
  <c r="H2707" i="2"/>
  <c r="G2707" i="2"/>
  <c r="F2707" i="2"/>
  <c r="E2707" i="2"/>
  <c r="D2707" i="2"/>
  <c r="C2707" i="2"/>
  <c r="B2707" i="2"/>
  <c r="A2707" i="2"/>
  <c r="U2706" i="2"/>
  <c r="N2706" i="2"/>
  <c r="M2706" i="2"/>
  <c r="J2706" i="2"/>
  <c r="I2706" i="2"/>
  <c r="H2706" i="2"/>
  <c r="G2706" i="2"/>
  <c r="F2706" i="2"/>
  <c r="E2706" i="2"/>
  <c r="D2706" i="2"/>
  <c r="C2706" i="2"/>
  <c r="B2706" i="2"/>
  <c r="A2706" i="2"/>
  <c r="Q2705" i="2"/>
  <c r="U2705" i="2" s="1"/>
  <c r="N2705" i="2"/>
  <c r="M2705" i="2"/>
  <c r="J2705" i="2"/>
  <c r="I2705" i="2"/>
  <c r="H2705" i="2"/>
  <c r="G2705" i="2"/>
  <c r="F2705" i="2"/>
  <c r="E2705" i="2"/>
  <c r="D2705" i="2"/>
  <c r="C2705" i="2"/>
  <c r="B2705" i="2"/>
  <c r="A2705" i="2"/>
  <c r="U2704" i="2"/>
  <c r="N2704" i="2"/>
  <c r="M2704" i="2"/>
  <c r="J2704" i="2"/>
  <c r="I2704" i="2"/>
  <c r="H2704" i="2"/>
  <c r="G2704" i="2"/>
  <c r="F2704" i="2"/>
  <c r="E2704" i="2"/>
  <c r="D2704" i="2"/>
  <c r="C2704" i="2"/>
  <c r="B2704" i="2"/>
  <c r="A2704" i="2"/>
  <c r="U2703" i="2"/>
  <c r="N2703" i="2"/>
  <c r="M2703" i="2"/>
  <c r="J2703" i="2"/>
  <c r="I2703" i="2"/>
  <c r="H2703" i="2"/>
  <c r="G2703" i="2"/>
  <c r="F2703" i="2"/>
  <c r="E2703" i="2"/>
  <c r="D2703" i="2"/>
  <c r="C2703" i="2"/>
  <c r="B2703" i="2"/>
  <c r="A2703" i="2"/>
  <c r="Q2702" i="2"/>
  <c r="U2702" i="2" s="1"/>
  <c r="N2702" i="2"/>
  <c r="M2702" i="2"/>
  <c r="J2702" i="2"/>
  <c r="I2702" i="2"/>
  <c r="H2702" i="2"/>
  <c r="G2702" i="2"/>
  <c r="F2702" i="2"/>
  <c r="E2702" i="2"/>
  <c r="D2702" i="2"/>
  <c r="C2702" i="2"/>
  <c r="B2702" i="2"/>
  <c r="A2702" i="2"/>
  <c r="U2701" i="2"/>
  <c r="N2701" i="2"/>
  <c r="M2701" i="2"/>
  <c r="J2701" i="2"/>
  <c r="I2701" i="2"/>
  <c r="H2701" i="2"/>
  <c r="G2701" i="2"/>
  <c r="F2701" i="2"/>
  <c r="E2701" i="2"/>
  <c r="D2701" i="2"/>
  <c r="C2701" i="2"/>
  <c r="B2701" i="2"/>
  <c r="A2701" i="2"/>
  <c r="U2700" i="2"/>
  <c r="N2700" i="2"/>
  <c r="M2700" i="2"/>
  <c r="J2700" i="2"/>
  <c r="I2700" i="2"/>
  <c r="H2700" i="2"/>
  <c r="G2700" i="2"/>
  <c r="F2700" i="2"/>
  <c r="E2700" i="2"/>
  <c r="D2700" i="2"/>
  <c r="C2700" i="2"/>
  <c r="B2700" i="2"/>
  <c r="A2700" i="2"/>
  <c r="Q2699" i="2"/>
  <c r="U2699" i="2" s="1"/>
  <c r="N2699" i="2"/>
  <c r="M2699" i="2"/>
  <c r="J2699" i="2"/>
  <c r="I2699" i="2"/>
  <c r="H2699" i="2"/>
  <c r="G2699" i="2"/>
  <c r="F2699" i="2"/>
  <c r="E2699" i="2"/>
  <c r="D2699" i="2"/>
  <c r="C2699" i="2"/>
  <c r="B2699" i="2"/>
  <c r="A2699" i="2"/>
  <c r="Q2698" i="2"/>
  <c r="U2698" i="2" s="1"/>
  <c r="N2698" i="2"/>
  <c r="M2698" i="2"/>
  <c r="J2698" i="2"/>
  <c r="I2698" i="2"/>
  <c r="H2698" i="2"/>
  <c r="G2698" i="2"/>
  <c r="F2698" i="2"/>
  <c r="E2698" i="2"/>
  <c r="D2698" i="2"/>
  <c r="C2698" i="2"/>
  <c r="B2698" i="2"/>
  <c r="A2698" i="2"/>
  <c r="Q2697" i="2"/>
  <c r="U2697" i="2" s="1"/>
  <c r="N2697" i="2"/>
  <c r="M2697" i="2"/>
  <c r="J2697" i="2"/>
  <c r="I2697" i="2"/>
  <c r="H2697" i="2"/>
  <c r="G2697" i="2"/>
  <c r="F2697" i="2"/>
  <c r="E2697" i="2"/>
  <c r="D2697" i="2"/>
  <c r="C2697" i="2"/>
  <c r="B2697" i="2"/>
  <c r="A2697" i="2"/>
  <c r="U2696" i="2"/>
  <c r="N2696" i="2"/>
  <c r="M2696" i="2"/>
  <c r="J2696" i="2"/>
  <c r="I2696" i="2"/>
  <c r="H2696" i="2"/>
  <c r="G2696" i="2"/>
  <c r="F2696" i="2"/>
  <c r="E2696" i="2"/>
  <c r="D2696" i="2"/>
  <c r="C2696" i="2"/>
  <c r="B2696" i="2"/>
  <c r="A2696" i="2"/>
  <c r="U2695" i="2"/>
  <c r="N2695" i="2"/>
  <c r="M2695" i="2"/>
  <c r="J2695" i="2"/>
  <c r="I2695" i="2"/>
  <c r="H2695" i="2"/>
  <c r="G2695" i="2"/>
  <c r="F2695" i="2"/>
  <c r="E2695" i="2"/>
  <c r="D2695" i="2"/>
  <c r="C2695" i="2"/>
  <c r="B2695" i="2"/>
  <c r="A2695" i="2"/>
  <c r="U2694" i="2"/>
  <c r="N2694" i="2"/>
  <c r="M2694" i="2"/>
  <c r="J2694" i="2"/>
  <c r="I2694" i="2"/>
  <c r="H2694" i="2"/>
  <c r="G2694" i="2"/>
  <c r="F2694" i="2"/>
  <c r="E2694" i="2"/>
  <c r="D2694" i="2"/>
  <c r="C2694" i="2"/>
  <c r="B2694" i="2"/>
  <c r="A2694" i="2"/>
  <c r="U2693" i="2"/>
  <c r="N2693" i="2"/>
  <c r="M2693" i="2"/>
  <c r="J2693" i="2"/>
  <c r="I2693" i="2"/>
  <c r="H2693" i="2"/>
  <c r="G2693" i="2"/>
  <c r="F2693" i="2"/>
  <c r="E2693" i="2"/>
  <c r="D2693" i="2"/>
  <c r="C2693" i="2"/>
  <c r="B2693" i="2"/>
  <c r="A2693" i="2"/>
  <c r="Q2692" i="2"/>
  <c r="U2692" i="2" s="1"/>
  <c r="N2692" i="2"/>
  <c r="M2692" i="2"/>
  <c r="J2692" i="2"/>
  <c r="I2692" i="2"/>
  <c r="H2692" i="2"/>
  <c r="G2692" i="2"/>
  <c r="F2692" i="2"/>
  <c r="E2692" i="2"/>
  <c r="D2692" i="2"/>
  <c r="C2692" i="2"/>
  <c r="B2692" i="2"/>
  <c r="A2692" i="2"/>
  <c r="U2691" i="2"/>
  <c r="N2691" i="2"/>
  <c r="M2691" i="2"/>
  <c r="J2691" i="2"/>
  <c r="I2691" i="2"/>
  <c r="H2691" i="2"/>
  <c r="G2691" i="2"/>
  <c r="F2691" i="2"/>
  <c r="E2691" i="2"/>
  <c r="D2691" i="2"/>
  <c r="C2691" i="2"/>
  <c r="B2691" i="2"/>
  <c r="A2691" i="2"/>
  <c r="Q2690" i="2"/>
  <c r="U2690" i="2" s="1"/>
  <c r="N2690" i="2"/>
  <c r="M2690" i="2"/>
  <c r="J2690" i="2"/>
  <c r="I2690" i="2"/>
  <c r="H2690" i="2"/>
  <c r="G2690" i="2"/>
  <c r="F2690" i="2"/>
  <c r="E2690" i="2"/>
  <c r="D2690" i="2"/>
  <c r="C2690" i="2"/>
  <c r="B2690" i="2"/>
  <c r="A2690" i="2"/>
  <c r="U2689" i="2"/>
  <c r="N2689" i="2"/>
  <c r="M2689" i="2"/>
  <c r="J2689" i="2"/>
  <c r="I2689" i="2"/>
  <c r="H2689" i="2"/>
  <c r="G2689" i="2"/>
  <c r="F2689" i="2"/>
  <c r="E2689" i="2"/>
  <c r="D2689" i="2"/>
  <c r="C2689" i="2"/>
  <c r="B2689" i="2"/>
  <c r="A2689" i="2"/>
  <c r="U2688" i="2"/>
  <c r="N2688" i="2"/>
  <c r="M2688" i="2"/>
  <c r="J2688" i="2"/>
  <c r="I2688" i="2"/>
  <c r="H2688" i="2"/>
  <c r="G2688" i="2"/>
  <c r="F2688" i="2"/>
  <c r="E2688" i="2"/>
  <c r="D2688" i="2"/>
  <c r="C2688" i="2"/>
  <c r="B2688" i="2"/>
  <c r="A2688" i="2"/>
  <c r="U2687" i="2"/>
  <c r="N2687" i="2"/>
  <c r="M2687" i="2"/>
  <c r="J2687" i="2"/>
  <c r="I2687" i="2"/>
  <c r="H2687" i="2"/>
  <c r="G2687" i="2"/>
  <c r="F2687" i="2"/>
  <c r="E2687" i="2"/>
  <c r="D2687" i="2"/>
  <c r="C2687" i="2"/>
  <c r="B2687" i="2"/>
  <c r="A2687" i="2"/>
  <c r="U2686" i="2"/>
  <c r="N2686" i="2"/>
  <c r="M2686" i="2"/>
  <c r="J2686" i="2"/>
  <c r="I2686" i="2"/>
  <c r="H2686" i="2"/>
  <c r="G2686" i="2"/>
  <c r="F2686" i="2"/>
  <c r="E2686" i="2"/>
  <c r="D2686" i="2"/>
  <c r="C2686" i="2"/>
  <c r="B2686" i="2"/>
  <c r="A2686" i="2"/>
  <c r="U2685" i="2"/>
  <c r="N2685" i="2"/>
  <c r="M2685" i="2"/>
  <c r="J2685" i="2"/>
  <c r="I2685" i="2"/>
  <c r="H2685" i="2"/>
  <c r="G2685" i="2"/>
  <c r="F2685" i="2"/>
  <c r="E2685" i="2"/>
  <c r="D2685" i="2"/>
  <c r="C2685" i="2"/>
  <c r="B2685" i="2"/>
  <c r="A2685" i="2"/>
  <c r="U2684" i="2"/>
  <c r="N2684" i="2"/>
  <c r="M2684" i="2"/>
  <c r="J2684" i="2"/>
  <c r="I2684" i="2"/>
  <c r="H2684" i="2"/>
  <c r="G2684" i="2"/>
  <c r="F2684" i="2"/>
  <c r="E2684" i="2"/>
  <c r="D2684" i="2"/>
  <c r="C2684" i="2"/>
  <c r="B2684" i="2"/>
  <c r="A2684" i="2"/>
  <c r="U2683" i="2"/>
  <c r="N2683" i="2"/>
  <c r="M2683" i="2"/>
  <c r="J2683" i="2"/>
  <c r="I2683" i="2"/>
  <c r="H2683" i="2"/>
  <c r="G2683" i="2"/>
  <c r="F2683" i="2"/>
  <c r="E2683" i="2"/>
  <c r="D2683" i="2"/>
  <c r="C2683" i="2"/>
  <c r="B2683" i="2"/>
  <c r="A2683" i="2"/>
  <c r="U2682" i="2"/>
  <c r="N2682" i="2"/>
  <c r="M2682" i="2"/>
  <c r="J2682" i="2"/>
  <c r="I2682" i="2"/>
  <c r="H2682" i="2"/>
  <c r="G2682" i="2"/>
  <c r="F2682" i="2"/>
  <c r="E2682" i="2"/>
  <c r="D2682" i="2"/>
  <c r="C2682" i="2"/>
  <c r="B2682" i="2"/>
  <c r="A2682" i="2"/>
  <c r="U2681" i="2"/>
  <c r="N2681" i="2"/>
  <c r="M2681" i="2"/>
  <c r="J2681" i="2"/>
  <c r="I2681" i="2"/>
  <c r="H2681" i="2"/>
  <c r="G2681" i="2"/>
  <c r="F2681" i="2"/>
  <c r="E2681" i="2"/>
  <c r="D2681" i="2"/>
  <c r="C2681" i="2"/>
  <c r="B2681" i="2"/>
  <c r="A2681" i="2"/>
  <c r="U2680" i="2"/>
  <c r="N2680" i="2"/>
  <c r="M2680" i="2"/>
  <c r="J2680" i="2"/>
  <c r="I2680" i="2"/>
  <c r="H2680" i="2"/>
  <c r="G2680" i="2"/>
  <c r="F2680" i="2"/>
  <c r="E2680" i="2"/>
  <c r="D2680" i="2"/>
  <c r="C2680" i="2"/>
  <c r="B2680" i="2"/>
  <c r="A2680" i="2"/>
  <c r="Q2679" i="2"/>
  <c r="U2679" i="2" s="1"/>
  <c r="N2679" i="2"/>
  <c r="M2679" i="2"/>
  <c r="J2679" i="2"/>
  <c r="I2679" i="2"/>
  <c r="H2679" i="2"/>
  <c r="G2679" i="2"/>
  <c r="F2679" i="2"/>
  <c r="E2679" i="2"/>
  <c r="D2679" i="2"/>
  <c r="C2679" i="2"/>
  <c r="B2679" i="2"/>
  <c r="A2679" i="2"/>
  <c r="Q2678" i="2"/>
  <c r="U2678" i="2" s="1"/>
  <c r="N2678" i="2"/>
  <c r="M2678" i="2"/>
  <c r="J2678" i="2"/>
  <c r="I2678" i="2"/>
  <c r="H2678" i="2"/>
  <c r="G2678" i="2"/>
  <c r="F2678" i="2"/>
  <c r="E2678" i="2"/>
  <c r="D2678" i="2"/>
  <c r="C2678" i="2"/>
  <c r="B2678" i="2"/>
  <c r="A2678" i="2"/>
  <c r="Q2677" i="2"/>
  <c r="U2677" i="2" s="1"/>
  <c r="N2677" i="2"/>
  <c r="M2677" i="2"/>
  <c r="J2677" i="2"/>
  <c r="I2677" i="2"/>
  <c r="H2677" i="2"/>
  <c r="G2677" i="2"/>
  <c r="F2677" i="2"/>
  <c r="E2677" i="2"/>
  <c r="D2677" i="2"/>
  <c r="C2677" i="2"/>
  <c r="B2677" i="2"/>
  <c r="A2677" i="2"/>
  <c r="U2676" i="2"/>
  <c r="N2676" i="2"/>
  <c r="M2676" i="2"/>
  <c r="J2676" i="2"/>
  <c r="I2676" i="2"/>
  <c r="H2676" i="2"/>
  <c r="G2676" i="2"/>
  <c r="F2676" i="2"/>
  <c r="E2676" i="2"/>
  <c r="D2676" i="2"/>
  <c r="C2676" i="2"/>
  <c r="B2676" i="2"/>
  <c r="A2676" i="2"/>
  <c r="U2675" i="2"/>
  <c r="N2675" i="2"/>
  <c r="M2675" i="2"/>
  <c r="J2675" i="2"/>
  <c r="I2675" i="2"/>
  <c r="H2675" i="2"/>
  <c r="G2675" i="2"/>
  <c r="F2675" i="2"/>
  <c r="E2675" i="2"/>
  <c r="D2675" i="2"/>
  <c r="C2675" i="2"/>
  <c r="B2675" i="2"/>
  <c r="A2675" i="2"/>
  <c r="U2674" i="2"/>
  <c r="N2674" i="2"/>
  <c r="M2674" i="2"/>
  <c r="J2674" i="2"/>
  <c r="I2674" i="2"/>
  <c r="H2674" i="2"/>
  <c r="G2674" i="2"/>
  <c r="F2674" i="2"/>
  <c r="E2674" i="2"/>
  <c r="D2674" i="2"/>
  <c r="C2674" i="2"/>
  <c r="B2674" i="2"/>
  <c r="A2674" i="2"/>
  <c r="U2673" i="2"/>
  <c r="N2673" i="2"/>
  <c r="M2673" i="2"/>
  <c r="J2673" i="2"/>
  <c r="I2673" i="2"/>
  <c r="H2673" i="2"/>
  <c r="G2673" i="2"/>
  <c r="F2673" i="2"/>
  <c r="E2673" i="2"/>
  <c r="D2673" i="2"/>
  <c r="C2673" i="2"/>
  <c r="B2673" i="2"/>
  <c r="A2673" i="2"/>
  <c r="U2672" i="2"/>
  <c r="N2672" i="2"/>
  <c r="M2672" i="2"/>
  <c r="J2672" i="2"/>
  <c r="I2672" i="2"/>
  <c r="H2672" i="2"/>
  <c r="G2672" i="2"/>
  <c r="F2672" i="2"/>
  <c r="E2672" i="2"/>
  <c r="D2672" i="2"/>
  <c r="C2672" i="2"/>
  <c r="B2672" i="2"/>
  <c r="A2672" i="2"/>
  <c r="U2671" i="2"/>
  <c r="N2671" i="2"/>
  <c r="M2671" i="2"/>
  <c r="J2671" i="2"/>
  <c r="I2671" i="2"/>
  <c r="H2671" i="2"/>
  <c r="G2671" i="2"/>
  <c r="F2671" i="2"/>
  <c r="E2671" i="2"/>
  <c r="D2671" i="2"/>
  <c r="C2671" i="2"/>
  <c r="B2671" i="2"/>
  <c r="A2671" i="2"/>
  <c r="U2670" i="2"/>
  <c r="N2670" i="2"/>
  <c r="M2670" i="2"/>
  <c r="J2670" i="2"/>
  <c r="I2670" i="2"/>
  <c r="H2670" i="2"/>
  <c r="G2670" i="2"/>
  <c r="F2670" i="2"/>
  <c r="E2670" i="2"/>
  <c r="D2670" i="2"/>
  <c r="C2670" i="2"/>
  <c r="B2670" i="2"/>
  <c r="A2670" i="2"/>
  <c r="U2669" i="2"/>
  <c r="N2669" i="2"/>
  <c r="M2669" i="2"/>
  <c r="J2669" i="2"/>
  <c r="I2669" i="2"/>
  <c r="H2669" i="2"/>
  <c r="G2669" i="2"/>
  <c r="F2669" i="2"/>
  <c r="E2669" i="2"/>
  <c r="D2669" i="2"/>
  <c r="C2669" i="2"/>
  <c r="B2669" i="2"/>
  <c r="A2669" i="2"/>
  <c r="U2668" i="2"/>
  <c r="N2668" i="2"/>
  <c r="M2668" i="2"/>
  <c r="J2668" i="2"/>
  <c r="I2668" i="2"/>
  <c r="H2668" i="2"/>
  <c r="G2668" i="2"/>
  <c r="F2668" i="2"/>
  <c r="E2668" i="2"/>
  <c r="D2668" i="2"/>
  <c r="C2668" i="2"/>
  <c r="B2668" i="2"/>
  <c r="A2668" i="2"/>
  <c r="U2667" i="2"/>
  <c r="N2667" i="2"/>
  <c r="M2667" i="2"/>
  <c r="J2667" i="2"/>
  <c r="I2667" i="2"/>
  <c r="H2667" i="2"/>
  <c r="G2667" i="2"/>
  <c r="F2667" i="2"/>
  <c r="E2667" i="2"/>
  <c r="D2667" i="2"/>
  <c r="C2667" i="2"/>
  <c r="B2667" i="2"/>
  <c r="A2667" i="2"/>
  <c r="U2666" i="2"/>
  <c r="N2666" i="2"/>
  <c r="M2666" i="2"/>
  <c r="J2666" i="2"/>
  <c r="I2666" i="2"/>
  <c r="H2666" i="2"/>
  <c r="G2666" i="2"/>
  <c r="F2666" i="2"/>
  <c r="E2666" i="2"/>
  <c r="D2666" i="2"/>
  <c r="C2666" i="2"/>
  <c r="B2666" i="2"/>
  <c r="A2666" i="2"/>
  <c r="U2665" i="2"/>
  <c r="N2665" i="2"/>
  <c r="M2665" i="2"/>
  <c r="J2665" i="2"/>
  <c r="I2665" i="2"/>
  <c r="H2665" i="2"/>
  <c r="G2665" i="2"/>
  <c r="F2665" i="2"/>
  <c r="E2665" i="2"/>
  <c r="D2665" i="2"/>
  <c r="C2665" i="2"/>
  <c r="B2665" i="2"/>
  <c r="A2665" i="2"/>
  <c r="U2664" i="2"/>
  <c r="N2664" i="2"/>
  <c r="M2664" i="2"/>
  <c r="J2664" i="2"/>
  <c r="I2664" i="2"/>
  <c r="H2664" i="2"/>
  <c r="G2664" i="2"/>
  <c r="F2664" i="2"/>
  <c r="E2664" i="2"/>
  <c r="D2664" i="2"/>
  <c r="C2664" i="2"/>
  <c r="B2664" i="2"/>
  <c r="A2664" i="2"/>
  <c r="U2663" i="2"/>
  <c r="N2663" i="2"/>
  <c r="M2663" i="2"/>
  <c r="J2663" i="2"/>
  <c r="I2663" i="2"/>
  <c r="H2663" i="2"/>
  <c r="G2663" i="2"/>
  <c r="F2663" i="2"/>
  <c r="E2663" i="2"/>
  <c r="D2663" i="2"/>
  <c r="C2663" i="2"/>
  <c r="B2663" i="2"/>
  <c r="A2663" i="2"/>
  <c r="U2662" i="2"/>
  <c r="N2662" i="2"/>
  <c r="M2662" i="2"/>
  <c r="J2662" i="2"/>
  <c r="I2662" i="2"/>
  <c r="H2662" i="2"/>
  <c r="G2662" i="2"/>
  <c r="F2662" i="2"/>
  <c r="E2662" i="2"/>
  <c r="D2662" i="2"/>
  <c r="C2662" i="2"/>
  <c r="B2662" i="2"/>
  <c r="A2662" i="2"/>
  <c r="U2661" i="2"/>
  <c r="N2661" i="2"/>
  <c r="M2661" i="2"/>
  <c r="J2661" i="2"/>
  <c r="I2661" i="2"/>
  <c r="H2661" i="2"/>
  <c r="G2661" i="2"/>
  <c r="F2661" i="2"/>
  <c r="E2661" i="2"/>
  <c r="D2661" i="2"/>
  <c r="C2661" i="2"/>
  <c r="B2661" i="2"/>
  <c r="A2661" i="2"/>
  <c r="U2660" i="2"/>
  <c r="N2660" i="2"/>
  <c r="M2660" i="2"/>
  <c r="J2660" i="2"/>
  <c r="I2660" i="2"/>
  <c r="H2660" i="2"/>
  <c r="G2660" i="2"/>
  <c r="F2660" i="2"/>
  <c r="E2660" i="2"/>
  <c r="D2660" i="2"/>
  <c r="C2660" i="2"/>
  <c r="B2660" i="2"/>
  <c r="A2660" i="2"/>
  <c r="U2659" i="2"/>
  <c r="N2659" i="2"/>
  <c r="M2659" i="2"/>
  <c r="J2659" i="2"/>
  <c r="I2659" i="2"/>
  <c r="H2659" i="2"/>
  <c r="G2659" i="2"/>
  <c r="F2659" i="2"/>
  <c r="E2659" i="2"/>
  <c r="D2659" i="2"/>
  <c r="C2659" i="2"/>
  <c r="B2659" i="2"/>
  <c r="A2659" i="2"/>
  <c r="U2658" i="2"/>
  <c r="N2658" i="2"/>
  <c r="M2658" i="2"/>
  <c r="J2658" i="2"/>
  <c r="I2658" i="2"/>
  <c r="H2658" i="2"/>
  <c r="G2658" i="2"/>
  <c r="F2658" i="2"/>
  <c r="E2658" i="2"/>
  <c r="D2658" i="2"/>
  <c r="C2658" i="2"/>
  <c r="B2658" i="2"/>
  <c r="A2658" i="2"/>
  <c r="U2657" i="2"/>
  <c r="N2657" i="2"/>
  <c r="M2657" i="2"/>
  <c r="J2657" i="2"/>
  <c r="I2657" i="2"/>
  <c r="H2657" i="2"/>
  <c r="G2657" i="2"/>
  <c r="F2657" i="2"/>
  <c r="E2657" i="2"/>
  <c r="D2657" i="2"/>
  <c r="C2657" i="2"/>
  <c r="B2657" i="2"/>
  <c r="A2657" i="2"/>
  <c r="U2656" i="2"/>
  <c r="N2656" i="2"/>
  <c r="M2656" i="2"/>
  <c r="J2656" i="2"/>
  <c r="I2656" i="2"/>
  <c r="H2656" i="2"/>
  <c r="G2656" i="2"/>
  <c r="F2656" i="2"/>
  <c r="E2656" i="2"/>
  <c r="D2656" i="2"/>
  <c r="C2656" i="2"/>
  <c r="B2656" i="2"/>
  <c r="A2656" i="2"/>
  <c r="U2655" i="2"/>
  <c r="N2655" i="2"/>
  <c r="M2655" i="2"/>
  <c r="J2655" i="2"/>
  <c r="I2655" i="2"/>
  <c r="H2655" i="2"/>
  <c r="G2655" i="2"/>
  <c r="F2655" i="2"/>
  <c r="E2655" i="2"/>
  <c r="D2655" i="2"/>
  <c r="C2655" i="2"/>
  <c r="B2655" i="2"/>
  <c r="A2655" i="2"/>
  <c r="U2654" i="2"/>
  <c r="N2654" i="2"/>
  <c r="M2654" i="2"/>
  <c r="J2654" i="2"/>
  <c r="I2654" i="2"/>
  <c r="H2654" i="2"/>
  <c r="G2654" i="2"/>
  <c r="F2654" i="2"/>
  <c r="E2654" i="2"/>
  <c r="D2654" i="2"/>
  <c r="C2654" i="2"/>
  <c r="B2654" i="2"/>
  <c r="A2654" i="2"/>
  <c r="U2653" i="2"/>
  <c r="N2653" i="2"/>
  <c r="M2653" i="2"/>
  <c r="J2653" i="2"/>
  <c r="I2653" i="2"/>
  <c r="H2653" i="2"/>
  <c r="G2653" i="2"/>
  <c r="F2653" i="2"/>
  <c r="E2653" i="2"/>
  <c r="D2653" i="2"/>
  <c r="C2653" i="2"/>
  <c r="B2653" i="2"/>
  <c r="A2653" i="2"/>
  <c r="U2652" i="2"/>
  <c r="N2652" i="2"/>
  <c r="M2652" i="2"/>
  <c r="J2652" i="2"/>
  <c r="I2652" i="2"/>
  <c r="H2652" i="2"/>
  <c r="G2652" i="2"/>
  <c r="F2652" i="2"/>
  <c r="E2652" i="2"/>
  <c r="D2652" i="2"/>
  <c r="C2652" i="2"/>
  <c r="B2652" i="2"/>
  <c r="A2652" i="2"/>
  <c r="U2651" i="2"/>
  <c r="N2651" i="2"/>
  <c r="M2651" i="2"/>
  <c r="J2651" i="2"/>
  <c r="I2651" i="2"/>
  <c r="H2651" i="2"/>
  <c r="G2651" i="2"/>
  <c r="F2651" i="2"/>
  <c r="E2651" i="2"/>
  <c r="D2651" i="2"/>
  <c r="C2651" i="2"/>
  <c r="B2651" i="2"/>
  <c r="A2651" i="2"/>
  <c r="U2650" i="2"/>
  <c r="N2650" i="2"/>
  <c r="M2650" i="2"/>
  <c r="J2650" i="2"/>
  <c r="I2650" i="2"/>
  <c r="H2650" i="2"/>
  <c r="G2650" i="2"/>
  <c r="F2650" i="2"/>
  <c r="E2650" i="2"/>
  <c r="D2650" i="2"/>
  <c r="C2650" i="2"/>
  <c r="B2650" i="2"/>
  <c r="A2650" i="2"/>
  <c r="U2649" i="2"/>
  <c r="N2649" i="2"/>
  <c r="M2649" i="2"/>
  <c r="J2649" i="2"/>
  <c r="I2649" i="2"/>
  <c r="H2649" i="2"/>
  <c r="G2649" i="2"/>
  <c r="F2649" i="2"/>
  <c r="E2649" i="2"/>
  <c r="D2649" i="2"/>
  <c r="C2649" i="2"/>
  <c r="B2649" i="2"/>
  <c r="A2649" i="2"/>
  <c r="U2648" i="2"/>
  <c r="N2648" i="2"/>
  <c r="M2648" i="2"/>
  <c r="J2648" i="2"/>
  <c r="I2648" i="2"/>
  <c r="H2648" i="2"/>
  <c r="G2648" i="2"/>
  <c r="F2648" i="2"/>
  <c r="E2648" i="2"/>
  <c r="D2648" i="2"/>
  <c r="C2648" i="2"/>
  <c r="B2648" i="2"/>
  <c r="A2648" i="2"/>
  <c r="U2647" i="2"/>
  <c r="N2647" i="2"/>
  <c r="M2647" i="2"/>
  <c r="J2647" i="2"/>
  <c r="I2647" i="2"/>
  <c r="H2647" i="2"/>
  <c r="G2647" i="2"/>
  <c r="F2647" i="2"/>
  <c r="E2647" i="2"/>
  <c r="D2647" i="2"/>
  <c r="C2647" i="2"/>
  <c r="B2647" i="2"/>
  <c r="A2647" i="2"/>
  <c r="U2646" i="2"/>
  <c r="N2646" i="2"/>
  <c r="M2646" i="2"/>
  <c r="J2646" i="2"/>
  <c r="I2646" i="2"/>
  <c r="H2646" i="2"/>
  <c r="G2646" i="2"/>
  <c r="F2646" i="2"/>
  <c r="E2646" i="2"/>
  <c r="D2646" i="2"/>
  <c r="C2646" i="2"/>
  <c r="B2646" i="2"/>
  <c r="A2646" i="2"/>
  <c r="U2645" i="2"/>
  <c r="N2645" i="2"/>
  <c r="M2645" i="2"/>
  <c r="J2645" i="2"/>
  <c r="I2645" i="2"/>
  <c r="H2645" i="2"/>
  <c r="G2645" i="2"/>
  <c r="F2645" i="2"/>
  <c r="E2645" i="2"/>
  <c r="D2645" i="2"/>
  <c r="C2645" i="2"/>
  <c r="B2645" i="2"/>
  <c r="A2645" i="2"/>
  <c r="U2644" i="2"/>
  <c r="N2644" i="2"/>
  <c r="M2644" i="2"/>
  <c r="J2644" i="2"/>
  <c r="I2644" i="2"/>
  <c r="H2644" i="2"/>
  <c r="G2644" i="2"/>
  <c r="F2644" i="2"/>
  <c r="E2644" i="2"/>
  <c r="D2644" i="2"/>
  <c r="C2644" i="2"/>
  <c r="B2644" i="2"/>
  <c r="A2644" i="2"/>
  <c r="U2643" i="2"/>
  <c r="N2643" i="2"/>
  <c r="M2643" i="2"/>
  <c r="J2643" i="2"/>
  <c r="I2643" i="2"/>
  <c r="H2643" i="2"/>
  <c r="G2643" i="2"/>
  <c r="F2643" i="2"/>
  <c r="E2643" i="2"/>
  <c r="D2643" i="2"/>
  <c r="C2643" i="2"/>
  <c r="B2643" i="2"/>
  <c r="A2643" i="2"/>
  <c r="U2642" i="2"/>
  <c r="N2642" i="2"/>
  <c r="M2642" i="2"/>
  <c r="J2642" i="2"/>
  <c r="I2642" i="2"/>
  <c r="H2642" i="2"/>
  <c r="G2642" i="2"/>
  <c r="F2642" i="2"/>
  <c r="E2642" i="2"/>
  <c r="D2642" i="2"/>
  <c r="C2642" i="2"/>
  <c r="B2642" i="2"/>
  <c r="A2642" i="2"/>
  <c r="U2641" i="2"/>
  <c r="N2641" i="2"/>
  <c r="M2641" i="2"/>
  <c r="J2641" i="2"/>
  <c r="I2641" i="2"/>
  <c r="H2641" i="2"/>
  <c r="G2641" i="2"/>
  <c r="F2641" i="2"/>
  <c r="E2641" i="2"/>
  <c r="D2641" i="2"/>
  <c r="C2641" i="2"/>
  <c r="B2641" i="2"/>
  <c r="A2641" i="2"/>
  <c r="U2640" i="2"/>
  <c r="N2640" i="2"/>
  <c r="M2640" i="2"/>
  <c r="J2640" i="2"/>
  <c r="I2640" i="2"/>
  <c r="H2640" i="2"/>
  <c r="G2640" i="2"/>
  <c r="F2640" i="2"/>
  <c r="E2640" i="2"/>
  <c r="D2640" i="2"/>
  <c r="C2640" i="2"/>
  <c r="B2640" i="2"/>
  <c r="A2640" i="2"/>
  <c r="U2639" i="2"/>
  <c r="N2639" i="2"/>
  <c r="M2639" i="2"/>
  <c r="J2639" i="2"/>
  <c r="I2639" i="2"/>
  <c r="H2639" i="2"/>
  <c r="G2639" i="2"/>
  <c r="F2639" i="2"/>
  <c r="E2639" i="2"/>
  <c r="D2639" i="2"/>
  <c r="C2639" i="2"/>
  <c r="B2639" i="2"/>
  <c r="A2639" i="2"/>
  <c r="U2638" i="2"/>
  <c r="N2638" i="2"/>
  <c r="M2638" i="2"/>
  <c r="J2638" i="2"/>
  <c r="I2638" i="2"/>
  <c r="H2638" i="2"/>
  <c r="G2638" i="2"/>
  <c r="F2638" i="2"/>
  <c r="E2638" i="2"/>
  <c r="D2638" i="2"/>
  <c r="C2638" i="2"/>
  <c r="B2638" i="2"/>
  <c r="A2638" i="2"/>
  <c r="U2637" i="2"/>
  <c r="N2637" i="2"/>
  <c r="M2637" i="2"/>
  <c r="J2637" i="2"/>
  <c r="I2637" i="2"/>
  <c r="H2637" i="2"/>
  <c r="G2637" i="2"/>
  <c r="F2637" i="2"/>
  <c r="E2637" i="2"/>
  <c r="D2637" i="2"/>
  <c r="C2637" i="2"/>
  <c r="B2637" i="2"/>
  <c r="A2637" i="2"/>
  <c r="U2636" i="2"/>
  <c r="N2636" i="2"/>
  <c r="M2636" i="2"/>
  <c r="J2636" i="2"/>
  <c r="I2636" i="2"/>
  <c r="H2636" i="2"/>
  <c r="G2636" i="2"/>
  <c r="F2636" i="2"/>
  <c r="E2636" i="2"/>
  <c r="D2636" i="2"/>
  <c r="C2636" i="2"/>
  <c r="B2636" i="2"/>
  <c r="A2636" i="2"/>
  <c r="U2635" i="2"/>
  <c r="N2635" i="2"/>
  <c r="M2635" i="2"/>
  <c r="J2635" i="2"/>
  <c r="I2635" i="2"/>
  <c r="H2635" i="2"/>
  <c r="G2635" i="2"/>
  <c r="F2635" i="2"/>
  <c r="E2635" i="2"/>
  <c r="D2635" i="2"/>
  <c r="C2635" i="2"/>
  <c r="B2635" i="2"/>
  <c r="A2635" i="2"/>
  <c r="U2634" i="2"/>
  <c r="N2634" i="2"/>
  <c r="M2634" i="2"/>
  <c r="J2634" i="2"/>
  <c r="I2634" i="2"/>
  <c r="H2634" i="2"/>
  <c r="G2634" i="2"/>
  <c r="F2634" i="2"/>
  <c r="E2634" i="2"/>
  <c r="D2634" i="2"/>
  <c r="C2634" i="2"/>
  <c r="B2634" i="2"/>
  <c r="A2634" i="2"/>
  <c r="U2633" i="2"/>
  <c r="N2633" i="2"/>
  <c r="M2633" i="2"/>
  <c r="J2633" i="2"/>
  <c r="I2633" i="2"/>
  <c r="H2633" i="2"/>
  <c r="G2633" i="2"/>
  <c r="F2633" i="2"/>
  <c r="E2633" i="2"/>
  <c r="D2633" i="2"/>
  <c r="C2633" i="2"/>
  <c r="B2633" i="2"/>
  <c r="A2633" i="2"/>
  <c r="U2632" i="2"/>
  <c r="N2632" i="2"/>
  <c r="M2632" i="2"/>
  <c r="J2632" i="2"/>
  <c r="I2632" i="2"/>
  <c r="H2632" i="2"/>
  <c r="G2632" i="2"/>
  <c r="F2632" i="2"/>
  <c r="E2632" i="2"/>
  <c r="D2632" i="2"/>
  <c r="C2632" i="2"/>
  <c r="B2632" i="2"/>
  <c r="A2632" i="2"/>
  <c r="U2631" i="2"/>
  <c r="N2631" i="2"/>
  <c r="M2631" i="2"/>
  <c r="J2631" i="2"/>
  <c r="I2631" i="2"/>
  <c r="H2631" i="2"/>
  <c r="G2631" i="2"/>
  <c r="F2631" i="2"/>
  <c r="E2631" i="2"/>
  <c r="D2631" i="2"/>
  <c r="C2631" i="2"/>
  <c r="B2631" i="2"/>
  <c r="A2631" i="2"/>
  <c r="U2630" i="2"/>
  <c r="N2630" i="2"/>
  <c r="M2630" i="2"/>
  <c r="J2630" i="2"/>
  <c r="I2630" i="2"/>
  <c r="H2630" i="2"/>
  <c r="G2630" i="2"/>
  <c r="F2630" i="2"/>
  <c r="E2630" i="2"/>
  <c r="D2630" i="2"/>
  <c r="C2630" i="2"/>
  <c r="B2630" i="2"/>
  <c r="A2630" i="2"/>
  <c r="U2629" i="2"/>
  <c r="N2629" i="2"/>
  <c r="M2629" i="2"/>
  <c r="J2629" i="2"/>
  <c r="I2629" i="2"/>
  <c r="H2629" i="2"/>
  <c r="G2629" i="2"/>
  <c r="F2629" i="2"/>
  <c r="E2629" i="2"/>
  <c r="D2629" i="2"/>
  <c r="C2629" i="2"/>
  <c r="B2629" i="2"/>
  <c r="A2629" i="2"/>
  <c r="U2628" i="2"/>
  <c r="N2628" i="2"/>
  <c r="M2628" i="2"/>
  <c r="J2628" i="2"/>
  <c r="I2628" i="2"/>
  <c r="H2628" i="2"/>
  <c r="G2628" i="2"/>
  <c r="F2628" i="2"/>
  <c r="E2628" i="2"/>
  <c r="D2628" i="2"/>
  <c r="C2628" i="2"/>
  <c r="B2628" i="2"/>
  <c r="A2628" i="2"/>
  <c r="U2627" i="2"/>
  <c r="N2627" i="2"/>
  <c r="M2627" i="2"/>
  <c r="J2627" i="2"/>
  <c r="I2627" i="2"/>
  <c r="H2627" i="2"/>
  <c r="G2627" i="2"/>
  <c r="F2627" i="2"/>
  <c r="E2627" i="2"/>
  <c r="D2627" i="2"/>
  <c r="C2627" i="2"/>
  <c r="B2627" i="2"/>
  <c r="A2627" i="2"/>
  <c r="U2626" i="2"/>
  <c r="N2626" i="2"/>
  <c r="M2626" i="2"/>
  <c r="J2626" i="2"/>
  <c r="I2626" i="2"/>
  <c r="H2626" i="2"/>
  <c r="G2626" i="2"/>
  <c r="F2626" i="2"/>
  <c r="E2626" i="2"/>
  <c r="D2626" i="2"/>
  <c r="C2626" i="2"/>
  <c r="B2626" i="2"/>
  <c r="A2626" i="2"/>
  <c r="U2625" i="2"/>
  <c r="N2625" i="2"/>
  <c r="M2625" i="2"/>
  <c r="J2625" i="2"/>
  <c r="I2625" i="2"/>
  <c r="H2625" i="2"/>
  <c r="G2625" i="2"/>
  <c r="F2625" i="2"/>
  <c r="E2625" i="2"/>
  <c r="D2625" i="2"/>
  <c r="C2625" i="2"/>
  <c r="B2625" i="2"/>
  <c r="A2625" i="2"/>
  <c r="U2624" i="2"/>
  <c r="N2624" i="2"/>
  <c r="M2624" i="2"/>
  <c r="J2624" i="2"/>
  <c r="I2624" i="2"/>
  <c r="H2624" i="2"/>
  <c r="G2624" i="2"/>
  <c r="F2624" i="2"/>
  <c r="E2624" i="2"/>
  <c r="D2624" i="2"/>
  <c r="C2624" i="2"/>
  <c r="B2624" i="2"/>
  <c r="A2624" i="2"/>
  <c r="U2623" i="2"/>
  <c r="N2623" i="2"/>
  <c r="M2623" i="2"/>
  <c r="J2623" i="2"/>
  <c r="I2623" i="2"/>
  <c r="H2623" i="2"/>
  <c r="G2623" i="2"/>
  <c r="F2623" i="2"/>
  <c r="E2623" i="2"/>
  <c r="D2623" i="2"/>
  <c r="C2623" i="2"/>
  <c r="B2623" i="2"/>
  <c r="A2623" i="2"/>
  <c r="U2622" i="2"/>
  <c r="N2622" i="2"/>
  <c r="M2622" i="2"/>
  <c r="J2622" i="2"/>
  <c r="I2622" i="2"/>
  <c r="H2622" i="2"/>
  <c r="G2622" i="2"/>
  <c r="F2622" i="2"/>
  <c r="E2622" i="2"/>
  <c r="D2622" i="2"/>
  <c r="C2622" i="2"/>
  <c r="B2622" i="2"/>
  <c r="A2622" i="2"/>
  <c r="U2621" i="2"/>
  <c r="N2621" i="2"/>
  <c r="M2621" i="2"/>
  <c r="J2621" i="2"/>
  <c r="I2621" i="2"/>
  <c r="H2621" i="2"/>
  <c r="G2621" i="2"/>
  <c r="F2621" i="2"/>
  <c r="E2621" i="2"/>
  <c r="D2621" i="2"/>
  <c r="C2621" i="2"/>
  <c r="B2621" i="2"/>
  <c r="A2621" i="2"/>
  <c r="U2620" i="2"/>
  <c r="N2620" i="2"/>
  <c r="M2620" i="2"/>
  <c r="J2620" i="2"/>
  <c r="I2620" i="2"/>
  <c r="H2620" i="2"/>
  <c r="G2620" i="2"/>
  <c r="F2620" i="2"/>
  <c r="E2620" i="2"/>
  <c r="D2620" i="2"/>
  <c r="C2620" i="2"/>
  <c r="B2620" i="2"/>
  <c r="A2620" i="2"/>
  <c r="U2619" i="2"/>
  <c r="N2619" i="2"/>
  <c r="M2619" i="2"/>
  <c r="J2619" i="2"/>
  <c r="I2619" i="2"/>
  <c r="H2619" i="2"/>
  <c r="G2619" i="2"/>
  <c r="F2619" i="2"/>
  <c r="E2619" i="2"/>
  <c r="D2619" i="2"/>
  <c r="C2619" i="2"/>
  <c r="B2619" i="2"/>
  <c r="A2619" i="2"/>
  <c r="U2618" i="2"/>
  <c r="N2618" i="2"/>
  <c r="M2618" i="2"/>
  <c r="J2618" i="2"/>
  <c r="I2618" i="2"/>
  <c r="H2618" i="2"/>
  <c r="G2618" i="2"/>
  <c r="F2618" i="2"/>
  <c r="E2618" i="2"/>
  <c r="D2618" i="2"/>
  <c r="C2618" i="2"/>
  <c r="B2618" i="2"/>
  <c r="A2618" i="2"/>
  <c r="U2617" i="2"/>
  <c r="N2617" i="2"/>
  <c r="M2617" i="2"/>
  <c r="J2617" i="2"/>
  <c r="I2617" i="2"/>
  <c r="H2617" i="2"/>
  <c r="G2617" i="2"/>
  <c r="F2617" i="2"/>
  <c r="E2617" i="2"/>
  <c r="D2617" i="2"/>
  <c r="C2617" i="2"/>
  <c r="B2617" i="2"/>
  <c r="A2617" i="2"/>
  <c r="U2616" i="2"/>
  <c r="N2616" i="2"/>
  <c r="M2616" i="2"/>
  <c r="J2616" i="2"/>
  <c r="I2616" i="2"/>
  <c r="H2616" i="2"/>
  <c r="G2616" i="2"/>
  <c r="F2616" i="2"/>
  <c r="E2616" i="2"/>
  <c r="D2616" i="2"/>
  <c r="C2616" i="2"/>
  <c r="B2616" i="2"/>
  <c r="A2616" i="2"/>
  <c r="U2615" i="2"/>
  <c r="N2615" i="2"/>
  <c r="M2615" i="2"/>
  <c r="J2615" i="2"/>
  <c r="I2615" i="2"/>
  <c r="H2615" i="2"/>
  <c r="G2615" i="2"/>
  <c r="F2615" i="2"/>
  <c r="E2615" i="2"/>
  <c r="D2615" i="2"/>
  <c r="C2615" i="2"/>
  <c r="B2615" i="2"/>
  <c r="A2615" i="2"/>
  <c r="U2614" i="2"/>
  <c r="N2614" i="2"/>
  <c r="M2614" i="2"/>
  <c r="J2614" i="2"/>
  <c r="I2614" i="2"/>
  <c r="H2614" i="2"/>
  <c r="G2614" i="2"/>
  <c r="F2614" i="2"/>
  <c r="E2614" i="2"/>
  <c r="D2614" i="2"/>
  <c r="C2614" i="2"/>
  <c r="B2614" i="2"/>
  <c r="A2614" i="2"/>
  <c r="U2613" i="2"/>
  <c r="N2613" i="2"/>
  <c r="M2613" i="2"/>
  <c r="J2613" i="2"/>
  <c r="I2613" i="2"/>
  <c r="H2613" i="2"/>
  <c r="G2613" i="2"/>
  <c r="F2613" i="2"/>
  <c r="E2613" i="2"/>
  <c r="D2613" i="2"/>
  <c r="C2613" i="2"/>
  <c r="B2613" i="2"/>
  <c r="A2613" i="2"/>
  <c r="U2612" i="2"/>
  <c r="N2612" i="2"/>
  <c r="M2612" i="2"/>
  <c r="J2612" i="2"/>
  <c r="I2612" i="2"/>
  <c r="H2612" i="2"/>
  <c r="G2612" i="2"/>
  <c r="F2612" i="2"/>
  <c r="E2612" i="2"/>
  <c r="D2612" i="2"/>
  <c r="C2612" i="2"/>
  <c r="B2612" i="2"/>
  <c r="A2612" i="2"/>
  <c r="U2611" i="2"/>
  <c r="N2611" i="2"/>
  <c r="M2611" i="2"/>
  <c r="J2611" i="2"/>
  <c r="I2611" i="2"/>
  <c r="H2611" i="2"/>
  <c r="G2611" i="2"/>
  <c r="F2611" i="2"/>
  <c r="E2611" i="2"/>
  <c r="D2611" i="2"/>
  <c r="C2611" i="2"/>
  <c r="B2611" i="2"/>
  <c r="A2611" i="2"/>
  <c r="Q2610" i="2"/>
  <c r="U2610" i="2" s="1"/>
  <c r="N2610" i="2"/>
  <c r="M2610" i="2"/>
  <c r="J2610" i="2"/>
  <c r="I2610" i="2"/>
  <c r="H2610" i="2"/>
  <c r="G2610" i="2"/>
  <c r="F2610" i="2"/>
  <c r="E2610" i="2"/>
  <c r="D2610" i="2"/>
  <c r="C2610" i="2"/>
  <c r="B2610" i="2"/>
  <c r="A2610" i="2"/>
  <c r="U2609" i="2"/>
  <c r="N2609" i="2"/>
  <c r="M2609" i="2"/>
  <c r="J2609" i="2"/>
  <c r="I2609" i="2"/>
  <c r="H2609" i="2"/>
  <c r="G2609" i="2"/>
  <c r="F2609" i="2"/>
  <c r="E2609" i="2"/>
  <c r="D2609" i="2"/>
  <c r="C2609" i="2"/>
  <c r="B2609" i="2"/>
  <c r="A2609" i="2"/>
  <c r="U2608" i="2"/>
  <c r="N2608" i="2"/>
  <c r="M2608" i="2"/>
  <c r="J2608" i="2"/>
  <c r="I2608" i="2"/>
  <c r="H2608" i="2"/>
  <c r="G2608" i="2"/>
  <c r="F2608" i="2"/>
  <c r="E2608" i="2"/>
  <c r="D2608" i="2"/>
  <c r="C2608" i="2"/>
  <c r="B2608" i="2"/>
  <c r="A2608" i="2"/>
  <c r="U2607" i="2"/>
  <c r="N2607" i="2"/>
  <c r="M2607" i="2"/>
  <c r="J2607" i="2"/>
  <c r="I2607" i="2"/>
  <c r="H2607" i="2"/>
  <c r="G2607" i="2"/>
  <c r="F2607" i="2"/>
  <c r="E2607" i="2"/>
  <c r="D2607" i="2"/>
  <c r="C2607" i="2"/>
  <c r="B2607" i="2"/>
  <c r="A2607" i="2"/>
  <c r="U2606" i="2"/>
  <c r="N2606" i="2"/>
  <c r="M2606" i="2"/>
  <c r="J2606" i="2"/>
  <c r="I2606" i="2"/>
  <c r="H2606" i="2"/>
  <c r="G2606" i="2"/>
  <c r="F2606" i="2"/>
  <c r="E2606" i="2"/>
  <c r="D2606" i="2"/>
  <c r="C2606" i="2"/>
  <c r="B2606" i="2"/>
  <c r="A2606" i="2"/>
  <c r="Q2605" i="2"/>
  <c r="U2605" i="2" s="1"/>
  <c r="N2605" i="2"/>
  <c r="M2605" i="2"/>
  <c r="J2605" i="2"/>
  <c r="I2605" i="2"/>
  <c r="H2605" i="2"/>
  <c r="G2605" i="2"/>
  <c r="F2605" i="2"/>
  <c r="E2605" i="2"/>
  <c r="D2605" i="2"/>
  <c r="C2605" i="2"/>
  <c r="B2605" i="2"/>
  <c r="A2605" i="2"/>
  <c r="Q2604" i="2"/>
  <c r="U2604" i="2" s="1"/>
  <c r="N2604" i="2"/>
  <c r="M2604" i="2"/>
  <c r="J2604" i="2"/>
  <c r="I2604" i="2"/>
  <c r="H2604" i="2"/>
  <c r="G2604" i="2"/>
  <c r="F2604" i="2"/>
  <c r="E2604" i="2"/>
  <c r="D2604" i="2"/>
  <c r="C2604" i="2"/>
  <c r="B2604" i="2"/>
  <c r="A2604" i="2"/>
  <c r="U2603" i="2"/>
  <c r="N2603" i="2"/>
  <c r="M2603" i="2"/>
  <c r="J2603" i="2"/>
  <c r="I2603" i="2"/>
  <c r="H2603" i="2"/>
  <c r="G2603" i="2"/>
  <c r="F2603" i="2"/>
  <c r="E2603" i="2"/>
  <c r="D2603" i="2"/>
  <c r="C2603" i="2"/>
  <c r="B2603" i="2"/>
  <c r="A2603" i="2"/>
  <c r="U2602" i="2"/>
  <c r="N2602" i="2"/>
  <c r="M2602" i="2"/>
  <c r="J2602" i="2"/>
  <c r="I2602" i="2"/>
  <c r="H2602" i="2"/>
  <c r="G2602" i="2"/>
  <c r="F2602" i="2"/>
  <c r="E2602" i="2"/>
  <c r="D2602" i="2"/>
  <c r="C2602" i="2"/>
  <c r="B2602" i="2"/>
  <c r="A2602" i="2"/>
  <c r="Q2601" i="2"/>
  <c r="U2601" i="2" s="1"/>
  <c r="N2601" i="2"/>
  <c r="M2601" i="2"/>
  <c r="J2601" i="2"/>
  <c r="I2601" i="2"/>
  <c r="H2601" i="2"/>
  <c r="G2601" i="2"/>
  <c r="F2601" i="2"/>
  <c r="E2601" i="2"/>
  <c r="D2601" i="2"/>
  <c r="C2601" i="2"/>
  <c r="B2601" i="2"/>
  <c r="A2601" i="2"/>
  <c r="U2600" i="2"/>
  <c r="N2600" i="2"/>
  <c r="M2600" i="2"/>
  <c r="J2600" i="2"/>
  <c r="I2600" i="2"/>
  <c r="H2600" i="2"/>
  <c r="G2600" i="2"/>
  <c r="F2600" i="2"/>
  <c r="E2600" i="2"/>
  <c r="D2600" i="2"/>
  <c r="C2600" i="2"/>
  <c r="B2600" i="2"/>
  <c r="A2600" i="2"/>
  <c r="Q2599" i="2"/>
  <c r="U2599" i="2" s="1"/>
  <c r="N2599" i="2"/>
  <c r="M2599" i="2"/>
  <c r="J2599" i="2"/>
  <c r="I2599" i="2"/>
  <c r="H2599" i="2"/>
  <c r="G2599" i="2"/>
  <c r="F2599" i="2"/>
  <c r="E2599" i="2"/>
  <c r="D2599" i="2"/>
  <c r="C2599" i="2"/>
  <c r="B2599" i="2"/>
  <c r="A2599" i="2"/>
  <c r="U2598" i="2"/>
  <c r="N2598" i="2"/>
  <c r="M2598" i="2"/>
  <c r="J2598" i="2"/>
  <c r="I2598" i="2"/>
  <c r="H2598" i="2"/>
  <c r="G2598" i="2"/>
  <c r="F2598" i="2"/>
  <c r="E2598" i="2"/>
  <c r="D2598" i="2"/>
  <c r="C2598" i="2"/>
  <c r="B2598" i="2"/>
  <c r="A2598" i="2"/>
  <c r="Q2597" i="2"/>
  <c r="U2597" i="2" s="1"/>
  <c r="N2597" i="2"/>
  <c r="M2597" i="2"/>
  <c r="J2597" i="2"/>
  <c r="I2597" i="2"/>
  <c r="H2597" i="2"/>
  <c r="G2597" i="2"/>
  <c r="F2597" i="2"/>
  <c r="E2597" i="2"/>
  <c r="D2597" i="2"/>
  <c r="C2597" i="2"/>
  <c r="B2597" i="2"/>
  <c r="A2597" i="2"/>
  <c r="U2596" i="2"/>
  <c r="N2596" i="2"/>
  <c r="M2596" i="2"/>
  <c r="J2596" i="2"/>
  <c r="I2596" i="2"/>
  <c r="H2596" i="2"/>
  <c r="G2596" i="2"/>
  <c r="F2596" i="2"/>
  <c r="E2596" i="2"/>
  <c r="D2596" i="2"/>
  <c r="C2596" i="2"/>
  <c r="B2596" i="2"/>
  <c r="A2596" i="2"/>
  <c r="U2595" i="2"/>
  <c r="N2595" i="2"/>
  <c r="M2595" i="2"/>
  <c r="J2595" i="2"/>
  <c r="I2595" i="2"/>
  <c r="H2595" i="2"/>
  <c r="G2595" i="2"/>
  <c r="F2595" i="2"/>
  <c r="E2595" i="2"/>
  <c r="D2595" i="2"/>
  <c r="C2595" i="2"/>
  <c r="B2595" i="2"/>
  <c r="A2595" i="2"/>
  <c r="Q2594" i="2"/>
  <c r="U2594" i="2" s="1"/>
  <c r="N2594" i="2"/>
  <c r="M2594" i="2"/>
  <c r="J2594" i="2"/>
  <c r="I2594" i="2"/>
  <c r="H2594" i="2"/>
  <c r="G2594" i="2"/>
  <c r="F2594" i="2"/>
  <c r="E2594" i="2"/>
  <c r="D2594" i="2"/>
  <c r="C2594" i="2"/>
  <c r="B2594" i="2"/>
  <c r="A2594" i="2"/>
  <c r="U2593" i="2"/>
  <c r="N2593" i="2"/>
  <c r="M2593" i="2"/>
  <c r="J2593" i="2"/>
  <c r="I2593" i="2"/>
  <c r="H2593" i="2"/>
  <c r="G2593" i="2"/>
  <c r="F2593" i="2"/>
  <c r="E2593" i="2"/>
  <c r="D2593" i="2"/>
  <c r="C2593" i="2"/>
  <c r="B2593" i="2"/>
  <c r="A2593" i="2"/>
  <c r="U2592" i="2"/>
  <c r="N2592" i="2"/>
  <c r="M2592" i="2"/>
  <c r="J2592" i="2"/>
  <c r="I2592" i="2"/>
  <c r="H2592" i="2"/>
  <c r="G2592" i="2"/>
  <c r="F2592" i="2"/>
  <c r="E2592" i="2"/>
  <c r="D2592" i="2"/>
  <c r="C2592" i="2"/>
  <c r="B2592" i="2"/>
  <c r="A2592" i="2"/>
  <c r="U2591" i="2"/>
  <c r="N2591" i="2"/>
  <c r="M2591" i="2"/>
  <c r="J2591" i="2"/>
  <c r="I2591" i="2"/>
  <c r="H2591" i="2"/>
  <c r="G2591" i="2"/>
  <c r="F2591" i="2"/>
  <c r="E2591" i="2"/>
  <c r="D2591" i="2"/>
  <c r="C2591" i="2"/>
  <c r="B2591" i="2"/>
  <c r="A2591" i="2"/>
  <c r="U2590" i="2"/>
  <c r="N2590" i="2"/>
  <c r="M2590" i="2"/>
  <c r="J2590" i="2"/>
  <c r="I2590" i="2"/>
  <c r="H2590" i="2"/>
  <c r="G2590" i="2"/>
  <c r="F2590" i="2"/>
  <c r="E2590" i="2"/>
  <c r="D2590" i="2"/>
  <c r="C2590" i="2"/>
  <c r="B2590" i="2"/>
  <c r="A2590" i="2"/>
  <c r="U2589" i="2"/>
  <c r="N2589" i="2"/>
  <c r="M2589" i="2"/>
  <c r="J2589" i="2"/>
  <c r="I2589" i="2"/>
  <c r="H2589" i="2"/>
  <c r="G2589" i="2"/>
  <c r="F2589" i="2"/>
  <c r="E2589" i="2"/>
  <c r="D2589" i="2"/>
  <c r="C2589" i="2"/>
  <c r="B2589" i="2"/>
  <c r="A2589" i="2"/>
  <c r="U2588" i="2"/>
  <c r="N2588" i="2"/>
  <c r="M2588" i="2"/>
  <c r="J2588" i="2"/>
  <c r="I2588" i="2"/>
  <c r="H2588" i="2"/>
  <c r="G2588" i="2"/>
  <c r="F2588" i="2"/>
  <c r="E2588" i="2"/>
  <c r="D2588" i="2"/>
  <c r="C2588" i="2"/>
  <c r="B2588" i="2"/>
  <c r="A2588" i="2"/>
  <c r="Q2587" i="2"/>
  <c r="U2587" i="2" s="1"/>
  <c r="N2587" i="2"/>
  <c r="M2587" i="2"/>
  <c r="J2587" i="2"/>
  <c r="I2587" i="2"/>
  <c r="H2587" i="2"/>
  <c r="G2587" i="2"/>
  <c r="F2587" i="2"/>
  <c r="E2587" i="2"/>
  <c r="D2587" i="2"/>
  <c r="C2587" i="2"/>
  <c r="B2587" i="2"/>
  <c r="A2587" i="2"/>
  <c r="U2586" i="2"/>
  <c r="N2586" i="2"/>
  <c r="M2586" i="2"/>
  <c r="J2586" i="2"/>
  <c r="I2586" i="2"/>
  <c r="H2586" i="2"/>
  <c r="G2586" i="2"/>
  <c r="F2586" i="2"/>
  <c r="E2586" i="2"/>
  <c r="D2586" i="2"/>
  <c r="C2586" i="2"/>
  <c r="B2586" i="2"/>
  <c r="A2586" i="2"/>
  <c r="U2585" i="2"/>
  <c r="N2585" i="2"/>
  <c r="M2585" i="2"/>
  <c r="J2585" i="2"/>
  <c r="I2585" i="2"/>
  <c r="H2585" i="2"/>
  <c r="G2585" i="2"/>
  <c r="F2585" i="2"/>
  <c r="E2585" i="2"/>
  <c r="D2585" i="2"/>
  <c r="C2585" i="2"/>
  <c r="B2585" i="2"/>
  <c r="A2585" i="2"/>
  <c r="U2584" i="2"/>
  <c r="N2584" i="2"/>
  <c r="M2584" i="2"/>
  <c r="J2584" i="2"/>
  <c r="I2584" i="2"/>
  <c r="H2584" i="2"/>
  <c r="G2584" i="2"/>
  <c r="F2584" i="2"/>
  <c r="E2584" i="2"/>
  <c r="D2584" i="2"/>
  <c r="C2584" i="2"/>
  <c r="B2584" i="2"/>
  <c r="A2584" i="2"/>
  <c r="U2583" i="2"/>
  <c r="N2583" i="2"/>
  <c r="M2583" i="2"/>
  <c r="J2583" i="2"/>
  <c r="I2583" i="2"/>
  <c r="H2583" i="2"/>
  <c r="G2583" i="2"/>
  <c r="F2583" i="2"/>
  <c r="E2583" i="2"/>
  <c r="D2583" i="2"/>
  <c r="C2583" i="2"/>
  <c r="B2583" i="2"/>
  <c r="A2583" i="2"/>
  <c r="U2582" i="2"/>
  <c r="N2582" i="2"/>
  <c r="M2582" i="2"/>
  <c r="J2582" i="2"/>
  <c r="I2582" i="2"/>
  <c r="H2582" i="2"/>
  <c r="G2582" i="2"/>
  <c r="F2582" i="2"/>
  <c r="E2582" i="2"/>
  <c r="D2582" i="2"/>
  <c r="C2582" i="2"/>
  <c r="B2582" i="2"/>
  <c r="A2582" i="2"/>
  <c r="U2581" i="2"/>
  <c r="N2581" i="2"/>
  <c r="M2581" i="2"/>
  <c r="J2581" i="2"/>
  <c r="I2581" i="2"/>
  <c r="H2581" i="2"/>
  <c r="G2581" i="2"/>
  <c r="F2581" i="2"/>
  <c r="E2581" i="2"/>
  <c r="D2581" i="2"/>
  <c r="C2581" i="2"/>
  <c r="B2581" i="2"/>
  <c r="A2581" i="2"/>
  <c r="U2580" i="2"/>
  <c r="N2580" i="2"/>
  <c r="M2580" i="2"/>
  <c r="J2580" i="2"/>
  <c r="I2580" i="2"/>
  <c r="H2580" i="2"/>
  <c r="G2580" i="2"/>
  <c r="F2580" i="2"/>
  <c r="E2580" i="2"/>
  <c r="D2580" i="2"/>
  <c r="C2580" i="2"/>
  <c r="B2580" i="2"/>
  <c r="A2580" i="2"/>
  <c r="U2579" i="2"/>
  <c r="N2579" i="2"/>
  <c r="M2579" i="2"/>
  <c r="J2579" i="2"/>
  <c r="I2579" i="2"/>
  <c r="H2579" i="2"/>
  <c r="G2579" i="2"/>
  <c r="F2579" i="2"/>
  <c r="E2579" i="2"/>
  <c r="D2579" i="2"/>
  <c r="C2579" i="2"/>
  <c r="B2579" i="2"/>
  <c r="A2579" i="2"/>
  <c r="Q2578" i="2"/>
  <c r="U2578" i="2" s="1"/>
  <c r="N2578" i="2"/>
  <c r="M2578" i="2"/>
  <c r="J2578" i="2"/>
  <c r="I2578" i="2"/>
  <c r="H2578" i="2"/>
  <c r="G2578" i="2"/>
  <c r="F2578" i="2"/>
  <c r="E2578" i="2"/>
  <c r="D2578" i="2"/>
  <c r="C2578" i="2"/>
  <c r="B2578" i="2"/>
  <c r="A2578" i="2"/>
  <c r="U2577" i="2"/>
  <c r="N2577" i="2"/>
  <c r="M2577" i="2"/>
  <c r="J2577" i="2"/>
  <c r="I2577" i="2"/>
  <c r="H2577" i="2"/>
  <c r="G2577" i="2"/>
  <c r="F2577" i="2"/>
  <c r="E2577" i="2"/>
  <c r="D2577" i="2"/>
  <c r="C2577" i="2"/>
  <c r="B2577" i="2"/>
  <c r="A2577" i="2"/>
  <c r="U2576" i="2"/>
  <c r="N2576" i="2"/>
  <c r="M2576" i="2"/>
  <c r="J2576" i="2"/>
  <c r="I2576" i="2"/>
  <c r="H2576" i="2"/>
  <c r="G2576" i="2"/>
  <c r="F2576" i="2"/>
  <c r="E2576" i="2"/>
  <c r="D2576" i="2"/>
  <c r="C2576" i="2"/>
  <c r="B2576" i="2"/>
  <c r="A2576" i="2"/>
  <c r="U2575" i="2"/>
  <c r="N2575" i="2"/>
  <c r="M2575" i="2"/>
  <c r="J2575" i="2"/>
  <c r="I2575" i="2"/>
  <c r="H2575" i="2"/>
  <c r="G2575" i="2"/>
  <c r="F2575" i="2"/>
  <c r="E2575" i="2"/>
  <c r="D2575" i="2"/>
  <c r="C2575" i="2"/>
  <c r="B2575" i="2"/>
  <c r="A2575" i="2"/>
  <c r="Q2574" i="2"/>
  <c r="U2574" i="2" s="1"/>
  <c r="N2574" i="2"/>
  <c r="M2574" i="2"/>
  <c r="J2574" i="2"/>
  <c r="I2574" i="2"/>
  <c r="H2574" i="2"/>
  <c r="G2574" i="2"/>
  <c r="F2574" i="2"/>
  <c r="E2574" i="2"/>
  <c r="D2574" i="2"/>
  <c r="C2574" i="2"/>
  <c r="B2574" i="2"/>
  <c r="A2574" i="2"/>
  <c r="U2573" i="2"/>
  <c r="N2573" i="2"/>
  <c r="M2573" i="2"/>
  <c r="J2573" i="2"/>
  <c r="I2573" i="2"/>
  <c r="H2573" i="2"/>
  <c r="G2573" i="2"/>
  <c r="F2573" i="2"/>
  <c r="E2573" i="2"/>
  <c r="D2573" i="2"/>
  <c r="C2573" i="2"/>
  <c r="B2573" i="2"/>
  <c r="A2573" i="2"/>
  <c r="U2572" i="2"/>
  <c r="N2572" i="2"/>
  <c r="M2572" i="2"/>
  <c r="J2572" i="2"/>
  <c r="I2572" i="2"/>
  <c r="H2572" i="2"/>
  <c r="G2572" i="2"/>
  <c r="F2572" i="2"/>
  <c r="E2572" i="2"/>
  <c r="D2572" i="2"/>
  <c r="C2572" i="2"/>
  <c r="B2572" i="2"/>
  <c r="A2572" i="2"/>
  <c r="U2571" i="2"/>
  <c r="N2571" i="2"/>
  <c r="M2571" i="2"/>
  <c r="J2571" i="2"/>
  <c r="I2571" i="2"/>
  <c r="H2571" i="2"/>
  <c r="G2571" i="2"/>
  <c r="F2571" i="2"/>
  <c r="E2571" i="2"/>
  <c r="D2571" i="2"/>
  <c r="C2571" i="2"/>
  <c r="B2571" i="2"/>
  <c r="A2571" i="2"/>
  <c r="U2570" i="2"/>
  <c r="N2570" i="2"/>
  <c r="M2570" i="2"/>
  <c r="J2570" i="2"/>
  <c r="I2570" i="2"/>
  <c r="H2570" i="2"/>
  <c r="G2570" i="2"/>
  <c r="F2570" i="2"/>
  <c r="E2570" i="2"/>
  <c r="D2570" i="2"/>
  <c r="C2570" i="2"/>
  <c r="B2570" i="2"/>
  <c r="A2570" i="2"/>
  <c r="U2569" i="2"/>
  <c r="N2569" i="2"/>
  <c r="M2569" i="2"/>
  <c r="J2569" i="2"/>
  <c r="I2569" i="2"/>
  <c r="H2569" i="2"/>
  <c r="G2569" i="2"/>
  <c r="F2569" i="2"/>
  <c r="E2569" i="2"/>
  <c r="D2569" i="2"/>
  <c r="C2569" i="2"/>
  <c r="B2569" i="2"/>
  <c r="A2569" i="2"/>
  <c r="U2568" i="2"/>
  <c r="N2568" i="2"/>
  <c r="M2568" i="2"/>
  <c r="J2568" i="2"/>
  <c r="I2568" i="2"/>
  <c r="H2568" i="2"/>
  <c r="G2568" i="2"/>
  <c r="F2568" i="2"/>
  <c r="E2568" i="2"/>
  <c r="D2568" i="2"/>
  <c r="C2568" i="2"/>
  <c r="B2568" i="2"/>
  <c r="A2568" i="2"/>
  <c r="U2567" i="2"/>
  <c r="N2567" i="2"/>
  <c r="M2567" i="2"/>
  <c r="J2567" i="2"/>
  <c r="I2567" i="2"/>
  <c r="H2567" i="2"/>
  <c r="G2567" i="2"/>
  <c r="F2567" i="2"/>
  <c r="E2567" i="2"/>
  <c r="D2567" i="2"/>
  <c r="C2567" i="2"/>
  <c r="B2567" i="2"/>
  <c r="A2567" i="2"/>
  <c r="U2566" i="2"/>
  <c r="N2566" i="2"/>
  <c r="M2566" i="2"/>
  <c r="J2566" i="2"/>
  <c r="I2566" i="2"/>
  <c r="H2566" i="2"/>
  <c r="G2566" i="2"/>
  <c r="F2566" i="2"/>
  <c r="E2566" i="2"/>
  <c r="D2566" i="2"/>
  <c r="C2566" i="2"/>
  <c r="B2566" i="2"/>
  <c r="A2566" i="2"/>
  <c r="U2565" i="2"/>
  <c r="N2565" i="2"/>
  <c r="M2565" i="2"/>
  <c r="J2565" i="2"/>
  <c r="I2565" i="2"/>
  <c r="H2565" i="2"/>
  <c r="G2565" i="2"/>
  <c r="F2565" i="2"/>
  <c r="E2565" i="2"/>
  <c r="D2565" i="2"/>
  <c r="C2565" i="2"/>
  <c r="B2565" i="2"/>
  <c r="A2565" i="2"/>
  <c r="U2564" i="2"/>
  <c r="N2564" i="2"/>
  <c r="M2564" i="2"/>
  <c r="J2564" i="2"/>
  <c r="I2564" i="2"/>
  <c r="H2564" i="2"/>
  <c r="G2564" i="2"/>
  <c r="F2564" i="2"/>
  <c r="E2564" i="2"/>
  <c r="D2564" i="2"/>
  <c r="C2564" i="2"/>
  <c r="B2564" i="2"/>
  <c r="A2564" i="2"/>
  <c r="U2563" i="2"/>
  <c r="N2563" i="2"/>
  <c r="M2563" i="2"/>
  <c r="J2563" i="2"/>
  <c r="I2563" i="2"/>
  <c r="H2563" i="2"/>
  <c r="G2563" i="2"/>
  <c r="F2563" i="2"/>
  <c r="E2563" i="2"/>
  <c r="D2563" i="2"/>
  <c r="C2563" i="2"/>
  <c r="B2563" i="2"/>
  <c r="A2563" i="2"/>
  <c r="Q2562" i="2"/>
  <c r="U2562" i="2" s="1"/>
  <c r="N2562" i="2"/>
  <c r="M2562" i="2"/>
  <c r="J2562" i="2"/>
  <c r="I2562" i="2"/>
  <c r="H2562" i="2"/>
  <c r="G2562" i="2"/>
  <c r="F2562" i="2"/>
  <c r="E2562" i="2"/>
  <c r="D2562" i="2"/>
  <c r="C2562" i="2"/>
  <c r="B2562" i="2"/>
  <c r="A2562" i="2"/>
  <c r="U2561" i="2"/>
  <c r="N2561" i="2"/>
  <c r="M2561" i="2"/>
  <c r="J2561" i="2"/>
  <c r="I2561" i="2"/>
  <c r="H2561" i="2"/>
  <c r="G2561" i="2"/>
  <c r="F2561" i="2"/>
  <c r="E2561" i="2"/>
  <c r="D2561" i="2"/>
  <c r="C2561" i="2"/>
  <c r="B2561" i="2"/>
  <c r="A2561" i="2"/>
  <c r="Q2560" i="2"/>
  <c r="U2560" i="2" s="1"/>
  <c r="N2560" i="2"/>
  <c r="M2560" i="2"/>
  <c r="J2560" i="2"/>
  <c r="I2560" i="2"/>
  <c r="H2560" i="2"/>
  <c r="G2560" i="2"/>
  <c r="F2560" i="2"/>
  <c r="E2560" i="2"/>
  <c r="D2560" i="2"/>
  <c r="C2560" i="2"/>
  <c r="B2560" i="2"/>
  <c r="A2560" i="2"/>
  <c r="U2559" i="2"/>
  <c r="N2559" i="2"/>
  <c r="M2559" i="2"/>
  <c r="J2559" i="2"/>
  <c r="I2559" i="2"/>
  <c r="H2559" i="2"/>
  <c r="G2559" i="2"/>
  <c r="F2559" i="2"/>
  <c r="E2559" i="2"/>
  <c r="D2559" i="2"/>
  <c r="C2559" i="2"/>
  <c r="B2559" i="2"/>
  <c r="A2559" i="2"/>
  <c r="U2558" i="2"/>
  <c r="N2558" i="2"/>
  <c r="M2558" i="2"/>
  <c r="J2558" i="2"/>
  <c r="I2558" i="2"/>
  <c r="H2558" i="2"/>
  <c r="G2558" i="2"/>
  <c r="F2558" i="2"/>
  <c r="E2558" i="2"/>
  <c r="D2558" i="2"/>
  <c r="C2558" i="2"/>
  <c r="B2558" i="2"/>
  <c r="A2558" i="2"/>
  <c r="U2557" i="2"/>
  <c r="N2557" i="2"/>
  <c r="M2557" i="2"/>
  <c r="J2557" i="2"/>
  <c r="I2557" i="2"/>
  <c r="H2557" i="2"/>
  <c r="G2557" i="2"/>
  <c r="F2557" i="2"/>
  <c r="E2557" i="2"/>
  <c r="D2557" i="2"/>
  <c r="C2557" i="2"/>
  <c r="B2557" i="2"/>
  <c r="A2557" i="2"/>
  <c r="U2556" i="2"/>
  <c r="N2556" i="2"/>
  <c r="M2556" i="2"/>
  <c r="J2556" i="2"/>
  <c r="I2556" i="2"/>
  <c r="H2556" i="2"/>
  <c r="G2556" i="2"/>
  <c r="F2556" i="2"/>
  <c r="E2556" i="2"/>
  <c r="D2556" i="2"/>
  <c r="C2556" i="2"/>
  <c r="B2556" i="2"/>
  <c r="A2556" i="2"/>
  <c r="U2555" i="2"/>
  <c r="N2555" i="2"/>
  <c r="M2555" i="2"/>
  <c r="J2555" i="2"/>
  <c r="I2555" i="2"/>
  <c r="H2555" i="2"/>
  <c r="G2555" i="2"/>
  <c r="F2555" i="2"/>
  <c r="E2555" i="2"/>
  <c r="D2555" i="2"/>
  <c r="C2555" i="2"/>
  <c r="B2555" i="2"/>
  <c r="A2555" i="2"/>
  <c r="Q2554" i="2"/>
  <c r="U2554" i="2" s="1"/>
  <c r="N2554" i="2"/>
  <c r="M2554" i="2"/>
  <c r="J2554" i="2"/>
  <c r="I2554" i="2"/>
  <c r="H2554" i="2"/>
  <c r="G2554" i="2"/>
  <c r="F2554" i="2"/>
  <c r="E2554" i="2"/>
  <c r="D2554" i="2"/>
  <c r="C2554" i="2"/>
  <c r="B2554" i="2"/>
  <c r="A2554" i="2"/>
  <c r="U2553" i="2"/>
  <c r="N2553" i="2"/>
  <c r="M2553" i="2"/>
  <c r="J2553" i="2"/>
  <c r="I2553" i="2"/>
  <c r="H2553" i="2"/>
  <c r="G2553" i="2"/>
  <c r="F2553" i="2"/>
  <c r="E2553" i="2"/>
  <c r="D2553" i="2"/>
  <c r="C2553" i="2"/>
  <c r="B2553" i="2"/>
  <c r="A2553" i="2"/>
  <c r="U2552" i="2"/>
  <c r="N2552" i="2"/>
  <c r="M2552" i="2"/>
  <c r="J2552" i="2"/>
  <c r="I2552" i="2"/>
  <c r="H2552" i="2"/>
  <c r="G2552" i="2"/>
  <c r="F2552" i="2"/>
  <c r="E2552" i="2"/>
  <c r="D2552" i="2"/>
  <c r="C2552" i="2"/>
  <c r="B2552" i="2"/>
  <c r="A2552" i="2"/>
  <c r="Q2551" i="2"/>
  <c r="U2551" i="2" s="1"/>
  <c r="N2551" i="2"/>
  <c r="M2551" i="2"/>
  <c r="J2551" i="2"/>
  <c r="I2551" i="2"/>
  <c r="H2551" i="2"/>
  <c r="G2551" i="2"/>
  <c r="F2551" i="2"/>
  <c r="E2551" i="2"/>
  <c r="D2551" i="2"/>
  <c r="C2551" i="2"/>
  <c r="B2551" i="2"/>
  <c r="A2551" i="2"/>
  <c r="U2550" i="2"/>
  <c r="N2550" i="2"/>
  <c r="M2550" i="2"/>
  <c r="J2550" i="2"/>
  <c r="I2550" i="2"/>
  <c r="H2550" i="2"/>
  <c r="G2550" i="2"/>
  <c r="F2550" i="2"/>
  <c r="E2550" i="2"/>
  <c r="D2550" i="2"/>
  <c r="C2550" i="2"/>
  <c r="B2550" i="2"/>
  <c r="A2550" i="2"/>
  <c r="U2549" i="2"/>
  <c r="N2549" i="2"/>
  <c r="M2549" i="2"/>
  <c r="J2549" i="2"/>
  <c r="I2549" i="2"/>
  <c r="H2549" i="2"/>
  <c r="G2549" i="2"/>
  <c r="F2549" i="2"/>
  <c r="E2549" i="2"/>
  <c r="D2549" i="2"/>
  <c r="C2549" i="2"/>
  <c r="B2549" i="2"/>
  <c r="A2549" i="2"/>
  <c r="U2548" i="2"/>
  <c r="N2548" i="2"/>
  <c r="M2548" i="2"/>
  <c r="J2548" i="2"/>
  <c r="I2548" i="2"/>
  <c r="H2548" i="2"/>
  <c r="G2548" i="2"/>
  <c r="F2548" i="2"/>
  <c r="E2548" i="2"/>
  <c r="D2548" i="2"/>
  <c r="C2548" i="2"/>
  <c r="B2548" i="2"/>
  <c r="A2548" i="2"/>
  <c r="U2547" i="2"/>
  <c r="N2547" i="2"/>
  <c r="M2547" i="2"/>
  <c r="J2547" i="2"/>
  <c r="I2547" i="2"/>
  <c r="H2547" i="2"/>
  <c r="G2547" i="2"/>
  <c r="F2547" i="2"/>
  <c r="E2547" i="2"/>
  <c r="D2547" i="2"/>
  <c r="C2547" i="2"/>
  <c r="B2547" i="2"/>
  <c r="A2547" i="2"/>
  <c r="U2546" i="2"/>
  <c r="N2546" i="2"/>
  <c r="M2546" i="2"/>
  <c r="J2546" i="2"/>
  <c r="I2546" i="2"/>
  <c r="H2546" i="2"/>
  <c r="G2546" i="2"/>
  <c r="F2546" i="2"/>
  <c r="E2546" i="2"/>
  <c r="D2546" i="2"/>
  <c r="C2546" i="2"/>
  <c r="B2546" i="2"/>
  <c r="A2546" i="2"/>
  <c r="Q2545" i="2"/>
  <c r="U2545" i="2" s="1"/>
  <c r="N2545" i="2"/>
  <c r="M2545" i="2"/>
  <c r="J2545" i="2"/>
  <c r="I2545" i="2"/>
  <c r="H2545" i="2"/>
  <c r="G2545" i="2"/>
  <c r="F2545" i="2"/>
  <c r="E2545" i="2"/>
  <c r="D2545" i="2"/>
  <c r="C2545" i="2"/>
  <c r="B2545" i="2"/>
  <c r="A2545" i="2"/>
  <c r="U2544" i="2"/>
  <c r="N2544" i="2"/>
  <c r="M2544" i="2"/>
  <c r="J2544" i="2"/>
  <c r="I2544" i="2"/>
  <c r="H2544" i="2"/>
  <c r="G2544" i="2"/>
  <c r="F2544" i="2"/>
  <c r="E2544" i="2"/>
  <c r="D2544" i="2"/>
  <c r="C2544" i="2"/>
  <c r="B2544" i="2"/>
  <c r="A2544" i="2"/>
  <c r="U2543" i="2"/>
  <c r="N2543" i="2"/>
  <c r="M2543" i="2"/>
  <c r="J2543" i="2"/>
  <c r="I2543" i="2"/>
  <c r="H2543" i="2"/>
  <c r="G2543" i="2"/>
  <c r="F2543" i="2"/>
  <c r="E2543" i="2"/>
  <c r="D2543" i="2"/>
  <c r="C2543" i="2"/>
  <c r="B2543" i="2"/>
  <c r="A2543" i="2"/>
  <c r="U2542" i="2"/>
  <c r="N2542" i="2"/>
  <c r="M2542" i="2"/>
  <c r="J2542" i="2"/>
  <c r="I2542" i="2"/>
  <c r="H2542" i="2"/>
  <c r="G2542" i="2"/>
  <c r="F2542" i="2"/>
  <c r="E2542" i="2"/>
  <c r="D2542" i="2"/>
  <c r="C2542" i="2"/>
  <c r="B2542" i="2"/>
  <c r="A2542" i="2"/>
  <c r="U2541" i="2"/>
  <c r="N2541" i="2"/>
  <c r="M2541" i="2"/>
  <c r="J2541" i="2"/>
  <c r="I2541" i="2"/>
  <c r="H2541" i="2"/>
  <c r="G2541" i="2"/>
  <c r="F2541" i="2"/>
  <c r="E2541" i="2"/>
  <c r="D2541" i="2"/>
  <c r="C2541" i="2"/>
  <c r="B2541" i="2"/>
  <c r="A2541" i="2"/>
  <c r="U2540" i="2"/>
  <c r="N2540" i="2"/>
  <c r="M2540" i="2"/>
  <c r="J2540" i="2"/>
  <c r="I2540" i="2"/>
  <c r="H2540" i="2"/>
  <c r="G2540" i="2"/>
  <c r="F2540" i="2"/>
  <c r="E2540" i="2"/>
  <c r="D2540" i="2"/>
  <c r="C2540" i="2"/>
  <c r="B2540" i="2"/>
  <c r="A2540" i="2"/>
  <c r="U2539" i="2"/>
  <c r="N2539" i="2"/>
  <c r="M2539" i="2"/>
  <c r="J2539" i="2"/>
  <c r="I2539" i="2"/>
  <c r="H2539" i="2"/>
  <c r="G2539" i="2"/>
  <c r="F2539" i="2"/>
  <c r="E2539" i="2"/>
  <c r="D2539" i="2"/>
  <c r="C2539" i="2"/>
  <c r="B2539" i="2"/>
  <c r="A2539" i="2"/>
  <c r="U2538" i="2"/>
  <c r="N2538" i="2"/>
  <c r="M2538" i="2"/>
  <c r="J2538" i="2"/>
  <c r="I2538" i="2"/>
  <c r="H2538" i="2"/>
  <c r="G2538" i="2"/>
  <c r="F2538" i="2"/>
  <c r="E2538" i="2"/>
  <c r="D2538" i="2"/>
  <c r="C2538" i="2"/>
  <c r="B2538" i="2"/>
  <c r="A2538" i="2"/>
  <c r="U2537" i="2"/>
  <c r="N2537" i="2"/>
  <c r="M2537" i="2"/>
  <c r="J2537" i="2"/>
  <c r="I2537" i="2"/>
  <c r="H2537" i="2"/>
  <c r="G2537" i="2"/>
  <c r="F2537" i="2"/>
  <c r="E2537" i="2"/>
  <c r="D2537" i="2"/>
  <c r="C2537" i="2"/>
  <c r="B2537" i="2"/>
  <c r="A2537" i="2"/>
  <c r="U2536" i="2"/>
  <c r="N2536" i="2"/>
  <c r="M2536" i="2"/>
  <c r="J2536" i="2"/>
  <c r="I2536" i="2"/>
  <c r="H2536" i="2"/>
  <c r="G2536" i="2"/>
  <c r="F2536" i="2"/>
  <c r="E2536" i="2"/>
  <c r="D2536" i="2"/>
  <c r="C2536" i="2"/>
  <c r="B2536" i="2"/>
  <c r="A2536" i="2"/>
  <c r="U2535" i="2"/>
  <c r="N2535" i="2"/>
  <c r="M2535" i="2"/>
  <c r="J2535" i="2"/>
  <c r="I2535" i="2"/>
  <c r="H2535" i="2"/>
  <c r="G2535" i="2"/>
  <c r="F2535" i="2"/>
  <c r="E2535" i="2"/>
  <c r="D2535" i="2"/>
  <c r="C2535" i="2"/>
  <c r="B2535" i="2"/>
  <c r="A2535" i="2"/>
  <c r="U2534" i="2"/>
  <c r="N2534" i="2"/>
  <c r="M2534" i="2"/>
  <c r="J2534" i="2"/>
  <c r="I2534" i="2"/>
  <c r="H2534" i="2"/>
  <c r="G2534" i="2"/>
  <c r="F2534" i="2"/>
  <c r="E2534" i="2"/>
  <c r="D2534" i="2"/>
  <c r="C2534" i="2"/>
  <c r="B2534" i="2"/>
  <c r="A2534" i="2"/>
  <c r="Q2533" i="2"/>
  <c r="U2533" i="2" s="1"/>
  <c r="N2533" i="2"/>
  <c r="M2533" i="2"/>
  <c r="J2533" i="2"/>
  <c r="I2533" i="2"/>
  <c r="H2533" i="2"/>
  <c r="G2533" i="2"/>
  <c r="F2533" i="2"/>
  <c r="E2533" i="2"/>
  <c r="D2533" i="2"/>
  <c r="C2533" i="2"/>
  <c r="B2533" i="2"/>
  <c r="A2533" i="2"/>
  <c r="Q2532" i="2"/>
  <c r="U2532" i="2" s="1"/>
  <c r="N2532" i="2"/>
  <c r="M2532" i="2"/>
  <c r="J2532" i="2"/>
  <c r="I2532" i="2"/>
  <c r="H2532" i="2"/>
  <c r="G2532" i="2"/>
  <c r="F2532" i="2"/>
  <c r="E2532" i="2"/>
  <c r="D2532" i="2"/>
  <c r="C2532" i="2"/>
  <c r="B2532" i="2"/>
  <c r="A2532" i="2"/>
  <c r="Q2531" i="2"/>
  <c r="U2531" i="2" s="1"/>
  <c r="N2531" i="2"/>
  <c r="M2531" i="2"/>
  <c r="J2531" i="2"/>
  <c r="I2531" i="2"/>
  <c r="H2531" i="2"/>
  <c r="G2531" i="2"/>
  <c r="F2531" i="2"/>
  <c r="E2531" i="2"/>
  <c r="D2531" i="2"/>
  <c r="C2531" i="2"/>
  <c r="B2531" i="2"/>
  <c r="A2531" i="2"/>
  <c r="Q2530" i="2"/>
  <c r="U2530" i="2" s="1"/>
  <c r="N2530" i="2"/>
  <c r="M2530" i="2"/>
  <c r="J2530" i="2"/>
  <c r="I2530" i="2"/>
  <c r="H2530" i="2"/>
  <c r="G2530" i="2"/>
  <c r="F2530" i="2"/>
  <c r="E2530" i="2"/>
  <c r="D2530" i="2"/>
  <c r="C2530" i="2"/>
  <c r="B2530" i="2"/>
  <c r="A2530" i="2"/>
  <c r="U2529" i="2"/>
  <c r="N2529" i="2"/>
  <c r="M2529" i="2"/>
  <c r="J2529" i="2"/>
  <c r="I2529" i="2"/>
  <c r="H2529" i="2"/>
  <c r="G2529" i="2"/>
  <c r="F2529" i="2"/>
  <c r="E2529" i="2"/>
  <c r="D2529" i="2"/>
  <c r="C2529" i="2"/>
  <c r="B2529" i="2"/>
  <c r="A2529" i="2"/>
  <c r="U2528" i="2"/>
  <c r="N2528" i="2"/>
  <c r="M2528" i="2"/>
  <c r="J2528" i="2"/>
  <c r="I2528" i="2"/>
  <c r="H2528" i="2"/>
  <c r="G2528" i="2"/>
  <c r="F2528" i="2"/>
  <c r="E2528" i="2"/>
  <c r="D2528" i="2"/>
  <c r="C2528" i="2"/>
  <c r="B2528" i="2"/>
  <c r="A2528" i="2"/>
  <c r="U2527" i="2"/>
  <c r="N2527" i="2"/>
  <c r="M2527" i="2"/>
  <c r="J2527" i="2"/>
  <c r="I2527" i="2"/>
  <c r="H2527" i="2"/>
  <c r="G2527" i="2"/>
  <c r="F2527" i="2"/>
  <c r="E2527" i="2"/>
  <c r="D2527" i="2"/>
  <c r="C2527" i="2"/>
  <c r="B2527" i="2"/>
  <c r="A2527" i="2"/>
  <c r="U2526" i="2"/>
  <c r="N2526" i="2"/>
  <c r="M2526" i="2"/>
  <c r="J2526" i="2"/>
  <c r="I2526" i="2"/>
  <c r="H2526" i="2"/>
  <c r="G2526" i="2"/>
  <c r="F2526" i="2"/>
  <c r="E2526" i="2"/>
  <c r="D2526" i="2"/>
  <c r="C2526" i="2"/>
  <c r="B2526" i="2"/>
  <c r="A2526" i="2"/>
  <c r="U2525" i="2"/>
  <c r="N2525" i="2"/>
  <c r="M2525" i="2"/>
  <c r="J2525" i="2"/>
  <c r="I2525" i="2"/>
  <c r="H2525" i="2"/>
  <c r="G2525" i="2"/>
  <c r="F2525" i="2"/>
  <c r="E2525" i="2"/>
  <c r="D2525" i="2"/>
  <c r="C2525" i="2"/>
  <c r="B2525" i="2"/>
  <c r="A2525" i="2"/>
  <c r="Q2524" i="2"/>
  <c r="U2524" i="2" s="1"/>
  <c r="N2524" i="2"/>
  <c r="M2524" i="2"/>
  <c r="J2524" i="2"/>
  <c r="I2524" i="2"/>
  <c r="H2524" i="2"/>
  <c r="G2524" i="2"/>
  <c r="F2524" i="2"/>
  <c r="E2524" i="2"/>
  <c r="D2524" i="2"/>
  <c r="C2524" i="2"/>
  <c r="B2524" i="2"/>
  <c r="A2524" i="2"/>
  <c r="U2523" i="2"/>
  <c r="N2523" i="2"/>
  <c r="M2523" i="2"/>
  <c r="J2523" i="2"/>
  <c r="I2523" i="2"/>
  <c r="H2523" i="2"/>
  <c r="G2523" i="2"/>
  <c r="F2523" i="2"/>
  <c r="E2523" i="2"/>
  <c r="D2523" i="2"/>
  <c r="C2523" i="2"/>
  <c r="B2523" i="2"/>
  <c r="A2523" i="2"/>
  <c r="U2522" i="2"/>
  <c r="N2522" i="2"/>
  <c r="M2522" i="2"/>
  <c r="J2522" i="2"/>
  <c r="I2522" i="2"/>
  <c r="H2522" i="2"/>
  <c r="G2522" i="2"/>
  <c r="F2522" i="2"/>
  <c r="E2522" i="2"/>
  <c r="D2522" i="2"/>
  <c r="C2522" i="2"/>
  <c r="B2522" i="2"/>
  <c r="A2522" i="2"/>
  <c r="U2521" i="2"/>
  <c r="N2521" i="2"/>
  <c r="M2521" i="2"/>
  <c r="J2521" i="2"/>
  <c r="I2521" i="2"/>
  <c r="H2521" i="2"/>
  <c r="G2521" i="2"/>
  <c r="F2521" i="2"/>
  <c r="E2521" i="2"/>
  <c r="D2521" i="2"/>
  <c r="C2521" i="2"/>
  <c r="B2521" i="2"/>
  <c r="A2521" i="2"/>
  <c r="U2520" i="2"/>
  <c r="N2520" i="2"/>
  <c r="M2520" i="2"/>
  <c r="J2520" i="2"/>
  <c r="I2520" i="2"/>
  <c r="H2520" i="2"/>
  <c r="G2520" i="2"/>
  <c r="F2520" i="2"/>
  <c r="E2520" i="2"/>
  <c r="D2520" i="2"/>
  <c r="C2520" i="2"/>
  <c r="B2520" i="2"/>
  <c r="A2520" i="2"/>
  <c r="U2519" i="2"/>
  <c r="N2519" i="2"/>
  <c r="M2519" i="2"/>
  <c r="J2519" i="2"/>
  <c r="I2519" i="2"/>
  <c r="H2519" i="2"/>
  <c r="G2519" i="2"/>
  <c r="F2519" i="2"/>
  <c r="E2519" i="2"/>
  <c r="D2519" i="2"/>
  <c r="C2519" i="2"/>
  <c r="B2519" i="2"/>
  <c r="A2519" i="2"/>
  <c r="Q2518" i="2"/>
  <c r="U2518" i="2" s="1"/>
  <c r="N2518" i="2"/>
  <c r="M2518" i="2"/>
  <c r="J2518" i="2"/>
  <c r="I2518" i="2"/>
  <c r="H2518" i="2"/>
  <c r="G2518" i="2"/>
  <c r="F2518" i="2"/>
  <c r="E2518" i="2"/>
  <c r="D2518" i="2"/>
  <c r="C2518" i="2"/>
  <c r="B2518" i="2"/>
  <c r="A2518" i="2"/>
  <c r="U2517" i="2"/>
  <c r="N2517" i="2"/>
  <c r="M2517" i="2"/>
  <c r="J2517" i="2"/>
  <c r="I2517" i="2"/>
  <c r="H2517" i="2"/>
  <c r="G2517" i="2"/>
  <c r="F2517" i="2"/>
  <c r="E2517" i="2"/>
  <c r="D2517" i="2"/>
  <c r="C2517" i="2"/>
  <c r="B2517" i="2"/>
  <c r="A2517" i="2"/>
  <c r="U2516" i="2"/>
  <c r="N2516" i="2"/>
  <c r="M2516" i="2"/>
  <c r="J2516" i="2"/>
  <c r="I2516" i="2"/>
  <c r="H2516" i="2"/>
  <c r="G2516" i="2"/>
  <c r="F2516" i="2"/>
  <c r="E2516" i="2"/>
  <c r="D2516" i="2"/>
  <c r="C2516" i="2"/>
  <c r="B2516" i="2"/>
  <c r="A2516" i="2"/>
  <c r="U2515" i="2"/>
  <c r="N2515" i="2"/>
  <c r="M2515" i="2"/>
  <c r="J2515" i="2"/>
  <c r="I2515" i="2"/>
  <c r="H2515" i="2"/>
  <c r="G2515" i="2"/>
  <c r="F2515" i="2"/>
  <c r="E2515" i="2"/>
  <c r="D2515" i="2"/>
  <c r="C2515" i="2"/>
  <c r="B2515" i="2"/>
  <c r="A2515" i="2"/>
  <c r="U2514" i="2"/>
  <c r="N2514" i="2"/>
  <c r="M2514" i="2"/>
  <c r="J2514" i="2"/>
  <c r="I2514" i="2"/>
  <c r="H2514" i="2"/>
  <c r="G2514" i="2"/>
  <c r="F2514" i="2"/>
  <c r="E2514" i="2"/>
  <c r="D2514" i="2"/>
  <c r="C2514" i="2"/>
  <c r="B2514" i="2"/>
  <c r="A2514" i="2"/>
  <c r="U2513" i="2"/>
  <c r="N2513" i="2"/>
  <c r="M2513" i="2"/>
  <c r="J2513" i="2"/>
  <c r="I2513" i="2"/>
  <c r="H2513" i="2"/>
  <c r="G2513" i="2"/>
  <c r="F2513" i="2"/>
  <c r="E2513" i="2"/>
  <c r="D2513" i="2"/>
  <c r="C2513" i="2"/>
  <c r="B2513" i="2"/>
  <c r="A2513" i="2"/>
  <c r="Q2512" i="2"/>
  <c r="U2512" i="2" s="1"/>
  <c r="N2512" i="2"/>
  <c r="M2512" i="2"/>
  <c r="J2512" i="2"/>
  <c r="I2512" i="2"/>
  <c r="H2512" i="2"/>
  <c r="G2512" i="2"/>
  <c r="F2512" i="2"/>
  <c r="E2512" i="2"/>
  <c r="D2512" i="2"/>
  <c r="C2512" i="2"/>
  <c r="B2512" i="2"/>
  <c r="A2512" i="2"/>
  <c r="U2511" i="2"/>
  <c r="N2511" i="2"/>
  <c r="M2511" i="2"/>
  <c r="J2511" i="2"/>
  <c r="I2511" i="2"/>
  <c r="H2511" i="2"/>
  <c r="G2511" i="2"/>
  <c r="F2511" i="2"/>
  <c r="E2511" i="2"/>
  <c r="D2511" i="2"/>
  <c r="C2511" i="2"/>
  <c r="B2511" i="2"/>
  <c r="A2511" i="2"/>
  <c r="U2510" i="2"/>
  <c r="N2510" i="2"/>
  <c r="M2510" i="2"/>
  <c r="J2510" i="2"/>
  <c r="I2510" i="2"/>
  <c r="H2510" i="2"/>
  <c r="G2510" i="2"/>
  <c r="F2510" i="2"/>
  <c r="E2510" i="2"/>
  <c r="D2510" i="2"/>
  <c r="C2510" i="2"/>
  <c r="B2510" i="2"/>
  <c r="A2510" i="2"/>
  <c r="U2509" i="2"/>
  <c r="N2509" i="2"/>
  <c r="M2509" i="2"/>
  <c r="J2509" i="2"/>
  <c r="I2509" i="2"/>
  <c r="H2509" i="2"/>
  <c r="G2509" i="2"/>
  <c r="F2509" i="2"/>
  <c r="E2509" i="2"/>
  <c r="D2509" i="2"/>
  <c r="C2509" i="2"/>
  <c r="B2509" i="2"/>
  <c r="A2509" i="2"/>
  <c r="Q2508" i="2"/>
  <c r="U2508" i="2" s="1"/>
  <c r="N2508" i="2"/>
  <c r="M2508" i="2"/>
  <c r="J2508" i="2"/>
  <c r="I2508" i="2"/>
  <c r="H2508" i="2"/>
  <c r="G2508" i="2"/>
  <c r="F2508" i="2"/>
  <c r="E2508" i="2"/>
  <c r="D2508" i="2"/>
  <c r="C2508" i="2"/>
  <c r="B2508" i="2"/>
  <c r="A2508" i="2"/>
  <c r="U2507" i="2"/>
  <c r="N2507" i="2"/>
  <c r="M2507" i="2"/>
  <c r="J2507" i="2"/>
  <c r="I2507" i="2"/>
  <c r="H2507" i="2"/>
  <c r="G2507" i="2"/>
  <c r="F2507" i="2"/>
  <c r="E2507" i="2"/>
  <c r="D2507" i="2"/>
  <c r="C2507" i="2"/>
  <c r="B2507" i="2"/>
  <c r="A2507" i="2"/>
  <c r="U2506" i="2"/>
  <c r="N2506" i="2"/>
  <c r="M2506" i="2"/>
  <c r="J2506" i="2"/>
  <c r="I2506" i="2"/>
  <c r="H2506" i="2"/>
  <c r="G2506" i="2"/>
  <c r="F2506" i="2"/>
  <c r="E2506" i="2"/>
  <c r="D2506" i="2"/>
  <c r="C2506" i="2"/>
  <c r="B2506" i="2"/>
  <c r="A2506" i="2"/>
  <c r="Q2505" i="2"/>
  <c r="U2505" i="2" s="1"/>
  <c r="N2505" i="2"/>
  <c r="M2505" i="2"/>
  <c r="J2505" i="2"/>
  <c r="I2505" i="2"/>
  <c r="H2505" i="2"/>
  <c r="G2505" i="2"/>
  <c r="F2505" i="2"/>
  <c r="E2505" i="2"/>
  <c r="D2505" i="2"/>
  <c r="C2505" i="2"/>
  <c r="B2505" i="2"/>
  <c r="A2505" i="2"/>
  <c r="U2504" i="2"/>
  <c r="N2504" i="2"/>
  <c r="M2504" i="2"/>
  <c r="J2504" i="2"/>
  <c r="I2504" i="2"/>
  <c r="H2504" i="2"/>
  <c r="G2504" i="2"/>
  <c r="F2504" i="2"/>
  <c r="E2504" i="2"/>
  <c r="D2504" i="2"/>
  <c r="C2504" i="2"/>
  <c r="B2504" i="2"/>
  <c r="A2504" i="2"/>
  <c r="U2503" i="2"/>
  <c r="N2503" i="2"/>
  <c r="M2503" i="2"/>
  <c r="J2503" i="2"/>
  <c r="I2503" i="2"/>
  <c r="H2503" i="2"/>
  <c r="G2503" i="2"/>
  <c r="F2503" i="2"/>
  <c r="E2503" i="2"/>
  <c r="D2503" i="2"/>
  <c r="C2503" i="2"/>
  <c r="B2503" i="2"/>
  <c r="A2503" i="2"/>
  <c r="Q2502" i="2"/>
  <c r="U2502" i="2" s="1"/>
  <c r="N2502" i="2"/>
  <c r="M2502" i="2"/>
  <c r="J2502" i="2"/>
  <c r="I2502" i="2"/>
  <c r="H2502" i="2"/>
  <c r="G2502" i="2"/>
  <c r="F2502" i="2"/>
  <c r="E2502" i="2"/>
  <c r="D2502" i="2"/>
  <c r="C2502" i="2"/>
  <c r="B2502" i="2"/>
  <c r="A2502" i="2"/>
  <c r="U2501" i="2"/>
  <c r="N2501" i="2"/>
  <c r="M2501" i="2"/>
  <c r="J2501" i="2"/>
  <c r="I2501" i="2"/>
  <c r="H2501" i="2"/>
  <c r="G2501" i="2"/>
  <c r="F2501" i="2"/>
  <c r="E2501" i="2"/>
  <c r="D2501" i="2"/>
  <c r="C2501" i="2"/>
  <c r="B2501" i="2"/>
  <c r="A2501" i="2"/>
  <c r="Q2500" i="2"/>
  <c r="U2500" i="2" s="1"/>
  <c r="N2500" i="2"/>
  <c r="M2500" i="2"/>
  <c r="J2500" i="2"/>
  <c r="I2500" i="2"/>
  <c r="H2500" i="2"/>
  <c r="G2500" i="2"/>
  <c r="F2500" i="2"/>
  <c r="E2500" i="2"/>
  <c r="D2500" i="2"/>
  <c r="C2500" i="2"/>
  <c r="B2500" i="2"/>
  <c r="A2500" i="2"/>
  <c r="U2499" i="2"/>
  <c r="N2499" i="2"/>
  <c r="M2499" i="2"/>
  <c r="J2499" i="2"/>
  <c r="I2499" i="2"/>
  <c r="H2499" i="2"/>
  <c r="G2499" i="2"/>
  <c r="F2499" i="2"/>
  <c r="E2499" i="2"/>
  <c r="D2499" i="2"/>
  <c r="C2499" i="2"/>
  <c r="B2499" i="2"/>
  <c r="A2499" i="2"/>
  <c r="U2498" i="2"/>
  <c r="N2498" i="2"/>
  <c r="M2498" i="2"/>
  <c r="J2498" i="2"/>
  <c r="I2498" i="2"/>
  <c r="H2498" i="2"/>
  <c r="G2498" i="2"/>
  <c r="F2498" i="2"/>
  <c r="E2498" i="2"/>
  <c r="D2498" i="2"/>
  <c r="C2498" i="2"/>
  <c r="B2498" i="2"/>
  <c r="A2498" i="2"/>
  <c r="U2497" i="2"/>
  <c r="N2497" i="2"/>
  <c r="M2497" i="2"/>
  <c r="J2497" i="2"/>
  <c r="I2497" i="2"/>
  <c r="H2497" i="2"/>
  <c r="G2497" i="2"/>
  <c r="F2497" i="2"/>
  <c r="E2497" i="2"/>
  <c r="D2497" i="2"/>
  <c r="C2497" i="2"/>
  <c r="B2497" i="2"/>
  <c r="A2497" i="2"/>
  <c r="U2496" i="2"/>
  <c r="N2496" i="2"/>
  <c r="M2496" i="2"/>
  <c r="J2496" i="2"/>
  <c r="I2496" i="2"/>
  <c r="H2496" i="2"/>
  <c r="G2496" i="2"/>
  <c r="F2496" i="2"/>
  <c r="E2496" i="2"/>
  <c r="D2496" i="2"/>
  <c r="C2496" i="2"/>
  <c r="B2496" i="2"/>
  <c r="A2496" i="2"/>
  <c r="Q2495" i="2"/>
  <c r="U2495" i="2" s="1"/>
  <c r="N2495" i="2"/>
  <c r="M2495" i="2"/>
  <c r="J2495" i="2"/>
  <c r="I2495" i="2"/>
  <c r="H2495" i="2"/>
  <c r="G2495" i="2"/>
  <c r="F2495" i="2"/>
  <c r="E2495" i="2"/>
  <c r="D2495" i="2"/>
  <c r="C2495" i="2"/>
  <c r="B2495" i="2"/>
  <c r="A2495" i="2"/>
  <c r="Q2494" i="2"/>
  <c r="U2494" i="2" s="1"/>
  <c r="N2494" i="2"/>
  <c r="M2494" i="2"/>
  <c r="J2494" i="2"/>
  <c r="I2494" i="2"/>
  <c r="H2494" i="2"/>
  <c r="G2494" i="2"/>
  <c r="F2494" i="2"/>
  <c r="E2494" i="2"/>
  <c r="D2494" i="2"/>
  <c r="C2494" i="2"/>
  <c r="B2494" i="2"/>
  <c r="A2494" i="2"/>
  <c r="Q2493" i="2"/>
  <c r="U2493" i="2" s="1"/>
  <c r="N2493" i="2"/>
  <c r="M2493" i="2"/>
  <c r="J2493" i="2"/>
  <c r="I2493" i="2"/>
  <c r="H2493" i="2"/>
  <c r="G2493" i="2"/>
  <c r="F2493" i="2"/>
  <c r="E2493" i="2"/>
  <c r="D2493" i="2"/>
  <c r="C2493" i="2"/>
  <c r="B2493" i="2"/>
  <c r="A2493" i="2"/>
  <c r="U2492" i="2"/>
  <c r="N2492" i="2"/>
  <c r="M2492" i="2"/>
  <c r="J2492" i="2"/>
  <c r="I2492" i="2"/>
  <c r="H2492" i="2"/>
  <c r="G2492" i="2"/>
  <c r="F2492" i="2"/>
  <c r="E2492" i="2"/>
  <c r="D2492" i="2"/>
  <c r="C2492" i="2"/>
  <c r="B2492" i="2"/>
  <c r="A2492" i="2"/>
  <c r="Q2491" i="2"/>
  <c r="U2491" i="2" s="1"/>
  <c r="N2491" i="2"/>
  <c r="M2491" i="2"/>
  <c r="J2491" i="2"/>
  <c r="I2491" i="2"/>
  <c r="H2491" i="2"/>
  <c r="G2491" i="2"/>
  <c r="F2491" i="2"/>
  <c r="E2491" i="2"/>
  <c r="D2491" i="2"/>
  <c r="C2491" i="2"/>
  <c r="B2491" i="2"/>
  <c r="A2491" i="2"/>
  <c r="U2490" i="2"/>
  <c r="N2490" i="2"/>
  <c r="M2490" i="2"/>
  <c r="J2490" i="2"/>
  <c r="I2490" i="2"/>
  <c r="H2490" i="2"/>
  <c r="G2490" i="2"/>
  <c r="F2490" i="2"/>
  <c r="E2490" i="2"/>
  <c r="D2490" i="2"/>
  <c r="C2490" i="2"/>
  <c r="B2490" i="2"/>
  <c r="A2490" i="2"/>
  <c r="U2489" i="2"/>
  <c r="N2489" i="2"/>
  <c r="M2489" i="2"/>
  <c r="J2489" i="2"/>
  <c r="I2489" i="2"/>
  <c r="H2489" i="2"/>
  <c r="G2489" i="2"/>
  <c r="F2489" i="2"/>
  <c r="E2489" i="2"/>
  <c r="D2489" i="2"/>
  <c r="C2489" i="2"/>
  <c r="B2489" i="2"/>
  <c r="A2489" i="2"/>
  <c r="U2488" i="2"/>
  <c r="N2488" i="2"/>
  <c r="M2488" i="2"/>
  <c r="J2488" i="2"/>
  <c r="I2488" i="2"/>
  <c r="H2488" i="2"/>
  <c r="G2488" i="2"/>
  <c r="F2488" i="2"/>
  <c r="E2488" i="2"/>
  <c r="D2488" i="2"/>
  <c r="C2488" i="2"/>
  <c r="B2488" i="2"/>
  <c r="A2488" i="2"/>
  <c r="U2487" i="2"/>
  <c r="N2487" i="2"/>
  <c r="M2487" i="2"/>
  <c r="J2487" i="2"/>
  <c r="I2487" i="2"/>
  <c r="H2487" i="2"/>
  <c r="G2487" i="2"/>
  <c r="F2487" i="2"/>
  <c r="E2487" i="2"/>
  <c r="D2487" i="2"/>
  <c r="C2487" i="2"/>
  <c r="B2487" i="2"/>
  <c r="A2487" i="2"/>
  <c r="U2486" i="2"/>
  <c r="N2486" i="2"/>
  <c r="M2486" i="2"/>
  <c r="J2486" i="2"/>
  <c r="I2486" i="2"/>
  <c r="H2486" i="2"/>
  <c r="G2486" i="2"/>
  <c r="F2486" i="2"/>
  <c r="E2486" i="2"/>
  <c r="D2486" i="2"/>
  <c r="C2486" i="2"/>
  <c r="B2486" i="2"/>
  <c r="A2486" i="2"/>
  <c r="U2485" i="2"/>
  <c r="N2485" i="2"/>
  <c r="M2485" i="2"/>
  <c r="J2485" i="2"/>
  <c r="I2485" i="2"/>
  <c r="H2485" i="2"/>
  <c r="G2485" i="2"/>
  <c r="F2485" i="2"/>
  <c r="E2485" i="2"/>
  <c r="D2485" i="2"/>
  <c r="C2485" i="2"/>
  <c r="B2485" i="2"/>
  <c r="A2485" i="2"/>
  <c r="U2484" i="2"/>
  <c r="N2484" i="2"/>
  <c r="M2484" i="2"/>
  <c r="J2484" i="2"/>
  <c r="I2484" i="2"/>
  <c r="H2484" i="2"/>
  <c r="G2484" i="2"/>
  <c r="F2484" i="2"/>
  <c r="E2484" i="2"/>
  <c r="D2484" i="2"/>
  <c r="C2484" i="2"/>
  <c r="B2484" i="2"/>
  <c r="A2484" i="2"/>
  <c r="Q2483" i="2"/>
  <c r="U2483" i="2" s="1"/>
  <c r="N2483" i="2"/>
  <c r="M2483" i="2"/>
  <c r="J2483" i="2"/>
  <c r="I2483" i="2"/>
  <c r="H2483" i="2"/>
  <c r="G2483" i="2"/>
  <c r="F2483" i="2"/>
  <c r="E2483" i="2"/>
  <c r="D2483" i="2"/>
  <c r="C2483" i="2"/>
  <c r="B2483" i="2"/>
  <c r="A2483" i="2"/>
  <c r="U2482" i="2"/>
  <c r="N2482" i="2"/>
  <c r="M2482" i="2"/>
  <c r="J2482" i="2"/>
  <c r="I2482" i="2"/>
  <c r="H2482" i="2"/>
  <c r="G2482" i="2"/>
  <c r="F2482" i="2"/>
  <c r="E2482" i="2"/>
  <c r="D2482" i="2"/>
  <c r="C2482" i="2"/>
  <c r="B2482" i="2"/>
  <c r="A2482" i="2"/>
  <c r="Q2481" i="2"/>
  <c r="U2481" i="2" s="1"/>
  <c r="N2481" i="2"/>
  <c r="M2481" i="2"/>
  <c r="J2481" i="2"/>
  <c r="I2481" i="2"/>
  <c r="H2481" i="2"/>
  <c r="G2481" i="2"/>
  <c r="F2481" i="2"/>
  <c r="E2481" i="2"/>
  <c r="D2481" i="2"/>
  <c r="C2481" i="2"/>
  <c r="B2481" i="2"/>
  <c r="A2481" i="2"/>
  <c r="U2480" i="2"/>
  <c r="N2480" i="2"/>
  <c r="M2480" i="2"/>
  <c r="J2480" i="2"/>
  <c r="I2480" i="2"/>
  <c r="H2480" i="2"/>
  <c r="G2480" i="2"/>
  <c r="F2480" i="2"/>
  <c r="E2480" i="2"/>
  <c r="D2480" i="2"/>
  <c r="C2480" i="2"/>
  <c r="B2480" i="2"/>
  <c r="A2480" i="2"/>
  <c r="U2479" i="2"/>
  <c r="N2479" i="2"/>
  <c r="M2479" i="2"/>
  <c r="J2479" i="2"/>
  <c r="I2479" i="2"/>
  <c r="H2479" i="2"/>
  <c r="G2479" i="2"/>
  <c r="F2479" i="2"/>
  <c r="E2479" i="2"/>
  <c r="D2479" i="2"/>
  <c r="C2479" i="2"/>
  <c r="B2479" i="2"/>
  <c r="A2479" i="2"/>
  <c r="U2478" i="2"/>
  <c r="N2478" i="2"/>
  <c r="M2478" i="2"/>
  <c r="J2478" i="2"/>
  <c r="I2478" i="2"/>
  <c r="H2478" i="2"/>
  <c r="G2478" i="2"/>
  <c r="F2478" i="2"/>
  <c r="E2478" i="2"/>
  <c r="D2478" i="2"/>
  <c r="C2478" i="2"/>
  <c r="B2478" i="2"/>
  <c r="A2478" i="2"/>
  <c r="U2477" i="2"/>
  <c r="N2477" i="2"/>
  <c r="M2477" i="2"/>
  <c r="J2477" i="2"/>
  <c r="I2477" i="2"/>
  <c r="H2477" i="2"/>
  <c r="G2477" i="2"/>
  <c r="F2477" i="2"/>
  <c r="E2477" i="2"/>
  <c r="D2477" i="2"/>
  <c r="C2477" i="2"/>
  <c r="B2477" i="2"/>
  <c r="A2477" i="2"/>
  <c r="U2476" i="2"/>
  <c r="N2476" i="2"/>
  <c r="M2476" i="2"/>
  <c r="J2476" i="2"/>
  <c r="I2476" i="2"/>
  <c r="H2476" i="2"/>
  <c r="G2476" i="2"/>
  <c r="F2476" i="2"/>
  <c r="E2476" i="2"/>
  <c r="D2476" i="2"/>
  <c r="C2476" i="2"/>
  <c r="B2476" i="2"/>
  <c r="A2476" i="2"/>
  <c r="U2475" i="2"/>
  <c r="N2475" i="2"/>
  <c r="M2475" i="2"/>
  <c r="J2475" i="2"/>
  <c r="I2475" i="2"/>
  <c r="H2475" i="2"/>
  <c r="G2475" i="2"/>
  <c r="F2475" i="2"/>
  <c r="E2475" i="2"/>
  <c r="D2475" i="2"/>
  <c r="C2475" i="2"/>
  <c r="B2475" i="2"/>
  <c r="A2475" i="2"/>
  <c r="U2474" i="2"/>
  <c r="N2474" i="2"/>
  <c r="M2474" i="2"/>
  <c r="J2474" i="2"/>
  <c r="I2474" i="2"/>
  <c r="H2474" i="2"/>
  <c r="G2474" i="2"/>
  <c r="F2474" i="2"/>
  <c r="E2474" i="2"/>
  <c r="D2474" i="2"/>
  <c r="C2474" i="2"/>
  <c r="B2474" i="2"/>
  <c r="A2474" i="2"/>
  <c r="U2473" i="2"/>
  <c r="N2473" i="2"/>
  <c r="M2473" i="2"/>
  <c r="J2473" i="2"/>
  <c r="I2473" i="2"/>
  <c r="H2473" i="2"/>
  <c r="G2473" i="2"/>
  <c r="F2473" i="2"/>
  <c r="E2473" i="2"/>
  <c r="D2473" i="2"/>
  <c r="C2473" i="2"/>
  <c r="B2473" i="2"/>
  <c r="A2473" i="2"/>
  <c r="U2472" i="2"/>
  <c r="N2472" i="2"/>
  <c r="M2472" i="2"/>
  <c r="J2472" i="2"/>
  <c r="I2472" i="2"/>
  <c r="H2472" i="2"/>
  <c r="G2472" i="2"/>
  <c r="F2472" i="2"/>
  <c r="E2472" i="2"/>
  <c r="D2472" i="2"/>
  <c r="C2472" i="2"/>
  <c r="B2472" i="2"/>
  <c r="A2472" i="2"/>
  <c r="U2471" i="2"/>
  <c r="N2471" i="2"/>
  <c r="M2471" i="2"/>
  <c r="J2471" i="2"/>
  <c r="I2471" i="2"/>
  <c r="H2471" i="2"/>
  <c r="G2471" i="2"/>
  <c r="F2471" i="2"/>
  <c r="E2471" i="2"/>
  <c r="D2471" i="2"/>
  <c r="C2471" i="2"/>
  <c r="B2471" i="2"/>
  <c r="A2471" i="2"/>
  <c r="U2470" i="2"/>
  <c r="N2470" i="2"/>
  <c r="M2470" i="2"/>
  <c r="J2470" i="2"/>
  <c r="I2470" i="2"/>
  <c r="H2470" i="2"/>
  <c r="G2470" i="2"/>
  <c r="F2470" i="2"/>
  <c r="E2470" i="2"/>
  <c r="D2470" i="2"/>
  <c r="C2470" i="2"/>
  <c r="B2470" i="2"/>
  <c r="A2470" i="2"/>
  <c r="U2469" i="2"/>
  <c r="N2469" i="2"/>
  <c r="M2469" i="2"/>
  <c r="J2469" i="2"/>
  <c r="I2469" i="2"/>
  <c r="H2469" i="2"/>
  <c r="G2469" i="2"/>
  <c r="F2469" i="2"/>
  <c r="E2469" i="2"/>
  <c r="D2469" i="2"/>
  <c r="C2469" i="2"/>
  <c r="B2469" i="2"/>
  <c r="A2469" i="2"/>
  <c r="U2468" i="2"/>
  <c r="N2468" i="2"/>
  <c r="M2468" i="2"/>
  <c r="J2468" i="2"/>
  <c r="I2468" i="2"/>
  <c r="H2468" i="2"/>
  <c r="G2468" i="2"/>
  <c r="F2468" i="2"/>
  <c r="E2468" i="2"/>
  <c r="D2468" i="2"/>
  <c r="C2468" i="2"/>
  <c r="B2468" i="2"/>
  <c r="A2468" i="2"/>
  <c r="Q2467" i="2"/>
  <c r="U2467" i="2" s="1"/>
  <c r="N2467" i="2"/>
  <c r="M2467" i="2"/>
  <c r="J2467" i="2"/>
  <c r="I2467" i="2"/>
  <c r="H2467" i="2"/>
  <c r="G2467" i="2"/>
  <c r="F2467" i="2"/>
  <c r="E2467" i="2"/>
  <c r="D2467" i="2"/>
  <c r="C2467" i="2"/>
  <c r="B2467" i="2"/>
  <c r="A2467" i="2"/>
  <c r="U2466" i="2"/>
  <c r="N2466" i="2"/>
  <c r="M2466" i="2"/>
  <c r="J2466" i="2"/>
  <c r="I2466" i="2"/>
  <c r="H2466" i="2"/>
  <c r="G2466" i="2"/>
  <c r="F2466" i="2"/>
  <c r="E2466" i="2"/>
  <c r="D2466" i="2"/>
  <c r="C2466" i="2"/>
  <c r="B2466" i="2"/>
  <c r="A2466" i="2"/>
  <c r="U2465" i="2"/>
  <c r="N2465" i="2"/>
  <c r="M2465" i="2"/>
  <c r="J2465" i="2"/>
  <c r="I2465" i="2"/>
  <c r="H2465" i="2"/>
  <c r="G2465" i="2"/>
  <c r="F2465" i="2"/>
  <c r="E2465" i="2"/>
  <c r="D2465" i="2"/>
  <c r="C2465" i="2"/>
  <c r="B2465" i="2"/>
  <c r="A2465" i="2"/>
  <c r="U2464" i="2"/>
  <c r="N2464" i="2"/>
  <c r="M2464" i="2"/>
  <c r="J2464" i="2"/>
  <c r="I2464" i="2"/>
  <c r="H2464" i="2"/>
  <c r="G2464" i="2"/>
  <c r="F2464" i="2"/>
  <c r="E2464" i="2"/>
  <c r="D2464" i="2"/>
  <c r="C2464" i="2"/>
  <c r="B2464" i="2"/>
  <c r="A2464" i="2"/>
  <c r="U2463" i="2"/>
  <c r="N2463" i="2"/>
  <c r="M2463" i="2"/>
  <c r="J2463" i="2"/>
  <c r="I2463" i="2"/>
  <c r="H2463" i="2"/>
  <c r="G2463" i="2"/>
  <c r="F2463" i="2"/>
  <c r="E2463" i="2"/>
  <c r="D2463" i="2"/>
  <c r="C2463" i="2"/>
  <c r="B2463" i="2"/>
  <c r="A2463" i="2"/>
  <c r="U2462" i="2"/>
  <c r="N2462" i="2"/>
  <c r="M2462" i="2"/>
  <c r="J2462" i="2"/>
  <c r="I2462" i="2"/>
  <c r="H2462" i="2"/>
  <c r="G2462" i="2"/>
  <c r="F2462" i="2"/>
  <c r="E2462" i="2"/>
  <c r="D2462" i="2"/>
  <c r="C2462" i="2"/>
  <c r="B2462" i="2"/>
  <c r="A2462" i="2"/>
  <c r="U2461" i="2"/>
  <c r="N2461" i="2"/>
  <c r="M2461" i="2"/>
  <c r="J2461" i="2"/>
  <c r="I2461" i="2"/>
  <c r="H2461" i="2"/>
  <c r="G2461" i="2"/>
  <c r="F2461" i="2"/>
  <c r="E2461" i="2"/>
  <c r="D2461" i="2"/>
  <c r="C2461" i="2"/>
  <c r="B2461" i="2"/>
  <c r="A2461" i="2"/>
  <c r="U2460" i="2"/>
  <c r="N2460" i="2"/>
  <c r="M2460" i="2"/>
  <c r="J2460" i="2"/>
  <c r="I2460" i="2"/>
  <c r="H2460" i="2"/>
  <c r="G2460" i="2"/>
  <c r="F2460" i="2"/>
  <c r="E2460" i="2"/>
  <c r="D2460" i="2"/>
  <c r="C2460" i="2"/>
  <c r="B2460" i="2"/>
  <c r="A2460" i="2"/>
  <c r="U2459" i="2"/>
  <c r="N2459" i="2"/>
  <c r="M2459" i="2"/>
  <c r="J2459" i="2"/>
  <c r="I2459" i="2"/>
  <c r="H2459" i="2"/>
  <c r="G2459" i="2"/>
  <c r="F2459" i="2"/>
  <c r="E2459" i="2"/>
  <c r="D2459" i="2"/>
  <c r="C2459" i="2"/>
  <c r="B2459" i="2"/>
  <c r="A2459" i="2"/>
  <c r="U2458" i="2"/>
  <c r="N2458" i="2"/>
  <c r="M2458" i="2"/>
  <c r="J2458" i="2"/>
  <c r="I2458" i="2"/>
  <c r="H2458" i="2"/>
  <c r="G2458" i="2"/>
  <c r="F2458" i="2"/>
  <c r="E2458" i="2"/>
  <c r="D2458" i="2"/>
  <c r="C2458" i="2"/>
  <c r="B2458" i="2"/>
  <c r="A2458" i="2"/>
  <c r="U2457" i="2"/>
  <c r="N2457" i="2"/>
  <c r="M2457" i="2"/>
  <c r="J2457" i="2"/>
  <c r="I2457" i="2"/>
  <c r="H2457" i="2"/>
  <c r="G2457" i="2"/>
  <c r="F2457" i="2"/>
  <c r="E2457" i="2"/>
  <c r="D2457" i="2"/>
  <c r="C2457" i="2"/>
  <c r="B2457" i="2"/>
  <c r="A2457" i="2"/>
  <c r="U2456" i="2"/>
  <c r="N2456" i="2"/>
  <c r="M2456" i="2"/>
  <c r="J2456" i="2"/>
  <c r="I2456" i="2"/>
  <c r="H2456" i="2"/>
  <c r="G2456" i="2"/>
  <c r="F2456" i="2"/>
  <c r="E2456" i="2"/>
  <c r="D2456" i="2"/>
  <c r="C2456" i="2"/>
  <c r="B2456" i="2"/>
  <c r="A2456" i="2"/>
  <c r="U2455" i="2"/>
  <c r="N2455" i="2"/>
  <c r="M2455" i="2"/>
  <c r="J2455" i="2"/>
  <c r="I2455" i="2"/>
  <c r="H2455" i="2"/>
  <c r="G2455" i="2"/>
  <c r="F2455" i="2"/>
  <c r="E2455" i="2"/>
  <c r="D2455" i="2"/>
  <c r="C2455" i="2"/>
  <c r="B2455" i="2"/>
  <c r="A2455" i="2"/>
  <c r="U2454" i="2"/>
  <c r="N2454" i="2"/>
  <c r="M2454" i="2"/>
  <c r="J2454" i="2"/>
  <c r="I2454" i="2"/>
  <c r="H2454" i="2"/>
  <c r="G2454" i="2"/>
  <c r="F2454" i="2"/>
  <c r="E2454" i="2"/>
  <c r="D2454" i="2"/>
  <c r="C2454" i="2"/>
  <c r="B2454" i="2"/>
  <c r="A2454" i="2"/>
  <c r="U2453" i="2"/>
  <c r="N2453" i="2"/>
  <c r="M2453" i="2"/>
  <c r="J2453" i="2"/>
  <c r="I2453" i="2"/>
  <c r="H2453" i="2"/>
  <c r="G2453" i="2"/>
  <c r="F2453" i="2"/>
  <c r="E2453" i="2"/>
  <c r="D2453" i="2"/>
  <c r="C2453" i="2"/>
  <c r="B2453" i="2"/>
  <c r="A2453" i="2"/>
  <c r="U2452" i="2"/>
  <c r="N2452" i="2"/>
  <c r="M2452" i="2"/>
  <c r="J2452" i="2"/>
  <c r="I2452" i="2"/>
  <c r="H2452" i="2"/>
  <c r="G2452" i="2"/>
  <c r="F2452" i="2"/>
  <c r="E2452" i="2"/>
  <c r="D2452" i="2"/>
  <c r="C2452" i="2"/>
  <c r="B2452" i="2"/>
  <c r="A2452" i="2"/>
  <c r="U2451" i="2"/>
  <c r="N2451" i="2"/>
  <c r="M2451" i="2"/>
  <c r="J2451" i="2"/>
  <c r="I2451" i="2"/>
  <c r="H2451" i="2"/>
  <c r="G2451" i="2"/>
  <c r="F2451" i="2"/>
  <c r="E2451" i="2"/>
  <c r="D2451" i="2"/>
  <c r="C2451" i="2"/>
  <c r="B2451" i="2"/>
  <c r="A2451" i="2"/>
  <c r="U2450" i="2"/>
  <c r="N2450" i="2"/>
  <c r="M2450" i="2"/>
  <c r="J2450" i="2"/>
  <c r="I2450" i="2"/>
  <c r="H2450" i="2"/>
  <c r="G2450" i="2"/>
  <c r="F2450" i="2"/>
  <c r="E2450" i="2"/>
  <c r="D2450" i="2"/>
  <c r="C2450" i="2"/>
  <c r="B2450" i="2"/>
  <c r="A2450" i="2"/>
  <c r="U2449" i="2"/>
  <c r="N2449" i="2"/>
  <c r="M2449" i="2"/>
  <c r="J2449" i="2"/>
  <c r="I2449" i="2"/>
  <c r="H2449" i="2"/>
  <c r="G2449" i="2"/>
  <c r="F2449" i="2"/>
  <c r="E2449" i="2"/>
  <c r="D2449" i="2"/>
  <c r="C2449" i="2"/>
  <c r="B2449" i="2"/>
  <c r="A2449" i="2"/>
  <c r="U2448" i="2"/>
  <c r="N2448" i="2"/>
  <c r="M2448" i="2"/>
  <c r="J2448" i="2"/>
  <c r="I2448" i="2"/>
  <c r="H2448" i="2"/>
  <c r="G2448" i="2"/>
  <c r="F2448" i="2"/>
  <c r="E2448" i="2"/>
  <c r="D2448" i="2"/>
  <c r="C2448" i="2"/>
  <c r="B2448" i="2"/>
  <c r="A2448" i="2"/>
  <c r="U2447" i="2"/>
  <c r="N2447" i="2"/>
  <c r="M2447" i="2"/>
  <c r="J2447" i="2"/>
  <c r="I2447" i="2"/>
  <c r="H2447" i="2"/>
  <c r="G2447" i="2"/>
  <c r="F2447" i="2"/>
  <c r="E2447" i="2"/>
  <c r="D2447" i="2"/>
  <c r="C2447" i="2"/>
  <c r="B2447" i="2"/>
  <c r="A2447" i="2"/>
  <c r="U2446" i="2"/>
  <c r="N2446" i="2"/>
  <c r="M2446" i="2"/>
  <c r="J2446" i="2"/>
  <c r="I2446" i="2"/>
  <c r="H2446" i="2"/>
  <c r="G2446" i="2"/>
  <c r="F2446" i="2"/>
  <c r="E2446" i="2"/>
  <c r="D2446" i="2"/>
  <c r="C2446" i="2"/>
  <c r="B2446" i="2"/>
  <c r="A2446" i="2"/>
  <c r="U2445" i="2"/>
  <c r="N2445" i="2"/>
  <c r="M2445" i="2"/>
  <c r="J2445" i="2"/>
  <c r="I2445" i="2"/>
  <c r="H2445" i="2"/>
  <c r="G2445" i="2"/>
  <c r="F2445" i="2"/>
  <c r="E2445" i="2"/>
  <c r="D2445" i="2"/>
  <c r="C2445" i="2"/>
  <c r="B2445" i="2"/>
  <c r="A2445" i="2"/>
  <c r="U2444" i="2"/>
  <c r="N2444" i="2"/>
  <c r="M2444" i="2"/>
  <c r="J2444" i="2"/>
  <c r="I2444" i="2"/>
  <c r="H2444" i="2"/>
  <c r="G2444" i="2"/>
  <c r="F2444" i="2"/>
  <c r="E2444" i="2"/>
  <c r="D2444" i="2"/>
  <c r="C2444" i="2"/>
  <c r="B2444" i="2"/>
  <c r="A2444" i="2"/>
  <c r="U2443" i="2"/>
  <c r="N2443" i="2"/>
  <c r="M2443" i="2"/>
  <c r="J2443" i="2"/>
  <c r="I2443" i="2"/>
  <c r="H2443" i="2"/>
  <c r="G2443" i="2"/>
  <c r="F2443" i="2"/>
  <c r="E2443" i="2"/>
  <c r="D2443" i="2"/>
  <c r="C2443" i="2"/>
  <c r="B2443" i="2"/>
  <c r="A2443" i="2"/>
  <c r="U2442" i="2"/>
  <c r="N2442" i="2"/>
  <c r="M2442" i="2"/>
  <c r="J2442" i="2"/>
  <c r="I2442" i="2"/>
  <c r="H2442" i="2"/>
  <c r="G2442" i="2"/>
  <c r="F2442" i="2"/>
  <c r="E2442" i="2"/>
  <c r="D2442" i="2"/>
  <c r="C2442" i="2"/>
  <c r="B2442" i="2"/>
  <c r="A2442" i="2"/>
  <c r="U2441" i="2"/>
  <c r="N2441" i="2"/>
  <c r="M2441" i="2"/>
  <c r="J2441" i="2"/>
  <c r="I2441" i="2"/>
  <c r="H2441" i="2"/>
  <c r="G2441" i="2"/>
  <c r="F2441" i="2"/>
  <c r="E2441" i="2"/>
  <c r="D2441" i="2"/>
  <c r="C2441" i="2"/>
  <c r="B2441" i="2"/>
  <c r="A2441" i="2"/>
  <c r="U2440" i="2"/>
  <c r="N2440" i="2"/>
  <c r="M2440" i="2"/>
  <c r="J2440" i="2"/>
  <c r="I2440" i="2"/>
  <c r="H2440" i="2"/>
  <c r="G2440" i="2"/>
  <c r="F2440" i="2"/>
  <c r="E2440" i="2"/>
  <c r="D2440" i="2"/>
  <c r="C2440" i="2"/>
  <c r="B2440" i="2"/>
  <c r="A2440" i="2"/>
  <c r="U2439" i="2"/>
  <c r="N2439" i="2"/>
  <c r="M2439" i="2"/>
  <c r="J2439" i="2"/>
  <c r="I2439" i="2"/>
  <c r="H2439" i="2"/>
  <c r="G2439" i="2"/>
  <c r="F2439" i="2"/>
  <c r="E2439" i="2"/>
  <c r="D2439" i="2"/>
  <c r="C2439" i="2"/>
  <c r="B2439" i="2"/>
  <c r="A2439" i="2"/>
  <c r="U2438" i="2"/>
  <c r="N2438" i="2"/>
  <c r="M2438" i="2"/>
  <c r="J2438" i="2"/>
  <c r="I2438" i="2"/>
  <c r="H2438" i="2"/>
  <c r="G2438" i="2"/>
  <c r="F2438" i="2"/>
  <c r="E2438" i="2"/>
  <c r="D2438" i="2"/>
  <c r="C2438" i="2"/>
  <c r="B2438" i="2"/>
  <c r="A2438" i="2"/>
  <c r="U2437" i="2"/>
  <c r="N2437" i="2"/>
  <c r="M2437" i="2"/>
  <c r="J2437" i="2"/>
  <c r="I2437" i="2"/>
  <c r="H2437" i="2"/>
  <c r="G2437" i="2"/>
  <c r="F2437" i="2"/>
  <c r="E2437" i="2"/>
  <c r="D2437" i="2"/>
  <c r="C2437" i="2"/>
  <c r="B2437" i="2"/>
  <c r="A2437" i="2"/>
  <c r="U2436" i="2"/>
  <c r="N2436" i="2"/>
  <c r="M2436" i="2"/>
  <c r="J2436" i="2"/>
  <c r="I2436" i="2"/>
  <c r="H2436" i="2"/>
  <c r="G2436" i="2"/>
  <c r="F2436" i="2"/>
  <c r="E2436" i="2"/>
  <c r="D2436" i="2"/>
  <c r="C2436" i="2"/>
  <c r="B2436" i="2"/>
  <c r="A2436" i="2"/>
  <c r="U2435" i="2"/>
  <c r="N2435" i="2"/>
  <c r="M2435" i="2"/>
  <c r="J2435" i="2"/>
  <c r="I2435" i="2"/>
  <c r="H2435" i="2"/>
  <c r="G2435" i="2"/>
  <c r="F2435" i="2"/>
  <c r="E2435" i="2"/>
  <c r="D2435" i="2"/>
  <c r="C2435" i="2"/>
  <c r="B2435" i="2"/>
  <c r="A2435" i="2"/>
  <c r="U2434" i="2"/>
  <c r="N2434" i="2"/>
  <c r="M2434" i="2"/>
  <c r="J2434" i="2"/>
  <c r="I2434" i="2"/>
  <c r="H2434" i="2"/>
  <c r="G2434" i="2"/>
  <c r="F2434" i="2"/>
  <c r="E2434" i="2"/>
  <c r="D2434" i="2"/>
  <c r="C2434" i="2"/>
  <c r="B2434" i="2"/>
  <c r="A2434" i="2"/>
  <c r="U2433" i="2"/>
  <c r="N2433" i="2"/>
  <c r="M2433" i="2"/>
  <c r="J2433" i="2"/>
  <c r="I2433" i="2"/>
  <c r="H2433" i="2"/>
  <c r="G2433" i="2"/>
  <c r="F2433" i="2"/>
  <c r="E2433" i="2"/>
  <c r="D2433" i="2"/>
  <c r="C2433" i="2"/>
  <c r="B2433" i="2"/>
  <c r="A2433" i="2"/>
  <c r="U2432" i="2"/>
  <c r="N2432" i="2"/>
  <c r="M2432" i="2"/>
  <c r="J2432" i="2"/>
  <c r="I2432" i="2"/>
  <c r="H2432" i="2"/>
  <c r="G2432" i="2"/>
  <c r="F2432" i="2"/>
  <c r="E2432" i="2"/>
  <c r="D2432" i="2"/>
  <c r="C2432" i="2"/>
  <c r="B2432" i="2"/>
  <c r="A2432" i="2"/>
  <c r="U2431" i="2"/>
  <c r="N2431" i="2"/>
  <c r="M2431" i="2"/>
  <c r="J2431" i="2"/>
  <c r="I2431" i="2"/>
  <c r="H2431" i="2"/>
  <c r="G2431" i="2"/>
  <c r="F2431" i="2"/>
  <c r="E2431" i="2"/>
  <c r="D2431" i="2"/>
  <c r="C2431" i="2"/>
  <c r="B2431" i="2"/>
  <c r="A2431" i="2"/>
  <c r="U2430" i="2"/>
  <c r="N2430" i="2"/>
  <c r="M2430" i="2"/>
  <c r="J2430" i="2"/>
  <c r="I2430" i="2"/>
  <c r="H2430" i="2"/>
  <c r="G2430" i="2"/>
  <c r="F2430" i="2"/>
  <c r="E2430" i="2"/>
  <c r="D2430" i="2"/>
  <c r="C2430" i="2"/>
  <c r="B2430" i="2"/>
  <c r="A2430" i="2"/>
  <c r="U2429" i="2"/>
  <c r="N2429" i="2"/>
  <c r="M2429" i="2"/>
  <c r="J2429" i="2"/>
  <c r="I2429" i="2"/>
  <c r="H2429" i="2"/>
  <c r="G2429" i="2"/>
  <c r="F2429" i="2"/>
  <c r="E2429" i="2"/>
  <c r="D2429" i="2"/>
  <c r="C2429" i="2"/>
  <c r="B2429" i="2"/>
  <c r="A2429" i="2"/>
  <c r="U2428" i="2"/>
  <c r="N2428" i="2"/>
  <c r="M2428" i="2"/>
  <c r="J2428" i="2"/>
  <c r="I2428" i="2"/>
  <c r="H2428" i="2"/>
  <c r="G2428" i="2"/>
  <c r="F2428" i="2"/>
  <c r="E2428" i="2"/>
  <c r="D2428" i="2"/>
  <c r="C2428" i="2"/>
  <c r="B2428" i="2"/>
  <c r="A2428" i="2"/>
  <c r="U2427" i="2"/>
  <c r="N2427" i="2"/>
  <c r="M2427" i="2"/>
  <c r="J2427" i="2"/>
  <c r="I2427" i="2"/>
  <c r="H2427" i="2"/>
  <c r="G2427" i="2"/>
  <c r="F2427" i="2"/>
  <c r="E2427" i="2"/>
  <c r="D2427" i="2"/>
  <c r="C2427" i="2"/>
  <c r="B2427" i="2"/>
  <c r="A2427" i="2"/>
  <c r="U2426" i="2"/>
  <c r="N2426" i="2"/>
  <c r="M2426" i="2"/>
  <c r="J2426" i="2"/>
  <c r="I2426" i="2"/>
  <c r="H2426" i="2"/>
  <c r="G2426" i="2"/>
  <c r="F2426" i="2"/>
  <c r="E2426" i="2"/>
  <c r="D2426" i="2"/>
  <c r="C2426" i="2"/>
  <c r="B2426" i="2"/>
  <c r="A2426" i="2"/>
  <c r="U2425" i="2"/>
  <c r="N2425" i="2"/>
  <c r="M2425" i="2"/>
  <c r="J2425" i="2"/>
  <c r="I2425" i="2"/>
  <c r="H2425" i="2"/>
  <c r="G2425" i="2"/>
  <c r="F2425" i="2"/>
  <c r="E2425" i="2"/>
  <c r="D2425" i="2"/>
  <c r="C2425" i="2"/>
  <c r="B2425" i="2"/>
  <c r="A2425" i="2"/>
  <c r="U2424" i="2"/>
  <c r="N2424" i="2"/>
  <c r="M2424" i="2"/>
  <c r="J2424" i="2"/>
  <c r="I2424" i="2"/>
  <c r="H2424" i="2"/>
  <c r="G2424" i="2"/>
  <c r="F2424" i="2"/>
  <c r="E2424" i="2"/>
  <c r="D2424" i="2"/>
  <c r="C2424" i="2"/>
  <c r="B2424" i="2"/>
  <c r="A2424" i="2"/>
  <c r="U2423" i="2"/>
  <c r="N2423" i="2"/>
  <c r="M2423" i="2"/>
  <c r="J2423" i="2"/>
  <c r="I2423" i="2"/>
  <c r="H2423" i="2"/>
  <c r="G2423" i="2"/>
  <c r="F2423" i="2"/>
  <c r="E2423" i="2"/>
  <c r="D2423" i="2"/>
  <c r="C2423" i="2"/>
  <c r="B2423" i="2"/>
  <c r="A2423" i="2"/>
  <c r="U2422" i="2"/>
  <c r="N2422" i="2"/>
  <c r="M2422" i="2"/>
  <c r="J2422" i="2"/>
  <c r="I2422" i="2"/>
  <c r="H2422" i="2"/>
  <c r="G2422" i="2"/>
  <c r="F2422" i="2"/>
  <c r="E2422" i="2"/>
  <c r="D2422" i="2"/>
  <c r="C2422" i="2"/>
  <c r="B2422" i="2"/>
  <c r="A2422" i="2"/>
  <c r="U2421" i="2"/>
  <c r="N2421" i="2"/>
  <c r="M2421" i="2"/>
  <c r="J2421" i="2"/>
  <c r="I2421" i="2"/>
  <c r="H2421" i="2"/>
  <c r="G2421" i="2"/>
  <c r="F2421" i="2"/>
  <c r="E2421" i="2"/>
  <c r="D2421" i="2"/>
  <c r="C2421" i="2"/>
  <c r="B2421" i="2"/>
  <c r="A2421" i="2"/>
  <c r="U2420" i="2"/>
  <c r="N2420" i="2"/>
  <c r="M2420" i="2"/>
  <c r="J2420" i="2"/>
  <c r="I2420" i="2"/>
  <c r="H2420" i="2"/>
  <c r="G2420" i="2"/>
  <c r="F2420" i="2"/>
  <c r="E2420" i="2"/>
  <c r="D2420" i="2"/>
  <c r="C2420" i="2"/>
  <c r="B2420" i="2"/>
  <c r="A2420" i="2"/>
  <c r="U2419" i="2"/>
  <c r="N2419" i="2"/>
  <c r="M2419" i="2"/>
  <c r="J2419" i="2"/>
  <c r="I2419" i="2"/>
  <c r="H2419" i="2"/>
  <c r="G2419" i="2"/>
  <c r="F2419" i="2"/>
  <c r="E2419" i="2"/>
  <c r="D2419" i="2"/>
  <c r="C2419" i="2"/>
  <c r="B2419" i="2"/>
  <c r="A2419" i="2"/>
  <c r="U2418" i="2"/>
  <c r="N2418" i="2"/>
  <c r="M2418" i="2"/>
  <c r="J2418" i="2"/>
  <c r="I2418" i="2"/>
  <c r="H2418" i="2"/>
  <c r="G2418" i="2"/>
  <c r="F2418" i="2"/>
  <c r="E2418" i="2"/>
  <c r="D2418" i="2"/>
  <c r="C2418" i="2"/>
  <c r="B2418" i="2"/>
  <c r="A2418" i="2"/>
  <c r="U2417" i="2"/>
  <c r="N2417" i="2"/>
  <c r="M2417" i="2"/>
  <c r="J2417" i="2"/>
  <c r="I2417" i="2"/>
  <c r="H2417" i="2"/>
  <c r="G2417" i="2"/>
  <c r="F2417" i="2"/>
  <c r="E2417" i="2"/>
  <c r="D2417" i="2"/>
  <c r="C2417" i="2"/>
  <c r="B2417" i="2"/>
  <c r="A2417" i="2"/>
  <c r="U2416" i="2"/>
  <c r="N2416" i="2"/>
  <c r="M2416" i="2"/>
  <c r="J2416" i="2"/>
  <c r="I2416" i="2"/>
  <c r="H2416" i="2"/>
  <c r="G2416" i="2"/>
  <c r="F2416" i="2"/>
  <c r="E2416" i="2"/>
  <c r="D2416" i="2"/>
  <c r="C2416" i="2"/>
  <c r="B2416" i="2"/>
  <c r="A2416" i="2"/>
  <c r="U2415" i="2"/>
  <c r="N2415" i="2"/>
  <c r="M2415" i="2"/>
  <c r="J2415" i="2"/>
  <c r="I2415" i="2"/>
  <c r="H2415" i="2"/>
  <c r="G2415" i="2"/>
  <c r="F2415" i="2"/>
  <c r="E2415" i="2"/>
  <c r="D2415" i="2"/>
  <c r="C2415" i="2"/>
  <c r="B2415" i="2"/>
  <c r="A2415" i="2"/>
  <c r="U2414" i="2"/>
  <c r="N2414" i="2"/>
  <c r="M2414" i="2"/>
  <c r="J2414" i="2"/>
  <c r="I2414" i="2"/>
  <c r="H2414" i="2"/>
  <c r="G2414" i="2"/>
  <c r="F2414" i="2"/>
  <c r="E2414" i="2"/>
  <c r="D2414" i="2"/>
  <c r="C2414" i="2"/>
  <c r="B2414" i="2"/>
  <c r="A2414" i="2"/>
  <c r="U2413" i="2"/>
  <c r="N2413" i="2"/>
  <c r="M2413" i="2"/>
  <c r="J2413" i="2"/>
  <c r="I2413" i="2"/>
  <c r="H2413" i="2"/>
  <c r="G2413" i="2"/>
  <c r="F2413" i="2"/>
  <c r="E2413" i="2"/>
  <c r="D2413" i="2"/>
  <c r="C2413" i="2"/>
  <c r="B2413" i="2"/>
  <c r="A2413" i="2"/>
  <c r="U2412" i="2"/>
  <c r="N2412" i="2"/>
  <c r="M2412" i="2"/>
  <c r="J2412" i="2"/>
  <c r="I2412" i="2"/>
  <c r="H2412" i="2"/>
  <c r="G2412" i="2"/>
  <c r="F2412" i="2"/>
  <c r="E2412" i="2"/>
  <c r="D2412" i="2"/>
  <c r="C2412" i="2"/>
  <c r="B2412" i="2"/>
  <c r="A2412" i="2"/>
  <c r="U2411" i="2"/>
  <c r="N2411" i="2"/>
  <c r="M2411" i="2"/>
  <c r="J2411" i="2"/>
  <c r="I2411" i="2"/>
  <c r="H2411" i="2"/>
  <c r="G2411" i="2"/>
  <c r="F2411" i="2"/>
  <c r="E2411" i="2"/>
  <c r="D2411" i="2"/>
  <c r="C2411" i="2"/>
  <c r="B2411" i="2"/>
  <c r="A2411" i="2"/>
  <c r="U2410" i="2"/>
  <c r="N2410" i="2"/>
  <c r="M2410" i="2"/>
  <c r="J2410" i="2"/>
  <c r="I2410" i="2"/>
  <c r="H2410" i="2"/>
  <c r="G2410" i="2"/>
  <c r="F2410" i="2"/>
  <c r="E2410" i="2"/>
  <c r="D2410" i="2"/>
  <c r="C2410" i="2"/>
  <c r="B2410" i="2"/>
  <c r="A2410" i="2"/>
  <c r="U2409" i="2"/>
  <c r="N2409" i="2"/>
  <c r="M2409" i="2"/>
  <c r="J2409" i="2"/>
  <c r="I2409" i="2"/>
  <c r="H2409" i="2"/>
  <c r="G2409" i="2"/>
  <c r="F2409" i="2"/>
  <c r="E2409" i="2"/>
  <c r="D2409" i="2"/>
  <c r="C2409" i="2"/>
  <c r="B2409" i="2"/>
  <c r="A2409" i="2"/>
  <c r="U2408" i="2"/>
  <c r="N2408" i="2"/>
  <c r="M2408" i="2"/>
  <c r="J2408" i="2"/>
  <c r="I2408" i="2"/>
  <c r="H2408" i="2"/>
  <c r="G2408" i="2"/>
  <c r="F2408" i="2"/>
  <c r="E2408" i="2"/>
  <c r="D2408" i="2"/>
  <c r="C2408" i="2"/>
  <c r="B2408" i="2"/>
  <c r="A2408" i="2"/>
  <c r="U2407" i="2"/>
  <c r="N2407" i="2"/>
  <c r="M2407" i="2"/>
  <c r="J2407" i="2"/>
  <c r="I2407" i="2"/>
  <c r="H2407" i="2"/>
  <c r="G2407" i="2"/>
  <c r="F2407" i="2"/>
  <c r="E2407" i="2"/>
  <c r="D2407" i="2"/>
  <c r="C2407" i="2"/>
  <c r="B2407" i="2"/>
  <c r="A2407" i="2"/>
  <c r="U2406" i="2"/>
  <c r="N2406" i="2"/>
  <c r="M2406" i="2"/>
  <c r="J2406" i="2"/>
  <c r="I2406" i="2"/>
  <c r="H2406" i="2"/>
  <c r="G2406" i="2"/>
  <c r="F2406" i="2"/>
  <c r="E2406" i="2"/>
  <c r="D2406" i="2"/>
  <c r="C2406" i="2"/>
  <c r="B2406" i="2"/>
  <c r="A2406" i="2"/>
  <c r="U2405" i="2"/>
  <c r="N2405" i="2"/>
  <c r="M2405" i="2"/>
  <c r="J2405" i="2"/>
  <c r="I2405" i="2"/>
  <c r="H2405" i="2"/>
  <c r="G2405" i="2"/>
  <c r="F2405" i="2"/>
  <c r="E2405" i="2"/>
  <c r="D2405" i="2"/>
  <c r="C2405" i="2"/>
  <c r="B2405" i="2"/>
  <c r="A2405" i="2"/>
  <c r="U2404" i="2"/>
  <c r="N2404" i="2"/>
  <c r="M2404" i="2"/>
  <c r="J2404" i="2"/>
  <c r="I2404" i="2"/>
  <c r="H2404" i="2"/>
  <c r="G2404" i="2"/>
  <c r="F2404" i="2"/>
  <c r="E2404" i="2"/>
  <c r="D2404" i="2"/>
  <c r="C2404" i="2"/>
  <c r="B2404" i="2"/>
  <c r="A2404" i="2"/>
  <c r="U2403" i="2"/>
  <c r="N2403" i="2"/>
  <c r="M2403" i="2"/>
  <c r="J2403" i="2"/>
  <c r="I2403" i="2"/>
  <c r="H2403" i="2"/>
  <c r="G2403" i="2"/>
  <c r="F2403" i="2"/>
  <c r="E2403" i="2"/>
  <c r="D2403" i="2"/>
  <c r="C2403" i="2"/>
  <c r="B2403" i="2"/>
  <c r="A2403" i="2"/>
  <c r="U2402" i="2"/>
  <c r="N2402" i="2"/>
  <c r="M2402" i="2"/>
  <c r="J2402" i="2"/>
  <c r="I2402" i="2"/>
  <c r="H2402" i="2"/>
  <c r="G2402" i="2"/>
  <c r="F2402" i="2"/>
  <c r="E2402" i="2"/>
  <c r="D2402" i="2"/>
  <c r="C2402" i="2"/>
  <c r="B2402" i="2"/>
  <c r="A2402" i="2"/>
  <c r="U2401" i="2"/>
  <c r="N2401" i="2"/>
  <c r="M2401" i="2"/>
  <c r="J2401" i="2"/>
  <c r="I2401" i="2"/>
  <c r="H2401" i="2"/>
  <c r="G2401" i="2"/>
  <c r="F2401" i="2"/>
  <c r="E2401" i="2"/>
  <c r="D2401" i="2"/>
  <c r="C2401" i="2"/>
  <c r="B2401" i="2"/>
  <c r="A2401" i="2"/>
  <c r="U2400" i="2"/>
  <c r="N2400" i="2"/>
  <c r="M2400" i="2"/>
  <c r="J2400" i="2"/>
  <c r="I2400" i="2"/>
  <c r="H2400" i="2"/>
  <c r="G2400" i="2"/>
  <c r="F2400" i="2"/>
  <c r="E2400" i="2"/>
  <c r="D2400" i="2"/>
  <c r="C2400" i="2"/>
  <c r="B2400" i="2"/>
  <c r="A2400" i="2"/>
  <c r="U2399" i="2"/>
  <c r="N2399" i="2"/>
  <c r="M2399" i="2"/>
  <c r="J2399" i="2"/>
  <c r="I2399" i="2"/>
  <c r="H2399" i="2"/>
  <c r="G2399" i="2"/>
  <c r="F2399" i="2"/>
  <c r="E2399" i="2"/>
  <c r="D2399" i="2"/>
  <c r="C2399" i="2"/>
  <c r="B2399" i="2"/>
  <c r="A2399" i="2"/>
  <c r="U2398" i="2"/>
  <c r="N2398" i="2"/>
  <c r="M2398" i="2"/>
  <c r="J2398" i="2"/>
  <c r="I2398" i="2"/>
  <c r="H2398" i="2"/>
  <c r="G2398" i="2"/>
  <c r="F2398" i="2"/>
  <c r="E2398" i="2"/>
  <c r="D2398" i="2"/>
  <c r="C2398" i="2"/>
  <c r="B2398" i="2"/>
  <c r="A2398" i="2"/>
  <c r="U2397" i="2"/>
  <c r="N2397" i="2"/>
  <c r="M2397" i="2"/>
  <c r="J2397" i="2"/>
  <c r="I2397" i="2"/>
  <c r="H2397" i="2"/>
  <c r="G2397" i="2"/>
  <c r="F2397" i="2"/>
  <c r="E2397" i="2"/>
  <c r="D2397" i="2"/>
  <c r="C2397" i="2"/>
  <c r="B2397" i="2"/>
  <c r="A2397" i="2"/>
  <c r="U2396" i="2"/>
  <c r="N2396" i="2"/>
  <c r="M2396" i="2"/>
  <c r="J2396" i="2"/>
  <c r="I2396" i="2"/>
  <c r="H2396" i="2"/>
  <c r="G2396" i="2"/>
  <c r="F2396" i="2"/>
  <c r="E2396" i="2"/>
  <c r="D2396" i="2"/>
  <c r="C2396" i="2"/>
  <c r="B2396" i="2"/>
  <c r="A2396" i="2"/>
  <c r="U2395" i="2"/>
  <c r="N2395" i="2"/>
  <c r="M2395" i="2"/>
  <c r="J2395" i="2"/>
  <c r="I2395" i="2"/>
  <c r="H2395" i="2"/>
  <c r="G2395" i="2"/>
  <c r="F2395" i="2"/>
  <c r="E2395" i="2"/>
  <c r="D2395" i="2"/>
  <c r="C2395" i="2"/>
  <c r="B2395" i="2"/>
  <c r="A2395" i="2"/>
  <c r="U2394" i="2"/>
  <c r="N2394" i="2"/>
  <c r="M2394" i="2"/>
  <c r="J2394" i="2"/>
  <c r="I2394" i="2"/>
  <c r="H2394" i="2"/>
  <c r="G2394" i="2"/>
  <c r="F2394" i="2"/>
  <c r="E2394" i="2"/>
  <c r="D2394" i="2"/>
  <c r="C2394" i="2"/>
  <c r="B2394" i="2"/>
  <c r="A2394" i="2"/>
  <c r="U2393" i="2"/>
  <c r="N2393" i="2"/>
  <c r="M2393" i="2"/>
  <c r="J2393" i="2"/>
  <c r="I2393" i="2"/>
  <c r="H2393" i="2"/>
  <c r="G2393" i="2"/>
  <c r="F2393" i="2"/>
  <c r="E2393" i="2"/>
  <c r="D2393" i="2"/>
  <c r="C2393" i="2"/>
  <c r="B2393" i="2"/>
  <c r="A2393" i="2"/>
  <c r="U2392" i="2"/>
  <c r="N2392" i="2"/>
  <c r="M2392" i="2"/>
  <c r="J2392" i="2"/>
  <c r="I2392" i="2"/>
  <c r="H2392" i="2"/>
  <c r="G2392" i="2"/>
  <c r="F2392" i="2"/>
  <c r="E2392" i="2"/>
  <c r="D2392" i="2"/>
  <c r="C2392" i="2"/>
  <c r="B2392" i="2"/>
  <c r="A2392" i="2"/>
  <c r="U2391" i="2"/>
  <c r="N2391" i="2"/>
  <c r="M2391" i="2"/>
  <c r="J2391" i="2"/>
  <c r="I2391" i="2"/>
  <c r="H2391" i="2"/>
  <c r="G2391" i="2"/>
  <c r="F2391" i="2"/>
  <c r="E2391" i="2"/>
  <c r="D2391" i="2"/>
  <c r="C2391" i="2"/>
  <c r="B2391" i="2"/>
  <c r="A2391" i="2"/>
  <c r="U2390" i="2"/>
  <c r="N2390" i="2"/>
  <c r="M2390" i="2"/>
  <c r="J2390" i="2"/>
  <c r="I2390" i="2"/>
  <c r="H2390" i="2"/>
  <c r="G2390" i="2"/>
  <c r="F2390" i="2"/>
  <c r="E2390" i="2"/>
  <c r="D2390" i="2"/>
  <c r="C2390" i="2"/>
  <c r="B2390" i="2"/>
  <c r="A2390" i="2"/>
  <c r="Q2389" i="2"/>
  <c r="U2389" i="2" s="1"/>
  <c r="N2389" i="2"/>
  <c r="M2389" i="2"/>
  <c r="J2389" i="2"/>
  <c r="I2389" i="2"/>
  <c r="H2389" i="2"/>
  <c r="G2389" i="2"/>
  <c r="F2389" i="2"/>
  <c r="E2389" i="2"/>
  <c r="D2389" i="2"/>
  <c r="C2389" i="2"/>
  <c r="B2389" i="2"/>
  <c r="A2389" i="2"/>
  <c r="Q2388" i="2"/>
  <c r="U2388" i="2" s="1"/>
  <c r="N2388" i="2"/>
  <c r="M2388" i="2"/>
  <c r="J2388" i="2"/>
  <c r="I2388" i="2"/>
  <c r="H2388" i="2"/>
  <c r="G2388" i="2"/>
  <c r="F2388" i="2"/>
  <c r="E2388" i="2"/>
  <c r="D2388" i="2"/>
  <c r="C2388" i="2"/>
  <c r="B2388" i="2"/>
  <c r="A2388" i="2"/>
  <c r="U2387" i="2"/>
  <c r="N2387" i="2"/>
  <c r="M2387" i="2"/>
  <c r="J2387" i="2"/>
  <c r="I2387" i="2"/>
  <c r="H2387" i="2"/>
  <c r="G2387" i="2"/>
  <c r="F2387" i="2"/>
  <c r="E2387" i="2"/>
  <c r="D2387" i="2"/>
  <c r="C2387" i="2"/>
  <c r="B2387" i="2"/>
  <c r="A2387" i="2"/>
  <c r="U2386" i="2"/>
  <c r="N2386" i="2"/>
  <c r="M2386" i="2"/>
  <c r="J2386" i="2"/>
  <c r="I2386" i="2"/>
  <c r="H2386" i="2"/>
  <c r="G2386" i="2"/>
  <c r="F2386" i="2"/>
  <c r="E2386" i="2"/>
  <c r="D2386" i="2"/>
  <c r="C2386" i="2"/>
  <c r="B2386" i="2"/>
  <c r="A2386" i="2"/>
  <c r="U2385" i="2"/>
  <c r="N2385" i="2"/>
  <c r="M2385" i="2"/>
  <c r="J2385" i="2"/>
  <c r="I2385" i="2"/>
  <c r="H2385" i="2"/>
  <c r="G2385" i="2"/>
  <c r="F2385" i="2"/>
  <c r="E2385" i="2"/>
  <c r="D2385" i="2"/>
  <c r="C2385" i="2"/>
  <c r="B2385" i="2"/>
  <c r="A2385" i="2"/>
  <c r="U2384" i="2"/>
  <c r="N2384" i="2"/>
  <c r="M2384" i="2"/>
  <c r="J2384" i="2"/>
  <c r="I2384" i="2"/>
  <c r="H2384" i="2"/>
  <c r="G2384" i="2"/>
  <c r="F2384" i="2"/>
  <c r="E2384" i="2"/>
  <c r="D2384" i="2"/>
  <c r="C2384" i="2"/>
  <c r="B2384" i="2"/>
  <c r="A2384" i="2"/>
  <c r="U2383" i="2"/>
  <c r="N2383" i="2"/>
  <c r="M2383" i="2"/>
  <c r="J2383" i="2"/>
  <c r="I2383" i="2"/>
  <c r="H2383" i="2"/>
  <c r="G2383" i="2"/>
  <c r="F2383" i="2"/>
  <c r="E2383" i="2"/>
  <c r="D2383" i="2"/>
  <c r="C2383" i="2"/>
  <c r="B2383" i="2"/>
  <c r="A2383" i="2"/>
  <c r="U2382" i="2"/>
  <c r="N2382" i="2"/>
  <c r="M2382" i="2"/>
  <c r="J2382" i="2"/>
  <c r="I2382" i="2"/>
  <c r="H2382" i="2"/>
  <c r="G2382" i="2"/>
  <c r="F2382" i="2"/>
  <c r="E2382" i="2"/>
  <c r="D2382" i="2"/>
  <c r="C2382" i="2"/>
  <c r="B2382" i="2"/>
  <c r="A2382" i="2"/>
  <c r="Q2381" i="2"/>
  <c r="U2381" i="2" s="1"/>
  <c r="N2381" i="2"/>
  <c r="M2381" i="2"/>
  <c r="J2381" i="2"/>
  <c r="I2381" i="2"/>
  <c r="H2381" i="2"/>
  <c r="G2381" i="2"/>
  <c r="F2381" i="2"/>
  <c r="E2381" i="2"/>
  <c r="D2381" i="2"/>
  <c r="C2381" i="2"/>
  <c r="B2381" i="2"/>
  <c r="A2381" i="2"/>
  <c r="U2380" i="2"/>
  <c r="N2380" i="2"/>
  <c r="M2380" i="2"/>
  <c r="J2380" i="2"/>
  <c r="I2380" i="2"/>
  <c r="H2380" i="2"/>
  <c r="G2380" i="2"/>
  <c r="F2380" i="2"/>
  <c r="E2380" i="2"/>
  <c r="D2380" i="2"/>
  <c r="C2380" i="2"/>
  <c r="B2380" i="2"/>
  <c r="A2380" i="2"/>
  <c r="U2379" i="2"/>
  <c r="N2379" i="2"/>
  <c r="M2379" i="2"/>
  <c r="J2379" i="2"/>
  <c r="I2379" i="2"/>
  <c r="H2379" i="2"/>
  <c r="G2379" i="2"/>
  <c r="F2379" i="2"/>
  <c r="E2379" i="2"/>
  <c r="D2379" i="2"/>
  <c r="C2379" i="2"/>
  <c r="B2379" i="2"/>
  <c r="A2379" i="2"/>
  <c r="U2378" i="2"/>
  <c r="N2378" i="2"/>
  <c r="M2378" i="2"/>
  <c r="J2378" i="2"/>
  <c r="I2378" i="2"/>
  <c r="H2378" i="2"/>
  <c r="G2378" i="2"/>
  <c r="F2378" i="2"/>
  <c r="E2378" i="2"/>
  <c r="D2378" i="2"/>
  <c r="C2378" i="2"/>
  <c r="B2378" i="2"/>
  <c r="A2378" i="2"/>
  <c r="U2377" i="2"/>
  <c r="N2377" i="2"/>
  <c r="M2377" i="2"/>
  <c r="J2377" i="2"/>
  <c r="I2377" i="2"/>
  <c r="H2377" i="2"/>
  <c r="G2377" i="2"/>
  <c r="F2377" i="2"/>
  <c r="E2377" i="2"/>
  <c r="D2377" i="2"/>
  <c r="C2377" i="2"/>
  <c r="B2377" i="2"/>
  <c r="A2377" i="2"/>
  <c r="Q2376" i="2"/>
  <c r="U2376" i="2" s="1"/>
  <c r="N2376" i="2"/>
  <c r="M2376" i="2"/>
  <c r="J2376" i="2"/>
  <c r="I2376" i="2"/>
  <c r="H2376" i="2"/>
  <c r="G2376" i="2"/>
  <c r="F2376" i="2"/>
  <c r="E2376" i="2"/>
  <c r="D2376" i="2"/>
  <c r="C2376" i="2"/>
  <c r="B2376" i="2"/>
  <c r="A2376" i="2"/>
  <c r="Q2375" i="2"/>
  <c r="U2375" i="2" s="1"/>
  <c r="N2375" i="2"/>
  <c r="M2375" i="2"/>
  <c r="J2375" i="2"/>
  <c r="I2375" i="2"/>
  <c r="H2375" i="2"/>
  <c r="G2375" i="2"/>
  <c r="F2375" i="2"/>
  <c r="E2375" i="2"/>
  <c r="D2375" i="2"/>
  <c r="C2375" i="2"/>
  <c r="B2375" i="2"/>
  <c r="A2375" i="2"/>
  <c r="Q2374" i="2"/>
  <c r="U2374" i="2" s="1"/>
  <c r="N2374" i="2"/>
  <c r="M2374" i="2"/>
  <c r="J2374" i="2"/>
  <c r="I2374" i="2"/>
  <c r="H2374" i="2"/>
  <c r="G2374" i="2"/>
  <c r="F2374" i="2"/>
  <c r="E2374" i="2"/>
  <c r="D2374" i="2"/>
  <c r="C2374" i="2"/>
  <c r="B2374" i="2"/>
  <c r="A2374" i="2"/>
  <c r="U2373" i="2"/>
  <c r="N2373" i="2"/>
  <c r="M2373" i="2"/>
  <c r="J2373" i="2"/>
  <c r="I2373" i="2"/>
  <c r="H2373" i="2"/>
  <c r="G2373" i="2"/>
  <c r="F2373" i="2"/>
  <c r="E2373" i="2"/>
  <c r="D2373" i="2"/>
  <c r="C2373" i="2"/>
  <c r="B2373" i="2"/>
  <c r="A2373" i="2"/>
  <c r="U2372" i="2"/>
  <c r="N2372" i="2"/>
  <c r="M2372" i="2"/>
  <c r="J2372" i="2"/>
  <c r="I2372" i="2"/>
  <c r="H2372" i="2"/>
  <c r="G2372" i="2"/>
  <c r="F2372" i="2"/>
  <c r="E2372" i="2"/>
  <c r="D2372" i="2"/>
  <c r="C2372" i="2"/>
  <c r="B2372" i="2"/>
  <c r="A2372" i="2"/>
  <c r="Q2371" i="2"/>
  <c r="U2371" i="2" s="1"/>
  <c r="N2371" i="2"/>
  <c r="M2371" i="2"/>
  <c r="J2371" i="2"/>
  <c r="I2371" i="2"/>
  <c r="H2371" i="2"/>
  <c r="G2371" i="2"/>
  <c r="F2371" i="2"/>
  <c r="E2371" i="2"/>
  <c r="D2371" i="2"/>
  <c r="C2371" i="2"/>
  <c r="B2371" i="2"/>
  <c r="A2371" i="2"/>
  <c r="Q2370" i="2"/>
  <c r="U2370" i="2" s="1"/>
  <c r="N2370" i="2"/>
  <c r="M2370" i="2"/>
  <c r="J2370" i="2"/>
  <c r="I2370" i="2"/>
  <c r="H2370" i="2"/>
  <c r="G2370" i="2"/>
  <c r="F2370" i="2"/>
  <c r="E2370" i="2"/>
  <c r="D2370" i="2"/>
  <c r="C2370" i="2"/>
  <c r="B2370" i="2"/>
  <c r="A2370" i="2"/>
  <c r="Q2369" i="2"/>
  <c r="U2369" i="2" s="1"/>
  <c r="N2369" i="2"/>
  <c r="M2369" i="2"/>
  <c r="J2369" i="2"/>
  <c r="I2369" i="2"/>
  <c r="H2369" i="2"/>
  <c r="G2369" i="2"/>
  <c r="F2369" i="2"/>
  <c r="E2369" i="2"/>
  <c r="D2369" i="2"/>
  <c r="C2369" i="2"/>
  <c r="B2369" i="2"/>
  <c r="A2369" i="2"/>
  <c r="U2368" i="2"/>
  <c r="N2368" i="2"/>
  <c r="M2368" i="2"/>
  <c r="J2368" i="2"/>
  <c r="I2368" i="2"/>
  <c r="H2368" i="2"/>
  <c r="G2368" i="2"/>
  <c r="F2368" i="2"/>
  <c r="E2368" i="2"/>
  <c r="D2368" i="2"/>
  <c r="C2368" i="2"/>
  <c r="B2368" i="2"/>
  <c r="A2368" i="2"/>
  <c r="U2367" i="2"/>
  <c r="N2367" i="2"/>
  <c r="M2367" i="2"/>
  <c r="J2367" i="2"/>
  <c r="I2367" i="2"/>
  <c r="H2367" i="2"/>
  <c r="G2367" i="2"/>
  <c r="F2367" i="2"/>
  <c r="E2367" i="2"/>
  <c r="D2367" i="2"/>
  <c r="C2367" i="2"/>
  <c r="B2367" i="2"/>
  <c r="A2367" i="2"/>
  <c r="U2366" i="2"/>
  <c r="N2366" i="2"/>
  <c r="M2366" i="2"/>
  <c r="J2366" i="2"/>
  <c r="I2366" i="2"/>
  <c r="H2366" i="2"/>
  <c r="G2366" i="2"/>
  <c r="F2366" i="2"/>
  <c r="E2366" i="2"/>
  <c r="D2366" i="2"/>
  <c r="C2366" i="2"/>
  <c r="B2366" i="2"/>
  <c r="A2366" i="2"/>
  <c r="U2365" i="2"/>
  <c r="N2365" i="2"/>
  <c r="M2365" i="2"/>
  <c r="J2365" i="2"/>
  <c r="I2365" i="2"/>
  <c r="H2365" i="2"/>
  <c r="G2365" i="2"/>
  <c r="F2365" i="2"/>
  <c r="E2365" i="2"/>
  <c r="D2365" i="2"/>
  <c r="C2365" i="2"/>
  <c r="B2365" i="2"/>
  <c r="A2365" i="2"/>
  <c r="U2364" i="2"/>
  <c r="N2364" i="2"/>
  <c r="M2364" i="2"/>
  <c r="J2364" i="2"/>
  <c r="I2364" i="2"/>
  <c r="H2364" i="2"/>
  <c r="G2364" i="2"/>
  <c r="F2364" i="2"/>
  <c r="E2364" i="2"/>
  <c r="D2364" i="2"/>
  <c r="C2364" i="2"/>
  <c r="B2364" i="2"/>
  <c r="A2364" i="2"/>
  <c r="U2363" i="2"/>
  <c r="N2363" i="2"/>
  <c r="M2363" i="2"/>
  <c r="J2363" i="2"/>
  <c r="I2363" i="2"/>
  <c r="H2363" i="2"/>
  <c r="G2363" i="2"/>
  <c r="F2363" i="2"/>
  <c r="E2363" i="2"/>
  <c r="D2363" i="2"/>
  <c r="C2363" i="2"/>
  <c r="B2363" i="2"/>
  <c r="A2363" i="2"/>
  <c r="U2362" i="2"/>
  <c r="N2362" i="2"/>
  <c r="M2362" i="2"/>
  <c r="J2362" i="2"/>
  <c r="I2362" i="2"/>
  <c r="H2362" i="2"/>
  <c r="G2362" i="2"/>
  <c r="F2362" i="2"/>
  <c r="E2362" i="2"/>
  <c r="D2362" i="2"/>
  <c r="C2362" i="2"/>
  <c r="B2362" i="2"/>
  <c r="A2362" i="2"/>
  <c r="U2361" i="2"/>
  <c r="N2361" i="2"/>
  <c r="M2361" i="2"/>
  <c r="J2361" i="2"/>
  <c r="I2361" i="2"/>
  <c r="H2361" i="2"/>
  <c r="G2361" i="2"/>
  <c r="F2361" i="2"/>
  <c r="E2361" i="2"/>
  <c r="D2361" i="2"/>
  <c r="C2361" i="2"/>
  <c r="B2361" i="2"/>
  <c r="A2361" i="2"/>
  <c r="U2360" i="2"/>
  <c r="N2360" i="2"/>
  <c r="M2360" i="2"/>
  <c r="J2360" i="2"/>
  <c r="I2360" i="2"/>
  <c r="H2360" i="2"/>
  <c r="G2360" i="2"/>
  <c r="F2360" i="2"/>
  <c r="E2360" i="2"/>
  <c r="D2360" i="2"/>
  <c r="C2360" i="2"/>
  <c r="B2360" i="2"/>
  <c r="A2360" i="2"/>
  <c r="U2359" i="2"/>
  <c r="N2359" i="2"/>
  <c r="M2359" i="2"/>
  <c r="J2359" i="2"/>
  <c r="I2359" i="2"/>
  <c r="H2359" i="2"/>
  <c r="G2359" i="2"/>
  <c r="F2359" i="2"/>
  <c r="E2359" i="2"/>
  <c r="D2359" i="2"/>
  <c r="C2359" i="2"/>
  <c r="B2359" i="2"/>
  <c r="A2359" i="2"/>
  <c r="U2358" i="2"/>
  <c r="N2358" i="2"/>
  <c r="M2358" i="2"/>
  <c r="J2358" i="2"/>
  <c r="I2358" i="2"/>
  <c r="H2358" i="2"/>
  <c r="G2358" i="2"/>
  <c r="F2358" i="2"/>
  <c r="E2358" i="2"/>
  <c r="D2358" i="2"/>
  <c r="C2358" i="2"/>
  <c r="B2358" i="2"/>
  <c r="A2358" i="2"/>
  <c r="U2357" i="2"/>
  <c r="N2357" i="2"/>
  <c r="M2357" i="2"/>
  <c r="J2357" i="2"/>
  <c r="I2357" i="2"/>
  <c r="H2357" i="2"/>
  <c r="G2357" i="2"/>
  <c r="F2357" i="2"/>
  <c r="E2357" i="2"/>
  <c r="D2357" i="2"/>
  <c r="C2357" i="2"/>
  <c r="B2357" i="2"/>
  <c r="A2357" i="2"/>
  <c r="U2356" i="2"/>
  <c r="N2356" i="2"/>
  <c r="M2356" i="2"/>
  <c r="J2356" i="2"/>
  <c r="I2356" i="2"/>
  <c r="H2356" i="2"/>
  <c r="G2356" i="2"/>
  <c r="F2356" i="2"/>
  <c r="E2356" i="2"/>
  <c r="D2356" i="2"/>
  <c r="C2356" i="2"/>
  <c r="B2356" i="2"/>
  <c r="A2356" i="2"/>
  <c r="U2355" i="2"/>
  <c r="N2355" i="2"/>
  <c r="M2355" i="2"/>
  <c r="J2355" i="2"/>
  <c r="I2355" i="2"/>
  <c r="H2355" i="2"/>
  <c r="G2355" i="2"/>
  <c r="F2355" i="2"/>
  <c r="E2355" i="2"/>
  <c r="D2355" i="2"/>
  <c r="C2355" i="2"/>
  <c r="B2355" i="2"/>
  <c r="A2355" i="2"/>
  <c r="U2354" i="2"/>
  <c r="N2354" i="2"/>
  <c r="M2354" i="2"/>
  <c r="J2354" i="2"/>
  <c r="I2354" i="2"/>
  <c r="H2354" i="2"/>
  <c r="G2354" i="2"/>
  <c r="F2354" i="2"/>
  <c r="E2354" i="2"/>
  <c r="D2354" i="2"/>
  <c r="C2354" i="2"/>
  <c r="B2354" i="2"/>
  <c r="A2354" i="2"/>
  <c r="U2353" i="2"/>
  <c r="N2353" i="2"/>
  <c r="M2353" i="2"/>
  <c r="J2353" i="2"/>
  <c r="I2353" i="2"/>
  <c r="H2353" i="2"/>
  <c r="G2353" i="2"/>
  <c r="F2353" i="2"/>
  <c r="E2353" i="2"/>
  <c r="D2353" i="2"/>
  <c r="C2353" i="2"/>
  <c r="B2353" i="2"/>
  <c r="A2353" i="2"/>
  <c r="U2352" i="2"/>
  <c r="N2352" i="2"/>
  <c r="M2352" i="2"/>
  <c r="J2352" i="2"/>
  <c r="I2352" i="2"/>
  <c r="H2352" i="2"/>
  <c r="G2352" i="2"/>
  <c r="F2352" i="2"/>
  <c r="E2352" i="2"/>
  <c r="D2352" i="2"/>
  <c r="C2352" i="2"/>
  <c r="B2352" i="2"/>
  <c r="A2352" i="2"/>
  <c r="U2351" i="2"/>
  <c r="N2351" i="2"/>
  <c r="M2351" i="2"/>
  <c r="J2351" i="2"/>
  <c r="I2351" i="2"/>
  <c r="H2351" i="2"/>
  <c r="G2351" i="2"/>
  <c r="F2351" i="2"/>
  <c r="E2351" i="2"/>
  <c r="D2351" i="2"/>
  <c r="C2351" i="2"/>
  <c r="B2351" i="2"/>
  <c r="A2351" i="2"/>
  <c r="U2350" i="2"/>
  <c r="N2350" i="2"/>
  <c r="M2350" i="2"/>
  <c r="J2350" i="2"/>
  <c r="I2350" i="2"/>
  <c r="H2350" i="2"/>
  <c r="G2350" i="2"/>
  <c r="F2350" i="2"/>
  <c r="E2350" i="2"/>
  <c r="D2350" i="2"/>
  <c r="C2350" i="2"/>
  <c r="B2350" i="2"/>
  <c r="A2350" i="2"/>
  <c r="U2349" i="2"/>
  <c r="N2349" i="2"/>
  <c r="M2349" i="2"/>
  <c r="J2349" i="2"/>
  <c r="I2349" i="2"/>
  <c r="H2349" i="2"/>
  <c r="G2349" i="2"/>
  <c r="F2349" i="2"/>
  <c r="E2349" i="2"/>
  <c r="D2349" i="2"/>
  <c r="C2349" i="2"/>
  <c r="B2349" i="2"/>
  <c r="A2349" i="2"/>
  <c r="U2348" i="2"/>
  <c r="N2348" i="2"/>
  <c r="M2348" i="2"/>
  <c r="J2348" i="2"/>
  <c r="I2348" i="2"/>
  <c r="H2348" i="2"/>
  <c r="G2348" i="2"/>
  <c r="F2348" i="2"/>
  <c r="E2348" i="2"/>
  <c r="D2348" i="2"/>
  <c r="C2348" i="2"/>
  <c r="B2348" i="2"/>
  <c r="A2348" i="2"/>
  <c r="U2347" i="2"/>
  <c r="N2347" i="2"/>
  <c r="M2347" i="2"/>
  <c r="J2347" i="2"/>
  <c r="I2347" i="2"/>
  <c r="H2347" i="2"/>
  <c r="G2347" i="2"/>
  <c r="F2347" i="2"/>
  <c r="E2347" i="2"/>
  <c r="D2347" i="2"/>
  <c r="C2347" i="2"/>
  <c r="B2347" i="2"/>
  <c r="A2347" i="2"/>
  <c r="U2346" i="2"/>
  <c r="N2346" i="2"/>
  <c r="M2346" i="2"/>
  <c r="J2346" i="2"/>
  <c r="I2346" i="2"/>
  <c r="H2346" i="2"/>
  <c r="G2346" i="2"/>
  <c r="F2346" i="2"/>
  <c r="E2346" i="2"/>
  <c r="D2346" i="2"/>
  <c r="C2346" i="2"/>
  <c r="B2346" i="2"/>
  <c r="A2346" i="2"/>
  <c r="U2345" i="2"/>
  <c r="N2345" i="2"/>
  <c r="M2345" i="2"/>
  <c r="J2345" i="2"/>
  <c r="I2345" i="2"/>
  <c r="H2345" i="2"/>
  <c r="G2345" i="2"/>
  <c r="F2345" i="2"/>
  <c r="E2345" i="2"/>
  <c r="D2345" i="2"/>
  <c r="C2345" i="2"/>
  <c r="B2345" i="2"/>
  <c r="A2345" i="2"/>
  <c r="Q2344" i="2"/>
  <c r="U2344" i="2" s="1"/>
  <c r="N2344" i="2"/>
  <c r="M2344" i="2"/>
  <c r="J2344" i="2"/>
  <c r="I2344" i="2"/>
  <c r="H2344" i="2"/>
  <c r="G2344" i="2"/>
  <c r="F2344" i="2"/>
  <c r="E2344" i="2"/>
  <c r="D2344" i="2"/>
  <c r="C2344" i="2"/>
  <c r="B2344" i="2"/>
  <c r="A2344" i="2"/>
  <c r="U2343" i="2"/>
  <c r="N2343" i="2"/>
  <c r="M2343" i="2"/>
  <c r="J2343" i="2"/>
  <c r="I2343" i="2"/>
  <c r="H2343" i="2"/>
  <c r="G2343" i="2"/>
  <c r="F2343" i="2"/>
  <c r="E2343" i="2"/>
  <c r="D2343" i="2"/>
  <c r="C2343" i="2"/>
  <c r="B2343" i="2"/>
  <c r="A2343" i="2"/>
  <c r="Q2342" i="2"/>
  <c r="U2342" i="2" s="1"/>
  <c r="N2342" i="2"/>
  <c r="M2342" i="2"/>
  <c r="J2342" i="2"/>
  <c r="I2342" i="2"/>
  <c r="H2342" i="2"/>
  <c r="G2342" i="2"/>
  <c r="F2342" i="2"/>
  <c r="E2342" i="2"/>
  <c r="D2342" i="2"/>
  <c r="C2342" i="2"/>
  <c r="B2342" i="2"/>
  <c r="A2342" i="2"/>
  <c r="Q2341" i="2"/>
  <c r="U2341" i="2" s="1"/>
  <c r="N2341" i="2"/>
  <c r="M2341" i="2"/>
  <c r="J2341" i="2"/>
  <c r="I2341" i="2"/>
  <c r="H2341" i="2"/>
  <c r="G2341" i="2"/>
  <c r="F2341" i="2"/>
  <c r="E2341" i="2"/>
  <c r="D2341" i="2"/>
  <c r="C2341" i="2"/>
  <c r="B2341" i="2"/>
  <c r="A2341" i="2"/>
  <c r="U2340" i="2"/>
  <c r="N2340" i="2"/>
  <c r="M2340" i="2"/>
  <c r="J2340" i="2"/>
  <c r="I2340" i="2"/>
  <c r="H2340" i="2"/>
  <c r="G2340" i="2"/>
  <c r="F2340" i="2"/>
  <c r="E2340" i="2"/>
  <c r="D2340" i="2"/>
  <c r="C2340" i="2"/>
  <c r="B2340" i="2"/>
  <c r="A2340" i="2"/>
  <c r="U2339" i="2"/>
  <c r="N2339" i="2"/>
  <c r="M2339" i="2"/>
  <c r="J2339" i="2"/>
  <c r="I2339" i="2"/>
  <c r="H2339" i="2"/>
  <c r="G2339" i="2"/>
  <c r="F2339" i="2"/>
  <c r="E2339" i="2"/>
  <c r="D2339" i="2"/>
  <c r="C2339" i="2"/>
  <c r="B2339" i="2"/>
  <c r="A2339" i="2"/>
  <c r="Q2338" i="2"/>
  <c r="U2338" i="2" s="1"/>
  <c r="N2338" i="2"/>
  <c r="M2338" i="2"/>
  <c r="J2338" i="2"/>
  <c r="I2338" i="2"/>
  <c r="H2338" i="2"/>
  <c r="G2338" i="2"/>
  <c r="F2338" i="2"/>
  <c r="E2338" i="2"/>
  <c r="D2338" i="2"/>
  <c r="C2338" i="2"/>
  <c r="B2338" i="2"/>
  <c r="A2338" i="2"/>
  <c r="U2337" i="2"/>
  <c r="N2337" i="2"/>
  <c r="M2337" i="2"/>
  <c r="J2337" i="2"/>
  <c r="I2337" i="2"/>
  <c r="H2337" i="2"/>
  <c r="G2337" i="2"/>
  <c r="F2337" i="2"/>
  <c r="E2337" i="2"/>
  <c r="D2337" i="2"/>
  <c r="C2337" i="2"/>
  <c r="B2337" i="2"/>
  <c r="A2337" i="2"/>
  <c r="U2336" i="2"/>
  <c r="N2336" i="2"/>
  <c r="M2336" i="2"/>
  <c r="J2336" i="2"/>
  <c r="I2336" i="2"/>
  <c r="H2336" i="2"/>
  <c r="G2336" i="2"/>
  <c r="F2336" i="2"/>
  <c r="E2336" i="2"/>
  <c r="D2336" i="2"/>
  <c r="C2336" i="2"/>
  <c r="B2336" i="2"/>
  <c r="A2336" i="2"/>
  <c r="U2335" i="2"/>
  <c r="N2335" i="2"/>
  <c r="M2335" i="2"/>
  <c r="J2335" i="2"/>
  <c r="I2335" i="2"/>
  <c r="H2335" i="2"/>
  <c r="G2335" i="2"/>
  <c r="F2335" i="2"/>
  <c r="E2335" i="2"/>
  <c r="D2335" i="2"/>
  <c r="C2335" i="2"/>
  <c r="B2335" i="2"/>
  <c r="A2335" i="2"/>
  <c r="U2334" i="2"/>
  <c r="N2334" i="2"/>
  <c r="M2334" i="2"/>
  <c r="J2334" i="2"/>
  <c r="I2334" i="2"/>
  <c r="H2334" i="2"/>
  <c r="G2334" i="2"/>
  <c r="F2334" i="2"/>
  <c r="E2334" i="2"/>
  <c r="D2334" i="2"/>
  <c r="C2334" i="2"/>
  <c r="B2334" i="2"/>
  <c r="A2334" i="2"/>
  <c r="U2333" i="2"/>
  <c r="N2333" i="2"/>
  <c r="M2333" i="2"/>
  <c r="J2333" i="2"/>
  <c r="I2333" i="2"/>
  <c r="H2333" i="2"/>
  <c r="G2333" i="2"/>
  <c r="F2333" i="2"/>
  <c r="E2333" i="2"/>
  <c r="D2333" i="2"/>
  <c r="C2333" i="2"/>
  <c r="B2333" i="2"/>
  <c r="A2333" i="2"/>
  <c r="Q2332" i="2"/>
  <c r="U2332" i="2" s="1"/>
  <c r="N2332" i="2"/>
  <c r="M2332" i="2"/>
  <c r="J2332" i="2"/>
  <c r="I2332" i="2"/>
  <c r="H2332" i="2"/>
  <c r="G2332" i="2"/>
  <c r="F2332" i="2"/>
  <c r="E2332" i="2"/>
  <c r="D2332" i="2"/>
  <c r="C2332" i="2"/>
  <c r="B2332" i="2"/>
  <c r="A2332" i="2"/>
  <c r="U2331" i="2"/>
  <c r="N2331" i="2"/>
  <c r="M2331" i="2"/>
  <c r="J2331" i="2"/>
  <c r="I2331" i="2"/>
  <c r="H2331" i="2"/>
  <c r="G2331" i="2"/>
  <c r="F2331" i="2"/>
  <c r="E2331" i="2"/>
  <c r="D2331" i="2"/>
  <c r="C2331" i="2"/>
  <c r="B2331" i="2"/>
  <c r="A2331" i="2"/>
  <c r="Q2330" i="2"/>
  <c r="U2330" i="2" s="1"/>
  <c r="N2330" i="2"/>
  <c r="M2330" i="2"/>
  <c r="J2330" i="2"/>
  <c r="I2330" i="2"/>
  <c r="H2330" i="2"/>
  <c r="G2330" i="2"/>
  <c r="F2330" i="2"/>
  <c r="E2330" i="2"/>
  <c r="D2330" i="2"/>
  <c r="C2330" i="2"/>
  <c r="B2330" i="2"/>
  <c r="A2330" i="2"/>
  <c r="U2329" i="2"/>
  <c r="N2329" i="2"/>
  <c r="M2329" i="2"/>
  <c r="J2329" i="2"/>
  <c r="I2329" i="2"/>
  <c r="H2329" i="2"/>
  <c r="G2329" i="2"/>
  <c r="F2329" i="2"/>
  <c r="E2329" i="2"/>
  <c r="D2329" i="2"/>
  <c r="C2329" i="2"/>
  <c r="B2329" i="2"/>
  <c r="A2329" i="2"/>
  <c r="U2328" i="2"/>
  <c r="N2328" i="2"/>
  <c r="M2328" i="2"/>
  <c r="J2328" i="2"/>
  <c r="I2328" i="2"/>
  <c r="H2328" i="2"/>
  <c r="G2328" i="2"/>
  <c r="F2328" i="2"/>
  <c r="E2328" i="2"/>
  <c r="D2328" i="2"/>
  <c r="C2328" i="2"/>
  <c r="B2328" i="2"/>
  <c r="A2328" i="2"/>
  <c r="U2327" i="2"/>
  <c r="N2327" i="2"/>
  <c r="M2327" i="2"/>
  <c r="J2327" i="2"/>
  <c r="I2327" i="2"/>
  <c r="H2327" i="2"/>
  <c r="G2327" i="2"/>
  <c r="F2327" i="2"/>
  <c r="E2327" i="2"/>
  <c r="D2327" i="2"/>
  <c r="C2327" i="2"/>
  <c r="B2327" i="2"/>
  <c r="A2327" i="2"/>
  <c r="U2326" i="2"/>
  <c r="N2326" i="2"/>
  <c r="M2326" i="2"/>
  <c r="J2326" i="2"/>
  <c r="I2326" i="2"/>
  <c r="H2326" i="2"/>
  <c r="G2326" i="2"/>
  <c r="F2326" i="2"/>
  <c r="E2326" i="2"/>
  <c r="D2326" i="2"/>
  <c r="C2326" i="2"/>
  <c r="B2326" i="2"/>
  <c r="A2326" i="2"/>
  <c r="U2325" i="2"/>
  <c r="N2325" i="2"/>
  <c r="M2325" i="2"/>
  <c r="J2325" i="2"/>
  <c r="I2325" i="2"/>
  <c r="H2325" i="2"/>
  <c r="G2325" i="2"/>
  <c r="F2325" i="2"/>
  <c r="E2325" i="2"/>
  <c r="D2325" i="2"/>
  <c r="C2325" i="2"/>
  <c r="B2325" i="2"/>
  <c r="A2325" i="2"/>
  <c r="U2324" i="2"/>
  <c r="N2324" i="2"/>
  <c r="M2324" i="2"/>
  <c r="J2324" i="2"/>
  <c r="I2324" i="2"/>
  <c r="H2324" i="2"/>
  <c r="G2324" i="2"/>
  <c r="F2324" i="2"/>
  <c r="E2324" i="2"/>
  <c r="D2324" i="2"/>
  <c r="C2324" i="2"/>
  <c r="B2324" i="2"/>
  <c r="A2324" i="2"/>
  <c r="U2323" i="2"/>
  <c r="N2323" i="2"/>
  <c r="M2323" i="2"/>
  <c r="J2323" i="2"/>
  <c r="I2323" i="2"/>
  <c r="H2323" i="2"/>
  <c r="G2323" i="2"/>
  <c r="F2323" i="2"/>
  <c r="E2323" i="2"/>
  <c r="D2323" i="2"/>
  <c r="C2323" i="2"/>
  <c r="B2323" i="2"/>
  <c r="A2323" i="2"/>
  <c r="U2322" i="2"/>
  <c r="N2322" i="2"/>
  <c r="M2322" i="2"/>
  <c r="J2322" i="2"/>
  <c r="I2322" i="2"/>
  <c r="H2322" i="2"/>
  <c r="G2322" i="2"/>
  <c r="F2322" i="2"/>
  <c r="E2322" i="2"/>
  <c r="D2322" i="2"/>
  <c r="C2322" i="2"/>
  <c r="B2322" i="2"/>
  <c r="A2322" i="2"/>
  <c r="U2321" i="2"/>
  <c r="N2321" i="2"/>
  <c r="M2321" i="2"/>
  <c r="J2321" i="2"/>
  <c r="I2321" i="2"/>
  <c r="H2321" i="2"/>
  <c r="G2321" i="2"/>
  <c r="F2321" i="2"/>
  <c r="E2321" i="2"/>
  <c r="D2321" i="2"/>
  <c r="C2321" i="2"/>
  <c r="B2321" i="2"/>
  <c r="A2321" i="2"/>
  <c r="U2320" i="2"/>
  <c r="N2320" i="2"/>
  <c r="M2320" i="2"/>
  <c r="J2320" i="2"/>
  <c r="I2320" i="2"/>
  <c r="H2320" i="2"/>
  <c r="G2320" i="2"/>
  <c r="F2320" i="2"/>
  <c r="E2320" i="2"/>
  <c r="D2320" i="2"/>
  <c r="C2320" i="2"/>
  <c r="B2320" i="2"/>
  <c r="A2320" i="2"/>
  <c r="U2319" i="2"/>
  <c r="N2319" i="2"/>
  <c r="M2319" i="2"/>
  <c r="J2319" i="2"/>
  <c r="I2319" i="2"/>
  <c r="H2319" i="2"/>
  <c r="G2319" i="2"/>
  <c r="F2319" i="2"/>
  <c r="E2319" i="2"/>
  <c r="D2319" i="2"/>
  <c r="C2319" i="2"/>
  <c r="B2319" i="2"/>
  <c r="A2319" i="2"/>
  <c r="U2318" i="2"/>
  <c r="N2318" i="2"/>
  <c r="M2318" i="2"/>
  <c r="J2318" i="2"/>
  <c r="I2318" i="2"/>
  <c r="H2318" i="2"/>
  <c r="G2318" i="2"/>
  <c r="F2318" i="2"/>
  <c r="E2318" i="2"/>
  <c r="D2318" i="2"/>
  <c r="C2318" i="2"/>
  <c r="B2318" i="2"/>
  <c r="A2318" i="2"/>
  <c r="U2317" i="2"/>
  <c r="N2317" i="2"/>
  <c r="M2317" i="2"/>
  <c r="J2317" i="2"/>
  <c r="I2317" i="2"/>
  <c r="H2317" i="2"/>
  <c r="G2317" i="2"/>
  <c r="F2317" i="2"/>
  <c r="E2317" i="2"/>
  <c r="D2317" i="2"/>
  <c r="C2317" i="2"/>
  <c r="B2317" i="2"/>
  <c r="A2317" i="2"/>
  <c r="U2316" i="2"/>
  <c r="N2316" i="2"/>
  <c r="M2316" i="2"/>
  <c r="J2316" i="2"/>
  <c r="I2316" i="2"/>
  <c r="H2316" i="2"/>
  <c r="G2316" i="2"/>
  <c r="F2316" i="2"/>
  <c r="E2316" i="2"/>
  <c r="D2316" i="2"/>
  <c r="C2316" i="2"/>
  <c r="B2316" i="2"/>
  <c r="A2316" i="2"/>
  <c r="U2315" i="2"/>
  <c r="N2315" i="2"/>
  <c r="M2315" i="2"/>
  <c r="J2315" i="2"/>
  <c r="I2315" i="2"/>
  <c r="H2315" i="2"/>
  <c r="G2315" i="2"/>
  <c r="F2315" i="2"/>
  <c r="E2315" i="2"/>
  <c r="D2315" i="2"/>
  <c r="C2315" i="2"/>
  <c r="B2315" i="2"/>
  <c r="A2315" i="2"/>
  <c r="U2314" i="2"/>
  <c r="N2314" i="2"/>
  <c r="M2314" i="2"/>
  <c r="J2314" i="2"/>
  <c r="I2314" i="2"/>
  <c r="H2314" i="2"/>
  <c r="G2314" i="2"/>
  <c r="F2314" i="2"/>
  <c r="E2314" i="2"/>
  <c r="D2314" i="2"/>
  <c r="C2314" i="2"/>
  <c r="B2314" i="2"/>
  <c r="A2314" i="2"/>
  <c r="U2313" i="2"/>
  <c r="N2313" i="2"/>
  <c r="M2313" i="2"/>
  <c r="J2313" i="2"/>
  <c r="I2313" i="2"/>
  <c r="H2313" i="2"/>
  <c r="G2313" i="2"/>
  <c r="F2313" i="2"/>
  <c r="E2313" i="2"/>
  <c r="D2313" i="2"/>
  <c r="C2313" i="2"/>
  <c r="B2313" i="2"/>
  <c r="A2313" i="2"/>
  <c r="U2312" i="2"/>
  <c r="N2312" i="2"/>
  <c r="M2312" i="2"/>
  <c r="J2312" i="2"/>
  <c r="I2312" i="2"/>
  <c r="H2312" i="2"/>
  <c r="G2312" i="2"/>
  <c r="F2312" i="2"/>
  <c r="E2312" i="2"/>
  <c r="D2312" i="2"/>
  <c r="C2312" i="2"/>
  <c r="B2312" i="2"/>
  <c r="A2312" i="2"/>
  <c r="U2311" i="2"/>
  <c r="N2311" i="2"/>
  <c r="M2311" i="2"/>
  <c r="J2311" i="2"/>
  <c r="I2311" i="2"/>
  <c r="H2311" i="2"/>
  <c r="G2311" i="2"/>
  <c r="F2311" i="2"/>
  <c r="E2311" i="2"/>
  <c r="D2311" i="2"/>
  <c r="C2311" i="2"/>
  <c r="B2311" i="2"/>
  <c r="A2311" i="2"/>
  <c r="U2310" i="2"/>
  <c r="N2310" i="2"/>
  <c r="M2310" i="2"/>
  <c r="J2310" i="2"/>
  <c r="I2310" i="2"/>
  <c r="H2310" i="2"/>
  <c r="G2310" i="2"/>
  <c r="F2310" i="2"/>
  <c r="E2310" i="2"/>
  <c r="D2310" i="2"/>
  <c r="C2310" i="2"/>
  <c r="B2310" i="2"/>
  <c r="A2310" i="2"/>
  <c r="U2309" i="2"/>
  <c r="N2309" i="2"/>
  <c r="M2309" i="2"/>
  <c r="J2309" i="2"/>
  <c r="I2309" i="2"/>
  <c r="H2309" i="2"/>
  <c r="G2309" i="2"/>
  <c r="F2309" i="2"/>
  <c r="E2309" i="2"/>
  <c r="D2309" i="2"/>
  <c r="C2309" i="2"/>
  <c r="B2309" i="2"/>
  <c r="A2309" i="2"/>
  <c r="U2308" i="2"/>
  <c r="N2308" i="2"/>
  <c r="M2308" i="2"/>
  <c r="J2308" i="2"/>
  <c r="I2308" i="2"/>
  <c r="H2308" i="2"/>
  <c r="G2308" i="2"/>
  <c r="F2308" i="2"/>
  <c r="E2308" i="2"/>
  <c r="D2308" i="2"/>
  <c r="C2308" i="2"/>
  <c r="B2308" i="2"/>
  <c r="A2308" i="2"/>
  <c r="U2307" i="2"/>
  <c r="N2307" i="2"/>
  <c r="M2307" i="2"/>
  <c r="J2307" i="2"/>
  <c r="I2307" i="2"/>
  <c r="H2307" i="2"/>
  <c r="G2307" i="2"/>
  <c r="F2307" i="2"/>
  <c r="E2307" i="2"/>
  <c r="D2307" i="2"/>
  <c r="C2307" i="2"/>
  <c r="B2307" i="2"/>
  <c r="A2307" i="2"/>
  <c r="U2306" i="2"/>
  <c r="N2306" i="2"/>
  <c r="M2306" i="2"/>
  <c r="J2306" i="2"/>
  <c r="I2306" i="2"/>
  <c r="H2306" i="2"/>
  <c r="G2306" i="2"/>
  <c r="F2306" i="2"/>
  <c r="E2306" i="2"/>
  <c r="D2306" i="2"/>
  <c r="C2306" i="2"/>
  <c r="B2306" i="2"/>
  <c r="A2306" i="2"/>
  <c r="U2305" i="2"/>
  <c r="N2305" i="2"/>
  <c r="M2305" i="2"/>
  <c r="J2305" i="2"/>
  <c r="I2305" i="2"/>
  <c r="H2305" i="2"/>
  <c r="G2305" i="2"/>
  <c r="F2305" i="2"/>
  <c r="E2305" i="2"/>
  <c r="D2305" i="2"/>
  <c r="C2305" i="2"/>
  <c r="B2305" i="2"/>
  <c r="A2305" i="2"/>
  <c r="U2304" i="2"/>
  <c r="N2304" i="2"/>
  <c r="M2304" i="2"/>
  <c r="J2304" i="2"/>
  <c r="I2304" i="2"/>
  <c r="H2304" i="2"/>
  <c r="G2304" i="2"/>
  <c r="F2304" i="2"/>
  <c r="E2304" i="2"/>
  <c r="D2304" i="2"/>
  <c r="C2304" i="2"/>
  <c r="B2304" i="2"/>
  <c r="A2304" i="2"/>
  <c r="U2303" i="2"/>
  <c r="N2303" i="2"/>
  <c r="M2303" i="2"/>
  <c r="J2303" i="2"/>
  <c r="I2303" i="2"/>
  <c r="H2303" i="2"/>
  <c r="G2303" i="2"/>
  <c r="F2303" i="2"/>
  <c r="E2303" i="2"/>
  <c r="D2303" i="2"/>
  <c r="C2303" i="2"/>
  <c r="B2303" i="2"/>
  <c r="A2303" i="2"/>
  <c r="U2302" i="2"/>
  <c r="N2302" i="2"/>
  <c r="M2302" i="2"/>
  <c r="J2302" i="2"/>
  <c r="I2302" i="2"/>
  <c r="H2302" i="2"/>
  <c r="G2302" i="2"/>
  <c r="F2302" i="2"/>
  <c r="E2302" i="2"/>
  <c r="D2302" i="2"/>
  <c r="C2302" i="2"/>
  <c r="B2302" i="2"/>
  <c r="A2302" i="2"/>
  <c r="U2301" i="2"/>
  <c r="N2301" i="2"/>
  <c r="M2301" i="2"/>
  <c r="J2301" i="2"/>
  <c r="I2301" i="2"/>
  <c r="H2301" i="2"/>
  <c r="G2301" i="2"/>
  <c r="F2301" i="2"/>
  <c r="E2301" i="2"/>
  <c r="D2301" i="2"/>
  <c r="C2301" i="2"/>
  <c r="B2301" i="2"/>
  <c r="A2301" i="2"/>
  <c r="U2300" i="2"/>
  <c r="N2300" i="2"/>
  <c r="M2300" i="2"/>
  <c r="J2300" i="2"/>
  <c r="I2300" i="2"/>
  <c r="H2300" i="2"/>
  <c r="G2300" i="2"/>
  <c r="F2300" i="2"/>
  <c r="E2300" i="2"/>
  <c r="D2300" i="2"/>
  <c r="C2300" i="2"/>
  <c r="B2300" i="2"/>
  <c r="A2300" i="2"/>
  <c r="U2299" i="2"/>
  <c r="N2299" i="2"/>
  <c r="M2299" i="2"/>
  <c r="J2299" i="2"/>
  <c r="I2299" i="2"/>
  <c r="H2299" i="2"/>
  <c r="G2299" i="2"/>
  <c r="F2299" i="2"/>
  <c r="E2299" i="2"/>
  <c r="D2299" i="2"/>
  <c r="C2299" i="2"/>
  <c r="B2299" i="2"/>
  <c r="A2299" i="2"/>
  <c r="U2298" i="2"/>
  <c r="N2298" i="2"/>
  <c r="M2298" i="2"/>
  <c r="J2298" i="2"/>
  <c r="I2298" i="2"/>
  <c r="H2298" i="2"/>
  <c r="G2298" i="2"/>
  <c r="F2298" i="2"/>
  <c r="E2298" i="2"/>
  <c r="D2298" i="2"/>
  <c r="C2298" i="2"/>
  <c r="B2298" i="2"/>
  <c r="A2298" i="2"/>
  <c r="U2297" i="2"/>
  <c r="N2297" i="2"/>
  <c r="M2297" i="2"/>
  <c r="J2297" i="2"/>
  <c r="I2297" i="2"/>
  <c r="H2297" i="2"/>
  <c r="G2297" i="2"/>
  <c r="F2297" i="2"/>
  <c r="E2297" i="2"/>
  <c r="D2297" i="2"/>
  <c r="C2297" i="2"/>
  <c r="B2297" i="2"/>
  <c r="A2297" i="2"/>
  <c r="U2296" i="2"/>
  <c r="N2296" i="2"/>
  <c r="M2296" i="2"/>
  <c r="J2296" i="2"/>
  <c r="I2296" i="2"/>
  <c r="H2296" i="2"/>
  <c r="G2296" i="2"/>
  <c r="F2296" i="2"/>
  <c r="E2296" i="2"/>
  <c r="D2296" i="2"/>
  <c r="C2296" i="2"/>
  <c r="B2296" i="2"/>
  <c r="A2296" i="2"/>
  <c r="U2295" i="2"/>
  <c r="N2295" i="2"/>
  <c r="M2295" i="2"/>
  <c r="J2295" i="2"/>
  <c r="I2295" i="2"/>
  <c r="H2295" i="2"/>
  <c r="G2295" i="2"/>
  <c r="F2295" i="2"/>
  <c r="E2295" i="2"/>
  <c r="D2295" i="2"/>
  <c r="C2295" i="2"/>
  <c r="B2295" i="2"/>
  <c r="A2295" i="2"/>
  <c r="U2294" i="2"/>
  <c r="N2294" i="2"/>
  <c r="M2294" i="2"/>
  <c r="J2294" i="2"/>
  <c r="I2294" i="2"/>
  <c r="H2294" i="2"/>
  <c r="G2294" i="2"/>
  <c r="F2294" i="2"/>
  <c r="E2294" i="2"/>
  <c r="D2294" i="2"/>
  <c r="C2294" i="2"/>
  <c r="B2294" i="2"/>
  <c r="A2294" i="2"/>
  <c r="U2293" i="2"/>
  <c r="N2293" i="2"/>
  <c r="M2293" i="2"/>
  <c r="J2293" i="2"/>
  <c r="I2293" i="2"/>
  <c r="H2293" i="2"/>
  <c r="G2293" i="2"/>
  <c r="F2293" i="2"/>
  <c r="E2293" i="2"/>
  <c r="D2293" i="2"/>
  <c r="C2293" i="2"/>
  <c r="B2293" i="2"/>
  <c r="A2293" i="2"/>
  <c r="U2292" i="2"/>
  <c r="N2292" i="2"/>
  <c r="M2292" i="2"/>
  <c r="J2292" i="2"/>
  <c r="I2292" i="2"/>
  <c r="H2292" i="2"/>
  <c r="G2292" i="2"/>
  <c r="F2292" i="2"/>
  <c r="E2292" i="2"/>
  <c r="D2292" i="2"/>
  <c r="C2292" i="2"/>
  <c r="B2292" i="2"/>
  <c r="A2292" i="2"/>
  <c r="U2291" i="2"/>
  <c r="N2291" i="2"/>
  <c r="M2291" i="2"/>
  <c r="J2291" i="2"/>
  <c r="I2291" i="2"/>
  <c r="H2291" i="2"/>
  <c r="G2291" i="2"/>
  <c r="F2291" i="2"/>
  <c r="E2291" i="2"/>
  <c r="D2291" i="2"/>
  <c r="C2291" i="2"/>
  <c r="B2291" i="2"/>
  <c r="A2291" i="2"/>
  <c r="U2290" i="2"/>
  <c r="N2290" i="2"/>
  <c r="M2290" i="2"/>
  <c r="J2290" i="2"/>
  <c r="I2290" i="2"/>
  <c r="H2290" i="2"/>
  <c r="G2290" i="2"/>
  <c r="F2290" i="2"/>
  <c r="E2290" i="2"/>
  <c r="D2290" i="2"/>
  <c r="C2290" i="2"/>
  <c r="B2290" i="2"/>
  <c r="A2290" i="2"/>
  <c r="U2289" i="2"/>
  <c r="N2289" i="2"/>
  <c r="M2289" i="2"/>
  <c r="J2289" i="2"/>
  <c r="I2289" i="2"/>
  <c r="H2289" i="2"/>
  <c r="G2289" i="2"/>
  <c r="F2289" i="2"/>
  <c r="E2289" i="2"/>
  <c r="D2289" i="2"/>
  <c r="C2289" i="2"/>
  <c r="B2289" i="2"/>
  <c r="A2289" i="2"/>
  <c r="U2288" i="2"/>
  <c r="N2288" i="2"/>
  <c r="M2288" i="2"/>
  <c r="J2288" i="2"/>
  <c r="I2288" i="2"/>
  <c r="H2288" i="2"/>
  <c r="G2288" i="2"/>
  <c r="F2288" i="2"/>
  <c r="E2288" i="2"/>
  <c r="D2288" i="2"/>
  <c r="C2288" i="2"/>
  <c r="B2288" i="2"/>
  <c r="A2288" i="2"/>
  <c r="U2287" i="2"/>
  <c r="N2287" i="2"/>
  <c r="M2287" i="2"/>
  <c r="J2287" i="2"/>
  <c r="I2287" i="2"/>
  <c r="H2287" i="2"/>
  <c r="G2287" i="2"/>
  <c r="F2287" i="2"/>
  <c r="E2287" i="2"/>
  <c r="D2287" i="2"/>
  <c r="C2287" i="2"/>
  <c r="B2287" i="2"/>
  <c r="A2287" i="2"/>
  <c r="U2286" i="2"/>
  <c r="N2286" i="2"/>
  <c r="M2286" i="2"/>
  <c r="J2286" i="2"/>
  <c r="I2286" i="2"/>
  <c r="H2286" i="2"/>
  <c r="G2286" i="2"/>
  <c r="F2286" i="2"/>
  <c r="E2286" i="2"/>
  <c r="D2286" i="2"/>
  <c r="C2286" i="2"/>
  <c r="B2286" i="2"/>
  <c r="A2286" i="2"/>
  <c r="U2285" i="2"/>
  <c r="N2285" i="2"/>
  <c r="M2285" i="2"/>
  <c r="J2285" i="2"/>
  <c r="I2285" i="2"/>
  <c r="H2285" i="2"/>
  <c r="G2285" i="2"/>
  <c r="F2285" i="2"/>
  <c r="E2285" i="2"/>
  <c r="D2285" i="2"/>
  <c r="C2285" i="2"/>
  <c r="B2285" i="2"/>
  <c r="A2285" i="2"/>
  <c r="U2284" i="2"/>
  <c r="N2284" i="2"/>
  <c r="M2284" i="2"/>
  <c r="J2284" i="2"/>
  <c r="I2284" i="2"/>
  <c r="H2284" i="2"/>
  <c r="G2284" i="2"/>
  <c r="F2284" i="2"/>
  <c r="E2284" i="2"/>
  <c r="D2284" i="2"/>
  <c r="C2284" i="2"/>
  <c r="B2284" i="2"/>
  <c r="A2284" i="2"/>
  <c r="U2283" i="2"/>
  <c r="N2283" i="2"/>
  <c r="M2283" i="2"/>
  <c r="J2283" i="2"/>
  <c r="I2283" i="2"/>
  <c r="H2283" i="2"/>
  <c r="G2283" i="2"/>
  <c r="F2283" i="2"/>
  <c r="E2283" i="2"/>
  <c r="D2283" i="2"/>
  <c r="C2283" i="2"/>
  <c r="B2283" i="2"/>
  <c r="A2283" i="2"/>
  <c r="U2282" i="2"/>
  <c r="N2282" i="2"/>
  <c r="M2282" i="2"/>
  <c r="J2282" i="2"/>
  <c r="I2282" i="2"/>
  <c r="H2282" i="2"/>
  <c r="G2282" i="2"/>
  <c r="F2282" i="2"/>
  <c r="E2282" i="2"/>
  <c r="D2282" i="2"/>
  <c r="C2282" i="2"/>
  <c r="B2282" i="2"/>
  <c r="A2282" i="2"/>
  <c r="U2281" i="2"/>
  <c r="N2281" i="2"/>
  <c r="M2281" i="2"/>
  <c r="J2281" i="2"/>
  <c r="I2281" i="2"/>
  <c r="H2281" i="2"/>
  <c r="G2281" i="2"/>
  <c r="F2281" i="2"/>
  <c r="E2281" i="2"/>
  <c r="D2281" i="2"/>
  <c r="C2281" i="2"/>
  <c r="B2281" i="2"/>
  <c r="A2281" i="2"/>
  <c r="U2280" i="2"/>
  <c r="N2280" i="2"/>
  <c r="M2280" i="2"/>
  <c r="J2280" i="2"/>
  <c r="I2280" i="2"/>
  <c r="H2280" i="2"/>
  <c r="G2280" i="2"/>
  <c r="F2280" i="2"/>
  <c r="E2280" i="2"/>
  <c r="D2280" i="2"/>
  <c r="C2280" i="2"/>
  <c r="B2280" i="2"/>
  <c r="A2280" i="2"/>
  <c r="U2279" i="2"/>
  <c r="N2279" i="2"/>
  <c r="M2279" i="2"/>
  <c r="J2279" i="2"/>
  <c r="I2279" i="2"/>
  <c r="H2279" i="2"/>
  <c r="G2279" i="2"/>
  <c r="F2279" i="2"/>
  <c r="E2279" i="2"/>
  <c r="D2279" i="2"/>
  <c r="C2279" i="2"/>
  <c r="B2279" i="2"/>
  <c r="A2279" i="2"/>
  <c r="U2278" i="2"/>
  <c r="N2278" i="2"/>
  <c r="M2278" i="2"/>
  <c r="J2278" i="2"/>
  <c r="I2278" i="2"/>
  <c r="H2278" i="2"/>
  <c r="G2278" i="2"/>
  <c r="F2278" i="2"/>
  <c r="E2278" i="2"/>
  <c r="D2278" i="2"/>
  <c r="C2278" i="2"/>
  <c r="B2278" i="2"/>
  <c r="A2278" i="2"/>
  <c r="U2277" i="2"/>
  <c r="N2277" i="2"/>
  <c r="M2277" i="2"/>
  <c r="J2277" i="2"/>
  <c r="I2277" i="2"/>
  <c r="H2277" i="2"/>
  <c r="G2277" i="2"/>
  <c r="F2277" i="2"/>
  <c r="E2277" i="2"/>
  <c r="D2277" i="2"/>
  <c r="C2277" i="2"/>
  <c r="B2277" i="2"/>
  <c r="A2277" i="2"/>
  <c r="U2276" i="2"/>
  <c r="N2276" i="2"/>
  <c r="M2276" i="2"/>
  <c r="J2276" i="2"/>
  <c r="I2276" i="2"/>
  <c r="H2276" i="2"/>
  <c r="G2276" i="2"/>
  <c r="F2276" i="2"/>
  <c r="E2276" i="2"/>
  <c r="D2276" i="2"/>
  <c r="C2276" i="2"/>
  <c r="B2276" i="2"/>
  <c r="A2276" i="2"/>
  <c r="U2275" i="2"/>
  <c r="N2275" i="2"/>
  <c r="M2275" i="2"/>
  <c r="J2275" i="2"/>
  <c r="I2275" i="2"/>
  <c r="H2275" i="2"/>
  <c r="G2275" i="2"/>
  <c r="F2275" i="2"/>
  <c r="E2275" i="2"/>
  <c r="D2275" i="2"/>
  <c r="C2275" i="2"/>
  <c r="B2275" i="2"/>
  <c r="A2275" i="2"/>
  <c r="U2274" i="2"/>
  <c r="N2274" i="2"/>
  <c r="M2274" i="2"/>
  <c r="J2274" i="2"/>
  <c r="I2274" i="2"/>
  <c r="H2274" i="2"/>
  <c r="G2274" i="2"/>
  <c r="F2274" i="2"/>
  <c r="E2274" i="2"/>
  <c r="D2274" i="2"/>
  <c r="C2274" i="2"/>
  <c r="B2274" i="2"/>
  <c r="A2274" i="2"/>
  <c r="U2273" i="2"/>
  <c r="N2273" i="2"/>
  <c r="M2273" i="2"/>
  <c r="J2273" i="2"/>
  <c r="I2273" i="2"/>
  <c r="H2273" i="2"/>
  <c r="G2273" i="2"/>
  <c r="F2273" i="2"/>
  <c r="E2273" i="2"/>
  <c r="D2273" i="2"/>
  <c r="C2273" i="2"/>
  <c r="B2273" i="2"/>
  <c r="A2273" i="2"/>
  <c r="U2272" i="2"/>
  <c r="N2272" i="2"/>
  <c r="M2272" i="2"/>
  <c r="J2272" i="2"/>
  <c r="I2272" i="2"/>
  <c r="H2272" i="2"/>
  <c r="G2272" i="2"/>
  <c r="F2272" i="2"/>
  <c r="E2272" i="2"/>
  <c r="D2272" i="2"/>
  <c r="C2272" i="2"/>
  <c r="B2272" i="2"/>
  <c r="A2272" i="2"/>
  <c r="U2271" i="2"/>
  <c r="N2271" i="2"/>
  <c r="M2271" i="2"/>
  <c r="J2271" i="2"/>
  <c r="I2271" i="2"/>
  <c r="H2271" i="2"/>
  <c r="G2271" i="2"/>
  <c r="F2271" i="2"/>
  <c r="E2271" i="2"/>
  <c r="D2271" i="2"/>
  <c r="C2271" i="2"/>
  <c r="B2271" i="2"/>
  <c r="A2271" i="2"/>
  <c r="U2270" i="2"/>
  <c r="N2270" i="2"/>
  <c r="M2270" i="2"/>
  <c r="J2270" i="2"/>
  <c r="I2270" i="2"/>
  <c r="H2270" i="2"/>
  <c r="G2270" i="2"/>
  <c r="F2270" i="2"/>
  <c r="E2270" i="2"/>
  <c r="D2270" i="2"/>
  <c r="C2270" i="2"/>
  <c r="B2270" i="2"/>
  <c r="A2270" i="2"/>
  <c r="U2269" i="2"/>
  <c r="N2269" i="2"/>
  <c r="M2269" i="2"/>
  <c r="J2269" i="2"/>
  <c r="I2269" i="2"/>
  <c r="H2269" i="2"/>
  <c r="G2269" i="2"/>
  <c r="F2269" i="2"/>
  <c r="E2269" i="2"/>
  <c r="D2269" i="2"/>
  <c r="C2269" i="2"/>
  <c r="B2269" i="2"/>
  <c r="A2269" i="2"/>
  <c r="U2268" i="2"/>
  <c r="N2268" i="2"/>
  <c r="M2268" i="2"/>
  <c r="J2268" i="2"/>
  <c r="I2268" i="2"/>
  <c r="H2268" i="2"/>
  <c r="G2268" i="2"/>
  <c r="F2268" i="2"/>
  <c r="E2268" i="2"/>
  <c r="D2268" i="2"/>
  <c r="C2268" i="2"/>
  <c r="B2268" i="2"/>
  <c r="A2268" i="2"/>
  <c r="U2267" i="2"/>
  <c r="N2267" i="2"/>
  <c r="M2267" i="2"/>
  <c r="J2267" i="2"/>
  <c r="I2267" i="2"/>
  <c r="H2267" i="2"/>
  <c r="G2267" i="2"/>
  <c r="F2267" i="2"/>
  <c r="E2267" i="2"/>
  <c r="D2267" i="2"/>
  <c r="C2267" i="2"/>
  <c r="B2267" i="2"/>
  <c r="A2267" i="2"/>
  <c r="U2266" i="2"/>
  <c r="N2266" i="2"/>
  <c r="M2266" i="2"/>
  <c r="J2266" i="2"/>
  <c r="I2266" i="2"/>
  <c r="H2266" i="2"/>
  <c r="G2266" i="2"/>
  <c r="F2266" i="2"/>
  <c r="E2266" i="2"/>
  <c r="D2266" i="2"/>
  <c r="C2266" i="2"/>
  <c r="B2266" i="2"/>
  <c r="A2266" i="2"/>
  <c r="U2265" i="2"/>
  <c r="N2265" i="2"/>
  <c r="M2265" i="2"/>
  <c r="J2265" i="2"/>
  <c r="I2265" i="2"/>
  <c r="H2265" i="2"/>
  <c r="G2265" i="2"/>
  <c r="F2265" i="2"/>
  <c r="E2265" i="2"/>
  <c r="D2265" i="2"/>
  <c r="C2265" i="2"/>
  <c r="B2265" i="2"/>
  <c r="A2265" i="2"/>
  <c r="U2264" i="2"/>
  <c r="N2264" i="2"/>
  <c r="M2264" i="2"/>
  <c r="J2264" i="2"/>
  <c r="I2264" i="2"/>
  <c r="H2264" i="2"/>
  <c r="G2264" i="2"/>
  <c r="F2264" i="2"/>
  <c r="E2264" i="2"/>
  <c r="D2264" i="2"/>
  <c r="C2264" i="2"/>
  <c r="B2264" i="2"/>
  <c r="A2264" i="2"/>
  <c r="U2263" i="2"/>
  <c r="N2263" i="2"/>
  <c r="M2263" i="2"/>
  <c r="J2263" i="2"/>
  <c r="I2263" i="2"/>
  <c r="H2263" i="2"/>
  <c r="G2263" i="2"/>
  <c r="F2263" i="2"/>
  <c r="E2263" i="2"/>
  <c r="D2263" i="2"/>
  <c r="C2263" i="2"/>
  <c r="B2263" i="2"/>
  <c r="A2263" i="2"/>
  <c r="U2262" i="2"/>
  <c r="N2262" i="2"/>
  <c r="M2262" i="2"/>
  <c r="J2262" i="2"/>
  <c r="I2262" i="2"/>
  <c r="H2262" i="2"/>
  <c r="G2262" i="2"/>
  <c r="F2262" i="2"/>
  <c r="E2262" i="2"/>
  <c r="D2262" i="2"/>
  <c r="C2262" i="2"/>
  <c r="B2262" i="2"/>
  <c r="A2262" i="2"/>
  <c r="U2261" i="2"/>
  <c r="N2261" i="2"/>
  <c r="M2261" i="2"/>
  <c r="J2261" i="2"/>
  <c r="I2261" i="2"/>
  <c r="H2261" i="2"/>
  <c r="G2261" i="2"/>
  <c r="F2261" i="2"/>
  <c r="E2261" i="2"/>
  <c r="D2261" i="2"/>
  <c r="C2261" i="2"/>
  <c r="B2261" i="2"/>
  <c r="A2261" i="2"/>
  <c r="Q2260" i="2"/>
  <c r="U2260" i="2" s="1"/>
  <c r="N2260" i="2"/>
  <c r="M2260" i="2"/>
  <c r="J2260" i="2"/>
  <c r="I2260" i="2"/>
  <c r="H2260" i="2"/>
  <c r="G2260" i="2"/>
  <c r="F2260" i="2"/>
  <c r="E2260" i="2"/>
  <c r="D2260" i="2"/>
  <c r="C2260" i="2"/>
  <c r="B2260" i="2"/>
  <c r="A2260" i="2"/>
  <c r="Q2259" i="2"/>
  <c r="U2259" i="2" s="1"/>
  <c r="N2259" i="2"/>
  <c r="M2259" i="2"/>
  <c r="J2259" i="2"/>
  <c r="I2259" i="2"/>
  <c r="H2259" i="2"/>
  <c r="G2259" i="2"/>
  <c r="F2259" i="2"/>
  <c r="E2259" i="2"/>
  <c r="D2259" i="2"/>
  <c r="C2259" i="2"/>
  <c r="B2259" i="2"/>
  <c r="A2259" i="2"/>
  <c r="Q2258" i="2"/>
  <c r="U2258" i="2" s="1"/>
  <c r="N2258" i="2"/>
  <c r="M2258" i="2"/>
  <c r="J2258" i="2"/>
  <c r="I2258" i="2"/>
  <c r="H2258" i="2"/>
  <c r="G2258" i="2"/>
  <c r="F2258" i="2"/>
  <c r="E2258" i="2"/>
  <c r="D2258" i="2"/>
  <c r="C2258" i="2"/>
  <c r="B2258" i="2"/>
  <c r="A2258" i="2"/>
  <c r="Q2257" i="2"/>
  <c r="U2257" i="2" s="1"/>
  <c r="N2257" i="2"/>
  <c r="M2257" i="2"/>
  <c r="J2257" i="2"/>
  <c r="I2257" i="2"/>
  <c r="H2257" i="2"/>
  <c r="G2257" i="2"/>
  <c r="F2257" i="2"/>
  <c r="E2257" i="2"/>
  <c r="D2257" i="2"/>
  <c r="C2257" i="2"/>
  <c r="B2257" i="2"/>
  <c r="A2257" i="2"/>
  <c r="Q2256" i="2"/>
  <c r="U2256" i="2" s="1"/>
  <c r="N2256" i="2"/>
  <c r="M2256" i="2"/>
  <c r="J2256" i="2"/>
  <c r="I2256" i="2"/>
  <c r="H2256" i="2"/>
  <c r="G2256" i="2"/>
  <c r="F2256" i="2"/>
  <c r="E2256" i="2"/>
  <c r="D2256" i="2"/>
  <c r="C2256" i="2"/>
  <c r="B2256" i="2"/>
  <c r="A2256" i="2"/>
  <c r="Q2255" i="2"/>
  <c r="U2255" i="2" s="1"/>
  <c r="N2255" i="2"/>
  <c r="M2255" i="2"/>
  <c r="J2255" i="2"/>
  <c r="I2255" i="2"/>
  <c r="H2255" i="2"/>
  <c r="G2255" i="2"/>
  <c r="F2255" i="2"/>
  <c r="E2255" i="2"/>
  <c r="D2255" i="2"/>
  <c r="C2255" i="2"/>
  <c r="B2255" i="2"/>
  <c r="A2255" i="2"/>
  <c r="Q2254" i="2"/>
  <c r="U2254" i="2" s="1"/>
  <c r="N2254" i="2"/>
  <c r="M2254" i="2"/>
  <c r="J2254" i="2"/>
  <c r="I2254" i="2"/>
  <c r="H2254" i="2"/>
  <c r="G2254" i="2"/>
  <c r="F2254" i="2"/>
  <c r="E2254" i="2"/>
  <c r="D2254" i="2"/>
  <c r="C2254" i="2"/>
  <c r="B2254" i="2"/>
  <c r="A2254" i="2"/>
  <c r="Q2253" i="2"/>
  <c r="U2253" i="2" s="1"/>
  <c r="N2253" i="2"/>
  <c r="M2253" i="2"/>
  <c r="J2253" i="2"/>
  <c r="I2253" i="2"/>
  <c r="H2253" i="2"/>
  <c r="G2253" i="2"/>
  <c r="F2253" i="2"/>
  <c r="E2253" i="2"/>
  <c r="D2253" i="2"/>
  <c r="C2253" i="2"/>
  <c r="B2253" i="2"/>
  <c r="A2253" i="2"/>
  <c r="Q2252" i="2"/>
  <c r="U2252" i="2" s="1"/>
  <c r="N2252" i="2"/>
  <c r="M2252" i="2"/>
  <c r="J2252" i="2"/>
  <c r="I2252" i="2"/>
  <c r="H2252" i="2"/>
  <c r="G2252" i="2"/>
  <c r="F2252" i="2"/>
  <c r="E2252" i="2"/>
  <c r="D2252" i="2"/>
  <c r="C2252" i="2"/>
  <c r="B2252" i="2"/>
  <c r="A2252" i="2"/>
  <c r="Q2251" i="2"/>
  <c r="U2251" i="2" s="1"/>
  <c r="N2251" i="2"/>
  <c r="M2251" i="2"/>
  <c r="J2251" i="2"/>
  <c r="I2251" i="2"/>
  <c r="H2251" i="2"/>
  <c r="G2251" i="2"/>
  <c r="F2251" i="2"/>
  <c r="E2251" i="2"/>
  <c r="D2251" i="2"/>
  <c r="C2251" i="2"/>
  <c r="B2251" i="2"/>
  <c r="A2251" i="2"/>
  <c r="Q2250" i="2"/>
  <c r="U2250" i="2" s="1"/>
  <c r="N2250" i="2"/>
  <c r="M2250" i="2"/>
  <c r="J2250" i="2"/>
  <c r="I2250" i="2"/>
  <c r="H2250" i="2"/>
  <c r="G2250" i="2"/>
  <c r="F2250" i="2"/>
  <c r="E2250" i="2"/>
  <c r="D2250" i="2"/>
  <c r="C2250" i="2"/>
  <c r="B2250" i="2"/>
  <c r="A2250" i="2"/>
  <c r="U2249" i="2"/>
  <c r="N2249" i="2"/>
  <c r="M2249" i="2"/>
  <c r="J2249" i="2"/>
  <c r="I2249" i="2"/>
  <c r="H2249" i="2"/>
  <c r="G2249" i="2"/>
  <c r="F2249" i="2"/>
  <c r="E2249" i="2"/>
  <c r="D2249" i="2"/>
  <c r="C2249" i="2"/>
  <c r="B2249" i="2"/>
  <c r="A2249" i="2"/>
  <c r="U2248" i="2"/>
  <c r="N2248" i="2"/>
  <c r="M2248" i="2"/>
  <c r="J2248" i="2"/>
  <c r="I2248" i="2"/>
  <c r="H2248" i="2"/>
  <c r="G2248" i="2"/>
  <c r="F2248" i="2"/>
  <c r="E2248" i="2"/>
  <c r="D2248" i="2"/>
  <c r="C2248" i="2"/>
  <c r="B2248" i="2"/>
  <c r="A2248" i="2"/>
  <c r="U2247" i="2"/>
  <c r="N2247" i="2"/>
  <c r="M2247" i="2"/>
  <c r="J2247" i="2"/>
  <c r="I2247" i="2"/>
  <c r="H2247" i="2"/>
  <c r="G2247" i="2"/>
  <c r="F2247" i="2"/>
  <c r="E2247" i="2"/>
  <c r="D2247" i="2"/>
  <c r="C2247" i="2"/>
  <c r="B2247" i="2"/>
  <c r="A2247" i="2"/>
  <c r="Q2246" i="2"/>
  <c r="U2246" i="2" s="1"/>
  <c r="N2246" i="2"/>
  <c r="M2246" i="2"/>
  <c r="J2246" i="2"/>
  <c r="I2246" i="2"/>
  <c r="H2246" i="2"/>
  <c r="G2246" i="2"/>
  <c r="F2246" i="2"/>
  <c r="E2246" i="2"/>
  <c r="D2246" i="2"/>
  <c r="C2246" i="2"/>
  <c r="B2246" i="2"/>
  <c r="A2246" i="2"/>
  <c r="Q2245" i="2"/>
  <c r="U2245" i="2" s="1"/>
  <c r="N2245" i="2"/>
  <c r="M2245" i="2"/>
  <c r="J2245" i="2"/>
  <c r="I2245" i="2"/>
  <c r="H2245" i="2"/>
  <c r="G2245" i="2"/>
  <c r="F2245" i="2"/>
  <c r="E2245" i="2"/>
  <c r="D2245" i="2"/>
  <c r="C2245" i="2"/>
  <c r="B2245" i="2"/>
  <c r="A2245" i="2"/>
  <c r="U2244" i="2"/>
  <c r="N2244" i="2"/>
  <c r="M2244" i="2"/>
  <c r="J2244" i="2"/>
  <c r="I2244" i="2"/>
  <c r="H2244" i="2"/>
  <c r="G2244" i="2"/>
  <c r="F2244" i="2"/>
  <c r="E2244" i="2"/>
  <c r="D2244" i="2"/>
  <c r="C2244" i="2"/>
  <c r="B2244" i="2"/>
  <c r="A2244" i="2"/>
  <c r="U2243" i="2"/>
  <c r="N2243" i="2"/>
  <c r="M2243" i="2"/>
  <c r="J2243" i="2"/>
  <c r="I2243" i="2"/>
  <c r="H2243" i="2"/>
  <c r="G2243" i="2"/>
  <c r="F2243" i="2"/>
  <c r="E2243" i="2"/>
  <c r="D2243" i="2"/>
  <c r="C2243" i="2"/>
  <c r="B2243" i="2"/>
  <c r="A2243" i="2"/>
  <c r="U2242" i="2"/>
  <c r="N2242" i="2"/>
  <c r="M2242" i="2"/>
  <c r="J2242" i="2"/>
  <c r="I2242" i="2"/>
  <c r="H2242" i="2"/>
  <c r="G2242" i="2"/>
  <c r="F2242" i="2"/>
  <c r="E2242" i="2"/>
  <c r="D2242" i="2"/>
  <c r="C2242" i="2"/>
  <c r="B2242" i="2"/>
  <c r="A2242" i="2"/>
  <c r="U2241" i="2"/>
  <c r="N2241" i="2"/>
  <c r="M2241" i="2"/>
  <c r="J2241" i="2"/>
  <c r="I2241" i="2"/>
  <c r="H2241" i="2"/>
  <c r="G2241" i="2"/>
  <c r="F2241" i="2"/>
  <c r="E2241" i="2"/>
  <c r="D2241" i="2"/>
  <c r="C2241" i="2"/>
  <c r="B2241" i="2"/>
  <c r="A2241" i="2"/>
  <c r="Q2240" i="2"/>
  <c r="U2240" i="2" s="1"/>
  <c r="N2240" i="2"/>
  <c r="M2240" i="2"/>
  <c r="J2240" i="2"/>
  <c r="I2240" i="2"/>
  <c r="H2240" i="2"/>
  <c r="G2240" i="2"/>
  <c r="F2240" i="2"/>
  <c r="E2240" i="2"/>
  <c r="D2240" i="2"/>
  <c r="C2240" i="2"/>
  <c r="B2240" i="2"/>
  <c r="A2240" i="2"/>
  <c r="Q2239" i="2"/>
  <c r="U2239" i="2" s="1"/>
  <c r="N2239" i="2"/>
  <c r="M2239" i="2"/>
  <c r="J2239" i="2"/>
  <c r="I2239" i="2"/>
  <c r="H2239" i="2"/>
  <c r="G2239" i="2"/>
  <c r="F2239" i="2"/>
  <c r="E2239" i="2"/>
  <c r="D2239" i="2"/>
  <c r="C2239" i="2"/>
  <c r="B2239" i="2"/>
  <c r="A2239" i="2"/>
  <c r="U2238" i="2"/>
  <c r="N2238" i="2"/>
  <c r="M2238" i="2"/>
  <c r="J2238" i="2"/>
  <c r="I2238" i="2"/>
  <c r="H2238" i="2"/>
  <c r="G2238" i="2"/>
  <c r="F2238" i="2"/>
  <c r="E2238" i="2"/>
  <c r="D2238" i="2"/>
  <c r="C2238" i="2"/>
  <c r="B2238" i="2"/>
  <c r="A2238" i="2"/>
  <c r="U2237" i="2"/>
  <c r="N2237" i="2"/>
  <c r="M2237" i="2"/>
  <c r="J2237" i="2"/>
  <c r="I2237" i="2"/>
  <c r="H2237" i="2"/>
  <c r="G2237" i="2"/>
  <c r="F2237" i="2"/>
  <c r="E2237" i="2"/>
  <c r="D2237" i="2"/>
  <c r="C2237" i="2"/>
  <c r="B2237" i="2"/>
  <c r="A2237" i="2"/>
  <c r="U2236" i="2"/>
  <c r="N2236" i="2"/>
  <c r="M2236" i="2"/>
  <c r="J2236" i="2"/>
  <c r="I2236" i="2"/>
  <c r="H2236" i="2"/>
  <c r="G2236" i="2"/>
  <c r="F2236" i="2"/>
  <c r="E2236" i="2"/>
  <c r="D2236" i="2"/>
  <c r="C2236" i="2"/>
  <c r="B2236" i="2"/>
  <c r="A2236" i="2"/>
  <c r="Q2235" i="2"/>
  <c r="U2235" i="2" s="1"/>
  <c r="N2235" i="2"/>
  <c r="M2235" i="2"/>
  <c r="J2235" i="2"/>
  <c r="I2235" i="2"/>
  <c r="H2235" i="2"/>
  <c r="G2235" i="2"/>
  <c r="F2235" i="2"/>
  <c r="E2235" i="2"/>
  <c r="D2235" i="2"/>
  <c r="C2235" i="2"/>
  <c r="B2235" i="2"/>
  <c r="A2235" i="2"/>
  <c r="U2234" i="2"/>
  <c r="N2234" i="2"/>
  <c r="M2234" i="2"/>
  <c r="J2234" i="2"/>
  <c r="I2234" i="2"/>
  <c r="H2234" i="2"/>
  <c r="G2234" i="2"/>
  <c r="F2234" i="2"/>
  <c r="E2234" i="2"/>
  <c r="D2234" i="2"/>
  <c r="C2234" i="2"/>
  <c r="B2234" i="2"/>
  <c r="A2234" i="2"/>
  <c r="U2233" i="2"/>
  <c r="N2233" i="2"/>
  <c r="M2233" i="2"/>
  <c r="J2233" i="2"/>
  <c r="I2233" i="2"/>
  <c r="H2233" i="2"/>
  <c r="G2233" i="2"/>
  <c r="F2233" i="2"/>
  <c r="E2233" i="2"/>
  <c r="D2233" i="2"/>
  <c r="C2233" i="2"/>
  <c r="B2233" i="2"/>
  <c r="A2233" i="2"/>
  <c r="U2232" i="2"/>
  <c r="N2232" i="2"/>
  <c r="M2232" i="2"/>
  <c r="J2232" i="2"/>
  <c r="I2232" i="2"/>
  <c r="H2232" i="2"/>
  <c r="G2232" i="2"/>
  <c r="F2232" i="2"/>
  <c r="E2232" i="2"/>
  <c r="D2232" i="2"/>
  <c r="C2232" i="2"/>
  <c r="B2232" i="2"/>
  <c r="A2232" i="2"/>
  <c r="R2231" i="2"/>
  <c r="Q2231" i="2"/>
  <c r="N2231" i="2"/>
  <c r="M2231" i="2"/>
  <c r="J2231" i="2"/>
  <c r="I2231" i="2"/>
  <c r="H2231" i="2"/>
  <c r="G2231" i="2"/>
  <c r="F2231" i="2"/>
  <c r="E2231" i="2"/>
  <c r="D2231" i="2"/>
  <c r="C2231" i="2"/>
  <c r="B2231" i="2"/>
  <c r="A2231" i="2"/>
  <c r="R2230" i="2"/>
  <c r="Q2230" i="2"/>
  <c r="N2230" i="2"/>
  <c r="M2230" i="2"/>
  <c r="J2230" i="2"/>
  <c r="I2230" i="2"/>
  <c r="H2230" i="2"/>
  <c r="G2230" i="2"/>
  <c r="F2230" i="2"/>
  <c r="E2230" i="2"/>
  <c r="D2230" i="2"/>
  <c r="C2230" i="2"/>
  <c r="B2230" i="2"/>
  <c r="A2230" i="2"/>
  <c r="U2229" i="2"/>
  <c r="N2229" i="2"/>
  <c r="M2229" i="2"/>
  <c r="J2229" i="2"/>
  <c r="I2229" i="2"/>
  <c r="H2229" i="2"/>
  <c r="G2229" i="2"/>
  <c r="F2229" i="2"/>
  <c r="E2229" i="2"/>
  <c r="D2229" i="2"/>
  <c r="C2229" i="2"/>
  <c r="B2229" i="2"/>
  <c r="A2229" i="2"/>
  <c r="U2228" i="2"/>
  <c r="N2228" i="2"/>
  <c r="M2228" i="2"/>
  <c r="J2228" i="2"/>
  <c r="I2228" i="2"/>
  <c r="H2228" i="2"/>
  <c r="G2228" i="2"/>
  <c r="F2228" i="2"/>
  <c r="E2228" i="2"/>
  <c r="D2228" i="2"/>
  <c r="C2228" i="2"/>
  <c r="B2228" i="2"/>
  <c r="A2228" i="2"/>
  <c r="U2227" i="2"/>
  <c r="N2227" i="2"/>
  <c r="M2227" i="2"/>
  <c r="J2227" i="2"/>
  <c r="I2227" i="2"/>
  <c r="H2227" i="2"/>
  <c r="G2227" i="2"/>
  <c r="F2227" i="2"/>
  <c r="E2227" i="2"/>
  <c r="D2227" i="2"/>
  <c r="C2227" i="2"/>
  <c r="B2227" i="2"/>
  <c r="A2227" i="2"/>
  <c r="U2226" i="2"/>
  <c r="N2226" i="2"/>
  <c r="M2226" i="2"/>
  <c r="J2226" i="2"/>
  <c r="I2226" i="2"/>
  <c r="H2226" i="2"/>
  <c r="G2226" i="2"/>
  <c r="F2226" i="2"/>
  <c r="E2226" i="2"/>
  <c r="D2226" i="2"/>
  <c r="C2226" i="2"/>
  <c r="B2226" i="2"/>
  <c r="A2226" i="2"/>
  <c r="U2225" i="2"/>
  <c r="N2225" i="2"/>
  <c r="M2225" i="2"/>
  <c r="J2225" i="2"/>
  <c r="I2225" i="2"/>
  <c r="H2225" i="2"/>
  <c r="G2225" i="2"/>
  <c r="F2225" i="2"/>
  <c r="E2225" i="2"/>
  <c r="D2225" i="2"/>
  <c r="C2225" i="2"/>
  <c r="B2225" i="2"/>
  <c r="A2225" i="2"/>
  <c r="U2224" i="2"/>
  <c r="N2224" i="2"/>
  <c r="M2224" i="2"/>
  <c r="J2224" i="2"/>
  <c r="I2224" i="2"/>
  <c r="H2224" i="2"/>
  <c r="G2224" i="2"/>
  <c r="F2224" i="2"/>
  <c r="E2224" i="2"/>
  <c r="D2224" i="2"/>
  <c r="C2224" i="2"/>
  <c r="B2224" i="2"/>
  <c r="A2224" i="2"/>
  <c r="U2223" i="2"/>
  <c r="N2223" i="2"/>
  <c r="M2223" i="2"/>
  <c r="J2223" i="2"/>
  <c r="I2223" i="2"/>
  <c r="H2223" i="2"/>
  <c r="G2223" i="2"/>
  <c r="F2223" i="2"/>
  <c r="E2223" i="2"/>
  <c r="D2223" i="2"/>
  <c r="C2223" i="2"/>
  <c r="B2223" i="2"/>
  <c r="A2223" i="2"/>
  <c r="U2222" i="2"/>
  <c r="N2222" i="2"/>
  <c r="M2222" i="2"/>
  <c r="J2222" i="2"/>
  <c r="I2222" i="2"/>
  <c r="H2222" i="2"/>
  <c r="G2222" i="2"/>
  <c r="F2222" i="2"/>
  <c r="E2222" i="2"/>
  <c r="D2222" i="2"/>
  <c r="C2222" i="2"/>
  <c r="B2222" i="2"/>
  <c r="A2222" i="2"/>
  <c r="U2221" i="2"/>
  <c r="N2221" i="2"/>
  <c r="M2221" i="2"/>
  <c r="J2221" i="2"/>
  <c r="I2221" i="2"/>
  <c r="H2221" i="2"/>
  <c r="G2221" i="2"/>
  <c r="F2221" i="2"/>
  <c r="E2221" i="2"/>
  <c r="D2221" i="2"/>
  <c r="C2221" i="2"/>
  <c r="B2221" i="2"/>
  <c r="A2221" i="2"/>
  <c r="U2220" i="2"/>
  <c r="N2220" i="2"/>
  <c r="M2220" i="2"/>
  <c r="J2220" i="2"/>
  <c r="I2220" i="2"/>
  <c r="H2220" i="2"/>
  <c r="G2220" i="2"/>
  <c r="F2220" i="2"/>
  <c r="E2220" i="2"/>
  <c r="D2220" i="2"/>
  <c r="C2220" i="2"/>
  <c r="B2220" i="2"/>
  <c r="A2220" i="2"/>
  <c r="U2219" i="2"/>
  <c r="N2219" i="2"/>
  <c r="M2219" i="2"/>
  <c r="J2219" i="2"/>
  <c r="I2219" i="2"/>
  <c r="H2219" i="2"/>
  <c r="G2219" i="2"/>
  <c r="F2219" i="2"/>
  <c r="E2219" i="2"/>
  <c r="D2219" i="2"/>
  <c r="C2219" i="2"/>
  <c r="B2219" i="2"/>
  <c r="A2219" i="2"/>
  <c r="U2218" i="2"/>
  <c r="N2218" i="2"/>
  <c r="M2218" i="2"/>
  <c r="J2218" i="2"/>
  <c r="I2218" i="2"/>
  <c r="H2218" i="2"/>
  <c r="G2218" i="2"/>
  <c r="F2218" i="2"/>
  <c r="E2218" i="2"/>
  <c r="D2218" i="2"/>
  <c r="C2218" i="2"/>
  <c r="B2218" i="2"/>
  <c r="A2218" i="2"/>
  <c r="U2217" i="2"/>
  <c r="N2217" i="2"/>
  <c r="M2217" i="2"/>
  <c r="J2217" i="2"/>
  <c r="I2217" i="2"/>
  <c r="H2217" i="2"/>
  <c r="G2217" i="2"/>
  <c r="F2217" i="2"/>
  <c r="E2217" i="2"/>
  <c r="D2217" i="2"/>
  <c r="C2217" i="2"/>
  <c r="B2217" i="2"/>
  <c r="A2217" i="2"/>
  <c r="U2216" i="2"/>
  <c r="N2216" i="2"/>
  <c r="M2216" i="2"/>
  <c r="J2216" i="2"/>
  <c r="I2216" i="2"/>
  <c r="H2216" i="2"/>
  <c r="G2216" i="2"/>
  <c r="F2216" i="2"/>
  <c r="E2216" i="2"/>
  <c r="D2216" i="2"/>
  <c r="C2216" i="2"/>
  <c r="B2216" i="2"/>
  <c r="A2216" i="2"/>
  <c r="U2215" i="2"/>
  <c r="N2215" i="2"/>
  <c r="M2215" i="2"/>
  <c r="J2215" i="2"/>
  <c r="I2215" i="2"/>
  <c r="H2215" i="2"/>
  <c r="G2215" i="2"/>
  <c r="F2215" i="2"/>
  <c r="E2215" i="2"/>
  <c r="D2215" i="2"/>
  <c r="C2215" i="2"/>
  <c r="B2215" i="2"/>
  <c r="A2215" i="2"/>
  <c r="U2214" i="2"/>
  <c r="N2214" i="2"/>
  <c r="M2214" i="2"/>
  <c r="J2214" i="2"/>
  <c r="I2214" i="2"/>
  <c r="H2214" i="2"/>
  <c r="G2214" i="2"/>
  <c r="F2214" i="2"/>
  <c r="E2214" i="2"/>
  <c r="D2214" i="2"/>
  <c r="C2214" i="2"/>
  <c r="B2214" i="2"/>
  <c r="A2214" i="2"/>
  <c r="U2213" i="2"/>
  <c r="N2213" i="2"/>
  <c r="M2213" i="2"/>
  <c r="J2213" i="2"/>
  <c r="I2213" i="2"/>
  <c r="H2213" i="2"/>
  <c r="G2213" i="2"/>
  <c r="F2213" i="2"/>
  <c r="E2213" i="2"/>
  <c r="D2213" i="2"/>
  <c r="C2213" i="2"/>
  <c r="B2213" i="2"/>
  <c r="A2213" i="2"/>
  <c r="U2212" i="2"/>
  <c r="N2212" i="2"/>
  <c r="M2212" i="2"/>
  <c r="J2212" i="2"/>
  <c r="I2212" i="2"/>
  <c r="H2212" i="2"/>
  <c r="G2212" i="2"/>
  <c r="F2212" i="2"/>
  <c r="E2212" i="2"/>
  <c r="D2212" i="2"/>
  <c r="C2212" i="2"/>
  <c r="B2212" i="2"/>
  <c r="A2212" i="2"/>
  <c r="U2211" i="2"/>
  <c r="N2211" i="2"/>
  <c r="M2211" i="2"/>
  <c r="J2211" i="2"/>
  <c r="I2211" i="2"/>
  <c r="H2211" i="2"/>
  <c r="G2211" i="2"/>
  <c r="F2211" i="2"/>
  <c r="E2211" i="2"/>
  <c r="D2211" i="2"/>
  <c r="C2211" i="2"/>
  <c r="B2211" i="2"/>
  <c r="A2211" i="2"/>
  <c r="U2210" i="2"/>
  <c r="N2210" i="2"/>
  <c r="M2210" i="2"/>
  <c r="J2210" i="2"/>
  <c r="I2210" i="2"/>
  <c r="H2210" i="2"/>
  <c r="G2210" i="2"/>
  <c r="F2210" i="2"/>
  <c r="E2210" i="2"/>
  <c r="D2210" i="2"/>
  <c r="C2210" i="2"/>
  <c r="B2210" i="2"/>
  <c r="A2210" i="2"/>
  <c r="U2209" i="2"/>
  <c r="N2209" i="2"/>
  <c r="M2209" i="2"/>
  <c r="J2209" i="2"/>
  <c r="I2209" i="2"/>
  <c r="H2209" i="2"/>
  <c r="G2209" i="2"/>
  <c r="F2209" i="2"/>
  <c r="E2209" i="2"/>
  <c r="D2209" i="2"/>
  <c r="C2209" i="2"/>
  <c r="B2209" i="2"/>
  <c r="A2209" i="2"/>
  <c r="U2208" i="2"/>
  <c r="N2208" i="2"/>
  <c r="M2208" i="2"/>
  <c r="J2208" i="2"/>
  <c r="I2208" i="2"/>
  <c r="H2208" i="2"/>
  <c r="G2208" i="2"/>
  <c r="F2208" i="2"/>
  <c r="E2208" i="2"/>
  <c r="D2208" i="2"/>
  <c r="C2208" i="2"/>
  <c r="B2208" i="2"/>
  <c r="A2208" i="2"/>
  <c r="U2207" i="2"/>
  <c r="N2207" i="2"/>
  <c r="M2207" i="2"/>
  <c r="J2207" i="2"/>
  <c r="I2207" i="2"/>
  <c r="H2207" i="2"/>
  <c r="G2207" i="2"/>
  <c r="F2207" i="2"/>
  <c r="E2207" i="2"/>
  <c r="D2207" i="2"/>
  <c r="C2207" i="2"/>
  <c r="B2207" i="2"/>
  <c r="A2207" i="2"/>
  <c r="U2206" i="2"/>
  <c r="N2206" i="2"/>
  <c r="M2206" i="2"/>
  <c r="J2206" i="2"/>
  <c r="I2206" i="2"/>
  <c r="H2206" i="2"/>
  <c r="G2206" i="2"/>
  <c r="F2206" i="2"/>
  <c r="E2206" i="2"/>
  <c r="D2206" i="2"/>
  <c r="C2206" i="2"/>
  <c r="B2206" i="2"/>
  <c r="A2206" i="2"/>
  <c r="U2205" i="2"/>
  <c r="N2205" i="2"/>
  <c r="M2205" i="2"/>
  <c r="J2205" i="2"/>
  <c r="I2205" i="2"/>
  <c r="H2205" i="2"/>
  <c r="G2205" i="2"/>
  <c r="F2205" i="2"/>
  <c r="E2205" i="2"/>
  <c r="D2205" i="2"/>
  <c r="C2205" i="2"/>
  <c r="B2205" i="2"/>
  <c r="A2205" i="2"/>
  <c r="U2204" i="2"/>
  <c r="N2204" i="2"/>
  <c r="M2204" i="2"/>
  <c r="J2204" i="2"/>
  <c r="I2204" i="2"/>
  <c r="H2204" i="2"/>
  <c r="G2204" i="2"/>
  <c r="F2204" i="2"/>
  <c r="E2204" i="2"/>
  <c r="D2204" i="2"/>
  <c r="C2204" i="2"/>
  <c r="B2204" i="2"/>
  <c r="A2204" i="2"/>
  <c r="U2203" i="2"/>
  <c r="N2203" i="2"/>
  <c r="M2203" i="2"/>
  <c r="J2203" i="2"/>
  <c r="I2203" i="2"/>
  <c r="H2203" i="2"/>
  <c r="G2203" i="2"/>
  <c r="F2203" i="2"/>
  <c r="E2203" i="2"/>
  <c r="D2203" i="2"/>
  <c r="C2203" i="2"/>
  <c r="B2203" i="2"/>
  <c r="A2203" i="2"/>
  <c r="U2202" i="2"/>
  <c r="N2202" i="2"/>
  <c r="M2202" i="2"/>
  <c r="J2202" i="2"/>
  <c r="I2202" i="2"/>
  <c r="H2202" i="2"/>
  <c r="G2202" i="2"/>
  <c r="F2202" i="2"/>
  <c r="E2202" i="2"/>
  <c r="D2202" i="2"/>
  <c r="C2202" i="2"/>
  <c r="B2202" i="2"/>
  <c r="A2202" i="2"/>
  <c r="U2201" i="2"/>
  <c r="N2201" i="2"/>
  <c r="M2201" i="2"/>
  <c r="J2201" i="2"/>
  <c r="I2201" i="2"/>
  <c r="H2201" i="2"/>
  <c r="G2201" i="2"/>
  <c r="F2201" i="2"/>
  <c r="E2201" i="2"/>
  <c r="D2201" i="2"/>
  <c r="C2201" i="2"/>
  <c r="B2201" i="2"/>
  <c r="A2201" i="2"/>
  <c r="U2200" i="2"/>
  <c r="N2200" i="2"/>
  <c r="M2200" i="2"/>
  <c r="J2200" i="2"/>
  <c r="I2200" i="2"/>
  <c r="H2200" i="2"/>
  <c r="G2200" i="2"/>
  <c r="F2200" i="2"/>
  <c r="E2200" i="2"/>
  <c r="D2200" i="2"/>
  <c r="C2200" i="2"/>
  <c r="B2200" i="2"/>
  <c r="A2200" i="2"/>
  <c r="U2199" i="2"/>
  <c r="N2199" i="2"/>
  <c r="M2199" i="2"/>
  <c r="J2199" i="2"/>
  <c r="I2199" i="2"/>
  <c r="H2199" i="2"/>
  <c r="G2199" i="2"/>
  <c r="F2199" i="2"/>
  <c r="E2199" i="2"/>
  <c r="D2199" i="2"/>
  <c r="C2199" i="2"/>
  <c r="B2199" i="2"/>
  <c r="A2199" i="2"/>
  <c r="U2198" i="2"/>
  <c r="N2198" i="2"/>
  <c r="M2198" i="2"/>
  <c r="J2198" i="2"/>
  <c r="I2198" i="2"/>
  <c r="H2198" i="2"/>
  <c r="G2198" i="2"/>
  <c r="F2198" i="2"/>
  <c r="E2198" i="2"/>
  <c r="D2198" i="2"/>
  <c r="C2198" i="2"/>
  <c r="B2198" i="2"/>
  <c r="A2198" i="2"/>
  <c r="U2197" i="2"/>
  <c r="N2197" i="2"/>
  <c r="M2197" i="2"/>
  <c r="J2197" i="2"/>
  <c r="I2197" i="2"/>
  <c r="H2197" i="2"/>
  <c r="G2197" i="2"/>
  <c r="F2197" i="2"/>
  <c r="E2197" i="2"/>
  <c r="D2197" i="2"/>
  <c r="C2197" i="2"/>
  <c r="B2197" i="2"/>
  <c r="A2197" i="2"/>
  <c r="U2196" i="2"/>
  <c r="N2196" i="2"/>
  <c r="M2196" i="2"/>
  <c r="J2196" i="2"/>
  <c r="I2196" i="2"/>
  <c r="H2196" i="2"/>
  <c r="G2196" i="2"/>
  <c r="F2196" i="2"/>
  <c r="E2196" i="2"/>
  <c r="D2196" i="2"/>
  <c r="C2196" i="2"/>
  <c r="B2196" i="2"/>
  <c r="A2196" i="2"/>
  <c r="U2195" i="2"/>
  <c r="N2195" i="2"/>
  <c r="M2195" i="2"/>
  <c r="J2195" i="2"/>
  <c r="I2195" i="2"/>
  <c r="H2195" i="2"/>
  <c r="G2195" i="2"/>
  <c r="F2195" i="2"/>
  <c r="E2195" i="2"/>
  <c r="D2195" i="2"/>
  <c r="C2195" i="2"/>
  <c r="B2195" i="2"/>
  <c r="A2195" i="2"/>
  <c r="U2194" i="2"/>
  <c r="N2194" i="2"/>
  <c r="M2194" i="2"/>
  <c r="J2194" i="2"/>
  <c r="I2194" i="2"/>
  <c r="H2194" i="2"/>
  <c r="G2194" i="2"/>
  <c r="F2194" i="2"/>
  <c r="E2194" i="2"/>
  <c r="D2194" i="2"/>
  <c r="C2194" i="2"/>
  <c r="B2194" i="2"/>
  <c r="A2194" i="2"/>
  <c r="U2193" i="2"/>
  <c r="N2193" i="2"/>
  <c r="M2193" i="2"/>
  <c r="J2193" i="2"/>
  <c r="I2193" i="2"/>
  <c r="H2193" i="2"/>
  <c r="G2193" i="2"/>
  <c r="F2193" i="2"/>
  <c r="E2193" i="2"/>
  <c r="D2193" i="2"/>
  <c r="C2193" i="2"/>
  <c r="B2193" i="2"/>
  <c r="A2193" i="2"/>
  <c r="U2192" i="2"/>
  <c r="N2192" i="2"/>
  <c r="M2192" i="2"/>
  <c r="J2192" i="2"/>
  <c r="I2192" i="2"/>
  <c r="H2192" i="2"/>
  <c r="G2192" i="2"/>
  <c r="F2192" i="2"/>
  <c r="E2192" i="2"/>
  <c r="D2192" i="2"/>
  <c r="C2192" i="2"/>
  <c r="B2192" i="2"/>
  <c r="A2192" i="2"/>
  <c r="U2191" i="2"/>
  <c r="N2191" i="2"/>
  <c r="M2191" i="2"/>
  <c r="J2191" i="2"/>
  <c r="I2191" i="2"/>
  <c r="H2191" i="2"/>
  <c r="G2191" i="2"/>
  <c r="F2191" i="2"/>
  <c r="E2191" i="2"/>
  <c r="D2191" i="2"/>
  <c r="C2191" i="2"/>
  <c r="B2191" i="2"/>
  <c r="A2191" i="2"/>
  <c r="U2190" i="2"/>
  <c r="N2190" i="2"/>
  <c r="M2190" i="2"/>
  <c r="J2190" i="2"/>
  <c r="I2190" i="2"/>
  <c r="H2190" i="2"/>
  <c r="G2190" i="2"/>
  <c r="F2190" i="2"/>
  <c r="E2190" i="2"/>
  <c r="D2190" i="2"/>
  <c r="C2190" i="2"/>
  <c r="B2190" i="2"/>
  <c r="A2190" i="2"/>
  <c r="U2189" i="2"/>
  <c r="N2189" i="2"/>
  <c r="M2189" i="2"/>
  <c r="J2189" i="2"/>
  <c r="I2189" i="2"/>
  <c r="H2189" i="2"/>
  <c r="G2189" i="2"/>
  <c r="F2189" i="2"/>
  <c r="E2189" i="2"/>
  <c r="D2189" i="2"/>
  <c r="C2189" i="2"/>
  <c r="B2189" i="2"/>
  <c r="A2189" i="2"/>
  <c r="U2188" i="2"/>
  <c r="N2188" i="2"/>
  <c r="M2188" i="2"/>
  <c r="J2188" i="2"/>
  <c r="I2188" i="2"/>
  <c r="H2188" i="2"/>
  <c r="G2188" i="2"/>
  <c r="F2188" i="2"/>
  <c r="E2188" i="2"/>
  <c r="D2188" i="2"/>
  <c r="C2188" i="2"/>
  <c r="B2188" i="2"/>
  <c r="A2188" i="2"/>
  <c r="U2187" i="2"/>
  <c r="N2187" i="2"/>
  <c r="M2187" i="2"/>
  <c r="J2187" i="2"/>
  <c r="I2187" i="2"/>
  <c r="H2187" i="2"/>
  <c r="G2187" i="2"/>
  <c r="F2187" i="2"/>
  <c r="E2187" i="2"/>
  <c r="D2187" i="2"/>
  <c r="C2187" i="2"/>
  <c r="B2187" i="2"/>
  <c r="A2187" i="2"/>
  <c r="U2186" i="2"/>
  <c r="N2186" i="2"/>
  <c r="M2186" i="2"/>
  <c r="J2186" i="2"/>
  <c r="I2186" i="2"/>
  <c r="H2186" i="2"/>
  <c r="G2186" i="2"/>
  <c r="F2186" i="2"/>
  <c r="E2186" i="2"/>
  <c r="D2186" i="2"/>
  <c r="C2186" i="2"/>
  <c r="B2186" i="2"/>
  <c r="A2186" i="2"/>
  <c r="U2185" i="2"/>
  <c r="N2185" i="2"/>
  <c r="M2185" i="2"/>
  <c r="J2185" i="2"/>
  <c r="I2185" i="2"/>
  <c r="H2185" i="2"/>
  <c r="G2185" i="2"/>
  <c r="F2185" i="2"/>
  <c r="E2185" i="2"/>
  <c r="D2185" i="2"/>
  <c r="C2185" i="2"/>
  <c r="B2185" i="2"/>
  <c r="A2185" i="2"/>
  <c r="U2184" i="2"/>
  <c r="N2184" i="2"/>
  <c r="M2184" i="2"/>
  <c r="J2184" i="2"/>
  <c r="I2184" i="2"/>
  <c r="H2184" i="2"/>
  <c r="G2184" i="2"/>
  <c r="F2184" i="2"/>
  <c r="E2184" i="2"/>
  <c r="D2184" i="2"/>
  <c r="C2184" i="2"/>
  <c r="B2184" i="2"/>
  <c r="A2184" i="2"/>
  <c r="U2183" i="2"/>
  <c r="N2183" i="2"/>
  <c r="M2183" i="2"/>
  <c r="J2183" i="2"/>
  <c r="I2183" i="2"/>
  <c r="H2183" i="2"/>
  <c r="G2183" i="2"/>
  <c r="F2183" i="2"/>
  <c r="E2183" i="2"/>
  <c r="D2183" i="2"/>
  <c r="C2183" i="2"/>
  <c r="B2183" i="2"/>
  <c r="A2183" i="2"/>
  <c r="U2182" i="2"/>
  <c r="N2182" i="2"/>
  <c r="M2182" i="2"/>
  <c r="J2182" i="2"/>
  <c r="I2182" i="2"/>
  <c r="H2182" i="2"/>
  <c r="G2182" i="2"/>
  <c r="F2182" i="2"/>
  <c r="E2182" i="2"/>
  <c r="D2182" i="2"/>
  <c r="C2182" i="2"/>
  <c r="B2182" i="2"/>
  <c r="A2182" i="2"/>
  <c r="U2181" i="2"/>
  <c r="N2181" i="2"/>
  <c r="M2181" i="2"/>
  <c r="J2181" i="2"/>
  <c r="I2181" i="2"/>
  <c r="H2181" i="2"/>
  <c r="G2181" i="2"/>
  <c r="F2181" i="2"/>
  <c r="E2181" i="2"/>
  <c r="D2181" i="2"/>
  <c r="C2181" i="2"/>
  <c r="B2181" i="2"/>
  <c r="A2181" i="2"/>
  <c r="U2180" i="2"/>
  <c r="N2180" i="2"/>
  <c r="M2180" i="2"/>
  <c r="J2180" i="2"/>
  <c r="I2180" i="2"/>
  <c r="H2180" i="2"/>
  <c r="G2180" i="2"/>
  <c r="F2180" i="2"/>
  <c r="E2180" i="2"/>
  <c r="D2180" i="2"/>
  <c r="C2180" i="2"/>
  <c r="B2180" i="2"/>
  <c r="A2180" i="2"/>
  <c r="U2179" i="2"/>
  <c r="N2179" i="2"/>
  <c r="M2179" i="2"/>
  <c r="J2179" i="2"/>
  <c r="I2179" i="2"/>
  <c r="H2179" i="2"/>
  <c r="G2179" i="2"/>
  <c r="F2179" i="2"/>
  <c r="E2179" i="2"/>
  <c r="D2179" i="2"/>
  <c r="C2179" i="2"/>
  <c r="B2179" i="2"/>
  <c r="A2179" i="2"/>
  <c r="U2178" i="2"/>
  <c r="N2178" i="2"/>
  <c r="M2178" i="2"/>
  <c r="J2178" i="2"/>
  <c r="I2178" i="2"/>
  <c r="H2178" i="2"/>
  <c r="G2178" i="2"/>
  <c r="F2178" i="2"/>
  <c r="E2178" i="2"/>
  <c r="D2178" i="2"/>
  <c r="C2178" i="2"/>
  <c r="B2178" i="2"/>
  <c r="A2178" i="2"/>
  <c r="U2177" i="2"/>
  <c r="N2177" i="2"/>
  <c r="M2177" i="2"/>
  <c r="J2177" i="2"/>
  <c r="I2177" i="2"/>
  <c r="H2177" i="2"/>
  <c r="G2177" i="2"/>
  <c r="F2177" i="2"/>
  <c r="E2177" i="2"/>
  <c r="D2177" i="2"/>
  <c r="C2177" i="2"/>
  <c r="B2177" i="2"/>
  <c r="A2177" i="2"/>
  <c r="U2176" i="2"/>
  <c r="N2176" i="2"/>
  <c r="M2176" i="2"/>
  <c r="J2176" i="2"/>
  <c r="I2176" i="2"/>
  <c r="H2176" i="2"/>
  <c r="G2176" i="2"/>
  <c r="F2176" i="2"/>
  <c r="E2176" i="2"/>
  <c r="D2176" i="2"/>
  <c r="C2176" i="2"/>
  <c r="B2176" i="2"/>
  <c r="A2176" i="2"/>
  <c r="U2175" i="2"/>
  <c r="N2175" i="2"/>
  <c r="M2175" i="2"/>
  <c r="J2175" i="2"/>
  <c r="I2175" i="2"/>
  <c r="H2175" i="2"/>
  <c r="G2175" i="2"/>
  <c r="F2175" i="2"/>
  <c r="E2175" i="2"/>
  <c r="D2175" i="2"/>
  <c r="C2175" i="2"/>
  <c r="B2175" i="2"/>
  <c r="A2175" i="2"/>
  <c r="U2174" i="2"/>
  <c r="N2174" i="2"/>
  <c r="M2174" i="2"/>
  <c r="J2174" i="2"/>
  <c r="I2174" i="2"/>
  <c r="H2174" i="2"/>
  <c r="G2174" i="2"/>
  <c r="F2174" i="2"/>
  <c r="E2174" i="2"/>
  <c r="D2174" i="2"/>
  <c r="C2174" i="2"/>
  <c r="B2174" i="2"/>
  <c r="A2174" i="2"/>
  <c r="U2173" i="2"/>
  <c r="N2173" i="2"/>
  <c r="M2173" i="2"/>
  <c r="J2173" i="2"/>
  <c r="I2173" i="2"/>
  <c r="H2173" i="2"/>
  <c r="G2173" i="2"/>
  <c r="F2173" i="2"/>
  <c r="E2173" i="2"/>
  <c r="D2173" i="2"/>
  <c r="C2173" i="2"/>
  <c r="B2173" i="2"/>
  <c r="A2173" i="2"/>
  <c r="U2172" i="2"/>
  <c r="N2172" i="2"/>
  <c r="M2172" i="2"/>
  <c r="J2172" i="2"/>
  <c r="I2172" i="2"/>
  <c r="H2172" i="2"/>
  <c r="G2172" i="2"/>
  <c r="F2172" i="2"/>
  <c r="E2172" i="2"/>
  <c r="D2172" i="2"/>
  <c r="C2172" i="2"/>
  <c r="B2172" i="2"/>
  <c r="A2172" i="2"/>
  <c r="U2171" i="2"/>
  <c r="N2171" i="2"/>
  <c r="M2171" i="2"/>
  <c r="J2171" i="2"/>
  <c r="I2171" i="2"/>
  <c r="H2171" i="2"/>
  <c r="G2171" i="2"/>
  <c r="F2171" i="2"/>
  <c r="E2171" i="2"/>
  <c r="D2171" i="2"/>
  <c r="C2171" i="2"/>
  <c r="B2171" i="2"/>
  <c r="A2171" i="2"/>
  <c r="U2170" i="2"/>
  <c r="N2170" i="2"/>
  <c r="M2170" i="2"/>
  <c r="J2170" i="2"/>
  <c r="I2170" i="2"/>
  <c r="H2170" i="2"/>
  <c r="G2170" i="2"/>
  <c r="F2170" i="2"/>
  <c r="E2170" i="2"/>
  <c r="D2170" i="2"/>
  <c r="C2170" i="2"/>
  <c r="B2170" i="2"/>
  <c r="A2170" i="2"/>
  <c r="U2169" i="2"/>
  <c r="N2169" i="2"/>
  <c r="M2169" i="2"/>
  <c r="J2169" i="2"/>
  <c r="I2169" i="2"/>
  <c r="H2169" i="2"/>
  <c r="G2169" i="2"/>
  <c r="F2169" i="2"/>
  <c r="E2169" i="2"/>
  <c r="D2169" i="2"/>
  <c r="C2169" i="2"/>
  <c r="B2169" i="2"/>
  <c r="A2169" i="2"/>
  <c r="U2168" i="2"/>
  <c r="N2168" i="2"/>
  <c r="M2168" i="2"/>
  <c r="J2168" i="2"/>
  <c r="I2168" i="2"/>
  <c r="H2168" i="2"/>
  <c r="G2168" i="2"/>
  <c r="F2168" i="2"/>
  <c r="E2168" i="2"/>
  <c r="D2168" i="2"/>
  <c r="C2168" i="2"/>
  <c r="B2168" i="2"/>
  <c r="A2168" i="2"/>
  <c r="U2167" i="2"/>
  <c r="N2167" i="2"/>
  <c r="M2167" i="2"/>
  <c r="J2167" i="2"/>
  <c r="I2167" i="2"/>
  <c r="H2167" i="2"/>
  <c r="G2167" i="2"/>
  <c r="F2167" i="2"/>
  <c r="E2167" i="2"/>
  <c r="D2167" i="2"/>
  <c r="C2167" i="2"/>
  <c r="B2167" i="2"/>
  <c r="A2167" i="2"/>
  <c r="U2166" i="2"/>
  <c r="N2166" i="2"/>
  <c r="M2166" i="2"/>
  <c r="J2166" i="2"/>
  <c r="I2166" i="2"/>
  <c r="H2166" i="2"/>
  <c r="G2166" i="2"/>
  <c r="F2166" i="2"/>
  <c r="E2166" i="2"/>
  <c r="D2166" i="2"/>
  <c r="C2166" i="2"/>
  <c r="B2166" i="2"/>
  <c r="A2166" i="2"/>
  <c r="U2165" i="2"/>
  <c r="N2165" i="2"/>
  <c r="M2165" i="2"/>
  <c r="J2165" i="2"/>
  <c r="I2165" i="2"/>
  <c r="H2165" i="2"/>
  <c r="G2165" i="2"/>
  <c r="F2165" i="2"/>
  <c r="E2165" i="2"/>
  <c r="D2165" i="2"/>
  <c r="C2165" i="2"/>
  <c r="B2165" i="2"/>
  <c r="A2165" i="2"/>
  <c r="U2164" i="2"/>
  <c r="N2164" i="2"/>
  <c r="M2164" i="2"/>
  <c r="J2164" i="2"/>
  <c r="I2164" i="2"/>
  <c r="H2164" i="2"/>
  <c r="G2164" i="2"/>
  <c r="F2164" i="2"/>
  <c r="E2164" i="2"/>
  <c r="D2164" i="2"/>
  <c r="C2164" i="2"/>
  <c r="B2164" i="2"/>
  <c r="A2164" i="2"/>
  <c r="U2163" i="2"/>
  <c r="N2163" i="2"/>
  <c r="M2163" i="2"/>
  <c r="J2163" i="2"/>
  <c r="I2163" i="2"/>
  <c r="H2163" i="2"/>
  <c r="G2163" i="2"/>
  <c r="F2163" i="2"/>
  <c r="E2163" i="2"/>
  <c r="D2163" i="2"/>
  <c r="C2163" i="2"/>
  <c r="B2163" i="2"/>
  <c r="A2163" i="2"/>
  <c r="U2162" i="2"/>
  <c r="N2162" i="2"/>
  <c r="M2162" i="2"/>
  <c r="J2162" i="2"/>
  <c r="I2162" i="2"/>
  <c r="H2162" i="2"/>
  <c r="G2162" i="2"/>
  <c r="F2162" i="2"/>
  <c r="E2162" i="2"/>
  <c r="D2162" i="2"/>
  <c r="C2162" i="2"/>
  <c r="B2162" i="2"/>
  <c r="A2162" i="2"/>
  <c r="U2161" i="2"/>
  <c r="N2161" i="2"/>
  <c r="M2161" i="2"/>
  <c r="J2161" i="2"/>
  <c r="I2161" i="2"/>
  <c r="H2161" i="2"/>
  <c r="G2161" i="2"/>
  <c r="F2161" i="2"/>
  <c r="E2161" i="2"/>
  <c r="D2161" i="2"/>
  <c r="C2161" i="2"/>
  <c r="B2161" i="2"/>
  <c r="A2161" i="2"/>
  <c r="U2160" i="2"/>
  <c r="N2160" i="2"/>
  <c r="M2160" i="2"/>
  <c r="J2160" i="2"/>
  <c r="I2160" i="2"/>
  <c r="H2160" i="2"/>
  <c r="G2160" i="2"/>
  <c r="F2160" i="2"/>
  <c r="E2160" i="2"/>
  <c r="D2160" i="2"/>
  <c r="C2160" i="2"/>
  <c r="B2160" i="2"/>
  <c r="A2160" i="2"/>
  <c r="U2159" i="2"/>
  <c r="N2159" i="2"/>
  <c r="M2159" i="2"/>
  <c r="J2159" i="2"/>
  <c r="I2159" i="2"/>
  <c r="H2159" i="2"/>
  <c r="G2159" i="2"/>
  <c r="F2159" i="2"/>
  <c r="E2159" i="2"/>
  <c r="D2159" i="2"/>
  <c r="C2159" i="2"/>
  <c r="B2159" i="2"/>
  <c r="A2159" i="2"/>
  <c r="U2158" i="2"/>
  <c r="N2158" i="2"/>
  <c r="M2158" i="2"/>
  <c r="J2158" i="2"/>
  <c r="I2158" i="2"/>
  <c r="H2158" i="2"/>
  <c r="G2158" i="2"/>
  <c r="F2158" i="2"/>
  <c r="E2158" i="2"/>
  <c r="D2158" i="2"/>
  <c r="C2158" i="2"/>
  <c r="B2158" i="2"/>
  <c r="A2158" i="2"/>
  <c r="U2157" i="2"/>
  <c r="N2157" i="2"/>
  <c r="M2157" i="2"/>
  <c r="J2157" i="2"/>
  <c r="I2157" i="2"/>
  <c r="H2157" i="2"/>
  <c r="G2157" i="2"/>
  <c r="F2157" i="2"/>
  <c r="E2157" i="2"/>
  <c r="D2157" i="2"/>
  <c r="C2157" i="2"/>
  <c r="B2157" i="2"/>
  <c r="A2157" i="2"/>
  <c r="U2156" i="2"/>
  <c r="N2156" i="2"/>
  <c r="M2156" i="2"/>
  <c r="J2156" i="2"/>
  <c r="I2156" i="2"/>
  <c r="H2156" i="2"/>
  <c r="G2156" i="2"/>
  <c r="F2156" i="2"/>
  <c r="E2156" i="2"/>
  <c r="D2156" i="2"/>
  <c r="C2156" i="2"/>
  <c r="B2156" i="2"/>
  <c r="A2156" i="2"/>
  <c r="U2155" i="2"/>
  <c r="N2155" i="2"/>
  <c r="M2155" i="2"/>
  <c r="J2155" i="2"/>
  <c r="I2155" i="2"/>
  <c r="H2155" i="2"/>
  <c r="G2155" i="2"/>
  <c r="F2155" i="2"/>
  <c r="E2155" i="2"/>
  <c r="D2155" i="2"/>
  <c r="C2155" i="2"/>
  <c r="B2155" i="2"/>
  <c r="A2155" i="2"/>
  <c r="U2154" i="2"/>
  <c r="N2154" i="2"/>
  <c r="M2154" i="2"/>
  <c r="J2154" i="2"/>
  <c r="I2154" i="2"/>
  <c r="H2154" i="2"/>
  <c r="G2154" i="2"/>
  <c r="F2154" i="2"/>
  <c r="E2154" i="2"/>
  <c r="D2154" i="2"/>
  <c r="C2154" i="2"/>
  <c r="B2154" i="2"/>
  <c r="A2154" i="2"/>
  <c r="U2153" i="2"/>
  <c r="N2153" i="2"/>
  <c r="M2153" i="2"/>
  <c r="J2153" i="2"/>
  <c r="I2153" i="2"/>
  <c r="H2153" i="2"/>
  <c r="G2153" i="2"/>
  <c r="F2153" i="2"/>
  <c r="E2153" i="2"/>
  <c r="D2153" i="2"/>
  <c r="C2153" i="2"/>
  <c r="B2153" i="2"/>
  <c r="A2153" i="2"/>
  <c r="U2152" i="2"/>
  <c r="N2152" i="2"/>
  <c r="M2152" i="2"/>
  <c r="J2152" i="2"/>
  <c r="I2152" i="2"/>
  <c r="H2152" i="2"/>
  <c r="G2152" i="2"/>
  <c r="F2152" i="2"/>
  <c r="E2152" i="2"/>
  <c r="D2152" i="2"/>
  <c r="C2152" i="2"/>
  <c r="B2152" i="2"/>
  <c r="A2152" i="2"/>
  <c r="U2151" i="2"/>
  <c r="N2151" i="2"/>
  <c r="M2151" i="2"/>
  <c r="J2151" i="2"/>
  <c r="I2151" i="2"/>
  <c r="H2151" i="2"/>
  <c r="G2151" i="2"/>
  <c r="F2151" i="2"/>
  <c r="E2151" i="2"/>
  <c r="D2151" i="2"/>
  <c r="C2151" i="2"/>
  <c r="B2151" i="2"/>
  <c r="A2151" i="2"/>
  <c r="U2150" i="2"/>
  <c r="N2150" i="2"/>
  <c r="M2150" i="2"/>
  <c r="J2150" i="2"/>
  <c r="I2150" i="2"/>
  <c r="H2150" i="2"/>
  <c r="G2150" i="2"/>
  <c r="F2150" i="2"/>
  <c r="E2150" i="2"/>
  <c r="D2150" i="2"/>
  <c r="C2150" i="2"/>
  <c r="B2150" i="2"/>
  <c r="A2150" i="2"/>
  <c r="U2149" i="2"/>
  <c r="N2149" i="2"/>
  <c r="M2149" i="2"/>
  <c r="J2149" i="2"/>
  <c r="I2149" i="2"/>
  <c r="H2149" i="2"/>
  <c r="G2149" i="2"/>
  <c r="F2149" i="2"/>
  <c r="E2149" i="2"/>
  <c r="D2149" i="2"/>
  <c r="C2149" i="2"/>
  <c r="B2149" i="2"/>
  <c r="A2149" i="2"/>
  <c r="U2148" i="2"/>
  <c r="N2148" i="2"/>
  <c r="M2148" i="2"/>
  <c r="J2148" i="2"/>
  <c r="I2148" i="2"/>
  <c r="H2148" i="2"/>
  <c r="G2148" i="2"/>
  <c r="F2148" i="2"/>
  <c r="E2148" i="2"/>
  <c r="D2148" i="2"/>
  <c r="C2148" i="2"/>
  <c r="B2148" i="2"/>
  <c r="A2148" i="2"/>
  <c r="U2147" i="2"/>
  <c r="N2147" i="2"/>
  <c r="M2147" i="2"/>
  <c r="J2147" i="2"/>
  <c r="I2147" i="2"/>
  <c r="H2147" i="2"/>
  <c r="G2147" i="2"/>
  <c r="F2147" i="2"/>
  <c r="E2147" i="2"/>
  <c r="D2147" i="2"/>
  <c r="C2147" i="2"/>
  <c r="B2147" i="2"/>
  <c r="A2147" i="2"/>
  <c r="U2146" i="2"/>
  <c r="N2146" i="2"/>
  <c r="M2146" i="2"/>
  <c r="J2146" i="2"/>
  <c r="I2146" i="2"/>
  <c r="H2146" i="2"/>
  <c r="G2146" i="2"/>
  <c r="F2146" i="2"/>
  <c r="E2146" i="2"/>
  <c r="D2146" i="2"/>
  <c r="C2146" i="2"/>
  <c r="B2146" i="2"/>
  <c r="A2146" i="2"/>
  <c r="U2145" i="2"/>
  <c r="N2145" i="2"/>
  <c r="M2145" i="2"/>
  <c r="J2145" i="2"/>
  <c r="I2145" i="2"/>
  <c r="H2145" i="2"/>
  <c r="G2145" i="2"/>
  <c r="F2145" i="2"/>
  <c r="E2145" i="2"/>
  <c r="D2145" i="2"/>
  <c r="C2145" i="2"/>
  <c r="B2145" i="2"/>
  <c r="A2145" i="2"/>
  <c r="U2144" i="2"/>
  <c r="N2144" i="2"/>
  <c r="M2144" i="2"/>
  <c r="J2144" i="2"/>
  <c r="I2144" i="2"/>
  <c r="H2144" i="2"/>
  <c r="G2144" i="2"/>
  <c r="F2144" i="2"/>
  <c r="E2144" i="2"/>
  <c r="D2144" i="2"/>
  <c r="C2144" i="2"/>
  <c r="B2144" i="2"/>
  <c r="A2144" i="2"/>
  <c r="U2143" i="2"/>
  <c r="N2143" i="2"/>
  <c r="M2143" i="2"/>
  <c r="J2143" i="2"/>
  <c r="I2143" i="2"/>
  <c r="H2143" i="2"/>
  <c r="G2143" i="2"/>
  <c r="F2143" i="2"/>
  <c r="E2143" i="2"/>
  <c r="D2143" i="2"/>
  <c r="C2143" i="2"/>
  <c r="B2143" i="2"/>
  <c r="A2143" i="2"/>
  <c r="U2142" i="2"/>
  <c r="N2142" i="2"/>
  <c r="M2142" i="2"/>
  <c r="J2142" i="2"/>
  <c r="I2142" i="2"/>
  <c r="H2142" i="2"/>
  <c r="G2142" i="2"/>
  <c r="F2142" i="2"/>
  <c r="E2142" i="2"/>
  <c r="D2142" i="2"/>
  <c r="C2142" i="2"/>
  <c r="B2142" i="2"/>
  <c r="A2142" i="2"/>
  <c r="U2141" i="2"/>
  <c r="N2141" i="2"/>
  <c r="M2141" i="2"/>
  <c r="J2141" i="2"/>
  <c r="I2141" i="2"/>
  <c r="H2141" i="2"/>
  <c r="G2141" i="2"/>
  <c r="F2141" i="2"/>
  <c r="E2141" i="2"/>
  <c r="D2141" i="2"/>
  <c r="C2141" i="2"/>
  <c r="B2141" i="2"/>
  <c r="A2141" i="2"/>
  <c r="U2140" i="2"/>
  <c r="N2140" i="2"/>
  <c r="M2140" i="2"/>
  <c r="J2140" i="2"/>
  <c r="I2140" i="2"/>
  <c r="H2140" i="2"/>
  <c r="G2140" i="2"/>
  <c r="F2140" i="2"/>
  <c r="E2140" i="2"/>
  <c r="D2140" i="2"/>
  <c r="C2140" i="2"/>
  <c r="B2140" i="2"/>
  <c r="A2140" i="2"/>
  <c r="U2139" i="2"/>
  <c r="N2139" i="2"/>
  <c r="M2139" i="2"/>
  <c r="J2139" i="2"/>
  <c r="I2139" i="2"/>
  <c r="H2139" i="2"/>
  <c r="G2139" i="2"/>
  <c r="F2139" i="2"/>
  <c r="E2139" i="2"/>
  <c r="D2139" i="2"/>
  <c r="C2139" i="2"/>
  <c r="B2139" i="2"/>
  <c r="A2139" i="2"/>
  <c r="U2138" i="2"/>
  <c r="N2138" i="2"/>
  <c r="M2138" i="2"/>
  <c r="J2138" i="2"/>
  <c r="I2138" i="2"/>
  <c r="H2138" i="2"/>
  <c r="G2138" i="2"/>
  <c r="F2138" i="2"/>
  <c r="E2138" i="2"/>
  <c r="D2138" i="2"/>
  <c r="C2138" i="2"/>
  <c r="B2138" i="2"/>
  <c r="A2138" i="2"/>
  <c r="U2137" i="2"/>
  <c r="N2137" i="2"/>
  <c r="M2137" i="2"/>
  <c r="J2137" i="2"/>
  <c r="I2137" i="2"/>
  <c r="H2137" i="2"/>
  <c r="G2137" i="2"/>
  <c r="F2137" i="2"/>
  <c r="E2137" i="2"/>
  <c r="D2137" i="2"/>
  <c r="C2137" i="2"/>
  <c r="B2137" i="2"/>
  <c r="A2137" i="2"/>
  <c r="U2136" i="2"/>
  <c r="N2136" i="2"/>
  <c r="M2136" i="2"/>
  <c r="J2136" i="2"/>
  <c r="I2136" i="2"/>
  <c r="H2136" i="2"/>
  <c r="G2136" i="2"/>
  <c r="F2136" i="2"/>
  <c r="E2136" i="2"/>
  <c r="D2136" i="2"/>
  <c r="C2136" i="2"/>
  <c r="B2136" i="2"/>
  <c r="A2136" i="2"/>
  <c r="U2135" i="2"/>
  <c r="N2135" i="2"/>
  <c r="M2135" i="2"/>
  <c r="J2135" i="2"/>
  <c r="I2135" i="2"/>
  <c r="H2135" i="2"/>
  <c r="G2135" i="2"/>
  <c r="F2135" i="2"/>
  <c r="E2135" i="2"/>
  <c r="D2135" i="2"/>
  <c r="C2135" i="2"/>
  <c r="B2135" i="2"/>
  <c r="A2135" i="2"/>
  <c r="U2134" i="2"/>
  <c r="N2134" i="2"/>
  <c r="M2134" i="2"/>
  <c r="J2134" i="2"/>
  <c r="I2134" i="2"/>
  <c r="H2134" i="2"/>
  <c r="G2134" i="2"/>
  <c r="F2134" i="2"/>
  <c r="E2134" i="2"/>
  <c r="D2134" i="2"/>
  <c r="C2134" i="2"/>
  <c r="B2134" i="2"/>
  <c r="A2134" i="2"/>
  <c r="U2133" i="2"/>
  <c r="N2133" i="2"/>
  <c r="M2133" i="2"/>
  <c r="J2133" i="2"/>
  <c r="I2133" i="2"/>
  <c r="H2133" i="2"/>
  <c r="G2133" i="2"/>
  <c r="F2133" i="2"/>
  <c r="E2133" i="2"/>
  <c r="D2133" i="2"/>
  <c r="C2133" i="2"/>
  <c r="B2133" i="2"/>
  <c r="A2133" i="2"/>
  <c r="U2132" i="2"/>
  <c r="N2132" i="2"/>
  <c r="M2132" i="2"/>
  <c r="J2132" i="2"/>
  <c r="I2132" i="2"/>
  <c r="H2132" i="2"/>
  <c r="G2132" i="2"/>
  <c r="F2132" i="2"/>
  <c r="E2132" i="2"/>
  <c r="D2132" i="2"/>
  <c r="C2132" i="2"/>
  <c r="B2132" i="2"/>
  <c r="A2132" i="2"/>
  <c r="U2131" i="2"/>
  <c r="N2131" i="2"/>
  <c r="M2131" i="2"/>
  <c r="J2131" i="2"/>
  <c r="I2131" i="2"/>
  <c r="H2131" i="2"/>
  <c r="G2131" i="2"/>
  <c r="F2131" i="2"/>
  <c r="E2131" i="2"/>
  <c r="D2131" i="2"/>
  <c r="C2131" i="2"/>
  <c r="B2131" i="2"/>
  <c r="A2131" i="2"/>
  <c r="U2130" i="2"/>
  <c r="N2130" i="2"/>
  <c r="M2130" i="2"/>
  <c r="J2130" i="2"/>
  <c r="I2130" i="2"/>
  <c r="H2130" i="2"/>
  <c r="G2130" i="2"/>
  <c r="F2130" i="2"/>
  <c r="E2130" i="2"/>
  <c r="D2130" i="2"/>
  <c r="C2130" i="2"/>
  <c r="B2130" i="2"/>
  <c r="A2130" i="2"/>
  <c r="U2129" i="2"/>
  <c r="N2129" i="2"/>
  <c r="M2129" i="2"/>
  <c r="J2129" i="2"/>
  <c r="I2129" i="2"/>
  <c r="H2129" i="2"/>
  <c r="G2129" i="2"/>
  <c r="F2129" i="2"/>
  <c r="E2129" i="2"/>
  <c r="D2129" i="2"/>
  <c r="C2129" i="2"/>
  <c r="B2129" i="2"/>
  <c r="A2129" i="2"/>
  <c r="U2128" i="2"/>
  <c r="N2128" i="2"/>
  <c r="M2128" i="2"/>
  <c r="J2128" i="2"/>
  <c r="I2128" i="2"/>
  <c r="H2128" i="2"/>
  <c r="G2128" i="2"/>
  <c r="F2128" i="2"/>
  <c r="E2128" i="2"/>
  <c r="D2128" i="2"/>
  <c r="C2128" i="2"/>
  <c r="B2128" i="2"/>
  <c r="A2128" i="2"/>
  <c r="U2127" i="2"/>
  <c r="N2127" i="2"/>
  <c r="M2127" i="2"/>
  <c r="J2127" i="2"/>
  <c r="I2127" i="2"/>
  <c r="H2127" i="2"/>
  <c r="G2127" i="2"/>
  <c r="F2127" i="2"/>
  <c r="E2127" i="2"/>
  <c r="D2127" i="2"/>
  <c r="C2127" i="2"/>
  <c r="B2127" i="2"/>
  <c r="A2127" i="2"/>
  <c r="U2126" i="2"/>
  <c r="N2126" i="2"/>
  <c r="M2126" i="2"/>
  <c r="J2126" i="2"/>
  <c r="I2126" i="2"/>
  <c r="H2126" i="2"/>
  <c r="G2126" i="2"/>
  <c r="F2126" i="2"/>
  <c r="E2126" i="2"/>
  <c r="D2126" i="2"/>
  <c r="C2126" i="2"/>
  <c r="B2126" i="2"/>
  <c r="A2126" i="2"/>
  <c r="U2125" i="2"/>
  <c r="N2125" i="2"/>
  <c r="M2125" i="2"/>
  <c r="J2125" i="2"/>
  <c r="I2125" i="2"/>
  <c r="H2125" i="2"/>
  <c r="G2125" i="2"/>
  <c r="F2125" i="2"/>
  <c r="E2125" i="2"/>
  <c r="D2125" i="2"/>
  <c r="C2125" i="2"/>
  <c r="B2125" i="2"/>
  <c r="A2125" i="2"/>
  <c r="U2124" i="2"/>
  <c r="N2124" i="2"/>
  <c r="M2124" i="2"/>
  <c r="J2124" i="2"/>
  <c r="I2124" i="2"/>
  <c r="H2124" i="2"/>
  <c r="G2124" i="2"/>
  <c r="F2124" i="2"/>
  <c r="E2124" i="2"/>
  <c r="D2124" i="2"/>
  <c r="C2124" i="2"/>
  <c r="B2124" i="2"/>
  <c r="A2124" i="2"/>
  <c r="U2123" i="2"/>
  <c r="N2123" i="2"/>
  <c r="M2123" i="2"/>
  <c r="J2123" i="2"/>
  <c r="I2123" i="2"/>
  <c r="H2123" i="2"/>
  <c r="G2123" i="2"/>
  <c r="F2123" i="2"/>
  <c r="E2123" i="2"/>
  <c r="D2123" i="2"/>
  <c r="C2123" i="2"/>
  <c r="B2123" i="2"/>
  <c r="A2123" i="2"/>
  <c r="U2122" i="2"/>
  <c r="N2122" i="2"/>
  <c r="M2122" i="2"/>
  <c r="J2122" i="2"/>
  <c r="I2122" i="2"/>
  <c r="H2122" i="2"/>
  <c r="G2122" i="2"/>
  <c r="F2122" i="2"/>
  <c r="E2122" i="2"/>
  <c r="D2122" i="2"/>
  <c r="C2122" i="2"/>
  <c r="B2122" i="2"/>
  <c r="A2122" i="2"/>
  <c r="U2121" i="2"/>
  <c r="N2121" i="2"/>
  <c r="M2121" i="2"/>
  <c r="J2121" i="2"/>
  <c r="I2121" i="2"/>
  <c r="H2121" i="2"/>
  <c r="G2121" i="2"/>
  <c r="F2121" i="2"/>
  <c r="E2121" i="2"/>
  <c r="D2121" i="2"/>
  <c r="C2121" i="2"/>
  <c r="B2121" i="2"/>
  <c r="A2121" i="2"/>
  <c r="U2120" i="2"/>
  <c r="N2120" i="2"/>
  <c r="M2120" i="2"/>
  <c r="J2120" i="2"/>
  <c r="I2120" i="2"/>
  <c r="H2120" i="2"/>
  <c r="G2120" i="2"/>
  <c r="F2120" i="2"/>
  <c r="E2120" i="2"/>
  <c r="D2120" i="2"/>
  <c r="C2120" i="2"/>
  <c r="B2120" i="2"/>
  <c r="A2120" i="2"/>
  <c r="U2119" i="2"/>
  <c r="N2119" i="2"/>
  <c r="M2119" i="2"/>
  <c r="J2119" i="2"/>
  <c r="I2119" i="2"/>
  <c r="H2119" i="2"/>
  <c r="G2119" i="2"/>
  <c r="F2119" i="2"/>
  <c r="E2119" i="2"/>
  <c r="D2119" i="2"/>
  <c r="C2119" i="2"/>
  <c r="B2119" i="2"/>
  <c r="A2119" i="2"/>
  <c r="U2118" i="2"/>
  <c r="N2118" i="2"/>
  <c r="M2118" i="2"/>
  <c r="J2118" i="2"/>
  <c r="I2118" i="2"/>
  <c r="H2118" i="2"/>
  <c r="G2118" i="2"/>
  <c r="F2118" i="2"/>
  <c r="E2118" i="2"/>
  <c r="D2118" i="2"/>
  <c r="C2118" i="2"/>
  <c r="B2118" i="2"/>
  <c r="A2118" i="2"/>
  <c r="U2117" i="2"/>
  <c r="N2117" i="2"/>
  <c r="M2117" i="2"/>
  <c r="J2117" i="2"/>
  <c r="I2117" i="2"/>
  <c r="H2117" i="2"/>
  <c r="G2117" i="2"/>
  <c r="F2117" i="2"/>
  <c r="E2117" i="2"/>
  <c r="D2117" i="2"/>
  <c r="C2117" i="2"/>
  <c r="B2117" i="2"/>
  <c r="A2117" i="2"/>
  <c r="U2116" i="2"/>
  <c r="N2116" i="2"/>
  <c r="M2116" i="2"/>
  <c r="J2116" i="2"/>
  <c r="I2116" i="2"/>
  <c r="H2116" i="2"/>
  <c r="G2116" i="2"/>
  <c r="F2116" i="2"/>
  <c r="E2116" i="2"/>
  <c r="D2116" i="2"/>
  <c r="C2116" i="2"/>
  <c r="B2116" i="2"/>
  <c r="A2116" i="2"/>
  <c r="U2115" i="2"/>
  <c r="N2115" i="2"/>
  <c r="M2115" i="2"/>
  <c r="J2115" i="2"/>
  <c r="I2115" i="2"/>
  <c r="H2115" i="2"/>
  <c r="G2115" i="2"/>
  <c r="F2115" i="2"/>
  <c r="E2115" i="2"/>
  <c r="D2115" i="2"/>
  <c r="C2115" i="2"/>
  <c r="B2115" i="2"/>
  <c r="A2115" i="2"/>
  <c r="U2114" i="2"/>
  <c r="N2114" i="2"/>
  <c r="M2114" i="2"/>
  <c r="J2114" i="2"/>
  <c r="I2114" i="2"/>
  <c r="H2114" i="2"/>
  <c r="G2114" i="2"/>
  <c r="F2114" i="2"/>
  <c r="E2114" i="2"/>
  <c r="D2114" i="2"/>
  <c r="C2114" i="2"/>
  <c r="B2114" i="2"/>
  <c r="A2114" i="2"/>
  <c r="U2113" i="2"/>
  <c r="N2113" i="2"/>
  <c r="M2113" i="2"/>
  <c r="J2113" i="2"/>
  <c r="I2113" i="2"/>
  <c r="H2113" i="2"/>
  <c r="G2113" i="2"/>
  <c r="F2113" i="2"/>
  <c r="E2113" i="2"/>
  <c r="D2113" i="2"/>
  <c r="C2113" i="2"/>
  <c r="B2113" i="2"/>
  <c r="A2113" i="2"/>
  <c r="U2112" i="2"/>
  <c r="N2112" i="2"/>
  <c r="M2112" i="2"/>
  <c r="J2112" i="2"/>
  <c r="I2112" i="2"/>
  <c r="H2112" i="2"/>
  <c r="G2112" i="2"/>
  <c r="F2112" i="2"/>
  <c r="E2112" i="2"/>
  <c r="D2112" i="2"/>
  <c r="C2112" i="2"/>
  <c r="B2112" i="2"/>
  <c r="A2112" i="2"/>
  <c r="U2111" i="2"/>
  <c r="N2111" i="2"/>
  <c r="M2111" i="2"/>
  <c r="J2111" i="2"/>
  <c r="I2111" i="2"/>
  <c r="H2111" i="2"/>
  <c r="G2111" i="2"/>
  <c r="F2111" i="2"/>
  <c r="E2111" i="2"/>
  <c r="D2111" i="2"/>
  <c r="C2111" i="2"/>
  <c r="B2111" i="2"/>
  <c r="A2111" i="2"/>
  <c r="U2110" i="2"/>
  <c r="N2110" i="2"/>
  <c r="M2110" i="2"/>
  <c r="J2110" i="2"/>
  <c r="I2110" i="2"/>
  <c r="H2110" i="2"/>
  <c r="G2110" i="2"/>
  <c r="F2110" i="2"/>
  <c r="E2110" i="2"/>
  <c r="D2110" i="2"/>
  <c r="C2110" i="2"/>
  <c r="B2110" i="2"/>
  <c r="A2110" i="2"/>
  <c r="U2109" i="2"/>
  <c r="N2109" i="2"/>
  <c r="M2109" i="2"/>
  <c r="J2109" i="2"/>
  <c r="I2109" i="2"/>
  <c r="H2109" i="2"/>
  <c r="G2109" i="2"/>
  <c r="F2109" i="2"/>
  <c r="E2109" i="2"/>
  <c r="D2109" i="2"/>
  <c r="C2109" i="2"/>
  <c r="B2109" i="2"/>
  <c r="A2109" i="2"/>
  <c r="U2108" i="2"/>
  <c r="N2108" i="2"/>
  <c r="M2108" i="2"/>
  <c r="J2108" i="2"/>
  <c r="I2108" i="2"/>
  <c r="H2108" i="2"/>
  <c r="G2108" i="2"/>
  <c r="F2108" i="2"/>
  <c r="E2108" i="2"/>
  <c r="D2108" i="2"/>
  <c r="C2108" i="2"/>
  <c r="B2108" i="2"/>
  <c r="A2108" i="2"/>
  <c r="U2107" i="2"/>
  <c r="N2107" i="2"/>
  <c r="M2107" i="2"/>
  <c r="J2107" i="2"/>
  <c r="I2107" i="2"/>
  <c r="H2107" i="2"/>
  <c r="G2107" i="2"/>
  <c r="F2107" i="2"/>
  <c r="E2107" i="2"/>
  <c r="D2107" i="2"/>
  <c r="C2107" i="2"/>
  <c r="B2107" i="2"/>
  <c r="A2107" i="2"/>
  <c r="U2106" i="2"/>
  <c r="N2106" i="2"/>
  <c r="M2106" i="2"/>
  <c r="J2106" i="2"/>
  <c r="I2106" i="2"/>
  <c r="H2106" i="2"/>
  <c r="G2106" i="2"/>
  <c r="F2106" i="2"/>
  <c r="E2106" i="2"/>
  <c r="D2106" i="2"/>
  <c r="C2106" i="2"/>
  <c r="B2106" i="2"/>
  <c r="A2106" i="2"/>
  <c r="U2105" i="2"/>
  <c r="N2105" i="2"/>
  <c r="M2105" i="2"/>
  <c r="J2105" i="2"/>
  <c r="I2105" i="2"/>
  <c r="H2105" i="2"/>
  <c r="G2105" i="2"/>
  <c r="F2105" i="2"/>
  <c r="E2105" i="2"/>
  <c r="D2105" i="2"/>
  <c r="C2105" i="2"/>
  <c r="B2105" i="2"/>
  <c r="A2105" i="2"/>
  <c r="U2104" i="2"/>
  <c r="N2104" i="2"/>
  <c r="M2104" i="2"/>
  <c r="J2104" i="2"/>
  <c r="I2104" i="2"/>
  <c r="H2104" i="2"/>
  <c r="G2104" i="2"/>
  <c r="F2104" i="2"/>
  <c r="E2104" i="2"/>
  <c r="D2104" i="2"/>
  <c r="C2104" i="2"/>
  <c r="B2104" i="2"/>
  <c r="A2104" i="2"/>
  <c r="U2103" i="2"/>
  <c r="N2103" i="2"/>
  <c r="M2103" i="2"/>
  <c r="J2103" i="2"/>
  <c r="I2103" i="2"/>
  <c r="H2103" i="2"/>
  <c r="G2103" i="2"/>
  <c r="F2103" i="2"/>
  <c r="E2103" i="2"/>
  <c r="D2103" i="2"/>
  <c r="C2103" i="2"/>
  <c r="B2103" i="2"/>
  <c r="A2103" i="2"/>
  <c r="U2102" i="2"/>
  <c r="N2102" i="2"/>
  <c r="M2102" i="2"/>
  <c r="J2102" i="2"/>
  <c r="I2102" i="2"/>
  <c r="H2102" i="2"/>
  <c r="G2102" i="2"/>
  <c r="F2102" i="2"/>
  <c r="E2102" i="2"/>
  <c r="D2102" i="2"/>
  <c r="C2102" i="2"/>
  <c r="B2102" i="2"/>
  <c r="A2102" i="2"/>
  <c r="U2101" i="2"/>
  <c r="N2101" i="2"/>
  <c r="M2101" i="2"/>
  <c r="J2101" i="2"/>
  <c r="I2101" i="2"/>
  <c r="H2101" i="2"/>
  <c r="G2101" i="2"/>
  <c r="F2101" i="2"/>
  <c r="E2101" i="2"/>
  <c r="D2101" i="2"/>
  <c r="C2101" i="2"/>
  <c r="B2101" i="2"/>
  <c r="A2101" i="2"/>
  <c r="U2100" i="2"/>
  <c r="N2100" i="2"/>
  <c r="M2100" i="2"/>
  <c r="J2100" i="2"/>
  <c r="I2100" i="2"/>
  <c r="H2100" i="2"/>
  <c r="G2100" i="2"/>
  <c r="F2100" i="2"/>
  <c r="E2100" i="2"/>
  <c r="D2100" i="2"/>
  <c r="C2100" i="2"/>
  <c r="B2100" i="2"/>
  <c r="A2100" i="2"/>
  <c r="U2099" i="2"/>
  <c r="N2099" i="2"/>
  <c r="M2099" i="2"/>
  <c r="J2099" i="2"/>
  <c r="I2099" i="2"/>
  <c r="H2099" i="2"/>
  <c r="G2099" i="2"/>
  <c r="F2099" i="2"/>
  <c r="E2099" i="2"/>
  <c r="D2099" i="2"/>
  <c r="C2099" i="2"/>
  <c r="B2099" i="2"/>
  <c r="A2099" i="2"/>
  <c r="U2098" i="2"/>
  <c r="N2098" i="2"/>
  <c r="M2098" i="2"/>
  <c r="J2098" i="2"/>
  <c r="I2098" i="2"/>
  <c r="H2098" i="2"/>
  <c r="G2098" i="2"/>
  <c r="F2098" i="2"/>
  <c r="E2098" i="2"/>
  <c r="D2098" i="2"/>
  <c r="C2098" i="2"/>
  <c r="B2098" i="2"/>
  <c r="A2098" i="2"/>
  <c r="U2097" i="2"/>
  <c r="N2097" i="2"/>
  <c r="M2097" i="2"/>
  <c r="J2097" i="2"/>
  <c r="I2097" i="2"/>
  <c r="H2097" i="2"/>
  <c r="G2097" i="2"/>
  <c r="F2097" i="2"/>
  <c r="E2097" i="2"/>
  <c r="D2097" i="2"/>
  <c r="C2097" i="2"/>
  <c r="B2097" i="2"/>
  <c r="A2097" i="2"/>
  <c r="U2096" i="2"/>
  <c r="N2096" i="2"/>
  <c r="M2096" i="2"/>
  <c r="J2096" i="2"/>
  <c r="I2096" i="2"/>
  <c r="H2096" i="2"/>
  <c r="G2096" i="2"/>
  <c r="F2096" i="2"/>
  <c r="E2096" i="2"/>
  <c r="D2096" i="2"/>
  <c r="C2096" i="2"/>
  <c r="B2096" i="2"/>
  <c r="A2096" i="2"/>
  <c r="U2095" i="2"/>
  <c r="N2095" i="2"/>
  <c r="M2095" i="2"/>
  <c r="J2095" i="2"/>
  <c r="I2095" i="2"/>
  <c r="H2095" i="2"/>
  <c r="G2095" i="2"/>
  <c r="F2095" i="2"/>
  <c r="E2095" i="2"/>
  <c r="D2095" i="2"/>
  <c r="C2095" i="2"/>
  <c r="B2095" i="2"/>
  <c r="A2095" i="2"/>
  <c r="U2094" i="2"/>
  <c r="N2094" i="2"/>
  <c r="M2094" i="2"/>
  <c r="J2094" i="2"/>
  <c r="I2094" i="2"/>
  <c r="H2094" i="2"/>
  <c r="G2094" i="2"/>
  <c r="F2094" i="2"/>
  <c r="E2094" i="2"/>
  <c r="D2094" i="2"/>
  <c r="C2094" i="2"/>
  <c r="B2094" i="2"/>
  <c r="A2094" i="2"/>
  <c r="U2093" i="2"/>
  <c r="N2093" i="2"/>
  <c r="M2093" i="2"/>
  <c r="J2093" i="2"/>
  <c r="I2093" i="2"/>
  <c r="H2093" i="2"/>
  <c r="G2093" i="2"/>
  <c r="F2093" i="2"/>
  <c r="E2093" i="2"/>
  <c r="D2093" i="2"/>
  <c r="C2093" i="2"/>
  <c r="B2093" i="2"/>
  <c r="A2093" i="2"/>
  <c r="U2092" i="2"/>
  <c r="N2092" i="2"/>
  <c r="M2092" i="2"/>
  <c r="J2092" i="2"/>
  <c r="I2092" i="2"/>
  <c r="H2092" i="2"/>
  <c r="G2092" i="2"/>
  <c r="F2092" i="2"/>
  <c r="E2092" i="2"/>
  <c r="D2092" i="2"/>
  <c r="C2092" i="2"/>
  <c r="B2092" i="2"/>
  <c r="A2092" i="2"/>
  <c r="U2091" i="2"/>
  <c r="N2091" i="2"/>
  <c r="M2091" i="2"/>
  <c r="J2091" i="2"/>
  <c r="I2091" i="2"/>
  <c r="H2091" i="2"/>
  <c r="G2091" i="2"/>
  <c r="F2091" i="2"/>
  <c r="E2091" i="2"/>
  <c r="D2091" i="2"/>
  <c r="C2091" i="2"/>
  <c r="B2091" i="2"/>
  <c r="A2091" i="2"/>
  <c r="U2090" i="2"/>
  <c r="N2090" i="2"/>
  <c r="M2090" i="2"/>
  <c r="J2090" i="2"/>
  <c r="I2090" i="2"/>
  <c r="H2090" i="2"/>
  <c r="G2090" i="2"/>
  <c r="F2090" i="2"/>
  <c r="E2090" i="2"/>
  <c r="D2090" i="2"/>
  <c r="C2090" i="2"/>
  <c r="B2090" i="2"/>
  <c r="A2090" i="2"/>
  <c r="U2089" i="2"/>
  <c r="N2089" i="2"/>
  <c r="M2089" i="2"/>
  <c r="J2089" i="2"/>
  <c r="I2089" i="2"/>
  <c r="H2089" i="2"/>
  <c r="G2089" i="2"/>
  <c r="F2089" i="2"/>
  <c r="E2089" i="2"/>
  <c r="D2089" i="2"/>
  <c r="C2089" i="2"/>
  <c r="B2089" i="2"/>
  <c r="A2089" i="2"/>
  <c r="U2088" i="2"/>
  <c r="N2088" i="2"/>
  <c r="M2088" i="2"/>
  <c r="J2088" i="2"/>
  <c r="I2088" i="2"/>
  <c r="H2088" i="2"/>
  <c r="G2088" i="2"/>
  <c r="F2088" i="2"/>
  <c r="E2088" i="2"/>
  <c r="D2088" i="2"/>
  <c r="C2088" i="2"/>
  <c r="B2088" i="2"/>
  <c r="A2088" i="2"/>
  <c r="U2087" i="2"/>
  <c r="N2087" i="2"/>
  <c r="M2087" i="2"/>
  <c r="J2087" i="2"/>
  <c r="I2087" i="2"/>
  <c r="H2087" i="2"/>
  <c r="G2087" i="2"/>
  <c r="F2087" i="2"/>
  <c r="E2087" i="2"/>
  <c r="D2087" i="2"/>
  <c r="C2087" i="2"/>
  <c r="B2087" i="2"/>
  <c r="A2087" i="2"/>
  <c r="U2086" i="2"/>
  <c r="N2086" i="2"/>
  <c r="M2086" i="2"/>
  <c r="J2086" i="2"/>
  <c r="I2086" i="2"/>
  <c r="H2086" i="2"/>
  <c r="G2086" i="2"/>
  <c r="F2086" i="2"/>
  <c r="E2086" i="2"/>
  <c r="D2086" i="2"/>
  <c r="C2086" i="2"/>
  <c r="B2086" i="2"/>
  <c r="A2086" i="2"/>
  <c r="U2085" i="2"/>
  <c r="N2085" i="2"/>
  <c r="M2085" i="2"/>
  <c r="J2085" i="2"/>
  <c r="I2085" i="2"/>
  <c r="H2085" i="2"/>
  <c r="G2085" i="2"/>
  <c r="F2085" i="2"/>
  <c r="E2085" i="2"/>
  <c r="D2085" i="2"/>
  <c r="C2085" i="2"/>
  <c r="B2085" i="2"/>
  <c r="A2085" i="2"/>
  <c r="U2084" i="2"/>
  <c r="N2084" i="2"/>
  <c r="M2084" i="2"/>
  <c r="J2084" i="2"/>
  <c r="I2084" i="2"/>
  <c r="H2084" i="2"/>
  <c r="G2084" i="2"/>
  <c r="F2084" i="2"/>
  <c r="E2084" i="2"/>
  <c r="D2084" i="2"/>
  <c r="C2084" i="2"/>
  <c r="B2084" i="2"/>
  <c r="A2084" i="2"/>
  <c r="U2083" i="2"/>
  <c r="N2083" i="2"/>
  <c r="M2083" i="2"/>
  <c r="J2083" i="2"/>
  <c r="I2083" i="2"/>
  <c r="H2083" i="2"/>
  <c r="G2083" i="2"/>
  <c r="F2083" i="2"/>
  <c r="E2083" i="2"/>
  <c r="D2083" i="2"/>
  <c r="C2083" i="2"/>
  <c r="B2083" i="2"/>
  <c r="A2083" i="2"/>
  <c r="U2082" i="2"/>
  <c r="N2082" i="2"/>
  <c r="M2082" i="2"/>
  <c r="J2082" i="2"/>
  <c r="I2082" i="2"/>
  <c r="H2082" i="2"/>
  <c r="G2082" i="2"/>
  <c r="F2082" i="2"/>
  <c r="E2082" i="2"/>
  <c r="D2082" i="2"/>
  <c r="C2082" i="2"/>
  <c r="B2082" i="2"/>
  <c r="A2082" i="2"/>
  <c r="U2081" i="2"/>
  <c r="N2081" i="2"/>
  <c r="M2081" i="2"/>
  <c r="J2081" i="2"/>
  <c r="I2081" i="2"/>
  <c r="H2081" i="2"/>
  <c r="G2081" i="2"/>
  <c r="F2081" i="2"/>
  <c r="E2081" i="2"/>
  <c r="D2081" i="2"/>
  <c r="C2081" i="2"/>
  <c r="B2081" i="2"/>
  <c r="A2081" i="2"/>
  <c r="U2080" i="2"/>
  <c r="N2080" i="2"/>
  <c r="M2080" i="2"/>
  <c r="J2080" i="2"/>
  <c r="I2080" i="2"/>
  <c r="H2080" i="2"/>
  <c r="G2080" i="2"/>
  <c r="F2080" i="2"/>
  <c r="E2080" i="2"/>
  <c r="D2080" i="2"/>
  <c r="C2080" i="2"/>
  <c r="B2080" i="2"/>
  <c r="A2080" i="2"/>
  <c r="U2079" i="2"/>
  <c r="N2079" i="2"/>
  <c r="M2079" i="2"/>
  <c r="J2079" i="2"/>
  <c r="I2079" i="2"/>
  <c r="H2079" i="2"/>
  <c r="G2079" i="2"/>
  <c r="F2079" i="2"/>
  <c r="E2079" i="2"/>
  <c r="D2079" i="2"/>
  <c r="C2079" i="2"/>
  <c r="B2079" i="2"/>
  <c r="A2079" i="2"/>
  <c r="U2078" i="2"/>
  <c r="N2078" i="2"/>
  <c r="M2078" i="2"/>
  <c r="J2078" i="2"/>
  <c r="I2078" i="2"/>
  <c r="H2078" i="2"/>
  <c r="G2078" i="2"/>
  <c r="F2078" i="2"/>
  <c r="E2078" i="2"/>
  <c r="D2078" i="2"/>
  <c r="C2078" i="2"/>
  <c r="B2078" i="2"/>
  <c r="A2078" i="2"/>
  <c r="U2077" i="2"/>
  <c r="N2077" i="2"/>
  <c r="M2077" i="2"/>
  <c r="J2077" i="2"/>
  <c r="I2077" i="2"/>
  <c r="H2077" i="2"/>
  <c r="G2077" i="2"/>
  <c r="F2077" i="2"/>
  <c r="E2077" i="2"/>
  <c r="D2077" i="2"/>
  <c r="C2077" i="2"/>
  <c r="B2077" i="2"/>
  <c r="A2077" i="2"/>
  <c r="U2076" i="2"/>
  <c r="N2076" i="2"/>
  <c r="M2076" i="2"/>
  <c r="J2076" i="2"/>
  <c r="I2076" i="2"/>
  <c r="H2076" i="2"/>
  <c r="G2076" i="2"/>
  <c r="F2076" i="2"/>
  <c r="E2076" i="2"/>
  <c r="D2076" i="2"/>
  <c r="C2076" i="2"/>
  <c r="B2076" i="2"/>
  <c r="A2076" i="2"/>
  <c r="U2075" i="2"/>
  <c r="N2075" i="2"/>
  <c r="M2075" i="2"/>
  <c r="J2075" i="2"/>
  <c r="I2075" i="2"/>
  <c r="H2075" i="2"/>
  <c r="G2075" i="2"/>
  <c r="F2075" i="2"/>
  <c r="E2075" i="2"/>
  <c r="D2075" i="2"/>
  <c r="C2075" i="2"/>
  <c r="B2075" i="2"/>
  <c r="A2075" i="2"/>
  <c r="U2074" i="2"/>
  <c r="N2074" i="2"/>
  <c r="M2074" i="2"/>
  <c r="J2074" i="2"/>
  <c r="I2074" i="2"/>
  <c r="H2074" i="2"/>
  <c r="G2074" i="2"/>
  <c r="F2074" i="2"/>
  <c r="E2074" i="2"/>
  <c r="D2074" i="2"/>
  <c r="C2074" i="2"/>
  <c r="B2074" i="2"/>
  <c r="A2074" i="2"/>
  <c r="U2073" i="2"/>
  <c r="N2073" i="2"/>
  <c r="M2073" i="2"/>
  <c r="J2073" i="2"/>
  <c r="I2073" i="2"/>
  <c r="H2073" i="2"/>
  <c r="G2073" i="2"/>
  <c r="F2073" i="2"/>
  <c r="E2073" i="2"/>
  <c r="D2073" i="2"/>
  <c r="C2073" i="2"/>
  <c r="B2073" i="2"/>
  <c r="A2073" i="2"/>
  <c r="U2072" i="2"/>
  <c r="N2072" i="2"/>
  <c r="M2072" i="2"/>
  <c r="J2072" i="2"/>
  <c r="I2072" i="2"/>
  <c r="H2072" i="2"/>
  <c r="G2072" i="2"/>
  <c r="F2072" i="2"/>
  <c r="E2072" i="2"/>
  <c r="D2072" i="2"/>
  <c r="C2072" i="2"/>
  <c r="B2072" i="2"/>
  <c r="A2072" i="2"/>
  <c r="U2071" i="2"/>
  <c r="N2071" i="2"/>
  <c r="M2071" i="2"/>
  <c r="J2071" i="2"/>
  <c r="I2071" i="2"/>
  <c r="H2071" i="2"/>
  <c r="G2071" i="2"/>
  <c r="F2071" i="2"/>
  <c r="E2071" i="2"/>
  <c r="D2071" i="2"/>
  <c r="C2071" i="2"/>
  <c r="B2071" i="2"/>
  <c r="A2071" i="2"/>
  <c r="U2070" i="2"/>
  <c r="N2070" i="2"/>
  <c r="M2070" i="2"/>
  <c r="J2070" i="2"/>
  <c r="I2070" i="2"/>
  <c r="H2070" i="2"/>
  <c r="G2070" i="2"/>
  <c r="F2070" i="2"/>
  <c r="E2070" i="2"/>
  <c r="D2070" i="2"/>
  <c r="C2070" i="2"/>
  <c r="B2070" i="2"/>
  <c r="A2070" i="2"/>
  <c r="U2069" i="2"/>
  <c r="N2069" i="2"/>
  <c r="M2069" i="2"/>
  <c r="J2069" i="2"/>
  <c r="I2069" i="2"/>
  <c r="H2069" i="2"/>
  <c r="G2069" i="2"/>
  <c r="F2069" i="2"/>
  <c r="E2069" i="2"/>
  <c r="D2069" i="2"/>
  <c r="C2069" i="2"/>
  <c r="B2069" i="2"/>
  <c r="A2069" i="2"/>
  <c r="U2068" i="2"/>
  <c r="N2068" i="2"/>
  <c r="M2068" i="2"/>
  <c r="J2068" i="2"/>
  <c r="I2068" i="2"/>
  <c r="H2068" i="2"/>
  <c r="G2068" i="2"/>
  <c r="F2068" i="2"/>
  <c r="E2068" i="2"/>
  <c r="D2068" i="2"/>
  <c r="C2068" i="2"/>
  <c r="B2068" i="2"/>
  <c r="A2068" i="2"/>
  <c r="U2067" i="2"/>
  <c r="N2067" i="2"/>
  <c r="M2067" i="2"/>
  <c r="J2067" i="2"/>
  <c r="I2067" i="2"/>
  <c r="H2067" i="2"/>
  <c r="G2067" i="2"/>
  <c r="F2067" i="2"/>
  <c r="E2067" i="2"/>
  <c r="D2067" i="2"/>
  <c r="C2067" i="2"/>
  <c r="B2067" i="2"/>
  <c r="A2067" i="2"/>
  <c r="U2066" i="2"/>
  <c r="N2066" i="2"/>
  <c r="M2066" i="2"/>
  <c r="J2066" i="2"/>
  <c r="I2066" i="2"/>
  <c r="H2066" i="2"/>
  <c r="G2066" i="2"/>
  <c r="F2066" i="2"/>
  <c r="E2066" i="2"/>
  <c r="D2066" i="2"/>
  <c r="C2066" i="2"/>
  <c r="B2066" i="2"/>
  <c r="A2066" i="2"/>
  <c r="U2065" i="2"/>
  <c r="N2065" i="2"/>
  <c r="M2065" i="2"/>
  <c r="J2065" i="2"/>
  <c r="I2065" i="2"/>
  <c r="H2065" i="2"/>
  <c r="G2065" i="2"/>
  <c r="F2065" i="2"/>
  <c r="E2065" i="2"/>
  <c r="D2065" i="2"/>
  <c r="C2065" i="2"/>
  <c r="B2065" i="2"/>
  <c r="A2065" i="2"/>
  <c r="U2064" i="2"/>
  <c r="N2064" i="2"/>
  <c r="M2064" i="2"/>
  <c r="J2064" i="2"/>
  <c r="I2064" i="2"/>
  <c r="H2064" i="2"/>
  <c r="G2064" i="2"/>
  <c r="F2064" i="2"/>
  <c r="E2064" i="2"/>
  <c r="D2064" i="2"/>
  <c r="C2064" i="2"/>
  <c r="B2064" i="2"/>
  <c r="A2064" i="2"/>
  <c r="U2063" i="2"/>
  <c r="N2063" i="2"/>
  <c r="M2063" i="2"/>
  <c r="J2063" i="2"/>
  <c r="I2063" i="2"/>
  <c r="H2063" i="2"/>
  <c r="G2063" i="2"/>
  <c r="F2063" i="2"/>
  <c r="E2063" i="2"/>
  <c r="D2063" i="2"/>
  <c r="C2063" i="2"/>
  <c r="B2063" i="2"/>
  <c r="A2063" i="2"/>
  <c r="U2062" i="2"/>
  <c r="N2062" i="2"/>
  <c r="M2062" i="2"/>
  <c r="J2062" i="2"/>
  <c r="I2062" i="2"/>
  <c r="H2062" i="2"/>
  <c r="G2062" i="2"/>
  <c r="F2062" i="2"/>
  <c r="E2062" i="2"/>
  <c r="D2062" i="2"/>
  <c r="C2062" i="2"/>
  <c r="B2062" i="2"/>
  <c r="A2062" i="2"/>
  <c r="U2061" i="2"/>
  <c r="N2061" i="2"/>
  <c r="M2061" i="2"/>
  <c r="J2061" i="2"/>
  <c r="I2061" i="2"/>
  <c r="H2061" i="2"/>
  <c r="G2061" i="2"/>
  <c r="F2061" i="2"/>
  <c r="E2061" i="2"/>
  <c r="D2061" i="2"/>
  <c r="C2061" i="2"/>
  <c r="B2061" i="2"/>
  <c r="A2061" i="2"/>
  <c r="U2060" i="2"/>
  <c r="N2060" i="2"/>
  <c r="M2060" i="2"/>
  <c r="J2060" i="2"/>
  <c r="I2060" i="2"/>
  <c r="H2060" i="2"/>
  <c r="G2060" i="2"/>
  <c r="F2060" i="2"/>
  <c r="E2060" i="2"/>
  <c r="D2060" i="2"/>
  <c r="C2060" i="2"/>
  <c r="B2060" i="2"/>
  <c r="A2060" i="2"/>
  <c r="U2059" i="2"/>
  <c r="N2059" i="2"/>
  <c r="M2059" i="2"/>
  <c r="J2059" i="2"/>
  <c r="I2059" i="2"/>
  <c r="H2059" i="2"/>
  <c r="G2059" i="2"/>
  <c r="F2059" i="2"/>
  <c r="E2059" i="2"/>
  <c r="D2059" i="2"/>
  <c r="C2059" i="2"/>
  <c r="B2059" i="2"/>
  <c r="A2059" i="2"/>
  <c r="U2058" i="2"/>
  <c r="N2058" i="2"/>
  <c r="M2058" i="2"/>
  <c r="J2058" i="2"/>
  <c r="I2058" i="2"/>
  <c r="H2058" i="2"/>
  <c r="G2058" i="2"/>
  <c r="F2058" i="2"/>
  <c r="E2058" i="2"/>
  <c r="D2058" i="2"/>
  <c r="C2058" i="2"/>
  <c r="B2058" i="2"/>
  <c r="A2058" i="2"/>
  <c r="U2057" i="2"/>
  <c r="N2057" i="2"/>
  <c r="M2057" i="2"/>
  <c r="J2057" i="2"/>
  <c r="I2057" i="2"/>
  <c r="H2057" i="2"/>
  <c r="G2057" i="2"/>
  <c r="F2057" i="2"/>
  <c r="E2057" i="2"/>
  <c r="D2057" i="2"/>
  <c r="C2057" i="2"/>
  <c r="B2057" i="2"/>
  <c r="A2057" i="2"/>
  <c r="U2056" i="2"/>
  <c r="N2056" i="2"/>
  <c r="M2056" i="2"/>
  <c r="J2056" i="2"/>
  <c r="I2056" i="2"/>
  <c r="H2056" i="2"/>
  <c r="G2056" i="2"/>
  <c r="F2056" i="2"/>
  <c r="E2056" i="2"/>
  <c r="D2056" i="2"/>
  <c r="C2056" i="2"/>
  <c r="B2056" i="2"/>
  <c r="A2056" i="2"/>
  <c r="U2055" i="2"/>
  <c r="N2055" i="2"/>
  <c r="M2055" i="2"/>
  <c r="J2055" i="2"/>
  <c r="I2055" i="2"/>
  <c r="H2055" i="2"/>
  <c r="G2055" i="2"/>
  <c r="F2055" i="2"/>
  <c r="E2055" i="2"/>
  <c r="D2055" i="2"/>
  <c r="C2055" i="2"/>
  <c r="B2055" i="2"/>
  <c r="A2055" i="2"/>
  <c r="U2054" i="2"/>
  <c r="N2054" i="2"/>
  <c r="M2054" i="2"/>
  <c r="J2054" i="2"/>
  <c r="I2054" i="2"/>
  <c r="H2054" i="2"/>
  <c r="G2054" i="2"/>
  <c r="F2054" i="2"/>
  <c r="E2054" i="2"/>
  <c r="D2054" i="2"/>
  <c r="C2054" i="2"/>
  <c r="B2054" i="2"/>
  <c r="A2054" i="2"/>
  <c r="U2053" i="2"/>
  <c r="N2053" i="2"/>
  <c r="M2053" i="2"/>
  <c r="J2053" i="2"/>
  <c r="I2053" i="2"/>
  <c r="H2053" i="2"/>
  <c r="G2053" i="2"/>
  <c r="F2053" i="2"/>
  <c r="E2053" i="2"/>
  <c r="D2053" i="2"/>
  <c r="C2053" i="2"/>
  <c r="B2053" i="2"/>
  <c r="A2053" i="2"/>
  <c r="U2052" i="2"/>
  <c r="N2052" i="2"/>
  <c r="M2052" i="2"/>
  <c r="J2052" i="2"/>
  <c r="I2052" i="2"/>
  <c r="H2052" i="2"/>
  <c r="G2052" i="2"/>
  <c r="F2052" i="2"/>
  <c r="E2052" i="2"/>
  <c r="D2052" i="2"/>
  <c r="C2052" i="2"/>
  <c r="B2052" i="2"/>
  <c r="A2052" i="2"/>
  <c r="U2051" i="2"/>
  <c r="N2051" i="2"/>
  <c r="M2051" i="2"/>
  <c r="J2051" i="2"/>
  <c r="I2051" i="2"/>
  <c r="H2051" i="2"/>
  <c r="G2051" i="2"/>
  <c r="F2051" i="2"/>
  <c r="E2051" i="2"/>
  <c r="D2051" i="2"/>
  <c r="C2051" i="2"/>
  <c r="B2051" i="2"/>
  <c r="A2051" i="2"/>
  <c r="U2050" i="2"/>
  <c r="N2050" i="2"/>
  <c r="M2050" i="2"/>
  <c r="J2050" i="2"/>
  <c r="I2050" i="2"/>
  <c r="H2050" i="2"/>
  <c r="G2050" i="2"/>
  <c r="F2050" i="2"/>
  <c r="E2050" i="2"/>
  <c r="D2050" i="2"/>
  <c r="C2050" i="2"/>
  <c r="B2050" i="2"/>
  <c r="A2050" i="2"/>
  <c r="U2049" i="2"/>
  <c r="N2049" i="2"/>
  <c r="M2049" i="2"/>
  <c r="J2049" i="2"/>
  <c r="I2049" i="2"/>
  <c r="H2049" i="2"/>
  <c r="G2049" i="2"/>
  <c r="F2049" i="2"/>
  <c r="E2049" i="2"/>
  <c r="D2049" i="2"/>
  <c r="C2049" i="2"/>
  <c r="B2049" i="2"/>
  <c r="A2049" i="2"/>
  <c r="U2048" i="2"/>
  <c r="N2048" i="2"/>
  <c r="M2048" i="2"/>
  <c r="J2048" i="2"/>
  <c r="I2048" i="2"/>
  <c r="H2048" i="2"/>
  <c r="G2048" i="2"/>
  <c r="F2048" i="2"/>
  <c r="E2048" i="2"/>
  <c r="D2048" i="2"/>
  <c r="C2048" i="2"/>
  <c r="B2048" i="2"/>
  <c r="A2048" i="2"/>
  <c r="U2047" i="2"/>
  <c r="N2047" i="2"/>
  <c r="M2047" i="2"/>
  <c r="J2047" i="2"/>
  <c r="I2047" i="2"/>
  <c r="H2047" i="2"/>
  <c r="G2047" i="2"/>
  <c r="F2047" i="2"/>
  <c r="E2047" i="2"/>
  <c r="D2047" i="2"/>
  <c r="C2047" i="2"/>
  <c r="B2047" i="2"/>
  <c r="A2047" i="2"/>
  <c r="U2046" i="2"/>
  <c r="N2046" i="2"/>
  <c r="M2046" i="2"/>
  <c r="J2046" i="2"/>
  <c r="I2046" i="2"/>
  <c r="H2046" i="2"/>
  <c r="G2046" i="2"/>
  <c r="F2046" i="2"/>
  <c r="E2046" i="2"/>
  <c r="D2046" i="2"/>
  <c r="C2046" i="2"/>
  <c r="B2046" i="2"/>
  <c r="A2046" i="2"/>
  <c r="U2045" i="2"/>
  <c r="N2045" i="2"/>
  <c r="M2045" i="2"/>
  <c r="J2045" i="2"/>
  <c r="I2045" i="2"/>
  <c r="H2045" i="2"/>
  <c r="G2045" i="2"/>
  <c r="F2045" i="2"/>
  <c r="E2045" i="2"/>
  <c r="D2045" i="2"/>
  <c r="C2045" i="2"/>
  <c r="B2045" i="2"/>
  <c r="A2045" i="2"/>
  <c r="U2044" i="2"/>
  <c r="N2044" i="2"/>
  <c r="M2044" i="2"/>
  <c r="J2044" i="2"/>
  <c r="I2044" i="2"/>
  <c r="H2044" i="2"/>
  <c r="G2044" i="2"/>
  <c r="F2044" i="2"/>
  <c r="E2044" i="2"/>
  <c r="D2044" i="2"/>
  <c r="C2044" i="2"/>
  <c r="B2044" i="2"/>
  <c r="A2044" i="2"/>
  <c r="U2043" i="2"/>
  <c r="N2043" i="2"/>
  <c r="M2043" i="2"/>
  <c r="J2043" i="2"/>
  <c r="I2043" i="2"/>
  <c r="H2043" i="2"/>
  <c r="G2043" i="2"/>
  <c r="F2043" i="2"/>
  <c r="E2043" i="2"/>
  <c r="D2043" i="2"/>
  <c r="C2043" i="2"/>
  <c r="B2043" i="2"/>
  <c r="A2043" i="2"/>
  <c r="U2042" i="2"/>
  <c r="N2042" i="2"/>
  <c r="M2042" i="2"/>
  <c r="J2042" i="2"/>
  <c r="I2042" i="2"/>
  <c r="H2042" i="2"/>
  <c r="G2042" i="2"/>
  <c r="F2042" i="2"/>
  <c r="E2042" i="2"/>
  <c r="D2042" i="2"/>
  <c r="C2042" i="2"/>
  <c r="B2042" i="2"/>
  <c r="A2042" i="2"/>
  <c r="U2041" i="2"/>
  <c r="N2041" i="2"/>
  <c r="M2041" i="2"/>
  <c r="J2041" i="2"/>
  <c r="I2041" i="2"/>
  <c r="H2041" i="2"/>
  <c r="G2041" i="2"/>
  <c r="F2041" i="2"/>
  <c r="E2041" i="2"/>
  <c r="D2041" i="2"/>
  <c r="C2041" i="2"/>
  <c r="B2041" i="2"/>
  <c r="A2041" i="2"/>
  <c r="U2040" i="2"/>
  <c r="N2040" i="2"/>
  <c r="M2040" i="2"/>
  <c r="J2040" i="2"/>
  <c r="I2040" i="2"/>
  <c r="H2040" i="2"/>
  <c r="G2040" i="2"/>
  <c r="F2040" i="2"/>
  <c r="E2040" i="2"/>
  <c r="D2040" i="2"/>
  <c r="C2040" i="2"/>
  <c r="B2040" i="2"/>
  <c r="A2040" i="2"/>
  <c r="U2039" i="2"/>
  <c r="N2039" i="2"/>
  <c r="M2039" i="2"/>
  <c r="J2039" i="2"/>
  <c r="I2039" i="2"/>
  <c r="H2039" i="2"/>
  <c r="G2039" i="2"/>
  <c r="F2039" i="2"/>
  <c r="E2039" i="2"/>
  <c r="D2039" i="2"/>
  <c r="C2039" i="2"/>
  <c r="B2039" i="2"/>
  <c r="A2039" i="2"/>
  <c r="U2038" i="2"/>
  <c r="N2038" i="2"/>
  <c r="M2038" i="2"/>
  <c r="J2038" i="2"/>
  <c r="I2038" i="2"/>
  <c r="H2038" i="2"/>
  <c r="G2038" i="2"/>
  <c r="F2038" i="2"/>
  <c r="E2038" i="2"/>
  <c r="D2038" i="2"/>
  <c r="C2038" i="2"/>
  <c r="B2038" i="2"/>
  <c r="A2038" i="2"/>
  <c r="U2037" i="2"/>
  <c r="N2037" i="2"/>
  <c r="M2037" i="2"/>
  <c r="J2037" i="2"/>
  <c r="I2037" i="2"/>
  <c r="H2037" i="2"/>
  <c r="G2037" i="2"/>
  <c r="F2037" i="2"/>
  <c r="E2037" i="2"/>
  <c r="D2037" i="2"/>
  <c r="C2037" i="2"/>
  <c r="B2037" i="2"/>
  <c r="A2037" i="2"/>
  <c r="U2036" i="2"/>
  <c r="N2036" i="2"/>
  <c r="M2036" i="2"/>
  <c r="J2036" i="2"/>
  <c r="I2036" i="2"/>
  <c r="H2036" i="2"/>
  <c r="G2036" i="2"/>
  <c r="F2036" i="2"/>
  <c r="E2036" i="2"/>
  <c r="D2036" i="2"/>
  <c r="C2036" i="2"/>
  <c r="B2036" i="2"/>
  <c r="A2036" i="2"/>
  <c r="U2035" i="2"/>
  <c r="N2035" i="2"/>
  <c r="M2035" i="2"/>
  <c r="J2035" i="2"/>
  <c r="I2035" i="2"/>
  <c r="H2035" i="2"/>
  <c r="G2035" i="2"/>
  <c r="F2035" i="2"/>
  <c r="E2035" i="2"/>
  <c r="D2035" i="2"/>
  <c r="C2035" i="2"/>
  <c r="B2035" i="2"/>
  <c r="A2035" i="2"/>
  <c r="U2034" i="2"/>
  <c r="N2034" i="2"/>
  <c r="M2034" i="2"/>
  <c r="J2034" i="2"/>
  <c r="I2034" i="2"/>
  <c r="H2034" i="2"/>
  <c r="G2034" i="2"/>
  <c r="F2034" i="2"/>
  <c r="E2034" i="2"/>
  <c r="D2034" i="2"/>
  <c r="C2034" i="2"/>
  <c r="B2034" i="2"/>
  <c r="A2034" i="2"/>
  <c r="U2033" i="2"/>
  <c r="N2033" i="2"/>
  <c r="M2033" i="2"/>
  <c r="J2033" i="2"/>
  <c r="I2033" i="2"/>
  <c r="H2033" i="2"/>
  <c r="G2033" i="2"/>
  <c r="F2033" i="2"/>
  <c r="E2033" i="2"/>
  <c r="D2033" i="2"/>
  <c r="C2033" i="2"/>
  <c r="B2033" i="2"/>
  <c r="A2033" i="2"/>
  <c r="U2032" i="2"/>
  <c r="N2032" i="2"/>
  <c r="M2032" i="2"/>
  <c r="J2032" i="2"/>
  <c r="I2032" i="2"/>
  <c r="H2032" i="2"/>
  <c r="G2032" i="2"/>
  <c r="F2032" i="2"/>
  <c r="E2032" i="2"/>
  <c r="D2032" i="2"/>
  <c r="C2032" i="2"/>
  <c r="B2032" i="2"/>
  <c r="A2032" i="2"/>
  <c r="U2031" i="2"/>
  <c r="N2031" i="2"/>
  <c r="M2031" i="2"/>
  <c r="J2031" i="2"/>
  <c r="I2031" i="2"/>
  <c r="H2031" i="2"/>
  <c r="G2031" i="2"/>
  <c r="F2031" i="2"/>
  <c r="E2031" i="2"/>
  <c r="D2031" i="2"/>
  <c r="C2031" i="2"/>
  <c r="B2031" i="2"/>
  <c r="A2031" i="2"/>
  <c r="U2030" i="2"/>
  <c r="N2030" i="2"/>
  <c r="M2030" i="2"/>
  <c r="J2030" i="2"/>
  <c r="I2030" i="2"/>
  <c r="H2030" i="2"/>
  <c r="G2030" i="2"/>
  <c r="F2030" i="2"/>
  <c r="E2030" i="2"/>
  <c r="D2030" i="2"/>
  <c r="C2030" i="2"/>
  <c r="B2030" i="2"/>
  <c r="A2030" i="2"/>
  <c r="U2029" i="2"/>
  <c r="N2029" i="2"/>
  <c r="M2029" i="2"/>
  <c r="J2029" i="2"/>
  <c r="I2029" i="2"/>
  <c r="H2029" i="2"/>
  <c r="G2029" i="2"/>
  <c r="F2029" i="2"/>
  <c r="E2029" i="2"/>
  <c r="D2029" i="2"/>
  <c r="C2029" i="2"/>
  <c r="B2029" i="2"/>
  <c r="A2029" i="2"/>
  <c r="U2028" i="2"/>
  <c r="N2028" i="2"/>
  <c r="M2028" i="2"/>
  <c r="J2028" i="2"/>
  <c r="I2028" i="2"/>
  <c r="H2028" i="2"/>
  <c r="G2028" i="2"/>
  <c r="F2028" i="2"/>
  <c r="E2028" i="2"/>
  <c r="D2028" i="2"/>
  <c r="C2028" i="2"/>
  <c r="B2028" i="2"/>
  <c r="A2028" i="2"/>
  <c r="U2027" i="2"/>
  <c r="N2027" i="2"/>
  <c r="M2027" i="2"/>
  <c r="J2027" i="2"/>
  <c r="I2027" i="2"/>
  <c r="H2027" i="2"/>
  <c r="G2027" i="2"/>
  <c r="F2027" i="2"/>
  <c r="E2027" i="2"/>
  <c r="D2027" i="2"/>
  <c r="C2027" i="2"/>
  <c r="B2027" i="2"/>
  <c r="A2027" i="2"/>
  <c r="U2026" i="2"/>
  <c r="N2026" i="2"/>
  <c r="M2026" i="2"/>
  <c r="J2026" i="2"/>
  <c r="I2026" i="2"/>
  <c r="H2026" i="2"/>
  <c r="G2026" i="2"/>
  <c r="F2026" i="2"/>
  <c r="E2026" i="2"/>
  <c r="D2026" i="2"/>
  <c r="C2026" i="2"/>
  <c r="B2026" i="2"/>
  <c r="A2026" i="2"/>
  <c r="U2025" i="2"/>
  <c r="N2025" i="2"/>
  <c r="M2025" i="2"/>
  <c r="J2025" i="2"/>
  <c r="I2025" i="2"/>
  <c r="H2025" i="2"/>
  <c r="G2025" i="2"/>
  <c r="F2025" i="2"/>
  <c r="E2025" i="2"/>
  <c r="D2025" i="2"/>
  <c r="C2025" i="2"/>
  <c r="B2025" i="2"/>
  <c r="A2025" i="2"/>
  <c r="U2024" i="2"/>
  <c r="N2024" i="2"/>
  <c r="M2024" i="2"/>
  <c r="J2024" i="2"/>
  <c r="I2024" i="2"/>
  <c r="H2024" i="2"/>
  <c r="G2024" i="2"/>
  <c r="F2024" i="2"/>
  <c r="E2024" i="2"/>
  <c r="D2024" i="2"/>
  <c r="C2024" i="2"/>
  <c r="B2024" i="2"/>
  <c r="A2024" i="2"/>
  <c r="U2023" i="2"/>
  <c r="N2023" i="2"/>
  <c r="M2023" i="2"/>
  <c r="J2023" i="2"/>
  <c r="I2023" i="2"/>
  <c r="H2023" i="2"/>
  <c r="G2023" i="2"/>
  <c r="F2023" i="2"/>
  <c r="E2023" i="2"/>
  <c r="D2023" i="2"/>
  <c r="C2023" i="2"/>
  <c r="B2023" i="2"/>
  <c r="A2023" i="2"/>
  <c r="U2022" i="2"/>
  <c r="N2022" i="2"/>
  <c r="M2022" i="2"/>
  <c r="J2022" i="2"/>
  <c r="I2022" i="2"/>
  <c r="H2022" i="2"/>
  <c r="G2022" i="2"/>
  <c r="F2022" i="2"/>
  <c r="E2022" i="2"/>
  <c r="D2022" i="2"/>
  <c r="C2022" i="2"/>
  <c r="B2022" i="2"/>
  <c r="A2022" i="2"/>
  <c r="U2021" i="2"/>
  <c r="N2021" i="2"/>
  <c r="M2021" i="2"/>
  <c r="J2021" i="2"/>
  <c r="I2021" i="2"/>
  <c r="H2021" i="2"/>
  <c r="G2021" i="2"/>
  <c r="F2021" i="2"/>
  <c r="E2021" i="2"/>
  <c r="D2021" i="2"/>
  <c r="C2021" i="2"/>
  <c r="B2021" i="2"/>
  <c r="A2021" i="2"/>
  <c r="U2020" i="2"/>
  <c r="N2020" i="2"/>
  <c r="M2020" i="2"/>
  <c r="J2020" i="2"/>
  <c r="I2020" i="2"/>
  <c r="H2020" i="2"/>
  <c r="G2020" i="2"/>
  <c r="F2020" i="2"/>
  <c r="E2020" i="2"/>
  <c r="D2020" i="2"/>
  <c r="C2020" i="2"/>
  <c r="B2020" i="2"/>
  <c r="A2020" i="2"/>
  <c r="U2019" i="2"/>
  <c r="N2019" i="2"/>
  <c r="M2019" i="2"/>
  <c r="J2019" i="2"/>
  <c r="I2019" i="2"/>
  <c r="H2019" i="2"/>
  <c r="G2019" i="2"/>
  <c r="F2019" i="2"/>
  <c r="E2019" i="2"/>
  <c r="D2019" i="2"/>
  <c r="C2019" i="2"/>
  <c r="B2019" i="2"/>
  <c r="A2019" i="2"/>
  <c r="U2018" i="2"/>
  <c r="N2018" i="2"/>
  <c r="M2018" i="2"/>
  <c r="J2018" i="2"/>
  <c r="I2018" i="2"/>
  <c r="H2018" i="2"/>
  <c r="G2018" i="2"/>
  <c r="F2018" i="2"/>
  <c r="E2018" i="2"/>
  <c r="D2018" i="2"/>
  <c r="C2018" i="2"/>
  <c r="B2018" i="2"/>
  <c r="A2018" i="2"/>
  <c r="U2017" i="2"/>
  <c r="N2017" i="2"/>
  <c r="M2017" i="2"/>
  <c r="J2017" i="2"/>
  <c r="I2017" i="2"/>
  <c r="H2017" i="2"/>
  <c r="G2017" i="2"/>
  <c r="F2017" i="2"/>
  <c r="E2017" i="2"/>
  <c r="D2017" i="2"/>
  <c r="C2017" i="2"/>
  <c r="B2017" i="2"/>
  <c r="A2017" i="2"/>
  <c r="U2016" i="2"/>
  <c r="N2016" i="2"/>
  <c r="M2016" i="2"/>
  <c r="J2016" i="2"/>
  <c r="I2016" i="2"/>
  <c r="H2016" i="2"/>
  <c r="G2016" i="2"/>
  <c r="F2016" i="2"/>
  <c r="E2016" i="2"/>
  <c r="D2016" i="2"/>
  <c r="C2016" i="2"/>
  <c r="B2016" i="2"/>
  <c r="A2016" i="2"/>
  <c r="U2015" i="2"/>
  <c r="N2015" i="2"/>
  <c r="M2015" i="2"/>
  <c r="J2015" i="2"/>
  <c r="I2015" i="2"/>
  <c r="H2015" i="2"/>
  <c r="G2015" i="2"/>
  <c r="F2015" i="2"/>
  <c r="E2015" i="2"/>
  <c r="D2015" i="2"/>
  <c r="C2015" i="2"/>
  <c r="B2015" i="2"/>
  <c r="A2015" i="2"/>
  <c r="U2014" i="2"/>
  <c r="N2014" i="2"/>
  <c r="M2014" i="2"/>
  <c r="J2014" i="2"/>
  <c r="I2014" i="2"/>
  <c r="H2014" i="2"/>
  <c r="G2014" i="2"/>
  <c r="F2014" i="2"/>
  <c r="E2014" i="2"/>
  <c r="D2014" i="2"/>
  <c r="C2014" i="2"/>
  <c r="B2014" i="2"/>
  <c r="A2014" i="2"/>
  <c r="U2013" i="2"/>
  <c r="N2013" i="2"/>
  <c r="M2013" i="2"/>
  <c r="J2013" i="2"/>
  <c r="I2013" i="2"/>
  <c r="H2013" i="2"/>
  <c r="G2013" i="2"/>
  <c r="F2013" i="2"/>
  <c r="E2013" i="2"/>
  <c r="D2013" i="2"/>
  <c r="C2013" i="2"/>
  <c r="B2013" i="2"/>
  <c r="A2013" i="2"/>
  <c r="U2012" i="2"/>
  <c r="N2012" i="2"/>
  <c r="M2012" i="2"/>
  <c r="J2012" i="2"/>
  <c r="I2012" i="2"/>
  <c r="H2012" i="2"/>
  <c r="G2012" i="2"/>
  <c r="F2012" i="2"/>
  <c r="E2012" i="2"/>
  <c r="D2012" i="2"/>
  <c r="C2012" i="2"/>
  <c r="B2012" i="2"/>
  <c r="A2012" i="2"/>
  <c r="U2011" i="2"/>
  <c r="N2011" i="2"/>
  <c r="M2011" i="2"/>
  <c r="J2011" i="2"/>
  <c r="I2011" i="2"/>
  <c r="H2011" i="2"/>
  <c r="G2011" i="2"/>
  <c r="F2011" i="2"/>
  <c r="E2011" i="2"/>
  <c r="D2011" i="2"/>
  <c r="C2011" i="2"/>
  <c r="B2011" i="2"/>
  <c r="A2011" i="2"/>
  <c r="U2010" i="2"/>
  <c r="N2010" i="2"/>
  <c r="M2010" i="2"/>
  <c r="J2010" i="2"/>
  <c r="I2010" i="2"/>
  <c r="H2010" i="2"/>
  <c r="G2010" i="2"/>
  <c r="F2010" i="2"/>
  <c r="E2010" i="2"/>
  <c r="D2010" i="2"/>
  <c r="C2010" i="2"/>
  <c r="B2010" i="2"/>
  <c r="A2010" i="2"/>
  <c r="U2009" i="2"/>
  <c r="N2009" i="2"/>
  <c r="M2009" i="2"/>
  <c r="J2009" i="2"/>
  <c r="I2009" i="2"/>
  <c r="H2009" i="2"/>
  <c r="G2009" i="2"/>
  <c r="F2009" i="2"/>
  <c r="E2009" i="2"/>
  <c r="D2009" i="2"/>
  <c r="C2009" i="2"/>
  <c r="B2009" i="2"/>
  <c r="A2009" i="2"/>
  <c r="U2008" i="2"/>
  <c r="N2008" i="2"/>
  <c r="M2008" i="2"/>
  <c r="J2008" i="2"/>
  <c r="I2008" i="2"/>
  <c r="H2008" i="2"/>
  <c r="G2008" i="2"/>
  <c r="F2008" i="2"/>
  <c r="E2008" i="2"/>
  <c r="D2008" i="2"/>
  <c r="C2008" i="2"/>
  <c r="B2008" i="2"/>
  <c r="A2008" i="2"/>
  <c r="U2007" i="2"/>
  <c r="N2007" i="2"/>
  <c r="M2007" i="2"/>
  <c r="J2007" i="2"/>
  <c r="I2007" i="2"/>
  <c r="H2007" i="2"/>
  <c r="G2007" i="2"/>
  <c r="F2007" i="2"/>
  <c r="E2007" i="2"/>
  <c r="D2007" i="2"/>
  <c r="C2007" i="2"/>
  <c r="B2007" i="2"/>
  <c r="A2007" i="2"/>
  <c r="U2006" i="2"/>
  <c r="N2006" i="2"/>
  <c r="M2006" i="2"/>
  <c r="J2006" i="2"/>
  <c r="I2006" i="2"/>
  <c r="H2006" i="2"/>
  <c r="G2006" i="2"/>
  <c r="F2006" i="2"/>
  <c r="E2006" i="2"/>
  <c r="D2006" i="2"/>
  <c r="C2006" i="2"/>
  <c r="B2006" i="2"/>
  <c r="A2006" i="2"/>
  <c r="U2005" i="2"/>
  <c r="N2005" i="2"/>
  <c r="M2005" i="2"/>
  <c r="J2005" i="2"/>
  <c r="I2005" i="2"/>
  <c r="H2005" i="2"/>
  <c r="G2005" i="2"/>
  <c r="F2005" i="2"/>
  <c r="E2005" i="2"/>
  <c r="D2005" i="2"/>
  <c r="C2005" i="2"/>
  <c r="B2005" i="2"/>
  <c r="A2005" i="2"/>
  <c r="U2004" i="2"/>
  <c r="N2004" i="2"/>
  <c r="M2004" i="2"/>
  <c r="J2004" i="2"/>
  <c r="I2004" i="2"/>
  <c r="H2004" i="2"/>
  <c r="G2004" i="2"/>
  <c r="F2004" i="2"/>
  <c r="E2004" i="2"/>
  <c r="D2004" i="2"/>
  <c r="C2004" i="2"/>
  <c r="B2004" i="2"/>
  <c r="A2004" i="2"/>
  <c r="U2003" i="2"/>
  <c r="N2003" i="2"/>
  <c r="M2003" i="2"/>
  <c r="J2003" i="2"/>
  <c r="I2003" i="2"/>
  <c r="H2003" i="2"/>
  <c r="G2003" i="2"/>
  <c r="F2003" i="2"/>
  <c r="E2003" i="2"/>
  <c r="D2003" i="2"/>
  <c r="C2003" i="2"/>
  <c r="B2003" i="2"/>
  <c r="A2003" i="2"/>
  <c r="U2002" i="2"/>
  <c r="N2002" i="2"/>
  <c r="M2002" i="2"/>
  <c r="J2002" i="2"/>
  <c r="I2002" i="2"/>
  <c r="H2002" i="2"/>
  <c r="G2002" i="2"/>
  <c r="F2002" i="2"/>
  <c r="E2002" i="2"/>
  <c r="D2002" i="2"/>
  <c r="C2002" i="2"/>
  <c r="B2002" i="2"/>
  <c r="A2002" i="2"/>
  <c r="U2001" i="2"/>
  <c r="N2001" i="2"/>
  <c r="M2001" i="2"/>
  <c r="J2001" i="2"/>
  <c r="I2001" i="2"/>
  <c r="H2001" i="2"/>
  <c r="G2001" i="2"/>
  <c r="F2001" i="2"/>
  <c r="E2001" i="2"/>
  <c r="D2001" i="2"/>
  <c r="C2001" i="2"/>
  <c r="B2001" i="2"/>
  <c r="A2001" i="2"/>
  <c r="U2000" i="2"/>
  <c r="N2000" i="2"/>
  <c r="M2000" i="2"/>
  <c r="J2000" i="2"/>
  <c r="I2000" i="2"/>
  <c r="H2000" i="2"/>
  <c r="G2000" i="2"/>
  <c r="F2000" i="2"/>
  <c r="E2000" i="2"/>
  <c r="D2000" i="2"/>
  <c r="C2000" i="2"/>
  <c r="B2000" i="2"/>
  <c r="A2000" i="2"/>
  <c r="U1999" i="2"/>
  <c r="N1999" i="2"/>
  <c r="M1999" i="2"/>
  <c r="J1999" i="2"/>
  <c r="I1999" i="2"/>
  <c r="H1999" i="2"/>
  <c r="G1999" i="2"/>
  <c r="F1999" i="2"/>
  <c r="E1999" i="2"/>
  <c r="D1999" i="2"/>
  <c r="C1999" i="2"/>
  <c r="B1999" i="2"/>
  <c r="A1999" i="2"/>
  <c r="U1998" i="2"/>
  <c r="N1998" i="2"/>
  <c r="M1998" i="2"/>
  <c r="J1998" i="2"/>
  <c r="I1998" i="2"/>
  <c r="H1998" i="2"/>
  <c r="G1998" i="2"/>
  <c r="F1998" i="2"/>
  <c r="E1998" i="2"/>
  <c r="D1998" i="2"/>
  <c r="C1998" i="2"/>
  <c r="B1998" i="2"/>
  <c r="A1998" i="2"/>
  <c r="U1997" i="2"/>
  <c r="N1997" i="2"/>
  <c r="M1997" i="2"/>
  <c r="J1997" i="2"/>
  <c r="I1997" i="2"/>
  <c r="H1997" i="2"/>
  <c r="G1997" i="2"/>
  <c r="F1997" i="2"/>
  <c r="E1997" i="2"/>
  <c r="D1997" i="2"/>
  <c r="C1997" i="2"/>
  <c r="B1997" i="2"/>
  <c r="A1997" i="2"/>
  <c r="U1996" i="2"/>
  <c r="N1996" i="2"/>
  <c r="M1996" i="2"/>
  <c r="J1996" i="2"/>
  <c r="I1996" i="2"/>
  <c r="H1996" i="2"/>
  <c r="G1996" i="2"/>
  <c r="F1996" i="2"/>
  <c r="E1996" i="2"/>
  <c r="D1996" i="2"/>
  <c r="C1996" i="2"/>
  <c r="B1996" i="2"/>
  <c r="A1996" i="2"/>
  <c r="U1995" i="2"/>
  <c r="N1995" i="2"/>
  <c r="M1995" i="2"/>
  <c r="J1995" i="2"/>
  <c r="I1995" i="2"/>
  <c r="H1995" i="2"/>
  <c r="G1995" i="2"/>
  <c r="F1995" i="2"/>
  <c r="E1995" i="2"/>
  <c r="D1995" i="2"/>
  <c r="C1995" i="2"/>
  <c r="B1995" i="2"/>
  <c r="A1995" i="2"/>
  <c r="U1994" i="2"/>
  <c r="N1994" i="2"/>
  <c r="M1994" i="2"/>
  <c r="J1994" i="2"/>
  <c r="I1994" i="2"/>
  <c r="H1994" i="2"/>
  <c r="G1994" i="2"/>
  <c r="F1994" i="2"/>
  <c r="E1994" i="2"/>
  <c r="D1994" i="2"/>
  <c r="C1994" i="2"/>
  <c r="B1994" i="2"/>
  <c r="A1994" i="2"/>
  <c r="U1993" i="2"/>
  <c r="N1993" i="2"/>
  <c r="M1993" i="2"/>
  <c r="J1993" i="2"/>
  <c r="I1993" i="2"/>
  <c r="H1993" i="2"/>
  <c r="G1993" i="2"/>
  <c r="F1993" i="2"/>
  <c r="E1993" i="2"/>
  <c r="D1993" i="2"/>
  <c r="C1993" i="2"/>
  <c r="B1993" i="2"/>
  <c r="A1993" i="2"/>
  <c r="U1992" i="2"/>
  <c r="N1992" i="2"/>
  <c r="M1992" i="2"/>
  <c r="J1992" i="2"/>
  <c r="I1992" i="2"/>
  <c r="H1992" i="2"/>
  <c r="G1992" i="2"/>
  <c r="F1992" i="2"/>
  <c r="E1992" i="2"/>
  <c r="D1992" i="2"/>
  <c r="C1992" i="2"/>
  <c r="B1992" i="2"/>
  <c r="A1992" i="2"/>
  <c r="U1991" i="2"/>
  <c r="N1991" i="2"/>
  <c r="M1991" i="2"/>
  <c r="J1991" i="2"/>
  <c r="I1991" i="2"/>
  <c r="H1991" i="2"/>
  <c r="G1991" i="2"/>
  <c r="F1991" i="2"/>
  <c r="E1991" i="2"/>
  <c r="D1991" i="2"/>
  <c r="C1991" i="2"/>
  <c r="B1991" i="2"/>
  <c r="A1991" i="2"/>
  <c r="U1990" i="2"/>
  <c r="N1990" i="2"/>
  <c r="M1990" i="2"/>
  <c r="J1990" i="2"/>
  <c r="I1990" i="2"/>
  <c r="H1990" i="2"/>
  <c r="G1990" i="2"/>
  <c r="F1990" i="2"/>
  <c r="E1990" i="2"/>
  <c r="D1990" i="2"/>
  <c r="C1990" i="2"/>
  <c r="B1990" i="2"/>
  <c r="A1990" i="2"/>
  <c r="U1989" i="2"/>
  <c r="N1989" i="2"/>
  <c r="M1989" i="2"/>
  <c r="J1989" i="2"/>
  <c r="I1989" i="2"/>
  <c r="H1989" i="2"/>
  <c r="G1989" i="2"/>
  <c r="F1989" i="2"/>
  <c r="E1989" i="2"/>
  <c r="D1989" i="2"/>
  <c r="C1989" i="2"/>
  <c r="B1989" i="2"/>
  <c r="A1989" i="2"/>
  <c r="U1988" i="2"/>
  <c r="N1988" i="2"/>
  <c r="M1988" i="2"/>
  <c r="J1988" i="2"/>
  <c r="I1988" i="2"/>
  <c r="H1988" i="2"/>
  <c r="G1988" i="2"/>
  <c r="F1988" i="2"/>
  <c r="E1988" i="2"/>
  <c r="D1988" i="2"/>
  <c r="C1988" i="2"/>
  <c r="B1988" i="2"/>
  <c r="A1988" i="2"/>
  <c r="U1987" i="2"/>
  <c r="N1987" i="2"/>
  <c r="M1987" i="2"/>
  <c r="J1987" i="2"/>
  <c r="I1987" i="2"/>
  <c r="H1987" i="2"/>
  <c r="G1987" i="2"/>
  <c r="F1987" i="2"/>
  <c r="E1987" i="2"/>
  <c r="D1987" i="2"/>
  <c r="C1987" i="2"/>
  <c r="B1987" i="2"/>
  <c r="A1987" i="2"/>
  <c r="U1986" i="2"/>
  <c r="N1986" i="2"/>
  <c r="M1986" i="2"/>
  <c r="J1986" i="2"/>
  <c r="I1986" i="2"/>
  <c r="H1986" i="2"/>
  <c r="G1986" i="2"/>
  <c r="F1986" i="2"/>
  <c r="E1986" i="2"/>
  <c r="D1986" i="2"/>
  <c r="C1986" i="2"/>
  <c r="B1986" i="2"/>
  <c r="A1986" i="2"/>
  <c r="U1985" i="2"/>
  <c r="N1985" i="2"/>
  <c r="M1985" i="2"/>
  <c r="J1985" i="2"/>
  <c r="I1985" i="2"/>
  <c r="H1985" i="2"/>
  <c r="G1985" i="2"/>
  <c r="F1985" i="2"/>
  <c r="E1985" i="2"/>
  <c r="D1985" i="2"/>
  <c r="C1985" i="2"/>
  <c r="B1985" i="2"/>
  <c r="A1985" i="2"/>
  <c r="U1984" i="2"/>
  <c r="N1984" i="2"/>
  <c r="M1984" i="2"/>
  <c r="J1984" i="2"/>
  <c r="I1984" i="2"/>
  <c r="H1984" i="2"/>
  <c r="G1984" i="2"/>
  <c r="F1984" i="2"/>
  <c r="E1984" i="2"/>
  <c r="D1984" i="2"/>
  <c r="C1984" i="2"/>
  <c r="B1984" i="2"/>
  <c r="A1984" i="2"/>
  <c r="U1983" i="2"/>
  <c r="N1983" i="2"/>
  <c r="M1983" i="2"/>
  <c r="J1983" i="2"/>
  <c r="I1983" i="2"/>
  <c r="H1983" i="2"/>
  <c r="G1983" i="2"/>
  <c r="F1983" i="2"/>
  <c r="E1983" i="2"/>
  <c r="D1983" i="2"/>
  <c r="C1983" i="2"/>
  <c r="B1983" i="2"/>
  <c r="A1983" i="2"/>
  <c r="U1982" i="2"/>
  <c r="N1982" i="2"/>
  <c r="M1982" i="2"/>
  <c r="J1982" i="2"/>
  <c r="I1982" i="2"/>
  <c r="H1982" i="2"/>
  <c r="G1982" i="2"/>
  <c r="F1982" i="2"/>
  <c r="E1982" i="2"/>
  <c r="D1982" i="2"/>
  <c r="C1982" i="2"/>
  <c r="B1982" i="2"/>
  <c r="A1982" i="2"/>
  <c r="U1981" i="2"/>
  <c r="N1981" i="2"/>
  <c r="M1981" i="2"/>
  <c r="J1981" i="2"/>
  <c r="I1981" i="2"/>
  <c r="H1981" i="2"/>
  <c r="G1981" i="2"/>
  <c r="F1981" i="2"/>
  <c r="E1981" i="2"/>
  <c r="D1981" i="2"/>
  <c r="C1981" i="2"/>
  <c r="B1981" i="2"/>
  <c r="A1981" i="2"/>
  <c r="U1980" i="2"/>
  <c r="N1980" i="2"/>
  <c r="M1980" i="2"/>
  <c r="J1980" i="2"/>
  <c r="I1980" i="2"/>
  <c r="H1980" i="2"/>
  <c r="G1980" i="2"/>
  <c r="F1980" i="2"/>
  <c r="E1980" i="2"/>
  <c r="D1980" i="2"/>
  <c r="C1980" i="2"/>
  <c r="B1980" i="2"/>
  <c r="A1980" i="2"/>
  <c r="U1979" i="2"/>
  <c r="N1979" i="2"/>
  <c r="M1979" i="2"/>
  <c r="J1979" i="2"/>
  <c r="I1979" i="2"/>
  <c r="H1979" i="2"/>
  <c r="G1979" i="2"/>
  <c r="F1979" i="2"/>
  <c r="E1979" i="2"/>
  <c r="D1979" i="2"/>
  <c r="C1979" i="2"/>
  <c r="B1979" i="2"/>
  <c r="A1979" i="2"/>
  <c r="U1978" i="2"/>
  <c r="N1978" i="2"/>
  <c r="M1978" i="2"/>
  <c r="J1978" i="2"/>
  <c r="I1978" i="2"/>
  <c r="H1978" i="2"/>
  <c r="G1978" i="2"/>
  <c r="F1978" i="2"/>
  <c r="E1978" i="2"/>
  <c r="D1978" i="2"/>
  <c r="C1978" i="2"/>
  <c r="B1978" i="2"/>
  <c r="A1978" i="2"/>
  <c r="U1977" i="2"/>
  <c r="N1977" i="2"/>
  <c r="M1977" i="2"/>
  <c r="J1977" i="2"/>
  <c r="I1977" i="2"/>
  <c r="H1977" i="2"/>
  <c r="G1977" i="2"/>
  <c r="F1977" i="2"/>
  <c r="E1977" i="2"/>
  <c r="D1977" i="2"/>
  <c r="C1977" i="2"/>
  <c r="B1977" i="2"/>
  <c r="A1977" i="2"/>
  <c r="U1976" i="2"/>
  <c r="N1976" i="2"/>
  <c r="M1976" i="2"/>
  <c r="J1976" i="2"/>
  <c r="I1976" i="2"/>
  <c r="H1976" i="2"/>
  <c r="G1976" i="2"/>
  <c r="F1976" i="2"/>
  <c r="E1976" i="2"/>
  <c r="D1976" i="2"/>
  <c r="C1976" i="2"/>
  <c r="B1976" i="2"/>
  <c r="A1976" i="2"/>
  <c r="U1975" i="2"/>
  <c r="N1975" i="2"/>
  <c r="M1975" i="2"/>
  <c r="J1975" i="2"/>
  <c r="I1975" i="2"/>
  <c r="H1975" i="2"/>
  <c r="G1975" i="2"/>
  <c r="F1975" i="2"/>
  <c r="E1975" i="2"/>
  <c r="D1975" i="2"/>
  <c r="C1975" i="2"/>
  <c r="B1975" i="2"/>
  <c r="A1975" i="2"/>
  <c r="U1974" i="2"/>
  <c r="N1974" i="2"/>
  <c r="M1974" i="2"/>
  <c r="J1974" i="2"/>
  <c r="I1974" i="2"/>
  <c r="H1974" i="2"/>
  <c r="G1974" i="2"/>
  <c r="F1974" i="2"/>
  <c r="E1974" i="2"/>
  <c r="D1974" i="2"/>
  <c r="C1974" i="2"/>
  <c r="B1974" i="2"/>
  <c r="A1974" i="2"/>
  <c r="U1973" i="2"/>
  <c r="N1973" i="2"/>
  <c r="M1973" i="2"/>
  <c r="J1973" i="2"/>
  <c r="I1973" i="2"/>
  <c r="H1973" i="2"/>
  <c r="G1973" i="2"/>
  <c r="F1973" i="2"/>
  <c r="E1973" i="2"/>
  <c r="D1973" i="2"/>
  <c r="C1973" i="2"/>
  <c r="B1973" i="2"/>
  <c r="A1973" i="2"/>
  <c r="U1972" i="2"/>
  <c r="N1972" i="2"/>
  <c r="M1972" i="2"/>
  <c r="J1972" i="2"/>
  <c r="I1972" i="2"/>
  <c r="H1972" i="2"/>
  <c r="G1972" i="2"/>
  <c r="F1972" i="2"/>
  <c r="E1972" i="2"/>
  <c r="D1972" i="2"/>
  <c r="C1972" i="2"/>
  <c r="B1972" i="2"/>
  <c r="A1972" i="2"/>
  <c r="U1971" i="2"/>
  <c r="N1971" i="2"/>
  <c r="M1971" i="2"/>
  <c r="J1971" i="2"/>
  <c r="I1971" i="2"/>
  <c r="H1971" i="2"/>
  <c r="G1971" i="2"/>
  <c r="F1971" i="2"/>
  <c r="E1971" i="2"/>
  <c r="D1971" i="2"/>
  <c r="C1971" i="2"/>
  <c r="B1971" i="2"/>
  <c r="A1971" i="2"/>
  <c r="U1970" i="2"/>
  <c r="N1970" i="2"/>
  <c r="M1970" i="2"/>
  <c r="J1970" i="2"/>
  <c r="I1970" i="2"/>
  <c r="H1970" i="2"/>
  <c r="G1970" i="2"/>
  <c r="F1970" i="2"/>
  <c r="E1970" i="2"/>
  <c r="D1970" i="2"/>
  <c r="C1970" i="2"/>
  <c r="B1970" i="2"/>
  <c r="A1970" i="2"/>
  <c r="U1969" i="2"/>
  <c r="N1969" i="2"/>
  <c r="M1969" i="2"/>
  <c r="J1969" i="2"/>
  <c r="I1969" i="2"/>
  <c r="H1969" i="2"/>
  <c r="G1969" i="2"/>
  <c r="F1969" i="2"/>
  <c r="E1969" i="2"/>
  <c r="D1969" i="2"/>
  <c r="C1969" i="2"/>
  <c r="B1969" i="2"/>
  <c r="A1969" i="2"/>
  <c r="U1968" i="2"/>
  <c r="N1968" i="2"/>
  <c r="M1968" i="2"/>
  <c r="J1968" i="2"/>
  <c r="I1968" i="2"/>
  <c r="H1968" i="2"/>
  <c r="G1968" i="2"/>
  <c r="F1968" i="2"/>
  <c r="E1968" i="2"/>
  <c r="D1968" i="2"/>
  <c r="C1968" i="2"/>
  <c r="B1968" i="2"/>
  <c r="A1968" i="2"/>
  <c r="U1967" i="2"/>
  <c r="N1967" i="2"/>
  <c r="M1967" i="2"/>
  <c r="J1967" i="2"/>
  <c r="I1967" i="2"/>
  <c r="H1967" i="2"/>
  <c r="G1967" i="2"/>
  <c r="F1967" i="2"/>
  <c r="E1967" i="2"/>
  <c r="D1967" i="2"/>
  <c r="C1967" i="2"/>
  <c r="B1967" i="2"/>
  <c r="A1967" i="2"/>
  <c r="U1966" i="2"/>
  <c r="N1966" i="2"/>
  <c r="M1966" i="2"/>
  <c r="J1966" i="2"/>
  <c r="I1966" i="2"/>
  <c r="H1966" i="2"/>
  <c r="G1966" i="2"/>
  <c r="F1966" i="2"/>
  <c r="E1966" i="2"/>
  <c r="D1966" i="2"/>
  <c r="C1966" i="2"/>
  <c r="B1966" i="2"/>
  <c r="A1966" i="2"/>
  <c r="Q1965" i="2"/>
  <c r="U1965" i="2" s="1"/>
  <c r="N1965" i="2"/>
  <c r="M1965" i="2"/>
  <c r="J1965" i="2"/>
  <c r="I1965" i="2"/>
  <c r="H1965" i="2"/>
  <c r="G1965" i="2"/>
  <c r="F1965" i="2"/>
  <c r="E1965" i="2"/>
  <c r="D1965" i="2"/>
  <c r="C1965" i="2"/>
  <c r="B1965" i="2"/>
  <c r="A1965" i="2"/>
  <c r="Q1964" i="2"/>
  <c r="U1964" i="2" s="1"/>
  <c r="N1964" i="2"/>
  <c r="M1964" i="2"/>
  <c r="J1964" i="2"/>
  <c r="I1964" i="2"/>
  <c r="H1964" i="2"/>
  <c r="G1964" i="2"/>
  <c r="F1964" i="2"/>
  <c r="E1964" i="2"/>
  <c r="D1964" i="2"/>
  <c r="C1964" i="2"/>
  <c r="B1964" i="2"/>
  <c r="A1964" i="2"/>
  <c r="Q1963" i="2"/>
  <c r="U1963" i="2" s="1"/>
  <c r="N1963" i="2"/>
  <c r="M1963" i="2"/>
  <c r="J1963" i="2"/>
  <c r="I1963" i="2"/>
  <c r="H1963" i="2"/>
  <c r="G1963" i="2"/>
  <c r="F1963" i="2"/>
  <c r="E1963" i="2"/>
  <c r="D1963" i="2"/>
  <c r="C1963" i="2"/>
  <c r="B1963" i="2"/>
  <c r="A1963" i="2"/>
  <c r="Q1962" i="2"/>
  <c r="U1962" i="2" s="1"/>
  <c r="N1962" i="2"/>
  <c r="M1962" i="2"/>
  <c r="J1962" i="2"/>
  <c r="I1962" i="2"/>
  <c r="H1962" i="2"/>
  <c r="G1962" i="2"/>
  <c r="F1962" i="2"/>
  <c r="E1962" i="2"/>
  <c r="D1962" i="2"/>
  <c r="C1962" i="2"/>
  <c r="B1962" i="2"/>
  <c r="A1962" i="2"/>
  <c r="Q1961" i="2"/>
  <c r="U1961" i="2" s="1"/>
  <c r="N1961" i="2"/>
  <c r="M1961" i="2"/>
  <c r="J1961" i="2"/>
  <c r="I1961" i="2"/>
  <c r="H1961" i="2"/>
  <c r="G1961" i="2"/>
  <c r="F1961" i="2"/>
  <c r="E1961" i="2"/>
  <c r="D1961" i="2"/>
  <c r="C1961" i="2"/>
  <c r="B1961" i="2"/>
  <c r="A1961" i="2"/>
  <c r="Q1960" i="2"/>
  <c r="U1960" i="2" s="1"/>
  <c r="N1960" i="2"/>
  <c r="M1960" i="2"/>
  <c r="J1960" i="2"/>
  <c r="I1960" i="2"/>
  <c r="H1960" i="2"/>
  <c r="G1960" i="2"/>
  <c r="F1960" i="2"/>
  <c r="E1960" i="2"/>
  <c r="D1960" i="2"/>
  <c r="C1960" i="2"/>
  <c r="B1960" i="2"/>
  <c r="A1960" i="2"/>
  <c r="Q1959" i="2"/>
  <c r="U1959" i="2" s="1"/>
  <c r="N1959" i="2"/>
  <c r="M1959" i="2"/>
  <c r="J1959" i="2"/>
  <c r="I1959" i="2"/>
  <c r="H1959" i="2"/>
  <c r="G1959" i="2"/>
  <c r="F1959" i="2"/>
  <c r="E1959" i="2"/>
  <c r="D1959" i="2"/>
  <c r="C1959" i="2"/>
  <c r="B1959" i="2"/>
  <c r="A1959" i="2"/>
  <c r="Q1958" i="2"/>
  <c r="U1958" i="2" s="1"/>
  <c r="N1958" i="2"/>
  <c r="M1958" i="2"/>
  <c r="J1958" i="2"/>
  <c r="I1958" i="2"/>
  <c r="H1958" i="2"/>
  <c r="G1958" i="2"/>
  <c r="F1958" i="2"/>
  <c r="E1958" i="2"/>
  <c r="D1958" i="2"/>
  <c r="C1958" i="2"/>
  <c r="B1958" i="2"/>
  <c r="A1958" i="2"/>
  <c r="Q1957" i="2"/>
  <c r="U1957" i="2" s="1"/>
  <c r="N1957" i="2"/>
  <c r="M1957" i="2"/>
  <c r="J1957" i="2"/>
  <c r="I1957" i="2"/>
  <c r="H1957" i="2"/>
  <c r="G1957" i="2"/>
  <c r="F1957" i="2"/>
  <c r="E1957" i="2"/>
  <c r="D1957" i="2"/>
  <c r="C1957" i="2"/>
  <c r="B1957" i="2"/>
  <c r="A1957" i="2"/>
  <c r="Q1956" i="2"/>
  <c r="U1956" i="2" s="1"/>
  <c r="N1956" i="2"/>
  <c r="M1956" i="2"/>
  <c r="J1956" i="2"/>
  <c r="I1956" i="2"/>
  <c r="H1956" i="2"/>
  <c r="G1956" i="2"/>
  <c r="F1956" i="2"/>
  <c r="E1956" i="2"/>
  <c r="D1956" i="2"/>
  <c r="C1956" i="2"/>
  <c r="B1956" i="2"/>
  <c r="A1956" i="2"/>
  <c r="Q1955" i="2"/>
  <c r="U1955" i="2" s="1"/>
  <c r="N1955" i="2"/>
  <c r="M1955" i="2"/>
  <c r="J1955" i="2"/>
  <c r="I1955" i="2"/>
  <c r="H1955" i="2"/>
  <c r="G1955" i="2"/>
  <c r="F1955" i="2"/>
  <c r="E1955" i="2"/>
  <c r="D1955" i="2"/>
  <c r="C1955" i="2"/>
  <c r="B1955" i="2"/>
  <c r="A1955" i="2"/>
  <c r="Q1954" i="2"/>
  <c r="U1954" i="2" s="1"/>
  <c r="N1954" i="2"/>
  <c r="M1954" i="2"/>
  <c r="J1954" i="2"/>
  <c r="I1954" i="2"/>
  <c r="H1954" i="2"/>
  <c r="G1954" i="2"/>
  <c r="F1954" i="2"/>
  <c r="E1954" i="2"/>
  <c r="D1954" i="2"/>
  <c r="C1954" i="2"/>
  <c r="B1954" i="2"/>
  <c r="A1954" i="2"/>
  <c r="Q1953" i="2"/>
  <c r="U1953" i="2" s="1"/>
  <c r="N1953" i="2"/>
  <c r="M1953" i="2"/>
  <c r="J1953" i="2"/>
  <c r="I1953" i="2"/>
  <c r="H1953" i="2"/>
  <c r="G1953" i="2"/>
  <c r="F1953" i="2"/>
  <c r="E1953" i="2"/>
  <c r="D1953" i="2"/>
  <c r="C1953" i="2"/>
  <c r="B1953" i="2"/>
  <c r="A1953" i="2"/>
  <c r="Q1952" i="2"/>
  <c r="U1952" i="2" s="1"/>
  <c r="N1952" i="2"/>
  <c r="M1952" i="2"/>
  <c r="J1952" i="2"/>
  <c r="I1952" i="2"/>
  <c r="H1952" i="2"/>
  <c r="G1952" i="2"/>
  <c r="F1952" i="2"/>
  <c r="E1952" i="2"/>
  <c r="D1952" i="2"/>
  <c r="C1952" i="2"/>
  <c r="B1952" i="2"/>
  <c r="A1952" i="2"/>
  <c r="Q1951" i="2"/>
  <c r="U1951" i="2" s="1"/>
  <c r="N1951" i="2"/>
  <c r="M1951" i="2"/>
  <c r="J1951" i="2"/>
  <c r="I1951" i="2"/>
  <c r="H1951" i="2"/>
  <c r="G1951" i="2"/>
  <c r="F1951" i="2"/>
  <c r="E1951" i="2"/>
  <c r="D1951" i="2"/>
  <c r="C1951" i="2"/>
  <c r="B1951" i="2"/>
  <c r="A1951" i="2"/>
  <c r="Q1950" i="2"/>
  <c r="U1950" i="2" s="1"/>
  <c r="N1950" i="2"/>
  <c r="M1950" i="2"/>
  <c r="J1950" i="2"/>
  <c r="I1950" i="2"/>
  <c r="H1950" i="2"/>
  <c r="G1950" i="2"/>
  <c r="F1950" i="2"/>
  <c r="E1950" i="2"/>
  <c r="D1950" i="2"/>
  <c r="C1950" i="2"/>
  <c r="B1950" i="2"/>
  <c r="A1950" i="2"/>
  <c r="Q1949" i="2"/>
  <c r="U1949" i="2" s="1"/>
  <c r="N1949" i="2"/>
  <c r="M1949" i="2"/>
  <c r="J1949" i="2"/>
  <c r="I1949" i="2"/>
  <c r="H1949" i="2"/>
  <c r="G1949" i="2"/>
  <c r="F1949" i="2"/>
  <c r="E1949" i="2"/>
  <c r="D1949" i="2"/>
  <c r="C1949" i="2"/>
  <c r="B1949" i="2"/>
  <c r="A1949" i="2"/>
  <c r="Q1948" i="2"/>
  <c r="U1948" i="2" s="1"/>
  <c r="N1948" i="2"/>
  <c r="M1948" i="2"/>
  <c r="J1948" i="2"/>
  <c r="I1948" i="2"/>
  <c r="H1948" i="2"/>
  <c r="G1948" i="2"/>
  <c r="F1948" i="2"/>
  <c r="E1948" i="2"/>
  <c r="D1948" i="2"/>
  <c r="C1948" i="2"/>
  <c r="B1948" i="2"/>
  <c r="A1948" i="2"/>
  <c r="Q1947" i="2"/>
  <c r="U1947" i="2" s="1"/>
  <c r="N1947" i="2"/>
  <c r="M1947" i="2"/>
  <c r="J1947" i="2"/>
  <c r="I1947" i="2"/>
  <c r="H1947" i="2"/>
  <c r="G1947" i="2"/>
  <c r="F1947" i="2"/>
  <c r="E1947" i="2"/>
  <c r="D1947" i="2"/>
  <c r="C1947" i="2"/>
  <c r="B1947" i="2"/>
  <c r="A1947" i="2"/>
  <c r="Q1946" i="2"/>
  <c r="U1946" i="2" s="1"/>
  <c r="N1946" i="2"/>
  <c r="M1946" i="2"/>
  <c r="J1946" i="2"/>
  <c r="I1946" i="2"/>
  <c r="H1946" i="2"/>
  <c r="G1946" i="2"/>
  <c r="F1946" i="2"/>
  <c r="E1946" i="2"/>
  <c r="D1946" i="2"/>
  <c r="C1946" i="2"/>
  <c r="B1946" i="2"/>
  <c r="A1946" i="2"/>
  <c r="Q1945" i="2"/>
  <c r="U1945" i="2" s="1"/>
  <c r="N1945" i="2"/>
  <c r="M1945" i="2"/>
  <c r="J1945" i="2"/>
  <c r="I1945" i="2"/>
  <c r="H1945" i="2"/>
  <c r="G1945" i="2"/>
  <c r="F1945" i="2"/>
  <c r="E1945" i="2"/>
  <c r="D1945" i="2"/>
  <c r="C1945" i="2"/>
  <c r="B1945" i="2"/>
  <c r="A1945" i="2"/>
  <c r="Q1944" i="2"/>
  <c r="U1944" i="2" s="1"/>
  <c r="N1944" i="2"/>
  <c r="M1944" i="2"/>
  <c r="J1944" i="2"/>
  <c r="I1944" i="2"/>
  <c r="H1944" i="2"/>
  <c r="G1944" i="2"/>
  <c r="F1944" i="2"/>
  <c r="E1944" i="2"/>
  <c r="D1944" i="2"/>
  <c r="C1944" i="2"/>
  <c r="B1944" i="2"/>
  <c r="A1944" i="2"/>
  <c r="Q1943" i="2"/>
  <c r="U1943" i="2" s="1"/>
  <c r="N1943" i="2"/>
  <c r="M1943" i="2"/>
  <c r="J1943" i="2"/>
  <c r="I1943" i="2"/>
  <c r="H1943" i="2"/>
  <c r="G1943" i="2"/>
  <c r="F1943" i="2"/>
  <c r="E1943" i="2"/>
  <c r="D1943" i="2"/>
  <c r="C1943" i="2"/>
  <c r="B1943" i="2"/>
  <c r="A1943" i="2"/>
  <c r="Q1942" i="2"/>
  <c r="U1942" i="2" s="1"/>
  <c r="N1942" i="2"/>
  <c r="M1942" i="2"/>
  <c r="J1942" i="2"/>
  <c r="I1942" i="2"/>
  <c r="H1942" i="2"/>
  <c r="G1942" i="2"/>
  <c r="F1942" i="2"/>
  <c r="E1942" i="2"/>
  <c r="D1942" i="2"/>
  <c r="C1942" i="2"/>
  <c r="B1942" i="2"/>
  <c r="A1942" i="2"/>
  <c r="Q1941" i="2"/>
  <c r="U1941" i="2" s="1"/>
  <c r="N1941" i="2"/>
  <c r="M1941" i="2"/>
  <c r="J1941" i="2"/>
  <c r="I1941" i="2"/>
  <c r="H1941" i="2"/>
  <c r="G1941" i="2"/>
  <c r="F1941" i="2"/>
  <c r="E1941" i="2"/>
  <c r="D1941" i="2"/>
  <c r="C1941" i="2"/>
  <c r="B1941" i="2"/>
  <c r="A1941" i="2"/>
  <c r="Q1940" i="2"/>
  <c r="U1940" i="2" s="1"/>
  <c r="N1940" i="2"/>
  <c r="M1940" i="2"/>
  <c r="J1940" i="2"/>
  <c r="I1940" i="2"/>
  <c r="H1940" i="2"/>
  <c r="G1940" i="2"/>
  <c r="F1940" i="2"/>
  <c r="E1940" i="2"/>
  <c r="D1940" i="2"/>
  <c r="C1940" i="2"/>
  <c r="B1940" i="2"/>
  <c r="A1940" i="2"/>
  <c r="Q1939" i="2"/>
  <c r="U1939" i="2" s="1"/>
  <c r="N1939" i="2"/>
  <c r="M1939" i="2"/>
  <c r="J1939" i="2"/>
  <c r="I1939" i="2"/>
  <c r="H1939" i="2"/>
  <c r="G1939" i="2"/>
  <c r="F1939" i="2"/>
  <c r="E1939" i="2"/>
  <c r="D1939" i="2"/>
  <c r="C1939" i="2"/>
  <c r="B1939" i="2"/>
  <c r="A1939" i="2"/>
  <c r="Q1938" i="2"/>
  <c r="U1938" i="2" s="1"/>
  <c r="N1938" i="2"/>
  <c r="M1938" i="2"/>
  <c r="J1938" i="2"/>
  <c r="I1938" i="2"/>
  <c r="H1938" i="2"/>
  <c r="G1938" i="2"/>
  <c r="F1938" i="2"/>
  <c r="E1938" i="2"/>
  <c r="D1938" i="2"/>
  <c r="C1938" i="2"/>
  <c r="B1938" i="2"/>
  <c r="A1938" i="2"/>
  <c r="Q1937" i="2"/>
  <c r="U1937" i="2" s="1"/>
  <c r="N1937" i="2"/>
  <c r="M1937" i="2"/>
  <c r="J1937" i="2"/>
  <c r="I1937" i="2"/>
  <c r="H1937" i="2"/>
  <c r="G1937" i="2"/>
  <c r="F1937" i="2"/>
  <c r="E1937" i="2"/>
  <c r="D1937" i="2"/>
  <c r="C1937" i="2"/>
  <c r="B1937" i="2"/>
  <c r="A1937" i="2"/>
  <c r="Q1936" i="2"/>
  <c r="U1936" i="2" s="1"/>
  <c r="N1936" i="2"/>
  <c r="M1936" i="2"/>
  <c r="J1936" i="2"/>
  <c r="I1936" i="2"/>
  <c r="H1936" i="2"/>
  <c r="G1936" i="2"/>
  <c r="F1936" i="2"/>
  <c r="E1936" i="2"/>
  <c r="D1936" i="2"/>
  <c r="C1936" i="2"/>
  <c r="B1936" i="2"/>
  <c r="A1936" i="2"/>
  <c r="Q1935" i="2"/>
  <c r="U1935" i="2" s="1"/>
  <c r="N1935" i="2"/>
  <c r="M1935" i="2"/>
  <c r="J1935" i="2"/>
  <c r="I1935" i="2"/>
  <c r="H1935" i="2"/>
  <c r="G1935" i="2"/>
  <c r="F1935" i="2"/>
  <c r="E1935" i="2"/>
  <c r="D1935" i="2"/>
  <c r="C1935" i="2"/>
  <c r="B1935" i="2"/>
  <c r="A1935" i="2"/>
  <c r="Q1934" i="2"/>
  <c r="U1934" i="2" s="1"/>
  <c r="N1934" i="2"/>
  <c r="M1934" i="2"/>
  <c r="J1934" i="2"/>
  <c r="I1934" i="2"/>
  <c r="H1934" i="2"/>
  <c r="G1934" i="2"/>
  <c r="F1934" i="2"/>
  <c r="E1934" i="2"/>
  <c r="D1934" i="2"/>
  <c r="C1934" i="2"/>
  <c r="B1934" i="2"/>
  <c r="A1934" i="2"/>
  <c r="Q1933" i="2"/>
  <c r="U1933" i="2" s="1"/>
  <c r="N1933" i="2"/>
  <c r="M1933" i="2"/>
  <c r="J1933" i="2"/>
  <c r="I1933" i="2"/>
  <c r="H1933" i="2"/>
  <c r="G1933" i="2"/>
  <c r="F1933" i="2"/>
  <c r="E1933" i="2"/>
  <c r="D1933" i="2"/>
  <c r="C1933" i="2"/>
  <c r="B1933" i="2"/>
  <c r="A1933" i="2"/>
  <c r="Q1932" i="2"/>
  <c r="U1932" i="2" s="1"/>
  <c r="N1932" i="2"/>
  <c r="M1932" i="2"/>
  <c r="J1932" i="2"/>
  <c r="I1932" i="2"/>
  <c r="H1932" i="2"/>
  <c r="G1932" i="2"/>
  <c r="F1932" i="2"/>
  <c r="E1932" i="2"/>
  <c r="D1932" i="2"/>
  <c r="C1932" i="2"/>
  <c r="B1932" i="2"/>
  <c r="A1932" i="2"/>
  <c r="Q1931" i="2"/>
  <c r="U1931" i="2" s="1"/>
  <c r="N1931" i="2"/>
  <c r="M1931" i="2"/>
  <c r="J1931" i="2"/>
  <c r="I1931" i="2"/>
  <c r="H1931" i="2"/>
  <c r="G1931" i="2"/>
  <c r="F1931" i="2"/>
  <c r="E1931" i="2"/>
  <c r="D1931" i="2"/>
  <c r="C1931" i="2"/>
  <c r="B1931" i="2"/>
  <c r="A1931" i="2"/>
  <c r="Q1930" i="2"/>
  <c r="U1930" i="2" s="1"/>
  <c r="N1930" i="2"/>
  <c r="M1930" i="2"/>
  <c r="J1930" i="2"/>
  <c r="I1930" i="2"/>
  <c r="H1930" i="2"/>
  <c r="G1930" i="2"/>
  <c r="F1930" i="2"/>
  <c r="E1930" i="2"/>
  <c r="D1930" i="2"/>
  <c r="C1930" i="2"/>
  <c r="B1930" i="2"/>
  <c r="A1930" i="2"/>
  <c r="Q1929" i="2"/>
  <c r="U1929" i="2" s="1"/>
  <c r="N1929" i="2"/>
  <c r="M1929" i="2"/>
  <c r="J1929" i="2"/>
  <c r="I1929" i="2"/>
  <c r="H1929" i="2"/>
  <c r="G1929" i="2"/>
  <c r="F1929" i="2"/>
  <c r="E1929" i="2"/>
  <c r="D1929" i="2"/>
  <c r="C1929" i="2"/>
  <c r="B1929" i="2"/>
  <c r="A1929" i="2"/>
  <c r="Q1928" i="2"/>
  <c r="U1928" i="2" s="1"/>
  <c r="N1928" i="2"/>
  <c r="M1928" i="2"/>
  <c r="J1928" i="2"/>
  <c r="I1928" i="2"/>
  <c r="H1928" i="2"/>
  <c r="G1928" i="2"/>
  <c r="F1928" i="2"/>
  <c r="E1928" i="2"/>
  <c r="D1928" i="2"/>
  <c r="C1928" i="2"/>
  <c r="B1928" i="2"/>
  <c r="A1928" i="2"/>
  <c r="Q1927" i="2"/>
  <c r="U1927" i="2" s="1"/>
  <c r="N1927" i="2"/>
  <c r="M1927" i="2"/>
  <c r="J1927" i="2"/>
  <c r="I1927" i="2"/>
  <c r="H1927" i="2"/>
  <c r="G1927" i="2"/>
  <c r="F1927" i="2"/>
  <c r="E1927" i="2"/>
  <c r="D1927" i="2"/>
  <c r="C1927" i="2"/>
  <c r="B1927" i="2"/>
  <c r="A1927" i="2"/>
  <c r="Q1926" i="2"/>
  <c r="U1926" i="2" s="1"/>
  <c r="N1926" i="2"/>
  <c r="M1926" i="2"/>
  <c r="J1926" i="2"/>
  <c r="I1926" i="2"/>
  <c r="H1926" i="2"/>
  <c r="G1926" i="2"/>
  <c r="F1926" i="2"/>
  <c r="E1926" i="2"/>
  <c r="D1926" i="2"/>
  <c r="C1926" i="2"/>
  <c r="B1926" i="2"/>
  <c r="A1926" i="2"/>
  <c r="Q1925" i="2"/>
  <c r="U1925" i="2" s="1"/>
  <c r="N1925" i="2"/>
  <c r="M1925" i="2"/>
  <c r="J1925" i="2"/>
  <c r="I1925" i="2"/>
  <c r="H1925" i="2"/>
  <c r="G1925" i="2"/>
  <c r="F1925" i="2"/>
  <c r="E1925" i="2"/>
  <c r="D1925" i="2"/>
  <c r="C1925" i="2"/>
  <c r="B1925" i="2"/>
  <c r="A1925" i="2"/>
  <c r="Q1924" i="2"/>
  <c r="U1924" i="2" s="1"/>
  <c r="N1924" i="2"/>
  <c r="M1924" i="2"/>
  <c r="J1924" i="2"/>
  <c r="I1924" i="2"/>
  <c r="H1924" i="2"/>
  <c r="G1924" i="2"/>
  <c r="F1924" i="2"/>
  <c r="E1924" i="2"/>
  <c r="D1924" i="2"/>
  <c r="C1924" i="2"/>
  <c r="B1924" i="2"/>
  <c r="A1924" i="2"/>
  <c r="Q1923" i="2"/>
  <c r="U1923" i="2" s="1"/>
  <c r="N1923" i="2"/>
  <c r="M1923" i="2"/>
  <c r="J1923" i="2"/>
  <c r="I1923" i="2"/>
  <c r="H1923" i="2"/>
  <c r="G1923" i="2"/>
  <c r="F1923" i="2"/>
  <c r="E1923" i="2"/>
  <c r="D1923" i="2"/>
  <c r="C1923" i="2"/>
  <c r="B1923" i="2"/>
  <c r="A1923" i="2"/>
  <c r="Q1922" i="2"/>
  <c r="U1922" i="2" s="1"/>
  <c r="N1922" i="2"/>
  <c r="M1922" i="2"/>
  <c r="J1922" i="2"/>
  <c r="I1922" i="2"/>
  <c r="H1922" i="2"/>
  <c r="G1922" i="2"/>
  <c r="F1922" i="2"/>
  <c r="E1922" i="2"/>
  <c r="D1922" i="2"/>
  <c r="C1922" i="2"/>
  <c r="B1922" i="2"/>
  <c r="A1922" i="2"/>
  <c r="Q1921" i="2"/>
  <c r="U1921" i="2" s="1"/>
  <c r="N1921" i="2"/>
  <c r="M1921" i="2"/>
  <c r="J1921" i="2"/>
  <c r="I1921" i="2"/>
  <c r="H1921" i="2"/>
  <c r="G1921" i="2"/>
  <c r="F1921" i="2"/>
  <c r="E1921" i="2"/>
  <c r="D1921" i="2"/>
  <c r="C1921" i="2"/>
  <c r="B1921" i="2"/>
  <c r="A1921" i="2"/>
  <c r="Q1920" i="2"/>
  <c r="U1920" i="2" s="1"/>
  <c r="N1920" i="2"/>
  <c r="M1920" i="2"/>
  <c r="J1920" i="2"/>
  <c r="I1920" i="2"/>
  <c r="H1920" i="2"/>
  <c r="G1920" i="2"/>
  <c r="F1920" i="2"/>
  <c r="E1920" i="2"/>
  <c r="D1920" i="2"/>
  <c r="C1920" i="2"/>
  <c r="B1920" i="2"/>
  <c r="A1920" i="2"/>
  <c r="Q1919" i="2"/>
  <c r="U1919" i="2" s="1"/>
  <c r="N1919" i="2"/>
  <c r="M1919" i="2"/>
  <c r="J1919" i="2"/>
  <c r="I1919" i="2"/>
  <c r="H1919" i="2"/>
  <c r="G1919" i="2"/>
  <c r="F1919" i="2"/>
  <c r="E1919" i="2"/>
  <c r="D1919" i="2"/>
  <c r="C1919" i="2"/>
  <c r="B1919" i="2"/>
  <c r="A1919" i="2"/>
  <c r="Q1918" i="2"/>
  <c r="U1918" i="2" s="1"/>
  <c r="N1918" i="2"/>
  <c r="M1918" i="2"/>
  <c r="J1918" i="2"/>
  <c r="I1918" i="2"/>
  <c r="H1918" i="2"/>
  <c r="G1918" i="2"/>
  <c r="F1918" i="2"/>
  <c r="E1918" i="2"/>
  <c r="D1918" i="2"/>
  <c r="C1918" i="2"/>
  <c r="B1918" i="2"/>
  <c r="A1918" i="2"/>
  <c r="Q1917" i="2"/>
  <c r="U1917" i="2" s="1"/>
  <c r="N1917" i="2"/>
  <c r="M1917" i="2"/>
  <c r="J1917" i="2"/>
  <c r="I1917" i="2"/>
  <c r="H1917" i="2"/>
  <c r="G1917" i="2"/>
  <c r="F1917" i="2"/>
  <c r="E1917" i="2"/>
  <c r="D1917" i="2"/>
  <c r="C1917" i="2"/>
  <c r="B1917" i="2"/>
  <c r="A1917" i="2"/>
  <c r="Q1916" i="2"/>
  <c r="U1916" i="2" s="1"/>
  <c r="N1916" i="2"/>
  <c r="M1916" i="2"/>
  <c r="J1916" i="2"/>
  <c r="I1916" i="2"/>
  <c r="H1916" i="2"/>
  <c r="G1916" i="2"/>
  <c r="F1916" i="2"/>
  <c r="E1916" i="2"/>
  <c r="D1916" i="2"/>
  <c r="C1916" i="2"/>
  <c r="B1916" i="2"/>
  <c r="A1916" i="2"/>
  <c r="Q1915" i="2"/>
  <c r="U1915" i="2" s="1"/>
  <c r="N1915" i="2"/>
  <c r="M1915" i="2"/>
  <c r="J1915" i="2"/>
  <c r="I1915" i="2"/>
  <c r="H1915" i="2"/>
  <c r="G1915" i="2"/>
  <c r="F1915" i="2"/>
  <c r="E1915" i="2"/>
  <c r="D1915" i="2"/>
  <c r="C1915" i="2"/>
  <c r="B1915" i="2"/>
  <c r="A1915" i="2"/>
  <c r="Q1914" i="2"/>
  <c r="U1914" i="2" s="1"/>
  <c r="N1914" i="2"/>
  <c r="M1914" i="2"/>
  <c r="J1914" i="2"/>
  <c r="I1914" i="2"/>
  <c r="H1914" i="2"/>
  <c r="G1914" i="2"/>
  <c r="F1914" i="2"/>
  <c r="E1914" i="2"/>
  <c r="D1914" i="2"/>
  <c r="C1914" i="2"/>
  <c r="B1914" i="2"/>
  <c r="A1914" i="2"/>
  <c r="Q1913" i="2"/>
  <c r="U1913" i="2" s="1"/>
  <c r="N1913" i="2"/>
  <c r="M1913" i="2"/>
  <c r="J1913" i="2"/>
  <c r="I1913" i="2"/>
  <c r="H1913" i="2"/>
  <c r="G1913" i="2"/>
  <c r="F1913" i="2"/>
  <c r="E1913" i="2"/>
  <c r="D1913" i="2"/>
  <c r="C1913" i="2"/>
  <c r="B1913" i="2"/>
  <c r="A1913" i="2"/>
  <c r="Q1912" i="2"/>
  <c r="U1912" i="2" s="1"/>
  <c r="N1912" i="2"/>
  <c r="M1912" i="2"/>
  <c r="J1912" i="2"/>
  <c r="I1912" i="2"/>
  <c r="H1912" i="2"/>
  <c r="G1912" i="2"/>
  <c r="F1912" i="2"/>
  <c r="E1912" i="2"/>
  <c r="D1912" i="2"/>
  <c r="C1912" i="2"/>
  <c r="B1912" i="2"/>
  <c r="A1912" i="2"/>
  <c r="Q1911" i="2"/>
  <c r="U1911" i="2" s="1"/>
  <c r="N1911" i="2"/>
  <c r="M1911" i="2"/>
  <c r="J1911" i="2"/>
  <c r="I1911" i="2"/>
  <c r="H1911" i="2"/>
  <c r="G1911" i="2"/>
  <c r="F1911" i="2"/>
  <c r="E1911" i="2"/>
  <c r="D1911" i="2"/>
  <c r="C1911" i="2"/>
  <c r="B1911" i="2"/>
  <c r="A1911" i="2"/>
  <c r="Q1910" i="2"/>
  <c r="U1910" i="2" s="1"/>
  <c r="N1910" i="2"/>
  <c r="M1910" i="2"/>
  <c r="J1910" i="2"/>
  <c r="I1910" i="2"/>
  <c r="H1910" i="2"/>
  <c r="G1910" i="2"/>
  <c r="F1910" i="2"/>
  <c r="E1910" i="2"/>
  <c r="D1910" i="2"/>
  <c r="C1910" i="2"/>
  <c r="B1910" i="2"/>
  <c r="A1910" i="2"/>
  <c r="Q1909" i="2"/>
  <c r="U1909" i="2" s="1"/>
  <c r="N1909" i="2"/>
  <c r="M1909" i="2"/>
  <c r="J1909" i="2"/>
  <c r="I1909" i="2"/>
  <c r="H1909" i="2"/>
  <c r="G1909" i="2"/>
  <c r="F1909" i="2"/>
  <c r="E1909" i="2"/>
  <c r="D1909" i="2"/>
  <c r="C1909" i="2"/>
  <c r="B1909" i="2"/>
  <c r="A1909" i="2"/>
  <c r="Q1908" i="2"/>
  <c r="U1908" i="2" s="1"/>
  <c r="N1908" i="2"/>
  <c r="M1908" i="2"/>
  <c r="J1908" i="2"/>
  <c r="I1908" i="2"/>
  <c r="H1908" i="2"/>
  <c r="G1908" i="2"/>
  <c r="F1908" i="2"/>
  <c r="E1908" i="2"/>
  <c r="D1908" i="2"/>
  <c r="C1908" i="2"/>
  <c r="B1908" i="2"/>
  <c r="A1908" i="2"/>
  <c r="U1907" i="2"/>
  <c r="N1907" i="2"/>
  <c r="M1907" i="2"/>
  <c r="J1907" i="2"/>
  <c r="I1907" i="2"/>
  <c r="H1907" i="2"/>
  <c r="G1907" i="2"/>
  <c r="F1907" i="2"/>
  <c r="E1907" i="2"/>
  <c r="D1907" i="2"/>
  <c r="C1907" i="2"/>
  <c r="B1907" i="2"/>
  <c r="A1907" i="2"/>
  <c r="U1906" i="2"/>
  <c r="N1906" i="2"/>
  <c r="M1906" i="2"/>
  <c r="J1906" i="2"/>
  <c r="I1906" i="2"/>
  <c r="H1906" i="2"/>
  <c r="G1906" i="2"/>
  <c r="F1906" i="2"/>
  <c r="E1906" i="2"/>
  <c r="D1906" i="2"/>
  <c r="C1906" i="2"/>
  <c r="B1906" i="2"/>
  <c r="A1906" i="2"/>
  <c r="U1905" i="2"/>
  <c r="N1905" i="2"/>
  <c r="M1905" i="2"/>
  <c r="J1905" i="2"/>
  <c r="I1905" i="2"/>
  <c r="H1905" i="2"/>
  <c r="G1905" i="2"/>
  <c r="F1905" i="2"/>
  <c r="E1905" i="2"/>
  <c r="D1905" i="2"/>
  <c r="C1905" i="2"/>
  <c r="B1905" i="2"/>
  <c r="A1905" i="2"/>
  <c r="U1904" i="2"/>
  <c r="N1904" i="2"/>
  <c r="M1904" i="2"/>
  <c r="J1904" i="2"/>
  <c r="I1904" i="2"/>
  <c r="H1904" i="2"/>
  <c r="G1904" i="2"/>
  <c r="F1904" i="2"/>
  <c r="E1904" i="2"/>
  <c r="D1904" i="2"/>
  <c r="C1904" i="2"/>
  <c r="B1904" i="2"/>
  <c r="A1904" i="2"/>
  <c r="U1903" i="2"/>
  <c r="N1903" i="2"/>
  <c r="M1903" i="2"/>
  <c r="J1903" i="2"/>
  <c r="I1903" i="2"/>
  <c r="H1903" i="2"/>
  <c r="G1903" i="2"/>
  <c r="F1903" i="2"/>
  <c r="E1903" i="2"/>
  <c r="D1903" i="2"/>
  <c r="C1903" i="2"/>
  <c r="B1903" i="2"/>
  <c r="A1903" i="2"/>
  <c r="U1902" i="2"/>
  <c r="N1902" i="2"/>
  <c r="M1902" i="2"/>
  <c r="J1902" i="2"/>
  <c r="I1902" i="2"/>
  <c r="H1902" i="2"/>
  <c r="G1902" i="2"/>
  <c r="F1902" i="2"/>
  <c r="E1902" i="2"/>
  <c r="D1902" i="2"/>
  <c r="C1902" i="2"/>
  <c r="B1902" i="2"/>
  <c r="A1902" i="2"/>
  <c r="U1901" i="2"/>
  <c r="N1901" i="2"/>
  <c r="M1901" i="2"/>
  <c r="J1901" i="2"/>
  <c r="I1901" i="2"/>
  <c r="H1901" i="2"/>
  <c r="G1901" i="2"/>
  <c r="F1901" i="2"/>
  <c r="E1901" i="2"/>
  <c r="D1901" i="2"/>
  <c r="C1901" i="2"/>
  <c r="B1901" i="2"/>
  <c r="A1901" i="2"/>
  <c r="U1900" i="2"/>
  <c r="N1900" i="2"/>
  <c r="M1900" i="2"/>
  <c r="J1900" i="2"/>
  <c r="I1900" i="2"/>
  <c r="H1900" i="2"/>
  <c r="G1900" i="2"/>
  <c r="F1900" i="2"/>
  <c r="E1900" i="2"/>
  <c r="D1900" i="2"/>
  <c r="C1900" i="2"/>
  <c r="B1900" i="2"/>
  <c r="A1900" i="2"/>
  <c r="U1899" i="2"/>
  <c r="N1899" i="2"/>
  <c r="M1899" i="2"/>
  <c r="J1899" i="2"/>
  <c r="I1899" i="2"/>
  <c r="H1899" i="2"/>
  <c r="G1899" i="2"/>
  <c r="F1899" i="2"/>
  <c r="E1899" i="2"/>
  <c r="D1899" i="2"/>
  <c r="C1899" i="2"/>
  <c r="B1899" i="2"/>
  <c r="A1899" i="2"/>
  <c r="U1898" i="2"/>
  <c r="N1898" i="2"/>
  <c r="M1898" i="2"/>
  <c r="J1898" i="2"/>
  <c r="I1898" i="2"/>
  <c r="H1898" i="2"/>
  <c r="G1898" i="2"/>
  <c r="F1898" i="2"/>
  <c r="E1898" i="2"/>
  <c r="D1898" i="2"/>
  <c r="C1898" i="2"/>
  <c r="B1898" i="2"/>
  <c r="A1898" i="2"/>
  <c r="U1897" i="2"/>
  <c r="N1897" i="2"/>
  <c r="M1897" i="2"/>
  <c r="J1897" i="2"/>
  <c r="I1897" i="2"/>
  <c r="H1897" i="2"/>
  <c r="G1897" i="2"/>
  <c r="F1897" i="2"/>
  <c r="E1897" i="2"/>
  <c r="D1897" i="2"/>
  <c r="C1897" i="2"/>
  <c r="B1897" i="2"/>
  <c r="A1897" i="2"/>
  <c r="U1896" i="2"/>
  <c r="N1896" i="2"/>
  <c r="M1896" i="2"/>
  <c r="J1896" i="2"/>
  <c r="I1896" i="2"/>
  <c r="H1896" i="2"/>
  <c r="G1896" i="2"/>
  <c r="F1896" i="2"/>
  <c r="E1896" i="2"/>
  <c r="D1896" i="2"/>
  <c r="C1896" i="2"/>
  <c r="B1896" i="2"/>
  <c r="A1896" i="2"/>
  <c r="U1895" i="2"/>
  <c r="N1895" i="2"/>
  <c r="M1895" i="2"/>
  <c r="J1895" i="2"/>
  <c r="I1895" i="2"/>
  <c r="H1895" i="2"/>
  <c r="G1895" i="2"/>
  <c r="F1895" i="2"/>
  <c r="E1895" i="2"/>
  <c r="D1895" i="2"/>
  <c r="C1895" i="2"/>
  <c r="B1895" i="2"/>
  <c r="A1895" i="2"/>
  <c r="U1894" i="2"/>
  <c r="N1894" i="2"/>
  <c r="M1894" i="2"/>
  <c r="J1894" i="2"/>
  <c r="I1894" i="2"/>
  <c r="H1894" i="2"/>
  <c r="G1894" i="2"/>
  <c r="F1894" i="2"/>
  <c r="E1894" i="2"/>
  <c r="D1894" i="2"/>
  <c r="C1894" i="2"/>
  <c r="B1894" i="2"/>
  <c r="A1894" i="2"/>
  <c r="U1893" i="2"/>
  <c r="N1893" i="2"/>
  <c r="M1893" i="2"/>
  <c r="J1893" i="2"/>
  <c r="I1893" i="2"/>
  <c r="H1893" i="2"/>
  <c r="G1893" i="2"/>
  <c r="F1893" i="2"/>
  <c r="E1893" i="2"/>
  <c r="D1893" i="2"/>
  <c r="C1893" i="2"/>
  <c r="B1893" i="2"/>
  <c r="A1893" i="2"/>
  <c r="U1892" i="2"/>
  <c r="N1892" i="2"/>
  <c r="M1892" i="2"/>
  <c r="J1892" i="2"/>
  <c r="I1892" i="2"/>
  <c r="H1892" i="2"/>
  <c r="G1892" i="2"/>
  <c r="F1892" i="2"/>
  <c r="E1892" i="2"/>
  <c r="D1892" i="2"/>
  <c r="C1892" i="2"/>
  <c r="B1892" i="2"/>
  <c r="A1892" i="2"/>
  <c r="U1891" i="2"/>
  <c r="N1891" i="2"/>
  <c r="M1891" i="2"/>
  <c r="J1891" i="2"/>
  <c r="I1891" i="2"/>
  <c r="H1891" i="2"/>
  <c r="G1891" i="2"/>
  <c r="F1891" i="2"/>
  <c r="E1891" i="2"/>
  <c r="D1891" i="2"/>
  <c r="C1891" i="2"/>
  <c r="B1891" i="2"/>
  <c r="A1891" i="2"/>
  <c r="U1890" i="2"/>
  <c r="N1890" i="2"/>
  <c r="M1890" i="2"/>
  <c r="J1890" i="2"/>
  <c r="I1890" i="2"/>
  <c r="H1890" i="2"/>
  <c r="G1890" i="2"/>
  <c r="F1890" i="2"/>
  <c r="E1890" i="2"/>
  <c r="D1890" i="2"/>
  <c r="C1890" i="2"/>
  <c r="B1890" i="2"/>
  <c r="A1890" i="2"/>
  <c r="U1889" i="2"/>
  <c r="N1889" i="2"/>
  <c r="M1889" i="2"/>
  <c r="J1889" i="2"/>
  <c r="I1889" i="2"/>
  <c r="H1889" i="2"/>
  <c r="G1889" i="2"/>
  <c r="F1889" i="2"/>
  <c r="E1889" i="2"/>
  <c r="D1889" i="2"/>
  <c r="C1889" i="2"/>
  <c r="B1889" i="2"/>
  <c r="A1889" i="2"/>
  <c r="U1888" i="2"/>
  <c r="N1888" i="2"/>
  <c r="M1888" i="2"/>
  <c r="J1888" i="2"/>
  <c r="I1888" i="2"/>
  <c r="H1888" i="2"/>
  <c r="G1888" i="2"/>
  <c r="F1888" i="2"/>
  <c r="E1888" i="2"/>
  <c r="D1888" i="2"/>
  <c r="C1888" i="2"/>
  <c r="B1888" i="2"/>
  <c r="A1888" i="2"/>
  <c r="U1887" i="2"/>
  <c r="N1887" i="2"/>
  <c r="M1887" i="2"/>
  <c r="J1887" i="2"/>
  <c r="I1887" i="2"/>
  <c r="H1887" i="2"/>
  <c r="G1887" i="2"/>
  <c r="F1887" i="2"/>
  <c r="E1887" i="2"/>
  <c r="D1887" i="2"/>
  <c r="C1887" i="2"/>
  <c r="B1887" i="2"/>
  <c r="A1887" i="2"/>
  <c r="U1886" i="2"/>
  <c r="N1886" i="2"/>
  <c r="M1886" i="2"/>
  <c r="J1886" i="2"/>
  <c r="I1886" i="2"/>
  <c r="H1886" i="2"/>
  <c r="G1886" i="2"/>
  <c r="F1886" i="2"/>
  <c r="E1886" i="2"/>
  <c r="D1886" i="2"/>
  <c r="C1886" i="2"/>
  <c r="B1886" i="2"/>
  <c r="A1886" i="2"/>
  <c r="U1885" i="2"/>
  <c r="N1885" i="2"/>
  <c r="M1885" i="2"/>
  <c r="J1885" i="2"/>
  <c r="I1885" i="2"/>
  <c r="H1885" i="2"/>
  <c r="G1885" i="2"/>
  <c r="F1885" i="2"/>
  <c r="E1885" i="2"/>
  <c r="D1885" i="2"/>
  <c r="C1885" i="2"/>
  <c r="B1885" i="2"/>
  <c r="A1885" i="2"/>
  <c r="U1884" i="2"/>
  <c r="N1884" i="2"/>
  <c r="M1884" i="2"/>
  <c r="J1884" i="2"/>
  <c r="I1884" i="2"/>
  <c r="H1884" i="2"/>
  <c r="G1884" i="2"/>
  <c r="F1884" i="2"/>
  <c r="E1884" i="2"/>
  <c r="D1884" i="2"/>
  <c r="C1884" i="2"/>
  <c r="B1884" i="2"/>
  <c r="A1884" i="2"/>
  <c r="U1883" i="2"/>
  <c r="N1883" i="2"/>
  <c r="M1883" i="2"/>
  <c r="J1883" i="2"/>
  <c r="I1883" i="2"/>
  <c r="H1883" i="2"/>
  <c r="G1883" i="2"/>
  <c r="F1883" i="2"/>
  <c r="E1883" i="2"/>
  <c r="D1883" i="2"/>
  <c r="C1883" i="2"/>
  <c r="B1883" i="2"/>
  <c r="A1883" i="2"/>
  <c r="U1882" i="2"/>
  <c r="N1882" i="2"/>
  <c r="M1882" i="2"/>
  <c r="J1882" i="2"/>
  <c r="I1882" i="2"/>
  <c r="H1882" i="2"/>
  <c r="G1882" i="2"/>
  <c r="F1882" i="2"/>
  <c r="E1882" i="2"/>
  <c r="D1882" i="2"/>
  <c r="C1882" i="2"/>
  <c r="B1882" i="2"/>
  <c r="A1882" i="2"/>
  <c r="U1881" i="2"/>
  <c r="N1881" i="2"/>
  <c r="M1881" i="2"/>
  <c r="J1881" i="2"/>
  <c r="I1881" i="2"/>
  <c r="H1881" i="2"/>
  <c r="G1881" i="2"/>
  <c r="F1881" i="2"/>
  <c r="E1881" i="2"/>
  <c r="D1881" i="2"/>
  <c r="C1881" i="2"/>
  <c r="B1881" i="2"/>
  <c r="A1881" i="2"/>
  <c r="U1880" i="2"/>
  <c r="N1880" i="2"/>
  <c r="M1880" i="2"/>
  <c r="J1880" i="2"/>
  <c r="I1880" i="2"/>
  <c r="H1880" i="2"/>
  <c r="G1880" i="2"/>
  <c r="F1880" i="2"/>
  <c r="E1880" i="2"/>
  <c r="D1880" i="2"/>
  <c r="C1880" i="2"/>
  <c r="B1880" i="2"/>
  <c r="A1880" i="2"/>
  <c r="U1879" i="2"/>
  <c r="N1879" i="2"/>
  <c r="M1879" i="2"/>
  <c r="J1879" i="2"/>
  <c r="I1879" i="2"/>
  <c r="H1879" i="2"/>
  <c r="G1879" i="2"/>
  <c r="F1879" i="2"/>
  <c r="E1879" i="2"/>
  <c r="D1879" i="2"/>
  <c r="C1879" i="2"/>
  <c r="B1879" i="2"/>
  <c r="A1879" i="2"/>
  <c r="U1878" i="2"/>
  <c r="N1878" i="2"/>
  <c r="M1878" i="2"/>
  <c r="J1878" i="2"/>
  <c r="I1878" i="2"/>
  <c r="H1878" i="2"/>
  <c r="G1878" i="2"/>
  <c r="F1878" i="2"/>
  <c r="E1878" i="2"/>
  <c r="D1878" i="2"/>
  <c r="C1878" i="2"/>
  <c r="B1878" i="2"/>
  <c r="A1878" i="2"/>
  <c r="U1877" i="2"/>
  <c r="N1877" i="2"/>
  <c r="M1877" i="2"/>
  <c r="J1877" i="2"/>
  <c r="I1877" i="2"/>
  <c r="H1877" i="2"/>
  <c r="G1877" i="2"/>
  <c r="F1877" i="2"/>
  <c r="E1877" i="2"/>
  <c r="D1877" i="2"/>
  <c r="C1877" i="2"/>
  <c r="B1877" i="2"/>
  <c r="A1877" i="2"/>
  <c r="U1876" i="2"/>
  <c r="N1876" i="2"/>
  <c r="M1876" i="2"/>
  <c r="J1876" i="2"/>
  <c r="I1876" i="2"/>
  <c r="H1876" i="2"/>
  <c r="G1876" i="2"/>
  <c r="F1876" i="2"/>
  <c r="E1876" i="2"/>
  <c r="D1876" i="2"/>
  <c r="C1876" i="2"/>
  <c r="B1876" i="2"/>
  <c r="A1876" i="2"/>
  <c r="U1875" i="2"/>
  <c r="N1875" i="2"/>
  <c r="M1875" i="2"/>
  <c r="J1875" i="2"/>
  <c r="I1875" i="2"/>
  <c r="H1875" i="2"/>
  <c r="G1875" i="2"/>
  <c r="F1875" i="2"/>
  <c r="E1875" i="2"/>
  <c r="D1875" i="2"/>
  <c r="C1875" i="2"/>
  <c r="B1875" i="2"/>
  <c r="A1875" i="2"/>
  <c r="U1874" i="2"/>
  <c r="N1874" i="2"/>
  <c r="M1874" i="2"/>
  <c r="J1874" i="2"/>
  <c r="I1874" i="2"/>
  <c r="H1874" i="2"/>
  <c r="G1874" i="2"/>
  <c r="F1874" i="2"/>
  <c r="E1874" i="2"/>
  <c r="D1874" i="2"/>
  <c r="C1874" i="2"/>
  <c r="B1874" i="2"/>
  <c r="A1874" i="2"/>
  <c r="U1873" i="2"/>
  <c r="N1873" i="2"/>
  <c r="M1873" i="2"/>
  <c r="J1873" i="2"/>
  <c r="I1873" i="2"/>
  <c r="H1873" i="2"/>
  <c r="G1873" i="2"/>
  <c r="F1873" i="2"/>
  <c r="E1873" i="2"/>
  <c r="D1873" i="2"/>
  <c r="C1873" i="2"/>
  <c r="B1873" i="2"/>
  <c r="A1873" i="2"/>
  <c r="U1872" i="2"/>
  <c r="N1872" i="2"/>
  <c r="M1872" i="2"/>
  <c r="J1872" i="2"/>
  <c r="I1872" i="2"/>
  <c r="H1872" i="2"/>
  <c r="G1872" i="2"/>
  <c r="F1872" i="2"/>
  <c r="E1872" i="2"/>
  <c r="D1872" i="2"/>
  <c r="C1872" i="2"/>
  <c r="B1872" i="2"/>
  <c r="A1872" i="2"/>
  <c r="U1871" i="2"/>
  <c r="N1871" i="2"/>
  <c r="M1871" i="2"/>
  <c r="J1871" i="2"/>
  <c r="I1871" i="2"/>
  <c r="H1871" i="2"/>
  <c r="G1871" i="2"/>
  <c r="F1871" i="2"/>
  <c r="E1871" i="2"/>
  <c r="D1871" i="2"/>
  <c r="C1871" i="2"/>
  <c r="B1871" i="2"/>
  <c r="A1871" i="2"/>
  <c r="U1870" i="2"/>
  <c r="N1870" i="2"/>
  <c r="M1870" i="2"/>
  <c r="J1870" i="2"/>
  <c r="I1870" i="2"/>
  <c r="H1870" i="2"/>
  <c r="G1870" i="2"/>
  <c r="F1870" i="2"/>
  <c r="E1870" i="2"/>
  <c r="D1870" i="2"/>
  <c r="C1870" i="2"/>
  <c r="B1870" i="2"/>
  <c r="A1870" i="2"/>
  <c r="U1869" i="2"/>
  <c r="N1869" i="2"/>
  <c r="M1869" i="2"/>
  <c r="J1869" i="2"/>
  <c r="I1869" i="2"/>
  <c r="H1869" i="2"/>
  <c r="G1869" i="2"/>
  <c r="F1869" i="2"/>
  <c r="E1869" i="2"/>
  <c r="D1869" i="2"/>
  <c r="C1869" i="2"/>
  <c r="B1869" i="2"/>
  <c r="A1869" i="2"/>
  <c r="U1868" i="2"/>
  <c r="N1868" i="2"/>
  <c r="M1868" i="2"/>
  <c r="J1868" i="2"/>
  <c r="I1868" i="2"/>
  <c r="H1868" i="2"/>
  <c r="G1868" i="2"/>
  <c r="F1868" i="2"/>
  <c r="E1868" i="2"/>
  <c r="D1868" i="2"/>
  <c r="C1868" i="2"/>
  <c r="B1868" i="2"/>
  <c r="A1868" i="2"/>
  <c r="U1867" i="2"/>
  <c r="N1867" i="2"/>
  <c r="M1867" i="2"/>
  <c r="J1867" i="2"/>
  <c r="I1867" i="2"/>
  <c r="H1867" i="2"/>
  <c r="G1867" i="2"/>
  <c r="F1867" i="2"/>
  <c r="E1867" i="2"/>
  <c r="D1867" i="2"/>
  <c r="C1867" i="2"/>
  <c r="B1867" i="2"/>
  <c r="A1867" i="2"/>
  <c r="U1866" i="2"/>
  <c r="N1866" i="2"/>
  <c r="M1866" i="2"/>
  <c r="J1866" i="2"/>
  <c r="I1866" i="2"/>
  <c r="H1866" i="2"/>
  <c r="G1866" i="2"/>
  <c r="F1866" i="2"/>
  <c r="E1866" i="2"/>
  <c r="D1866" i="2"/>
  <c r="C1866" i="2"/>
  <c r="B1866" i="2"/>
  <c r="A1866" i="2"/>
  <c r="U1865" i="2"/>
  <c r="N1865" i="2"/>
  <c r="M1865" i="2"/>
  <c r="J1865" i="2"/>
  <c r="I1865" i="2"/>
  <c r="H1865" i="2"/>
  <c r="G1865" i="2"/>
  <c r="F1865" i="2"/>
  <c r="E1865" i="2"/>
  <c r="D1865" i="2"/>
  <c r="C1865" i="2"/>
  <c r="B1865" i="2"/>
  <c r="A1865" i="2"/>
  <c r="U1864" i="2"/>
  <c r="N1864" i="2"/>
  <c r="M1864" i="2"/>
  <c r="J1864" i="2"/>
  <c r="I1864" i="2"/>
  <c r="H1864" i="2"/>
  <c r="G1864" i="2"/>
  <c r="F1864" i="2"/>
  <c r="E1864" i="2"/>
  <c r="D1864" i="2"/>
  <c r="C1864" i="2"/>
  <c r="B1864" i="2"/>
  <c r="A1864" i="2"/>
  <c r="U1863" i="2"/>
  <c r="N1863" i="2"/>
  <c r="M1863" i="2"/>
  <c r="J1863" i="2"/>
  <c r="I1863" i="2"/>
  <c r="H1863" i="2"/>
  <c r="G1863" i="2"/>
  <c r="F1863" i="2"/>
  <c r="E1863" i="2"/>
  <c r="D1863" i="2"/>
  <c r="C1863" i="2"/>
  <c r="B1863" i="2"/>
  <c r="A1863" i="2"/>
  <c r="U1862" i="2"/>
  <c r="N1862" i="2"/>
  <c r="M1862" i="2"/>
  <c r="J1862" i="2"/>
  <c r="I1862" i="2"/>
  <c r="H1862" i="2"/>
  <c r="G1862" i="2"/>
  <c r="F1862" i="2"/>
  <c r="E1862" i="2"/>
  <c r="D1862" i="2"/>
  <c r="C1862" i="2"/>
  <c r="B1862" i="2"/>
  <c r="A1862" i="2"/>
  <c r="U1861" i="2"/>
  <c r="N1861" i="2"/>
  <c r="M1861" i="2"/>
  <c r="J1861" i="2"/>
  <c r="I1861" i="2"/>
  <c r="H1861" i="2"/>
  <c r="G1861" i="2"/>
  <c r="F1861" i="2"/>
  <c r="E1861" i="2"/>
  <c r="D1861" i="2"/>
  <c r="C1861" i="2"/>
  <c r="B1861" i="2"/>
  <c r="A1861" i="2"/>
  <c r="U1860" i="2"/>
  <c r="N1860" i="2"/>
  <c r="M1860" i="2"/>
  <c r="J1860" i="2"/>
  <c r="I1860" i="2"/>
  <c r="H1860" i="2"/>
  <c r="G1860" i="2"/>
  <c r="F1860" i="2"/>
  <c r="E1860" i="2"/>
  <c r="D1860" i="2"/>
  <c r="C1860" i="2"/>
  <c r="B1860" i="2"/>
  <c r="A1860" i="2"/>
  <c r="U1859" i="2"/>
  <c r="N1859" i="2"/>
  <c r="M1859" i="2"/>
  <c r="J1859" i="2"/>
  <c r="I1859" i="2"/>
  <c r="H1859" i="2"/>
  <c r="G1859" i="2"/>
  <c r="F1859" i="2"/>
  <c r="E1859" i="2"/>
  <c r="D1859" i="2"/>
  <c r="C1859" i="2"/>
  <c r="B1859" i="2"/>
  <c r="A1859" i="2"/>
  <c r="U1858" i="2"/>
  <c r="N1858" i="2"/>
  <c r="M1858" i="2"/>
  <c r="J1858" i="2"/>
  <c r="I1858" i="2"/>
  <c r="H1858" i="2"/>
  <c r="G1858" i="2"/>
  <c r="F1858" i="2"/>
  <c r="E1858" i="2"/>
  <c r="D1858" i="2"/>
  <c r="C1858" i="2"/>
  <c r="B1858" i="2"/>
  <c r="A1858" i="2"/>
  <c r="U1857" i="2"/>
  <c r="N1857" i="2"/>
  <c r="M1857" i="2"/>
  <c r="J1857" i="2"/>
  <c r="I1857" i="2"/>
  <c r="H1857" i="2"/>
  <c r="G1857" i="2"/>
  <c r="F1857" i="2"/>
  <c r="E1857" i="2"/>
  <c r="D1857" i="2"/>
  <c r="C1857" i="2"/>
  <c r="B1857" i="2"/>
  <c r="A1857" i="2"/>
  <c r="U1856" i="2"/>
  <c r="N1856" i="2"/>
  <c r="M1856" i="2"/>
  <c r="J1856" i="2"/>
  <c r="I1856" i="2"/>
  <c r="H1856" i="2"/>
  <c r="G1856" i="2"/>
  <c r="F1856" i="2"/>
  <c r="E1856" i="2"/>
  <c r="D1856" i="2"/>
  <c r="C1856" i="2"/>
  <c r="B1856" i="2"/>
  <c r="A1856" i="2"/>
  <c r="U1855" i="2"/>
  <c r="N1855" i="2"/>
  <c r="M1855" i="2"/>
  <c r="J1855" i="2"/>
  <c r="I1855" i="2"/>
  <c r="H1855" i="2"/>
  <c r="G1855" i="2"/>
  <c r="F1855" i="2"/>
  <c r="E1855" i="2"/>
  <c r="D1855" i="2"/>
  <c r="C1855" i="2"/>
  <c r="B1855" i="2"/>
  <c r="A1855" i="2"/>
  <c r="U1854" i="2"/>
  <c r="N1854" i="2"/>
  <c r="M1854" i="2"/>
  <c r="J1854" i="2"/>
  <c r="I1854" i="2"/>
  <c r="H1854" i="2"/>
  <c r="G1854" i="2"/>
  <c r="F1854" i="2"/>
  <c r="E1854" i="2"/>
  <c r="D1854" i="2"/>
  <c r="C1854" i="2"/>
  <c r="B1854" i="2"/>
  <c r="A1854" i="2"/>
  <c r="U1853" i="2"/>
  <c r="N1853" i="2"/>
  <c r="M1853" i="2"/>
  <c r="J1853" i="2"/>
  <c r="I1853" i="2"/>
  <c r="H1853" i="2"/>
  <c r="G1853" i="2"/>
  <c r="F1853" i="2"/>
  <c r="E1853" i="2"/>
  <c r="D1853" i="2"/>
  <c r="C1853" i="2"/>
  <c r="B1853" i="2"/>
  <c r="A1853" i="2"/>
  <c r="U1852" i="2"/>
  <c r="N1852" i="2"/>
  <c r="M1852" i="2"/>
  <c r="J1852" i="2"/>
  <c r="I1852" i="2"/>
  <c r="H1852" i="2"/>
  <c r="G1852" i="2"/>
  <c r="F1852" i="2"/>
  <c r="E1852" i="2"/>
  <c r="D1852" i="2"/>
  <c r="C1852" i="2"/>
  <c r="B1852" i="2"/>
  <c r="A1852" i="2"/>
  <c r="U1851" i="2"/>
  <c r="N1851" i="2"/>
  <c r="M1851" i="2"/>
  <c r="J1851" i="2"/>
  <c r="I1851" i="2"/>
  <c r="H1851" i="2"/>
  <c r="G1851" i="2"/>
  <c r="F1851" i="2"/>
  <c r="E1851" i="2"/>
  <c r="D1851" i="2"/>
  <c r="C1851" i="2"/>
  <c r="B1851" i="2"/>
  <c r="A1851" i="2"/>
  <c r="U1850" i="2"/>
  <c r="N1850" i="2"/>
  <c r="M1850" i="2"/>
  <c r="J1850" i="2"/>
  <c r="I1850" i="2"/>
  <c r="H1850" i="2"/>
  <c r="G1850" i="2"/>
  <c r="F1850" i="2"/>
  <c r="E1850" i="2"/>
  <c r="D1850" i="2"/>
  <c r="C1850" i="2"/>
  <c r="B1850" i="2"/>
  <c r="A1850" i="2"/>
  <c r="U1849" i="2"/>
  <c r="N1849" i="2"/>
  <c r="M1849" i="2"/>
  <c r="J1849" i="2"/>
  <c r="I1849" i="2"/>
  <c r="H1849" i="2"/>
  <c r="G1849" i="2"/>
  <c r="F1849" i="2"/>
  <c r="E1849" i="2"/>
  <c r="D1849" i="2"/>
  <c r="C1849" i="2"/>
  <c r="B1849" i="2"/>
  <c r="A1849" i="2"/>
  <c r="U1848" i="2"/>
  <c r="N1848" i="2"/>
  <c r="M1848" i="2"/>
  <c r="J1848" i="2"/>
  <c r="I1848" i="2"/>
  <c r="H1848" i="2"/>
  <c r="G1848" i="2"/>
  <c r="F1848" i="2"/>
  <c r="E1848" i="2"/>
  <c r="D1848" i="2"/>
  <c r="C1848" i="2"/>
  <c r="B1848" i="2"/>
  <c r="A1848" i="2"/>
  <c r="U1847" i="2"/>
  <c r="N1847" i="2"/>
  <c r="M1847" i="2"/>
  <c r="J1847" i="2"/>
  <c r="I1847" i="2"/>
  <c r="H1847" i="2"/>
  <c r="G1847" i="2"/>
  <c r="F1847" i="2"/>
  <c r="E1847" i="2"/>
  <c r="D1847" i="2"/>
  <c r="C1847" i="2"/>
  <c r="B1847" i="2"/>
  <c r="A1847" i="2"/>
  <c r="U1846" i="2"/>
  <c r="N1846" i="2"/>
  <c r="M1846" i="2"/>
  <c r="J1846" i="2"/>
  <c r="I1846" i="2"/>
  <c r="H1846" i="2"/>
  <c r="G1846" i="2"/>
  <c r="F1846" i="2"/>
  <c r="E1846" i="2"/>
  <c r="D1846" i="2"/>
  <c r="C1846" i="2"/>
  <c r="B1846" i="2"/>
  <c r="A1846" i="2"/>
  <c r="U1845" i="2"/>
  <c r="N1845" i="2"/>
  <c r="M1845" i="2"/>
  <c r="J1845" i="2"/>
  <c r="I1845" i="2"/>
  <c r="H1845" i="2"/>
  <c r="G1845" i="2"/>
  <c r="F1845" i="2"/>
  <c r="E1845" i="2"/>
  <c r="D1845" i="2"/>
  <c r="C1845" i="2"/>
  <c r="B1845" i="2"/>
  <c r="A1845" i="2"/>
  <c r="U1844" i="2"/>
  <c r="N1844" i="2"/>
  <c r="M1844" i="2"/>
  <c r="J1844" i="2"/>
  <c r="I1844" i="2"/>
  <c r="H1844" i="2"/>
  <c r="G1844" i="2"/>
  <c r="F1844" i="2"/>
  <c r="E1844" i="2"/>
  <c r="D1844" i="2"/>
  <c r="C1844" i="2"/>
  <c r="B1844" i="2"/>
  <c r="A1844" i="2"/>
  <c r="U1843" i="2"/>
  <c r="N1843" i="2"/>
  <c r="M1843" i="2"/>
  <c r="J1843" i="2"/>
  <c r="I1843" i="2"/>
  <c r="H1843" i="2"/>
  <c r="G1843" i="2"/>
  <c r="F1843" i="2"/>
  <c r="E1843" i="2"/>
  <c r="D1843" i="2"/>
  <c r="C1843" i="2"/>
  <c r="B1843" i="2"/>
  <c r="A1843" i="2"/>
  <c r="U1842" i="2"/>
  <c r="N1842" i="2"/>
  <c r="M1842" i="2"/>
  <c r="J1842" i="2"/>
  <c r="I1842" i="2"/>
  <c r="H1842" i="2"/>
  <c r="G1842" i="2"/>
  <c r="F1842" i="2"/>
  <c r="E1842" i="2"/>
  <c r="D1842" i="2"/>
  <c r="C1842" i="2"/>
  <c r="B1842" i="2"/>
  <c r="A1842" i="2"/>
  <c r="U1841" i="2"/>
  <c r="N1841" i="2"/>
  <c r="M1841" i="2"/>
  <c r="J1841" i="2"/>
  <c r="I1841" i="2"/>
  <c r="H1841" i="2"/>
  <c r="G1841" i="2"/>
  <c r="F1841" i="2"/>
  <c r="E1841" i="2"/>
  <c r="D1841" i="2"/>
  <c r="C1841" i="2"/>
  <c r="B1841" i="2"/>
  <c r="A1841" i="2"/>
  <c r="U1840" i="2"/>
  <c r="N1840" i="2"/>
  <c r="M1840" i="2"/>
  <c r="J1840" i="2"/>
  <c r="I1840" i="2"/>
  <c r="H1840" i="2"/>
  <c r="G1840" i="2"/>
  <c r="F1840" i="2"/>
  <c r="E1840" i="2"/>
  <c r="D1840" i="2"/>
  <c r="C1840" i="2"/>
  <c r="B1840" i="2"/>
  <c r="A1840" i="2"/>
  <c r="U1839" i="2"/>
  <c r="N1839" i="2"/>
  <c r="M1839" i="2"/>
  <c r="J1839" i="2"/>
  <c r="I1839" i="2"/>
  <c r="H1839" i="2"/>
  <c r="G1839" i="2"/>
  <c r="F1839" i="2"/>
  <c r="E1839" i="2"/>
  <c r="D1839" i="2"/>
  <c r="C1839" i="2"/>
  <c r="B1839" i="2"/>
  <c r="A1839" i="2"/>
  <c r="U1838" i="2"/>
  <c r="N1838" i="2"/>
  <c r="M1838" i="2"/>
  <c r="J1838" i="2"/>
  <c r="I1838" i="2"/>
  <c r="H1838" i="2"/>
  <c r="G1838" i="2"/>
  <c r="F1838" i="2"/>
  <c r="E1838" i="2"/>
  <c r="D1838" i="2"/>
  <c r="C1838" i="2"/>
  <c r="B1838" i="2"/>
  <c r="A1838" i="2"/>
  <c r="U1837" i="2"/>
  <c r="N1837" i="2"/>
  <c r="M1837" i="2"/>
  <c r="J1837" i="2"/>
  <c r="I1837" i="2"/>
  <c r="H1837" i="2"/>
  <c r="G1837" i="2"/>
  <c r="F1837" i="2"/>
  <c r="E1837" i="2"/>
  <c r="D1837" i="2"/>
  <c r="C1837" i="2"/>
  <c r="B1837" i="2"/>
  <c r="A1837" i="2"/>
  <c r="U1836" i="2"/>
  <c r="N1836" i="2"/>
  <c r="M1836" i="2"/>
  <c r="J1836" i="2"/>
  <c r="I1836" i="2"/>
  <c r="H1836" i="2"/>
  <c r="G1836" i="2"/>
  <c r="F1836" i="2"/>
  <c r="E1836" i="2"/>
  <c r="D1836" i="2"/>
  <c r="C1836" i="2"/>
  <c r="B1836" i="2"/>
  <c r="A1836" i="2"/>
  <c r="U1835" i="2"/>
  <c r="N1835" i="2"/>
  <c r="M1835" i="2"/>
  <c r="J1835" i="2"/>
  <c r="I1835" i="2"/>
  <c r="H1835" i="2"/>
  <c r="G1835" i="2"/>
  <c r="F1835" i="2"/>
  <c r="E1835" i="2"/>
  <c r="D1835" i="2"/>
  <c r="C1835" i="2"/>
  <c r="B1835" i="2"/>
  <c r="A1835" i="2"/>
  <c r="U1834" i="2"/>
  <c r="N1834" i="2"/>
  <c r="M1834" i="2"/>
  <c r="J1834" i="2"/>
  <c r="I1834" i="2"/>
  <c r="H1834" i="2"/>
  <c r="G1834" i="2"/>
  <c r="F1834" i="2"/>
  <c r="E1834" i="2"/>
  <c r="D1834" i="2"/>
  <c r="C1834" i="2"/>
  <c r="B1834" i="2"/>
  <c r="A1834" i="2"/>
  <c r="U1833" i="2"/>
  <c r="N1833" i="2"/>
  <c r="M1833" i="2"/>
  <c r="J1833" i="2"/>
  <c r="I1833" i="2"/>
  <c r="H1833" i="2"/>
  <c r="G1833" i="2"/>
  <c r="F1833" i="2"/>
  <c r="E1833" i="2"/>
  <c r="D1833" i="2"/>
  <c r="C1833" i="2"/>
  <c r="B1833" i="2"/>
  <c r="A1833" i="2"/>
  <c r="U1832" i="2"/>
  <c r="N1832" i="2"/>
  <c r="M1832" i="2"/>
  <c r="J1832" i="2"/>
  <c r="I1832" i="2"/>
  <c r="H1832" i="2"/>
  <c r="G1832" i="2"/>
  <c r="F1832" i="2"/>
  <c r="E1832" i="2"/>
  <c r="D1832" i="2"/>
  <c r="C1832" i="2"/>
  <c r="B1832" i="2"/>
  <c r="A1832" i="2"/>
  <c r="U1831" i="2"/>
  <c r="N1831" i="2"/>
  <c r="M1831" i="2"/>
  <c r="J1831" i="2"/>
  <c r="I1831" i="2"/>
  <c r="H1831" i="2"/>
  <c r="G1831" i="2"/>
  <c r="F1831" i="2"/>
  <c r="E1831" i="2"/>
  <c r="D1831" i="2"/>
  <c r="C1831" i="2"/>
  <c r="B1831" i="2"/>
  <c r="A1831" i="2"/>
  <c r="U1830" i="2"/>
  <c r="N1830" i="2"/>
  <c r="M1830" i="2"/>
  <c r="J1830" i="2"/>
  <c r="I1830" i="2"/>
  <c r="H1830" i="2"/>
  <c r="G1830" i="2"/>
  <c r="F1830" i="2"/>
  <c r="E1830" i="2"/>
  <c r="D1830" i="2"/>
  <c r="C1830" i="2"/>
  <c r="B1830" i="2"/>
  <c r="A1830" i="2"/>
  <c r="U1829" i="2"/>
  <c r="N1829" i="2"/>
  <c r="M1829" i="2"/>
  <c r="J1829" i="2"/>
  <c r="I1829" i="2"/>
  <c r="H1829" i="2"/>
  <c r="G1829" i="2"/>
  <c r="F1829" i="2"/>
  <c r="E1829" i="2"/>
  <c r="D1829" i="2"/>
  <c r="C1829" i="2"/>
  <c r="B1829" i="2"/>
  <c r="A1829" i="2"/>
  <c r="U1828" i="2"/>
  <c r="N1828" i="2"/>
  <c r="M1828" i="2"/>
  <c r="J1828" i="2"/>
  <c r="I1828" i="2"/>
  <c r="H1828" i="2"/>
  <c r="G1828" i="2"/>
  <c r="F1828" i="2"/>
  <c r="E1828" i="2"/>
  <c r="D1828" i="2"/>
  <c r="C1828" i="2"/>
  <c r="B1828" i="2"/>
  <c r="A1828" i="2"/>
  <c r="U1827" i="2"/>
  <c r="N1827" i="2"/>
  <c r="M1827" i="2"/>
  <c r="J1827" i="2"/>
  <c r="I1827" i="2"/>
  <c r="H1827" i="2"/>
  <c r="G1827" i="2"/>
  <c r="F1827" i="2"/>
  <c r="E1827" i="2"/>
  <c r="D1827" i="2"/>
  <c r="C1827" i="2"/>
  <c r="B1827" i="2"/>
  <c r="A1827" i="2"/>
  <c r="U1826" i="2"/>
  <c r="N1826" i="2"/>
  <c r="M1826" i="2"/>
  <c r="J1826" i="2"/>
  <c r="I1826" i="2"/>
  <c r="H1826" i="2"/>
  <c r="G1826" i="2"/>
  <c r="F1826" i="2"/>
  <c r="E1826" i="2"/>
  <c r="D1826" i="2"/>
  <c r="C1826" i="2"/>
  <c r="B1826" i="2"/>
  <c r="A1826" i="2"/>
  <c r="U1825" i="2"/>
  <c r="N1825" i="2"/>
  <c r="M1825" i="2"/>
  <c r="J1825" i="2"/>
  <c r="I1825" i="2"/>
  <c r="H1825" i="2"/>
  <c r="G1825" i="2"/>
  <c r="F1825" i="2"/>
  <c r="E1825" i="2"/>
  <c r="D1825" i="2"/>
  <c r="C1825" i="2"/>
  <c r="B1825" i="2"/>
  <c r="A1825" i="2"/>
  <c r="U1824" i="2"/>
  <c r="N1824" i="2"/>
  <c r="M1824" i="2"/>
  <c r="J1824" i="2"/>
  <c r="I1824" i="2"/>
  <c r="H1824" i="2"/>
  <c r="G1824" i="2"/>
  <c r="F1824" i="2"/>
  <c r="E1824" i="2"/>
  <c r="D1824" i="2"/>
  <c r="C1824" i="2"/>
  <c r="B1824" i="2"/>
  <c r="A1824" i="2"/>
  <c r="U1823" i="2"/>
  <c r="N1823" i="2"/>
  <c r="M1823" i="2"/>
  <c r="J1823" i="2"/>
  <c r="I1823" i="2"/>
  <c r="H1823" i="2"/>
  <c r="G1823" i="2"/>
  <c r="F1823" i="2"/>
  <c r="E1823" i="2"/>
  <c r="D1823" i="2"/>
  <c r="C1823" i="2"/>
  <c r="B1823" i="2"/>
  <c r="A1823" i="2"/>
  <c r="U1822" i="2"/>
  <c r="N1822" i="2"/>
  <c r="M1822" i="2"/>
  <c r="J1822" i="2"/>
  <c r="I1822" i="2"/>
  <c r="H1822" i="2"/>
  <c r="G1822" i="2"/>
  <c r="F1822" i="2"/>
  <c r="E1822" i="2"/>
  <c r="D1822" i="2"/>
  <c r="C1822" i="2"/>
  <c r="B1822" i="2"/>
  <c r="A1822" i="2"/>
  <c r="U1821" i="2"/>
  <c r="N1821" i="2"/>
  <c r="M1821" i="2"/>
  <c r="J1821" i="2"/>
  <c r="I1821" i="2"/>
  <c r="H1821" i="2"/>
  <c r="G1821" i="2"/>
  <c r="F1821" i="2"/>
  <c r="E1821" i="2"/>
  <c r="D1821" i="2"/>
  <c r="C1821" i="2"/>
  <c r="B1821" i="2"/>
  <c r="A1821" i="2"/>
  <c r="U1820" i="2"/>
  <c r="N1820" i="2"/>
  <c r="M1820" i="2"/>
  <c r="J1820" i="2"/>
  <c r="I1820" i="2"/>
  <c r="H1820" i="2"/>
  <c r="G1820" i="2"/>
  <c r="F1820" i="2"/>
  <c r="E1820" i="2"/>
  <c r="D1820" i="2"/>
  <c r="C1820" i="2"/>
  <c r="B1820" i="2"/>
  <c r="A1820" i="2"/>
  <c r="U1819" i="2"/>
  <c r="N1819" i="2"/>
  <c r="M1819" i="2"/>
  <c r="J1819" i="2"/>
  <c r="I1819" i="2"/>
  <c r="H1819" i="2"/>
  <c r="G1819" i="2"/>
  <c r="F1819" i="2"/>
  <c r="E1819" i="2"/>
  <c r="D1819" i="2"/>
  <c r="C1819" i="2"/>
  <c r="B1819" i="2"/>
  <c r="A1819" i="2"/>
  <c r="U1818" i="2"/>
  <c r="N1818" i="2"/>
  <c r="M1818" i="2"/>
  <c r="J1818" i="2"/>
  <c r="I1818" i="2"/>
  <c r="H1818" i="2"/>
  <c r="G1818" i="2"/>
  <c r="F1818" i="2"/>
  <c r="E1818" i="2"/>
  <c r="D1818" i="2"/>
  <c r="C1818" i="2"/>
  <c r="B1818" i="2"/>
  <c r="A1818" i="2"/>
  <c r="U1817" i="2"/>
  <c r="N1817" i="2"/>
  <c r="M1817" i="2"/>
  <c r="J1817" i="2"/>
  <c r="I1817" i="2"/>
  <c r="H1817" i="2"/>
  <c r="G1817" i="2"/>
  <c r="F1817" i="2"/>
  <c r="E1817" i="2"/>
  <c r="D1817" i="2"/>
  <c r="C1817" i="2"/>
  <c r="B1817" i="2"/>
  <c r="A1817" i="2"/>
  <c r="U1816" i="2"/>
  <c r="N1816" i="2"/>
  <c r="M1816" i="2"/>
  <c r="J1816" i="2"/>
  <c r="I1816" i="2"/>
  <c r="H1816" i="2"/>
  <c r="G1816" i="2"/>
  <c r="F1816" i="2"/>
  <c r="E1816" i="2"/>
  <c r="D1816" i="2"/>
  <c r="C1816" i="2"/>
  <c r="B1816" i="2"/>
  <c r="A1816" i="2"/>
  <c r="U1815" i="2"/>
  <c r="N1815" i="2"/>
  <c r="M1815" i="2"/>
  <c r="J1815" i="2"/>
  <c r="I1815" i="2"/>
  <c r="H1815" i="2"/>
  <c r="G1815" i="2"/>
  <c r="F1815" i="2"/>
  <c r="E1815" i="2"/>
  <c r="D1815" i="2"/>
  <c r="C1815" i="2"/>
  <c r="B1815" i="2"/>
  <c r="A1815" i="2"/>
  <c r="U1814" i="2"/>
  <c r="N1814" i="2"/>
  <c r="M1814" i="2"/>
  <c r="J1814" i="2"/>
  <c r="I1814" i="2"/>
  <c r="H1814" i="2"/>
  <c r="G1814" i="2"/>
  <c r="F1814" i="2"/>
  <c r="E1814" i="2"/>
  <c r="D1814" i="2"/>
  <c r="C1814" i="2"/>
  <c r="B1814" i="2"/>
  <c r="A1814" i="2"/>
  <c r="U1813" i="2"/>
  <c r="N1813" i="2"/>
  <c r="M1813" i="2"/>
  <c r="J1813" i="2"/>
  <c r="I1813" i="2"/>
  <c r="H1813" i="2"/>
  <c r="G1813" i="2"/>
  <c r="F1813" i="2"/>
  <c r="E1813" i="2"/>
  <c r="D1813" i="2"/>
  <c r="C1813" i="2"/>
  <c r="B1813" i="2"/>
  <c r="A1813" i="2"/>
  <c r="U1812" i="2"/>
  <c r="N1812" i="2"/>
  <c r="M1812" i="2"/>
  <c r="J1812" i="2"/>
  <c r="I1812" i="2"/>
  <c r="H1812" i="2"/>
  <c r="G1812" i="2"/>
  <c r="F1812" i="2"/>
  <c r="E1812" i="2"/>
  <c r="D1812" i="2"/>
  <c r="C1812" i="2"/>
  <c r="B1812" i="2"/>
  <c r="A1812" i="2"/>
  <c r="U1811" i="2"/>
  <c r="N1811" i="2"/>
  <c r="M1811" i="2"/>
  <c r="J1811" i="2"/>
  <c r="I1811" i="2"/>
  <c r="H1811" i="2"/>
  <c r="G1811" i="2"/>
  <c r="F1811" i="2"/>
  <c r="E1811" i="2"/>
  <c r="D1811" i="2"/>
  <c r="C1811" i="2"/>
  <c r="B1811" i="2"/>
  <c r="A1811" i="2"/>
  <c r="U1810" i="2"/>
  <c r="N1810" i="2"/>
  <c r="M1810" i="2"/>
  <c r="J1810" i="2"/>
  <c r="I1810" i="2"/>
  <c r="H1810" i="2"/>
  <c r="G1810" i="2"/>
  <c r="F1810" i="2"/>
  <c r="E1810" i="2"/>
  <c r="D1810" i="2"/>
  <c r="C1810" i="2"/>
  <c r="B1810" i="2"/>
  <c r="A1810" i="2"/>
  <c r="U1809" i="2"/>
  <c r="N1809" i="2"/>
  <c r="M1809" i="2"/>
  <c r="J1809" i="2"/>
  <c r="I1809" i="2"/>
  <c r="H1809" i="2"/>
  <c r="G1809" i="2"/>
  <c r="F1809" i="2"/>
  <c r="E1809" i="2"/>
  <c r="D1809" i="2"/>
  <c r="C1809" i="2"/>
  <c r="B1809" i="2"/>
  <c r="A1809" i="2"/>
  <c r="U1808" i="2"/>
  <c r="N1808" i="2"/>
  <c r="M1808" i="2"/>
  <c r="J1808" i="2"/>
  <c r="I1808" i="2"/>
  <c r="H1808" i="2"/>
  <c r="G1808" i="2"/>
  <c r="F1808" i="2"/>
  <c r="E1808" i="2"/>
  <c r="D1808" i="2"/>
  <c r="C1808" i="2"/>
  <c r="B1808" i="2"/>
  <c r="A1808" i="2"/>
  <c r="U1807" i="2"/>
  <c r="N1807" i="2"/>
  <c r="M1807" i="2"/>
  <c r="J1807" i="2"/>
  <c r="I1807" i="2"/>
  <c r="H1807" i="2"/>
  <c r="G1807" i="2"/>
  <c r="F1807" i="2"/>
  <c r="E1807" i="2"/>
  <c r="D1807" i="2"/>
  <c r="C1807" i="2"/>
  <c r="B1807" i="2"/>
  <c r="A1807" i="2"/>
  <c r="U1806" i="2"/>
  <c r="N1806" i="2"/>
  <c r="M1806" i="2"/>
  <c r="J1806" i="2"/>
  <c r="I1806" i="2"/>
  <c r="H1806" i="2"/>
  <c r="G1806" i="2"/>
  <c r="F1806" i="2"/>
  <c r="E1806" i="2"/>
  <c r="D1806" i="2"/>
  <c r="C1806" i="2"/>
  <c r="B1806" i="2"/>
  <c r="A1806" i="2"/>
  <c r="U1805" i="2"/>
  <c r="N1805" i="2"/>
  <c r="M1805" i="2"/>
  <c r="J1805" i="2"/>
  <c r="I1805" i="2"/>
  <c r="H1805" i="2"/>
  <c r="G1805" i="2"/>
  <c r="F1805" i="2"/>
  <c r="E1805" i="2"/>
  <c r="D1805" i="2"/>
  <c r="C1805" i="2"/>
  <c r="B1805" i="2"/>
  <c r="A1805" i="2"/>
  <c r="U1804" i="2"/>
  <c r="N1804" i="2"/>
  <c r="M1804" i="2"/>
  <c r="J1804" i="2"/>
  <c r="I1804" i="2"/>
  <c r="H1804" i="2"/>
  <c r="G1804" i="2"/>
  <c r="F1804" i="2"/>
  <c r="E1804" i="2"/>
  <c r="D1804" i="2"/>
  <c r="C1804" i="2"/>
  <c r="B1804" i="2"/>
  <c r="A1804" i="2"/>
  <c r="U1803" i="2"/>
  <c r="N1803" i="2"/>
  <c r="M1803" i="2"/>
  <c r="J1803" i="2"/>
  <c r="I1803" i="2"/>
  <c r="H1803" i="2"/>
  <c r="G1803" i="2"/>
  <c r="F1803" i="2"/>
  <c r="E1803" i="2"/>
  <c r="D1803" i="2"/>
  <c r="C1803" i="2"/>
  <c r="B1803" i="2"/>
  <c r="A1803" i="2"/>
  <c r="U1802" i="2"/>
  <c r="N1802" i="2"/>
  <c r="M1802" i="2"/>
  <c r="J1802" i="2"/>
  <c r="I1802" i="2"/>
  <c r="H1802" i="2"/>
  <c r="G1802" i="2"/>
  <c r="F1802" i="2"/>
  <c r="E1802" i="2"/>
  <c r="D1802" i="2"/>
  <c r="C1802" i="2"/>
  <c r="B1802" i="2"/>
  <c r="A1802" i="2"/>
  <c r="U1801" i="2"/>
  <c r="N1801" i="2"/>
  <c r="M1801" i="2"/>
  <c r="J1801" i="2"/>
  <c r="I1801" i="2"/>
  <c r="H1801" i="2"/>
  <c r="G1801" i="2"/>
  <c r="F1801" i="2"/>
  <c r="E1801" i="2"/>
  <c r="D1801" i="2"/>
  <c r="C1801" i="2"/>
  <c r="B1801" i="2"/>
  <c r="A1801" i="2"/>
  <c r="U1800" i="2"/>
  <c r="N1800" i="2"/>
  <c r="M1800" i="2"/>
  <c r="J1800" i="2"/>
  <c r="I1800" i="2"/>
  <c r="H1800" i="2"/>
  <c r="G1800" i="2"/>
  <c r="F1800" i="2"/>
  <c r="E1800" i="2"/>
  <c r="D1800" i="2"/>
  <c r="C1800" i="2"/>
  <c r="B1800" i="2"/>
  <c r="A1800" i="2"/>
  <c r="U1799" i="2"/>
  <c r="N1799" i="2"/>
  <c r="M1799" i="2"/>
  <c r="J1799" i="2"/>
  <c r="I1799" i="2"/>
  <c r="H1799" i="2"/>
  <c r="G1799" i="2"/>
  <c r="F1799" i="2"/>
  <c r="E1799" i="2"/>
  <c r="D1799" i="2"/>
  <c r="C1799" i="2"/>
  <c r="B1799" i="2"/>
  <c r="A1799" i="2"/>
  <c r="U1798" i="2"/>
  <c r="N1798" i="2"/>
  <c r="M1798" i="2"/>
  <c r="J1798" i="2"/>
  <c r="I1798" i="2"/>
  <c r="H1798" i="2"/>
  <c r="G1798" i="2"/>
  <c r="F1798" i="2"/>
  <c r="E1798" i="2"/>
  <c r="D1798" i="2"/>
  <c r="C1798" i="2"/>
  <c r="B1798" i="2"/>
  <c r="A1798" i="2"/>
  <c r="U1797" i="2"/>
  <c r="N1797" i="2"/>
  <c r="M1797" i="2"/>
  <c r="J1797" i="2"/>
  <c r="I1797" i="2"/>
  <c r="H1797" i="2"/>
  <c r="G1797" i="2"/>
  <c r="F1797" i="2"/>
  <c r="E1797" i="2"/>
  <c r="D1797" i="2"/>
  <c r="C1797" i="2"/>
  <c r="B1797" i="2"/>
  <c r="A1797" i="2"/>
  <c r="U1796" i="2"/>
  <c r="N1796" i="2"/>
  <c r="M1796" i="2"/>
  <c r="J1796" i="2"/>
  <c r="I1796" i="2"/>
  <c r="H1796" i="2"/>
  <c r="G1796" i="2"/>
  <c r="F1796" i="2"/>
  <c r="E1796" i="2"/>
  <c r="D1796" i="2"/>
  <c r="C1796" i="2"/>
  <c r="B1796" i="2"/>
  <c r="A1796" i="2"/>
  <c r="U1795" i="2"/>
  <c r="N1795" i="2"/>
  <c r="M1795" i="2"/>
  <c r="J1795" i="2"/>
  <c r="I1795" i="2"/>
  <c r="H1795" i="2"/>
  <c r="G1795" i="2"/>
  <c r="F1795" i="2"/>
  <c r="E1795" i="2"/>
  <c r="D1795" i="2"/>
  <c r="C1795" i="2"/>
  <c r="B1795" i="2"/>
  <c r="A1795" i="2"/>
  <c r="U1794" i="2"/>
  <c r="N1794" i="2"/>
  <c r="M1794" i="2"/>
  <c r="J1794" i="2"/>
  <c r="I1794" i="2"/>
  <c r="H1794" i="2"/>
  <c r="G1794" i="2"/>
  <c r="F1794" i="2"/>
  <c r="E1794" i="2"/>
  <c r="D1794" i="2"/>
  <c r="C1794" i="2"/>
  <c r="B1794" i="2"/>
  <c r="A1794" i="2"/>
  <c r="U1793" i="2"/>
  <c r="N1793" i="2"/>
  <c r="M1793" i="2"/>
  <c r="J1793" i="2"/>
  <c r="I1793" i="2"/>
  <c r="H1793" i="2"/>
  <c r="G1793" i="2"/>
  <c r="F1793" i="2"/>
  <c r="E1793" i="2"/>
  <c r="D1793" i="2"/>
  <c r="C1793" i="2"/>
  <c r="B1793" i="2"/>
  <c r="A1793" i="2"/>
  <c r="U1792" i="2"/>
  <c r="N1792" i="2"/>
  <c r="M1792" i="2"/>
  <c r="J1792" i="2"/>
  <c r="I1792" i="2"/>
  <c r="H1792" i="2"/>
  <c r="G1792" i="2"/>
  <c r="F1792" i="2"/>
  <c r="E1792" i="2"/>
  <c r="D1792" i="2"/>
  <c r="C1792" i="2"/>
  <c r="B1792" i="2"/>
  <c r="A1792" i="2"/>
  <c r="U1791" i="2"/>
  <c r="N1791" i="2"/>
  <c r="M1791" i="2"/>
  <c r="J1791" i="2"/>
  <c r="I1791" i="2"/>
  <c r="H1791" i="2"/>
  <c r="G1791" i="2"/>
  <c r="F1791" i="2"/>
  <c r="E1791" i="2"/>
  <c r="D1791" i="2"/>
  <c r="C1791" i="2"/>
  <c r="B1791" i="2"/>
  <c r="A1791" i="2"/>
  <c r="U1790" i="2"/>
  <c r="N1790" i="2"/>
  <c r="M1790" i="2"/>
  <c r="J1790" i="2"/>
  <c r="I1790" i="2"/>
  <c r="H1790" i="2"/>
  <c r="G1790" i="2"/>
  <c r="F1790" i="2"/>
  <c r="E1790" i="2"/>
  <c r="D1790" i="2"/>
  <c r="C1790" i="2"/>
  <c r="B1790" i="2"/>
  <c r="A1790" i="2"/>
  <c r="U1789" i="2"/>
  <c r="N1789" i="2"/>
  <c r="M1789" i="2"/>
  <c r="J1789" i="2"/>
  <c r="I1789" i="2"/>
  <c r="H1789" i="2"/>
  <c r="G1789" i="2"/>
  <c r="F1789" i="2"/>
  <c r="E1789" i="2"/>
  <c r="D1789" i="2"/>
  <c r="C1789" i="2"/>
  <c r="B1789" i="2"/>
  <c r="A1789" i="2"/>
  <c r="U1788" i="2"/>
  <c r="N1788" i="2"/>
  <c r="M1788" i="2"/>
  <c r="J1788" i="2"/>
  <c r="I1788" i="2"/>
  <c r="H1788" i="2"/>
  <c r="G1788" i="2"/>
  <c r="F1788" i="2"/>
  <c r="E1788" i="2"/>
  <c r="D1788" i="2"/>
  <c r="C1788" i="2"/>
  <c r="B1788" i="2"/>
  <c r="A1788" i="2"/>
  <c r="U1787" i="2"/>
  <c r="N1787" i="2"/>
  <c r="M1787" i="2"/>
  <c r="J1787" i="2"/>
  <c r="I1787" i="2"/>
  <c r="H1787" i="2"/>
  <c r="G1787" i="2"/>
  <c r="F1787" i="2"/>
  <c r="E1787" i="2"/>
  <c r="D1787" i="2"/>
  <c r="C1787" i="2"/>
  <c r="B1787" i="2"/>
  <c r="A1787" i="2"/>
  <c r="U1786" i="2"/>
  <c r="N1786" i="2"/>
  <c r="M1786" i="2"/>
  <c r="J1786" i="2"/>
  <c r="I1786" i="2"/>
  <c r="H1786" i="2"/>
  <c r="G1786" i="2"/>
  <c r="F1786" i="2"/>
  <c r="E1786" i="2"/>
  <c r="D1786" i="2"/>
  <c r="C1786" i="2"/>
  <c r="B1786" i="2"/>
  <c r="A1786" i="2"/>
  <c r="U1785" i="2"/>
  <c r="N1785" i="2"/>
  <c r="M1785" i="2"/>
  <c r="J1785" i="2"/>
  <c r="I1785" i="2"/>
  <c r="H1785" i="2"/>
  <c r="G1785" i="2"/>
  <c r="F1785" i="2"/>
  <c r="E1785" i="2"/>
  <c r="D1785" i="2"/>
  <c r="C1785" i="2"/>
  <c r="B1785" i="2"/>
  <c r="A1785" i="2"/>
  <c r="U1784" i="2"/>
  <c r="N1784" i="2"/>
  <c r="M1784" i="2"/>
  <c r="J1784" i="2"/>
  <c r="I1784" i="2"/>
  <c r="H1784" i="2"/>
  <c r="G1784" i="2"/>
  <c r="F1784" i="2"/>
  <c r="E1784" i="2"/>
  <c r="D1784" i="2"/>
  <c r="C1784" i="2"/>
  <c r="B1784" i="2"/>
  <c r="A1784" i="2"/>
  <c r="U1783" i="2"/>
  <c r="N1783" i="2"/>
  <c r="M1783" i="2"/>
  <c r="J1783" i="2"/>
  <c r="I1783" i="2"/>
  <c r="H1783" i="2"/>
  <c r="G1783" i="2"/>
  <c r="F1783" i="2"/>
  <c r="E1783" i="2"/>
  <c r="D1783" i="2"/>
  <c r="C1783" i="2"/>
  <c r="B1783" i="2"/>
  <c r="A1783" i="2"/>
  <c r="U1782" i="2"/>
  <c r="N1782" i="2"/>
  <c r="M1782" i="2"/>
  <c r="J1782" i="2"/>
  <c r="I1782" i="2"/>
  <c r="H1782" i="2"/>
  <c r="G1782" i="2"/>
  <c r="F1782" i="2"/>
  <c r="E1782" i="2"/>
  <c r="D1782" i="2"/>
  <c r="C1782" i="2"/>
  <c r="B1782" i="2"/>
  <c r="A1782" i="2"/>
  <c r="U1781" i="2"/>
  <c r="N1781" i="2"/>
  <c r="M1781" i="2"/>
  <c r="J1781" i="2"/>
  <c r="I1781" i="2"/>
  <c r="H1781" i="2"/>
  <c r="G1781" i="2"/>
  <c r="F1781" i="2"/>
  <c r="E1781" i="2"/>
  <c r="D1781" i="2"/>
  <c r="C1781" i="2"/>
  <c r="B1781" i="2"/>
  <c r="A1781" i="2"/>
  <c r="U1780" i="2"/>
  <c r="N1780" i="2"/>
  <c r="M1780" i="2"/>
  <c r="J1780" i="2"/>
  <c r="I1780" i="2"/>
  <c r="H1780" i="2"/>
  <c r="G1780" i="2"/>
  <c r="F1780" i="2"/>
  <c r="E1780" i="2"/>
  <c r="D1780" i="2"/>
  <c r="C1780" i="2"/>
  <c r="B1780" i="2"/>
  <c r="A1780" i="2"/>
  <c r="U1779" i="2"/>
  <c r="N1779" i="2"/>
  <c r="M1779" i="2"/>
  <c r="J1779" i="2"/>
  <c r="I1779" i="2"/>
  <c r="H1779" i="2"/>
  <c r="G1779" i="2"/>
  <c r="F1779" i="2"/>
  <c r="E1779" i="2"/>
  <c r="D1779" i="2"/>
  <c r="C1779" i="2"/>
  <c r="B1779" i="2"/>
  <c r="A1779" i="2"/>
  <c r="U1778" i="2"/>
  <c r="N1778" i="2"/>
  <c r="M1778" i="2"/>
  <c r="J1778" i="2"/>
  <c r="I1778" i="2"/>
  <c r="H1778" i="2"/>
  <c r="G1778" i="2"/>
  <c r="F1778" i="2"/>
  <c r="E1778" i="2"/>
  <c r="D1778" i="2"/>
  <c r="C1778" i="2"/>
  <c r="B1778" i="2"/>
  <c r="A1778" i="2"/>
  <c r="U1777" i="2"/>
  <c r="N1777" i="2"/>
  <c r="M1777" i="2"/>
  <c r="J1777" i="2"/>
  <c r="I1777" i="2"/>
  <c r="H1777" i="2"/>
  <c r="G1777" i="2"/>
  <c r="F1777" i="2"/>
  <c r="E1777" i="2"/>
  <c r="D1777" i="2"/>
  <c r="C1777" i="2"/>
  <c r="B1777" i="2"/>
  <c r="A1777" i="2"/>
  <c r="U1776" i="2"/>
  <c r="N1776" i="2"/>
  <c r="M1776" i="2"/>
  <c r="J1776" i="2"/>
  <c r="I1776" i="2"/>
  <c r="H1776" i="2"/>
  <c r="G1776" i="2"/>
  <c r="F1776" i="2"/>
  <c r="E1776" i="2"/>
  <c r="D1776" i="2"/>
  <c r="C1776" i="2"/>
  <c r="B1776" i="2"/>
  <c r="A1776" i="2"/>
  <c r="U1775" i="2"/>
  <c r="N1775" i="2"/>
  <c r="M1775" i="2"/>
  <c r="J1775" i="2"/>
  <c r="I1775" i="2"/>
  <c r="H1775" i="2"/>
  <c r="G1775" i="2"/>
  <c r="F1775" i="2"/>
  <c r="E1775" i="2"/>
  <c r="D1775" i="2"/>
  <c r="C1775" i="2"/>
  <c r="B1775" i="2"/>
  <c r="A1775" i="2"/>
  <c r="U1774" i="2"/>
  <c r="N1774" i="2"/>
  <c r="M1774" i="2"/>
  <c r="J1774" i="2"/>
  <c r="I1774" i="2"/>
  <c r="H1774" i="2"/>
  <c r="G1774" i="2"/>
  <c r="F1774" i="2"/>
  <c r="E1774" i="2"/>
  <c r="D1774" i="2"/>
  <c r="C1774" i="2"/>
  <c r="B1774" i="2"/>
  <c r="A1774" i="2"/>
  <c r="U1773" i="2"/>
  <c r="N1773" i="2"/>
  <c r="M1773" i="2"/>
  <c r="J1773" i="2"/>
  <c r="I1773" i="2"/>
  <c r="H1773" i="2"/>
  <c r="G1773" i="2"/>
  <c r="F1773" i="2"/>
  <c r="E1773" i="2"/>
  <c r="D1773" i="2"/>
  <c r="C1773" i="2"/>
  <c r="B1773" i="2"/>
  <c r="A1773" i="2"/>
  <c r="U1772" i="2"/>
  <c r="N1772" i="2"/>
  <c r="M1772" i="2"/>
  <c r="J1772" i="2"/>
  <c r="I1772" i="2"/>
  <c r="H1772" i="2"/>
  <c r="G1772" i="2"/>
  <c r="F1772" i="2"/>
  <c r="E1772" i="2"/>
  <c r="D1772" i="2"/>
  <c r="C1772" i="2"/>
  <c r="B1772" i="2"/>
  <c r="A1772" i="2"/>
  <c r="U1771" i="2"/>
  <c r="N1771" i="2"/>
  <c r="M1771" i="2"/>
  <c r="J1771" i="2"/>
  <c r="I1771" i="2"/>
  <c r="H1771" i="2"/>
  <c r="G1771" i="2"/>
  <c r="F1771" i="2"/>
  <c r="E1771" i="2"/>
  <c r="D1771" i="2"/>
  <c r="C1771" i="2"/>
  <c r="B1771" i="2"/>
  <c r="A1771" i="2"/>
  <c r="U1770" i="2"/>
  <c r="N1770" i="2"/>
  <c r="M1770" i="2"/>
  <c r="J1770" i="2"/>
  <c r="I1770" i="2"/>
  <c r="H1770" i="2"/>
  <c r="G1770" i="2"/>
  <c r="F1770" i="2"/>
  <c r="E1770" i="2"/>
  <c r="D1770" i="2"/>
  <c r="C1770" i="2"/>
  <c r="B1770" i="2"/>
  <c r="A1770" i="2"/>
  <c r="U1769" i="2"/>
  <c r="N1769" i="2"/>
  <c r="M1769" i="2"/>
  <c r="J1769" i="2"/>
  <c r="I1769" i="2"/>
  <c r="H1769" i="2"/>
  <c r="G1769" i="2"/>
  <c r="F1769" i="2"/>
  <c r="E1769" i="2"/>
  <c r="D1769" i="2"/>
  <c r="C1769" i="2"/>
  <c r="B1769" i="2"/>
  <c r="A1769" i="2"/>
  <c r="U1768" i="2"/>
  <c r="N1768" i="2"/>
  <c r="M1768" i="2"/>
  <c r="J1768" i="2"/>
  <c r="I1768" i="2"/>
  <c r="H1768" i="2"/>
  <c r="G1768" i="2"/>
  <c r="F1768" i="2"/>
  <c r="E1768" i="2"/>
  <c r="D1768" i="2"/>
  <c r="C1768" i="2"/>
  <c r="B1768" i="2"/>
  <c r="A1768" i="2"/>
  <c r="U1767" i="2"/>
  <c r="N1767" i="2"/>
  <c r="M1767" i="2"/>
  <c r="J1767" i="2"/>
  <c r="I1767" i="2"/>
  <c r="H1767" i="2"/>
  <c r="G1767" i="2"/>
  <c r="F1767" i="2"/>
  <c r="E1767" i="2"/>
  <c r="D1767" i="2"/>
  <c r="C1767" i="2"/>
  <c r="B1767" i="2"/>
  <c r="A1767" i="2"/>
  <c r="U1766" i="2"/>
  <c r="N1766" i="2"/>
  <c r="M1766" i="2"/>
  <c r="J1766" i="2"/>
  <c r="I1766" i="2"/>
  <c r="H1766" i="2"/>
  <c r="G1766" i="2"/>
  <c r="F1766" i="2"/>
  <c r="E1766" i="2"/>
  <c r="D1766" i="2"/>
  <c r="C1766" i="2"/>
  <c r="B1766" i="2"/>
  <c r="A1766" i="2"/>
  <c r="U1765" i="2"/>
  <c r="N1765" i="2"/>
  <c r="M1765" i="2"/>
  <c r="J1765" i="2"/>
  <c r="I1765" i="2"/>
  <c r="H1765" i="2"/>
  <c r="G1765" i="2"/>
  <c r="F1765" i="2"/>
  <c r="E1765" i="2"/>
  <c r="D1765" i="2"/>
  <c r="C1765" i="2"/>
  <c r="B1765" i="2"/>
  <c r="A1765" i="2"/>
  <c r="U1764" i="2"/>
  <c r="N1764" i="2"/>
  <c r="M1764" i="2"/>
  <c r="J1764" i="2"/>
  <c r="I1764" i="2"/>
  <c r="H1764" i="2"/>
  <c r="G1764" i="2"/>
  <c r="F1764" i="2"/>
  <c r="E1764" i="2"/>
  <c r="D1764" i="2"/>
  <c r="C1764" i="2"/>
  <c r="B1764" i="2"/>
  <c r="A1764" i="2"/>
  <c r="U1763" i="2"/>
  <c r="N1763" i="2"/>
  <c r="M1763" i="2"/>
  <c r="J1763" i="2"/>
  <c r="I1763" i="2"/>
  <c r="H1763" i="2"/>
  <c r="G1763" i="2"/>
  <c r="F1763" i="2"/>
  <c r="E1763" i="2"/>
  <c r="D1763" i="2"/>
  <c r="C1763" i="2"/>
  <c r="B1763" i="2"/>
  <c r="A1763" i="2"/>
  <c r="U1762" i="2"/>
  <c r="N1762" i="2"/>
  <c r="M1762" i="2"/>
  <c r="J1762" i="2"/>
  <c r="I1762" i="2"/>
  <c r="H1762" i="2"/>
  <c r="G1762" i="2"/>
  <c r="F1762" i="2"/>
  <c r="E1762" i="2"/>
  <c r="D1762" i="2"/>
  <c r="C1762" i="2"/>
  <c r="B1762" i="2"/>
  <c r="A1762" i="2"/>
  <c r="U1761" i="2"/>
  <c r="N1761" i="2"/>
  <c r="M1761" i="2"/>
  <c r="J1761" i="2"/>
  <c r="I1761" i="2"/>
  <c r="H1761" i="2"/>
  <c r="G1761" i="2"/>
  <c r="F1761" i="2"/>
  <c r="E1761" i="2"/>
  <c r="D1761" i="2"/>
  <c r="C1761" i="2"/>
  <c r="B1761" i="2"/>
  <c r="A1761" i="2"/>
  <c r="U1760" i="2"/>
  <c r="N1760" i="2"/>
  <c r="M1760" i="2"/>
  <c r="J1760" i="2"/>
  <c r="I1760" i="2"/>
  <c r="H1760" i="2"/>
  <c r="G1760" i="2"/>
  <c r="F1760" i="2"/>
  <c r="E1760" i="2"/>
  <c r="D1760" i="2"/>
  <c r="C1760" i="2"/>
  <c r="B1760" i="2"/>
  <c r="A1760" i="2"/>
  <c r="U1759" i="2"/>
  <c r="N1759" i="2"/>
  <c r="M1759" i="2"/>
  <c r="J1759" i="2"/>
  <c r="I1759" i="2"/>
  <c r="H1759" i="2"/>
  <c r="G1759" i="2"/>
  <c r="F1759" i="2"/>
  <c r="E1759" i="2"/>
  <c r="D1759" i="2"/>
  <c r="C1759" i="2"/>
  <c r="B1759" i="2"/>
  <c r="A1759" i="2"/>
  <c r="U1758" i="2"/>
  <c r="N1758" i="2"/>
  <c r="M1758" i="2"/>
  <c r="J1758" i="2"/>
  <c r="I1758" i="2"/>
  <c r="H1758" i="2"/>
  <c r="G1758" i="2"/>
  <c r="F1758" i="2"/>
  <c r="E1758" i="2"/>
  <c r="D1758" i="2"/>
  <c r="C1758" i="2"/>
  <c r="B1758" i="2"/>
  <c r="A1758" i="2"/>
  <c r="U1757" i="2"/>
  <c r="N1757" i="2"/>
  <c r="M1757" i="2"/>
  <c r="J1757" i="2"/>
  <c r="I1757" i="2"/>
  <c r="H1757" i="2"/>
  <c r="G1757" i="2"/>
  <c r="F1757" i="2"/>
  <c r="E1757" i="2"/>
  <c r="D1757" i="2"/>
  <c r="C1757" i="2"/>
  <c r="B1757" i="2"/>
  <c r="A1757" i="2"/>
  <c r="U1756" i="2"/>
  <c r="N1756" i="2"/>
  <c r="M1756" i="2"/>
  <c r="J1756" i="2"/>
  <c r="I1756" i="2"/>
  <c r="H1756" i="2"/>
  <c r="G1756" i="2"/>
  <c r="F1756" i="2"/>
  <c r="E1756" i="2"/>
  <c r="D1756" i="2"/>
  <c r="C1756" i="2"/>
  <c r="B1756" i="2"/>
  <c r="A1756" i="2"/>
  <c r="U1755" i="2"/>
  <c r="N1755" i="2"/>
  <c r="M1755" i="2"/>
  <c r="J1755" i="2"/>
  <c r="I1755" i="2"/>
  <c r="H1755" i="2"/>
  <c r="G1755" i="2"/>
  <c r="F1755" i="2"/>
  <c r="E1755" i="2"/>
  <c r="D1755" i="2"/>
  <c r="C1755" i="2"/>
  <c r="B1755" i="2"/>
  <c r="A1755" i="2"/>
  <c r="U1754" i="2"/>
  <c r="N1754" i="2"/>
  <c r="M1754" i="2"/>
  <c r="J1754" i="2"/>
  <c r="I1754" i="2"/>
  <c r="H1754" i="2"/>
  <c r="G1754" i="2"/>
  <c r="F1754" i="2"/>
  <c r="E1754" i="2"/>
  <c r="D1754" i="2"/>
  <c r="C1754" i="2"/>
  <c r="B1754" i="2"/>
  <c r="A1754" i="2"/>
  <c r="U1753" i="2"/>
  <c r="N1753" i="2"/>
  <c r="M1753" i="2"/>
  <c r="J1753" i="2"/>
  <c r="I1753" i="2"/>
  <c r="H1753" i="2"/>
  <c r="G1753" i="2"/>
  <c r="F1753" i="2"/>
  <c r="E1753" i="2"/>
  <c r="D1753" i="2"/>
  <c r="C1753" i="2"/>
  <c r="B1753" i="2"/>
  <c r="A1753" i="2"/>
  <c r="U1752" i="2"/>
  <c r="N1752" i="2"/>
  <c r="M1752" i="2"/>
  <c r="J1752" i="2"/>
  <c r="I1752" i="2"/>
  <c r="H1752" i="2"/>
  <c r="G1752" i="2"/>
  <c r="F1752" i="2"/>
  <c r="E1752" i="2"/>
  <c r="D1752" i="2"/>
  <c r="C1752" i="2"/>
  <c r="B1752" i="2"/>
  <c r="A1752" i="2"/>
  <c r="U1751" i="2"/>
  <c r="N1751" i="2"/>
  <c r="M1751" i="2"/>
  <c r="J1751" i="2"/>
  <c r="I1751" i="2"/>
  <c r="H1751" i="2"/>
  <c r="G1751" i="2"/>
  <c r="F1751" i="2"/>
  <c r="E1751" i="2"/>
  <c r="D1751" i="2"/>
  <c r="C1751" i="2"/>
  <c r="B1751" i="2"/>
  <c r="A1751" i="2"/>
  <c r="U1750" i="2"/>
  <c r="N1750" i="2"/>
  <c r="M1750" i="2"/>
  <c r="J1750" i="2"/>
  <c r="I1750" i="2"/>
  <c r="H1750" i="2"/>
  <c r="G1750" i="2"/>
  <c r="F1750" i="2"/>
  <c r="E1750" i="2"/>
  <c r="D1750" i="2"/>
  <c r="C1750" i="2"/>
  <c r="B1750" i="2"/>
  <c r="A1750" i="2"/>
  <c r="U1749" i="2"/>
  <c r="N1749" i="2"/>
  <c r="M1749" i="2"/>
  <c r="J1749" i="2"/>
  <c r="I1749" i="2"/>
  <c r="H1749" i="2"/>
  <c r="G1749" i="2"/>
  <c r="F1749" i="2"/>
  <c r="E1749" i="2"/>
  <c r="D1749" i="2"/>
  <c r="C1749" i="2"/>
  <c r="B1749" i="2"/>
  <c r="A1749" i="2"/>
  <c r="U1748" i="2"/>
  <c r="N1748" i="2"/>
  <c r="M1748" i="2"/>
  <c r="J1748" i="2"/>
  <c r="I1748" i="2"/>
  <c r="H1748" i="2"/>
  <c r="G1748" i="2"/>
  <c r="F1748" i="2"/>
  <c r="E1748" i="2"/>
  <c r="D1748" i="2"/>
  <c r="C1748" i="2"/>
  <c r="B1748" i="2"/>
  <c r="A1748" i="2"/>
  <c r="U1747" i="2"/>
  <c r="N1747" i="2"/>
  <c r="M1747" i="2"/>
  <c r="J1747" i="2"/>
  <c r="I1747" i="2"/>
  <c r="H1747" i="2"/>
  <c r="G1747" i="2"/>
  <c r="F1747" i="2"/>
  <c r="E1747" i="2"/>
  <c r="D1747" i="2"/>
  <c r="C1747" i="2"/>
  <c r="B1747" i="2"/>
  <c r="A1747" i="2"/>
  <c r="U1746" i="2"/>
  <c r="N1746" i="2"/>
  <c r="M1746" i="2"/>
  <c r="J1746" i="2"/>
  <c r="I1746" i="2"/>
  <c r="H1746" i="2"/>
  <c r="G1746" i="2"/>
  <c r="F1746" i="2"/>
  <c r="E1746" i="2"/>
  <c r="D1746" i="2"/>
  <c r="C1746" i="2"/>
  <c r="B1746" i="2"/>
  <c r="A1746" i="2"/>
  <c r="U1745" i="2"/>
  <c r="N1745" i="2"/>
  <c r="M1745" i="2"/>
  <c r="J1745" i="2"/>
  <c r="I1745" i="2"/>
  <c r="H1745" i="2"/>
  <c r="G1745" i="2"/>
  <c r="F1745" i="2"/>
  <c r="E1745" i="2"/>
  <c r="D1745" i="2"/>
  <c r="C1745" i="2"/>
  <c r="B1745" i="2"/>
  <c r="A1745" i="2"/>
  <c r="U1744" i="2"/>
  <c r="N1744" i="2"/>
  <c r="M1744" i="2"/>
  <c r="J1744" i="2"/>
  <c r="I1744" i="2"/>
  <c r="H1744" i="2"/>
  <c r="G1744" i="2"/>
  <c r="F1744" i="2"/>
  <c r="E1744" i="2"/>
  <c r="D1744" i="2"/>
  <c r="C1744" i="2"/>
  <c r="B1744" i="2"/>
  <c r="A1744" i="2"/>
  <c r="U1743" i="2"/>
  <c r="N1743" i="2"/>
  <c r="M1743" i="2"/>
  <c r="J1743" i="2"/>
  <c r="I1743" i="2"/>
  <c r="H1743" i="2"/>
  <c r="G1743" i="2"/>
  <c r="F1743" i="2"/>
  <c r="E1743" i="2"/>
  <c r="D1743" i="2"/>
  <c r="C1743" i="2"/>
  <c r="B1743" i="2"/>
  <c r="A1743" i="2"/>
  <c r="U1742" i="2"/>
  <c r="N1742" i="2"/>
  <c r="M1742" i="2"/>
  <c r="J1742" i="2"/>
  <c r="I1742" i="2"/>
  <c r="H1742" i="2"/>
  <c r="G1742" i="2"/>
  <c r="F1742" i="2"/>
  <c r="E1742" i="2"/>
  <c r="D1742" i="2"/>
  <c r="C1742" i="2"/>
  <c r="B1742" i="2"/>
  <c r="A1742" i="2"/>
  <c r="U1741" i="2"/>
  <c r="N1741" i="2"/>
  <c r="M1741" i="2"/>
  <c r="J1741" i="2"/>
  <c r="I1741" i="2"/>
  <c r="H1741" i="2"/>
  <c r="G1741" i="2"/>
  <c r="F1741" i="2"/>
  <c r="E1741" i="2"/>
  <c r="D1741" i="2"/>
  <c r="C1741" i="2"/>
  <c r="B1741" i="2"/>
  <c r="A1741" i="2"/>
  <c r="U1740" i="2"/>
  <c r="N1740" i="2"/>
  <c r="M1740" i="2"/>
  <c r="J1740" i="2"/>
  <c r="I1740" i="2"/>
  <c r="H1740" i="2"/>
  <c r="G1740" i="2"/>
  <c r="F1740" i="2"/>
  <c r="E1740" i="2"/>
  <c r="D1740" i="2"/>
  <c r="C1740" i="2"/>
  <c r="B1740" i="2"/>
  <c r="A1740" i="2"/>
  <c r="U1739" i="2"/>
  <c r="N1739" i="2"/>
  <c r="M1739" i="2"/>
  <c r="J1739" i="2"/>
  <c r="I1739" i="2"/>
  <c r="H1739" i="2"/>
  <c r="G1739" i="2"/>
  <c r="F1739" i="2"/>
  <c r="E1739" i="2"/>
  <c r="D1739" i="2"/>
  <c r="C1739" i="2"/>
  <c r="B1739" i="2"/>
  <c r="A1739" i="2"/>
  <c r="U1738" i="2"/>
  <c r="N1738" i="2"/>
  <c r="M1738" i="2"/>
  <c r="J1738" i="2"/>
  <c r="I1738" i="2"/>
  <c r="H1738" i="2"/>
  <c r="G1738" i="2"/>
  <c r="F1738" i="2"/>
  <c r="E1738" i="2"/>
  <c r="D1738" i="2"/>
  <c r="C1738" i="2"/>
  <c r="B1738" i="2"/>
  <c r="A1738" i="2"/>
  <c r="U1737" i="2"/>
  <c r="N1737" i="2"/>
  <c r="M1737" i="2"/>
  <c r="J1737" i="2"/>
  <c r="I1737" i="2"/>
  <c r="H1737" i="2"/>
  <c r="G1737" i="2"/>
  <c r="F1737" i="2"/>
  <c r="E1737" i="2"/>
  <c r="D1737" i="2"/>
  <c r="C1737" i="2"/>
  <c r="B1737" i="2"/>
  <c r="A1737" i="2"/>
  <c r="U1736" i="2"/>
  <c r="N1736" i="2"/>
  <c r="M1736" i="2"/>
  <c r="J1736" i="2"/>
  <c r="I1736" i="2"/>
  <c r="H1736" i="2"/>
  <c r="G1736" i="2"/>
  <c r="F1736" i="2"/>
  <c r="E1736" i="2"/>
  <c r="D1736" i="2"/>
  <c r="C1736" i="2"/>
  <c r="B1736" i="2"/>
  <c r="A1736" i="2"/>
  <c r="U1735" i="2"/>
  <c r="N1735" i="2"/>
  <c r="M1735" i="2"/>
  <c r="J1735" i="2"/>
  <c r="I1735" i="2"/>
  <c r="H1735" i="2"/>
  <c r="G1735" i="2"/>
  <c r="F1735" i="2"/>
  <c r="E1735" i="2"/>
  <c r="D1735" i="2"/>
  <c r="C1735" i="2"/>
  <c r="B1735" i="2"/>
  <c r="A1735" i="2"/>
  <c r="U1734" i="2"/>
  <c r="N1734" i="2"/>
  <c r="M1734" i="2"/>
  <c r="J1734" i="2"/>
  <c r="I1734" i="2"/>
  <c r="H1734" i="2"/>
  <c r="G1734" i="2"/>
  <c r="F1734" i="2"/>
  <c r="E1734" i="2"/>
  <c r="D1734" i="2"/>
  <c r="C1734" i="2"/>
  <c r="B1734" i="2"/>
  <c r="A1734" i="2"/>
  <c r="U1733" i="2"/>
  <c r="N1733" i="2"/>
  <c r="M1733" i="2"/>
  <c r="J1733" i="2"/>
  <c r="I1733" i="2"/>
  <c r="H1733" i="2"/>
  <c r="G1733" i="2"/>
  <c r="F1733" i="2"/>
  <c r="E1733" i="2"/>
  <c r="D1733" i="2"/>
  <c r="C1733" i="2"/>
  <c r="B1733" i="2"/>
  <c r="A1733" i="2"/>
  <c r="U1732" i="2"/>
  <c r="N1732" i="2"/>
  <c r="M1732" i="2"/>
  <c r="J1732" i="2"/>
  <c r="I1732" i="2"/>
  <c r="H1732" i="2"/>
  <c r="G1732" i="2"/>
  <c r="F1732" i="2"/>
  <c r="E1732" i="2"/>
  <c r="D1732" i="2"/>
  <c r="C1732" i="2"/>
  <c r="B1732" i="2"/>
  <c r="A1732" i="2"/>
  <c r="U1731" i="2"/>
  <c r="N1731" i="2"/>
  <c r="M1731" i="2"/>
  <c r="J1731" i="2"/>
  <c r="I1731" i="2"/>
  <c r="H1731" i="2"/>
  <c r="G1731" i="2"/>
  <c r="F1731" i="2"/>
  <c r="E1731" i="2"/>
  <c r="D1731" i="2"/>
  <c r="C1731" i="2"/>
  <c r="B1731" i="2"/>
  <c r="A1731" i="2"/>
  <c r="U1730" i="2"/>
  <c r="N1730" i="2"/>
  <c r="M1730" i="2"/>
  <c r="J1730" i="2"/>
  <c r="I1730" i="2"/>
  <c r="H1730" i="2"/>
  <c r="G1730" i="2"/>
  <c r="F1730" i="2"/>
  <c r="E1730" i="2"/>
  <c r="D1730" i="2"/>
  <c r="C1730" i="2"/>
  <c r="B1730" i="2"/>
  <c r="A1730" i="2"/>
  <c r="U1729" i="2"/>
  <c r="N1729" i="2"/>
  <c r="M1729" i="2"/>
  <c r="J1729" i="2"/>
  <c r="I1729" i="2"/>
  <c r="H1729" i="2"/>
  <c r="G1729" i="2"/>
  <c r="F1729" i="2"/>
  <c r="E1729" i="2"/>
  <c r="D1729" i="2"/>
  <c r="C1729" i="2"/>
  <c r="B1729" i="2"/>
  <c r="A1729" i="2"/>
  <c r="U1728" i="2"/>
  <c r="N1728" i="2"/>
  <c r="M1728" i="2"/>
  <c r="J1728" i="2"/>
  <c r="I1728" i="2"/>
  <c r="H1728" i="2"/>
  <c r="G1728" i="2"/>
  <c r="F1728" i="2"/>
  <c r="E1728" i="2"/>
  <c r="D1728" i="2"/>
  <c r="C1728" i="2"/>
  <c r="B1728" i="2"/>
  <c r="A1728" i="2"/>
  <c r="U1727" i="2"/>
  <c r="N1727" i="2"/>
  <c r="M1727" i="2"/>
  <c r="J1727" i="2"/>
  <c r="I1727" i="2"/>
  <c r="H1727" i="2"/>
  <c r="G1727" i="2"/>
  <c r="F1727" i="2"/>
  <c r="E1727" i="2"/>
  <c r="D1727" i="2"/>
  <c r="C1727" i="2"/>
  <c r="B1727" i="2"/>
  <c r="A1727" i="2"/>
  <c r="U1726" i="2"/>
  <c r="N1726" i="2"/>
  <c r="M1726" i="2"/>
  <c r="J1726" i="2"/>
  <c r="I1726" i="2"/>
  <c r="H1726" i="2"/>
  <c r="G1726" i="2"/>
  <c r="F1726" i="2"/>
  <c r="E1726" i="2"/>
  <c r="D1726" i="2"/>
  <c r="C1726" i="2"/>
  <c r="B1726" i="2"/>
  <c r="A1726" i="2"/>
  <c r="U1725" i="2"/>
  <c r="N1725" i="2"/>
  <c r="M1725" i="2"/>
  <c r="J1725" i="2"/>
  <c r="I1725" i="2"/>
  <c r="H1725" i="2"/>
  <c r="G1725" i="2"/>
  <c r="F1725" i="2"/>
  <c r="E1725" i="2"/>
  <c r="D1725" i="2"/>
  <c r="C1725" i="2"/>
  <c r="B1725" i="2"/>
  <c r="A1725" i="2"/>
  <c r="U1724" i="2"/>
  <c r="N1724" i="2"/>
  <c r="M1724" i="2"/>
  <c r="J1724" i="2"/>
  <c r="I1724" i="2"/>
  <c r="H1724" i="2"/>
  <c r="G1724" i="2"/>
  <c r="F1724" i="2"/>
  <c r="E1724" i="2"/>
  <c r="D1724" i="2"/>
  <c r="C1724" i="2"/>
  <c r="B1724" i="2"/>
  <c r="A1724" i="2"/>
  <c r="U1723" i="2"/>
  <c r="N1723" i="2"/>
  <c r="M1723" i="2"/>
  <c r="J1723" i="2"/>
  <c r="I1723" i="2"/>
  <c r="H1723" i="2"/>
  <c r="G1723" i="2"/>
  <c r="F1723" i="2"/>
  <c r="E1723" i="2"/>
  <c r="D1723" i="2"/>
  <c r="C1723" i="2"/>
  <c r="B1723" i="2"/>
  <c r="A1723" i="2"/>
  <c r="U1722" i="2"/>
  <c r="N1722" i="2"/>
  <c r="M1722" i="2"/>
  <c r="J1722" i="2"/>
  <c r="I1722" i="2"/>
  <c r="H1722" i="2"/>
  <c r="G1722" i="2"/>
  <c r="F1722" i="2"/>
  <c r="E1722" i="2"/>
  <c r="D1722" i="2"/>
  <c r="C1722" i="2"/>
  <c r="B1722" i="2"/>
  <c r="A1722" i="2"/>
  <c r="U1721" i="2"/>
  <c r="N1721" i="2"/>
  <c r="M1721" i="2"/>
  <c r="J1721" i="2"/>
  <c r="I1721" i="2"/>
  <c r="H1721" i="2"/>
  <c r="G1721" i="2"/>
  <c r="F1721" i="2"/>
  <c r="E1721" i="2"/>
  <c r="D1721" i="2"/>
  <c r="C1721" i="2"/>
  <c r="B1721" i="2"/>
  <c r="A1721" i="2"/>
  <c r="U1720" i="2"/>
  <c r="N1720" i="2"/>
  <c r="M1720" i="2"/>
  <c r="J1720" i="2"/>
  <c r="I1720" i="2"/>
  <c r="H1720" i="2"/>
  <c r="G1720" i="2"/>
  <c r="F1720" i="2"/>
  <c r="E1720" i="2"/>
  <c r="D1720" i="2"/>
  <c r="C1720" i="2"/>
  <c r="B1720" i="2"/>
  <c r="A1720" i="2"/>
  <c r="U1719" i="2"/>
  <c r="N1719" i="2"/>
  <c r="M1719" i="2"/>
  <c r="J1719" i="2"/>
  <c r="I1719" i="2"/>
  <c r="H1719" i="2"/>
  <c r="G1719" i="2"/>
  <c r="F1719" i="2"/>
  <c r="E1719" i="2"/>
  <c r="D1719" i="2"/>
  <c r="C1719" i="2"/>
  <c r="B1719" i="2"/>
  <c r="A1719" i="2"/>
  <c r="U1718" i="2"/>
  <c r="N1718" i="2"/>
  <c r="M1718" i="2"/>
  <c r="J1718" i="2"/>
  <c r="I1718" i="2"/>
  <c r="H1718" i="2"/>
  <c r="G1718" i="2"/>
  <c r="F1718" i="2"/>
  <c r="E1718" i="2"/>
  <c r="D1718" i="2"/>
  <c r="C1718" i="2"/>
  <c r="B1718" i="2"/>
  <c r="A1718" i="2"/>
  <c r="U1717" i="2"/>
  <c r="N1717" i="2"/>
  <c r="M1717" i="2"/>
  <c r="J1717" i="2"/>
  <c r="I1717" i="2"/>
  <c r="H1717" i="2"/>
  <c r="G1717" i="2"/>
  <c r="F1717" i="2"/>
  <c r="E1717" i="2"/>
  <c r="D1717" i="2"/>
  <c r="C1717" i="2"/>
  <c r="B1717" i="2"/>
  <c r="A1717" i="2"/>
  <c r="U1716" i="2"/>
  <c r="N1716" i="2"/>
  <c r="M1716" i="2"/>
  <c r="J1716" i="2"/>
  <c r="I1716" i="2"/>
  <c r="H1716" i="2"/>
  <c r="G1716" i="2"/>
  <c r="F1716" i="2"/>
  <c r="E1716" i="2"/>
  <c r="D1716" i="2"/>
  <c r="C1716" i="2"/>
  <c r="B1716" i="2"/>
  <c r="A1716" i="2"/>
  <c r="U1715" i="2"/>
  <c r="N1715" i="2"/>
  <c r="M1715" i="2"/>
  <c r="J1715" i="2"/>
  <c r="I1715" i="2"/>
  <c r="H1715" i="2"/>
  <c r="G1715" i="2"/>
  <c r="F1715" i="2"/>
  <c r="E1715" i="2"/>
  <c r="D1715" i="2"/>
  <c r="C1715" i="2"/>
  <c r="B1715" i="2"/>
  <c r="A1715" i="2"/>
  <c r="U1714" i="2"/>
  <c r="N1714" i="2"/>
  <c r="M1714" i="2"/>
  <c r="J1714" i="2"/>
  <c r="I1714" i="2"/>
  <c r="H1714" i="2"/>
  <c r="G1714" i="2"/>
  <c r="F1714" i="2"/>
  <c r="E1714" i="2"/>
  <c r="D1714" i="2"/>
  <c r="C1714" i="2"/>
  <c r="B1714" i="2"/>
  <c r="A1714" i="2"/>
  <c r="U1713" i="2"/>
  <c r="N1713" i="2"/>
  <c r="M1713" i="2"/>
  <c r="J1713" i="2"/>
  <c r="I1713" i="2"/>
  <c r="H1713" i="2"/>
  <c r="G1713" i="2"/>
  <c r="F1713" i="2"/>
  <c r="E1713" i="2"/>
  <c r="D1713" i="2"/>
  <c r="C1713" i="2"/>
  <c r="B1713" i="2"/>
  <c r="A1713" i="2"/>
  <c r="U1712" i="2"/>
  <c r="N1712" i="2"/>
  <c r="M1712" i="2"/>
  <c r="J1712" i="2"/>
  <c r="I1712" i="2"/>
  <c r="H1712" i="2"/>
  <c r="G1712" i="2"/>
  <c r="F1712" i="2"/>
  <c r="E1712" i="2"/>
  <c r="D1712" i="2"/>
  <c r="C1712" i="2"/>
  <c r="B1712" i="2"/>
  <c r="A1712" i="2"/>
  <c r="U1711" i="2"/>
  <c r="N1711" i="2"/>
  <c r="M1711" i="2"/>
  <c r="J1711" i="2"/>
  <c r="I1711" i="2"/>
  <c r="H1711" i="2"/>
  <c r="G1711" i="2"/>
  <c r="F1711" i="2"/>
  <c r="E1711" i="2"/>
  <c r="D1711" i="2"/>
  <c r="C1711" i="2"/>
  <c r="B1711" i="2"/>
  <c r="A1711" i="2"/>
  <c r="U1710" i="2"/>
  <c r="N1710" i="2"/>
  <c r="M1710" i="2"/>
  <c r="J1710" i="2"/>
  <c r="I1710" i="2"/>
  <c r="H1710" i="2"/>
  <c r="G1710" i="2"/>
  <c r="F1710" i="2"/>
  <c r="E1710" i="2"/>
  <c r="D1710" i="2"/>
  <c r="C1710" i="2"/>
  <c r="B1710" i="2"/>
  <c r="A1710" i="2"/>
  <c r="U1709" i="2"/>
  <c r="N1709" i="2"/>
  <c r="M1709" i="2"/>
  <c r="J1709" i="2"/>
  <c r="I1709" i="2"/>
  <c r="H1709" i="2"/>
  <c r="G1709" i="2"/>
  <c r="F1709" i="2"/>
  <c r="E1709" i="2"/>
  <c r="D1709" i="2"/>
  <c r="C1709" i="2"/>
  <c r="B1709" i="2"/>
  <c r="A1709" i="2"/>
  <c r="U1708" i="2"/>
  <c r="N1708" i="2"/>
  <c r="M1708" i="2"/>
  <c r="J1708" i="2"/>
  <c r="I1708" i="2"/>
  <c r="H1708" i="2"/>
  <c r="G1708" i="2"/>
  <c r="F1708" i="2"/>
  <c r="E1708" i="2"/>
  <c r="D1708" i="2"/>
  <c r="C1708" i="2"/>
  <c r="B1708" i="2"/>
  <c r="A1708" i="2"/>
  <c r="U1707" i="2"/>
  <c r="N1707" i="2"/>
  <c r="M1707" i="2"/>
  <c r="J1707" i="2"/>
  <c r="I1707" i="2"/>
  <c r="H1707" i="2"/>
  <c r="G1707" i="2"/>
  <c r="F1707" i="2"/>
  <c r="E1707" i="2"/>
  <c r="D1707" i="2"/>
  <c r="C1707" i="2"/>
  <c r="B1707" i="2"/>
  <c r="A1707" i="2"/>
  <c r="U1706" i="2"/>
  <c r="N1706" i="2"/>
  <c r="M1706" i="2"/>
  <c r="J1706" i="2"/>
  <c r="I1706" i="2"/>
  <c r="H1706" i="2"/>
  <c r="G1706" i="2"/>
  <c r="F1706" i="2"/>
  <c r="E1706" i="2"/>
  <c r="D1706" i="2"/>
  <c r="C1706" i="2"/>
  <c r="B1706" i="2"/>
  <c r="A1706" i="2"/>
  <c r="U1705" i="2"/>
  <c r="N1705" i="2"/>
  <c r="M1705" i="2"/>
  <c r="J1705" i="2"/>
  <c r="I1705" i="2"/>
  <c r="H1705" i="2"/>
  <c r="G1705" i="2"/>
  <c r="F1705" i="2"/>
  <c r="E1705" i="2"/>
  <c r="D1705" i="2"/>
  <c r="C1705" i="2"/>
  <c r="B1705" i="2"/>
  <c r="A1705" i="2"/>
  <c r="U1704" i="2"/>
  <c r="N1704" i="2"/>
  <c r="M1704" i="2"/>
  <c r="J1704" i="2"/>
  <c r="I1704" i="2"/>
  <c r="H1704" i="2"/>
  <c r="G1704" i="2"/>
  <c r="F1704" i="2"/>
  <c r="E1704" i="2"/>
  <c r="D1704" i="2"/>
  <c r="C1704" i="2"/>
  <c r="B1704" i="2"/>
  <c r="A1704" i="2"/>
  <c r="U1703" i="2"/>
  <c r="N1703" i="2"/>
  <c r="M1703" i="2"/>
  <c r="J1703" i="2"/>
  <c r="I1703" i="2"/>
  <c r="H1703" i="2"/>
  <c r="G1703" i="2"/>
  <c r="F1703" i="2"/>
  <c r="E1703" i="2"/>
  <c r="D1703" i="2"/>
  <c r="C1703" i="2"/>
  <c r="B1703" i="2"/>
  <c r="A1703" i="2"/>
  <c r="U1702" i="2"/>
  <c r="N1702" i="2"/>
  <c r="M1702" i="2"/>
  <c r="J1702" i="2"/>
  <c r="I1702" i="2"/>
  <c r="H1702" i="2"/>
  <c r="G1702" i="2"/>
  <c r="F1702" i="2"/>
  <c r="E1702" i="2"/>
  <c r="D1702" i="2"/>
  <c r="C1702" i="2"/>
  <c r="B1702" i="2"/>
  <c r="A1702" i="2"/>
  <c r="U1701" i="2"/>
  <c r="N1701" i="2"/>
  <c r="M1701" i="2"/>
  <c r="J1701" i="2"/>
  <c r="I1701" i="2"/>
  <c r="H1701" i="2"/>
  <c r="G1701" i="2"/>
  <c r="F1701" i="2"/>
  <c r="E1701" i="2"/>
  <c r="D1701" i="2"/>
  <c r="C1701" i="2"/>
  <c r="B1701" i="2"/>
  <c r="A1701" i="2"/>
  <c r="U1700" i="2"/>
  <c r="N1700" i="2"/>
  <c r="M1700" i="2"/>
  <c r="J1700" i="2"/>
  <c r="I1700" i="2"/>
  <c r="H1700" i="2"/>
  <c r="G1700" i="2"/>
  <c r="F1700" i="2"/>
  <c r="E1700" i="2"/>
  <c r="D1700" i="2"/>
  <c r="C1700" i="2"/>
  <c r="B1700" i="2"/>
  <c r="A1700" i="2"/>
  <c r="U1699" i="2"/>
  <c r="N1699" i="2"/>
  <c r="M1699" i="2"/>
  <c r="J1699" i="2"/>
  <c r="I1699" i="2"/>
  <c r="H1699" i="2"/>
  <c r="G1699" i="2"/>
  <c r="F1699" i="2"/>
  <c r="E1699" i="2"/>
  <c r="D1699" i="2"/>
  <c r="C1699" i="2"/>
  <c r="B1699" i="2"/>
  <c r="A1699" i="2"/>
  <c r="U1698" i="2"/>
  <c r="N1698" i="2"/>
  <c r="M1698" i="2"/>
  <c r="J1698" i="2"/>
  <c r="I1698" i="2"/>
  <c r="H1698" i="2"/>
  <c r="G1698" i="2"/>
  <c r="F1698" i="2"/>
  <c r="E1698" i="2"/>
  <c r="D1698" i="2"/>
  <c r="C1698" i="2"/>
  <c r="B1698" i="2"/>
  <c r="A1698" i="2"/>
  <c r="U1697" i="2"/>
  <c r="N1697" i="2"/>
  <c r="M1697" i="2"/>
  <c r="J1697" i="2"/>
  <c r="I1697" i="2"/>
  <c r="H1697" i="2"/>
  <c r="G1697" i="2"/>
  <c r="F1697" i="2"/>
  <c r="E1697" i="2"/>
  <c r="D1697" i="2"/>
  <c r="C1697" i="2"/>
  <c r="B1697" i="2"/>
  <c r="A1697" i="2"/>
  <c r="U1696" i="2"/>
  <c r="N1696" i="2"/>
  <c r="M1696" i="2"/>
  <c r="J1696" i="2"/>
  <c r="I1696" i="2"/>
  <c r="H1696" i="2"/>
  <c r="G1696" i="2"/>
  <c r="F1696" i="2"/>
  <c r="E1696" i="2"/>
  <c r="D1696" i="2"/>
  <c r="C1696" i="2"/>
  <c r="B1696" i="2"/>
  <c r="A1696" i="2"/>
  <c r="U1695" i="2"/>
  <c r="N1695" i="2"/>
  <c r="M1695" i="2"/>
  <c r="J1695" i="2"/>
  <c r="I1695" i="2"/>
  <c r="H1695" i="2"/>
  <c r="G1695" i="2"/>
  <c r="F1695" i="2"/>
  <c r="E1695" i="2"/>
  <c r="D1695" i="2"/>
  <c r="C1695" i="2"/>
  <c r="B1695" i="2"/>
  <c r="A1695" i="2"/>
  <c r="U1694" i="2"/>
  <c r="N1694" i="2"/>
  <c r="M1694" i="2"/>
  <c r="J1694" i="2"/>
  <c r="I1694" i="2"/>
  <c r="H1694" i="2"/>
  <c r="G1694" i="2"/>
  <c r="F1694" i="2"/>
  <c r="E1694" i="2"/>
  <c r="D1694" i="2"/>
  <c r="C1694" i="2"/>
  <c r="B1694" i="2"/>
  <c r="A1694" i="2"/>
  <c r="U1693" i="2"/>
  <c r="N1693" i="2"/>
  <c r="M1693" i="2"/>
  <c r="J1693" i="2"/>
  <c r="I1693" i="2"/>
  <c r="H1693" i="2"/>
  <c r="G1693" i="2"/>
  <c r="F1693" i="2"/>
  <c r="E1693" i="2"/>
  <c r="D1693" i="2"/>
  <c r="C1693" i="2"/>
  <c r="B1693" i="2"/>
  <c r="A1693" i="2"/>
  <c r="U1692" i="2"/>
  <c r="N1692" i="2"/>
  <c r="M1692" i="2"/>
  <c r="J1692" i="2"/>
  <c r="I1692" i="2"/>
  <c r="H1692" i="2"/>
  <c r="G1692" i="2"/>
  <c r="F1692" i="2"/>
  <c r="E1692" i="2"/>
  <c r="D1692" i="2"/>
  <c r="C1692" i="2"/>
  <c r="B1692" i="2"/>
  <c r="A1692" i="2"/>
  <c r="U1691" i="2"/>
  <c r="N1691" i="2"/>
  <c r="M1691" i="2"/>
  <c r="J1691" i="2"/>
  <c r="I1691" i="2"/>
  <c r="H1691" i="2"/>
  <c r="G1691" i="2"/>
  <c r="F1691" i="2"/>
  <c r="E1691" i="2"/>
  <c r="D1691" i="2"/>
  <c r="C1691" i="2"/>
  <c r="B1691" i="2"/>
  <c r="A1691" i="2"/>
  <c r="U1690" i="2"/>
  <c r="N1690" i="2"/>
  <c r="M1690" i="2"/>
  <c r="J1690" i="2"/>
  <c r="I1690" i="2"/>
  <c r="H1690" i="2"/>
  <c r="G1690" i="2"/>
  <c r="F1690" i="2"/>
  <c r="E1690" i="2"/>
  <c r="D1690" i="2"/>
  <c r="C1690" i="2"/>
  <c r="B1690" i="2"/>
  <c r="A1690" i="2"/>
  <c r="U1689" i="2"/>
  <c r="N1689" i="2"/>
  <c r="M1689" i="2"/>
  <c r="J1689" i="2"/>
  <c r="I1689" i="2"/>
  <c r="H1689" i="2"/>
  <c r="G1689" i="2"/>
  <c r="F1689" i="2"/>
  <c r="E1689" i="2"/>
  <c r="D1689" i="2"/>
  <c r="C1689" i="2"/>
  <c r="B1689" i="2"/>
  <c r="A1689" i="2"/>
  <c r="U1688" i="2"/>
  <c r="N1688" i="2"/>
  <c r="M1688" i="2"/>
  <c r="J1688" i="2"/>
  <c r="I1688" i="2"/>
  <c r="H1688" i="2"/>
  <c r="G1688" i="2"/>
  <c r="F1688" i="2"/>
  <c r="E1688" i="2"/>
  <c r="D1688" i="2"/>
  <c r="C1688" i="2"/>
  <c r="B1688" i="2"/>
  <c r="A1688" i="2"/>
  <c r="U1687" i="2"/>
  <c r="N1687" i="2"/>
  <c r="M1687" i="2"/>
  <c r="J1687" i="2"/>
  <c r="I1687" i="2"/>
  <c r="H1687" i="2"/>
  <c r="G1687" i="2"/>
  <c r="F1687" i="2"/>
  <c r="E1687" i="2"/>
  <c r="D1687" i="2"/>
  <c r="C1687" i="2"/>
  <c r="B1687" i="2"/>
  <c r="A1687" i="2"/>
  <c r="U1686" i="2"/>
  <c r="N1686" i="2"/>
  <c r="M1686" i="2"/>
  <c r="J1686" i="2"/>
  <c r="I1686" i="2"/>
  <c r="H1686" i="2"/>
  <c r="G1686" i="2"/>
  <c r="F1686" i="2"/>
  <c r="E1686" i="2"/>
  <c r="D1686" i="2"/>
  <c r="C1686" i="2"/>
  <c r="B1686" i="2"/>
  <c r="A1686" i="2"/>
  <c r="U1685" i="2"/>
  <c r="N1685" i="2"/>
  <c r="M1685" i="2"/>
  <c r="J1685" i="2"/>
  <c r="I1685" i="2"/>
  <c r="H1685" i="2"/>
  <c r="G1685" i="2"/>
  <c r="F1685" i="2"/>
  <c r="E1685" i="2"/>
  <c r="D1685" i="2"/>
  <c r="C1685" i="2"/>
  <c r="B1685" i="2"/>
  <c r="A1685" i="2"/>
  <c r="U1684" i="2"/>
  <c r="N1684" i="2"/>
  <c r="M1684" i="2"/>
  <c r="J1684" i="2"/>
  <c r="I1684" i="2"/>
  <c r="H1684" i="2"/>
  <c r="G1684" i="2"/>
  <c r="F1684" i="2"/>
  <c r="E1684" i="2"/>
  <c r="D1684" i="2"/>
  <c r="C1684" i="2"/>
  <c r="B1684" i="2"/>
  <c r="A1684" i="2"/>
  <c r="U1683" i="2"/>
  <c r="N1683" i="2"/>
  <c r="M1683" i="2"/>
  <c r="J1683" i="2"/>
  <c r="I1683" i="2"/>
  <c r="H1683" i="2"/>
  <c r="G1683" i="2"/>
  <c r="F1683" i="2"/>
  <c r="E1683" i="2"/>
  <c r="D1683" i="2"/>
  <c r="C1683" i="2"/>
  <c r="B1683" i="2"/>
  <c r="A1683" i="2"/>
  <c r="U1682" i="2"/>
  <c r="N1682" i="2"/>
  <c r="M1682" i="2"/>
  <c r="J1682" i="2"/>
  <c r="I1682" i="2"/>
  <c r="H1682" i="2"/>
  <c r="G1682" i="2"/>
  <c r="F1682" i="2"/>
  <c r="E1682" i="2"/>
  <c r="D1682" i="2"/>
  <c r="C1682" i="2"/>
  <c r="B1682" i="2"/>
  <c r="A1682" i="2"/>
  <c r="U1681" i="2"/>
  <c r="N1681" i="2"/>
  <c r="M1681" i="2"/>
  <c r="J1681" i="2"/>
  <c r="I1681" i="2"/>
  <c r="H1681" i="2"/>
  <c r="G1681" i="2"/>
  <c r="F1681" i="2"/>
  <c r="E1681" i="2"/>
  <c r="D1681" i="2"/>
  <c r="C1681" i="2"/>
  <c r="B1681" i="2"/>
  <c r="A1681" i="2"/>
  <c r="U1680" i="2"/>
  <c r="N1680" i="2"/>
  <c r="M1680" i="2"/>
  <c r="J1680" i="2"/>
  <c r="I1680" i="2"/>
  <c r="H1680" i="2"/>
  <c r="G1680" i="2"/>
  <c r="F1680" i="2"/>
  <c r="E1680" i="2"/>
  <c r="D1680" i="2"/>
  <c r="C1680" i="2"/>
  <c r="B1680" i="2"/>
  <c r="A1680" i="2"/>
  <c r="U1679" i="2"/>
  <c r="N1679" i="2"/>
  <c r="M1679" i="2"/>
  <c r="J1679" i="2"/>
  <c r="I1679" i="2"/>
  <c r="H1679" i="2"/>
  <c r="G1679" i="2"/>
  <c r="F1679" i="2"/>
  <c r="E1679" i="2"/>
  <c r="D1679" i="2"/>
  <c r="C1679" i="2"/>
  <c r="B1679" i="2"/>
  <c r="A1679" i="2"/>
  <c r="U1678" i="2"/>
  <c r="N1678" i="2"/>
  <c r="M1678" i="2"/>
  <c r="J1678" i="2"/>
  <c r="I1678" i="2"/>
  <c r="H1678" i="2"/>
  <c r="G1678" i="2"/>
  <c r="F1678" i="2"/>
  <c r="E1678" i="2"/>
  <c r="D1678" i="2"/>
  <c r="C1678" i="2"/>
  <c r="B1678" i="2"/>
  <c r="A1678" i="2"/>
  <c r="U1677" i="2"/>
  <c r="N1677" i="2"/>
  <c r="M1677" i="2"/>
  <c r="J1677" i="2"/>
  <c r="I1677" i="2"/>
  <c r="H1677" i="2"/>
  <c r="G1677" i="2"/>
  <c r="F1677" i="2"/>
  <c r="E1677" i="2"/>
  <c r="D1677" i="2"/>
  <c r="C1677" i="2"/>
  <c r="B1677" i="2"/>
  <c r="A1677" i="2"/>
  <c r="U1676" i="2"/>
  <c r="N1676" i="2"/>
  <c r="M1676" i="2"/>
  <c r="J1676" i="2"/>
  <c r="I1676" i="2"/>
  <c r="H1676" i="2"/>
  <c r="G1676" i="2"/>
  <c r="F1676" i="2"/>
  <c r="E1676" i="2"/>
  <c r="D1676" i="2"/>
  <c r="C1676" i="2"/>
  <c r="B1676" i="2"/>
  <c r="A1676" i="2"/>
  <c r="U1675" i="2"/>
  <c r="N1675" i="2"/>
  <c r="M1675" i="2"/>
  <c r="J1675" i="2"/>
  <c r="I1675" i="2"/>
  <c r="H1675" i="2"/>
  <c r="G1675" i="2"/>
  <c r="F1675" i="2"/>
  <c r="E1675" i="2"/>
  <c r="D1675" i="2"/>
  <c r="C1675" i="2"/>
  <c r="B1675" i="2"/>
  <c r="A1675" i="2"/>
  <c r="U1674" i="2"/>
  <c r="N1674" i="2"/>
  <c r="M1674" i="2"/>
  <c r="J1674" i="2"/>
  <c r="I1674" i="2"/>
  <c r="H1674" i="2"/>
  <c r="G1674" i="2"/>
  <c r="F1674" i="2"/>
  <c r="E1674" i="2"/>
  <c r="D1674" i="2"/>
  <c r="C1674" i="2"/>
  <c r="B1674" i="2"/>
  <c r="A1674" i="2"/>
  <c r="U1673" i="2"/>
  <c r="N1673" i="2"/>
  <c r="M1673" i="2"/>
  <c r="J1673" i="2"/>
  <c r="I1673" i="2"/>
  <c r="H1673" i="2"/>
  <c r="G1673" i="2"/>
  <c r="F1673" i="2"/>
  <c r="E1673" i="2"/>
  <c r="D1673" i="2"/>
  <c r="C1673" i="2"/>
  <c r="B1673" i="2"/>
  <c r="A1673" i="2"/>
  <c r="U1672" i="2"/>
  <c r="N1672" i="2"/>
  <c r="M1672" i="2"/>
  <c r="J1672" i="2"/>
  <c r="I1672" i="2"/>
  <c r="H1672" i="2"/>
  <c r="G1672" i="2"/>
  <c r="F1672" i="2"/>
  <c r="E1672" i="2"/>
  <c r="D1672" i="2"/>
  <c r="C1672" i="2"/>
  <c r="B1672" i="2"/>
  <c r="A1672" i="2"/>
  <c r="U1671" i="2"/>
  <c r="N1671" i="2"/>
  <c r="M1671" i="2"/>
  <c r="J1671" i="2"/>
  <c r="I1671" i="2"/>
  <c r="H1671" i="2"/>
  <c r="G1671" i="2"/>
  <c r="F1671" i="2"/>
  <c r="E1671" i="2"/>
  <c r="D1671" i="2"/>
  <c r="C1671" i="2"/>
  <c r="B1671" i="2"/>
  <c r="A1671" i="2"/>
  <c r="U1670" i="2"/>
  <c r="N1670" i="2"/>
  <c r="M1670" i="2"/>
  <c r="J1670" i="2"/>
  <c r="I1670" i="2"/>
  <c r="H1670" i="2"/>
  <c r="G1670" i="2"/>
  <c r="F1670" i="2"/>
  <c r="E1670" i="2"/>
  <c r="D1670" i="2"/>
  <c r="C1670" i="2"/>
  <c r="B1670" i="2"/>
  <c r="A1670" i="2"/>
  <c r="U1669" i="2"/>
  <c r="N1669" i="2"/>
  <c r="M1669" i="2"/>
  <c r="J1669" i="2"/>
  <c r="I1669" i="2"/>
  <c r="H1669" i="2"/>
  <c r="G1669" i="2"/>
  <c r="F1669" i="2"/>
  <c r="E1669" i="2"/>
  <c r="D1669" i="2"/>
  <c r="C1669" i="2"/>
  <c r="B1669" i="2"/>
  <c r="A1669" i="2"/>
  <c r="U1668" i="2"/>
  <c r="N1668" i="2"/>
  <c r="M1668" i="2"/>
  <c r="J1668" i="2"/>
  <c r="I1668" i="2"/>
  <c r="H1668" i="2"/>
  <c r="G1668" i="2"/>
  <c r="F1668" i="2"/>
  <c r="E1668" i="2"/>
  <c r="D1668" i="2"/>
  <c r="C1668" i="2"/>
  <c r="B1668" i="2"/>
  <c r="A1668" i="2"/>
  <c r="U1667" i="2"/>
  <c r="N1667" i="2"/>
  <c r="M1667" i="2"/>
  <c r="J1667" i="2"/>
  <c r="I1667" i="2"/>
  <c r="H1667" i="2"/>
  <c r="G1667" i="2"/>
  <c r="F1667" i="2"/>
  <c r="E1667" i="2"/>
  <c r="D1667" i="2"/>
  <c r="C1667" i="2"/>
  <c r="B1667" i="2"/>
  <c r="A1667" i="2"/>
  <c r="U1666" i="2"/>
  <c r="N1666" i="2"/>
  <c r="M1666" i="2"/>
  <c r="J1666" i="2"/>
  <c r="I1666" i="2"/>
  <c r="H1666" i="2"/>
  <c r="G1666" i="2"/>
  <c r="F1666" i="2"/>
  <c r="E1666" i="2"/>
  <c r="D1666" i="2"/>
  <c r="C1666" i="2"/>
  <c r="B1666" i="2"/>
  <c r="A1666" i="2"/>
  <c r="U1665" i="2"/>
  <c r="N1665" i="2"/>
  <c r="M1665" i="2"/>
  <c r="J1665" i="2"/>
  <c r="I1665" i="2"/>
  <c r="H1665" i="2"/>
  <c r="G1665" i="2"/>
  <c r="F1665" i="2"/>
  <c r="E1665" i="2"/>
  <c r="D1665" i="2"/>
  <c r="C1665" i="2"/>
  <c r="B1665" i="2"/>
  <c r="A1665" i="2"/>
  <c r="U1664" i="2"/>
  <c r="N1664" i="2"/>
  <c r="M1664" i="2"/>
  <c r="J1664" i="2"/>
  <c r="I1664" i="2"/>
  <c r="H1664" i="2"/>
  <c r="G1664" i="2"/>
  <c r="F1664" i="2"/>
  <c r="E1664" i="2"/>
  <c r="D1664" i="2"/>
  <c r="C1664" i="2"/>
  <c r="B1664" i="2"/>
  <c r="A1664" i="2"/>
  <c r="U1663" i="2"/>
  <c r="N1663" i="2"/>
  <c r="M1663" i="2"/>
  <c r="J1663" i="2"/>
  <c r="I1663" i="2"/>
  <c r="H1663" i="2"/>
  <c r="G1663" i="2"/>
  <c r="F1663" i="2"/>
  <c r="E1663" i="2"/>
  <c r="D1663" i="2"/>
  <c r="C1663" i="2"/>
  <c r="B1663" i="2"/>
  <c r="A1663" i="2"/>
  <c r="U1662" i="2"/>
  <c r="N1662" i="2"/>
  <c r="M1662" i="2"/>
  <c r="J1662" i="2"/>
  <c r="I1662" i="2"/>
  <c r="H1662" i="2"/>
  <c r="G1662" i="2"/>
  <c r="F1662" i="2"/>
  <c r="E1662" i="2"/>
  <c r="D1662" i="2"/>
  <c r="C1662" i="2"/>
  <c r="B1662" i="2"/>
  <c r="A1662" i="2"/>
  <c r="U1661" i="2"/>
  <c r="N1661" i="2"/>
  <c r="M1661" i="2"/>
  <c r="J1661" i="2"/>
  <c r="I1661" i="2"/>
  <c r="H1661" i="2"/>
  <c r="G1661" i="2"/>
  <c r="F1661" i="2"/>
  <c r="E1661" i="2"/>
  <c r="D1661" i="2"/>
  <c r="C1661" i="2"/>
  <c r="B1661" i="2"/>
  <c r="A1661" i="2"/>
  <c r="U1660" i="2"/>
  <c r="N1660" i="2"/>
  <c r="M1660" i="2"/>
  <c r="J1660" i="2"/>
  <c r="I1660" i="2"/>
  <c r="H1660" i="2"/>
  <c r="G1660" i="2"/>
  <c r="F1660" i="2"/>
  <c r="E1660" i="2"/>
  <c r="D1660" i="2"/>
  <c r="C1660" i="2"/>
  <c r="B1660" i="2"/>
  <c r="A1660" i="2"/>
  <c r="U1659" i="2"/>
  <c r="N1659" i="2"/>
  <c r="M1659" i="2"/>
  <c r="J1659" i="2"/>
  <c r="I1659" i="2"/>
  <c r="H1659" i="2"/>
  <c r="G1659" i="2"/>
  <c r="F1659" i="2"/>
  <c r="E1659" i="2"/>
  <c r="D1659" i="2"/>
  <c r="C1659" i="2"/>
  <c r="B1659" i="2"/>
  <c r="A1659" i="2"/>
  <c r="U1658" i="2"/>
  <c r="N1658" i="2"/>
  <c r="M1658" i="2"/>
  <c r="J1658" i="2"/>
  <c r="I1658" i="2"/>
  <c r="H1658" i="2"/>
  <c r="G1658" i="2"/>
  <c r="F1658" i="2"/>
  <c r="E1658" i="2"/>
  <c r="D1658" i="2"/>
  <c r="C1658" i="2"/>
  <c r="B1658" i="2"/>
  <c r="A1658" i="2"/>
  <c r="U1657" i="2"/>
  <c r="N1657" i="2"/>
  <c r="M1657" i="2"/>
  <c r="J1657" i="2"/>
  <c r="I1657" i="2"/>
  <c r="H1657" i="2"/>
  <c r="G1657" i="2"/>
  <c r="F1657" i="2"/>
  <c r="E1657" i="2"/>
  <c r="D1657" i="2"/>
  <c r="C1657" i="2"/>
  <c r="B1657" i="2"/>
  <c r="A1657" i="2"/>
  <c r="U1656" i="2"/>
  <c r="N1656" i="2"/>
  <c r="M1656" i="2"/>
  <c r="J1656" i="2"/>
  <c r="I1656" i="2"/>
  <c r="H1656" i="2"/>
  <c r="G1656" i="2"/>
  <c r="F1656" i="2"/>
  <c r="E1656" i="2"/>
  <c r="D1656" i="2"/>
  <c r="C1656" i="2"/>
  <c r="B1656" i="2"/>
  <c r="A1656" i="2"/>
  <c r="U1655" i="2"/>
  <c r="N1655" i="2"/>
  <c r="M1655" i="2"/>
  <c r="J1655" i="2"/>
  <c r="I1655" i="2"/>
  <c r="H1655" i="2"/>
  <c r="G1655" i="2"/>
  <c r="F1655" i="2"/>
  <c r="E1655" i="2"/>
  <c r="D1655" i="2"/>
  <c r="C1655" i="2"/>
  <c r="B1655" i="2"/>
  <c r="A1655" i="2"/>
  <c r="U1654" i="2"/>
  <c r="N1654" i="2"/>
  <c r="M1654" i="2"/>
  <c r="J1654" i="2"/>
  <c r="I1654" i="2"/>
  <c r="H1654" i="2"/>
  <c r="G1654" i="2"/>
  <c r="F1654" i="2"/>
  <c r="E1654" i="2"/>
  <c r="D1654" i="2"/>
  <c r="C1654" i="2"/>
  <c r="B1654" i="2"/>
  <c r="A1654" i="2"/>
  <c r="U1653" i="2"/>
  <c r="N1653" i="2"/>
  <c r="M1653" i="2"/>
  <c r="J1653" i="2"/>
  <c r="I1653" i="2"/>
  <c r="H1653" i="2"/>
  <c r="G1653" i="2"/>
  <c r="F1653" i="2"/>
  <c r="E1653" i="2"/>
  <c r="D1653" i="2"/>
  <c r="C1653" i="2"/>
  <c r="B1653" i="2"/>
  <c r="A1653" i="2"/>
  <c r="U1652" i="2"/>
  <c r="N1652" i="2"/>
  <c r="M1652" i="2"/>
  <c r="J1652" i="2"/>
  <c r="I1652" i="2"/>
  <c r="H1652" i="2"/>
  <c r="G1652" i="2"/>
  <c r="F1652" i="2"/>
  <c r="E1652" i="2"/>
  <c r="D1652" i="2"/>
  <c r="C1652" i="2"/>
  <c r="B1652" i="2"/>
  <c r="A1652" i="2"/>
  <c r="U1651" i="2"/>
  <c r="N1651" i="2"/>
  <c r="M1651" i="2"/>
  <c r="J1651" i="2"/>
  <c r="I1651" i="2"/>
  <c r="H1651" i="2"/>
  <c r="G1651" i="2"/>
  <c r="F1651" i="2"/>
  <c r="E1651" i="2"/>
  <c r="D1651" i="2"/>
  <c r="C1651" i="2"/>
  <c r="B1651" i="2"/>
  <c r="A1651" i="2"/>
  <c r="U1650" i="2"/>
  <c r="N1650" i="2"/>
  <c r="M1650" i="2"/>
  <c r="J1650" i="2"/>
  <c r="I1650" i="2"/>
  <c r="H1650" i="2"/>
  <c r="G1650" i="2"/>
  <c r="F1650" i="2"/>
  <c r="E1650" i="2"/>
  <c r="D1650" i="2"/>
  <c r="C1650" i="2"/>
  <c r="B1650" i="2"/>
  <c r="A1650" i="2"/>
  <c r="U1649" i="2"/>
  <c r="N1649" i="2"/>
  <c r="M1649" i="2"/>
  <c r="J1649" i="2"/>
  <c r="I1649" i="2"/>
  <c r="H1649" i="2"/>
  <c r="G1649" i="2"/>
  <c r="F1649" i="2"/>
  <c r="E1649" i="2"/>
  <c r="D1649" i="2"/>
  <c r="C1649" i="2"/>
  <c r="B1649" i="2"/>
  <c r="A1649" i="2"/>
  <c r="U1648" i="2"/>
  <c r="N1648" i="2"/>
  <c r="M1648" i="2"/>
  <c r="J1648" i="2"/>
  <c r="I1648" i="2"/>
  <c r="H1648" i="2"/>
  <c r="G1648" i="2"/>
  <c r="F1648" i="2"/>
  <c r="E1648" i="2"/>
  <c r="D1648" i="2"/>
  <c r="C1648" i="2"/>
  <c r="B1648" i="2"/>
  <c r="A1648" i="2"/>
  <c r="U1647" i="2"/>
  <c r="N1647" i="2"/>
  <c r="M1647" i="2"/>
  <c r="J1647" i="2"/>
  <c r="I1647" i="2"/>
  <c r="H1647" i="2"/>
  <c r="G1647" i="2"/>
  <c r="F1647" i="2"/>
  <c r="E1647" i="2"/>
  <c r="D1647" i="2"/>
  <c r="C1647" i="2"/>
  <c r="B1647" i="2"/>
  <c r="A1647" i="2"/>
  <c r="U1646" i="2"/>
  <c r="N1646" i="2"/>
  <c r="M1646" i="2"/>
  <c r="J1646" i="2"/>
  <c r="I1646" i="2"/>
  <c r="H1646" i="2"/>
  <c r="G1646" i="2"/>
  <c r="F1646" i="2"/>
  <c r="E1646" i="2"/>
  <c r="D1646" i="2"/>
  <c r="C1646" i="2"/>
  <c r="B1646" i="2"/>
  <c r="A1646" i="2"/>
  <c r="U1645" i="2"/>
  <c r="N1645" i="2"/>
  <c r="M1645" i="2"/>
  <c r="J1645" i="2"/>
  <c r="I1645" i="2"/>
  <c r="H1645" i="2"/>
  <c r="G1645" i="2"/>
  <c r="F1645" i="2"/>
  <c r="E1645" i="2"/>
  <c r="D1645" i="2"/>
  <c r="C1645" i="2"/>
  <c r="B1645" i="2"/>
  <c r="A1645" i="2"/>
  <c r="U1644" i="2"/>
  <c r="N1644" i="2"/>
  <c r="M1644" i="2"/>
  <c r="J1644" i="2"/>
  <c r="I1644" i="2"/>
  <c r="H1644" i="2"/>
  <c r="G1644" i="2"/>
  <c r="F1644" i="2"/>
  <c r="E1644" i="2"/>
  <c r="D1644" i="2"/>
  <c r="C1644" i="2"/>
  <c r="B1644" i="2"/>
  <c r="A1644" i="2"/>
  <c r="U1643" i="2"/>
  <c r="N1643" i="2"/>
  <c r="M1643" i="2"/>
  <c r="J1643" i="2"/>
  <c r="I1643" i="2"/>
  <c r="H1643" i="2"/>
  <c r="G1643" i="2"/>
  <c r="F1643" i="2"/>
  <c r="E1643" i="2"/>
  <c r="D1643" i="2"/>
  <c r="C1643" i="2"/>
  <c r="B1643" i="2"/>
  <c r="A1643" i="2"/>
  <c r="U1642" i="2"/>
  <c r="N1642" i="2"/>
  <c r="M1642" i="2"/>
  <c r="J1642" i="2"/>
  <c r="I1642" i="2"/>
  <c r="H1642" i="2"/>
  <c r="G1642" i="2"/>
  <c r="F1642" i="2"/>
  <c r="E1642" i="2"/>
  <c r="D1642" i="2"/>
  <c r="C1642" i="2"/>
  <c r="B1642" i="2"/>
  <c r="A1642" i="2"/>
  <c r="U1641" i="2"/>
  <c r="N1641" i="2"/>
  <c r="M1641" i="2"/>
  <c r="J1641" i="2"/>
  <c r="I1641" i="2"/>
  <c r="H1641" i="2"/>
  <c r="G1641" i="2"/>
  <c r="F1641" i="2"/>
  <c r="E1641" i="2"/>
  <c r="D1641" i="2"/>
  <c r="C1641" i="2"/>
  <c r="B1641" i="2"/>
  <c r="A1641" i="2"/>
  <c r="U1640" i="2"/>
  <c r="N1640" i="2"/>
  <c r="M1640" i="2"/>
  <c r="J1640" i="2"/>
  <c r="I1640" i="2"/>
  <c r="H1640" i="2"/>
  <c r="G1640" i="2"/>
  <c r="F1640" i="2"/>
  <c r="E1640" i="2"/>
  <c r="D1640" i="2"/>
  <c r="C1640" i="2"/>
  <c r="B1640" i="2"/>
  <c r="A1640" i="2"/>
  <c r="U1639" i="2"/>
  <c r="N1639" i="2"/>
  <c r="M1639" i="2"/>
  <c r="J1639" i="2"/>
  <c r="I1639" i="2"/>
  <c r="H1639" i="2"/>
  <c r="G1639" i="2"/>
  <c r="F1639" i="2"/>
  <c r="E1639" i="2"/>
  <c r="D1639" i="2"/>
  <c r="C1639" i="2"/>
  <c r="B1639" i="2"/>
  <c r="A1639" i="2"/>
  <c r="U1638" i="2"/>
  <c r="N1638" i="2"/>
  <c r="M1638" i="2"/>
  <c r="J1638" i="2"/>
  <c r="I1638" i="2"/>
  <c r="H1638" i="2"/>
  <c r="G1638" i="2"/>
  <c r="F1638" i="2"/>
  <c r="E1638" i="2"/>
  <c r="D1638" i="2"/>
  <c r="C1638" i="2"/>
  <c r="B1638" i="2"/>
  <c r="A1638" i="2"/>
  <c r="U1637" i="2"/>
  <c r="N1637" i="2"/>
  <c r="M1637" i="2"/>
  <c r="J1637" i="2"/>
  <c r="I1637" i="2"/>
  <c r="H1637" i="2"/>
  <c r="G1637" i="2"/>
  <c r="F1637" i="2"/>
  <c r="E1637" i="2"/>
  <c r="D1637" i="2"/>
  <c r="C1637" i="2"/>
  <c r="B1637" i="2"/>
  <c r="A1637" i="2"/>
  <c r="U1636" i="2"/>
  <c r="N1636" i="2"/>
  <c r="M1636" i="2"/>
  <c r="J1636" i="2"/>
  <c r="I1636" i="2"/>
  <c r="H1636" i="2"/>
  <c r="G1636" i="2"/>
  <c r="F1636" i="2"/>
  <c r="E1636" i="2"/>
  <c r="D1636" i="2"/>
  <c r="C1636" i="2"/>
  <c r="B1636" i="2"/>
  <c r="A1636" i="2"/>
  <c r="U1635" i="2"/>
  <c r="N1635" i="2"/>
  <c r="M1635" i="2"/>
  <c r="J1635" i="2"/>
  <c r="I1635" i="2"/>
  <c r="H1635" i="2"/>
  <c r="G1635" i="2"/>
  <c r="F1635" i="2"/>
  <c r="E1635" i="2"/>
  <c r="D1635" i="2"/>
  <c r="C1635" i="2"/>
  <c r="B1635" i="2"/>
  <c r="A1635" i="2"/>
  <c r="U1634" i="2"/>
  <c r="N1634" i="2"/>
  <c r="M1634" i="2"/>
  <c r="J1634" i="2"/>
  <c r="I1634" i="2"/>
  <c r="H1634" i="2"/>
  <c r="G1634" i="2"/>
  <c r="F1634" i="2"/>
  <c r="E1634" i="2"/>
  <c r="D1634" i="2"/>
  <c r="C1634" i="2"/>
  <c r="B1634" i="2"/>
  <c r="A1634" i="2"/>
  <c r="U1633" i="2"/>
  <c r="N1633" i="2"/>
  <c r="M1633" i="2"/>
  <c r="J1633" i="2"/>
  <c r="I1633" i="2"/>
  <c r="H1633" i="2"/>
  <c r="G1633" i="2"/>
  <c r="F1633" i="2"/>
  <c r="E1633" i="2"/>
  <c r="D1633" i="2"/>
  <c r="C1633" i="2"/>
  <c r="B1633" i="2"/>
  <c r="A1633" i="2"/>
  <c r="U1632" i="2"/>
  <c r="N1632" i="2"/>
  <c r="M1632" i="2"/>
  <c r="J1632" i="2"/>
  <c r="I1632" i="2"/>
  <c r="H1632" i="2"/>
  <c r="G1632" i="2"/>
  <c r="F1632" i="2"/>
  <c r="E1632" i="2"/>
  <c r="D1632" i="2"/>
  <c r="C1632" i="2"/>
  <c r="B1632" i="2"/>
  <c r="A1632" i="2"/>
  <c r="U1631" i="2"/>
  <c r="N1631" i="2"/>
  <c r="M1631" i="2"/>
  <c r="J1631" i="2"/>
  <c r="I1631" i="2"/>
  <c r="H1631" i="2"/>
  <c r="G1631" i="2"/>
  <c r="F1631" i="2"/>
  <c r="E1631" i="2"/>
  <c r="D1631" i="2"/>
  <c r="C1631" i="2"/>
  <c r="B1631" i="2"/>
  <c r="A1631" i="2"/>
  <c r="Q1630" i="2"/>
  <c r="U1630" i="2" s="1"/>
  <c r="N1630" i="2"/>
  <c r="M1630" i="2"/>
  <c r="J1630" i="2"/>
  <c r="I1630" i="2"/>
  <c r="H1630" i="2"/>
  <c r="G1630" i="2"/>
  <c r="F1630" i="2"/>
  <c r="E1630" i="2"/>
  <c r="D1630" i="2"/>
  <c r="C1630" i="2"/>
  <c r="B1630" i="2"/>
  <c r="A1630" i="2"/>
  <c r="Q1629" i="2"/>
  <c r="U1629" i="2" s="1"/>
  <c r="N1629" i="2"/>
  <c r="M1629" i="2"/>
  <c r="J1629" i="2"/>
  <c r="I1629" i="2"/>
  <c r="H1629" i="2"/>
  <c r="G1629" i="2"/>
  <c r="F1629" i="2"/>
  <c r="E1629" i="2"/>
  <c r="D1629" i="2"/>
  <c r="C1629" i="2"/>
  <c r="B1629" i="2"/>
  <c r="A1629" i="2"/>
  <c r="Q1628" i="2"/>
  <c r="U1628" i="2" s="1"/>
  <c r="N1628" i="2"/>
  <c r="M1628" i="2"/>
  <c r="J1628" i="2"/>
  <c r="I1628" i="2"/>
  <c r="H1628" i="2"/>
  <c r="G1628" i="2"/>
  <c r="F1628" i="2"/>
  <c r="E1628" i="2"/>
  <c r="D1628" i="2"/>
  <c r="C1628" i="2"/>
  <c r="B1628" i="2"/>
  <c r="A1628" i="2"/>
  <c r="U1627" i="2"/>
  <c r="N1627" i="2"/>
  <c r="M1627" i="2"/>
  <c r="J1627" i="2"/>
  <c r="I1627" i="2"/>
  <c r="H1627" i="2"/>
  <c r="G1627" i="2"/>
  <c r="F1627" i="2"/>
  <c r="E1627" i="2"/>
  <c r="D1627" i="2"/>
  <c r="C1627" i="2"/>
  <c r="B1627" i="2"/>
  <c r="A1627" i="2"/>
  <c r="Q1626" i="2"/>
  <c r="U1626" i="2" s="1"/>
  <c r="N1626" i="2"/>
  <c r="M1626" i="2"/>
  <c r="J1626" i="2"/>
  <c r="I1626" i="2"/>
  <c r="H1626" i="2"/>
  <c r="G1626" i="2"/>
  <c r="F1626" i="2"/>
  <c r="E1626" i="2"/>
  <c r="D1626" i="2"/>
  <c r="C1626" i="2"/>
  <c r="B1626" i="2"/>
  <c r="A1626" i="2"/>
  <c r="Q1625" i="2"/>
  <c r="U1625" i="2" s="1"/>
  <c r="N1625" i="2"/>
  <c r="M1625" i="2"/>
  <c r="J1625" i="2"/>
  <c r="I1625" i="2"/>
  <c r="H1625" i="2"/>
  <c r="G1625" i="2"/>
  <c r="F1625" i="2"/>
  <c r="E1625" i="2"/>
  <c r="D1625" i="2"/>
  <c r="C1625" i="2"/>
  <c r="B1625" i="2"/>
  <c r="A1625" i="2"/>
  <c r="U1624" i="2"/>
  <c r="N1624" i="2"/>
  <c r="M1624" i="2"/>
  <c r="J1624" i="2"/>
  <c r="I1624" i="2"/>
  <c r="H1624" i="2"/>
  <c r="G1624" i="2"/>
  <c r="F1624" i="2"/>
  <c r="E1624" i="2"/>
  <c r="D1624" i="2"/>
  <c r="C1624" i="2"/>
  <c r="B1624" i="2"/>
  <c r="A1624" i="2"/>
  <c r="U1623" i="2"/>
  <c r="N1623" i="2"/>
  <c r="M1623" i="2"/>
  <c r="J1623" i="2"/>
  <c r="I1623" i="2"/>
  <c r="H1623" i="2"/>
  <c r="G1623" i="2"/>
  <c r="F1623" i="2"/>
  <c r="E1623" i="2"/>
  <c r="D1623" i="2"/>
  <c r="C1623" i="2"/>
  <c r="B1623" i="2"/>
  <c r="A1623" i="2"/>
  <c r="Q1622" i="2"/>
  <c r="U1622" i="2" s="1"/>
  <c r="N1622" i="2"/>
  <c r="M1622" i="2"/>
  <c r="J1622" i="2"/>
  <c r="I1622" i="2"/>
  <c r="H1622" i="2"/>
  <c r="G1622" i="2"/>
  <c r="F1622" i="2"/>
  <c r="E1622" i="2"/>
  <c r="D1622" i="2"/>
  <c r="C1622" i="2"/>
  <c r="B1622" i="2"/>
  <c r="A1622" i="2"/>
  <c r="U1621" i="2"/>
  <c r="N1621" i="2"/>
  <c r="M1621" i="2"/>
  <c r="J1621" i="2"/>
  <c r="I1621" i="2"/>
  <c r="H1621" i="2"/>
  <c r="G1621" i="2"/>
  <c r="F1621" i="2"/>
  <c r="E1621" i="2"/>
  <c r="D1621" i="2"/>
  <c r="C1621" i="2"/>
  <c r="B1621" i="2"/>
  <c r="A1621" i="2"/>
  <c r="U1620" i="2"/>
  <c r="N1620" i="2"/>
  <c r="M1620" i="2"/>
  <c r="J1620" i="2"/>
  <c r="I1620" i="2"/>
  <c r="H1620" i="2"/>
  <c r="G1620" i="2"/>
  <c r="F1620" i="2"/>
  <c r="E1620" i="2"/>
  <c r="D1620" i="2"/>
  <c r="C1620" i="2"/>
  <c r="B1620" i="2"/>
  <c r="A1620" i="2"/>
  <c r="Q1619" i="2"/>
  <c r="U1619" i="2" s="1"/>
  <c r="N1619" i="2"/>
  <c r="M1619" i="2"/>
  <c r="J1619" i="2"/>
  <c r="I1619" i="2"/>
  <c r="H1619" i="2"/>
  <c r="G1619" i="2"/>
  <c r="F1619" i="2"/>
  <c r="E1619" i="2"/>
  <c r="D1619" i="2"/>
  <c r="C1619" i="2"/>
  <c r="B1619" i="2"/>
  <c r="A1619" i="2"/>
  <c r="U1618" i="2"/>
  <c r="N1618" i="2"/>
  <c r="M1618" i="2"/>
  <c r="J1618" i="2"/>
  <c r="I1618" i="2"/>
  <c r="H1618" i="2"/>
  <c r="G1618" i="2"/>
  <c r="F1618" i="2"/>
  <c r="E1618" i="2"/>
  <c r="D1618" i="2"/>
  <c r="C1618" i="2"/>
  <c r="B1618" i="2"/>
  <c r="A1618" i="2"/>
  <c r="U1617" i="2"/>
  <c r="N1617" i="2"/>
  <c r="M1617" i="2"/>
  <c r="J1617" i="2"/>
  <c r="I1617" i="2"/>
  <c r="H1617" i="2"/>
  <c r="G1617" i="2"/>
  <c r="F1617" i="2"/>
  <c r="E1617" i="2"/>
  <c r="D1617" i="2"/>
  <c r="C1617" i="2"/>
  <c r="B1617" i="2"/>
  <c r="A1617" i="2"/>
  <c r="Q1616" i="2"/>
  <c r="U1616" i="2" s="1"/>
  <c r="N1616" i="2"/>
  <c r="M1616" i="2"/>
  <c r="J1616" i="2"/>
  <c r="I1616" i="2"/>
  <c r="H1616" i="2"/>
  <c r="G1616" i="2"/>
  <c r="F1616" i="2"/>
  <c r="E1616" i="2"/>
  <c r="D1616" i="2"/>
  <c r="C1616" i="2"/>
  <c r="B1616" i="2"/>
  <c r="A1616" i="2"/>
  <c r="U1615" i="2"/>
  <c r="N1615" i="2"/>
  <c r="M1615" i="2"/>
  <c r="J1615" i="2"/>
  <c r="I1615" i="2"/>
  <c r="H1615" i="2"/>
  <c r="G1615" i="2"/>
  <c r="F1615" i="2"/>
  <c r="E1615" i="2"/>
  <c r="D1615" i="2"/>
  <c r="C1615" i="2"/>
  <c r="B1615" i="2"/>
  <c r="A1615" i="2"/>
  <c r="Q1614" i="2"/>
  <c r="U1614" i="2" s="1"/>
  <c r="N1614" i="2"/>
  <c r="M1614" i="2"/>
  <c r="J1614" i="2"/>
  <c r="I1614" i="2"/>
  <c r="H1614" i="2"/>
  <c r="G1614" i="2"/>
  <c r="F1614" i="2"/>
  <c r="E1614" i="2"/>
  <c r="D1614" i="2"/>
  <c r="C1614" i="2"/>
  <c r="B1614" i="2"/>
  <c r="A1614" i="2"/>
  <c r="U1613" i="2"/>
  <c r="N1613" i="2"/>
  <c r="M1613" i="2"/>
  <c r="J1613" i="2"/>
  <c r="I1613" i="2"/>
  <c r="H1613" i="2"/>
  <c r="G1613" i="2"/>
  <c r="F1613" i="2"/>
  <c r="E1613" i="2"/>
  <c r="D1613" i="2"/>
  <c r="C1613" i="2"/>
  <c r="B1613" i="2"/>
  <c r="A1613" i="2"/>
  <c r="U1612" i="2"/>
  <c r="N1612" i="2"/>
  <c r="M1612" i="2"/>
  <c r="J1612" i="2"/>
  <c r="I1612" i="2"/>
  <c r="H1612" i="2"/>
  <c r="G1612" i="2"/>
  <c r="F1612" i="2"/>
  <c r="E1612" i="2"/>
  <c r="D1612" i="2"/>
  <c r="C1612" i="2"/>
  <c r="B1612" i="2"/>
  <c r="A1612" i="2"/>
  <c r="U1611" i="2"/>
  <c r="N1611" i="2"/>
  <c r="M1611" i="2"/>
  <c r="J1611" i="2"/>
  <c r="I1611" i="2"/>
  <c r="H1611" i="2"/>
  <c r="G1611" i="2"/>
  <c r="F1611" i="2"/>
  <c r="E1611" i="2"/>
  <c r="D1611" i="2"/>
  <c r="C1611" i="2"/>
  <c r="B1611" i="2"/>
  <c r="A1611" i="2"/>
  <c r="U1610" i="2"/>
  <c r="N1610" i="2"/>
  <c r="M1610" i="2"/>
  <c r="J1610" i="2"/>
  <c r="I1610" i="2"/>
  <c r="H1610" i="2"/>
  <c r="G1610" i="2"/>
  <c r="F1610" i="2"/>
  <c r="E1610" i="2"/>
  <c r="D1610" i="2"/>
  <c r="C1610" i="2"/>
  <c r="B1610" i="2"/>
  <c r="A1610" i="2"/>
  <c r="U1609" i="2"/>
  <c r="N1609" i="2"/>
  <c r="M1609" i="2"/>
  <c r="J1609" i="2"/>
  <c r="I1609" i="2"/>
  <c r="H1609" i="2"/>
  <c r="G1609" i="2"/>
  <c r="F1609" i="2"/>
  <c r="E1609" i="2"/>
  <c r="D1609" i="2"/>
  <c r="C1609" i="2"/>
  <c r="B1609" i="2"/>
  <c r="A1609" i="2"/>
  <c r="Q1608" i="2"/>
  <c r="U1608" i="2" s="1"/>
  <c r="N1608" i="2"/>
  <c r="M1608" i="2"/>
  <c r="J1608" i="2"/>
  <c r="I1608" i="2"/>
  <c r="H1608" i="2"/>
  <c r="G1608" i="2"/>
  <c r="F1608" i="2"/>
  <c r="E1608" i="2"/>
  <c r="D1608" i="2"/>
  <c r="C1608" i="2"/>
  <c r="B1608" i="2"/>
  <c r="A1608" i="2"/>
  <c r="U1607" i="2"/>
  <c r="N1607" i="2"/>
  <c r="M1607" i="2"/>
  <c r="J1607" i="2"/>
  <c r="I1607" i="2"/>
  <c r="H1607" i="2"/>
  <c r="G1607" i="2"/>
  <c r="F1607" i="2"/>
  <c r="E1607" i="2"/>
  <c r="D1607" i="2"/>
  <c r="C1607" i="2"/>
  <c r="B1607" i="2"/>
  <c r="A1607" i="2"/>
  <c r="U1606" i="2"/>
  <c r="N1606" i="2"/>
  <c r="M1606" i="2"/>
  <c r="J1606" i="2"/>
  <c r="I1606" i="2"/>
  <c r="H1606" i="2"/>
  <c r="G1606" i="2"/>
  <c r="F1606" i="2"/>
  <c r="E1606" i="2"/>
  <c r="D1606" i="2"/>
  <c r="C1606" i="2"/>
  <c r="B1606" i="2"/>
  <c r="A1606" i="2"/>
  <c r="U1605" i="2"/>
  <c r="N1605" i="2"/>
  <c r="M1605" i="2"/>
  <c r="J1605" i="2"/>
  <c r="I1605" i="2"/>
  <c r="H1605" i="2"/>
  <c r="G1605" i="2"/>
  <c r="F1605" i="2"/>
  <c r="E1605" i="2"/>
  <c r="D1605" i="2"/>
  <c r="C1605" i="2"/>
  <c r="B1605" i="2"/>
  <c r="A1605" i="2"/>
  <c r="Q1604" i="2"/>
  <c r="U1604" i="2" s="1"/>
  <c r="N1604" i="2"/>
  <c r="M1604" i="2"/>
  <c r="J1604" i="2"/>
  <c r="I1604" i="2"/>
  <c r="H1604" i="2"/>
  <c r="G1604" i="2"/>
  <c r="F1604" i="2"/>
  <c r="E1604" i="2"/>
  <c r="D1604" i="2"/>
  <c r="C1604" i="2"/>
  <c r="B1604" i="2"/>
  <c r="A1604" i="2"/>
  <c r="U1603" i="2"/>
  <c r="N1603" i="2"/>
  <c r="M1603" i="2"/>
  <c r="J1603" i="2"/>
  <c r="I1603" i="2"/>
  <c r="H1603" i="2"/>
  <c r="G1603" i="2"/>
  <c r="F1603" i="2"/>
  <c r="E1603" i="2"/>
  <c r="D1603" i="2"/>
  <c r="C1603" i="2"/>
  <c r="B1603" i="2"/>
  <c r="A1603" i="2"/>
  <c r="U1602" i="2"/>
  <c r="N1602" i="2"/>
  <c r="M1602" i="2"/>
  <c r="J1602" i="2"/>
  <c r="I1602" i="2"/>
  <c r="H1602" i="2"/>
  <c r="G1602" i="2"/>
  <c r="F1602" i="2"/>
  <c r="E1602" i="2"/>
  <c r="D1602" i="2"/>
  <c r="C1602" i="2"/>
  <c r="B1602" i="2"/>
  <c r="A1602" i="2"/>
  <c r="U1601" i="2"/>
  <c r="N1601" i="2"/>
  <c r="M1601" i="2"/>
  <c r="J1601" i="2"/>
  <c r="I1601" i="2"/>
  <c r="H1601" i="2"/>
  <c r="G1601" i="2"/>
  <c r="F1601" i="2"/>
  <c r="E1601" i="2"/>
  <c r="D1601" i="2"/>
  <c r="C1601" i="2"/>
  <c r="B1601" i="2"/>
  <c r="A1601" i="2"/>
  <c r="U1600" i="2"/>
  <c r="N1600" i="2"/>
  <c r="M1600" i="2"/>
  <c r="J1600" i="2"/>
  <c r="I1600" i="2"/>
  <c r="H1600" i="2"/>
  <c r="G1600" i="2"/>
  <c r="F1600" i="2"/>
  <c r="E1600" i="2"/>
  <c r="D1600" i="2"/>
  <c r="C1600" i="2"/>
  <c r="B1600" i="2"/>
  <c r="A1600" i="2"/>
  <c r="U1599" i="2"/>
  <c r="N1599" i="2"/>
  <c r="M1599" i="2"/>
  <c r="J1599" i="2"/>
  <c r="I1599" i="2"/>
  <c r="H1599" i="2"/>
  <c r="G1599" i="2"/>
  <c r="F1599" i="2"/>
  <c r="E1599" i="2"/>
  <c r="D1599" i="2"/>
  <c r="C1599" i="2"/>
  <c r="B1599" i="2"/>
  <c r="A1599" i="2"/>
  <c r="U1598" i="2"/>
  <c r="N1598" i="2"/>
  <c r="M1598" i="2"/>
  <c r="J1598" i="2"/>
  <c r="I1598" i="2"/>
  <c r="H1598" i="2"/>
  <c r="G1598" i="2"/>
  <c r="F1598" i="2"/>
  <c r="E1598" i="2"/>
  <c r="D1598" i="2"/>
  <c r="C1598" i="2"/>
  <c r="B1598" i="2"/>
  <c r="A1598" i="2"/>
  <c r="Q1597" i="2"/>
  <c r="U1597" i="2" s="1"/>
  <c r="N1597" i="2"/>
  <c r="M1597" i="2"/>
  <c r="J1597" i="2"/>
  <c r="I1597" i="2"/>
  <c r="H1597" i="2"/>
  <c r="G1597" i="2"/>
  <c r="F1597" i="2"/>
  <c r="E1597" i="2"/>
  <c r="D1597" i="2"/>
  <c r="C1597" i="2"/>
  <c r="B1597" i="2"/>
  <c r="A1597" i="2"/>
  <c r="Q1596" i="2"/>
  <c r="U1596" i="2" s="1"/>
  <c r="N1596" i="2"/>
  <c r="M1596" i="2"/>
  <c r="J1596" i="2"/>
  <c r="I1596" i="2"/>
  <c r="H1596" i="2"/>
  <c r="G1596" i="2"/>
  <c r="F1596" i="2"/>
  <c r="E1596" i="2"/>
  <c r="D1596" i="2"/>
  <c r="C1596" i="2"/>
  <c r="B1596" i="2"/>
  <c r="A1596" i="2"/>
  <c r="U1595" i="2"/>
  <c r="N1595" i="2"/>
  <c r="M1595" i="2"/>
  <c r="J1595" i="2"/>
  <c r="I1595" i="2"/>
  <c r="H1595" i="2"/>
  <c r="G1595" i="2"/>
  <c r="F1595" i="2"/>
  <c r="E1595" i="2"/>
  <c r="D1595" i="2"/>
  <c r="C1595" i="2"/>
  <c r="B1595" i="2"/>
  <c r="A1595" i="2"/>
  <c r="U1594" i="2"/>
  <c r="N1594" i="2"/>
  <c r="M1594" i="2"/>
  <c r="J1594" i="2"/>
  <c r="I1594" i="2"/>
  <c r="H1594" i="2"/>
  <c r="G1594" i="2"/>
  <c r="F1594" i="2"/>
  <c r="E1594" i="2"/>
  <c r="D1594" i="2"/>
  <c r="C1594" i="2"/>
  <c r="B1594" i="2"/>
  <c r="A1594" i="2"/>
  <c r="Q1593" i="2"/>
  <c r="U1593" i="2" s="1"/>
  <c r="N1593" i="2"/>
  <c r="M1593" i="2"/>
  <c r="J1593" i="2"/>
  <c r="I1593" i="2"/>
  <c r="H1593" i="2"/>
  <c r="G1593" i="2"/>
  <c r="F1593" i="2"/>
  <c r="E1593" i="2"/>
  <c r="D1593" i="2"/>
  <c r="C1593" i="2"/>
  <c r="B1593" i="2"/>
  <c r="A1593" i="2"/>
  <c r="U1592" i="2"/>
  <c r="N1592" i="2"/>
  <c r="M1592" i="2"/>
  <c r="J1592" i="2"/>
  <c r="I1592" i="2"/>
  <c r="H1592" i="2"/>
  <c r="G1592" i="2"/>
  <c r="F1592" i="2"/>
  <c r="E1592" i="2"/>
  <c r="D1592" i="2"/>
  <c r="C1592" i="2"/>
  <c r="B1592" i="2"/>
  <c r="A1592" i="2"/>
  <c r="U1591" i="2"/>
  <c r="N1591" i="2"/>
  <c r="M1591" i="2"/>
  <c r="J1591" i="2"/>
  <c r="I1591" i="2"/>
  <c r="H1591" i="2"/>
  <c r="G1591" i="2"/>
  <c r="F1591" i="2"/>
  <c r="E1591" i="2"/>
  <c r="D1591" i="2"/>
  <c r="C1591" i="2"/>
  <c r="B1591" i="2"/>
  <c r="A1591" i="2"/>
  <c r="U1590" i="2"/>
  <c r="N1590" i="2"/>
  <c r="M1590" i="2"/>
  <c r="J1590" i="2"/>
  <c r="I1590" i="2"/>
  <c r="H1590" i="2"/>
  <c r="G1590" i="2"/>
  <c r="F1590" i="2"/>
  <c r="E1590" i="2"/>
  <c r="D1590" i="2"/>
  <c r="C1590" i="2"/>
  <c r="B1590" i="2"/>
  <c r="A1590" i="2"/>
  <c r="Q1589" i="2"/>
  <c r="U1589" i="2" s="1"/>
  <c r="N1589" i="2"/>
  <c r="M1589" i="2"/>
  <c r="J1589" i="2"/>
  <c r="I1589" i="2"/>
  <c r="H1589" i="2"/>
  <c r="G1589" i="2"/>
  <c r="F1589" i="2"/>
  <c r="E1589" i="2"/>
  <c r="D1589" i="2"/>
  <c r="C1589" i="2"/>
  <c r="B1589" i="2"/>
  <c r="A1589" i="2"/>
  <c r="U1588" i="2"/>
  <c r="N1588" i="2"/>
  <c r="M1588" i="2"/>
  <c r="J1588" i="2"/>
  <c r="I1588" i="2"/>
  <c r="H1588" i="2"/>
  <c r="G1588" i="2"/>
  <c r="F1588" i="2"/>
  <c r="E1588" i="2"/>
  <c r="D1588" i="2"/>
  <c r="C1588" i="2"/>
  <c r="B1588" i="2"/>
  <c r="A1588" i="2"/>
  <c r="U1587" i="2"/>
  <c r="N1587" i="2"/>
  <c r="M1587" i="2"/>
  <c r="J1587" i="2"/>
  <c r="I1587" i="2"/>
  <c r="H1587" i="2"/>
  <c r="G1587" i="2"/>
  <c r="F1587" i="2"/>
  <c r="E1587" i="2"/>
  <c r="D1587" i="2"/>
  <c r="C1587" i="2"/>
  <c r="B1587" i="2"/>
  <c r="A1587" i="2"/>
  <c r="Q1586" i="2"/>
  <c r="U1586" i="2" s="1"/>
  <c r="N1586" i="2"/>
  <c r="M1586" i="2"/>
  <c r="J1586" i="2"/>
  <c r="I1586" i="2"/>
  <c r="H1586" i="2"/>
  <c r="G1586" i="2"/>
  <c r="F1586" i="2"/>
  <c r="E1586" i="2"/>
  <c r="D1586" i="2"/>
  <c r="C1586" i="2"/>
  <c r="B1586" i="2"/>
  <c r="A1586" i="2"/>
  <c r="U1585" i="2"/>
  <c r="N1585" i="2"/>
  <c r="M1585" i="2"/>
  <c r="J1585" i="2"/>
  <c r="I1585" i="2"/>
  <c r="H1585" i="2"/>
  <c r="G1585" i="2"/>
  <c r="F1585" i="2"/>
  <c r="E1585" i="2"/>
  <c r="D1585" i="2"/>
  <c r="C1585" i="2"/>
  <c r="B1585" i="2"/>
  <c r="A1585" i="2"/>
  <c r="Q1584" i="2"/>
  <c r="U1584" i="2" s="1"/>
  <c r="N1584" i="2"/>
  <c r="M1584" i="2"/>
  <c r="J1584" i="2"/>
  <c r="I1584" i="2"/>
  <c r="H1584" i="2"/>
  <c r="G1584" i="2"/>
  <c r="F1584" i="2"/>
  <c r="E1584" i="2"/>
  <c r="D1584" i="2"/>
  <c r="C1584" i="2"/>
  <c r="B1584" i="2"/>
  <c r="A1584" i="2"/>
  <c r="U1583" i="2"/>
  <c r="N1583" i="2"/>
  <c r="M1583" i="2"/>
  <c r="J1583" i="2"/>
  <c r="I1583" i="2"/>
  <c r="H1583" i="2"/>
  <c r="G1583" i="2"/>
  <c r="F1583" i="2"/>
  <c r="E1583" i="2"/>
  <c r="D1583" i="2"/>
  <c r="C1583" i="2"/>
  <c r="B1583" i="2"/>
  <c r="A1583" i="2"/>
  <c r="U1582" i="2"/>
  <c r="N1582" i="2"/>
  <c r="M1582" i="2"/>
  <c r="J1582" i="2"/>
  <c r="I1582" i="2"/>
  <c r="H1582" i="2"/>
  <c r="G1582" i="2"/>
  <c r="F1582" i="2"/>
  <c r="E1582" i="2"/>
  <c r="D1582" i="2"/>
  <c r="C1582" i="2"/>
  <c r="B1582" i="2"/>
  <c r="A1582" i="2"/>
  <c r="U1581" i="2"/>
  <c r="N1581" i="2"/>
  <c r="M1581" i="2"/>
  <c r="J1581" i="2"/>
  <c r="I1581" i="2"/>
  <c r="H1581" i="2"/>
  <c r="G1581" i="2"/>
  <c r="F1581" i="2"/>
  <c r="E1581" i="2"/>
  <c r="D1581" i="2"/>
  <c r="C1581" i="2"/>
  <c r="B1581" i="2"/>
  <c r="A1581" i="2"/>
  <c r="U1580" i="2"/>
  <c r="N1580" i="2"/>
  <c r="M1580" i="2"/>
  <c r="J1580" i="2"/>
  <c r="I1580" i="2"/>
  <c r="H1580" i="2"/>
  <c r="G1580" i="2"/>
  <c r="F1580" i="2"/>
  <c r="E1580" i="2"/>
  <c r="D1580" i="2"/>
  <c r="C1580" i="2"/>
  <c r="B1580" i="2"/>
  <c r="A1580" i="2"/>
  <c r="U1579" i="2"/>
  <c r="N1579" i="2"/>
  <c r="M1579" i="2"/>
  <c r="J1579" i="2"/>
  <c r="I1579" i="2"/>
  <c r="H1579" i="2"/>
  <c r="G1579" i="2"/>
  <c r="F1579" i="2"/>
  <c r="E1579" i="2"/>
  <c r="D1579" i="2"/>
  <c r="C1579" i="2"/>
  <c r="B1579" i="2"/>
  <c r="A1579" i="2"/>
  <c r="U1578" i="2"/>
  <c r="N1578" i="2"/>
  <c r="M1578" i="2"/>
  <c r="J1578" i="2"/>
  <c r="I1578" i="2"/>
  <c r="H1578" i="2"/>
  <c r="G1578" i="2"/>
  <c r="F1578" i="2"/>
  <c r="E1578" i="2"/>
  <c r="D1578" i="2"/>
  <c r="C1578" i="2"/>
  <c r="B1578" i="2"/>
  <c r="A1578" i="2"/>
  <c r="U1577" i="2"/>
  <c r="N1577" i="2"/>
  <c r="M1577" i="2"/>
  <c r="J1577" i="2"/>
  <c r="I1577" i="2"/>
  <c r="H1577" i="2"/>
  <c r="G1577" i="2"/>
  <c r="F1577" i="2"/>
  <c r="E1577" i="2"/>
  <c r="D1577" i="2"/>
  <c r="C1577" i="2"/>
  <c r="B1577" i="2"/>
  <c r="A1577" i="2"/>
  <c r="U1576" i="2"/>
  <c r="N1576" i="2"/>
  <c r="M1576" i="2"/>
  <c r="J1576" i="2"/>
  <c r="I1576" i="2"/>
  <c r="H1576" i="2"/>
  <c r="G1576" i="2"/>
  <c r="F1576" i="2"/>
  <c r="E1576" i="2"/>
  <c r="D1576" i="2"/>
  <c r="C1576" i="2"/>
  <c r="B1576" i="2"/>
  <c r="A1576" i="2"/>
  <c r="U1575" i="2"/>
  <c r="N1575" i="2"/>
  <c r="M1575" i="2"/>
  <c r="J1575" i="2"/>
  <c r="I1575" i="2"/>
  <c r="H1575" i="2"/>
  <c r="G1575" i="2"/>
  <c r="F1575" i="2"/>
  <c r="E1575" i="2"/>
  <c r="D1575" i="2"/>
  <c r="C1575" i="2"/>
  <c r="B1575" i="2"/>
  <c r="A1575" i="2"/>
  <c r="U1574" i="2"/>
  <c r="N1574" i="2"/>
  <c r="M1574" i="2"/>
  <c r="J1574" i="2"/>
  <c r="I1574" i="2"/>
  <c r="H1574" i="2"/>
  <c r="G1574" i="2"/>
  <c r="F1574" i="2"/>
  <c r="E1574" i="2"/>
  <c r="D1574" i="2"/>
  <c r="C1574" i="2"/>
  <c r="B1574" i="2"/>
  <c r="A1574" i="2"/>
  <c r="U1573" i="2"/>
  <c r="N1573" i="2"/>
  <c r="M1573" i="2"/>
  <c r="J1573" i="2"/>
  <c r="I1573" i="2"/>
  <c r="H1573" i="2"/>
  <c r="G1573" i="2"/>
  <c r="F1573" i="2"/>
  <c r="E1573" i="2"/>
  <c r="D1573" i="2"/>
  <c r="C1573" i="2"/>
  <c r="B1573" i="2"/>
  <c r="A1573" i="2"/>
  <c r="U1572" i="2"/>
  <c r="N1572" i="2"/>
  <c r="M1572" i="2"/>
  <c r="J1572" i="2"/>
  <c r="I1572" i="2"/>
  <c r="H1572" i="2"/>
  <c r="G1572" i="2"/>
  <c r="F1572" i="2"/>
  <c r="E1572" i="2"/>
  <c r="D1572" i="2"/>
  <c r="C1572" i="2"/>
  <c r="B1572" i="2"/>
  <c r="A1572" i="2"/>
  <c r="U1571" i="2"/>
  <c r="N1571" i="2"/>
  <c r="M1571" i="2"/>
  <c r="J1571" i="2"/>
  <c r="I1571" i="2"/>
  <c r="H1571" i="2"/>
  <c r="G1571" i="2"/>
  <c r="F1571" i="2"/>
  <c r="E1571" i="2"/>
  <c r="D1571" i="2"/>
  <c r="C1571" i="2"/>
  <c r="B1571" i="2"/>
  <c r="A1571" i="2"/>
  <c r="U1570" i="2"/>
  <c r="N1570" i="2"/>
  <c r="M1570" i="2"/>
  <c r="J1570" i="2"/>
  <c r="I1570" i="2"/>
  <c r="H1570" i="2"/>
  <c r="G1570" i="2"/>
  <c r="F1570" i="2"/>
  <c r="E1570" i="2"/>
  <c r="D1570" i="2"/>
  <c r="C1570" i="2"/>
  <c r="B1570" i="2"/>
  <c r="A1570" i="2"/>
  <c r="U1569" i="2"/>
  <c r="N1569" i="2"/>
  <c r="M1569" i="2"/>
  <c r="J1569" i="2"/>
  <c r="I1569" i="2"/>
  <c r="H1569" i="2"/>
  <c r="G1569" i="2"/>
  <c r="F1569" i="2"/>
  <c r="E1569" i="2"/>
  <c r="D1569" i="2"/>
  <c r="C1569" i="2"/>
  <c r="B1569" i="2"/>
  <c r="A1569" i="2"/>
  <c r="U1568" i="2"/>
  <c r="N1568" i="2"/>
  <c r="M1568" i="2"/>
  <c r="J1568" i="2"/>
  <c r="I1568" i="2"/>
  <c r="H1568" i="2"/>
  <c r="G1568" i="2"/>
  <c r="F1568" i="2"/>
  <c r="E1568" i="2"/>
  <c r="D1568" i="2"/>
  <c r="C1568" i="2"/>
  <c r="B1568" i="2"/>
  <c r="A1568" i="2"/>
  <c r="U1567" i="2"/>
  <c r="N1567" i="2"/>
  <c r="M1567" i="2"/>
  <c r="J1567" i="2"/>
  <c r="I1567" i="2"/>
  <c r="H1567" i="2"/>
  <c r="G1567" i="2"/>
  <c r="F1567" i="2"/>
  <c r="E1567" i="2"/>
  <c r="D1567" i="2"/>
  <c r="C1567" i="2"/>
  <c r="B1567" i="2"/>
  <c r="A1567" i="2"/>
  <c r="U1566" i="2"/>
  <c r="N1566" i="2"/>
  <c r="M1566" i="2"/>
  <c r="J1566" i="2"/>
  <c r="I1566" i="2"/>
  <c r="H1566" i="2"/>
  <c r="G1566" i="2"/>
  <c r="F1566" i="2"/>
  <c r="E1566" i="2"/>
  <c r="D1566" i="2"/>
  <c r="C1566" i="2"/>
  <c r="B1566" i="2"/>
  <c r="A1566" i="2"/>
  <c r="U1565" i="2"/>
  <c r="N1565" i="2"/>
  <c r="M1565" i="2"/>
  <c r="J1565" i="2"/>
  <c r="I1565" i="2"/>
  <c r="H1565" i="2"/>
  <c r="G1565" i="2"/>
  <c r="F1565" i="2"/>
  <c r="E1565" i="2"/>
  <c r="D1565" i="2"/>
  <c r="C1565" i="2"/>
  <c r="B1565" i="2"/>
  <c r="A1565" i="2"/>
  <c r="U1564" i="2"/>
  <c r="N1564" i="2"/>
  <c r="M1564" i="2"/>
  <c r="J1564" i="2"/>
  <c r="I1564" i="2"/>
  <c r="H1564" i="2"/>
  <c r="G1564" i="2"/>
  <c r="F1564" i="2"/>
  <c r="E1564" i="2"/>
  <c r="D1564" i="2"/>
  <c r="C1564" i="2"/>
  <c r="B1564" i="2"/>
  <c r="A1564" i="2"/>
  <c r="U1563" i="2"/>
  <c r="N1563" i="2"/>
  <c r="M1563" i="2"/>
  <c r="J1563" i="2"/>
  <c r="I1563" i="2"/>
  <c r="H1563" i="2"/>
  <c r="G1563" i="2"/>
  <c r="F1563" i="2"/>
  <c r="E1563" i="2"/>
  <c r="D1563" i="2"/>
  <c r="C1563" i="2"/>
  <c r="B1563" i="2"/>
  <c r="A1563" i="2"/>
  <c r="U1562" i="2"/>
  <c r="N1562" i="2"/>
  <c r="M1562" i="2"/>
  <c r="J1562" i="2"/>
  <c r="I1562" i="2"/>
  <c r="H1562" i="2"/>
  <c r="G1562" i="2"/>
  <c r="F1562" i="2"/>
  <c r="E1562" i="2"/>
  <c r="D1562" i="2"/>
  <c r="C1562" i="2"/>
  <c r="B1562" i="2"/>
  <c r="A1562" i="2"/>
  <c r="Q1561" i="2"/>
  <c r="U1561" i="2" s="1"/>
  <c r="N1561" i="2"/>
  <c r="M1561" i="2"/>
  <c r="J1561" i="2"/>
  <c r="I1561" i="2"/>
  <c r="H1561" i="2"/>
  <c r="G1561" i="2"/>
  <c r="F1561" i="2"/>
  <c r="E1561" i="2"/>
  <c r="D1561" i="2"/>
  <c r="C1561" i="2"/>
  <c r="B1561" i="2"/>
  <c r="A1561" i="2"/>
  <c r="Q1560" i="2"/>
  <c r="U1560" i="2" s="1"/>
  <c r="N1560" i="2"/>
  <c r="M1560" i="2"/>
  <c r="J1560" i="2"/>
  <c r="I1560" i="2"/>
  <c r="H1560" i="2"/>
  <c r="G1560" i="2"/>
  <c r="F1560" i="2"/>
  <c r="E1560" i="2"/>
  <c r="D1560" i="2"/>
  <c r="C1560" i="2"/>
  <c r="B1560" i="2"/>
  <c r="A1560" i="2"/>
  <c r="U1559" i="2"/>
  <c r="N1559" i="2"/>
  <c r="M1559" i="2"/>
  <c r="J1559" i="2"/>
  <c r="I1559" i="2"/>
  <c r="H1559" i="2"/>
  <c r="G1559" i="2"/>
  <c r="F1559" i="2"/>
  <c r="E1559" i="2"/>
  <c r="D1559" i="2"/>
  <c r="C1559" i="2"/>
  <c r="B1559" i="2"/>
  <c r="A1559" i="2"/>
  <c r="U1558" i="2"/>
  <c r="N1558" i="2"/>
  <c r="M1558" i="2"/>
  <c r="J1558" i="2"/>
  <c r="I1558" i="2"/>
  <c r="H1558" i="2"/>
  <c r="G1558" i="2"/>
  <c r="F1558" i="2"/>
  <c r="E1558" i="2"/>
  <c r="D1558" i="2"/>
  <c r="C1558" i="2"/>
  <c r="B1558" i="2"/>
  <c r="A1558" i="2"/>
  <c r="U1557" i="2"/>
  <c r="N1557" i="2"/>
  <c r="M1557" i="2"/>
  <c r="J1557" i="2"/>
  <c r="I1557" i="2"/>
  <c r="H1557" i="2"/>
  <c r="G1557" i="2"/>
  <c r="F1557" i="2"/>
  <c r="E1557" i="2"/>
  <c r="D1557" i="2"/>
  <c r="C1557" i="2"/>
  <c r="B1557" i="2"/>
  <c r="A1557" i="2"/>
  <c r="U1556" i="2"/>
  <c r="N1556" i="2"/>
  <c r="M1556" i="2"/>
  <c r="J1556" i="2"/>
  <c r="I1556" i="2"/>
  <c r="H1556" i="2"/>
  <c r="G1556" i="2"/>
  <c r="F1556" i="2"/>
  <c r="E1556" i="2"/>
  <c r="D1556" i="2"/>
  <c r="C1556" i="2"/>
  <c r="B1556" i="2"/>
  <c r="A1556" i="2"/>
  <c r="Q1555" i="2"/>
  <c r="U1555" i="2" s="1"/>
  <c r="N1555" i="2"/>
  <c r="M1555" i="2"/>
  <c r="J1555" i="2"/>
  <c r="I1555" i="2"/>
  <c r="H1555" i="2"/>
  <c r="G1555" i="2"/>
  <c r="F1555" i="2"/>
  <c r="E1555" i="2"/>
  <c r="D1555" i="2"/>
  <c r="C1555" i="2"/>
  <c r="B1555" i="2"/>
  <c r="A1555" i="2"/>
  <c r="Q1554" i="2"/>
  <c r="U1554" i="2" s="1"/>
  <c r="N1554" i="2"/>
  <c r="M1554" i="2"/>
  <c r="J1554" i="2"/>
  <c r="I1554" i="2"/>
  <c r="H1554" i="2"/>
  <c r="G1554" i="2"/>
  <c r="F1554" i="2"/>
  <c r="E1554" i="2"/>
  <c r="D1554" i="2"/>
  <c r="C1554" i="2"/>
  <c r="B1554" i="2"/>
  <c r="A1554" i="2"/>
  <c r="U1553" i="2"/>
  <c r="N1553" i="2"/>
  <c r="M1553" i="2"/>
  <c r="J1553" i="2"/>
  <c r="I1553" i="2"/>
  <c r="H1553" i="2"/>
  <c r="G1553" i="2"/>
  <c r="F1553" i="2"/>
  <c r="E1553" i="2"/>
  <c r="D1553" i="2"/>
  <c r="C1553" i="2"/>
  <c r="B1553" i="2"/>
  <c r="A1553" i="2"/>
  <c r="Q1552" i="2"/>
  <c r="U1552" i="2" s="1"/>
  <c r="N1552" i="2"/>
  <c r="M1552" i="2"/>
  <c r="J1552" i="2"/>
  <c r="I1552" i="2"/>
  <c r="H1552" i="2"/>
  <c r="G1552" i="2"/>
  <c r="F1552" i="2"/>
  <c r="E1552" i="2"/>
  <c r="D1552" i="2"/>
  <c r="C1552" i="2"/>
  <c r="B1552" i="2"/>
  <c r="A1552" i="2"/>
  <c r="R1551" i="2"/>
  <c r="Q1551" i="2"/>
  <c r="N1551" i="2"/>
  <c r="M1551" i="2"/>
  <c r="J1551" i="2"/>
  <c r="I1551" i="2"/>
  <c r="H1551" i="2"/>
  <c r="G1551" i="2"/>
  <c r="F1551" i="2"/>
  <c r="E1551" i="2"/>
  <c r="D1551" i="2"/>
  <c r="C1551" i="2"/>
  <c r="B1551" i="2"/>
  <c r="A1551" i="2"/>
  <c r="R1550" i="2"/>
  <c r="Q1550" i="2"/>
  <c r="N1550" i="2"/>
  <c r="M1550" i="2"/>
  <c r="J1550" i="2"/>
  <c r="I1550" i="2"/>
  <c r="H1550" i="2"/>
  <c r="G1550" i="2"/>
  <c r="F1550" i="2"/>
  <c r="E1550" i="2"/>
  <c r="D1550" i="2"/>
  <c r="C1550" i="2"/>
  <c r="B1550" i="2"/>
  <c r="A1550" i="2"/>
  <c r="R1549" i="2"/>
  <c r="Q1549" i="2"/>
  <c r="N1549" i="2"/>
  <c r="M1549" i="2"/>
  <c r="J1549" i="2"/>
  <c r="I1549" i="2"/>
  <c r="H1549" i="2"/>
  <c r="G1549" i="2"/>
  <c r="F1549" i="2"/>
  <c r="E1549" i="2"/>
  <c r="D1549" i="2"/>
  <c r="C1549" i="2"/>
  <c r="B1549" i="2"/>
  <c r="A1549" i="2"/>
  <c r="R1548" i="2"/>
  <c r="Q1548" i="2"/>
  <c r="N1548" i="2"/>
  <c r="M1548" i="2"/>
  <c r="J1548" i="2"/>
  <c r="I1548" i="2"/>
  <c r="H1548" i="2"/>
  <c r="G1548" i="2"/>
  <c r="F1548" i="2"/>
  <c r="E1548" i="2"/>
  <c r="D1548" i="2"/>
  <c r="C1548" i="2"/>
  <c r="B1548" i="2"/>
  <c r="A1548" i="2"/>
  <c r="R1547" i="2"/>
  <c r="Q1547" i="2"/>
  <c r="N1547" i="2"/>
  <c r="M1547" i="2"/>
  <c r="J1547" i="2"/>
  <c r="I1547" i="2"/>
  <c r="H1547" i="2"/>
  <c r="G1547" i="2"/>
  <c r="F1547" i="2"/>
  <c r="E1547" i="2"/>
  <c r="D1547" i="2"/>
  <c r="C1547" i="2"/>
  <c r="B1547" i="2"/>
  <c r="A1547" i="2"/>
  <c r="R1546" i="2"/>
  <c r="Q1546" i="2"/>
  <c r="N1546" i="2"/>
  <c r="M1546" i="2"/>
  <c r="J1546" i="2"/>
  <c r="I1546" i="2"/>
  <c r="H1546" i="2"/>
  <c r="G1546" i="2"/>
  <c r="F1546" i="2"/>
  <c r="E1546" i="2"/>
  <c r="D1546" i="2"/>
  <c r="C1546" i="2"/>
  <c r="B1546" i="2"/>
  <c r="A1546" i="2"/>
  <c r="U1545" i="2"/>
  <c r="N1545" i="2"/>
  <c r="M1545" i="2"/>
  <c r="J1545" i="2"/>
  <c r="I1545" i="2"/>
  <c r="H1545" i="2"/>
  <c r="G1545" i="2"/>
  <c r="F1545" i="2"/>
  <c r="E1545" i="2"/>
  <c r="D1545" i="2"/>
  <c r="C1545" i="2"/>
  <c r="B1545" i="2"/>
  <c r="A1545" i="2"/>
  <c r="Q1544" i="2"/>
  <c r="U1544" i="2" s="1"/>
  <c r="N1544" i="2"/>
  <c r="M1544" i="2"/>
  <c r="J1544" i="2"/>
  <c r="I1544" i="2"/>
  <c r="H1544" i="2"/>
  <c r="G1544" i="2"/>
  <c r="F1544" i="2"/>
  <c r="E1544" i="2"/>
  <c r="D1544" i="2"/>
  <c r="C1544" i="2"/>
  <c r="B1544" i="2"/>
  <c r="A1544" i="2"/>
  <c r="U1543" i="2"/>
  <c r="N1543" i="2"/>
  <c r="M1543" i="2"/>
  <c r="J1543" i="2"/>
  <c r="I1543" i="2"/>
  <c r="H1543" i="2"/>
  <c r="G1543" i="2"/>
  <c r="F1543" i="2"/>
  <c r="E1543" i="2"/>
  <c r="D1543" i="2"/>
  <c r="C1543" i="2"/>
  <c r="B1543" i="2"/>
  <c r="A1543" i="2"/>
  <c r="U1542" i="2"/>
  <c r="N1542" i="2"/>
  <c r="M1542" i="2"/>
  <c r="J1542" i="2"/>
  <c r="I1542" i="2"/>
  <c r="H1542" i="2"/>
  <c r="G1542" i="2"/>
  <c r="F1542" i="2"/>
  <c r="E1542" i="2"/>
  <c r="D1542" i="2"/>
  <c r="C1542" i="2"/>
  <c r="B1542" i="2"/>
  <c r="A1542" i="2"/>
  <c r="R1541" i="2"/>
  <c r="Q1541" i="2"/>
  <c r="N1541" i="2"/>
  <c r="M1541" i="2"/>
  <c r="J1541" i="2"/>
  <c r="I1541" i="2"/>
  <c r="H1541" i="2"/>
  <c r="G1541" i="2"/>
  <c r="F1541" i="2"/>
  <c r="E1541" i="2"/>
  <c r="D1541" i="2"/>
  <c r="C1541" i="2"/>
  <c r="B1541" i="2"/>
  <c r="A1541" i="2"/>
  <c r="U1540" i="2"/>
  <c r="N1540" i="2"/>
  <c r="M1540" i="2"/>
  <c r="J1540" i="2"/>
  <c r="I1540" i="2"/>
  <c r="H1540" i="2"/>
  <c r="G1540" i="2"/>
  <c r="F1540" i="2"/>
  <c r="E1540" i="2"/>
  <c r="D1540" i="2"/>
  <c r="C1540" i="2"/>
  <c r="B1540" i="2"/>
  <c r="A1540" i="2"/>
  <c r="U1539" i="2"/>
  <c r="N1539" i="2"/>
  <c r="M1539" i="2"/>
  <c r="J1539" i="2"/>
  <c r="I1539" i="2"/>
  <c r="H1539" i="2"/>
  <c r="G1539" i="2"/>
  <c r="F1539" i="2"/>
  <c r="E1539" i="2"/>
  <c r="D1539" i="2"/>
  <c r="C1539" i="2"/>
  <c r="B1539" i="2"/>
  <c r="A1539" i="2"/>
  <c r="Q1538" i="2"/>
  <c r="U1538" i="2" s="1"/>
  <c r="N1538" i="2"/>
  <c r="M1538" i="2"/>
  <c r="J1538" i="2"/>
  <c r="I1538" i="2"/>
  <c r="H1538" i="2"/>
  <c r="G1538" i="2"/>
  <c r="F1538" i="2"/>
  <c r="E1538" i="2"/>
  <c r="D1538" i="2"/>
  <c r="C1538" i="2"/>
  <c r="B1538" i="2"/>
  <c r="A1538" i="2"/>
  <c r="U1537" i="2"/>
  <c r="N1537" i="2"/>
  <c r="M1537" i="2"/>
  <c r="J1537" i="2"/>
  <c r="I1537" i="2"/>
  <c r="H1537" i="2"/>
  <c r="G1537" i="2"/>
  <c r="F1537" i="2"/>
  <c r="E1537" i="2"/>
  <c r="D1537" i="2"/>
  <c r="C1537" i="2"/>
  <c r="B1537" i="2"/>
  <c r="A1537" i="2"/>
  <c r="U1536" i="2"/>
  <c r="N1536" i="2"/>
  <c r="M1536" i="2"/>
  <c r="J1536" i="2"/>
  <c r="I1536" i="2"/>
  <c r="H1536" i="2"/>
  <c r="G1536" i="2"/>
  <c r="F1536" i="2"/>
  <c r="E1536" i="2"/>
  <c r="D1536" i="2"/>
  <c r="C1536" i="2"/>
  <c r="B1536" i="2"/>
  <c r="A1536" i="2"/>
  <c r="U1535" i="2"/>
  <c r="N1535" i="2"/>
  <c r="M1535" i="2"/>
  <c r="J1535" i="2"/>
  <c r="I1535" i="2"/>
  <c r="H1535" i="2"/>
  <c r="G1535" i="2"/>
  <c r="F1535" i="2"/>
  <c r="E1535" i="2"/>
  <c r="D1535" i="2"/>
  <c r="C1535" i="2"/>
  <c r="B1535" i="2"/>
  <c r="A1535" i="2"/>
  <c r="U1534" i="2"/>
  <c r="N1534" i="2"/>
  <c r="M1534" i="2"/>
  <c r="J1534" i="2"/>
  <c r="I1534" i="2"/>
  <c r="H1534" i="2"/>
  <c r="G1534" i="2"/>
  <c r="F1534" i="2"/>
  <c r="E1534" i="2"/>
  <c r="D1534" i="2"/>
  <c r="C1534" i="2"/>
  <c r="B1534" i="2"/>
  <c r="A1534" i="2"/>
  <c r="Q1533" i="2"/>
  <c r="U1533" i="2" s="1"/>
  <c r="N1533" i="2"/>
  <c r="M1533" i="2"/>
  <c r="J1533" i="2"/>
  <c r="I1533" i="2"/>
  <c r="H1533" i="2"/>
  <c r="G1533" i="2"/>
  <c r="F1533" i="2"/>
  <c r="E1533" i="2"/>
  <c r="D1533" i="2"/>
  <c r="C1533" i="2"/>
  <c r="B1533" i="2"/>
  <c r="A1533" i="2"/>
  <c r="U1532" i="2"/>
  <c r="N1532" i="2"/>
  <c r="M1532" i="2"/>
  <c r="J1532" i="2"/>
  <c r="I1532" i="2"/>
  <c r="H1532" i="2"/>
  <c r="G1532" i="2"/>
  <c r="F1532" i="2"/>
  <c r="E1532" i="2"/>
  <c r="D1532" i="2"/>
  <c r="C1532" i="2"/>
  <c r="B1532" i="2"/>
  <c r="A1532" i="2"/>
  <c r="U1531" i="2"/>
  <c r="N1531" i="2"/>
  <c r="M1531" i="2"/>
  <c r="J1531" i="2"/>
  <c r="I1531" i="2"/>
  <c r="H1531" i="2"/>
  <c r="G1531" i="2"/>
  <c r="F1531" i="2"/>
  <c r="E1531" i="2"/>
  <c r="D1531" i="2"/>
  <c r="C1531" i="2"/>
  <c r="B1531" i="2"/>
  <c r="A1531" i="2"/>
  <c r="Q1530" i="2"/>
  <c r="U1530" i="2" s="1"/>
  <c r="N1530" i="2"/>
  <c r="M1530" i="2"/>
  <c r="J1530" i="2"/>
  <c r="I1530" i="2"/>
  <c r="H1530" i="2"/>
  <c r="G1530" i="2"/>
  <c r="F1530" i="2"/>
  <c r="E1530" i="2"/>
  <c r="D1530" i="2"/>
  <c r="C1530" i="2"/>
  <c r="B1530" i="2"/>
  <c r="A1530" i="2"/>
  <c r="U1529" i="2"/>
  <c r="N1529" i="2"/>
  <c r="M1529" i="2"/>
  <c r="J1529" i="2"/>
  <c r="I1529" i="2"/>
  <c r="H1529" i="2"/>
  <c r="G1529" i="2"/>
  <c r="F1529" i="2"/>
  <c r="E1529" i="2"/>
  <c r="D1529" i="2"/>
  <c r="C1529" i="2"/>
  <c r="B1529" i="2"/>
  <c r="A1529" i="2"/>
  <c r="U1528" i="2"/>
  <c r="N1528" i="2"/>
  <c r="M1528" i="2"/>
  <c r="J1528" i="2"/>
  <c r="I1528" i="2"/>
  <c r="H1528" i="2"/>
  <c r="G1528" i="2"/>
  <c r="F1528" i="2"/>
  <c r="E1528" i="2"/>
  <c r="D1528" i="2"/>
  <c r="C1528" i="2"/>
  <c r="B1528" i="2"/>
  <c r="A1528" i="2"/>
  <c r="U1527" i="2"/>
  <c r="N1527" i="2"/>
  <c r="M1527" i="2"/>
  <c r="J1527" i="2"/>
  <c r="I1527" i="2"/>
  <c r="H1527" i="2"/>
  <c r="G1527" i="2"/>
  <c r="F1527" i="2"/>
  <c r="E1527" i="2"/>
  <c r="D1527" i="2"/>
  <c r="C1527" i="2"/>
  <c r="B1527" i="2"/>
  <c r="A1527" i="2"/>
  <c r="U1526" i="2"/>
  <c r="N1526" i="2"/>
  <c r="M1526" i="2"/>
  <c r="J1526" i="2"/>
  <c r="I1526" i="2"/>
  <c r="H1526" i="2"/>
  <c r="G1526" i="2"/>
  <c r="F1526" i="2"/>
  <c r="E1526" i="2"/>
  <c r="D1526" i="2"/>
  <c r="C1526" i="2"/>
  <c r="B1526" i="2"/>
  <c r="A1526" i="2"/>
  <c r="U1525" i="2"/>
  <c r="N1525" i="2"/>
  <c r="M1525" i="2"/>
  <c r="J1525" i="2"/>
  <c r="I1525" i="2"/>
  <c r="H1525" i="2"/>
  <c r="G1525" i="2"/>
  <c r="F1525" i="2"/>
  <c r="E1525" i="2"/>
  <c r="D1525" i="2"/>
  <c r="C1525" i="2"/>
  <c r="B1525" i="2"/>
  <c r="A1525" i="2"/>
  <c r="U1524" i="2"/>
  <c r="N1524" i="2"/>
  <c r="M1524" i="2"/>
  <c r="J1524" i="2"/>
  <c r="I1524" i="2"/>
  <c r="H1524" i="2"/>
  <c r="G1524" i="2"/>
  <c r="F1524" i="2"/>
  <c r="E1524" i="2"/>
  <c r="D1524" i="2"/>
  <c r="C1524" i="2"/>
  <c r="B1524" i="2"/>
  <c r="A1524" i="2"/>
  <c r="U1523" i="2"/>
  <c r="N1523" i="2"/>
  <c r="M1523" i="2"/>
  <c r="J1523" i="2"/>
  <c r="I1523" i="2"/>
  <c r="H1523" i="2"/>
  <c r="G1523" i="2"/>
  <c r="F1523" i="2"/>
  <c r="E1523" i="2"/>
  <c r="D1523" i="2"/>
  <c r="C1523" i="2"/>
  <c r="B1523" i="2"/>
  <c r="A1523" i="2"/>
  <c r="U1522" i="2"/>
  <c r="N1522" i="2"/>
  <c r="M1522" i="2"/>
  <c r="J1522" i="2"/>
  <c r="I1522" i="2"/>
  <c r="H1522" i="2"/>
  <c r="G1522" i="2"/>
  <c r="F1522" i="2"/>
  <c r="E1522" i="2"/>
  <c r="D1522" i="2"/>
  <c r="C1522" i="2"/>
  <c r="B1522" i="2"/>
  <c r="A1522" i="2"/>
  <c r="U1521" i="2"/>
  <c r="N1521" i="2"/>
  <c r="M1521" i="2"/>
  <c r="J1521" i="2"/>
  <c r="I1521" i="2"/>
  <c r="H1521" i="2"/>
  <c r="G1521" i="2"/>
  <c r="F1521" i="2"/>
  <c r="E1521" i="2"/>
  <c r="D1521" i="2"/>
  <c r="C1521" i="2"/>
  <c r="B1521" i="2"/>
  <c r="A1521" i="2"/>
  <c r="U1520" i="2"/>
  <c r="N1520" i="2"/>
  <c r="M1520" i="2"/>
  <c r="J1520" i="2"/>
  <c r="I1520" i="2"/>
  <c r="H1520" i="2"/>
  <c r="G1520" i="2"/>
  <c r="F1520" i="2"/>
  <c r="E1520" i="2"/>
  <c r="D1520" i="2"/>
  <c r="C1520" i="2"/>
  <c r="B1520" i="2"/>
  <c r="A1520" i="2"/>
  <c r="U1519" i="2"/>
  <c r="N1519" i="2"/>
  <c r="M1519" i="2"/>
  <c r="J1519" i="2"/>
  <c r="I1519" i="2"/>
  <c r="H1519" i="2"/>
  <c r="G1519" i="2"/>
  <c r="F1519" i="2"/>
  <c r="E1519" i="2"/>
  <c r="D1519" i="2"/>
  <c r="C1519" i="2"/>
  <c r="B1519" i="2"/>
  <c r="A1519" i="2"/>
  <c r="U1518" i="2"/>
  <c r="N1518" i="2"/>
  <c r="M1518" i="2"/>
  <c r="J1518" i="2"/>
  <c r="I1518" i="2"/>
  <c r="H1518" i="2"/>
  <c r="G1518" i="2"/>
  <c r="F1518" i="2"/>
  <c r="E1518" i="2"/>
  <c r="D1518" i="2"/>
  <c r="C1518" i="2"/>
  <c r="B1518" i="2"/>
  <c r="A1518" i="2"/>
  <c r="U1517" i="2"/>
  <c r="N1517" i="2"/>
  <c r="M1517" i="2"/>
  <c r="J1517" i="2"/>
  <c r="I1517" i="2"/>
  <c r="H1517" i="2"/>
  <c r="G1517" i="2"/>
  <c r="F1517" i="2"/>
  <c r="E1517" i="2"/>
  <c r="D1517" i="2"/>
  <c r="C1517" i="2"/>
  <c r="B1517" i="2"/>
  <c r="A1517" i="2"/>
  <c r="U1516" i="2"/>
  <c r="N1516" i="2"/>
  <c r="M1516" i="2"/>
  <c r="J1516" i="2"/>
  <c r="I1516" i="2"/>
  <c r="H1516" i="2"/>
  <c r="G1516" i="2"/>
  <c r="F1516" i="2"/>
  <c r="E1516" i="2"/>
  <c r="D1516" i="2"/>
  <c r="C1516" i="2"/>
  <c r="B1516" i="2"/>
  <c r="A1516" i="2"/>
  <c r="U1515" i="2"/>
  <c r="N1515" i="2"/>
  <c r="M1515" i="2"/>
  <c r="J1515" i="2"/>
  <c r="I1515" i="2"/>
  <c r="H1515" i="2"/>
  <c r="G1515" i="2"/>
  <c r="F1515" i="2"/>
  <c r="E1515" i="2"/>
  <c r="D1515" i="2"/>
  <c r="C1515" i="2"/>
  <c r="B1515" i="2"/>
  <c r="A1515" i="2"/>
  <c r="U1514" i="2"/>
  <c r="N1514" i="2"/>
  <c r="M1514" i="2"/>
  <c r="J1514" i="2"/>
  <c r="I1514" i="2"/>
  <c r="H1514" i="2"/>
  <c r="G1514" i="2"/>
  <c r="F1514" i="2"/>
  <c r="E1514" i="2"/>
  <c r="D1514" i="2"/>
  <c r="C1514" i="2"/>
  <c r="B1514" i="2"/>
  <c r="A1514" i="2"/>
  <c r="U1513" i="2"/>
  <c r="N1513" i="2"/>
  <c r="M1513" i="2"/>
  <c r="J1513" i="2"/>
  <c r="I1513" i="2"/>
  <c r="H1513" i="2"/>
  <c r="G1513" i="2"/>
  <c r="F1513" i="2"/>
  <c r="E1513" i="2"/>
  <c r="D1513" i="2"/>
  <c r="C1513" i="2"/>
  <c r="B1513" i="2"/>
  <c r="A1513" i="2"/>
  <c r="U1512" i="2"/>
  <c r="N1512" i="2"/>
  <c r="M1512" i="2"/>
  <c r="J1512" i="2"/>
  <c r="I1512" i="2"/>
  <c r="H1512" i="2"/>
  <c r="G1512" i="2"/>
  <c r="F1512" i="2"/>
  <c r="E1512" i="2"/>
  <c r="D1512" i="2"/>
  <c r="C1512" i="2"/>
  <c r="B1512" i="2"/>
  <c r="A1512" i="2"/>
  <c r="U1511" i="2"/>
  <c r="N1511" i="2"/>
  <c r="M1511" i="2"/>
  <c r="J1511" i="2"/>
  <c r="I1511" i="2"/>
  <c r="H1511" i="2"/>
  <c r="G1511" i="2"/>
  <c r="F1511" i="2"/>
  <c r="E1511" i="2"/>
  <c r="D1511" i="2"/>
  <c r="C1511" i="2"/>
  <c r="B1511" i="2"/>
  <c r="A1511" i="2"/>
  <c r="U1510" i="2"/>
  <c r="N1510" i="2"/>
  <c r="M1510" i="2"/>
  <c r="J1510" i="2"/>
  <c r="I1510" i="2"/>
  <c r="H1510" i="2"/>
  <c r="G1510" i="2"/>
  <c r="F1510" i="2"/>
  <c r="E1510" i="2"/>
  <c r="D1510" i="2"/>
  <c r="C1510" i="2"/>
  <c r="B1510" i="2"/>
  <c r="A1510" i="2"/>
  <c r="U1509" i="2"/>
  <c r="N1509" i="2"/>
  <c r="M1509" i="2"/>
  <c r="J1509" i="2"/>
  <c r="I1509" i="2"/>
  <c r="H1509" i="2"/>
  <c r="G1509" i="2"/>
  <c r="F1509" i="2"/>
  <c r="E1509" i="2"/>
  <c r="D1509" i="2"/>
  <c r="C1509" i="2"/>
  <c r="B1509" i="2"/>
  <c r="A1509" i="2"/>
  <c r="U1508" i="2"/>
  <c r="N1508" i="2"/>
  <c r="M1508" i="2"/>
  <c r="J1508" i="2"/>
  <c r="I1508" i="2"/>
  <c r="H1508" i="2"/>
  <c r="G1508" i="2"/>
  <c r="F1508" i="2"/>
  <c r="E1508" i="2"/>
  <c r="D1508" i="2"/>
  <c r="C1508" i="2"/>
  <c r="B1508" i="2"/>
  <c r="A1508" i="2"/>
  <c r="U1507" i="2"/>
  <c r="N1507" i="2"/>
  <c r="M1507" i="2"/>
  <c r="J1507" i="2"/>
  <c r="I1507" i="2"/>
  <c r="H1507" i="2"/>
  <c r="G1507" i="2"/>
  <c r="F1507" i="2"/>
  <c r="E1507" i="2"/>
  <c r="D1507" i="2"/>
  <c r="C1507" i="2"/>
  <c r="B1507" i="2"/>
  <c r="A1507" i="2"/>
  <c r="U1506" i="2"/>
  <c r="N1506" i="2"/>
  <c r="M1506" i="2"/>
  <c r="J1506" i="2"/>
  <c r="I1506" i="2"/>
  <c r="H1506" i="2"/>
  <c r="G1506" i="2"/>
  <c r="F1506" i="2"/>
  <c r="E1506" i="2"/>
  <c r="D1506" i="2"/>
  <c r="C1506" i="2"/>
  <c r="B1506" i="2"/>
  <c r="A1506" i="2"/>
  <c r="U1505" i="2"/>
  <c r="N1505" i="2"/>
  <c r="M1505" i="2"/>
  <c r="J1505" i="2"/>
  <c r="I1505" i="2"/>
  <c r="H1505" i="2"/>
  <c r="G1505" i="2"/>
  <c r="F1505" i="2"/>
  <c r="E1505" i="2"/>
  <c r="D1505" i="2"/>
  <c r="C1505" i="2"/>
  <c r="B1505" i="2"/>
  <c r="A1505" i="2"/>
  <c r="U1504" i="2"/>
  <c r="N1504" i="2"/>
  <c r="M1504" i="2"/>
  <c r="J1504" i="2"/>
  <c r="I1504" i="2"/>
  <c r="H1504" i="2"/>
  <c r="G1504" i="2"/>
  <c r="F1504" i="2"/>
  <c r="E1504" i="2"/>
  <c r="D1504" i="2"/>
  <c r="C1504" i="2"/>
  <c r="B1504" i="2"/>
  <c r="A1504" i="2"/>
  <c r="U1503" i="2"/>
  <c r="N1503" i="2"/>
  <c r="M1503" i="2"/>
  <c r="J1503" i="2"/>
  <c r="I1503" i="2"/>
  <c r="H1503" i="2"/>
  <c r="G1503" i="2"/>
  <c r="F1503" i="2"/>
  <c r="E1503" i="2"/>
  <c r="D1503" i="2"/>
  <c r="C1503" i="2"/>
  <c r="B1503" i="2"/>
  <c r="A1503" i="2"/>
  <c r="U1502" i="2"/>
  <c r="N1502" i="2"/>
  <c r="M1502" i="2"/>
  <c r="J1502" i="2"/>
  <c r="I1502" i="2"/>
  <c r="H1502" i="2"/>
  <c r="G1502" i="2"/>
  <c r="F1502" i="2"/>
  <c r="E1502" i="2"/>
  <c r="D1502" i="2"/>
  <c r="C1502" i="2"/>
  <c r="B1502" i="2"/>
  <c r="A1502" i="2"/>
  <c r="U1501" i="2"/>
  <c r="N1501" i="2"/>
  <c r="M1501" i="2"/>
  <c r="J1501" i="2"/>
  <c r="I1501" i="2"/>
  <c r="H1501" i="2"/>
  <c r="G1501" i="2"/>
  <c r="F1501" i="2"/>
  <c r="E1501" i="2"/>
  <c r="D1501" i="2"/>
  <c r="C1501" i="2"/>
  <c r="B1501" i="2"/>
  <c r="A1501" i="2"/>
  <c r="U1500" i="2"/>
  <c r="N1500" i="2"/>
  <c r="M1500" i="2"/>
  <c r="J1500" i="2"/>
  <c r="I1500" i="2"/>
  <c r="H1500" i="2"/>
  <c r="G1500" i="2"/>
  <c r="F1500" i="2"/>
  <c r="E1500" i="2"/>
  <c r="D1500" i="2"/>
  <c r="C1500" i="2"/>
  <c r="B1500" i="2"/>
  <c r="A1500" i="2"/>
  <c r="U1499" i="2"/>
  <c r="N1499" i="2"/>
  <c r="M1499" i="2"/>
  <c r="J1499" i="2"/>
  <c r="I1499" i="2"/>
  <c r="H1499" i="2"/>
  <c r="G1499" i="2"/>
  <c r="F1499" i="2"/>
  <c r="E1499" i="2"/>
  <c r="D1499" i="2"/>
  <c r="C1499" i="2"/>
  <c r="B1499" i="2"/>
  <c r="A1499" i="2"/>
  <c r="U1498" i="2"/>
  <c r="N1498" i="2"/>
  <c r="M1498" i="2"/>
  <c r="J1498" i="2"/>
  <c r="I1498" i="2"/>
  <c r="H1498" i="2"/>
  <c r="G1498" i="2"/>
  <c r="F1498" i="2"/>
  <c r="E1498" i="2"/>
  <c r="D1498" i="2"/>
  <c r="C1498" i="2"/>
  <c r="B1498" i="2"/>
  <c r="A1498" i="2"/>
  <c r="U1497" i="2"/>
  <c r="N1497" i="2"/>
  <c r="M1497" i="2"/>
  <c r="J1497" i="2"/>
  <c r="I1497" i="2"/>
  <c r="H1497" i="2"/>
  <c r="G1497" i="2"/>
  <c r="F1497" i="2"/>
  <c r="E1497" i="2"/>
  <c r="D1497" i="2"/>
  <c r="C1497" i="2"/>
  <c r="B1497" i="2"/>
  <c r="A1497" i="2"/>
  <c r="U1496" i="2"/>
  <c r="N1496" i="2"/>
  <c r="M1496" i="2"/>
  <c r="J1496" i="2"/>
  <c r="I1496" i="2"/>
  <c r="H1496" i="2"/>
  <c r="G1496" i="2"/>
  <c r="F1496" i="2"/>
  <c r="E1496" i="2"/>
  <c r="D1496" i="2"/>
  <c r="C1496" i="2"/>
  <c r="B1496" i="2"/>
  <c r="A1496" i="2"/>
  <c r="U1495" i="2"/>
  <c r="N1495" i="2"/>
  <c r="M1495" i="2"/>
  <c r="J1495" i="2"/>
  <c r="I1495" i="2"/>
  <c r="H1495" i="2"/>
  <c r="G1495" i="2"/>
  <c r="F1495" i="2"/>
  <c r="E1495" i="2"/>
  <c r="D1495" i="2"/>
  <c r="C1495" i="2"/>
  <c r="B1495" i="2"/>
  <c r="A1495" i="2"/>
  <c r="Q1494" i="2"/>
  <c r="U1494" i="2" s="1"/>
  <c r="N1494" i="2"/>
  <c r="M1494" i="2"/>
  <c r="J1494" i="2"/>
  <c r="I1494" i="2"/>
  <c r="H1494" i="2"/>
  <c r="G1494" i="2"/>
  <c r="F1494" i="2"/>
  <c r="E1494" i="2"/>
  <c r="D1494" i="2"/>
  <c r="C1494" i="2"/>
  <c r="B1494" i="2"/>
  <c r="A1494" i="2"/>
  <c r="U1493" i="2"/>
  <c r="N1493" i="2"/>
  <c r="M1493" i="2"/>
  <c r="J1493" i="2"/>
  <c r="I1493" i="2"/>
  <c r="H1493" i="2"/>
  <c r="G1493" i="2"/>
  <c r="F1493" i="2"/>
  <c r="E1493" i="2"/>
  <c r="D1493" i="2"/>
  <c r="C1493" i="2"/>
  <c r="B1493" i="2"/>
  <c r="A1493" i="2"/>
  <c r="U1492" i="2"/>
  <c r="N1492" i="2"/>
  <c r="M1492" i="2"/>
  <c r="J1492" i="2"/>
  <c r="I1492" i="2"/>
  <c r="H1492" i="2"/>
  <c r="G1492" i="2"/>
  <c r="F1492" i="2"/>
  <c r="E1492" i="2"/>
  <c r="D1492" i="2"/>
  <c r="C1492" i="2"/>
  <c r="B1492" i="2"/>
  <c r="A1492" i="2"/>
  <c r="U1491" i="2"/>
  <c r="N1491" i="2"/>
  <c r="M1491" i="2"/>
  <c r="J1491" i="2"/>
  <c r="I1491" i="2"/>
  <c r="H1491" i="2"/>
  <c r="G1491" i="2"/>
  <c r="F1491" i="2"/>
  <c r="E1491" i="2"/>
  <c r="D1491" i="2"/>
  <c r="C1491" i="2"/>
  <c r="B1491" i="2"/>
  <c r="A1491" i="2"/>
  <c r="U1490" i="2"/>
  <c r="N1490" i="2"/>
  <c r="M1490" i="2"/>
  <c r="J1490" i="2"/>
  <c r="I1490" i="2"/>
  <c r="H1490" i="2"/>
  <c r="G1490" i="2"/>
  <c r="F1490" i="2"/>
  <c r="E1490" i="2"/>
  <c r="D1490" i="2"/>
  <c r="C1490" i="2"/>
  <c r="B1490" i="2"/>
  <c r="A1490" i="2"/>
  <c r="U1489" i="2"/>
  <c r="N1489" i="2"/>
  <c r="M1489" i="2"/>
  <c r="J1489" i="2"/>
  <c r="I1489" i="2"/>
  <c r="H1489" i="2"/>
  <c r="G1489" i="2"/>
  <c r="F1489" i="2"/>
  <c r="E1489" i="2"/>
  <c r="D1489" i="2"/>
  <c r="C1489" i="2"/>
  <c r="B1489" i="2"/>
  <c r="A1489" i="2"/>
  <c r="U1488" i="2"/>
  <c r="N1488" i="2"/>
  <c r="M1488" i="2"/>
  <c r="J1488" i="2"/>
  <c r="I1488" i="2"/>
  <c r="H1488" i="2"/>
  <c r="G1488" i="2"/>
  <c r="F1488" i="2"/>
  <c r="E1488" i="2"/>
  <c r="D1488" i="2"/>
  <c r="C1488" i="2"/>
  <c r="B1488" i="2"/>
  <c r="A1488" i="2"/>
  <c r="U1487" i="2"/>
  <c r="N1487" i="2"/>
  <c r="M1487" i="2"/>
  <c r="J1487" i="2"/>
  <c r="I1487" i="2"/>
  <c r="H1487" i="2"/>
  <c r="G1487" i="2"/>
  <c r="F1487" i="2"/>
  <c r="E1487" i="2"/>
  <c r="D1487" i="2"/>
  <c r="C1487" i="2"/>
  <c r="B1487" i="2"/>
  <c r="A1487" i="2"/>
  <c r="Q1486" i="2"/>
  <c r="U1486" i="2" s="1"/>
  <c r="N1486" i="2"/>
  <c r="M1486" i="2"/>
  <c r="J1486" i="2"/>
  <c r="I1486" i="2"/>
  <c r="H1486" i="2"/>
  <c r="G1486" i="2"/>
  <c r="F1486" i="2"/>
  <c r="E1486" i="2"/>
  <c r="D1486" i="2"/>
  <c r="C1486" i="2"/>
  <c r="B1486" i="2"/>
  <c r="A1486" i="2"/>
  <c r="Q1485" i="2"/>
  <c r="U1485" i="2" s="1"/>
  <c r="N1485" i="2"/>
  <c r="M1485" i="2"/>
  <c r="J1485" i="2"/>
  <c r="I1485" i="2"/>
  <c r="H1485" i="2"/>
  <c r="G1485" i="2"/>
  <c r="F1485" i="2"/>
  <c r="E1485" i="2"/>
  <c r="D1485" i="2"/>
  <c r="C1485" i="2"/>
  <c r="B1485" i="2"/>
  <c r="A1485" i="2"/>
  <c r="U1484" i="2"/>
  <c r="N1484" i="2"/>
  <c r="M1484" i="2"/>
  <c r="J1484" i="2"/>
  <c r="I1484" i="2"/>
  <c r="H1484" i="2"/>
  <c r="G1484" i="2"/>
  <c r="F1484" i="2"/>
  <c r="E1484" i="2"/>
  <c r="D1484" i="2"/>
  <c r="C1484" i="2"/>
  <c r="B1484" i="2"/>
  <c r="A1484" i="2"/>
  <c r="U1483" i="2"/>
  <c r="N1483" i="2"/>
  <c r="M1483" i="2"/>
  <c r="J1483" i="2"/>
  <c r="I1483" i="2"/>
  <c r="H1483" i="2"/>
  <c r="G1483" i="2"/>
  <c r="F1483" i="2"/>
  <c r="E1483" i="2"/>
  <c r="D1483" i="2"/>
  <c r="C1483" i="2"/>
  <c r="B1483" i="2"/>
  <c r="A1483" i="2"/>
  <c r="U1482" i="2"/>
  <c r="N1482" i="2"/>
  <c r="M1482" i="2"/>
  <c r="J1482" i="2"/>
  <c r="I1482" i="2"/>
  <c r="H1482" i="2"/>
  <c r="G1482" i="2"/>
  <c r="F1482" i="2"/>
  <c r="E1482" i="2"/>
  <c r="D1482" i="2"/>
  <c r="C1482" i="2"/>
  <c r="B1482" i="2"/>
  <c r="A1482" i="2"/>
  <c r="U1481" i="2"/>
  <c r="N1481" i="2"/>
  <c r="M1481" i="2"/>
  <c r="J1481" i="2"/>
  <c r="I1481" i="2"/>
  <c r="H1481" i="2"/>
  <c r="G1481" i="2"/>
  <c r="F1481" i="2"/>
  <c r="E1481" i="2"/>
  <c r="D1481" i="2"/>
  <c r="C1481" i="2"/>
  <c r="B1481" i="2"/>
  <c r="A1481" i="2"/>
  <c r="U1480" i="2"/>
  <c r="N1480" i="2"/>
  <c r="M1480" i="2"/>
  <c r="J1480" i="2"/>
  <c r="I1480" i="2"/>
  <c r="H1480" i="2"/>
  <c r="G1480" i="2"/>
  <c r="F1480" i="2"/>
  <c r="E1480" i="2"/>
  <c r="D1480" i="2"/>
  <c r="C1480" i="2"/>
  <c r="B1480" i="2"/>
  <c r="A1480" i="2"/>
  <c r="U1479" i="2"/>
  <c r="N1479" i="2"/>
  <c r="M1479" i="2"/>
  <c r="J1479" i="2"/>
  <c r="I1479" i="2"/>
  <c r="H1479" i="2"/>
  <c r="G1479" i="2"/>
  <c r="F1479" i="2"/>
  <c r="E1479" i="2"/>
  <c r="D1479" i="2"/>
  <c r="C1479" i="2"/>
  <c r="B1479" i="2"/>
  <c r="A1479" i="2"/>
  <c r="U1478" i="2"/>
  <c r="N1478" i="2"/>
  <c r="M1478" i="2"/>
  <c r="J1478" i="2"/>
  <c r="I1478" i="2"/>
  <c r="H1478" i="2"/>
  <c r="G1478" i="2"/>
  <c r="F1478" i="2"/>
  <c r="E1478" i="2"/>
  <c r="D1478" i="2"/>
  <c r="C1478" i="2"/>
  <c r="B1478" i="2"/>
  <c r="A1478" i="2"/>
  <c r="Q1477" i="2"/>
  <c r="U1477" i="2" s="1"/>
  <c r="N1477" i="2"/>
  <c r="M1477" i="2"/>
  <c r="J1477" i="2"/>
  <c r="I1477" i="2"/>
  <c r="H1477" i="2"/>
  <c r="G1477" i="2"/>
  <c r="F1477" i="2"/>
  <c r="E1477" i="2"/>
  <c r="D1477" i="2"/>
  <c r="C1477" i="2"/>
  <c r="B1477" i="2"/>
  <c r="A1477" i="2"/>
  <c r="U1476" i="2"/>
  <c r="N1476" i="2"/>
  <c r="M1476" i="2"/>
  <c r="J1476" i="2"/>
  <c r="I1476" i="2"/>
  <c r="H1476" i="2"/>
  <c r="G1476" i="2"/>
  <c r="F1476" i="2"/>
  <c r="E1476" i="2"/>
  <c r="D1476" i="2"/>
  <c r="C1476" i="2"/>
  <c r="B1476" i="2"/>
  <c r="A1476" i="2"/>
  <c r="U1475" i="2"/>
  <c r="N1475" i="2"/>
  <c r="M1475" i="2"/>
  <c r="J1475" i="2"/>
  <c r="I1475" i="2"/>
  <c r="H1475" i="2"/>
  <c r="G1475" i="2"/>
  <c r="F1475" i="2"/>
  <c r="E1475" i="2"/>
  <c r="D1475" i="2"/>
  <c r="C1475" i="2"/>
  <c r="B1475" i="2"/>
  <c r="A1475" i="2"/>
  <c r="U1474" i="2"/>
  <c r="N1474" i="2"/>
  <c r="M1474" i="2"/>
  <c r="J1474" i="2"/>
  <c r="I1474" i="2"/>
  <c r="H1474" i="2"/>
  <c r="G1474" i="2"/>
  <c r="F1474" i="2"/>
  <c r="E1474" i="2"/>
  <c r="D1474" i="2"/>
  <c r="C1474" i="2"/>
  <c r="B1474" i="2"/>
  <c r="A1474" i="2"/>
  <c r="Q1473" i="2"/>
  <c r="U1473" i="2" s="1"/>
  <c r="N1473" i="2"/>
  <c r="M1473" i="2"/>
  <c r="J1473" i="2"/>
  <c r="I1473" i="2"/>
  <c r="H1473" i="2"/>
  <c r="G1473" i="2"/>
  <c r="F1473" i="2"/>
  <c r="E1473" i="2"/>
  <c r="D1473" i="2"/>
  <c r="C1473" i="2"/>
  <c r="B1473" i="2"/>
  <c r="A1473" i="2"/>
  <c r="U1472" i="2"/>
  <c r="N1472" i="2"/>
  <c r="M1472" i="2"/>
  <c r="J1472" i="2"/>
  <c r="I1472" i="2"/>
  <c r="H1472" i="2"/>
  <c r="G1472" i="2"/>
  <c r="F1472" i="2"/>
  <c r="E1472" i="2"/>
  <c r="D1472" i="2"/>
  <c r="C1472" i="2"/>
  <c r="B1472" i="2"/>
  <c r="A1472" i="2"/>
  <c r="U1471" i="2"/>
  <c r="N1471" i="2"/>
  <c r="M1471" i="2"/>
  <c r="J1471" i="2"/>
  <c r="I1471" i="2"/>
  <c r="H1471" i="2"/>
  <c r="G1471" i="2"/>
  <c r="F1471" i="2"/>
  <c r="E1471" i="2"/>
  <c r="D1471" i="2"/>
  <c r="C1471" i="2"/>
  <c r="B1471" i="2"/>
  <c r="A1471" i="2"/>
  <c r="U1470" i="2"/>
  <c r="N1470" i="2"/>
  <c r="M1470" i="2"/>
  <c r="J1470" i="2"/>
  <c r="I1470" i="2"/>
  <c r="H1470" i="2"/>
  <c r="G1470" i="2"/>
  <c r="F1470" i="2"/>
  <c r="E1470" i="2"/>
  <c r="D1470" i="2"/>
  <c r="C1470" i="2"/>
  <c r="B1470" i="2"/>
  <c r="A1470" i="2"/>
  <c r="U1469" i="2"/>
  <c r="N1469" i="2"/>
  <c r="M1469" i="2"/>
  <c r="J1469" i="2"/>
  <c r="I1469" i="2"/>
  <c r="H1469" i="2"/>
  <c r="G1469" i="2"/>
  <c r="F1469" i="2"/>
  <c r="E1469" i="2"/>
  <c r="D1469" i="2"/>
  <c r="C1469" i="2"/>
  <c r="B1469" i="2"/>
  <c r="A1469" i="2"/>
  <c r="U1468" i="2"/>
  <c r="N1468" i="2"/>
  <c r="M1468" i="2"/>
  <c r="J1468" i="2"/>
  <c r="I1468" i="2"/>
  <c r="H1468" i="2"/>
  <c r="G1468" i="2"/>
  <c r="F1468" i="2"/>
  <c r="E1468" i="2"/>
  <c r="D1468" i="2"/>
  <c r="C1468" i="2"/>
  <c r="B1468" i="2"/>
  <c r="A1468" i="2"/>
  <c r="U1467" i="2"/>
  <c r="N1467" i="2"/>
  <c r="M1467" i="2"/>
  <c r="J1467" i="2"/>
  <c r="I1467" i="2"/>
  <c r="H1467" i="2"/>
  <c r="G1467" i="2"/>
  <c r="F1467" i="2"/>
  <c r="E1467" i="2"/>
  <c r="D1467" i="2"/>
  <c r="C1467" i="2"/>
  <c r="B1467" i="2"/>
  <c r="A1467" i="2"/>
  <c r="U1466" i="2"/>
  <c r="N1466" i="2"/>
  <c r="M1466" i="2"/>
  <c r="J1466" i="2"/>
  <c r="I1466" i="2"/>
  <c r="H1466" i="2"/>
  <c r="G1466" i="2"/>
  <c r="F1466" i="2"/>
  <c r="E1466" i="2"/>
  <c r="D1466" i="2"/>
  <c r="C1466" i="2"/>
  <c r="B1466" i="2"/>
  <c r="A1466" i="2"/>
  <c r="U1465" i="2"/>
  <c r="N1465" i="2"/>
  <c r="M1465" i="2"/>
  <c r="J1465" i="2"/>
  <c r="I1465" i="2"/>
  <c r="H1465" i="2"/>
  <c r="G1465" i="2"/>
  <c r="F1465" i="2"/>
  <c r="E1465" i="2"/>
  <c r="D1465" i="2"/>
  <c r="C1465" i="2"/>
  <c r="B1465" i="2"/>
  <c r="A1465" i="2"/>
  <c r="U1464" i="2"/>
  <c r="N1464" i="2"/>
  <c r="M1464" i="2"/>
  <c r="J1464" i="2"/>
  <c r="I1464" i="2"/>
  <c r="H1464" i="2"/>
  <c r="G1464" i="2"/>
  <c r="F1464" i="2"/>
  <c r="E1464" i="2"/>
  <c r="D1464" i="2"/>
  <c r="C1464" i="2"/>
  <c r="B1464" i="2"/>
  <c r="A1464" i="2"/>
  <c r="U1463" i="2"/>
  <c r="N1463" i="2"/>
  <c r="M1463" i="2"/>
  <c r="J1463" i="2"/>
  <c r="I1463" i="2"/>
  <c r="H1463" i="2"/>
  <c r="G1463" i="2"/>
  <c r="F1463" i="2"/>
  <c r="E1463" i="2"/>
  <c r="D1463" i="2"/>
  <c r="C1463" i="2"/>
  <c r="B1463" i="2"/>
  <c r="A1463" i="2"/>
  <c r="U1462" i="2"/>
  <c r="N1462" i="2"/>
  <c r="M1462" i="2"/>
  <c r="J1462" i="2"/>
  <c r="I1462" i="2"/>
  <c r="H1462" i="2"/>
  <c r="G1462" i="2"/>
  <c r="F1462" i="2"/>
  <c r="E1462" i="2"/>
  <c r="D1462" i="2"/>
  <c r="C1462" i="2"/>
  <c r="B1462" i="2"/>
  <c r="A1462" i="2"/>
  <c r="Q1461" i="2"/>
  <c r="U1461" i="2" s="1"/>
  <c r="N1461" i="2"/>
  <c r="M1461" i="2"/>
  <c r="J1461" i="2"/>
  <c r="I1461" i="2"/>
  <c r="H1461" i="2"/>
  <c r="G1461" i="2"/>
  <c r="F1461" i="2"/>
  <c r="E1461" i="2"/>
  <c r="D1461" i="2"/>
  <c r="C1461" i="2"/>
  <c r="B1461" i="2"/>
  <c r="A1461" i="2"/>
  <c r="U1460" i="2"/>
  <c r="N1460" i="2"/>
  <c r="M1460" i="2"/>
  <c r="J1460" i="2"/>
  <c r="I1460" i="2"/>
  <c r="H1460" i="2"/>
  <c r="G1460" i="2"/>
  <c r="F1460" i="2"/>
  <c r="E1460" i="2"/>
  <c r="D1460" i="2"/>
  <c r="C1460" i="2"/>
  <c r="B1460" i="2"/>
  <c r="A1460" i="2"/>
  <c r="U1459" i="2"/>
  <c r="N1459" i="2"/>
  <c r="M1459" i="2"/>
  <c r="J1459" i="2"/>
  <c r="I1459" i="2"/>
  <c r="H1459" i="2"/>
  <c r="G1459" i="2"/>
  <c r="F1459" i="2"/>
  <c r="E1459" i="2"/>
  <c r="D1459" i="2"/>
  <c r="C1459" i="2"/>
  <c r="B1459" i="2"/>
  <c r="A1459" i="2"/>
  <c r="U1458" i="2"/>
  <c r="N1458" i="2"/>
  <c r="M1458" i="2"/>
  <c r="J1458" i="2"/>
  <c r="I1458" i="2"/>
  <c r="H1458" i="2"/>
  <c r="G1458" i="2"/>
  <c r="F1458" i="2"/>
  <c r="E1458" i="2"/>
  <c r="D1458" i="2"/>
  <c r="C1458" i="2"/>
  <c r="B1458" i="2"/>
  <c r="A1458" i="2"/>
  <c r="Q1457" i="2"/>
  <c r="U1457" i="2" s="1"/>
  <c r="N1457" i="2"/>
  <c r="M1457" i="2"/>
  <c r="J1457" i="2"/>
  <c r="I1457" i="2"/>
  <c r="H1457" i="2"/>
  <c r="G1457" i="2"/>
  <c r="F1457" i="2"/>
  <c r="E1457" i="2"/>
  <c r="D1457" i="2"/>
  <c r="C1457" i="2"/>
  <c r="B1457" i="2"/>
  <c r="A1457" i="2"/>
  <c r="U1456" i="2"/>
  <c r="N1456" i="2"/>
  <c r="M1456" i="2"/>
  <c r="J1456" i="2"/>
  <c r="I1456" i="2"/>
  <c r="H1456" i="2"/>
  <c r="G1456" i="2"/>
  <c r="F1456" i="2"/>
  <c r="E1456" i="2"/>
  <c r="D1456" i="2"/>
  <c r="C1456" i="2"/>
  <c r="B1456" i="2"/>
  <c r="A1456" i="2"/>
  <c r="U1455" i="2"/>
  <c r="N1455" i="2"/>
  <c r="M1455" i="2"/>
  <c r="J1455" i="2"/>
  <c r="I1455" i="2"/>
  <c r="H1455" i="2"/>
  <c r="G1455" i="2"/>
  <c r="F1455" i="2"/>
  <c r="E1455" i="2"/>
  <c r="D1455" i="2"/>
  <c r="C1455" i="2"/>
  <c r="B1455" i="2"/>
  <c r="A1455" i="2"/>
  <c r="U1454" i="2"/>
  <c r="N1454" i="2"/>
  <c r="M1454" i="2"/>
  <c r="J1454" i="2"/>
  <c r="I1454" i="2"/>
  <c r="H1454" i="2"/>
  <c r="G1454" i="2"/>
  <c r="F1454" i="2"/>
  <c r="E1454" i="2"/>
  <c r="D1454" i="2"/>
  <c r="C1454" i="2"/>
  <c r="B1454" i="2"/>
  <c r="A1454" i="2"/>
  <c r="U1453" i="2"/>
  <c r="N1453" i="2"/>
  <c r="M1453" i="2"/>
  <c r="J1453" i="2"/>
  <c r="I1453" i="2"/>
  <c r="H1453" i="2"/>
  <c r="G1453" i="2"/>
  <c r="F1453" i="2"/>
  <c r="E1453" i="2"/>
  <c r="D1453" i="2"/>
  <c r="C1453" i="2"/>
  <c r="B1453" i="2"/>
  <c r="A1453" i="2"/>
  <c r="U1452" i="2"/>
  <c r="N1452" i="2"/>
  <c r="M1452" i="2"/>
  <c r="J1452" i="2"/>
  <c r="I1452" i="2"/>
  <c r="H1452" i="2"/>
  <c r="G1452" i="2"/>
  <c r="F1452" i="2"/>
  <c r="E1452" i="2"/>
  <c r="D1452" i="2"/>
  <c r="C1452" i="2"/>
  <c r="B1452" i="2"/>
  <c r="A1452" i="2"/>
  <c r="U1451" i="2"/>
  <c r="N1451" i="2"/>
  <c r="M1451" i="2"/>
  <c r="J1451" i="2"/>
  <c r="I1451" i="2"/>
  <c r="H1451" i="2"/>
  <c r="G1451" i="2"/>
  <c r="F1451" i="2"/>
  <c r="E1451" i="2"/>
  <c r="D1451" i="2"/>
  <c r="C1451" i="2"/>
  <c r="B1451" i="2"/>
  <c r="A1451" i="2"/>
  <c r="U1450" i="2"/>
  <c r="N1450" i="2"/>
  <c r="M1450" i="2"/>
  <c r="J1450" i="2"/>
  <c r="I1450" i="2"/>
  <c r="H1450" i="2"/>
  <c r="G1450" i="2"/>
  <c r="F1450" i="2"/>
  <c r="E1450" i="2"/>
  <c r="D1450" i="2"/>
  <c r="C1450" i="2"/>
  <c r="B1450" i="2"/>
  <c r="A1450" i="2"/>
  <c r="U1449" i="2"/>
  <c r="N1449" i="2"/>
  <c r="M1449" i="2"/>
  <c r="J1449" i="2"/>
  <c r="I1449" i="2"/>
  <c r="H1449" i="2"/>
  <c r="G1449" i="2"/>
  <c r="F1449" i="2"/>
  <c r="E1449" i="2"/>
  <c r="D1449" i="2"/>
  <c r="C1449" i="2"/>
  <c r="B1449" i="2"/>
  <c r="A1449" i="2"/>
  <c r="U1448" i="2"/>
  <c r="N1448" i="2"/>
  <c r="M1448" i="2"/>
  <c r="J1448" i="2"/>
  <c r="I1448" i="2"/>
  <c r="H1448" i="2"/>
  <c r="G1448" i="2"/>
  <c r="F1448" i="2"/>
  <c r="E1448" i="2"/>
  <c r="D1448" i="2"/>
  <c r="C1448" i="2"/>
  <c r="B1448" i="2"/>
  <c r="A1448" i="2"/>
  <c r="U1447" i="2"/>
  <c r="N1447" i="2"/>
  <c r="M1447" i="2"/>
  <c r="J1447" i="2"/>
  <c r="I1447" i="2"/>
  <c r="H1447" i="2"/>
  <c r="G1447" i="2"/>
  <c r="F1447" i="2"/>
  <c r="E1447" i="2"/>
  <c r="D1447" i="2"/>
  <c r="C1447" i="2"/>
  <c r="B1447" i="2"/>
  <c r="A1447" i="2"/>
  <c r="U1446" i="2"/>
  <c r="N1446" i="2"/>
  <c r="M1446" i="2"/>
  <c r="J1446" i="2"/>
  <c r="I1446" i="2"/>
  <c r="H1446" i="2"/>
  <c r="G1446" i="2"/>
  <c r="F1446" i="2"/>
  <c r="E1446" i="2"/>
  <c r="D1446" i="2"/>
  <c r="C1446" i="2"/>
  <c r="B1446" i="2"/>
  <c r="A1446" i="2"/>
  <c r="U1445" i="2"/>
  <c r="N1445" i="2"/>
  <c r="M1445" i="2"/>
  <c r="J1445" i="2"/>
  <c r="I1445" i="2"/>
  <c r="H1445" i="2"/>
  <c r="G1445" i="2"/>
  <c r="F1445" i="2"/>
  <c r="E1445" i="2"/>
  <c r="D1445" i="2"/>
  <c r="C1445" i="2"/>
  <c r="B1445" i="2"/>
  <c r="A1445" i="2"/>
  <c r="U1444" i="2"/>
  <c r="N1444" i="2"/>
  <c r="M1444" i="2"/>
  <c r="J1444" i="2"/>
  <c r="I1444" i="2"/>
  <c r="H1444" i="2"/>
  <c r="G1444" i="2"/>
  <c r="F1444" i="2"/>
  <c r="E1444" i="2"/>
  <c r="D1444" i="2"/>
  <c r="C1444" i="2"/>
  <c r="B1444" i="2"/>
  <c r="A1444" i="2"/>
  <c r="U1443" i="2"/>
  <c r="N1443" i="2"/>
  <c r="M1443" i="2"/>
  <c r="J1443" i="2"/>
  <c r="I1443" i="2"/>
  <c r="H1443" i="2"/>
  <c r="G1443" i="2"/>
  <c r="F1443" i="2"/>
  <c r="E1443" i="2"/>
  <c r="D1443" i="2"/>
  <c r="C1443" i="2"/>
  <c r="B1443" i="2"/>
  <c r="A1443" i="2"/>
  <c r="U1442" i="2"/>
  <c r="N1442" i="2"/>
  <c r="M1442" i="2"/>
  <c r="J1442" i="2"/>
  <c r="I1442" i="2"/>
  <c r="H1442" i="2"/>
  <c r="G1442" i="2"/>
  <c r="F1442" i="2"/>
  <c r="E1442" i="2"/>
  <c r="D1442" i="2"/>
  <c r="C1442" i="2"/>
  <c r="B1442" i="2"/>
  <c r="A1442" i="2"/>
  <c r="U1441" i="2"/>
  <c r="N1441" i="2"/>
  <c r="M1441" i="2"/>
  <c r="J1441" i="2"/>
  <c r="I1441" i="2"/>
  <c r="H1441" i="2"/>
  <c r="G1441" i="2"/>
  <c r="F1441" i="2"/>
  <c r="E1441" i="2"/>
  <c r="D1441" i="2"/>
  <c r="C1441" i="2"/>
  <c r="B1441" i="2"/>
  <c r="A1441" i="2"/>
  <c r="U1440" i="2"/>
  <c r="N1440" i="2"/>
  <c r="M1440" i="2"/>
  <c r="J1440" i="2"/>
  <c r="I1440" i="2"/>
  <c r="H1440" i="2"/>
  <c r="G1440" i="2"/>
  <c r="F1440" i="2"/>
  <c r="E1440" i="2"/>
  <c r="D1440" i="2"/>
  <c r="C1440" i="2"/>
  <c r="B1440" i="2"/>
  <c r="A1440" i="2"/>
  <c r="U1439" i="2"/>
  <c r="N1439" i="2"/>
  <c r="M1439" i="2"/>
  <c r="J1439" i="2"/>
  <c r="I1439" i="2"/>
  <c r="H1439" i="2"/>
  <c r="G1439" i="2"/>
  <c r="F1439" i="2"/>
  <c r="E1439" i="2"/>
  <c r="D1439" i="2"/>
  <c r="C1439" i="2"/>
  <c r="B1439" i="2"/>
  <c r="A1439" i="2"/>
  <c r="U1438" i="2"/>
  <c r="N1438" i="2"/>
  <c r="M1438" i="2"/>
  <c r="J1438" i="2"/>
  <c r="I1438" i="2"/>
  <c r="H1438" i="2"/>
  <c r="G1438" i="2"/>
  <c r="F1438" i="2"/>
  <c r="E1438" i="2"/>
  <c r="D1438" i="2"/>
  <c r="C1438" i="2"/>
  <c r="B1438" i="2"/>
  <c r="A1438" i="2"/>
  <c r="U1437" i="2"/>
  <c r="N1437" i="2"/>
  <c r="M1437" i="2"/>
  <c r="J1437" i="2"/>
  <c r="I1437" i="2"/>
  <c r="H1437" i="2"/>
  <c r="G1437" i="2"/>
  <c r="F1437" i="2"/>
  <c r="E1437" i="2"/>
  <c r="D1437" i="2"/>
  <c r="C1437" i="2"/>
  <c r="B1437" i="2"/>
  <c r="A1437" i="2"/>
  <c r="U1436" i="2"/>
  <c r="N1436" i="2"/>
  <c r="M1436" i="2"/>
  <c r="J1436" i="2"/>
  <c r="I1436" i="2"/>
  <c r="H1436" i="2"/>
  <c r="G1436" i="2"/>
  <c r="F1436" i="2"/>
  <c r="E1436" i="2"/>
  <c r="D1436" i="2"/>
  <c r="C1436" i="2"/>
  <c r="B1436" i="2"/>
  <c r="A1436" i="2"/>
  <c r="U1435" i="2"/>
  <c r="N1435" i="2"/>
  <c r="M1435" i="2"/>
  <c r="J1435" i="2"/>
  <c r="I1435" i="2"/>
  <c r="H1435" i="2"/>
  <c r="G1435" i="2"/>
  <c r="F1435" i="2"/>
  <c r="E1435" i="2"/>
  <c r="D1435" i="2"/>
  <c r="C1435" i="2"/>
  <c r="B1435" i="2"/>
  <c r="A1435" i="2"/>
  <c r="U1434" i="2"/>
  <c r="N1434" i="2"/>
  <c r="M1434" i="2"/>
  <c r="J1434" i="2"/>
  <c r="I1434" i="2"/>
  <c r="H1434" i="2"/>
  <c r="G1434" i="2"/>
  <c r="F1434" i="2"/>
  <c r="E1434" i="2"/>
  <c r="D1434" i="2"/>
  <c r="C1434" i="2"/>
  <c r="B1434" i="2"/>
  <c r="A1434" i="2"/>
  <c r="U1433" i="2"/>
  <c r="N1433" i="2"/>
  <c r="M1433" i="2"/>
  <c r="J1433" i="2"/>
  <c r="I1433" i="2"/>
  <c r="H1433" i="2"/>
  <c r="G1433" i="2"/>
  <c r="F1433" i="2"/>
  <c r="E1433" i="2"/>
  <c r="D1433" i="2"/>
  <c r="C1433" i="2"/>
  <c r="B1433" i="2"/>
  <c r="A1433" i="2"/>
  <c r="U1432" i="2"/>
  <c r="N1432" i="2"/>
  <c r="M1432" i="2"/>
  <c r="J1432" i="2"/>
  <c r="I1432" i="2"/>
  <c r="H1432" i="2"/>
  <c r="G1432" i="2"/>
  <c r="F1432" i="2"/>
  <c r="E1432" i="2"/>
  <c r="D1432" i="2"/>
  <c r="C1432" i="2"/>
  <c r="B1432" i="2"/>
  <c r="A1432" i="2"/>
  <c r="U1431" i="2"/>
  <c r="N1431" i="2"/>
  <c r="M1431" i="2"/>
  <c r="J1431" i="2"/>
  <c r="I1431" i="2"/>
  <c r="H1431" i="2"/>
  <c r="G1431" i="2"/>
  <c r="F1431" i="2"/>
  <c r="E1431" i="2"/>
  <c r="D1431" i="2"/>
  <c r="C1431" i="2"/>
  <c r="B1431" i="2"/>
  <c r="A1431" i="2"/>
  <c r="U1430" i="2"/>
  <c r="N1430" i="2"/>
  <c r="M1430" i="2"/>
  <c r="J1430" i="2"/>
  <c r="I1430" i="2"/>
  <c r="H1430" i="2"/>
  <c r="G1430" i="2"/>
  <c r="F1430" i="2"/>
  <c r="E1430" i="2"/>
  <c r="D1430" i="2"/>
  <c r="C1430" i="2"/>
  <c r="B1430" i="2"/>
  <c r="A1430" i="2"/>
  <c r="U1429" i="2"/>
  <c r="N1429" i="2"/>
  <c r="M1429" i="2"/>
  <c r="J1429" i="2"/>
  <c r="I1429" i="2"/>
  <c r="H1429" i="2"/>
  <c r="G1429" i="2"/>
  <c r="F1429" i="2"/>
  <c r="E1429" i="2"/>
  <c r="D1429" i="2"/>
  <c r="C1429" i="2"/>
  <c r="B1429" i="2"/>
  <c r="A1429" i="2"/>
  <c r="U1428" i="2"/>
  <c r="N1428" i="2"/>
  <c r="M1428" i="2"/>
  <c r="J1428" i="2"/>
  <c r="I1428" i="2"/>
  <c r="H1428" i="2"/>
  <c r="G1428" i="2"/>
  <c r="F1428" i="2"/>
  <c r="E1428" i="2"/>
  <c r="D1428" i="2"/>
  <c r="C1428" i="2"/>
  <c r="B1428" i="2"/>
  <c r="A1428" i="2"/>
  <c r="U1427" i="2"/>
  <c r="N1427" i="2"/>
  <c r="M1427" i="2"/>
  <c r="J1427" i="2"/>
  <c r="I1427" i="2"/>
  <c r="H1427" i="2"/>
  <c r="G1427" i="2"/>
  <c r="F1427" i="2"/>
  <c r="E1427" i="2"/>
  <c r="D1427" i="2"/>
  <c r="C1427" i="2"/>
  <c r="B1427" i="2"/>
  <c r="A1427" i="2"/>
  <c r="U1426" i="2"/>
  <c r="N1426" i="2"/>
  <c r="M1426" i="2"/>
  <c r="J1426" i="2"/>
  <c r="I1426" i="2"/>
  <c r="H1426" i="2"/>
  <c r="G1426" i="2"/>
  <c r="F1426" i="2"/>
  <c r="E1426" i="2"/>
  <c r="D1426" i="2"/>
  <c r="C1426" i="2"/>
  <c r="B1426" i="2"/>
  <c r="A1426" i="2"/>
  <c r="U1425" i="2"/>
  <c r="N1425" i="2"/>
  <c r="M1425" i="2"/>
  <c r="J1425" i="2"/>
  <c r="I1425" i="2"/>
  <c r="H1425" i="2"/>
  <c r="G1425" i="2"/>
  <c r="F1425" i="2"/>
  <c r="E1425" i="2"/>
  <c r="D1425" i="2"/>
  <c r="C1425" i="2"/>
  <c r="B1425" i="2"/>
  <c r="A1425" i="2"/>
  <c r="U1424" i="2"/>
  <c r="N1424" i="2"/>
  <c r="M1424" i="2"/>
  <c r="J1424" i="2"/>
  <c r="I1424" i="2"/>
  <c r="H1424" i="2"/>
  <c r="G1424" i="2"/>
  <c r="F1424" i="2"/>
  <c r="E1424" i="2"/>
  <c r="D1424" i="2"/>
  <c r="C1424" i="2"/>
  <c r="B1424" i="2"/>
  <c r="A1424" i="2"/>
  <c r="U1423" i="2"/>
  <c r="N1423" i="2"/>
  <c r="M1423" i="2"/>
  <c r="J1423" i="2"/>
  <c r="I1423" i="2"/>
  <c r="H1423" i="2"/>
  <c r="G1423" i="2"/>
  <c r="F1423" i="2"/>
  <c r="E1423" i="2"/>
  <c r="D1423" i="2"/>
  <c r="C1423" i="2"/>
  <c r="B1423" i="2"/>
  <c r="A1423" i="2"/>
  <c r="U1422" i="2"/>
  <c r="N1422" i="2"/>
  <c r="M1422" i="2"/>
  <c r="J1422" i="2"/>
  <c r="I1422" i="2"/>
  <c r="H1422" i="2"/>
  <c r="G1422" i="2"/>
  <c r="F1422" i="2"/>
  <c r="E1422" i="2"/>
  <c r="D1422" i="2"/>
  <c r="C1422" i="2"/>
  <c r="B1422" i="2"/>
  <c r="A1422" i="2"/>
  <c r="U1421" i="2"/>
  <c r="N1421" i="2"/>
  <c r="M1421" i="2"/>
  <c r="J1421" i="2"/>
  <c r="I1421" i="2"/>
  <c r="H1421" i="2"/>
  <c r="G1421" i="2"/>
  <c r="F1421" i="2"/>
  <c r="E1421" i="2"/>
  <c r="D1421" i="2"/>
  <c r="C1421" i="2"/>
  <c r="B1421" i="2"/>
  <c r="A1421" i="2"/>
  <c r="U1420" i="2"/>
  <c r="N1420" i="2"/>
  <c r="M1420" i="2"/>
  <c r="J1420" i="2"/>
  <c r="I1420" i="2"/>
  <c r="H1420" i="2"/>
  <c r="G1420" i="2"/>
  <c r="F1420" i="2"/>
  <c r="E1420" i="2"/>
  <c r="D1420" i="2"/>
  <c r="C1420" i="2"/>
  <c r="B1420" i="2"/>
  <c r="A1420" i="2"/>
  <c r="U1419" i="2"/>
  <c r="N1419" i="2"/>
  <c r="M1419" i="2"/>
  <c r="J1419" i="2"/>
  <c r="I1419" i="2"/>
  <c r="H1419" i="2"/>
  <c r="G1419" i="2"/>
  <c r="F1419" i="2"/>
  <c r="E1419" i="2"/>
  <c r="D1419" i="2"/>
  <c r="C1419" i="2"/>
  <c r="B1419" i="2"/>
  <c r="A1419" i="2"/>
  <c r="U1418" i="2"/>
  <c r="N1418" i="2"/>
  <c r="M1418" i="2"/>
  <c r="J1418" i="2"/>
  <c r="I1418" i="2"/>
  <c r="H1418" i="2"/>
  <c r="G1418" i="2"/>
  <c r="F1418" i="2"/>
  <c r="E1418" i="2"/>
  <c r="D1418" i="2"/>
  <c r="C1418" i="2"/>
  <c r="B1418" i="2"/>
  <c r="A1418" i="2"/>
  <c r="U1417" i="2"/>
  <c r="N1417" i="2"/>
  <c r="M1417" i="2"/>
  <c r="J1417" i="2"/>
  <c r="I1417" i="2"/>
  <c r="H1417" i="2"/>
  <c r="G1417" i="2"/>
  <c r="F1417" i="2"/>
  <c r="E1417" i="2"/>
  <c r="D1417" i="2"/>
  <c r="C1417" i="2"/>
  <c r="B1417" i="2"/>
  <c r="A1417" i="2"/>
  <c r="U1416" i="2"/>
  <c r="N1416" i="2"/>
  <c r="M1416" i="2"/>
  <c r="J1416" i="2"/>
  <c r="I1416" i="2"/>
  <c r="H1416" i="2"/>
  <c r="G1416" i="2"/>
  <c r="F1416" i="2"/>
  <c r="E1416" i="2"/>
  <c r="D1416" i="2"/>
  <c r="C1416" i="2"/>
  <c r="B1416" i="2"/>
  <c r="A1416" i="2"/>
  <c r="U1415" i="2"/>
  <c r="N1415" i="2"/>
  <c r="M1415" i="2"/>
  <c r="J1415" i="2"/>
  <c r="I1415" i="2"/>
  <c r="H1415" i="2"/>
  <c r="G1415" i="2"/>
  <c r="F1415" i="2"/>
  <c r="E1415" i="2"/>
  <c r="D1415" i="2"/>
  <c r="C1415" i="2"/>
  <c r="B1415" i="2"/>
  <c r="A1415" i="2"/>
  <c r="U1414" i="2"/>
  <c r="N1414" i="2"/>
  <c r="M1414" i="2"/>
  <c r="J1414" i="2"/>
  <c r="I1414" i="2"/>
  <c r="H1414" i="2"/>
  <c r="G1414" i="2"/>
  <c r="F1414" i="2"/>
  <c r="E1414" i="2"/>
  <c r="D1414" i="2"/>
  <c r="C1414" i="2"/>
  <c r="B1414" i="2"/>
  <c r="A1414" i="2"/>
  <c r="U1413" i="2"/>
  <c r="N1413" i="2"/>
  <c r="M1413" i="2"/>
  <c r="J1413" i="2"/>
  <c r="I1413" i="2"/>
  <c r="H1413" i="2"/>
  <c r="G1413" i="2"/>
  <c r="F1413" i="2"/>
  <c r="E1413" i="2"/>
  <c r="D1413" i="2"/>
  <c r="C1413" i="2"/>
  <c r="B1413" i="2"/>
  <c r="A1413" i="2"/>
  <c r="U1412" i="2"/>
  <c r="N1412" i="2"/>
  <c r="M1412" i="2"/>
  <c r="J1412" i="2"/>
  <c r="I1412" i="2"/>
  <c r="H1412" i="2"/>
  <c r="G1412" i="2"/>
  <c r="F1412" i="2"/>
  <c r="E1412" i="2"/>
  <c r="D1412" i="2"/>
  <c r="C1412" i="2"/>
  <c r="B1412" i="2"/>
  <c r="A1412" i="2"/>
  <c r="U1411" i="2"/>
  <c r="N1411" i="2"/>
  <c r="M1411" i="2"/>
  <c r="J1411" i="2"/>
  <c r="I1411" i="2"/>
  <c r="H1411" i="2"/>
  <c r="G1411" i="2"/>
  <c r="F1411" i="2"/>
  <c r="E1411" i="2"/>
  <c r="D1411" i="2"/>
  <c r="C1411" i="2"/>
  <c r="B1411" i="2"/>
  <c r="A1411" i="2"/>
  <c r="U1410" i="2"/>
  <c r="N1410" i="2"/>
  <c r="M1410" i="2"/>
  <c r="J1410" i="2"/>
  <c r="I1410" i="2"/>
  <c r="H1410" i="2"/>
  <c r="G1410" i="2"/>
  <c r="F1410" i="2"/>
  <c r="E1410" i="2"/>
  <c r="D1410" i="2"/>
  <c r="C1410" i="2"/>
  <c r="B1410" i="2"/>
  <c r="A1410" i="2"/>
  <c r="U1409" i="2"/>
  <c r="N1409" i="2"/>
  <c r="M1409" i="2"/>
  <c r="J1409" i="2"/>
  <c r="I1409" i="2"/>
  <c r="H1409" i="2"/>
  <c r="G1409" i="2"/>
  <c r="F1409" i="2"/>
  <c r="E1409" i="2"/>
  <c r="D1409" i="2"/>
  <c r="C1409" i="2"/>
  <c r="B1409" i="2"/>
  <c r="A1409" i="2"/>
  <c r="U1408" i="2"/>
  <c r="N1408" i="2"/>
  <c r="M1408" i="2"/>
  <c r="J1408" i="2"/>
  <c r="I1408" i="2"/>
  <c r="H1408" i="2"/>
  <c r="G1408" i="2"/>
  <c r="F1408" i="2"/>
  <c r="E1408" i="2"/>
  <c r="D1408" i="2"/>
  <c r="C1408" i="2"/>
  <c r="B1408" i="2"/>
  <c r="A1408" i="2"/>
  <c r="U1407" i="2"/>
  <c r="N1407" i="2"/>
  <c r="M1407" i="2"/>
  <c r="J1407" i="2"/>
  <c r="I1407" i="2"/>
  <c r="H1407" i="2"/>
  <c r="G1407" i="2"/>
  <c r="F1407" i="2"/>
  <c r="E1407" i="2"/>
  <c r="D1407" i="2"/>
  <c r="C1407" i="2"/>
  <c r="B1407" i="2"/>
  <c r="A1407" i="2"/>
  <c r="U1406" i="2"/>
  <c r="N1406" i="2"/>
  <c r="M1406" i="2"/>
  <c r="J1406" i="2"/>
  <c r="I1406" i="2"/>
  <c r="H1406" i="2"/>
  <c r="G1406" i="2"/>
  <c r="F1406" i="2"/>
  <c r="E1406" i="2"/>
  <c r="D1406" i="2"/>
  <c r="C1406" i="2"/>
  <c r="B1406" i="2"/>
  <c r="A1406" i="2"/>
  <c r="U1405" i="2"/>
  <c r="N1405" i="2"/>
  <c r="M1405" i="2"/>
  <c r="J1405" i="2"/>
  <c r="I1405" i="2"/>
  <c r="H1405" i="2"/>
  <c r="G1405" i="2"/>
  <c r="F1405" i="2"/>
  <c r="E1405" i="2"/>
  <c r="D1405" i="2"/>
  <c r="C1405" i="2"/>
  <c r="B1405" i="2"/>
  <c r="A1405" i="2"/>
  <c r="U1404" i="2"/>
  <c r="N1404" i="2"/>
  <c r="M1404" i="2"/>
  <c r="J1404" i="2"/>
  <c r="I1404" i="2"/>
  <c r="H1404" i="2"/>
  <c r="G1404" i="2"/>
  <c r="F1404" i="2"/>
  <c r="E1404" i="2"/>
  <c r="D1404" i="2"/>
  <c r="C1404" i="2"/>
  <c r="B1404" i="2"/>
  <c r="A1404" i="2"/>
  <c r="U1403" i="2"/>
  <c r="N1403" i="2"/>
  <c r="M1403" i="2"/>
  <c r="J1403" i="2"/>
  <c r="I1403" i="2"/>
  <c r="H1403" i="2"/>
  <c r="G1403" i="2"/>
  <c r="F1403" i="2"/>
  <c r="E1403" i="2"/>
  <c r="D1403" i="2"/>
  <c r="C1403" i="2"/>
  <c r="B1403" i="2"/>
  <c r="A1403" i="2"/>
  <c r="U1402" i="2"/>
  <c r="N1402" i="2"/>
  <c r="M1402" i="2"/>
  <c r="J1402" i="2"/>
  <c r="I1402" i="2"/>
  <c r="H1402" i="2"/>
  <c r="G1402" i="2"/>
  <c r="F1402" i="2"/>
  <c r="E1402" i="2"/>
  <c r="D1402" i="2"/>
  <c r="C1402" i="2"/>
  <c r="B1402" i="2"/>
  <c r="A1402" i="2"/>
  <c r="U1401" i="2"/>
  <c r="N1401" i="2"/>
  <c r="M1401" i="2"/>
  <c r="J1401" i="2"/>
  <c r="I1401" i="2"/>
  <c r="H1401" i="2"/>
  <c r="G1401" i="2"/>
  <c r="F1401" i="2"/>
  <c r="E1401" i="2"/>
  <c r="D1401" i="2"/>
  <c r="C1401" i="2"/>
  <c r="B1401" i="2"/>
  <c r="A1401" i="2"/>
  <c r="U1400" i="2"/>
  <c r="N1400" i="2"/>
  <c r="M1400" i="2"/>
  <c r="J1400" i="2"/>
  <c r="I1400" i="2"/>
  <c r="H1400" i="2"/>
  <c r="G1400" i="2"/>
  <c r="F1400" i="2"/>
  <c r="E1400" i="2"/>
  <c r="D1400" i="2"/>
  <c r="C1400" i="2"/>
  <c r="B1400" i="2"/>
  <c r="A1400" i="2"/>
  <c r="U1399" i="2"/>
  <c r="N1399" i="2"/>
  <c r="M1399" i="2"/>
  <c r="J1399" i="2"/>
  <c r="I1399" i="2"/>
  <c r="H1399" i="2"/>
  <c r="G1399" i="2"/>
  <c r="F1399" i="2"/>
  <c r="E1399" i="2"/>
  <c r="D1399" i="2"/>
  <c r="C1399" i="2"/>
  <c r="B1399" i="2"/>
  <c r="A1399" i="2"/>
  <c r="U1398" i="2"/>
  <c r="N1398" i="2"/>
  <c r="M1398" i="2"/>
  <c r="J1398" i="2"/>
  <c r="I1398" i="2"/>
  <c r="H1398" i="2"/>
  <c r="G1398" i="2"/>
  <c r="F1398" i="2"/>
  <c r="E1398" i="2"/>
  <c r="D1398" i="2"/>
  <c r="C1398" i="2"/>
  <c r="B1398" i="2"/>
  <c r="A1398" i="2"/>
  <c r="U1397" i="2"/>
  <c r="N1397" i="2"/>
  <c r="M1397" i="2"/>
  <c r="J1397" i="2"/>
  <c r="I1397" i="2"/>
  <c r="H1397" i="2"/>
  <c r="G1397" i="2"/>
  <c r="F1397" i="2"/>
  <c r="E1397" i="2"/>
  <c r="D1397" i="2"/>
  <c r="C1397" i="2"/>
  <c r="B1397" i="2"/>
  <c r="A1397" i="2"/>
  <c r="U1396" i="2"/>
  <c r="N1396" i="2"/>
  <c r="M1396" i="2"/>
  <c r="J1396" i="2"/>
  <c r="I1396" i="2"/>
  <c r="H1396" i="2"/>
  <c r="G1396" i="2"/>
  <c r="F1396" i="2"/>
  <c r="E1396" i="2"/>
  <c r="D1396" i="2"/>
  <c r="C1396" i="2"/>
  <c r="B1396" i="2"/>
  <c r="A1396" i="2"/>
  <c r="U1395" i="2"/>
  <c r="N1395" i="2"/>
  <c r="M1395" i="2"/>
  <c r="J1395" i="2"/>
  <c r="I1395" i="2"/>
  <c r="H1395" i="2"/>
  <c r="G1395" i="2"/>
  <c r="F1395" i="2"/>
  <c r="E1395" i="2"/>
  <c r="D1395" i="2"/>
  <c r="C1395" i="2"/>
  <c r="B1395" i="2"/>
  <c r="A1395" i="2"/>
  <c r="U1394" i="2"/>
  <c r="N1394" i="2"/>
  <c r="M1394" i="2"/>
  <c r="J1394" i="2"/>
  <c r="I1394" i="2"/>
  <c r="H1394" i="2"/>
  <c r="G1394" i="2"/>
  <c r="F1394" i="2"/>
  <c r="E1394" i="2"/>
  <c r="D1394" i="2"/>
  <c r="C1394" i="2"/>
  <c r="B1394" i="2"/>
  <c r="A1394" i="2"/>
  <c r="U1393" i="2"/>
  <c r="N1393" i="2"/>
  <c r="M1393" i="2"/>
  <c r="J1393" i="2"/>
  <c r="I1393" i="2"/>
  <c r="H1393" i="2"/>
  <c r="G1393" i="2"/>
  <c r="F1393" i="2"/>
  <c r="E1393" i="2"/>
  <c r="D1393" i="2"/>
  <c r="C1393" i="2"/>
  <c r="B1393" i="2"/>
  <c r="A1393" i="2"/>
  <c r="U1392" i="2"/>
  <c r="N1392" i="2"/>
  <c r="M1392" i="2"/>
  <c r="J1392" i="2"/>
  <c r="I1392" i="2"/>
  <c r="H1392" i="2"/>
  <c r="G1392" i="2"/>
  <c r="F1392" i="2"/>
  <c r="E1392" i="2"/>
  <c r="D1392" i="2"/>
  <c r="C1392" i="2"/>
  <c r="B1392" i="2"/>
  <c r="A1392" i="2"/>
  <c r="U1391" i="2"/>
  <c r="N1391" i="2"/>
  <c r="M1391" i="2"/>
  <c r="J1391" i="2"/>
  <c r="I1391" i="2"/>
  <c r="H1391" i="2"/>
  <c r="G1391" i="2"/>
  <c r="F1391" i="2"/>
  <c r="E1391" i="2"/>
  <c r="D1391" i="2"/>
  <c r="C1391" i="2"/>
  <c r="B1391" i="2"/>
  <c r="A1391" i="2"/>
  <c r="U1390" i="2"/>
  <c r="N1390" i="2"/>
  <c r="M1390" i="2"/>
  <c r="J1390" i="2"/>
  <c r="I1390" i="2"/>
  <c r="H1390" i="2"/>
  <c r="G1390" i="2"/>
  <c r="F1390" i="2"/>
  <c r="E1390" i="2"/>
  <c r="D1390" i="2"/>
  <c r="C1390" i="2"/>
  <c r="B1390" i="2"/>
  <c r="A1390" i="2"/>
  <c r="U1389" i="2"/>
  <c r="N1389" i="2"/>
  <c r="M1389" i="2"/>
  <c r="J1389" i="2"/>
  <c r="I1389" i="2"/>
  <c r="H1389" i="2"/>
  <c r="G1389" i="2"/>
  <c r="F1389" i="2"/>
  <c r="E1389" i="2"/>
  <c r="D1389" i="2"/>
  <c r="C1389" i="2"/>
  <c r="B1389" i="2"/>
  <c r="A1389" i="2"/>
  <c r="U1388" i="2"/>
  <c r="N1388" i="2"/>
  <c r="M1388" i="2"/>
  <c r="J1388" i="2"/>
  <c r="I1388" i="2"/>
  <c r="H1388" i="2"/>
  <c r="G1388" i="2"/>
  <c r="F1388" i="2"/>
  <c r="E1388" i="2"/>
  <c r="D1388" i="2"/>
  <c r="C1388" i="2"/>
  <c r="B1388" i="2"/>
  <c r="A1388" i="2"/>
  <c r="U1387" i="2"/>
  <c r="N1387" i="2"/>
  <c r="M1387" i="2"/>
  <c r="J1387" i="2"/>
  <c r="I1387" i="2"/>
  <c r="H1387" i="2"/>
  <c r="G1387" i="2"/>
  <c r="F1387" i="2"/>
  <c r="E1387" i="2"/>
  <c r="D1387" i="2"/>
  <c r="C1387" i="2"/>
  <c r="B1387" i="2"/>
  <c r="A1387" i="2"/>
  <c r="U1386" i="2"/>
  <c r="N1386" i="2"/>
  <c r="M1386" i="2"/>
  <c r="J1386" i="2"/>
  <c r="I1386" i="2"/>
  <c r="H1386" i="2"/>
  <c r="G1386" i="2"/>
  <c r="F1386" i="2"/>
  <c r="E1386" i="2"/>
  <c r="D1386" i="2"/>
  <c r="C1386" i="2"/>
  <c r="B1386" i="2"/>
  <c r="A1386" i="2"/>
  <c r="U1385" i="2"/>
  <c r="N1385" i="2"/>
  <c r="M1385" i="2"/>
  <c r="J1385" i="2"/>
  <c r="I1385" i="2"/>
  <c r="H1385" i="2"/>
  <c r="G1385" i="2"/>
  <c r="F1385" i="2"/>
  <c r="E1385" i="2"/>
  <c r="D1385" i="2"/>
  <c r="C1385" i="2"/>
  <c r="B1385" i="2"/>
  <c r="A1385" i="2"/>
  <c r="U1384" i="2"/>
  <c r="N1384" i="2"/>
  <c r="M1384" i="2"/>
  <c r="J1384" i="2"/>
  <c r="I1384" i="2"/>
  <c r="H1384" i="2"/>
  <c r="G1384" i="2"/>
  <c r="F1384" i="2"/>
  <c r="E1384" i="2"/>
  <c r="D1384" i="2"/>
  <c r="C1384" i="2"/>
  <c r="B1384" i="2"/>
  <c r="A1384" i="2"/>
  <c r="U1383" i="2"/>
  <c r="N1383" i="2"/>
  <c r="M1383" i="2"/>
  <c r="J1383" i="2"/>
  <c r="I1383" i="2"/>
  <c r="H1383" i="2"/>
  <c r="G1383" i="2"/>
  <c r="F1383" i="2"/>
  <c r="E1383" i="2"/>
  <c r="D1383" i="2"/>
  <c r="C1383" i="2"/>
  <c r="B1383" i="2"/>
  <c r="A1383" i="2"/>
  <c r="U1382" i="2"/>
  <c r="N1382" i="2"/>
  <c r="M1382" i="2"/>
  <c r="J1382" i="2"/>
  <c r="I1382" i="2"/>
  <c r="H1382" i="2"/>
  <c r="G1382" i="2"/>
  <c r="F1382" i="2"/>
  <c r="E1382" i="2"/>
  <c r="D1382" i="2"/>
  <c r="C1382" i="2"/>
  <c r="B1382" i="2"/>
  <c r="A1382" i="2"/>
  <c r="U1381" i="2"/>
  <c r="N1381" i="2"/>
  <c r="M1381" i="2"/>
  <c r="J1381" i="2"/>
  <c r="I1381" i="2"/>
  <c r="H1381" i="2"/>
  <c r="G1381" i="2"/>
  <c r="F1381" i="2"/>
  <c r="E1381" i="2"/>
  <c r="D1381" i="2"/>
  <c r="C1381" i="2"/>
  <c r="B1381" i="2"/>
  <c r="A1381" i="2"/>
  <c r="U1380" i="2"/>
  <c r="N1380" i="2"/>
  <c r="M1380" i="2"/>
  <c r="J1380" i="2"/>
  <c r="I1380" i="2"/>
  <c r="H1380" i="2"/>
  <c r="G1380" i="2"/>
  <c r="F1380" i="2"/>
  <c r="E1380" i="2"/>
  <c r="D1380" i="2"/>
  <c r="C1380" i="2"/>
  <c r="B1380" i="2"/>
  <c r="A1380" i="2"/>
  <c r="U1379" i="2"/>
  <c r="N1379" i="2"/>
  <c r="M1379" i="2"/>
  <c r="J1379" i="2"/>
  <c r="I1379" i="2"/>
  <c r="H1379" i="2"/>
  <c r="G1379" i="2"/>
  <c r="F1379" i="2"/>
  <c r="E1379" i="2"/>
  <c r="D1379" i="2"/>
  <c r="C1379" i="2"/>
  <c r="B1379" i="2"/>
  <c r="A1379" i="2"/>
  <c r="U1378" i="2"/>
  <c r="N1378" i="2"/>
  <c r="M1378" i="2"/>
  <c r="J1378" i="2"/>
  <c r="I1378" i="2"/>
  <c r="H1378" i="2"/>
  <c r="G1378" i="2"/>
  <c r="F1378" i="2"/>
  <c r="E1378" i="2"/>
  <c r="D1378" i="2"/>
  <c r="C1378" i="2"/>
  <c r="B1378" i="2"/>
  <c r="A1378" i="2"/>
  <c r="U1377" i="2"/>
  <c r="N1377" i="2"/>
  <c r="M1377" i="2"/>
  <c r="J1377" i="2"/>
  <c r="I1377" i="2"/>
  <c r="H1377" i="2"/>
  <c r="G1377" i="2"/>
  <c r="F1377" i="2"/>
  <c r="E1377" i="2"/>
  <c r="D1377" i="2"/>
  <c r="C1377" i="2"/>
  <c r="B1377" i="2"/>
  <c r="A1377" i="2"/>
  <c r="U1376" i="2"/>
  <c r="N1376" i="2"/>
  <c r="M1376" i="2"/>
  <c r="J1376" i="2"/>
  <c r="I1376" i="2"/>
  <c r="H1376" i="2"/>
  <c r="G1376" i="2"/>
  <c r="F1376" i="2"/>
  <c r="E1376" i="2"/>
  <c r="D1376" i="2"/>
  <c r="C1376" i="2"/>
  <c r="B1376" i="2"/>
  <c r="A1376" i="2"/>
  <c r="U1375" i="2"/>
  <c r="N1375" i="2"/>
  <c r="M1375" i="2"/>
  <c r="J1375" i="2"/>
  <c r="I1375" i="2"/>
  <c r="H1375" i="2"/>
  <c r="G1375" i="2"/>
  <c r="F1375" i="2"/>
  <c r="E1375" i="2"/>
  <c r="D1375" i="2"/>
  <c r="C1375" i="2"/>
  <c r="B1375" i="2"/>
  <c r="A1375" i="2"/>
  <c r="U1374" i="2"/>
  <c r="N1374" i="2"/>
  <c r="M1374" i="2"/>
  <c r="J1374" i="2"/>
  <c r="I1374" i="2"/>
  <c r="H1374" i="2"/>
  <c r="G1374" i="2"/>
  <c r="F1374" i="2"/>
  <c r="E1374" i="2"/>
  <c r="D1374" i="2"/>
  <c r="C1374" i="2"/>
  <c r="B1374" i="2"/>
  <c r="A1374" i="2"/>
  <c r="U1373" i="2"/>
  <c r="N1373" i="2"/>
  <c r="M1373" i="2"/>
  <c r="J1373" i="2"/>
  <c r="I1373" i="2"/>
  <c r="H1373" i="2"/>
  <c r="G1373" i="2"/>
  <c r="F1373" i="2"/>
  <c r="E1373" i="2"/>
  <c r="D1373" i="2"/>
  <c r="C1373" i="2"/>
  <c r="B1373" i="2"/>
  <c r="A1373" i="2"/>
  <c r="U1372" i="2"/>
  <c r="N1372" i="2"/>
  <c r="M1372" i="2"/>
  <c r="J1372" i="2"/>
  <c r="I1372" i="2"/>
  <c r="H1372" i="2"/>
  <c r="G1372" i="2"/>
  <c r="F1372" i="2"/>
  <c r="E1372" i="2"/>
  <c r="D1372" i="2"/>
  <c r="C1372" i="2"/>
  <c r="B1372" i="2"/>
  <c r="A1372" i="2"/>
  <c r="U1371" i="2"/>
  <c r="N1371" i="2"/>
  <c r="M1371" i="2"/>
  <c r="J1371" i="2"/>
  <c r="I1371" i="2"/>
  <c r="H1371" i="2"/>
  <c r="G1371" i="2"/>
  <c r="F1371" i="2"/>
  <c r="E1371" i="2"/>
  <c r="D1371" i="2"/>
  <c r="C1371" i="2"/>
  <c r="B1371" i="2"/>
  <c r="A1371" i="2"/>
  <c r="U1370" i="2"/>
  <c r="N1370" i="2"/>
  <c r="M1370" i="2"/>
  <c r="J1370" i="2"/>
  <c r="I1370" i="2"/>
  <c r="H1370" i="2"/>
  <c r="G1370" i="2"/>
  <c r="F1370" i="2"/>
  <c r="E1370" i="2"/>
  <c r="D1370" i="2"/>
  <c r="C1370" i="2"/>
  <c r="B1370" i="2"/>
  <c r="A1370" i="2"/>
  <c r="U1369" i="2"/>
  <c r="N1369" i="2"/>
  <c r="M1369" i="2"/>
  <c r="J1369" i="2"/>
  <c r="I1369" i="2"/>
  <c r="H1369" i="2"/>
  <c r="G1369" i="2"/>
  <c r="F1369" i="2"/>
  <c r="E1369" i="2"/>
  <c r="D1369" i="2"/>
  <c r="C1369" i="2"/>
  <c r="B1369" i="2"/>
  <c r="A1369" i="2"/>
  <c r="U1368" i="2"/>
  <c r="N1368" i="2"/>
  <c r="M1368" i="2"/>
  <c r="J1368" i="2"/>
  <c r="I1368" i="2"/>
  <c r="H1368" i="2"/>
  <c r="G1368" i="2"/>
  <c r="F1368" i="2"/>
  <c r="E1368" i="2"/>
  <c r="D1368" i="2"/>
  <c r="C1368" i="2"/>
  <c r="B1368" i="2"/>
  <c r="A1368" i="2"/>
  <c r="U1367" i="2"/>
  <c r="N1367" i="2"/>
  <c r="M1367" i="2"/>
  <c r="J1367" i="2"/>
  <c r="I1367" i="2"/>
  <c r="H1367" i="2"/>
  <c r="G1367" i="2"/>
  <c r="F1367" i="2"/>
  <c r="E1367" i="2"/>
  <c r="D1367" i="2"/>
  <c r="C1367" i="2"/>
  <c r="B1367" i="2"/>
  <c r="A1367" i="2"/>
  <c r="U1366" i="2"/>
  <c r="N1366" i="2"/>
  <c r="M1366" i="2"/>
  <c r="J1366" i="2"/>
  <c r="I1366" i="2"/>
  <c r="H1366" i="2"/>
  <c r="G1366" i="2"/>
  <c r="F1366" i="2"/>
  <c r="E1366" i="2"/>
  <c r="D1366" i="2"/>
  <c r="C1366" i="2"/>
  <c r="B1366" i="2"/>
  <c r="A1366" i="2"/>
  <c r="U1365" i="2"/>
  <c r="N1365" i="2"/>
  <c r="M1365" i="2"/>
  <c r="J1365" i="2"/>
  <c r="I1365" i="2"/>
  <c r="H1365" i="2"/>
  <c r="G1365" i="2"/>
  <c r="F1365" i="2"/>
  <c r="E1365" i="2"/>
  <c r="D1365" i="2"/>
  <c r="C1365" i="2"/>
  <c r="B1365" i="2"/>
  <c r="A1365" i="2"/>
  <c r="U1364" i="2"/>
  <c r="N1364" i="2"/>
  <c r="M1364" i="2"/>
  <c r="J1364" i="2"/>
  <c r="I1364" i="2"/>
  <c r="H1364" i="2"/>
  <c r="G1364" i="2"/>
  <c r="F1364" i="2"/>
  <c r="E1364" i="2"/>
  <c r="D1364" i="2"/>
  <c r="C1364" i="2"/>
  <c r="B1364" i="2"/>
  <c r="A1364" i="2"/>
  <c r="U1363" i="2"/>
  <c r="N1363" i="2"/>
  <c r="M1363" i="2"/>
  <c r="J1363" i="2"/>
  <c r="I1363" i="2"/>
  <c r="H1363" i="2"/>
  <c r="G1363" i="2"/>
  <c r="F1363" i="2"/>
  <c r="E1363" i="2"/>
  <c r="D1363" i="2"/>
  <c r="C1363" i="2"/>
  <c r="B1363" i="2"/>
  <c r="A1363" i="2"/>
  <c r="U1362" i="2"/>
  <c r="N1362" i="2"/>
  <c r="M1362" i="2"/>
  <c r="J1362" i="2"/>
  <c r="I1362" i="2"/>
  <c r="H1362" i="2"/>
  <c r="G1362" i="2"/>
  <c r="F1362" i="2"/>
  <c r="E1362" i="2"/>
  <c r="D1362" i="2"/>
  <c r="C1362" i="2"/>
  <c r="B1362" i="2"/>
  <c r="A1362" i="2"/>
  <c r="U1361" i="2"/>
  <c r="N1361" i="2"/>
  <c r="M1361" i="2"/>
  <c r="J1361" i="2"/>
  <c r="I1361" i="2"/>
  <c r="H1361" i="2"/>
  <c r="G1361" i="2"/>
  <c r="F1361" i="2"/>
  <c r="E1361" i="2"/>
  <c r="D1361" i="2"/>
  <c r="C1361" i="2"/>
  <c r="B1361" i="2"/>
  <c r="A1361" i="2"/>
  <c r="U1360" i="2"/>
  <c r="N1360" i="2"/>
  <c r="M1360" i="2"/>
  <c r="J1360" i="2"/>
  <c r="I1360" i="2"/>
  <c r="H1360" i="2"/>
  <c r="G1360" i="2"/>
  <c r="F1360" i="2"/>
  <c r="E1360" i="2"/>
  <c r="D1360" i="2"/>
  <c r="C1360" i="2"/>
  <c r="B1360" i="2"/>
  <c r="A1360" i="2"/>
  <c r="U1359" i="2"/>
  <c r="N1359" i="2"/>
  <c r="M1359" i="2"/>
  <c r="J1359" i="2"/>
  <c r="I1359" i="2"/>
  <c r="H1359" i="2"/>
  <c r="G1359" i="2"/>
  <c r="F1359" i="2"/>
  <c r="E1359" i="2"/>
  <c r="D1359" i="2"/>
  <c r="C1359" i="2"/>
  <c r="B1359" i="2"/>
  <c r="A1359" i="2"/>
  <c r="U1358" i="2"/>
  <c r="N1358" i="2"/>
  <c r="M1358" i="2"/>
  <c r="J1358" i="2"/>
  <c r="I1358" i="2"/>
  <c r="H1358" i="2"/>
  <c r="G1358" i="2"/>
  <c r="F1358" i="2"/>
  <c r="E1358" i="2"/>
  <c r="D1358" i="2"/>
  <c r="C1358" i="2"/>
  <c r="B1358" i="2"/>
  <c r="A1358" i="2"/>
  <c r="U1357" i="2"/>
  <c r="N1357" i="2"/>
  <c r="M1357" i="2"/>
  <c r="J1357" i="2"/>
  <c r="I1357" i="2"/>
  <c r="H1357" i="2"/>
  <c r="G1357" i="2"/>
  <c r="F1357" i="2"/>
  <c r="E1357" i="2"/>
  <c r="D1357" i="2"/>
  <c r="C1357" i="2"/>
  <c r="B1357" i="2"/>
  <c r="A1357" i="2"/>
  <c r="U1356" i="2"/>
  <c r="N1356" i="2"/>
  <c r="M1356" i="2"/>
  <c r="J1356" i="2"/>
  <c r="I1356" i="2"/>
  <c r="H1356" i="2"/>
  <c r="G1356" i="2"/>
  <c r="F1356" i="2"/>
  <c r="E1356" i="2"/>
  <c r="D1356" i="2"/>
  <c r="C1356" i="2"/>
  <c r="B1356" i="2"/>
  <c r="A1356" i="2"/>
  <c r="U1355" i="2"/>
  <c r="N1355" i="2"/>
  <c r="M1355" i="2"/>
  <c r="J1355" i="2"/>
  <c r="I1355" i="2"/>
  <c r="H1355" i="2"/>
  <c r="G1355" i="2"/>
  <c r="F1355" i="2"/>
  <c r="E1355" i="2"/>
  <c r="D1355" i="2"/>
  <c r="C1355" i="2"/>
  <c r="B1355" i="2"/>
  <c r="A1355" i="2"/>
  <c r="U1354" i="2"/>
  <c r="N1354" i="2"/>
  <c r="M1354" i="2"/>
  <c r="J1354" i="2"/>
  <c r="I1354" i="2"/>
  <c r="H1354" i="2"/>
  <c r="G1354" i="2"/>
  <c r="F1354" i="2"/>
  <c r="E1354" i="2"/>
  <c r="D1354" i="2"/>
  <c r="C1354" i="2"/>
  <c r="B1354" i="2"/>
  <c r="A1354" i="2"/>
  <c r="U1353" i="2"/>
  <c r="N1353" i="2"/>
  <c r="M1353" i="2"/>
  <c r="J1353" i="2"/>
  <c r="I1353" i="2"/>
  <c r="H1353" i="2"/>
  <c r="G1353" i="2"/>
  <c r="F1353" i="2"/>
  <c r="E1353" i="2"/>
  <c r="D1353" i="2"/>
  <c r="C1353" i="2"/>
  <c r="B1353" i="2"/>
  <c r="A1353" i="2"/>
  <c r="U1352" i="2"/>
  <c r="N1352" i="2"/>
  <c r="M1352" i="2"/>
  <c r="J1352" i="2"/>
  <c r="I1352" i="2"/>
  <c r="H1352" i="2"/>
  <c r="G1352" i="2"/>
  <c r="F1352" i="2"/>
  <c r="E1352" i="2"/>
  <c r="D1352" i="2"/>
  <c r="C1352" i="2"/>
  <c r="B1352" i="2"/>
  <c r="A1352" i="2"/>
  <c r="U1351" i="2"/>
  <c r="N1351" i="2"/>
  <c r="M1351" i="2"/>
  <c r="J1351" i="2"/>
  <c r="I1351" i="2"/>
  <c r="H1351" i="2"/>
  <c r="G1351" i="2"/>
  <c r="F1351" i="2"/>
  <c r="E1351" i="2"/>
  <c r="D1351" i="2"/>
  <c r="C1351" i="2"/>
  <c r="B1351" i="2"/>
  <c r="A1351" i="2"/>
  <c r="U1350" i="2"/>
  <c r="N1350" i="2"/>
  <c r="M1350" i="2"/>
  <c r="J1350" i="2"/>
  <c r="I1350" i="2"/>
  <c r="H1350" i="2"/>
  <c r="G1350" i="2"/>
  <c r="F1350" i="2"/>
  <c r="E1350" i="2"/>
  <c r="D1350" i="2"/>
  <c r="C1350" i="2"/>
  <c r="B1350" i="2"/>
  <c r="A1350" i="2"/>
  <c r="U1349" i="2"/>
  <c r="N1349" i="2"/>
  <c r="M1349" i="2"/>
  <c r="J1349" i="2"/>
  <c r="I1349" i="2"/>
  <c r="H1349" i="2"/>
  <c r="G1349" i="2"/>
  <c r="F1349" i="2"/>
  <c r="E1349" i="2"/>
  <c r="D1349" i="2"/>
  <c r="C1349" i="2"/>
  <c r="B1349" i="2"/>
  <c r="A1349" i="2"/>
  <c r="U1348" i="2"/>
  <c r="N1348" i="2"/>
  <c r="M1348" i="2"/>
  <c r="J1348" i="2"/>
  <c r="I1348" i="2"/>
  <c r="H1348" i="2"/>
  <c r="G1348" i="2"/>
  <c r="F1348" i="2"/>
  <c r="E1348" i="2"/>
  <c r="D1348" i="2"/>
  <c r="C1348" i="2"/>
  <c r="B1348" i="2"/>
  <c r="A1348" i="2"/>
  <c r="U1347" i="2"/>
  <c r="N1347" i="2"/>
  <c r="M1347" i="2"/>
  <c r="J1347" i="2"/>
  <c r="I1347" i="2"/>
  <c r="H1347" i="2"/>
  <c r="G1347" i="2"/>
  <c r="F1347" i="2"/>
  <c r="E1347" i="2"/>
  <c r="D1347" i="2"/>
  <c r="C1347" i="2"/>
  <c r="B1347" i="2"/>
  <c r="A1347" i="2"/>
  <c r="U1346" i="2"/>
  <c r="N1346" i="2"/>
  <c r="M1346" i="2"/>
  <c r="J1346" i="2"/>
  <c r="I1346" i="2"/>
  <c r="H1346" i="2"/>
  <c r="G1346" i="2"/>
  <c r="F1346" i="2"/>
  <c r="E1346" i="2"/>
  <c r="D1346" i="2"/>
  <c r="C1346" i="2"/>
  <c r="B1346" i="2"/>
  <c r="A1346" i="2"/>
  <c r="U1345" i="2"/>
  <c r="N1345" i="2"/>
  <c r="M1345" i="2"/>
  <c r="J1345" i="2"/>
  <c r="I1345" i="2"/>
  <c r="H1345" i="2"/>
  <c r="G1345" i="2"/>
  <c r="F1345" i="2"/>
  <c r="E1345" i="2"/>
  <c r="D1345" i="2"/>
  <c r="C1345" i="2"/>
  <c r="B1345" i="2"/>
  <c r="A1345" i="2"/>
  <c r="U1344" i="2"/>
  <c r="N1344" i="2"/>
  <c r="M1344" i="2"/>
  <c r="J1344" i="2"/>
  <c r="I1344" i="2"/>
  <c r="H1344" i="2"/>
  <c r="G1344" i="2"/>
  <c r="F1344" i="2"/>
  <c r="E1344" i="2"/>
  <c r="D1344" i="2"/>
  <c r="C1344" i="2"/>
  <c r="B1344" i="2"/>
  <c r="A1344" i="2"/>
  <c r="U1343" i="2"/>
  <c r="N1343" i="2"/>
  <c r="M1343" i="2"/>
  <c r="J1343" i="2"/>
  <c r="I1343" i="2"/>
  <c r="H1343" i="2"/>
  <c r="G1343" i="2"/>
  <c r="F1343" i="2"/>
  <c r="E1343" i="2"/>
  <c r="D1343" i="2"/>
  <c r="C1343" i="2"/>
  <c r="B1343" i="2"/>
  <c r="A1343" i="2"/>
  <c r="U1342" i="2"/>
  <c r="N1342" i="2"/>
  <c r="M1342" i="2"/>
  <c r="J1342" i="2"/>
  <c r="I1342" i="2"/>
  <c r="H1342" i="2"/>
  <c r="G1342" i="2"/>
  <c r="F1342" i="2"/>
  <c r="E1342" i="2"/>
  <c r="D1342" i="2"/>
  <c r="C1342" i="2"/>
  <c r="B1342" i="2"/>
  <c r="A1342" i="2"/>
  <c r="U1341" i="2"/>
  <c r="N1341" i="2"/>
  <c r="M1341" i="2"/>
  <c r="J1341" i="2"/>
  <c r="I1341" i="2"/>
  <c r="H1341" i="2"/>
  <c r="G1341" i="2"/>
  <c r="F1341" i="2"/>
  <c r="E1341" i="2"/>
  <c r="D1341" i="2"/>
  <c r="C1341" i="2"/>
  <c r="B1341" i="2"/>
  <c r="A1341" i="2"/>
  <c r="U1340" i="2"/>
  <c r="N1340" i="2"/>
  <c r="M1340" i="2"/>
  <c r="J1340" i="2"/>
  <c r="I1340" i="2"/>
  <c r="H1340" i="2"/>
  <c r="G1340" i="2"/>
  <c r="F1340" i="2"/>
  <c r="E1340" i="2"/>
  <c r="D1340" i="2"/>
  <c r="C1340" i="2"/>
  <c r="B1340" i="2"/>
  <c r="A1340" i="2"/>
  <c r="U1339" i="2"/>
  <c r="N1339" i="2"/>
  <c r="M1339" i="2"/>
  <c r="J1339" i="2"/>
  <c r="I1339" i="2"/>
  <c r="H1339" i="2"/>
  <c r="G1339" i="2"/>
  <c r="F1339" i="2"/>
  <c r="E1339" i="2"/>
  <c r="D1339" i="2"/>
  <c r="C1339" i="2"/>
  <c r="B1339" i="2"/>
  <c r="A1339" i="2"/>
  <c r="U1338" i="2"/>
  <c r="N1338" i="2"/>
  <c r="M1338" i="2"/>
  <c r="J1338" i="2"/>
  <c r="I1338" i="2"/>
  <c r="H1338" i="2"/>
  <c r="G1338" i="2"/>
  <c r="F1338" i="2"/>
  <c r="E1338" i="2"/>
  <c r="D1338" i="2"/>
  <c r="C1338" i="2"/>
  <c r="B1338" i="2"/>
  <c r="A1338" i="2"/>
  <c r="U1337" i="2"/>
  <c r="N1337" i="2"/>
  <c r="M1337" i="2"/>
  <c r="J1337" i="2"/>
  <c r="I1337" i="2"/>
  <c r="H1337" i="2"/>
  <c r="G1337" i="2"/>
  <c r="F1337" i="2"/>
  <c r="E1337" i="2"/>
  <c r="D1337" i="2"/>
  <c r="C1337" i="2"/>
  <c r="B1337" i="2"/>
  <c r="A1337" i="2"/>
  <c r="U1336" i="2"/>
  <c r="N1336" i="2"/>
  <c r="M1336" i="2"/>
  <c r="J1336" i="2"/>
  <c r="I1336" i="2"/>
  <c r="H1336" i="2"/>
  <c r="G1336" i="2"/>
  <c r="F1336" i="2"/>
  <c r="E1336" i="2"/>
  <c r="D1336" i="2"/>
  <c r="C1336" i="2"/>
  <c r="B1336" i="2"/>
  <c r="A1336" i="2"/>
  <c r="U1335" i="2"/>
  <c r="N1335" i="2"/>
  <c r="M1335" i="2"/>
  <c r="J1335" i="2"/>
  <c r="I1335" i="2"/>
  <c r="H1335" i="2"/>
  <c r="G1335" i="2"/>
  <c r="F1335" i="2"/>
  <c r="E1335" i="2"/>
  <c r="D1335" i="2"/>
  <c r="C1335" i="2"/>
  <c r="B1335" i="2"/>
  <c r="A1335" i="2"/>
  <c r="U1334" i="2"/>
  <c r="N1334" i="2"/>
  <c r="M1334" i="2"/>
  <c r="J1334" i="2"/>
  <c r="I1334" i="2"/>
  <c r="H1334" i="2"/>
  <c r="G1334" i="2"/>
  <c r="F1334" i="2"/>
  <c r="E1334" i="2"/>
  <c r="D1334" i="2"/>
  <c r="C1334" i="2"/>
  <c r="B1334" i="2"/>
  <c r="A1334" i="2"/>
  <c r="U1333" i="2"/>
  <c r="N1333" i="2"/>
  <c r="M1333" i="2"/>
  <c r="J1333" i="2"/>
  <c r="I1333" i="2"/>
  <c r="H1333" i="2"/>
  <c r="G1333" i="2"/>
  <c r="F1333" i="2"/>
  <c r="E1333" i="2"/>
  <c r="D1333" i="2"/>
  <c r="C1333" i="2"/>
  <c r="B1333" i="2"/>
  <c r="A1333" i="2"/>
  <c r="U1332" i="2"/>
  <c r="N1332" i="2"/>
  <c r="M1332" i="2"/>
  <c r="J1332" i="2"/>
  <c r="I1332" i="2"/>
  <c r="H1332" i="2"/>
  <c r="G1332" i="2"/>
  <c r="F1332" i="2"/>
  <c r="E1332" i="2"/>
  <c r="D1332" i="2"/>
  <c r="C1332" i="2"/>
  <c r="B1332" i="2"/>
  <c r="A1332" i="2"/>
  <c r="U1331" i="2"/>
  <c r="N1331" i="2"/>
  <c r="M1331" i="2"/>
  <c r="J1331" i="2"/>
  <c r="I1331" i="2"/>
  <c r="H1331" i="2"/>
  <c r="G1331" i="2"/>
  <c r="F1331" i="2"/>
  <c r="E1331" i="2"/>
  <c r="D1331" i="2"/>
  <c r="C1331" i="2"/>
  <c r="B1331" i="2"/>
  <c r="A1331" i="2"/>
  <c r="U1330" i="2"/>
  <c r="N1330" i="2"/>
  <c r="M1330" i="2"/>
  <c r="J1330" i="2"/>
  <c r="I1330" i="2"/>
  <c r="H1330" i="2"/>
  <c r="G1330" i="2"/>
  <c r="F1330" i="2"/>
  <c r="E1330" i="2"/>
  <c r="D1330" i="2"/>
  <c r="C1330" i="2"/>
  <c r="B1330" i="2"/>
  <c r="A1330" i="2"/>
  <c r="U1329" i="2"/>
  <c r="N1329" i="2"/>
  <c r="M1329" i="2"/>
  <c r="J1329" i="2"/>
  <c r="I1329" i="2"/>
  <c r="H1329" i="2"/>
  <c r="G1329" i="2"/>
  <c r="F1329" i="2"/>
  <c r="E1329" i="2"/>
  <c r="D1329" i="2"/>
  <c r="C1329" i="2"/>
  <c r="B1329" i="2"/>
  <c r="A1329" i="2"/>
  <c r="U1328" i="2"/>
  <c r="N1328" i="2"/>
  <c r="M1328" i="2"/>
  <c r="J1328" i="2"/>
  <c r="I1328" i="2"/>
  <c r="H1328" i="2"/>
  <c r="G1328" i="2"/>
  <c r="F1328" i="2"/>
  <c r="E1328" i="2"/>
  <c r="D1328" i="2"/>
  <c r="C1328" i="2"/>
  <c r="B1328" i="2"/>
  <c r="A1328" i="2"/>
  <c r="U1327" i="2"/>
  <c r="N1327" i="2"/>
  <c r="M1327" i="2"/>
  <c r="J1327" i="2"/>
  <c r="I1327" i="2"/>
  <c r="H1327" i="2"/>
  <c r="G1327" i="2"/>
  <c r="F1327" i="2"/>
  <c r="E1327" i="2"/>
  <c r="D1327" i="2"/>
  <c r="C1327" i="2"/>
  <c r="B1327" i="2"/>
  <c r="A1327" i="2"/>
  <c r="U1326" i="2"/>
  <c r="N1326" i="2"/>
  <c r="M1326" i="2"/>
  <c r="J1326" i="2"/>
  <c r="I1326" i="2"/>
  <c r="H1326" i="2"/>
  <c r="G1326" i="2"/>
  <c r="F1326" i="2"/>
  <c r="E1326" i="2"/>
  <c r="D1326" i="2"/>
  <c r="C1326" i="2"/>
  <c r="B1326" i="2"/>
  <c r="A1326" i="2"/>
  <c r="U1325" i="2"/>
  <c r="N1325" i="2"/>
  <c r="M1325" i="2"/>
  <c r="J1325" i="2"/>
  <c r="I1325" i="2"/>
  <c r="H1325" i="2"/>
  <c r="G1325" i="2"/>
  <c r="F1325" i="2"/>
  <c r="E1325" i="2"/>
  <c r="D1325" i="2"/>
  <c r="C1325" i="2"/>
  <c r="B1325" i="2"/>
  <c r="A1325" i="2"/>
  <c r="U1324" i="2"/>
  <c r="N1324" i="2"/>
  <c r="M1324" i="2"/>
  <c r="J1324" i="2"/>
  <c r="I1324" i="2"/>
  <c r="H1324" i="2"/>
  <c r="G1324" i="2"/>
  <c r="F1324" i="2"/>
  <c r="E1324" i="2"/>
  <c r="D1324" i="2"/>
  <c r="C1324" i="2"/>
  <c r="B1324" i="2"/>
  <c r="A1324" i="2"/>
  <c r="U1323" i="2"/>
  <c r="N1323" i="2"/>
  <c r="M1323" i="2"/>
  <c r="J1323" i="2"/>
  <c r="I1323" i="2"/>
  <c r="H1323" i="2"/>
  <c r="G1323" i="2"/>
  <c r="F1323" i="2"/>
  <c r="E1323" i="2"/>
  <c r="D1323" i="2"/>
  <c r="C1323" i="2"/>
  <c r="B1323" i="2"/>
  <c r="A1323" i="2"/>
  <c r="U1322" i="2"/>
  <c r="N1322" i="2"/>
  <c r="M1322" i="2"/>
  <c r="J1322" i="2"/>
  <c r="I1322" i="2"/>
  <c r="H1322" i="2"/>
  <c r="G1322" i="2"/>
  <c r="F1322" i="2"/>
  <c r="E1322" i="2"/>
  <c r="D1322" i="2"/>
  <c r="C1322" i="2"/>
  <c r="B1322" i="2"/>
  <c r="A1322" i="2"/>
  <c r="U1321" i="2"/>
  <c r="N1321" i="2"/>
  <c r="M1321" i="2"/>
  <c r="J1321" i="2"/>
  <c r="I1321" i="2"/>
  <c r="H1321" i="2"/>
  <c r="G1321" i="2"/>
  <c r="F1321" i="2"/>
  <c r="E1321" i="2"/>
  <c r="D1321" i="2"/>
  <c r="C1321" i="2"/>
  <c r="B1321" i="2"/>
  <c r="A1321" i="2"/>
  <c r="U1320" i="2"/>
  <c r="N1320" i="2"/>
  <c r="M1320" i="2"/>
  <c r="J1320" i="2"/>
  <c r="I1320" i="2"/>
  <c r="H1320" i="2"/>
  <c r="G1320" i="2"/>
  <c r="F1320" i="2"/>
  <c r="E1320" i="2"/>
  <c r="D1320" i="2"/>
  <c r="C1320" i="2"/>
  <c r="B1320" i="2"/>
  <c r="A1320" i="2"/>
  <c r="U1319" i="2"/>
  <c r="N1319" i="2"/>
  <c r="M1319" i="2"/>
  <c r="J1319" i="2"/>
  <c r="I1319" i="2"/>
  <c r="H1319" i="2"/>
  <c r="G1319" i="2"/>
  <c r="F1319" i="2"/>
  <c r="E1319" i="2"/>
  <c r="D1319" i="2"/>
  <c r="C1319" i="2"/>
  <c r="B1319" i="2"/>
  <c r="A1319" i="2"/>
  <c r="U1318" i="2"/>
  <c r="N1318" i="2"/>
  <c r="M1318" i="2"/>
  <c r="J1318" i="2"/>
  <c r="I1318" i="2"/>
  <c r="H1318" i="2"/>
  <c r="G1318" i="2"/>
  <c r="F1318" i="2"/>
  <c r="E1318" i="2"/>
  <c r="D1318" i="2"/>
  <c r="C1318" i="2"/>
  <c r="B1318" i="2"/>
  <c r="A1318" i="2"/>
  <c r="U1317" i="2"/>
  <c r="N1317" i="2"/>
  <c r="M1317" i="2"/>
  <c r="J1317" i="2"/>
  <c r="I1317" i="2"/>
  <c r="H1317" i="2"/>
  <c r="G1317" i="2"/>
  <c r="F1317" i="2"/>
  <c r="E1317" i="2"/>
  <c r="D1317" i="2"/>
  <c r="C1317" i="2"/>
  <c r="B1317" i="2"/>
  <c r="A1317" i="2"/>
  <c r="U1316" i="2"/>
  <c r="N1316" i="2"/>
  <c r="M1316" i="2"/>
  <c r="J1316" i="2"/>
  <c r="I1316" i="2"/>
  <c r="H1316" i="2"/>
  <c r="G1316" i="2"/>
  <c r="F1316" i="2"/>
  <c r="E1316" i="2"/>
  <c r="D1316" i="2"/>
  <c r="C1316" i="2"/>
  <c r="B1316" i="2"/>
  <c r="A1316" i="2"/>
  <c r="U1315" i="2"/>
  <c r="N1315" i="2"/>
  <c r="M1315" i="2"/>
  <c r="J1315" i="2"/>
  <c r="I1315" i="2"/>
  <c r="H1315" i="2"/>
  <c r="G1315" i="2"/>
  <c r="F1315" i="2"/>
  <c r="E1315" i="2"/>
  <c r="D1315" i="2"/>
  <c r="C1315" i="2"/>
  <c r="B1315" i="2"/>
  <c r="A1315" i="2"/>
  <c r="U1314" i="2"/>
  <c r="N1314" i="2"/>
  <c r="M1314" i="2"/>
  <c r="J1314" i="2"/>
  <c r="I1314" i="2"/>
  <c r="H1314" i="2"/>
  <c r="G1314" i="2"/>
  <c r="F1314" i="2"/>
  <c r="E1314" i="2"/>
  <c r="D1314" i="2"/>
  <c r="C1314" i="2"/>
  <c r="B1314" i="2"/>
  <c r="A1314" i="2"/>
  <c r="U1313" i="2"/>
  <c r="N1313" i="2"/>
  <c r="M1313" i="2"/>
  <c r="J1313" i="2"/>
  <c r="I1313" i="2"/>
  <c r="H1313" i="2"/>
  <c r="G1313" i="2"/>
  <c r="F1313" i="2"/>
  <c r="E1313" i="2"/>
  <c r="D1313" i="2"/>
  <c r="C1313" i="2"/>
  <c r="B1313" i="2"/>
  <c r="A1313" i="2"/>
  <c r="U1312" i="2"/>
  <c r="N1312" i="2"/>
  <c r="M1312" i="2"/>
  <c r="J1312" i="2"/>
  <c r="I1312" i="2"/>
  <c r="H1312" i="2"/>
  <c r="G1312" i="2"/>
  <c r="F1312" i="2"/>
  <c r="E1312" i="2"/>
  <c r="D1312" i="2"/>
  <c r="C1312" i="2"/>
  <c r="B1312" i="2"/>
  <c r="A1312" i="2"/>
  <c r="U1311" i="2"/>
  <c r="N1311" i="2"/>
  <c r="M1311" i="2"/>
  <c r="J1311" i="2"/>
  <c r="I1311" i="2"/>
  <c r="H1311" i="2"/>
  <c r="G1311" i="2"/>
  <c r="F1311" i="2"/>
  <c r="E1311" i="2"/>
  <c r="D1311" i="2"/>
  <c r="C1311" i="2"/>
  <c r="B1311" i="2"/>
  <c r="A1311" i="2"/>
  <c r="U1310" i="2"/>
  <c r="N1310" i="2"/>
  <c r="M1310" i="2"/>
  <c r="J1310" i="2"/>
  <c r="I1310" i="2"/>
  <c r="H1310" i="2"/>
  <c r="G1310" i="2"/>
  <c r="F1310" i="2"/>
  <c r="E1310" i="2"/>
  <c r="D1310" i="2"/>
  <c r="C1310" i="2"/>
  <c r="B1310" i="2"/>
  <c r="A1310" i="2"/>
  <c r="U1309" i="2"/>
  <c r="N1309" i="2"/>
  <c r="M1309" i="2"/>
  <c r="J1309" i="2"/>
  <c r="I1309" i="2"/>
  <c r="H1309" i="2"/>
  <c r="G1309" i="2"/>
  <c r="F1309" i="2"/>
  <c r="E1309" i="2"/>
  <c r="D1309" i="2"/>
  <c r="C1309" i="2"/>
  <c r="B1309" i="2"/>
  <c r="A1309" i="2"/>
  <c r="U1308" i="2"/>
  <c r="N1308" i="2"/>
  <c r="M1308" i="2"/>
  <c r="J1308" i="2"/>
  <c r="I1308" i="2"/>
  <c r="H1308" i="2"/>
  <c r="G1308" i="2"/>
  <c r="F1308" i="2"/>
  <c r="E1308" i="2"/>
  <c r="D1308" i="2"/>
  <c r="C1308" i="2"/>
  <c r="B1308" i="2"/>
  <c r="A1308" i="2"/>
  <c r="U1307" i="2"/>
  <c r="N1307" i="2"/>
  <c r="M1307" i="2"/>
  <c r="J1307" i="2"/>
  <c r="I1307" i="2"/>
  <c r="H1307" i="2"/>
  <c r="G1307" i="2"/>
  <c r="F1307" i="2"/>
  <c r="E1307" i="2"/>
  <c r="D1307" i="2"/>
  <c r="C1307" i="2"/>
  <c r="B1307" i="2"/>
  <c r="A1307" i="2"/>
  <c r="U1306" i="2"/>
  <c r="N1306" i="2"/>
  <c r="M1306" i="2"/>
  <c r="J1306" i="2"/>
  <c r="I1306" i="2"/>
  <c r="H1306" i="2"/>
  <c r="G1306" i="2"/>
  <c r="F1306" i="2"/>
  <c r="E1306" i="2"/>
  <c r="D1306" i="2"/>
  <c r="C1306" i="2"/>
  <c r="B1306" i="2"/>
  <c r="A1306" i="2"/>
  <c r="U1305" i="2"/>
  <c r="N1305" i="2"/>
  <c r="M1305" i="2"/>
  <c r="J1305" i="2"/>
  <c r="I1305" i="2"/>
  <c r="H1305" i="2"/>
  <c r="G1305" i="2"/>
  <c r="F1305" i="2"/>
  <c r="E1305" i="2"/>
  <c r="D1305" i="2"/>
  <c r="C1305" i="2"/>
  <c r="B1305" i="2"/>
  <c r="A1305" i="2"/>
  <c r="U1304" i="2"/>
  <c r="N1304" i="2"/>
  <c r="M1304" i="2"/>
  <c r="J1304" i="2"/>
  <c r="I1304" i="2"/>
  <c r="H1304" i="2"/>
  <c r="G1304" i="2"/>
  <c r="F1304" i="2"/>
  <c r="E1304" i="2"/>
  <c r="D1304" i="2"/>
  <c r="C1304" i="2"/>
  <c r="B1304" i="2"/>
  <c r="A1304" i="2"/>
  <c r="U1303" i="2"/>
  <c r="N1303" i="2"/>
  <c r="M1303" i="2"/>
  <c r="J1303" i="2"/>
  <c r="I1303" i="2"/>
  <c r="H1303" i="2"/>
  <c r="G1303" i="2"/>
  <c r="F1303" i="2"/>
  <c r="E1303" i="2"/>
  <c r="D1303" i="2"/>
  <c r="C1303" i="2"/>
  <c r="B1303" i="2"/>
  <c r="A1303" i="2"/>
  <c r="U1302" i="2"/>
  <c r="N1302" i="2"/>
  <c r="M1302" i="2"/>
  <c r="J1302" i="2"/>
  <c r="I1302" i="2"/>
  <c r="H1302" i="2"/>
  <c r="G1302" i="2"/>
  <c r="F1302" i="2"/>
  <c r="E1302" i="2"/>
  <c r="D1302" i="2"/>
  <c r="C1302" i="2"/>
  <c r="B1302" i="2"/>
  <c r="A1302" i="2"/>
  <c r="U1301" i="2"/>
  <c r="N1301" i="2"/>
  <c r="M1301" i="2"/>
  <c r="J1301" i="2"/>
  <c r="I1301" i="2"/>
  <c r="H1301" i="2"/>
  <c r="G1301" i="2"/>
  <c r="F1301" i="2"/>
  <c r="E1301" i="2"/>
  <c r="D1301" i="2"/>
  <c r="C1301" i="2"/>
  <c r="B1301" i="2"/>
  <c r="A1301" i="2"/>
  <c r="U1300" i="2"/>
  <c r="N1300" i="2"/>
  <c r="M1300" i="2"/>
  <c r="J1300" i="2"/>
  <c r="I1300" i="2"/>
  <c r="H1300" i="2"/>
  <c r="G1300" i="2"/>
  <c r="F1300" i="2"/>
  <c r="E1300" i="2"/>
  <c r="D1300" i="2"/>
  <c r="C1300" i="2"/>
  <c r="B1300" i="2"/>
  <c r="A1300" i="2"/>
  <c r="U1299" i="2"/>
  <c r="N1299" i="2"/>
  <c r="M1299" i="2"/>
  <c r="J1299" i="2"/>
  <c r="I1299" i="2"/>
  <c r="H1299" i="2"/>
  <c r="G1299" i="2"/>
  <c r="F1299" i="2"/>
  <c r="E1299" i="2"/>
  <c r="D1299" i="2"/>
  <c r="C1299" i="2"/>
  <c r="B1299" i="2"/>
  <c r="A1299" i="2"/>
  <c r="U1298" i="2"/>
  <c r="N1298" i="2"/>
  <c r="M1298" i="2"/>
  <c r="J1298" i="2"/>
  <c r="I1298" i="2"/>
  <c r="H1298" i="2"/>
  <c r="G1298" i="2"/>
  <c r="F1298" i="2"/>
  <c r="E1298" i="2"/>
  <c r="D1298" i="2"/>
  <c r="C1298" i="2"/>
  <c r="B1298" i="2"/>
  <c r="A1298" i="2"/>
  <c r="U1297" i="2"/>
  <c r="N1297" i="2"/>
  <c r="M1297" i="2"/>
  <c r="J1297" i="2"/>
  <c r="I1297" i="2"/>
  <c r="H1297" i="2"/>
  <c r="G1297" i="2"/>
  <c r="F1297" i="2"/>
  <c r="E1297" i="2"/>
  <c r="D1297" i="2"/>
  <c r="C1297" i="2"/>
  <c r="B1297" i="2"/>
  <c r="A1297" i="2"/>
  <c r="U1296" i="2"/>
  <c r="N1296" i="2"/>
  <c r="M1296" i="2"/>
  <c r="J1296" i="2"/>
  <c r="I1296" i="2"/>
  <c r="H1296" i="2"/>
  <c r="G1296" i="2"/>
  <c r="F1296" i="2"/>
  <c r="E1296" i="2"/>
  <c r="D1296" i="2"/>
  <c r="C1296" i="2"/>
  <c r="B1296" i="2"/>
  <c r="A1296" i="2"/>
  <c r="U1295" i="2"/>
  <c r="N1295" i="2"/>
  <c r="M1295" i="2"/>
  <c r="J1295" i="2"/>
  <c r="I1295" i="2"/>
  <c r="H1295" i="2"/>
  <c r="G1295" i="2"/>
  <c r="F1295" i="2"/>
  <c r="E1295" i="2"/>
  <c r="D1295" i="2"/>
  <c r="C1295" i="2"/>
  <c r="B1295" i="2"/>
  <c r="A1295" i="2"/>
  <c r="U1294" i="2"/>
  <c r="N1294" i="2"/>
  <c r="M1294" i="2"/>
  <c r="J1294" i="2"/>
  <c r="I1294" i="2"/>
  <c r="H1294" i="2"/>
  <c r="G1294" i="2"/>
  <c r="F1294" i="2"/>
  <c r="E1294" i="2"/>
  <c r="D1294" i="2"/>
  <c r="C1294" i="2"/>
  <c r="B1294" i="2"/>
  <c r="A1294" i="2"/>
  <c r="U1293" i="2"/>
  <c r="N1293" i="2"/>
  <c r="M1293" i="2"/>
  <c r="J1293" i="2"/>
  <c r="I1293" i="2"/>
  <c r="H1293" i="2"/>
  <c r="G1293" i="2"/>
  <c r="F1293" i="2"/>
  <c r="E1293" i="2"/>
  <c r="D1293" i="2"/>
  <c r="C1293" i="2"/>
  <c r="B1293" i="2"/>
  <c r="A1293" i="2"/>
  <c r="U1292" i="2"/>
  <c r="N1292" i="2"/>
  <c r="M1292" i="2"/>
  <c r="J1292" i="2"/>
  <c r="I1292" i="2"/>
  <c r="H1292" i="2"/>
  <c r="G1292" i="2"/>
  <c r="F1292" i="2"/>
  <c r="E1292" i="2"/>
  <c r="D1292" i="2"/>
  <c r="C1292" i="2"/>
  <c r="B1292" i="2"/>
  <c r="A1292" i="2"/>
  <c r="U1291" i="2"/>
  <c r="N1291" i="2"/>
  <c r="M1291" i="2"/>
  <c r="J1291" i="2"/>
  <c r="I1291" i="2"/>
  <c r="H1291" i="2"/>
  <c r="G1291" i="2"/>
  <c r="F1291" i="2"/>
  <c r="E1291" i="2"/>
  <c r="D1291" i="2"/>
  <c r="C1291" i="2"/>
  <c r="B1291" i="2"/>
  <c r="A1291" i="2"/>
  <c r="U1290" i="2"/>
  <c r="N1290" i="2"/>
  <c r="M1290" i="2"/>
  <c r="J1290" i="2"/>
  <c r="I1290" i="2"/>
  <c r="H1290" i="2"/>
  <c r="G1290" i="2"/>
  <c r="F1290" i="2"/>
  <c r="E1290" i="2"/>
  <c r="D1290" i="2"/>
  <c r="C1290" i="2"/>
  <c r="B1290" i="2"/>
  <c r="A1290" i="2"/>
  <c r="U1289" i="2"/>
  <c r="N1289" i="2"/>
  <c r="M1289" i="2"/>
  <c r="J1289" i="2"/>
  <c r="I1289" i="2"/>
  <c r="H1289" i="2"/>
  <c r="G1289" i="2"/>
  <c r="F1289" i="2"/>
  <c r="E1289" i="2"/>
  <c r="D1289" i="2"/>
  <c r="C1289" i="2"/>
  <c r="B1289" i="2"/>
  <c r="A1289" i="2"/>
  <c r="U1288" i="2"/>
  <c r="N1288" i="2"/>
  <c r="M1288" i="2"/>
  <c r="J1288" i="2"/>
  <c r="I1288" i="2"/>
  <c r="H1288" i="2"/>
  <c r="G1288" i="2"/>
  <c r="F1288" i="2"/>
  <c r="E1288" i="2"/>
  <c r="D1288" i="2"/>
  <c r="C1288" i="2"/>
  <c r="B1288" i="2"/>
  <c r="A1288" i="2"/>
  <c r="U1287" i="2"/>
  <c r="N1287" i="2"/>
  <c r="M1287" i="2"/>
  <c r="J1287" i="2"/>
  <c r="I1287" i="2"/>
  <c r="H1287" i="2"/>
  <c r="G1287" i="2"/>
  <c r="F1287" i="2"/>
  <c r="E1287" i="2"/>
  <c r="D1287" i="2"/>
  <c r="C1287" i="2"/>
  <c r="B1287" i="2"/>
  <c r="A1287" i="2"/>
  <c r="U1286" i="2"/>
  <c r="N1286" i="2"/>
  <c r="M1286" i="2"/>
  <c r="J1286" i="2"/>
  <c r="I1286" i="2"/>
  <c r="H1286" i="2"/>
  <c r="G1286" i="2"/>
  <c r="F1286" i="2"/>
  <c r="E1286" i="2"/>
  <c r="D1286" i="2"/>
  <c r="C1286" i="2"/>
  <c r="B1286" i="2"/>
  <c r="A1286" i="2"/>
  <c r="U1285" i="2"/>
  <c r="N1285" i="2"/>
  <c r="M1285" i="2"/>
  <c r="J1285" i="2"/>
  <c r="I1285" i="2"/>
  <c r="H1285" i="2"/>
  <c r="G1285" i="2"/>
  <c r="F1285" i="2"/>
  <c r="E1285" i="2"/>
  <c r="D1285" i="2"/>
  <c r="C1285" i="2"/>
  <c r="B1285" i="2"/>
  <c r="A1285" i="2"/>
  <c r="U1284" i="2"/>
  <c r="N1284" i="2"/>
  <c r="M1284" i="2"/>
  <c r="J1284" i="2"/>
  <c r="I1284" i="2"/>
  <c r="H1284" i="2"/>
  <c r="G1284" i="2"/>
  <c r="F1284" i="2"/>
  <c r="E1284" i="2"/>
  <c r="D1284" i="2"/>
  <c r="C1284" i="2"/>
  <c r="B1284" i="2"/>
  <c r="A1284" i="2"/>
  <c r="U1283" i="2"/>
  <c r="N1283" i="2"/>
  <c r="M1283" i="2"/>
  <c r="J1283" i="2"/>
  <c r="I1283" i="2"/>
  <c r="H1283" i="2"/>
  <c r="G1283" i="2"/>
  <c r="F1283" i="2"/>
  <c r="E1283" i="2"/>
  <c r="D1283" i="2"/>
  <c r="C1283" i="2"/>
  <c r="B1283" i="2"/>
  <c r="A1283" i="2"/>
  <c r="U1282" i="2"/>
  <c r="N1282" i="2"/>
  <c r="M1282" i="2"/>
  <c r="J1282" i="2"/>
  <c r="I1282" i="2"/>
  <c r="H1282" i="2"/>
  <c r="G1282" i="2"/>
  <c r="F1282" i="2"/>
  <c r="E1282" i="2"/>
  <c r="D1282" i="2"/>
  <c r="C1282" i="2"/>
  <c r="B1282" i="2"/>
  <c r="A1282" i="2"/>
  <c r="U1281" i="2"/>
  <c r="N1281" i="2"/>
  <c r="M1281" i="2"/>
  <c r="J1281" i="2"/>
  <c r="I1281" i="2"/>
  <c r="H1281" i="2"/>
  <c r="G1281" i="2"/>
  <c r="F1281" i="2"/>
  <c r="E1281" i="2"/>
  <c r="D1281" i="2"/>
  <c r="C1281" i="2"/>
  <c r="B1281" i="2"/>
  <c r="A1281" i="2"/>
  <c r="U1280" i="2"/>
  <c r="N1280" i="2"/>
  <c r="M1280" i="2"/>
  <c r="J1280" i="2"/>
  <c r="I1280" i="2"/>
  <c r="H1280" i="2"/>
  <c r="G1280" i="2"/>
  <c r="F1280" i="2"/>
  <c r="E1280" i="2"/>
  <c r="D1280" i="2"/>
  <c r="C1280" i="2"/>
  <c r="B1280" i="2"/>
  <c r="A1280" i="2"/>
  <c r="U1279" i="2"/>
  <c r="N1279" i="2"/>
  <c r="M1279" i="2"/>
  <c r="J1279" i="2"/>
  <c r="I1279" i="2"/>
  <c r="H1279" i="2"/>
  <c r="G1279" i="2"/>
  <c r="F1279" i="2"/>
  <c r="E1279" i="2"/>
  <c r="D1279" i="2"/>
  <c r="C1279" i="2"/>
  <c r="B1279" i="2"/>
  <c r="A1279" i="2"/>
  <c r="U1278" i="2"/>
  <c r="N1278" i="2"/>
  <c r="M1278" i="2"/>
  <c r="J1278" i="2"/>
  <c r="I1278" i="2"/>
  <c r="H1278" i="2"/>
  <c r="G1278" i="2"/>
  <c r="F1278" i="2"/>
  <c r="E1278" i="2"/>
  <c r="D1278" i="2"/>
  <c r="C1278" i="2"/>
  <c r="B1278" i="2"/>
  <c r="A1278" i="2"/>
  <c r="U1277" i="2"/>
  <c r="N1277" i="2"/>
  <c r="M1277" i="2"/>
  <c r="J1277" i="2"/>
  <c r="I1277" i="2"/>
  <c r="H1277" i="2"/>
  <c r="G1277" i="2"/>
  <c r="F1277" i="2"/>
  <c r="E1277" i="2"/>
  <c r="D1277" i="2"/>
  <c r="C1277" i="2"/>
  <c r="B1277" i="2"/>
  <c r="A1277" i="2"/>
  <c r="U1276" i="2"/>
  <c r="N1276" i="2"/>
  <c r="M1276" i="2"/>
  <c r="J1276" i="2"/>
  <c r="I1276" i="2"/>
  <c r="H1276" i="2"/>
  <c r="G1276" i="2"/>
  <c r="F1276" i="2"/>
  <c r="E1276" i="2"/>
  <c r="D1276" i="2"/>
  <c r="C1276" i="2"/>
  <c r="B1276" i="2"/>
  <c r="A1276" i="2"/>
  <c r="U1275" i="2"/>
  <c r="N1275" i="2"/>
  <c r="M1275" i="2"/>
  <c r="J1275" i="2"/>
  <c r="I1275" i="2"/>
  <c r="H1275" i="2"/>
  <c r="G1275" i="2"/>
  <c r="F1275" i="2"/>
  <c r="E1275" i="2"/>
  <c r="D1275" i="2"/>
  <c r="C1275" i="2"/>
  <c r="B1275" i="2"/>
  <c r="A1275" i="2"/>
  <c r="U1274" i="2"/>
  <c r="N1274" i="2"/>
  <c r="M1274" i="2"/>
  <c r="J1274" i="2"/>
  <c r="I1274" i="2"/>
  <c r="H1274" i="2"/>
  <c r="G1274" i="2"/>
  <c r="F1274" i="2"/>
  <c r="E1274" i="2"/>
  <c r="D1274" i="2"/>
  <c r="C1274" i="2"/>
  <c r="B1274" i="2"/>
  <c r="A1274" i="2"/>
  <c r="U1273" i="2"/>
  <c r="N1273" i="2"/>
  <c r="M1273" i="2"/>
  <c r="J1273" i="2"/>
  <c r="I1273" i="2"/>
  <c r="H1273" i="2"/>
  <c r="G1273" i="2"/>
  <c r="F1273" i="2"/>
  <c r="E1273" i="2"/>
  <c r="D1273" i="2"/>
  <c r="C1273" i="2"/>
  <c r="B1273" i="2"/>
  <c r="A1273" i="2"/>
  <c r="U1272" i="2"/>
  <c r="N1272" i="2"/>
  <c r="M1272" i="2"/>
  <c r="J1272" i="2"/>
  <c r="I1272" i="2"/>
  <c r="H1272" i="2"/>
  <c r="G1272" i="2"/>
  <c r="F1272" i="2"/>
  <c r="E1272" i="2"/>
  <c r="D1272" i="2"/>
  <c r="C1272" i="2"/>
  <c r="B1272" i="2"/>
  <c r="A1272" i="2"/>
  <c r="U1271" i="2"/>
  <c r="N1271" i="2"/>
  <c r="M1271" i="2"/>
  <c r="J1271" i="2"/>
  <c r="I1271" i="2"/>
  <c r="H1271" i="2"/>
  <c r="G1271" i="2"/>
  <c r="F1271" i="2"/>
  <c r="E1271" i="2"/>
  <c r="D1271" i="2"/>
  <c r="C1271" i="2"/>
  <c r="B1271" i="2"/>
  <c r="A1271" i="2"/>
  <c r="U1270" i="2"/>
  <c r="N1270" i="2"/>
  <c r="M1270" i="2"/>
  <c r="J1270" i="2"/>
  <c r="I1270" i="2"/>
  <c r="H1270" i="2"/>
  <c r="G1270" i="2"/>
  <c r="F1270" i="2"/>
  <c r="E1270" i="2"/>
  <c r="D1270" i="2"/>
  <c r="C1270" i="2"/>
  <c r="B1270" i="2"/>
  <c r="A1270" i="2"/>
  <c r="U1269" i="2"/>
  <c r="N1269" i="2"/>
  <c r="M1269" i="2"/>
  <c r="J1269" i="2"/>
  <c r="I1269" i="2"/>
  <c r="H1269" i="2"/>
  <c r="G1269" i="2"/>
  <c r="F1269" i="2"/>
  <c r="E1269" i="2"/>
  <c r="D1269" i="2"/>
  <c r="C1269" i="2"/>
  <c r="B1269" i="2"/>
  <c r="A1269" i="2"/>
  <c r="U1268" i="2"/>
  <c r="N1268" i="2"/>
  <c r="M1268" i="2"/>
  <c r="J1268" i="2"/>
  <c r="I1268" i="2"/>
  <c r="H1268" i="2"/>
  <c r="G1268" i="2"/>
  <c r="F1268" i="2"/>
  <c r="E1268" i="2"/>
  <c r="D1268" i="2"/>
  <c r="C1268" i="2"/>
  <c r="B1268" i="2"/>
  <c r="A1268" i="2"/>
  <c r="U1267" i="2"/>
  <c r="N1267" i="2"/>
  <c r="M1267" i="2"/>
  <c r="J1267" i="2"/>
  <c r="I1267" i="2"/>
  <c r="H1267" i="2"/>
  <c r="G1267" i="2"/>
  <c r="F1267" i="2"/>
  <c r="E1267" i="2"/>
  <c r="D1267" i="2"/>
  <c r="C1267" i="2"/>
  <c r="B1267" i="2"/>
  <c r="A1267" i="2"/>
  <c r="U1266" i="2"/>
  <c r="N1266" i="2"/>
  <c r="M1266" i="2"/>
  <c r="J1266" i="2"/>
  <c r="I1266" i="2"/>
  <c r="H1266" i="2"/>
  <c r="G1266" i="2"/>
  <c r="F1266" i="2"/>
  <c r="E1266" i="2"/>
  <c r="D1266" i="2"/>
  <c r="C1266" i="2"/>
  <c r="B1266" i="2"/>
  <c r="A1266" i="2"/>
  <c r="U1265" i="2"/>
  <c r="N1265" i="2"/>
  <c r="M1265" i="2"/>
  <c r="J1265" i="2"/>
  <c r="I1265" i="2"/>
  <c r="H1265" i="2"/>
  <c r="G1265" i="2"/>
  <c r="F1265" i="2"/>
  <c r="E1265" i="2"/>
  <c r="D1265" i="2"/>
  <c r="C1265" i="2"/>
  <c r="B1265" i="2"/>
  <c r="A1265" i="2"/>
  <c r="U1264" i="2"/>
  <c r="N1264" i="2"/>
  <c r="M1264" i="2"/>
  <c r="J1264" i="2"/>
  <c r="I1264" i="2"/>
  <c r="H1264" i="2"/>
  <c r="G1264" i="2"/>
  <c r="F1264" i="2"/>
  <c r="E1264" i="2"/>
  <c r="D1264" i="2"/>
  <c r="C1264" i="2"/>
  <c r="B1264" i="2"/>
  <c r="A1264" i="2"/>
  <c r="U1263" i="2"/>
  <c r="N1263" i="2"/>
  <c r="M1263" i="2"/>
  <c r="J1263" i="2"/>
  <c r="I1263" i="2"/>
  <c r="H1263" i="2"/>
  <c r="G1263" i="2"/>
  <c r="F1263" i="2"/>
  <c r="E1263" i="2"/>
  <c r="D1263" i="2"/>
  <c r="C1263" i="2"/>
  <c r="B1263" i="2"/>
  <c r="A1263" i="2"/>
  <c r="U1262" i="2"/>
  <c r="N1262" i="2"/>
  <c r="M1262" i="2"/>
  <c r="J1262" i="2"/>
  <c r="I1262" i="2"/>
  <c r="H1262" i="2"/>
  <c r="G1262" i="2"/>
  <c r="F1262" i="2"/>
  <c r="E1262" i="2"/>
  <c r="D1262" i="2"/>
  <c r="C1262" i="2"/>
  <c r="B1262" i="2"/>
  <c r="A1262" i="2"/>
  <c r="U1261" i="2"/>
  <c r="N1261" i="2"/>
  <c r="M1261" i="2"/>
  <c r="J1261" i="2"/>
  <c r="I1261" i="2"/>
  <c r="H1261" i="2"/>
  <c r="G1261" i="2"/>
  <c r="F1261" i="2"/>
  <c r="E1261" i="2"/>
  <c r="D1261" i="2"/>
  <c r="C1261" i="2"/>
  <c r="B1261" i="2"/>
  <c r="A1261" i="2"/>
  <c r="U1260" i="2"/>
  <c r="N1260" i="2"/>
  <c r="M1260" i="2"/>
  <c r="J1260" i="2"/>
  <c r="I1260" i="2"/>
  <c r="H1260" i="2"/>
  <c r="G1260" i="2"/>
  <c r="F1260" i="2"/>
  <c r="E1260" i="2"/>
  <c r="D1260" i="2"/>
  <c r="C1260" i="2"/>
  <c r="B1260" i="2"/>
  <c r="A1260" i="2"/>
  <c r="U1259" i="2"/>
  <c r="N1259" i="2"/>
  <c r="M1259" i="2"/>
  <c r="J1259" i="2"/>
  <c r="I1259" i="2"/>
  <c r="H1259" i="2"/>
  <c r="G1259" i="2"/>
  <c r="F1259" i="2"/>
  <c r="E1259" i="2"/>
  <c r="D1259" i="2"/>
  <c r="C1259" i="2"/>
  <c r="B1259" i="2"/>
  <c r="A1259" i="2"/>
  <c r="U1258" i="2"/>
  <c r="N1258" i="2"/>
  <c r="M1258" i="2"/>
  <c r="J1258" i="2"/>
  <c r="I1258" i="2"/>
  <c r="H1258" i="2"/>
  <c r="G1258" i="2"/>
  <c r="F1258" i="2"/>
  <c r="E1258" i="2"/>
  <c r="D1258" i="2"/>
  <c r="C1258" i="2"/>
  <c r="B1258" i="2"/>
  <c r="A1258" i="2"/>
  <c r="U1257" i="2"/>
  <c r="N1257" i="2"/>
  <c r="M1257" i="2"/>
  <c r="J1257" i="2"/>
  <c r="I1257" i="2"/>
  <c r="H1257" i="2"/>
  <c r="G1257" i="2"/>
  <c r="F1257" i="2"/>
  <c r="E1257" i="2"/>
  <c r="D1257" i="2"/>
  <c r="C1257" i="2"/>
  <c r="B1257" i="2"/>
  <c r="A1257" i="2"/>
  <c r="U1256" i="2"/>
  <c r="N1256" i="2"/>
  <c r="M1256" i="2"/>
  <c r="J1256" i="2"/>
  <c r="I1256" i="2"/>
  <c r="H1256" i="2"/>
  <c r="G1256" i="2"/>
  <c r="F1256" i="2"/>
  <c r="E1256" i="2"/>
  <c r="D1256" i="2"/>
  <c r="C1256" i="2"/>
  <c r="B1256" i="2"/>
  <c r="A1256" i="2"/>
  <c r="U1255" i="2"/>
  <c r="N1255" i="2"/>
  <c r="M1255" i="2"/>
  <c r="J1255" i="2"/>
  <c r="I1255" i="2"/>
  <c r="H1255" i="2"/>
  <c r="G1255" i="2"/>
  <c r="F1255" i="2"/>
  <c r="E1255" i="2"/>
  <c r="D1255" i="2"/>
  <c r="C1255" i="2"/>
  <c r="B1255" i="2"/>
  <c r="A1255" i="2"/>
  <c r="U1254" i="2"/>
  <c r="N1254" i="2"/>
  <c r="M1254" i="2"/>
  <c r="J1254" i="2"/>
  <c r="I1254" i="2"/>
  <c r="H1254" i="2"/>
  <c r="G1254" i="2"/>
  <c r="F1254" i="2"/>
  <c r="E1254" i="2"/>
  <c r="D1254" i="2"/>
  <c r="C1254" i="2"/>
  <c r="B1254" i="2"/>
  <c r="A1254" i="2"/>
  <c r="U1253" i="2"/>
  <c r="N1253" i="2"/>
  <c r="M1253" i="2"/>
  <c r="J1253" i="2"/>
  <c r="I1253" i="2"/>
  <c r="H1253" i="2"/>
  <c r="G1253" i="2"/>
  <c r="F1253" i="2"/>
  <c r="E1253" i="2"/>
  <c r="D1253" i="2"/>
  <c r="C1253" i="2"/>
  <c r="B1253" i="2"/>
  <c r="A1253" i="2"/>
  <c r="U1252" i="2"/>
  <c r="N1252" i="2"/>
  <c r="M1252" i="2"/>
  <c r="J1252" i="2"/>
  <c r="I1252" i="2"/>
  <c r="H1252" i="2"/>
  <c r="G1252" i="2"/>
  <c r="F1252" i="2"/>
  <c r="E1252" i="2"/>
  <c r="D1252" i="2"/>
  <c r="C1252" i="2"/>
  <c r="B1252" i="2"/>
  <c r="A1252" i="2"/>
  <c r="U1251" i="2"/>
  <c r="N1251" i="2"/>
  <c r="M1251" i="2"/>
  <c r="J1251" i="2"/>
  <c r="I1251" i="2"/>
  <c r="H1251" i="2"/>
  <c r="G1251" i="2"/>
  <c r="F1251" i="2"/>
  <c r="E1251" i="2"/>
  <c r="D1251" i="2"/>
  <c r="C1251" i="2"/>
  <c r="B1251" i="2"/>
  <c r="A1251" i="2"/>
  <c r="U1250" i="2"/>
  <c r="N1250" i="2"/>
  <c r="M1250" i="2"/>
  <c r="J1250" i="2"/>
  <c r="I1250" i="2"/>
  <c r="H1250" i="2"/>
  <c r="G1250" i="2"/>
  <c r="F1250" i="2"/>
  <c r="E1250" i="2"/>
  <c r="D1250" i="2"/>
  <c r="C1250" i="2"/>
  <c r="B1250" i="2"/>
  <c r="A1250" i="2"/>
  <c r="U1249" i="2"/>
  <c r="N1249" i="2"/>
  <c r="M1249" i="2"/>
  <c r="J1249" i="2"/>
  <c r="I1249" i="2"/>
  <c r="H1249" i="2"/>
  <c r="G1249" i="2"/>
  <c r="F1249" i="2"/>
  <c r="E1249" i="2"/>
  <c r="D1249" i="2"/>
  <c r="C1249" i="2"/>
  <c r="B1249" i="2"/>
  <c r="A1249" i="2"/>
  <c r="U1248" i="2"/>
  <c r="N1248" i="2"/>
  <c r="M1248" i="2"/>
  <c r="J1248" i="2"/>
  <c r="I1248" i="2"/>
  <c r="H1248" i="2"/>
  <c r="G1248" i="2"/>
  <c r="F1248" i="2"/>
  <c r="E1248" i="2"/>
  <c r="D1248" i="2"/>
  <c r="C1248" i="2"/>
  <c r="B1248" i="2"/>
  <c r="A1248" i="2"/>
  <c r="U1247" i="2"/>
  <c r="N1247" i="2"/>
  <c r="M1247" i="2"/>
  <c r="J1247" i="2"/>
  <c r="I1247" i="2"/>
  <c r="H1247" i="2"/>
  <c r="G1247" i="2"/>
  <c r="F1247" i="2"/>
  <c r="E1247" i="2"/>
  <c r="D1247" i="2"/>
  <c r="C1247" i="2"/>
  <c r="B1247" i="2"/>
  <c r="A1247" i="2"/>
  <c r="U1246" i="2"/>
  <c r="N1246" i="2"/>
  <c r="M1246" i="2"/>
  <c r="J1246" i="2"/>
  <c r="I1246" i="2"/>
  <c r="H1246" i="2"/>
  <c r="G1246" i="2"/>
  <c r="F1246" i="2"/>
  <c r="E1246" i="2"/>
  <c r="D1246" i="2"/>
  <c r="C1246" i="2"/>
  <c r="B1246" i="2"/>
  <c r="A1246" i="2"/>
  <c r="U1245" i="2"/>
  <c r="N1245" i="2"/>
  <c r="M1245" i="2"/>
  <c r="J1245" i="2"/>
  <c r="I1245" i="2"/>
  <c r="H1245" i="2"/>
  <c r="G1245" i="2"/>
  <c r="F1245" i="2"/>
  <c r="E1245" i="2"/>
  <c r="D1245" i="2"/>
  <c r="C1245" i="2"/>
  <c r="B1245" i="2"/>
  <c r="A1245" i="2"/>
  <c r="U1244" i="2"/>
  <c r="N1244" i="2"/>
  <c r="M1244" i="2"/>
  <c r="J1244" i="2"/>
  <c r="I1244" i="2"/>
  <c r="H1244" i="2"/>
  <c r="G1244" i="2"/>
  <c r="F1244" i="2"/>
  <c r="E1244" i="2"/>
  <c r="D1244" i="2"/>
  <c r="C1244" i="2"/>
  <c r="B1244" i="2"/>
  <c r="A1244" i="2"/>
  <c r="U1243" i="2"/>
  <c r="N1243" i="2"/>
  <c r="M1243" i="2"/>
  <c r="J1243" i="2"/>
  <c r="I1243" i="2"/>
  <c r="H1243" i="2"/>
  <c r="G1243" i="2"/>
  <c r="F1243" i="2"/>
  <c r="E1243" i="2"/>
  <c r="D1243" i="2"/>
  <c r="C1243" i="2"/>
  <c r="B1243" i="2"/>
  <c r="A1243" i="2"/>
  <c r="U1242" i="2"/>
  <c r="N1242" i="2"/>
  <c r="M1242" i="2"/>
  <c r="J1242" i="2"/>
  <c r="I1242" i="2"/>
  <c r="H1242" i="2"/>
  <c r="G1242" i="2"/>
  <c r="F1242" i="2"/>
  <c r="E1242" i="2"/>
  <c r="D1242" i="2"/>
  <c r="C1242" i="2"/>
  <c r="B1242" i="2"/>
  <c r="A1242" i="2"/>
  <c r="U1241" i="2"/>
  <c r="N1241" i="2"/>
  <c r="M1241" i="2"/>
  <c r="J1241" i="2"/>
  <c r="I1241" i="2"/>
  <c r="H1241" i="2"/>
  <c r="G1241" i="2"/>
  <c r="F1241" i="2"/>
  <c r="E1241" i="2"/>
  <c r="D1241" i="2"/>
  <c r="C1241" i="2"/>
  <c r="B1241" i="2"/>
  <c r="A1241" i="2"/>
  <c r="U1240" i="2"/>
  <c r="N1240" i="2"/>
  <c r="M1240" i="2"/>
  <c r="J1240" i="2"/>
  <c r="I1240" i="2"/>
  <c r="H1240" i="2"/>
  <c r="G1240" i="2"/>
  <c r="F1240" i="2"/>
  <c r="E1240" i="2"/>
  <c r="D1240" i="2"/>
  <c r="C1240" i="2"/>
  <c r="B1240" i="2"/>
  <c r="A1240" i="2"/>
  <c r="U1239" i="2"/>
  <c r="N1239" i="2"/>
  <c r="M1239" i="2"/>
  <c r="J1239" i="2"/>
  <c r="I1239" i="2"/>
  <c r="H1239" i="2"/>
  <c r="G1239" i="2"/>
  <c r="F1239" i="2"/>
  <c r="E1239" i="2"/>
  <c r="D1239" i="2"/>
  <c r="C1239" i="2"/>
  <c r="B1239" i="2"/>
  <c r="A1239" i="2"/>
  <c r="U1238" i="2"/>
  <c r="N1238" i="2"/>
  <c r="M1238" i="2"/>
  <c r="J1238" i="2"/>
  <c r="I1238" i="2"/>
  <c r="H1238" i="2"/>
  <c r="G1238" i="2"/>
  <c r="F1238" i="2"/>
  <c r="E1238" i="2"/>
  <c r="D1238" i="2"/>
  <c r="C1238" i="2"/>
  <c r="B1238" i="2"/>
  <c r="A1238" i="2"/>
  <c r="U1237" i="2"/>
  <c r="N1237" i="2"/>
  <c r="M1237" i="2"/>
  <c r="J1237" i="2"/>
  <c r="I1237" i="2"/>
  <c r="H1237" i="2"/>
  <c r="G1237" i="2"/>
  <c r="F1237" i="2"/>
  <c r="E1237" i="2"/>
  <c r="D1237" i="2"/>
  <c r="C1237" i="2"/>
  <c r="B1237" i="2"/>
  <c r="A1237" i="2"/>
  <c r="U1236" i="2"/>
  <c r="N1236" i="2"/>
  <c r="M1236" i="2"/>
  <c r="J1236" i="2"/>
  <c r="I1236" i="2"/>
  <c r="H1236" i="2"/>
  <c r="G1236" i="2"/>
  <c r="F1236" i="2"/>
  <c r="E1236" i="2"/>
  <c r="D1236" i="2"/>
  <c r="C1236" i="2"/>
  <c r="B1236" i="2"/>
  <c r="A1236" i="2"/>
  <c r="U1235" i="2"/>
  <c r="N1235" i="2"/>
  <c r="M1235" i="2"/>
  <c r="J1235" i="2"/>
  <c r="I1235" i="2"/>
  <c r="H1235" i="2"/>
  <c r="G1235" i="2"/>
  <c r="F1235" i="2"/>
  <c r="E1235" i="2"/>
  <c r="D1235" i="2"/>
  <c r="C1235" i="2"/>
  <c r="B1235" i="2"/>
  <c r="A1235" i="2"/>
  <c r="U1234" i="2"/>
  <c r="N1234" i="2"/>
  <c r="M1234" i="2"/>
  <c r="J1234" i="2"/>
  <c r="I1234" i="2"/>
  <c r="H1234" i="2"/>
  <c r="G1234" i="2"/>
  <c r="F1234" i="2"/>
  <c r="E1234" i="2"/>
  <c r="D1234" i="2"/>
  <c r="C1234" i="2"/>
  <c r="B1234" i="2"/>
  <c r="A1234" i="2"/>
  <c r="U1233" i="2"/>
  <c r="N1233" i="2"/>
  <c r="M1233" i="2"/>
  <c r="J1233" i="2"/>
  <c r="I1233" i="2"/>
  <c r="H1233" i="2"/>
  <c r="G1233" i="2"/>
  <c r="F1233" i="2"/>
  <c r="E1233" i="2"/>
  <c r="D1233" i="2"/>
  <c r="C1233" i="2"/>
  <c r="B1233" i="2"/>
  <c r="A1233" i="2"/>
  <c r="U1232" i="2"/>
  <c r="N1232" i="2"/>
  <c r="M1232" i="2"/>
  <c r="J1232" i="2"/>
  <c r="I1232" i="2"/>
  <c r="H1232" i="2"/>
  <c r="G1232" i="2"/>
  <c r="F1232" i="2"/>
  <c r="E1232" i="2"/>
  <c r="D1232" i="2"/>
  <c r="C1232" i="2"/>
  <c r="B1232" i="2"/>
  <c r="A1232" i="2"/>
  <c r="U1231" i="2"/>
  <c r="N1231" i="2"/>
  <c r="M1231" i="2"/>
  <c r="J1231" i="2"/>
  <c r="I1231" i="2"/>
  <c r="H1231" i="2"/>
  <c r="G1231" i="2"/>
  <c r="F1231" i="2"/>
  <c r="E1231" i="2"/>
  <c r="D1231" i="2"/>
  <c r="C1231" i="2"/>
  <c r="B1231" i="2"/>
  <c r="A1231" i="2"/>
  <c r="U1230" i="2"/>
  <c r="N1230" i="2"/>
  <c r="M1230" i="2"/>
  <c r="J1230" i="2"/>
  <c r="I1230" i="2"/>
  <c r="H1230" i="2"/>
  <c r="G1230" i="2"/>
  <c r="F1230" i="2"/>
  <c r="E1230" i="2"/>
  <c r="D1230" i="2"/>
  <c r="C1230" i="2"/>
  <c r="B1230" i="2"/>
  <c r="A1230" i="2"/>
  <c r="U1229" i="2"/>
  <c r="N1229" i="2"/>
  <c r="M1229" i="2"/>
  <c r="J1229" i="2"/>
  <c r="I1229" i="2"/>
  <c r="H1229" i="2"/>
  <c r="G1229" i="2"/>
  <c r="F1229" i="2"/>
  <c r="E1229" i="2"/>
  <c r="D1229" i="2"/>
  <c r="C1229" i="2"/>
  <c r="B1229" i="2"/>
  <c r="A1229" i="2"/>
  <c r="U1228" i="2"/>
  <c r="N1228" i="2"/>
  <c r="M1228" i="2"/>
  <c r="J1228" i="2"/>
  <c r="I1228" i="2"/>
  <c r="H1228" i="2"/>
  <c r="G1228" i="2"/>
  <c r="F1228" i="2"/>
  <c r="E1228" i="2"/>
  <c r="D1228" i="2"/>
  <c r="C1228" i="2"/>
  <c r="B1228" i="2"/>
  <c r="A1228" i="2"/>
  <c r="U1227" i="2"/>
  <c r="N1227" i="2"/>
  <c r="M1227" i="2"/>
  <c r="J1227" i="2"/>
  <c r="I1227" i="2"/>
  <c r="H1227" i="2"/>
  <c r="G1227" i="2"/>
  <c r="F1227" i="2"/>
  <c r="E1227" i="2"/>
  <c r="D1227" i="2"/>
  <c r="C1227" i="2"/>
  <c r="B1227" i="2"/>
  <c r="A1227" i="2"/>
  <c r="U1226" i="2"/>
  <c r="N1226" i="2"/>
  <c r="M1226" i="2"/>
  <c r="J1226" i="2"/>
  <c r="I1226" i="2"/>
  <c r="H1226" i="2"/>
  <c r="G1226" i="2"/>
  <c r="F1226" i="2"/>
  <c r="E1226" i="2"/>
  <c r="D1226" i="2"/>
  <c r="C1226" i="2"/>
  <c r="B1226" i="2"/>
  <c r="A1226" i="2"/>
  <c r="U1225" i="2"/>
  <c r="N1225" i="2"/>
  <c r="M1225" i="2"/>
  <c r="J1225" i="2"/>
  <c r="I1225" i="2"/>
  <c r="H1225" i="2"/>
  <c r="G1225" i="2"/>
  <c r="F1225" i="2"/>
  <c r="E1225" i="2"/>
  <c r="D1225" i="2"/>
  <c r="C1225" i="2"/>
  <c r="B1225" i="2"/>
  <c r="A1225" i="2"/>
  <c r="U1224" i="2"/>
  <c r="N1224" i="2"/>
  <c r="M1224" i="2"/>
  <c r="J1224" i="2"/>
  <c r="I1224" i="2"/>
  <c r="H1224" i="2"/>
  <c r="G1224" i="2"/>
  <c r="F1224" i="2"/>
  <c r="E1224" i="2"/>
  <c r="D1224" i="2"/>
  <c r="C1224" i="2"/>
  <c r="B1224" i="2"/>
  <c r="A1224" i="2"/>
  <c r="U1223" i="2"/>
  <c r="N1223" i="2"/>
  <c r="M1223" i="2"/>
  <c r="J1223" i="2"/>
  <c r="I1223" i="2"/>
  <c r="H1223" i="2"/>
  <c r="G1223" i="2"/>
  <c r="F1223" i="2"/>
  <c r="E1223" i="2"/>
  <c r="D1223" i="2"/>
  <c r="C1223" i="2"/>
  <c r="B1223" i="2"/>
  <c r="A1223" i="2"/>
  <c r="U1222" i="2"/>
  <c r="N1222" i="2"/>
  <c r="M1222" i="2"/>
  <c r="J1222" i="2"/>
  <c r="I1222" i="2"/>
  <c r="H1222" i="2"/>
  <c r="G1222" i="2"/>
  <c r="F1222" i="2"/>
  <c r="E1222" i="2"/>
  <c r="D1222" i="2"/>
  <c r="C1222" i="2"/>
  <c r="B1222" i="2"/>
  <c r="A1222" i="2"/>
  <c r="U1221" i="2"/>
  <c r="N1221" i="2"/>
  <c r="M1221" i="2"/>
  <c r="J1221" i="2"/>
  <c r="I1221" i="2"/>
  <c r="H1221" i="2"/>
  <c r="G1221" i="2"/>
  <c r="F1221" i="2"/>
  <c r="E1221" i="2"/>
  <c r="D1221" i="2"/>
  <c r="C1221" i="2"/>
  <c r="B1221" i="2"/>
  <c r="A1221" i="2"/>
  <c r="Q1220" i="2"/>
  <c r="U1220" i="2" s="1"/>
  <c r="N1220" i="2"/>
  <c r="M1220" i="2"/>
  <c r="J1220" i="2"/>
  <c r="I1220" i="2"/>
  <c r="H1220" i="2"/>
  <c r="G1220" i="2"/>
  <c r="F1220" i="2"/>
  <c r="E1220" i="2"/>
  <c r="D1220" i="2"/>
  <c r="C1220" i="2"/>
  <c r="B1220" i="2"/>
  <c r="A1220" i="2"/>
  <c r="U1219" i="2"/>
  <c r="N1219" i="2"/>
  <c r="M1219" i="2"/>
  <c r="J1219" i="2"/>
  <c r="I1219" i="2"/>
  <c r="H1219" i="2"/>
  <c r="G1219" i="2"/>
  <c r="F1219" i="2"/>
  <c r="E1219" i="2"/>
  <c r="D1219" i="2"/>
  <c r="C1219" i="2"/>
  <c r="B1219" i="2"/>
  <c r="A1219" i="2"/>
  <c r="U1218" i="2"/>
  <c r="N1218" i="2"/>
  <c r="M1218" i="2"/>
  <c r="J1218" i="2"/>
  <c r="I1218" i="2"/>
  <c r="H1218" i="2"/>
  <c r="G1218" i="2"/>
  <c r="F1218" i="2"/>
  <c r="E1218" i="2"/>
  <c r="D1218" i="2"/>
  <c r="C1218" i="2"/>
  <c r="B1218" i="2"/>
  <c r="A1218" i="2"/>
  <c r="U1217" i="2"/>
  <c r="N1217" i="2"/>
  <c r="M1217" i="2"/>
  <c r="J1217" i="2"/>
  <c r="I1217" i="2"/>
  <c r="H1217" i="2"/>
  <c r="G1217" i="2"/>
  <c r="F1217" i="2"/>
  <c r="E1217" i="2"/>
  <c r="D1217" i="2"/>
  <c r="C1217" i="2"/>
  <c r="B1217" i="2"/>
  <c r="A1217" i="2"/>
  <c r="U1216" i="2"/>
  <c r="N1216" i="2"/>
  <c r="M1216" i="2"/>
  <c r="J1216" i="2"/>
  <c r="I1216" i="2"/>
  <c r="H1216" i="2"/>
  <c r="G1216" i="2"/>
  <c r="F1216" i="2"/>
  <c r="E1216" i="2"/>
  <c r="D1216" i="2"/>
  <c r="C1216" i="2"/>
  <c r="B1216" i="2"/>
  <c r="A1216" i="2"/>
  <c r="U1215" i="2"/>
  <c r="N1215" i="2"/>
  <c r="M1215" i="2"/>
  <c r="J1215" i="2"/>
  <c r="I1215" i="2"/>
  <c r="H1215" i="2"/>
  <c r="G1215" i="2"/>
  <c r="F1215" i="2"/>
  <c r="E1215" i="2"/>
  <c r="D1215" i="2"/>
  <c r="C1215" i="2"/>
  <c r="B1215" i="2"/>
  <c r="A1215" i="2"/>
  <c r="U1214" i="2"/>
  <c r="N1214" i="2"/>
  <c r="M1214" i="2"/>
  <c r="J1214" i="2"/>
  <c r="I1214" i="2"/>
  <c r="H1214" i="2"/>
  <c r="G1214" i="2"/>
  <c r="F1214" i="2"/>
  <c r="E1214" i="2"/>
  <c r="D1214" i="2"/>
  <c r="C1214" i="2"/>
  <c r="B1214" i="2"/>
  <c r="A1214" i="2"/>
  <c r="U1213" i="2"/>
  <c r="N1213" i="2"/>
  <c r="M1213" i="2"/>
  <c r="J1213" i="2"/>
  <c r="I1213" i="2"/>
  <c r="H1213" i="2"/>
  <c r="G1213" i="2"/>
  <c r="F1213" i="2"/>
  <c r="E1213" i="2"/>
  <c r="D1213" i="2"/>
  <c r="C1213" i="2"/>
  <c r="B1213" i="2"/>
  <c r="A1213" i="2"/>
  <c r="U1212" i="2"/>
  <c r="N1212" i="2"/>
  <c r="M1212" i="2"/>
  <c r="J1212" i="2"/>
  <c r="I1212" i="2"/>
  <c r="H1212" i="2"/>
  <c r="G1212" i="2"/>
  <c r="F1212" i="2"/>
  <c r="E1212" i="2"/>
  <c r="D1212" i="2"/>
  <c r="C1212" i="2"/>
  <c r="B1212" i="2"/>
  <c r="A1212" i="2"/>
  <c r="U1211" i="2"/>
  <c r="N1211" i="2"/>
  <c r="M1211" i="2"/>
  <c r="J1211" i="2"/>
  <c r="I1211" i="2"/>
  <c r="H1211" i="2"/>
  <c r="G1211" i="2"/>
  <c r="F1211" i="2"/>
  <c r="E1211" i="2"/>
  <c r="D1211" i="2"/>
  <c r="C1211" i="2"/>
  <c r="B1211" i="2"/>
  <c r="A1211" i="2"/>
  <c r="U1210" i="2"/>
  <c r="N1210" i="2"/>
  <c r="M1210" i="2"/>
  <c r="J1210" i="2"/>
  <c r="I1210" i="2"/>
  <c r="H1210" i="2"/>
  <c r="G1210" i="2"/>
  <c r="F1210" i="2"/>
  <c r="E1210" i="2"/>
  <c r="D1210" i="2"/>
  <c r="C1210" i="2"/>
  <c r="B1210" i="2"/>
  <c r="A1210" i="2"/>
  <c r="U1209" i="2"/>
  <c r="N1209" i="2"/>
  <c r="M1209" i="2"/>
  <c r="J1209" i="2"/>
  <c r="I1209" i="2"/>
  <c r="H1209" i="2"/>
  <c r="G1209" i="2"/>
  <c r="F1209" i="2"/>
  <c r="E1209" i="2"/>
  <c r="D1209" i="2"/>
  <c r="C1209" i="2"/>
  <c r="B1209" i="2"/>
  <c r="A1209" i="2"/>
  <c r="U1208" i="2"/>
  <c r="N1208" i="2"/>
  <c r="M1208" i="2"/>
  <c r="J1208" i="2"/>
  <c r="I1208" i="2"/>
  <c r="H1208" i="2"/>
  <c r="G1208" i="2"/>
  <c r="F1208" i="2"/>
  <c r="E1208" i="2"/>
  <c r="D1208" i="2"/>
  <c r="C1208" i="2"/>
  <c r="B1208" i="2"/>
  <c r="A1208" i="2"/>
  <c r="U1207" i="2"/>
  <c r="N1207" i="2"/>
  <c r="M1207" i="2"/>
  <c r="J1207" i="2"/>
  <c r="I1207" i="2"/>
  <c r="H1207" i="2"/>
  <c r="G1207" i="2"/>
  <c r="F1207" i="2"/>
  <c r="E1207" i="2"/>
  <c r="D1207" i="2"/>
  <c r="C1207" i="2"/>
  <c r="B1207" i="2"/>
  <c r="A1207" i="2"/>
  <c r="U1206" i="2"/>
  <c r="N1206" i="2"/>
  <c r="M1206" i="2"/>
  <c r="J1206" i="2"/>
  <c r="I1206" i="2"/>
  <c r="H1206" i="2"/>
  <c r="G1206" i="2"/>
  <c r="F1206" i="2"/>
  <c r="E1206" i="2"/>
  <c r="D1206" i="2"/>
  <c r="C1206" i="2"/>
  <c r="B1206" i="2"/>
  <c r="A1206" i="2"/>
  <c r="U1205" i="2"/>
  <c r="N1205" i="2"/>
  <c r="M1205" i="2"/>
  <c r="J1205" i="2"/>
  <c r="I1205" i="2"/>
  <c r="H1205" i="2"/>
  <c r="G1205" i="2"/>
  <c r="F1205" i="2"/>
  <c r="E1205" i="2"/>
  <c r="D1205" i="2"/>
  <c r="C1205" i="2"/>
  <c r="B1205" i="2"/>
  <c r="A1205" i="2"/>
  <c r="U1204" i="2"/>
  <c r="N1204" i="2"/>
  <c r="M1204" i="2"/>
  <c r="J1204" i="2"/>
  <c r="I1204" i="2"/>
  <c r="H1204" i="2"/>
  <c r="G1204" i="2"/>
  <c r="F1204" i="2"/>
  <c r="E1204" i="2"/>
  <c r="D1204" i="2"/>
  <c r="C1204" i="2"/>
  <c r="B1204" i="2"/>
  <c r="A1204" i="2"/>
  <c r="U1203" i="2"/>
  <c r="N1203" i="2"/>
  <c r="M1203" i="2"/>
  <c r="J1203" i="2"/>
  <c r="I1203" i="2"/>
  <c r="H1203" i="2"/>
  <c r="G1203" i="2"/>
  <c r="F1203" i="2"/>
  <c r="E1203" i="2"/>
  <c r="D1203" i="2"/>
  <c r="C1203" i="2"/>
  <c r="B1203" i="2"/>
  <c r="A1203" i="2"/>
  <c r="U1202" i="2"/>
  <c r="N1202" i="2"/>
  <c r="M1202" i="2"/>
  <c r="J1202" i="2"/>
  <c r="I1202" i="2"/>
  <c r="H1202" i="2"/>
  <c r="G1202" i="2"/>
  <c r="F1202" i="2"/>
  <c r="E1202" i="2"/>
  <c r="D1202" i="2"/>
  <c r="C1202" i="2"/>
  <c r="B1202" i="2"/>
  <c r="A1202" i="2"/>
  <c r="U1201" i="2"/>
  <c r="N1201" i="2"/>
  <c r="M1201" i="2"/>
  <c r="J1201" i="2"/>
  <c r="I1201" i="2"/>
  <c r="H1201" i="2"/>
  <c r="G1201" i="2"/>
  <c r="F1201" i="2"/>
  <c r="E1201" i="2"/>
  <c r="D1201" i="2"/>
  <c r="C1201" i="2"/>
  <c r="B1201" i="2"/>
  <c r="A1201" i="2"/>
  <c r="U1200" i="2"/>
  <c r="N1200" i="2"/>
  <c r="M1200" i="2"/>
  <c r="J1200" i="2"/>
  <c r="I1200" i="2"/>
  <c r="H1200" i="2"/>
  <c r="G1200" i="2"/>
  <c r="F1200" i="2"/>
  <c r="E1200" i="2"/>
  <c r="D1200" i="2"/>
  <c r="C1200" i="2"/>
  <c r="B1200" i="2"/>
  <c r="A1200" i="2"/>
  <c r="U1199" i="2"/>
  <c r="N1199" i="2"/>
  <c r="M1199" i="2"/>
  <c r="J1199" i="2"/>
  <c r="I1199" i="2"/>
  <c r="H1199" i="2"/>
  <c r="G1199" i="2"/>
  <c r="F1199" i="2"/>
  <c r="E1199" i="2"/>
  <c r="D1199" i="2"/>
  <c r="C1199" i="2"/>
  <c r="B1199" i="2"/>
  <c r="A1199" i="2"/>
  <c r="U1198" i="2"/>
  <c r="N1198" i="2"/>
  <c r="M1198" i="2"/>
  <c r="J1198" i="2"/>
  <c r="I1198" i="2"/>
  <c r="H1198" i="2"/>
  <c r="G1198" i="2"/>
  <c r="F1198" i="2"/>
  <c r="E1198" i="2"/>
  <c r="D1198" i="2"/>
  <c r="C1198" i="2"/>
  <c r="B1198" i="2"/>
  <c r="A1198" i="2"/>
  <c r="U1197" i="2"/>
  <c r="N1197" i="2"/>
  <c r="M1197" i="2"/>
  <c r="J1197" i="2"/>
  <c r="I1197" i="2"/>
  <c r="H1197" i="2"/>
  <c r="G1197" i="2"/>
  <c r="F1197" i="2"/>
  <c r="E1197" i="2"/>
  <c r="D1197" i="2"/>
  <c r="C1197" i="2"/>
  <c r="B1197" i="2"/>
  <c r="A1197" i="2"/>
  <c r="U1196" i="2"/>
  <c r="N1196" i="2"/>
  <c r="M1196" i="2"/>
  <c r="J1196" i="2"/>
  <c r="I1196" i="2"/>
  <c r="H1196" i="2"/>
  <c r="G1196" i="2"/>
  <c r="F1196" i="2"/>
  <c r="E1196" i="2"/>
  <c r="D1196" i="2"/>
  <c r="C1196" i="2"/>
  <c r="B1196" i="2"/>
  <c r="A1196" i="2"/>
  <c r="U1195" i="2"/>
  <c r="N1195" i="2"/>
  <c r="M1195" i="2"/>
  <c r="J1195" i="2"/>
  <c r="I1195" i="2"/>
  <c r="H1195" i="2"/>
  <c r="G1195" i="2"/>
  <c r="F1195" i="2"/>
  <c r="E1195" i="2"/>
  <c r="D1195" i="2"/>
  <c r="C1195" i="2"/>
  <c r="B1195" i="2"/>
  <c r="A1195" i="2"/>
  <c r="U1194" i="2"/>
  <c r="N1194" i="2"/>
  <c r="M1194" i="2"/>
  <c r="J1194" i="2"/>
  <c r="I1194" i="2"/>
  <c r="H1194" i="2"/>
  <c r="G1194" i="2"/>
  <c r="F1194" i="2"/>
  <c r="E1194" i="2"/>
  <c r="D1194" i="2"/>
  <c r="C1194" i="2"/>
  <c r="B1194" i="2"/>
  <c r="A1194" i="2"/>
  <c r="U1193" i="2"/>
  <c r="N1193" i="2"/>
  <c r="M1193" i="2"/>
  <c r="J1193" i="2"/>
  <c r="I1193" i="2"/>
  <c r="H1193" i="2"/>
  <c r="G1193" i="2"/>
  <c r="F1193" i="2"/>
  <c r="E1193" i="2"/>
  <c r="D1193" i="2"/>
  <c r="C1193" i="2"/>
  <c r="B1193" i="2"/>
  <c r="A1193" i="2"/>
  <c r="U1192" i="2"/>
  <c r="N1192" i="2"/>
  <c r="M1192" i="2"/>
  <c r="J1192" i="2"/>
  <c r="I1192" i="2"/>
  <c r="H1192" i="2"/>
  <c r="G1192" i="2"/>
  <c r="F1192" i="2"/>
  <c r="E1192" i="2"/>
  <c r="D1192" i="2"/>
  <c r="C1192" i="2"/>
  <c r="B1192" i="2"/>
  <c r="A1192" i="2"/>
  <c r="U1191" i="2"/>
  <c r="N1191" i="2"/>
  <c r="M1191" i="2"/>
  <c r="J1191" i="2"/>
  <c r="I1191" i="2"/>
  <c r="H1191" i="2"/>
  <c r="G1191" i="2"/>
  <c r="F1191" i="2"/>
  <c r="E1191" i="2"/>
  <c r="D1191" i="2"/>
  <c r="C1191" i="2"/>
  <c r="B1191" i="2"/>
  <c r="A1191" i="2"/>
  <c r="U1190" i="2"/>
  <c r="N1190" i="2"/>
  <c r="M1190" i="2"/>
  <c r="J1190" i="2"/>
  <c r="I1190" i="2"/>
  <c r="H1190" i="2"/>
  <c r="G1190" i="2"/>
  <c r="F1190" i="2"/>
  <c r="E1190" i="2"/>
  <c r="D1190" i="2"/>
  <c r="C1190" i="2"/>
  <c r="B1190" i="2"/>
  <c r="A1190" i="2"/>
  <c r="U1189" i="2"/>
  <c r="N1189" i="2"/>
  <c r="M1189" i="2"/>
  <c r="J1189" i="2"/>
  <c r="I1189" i="2"/>
  <c r="H1189" i="2"/>
  <c r="G1189" i="2"/>
  <c r="F1189" i="2"/>
  <c r="E1189" i="2"/>
  <c r="D1189" i="2"/>
  <c r="C1189" i="2"/>
  <c r="B1189" i="2"/>
  <c r="A1189" i="2"/>
  <c r="U1188" i="2"/>
  <c r="N1188" i="2"/>
  <c r="M1188" i="2"/>
  <c r="J1188" i="2"/>
  <c r="I1188" i="2"/>
  <c r="H1188" i="2"/>
  <c r="G1188" i="2"/>
  <c r="F1188" i="2"/>
  <c r="E1188" i="2"/>
  <c r="D1188" i="2"/>
  <c r="C1188" i="2"/>
  <c r="B1188" i="2"/>
  <c r="A1188" i="2"/>
  <c r="U1187" i="2"/>
  <c r="N1187" i="2"/>
  <c r="M1187" i="2"/>
  <c r="J1187" i="2"/>
  <c r="I1187" i="2"/>
  <c r="H1187" i="2"/>
  <c r="G1187" i="2"/>
  <c r="F1187" i="2"/>
  <c r="E1187" i="2"/>
  <c r="D1187" i="2"/>
  <c r="C1187" i="2"/>
  <c r="B1187" i="2"/>
  <c r="A1187" i="2"/>
  <c r="U1186" i="2"/>
  <c r="N1186" i="2"/>
  <c r="M1186" i="2"/>
  <c r="J1186" i="2"/>
  <c r="I1186" i="2"/>
  <c r="H1186" i="2"/>
  <c r="G1186" i="2"/>
  <c r="F1186" i="2"/>
  <c r="E1186" i="2"/>
  <c r="D1186" i="2"/>
  <c r="C1186" i="2"/>
  <c r="B1186" i="2"/>
  <c r="A1186" i="2"/>
  <c r="U1185" i="2"/>
  <c r="N1185" i="2"/>
  <c r="M1185" i="2"/>
  <c r="J1185" i="2"/>
  <c r="I1185" i="2"/>
  <c r="H1185" i="2"/>
  <c r="G1185" i="2"/>
  <c r="F1185" i="2"/>
  <c r="E1185" i="2"/>
  <c r="D1185" i="2"/>
  <c r="C1185" i="2"/>
  <c r="B1185" i="2"/>
  <c r="A1185" i="2"/>
  <c r="U1184" i="2"/>
  <c r="N1184" i="2"/>
  <c r="M1184" i="2"/>
  <c r="J1184" i="2"/>
  <c r="I1184" i="2"/>
  <c r="H1184" i="2"/>
  <c r="G1184" i="2"/>
  <c r="F1184" i="2"/>
  <c r="E1184" i="2"/>
  <c r="D1184" i="2"/>
  <c r="C1184" i="2"/>
  <c r="B1184" i="2"/>
  <c r="A1184" i="2"/>
  <c r="U1183" i="2"/>
  <c r="N1183" i="2"/>
  <c r="M1183" i="2"/>
  <c r="J1183" i="2"/>
  <c r="I1183" i="2"/>
  <c r="H1183" i="2"/>
  <c r="G1183" i="2"/>
  <c r="F1183" i="2"/>
  <c r="E1183" i="2"/>
  <c r="D1183" i="2"/>
  <c r="C1183" i="2"/>
  <c r="B1183" i="2"/>
  <c r="A1183" i="2"/>
  <c r="U1182" i="2"/>
  <c r="N1182" i="2"/>
  <c r="M1182" i="2"/>
  <c r="J1182" i="2"/>
  <c r="I1182" i="2"/>
  <c r="H1182" i="2"/>
  <c r="G1182" i="2"/>
  <c r="F1182" i="2"/>
  <c r="E1182" i="2"/>
  <c r="D1182" i="2"/>
  <c r="C1182" i="2"/>
  <c r="B1182" i="2"/>
  <c r="A1182" i="2"/>
  <c r="U1181" i="2"/>
  <c r="N1181" i="2"/>
  <c r="M1181" i="2"/>
  <c r="J1181" i="2"/>
  <c r="I1181" i="2"/>
  <c r="H1181" i="2"/>
  <c r="G1181" i="2"/>
  <c r="F1181" i="2"/>
  <c r="E1181" i="2"/>
  <c r="D1181" i="2"/>
  <c r="C1181" i="2"/>
  <c r="B1181" i="2"/>
  <c r="A1181" i="2"/>
  <c r="U1180" i="2"/>
  <c r="N1180" i="2"/>
  <c r="M1180" i="2"/>
  <c r="J1180" i="2"/>
  <c r="I1180" i="2"/>
  <c r="H1180" i="2"/>
  <c r="G1180" i="2"/>
  <c r="F1180" i="2"/>
  <c r="E1180" i="2"/>
  <c r="D1180" i="2"/>
  <c r="C1180" i="2"/>
  <c r="B1180" i="2"/>
  <c r="A1180" i="2"/>
  <c r="U1179" i="2"/>
  <c r="N1179" i="2"/>
  <c r="M1179" i="2"/>
  <c r="J1179" i="2"/>
  <c r="I1179" i="2"/>
  <c r="H1179" i="2"/>
  <c r="G1179" i="2"/>
  <c r="F1179" i="2"/>
  <c r="E1179" i="2"/>
  <c r="D1179" i="2"/>
  <c r="C1179" i="2"/>
  <c r="B1179" i="2"/>
  <c r="A1179" i="2"/>
  <c r="U1178" i="2"/>
  <c r="N1178" i="2"/>
  <c r="M1178" i="2"/>
  <c r="J1178" i="2"/>
  <c r="I1178" i="2"/>
  <c r="H1178" i="2"/>
  <c r="G1178" i="2"/>
  <c r="F1178" i="2"/>
  <c r="E1178" i="2"/>
  <c r="D1178" i="2"/>
  <c r="C1178" i="2"/>
  <c r="B1178" i="2"/>
  <c r="A1178" i="2"/>
  <c r="U1177" i="2"/>
  <c r="N1177" i="2"/>
  <c r="M1177" i="2"/>
  <c r="J1177" i="2"/>
  <c r="I1177" i="2"/>
  <c r="H1177" i="2"/>
  <c r="G1177" i="2"/>
  <c r="F1177" i="2"/>
  <c r="E1177" i="2"/>
  <c r="D1177" i="2"/>
  <c r="C1177" i="2"/>
  <c r="B1177" i="2"/>
  <c r="A1177" i="2"/>
  <c r="U1176" i="2"/>
  <c r="N1176" i="2"/>
  <c r="M1176" i="2"/>
  <c r="J1176" i="2"/>
  <c r="I1176" i="2"/>
  <c r="H1176" i="2"/>
  <c r="G1176" i="2"/>
  <c r="F1176" i="2"/>
  <c r="E1176" i="2"/>
  <c r="D1176" i="2"/>
  <c r="C1176" i="2"/>
  <c r="B1176" i="2"/>
  <c r="A1176" i="2"/>
  <c r="U1175" i="2"/>
  <c r="N1175" i="2"/>
  <c r="M1175" i="2"/>
  <c r="J1175" i="2"/>
  <c r="I1175" i="2"/>
  <c r="H1175" i="2"/>
  <c r="G1175" i="2"/>
  <c r="F1175" i="2"/>
  <c r="E1175" i="2"/>
  <c r="D1175" i="2"/>
  <c r="C1175" i="2"/>
  <c r="B1175" i="2"/>
  <c r="A1175" i="2"/>
  <c r="R1174" i="2"/>
  <c r="Q1174" i="2"/>
  <c r="N1174" i="2"/>
  <c r="M1174" i="2"/>
  <c r="J1174" i="2"/>
  <c r="I1174" i="2"/>
  <c r="H1174" i="2"/>
  <c r="G1174" i="2"/>
  <c r="F1174" i="2"/>
  <c r="E1174" i="2"/>
  <c r="D1174" i="2"/>
  <c r="C1174" i="2"/>
  <c r="B1174" i="2"/>
  <c r="A1174" i="2"/>
  <c r="U1173" i="2"/>
  <c r="N1173" i="2"/>
  <c r="M1173" i="2"/>
  <c r="J1173" i="2"/>
  <c r="I1173" i="2"/>
  <c r="H1173" i="2"/>
  <c r="G1173" i="2"/>
  <c r="F1173" i="2"/>
  <c r="E1173" i="2"/>
  <c r="D1173" i="2"/>
  <c r="C1173" i="2"/>
  <c r="B1173" i="2"/>
  <c r="A1173" i="2"/>
  <c r="R1172" i="2"/>
  <c r="Q1172" i="2"/>
  <c r="N1172" i="2"/>
  <c r="M1172" i="2"/>
  <c r="J1172" i="2"/>
  <c r="I1172" i="2"/>
  <c r="H1172" i="2"/>
  <c r="G1172" i="2"/>
  <c r="F1172" i="2"/>
  <c r="E1172" i="2"/>
  <c r="D1172" i="2"/>
  <c r="C1172" i="2"/>
  <c r="B1172" i="2"/>
  <c r="A1172" i="2"/>
  <c r="R1171" i="2"/>
  <c r="Q1171" i="2"/>
  <c r="N1171" i="2"/>
  <c r="M1171" i="2"/>
  <c r="J1171" i="2"/>
  <c r="I1171" i="2"/>
  <c r="H1171" i="2"/>
  <c r="G1171" i="2"/>
  <c r="F1171" i="2"/>
  <c r="E1171" i="2"/>
  <c r="D1171" i="2"/>
  <c r="C1171" i="2"/>
  <c r="B1171" i="2"/>
  <c r="A1171" i="2"/>
  <c r="R1170" i="2"/>
  <c r="Q1170" i="2"/>
  <c r="N1170" i="2"/>
  <c r="M1170" i="2"/>
  <c r="J1170" i="2"/>
  <c r="I1170" i="2"/>
  <c r="H1170" i="2"/>
  <c r="G1170" i="2"/>
  <c r="F1170" i="2"/>
  <c r="E1170" i="2"/>
  <c r="D1170" i="2"/>
  <c r="C1170" i="2"/>
  <c r="B1170" i="2"/>
  <c r="A1170" i="2"/>
  <c r="Q1169" i="2"/>
  <c r="U1169" i="2" s="1"/>
  <c r="N1169" i="2"/>
  <c r="M1169" i="2"/>
  <c r="J1169" i="2"/>
  <c r="I1169" i="2"/>
  <c r="H1169" i="2"/>
  <c r="G1169" i="2"/>
  <c r="F1169" i="2"/>
  <c r="E1169" i="2"/>
  <c r="D1169" i="2"/>
  <c r="C1169" i="2"/>
  <c r="B1169" i="2"/>
  <c r="A1169" i="2"/>
  <c r="R1168" i="2"/>
  <c r="Q1168" i="2"/>
  <c r="N1168" i="2"/>
  <c r="M1168" i="2"/>
  <c r="J1168" i="2"/>
  <c r="I1168" i="2"/>
  <c r="H1168" i="2"/>
  <c r="G1168" i="2"/>
  <c r="F1168" i="2"/>
  <c r="E1168" i="2"/>
  <c r="D1168" i="2"/>
  <c r="C1168" i="2"/>
  <c r="B1168" i="2"/>
  <c r="A1168" i="2"/>
  <c r="R1167" i="2"/>
  <c r="Q1167" i="2"/>
  <c r="N1167" i="2"/>
  <c r="M1167" i="2"/>
  <c r="J1167" i="2"/>
  <c r="I1167" i="2"/>
  <c r="H1167" i="2"/>
  <c r="G1167" i="2"/>
  <c r="F1167" i="2"/>
  <c r="E1167" i="2"/>
  <c r="D1167" i="2"/>
  <c r="C1167" i="2"/>
  <c r="B1167" i="2"/>
  <c r="A1167" i="2"/>
  <c r="R1166" i="2"/>
  <c r="Q1166" i="2"/>
  <c r="N1166" i="2"/>
  <c r="M1166" i="2"/>
  <c r="J1166" i="2"/>
  <c r="I1166" i="2"/>
  <c r="H1166" i="2"/>
  <c r="G1166" i="2"/>
  <c r="F1166" i="2"/>
  <c r="E1166" i="2"/>
  <c r="D1166" i="2"/>
  <c r="C1166" i="2"/>
  <c r="B1166" i="2"/>
  <c r="A1166" i="2"/>
  <c r="R1165" i="2"/>
  <c r="Q1165" i="2"/>
  <c r="N1165" i="2"/>
  <c r="M1165" i="2"/>
  <c r="J1165" i="2"/>
  <c r="I1165" i="2"/>
  <c r="H1165" i="2"/>
  <c r="G1165" i="2"/>
  <c r="F1165" i="2"/>
  <c r="E1165" i="2"/>
  <c r="D1165" i="2"/>
  <c r="C1165" i="2"/>
  <c r="B1165" i="2"/>
  <c r="A1165" i="2"/>
  <c r="R1164" i="2"/>
  <c r="Q1164" i="2"/>
  <c r="N1164" i="2"/>
  <c r="M1164" i="2"/>
  <c r="J1164" i="2"/>
  <c r="I1164" i="2"/>
  <c r="H1164" i="2"/>
  <c r="G1164" i="2"/>
  <c r="F1164" i="2"/>
  <c r="E1164" i="2"/>
  <c r="D1164" i="2"/>
  <c r="C1164" i="2"/>
  <c r="B1164" i="2"/>
  <c r="A1164" i="2"/>
  <c r="R1163" i="2"/>
  <c r="Q1163" i="2"/>
  <c r="N1163" i="2"/>
  <c r="M1163" i="2"/>
  <c r="J1163" i="2"/>
  <c r="I1163" i="2"/>
  <c r="H1163" i="2"/>
  <c r="G1163" i="2"/>
  <c r="F1163" i="2"/>
  <c r="E1163" i="2"/>
  <c r="D1163" i="2"/>
  <c r="C1163" i="2"/>
  <c r="B1163" i="2"/>
  <c r="A1163" i="2"/>
  <c r="Q1162" i="2"/>
  <c r="U1162" i="2" s="1"/>
  <c r="N1162" i="2"/>
  <c r="M1162" i="2"/>
  <c r="J1162" i="2"/>
  <c r="I1162" i="2"/>
  <c r="H1162" i="2"/>
  <c r="G1162" i="2"/>
  <c r="F1162" i="2"/>
  <c r="E1162" i="2"/>
  <c r="D1162" i="2"/>
  <c r="C1162" i="2"/>
  <c r="B1162" i="2"/>
  <c r="A1162" i="2"/>
  <c r="U1161" i="2"/>
  <c r="N1161" i="2"/>
  <c r="M1161" i="2"/>
  <c r="J1161" i="2"/>
  <c r="I1161" i="2"/>
  <c r="H1161" i="2"/>
  <c r="G1161" i="2"/>
  <c r="F1161" i="2"/>
  <c r="E1161" i="2"/>
  <c r="D1161" i="2"/>
  <c r="C1161" i="2"/>
  <c r="B1161" i="2"/>
  <c r="A1161" i="2"/>
  <c r="U1160" i="2"/>
  <c r="N1160" i="2"/>
  <c r="M1160" i="2"/>
  <c r="J1160" i="2"/>
  <c r="I1160" i="2"/>
  <c r="H1160" i="2"/>
  <c r="G1160" i="2"/>
  <c r="F1160" i="2"/>
  <c r="E1160" i="2"/>
  <c r="D1160" i="2"/>
  <c r="C1160" i="2"/>
  <c r="B1160" i="2"/>
  <c r="A1160" i="2"/>
  <c r="U1159" i="2"/>
  <c r="N1159" i="2"/>
  <c r="M1159" i="2"/>
  <c r="J1159" i="2"/>
  <c r="I1159" i="2"/>
  <c r="H1159" i="2"/>
  <c r="G1159" i="2"/>
  <c r="F1159" i="2"/>
  <c r="E1159" i="2"/>
  <c r="D1159" i="2"/>
  <c r="C1159" i="2"/>
  <c r="B1159" i="2"/>
  <c r="A1159" i="2"/>
  <c r="U1158" i="2"/>
  <c r="N1158" i="2"/>
  <c r="M1158" i="2"/>
  <c r="J1158" i="2"/>
  <c r="I1158" i="2"/>
  <c r="H1158" i="2"/>
  <c r="G1158" i="2"/>
  <c r="F1158" i="2"/>
  <c r="E1158" i="2"/>
  <c r="D1158" i="2"/>
  <c r="C1158" i="2"/>
  <c r="B1158" i="2"/>
  <c r="A1158" i="2"/>
  <c r="Q1157" i="2"/>
  <c r="U1157" i="2" s="1"/>
  <c r="N1157" i="2"/>
  <c r="M1157" i="2"/>
  <c r="J1157" i="2"/>
  <c r="I1157" i="2"/>
  <c r="H1157" i="2"/>
  <c r="G1157" i="2"/>
  <c r="F1157" i="2"/>
  <c r="E1157" i="2"/>
  <c r="D1157" i="2"/>
  <c r="C1157" i="2"/>
  <c r="B1157" i="2"/>
  <c r="A1157" i="2"/>
  <c r="U1156" i="2"/>
  <c r="N1156" i="2"/>
  <c r="M1156" i="2"/>
  <c r="J1156" i="2"/>
  <c r="I1156" i="2"/>
  <c r="H1156" i="2"/>
  <c r="G1156" i="2"/>
  <c r="F1156" i="2"/>
  <c r="E1156" i="2"/>
  <c r="D1156" i="2"/>
  <c r="C1156" i="2"/>
  <c r="B1156" i="2"/>
  <c r="A1156" i="2"/>
  <c r="Q1155" i="2"/>
  <c r="U1155" i="2" s="1"/>
  <c r="N1155" i="2"/>
  <c r="M1155" i="2"/>
  <c r="J1155" i="2"/>
  <c r="I1155" i="2"/>
  <c r="H1155" i="2"/>
  <c r="G1155" i="2"/>
  <c r="F1155" i="2"/>
  <c r="E1155" i="2"/>
  <c r="D1155" i="2"/>
  <c r="C1155" i="2"/>
  <c r="B1155" i="2"/>
  <c r="A1155" i="2"/>
  <c r="U1154" i="2"/>
  <c r="N1154" i="2"/>
  <c r="M1154" i="2"/>
  <c r="J1154" i="2"/>
  <c r="I1154" i="2"/>
  <c r="H1154" i="2"/>
  <c r="G1154" i="2"/>
  <c r="F1154" i="2"/>
  <c r="E1154" i="2"/>
  <c r="D1154" i="2"/>
  <c r="C1154" i="2"/>
  <c r="B1154" i="2"/>
  <c r="A1154" i="2"/>
  <c r="U1153" i="2"/>
  <c r="N1153" i="2"/>
  <c r="M1153" i="2"/>
  <c r="J1153" i="2"/>
  <c r="I1153" i="2"/>
  <c r="H1153" i="2"/>
  <c r="G1153" i="2"/>
  <c r="F1153" i="2"/>
  <c r="E1153" i="2"/>
  <c r="D1153" i="2"/>
  <c r="C1153" i="2"/>
  <c r="B1153" i="2"/>
  <c r="A1153" i="2"/>
  <c r="Q1152" i="2"/>
  <c r="U1152" i="2" s="1"/>
  <c r="N1152" i="2"/>
  <c r="M1152" i="2"/>
  <c r="J1152" i="2"/>
  <c r="I1152" i="2"/>
  <c r="H1152" i="2"/>
  <c r="G1152" i="2"/>
  <c r="F1152" i="2"/>
  <c r="E1152" i="2"/>
  <c r="D1152" i="2"/>
  <c r="C1152" i="2"/>
  <c r="B1152" i="2"/>
  <c r="A1152" i="2"/>
  <c r="U1151" i="2"/>
  <c r="N1151" i="2"/>
  <c r="M1151" i="2"/>
  <c r="J1151" i="2"/>
  <c r="I1151" i="2"/>
  <c r="H1151" i="2"/>
  <c r="G1151" i="2"/>
  <c r="F1151" i="2"/>
  <c r="E1151" i="2"/>
  <c r="D1151" i="2"/>
  <c r="C1151" i="2"/>
  <c r="B1151" i="2"/>
  <c r="A1151" i="2"/>
  <c r="Q1150" i="2"/>
  <c r="U1150" i="2" s="1"/>
  <c r="N1150" i="2"/>
  <c r="M1150" i="2"/>
  <c r="J1150" i="2"/>
  <c r="I1150" i="2"/>
  <c r="H1150" i="2"/>
  <c r="G1150" i="2"/>
  <c r="F1150" i="2"/>
  <c r="E1150" i="2"/>
  <c r="D1150" i="2"/>
  <c r="C1150" i="2"/>
  <c r="B1150" i="2"/>
  <c r="A1150" i="2"/>
  <c r="U1149" i="2"/>
  <c r="N1149" i="2"/>
  <c r="M1149" i="2"/>
  <c r="J1149" i="2"/>
  <c r="I1149" i="2"/>
  <c r="H1149" i="2"/>
  <c r="G1149" i="2"/>
  <c r="F1149" i="2"/>
  <c r="E1149" i="2"/>
  <c r="D1149" i="2"/>
  <c r="C1149" i="2"/>
  <c r="B1149" i="2"/>
  <c r="A1149" i="2"/>
  <c r="U1148" i="2"/>
  <c r="N1148" i="2"/>
  <c r="M1148" i="2"/>
  <c r="J1148" i="2"/>
  <c r="I1148" i="2"/>
  <c r="H1148" i="2"/>
  <c r="G1148" i="2"/>
  <c r="F1148" i="2"/>
  <c r="E1148" i="2"/>
  <c r="D1148" i="2"/>
  <c r="C1148" i="2"/>
  <c r="B1148" i="2"/>
  <c r="A1148" i="2"/>
  <c r="U1147" i="2"/>
  <c r="N1147" i="2"/>
  <c r="M1147" i="2"/>
  <c r="J1147" i="2"/>
  <c r="I1147" i="2"/>
  <c r="H1147" i="2"/>
  <c r="G1147" i="2"/>
  <c r="F1147" i="2"/>
  <c r="E1147" i="2"/>
  <c r="D1147" i="2"/>
  <c r="C1147" i="2"/>
  <c r="B1147" i="2"/>
  <c r="A1147" i="2"/>
  <c r="U1146" i="2"/>
  <c r="N1146" i="2"/>
  <c r="M1146" i="2"/>
  <c r="J1146" i="2"/>
  <c r="I1146" i="2"/>
  <c r="H1146" i="2"/>
  <c r="G1146" i="2"/>
  <c r="F1146" i="2"/>
  <c r="E1146" i="2"/>
  <c r="D1146" i="2"/>
  <c r="C1146" i="2"/>
  <c r="B1146" i="2"/>
  <c r="A1146" i="2"/>
  <c r="U1145" i="2"/>
  <c r="N1145" i="2"/>
  <c r="M1145" i="2"/>
  <c r="J1145" i="2"/>
  <c r="I1145" i="2"/>
  <c r="H1145" i="2"/>
  <c r="G1145" i="2"/>
  <c r="F1145" i="2"/>
  <c r="E1145" i="2"/>
  <c r="D1145" i="2"/>
  <c r="C1145" i="2"/>
  <c r="B1145" i="2"/>
  <c r="A1145" i="2"/>
  <c r="U1144" i="2"/>
  <c r="N1144" i="2"/>
  <c r="M1144" i="2"/>
  <c r="J1144" i="2"/>
  <c r="I1144" i="2"/>
  <c r="H1144" i="2"/>
  <c r="G1144" i="2"/>
  <c r="F1144" i="2"/>
  <c r="E1144" i="2"/>
  <c r="D1144" i="2"/>
  <c r="C1144" i="2"/>
  <c r="B1144" i="2"/>
  <c r="A1144" i="2"/>
  <c r="U1143" i="2"/>
  <c r="N1143" i="2"/>
  <c r="M1143" i="2"/>
  <c r="J1143" i="2"/>
  <c r="I1143" i="2"/>
  <c r="H1143" i="2"/>
  <c r="G1143" i="2"/>
  <c r="F1143" i="2"/>
  <c r="E1143" i="2"/>
  <c r="D1143" i="2"/>
  <c r="C1143" i="2"/>
  <c r="B1143" i="2"/>
  <c r="A1143" i="2"/>
  <c r="U1142" i="2"/>
  <c r="N1142" i="2"/>
  <c r="M1142" i="2"/>
  <c r="J1142" i="2"/>
  <c r="I1142" i="2"/>
  <c r="H1142" i="2"/>
  <c r="G1142" i="2"/>
  <c r="F1142" i="2"/>
  <c r="E1142" i="2"/>
  <c r="D1142" i="2"/>
  <c r="C1142" i="2"/>
  <c r="B1142" i="2"/>
  <c r="A1142" i="2"/>
  <c r="U1141" i="2"/>
  <c r="N1141" i="2"/>
  <c r="M1141" i="2"/>
  <c r="J1141" i="2"/>
  <c r="I1141" i="2"/>
  <c r="H1141" i="2"/>
  <c r="G1141" i="2"/>
  <c r="F1141" i="2"/>
  <c r="E1141" i="2"/>
  <c r="D1141" i="2"/>
  <c r="C1141" i="2"/>
  <c r="B1141" i="2"/>
  <c r="A1141" i="2"/>
  <c r="U1140" i="2"/>
  <c r="N1140" i="2"/>
  <c r="M1140" i="2"/>
  <c r="J1140" i="2"/>
  <c r="I1140" i="2"/>
  <c r="H1140" i="2"/>
  <c r="G1140" i="2"/>
  <c r="F1140" i="2"/>
  <c r="E1140" i="2"/>
  <c r="D1140" i="2"/>
  <c r="C1140" i="2"/>
  <c r="B1140" i="2"/>
  <c r="A1140" i="2"/>
  <c r="Q1139" i="2"/>
  <c r="U1139" i="2" s="1"/>
  <c r="N1139" i="2"/>
  <c r="M1139" i="2"/>
  <c r="J1139" i="2"/>
  <c r="I1139" i="2"/>
  <c r="H1139" i="2"/>
  <c r="G1139" i="2"/>
  <c r="F1139" i="2"/>
  <c r="E1139" i="2"/>
  <c r="D1139" i="2"/>
  <c r="C1139" i="2"/>
  <c r="B1139" i="2"/>
  <c r="A1139" i="2"/>
  <c r="U1138" i="2"/>
  <c r="N1138" i="2"/>
  <c r="M1138" i="2"/>
  <c r="J1138" i="2"/>
  <c r="I1138" i="2"/>
  <c r="H1138" i="2"/>
  <c r="G1138" i="2"/>
  <c r="F1138" i="2"/>
  <c r="E1138" i="2"/>
  <c r="D1138" i="2"/>
  <c r="C1138" i="2"/>
  <c r="B1138" i="2"/>
  <c r="A1138" i="2"/>
  <c r="U1137" i="2"/>
  <c r="N1137" i="2"/>
  <c r="M1137" i="2"/>
  <c r="J1137" i="2"/>
  <c r="I1137" i="2"/>
  <c r="H1137" i="2"/>
  <c r="G1137" i="2"/>
  <c r="F1137" i="2"/>
  <c r="E1137" i="2"/>
  <c r="D1137" i="2"/>
  <c r="C1137" i="2"/>
  <c r="B1137" i="2"/>
  <c r="A1137" i="2"/>
  <c r="U1136" i="2"/>
  <c r="N1136" i="2"/>
  <c r="M1136" i="2"/>
  <c r="J1136" i="2"/>
  <c r="I1136" i="2"/>
  <c r="H1136" i="2"/>
  <c r="G1136" i="2"/>
  <c r="F1136" i="2"/>
  <c r="E1136" i="2"/>
  <c r="D1136" i="2"/>
  <c r="C1136" i="2"/>
  <c r="B1136" i="2"/>
  <c r="A1136" i="2"/>
  <c r="U1135" i="2"/>
  <c r="N1135" i="2"/>
  <c r="M1135" i="2"/>
  <c r="J1135" i="2"/>
  <c r="I1135" i="2"/>
  <c r="H1135" i="2"/>
  <c r="G1135" i="2"/>
  <c r="F1135" i="2"/>
  <c r="E1135" i="2"/>
  <c r="D1135" i="2"/>
  <c r="C1135" i="2"/>
  <c r="B1135" i="2"/>
  <c r="A1135" i="2"/>
  <c r="U1134" i="2"/>
  <c r="N1134" i="2"/>
  <c r="M1134" i="2"/>
  <c r="J1134" i="2"/>
  <c r="I1134" i="2"/>
  <c r="H1134" i="2"/>
  <c r="G1134" i="2"/>
  <c r="F1134" i="2"/>
  <c r="E1134" i="2"/>
  <c r="D1134" i="2"/>
  <c r="C1134" i="2"/>
  <c r="B1134" i="2"/>
  <c r="A1134" i="2"/>
  <c r="U1133" i="2"/>
  <c r="N1133" i="2"/>
  <c r="M1133" i="2"/>
  <c r="J1133" i="2"/>
  <c r="I1133" i="2"/>
  <c r="H1133" i="2"/>
  <c r="G1133" i="2"/>
  <c r="F1133" i="2"/>
  <c r="E1133" i="2"/>
  <c r="D1133" i="2"/>
  <c r="C1133" i="2"/>
  <c r="B1133" i="2"/>
  <c r="A1133" i="2"/>
  <c r="Q1132" i="2"/>
  <c r="U1132" i="2" s="1"/>
  <c r="N1132" i="2"/>
  <c r="M1132" i="2"/>
  <c r="J1132" i="2"/>
  <c r="I1132" i="2"/>
  <c r="H1132" i="2"/>
  <c r="G1132" i="2"/>
  <c r="F1132" i="2"/>
  <c r="E1132" i="2"/>
  <c r="D1132" i="2"/>
  <c r="C1132" i="2"/>
  <c r="B1132" i="2"/>
  <c r="A1132" i="2"/>
  <c r="U1131" i="2"/>
  <c r="N1131" i="2"/>
  <c r="M1131" i="2"/>
  <c r="J1131" i="2"/>
  <c r="I1131" i="2"/>
  <c r="H1131" i="2"/>
  <c r="G1131" i="2"/>
  <c r="F1131" i="2"/>
  <c r="E1131" i="2"/>
  <c r="D1131" i="2"/>
  <c r="C1131" i="2"/>
  <c r="B1131" i="2"/>
  <c r="A1131" i="2"/>
  <c r="U1130" i="2"/>
  <c r="N1130" i="2"/>
  <c r="M1130" i="2"/>
  <c r="J1130" i="2"/>
  <c r="I1130" i="2"/>
  <c r="H1130" i="2"/>
  <c r="G1130" i="2"/>
  <c r="F1130" i="2"/>
  <c r="E1130" i="2"/>
  <c r="D1130" i="2"/>
  <c r="C1130" i="2"/>
  <c r="B1130" i="2"/>
  <c r="A1130" i="2"/>
  <c r="U1129" i="2"/>
  <c r="N1129" i="2"/>
  <c r="M1129" i="2"/>
  <c r="J1129" i="2"/>
  <c r="I1129" i="2"/>
  <c r="H1129" i="2"/>
  <c r="G1129" i="2"/>
  <c r="F1129" i="2"/>
  <c r="E1129" i="2"/>
  <c r="D1129" i="2"/>
  <c r="C1129" i="2"/>
  <c r="B1129" i="2"/>
  <c r="A1129" i="2"/>
  <c r="U1128" i="2"/>
  <c r="N1128" i="2"/>
  <c r="M1128" i="2"/>
  <c r="J1128" i="2"/>
  <c r="I1128" i="2"/>
  <c r="H1128" i="2"/>
  <c r="G1128" i="2"/>
  <c r="F1128" i="2"/>
  <c r="E1128" i="2"/>
  <c r="D1128" i="2"/>
  <c r="C1128" i="2"/>
  <c r="B1128" i="2"/>
  <c r="A1128" i="2"/>
  <c r="Q1127" i="2"/>
  <c r="U1127" i="2" s="1"/>
  <c r="N1127" i="2"/>
  <c r="M1127" i="2"/>
  <c r="J1127" i="2"/>
  <c r="I1127" i="2"/>
  <c r="H1127" i="2"/>
  <c r="G1127" i="2"/>
  <c r="F1127" i="2"/>
  <c r="E1127" i="2"/>
  <c r="D1127" i="2"/>
  <c r="C1127" i="2"/>
  <c r="B1127" i="2"/>
  <c r="A1127" i="2"/>
  <c r="U1126" i="2"/>
  <c r="N1126" i="2"/>
  <c r="M1126" i="2"/>
  <c r="J1126" i="2"/>
  <c r="I1126" i="2"/>
  <c r="H1126" i="2"/>
  <c r="G1126" i="2"/>
  <c r="F1126" i="2"/>
  <c r="E1126" i="2"/>
  <c r="D1126" i="2"/>
  <c r="C1126" i="2"/>
  <c r="B1126" i="2"/>
  <c r="A1126" i="2"/>
  <c r="U1125" i="2"/>
  <c r="N1125" i="2"/>
  <c r="M1125" i="2"/>
  <c r="J1125" i="2"/>
  <c r="I1125" i="2"/>
  <c r="H1125" i="2"/>
  <c r="G1125" i="2"/>
  <c r="F1125" i="2"/>
  <c r="E1125" i="2"/>
  <c r="D1125" i="2"/>
  <c r="C1125" i="2"/>
  <c r="B1125" i="2"/>
  <c r="A1125" i="2"/>
  <c r="U1124" i="2"/>
  <c r="N1124" i="2"/>
  <c r="M1124" i="2"/>
  <c r="J1124" i="2"/>
  <c r="I1124" i="2"/>
  <c r="H1124" i="2"/>
  <c r="G1124" i="2"/>
  <c r="F1124" i="2"/>
  <c r="E1124" i="2"/>
  <c r="D1124" i="2"/>
  <c r="C1124" i="2"/>
  <c r="B1124" i="2"/>
  <c r="A1124" i="2"/>
  <c r="U1123" i="2"/>
  <c r="N1123" i="2"/>
  <c r="M1123" i="2"/>
  <c r="J1123" i="2"/>
  <c r="I1123" i="2"/>
  <c r="H1123" i="2"/>
  <c r="G1123" i="2"/>
  <c r="F1123" i="2"/>
  <c r="E1123" i="2"/>
  <c r="D1123" i="2"/>
  <c r="C1123" i="2"/>
  <c r="B1123" i="2"/>
  <c r="A1123" i="2"/>
  <c r="U1122" i="2"/>
  <c r="N1122" i="2"/>
  <c r="M1122" i="2"/>
  <c r="J1122" i="2"/>
  <c r="I1122" i="2"/>
  <c r="H1122" i="2"/>
  <c r="G1122" i="2"/>
  <c r="F1122" i="2"/>
  <c r="E1122" i="2"/>
  <c r="D1122" i="2"/>
  <c r="C1122" i="2"/>
  <c r="B1122" i="2"/>
  <c r="A1122" i="2"/>
  <c r="Q1121" i="2"/>
  <c r="U1121" i="2" s="1"/>
  <c r="N1121" i="2"/>
  <c r="M1121" i="2"/>
  <c r="J1121" i="2"/>
  <c r="I1121" i="2"/>
  <c r="H1121" i="2"/>
  <c r="G1121" i="2"/>
  <c r="F1121" i="2"/>
  <c r="E1121" i="2"/>
  <c r="D1121" i="2"/>
  <c r="C1121" i="2"/>
  <c r="B1121" i="2"/>
  <c r="A1121" i="2"/>
  <c r="U1120" i="2"/>
  <c r="N1120" i="2"/>
  <c r="M1120" i="2"/>
  <c r="J1120" i="2"/>
  <c r="I1120" i="2"/>
  <c r="H1120" i="2"/>
  <c r="G1120" i="2"/>
  <c r="F1120" i="2"/>
  <c r="E1120" i="2"/>
  <c r="D1120" i="2"/>
  <c r="C1120" i="2"/>
  <c r="B1120" i="2"/>
  <c r="A1120" i="2"/>
  <c r="U1119" i="2"/>
  <c r="N1119" i="2"/>
  <c r="M1119" i="2"/>
  <c r="J1119" i="2"/>
  <c r="I1119" i="2"/>
  <c r="H1119" i="2"/>
  <c r="G1119" i="2"/>
  <c r="F1119" i="2"/>
  <c r="E1119" i="2"/>
  <c r="D1119" i="2"/>
  <c r="C1119" i="2"/>
  <c r="B1119" i="2"/>
  <c r="A1119" i="2"/>
  <c r="U1118" i="2"/>
  <c r="N1118" i="2"/>
  <c r="M1118" i="2"/>
  <c r="J1118" i="2"/>
  <c r="I1118" i="2"/>
  <c r="H1118" i="2"/>
  <c r="G1118" i="2"/>
  <c r="F1118" i="2"/>
  <c r="E1118" i="2"/>
  <c r="D1118" i="2"/>
  <c r="C1118" i="2"/>
  <c r="B1118" i="2"/>
  <c r="A1118" i="2"/>
  <c r="U1117" i="2"/>
  <c r="N1117" i="2"/>
  <c r="M1117" i="2"/>
  <c r="J1117" i="2"/>
  <c r="I1117" i="2"/>
  <c r="H1117" i="2"/>
  <c r="G1117" i="2"/>
  <c r="F1117" i="2"/>
  <c r="E1117" i="2"/>
  <c r="D1117" i="2"/>
  <c r="C1117" i="2"/>
  <c r="B1117" i="2"/>
  <c r="A1117" i="2"/>
  <c r="U1116" i="2"/>
  <c r="N1116" i="2"/>
  <c r="M1116" i="2"/>
  <c r="J1116" i="2"/>
  <c r="I1116" i="2"/>
  <c r="H1116" i="2"/>
  <c r="G1116" i="2"/>
  <c r="F1116" i="2"/>
  <c r="E1116" i="2"/>
  <c r="D1116" i="2"/>
  <c r="C1116" i="2"/>
  <c r="B1116" i="2"/>
  <c r="A1116" i="2"/>
  <c r="Q1115" i="2"/>
  <c r="U1115" i="2" s="1"/>
  <c r="N1115" i="2"/>
  <c r="M1115" i="2"/>
  <c r="J1115" i="2"/>
  <c r="I1115" i="2"/>
  <c r="H1115" i="2"/>
  <c r="G1115" i="2"/>
  <c r="F1115" i="2"/>
  <c r="E1115" i="2"/>
  <c r="D1115" i="2"/>
  <c r="C1115" i="2"/>
  <c r="B1115" i="2"/>
  <c r="A1115" i="2"/>
  <c r="U1114" i="2"/>
  <c r="N1114" i="2"/>
  <c r="M1114" i="2"/>
  <c r="J1114" i="2"/>
  <c r="I1114" i="2"/>
  <c r="H1114" i="2"/>
  <c r="G1114" i="2"/>
  <c r="F1114" i="2"/>
  <c r="E1114" i="2"/>
  <c r="D1114" i="2"/>
  <c r="C1114" i="2"/>
  <c r="B1114" i="2"/>
  <c r="A1114" i="2"/>
  <c r="U1113" i="2"/>
  <c r="N1113" i="2"/>
  <c r="M1113" i="2"/>
  <c r="J1113" i="2"/>
  <c r="I1113" i="2"/>
  <c r="H1113" i="2"/>
  <c r="G1113" i="2"/>
  <c r="F1113" i="2"/>
  <c r="E1113" i="2"/>
  <c r="D1113" i="2"/>
  <c r="C1113" i="2"/>
  <c r="B1113" i="2"/>
  <c r="A1113" i="2"/>
  <c r="U1112" i="2"/>
  <c r="N1112" i="2"/>
  <c r="M1112" i="2"/>
  <c r="J1112" i="2"/>
  <c r="I1112" i="2"/>
  <c r="H1112" i="2"/>
  <c r="G1112" i="2"/>
  <c r="F1112" i="2"/>
  <c r="E1112" i="2"/>
  <c r="D1112" i="2"/>
  <c r="C1112" i="2"/>
  <c r="B1112" i="2"/>
  <c r="A1112" i="2"/>
  <c r="U1111" i="2"/>
  <c r="N1111" i="2"/>
  <c r="M1111" i="2"/>
  <c r="J1111" i="2"/>
  <c r="I1111" i="2"/>
  <c r="H1111" i="2"/>
  <c r="G1111" i="2"/>
  <c r="F1111" i="2"/>
  <c r="E1111" i="2"/>
  <c r="D1111" i="2"/>
  <c r="C1111" i="2"/>
  <c r="B1111" i="2"/>
  <c r="A1111" i="2"/>
  <c r="U1110" i="2"/>
  <c r="N1110" i="2"/>
  <c r="M1110" i="2"/>
  <c r="J1110" i="2"/>
  <c r="I1110" i="2"/>
  <c r="H1110" i="2"/>
  <c r="G1110" i="2"/>
  <c r="F1110" i="2"/>
  <c r="E1110" i="2"/>
  <c r="D1110" i="2"/>
  <c r="C1110" i="2"/>
  <c r="B1110" i="2"/>
  <c r="A1110" i="2"/>
  <c r="U1109" i="2"/>
  <c r="N1109" i="2"/>
  <c r="M1109" i="2"/>
  <c r="J1109" i="2"/>
  <c r="I1109" i="2"/>
  <c r="H1109" i="2"/>
  <c r="G1109" i="2"/>
  <c r="F1109" i="2"/>
  <c r="E1109" i="2"/>
  <c r="D1109" i="2"/>
  <c r="C1109" i="2"/>
  <c r="B1109" i="2"/>
  <c r="A1109" i="2"/>
  <c r="U1108" i="2"/>
  <c r="N1108" i="2"/>
  <c r="M1108" i="2"/>
  <c r="J1108" i="2"/>
  <c r="I1108" i="2"/>
  <c r="H1108" i="2"/>
  <c r="G1108" i="2"/>
  <c r="F1108" i="2"/>
  <c r="E1108" i="2"/>
  <c r="D1108" i="2"/>
  <c r="C1108" i="2"/>
  <c r="B1108" i="2"/>
  <c r="A1108" i="2"/>
  <c r="U1107" i="2"/>
  <c r="N1107" i="2"/>
  <c r="M1107" i="2"/>
  <c r="J1107" i="2"/>
  <c r="I1107" i="2"/>
  <c r="H1107" i="2"/>
  <c r="G1107" i="2"/>
  <c r="F1107" i="2"/>
  <c r="E1107" i="2"/>
  <c r="D1107" i="2"/>
  <c r="C1107" i="2"/>
  <c r="B1107" i="2"/>
  <c r="A1107" i="2"/>
  <c r="U1106" i="2"/>
  <c r="N1106" i="2"/>
  <c r="M1106" i="2"/>
  <c r="J1106" i="2"/>
  <c r="I1106" i="2"/>
  <c r="H1106" i="2"/>
  <c r="G1106" i="2"/>
  <c r="F1106" i="2"/>
  <c r="E1106" i="2"/>
  <c r="D1106" i="2"/>
  <c r="C1106" i="2"/>
  <c r="B1106" i="2"/>
  <c r="A1106" i="2"/>
  <c r="Q1105" i="2"/>
  <c r="U1105" i="2" s="1"/>
  <c r="N1105" i="2"/>
  <c r="M1105" i="2"/>
  <c r="J1105" i="2"/>
  <c r="I1105" i="2"/>
  <c r="H1105" i="2"/>
  <c r="G1105" i="2"/>
  <c r="F1105" i="2"/>
  <c r="E1105" i="2"/>
  <c r="D1105" i="2"/>
  <c r="C1105" i="2"/>
  <c r="B1105" i="2"/>
  <c r="A1105" i="2"/>
  <c r="U1104" i="2"/>
  <c r="N1104" i="2"/>
  <c r="M1104" i="2"/>
  <c r="J1104" i="2"/>
  <c r="I1104" i="2"/>
  <c r="H1104" i="2"/>
  <c r="G1104" i="2"/>
  <c r="F1104" i="2"/>
  <c r="E1104" i="2"/>
  <c r="D1104" i="2"/>
  <c r="C1104" i="2"/>
  <c r="B1104" i="2"/>
  <c r="A1104" i="2"/>
  <c r="U1103" i="2"/>
  <c r="N1103" i="2"/>
  <c r="M1103" i="2"/>
  <c r="J1103" i="2"/>
  <c r="I1103" i="2"/>
  <c r="H1103" i="2"/>
  <c r="G1103" i="2"/>
  <c r="F1103" i="2"/>
  <c r="E1103" i="2"/>
  <c r="D1103" i="2"/>
  <c r="C1103" i="2"/>
  <c r="B1103" i="2"/>
  <c r="A1103" i="2"/>
  <c r="U1102" i="2"/>
  <c r="N1102" i="2"/>
  <c r="M1102" i="2"/>
  <c r="J1102" i="2"/>
  <c r="I1102" i="2"/>
  <c r="H1102" i="2"/>
  <c r="G1102" i="2"/>
  <c r="F1102" i="2"/>
  <c r="E1102" i="2"/>
  <c r="D1102" i="2"/>
  <c r="C1102" i="2"/>
  <c r="B1102" i="2"/>
  <c r="A1102" i="2"/>
  <c r="U1101" i="2"/>
  <c r="N1101" i="2"/>
  <c r="M1101" i="2"/>
  <c r="J1101" i="2"/>
  <c r="I1101" i="2"/>
  <c r="H1101" i="2"/>
  <c r="G1101" i="2"/>
  <c r="F1101" i="2"/>
  <c r="E1101" i="2"/>
  <c r="D1101" i="2"/>
  <c r="C1101" i="2"/>
  <c r="B1101" i="2"/>
  <c r="A1101" i="2"/>
  <c r="U1100" i="2"/>
  <c r="N1100" i="2"/>
  <c r="M1100" i="2"/>
  <c r="J1100" i="2"/>
  <c r="I1100" i="2"/>
  <c r="H1100" i="2"/>
  <c r="G1100" i="2"/>
  <c r="F1100" i="2"/>
  <c r="E1100" i="2"/>
  <c r="D1100" i="2"/>
  <c r="C1100" i="2"/>
  <c r="B1100" i="2"/>
  <c r="A1100" i="2"/>
  <c r="U1099" i="2"/>
  <c r="N1099" i="2"/>
  <c r="M1099" i="2"/>
  <c r="J1099" i="2"/>
  <c r="I1099" i="2"/>
  <c r="H1099" i="2"/>
  <c r="G1099" i="2"/>
  <c r="F1099" i="2"/>
  <c r="E1099" i="2"/>
  <c r="D1099" i="2"/>
  <c r="C1099" i="2"/>
  <c r="B1099" i="2"/>
  <c r="A1099" i="2"/>
  <c r="U1098" i="2"/>
  <c r="N1098" i="2"/>
  <c r="M1098" i="2"/>
  <c r="J1098" i="2"/>
  <c r="I1098" i="2"/>
  <c r="H1098" i="2"/>
  <c r="G1098" i="2"/>
  <c r="F1098" i="2"/>
  <c r="E1098" i="2"/>
  <c r="D1098" i="2"/>
  <c r="C1098" i="2"/>
  <c r="B1098" i="2"/>
  <c r="A1098" i="2"/>
  <c r="U1097" i="2"/>
  <c r="N1097" i="2"/>
  <c r="M1097" i="2"/>
  <c r="J1097" i="2"/>
  <c r="I1097" i="2"/>
  <c r="H1097" i="2"/>
  <c r="G1097" i="2"/>
  <c r="F1097" i="2"/>
  <c r="E1097" i="2"/>
  <c r="D1097" i="2"/>
  <c r="C1097" i="2"/>
  <c r="B1097" i="2"/>
  <c r="A1097" i="2"/>
  <c r="U1096" i="2"/>
  <c r="N1096" i="2"/>
  <c r="M1096" i="2"/>
  <c r="J1096" i="2"/>
  <c r="I1096" i="2"/>
  <c r="H1096" i="2"/>
  <c r="G1096" i="2"/>
  <c r="F1096" i="2"/>
  <c r="E1096" i="2"/>
  <c r="D1096" i="2"/>
  <c r="C1096" i="2"/>
  <c r="B1096" i="2"/>
  <c r="A1096" i="2"/>
  <c r="U1095" i="2"/>
  <c r="N1095" i="2"/>
  <c r="M1095" i="2"/>
  <c r="J1095" i="2"/>
  <c r="I1095" i="2"/>
  <c r="H1095" i="2"/>
  <c r="G1095" i="2"/>
  <c r="F1095" i="2"/>
  <c r="E1095" i="2"/>
  <c r="D1095" i="2"/>
  <c r="C1095" i="2"/>
  <c r="B1095" i="2"/>
  <c r="A1095" i="2"/>
  <c r="U1094" i="2"/>
  <c r="N1094" i="2"/>
  <c r="M1094" i="2"/>
  <c r="J1094" i="2"/>
  <c r="I1094" i="2"/>
  <c r="H1094" i="2"/>
  <c r="G1094" i="2"/>
  <c r="F1094" i="2"/>
  <c r="E1094" i="2"/>
  <c r="D1094" i="2"/>
  <c r="C1094" i="2"/>
  <c r="B1094" i="2"/>
  <c r="A1094" i="2"/>
  <c r="U1093" i="2"/>
  <c r="N1093" i="2"/>
  <c r="M1093" i="2"/>
  <c r="J1093" i="2"/>
  <c r="I1093" i="2"/>
  <c r="H1093" i="2"/>
  <c r="G1093" i="2"/>
  <c r="F1093" i="2"/>
  <c r="E1093" i="2"/>
  <c r="D1093" i="2"/>
  <c r="C1093" i="2"/>
  <c r="B1093" i="2"/>
  <c r="A1093" i="2"/>
  <c r="U1092" i="2"/>
  <c r="N1092" i="2"/>
  <c r="M1092" i="2"/>
  <c r="J1092" i="2"/>
  <c r="I1092" i="2"/>
  <c r="H1092" i="2"/>
  <c r="G1092" i="2"/>
  <c r="F1092" i="2"/>
  <c r="E1092" i="2"/>
  <c r="D1092" i="2"/>
  <c r="C1092" i="2"/>
  <c r="B1092" i="2"/>
  <c r="A1092" i="2"/>
  <c r="U1091" i="2"/>
  <c r="N1091" i="2"/>
  <c r="M1091" i="2"/>
  <c r="J1091" i="2"/>
  <c r="I1091" i="2"/>
  <c r="H1091" i="2"/>
  <c r="G1091" i="2"/>
  <c r="F1091" i="2"/>
  <c r="E1091" i="2"/>
  <c r="D1091" i="2"/>
  <c r="C1091" i="2"/>
  <c r="B1091" i="2"/>
  <c r="A1091" i="2"/>
  <c r="U1090" i="2"/>
  <c r="N1090" i="2"/>
  <c r="M1090" i="2"/>
  <c r="J1090" i="2"/>
  <c r="I1090" i="2"/>
  <c r="H1090" i="2"/>
  <c r="G1090" i="2"/>
  <c r="F1090" i="2"/>
  <c r="E1090" i="2"/>
  <c r="D1090" i="2"/>
  <c r="C1090" i="2"/>
  <c r="B1090" i="2"/>
  <c r="A1090" i="2"/>
  <c r="U1089" i="2"/>
  <c r="N1089" i="2"/>
  <c r="M1089" i="2"/>
  <c r="J1089" i="2"/>
  <c r="I1089" i="2"/>
  <c r="H1089" i="2"/>
  <c r="G1089" i="2"/>
  <c r="F1089" i="2"/>
  <c r="E1089" i="2"/>
  <c r="D1089" i="2"/>
  <c r="C1089" i="2"/>
  <c r="B1089" i="2"/>
  <c r="A1089" i="2"/>
  <c r="U1088" i="2"/>
  <c r="N1088" i="2"/>
  <c r="M1088" i="2"/>
  <c r="J1088" i="2"/>
  <c r="I1088" i="2"/>
  <c r="H1088" i="2"/>
  <c r="G1088" i="2"/>
  <c r="F1088" i="2"/>
  <c r="E1088" i="2"/>
  <c r="D1088" i="2"/>
  <c r="C1088" i="2"/>
  <c r="B1088" i="2"/>
  <c r="A1088" i="2"/>
  <c r="U1087" i="2"/>
  <c r="N1087" i="2"/>
  <c r="M1087" i="2"/>
  <c r="J1087" i="2"/>
  <c r="I1087" i="2"/>
  <c r="H1087" i="2"/>
  <c r="G1087" i="2"/>
  <c r="F1087" i="2"/>
  <c r="E1087" i="2"/>
  <c r="D1087" i="2"/>
  <c r="C1087" i="2"/>
  <c r="B1087" i="2"/>
  <c r="A1087" i="2"/>
  <c r="Q1086" i="2"/>
  <c r="U1086" i="2" s="1"/>
  <c r="N1086" i="2"/>
  <c r="M1086" i="2"/>
  <c r="J1086" i="2"/>
  <c r="I1086" i="2"/>
  <c r="H1086" i="2"/>
  <c r="G1086" i="2"/>
  <c r="F1086" i="2"/>
  <c r="E1086" i="2"/>
  <c r="D1086" i="2"/>
  <c r="C1086" i="2"/>
  <c r="B1086" i="2"/>
  <c r="A1086" i="2"/>
  <c r="U1085" i="2"/>
  <c r="N1085" i="2"/>
  <c r="M1085" i="2"/>
  <c r="J1085" i="2"/>
  <c r="I1085" i="2"/>
  <c r="H1085" i="2"/>
  <c r="G1085" i="2"/>
  <c r="F1085" i="2"/>
  <c r="E1085" i="2"/>
  <c r="D1085" i="2"/>
  <c r="C1085" i="2"/>
  <c r="B1085" i="2"/>
  <c r="A1085" i="2"/>
  <c r="U1084" i="2"/>
  <c r="N1084" i="2"/>
  <c r="M1084" i="2"/>
  <c r="J1084" i="2"/>
  <c r="I1084" i="2"/>
  <c r="H1084" i="2"/>
  <c r="G1084" i="2"/>
  <c r="F1084" i="2"/>
  <c r="E1084" i="2"/>
  <c r="D1084" i="2"/>
  <c r="C1084" i="2"/>
  <c r="B1084" i="2"/>
  <c r="A1084" i="2"/>
  <c r="U1083" i="2"/>
  <c r="N1083" i="2"/>
  <c r="M1083" i="2"/>
  <c r="J1083" i="2"/>
  <c r="I1083" i="2"/>
  <c r="H1083" i="2"/>
  <c r="G1083" i="2"/>
  <c r="F1083" i="2"/>
  <c r="E1083" i="2"/>
  <c r="D1083" i="2"/>
  <c r="C1083" i="2"/>
  <c r="B1083" i="2"/>
  <c r="A1083" i="2"/>
  <c r="U1082" i="2"/>
  <c r="N1082" i="2"/>
  <c r="M1082" i="2"/>
  <c r="J1082" i="2"/>
  <c r="I1082" i="2"/>
  <c r="H1082" i="2"/>
  <c r="G1082" i="2"/>
  <c r="F1082" i="2"/>
  <c r="E1082" i="2"/>
  <c r="D1082" i="2"/>
  <c r="C1082" i="2"/>
  <c r="B1082" i="2"/>
  <c r="A1082" i="2"/>
  <c r="U1081" i="2"/>
  <c r="N1081" i="2"/>
  <c r="M1081" i="2"/>
  <c r="J1081" i="2"/>
  <c r="I1081" i="2"/>
  <c r="H1081" i="2"/>
  <c r="G1081" i="2"/>
  <c r="F1081" i="2"/>
  <c r="E1081" i="2"/>
  <c r="D1081" i="2"/>
  <c r="C1081" i="2"/>
  <c r="B1081" i="2"/>
  <c r="A1081" i="2"/>
  <c r="Q1080" i="2"/>
  <c r="U1080" i="2" s="1"/>
  <c r="N1080" i="2"/>
  <c r="M1080" i="2"/>
  <c r="J1080" i="2"/>
  <c r="I1080" i="2"/>
  <c r="H1080" i="2"/>
  <c r="G1080" i="2"/>
  <c r="F1080" i="2"/>
  <c r="E1080" i="2"/>
  <c r="D1080" i="2"/>
  <c r="C1080" i="2"/>
  <c r="B1080" i="2"/>
  <c r="A1080" i="2"/>
  <c r="Q1079" i="2"/>
  <c r="U1079" i="2" s="1"/>
  <c r="N1079" i="2"/>
  <c r="M1079" i="2"/>
  <c r="J1079" i="2"/>
  <c r="I1079" i="2"/>
  <c r="H1079" i="2"/>
  <c r="G1079" i="2"/>
  <c r="F1079" i="2"/>
  <c r="E1079" i="2"/>
  <c r="D1079" i="2"/>
  <c r="C1079" i="2"/>
  <c r="B1079" i="2"/>
  <c r="A1079" i="2"/>
  <c r="U1078" i="2"/>
  <c r="N1078" i="2"/>
  <c r="M1078" i="2"/>
  <c r="J1078" i="2"/>
  <c r="I1078" i="2"/>
  <c r="H1078" i="2"/>
  <c r="G1078" i="2"/>
  <c r="F1078" i="2"/>
  <c r="E1078" i="2"/>
  <c r="D1078" i="2"/>
  <c r="C1078" i="2"/>
  <c r="B1078" i="2"/>
  <c r="A1078" i="2"/>
  <c r="U1077" i="2"/>
  <c r="N1077" i="2"/>
  <c r="M1077" i="2"/>
  <c r="J1077" i="2"/>
  <c r="I1077" i="2"/>
  <c r="H1077" i="2"/>
  <c r="G1077" i="2"/>
  <c r="F1077" i="2"/>
  <c r="E1077" i="2"/>
  <c r="D1077" i="2"/>
  <c r="C1077" i="2"/>
  <c r="B1077" i="2"/>
  <c r="A1077" i="2"/>
  <c r="U1076" i="2"/>
  <c r="N1076" i="2"/>
  <c r="M1076" i="2"/>
  <c r="J1076" i="2"/>
  <c r="I1076" i="2"/>
  <c r="H1076" i="2"/>
  <c r="G1076" i="2"/>
  <c r="F1076" i="2"/>
  <c r="E1076" i="2"/>
  <c r="D1076" i="2"/>
  <c r="C1076" i="2"/>
  <c r="B1076" i="2"/>
  <c r="A1076" i="2"/>
  <c r="Q1075" i="2"/>
  <c r="U1075" i="2" s="1"/>
  <c r="N1075" i="2"/>
  <c r="M1075" i="2"/>
  <c r="J1075" i="2"/>
  <c r="I1075" i="2"/>
  <c r="H1075" i="2"/>
  <c r="G1075" i="2"/>
  <c r="F1075" i="2"/>
  <c r="E1075" i="2"/>
  <c r="D1075" i="2"/>
  <c r="C1075" i="2"/>
  <c r="B1075" i="2"/>
  <c r="A1075" i="2"/>
  <c r="U1074" i="2"/>
  <c r="N1074" i="2"/>
  <c r="M1074" i="2"/>
  <c r="J1074" i="2"/>
  <c r="I1074" i="2"/>
  <c r="H1074" i="2"/>
  <c r="G1074" i="2"/>
  <c r="F1074" i="2"/>
  <c r="E1074" i="2"/>
  <c r="D1074" i="2"/>
  <c r="C1074" i="2"/>
  <c r="B1074" i="2"/>
  <c r="A1074" i="2"/>
  <c r="U1073" i="2"/>
  <c r="N1073" i="2"/>
  <c r="M1073" i="2"/>
  <c r="J1073" i="2"/>
  <c r="I1073" i="2"/>
  <c r="H1073" i="2"/>
  <c r="G1073" i="2"/>
  <c r="F1073" i="2"/>
  <c r="E1073" i="2"/>
  <c r="D1073" i="2"/>
  <c r="C1073" i="2"/>
  <c r="B1073" i="2"/>
  <c r="A1073" i="2"/>
  <c r="U1072" i="2"/>
  <c r="N1072" i="2"/>
  <c r="M1072" i="2"/>
  <c r="J1072" i="2"/>
  <c r="I1072" i="2"/>
  <c r="H1072" i="2"/>
  <c r="G1072" i="2"/>
  <c r="F1072" i="2"/>
  <c r="E1072" i="2"/>
  <c r="D1072" i="2"/>
  <c r="C1072" i="2"/>
  <c r="B1072" i="2"/>
  <c r="A1072" i="2"/>
  <c r="U1071" i="2"/>
  <c r="N1071" i="2"/>
  <c r="M1071" i="2"/>
  <c r="J1071" i="2"/>
  <c r="I1071" i="2"/>
  <c r="H1071" i="2"/>
  <c r="G1071" i="2"/>
  <c r="F1071" i="2"/>
  <c r="E1071" i="2"/>
  <c r="D1071" i="2"/>
  <c r="C1071" i="2"/>
  <c r="B1071" i="2"/>
  <c r="A1071" i="2"/>
  <c r="U1070" i="2"/>
  <c r="N1070" i="2"/>
  <c r="M1070" i="2"/>
  <c r="J1070" i="2"/>
  <c r="I1070" i="2"/>
  <c r="H1070" i="2"/>
  <c r="G1070" i="2"/>
  <c r="F1070" i="2"/>
  <c r="E1070" i="2"/>
  <c r="D1070" i="2"/>
  <c r="C1070" i="2"/>
  <c r="B1070" i="2"/>
  <c r="A1070" i="2"/>
  <c r="U1069" i="2"/>
  <c r="N1069" i="2"/>
  <c r="M1069" i="2"/>
  <c r="J1069" i="2"/>
  <c r="I1069" i="2"/>
  <c r="H1069" i="2"/>
  <c r="G1069" i="2"/>
  <c r="F1069" i="2"/>
  <c r="E1069" i="2"/>
  <c r="D1069" i="2"/>
  <c r="C1069" i="2"/>
  <c r="B1069" i="2"/>
  <c r="A1069" i="2"/>
  <c r="U1068" i="2"/>
  <c r="N1068" i="2"/>
  <c r="M1068" i="2"/>
  <c r="J1068" i="2"/>
  <c r="I1068" i="2"/>
  <c r="H1068" i="2"/>
  <c r="G1068" i="2"/>
  <c r="F1068" i="2"/>
  <c r="E1068" i="2"/>
  <c r="D1068" i="2"/>
  <c r="C1068" i="2"/>
  <c r="B1068" i="2"/>
  <c r="A1068" i="2"/>
  <c r="Q1067" i="2"/>
  <c r="U1067" i="2" s="1"/>
  <c r="N1067" i="2"/>
  <c r="M1067" i="2"/>
  <c r="J1067" i="2"/>
  <c r="I1067" i="2"/>
  <c r="H1067" i="2"/>
  <c r="G1067" i="2"/>
  <c r="F1067" i="2"/>
  <c r="E1067" i="2"/>
  <c r="D1067" i="2"/>
  <c r="C1067" i="2"/>
  <c r="B1067" i="2"/>
  <c r="A1067" i="2"/>
  <c r="U1066" i="2"/>
  <c r="N1066" i="2"/>
  <c r="M1066" i="2"/>
  <c r="J1066" i="2"/>
  <c r="I1066" i="2"/>
  <c r="H1066" i="2"/>
  <c r="G1066" i="2"/>
  <c r="F1066" i="2"/>
  <c r="E1066" i="2"/>
  <c r="D1066" i="2"/>
  <c r="C1066" i="2"/>
  <c r="B1066" i="2"/>
  <c r="A1066" i="2"/>
  <c r="U1065" i="2"/>
  <c r="N1065" i="2"/>
  <c r="M1065" i="2"/>
  <c r="J1065" i="2"/>
  <c r="I1065" i="2"/>
  <c r="H1065" i="2"/>
  <c r="G1065" i="2"/>
  <c r="F1065" i="2"/>
  <c r="E1065" i="2"/>
  <c r="D1065" i="2"/>
  <c r="C1065" i="2"/>
  <c r="B1065" i="2"/>
  <c r="A1065" i="2"/>
  <c r="U1064" i="2"/>
  <c r="N1064" i="2"/>
  <c r="M1064" i="2"/>
  <c r="J1064" i="2"/>
  <c r="I1064" i="2"/>
  <c r="H1064" i="2"/>
  <c r="G1064" i="2"/>
  <c r="F1064" i="2"/>
  <c r="E1064" i="2"/>
  <c r="D1064" i="2"/>
  <c r="C1064" i="2"/>
  <c r="B1064" i="2"/>
  <c r="A1064" i="2"/>
  <c r="U1063" i="2"/>
  <c r="N1063" i="2"/>
  <c r="M1063" i="2"/>
  <c r="J1063" i="2"/>
  <c r="I1063" i="2"/>
  <c r="H1063" i="2"/>
  <c r="G1063" i="2"/>
  <c r="F1063" i="2"/>
  <c r="E1063" i="2"/>
  <c r="D1063" i="2"/>
  <c r="C1063" i="2"/>
  <c r="B1063" i="2"/>
  <c r="A1063" i="2"/>
  <c r="U1062" i="2"/>
  <c r="N1062" i="2"/>
  <c r="M1062" i="2"/>
  <c r="J1062" i="2"/>
  <c r="I1062" i="2"/>
  <c r="H1062" i="2"/>
  <c r="G1062" i="2"/>
  <c r="F1062" i="2"/>
  <c r="E1062" i="2"/>
  <c r="D1062" i="2"/>
  <c r="C1062" i="2"/>
  <c r="B1062" i="2"/>
  <c r="A1062" i="2"/>
  <c r="U1061" i="2"/>
  <c r="N1061" i="2"/>
  <c r="M1061" i="2"/>
  <c r="J1061" i="2"/>
  <c r="I1061" i="2"/>
  <c r="H1061" i="2"/>
  <c r="G1061" i="2"/>
  <c r="F1061" i="2"/>
  <c r="E1061" i="2"/>
  <c r="D1061" i="2"/>
  <c r="C1061" i="2"/>
  <c r="B1061" i="2"/>
  <c r="A1061" i="2"/>
  <c r="U1060" i="2"/>
  <c r="N1060" i="2"/>
  <c r="M1060" i="2"/>
  <c r="J1060" i="2"/>
  <c r="I1060" i="2"/>
  <c r="H1060" i="2"/>
  <c r="G1060" i="2"/>
  <c r="F1060" i="2"/>
  <c r="E1060" i="2"/>
  <c r="D1060" i="2"/>
  <c r="C1060" i="2"/>
  <c r="B1060" i="2"/>
  <c r="A1060" i="2"/>
  <c r="U1059" i="2"/>
  <c r="N1059" i="2"/>
  <c r="M1059" i="2"/>
  <c r="J1059" i="2"/>
  <c r="I1059" i="2"/>
  <c r="H1059" i="2"/>
  <c r="G1059" i="2"/>
  <c r="F1059" i="2"/>
  <c r="E1059" i="2"/>
  <c r="D1059" i="2"/>
  <c r="C1059" i="2"/>
  <c r="B1059" i="2"/>
  <c r="A1059" i="2"/>
  <c r="U1058" i="2"/>
  <c r="N1058" i="2"/>
  <c r="M1058" i="2"/>
  <c r="J1058" i="2"/>
  <c r="I1058" i="2"/>
  <c r="H1058" i="2"/>
  <c r="G1058" i="2"/>
  <c r="F1058" i="2"/>
  <c r="E1058" i="2"/>
  <c r="D1058" i="2"/>
  <c r="C1058" i="2"/>
  <c r="B1058" i="2"/>
  <c r="A1058" i="2"/>
  <c r="U1057" i="2"/>
  <c r="N1057" i="2"/>
  <c r="M1057" i="2"/>
  <c r="J1057" i="2"/>
  <c r="I1057" i="2"/>
  <c r="H1057" i="2"/>
  <c r="G1057" i="2"/>
  <c r="F1057" i="2"/>
  <c r="E1057" i="2"/>
  <c r="D1057" i="2"/>
  <c r="C1057" i="2"/>
  <c r="B1057" i="2"/>
  <c r="A1057" i="2"/>
  <c r="U1056" i="2"/>
  <c r="N1056" i="2"/>
  <c r="M1056" i="2"/>
  <c r="J1056" i="2"/>
  <c r="I1056" i="2"/>
  <c r="H1056" i="2"/>
  <c r="G1056" i="2"/>
  <c r="F1056" i="2"/>
  <c r="E1056" i="2"/>
  <c r="D1056" i="2"/>
  <c r="C1056" i="2"/>
  <c r="B1056" i="2"/>
  <c r="A1056" i="2"/>
  <c r="U1055" i="2"/>
  <c r="N1055" i="2"/>
  <c r="M1055" i="2"/>
  <c r="J1055" i="2"/>
  <c r="I1055" i="2"/>
  <c r="H1055" i="2"/>
  <c r="G1055" i="2"/>
  <c r="F1055" i="2"/>
  <c r="E1055" i="2"/>
  <c r="D1055" i="2"/>
  <c r="C1055" i="2"/>
  <c r="B1055" i="2"/>
  <c r="A1055" i="2"/>
  <c r="U1054" i="2"/>
  <c r="N1054" i="2"/>
  <c r="M1054" i="2"/>
  <c r="J1054" i="2"/>
  <c r="I1054" i="2"/>
  <c r="H1054" i="2"/>
  <c r="G1054" i="2"/>
  <c r="F1054" i="2"/>
  <c r="E1054" i="2"/>
  <c r="D1054" i="2"/>
  <c r="C1054" i="2"/>
  <c r="B1054" i="2"/>
  <c r="A1054" i="2"/>
  <c r="U1053" i="2"/>
  <c r="N1053" i="2"/>
  <c r="M1053" i="2"/>
  <c r="J1053" i="2"/>
  <c r="I1053" i="2"/>
  <c r="H1053" i="2"/>
  <c r="G1053" i="2"/>
  <c r="F1053" i="2"/>
  <c r="E1053" i="2"/>
  <c r="D1053" i="2"/>
  <c r="C1053" i="2"/>
  <c r="B1053" i="2"/>
  <c r="A1053" i="2"/>
  <c r="Q1052" i="2"/>
  <c r="U1052" i="2" s="1"/>
  <c r="N1052" i="2"/>
  <c r="M1052" i="2"/>
  <c r="J1052" i="2"/>
  <c r="I1052" i="2"/>
  <c r="H1052" i="2"/>
  <c r="G1052" i="2"/>
  <c r="F1052" i="2"/>
  <c r="E1052" i="2"/>
  <c r="D1052" i="2"/>
  <c r="C1052" i="2"/>
  <c r="B1052" i="2"/>
  <c r="A1052" i="2"/>
  <c r="U1051" i="2"/>
  <c r="N1051" i="2"/>
  <c r="M1051" i="2"/>
  <c r="J1051" i="2"/>
  <c r="I1051" i="2"/>
  <c r="H1051" i="2"/>
  <c r="G1051" i="2"/>
  <c r="F1051" i="2"/>
  <c r="E1051" i="2"/>
  <c r="D1051" i="2"/>
  <c r="C1051" i="2"/>
  <c r="B1051" i="2"/>
  <c r="A1051" i="2"/>
  <c r="U1050" i="2"/>
  <c r="N1050" i="2"/>
  <c r="M1050" i="2"/>
  <c r="J1050" i="2"/>
  <c r="I1050" i="2"/>
  <c r="H1050" i="2"/>
  <c r="G1050" i="2"/>
  <c r="F1050" i="2"/>
  <c r="E1050" i="2"/>
  <c r="D1050" i="2"/>
  <c r="C1050" i="2"/>
  <c r="B1050" i="2"/>
  <c r="A1050" i="2"/>
  <c r="Q1049" i="2"/>
  <c r="U1049" i="2" s="1"/>
  <c r="N1049" i="2"/>
  <c r="M1049" i="2"/>
  <c r="J1049" i="2"/>
  <c r="I1049" i="2"/>
  <c r="H1049" i="2"/>
  <c r="G1049" i="2"/>
  <c r="F1049" i="2"/>
  <c r="E1049" i="2"/>
  <c r="D1049" i="2"/>
  <c r="C1049" i="2"/>
  <c r="B1049" i="2"/>
  <c r="A1049" i="2"/>
  <c r="U1048" i="2"/>
  <c r="N1048" i="2"/>
  <c r="M1048" i="2"/>
  <c r="J1048" i="2"/>
  <c r="I1048" i="2"/>
  <c r="H1048" i="2"/>
  <c r="G1048" i="2"/>
  <c r="F1048" i="2"/>
  <c r="E1048" i="2"/>
  <c r="D1048" i="2"/>
  <c r="C1048" i="2"/>
  <c r="B1048" i="2"/>
  <c r="A1048" i="2"/>
  <c r="U1047" i="2"/>
  <c r="N1047" i="2"/>
  <c r="M1047" i="2"/>
  <c r="J1047" i="2"/>
  <c r="I1047" i="2"/>
  <c r="H1047" i="2"/>
  <c r="G1047" i="2"/>
  <c r="F1047" i="2"/>
  <c r="E1047" i="2"/>
  <c r="D1047" i="2"/>
  <c r="C1047" i="2"/>
  <c r="B1047" i="2"/>
  <c r="A1047" i="2"/>
  <c r="U1046" i="2"/>
  <c r="N1046" i="2"/>
  <c r="M1046" i="2"/>
  <c r="J1046" i="2"/>
  <c r="I1046" i="2"/>
  <c r="H1046" i="2"/>
  <c r="G1046" i="2"/>
  <c r="F1046" i="2"/>
  <c r="E1046" i="2"/>
  <c r="D1046" i="2"/>
  <c r="C1046" i="2"/>
  <c r="B1046" i="2"/>
  <c r="A1046" i="2"/>
  <c r="U1045" i="2"/>
  <c r="N1045" i="2"/>
  <c r="M1045" i="2"/>
  <c r="J1045" i="2"/>
  <c r="I1045" i="2"/>
  <c r="H1045" i="2"/>
  <c r="G1045" i="2"/>
  <c r="F1045" i="2"/>
  <c r="E1045" i="2"/>
  <c r="D1045" i="2"/>
  <c r="C1045" i="2"/>
  <c r="B1045" i="2"/>
  <c r="A1045" i="2"/>
  <c r="U1044" i="2"/>
  <c r="N1044" i="2"/>
  <c r="M1044" i="2"/>
  <c r="J1044" i="2"/>
  <c r="I1044" i="2"/>
  <c r="H1044" i="2"/>
  <c r="G1044" i="2"/>
  <c r="F1044" i="2"/>
  <c r="E1044" i="2"/>
  <c r="D1044" i="2"/>
  <c r="C1044" i="2"/>
  <c r="B1044" i="2"/>
  <c r="A1044" i="2"/>
  <c r="U1043" i="2"/>
  <c r="N1043" i="2"/>
  <c r="M1043" i="2"/>
  <c r="J1043" i="2"/>
  <c r="I1043" i="2"/>
  <c r="H1043" i="2"/>
  <c r="G1043" i="2"/>
  <c r="F1043" i="2"/>
  <c r="E1043" i="2"/>
  <c r="D1043" i="2"/>
  <c r="C1043" i="2"/>
  <c r="B1043" i="2"/>
  <c r="A1043" i="2"/>
  <c r="U1042" i="2"/>
  <c r="N1042" i="2"/>
  <c r="M1042" i="2"/>
  <c r="J1042" i="2"/>
  <c r="I1042" i="2"/>
  <c r="H1042" i="2"/>
  <c r="G1042" i="2"/>
  <c r="F1042" i="2"/>
  <c r="E1042" i="2"/>
  <c r="D1042" i="2"/>
  <c r="C1042" i="2"/>
  <c r="B1042" i="2"/>
  <c r="A1042" i="2"/>
  <c r="U1041" i="2"/>
  <c r="N1041" i="2"/>
  <c r="M1041" i="2"/>
  <c r="J1041" i="2"/>
  <c r="I1041" i="2"/>
  <c r="H1041" i="2"/>
  <c r="G1041" i="2"/>
  <c r="F1041" i="2"/>
  <c r="E1041" i="2"/>
  <c r="D1041" i="2"/>
  <c r="C1041" i="2"/>
  <c r="B1041" i="2"/>
  <c r="A1041" i="2"/>
  <c r="Q1040" i="2"/>
  <c r="U1040" i="2" s="1"/>
  <c r="N1040" i="2"/>
  <c r="M1040" i="2"/>
  <c r="J1040" i="2"/>
  <c r="I1040" i="2"/>
  <c r="H1040" i="2"/>
  <c r="G1040" i="2"/>
  <c r="F1040" i="2"/>
  <c r="E1040" i="2"/>
  <c r="D1040" i="2"/>
  <c r="C1040" i="2"/>
  <c r="B1040" i="2"/>
  <c r="A1040" i="2"/>
  <c r="U1039" i="2"/>
  <c r="N1039" i="2"/>
  <c r="M1039" i="2"/>
  <c r="J1039" i="2"/>
  <c r="I1039" i="2"/>
  <c r="H1039" i="2"/>
  <c r="G1039" i="2"/>
  <c r="F1039" i="2"/>
  <c r="E1039" i="2"/>
  <c r="D1039" i="2"/>
  <c r="C1039" i="2"/>
  <c r="B1039" i="2"/>
  <c r="A1039" i="2"/>
  <c r="U1038" i="2"/>
  <c r="N1038" i="2"/>
  <c r="M1038" i="2"/>
  <c r="J1038" i="2"/>
  <c r="I1038" i="2"/>
  <c r="H1038" i="2"/>
  <c r="G1038" i="2"/>
  <c r="F1038" i="2"/>
  <c r="E1038" i="2"/>
  <c r="D1038" i="2"/>
  <c r="C1038" i="2"/>
  <c r="B1038" i="2"/>
  <c r="A1038" i="2"/>
  <c r="U1037" i="2"/>
  <c r="N1037" i="2"/>
  <c r="M1037" i="2"/>
  <c r="J1037" i="2"/>
  <c r="I1037" i="2"/>
  <c r="H1037" i="2"/>
  <c r="G1037" i="2"/>
  <c r="F1037" i="2"/>
  <c r="E1037" i="2"/>
  <c r="D1037" i="2"/>
  <c r="C1037" i="2"/>
  <c r="B1037" i="2"/>
  <c r="A1037" i="2"/>
  <c r="U1036" i="2"/>
  <c r="N1036" i="2"/>
  <c r="M1036" i="2"/>
  <c r="J1036" i="2"/>
  <c r="I1036" i="2"/>
  <c r="H1036" i="2"/>
  <c r="G1036" i="2"/>
  <c r="F1036" i="2"/>
  <c r="E1036" i="2"/>
  <c r="D1036" i="2"/>
  <c r="C1036" i="2"/>
  <c r="B1036" i="2"/>
  <c r="A1036" i="2"/>
  <c r="U1035" i="2"/>
  <c r="N1035" i="2"/>
  <c r="M1035" i="2"/>
  <c r="J1035" i="2"/>
  <c r="I1035" i="2"/>
  <c r="H1035" i="2"/>
  <c r="G1035" i="2"/>
  <c r="F1035" i="2"/>
  <c r="E1035" i="2"/>
  <c r="D1035" i="2"/>
  <c r="C1035" i="2"/>
  <c r="B1035" i="2"/>
  <c r="A1035" i="2"/>
  <c r="U1034" i="2"/>
  <c r="N1034" i="2"/>
  <c r="M1034" i="2"/>
  <c r="J1034" i="2"/>
  <c r="I1034" i="2"/>
  <c r="H1034" i="2"/>
  <c r="G1034" i="2"/>
  <c r="F1034" i="2"/>
  <c r="E1034" i="2"/>
  <c r="D1034" i="2"/>
  <c r="C1034" i="2"/>
  <c r="B1034" i="2"/>
  <c r="A1034" i="2"/>
  <c r="U1033" i="2"/>
  <c r="N1033" i="2"/>
  <c r="M1033" i="2"/>
  <c r="J1033" i="2"/>
  <c r="I1033" i="2"/>
  <c r="H1033" i="2"/>
  <c r="G1033" i="2"/>
  <c r="F1033" i="2"/>
  <c r="E1033" i="2"/>
  <c r="D1033" i="2"/>
  <c r="C1033" i="2"/>
  <c r="B1033" i="2"/>
  <c r="A1033" i="2"/>
  <c r="U1032" i="2"/>
  <c r="N1032" i="2"/>
  <c r="M1032" i="2"/>
  <c r="J1032" i="2"/>
  <c r="I1032" i="2"/>
  <c r="H1032" i="2"/>
  <c r="G1032" i="2"/>
  <c r="F1032" i="2"/>
  <c r="E1032" i="2"/>
  <c r="D1032" i="2"/>
  <c r="C1032" i="2"/>
  <c r="B1032" i="2"/>
  <c r="A1032" i="2"/>
  <c r="U1031" i="2"/>
  <c r="N1031" i="2"/>
  <c r="M1031" i="2"/>
  <c r="J1031" i="2"/>
  <c r="I1031" i="2"/>
  <c r="H1031" i="2"/>
  <c r="G1031" i="2"/>
  <c r="F1031" i="2"/>
  <c r="E1031" i="2"/>
  <c r="D1031" i="2"/>
  <c r="C1031" i="2"/>
  <c r="B1031" i="2"/>
  <c r="A1031" i="2"/>
  <c r="U1030" i="2"/>
  <c r="N1030" i="2"/>
  <c r="M1030" i="2"/>
  <c r="J1030" i="2"/>
  <c r="I1030" i="2"/>
  <c r="H1030" i="2"/>
  <c r="G1030" i="2"/>
  <c r="F1030" i="2"/>
  <c r="E1030" i="2"/>
  <c r="D1030" i="2"/>
  <c r="C1030" i="2"/>
  <c r="B1030" i="2"/>
  <c r="A1030" i="2"/>
  <c r="U1029" i="2"/>
  <c r="N1029" i="2"/>
  <c r="M1029" i="2"/>
  <c r="J1029" i="2"/>
  <c r="I1029" i="2"/>
  <c r="H1029" i="2"/>
  <c r="G1029" i="2"/>
  <c r="F1029" i="2"/>
  <c r="E1029" i="2"/>
  <c r="D1029" i="2"/>
  <c r="C1029" i="2"/>
  <c r="B1029" i="2"/>
  <c r="A1029" i="2"/>
  <c r="U1028" i="2"/>
  <c r="N1028" i="2"/>
  <c r="M1028" i="2"/>
  <c r="J1028" i="2"/>
  <c r="I1028" i="2"/>
  <c r="H1028" i="2"/>
  <c r="G1028" i="2"/>
  <c r="F1028" i="2"/>
  <c r="E1028" i="2"/>
  <c r="D1028" i="2"/>
  <c r="C1028" i="2"/>
  <c r="B1028" i="2"/>
  <c r="A1028" i="2"/>
  <c r="U1027" i="2"/>
  <c r="N1027" i="2"/>
  <c r="M1027" i="2"/>
  <c r="J1027" i="2"/>
  <c r="I1027" i="2"/>
  <c r="H1027" i="2"/>
  <c r="G1027" i="2"/>
  <c r="F1027" i="2"/>
  <c r="E1027" i="2"/>
  <c r="D1027" i="2"/>
  <c r="C1027" i="2"/>
  <c r="B1027" i="2"/>
  <c r="A1027" i="2"/>
  <c r="U1026" i="2"/>
  <c r="N1026" i="2"/>
  <c r="M1026" i="2"/>
  <c r="J1026" i="2"/>
  <c r="I1026" i="2"/>
  <c r="H1026" i="2"/>
  <c r="G1026" i="2"/>
  <c r="F1026" i="2"/>
  <c r="E1026" i="2"/>
  <c r="D1026" i="2"/>
  <c r="C1026" i="2"/>
  <c r="B1026" i="2"/>
  <c r="A1026" i="2"/>
  <c r="U1025" i="2"/>
  <c r="N1025" i="2"/>
  <c r="M1025" i="2"/>
  <c r="J1025" i="2"/>
  <c r="I1025" i="2"/>
  <c r="H1025" i="2"/>
  <c r="G1025" i="2"/>
  <c r="F1025" i="2"/>
  <c r="E1025" i="2"/>
  <c r="D1025" i="2"/>
  <c r="C1025" i="2"/>
  <c r="B1025" i="2"/>
  <c r="A1025" i="2"/>
  <c r="U1024" i="2"/>
  <c r="N1024" i="2"/>
  <c r="M1024" i="2"/>
  <c r="J1024" i="2"/>
  <c r="I1024" i="2"/>
  <c r="H1024" i="2"/>
  <c r="G1024" i="2"/>
  <c r="F1024" i="2"/>
  <c r="E1024" i="2"/>
  <c r="D1024" i="2"/>
  <c r="C1024" i="2"/>
  <c r="B1024" i="2"/>
  <c r="A1024" i="2"/>
  <c r="U1023" i="2"/>
  <c r="N1023" i="2"/>
  <c r="M1023" i="2"/>
  <c r="J1023" i="2"/>
  <c r="I1023" i="2"/>
  <c r="H1023" i="2"/>
  <c r="G1023" i="2"/>
  <c r="F1023" i="2"/>
  <c r="E1023" i="2"/>
  <c r="D1023" i="2"/>
  <c r="C1023" i="2"/>
  <c r="B1023" i="2"/>
  <c r="A1023" i="2"/>
  <c r="U1022" i="2"/>
  <c r="N1022" i="2"/>
  <c r="M1022" i="2"/>
  <c r="J1022" i="2"/>
  <c r="I1022" i="2"/>
  <c r="H1022" i="2"/>
  <c r="G1022" i="2"/>
  <c r="F1022" i="2"/>
  <c r="E1022" i="2"/>
  <c r="D1022" i="2"/>
  <c r="C1022" i="2"/>
  <c r="B1022" i="2"/>
  <c r="A1022" i="2"/>
  <c r="U1021" i="2"/>
  <c r="N1021" i="2"/>
  <c r="M1021" i="2"/>
  <c r="J1021" i="2"/>
  <c r="I1021" i="2"/>
  <c r="H1021" i="2"/>
  <c r="G1021" i="2"/>
  <c r="F1021" i="2"/>
  <c r="E1021" i="2"/>
  <c r="D1021" i="2"/>
  <c r="C1021" i="2"/>
  <c r="B1021" i="2"/>
  <c r="A1021" i="2"/>
  <c r="U1020" i="2"/>
  <c r="N1020" i="2"/>
  <c r="M1020" i="2"/>
  <c r="J1020" i="2"/>
  <c r="I1020" i="2"/>
  <c r="H1020" i="2"/>
  <c r="G1020" i="2"/>
  <c r="F1020" i="2"/>
  <c r="E1020" i="2"/>
  <c r="D1020" i="2"/>
  <c r="C1020" i="2"/>
  <c r="B1020" i="2"/>
  <c r="A1020" i="2"/>
  <c r="U1019" i="2"/>
  <c r="N1019" i="2"/>
  <c r="M1019" i="2"/>
  <c r="J1019" i="2"/>
  <c r="I1019" i="2"/>
  <c r="H1019" i="2"/>
  <c r="G1019" i="2"/>
  <c r="F1019" i="2"/>
  <c r="E1019" i="2"/>
  <c r="D1019" i="2"/>
  <c r="C1019" i="2"/>
  <c r="B1019" i="2"/>
  <c r="A1019" i="2"/>
  <c r="U1018" i="2"/>
  <c r="N1018" i="2"/>
  <c r="M1018" i="2"/>
  <c r="J1018" i="2"/>
  <c r="I1018" i="2"/>
  <c r="H1018" i="2"/>
  <c r="G1018" i="2"/>
  <c r="F1018" i="2"/>
  <c r="E1018" i="2"/>
  <c r="D1018" i="2"/>
  <c r="C1018" i="2"/>
  <c r="B1018" i="2"/>
  <c r="A1018" i="2"/>
  <c r="U1017" i="2"/>
  <c r="N1017" i="2"/>
  <c r="M1017" i="2"/>
  <c r="J1017" i="2"/>
  <c r="I1017" i="2"/>
  <c r="H1017" i="2"/>
  <c r="G1017" i="2"/>
  <c r="F1017" i="2"/>
  <c r="E1017" i="2"/>
  <c r="D1017" i="2"/>
  <c r="C1017" i="2"/>
  <c r="B1017" i="2"/>
  <c r="A1017" i="2"/>
  <c r="U1016" i="2"/>
  <c r="N1016" i="2"/>
  <c r="M1016" i="2"/>
  <c r="J1016" i="2"/>
  <c r="I1016" i="2"/>
  <c r="H1016" i="2"/>
  <c r="G1016" i="2"/>
  <c r="F1016" i="2"/>
  <c r="E1016" i="2"/>
  <c r="D1016" i="2"/>
  <c r="C1016" i="2"/>
  <c r="B1016" i="2"/>
  <c r="A1016" i="2"/>
  <c r="U1015" i="2"/>
  <c r="N1015" i="2"/>
  <c r="M1015" i="2"/>
  <c r="J1015" i="2"/>
  <c r="I1015" i="2"/>
  <c r="H1015" i="2"/>
  <c r="G1015" i="2"/>
  <c r="F1015" i="2"/>
  <c r="E1015" i="2"/>
  <c r="D1015" i="2"/>
  <c r="C1015" i="2"/>
  <c r="B1015" i="2"/>
  <c r="A1015" i="2"/>
  <c r="U1014" i="2"/>
  <c r="N1014" i="2"/>
  <c r="M1014" i="2"/>
  <c r="J1014" i="2"/>
  <c r="I1014" i="2"/>
  <c r="H1014" i="2"/>
  <c r="G1014" i="2"/>
  <c r="F1014" i="2"/>
  <c r="E1014" i="2"/>
  <c r="D1014" i="2"/>
  <c r="C1014" i="2"/>
  <c r="B1014" i="2"/>
  <c r="A1014" i="2"/>
  <c r="U1013" i="2"/>
  <c r="N1013" i="2"/>
  <c r="M1013" i="2"/>
  <c r="J1013" i="2"/>
  <c r="I1013" i="2"/>
  <c r="H1013" i="2"/>
  <c r="G1013" i="2"/>
  <c r="F1013" i="2"/>
  <c r="E1013" i="2"/>
  <c r="D1013" i="2"/>
  <c r="C1013" i="2"/>
  <c r="B1013" i="2"/>
  <c r="A1013" i="2"/>
  <c r="U1012" i="2"/>
  <c r="N1012" i="2"/>
  <c r="M1012" i="2"/>
  <c r="J1012" i="2"/>
  <c r="I1012" i="2"/>
  <c r="H1012" i="2"/>
  <c r="G1012" i="2"/>
  <c r="F1012" i="2"/>
  <c r="E1012" i="2"/>
  <c r="D1012" i="2"/>
  <c r="C1012" i="2"/>
  <c r="B1012" i="2"/>
  <c r="A1012" i="2"/>
  <c r="U1011" i="2"/>
  <c r="N1011" i="2"/>
  <c r="M1011" i="2"/>
  <c r="J1011" i="2"/>
  <c r="I1011" i="2"/>
  <c r="H1011" i="2"/>
  <c r="G1011" i="2"/>
  <c r="F1011" i="2"/>
  <c r="E1011" i="2"/>
  <c r="D1011" i="2"/>
  <c r="C1011" i="2"/>
  <c r="B1011" i="2"/>
  <c r="A1011" i="2"/>
  <c r="U1010" i="2"/>
  <c r="N1010" i="2"/>
  <c r="M1010" i="2"/>
  <c r="J1010" i="2"/>
  <c r="I1010" i="2"/>
  <c r="H1010" i="2"/>
  <c r="G1010" i="2"/>
  <c r="F1010" i="2"/>
  <c r="E1010" i="2"/>
  <c r="D1010" i="2"/>
  <c r="C1010" i="2"/>
  <c r="B1010" i="2"/>
  <c r="A1010" i="2"/>
  <c r="U1009" i="2"/>
  <c r="N1009" i="2"/>
  <c r="M1009" i="2"/>
  <c r="J1009" i="2"/>
  <c r="I1009" i="2"/>
  <c r="H1009" i="2"/>
  <c r="G1009" i="2"/>
  <c r="F1009" i="2"/>
  <c r="E1009" i="2"/>
  <c r="D1009" i="2"/>
  <c r="C1009" i="2"/>
  <c r="B1009" i="2"/>
  <c r="A1009" i="2"/>
  <c r="U1008" i="2"/>
  <c r="N1008" i="2"/>
  <c r="M1008" i="2"/>
  <c r="J1008" i="2"/>
  <c r="I1008" i="2"/>
  <c r="H1008" i="2"/>
  <c r="G1008" i="2"/>
  <c r="F1008" i="2"/>
  <c r="E1008" i="2"/>
  <c r="D1008" i="2"/>
  <c r="C1008" i="2"/>
  <c r="B1008" i="2"/>
  <c r="A1008" i="2"/>
  <c r="U1007" i="2"/>
  <c r="N1007" i="2"/>
  <c r="M1007" i="2"/>
  <c r="J1007" i="2"/>
  <c r="I1007" i="2"/>
  <c r="H1007" i="2"/>
  <c r="G1007" i="2"/>
  <c r="F1007" i="2"/>
  <c r="E1007" i="2"/>
  <c r="D1007" i="2"/>
  <c r="C1007" i="2"/>
  <c r="B1007" i="2"/>
  <c r="A1007" i="2"/>
  <c r="U1006" i="2"/>
  <c r="N1006" i="2"/>
  <c r="M1006" i="2"/>
  <c r="J1006" i="2"/>
  <c r="I1006" i="2"/>
  <c r="H1006" i="2"/>
  <c r="G1006" i="2"/>
  <c r="F1006" i="2"/>
  <c r="E1006" i="2"/>
  <c r="D1006" i="2"/>
  <c r="C1006" i="2"/>
  <c r="B1006" i="2"/>
  <c r="A1006" i="2"/>
  <c r="U1005" i="2"/>
  <c r="N1005" i="2"/>
  <c r="M1005" i="2"/>
  <c r="J1005" i="2"/>
  <c r="I1005" i="2"/>
  <c r="H1005" i="2"/>
  <c r="G1005" i="2"/>
  <c r="F1005" i="2"/>
  <c r="E1005" i="2"/>
  <c r="D1005" i="2"/>
  <c r="C1005" i="2"/>
  <c r="B1005" i="2"/>
  <c r="A1005" i="2"/>
  <c r="U1004" i="2"/>
  <c r="N1004" i="2"/>
  <c r="M1004" i="2"/>
  <c r="J1004" i="2"/>
  <c r="I1004" i="2"/>
  <c r="H1004" i="2"/>
  <c r="G1004" i="2"/>
  <c r="F1004" i="2"/>
  <c r="E1004" i="2"/>
  <c r="D1004" i="2"/>
  <c r="C1004" i="2"/>
  <c r="B1004" i="2"/>
  <c r="A1004" i="2"/>
  <c r="U1003" i="2"/>
  <c r="N1003" i="2"/>
  <c r="M1003" i="2"/>
  <c r="J1003" i="2"/>
  <c r="I1003" i="2"/>
  <c r="H1003" i="2"/>
  <c r="G1003" i="2"/>
  <c r="F1003" i="2"/>
  <c r="E1003" i="2"/>
  <c r="D1003" i="2"/>
  <c r="C1003" i="2"/>
  <c r="B1003" i="2"/>
  <c r="A1003" i="2"/>
  <c r="U1002" i="2"/>
  <c r="N1002" i="2"/>
  <c r="M1002" i="2"/>
  <c r="J1002" i="2"/>
  <c r="I1002" i="2"/>
  <c r="H1002" i="2"/>
  <c r="G1002" i="2"/>
  <c r="F1002" i="2"/>
  <c r="E1002" i="2"/>
  <c r="D1002" i="2"/>
  <c r="C1002" i="2"/>
  <c r="B1002" i="2"/>
  <c r="A1002" i="2"/>
  <c r="U1001" i="2"/>
  <c r="N1001" i="2"/>
  <c r="M1001" i="2"/>
  <c r="J1001" i="2"/>
  <c r="I1001" i="2"/>
  <c r="H1001" i="2"/>
  <c r="G1001" i="2"/>
  <c r="F1001" i="2"/>
  <c r="E1001" i="2"/>
  <c r="D1001" i="2"/>
  <c r="C1001" i="2"/>
  <c r="B1001" i="2"/>
  <c r="A1001" i="2"/>
  <c r="U1000" i="2"/>
  <c r="N1000" i="2"/>
  <c r="M1000" i="2"/>
  <c r="J1000" i="2"/>
  <c r="I1000" i="2"/>
  <c r="H1000" i="2"/>
  <c r="G1000" i="2"/>
  <c r="F1000" i="2"/>
  <c r="E1000" i="2"/>
  <c r="D1000" i="2"/>
  <c r="C1000" i="2"/>
  <c r="B1000" i="2"/>
  <c r="A1000" i="2"/>
  <c r="U999" i="2"/>
  <c r="N999" i="2"/>
  <c r="M999" i="2"/>
  <c r="J999" i="2"/>
  <c r="I999" i="2"/>
  <c r="H999" i="2"/>
  <c r="G999" i="2"/>
  <c r="F999" i="2"/>
  <c r="E999" i="2"/>
  <c r="D999" i="2"/>
  <c r="C999" i="2"/>
  <c r="B999" i="2"/>
  <c r="A999" i="2"/>
  <c r="U998" i="2"/>
  <c r="N998" i="2"/>
  <c r="M998" i="2"/>
  <c r="J998" i="2"/>
  <c r="I998" i="2"/>
  <c r="H998" i="2"/>
  <c r="G998" i="2"/>
  <c r="F998" i="2"/>
  <c r="E998" i="2"/>
  <c r="D998" i="2"/>
  <c r="C998" i="2"/>
  <c r="B998" i="2"/>
  <c r="A998" i="2"/>
  <c r="U997" i="2"/>
  <c r="N997" i="2"/>
  <c r="M997" i="2"/>
  <c r="J997" i="2"/>
  <c r="I997" i="2"/>
  <c r="H997" i="2"/>
  <c r="G997" i="2"/>
  <c r="F997" i="2"/>
  <c r="E997" i="2"/>
  <c r="D997" i="2"/>
  <c r="C997" i="2"/>
  <c r="B997" i="2"/>
  <c r="A997" i="2"/>
  <c r="U996" i="2"/>
  <c r="N996" i="2"/>
  <c r="M996" i="2"/>
  <c r="J996" i="2"/>
  <c r="I996" i="2"/>
  <c r="H996" i="2"/>
  <c r="G996" i="2"/>
  <c r="F996" i="2"/>
  <c r="E996" i="2"/>
  <c r="D996" i="2"/>
  <c r="C996" i="2"/>
  <c r="B996" i="2"/>
  <c r="A996" i="2"/>
  <c r="U995" i="2"/>
  <c r="N995" i="2"/>
  <c r="M995" i="2"/>
  <c r="J995" i="2"/>
  <c r="I995" i="2"/>
  <c r="H995" i="2"/>
  <c r="G995" i="2"/>
  <c r="F995" i="2"/>
  <c r="E995" i="2"/>
  <c r="D995" i="2"/>
  <c r="C995" i="2"/>
  <c r="B995" i="2"/>
  <c r="A995" i="2"/>
  <c r="U994" i="2"/>
  <c r="N994" i="2"/>
  <c r="M994" i="2"/>
  <c r="J994" i="2"/>
  <c r="I994" i="2"/>
  <c r="H994" i="2"/>
  <c r="G994" i="2"/>
  <c r="F994" i="2"/>
  <c r="E994" i="2"/>
  <c r="D994" i="2"/>
  <c r="C994" i="2"/>
  <c r="B994" i="2"/>
  <c r="A994" i="2"/>
  <c r="U993" i="2"/>
  <c r="N993" i="2"/>
  <c r="M993" i="2"/>
  <c r="J993" i="2"/>
  <c r="I993" i="2"/>
  <c r="H993" i="2"/>
  <c r="G993" i="2"/>
  <c r="F993" i="2"/>
  <c r="E993" i="2"/>
  <c r="D993" i="2"/>
  <c r="C993" i="2"/>
  <c r="B993" i="2"/>
  <c r="A993" i="2"/>
  <c r="U992" i="2"/>
  <c r="N992" i="2"/>
  <c r="M992" i="2"/>
  <c r="J992" i="2"/>
  <c r="I992" i="2"/>
  <c r="H992" i="2"/>
  <c r="G992" i="2"/>
  <c r="F992" i="2"/>
  <c r="E992" i="2"/>
  <c r="D992" i="2"/>
  <c r="C992" i="2"/>
  <c r="B992" i="2"/>
  <c r="A992" i="2"/>
  <c r="U991" i="2"/>
  <c r="N991" i="2"/>
  <c r="M991" i="2"/>
  <c r="J991" i="2"/>
  <c r="I991" i="2"/>
  <c r="H991" i="2"/>
  <c r="G991" i="2"/>
  <c r="F991" i="2"/>
  <c r="E991" i="2"/>
  <c r="D991" i="2"/>
  <c r="C991" i="2"/>
  <c r="B991" i="2"/>
  <c r="A991" i="2"/>
  <c r="U990" i="2"/>
  <c r="N990" i="2"/>
  <c r="M990" i="2"/>
  <c r="J990" i="2"/>
  <c r="I990" i="2"/>
  <c r="H990" i="2"/>
  <c r="G990" i="2"/>
  <c r="F990" i="2"/>
  <c r="E990" i="2"/>
  <c r="D990" i="2"/>
  <c r="C990" i="2"/>
  <c r="B990" i="2"/>
  <c r="A990" i="2"/>
  <c r="U989" i="2"/>
  <c r="N989" i="2"/>
  <c r="M989" i="2"/>
  <c r="J989" i="2"/>
  <c r="I989" i="2"/>
  <c r="H989" i="2"/>
  <c r="G989" i="2"/>
  <c r="F989" i="2"/>
  <c r="E989" i="2"/>
  <c r="D989" i="2"/>
  <c r="C989" i="2"/>
  <c r="B989" i="2"/>
  <c r="A989" i="2"/>
  <c r="U988" i="2"/>
  <c r="N988" i="2"/>
  <c r="M988" i="2"/>
  <c r="J988" i="2"/>
  <c r="I988" i="2"/>
  <c r="H988" i="2"/>
  <c r="G988" i="2"/>
  <c r="F988" i="2"/>
  <c r="E988" i="2"/>
  <c r="D988" i="2"/>
  <c r="C988" i="2"/>
  <c r="B988" i="2"/>
  <c r="A988" i="2"/>
  <c r="U987" i="2"/>
  <c r="N987" i="2"/>
  <c r="M987" i="2"/>
  <c r="J987" i="2"/>
  <c r="I987" i="2"/>
  <c r="H987" i="2"/>
  <c r="G987" i="2"/>
  <c r="F987" i="2"/>
  <c r="E987" i="2"/>
  <c r="D987" i="2"/>
  <c r="C987" i="2"/>
  <c r="B987" i="2"/>
  <c r="A987" i="2"/>
  <c r="U986" i="2"/>
  <c r="N986" i="2"/>
  <c r="M986" i="2"/>
  <c r="J986" i="2"/>
  <c r="I986" i="2"/>
  <c r="H986" i="2"/>
  <c r="G986" i="2"/>
  <c r="F986" i="2"/>
  <c r="E986" i="2"/>
  <c r="D986" i="2"/>
  <c r="C986" i="2"/>
  <c r="B986" i="2"/>
  <c r="A986" i="2"/>
  <c r="U985" i="2"/>
  <c r="N985" i="2"/>
  <c r="M985" i="2"/>
  <c r="J985" i="2"/>
  <c r="I985" i="2"/>
  <c r="H985" i="2"/>
  <c r="G985" i="2"/>
  <c r="F985" i="2"/>
  <c r="E985" i="2"/>
  <c r="D985" i="2"/>
  <c r="C985" i="2"/>
  <c r="B985" i="2"/>
  <c r="A985" i="2"/>
  <c r="U984" i="2"/>
  <c r="N984" i="2"/>
  <c r="M984" i="2"/>
  <c r="J984" i="2"/>
  <c r="I984" i="2"/>
  <c r="H984" i="2"/>
  <c r="G984" i="2"/>
  <c r="F984" i="2"/>
  <c r="E984" i="2"/>
  <c r="D984" i="2"/>
  <c r="C984" i="2"/>
  <c r="B984" i="2"/>
  <c r="A984" i="2"/>
  <c r="U983" i="2"/>
  <c r="N983" i="2"/>
  <c r="M983" i="2"/>
  <c r="J983" i="2"/>
  <c r="I983" i="2"/>
  <c r="H983" i="2"/>
  <c r="G983" i="2"/>
  <c r="F983" i="2"/>
  <c r="E983" i="2"/>
  <c r="D983" i="2"/>
  <c r="C983" i="2"/>
  <c r="B983" i="2"/>
  <c r="A983" i="2"/>
  <c r="U982" i="2"/>
  <c r="N982" i="2"/>
  <c r="M982" i="2"/>
  <c r="J982" i="2"/>
  <c r="I982" i="2"/>
  <c r="H982" i="2"/>
  <c r="G982" i="2"/>
  <c r="F982" i="2"/>
  <c r="E982" i="2"/>
  <c r="D982" i="2"/>
  <c r="C982" i="2"/>
  <c r="B982" i="2"/>
  <c r="A982" i="2"/>
  <c r="U981" i="2"/>
  <c r="N981" i="2"/>
  <c r="M981" i="2"/>
  <c r="J981" i="2"/>
  <c r="I981" i="2"/>
  <c r="H981" i="2"/>
  <c r="G981" i="2"/>
  <c r="F981" i="2"/>
  <c r="E981" i="2"/>
  <c r="D981" i="2"/>
  <c r="C981" i="2"/>
  <c r="B981" i="2"/>
  <c r="A981" i="2"/>
  <c r="U980" i="2"/>
  <c r="N980" i="2"/>
  <c r="M980" i="2"/>
  <c r="J980" i="2"/>
  <c r="I980" i="2"/>
  <c r="H980" i="2"/>
  <c r="G980" i="2"/>
  <c r="F980" i="2"/>
  <c r="E980" i="2"/>
  <c r="D980" i="2"/>
  <c r="C980" i="2"/>
  <c r="B980" i="2"/>
  <c r="A980" i="2"/>
  <c r="U979" i="2"/>
  <c r="N979" i="2"/>
  <c r="M979" i="2"/>
  <c r="J979" i="2"/>
  <c r="I979" i="2"/>
  <c r="H979" i="2"/>
  <c r="G979" i="2"/>
  <c r="F979" i="2"/>
  <c r="E979" i="2"/>
  <c r="D979" i="2"/>
  <c r="C979" i="2"/>
  <c r="B979" i="2"/>
  <c r="A979" i="2"/>
  <c r="U978" i="2"/>
  <c r="N978" i="2"/>
  <c r="M978" i="2"/>
  <c r="J978" i="2"/>
  <c r="I978" i="2"/>
  <c r="H978" i="2"/>
  <c r="G978" i="2"/>
  <c r="F978" i="2"/>
  <c r="E978" i="2"/>
  <c r="D978" i="2"/>
  <c r="C978" i="2"/>
  <c r="B978" i="2"/>
  <c r="A978" i="2"/>
  <c r="U977" i="2"/>
  <c r="N977" i="2"/>
  <c r="M977" i="2"/>
  <c r="J977" i="2"/>
  <c r="I977" i="2"/>
  <c r="H977" i="2"/>
  <c r="G977" i="2"/>
  <c r="F977" i="2"/>
  <c r="E977" i="2"/>
  <c r="D977" i="2"/>
  <c r="C977" i="2"/>
  <c r="B977" i="2"/>
  <c r="A977" i="2"/>
  <c r="U976" i="2"/>
  <c r="N976" i="2"/>
  <c r="M976" i="2"/>
  <c r="J976" i="2"/>
  <c r="I976" i="2"/>
  <c r="H976" i="2"/>
  <c r="G976" i="2"/>
  <c r="F976" i="2"/>
  <c r="E976" i="2"/>
  <c r="D976" i="2"/>
  <c r="C976" i="2"/>
  <c r="B976" i="2"/>
  <c r="A976" i="2"/>
  <c r="U975" i="2"/>
  <c r="N975" i="2"/>
  <c r="M975" i="2"/>
  <c r="J975" i="2"/>
  <c r="I975" i="2"/>
  <c r="H975" i="2"/>
  <c r="G975" i="2"/>
  <c r="F975" i="2"/>
  <c r="E975" i="2"/>
  <c r="D975" i="2"/>
  <c r="C975" i="2"/>
  <c r="B975" i="2"/>
  <c r="A975" i="2"/>
  <c r="U974" i="2"/>
  <c r="N974" i="2"/>
  <c r="M974" i="2"/>
  <c r="J974" i="2"/>
  <c r="I974" i="2"/>
  <c r="H974" i="2"/>
  <c r="G974" i="2"/>
  <c r="F974" i="2"/>
  <c r="E974" i="2"/>
  <c r="D974" i="2"/>
  <c r="C974" i="2"/>
  <c r="B974" i="2"/>
  <c r="A974" i="2"/>
  <c r="U973" i="2"/>
  <c r="N973" i="2"/>
  <c r="M973" i="2"/>
  <c r="J973" i="2"/>
  <c r="I973" i="2"/>
  <c r="H973" i="2"/>
  <c r="G973" i="2"/>
  <c r="F973" i="2"/>
  <c r="E973" i="2"/>
  <c r="D973" i="2"/>
  <c r="C973" i="2"/>
  <c r="B973" i="2"/>
  <c r="A973" i="2"/>
  <c r="U972" i="2"/>
  <c r="N972" i="2"/>
  <c r="M972" i="2"/>
  <c r="J972" i="2"/>
  <c r="I972" i="2"/>
  <c r="H972" i="2"/>
  <c r="G972" i="2"/>
  <c r="F972" i="2"/>
  <c r="E972" i="2"/>
  <c r="D972" i="2"/>
  <c r="C972" i="2"/>
  <c r="B972" i="2"/>
  <c r="A972" i="2"/>
  <c r="U971" i="2"/>
  <c r="N971" i="2"/>
  <c r="M971" i="2"/>
  <c r="J971" i="2"/>
  <c r="I971" i="2"/>
  <c r="H971" i="2"/>
  <c r="G971" i="2"/>
  <c r="F971" i="2"/>
  <c r="E971" i="2"/>
  <c r="D971" i="2"/>
  <c r="C971" i="2"/>
  <c r="B971" i="2"/>
  <c r="A971" i="2"/>
  <c r="U970" i="2"/>
  <c r="N970" i="2"/>
  <c r="M970" i="2"/>
  <c r="J970" i="2"/>
  <c r="I970" i="2"/>
  <c r="H970" i="2"/>
  <c r="G970" i="2"/>
  <c r="F970" i="2"/>
  <c r="E970" i="2"/>
  <c r="D970" i="2"/>
  <c r="C970" i="2"/>
  <c r="B970" i="2"/>
  <c r="A970" i="2"/>
  <c r="U969" i="2"/>
  <c r="N969" i="2"/>
  <c r="M969" i="2"/>
  <c r="J969" i="2"/>
  <c r="I969" i="2"/>
  <c r="H969" i="2"/>
  <c r="G969" i="2"/>
  <c r="F969" i="2"/>
  <c r="E969" i="2"/>
  <c r="D969" i="2"/>
  <c r="C969" i="2"/>
  <c r="B969" i="2"/>
  <c r="A969" i="2"/>
  <c r="U968" i="2"/>
  <c r="N968" i="2"/>
  <c r="M968" i="2"/>
  <c r="J968" i="2"/>
  <c r="I968" i="2"/>
  <c r="H968" i="2"/>
  <c r="G968" i="2"/>
  <c r="F968" i="2"/>
  <c r="E968" i="2"/>
  <c r="D968" i="2"/>
  <c r="C968" i="2"/>
  <c r="B968" i="2"/>
  <c r="A968" i="2"/>
  <c r="U967" i="2"/>
  <c r="N967" i="2"/>
  <c r="M967" i="2"/>
  <c r="J967" i="2"/>
  <c r="I967" i="2"/>
  <c r="H967" i="2"/>
  <c r="G967" i="2"/>
  <c r="F967" i="2"/>
  <c r="E967" i="2"/>
  <c r="D967" i="2"/>
  <c r="C967" i="2"/>
  <c r="B967" i="2"/>
  <c r="A967" i="2"/>
  <c r="U966" i="2"/>
  <c r="N966" i="2"/>
  <c r="M966" i="2"/>
  <c r="J966" i="2"/>
  <c r="I966" i="2"/>
  <c r="H966" i="2"/>
  <c r="G966" i="2"/>
  <c r="F966" i="2"/>
  <c r="E966" i="2"/>
  <c r="D966" i="2"/>
  <c r="C966" i="2"/>
  <c r="B966" i="2"/>
  <c r="A966" i="2"/>
  <c r="U965" i="2"/>
  <c r="N965" i="2"/>
  <c r="M965" i="2"/>
  <c r="J965" i="2"/>
  <c r="I965" i="2"/>
  <c r="H965" i="2"/>
  <c r="G965" i="2"/>
  <c r="F965" i="2"/>
  <c r="E965" i="2"/>
  <c r="D965" i="2"/>
  <c r="C965" i="2"/>
  <c r="B965" i="2"/>
  <c r="A965" i="2"/>
  <c r="U964" i="2"/>
  <c r="N964" i="2"/>
  <c r="M964" i="2"/>
  <c r="J964" i="2"/>
  <c r="I964" i="2"/>
  <c r="H964" i="2"/>
  <c r="G964" i="2"/>
  <c r="F964" i="2"/>
  <c r="E964" i="2"/>
  <c r="D964" i="2"/>
  <c r="C964" i="2"/>
  <c r="B964" i="2"/>
  <c r="A964" i="2"/>
  <c r="U963" i="2"/>
  <c r="N963" i="2"/>
  <c r="M963" i="2"/>
  <c r="J963" i="2"/>
  <c r="I963" i="2"/>
  <c r="H963" i="2"/>
  <c r="G963" i="2"/>
  <c r="F963" i="2"/>
  <c r="E963" i="2"/>
  <c r="D963" i="2"/>
  <c r="C963" i="2"/>
  <c r="B963" i="2"/>
  <c r="A963" i="2"/>
  <c r="U962" i="2"/>
  <c r="N962" i="2"/>
  <c r="M962" i="2"/>
  <c r="J962" i="2"/>
  <c r="I962" i="2"/>
  <c r="H962" i="2"/>
  <c r="G962" i="2"/>
  <c r="F962" i="2"/>
  <c r="E962" i="2"/>
  <c r="D962" i="2"/>
  <c r="C962" i="2"/>
  <c r="B962" i="2"/>
  <c r="A962" i="2"/>
  <c r="U961" i="2"/>
  <c r="N961" i="2"/>
  <c r="M961" i="2"/>
  <c r="J961" i="2"/>
  <c r="I961" i="2"/>
  <c r="H961" i="2"/>
  <c r="G961" i="2"/>
  <c r="F961" i="2"/>
  <c r="E961" i="2"/>
  <c r="D961" i="2"/>
  <c r="C961" i="2"/>
  <c r="B961" i="2"/>
  <c r="A961" i="2"/>
  <c r="U960" i="2"/>
  <c r="N960" i="2"/>
  <c r="M960" i="2"/>
  <c r="J960" i="2"/>
  <c r="I960" i="2"/>
  <c r="H960" i="2"/>
  <c r="G960" i="2"/>
  <c r="F960" i="2"/>
  <c r="E960" i="2"/>
  <c r="D960" i="2"/>
  <c r="C960" i="2"/>
  <c r="B960" i="2"/>
  <c r="A960" i="2"/>
  <c r="U959" i="2"/>
  <c r="N959" i="2"/>
  <c r="M959" i="2"/>
  <c r="J959" i="2"/>
  <c r="I959" i="2"/>
  <c r="H959" i="2"/>
  <c r="G959" i="2"/>
  <c r="F959" i="2"/>
  <c r="E959" i="2"/>
  <c r="D959" i="2"/>
  <c r="C959" i="2"/>
  <c r="B959" i="2"/>
  <c r="A959" i="2"/>
  <c r="U958" i="2"/>
  <c r="N958" i="2"/>
  <c r="M958" i="2"/>
  <c r="J958" i="2"/>
  <c r="I958" i="2"/>
  <c r="H958" i="2"/>
  <c r="G958" i="2"/>
  <c r="F958" i="2"/>
  <c r="E958" i="2"/>
  <c r="D958" i="2"/>
  <c r="C958" i="2"/>
  <c r="B958" i="2"/>
  <c r="A958" i="2"/>
  <c r="U957" i="2"/>
  <c r="N957" i="2"/>
  <c r="M957" i="2"/>
  <c r="J957" i="2"/>
  <c r="I957" i="2"/>
  <c r="H957" i="2"/>
  <c r="G957" i="2"/>
  <c r="F957" i="2"/>
  <c r="E957" i="2"/>
  <c r="D957" i="2"/>
  <c r="C957" i="2"/>
  <c r="B957" i="2"/>
  <c r="A957" i="2"/>
  <c r="U956" i="2"/>
  <c r="N956" i="2"/>
  <c r="M956" i="2"/>
  <c r="J956" i="2"/>
  <c r="I956" i="2"/>
  <c r="H956" i="2"/>
  <c r="G956" i="2"/>
  <c r="F956" i="2"/>
  <c r="E956" i="2"/>
  <c r="D956" i="2"/>
  <c r="C956" i="2"/>
  <c r="B956" i="2"/>
  <c r="A956" i="2"/>
  <c r="U955" i="2"/>
  <c r="N955" i="2"/>
  <c r="M955" i="2"/>
  <c r="J955" i="2"/>
  <c r="I955" i="2"/>
  <c r="H955" i="2"/>
  <c r="G955" i="2"/>
  <c r="F955" i="2"/>
  <c r="E955" i="2"/>
  <c r="D955" i="2"/>
  <c r="C955" i="2"/>
  <c r="B955" i="2"/>
  <c r="A955" i="2"/>
  <c r="U954" i="2"/>
  <c r="N954" i="2"/>
  <c r="M954" i="2"/>
  <c r="J954" i="2"/>
  <c r="I954" i="2"/>
  <c r="H954" i="2"/>
  <c r="G954" i="2"/>
  <c r="F954" i="2"/>
  <c r="E954" i="2"/>
  <c r="D954" i="2"/>
  <c r="C954" i="2"/>
  <c r="B954" i="2"/>
  <c r="A954" i="2"/>
  <c r="U953" i="2"/>
  <c r="N953" i="2"/>
  <c r="M953" i="2"/>
  <c r="J953" i="2"/>
  <c r="I953" i="2"/>
  <c r="H953" i="2"/>
  <c r="G953" i="2"/>
  <c r="F953" i="2"/>
  <c r="E953" i="2"/>
  <c r="D953" i="2"/>
  <c r="C953" i="2"/>
  <c r="B953" i="2"/>
  <c r="A953" i="2"/>
  <c r="U952" i="2"/>
  <c r="N952" i="2"/>
  <c r="M952" i="2"/>
  <c r="J952" i="2"/>
  <c r="I952" i="2"/>
  <c r="H952" i="2"/>
  <c r="G952" i="2"/>
  <c r="F952" i="2"/>
  <c r="E952" i="2"/>
  <c r="D952" i="2"/>
  <c r="C952" i="2"/>
  <c r="B952" i="2"/>
  <c r="A952" i="2"/>
  <c r="U951" i="2"/>
  <c r="N951" i="2"/>
  <c r="M951" i="2"/>
  <c r="J951" i="2"/>
  <c r="I951" i="2"/>
  <c r="H951" i="2"/>
  <c r="G951" i="2"/>
  <c r="F951" i="2"/>
  <c r="E951" i="2"/>
  <c r="D951" i="2"/>
  <c r="C951" i="2"/>
  <c r="B951" i="2"/>
  <c r="A951" i="2"/>
  <c r="U950" i="2"/>
  <c r="N950" i="2"/>
  <c r="M950" i="2"/>
  <c r="J950" i="2"/>
  <c r="I950" i="2"/>
  <c r="H950" i="2"/>
  <c r="G950" i="2"/>
  <c r="F950" i="2"/>
  <c r="E950" i="2"/>
  <c r="D950" i="2"/>
  <c r="C950" i="2"/>
  <c r="B950" i="2"/>
  <c r="A950" i="2"/>
  <c r="U949" i="2"/>
  <c r="N949" i="2"/>
  <c r="M949" i="2"/>
  <c r="J949" i="2"/>
  <c r="I949" i="2"/>
  <c r="H949" i="2"/>
  <c r="G949" i="2"/>
  <c r="F949" i="2"/>
  <c r="E949" i="2"/>
  <c r="D949" i="2"/>
  <c r="C949" i="2"/>
  <c r="B949" i="2"/>
  <c r="A949" i="2"/>
  <c r="U948" i="2"/>
  <c r="N948" i="2"/>
  <c r="M948" i="2"/>
  <c r="J948" i="2"/>
  <c r="I948" i="2"/>
  <c r="H948" i="2"/>
  <c r="G948" i="2"/>
  <c r="F948" i="2"/>
  <c r="E948" i="2"/>
  <c r="D948" i="2"/>
  <c r="C948" i="2"/>
  <c r="B948" i="2"/>
  <c r="A948" i="2"/>
  <c r="U947" i="2"/>
  <c r="N947" i="2"/>
  <c r="M947" i="2"/>
  <c r="J947" i="2"/>
  <c r="I947" i="2"/>
  <c r="H947" i="2"/>
  <c r="G947" i="2"/>
  <c r="F947" i="2"/>
  <c r="E947" i="2"/>
  <c r="D947" i="2"/>
  <c r="C947" i="2"/>
  <c r="B947" i="2"/>
  <c r="A947" i="2"/>
  <c r="U946" i="2"/>
  <c r="N946" i="2"/>
  <c r="M946" i="2"/>
  <c r="J946" i="2"/>
  <c r="I946" i="2"/>
  <c r="H946" i="2"/>
  <c r="G946" i="2"/>
  <c r="F946" i="2"/>
  <c r="E946" i="2"/>
  <c r="D946" i="2"/>
  <c r="C946" i="2"/>
  <c r="B946" i="2"/>
  <c r="A946" i="2"/>
  <c r="U945" i="2"/>
  <c r="N945" i="2"/>
  <c r="M945" i="2"/>
  <c r="J945" i="2"/>
  <c r="I945" i="2"/>
  <c r="H945" i="2"/>
  <c r="G945" i="2"/>
  <c r="F945" i="2"/>
  <c r="E945" i="2"/>
  <c r="D945" i="2"/>
  <c r="C945" i="2"/>
  <c r="B945" i="2"/>
  <c r="A945" i="2"/>
  <c r="U944" i="2"/>
  <c r="N944" i="2"/>
  <c r="M944" i="2"/>
  <c r="J944" i="2"/>
  <c r="I944" i="2"/>
  <c r="H944" i="2"/>
  <c r="G944" i="2"/>
  <c r="F944" i="2"/>
  <c r="E944" i="2"/>
  <c r="D944" i="2"/>
  <c r="C944" i="2"/>
  <c r="B944" i="2"/>
  <c r="A944" i="2"/>
  <c r="U943" i="2"/>
  <c r="N943" i="2"/>
  <c r="M943" i="2"/>
  <c r="J943" i="2"/>
  <c r="I943" i="2"/>
  <c r="H943" i="2"/>
  <c r="G943" i="2"/>
  <c r="F943" i="2"/>
  <c r="E943" i="2"/>
  <c r="D943" i="2"/>
  <c r="C943" i="2"/>
  <c r="B943" i="2"/>
  <c r="A943" i="2"/>
  <c r="U942" i="2"/>
  <c r="N942" i="2"/>
  <c r="M942" i="2"/>
  <c r="J942" i="2"/>
  <c r="I942" i="2"/>
  <c r="H942" i="2"/>
  <c r="G942" i="2"/>
  <c r="F942" i="2"/>
  <c r="E942" i="2"/>
  <c r="D942" i="2"/>
  <c r="C942" i="2"/>
  <c r="B942" i="2"/>
  <c r="A942" i="2"/>
  <c r="U941" i="2"/>
  <c r="N941" i="2"/>
  <c r="M941" i="2"/>
  <c r="J941" i="2"/>
  <c r="I941" i="2"/>
  <c r="H941" i="2"/>
  <c r="G941" i="2"/>
  <c r="F941" i="2"/>
  <c r="E941" i="2"/>
  <c r="D941" i="2"/>
  <c r="C941" i="2"/>
  <c r="B941" i="2"/>
  <c r="A941" i="2"/>
  <c r="U940" i="2"/>
  <c r="N940" i="2"/>
  <c r="M940" i="2"/>
  <c r="J940" i="2"/>
  <c r="I940" i="2"/>
  <c r="H940" i="2"/>
  <c r="G940" i="2"/>
  <c r="F940" i="2"/>
  <c r="E940" i="2"/>
  <c r="D940" i="2"/>
  <c r="C940" i="2"/>
  <c r="B940" i="2"/>
  <c r="A940" i="2"/>
  <c r="U939" i="2"/>
  <c r="N939" i="2"/>
  <c r="M939" i="2"/>
  <c r="J939" i="2"/>
  <c r="I939" i="2"/>
  <c r="H939" i="2"/>
  <c r="G939" i="2"/>
  <c r="F939" i="2"/>
  <c r="E939" i="2"/>
  <c r="D939" i="2"/>
  <c r="C939" i="2"/>
  <c r="B939" i="2"/>
  <c r="A939" i="2"/>
  <c r="U938" i="2"/>
  <c r="N938" i="2"/>
  <c r="M938" i="2"/>
  <c r="J938" i="2"/>
  <c r="I938" i="2"/>
  <c r="H938" i="2"/>
  <c r="G938" i="2"/>
  <c r="F938" i="2"/>
  <c r="E938" i="2"/>
  <c r="D938" i="2"/>
  <c r="C938" i="2"/>
  <c r="B938" i="2"/>
  <c r="A938" i="2"/>
  <c r="U937" i="2"/>
  <c r="N937" i="2"/>
  <c r="M937" i="2"/>
  <c r="J937" i="2"/>
  <c r="I937" i="2"/>
  <c r="H937" i="2"/>
  <c r="G937" i="2"/>
  <c r="F937" i="2"/>
  <c r="E937" i="2"/>
  <c r="D937" i="2"/>
  <c r="C937" i="2"/>
  <c r="B937" i="2"/>
  <c r="A937" i="2"/>
  <c r="U936" i="2"/>
  <c r="N936" i="2"/>
  <c r="M936" i="2"/>
  <c r="J936" i="2"/>
  <c r="I936" i="2"/>
  <c r="H936" i="2"/>
  <c r="G936" i="2"/>
  <c r="F936" i="2"/>
  <c r="E936" i="2"/>
  <c r="D936" i="2"/>
  <c r="C936" i="2"/>
  <c r="B936" i="2"/>
  <c r="A936" i="2"/>
  <c r="U935" i="2"/>
  <c r="N935" i="2"/>
  <c r="M935" i="2"/>
  <c r="J935" i="2"/>
  <c r="I935" i="2"/>
  <c r="H935" i="2"/>
  <c r="G935" i="2"/>
  <c r="F935" i="2"/>
  <c r="E935" i="2"/>
  <c r="D935" i="2"/>
  <c r="C935" i="2"/>
  <c r="B935" i="2"/>
  <c r="A935" i="2"/>
  <c r="U934" i="2"/>
  <c r="N934" i="2"/>
  <c r="M934" i="2"/>
  <c r="J934" i="2"/>
  <c r="I934" i="2"/>
  <c r="H934" i="2"/>
  <c r="G934" i="2"/>
  <c r="F934" i="2"/>
  <c r="E934" i="2"/>
  <c r="D934" i="2"/>
  <c r="C934" i="2"/>
  <c r="B934" i="2"/>
  <c r="A934" i="2"/>
  <c r="U933" i="2"/>
  <c r="N933" i="2"/>
  <c r="M933" i="2"/>
  <c r="J933" i="2"/>
  <c r="I933" i="2"/>
  <c r="H933" i="2"/>
  <c r="G933" i="2"/>
  <c r="F933" i="2"/>
  <c r="E933" i="2"/>
  <c r="D933" i="2"/>
  <c r="C933" i="2"/>
  <c r="B933" i="2"/>
  <c r="A933" i="2"/>
  <c r="U932" i="2"/>
  <c r="N932" i="2"/>
  <c r="M932" i="2"/>
  <c r="J932" i="2"/>
  <c r="I932" i="2"/>
  <c r="H932" i="2"/>
  <c r="G932" i="2"/>
  <c r="F932" i="2"/>
  <c r="E932" i="2"/>
  <c r="D932" i="2"/>
  <c r="C932" i="2"/>
  <c r="B932" i="2"/>
  <c r="A932" i="2"/>
  <c r="U931" i="2"/>
  <c r="N931" i="2"/>
  <c r="M931" i="2"/>
  <c r="J931" i="2"/>
  <c r="I931" i="2"/>
  <c r="H931" i="2"/>
  <c r="G931" i="2"/>
  <c r="F931" i="2"/>
  <c r="E931" i="2"/>
  <c r="D931" i="2"/>
  <c r="C931" i="2"/>
  <c r="B931" i="2"/>
  <c r="A931" i="2"/>
  <c r="U930" i="2"/>
  <c r="N930" i="2"/>
  <c r="M930" i="2"/>
  <c r="J930" i="2"/>
  <c r="I930" i="2"/>
  <c r="H930" i="2"/>
  <c r="G930" i="2"/>
  <c r="F930" i="2"/>
  <c r="E930" i="2"/>
  <c r="D930" i="2"/>
  <c r="C930" i="2"/>
  <c r="B930" i="2"/>
  <c r="A930" i="2"/>
  <c r="U929" i="2"/>
  <c r="N929" i="2"/>
  <c r="M929" i="2"/>
  <c r="J929" i="2"/>
  <c r="I929" i="2"/>
  <c r="H929" i="2"/>
  <c r="G929" i="2"/>
  <c r="F929" i="2"/>
  <c r="E929" i="2"/>
  <c r="D929" i="2"/>
  <c r="C929" i="2"/>
  <c r="B929" i="2"/>
  <c r="A929" i="2"/>
  <c r="U928" i="2"/>
  <c r="N928" i="2"/>
  <c r="M928" i="2"/>
  <c r="J928" i="2"/>
  <c r="I928" i="2"/>
  <c r="H928" i="2"/>
  <c r="G928" i="2"/>
  <c r="F928" i="2"/>
  <c r="E928" i="2"/>
  <c r="D928" i="2"/>
  <c r="C928" i="2"/>
  <c r="B928" i="2"/>
  <c r="A928" i="2"/>
  <c r="U927" i="2"/>
  <c r="N927" i="2"/>
  <c r="M927" i="2"/>
  <c r="J927" i="2"/>
  <c r="I927" i="2"/>
  <c r="H927" i="2"/>
  <c r="G927" i="2"/>
  <c r="F927" i="2"/>
  <c r="E927" i="2"/>
  <c r="D927" i="2"/>
  <c r="C927" i="2"/>
  <c r="B927" i="2"/>
  <c r="A927" i="2"/>
  <c r="U926" i="2"/>
  <c r="N926" i="2"/>
  <c r="M926" i="2"/>
  <c r="J926" i="2"/>
  <c r="I926" i="2"/>
  <c r="H926" i="2"/>
  <c r="G926" i="2"/>
  <c r="F926" i="2"/>
  <c r="E926" i="2"/>
  <c r="D926" i="2"/>
  <c r="C926" i="2"/>
  <c r="B926" i="2"/>
  <c r="A926" i="2"/>
  <c r="U925" i="2"/>
  <c r="N925" i="2"/>
  <c r="M925" i="2"/>
  <c r="J925" i="2"/>
  <c r="I925" i="2"/>
  <c r="H925" i="2"/>
  <c r="G925" i="2"/>
  <c r="F925" i="2"/>
  <c r="E925" i="2"/>
  <c r="D925" i="2"/>
  <c r="C925" i="2"/>
  <c r="B925" i="2"/>
  <c r="A925" i="2"/>
  <c r="U924" i="2"/>
  <c r="N924" i="2"/>
  <c r="M924" i="2"/>
  <c r="J924" i="2"/>
  <c r="I924" i="2"/>
  <c r="H924" i="2"/>
  <c r="G924" i="2"/>
  <c r="F924" i="2"/>
  <c r="E924" i="2"/>
  <c r="D924" i="2"/>
  <c r="C924" i="2"/>
  <c r="B924" i="2"/>
  <c r="A924" i="2"/>
  <c r="U923" i="2"/>
  <c r="N923" i="2"/>
  <c r="M923" i="2"/>
  <c r="J923" i="2"/>
  <c r="I923" i="2"/>
  <c r="H923" i="2"/>
  <c r="G923" i="2"/>
  <c r="F923" i="2"/>
  <c r="E923" i="2"/>
  <c r="D923" i="2"/>
  <c r="C923" i="2"/>
  <c r="B923" i="2"/>
  <c r="A923" i="2"/>
  <c r="U922" i="2"/>
  <c r="N922" i="2"/>
  <c r="M922" i="2"/>
  <c r="J922" i="2"/>
  <c r="I922" i="2"/>
  <c r="H922" i="2"/>
  <c r="G922" i="2"/>
  <c r="F922" i="2"/>
  <c r="E922" i="2"/>
  <c r="D922" i="2"/>
  <c r="C922" i="2"/>
  <c r="B922" i="2"/>
  <c r="A922" i="2"/>
  <c r="U921" i="2"/>
  <c r="N921" i="2"/>
  <c r="M921" i="2"/>
  <c r="J921" i="2"/>
  <c r="I921" i="2"/>
  <c r="H921" i="2"/>
  <c r="G921" i="2"/>
  <c r="F921" i="2"/>
  <c r="E921" i="2"/>
  <c r="D921" i="2"/>
  <c r="C921" i="2"/>
  <c r="B921" i="2"/>
  <c r="A921" i="2"/>
  <c r="U920" i="2"/>
  <c r="N920" i="2"/>
  <c r="M920" i="2"/>
  <c r="J920" i="2"/>
  <c r="I920" i="2"/>
  <c r="H920" i="2"/>
  <c r="G920" i="2"/>
  <c r="F920" i="2"/>
  <c r="E920" i="2"/>
  <c r="D920" i="2"/>
  <c r="C920" i="2"/>
  <c r="B920" i="2"/>
  <c r="A920" i="2"/>
  <c r="U919" i="2"/>
  <c r="N919" i="2"/>
  <c r="M919" i="2"/>
  <c r="J919" i="2"/>
  <c r="I919" i="2"/>
  <c r="H919" i="2"/>
  <c r="G919" i="2"/>
  <c r="F919" i="2"/>
  <c r="E919" i="2"/>
  <c r="D919" i="2"/>
  <c r="C919" i="2"/>
  <c r="B919" i="2"/>
  <c r="A919" i="2"/>
  <c r="U918" i="2"/>
  <c r="N918" i="2"/>
  <c r="M918" i="2"/>
  <c r="J918" i="2"/>
  <c r="I918" i="2"/>
  <c r="H918" i="2"/>
  <c r="G918" i="2"/>
  <c r="F918" i="2"/>
  <c r="E918" i="2"/>
  <c r="D918" i="2"/>
  <c r="C918" i="2"/>
  <c r="B918" i="2"/>
  <c r="A918" i="2"/>
  <c r="U917" i="2"/>
  <c r="N917" i="2"/>
  <c r="M917" i="2"/>
  <c r="J917" i="2"/>
  <c r="I917" i="2"/>
  <c r="H917" i="2"/>
  <c r="G917" i="2"/>
  <c r="F917" i="2"/>
  <c r="E917" i="2"/>
  <c r="D917" i="2"/>
  <c r="C917" i="2"/>
  <c r="B917" i="2"/>
  <c r="A917" i="2"/>
  <c r="U916" i="2"/>
  <c r="N916" i="2"/>
  <c r="M916" i="2"/>
  <c r="J916" i="2"/>
  <c r="I916" i="2"/>
  <c r="H916" i="2"/>
  <c r="G916" i="2"/>
  <c r="F916" i="2"/>
  <c r="E916" i="2"/>
  <c r="D916" i="2"/>
  <c r="C916" i="2"/>
  <c r="B916" i="2"/>
  <c r="A916" i="2"/>
  <c r="U915" i="2"/>
  <c r="N915" i="2"/>
  <c r="M915" i="2"/>
  <c r="J915" i="2"/>
  <c r="I915" i="2"/>
  <c r="H915" i="2"/>
  <c r="G915" i="2"/>
  <c r="F915" i="2"/>
  <c r="E915" i="2"/>
  <c r="D915" i="2"/>
  <c r="C915" i="2"/>
  <c r="B915" i="2"/>
  <c r="A915" i="2"/>
  <c r="U914" i="2"/>
  <c r="N914" i="2"/>
  <c r="M914" i="2"/>
  <c r="J914" i="2"/>
  <c r="I914" i="2"/>
  <c r="H914" i="2"/>
  <c r="G914" i="2"/>
  <c r="F914" i="2"/>
  <c r="E914" i="2"/>
  <c r="D914" i="2"/>
  <c r="C914" i="2"/>
  <c r="B914" i="2"/>
  <c r="A914" i="2"/>
  <c r="U913" i="2"/>
  <c r="N913" i="2"/>
  <c r="M913" i="2"/>
  <c r="J913" i="2"/>
  <c r="I913" i="2"/>
  <c r="H913" i="2"/>
  <c r="G913" i="2"/>
  <c r="F913" i="2"/>
  <c r="E913" i="2"/>
  <c r="D913" i="2"/>
  <c r="C913" i="2"/>
  <c r="B913" i="2"/>
  <c r="A913" i="2"/>
  <c r="U912" i="2"/>
  <c r="N912" i="2"/>
  <c r="M912" i="2"/>
  <c r="J912" i="2"/>
  <c r="I912" i="2"/>
  <c r="H912" i="2"/>
  <c r="G912" i="2"/>
  <c r="F912" i="2"/>
  <c r="E912" i="2"/>
  <c r="D912" i="2"/>
  <c r="C912" i="2"/>
  <c r="B912" i="2"/>
  <c r="A912" i="2"/>
  <c r="U911" i="2"/>
  <c r="N911" i="2"/>
  <c r="M911" i="2"/>
  <c r="J911" i="2"/>
  <c r="I911" i="2"/>
  <c r="H911" i="2"/>
  <c r="G911" i="2"/>
  <c r="F911" i="2"/>
  <c r="E911" i="2"/>
  <c r="D911" i="2"/>
  <c r="C911" i="2"/>
  <c r="B911" i="2"/>
  <c r="A911" i="2"/>
  <c r="U910" i="2"/>
  <c r="N910" i="2"/>
  <c r="M910" i="2"/>
  <c r="J910" i="2"/>
  <c r="I910" i="2"/>
  <c r="H910" i="2"/>
  <c r="G910" i="2"/>
  <c r="F910" i="2"/>
  <c r="E910" i="2"/>
  <c r="D910" i="2"/>
  <c r="C910" i="2"/>
  <c r="B910" i="2"/>
  <c r="A910" i="2"/>
  <c r="U909" i="2"/>
  <c r="N909" i="2"/>
  <c r="M909" i="2"/>
  <c r="J909" i="2"/>
  <c r="I909" i="2"/>
  <c r="H909" i="2"/>
  <c r="G909" i="2"/>
  <c r="F909" i="2"/>
  <c r="E909" i="2"/>
  <c r="D909" i="2"/>
  <c r="C909" i="2"/>
  <c r="B909" i="2"/>
  <c r="A909" i="2"/>
  <c r="U908" i="2"/>
  <c r="N908" i="2"/>
  <c r="M908" i="2"/>
  <c r="J908" i="2"/>
  <c r="I908" i="2"/>
  <c r="H908" i="2"/>
  <c r="G908" i="2"/>
  <c r="F908" i="2"/>
  <c r="E908" i="2"/>
  <c r="D908" i="2"/>
  <c r="C908" i="2"/>
  <c r="B908" i="2"/>
  <c r="A908" i="2"/>
  <c r="U907" i="2"/>
  <c r="N907" i="2"/>
  <c r="M907" i="2"/>
  <c r="J907" i="2"/>
  <c r="I907" i="2"/>
  <c r="H907" i="2"/>
  <c r="G907" i="2"/>
  <c r="F907" i="2"/>
  <c r="E907" i="2"/>
  <c r="D907" i="2"/>
  <c r="C907" i="2"/>
  <c r="B907" i="2"/>
  <c r="A907" i="2"/>
  <c r="U906" i="2"/>
  <c r="N906" i="2"/>
  <c r="M906" i="2"/>
  <c r="J906" i="2"/>
  <c r="I906" i="2"/>
  <c r="H906" i="2"/>
  <c r="G906" i="2"/>
  <c r="F906" i="2"/>
  <c r="E906" i="2"/>
  <c r="D906" i="2"/>
  <c r="C906" i="2"/>
  <c r="B906" i="2"/>
  <c r="A906" i="2"/>
  <c r="U905" i="2"/>
  <c r="N905" i="2"/>
  <c r="M905" i="2"/>
  <c r="J905" i="2"/>
  <c r="I905" i="2"/>
  <c r="H905" i="2"/>
  <c r="G905" i="2"/>
  <c r="F905" i="2"/>
  <c r="E905" i="2"/>
  <c r="D905" i="2"/>
  <c r="C905" i="2"/>
  <c r="B905" i="2"/>
  <c r="A905" i="2"/>
  <c r="U904" i="2"/>
  <c r="N904" i="2"/>
  <c r="M904" i="2"/>
  <c r="J904" i="2"/>
  <c r="I904" i="2"/>
  <c r="H904" i="2"/>
  <c r="G904" i="2"/>
  <c r="F904" i="2"/>
  <c r="E904" i="2"/>
  <c r="D904" i="2"/>
  <c r="C904" i="2"/>
  <c r="B904" i="2"/>
  <c r="A904" i="2"/>
  <c r="U903" i="2"/>
  <c r="N903" i="2"/>
  <c r="M903" i="2"/>
  <c r="J903" i="2"/>
  <c r="I903" i="2"/>
  <c r="H903" i="2"/>
  <c r="G903" i="2"/>
  <c r="F903" i="2"/>
  <c r="E903" i="2"/>
  <c r="D903" i="2"/>
  <c r="C903" i="2"/>
  <c r="B903" i="2"/>
  <c r="A903" i="2"/>
  <c r="U902" i="2"/>
  <c r="N902" i="2"/>
  <c r="M902" i="2"/>
  <c r="J902" i="2"/>
  <c r="I902" i="2"/>
  <c r="H902" i="2"/>
  <c r="G902" i="2"/>
  <c r="F902" i="2"/>
  <c r="E902" i="2"/>
  <c r="D902" i="2"/>
  <c r="C902" i="2"/>
  <c r="B902" i="2"/>
  <c r="A902" i="2"/>
  <c r="U901" i="2"/>
  <c r="N901" i="2"/>
  <c r="M901" i="2"/>
  <c r="J901" i="2"/>
  <c r="I901" i="2"/>
  <c r="H901" i="2"/>
  <c r="G901" i="2"/>
  <c r="F901" i="2"/>
  <c r="E901" i="2"/>
  <c r="D901" i="2"/>
  <c r="C901" i="2"/>
  <c r="B901" i="2"/>
  <c r="A901" i="2"/>
  <c r="U900" i="2"/>
  <c r="N900" i="2"/>
  <c r="M900" i="2"/>
  <c r="J900" i="2"/>
  <c r="I900" i="2"/>
  <c r="H900" i="2"/>
  <c r="G900" i="2"/>
  <c r="F900" i="2"/>
  <c r="E900" i="2"/>
  <c r="D900" i="2"/>
  <c r="C900" i="2"/>
  <c r="B900" i="2"/>
  <c r="A900" i="2"/>
  <c r="U899" i="2"/>
  <c r="N899" i="2"/>
  <c r="M899" i="2"/>
  <c r="J899" i="2"/>
  <c r="I899" i="2"/>
  <c r="H899" i="2"/>
  <c r="G899" i="2"/>
  <c r="F899" i="2"/>
  <c r="E899" i="2"/>
  <c r="D899" i="2"/>
  <c r="C899" i="2"/>
  <c r="B899" i="2"/>
  <c r="A899" i="2"/>
  <c r="U898" i="2"/>
  <c r="N898" i="2"/>
  <c r="M898" i="2"/>
  <c r="J898" i="2"/>
  <c r="I898" i="2"/>
  <c r="H898" i="2"/>
  <c r="G898" i="2"/>
  <c r="F898" i="2"/>
  <c r="E898" i="2"/>
  <c r="D898" i="2"/>
  <c r="C898" i="2"/>
  <c r="B898" i="2"/>
  <c r="A898" i="2"/>
  <c r="U897" i="2"/>
  <c r="N897" i="2"/>
  <c r="M897" i="2"/>
  <c r="J897" i="2"/>
  <c r="I897" i="2"/>
  <c r="H897" i="2"/>
  <c r="G897" i="2"/>
  <c r="F897" i="2"/>
  <c r="E897" i="2"/>
  <c r="D897" i="2"/>
  <c r="C897" i="2"/>
  <c r="B897" i="2"/>
  <c r="A897" i="2"/>
  <c r="U896" i="2"/>
  <c r="N896" i="2"/>
  <c r="M896" i="2"/>
  <c r="J896" i="2"/>
  <c r="I896" i="2"/>
  <c r="H896" i="2"/>
  <c r="G896" i="2"/>
  <c r="F896" i="2"/>
  <c r="E896" i="2"/>
  <c r="D896" i="2"/>
  <c r="C896" i="2"/>
  <c r="B896" i="2"/>
  <c r="A896" i="2"/>
  <c r="U895" i="2"/>
  <c r="N895" i="2"/>
  <c r="M895" i="2"/>
  <c r="J895" i="2"/>
  <c r="I895" i="2"/>
  <c r="H895" i="2"/>
  <c r="G895" i="2"/>
  <c r="F895" i="2"/>
  <c r="E895" i="2"/>
  <c r="D895" i="2"/>
  <c r="C895" i="2"/>
  <c r="B895" i="2"/>
  <c r="A895" i="2"/>
  <c r="U894" i="2"/>
  <c r="N894" i="2"/>
  <c r="M894" i="2"/>
  <c r="J894" i="2"/>
  <c r="I894" i="2"/>
  <c r="H894" i="2"/>
  <c r="G894" i="2"/>
  <c r="F894" i="2"/>
  <c r="E894" i="2"/>
  <c r="D894" i="2"/>
  <c r="C894" i="2"/>
  <c r="B894" i="2"/>
  <c r="A894" i="2"/>
  <c r="U893" i="2"/>
  <c r="N893" i="2"/>
  <c r="M893" i="2"/>
  <c r="J893" i="2"/>
  <c r="I893" i="2"/>
  <c r="H893" i="2"/>
  <c r="G893" i="2"/>
  <c r="F893" i="2"/>
  <c r="E893" i="2"/>
  <c r="D893" i="2"/>
  <c r="C893" i="2"/>
  <c r="B893" i="2"/>
  <c r="A893" i="2"/>
  <c r="U892" i="2"/>
  <c r="N892" i="2"/>
  <c r="M892" i="2"/>
  <c r="J892" i="2"/>
  <c r="I892" i="2"/>
  <c r="H892" i="2"/>
  <c r="G892" i="2"/>
  <c r="F892" i="2"/>
  <c r="E892" i="2"/>
  <c r="D892" i="2"/>
  <c r="C892" i="2"/>
  <c r="B892" i="2"/>
  <c r="A892" i="2"/>
  <c r="U891" i="2"/>
  <c r="N891" i="2"/>
  <c r="M891" i="2"/>
  <c r="J891" i="2"/>
  <c r="I891" i="2"/>
  <c r="H891" i="2"/>
  <c r="G891" i="2"/>
  <c r="F891" i="2"/>
  <c r="E891" i="2"/>
  <c r="D891" i="2"/>
  <c r="C891" i="2"/>
  <c r="B891" i="2"/>
  <c r="A891" i="2"/>
  <c r="U890" i="2"/>
  <c r="N890" i="2"/>
  <c r="M890" i="2"/>
  <c r="J890" i="2"/>
  <c r="I890" i="2"/>
  <c r="H890" i="2"/>
  <c r="G890" i="2"/>
  <c r="F890" i="2"/>
  <c r="E890" i="2"/>
  <c r="D890" i="2"/>
  <c r="C890" i="2"/>
  <c r="B890" i="2"/>
  <c r="A890" i="2"/>
  <c r="U889" i="2"/>
  <c r="N889" i="2"/>
  <c r="M889" i="2"/>
  <c r="J889" i="2"/>
  <c r="I889" i="2"/>
  <c r="H889" i="2"/>
  <c r="G889" i="2"/>
  <c r="F889" i="2"/>
  <c r="E889" i="2"/>
  <c r="D889" i="2"/>
  <c r="C889" i="2"/>
  <c r="B889" i="2"/>
  <c r="A889" i="2"/>
  <c r="U888" i="2"/>
  <c r="N888" i="2"/>
  <c r="M888" i="2"/>
  <c r="J888" i="2"/>
  <c r="I888" i="2"/>
  <c r="H888" i="2"/>
  <c r="G888" i="2"/>
  <c r="F888" i="2"/>
  <c r="E888" i="2"/>
  <c r="D888" i="2"/>
  <c r="C888" i="2"/>
  <c r="B888" i="2"/>
  <c r="A888" i="2"/>
  <c r="U887" i="2"/>
  <c r="N887" i="2"/>
  <c r="M887" i="2"/>
  <c r="J887" i="2"/>
  <c r="I887" i="2"/>
  <c r="H887" i="2"/>
  <c r="G887" i="2"/>
  <c r="F887" i="2"/>
  <c r="E887" i="2"/>
  <c r="D887" i="2"/>
  <c r="C887" i="2"/>
  <c r="B887" i="2"/>
  <c r="A887" i="2"/>
  <c r="U886" i="2"/>
  <c r="N886" i="2"/>
  <c r="M886" i="2"/>
  <c r="J886" i="2"/>
  <c r="I886" i="2"/>
  <c r="H886" i="2"/>
  <c r="G886" i="2"/>
  <c r="F886" i="2"/>
  <c r="E886" i="2"/>
  <c r="D886" i="2"/>
  <c r="C886" i="2"/>
  <c r="B886" i="2"/>
  <c r="A886" i="2"/>
  <c r="U885" i="2"/>
  <c r="N885" i="2"/>
  <c r="M885" i="2"/>
  <c r="J885" i="2"/>
  <c r="I885" i="2"/>
  <c r="H885" i="2"/>
  <c r="G885" i="2"/>
  <c r="F885" i="2"/>
  <c r="E885" i="2"/>
  <c r="D885" i="2"/>
  <c r="C885" i="2"/>
  <c r="B885" i="2"/>
  <c r="A885" i="2"/>
  <c r="U884" i="2"/>
  <c r="N884" i="2"/>
  <c r="M884" i="2"/>
  <c r="J884" i="2"/>
  <c r="I884" i="2"/>
  <c r="H884" i="2"/>
  <c r="G884" i="2"/>
  <c r="F884" i="2"/>
  <c r="E884" i="2"/>
  <c r="D884" i="2"/>
  <c r="C884" i="2"/>
  <c r="B884" i="2"/>
  <c r="A884" i="2"/>
  <c r="U883" i="2"/>
  <c r="N883" i="2"/>
  <c r="M883" i="2"/>
  <c r="J883" i="2"/>
  <c r="I883" i="2"/>
  <c r="H883" i="2"/>
  <c r="G883" i="2"/>
  <c r="F883" i="2"/>
  <c r="E883" i="2"/>
  <c r="D883" i="2"/>
  <c r="C883" i="2"/>
  <c r="B883" i="2"/>
  <c r="A883" i="2"/>
  <c r="U882" i="2"/>
  <c r="N882" i="2"/>
  <c r="M882" i="2"/>
  <c r="J882" i="2"/>
  <c r="I882" i="2"/>
  <c r="H882" i="2"/>
  <c r="G882" i="2"/>
  <c r="F882" i="2"/>
  <c r="E882" i="2"/>
  <c r="D882" i="2"/>
  <c r="C882" i="2"/>
  <c r="B882" i="2"/>
  <c r="A882" i="2"/>
  <c r="U881" i="2"/>
  <c r="N881" i="2"/>
  <c r="M881" i="2"/>
  <c r="J881" i="2"/>
  <c r="I881" i="2"/>
  <c r="H881" i="2"/>
  <c r="G881" i="2"/>
  <c r="F881" i="2"/>
  <c r="E881" i="2"/>
  <c r="D881" i="2"/>
  <c r="C881" i="2"/>
  <c r="B881" i="2"/>
  <c r="A881" i="2"/>
  <c r="U880" i="2"/>
  <c r="N880" i="2"/>
  <c r="M880" i="2"/>
  <c r="J880" i="2"/>
  <c r="I880" i="2"/>
  <c r="H880" i="2"/>
  <c r="G880" i="2"/>
  <c r="F880" i="2"/>
  <c r="E880" i="2"/>
  <c r="D880" i="2"/>
  <c r="C880" i="2"/>
  <c r="B880" i="2"/>
  <c r="A880" i="2"/>
  <c r="U879" i="2"/>
  <c r="N879" i="2"/>
  <c r="M879" i="2"/>
  <c r="J879" i="2"/>
  <c r="I879" i="2"/>
  <c r="H879" i="2"/>
  <c r="G879" i="2"/>
  <c r="F879" i="2"/>
  <c r="E879" i="2"/>
  <c r="D879" i="2"/>
  <c r="C879" i="2"/>
  <c r="B879" i="2"/>
  <c r="A879" i="2"/>
  <c r="U878" i="2"/>
  <c r="N878" i="2"/>
  <c r="M878" i="2"/>
  <c r="J878" i="2"/>
  <c r="I878" i="2"/>
  <c r="H878" i="2"/>
  <c r="G878" i="2"/>
  <c r="F878" i="2"/>
  <c r="E878" i="2"/>
  <c r="D878" i="2"/>
  <c r="C878" i="2"/>
  <c r="B878" i="2"/>
  <c r="A878" i="2"/>
  <c r="U877" i="2"/>
  <c r="N877" i="2"/>
  <c r="M877" i="2"/>
  <c r="J877" i="2"/>
  <c r="I877" i="2"/>
  <c r="H877" i="2"/>
  <c r="G877" i="2"/>
  <c r="F877" i="2"/>
  <c r="E877" i="2"/>
  <c r="D877" i="2"/>
  <c r="C877" i="2"/>
  <c r="B877" i="2"/>
  <c r="A877" i="2"/>
  <c r="U876" i="2"/>
  <c r="N876" i="2"/>
  <c r="M876" i="2"/>
  <c r="J876" i="2"/>
  <c r="I876" i="2"/>
  <c r="H876" i="2"/>
  <c r="G876" i="2"/>
  <c r="F876" i="2"/>
  <c r="E876" i="2"/>
  <c r="D876" i="2"/>
  <c r="C876" i="2"/>
  <c r="B876" i="2"/>
  <c r="A876" i="2"/>
  <c r="U875" i="2"/>
  <c r="N875" i="2"/>
  <c r="M875" i="2"/>
  <c r="J875" i="2"/>
  <c r="I875" i="2"/>
  <c r="H875" i="2"/>
  <c r="G875" i="2"/>
  <c r="F875" i="2"/>
  <c r="E875" i="2"/>
  <c r="D875" i="2"/>
  <c r="C875" i="2"/>
  <c r="B875" i="2"/>
  <c r="A875" i="2"/>
  <c r="U874" i="2"/>
  <c r="N874" i="2"/>
  <c r="M874" i="2"/>
  <c r="J874" i="2"/>
  <c r="I874" i="2"/>
  <c r="H874" i="2"/>
  <c r="G874" i="2"/>
  <c r="F874" i="2"/>
  <c r="E874" i="2"/>
  <c r="D874" i="2"/>
  <c r="C874" i="2"/>
  <c r="B874" i="2"/>
  <c r="A874" i="2"/>
  <c r="U873" i="2"/>
  <c r="N873" i="2"/>
  <c r="M873" i="2"/>
  <c r="J873" i="2"/>
  <c r="I873" i="2"/>
  <c r="H873" i="2"/>
  <c r="G873" i="2"/>
  <c r="F873" i="2"/>
  <c r="E873" i="2"/>
  <c r="D873" i="2"/>
  <c r="C873" i="2"/>
  <c r="B873" i="2"/>
  <c r="A873" i="2"/>
  <c r="U872" i="2"/>
  <c r="N872" i="2"/>
  <c r="M872" i="2"/>
  <c r="J872" i="2"/>
  <c r="I872" i="2"/>
  <c r="H872" i="2"/>
  <c r="G872" i="2"/>
  <c r="F872" i="2"/>
  <c r="E872" i="2"/>
  <c r="D872" i="2"/>
  <c r="C872" i="2"/>
  <c r="B872" i="2"/>
  <c r="A872" i="2"/>
  <c r="U871" i="2"/>
  <c r="N871" i="2"/>
  <c r="M871" i="2"/>
  <c r="J871" i="2"/>
  <c r="I871" i="2"/>
  <c r="H871" i="2"/>
  <c r="G871" i="2"/>
  <c r="F871" i="2"/>
  <c r="E871" i="2"/>
  <c r="D871" i="2"/>
  <c r="C871" i="2"/>
  <c r="B871" i="2"/>
  <c r="A871" i="2"/>
  <c r="U870" i="2"/>
  <c r="N870" i="2"/>
  <c r="M870" i="2"/>
  <c r="J870" i="2"/>
  <c r="I870" i="2"/>
  <c r="H870" i="2"/>
  <c r="G870" i="2"/>
  <c r="F870" i="2"/>
  <c r="E870" i="2"/>
  <c r="D870" i="2"/>
  <c r="C870" i="2"/>
  <c r="B870" i="2"/>
  <c r="A870" i="2"/>
  <c r="U869" i="2"/>
  <c r="N869" i="2"/>
  <c r="M869" i="2"/>
  <c r="J869" i="2"/>
  <c r="I869" i="2"/>
  <c r="H869" i="2"/>
  <c r="G869" i="2"/>
  <c r="F869" i="2"/>
  <c r="E869" i="2"/>
  <c r="D869" i="2"/>
  <c r="C869" i="2"/>
  <c r="B869" i="2"/>
  <c r="A869" i="2"/>
  <c r="U868" i="2"/>
  <c r="N868" i="2"/>
  <c r="M868" i="2"/>
  <c r="J868" i="2"/>
  <c r="I868" i="2"/>
  <c r="H868" i="2"/>
  <c r="G868" i="2"/>
  <c r="F868" i="2"/>
  <c r="E868" i="2"/>
  <c r="D868" i="2"/>
  <c r="C868" i="2"/>
  <c r="B868" i="2"/>
  <c r="A868" i="2"/>
  <c r="U867" i="2"/>
  <c r="N867" i="2"/>
  <c r="M867" i="2"/>
  <c r="J867" i="2"/>
  <c r="I867" i="2"/>
  <c r="H867" i="2"/>
  <c r="G867" i="2"/>
  <c r="F867" i="2"/>
  <c r="E867" i="2"/>
  <c r="D867" i="2"/>
  <c r="C867" i="2"/>
  <c r="B867" i="2"/>
  <c r="A867" i="2"/>
  <c r="U866" i="2"/>
  <c r="N866" i="2"/>
  <c r="M866" i="2"/>
  <c r="J866" i="2"/>
  <c r="I866" i="2"/>
  <c r="H866" i="2"/>
  <c r="G866" i="2"/>
  <c r="F866" i="2"/>
  <c r="E866" i="2"/>
  <c r="D866" i="2"/>
  <c r="C866" i="2"/>
  <c r="B866" i="2"/>
  <c r="A866" i="2"/>
  <c r="U865" i="2"/>
  <c r="N865" i="2"/>
  <c r="M865" i="2"/>
  <c r="J865" i="2"/>
  <c r="I865" i="2"/>
  <c r="H865" i="2"/>
  <c r="G865" i="2"/>
  <c r="F865" i="2"/>
  <c r="E865" i="2"/>
  <c r="D865" i="2"/>
  <c r="C865" i="2"/>
  <c r="B865" i="2"/>
  <c r="A865" i="2"/>
  <c r="U864" i="2"/>
  <c r="N864" i="2"/>
  <c r="M864" i="2"/>
  <c r="J864" i="2"/>
  <c r="I864" i="2"/>
  <c r="H864" i="2"/>
  <c r="G864" i="2"/>
  <c r="F864" i="2"/>
  <c r="E864" i="2"/>
  <c r="D864" i="2"/>
  <c r="C864" i="2"/>
  <c r="B864" i="2"/>
  <c r="A864" i="2"/>
  <c r="U863" i="2"/>
  <c r="N863" i="2"/>
  <c r="M863" i="2"/>
  <c r="J863" i="2"/>
  <c r="I863" i="2"/>
  <c r="H863" i="2"/>
  <c r="G863" i="2"/>
  <c r="F863" i="2"/>
  <c r="E863" i="2"/>
  <c r="D863" i="2"/>
  <c r="C863" i="2"/>
  <c r="B863" i="2"/>
  <c r="A863" i="2"/>
  <c r="U862" i="2"/>
  <c r="N862" i="2"/>
  <c r="M862" i="2"/>
  <c r="J862" i="2"/>
  <c r="I862" i="2"/>
  <c r="H862" i="2"/>
  <c r="G862" i="2"/>
  <c r="F862" i="2"/>
  <c r="E862" i="2"/>
  <c r="D862" i="2"/>
  <c r="C862" i="2"/>
  <c r="B862" i="2"/>
  <c r="A862" i="2"/>
  <c r="U861" i="2"/>
  <c r="N861" i="2"/>
  <c r="M861" i="2"/>
  <c r="J861" i="2"/>
  <c r="I861" i="2"/>
  <c r="H861" i="2"/>
  <c r="G861" i="2"/>
  <c r="F861" i="2"/>
  <c r="E861" i="2"/>
  <c r="D861" i="2"/>
  <c r="C861" i="2"/>
  <c r="B861" i="2"/>
  <c r="A861" i="2"/>
  <c r="U860" i="2"/>
  <c r="N860" i="2"/>
  <c r="M860" i="2"/>
  <c r="J860" i="2"/>
  <c r="I860" i="2"/>
  <c r="H860" i="2"/>
  <c r="G860" i="2"/>
  <c r="F860" i="2"/>
  <c r="E860" i="2"/>
  <c r="D860" i="2"/>
  <c r="C860" i="2"/>
  <c r="B860" i="2"/>
  <c r="A860" i="2"/>
  <c r="U859" i="2"/>
  <c r="N859" i="2"/>
  <c r="M859" i="2"/>
  <c r="J859" i="2"/>
  <c r="I859" i="2"/>
  <c r="H859" i="2"/>
  <c r="G859" i="2"/>
  <c r="F859" i="2"/>
  <c r="E859" i="2"/>
  <c r="D859" i="2"/>
  <c r="C859" i="2"/>
  <c r="B859" i="2"/>
  <c r="A859" i="2"/>
  <c r="U858" i="2"/>
  <c r="N858" i="2"/>
  <c r="M858" i="2"/>
  <c r="J858" i="2"/>
  <c r="I858" i="2"/>
  <c r="H858" i="2"/>
  <c r="G858" i="2"/>
  <c r="F858" i="2"/>
  <c r="E858" i="2"/>
  <c r="D858" i="2"/>
  <c r="C858" i="2"/>
  <c r="B858" i="2"/>
  <c r="A858" i="2"/>
  <c r="U857" i="2"/>
  <c r="N857" i="2"/>
  <c r="M857" i="2"/>
  <c r="J857" i="2"/>
  <c r="I857" i="2"/>
  <c r="H857" i="2"/>
  <c r="G857" i="2"/>
  <c r="F857" i="2"/>
  <c r="E857" i="2"/>
  <c r="D857" i="2"/>
  <c r="C857" i="2"/>
  <c r="B857" i="2"/>
  <c r="A857" i="2"/>
  <c r="U856" i="2"/>
  <c r="N856" i="2"/>
  <c r="M856" i="2"/>
  <c r="J856" i="2"/>
  <c r="I856" i="2"/>
  <c r="H856" i="2"/>
  <c r="G856" i="2"/>
  <c r="F856" i="2"/>
  <c r="E856" i="2"/>
  <c r="D856" i="2"/>
  <c r="C856" i="2"/>
  <c r="B856" i="2"/>
  <c r="A856" i="2"/>
  <c r="U855" i="2"/>
  <c r="N855" i="2"/>
  <c r="M855" i="2"/>
  <c r="J855" i="2"/>
  <c r="I855" i="2"/>
  <c r="H855" i="2"/>
  <c r="G855" i="2"/>
  <c r="F855" i="2"/>
  <c r="E855" i="2"/>
  <c r="D855" i="2"/>
  <c r="C855" i="2"/>
  <c r="B855" i="2"/>
  <c r="A855" i="2"/>
  <c r="U854" i="2"/>
  <c r="N854" i="2"/>
  <c r="M854" i="2"/>
  <c r="J854" i="2"/>
  <c r="I854" i="2"/>
  <c r="H854" i="2"/>
  <c r="G854" i="2"/>
  <c r="F854" i="2"/>
  <c r="E854" i="2"/>
  <c r="D854" i="2"/>
  <c r="C854" i="2"/>
  <c r="B854" i="2"/>
  <c r="A854" i="2"/>
  <c r="U853" i="2"/>
  <c r="N853" i="2"/>
  <c r="M853" i="2"/>
  <c r="J853" i="2"/>
  <c r="I853" i="2"/>
  <c r="H853" i="2"/>
  <c r="G853" i="2"/>
  <c r="F853" i="2"/>
  <c r="E853" i="2"/>
  <c r="D853" i="2"/>
  <c r="C853" i="2"/>
  <c r="B853" i="2"/>
  <c r="A853" i="2"/>
  <c r="U852" i="2"/>
  <c r="N852" i="2"/>
  <c r="M852" i="2"/>
  <c r="J852" i="2"/>
  <c r="I852" i="2"/>
  <c r="H852" i="2"/>
  <c r="G852" i="2"/>
  <c r="F852" i="2"/>
  <c r="E852" i="2"/>
  <c r="D852" i="2"/>
  <c r="C852" i="2"/>
  <c r="B852" i="2"/>
  <c r="A852" i="2"/>
  <c r="U851" i="2"/>
  <c r="N851" i="2"/>
  <c r="M851" i="2"/>
  <c r="J851" i="2"/>
  <c r="I851" i="2"/>
  <c r="H851" i="2"/>
  <c r="G851" i="2"/>
  <c r="F851" i="2"/>
  <c r="E851" i="2"/>
  <c r="D851" i="2"/>
  <c r="C851" i="2"/>
  <c r="B851" i="2"/>
  <c r="A851" i="2"/>
  <c r="U850" i="2"/>
  <c r="N850" i="2"/>
  <c r="M850" i="2"/>
  <c r="J850" i="2"/>
  <c r="I850" i="2"/>
  <c r="H850" i="2"/>
  <c r="G850" i="2"/>
  <c r="F850" i="2"/>
  <c r="E850" i="2"/>
  <c r="D850" i="2"/>
  <c r="C850" i="2"/>
  <c r="B850" i="2"/>
  <c r="A850" i="2"/>
  <c r="U849" i="2"/>
  <c r="N849" i="2"/>
  <c r="M849" i="2"/>
  <c r="J849" i="2"/>
  <c r="I849" i="2"/>
  <c r="H849" i="2"/>
  <c r="G849" i="2"/>
  <c r="F849" i="2"/>
  <c r="E849" i="2"/>
  <c r="D849" i="2"/>
  <c r="C849" i="2"/>
  <c r="B849" i="2"/>
  <c r="A849" i="2"/>
  <c r="U848" i="2"/>
  <c r="N848" i="2"/>
  <c r="M848" i="2"/>
  <c r="J848" i="2"/>
  <c r="I848" i="2"/>
  <c r="H848" i="2"/>
  <c r="G848" i="2"/>
  <c r="F848" i="2"/>
  <c r="E848" i="2"/>
  <c r="D848" i="2"/>
  <c r="C848" i="2"/>
  <c r="B848" i="2"/>
  <c r="A848" i="2"/>
  <c r="U847" i="2"/>
  <c r="N847" i="2"/>
  <c r="M847" i="2"/>
  <c r="J847" i="2"/>
  <c r="I847" i="2"/>
  <c r="H847" i="2"/>
  <c r="G847" i="2"/>
  <c r="F847" i="2"/>
  <c r="E847" i="2"/>
  <c r="D847" i="2"/>
  <c r="C847" i="2"/>
  <c r="B847" i="2"/>
  <c r="A847" i="2"/>
  <c r="U846" i="2"/>
  <c r="N846" i="2"/>
  <c r="M846" i="2"/>
  <c r="J846" i="2"/>
  <c r="I846" i="2"/>
  <c r="H846" i="2"/>
  <c r="G846" i="2"/>
  <c r="F846" i="2"/>
  <c r="E846" i="2"/>
  <c r="D846" i="2"/>
  <c r="C846" i="2"/>
  <c r="B846" i="2"/>
  <c r="A846" i="2"/>
  <c r="U845" i="2"/>
  <c r="N845" i="2"/>
  <c r="M845" i="2"/>
  <c r="J845" i="2"/>
  <c r="I845" i="2"/>
  <c r="H845" i="2"/>
  <c r="G845" i="2"/>
  <c r="F845" i="2"/>
  <c r="E845" i="2"/>
  <c r="D845" i="2"/>
  <c r="C845" i="2"/>
  <c r="B845" i="2"/>
  <c r="A845" i="2"/>
  <c r="U844" i="2"/>
  <c r="N844" i="2"/>
  <c r="M844" i="2"/>
  <c r="J844" i="2"/>
  <c r="I844" i="2"/>
  <c r="H844" i="2"/>
  <c r="G844" i="2"/>
  <c r="F844" i="2"/>
  <c r="E844" i="2"/>
  <c r="D844" i="2"/>
  <c r="C844" i="2"/>
  <c r="B844" i="2"/>
  <c r="A844" i="2"/>
  <c r="U843" i="2"/>
  <c r="N843" i="2"/>
  <c r="M843" i="2"/>
  <c r="J843" i="2"/>
  <c r="I843" i="2"/>
  <c r="H843" i="2"/>
  <c r="G843" i="2"/>
  <c r="F843" i="2"/>
  <c r="E843" i="2"/>
  <c r="D843" i="2"/>
  <c r="C843" i="2"/>
  <c r="B843" i="2"/>
  <c r="A843" i="2"/>
  <c r="U842" i="2"/>
  <c r="N842" i="2"/>
  <c r="M842" i="2"/>
  <c r="J842" i="2"/>
  <c r="I842" i="2"/>
  <c r="H842" i="2"/>
  <c r="G842" i="2"/>
  <c r="F842" i="2"/>
  <c r="E842" i="2"/>
  <c r="D842" i="2"/>
  <c r="C842" i="2"/>
  <c r="B842" i="2"/>
  <c r="A842" i="2"/>
  <c r="U841" i="2"/>
  <c r="N841" i="2"/>
  <c r="M841" i="2"/>
  <c r="J841" i="2"/>
  <c r="I841" i="2"/>
  <c r="H841" i="2"/>
  <c r="G841" i="2"/>
  <c r="F841" i="2"/>
  <c r="E841" i="2"/>
  <c r="D841" i="2"/>
  <c r="C841" i="2"/>
  <c r="B841" i="2"/>
  <c r="A841" i="2"/>
  <c r="U840" i="2"/>
  <c r="N840" i="2"/>
  <c r="M840" i="2"/>
  <c r="J840" i="2"/>
  <c r="I840" i="2"/>
  <c r="H840" i="2"/>
  <c r="G840" i="2"/>
  <c r="F840" i="2"/>
  <c r="E840" i="2"/>
  <c r="D840" i="2"/>
  <c r="C840" i="2"/>
  <c r="B840" i="2"/>
  <c r="A840" i="2"/>
  <c r="U839" i="2"/>
  <c r="N839" i="2"/>
  <c r="M839" i="2"/>
  <c r="J839" i="2"/>
  <c r="I839" i="2"/>
  <c r="H839" i="2"/>
  <c r="G839" i="2"/>
  <c r="F839" i="2"/>
  <c r="E839" i="2"/>
  <c r="D839" i="2"/>
  <c r="C839" i="2"/>
  <c r="B839" i="2"/>
  <c r="A839" i="2"/>
  <c r="U838" i="2"/>
  <c r="N838" i="2"/>
  <c r="M838" i="2"/>
  <c r="J838" i="2"/>
  <c r="I838" i="2"/>
  <c r="H838" i="2"/>
  <c r="G838" i="2"/>
  <c r="F838" i="2"/>
  <c r="E838" i="2"/>
  <c r="D838" i="2"/>
  <c r="C838" i="2"/>
  <c r="B838" i="2"/>
  <c r="A838" i="2"/>
  <c r="U837" i="2"/>
  <c r="N837" i="2"/>
  <c r="M837" i="2"/>
  <c r="J837" i="2"/>
  <c r="I837" i="2"/>
  <c r="H837" i="2"/>
  <c r="G837" i="2"/>
  <c r="F837" i="2"/>
  <c r="E837" i="2"/>
  <c r="D837" i="2"/>
  <c r="C837" i="2"/>
  <c r="B837" i="2"/>
  <c r="A837" i="2"/>
  <c r="U836" i="2"/>
  <c r="N836" i="2"/>
  <c r="M836" i="2"/>
  <c r="J836" i="2"/>
  <c r="I836" i="2"/>
  <c r="H836" i="2"/>
  <c r="G836" i="2"/>
  <c r="F836" i="2"/>
  <c r="E836" i="2"/>
  <c r="D836" i="2"/>
  <c r="C836" i="2"/>
  <c r="B836" i="2"/>
  <c r="A836" i="2"/>
  <c r="U835" i="2"/>
  <c r="N835" i="2"/>
  <c r="M835" i="2"/>
  <c r="J835" i="2"/>
  <c r="I835" i="2"/>
  <c r="H835" i="2"/>
  <c r="G835" i="2"/>
  <c r="F835" i="2"/>
  <c r="E835" i="2"/>
  <c r="D835" i="2"/>
  <c r="C835" i="2"/>
  <c r="B835" i="2"/>
  <c r="A835" i="2"/>
  <c r="U834" i="2"/>
  <c r="N834" i="2"/>
  <c r="M834" i="2"/>
  <c r="J834" i="2"/>
  <c r="I834" i="2"/>
  <c r="H834" i="2"/>
  <c r="G834" i="2"/>
  <c r="F834" i="2"/>
  <c r="E834" i="2"/>
  <c r="D834" i="2"/>
  <c r="C834" i="2"/>
  <c r="B834" i="2"/>
  <c r="A834" i="2"/>
  <c r="U833" i="2"/>
  <c r="N833" i="2"/>
  <c r="M833" i="2"/>
  <c r="J833" i="2"/>
  <c r="I833" i="2"/>
  <c r="H833" i="2"/>
  <c r="G833" i="2"/>
  <c r="F833" i="2"/>
  <c r="E833" i="2"/>
  <c r="D833" i="2"/>
  <c r="C833" i="2"/>
  <c r="B833" i="2"/>
  <c r="A833" i="2"/>
  <c r="U832" i="2"/>
  <c r="N832" i="2"/>
  <c r="M832" i="2"/>
  <c r="J832" i="2"/>
  <c r="I832" i="2"/>
  <c r="H832" i="2"/>
  <c r="G832" i="2"/>
  <c r="F832" i="2"/>
  <c r="E832" i="2"/>
  <c r="D832" i="2"/>
  <c r="C832" i="2"/>
  <c r="B832" i="2"/>
  <c r="A832" i="2"/>
  <c r="U831" i="2"/>
  <c r="N831" i="2"/>
  <c r="M831" i="2"/>
  <c r="J831" i="2"/>
  <c r="I831" i="2"/>
  <c r="H831" i="2"/>
  <c r="G831" i="2"/>
  <c r="F831" i="2"/>
  <c r="E831" i="2"/>
  <c r="D831" i="2"/>
  <c r="C831" i="2"/>
  <c r="B831" i="2"/>
  <c r="A831" i="2"/>
  <c r="U830" i="2"/>
  <c r="N830" i="2"/>
  <c r="M830" i="2"/>
  <c r="J830" i="2"/>
  <c r="I830" i="2"/>
  <c r="H830" i="2"/>
  <c r="G830" i="2"/>
  <c r="F830" i="2"/>
  <c r="E830" i="2"/>
  <c r="D830" i="2"/>
  <c r="C830" i="2"/>
  <c r="B830" i="2"/>
  <c r="A830" i="2"/>
  <c r="U829" i="2"/>
  <c r="N829" i="2"/>
  <c r="M829" i="2"/>
  <c r="J829" i="2"/>
  <c r="I829" i="2"/>
  <c r="H829" i="2"/>
  <c r="G829" i="2"/>
  <c r="F829" i="2"/>
  <c r="E829" i="2"/>
  <c r="D829" i="2"/>
  <c r="C829" i="2"/>
  <c r="B829" i="2"/>
  <c r="A829" i="2"/>
  <c r="U828" i="2"/>
  <c r="N828" i="2"/>
  <c r="M828" i="2"/>
  <c r="J828" i="2"/>
  <c r="I828" i="2"/>
  <c r="H828" i="2"/>
  <c r="G828" i="2"/>
  <c r="F828" i="2"/>
  <c r="E828" i="2"/>
  <c r="D828" i="2"/>
  <c r="C828" i="2"/>
  <c r="B828" i="2"/>
  <c r="A828" i="2"/>
  <c r="U827" i="2"/>
  <c r="N827" i="2"/>
  <c r="M827" i="2"/>
  <c r="J827" i="2"/>
  <c r="I827" i="2"/>
  <c r="H827" i="2"/>
  <c r="G827" i="2"/>
  <c r="F827" i="2"/>
  <c r="E827" i="2"/>
  <c r="D827" i="2"/>
  <c r="C827" i="2"/>
  <c r="B827" i="2"/>
  <c r="A827" i="2"/>
  <c r="U826" i="2"/>
  <c r="N826" i="2"/>
  <c r="M826" i="2"/>
  <c r="J826" i="2"/>
  <c r="I826" i="2"/>
  <c r="H826" i="2"/>
  <c r="G826" i="2"/>
  <c r="F826" i="2"/>
  <c r="E826" i="2"/>
  <c r="D826" i="2"/>
  <c r="C826" i="2"/>
  <c r="B826" i="2"/>
  <c r="A826" i="2"/>
  <c r="U825" i="2"/>
  <c r="N825" i="2"/>
  <c r="M825" i="2"/>
  <c r="J825" i="2"/>
  <c r="I825" i="2"/>
  <c r="H825" i="2"/>
  <c r="G825" i="2"/>
  <c r="F825" i="2"/>
  <c r="E825" i="2"/>
  <c r="D825" i="2"/>
  <c r="C825" i="2"/>
  <c r="B825" i="2"/>
  <c r="A825" i="2"/>
  <c r="U824" i="2"/>
  <c r="N824" i="2"/>
  <c r="M824" i="2"/>
  <c r="J824" i="2"/>
  <c r="I824" i="2"/>
  <c r="H824" i="2"/>
  <c r="G824" i="2"/>
  <c r="F824" i="2"/>
  <c r="E824" i="2"/>
  <c r="D824" i="2"/>
  <c r="C824" i="2"/>
  <c r="B824" i="2"/>
  <c r="A824" i="2"/>
  <c r="U823" i="2"/>
  <c r="N823" i="2"/>
  <c r="M823" i="2"/>
  <c r="J823" i="2"/>
  <c r="I823" i="2"/>
  <c r="H823" i="2"/>
  <c r="G823" i="2"/>
  <c r="F823" i="2"/>
  <c r="E823" i="2"/>
  <c r="D823" i="2"/>
  <c r="C823" i="2"/>
  <c r="B823" i="2"/>
  <c r="A823" i="2"/>
  <c r="U822" i="2"/>
  <c r="N822" i="2"/>
  <c r="M822" i="2"/>
  <c r="J822" i="2"/>
  <c r="I822" i="2"/>
  <c r="H822" i="2"/>
  <c r="G822" i="2"/>
  <c r="F822" i="2"/>
  <c r="E822" i="2"/>
  <c r="D822" i="2"/>
  <c r="C822" i="2"/>
  <c r="B822" i="2"/>
  <c r="A822" i="2"/>
  <c r="U821" i="2"/>
  <c r="N821" i="2"/>
  <c r="M821" i="2"/>
  <c r="J821" i="2"/>
  <c r="I821" i="2"/>
  <c r="H821" i="2"/>
  <c r="G821" i="2"/>
  <c r="F821" i="2"/>
  <c r="E821" i="2"/>
  <c r="D821" i="2"/>
  <c r="C821" i="2"/>
  <c r="B821" i="2"/>
  <c r="A821" i="2"/>
  <c r="U820" i="2"/>
  <c r="N820" i="2"/>
  <c r="M820" i="2"/>
  <c r="J820" i="2"/>
  <c r="I820" i="2"/>
  <c r="H820" i="2"/>
  <c r="G820" i="2"/>
  <c r="F820" i="2"/>
  <c r="E820" i="2"/>
  <c r="D820" i="2"/>
  <c r="C820" i="2"/>
  <c r="B820" i="2"/>
  <c r="A820" i="2"/>
  <c r="U819" i="2"/>
  <c r="N819" i="2"/>
  <c r="M819" i="2"/>
  <c r="J819" i="2"/>
  <c r="I819" i="2"/>
  <c r="H819" i="2"/>
  <c r="G819" i="2"/>
  <c r="F819" i="2"/>
  <c r="E819" i="2"/>
  <c r="D819" i="2"/>
  <c r="C819" i="2"/>
  <c r="B819" i="2"/>
  <c r="A819" i="2"/>
  <c r="U818" i="2"/>
  <c r="N818" i="2"/>
  <c r="M818" i="2"/>
  <c r="J818" i="2"/>
  <c r="I818" i="2"/>
  <c r="H818" i="2"/>
  <c r="G818" i="2"/>
  <c r="F818" i="2"/>
  <c r="E818" i="2"/>
  <c r="D818" i="2"/>
  <c r="C818" i="2"/>
  <c r="B818" i="2"/>
  <c r="A818" i="2"/>
  <c r="U817" i="2"/>
  <c r="N817" i="2"/>
  <c r="M817" i="2"/>
  <c r="J817" i="2"/>
  <c r="I817" i="2"/>
  <c r="H817" i="2"/>
  <c r="G817" i="2"/>
  <c r="F817" i="2"/>
  <c r="E817" i="2"/>
  <c r="D817" i="2"/>
  <c r="C817" i="2"/>
  <c r="B817" i="2"/>
  <c r="A817" i="2"/>
  <c r="U816" i="2"/>
  <c r="N816" i="2"/>
  <c r="M816" i="2"/>
  <c r="J816" i="2"/>
  <c r="I816" i="2"/>
  <c r="H816" i="2"/>
  <c r="G816" i="2"/>
  <c r="F816" i="2"/>
  <c r="E816" i="2"/>
  <c r="D816" i="2"/>
  <c r="C816" i="2"/>
  <c r="B816" i="2"/>
  <c r="A816" i="2"/>
  <c r="U815" i="2"/>
  <c r="N815" i="2"/>
  <c r="M815" i="2"/>
  <c r="J815" i="2"/>
  <c r="I815" i="2"/>
  <c r="H815" i="2"/>
  <c r="G815" i="2"/>
  <c r="F815" i="2"/>
  <c r="E815" i="2"/>
  <c r="D815" i="2"/>
  <c r="C815" i="2"/>
  <c r="B815" i="2"/>
  <c r="A815" i="2"/>
  <c r="U814" i="2"/>
  <c r="N814" i="2"/>
  <c r="M814" i="2"/>
  <c r="J814" i="2"/>
  <c r="I814" i="2"/>
  <c r="H814" i="2"/>
  <c r="G814" i="2"/>
  <c r="F814" i="2"/>
  <c r="E814" i="2"/>
  <c r="D814" i="2"/>
  <c r="C814" i="2"/>
  <c r="B814" i="2"/>
  <c r="A814" i="2"/>
  <c r="U813" i="2"/>
  <c r="N813" i="2"/>
  <c r="M813" i="2"/>
  <c r="J813" i="2"/>
  <c r="I813" i="2"/>
  <c r="H813" i="2"/>
  <c r="G813" i="2"/>
  <c r="F813" i="2"/>
  <c r="E813" i="2"/>
  <c r="D813" i="2"/>
  <c r="C813" i="2"/>
  <c r="B813" i="2"/>
  <c r="A813" i="2"/>
  <c r="U812" i="2"/>
  <c r="N812" i="2"/>
  <c r="M812" i="2"/>
  <c r="J812" i="2"/>
  <c r="I812" i="2"/>
  <c r="H812" i="2"/>
  <c r="G812" i="2"/>
  <c r="F812" i="2"/>
  <c r="E812" i="2"/>
  <c r="D812" i="2"/>
  <c r="C812" i="2"/>
  <c r="B812" i="2"/>
  <c r="A812" i="2"/>
  <c r="U811" i="2"/>
  <c r="N811" i="2"/>
  <c r="M811" i="2"/>
  <c r="J811" i="2"/>
  <c r="I811" i="2"/>
  <c r="H811" i="2"/>
  <c r="G811" i="2"/>
  <c r="F811" i="2"/>
  <c r="E811" i="2"/>
  <c r="D811" i="2"/>
  <c r="C811" i="2"/>
  <c r="B811" i="2"/>
  <c r="A811" i="2"/>
  <c r="U810" i="2"/>
  <c r="N810" i="2"/>
  <c r="M810" i="2"/>
  <c r="J810" i="2"/>
  <c r="I810" i="2"/>
  <c r="H810" i="2"/>
  <c r="G810" i="2"/>
  <c r="F810" i="2"/>
  <c r="E810" i="2"/>
  <c r="D810" i="2"/>
  <c r="C810" i="2"/>
  <c r="B810" i="2"/>
  <c r="A810" i="2"/>
  <c r="U809" i="2"/>
  <c r="N809" i="2"/>
  <c r="M809" i="2"/>
  <c r="J809" i="2"/>
  <c r="I809" i="2"/>
  <c r="H809" i="2"/>
  <c r="G809" i="2"/>
  <c r="F809" i="2"/>
  <c r="E809" i="2"/>
  <c r="D809" i="2"/>
  <c r="C809" i="2"/>
  <c r="B809" i="2"/>
  <c r="A809" i="2"/>
  <c r="U808" i="2"/>
  <c r="N808" i="2"/>
  <c r="M808" i="2"/>
  <c r="J808" i="2"/>
  <c r="I808" i="2"/>
  <c r="H808" i="2"/>
  <c r="G808" i="2"/>
  <c r="F808" i="2"/>
  <c r="E808" i="2"/>
  <c r="D808" i="2"/>
  <c r="C808" i="2"/>
  <c r="B808" i="2"/>
  <c r="A808" i="2"/>
  <c r="U807" i="2"/>
  <c r="N807" i="2"/>
  <c r="M807" i="2"/>
  <c r="J807" i="2"/>
  <c r="I807" i="2"/>
  <c r="H807" i="2"/>
  <c r="G807" i="2"/>
  <c r="F807" i="2"/>
  <c r="E807" i="2"/>
  <c r="D807" i="2"/>
  <c r="C807" i="2"/>
  <c r="B807" i="2"/>
  <c r="A807" i="2"/>
  <c r="U806" i="2"/>
  <c r="N806" i="2"/>
  <c r="M806" i="2"/>
  <c r="J806" i="2"/>
  <c r="I806" i="2"/>
  <c r="H806" i="2"/>
  <c r="G806" i="2"/>
  <c r="F806" i="2"/>
  <c r="E806" i="2"/>
  <c r="D806" i="2"/>
  <c r="C806" i="2"/>
  <c r="B806" i="2"/>
  <c r="A806" i="2"/>
  <c r="U805" i="2"/>
  <c r="N805" i="2"/>
  <c r="M805" i="2"/>
  <c r="J805" i="2"/>
  <c r="I805" i="2"/>
  <c r="H805" i="2"/>
  <c r="G805" i="2"/>
  <c r="F805" i="2"/>
  <c r="E805" i="2"/>
  <c r="D805" i="2"/>
  <c r="C805" i="2"/>
  <c r="B805" i="2"/>
  <c r="A805" i="2"/>
  <c r="U804" i="2"/>
  <c r="N804" i="2"/>
  <c r="M804" i="2"/>
  <c r="J804" i="2"/>
  <c r="I804" i="2"/>
  <c r="H804" i="2"/>
  <c r="G804" i="2"/>
  <c r="F804" i="2"/>
  <c r="E804" i="2"/>
  <c r="D804" i="2"/>
  <c r="C804" i="2"/>
  <c r="B804" i="2"/>
  <c r="A804" i="2"/>
  <c r="U803" i="2"/>
  <c r="N803" i="2"/>
  <c r="M803" i="2"/>
  <c r="J803" i="2"/>
  <c r="I803" i="2"/>
  <c r="H803" i="2"/>
  <c r="G803" i="2"/>
  <c r="F803" i="2"/>
  <c r="E803" i="2"/>
  <c r="D803" i="2"/>
  <c r="C803" i="2"/>
  <c r="B803" i="2"/>
  <c r="A803" i="2"/>
  <c r="U802" i="2"/>
  <c r="N802" i="2"/>
  <c r="M802" i="2"/>
  <c r="J802" i="2"/>
  <c r="I802" i="2"/>
  <c r="H802" i="2"/>
  <c r="G802" i="2"/>
  <c r="F802" i="2"/>
  <c r="E802" i="2"/>
  <c r="D802" i="2"/>
  <c r="C802" i="2"/>
  <c r="B802" i="2"/>
  <c r="A802" i="2"/>
  <c r="U801" i="2"/>
  <c r="N801" i="2"/>
  <c r="M801" i="2"/>
  <c r="J801" i="2"/>
  <c r="I801" i="2"/>
  <c r="H801" i="2"/>
  <c r="G801" i="2"/>
  <c r="F801" i="2"/>
  <c r="E801" i="2"/>
  <c r="D801" i="2"/>
  <c r="C801" i="2"/>
  <c r="B801" i="2"/>
  <c r="A801" i="2"/>
  <c r="U800" i="2"/>
  <c r="N800" i="2"/>
  <c r="M800" i="2"/>
  <c r="J800" i="2"/>
  <c r="I800" i="2"/>
  <c r="H800" i="2"/>
  <c r="G800" i="2"/>
  <c r="F800" i="2"/>
  <c r="E800" i="2"/>
  <c r="D800" i="2"/>
  <c r="C800" i="2"/>
  <c r="B800" i="2"/>
  <c r="A800" i="2"/>
  <c r="U799" i="2"/>
  <c r="N799" i="2"/>
  <c r="M799" i="2"/>
  <c r="J799" i="2"/>
  <c r="I799" i="2"/>
  <c r="H799" i="2"/>
  <c r="G799" i="2"/>
  <c r="F799" i="2"/>
  <c r="E799" i="2"/>
  <c r="D799" i="2"/>
  <c r="C799" i="2"/>
  <c r="B799" i="2"/>
  <c r="A799" i="2"/>
  <c r="U798" i="2"/>
  <c r="N798" i="2"/>
  <c r="M798" i="2"/>
  <c r="J798" i="2"/>
  <c r="I798" i="2"/>
  <c r="H798" i="2"/>
  <c r="G798" i="2"/>
  <c r="F798" i="2"/>
  <c r="E798" i="2"/>
  <c r="D798" i="2"/>
  <c r="C798" i="2"/>
  <c r="B798" i="2"/>
  <c r="A798" i="2"/>
  <c r="U797" i="2"/>
  <c r="N797" i="2"/>
  <c r="M797" i="2"/>
  <c r="J797" i="2"/>
  <c r="I797" i="2"/>
  <c r="H797" i="2"/>
  <c r="G797" i="2"/>
  <c r="F797" i="2"/>
  <c r="E797" i="2"/>
  <c r="D797" i="2"/>
  <c r="C797" i="2"/>
  <c r="B797" i="2"/>
  <c r="A797" i="2"/>
  <c r="U796" i="2"/>
  <c r="N796" i="2"/>
  <c r="M796" i="2"/>
  <c r="J796" i="2"/>
  <c r="I796" i="2"/>
  <c r="H796" i="2"/>
  <c r="G796" i="2"/>
  <c r="F796" i="2"/>
  <c r="E796" i="2"/>
  <c r="D796" i="2"/>
  <c r="C796" i="2"/>
  <c r="B796" i="2"/>
  <c r="A796" i="2"/>
  <c r="U795" i="2"/>
  <c r="N795" i="2"/>
  <c r="M795" i="2"/>
  <c r="J795" i="2"/>
  <c r="I795" i="2"/>
  <c r="H795" i="2"/>
  <c r="G795" i="2"/>
  <c r="F795" i="2"/>
  <c r="E795" i="2"/>
  <c r="D795" i="2"/>
  <c r="C795" i="2"/>
  <c r="B795" i="2"/>
  <c r="A795" i="2"/>
  <c r="U794" i="2"/>
  <c r="N794" i="2"/>
  <c r="M794" i="2"/>
  <c r="J794" i="2"/>
  <c r="I794" i="2"/>
  <c r="H794" i="2"/>
  <c r="G794" i="2"/>
  <c r="F794" i="2"/>
  <c r="E794" i="2"/>
  <c r="D794" i="2"/>
  <c r="C794" i="2"/>
  <c r="B794" i="2"/>
  <c r="A794" i="2"/>
  <c r="U793" i="2"/>
  <c r="N793" i="2"/>
  <c r="M793" i="2"/>
  <c r="J793" i="2"/>
  <c r="I793" i="2"/>
  <c r="H793" i="2"/>
  <c r="G793" i="2"/>
  <c r="F793" i="2"/>
  <c r="E793" i="2"/>
  <c r="D793" i="2"/>
  <c r="C793" i="2"/>
  <c r="B793" i="2"/>
  <c r="A793" i="2"/>
  <c r="U792" i="2"/>
  <c r="N792" i="2"/>
  <c r="M792" i="2"/>
  <c r="J792" i="2"/>
  <c r="I792" i="2"/>
  <c r="H792" i="2"/>
  <c r="G792" i="2"/>
  <c r="F792" i="2"/>
  <c r="E792" i="2"/>
  <c r="D792" i="2"/>
  <c r="C792" i="2"/>
  <c r="B792" i="2"/>
  <c r="A792" i="2"/>
  <c r="U791" i="2"/>
  <c r="N791" i="2"/>
  <c r="M791" i="2"/>
  <c r="J791" i="2"/>
  <c r="I791" i="2"/>
  <c r="H791" i="2"/>
  <c r="G791" i="2"/>
  <c r="F791" i="2"/>
  <c r="E791" i="2"/>
  <c r="D791" i="2"/>
  <c r="C791" i="2"/>
  <c r="B791" i="2"/>
  <c r="A791" i="2"/>
  <c r="U790" i="2"/>
  <c r="N790" i="2"/>
  <c r="M790" i="2"/>
  <c r="J790" i="2"/>
  <c r="I790" i="2"/>
  <c r="H790" i="2"/>
  <c r="G790" i="2"/>
  <c r="F790" i="2"/>
  <c r="E790" i="2"/>
  <c r="D790" i="2"/>
  <c r="C790" i="2"/>
  <c r="B790" i="2"/>
  <c r="A790" i="2"/>
  <c r="U789" i="2"/>
  <c r="N789" i="2"/>
  <c r="M789" i="2"/>
  <c r="J789" i="2"/>
  <c r="I789" i="2"/>
  <c r="H789" i="2"/>
  <c r="G789" i="2"/>
  <c r="F789" i="2"/>
  <c r="E789" i="2"/>
  <c r="D789" i="2"/>
  <c r="C789" i="2"/>
  <c r="B789" i="2"/>
  <c r="A789" i="2"/>
  <c r="U788" i="2"/>
  <c r="N788" i="2"/>
  <c r="M788" i="2"/>
  <c r="J788" i="2"/>
  <c r="I788" i="2"/>
  <c r="H788" i="2"/>
  <c r="G788" i="2"/>
  <c r="F788" i="2"/>
  <c r="E788" i="2"/>
  <c r="D788" i="2"/>
  <c r="C788" i="2"/>
  <c r="B788" i="2"/>
  <c r="A788" i="2"/>
  <c r="U787" i="2"/>
  <c r="N787" i="2"/>
  <c r="M787" i="2"/>
  <c r="J787" i="2"/>
  <c r="I787" i="2"/>
  <c r="H787" i="2"/>
  <c r="G787" i="2"/>
  <c r="F787" i="2"/>
  <c r="E787" i="2"/>
  <c r="D787" i="2"/>
  <c r="C787" i="2"/>
  <c r="B787" i="2"/>
  <c r="A787" i="2"/>
  <c r="U786" i="2"/>
  <c r="N786" i="2"/>
  <c r="M786" i="2"/>
  <c r="J786" i="2"/>
  <c r="I786" i="2"/>
  <c r="H786" i="2"/>
  <c r="G786" i="2"/>
  <c r="F786" i="2"/>
  <c r="E786" i="2"/>
  <c r="D786" i="2"/>
  <c r="C786" i="2"/>
  <c r="B786" i="2"/>
  <c r="A786" i="2"/>
  <c r="U785" i="2"/>
  <c r="N785" i="2"/>
  <c r="M785" i="2"/>
  <c r="J785" i="2"/>
  <c r="I785" i="2"/>
  <c r="H785" i="2"/>
  <c r="G785" i="2"/>
  <c r="F785" i="2"/>
  <c r="E785" i="2"/>
  <c r="D785" i="2"/>
  <c r="C785" i="2"/>
  <c r="B785" i="2"/>
  <c r="A785" i="2"/>
  <c r="U784" i="2"/>
  <c r="N784" i="2"/>
  <c r="M784" i="2"/>
  <c r="J784" i="2"/>
  <c r="I784" i="2"/>
  <c r="H784" i="2"/>
  <c r="G784" i="2"/>
  <c r="F784" i="2"/>
  <c r="E784" i="2"/>
  <c r="D784" i="2"/>
  <c r="C784" i="2"/>
  <c r="B784" i="2"/>
  <c r="A784" i="2"/>
  <c r="U783" i="2"/>
  <c r="N783" i="2"/>
  <c r="M783" i="2"/>
  <c r="J783" i="2"/>
  <c r="I783" i="2"/>
  <c r="H783" i="2"/>
  <c r="G783" i="2"/>
  <c r="F783" i="2"/>
  <c r="E783" i="2"/>
  <c r="D783" i="2"/>
  <c r="C783" i="2"/>
  <c r="B783" i="2"/>
  <c r="A783" i="2"/>
  <c r="U782" i="2"/>
  <c r="N782" i="2"/>
  <c r="M782" i="2"/>
  <c r="J782" i="2"/>
  <c r="I782" i="2"/>
  <c r="H782" i="2"/>
  <c r="G782" i="2"/>
  <c r="F782" i="2"/>
  <c r="E782" i="2"/>
  <c r="D782" i="2"/>
  <c r="C782" i="2"/>
  <c r="B782" i="2"/>
  <c r="A782" i="2"/>
  <c r="U781" i="2"/>
  <c r="N781" i="2"/>
  <c r="M781" i="2"/>
  <c r="J781" i="2"/>
  <c r="I781" i="2"/>
  <c r="H781" i="2"/>
  <c r="G781" i="2"/>
  <c r="F781" i="2"/>
  <c r="E781" i="2"/>
  <c r="D781" i="2"/>
  <c r="C781" i="2"/>
  <c r="B781" i="2"/>
  <c r="A781" i="2"/>
  <c r="U780" i="2"/>
  <c r="N780" i="2"/>
  <c r="M780" i="2"/>
  <c r="J780" i="2"/>
  <c r="I780" i="2"/>
  <c r="H780" i="2"/>
  <c r="G780" i="2"/>
  <c r="F780" i="2"/>
  <c r="E780" i="2"/>
  <c r="D780" i="2"/>
  <c r="C780" i="2"/>
  <c r="B780" i="2"/>
  <c r="A780" i="2"/>
  <c r="U779" i="2"/>
  <c r="N779" i="2"/>
  <c r="M779" i="2"/>
  <c r="J779" i="2"/>
  <c r="I779" i="2"/>
  <c r="H779" i="2"/>
  <c r="G779" i="2"/>
  <c r="F779" i="2"/>
  <c r="E779" i="2"/>
  <c r="D779" i="2"/>
  <c r="C779" i="2"/>
  <c r="B779" i="2"/>
  <c r="A779" i="2"/>
  <c r="U778" i="2"/>
  <c r="N778" i="2"/>
  <c r="M778" i="2"/>
  <c r="J778" i="2"/>
  <c r="I778" i="2"/>
  <c r="H778" i="2"/>
  <c r="G778" i="2"/>
  <c r="F778" i="2"/>
  <c r="E778" i="2"/>
  <c r="D778" i="2"/>
  <c r="C778" i="2"/>
  <c r="B778" i="2"/>
  <c r="A778" i="2"/>
  <c r="U777" i="2"/>
  <c r="N777" i="2"/>
  <c r="M777" i="2"/>
  <c r="J777" i="2"/>
  <c r="I777" i="2"/>
  <c r="H777" i="2"/>
  <c r="G777" i="2"/>
  <c r="F777" i="2"/>
  <c r="E777" i="2"/>
  <c r="D777" i="2"/>
  <c r="C777" i="2"/>
  <c r="B777" i="2"/>
  <c r="A777" i="2"/>
  <c r="U776" i="2"/>
  <c r="N776" i="2"/>
  <c r="M776" i="2"/>
  <c r="J776" i="2"/>
  <c r="I776" i="2"/>
  <c r="H776" i="2"/>
  <c r="G776" i="2"/>
  <c r="F776" i="2"/>
  <c r="E776" i="2"/>
  <c r="D776" i="2"/>
  <c r="C776" i="2"/>
  <c r="B776" i="2"/>
  <c r="A776" i="2"/>
  <c r="U775" i="2"/>
  <c r="N775" i="2"/>
  <c r="M775" i="2"/>
  <c r="J775" i="2"/>
  <c r="I775" i="2"/>
  <c r="H775" i="2"/>
  <c r="G775" i="2"/>
  <c r="F775" i="2"/>
  <c r="E775" i="2"/>
  <c r="D775" i="2"/>
  <c r="C775" i="2"/>
  <c r="B775" i="2"/>
  <c r="A775" i="2"/>
  <c r="U774" i="2"/>
  <c r="N774" i="2"/>
  <c r="M774" i="2"/>
  <c r="J774" i="2"/>
  <c r="I774" i="2"/>
  <c r="H774" i="2"/>
  <c r="G774" i="2"/>
  <c r="F774" i="2"/>
  <c r="E774" i="2"/>
  <c r="D774" i="2"/>
  <c r="C774" i="2"/>
  <c r="B774" i="2"/>
  <c r="A774" i="2"/>
  <c r="U773" i="2"/>
  <c r="N773" i="2"/>
  <c r="M773" i="2"/>
  <c r="J773" i="2"/>
  <c r="I773" i="2"/>
  <c r="H773" i="2"/>
  <c r="G773" i="2"/>
  <c r="F773" i="2"/>
  <c r="E773" i="2"/>
  <c r="D773" i="2"/>
  <c r="C773" i="2"/>
  <c r="B773" i="2"/>
  <c r="A773" i="2"/>
  <c r="U772" i="2"/>
  <c r="N772" i="2"/>
  <c r="M772" i="2"/>
  <c r="J772" i="2"/>
  <c r="I772" i="2"/>
  <c r="H772" i="2"/>
  <c r="G772" i="2"/>
  <c r="F772" i="2"/>
  <c r="E772" i="2"/>
  <c r="D772" i="2"/>
  <c r="C772" i="2"/>
  <c r="B772" i="2"/>
  <c r="A772" i="2"/>
  <c r="U771" i="2"/>
  <c r="N771" i="2"/>
  <c r="M771" i="2"/>
  <c r="J771" i="2"/>
  <c r="I771" i="2"/>
  <c r="H771" i="2"/>
  <c r="G771" i="2"/>
  <c r="F771" i="2"/>
  <c r="E771" i="2"/>
  <c r="D771" i="2"/>
  <c r="C771" i="2"/>
  <c r="B771" i="2"/>
  <c r="A771" i="2"/>
  <c r="U770" i="2"/>
  <c r="N770" i="2"/>
  <c r="M770" i="2"/>
  <c r="J770" i="2"/>
  <c r="I770" i="2"/>
  <c r="H770" i="2"/>
  <c r="G770" i="2"/>
  <c r="F770" i="2"/>
  <c r="E770" i="2"/>
  <c r="D770" i="2"/>
  <c r="C770" i="2"/>
  <c r="B770" i="2"/>
  <c r="A770" i="2"/>
  <c r="U769" i="2"/>
  <c r="N769" i="2"/>
  <c r="M769" i="2"/>
  <c r="J769" i="2"/>
  <c r="I769" i="2"/>
  <c r="H769" i="2"/>
  <c r="G769" i="2"/>
  <c r="F769" i="2"/>
  <c r="E769" i="2"/>
  <c r="D769" i="2"/>
  <c r="C769" i="2"/>
  <c r="B769" i="2"/>
  <c r="A769" i="2"/>
  <c r="U768" i="2"/>
  <c r="N768" i="2"/>
  <c r="M768" i="2"/>
  <c r="J768" i="2"/>
  <c r="I768" i="2"/>
  <c r="H768" i="2"/>
  <c r="G768" i="2"/>
  <c r="F768" i="2"/>
  <c r="E768" i="2"/>
  <c r="D768" i="2"/>
  <c r="C768" i="2"/>
  <c r="B768" i="2"/>
  <c r="A768" i="2"/>
  <c r="U767" i="2"/>
  <c r="N767" i="2"/>
  <c r="M767" i="2"/>
  <c r="J767" i="2"/>
  <c r="I767" i="2"/>
  <c r="H767" i="2"/>
  <c r="G767" i="2"/>
  <c r="F767" i="2"/>
  <c r="E767" i="2"/>
  <c r="D767" i="2"/>
  <c r="C767" i="2"/>
  <c r="B767" i="2"/>
  <c r="A767" i="2"/>
  <c r="U766" i="2"/>
  <c r="N766" i="2"/>
  <c r="M766" i="2"/>
  <c r="J766" i="2"/>
  <c r="I766" i="2"/>
  <c r="H766" i="2"/>
  <c r="G766" i="2"/>
  <c r="F766" i="2"/>
  <c r="E766" i="2"/>
  <c r="D766" i="2"/>
  <c r="C766" i="2"/>
  <c r="B766" i="2"/>
  <c r="A766" i="2"/>
  <c r="U765" i="2"/>
  <c r="N765" i="2"/>
  <c r="M765" i="2"/>
  <c r="J765" i="2"/>
  <c r="I765" i="2"/>
  <c r="H765" i="2"/>
  <c r="G765" i="2"/>
  <c r="F765" i="2"/>
  <c r="E765" i="2"/>
  <c r="D765" i="2"/>
  <c r="C765" i="2"/>
  <c r="B765" i="2"/>
  <c r="A765" i="2"/>
  <c r="U764" i="2"/>
  <c r="N764" i="2"/>
  <c r="M764" i="2"/>
  <c r="J764" i="2"/>
  <c r="I764" i="2"/>
  <c r="H764" i="2"/>
  <c r="G764" i="2"/>
  <c r="F764" i="2"/>
  <c r="E764" i="2"/>
  <c r="D764" i="2"/>
  <c r="C764" i="2"/>
  <c r="B764" i="2"/>
  <c r="A764" i="2"/>
  <c r="U763" i="2"/>
  <c r="N763" i="2"/>
  <c r="M763" i="2"/>
  <c r="J763" i="2"/>
  <c r="I763" i="2"/>
  <c r="H763" i="2"/>
  <c r="G763" i="2"/>
  <c r="F763" i="2"/>
  <c r="E763" i="2"/>
  <c r="D763" i="2"/>
  <c r="C763" i="2"/>
  <c r="B763" i="2"/>
  <c r="A763" i="2"/>
  <c r="U762" i="2"/>
  <c r="N762" i="2"/>
  <c r="M762" i="2"/>
  <c r="J762" i="2"/>
  <c r="I762" i="2"/>
  <c r="H762" i="2"/>
  <c r="G762" i="2"/>
  <c r="F762" i="2"/>
  <c r="E762" i="2"/>
  <c r="D762" i="2"/>
  <c r="C762" i="2"/>
  <c r="B762" i="2"/>
  <c r="A762" i="2"/>
  <c r="U761" i="2"/>
  <c r="N761" i="2"/>
  <c r="M761" i="2"/>
  <c r="J761" i="2"/>
  <c r="I761" i="2"/>
  <c r="H761" i="2"/>
  <c r="G761" i="2"/>
  <c r="F761" i="2"/>
  <c r="E761" i="2"/>
  <c r="D761" i="2"/>
  <c r="C761" i="2"/>
  <c r="B761" i="2"/>
  <c r="A761" i="2"/>
  <c r="U760" i="2"/>
  <c r="N760" i="2"/>
  <c r="M760" i="2"/>
  <c r="J760" i="2"/>
  <c r="I760" i="2"/>
  <c r="H760" i="2"/>
  <c r="G760" i="2"/>
  <c r="F760" i="2"/>
  <c r="E760" i="2"/>
  <c r="D760" i="2"/>
  <c r="C760" i="2"/>
  <c r="B760" i="2"/>
  <c r="A760" i="2"/>
  <c r="U759" i="2"/>
  <c r="N759" i="2"/>
  <c r="M759" i="2"/>
  <c r="J759" i="2"/>
  <c r="I759" i="2"/>
  <c r="H759" i="2"/>
  <c r="G759" i="2"/>
  <c r="F759" i="2"/>
  <c r="E759" i="2"/>
  <c r="D759" i="2"/>
  <c r="C759" i="2"/>
  <c r="B759" i="2"/>
  <c r="A759" i="2"/>
  <c r="U758" i="2"/>
  <c r="N758" i="2"/>
  <c r="M758" i="2"/>
  <c r="J758" i="2"/>
  <c r="I758" i="2"/>
  <c r="H758" i="2"/>
  <c r="G758" i="2"/>
  <c r="F758" i="2"/>
  <c r="E758" i="2"/>
  <c r="D758" i="2"/>
  <c r="C758" i="2"/>
  <c r="B758" i="2"/>
  <c r="A758" i="2"/>
  <c r="U757" i="2"/>
  <c r="N757" i="2"/>
  <c r="M757" i="2"/>
  <c r="J757" i="2"/>
  <c r="I757" i="2"/>
  <c r="H757" i="2"/>
  <c r="G757" i="2"/>
  <c r="F757" i="2"/>
  <c r="E757" i="2"/>
  <c r="D757" i="2"/>
  <c r="C757" i="2"/>
  <c r="B757" i="2"/>
  <c r="A757" i="2"/>
  <c r="U756" i="2"/>
  <c r="N756" i="2"/>
  <c r="M756" i="2"/>
  <c r="J756" i="2"/>
  <c r="I756" i="2"/>
  <c r="H756" i="2"/>
  <c r="G756" i="2"/>
  <c r="F756" i="2"/>
  <c r="E756" i="2"/>
  <c r="D756" i="2"/>
  <c r="C756" i="2"/>
  <c r="B756" i="2"/>
  <c r="A756" i="2"/>
  <c r="U755" i="2"/>
  <c r="N755" i="2"/>
  <c r="M755" i="2"/>
  <c r="J755" i="2"/>
  <c r="I755" i="2"/>
  <c r="H755" i="2"/>
  <c r="G755" i="2"/>
  <c r="F755" i="2"/>
  <c r="E755" i="2"/>
  <c r="D755" i="2"/>
  <c r="C755" i="2"/>
  <c r="B755" i="2"/>
  <c r="A755" i="2"/>
  <c r="U754" i="2"/>
  <c r="N754" i="2"/>
  <c r="M754" i="2"/>
  <c r="J754" i="2"/>
  <c r="I754" i="2"/>
  <c r="H754" i="2"/>
  <c r="G754" i="2"/>
  <c r="F754" i="2"/>
  <c r="E754" i="2"/>
  <c r="D754" i="2"/>
  <c r="C754" i="2"/>
  <c r="B754" i="2"/>
  <c r="A754" i="2"/>
  <c r="U753" i="2"/>
  <c r="N753" i="2"/>
  <c r="M753" i="2"/>
  <c r="J753" i="2"/>
  <c r="I753" i="2"/>
  <c r="H753" i="2"/>
  <c r="G753" i="2"/>
  <c r="F753" i="2"/>
  <c r="E753" i="2"/>
  <c r="D753" i="2"/>
  <c r="C753" i="2"/>
  <c r="B753" i="2"/>
  <c r="A753" i="2"/>
  <c r="U752" i="2"/>
  <c r="N752" i="2"/>
  <c r="M752" i="2"/>
  <c r="J752" i="2"/>
  <c r="I752" i="2"/>
  <c r="H752" i="2"/>
  <c r="G752" i="2"/>
  <c r="F752" i="2"/>
  <c r="E752" i="2"/>
  <c r="D752" i="2"/>
  <c r="C752" i="2"/>
  <c r="B752" i="2"/>
  <c r="A752" i="2"/>
  <c r="U751" i="2"/>
  <c r="N751" i="2"/>
  <c r="M751" i="2"/>
  <c r="J751" i="2"/>
  <c r="I751" i="2"/>
  <c r="H751" i="2"/>
  <c r="G751" i="2"/>
  <c r="F751" i="2"/>
  <c r="E751" i="2"/>
  <c r="D751" i="2"/>
  <c r="C751" i="2"/>
  <c r="B751" i="2"/>
  <c r="A751" i="2"/>
  <c r="U750" i="2"/>
  <c r="N750" i="2"/>
  <c r="M750" i="2"/>
  <c r="J750" i="2"/>
  <c r="I750" i="2"/>
  <c r="H750" i="2"/>
  <c r="G750" i="2"/>
  <c r="F750" i="2"/>
  <c r="E750" i="2"/>
  <c r="D750" i="2"/>
  <c r="C750" i="2"/>
  <c r="B750" i="2"/>
  <c r="A750" i="2"/>
  <c r="U749" i="2"/>
  <c r="N749" i="2"/>
  <c r="M749" i="2"/>
  <c r="J749" i="2"/>
  <c r="I749" i="2"/>
  <c r="H749" i="2"/>
  <c r="G749" i="2"/>
  <c r="F749" i="2"/>
  <c r="E749" i="2"/>
  <c r="D749" i="2"/>
  <c r="C749" i="2"/>
  <c r="B749" i="2"/>
  <c r="A749" i="2"/>
  <c r="U748" i="2"/>
  <c r="N748" i="2"/>
  <c r="M748" i="2"/>
  <c r="J748" i="2"/>
  <c r="I748" i="2"/>
  <c r="H748" i="2"/>
  <c r="G748" i="2"/>
  <c r="F748" i="2"/>
  <c r="E748" i="2"/>
  <c r="D748" i="2"/>
  <c r="C748" i="2"/>
  <c r="B748" i="2"/>
  <c r="A748" i="2"/>
  <c r="U747" i="2"/>
  <c r="N747" i="2"/>
  <c r="M747" i="2"/>
  <c r="J747" i="2"/>
  <c r="I747" i="2"/>
  <c r="H747" i="2"/>
  <c r="G747" i="2"/>
  <c r="F747" i="2"/>
  <c r="E747" i="2"/>
  <c r="D747" i="2"/>
  <c r="C747" i="2"/>
  <c r="B747" i="2"/>
  <c r="A747" i="2"/>
  <c r="U746" i="2"/>
  <c r="N746" i="2"/>
  <c r="M746" i="2"/>
  <c r="J746" i="2"/>
  <c r="I746" i="2"/>
  <c r="H746" i="2"/>
  <c r="G746" i="2"/>
  <c r="F746" i="2"/>
  <c r="E746" i="2"/>
  <c r="D746" i="2"/>
  <c r="C746" i="2"/>
  <c r="B746" i="2"/>
  <c r="A746" i="2"/>
  <c r="U745" i="2"/>
  <c r="N745" i="2"/>
  <c r="M745" i="2"/>
  <c r="J745" i="2"/>
  <c r="I745" i="2"/>
  <c r="H745" i="2"/>
  <c r="G745" i="2"/>
  <c r="F745" i="2"/>
  <c r="E745" i="2"/>
  <c r="D745" i="2"/>
  <c r="C745" i="2"/>
  <c r="B745" i="2"/>
  <c r="A745" i="2"/>
  <c r="U744" i="2"/>
  <c r="N744" i="2"/>
  <c r="M744" i="2"/>
  <c r="J744" i="2"/>
  <c r="I744" i="2"/>
  <c r="H744" i="2"/>
  <c r="G744" i="2"/>
  <c r="F744" i="2"/>
  <c r="E744" i="2"/>
  <c r="D744" i="2"/>
  <c r="C744" i="2"/>
  <c r="B744" i="2"/>
  <c r="A744" i="2"/>
  <c r="U743" i="2"/>
  <c r="N743" i="2"/>
  <c r="M743" i="2"/>
  <c r="J743" i="2"/>
  <c r="I743" i="2"/>
  <c r="H743" i="2"/>
  <c r="G743" i="2"/>
  <c r="F743" i="2"/>
  <c r="E743" i="2"/>
  <c r="D743" i="2"/>
  <c r="C743" i="2"/>
  <c r="B743" i="2"/>
  <c r="A743" i="2"/>
  <c r="U742" i="2"/>
  <c r="N742" i="2"/>
  <c r="M742" i="2"/>
  <c r="J742" i="2"/>
  <c r="I742" i="2"/>
  <c r="H742" i="2"/>
  <c r="G742" i="2"/>
  <c r="F742" i="2"/>
  <c r="E742" i="2"/>
  <c r="D742" i="2"/>
  <c r="C742" i="2"/>
  <c r="B742" i="2"/>
  <c r="A742" i="2"/>
  <c r="U741" i="2"/>
  <c r="N741" i="2"/>
  <c r="M741" i="2"/>
  <c r="J741" i="2"/>
  <c r="I741" i="2"/>
  <c r="H741" i="2"/>
  <c r="G741" i="2"/>
  <c r="F741" i="2"/>
  <c r="E741" i="2"/>
  <c r="D741" i="2"/>
  <c r="C741" i="2"/>
  <c r="B741" i="2"/>
  <c r="A741" i="2"/>
  <c r="U740" i="2"/>
  <c r="N740" i="2"/>
  <c r="M740" i="2"/>
  <c r="J740" i="2"/>
  <c r="I740" i="2"/>
  <c r="H740" i="2"/>
  <c r="G740" i="2"/>
  <c r="F740" i="2"/>
  <c r="E740" i="2"/>
  <c r="D740" i="2"/>
  <c r="C740" i="2"/>
  <c r="B740" i="2"/>
  <c r="A740" i="2"/>
  <c r="U739" i="2"/>
  <c r="N739" i="2"/>
  <c r="M739" i="2"/>
  <c r="J739" i="2"/>
  <c r="I739" i="2"/>
  <c r="H739" i="2"/>
  <c r="G739" i="2"/>
  <c r="F739" i="2"/>
  <c r="E739" i="2"/>
  <c r="D739" i="2"/>
  <c r="C739" i="2"/>
  <c r="B739" i="2"/>
  <c r="A739" i="2"/>
  <c r="U738" i="2"/>
  <c r="N738" i="2"/>
  <c r="M738" i="2"/>
  <c r="J738" i="2"/>
  <c r="I738" i="2"/>
  <c r="H738" i="2"/>
  <c r="G738" i="2"/>
  <c r="F738" i="2"/>
  <c r="E738" i="2"/>
  <c r="D738" i="2"/>
  <c r="C738" i="2"/>
  <c r="B738" i="2"/>
  <c r="A738" i="2"/>
  <c r="U737" i="2"/>
  <c r="N737" i="2"/>
  <c r="M737" i="2"/>
  <c r="J737" i="2"/>
  <c r="I737" i="2"/>
  <c r="H737" i="2"/>
  <c r="G737" i="2"/>
  <c r="F737" i="2"/>
  <c r="E737" i="2"/>
  <c r="D737" i="2"/>
  <c r="C737" i="2"/>
  <c r="B737" i="2"/>
  <c r="A737" i="2"/>
  <c r="U736" i="2"/>
  <c r="N736" i="2"/>
  <c r="M736" i="2"/>
  <c r="J736" i="2"/>
  <c r="I736" i="2"/>
  <c r="H736" i="2"/>
  <c r="G736" i="2"/>
  <c r="F736" i="2"/>
  <c r="E736" i="2"/>
  <c r="D736" i="2"/>
  <c r="C736" i="2"/>
  <c r="B736" i="2"/>
  <c r="A736" i="2"/>
  <c r="U735" i="2"/>
  <c r="N735" i="2"/>
  <c r="M735" i="2"/>
  <c r="J735" i="2"/>
  <c r="I735" i="2"/>
  <c r="H735" i="2"/>
  <c r="G735" i="2"/>
  <c r="F735" i="2"/>
  <c r="E735" i="2"/>
  <c r="D735" i="2"/>
  <c r="C735" i="2"/>
  <c r="B735" i="2"/>
  <c r="A735" i="2"/>
  <c r="U734" i="2"/>
  <c r="N734" i="2"/>
  <c r="M734" i="2"/>
  <c r="J734" i="2"/>
  <c r="I734" i="2"/>
  <c r="H734" i="2"/>
  <c r="G734" i="2"/>
  <c r="F734" i="2"/>
  <c r="E734" i="2"/>
  <c r="D734" i="2"/>
  <c r="C734" i="2"/>
  <c r="B734" i="2"/>
  <c r="A734" i="2"/>
  <c r="U733" i="2"/>
  <c r="N733" i="2"/>
  <c r="M733" i="2"/>
  <c r="J733" i="2"/>
  <c r="I733" i="2"/>
  <c r="H733" i="2"/>
  <c r="G733" i="2"/>
  <c r="F733" i="2"/>
  <c r="E733" i="2"/>
  <c r="D733" i="2"/>
  <c r="C733" i="2"/>
  <c r="B733" i="2"/>
  <c r="A733" i="2"/>
  <c r="U732" i="2"/>
  <c r="N732" i="2"/>
  <c r="M732" i="2"/>
  <c r="J732" i="2"/>
  <c r="I732" i="2"/>
  <c r="H732" i="2"/>
  <c r="G732" i="2"/>
  <c r="F732" i="2"/>
  <c r="E732" i="2"/>
  <c r="D732" i="2"/>
  <c r="C732" i="2"/>
  <c r="B732" i="2"/>
  <c r="A732" i="2"/>
  <c r="U731" i="2"/>
  <c r="N731" i="2"/>
  <c r="M731" i="2"/>
  <c r="J731" i="2"/>
  <c r="I731" i="2"/>
  <c r="H731" i="2"/>
  <c r="G731" i="2"/>
  <c r="F731" i="2"/>
  <c r="E731" i="2"/>
  <c r="D731" i="2"/>
  <c r="C731" i="2"/>
  <c r="B731" i="2"/>
  <c r="A731" i="2"/>
  <c r="U730" i="2"/>
  <c r="N730" i="2"/>
  <c r="M730" i="2"/>
  <c r="J730" i="2"/>
  <c r="I730" i="2"/>
  <c r="H730" i="2"/>
  <c r="G730" i="2"/>
  <c r="F730" i="2"/>
  <c r="E730" i="2"/>
  <c r="D730" i="2"/>
  <c r="C730" i="2"/>
  <c r="B730" i="2"/>
  <c r="A730" i="2"/>
  <c r="U729" i="2"/>
  <c r="N729" i="2"/>
  <c r="M729" i="2"/>
  <c r="J729" i="2"/>
  <c r="I729" i="2"/>
  <c r="H729" i="2"/>
  <c r="G729" i="2"/>
  <c r="F729" i="2"/>
  <c r="E729" i="2"/>
  <c r="D729" i="2"/>
  <c r="C729" i="2"/>
  <c r="B729" i="2"/>
  <c r="A729" i="2"/>
  <c r="U728" i="2"/>
  <c r="N728" i="2"/>
  <c r="M728" i="2"/>
  <c r="J728" i="2"/>
  <c r="I728" i="2"/>
  <c r="H728" i="2"/>
  <c r="G728" i="2"/>
  <c r="F728" i="2"/>
  <c r="E728" i="2"/>
  <c r="D728" i="2"/>
  <c r="C728" i="2"/>
  <c r="B728" i="2"/>
  <c r="A728" i="2"/>
  <c r="U727" i="2"/>
  <c r="N727" i="2"/>
  <c r="M727" i="2"/>
  <c r="J727" i="2"/>
  <c r="I727" i="2"/>
  <c r="H727" i="2"/>
  <c r="G727" i="2"/>
  <c r="F727" i="2"/>
  <c r="E727" i="2"/>
  <c r="D727" i="2"/>
  <c r="C727" i="2"/>
  <c r="B727" i="2"/>
  <c r="A727" i="2"/>
  <c r="U726" i="2"/>
  <c r="N726" i="2"/>
  <c r="M726" i="2"/>
  <c r="J726" i="2"/>
  <c r="I726" i="2"/>
  <c r="H726" i="2"/>
  <c r="G726" i="2"/>
  <c r="F726" i="2"/>
  <c r="E726" i="2"/>
  <c r="D726" i="2"/>
  <c r="C726" i="2"/>
  <c r="B726" i="2"/>
  <c r="A726" i="2"/>
  <c r="U725" i="2"/>
  <c r="N725" i="2"/>
  <c r="M725" i="2"/>
  <c r="J725" i="2"/>
  <c r="I725" i="2"/>
  <c r="H725" i="2"/>
  <c r="G725" i="2"/>
  <c r="F725" i="2"/>
  <c r="E725" i="2"/>
  <c r="D725" i="2"/>
  <c r="C725" i="2"/>
  <c r="B725" i="2"/>
  <c r="A725" i="2"/>
  <c r="U724" i="2"/>
  <c r="N724" i="2"/>
  <c r="M724" i="2"/>
  <c r="J724" i="2"/>
  <c r="I724" i="2"/>
  <c r="H724" i="2"/>
  <c r="G724" i="2"/>
  <c r="F724" i="2"/>
  <c r="E724" i="2"/>
  <c r="D724" i="2"/>
  <c r="C724" i="2"/>
  <c r="B724" i="2"/>
  <c r="A724" i="2"/>
  <c r="U723" i="2"/>
  <c r="N723" i="2"/>
  <c r="M723" i="2"/>
  <c r="J723" i="2"/>
  <c r="I723" i="2"/>
  <c r="H723" i="2"/>
  <c r="G723" i="2"/>
  <c r="F723" i="2"/>
  <c r="E723" i="2"/>
  <c r="D723" i="2"/>
  <c r="C723" i="2"/>
  <c r="B723" i="2"/>
  <c r="A723" i="2"/>
  <c r="U722" i="2"/>
  <c r="N722" i="2"/>
  <c r="M722" i="2"/>
  <c r="J722" i="2"/>
  <c r="I722" i="2"/>
  <c r="H722" i="2"/>
  <c r="G722" i="2"/>
  <c r="F722" i="2"/>
  <c r="E722" i="2"/>
  <c r="D722" i="2"/>
  <c r="C722" i="2"/>
  <c r="B722" i="2"/>
  <c r="A722" i="2"/>
  <c r="U721" i="2"/>
  <c r="N721" i="2"/>
  <c r="M721" i="2"/>
  <c r="J721" i="2"/>
  <c r="I721" i="2"/>
  <c r="H721" i="2"/>
  <c r="G721" i="2"/>
  <c r="F721" i="2"/>
  <c r="E721" i="2"/>
  <c r="D721" i="2"/>
  <c r="C721" i="2"/>
  <c r="B721" i="2"/>
  <c r="A721" i="2"/>
  <c r="U720" i="2"/>
  <c r="N720" i="2"/>
  <c r="M720" i="2"/>
  <c r="J720" i="2"/>
  <c r="I720" i="2"/>
  <c r="H720" i="2"/>
  <c r="G720" i="2"/>
  <c r="F720" i="2"/>
  <c r="E720" i="2"/>
  <c r="D720" i="2"/>
  <c r="C720" i="2"/>
  <c r="B720" i="2"/>
  <c r="A720" i="2"/>
  <c r="U719" i="2"/>
  <c r="N719" i="2"/>
  <c r="M719" i="2"/>
  <c r="J719" i="2"/>
  <c r="I719" i="2"/>
  <c r="H719" i="2"/>
  <c r="G719" i="2"/>
  <c r="F719" i="2"/>
  <c r="E719" i="2"/>
  <c r="D719" i="2"/>
  <c r="C719" i="2"/>
  <c r="B719" i="2"/>
  <c r="A719" i="2"/>
  <c r="U718" i="2"/>
  <c r="N718" i="2"/>
  <c r="M718" i="2"/>
  <c r="J718" i="2"/>
  <c r="I718" i="2"/>
  <c r="H718" i="2"/>
  <c r="G718" i="2"/>
  <c r="F718" i="2"/>
  <c r="E718" i="2"/>
  <c r="D718" i="2"/>
  <c r="C718" i="2"/>
  <c r="B718" i="2"/>
  <c r="A718" i="2"/>
  <c r="U717" i="2"/>
  <c r="N717" i="2"/>
  <c r="M717" i="2"/>
  <c r="J717" i="2"/>
  <c r="I717" i="2"/>
  <c r="H717" i="2"/>
  <c r="G717" i="2"/>
  <c r="F717" i="2"/>
  <c r="E717" i="2"/>
  <c r="D717" i="2"/>
  <c r="C717" i="2"/>
  <c r="B717" i="2"/>
  <c r="A717" i="2"/>
  <c r="U716" i="2"/>
  <c r="N716" i="2"/>
  <c r="M716" i="2"/>
  <c r="J716" i="2"/>
  <c r="I716" i="2"/>
  <c r="H716" i="2"/>
  <c r="G716" i="2"/>
  <c r="F716" i="2"/>
  <c r="E716" i="2"/>
  <c r="D716" i="2"/>
  <c r="C716" i="2"/>
  <c r="B716" i="2"/>
  <c r="A716" i="2"/>
  <c r="U715" i="2"/>
  <c r="N715" i="2"/>
  <c r="M715" i="2"/>
  <c r="J715" i="2"/>
  <c r="I715" i="2"/>
  <c r="H715" i="2"/>
  <c r="G715" i="2"/>
  <c r="F715" i="2"/>
  <c r="E715" i="2"/>
  <c r="D715" i="2"/>
  <c r="C715" i="2"/>
  <c r="B715" i="2"/>
  <c r="A715" i="2"/>
  <c r="U714" i="2"/>
  <c r="N714" i="2"/>
  <c r="M714" i="2"/>
  <c r="J714" i="2"/>
  <c r="I714" i="2"/>
  <c r="H714" i="2"/>
  <c r="G714" i="2"/>
  <c r="F714" i="2"/>
  <c r="E714" i="2"/>
  <c r="D714" i="2"/>
  <c r="C714" i="2"/>
  <c r="B714" i="2"/>
  <c r="A714" i="2"/>
  <c r="U713" i="2"/>
  <c r="N713" i="2"/>
  <c r="M713" i="2"/>
  <c r="J713" i="2"/>
  <c r="I713" i="2"/>
  <c r="H713" i="2"/>
  <c r="G713" i="2"/>
  <c r="F713" i="2"/>
  <c r="E713" i="2"/>
  <c r="D713" i="2"/>
  <c r="C713" i="2"/>
  <c r="B713" i="2"/>
  <c r="A713" i="2"/>
  <c r="U712" i="2"/>
  <c r="N712" i="2"/>
  <c r="M712" i="2"/>
  <c r="J712" i="2"/>
  <c r="I712" i="2"/>
  <c r="H712" i="2"/>
  <c r="G712" i="2"/>
  <c r="F712" i="2"/>
  <c r="E712" i="2"/>
  <c r="D712" i="2"/>
  <c r="C712" i="2"/>
  <c r="B712" i="2"/>
  <c r="A712" i="2"/>
  <c r="U711" i="2"/>
  <c r="N711" i="2"/>
  <c r="M711" i="2"/>
  <c r="J711" i="2"/>
  <c r="I711" i="2"/>
  <c r="H711" i="2"/>
  <c r="G711" i="2"/>
  <c r="F711" i="2"/>
  <c r="E711" i="2"/>
  <c r="D711" i="2"/>
  <c r="C711" i="2"/>
  <c r="B711" i="2"/>
  <c r="A711" i="2"/>
  <c r="U710" i="2"/>
  <c r="N710" i="2"/>
  <c r="M710" i="2"/>
  <c r="J710" i="2"/>
  <c r="I710" i="2"/>
  <c r="H710" i="2"/>
  <c r="G710" i="2"/>
  <c r="F710" i="2"/>
  <c r="E710" i="2"/>
  <c r="D710" i="2"/>
  <c r="C710" i="2"/>
  <c r="B710" i="2"/>
  <c r="A710" i="2"/>
  <c r="U709" i="2"/>
  <c r="N709" i="2"/>
  <c r="M709" i="2"/>
  <c r="J709" i="2"/>
  <c r="I709" i="2"/>
  <c r="H709" i="2"/>
  <c r="G709" i="2"/>
  <c r="F709" i="2"/>
  <c r="E709" i="2"/>
  <c r="D709" i="2"/>
  <c r="C709" i="2"/>
  <c r="B709" i="2"/>
  <c r="A709" i="2"/>
  <c r="U708" i="2"/>
  <c r="N708" i="2"/>
  <c r="M708" i="2"/>
  <c r="J708" i="2"/>
  <c r="I708" i="2"/>
  <c r="H708" i="2"/>
  <c r="G708" i="2"/>
  <c r="F708" i="2"/>
  <c r="E708" i="2"/>
  <c r="D708" i="2"/>
  <c r="C708" i="2"/>
  <c r="B708" i="2"/>
  <c r="A708" i="2"/>
  <c r="U707" i="2"/>
  <c r="N707" i="2"/>
  <c r="M707" i="2"/>
  <c r="J707" i="2"/>
  <c r="I707" i="2"/>
  <c r="H707" i="2"/>
  <c r="G707" i="2"/>
  <c r="F707" i="2"/>
  <c r="E707" i="2"/>
  <c r="D707" i="2"/>
  <c r="C707" i="2"/>
  <c r="B707" i="2"/>
  <c r="A707" i="2"/>
  <c r="U706" i="2"/>
  <c r="N706" i="2"/>
  <c r="M706" i="2"/>
  <c r="J706" i="2"/>
  <c r="I706" i="2"/>
  <c r="H706" i="2"/>
  <c r="G706" i="2"/>
  <c r="F706" i="2"/>
  <c r="E706" i="2"/>
  <c r="D706" i="2"/>
  <c r="C706" i="2"/>
  <c r="B706" i="2"/>
  <c r="A706" i="2"/>
  <c r="U705" i="2"/>
  <c r="N705" i="2"/>
  <c r="M705" i="2"/>
  <c r="J705" i="2"/>
  <c r="I705" i="2"/>
  <c r="H705" i="2"/>
  <c r="G705" i="2"/>
  <c r="F705" i="2"/>
  <c r="E705" i="2"/>
  <c r="D705" i="2"/>
  <c r="C705" i="2"/>
  <c r="B705" i="2"/>
  <c r="A705" i="2"/>
  <c r="U704" i="2"/>
  <c r="N704" i="2"/>
  <c r="M704" i="2"/>
  <c r="J704" i="2"/>
  <c r="I704" i="2"/>
  <c r="H704" i="2"/>
  <c r="G704" i="2"/>
  <c r="F704" i="2"/>
  <c r="E704" i="2"/>
  <c r="D704" i="2"/>
  <c r="C704" i="2"/>
  <c r="B704" i="2"/>
  <c r="A704" i="2"/>
  <c r="U703" i="2"/>
  <c r="N703" i="2"/>
  <c r="M703" i="2"/>
  <c r="J703" i="2"/>
  <c r="I703" i="2"/>
  <c r="H703" i="2"/>
  <c r="G703" i="2"/>
  <c r="F703" i="2"/>
  <c r="E703" i="2"/>
  <c r="D703" i="2"/>
  <c r="C703" i="2"/>
  <c r="B703" i="2"/>
  <c r="A703" i="2"/>
  <c r="U702" i="2"/>
  <c r="N702" i="2"/>
  <c r="M702" i="2"/>
  <c r="J702" i="2"/>
  <c r="I702" i="2"/>
  <c r="H702" i="2"/>
  <c r="G702" i="2"/>
  <c r="F702" i="2"/>
  <c r="E702" i="2"/>
  <c r="D702" i="2"/>
  <c r="C702" i="2"/>
  <c r="B702" i="2"/>
  <c r="A702" i="2"/>
  <c r="U701" i="2"/>
  <c r="N701" i="2"/>
  <c r="M701" i="2"/>
  <c r="J701" i="2"/>
  <c r="I701" i="2"/>
  <c r="H701" i="2"/>
  <c r="G701" i="2"/>
  <c r="F701" i="2"/>
  <c r="E701" i="2"/>
  <c r="D701" i="2"/>
  <c r="C701" i="2"/>
  <c r="B701" i="2"/>
  <c r="A701" i="2"/>
  <c r="Q700" i="2"/>
  <c r="U700" i="2" s="1"/>
  <c r="N700" i="2"/>
  <c r="M700" i="2"/>
  <c r="J700" i="2"/>
  <c r="I700" i="2"/>
  <c r="H700" i="2"/>
  <c r="G700" i="2"/>
  <c r="F700" i="2"/>
  <c r="E700" i="2"/>
  <c r="D700" i="2"/>
  <c r="C700" i="2"/>
  <c r="B700" i="2"/>
  <c r="A700" i="2"/>
  <c r="U699" i="2"/>
  <c r="N699" i="2"/>
  <c r="M699" i="2"/>
  <c r="J699" i="2"/>
  <c r="I699" i="2"/>
  <c r="H699" i="2"/>
  <c r="G699" i="2"/>
  <c r="F699" i="2"/>
  <c r="E699" i="2"/>
  <c r="D699" i="2"/>
  <c r="C699" i="2"/>
  <c r="B699" i="2"/>
  <c r="A699" i="2"/>
  <c r="U698" i="2"/>
  <c r="N698" i="2"/>
  <c r="M698" i="2"/>
  <c r="J698" i="2"/>
  <c r="I698" i="2"/>
  <c r="H698" i="2"/>
  <c r="G698" i="2"/>
  <c r="F698" i="2"/>
  <c r="E698" i="2"/>
  <c r="D698" i="2"/>
  <c r="C698" i="2"/>
  <c r="B698" i="2"/>
  <c r="A698" i="2"/>
  <c r="U697" i="2"/>
  <c r="N697" i="2"/>
  <c r="M697" i="2"/>
  <c r="J697" i="2"/>
  <c r="I697" i="2"/>
  <c r="H697" i="2"/>
  <c r="G697" i="2"/>
  <c r="F697" i="2"/>
  <c r="E697" i="2"/>
  <c r="D697" i="2"/>
  <c r="C697" i="2"/>
  <c r="B697" i="2"/>
  <c r="A697" i="2"/>
  <c r="U696" i="2"/>
  <c r="N696" i="2"/>
  <c r="M696" i="2"/>
  <c r="J696" i="2"/>
  <c r="I696" i="2"/>
  <c r="H696" i="2"/>
  <c r="G696" i="2"/>
  <c r="F696" i="2"/>
  <c r="E696" i="2"/>
  <c r="D696" i="2"/>
  <c r="C696" i="2"/>
  <c r="B696" i="2"/>
  <c r="A696" i="2"/>
  <c r="U695" i="2"/>
  <c r="N695" i="2"/>
  <c r="M695" i="2"/>
  <c r="J695" i="2"/>
  <c r="I695" i="2"/>
  <c r="H695" i="2"/>
  <c r="G695" i="2"/>
  <c r="F695" i="2"/>
  <c r="E695" i="2"/>
  <c r="D695" i="2"/>
  <c r="C695" i="2"/>
  <c r="B695" i="2"/>
  <c r="A695" i="2"/>
  <c r="U694" i="2"/>
  <c r="N694" i="2"/>
  <c r="M694" i="2"/>
  <c r="J694" i="2"/>
  <c r="I694" i="2"/>
  <c r="H694" i="2"/>
  <c r="G694" i="2"/>
  <c r="F694" i="2"/>
  <c r="E694" i="2"/>
  <c r="D694" i="2"/>
  <c r="C694" i="2"/>
  <c r="B694" i="2"/>
  <c r="A694" i="2"/>
  <c r="Q693" i="2"/>
  <c r="U693" i="2" s="1"/>
  <c r="N693" i="2"/>
  <c r="M693" i="2"/>
  <c r="J693" i="2"/>
  <c r="I693" i="2"/>
  <c r="H693" i="2"/>
  <c r="G693" i="2"/>
  <c r="F693" i="2"/>
  <c r="E693" i="2"/>
  <c r="D693" i="2"/>
  <c r="C693" i="2"/>
  <c r="B693" i="2"/>
  <c r="A693" i="2"/>
  <c r="U692" i="2"/>
  <c r="N692" i="2"/>
  <c r="M692" i="2"/>
  <c r="J692" i="2"/>
  <c r="I692" i="2"/>
  <c r="H692" i="2"/>
  <c r="G692" i="2"/>
  <c r="F692" i="2"/>
  <c r="E692" i="2"/>
  <c r="D692" i="2"/>
  <c r="C692" i="2"/>
  <c r="B692" i="2"/>
  <c r="A692" i="2"/>
  <c r="U691" i="2"/>
  <c r="N691" i="2"/>
  <c r="M691" i="2"/>
  <c r="J691" i="2"/>
  <c r="I691" i="2"/>
  <c r="H691" i="2"/>
  <c r="G691" i="2"/>
  <c r="F691" i="2"/>
  <c r="E691" i="2"/>
  <c r="D691" i="2"/>
  <c r="C691" i="2"/>
  <c r="B691" i="2"/>
  <c r="A691" i="2"/>
  <c r="U690" i="2"/>
  <c r="N690" i="2"/>
  <c r="M690" i="2"/>
  <c r="J690" i="2"/>
  <c r="I690" i="2"/>
  <c r="H690" i="2"/>
  <c r="G690" i="2"/>
  <c r="F690" i="2"/>
  <c r="E690" i="2"/>
  <c r="D690" i="2"/>
  <c r="C690" i="2"/>
  <c r="B690" i="2"/>
  <c r="A690" i="2"/>
  <c r="U689" i="2"/>
  <c r="N689" i="2"/>
  <c r="M689" i="2"/>
  <c r="J689" i="2"/>
  <c r="I689" i="2"/>
  <c r="H689" i="2"/>
  <c r="G689" i="2"/>
  <c r="F689" i="2"/>
  <c r="E689" i="2"/>
  <c r="D689" i="2"/>
  <c r="C689" i="2"/>
  <c r="B689" i="2"/>
  <c r="A689" i="2"/>
  <c r="U688" i="2"/>
  <c r="N688" i="2"/>
  <c r="M688" i="2"/>
  <c r="J688" i="2"/>
  <c r="I688" i="2"/>
  <c r="H688" i="2"/>
  <c r="G688" i="2"/>
  <c r="F688" i="2"/>
  <c r="E688" i="2"/>
  <c r="D688" i="2"/>
  <c r="C688" i="2"/>
  <c r="B688" i="2"/>
  <c r="A688" i="2"/>
  <c r="U687" i="2"/>
  <c r="N687" i="2"/>
  <c r="M687" i="2"/>
  <c r="J687" i="2"/>
  <c r="I687" i="2"/>
  <c r="H687" i="2"/>
  <c r="G687" i="2"/>
  <c r="F687" i="2"/>
  <c r="E687" i="2"/>
  <c r="D687" i="2"/>
  <c r="C687" i="2"/>
  <c r="B687" i="2"/>
  <c r="A687" i="2"/>
  <c r="U686" i="2"/>
  <c r="N686" i="2"/>
  <c r="M686" i="2"/>
  <c r="J686" i="2"/>
  <c r="I686" i="2"/>
  <c r="H686" i="2"/>
  <c r="G686" i="2"/>
  <c r="F686" i="2"/>
  <c r="E686" i="2"/>
  <c r="D686" i="2"/>
  <c r="C686" i="2"/>
  <c r="B686" i="2"/>
  <c r="A686" i="2"/>
  <c r="U685" i="2"/>
  <c r="N685" i="2"/>
  <c r="M685" i="2"/>
  <c r="J685" i="2"/>
  <c r="I685" i="2"/>
  <c r="H685" i="2"/>
  <c r="G685" i="2"/>
  <c r="F685" i="2"/>
  <c r="E685" i="2"/>
  <c r="D685" i="2"/>
  <c r="C685" i="2"/>
  <c r="B685" i="2"/>
  <c r="A685" i="2"/>
  <c r="U684" i="2"/>
  <c r="N684" i="2"/>
  <c r="M684" i="2"/>
  <c r="J684" i="2"/>
  <c r="I684" i="2"/>
  <c r="H684" i="2"/>
  <c r="G684" i="2"/>
  <c r="F684" i="2"/>
  <c r="E684" i="2"/>
  <c r="D684" i="2"/>
  <c r="C684" i="2"/>
  <c r="B684" i="2"/>
  <c r="A684" i="2"/>
  <c r="U683" i="2"/>
  <c r="N683" i="2"/>
  <c r="M683" i="2"/>
  <c r="J683" i="2"/>
  <c r="I683" i="2"/>
  <c r="H683" i="2"/>
  <c r="G683" i="2"/>
  <c r="F683" i="2"/>
  <c r="E683" i="2"/>
  <c r="D683" i="2"/>
  <c r="C683" i="2"/>
  <c r="B683" i="2"/>
  <c r="A683" i="2"/>
  <c r="U682" i="2"/>
  <c r="N682" i="2"/>
  <c r="M682" i="2"/>
  <c r="J682" i="2"/>
  <c r="I682" i="2"/>
  <c r="H682" i="2"/>
  <c r="G682" i="2"/>
  <c r="F682" i="2"/>
  <c r="E682" i="2"/>
  <c r="D682" i="2"/>
  <c r="C682" i="2"/>
  <c r="B682" i="2"/>
  <c r="A682" i="2"/>
  <c r="U681" i="2"/>
  <c r="N681" i="2"/>
  <c r="M681" i="2"/>
  <c r="J681" i="2"/>
  <c r="I681" i="2"/>
  <c r="H681" i="2"/>
  <c r="G681" i="2"/>
  <c r="F681" i="2"/>
  <c r="E681" i="2"/>
  <c r="D681" i="2"/>
  <c r="C681" i="2"/>
  <c r="B681" i="2"/>
  <c r="A681" i="2"/>
  <c r="Q680" i="2"/>
  <c r="U680" i="2" s="1"/>
  <c r="N680" i="2"/>
  <c r="M680" i="2"/>
  <c r="J680" i="2"/>
  <c r="I680" i="2"/>
  <c r="H680" i="2"/>
  <c r="G680" i="2"/>
  <c r="F680" i="2"/>
  <c r="E680" i="2"/>
  <c r="D680" i="2"/>
  <c r="C680" i="2"/>
  <c r="B680" i="2"/>
  <c r="A680" i="2"/>
  <c r="U679" i="2"/>
  <c r="N679" i="2"/>
  <c r="M679" i="2"/>
  <c r="J679" i="2"/>
  <c r="I679" i="2"/>
  <c r="H679" i="2"/>
  <c r="G679" i="2"/>
  <c r="F679" i="2"/>
  <c r="E679" i="2"/>
  <c r="D679" i="2"/>
  <c r="C679" i="2"/>
  <c r="B679" i="2"/>
  <c r="A679" i="2"/>
  <c r="U678" i="2"/>
  <c r="N678" i="2"/>
  <c r="M678" i="2"/>
  <c r="J678" i="2"/>
  <c r="I678" i="2"/>
  <c r="H678" i="2"/>
  <c r="G678" i="2"/>
  <c r="F678" i="2"/>
  <c r="E678" i="2"/>
  <c r="D678" i="2"/>
  <c r="C678" i="2"/>
  <c r="B678" i="2"/>
  <c r="A678" i="2"/>
  <c r="U677" i="2"/>
  <c r="N677" i="2"/>
  <c r="M677" i="2"/>
  <c r="J677" i="2"/>
  <c r="I677" i="2"/>
  <c r="H677" i="2"/>
  <c r="G677" i="2"/>
  <c r="F677" i="2"/>
  <c r="E677" i="2"/>
  <c r="D677" i="2"/>
  <c r="C677" i="2"/>
  <c r="B677" i="2"/>
  <c r="A677" i="2"/>
  <c r="Q676" i="2"/>
  <c r="U676" i="2" s="1"/>
  <c r="N676" i="2"/>
  <c r="M676" i="2"/>
  <c r="J676" i="2"/>
  <c r="I676" i="2"/>
  <c r="H676" i="2"/>
  <c r="G676" i="2"/>
  <c r="F676" i="2"/>
  <c r="E676" i="2"/>
  <c r="D676" i="2"/>
  <c r="C676" i="2"/>
  <c r="B676" i="2"/>
  <c r="A676" i="2"/>
  <c r="U675" i="2"/>
  <c r="N675" i="2"/>
  <c r="M675" i="2"/>
  <c r="J675" i="2"/>
  <c r="I675" i="2"/>
  <c r="H675" i="2"/>
  <c r="G675" i="2"/>
  <c r="F675" i="2"/>
  <c r="E675" i="2"/>
  <c r="D675" i="2"/>
  <c r="C675" i="2"/>
  <c r="B675" i="2"/>
  <c r="A675" i="2"/>
  <c r="U674" i="2"/>
  <c r="N674" i="2"/>
  <c r="M674" i="2"/>
  <c r="J674" i="2"/>
  <c r="I674" i="2"/>
  <c r="H674" i="2"/>
  <c r="G674" i="2"/>
  <c r="F674" i="2"/>
  <c r="E674" i="2"/>
  <c r="D674" i="2"/>
  <c r="C674" i="2"/>
  <c r="B674" i="2"/>
  <c r="A674" i="2"/>
  <c r="U673" i="2"/>
  <c r="N673" i="2"/>
  <c r="M673" i="2"/>
  <c r="J673" i="2"/>
  <c r="I673" i="2"/>
  <c r="H673" i="2"/>
  <c r="G673" i="2"/>
  <c r="F673" i="2"/>
  <c r="E673" i="2"/>
  <c r="D673" i="2"/>
  <c r="C673" i="2"/>
  <c r="B673" i="2"/>
  <c r="A673" i="2"/>
  <c r="Q672" i="2"/>
  <c r="U672" i="2" s="1"/>
  <c r="N672" i="2"/>
  <c r="M672" i="2"/>
  <c r="J672" i="2"/>
  <c r="I672" i="2"/>
  <c r="H672" i="2"/>
  <c r="G672" i="2"/>
  <c r="F672" i="2"/>
  <c r="E672" i="2"/>
  <c r="D672" i="2"/>
  <c r="C672" i="2"/>
  <c r="B672" i="2"/>
  <c r="A672" i="2"/>
  <c r="U671" i="2"/>
  <c r="N671" i="2"/>
  <c r="M671" i="2"/>
  <c r="J671" i="2"/>
  <c r="I671" i="2"/>
  <c r="H671" i="2"/>
  <c r="G671" i="2"/>
  <c r="F671" i="2"/>
  <c r="E671" i="2"/>
  <c r="D671" i="2"/>
  <c r="C671" i="2"/>
  <c r="B671" i="2"/>
  <c r="A671" i="2"/>
  <c r="Q670" i="2"/>
  <c r="U670" i="2" s="1"/>
  <c r="N670" i="2"/>
  <c r="M670" i="2"/>
  <c r="J670" i="2"/>
  <c r="I670" i="2"/>
  <c r="H670" i="2"/>
  <c r="G670" i="2"/>
  <c r="F670" i="2"/>
  <c r="E670" i="2"/>
  <c r="D670" i="2"/>
  <c r="C670" i="2"/>
  <c r="B670" i="2"/>
  <c r="A670" i="2"/>
  <c r="U669" i="2"/>
  <c r="N669" i="2"/>
  <c r="M669" i="2"/>
  <c r="J669" i="2"/>
  <c r="I669" i="2"/>
  <c r="H669" i="2"/>
  <c r="G669" i="2"/>
  <c r="F669" i="2"/>
  <c r="E669" i="2"/>
  <c r="D669" i="2"/>
  <c r="C669" i="2"/>
  <c r="B669" i="2"/>
  <c r="A669" i="2"/>
  <c r="U668" i="2"/>
  <c r="N668" i="2"/>
  <c r="M668" i="2"/>
  <c r="J668" i="2"/>
  <c r="I668" i="2"/>
  <c r="H668" i="2"/>
  <c r="G668" i="2"/>
  <c r="F668" i="2"/>
  <c r="E668" i="2"/>
  <c r="D668" i="2"/>
  <c r="C668" i="2"/>
  <c r="B668" i="2"/>
  <c r="A668" i="2"/>
  <c r="U667" i="2"/>
  <c r="N667" i="2"/>
  <c r="M667" i="2"/>
  <c r="J667" i="2"/>
  <c r="I667" i="2"/>
  <c r="H667" i="2"/>
  <c r="G667" i="2"/>
  <c r="F667" i="2"/>
  <c r="E667" i="2"/>
  <c r="D667" i="2"/>
  <c r="C667" i="2"/>
  <c r="B667" i="2"/>
  <c r="A667" i="2"/>
  <c r="U666" i="2"/>
  <c r="N666" i="2"/>
  <c r="M666" i="2"/>
  <c r="J666" i="2"/>
  <c r="I666" i="2"/>
  <c r="H666" i="2"/>
  <c r="G666" i="2"/>
  <c r="F666" i="2"/>
  <c r="E666" i="2"/>
  <c r="D666" i="2"/>
  <c r="C666" i="2"/>
  <c r="B666" i="2"/>
  <c r="A666" i="2"/>
  <c r="U665" i="2"/>
  <c r="N665" i="2"/>
  <c r="M665" i="2"/>
  <c r="J665" i="2"/>
  <c r="I665" i="2"/>
  <c r="H665" i="2"/>
  <c r="G665" i="2"/>
  <c r="F665" i="2"/>
  <c r="E665" i="2"/>
  <c r="D665" i="2"/>
  <c r="C665" i="2"/>
  <c r="B665" i="2"/>
  <c r="A665" i="2"/>
  <c r="U664" i="2"/>
  <c r="N664" i="2"/>
  <c r="M664" i="2"/>
  <c r="J664" i="2"/>
  <c r="I664" i="2"/>
  <c r="H664" i="2"/>
  <c r="G664" i="2"/>
  <c r="F664" i="2"/>
  <c r="E664" i="2"/>
  <c r="D664" i="2"/>
  <c r="C664" i="2"/>
  <c r="B664" i="2"/>
  <c r="A664" i="2"/>
  <c r="Q663" i="2"/>
  <c r="U663" i="2" s="1"/>
  <c r="N663" i="2"/>
  <c r="M663" i="2"/>
  <c r="J663" i="2"/>
  <c r="I663" i="2"/>
  <c r="H663" i="2"/>
  <c r="G663" i="2"/>
  <c r="F663" i="2"/>
  <c r="E663" i="2"/>
  <c r="D663" i="2"/>
  <c r="C663" i="2"/>
  <c r="B663" i="2"/>
  <c r="A663" i="2"/>
  <c r="U662" i="2"/>
  <c r="N662" i="2"/>
  <c r="M662" i="2"/>
  <c r="J662" i="2"/>
  <c r="I662" i="2"/>
  <c r="H662" i="2"/>
  <c r="G662" i="2"/>
  <c r="F662" i="2"/>
  <c r="E662" i="2"/>
  <c r="D662" i="2"/>
  <c r="C662" i="2"/>
  <c r="B662" i="2"/>
  <c r="A662" i="2"/>
  <c r="U661" i="2"/>
  <c r="N661" i="2"/>
  <c r="M661" i="2"/>
  <c r="J661" i="2"/>
  <c r="I661" i="2"/>
  <c r="H661" i="2"/>
  <c r="G661" i="2"/>
  <c r="F661" i="2"/>
  <c r="E661" i="2"/>
  <c r="D661" i="2"/>
  <c r="C661" i="2"/>
  <c r="B661" i="2"/>
  <c r="A661" i="2"/>
  <c r="Q660" i="2"/>
  <c r="U660" i="2" s="1"/>
  <c r="N660" i="2"/>
  <c r="M660" i="2"/>
  <c r="J660" i="2"/>
  <c r="I660" i="2"/>
  <c r="H660" i="2"/>
  <c r="G660" i="2"/>
  <c r="F660" i="2"/>
  <c r="E660" i="2"/>
  <c r="D660" i="2"/>
  <c r="C660" i="2"/>
  <c r="B660" i="2"/>
  <c r="A660" i="2"/>
  <c r="U659" i="2"/>
  <c r="N659" i="2"/>
  <c r="M659" i="2"/>
  <c r="J659" i="2"/>
  <c r="I659" i="2"/>
  <c r="H659" i="2"/>
  <c r="G659" i="2"/>
  <c r="F659" i="2"/>
  <c r="E659" i="2"/>
  <c r="D659" i="2"/>
  <c r="C659" i="2"/>
  <c r="B659" i="2"/>
  <c r="A659" i="2"/>
  <c r="Q658" i="2"/>
  <c r="U658" i="2" s="1"/>
  <c r="N658" i="2"/>
  <c r="M658" i="2"/>
  <c r="J658" i="2"/>
  <c r="I658" i="2"/>
  <c r="H658" i="2"/>
  <c r="G658" i="2"/>
  <c r="F658" i="2"/>
  <c r="E658" i="2"/>
  <c r="D658" i="2"/>
  <c r="C658" i="2"/>
  <c r="B658" i="2"/>
  <c r="A658" i="2"/>
  <c r="R657" i="2"/>
  <c r="Q657" i="2"/>
  <c r="N657" i="2"/>
  <c r="M657" i="2"/>
  <c r="J657" i="2"/>
  <c r="I657" i="2"/>
  <c r="H657" i="2"/>
  <c r="G657" i="2"/>
  <c r="F657" i="2"/>
  <c r="E657" i="2"/>
  <c r="D657" i="2"/>
  <c r="C657" i="2"/>
  <c r="B657" i="2"/>
  <c r="A657" i="2"/>
  <c r="U656" i="2"/>
  <c r="N656" i="2"/>
  <c r="M656" i="2"/>
  <c r="J656" i="2"/>
  <c r="I656" i="2"/>
  <c r="H656" i="2"/>
  <c r="G656" i="2"/>
  <c r="F656" i="2"/>
  <c r="E656" i="2"/>
  <c r="D656" i="2"/>
  <c r="C656" i="2"/>
  <c r="B656" i="2"/>
  <c r="A656" i="2"/>
  <c r="U655" i="2"/>
  <c r="N655" i="2"/>
  <c r="M655" i="2"/>
  <c r="J655" i="2"/>
  <c r="I655" i="2"/>
  <c r="H655" i="2"/>
  <c r="G655" i="2"/>
  <c r="F655" i="2"/>
  <c r="E655" i="2"/>
  <c r="D655" i="2"/>
  <c r="C655" i="2"/>
  <c r="B655" i="2"/>
  <c r="A655" i="2"/>
  <c r="R654" i="2"/>
  <c r="Q654" i="2"/>
  <c r="N654" i="2"/>
  <c r="M654" i="2"/>
  <c r="J654" i="2"/>
  <c r="I654" i="2"/>
  <c r="H654" i="2"/>
  <c r="G654" i="2"/>
  <c r="F654" i="2"/>
  <c r="E654" i="2"/>
  <c r="D654" i="2"/>
  <c r="C654" i="2"/>
  <c r="B654" i="2"/>
  <c r="A654" i="2"/>
  <c r="R653" i="2"/>
  <c r="Q653" i="2"/>
  <c r="N653" i="2"/>
  <c r="M653" i="2"/>
  <c r="J653" i="2"/>
  <c r="I653" i="2"/>
  <c r="H653" i="2"/>
  <c r="G653" i="2"/>
  <c r="F653" i="2"/>
  <c r="E653" i="2"/>
  <c r="D653" i="2"/>
  <c r="C653" i="2"/>
  <c r="B653" i="2"/>
  <c r="A653" i="2"/>
  <c r="R652" i="2"/>
  <c r="Q652" i="2"/>
  <c r="N652" i="2"/>
  <c r="M652" i="2"/>
  <c r="J652" i="2"/>
  <c r="I652" i="2"/>
  <c r="H652" i="2"/>
  <c r="G652" i="2"/>
  <c r="F652" i="2"/>
  <c r="E652" i="2"/>
  <c r="D652" i="2"/>
  <c r="C652" i="2"/>
  <c r="B652" i="2"/>
  <c r="A652" i="2"/>
  <c r="R651" i="2"/>
  <c r="Q651" i="2"/>
  <c r="N651" i="2"/>
  <c r="M651" i="2"/>
  <c r="J651" i="2"/>
  <c r="I651" i="2"/>
  <c r="H651" i="2"/>
  <c r="G651" i="2"/>
  <c r="F651" i="2"/>
  <c r="E651" i="2"/>
  <c r="D651" i="2"/>
  <c r="C651" i="2"/>
  <c r="B651" i="2"/>
  <c r="A651" i="2"/>
  <c r="R650" i="2"/>
  <c r="Q650" i="2"/>
  <c r="N650" i="2"/>
  <c r="M650" i="2"/>
  <c r="J650" i="2"/>
  <c r="I650" i="2"/>
  <c r="H650" i="2"/>
  <c r="G650" i="2"/>
  <c r="F650" i="2"/>
  <c r="E650" i="2"/>
  <c r="D650" i="2"/>
  <c r="C650" i="2"/>
  <c r="B650" i="2"/>
  <c r="A650" i="2"/>
  <c r="R649" i="2"/>
  <c r="Q649" i="2"/>
  <c r="N649" i="2"/>
  <c r="M649" i="2"/>
  <c r="J649" i="2"/>
  <c r="I649" i="2"/>
  <c r="H649" i="2"/>
  <c r="G649" i="2"/>
  <c r="F649" i="2"/>
  <c r="E649" i="2"/>
  <c r="D649" i="2"/>
  <c r="C649" i="2"/>
  <c r="B649" i="2"/>
  <c r="A649" i="2"/>
  <c r="Q648" i="2"/>
  <c r="U648" i="2" s="1"/>
  <c r="N648" i="2"/>
  <c r="M648" i="2"/>
  <c r="J648" i="2"/>
  <c r="I648" i="2"/>
  <c r="H648" i="2"/>
  <c r="G648" i="2"/>
  <c r="F648" i="2"/>
  <c r="E648" i="2"/>
  <c r="D648" i="2"/>
  <c r="C648" i="2"/>
  <c r="B648" i="2"/>
  <c r="A648" i="2"/>
  <c r="Q647" i="2"/>
  <c r="U647" i="2" s="1"/>
  <c r="N647" i="2"/>
  <c r="M647" i="2"/>
  <c r="J647" i="2"/>
  <c r="I647" i="2"/>
  <c r="H647" i="2"/>
  <c r="G647" i="2"/>
  <c r="F647" i="2"/>
  <c r="E647" i="2"/>
  <c r="D647" i="2"/>
  <c r="C647" i="2"/>
  <c r="B647" i="2"/>
  <c r="A647" i="2"/>
  <c r="Q646" i="2"/>
  <c r="U646" i="2" s="1"/>
  <c r="N646" i="2"/>
  <c r="M646" i="2"/>
  <c r="J646" i="2"/>
  <c r="I646" i="2"/>
  <c r="H646" i="2"/>
  <c r="G646" i="2"/>
  <c r="F646" i="2"/>
  <c r="E646" i="2"/>
  <c r="D646" i="2"/>
  <c r="C646" i="2"/>
  <c r="B646" i="2"/>
  <c r="A646" i="2"/>
  <c r="Q645" i="2"/>
  <c r="U645" i="2" s="1"/>
  <c r="N645" i="2"/>
  <c r="M645" i="2"/>
  <c r="J645" i="2"/>
  <c r="I645" i="2"/>
  <c r="H645" i="2"/>
  <c r="G645" i="2"/>
  <c r="F645" i="2"/>
  <c r="E645" i="2"/>
  <c r="D645" i="2"/>
  <c r="C645" i="2"/>
  <c r="B645" i="2"/>
  <c r="A645" i="2"/>
  <c r="Q644" i="2"/>
  <c r="U644" i="2" s="1"/>
  <c r="N644" i="2"/>
  <c r="M644" i="2"/>
  <c r="J644" i="2"/>
  <c r="I644" i="2"/>
  <c r="H644" i="2"/>
  <c r="G644" i="2"/>
  <c r="F644" i="2"/>
  <c r="E644" i="2"/>
  <c r="D644" i="2"/>
  <c r="C644" i="2"/>
  <c r="B644" i="2"/>
  <c r="A644" i="2"/>
  <c r="Q643" i="2"/>
  <c r="U643" i="2" s="1"/>
  <c r="N643" i="2"/>
  <c r="M643" i="2"/>
  <c r="J643" i="2"/>
  <c r="I643" i="2"/>
  <c r="H643" i="2"/>
  <c r="G643" i="2"/>
  <c r="F643" i="2"/>
  <c r="E643" i="2"/>
  <c r="D643" i="2"/>
  <c r="C643" i="2"/>
  <c r="B643" i="2"/>
  <c r="A643" i="2"/>
  <c r="U642" i="2"/>
  <c r="N642" i="2"/>
  <c r="M642" i="2"/>
  <c r="J642" i="2"/>
  <c r="I642" i="2"/>
  <c r="H642" i="2"/>
  <c r="G642" i="2"/>
  <c r="F642" i="2"/>
  <c r="E642" i="2"/>
  <c r="D642" i="2"/>
  <c r="C642" i="2"/>
  <c r="B642" i="2"/>
  <c r="A642" i="2"/>
  <c r="U641" i="2"/>
  <c r="N641" i="2"/>
  <c r="M641" i="2"/>
  <c r="J641" i="2"/>
  <c r="I641" i="2"/>
  <c r="H641" i="2"/>
  <c r="G641" i="2"/>
  <c r="F641" i="2"/>
  <c r="E641" i="2"/>
  <c r="D641" i="2"/>
  <c r="C641" i="2"/>
  <c r="B641" i="2"/>
  <c r="A641" i="2"/>
  <c r="U640" i="2"/>
  <c r="N640" i="2"/>
  <c r="M640" i="2"/>
  <c r="J640" i="2"/>
  <c r="I640" i="2"/>
  <c r="H640" i="2"/>
  <c r="G640" i="2"/>
  <c r="F640" i="2"/>
  <c r="E640" i="2"/>
  <c r="D640" i="2"/>
  <c r="C640" i="2"/>
  <c r="B640" i="2"/>
  <c r="A640" i="2"/>
  <c r="U639" i="2"/>
  <c r="N639" i="2"/>
  <c r="M639" i="2"/>
  <c r="J639" i="2"/>
  <c r="I639" i="2"/>
  <c r="H639" i="2"/>
  <c r="G639" i="2"/>
  <c r="F639" i="2"/>
  <c r="E639" i="2"/>
  <c r="D639" i="2"/>
  <c r="C639" i="2"/>
  <c r="B639" i="2"/>
  <c r="A639" i="2"/>
  <c r="U638" i="2"/>
  <c r="N638" i="2"/>
  <c r="M638" i="2"/>
  <c r="J638" i="2"/>
  <c r="I638" i="2"/>
  <c r="H638" i="2"/>
  <c r="G638" i="2"/>
  <c r="F638" i="2"/>
  <c r="E638" i="2"/>
  <c r="D638" i="2"/>
  <c r="C638" i="2"/>
  <c r="B638" i="2"/>
  <c r="A638" i="2"/>
  <c r="U637" i="2"/>
  <c r="N637" i="2"/>
  <c r="M637" i="2"/>
  <c r="J637" i="2"/>
  <c r="I637" i="2"/>
  <c r="H637" i="2"/>
  <c r="G637" i="2"/>
  <c r="F637" i="2"/>
  <c r="E637" i="2"/>
  <c r="D637" i="2"/>
  <c r="C637" i="2"/>
  <c r="B637" i="2"/>
  <c r="A637" i="2"/>
  <c r="U636" i="2"/>
  <c r="N636" i="2"/>
  <c r="M636" i="2"/>
  <c r="J636" i="2"/>
  <c r="I636" i="2"/>
  <c r="H636" i="2"/>
  <c r="G636" i="2"/>
  <c r="F636" i="2"/>
  <c r="E636" i="2"/>
  <c r="D636" i="2"/>
  <c r="C636" i="2"/>
  <c r="B636" i="2"/>
  <c r="A636" i="2"/>
  <c r="U635" i="2"/>
  <c r="N635" i="2"/>
  <c r="M635" i="2"/>
  <c r="J635" i="2"/>
  <c r="I635" i="2"/>
  <c r="H635" i="2"/>
  <c r="G635" i="2"/>
  <c r="F635" i="2"/>
  <c r="E635" i="2"/>
  <c r="D635" i="2"/>
  <c r="C635" i="2"/>
  <c r="B635" i="2"/>
  <c r="A635" i="2"/>
  <c r="U634" i="2"/>
  <c r="N634" i="2"/>
  <c r="M634" i="2"/>
  <c r="J634" i="2"/>
  <c r="I634" i="2"/>
  <c r="H634" i="2"/>
  <c r="G634" i="2"/>
  <c r="F634" i="2"/>
  <c r="E634" i="2"/>
  <c r="D634" i="2"/>
  <c r="C634" i="2"/>
  <c r="B634" i="2"/>
  <c r="A634" i="2"/>
  <c r="U633" i="2"/>
  <c r="N633" i="2"/>
  <c r="M633" i="2"/>
  <c r="J633" i="2"/>
  <c r="I633" i="2"/>
  <c r="H633" i="2"/>
  <c r="G633" i="2"/>
  <c r="F633" i="2"/>
  <c r="E633" i="2"/>
  <c r="D633" i="2"/>
  <c r="C633" i="2"/>
  <c r="B633" i="2"/>
  <c r="A633" i="2"/>
  <c r="U632" i="2"/>
  <c r="N632" i="2"/>
  <c r="M632" i="2"/>
  <c r="J632" i="2"/>
  <c r="I632" i="2"/>
  <c r="H632" i="2"/>
  <c r="G632" i="2"/>
  <c r="F632" i="2"/>
  <c r="E632" i="2"/>
  <c r="D632" i="2"/>
  <c r="C632" i="2"/>
  <c r="B632" i="2"/>
  <c r="A632" i="2"/>
  <c r="U631" i="2"/>
  <c r="N631" i="2"/>
  <c r="M631" i="2"/>
  <c r="J631" i="2"/>
  <c r="I631" i="2"/>
  <c r="H631" i="2"/>
  <c r="G631" i="2"/>
  <c r="F631" i="2"/>
  <c r="E631" i="2"/>
  <c r="D631" i="2"/>
  <c r="C631" i="2"/>
  <c r="B631" i="2"/>
  <c r="A631" i="2"/>
  <c r="U630" i="2"/>
  <c r="N630" i="2"/>
  <c r="M630" i="2"/>
  <c r="J630" i="2"/>
  <c r="I630" i="2"/>
  <c r="H630" i="2"/>
  <c r="G630" i="2"/>
  <c r="F630" i="2"/>
  <c r="E630" i="2"/>
  <c r="D630" i="2"/>
  <c r="C630" i="2"/>
  <c r="B630" i="2"/>
  <c r="A630" i="2"/>
  <c r="U629" i="2"/>
  <c r="N629" i="2"/>
  <c r="M629" i="2"/>
  <c r="J629" i="2"/>
  <c r="I629" i="2"/>
  <c r="H629" i="2"/>
  <c r="G629" i="2"/>
  <c r="F629" i="2"/>
  <c r="E629" i="2"/>
  <c r="D629" i="2"/>
  <c r="C629" i="2"/>
  <c r="B629" i="2"/>
  <c r="A629" i="2"/>
  <c r="U628" i="2"/>
  <c r="N628" i="2"/>
  <c r="M628" i="2"/>
  <c r="J628" i="2"/>
  <c r="I628" i="2"/>
  <c r="H628" i="2"/>
  <c r="G628" i="2"/>
  <c r="F628" i="2"/>
  <c r="E628" i="2"/>
  <c r="D628" i="2"/>
  <c r="C628" i="2"/>
  <c r="B628" i="2"/>
  <c r="A628" i="2"/>
  <c r="U627" i="2"/>
  <c r="N627" i="2"/>
  <c r="M627" i="2"/>
  <c r="J627" i="2"/>
  <c r="I627" i="2"/>
  <c r="H627" i="2"/>
  <c r="G627" i="2"/>
  <c r="F627" i="2"/>
  <c r="E627" i="2"/>
  <c r="D627" i="2"/>
  <c r="C627" i="2"/>
  <c r="B627" i="2"/>
  <c r="A627" i="2"/>
  <c r="U626" i="2"/>
  <c r="N626" i="2"/>
  <c r="M626" i="2"/>
  <c r="J626" i="2"/>
  <c r="I626" i="2"/>
  <c r="H626" i="2"/>
  <c r="G626" i="2"/>
  <c r="F626" i="2"/>
  <c r="E626" i="2"/>
  <c r="D626" i="2"/>
  <c r="C626" i="2"/>
  <c r="B626" i="2"/>
  <c r="A626" i="2"/>
  <c r="U625" i="2"/>
  <c r="N625" i="2"/>
  <c r="M625" i="2"/>
  <c r="J625" i="2"/>
  <c r="I625" i="2"/>
  <c r="H625" i="2"/>
  <c r="G625" i="2"/>
  <c r="F625" i="2"/>
  <c r="E625" i="2"/>
  <c r="D625" i="2"/>
  <c r="C625" i="2"/>
  <c r="B625" i="2"/>
  <c r="A625" i="2"/>
  <c r="U624" i="2"/>
  <c r="N624" i="2"/>
  <c r="M624" i="2"/>
  <c r="J624" i="2"/>
  <c r="I624" i="2"/>
  <c r="H624" i="2"/>
  <c r="G624" i="2"/>
  <c r="F624" i="2"/>
  <c r="E624" i="2"/>
  <c r="D624" i="2"/>
  <c r="C624" i="2"/>
  <c r="B624" i="2"/>
  <c r="A624" i="2"/>
  <c r="U623" i="2"/>
  <c r="N623" i="2"/>
  <c r="M623" i="2"/>
  <c r="J623" i="2"/>
  <c r="I623" i="2"/>
  <c r="H623" i="2"/>
  <c r="G623" i="2"/>
  <c r="F623" i="2"/>
  <c r="E623" i="2"/>
  <c r="D623" i="2"/>
  <c r="C623" i="2"/>
  <c r="B623" i="2"/>
  <c r="A623" i="2"/>
  <c r="U622" i="2"/>
  <c r="N622" i="2"/>
  <c r="M622" i="2"/>
  <c r="J622" i="2"/>
  <c r="I622" i="2"/>
  <c r="H622" i="2"/>
  <c r="G622" i="2"/>
  <c r="F622" i="2"/>
  <c r="E622" i="2"/>
  <c r="D622" i="2"/>
  <c r="C622" i="2"/>
  <c r="B622" i="2"/>
  <c r="A622" i="2"/>
  <c r="U621" i="2"/>
  <c r="N621" i="2"/>
  <c r="M621" i="2"/>
  <c r="J621" i="2"/>
  <c r="I621" i="2"/>
  <c r="H621" i="2"/>
  <c r="G621" i="2"/>
  <c r="F621" i="2"/>
  <c r="E621" i="2"/>
  <c r="D621" i="2"/>
  <c r="C621" i="2"/>
  <c r="B621" i="2"/>
  <c r="A621" i="2"/>
  <c r="U620" i="2"/>
  <c r="N620" i="2"/>
  <c r="M620" i="2"/>
  <c r="J620" i="2"/>
  <c r="I620" i="2"/>
  <c r="H620" i="2"/>
  <c r="G620" i="2"/>
  <c r="F620" i="2"/>
  <c r="E620" i="2"/>
  <c r="D620" i="2"/>
  <c r="C620" i="2"/>
  <c r="B620" i="2"/>
  <c r="A620" i="2"/>
  <c r="U619" i="2"/>
  <c r="N619" i="2"/>
  <c r="M619" i="2"/>
  <c r="J619" i="2"/>
  <c r="I619" i="2"/>
  <c r="H619" i="2"/>
  <c r="G619" i="2"/>
  <c r="F619" i="2"/>
  <c r="E619" i="2"/>
  <c r="D619" i="2"/>
  <c r="C619" i="2"/>
  <c r="B619" i="2"/>
  <c r="A619" i="2"/>
  <c r="U618" i="2"/>
  <c r="N618" i="2"/>
  <c r="M618" i="2"/>
  <c r="J618" i="2"/>
  <c r="I618" i="2"/>
  <c r="H618" i="2"/>
  <c r="G618" i="2"/>
  <c r="F618" i="2"/>
  <c r="E618" i="2"/>
  <c r="D618" i="2"/>
  <c r="C618" i="2"/>
  <c r="B618" i="2"/>
  <c r="A618" i="2"/>
  <c r="U617" i="2"/>
  <c r="N617" i="2"/>
  <c r="M617" i="2"/>
  <c r="J617" i="2"/>
  <c r="I617" i="2"/>
  <c r="H617" i="2"/>
  <c r="G617" i="2"/>
  <c r="F617" i="2"/>
  <c r="E617" i="2"/>
  <c r="D617" i="2"/>
  <c r="C617" i="2"/>
  <c r="B617" i="2"/>
  <c r="A617" i="2"/>
  <c r="U616" i="2"/>
  <c r="N616" i="2"/>
  <c r="M616" i="2"/>
  <c r="J616" i="2"/>
  <c r="I616" i="2"/>
  <c r="H616" i="2"/>
  <c r="G616" i="2"/>
  <c r="F616" i="2"/>
  <c r="E616" i="2"/>
  <c r="D616" i="2"/>
  <c r="C616" i="2"/>
  <c r="B616" i="2"/>
  <c r="A616" i="2"/>
  <c r="U615" i="2"/>
  <c r="N615" i="2"/>
  <c r="M615" i="2"/>
  <c r="J615" i="2"/>
  <c r="I615" i="2"/>
  <c r="H615" i="2"/>
  <c r="G615" i="2"/>
  <c r="F615" i="2"/>
  <c r="E615" i="2"/>
  <c r="D615" i="2"/>
  <c r="C615" i="2"/>
  <c r="B615" i="2"/>
  <c r="A615" i="2"/>
  <c r="U614" i="2"/>
  <c r="N614" i="2"/>
  <c r="M614" i="2"/>
  <c r="J614" i="2"/>
  <c r="I614" i="2"/>
  <c r="H614" i="2"/>
  <c r="G614" i="2"/>
  <c r="F614" i="2"/>
  <c r="E614" i="2"/>
  <c r="D614" i="2"/>
  <c r="C614" i="2"/>
  <c r="B614" i="2"/>
  <c r="A614" i="2"/>
  <c r="U613" i="2"/>
  <c r="N613" i="2"/>
  <c r="M613" i="2"/>
  <c r="J613" i="2"/>
  <c r="I613" i="2"/>
  <c r="H613" i="2"/>
  <c r="G613" i="2"/>
  <c r="F613" i="2"/>
  <c r="E613" i="2"/>
  <c r="D613" i="2"/>
  <c r="C613" i="2"/>
  <c r="B613" i="2"/>
  <c r="A613" i="2"/>
  <c r="U612" i="2"/>
  <c r="N612" i="2"/>
  <c r="M612" i="2"/>
  <c r="J612" i="2"/>
  <c r="I612" i="2"/>
  <c r="H612" i="2"/>
  <c r="G612" i="2"/>
  <c r="F612" i="2"/>
  <c r="E612" i="2"/>
  <c r="D612" i="2"/>
  <c r="C612" i="2"/>
  <c r="B612" i="2"/>
  <c r="A612" i="2"/>
  <c r="U611" i="2"/>
  <c r="N611" i="2"/>
  <c r="M611" i="2"/>
  <c r="J611" i="2"/>
  <c r="I611" i="2"/>
  <c r="H611" i="2"/>
  <c r="G611" i="2"/>
  <c r="F611" i="2"/>
  <c r="E611" i="2"/>
  <c r="D611" i="2"/>
  <c r="C611" i="2"/>
  <c r="B611" i="2"/>
  <c r="A611" i="2"/>
  <c r="U610" i="2"/>
  <c r="N610" i="2"/>
  <c r="M610" i="2"/>
  <c r="J610" i="2"/>
  <c r="I610" i="2"/>
  <c r="H610" i="2"/>
  <c r="G610" i="2"/>
  <c r="F610" i="2"/>
  <c r="E610" i="2"/>
  <c r="D610" i="2"/>
  <c r="C610" i="2"/>
  <c r="B610" i="2"/>
  <c r="A610" i="2"/>
  <c r="U609" i="2"/>
  <c r="N609" i="2"/>
  <c r="M609" i="2"/>
  <c r="J609" i="2"/>
  <c r="I609" i="2"/>
  <c r="H609" i="2"/>
  <c r="G609" i="2"/>
  <c r="F609" i="2"/>
  <c r="E609" i="2"/>
  <c r="D609" i="2"/>
  <c r="C609" i="2"/>
  <c r="B609" i="2"/>
  <c r="A609" i="2"/>
  <c r="U608" i="2"/>
  <c r="N608" i="2"/>
  <c r="M608" i="2"/>
  <c r="J608" i="2"/>
  <c r="I608" i="2"/>
  <c r="H608" i="2"/>
  <c r="G608" i="2"/>
  <c r="F608" i="2"/>
  <c r="E608" i="2"/>
  <c r="D608" i="2"/>
  <c r="C608" i="2"/>
  <c r="B608" i="2"/>
  <c r="A608" i="2"/>
  <c r="U607" i="2"/>
  <c r="N607" i="2"/>
  <c r="M607" i="2"/>
  <c r="J607" i="2"/>
  <c r="I607" i="2"/>
  <c r="H607" i="2"/>
  <c r="G607" i="2"/>
  <c r="F607" i="2"/>
  <c r="E607" i="2"/>
  <c r="D607" i="2"/>
  <c r="C607" i="2"/>
  <c r="B607" i="2"/>
  <c r="A607" i="2"/>
  <c r="U606" i="2"/>
  <c r="N606" i="2"/>
  <c r="M606" i="2"/>
  <c r="J606" i="2"/>
  <c r="I606" i="2"/>
  <c r="H606" i="2"/>
  <c r="G606" i="2"/>
  <c r="F606" i="2"/>
  <c r="E606" i="2"/>
  <c r="D606" i="2"/>
  <c r="C606" i="2"/>
  <c r="B606" i="2"/>
  <c r="A606" i="2"/>
  <c r="U605" i="2"/>
  <c r="N605" i="2"/>
  <c r="M605" i="2"/>
  <c r="J605" i="2"/>
  <c r="I605" i="2"/>
  <c r="H605" i="2"/>
  <c r="G605" i="2"/>
  <c r="F605" i="2"/>
  <c r="E605" i="2"/>
  <c r="D605" i="2"/>
  <c r="C605" i="2"/>
  <c r="B605" i="2"/>
  <c r="A605" i="2"/>
  <c r="U604" i="2"/>
  <c r="N604" i="2"/>
  <c r="M604" i="2"/>
  <c r="J604" i="2"/>
  <c r="I604" i="2"/>
  <c r="H604" i="2"/>
  <c r="G604" i="2"/>
  <c r="F604" i="2"/>
  <c r="E604" i="2"/>
  <c r="D604" i="2"/>
  <c r="C604" i="2"/>
  <c r="B604" i="2"/>
  <c r="A604" i="2"/>
  <c r="U603" i="2"/>
  <c r="N603" i="2"/>
  <c r="M603" i="2"/>
  <c r="J603" i="2"/>
  <c r="I603" i="2"/>
  <c r="H603" i="2"/>
  <c r="G603" i="2"/>
  <c r="F603" i="2"/>
  <c r="E603" i="2"/>
  <c r="D603" i="2"/>
  <c r="C603" i="2"/>
  <c r="B603" i="2"/>
  <c r="A603" i="2"/>
  <c r="U602" i="2"/>
  <c r="N602" i="2"/>
  <c r="M602" i="2"/>
  <c r="J602" i="2"/>
  <c r="I602" i="2"/>
  <c r="H602" i="2"/>
  <c r="G602" i="2"/>
  <c r="F602" i="2"/>
  <c r="E602" i="2"/>
  <c r="D602" i="2"/>
  <c r="C602" i="2"/>
  <c r="B602" i="2"/>
  <c r="A602" i="2"/>
  <c r="U601" i="2"/>
  <c r="N601" i="2"/>
  <c r="M601" i="2"/>
  <c r="J601" i="2"/>
  <c r="I601" i="2"/>
  <c r="H601" i="2"/>
  <c r="G601" i="2"/>
  <c r="F601" i="2"/>
  <c r="E601" i="2"/>
  <c r="D601" i="2"/>
  <c r="C601" i="2"/>
  <c r="B601" i="2"/>
  <c r="A601" i="2"/>
  <c r="U600" i="2"/>
  <c r="N600" i="2"/>
  <c r="M600" i="2"/>
  <c r="J600" i="2"/>
  <c r="I600" i="2"/>
  <c r="H600" i="2"/>
  <c r="G600" i="2"/>
  <c r="F600" i="2"/>
  <c r="E600" i="2"/>
  <c r="D600" i="2"/>
  <c r="C600" i="2"/>
  <c r="B600" i="2"/>
  <c r="A600" i="2"/>
  <c r="U599" i="2"/>
  <c r="N599" i="2"/>
  <c r="M599" i="2"/>
  <c r="J599" i="2"/>
  <c r="I599" i="2"/>
  <c r="H599" i="2"/>
  <c r="G599" i="2"/>
  <c r="F599" i="2"/>
  <c r="E599" i="2"/>
  <c r="D599" i="2"/>
  <c r="C599" i="2"/>
  <c r="B599" i="2"/>
  <c r="A599" i="2"/>
  <c r="U598" i="2"/>
  <c r="N598" i="2"/>
  <c r="M598" i="2"/>
  <c r="J598" i="2"/>
  <c r="I598" i="2"/>
  <c r="H598" i="2"/>
  <c r="G598" i="2"/>
  <c r="F598" i="2"/>
  <c r="E598" i="2"/>
  <c r="D598" i="2"/>
  <c r="C598" i="2"/>
  <c r="B598" i="2"/>
  <c r="A598" i="2"/>
  <c r="U597" i="2"/>
  <c r="N597" i="2"/>
  <c r="M597" i="2"/>
  <c r="J597" i="2"/>
  <c r="I597" i="2"/>
  <c r="H597" i="2"/>
  <c r="G597" i="2"/>
  <c r="F597" i="2"/>
  <c r="E597" i="2"/>
  <c r="D597" i="2"/>
  <c r="C597" i="2"/>
  <c r="B597" i="2"/>
  <c r="A597" i="2"/>
  <c r="U596" i="2"/>
  <c r="N596" i="2"/>
  <c r="M596" i="2"/>
  <c r="J596" i="2"/>
  <c r="I596" i="2"/>
  <c r="H596" i="2"/>
  <c r="G596" i="2"/>
  <c r="F596" i="2"/>
  <c r="E596" i="2"/>
  <c r="D596" i="2"/>
  <c r="C596" i="2"/>
  <c r="B596" i="2"/>
  <c r="A596" i="2"/>
  <c r="U595" i="2"/>
  <c r="N595" i="2"/>
  <c r="M595" i="2"/>
  <c r="J595" i="2"/>
  <c r="I595" i="2"/>
  <c r="H595" i="2"/>
  <c r="G595" i="2"/>
  <c r="F595" i="2"/>
  <c r="E595" i="2"/>
  <c r="D595" i="2"/>
  <c r="C595" i="2"/>
  <c r="B595" i="2"/>
  <c r="A595" i="2"/>
  <c r="U594" i="2"/>
  <c r="N594" i="2"/>
  <c r="M594" i="2"/>
  <c r="J594" i="2"/>
  <c r="I594" i="2"/>
  <c r="H594" i="2"/>
  <c r="G594" i="2"/>
  <c r="F594" i="2"/>
  <c r="E594" i="2"/>
  <c r="D594" i="2"/>
  <c r="C594" i="2"/>
  <c r="B594" i="2"/>
  <c r="A594" i="2"/>
  <c r="U593" i="2"/>
  <c r="N593" i="2"/>
  <c r="M593" i="2"/>
  <c r="J593" i="2"/>
  <c r="I593" i="2"/>
  <c r="H593" i="2"/>
  <c r="G593" i="2"/>
  <c r="F593" i="2"/>
  <c r="E593" i="2"/>
  <c r="D593" i="2"/>
  <c r="C593" i="2"/>
  <c r="B593" i="2"/>
  <c r="A593" i="2"/>
  <c r="U592" i="2"/>
  <c r="N592" i="2"/>
  <c r="M592" i="2"/>
  <c r="J592" i="2"/>
  <c r="I592" i="2"/>
  <c r="H592" i="2"/>
  <c r="G592" i="2"/>
  <c r="F592" i="2"/>
  <c r="E592" i="2"/>
  <c r="D592" i="2"/>
  <c r="C592" i="2"/>
  <c r="B592" i="2"/>
  <c r="A592" i="2"/>
  <c r="U591" i="2"/>
  <c r="N591" i="2"/>
  <c r="M591" i="2"/>
  <c r="J591" i="2"/>
  <c r="I591" i="2"/>
  <c r="H591" i="2"/>
  <c r="G591" i="2"/>
  <c r="F591" i="2"/>
  <c r="E591" i="2"/>
  <c r="D591" i="2"/>
  <c r="C591" i="2"/>
  <c r="B591" i="2"/>
  <c r="A591" i="2"/>
  <c r="U590" i="2"/>
  <c r="N590" i="2"/>
  <c r="M590" i="2"/>
  <c r="J590" i="2"/>
  <c r="I590" i="2"/>
  <c r="H590" i="2"/>
  <c r="G590" i="2"/>
  <c r="F590" i="2"/>
  <c r="E590" i="2"/>
  <c r="D590" i="2"/>
  <c r="C590" i="2"/>
  <c r="B590" i="2"/>
  <c r="A590" i="2"/>
  <c r="U589" i="2"/>
  <c r="N589" i="2"/>
  <c r="M589" i="2"/>
  <c r="J589" i="2"/>
  <c r="I589" i="2"/>
  <c r="H589" i="2"/>
  <c r="G589" i="2"/>
  <c r="F589" i="2"/>
  <c r="E589" i="2"/>
  <c r="D589" i="2"/>
  <c r="C589" i="2"/>
  <c r="B589" i="2"/>
  <c r="A589" i="2"/>
  <c r="U588" i="2"/>
  <c r="N588" i="2"/>
  <c r="M588" i="2"/>
  <c r="J588" i="2"/>
  <c r="I588" i="2"/>
  <c r="H588" i="2"/>
  <c r="G588" i="2"/>
  <c r="F588" i="2"/>
  <c r="E588" i="2"/>
  <c r="D588" i="2"/>
  <c r="C588" i="2"/>
  <c r="B588" i="2"/>
  <c r="A588" i="2"/>
  <c r="U587" i="2"/>
  <c r="N587" i="2"/>
  <c r="M587" i="2"/>
  <c r="J587" i="2"/>
  <c r="I587" i="2"/>
  <c r="H587" i="2"/>
  <c r="G587" i="2"/>
  <c r="F587" i="2"/>
  <c r="E587" i="2"/>
  <c r="D587" i="2"/>
  <c r="C587" i="2"/>
  <c r="B587" i="2"/>
  <c r="A587" i="2"/>
  <c r="U586" i="2"/>
  <c r="N586" i="2"/>
  <c r="M586" i="2"/>
  <c r="J586" i="2"/>
  <c r="I586" i="2"/>
  <c r="H586" i="2"/>
  <c r="G586" i="2"/>
  <c r="F586" i="2"/>
  <c r="E586" i="2"/>
  <c r="D586" i="2"/>
  <c r="C586" i="2"/>
  <c r="B586" i="2"/>
  <c r="A586" i="2"/>
  <c r="U585" i="2"/>
  <c r="N585" i="2"/>
  <c r="M585" i="2"/>
  <c r="J585" i="2"/>
  <c r="I585" i="2"/>
  <c r="H585" i="2"/>
  <c r="G585" i="2"/>
  <c r="F585" i="2"/>
  <c r="E585" i="2"/>
  <c r="D585" i="2"/>
  <c r="C585" i="2"/>
  <c r="B585" i="2"/>
  <c r="A585" i="2"/>
  <c r="U584" i="2"/>
  <c r="N584" i="2"/>
  <c r="M584" i="2"/>
  <c r="J584" i="2"/>
  <c r="I584" i="2"/>
  <c r="H584" i="2"/>
  <c r="G584" i="2"/>
  <c r="F584" i="2"/>
  <c r="E584" i="2"/>
  <c r="D584" i="2"/>
  <c r="C584" i="2"/>
  <c r="B584" i="2"/>
  <c r="A584" i="2"/>
  <c r="U583" i="2"/>
  <c r="N583" i="2"/>
  <c r="M583" i="2"/>
  <c r="J583" i="2"/>
  <c r="I583" i="2"/>
  <c r="H583" i="2"/>
  <c r="G583" i="2"/>
  <c r="F583" i="2"/>
  <c r="E583" i="2"/>
  <c r="D583" i="2"/>
  <c r="C583" i="2"/>
  <c r="B583" i="2"/>
  <c r="A583" i="2"/>
  <c r="U582" i="2"/>
  <c r="N582" i="2"/>
  <c r="M582" i="2"/>
  <c r="J582" i="2"/>
  <c r="I582" i="2"/>
  <c r="H582" i="2"/>
  <c r="G582" i="2"/>
  <c r="F582" i="2"/>
  <c r="E582" i="2"/>
  <c r="D582" i="2"/>
  <c r="C582" i="2"/>
  <c r="B582" i="2"/>
  <c r="A582" i="2"/>
  <c r="U581" i="2"/>
  <c r="N581" i="2"/>
  <c r="M581" i="2"/>
  <c r="J581" i="2"/>
  <c r="I581" i="2"/>
  <c r="H581" i="2"/>
  <c r="G581" i="2"/>
  <c r="F581" i="2"/>
  <c r="E581" i="2"/>
  <c r="D581" i="2"/>
  <c r="C581" i="2"/>
  <c r="B581" i="2"/>
  <c r="A581" i="2"/>
  <c r="U580" i="2"/>
  <c r="N580" i="2"/>
  <c r="M580" i="2"/>
  <c r="J580" i="2"/>
  <c r="I580" i="2"/>
  <c r="H580" i="2"/>
  <c r="G580" i="2"/>
  <c r="F580" i="2"/>
  <c r="E580" i="2"/>
  <c r="D580" i="2"/>
  <c r="C580" i="2"/>
  <c r="B580" i="2"/>
  <c r="A580" i="2"/>
  <c r="U579" i="2"/>
  <c r="N579" i="2"/>
  <c r="M579" i="2"/>
  <c r="J579" i="2"/>
  <c r="I579" i="2"/>
  <c r="H579" i="2"/>
  <c r="G579" i="2"/>
  <c r="F579" i="2"/>
  <c r="E579" i="2"/>
  <c r="D579" i="2"/>
  <c r="C579" i="2"/>
  <c r="B579" i="2"/>
  <c r="A579" i="2"/>
  <c r="U578" i="2"/>
  <c r="N578" i="2"/>
  <c r="M578" i="2"/>
  <c r="J578" i="2"/>
  <c r="I578" i="2"/>
  <c r="H578" i="2"/>
  <c r="G578" i="2"/>
  <c r="F578" i="2"/>
  <c r="E578" i="2"/>
  <c r="D578" i="2"/>
  <c r="C578" i="2"/>
  <c r="B578" i="2"/>
  <c r="A578" i="2"/>
  <c r="U577" i="2"/>
  <c r="N577" i="2"/>
  <c r="M577" i="2"/>
  <c r="J577" i="2"/>
  <c r="I577" i="2"/>
  <c r="H577" i="2"/>
  <c r="G577" i="2"/>
  <c r="F577" i="2"/>
  <c r="E577" i="2"/>
  <c r="D577" i="2"/>
  <c r="C577" i="2"/>
  <c r="B577" i="2"/>
  <c r="A577" i="2"/>
  <c r="U576" i="2"/>
  <c r="N576" i="2"/>
  <c r="M576" i="2"/>
  <c r="J576" i="2"/>
  <c r="I576" i="2"/>
  <c r="H576" i="2"/>
  <c r="G576" i="2"/>
  <c r="F576" i="2"/>
  <c r="E576" i="2"/>
  <c r="D576" i="2"/>
  <c r="C576" i="2"/>
  <c r="B576" i="2"/>
  <c r="A576" i="2"/>
  <c r="U575" i="2"/>
  <c r="N575" i="2"/>
  <c r="M575" i="2"/>
  <c r="J575" i="2"/>
  <c r="I575" i="2"/>
  <c r="H575" i="2"/>
  <c r="G575" i="2"/>
  <c r="F575" i="2"/>
  <c r="E575" i="2"/>
  <c r="D575" i="2"/>
  <c r="C575" i="2"/>
  <c r="B575" i="2"/>
  <c r="A575" i="2"/>
  <c r="U574" i="2"/>
  <c r="N574" i="2"/>
  <c r="M574" i="2"/>
  <c r="J574" i="2"/>
  <c r="I574" i="2"/>
  <c r="H574" i="2"/>
  <c r="G574" i="2"/>
  <c r="F574" i="2"/>
  <c r="E574" i="2"/>
  <c r="D574" i="2"/>
  <c r="C574" i="2"/>
  <c r="B574" i="2"/>
  <c r="A574" i="2"/>
  <c r="U573" i="2"/>
  <c r="N573" i="2"/>
  <c r="M573" i="2"/>
  <c r="J573" i="2"/>
  <c r="I573" i="2"/>
  <c r="H573" i="2"/>
  <c r="G573" i="2"/>
  <c r="F573" i="2"/>
  <c r="E573" i="2"/>
  <c r="D573" i="2"/>
  <c r="C573" i="2"/>
  <c r="B573" i="2"/>
  <c r="A573" i="2"/>
  <c r="U572" i="2"/>
  <c r="N572" i="2"/>
  <c r="M572" i="2"/>
  <c r="J572" i="2"/>
  <c r="I572" i="2"/>
  <c r="H572" i="2"/>
  <c r="G572" i="2"/>
  <c r="F572" i="2"/>
  <c r="E572" i="2"/>
  <c r="D572" i="2"/>
  <c r="C572" i="2"/>
  <c r="B572" i="2"/>
  <c r="A572" i="2"/>
  <c r="U571" i="2"/>
  <c r="N571" i="2"/>
  <c r="M571" i="2"/>
  <c r="J571" i="2"/>
  <c r="I571" i="2"/>
  <c r="H571" i="2"/>
  <c r="G571" i="2"/>
  <c r="F571" i="2"/>
  <c r="E571" i="2"/>
  <c r="D571" i="2"/>
  <c r="C571" i="2"/>
  <c r="B571" i="2"/>
  <c r="A571" i="2"/>
  <c r="U570" i="2"/>
  <c r="N570" i="2"/>
  <c r="M570" i="2"/>
  <c r="J570" i="2"/>
  <c r="I570" i="2"/>
  <c r="H570" i="2"/>
  <c r="G570" i="2"/>
  <c r="F570" i="2"/>
  <c r="E570" i="2"/>
  <c r="D570" i="2"/>
  <c r="C570" i="2"/>
  <c r="B570" i="2"/>
  <c r="A570" i="2"/>
  <c r="U569" i="2"/>
  <c r="N569" i="2"/>
  <c r="M569" i="2"/>
  <c r="J569" i="2"/>
  <c r="I569" i="2"/>
  <c r="H569" i="2"/>
  <c r="G569" i="2"/>
  <c r="F569" i="2"/>
  <c r="E569" i="2"/>
  <c r="D569" i="2"/>
  <c r="C569" i="2"/>
  <c r="B569" i="2"/>
  <c r="A569" i="2"/>
  <c r="U568" i="2"/>
  <c r="N568" i="2"/>
  <c r="M568" i="2"/>
  <c r="J568" i="2"/>
  <c r="I568" i="2"/>
  <c r="H568" i="2"/>
  <c r="G568" i="2"/>
  <c r="F568" i="2"/>
  <c r="E568" i="2"/>
  <c r="D568" i="2"/>
  <c r="C568" i="2"/>
  <c r="B568" i="2"/>
  <c r="A568" i="2"/>
  <c r="U567" i="2"/>
  <c r="N567" i="2"/>
  <c r="M567" i="2"/>
  <c r="J567" i="2"/>
  <c r="I567" i="2"/>
  <c r="H567" i="2"/>
  <c r="G567" i="2"/>
  <c r="F567" i="2"/>
  <c r="E567" i="2"/>
  <c r="D567" i="2"/>
  <c r="C567" i="2"/>
  <c r="B567" i="2"/>
  <c r="A567" i="2"/>
  <c r="U566" i="2"/>
  <c r="N566" i="2"/>
  <c r="M566" i="2"/>
  <c r="J566" i="2"/>
  <c r="I566" i="2"/>
  <c r="H566" i="2"/>
  <c r="G566" i="2"/>
  <c r="F566" i="2"/>
  <c r="E566" i="2"/>
  <c r="D566" i="2"/>
  <c r="C566" i="2"/>
  <c r="B566" i="2"/>
  <c r="A566" i="2"/>
  <c r="U565" i="2"/>
  <c r="N565" i="2"/>
  <c r="M565" i="2"/>
  <c r="J565" i="2"/>
  <c r="I565" i="2"/>
  <c r="H565" i="2"/>
  <c r="G565" i="2"/>
  <c r="F565" i="2"/>
  <c r="E565" i="2"/>
  <c r="D565" i="2"/>
  <c r="C565" i="2"/>
  <c r="B565" i="2"/>
  <c r="A565" i="2"/>
  <c r="U564" i="2"/>
  <c r="N564" i="2"/>
  <c r="M564" i="2"/>
  <c r="J564" i="2"/>
  <c r="I564" i="2"/>
  <c r="H564" i="2"/>
  <c r="G564" i="2"/>
  <c r="F564" i="2"/>
  <c r="E564" i="2"/>
  <c r="D564" i="2"/>
  <c r="C564" i="2"/>
  <c r="B564" i="2"/>
  <c r="A564" i="2"/>
  <c r="U563" i="2"/>
  <c r="N563" i="2"/>
  <c r="M563" i="2"/>
  <c r="J563" i="2"/>
  <c r="I563" i="2"/>
  <c r="H563" i="2"/>
  <c r="G563" i="2"/>
  <c r="F563" i="2"/>
  <c r="E563" i="2"/>
  <c r="D563" i="2"/>
  <c r="C563" i="2"/>
  <c r="B563" i="2"/>
  <c r="A563" i="2"/>
  <c r="U562" i="2"/>
  <c r="N562" i="2"/>
  <c r="M562" i="2"/>
  <c r="J562" i="2"/>
  <c r="I562" i="2"/>
  <c r="H562" i="2"/>
  <c r="G562" i="2"/>
  <c r="F562" i="2"/>
  <c r="E562" i="2"/>
  <c r="D562" i="2"/>
  <c r="C562" i="2"/>
  <c r="B562" i="2"/>
  <c r="A562" i="2"/>
  <c r="U561" i="2"/>
  <c r="N561" i="2"/>
  <c r="M561" i="2"/>
  <c r="J561" i="2"/>
  <c r="I561" i="2"/>
  <c r="H561" i="2"/>
  <c r="G561" i="2"/>
  <c r="F561" i="2"/>
  <c r="E561" i="2"/>
  <c r="D561" i="2"/>
  <c r="C561" i="2"/>
  <c r="B561" i="2"/>
  <c r="A561" i="2"/>
  <c r="U560" i="2"/>
  <c r="N560" i="2"/>
  <c r="M560" i="2"/>
  <c r="J560" i="2"/>
  <c r="I560" i="2"/>
  <c r="H560" i="2"/>
  <c r="G560" i="2"/>
  <c r="F560" i="2"/>
  <c r="E560" i="2"/>
  <c r="D560" i="2"/>
  <c r="C560" i="2"/>
  <c r="B560" i="2"/>
  <c r="A560" i="2"/>
  <c r="U559" i="2"/>
  <c r="N559" i="2"/>
  <c r="M559" i="2"/>
  <c r="J559" i="2"/>
  <c r="I559" i="2"/>
  <c r="H559" i="2"/>
  <c r="G559" i="2"/>
  <c r="F559" i="2"/>
  <c r="E559" i="2"/>
  <c r="D559" i="2"/>
  <c r="C559" i="2"/>
  <c r="B559" i="2"/>
  <c r="A559" i="2"/>
  <c r="U558" i="2"/>
  <c r="N558" i="2"/>
  <c r="M558" i="2"/>
  <c r="J558" i="2"/>
  <c r="I558" i="2"/>
  <c r="H558" i="2"/>
  <c r="G558" i="2"/>
  <c r="F558" i="2"/>
  <c r="E558" i="2"/>
  <c r="D558" i="2"/>
  <c r="C558" i="2"/>
  <c r="B558" i="2"/>
  <c r="A558" i="2"/>
  <c r="U557" i="2"/>
  <c r="N557" i="2"/>
  <c r="M557" i="2"/>
  <c r="J557" i="2"/>
  <c r="I557" i="2"/>
  <c r="H557" i="2"/>
  <c r="G557" i="2"/>
  <c r="F557" i="2"/>
  <c r="E557" i="2"/>
  <c r="D557" i="2"/>
  <c r="C557" i="2"/>
  <c r="B557" i="2"/>
  <c r="A557" i="2"/>
  <c r="U556" i="2"/>
  <c r="N556" i="2"/>
  <c r="M556" i="2"/>
  <c r="J556" i="2"/>
  <c r="I556" i="2"/>
  <c r="H556" i="2"/>
  <c r="G556" i="2"/>
  <c r="F556" i="2"/>
  <c r="E556" i="2"/>
  <c r="D556" i="2"/>
  <c r="C556" i="2"/>
  <c r="B556" i="2"/>
  <c r="A556" i="2"/>
  <c r="U555" i="2"/>
  <c r="N555" i="2"/>
  <c r="M555" i="2"/>
  <c r="J555" i="2"/>
  <c r="I555" i="2"/>
  <c r="H555" i="2"/>
  <c r="G555" i="2"/>
  <c r="F555" i="2"/>
  <c r="E555" i="2"/>
  <c r="D555" i="2"/>
  <c r="C555" i="2"/>
  <c r="B555" i="2"/>
  <c r="A555" i="2"/>
  <c r="U554" i="2"/>
  <c r="N554" i="2"/>
  <c r="M554" i="2"/>
  <c r="J554" i="2"/>
  <c r="I554" i="2"/>
  <c r="H554" i="2"/>
  <c r="G554" i="2"/>
  <c r="F554" i="2"/>
  <c r="E554" i="2"/>
  <c r="D554" i="2"/>
  <c r="C554" i="2"/>
  <c r="B554" i="2"/>
  <c r="A554" i="2"/>
  <c r="U553" i="2"/>
  <c r="N553" i="2"/>
  <c r="M553" i="2"/>
  <c r="J553" i="2"/>
  <c r="I553" i="2"/>
  <c r="H553" i="2"/>
  <c r="G553" i="2"/>
  <c r="F553" i="2"/>
  <c r="E553" i="2"/>
  <c r="D553" i="2"/>
  <c r="C553" i="2"/>
  <c r="B553" i="2"/>
  <c r="A553" i="2"/>
  <c r="U552" i="2"/>
  <c r="N552" i="2"/>
  <c r="M552" i="2"/>
  <c r="J552" i="2"/>
  <c r="I552" i="2"/>
  <c r="H552" i="2"/>
  <c r="G552" i="2"/>
  <c r="F552" i="2"/>
  <c r="E552" i="2"/>
  <c r="D552" i="2"/>
  <c r="C552" i="2"/>
  <c r="B552" i="2"/>
  <c r="A552" i="2"/>
  <c r="U551" i="2"/>
  <c r="N551" i="2"/>
  <c r="M551" i="2"/>
  <c r="J551" i="2"/>
  <c r="I551" i="2"/>
  <c r="H551" i="2"/>
  <c r="G551" i="2"/>
  <c r="F551" i="2"/>
  <c r="E551" i="2"/>
  <c r="D551" i="2"/>
  <c r="C551" i="2"/>
  <c r="B551" i="2"/>
  <c r="A551" i="2"/>
  <c r="U550" i="2"/>
  <c r="N550" i="2"/>
  <c r="M550" i="2"/>
  <c r="J550" i="2"/>
  <c r="I550" i="2"/>
  <c r="H550" i="2"/>
  <c r="G550" i="2"/>
  <c r="F550" i="2"/>
  <c r="E550" i="2"/>
  <c r="D550" i="2"/>
  <c r="C550" i="2"/>
  <c r="B550" i="2"/>
  <c r="A550" i="2"/>
  <c r="U549" i="2"/>
  <c r="N549" i="2"/>
  <c r="M549" i="2"/>
  <c r="J549" i="2"/>
  <c r="I549" i="2"/>
  <c r="H549" i="2"/>
  <c r="G549" i="2"/>
  <c r="F549" i="2"/>
  <c r="E549" i="2"/>
  <c r="D549" i="2"/>
  <c r="C549" i="2"/>
  <c r="B549" i="2"/>
  <c r="A549" i="2"/>
  <c r="U548" i="2"/>
  <c r="N548" i="2"/>
  <c r="M548" i="2"/>
  <c r="J548" i="2"/>
  <c r="I548" i="2"/>
  <c r="H548" i="2"/>
  <c r="G548" i="2"/>
  <c r="F548" i="2"/>
  <c r="E548" i="2"/>
  <c r="D548" i="2"/>
  <c r="C548" i="2"/>
  <c r="B548" i="2"/>
  <c r="A548" i="2"/>
  <c r="U547" i="2"/>
  <c r="N547" i="2"/>
  <c r="M547" i="2"/>
  <c r="J547" i="2"/>
  <c r="I547" i="2"/>
  <c r="H547" i="2"/>
  <c r="G547" i="2"/>
  <c r="F547" i="2"/>
  <c r="E547" i="2"/>
  <c r="D547" i="2"/>
  <c r="C547" i="2"/>
  <c r="B547" i="2"/>
  <c r="A547" i="2"/>
  <c r="U546" i="2"/>
  <c r="N546" i="2"/>
  <c r="M546" i="2"/>
  <c r="J546" i="2"/>
  <c r="I546" i="2"/>
  <c r="H546" i="2"/>
  <c r="G546" i="2"/>
  <c r="F546" i="2"/>
  <c r="E546" i="2"/>
  <c r="D546" i="2"/>
  <c r="C546" i="2"/>
  <c r="B546" i="2"/>
  <c r="A546" i="2"/>
  <c r="U545" i="2"/>
  <c r="N545" i="2"/>
  <c r="M545" i="2"/>
  <c r="J545" i="2"/>
  <c r="I545" i="2"/>
  <c r="H545" i="2"/>
  <c r="G545" i="2"/>
  <c r="F545" i="2"/>
  <c r="E545" i="2"/>
  <c r="D545" i="2"/>
  <c r="C545" i="2"/>
  <c r="B545" i="2"/>
  <c r="A545" i="2"/>
  <c r="U544" i="2"/>
  <c r="N544" i="2"/>
  <c r="M544" i="2"/>
  <c r="J544" i="2"/>
  <c r="I544" i="2"/>
  <c r="H544" i="2"/>
  <c r="G544" i="2"/>
  <c r="F544" i="2"/>
  <c r="E544" i="2"/>
  <c r="D544" i="2"/>
  <c r="C544" i="2"/>
  <c r="B544" i="2"/>
  <c r="A544" i="2"/>
  <c r="U543" i="2"/>
  <c r="N543" i="2"/>
  <c r="M543" i="2"/>
  <c r="J543" i="2"/>
  <c r="I543" i="2"/>
  <c r="H543" i="2"/>
  <c r="G543" i="2"/>
  <c r="F543" i="2"/>
  <c r="E543" i="2"/>
  <c r="D543" i="2"/>
  <c r="C543" i="2"/>
  <c r="B543" i="2"/>
  <c r="A543" i="2"/>
  <c r="U542" i="2"/>
  <c r="N542" i="2"/>
  <c r="M542" i="2"/>
  <c r="J542" i="2"/>
  <c r="I542" i="2"/>
  <c r="H542" i="2"/>
  <c r="G542" i="2"/>
  <c r="F542" i="2"/>
  <c r="E542" i="2"/>
  <c r="D542" i="2"/>
  <c r="C542" i="2"/>
  <c r="B542" i="2"/>
  <c r="A542" i="2"/>
  <c r="U541" i="2"/>
  <c r="N541" i="2"/>
  <c r="M541" i="2"/>
  <c r="J541" i="2"/>
  <c r="I541" i="2"/>
  <c r="H541" i="2"/>
  <c r="G541" i="2"/>
  <c r="F541" i="2"/>
  <c r="E541" i="2"/>
  <c r="D541" i="2"/>
  <c r="C541" i="2"/>
  <c r="B541" i="2"/>
  <c r="A541" i="2"/>
  <c r="U540" i="2"/>
  <c r="N540" i="2"/>
  <c r="M540" i="2"/>
  <c r="J540" i="2"/>
  <c r="I540" i="2"/>
  <c r="H540" i="2"/>
  <c r="G540" i="2"/>
  <c r="F540" i="2"/>
  <c r="E540" i="2"/>
  <c r="D540" i="2"/>
  <c r="C540" i="2"/>
  <c r="B540" i="2"/>
  <c r="A540" i="2"/>
  <c r="Q539" i="2"/>
  <c r="U539" i="2" s="1"/>
  <c r="N539" i="2"/>
  <c r="M539" i="2"/>
  <c r="J539" i="2"/>
  <c r="I539" i="2"/>
  <c r="H539" i="2"/>
  <c r="G539" i="2"/>
  <c r="F539" i="2"/>
  <c r="E539" i="2"/>
  <c r="D539" i="2"/>
  <c r="C539" i="2"/>
  <c r="B539" i="2"/>
  <c r="A539" i="2"/>
  <c r="U538" i="2"/>
  <c r="N538" i="2"/>
  <c r="M538" i="2"/>
  <c r="J538" i="2"/>
  <c r="I538" i="2"/>
  <c r="H538" i="2"/>
  <c r="G538" i="2"/>
  <c r="F538" i="2"/>
  <c r="E538" i="2"/>
  <c r="D538" i="2"/>
  <c r="C538" i="2"/>
  <c r="B538" i="2"/>
  <c r="A538" i="2"/>
  <c r="U537" i="2"/>
  <c r="N537" i="2"/>
  <c r="M537" i="2"/>
  <c r="J537" i="2"/>
  <c r="I537" i="2"/>
  <c r="H537" i="2"/>
  <c r="G537" i="2"/>
  <c r="F537" i="2"/>
  <c r="E537" i="2"/>
  <c r="D537" i="2"/>
  <c r="C537" i="2"/>
  <c r="B537" i="2"/>
  <c r="A537" i="2"/>
  <c r="U536" i="2"/>
  <c r="N536" i="2"/>
  <c r="M536" i="2"/>
  <c r="J536" i="2"/>
  <c r="I536" i="2"/>
  <c r="H536" i="2"/>
  <c r="G536" i="2"/>
  <c r="F536" i="2"/>
  <c r="E536" i="2"/>
  <c r="D536" i="2"/>
  <c r="C536" i="2"/>
  <c r="B536" i="2"/>
  <c r="A536" i="2"/>
  <c r="U535" i="2"/>
  <c r="N535" i="2"/>
  <c r="M535" i="2"/>
  <c r="J535" i="2"/>
  <c r="I535" i="2"/>
  <c r="H535" i="2"/>
  <c r="G535" i="2"/>
  <c r="F535" i="2"/>
  <c r="E535" i="2"/>
  <c r="D535" i="2"/>
  <c r="C535" i="2"/>
  <c r="B535" i="2"/>
  <c r="A535" i="2"/>
  <c r="U534" i="2"/>
  <c r="N534" i="2"/>
  <c r="M534" i="2"/>
  <c r="J534" i="2"/>
  <c r="I534" i="2"/>
  <c r="H534" i="2"/>
  <c r="G534" i="2"/>
  <c r="F534" i="2"/>
  <c r="E534" i="2"/>
  <c r="D534" i="2"/>
  <c r="C534" i="2"/>
  <c r="B534" i="2"/>
  <c r="A534" i="2"/>
  <c r="U533" i="2"/>
  <c r="N533" i="2"/>
  <c r="M533" i="2"/>
  <c r="J533" i="2"/>
  <c r="I533" i="2"/>
  <c r="H533" i="2"/>
  <c r="G533" i="2"/>
  <c r="F533" i="2"/>
  <c r="E533" i="2"/>
  <c r="D533" i="2"/>
  <c r="C533" i="2"/>
  <c r="B533" i="2"/>
  <c r="A533" i="2"/>
  <c r="U532" i="2"/>
  <c r="N532" i="2"/>
  <c r="M532" i="2"/>
  <c r="J532" i="2"/>
  <c r="I532" i="2"/>
  <c r="H532" i="2"/>
  <c r="G532" i="2"/>
  <c r="F532" i="2"/>
  <c r="E532" i="2"/>
  <c r="D532" i="2"/>
  <c r="C532" i="2"/>
  <c r="B532" i="2"/>
  <c r="A532" i="2"/>
  <c r="U531" i="2"/>
  <c r="N531" i="2"/>
  <c r="M531" i="2"/>
  <c r="J531" i="2"/>
  <c r="I531" i="2"/>
  <c r="H531" i="2"/>
  <c r="G531" i="2"/>
  <c r="F531" i="2"/>
  <c r="E531" i="2"/>
  <c r="D531" i="2"/>
  <c r="C531" i="2"/>
  <c r="B531" i="2"/>
  <c r="A531" i="2"/>
  <c r="U530" i="2"/>
  <c r="N530" i="2"/>
  <c r="M530" i="2"/>
  <c r="J530" i="2"/>
  <c r="I530" i="2"/>
  <c r="H530" i="2"/>
  <c r="G530" i="2"/>
  <c r="F530" i="2"/>
  <c r="E530" i="2"/>
  <c r="D530" i="2"/>
  <c r="C530" i="2"/>
  <c r="B530" i="2"/>
  <c r="A530" i="2"/>
  <c r="U529" i="2"/>
  <c r="N529" i="2"/>
  <c r="M529" i="2"/>
  <c r="J529" i="2"/>
  <c r="I529" i="2"/>
  <c r="H529" i="2"/>
  <c r="G529" i="2"/>
  <c r="F529" i="2"/>
  <c r="E529" i="2"/>
  <c r="D529" i="2"/>
  <c r="C529" i="2"/>
  <c r="B529" i="2"/>
  <c r="A529" i="2"/>
  <c r="U528" i="2"/>
  <c r="N528" i="2"/>
  <c r="M528" i="2"/>
  <c r="J528" i="2"/>
  <c r="I528" i="2"/>
  <c r="H528" i="2"/>
  <c r="G528" i="2"/>
  <c r="F528" i="2"/>
  <c r="E528" i="2"/>
  <c r="D528" i="2"/>
  <c r="C528" i="2"/>
  <c r="B528" i="2"/>
  <c r="A528" i="2"/>
  <c r="U527" i="2"/>
  <c r="N527" i="2"/>
  <c r="M527" i="2"/>
  <c r="J527" i="2"/>
  <c r="I527" i="2"/>
  <c r="H527" i="2"/>
  <c r="G527" i="2"/>
  <c r="F527" i="2"/>
  <c r="E527" i="2"/>
  <c r="D527" i="2"/>
  <c r="C527" i="2"/>
  <c r="B527" i="2"/>
  <c r="A527" i="2"/>
  <c r="U526" i="2"/>
  <c r="N526" i="2"/>
  <c r="M526" i="2"/>
  <c r="J526" i="2"/>
  <c r="I526" i="2"/>
  <c r="H526" i="2"/>
  <c r="G526" i="2"/>
  <c r="F526" i="2"/>
  <c r="E526" i="2"/>
  <c r="D526" i="2"/>
  <c r="C526" i="2"/>
  <c r="B526" i="2"/>
  <c r="A526" i="2"/>
  <c r="U525" i="2"/>
  <c r="N525" i="2"/>
  <c r="M525" i="2"/>
  <c r="J525" i="2"/>
  <c r="I525" i="2"/>
  <c r="H525" i="2"/>
  <c r="G525" i="2"/>
  <c r="F525" i="2"/>
  <c r="E525" i="2"/>
  <c r="D525" i="2"/>
  <c r="C525" i="2"/>
  <c r="B525" i="2"/>
  <c r="A525" i="2"/>
  <c r="U524" i="2"/>
  <c r="N524" i="2"/>
  <c r="M524" i="2"/>
  <c r="J524" i="2"/>
  <c r="I524" i="2"/>
  <c r="H524" i="2"/>
  <c r="G524" i="2"/>
  <c r="F524" i="2"/>
  <c r="E524" i="2"/>
  <c r="D524" i="2"/>
  <c r="C524" i="2"/>
  <c r="B524" i="2"/>
  <c r="A524" i="2"/>
  <c r="U523" i="2"/>
  <c r="N523" i="2"/>
  <c r="M523" i="2"/>
  <c r="J523" i="2"/>
  <c r="I523" i="2"/>
  <c r="H523" i="2"/>
  <c r="G523" i="2"/>
  <c r="F523" i="2"/>
  <c r="E523" i="2"/>
  <c r="D523" i="2"/>
  <c r="C523" i="2"/>
  <c r="B523" i="2"/>
  <c r="A523" i="2"/>
  <c r="U522" i="2"/>
  <c r="N522" i="2"/>
  <c r="M522" i="2"/>
  <c r="J522" i="2"/>
  <c r="I522" i="2"/>
  <c r="H522" i="2"/>
  <c r="G522" i="2"/>
  <c r="F522" i="2"/>
  <c r="E522" i="2"/>
  <c r="D522" i="2"/>
  <c r="C522" i="2"/>
  <c r="B522" i="2"/>
  <c r="A522" i="2"/>
  <c r="U521" i="2"/>
  <c r="N521" i="2"/>
  <c r="M521" i="2"/>
  <c r="J521" i="2"/>
  <c r="I521" i="2"/>
  <c r="H521" i="2"/>
  <c r="G521" i="2"/>
  <c r="F521" i="2"/>
  <c r="E521" i="2"/>
  <c r="D521" i="2"/>
  <c r="C521" i="2"/>
  <c r="B521" i="2"/>
  <c r="A521" i="2"/>
  <c r="U520" i="2"/>
  <c r="N520" i="2"/>
  <c r="M520" i="2"/>
  <c r="J520" i="2"/>
  <c r="I520" i="2"/>
  <c r="H520" i="2"/>
  <c r="G520" i="2"/>
  <c r="F520" i="2"/>
  <c r="E520" i="2"/>
  <c r="D520" i="2"/>
  <c r="C520" i="2"/>
  <c r="B520" i="2"/>
  <c r="A520" i="2"/>
  <c r="U519" i="2"/>
  <c r="N519" i="2"/>
  <c r="M519" i="2"/>
  <c r="J519" i="2"/>
  <c r="I519" i="2"/>
  <c r="H519" i="2"/>
  <c r="G519" i="2"/>
  <c r="F519" i="2"/>
  <c r="E519" i="2"/>
  <c r="D519" i="2"/>
  <c r="C519" i="2"/>
  <c r="B519" i="2"/>
  <c r="A519" i="2"/>
  <c r="U518" i="2"/>
  <c r="N518" i="2"/>
  <c r="M518" i="2"/>
  <c r="J518" i="2"/>
  <c r="I518" i="2"/>
  <c r="H518" i="2"/>
  <c r="G518" i="2"/>
  <c r="F518" i="2"/>
  <c r="E518" i="2"/>
  <c r="D518" i="2"/>
  <c r="C518" i="2"/>
  <c r="B518" i="2"/>
  <c r="A518" i="2"/>
  <c r="U517" i="2"/>
  <c r="N517" i="2"/>
  <c r="M517" i="2"/>
  <c r="J517" i="2"/>
  <c r="I517" i="2"/>
  <c r="H517" i="2"/>
  <c r="G517" i="2"/>
  <c r="F517" i="2"/>
  <c r="E517" i="2"/>
  <c r="D517" i="2"/>
  <c r="C517" i="2"/>
  <c r="B517" i="2"/>
  <c r="A517" i="2"/>
  <c r="U516" i="2"/>
  <c r="N516" i="2"/>
  <c r="M516" i="2"/>
  <c r="J516" i="2"/>
  <c r="I516" i="2"/>
  <c r="H516" i="2"/>
  <c r="G516" i="2"/>
  <c r="F516" i="2"/>
  <c r="E516" i="2"/>
  <c r="D516" i="2"/>
  <c r="C516" i="2"/>
  <c r="B516" i="2"/>
  <c r="A516" i="2"/>
  <c r="U515" i="2"/>
  <c r="N515" i="2"/>
  <c r="M515" i="2"/>
  <c r="J515" i="2"/>
  <c r="I515" i="2"/>
  <c r="H515" i="2"/>
  <c r="G515" i="2"/>
  <c r="F515" i="2"/>
  <c r="E515" i="2"/>
  <c r="D515" i="2"/>
  <c r="C515" i="2"/>
  <c r="B515" i="2"/>
  <c r="A515" i="2"/>
  <c r="U514" i="2"/>
  <c r="N514" i="2"/>
  <c r="M514" i="2"/>
  <c r="J514" i="2"/>
  <c r="I514" i="2"/>
  <c r="H514" i="2"/>
  <c r="G514" i="2"/>
  <c r="F514" i="2"/>
  <c r="E514" i="2"/>
  <c r="D514" i="2"/>
  <c r="C514" i="2"/>
  <c r="B514" i="2"/>
  <c r="A514" i="2"/>
  <c r="U513" i="2"/>
  <c r="N513" i="2"/>
  <c r="M513" i="2"/>
  <c r="J513" i="2"/>
  <c r="I513" i="2"/>
  <c r="H513" i="2"/>
  <c r="G513" i="2"/>
  <c r="F513" i="2"/>
  <c r="E513" i="2"/>
  <c r="D513" i="2"/>
  <c r="C513" i="2"/>
  <c r="B513" i="2"/>
  <c r="A513" i="2"/>
  <c r="U512" i="2"/>
  <c r="N512" i="2"/>
  <c r="M512" i="2"/>
  <c r="J512" i="2"/>
  <c r="I512" i="2"/>
  <c r="H512" i="2"/>
  <c r="G512" i="2"/>
  <c r="F512" i="2"/>
  <c r="E512" i="2"/>
  <c r="D512" i="2"/>
  <c r="C512" i="2"/>
  <c r="B512" i="2"/>
  <c r="A512" i="2"/>
  <c r="U511" i="2"/>
  <c r="N511" i="2"/>
  <c r="M511" i="2"/>
  <c r="J511" i="2"/>
  <c r="I511" i="2"/>
  <c r="H511" i="2"/>
  <c r="G511" i="2"/>
  <c r="F511" i="2"/>
  <c r="E511" i="2"/>
  <c r="D511" i="2"/>
  <c r="C511" i="2"/>
  <c r="B511" i="2"/>
  <c r="A511" i="2"/>
  <c r="U510" i="2"/>
  <c r="N510" i="2"/>
  <c r="M510" i="2"/>
  <c r="J510" i="2"/>
  <c r="I510" i="2"/>
  <c r="H510" i="2"/>
  <c r="G510" i="2"/>
  <c r="F510" i="2"/>
  <c r="E510" i="2"/>
  <c r="D510" i="2"/>
  <c r="C510" i="2"/>
  <c r="B510" i="2"/>
  <c r="A510" i="2"/>
  <c r="U509" i="2"/>
  <c r="N509" i="2"/>
  <c r="M509" i="2"/>
  <c r="J509" i="2"/>
  <c r="I509" i="2"/>
  <c r="H509" i="2"/>
  <c r="G509" i="2"/>
  <c r="F509" i="2"/>
  <c r="E509" i="2"/>
  <c r="D509" i="2"/>
  <c r="C509" i="2"/>
  <c r="B509" i="2"/>
  <c r="A509" i="2"/>
  <c r="U508" i="2"/>
  <c r="N508" i="2"/>
  <c r="M508" i="2"/>
  <c r="J508" i="2"/>
  <c r="I508" i="2"/>
  <c r="H508" i="2"/>
  <c r="G508" i="2"/>
  <c r="F508" i="2"/>
  <c r="E508" i="2"/>
  <c r="D508" i="2"/>
  <c r="C508" i="2"/>
  <c r="B508" i="2"/>
  <c r="A508" i="2"/>
  <c r="U507" i="2"/>
  <c r="N507" i="2"/>
  <c r="M507" i="2"/>
  <c r="J507" i="2"/>
  <c r="I507" i="2"/>
  <c r="H507" i="2"/>
  <c r="G507" i="2"/>
  <c r="F507" i="2"/>
  <c r="E507" i="2"/>
  <c r="D507" i="2"/>
  <c r="C507" i="2"/>
  <c r="B507" i="2"/>
  <c r="A507" i="2"/>
  <c r="U506" i="2"/>
  <c r="N506" i="2"/>
  <c r="M506" i="2"/>
  <c r="J506" i="2"/>
  <c r="I506" i="2"/>
  <c r="H506" i="2"/>
  <c r="G506" i="2"/>
  <c r="F506" i="2"/>
  <c r="E506" i="2"/>
  <c r="D506" i="2"/>
  <c r="C506" i="2"/>
  <c r="B506" i="2"/>
  <c r="A506" i="2"/>
  <c r="U505" i="2"/>
  <c r="N505" i="2"/>
  <c r="M505" i="2"/>
  <c r="J505" i="2"/>
  <c r="I505" i="2"/>
  <c r="H505" i="2"/>
  <c r="G505" i="2"/>
  <c r="F505" i="2"/>
  <c r="E505" i="2"/>
  <c r="D505" i="2"/>
  <c r="C505" i="2"/>
  <c r="B505" i="2"/>
  <c r="A505" i="2"/>
  <c r="U504" i="2"/>
  <c r="N504" i="2"/>
  <c r="M504" i="2"/>
  <c r="J504" i="2"/>
  <c r="I504" i="2"/>
  <c r="H504" i="2"/>
  <c r="G504" i="2"/>
  <c r="F504" i="2"/>
  <c r="E504" i="2"/>
  <c r="D504" i="2"/>
  <c r="C504" i="2"/>
  <c r="B504" i="2"/>
  <c r="A504" i="2"/>
  <c r="U503" i="2"/>
  <c r="N503" i="2"/>
  <c r="M503" i="2"/>
  <c r="J503" i="2"/>
  <c r="I503" i="2"/>
  <c r="H503" i="2"/>
  <c r="G503" i="2"/>
  <c r="F503" i="2"/>
  <c r="E503" i="2"/>
  <c r="D503" i="2"/>
  <c r="C503" i="2"/>
  <c r="B503" i="2"/>
  <c r="A503" i="2"/>
  <c r="U502" i="2"/>
  <c r="N502" i="2"/>
  <c r="M502" i="2"/>
  <c r="J502" i="2"/>
  <c r="I502" i="2"/>
  <c r="H502" i="2"/>
  <c r="G502" i="2"/>
  <c r="F502" i="2"/>
  <c r="E502" i="2"/>
  <c r="D502" i="2"/>
  <c r="C502" i="2"/>
  <c r="B502" i="2"/>
  <c r="A502" i="2"/>
  <c r="U501" i="2"/>
  <c r="N501" i="2"/>
  <c r="M501" i="2"/>
  <c r="J501" i="2"/>
  <c r="I501" i="2"/>
  <c r="H501" i="2"/>
  <c r="G501" i="2"/>
  <c r="F501" i="2"/>
  <c r="E501" i="2"/>
  <c r="D501" i="2"/>
  <c r="C501" i="2"/>
  <c r="B501" i="2"/>
  <c r="A501" i="2"/>
  <c r="U500" i="2"/>
  <c r="N500" i="2"/>
  <c r="M500" i="2"/>
  <c r="J500" i="2"/>
  <c r="I500" i="2"/>
  <c r="H500" i="2"/>
  <c r="G500" i="2"/>
  <c r="F500" i="2"/>
  <c r="E500" i="2"/>
  <c r="D500" i="2"/>
  <c r="C500" i="2"/>
  <c r="B500" i="2"/>
  <c r="A500" i="2"/>
  <c r="U499" i="2"/>
  <c r="N499" i="2"/>
  <c r="M499" i="2"/>
  <c r="J499" i="2"/>
  <c r="I499" i="2"/>
  <c r="H499" i="2"/>
  <c r="G499" i="2"/>
  <c r="F499" i="2"/>
  <c r="E499" i="2"/>
  <c r="D499" i="2"/>
  <c r="C499" i="2"/>
  <c r="B499" i="2"/>
  <c r="A499" i="2"/>
  <c r="U498" i="2"/>
  <c r="N498" i="2"/>
  <c r="M498" i="2"/>
  <c r="J498" i="2"/>
  <c r="I498" i="2"/>
  <c r="H498" i="2"/>
  <c r="G498" i="2"/>
  <c r="F498" i="2"/>
  <c r="E498" i="2"/>
  <c r="D498" i="2"/>
  <c r="C498" i="2"/>
  <c r="B498" i="2"/>
  <c r="A498" i="2"/>
  <c r="U497" i="2"/>
  <c r="N497" i="2"/>
  <c r="M497" i="2"/>
  <c r="J497" i="2"/>
  <c r="I497" i="2"/>
  <c r="H497" i="2"/>
  <c r="G497" i="2"/>
  <c r="F497" i="2"/>
  <c r="E497" i="2"/>
  <c r="D497" i="2"/>
  <c r="C497" i="2"/>
  <c r="B497" i="2"/>
  <c r="A497" i="2"/>
  <c r="U496" i="2"/>
  <c r="N496" i="2"/>
  <c r="M496" i="2"/>
  <c r="J496" i="2"/>
  <c r="I496" i="2"/>
  <c r="H496" i="2"/>
  <c r="G496" i="2"/>
  <c r="F496" i="2"/>
  <c r="E496" i="2"/>
  <c r="D496" i="2"/>
  <c r="C496" i="2"/>
  <c r="B496" i="2"/>
  <c r="A496" i="2"/>
  <c r="U495" i="2"/>
  <c r="N495" i="2"/>
  <c r="M495" i="2"/>
  <c r="J495" i="2"/>
  <c r="I495" i="2"/>
  <c r="H495" i="2"/>
  <c r="G495" i="2"/>
  <c r="F495" i="2"/>
  <c r="E495" i="2"/>
  <c r="D495" i="2"/>
  <c r="C495" i="2"/>
  <c r="B495" i="2"/>
  <c r="A495" i="2"/>
  <c r="U494" i="2"/>
  <c r="N494" i="2"/>
  <c r="M494" i="2"/>
  <c r="J494" i="2"/>
  <c r="I494" i="2"/>
  <c r="H494" i="2"/>
  <c r="G494" i="2"/>
  <c r="F494" i="2"/>
  <c r="E494" i="2"/>
  <c r="D494" i="2"/>
  <c r="C494" i="2"/>
  <c r="B494" i="2"/>
  <c r="A494" i="2"/>
  <c r="U493" i="2"/>
  <c r="N493" i="2"/>
  <c r="M493" i="2"/>
  <c r="J493" i="2"/>
  <c r="I493" i="2"/>
  <c r="H493" i="2"/>
  <c r="G493" i="2"/>
  <c r="F493" i="2"/>
  <c r="E493" i="2"/>
  <c r="D493" i="2"/>
  <c r="C493" i="2"/>
  <c r="B493" i="2"/>
  <c r="A493" i="2"/>
  <c r="U492" i="2"/>
  <c r="N492" i="2"/>
  <c r="M492" i="2"/>
  <c r="J492" i="2"/>
  <c r="I492" i="2"/>
  <c r="H492" i="2"/>
  <c r="G492" i="2"/>
  <c r="F492" i="2"/>
  <c r="E492" i="2"/>
  <c r="D492" i="2"/>
  <c r="C492" i="2"/>
  <c r="B492" i="2"/>
  <c r="A492" i="2"/>
  <c r="U491" i="2"/>
  <c r="N491" i="2"/>
  <c r="M491" i="2"/>
  <c r="J491" i="2"/>
  <c r="I491" i="2"/>
  <c r="H491" i="2"/>
  <c r="G491" i="2"/>
  <c r="F491" i="2"/>
  <c r="E491" i="2"/>
  <c r="D491" i="2"/>
  <c r="C491" i="2"/>
  <c r="B491" i="2"/>
  <c r="A491" i="2"/>
  <c r="U490" i="2"/>
  <c r="N490" i="2"/>
  <c r="M490" i="2"/>
  <c r="J490" i="2"/>
  <c r="I490" i="2"/>
  <c r="H490" i="2"/>
  <c r="G490" i="2"/>
  <c r="F490" i="2"/>
  <c r="E490" i="2"/>
  <c r="D490" i="2"/>
  <c r="C490" i="2"/>
  <c r="B490" i="2"/>
  <c r="A490" i="2"/>
  <c r="U489" i="2"/>
  <c r="N489" i="2"/>
  <c r="M489" i="2"/>
  <c r="J489" i="2"/>
  <c r="I489" i="2"/>
  <c r="H489" i="2"/>
  <c r="G489" i="2"/>
  <c r="F489" i="2"/>
  <c r="E489" i="2"/>
  <c r="D489" i="2"/>
  <c r="C489" i="2"/>
  <c r="B489" i="2"/>
  <c r="A489" i="2"/>
  <c r="U488" i="2"/>
  <c r="N488" i="2"/>
  <c r="M488" i="2"/>
  <c r="J488" i="2"/>
  <c r="I488" i="2"/>
  <c r="H488" i="2"/>
  <c r="G488" i="2"/>
  <c r="F488" i="2"/>
  <c r="E488" i="2"/>
  <c r="D488" i="2"/>
  <c r="C488" i="2"/>
  <c r="B488" i="2"/>
  <c r="A488" i="2"/>
  <c r="U487" i="2"/>
  <c r="N487" i="2"/>
  <c r="M487" i="2"/>
  <c r="J487" i="2"/>
  <c r="I487" i="2"/>
  <c r="H487" i="2"/>
  <c r="G487" i="2"/>
  <c r="F487" i="2"/>
  <c r="E487" i="2"/>
  <c r="D487" i="2"/>
  <c r="C487" i="2"/>
  <c r="B487" i="2"/>
  <c r="A487" i="2"/>
  <c r="U486" i="2"/>
  <c r="N486" i="2"/>
  <c r="M486" i="2"/>
  <c r="J486" i="2"/>
  <c r="I486" i="2"/>
  <c r="H486" i="2"/>
  <c r="G486" i="2"/>
  <c r="F486" i="2"/>
  <c r="E486" i="2"/>
  <c r="D486" i="2"/>
  <c r="C486" i="2"/>
  <c r="B486" i="2"/>
  <c r="A486" i="2"/>
  <c r="U485" i="2"/>
  <c r="N485" i="2"/>
  <c r="M485" i="2"/>
  <c r="J485" i="2"/>
  <c r="I485" i="2"/>
  <c r="H485" i="2"/>
  <c r="G485" i="2"/>
  <c r="F485" i="2"/>
  <c r="E485" i="2"/>
  <c r="D485" i="2"/>
  <c r="C485" i="2"/>
  <c r="B485" i="2"/>
  <c r="A485" i="2"/>
  <c r="U484" i="2"/>
  <c r="N484" i="2"/>
  <c r="M484" i="2"/>
  <c r="J484" i="2"/>
  <c r="I484" i="2"/>
  <c r="H484" i="2"/>
  <c r="G484" i="2"/>
  <c r="F484" i="2"/>
  <c r="E484" i="2"/>
  <c r="D484" i="2"/>
  <c r="C484" i="2"/>
  <c r="B484" i="2"/>
  <c r="A484" i="2"/>
  <c r="U483" i="2"/>
  <c r="N483" i="2"/>
  <c r="M483" i="2"/>
  <c r="J483" i="2"/>
  <c r="I483" i="2"/>
  <c r="H483" i="2"/>
  <c r="G483" i="2"/>
  <c r="F483" i="2"/>
  <c r="E483" i="2"/>
  <c r="D483" i="2"/>
  <c r="C483" i="2"/>
  <c r="B483" i="2"/>
  <c r="A483" i="2"/>
  <c r="U482" i="2"/>
  <c r="N482" i="2"/>
  <c r="M482" i="2"/>
  <c r="J482" i="2"/>
  <c r="I482" i="2"/>
  <c r="H482" i="2"/>
  <c r="G482" i="2"/>
  <c r="F482" i="2"/>
  <c r="E482" i="2"/>
  <c r="D482" i="2"/>
  <c r="C482" i="2"/>
  <c r="B482" i="2"/>
  <c r="A482" i="2"/>
  <c r="U481" i="2"/>
  <c r="N481" i="2"/>
  <c r="M481" i="2"/>
  <c r="J481" i="2"/>
  <c r="I481" i="2"/>
  <c r="H481" i="2"/>
  <c r="G481" i="2"/>
  <c r="F481" i="2"/>
  <c r="E481" i="2"/>
  <c r="D481" i="2"/>
  <c r="C481" i="2"/>
  <c r="B481" i="2"/>
  <c r="A481" i="2"/>
  <c r="U480" i="2"/>
  <c r="N480" i="2"/>
  <c r="M480" i="2"/>
  <c r="J480" i="2"/>
  <c r="I480" i="2"/>
  <c r="H480" i="2"/>
  <c r="G480" i="2"/>
  <c r="F480" i="2"/>
  <c r="E480" i="2"/>
  <c r="D480" i="2"/>
  <c r="C480" i="2"/>
  <c r="B480" i="2"/>
  <c r="A480" i="2"/>
  <c r="U479" i="2"/>
  <c r="N479" i="2"/>
  <c r="M479" i="2"/>
  <c r="J479" i="2"/>
  <c r="I479" i="2"/>
  <c r="H479" i="2"/>
  <c r="G479" i="2"/>
  <c r="F479" i="2"/>
  <c r="E479" i="2"/>
  <c r="D479" i="2"/>
  <c r="C479" i="2"/>
  <c r="B479" i="2"/>
  <c r="A479" i="2"/>
  <c r="U478" i="2"/>
  <c r="N478" i="2"/>
  <c r="M478" i="2"/>
  <c r="J478" i="2"/>
  <c r="I478" i="2"/>
  <c r="H478" i="2"/>
  <c r="G478" i="2"/>
  <c r="F478" i="2"/>
  <c r="E478" i="2"/>
  <c r="D478" i="2"/>
  <c r="C478" i="2"/>
  <c r="B478" i="2"/>
  <c r="A478" i="2"/>
  <c r="U477" i="2"/>
  <c r="N477" i="2"/>
  <c r="M477" i="2"/>
  <c r="J477" i="2"/>
  <c r="I477" i="2"/>
  <c r="H477" i="2"/>
  <c r="G477" i="2"/>
  <c r="F477" i="2"/>
  <c r="E477" i="2"/>
  <c r="D477" i="2"/>
  <c r="C477" i="2"/>
  <c r="B477" i="2"/>
  <c r="A477" i="2"/>
  <c r="U476" i="2"/>
  <c r="N476" i="2"/>
  <c r="M476" i="2"/>
  <c r="J476" i="2"/>
  <c r="I476" i="2"/>
  <c r="H476" i="2"/>
  <c r="G476" i="2"/>
  <c r="F476" i="2"/>
  <c r="E476" i="2"/>
  <c r="D476" i="2"/>
  <c r="C476" i="2"/>
  <c r="B476" i="2"/>
  <c r="A476" i="2"/>
  <c r="U475" i="2"/>
  <c r="N475" i="2"/>
  <c r="M475" i="2"/>
  <c r="J475" i="2"/>
  <c r="I475" i="2"/>
  <c r="H475" i="2"/>
  <c r="G475" i="2"/>
  <c r="F475" i="2"/>
  <c r="E475" i="2"/>
  <c r="D475" i="2"/>
  <c r="C475" i="2"/>
  <c r="B475" i="2"/>
  <c r="A475" i="2"/>
  <c r="U474" i="2"/>
  <c r="N474" i="2"/>
  <c r="M474" i="2"/>
  <c r="J474" i="2"/>
  <c r="I474" i="2"/>
  <c r="H474" i="2"/>
  <c r="G474" i="2"/>
  <c r="F474" i="2"/>
  <c r="E474" i="2"/>
  <c r="D474" i="2"/>
  <c r="C474" i="2"/>
  <c r="B474" i="2"/>
  <c r="A474" i="2"/>
  <c r="U473" i="2"/>
  <c r="N473" i="2"/>
  <c r="M473" i="2"/>
  <c r="J473" i="2"/>
  <c r="I473" i="2"/>
  <c r="H473" i="2"/>
  <c r="G473" i="2"/>
  <c r="F473" i="2"/>
  <c r="E473" i="2"/>
  <c r="D473" i="2"/>
  <c r="C473" i="2"/>
  <c r="B473" i="2"/>
  <c r="A473" i="2"/>
  <c r="U472" i="2"/>
  <c r="N472" i="2"/>
  <c r="M472" i="2"/>
  <c r="J472" i="2"/>
  <c r="I472" i="2"/>
  <c r="H472" i="2"/>
  <c r="G472" i="2"/>
  <c r="F472" i="2"/>
  <c r="E472" i="2"/>
  <c r="D472" i="2"/>
  <c r="C472" i="2"/>
  <c r="B472" i="2"/>
  <c r="A472" i="2"/>
  <c r="U471" i="2"/>
  <c r="N471" i="2"/>
  <c r="M471" i="2"/>
  <c r="J471" i="2"/>
  <c r="I471" i="2"/>
  <c r="H471" i="2"/>
  <c r="G471" i="2"/>
  <c r="F471" i="2"/>
  <c r="E471" i="2"/>
  <c r="D471" i="2"/>
  <c r="C471" i="2"/>
  <c r="B471" i="2"/>
  <c r="A471" i="2"/>
  <c r="U470" i="2"/>
  <c r="N470" i="2"/>
  <c r="M470" i="2"/>
  <c r="J470" i="2"/>
  <c r="I470" i="2"/>
  <c r="H470" i="2"/>
  <c r="G470" i="2"/>
  <c r="F470" i="2"/>
  <c r="E470" i="2"/>
  <c r="D470" i="2"/>
  <c r="C470" i="2"/>
  <c r="B470" i="2"/>
  <c r="A470" i="2"/>
  <c r="U469" i="2"/>
  <c r="N469" i="2"/>
  <c r="M469" i="2"/>
  <c r="J469" i="2"/>
  <c r="I469" i="2"/>
  <c r="H469" i="2"/>
  <c r="G469" i="2"/>
  <c r="F469" i="2"/>
  <c r="E469" i="2"/>
  <c r="D469" i="2"/>
  <c r="C469" i="2"/>
  <c r="B469" i="2"/>
  <c r="A469" i="2"/>
  <c r="U468" i="2"/>
  <c r="N468" i="2"/>
  <c r="M468" i="2"/>
  <c r="J468" i="2"/>
  <c r="I468" i="2"/>
  <c r="H468" i="2"/>
  <c r="G468" i="2"/>
  <c r="F468" i="2"/>
  <c r="E468" i="2"/>
  <c r="D468" i="2"/>
  <c r="C468" i="2"/>
  <c r="B468" i="2"/>
  <c r="A468" i="2"/>
  <c r="U467" i="2"/>
  <c r="N467" i="2"/>
  <c r="M467" i="2"/>
  <c r="J467" i="2"/>
  <c r="I467" i="2"/>
  <c r="H467" i="2"/>
  <c r="G467" i="2"/>
  <c r="F467" i="2"/>
  <c r="E467" i="2"/>
  <c r="D467" i="2"/>
  <c r="C467" i="2"/>
  <c r="B467" i="2"/>
  <c r="A467" i="2"/>
  <c r="U466" i="2"/>
  <c r="N466" i="2"/>
  <c r="M466" i="2"/>
  <c r="J466" i="2"/>
  <c r="I466" i="2"/>
  <c r="H466" i="2"/>
  <c r="G466" i="2"/>
  <c r="F466" i="2"/>
  <c r="E466" i="2"/>
  <c r="D466" i="2"/>
  <c r="C466" i="2"/>
  <c r="B466" i="2"/>
  <c r="A466" i="2"/>
  <c r="U465" i="2"/>
  <c r="N465" i="2"/>
  <c r="M465" i="2"/>
  <c r="J465" i="2"/>
  <c r="I465" i="2"/>
  <c r="H465" i="2"/>
  <c r="G465" i="2"/>
  <c r="F465" i="2"/>
  <c r="E465" i="2"/>
  <c r="D465" i="2"/>
  <c r="C465" i="2"/>
  <c r="B465" i="2"/>
  <c r="A465" i="2"/>
  <c r="U464" i="2"/>
  <c r="N464" i="2"/>
  <c r="M464" i="2"/>
  <c r="J464" i="2"/>
  <c r="I464" i="2"/>
  <c r="H464" i="2"/>
  <c r="G464" i="2"/>
  <c r="F464" i="2"/>
  <c r="E464" i="2"/>
  <c r="D464" i="2"/>
  <c r="C464" i="2"/>
  <c r="B464" i="2"/>
  <c r="A464" i="2"/>
  <c r="U463" i="2"/>
  <c r="N463" i="2"/>
  <c r="M463" i="2"/>
  <c r="J463" i="2"/>
  <c r="I463" i="2"/>
  <c r="H463" i="2"/>
  <c r="G463" i="2"/>
  <c r="F463" i="2"/>
  <c r="E463" i="2"/>
  <c r="D463" i="2"/>
  <c r="C463" i="2"/>
  <c r="B463" i="2"/>
  <c r="A463" i="2"/>
  <c r="U462" i="2"/>
  <c r="N462" i="2"/>
  <c r="M462" i="2"/>
  <c r="J462" i="2"/>
  <c r="I462" i="2"/>
  <c r="H462" i="2"/>
  <c r="G462" i="2"/>
  <c r="F462" i="2"/>
  <c r="E462" i="2"/>
  <c r="D462" i="2"/>
  <c r="C462" i="2"/>
  <c r="B462" i="2"/>
  <c r="A462" i="2"/>
  <c r="U461" i="2"/>
  <c r="N461" i="2"/>
  <c r="M461" i="2"/>
  <c r="J461" i="2"/>
  <c r="I461" i="2"/>
  <c r="H461" i="2"/>
  <c r="G461" i="2"/>
  <c r="F461" i="2"/>
  <c r="E461" i="2"/>
  <c r="D461" i="2"/>
  <c r="C461" i="2"/>
  <c r="B461" i="2"/>
  <c r="A461" i="2"/>
  <c r="U460" i="2"/>
  <c r="N460" i="2"/>
  <c r="M460" i="2"/>
  <c r="J460" i="2"/>
  <c r="I460" i="2"/>
  <c r="H460" i="2"/>
  <c r="G460" i="2"/>
  <c r="F460" i="2"/>
  <c r="E460" i="2"/>
  <c r="D460" i="2"/>
  <c r="C460" i="2"/>
  <c r="B460" i="2"/>
  <c r="A460" i="2"/>
  <c r="U459" i="2"/>
  <c r="N459" i="2"/>
  <c r="M459" i="2"/>
  <c r="J459" i="2"/>
  <c r="I459" i="2"/>
  <c r="H459" i="2"/>
  <c r="G459" i="2"/>
  <c r="F459" i="2"/>
  <c r="E459" i="2"/>
  <c r="D459" i="2"/>
  <c r="C459" i="2"/>
  <c r="B459" i="2"/>
  <c r="A459" i="2"/>
  <c r="U458" i="2"/>
  <c r="N458" i="2"/>
  <c r="M458" i="2"/>
  <c r="J458" i="2"/>
  <c r="I458" i="2"/>
  <c r="H458" i="2"/>
  <c r="G458" i="2"/>
  <c r="F458" i="2"/>
  <c r="E458" i="2"/>
  <c r="D458" i="2"/>
  <c r="C458" i="2"/>
  <c r="B458" i="2"/>
  <c r="A458" i="2"/>
  <c r="U457" i="2"/>
  <c r="N457" i="2"/>
  <c r="M457" i="2"/>
  <c r="J457" i="2"/>
  <c r="I457" i="2"/>
  <c r="H457" i="2"/>
  <c r="G457" i="2"/>
  <c r="F457" i="2"/>
  <c r="E457" i="2"/>
  <c r="D457" i="2"/>
  <c r="C457" i="2"/>
  <c r="B457" i="2"/>
  <c r="A457" i="2"/>
  <c r="U456" i="2"/>
  <c r="N456" i="2"/>
  <c r="M456" i="2"/>
  <c r="J456" i="2"/>
  <c r="I456" i="2"/>
  <c r="H456" i="2"/>
  <c r="G456" i="2"/>
  <c r="F456" i="2"/>
  <c r="E456" i="2"/>
  <c r="D456" i="2"/>
  <c r="C456" i="2"/>
  <c r="B456" i="2"/>
  <c r="A456" i="2"/>
  <c r="U455" i="2"/>
  <c r="N455" i="2"/>
  <c r="M455" i="2"/>
  <c r="J455" i="2"/>
  <c r="I455" i="2"/>
  <c r="H455" i="2"/>
  <c r="G455" i="2"/>
  <c r="F455" i="2"/>
  <c r="E455" i="2"/>
  <c r="D455" i="2"/>
  <c r="C455" i="2"/>
  <c r="B455" i="2"/>
  <c r="A455" i="2"/>
  <c r="U454" i="2"/>
  <c r="N454" i="2"/>
  <c r="M454" i="2"/>
  <c r="J454" i="2"/>
  <c r="I454" i="2"/>
  <c r="H454" i="2"/>
  <c r="G454" i="2"/>
  <c r="F454" i="2"/>
  <c r="E454" i="2"/>
  <c r="D454" i="2"/>
  <c r="C454" i="2"/>
  <c r="B454" i="2"/>
  <c r="A454" i="2"/>
  <c r="U453" i="2"/>
  <c r="N453" i="2"/>
  <c r="M453" i="2"/>
  <c r="J453" i="2"/>
  <c r="I453" i="2"/>
  <c r="H453" i="2"/>
  <c r="G453" i="2"/>
  <c r="F453" i="2"/>
  <c r="E453" i="2"/>
  <c r="D453" i="2"/>
  <c r="C453" i="2"/>
  <c r="B453" i="2"/>
  <c r="A453" i="2"/>
  <c r="U452" i="2"/>
  <c r="N452" i="2"/>
  <c r="M452" i="2"/>
  <c r="J452" i="2"/>
  <c r="I452" i="2"/>
  <c r="H452" i="2"/>
  <c r="G452" i="2"/>
  <c r="F452" i="2"/>
  <c r="E452" i="2"/>
  <c r="D452" i="2"/>
  <c r="C452" i="2"/>
  <c r="B452" i="2"/>
  <c r="A452" i="2"/>
  <c r="U451" i="2"/>
  <c r="N451" i="2"/>
  <c r="M451" i="2"/>
  <c r="J451" i="2"/>
  <c r="I451" i="2"/>
  <c r="H451" i="2"/>
  <c r="G451" i="2"/>
  <c r="F451" i="2"/>
  <c r="E451" i="2"/>
  <c r="D451" i="2"/>
  <c r="C451" i="2"/>
  <c r="B451" i="2"/>
  <c r="A451" i="2"/>
  <c r="U450" i="2"/>
  <c r="N450" i="2"/>
  <c r="M450" i="2"/>
  <c r="J450" i="2"/>
  <c r="I450" i="2"/>
  <c r="H450" i="2"/>
  <c r="G450" i="2"/>
  <c r="F450" i="2"/>
  <c r="E450" i="2"/>
  <c r="D450" i="2"/>
  <c r="C450" i="2"/>
  <c r="B450" i="2"/>
  <c r="A450" i="2"/>
  <c r="U449" i="2"/>
  <c r="N449" i="2"/>
  <c r="M449" i="2"/>
  <c r="J449" i="2"/>
  <c r="I449" i="2"/>
  <c r="H449" i="2"/>
  <c r="G449" i="2"/>
  <c r="F449" i="2"/>
  <c r="E449" i="2"/>
  <c r="D449" i="2"/>
  <c r="C449" i="2"/>
  <c r="B449" i="2"/>
  <c r="A449" i="2"/>
  <c r="U448" i="2"/>
  <c r="N448" i="2"/>
  <c r="M448" i="2"/>
  <c r="J448" i="2"/>
  <c r="I448" i="2"/>
  <c r="H448" i="2"/>
  <c r="G448" i="2"/>
  <c r="F448" i="2"/>
  <c r="E448" i="2"/>
  <c r="D448" i="2"/>
  <c r="C448" i="2"/>
  <c r="B448" i="2"/>
  <c r="A448" i="2"/>
  <c r="U447" i="2"/>
  <c r="N447" i="2"/>
  <c r="M447" i="2"/>
  <c r="J447" i="2"/>
  <c r="I447" i="2"/>
  <c r="H447" i="2"/>
  <c r="G447" i="2"/>
  <c r="F447" i="2"/>
  <c r="E447" i="2"/>
  <c r="D447" i="2"/>
  <c r="C447" i="2"/>
  <c r="B447" i="2"/>
  <c r="A447" i="2"/>
  <c r="U446" i="2"/>
  <c r="N446" i="2"/>
  <c r="M446" i="2"/>
  <c r="J446" i="2"/>
  <c r="I446" i="2"/>
  <c r="H446" i="2"/>
  <c r="G446" i="2"/>
  <c r="F446" i="2"/>
  <c r="E446" i="2"/>
  <c r="D446" i="2"/>
  <c r="C446" i="2"/>
  <c r="B446" i="2"/>
  <c r="A446" i="2"/>
  <c r="U445" i="2"/>
  <c r="N445" i="2"/>
  <c r="M445" i="2"/>
  <c r="J445" i="2"/>
  <c r="I445" i="2"/>
  <c r="H445" i="2"/>
  <c r="G445" i="2"/>
  <c r="F445" i="2"/>
  <c r="E445" i="2"/>
  <c r="D445" i="2"/>
  <c r="C445" i="2"/>
  <c r="B445" i="2"/>
  <c r="A445" i="2"/>
  <c r="U444" i="2"/>
  <c r="N444" i="2"/>
  <c r="M444" i="2"/>
  <c r="J444" i="2"/>
  <c r="I444" i="2"/>
  <c r="H444" i="2"/>
  <c r="G444" i="2"/>
  <c r="F444" i="2"/>
  <c r="E444" i="2"/>
  <c r="D444" i="2"/>
  <c r="C444" i="2"/>
  <c r="B444" i="2"/>
  <c r="A444" i="2"/>
  <c r="U443" i="2"/>
  <c r="N443" i="2"/>
  <c r="M443" i="2"/>
  <c r="J443" i="2"/>
  <c r="I443" i="2"/>
  <c r="H443" i="2"/>
  <c r="G443" i="2"/>
  <c r="F443" i="2"/>
  <c r="E443" i="2"/>
  <c r="D443" i="2"/>
  <c r="C443" i="2"/>
  <c r="B443" i="2"/>
  <c r="A443" i="2"/>
  <c r="U442" i="2"/>
  <c r="N442" i="2"/>
  <c r="M442" i="2"/>
  <c r="J442" i="2"/>
  <c r="I442" i="2"/>
  <c r="H442" i="2"/>
  <c r="G442" i="2"/>
  <c r="F442" i="2"/>
  <c r="E442" i="2"/>
  <c r="D442" i="2"/>
  <c r="C442" i="2"/>
  <c r="B442" i="2"/>
  <c r="A442" i="2"/>
  <c r="U441" i="2"/>
  <c r="N441" i="2"/>
  <c r="M441" i="2"/>
  <c r="J441" i="2"/>
  <c r="I441" i="2"/>
  <c r="H441" i="2"/>
  <c r="G441" i="2"/>
  <c r="F441" i="2"/>
  <c r="E441" i="2"/>
  <c r="D441" i="2"/>
  <c r="C441" i="2"/>
  <c r="B441" i="2"/>
  <c r="A441" i="2"/>
  <c r="U440" i="2"/>
  <c r="N440" i="2"/>
  <c r="M440" i="2"/>
  <c r="J440" i="2"/>
  <c r="I440" i="2"/>
  <c r="H440" i="2"/>
  <c r="G440" i="2"/>
  <c r="F440" i="2"/>
  <c r="E440" i="2"/>
  <c r="D440" i="2"/>
  <c r="C440" i="2"/>
  <c r="B440" i="2"/>
  <c r="A440" i="2"/>
  <c r="U439" i="2"/>
  <c r="N439" i="2"/>
  <c r="M439" i="2"/>
  <c r="J439" i="2"/>
  <c r="I439" i="2"/>
  <c r="H439" i="2"/>
  <c r="G439" i="2"/>
  <c r="F439" i="2"/>
  <c r="E439" i="2"/>
  <c r="D439" i="2"/>
  <c r="C439" i="2"/>
  <c r="B439" i="2"/>
  <c r="A439" i="2"/>
  <c r="U438" i="2"/>
  <c r="N438" i="2"/>
  <c r="M438" i="2"/>
  <c r="J438" i="2"/>
  <c r="I438" i="2"/>
  <c r="H438" i="2"/>
  <c r="G438" i="2"/>
  <c r="F438" i="2"/>
  <c r="E438" i="2"/>
  <c r="D438" i="2"/>
  <c r="C438" i="2"/>
  <c r="B438" i="2"/>
  <c r="A438" i="2"/>
  <c r="U437" i="2"/>
  <c r="N437" i="2"/>
  <c r="M437" i="2"/>
  <c r="J437" i="2"/>
  <c r="I437" i="2"/>
  <c r="H437" i="2"/>
  <c r="G437" i="2"/>
  <c r="F437" i="2"/>
  <c r="E437" i="2"/>
  <c r="D437" i="2"/>
  <c r="C437" i="2"/>
  <c r="B437" i="2"/>
  <c r="A437" i="2"/>
  <c r="U436" i="2"/>
  <c r="N436" i="2"/>
  <c r="M436" i="2"/>
  <c r="J436" i="2"/>
  <c r="I436" i="2"/>
  <c r="H436" i="2"/>
  <c r="G436" i="2"/>
  <c r="F436" i="2"/>
  <c r="E436" i="2"/>
  <c r="D436" i="2"/>
  <c r="C436" i="2"/>
  <c r="B436" i="2"/>
  <c r="A436" i="2"/>
  <c r="U435" i="2"/>
  <c r="N435" i="2"/>
  <c r="M435" i="2"/>
  <c r="J435" i="2"/>
  <c r="I435" i="2"/>
  <c r="H435" i="2"/>
  <c r="G435" i="2"/>
  <c r="F435" i="2"/>
  <c r="E435" i="2"/>
  <c r="D435" i="2"/>
  <c r="C435" i="2"/>
  <c r="B435" i="2"/>
  <c r="A435" i="2"/>
  <c r="U434" i="2"/>
  <c r="N434" i="2"/>
  <c r="M434" i="2"/>
  <c r="J434" i="2"/>
  <c r="I434" i="2"/>
  <c r="H434" i="2"/>
  <c r="G434" i="2"/>
  <c r="F434" i="2"/>
  <c r="E434" i="2"/>
  <c r="D434" i="2"/>
  <c r="C434" i="2"/>
  <c r="B434" i="2"/>
  <c r="A434" i="2"/>
  <c r="U433" i="2"/>
  <c r="N433" i="2"/>
  <c r="M433" i="2"/>
  <c r="J433" i="2"/>
  <c r="I433" i="2"/>
  <c r="H433" i="2"/>
  <c r="G433" i="2"/>
  <c r="F433" i="2"/>
  <c r="E433" i="2"/>
  <c r="D433" i="2"/>
  <c r="C433" i="2"/>
  <c r="B433" i="2"/>
  <c r="A433" i="2"/>
  <c r="U432" i="2"/>
  <c r="N432" i="2"/>
  <c r="M432" i="2"/>
  <c r="J432" i="2"/>
  <c r="I432" i="2"/>
  <c r="H432" i="2"/>
  <c r="G432" i="2"/>
  <c r="F432" i="2"/>
  <c r="E432" i="2"/>
  <c r="D432" i="2"/>
  <c r="C432" i="2"/>
  <c r="B432" i="2"/>
  <c r="A432" i="2"/>
  <c r="U431" i="2"/>
  <c r="N431" i="2"/>
  <c r="M431" i="2"/>
  <c r="J431" i="2"/>
  <c r="I431" i="2"/>
  <c r="H431" i="2"/>
  <c r="G431" i="2"/>
  <c r="F431" i="2"/>
  <c r="E431" i="2"/>
  <c r="D431" i="2"/>
  <c r="C431" i="2"/>
  <c r="B431" i="2"/>
  <c r="A431" i="2"/>
  <c r="U430" i="2"/>
  <c r="N430" i="2"/>
  <c r="M430" i="2"/>
  <c r="J430" i="2"/>
  <c r="I430" i="2"/>
  <c r="H430" i="2"/>
  <c r="G430" i="2"/>
  <c r="F430" i="2"/>
  <c r="E430" i="2"/>
  <c r="D430" i="2"/>
  <c r="C430" i="2"/>
  <c r="B430" i="2"/>
  <c r="A430" i="2"/>
  <c r="U429" i="2"/>
  <c r="N429" i="2"/>
  <c r="M429" i="2"/>
  <c r="J429" i="2"/>
  <c r="I429" i="2"/>
  <c r="H429" i="2"/>
  <c r="G429" i="2"/>
  <c r="F429" i="2"/>
  <c r="E429" i="2"/>
  <c r="D429" i="2"/>
  <c r="C429" i="2"/>
  <c r="B429" i="2"/>
  <c r="A429" i="2"/>
  <c r="U428" i="2"/>
  <c r="N428" i="2"/>
  <c r="M428" i="2"/>
  <c r="J428" i="2"/>
  <c r="I428" i="2"/>
  <c r="H428" i="2"/>
  <c r="G428" i="2"/>
  <c r="F428" i="2"/>
  <c r="E428" i="2"/>
  <c r="D428" i="2"/>
  <c r="C428" i="2"/>
  <c r="B428" i="2"/>
  <c r="A428" i="2"/>
  <c r="U427" i="2"/>
  <c r="N427" i="2"/>
  <c r="M427" i="2"/>
  <c r="J427" i="2"/>
  <c r="I427" i="2"/>
  <c r="H427" i="2"/>
  <c r="G427" i="2"/>
  <c r="F427" i="2"/>
  <c r="E427" i="2"/>
  <c r="D427" i="2"/>
  <c r="C427" i="2"/>
  <c r="B427" i="2"/>
  <c r="A427" i="2"/>
  <c r="U426" i="2"/>
  <c r="N426" i="2"/>
  <c r="M426" i="2"/>
  <c r="J426" i="2"/>
  <c r="I426" i="2"/>
  <c r="H426" i="2"/>
  <c r="G426" i="2"/>
  <c r="F426" i="2"/>
  <c r="E426" i="2"/>
  <c r="D426" i="2"/>
  <c r="C426" i="2"/>
  <c r="B426" i="2"/>
  <c r="A426" i="2"/>
  <c r="U425" i="2"/>
  <c r="N425" i="2"/>
  <c r="M425" i="2"/>
  <c r="J425" i="2"/>
  <c r="I425" i="2"/>
  <c r="H425" i="2"/>
  <c r="G425" i="2"/>
  <c r="F425" i="2"/>
  <c r="E425" i="2"/>
  <c r="D425" i="2"/>
  <c r="C425" i="2"/>
  <c r="B425" i="2"/>
  <c r="A425" i="2"/>
  <c r="U424" i="2"/>
  <c r="N424" i="2"/>
  <c r="M424" i="2"/>
  <c r="J424" i="2"/>
  <c r="I424" i="2"/>
  <c r="H424" i="2"/>
  <c r="G424" i="2"/>
  <c r="F424" i="2"/>
  <c r="E424" i="2"/>
  <c r="D424" i="2"/>
  <c r="C424" i="2"/>
  <c r="B424" i="2"/>
  <c r="A424" i="2"/>
  <c r="U423" i="2"/>
  <c r="N423" i="2"/>
  <c r="M423" i="2"/>
  <c r="J423" i="2"/>
  <c r="I423" i="2"/>
  <c r="H423" i="2"/>
  <c r="G423" i="2"/>
  <c r="F423" i="2"/>
  <c r="E423" i="2"/>
  <c r="D423" i="2"/>
  <c r="C423" i="2"/>
  <c r="B423" i="2"/>
  <c r="A423" i="2"/>
  <c r="U422" i="2"/>
  <c r="N422" i="2"/>
  <c r="M422" i="2"/>
  <c r="J422" i="2"/>
  <c r="I422" i="2"/>
  <c r="H422" i="2"/>
  <c r="G422" i="2"/>
  <c r="F422" i="2"/>
  <c r="E422" i="2"/>
  <c r="D422" i="2"/>
  <c r="C422" i="2"/>
  <c r="B422" i="2"/>
  <c r="A422" i="2"/>
  <c r="U421" i="2"/>
  <c r="N421" i="2"/>
  <c r="M421" i="2"/>
  <c r="J421" i="2"/>
  <c r="I421" i="2"/>
  <c r="H421" i="2"/>
  <c r="G421" i="2"/>
  <c r="F421" i="2"/>
  <c r="E421" i="2"/>
  <c r="D421" i="2"/>
  <c r="C421" i="2"/>
  <c r="B421" i="2"/>
  <c r="A421" i="2"/>
  <c r="U420" i="2"/>
  <c r="N420" i="2"/>
  <c r="M420" i="2"/>
  <c r="J420" i="2"/>
  <c r="I420" i="2"/>
  <c r="H420" i="2"/>
  <c r="G420" i="2"/>
  <c r="F420" i="2"/>
  <c r="E420" i="2"/>
  <c r="D420" i="2"/>
  <c r="C420" i="2"/>
  <c r="B420" i="2"/>
  <c r="A420" i="2"/>
  <c r="U419" i="2"/>
  <c r="N419" i="2"/>
  <c r="M419" i="2"/>
  <c r="J419" i="2"/>
  <c r="I419" i="2"/>
  <c r="H419" i="2"/>
  <c r="G419" i="2"/>
  <c r="F419" i="2"/>
  <c r="E419" i="2"/>
  <c r="D419" i="2"/>
  <c r="C419" i="2"/>
  <c r="B419" i="2"/>
  <c r="A419" i="2"/>
  <c r="U418" i="2"/>
  <c r="N418" i="2"/>
  <c r="M418" i="2"/>
  <c r="J418" i="2"/>
  <c r="I418" i="2"/>
  <c r="H418" i="2"/>
  <c r="G418" i="2"/>
  <c r="F418" i="2"/>
  <c r="E418" i="2"/>
  <c r="D418" i="2"/>
  <c r="C418" i="2"/>
  <c r="B418" i="2"/>
  <c r="A418" i="2"/>
  <c r="U417" i="2"/>
  <c r="N417" i="2"/>
  <c r="M417" i="2"/>
  <c r="J417" i="2"/>
  <c r="I417" i="2"/>
  <c r="H417" i="2"/>
  <c r="G417" i="2"/>
  <c r="F417" i="2"/>
  <c r="E417" i="2"/>
  <c r="D417" i="2"/>
  <c r="C417" i="2"/>
  <c r="B417" i="2"/>
  <c r="A417" i="2"/>
  <c r="U416" i="2"/>
  <c r="N416" i="2"/>
  <c r="M416" i="2"/>
  <c r="J416" i="2"/>
  <c r="I416" i="2"/>
  <c r="H416" i="2"/>
  <c r="G416" i="2"/>
  <c r="F416" i="2"/>
  <c r="E416" i="2"/>
  <c r="D416" i="2"/>
  <c r="C416" i="2"/>
  <c r="B416" i="2"/>
  <c r="A416" i="2"/>
  <c r="U415" i="2"/>
  <c r="N415" i="2"/>
  <c r="M415" i="2"/>
  <c r="J415" i="2"/>
  <c r="I415" i="2"/>
  <c r="H415" i="2"/>
  <c r="G415" i="2"/>
  <c r="F415" i="2"/>
  <c r="E415" i="2"/>
  <c r="D415" i="2"/>
  <c r="C415" i="2"/>
  <c r="B415" i="2"/>
  <c r="A415" i="2"/>
  <c r="U414" i="2"/>
  <c r="N414" i="2"/>
  <c r="M414" i="2"/>
  <c r="J414" i="2"/>
  <c r="I414" i="2"/>
  <c r="H414" i="2"/>
  <c r="G414" i="2"/>
  <c r="F414" i="2"/>
  <c r="E414" i="2"/>
  <c r="D414" i="2"/>
  <c r="C414" i="2"/>
  <c r="B414" i="2"/>
  <c r="A414" i="2"/>
  <c r="U413" i="2"/>
  <c r="N413" i="2"/>
  <c r="M413" i="2"/>
  <c r="J413" i="2"/>
  <c r="I413" i="2"/>
  <c r="H413" i="2"/>
  <c r="G413" i="2"/>
  <c r="F413" i="2"/>
  <c r="E413" i="2"/>
  <c r="D413" i="2"/>
  <c r="C413" i="2"/>
  <c r="B413" i="2"/>
  <c r="A413" i="2"/>
  <c r="U412" i="2"/>
  <c r="N412" i="2"/>
  <c r="M412" i="2"/>
  <c r="J412" i="2"/>
  <c r="I412" i="2"/>
  <c r="H412" i="2"/>
  <c r="G412" i="2"/>
  <c r="F412" i="2"/>
  <c r="E412" i="2"/>
  <c r="D412" i="2"/>
  <c r="C412" i="2"/>
  <c r="B412" i="2"/>
  <c r="A412" i="2"/>
  <c r="U411" i="2"/>
  <c r="N411" i="2"/>
  <c r="M411" i="2"/>
  <c r="J411" i="2"/>
  <c r="I411" i="2"/>
  <c r="H411" i="2"/>
  <c r="G411" i="2"/>
  <c r="F411" i="2"/>
  <c r="E411" i="2"/>
  <c r="D411" i="2"/>
  <c r="C411" i="2"/>
  <c r="B411" i="2"/>
  <c r="A411" i="2"/>
  <c r="U410" i="2"/>
  <c r="N410" i="2"/>
  <c r="M410" i="2"/>
  <c r="J410" i="2"/>
  <c r="I410" i="2"/>
  <c r="H410" i="2"/>
  <c r="G410" i="2"/>
  <c r="F410" i="2"/>
  <c r="E410" i="2"/>
  <c r="D410" i="2"/>
  <c r="C410" i="2"/>
  <c r="B410" i="2"/>
  <c r="A410" i="2"/>
  <c r="U409" i="2"/>
  <c r="N409" i="2"/>
  <c r="M409" i="2"/>
  <c r="J409" i="2"/>
  <c r="I409" i="2"/>
  <c r="H409" i="2"/>
  <c r="G409" i="2"/>
  <c r="F409" i="2"/>
  <c r="E409" i="2"/>
  <c r="D409" i="2"/>
  <c r="C409" i="2"/>
  <c r="B409" i="2"/>
  <c r="A409" i="2"/>
  <c r="U408" i="2"/>
  <c r="N408" i="2"/>
  <c r="M408" i="2"/>
  <c r="J408" i="2"/>
  <c r="I408" i="2"/>
  <c r="H408" i="2"/>
  <c r="G408" i="2"/>
  <c r="F408" i="2"/>
  <c r="E408" i="2"/>
  <c r="D408" i="2"/>
  <c r="C408" i="2"/>
  <c r="B408" i="2"/>
  <c r="A408" i="2"/>
  <c r="U407" i="2"/>
  <c r="N407" i="2"/>
  <c r="M407" i="2"/>
  <c r="J407" i="2"/>
  <c r="I407" i="2"/>
  <c r="H407" i="2"/>
  <c r="G407" i="2"/>
  <c r="F407" i="2"/>
  <c r="E407" i="2"/>
  <c r="D407" i="2"/>
  <c r="C407" i="2"/>
  <c r="B407" i="2"/>
  <c r="A407" i="2"/>
  <c r="U406" i="2"/>
  <c r="N406" i="2"/>
  <c r="M406" i="2"/>
  <c r="J406" i="2"/>
  <c r="I406" i="2"/>
  <c r="H406" i="2"/>
  <c r="G406" i="2"/>
  <c r="F406" i="2"/>
  <c r="E406" i="2"/>
  <c r="D406" i="2"/>
  <c r="C406" i="2"/>
  <c r="B406" i="2"/>
  <c r="A406" i="2"/>
  <c r="U405" i="2"/>
  <c r="N405" i="2"/>
  <c r="M405" i="2"/>
  <c r="J405" i="2"/>
  <c r="I405" i="2"/>
  <c r="H405" i="2"/>
  <c r="G405" i="2"/>
  <c r="F405" i="2"/>
  <c r="E405" i="2"/>
  <c r="D405" i="2"/>
  <c r="C405" i="2"/>
  <c r="B405" i="2"/>
  <c r="A405" i="2"/>
  <c r="U404" i="2"/>
  <c r="N404" i="2"/>
  <c r="M404" i="2"/>
  <c r="J404" i="2"/>
  <c r="I404" i="2"/>
  <c r="H404" i="2"/>
  <c r="G404" i="2"/>
  <c r="F404" i="2"/>
  <c r="E404" i="2"/>
  <c r="D404" i="2"/>
  <c r="C404" i="2"/>
  <c r="B404" i="2"/>
  <c r="A404" i="2"/>
  <c r="U403" i="2"/>
  <c r="N403" i="2"/>
  <c r="M403" i="2"/>
  <c r="J403" i="2"/>
  <c r="I403" i="2"/>
  <c r="H403" i="2"/>
  <c r="G403" i="2"/>
  <c r="F403" i="2"/>
  <c r="E403" i="2"/>
  <c r="D403" i="2"/>
  <c r="C403" i="2"/>
  <c r="B403" i="2"/>
  <c r="A403" i="2"/>
  <c r="U402" i="2"/>
  <c r="N402" i="2"/>
  <c r="M402" i="2"/>
  <c r="J402" i="2"/>
  <c r="I402" i="2"/>
  <c r="H402" i="2"/>
  <c r="G402" i="2"/>
  <c r="F402" i="2"/>
  <c r="E402" i="2"/>
  <c r="D402" i="2"/>
  <c r="C402" i="2"/>
  <c r="B402" i="2"/>
  <c r="A402" i="2"/>
  <c r="U401" i="2"/>
  <c r="N401" i="2"/>
  <c r="M401" i="2"/>
  <c r="J401" i="2"/>
  <c r="I401" i="2"/>
  <c r="H401" i="2"/>
  <c r="G401" i="2"/>
  <c r="F401" i="2"/>
  <c r="E401" i="2"/>
  <c r="D401" i="2"/>
  <c r="C401" i="2"/>
  <c r="B401" i="2"/>
  <c r="A401" i="2"/>
  <c r="U400" i="2"/>
  <c r="N400" i="2"/>
  <c r="M400" i="2"/>
  <c r="J400" i="2"/>
  <c r="I400" i="2"/>
  <c r="H400" i="2"/>
  <c r="G400" i="2"/>
  <c r="F400" i="2"/>
  <c r="E400" i="2"/>
  <c r="D400" i="2"/>
  <c r="C400" i="2"/>
  <c r="B400" i="2"/>
  <c r="A400" i="2"/>
  <c r="U399" i="2"/>
  <c r="N399" i="2"/>
  <c r="M399" i="2"/>
  <c r="J399" i="2"/>
  <c r="I399" i="2"/>
  <c r="H399" i="2"/>
  <c r="G399" i="2"/>
  <c r="F399" i="2"/>
  <c r="E399" i="2"/>
  <c r="D399" i="2"/>
  <c r="C399" i="2"/>
  <c r="B399" i="2"/>
  <c r="A399" i="2"/>
  <c r="U398" i="2"/>
  <c r="N398" i="2"/>
  <c r="M398" i="2"/>
  <c r="J398" i="2"/>
  <c r="I398" i="2"/>
  <c r="H398" i="2"/>
  <c r="G398" i="2"/>
  <c r="F398" i="2"/>
  <c r="E398" i="2"/>
  <c r="D398" i="2"/>
  <c r="C398" i="2"/>
  <c r="B398" i="2"/>
  <c r="A398" i="2"/>
  <c r="U397" i="2"/>
  <c r="N397" i="2"/>
  <c r="M397" i="2"/>
  <c r="J397" i="2"/>
  <c r="I397" i="2"/>
  <c r="H397" i="2"/>
  <c r="G397" i="2"/>
  <c r="F397" i="2"/>
  <c r="E397" i="2"/>
  <c r="D397" i="2"/>
  <c r="C397" i="2"/>
  <c r="B397" i="2"/>
  <c r="A397" i="2"/>
  <c r="U396" i="2"/>
  <c r="N396" i="2"/>
  <c r="M396" i="2"/>
  <c r="J396" i="2"/>
  <c r="I396" i="2"/>
  <c r="H396" i="2"/>
  <c r="G396" i="2"/>
  <c r="F396" i="2"/>
  <c r="E396" i="2"/>
  <c r="D396" i="2"/>
  <c r="C396" i="2"/>
  <c r="B396" i="2"/>
  <c r="A396" i="2"/>
  <c r="U395" i="2"/>
  <c r="N395" i="2"/>
  <c r="M395" i="2"/>
  <c r="J395" i="2"/>
  <c r="I395" i="2"/>
  <c r="H395" i="2"/>
  <c r="G395" i="2"/>
  <c r="F395" i="2"/>
  <c r="E395" i="2"/>
  <c r="D395" i="2"/>
  <c r="C395" i="2"/>
  <c r="B395" i="2"/>
  <c r="A395" i="2"/>
  <c r="U394" i="2"/>
  <c r="N394" i="2"/>
  <c r="M394" i="2"/>
  <c r="J394" i="2"/>
  <c r="I394" i="2"/>
  <c r="H394" i="2"/>
  <c r="G394" i="2"/>
  <c r="F394" i="2"/>
  <c r="E394" i="2"/>
  <c r="D394" i="2"/>
  <c r="C394" i="2"/>
  <c r="B394" i="2"/>
  <c r="A394" i="2"/>
  <c r="U393" i="2"/>
  <c r="N393" i="2"/>
  <c r="M393" i="2"/>
  <c r="J393" i="2"/>
  <c r="I393" i="2"/>
  <c r="H393" i="2"/>
  <c r="G393" i="2"/>
  <c r="F393" i="2"/>
  <c r="E393" i="2"/>
  <c r="D393" i="2"/>
  <c r="C393" i="2"/>
  <c r="B393" i="2"/>
  <c r="A393" i="2"/>
  <c r="U392" i="2"/>
  <c r="N392" i="2"/>
  <c r="M392" i="2"/>
  <c r="J392" i="2"/>
  <c r="I392" i="2"/>
  <c r="H392" i="2"/>
  <c r="G392" i="2"/>
  <c r="F392" i="2"/>
  <c r="E392" i="2"/>
  <c r="D392" i="2"/>
  <c r="C392" i="2"/>
  <c r="B392" i="2"/>
  <c r="A392" i="2"/>
  <c r="U391" i="2"/>
  <c r="N391" i="2"/>
  <c r="M391" i="2"/>
  <c r="J391" i="2"/>
  <c r="I391" i="2"/>
  <c r="H391" i="2"/>
  <c r="G391" i="2"/>
  <c r="F391" i="2"/>
  <c r="E391" i="2"/>
  <c r="D391" i="2"/>
  <c r="C391" i="2"/>
  <c r="B391" i="2"/>
  <c r="A391" i="2"/>
  <c r="U390" i="2"/>
  <c r="N390" i="2"/>
  <c r="M390" i="2"/>
  <c r="J390" i="2"/>
  <c r="I390" i="2"/>
  <c r="H390" i="2"/>
  <c r="G390" i="2"/>
  <c r="F390" i="2"/>
  <c r="E390" i="2"/>
  <c r="D390" i="2"/>
  <c r="C390" i="2"/>
  <c r="B390" i="2"/>
  <c r="A390" i="2"/>
  <c r="U389" i="2"/>
  <c r="N389" i="2"/>
  <c r="M389" i="2"/>
  <c r="J389" i="2"/>
  <c r="I389" i="2"/>
  <c r="H389" i="2"/>
  <c r="G389" i="2"/>
  <c r="F389" i="2"/>
  <c r="E389" i="2"/>
  <c r="D389" i="2"/>
  <c r="C389" i="2"/>
  <c r="B389" i="2"/>
  <c r="A389" i="2"/>
  <c r="U388" i="2"/>
  <c r="N388" i="2"/>
  <c r="M388" i="2"/>
  <c r="J388" i="2"/>
  <c r="I388" i="2"/>
  <c r="H388" i="2"/>
  <c r="G388" i="2"/>
  <c r="F388" i="2"/>
  <c r="E388" i="2"/>
  <c r="D388" i="2"/>
  <c r="C388" i="2"/>
  <c r="B388" i="2"/>
  <c r="A388" i="2"/>
  <c r="U387" i="2"/>
  <c r="N387" i="2"/>
  <c r="M387" i="2"/>
  <c r="J387" i="2"/>
  <c r="I387" i="2"/>
  <c r="H387" i="2"/>
  <c r="G387" i="2"/>
  <c r="F387" i="2"/>
  <c r="E387" i="2"/>
  <c r="D387" i="2"/>
  <c r="C387" i="2"/>
  <c r="B387" i="2"/>
  <c r="A387" i="2"/>
  <c r="U386" i="2"/>
  <c r="N386" i="2"/>
  <c r="M386" i="2"/>
  <c r="J386" i="2"/>
  <c r="I386" i="2"/>
  <c r="H386" i="2"/>
  <c r="G386" i="2"/>
  <c r="F386" i="2"/>
  <c r="E386" i="2"/>
  <c r="D386" i="2"/>
  <c r="C386" i="2"/>
  <c r="B386" i="2"/>
  <c r="A386" i="2"/>
  <c r="U385" i="2"/>
  <c r="N385" i="2"/>
  <c r="M385" i="2"/>
  <c r="J385" i="2"/>
  <c r="I385" i="2"/>
  <c r="H385" i="2"/>
  <c r="G385" i="2"/>
  <c r="F385" i="2"/>
  <c r="E385" i="2"/>
  <c r="D385" i="2"/>
  <c r="C385" i="2"/>
  <c r="B385" i="2"/>
  <c r="A385" i="2"/>
  <c r="U384" i="2"/>
  <c r="N384" i="2"/>
  <c r="M384" i="2"/>
  <c r="J384" i="2"/>
  <c r="I384" i="2"/>
  <c r="H384" i="2"/>
  <c r="G384" i="2"/>
  <c r="F384" i="2"/>
  <c r="E384" i="2"/>
  <c r="D384" i="2"/>
  <c r="C384" i="2"/>
  <c r="B384" i="2"/>
  <c r="A384" i="2"/>
  <c r="U383" i="2"/>
  <c r="N383" i="2"/>
  <c r="M383" i="2"/>
  <c r="J383" i="2"/>
  <c r="I383" i="2"/>
  <c r="H383" i="2"/>
  <c r="G383" i="2"/>
  <c r="F383" i="2"/>
  <c r="E383" i="2"/>
  <c r="D383" i="2"/>
  <c r="C383" i="2"/>
  <c r="B383" i="2"/>
  <c r="A383" i="2"/>
  <c r="U382" i="2"/>
  <c r="N382" i="2"/>
  <c r="M382" i="2"/>
  <c r="J382" i="2"/>
  <c r="I382" i="2"/>
  <c r="H382" i="2"/>
  <c r="G382" i="2"/>
  <c r="F382" i="2"/>
  <c r="E382" i="2"/>
  <c r="D382" i="2"/>
  <c r="C382" i="2"/>
  <c r="B382" i="2"/>
  <c r="A382" i="2"/>
  <c r="U381" i="2"/>
  <c r="N381" i="2"/>
  <c r="M381" i="2"/>
  <c r="J381" i="2"/>
  <c r="I381" i="2"/>
  <c r="H381" i="2"/>
  <c r="G381" i="2"/>
  <c r="F381" i="2"/>
  <c r="E381" i="2"/>
  <c r="D381" i="2"/>
  <c r="C381" i="2"/>
  <c r="B381" i="2"/>
  <c r="A381" i="2"/>
  <c r="U380" i="2"/>
  <c r="N380" i="2"/>
  <c r="M380" i="2"/>
  <c r="J380" i="2"/>
  <c r="I380" i="2"/>
  <c r="H380" i="2"/>
  <c r="G380" i="2"/>
  <c r="F380" i="2"/>
  <c r="E380" i="2"/>
  <c r="D380" i="2"/>
  <c r="C380" i="2"/>
  <c r="B380" i="2"/>
  <c r="A380" i="2"/>
  <c r="U379" i="2"/>
  <c r="N379" i="2"/>
  <c r="M379" i="2"/>
  <c r="J379" i="2"/>
  <c r="I379" i="2"/>
  <c r="H379" i="2"/>
  <c r="G379" i="2"/>
  <c r="F379" i="2"/>
  <c r="E379" i="2"/>
  <c r="D379" i="2"/>
  <c r="C379" i="2"/>
  <c r="B379" i="2"/>
  <c r="A379" i="2"/>
  <c r="U378" i="2"/>
  <c r="N378" i="2"/>
  <c r="M378" i="2"/>
  <c r="J378" i="2"/>
  <c r="I378" i="2"/>
  <c r="H378" i="2"/>
  <c r="G378" i="2"/>
  <c r="F378" i="2"/>
  <c r="E378" i="2"/>
  <c r="D378" i="2"/>
  <c r="C378" i="2"/>
  <c r="B378" i="2"/>
  <c r="A378" i="2"/>
  <c r="U377" i="2"/>
  <c r="N377" i="2"/>
  <c r="M377" i="2"/>
  <c r="J377" i="2"/>
  <c r="I377" i="2"/>
  <c r="H377" i="2"/>
  <c r="G377" i="2"/>
  <c r="F377" i="2"/>
  <c r="E377" i="2"/>
  <c r="D377" i="2"/>
  <c r="C377" i="2"/>
  <c r="B377" i="2"/>
  <c r="A377" i="2"/>
  <c r="U376" i="2"/>
  <c r="N376" i="2"/>
  <c r="M376" i="2"/>
  <c r="J376" i="2"/>
  <c r="I376" i="2"/>
  <c r="H376" i="2"/>
  <c r="G376" i="2"/>
  <c r="F376" i="2"/>
  <c r="E376" i="2"/>
  <c r="D376" i="2"/>
  <c r="C376" i="2"/>
  <c r="B376" i="2"/>
  <c r="A376" i="2"/>
  <c r="U375" i="2"/>
  <c r="N375" i="2"/>
  <c r="M375" i="2"/>
  <c r="J375" i="2"/>
  <c r="I375" i="2"/>
  <c r="H375" i="2"/>
  <c r="G375" i="2"/>
  <c r="F375" i="2"/>
  <c r="E375" i="2"/>
  <c r="D375" i="2"/>
  <c r="C375" i="2"/>
  <c r="B375" i="2"/>
  <c r="A375" i="2"/>
  <c r="U374" i="2"/>
  <c r="N374" i="2"/>
  <c r="M374" i="2"/>
  <c r="J374" i="2"/>
  <c r="I374" i="2"/>
  <c r="H374" i="2"/>
  <c r="G374" i="2"/>
  <c r="F374" i="2"/>
  <c r="E374" i="2"/>
  <c r="D374" i="2"/>
  <c r="C374" i="2"/>
  <c r="B374" i="2"/>
  <c r="A374" i="2"/>
  <c r="U373" i="2"/>
  <c r="N373" i="2"/>
  <c r="M373" i="2"/>
  <c r="J373" i="2"/>
  <c r="I373" i="2"/>
  <c r="H373" i="2"/>
  <c r="G373" i="2"/>
  <c r="F373" i="2"/>
  <c r="E373" i="2"/>
  <c r="D373" i="2"/>
  <c r="C373" i="2"/>
  <c r="B373" i="2"/>
  <c r="A373" i="2"/>
  <c r="U372" i="2"/>
  <c r="N372" i="2"/>
  <c r="M372" i="2"/>
  <c r="J372" i="2"/>
  <c r="I372" i="2"/>
  <c r="H372" i="2"/>
  <c r="G372" i="2"/>
  <c r="F372" i="2"/>
  <c r="E372" i="2"/>
  <c r="D372" i="2"/>
  <c r="C372" i="2"/>
  <c r="B372" i="2"/>
  <c r="A372" i="2"/>
  <c r="U371" i="2"/>
  <c r="N371" i="2"/>
  <c r="M371" i="2"/>
  <c r="J371" i="2"/>
  <c r="I371" i="2"/>
  <c r="H371" i="2"/>
  <c r="G371" i="2"/>
  <c r="F371" i="2"/>
  <c r="E371" i="2"/>
  <c r="D371" i="2"/>
  <c r="C371" i="2"/>
  <c r="B371" i="2"/>
  <c r="A371" i="2"/>
  <c r="U370" i="2"/>
  <c r="N370" i="2"/>
  <c r="M370" i="2"/>
  <c r="J370" i="2"/>
  <c r="I370" i="2"/>
  <c r="H370" i="2"/>
  <c r="G370" i="2"/>
  <c r="F370" i="2"/>
  <c r="E370" i="2"/>
  <c r="D370" i="2"/>
  <c r="C370" i="2"/>
  <c r="B370" i="2"/>
  <c r="A370" i="2"/>
  <c r="U369" i="2"/>
  <c r="N369" i="2"/>
  <c r="M369" i="2"/>
  <c r="J369" i="2"/>
  <c r="I369" i="2"/>
  <c r="H369" i="2"/>
  <c r="G369" i="2"/>
  <c r="F369" i="2"/>
  <c r="E369" i="2"/>
  <c r="D369" i="2"/>
  <c r="C369" i="2"/>
  <c r="B369" i="2"/>
  <c r="A369" i="2"/>
  <c r="U368" i="2"/>
  <c r="N368" i="2"/>
  <c r="M368" i="2"/>
  <c r="J368" i="2"/>
  <c r="I368" i="2"/>
  <c r="H368" i="2"/>
  <c r="G368" i="2"/>
  <c r="F368" i="2"/>
  <c r="E368" i="2"/>
  <c r="D368" i="2"/>
  <c r="C368" i="2"/>
  <c r="B368" i="2"/>
  <c r="A368" i="2"/>
  <c r="U367" i="2"/>
  <c r="N367" i="2"/>
  <c r="M367" i="2"/>
  <c r="J367" i="2"/>
  <c r="I367" i="2"/>
  <c r="H367" i="2"/>
  <c r="G367" i="2"/>
  <c r="F367" i="2"/>
  <c r="E367" i="2"/>
  <c r="D367" i="2"/>
  <c r="C367" i="2"/>
  <c r="B367" i="2"/>
  <c r="A367" i="2"/>
  <c r="U366" i="2"/>
  <c r="N366" i="2"/>
  <c r="M366" i="2"/>
  <c r="J366" i="2"/>
  <c r="I366" i="2"/>
  <c r="H366" i="2"/>
  <c r="G366" i="2"/>
  <c r="F366" i="2"/>
  <c r="E366" i="2"/>
  <c r="D366" i="2"/>
  <c r="C366" i="2"/>
  <c r="B366" i="2"/>
  <c r="A366" i="2"/>
  <c r="U365" i="2"/>
  <c r="N365" i="2"/>
  <c r="M365" i="2"/>
  <c r="J365" i="2"/>
  <c r="I365" i="2"/>
  <c r="H365" i="2"/>
  <c r="G365" i="2"/>
  <c r="F365" i="2"/>
  <c r="E365" i="2"/>
  <c r="D365" i="2"/>
  <c r="C365" i="2"/>
  <c r="B365" i="2"/>
  <c r="A365" i="2"/>
  <c r="U364" i="2"/>
  <c r="N364" i="2"/>
  <c r="M364" i="2"/>
  <c r="J364" i="2"/>
  <c r="I364" i="2"/>
  <c r="H364" i="2"/>
  <c r="G364" i="2"/>
  <c r="F364" i="2"/>
  <c r="E364" i="2"/>
  <c r="D364" i="2"/>
  <c r="C364" i="2"/>
  <c r="B364" i="2"/>
  <c r="A364" i="2"/>
  <c r="U363" i="2"/>
  <c r="N363" i="2"/>
  <c r="M363" i="2"/>
  <c r="J363" i="2"/>
  <c r="I363" i="2"/>
  <c r="H363" i="2"/>
  <c r="G363" i="2"/>
  <c r="F363" i="2"/>
  <c r="E363" i="2"/>
  <c r="D363" i="2"/>
  <c r="C363" i="2"/>
  <c r="B363" i="2"/>
  <c r="A363" i="2"/>
  <c r="U362" i="2"/>
  <c r="N362" i="2"/>
  <c r="M362" i="2"/>
  <c r="J362" i="2"/>
  <c r="I362" i="2"/>
  <c r="H362" i="2"/>
  <c r="G362" i="2"/>
  <c r="F362" i="2"/>
  <c r="E362" i="2"/>
  <c r="D362" i="2"/>
  <c r="C362" i="2"/>
  <c r="B362" i="2"/>
  <c r="A362" i="2"/>
  <c r="U361" i="2"/>
  <c r="N361" i="2"/>
  <c r="M361" i="2"/>
  <c r="J361" i="2"/>
  <c r="I361" i="2"/>
  <c r="H361" i="2"/>
  <c r="G361" i="2"/>
  <c r="F361" i="2"/>
  <c r="E361" i="2"/>
  <c r="D361" i="2"/>
  <c r="C361" i="2"/>
  <c r="B361" i="2"/>
  <c r="A361" i="2"/>
  <c r="U360" i="2"/>
  <c r="N360" i="2"/>
  <c r="M360" i="2"/>
  <c r="J360" i="2"/>
  <c r="I360" i="2"/>
  <c r="H360" i="2"/>
  <c r="G360" i="2"/>
  <c r="F360" i="2"/>
  <c r="E360" i="2"/>
  <c r="D360" i="2"/>
  <c r="C360" i="2"/>
  <c r="B360" i="2"/>
  <c r="A360" i="2"/>
  <c r="U359" i="2"/>
  <c r="N359" i="2"/>
  <c r="M359" i="2"/>
  <c r="J359" i="2"/>
  <c r="I359" i="2"/>
  <c r="H359" i="2"/>
  <c r="G359" i="2"/>
  <c r="F359" i="2"/>
  <c r="E359" i="2"/>
  <c r="D359" i="2"/>
  <c r="C359" i="2"/>
  <c r="B359" i="2"/>
  <c r="A359" i="2"/>
  <c r="U358" i="2"/>
  <c r="N358" i="2"/>
  <c r="M358" i="2"/>
  <c r="J358" i="2"/>
  <c r="I358" i="2"/>
  <c r="H358" i="2"/>
  <c r="G358" i="2"/>
  <c r="F358" i="2"/>
  <c r="E358" i="2"/>
  <c r="D358" i="2"/>
  <c r="C358" i="2"/>
  <c r="B358" i="2"/>
  <c r="A358" i="2"/>
  <c r="U357" i="2"/>
  <c r="N357" i="2"/>
  <c r="M357" i="2"/>
  <c r="J357" i="2"/>
  <c r="I357" i="2"/>
  <c r="H357" i="2"/>
  <c r="G357" i="2"/>
  <c r="F357" i="2"/>
  <c r="E357" i="2"/>
  <c r="D357" i="2"/>
  <c r="C357" i="2"/>
  <c r="B357" i="2"/>
  <c r="A357" i="2"/>
  <c r="U356" i="2"/>
  <c r="N356" i="2"/>
  <c r="M356" i="2"/>
  <c r="J356" i="2"/>
  <c r="I356" i="2"/>
  <c r="H356" i="2"/>
  <c r="G356" i="2"/>
  <c r="F356" i="2"/>
  <c r="E356" i="2"/>
  <c r="D356" i="2"/>
  <c r="C356" i="2"/>
  <c r="B356" i="2"/>
  <c r="A356" i="2"/>
  <c r="U355" i="2"/>
  <c r="N355" i="2"/>
  <c r="M355" i="2"/>
  <c r="J355" i="2"/>
  <c r="I355" i="2"/>
  <c r="H355" i="2"/>
  <c r="G355" i="2"/>
  <c r="F355" i="2"/>
  <c r="E355" i="2"/>
  <c r="D355" i="2"/>
  <c r="C355" i="2"/>
  <c r="B355" i="2"/>
  <c r="A355" i="2"/>
  <c r="U354" i="2"/>
  <c r="N354" i="2"/>
  <c r="M354" i="2"/>
  <c r="J354" i="2"/>
  <c r="I354" i="2"/>
  <c r="H354" i="2"/>
  <c r="G354" i="2"/>
  <c r="F354" i="2"/>
  <c r="E354" i="2"/>
  <c r="D354" i="2"/>
  <c r="C354" i="2"/>
  <c r="B354" i="2"/>
  <c r="A354" i="2"/>
  <c r="U353" i="2"/>
  <c r="N353" i="2"/>
  <c r="M353" i="2"/>
  <c r="J353" i="2"/>
  <c r="I353" i="2"/>
  <c r="H353" i="2"/>
  <c r="G353" i="2"/>
  <c r="F353" i="2"/>
  <c r="E353" i="2"/>
  <c r="D353" i="2"/>
  <c r="C353" i="2"/>
  <c r="B353" i="2"/>
  <c r="A353" i="2"/>
  <c r="U352" i="2"/>
  <c r="N352" i="2"/>
  <c r="M352" i="2"/>
  <c r="J352" i="2"/>
  <c r="I352" i="2"/>
  <c r="H352" i="2"/>
  <c r="G352" i="2"/>
  <c r="F352" i="2"/>
  <c r="E352" i="2"/>
  <c r="D352" i="2"/>
  <c r="C352" i="2"/>
  <c r="B352" i="2"/>
  <c r="A352" i="2"/>
  <c r="U351" i="2"/>
  <c r="N351" i="2"/>
  <c r="M351" i="2"/>
  <c r="J351" i="2"/>
  <c r="I351" i="2"/>
  <c r="H351" i="2"/>
  <c r="G351" i="2"/>
  <c r="F351" i="2"/>
  <c r="E351" i="2"/>
  <c r="D351" i="2"/>
  <c r="C351" i="2"/>
  <c r="B351" i="2"/>
  <c r="A351" i="2"/>
  <c r="U350" i="2"/>
  <c r="N350" i="2"/>
  <c r="M350" i="2"/>
  <c r="J350" i="2"/>
  <c r="I350" i="2"/>
  <c r="H350" i="2"/>
  <c r="G350" i="2"/>
  <c r="F350" i="2"/>
  <c r="E350" i="2"/>
  <c r="D350" i="2"/>
  <c r="C350" i="2"/>
  <c r="B350" i="2"/>
  <c r="A350" i="2"/>
  <c r="U349" i="2"/>
  <c r="N349" i="2"/>
  <c r="M349" i="2"/>
  <c r="J349" i="2"/>
  <c r="I349" i="2"/>
  <c r="H349" i="2"/>
  <c r="G349" i="2"/>
  <c r="F349" i="2"/>
  <c r="E349" i="2"/>
  <c r="D349" i="2"/>
  <c r="C349" i="2"/>
  <c r="B349" i="2"/>
  <c r="A349" i="2"/>
  <c r="U348" i="2"/>
  <c r="N348" i="2"/>
  <c r="M348" i="2"/>
  <c r="J348" i="2"/>
  <c r="I348" i="2"/>
  <c r="H348" i="2"/>
  <c r="G348" i="2"/>
  <c r="F348" i="2"/>
  <c r="E348" i="2"/>
  <c r="D348" i="2"/>
  <c r="C348" i="2"/>
  <c r="B348" i="2"/>
  <c r="A348" i="2"/>
  <c r="U347" i="2"/>
  <c r="N347" i="2"/>
  <c r="M347" i="2"/>
  <c r="J347" i="2"/>
  <c r="I347" i="2"/>
  <c r="H347" i="2"/>
  <c r="G347" i="2"/>
  <c r="F347" i="2"/>
  <c r="E347" i="2"/>
  <c r="D347" i="2"/>
  <c r="C347" i="2"/>
  <c r="B347" i="2"/>
  <c r="A347" i="2"/>
  <c r="U346" i="2"/>
  <c r="N346" i="2"/>
  <c r="M346" i="2"/>
  <c r="J346" i="2"/>
  <c r="I346" i="2"/>
  <c r="H346" i="2"/>
  <c r="G346" i="2"/>
  <c r="F346" i="2"/>
  <c r="E346" i="2"/>
  <c r="D346" i="2"/>
  <c r="C346" i="2"/>
  <c r="B346" i="2"/>
  <c r="A346" i="2"/>
  <c r="U345" i="2"/>
  <c r="N345" i="2"/>
  <c r="M345" i="2"/>
  <c r="J345" i="2"/>
  <c r="I345" i="2"/>
  <c r="H345" i="2"/>
  <c r="G345" i="2"/>
  <c r="F345" i="2"/>
  <c r="E345" i="2"/>
  <c r="D345" i="2"/>
  <c r="C345" i="2"/>
  <c r="B345" i="2"/>
  <c r="A345" i="2"/>
  <c r="U344" i="2"/>
  <c r="N344" i="2"/>
  <c r="M344" i="2"/>
  <c r="J344" i="2"/>
  <c r="I344" i="2"/>
  <c r="H344" i="2"/>
  <c r="G344" i="2"/>
  <c r="F344" i="2"/>
  <c r="E344" i="2"/>
  <c r="D344" i="2"/>
  <c r="C344" i="2"/>
  <c r="B344" i="2"/>
  <c r="A344" i="2"/>
  <c r="U343" i="2"/>
  <c r="N343" i="2"/>
  <c r="M343" i="2"/>
  <c r="J343" i="2"/>
  <c r="I343" i="2"/>
  <c r="H343" i="2"/>
  <c r="G343" i="2"/>
  <c r="F343" i="2"/>
  <c r="E343" i="2"/>
  <c r="D343" i="2"/>
  <c r="C343" i="2"/>
  <c r="B343" i="2"/>
  <c r="A343" i="2"/>
  <c r="U342" i="2"/>
  <c r="N342" i="2"/>
  <c r="M342" i="2"/>
  <c r="J342" i="2"/>
  <c r="I342" i="2"/>
  <c r="H342" i="2"/>
  <c r="G342" i="2"/>
  <c r="F342" i="2"/>
  <c r="E342" i="2"/>
  <c r="D342" i="2"/>
  <c r="C342" i="2"/>
  <c r="B342" i="2"/>
  <c r="A342" i="2"/>
  <c r="U341" i="2"/>
  <c r="N341" i="2"/>
  <c r="M341" i="2"/>
  <c r="J341" i="2"/>
  <c r="I341" i="2"/>
  <c r="H341" i="2"/>
  <c r="G341" i="2"/>
  <c r="F341" i="2"/>
  <c r="E341" i="2"/>
  <c r="D341" i="2"/>
  <c r="C341" i="2"/>
  <c r="B341" i="2"/>
  <c r="A341" i="2"/>
  <c r="U340" i="2"/>
  <c r="N340" i="2"/>
  <c r="M340" i="2"/>
  <c r="J340" i="2"/>
  <c r="I340" i="2"/>
  <c r="H340" i="2"/>
  <c r="G340" i="2"/>
  <c r="F340" i="2"/>
  <c r="E340" i="2"/>
  <c r="D340" i="2"/>
  <c r="C340" i="2"/>
  <c r="B340" i="2"/>
  <c r="A340" i="2"/>
  <c r="U339" i="2"/>
  <c r="N339" i="2"/>
  <c r="M339" i="2"/>
  <c r="J339" i="2"/>
  <c r="I339" i="2"/>
  <c r="H339" i="2"/>
  <c r="G339" i="2"/>
  <c r="F339" i="2"/>
  <c r="E339" i="2"/>
  <c r="D339" i="2"/>
  <c r="C339" i="2"/>
  <c r="B339" i="2"/>
  <c r="A339" i="2"/>
  <c r="U338" i="2"/>
  <c r="N338" i="2"/>
  <c r="M338" i="2"/>
  <c r="J338" i="2"/>
  <c r="I338" i="2"/>
  <c r="H338" i="2"/>
  <c r="G338" i="2"/>
  <c r="F338" i="2"/>
  <c r="E338" i="2"/>
  <c r="D338" i="2"/>
  <c r="C338" i="2"/>
  <c r="B338" i="2"/>
  <c r="A338" i="2"/>
  <c r="U337" i="2"/>
  <c r="N337" i="2"/>
  <c r="M337" i="2"/>
  <c r="J337" i="2"/>
  <c r="I337" i="2"/>
  <c r="H337" i="2"/>
  <c r="G337" i="2"/>
  <c r="F337" i="2"/>
  <c r="E337" i="2"/>
  <c r="D337" i="2"/>
  <c r="C337" i="2"/>
  <c r="B337" i="2"/>
  <c r="A337" i="2"/>
  <c r="U336" i="2"/>
  <c r="N336" i="2"/>
  <c r="M336" i="2"/>
  <c r="J336" i="2"/>
  <c r="I336" i="2"/>
  <c r="H336" i="2"/>
  <c r="G336" i="2"/>
  <c r="F336" i="2"/>
  <c r="E336" i="2"/>
  <c r="D336" i="2"/>
  <c r="C336" i="2"/>
  <c r="B336" i="2"/>
  <c r="A336" i="2"/>
  <c r="U335" i="2"/>
  <c r="N335" i="2"/>
  <c r="M335" i="2"/>
  <c r="J335" i="2"/>
  <c r="I335" i="2"/>
  <c r="H335" i="2"/>
  <c r="G335" i="2"/>
  <c r="F335" i="2"/>
  <c r="E335" i="2"/>
  <c r="D335" i="2"/>
  <c r="C335" i="2"/>
  <c r="B335" i="2"/>
  <c r="A335" i="2"/>
  <c r="U334" i="2"/>
  <c r="N334" i="2"/>
  <c r="M334" i="2"/>
  <c r="J334" i="2"/>
  <c r="I334" i="2"/>
  <c r="H334" i="2"/>
  <c r="G334" i="2"/>
  <c r="F334" i="2"/>
  <c r="E334" i="2"/>
  <c r="D334" i="2"/>
  <c r="C334" i="2"/>
  <c r="B334" i="2"/>
  <c r="A334" i="2"/>
  <c r="U333" i="2"/>
  <c r="N333" i="2"/>
  <c r="M333" i="2"/>
  <c r="J333" i="2"/>
  <c r="I333" i="2"/>
  <c r="H333" i="2"/>
  <c r="G333" i="2"/>
  <c r="F333" i="2"/>
  <c r="E333" i="2"/>
  <c r="D333" i="2"/>
  <c r="C333" i="2"/>
  <c r="B333" i="2"/>
  <c r="A333" i="2"/>
  <c r="U332" i="2"/>
  <c r="N332" i="2"/>
  <c r="M332" i="2"/>
  <c r="J332" i="2"/>
  <c r="I332" i="2"/>
  <c r="H332" i="2"/>
  <c r="G332" i="2"/>
  <c r="F332" i="2"/>
  <c r="E332" i="2"/>
  <c r="D332" i="2"/>
  <c r="C332" i="2"/>
  <c r="B332" i="2"/>
  <c r="A332" i="2"/>
  <c r="U331" i="2"/>
  <c r="N331" i="2"/>
  <c r="M331" i="2"/>
  <c r="J331" i="2"/>
  <c r="I331" i="2"/>
  <c r="H331" i="2"/>
  <c r="G331" i="2"/>
  <c r="F331" i="2"/>
  <c r="E331" i="2"/>
  <c r="D331" i="2"/>
  <c r="C331" i="2"/>
  <c r="B331" i="2"/>
  <c r="A331" i="2"/>
  <c r="U330" i="2"/>
  <c r="N330" i="2"/>
  <c r="M330" i="2"/>
  <c r="J330" i="2"/>
  <c r="I330" i="2"/>
  <c r="H330" i="2"/>
  <c r="G330" i="2"/>
  <c r="F330" i="2"/>
  <c r="E330" i="2"/>
  <c r="D330" i="2"/>
  <c r="C330" i="2"/>
  <c r="B330" i="2"/>
  <c r="A330" i="2"/>
  <c r="U329" i="2"/>
  <c r="N329" i="2"/>
  <c r="M329" i="2"/>
  <c r="J329" i="2"/>
  <c r="I329" i="2"/>
  <c r="H329" i="2"/>
  <c r="G329" i="2"/>
  <c r="F329" i="2"/>
  <c r="E329" i="2"/>
  <c r="D329" i="2"/>
  <c r="C329" i="2"/>
  <c r="B329" i="2"/>
  <c r="A329" i="2"/>
  <c r="U328" i="2"/>
  <c r="N328" i="2"/>
  <c r="M328" i="2"/>
  <c r="J328" i="2"/>
  <c r="I328" i="2"/>
  <c r="H328" i="2"/>
  <c r="G328" i="2"/>
  <c r="F328" i="2"/>
  <c r="E328" i="2"/>
  <c r="D328" i="2"/>
  <c r="C328" i="2"/>
  <c r="B328" i="2"/>
  <c r="A328" i="2"/>
  <c r="U327" i="2"/>
  <c r="N327" i="2"/>
  <c r="M327" i="2"/>
  <c r="J327" i="2"/>
  <c r="I327" i="2"/>
  <c r="H327" i="2"/>
  <c r="G327" i="2"/>
  <c r="F327" i="2"/>
  <c r="E327" i="2"/>
  <c r="D327" i="2"/>
  <c r="C327" i="2"/>
  <c r="B327" i="2"/>
  <c r="A327" i="2"/>
  <c r="U326" i="2"/>
  <c r="N326" i="2"/>
  <c r="M326" i="2"/>
  <c r="J326" i="2"/>
  <c r="I326" i="2"/>
  <c r="H326" i="2"/>
  <c r="G326" i="2"/>
  <c r="F326" i="2"/>
  <c r="E326" i="2"/>
  <c r="D326" i="2"/>
  <c r="C326" i="2"/>
  <c r="B326" i="2"/>
  <c r="A326" i="2"/>
  <c r="U325" i="2"/>
  <c r="N325" i="2"/>
  <c r="M325" i="2"/>
  <c r="J325" i="2"/>
  <c r="I325" i="2"/>
  <c r="H325" i="2"/>
  <c r="G325" i="2"/>
  <c r="F325" i="2"/>
  <c r="E325" i="2"/>
  <c r="D325" i="2"/>
  <c r="C325" i="2"/>
  <c r="B325" i="2"/>
  <c r="A325" i="2"/>
  <c r="U324" i="2"/>
  <c r="N324" i="2"/>
  <c r="M324" i="2"/>
  <c r="J324" i="2"/>
  <c r="I324" i="2"/>
  <c r="H324" i="2"/>
  <c r="G324" i="2"/>
  <c r="F324" i="2"/>
  <c r="E324" i="2"/>
  <c r="D324" i="2"/>
  <c r="C324" i="2"/>
  <c r="B324" i="2"/>
  <c r="A324" i="2"/>
  <c r="U323" i="2"/>
  <c r="N323" i="2"/>
  <c r="M323" i="2"/>
  <c r="J323" i="2"/>
  <c r="I323" i="2"/>
  <c r="H323" i="2"/>
  <c r="G323" i="2"/>
  <c r="F323" i="2"/>
  <c r="E323" i="2"/>
  <c r="D323" i="2"/>
  <c r="C323" i="2"/>
  <c r="B323" i="2"/>
  <c r="A323" i="2"/>
  <c r="U322" i="2"/>
  <c r="N322" i="2"/>
  <c r="M322" i="2"/>
  <c r="J322" i="2"/>
  <c r="I322" i="2"/>
  <c r="H322" i="2"/>
  <c r="G322" i="2"/>
  <c r="F322" i="2"/>
  <c r="E322" i="2"/>
  <c r="D322" i="2"/>
  <c r="C322" i="2"/>
  <c r="B322" i="2"/>
  <c r="A322" i="2"/>
  <c r="U321" i="2"/>
  <c r="N321" i="2"/>
  <c r="M321" i="2"/>
  <c r="J321" i="2"/>
  <c r="I321" i="2"/>
  <c r="H321" i="2"/>
  <c r="G321" i="2"/>
  <c r="F321" i="2"/>
  <c r="E321" i="2"/>
  <c r="D321" i="2"/>
  <c r="C321" i="2"/>
  <c r="B321" i="2"/>
  <c r="A321" i="2"/>
  <c r="U320" i="2"/>
  <c r="N320" i="2"/>
  <c r="M320" i="2"/>
  <c r="J320" i="2"/>
  <c r="I320" i="2"/>
  <c r="H320" i="2"/>
  <c r="G320" i="2"/>
  <c r="F320" i="2"/>
  <c r="E320" i="2"/>
  <c r="D320" i="2"/>
  <c r="C320" i="2"/>
  <c r="B320" i="2"/>
  <c r="A320" i="2"/>
  <c r="U319" i="2"/>
  <c r="N319" i="2"/>
  <c r="M319" i="2"/>
  <c r="J319" i="2"/>
  <c r="I319" i="2"/>
  <c r="H319" i="2"/>
  <c r="G319" i="2"/>
  <c r="F319" i="2"/>
  <c r="E319" i="2"/>
  <c r="D319" i="2"/>
  <c r="C319" i="2"/>
  <c r="B319" i="2"/>
  <c r="A319" i="2"/>
  <c r="U318" i="2"/>
  <c r="N318" i="2"/>
  <c r="M318" i="2"/>
  <c r="J318" i="2"/>
  <c r="I318" i="2"/>
  <c r="H318" i="2"/>
  <c r="G318" i="2"/>
  <c r="F318" i="2"/>
  <c r="E318" i="2"/>
  <c r="D318" i="2"/>
  <c r="C318" i="2"/>
  <c r="B318" i="2"/>
  <c r="A318" i="2"/>
  <c r="U317" i="2"/>
  <c r="N317" i="2"/>
  <c r="M317" i="2"/>
  <c r="J317" i="2"/>
  <c r="I317" i="2"/>
  <c r="H317" i="2"/>
  <c r="G317" i="2"/>
  <c r="F317" i="2"/>
  <c r="E317" i="2"/>
  <c r="D317" i="2"/>
  <c r="C317" i="2"/>
  <c r="B317" i="2"/>
  <c r="A317" i="2"/>
  <c r="U316" i="2"/>
  <c r="N316" i="2"/>
  <c r="M316" i="2"/>
  <c r="J316" i="2"/>
  <c r="I316" i="2"/>
  <c r="H316" i="2"/>
  <c r="G316" i="2"/>
  <c r="F316" i="2"/>
  <c r="E316" i="2"/>
  <c r="D316" i="2"/>
  <c r="C316" i="2"/>
  <c r="B316" i="2"/>
  <c r="A316" i="2"/>
  <c r="U315" i="2"/>
  <c r="N315" i="2"/>
  <c r="M315" i="2"/>
  <c r="J315" i="2"/>
  <c r="I315" i="2"/>
  <c r="H315" i="2"/>
  <c r="G315" i="2"/>
  <c r="F315" i="2"/>
  <c r="E315" i="2"/>
  <c r="D315" i="2"/>
  <c r="C315" i="2"/>
  <c r="B315" i="2"/>
  <c r="A315" i="2"/>
  <c r="U314" i="2"/>
  <c r="N314" i="2"/>
  <c r="M314" i="2"/>
  <c r="J314" i="2"/>
  <c r="I314" i="2"/>
  <c r="H314" i="2"/>
  <c r="G314" i="2"/>
  <c r="F314" i="2"/>
  <c r="E314" i="2"/>
  <c r="D314" i="2"/>
  <c r="C314" i="2"/>
  <c r="B314" i="2"/>
  <c r="A314" i="2"/>
  <c r="U313" i="2"/>
  <c r="N313" i="2"/>
  <c r="M313" i="2"/>
  <c r="J313" i="2"/>
  <c r="I313" i="2"/>
  <c r="H313" i="2"/>
  <c r="G313" i="2"/>
  <c r="F313" i="2"/>
  <c r="E313" i="2"/>
  <c r="D313" i="2"/>
  <c r="C313" i="2"/>
  <c r="B313" i="2"/>
  <c r="A313" i="2"/>
  <c r="U312" i="2"/>
  <c r="N312" i="2"/>
  <c r="M312" i="2"/>
  <c r="J312" i="2"/>
  <c r="I312" i="2"/>
  <c r="H312" i="2"/>
  <c r="G312" i="2"/>
  <c r="F312" i="2"/>
  <c r="E312" i="2"/>
  <c r="D312" i="2"/>
  <c r="C312" i="2"/>
  <c r="B312" i="2"/>
  <c r="A312" i="2"/>
  <c r="U311" i="2"/>
  <c r="N311" i="2"/>
  <c r="M311" i="2"/>
  <c r="J311" i="2"/>
  <c r="I311" i="2"/>
  <c r="H311" i="2"/>
  <c r="G311" i="2"/>
  <c r="F311" i="2"/>
  <c r="E311" i="2"/>
  <c r="D311" i="2"/>
  <c r="C311" i="2"/>
  <c r="B311" i="2"/>
  <c r="A311" i="2"/>
  <c r="U310" i="2"/>
  <c r="N310" i="2"/>
  <c r="M310" i="2"/>
  <c r="J310" i="2"/>
  <c r="I310" i="2"/>
  <c r="H310" i="2"/>
  <c r="G310" i="2"/>
  <c r="F310" i="2"/>
  <c r="E310" i="2"/>
  <c r="D310" i="2"/>
  <c r="C310" i="2"/>
  <c r="B310" i="2"/>
  <c r="A310" i="2"/>
  <c r="U309" i="2"/>
  <c r="N309" i="2"/>
  <c r="M309" i="2"/>
  <c r="J309" i="2"/>
  <c r="I309" i="2"/>
  <c r="H309" i="2"/>
  <c r="G309" i="2"/>
  <c r="F309" i="2"/>
  <c r="E309" i="2"/>
  <c r="D309" i="2"/>
  <c r="C309" i="2"/>
  <c r="B309" i="2"/>
  <c r="A309" i="2"/>
  <c r="U308" i="2"/>
  <c r="N308" i="2"/>
  <c r="M308" i="2"/>
  <c r="J308" i="2"/>
  <c r="I308" i="2"/>
  <c r="H308" i="2"/>
  <c r="G308" i="2"/>
  <c r="F308" i="2"/>
  <c r="E308" i="2"/>
  <c r="D308" i="2"/>
  <c r="C308" i="2"/>
  <c r="B308" i="2"/>
  <c r="A308" i="2"/>
  <c r="U307" i="2"/>
  <c r="N307" i="2"/>
  <c r="M307" i="2"/>
  <c r="J307" i="2"/>
  <c r="I307" i="2"/>
  <c r="H307" i="2"/>
  <c r="G307" i="2"/>
  <c r="F307" i="2"/>
  <c r="E307" i="2"/>
  <c r="D307" i="2"/>
  <c r="C307" i="2"/>
  <c r="B307" i="2"/>
  <c r="A307" i="2"/>
  <c r="U306" i="2"/>
  <c r="N306" i="2"/>
  <c r="M306" i="2"/>
  <c r="J306" i="2"/>
  <c r="I306" i="2"/>
  <c r="H306" i="2"/>
  <c r="G306" i="2"/>
  <c r="F306" i="2"/>
  <c r="E306" i="2"/>
  <c r="D306" i="2"/>
  <c r="C306" i="2"/>
  <c r="B306" i="2"/>
  <c r="A306" i="2"/>
  <c r="U305" i="2"/>
  <c r="N305" i="2"/>
  <c r="M305" i="2"/>
  <c r="J305" i="2"/>
  <c r="I305" i="2"/>
  <c r="H305" i="2"/>
  <c r="G305" i="2"/>
  <c r="F305" i="2"/>
  <c r="E305" i="2"/>
  <c r="D305" i="2"/>
  <c r="C305" i="2"/>
  <c r="B305" i="2"/>
  <c r="A305" i="2"/>
  <c r="U304" i="2"/>
  <c r="N304" i="2"/>
  <c r="M304" i="2"/>
  <c r="J304" i="2"/>
  <c r="I304" i="2"/>
  <c r="H304" i="2"/>
  <c r="G304" i="2"/>
  <c r="F304" i="2"/>
  <c r="E304" i="2"/>
  <c r="D304" i="2"/>
  <c r="C304" i="2"/>
  <c r="B304" i="2"/>
  <c r="A304" i="2"/>
  <c r="U303" i="2"/>
  <c r="N303" i="2"/>
  <c r="M303" i="2"/>
  <c r="J303" i="2"/>
  <c r="I303" i="2"/>
  <c r="H303" i="2"/>
  <c r="G303" i="2"/>
  <c r="F303" i="2"/>
  <c r="E303" i="2"/>
  <c r="D303" i="2"/>
  <c r="C303" i="2"/>
  <c r="B303" i="2"/>
  <c r="A303" i="2"/>
  <c r="U302" i="2"/>
  <c r="N302" i="2"/>
  <c r="M302" i="2"/>
  <c r="J302" i="2"/>
  <c r="I302" i="2"/>
  <c r="H302" i="2"/>
  <c r="G302" i="2"/>
  <c r="F302" i="2"/>
  <c r="E302" i="2"/>
  <c r="D302" i="2"/>
  <c r="C302" i="2"/>
  <c r="B302" i="2"/>
  <c r="A302" i="2"/>
  <c r="U301" i="2"/>
  <c r="N301" i="2"/>
  <c r="M301" i="2"/>
  <c r="J301" i="2"/>
  <c r="I301" i="2"/>
  <c r="H301" i="2"/>
  <c r="G301" i="2"/>
  <c r="F301" i="2"/>
  <c r="E301" i="2"/>
  <c r="D301" i="2"/>
  <c r="C301" i="2"/>
  <c r="B301" i="2"/>
  <c r="A301" i="2"/>
  <c r="U300" i="2"/>
  <c r="N300" i="2"/>
  <c r="M300" i="2"/>
  <c r="J300" i="2"/>
  <c r="I300" i="2"/>
  <c r="H300" i="2"/>
  <c r="G300" i="2"/>
  <c r="F300" i="2"/>
  <c r="E300" i="2"/>
  <c r="D300" i="2"/>
  <c r="C300" i="2"/>
  <c r="B300" i="2"/>
  <c r="A300" i="2"/>
  <c r="U299" i="2"/>
  <c r="N299" i="2"/>
  <c r="M299" i="2"/>
  <c r="J299" i="2"/>
  <c r="I299" i="2"/>
  <c r="H299" i="2"/>
  <c r="G299" i="2"/>
  <c r="F299" i="2"/>
  <c r="E299" i="2"/>
  <c r="D299" i="2"/>
  <c r="C299" i="2"/>
  <c r="B299" i="2"/>
  <c r="A299" i="2"/>
  <c r="U298" i="2"/>
  <c r="N298" i="2"/>
  <c r="M298" i="2"/>
  <c r="J298" i="2"/>
  <c r="I298" i="2"/>
  <c r="H298" i="2"/>
  <c r="G298" i="2"/>
  <c r="F298" i="2"/>
  <c r="E298" i="2"/>
  <c r="D298" i="2"/>
  <c r="C298" i="2"/>
  <c r="B298" i="2"/>
  <c r="A298" i="2"/>
  <c r="U297" i="2"/>
  <c r="N297" i="2"/>
  <c r="M297" i="2"/>
  <c r="J297" i="2"/>
  <c r="I297" i="2"/>
  <c r="H297" i="2"/>
  <c r="G297" i="2"/>
  <c r="F297" i="2"/>
  <c r="E297" i="2"/>
  <c r="D297" i="2"/>
  <c r="C297" i="2"/>
  <c r="B297" i="2"/>
  <c r="A297" i="2"/>
  <c r="U296" i="2"/>
  <c r="N296" i="2"/>
  <c r="M296" i="2"/>
  <c r="J296" i="2"/>
  <c r="I296" i="2"/>
  <c r="H296" i="2"/>
  <c r="G296" i="2"/>
  <c r="F296" i="2"/>
  <c r="E296" i="2"/>
  <c r="D296" i="2"/>
  <c r="C296" i="2"/>
  <c r="B296" i="2"/>
  <c r="A296" i="2"/>
  <c r="U295" i="2"/>
  <c r="N295" i="2"/>
  <c r="M295" i="2"/>
  <c r="J295" i="2"/>
  <c r="I295" i="2"/>
  <c r="H295" i="2"/>
  <c r="G295" i="2"/>
  <c r="F295" i="2"/>
  <c r="E295" i="2"/>
  <c r="D295" i="2"/>
  <c r="C295" i="2"/>
  <c r="B295" i="2"/>
  <c r="A295" i="2"/>
  <c r="U294" i="2"/>
  <c r="N294" i="2"/>
  <c r="M294" i="2"/>
  <c r="J294" i="2"/>
  <c r="I294" i="2"/>
  <c r="H294" i="2"/>
  <c r="G294" i="2"/>
  <c r="F294" i="2"/>
  <c r="E294" i="2"/>
  <c r="D294" i="2"/>
  <c r="C294" i="2"/>
  <c r="B294" i="2"/>
  <c r="A294" i="2"/>
  <c r="U293" i="2"/>
  <c r="N293" i="2"/>
  <c r="M293" i="2"/>
  <c r="J293" i="2"/>
  <c r="I293" i="2"/>
  <c r="H293" i="2"/>
  <c r="G293" i="2"/>
  <c r="F293" i="2"/>
  <c r="E293" i="2"/>
  <c r="D293" i="2"/>
  <c r="C293" i="2"/>
  <c r="B293" i="2"/>
  <c r="A293" i="2"/>
  <c r="U292" i="2"/>
  <c r="N292" i="2"/>
  <c r="M292" i="2"/>
  <c r="J292" i="2"/>
  <c r="I292" i="2"/>
  <c r="H292" i="2"/>
  <c r="G292" i="2"/>
  <c r="F292" i="2"/>
  <c r="E292" i="2"/>
  <c r="D292" i="2"/>
  <c r="C292" i="2"/>
  <c r="B292" i="2"/>
  <c r="A292" i="2"/>
  <c r="U291" i="2"/>
  <c r="N291" i="2"/>
  <c r="M291" i="2"/>
  <c r="J291" i="2"/>
  <c r="I291" i="2"/>
  <c r="H291" i="2"/>
  <c r="G291" i="2"/>
  <c r="F291" i="2"/>
  <c r="E291" i="2"/>
  <c r="D291" i="2"/>
  <c r="C291" i="2"/>
  <c r="B291" i="2"/>
  <c r="A291" i="2"/>
  <c r="U290" i="2"/>
  <c r="N290" i="2"/>
  <c r="M290" i="2"/>
  <c r="J290" i="2"/>
  <c r="I290" i="2"/>
  <c r="H290" i="2"/>
  <c r="G290" i="2"/>
  <c r="F290" i="2"/>
  <c r="E290" i="2"/>
  <c r="D290" i="2"/>
  <c r="C290" i="2"/>
  <c r="B290" i="2"/>
  <c r="A290" i="2"/>
  <c r="U289" i="2"/>
  <c r="N289" i="2"/>
  <c r="M289" i="2"/>
  <c r="J289" i="2"/>
  <c r="I289" i="2"/>
  <c r="H289" i="2"/>
  <c r="G289" i="2"/>
  <c r="F289" i="2"/>
  <c r="E289" i="2"/>
  <c r="D289" i="2"/>
  <c r="C289" i="2"/>
  <c r="B289" i="2"/>
  <c r="A289" i="2"/>
  <c r="U288" i="2"/>
  <c r="N288" i="2"/>
  <c r="M288" i="2"/>
  <c r="J288" i="2"/>
  <c r="I288" i="2"/>
  <c r="H288" i="2"/>
  <c r="G288" i="2"/>
  <c r="F288" i="2"/>
  <c r="E288" i="2"/>
  <c r="D288" i="2"/>
  <c r="C288" i="2"/>
  <c r="B288" i="2"/>
  <c r="A288" i="2"/>
  <c r="U287" i="2"/>
  <c r="N287" i="2"/>
  <c r="M287" i="2"/>
  <c r="J287" i="2"/>
  <c r="I287" i="2"/>
  <c r="H287" i="2"/>
  <c r="G287" i="2"/>
  <c r="F287" i="2"/>
  <c r="E287" i="2"/>
  <c r="D287" i="2"/>
  <c r="C287" i="2"/>
  <c r="B287" i="2"/>
  <c r="A287" i="2"/>
  <c r="U286" i="2"/>
  <c r="N286" i="2"/>
  <c r="M286" i="2"/>
  <c r="J286" i="2"/>
  <c r="I286" i="2"/>
  <c r="H286" i="2"/>
  <c r="G286" i="2"/>
  <c r="F286" i="2"/>
  <c r="E286" i="2"/>
  <c r="D286" i="2"/>
  <c r="C286" i="2"/>
  <c r="B286" i="2"/>
  <c r="A286" i="2"/>
  <c r="U285" i="2"/>
  <c r="N285" i="2"/>
  <c r="M285" i="2"/>
  <c r="J285" i="2"/>
  <c r="I285" i="2"/>
  <c r="H285" i="2"/>
  <c r="G285" i="2"/>
  <c r="F285" i="2"/>
  <c r="E285" i="2"/>
  <c r="D285" i="2"/>
  <c r="C285" i="2"/>
  <c r="B285" i="2"/>
  <c r="A285" i="2"/>
  <c r="U284" i="2"/>
  <c r="N284" i="2"/>
  <c r="M284" i="2"/>
  <c r="J284" i="2"/>
  <c r="I284" i="2"/>
  <c r="H284" i="2"/>
  <c r="G284" i="2"/>
  <c r="F284" i="2"/>
  <c r="E284" i="2"/>
  <c r="D284" i="2"/>
  <c r="C284" i="2"/>
  <c r="B284" i="2"/>
  <c r="A284" i="2"/>
  <c r="U283" i="2"/>
  <c r="N283" i="2"/>
  <c r="M283" i="2"/>
  <c r="J283" i="2"/>
  <c r="I283" i="2"/>
  <c r="H283" i="2"/>
  <c r="G283" i="2"/>
  <c r="F283" i="2"/>
  <c r="E283" i="2"/>
  <c r="D283" i="2"/>
  <c r="C283" i="2"/>
  <c r="B283" i="2"/>
  <c r="A283" i="2"/>
  <c r="U282" i="2"/>
  <c r="N282" i="2"/>
  <c r="M282" i="2"/>
  <c r="J282" i="2"/>
  <c r="I282" i="2"/>
  <c r="H282" i="2"/>
  <c r="G282" i="2"/>
  <c r="F282" i="2"/>
  <c r="E282" i="2"/>
  <c r="D282" i="2"/>
  <c r="C282" i="2"/>
  <c r="B282" i="2"/>
  <c r="A282" i="2"/>
  <c r="U281" i="2"/>
  <c r="N281" i="2"/>
  <c r="M281" i="2"/>
  <c r="J281" i="2"/>
  <c r="I281" i="2"/>
  <c r="H281" i="2"/>
  <c r="G281" i="2"/>
  <c r="F281" i="2"/>
  <c r="E281" i="2"/>
  <c r="D281" i="2"/>
  <c r="C281" i="2"/>
  <c r="B281" i="2"/>
  <c r="A281" i="2"/>
  <c r="U280" i="2"/>
  <c r="N280" i="2"/>
  <c r="M280" i="2"/>
  <c r="J280" i="2"/>
  <c r="I280" i="2"/>
  <c r="H280" i="2"/>
  <c r="G280" i="2"/>
  <c r="F280" i="2"/>
  <c r="E280" i="2"/>
  <c r="D280" i="2"/>
  <c r="C280" i="2"/>
  <c r="B280" i="2"/>
  <c r="A280" i="2"/>
  <c r="U279" i="2"/>
  <c r="N279" i="2"/>
  <c r="M279" i="2"/>
  <c r="J279" i="2"/>
  <c r="I279" i="2"/>
  <c r="H279" i="2"/>
  <c r="G279" i="2"/>
  <c r="F279" i="2"/>
  <c r="E279" i="2"/>
  <c r="D279" i="2"/>
  <c r="C279" i="2"/>
  <c r="B279" i="2"/>
  <c r="A279" i="2"/>
  <c r="U278" i="2"/>
  <c r="N278" i="2"/>
  <c r="M278" i="2"/>
  <c r="J278" i="2"/>
  <c r="I278" i="2"/>
  <c r="H278" i="2"/>
  <c r="G278" i="2"/>
  <c r="F278" i="2"/>
  <c r="E278" i="2"/>
  <c r="D278" i="2"/>
  <c r="C278" i="2"/>
  <c r="B278" i="2"/>
  <c r="A278" i="2"/>
  <c r="U277" i="2"/>
  <c r="N277" i="2"/>
  <c r="M277" i="2"/>
  <c r="J277" i="2"/>
  <c r="I277" i="2"/>
  <c r="H277" i="2"/>
  <c r="G277" i="2"/>
  <c r="F277" i="2"/>
  <c r="E277" i="2"/>
  <c r="D277" i="2"/>
  <c r="C277" i="2"/>
  <c r="B277" i="2"/>
  <c r="A277" i="2"/>
  <c r="U276" i="2"/>
  <c r="N276" i="2"/>
  <c r="M276" i="2"/>
  <c r="J276" i="2"/>
  <c r="I276" i="2"/>
  <c r="H276" i="2"/>
  <c r="G276" i="2"/>
  <c r="F276" i="2"/>
  <c r="E276" i="2"/>
  <c r="D276" i="2"/>
  <c r="C276" i="2"/>
  <c r="B276" i="2"/>
  <c r="A276" i="2"/>
  <c r="U275" i="2"/>
  <c r="N275" i="2"/>
  <c r="M275" i="2"/>
  <c r="J275" i="2"/>
  <c r="I275" i="2"/>
  <c r="H275" i="2"/>
  <c r="G275" i="2"/>
  <c r="F275" i="2"/>
  <c r="E275" i="2"/>
  <c r="D275" i="2"/>
  <c r="C275" i="2"/>
  <c r="B275" i="2"/>
  <c r="A275" i="2"/>
  <c r="U274" i="2"/>
  <c r="N274" i="2"/>
  <c r="M274" i="2"/>
  <c r="J274" i="2"/>
  <c r="I274" i="2"/>
  <c r="H274" i="2"/>
  <c r="G274" i="2"/>
  <c r="F274" i="2"/>
  <c r="E274" i="2"/>
  <c r="D274" i="2"/>
  <c r="C274" i="2"/>
  <c r="B274" i="2"/>
  <c r="A274" i="2"/>
  <c r="U273" i="2"/>
  <c r="N273" i="2"/>
  <c r="M273" i="2"/>
  <c r="J273" i="2"/>
  <c r="I273" i="2"/>
  <c r="H273" i="2"/>
  <c r="G273" i="2"/>
  <c r="F273" i="2"/>
  <c r="E273" i="2"/>
  <c r="D273" i="2"/>
  <c r="C273" i="2"/>
  <c r="B273" i="2"/>
  <c r="A273" i="2"/>
  <c r="U272" i="2"/>
  <c r="N272" i="2"/>
  <c r="M272" i="2"/>
  <c r="J272" i="2"/>
  <c r="I272" i="2"/>
  <c r="H272" i="2"/>
  <c r="G272" i="2"/>
  <c r="F272" i="2"/>
  <c r="E272" i="2"/>
  <c r="D272" i="2"/>
  <c r="C272" i="2"/>
  <c r="B272" i="2"/>
  <c r="A272" i="2"/>
  <c r="U271" i="2"/>
  <c r="N271" i="2"/>
  <c r="M271" i="2"/>
  <c r="J271" i="2"/>
  <c r="I271" i="2"/>
  <c r="H271" i="2"/>
  <c r="G271" i="2"/>
  <c r="F271" i="2"/>
  <c r="E271" i="2"/>
  <c r="D271" i="2"/>
  <c r="C271" i="2"/>
  <c r="B271" i="2"/>
  <c r="A271" i="2"/>
  <c r="U270" i="2"/>
  <c r="N270" i="2"/>
  <c r="M270" i="2"/>
  <c r="J270" i="2"/>
  <c r="I270" i="2"/>
  <c r="H270" i="2"/>
  <c r="G270" i="2"/>
  <c r="F270" i="2"/>
  <c r="E270" i="2"/>
  <c r="D270" i="2"/>
  <c r="C270" i="2"/>
  <c r="B270" i="2"/>
  <c r="A270" i="2"/>
  <c r="U269" i="2"/>
  <c r="N269" i="2"/>
  <c r="M269" i="2"/>
  <c r="J269" i="2"/>
  <c r="I269" i="2"/>
  <c r="H269" i="2"/>
  <c r="G269" i="2"/>
  <c r="F269" i="2"/>
  <c r="E269" i="2"/>
  <c r="D269" i="2"/>
  <c r="C269" i="2"/>
  <c r="B269" i="2"/>
  <c r="A269" i="2"/>
  <c r="U268" i="2"/>
  <c r="N268" i="2"/>
  <c r="M268" i="2"/>
  <c r="J268" i="2"/>
  <c r="I268" i="2"/>
  <c r="H268" i="2"/>
  <c r="G268" i="2"/>
  <c r="F268" i="2"/>
  <c r="E268" i="2"/>
  <c r="D268" i="2"/>
  <c r="C268" i="2"/>
  <c r="B268" i="2"/>
  <c r="A268" i="2"/>
  <c r="U267" i="2"/>
  <c r="N267" i="2"/>
  <c r="M267" i="2"/>
  <c r="J267" i="2"/>
  <c r="I267" i="2"/>
  <c r="H267" i="2"/>
  <c r="G267" i="2"/>
  <c r="F267" i="2"/>
  <c r="E267" i="2"/>
  <c r="D267" i="2"/>
  <c r="C267" i="2"/>
  <c r="B267" i="2"/>
  <c r="A267" i="2"/>
  <c r="U266" i="2"/>
  <c r="N266" i="2"/>
  <c r="M266" i="2"/>
  <c r="J266" i="2"/>
  <c r="I266" i="2"/>
  <c r="H266" i="2"/>
  <c r="G266" i="2"/>
  <c r="F266" i="2"/>
  <c r="E266" i="2"/>
  <c r="D266" i="2"/>
  <c r="C266" i="2"/>
  <c r="B266" i="2"/>
  <c r="A266" i="2"/>
  <c r="U265" i="2"/>
  <c r="N265" i="2"/>
  <c r="M265" i="2"/>
  <c r="J265" i="2"/>
  <c r="I265" i="2"/>
  <c r="H265" i="2"/>
  <c r="G265" i="2"/>
  <c r="F265" i="2"/>
  <c r="E265" i="2"/>
  <c r="D265" i="2"/>
  <c r="C265" i="2"/>
  <c r="B265" i="2"/>
  <c r="A265" i="2"/>
  <c r="U264" i="2"/>
  <c r="N264" i="2"/>
  <c r="M264" i="2"/>
  <c r="J264" i="2"/>
  <c r="I264" i="2"/>
  <c r="H264" i="2"/>
  <c r="G264" i="2"/>
  <c r="F264" i="2"/>
  <c r="E264" i="2"/>
  <c r="D264" i="2"/>
  <c r="C264" i="2"/>
  <c r="B264" i="2"/>
  <c r="A264" i="2"/>
  <c r="U263" i="2"/>
  <c r="N263" i="2"/>
  <c r="M263" i="2"/>
  <c r="J263" i="2"/>
  <c r="I263" i="2"/>
  <c r="H263" i="2"/>
  <c r="G263" i="2"/>
  <c r="F263" i="2"/>
  <c r="E263" i="2"/>
  <c r="D263" i="2"/>
  <c r="C263" i="2"/>
  <c r="B263" i="2"/>
  <c r="A263" i="2"/>
  <c r="U262" i="2"/>
  <c r="N262" i="2"/>
  <c r="M262" i="2"/>
  <c r="J262" i="2"/>
  <c r="I262" i="2"/>
  <c r="H262" i="2"/>
  <c r="G262" i="2"/>
  <c r="F262" i="2"/>
  <c r="E262" i="2"/>
  <c r="D262" i="2"/>
  <c r="C262" i="2"/>
  <c r="B262" i="2"/>
  <c r="A262" i="2"/>
  <c r="U261" i="2"/>
  <c r="N261" i="2"/>
  <c r="M261" i="2"/>
  <c r="J261" i="2"/>
  <c r="I261" i="2"/>
  <c r="H261" i="2"/>
  <c r="G261" i="2"/>
  <c r="F261" i="2"/>
  <c r="E261" i="2"/>
  <c r="D261" i="2"/>
  <c r="C261" i="2"/>
  <c r="B261" i="2"/>
  <c r="A261" i="2"/>
  <c r="U260" i="2"/>
  <c r="N260" i="2"/>
  <c r="M260" i="2"/>
  <c r="J260" i="2"/>
  <c r="I260" i="2"/>
  <c r="H260" i="2"/>
  <c r="G260" i="2"/>
  <c r="F260" i="2"/>
  <c r="E260" i="2"/>
  <c r="D260" i="2"/>
  <c r="C260" i="2"/>
  <c r="B260" i="2"/>
  <c r="A260" i="2"/>
  <c r="U259" i="2"/>
  <c r="N259" i="2"/>
  <c r="M259" i="2"/>
  <c r="J259" i="2"/>
  <c r="I259" i="2"/>
  <c r="H259" i="2"/>
  <c r="G259" i="2"/>
  <c r="F259" i="2"/>
  <c r="E259" i="2"/>
  <c r="D259" i="2"/>
  <c r="C259" i="2"/>
  <c r="B259" i="2"/>
  <c r="A259" i="2"/>
  <c r="U258" i="2"/>
  <c r="N258" i="2"/>
  <c r="M258" i="2"/>
  <c r="J258" i="2"/>
  <c r="I258" i="2"/>
  <c r="H258" i="2"/>
  <c r="G258" i="2"/>
  <c r="F258" i="2"/>
  <c r="E258" i="2"/>
  <c r="D258" i="2"/>
  <c r="C258" i="2"/>
  <c r="B258" i="2"/>
  <c r="A258" i="2"/>
  <c r="U257" i="2"/>
  <c r="N257" i="2"/>
  <c r="M257" i="2"/>
  <c r="J257" i="2"/>
  <c r="I257" i="2"/>
  <c r="H257" i="2"/>
  <c r="G257" i="2"/>
  <c r="F257" i="2"/>
  <c r="E257" i="2"/>
  <c r="D257" i="2"/>
  <c r="C257" i="2"/>
  <c r="B257" i="2"/>
  <c r="A257" i="2"/>
  <c r="U256" i="2"/>
  <c r="N256" i="2"/>
  <c r="M256" i="2"/>
  <c r="J256" i="2"/>
  <c r="I256" i="2"/>
  <c r="H256" i="2"/>
  <c r="G256" i="2"/>
  <c r="F256" i="2"/>
  <c r="E256" i="2"/>
  <c r="D256" i="2"/>
  <c r="C256" i="2"/>
  <c r="B256" i="2"/>
  <c r="A256" i="2"/>
  <c r="U255" i="2"/>
  <c r="N255" i="2"/>
  <c r="M255" i="2"/>
  <c r="J255" i="2"/>
  <c r="I255" i="2"/>
  <c r="H255" i="2"/>
  <c r="G255" i="2"/>
  <c r="F255" i="2"/>
  <c r="E255" i="2"/>
  <c r="D255" i="2"/>
  <c r="C255" i="2"/>
  <c r="B255" i="2"/>
  <c r="A255" i="2"/>
  <c r="U254" i="2"/>
  <c r="N254" i="2"/>
  <c r="M254" i="2"/>
  <c r="J254" i="2"/>
  <c r="I254" i="2"/>
  <c r="H254" i="2"/>
  <c r="G254" i="2"/>
  <c r="F254" i="2"/>
  <c r="E254" i="2"/>
  <c r="D254" i="2"/>
  <c r="C254" i="2"/>
  <c r="B254" i="2"/>
  <c r="A254" i="2"/>
  <c r="U253" i="2"/>
  <c r="N253" i="2"/>
  <c r="M253" i="2"/>
  <c r="J253" i="2"/>
  <c r="I253" i="2"/>
  <c r="H253" i="2"/>
  <c r="G253" i="2"/>
  <c r="F253" i="2"/>
  <c r="E253" i="2"/>
  <c r="D253" i="2"/>
  <c r="C253" i="2"/>
  <c r="B253" i="2"/>
  <c r="A253" i="2"/>
  <c r="U252" i="2"/>
  <c r="N252" i="2"/>
  <c r="M252" i="2"/>
  <c r="J252" i="2"/>
  <c r="I252" i="2"/>
  <c r="H252" i="2"/>
  <c r="G252" i="2"/>
  <c r="F252" i="2"/>
  <c r="E252" i="2"/>
  <c r="D252" i="2"/>
  <c r="C252" i="2"/>
  <c r="B252" i="2"/>
  <c r="A252" i="2"/>
  <c r="U251" i="2"/>
  <c r="N251" i="2"/>
  <c r="M251" i="2"/>
  <c r="J251" i="2"/>
  <c r="I251" i="2"/>
  <c r="H251" i="2"/>
  <c r="G251" i="2"/>
  <c r="F251" i="2"/>
  <c r="E251" i="2"/>
  <c r="D251" i="2"/>
  <c r="C251" i="2"/>
  <c r="B251" i="2"/>
  <c r="A251" i="2"/>
  <c r="U250" i="2"/>
  <c r="N250" i="2"/>
  <c r="M250" i="2"/>
  <c r="J250" i="2"/>
  <c r="I250" i="2"/>
  <c r="H250" i="2"/>
  <c r="G250" i="2"/>
  <c r="F250" i="2"/>
  <c r="E250" i="2"/>
  <c r="D250" i="2"/>
  <c r="C250" i="2"/>
  <c r="B250" i="2"/>
  <c r="A250" i="2"/>
  <c r="U249" i="2"/>
  <c r="N249" i="2"/>
  <c r="M249" i="2"/>
  <c r="J249" i="2"/>
  <c r="I249" i="2"/>
  <c r="H249" i="2"/>
  <c r="G249" i="2"/>
  <c r="F249" i="2"/>
  <c r="E249" i="2"/>
  <c r="D249" i="2"/>
  <c r="C249" i="2"/>
  <c r="B249" i="2"/>
  <c r="A249" i="2"/>
  <c r="U248" i="2"/>
  <c r="N248" i="2"/>
  <c r="M248" i="2"/>
  <c r="J248" i="2"/>
  <c r="I248" i="2"/>
  <c r="H248" i="2"/>
  <c r="G248" i="2"/>
  <c r="F248" i="2"/>
  <c r="E248" i="2"/>
  <c r="D248" i="2"/>
  <c r="C248" i="2"/>
  <c r="B248" i="2"/>
  <c r="A248" i="2"/>
  <c r="U247" i="2"/>
  <c r="N247" i="2"/>
  <c r="M247" i="2"/>
  <c r="J247" i="2"/>
  <c r="I247" i="2"/>
  <c r="H247" i="2"/>
  <c r="G247" i="2"/>
  <c r="F247" i="2"/>
  <c r="E247" i="2"/>
  <c r="D247" i="2"/>
  <c r="C247" i="2"/>
  <c r="B247" i="2"/>
  <c r="A247" i="2"/>
  <c r="U246" i="2"/>
  <c r="N246" i="2"/>
  <c r="M246" i="2"/>
  <c r="J246" i="2"/>
  <c r="I246" i="2"/>
  <c r="H246" i="2"/>
  <c r="G246" i="2"/>
  <c r="F246" i="2"/>
  <c r="E246" i="2"/>
  <c r="D246" i="2"/>
  <c r="C246" i="2"/>
  <c r="B246" i="2"/>
  <c r="A246" i="2"/>
  <c r="U245" i="2"/>
  <c r="N245" i="2"/>
  <c r="M245" i="2"/>
  <c r="J245" i="2"/>
  <c r="I245" i="2"/>
  <c r="H245" i="2"/>
  <c r="G245" i="2"/>
  <c r="F245" i="2"/>
  <c r="E245" i="2"/>
  <c r="D245" i="2"/>
  <c r="C245" i="2"/>
  <c r="B245" i="2"/>
  <c r="A245" i="2"/>
  <c r="U244" i="2"/>
  <c r="N244" i="2"/>
  <c r="M244" i="2"/>
  <c r="J244" i="2"/>
  <c r="I244" i="2"/>
  <c r="H244" i="2"/>
  <c r="G244" i="2"/>
  <c r="F244" i="2"/>
  <c r="E244" i="2"/>
  <c r="D244" i="2"/>
  <c r="C244" i="2"/>
  <c r="B244" i="2"/>
  <c r="A244" i="2"/>
  <c r="U243" i="2"/>
  <c r="N243" i="2"/>
  <c r="M243" i="2"/>
  <c r="J243" i="2"/>
  <c r="I243" i="2"/>
  <c r="H243" i="2"/>
  <c r="G243" i="2"/>
  <c r="F243" i="2"/>
  <c r="E243" i="2"/>
  <c r="D243" i="2"/>
  <c r="C243" i="2"/>
  <c r="B243" i="2"/>
  <c r="A243" i="2"/>
  <c r="U242" i="2"/>
  <c r="N242" i="2"/>
  <c r="M242" i="2"/>
  <c r="J242" i="2"/>
  <c r="I242" i="2"/>
  <c r="H242" i="2"/>
  <c r="G242" i="2"/>
  <c r="F242" i="2"/>
  <c r="E242" i="2"/>
  <c r="D242" i="2"/>
  <c r="C242" i="2"/>
  <c r="B242" i="2"/>
  <c r="A242" i="2"/>
  <c r="U241" i="2"/>
  <c r="N241" i="2"/>
  <c r="M241" i="2"/>
  <c r="J241" i="2"/>
  <c r="I241" i="2"/>
  <c r="H241" i="2"/>
  <c r="G241" i="2"/>
  <c r="F241" i="2"/>
  <c r="E241" i="2"/>
  <c r="D241" i="2"/>
  <c r="C241" i="2"/>
  <c r="B241" i="2"/>
  <c r="A241" i="2"/>
  <c r="U240" i="2"/>
  <c r="N240" i="2"/>
  <c r="M240" i="2"/>
  <c r="J240" i="2"/>
  <c r="I240" i="2"/>
  <c r="H240" i="2"/>
  <c r="G240" i="2"/>
  <c r="F240" i="2"/>
  <c r="E240" i="2"/>
  <c r="D240" i="2"/>
  <c r="C240" i="2"/>
  <c r="B240" i="2"/>
  <c r="A240" i="2"/>
  <c r="U239" i="2"/>
  <c r="N239" i="2"/>
  <c r="M239" i="2"/>
  <c r="J239" i="2"/>
  <c r="I239" i="2"/>
  <c r="H239" i="2"/>
  <c r="G239" i="2"/>
  <c r="F239" i="2"/>
  <c r="E239" i="2"/>
  <c r="D239" i="2"/>
  <c r="C239" i="2"/>
  <c r="B239" i="2"/>
  <c r="A239" i="2"/>
  <c r="U238" i="2"/>
  <c r="N238" i="2"/>
  <c r="M238" i="2"/>
  <c r="J238" i="2"/>
  <c r="I238" i="2"/>
  <c r="H238" i="2"/>
  <c r="G238" i="2"/>
  <c r="F238" i="2"/>
  <c r="E238" i="2"/>
  <c r="D238" i="2"/>
  <c r="C238" i="2"/>
  <c r="B238" i="2"/>
  <c r="A238" i="2"/>
  <c r="U237" i="2"/>
  <c r="N237" i="2"/>
  <c r="M237" i="2"/>
  <c r="J237" i="2"/>
  <c r="I237" i="2"/>
  <c r="H237" i="2"/>
  <c r="G237" i="2"/>
  <c r="F237" i="2"/>
  <c r="E237" i="2"/>
  <c r="D237" i="2"/>
  <c r="C237" i="2"/>
  <c r="B237" i="2"/>
  <c r="A237" i="2"/>
  <c r="U236" i="2"/>
  <c r="N236" i="2"/>
  <c r="M236" i="2"/>
  <c r="J236" i="2"/>
  <c r="I236" i="2"/>
  <c r="H236" i="2"/>
  <c r="G236" i="2"/>
  <c r="F236" i="2"/>
  <c r="E236" i="2"/>
  <c r="D236" i="2"/>
  <c r="C236" i="2"/>
  <c r="B236" i="2"/>
  <c r="A236" i="2"/>
  <c r="U235" i="2"/>
  <c r="N235" i="2"/>
  <c r="M235" i="2"/>
  <c r="J235" i="2"/>
  <c r="I235" i="2"/>
  <c r="H235" i="2"/>
  <c r="G235" i="2"/>
  <c r="F235" i="2"/>
  <c r="E235" i="2"/>
  <c r="D235" i="2"/>
  <c r="C235" i="2"/>
  <c r="B235" i="2"/>
  <c r="A235" i="2"/>
  <c r="U234" i="2"/>
  <c r="N234" i="2"/>
  <c r="M234" i="2"/>
  <c r="J234" i="2"/>
  <c r="I234" i="2"/>
  <c r="H234" i="2"/>
  <c r="G234" i="2"/>
  <c r="F234" i="2"/>
  <c r="E234" i="2"/>
  <c r="D234" i="2"/>
  <c r="C234" i="2"/>
  <c r="B234" i="2"/>
  <c r="A234" i="2"/>
  <c r="U233" i="2"/>
  <c r="N233" i="2"/>
  <c r="M233" i="2"/>
  <c r="J233" i="2"/>
  <c r="I233" i="2"/>
  <c r="H233" i="2"/>
  <c r="G233" i="2"/>
  <c r="F233" i="2"/>
  <c r="E233" i="2"/>
  <c r="D233" i="2"/>
  <c r="C233" i="2"/>
  <c r="B233" i="2"/>
  <c r="A233" i="2"/>
  <c r="U232" i="2"/>
  <c r="N232" i="2"/>
  <c r="M232" i="2"/>
  <c r="J232" i="2"/>
  <c r="I232" i="2"/>
  <c r="H232" i="2"/>
  <c r="G232" i="2"/>
  <c r="F232" i="2"/>
  <c r="E232" i="2"/>
  <c r="D232" i="2"/>
  <c r="C232" i="2"/>
  <c r="B232" i="2"/>
  <c r="A232" i="2"/>
  <c r="U231" i="2"/>
  <c r="N231" i="2"/>
  <c r="M231" i="2"/>
  <c r="J231" i="2"/>
  <c r="I231" i="2"/>
  <c r="H231" i="2"/>
  <c r="G231" i="2"/>
  <c r="F231" i="2"/>
  <c r="E231" i="2"/>
  <c r="D231" i="2"/>
  <c r="C231" i="2"/>
  <c r="B231" i="2"/>
  <c r="A231" i="2"/>
  <c r="U230" i="2"/>
  <c r="N230" i="2"/>
  <c r="M230" i="2"/>
  <c r="J230" i="2"/>
  <c r="I230" i="2"/>
  <c r="H230" i="2"/>
  <c r="G230" i="2"/>
  <c r="F230" i="2"/>
  <c r="E230" i="2"/>
  <c r="D230" i="2"/>
  <c r="C230" i="2"/>
  <c r="B230" i="2"/>
  <c r="A230" i="2"/>
  <c r="U229" i="2"/>
  <c r="N229" i="2"/>
  <c r="M229" i="2"/>
  <c r="J229" i="2"/>
  <c r="I229" i="2"/>
  <c r="H229" i="2"/>
  <c r="G229" i="2"/>
  <c r="F229" i="2"/>
  <c r="E229" i="2"/>
  <c r="D229" i="2"/>
  <c r="C229" i="2"/>
  <c r="B229" i="2"/>
  <c r="A229" i="2"/>
  <c r="U228" i="2"/>
  <c r="N228" i="2"/>
  <c r="M228" i="2"/>
  <c r="J228" i="2"/>
  <c r="I228" i="2"/>
  <c r="H228" i="2"/>
  <c r="G228" i="2"/>
  <c r="F228" i="2"/>
  <c r="E228" i="2"/>
  <c r="D228" i="2"/>
  <c r="C228" i="2"/>
  <c r="B228" i="2"/>
  <c r="A228" i="2"/>
  <c r="U227" i="2"/>
  <c r="N227" i="2"/>
  <c r="M227" i="2"/>
  <c r="J227" i="2"/>
  <c r="I227" i="2"/>
  <c r="H227" i="2"/>
  <c r="G227" i="2"/>
  <c r="F227" i="2"/>
  <c r="E227" i="2"/>
  <c r="D227" i="2"/>
  <c r="C227" i="2"/>
  <c r="B227" i="2"/>
  <c r="A227" i="2"/>
  <c r="U226" i="2"/>
  <c r="N226" i="2"/>
  <c r="M226" i="2"/>
  <c r="J226" i="2"/>
  <c r="I226" i="2"/>
  <c r="H226" i="2"/>
  <c r="G226" i="2"/>
  <c r="F226" i="2"/>
  <c r="E226" i="2"/>
  <c r="D226" i="2"/>
  <c r="C226" i="2"/>
  <c r="B226" i="2"/>
  <c r="A226" i="2"/>
  <c r="U225" i="2"/>
  <c r="N225" i="2"/>
  <c r="M225" i="2"/>
  <c r="J225" i="2"/>
  <c r="I225" i="2"/>
  <c r="H225" i="2"/>
  <c r="G225" i="2"/>
  <c r="F225" i="2"/>
  <c r="E225" i="2"/>
  <c r="D225" i="2"/>
  <c r="C225" i="2"/>
  <c r="B225" i="2"/>
  <c r="A225" i="2"/>
  <c r="U224" i="2"/>
  <c r="N224" i="2"/>
  <c r="M224" i="2"/>
  <c r="J224" i="2"/>
  <c r="I224" i="2"/>
  <c r="H224" i="2"/>
  <c r="G224" i="2"/>
  <c r="F224" i="2"/>
  <c r="E224" i="2"/>
  <c r="D224" i="2"/>
  <c r="C224" i="2"/>
  <c r="B224" i="2"/>
  <c r="A224" i="2"/>
  <c r="U223" i="2"/>
  <c r="N223" i="2"/>
  <c r="M223" i="2"/>
  <c r="J223" i="2"/>
  <c r="I223" i="2"/>
  <c r="H223" i="2"/>
  <c r="G223" i="2"/>
  <c r="F223" i="2"/>
  <c r="E223" i="2"/>
  <c r="D223" i="2"/>
  <c r="C223" i="2"/>
  <c r="B223" i="2"/>
  <c r="A223" i="2"/>
  <c r="U222" i="2"/>
  <c r="N222" i="2"/>
  <c r="M222" i="2"/>
  <c r="J222" i="2"/>
  <c r="I222" i="2"/>
  <c r="H222" i="2"/>
  <c r="G222" i="2"/>
  <c r="F222" i="2"/>
  <c r="E222" i="2"/>
  <c r="D222" i="2"/>
  <c r="C222" i="2"/>
  <c r="B222" i="2"/>
  <c r="A222" i="2"/>
  <c r="U221" i="2"/>
  <c r="N221" i="2"/>
  <c r="M221" i="2"/>
  <c r="J221" i="2"/>
  <c r="I221" i="2"/>
  <c r="H221" i="2"/>
  <c r="G221" i="2"/>
  <c r="F221" i="2"/>
  <c r="E221" i="2"/>
  <c r="D221" i="2"/>
  <c r="C221" i="2"/>
  <c r="B221" i="2"/>
  <c r="A221" i="2"/>
  <c r="U220" i="2"/>
  <c r="N220" i="2"/>
  <c r="M220" i="2"/>
  <c r="J220" i="2"/>
  <c r="I220" i="2"/>
  <c r="H220" i="2"/>
  <c r="G220" i="2"/>
  <c r="F220" i="2"/>
  <c r="E220" i="2"/>
  <c r="D220" i="2"/>
  <c r="C220" i="2"/>
  <c r="B220" i="2"/>
  <c r="A220" i="2"/>
  <c r="U219" i="2"/>
  <c r="N219" i="2"/>
  <c r="M219" i="2"/>
  <c r="J219" i="2"/>
  <c r="I219" i="2"/>
  <c r="H219" i="2"/>
  <c r="G219" i="2"/>
  <c r="F219" i="2"/>
  <c r="E219" i="2"/>
  <c r="D219" i="2"/>
  <c r="C219" i="2"/>
  <c r="B219" i="2"/>
  <c r="A219" i="2"/>
  <c r="U218" i="2"/>
  <c r="N218" i="2"/>
  <c r="M218" i="2"/>
  <c r="J218" i="2"/>
  <c r="I218" i="2"/>
  <c r="H218" i="2"/>
  <c r="G218" i="2"/>
  <c r="F218" i="2"/>
  <c r="E218" i="2"/>
  <c r="D218" i="2"/>
  <c r="C218" i="2"/>
  <c r="B218" i="2"/>
  <c r="A218" i="2"/>
  <c r="U217" i="2"/>
  <c r="N217" i="2"/>
  <c r="M217" i="2"/>
  <c r="J217" i="2"/>
  <c r="I217" i="2"/>
  <c r="H217" i="2"/>
  <c r="G217" i="2"/>
  <c r="F217" i="2"/>
  <c r="E217" i="2"/>
  <c r="D217" i="2"/>
  <c r="C217" i="2"/>
  <c r="B217" i="2"/>
  <c r="A217" i="2"/>
  <c r="U216" i="2"/>
  <c r="N216" i="2"/>
  <c r="M216" i="2"/>
  <c r="J216" i="2"/>
  <c r="I216" i="2"/>
  <c r="H216" i="2"/>
  <c r="G216" i="2"/>
  <c r="F216" i="2"/>
  <c r="E216" i="2"/>
  <c r="D216" i="2"/>
  <c r="C216" i="2"/>
  <c r="B216" i="2"/>
  <c r="A216" i="2"/>
  <c r="U215" i="2"/>
  <c r="N215" i="2"/>
  <c r="M215" i="2"/>
  <c r="J215" i="2"/>
  <c r="I215" i="2"/>
  <c r="H215" i="2"/>
  <c r="G215" i="2"/>
  <c r="F215" i="2"/>
  <c r="E215" i="2"/>
  <c r="D215" i="2"/>
  <c r="C215" i="2"/>
  <c r="B215" i="2"/>
  <c r="A215" i="2"/>
  <c r="U214" i="2"/>
  <c r="N214" i="2"/>
  <c r="M214" i="2"/>
  <c r="J214" i="2"/>
  <c r="I214" i="2"/>
  <c r="H214" i="2"/>
  <c r="G214" i="2"/>
  <c r="F214" i="2"/>
  <c r="E214" i="2"/>
  <c r="D214" i="2"/>
  <c r="C214" i="2"/>
  <c r="B214" i="2"/>
  <c r="A214" i="2"/>
  <c r="U213" i="2"/>
  <c r="N213" i="2"/>
  <c r="M213" i="2"/>
  <c r="J213" i="2"/>
  <c r="I213" i="2"/>
  <c r="H213" i="2"/>
  <c r="G213" i="2"/>
  <c r="F213" i="2"/>
  <c r="E213" i="2"/>
  <c r="D213" i="2"/>
  <c r="C213" i="2"/>
  <c r="B213" i="2"/>
  <c r="A213" i="2"/>
  <c r="U212" i="2"/>
  <c r="N212" i="2"/>
  <c r="M212" i="2"/>
  <c r="J212" i="2"/>
  <c r="I212" i="2"/>
  <c r="H212" i="2"/>
  <c r="G212" i="2"/>
  <c r="F212" i="2"/>
  <c r="E212" i="2"/>
  <c r="D212" i="2"/>
  <c r="C212" i="2"/>
  <c r="B212" i="2"/>
  <c r="A212" i="2"/>
  <c r="U211" i="2"/>
  <c r="N211" i="2"/>
  <c r="M211" i="2"/>
  <c r="J211" i="2"/>
  <c r="I211" i="2"/>
  <c r="H211" i="2"/>
  <c r="G211" i="2"/>
  <c r="F211" i="2"/>
  <c r="E211" i="2"/>
  <c r="D211" i="2"/>
  <c r="C211" i="2"/>
  <c r="B211" i="2"/>
  <c r="A211" i="2"/>
  <c r="U210" i="2"/>
  <c r="N210" i="2"/>
  <c r="M210" i="2"/>
  <c r="J210" i="2"/>
  <c r="I210" i="2"/>
  <c r="H210" i="2"/>
  <c r="G210" i="2"/>
  <c r="F210" i="2"/>
  <c r="E210" i="2"/>
  <c r="D210" i="2"/>
  <c r="C210" i="2"/>
  <c r="B210" i="2"/>
  <c r="A210" i="2"/>
  <c r="Q209" i="2"/>
  <c r="U209" i="2" s="1"/>
  <c r="N209" i="2"/>
  <c r="M209" i="2"/>
  <c r="J209" i="2"/>
  <c r="I209" i="2"/>
  <c r="H209" i="2"/>
  <c r="G209" i="2"/>
  <c r="F209" i="2"/>
  <c r="E209" i="2"/>
  <c r="D209" i="2"/>
  <c r="C209" i="2"/>
  <c r="B209" i="2"/>
  <c r="A209" i="2"/>
  <c r="U208" i="2"/>
  <c r="N208" i="2"/>
  <c r="M208" i="2"/>
  <c r="J208" i="2"/>
  <c r="I208" i="2"/>
  <c r="H208" i="2"/>
  <c r="G208" i="2"/>
  <c r="F208" i="2"/>
  <c r="E208" i="2"/>
  <c r="D208" i="2"/>
  <c r="C208" i="2"/>
  <c r="B208" i="2"/>
  <c r="A208" i="2"/>
  <c r="U207" i="2"/>
  <c r="N207" i="2"/>
  <c r="M207" i="2"/>
  <c r="J207" i="2"/>
  <c r="I207" i="2"/>
  <c r="H207" i="2"/>
  <c r="G207" i="2"/>
  <c r="F207" i="2"/>
  <c r="E207" i="2"/>
  <c r="D207" i="2"/>
  <c r="C207" i="2"/>
  <c r="B207" i="2"/>
  <c r="A207" i="2"/>
  <c r="U206" i="2"/>
  <c r="N206" i="2"/>
  <c r="M206" i="2"/>
  <c r="J206" i="2"/>
  <c r="I206" i="2"/>
  <c r="H206" i="2"/>
  <c r="G206" i="2"/>
  <c r="F206" i="2"/>
  <c r="E206" i="2"/>
  <c r="D206" i="2"/>
  <c r="C206" i="2"/>
  <c r="B206" i="2"/>
  <c r="A206" i="2"/>
  <c r="U205" i="2"/>
  <c r="N205" i="2"/>
  <c r="M205" i="2"/>
  <c r="J205" i="2"/>
  <c r="I205" i="2"/>
  <c r="H205" i="2"/>
  <c r="G205" i="2"/>
  <c r="F205" i="2"/>
  <c r="E205" i="2"/>
  <c r="D205" i="2"/>
  <c r="C205" i="2"/>
  <c r="B205" i="2"/>
  <c r="A205" i="2"/>
  <c r="U204" i="2"/>
  <c r="N204" i="2"/>
  <c r="M204" i="2"/>
  <c r="J204" i="2"/>
  <c r="I204" i="2"/>
  <c r="H204" i="2"/>
  <c r="G204" i="2"/>
  <c r="F204" i="2"/>
  <c r="E204" i="2"/>
  <c r="D204" i="2"/>
  <c r="C204" i="2"/>
  <c r="B204" i="2"/>
  <c r="A204" i="2"/>
  <c r="U203" i="2"/>
  <c r="N203" i="2"/>
  <c r="M203" i="2"/>
  <c r="J203" i="2"/>
  <c r="I203" i="2"/>
  <c r="H203" i="2"/>
  <c r="G203" i="2"/>
  <c r="F203" i="2"/>
  <c r="E203" i="2"/>
  <c r="D203" i="2"/>
  <c r="C203" i="2"/>
  <c r="B203" i="2"/>
  <c r="A203" i="2"/>
  <c r="U202" i="2"/>
  <c r="N202" i="2"/>
  <c r="M202" i="2"/>
  <c r="J202" i="2"/>
  <c r="I202" i="2"/>
  <c r="H202" i="2"/>
  <c r="G202" i="2"/>
  <c r="F202" i="2"/>
  <c r="E202" i="2"/>
  <c r="D202" i="2"/>
  <c r="C202" i="2"/>
  <c r="B202" i="2"/>
  <c r="A202" i="2"/>
  <c r="U201" i="2"/>
  <c r="N201" i="2"/>
  <c r="M201" i="2"/>
  <c r="J201" i="2"/>
  <c r="I201" i="2"/>
  <c r="H201" i="2"/>
  <c r="G201" i="2"/>
  <c r="F201" i="2"/>
  <c r="E201" i="2"/>
  <c r="D201" i="2"/>
  <c r="C201" i="2"/>
  <c r="B201" i="2"/>
  <c r="A201" i="2"/>
  <c r="U200" i="2"/>
  <c r="N200" i="2"/>
  <c r="M200" i="2"/>
  <c r="J200" i="2"/>
  <c r="I200" i="2"/>
  <c r="H200" i="2"/>
  <c r="G200" i="2"/>
  <c r="F200" i="2"/>
  <c r="E200" i="2"/>
  <c r="D200" i="2"/>
  <c r="C200" i="2"/>
  <c r="B200" i="2"/>
  <c r="A200" i="2"/>
  <c r="U199" i="2"/>
  <c r="N199" i="2"/>
  <c r="M199" i="2"/>
  <c r="J199" i="2"/>
  <c r="I199" i="2"/>
  <c r="H199" i="2"/>
  <c r="G199" i="2"/>
  <c r="F199" i="2"/>
  <c r="E199" i="2"/>
  <c r="D199" i="2"/>
  <c r="C199" i="2"/>
  <c r="B199" i="2"/>
  <c r="A199" i="2"/>
  <c r="U198" i="2"/>
  <c r="N198" i="2"/>
  <c r="M198" i="2"/>
  <c r="J198" i="2"/>
  <c r="I198" i="2"/>
  <c r="H198" i="2"/>
  <c r="G198" i="2"/>
  <c r="F198" i="2"/>
  <c r="E198" i="2"/>
  <c r="D198" i="2"/>
  <c r="C198" i="2"/>
  <c r="B198" i="2"/>
  <c r="A198" i="2"/>
  <c r="U197" i="2"/>
  <c r="N197" i="2"/>
  <c r="M197" i="2"/>
  <c r="J197" i="2"/>
  <c r="I197" i="2"/>
  <c r="H197" i="2"/>
  <c r="G197" i="2"/>
  <c r="F197" i="2"/>
  <c r="E197" i="2"/>
  <c r="D197" i="2"/>
  <c r="C197" i="2"/>
  <c r="B197" i="2"/>
  <c r="A197" i="2"/>
  <c r="U196" i="2"/>
  <c r="N196" i="2"/>
  <c r="M196" i="2"/>
  <c r="J196" i="2"/>
  <c r="I196" i="2"/>
  <c r="H196" i="2"/>
  <c r="G196" i="2"/>
  <c r="F196" i="2"/>
  <c r="E196" i="2"/>
  <c r="D196" i="2"/>
  <c r="C196" i="2"/>
  <c r="B196" i="2"/>
  <c r="A196" i="2"/>
  <c r="U195" i="2"/>
  <c r="N195" i="2"/>
  <c r="M195" i="2"/>
  <c r="J195" i="2"/>
  <c r="I195" i="2"/>
  <c r="H195" i="2"/>
  <c r="G195" i="2"/>
  <c r="F195" i="2"/>
  <c r="E195" i="2"/>
  <c r="D195" i="2"/>
  <c r="C195" i="2"/>
  <c r="B195" i="2"/>
  <c r="A195" i="2"/>
  <c r="U194" i="2"/>
  <c r="N194" i="2"/>
  <c r="M194" i="2"/>
  <c r="J194" i="2"/>
  <c r="I194" i="2"/>
  <c r="H194" i="2"/>
  <c r="G194" i="2"/>
  <c r="F194" i="2"/>
  <c r="E194" i="2"/>
  <c r="D194" i="2"/>
  <c r="C194" i="2"/>
  <c r="B194" i="2"/>
  <c r="A194" i="2"/>
  <c r="U193" i="2"/>
  <c r="N193" i="2"/>
  <c r="M193" i="2"/>
  <c r="J193" i="2"/>
  <c r="I193" i="2"/>
  <c r="H193" i="2"/>
  <c r="G193" i="2"/>
  <c r="F193" i="2"/>
  <c r="E193" i="2"/>
  <c r="D193" i="2"/>
  <c r="C193" i="2"/>
  <c r="B193" i="2"/>
  <c r="A193" i="2"/>
  <c r="U192" i="2"/>
  <c r="N192" i="2"/>
  <c r="M192" i="2"/>
  <c r="J192" i="2"/>
  <c r="I192" i="2"/>
  <c r="H192" i="2"/>
  <c r="G192" i="2"/>
  <c r="F192" i="2"/>
  <c r="E192" i="2"/>
  <c r="D192" i="2"/>
  <c r="C192" i="2"/>
  <c r="B192" i="2"/>
  <c r="A192" i="2"/>
  <c r="U191" i="2"/>
  <c r="N191" i="2"/>
  <c r="M191" i="2"/>
  <c r="J191" i="2"/>
  <c r="I191" i="2"/>
  <c r="H191" i="2"/>
  <c r="G191" i="2"/>
  <c r="F191" i="2"/>
  <c r="E191" i="2"/>
  <c r="D191" i="2"/>
  <c r="C191" i="2"/>
  <c r="B191" i="2"/>
  <c r="A191" i="2"/>
  <c r="U190" i="2"/>
  <c r="N190" i="2"/>
  <c r="M190" i="2"/>
  <c r="J190" i="2"/>
  <c r="I190" i="2"/>
  <c r="H190" i="2"/>
  <c r="G190" i="2"/>
  <c r="F190" i="2"/>
  <c r="E190" i="2"/>
  <c r="D190" i="2"/>
  <c r="C190" i="2"/>
  <c r="B190" i="2"/>
  <c r="A190" i="2"/>
  <c r="U189" i="2"/>
  <c r="N189" i="2"/>
  <c r="M189" i="2"/>
  <c r="J189" i="2"/>
  <c r="I189" i="2"/>
  <c r="H189" i="2"/>
  <c r="G189" i="2"/>
  <c r="F189" i="2"/>
  <c r="E189" i="2"/>
  <c r="D189" i="2"/>
  <c r="C189" i="2"/>
  <c r="B189" i="2"/>
  <c r="A189" i="2"/>
  <c r="U188" i="2"/>
  <c r="N188" i="2"/>
  <c r="M188" i="2"/>
  <c r="J188" i="2"/>
  <c r="I188" i="2"/>
  <c r="H188" i="2"/>
  <c r="G188" i="2"/>
  <c r="F188" i="2"/>
  <c r="E188" i="2"/>
  <c r="D188" i="2"/>
  <c r="C188" i="2"/>
  <c r="B188" i="2"/>
  <c r="A188" i="2"/>
  <c r="U187" i="2"/>
  <c r="N187" i="2"/>
  <c r="M187" i="2"/>
  <c r="J187" i="2"/>
  <c r="I187" i="2"/>
  <c r="H187" i="2"/>
  <c r="G187" i="2"/>
  <c r="F187" i="2"/>
  <c r="E187" i="2"/>
  <c r="D187" i="2"/>
  <c r="C187" i="2"/>
  <c r="B187" i="2"/>
  <c r="A187" i="2"/>
  <c r="U186" i="2"/>
  <c r="N186" i="2"/>
  <c r="M186" i="2"/>
  <c r="J186" i="2"/>
  <c r="I186" i="2"/>
  <c r="H186" i="2"/>
  <c r="G186" i="2"/>
  <c r="F186" i="2"/>
  <c r="E186" i="2"/>
  <c r="D186" i="2"/>
  <c r="C186" i="2"/>
  <c r="B186" i="2"/>
  <c r="A186" i="2"/>
  <c r="U185" i="2"/>
  <c r="N185" i="2"/>
  <c r="M185" i="2"/>
  <c r="J185" i="2"/>
  <c r="I185" i="2"/>
  <c r="H185" i="2"/>
  <c r="G185" i="2"/>
  <c r="F185" i="2"/>
  <c r="E185" i="2"/>
  <c r="D185" i="2"/>
  <c r="C185" i="2"/>
  <c r="B185" i="2"/>
  <c r="A185" i="2"/>
  <c r="U184" i="2"/>
  <c r="N184" i="2"/>
  <c r="M184" i="2"/>
  <c r="J184" i="2"/>
  <c r="I184" i="2"/>
  <c r="H184" i="2"/>
  <c r="G184" i="2"/>
  <c r="F184" i="2"/>
  <c r="E184" i="2"/>
  <c r="D184" i="2"/>
  <c r="C184" i="2"/>
  <c r="B184" i="2"/>
  <c r="A184" i="2"/>
  <c r="U183" i="2"/>
  <c r="N183" i="2"/>
  <c r="M183" i="2"/>
  <c r="J183" i="2"/>
  <c r="I183" i="2"/>
  <c r="H183" i="2"/>
  <c r="G183" i="2"/>
  <c r="F183" i="2"/>
  <c r="E183" i="2"/>
  <c r="D183" i="2"/>
  <c r="C183" i="2"/>
  <c r="B183" i="2"/>
  <c r="A183" i="2"/>
  <c r="U182" i="2"/>
  <c r="N182" i="2"/>
  <c r="M182" i="2"/>
  <c r="J182" i="2"/>
  <c r="I182" i="2"/>
  <c r="H182" i="2"/>
  <c r="G182" i="2"/>
  <c r="F182" i="2"/>
  <c r="E182" i="2"/>
  <c r="D182" i="2"/>
  <c r="C182" i="2"/>
  <c r="B182" i="2"/>
  <c r="A182" i="2"/>
  <c r="U181" i="2"/>
  <c r="N181" i="2"/>
  <c r="M181" i="2"/>
  <c r="J181" i="2"/>
  <c r="I181" i="2"/>
  <c r="H181" i="2"/>
  <c r="G181" i="2"/>
  <c r="F181" i="2"/>
  <c r="E181" i="2"/>
  <c r="D181" i="2"/>
  <c r="C181" i="2"/>
  <c r="B181" i="2"/>
  <c r="A181" i="2"/>
  <c r="U180" i="2"/>
  <c r="N180" i="2"/>
  <c r="M180" i="2"/>
  <c r="J180" i="2"/>
  <c r="I180" i="2"/>
  <c r="H180" i="2"/>
  <c r="G180" i="2"/>
  <c r="F180" i="2"/>
  <c r="E180" i="2"/>
  <c r="D180" i="2"/>
  <c r="C180" i="2"/>
  <c r="B180" i="2"/>
  <c r="A180" i="2"/>
  <c r="U179" i="2"/>
  <c r="N179" i="2"/>
  <c r="M179" i="2"/>
  <c r="J179" i="2"/>
  <c r="I179" i="2"/>
  <c r="H179" i="2"/>
  <c r="G179" i="2"/>
  <c r="F179" i="2"/>
  <c r="E179" i="2"/>
  <c r="D179" i="2"/>
  <c r="C179" i="2"/>
  <c r="B179" i="2"/>
  <c r="A179" i="2"/>
  <c r="U178" i="2"/>
  <c r="N178" i="2"/>
  <c r="M178" i="2"/>
  <c r="J178" i="2"/>
  <c r="I178" i="2"/>
  <c r="H178" i="2"/>
  <c r="G178" i="2"/>
  <c r="F178" i="2"/>
  <c r="E178" i="2"/>
  <c r="D178" i="2"/>
  <c r="C178" i="2"/>
  <c r="B178" i="2"/>
  <c r="A178" i="2"/>
  <c r="U177" i="2"/>
  <c r="N177" i="2"/>
  <c r="M177" i="2"/>
  <c r="J177" i="2"/>
  <c r="I177" i="2"/>
  <c r="H177" i="2"/>
  <c r="G177" i="2"/>
  <c r="F177" i="2"/>
  <c r="E177" i="2"/>
  <c r="D177" i="2"/>
  <c r="C177" i="2"/>
  <c r="B177" i="2"/>
  <c r="A177" i="2"/>
  <c r="U176" i="2"/>
  <c r="N176" i="2"/>
  <c r="M176" i="2"/>
  <c r="J176" i="2"/>
  <c r="I176" i="2"/>
  <c r="H176" i="2"/>
  <c r="G176" i="2"/>
  <c r="F176" i="2"/>
  <c r="E176" i="2"/>
  <c r="D176" i="2"/>
  <c r="C176" i="2"/>
  <c r="B176" i="2"/>
  <c r="A176" i="2"/>
  <c r="U175" i="2"/>
  <c r="N175" i="2"/>
  <c r="M175" i="2"/>
  <c r="J175" i="2"/>
  <c r="I175" i="2"/>
  <c r="H175" i="2"/>
  <c r="G175" i="2"/>
  <c r="F175" i="2"/>
  <c r="E175" i="2"/>
  <c r="D175" i="2"/>
  <c r="C175" i="2"/>
  <c r="B175" i="2"/>
  <c r="A175" i="2"/>
  <c r="U174" i="2"/>
  <c r="N174" i="2"/>
  <c r="M174" i="2"/>
  <c r="J174" i="2"/>
  <c r="I174" i="2"/>
  <c r="H174" i="2"/>
  <c r="G174" i="2"/>
  <c r="F174" i="2"/>
  <c r="E174" i="2"/>
  <c r="D174" i="2"/>
  <c r="C174" i="2"/>
  <c r="B174" i="2"/>
  <c r="A174" i="2"/>
  <c r="U173" i="2"/>
  <c r="N173" i="2"/>
  <c r="M173" i="2"/>
  <c r="J173" i="2"/>
  <c r="I173" i="2"/>
  <c r="H173" i="2"/>
  <c r="G173" i="2"/>
  <c r="F173" i="2"/>
  <c r="E173" i="2"/>
  <c r="D173" i="2"/>
  <c r="C173" i="2"/>
  <c r="B173" i="2"/>
  <c r="A173" i="2"/>
  <c r="U172" i="2"/>
  <c r="N172" i="2"/>
  <c r="M172" i="2"/>
  <c r="J172" i="2"/>
  <c r="I172" i="2"/>
  <c r="H172" i="2"/>
  <c r="G172" i="2"/>
  <c r="F172" i="2"/>
  <c r="E172" i="2"/>
  <c r="D172" i="2"/>
  <c r="C172" i="2"/>
  <c r="B172" i="2"/>
  <c r="A172" i="2"/>
  <c r="U171" i="2"/>
  <c r="N171" i="2"/>
  <c r="M171" i="2"/>
  <c r="J171" i="2"/>
  <c r="I171" i="2"/>
  <c r="H171" i="2"/>
  <c r="G171" i="2"/>
  <c r="F171" i="2"/>
  <c r="E171" i="2"/>
  <c r="D171" i="2"/>
  <c r="C171" i="2"/>
  <c r="B171" i="2"/>
  <c r="A171" i="2"/>
  <c r="U170" i="2"/>
  <c r="N170" i="2"/>
  <c r="M170" i="2"/>
  <c r="J170" i="2"/>
  <c r="I170" i="2"/>
  <c r="H170" i="2"/>
  <c r="G170" i="2"/>
  <c r="F170" i="2"/>
  <c r="E170" i="2"/>
  <c r="D170" i="2"/>
  <c r="C170" i="2"/>
  <c r="B170" i="2"/>
  <c r="A170" i="2"/>
  <c r="U169" i="2"/>
  <c r="N169" i="2"/>
  <c r="M169" i="2"/>
  <c r="J169" i="2"/>
  <c r="I169" i="2"/>
  <c r="H169" i="2"/>
  <c r="G169" i="2"/>
  <c r="F169" i="2"/>
  <c r="E169" i="2"/>
  <c r="D169" i="2"/>
  <c r="C169" i="2"/>
  <c r="B169" i="2"/>
  <c r="A169" i="2"/>
  <c r="U168" i="2"/>
  <c r="N168" i="2"/>
  <c r="M168" i="2"/>
  <c r="J168" i="2"/>
  <c r="I168" i="2"/>
  <c r="H168" i="2"/>
  <c r="G168" i="2"/>
  <c r="F168" i="2"/>
  <c r="E168" i="2"/>
  <c r="D168" i="2"/>
  <c r="C168" i="2"/>
  <c r="B168" i="2"/>
  <c r="A168" i="2"/>
  <c r="U167" i="2"/>
  <c r="N167" i="2"/>
  <c r="M167" i="2"/>
  <c r="J167" i="2"/>
  <c r="I167" i="2"/>
  <c r="H167" i="2"/>
  <c r="G167" i="2"/>
  <c r="F167" i="2"/>
  <c r="E167" i="2"/>
  <c r="D167" i="2"/>
  <c r="C167" i="2"/>
  <c r="B167" i="2"/>
  <c r="A167" i="2"/>
  <c r="U166" i="2"/>
  <c r="N166" i="2"/>
  <c r="M166" i="2"/>
  <c r="J166" i="2"/>
  <c r="I166" i="2"/>
  <c r="H166" i="2"/>
  <c r="G166" i="2"/>
  <c r="F166" i="2"/>
  <c r="E166" i="2"/>
  <c r="D166" i="2"/>
  <c r="C166" i="2"/>
  <c r="B166" i="2"/>
  <c r="A166" i="2"/>
  <c r="U165" i="2"/>
  <c r="N165" i="2"/>
  <c r="M165" i="2"/>
  <c r="J165" i="2"/>
  <c r="I165" i="2"/>
  <c r="H165" i="2"/>
  <c r="G165" i="2"/>
  <c r="F165" i="2"/>
  <c r="E165" i="2"/>
  <c r="D165" i="2"/>
  <c r="C165" i="2"/>
  <c r="B165" i="2"/>
  <c r="A165" i="2"/>
  <c r="U164" i="2"/>
  <c r="N164" i="2"/>
  <c r="M164" i="2"/>
  <c r="J164" i="2"/>
  <c r="I164" i="2"/>
  <c r="H164" i="2"/>
  <c r="G164" i="2"/>
  <c r="F164" i="2"/>
  <c r="E164" i="2"/>
  <c r="D164" i="2"/>
  <c r="C164" i="2"/>
  <c r="B164" i="2"/>
  <c r="A164" i="2"/>
  <c r="U163" i="2"/>
  <c r="N163" i="2"/>
  <c r="M163" i="2"/>
  <c r="J163" i="2"/>
  <c r="I163" i="2"/>
  <c r="H163" i="2"/>
  <c r="G163" i="2"/>
  <c r="F163" i="2"/>
  <c r="E163" i="2"/>
  <c r="D163" i="2"/>
  <c r="C163" i="2"/>
  <c r="B163" i="2"/>
  <c r="A163" i="2"/>
  <c r="U162" i="2"/>
  <c r="N162" i="2"/>
  <c r="M162" i="2"/>
  <c r="J162" i="2"/>
  <c r="I162" i="2"/>
  <c r="H162" i="2"/>
  <c r="G162" i="2"/>
  <c r="F162" i="2"/>
  <c r="E162" i="2"/>
  <c r="D162" i="2"/>
  <c r="C162" i="2"/>
  <c r="B162" i="2"/>
  <c r="A162" i="2"/>
  <c r="U161" i="2"/>
  <c r="N161" i="2"/>
  <c r="M161" i="2"/>
  <c r="J161" i="2"/>
  <c r="I161" i="2"/>
  <c r="H161" i="2"/>
  <c r="G161" i="2"/>
  <c r="F161" i="2"/>
  <c r="E161" i="2"/>
  <c r="D161" i="2"/>
  <c r="C161" i="2"/>
  <c r="B161" i="2"/>
  <c r="A161" i="2"/>
  <c r="U160" i="2"/>
  <c r="N160" i="2"/>
  <c r="M160" i="2"/>
  <c r="J160" i="2"/>
  <c r="I160" i="2"/>
  <c r="H160" i="2"/>
  <c r="G160" i="2"/>
  <c r="F160" i="2"/>
  <c r="E160" i="2"/>
  <c r="D160" i="2"/>
  <c r="C160" i="2"/>
  <c r="B160" i="2"/>
  <c r="A160" i="2"/>
  <c r="U159" i="2"/>
  <c r="N159" i="2"/>
  <c r="M159" i="2"/>
  <c r="J159" i="2"/>
  <c r="I159" i="2"/>
  <c r="H159" i="2"/>
  <c r="G159" i="2"/>
  <c r="F159" i="2"/>
  <c r="E159" i="2"/>
  <c r="D159" i="2"/>
  <c r="C159" i="2"/>
  <c r="B159" i="2"/>
  <c r="A159" i="2"/>
  <c r="U158" i="2"/>
  <c r="N158" i="2"/>
  <c r="M158" i="2"/>
  <c r="J158" i="2"/>
  <c r="I158" i="2"/>
  <c r="H158" i="2"/>
  <c r="G158" i="2"/>
  <c r="F158" i="2"/>
  <c r="E158" i="2"/>
  <c r="D158" i="2"/>
  <c r="C158" i="2"/>
  <c r="B158" i="2"/>
  <c r="A158" i="2"/>
  <c r="U157" i="2"/>
  <c r="N157" i="2"/>
  <c r="M157" i="2"/>
  <c r="J157" i="2"/>
  <c r="I157" i="2"/>
  <c r="H157" i="2"/>
  <c r="G157" i="2"/>
  <c r="F157" i="2"/>
  <c r="E157" i="2"/>
  <c r="D157" i="2"/>
  <c r="C157" i="2"/>
  <c r="B157" i="2"/>
  <c r="A157" i="2"/>
  <c r="U156" i="2"/>
  <c r="N156" i="2"/>
  <c r="M156" i="2"/>
  <c r="J156" i="2"/>
  <c r="I156" i="2"/>
  <c r="H156" i="2"/>
  <c r="G156" i="2"/>
  <c r="F156" i="2"/>
  <c r="E156" i="2"/>
  <c r="D156" i="2"/>
  <c r="C156" i="2"/>
  <c r="B156" i="2"/>
  <c r="A156" i="2"/>
  <c r="U155" i="2"/>
  <c r="N155" i="2"/>
  <c r="M155" i="2"/>
  <c r="J155" i="2"/>
  <c r="I155" i="2"/>
  <c r="H155" i="2"/>
  <c r="G155" i="2"/>
  <c r="F155" i="2"/>
  <c r="E155" i="2"/>
  <c r="D155" i="2"/>
  <c r="C155" i="2"/>
  <c r="B155" i="2"/>
  <c r="A155" i="2"/>
  <c r="U154" i="2"/>
  <c r="N154" i="2"/>
  <c r="M154" i="2"/>
  <c r="J154" i="2"/>
  <c r="I154" i="2"/>
  <c r="H154" i="2"/>
  <c r="G154" i="2"/>
  <c r="F154" i="2"/>
  <c r="E154" i="2"/>
  <c r="D154" i="2"/>
  <c r="C154" i="2"/>
  <c r="B154" i="2"/>
  <c r="A154" i="2"/>
  <c r="U153" i="2"/>
  <c r="N153" i="2"/>
  <c r="M153" i="2"/>
  <c r="J153" i="2"/>
  <c r="I153" i="2"/>
  <c r="H153" i="2"/>
  <c r="G153" i="2"/>
  <c r="F153" i="2"/>
  <c r="E153" i="2"/>
  <c r="D153" i="2"/>
  <c r="C153" i="2"/>
  <c r="B153" i="2"/>
  <c r="A153" i="2"/>
  <c r="U152" i="2"/>
  <c r="N152" i="2"/>
  <c r="M152" i="2"/>
  <c r="J152" i="2"/>
  <c r="I152" i="2"/>
  <c r="H152" i="2"/>
  <c r="G152" i="2"/>
  <c r="F152" i="2"/>
  <c r="E152" i="2"/>
  <c r="D152" i="2"/>
  <c r="C152" i="2"/>
  <c r="B152" i="2"/>
  <c r="A152" i="2"/>
  <c r="U151" i="2"/>
  <c r="N151" i="2"/>
  <c r="M151" i="2"/>
  <c r="J151" i="2"/>
  <c r="I151" i="2"/>
  <c r="H151" i="2"/>
  <c r="G151" i="2"/>
  <c r="F151" i="2"/>
  <c r="E151" i="2"/>
  <c r="D151" i="2"/>
  <c r="C151" i="2"/>
  <c r="B151" i="2"/>
  <c r="A151" i="2"/>
  <c r="U150" i="2"/>
  <c r="N150" i="2"/>
  <c r="M150" i="2"/>
  <c r="J150" i="2"/>
  <c r="I150" i="2"/>
  <c r="H150" i="2"/>
  <c r="G150" i="2"/>
  <c r="F150" i="2"/>
  <c r="E150" i="2"/>
  <c r="D150" i="2"/>
  <c r="C150" i="2"/>
  <c r="B150" i="2"/>
  <c r="A150" i="2"/>
  <c r="U149" i="2"/>
  <c r="N149" i="2"/>
  <c r="M149" i="2"/>
  <c r="J149" i="2"/>
  <c r="I149" i="2"/>
  <c r="H149" i="2"/>
  <c r="G149" i="2"/>
  <c r="F149" i="2"/>
  <c r="E149" i="2"/>
  <c r="D149" i="2"/>
  <c r="C149" i="2"/>
  <c r="B149" i="2"/>
  <c r="A149" i="2"/>
  <c r="U148" i="2"/>
  <c r="N148" i="2"/>
  <c r="M148" i="2"/>
  <c r="J148" i="2"/>
  <c r="I148" i="2"/>
  <c r="H148" i="2"/>
  <c r="G148" i="2"/>
  <c r="F148" i="2"/>
  <c r="E148" i="2"/>
  <c r="D148" i="2"/>
  <c r="C148" i="2"/>
  <c r="B148" i="2"/>
  <c r="A148" i="2"/>
  <c r="U147" i="2"/>
  <c r="N147" i="2"/>
  <c r="M147" i="2"/>
  <c r="J147" i="2"/>
  <c r="I147" i="2"/>
  <c r="H147" i="2"/>
  <c r="G147" i="2"/>
  <c r="F147" i="2"/>
  <c r="E147" i="2"/>
  <c r="D147" i="2"/>
  <c r="C147" i="2"/>
  <c r="B147" i="2"/>
  <c r="A147" i="2"/>
  <c r="U146" i="2"/>
  <c r="N146" i="2"/>
  <c r="M146" i="2"/>
  <c r="J146" i="2"/>
  <c r="I146" i="2"/>
  <c r="H146" i="2"/>
  <c r="G146" i="2"/>
  <c r="F146" i="2"/>
  <c r="E146" i="2"/>
  <c r="D146" i="2"/>
  <c r="C146" i="2"/>
  <c r="B146" i="2"/>
  <c r="A146" i="2"/>
  <c r="U145" i="2"/>
  <c r="N145" i="2"/>
  <c r="M145" i="2"/>
  <c r="J145" i="2"/>
  <c r="I145" i="2"/>
  <c r="H145" i="2"/>
  <c r="G145" i="2"/>
  <c r="F145" i="2"/>
  <c r="E145" i="2"/>
  <c r="D145" i="2"/>
  <c r="C145" i="2"/>
  <c r="B145" i="2"/>
  <c r="A145" i="2"/>
  <c r="U144" i="2"/>
  <c r="N144" i="2"/>
  <c r="M144" i="2"/>
  <c r="J144" i="2"/>
  <c r="I144" i="2"/>
  <c r="H144" i="2"/>
  <c r="G144" i="2"/>
  <c r="F144" i="2"/>
  <c r="E144" i="2"/>
  <c r="D144" i="2"/>
  <c r="C144" i="2"/>
  <c r="B144" i="2"/>
  <c r="A144" i="2"/>
  <c r="U143" i="2"/>
  <c r="N143" i="2"/>
  <c r="M143" i="2"/>
  <c r="J143" i="2"/>
  <c r="I143" i="2"/>
  <c r="H143" i="2"/>
  <c r="G143" i="2"/>
  <c r="F143" i="2"/>
  <c r="E143" i="2"/>
  <c r="D143" i="2"/>
  <c r="C143" i="2"/>
  <c r="B143" i="2"/>
  <c r="A143" i="2"/>
  <c r="U142" i="2"/>
  <c r="N142" i="2"/>
  <c r="M142" i="2"/>
  <c r="J142" i="2"/>
  <c r="I142" i="2"/>
  <c r="H142" i="2"/>
  <c r="G142" i="2"/>
  <c r="F142" i="2"/>
  <c r="E142" i="2"/>
  <c r="D142" i="2"/>
  <c r="C142" i="2"/>
  <c r="B142" i="2"/>
  <c r="A142" i="2"/>
  <c r="U141" i="2"/>
  <c r="N141" i="2"/>
  <c r="M141" i="2"/>
  <c r="J141" i="2"/>
  <c r="I141" i="2"/>
  <c r="H141" i="2"/>
  <c r="G141" i="2"/>
  <c r="F141" i="2"/>
  <c r="E141" i="2"/>
  <c r="D141" i="2"/>
  <c r="C141" i="2"/>
  <c r="B141" i="2"/>
  <c r="A141" i="2"/>
  <c r="U140" i="2"/>
  <c r="N140" i="2"/>
  <c r="M140" i="2"/>
  <c r="J140" i="2"/>
  <c r="I140" i="2"/>
  <c r="H140" i="2"/>
  <c r="G140" i="2"/>
  <c r="F140" i="2"/>
  <c r="E140" i="2"/>
  <c r="D140" i="2"/>
  <c r="C140" i="2"/>
  <c r="B140" i="2"/>
  <c r="A140" i="2"/>
  <c r="U139" i="2"/>
  <c r="N139" i="2"/>
  <c r="M139" i="2"/>
  <c r="J139" i="2"/>
  <c r="I139" i="2"/>
  <c r="H139" i="2"/>
  <c r="G139" i="2"/>
  <c r="F139" i="2"/>
  <c r="E139" i="2"/>
  <c r="D139" i="2"/>
  <c r="C139" i="2"/>
  <c r="B139" i="2"/>
  <c r="A139" i="2"/>
  <c r="U138" i="2"/>
  <c r="N138" i="2"/>
  <c r="M138" i="2"/>
  <c r="J138" i="2"/>
  <c r="I138" i="2"/>
  <c r="H138" i="2"/>
  <c r="G138" i="2"/>
  <c r="F138" i="2"/>
  <c r="E138" i="2"/>
  <c r="D138" i="2"/>
  <c r="C138" i="2"/>
  <c r="B138" i="2"/>
  <c r="A138" i="2"/>
  <c r="U137" i="2"/>
  <c r="N137" i="2"/>
  <c r="M137" i="2"/>
  <c r="J137" i="2"/>
  <c r="I137" i="2"/>
  <c r="H137" i="2"/>
  <c r="G137" i="2"/>
  <c r="F137" i="2"/>
  <c r="E137" i="2"/>
  <c r="D137" i="2"/>
  <c r="C137" i="2"/>
  <c r="B137" i="2"/>
  <c r="A137" i="2"/>
  <c r="Q136" i="2"/>
  <c r="U136" i="2" s="1"/>
  <c r="N136" i="2"/>
  <c r="M136" i="2"/>
  <c r="J136" i="2"/>
  <c r="I136" i="2"/>
  <c r="H136" i="2"/>
  <c r="G136" i="2"/>
  <c r="F136" i="2"/>
  <c r="E136" i="2"/>
  <c r="D136" i="2"/>
  <c r="C136" i="2"/>
  <c r="B136" i="2"/>
  <c r="A136" i="2"/>
  <c r="U135" i="2"/>
  <c r="N135" i="2"/>
  <c r="M135" i="2"/>
  <c r="J135" i="2"/>
  <c r="I135" i="2"/>
  <c r="H135" i="2"/>
  <c r="G135" i="2"/>
  <c r="F135" i="2"/>
  <c r="E135" i="2"/>
  <c r="D135" i="2"/>
  <c r="C135" i="2"/>
  <c r="B135" i="2"/>
  <c r="A135" i="2"/>
  <c r="U134" i="2"/>
  <c r="N134" i="2"/>
  <c r="M134" i="2"/>
  <c r="J134" i="2"/>
  <c r="I134" i="2"/>
  <c r="H134" i="2"/>
  <c r="G134" i="2"/>
  <c r="F134" i="2"/>
  <c r="E134" i="2"/>
  <c r="D134" i="2"/>
  <c r="C134" i="2"/>
  <c r="B134" i="2"/>
  <c r="A134" i="2"/>
  <c r="U133" i="2"/>
  <c r="N133" i="2"/>
  <c r="M133" i="2"/>
  <c r="J133" i="2"/>
  <c r="I133" i="2"/>
  <c r="H133" i="2"/>
  <c r="G133" i="2"/>
  <c r="F133" i="2"/>
  <c r="E133" i="2"/>
  <c r="D133" i="2"/>
  <c r="C133" i="2"/>
  <c r="B133" i="2"/>
  <c r="A133" i="2"/>
  <c r="U132" i="2"/>
  <c r="N132" i="2"/>
  <c r="M132" i="2"/>
  <c r="J132" i="2"/>
  <c r="I132" i="2"/>
  <c r="H132" i="2"/>
  <c r="G132" i="2"/>
  <c r="F132" i="2"/>
  <c r="E132" i="2"/>
  <c r="D132" i="2"/>
  <c r="C132" i="2"/>
  <c r="B132" i="2"/>
  <c r="A132" i="2"/>
  <c r="U131" i="2"/>
  <c r="N131" i="2"/>
  <c r="M131" i="2"/>
  <c r="J131" i="2"/>
  <c r="I131" i="2"/>
  <c r="H131" i="2"/>
  <c r="G131" i="2"/>
  <c r="F131" i="2"/>
  <c r="E131" i="2"/>
  <c r="D131" i="2"/>
  <c r="C131" i="2"/>
  <c r="B131" i="2"/>
  <c r="A131" i="2"/>
  <c r="U130" i="2"/>
  <c r="N130" i="2"/>
  <c r="M130" i="2"/>
  <c r="J130" i="2"/>
  <c r="I130" i="2"/>
  <c r="H130" i="2"/>
  <c r="G130" i="2"/>
  <c r="F130" i="2"/>
  <c r="E130" i="2"/>
  <c r="D130" i="2"/>
  <c r="C130" i="2"/>
  <c r="B130" i="2"/>
  <c r="A130" i="2"/>
  <c r="U129" i="2"/>
  <c r="N129" i="2"/>
  <c r="M129" i="2"/>
  <c r="J129" i="2"/>
  <c r="I129" i="2"/>
  <c r="H129" i="2"/>
  <c r="G129" i="2"/>
  <c r="F129" i="2"/>
  <c r="E129" i="2"/>
  <c r="D129" i="2"/>
  <c r="C129" i="2"/>
  <c r="B129" i="2"/>
  <c r="A129" i="2"/>
  <c r="U128" i="2"/>
  <c r="N128" i="2"/>
  <c r="M128" i="2"/>
  <c r="J128" i="2"/>
  <c r="I128" i="2"/>
  <c r="H128" i="2"/>
  <c r="G128" i="2"/>
  <c r="F128" i="2"/>
  <c r="E128" i="2"/>
  <c r="D128" i="2"/>
  <c r="C128" i="2"/>
  <c r="B128" i="2"/>
  <c r="A128" i="2"/>
  <c r="U127" i="2"/>
  <c r="N127" i="2"/>
  <c r="M127" i="2"/>
  <c r="J127" i="2"/>
  <c r="I127" i="2"/>
  <c r="H127" i="2"/>
  <c r="G127" i="2"/>
  <c r="F127" i="2"/>
  <c r="E127" i="2"/>
  <c r="D127" i="2"/>
  <c r="C127" i="2"/>
  <c r="B127" i="2"/>
  <c r="A127" i="2"/>
  <c r="U126" i="2"/>
  <c r="N126" i="2"/>
  <c r="M126" i="2"/>
  <c r="J126" i="2"/>
  <c r="I126" i="2"/>
  <c r="H126" i="2"/>
  <c r="G126" i="2"/>
  <c r="F126" i="2"/>
  <c r="E126" i="2"/>
  <c r="D126" i="2"/>
  <c r="C126" i="2"/>
  <c r="B126" i="2"/>
  <c r="A126" i="2"/>
  <c r="U125" i="2"/>
  <c r="N125" i="2"/>
  <c r="M125" i="2"/>
  <c r="J125" i="2"/>
  <c r="I125" i="2"/>
  <c r="H125" i="2"/>
  <c r="G125" i="2"/>
  <c r="F125" i="2"/>
  <c r="E125" i="2"/>
  <c r="D125" i="2"/>
  <c r="C125" i="2"/>
  <c r="B125" i="2"/>
  <c r="A125" i="2"/>
  <c r="U124" i="2"/>
  <c r="N124" i="2"/>
  <c r="M124" i="2"/>
  <c r="J124" i="2"/>
  <c r="I124" i="2"/>
  <c r="H124" i="2"/>
  <c r="G124" i="2"/>
  <c r="F124" i="2"/>
  <c r="E124" i="2"/>
  <c r="D124" i="2"/>
  <c r="C124" i="2"/>
  <c r="B124" i="2"/>
  <c r="A124" i="2"/>
  <c r="Q123" i="2"/>
  <c r="U123" i="2" s="1"/>
  <c r="N123" i="2"/>
  <c r="M123" i="2"/>
  <c r="J123" i="2"/>
  <c r="I123" i="2"/>
  <c r="H123" i="2"/>
  <c r="G123" i="2"/>
  <c r="F123" i="2"/>
  <c r="E123" i="2"/>
  <c r="D123" i="2"/>
  <c r="C123" i="2"/>
  <c r="B123" i="2"/>
  <c r="A123" i="2"/>
  <c r="U122" i="2"/>
  <c r="N122" i="2"/>
  <c r="M122" i="2"/>
  <c r="J122" i="2"/>
  <c r="I122" i="2"/>
  <c r="H122" i="2"/>
  <c r="G122" i="2"/>
  <c r="F122" i="2"/>
  <c r="E122" i="2"/>
  <c r="D122" i="2"/>
  <c r="C122" i="2"/>
  <c r="B122" i="2"/>
  <c r="A122" i="2"/>
  <c r="U121" i="2"/>
  <c r="N121" i="2"/>
  <c r="M121" i="2"/>
  <c r="J121" i="2"/>
  <c r="I121" i="2"/>
  <c r="H121" i="2"/>
  <c r="G121" i="2"/>
  <c r="F121" i="2"/>
  <c r="E121" i="2"/>
  <c r="D121" i="2"/>
  <c r="C121" i="2"/>
  <c r="B121" i="2"/>
  <c r="A121" i="2"/>
  <c r="U120" i="2"/>
  <c r="N120" i="2"/>
  <c r="M120" i="2"/>
  <c r="J120" i="2"/>
  <c r="I120" i="2"/>
  <c r="H120" i="2"/>
  <c r="G120" i="2"/>
  <c r="F120" i="2"/>
  <c r="E120" i="2"/>
  <c r="D120" i="2"/>
  <c r="C120" i="2"/>
  <c r="B120" i="2"/>
  <c r="A120" i="2"/>
  <c r="U119" i="2"/>
  <c r="N119" i="2"/>
  <c r="M119" i="2"/>
  <c r="J119" i="2"/>
  <c r="I119" i="2"/>
  <c r="H119" i="2"/>
  <c r="G119" i="2"/>
  <c r="F119" i="2"/>
  <c r="E119" i="2"/>
  <c r="D119" i="2"/>
  <c r="C119" i="2"/>
  <c r="B119" i="2"/>
  <c r="A119" i="2"/>
  <c r="U118" i="2"/>
  <c r="N118" i="2"/>
  <c r="M118" i="2"/>
  <c r="J118" i="2"/>
  <c r="I118" i="2"/>
  <c r="H118" i="2"/>
  <c r="G118" i="2"/>
  <c r="F118" i="2"/>
  <c r="E118" i="2"/>
  <c r="D118" i="2"/>
  <c r="C118" i="2"/>
  <c r="B118" i="2"/>
  <c r="A118" i="2"/>
  <c r="U117" i="2"/>
  <c r="N117" i="2"/>
  <c r="M117" i="2"/>
  <c r="J117" i="2"/>
  <c r="I117" i="2"/>
  <c r="H117" i="2"/>
  <c r="G117" i="2"/>
  <c r="F117" i="2"/>
  <c r="E117" i="2"/>
  <c r="D117" i="2"/>
  <c r="C117" i="2"/>
  <c r="B117" i="2"/>
  <c r="A117" i="2"/>
  <c r="U116" i="2"/>
  <c r="N116" i="2"/>
  <c r="M116" i="2"/>
  <c r="J116" i="2"/>
  <c r="I116" i="2"/>
  <c r="H116" i="2"/>
  <c r="G116" i="2"/>
  <c r="F116" i="2"/>
  <c r="E116" i="2"/>
  <c r="D116" i="2"/>
  <c r="C116" i="2"/>
  <c r="B116" i="2"/>
  <c r="A116" i="2"/>
  <c r="U115" i="2"/>
  <c r="N115" i="2"/>
  <c r="M115" i="2"/>
  <c r="J115" i="2"/>
  <c r="I115" i="2"/>
  <c r="H115" i="2"/>
  <c r="G115" i="2"/>
  <c r="F115" i="2"/>
  <c r="E115" i="2"/>
  <c r="D115" i="2"/>
  <c r="C115" i="2"/>
  <c r="B115" i="2"/>
  <c r="A115" i="2"/>
  <c r="U114" i="2"/>
  <c r="N114" i="2"/>
  <c r="M114" i="2"/>
  <c r="J114" i="2"/>
  <c r="I114" i="2"/>
  <c r="H114" i="2"/>
  <c r="G114" i="2"/>
  <c r="F114" i="2"/>
  <c r="E114" i="2"/>
  <c r="D114" i="2"/>
  <c r="C114" i="2"/>
  <c r="B114" i="2"/>
  <c r="A114" i="2"/>
  <c r="U113" i="2"/>
  <c r="N113" i="2"/>
  <c r="M113" i="2"/>
  <c r="J113" i="2"/>
  <c r="I113" i="2"/>
  <c r="H113" i="2"/>
  <c r="G113" i="2"/>
  <c r="F113" i="2"/>
  <c r="E113" i="2"/>
  <c r="D113" i="2"/>
  <c r="C113" i="2"/>
  <c r="B113" i="2"/>
  <c r="A113" i="2"/>
  <c r="U112" i="2"/>
  <c r="N112" i="2"/>
  <c r="M112" i="2"/>
  <c r="J112" i="2"/>
  <c r="I112" i="2"/>
  <c r="H112" i="2"/>
  <c r="G112" i="2"/>
  <c r="F112" i="2"/>
  <c r="E112" i="2"/>
  <c r="D112" i="2"/>
  <c r="C112" i="2"/>
  <c r="B112" i="2"/>
  <c r="A112" i="2"/>
  <c r="U111" i="2"/>
  <c r="N111" i="2"/>
  <c r="M111" i="2"/>
  <c r="J111" i="2"/>
  <c r="I111" i="2"/>
  <c r="H111" i="2"/>
  <c r="G111" i="2"/>
  <c r="F111" i="2"/>
  <c r="E111" i="2"/>
  <c r="D111" i="2"/>
  <c r="C111" i="2"/>
  <c r="B111" i="2"/>
  <c r="A111" i="2"/>
  <c r="U110" i="2"/>
  <c r="N110" i="2"/>
  <c r="M110" i="2"/>
  <c r="J110" i="2"/>
  <c r="I110" i="2"/>
  <c r="H110" i="2"/>
  <c r="G110" i="2"/>
  <c r="F110" i="2"/>
  <c r="E110" i="2"/>
  <c r="D110" i="2"/>
  <c r="C110" i="2"/>
  <c r="B110" i="2"/>
  <c r="A110" i="2"/>
  <c r="U109" i="2"/>
  <c r="N109" i="2"/>
  <c r="M109" i="2"/>
  <c r="J109" i="2"/>
  <c r="I109" i="2"/>
  <c r="H109" i="2"/>
  <c r="G109" i="2"/>
  <c r="F109" i="2"/>
  <c r="E109" i="2"/>
  <c r="D109" i="2"/>
  <c r="C109" i="2"/>
  <c r="B109" i="2"/>
  <c r="A109" i="2"/>
  <c r="Q108" i="2"/>
  <c r="U108" i="2" s="1"/>
  <c r="N108" i="2"/>
  <c r="M108" i="2"/>
  <c r="J108" i="2"/>
  <c r="I108" i="2"/>
  <c r="H108" i="2"/>
  <c r="G108" i="2"/>
  <c r="F108" i="2"/>
  <c r="E108" i="2"/>
  <c r="D108" i="2"/>
  <c r="C108" i="2"/>
  <c r="B108" i="2"/>
  <c r="A108" i="2"/>
  <c r="U107" i="2"/>
  <c r="N107" i="2"/>
  <c r="M107" i="2"/>
  <c r="J107" i="2"/>
  <c r="I107" i="2"/>
  <c r="H107" i="2"/>
  <c r="G107" i="2"/>
  <c r="F107" i="2"/>
  <c r="E107" i="2"/>
  <c r="D107" i="2"/>
  <c r="C107" i="2"/>
  <c r="B107" i="2"/>
  <c r="A107" i="2"/>
  <c r="U106" i="2"/>
  <c r="N106" i="2"/>
  <c r="M106" i="2"/>
  <c r="J106" i="2"/>
  <c r="I106" i="2"/>
  <c r="H106" i="2"/>
  <c r="G106" i="2"/>
  <c r="F106" i="2"/>
  <c r="E106" i="2"/>
  <c r="D106" i="2"/>
  <c r="C106" i="2"/>
  <c r="B106" i="2"/>
  <c r="A106" i="2"/>
  <c r="Q105" i="2"/>
  <c r="U105" i="2" s="1"/>
  <c r="N105" i="2"/>
  <c r="M105" i="2"/>
  <c r="J105" i="2"/>
  <c r="I105" i="2"/>
  <c r="H105" i="2"/>
  <c r="G105" i="2"/>
  <c r="F105" i="2"/>
  <c r="E105" i="2"/>
  <c r="D105" i="2"/>
  <c r="C105" i="2"/>
  <c r="B105" i="2"/>
  <c r="A105" i="2"/>
  <c r="Q104" i="2"/>
  <c r="U104" i="2" s="1"/>
  <c r="N104" i="2"/>
  <c r="M104" i="2"/>
  <c r="J104" i="2"/>
  <c r="I104" i="2"/>
  <c r="H104" i="2"/>
  <c r="G104" i="2"/>
  <c r="F104" i="2"/>
  <c r="E104" i="2"/>
  <c r="D104" i="2"/>
  <c r="C104" i="2"/>
  <c r="B104" i="2"/>
  <c r="A104" i="2"/>
  <c r="Q103" i="2"/>
  <c r="U103" i="2" s="1"/>
  <c r="N103" i="2"/>
  <c r="M103" i="2"/>
  <c r="J103" i="2"/>
  <c r="I103" i="2"/>
  <c r="H103" i="2"/>
  <c r="G103" i="2"/>
  <c r="F103" i="2"/>
  <c r="E103" i="2"/>
  <c r="D103" i="2"/>
  <c r="C103" i="2"/>
  <c r="B103" i="2"/>
  <c r="A103" i="2"/>
  <c r="Q102" i="2"/>
  <c r="U102" i="2" s="1"/>
  <c r="N102" i="2"/>
  <c r="M102" i="2"/>
  <c r="J102" i="2"/>
  <c r="I102" i="2"/>
  <c r="H102" i="2"/>
  <c r="G102" i="2"/>
  <c r="F102" i="2"/>
  <c r="E102" i="2"/>
  <c r="D102" i="2"/>
  <c r="C102" i="2"/>
  <c r="B102" i="2"/>
  <c r="A102" i="2"/>
  <c r="Q101" i="2"/>
  <c r="U101" i="2" s="1"/>
  <c r="N101" i="2"/>
  <c r="M101" i="2"/>
  <c r="J101" i="2"/>
  <c r="I101" i="2"/>
  <c r="H101" i="2"/>
  <c r="G101" i="2"/>
  <c r="F101" i="2"/>
  <c r="E101" i="2"/>
  <c r="D101" i="2"/>
  <c r="C101" i="2"/>
  <c r="B101" i="2"/>
  <c r="A101" i="2"/>
  <c r="U100" i="2"/>
  <c r="N100" i="2"/>
  <c r="M100" i="2"/>
  <c r="J100" i="2"/>
  <c r="I100" i="2"/>
  <c r="H100" i="2"/>
  <c r="G100" i="2"/>
  <c r="F100" i="2"/>
  <c r="E100" i="2"/>
  <c r="D100" i="2"/>
  <c r="C100" i="2"/>
  <c r="B100" i="2"/>
  <c r="A100" i="2"/>
  <c r="Q99" i="2"/>
  <c r="U99" i="2" s="1"/>
  <c r="N99" i="2"/>
  <c r="M99" i="2"/>
  <c r="J99" i="2"/>
  <c r="I99" i="2"/>
  <c r="H99" i="2"/>
  <c r="G99" i="2"/>
  <c r="F99" i="2"/>
  <c r="E99" i="2"/>
  <c r="D99" i="2"/>
  <c r="C99" i="2"/>
  <c r="B99" i="2"/>
  <c r="A99" i="2"/>
  <c r="U98" i="2"/>
  <c r="N98" i="2"/>
  <c r="M98" i="2"/>
  <c r="J98" i="2"/>
  <c r="I98" i="2"/>
  <c r="H98" i="2"/>
  <c r="G98" i="2"/>
  <c r="F98" i="2"/>
  <c r="E98" i="2"/>
  <c r="D98" i="2"/>
  <c r="C98" i="2"/>
  <c r="B98" i="2"/>
  <c r="A98" i="2"/>
  <c r="U97" i="2"/>
  <c r="N97" i="2"/>
  <c r="M97" i="2"/>
  <c r="J97" i="2"/>
  <c r="I97" i="2"/>
  <c r="H97" i="2"/>
  <c r="G97" i="2"/>
  <c r="F97" i="2"/>
  <c r="E97" i="2"/>
  <c r="D97" i="2"/>
  <c r="C97" i="2"/>
  <c r="B97" i="2"/>
  <c r="A97" i="2"/>
  <c r="U96" i="2"/>
  <c r="N96" i="2"/>
  <c r="M96" i="2"/>
  <c r="J96" i="2"/>
  <c r="I96" i="2"/>
  <c r="H96" i="2"/>
  <c r="G96" i="2"/>
  <c r="F96" i="2"/>
  <c r="E96" i="2"/>
  <c r="D96" i="2"/>
  <c r="C96" i="2"/>
  <c r="B96" i="2"/>
  <c r="A96" i="2"/>
  <c r="U95" i="2"/>
  <c r="N95" i="2"/>
  <c r="M95" i="2"/>
  <c r="J95" i="2"/>
  <c r="I95" i="2"/>
  <c r="H95" i="2"/>
  <c r="G95" i="2"/>
  <c r="F95" i="2"/>
  <c r="E95" i="2"/>
  <c r="D95" i="2"/>
  <c r="C95" i="2"/>
  <c r="B95" i="2"/>
  <c r="A95" i="2"/>
  <c r="U94" i="2"/>
  <c r="N94" i="2"/>
  <c r="M94" i="2"/>
  <c r="J94" i="2"/>
  <c r="I94" i="2"/>
  <c r="H94" i="2"/>
  <c r="G94" i="2"/>
  <c r="F94" i="2"/>
  <c r="E94" i="2"/>
  <c r="D94" i="2"/>
  <c r="C94" i="2"/>
  <c r="B94" i="2"/>
  <c r="A94" i="2"/>
  <c r="U93" i="2"/>
  <c r="N93" i="2"/>
  <c r="M93" i="2"/>
  <c r="J93" i="2"/>
  <c r="I93" i="2"/>
  <c r="H93" i="2"/>
  <c r="G93" i="2"/>
  <c r="F93" i="2"/>
  <c r="E93" i="2"/>
  <c r="D93" i="2"/>
  <c r="C93" i="2"/>
  <c r="B93" i="2"/>
  <c r="A93" i="2"/>
  <c r="U92" i="2"/>
  <c r="N92" i="2"/>
  <c r="M92" i="2"/>
  <c r="J92" i="2"/>
  <c r="I92" i="2"/>
  <c r="H92" i="2"/>
  <c r="G92" i="2"/>
  <c r="F92" i="2"/>
  <c r="E92" i="2"/>
  <c r="D92" i="2"/>
  <c r="C92" i="2"/>
  <c r="B92" i="2"/>
  <c r="A92" i="2"/>
  <c r="U91" i="2"/>
  <c r="N91" i="2"/>
  <c r="M91" i="2"/>
  <c r="J91" i="2"/>
  <c r="I91" i="2"/>
  <c r="H91" i="2"/>
  <c r="G91" i="2"/>
  <c r="F91" i="2"/>
  <c r="E91" i="2"/>
  <c r="D91" i="2"/>
  <c r="C91" i="2"/>
  <c r="B91" i="2"/>
  <c r="A91" i="2"/>
  <c r="U90" i="2"/>
  <c r="N90" i="2"/>
  <c r="M90" i="2"/>
  <c r="J90" i="2"/>
  <c r="I90" i="2"/>
  <c r="H90" i="2"/>
  <c r="G90" i="2"/>
  <c r="F90" i="2"/>
  <c r="E90" i="2"/>
  <c r="D90" i="2"/>
  <c r="C90" i="2"/>
  <c r="B90" i="2"/>
  <c r="A90" i="2"/>
  <c r="U89" i="2"/>
  <c r="N89" i="2"/>
  <c r="M89" i="2"/>
  <c r="J89" i="2"/>
  <c r="I89" i="2"/>
  <c r="H89" i="2"/>
  <c r="G89" i="2"/>
  <c r="F89" i="2"/>
  <c r="E89" i="2"/>
  <c r="D89" i="2"/>
  <c r="C89" i="2"/>
  <c r="B89" i="2"/>
  <c r="A89" i="2"/>
  <c r="U88" i="2"/>
  <c r="N88" i="2"/>
  <c r="M88" i="2"/>
  <c r="J88" i="2"/>
  <c r="I88" i="2"/>
  <c r="H88" i="2"/>
  <c r="G88" i="2"/>
  <c r="F88" i="2"/>
  <c r="E88" i="2"/>
  <c r="D88" i="2"/>
  <c r="C88" i="2"/>
  <c r="B88" i="2"/>
  <c r="A88" i="2"/>
  <c r="U87" i="2"/>
  <c r="N87" i="2"/>
  <c r="M87" i="2"/>
  <c r="J87" i="2"/>
  <c r="I87" i="2"/>
  <c r="H87" i="2"/>
  <c r="G87" i="2"/>
  <c r="F87" i="2"/>
  <c r="E87" i="2"/>
  <c r="D87" i="2"/>
  <c r="C87" i="2"/>
  <c r="B87" i="2"/>
  <c r="A87" i="2"/>
  <c r="U86" i="2"/>
  <c r="N86" i="2"/>
  <c r="M86" i="2"/>
  <c r="J86" i="2"/>
  <c r="I86" i="2"/>
  <c r="H86" i="2"/>
  <c r="G86" i="2"/>
  <c r="F86" i="2"/>
  <c r="E86" i="2"/>
  <c r="D86" i="2"/>
  <c r="C86" i="2"/>
  <c r="B86" i="2"/>
  <c r="A86" i="2"/>
  <c r="U85" i="2"/>
  <c r="N85" i="2"/>
  <c r="M85" i="2"/>
  <c r="J85" i="2"/>
  <c r="I85" i="2"/>
  <c r="H85" i="2"/>
  <c r="G85" i="2"/>
  <c r="F85" i="2"/>
  <c r="E85" i="2"/>
  <c r="D85" i="2"/>
  <c r="C85" i="2"/>
  <c r="B85" i="2"/>
  <c r="A85" i="2"/>
  <c r="U84" i="2"/>
  <c r="N84" i="2"/>
  <c r="M84" i="2"/>
  <c r="J84" i="2"/>
  <c r="I84" i="2"/>
  <c r="H84" i="2"/>
  <c r="G84" i="2"/>
  <c r="F84" i="2"/>
  <c r="E84" i="2"/>
  <c r="D84" i="2"/>
  <c r="C84" i="2"/>
  <c r="B84" i="2"/>
  <c r="A84" i="2"/>
  <c r="U83" i="2"/>
  <c r="N83" i="2"/>
  <c r="M83" i="2"/>
  <c r="J83" i="2"/>
  <c r="I83" i="2"/>
  <c r="H83" i="2"/>
  <c r="G83" i="2"/>
  <c r="F83" i="2"/>
  <c r="E83" i="2"/>
  <c r="D83" i="2"/>
  <c r="C83" i="2"/>
  <c r="B83" i="2"/>
  <c r="A83" i="2"/>
  <c r="Q82" i="2"/>
  <c r="U82" i="2" s="1"/>
  <c r="N82" i="2"/>
  <c r="M82" i="2"/>
  <c r="J82" i="2"/>
  <c r="I82" i="2"/>
  <c r="H82" i="2"/>
  <c r="G82" i="2"/>
  <c r="F82" i="2"/>
  <c r="E82" i="2"/>
  <c r="D82" i="2"/>
  <c r="C82" i="2"/>
  <c r="B82" i="2"/>
  <c r="A82" i="2"/>
  <c r="U81" i="2"/>
  <c r="N81" i="2"/>
  <c r="M81" i="2"/>
  <c r="J81" i="2"/>
  <c r="I81" i="2"/>
  <c r="H81" i="2"/>
  <c r="G81" i="2"/>
  <c r="F81" i="2"/>
  <c r="E81" i="2"/>
  <c r="D81" i="2"/>
  <c r="C81" i="2"/>
  <c r="B81" i="2"/>
  <c r="A81" i="2"/>
  <c r="U80" i="2"/>
  <c r="N80" i="2"/>
  <c r="M80" i="2"/>
  <c r="J80" i="2"/>
  <c r="I80" i="2"/>
  <c r="H80" i="2"/>
  <c r="G80" i="2"/>
  <c r="F80" i="2"/>
  <c r="E80" i="2"/>
  <c r="D80" i="2"/>
  <c r="C80" i="2"/>
  <c r="B80" i="2"/>
  <c r="A80" i="2"/>
  <c r="U79" i="2"/>
  <c r="N79" i="2"/>
  <c r="M79" i="2"/>
  <c r="J79" i="2"/>
  <c r="I79" i="2"/>
  <c r="H79" i="2"/>
  <c r="G79" i="2"/>
  <c r="F79" i="2"/>
  <c r="E79" i="2"/>
  <c r="D79" i="2"/>
  <c r="C79" i="2"/>
  <c r="B79" i="2"/>
  <c r="A79" i="2"/>
  <c r="U78" i="2"/>
  <c r="N78" i="2"/>
  <c r="M78" i="2"/>
  <c r="J78" i="2"/>
  <c r="I78" i="2"/>
  <c r="H78" i="2"/>
  <c r="G78" i="2"/>
  <c r="F78" i="2"/>
  <c r="E78" i="2"/>
  <c r="D78" i="2"/>
  <c r="C78" i="2"/>
  <c r="B78" i="2"/>
  <c r="A78" i="2"/>
  <c r="U77" i="2"/>
  <c r="N77" i="2"/>
  <c r="M77" i="2"/>
  <c r="J77" i="2"/>
  <c r="I77" i="2"/>
  <c r="H77" i="2"/>
  <c r="G77" i="2"/>
  <c r="F77" i="2"/>
  <c r="E77" i="2"/>
  <c r="D77" i="2"/>
  <c r="C77" i="2"/>
  <c r="B77" i="2"/>
  <c r="A77" i="2"/>
  <c r="U76" i="2"/>
  <c r="N76" i="2"/>
  <c r="M76" i="2"/>
  <c r="J76" i="2"/>
  <c r="I76" i="2"/>
  <c r="H76" i="2"/>
  <c r="G76" i="2"/>
  <c r="F76" i="2"/>
  <c r="E76" i="2"/>
  <c r="D76" i="2"/>
  <c r="C76" i="2"/>
  <c r="B76" i="2"/>
  <c r="A76" i="2"/>
  <c r="U75" i="2"/>
  <c r="N75" i="2"/>
  <c r="M75" i="2"/>
  <c r="J75" i="2"/>
  <c r="I75" i="2"/>
  <c r="H75" i="2"/>
  <c r="G75" i="2"/>
  <c r="F75" i="2"/>
  <c r="E75" i="2"/>
  <c r="D75" i="2"/>
  <c r="C75" i="2"/>
  <c r="B75" i="2"/>
  <c r="A75" i="2"/>
  <c r="U74" i="2"/>
  <c r="N74" i="2"/>
  <c r="M74" i="2"/>
  <c r="J74" i="2"/>
  <c r="I74" i="2"/>
  <c r="H74" i="2"/>
  <c r="G74" i="2"/>
  <c r="F74" i="2"/>
  <c r="E74" i="2"/>
  <c r="D74" i="2"/>
  <c r="C74" i="2"/>
  <c r="B74" i="2"/>
  <c r="A74" i="2"/>
  <c r="U73" i="2"/>
  <c r="N73" i="2"/>
  <c r="M73" i="2"/>
  <c r="J73" i="2"/>
  <c r="I73" i="2"/>
  <c r="H73" i="2"/>
  <c r="G73" i="2"/>
  <c r="F73" i="2"/>
  <c r="E73" i="2"/>
  <c r="D73" i="2"/>
  <c r="C73" i="2"/>
  <c r="B73" i="2"/>
  <c r="A73" i="2"/>
  <c r="U72" i="2"/>
  <c r="N72" i="2"/>
  <c r="M72" i="2"/>
  <c r="J72" i="2"/>
  <c r="I72" i="2"/>
  <c r="H72" i="2"/>
  <c r="G72" i="2"/>
  <c r="F72" i="2"/>
  <c r="E72" i="2"/>
  <c r="D72" i="2"/>
  <c r="C72" i="2"/>
  <c r="B72" i="2"/>
  <c r="A72" i="2"/>
  <c r="U71" i="2"/>
  <c r="N71" i="2"/>
  <c r="M71" i="2"/>
  <c r="J71" i="2"/>
  <c r="I71" i="2"/>
  <c r="H71" i="2"/>
  <c r="G71" i="2"/>
  <c r="F71" i="2"/>
  <c r="E71" i="2"/>
  <c r="D71" i="2"/>
  <c r="C71" i="2"/>
  <c r="B71" i="2"/>
  <c r="A71" i="2"/>
  <c r="U70" i="2"/>
  <c r="N70" i="2"/>
  <c r="M70" i="2"/>
  <c r="J70" i="2"/>
  <c r="I70" i="2"/>
  <c r="H70" i="2"/>
  <c r="G70" i="2"/>
  <c r="F70" i="2"/>
  <c r="E70" i="2"/>
  <c r="D70" i="2"/>
  <c r="C70" i="2"/>
  <c r="B70" i="2"/>
  <c r="A70" i="2"/>
  <c r="U69" i="2"/>
  <c r="N69" i="2"/>
  <c r="M69" i="2"/>
  <c r="J69" i="2"/>
  <c r="I69" i="2"/>
  <c r="H69" i="2"/>
  <c r="G69" i="2"/>
  <c r="F69" i="2"/>
  <c r="E69" i="2"/>
  <c r="D69" i="2"/>
  <c r="C69" i="2"/>
  <c r="B69" i="2"/>
  <c r="A69" i="2"/>
  <c r="U68" i="2"/>
  <c r="N68" i="2"/>
  <c r="M68" i="2"/>
  <c r="J68" i="2"/>
  <c r="I68" i="2"/>
  <c r="H68" i="2"/>
  <c r="G68" i="2"/>
  <c r="F68" i="2"/>
  <c r="E68" i="2"/>
  <c r="D68" i="2"/>
  <c r="C68" i="2"/>
  <c r="B68" i="2"/>
  <c r="A68" i="2"/>
  <c r="U67" i="2"/>
  <c r="N67" i="2"/>
  <c r="M67" i="2"/>
  <c r="J67" i="2"/>
  <c r="I67" i="2"/>
  <c r="H67" i="2"/>
  <c r="G67" i="2"/>
  <c r="F67" i="2"/>
  <c r="E67" i="2"/>
  <c r="D67" i="2"/>
  <c r="C67" i="2"/>
  <c r="B67" i="2"/>
  <c r="A67" i="2"/>
  <c r="U66" i="2"/>
  <c r="N66" i="2"/>
  <c r="M66" i="2"/>
  <c r="J66" i="2"/>
  <c r="I66" i="2"/>
  <c r="H66" i="2"/>
  <c r="G66" i="2"/>
  <c r="F66" i="2"/>
  <c r="E66" i="2"/>
  <c r="D66" i="2"/>
  <c r="C66" i="2"/>
  <c r="B66" i="2"/>
  <c r="A66" i="2"/>
  <c r="Q65" i="2"/>
  <c r="U65" i="2" s="1"/>
  <c r="N65" i="2"/>
  <c r="M65" i="2"/>
  <c r="J65" i="2"/>
  <c r="I65" i="2"/>
  <c r="H65" i="2"/>
  <c r="G65" i="2"/>
  <c r="F65" i="2"/>
  <c r="E65" i="2"/>
  <c r="D65" i="2"/>
  <c r="C65" i="2"/>
  <c r="B65" i="2"/>
  <c r="A65" i="2"/>
  <c r="U64" i="2"/>
  <c r="N64" i="2"/>
  <c r="M64" i="2"/>
  <c r="J64" i="2"/>
  <c r="I64" i="2"/>
  <c r="H64" i="2"/>
  <c r="G64" i="2"/>
  <c r="F64" i="2"/>
  <c r="E64" i="2"/>
  <c r="D64" i="2"/>
  <c r="C64" i="2"/>
  <c r="B64" i="2"/>
  <c r="A64" i="2"/>
  <c r="U63" i="2"/>
  <c r="N63" i="2"/>
  <c r="M63" i="2"/>
  <c r="J63" i="2"/>
  <c r="I63" i="2"/>
  <c r="H63" i="2"/>
  <c r="G63" i="2"/>
  <c r="F63" i="2"/>
  <c r="E63" i="2"/>
  <c r="D63" i="2"/>
  <c r="C63" i="2"/>
  <c r="B63" i="2"/>
  <c r="A63" i="2"/>
  <c r="U62" i="2"/>
  <c r="N62" i="2"/>
  <c r="M62" i="2"/>
  <c r="J62" i="2"/>
  <c r="I62" i="2"/>
  <c r="H62" i="2"/>
  <c r="G62" i="2"/>
  <c r="F62" i="2"/>
  <c r="E62" i="2"/>
  <c r="D62" i="2"/>
  <c r="C62" i="2"/>
  <c r="B62" i="2"/>
  <c r="A62" i="2"/>
  <c r="U61" i="2"/>
  <c r="N61" i="2"/>
  <c r="M61" i="2"/>
  <c r="J61" i="2"/>
  <c r="I61" i="2"/>
  <c r="H61" i="2"/>
  <c r="G61" i="2"/>
  <c r="F61" i="2"/>
  <c r="E61" i="2"/>
  <c r="D61" i="2"/>
  <c r="C61" i="2"/>
  <c r="B61" i="2"/>
  <c r="A61" i="2"/>
  <c r="U60" i="2"/>
  <c r="N60" i="2"/>
  <c r="M60" i="2"/>
  <c r="J60" i="2"/>
  <c r="I60" i="2"/>
  <c r="H60" i="2"/>
  <c r="G60" i="2"/>
  <c r="F60" i="2"/>
  <c r="E60" i="2"/>
  <c r="D60" i="2"/>
  <c r="C60" i="2"/>
  <c r="B60" i="2"/>
  <c r="A60" i="2"/>
  <c r="U59" i="2"/>
  <c r="N59" i="2"/>
  <c r="M59" i="2"/>
  <c r="J59" i="2"/>
  <c r="I59" i="2"/>
  <c r="H59" i="2"/>
  <c r="G59" i="2"/>
  <c r="F59" i="2"/>
  <c r="E59" i="2"/>
  <c r="D59" i="2"/>
  <c r="C59" i="2"/>
  <c r="B59" i="2"/>
  <c r="A59" i="2"/>
  <c r="U58" i="2"/>
  <c r="N58" i="2"/>
  <c r="M58" i="2"/>
  <c r="J58" i="2"/>
  <c r="I58" i="2"/>
  <c r="H58" i="2"/>
  <c r="G58" i="2"/>
  <c r="F58" i="2"/>
  <c r="E58" i="2"/>
  <c r="D58" i="2"/>
  <c r="C58" i="2"/>
  <c r="B58" i="2"/>
  <c r="A58" i="2"/>
  <c r="U57" i="2"/>
  <c r="N57" i="2"/>
  <c r="M57" i="2"/>
  <c r="J57" i="2"/>
  <c r="I57" i="2"/>
  <c r="H57" i="2"/>
  <c r="G57" i="2"/>
  <c r="F57" i="2"/>
  <c r="E57" i="2"/>
  <c r="D57" i="2"/>
  <c r="C57" i="2"/>
  <c r="B57" i="2"/>
  <c r="A57" i="2"/>
  <c r="U56" i="2"/>
  <c r="N56" i="2"/>
  <c r="M56" i="2"/>
  <c r="J56" i="2"/>
  <c r="I56" i="2"/>
  <c r="H56" i="2"/>
  <c r="G56" i="2"/>
  <c r="F56" i="2"/>
  <c r="E56" i="2"/>
  <c r="D56" i="2"/>
  <c r="C56" i="2"/>
  <c r="B56" i="2"/>
  <c r="A56" i="2"/>
  <c r="U55" i="2"/>
  <c r="N55" i="2"/>
  <c r="M55" i="2"/>
  <c r="J55" i="2"/>
  <c r="I55" i="2"/>
  <c r="H55" i="2"/>
  <c r="G55" i="2"/>
  <c r="F55" i="2"/>
  <c r="E55" i="2"/>
  <c r="D55" i="2"/>
  <c r="C55" i="2"/>
  <c r="B55" i="2"/>
  <c r="A55" i="2"/>
  <c r="U54" i="2"/>
  <c r="N54" i="2"/>
  <c r="M54" i="2"/>
  <c r="J54" i="2"/>
  <c r="I54" i="2"/>
  <c r="H54" i="2"/>
  <c r="G54" i="2"/>
  <c r="F54" i="2"/>
  <c r="E54" i="2"/>
  <c r="D54" i="2"/>
  <c r="C54" i="2"/>
  <c r="B54" i="2"/>
  <c r="A54" i="2"/>
  <c r="U53" i="2"/>
  <c r="N53" i="2"/>
  <c r="M53" i="2"/>
  <c r="J53" i="2"/>
  <c r="I53" i="2"/>
  <c r="H53" i="2"/>
  <c r="G53" i="2"/>
  <c r="F53" i="2"/>
  <c r="E53" i="2"/>
  <c r="D53" i="2"/>
  <c r="C53" i="2"/>
  <c r="B53" i="2"/>
  <c r="A53" i="2"/>
  <c r="U52" i="2"/>
  <c r="N52" i="2"/>
  <c r="M52" i="2"/>
  <c r="J52" i="2"/>
  <c r="I52" i="2"/>
  <c r="H52" i="2"/>
  <c r="G52" i="2"/>
  <c r="F52" i="2"/>
  <c r="E52" i="2"/>
  <c r="D52" i="2"/>
  <c r="C52" i="2"/>
  <c r="B52" i="2"/>
  <c r="A52" i="2"/>
  <c r="U51" i="2"/>
  <c r="N51" i="2"/>
  <c r="M51" i="2"/>
  <c r="J51" i="2"/>
  <c r="I51" i="2"/>
  <c r="H51" i="2"/>
  <c r="G51" i="2"/>
  <c r="F51" i="2"/>
  <c r="E51" i="2"/>
  <c r="D51" i="2"/>
  <c r="C51" i="2"/>
  <c r="B51" i="2"/>
  <c r="A51" i="2"/>
  <c r="U50" i="2"/>
  <c r="N50" i="2"/>
  <c r="M50" i="2"/>
  <c r="J50" i="2"/>
  <c r="I50" i="2"/>
  <c r="H50" i="2"/>
  <c r="G50" i="2"/>
  <c r="F50" i="2"/>
  <c r="E50" i="2"/>
  <c r="D50" i="2"/>
  <c r="C50" i="2"/>
  <c r="B50" i="2"/>
  <c r="A50" i="2"/>
  <c r="U49" i="2"/>
  <c r="N49" i="2"/>
  <c r="M49" i="2"/>
  <c r="J49" i="2"/>
  <c r="I49" i="2"/>
  <c r="H49" i="2"/>
  <c r="G49" i="2"/>
  <c r="F49" i="2"/>
  <c r="E49" i="2"/>
  <c r="D49" i="2"/>
  <c r="C49" i="2"/>
  <c r="B49" i="2"/>
  <c r="A49" i="2"/>
  <c r="U48" i="2"/>
  <c r="N48" i="2"/>
  <c r="M48" i="2"/>
  <c r="J48" i="2"/>
  <c r="I48" i="2"/>
  <c r="H48" i="2"/>
  <c r="G48" i="2"/>
  <c r="F48" i="2"/>
  <c r="E48" i="2"/>
  <c r="D48" i="2"/>
  <c r="C48" i="2"/>
  <c r="B48" i="2"/>
  <c r="A48" i="2"/>
  <c r="U47" i="2"/>
  <c r="N47" i="2"/>
  <c r="M47" i="2"/>
  <c r="J47" i="2"/>
  <c r="I47" i="2"/>
  <c r="H47" i="2"/>
  <c r="G47" i="2"/>
  <c r="F47" i="2"/>
  <c r="E47" i="2"/>
  <c r="D47" i="2"/>
  <c r="C47" i="2"/>
  <c r="B47" i="2"/>
  <c r="A47" i="2"/>
  <c r="U46" i="2"/>
  <c r="N46" i="2"/>
  <c r="M46" i="2"/>
  <c r="J46" i="2"/>
  <c r="I46" i="2"/>
  <c r="H46" i="2"/>
  <c r="G46" i="2"/>
  <c r="F46" i="2"/>
  <c r="E46" i="2"/>
  <c r="D46" i="2"/>
  <c r="C46" i="2"/>
  <c r="B46" i="2"/>
  <c r="A46" i="2"/>
  <c r="U45" i="2"/>
  <c r="N45" i="2"/>
  <c r="M45" i="2"/>
  <c r="J45" i="2"/>
  <c r="I45" i="2"/>
  <c r="H45" i="2"/>
  <c r="G45" i="2"/>
  <c r="F45" i="2"/>
  <c r="E45" i="2"/>
  <c r="D45" i="2"/>
  <c r="C45" i="2"/>
  <c r="B45" i="2"/>
  <c r="A45" i="2"/>
  <c r="U44" i="2"/>
  <c r="N44" i="2"/>
  <c r="M44" i="2"/>
  <c r="J44" i="2"/>
  <c r="I44" i="2"/>
  <c r="H44" i="2"/>
  <c r="G44" i="2"/>
  <c r="F44" i="2"/>
  <c r="E44" i="2"/>
  <c r="D44" i="2"/>
  <c r="C44" i="2"/>
  <c r="B44" i="2"/>
  <c r="A44" i="2"/>
  <c r="U43" i="2"/>
  <c r="N43" i="2"/>
  <c r="M43" i="2"/>
  <c r="J43" i="2"/>
  <c r="I43" i="2"/>
  <c r="H43" i="2"/>
  <c r="G43" i="2"/>
  <c r="F43" i="2"/>
  <c r="E43" i="2"/>
  <c r="D43" i="2"/>
  <c r="C43" i="2"/>
  <c r="B43" i="2"/>
  <c r="A43" i="2"/>
  <c r="U42" i="2"/>
  <c r="N42" i="2"/>
  <c r="M42" i="2"/>
  <c r="J42" i="2"/>
  <c r="I42" i="2"/>
  <c r="H42" i="2"/>
  <c r="G42" i="2"/>
  <c r="F42" i="2"/>
  <c r="E42" i="2"/>
  <c r="D42" i="2"/>
  <c r="C42" i="2"/>
  <c r="B42" i="2"/>
  <c r="A42" i="2"/>
  <c r="U41" i="2"/>
  <c r="N41" i="2"/>
  <c r="M41" i="2"/>
  <c r="J41" i="2"/>
  <c r="I41" i="2"/>
  <c r="H41" i="2"/>
  <c r="G41" i="2"/>
  <c r="F41" i="2"/>
  <c r="E41" i="2"/>
  <c r="D41" i="2"/>
  <c r="C41" i="2"/>
  <c r="B41" i="2"/>
  <c r="A41" i="2"/>
  <c r="U40" i="2"/>
  <c r="N40" i="2"/>
  <c r="M40" i="2"/>
  <c r="J40" i="2"/>
  <c r="I40" i="2"/>
  <c r="H40" i="2"/>
  <c r="G40" i="2"/>
  <c r="F40" i="2"/>
  <c r="E40" i="2"/>
  <c r="D40" i="2"/>
  <c r="C40" i="2"/>
  <c r="B40" i="2"/>
  <c r="A40" i="2"/>
  <c r="U39" i="2"/>
  <c r="N39" i="2"/>
  <c r="M39" i="2"/>
  <c r="J39" i="2"/>
  <c r="I39" i="2"/>
  <c r="H39" i="2"/>
  <c r="G39" i="2"/>
  <c r="F39" i="2"/>
  <c r="E39" i="2"/>
  <c r="D39" i="2"/>
  <c r="C39" i="2"/>
  <c r="B39" i="2"/>
  <c r="A39" i="2"/>
  <c r="Q38" i="2"/>
  <c r="U38" i="2" s="1"/>
  <c r="N38" i="2"/>
  <c r="M38" i="2"/>
  <c r="J38" i="2"/>
  <c r="I38" i="2"/>
  <c r="H38" i="2"/>
  <c r="G38" i="2"/>
  <c r="F38" i="2"/>
  <c r="E38" i="2"/>
  <c r="D38" i="2"/>
  <c r="C38" i="2"/>
  <c r="B38" i="2"/>
  <c r="A38" i="2"/>
  <c r="U37" i="2"/>
  <c r="N37" i="2"/>
  <c r="M37" i="2"/>
  <c r="J37" i="2"/>
  <c r="I37" i="2"/>
  <c r="H37" i="2"/>
  <c r="G37" i="2"/>
  <c r="F37" i="2"/>
  <c r="E37" i="2"/>
  <c r="D37" i="2"/>
  <c r="C37" i="2"/>
  <c r="B37" i="2"/>
  <c r="A37" i="2"/>
  <c r="U36" i="2"/>
  <c r="N36" i="2"/>
  <c r="M36" i="2"/>
  <c r="J36" i="2"/>
  <c r="I36" i="2"/>
  <c r="H36" i="2"/>
  <c r="G36" i="2"/>
  <c r="F36" i="2"/>
  <c r="E36" i="2"/>
  <c r="D36" i="2"/>
  <c r="C36" i="2"/>
  <c r="B36" i="2"/>
  <c r="A36" i="2"/>
  <c r="U35" i="2"/>
  <c r="N35" i="2"/>
  <c r="M35" i="2"/>
  <c r="J35" i="2"/>
  <c r="I35" i="2"/>
  <c r="H35" i="2"/>
  <c r="G35" i="2"/>
  <c r="F35" i="2"/>
  <c r="E35" i="2"/>
  <c r="D35" i="2"/>
  <c r="C35" i="2"/>
  <c r="B35" i="2"/>
  <c r="A35" i="2"/>
  <c r="U34" i="2"/>
  <c r="N34" i="2"/>
  <c r="M34" i="2"/>
  <c r="J34" i="2"/>
  <c r="I34" i="2"/>
  <c r="H34" i="2"/>
  <c r="G34" i="2"/>
  <c r="F34" i="2"/>
  <c r="E34" i="2"/>
  <c r="D34" i="2"/>
  <c r="C34" i="2"/>
  <c r="B34" i="2"/>
  <c r="A34" i="2"/>
  <c r="U33" i="2"/>
  <c r="N33" i="2"/>
  <c r="M33" i="2"/>
  <c r="J33" i="2"/>
  <c r="I33" i="2"/>
  <c r="H33" i="2"/>
  <c r="G33" i="2"/>
  <c r="F33" i="2"/>
  <c r="E33" i="2"/>
  <c r="D33" i="2"/>
  <c r="C33" i="2"/>
  <c r="B33" i="2"/>
  <c r="A33" i="2"/>
  <c r="U32" i="2"/>
  <c r="N32" i="2"/>
  <c r="M32" i="2"/>
  <c r="J32" i="2"/>
  <c r="I32" i="2"/>
  <c r="H32" i="2"/>
  <c r="G32" i="2"/>
  <c r="F32" i="2"/>
  <c r="E32" i="2"/>
  <c r="D32" i="2"/>
  <c r="C32" i="2"/>
  <c r="B32" i="2"/>
  <c r="A32" i="2"/>
  <c r="U31" i="2"/>
  <c r="N31" i="2"/>
  <c r="M31" i="2"/>
  <c r="J31" i="2"/>
  <c r="I31" i="2"/>
  <c r="H31" i="2"/>
  <c r="G31" i="2"/>
  <c r="F31" i="2"/>
  <c r="E31" i="2"/>
  <c r="D31" i="2"/>
  <c r="C31" i="2"/>
  <c r="B31" i="2"/>
  <c r="A31" i="2"/>
  <c r="U30" i="2"/>
  <c r="N30" i="2"/>
  <c r="M30" i="2"/>
  <c r="J30" i="2"/>
  <c r="I30" i="2"/>
  <c r="H30" i="2"/>
  <c r="G30" i="2"/>
  <c r="F30" i="2"/>
  <c r="E30" i="2"/>
  <c r="D30" i="2"/>
  <c r="C30" i="2"/>
  <c r="B30" i="2"/>
  <c r="A30" i="2"/>
  <c r="Q29" i="2"/>
  <c r="U29" i="2" s="1"/>
  <c r="N29" i="2"/>
  <c r="M29" i="2"/>
  <c r="J29" i="2"/>
  <c r="I29" i="2"/>
  <c r="H29" i="2"/>
  <c r="G29" i="2"/>
  <c r="F29" i="2"/>
  <c r="E29" i="2"/>
  <c r="D29" i="2"/>
  <c r="C29" i="2"/>
  <c r="B29" i="2"/>
  <c r="A29" i="2"/>
  <c r="U28" i="2"/>
  <c r="N28" i="2"/>
  <c r="M28" i="2"/>
  <c r="J28" i="2"/>
  <c r="I28" i="2"/>
  <c r="H28" i="2"/>
  <c r="G28" i="2"/>
  <c r="F28" i="2"/>
  <c r="E28" i="2"/>
  <c r="D28" i="2"/>
  <c r="C28" i="2"/>
  <c r="B28" i="2"/>
  <c r="A28" i="2"/>
  <c r="U27" i="2"/>
  <c r="N27" i="2"/>
  <c r="M27" i="2"/>
  <c r="J27" i="2"/>
  <c r="I27" i="2"/>
  <c r="H27" i="2"/>
  <c r="G27" i="2"/>
  <c r="F27" i="2"/>
  <c r="E27" i="2"/>
  <c r="D27" i="2"/>
  <c r="C27" i="2"/>
  <c r="B27" i="2"/>
  <c r="A27" i="2"/>
  <c r="U26" i="2"/>
  <c r="N26" i="2"/>
  <c r="M26" i="2"/>
  <c r="J26" i="2"/>
  <c r="I26" i="2"/>
  <c r="H26" i="2"/>
  <c r="G26" i="2"/>
  <c r="F26" i="2"/>
  <c r="E26" i="2"/>
  <c r="D26" i="2"/>
  <c r="C26" i="2"/>
  <c r="B26" i="2"/>
  <c r="A26" i="2"/>
  <c r="Q25" i="2"/>
  <c r="U25" i="2" s="1"/>
  <c r="N25" i="2"/>
  <c r="M25" i="2"/>
  <c r="J25" i="2"/>
  <c r="I25" i="2"/>
  <c r="H25" i="2"/>
  <c r="G25" i="2"/>
  <c r="F25" i="2"/>
  <c r="E25" i="2"/>
  <c r="D25" i="2"/>
  <c r="C25" i="2"/>
  <c r="B25" i="2"/>
  <c r="A25" i="2"/>
  <c r="U24" i="2"/>
  <c r="N24" i="2"/>
  <c r="M24" i="2"/>
  <c r="J24" i="2"/>
  <c r="I24" i="2"/>
  <c r="H24" i="2"/>
  <c r="G24" i="2"/>
  <c r="F24" i="2"/>
  <c r="E24" i="2"/>
  <c r="D24" i="2"/>
  <c r="C24" i="2"/>
  <c r="B24" i="2"/>
  <c r="A24" i="2"/>
  <c r="U23" i="2"/>
  <c r="N23" i="2"/>
  <c r="M23" i="2"/>
  <c r="J23" i="2"/>
  <c r="I23" i="2"/>
  <c r="H23" i="2"/>
  <c r="G23" i="2"/>
  <c r="F23" i="2"/>
  <c r="E23" i="2"/>
  <c r="D23" i="2"/>
  <c r="C23" i="2"/>
  <c r="B23" i="2"/>
  <c r="A23" i="2"/>
  <c r="U22" i="2"/>
  <c r="N22" i="2"/>
  <c r="M22" i="2"/>
  <c r="J22" i="2"/>
  <c r="I22" i="2"/>
  <c r="H22" i="2"/>
  <c r="G22" i="2"/>
  <c r="F22" i="2"/>
  <c r="E22" i="2"/>
  <c r="D22" i="2"/>
  <c r="C22" i="2"/>
  <c r="B22" i="2"/>
  <c r="A22" i="2"/>
  <c r="U21" i="2"/>
  <c r="N21" i="2"/>
  <c r="M21" i="2"/>
  <c r="J21" i="2"/>
  <c r="I21" i="2"/>
  <c r="H21" i="2"/>
  <c r="G21" i="2"/>
  <c r="F21" i="2"/>
  <c r="E21" i="2"/>
  <c r="D21" i="2"/>
  <c r="C21" i="2"/>
  <c r="B21" i="2"/>
  <c r="A21" i="2"/>
  <c r="U20" i="2"/>
  <c r="N20" i="2"/>
  <c r="M20" i="2"/>
  <c r="J20" i="2"/>
  <c r="I20" i="2"/>
  <c r="H20" i="2"/>
  <c r="G20" i="2"/>
  <c r="F20" i="2"/>
  <c r="E20" i="2"/>
  <c r="D20" i="2"/>
  <c r="C20" i="2"/>
  <c r="B20" i="2"/>
  <c r="A20" i="2"/>
  <c r="U19" i="2"/>
  <c r="N19" i="2"/>
  <c r="M19" i="2"/>
  <c r="J19" i="2"/>
  <c r="I19" i="2"/>
  <c r="H19" i="2"/>
  <c r="G19" i="2"/>
  <c r="F19" i="2"/>
  <c r="E19" i="2"/>
  <c r="D19" i="2"/>
  <c r="C19" i="2"/>
  <c r="B19" i="2"/>
  <c r="A19" i="2"/>
  <c r="U18" i="2"/>
  <c r="N18" i="2"/>
  <c r="M18" i="2"/>
  <c r="J18" i="2"/>
  <c r="I18" i="2"/>
  <c r="H18" i="2"/>
  <c r="G18" i="2"/>
  <c r="F18" i="2"/>
  <c r="E18" i="2"/>
  <c r="D18" i="2"/>
  <c r="C18" i="2"/>
  <c r="B18" i="2"/>
  <c r="A18" i="2"/>
  <c r="U17" i="2"/>
  <c r="N17" i="2"/>
  <c r="M17" i="2"/>
  <c r="J17" i="2"/>
  <c r="I17" i="2"/>
  <c r="H17" i="2"/>
  <c r="G17" i="2"/>
  <c r="F17" i="2"/>
  <c r="E17" i="2"/>
  <c r="D17" i="2"/>
  <c r="C17" i="2"/>
  <c r="B17" i="2"/>
  <c r="A17" i="2"/>
  <c r="U16" i="2"/>
  <c r="N16" i="2"/>
  <c r="M16" i="2"/>
  <c r="J16" i="2"/>
  <c r="I16" i="2"/>
  <c r="H16" i="2"/>
  <c r="G16" i="2"/>
  <c r="F16" i="2"/>
  <c r="E16" i="2"/>
  <c r="D16" i="2"/>
  <c r="C16" i="2"/>
  <c r="B16" i="2"/>
  <c r="A16" i="2"/>
  <c r="U15" i="2"/>
  <c r="N15" i="2"/>
  <c r="M15" i="2"/>
  <c r="J15" i="2"/>
  <c r="I15" i="2"/>
  <c r="H15" i="2"/>
  <c r="G15" i="2"/>
  <c r="F15" i="2"/>
  <c r="E15" i="2"/>
  <c r="D15" i="2"/>
  <c r="C15" i="2"/>
  <c r="B15" i="2"/>
  <c r="A15" i="2"/>
  <c r="U14" i="2"/>
  <c r="N14" i="2"/>
  <c r="M14" i="2"/>
  <c r="J14" i="2"/>
  <c r="I14" i="2"/>
  <c r="H14" i="2"/>
  <c r="G14" i="2"/>
  <c r="F14" i="2"/>
  <c r="E14" i="2"/>
  <c r="D14" i="2"/>
  <c r="C14" i="2"/>
  <c r="B14" i="2"/>
  <c r="A14" i="2"/>
  <c r="U13" i="2"/>
  <c r="N13" i="2"/>
  <c r="M13" i="2"/>
  <c r="J13" i="2"/>
  <c r="I13" i="2"/>
  <c r="H13" i="2"/>
  <c r="G13" i="2"/>
  <c r="F13" i="2"/>
  <c r="E13" i="2"/>
  <c r="D13" i="2"/>
  <c r="C13" i="2"/>
  <c r="B13" i="2"/>
  <c r="A13" i="2"/>
  <c r="Q12" i="2"/>
  <c r="U12" i="2" s="1"/>
  <c r="N12" i="2"/>
  <c r="M12" i="2"/>
  <c r="J12" i="2"/>
  <c r="I12" i="2"/>
  <c r="H12" i="2"/>
  <c r="G12" i="2"/>
  <c r="F12" i="2"/>
  <c r="E12" i="2"/>
  <c r="D12" i="2"/>
  <c r="C12" i="2"/>
  <c r="B12" i="2"/>
  <c r="A12" i="2"/>
  <c r="U11" i="2"/>
  <c r="N11" i="2"/>
  <c r="M11" i="2"/>
  <c r="J11" i="2"/>
  <c r="I11" i="2"/>
  <c r="H11" i="2"/>
  <c r="G11" i="2"/>
  <c r="F11" i="2"/>
  <c r="E11" i="2"/>
  <c r="D11" i="2"/>
  <c r="C11" i="2"/>
  <c r="B11" i="2"/>
  <c r="A11" i="2"/>
  <c r="U10" i="2"/>
  <c r="N10" i="2"/>
  <c r="M10" i="2"/>
  <c r="J10" i="2"/>
  <c r="I10" i="2"/>
  <c r="H10" i="2"/>
  <c r="G10" i="2"/>
  <c r="F10" i="2"/>
  <c r="E10" i="2"/>
  <c r="D10" i="2"/>
  <c r="C10" i="2"/>
  <c r="B10" i="2"/>
  <c r="A10" i="2"/>
  <c r="Q9" i="2"/>
  <c r="U9" i="2" s="1"/>
  <c r="N9" i="2"/>
  <c r="M9" i="2"/>
  <c r="J9" i="2"/>
  <c r="I9" i="2"/>
  <c r="H9" i="2"/>
  <c r="G9" i="2"/>
  <c r="F9" i="2"/>
  <c r="E9" i="2"/>
  <c r="D9" i="2"/>
  <c r="C9" i="2"/>
  <c r="B9" i="2"/>
  <c r="A9" i="2"/>
  <c r="R8" i="2"/>
  <c r="Q8" i="2"/>
  <c r="N8" i="2"/>
  <c r="M8" i="2"/>
  <c r="J8" i="2"/>
  <c r="I8" i="2"/>
  <c r="H8" i="2"/>
  <c r="G8" i="2"/>
  <c r="F8" i="2"/>
  <c r="E8" i="2"/>
  <c r="D8" i="2"/>
  <c r="C8" i="2"/>
  <c r="B8" i="2"/>
  <c r="A8" i="2"/>
  <c r="U7" i="2"/>
  <c r="N7" i="2"/>
  <c r="M7" i="2"/>
  <c r="J7" i="2"/>
  <c r="I7" i="2"/>
  <c r="H7" i="2"/>
  <c r="G7" i="2"/>
  <c r="F7" i="2"/>
  <c r="E7" i="2"/>
  <c r="D7" i="2"/>
  <c r="C7" i="2"/>
  <c r="B7" i="2"/>
  <c r="A7" i="2"/>
  <c r="Q6" i="2"/>
  <c r="U6" i="2" s="1"/>
  <c r="N6" i="2"/>
  <c r="M6" i="2"/>
  <c r="J6" i="2"/>
  <c r="I6" i="2"/>
  <c r="H6" i="2"/>
  <c r="G6" i="2"/>
  <c r="F6" i="2"/>
  <c r="E6" i="2"/>
  <c r="D6" i="2"/>
  <c r="C6" i="2"/>
  <c r="B6" i="2"/>
  <c r="A6" i="2"/>
  <c r="R5" i="2"/>
  <c r="Q5" i="2"/>
  <c r="N5" i="2"/>
  <c r="M5" i="2"/>
  <c r="J5" i="2"/>
  <c r="I5" i="2"/>
  <c r="H5" i="2"/>
  <c r="G5" i="2"/>
  <c r="F5" i="2"/>
  <c r="E5" i="2"/>
  <c r="D5" i="2"/>
  <c r="C5" i="2"/>
  <c r="B5" i="2"/>
  <c r="A5" i="2"/>
  <c r="R4" i="2"/>
  <c r="Q4" i="2"/>
  <c r="N4" i="2"/>
  <c r="M4" i="2"/>
  <c r="J4" i="2"/>
  <c r="I4" i="2"/>
  <c r="H4" i="2"/>
  <c r="G4" i="2"/>
  <c r="F4" i="2"/>
  <c r="E4" i="2"/>
  <c r="D4" i="2"/>
  <c r="C4" i="2"/>
  <c r="B4" i="2"/>
  <c r="A4" i="2"/>
  <c r="R3" i="2"/>
  <c r="Q3" i="2"/>
  <c r="N3" i="2"/>
  <c r="M3" i="2"/>
  <c r="J3" i="2"/>
  <c r="I3" i="2"/>
  <c r="H3" i="2"/>
  <c r="G3" i="2"/>
  <c r="F3" i="2"/>
  <c r="E3" i="2"/>
  <c r="D3" i="2"/>
  <c r="C3" i="2"/>
  <c r="B3" i="2"/>
  <c r="A3" i="2"/>
  <c r="U2" i="2"/>
  <c r="N2" i="2"/>
  <c r="M2" i="2"/>
  <c r="J2" i="2"/>
  <c r="I2" i="2"/>
  <c r="H2" i="2"/>
  <c r="G2" i="2"/>
  <c r="F2" i="2"/>
  <c r="E2" i="2"/>
  <c r="D2" i="2"/>
  <c r="C2" i="2"/>
  <c r="B2" i="2"/>
  <c r="A2" i="2"/>
  <c r="N1" i="2"/>
  <c r="M1" i="2"/>
  <c r="J1" i="2"/>
  <c r="I1" i="2"/>
  <c r="H1" i="2"/>
  <c r="F1" i="2"/>
  <c r="E1" i="2"/>
  <c r="D1" i="2"/>
  <c r="C1" i="2"/>
  <c r="B1" i="2"/>
  <c r="A1" i="2"/>
  <c r="U10192" i="2" l="1"/>
  <c r="U9925" i="2"/>
  <c r="U9919" i="2"/>
  <c r="U9914" i="2"/>
  <c r="U9913" i="2"/>
  <c r="U9912" i="2"/>
  <c r="U9904" i="2"/>
  <c r="U9903" i="2"/>
  <c r="U9902" i="2"/>
  <c r="U9898" i="2"/>
  <c r="U9893" i="2"/>
  <c r="U9460" i="2"/>
  <c r="U9073" i="2"/>
  <c r="U8576" i="2"/>
  <c r="U8575" i="2"/>
  <c r="U8573" i="2"/>
  <c r="U8261" i="2"/>
  <c r="U8234" i="2"/>
  <c r="U8232" i="2"/>
  <c r="U8230" i="2"/>
  <c r="U8228" i="2"/>
  <c r="U8227" i="2"/>
  <c r="U8226" i="2"/>
  <c r="U8225" i="2"/>
  <c r="U7725" i="2"/>
  <c r="U7724" i="2"/>
  <c r="U7722" i="2"/>
  <c r="U7721" i="2"/>
  <c r="U7719" i="2"/>
  <c r="U7715" i="2"/>
  <c r="U7714" i="2"/>
  <c r="U7712" i="2"/>
  <c r="U7646" i="2"/>
  <c r="U7645" i="2"/>
  <c r="U7644" i="2"/>
  <c r="U7643" i="2"/>
  <c r="U7642" i="2"/>
  <c r="U7641" i="2"/>
  <c r="U7639" i="2"/>
  <c r="U7638" i="2"/>
  <c r="U7637" i="2"/>
  <c r="U7563" i="2"/>
  <c r="U7403" i="2"/>
  <c r="U7401" i="2"/>
  <c r="U7400" i="2"/>
  <c r="U4538" i="2"/>
  <c r="U4206" i="2"/>
  <c r="U3238" i="2"/>
  <c r="U2972" i="2"/>
  <c r="U1551" i="2"/>
  <c r="U1550" i="2"/>
  <c r="U1549" i="2"/>
  <c r="U1548" i="2"/>
  <c r="U1547" i="2"/>
  <c r="U1546" i="2"/>
  <c r="U1541" i="2"/>
  <c r="U1174" i="2"/>
  <c r="U1172" i="2"/>
  <c r="U1171" i="2"/>
  <c r="U1170" i="2"/>
  <c r="U1168" i="2"/>
  <c r="U1167" i="2"/>
  <c r="U1166" i="2"/>
  <c r="U1165" i="2"/>
  <c r="U1164" i="2"/>
  <c r="U1163" i="2"/>
  <c r="U657" i="2"/>
  <c r="U654" i="2"/>
  <c r="U653" i="2"/>
  <c r="U652" i="2"/>
  <c r="U651" i="2"/>
  <c r="U650" i="2"/>
  <c r="U649" i="2"/>
  <c r="U8" i="2"/>
  <c r="U5" i="2"/>
  <c r="U4" i="2"/>
  <c r="U3" i="2"/>
  <c r="U7402" i="2"/>
  <c r="U7399" i="2"/>
  <c r="U7398" i="2"/>
  <c r="U7228" i="2"/>
  <c r="U7226" i="2"/>
  <c r="U7151" i="2"/>
  <c r="U7150" i="2"/>
  <c r="U7147" i="2"/>
  <c r="U7139" i="2"/>
  <c r="U7138" i="2"/>
  <c r="U7137" i="2"/>
  <c r="U7135" i="2"/>
  <c r="U6975" i="2"/>
  <c r="U6974" i="2"/>
  <c r="U6973" i="2"/>
  <c r="U6224" i="2"/>
  <c r="U5704" i="2"/>
  <c r="U5702" i="2"/>
  <c r="U5698" i="2"/>
  <c r="U4916" i="2"/>
  <c r="U4518" i="2"/>
  <c r="U2760" i="2"/>
  <c r="U2755" i="2"/>
  <c r="U2230" i="2"/>
  <c r="U9926" i="2"/>
  <c r="U9924" i="2"/>
  <c r="U9923" i="2"/>
  <c r="U9922" i="2"/>
  <c r="U9921" i="2"/>
  <c r="U9920" i="2"/>
  <c r="U9918" i="2"/>
  <c r="U9917" i="2"/>
  <c r="U9915" i="2"/>
  <c r="U9901" i="2"/>
  <c r="U9899" i="2"/>
  <c r="U9895" i="2"/>
  <c r="U9894" i="2"/>
  <c r="U9464" i="2"/>
  <c r="U9461" i="2"/>
  <c r="U9459" i="2"/>
  <c r="U9455" i="2"/>
  <c r="U9078" i="2"/>
  <c r="U9076" i="2"/>
  <c r="U9069" i="2"/>
  <c r="U9068" i="2"/>
  <c r="U9065" i="2"/>
  <c r="U9064" i="2"/>
  <c r="U9063" i="2"/>
  <c r="U9060" i="2"/>
  <c r="U8585" i="2"/>
  <c r="U8386" i="2"/>
  <c r="U8384" i="2"/>
  <c r="U8382" i="2"/>
  <c r="U7230" i="2"/>
  <c r="U7227" i="2"/>
  <c r="U7148" i="2"/>
  <c r="U7142" i="2"/>
  <c r="U6979" i="2"/>
  <c r="U6972" i="2"/>
  <c r="U6971" i="2"/>
  <c r="U4918" i="2"/>
  <c r="U4532" i="2"/>
  <c r="U4045" i="2"/>
  <c r="U3455" i="2"/>
  <c r="U3453" i="2"/>
  <c r="U2762" i="2"/>
  <c r="U9470" i="2"/>
  <c r="U9468" i="2"/>
  <c r="U9465" i="2"/>
  <c r="U9463" i="2"/>
  <c r="U9462" i="2"/>
  <c r="U9458" i="2"/>
  <c r="U9457" i="2"/>
  <c r="U9456" i="2"/>
  <c r="U9080" i="2"/>
  <c r="U9079" i="2"/>
  <c r="U9077" i="2"/>
  <c r="U9062" i="2"/>
  <c r="U8831" i="2"/>
  <c r="U8829" i="2"/>
  <c r="U8580" i="2"/>
  <c r="U8577" i="2"/>
  <c r="U8572" i="2"/>
  <c r="U8385" i="2"/>
  <c r="U8383" i="2"/>
  <c r="U7716" i="2"/>
  <c r="U7647" i="2"/>
  <c r="U7565" i="2"/>
  <c r="U7564" i="2"/>
  <c r="U7397" i="2"/>
  <c r="U7144" i="2"/>
  <c r="U7143" i="2"/>
  <c r="U7141" i="2"/>
  <c r="U7140" i="2"/>
  <c r="U5697" i="2"/>
  <c r="U2231" i="2"/>
  <c r="U10197" i="2"/>
</calcChain>
</file>

<file path=xl/sharedStrings.xml><?xml version="1.0" encoding="utf-8"?>
<sst xmlns="http://schemas.openxmlformats.org/spreadsheetml/2006/main" count="27196" uniqueCount="5691">
  <si>
    <t>店铺</t>
  </si>
  <si>
    <t>货品种类</t>
  </si>
  <si>
    <t>物流单号</t>
  </si>
  <si>
    <t>实际重量</t>
  </si>
  <si>
    <t>运费</t>
  </si>
  <si>
    <t>操作费</t>
  </si>
  <si>
    <t>气泡膜含胶带</t>
  </si>
  <si>
    <t>涨价</t>
  </si>
  <si>
    <t>应收</t>
  </si>
  <si>
    <t>全欣价格</t>
  </si>
  <si>
    <t>省</t>
  </si>
  <si>
    <t xml:space="preserve">上海 </t>
  </si>
  <si>
    <t>YT1894871271030</t>
  </si>
  <si>
    <t>江苏省</t>
  </si>
  <si>
    <t>YT7502768381370</t>
  </si>
  <si>
    <t>按续重</t>
  </si>
  <si>
    <t>河北省</t>
  </si>
  <si>
    <t>YT7502759409665</t>
  </si>
  <si>
    <t>广东省</t>
  </si>
  <si>
    <t>YT7502769153084</t>
  </si>
  <si>
    <t>浙江省</t>
  </si>
  <si>
    <t>YT7502759802752</t>
  </si>
  <si>
    <t>江西省</t>
  </si>
  <si>
    <t>YT7502769153051</t>
  </si>
  <si>
    <t>福建省</t>
  </si>
  <si>
    <t>YT7502769153066</t>
  </si>
  <si>
    <t>YT7502761060731</t>
  </si>
  <si>
    <t>贵州省</t>
  </si>
  <si>
    <t>YT7502584723833</t>
  </si>
  <si>
    <t>YT7501593898617</t>
  </si>
  <si>
    <t>山东省</t>
  </si>
  <si>
    <t>YT3599052304148</t>
  </si>
  <si>
    <t>陕西省</t>
  </si>
  <si>
    <t>YT1894873903380</t>
  </si>
  <si>
    <t>YT1894873903379</t>
  </si>
  <si>
    <t>YT1894873903360</t>
  </si>
  <si>
    <t>安徽省</t>
  </si>
  <si>
    <t>YT1894873903353</t>
  </si>
  <si>
    <t>YT1894873903348</t>
  </si>
  <si>
    <t>YT1894873903335</t>
  </si>
  <si>
    <t>YT1894873903409</t>
  </si>
  <si>
    <t>湖北省</t>
  </si>
  <si>
    <t>YT1894873903324</t>
  </si>
  <si>
    <t>YT3413237307453</t>
  </si>
  <si>
    <t>海南省</t>
  </si>
  <si>
    <t>YT3416474920098</t>
  </si>
  <si>
    <t>YT3416474919131</t>
  </si>
  <si>
    <t>重庆</t>
  </si>
  <si>
    <t>YT3416474918383</t>
  </si>
  <si>
    <t>YT7502747269785</t>
  </si>
  <si>
    <t>YT8713176523527</t>
  </si>
  <si>
    <t>YT3599047592941</t>
  </si>
  <si>
    <t>甘肃省</t>
  </si>
  <si>
    <t>YT3599047592918</t>
  </si>
  <si>
    <t>黑龙江省</t>
  </si>
  <si>
    <t>YT3599048452989</t>
  </si>
  <si>
    <t>YT3599048643127</t>
  </si>
  <si>
    <t>YT3599048452923</t>
  </si>
  <si>
    <t>YT3599048302882</t>
  </si>
  <si>
    <t>YT3599047751159</t>
  </si>
  <si>
    <t>云南省</t>
  </si>
  <si>
    <t>YT3599048111781</t>
  </si>
  <si>
    <t>YT3599048830312</t>
  </si>
  <si>
    <t>YT3599047592758</t>
  </si>
  <si>
    <t>YT3599048452749</t>
  </si>
  <si>
    <t>YT3599048111675</t>
  </si>
  <si>
    <t>内蒙古自治区</t>
  </si>
  <si>
    <t>YT1894852920797</t>
  </si>
  <si>
    <t>YT1894852920801</t>
  </si>
  <si>
    <t>YT1894852920784</t>
  </si>
  <si>
    <t>YT1894852920773</t>
  </si>
  <si>
    <t>YT1894852920764</t>
  </si>
  <si>
    <t>YT1894852920757</t>
  </si>
  <si>
    <t>YT1894852920742</t>
  </si>
  <si>
    <t>上海</t>
  </si>
  <si>
    <t>YT1894852831488</t>
  </si>
  <si>
    <t>YT1894852831477</t>
  </si>
  <si>
    <t>YT1894852831468</t>
  </si>
  <si>
    <t>YT1894852831451</t>
  </si>
  <si>
    <t>YT1894852831446</t>
  </si>
  <si>
    <t>河南省</t>
  </si>
  <si>
    <t>YT1894852831433</t>
  </si>
  <si>
    <t>YT1894852831422</t>
  </si>
  <si>
    <t>YT1894852831413</t>
  </si>
  <si>
    <t>YT1894852831406</t>
  </si>
  <si>
    <t>YT1894852831390</t>
  </si>
  <si>
    <t>YT1894852144508</t>
  </si>
  <si>
    <t>YT1894852144492</t>
  </si>
  <si>
    <t>YT1894852144489</t>
  </si>
  <si>
    <t>YT1894852144478</t>
  </si>
  <si>
    <t>YT1894852144469</t>
  </si>
  <si>
    <t>YT1894852144452</t>
  </si>
  <si>
    <t>辽宁省</t>
  </si>
  <si>
    <t>YT1894852144447</t>
  </si>
  <si>
    <t>湖南省</t>
  </si>
  <si>
    <t>YT1894852144434</t>
  </si>
  <si>
    <t>广西壮族自治区</t>
  </si>
  <si>
    <t>YT1894852144423</t>
  </si>
  <si>
    <t>YT1894852144414</t>
  </si>
  <si>
    <t>YT1894853326422</t>
  </si>
  <si>
    <t>YT1894853326413</t>
  </si>
  <si>
    <t>YT1894853326406</t>
  </si>
  <si>
    <t>YT1894853326390</t>
  </si>
  <si>
    <t>YT1894853326387</t>
  </si>
  <si>
    <t>YT1894853326376</t>
  </si>
  <si>
    <t>北京</t>
  </si>
  <si>
    <t>YT1894853326367</t>
  </si>
  <si>
    <t>YT1894853326350</t>
  </si>
  <si>
    <t>YT1894789586013</t>
  </si>
  <si>
    <t>山西省</t>
  </si>
  <si>
    <t>YT1894789586006</t>
  </si>
  <si>
    <t>YT1894784136387</t>
  </si>
  <si>
    <t>YT1894784136376</t>
  </si>
  <si>
    <t>YT1894784136367</t>
  </si>
  <si>
    <t>YT1894784136350</t>
  </si>
  <si>
    <t>YT1894784136345</t>
  </si>
  <si>
    <t>YT1894784136332</t>
  </si>
  <si>
    <t>YT1894784136321</t>
  </si>
  <si>
    <t>YT1894784136312</t>
  </si>
  <si>
    <t>YT1894785401301</t>
  </si>
  <si>
    <t>YT1894785401299</t>
  </si>
  <si>
    <t>YT1894785401286</t>
  </si>
  <si>
    <t>YT1894785401275</t>
  </si>
  <si>
    <t>YT1894785401266</t>
  </si>
  <si>
    <t>YT1894785401259</t>
  </si>
  <si>
    <t>YT1894785401244</t>
  </si>
  <si>
    <t>YT1894785401231</t>
  </si>
  <si>
    <t>YT1894785401220</t>
  </si>
  <si>
    <t>YT1894785401211</t>
  </si>
  <si>
    <t>YT1894785012686</t>
  </si>
  <si>
    <t>YT1894785012675</t>
  </si>
  <si>
    <t>YT1894785012666</t>
  </si>
  <si>
    <t>YT1894785012659</t>
  </si>
  <si>
    <t>YT1894785012644</t>
  </si>
  <si>
    <t>YT3599036426473</t>
  </si>
  <si>
    <t>YT3599036625128</t>
  </si>
  <si>
    <t>北京市</t>
  </si>
  <si>
    <t>YT3599035939875</t>
  </si>
  <si>
    <t>YT3599036105707</t>
  </si>
  <si>
    <t>YT3599036425944</t>
  </si>
  <si>
    <t>YT3599035556667</t>
  </si>
  <si>
    <t>YT3599036264372</t>
  </si>
  <si>
    <t>YT3599036812308</t>
  </si>
  <si>
    <t>YT3599037163726</t>
  </si>
  <si>
    <t>YT3599037163700</t>
  </si>
  <si>
    <t>YT3599036105589</t>
  </si>
  <si>
    <t>YT3599035556571</t>
  </si>
  <si>
    <t>YT3599035556555</t>
  </si>
  <si>
    <t>YT3599035939486</t>
  </si>
  <si>
    <t>YT3599036264275</t>
  </si>
  <si>
    <t>YT3599036105514</t>
  </si>
  <si>
    <t>YT3599036105488</t>
  </si>
  <si>
    <t>YT3599036425696</t>
  </si>
  <si>
    <t>YT3599036425663</t>
  </si>
  <si>
    <t>YT3599037163540</t>
  </si>
  <si>
    <t>YT3599036812924</t>
  </si>
  <si>
    <t>YT3599035940211</t>
  </si>
  <si>
    <t>YT3599036264798</t>
  </si>
  <si>
    <t>YT3599037164286</t>
  </si>
  <si>
    <t>YT3599036625061</t>
  </si>
  <si>
    <t>YT3599037163908</t>
  </si>
  <si>
    <t>四川省</t>
  </si>
  <si>
    <t>YT3599036264428</t>
  </si>
  <si>
    <t>YT3599037163782</t>
  </si>
  <si>
    <t>YT3599035939732</t>
  </si>
  <si>
    <t>YT3599037163762</t>
  </si>
  <si>
    <t>YT3599036812263</t>
  </si>
  <si>
    <t>YT3599035939617</t>
  </si>
  <si>
    <t>YT3599036105592</t>
  </si>
  <si>
    <t>YT3599035939545</t>
  </si>
  <si>
    <t>YT3599036812256</t>
  </si>
  <si>
    <t>YT3599036105491</t>
  </si>
  <si>
    <t>YT3599036105468</t>
  </si>
  <si>
    <t>YT3599035939466</t>
  </si>
  <si>
    <t>YT3599036624497</t>
  </si>
  <si>
    <t>YT3599035556470</t>
  </si>
  <si>
    <t>YT3416466639764</t>
  </si>
  <si>
    <t>YT3413233185426</t>
  </si>
  <si>
    <t>YT3413233184887</t>
  </si>
  <si>
    <t>YT3413233184494</t>
  </si>
  <si>
    <t>YT3416466636558</t>
  </si>
  <si>
    <t>YT3413233183686</t>
  </si>
  <si>
    <t>新疆维吾尔自治区</t>
  </si>
  <si>
    <t>YT3416466634608</t>
  </si>
  <si>
    <t>YT3416466633551</t>
  </si>
  <si>
    <t>YT3416466632411</t>
  </si>
  <si>
    <t>YT3416466630916</t>
  </si>
  <si>
    <t>吉林省</t>
  </si>
  <si>
    <t>YT3416466646841</t>
  </si>
  <si>
    <t>YT3413233189864</t>
  </si>
  <si>
    <t>YT3416466645679</t>
  </si>
  <si>
    <t>YT3413233189239</t>
  </si>
  <si>
    <t>YT3416466644298</t>
  </si>
  <si>
    <t>YT3413233188425</t>
  </si>
  <si>
    <t>YT3416466642948</t>
  </si>
  <si>
    <t>YT3416466642313</t>
  </si>
  <si>
    <t>YT3413233186986</t>
  </si>
  <si>
    <t>YT3416466640483</t>
  </si>
  <si>
    <t>YT3413233186089</t>
  </si>
  <si>
    <t>YT3413233185240</t>
  </si>
  <si>
    <t>YT3416466637841</t>
  </si>
  <si>
    <t>YT3413233184313</t>
  </si>
  <si>
    <t>YT3416466636015</t>
  </si>
  <si>
    <t>YT3413233183475</t>
  </si>
  <si>
    <t>YT3413233182939</t>
  </si>
  <si>
    <t>YT3413233182366</t>
  </si>
  <si>
    <t>YT3416466631962</t>
  </si>
  <si>
    <t>YT3416466631009</t>
  </si>
  <si>
    <t>YT3416466646780</t>
  </si>
  <si>
    <t>YT3416466645828</t>
  </si>
  <si>
    <t>YT3416466645433</t>
  </si>
  <si>
    <t>YT3416466644597</t>
  </si>
  <si>
    <t>YT3416466643936</t>
  </si>
  <si>
    <t>YT3416466643127</t>
  </si>
  <si>
    <t>YT3416466642827</t>
  </si>
  <si>
    <t>YT3416466641770</t>
  </si>
  <si>
    <t>YT3416466640810</t>
  </si>
  <si>
    <t>YT3416466640030</t>
  </si>
  <si>
    <t>天津</t>
  </si>
  <si>
    <t>YT3416466639131</t>
  </si>
  <si>
    <t>YT3416466638354</t>
  </si>
  <si>
    <t>YT3416466637395</t>
  </si>
  <si>
    <t>YT3413233184108</t>
  </si>
  <si>
    <t>YT3416466635924</t>
  </si>
  <si>
    <t>YT3416466635058</t>
  </si>
  <si>
    <t>YT3416466633829</t>
  </si>
  <si>
    <t>YT3416466632923</t>
  </si>
  <si>
    <t>YT3416466632057</t>
  </si>
  <si>
    <t>YT3413233181738</t>
  </si>
  <si>
    <t>YT3413233190048</t>
  </si>
  <si>
    <t>YT3416466646036</t>
  </si>
  <si>
    <t>YT3416466645372</t>
  </si>
  <si>
    <t>YT3416466644562</t>
  </si>
  <si>
    <t>YT3413233188607</t>
  </si>
  <si>
    <t>YT3413233188094</t>
  </si>
  <si>
    <t>YT3416466642588</t>
  </si>
  <si>
    <t>YT3413233187192</t>
  </si>
  <si>
    <t>YT3413233186869</t>
  </si>
  <si>
    <t>YT3413233186234</t>
  </si>
  <si>
    <t>YT3416466638866</t>
  </si>
  <si>
    <t>YT3416466637995</t>
  </si>
  <si>
    <t>YT3416466637218</t>
  </si>
  <si>
    <t>YT3416466636619</t>
  </si>
  <si>
    <t>YT3416466635830</t>
  </si>
  <si>
    <t>YT3416466634992</t>
  </si>
  <si>
    <t>YT3416466633762</t>
  </si>
  <si>
    <t>YT3416466632983</t>
  </si>
  <si>
    <t>YT3416466631843</t>
  </si>
  <si>
    <t>YT3413233181615</t>
  </si>
  <si>
    <t>YT3416466647114</t>
  </si>
  <si>
    <t>YT3413233189981</t>
  </si>
  <si>
    <t>YT3413233189590</t>
  </si>
  <si>
    <t>YT3416466645042</t>
  </si>
  <si>
    <t>YT3416466644416</t>
  </si>
  <si>
    <t>YT3416466643819</t>
  </si>
  <si>
    <t>YT3416466643066</t>
  </si>
  <si>
    <t>YT3413233187552</t>
  </si>
  <si>
    <t>YT3416466641446</t>
  </si>
  <si>
    <t>YT3416466640308</t>
  </si>
  <si>
    <t>YT3416466639436</t>
  </si>
  <si>
    <t>YT3416466638530</t>
  </si>
  <si>
    <t>YT3416466637542</t>
  </si>
  <si>
    <t>YT3416466636886</t>
  </si>
  <si>
    <t>YT3413233183835</t>
  </si>
  <si>
    <t>YT3416466635412</t>
  </si>
  <si>
    <t>YT3416466634181</t>
  </si>
  <si>
    <t>YT3416466633281</t>
  </si>
  <si>
    <t>YT3413233182069</t>
  </si>
  <si>
    <t>YT3416466631157</t>
  </si>
  <si>
    <t>YT3413233190257</t>
  </si>
  <si>
    <t>YT3416466646124</t>
  </si>
  <si>
    <t>YT3413233189419</t>
  </si>
  <si>
    <t>YT3416466644742</t>
  </si>
  <si>
    <t>YT3416466644081</t>
  </si>
  <si>
    <t>YT3413233188339</t>
  </si>
  <si>
    <t>YT3416466642887</t>
  </si>
  <si>
    <t>YT3416466642137</t>
  </si>
  <si>
    <t>YT3416466641202</t>
  </si>
  <si>
    <t>YT3413233186326</t>
  </si>
  <si>
    <t>YT3416466639375</t>
  </si>
  <si>
    <t>YT3416466638383</t>
  </si>
  <si>
    <t>YT3416466637489</t>
  </si>
  <si>
    <t>YT3413233184229</t>
  </si>
  <si>
    <t>YT3416466636136</t>
  </si>
  <si>
    <t>YT3416466635232</t>
  </si>
  <si>
    <t>YT3413233182900</t>
  </si>
  <si>
    <t>YT3416466633315</t>
  </si>
  <si>
    <t>YT3416466632116</t>
  </si>
  <si>
    <t>YT3413233181765</t>
  </si>
  <si>
    <t>YT3416466647055</t>
  </si>
  <si>
    <t>YT3416466646333</t>
  </si>
  <si>
    <t>YT3413233189381</t>
  </si>
  <si>
    <t>YT3416466644656</t>
  </si>
  <si>
    <t>YT3416466644111</t>
  </si>
  <si>
    <t>YT3416466643363</t>
  </si>
  <si>
    <t>YT3413233187851</t>
  </si>
  <si>
    <t>YT3416466642016</t>
  </si>
  <si>
    <t>YT3416466641057</t>
  </si>
  <si>
    <t>YT3413233186357</t>
  </si>
  <si>
    <t>YT3413233185901</t>
  </si>
  <si>
    <t>YT3416466637960</t>
  </si>
  <si>
    <t>YT3416466637063</t>
  </si>
  <si>
    <t>YT3416466636347</t>
  </si>
  <si>
    <t>YT3416466635568</t>
  </si>
  <si>
    <t>YT3416466634727</t>
  </si>
  <si>
    <t>YT3413233182548</t>
  </si>
  <si>
    <t>YT3416466632839</t>
  </si>
  <si>
    <t>YT3416466631210</t>
  </si>
  <si>
    <t>YT3413233190013</t>
  </si>
  <si>
    <t>YT3413233189745</t>
  </si>
  <si>
    <t>YT3416466645349</t>
  </si>
  <si>
    <t>YT3413233189055</t>
  </si>
  <si>
    <t>YT3416466643963</t>
  </si>
  <si>
    <t>YT3416466643211</t>
  </si>
  <si>
    <t>YT3416466642760</t>
  </si>
  <si>
    <t>YT3416466641800</t>
  </si>
  <si>
    <t>YT3416466640964</t>
  </si>
  <si>
    <t>YT3416466639942</t>
  </si>
  <si>
    <t>YT3413233185699</t>
  </si>
  <si>
    <t>YT3416466638231</t>
  </si>
  <si>
    <t>YT3416466637243</t>
  </si>
  <si>
    <t>YT3413233184074</t>
  </si>
  <si>
    <t>YT3413233183806</t>
  </si>
  <si>
    <t>YT3413233183389</t>
  </si>
  <si>
    <t>YT3413233182757</t>
  </si>
  <si>
    <t>YT3416466633191</t>
  </si>
  <si>
    <t>YT3416466632141</t>
  </si>
  <si>
    <t>YT3416466630974</t>
  </si>
  <si>
    <t>YT3416466647149</t>
  </si>
  <si>
    <t>YT3416466646601</t>
  </si>
  <si>
    <t>YT3416465740003</t>
  </si>
  <si>
    <t>YT3416465738868</t>
  </si>
  <si>
    <t>YT3416465737782</t>
  </si>
  <si>
    <t>YT3413232736652</t>
  </si>
  <si>
    <t>YT3416465735029</t>
  </si>
  <si>
    <t>YT3416465734428</t>
  </si>
  <si>
    <t>YT3416465732749</t>
  </si>
  <si>
    <t>YT3413232734014</t>
  </si>
  <si>
    <t>YT3416466645761</t>
  </si>
  <si>
    <t>YT3416466645138</t>
  </si>
  <si>
    <t>YT3416466644474</t>
  </si>
  <si>
    <t>YT3416466643783</t>
  </si>
  <si>
    <t>YT3416466643039</t>
  </si>
  <si>
    <t>YT3416466641501</t>
  </si>
  <si>
    <t>YT3416466640661</t>
  </si>
  <si>
    <t>YT3416466639737</t>
  </si>
  <si>
    <t>YT3416466638479</t>
  </si>
  <si>
    <t>YT3413232738247</t>
  </si>
  <si>
    <t>YT3416465739104</t>
  </si>
  <si>
    <t>YT3416465738260</t>
  </si>
  <si>
    <t>YT3416465737362</t>
  </si>
  <si>
    <t>YT3413232736531</t>
  </si>
  <si>
    <t>YT3416465735296</t>
  </si>
  <si>
    <t>YT3413232735424</t>
  </si>
  <si>
    <t>YT3413232734825</t>
  </si>
  <si>
    <t>YT3416465731964</t>
  </si>
  <si>
    <t>YT3416465730943</t>
  </si>
  <si>
    <t>YT3413233184678</t>
  </si>
  <si>
    <t>YT3416466636769</t>
  </si>
  <si>
    <t>YT3416466636040</t>
  </si>
  <si>
    <t>YT3416466635142</t>
  </si>
  <si>
    <t>YT3413233182636</t>
  </si>
  <si>
    <t>YT3416466633139</t>
  </si>
  <si>
    <t>YT3416466631935</t>
  </si>
  <si>
    <t>YT3416466631126</t>
  </si>
  <si>
    <t>YT3416466646816</t>
  </si>
  <si>
    <t>YT3413233189921</t>
  </si>
  <si>
    <t>YT3416465740249</t>
  </si>
  <si>
    <t>YT3413232737796</t>
  </si>
  <si>
    <t>YT3416465738594</t>
  </si>
  <si>
    <t>YT3413232737251</t>
  </si>
  <si>
    <t>YT3416465736372</t>
  </si>
  <si>
    <t>YT3416465735595</t>
  </si>
  <si>
    <t>YT3413232735570</t>
  </si>
  <si>
    <t>YT3416465733764</t>
  </si>
  <si>
    <t>YT3416465732233</t>
  </si>
  <si>
    <t>YT3416465730853</t>
  </si>
  <si>
    <t>YT3416466645705</t>
  </si>
  <si>
    <t>YT3416466644896</t>
  </si>
  <si>
    <t>YT3416466644146</t>
  </si>
  <si>
    <t>YT3416466643510</t>
  </si>
  <si>
    <t>YT3416466642913</t>
  </si>
  <si>
    <t>YT3413233187462</t>
  </si>
  <si>
    <t>YT3416466641231</t>
  </si>
  <si>
    <t>YT3413233186715</t>
  </si>
  <si>
    <t>YT3416466639582</t>
  </si>
  <si>
    <t>YT3416466638680</t>
  </si>
  <si>
    <t>YT3413233184948</t>
  </si>
  <si>
    <t>YT3416465739524</t>
  </si>
  <si>
    <t>YT3413232737529</t>
  </si>
  <si>
    <t>YT3416465737452</t>
  </si>
  <si>
    <t>YT3416465736404</t>
  </si>
  <si>
    <t>YT3416465735234</t>
  </si>
  <si>
    <t>YT3416465734516</t>
  </si>
  <si>
    <t>YT3416465733283</t>
  </si>
  <si>
    <t>YT3416465731937</t>
  </si>
  <si>
    <t>YT3413232733596</t>
  </si>
  <si>
    <t>YT3413233184403</t>
  </si>
  <si>
    <t>YT3413233183950</t>
  </si>
  <si>
    <t>YT3413233183563</t>
  </si>
  <si>
    <t>YT3413233182991</t>
  </si>
  <si>
    <t>YT3416466633100</t>
  </si>
  <si>
    <t>YT3413233181853</t>
  </si>
  <si>
    <t>YT3413233181583</t>
  </si>
  <si>
    <t>YT3416466646630</t>
  </si>
  <si>
    <t>YT3416466645796</t>
  </si>
  <si>
    <t>YT3416466645460</t>
  </si>
  <si>
    <t>YT3416465740214</t>
  </si>
  <si>
    <t>YT3416465739465</t>
  </si>
  <si>
    <t>YT3413232737550</t>
  </si>
  <si>
    <t>YT3416465737245</t>
  </si>
  <si>
    <t>YT3413232736412</t>
  </si>
  <si>
    <t>YT3416465735205</t>
  </si>
  <si>
    <t>YT3413232735271</t>
  </si>
  <si>
    <t>YT3416465733317</t>
  </si>
  <si>
    <t>YT3413232734072</t>
  </si>
  <si>
    <t>YT3413232733624</t>
  </si>
  <si>
    <t>YT3416466644685</t>
  </si>
  <si>
    <t>YT3413233188663</t>
  </si>
  <si>
    <t>YT3416466643453</t>
  </si>
  <si>
    <t>YT3413233187974</t>
  </si>
  <si>
    <t>YT3416466642348</t>
  </si>
  <si>
    <t>YT3413233186926</t>
  </si>
  <si>
    <t>YT3413233186205</t>
  </si>
  <si>
    <t>YT3413233185330</t>
  </si>
  <si>
    <t>YT3413233185033</t>
  </si>
  <si>
    <t>YT3413233184559</t>
  </si>
  <si>
    <t>YT3416466636644</t>
  </si>
  <si>
    <t>YT3413232738399</t>
  </si>
  <si>
    <t>YT3416465739409</t>
  </si>
  <si>
    <t>YT3416465737694</t>
  </si>
  <si>
    <t>YT3413232736568</t>
  </si>
  <si>
    <t>YT3416465735386</t>
  </si>
  <si>
    <t>YT3413232735512</t>
  </si>
  <si>
    <t>YT3416465733737</t>
  </si>
  <si>
    <t>YT3413232734401</t>
  </si>
  <si>
    <t>YT3416465730882</t>
  </si>
  <si>
    <t>YT3416466635748</t>
  </si>
  <si>
    <t>YT3413233183350</t>
  </si>
  <si>
    <t>YT3413233182812</t>
  </si>
  <si>
    <t>YT3416466633252</t>
  </si>
  <si>
    <t>YT3413233181882</t>
  </si>
  <si>
    <t>YT3413233181709</t>
  </si>
  <si>
    <t>YT3416466647084</t>
  </si>
  <si>
    <t>YT3416466646517</t>
  </si>
  <si>
    <t>YT3416466645734</t>
  </si>
  <si>
    <t>YT3416466645251</t>
  </si>
  <si>
    <t>YT3413233189024</t>
  </si>
  <si>
    <t>YT3416465739854</t>
  </si>
  <si>
    <t>YT3413232737589</t>
  </si>
  <si>
    <t>YT3416465737481</t>
  </si>
  <si>
    <t>YT3413232736502</t>
  </si>
  <si>
    <t>YT3416465735326</t>
  </si>
  <si>
    <t>YT3413232735213</t>
  </si>
  <si>
    <t>YT3416465733078</t>
  </si>
  <si>
    <t>YT3413232734106</t>
  </si>
  <si>
    <t>YT3416465730673</t>
  </si>
  <si>
    <t>YT3416466644052</t>
  </si>
  <si>
    <t>YT3413233188272</t>
  </si>
  <si>
    <t>YT3413233187798</t>
  </si>
  <si>
    <t>YT3416466641530</t>
  </si>
  <si>
    <t>YT3416466640188</t>
  </si>
  <si>
    <t>YT3413233186029</t>
  </si>
  <si>
    <t>YT3413233185273</t>
  </si>
  <si>
    <t>YT3416466637630</t>
  </si>
  <si>
    <t>YT3413233184348</t>
  </si>
  <si>
    <t>YT3416466636312</t>
  </si>
  <si>
    <t>YT3413233183718</t>
  </si>
  <si>
    <t>YT3416465739555</t>
  </si>
  <si>
    <t>YT3416465738503</t>
  </si>
  <si>
    <t>YT3416465737519</t>
  </si>
  <si>
    <t>YT3416465736460</t>
  </si>
  <si>
    <t>YT3416465735504</t>
  </si>
  <si>
    <t>YT3416465734691</t>
  </si>
  <si>
    <t>YT3413232734793</t>
  </si>
  <si>
    <t>YT3416465732088</t>
  </si>
  <si>
    <t>YT3416465731067</t>
  </si>
  <si>
    <t>YT3413233183208</t>
  </si>
  <si>
    <t>YT3416466633735</t>
  </si>
  <si>
    <t>YT3416466632567</t>
  </si>
  <si>
    <t>YT3416466631038</t>
  </si>
  <si>
    <t>YT3416466646395</t>
  </si>
  <si>
    <t>YT3413233189509</t>
  </si>
  <si>
    <t>YT3416466644928</t>
  </si>
  <si>
    <t>YT3413233188757</t>
  </si>
  <si>
    <t>YT3416466643633</t>
  </si>
  <si>
    <t>YT3416466643000</t>
  </si>
  <si>
    <t>YT3416465739919</t>
  </si>
  <si>
    <t>YT3416465738985</t>
  </si>
  <si>
    <t>YT3416465738088</t>
  </si>
  <si>
    <t>YT3416465736972</t>
  </si>
  <si>
    <t>YT3416465735986</t>
  </si>
  <si>
    <t>YT3413232735965</t>
  </si>
  <si>
    <t>YT3413232735338</t>
  </si>
  <si>
    <t>YT3416465733102</t>
  </si>
  <si>
    <t>YT3416465731784</t>
  </si>
  <si>
    <t>YT3416465730976</t>
  </si>
  <si>
    <t>YT3416466642528</t>
  </si>
  <si>
    <t>YT3413233187019</t>
  </si>
  <si>
    <t>YT3416466640605</t>
  </si>
  <si>
    <t>YT3416466639553</t>
  </si>
  <si>
    <t>YT3413233185392</t>
  </si>
  <si>
    <t>YT3413233184827</t>
  </si>
  <si>
    <t>YT3416466637124</t>
  </si>
  <si>
    <t>YT3416466636431</t>
  </si>
  <si>
    <t>YT3416466635681</t>
  </si>
  <si>
    <t>YT3413233183147</t>
  </si>
  <si>
    <t>YT3413232738308</t>
  </si>
  <si>
    <t>YT3416465739225</t>
  </si>
  <si>
    <t>YT3416465738176</t>
  </si>
  <si>
    <t>YT3413232736984</t>
  </si>
  <si>
    <t>YT3416465736109</t>
  </si>
  <si>
    <t>YT3416465735089</t>
  </si>
  <si>
    <t>YT3416465734369</t>
  </si>
  <si>
    <t>YT3416465732622</t>
  </si>
  <si>
    <t>YT3413232734049</t>
  </si>
  <si>
    <t>YT3413232733684</t>
  </si>
  <si>
    <t>YT3416466633647</t>
  </si>
  <si>
    <t>YT3413233182249</t>
  </si>
  <si>
    <t>YT3416466631818</t>
  </si>
  <si>
    <t>YT3413233181554</t>
  </si>
  <si>
    <t>YT3416466646720</t>
  </si>
  <si>
    <t>YT3416466646098</t>
  </si>
  <si>
    <t>YT3416466645529</t>
  </si>
  <si>
    <t>YT3416466644775</t>
  </si>
  <si>
    <t>YT3416466644236</t>
  </si>
  <si>
    <t>YT3416466643660</t>
  </si>
  <si>
    <t>YT3416465740094</t>
  </si>
  <si>
    <t>YT3416465739319</t>
  </si>
  <si>
    <t>YT3416465738356</t>
  </si>
  <si>
    <t>YT3416465737306</t>
  </si>
  <si>
    <t>YT3413232736447</t>
  </si>
  <si>
    <t>YT3416465735357</t>
  </si>
  <si>
    <t>YT3413232735365</t>
  </si>
  <si>
    <t>YT3413232734702</t>
  </si>
  <si>
    <t>YT3416465731724</t>
  </si>
  <si>
    <t>YT3413232733774</t>
  </si>
  <si>
    <t>YT3413233187820</t>
  </si>
  <si>
    <t>YT3413233187374</t>
  </si>
  <si>
    <t>YT3416466640937</t>
  </si>
  <si>
    <t>YT3416466639852</t>
  </si>
  <si>
    <t>YT3416466638770</t>
  </si>
  <si>
    <t>YT3413233185060</t>
  </si>
  <si>
    <t>YT3413233184528</t>
  </si>
  <si>
    <t>YT3413233184041</t>
  </si>
  <si>
    <t>YT3416466635771</t>
  </si>
  <si>
    <t>YT3416466634967</t>
  </si>
  <si>
    <t>YT3416465740339</t>
  </si>
  <si>
    <t>YT3416465739490</t>
  </si>
  <si>
    <t>YT3416465738471</t>
  </si>
  <si>
    <t>YT3416465737421</t>
  </si>
  <si>
    <t>YT3413232736470</t>
  </si>
  <si>
    <t>YT3416465734994</t>
  </si>
  <si>
    <t>YT3416465734394</t>
  </si>
  <si>
    <t>YT3416465732772</t>
  </si>
  <si>
    <t>YT3413232734135</t>
  </si>
  <si>
    <t>YT3416465730738</t>
  </si>
  <si>
    <t>YT3413233182786</t>
  </si>
  <si>
    <t>YT3416466633166</t>
  </si>
  <si>
    <t>YT3416466631906</t>
  </si>
  <si>
    <t>YT3416466631090</t>
  </si>
  <si>
    <t>YT3416466646243</t>
  </si>
  <si>
    <t>YT3416466645611</t>
  </si>
  <si>
    <t>YT3413233189172</t>
  </si>
  <si>
    <t>YT3413233188786</t>
  </si>
  <si>
    <t>YT3413233188548</t>
  </si>
  <si>
    <t>YT3413233188069</t>
  </si>
  <si>
    <t>YT3416465740366</t>
  </si>
  <si>
    <t>YT3413232737888</t>
  </si>
  <si>
    <t>YT3416465738622</t>
  </si>
  <si>
    <t>YT3416465737722</t>
  </si>
  <si>
    <t>YT3416465736433</t>
  </si>
  <si>
    <t>YT3416465735449</t>
  </si>
  <si>
    <t>YT3413232735455</t>
  </si>
  <si>
    <t>YT3416465733672</t>
  </si>
  <si>
    <t>YT3416465731908</t>
  </si>
  <si>
    <t>YT3413232733534</t>
  </si>
  <si>
    <t>YT3416466642645</t>
  </si>
  <si>
    <t>YT3416466641620</t>
  </si>
  <si>
    <t>YT3416466640755</t>
  </si>
  <si>
    <t>YT3416466639799</t>
  </si>
  <si>
    <t>YT3413233185367</t>
  </si>
  <si>
    <t>YT3413233184913</t>
  </si>
  <si>
    <t>YT3416466637155</t>
  </si>
  <si>
    <t>YT3413233184016</t>
  </si>
  <si>
    <t>YT3416466635713</t>
  </si>
  <si>
    <t>YT3413233183329</t>
  </si>
  <si>
    <t>YT3413233182663</t>
  </si>
  <si>
    <t>YT3416466632954</t>
  </si>
  <si>
    <t>YT3413233181822</t>
  </si>
  <si>
    <t>YT3413232738188</t>
  </si>
  <si>
    <t>YT3413232737611</t>
  </si>
  <si>
    <t>YT3416465737632</t>
  </si>
  <si>
    <t>YT3416465736550</t>
  </si>
  <si>
    <t>YT3413232735002</t>
  </si>
  <si>
    <t>YT3416465732569</t>
  </si>
  <si>
    <t>YT3416465731128</t>
  </si>
  <si>
    <t>YT3416466630851</t>
  </si>
  <si>
    <t>YT3416466647024</t>
  </si>
  <si>
    <t>YT3416466646276</t>
  </si>
  <si>
    <t>YT3416466645646</t>
  </si>
  <si>
    <t>YT3416466644805</t>
  </si>
  <si>
    <t>YT3416466644263</t>
  </si>
  <si>
    <t>YT3416466643422</t>
  </si>
  <si>
    <t>YT3413233187880</t>
  </si>
  <si>
    <t>YT3416466641680</t>
  </si>
  <si>
    <t>YT3416466640878</t>
  </si>
  <si>
    <t>YT3413232738212</t>
  </si>
  <si>
    <t>YT3416465738893</t>
  </si>
  <si>
    <t>YT3413232737404</t>
  </si>
  <si>
    <t>YT3416465736828</t>
  </si>
  <si>
    <t>YT3413232736175</t>
  </si>
  <si>
    <t>YT3413232735785</t>
  </si>
  <si>
    <t>YT3416465733799</t>
  </si>
  <si>
    <t>YT3416465731546</t>
  </si>
  <si>
    <t>YT3413232733505</t>
  </si>
  <si>
    <t>YT3413233185787</t>
  </si>
  <si>
    <t>YT3416466638446</t>
  </si>
  <si>
    <t>YT3416466637517</t>
  </si>
  <si>
    <t>YT3413233184250</t>
  </si>
  <si>
    <t>YT3416466636163</t>
  </si>
  <si>
    <t>YT3413233183507</t>
  </si>
  <si>
    <t>YT3416466634301</t>
  </si>
  <si>
    <t>YT3413233182513</t>
  </si>
  <si>
    <t>YT3416466632026</t>
  </si>
  <si>
    <t>YT3416466631065</t>
  </si>
  <si>
    <t>YT3413232738270</t>
  </si>
  <si>
    <t>YT3416465739133</t>
  </si>
  <si>
    <t>YT3416465738143</t>
  </si>
  <si>
    <t>YT3416465737126</t>
  </si>
  <si>
    <t>YT3413232736384</t>
  </si>
  <si>
    <t>YT3416465735144</t>
  </si>
  <si>
    <t>YT3413232735390</t>
  </si>
  <si>
    <t>YT3416465732893</t>
  </si>
  <si>
    <t>YT3413232734287</t>
  </si>
  <si>
    <t>YT3416465730918</t>
  </si>
  <si>
    <t>YT3416466646575</t>
  </si>
  <si>
    <t>YT3413233189710</t>
  </si>
  <si>
    <t>YT3416466645404</t>
  </si>
  <si>
    <t>YT3416466644625</t>
  </si>
  <si>
    <t>YT3413233188636</t>
  </si>
  <si>
    <t>YT3413233188180</t>
  </si>
  <si>
    <t>YT3413233187736</t>
  </si>
  <si>
    <t>YT3413233187341</t>
  </si>
  <si>
    <t>YT3416466640845</t>
  </si>
  <si>
    <t>YT3416466639917</t>
  </si>
  <si>
    <t>YT3416465739977</t>
  </si>
  <si>
    <t>YT3416465739070</t>
  </si>
  <si>
    <t>YT3416465738118</t>
  </si>
  <si>
    <t>YT3413232737075</t>
  </si>
  <si>
    <t>YT3413232736269</t>
  </si>
  <si>
    <t>YT3413232735879</t>
  </si>
  <si>
    <t>YT3416465734303</t>
  </si>
  <si>
    <t>YT3416465732594</t>
  </si>
  <si>
    <t>YT3416465731579</t>
  </si>
  <si>
    <t>YT3416465730765</t>
  </si>
  <si>
    <t>YT3416466639045</t>
  </si>
  <si>
    <t>YT3416466638268</t>
  </si>
  <si>
    <t>YT3413233184588</t>
  </si>
  <si>
    <t>YT3416466636587</t>
  </si>
  <si>
    <t>YT3416466635593</t>
  </si>
  <si>
    <t>YT3416466634813</t>
  </si>
  <si>
    <t>YT3413233182698</t>
  </si>
  <si>
    <t>YT3416466633043</t>
  </si>
  <si>
    <t>YT3413233182003</t>
  </si>
  <si>
    <t>YT3413233181673</t>
  </si>
  <si>
    <t>YT3416465740272</t>
  </si>
  <si>
    <t>YT3416465739377</t>
  </si>
  <si>
    <t>YT3416465738413</t>
  </si>
  <si>
    <t>YT3416465737577</t>
  </si>
  <si>
    <t>YT3413232736748</t>
  </si>
  <si>
    <t>YT3413232736142</t>
  </si>
  <si>
    <t>YT3416465734840</t>
  </si>
  <si>
    <t>YT3416465733852</t>
  </si>
  <si>
    <t>YT3416465731605</t>
  </si>
  <si>
    <t>YT3416465730709</t>
  </si>
  <si>
    <t>YT3416450995573</t>
  </si>
  <si>
    <t>YT3413225365292</t>
  </si>
  <si>
    <t>YT1894663897846</t>
  </si>
  <si>
    <t>YT3599013068250</t>
  </si>
  <si>
    <t>YT3599013068153</t>
  </si>
  <si>
    <t>YT3599012374578</t>
  </si>
  <si>
    <t>YT3599013450006</t>
  </si>
  <si>
    <t>YT3599012374422</t>
  </si>
  <si>
    <t>YT3599012927167</t>
  </si>
  <si>
    <t>YT7502583318454</t>
  </si>
  <si>
    <t>YT7502583318441</t>
  </si>
  <si>
    <t>YT7502583318438</t>
  </si>
  <si>
    <t>YT7502584253381</t>
  </si>
  <si>
    <t>YT7502582394477</t>
  </si>
  <si>
    <t>YT7502582622187</t>
  </si>
  <si>
    <t>YT7502584648125</t>
  </si>
  <si>
    <t>YT7501593898574</t>
  </si>
  <si>
    <t>YT7501593898567</t>
  </si>
  <si>
    <t>YT7502582319308</t>
  </si>
  <si>
    <t>YT7502584253150</t>
  </si>
  <si>
    <t>YT8713420935296</t>
  </si>
  <si>
    <t>YT8713420918444</t>
  </si>
  <si>
    <t>YT3599011076275</t>
  </si>
  <si>
    <t>YT3599010715845</t>
  </si>
  <si>
    <t>YT3599011407097</t>
  </si>
  <si>
    <t>YT3599011407718</t>
  </si>
  <si>
    <t>YT3599011076842</t>
  </si>
  <si>
    <t>YT3599010389433</t>
  </si>
  <si>
    <t>YT3599010550266</t>
  </si>
  <si>
    <t>YT3599010716318</t>
  </si>
  <si>
    <t>YT3599011076635</t>
  </si>
  <si>
    <t>YT3599010389293</t>
  </si>
  <si>
    <t>YT3599010198552</t>
  </si>
  <si>
    <t>YT3599010716169</t>
  </si>
  <si>
    <t>上海市</t>
  </si>
  <si>
    <t>YT3599011076484</t>
  </si>
  <si>
    <t>YT3599010716004</t>
  </si>
  <si>
    <t>YT3599010883250</t>
  </si>
  <si>
    <t>YT3599010549901</t>
  </si>
  <si>
    <t>YT3599011266571</t>
  </si>
  <si>
    <t>YT3599010715931</t>
  </si>
  <si>
    <t>YT3599011076301</t>
  </si>
  <si>
    <t>YT3599010549839</t>
  </si>
  <si>
    <t>YT3599010715867</t>
  </si>
  <si>
    <t>YT3599010715821</t>
  </si>
  <si>
    <t>YT3599010883124</t>
  </si>
  <si>
    <t>YT1894655606474</t>
  </si>
  <si>
    <t>YT1894655606465</t>
  </si>
  <si>
    <t>YT1894655606458</t>
  </si>
  <si>
    <t>YT1894655606443</t>
  </si>
  <si>
    <t>YT1894655606485</t>
  </si>
  <si>
    <t>YT1894655606430</t>
  </si>
  <si>
    <t>YT3416449034269</t>
  </si>
  <si>
    <t>YT3413224385796</t>
  </si>
  <si>
    <t>YT3416449033969</t>
  </si>
  <si>
    <t>YT3413224385679</t>
  </si>
  <si>
    <t>YT3416449033750</t>
  </si>
  <si>
    <t>YT3416443527855</t>
  </si>
  <si>
    <t>YT3416440528307</t>
  </si>
  <si>
    <t>YT3416440527469</t>
  </si>
  <si>
    <t>YT3416440526383</t>
  </si>
  <si>
    <t>YT3416440525546</t>
  </si>
  <si>
    <t>YT3416440420128</t>
  </si>
  <si>
    <t>YT3416440419162</t>
  </si>
  <si>
    <t>宁夏回族自治区</t>
  </si>
  <si>
    <t>YT3413220079985</t>
  </si>
  <si>
    <t>YT3416440417661</t>
  </si>
  <si>
    <t>YT3413220078841</t>
  </si>
  <si>
    <t>YT3413220078333</t>
  </si>
  <si>
    <t>YT3413220077978</t>
  </si>
  <si>
    <t>YT3413220077675</t>
  </si>
  <si>
    <t>YT3416440414219</t>
  </si>
  <si>
    <t>YT3416440413739</t>
  </si>
  <si>
    <t>YT3416440412624</t>
  </si>
  <si>
    <t>YT3416440412206</t>
  </si>
  <si>
    <t>YT3416440411663</t>
  </si>
  <si>
    <t>YT3413220075576</t>
  </si>
  <si>
    <t>YT3413220075277</t>
  </si>
  <si>
    <t>YT3416440410257</t>
  </si>
  <si>
    <t>YT3416440409387</t>
  </si>
  <si>
    <t>YT3416440408544</t>
  </si>
  <si>
    <t>YT3416440407587</t>
  </si>
  <si>
    <t>YT3416440421174</t>
  </si>
  <si>
    <t>YT3416440420937</t>
  </si>
  <si>
    <t>YT3416440420030</t>
  </si>
  <si>
    <t>YT3416440419401</t>
  </si>
  <si>
    <t>YT3416440418716</t>
  </si>
  <si>
    <t>YT3416440417634</t>
  </si>
  <si>
    <t>YT3416440416880</t>
  </si>
  <si>
    <t>YT3416440416077</t>
  </si>
  <si>
    <t>YT3413220078036</t>
  </si>
  <si>
    <t>YT3416440414752</t>
  </si>
  <si>
    <t>YT3413220077378</t>
  </si>
  <si>
    <t>YT3416440413823</t>
  </si>
  <si>
    <t>YT3413220076290</t>
  </si>
  <si>
    <t>YT3413220075996</t>
  </si>
  <si>
    <t>YT3413220075875</t>
  </si>
  <si>
    <t>YT3413220075451</t>
  </si>
  <si>
    <t>YT3416440410378</t>
  </si>
  <si>
    <t>YT3416440409473</t>
  </si>
  <si>
    <t>YT3416440407703</t>
  </si>
  <si>
    <t>YT3416440420999</t>
  </si>
  <si>
    <t>YT3413220080857</t>
  </si>
  <si>
    <t>YT3416440419618</t>
  </si>
  <si>
    <t>YT3413220080107</t>
  </si>
  <si>
    <t>YT3416440417999</t>
  </si>
  <si>
    <t>YT3416440417212</t>
  </si>
  <si>
    <t>YT3416440416167</t>
  </si>
  <si>
    <t>YT3416440415656</t>
  </si>
  <si>
    <t>YT3416440415052</t>
  </si>
  <si>
    <t>YT3416440414451</t>
  </si>
  <si>
    <t>YT3416440414037</t>
  </si>
  <si>
    <t>YT3416440413104</t>
  </si>
  <si>
    <t>YT3413220076265</t>
  </si>
  <si>
    <t>YT3416440412080</t>
  </si>
  <si>
    <t>YT3416440411456</t>
  </si>
  <si>
    <t>YT3416440410945</t>
  </si>
  <si>
    <t>YT3416440410400</t>
  </si>
  <si>
    <t>YT3416440409415</t>
  </si>
  <si>
    <t>YT3413220074498</t>
  </si>
  <si>
    <t>YT3416440407886</t>
  </si>
  <si>
    <t>YT3416440421231</t>
  </si>
  <si>
    <t>YT3416440420878</t>
  </si>
  <si>
    <t>YT3413220080644</t>
  </si>
  <si>
    <t>YT3413220080259</t>
  </si>
  <si>
    <t>YT3416440418415</t>
  </si>
  <si>
    <t>YT3416440417399</t>
  </si>
  <si>
    <t>YT3416440416341</t>
  </si>
  <si>
    <t>YT3416440415805</t>
  </si>
  <si>
    <t>YT3413220077824</t>
  </si>
  <si>
    <t>YT3416440414420</t>
  </si>
  <si>
    <t>YT3416440413944</t>
  </si>
  <si>
    <t>YT3413220076476</t>
  </si>
  <si>
    <t>YT3413220076238</t>
  </si>
  <si>
    <t>YT3416440411847</t>
  </si>
  <si>
    <t>YT3416440411339</t>
  </si>
  <si>
    <t>YT3416440410884</t>
  </si>
  <si>
    <t>YT3416440410134</t>
  </si>
  <si>
    <t>YT3416440409358</t>
  </si>
  <si>
    <t>YT3413220074168</t>
  </si>
  <si>
    <t>YT3413220073954</t>
  </si>
  <si>
    <t>YT3416440421026</t>
  </si>
  <si>
    <t>YT3413220080769</t>
  </si>
  <si>
    <t>YT3413220080527</t>
  </si>
  <si>
    <t>YT3413220080073</t>
  </si>
  <si>
    <t>YT3413220079532</t>
  </si>
  <si>
    <t>YT3416440417247</t>
  </si>
  <si>
    <t>YT3413220078542</t>
  </si>
  <si>
    <t>YT3413220078124</t>
  </si>
  <si>
    <t>YT3413220077792</t>
  </si>
  <si>
    <t>YT3416440414543</t>
  </si>
  <si>
    <t>YT3413220077196</t>
  </si>
  <si>
    <t>YT3416440412895</t>
  </si>
  <si>
    <t>YT3416440412387</t>
  </si>
  <si>
    <t>YT3413220075961</t>
  </si>
  <si>
    <t>YT3413220075817</t>
  </si>
  <si>
    <t>YT3416440411003</t>
  </si>
  <si>
    <t>YT3413220075125</t>
  </si>
  <si>
    <t>YT3413220074975</t>
  </si>
  <si>
    <t>YT3413220074436</t>
  </si>
  <si>
    <t>YT3416440407857</t>
  </si>
  <si>
    <t>YT3413220081034</t>
  </si>
  <si>
    <t>YT3416440419793</t>
  </si>
  <si>
    <t>YT3416440418958</t>
  </si>
  <si>
    <t>YT3416440418262</t>
  </si>
  <si>
    <t>YT3416440417270</t>
  </si>
  <si>
    <t>YT3416440416192</t>
  </si>
  <si>
    <t>YT3416440415717</t>
  </si>
  <si>
    <t>YT3416440415236</t>
  </si>
  <si>
    <t>YT3416440414396</t>
  </si>
  <si>
    <t>YT3413220077134</t>
  </si>
  <si>
    <t>YT3416440412804</t>
  </si>
  <si>
    <t>YT3413220076209</t>
  </si>
  <si>
    <t>YT3416440411939</t>
  </si>
  <si>
    <t>YT3416440411485</t>
  </si>
  <si>
    <t>YT3416440411120</t>
  </si>
  <si>
    <t>YT3416440410642</t>
  </si>
  <si>
    <t>YT3416440409987</t>
  </si>
  <si>
    <t>YT3416440409235</t>
  </si>
  <si>
    <t>YT3416440408452</t>
  </si>
  <si>
    <t>YT3416440407644</t>
  </si>
  <si>
    <t>YT3416440421057</t>
  </si>
  <si>
    <t>YT3413220080826</t>
  </si>
  <si>
    <t>YT3416440419643</t>
  </si>
  <si>
    <t>YT3413220080163</t>
  </si>
  <si>
    <t>YT3416440418178</t>
  </si>
  <si>
    <t>YT3416440417364</t>
  </si>
  <si>
    <t>YT3413220078517</t>
  </si>
  <si>
    <t>YT3416440415685</t>
  </si>
  <si>
    <t>YT3416440414996</t>
  </si>
  <si>
    <t>YT3416440414361</t>
  </si>
  <si>
    <t>YT3416440414008</t>
  </si>
  <si>
    <t>YT3416440412927</t>
  </si>
  <si>
    <t>YT3416440412440</t>
  </si>
  <si>
    <t>YT3416440411900</t>
  </si>
  <si>
    <t>YT3416440411366</t>
  </si>
  <si>
    <t>YT3416440410910</t>
  </si>
  <si>
    <t>YT3413220075099</t>
  </si>
  <si>
    <t>YT3413220074821</t>
  </si>
  <si>
    <t>YT3416440408694</t>
  </si>
  <si>
    <t>YT3416440407826</t>
  </si>
  <si>
    <t>YT3416440420964</t>
  </si>
  <si>
    <t>YT3416440420092</t>
  </si>
  <si>
    <t>YT3413220080402</t>
  </si>
  <si>
    <t>YT3413220079925</t>
  </si>
  <si>
    <t>YT3416440417546</t>
  </si>
  <si>
    <t>YT3413220078601</t>
  </si>
  <si>
    <t>YT3413220078243</t>
  </si>
  <si>
    <t>YT3413220077945</t>
  </si>
  <si>
    <t>YT3416440414631</t>
  </si>
  <si>
    <t>YT3413220060967</t>
  </si>
  <si>
    <t>YT3416440382389</t>
  </si>
  <si>
    <t>YT3416440381393</t>
  </si>
  <si>
    <t>YT3413220064114</t>
  </si>
  <si>
    <t>YT3413220063900</t>
  </si>
  <si>
    <t>YT3416440387636</t>
  </si>
  <si>
    <t>YT3413220063120</t>
  </si>
  <si>
    <t>YT3413220062851</t>
  </si>
  <si>
    <t>YT3413220062707</t>
  </si>
  <si>
    <t>YT3413220062648</t>
  </si>
  <si>
    <t>YT3416440385320</t>
  </si>
  <si>
    <t>YT3413220062253</t>
  </si>
  <si>
    <t>YT3416440384695</t>
  </si>
  <si>
    <t>YT3413220061894</t>
  </si>
  <si>
    <t>YT3413220061715</t>
  </si>
  <si>
    <t>YT3416440384187</t>
  </si>
  <si>
    <t>YT3416440383979</t>
  </si>
  <si>
    <t>YT3413220061357</t>
  </si>
  <si>
    <t>YT3416440383702</t>
  </si>
  <si>
    <t>YT3416440383346</t>
  </si>
  <si>
    <t>YT3416440383014</t>
  </si>
  <si>
    <t>YT3413220060699</t>
  </si>
  <si>
    <t>YT3416440381487</t>
  </si>
  <si>
    <t>YT3413220064055</t>
  </si>
  <si>
    <t>YT3413220063847</t>
  </si>
  <si>
    <t>YT3416440387663</t>
  </si>
  <si>
    <t>YT3416440386615</t>
  </si>
  <si>
    <t>YT3413220062880</t>
  </si>
  <si>
    <t>YT3416440385687</t>
  </si>
  <si>
    <t>YT3416440000034</t>
  </si>
  <si>
    <t>YT3416439999341</t>
  </si>
  <si>
    <t>YT3416439998056</t>
  </si>
  <si>
    <t>YT3416439997097</t>
  </si>
  <si>
    <t>YT3416439995770</t>
  </si>
  <si>
    <t>YT3416439993828</t>
  </si>
  <si>
    <t>YT3416439992650</t>
  </si>
  <si>
    <t>YT3416439991543</t>
  </si>
  <si>
    <t>YT3416439990043</t>
  </si>
  <si>
    <t>YT3416439989144</t>
  </si>
  <si>
    <t>YT3413219857925</t>
  </si>
  <si>
    <t>YT3416440385537</t>
  </si>
  <si>
    <t>YT3413220062341</t>
  </si>
  <si>
    <t>YT3416440384819</t>
  </si>
  <si>
    <t>YT3416440384723</t>
  </si>
  <si>
    <t>YT3416440000458</t>
  </si>
  <si>
    <t>YT3413219863382</t>
  </si>
  <si>
    <t>YT3416439998322</t>
  </si>
  <si>
    <t>YT3416439995592</t>
  </si>
  <si>
    <t>YT3416439993949</t>
  </si>
  <si>
    <t>YT3413219860592</t>
  </si>
  <si>
    <t>YT3416439991996</t>
  </si>
  <si>
    <t>YT3413219859303</t>
  </si>
  <si>
    <t>YT3413219858764</t>
  </si>
  <si>
    <t>YT3416439988156</t>
  </si>
  <si>
    <t>YT3416439986899</t>
  </si>
  <si>
    <t>YT3413219856724</t>
  </si>
  <si>
    <t>YT3416439984046</t>
  </si>
  <si>
    <t>YT3416439982576</t>
  </si>
  <si>
    <t>YT3416439981858</t>
  </si>
  <si>
    <t>YT3416440384363</t>
  </si>
  <si>
    <t>YT3416440384279</t>
  </si>
  <si>
    <t>YT3413220061472</t>
  </si>
  <si>
    <t>YT3416440383825</t>
  </si>
  <si>
    <t>YT3416440383618</t>
  </si>
  <si>
    <t>YT3416439999763</t>
  </si>
  <si>
    <t>YT3416439997750</t>
  </si>
  <si>
    <t>YT3416439996557</t>
  </si>
  <si>
    <t>YT3413219861526</t>
  </si>
  <si>
    <t>YT3416439993796</t>
  </si>
  <si>
    <t>YT3416439992539</t>
  </si>
  <si>
    <t>YT3416439991420</t>
  </si>
  <si>
    <t>YT3416439989869</t>
  </si>
  <si>
    <t>YT3416439989029</t>
  </si>
  <si>
    <t>YT3413219857956</t>
  </si>
  <si>
    <t>YT3413219857325</t>
  </si>
  <si>
    <t>YT3413219856810</t>
  </si>
  <si>
    <t>YT3416439985397</t>
  </si>
  <si>
    <t>YT3416439983087</t>
  </si>
  <si>
    <t>YT3416439981760</t>
  </si>
  <si>
    <t>YT3416440383258</t>
  </si>
  <si>
    <t>YT3416440382862</t>
  </si>
  <si>
    <t>YT3416440382237</t>
  </si>
  <si>
    <t>YT3416440381458</t>
  </si>
  <si>
    <t>YT3416440388475</t>
  </si>
  <si>
    <t>YT3413219863566</t>
  </si>
  <si>
    <t>YT3416439999044</t>
  </si>
  <si>
    <t>YT3413219862729</t>
  </si>
  <si>
    <t>YT3416439996197</t>
  </si>
  <si>
    <t>YT3413219861430</t>
  </si>
  <si>
    <t>YT3416439992779</t>
  </si>
  <si>
    <t>YT3416439991668</t>
  </si>
  <si>
    <t>YT3416439989957</t>
  </si>
  <si>
    <t>YT3416439989089</t>
  </si>
  <si>
    <t>YT3416439987768</t>
  </si>
  <si>
    <t>YT3416439987135</t>
  </si>
  <si>
    <t>YT3416439986200</t>
  </si>
  <si>
    <t>YT3416439984284</t>
  </si>
  <si>
    <t>YT3416439982781</t>
  </si>
  <si>
    <t>YT3416439981733</t>
  </si>
  <si>
    <t>YT3416440388082</t>
  </si>
  <si>
    <t>YT3416440387870</t>
  </si>
  <si>
    <t>YT3416440387485</t>
  </si>
  <si>
    <t>YT3416440000368</t>
  </si>
  <si>
    <t>YT3416439998566</t>
  </si>
  <si>
    <t>YT3413219862541</t>
  </si>
  <si>
    <t>YT3416439995891</t>
  </si>
  <si>
    <t>YT3416439994214</t>
  </si>
  <si>
    <t>YT3416439993349</t>
  </si>
  <si>
    <t>YT3416439992140</t>
  </si>
  <si>
    <t>YT3413219859488</t>
  </si>
  <si>
    <t>YT3416439989683</t>
  </si>
  <si>
    <t>YT3413219858317</t>
  </si>
  <si>
    <t>YT3413219857653</t>
  </si>
  <si>
    <t>YT3413219857260</t>
  </si>
  <si>
    <t>YT3413219856696</t>
  </si>
  <si>
    <t>YT3416439984194</t>
  </si>
  <si>
    <t>YT3413219855011</t>
  </si>
  <si>
    <t>YT3416439982156</t>
  </si>
  <si>
    <t>YT3416440386079</t>
  </si>
  <si>
    <t>YT3416440385658</t>
  </si>
  <si>
    <t>YT3413220062552</t>
  </si>
  <si>
    <t>YT3416440385209</t>
  </si>
  <si>
    <t>YT3416439999941</t>
  </si>
  <si>
    <t>YT3416439999282</t>
  </si>
  <si>
    <t>YT3413219862903</t>
  </si>
  <si>
    <t>YT3413219862459</t>
  </si>
  <si>
    <t>YT3413219861825</t>
  </si>
  <si>
    <t>YT3413218993176</t>
  </si>
  <si>
    <t>YT3416438270201</t>
  </si>
  <si>
    <t>YT3416438269663</t>
  </si>
  <si>
    <t>YT3413218992421</t>
  </si>
  <si>
    <t>YT3416438278427</t>
  </si>
  <si>
    <t>YT3413218997228</t>
  </si>
  <si>
    <t>YT3413218996953</t>
  </si>
  <si>
    <t>YT3413218996650</t>
  </si>
  <si>
    <t>YT3413218996230</t>
  </si>
  <si>
    <t>YT3413218995877</t>
  </si>
  <si>
    <t>YT3413218995754</t>
  </si>
  <si>
    <t>YT3413218995211</t>
  </si>
  <si>
    <t>YT3416438273864</t>
  </si>
  <si>
    <t>YT3413218994409</t>
  </si>
  <si>
    <t>YT3413218994195</t>
  </si>
  <si>
    <t>YT3416438272458</t>
  </si>
  <si>
    <t>YT3416438272096</t>
  </si>
  <si>
    <t>YT3416438271617</t>
  </si>
  <si>
    <t>YT3413218993448</t>
  </si>
  <si>
    <t>YT3413218993295</t>
  </si>
  <si>
    <t>YT3416438270382</t>
  </si>
  <si>
    <t>YT3413218992694</t>
  </si>
  <si>
    <t>YT3416438268888</t>
  </si>
  <si>
    <t>YT3416438278872</t>
  </si>
  <si>
    <t>YT3416438278487</t>
  </si>
  <si>
    <t>YT3416438278153</t>
  </si>
  <si>
    <t>YT3416438277853</t>
  </si>
  <si>
    <t>YT3413218996629</t>
  </si>
  <si>
    <t>YT3416438276597</t>
  </si>
  <si>
    <t>YT3416438276021</t>
  </si>
  <si>
    <t>YT3416438275789</t>
  </si>
  <si>
    <t>YT3416438274580</t>
  </si>
  <si>
    <t>YT3413218994490</t>
  </si>
  <si>
    <t>YT3413218994377</t>
  </si>
  <si>
    <t>YT3413218994160</t>
  </si>
  <si>
    <t>YT3416438272487</t>
  </si>
  <si>
    <t>YT3413218993868</t>
  </si>
  <si>
    <t>YT3413218993594</t>
  </si>
  <si>
    <t>YT3416438271196</t>
  </si>
  <si>
    <t>YT3416438270711</t>
  </si>
  <si>
    <t>YT3416438270085</t>
  </si>
  <si>
    <t>YT3416438269571</t>
  </si>
  <si>
    <t>YT3413218992452</t>
  </si>
  <si>
    <t>YT3416438279116</t>
  </si>
  <si>
    <t>YT3413218997527</t>
  </si>
  <si>
    <t>YT3416438278690</t>
  </si>
  <si>
    <t>YT3416438278302</t>
  </si>
  <si>
    <t>YT3413218997136</t>
  </si>
  <si>
    <t>YT3416438277738</t>
  </si>
  <si>
    <t>YT3416438276928</t>
  </si>
  <si>
    <t>YT3416438276179</t>
  </si>
  <si>
    <t>YT3416438275840</t>
  </si>
  <si>
    <t>YT3416438274647</t>
  </si>
  <si>
    <t>YT3416438273808</t>
  </si>
  <si>
    <t>YT3416438273321</t>
  </si>
  <si>
    <t>YT3416438272788</t>
  </si>
  <si>
    <t>YT3416438272302</t>
  </si>
  <si>
    <t>YT3413218993569</t>
  </si>
  <si>
    <t>YT3416438270982</t>
  </si>
  <si>
    <t>YT3416438270566</t>
  </si>
  <si>
    <t>YT3413218992935</t>
  </si>
  <si>
    <t>YT3416438269757</t>
  </si>
  <si>
    <t>YT3416438269120</t>
  </si>
  <si>
    <t>YT3416438278849</t>
  </si>
  <si>
    <t>YT3416438278515</t>
  </si>
  <si>
    <t>YT3416438278182</t>
  </si>
  <si>
    <t>YT3413218997015</t>
  </si>
  <si>
    <t>YT3416438277499</t>
  </si>
  <si>
    <t>YT3413218520949</t>
  </si>
  <si>
    <t>YT3416437189180</t>
  </si>
  <si>
    <t>YT3416437188761</t>
  </si>
  <si>
    <t>YT3416437188372</t>
  </si>
  <si>
    <t>YT3416437187922</t>
  </si>
  <si>
    <t>YT3598998557412</t>
  </si>
  <si>
    <t>YT3598998179593</t>
  </si>
  <si>
    <t>YT3598999238439</t>
  </si>
  <si>
    <t>YT3598998375988</t>
  </si>
  <si>
    <t>YT3598998179452</t>
  </si>
  <si>
    <t>YT3598999238299</t>
  </si>
  <si>
    <t>YT3598998168412</t>
  </si>
  <si>
    <t>YT3598998877853</t>
  </si>
  <si>
    <t>YT3598998168344</t>
  </si>
  <si>
    <t>YT3598998168292</t>
  </si>
  <si>
    <t>YT3598997992335</t>
  </si>
  <si>
    <t>YT3598999068801</t>
  </si>
  <si>
    <t>YT3598998364373</t>
  </si>
  <si>
    <t>重庆市</t>
  </si>
  <si>
    <t>YT3598998168117</t>
  </si>
  <si>
    <t>YT3598998687993</t>
  </si>
  <si>
    <t>YT3598998364250</t>
  </si>
  <si>
    <t>YT3598998877549</t>
  </si>
  <si>
    <t>YT3598998878056</t>
  </si>
  <si>
    <t>YT3598998163084</t>
  </si>
  <si>
    <t>YT3598998540737</t>
  </si>
  <si>
    <t>YT3598994967417</t>
  </si>
  <si>
    <t>YT3598994792705</t>
  </si>
  <si>
    <t>YT3598995487167</t>
  </si>
  <si>
    <t>YT3598996028464</t>
  </si>
  <si>
    <t>青海省</t>
  </si>
  <si>
    <t>YT3598994967187</t>
  </si>
  <si>
    <t>YT3598995160446</t>
  </si>
  <si>
    <t>YT3598995342042</t>
  </si>
  <si>
    <t>YT3598995862906</t>
  </si>
  <si>
    <t>YT3598995486742</t>
  </si>
  <si>
    <t>YT3598995160183</t>
  </si>
  <si>
    <t>YT3598995342541</t>
  </si>
  <si>
    <t>YT3598995675269</t>
  </si>
  <si>
    <t>YT1894597848383</t>
  </si>
  <si>
    <t>YT1894597848372</t>
  </si>
  <si>
    <t>YT1894597848363</t>
  </si>
  <si>
    <t>YT1894597848356</t>
  </si>
  <si>
    <t>YT1894597848341</t>
  </si>
  <si>
    <t>YT1894585964008</t>
  </si>
  <si>
    <t>YT1894585963997</t>
  </si>
  <si>
    <t>YT1894585963984</t>
  </si>
  <si>
    <t>YT1894583295184</t>
  </si>
  <si>
    <t>YT1894583295173</t>
  </si>
  <si>
    <t>YT1894583295164</t>
  </si>
  <si>
    <t>YT1894583295157</t>
  </si>
  <si>
    <t>YT1894583295142</t>
  </si>
  <si>
    <t>YT1894585009521</t>
  </si>
  <si>
    <t>YT1894585009512</t>
  </si>
  <si>
    <t>YT1894585009505</t>
  </si>
  <si>
    <t>YT1894585009499</t>
  </si>
  <si>
    <t>YT1894585009486</t>
  </si>
  <si>
    <t>YT1894585009475</t>
  </si>
  <si>
    <t>YT1894585009466</t>
  </si>
  <si>
    <t>YT1894585009459</t>
  </si>
  <si>
    <t>YT1894585009444</t>
  </si>
  <si>
    <t>YT1894585009431</t>
  </si>
  <si>
    <t>YT1894585009161</t>
  </si>
  <si>
    <t>YT1894585009154</t>
  </si>
  <si>
    <t>YT1894573808233</t>
  </si>
  <si>
    <t>YT1894573808222</t>
  </si>
  <si>
    <t>YT1894573808213</t>
  </si>
  <si>
    <t>YT1894565639465</t>
  </si>
  <si>
    <t>YT1894565639458</t>
  </si>
  <si>
    <t>YT1894565639443</t>
  </si>
  <si>
    <t>YT1894565639430</t>
  </si>
  <si>
    <t>YT8712653742897</t>
  </si>
  <si>
    <t>YT3598972853561</t>
  </si>
  <si>
    <t>YT1894445166902</t>
  </si>
  <si>
    <t>YT1894445166898</t>
  </si>
  <si>
    <t>YT1894445166885</t>
  </si>
  <si>
    <t>YT1894445166874</t>
  </si>
  <si>
    <t>YT1894445166865</t>
  </si>
  <si>
    <t>YT7502389401402</t>
  </si>
  <si>
    <t>YT7502389711475</t>
  </si>
  <si>
    <t>YT7502388616153</t>
  </si>
  <si>
    <t>YT1894434521123</t>
  </si>
  <si>
    <t>YT1894434521114</t>
  </si>
  <si>
    <t>YT1894434422248</t>
  </si>
  <si>
    <t>YT1894434422235</t>
  </si>
  <si>
    <t>YT1894434422224</t>
  </si>
  <si>
    <t>YT1894434422215</t>
  </si>
  <si>
    <t>YT1894435368316</t>
  </si>
  <si>
    <t>YT1894435368309</t>
  </si>
  <si>
    <t>YT1894435368297</t>
  </si>
  <si>
    <t>YT1894435368284</t>
  </si>
  <si>
    <t>YT1894435368273</t>
  </si>
  <si>
    <t>YT1894435368264</t>
  </si>
  <si>
    <t>YT1894434422208</t>
  </si>
  <si>
    <t>YT1894435368257</t>
  </si>
  <si>
    <t>YT3416421260020</t>
  </si>
  <si>
    <t>YT3413210492345</t>
  </si>
  <si>
    <t>YT3416421259545</t>
  </si>
  <si>
    <t>YT3413210492196</t>
  </si>
  <si>
    <t>YT3416421259091</t>
  </si>
  <si>
    <t>YT3598971022102</t>
  </si>
  <si>
    <t>YT3598969946177</t>
  </si>
  <si>
    <t>YT3598970474526</t>
  </si>
  <si>
    <t>YT3598970325806</t>
  </si>
  <si>
    <t>YT3598970474500</t>
  </si>
  <si>
    <t>YT3598969946133</t>
  </si>
  <si>
    <t>YT3598969946122</t>
  </si>
  <si>
    <t>YT3598969946098</t>
  </si>
  <si>
    <t>YT3598969946085</t>
  </si>
  <si>
    <t>YT3598970474449</t>
  </si>
  <si>
    <t>YT3598970652797</t>
  </si>
  <si>
    <t>YT3598970652784</t>
  </si>
  <si>
    <t>YT3598970138329</t>
  </si>
  <si>
    <t>YT3598970652757</t>
  </si>
  <si>
    <t>YT3598970474380</t>
  </si>
  <si>
    <t>YT3598969796743</t>
  </si>
  <si>
    <t>YT3598970827658</t>
  </si>
  <si>
    <t>YT3598970138277</t>
  </si>
  <si>
    <t>YT3416421258911</t>
  </si>
  <si>
    <t>YT7502386673424</t>
  </si>
  <si>
    <t>YT7502386673417</t>
  </si>
  <si>
    <t>YT7502386673400</t>
  </si>
  <si>
    <t>YT7502386673390</t>
  </si>
  <si>
    <t>YT7502386673387</t>
  </si>
  <si>
    <t>YT7502385434088</t>
  </si>
  <si>
    <t>YT7502385821088</t>
  </si>
  <si>
    <t>YT7502386045063</t>
  </si>
  <si>
    <t>YT7502387293861</t>
  </si>
  <si>
    <t>YT7502386911340</t>
  </si>
  <si>
    <t>YT7501593898547</t>
  </si>
  <si>
    <t>YT7502385239117</t>
  </si>
  <si>
    <t>大于3</t>
  </si>
  <si>
    <t>YT3416408706288</t>
  </si>
  <si>
    <t>YT3413204201856</t>
  </si>
  <si>
    <t>YT3413204201702</t>
  </si>
  <si>
    <t>YT3413204201492</t>
  </si>
  <si>
    <t>YT3416408714779</t>
  </si>
  <si>
    <t>YT3416408714230</t>
  </si>
  <si>
    <t>YT3416408713514</t>
  </si>
  <si>
    <t>YT3416408712708</t>
  </si>
  <si>
    <t>YT3413204205124</t>
  </si>
  <si>
    <t>YT3416408711655</t>
  </si>
  <si>
    <t>YT3416408711297</t>
  </si>
  <si>
    <t>YT3416408710814</t>
  </si>
  <si>
    <t>YT3416408710515</t>
  </si>
  <si>
    <t>YT3416408710096</t>
  </si>
  <si>
    <t>YT3416408709708</t>
  </si>
  <si>
    <t>YT3413204204044</t>
  </si>
  <si>
    <t>YT3416408708839</t>
  </si>
  <si>
    <t>YT3416408708026</t>
  </si>
  <si>
    <t>YT3413204202840</t>
  </si>
  <si>
    <t>YT3416408706644</t>
  </si>
  <si>
    <t>YT3416408706163</t>
  </si>
  <si>
    <t>YT3413204201911</t>
  </si>
  <si>
    <t>YT3413204201676</t>
  </si>
  <si>
    <t>YT3416408705142</t>
  </si>
  <si>
    <t>YT3413204206417</t>
  </si>
  <si>
    <t>YT3416408714115</t>
  </si>
  <si>
    <t>YT3413204205630</t>
  </si>
  <si>
    <t>YT3416408712498</t>
  </si>
  <si>
    <t>YT3416408711716</t>
  </si>
  <si>
    <t>YT3413204205007</t>
  </si>
  <si>
    <t>YT3416408710872</t>
  </si>
  <si>
    <t>YT3416408710573</t>
  </si>
  <si>
    <t>YT3416408710216</t>
  </si>
  <si>
    <t>YT3416408710005</t>
  </si>
  <si>
    <t>YT3416408709553</t>
  </si>
  <si>
    <t>YT3413204203953</t>
  </si>
  <si>
    <t>YT3416408708651</t>
  </si>
  <si>
    <t>YT3413204203201</t>
  </si>
  <si>
    <t>YT3416408707184</t>
  </si>
  <si>
    <t>YT3413204202488</t>
  </si>
  <si>
    <t>YT3416408706198</t>
  </si>
  <si>
    <t>YT3416408705955</t>
  </si>
  <si>
    <t>YT3416408705593</t>
  </si>
  <si>
    <t>YT3416408705175</t>
  </si>
  <si>
    <t>YT3416408714650</t>
  </si>
  <si>
    <t>YT3416408713758</t>
  </si>
  <si>
    <t>YT3413204205517</t>
  </si>
  <si>
    <t>YT3416408712193</t>
  </si>
  <si>
    <t>YT3416408711895</t>
  </si>
  <si>
    <t>YT3416408711415</t>
  </si>
  <si>
    <t>YT3413204204851</t>
  </si>
  <si>
    <t>YT3416408710788</t>
  </si>
  <si>
    <t>YT3416408710302</t>
  </si>
  <si>
    <t>YT3416408709975</t>
  </si>
  <si>
    <t>YT3413204204253</t>
  </si>
  <si>
    <t>YT3416408709045</t>
  </si>
  <si>
    <t>YT3416408708680</t>
  </si>
  <si>
    <t>YT3413204203230</t>
  </si>
  <si>
    <t>YT3413204202691</t>
  </si>
  <si>
    <t>YT3416408706558</t>
  </si>
  <si>
    <t>YT3416408706228</t>
  </si>
  <si>
    <t>YT3416408705984</t>
  </si>
  <si>
    <t>YT3416408705447</t>
  </si>
  <si>
    <t>YT3413204201430</t>
  </si>
  <si>
    <t>YT3416408714953</t>
  </si>
  <si>
    <t>YT3416408714500</t>
  </si>
  <si>
    <t>YT3416408713848</t>
  </si>
  <si>
    <t>YT3413204205542</t>
  </si>
  <si>
    <t>YT3413204205218</t>
  </si>
  <si>
    <t>YT3416408711804</t>
  </si>
  <si>
    <t>YT3416408711440</t>
  </si>
  <si>
    <t>YT3413204204736</t>
  </si>
  <si>
    <t>YT3416408710540</t>
  </si>
  <si>
    <t>YT3413204204406</t>
  </si>
  <si>
    <t>YT3413204204341</t>
  </si>
  <si>
    <t>YT3416408709254</t>
  </si>
  <si>
    <t>YT3416408708800</t>
  </si>
  <si>
    <t>YT3413204203322</t>
  </si>
  <si>
    <t>YT3413204202729</t>
  </si>
  <si>
    <t>YT3416408706587</t>
  </si>
  <si>
    <t>YT3413204202242</t>
  </si>
  <si>
    <t>YT3413204201885</t>
  </si>
  <si>
    <t>YT3413204201768</t>
  </si>
  <si>
    <t>YT3416408705203</t>
  </si>
  <si>
    <t>YT3413204206442</t>
  </si>
  <si>
    <t>YT3416408714140</t>
  </si>
  <si>
    <t>YT3413204205667</t>
  </si>
  <si>
    <t>YT3416408712436</t>
  </si>
  <si>
    <t>YT3416408711958</t>
  </si>
  <si>
    <t>YT3416408711534</t>
  </si>
  <si>
    <t>YT3416408711235</t>
  </si>
  <si>
    <t>YT3416408710759</t>
  </si>
  <si>
    <t>YT3416408710393</t>
  </si>
  <si>
    <t>YT3416408710061</t>
  </si>
  <si>
    <t>YT3416408709672</t>
  </si>
  <si>
    <t>YT3413204204019</t>
  </si>
  <si>
    <t>YT3413204203779</t>
  </si>
  <si>
    <t>YT3416408707995</t>
  </si>
  <si>
    <t>YT3416408706703</t>
  </si>
  <si>
    <t>YT3416408706259</t>
  </si>
  <si>
    <t>YT3416408705924</t>
  </si>
  <si>
    <t>YT3413204201643</t>
  </si>
  <si>
    <t>YT3416408705058</t>
  </si>
  <si>
    <t>YT3413204206350</t>
  </si>
  <si>
    <t>YT3416408714025</t>
  </si>
  <si>
    <t>YT3416408713240</t>
  </si>
  <si>
    <t>YT3416408712342</t>
  </si>
  <si>
    <t>YT3413204205098</t>
  </si>
  <si>
    <t>YT3416408711624</t>
  </si>
  <si>
    <t>YT3416408711110</t>
  </si>
  <si>
    <t>YT3416408710728</t>
  </si>
  <si>
    <t>YT3416408710368</t>
  </si>
  <si>
    <t>YT3413204204374</t>
  </si>
  <si>
    <t>YT3416408709498</t>
  </si>
  <si>
    <t>YT3413204203865</t>
  </si>
  <si>
    <t>YT3416408708174</t>
  </si>
  <si>
    <t>YT3416408707841</t>
  </si>
  <si>
    <t>YT3416408707218</t>
  </si>
  <si>
    <t>YT3413204202428</t>
  </si>
  <si>
    <t>YT3416408706136</t>
  </si>
  <si>
    <t>YT3416408705748</t>
  </si>
  <si>
    <t>YT3413204201526</t>
  </si>
  <si>
    <t>YT3416408704813</t>
  </si>
  <si>
    <t>YT3416408714746</t>
  </si>
  <si>
    <t>YT3416408714056</t>
  </si>
  <si>
    <t>YT3416408713330</t>
  </si>
  <si>
    <t>YT3416408712522</t>
  </si>
  <si>
    <t>YT3416408711987</t>
  </si>
  <si>
    <t>YT3416408711596</t>
  </si>
  <si>
    <t>YT3416408711327</t>
  </si>
  <si>
    <t>YT3416408710849</t>
  </si>
  <si>
    <t>YT3413204204521</t>
  </si>
  <si>
    <t>YT3416408710122</t>
  </si>
  <si>
    <t>YT3416408709764</t>
  </si>
  <si>
    <t>YT3416408709463</t>
  </si>
  <si>
    <t>YT3416408708923</t>
  </si>
  <si>
    <t>YT3413204203353</t>
  </si>
  <si>
    <t>YT3416408707333</t>
  </si>
  <si>
    <t>YT3416408706619</t>
  </si>
  <si>
    <t>YT3416408706347</t>
  </si>
  <si>
    <t>YT3413204201979</t>
  </si>
  <si>
    <t>YT3416408705568</t>
  </si>
  <si>
    <t>YT3416408705087</t>
  </si>
  <si>
    <t>YT3416408714478</t>
  </si>
  <si>
    <t>YT3416408713901</t>
  </si>
  <si>
    <t>YT3413204205601</t>
  </si>
  <si>
    <t>YT3416408712463</t>
  </si>
  <si>
    <t>YT3416408711927</t>
  </si>
  <si>
    <t>YT3416408711505</t>
  </si>
  <si>
    <t>YT3416408711145</t>
  </si>
  <si>
    <t>YT3413204204671</t>
  </si>
  <si>
    <t>YT3416408710241</t>
  </si>
  <si>
    <t>YT3416408709852</t>
  </si>
  <si>
    <t>YT3413204204192</t>
  </si>
  <si>
    <t>YT3416408708983</t>
  </si>
  <si>
    <t>YT3416408708620</t>
  </si>
  <si>
    <t>YT3416408707904</t>
  </si>
  <si>
    <t>YT3413204202639</t>
  </si>
  <si>
    <t>YT3416408706493</t>
  </si>
  <si>
    <t>YT3413204202183</t>
  </si>
  <si>
    <t>YT3416408705830</t>
  </si>
  <si>
    <t>YT3416408705355</t>
  </si>
  <si>
    <t>YT3416408704848</t>
  </si>
  <si>
    <t>YT3416408714890</t>
  </si>
  <si>
    <t>YT3416408714539</t>
  </si>
  <si>
    <t>YT3416408713813</t>
  </si>
  <si>
    <t>YT3413204205575</t>
  </si>
  <si>
    <t>YT3413204205276</t>
  </si>
  <si>
    <t>YT3416408711774</t>
  </si>
  <si>
    <t>YT3413204204974</t>
  </si>
  <si>
    <t>YT3416408710993</t>
  </si>
  <si>
    <t>YT3416408710638</t>
  </si>
  <si>
    <t>YT3413204204435</t>
  </si>
  <si>
    <t>YT3416408709821</t>
  </si>
  <si>
    <t>YT3416408709375</t>
  </si>
  <si>
    <t>YT3416408708866</t>
  </si>
  <si>
    <t>YT3413204203410</t>
  </si>
  <si>
    <t>YT3416408707692</t>
  </si>
  <si>
    <t>YT3416408706732</t>
  </si>
  <si>
    <t>YT3413204202217</t>
  </si>
  <si>
    <t>YT3413204202006</t>
  </si>
  <si>
    <t>YT3416408705652</t>
  </si>
  <si>
    <t>YT3416408704901</t>
  </si>
  <si>
    <t>YT3416408714445</t>
  </si>
  <si>
    <t>YT3416408713457</t>
  </si>
  <si>
    <t>YT3413204205395</t>
  </si>
  <si>
    <t>YT3416408712102</t>
  </si>
  <si>
    <t>YT3413204205036</t>
  </si>
  <si>
    <t>YT3413204204916</t>
  </si>
  <si>
    <t>YT3413204204763</t>
  </si>
  <si>
    <t>YT3413204204648</t>
  </si>
  <si>
    <t>YT3416408710274</t>
  </si>
  <si>
    <t>YT3416408709942</t>
  </si>
  <si>
    <t>YT3416408709582</t>
  </si>
  <si>
    <t>YT3416408709102</t>
  </si>
  <si>
    <t>YT3413204203629</t>
  </si>
  <si>
    <t>YT3416408707960</t>
  </si>
  <si>
    <t>YT3413204202666</t>
  </si>
  <si>
    <t>YT3413204202394</t>
  </si>
  <si>
    <t>YT3413204202123</t>
  </si>
  <si>
    <t>YT3416408705771</t>
  </si>
  <si>
    <t>YT3416408705412</t>
  </si>
  <si>
    <t>YT3416408705027</t>
  </si>
  <si>
    <t>YT3413204206507</t>
  </si>
  <si>
    <t>YT3413204206112</t>
  </si>
  <si>
    <t>YT3416408713273</t>
  </si>
  <si>
    <t>YT3416408712407</t>
  </si>
  <si>
    <t>YT3416408711741</t>
  </si>
  <si>
    <t>YT3416408711387</t>
  </si>
  <si>
    <t>YT3413204204798</t>
  </si>
  <si>
    <t>YT3416408710665</t>
  </si>
  <si>
    <t>YT3416408710331</t>
  </si>
  <si>
    <t>YT3416408710034</t>
  </si>
  <si>
    <t>YT3413204204282</t>
  </si>
  <si>
    <t>YT3416408709078</t>
  </si>
  <si>
    <t>YT3416408708592</t>
  </si>
  <si>
    <t>YT3413204203173</t>
  </si>
  <si>
    <t>YT3416408707007</t>
  </si>
  <si>
    <t>YT3416408706431</t>
  </si>
  <si>
    <t>YT3416408706107</t>
  </si>
  <si>
    <t>YT3413204201825</t>
  </si>
  <si>
    <t>YT3416408705502</t>
  </si>
  <si>
    <t>YT3416408704871</t>
  </si>
  <si>
    <t>YT3413204205995</t>
  </si>
  <si>
    <t>YT3416408713367</t>
  </si>
  <si>
    <t>YT3413204205333</t>
  </si>
  <si>
    <t>YT3416408712010</t>
  </si>
  <si>
    <t>YT3416408711684</t>
  </si>
  <si>
    <t>YT3416408711358</t>
  </si>
  <si>
    <t>YT3413204204707</t>
  </si>
  <si>
    <t>YT3413204204581</t>
  </si>
  <si>
    <t>YT3416408710182</t>
  </si>
  <si>
    <t>YT3416408709881</t>
  </si>
  <si>
    <t>YT3416408709522</t>
  </si>
  <si>
    <t>YT3413204203838</t>
  </si>
  <si>
    <t>YT3416408708293</t>
  </si>
  <si>
    <t>YT3416408707780</t>
  </si>
  <si>
    <t>YT3416408707098</t>
  </si>
  <si>
    <t>YT3413204202369</t>
  </si>
  <si>
    <t>YT3416408706040</t>
  </si>
  <si>
    <t>YT3416408705867</t>
  </si>
  <si>
    <t>YT3416408705470</t>
  </si>
  <si>
    <t>YT3416408704930</t>
  </si>
  <si>
    <t>YT3416408715011</t>
  </si>
  <si>
    <t>YT3416408714809</t>
  </si>
  <si>
    <t>YT3413204206022</t>
  </si>
  <si>
    <t>YT3416408713152</t>
  </si>
  <si>
    <t>YT3416408712317</t>
  </si>
  <si>
    <t>YT3416408711860</t>
  </si>
  <si>
    <t>YT3413204204941</t>
  </si>
  <si>
    <t>YT3416408710931</t>
  </si>
  <si>
    <t>YT3413204204613</t>
  </si>
  <si>
    <t>YT3416408710153</t>
  </si>
  <si>
    <t>YT3416408709799</t>
  </si>
  <si>
    <t>YT3413204204130</t>
  </si>
  <si>
    <t>YT3416408708891</t>
  </si>
  <si>
    <t>YT3416408708116</t>
  </si>
  <si>
    <t>YT3413204202873</t>
  </si>
  <si>
    <t>YT3413204202516</t>
  </si>
  <si>
    <t>YT3413204202275</t>
  </si>
  <si>
    <t>YT3413204201946</t>
  </si>
  <si>
    <t>YT3416408705531</t>
  </si>
  <si>
    <t>YT3413204201467</t>
  </si>
  <si>
    <t>YT3416408714629</t>
  </si>
  <si>
    <t>YT3416408713967</t>
  </si>
  <si>
    <t>YT3416408713215</t>
  </si>
  <si>
    <t>YT3416408712254</t>
  </si>
  <si>
    <t>YT3413204205063</t>
  </si>
  <si>
    <t>YT3416408711473</t>
  </si>
  <si>
    <t>YT3416408711051</t>
  </si>
  <si>
    <t>YT3416408710690</t>
  </si>
  <si>
    <t>YT3413204204462</t>
  </si>
  <si>
    <t>YT3416408709917</t>
  </si>
  <si>
    <t>YT3413204204167</t>
  </si>
  <si>
    <t>YT3413204203922</t>
  </si>
  <si>
    <t>YT3416408708383</t>
  </si>
  <si>
    <t>YT3416408707751</t>
  </si>
  <si>
    <t>YT3416408707036</t>
  </si>
  <si>
    <t>YT3413204202459</t>
  </si>
  <si>
    <t>YT3413204202154</t>
  </si>
  <si>
    <t>YT3416408705892</t>
  </si>
  <si>
    <t>YT3413204201618</t>
  </si>
  <si>
    <t>天津市</t>
  </si>
  <si>
    <t>YT3598951159673</t>
  </si>
  <si>
    <t>YT3598951159664</t>
  </si>
  <si>
    <t>YT3598951905740</t>
  </si>
  <si>
    <t>YT3598952234418</t>
  </si>
  <si>
    <t>YT3598951361269</t>
  </si>
  <si>
    <t>YT3598951361252</t>
  </si>
  <si>
    <t>YT3598951538287</t>
  </si>
  <si>
    <t>YT3598950979786</t>
  </si>
  <si>
    <t>YT3598952234300</t>
  </si>
  <si>
    <t>YT3598951361171</t>
  </si>
  <si>
    <t>YT3598951361155</t>
  </si>
  <si>
    <t>YT3598952060239</t>
  </si>
  <si>
    <t>YT3598951906138</t>
  </si>
  <si>
    <t>YT3598951722356</t>
  </si>
  <si>
    <t>YT3598951906008</t>
  </si>
  <si>
    <t>YT3598952234678</t>
  </si>
  <si>
    <t>YT3598952060633</t>
  </si>
  <si>
    <t>YT3598952060563</t>
  </si>
  <si>
    <t>YT3598951722114</t>
  </si>
  <si>
    <t>YT3598951722059</t>
  </si>
  <si>
    <t>YT3598951538397</t>
  </si>
  <si>
    <t>YT3598952234472</t>
  </si>
  <si>
    <t>YT3598951721984</t>
  </si>
  <si>
    <t>YT3598952234427</t>
  </si>
  <si>
    <t>YT3598952234401</t>
  </si>
  <si>
    <t>YT3598952060354</t>
  </si>
  <si>
    <t>YT3598951159602</t>
  </si>
  <si>
    <t>YT3598950979803</t>
  </si>
  <si>
    <t>YT3598952234317</t>
  </si>
  <si>
    <t>YT3598951159552</t>
  </si>
  <si>
    <t>YT3598951159547</t>
  </si>
  <si>
    <t>YT3598950979704</t>
  </si>
  <si>
    <t>YT1894340361518</t>
  </si>
  <si>
    <t>YT1894341316102</t>
  </si>
  <si>
    <t>YT1894341316094</t>
  </si>
  <si>
    <t>YT1894341316081</t>
  </si>
  <si>
    <t>YT1894341316070</t>
  </si>
  <si>
    <t>YT1894341316061</t>
  </si>
  <si>
    <t>YT1894341316054</t>
  </si>
  <si>
    <t>YT1894341316049</t>
  </si>
  <si>
    <t>YT1894341316036</t>
  </si>
  <si>
    <t>YT1894341316025</t>
  </si>
  <si>
    <t>YT1894341316016</t>
  </si>
  <si>
    <t>YT1894340698205</t>
  </si>
  <si>
    <t>YT1894340698193</t>
  </si>
  <si>
    <t>YT1894340698180</t>
  </si>
  <si>
    <t>YT1894340698179</t>
  </si>
  <si>
    <t>YT1894340698160</t>
  </si>
  <si>
    <t>YT1894340698153</t>
  </si>
  <si>
    <t>YT1894340698148</t>
  </si>
  <si>
    <t>YT1894340698135</t>
  </si>
  <si>
    <t>YT1894340698124</t>
  </si>
  <si>
    <t>YT1894340698115</t>
  </si>
  <si>
    <t>YT1894341533783</t>
  </si>
  <si>
    <t>YT1894341533772</t>
  </si>
  <si>
    <t>YT1894341533763</t>
  </si>
  <si>
    <t>YT1894341533756</t>
  </si>
  <si>
    <t>YT1894341533741</t>
  </si>
  <si>
    <t>YT1894341533738</t>
  </si>
  <si>
    <t>YT1894341533727</t>
  </si>
  <si>
    <t>YT1894341533718</t>
  </si>
  <si>
    <t>YT1894341533701</t>
  </si>
  <si>
    <t>YT1894341533691</t>
  </si>
  <si>
    <t>YT1894340178910</t>
  </si>
  <si>
    <t>YT1894340178903</t>
  </si>
  <si>
    <t>YT1894340178899</t>
  </si>
  <si>
    <t>YT1894340178886</t>
  </si>
  <si>
    <t>YT1894340178875</t>
  </si>
  <si>
    <t>YT1894340178866</t>
  </si>
  <si>
    <t>YT1894340178859</t>
  </si>
  <si>
    <t>YT1894340178844</t>
  </si>
  <si>
    <t>YT1894340178831</t>
  </si>
  <si>
    <t>YT1894340178820</t>
  </si>
  <si>
    <t>YT1894340757797</t>
  </si>
  <si>
    <t>YT1894340757784</t>
  </si>
  <si>
    <t>YT1894340757773</t>
  </si>
  <si>
    <t>YT1894340757764</t>
  </si>
  <si>
    <t>YT1894340757757</t>
  </si>
  <si>
    <t>YT1894340757742</t>
  </si>
  <si>
    <t>YT1894340757739</t>
  </si>
  <si>
    <t>YT1894340757728</t>
  </si>
  <si>
    <t>YT1894340757719</t>
  </si>
  <si>
    <t>YT1894340757702</t>
  </si>
  <si>
    <t>YT7502208923470</t>
  </si>
  <si>
    <t>YT3598931638341</t>
  </si>
  <si>
    <t>YT3598930987244</t>
  </si>
  <si>
    <t>YT1894229340519</t>
  </si>
  <si>
    <t>YT1894229340502</t>
  </si>
  <si>
    <t>YT7502194780644</t>
  </si>
  <si>
    <t>YT7502194780631</t>
  </si>
  <si>
    <t>YT7502194780622</t>
  </si>
  <si>
    <t>YT7502194780613</t>
  </si>
  <si>
    <t>YT7502194780608</t>
  </si>
  <si>
    <t>YT7502194780592</t>
  </si>
  <si>
    <t>YT3413197541708</t>
  </si>
  <si>
    <t>YT3416395360845</t>
  </si>
  <si>
    <t>YT3416395360724</t>
  </si>
  <si>
    <t>YT3413197541463</t>
  </si>
  <si>
    <t>YT3416395360605</t>
  </si>
  <si>
    <t>YT3413197541317</t>
  </si>
  <si>
    <t>YT3413197541283</t>
  </si>
  <si>
    <t>YT3416395360212</t>
  </si>
  <si>
    <t>YT1894217952128</t>
  </si>
  <si>
    <t>YT1894217952119</t>
  </si>
  <si>
    <t>YT1894217952102</t>
  </si>
  <si>
    <t>YT1894217952094</t>
  </si>
  <si>
    <t>YT1894217156959</t>
  </si>
  <si>
    <t>YT1894217156944</t>
  </si>
  <si>
    <t>YT1894217156931</t>
  </si>
  <si>
    <t>YT1894217156920</t>
  </si>
  <si>
    <t>YT1894217156911</t>
  </si>
  <si>
    <t>YT1894217156904</t>
  </si>
  <si>
    <t>YT1894217156890</t>
  </si>
  <si>
    <t>YT1894217156887</t>
  </si>
  <si>
    <t>YT1894217156876</t>
  </si>
  <si>
    <t>YT1894217156867</t>
  </si>
  <si>
    <t>YT1894218124344</t>
  </si>
  <si>
    <t>YT1894218124331</t>
  </si>
  <si>
    <t>YT1894218124320</t>
  </si>
  <si>
    <t>YT1894218124311</t>
  </si>
  <si>
    <t>YT1894218124304</t>
  </si>
  <si>
    <t>YT1894218124292</t>
  </si>
  <si>
    <t>YT1894218124289</t>
  </si>
  <si>
    <t>YT1894218124278</t>
  </si>
  <si>
    <t>YT1894218124269</t>
  </si>
  <si>
    <t>YT1894218124252</t>
  </si>
  <si>
    <t>YT1894216864163</t>
  </si>
  <si>
    <t>YT1894216864156</t>
  </si>
  <si>
    <t>YT1894216864141</t>
  </si>
  <si>
    <t>YT1894216864138</t>
  </si>
  <si>
    <t>YT1894216864127</t>
  </si>
  <si>
    <t>YT1894216864118</t>
  </si>
  <si>
    <t>YT1894216864101</t>
  </si>
  <si>
    <t>YT1894216864093</t>
  </si>
  <si>
    <t>YT1894216864080</t>
  </si>
  <si>
    <t>YT1894216864079</t>
  </si>
  <si>
    <t>YT1894216748117</t>
  </si>
  <si>
    <t>YT1894216748100</t>
  </si>
  <si>
    <t>YT1894216748092</t>
  </si>
  <si>
    <t>YT1894216748089</t>
  </si>
  <si>
    <t>YT1894216748078</t>
  </si>
  <si>
    <t>YT1894216748069</t>
  </si>
  <si>
    <t>YT1894216748052</t>
  </si>
  <si>
    <t>YT1894216748047</t>
  </si>
  <si>
    <t>YT1894216748034</t>
  </si>
  <si>
    <t>YT1894216748023</t>
  </si>
  <si>
    <t>YT3598929427171</t>
  </si>
  <si>
    <t>YT3598928525188</t>
  </si>
  <si>
    <t>YT3598928525065</t>
  </si>
  <si>
    <t>YT3598929427722</t>
  </si>
  <si>
    <t>YT3598928525739</t>
  </si>
  <si>
    <t>YT3598928145535</t>
  </si>
  <si>
    <t>YT3598929099835</t>
  </si>
  <si>
    <t>YT3598928525692</t>
  </si>
  <si>
    <t>YT3598928712409</t>
  </si>
  <si>
    <t>YT3598928330315</t>
  </si>
  <si>
    <t>YT3598929099736</t>
  </si>
  <si>
    <t>YT3598928525528</t>
  </si>
  <si>
    <t>YT3598928911486</t>
  </si>
  <si>
    <t>YT3598928911431</t>
  </si>
  <si>
    <t>YT3598928525355</t>
  </si>
  <si>
    <t>YT3598928712201</t>
  </si>
  <si>
    <t>YT3598928712144</t>
  </si>
  <si>
    <t>YT3598928525265</t>
  </si>
  <si>
    <t>YT3598929099549</t>
  </si>
  <si>
    <t>YT3598928330041</t>
  </si>
  <si>
    <t>YT3598929271941</t>
  </si>
  <si>
    <t>YT3598928711981</t>
  </si>
  <si>
    <t>YT3598929427078</t>
  </si>
  <si>
    <t>YT3413197010738</t>
  </si>
  <si>
    <t>YT8712269036722</t>
  </si>
  <si>
    <t>YT8712269030414</t>
  </si>
  <si>
    <t>YT8712269042525</t>
  </si>
  <si>
    <t>YT3416382683502</t>
  </si>
  <si>
    <t>YT3416382682396</t>
  </si>
  <si>
    <t>YT3416382681760</t>
  </si>
  <si>
    <t>YT3416382681016</t>
  </si>
  <si>
    <t>YT3416382680233</t>
  </si>
  <si>
    <t>YT3416382679301</t>
  </si>
  <si>
    <t>YT3416382678018</t>
  </si>
  <si>
    <t>YT3416382677293</t>
  </si>
  <si>
    <t>YT3416382676577</t>
  </si>
  <si>
    <t>YT3413191220012</t>
  </si>
  <si>
    <t>YT3416382674171</t>
  </si>
  <si>
    <t>YT3416385115361</t>
  </si>
  <si>
    <t>YT3413192436724</t>
  </si>
  <si>
    <t>YT3413191228414</t>
  </si>
  <si>
    <t>YT3416382690221</t>
  </si>
  <si>
    <t>YT3416382689472</t>
  </si>
  <si>
    <t>YT3416382688420</t>
  </si>
  <si>
    <t>YT3416382687676</t>
  </si>
  <si>
    <t>YT3413191226520</t>
  </si>
  <si>
    <t>YT3416382685818</t>
  </si>
  <si>
    <t>YT3413191224184</t>
  </si>
  <si>
    <t>YT3416382682156</t>
  </si>
  <si>
    <t>YT3413191223523</t>
  </si>
  <si>
    <t>YT3416382680868</t>
  </si>
  <si>
    <t>YT3416382680059</t>
  </si>
  <si>
    <t>YT3413191222326</t>
  </si>
  <si>
    <t>YT3416382677592</t>
  </si>
  <si>
    <t>YT3413191220823</t>
  </si>
  <si>
    <t>YT3413191219830</t>
  </si>
  <si>
    <t>YT3413191219621</t>
  </si>
  <si>
    <t>YT3416382673213</t>
  </si>
  <si>
    <t>YT3416385113411</t>
  </si>
  <si>
    <t>YT3413192435765</t>
  </si>
  <si>
    <t>YT3413191228119</t>
  </si>
  <si>
    <t>YT3416382689654</t>
  </si>
  <si>
    <t>YT3416382688721</t>
  </si>
  <si>
    <t>YT3416382687731</t>
  </si>
  <si>
    <t>YT3413191226647</t>
  </si>
  <si>
    <t>YT3413191225927</t>
  </si>
  <si>
    <t>YT3413191224243</t>
  </si>
  <si>
    <t>YT3413191223822</t>
  </si>
  <si>
    <t>YT3416382681610</t>
  </si>
  <si>
    <t>YT3413191223318</t>
  </si>
  <si>
    <t>YT3416382680260</t>
  </si>
  <si>
    <t>YT3416382679392</t>
  </si>
  <si>
    <t>YT3416382677954</t>
  </si>
  <si>
    <t>YT3416382677174</t>
  </si>
  <si>
    <t>YT3416382676481</t>
  </si>
  <si>
    <t>YT3416382674863</t>
  </si>
  <si>
    <t>YT3416382674083</t>
  </si>
  <si>
    <t>YT3413191219175</t>
  </si>
  <si>
    <t>YT3416385111312</t>
  </si>
  <si>
    <t>YT3416385110232</t>
  </si>
  <si>
    <t>YT3416385109155</t>
  </si>
  <si>
    <t>YT3416382690551</t>
  </si>
  <si>
    <t>YT3416382689560</t>
  </si>
  <si>
    <t>YT3416382688396</t>
  </si>
  <si>
    <t>YT3413191226940</t>
  </si>
  <si>
    <t>YT3413191226373</t>
  </si>
  <si>
    <t>YT3416382685669</t>
  </si>
  <si>
    <t>YT3413191224063</t>
  </si>
  <si>
    <t>YT3413191223709</t>
  </si>
  <si>
    <t>YT3416382681371</t>
  </si>
  <si>
    <t>YT3416382680594</t>
  </si>
  <si>
    <t>YT3416382679699</t>
  </si>
  <si>
    <t>YT3413191221756</t>
  </si>
  <si>
    <t>YT3413191221068</t>
  </si>
  <si>
    <t>YT3416382676306</t>
  </si>
  <si>
    <t>YT3416382674920</t>
  </si>
  <si>
    <t>YT3416382674265</t>
  </si>
  <si>
    <t>YT3416382673189</t>
  </si>
  <si>
    <t>YT3416385161920</t>
  </si>
  <si>
    <t>YT3416385161380</t>
  </si>
  <si>
    <t>YT3416382691099</t>
  </si>
  <si>
    <t>YT3413191227907</t>
  </si>
  <si>
    <t>YT3416382689089</t>
  </si>
  <si>
    <t>YT3413191227039</t>
  </si>
  <si>
    <t>YT3413191226496</t>
  </si>
  <si>
    <t>YT3416382685876</t>
  </si>
  <si>
    <t>YT3413191224155</t>
  </si>
  <si>
    <t>YT3413191223738</t>
  </si>
  <si>
    <t>YT3413191223499</t>
  </si>
  <si>
    <t>YT3416382680956</t>
  </si>
  <si>
    <t>YT3413191222986</t>
  </si>
  <si>
    <t>YT3416382679273</t>
  </si>
  <si>
    <t>YT3416382677891</t>
  </si>
  <si>
    <t>YT3413191220883</t>
  </si>
  <si>
    <t>YT3416382676090</t>
  </si>
  <si>
    <t>YT3416382674777</t>
  </si>
  <si>
    <t>YT3416382673879</t>
  </si>
  <si>
    <t>YT3413191219058</t>
  </si>
  <si>
    <t>YT3413192460660</t>
  </si>
  <si>
    <t>YT3416382736060</t>
  </si>
  <si>
    <t>YT3416382690797</t>
  </si>
  <si>
    <t>YT3416382689803</t>
  </si>
  <si>
    <t>YT3413191227422</t>
  </si>
  <si>
    <t>YT3413191227000</t>
  </si>
  <si>
    <t>YT3413191226434</t>
  </si>
  <si>
    <t>YT3413191225895</t>
  </si>
  <si>
    <t>YT3416382682721</t>
  </si>
  <si>
    <t>YT3416382682064</t>
  </si>
  <si>
    <t>YT3416382681469</t>
  </si>
  <si>
    <t>YT3416382680772</t>
  </si>
  <si>
    <t>YT3416382679901</t>
  </si>
  <si>
    <t>YT3413191222386</t>
  </si>
  <si>
    <t>YT3413191221271</t>
  </si>
  <si>
    <t>YT3416382676669</t>
  </si>
  <si>
    <t>YT3416382675497</t>
  </si>
  <si>
    <t>YT3416382674380</t>
  </si>
  <si>
    <t>YT3413191219324</t>
  </si>
  <si>
    <t>YT3416382672797</t>
  </si>
  <si>
    <t>YT3413191250738</t>
  </si>
  <si>
    <t>YT3416382691125</t>
  </si>
  <si>
    <t>YT3416382690139</t>
  </si>
  <si>
    <t>YT3416382689357</t>
  </si>
  <si>
    <t>YT3416382688037</t>
  </si>
  <si>
    <t>YT3416382687430</t>
  </si>
  <si>
    <t>YT3416382686419</t>
  </si>
  <si>
    <t>YT3413191225624</t>
  </si>
  <si>
    <t>YT3416382682518</t>
  </si>
  <si>
    <t>YT3416382681971</t>
  </si>
  <si>
    <t>YT3413191223408</t>
  </si>
  <si>
    <t>YT3413191223132</t>
  </si>
  <si>
    <t>YT3413191222894</t>
  </si>
  <si>
    <t>YT3416382678043</t>
  </si>
  <si>
    <t>YT3416382677202</t>
  </si>
  <si>
    <t>YT3416382676421</t>
  </si>
  <si>
    <t>YT3416382674744</t>
  </si>
  <si>
    <t>YT3413191219470</t>
  </si>
  <si>
    <t>YT3413191219027</t>
  </si>
  <si>
    <t>YT3416382672281</t>
  </si>
  <si>
    <t>YT3416385160185</t>
  </si>
  <si>
    <t>YT3416385159378</t>
  </si>
  <si>
    <t>YT3416382690315</t>
  </si>
  <si>
    <t>YT3416382689326</t>
  </si>
  <si>
    <t>YT3416382688064</t>
  </si>
  <si>
    <t>YT3416382687401</t>
  </si>
  <si>
    <t>YT3416382685157</t>
  </si>
  <si>
    <t>YT3416382682480</t>
  </si>
  <si>
    <t>YT3416382681948</t>
  </si>
  <si>
    <t>YT3413191223343</t>
  </si>
  <si>
    <t>YT3416382680749</t>
  </si>
  <si>
    <t>YT3416382679787</t>
  </si>
  <si>
    <t>YT3413191222357</t>
  </si>
  <si>
    <t>YT3416382677680</t>
  </si>
  <si>
    <t>YT3413191220791</t>
  </si>
  <si>
    <t>YT3416382675019</t>
  </si>
  <si>
    <t>YT3416382674238</t>
  </si>
  <si>
    <t>YT3416382673271</t>
  </si>
  <si>
    <t>YT3413191218840</t>
  </si>
  <si>
    <t>YT3413192482204</t>
  </si>
  <si>
    <t>YT3413191228205</t>
  </si>
  <si>
    <t>YT3416382689595</t>
  </si>
  <si>
    <t>YT3416382688451</t>
  </si>
  <si>
    <t>YT3416382687643</t>
  </si>
  <si>
    <t>YT3416382686659</t>
  </si>
  <si>
    <t>YT3416382685722</t>
  </si>
  <si>
    <t>YT3416382682602</t>
  </si>
  <si>
    <t>YT3413191223765</t>
  </si>
  <si>
    <t>YT3416382681528</t>
  </si>
  <si>
    <t>YT3416382680831</t>
  </si>
  <si>
    <t>YT3416382680176</t>
  </si>
  <si>
    <t>YT3413191222595</t>
  </si>
  <si>
    <t>YT3416382677866</t>
  </si>
  <si>
    <t>YT3416382676818</t>
  </si>
  <si>
    <t>YT3416382675707</t>
  </si>
  <si>
    <t>YT3413191219681</t>
  </si>
  <si>
    <t>YT3413191219384</t>
  </si>
  <si>
    <t>YT3416382672915</t>
  </si>
  <si>
    <t>YT3416382672076</t>
  </si>
  <si>
    <t>YT3416385201859</t>
  </si>
  <si>
    <t>YT3413191228449</t>
  </si>
  <si>
    <t>YT3416382690166</t>
  </si>
  <si>
    <t>YT3416382689414</t>
  </si>
  <si>
    <t>YT3413191227127</t>
  </si>
  <si>
    <t>YT3413191226915</t>
  </si>
  <si>
    <t>YT3416382686055</t>
  </si>
  <si>
    <t>YT3416382684640</t>
  </si>
  <si>
    <t>YT3413191223882</t>
  </si>
  <si>
    <t>YT3416382681795</t>
  </si>
  <si>
    <t>YT3416382681137</t>
  </si>
  <si>
    <t>YT3413191223079</t>
  </si>
  <si>
    <t>YT3416382679572</t>
  </si>
  <si>
    <t>YT3413191221662</t>
  </si>
  <si>
    <t>YT3416382677446</t>
  </si>
  <si>
    <t>YT3416382676603</t>
  </si>
  <si>
    <t>YT3416382674898</t>
  </si>
  <si>
    <t>YT3416382674054</t>
  </si>
  <si>
    <t>YT3416382673031</t>
  </si>
  <si>
    <t>YT3416382672461</t>
  </si>
  <si>
    <t>YT3416385200957</t>
  </si>
  <si>
    <t>YT3416382690915</t>
  </si>
  <si>
    <t>YT3416382689926</t>
  </si>
  <si>
    <t>YT3413191227545</t>
  </si>
  <si>
    <t>YT3416382688156</t>
  </si>
  <si>
    <t>YT3416382687492</t>
  </si>
  <si>
    <t>YT3416382686381</t>
  </si>
  <si>
    <t>YT3413191225716</t>
  </si>
  <si>
    <t>YT3416382682543</t>
  </si>
  <si>
    <t>YT3416382682037</t>
  </si>
  <si>
    <t>YT3416382681313</t>
  </si>
  <si>
    <t>YT3416382680622</t>
  </si>
  <si>
    <t>YT3416382679727</t>
  </si>
  <si>
    <t>YT3416382678139</t>
  </si>
  <si>
    <t>YT3416382677501</t>
  </si>
  <si>
    <t>YT3416382676544</t>
  </si>
  <si>
    <t>YT3413191219892</t>
  </si>
  <si>
    <t>YT3416382674113</t>
  </si>
  <si>
    <t>YT3416382673150</t>
  </si>
  <si>
    <t>YT3416382672496</t>
  </si>
  <si>
    <t>YT3416382691064</t>
  </si>
  <si>
    <t>YT3413191227998</t>
  </si>
  <si>
    <t>YT3413191227510</t>
  </si>
  <si>
    <t>YT3416382687946</t>
  </si>
  <si>
    <t>YT3413191226797</t>
  </si>
  <si>
    <t>YT3413191226043</t>
  </si>
  <si>
    <t>YT3416382684738</t>
  </si>
  <si>
    <t>YT3413191223943</t>
  </si>
  <si>
    <t>YT3416382681913</t>
  </si>
  <si>
    <t>YT3413191223376</t>
  </si>
  <si>
    <t>YT3416382680682</t>
  </si>
  <si>
    <t>YT3416382679967</t>
  </si>
  <si>
    <t>YT3413191222449</t>
  </si>
  <si>
    <t>YT3413191221455</t>
  </si>
  <si>
    <t>YT3416382676722</t>
  </si>
  <si>
    <t>YT3416382675671</t>
  </si>
  <si>
    <t>YT3416382674658</t>
  </si>
  <si>
    <t>YT3416382673938</t>
  </si>
  <si>
    <t>YT3416382673068</t>
  </si>
  <si>
    <t>YT3416382672252</t>
  </si>
  <si>
    <t>YT3413192480640</t>
  </si>
  <si>
    <t>YT3416382690735</t>
  </si>
  <si>
    <t>YT3413191227695</t>
  </si>
  <si>
    <t>YT3416382688752</t>
  </si>
  <si>
    <t>YT3416382687768</t>
  </si>
  <si>
    <t>YT3416382686899</t>
  </si>
  <si>
    <t>YT3413191225860</t>
  </si>
  <si>
    <t>YT3416382682875</t>
  </si>
  <si>
    <t>YT3416382682361</t>
  </si>
  <si>
    <t>YT3416382681827</t>
  </si>
  <si>
    <t>YT3416382681041</t>
  </si>
  <si>
    <t>YT3413191223011</t>
  </si>
  <si>
    <t>YT3416382679367</t>
  </si>
  <si>
    <t>YT3413191221547</t>
  </si>
  <si>
    <t>YT3416382676962</t>
  </si>
  <si>
    <t>YT3413191220409</t>
  </si>
  <si>
    <t>YT3416382674476</t>
  </si>
  <si>
    <t>YT3416382673756</t>
  </si>
  <si>
    <t>YT3413191218969</t>
  </si>
  <si>
    <t>YT3416382672340</t>
  </si>
  <si>
    <t>YT3416385198704</t>
  </si>
  <si>
    <t>YT3413191228386</t>
  </si>
  <si>
    <t>YT3413191227877</t>
  </si>
  <si>
    <t>YT3416382689261</t>
  </si>
  <si>
    <t>YT3416382687979</t>
  </si>
  <si>
    <t>YT3416382687379</t>
  </si>
  <si>
    <t>YT3416382685962</t>
  </si>
  <si>
    <t>YT3416382682693</t>
  </si>
  <si>
    <t>YT3416382682334</t>
  </si>
  <si>
    <t>YT3413191223583</t>
  </si>
  <si>
    <t>YT3416382681199</t>
  </si>
  <si>
    <t>YT3416382680325</t>
  </si>
  <si>
    <t>YT3416382679330</t>
  </si>
  <si>
    <t>YT3413191221570</t>
  </si>
  <si>
    <t>YT3416382677026</t>
  </si>
  <si>
    <t>YT3413191220674</t>
  </si>
  <si>
    <t>YT3413191219748</t>
  </si>
  <si>
    <t>YT3413191219593</t>
  </si>
  <si>
    <t>YT3416382672973</t>
  </si>
  <si>
    <t>YT3416382672315</t>
  </si>
  <si>
    <t>YT3413191228472</t>
  </si>
  <si>
    <t>YT3416382690252</t>
  </si>
  <si>
    <t>YT3416382689449</t>
  </si>
  <si>
    <t>YT3413191227187</t>
  </si>
  <si>
    <t>YT3416382687618</t>
  </si>
  <si>
    <t>YT3413191226191</t>
  </si>
  <si>
    <t>YT3416382685694</t>
  </si>
  <si>
    <t>YT3416382682576</t>
  </si>
  <si>
    <t>YT3416382682008</t>
  </si>
  <si>
    <t>YT3416382681348</t>
  </si>
  <si>
    <t>YT3413191223194</t>
  </si>
  <si>
    <t>YT3416382679871</t>
  </si>
  <si>
    <t>YT3416382678973</t>
  </si>
  <si>
    <t>YT3416382677800</t>
  </si>
  <si>
    <t>YT3413191220919</t>
  </si>
  <si>
    <t>YT3416382675974</t>
  </si>
  <si>
    <t>YT3416382674599</t>
  </si>
  <si>
    <t>YT3416382673811</t>
  </si>
  <si>
    <t>YT3413191218994</t>
  </si>
  <si>
    <t>YT3413191218600</t>
  </si>
  <si>
    <t>YT3416385157754</t>
  </si>
  <si>
    <t>YT3416385107986</t>
  </si>
  <si>
    <t>YT3416382690373</t>
  </si>
  <si>
    <t>YT3416382689177</t>
  </si>
  <si>
    <t>YT3416382687911</t>
  </si>
  <si>
    <t>YT3416382687106</t>
  </si>
  <si>
    <t>YT3416382685906</t>
  </si>
  <si>
    <t>YT3413191224450</t>
  </si>
  <si>
    <t>YT3416382682244</t>
  </si>
  <si>
    <t>YT3416382681432</t>
  </si>
  <si>
    <t>YT3413191223224</t>
  </si>
  <si>
    <t>YT3416382680088</t>
  </si>
  <si>
    <t>YT3416382679004</t>
  </si>
  <si>
    <t>YT3416382677770</t>
  </si>
  <si>
    <t>YT3416382676843</t>
  </si>
  <si>
    <t>YT3416382675820</t>
  </si>
  <si>
    <t>YT3416382674443</t>
  </si>
  <si>
    <t>YT3416382673846</t>
  </si>
  <si>
    <t>YT3413191218932</t>
  </si>
  <si>
    <t>YT3416382672166</t>
  </si>
  <si>
    <t>YT3413192479778</t>
  </si>
  <si>
    <t>YT3416382690940</t>
  </si>
  <si>
    <t>YT3416382690043</t>
  </si>
  <si>
    <t>YT3416382689296</t>
  </si>
  <si>
    <t>YT3416382688244</t>
  </si>
  <si>
    <t>YT3416382687467</t>
  </si>
  <si>
    <t>YT3416382686114</t>
  </si>
  <si>
    <t>YT3413191225327</t>
  </si>
  <si>
    <t>YT3416382682451</t>
  </si>
  <si>
    <t>YT1894120923978</t>
  </si>
  <si>
    <t>YT3598909500249</t>
  </si>
  <si>
    <t>YT3598909310592</t>
  </si>
  <si>
    <t>YT3598909693350</t>
  </si>
  <si>
    <t>YT3598909500209</t>
  </si>
  <si>
    <t>YT3598909243931</t>
  </si>
  <si>
    <t>YT3598909050173</t>
  </si>
  <si>
    <t>YT3598909433491</t>
  </si>
  <si>
    <t>YT3416382681887</t>
  </si>
  <si>
    <t>YT3598909693321</t>
  </si>
  <si>
    <t>YT3598910065584</t>
  </si>
  <si>
    <t>YT3598908940930</t>
  </si>
  <si>
    <t>YT3598909890948</t>
  </si>
  <si>
    <t>YT3598908940910</t>
  </si>
  <si>
    <t>YT3598910219169</t>
  </si>
  <si>
    <t>YT3416382681289</t>
  </si>
  <si>
    <t>YT3416382680448</t>
  </si>
  <si>
    <t>YT1894115893596</t>
  </si>
  <si>
    <t>YT1894115893583</t>
  </si>
  <si>
    <t>YT1894115893572</t>
  </si>
  <si>
    <t>YT3413191011933</t>
  </si>
  <si>
    <t>YT3598909624633</t>
  </si>
  <si>
    <t>YT1894115893563</t>
  </si>
  <si>
    <t>YT1894115893556</t>
  </si>
  <si>
    <t>YT1894115893541</t>
  </si>
  <si>
    <t>YT3598908598784</t>
  </si>
  <si>
    <t>YT3598909823368</t>
  </si>
  <si>
    <t>YT3598908752098</t>
  </si>
  <si>
    <t>YT3598908752085</t>
  </si>
  <si>
    <t>YT3598908874624</t>
  </si>
  <si>
    <t>YT3598909624455</t>
  </si>
  <si>
    <t>YT3598909243638</t>
  </si>
  <si>
    <t>YT1894115893538</t>
  </si>
  <si>
    <t>YT1894115893527</t>
  </si>
  <si>
    <t>YT1894115893518</t>
  </si>
  <si>
    <t>YT1894115893501</t>
  </si>
  <si>
    <t>YT1894120923969</t>
  </si>
  <si>
    <t>YT3598909115463</t>
  </si>
  <si>
    <t>YT3598909890816</t>
  </si>
  <si>
    <t>YT3416382679608</t>
  </si>
  <si>
    <t>YT3413191221606</t>
  </si>
  <si>
    <t>YT3416382677116</t>
  </si>
  <si>
    <t>YT3413191220616</t>
  </si>
  <si>
    <t>YT3413191219771</t>
  </si>
  <si>
    <t>YT3416382673990</t>
  </si>
  <si>
    <t>YT3416382673002</t>
  </si>
  <si>
    <t>YT3598908940787</t>
  </si>
  <si>
    <t>YT3413191218691</t>
  </si>
  <si>
    <t>YT3416382690973</t>
  </si>
  <si>
    <t>YT3413191227754</t>
  </si>
  <si>
    <t>YT3413191227482</t>
  </si>
  <si>
    <t>YT3413191227091</t>
  </si>
  <si>
    <t>YT3416382687526</t>
  </si>
  <si>
    <t>YT3416382686778</t>
  </si>
  <si>
    <t>YT3413191225741</t>
  </si>
  <si>
    <t>YT3413191224036</t>
  </si>
  <si>
    <t>YT1894120923952</t>
  </si>
  <si>
    <t>YT3413191223673</t>
  </si>
  <si>
    <t>YT3413191223437</t>
  </si>
  <si>
    <t>YT3416382680569</t>
  </si>
  <si>
    <t>YT1894120923947</t>
  </si>
  <si>
    <t>YT3416382679758</t>
  </si>
  <si>
    <t>YT1894120923934</t>
  </si>
  <si>
    <t>YT3413191222296</t>
  </si>
  <si>
    <t>YT3413191221309</t>
  </si>
  <si>
    <t>YT3416382676782</t>
  </si>
  <si>
    <t>YT3416382675798</t>
  </si>
  <si>
    <t>YT3416382674537</t>
  </si>
  <si>
    <t>YT3413191219447</t>
  </si>
  <si>
    <t>YT3416382672940</t>
  </si>
  <si>
    <t>YT3416382672373</t>
  </si>
  <si>
    <t>YT3416382691037</t>
  </si>
  <si>
    <t>YT3416382689986</t>
  </si>
  <si>
    <t>YT3413191227578</t>
  </si>
  <si>
    <t>YT3416382688185</t>
  </si>
  <si>
    <t>YT3416382687586</t>
  </si>
  <si>
    <t>YT1894120923923</t>
  </si>
  <si>
    <t>YT3413191226315</t>
  </si>
  <si>
    <t>YT3413191225774</t>
  </si>
  <si>
    <t>YT3416382682668</t>
  </si>
  <si>
    <t>YT3416382682277</t>
  </si>
  <si>
    <t>YT3416382681704</t>
  </si>
  <si>
    <t>YT3416382681108</t>
  </si>
  <si>
    <t>YT3416382680295</t>
  </si>
  <si>
    <t>YT1894120923914</t>
  </si>
  <si>
    <t>YT1894120923907</t>
  </si>
  <si>
    <t>YT3413191222654</t>
  </si>
  <si>
    <t>YT3416382677923</t>
  </si>
  <si>
    <t>YT3416382677086</t>
  </si>
  <si>
    <t>YT3416382676009</t>
  </si>
  <si>
    <t>YT3416382674836</t>
  </si>
  <si>
    <t>YT3413191219568</t>
  </si>
  <si>
    <t>YT3413191219087</t>
  </si>
  <si>
    <t>YT3413191218639</t>
  </si>
  <si>
    <t>YT3413192458959</t>
  </si>
  <si>
    <t>YT3416382690612</t>
  </si>
  <si>
    <t>YT3413191227660</t>
  </si>
  <si>
    <t>YT3416382688781</t>
  </si>
  <si>
    <t>YT3416382687702</t>
  </si>
  <si>
    <t>YT3416382686981</t>
  </si>
  <si>
    <t>YT3413191225804</t>
  </si>
  <si>
    <t>YT3598909310468</t>
  </si>
  <si>
    <t>YT3416382682305</t>
  </si>
  <si>
    <t>YT3416382681645</t>
  </si>
  <si>
    <t>YT3416382681164</t>
  </si>
  <si>
    <t>YT3413191223103</t>
  </si>
  <si>
    <t>YT3413191222773</t>
  </si>
  <si>
    <t>YT3416382678100</t>
  </si>
  <si>
    <t>YT1894121705786</t>
  </si>
  <si>
    <t>YT3413191221129</t>
  </si>
  <si>
    <t>YT1894121705775</t>
  </si>
  <si>
    <t>YT3413191220739</t>
  </si>
  <si>
    <t>YT3416382675044</t>
  </si>
  <si>
    <t>YT3416382674290</t>
  </si>
  <si>
    <t>YT3413191219203</t>
  </si>
  <si>
    <t>YT3413191218750</t>
  </si>
  <si>
    <t>YT3416385474949</t>
  </si>
  <si>
    <t>YT3416385474529</t>
  </si>
  <si>
    <t>YT3416382690520</t>
  </si>
  <si>
    <t>YT3413191227604</t>
  </si>
  <si>
    <t>YT3413191227158</t>
  </si>
  <si>
    <t>YT3416382687346</t>
  </si>
  <si>
    <t>YT3416382686024</t>
  </si>
  <si>
    <t>YT3416382683955</t>
  </si>
  <si>
    <t>YT3416382682420</t>
  </si>
  <si>
    <t>YT3413191223615</t>
  </si>
  <si>
    <t>YT3598908940732</t>
  </si>
  <si>
    <t>YT3416382681250</t>
  </si>
  <si>
    <t>YT3416382680532</t>
  </si>
  <si>
    <t>YT3416382679549</t>
  </si>
  <si>
    <t>YT3413191221697</t>
  </si>
  <si>
    <t>YT3416382677323</t>
  </si>
  <si>
    <t>YT3413191220700</t>
  </si>
  <si>
    <t>YT3416382674980</t>
  </si>
  <si>
    <t>YT3416382674209</t>
  </si>
  <si>
    <t>YT3598909115401</t>
  </si>
  <si>
    <t>YT3416382673093</t>
  </si>
  <si>
    <t>YT3413191218815</t>
  </si>
  <si>
    <t>YT3416385197084</t>
  </si>
  <si>
    <t>YT3413191228326</t>
  </si>
  <si>
    <t>YT3416382689715</t>
  </si>
  <si>
    <t>YT3413191227363</t>
  </si>
  <si>
    <t>YT3416382687825</t>
  </si>
  <si>
    <t>YT3413191226735</t>
  </si>
  <si>
    <t>YT3416382685935</t>
  </si>
  <si>
    <t>YT3413191224218</t>
  </si>
  <si>
    <t>YT3416382682219</t>
  </si>
  <si>
    <t>YT3413191223464</t>
  </si>
  <si>
    <t>YT3416382680925</t>
  </si>
  <si>
    <t>YT3416382680118</t>
  </si>
  <si>
    <t>YT3413191222533</t>
  </si>
  <si>
    <t>YT3413191221512</t>
  </si>
  <si>
    <t>YT3416382676753</t>
  </si>
  <si>
    <t>YT3413191220344</t>
  </si>
  <si>
    <t>YT3416382674564</t>
  </si>
  <si>
    <t>YT3416382673725</t>
  </si>
  <si>
    <t>YT3416382672889</t>
  </si>
  <si>
    <t>YT1894121705766</t>
  </si>
  <si>
    <t>YT3416382672405</t>
  </si>
  <si>
    <t>YT3598909693138</t>
  </si>
  <si>
    <t>YT3413192478726</t>
  </si>
  <si>
    <t>YT3413191228357</t>
  </si>
  <si>
    <t>YT1894121705759</t>
  </si>
  <si>
    <t>YT3598910219031</t>
  </si>
  <si>
    <t>YT1894121705744</t>
  </si>
  <si>
    <t>YT1894121705731</t>
  </si>
  <si>
    <t>YT3416382689533</t>
  </si>
  <si>
    <t>YT1894121705720</t>
  </si>
  <si>
    <t>YT3598909693035</t>
  </si>
  <si>
    <t>YT1894121705711</t>
  </si>
  <si>
    <t>YT3416382688361</t>
  </si>
  <si>
    <t>YT3416382687557</t>
  </si>
  <si>
    <t>YT3416382686745</t>
  </si>
  <si>
    <t>YT3416382685782</t>
  </si>
  <si>
    <t>YT3413191224098</t>
  </si>
  <si>
    <t>YT3416382682099</t>
  </si>
  <si>
    <t>YT3416382681559</t>
  </si>
  <si>
    <t>YT3416382680714</t>
  </si>
  <si>
    <t>YT3416382679930</t>
  </si>
  <si>
    <t>YT3413191222472</t>
  </si>
  <si>
    <t>YT3413191221484</t>
  </si>
  <si>
    <t>YT3416382676632</t>
  </si>
  <si>
    <t>YT3416382675462</t>
  </si>
  <si>
    <t>YT3416382674418</t>
  </si>
  <si>
    <t>YT3416382673697</t>
  </si>
  <si>
    <t>YT3416382672850</t>
  </si>
  <si>
    <t>YT3416382672191</t>
  </si>
  <si>
    <t>YT3413191250853</t>
  </si>
  <si>
    <t>YT3416382691156</t>
  </si>
  <si>
    <t>YT3416382690191</t>
  </si>
  <si>
    <t>YT3416382689386</t>
  </si>
  <si>
    <t>YT3416382688219</t>
  </si>
  <si>
    <t>YT3416382687162</t>
  </si>
  <si>
    <t>YT3416382685997</t>
  </si>
  <si>
    <t>YT3416382682905</t>
  </si>
  <si>
    <t>YT3413191223853</t>
  </si>
  <si>
    <t>YT3416382681733</t>
  </si>
  <si>
    <t>YT3416382680985</t>
  </si>
  <si>
    <t>YT3416382680204</t>
  </si>
  <si>
    <t>YT3416382679121</t>
  </si>
  <si>
    <t>YT3416382677983</t>
  </si>
  <si>
    <t>YT3413191221002</t>
  </si>
  <si>
    <t>YT3413191220438</t>
  </si>
  <si>
    <t>YT3598909890993</t>
  </si>
  <si>
    <t>YT3413191219713</t>
  </si>
  <si>
    <t>YT3598910219266</t>
  </si>
  <si>
    <t>YT3598910065623</t>
  </si>
  <si>
    <t>YT1894121705704</t>
  </si>
  <si>
    <t>YT3413191219531</t>
  </si>
  <si>
    <t>YT3598910219244</t>
  </si>
  <si>
    <t>YT3416382672829</t>
  </si>
  <si>
    <t>YT3416382672100</t>
  </si>
  <si>
    <t>YT3413191250790</t>
  </si>
  <si>
    <t>YT3416382690889</t>
  </si>
  <si>
    <t>YT3413191227783</t>
  </si>
  <si>
    <t>YT1894121705694</t>
  </si>
  <si>
    <t>YT3413191227453</t>
  </si>
  <si>
    <t>YT1894121305960</t>
  </si>
  <si>
    <t>YT3416382687885</t>
  </si>
  <si>
    <t>YT3413191226580</t>
  </si>
  <si>
    <t>YT3416382685753</t>
  </si>
  <si>
    <t>YT3413191224124</t>
  </si>
  <si>
    <t>YT3416382682125</t>
  </si>
  <si>
    <t>YT1894121305953</t>
  </si>
  <si>
    <t>YT3416382681494</t>
  </si>
  <si>
    <t>YT3416382680893</t>
  </si>
  <si>
    <t>YT3416382680143</t>
  </si>
  <si>
    <t>YT3416382679181</t>
  </si>
  <si>
    <t>YT3416382677839</t>
  </si>
  <si>
    <t>YT3416382676876</t>
  </si>
  <si>
    <t>YT3413191220524</t>
  </si>
  <si>
    <t>YT3416382674687</t>
  </si>
  <si>
    <t>YT3416382673909</t>
  </si>
  <si>
    <t>YT3413191219117</t>
  </si>
  <si>
    <t>YT3416382672434</t>
  </si>
  <si>
    <t>YT3413191250673</t>
  </si>
  <si>
    <t>YT3416382690829</t>
  </si>
  <si>
    <t>YT3416382689894</t>
  </si>
  <si>
    <t>YT3598908940985</t>
  </si>
  <si>
    <t>YT3416382689205</t>
  </si>
  <si>
    <t>YT3416382688008</t>
  </si>
  <si>
    <t>YT3413191226889</t>
  </si>
  <si>
    <t>YT3413191226018</t>
  </si>
  <si>
    <t>YT3416382684583</t>
  </si>
  <si>
    <t>YT3413191223976</t>
  </si>
  <si>
    <t>YT3413191223640</t>
  </si>
  <si>
    <t>YT3416382681229</t>
  </si>
  <si>
    <t>YT3416382680356</t>
  </si>
  <si>
    <t>YT3413191222832</t>
  </si>
  <si>
    <t>YT3416382678076</t>
  </si>
  <si>
    <t>YT3598908940958</t>
  </si>
  <si>
    <t>YT3598909890960</t>
  </si>
  <si>
    <t>YT3416382677354</t>
  </si>
  <si>
    <t>YT3416382676519</t>
  </si>
  <si>
    <t>YT3598910219192</t>
  </si>
  <si>
    <t>YT1894121305948</t>
  </si>
  <si>
    <t>YT1894121305935</t>
  </si>
  <si>
    <t>YT3598910219178</t>
  </si>
  <si>
    <t>YT3416382674951</t>
  </si>
  <si>
    <t>YT3416382674023</t>
  </si>
  <si>
    <t>YT3413191219142</t>
  </si>
  <si>
    <t>YT3598910065528</t>
  </si>
  <si>
    <t>YT1894121305924</t>
  </si>
  <si>
    <t>YT1894121305915</t>
  </si>
  <si>
    <t>YT1894121305908</t>
  </si>
  <si>
    <t>YT1894121305894</t>
  </si>
  <si>
    <t>YT3598910219147</t>
  </si>
  <si>
    <t>YT3598908940776</t>
  </si>
  <si>
    <t>YT3598909500049</t>
  </si>
  <si>
    <t>YT3598908940750</t>
  </si>
  <si>
    <t>YT1894121305881</t>
  </si>
  <si>
    <t>YT3416382672520</t>
  </si>
  <si>
    <t>YT3598909890755</t>
  </si>
  <si>
    <t>YT3598909310446</t>
  </si>
  <si>
    <t>YT3598909499941</t>
  </si>
  <si>
    <t>YT3598909693079</t>
  </si>
  <si>
    <t>YT1894121305870</t>
  </si>
  <si>
    <t>YT3598909890540</t>
  </si>
  <si>
    <t>YT7501996449388</t>
  </si>
  <si>
    <t>YT7501996449379</t>
  </si>
  <si>
    <t>YT3416369190616</t>
  </si>
  <si>
    <t>YT1893999887088</t>
  </si>
  <si>
    <t>YT3598886393236</t>
  </si>
  <si>
    <t>YT3598887279795</t>
  </si>
  <si>
    <t>YT3598886892030</t>
  </si>
  <si>
    <t>YT1893999887077</t>
  </si>
  <si>
    <t>YT3416369190344</t>
  </si>
  <si>
    <t>YT3598886515487</t>
  </si>
  <si>
    <t>YT3598887077605</t>
  </si>
  <si>
    <t>YT3598887279740</t>
  </si>
  <si>
    <t>YT1893999887068</t>
  </si>
  <si>
    <t>YT3416367994092</t>
  </si>
  <si>
    <t>YT1893991566862</t>
  </si>
  <si>
    <t>YT3598883998656</t>
  </si>
  <si>
    <t>YT7501985219781</t>
  </si>
  <si>
    <t>YT1893991566855</t>
  </si>
  <si>
    <t>YT1893991566840</t>
  </si>
  <si>
    <t>YT1893991566837</t>
  </si>
  <si>
    <t>YT3598882881609</t>
  </si>
  <si>
    <t>YT3598882308418</t>
  </si>
  <si>
    <t>YT1893980421567</t>
  </si>
  <si>
    <t>YT1893980421550</t>
  </si>
  <si>
    <t>YT1893980421545</t>
  </si>
  <si>
    <t>YT1893980421532</t>
  </si>
  <si>
    <t>YT3598882501398</t>
  </si>
  <si>
    <t>YT3598881745948</t>
  </si>
  <si>
    <t>YT7501972886150</t>
  </si>
  <si>
    <t>YT1893980421521</t>
  </si>
  <si>
    <t>YT3598883022014</t>
  </si>
  <si>
    <t>YT7501972886147</t>
  </si>
  <si>
    <t>YT3598881745915</t>
  </si>
  <si>
    <t>YT1893980421512</t>
  </si>
  <si>
    <t>YT3598882501251</t>
  </si>
  <si>
    <t>YT1893980421505</t>
  </si>
  <si>
    <t>YT1893980421499</t>
  </si>
  <si>
    <t>YT1893980421486</t>
  </si>
  <si>
    <t>YT3598882881290</t>
  </si>
  <si>
    <t>YT3598881745849</t>
  </si>
  <si>
    <t>YT1893980339202</t>
  </si>
  <si>
    <t>YT3598882117793</t>
  </si>
  <si>
    <t>YT1893980339190</t>
  </si>
  <si>
    <t>YT1893980339187</t>
  </si>
  <si>
    <t>YT3598883021868</t>
  </si>
  <si>
    <t>YT3416366399320</t>
  </si>
  <si>
    <t>YT1893980339219</t>
  </si>
  <si>
    <t>YT1893980339176</t>
  </si>
  <si>
    <t>YT1893980339167</t>
  </si>
  <si>
    <t>YT3598881919837</t>
  </si>
  <si>
    <t>YT3598882117724</t>
  </si>
  <si>
    <t>YT3598883021813</t>
  </si>
  <si>
    <t>YT1893980339150</t>
  </si>
  <si>
    <t>YT3413183062530</t>
  </si>
  <si>
    <t>YT1893980339145</t>
  </si>
  <si>
    <t>YT1893980339132</t>
  </si>
  <si>
    <t>YT1893980339121</t>
  </si>
  <si>
    <t>YT1893978353230</t>
  </si>
  <si>
    <t>YT1893978353229</t>
  </si>
  <si>
    <t>YT3416366398213</t>
  </si>
  <si>
    <t>YT3598881919783</t>
  </si>
  <si>
    <t>YT1893978353210</t>
  </si>
  <si>
    <t>YT3598882698382</t>
  </si>
  <si>
    <t>YT1893978353203</t>
  </si>
  <si>
    <t>YT1893978353191</t>
  </si>
  <si>
    <t>YT1893978353188</t>
  </si>
  <si>
    <t>YT3598881919691</t>
  </si>
  <si>
    <t>YT1893978353177</t>
  </si>
  <si>
    <t>YT1893978353168</t>
  </si>
  <si>
    <t>YT3598882698340</t>
  </si>
  <si>
    <t>YT1893978353151</t>
  </si>
  <si>
    <t>YT1893978353146</t>
  </si>
  <si>
    <t>YT1893978353065</t>
  </si>
  <si>
    <t>YT1893978353058</t>
  </si>
  <si>
    <t>YT1893978353043</t>
  </si>
  <si>
    <t>YT1893978353030</t>
  </si>
  <si>
    <t>YT3598883021657</t>
  </si>
  <si>
    <t>YT1893978353029</t>
  </si>
  <si>
    <t>YT3416366439347</t>
  </si>
  <si>
    <t>YT1893978353074</t>
  </si>
  <si>
    <t>YT1893978353010</t>
  </si>
  <si>
    <t>YT1893978353003</t>
  </si>
  <si>
    <t>YT3598882307840</t>
  </si>
  <si>
    <t>YT3598882307817</t>
  </si>
  <si>
    <t>YT3598882117414</t>
  </si>
  <si>
    <t>YT1893978352994</t>
  </si>
  <si>
    <t>YT1893978352981</t>
  </si>
  <si>
    <t>YT1893978293028</t>
  </si>
  <si>
    <t>YT1893978293019</t>
  </si>
  <si>
    <t>YT1893978293002</t>
  </si>
  <si>
    <t>YT1893978292993</t>
  </si>
  <si>
    <t>YT1893978292980</t>
  </si>
  <si>
    <t>YT1893978292979</t>
  </si>
  <si>
    <t>YT1893978292960</t>
  </si>
  <si>
    <t>YT1893978292953</t>
  </si>
  <si>
    <t>YT7501972886134</t>
  </si>
  <si>
    <t>YT1893978292948</t>
  </si>
  <si>
    <t>YT1893978292935</t>
  </si>
  <si>
    <t>YT3598882698188</t>
  </si>
  <si>
    <t>YT3416366397461</t>
  </si>
  <si>
    <t>YT3416356152588</t>
  </si>
  <si>
    <t>YT3416356004177</t>
  </si>
  <si>
    <t>YT3598867001682</t>
  </si>
  <si>
    <t>YT3598866287658</t>
  </si>
  <si>
    <t>YT3598866680927</t>
  </si>
  <si>
    <t>YT1893901356572</t>
  </si>
  <si>
    <t>YT3598866287535</t>
  </si>
  <si>
    <t>YT3598866483294</t>
  </si>
  <si>
    <t>YT3416356003518</t>
  </si>
  <si>
    <t>YT1893901356563</t>
  </si>
  <si>
    <t>YT3598867001365</t>
  </si>
  <si>
    <t>YT1893901356556</t>
  </si>
  <si>
    <t>YT1893901356541</t>
  </si>
  <si>
    <t>YT1893901356538</t>
  </si>
  <si>
    <t>YT3598866097088</t>
  </si>
  <si>
    <t>YT1893901356527</t>
  </si>
  <si>
    <t>YT1893902444047</t>
  </si>
  <si>
    <t>YT3598865728471</t>
  </si>
  <si>
    <t>YT1893902444034</t>
  </si>
  <si>
    <t>YT1893902444023</t>
  </si>
  <si>
    <t>YT1893902444014</t>
  </si>
  <si>
    <t>YT1893902444007</t>
  </si>
  <si>
    <t>YT3598866287351</t>
  </si>
  <si>
    <t>YT1893902443996</t>
  </si>
  <si>
    <t>YT3598866864884</t>
  </si>
  <si>
    <t>YT1893902443983</t>
  </si>
  <si>
    <t>YT3416356003219</t>
  </si>
  <si>
    <t>YT3598867001213</t>
  </si>
  <si>
    <t>YT1893902443972</t>
  </si>
  <si>
    <t>YT1893902443963</t>
  </si>
  <si>
    <t>YT1893902443956</t>
  </si>
  <si>
    <t>YT1893902952883</t>
  </si>
  <si>
    <t>YT1893902952872</t>
  </si>
  <si>
    <t>YT1893902952863</t>
  </si>
  <si>
    <t>YT1893902952856</t>
  </si>
  <si>
    <t>YT1893902952841</t>
  </si>
  <si>
    <t>YT1893902952838</t>
  </si>
  <si>
    <t>YT1893902952827</t>
  </si>
  <si>
    <t>YT3598866680558</t>
  </si>
  <si>
    <t>YT3598866287197</t>
  </si>
  <si>
    <t>YT3416356002825</t>
  </si>
  <si>
    <t>YT3598866287142</t>
  </si>
  <si>
    <t>YT3598865728273</t>
  </si>
  <si>
    <t>YT1893902952818</t>
  </si>
  <si>
    <t>YT3416356002311</t>
  </si>
  <si>
    <t>YT3598866287081</t>
  </si>
  <si>
    <t>YT3416356002106</t>
  </si>
  <si>
    <t>YT3598866096696</t>
  </si>
  <si>
    <t>YT1893902952801</t>
  </si>
  <si>
    <t>YT3598865911176</t>
  </si>
  <si>
    <t>YT3598865728190</t>
  </si>
  <si>
    <t>YT1893902952797</t>
  </si>
  <si>
    <t>YT1893902853605</t>
  </si>
  <si>
    <t>YT1893902853595</t>
  </si>
  <si>
    <t>YT1893902853582</t>
  </si>
  <si>
    <t>YT1893902853571</t>
  </si>
  <si>
    <t>YT1893902853562</t>
  </si>
  <si>
    <t>YT3416356001981</t>
  </si>
  <si>
    <t>YT3416356001321</t>
  </si>
  <si>
    <t>YT3598866865333</t>
  </si>
  <si>
    <t>YT3598866287779</t>
  </si>
  <si>
    <t>YT3416356000906</t>
  </si>
  <si>
    <t>YT3598865911826</t>
  </si>
  <si>
    <t>YT3598866865209</t>
  </si>
  <si>
    <t>YT3598866680941</t>
  </si>
  <si>
    <t>YT3416356000669</t>
  </si>
  <si>
    <t>YT3598866483414</t>
  </si>
  <si>
    <t>YT1893902853555</t>
  </si>
  <si>
    <t>YT3598866680901</t>
  </si>
  <si>
    <t>YT3598866865025</t>
  </si>
  <si>
    <t>YT1893902853540</t>
  </si>
  <si>
    <t>YT3598867001374</t>
  </si>
  <si>
    <t>YT1893902853537</t>
  </si>
  <si>
    <t>YT3598865911394</t>
  </si>
  <si>
    <t>YT3416355999911</t>
  </si>
  <si>
    <t>YT1893902853526</t>
  </si>
  <si>
    <t>YT3598866864941</t>
  </si>
  <si>
    <t>YT1893902853517</t>
  </si>
  <si>
    <t>YT1893902341131</t>
  </si>
  <si>
    <t>YT3598865911336</t>
  </si>
  <si>
    <t>YT1893902341120</t>
  </si>
  <si>
    <t>YT1893902341111</t>
  </si>
  <si>
    <t>YT3416355999526</t>
  </si>
  <si>
    <t>YT3416355999287</t>
  </si>
  <si>
    <t>YT3416355998860</t>
  </si>
  <si>
    <t>YT3416355998561</t>
  </si>
  <si>
    <t>YT3416355997696</t>
  </si>
  <si>
    <t>YT3416355997364</t>
  </si>
  <si>
    <t>YT3416356005040</t>
  </si>
  <si>
    <t>YT3416356004533</t>
  </si>
  <si>
    <t>YT3416356004296</t>
  </si>
  <si>
    <t>YT3416356003752</t>
  </si>
  <si>
    <t>YT3416356003396</t>
  </si>
  <si>
    <t>YT3413177852224</t>
  </si>
  <si>
    <t>YT3416356002618</t>
  </si>
  <si>
    <t>YT3413177851861</t>
  </si>
  <si>
    <t>YT3413177851775</t>
  </si>
  <si>
    <t>YT3416356001864</t>
  </si>
  <si>
    <t>YT3416356001444</t>
  </si>
  <si>
    <t>YT3416356000997</t>
  </si>
  <si>
    <t>YT3416356000544</t>
  </si>
  <si>
    <t>YT3413177850600</t>
  </si>
  <si>
    <t>YT3413177850459</t>
  </si>
  <si>
    <t>YT3416355999227</t>
  </si>
  <si>
    <t>YT3416355998927</t>
  </si>
  <si>
    <t>YT3416355998534</t>
  </si>
  <si>
    <t>YT3416355997810</t>
  </si>
  <si>
    <t>YT3413177849585</t>
  </si>
  <si>
    <t>YT3416356005794</t>
  </si>
  <si>
    <t>YT3413177853368</t>
  </si>
  <si>
    <t>YT3416356004623</t>
  </si>
  <si>
    <t>YT3416356004326</t>
  </si>
  <si>
    <t>YT3413177852615</t>
  </si>
  <si>
    <t>YT3598866864828</t>
  </si>
  <si>
    <t>YT3416356003420</t>
  </si>
  <si>
    <t>YT3416356002979</t>
  </si>
  <si>
    <t>YT3413177852011</t>
  </si>
  <si>
    <t>YT3413177851834</t>
  </si>
  <si>
    <t>YT3416356002049</t>
  </si>
  <si>
    <t>YT3416356001745</t>
  </si>
  <si>
    <t>YT3416356001024</t>
  </si>
  <si>
    <t>YT3413177850994</t>
  </si>
  <si>
    <t>YT3413177850750</t>
  </si>
  <si>
    <t>YT3413177850488</t>
  </si>
  <si>
    <t>YT3413177850275</t>
  </si>
  <si>
    <t>YT3416355998895</t>
  </si>
  <si>
    <t>YT3413177850035</t>
  </si>
  <si>
    <t>YT3416355997724</t>
  </si>
  <si>
    <t>YT3413177849556</t>
  </si>
  <si>
    <t>YT3416356005228</t>
  </si>
  <si>
    <t>YT3416356004560</t>
  </si>
  <si>
    <t>YT3416356004357</t>
  </si>
  <si>
    <t>YT3416356003693</t>
  </si>
  <si>
    <t>YT3413177852464</t>
  </si>
  <si>
    <t>YT3416356002856</t>
  </si>
  <si>
    <t>YT3413177851928</t>
  </si>
  <si>
    <t>YT3598866483054</t>
  </si>
  <si>
    <t>YT3598866096805</t>
  </si>
  <si>
    <t>YT3416356002135</t>
  </si>
  <si>
    <t>YT3413177851717</t>
  </si>
  <si>
    <t>YT3598865728284</t>
  </si>
  <si>
    <t>YT3598867001051</t>
  </si>
  <si>
    <t>YT1893902341104</t>
  </si>
  <si>
    <t>YT3416356001628</t>
  </si>
  <si>
    <t>YT3416356001291</t>
  </si>
  <si>
    <t>YT3416356000876</t>
  </si>
  <si>
    <t>YT3413177850932</t>
  </si>
  <si>
    <t>YT3413177850639</t>
  </si>
  <si>
    <t>YT3598866680419</t>
  </si>
  <si>
    <t>YT3416355999557</t>
  </si>
  <si>
    <t>YT3598866096683</t>
  </si>
  <si>
    <t>YT3598865911167</t>
  </si>
  <si>
    <t>YT3598866483548</t>
  </si>
  <si>
    <t>YT3598866865173</t>
  </si>
  <si>
    <t>YT3416355999258</t>
  </si>
  <si>
    <t>YT1893902341096</t>
  </si>
  <si>
    <t>YT3598865911613</t>
  </si>
  <si>
    <t>YT3598866097222</t>
  </si>
  <si>
    <t>YT1893902341083</t>
  </si>
  <si>
    <t>YT3598865911501</t>
  </si>
  <si>
    <t>YT3416355998833</t>
  </si>
  <si>
    <t>YT3598866287447</t>
  </si>
  <si>
    <t>YT3598865728538</t>
  </si>
  <si>
    <t>YT3416355998505</t>
  </si>
  <si>
    <t>YT3598866287407</t>
  </si>
  <si>
    <t>YT1893902341072</t>
  </si>
  <si>
    <t>YT3598866680758</t>
  </si>
  <si>
    <t>YT3598866097013</t>
  </si>
  <si>
    <t>YT1893902341063</t>
  </si>
  <si>
    <t>YT3598866483102</t>
  </si>
  <si>
    <t>YT3598866680565</t>
  </si>
  <si>
    <t>YT1893902341056</t>
  </si>
  <si>
    <t>YT3598866864802</t>
  </si>
  <si>
    <t>YT1893902341041</t>
  </si>
  <si>
    <t>YT3416355997755</t>
  </si>
  <si>
    <t>YT3598866864758</t>
  </si>
  <si>
    <t>YT3416355997308</t>
  </si>
  <si>
    <t>YT3598867001077</t>
  </si>
  <si>
    <t>YT3598867001068</t>
  </si>
  <si>
    <t>YT3598865728264</t>
  </si>
  <si>
    <t>YT3598866864693</t>
  </si>
  <si>
    <t>YT3598866096672</t>
  </si>
  <si>
    <t>YT3598865728187</t>
  </si>
  <si>
    <t>YT1893770086651</t>
  </si>
  <si>
    <t>YT1893770086646</t>
  </si>
  <si>
    <t>YT1893770086633</t>
  </si>
  <si>
    <t>YT1893770086622</t>
  </si>
  <si>
    <t>YT3416339421977</t>
  </si>
  <si>
    <t>YT3598840091163</t>
  </si>
  <si>
    <t>YT1893770086613</t>
  </si>
  <si>
    <t>YT1893770086606</t>
  </si>
  <si>
    <t>YT3416339062963</t>
  </si>
  <si>
    <t>YT1893769888754</t>
  </si>
  <si>
    <t>YT3598839884440</t>
  </si>
  <si>
    <t>YT3413169356978</t>
  </si>
  <si>
    <t>YT3598840202248</t>
  </si>
  <si>
    <t>YT3598839358882</t>
  </si>
  <si>
    <t>YT3413169356792</t>
  </si>
  <si>
    <t>YT1893769888749</t>
  </si>
  <si>
    <t>YT1893769888736</t>
  </si>
  <si>
    <t>YT3598839358855</t>
  </si>
  <si>
    <t>YT1893769888725</t>
  </si>
  <si>
    <t>YT3598839552123</t>
  </si>
  <si>
    <t>YT1893769888716</t>
  </si>
  <si>
    <t>YT1893769888709</t>
  </si>
  <si>
    <t>YT1893769888699</t>
  </si>
  <si>
    <t>YT1893770944739</t>
  </si>
  <si>
    <t>YT1893770944728</t>
  </si>
  <si>
    <t>YT1893770944719</t>
  </si>
  <si>
    <t>YT1893770944702</t>
  </si>
  <si>
    <t>YT1893770944692</t>
  </si>
  <si>
    <t>YT1893770944689</t>
  </si>
  <si>
    <t>YT1893770944678</t>
  </si>
  <si>
    <t>YT1893770944669</t>
  </si>
  <si>
    <t>YT1893770944652</t>
  </si>
  <si>
    <t>YT1893770944647</t>
  </si>
  <si>
    <t>YT1893770816852</t>
  </si>
  <si>
    <t>YT1893770816847</t>
  </si>
  <si>
    <t>YT1893770816834</t>
  </si>
  <si>
    <t>YT1893770816823</t>
  </si>
  <si>
    <t>YT1893770816814</t>
  </si>
  <si>
    <t>YT3598839884284</t>
  </si>
  <si>
    <t>YT1893770816807</t>
  </si>
  <si>
    <t>YT3598839358741</t>
  </si>
  <si>
    <t>YT3598839163510</t>
  </si>
  <si>
    <t>YT1893770816793</t>
  </si>
  <si>
    <t>YT1893770816780</t>
  </si>
  <si>
    <t>YT3598839884190</t>
  </si>
  <si>
    <t>YT1893770816779</t>
  </si>
  <si>
    <t>YT1893770816760</t>
  </si>
  <si>
    <t>YT7501786673759</t>
  </si>
  <si>
    <t>YT3413166269822</t>
  </si>
  <si>
    <t>YT3413166269255</t>
  </si>
  <si>
    <t>YT3416332918212</t>
  </si>
  <si>
    <t>YT3416332916142</t>
  </si>
  <si>
    <t>YT3413166266289</t>
  </si>
  <si>
    <t>YT3416332914702</t>
  </si>
  <si>
    <t>YT3416332913958</t>
  </si>
  <si>
    <t>YT3416332913110</t>
  </si>
  <si>
    <t>YT3413166264487</t>
  </si>
  <si>
    <t>YT3416332911763</t>
  </si>
  <si>
    <t>YT3416332911222</t>
  </si>
  <si>
    <t>YT3416332910625</t>
  </si>
  <si>
    <t>YT3598830614394</t>
  </si>
  <si>
    <t>YT3598830159026</t>
  </si>
  <si>
    <t>YT3598829385650</t>
  </si>
  <si>
    <t>YT3598830158975</t>
  </si>
  <si>
    <t>YT3598829385582</t>
  </si>
  <si>
    <t>YT3598830297245</t>
  </si>
  <si>
    <t>YT3598829385537</t>
  </si>
  <si>
    <t>YT3598829769803</t>
  </si>
  <si>
    <t>YT3598830424889</t>
  </si>
  <si>
    <t>YT3598830297124</t>
  </si>
  <si>
    <t>YT3598829385454</t>
  </si>
  <si>
    <t>YT3598829961470</t>
  </si>
  <si>
    <t>YT3598829769625</t>
  </si>
  <si>
    <t>YT3598829961425</t>
  </si>
  <si>
    <t>YT3598830296998</t>
  </si>
  <si>
    <t>YT3598830614132</t>
  </si>
  <si>
    <t>YT3598830158672</t>
  </si>
  <si>
    <t>YT1893719575570</t>
  </si>
  <si>
    <t>YT1893719575561</t>
  </si>
  <si>
    <t>YT1893719575554</t>
  </si>
  <si>
    <t>YT1893719575549</t>
  </si>
  <si>
    <t>YT1893719575536</t>
  </si>
  <si>
    <t>YT1893719575525</t>
  </si>
  <si>
    <t>YT1893719575516</t>
  </si>
  <si>
    <t>YT7501689896228</t>
  </si>
  <si>
    <t>YT3413162307511</t>
  </si>
  <si>
    <t>YT3413162307159</t>
  </si>
  <si>
    <t>YT3416325033522</t>
  </si>
  <si>
    <t>YT3416325033010</t>
  </si>
  <si>
    <t>YT3413162306101</t>
  </si>
  <si>
    <t>YT3413162305685</t>
  </si>
  <si>
    <t>YT3413162305506</t>
  </si>
  <si>
    <t>YT3413162305021</t>
  </si>
  <si>
    <t>YT3413162304420</t>
  </si>
  <si>
    <t>YT3413162304037</t>
  </si>
  <si>
    <t>YT3416325027077</t>
  </si>
  <si>
    <t>YT3416325026654</t>
  </si>
  <si>
    <t>YT3416325026177</t>
  </si>
  <si>
    <t>YT3413162302684</t>
  </si>
  <si>
    <t>YT3416325024948</t>
  </si>
  <si>
    <t>YT3416325024371</t>
  </si>
  <si>
    <t>YT3416325023806</t>
  </si>
  <si>
    <t>YT3413162308327</t>
  </si>
  <si>
    <t>YT3416325035957</t>
  </si>
  <si>
    <t>YT3416325035595</t>
  </si>
  <si>
    <t>YT3413162307546</t>
  </si>
  <si>
    <t>YT3413162307067</t>
  </si>
  <si>
    <t>YT3413162306707</t>
  </si>
  <si>
    <t>YT3413162306435</t>
  </si>
  <si>
    <t>YT3416325032260</t>
  </si>
  <si>
    <t>YT3416325031337</t>
  </si>
  <si>
    <t>YT3416325030499</t>
  </si>
  <si>
    <t>YT3416325029710</t>
  </si>
  <si>
    <t>YT3416325028900</t>
  </si>
  <si>
    <t>YT3413162303883</t>
  </si>
  <si>
    <t>YT3413162303584</t>
  </si>
  <si>
    <t>YT3416325026715</t>
  </si>
  <si>
    <t>YT3413162303104</t>
  </si>
  <si>
    <t>YT3416325025637</t>
  </si>
  <si>
    <t>YT3416325025121</t>
  </si>
  <si>
    <t>YT3416325024469</t>
  </si>
  <si>
    <t>YT3413162301726</t>
  </si>
  <si>
    <t>YT3413162308080</t>
  </si>
  <si>
    <t>YT3413162307784</t>
  </si>
  <si>
    <t>YT3413162307634</t>
  </si>
  <si>
    <t>YT3413162307212</t>
  </si>
  <si>
    <t>YT3416325033436</t>
  </si>
  <si>
    <t>YT3416325032893</t>
  </si>
  <si>
    <t>YT3416325032295</t>
  </si>
  <si>
    <t>YT3416325031810</t>
  </si>
  <si>
    <t>YT3416325031030</t>
  </si>
  <si>
    <t>YT3416325030408</t>
  </si>
  <si>
    <t>YT3416325029352</t>
  </si>
  <si>
    <t>YT3416325028571</t>
  </si>
  <si>
    <t>YT3416325027406</t>
  </si>
  <si>
    <t>YT3416325026957</t>
  </si>
  <si>
    <t>YT3416325026449</t>
  </si>
  <si>
    <t>YT3413162302927</t>
  </si>
  <si>
    <t>YT3413162302596</t>
  </si>
  <si>
    <t>YT3416325024733</t>
  </si>
  <si>
    <t>YT3413162301991</t>
  </si>
  <si>
    <t>YT3413162301607</t>
  </si>
  <si>
    <t>YT3413162307964</t>
  </si>
  <si>
    <t>YT3416325035560</t>
  </si>
  <si>
    <t>YT3413162307483</t>
  </si>
  <si>
    <t>YT3416325034062</t>
  </si>
  <si>
    <t>YT3413162306497</t>
  </si>
  <si>
    <t>YT3416325032448</t>
  </si>
  <si>
    <t>YT3416325031908</t>
  </si>
  <si>
    <t>YT3413162305535</t>
  </si>
  <si>
    <t>YT3413162305146</t>
  </si>
  <si>
    <t>YT3413162304721</t>
  </si>
  <si>
    <t>YT3416325028663</t>
  </si>
  <si>
    <t>YT3416325027374</t>
  </si>
  <si>
    <t>YT3416325026926</t>
  </si>
  <si>
    <t>YT3416325026472</t>
  </si>
  <si>
    <t>YT3416325025967</t>
  </si>
  <si>
    <t>YT3416325025457</t>
  </si>
  <si>
    <t>YT3416325024887</t>
  </si>
  <si>
    <t>YT3413162301939</t>
  </si>
  <si>
    <t>YT3413162301663</t>
  </si>
  <si>
    <t>YT3598817770965</t>
  </si>
  <si>
    <t>YT3598819045863</t>
  </si>
  <si>
    <t>YT3598818511918</t>
  </si>
  <si>
    <t>YT3598818903986</t>
  </si>
  <si>
    <t>YT3598818128893</t>
  </si>
  <si>
    <t>YT3598818703773</t>
  </si>
  <si>
    <t>YT3598817959054</t>
  </si>
  <si>
    <t>YT3598817770859</t>
  </si>
  <si>
    <t>YT3598818314377</t>
  </si>
  <si>
    <t>YT3598817770767</t>
  </si>
  <si>
    <t>YT3598818128709</t>
  </si>
  <si>
    <t>YT3598818128699</t>
  </si>
  <si>
    <t>YT3598818703634</t>
  </si>
  <si>
    <t>YT3598817770637</t>
  </si>
  <si>
    <t>YT3598818314225</t>
  </si>
  <si>
    <t>YT3598817958750</t>
  </si>
  <si>
    <t>YT3598818314724</t>
  </si>
  <si>
    <t>YT3598818314665</t>
  </si>
  <si>
    <t>YT3598817959294</t>
  </si>
  <si>
    <t>YT3598818314630</t>
  </si>
  <si>
    <t>YT3598818129003</t>
  </si>
  <si>
    <t>YT3598818314580</t>
  </si>
  <si>
    <t>YT3598817959197</t>
  </si>
  <si>
    <t>YT3598817959157</t>
  </si>
  <si>
    <t>YT3598818314492</t>
  </si>
  <si>
    <t>YT3598819045827</t>
  </si>
  <si>
    <t>YT3598818128879</t>
  </si>
  <si>
    <t>YT3598818703764</t>
  </si>
  <si>
    <t>YT3598818511842</t>
  </si>
  <si>
    <t>YT3598817958998</t>
  </si>
  <si>
    <t>YT3598818128716</t>
  </si>
  <si>
    <t>YT3598818314306</t>
  </si>
  <si>
    <t>YT3598818903850</t>
  </si>
  <si>
    <t>YT3598818314216</t>
  </si>
  <si>
    <t>YT3598818128561</t>
  </si>
  <si>
    <t>YT3598817771177</t>
  </si>
  <si>
    <t>YT3598819046040</t>
  </si>
  <si>
    <t>YT3598819046037</t>
  </si>
  <si>
    <t>YT3598817771074</t>
  </si>
  <si>
    <t>YT3598817959270</t>
  </si>
  <si>
    <t>YT3598818314593</t>
  </si>
  <si>
    <t>YT3598817959216</t>
  </si>
  <si>
    <t>YT3598819045900</t>
  </si>
  <si>
    <t>YT3598818511927</t>
  </si>
  <si>
    <t>YT3598818904000</t>
  </si>
  <si>
    <t>YT3598817959102</t>
  </si>
  <si>
    <t>YT3598818703797</t>
  </si>
  <si>
    <t>YT3598819045801</t>
  </si>
  <si>
    <t>YT3598819045797</t>
  </si>
  <si>
    <t>YT3598818128808</t>
  </si>
  <si>
    <t>YT3598817770790</t>
  </si>
  <si>
    <t>YT3598818128675</t>
  </si>
  <si>
    <t>YT3598817770671</t>
  </si>
  <si>
    <t>YT3598818128611</t>
  </si>
  <si>
    <t>YT3598817958767</t>
  </si>
  <si>
    <t>YT1893668565428</t>
  </si>
  <si>
    <t>YT1893668565419</t>
  </si>
  <si>
    <t>YT1893668565402</t>
  </si>
  <si>
    <t>YT1893668565396</t>
  </si>
  <si>
    <t>YT1893668565383</t>
  </si>
  <si>
    <t>YT1893668565372</t>
  </si>
  <si>
    <t>YT1893669418259</t>
  </si>
  <si>
    <t>YT1893669418244</t>
  </si>
  <si>
    <t>YT1893669418231</t>
  </si>
  <si>
    <t>YT1893669418220</t>
  </si>
  <si>
    <t>YT1893669418211</t>
  </si>
  <si>
    <t>YT1893669418204</t>
  </si>
  <si>
    <t>YT1893669418192</t>
  </si>
  <si>
    <t>YT1893669418189</t>
  </si>
  <si>
    <t>YT1893669418178</t>
  </si>
  <si>
    <t>YT1893669418169</t>
  </si>
  <si>
    <t>YT3413156238661</t>
  </si>
  <si>
    <t>YT7501005605545</t>
  </si>
  <si>
    <t>YT7501593898602</t>
  </si>
  <si>
    <t>YT3598799972490</t>
  </si>
  <si>
    <t>YT3598800450816</t>
  </si>
  <si>
    <t>YT3598801025574</t>
  </si>
  <si>
    <t>YT3598799972467</t>
  </si>
  <si>
    <t>YT1893571875768</t>
  </si>
  <si>
    <t>YT1893571875751</t>
  </si>
  <si>
    <t>YT7501593898585</t>
  </si>
  <si>
    <t>YT7501003978294</t>
  </si>
  <si>
    <t>YT7500653030530</t>
  </si>
  <si>
    <t>YT7501593898550</t>
  </si>
  <si>
    <t>YT7500053437753</t>
  </si>
  <si>
    <t>YT7501589180984</t>
  </si>
  <si>
    <t>YT7501593898534</t>
  </si>
  <si>
    <t>YT7501595129186</t>
  </si>
  <si>
    <t>YT7500055602957</t>
  </si>
  <si>
    <t>YT1893556183710</t>
  </si>
  <si>
    <t>YT1893556183703</t>
  </si>
  <si>
    <t>YT1893556183693</t>
  </si>
  <si>
    <t>YT1893556183680</t>
  </si>
  <si>
    <t>YT3598797816202</t>
  </si>
  <si>
    <t>YT3598797624665</t>
  </si>
  <si>
    <t>YT3598797236213</t>
  </si>
  <si>
    <t>YT3598797624643</t>
  </si>
  <si>
    <t>YT3598797816167</t>
  </si>
  <si>
    <t>YT3598797816084</t>
  </si>
  <si>
    <t>YT3598796878069</t>
  </si>
  <si>
    <t>YT3598798005696</t>
  </si>
  <si>
    <t>YT3598797624452</t>
  </si>
  <si>
    <t>YT3598796878432</t>
  </si>
  <si>
    <t>YT3598797236512</t>
  </si>
  <si>
    <t>YT3598797428281</t>
  </si>
  <si>
    <t>YT3598796758071</t>
  </si>
  <si>
    <t>YT3598797236475</t>
  </si>
  <si>
    <t>YT3598797428249</t>
  </si>
  <si>
    <t>YT3598797816264</t>
  </si>
  <si>
    <t>YT3598796757946</t>
  </si>
  <si>
    <t>YT3598797236330</t>
  </si>
  <si>
    <t>YT3598797066287</t>
  </si>
  <si>
    <t>YT3598797066267</t>
  </si>
  <si>
    <t>YT3598797066250</t>
  </si>
  <si>
    <t>YT3598797236206</t>
  </si>
  <si>
    <t>YT3598798005805</t>
  </si>
  <si>
    <t>YT3598796878089</t>
  </si>
  <si>
    <t>YT3598797066160</t>
  </si>
  <si>
    <t>YT3598797427905</t>
  </si>
  <si>
    <t>YT3598797427888</t>
  </si>
  <si>
    <t>YT3598797624489</t>
  </si>
  <si>
    <t>YT3598796878007</t>
  </si>
  <si>
    <t>YT3598778523974</t>
  </si>
  <si>
    <t>YT3598778810588</t>
  </si>
  <si>
    <t>YT3598778331913</t>
  </si>
  <si>
    <t>YT3598777582604</t>
  </si>
  <si>
    <t>YT3598777778526</t>
  </si>
  <si>
    <t>YT3598778724179</t>
  </si>
  <si>
    <t>YT3598777950506</t>
  </si>
  <si>
    <t>YT3598778146289</t>
  </si>
  <si>
    <t>YT3598777582271</t>
  </si>
  <si>
    <t>YT3598778810182</t>
  </si>
  <si>
    <t>YT3598777778218</t>
  </si>
  <si>
    <t>YT3598777582055</t>
  </si>
  <si>
    <t>YT3598778146034</t>
  </si>
  <si>
    <t>YT3598778723783</t>
  </si>
  <si>
    <t>YT3598777950047</t>
  </si>
  <si>
    <t>YT3598777949999</t>
  </si>
  <si>
    <t>YT3598777949931</t>
  </si>
  <si>
    <t>YT3598777949876</t>
  </si>
  <si>
    <t>YT3598778145754</t>
  </si>
  <si>
    <t>YT3598777777686</t>
  </si>
  <si>
    <t>YT3598777950920</t>
  </si>
  <si>
    <t>YT3598778724410</t>
  </si>
  <si>
    <t>YT3598778146672</t>
  </si>
  <si>
    <t>YT3598778146601</t>
  </si>
  <si>
    <t>YT3598777950627</t>
  </si>
  <si>
    <t>YT3598777950568</t>
  </si>
  <si>
    <t>YT3598777950522</t>
  </si>
  <si>
    <t>YT3598778146344</t>
  </si>
  <si>
    <t>YT3598778724005</t>
  </si>
  <si>
    <t>YT3598778810162</t>
  </si>
  <si>
    <t>YT3598778331535</t>
  </si>
  <si>
    <t>YT3598778146078</t>
  </si>
  <si>
    <t>YT3598777778120</t>
  </si>
  <si>
    <t>YT3598777581948</t>
  </si>
  <si>
    <t>YT3598778723688</t>
  </si>
  <si>
    <t>YT3598778723606</t>
  </si>
  <si>
    <t>YT3598778809786</t>
  </si>
  <si>
    <t>YT3598778145761</t>
  </si>
  <si>
    <t>YT3598778331016</t>
  </si>
  <si>
    <t>YT3598778809720</t>
  </si>
  <si>
    <t>YT3416298353113</t>
  </si>
  <si>
    <t>YT3416298352664</t>
  </si>
  <si>
    <t>YT3416298351977</t>
  </si>
  <si>
    <t>YT3416298351700</t>
  </si>
  <si>
    <t>YT3416298351377</t>
  </si>
  <si>
    <t>YT3416298351160</t>
  </si>
  <si>
    <t>YT3416298350509</t>
  </si>
  <si>
    <t>YT3416298350024</t>
  </si>
  <si>
    <t>YT3416298349516</t>
  </si>
  <si>
    <t>YT3416298348553</t>
  </si>
  <si>
    <t>YT3416298347325</t>
  </si>
  <si>
    <t>YT3416298346483</t>
  </si>
  <si>
    <t>YT3416298345224</t>
  </si>
  <si>
    <t>YT3416298344711</t>
  </si>
  <si>
    <t>YT3416298344056</t>
  </si>
  <si>
    <t>YT3416298343426</t>
  </si>
  <si>
    <t>YT3416298342917</t>
  </si>
  <si>
    <t>YT3413148983074</t>
  </si>
  <si>
    <t>YT3413148982291</t>
  </si>
  <si>
    <t>YT3416298354529</t>
  </si>
  <si>
    <t>YT3416298352848</t>
  </si>
  <si>
    <t>YT3416298352240</t>
  </si>
  <si>
    <t>YT3413148987609</t>
  </si>
  <si>
    <t>YT3413148987458</t>
  </si>
  <si>
    <t>YT3416298351133</t>
  </si>
  <si>
    <t>YT3413148987034</t>
  </si>
  <si>
    <t>YT3416298349994</t>
  </si>
  <si>
    <t>YT3416298349369</t>
  </si>
  <si>
    <t>YT3416298348283</t>
  </si>
  <si>
    <t>YT3416298347295</t>
  </si>
  <si>
    <t>YT3416298346511</t>
  </si>
  <si>
    <t>YT3416298345464</t>
  </si>
  <si>
    <t>YT3416298344838</t>
  </si>
  <si>
    <t>YT3416298344173</t>
  </si>
  <si>
    <t>YT3416298343549</t>
  </si>
  <si>
    <t>YT3413148983858</t>
  </si>
  <si>
    <t>YT3416298342708</t>
  </si>
  <si>
    <t>YT3416298341561</t>
  </si>
  <si>
    <t>YT3413148982321</t>
  </si>
  <si>
    <t>YT3413148988444</t>
  </si>
  <si>
    <t>YT3416298352787</t>
  </si>
  <si>
    <t>YT3413148987968</t>
  </si>
  <si>
    <t>YT3416298351766</t>
  </si>
  <si>
    <t>YT3413148987427</t>
  </si>
  <si>
    <t>YT3413148987216</t>
  </si>
  <si>
    <t>YT3416298350590</t>
  </si>
  <si>
    <t>YT3413148986884</t>
  </si>
  <si>
    <t>YT3413148986675</t>
  </si>
  <si>
    <t>YT3416298348764</t>
  </si>
  <si>
    <t>YT3416298347714</t>
  </si>
  <si>
    <t>YT3416298346634</t>
  </si>
  <si>
    <t>YT3413148984879</t>
  </si>
  <si>
    <t>YT3416298344890</t>
  </si>
  <si>
    <t>YT3416298344201</t>
  </si>
  <si>
    <t>YT3416298343514</t>
  </si>
  <si>
    <t>YT3413148983827</t>
  </si>
  <si>
    <t>YT3413148982981</t>
  </si>
  <si>
    <t>YT3416298340274</t>
  </si>
  <si>
    <t>YT3413148988808</t>
  </si>
  <si>
    <t>YT3416298353083</t>
  </si>
  <si>
    <t>YT3413148988084</t>
  </si>
  <si>
    <t>YT3416298351919</t>
  </si>
  <si>
    <t>YT3416298351616</t>
  </si>
  <si>
    <t>YT3416298351285</t>
  </si>
  <si>
    <t>YT3416298351047</t>
  </si>
  <si>
    <t>YT3413148986978</t>
  </si>
  <si>
    <t>YT3413148986701</t>
  </si>
  <si>
    <t>YT3413148986378</t>
  </si>
  <si>
    <t>YT3413148985890</t>
  </si>
  <si>
    <t>YT3416298346696</t>
  </si>
  <si>
    <t>YT3413148985173</t>
  </si>
  <si>
    <t>YT3416298345046</t>
  </si>
  <si>
    <t>YT3416298344085</t>
  </si>
  <si>
    <t>YT3416298343486</t>
  </si>
  <si>
    <t>YT3416298343060</t>
  </si>
  <si>
    <t>YT3416298342614</t>
  </si>
  <si>
    <t>YT3416298341534</t>
  </si>
  <si>
    <t>YT3416298340368</t>
  </si>
  <si>
    <t>YT1893465737701</t>
  </si>
  <si>
    <t>YT1893465737691</t>
  </si>
  <si>
    <t>YT1893465737688</t>
  </si>
  <si>
    <t>YT1893467107386</t>
  </si>
  <si>
    <t>YT1893467107375</t>
  </si>
  <si>
    <t>YT1893467107366</t>
  </si>
  <si>
    <t>YT1893467107359</t>
  </si>
  <si>
    <t>YT1893467107344</t>
  </si>
  <si>
    <t>YT1893467107331</t>
  </si>
  <si>
    <t>YT1893467107320</t>
  </si>
  <si>
    <t>YT1893467107311</t>
  </si>
  <si>
    <t>YT1893467107304</t>
  </si>
  <si>
    <t>YT1893467107292</t>
  </si>
  <si>
    <t>YT1893466912280</t>
  </si>
  <si>
    <t>YT1893466912279</t>
  </si>
  <si>
    <t>YT1893466912260</t>
  </si>
  <si>
    <t>YT1893466912293</t>
  </si>
  <si>
    <t>YT1893466912253</t>
  </si>
  <si>
    <t>YT1893466912248</t>
  </si>
  <si>
    <t>YT1893466912235</t>
  </si>
  <si>
    <t>YT1893466912224</t>
  </si>
  <si>
    <t>YT1893466912215</t>
  </si>
  <si>
    <t>YT1893466912208</t>
  </si>
  <si>
    <t>YT7502769153075</t>
  </si>
  <si>
    <t>YT3413141961990</t>
  </si>
  <si>
    <t>YT3598758469391</t>
  </si>
  <si>
    <t>YT3598758104236</t>
  </si>
  <si>
    <t>YT3598758272649</t>
  </si>
  <si>
    <t>YT3598759420809</t>
  </si>
  <si>
    <t>YT3598758645492</t>
  </si>
  <si>
    <t>YT3598758645489</t>
  </si>
  <si>
    <t>YT3598759420755</t>
  </si>
  <si>
    <t>YT3598759219519</t>
  </si>
  <si>
    <t>YT3598758272520</t>
  </si>
  <si>
    <t>YT3598759219483</t>
  </si>
  <si>
    <t>YT3598758272485</t>
  </si>
  <si>
    <t>YT3598759021932</t>
  </si>
  <si>
    <t>YT3598758104016</t>
  </si>
  <si>
    <t>YT1893354332846</t>
  </si>
  <si>
    <t>YT1893354332833</t>
  </si>
  <si>
    <t>YT1893354332822</t>
  </si>
  <si>
    <t>YT1893354332813</t>
  </si>
  <si>
    <t>YT1893354332806</t>
  </si>
  <si>
    <t>YT1893354332792</t>
  </si>
  <si>
    <t>YT1893354332789</t>
  </si>
  <si>
    <t>YT3413141535247</t>
  </si>
  <si>
    <t>YT3416283463724</t>
  </si>
  <si>
    <t>YT3413141533986</t>
  </si>
  <si>
    <t>YT3413141533504</t>
  </si>
  <si>
    <t>YT3416283461502</t>
  </si>
  <si>
    <t>YT3416283460811</t>
  </si>
  <si>
    <t>YT3416283499097</t>
  </si>
  <si>
    <t>YT3413141551205</t>
  </si>
  <si>
    <t>YT3416283498498</t>
  </si>
  <si>
    <t>YT7502769153046</t>
  </si>
  <si>
    <t>YT7502583626685</t>
  </si>
  <si>
    <t>YT7501298065037</t>
  </si>
  <si>
    <t>YT7501298065026</t>
  </si>
  <si>
    <t>YT3598756953553</t>
  </si>
  <si>
    <t>YT3598756589169</t>
  </si>
  <si>
    <t>YT3598757905582</t>
  </si>
  <si>
    <t>YT3598757509001</t>
  </si>
  <si>
    <t>YT3598757705832</t>
  </si>
  <si>
    <t>YT3598757705805</t>
  </si>
  <si>
    <t>YT3598757130775</t>
  </si>
  <si>
    <t>YT3598757705733</t>
  </si>
  <si>
    <t>YT3598757508905</t>
  </si>
  <si>
    <t>YT3598756758062</t>
  </si>
  <si>
    <t>YT3598756758040</t>
  </si>
  <si>
    <t>YT3598757705672</t>
  </si>
  <si>
    <t>YT3598757705638</t>
  </si>
  <si>
    <t>YT3598756758017</t>
  </si>
  <si>
    <t>YT3598757318812</t>
  </si>
  <si>
    <t>YT3598757318805</t>
  </si>
  <si>
    <t>YT3598756588935</t>
  </si>
  <si>
    <t>YT3598757318788</t>
  </si>
  <si>
    <t>YT3598757705546</t>
  </si>
  <si>
    <t>YT3598757318768</t>
  </si>
  <si>
    <t>YT1893347182061</t>
  </si>
  <si>
    <t>YT1893347182054</t>
  </si>
  <si>
    <t>YT1893347182049</t>
  </si>
  <si>
    <t>YT1893347182036</t>
  </si>
  <si>
    <t>YT1893347182025</t>
  </si>
  <si>
    <t>YT1893347182016</t>
  </si>
  <si>
    <t>YT1893347182009</t>
  </si>
  <si>
    <t>YT1893347181992</t>
  </si>
  <si>
    <t>YT1893347073309</t>
  </si>
  <si>
    <t>YT1893347073297</t>
  </si>
  <si>
    <t>YT1893347073284</t>
  </si>
  <si>
    <t>YT1893347073273</t>
  </si>
  <si>
    <t>YT1893347073264</t>
  </si>
  <si>
    <t>YT1893347073257</t>
  </si>
  <si>
    <t>YT1893347073242</t>
  </si>
  <si>
    <t>YT3416268145489</t>
  </si>
  <si>
    <t>YT3416268144552</t>
  </si>
  <si>
    <t>YT3413133882669</t>
  </si>
  <si>
    <t>YT3416268142217</t>
  </si>
  <si>
    <t>YT3416268140651</t>
  </si>
  <si>
    <t>YT3413133881138</t>
  </si>
  <si>
    <t>YT3416268160060</t>
  </si>
  <si>
    <t>YT3413133889895</t>
  </si>
  <si>
    <t>YT3416268157303</t>
  </si>
  <si>
    <t>YT3416268155141</t>
  </si>
  <si>
    <t>YT3413133887558</t>
  </si>
  <si>
    <t>YT3416268152322</t>
  </si>
  <si>
    <t>YT3416268151576</t>
  </si>
  <si>
    <t>YT3416268151037</t>
  </si>
  <si>
    <t>YT3416268150191</t>
  </si>
  <si>
    <t>YT3416268149269</t>
  </si>
  <si>
    <t>YT3413133885422</t>
  </si>
  <si>
    <t>YT3413133885066</t>
  </si>
  <si>
    <t>YT3413133884490</t>
  </si>
  <si>
    <t>YT3416268146112</t>
  </si>
  <si>
    <t>YT3413133883714</t>
  </si>
  <si>
    <t>YT3416268144497</t>
  </si>
  <si>
    <t>YT3416268143689</t>
  </si>
  <si>
    <t>YT3416268142574</t>
  </si>
  <si>
    <t>YT3416268140983</t>
  </si>
  <si>
    <t>YT3413133880986</t>
  </si>
  <si>
    <t>YT3416268160758</t>
  </si>
  <si>
    <t>YT3416268159880</t>
  </si>
  <si>
    <t>YT3416268158689</t>
  </si>
  <si>
    <t>YT3416268155651</t>
  </si>
  <si>
    <t>YT3416268153138</t>
  </si>
  <si>
    <t>YT3416268152267</t>
  </si>
  <si>
    <t>YT3416268151361</t>
  </si>
  <si>
    <t>YT3416268150461</t>
  </si>
  <si>
    <t>YT3413133885783</t>
  </si>
  <si>
    <t>YT3416268148840</t>
  </si>
  <si>
    <t>YT3413133885158</t>
  </si>
  <si>
    <t>YT3416268147195</t>
  </si>
  <si>
    <t>YT3413133884344</t>
  </si>
  <si>
    <t>YT3416268145667</t>
  </si>
  <si>
    <t>YT3416268144736</t>
  </si>
  <si>
    <t>YT3416268143711</t>
  </si>
  <si>
    <t>YT3416268142369</t>
  </si>
  <si>
    <t>YT3416268140501</t>
  </si>
  <si>
    <t>YT3413133881042</t>
  </si>
  <si>
    <t>YT3416268160967</t>
  </si>
  <si>
    <t>YT3416268159798</t>
  </si>
  <si>
    <t>YT3416268158650</t>
  </si>
  <si>
    <t>YT3416268157275</t>
  </si>
  <si>
    <t>YT3416268153529</t>
  </si>
  <si>
    <t>YT3416268152539</t>
  </si>
  <si>
    <t>YT3413133886982</t>
  </si>
  <si>
    <t>YT3413133886838</t>
  </si>
  <si>
    <t>YT3413133886382</t>
  </si>
  <si>
    <t>YT3416268149984</t>
  </si>
  <si>
    <t>YT3416268148903</t>
  </si>
  <si>
    <t>YT3416268147823</t>
  </si>
  <si>
    <t>YT3416268146929</t>
  </si>
  <si>
    <t>YT3416268146208</t>
  </si>
  <si>
    <t>YT3416268145450</t>
  </si>
  <si>
    <t>YT3416268144581</t>
  </si>
  <si>
    <t>YT3413133882694</t>
  </si>
  <si>
    <t>YT3413133882065</t>
  </si>
  <si>
    <t>YT3416268140530</t>
  </si>
  <si>
    <t>YT3416268139000</t>
  </si>
  <si>
    <t>YT3416268160930</t>
  </si>
  <si>
    <t>YT3416268160152</t>
  </si>
  <si>
    <t>YT3416268158982</t>
  </si>
  <si>
    <t>YT3416268157750</t>
  </si>
  <si>
    <t>YT3416268720400</t>
  </si>
  <si>
    <t>YT3598738211730</t>
  </si>
  <si>
    <t>YT3598737208517</t>
  </si>
  <si>
    <t>YT3598736735269</t>
  </si>
  <si>
    <t>YT3598736182294</t>
  </si>
  <si>
    <t>YT3598737452828</t>
  </si>
  <si>
    <t>YT3598736735234</t>
  </si>
  <si>
    <t>YT3598737648078</t>
  </si>
  <si>
    <t>YT3598738211680</t>
  </si>
  <si>
    <t>YT3598737134100</t>
  </si>
  <si>
    <t>YT3598738211679</t>
  </si>
  <si>
    <t>YT3598737834064</t>
  </si>
  <si>
    <t>YT3598736925536</t>
  </si>
  <si>
    <t>YT3598736935771</t>
  </si>
  <si>
    <t>YT3598736182173</t>
  </si>
  <si>
    <t>YT3598737452703</t>
  </si>
  <si>
    <t>YT3598738402185</t>
  </si>
  <si>
    <t>YT3598736735214</t>
  </si>
  <si>
    <t>YT3598737285712</t>
  </si>
  <si>
    <t>YT3598738015170</t>
  </si>
  <si>
    <t>YT3598737834381</t>
  </si>
  <si>
    <t>YT3598736172422</t>
  </si>
  <si>
    <t>YT3598738600804</t>
  </si>
  <si>
    <t>YT3598737648344</t>
  </si>
  <si>
    <t>YT3598738015116</t>
  </si>
  <si>
    <t>YT3598735976810</t>
  </si>
  <si>
    <t>YT3598737453067</t>
  </si>
  <si>
    <t>YT3598737285587</t>
  </si>
  <si>
    <t>YT3598737834284</t>
  </si>
  <si>
    <t>YT3598736358183</t>
  </si>
  <si>
    <t>YT3598738015033</t>
  </si>
  <si>
    <t>YT3598736735768</t>
  </si>
  <si>
    <t>YT3598737285466</t>
  </si>
  <si>
    <t>YT3598737285374</t>
  </si>
  <si>
    <t>YT3598738211743</t>
  </si>
  <si>
    <t>YT3598738402262</t>
  </si>
  <si>
    <t>YT3598736925923</t>
  </si>
  <si>
    <t>YT3598736537344</t>
  </si>
  <si>
    <t>YT3598738211693</t>
  </si>
  <si>
    <t>YT3598736745808</t>
  </si>
  <si>
    <t>YT3598736537252</t>
  </si>
  <si>
    <t>YT3598737452765</t>
  </si>
  <si>
    <t>YT3598736537214</t>
  </si>
  <si>
    <t>YT3598736172093</t>
  </si>
  <si>
    <t>YT3598736537117</t>
  </si>
  <si>
    <t>YT3598736735412</t>
  </si>
  <si>
    <t>YT3598736357722</t>
  </si>
  <si>
    <t>YT3598736357696</t>
  </si>
  <si>
    <t>YT3598737123573</t>
  </si>
  <si>
    <t>YT3598737123557</t>
  </si>
  <si>
    <t>YT3598736735304</t>
  </si>
  <si>
    <t>YT3598737208470</t>
  </si>
  <si>
    <t>YT3598736357588</t>
  </si>
  <si>
    <t>YT3598737123519</t>
  </si>
  <si>
    <t>YT3598737123483</t>
  </si>
  <si>
    <t>YT3598737834084</t>
  </si>
  <si>
    <t>YT3598736926034</t>
  </si>
  <si>
    <t>YT3598735976858</t>
  </si>
  <si>
    <t>YT3598736735805</t>
  </si>
  <si>
    <t>YT3598736358172</t>
  </si>
  <si>
    <t>YT3598736172332</t>
  </si>
  <si>
    <t>YT3598737648007</t>
  </si>
  <si>
    <t>YT3598736358080</t>
  </si>
  <si>
    <t>YT3598736537304</t>
  </si>
  <si>
    <t>YT3598736925853</t>
  </si>
  <si>
    <t>YT3598737208737</t>
  </si>
  <si>
    <t>YT3598737123669</t>
  </si>
  <si>
    <t>YT3598736537092</t>
  </si>
  <si>
    <t>YT3598736925675</t>
  </si>
  <si>
    <t>YT3598736735344</t>
  </si>
  <si>
    <t>YT3598736357683</t>
  </si>
  <si>
    <t>YT3598736735320</t>
  </si>
  <si>
    <t>YT3598736735311</t>
  </si>
  <si>
    <t>YT3598736735292</t>
  </si>
  <si>
    <t>YT3598738600499</t>
  </si>
  <si>
    <t>YT3598738211624</t>
  </si>
  <si>
    <t>YT3598737208461</t>
  </si>
  <si>
    <t>YT3598737123502</t>
  </si>
  <si>
    <t>YT3598736536945</t>
  </si>
  <si>
    <t>YT1893261452167</t>
  </si>
  <si>
    <t>YT1893261452150</t>
  </si>
  <si>
    <t>YT1893261452145</t>
  </si>
  <si>
    <t>YT1893261136269</t>
  </si>
  <si>
    <t>YT1893261904787</t>
  </si>
  <si>
    <t>YT1893260747486</t>
  </si>
  <si>
    <t>YT1893261904626</t>
  </si>
  <si>
    <t>YT1893261904567</t>
  </si>
  <si>
    <t>YT1893261451472</t>
  </si>
  <si>
    <t>YT1893261451463</t>
  </si>
  <si>
    <t>YT1893261451441</t>
  </si>
  <si>
    <t>YT1893241561326</t>
  </si>
  <si>
    <t>YT1893241561274</t>
  </si>
  <si>
    <t>YT1893240594633</t>
  </si>
  <si>
    <t>YT1893260555054</t>
  </si>
  <si>
    <t>YT1893242340625</t>
  </si>
  <si>
    <t>YT1893242340575</t>
  </si>
  <si>
    <t>YT1893242340559</t>
  </si>
  <si>
    <t>YT1893241562019</t>
  </si>
  <si>
    <t>YT1893242532929</t>
  </si>
  <si>
    <t>YT1893242532899</t>
  </si>
  <si>
    <t>YT1893242532886</t>
  </si>
  <si>
    <t>YT1893242532875</t>
  </si>
  <si>
    <t>YT1893242532866</t>
  </si>
  <si>
    <t>YT1893242532859</t>
  </si>
  <si>
    <t>YT1893242532844</t>
  </si>
  <si>
    <t>YT1893241273133</t>
  </si>
  <si>
    <t>YT1893241273122</t>
  </si>
  <si>
    <t>YT1893241273106</t>
  </si>
  <si>
    <t>YT1893241273043</t>
  </si>
  <si>
    <t>YT1893242449955</t>
  </si>
  <si>
    <t>YT1893242449900</t>
  </si>
  <si>
    <t>YT1893260363716</t>
  </si>
  <si>
    <t>YT1893240098236</t>
  </si>
  <si>
    <t>YT1893240098184</t>
  </si>
  <si>
    <t>YT1893240098142</t>
  </si>
  <si>
    <t>YT1893261608636</t>
  </si>
  <si>
    <t>YT1893261608625</t>
  </si>
  <si>
    <t>YT1893260639345</t>
  </si>
  <si>
    <t>YT1893260639293</t>
  </si>
  <si>
    <t>YT1893241847167</t>
  </si>
  <si>
    <t>YT1893241847150</t>
  </si>
  <si>
    <t>YT1893241847145</t>
  </si>
  <si>
    <t>YT1893241847132</t>
  </si>
  <si>
    <t>YT1893241847112</t>
  </si>
  <si>
    <t>YT1893241847105</t>
  </si>
  <si>
    <t>YT1893260639279</t>
  </si>
  <si>
    <t>YT1893242810920</t>
  </si>
  <si>
    <t>YT1893242810904</t>
  </si>
  <si>
    <t>YT1893260149965</t>
  </si>
  <si>
    <t>YT1893242810672</t>
  </si>
  <si>
    <t>YT1893260362977</t>
  </si>
  <si>
    <t>YT1893242810832</t>
  </si>
  <si>
    <t>YT1893242810821</t>
  </si>
  <si>
    <t>YT1893242810812</t>
  </si>
  <si>
    <t>YT1893242810805</t>
  </si>
  <si>
    <t>YT1893242533155</t>
  </si>
  <si>
    <t>YT1893242533126</t>
  </si>
  <si>
    <t>YT1893242533092</t>
  </si>
  <si>
    <t>YT1893242119234</t>
  </si>
  <si>
    <t>YT1893259792318</t>
  </si>
  <si>
    <t>YT1893259792275</t>
  </si>
  <si>
    <t>YT7501023066146</t>
  </si>
  <si>
    <t>YT7501015934909</t>
  </si>
  <si>
    <t>YT7501015934897</t>
  </si>
  <si>
    <t>YT7501015934886</t>
  </si>
  <si>
    <t>YT1893137557132</t>
  </si>
  <si>
    <t>YT3413127309547</t>
  </si>
  <si>
    <t>YT3598716620691</t>
  </si>
  <si>
    <t>YT3598716820354</t>
  </si>
  <si>
    <t>YT3598717006485</t>
  </si>
  <si>
    <t>YT3598715780017</t>
  </si>
  <si>
    <t>YT3598716820228</t>
  </si>
  <si>
    <t>YT1893132233640</t>
  </si>
  <si>
    <t>YT1893132233637</t>
  </si>
  <si>
    <t>YT1893132233626</t>
  </si>
  <si>
    <t>YT7502386831842</t>
  </si>
  <si>
    <t>YT7501004360698</t>
  </si>
  <si>
    <t>YT7501593819175</t>
  </si>
  <si>
    <t>YT7501004440677</t>
  </si>
  <si>
    <t>YT7501005451399</t>
  </si>
  <si>
    <t>YT7501003594784</t>
  </si>
  <si>
    <t>YT1893116715364</t>
  </si>
  <si>
    <t>YT1893116715357</t>
  </si>
  <si>
    <t>YT1893116541031</t>
  </si>
  <si>
    <t>YT1893116541020</t>
  </si>
  <si>
    <t>YT1893116541011</t>
  </si>
  <si>
    <t>YT1893116541004</t>
  </si>
  <si>
    <t>YT1893116540999</t>
  </si>
  <si>
    <t>YT1893116540986</t>
  </si>
  <si>
    <t>YT1893116540975</t>
  </si>
  <si>
    <t>YT1893116540966</t>
  </si>
  <si>
    <t>YT1893116540959</t>
  </si>
  <si>
    <t>YT1893116540944</t>
  </si>
  <si>
    <t>YT1893117800177</t>
  </si>
  <si>
    <t>YT1893117800168</t>
  </si>
  <si>
    <t>YT1893117800151</t>
  </si>
  <si>
    <t>YT1893117800146</t>
  </si>
  <si>
    <t>YT1893117800133</t>
  </si>
  <si>
    <t>YT1893117800122</t>
  </si>
  <si>
    <t>YT1893117800113</t>
  </si>
  <si>
    <t>YT1893117800106</t>
  </si>
  <si>
    <t>YT3598713666786</t>
  </si>
  <si>
    <t>YT3598713290000</t>
  </si>
  <si>
    <t>YT3598714620561</t>
  </si>
  <si>
    <t>YT3598713852370</t>
  </si>
  <si>
    <t>YT3598713852925</t>
  </si>
  <si>
    <t>YT3598713468573</t>
  </si>
  <si>
    <t>YT3598713667189</t>
  </si>
  <si>
    <t>YT3598714027698</t>
  </si>
  <si>
    <t>YT3598714422464</t>
  </si>
  <si>
    <t>YT3598713468483</t>
  </si>
  <si>
    <t>YT3598714223540</t>
  </si>
  <si>
    <t>YT3598714422299</t>
  </si>
  <si>
    <t>YT3598714027346</t>
  </si>
  <si>
    <t>YT3598713468177</t>
  </si>
  <si>
    <t>YT3598713468133</t>
  </si>
  <si>
    <t>YT3598714422114</t>
  </si>
  <si>
    <t>YT3598713852501</t>
  </si>
  <si>
    <t>YT3598713666829</t>
  </si>
  <si>
    <t>YT3598713852495</t>
  </si>
  <si>
    <t>YT3598713468074</t>
  </si>
  <si>
    <t>YT3598714027184</t>
  </si>
  <si>
    <t>YT3598714223256</t>
  </si>
  <si>
    <t>YT3598714223175</t>
  </si>
  <si>
    <t>YT3598713852381</t>
  </si>
  <si>
    <t>YT3413120982758</t>
  </si>
  <si>
    <t>YT3413120982572</t>
  </si>
  <si>
    <t>YT3413120982486</t>
  </si>
  <si>
    <t>YT3413120982273</t>
  </si>
  <si>
    <t>YT3416242248315</t>
  </si>
  <si>
    <t>YT3416242248018</t>
  </si>
  <si>
    <t>YT3416242247567</t>
  </si>
  <si>
    <t>YT3413120981823</t>
  </si>
  <si>
    <t>YT3413120981555</t>
  </si>
  <si>
    <t>YT3416242246906</t>
  </si>
  <si>
    <t>YT3413120981344</t>
  </si>
  <si>
    <t>YT3416242246397</t>
  </si>
  <si>
    <t>YT3416242246278</t>
  </si>
  <si>
    <t>YT3416242245671</t>
  </si>
  <si>
    <t>YT3416242245374</t>
  </si>
  <si>
    <t>YT3416242244898</t>
  </si>
  <si>
    <t>YT3416242251672</t>
  </si>
  <si>
    <t>YT3413120983807</t>
  </si>
  <si>
    <t>YT3416242249367</t>
  </si>
  <si>
    <t>YT3416242249240</t>
  </si>
  <si>
    <t>YT3413120982727</t>
  </si>
  <si>
    <t>YT3413120982608</t>
  </si>
  <si>
    <t>YT3413120982457</t>
  </si>
  <si>
    <t>YT3416242248551</t>
  </si>
  <si>
    <t>YT3416242248405</t>
  </si>
  <si>
    <t>YT3413120982060</t>
  </si>
  <si>
    <t>YT3416242247620</t>
  </si>
  <si>
    <t>YT3413120981883</t>
  </si>
  <si>
    <t>YT3413120981584</t>
  </si>
  <si>
    <t>YT3416242246876</t>
  </si>
  <si>
    <t>YT3416242246481</t>
  </si>
  <si>
    <t>YT3416242246362</t>
  </si>
  <si>
    <t>YT3416242245974</t>
  </si>
  <si>
    <t>YT3416242245581</t>
  </si>
  <si>
    <t>YT3413120980837</t>
  </si>
  <si>
    <t>YT3413120980444</t>
  </si>
  <si>
    <t>YT3416242251614</t>
  </si>
  <si>
    <t>YT3416242249457</t>
  </si>
  <si>
    <t>YT3416242249301</t>
  </si>
  <si>
    <t>YT3416242249121</t>
  </si>
  <si>
    <t>YT3413120982699</t>
  </si>
  <si>
    <t>YT3413120982549</t>
  </si>
  <si>
    <t>YT3413120982392</t>
  </si>
  <si>
    <t>YT3413120982301</t>
  </si>
  <si>
    <t>YT3416242248340</t>
  </si>
  <si>
    <t>YT3413120982033</t>
  </si>
  <si>
    <t>YT3413120981919</t>
  </si>
  <si>
    <t>YT3413120981854</t>
  </si>
  <si>
    <t>YT3413120981524</t>
  </si>
  <si>
    <t>YT3416242246935</t>
  </si>
  <si>
    <t>YT3416242246452</t>
  </si>
  <si>
    <t>YT3413120981195</t>
  </si>
  <si>
    <t>YT3416242246009</t>
  </si>
  <si>
    <t>YT3416242245648</t>
  </si>
  <si>
    <t>YT3416242245341</t>
  </si>
  <si>
    <t>YT3416242244863</t>
  </si>
  <si>
    <t>YT3413120984372</t>
  </si>
  <si>
    <t>YT3416242250536</t>
  </si>
  <si>
    <t>YT3413120982901</t>
  </si>
  <si>
    <t>YT3413120982848</t>
  </si>
  <si>
    <t>YT3416242249033</t>
  </si>
  <si>
    <t>YT3416242248915</t>
  </si>
  <si>
    <t>YT3416242248735</t>
  </si>
  <si>
    <t>YT3416242248647</t>
  </si>
  <si>
    <t>YT3413120982215</t>
  </si>
  <si>
    <t>YT3416242248076</t>
  </si>
  <si>
    <t>YT3416242247680</t>
  </si>
  <si>
    <t>YT3416242247479</t>
  </si>
  <si>
    <t>YT3413120981641</t>
  </si>
  <si>
    <t>YT3416242246997</t>
  </si>
  <si>
    <t>YT3416242246722</t>
  </si>
  <si>
    <t>YT3413120981285</t>
  </si>
  <si>
    <t>YT3416242246210</t>
  </si>
  <si>
    <t>YT3416242245736</t>
  </si>
  <si>
    <t>YT3413120980864</t>
  </si>
  <si>
    <t>YT3416242244920</t>
  </si>
  <si>
    <t>YT1893041227303</t>
  </si>
  <si>
    <t>YT1893041227291</t>
  </si>
  <si>
    <t>YT1893041227288</t>
  </si>
  <si>
    <t>YT1893041227277</t>
  </si>
  <si>
    <t>YT1893041227268</t>
  </si>
  <si>
    <t>YT1893041227251</t>
  </si>
  <si>
    <t>YT1893040133577</t>
  </si>
  <si>
    <t>YT1893040133568</t>
  </si>
  <si>
    <t>YT1893040133551</t>
  </si>
  <si>
    <t>YT1893040133546</t>
  </si>
  <si>
    <t>YT1893040133533</t>
  </si>
  <si>
    <t>YT1893040133522</t>
  </si>
  <si>
    <t>YT1893040133513</t>
  </si>
  <si>
    <t>YT1893040133506</t>
  </si>
  <si>
    <t>YT1893040133490</t>
  </si>
  <si>
    <t>YT1893040133487</t>
  </si>
  <si>
    <t>YT1893039078041</t>
  </si>
  <si>
    <t>YT1893039078038</t>
  </si>
  <si>
    <t>YT1893039078027</t>
  </si>
  <si>
    <t>YT1893039078018</t>
  </si>
  <si>
    <t>YT1893039078001</t>
  </si>
  <si>
    <t>YT1893039077992</t>
  </si>
  <si>
    <t>YT1893039077989</t>
  </si>
  <si>
    <t>YT1893039077978</t>
  </si>
  <si>
    <t>YT1893039077969</t>
  </si>
  <si>
    <t>YT1893039077952</t>
  </si>
  <si>
    <t>YT1893041412820</t>
  </si>
  <si>
    <t>YT1893041412811</t>
  </si>
  <si>
    <t>YT1893041412804</t>
  </si>
  <si>
    <t>YT1893041412790</t>
  </si>
  <si>
    <t>YT1893041412787</t>
  </si>
  <si>
    <t>YT1893041412776</t>
  </si>
  <si>
    <t>YT1893041412767</t>
  </si>
  <si>
    <t>YT1893041412750</t>
  </si>
  <si>
    <t>YT1893041412745</t>
  </si>
  <si>
    <t>YT1893041412732</t>
  </si>
  <si>
    <t>YT3598700102769</t>
  </si>
  <si>
    <t>YT3598698971576</t>
  </si>
  <si>
    <t>YT3598699708049</t>
  </si>
  <si>
    <t>YT3598699907028</t>
  </si>
  <si>
    <t>YT3598699146021</t>
  </si>
  <si>
    <t>YT3598699531766</t>
  </si>
  <si>
    <t>YT3598699906940</t>
  </si>
  <si>
    <t>YT3598698971958</t>
  </si>
  <si>
    <t>YT3598699532231</t>
  </si>
  <si>
    <t>YT3598699146458</t>
  </si>
  <si>
    <t>YT3598699146443</t>
  </si>
  <si>
    <t>YT3598700303685</t>
  </si>
  <si>
    <t>YT3598700303665</t>
  </si>
  <si>
    <t>YT3598699532075</t>
  </si>
  <si>
    <t>YT3598700102912</t>
  </si>
  <si>
    <t>YT3598699348458</t>
  </si>
  <si>
    <t>YT3598699907228</t>
  </si>
  <si>
    <t>YT3598700102868</t>
  </si>
  <si>
    <t>YT3598700303508</t>
  </si>
  <si>
    <t>YT3598699146205</t>
  </si>
  <si>
    <t>YT3598700303414</t>
  </si>
  <si>
    <t>YT3598698971567</t>
  </si>
  <si>
    <t>YT3598699708025</t>
  </si>
  <si>
    <t>YT3598700102592</t>
  </si>
  <si>
    <t>YT3598698971444</t>
  </si>
  <si>
    <t>YT3598700303270</t>
  </si>
  <si>
    <t>YT3598700303261</t>
  </si>
  <si>
    <t>YT3598699907541</t>
  </si>
  <si>
    <t>YT3598698971903</t>
  </si>
  <si>
    <t>YT3598700103016</t>
  </si>
  <si>
    <t>YT3598699708368</t>
  </si>
  <si>
    <t>YT3598699907417</t>
  </si>
  <si>
    <t>YT3598699532134</t>
  </si>
  <si>
    <t>YT3598699532066</t>
  </si>
  <si>
    <t>YT3598700303629</t>
  </si>
  <si>
    <t>YT3598698971712</t>
  </si>
  <si>
    <t>YT3598699708157</t>
  </si>
  <si>
    <t>YT3598699531942</t>
  </si>
  <si>
    <t>YT3598698971637</t>
  </si>
  <si>
    <t>YT3598700102792</t>
  </si>
  <si>
    <t>YT3598699907132</t>
  </si>
  <si>
    <t>YT3598700303351</t>
  </si>
  <si>
    <t>YT3598699531829</t>
  </si>
  <si>
    <t>YT3598700102619</t>
  </si>
  <si>
    <t>YT3598699146005</t>
  </si>
  <si>
    <t>YT3598698971398</t>
  </si>
  <si>
    <t>YT7500683563682</t>
  </si>
  <si>
    <t>YT7500683563673</t>
  </si>
  <si>
    <t>YT7500683563664</t>
  </si>
  <si>
    <t>YT3598676322813</t>
  </si>
  <si>
    <t>YT3598676126927</t>
  </si>
  <si>
    <t>YT3598675557274</t>
  </si>
  <si>
    <t>YT3598674993983</t>
  </si>
  <si>
    <t>YT1892910025806</t>
  </si>
  <si>
    <t>YT7500653030556</t>
  </si>
  <si>
    <t>YT7500653030543</t>
  </si>
  <si>
    <t>YT7501307024071</t>
  </si>
  <si>
    <t>YT7500653030521</t>
  </si>
  <si>
    <t>YT7500653030512</t>
  </si>
  <si>
    <t>YT7500653030507</t>
  </si>
  <si>
    <t>YT7500653030493</t>
  </si>
  <si>
    <t>YT7500653030482</t>
  </si>
  <si>
    <t>YT7500653030471</t>
  </si>
  <si>
    <t>YT7500653030464</t>
  </si>
  <si>
    <t>YT1892895477508</t>
  </si>
  <si>
    <t>YT3416224883239</t>
  </si>
  <si>
    <t>YT3413112319595</t>
  </si>
  <si>
    <t>YT3416224882153</t>
  </si>
  <si>
    <t>YT3416224881675</t>
  </si>
  <si>
    <t>YT3598674028232</t>
  </si>
  <si>
    <t>YT3598673663704</t>
  </si>
  <si>
    <t>YT3598674617234</t>
  </si>
  <si>
    <t>YT3598673288011</t>
  </si>
  <si>
    <t>YT3598674227554</t>
  </si>
  <si>
    <t>YT3598674028148</t>
  </si>
  <si>
    <t>YT3598673287955</t>
  </si>
  <si>
    <t>YT3598673467627</t>
  </si>
  <si>
    <t>YT3598674617137</t>
  </si>
  <si>
    <t>YT3598673839215</t>
  </si>
  <si>
    <t>YT3598674014244</t>
  </si>
  <si>
    <t>YT3598674028087</t>
  </si>
  <si>
    <t>YT3598673853118</t>
  </si>
  <si>
    <t>YT3598674617092</t>
  </si>
  <si>
    <t>YT3598673663531</t>
  </si>
  <si>
    <t>YT3598673483573</t>
  </si>
  <si>
    <t>YT3598673303778</t>
  </si>
  <si>
    <t>YT3598673483401</t>
  </si>
  <si>
    <t>YT3598674437403</t>
  </si>
  <si>
    <t>YT3598673483382</t>
  </si>
  <si>
    <t>YT3598673287764</t>
  </si>
  <si>
    <t>YT3598673868071</t>
  </si>
  <si>
    <t>YT3598674242748</t>
  </si>
  <si>
    <t>YT3598674633003</t>
  </si>
  <si>
    <t>YT3598673483098</t>
  </si>
  <si>
    <t>YT3598674632871</t>
  </si>
  <si>
    <t>YT3598674242593</t>
  </si>
  <si>
    <t>YT3598674420557</t>
  </si>
  <si>
    <t>YT3598673467421</t>
  </si>
  <si>
    <t>YT3598673303491</t>
  </si>
  <si>
    <t>YT1892897542086</t>
  </si>
  <si>
    <t>YT1892901743720</t>
  </si>
  <si>
    <t>YT1892897258655</t>
  </si>
  <si>
    <t>YT1892901743711</t>
  </si>
  <si>
    <t>YT1892901743704</t>
  </si>
  <si>
    <t>YT1892901743694</t>
  </si>
  <si>
    <t>YT7500510902796</t>
  </si>
  <si>
    <t>YT1892825691954</t>
  </si>
  <si>
    <t>YT1892825691949</t>
  </si>
  <si>
    <t>YT1892825691936</t>
  </si>
  <si>
    <t>YT1892825691925</t>
  </si>
  <si>
    <t>YT1892825691916</t>
  </si>
  <si>
    <t>YT1892825691909</t>
  </si>
  <si>
    <t>YT1892825691895</t>
  </si>
  <si>
    <t>YT1892825691882</t>
  </si>
  <si>
    <t>YT1892826384608</t>
  </si>
  <si>
    <t>YT1892826384598</t>
  </si>
  <si>
    <t>YT1892826384585</t>
  </si>
  <si>
    <t>YT1892825577775</t>
  </si>
  <si>
    <t>YT1892828001961</t>
  </si>
  <si>
    <t>YT1892828001954</t>
  </si>
  <si>
    <t>YT1892828001949</t>
  </si>
  <si>
    <t>YT1892828001936</t>
  </si>
  <si>
    <t>YT1892828001925</t>
  </si>
  <si>
    <t>YT1892828001916</t>
  </si>
  <si>
    <t>YT1892828001909</t>
  </si>
  <si>
    <t>YT1892828001895</t>
  </si>
  <si>
    <t>YT1892828001882</t>
  </si>
  <si>
    <t>YT1892825067526</t>
  </si>
  <si>
    <t>YT1892825067517</t>
  </si>
  <si>
    <t>YT1892825067500</t>
  </si>
  <si>
    <t>YT1892825067494</t>
  </si>
  <si>
    <t>YT1892825067481</t>
  </si>
  <si>
    <t>YT1892825067470</t>
  </si>
  <si>
    <t>YT1892823353377</t>
  </si>
  <si>
    <t>YT1892823353368</t>
  </si>
  <si>
    <t>YT3598660699516</t>
  </si>
  <si>
    <t>YT3598661482337</t>
  </si>
  <si>
    <t>YT3598660848677</t>
  </si>
  <si>
    <t>YT3598661290068</t>
  </si>
  <si>
    <t>YT3598661482274</t>
  </si>
  <si>
    <t>YT3598660915939</t>
  </si>
  <si>
    <t>YT3598661671681</t>
  </si>
  <si>
    <t>YT3598660655736</t>
  </si>
  <si>
    <t>YT3598661482010</t>
  </si>
  <si>
    <t>YT3598661701841</t>
  </si>
  <si>
    <t>YT3598660511214</t>
  </si>
  <si>
    <t>YT3598660579708</t>
  </si>
  <si>
    <t>YT3598660752314</t>
  </si>
  <si>
    <t>YT3598660683489</t>
  </si>
  <si>
    <t>YT3598661317448</t>
  </si>
  <si>
    <t>YT3598661671599</t>
  </si>
  <si>
    <t>YT3598660527314</t>
  </si>
  <si>
    <t>YT3598661457870</t>
  </si>
  <si>
    <t>YT3598661414541</t>
  </si>
  <si>
    <t>YT3598660915694</t>
  </si>
  <si>
    <t>YT3598661289752</t>
  </si>
  <si>
    <t>YT3598661289734</t>
  </si>
  <si>
    <t>YT3598660915681</t>
  </si>
  <si>
    <t>YT3598661871898</t>
  </si>
  <si>
    <t>YT3598661130560</t>
  </si>
  <si>
    <t>YT3598660551250</t>
  </si>
  <si>
    <t>YT3598661503052</t>
  </si>
  <si>
    <t>YT3598661693524</t>
  </si>
  <si>
    <t>YT3598661130391</t>
  </si>
  <si>
    <t>YT3598660937416</t>
  </si>
  <si>
    <t>YT3598661893968</t>
  </si>
  <si>
    <t>YT3598660744698</t>
  </si>
  <si>
    <t>YT3598661502965</t>
  </si>
  <si>
    <t>YT3598660937324</t>
  </si>
  <si>
    <t>YT3598660937296</t>
  </si>
  <si>
    <t>YT3598661893834</t>
  </si>
  <si>
    <t>YT3598661893807</t>
  </si>
  <si>
    <t>YT3598661502875</t>
  </si>
  <si>
    <t>YT3598661309911</t>
  </si>
  <si>
    <t>YT3598661893748</t>
  </si>
  <si>
    <t>YT3598661130025</t>
  </si>
  <si>
    <t>YT3598661893735</t>
  </si>
  <si>
    <t>YT3598660937120</t>
  </si>
  <si>
    <t>YT3598661893674</t>
  </si>
  <si>
    <t>YT3598661129937</t>
  </si>
  <si>
    <t>YT3598660571953</t>
  </si>
  <si>
    <t>YT3598661130469</t>
  </si>
  <si>
    <t>YT3598661130447</t>
  </si>
  <si>
    <t>YT3598660571836</t>
  </si>
  <si>
    <t>YT3598661310142</t>
  </si>
  <si>
    <t>YT3598660937379</t>
  </si>
  <si>
    <t>YT3598660937335</t>
  </si>
  <si>
    <t>YT3598661130236</t>
  </si>
  <si>
    <t>YT3598660571740</t>
  </si>
  <si>
    <t>YT3598661130139</t>
  </si>
  <si>
    <t>YT3598660571687</t>
  </si>
  <si>
    <t>YT3598660937263</t>
  </si>
  <si>
    <t>YT3598661502899</t>
  </si>
  <si>
    <t>YT3598660571667</t>
  </si>
  <si>
    <t>YT3598660937175</t>
  </si>
  <si>
    <t>YT3598661130036</t>
  </si>
  <si>
    <t>YT3598660937131</t>
  </si>
  <si>
    <t>YT3598661502787</t>
  </si>
  <si>
    <t>YT3598660744469</t>
  </si>
  <si>
    <t>YT3598661693128</t>
  </si>
  <si>
    <t>YT3413106580415</t>
  </si>
  <si>
    <t>YT3416213453476</t>
  </si>
  <si>
    <t>YT3416213452486</t>
  </si>
  <si>
    <t>YT3416213451641</t>
  </si>
  <si>
    <t>YT3413106588039</t>
  </si>
  <si>
    <t>YT3413106587645</t>
  </si>
  <si>
    <t>YT3416213468445</t>
  </si>
  <si>
    <t>YT3416213468056</t>
  </si>
  <si>
    <t>YT3416213467541</t>
  </si>
  <si>
    <t>YT3416213466467</t>
  </si>
  <si>
    <t>YT3413106586446</t>
  </si>
  <si>
    <t>YT3416213465354</t>
  </si>
  <si>
    <t>YT3416213464339</t>
  </si>
  <si>
    <t>YT3416213463138</t>
  </si>
  <si>
    <t>YT3413106584767</t>
  </si>
  <si>
    <t>YT3416213461668</t>
  </si>
  <si>
    <t>YT3416213460461</t>
  </si>
  <si>
    <t>YT3413106582783</t>
  </si>
  <si>
    <t>YT3416213455638</t>
  </si>
  <si>
    <t>YT3416213454761</t>
  </si>
  <si>
    <t>YT3416213453687</t>
  </si>
  <si>
    <t>YT3413106580020</t>
  </si>
  <si>
    <t>YT3416213452514</t>
  </si>
  <si>
    <t>YT3413106579488</t>
  </si>
  <si>
    <t>YT3416213469282</t>
  </si>
  <si>
    <t>YT3413106587494</t>
  </si>
  <si>
    <t>YT3413106587229</t>
  </si>
  <si>
    <t>YT3416213466793</t>
  </si>
  <si>
    <t>YT3413106586620</t>
  </si>
  <si>
    <t>YT3413106586268</t>
  </si>
  <si>
    <t>YT3416213464966</t>
  </si>
  <si>
    <t>YT3416213464003</t>
  </si>
  <si>
    <t>YT3413106585188</t>
  </si>
  <si>
    <t>YT3416213461693</t>
  </si>
  <si>
    <t>YT3416213460252</t>
  </si>
  <si>
    <t>YT3416213458240</t>
  </si>
  <si>
    <t>YT3413106581373</t>
  </si>
  <si>
    <t>YT3413106580804</t>
  </si>
  <si>
    <t>YT3416213453920</t>
  </si>
  <si>
    <t>YT3413106580110</t>
  </si>
  <si>
    <t>YT3416213452301</t>
  </si>
  <si>
    <t>YT3413106579428</t>
  </si>
  <si>
    <t>YT3416213469130</t>
  </si>
  <si>
    <t>YT3416213468746</t>
  </si>
  <si>
    <t>YT3413106587164</t>
  </si>
  <si>
    <t>YT3416213467840</t>
  </si>
  <si>
    <t>YT3413106586770</t>
  </si>
  <si>
    <t>YT3416213466258</t>
  </si>
  <si>
    <t>YT3416213465891</t>
  </si>
  <si>
    <t>YT3416213465026</t>
  </si>
  <si>
    <t>YT3416213463972</t>
  </si>
  <si>
    <t>YT3413106585159</t>
  </si>
  <si>
    <t>YT3413106584675</t>
  </si>
  <si>
    <t>YT3413106584196</t>
  </si>
  <si>
    <t>YT3416213458699</t>
  </si>
  <si>
    <t>YT3416213457881</t>
  </si>
  <si>
    <t>YT3413106581191</t>
  </si>
  <si>
    <t>YT3416213454404</t>
  </si>
  <si>
    <t>YT3416213453719</t>
  </si>
  <si>
    <t>YT3413106579994</t>
  </si>
  <si>
    <t>YT3416213452426</t>
  </si>
  <si>
    <t>YT3416213451883</t>
  </si>
  <si>
    <t>YT3416213469552</t>
  </si>
  <si>
    <t>YT3413106587588</t>
  </si>
  <si>
    <t>YT3413106587348</t>
  </si>
  <si>
    <t>YT3416213467969</t>
  </si>
  <si>
    <t>YT3416213467303</t>
  </si>
  <si>
    <t>YT3416213466430</t>
  </si>
  <si>
    <t>YT3416213465923</t>
  </si>
  <si>
    <t>YT3416213465202</t>
  </si>
  <si>
    <t>YT3413106585724</t>
  </si>
  <si>
    <t>YT3416213463349</t>
  </si>
  <si>
    <t>YT3416213462382</t>
  </si>
  <si>
    <t>YT3416213461602</t>
  </si>
  <si>
    <t>YT3413106583560</t>
  </si>
  <si>
    <t>YT3416213458181</t>
  </si>
  <si>
    <t>YT3413106581434</t>
  </si>
  <si>
    <t>YT3413106581018</t>
  </si>
  <si>
    <t>YT3413106580387</t>
  </si>
  <si>
    <t>YT3413106580145</t>
  </si>
  <si>
    <t>YT3413106579729</t>
  </si>
  <si>
    <t>YT3416213451919</t>
  </si>
  <si>
    <t>YT3416213469581</t>
  </si>
  <si>
    <t>YT3416213468953</t>
  </si>
  <si>
    <t>YT3416213468650</t>
  </si>
  <si>
    <t>YT3416213468292</t>
  </si>
  <si>
    <t>YT3416213467729</t>
  </si>
  <si>
    <t>YT3416213466731</t>
  </si>
  <si>
    <t>YT3416213466072</t>
  </si>
  <si>
    <t>YT3416213465620</t>
  </si>
  <si>
    <t>YT3413106585878</t>
  </si>
  <si>
    <t>YT3416213463828</t>
  </si>
  <si>
    <t>YT3413106584910</t>
  </si>
  <si>
    <t>YT3416213461721</t>
  </si>
  <si>
    <t>YT3413106584013</t>
  </si>
  <si>
    <t>YT3416213458121</t>
  </si>
  <si>
    <t>YT3416213455515</t>
  </si>
  <si>
    <t>YT3416213454828</t>
  </si>
  <si>
    <t>YT3416213453807</t>
  </si>
  <si>
    <t>YT3416213453443</t>
  </si>
  <si>
    <t>YT3416213452330</t>
  </si>
  <si>
    <t>YT3416213451739</t>
  </si>
  <si>
    <t>YT3416213469462</t>
  </si>
  <si>
    <t>YT3413106587610</t>
  </si>
  <si>
    <t>YT3416213042719</t>
  </si>
  <si>
    <t>YT3413106377314</t>
  </si>
  <si>
    <t>YT3413106376955</t>
  </si>
  <si>
    <t>YT3416213038541</t>
  </si>
  <si>
    <t>YT3416213037791</t>
  </si>
  <si>
    <t>YT3413106374346</t>
  </si>
  <si>
    <t>YT3413106373927</t>
  </si>
  <si>
    <t>YT3413106373561</t>
  </si>
  <si>
    <t>YT3413106373262</t>
  </si>
  <si>
    <t>YT3413106372878</t>
  </si>
  <si>
    <t>西藏自治区</t>
  </si>
  <si>
    <t>YT3413106372399</t>
  </si>
  <si>
    <t>YT3416213031467</t>
  </si>
  <si>
    <t>YT3416213030620</t>
  </si>
  <si>
    <t>YT3416213029725</t>
  </si>
  <si>
    <t>YT3416213028588</t>
  </si>
  <si>
    <t>YT3416213468478</t>
  </si>
  <si>
    <t>YT3416213468140</t>
  </si>
  <si>
    <t>YT3416213467574</t>
  </si>
  <si>
    <t>YT3416213466586</t>
  </si>
  <si>
    <t>YT3413106377949</t>
  </si>
  <si>
    <t>YT3416213041691</t>
  </si>
  <si>
    <t>YT3413106376652</t>
  </si>
  <si>
    <t>YT3416213038394</t>
  </si>
  <si>
    <t>YT3413106375129</t>
  </si>
  <si>
    <t>YT3413106374526</t>
  </si>
  <si>
    <t>YT3416213035816</t>
  </si>
  <si>
    <t>YT3413106373774</t>
  </si>
  <si>
    <t>YT3416213034222</t>
  </si>
  <si>
    <t>YT3416213033478</t>
  </si>
  <si>
    <t>YT3416213032994</t>
  </si>
  <si>
    <t>YT3416213032097</t>
  </si>
  <si>
    <t>YT3416213031311</t>
  </si>
  <si>
    <t>YT3416213030680</t>
  </si>
  <si>
    <t>YT3416213029879</t>
  </si>
  <si>
    <t>YT3416213028913</t>
  </si>
  <si>
    <t>YT3413106586411</t>
  </si>
  <si>
    <t>YT3413106586026</t>
  </si>
  <si>
    <t>YT3416213463646</t>
  </si>
  <si>
    <t>YT3416213042265</t>
  </si>
  <si>
    <t>YT3416213041666</t>
  </si>
  <si>
    <t>YT3416213040041</t>
  </si>
  <si>
    <t>YT3413106375512</t>
  </si>
  <si>
    <t>YT3416213037465</t>
  </si>
  <si>
    <t>YT3416213036536</t>
  </si>
  <si>
    <t>YT3416213035429</t>
  </si>
  <si>
    <t>YT3416213034552</t>
  </si>
  <si>
    <t>YT3416213033746</t>
  </si>
  <si>
    <t>YT3413106372937</t>
  </si>
  <si>
    <t>YT3413106372270</t>
  </si>
  <si>
    <t>YT3416213031227</t>
  </si>
  <si>
    <t>YT3416213030530</t>
  </si>
  <si>
    <t>YT3416213029606</t>
  </si>
  <si>
    <t>YT3413106370441</t>
  </si>
  <si>
    <t>YT3416213461631</t>
  </si>
  <si>
    <t>YT3416213460940</t>
  </si>
  <si>
    <t>YT3416213458426</t>
  </si>
  <si>
    <t>YT3416213455609</t>
  </si>
  <si>
    <t>YT3416213454796</t>
  </si>
  <si>
    <t>YT3413106377404</t>
  </si>
  <si>
    <t>YT3416213041035</t>
  </si>
  <si>
    <t>YT3413106375785</t>
  </si>
  <si>
    <t>YT3413106375150</t>
  </si>
  <si>
    <t>YT3416213037012</t>
  </si>
  <si>
    <t>YT3416213036053</t>
  </si>
  <si>
    <t>YT3416213035124</t>
  </si>
  <si>
    <t>YT3416213034374</t>
  </si>
  <si>
    <t>YT3416213033445</t>
  </si>
  <si>
    <t>YT3416213032873</t>
  </si>
  <si>
    <t>YT3416213032035</t>
  </si>
  <si>
    <t>YT3416213031346</t>
  </si>
  <si>
    <t>YT3416213030479</t>
  </si>
  <si>
    <t>YT3416213029512</t>
  </si>
  <si>
    <t>YT3416213028760</t>
  </si>
  <si>
    <t>YT3416213453863</t>
  </si>
  <si>
    <t>YT3413106580051</t>
  </si>
  <si>
    <t>YT3416213452367</t>
  </si>
  <si>
    <t>YT3416213451674</t>
  </si>
  <si>
    <t>YT3413106377914</t>
  </si>
  <si>
    <t>YT3413106377190</t>
  </si>
  <si>
    <t>YT3416213040289</t>
  </si>
  <si>
    <t>YT3413106375635</t>
  </si>
  <si>
    <t>YT3413106375093</t>
  </si>
  <si>
    <t>YT3413106374135</t>
  </si>
  <si>
    <t>YT3413106373716</t>
  </si>
  <si>
    <t>YT3413106373440</t>
  </si>
  <si>
    <t>YT3413106373110</t>
  </si>
  <si>
    <t>YT3416213032729</t>
  </si>
  <si>
    <t>YT3416213032006</t>
  </si>
  <si>
    <t>YT3413106371763</t>
  </si>
  <si>
    <t>YT3416213030411</t>
  </si>
  <si>
    <t>YT3416213029635</t>
  </si>
  <si>
    <t>YT3416213028559</t>
  </si>
  <si>
    <t>YT3416213469613</t>
  </si>
  <si>
    <t>YT3416213469101</t>
  </si>
  <si>
    <t>YT3416213468629</t>
  </si>
  <si>
    <t>YT3416213468267</t>
  </si>
  <si>
    <t>YT3416213467691</t>
  </si>
  <si>
    <t>YT3416213466643</t>
  </si>
  <si>
    <t>YT3413106377550</t>
  </si>
  <si>
    <t>YT3413106377042</t>
  </si>
  <si>
    <t>YT3416213038932</t>
  </si>
  <si>
    <t>YT3416213037944</t>
  </si>
  <si>
    <t>YT3416213037070</t>
  </si>
  <si>
    <t>YT3416213036082</t>
  </si>
  <si>
    <t>YT3416213034763</t>
  </si>
  <si>
    <t>YT3416213033922</t>
  </si>
  <si>
    <t>YT3416213033230</t>
  </si>
  <si>
    <t>YT3413106372483</t>
  </si>
  <si>
    <t>YT3413106372001</t>
  </si>
  <si>
    <t>YT3416213030501</t>
  </si>
  <si>
    <t>YT3416213029697</t>
  </si>
  <si>
    <t>YT3413106370597</t>
  </si>
  <si>
    <t>YT3416213466049</t>
  </si>
  <si>
    <t>YT3416213465268</t>
  </si>
  <si>
    <t>YT3416213464485</t>
  </si>
  <si>
    <t>YT3416213463433</t>
  </si>
  <si>
    <t>YT3416213042564</t>
  </si>
  <si>
    <t>YT3413106377372</t>
  </si>
  <si>
    <t>YT3416213041183</t>
  </si>
  <si>
    <t>YT3416213039294</t>
  </si>
  <si>
    <t>YT3413106375271</t>
  </si>
  <si>
    <t>YT3413106374676</t>
  </si>
  <si>
    <t>YT3416213036299</t>
  </si>
  <si>
    <t>YT3416213035243</t>
  </si>
  <si>
    <t>YT3413106373505</t>
  </si>
  <si>
    <t>YT3416213033650</t>
  </si>
  <si>
    <t>YT3413106372784</t>
  </si>
  <si>
    <t>YT3416213031979</t>
  </si>
  <si>
    <t>YT3416213031258</t>
  </si>
  <si>
    <t>YT3416213030383</t>
  </si>
  <si>
    <t>YT3413106370959</t>
  </si>
  <si>
    <t>YT3416213028678</t>
  </si>
  <si>
    <t>YT3413106584884</t>
  </si>
  <si>
    <t>YT3416213461752</t>
  </si>
  <si>
    <t>YT3413106584161</t>
  </si>
  <si>
    <t>YT3416213458392</t>
  </si>
  <si>
    <t>YT3416213455788</t>
  </si>
  <si>
    <t>YT3413106377705</t>
  </si>
  <si>
    <t>YT3416213041459</t>
  </si>
  <si>
    <t>YT3416213040074</t>
  </si>
  <si>
    <t>YT3416213038242</t>
  </si>
  <si>
    <t>YT3416213037524</t>
  </si>
  <si>
    <t>YT3413106374311</t>
  </si>
  <si>
    <t>YT3416213035276</t>
  </si>
  <si>
    <t>YT3416213034613</t>
  </si>
  <si>
    <t>YT3416213033809</t>
  </si>
  <si>
    <t>YT3416213033267</t>
  </si>
  <si>
    <t>YT3416213032242</t>
  </si>
  <si>
    <t>YT3416213031401</t>
  </si>
  <si>
    <t>YT3413106371581</t>
  </si>
  <si>
    <t>YT3416213029785</t>
  </si>
  <si>
    <t>YT3413106370474</t>
  </si>
  <si>
    <t>YT3413106581043</t>
  </si>
  <si>
    <t>YT3413106580440</t>
  </si>
  <si>
    <t>YT3416213453265</t>
  </si>
  <si>
    <t>YT3416213452240</t>
  </si>
  <si>
    <t>YT3416213042238</t>
  </si>
  <si>
    <t>YT3416213041574</t>
  </si>
  <si>
    <t>YT3416213040164</t>
  </si>
  <si>
    <t>YT3416213038332</t>
  </si>
  <si>
    <t>YT3416213037641</t>
  </si>
  <si>
    <t>YT3416213036835</t>
  </si>
  <si>
    <t>YT3413106374106</t>
  </si>
  <si>
    <t>YT3416213034880</t>
  </si>
  <si>
    <t>YT3416213034192</t>
  </si>
  <si>
    <t>YT3413106373051</t>
  </si>
  <si>
    <t>YT3416213032691</t>
  </si>
  <si>
    <t>YT3416213031885</t>
  </si>
  <si>
    <t>YT3416213031287</t>
  </si>
  <si>
    <t>YT3416213030567</t>
  </si>
  <si>
    <t>YT3416213029756</t>
  </si>
  <si>
    <t>YT3413106370562</t>
  </si>
  <si>
    <t>YT3413106579394</t>
  </si>
  <si>
    <t>YT3416213469497</t>
  </si>
  <si>
    <t>YT3416213468922</t>
  </si>
  <si>
    <t>YT3413106587371</t>
  </si>
  <si>
    <t>YT3416213468173</t>
  </si>
  <si>
    <t>YT3413106377679</t>
  </si>
  <si>
    <t>YT3413106377165</t>
  </si>
  <si>
    <t>YT3416213040403</t>
  </si>
  <si>
    <t>YT3416213038035</t>
  </si>
  <si>
    <t>YT3416213037438</t>
  </si>
  <si>
    <t>YT3416213036417</t>
  </si>
  <si>
    <t>YT3416213035304</t>
  </si>
  <si>
    <t>YT3416213034462</t>
  </si>
  <si>
    <t>YT3413106373206</t>
  </si>
  <si>
    <t>YT3416213033056</t>
  </si>
  <si>
    <t>YT3413106372308</t>
  </si>
  <si>
    <t>YT3416213031379</t>
  </si>
  <si>
    <t>YT3416213030446</t>
  </si>
  <si>
    <t>YT3413106371101</t>
  </si>
  <si>
    <t>YT3416213028887</t>
  </si>
  <si>
    <t>YT3416213467666</t>
  </si>
  <si>
    <t>YT3416212805267</t>
  </si>
  <si>
    <t>YT3416212804725</t>
  </si>
  <si>
    <t>YT3416212803432</t>
  </si>
  <si>
    <t>YT3413106256561</t>
  </si>
  <si>
    <t>YT3416213466618</t>
  </si>
  <si>
    <t>YT3413106256110</t>
  </si>
  <si>
    <t>YT3416212800734</t>
  </si>
  <si>
    <t>YT3416213465983</t>
  </si>
  <si>
    <t>YT3416212799982</t>
  </si>
  <si>
    <t>YT3416212799056</t>
  </si>
  <si>
    <t>YT3416212797708</t>
  </si>
  <si>
    <t>YT3416212796624</t>
  </si>
  <si>
    <t>YT3413106262173</t>
  </si>
  <si>
    <t>YT3416212813002</t>
  </si>
  <si>
    <t>YT3413106586086</t>
  </si>
  <si>
    <t>YT3416213464663</t>
  </si>
  <si>
    <t>YT3413106377460</t>
  </si>
  <si>
    <t>YT3413106377075</t>
  </si>
  <si>
    <t>YT3416213039681</t>
  </si>
  <si>
    <t>YT3413106375309</t>
  </si>
  <si>
    <t>YT3416213037319</t>
  </si>
  <si>
    <t>YT3416213036112</t>
  </si>
  <si>
    <t>YT3416212812281</t>
  </si>
  <si>
    <t>YT3413106373860</t>
  </si>
  <si>
    <t>YT3416213034497</t>
  </si>
  <si>
    <t>YT3413106372661</t>
  </si>
  <si>
    <t>YT3416213031856</t>
  </si>
  <si>
    <t>YT3413106371707</t>
  </si>
  <si>
    <t>YT3416212811532</t>
  </si>
  <si>
    <t>YT3416212810548</t>
  </si>
  <si>
    <t>YT3416212809315</t>
  </si>
  <si>
    <t>YT3413106259566</t>
  </si>
  <si>
    <t>YT3416212807638</t>
  </si>
  <si>
    <t>YT3416212806730</t>
  </si>
  <si>
    <t>YT3413106258367</t>
  </si>
  <si>
    <t>YT3413106258095</t>
  </si>
  <si>
    <t>YT3413106257193</t>
  </si>
  <si>
    <t>YT3416212802981</t>
  </si>
  <si>
    <t>YT3416212802239</t>
  </si>
  <si>
    <t>YT3416212801218</t>
  </si>
  <si>
    <t>YT3413106255540</t>
  </si>
  <si>
    <t>YT3413106255122</t>
  </si>
  <si>
    <t>YT3416212798608</t>
  </si>
  <si>
    <t>YT3416212797553</t>
  </si>
  <si>
    <t>YT3416212796110</t>
  </si>
  <si>
    <t>YT3416212815130</t>
  </si>
  <si>
    <t>YT3416212813879</t>
  </si>
  <si>
    <t>YT3416212812612</t>
  </si>
  <si>
    <t>YT3416212811682</t>
  </si>
  <si>
    <t>YT3416213030141</t>
  </si>
  <si>
    <t>YT3413106370805</t>
  </si>
  <si>
    <t>YT3416213028313</t>
  </si>
  <si>
    <t>YT3416213463859</t>
  </si>
  <si>
    <t>YT3416213462982</t>
  </si>
  <si>
    <t>YT3413106584491</t>
  </si>
  <si>
    <t>YT3416213461396</t>
  </si>
  <si>
    <t>YT3416213042148</t>
  </si>
  <si>
    <t>YT3416213040494</t>
  </si>
  <si>
    <t>YT3416213038574</t>
  </si>
  <si>
    <t>YT3416213037766</t>
  </si>
  <si>
    <t>YT3416213036862</t>
  </si>
  <si>
    <t>YT3413106374162</t>
  </si>
  <si>
    <t>YT3416213034851</t>
  </si>
  <si>
    <t>YT3413106373387</t>
  </si>
  <si>
    <t>YT3416213033382</t>
  </si>
  <si>
    <t>YT3413106372696</t>
  </si>
  <si>
    <t>YT3416212810870</t>
  </si>
  <si>
    <t>YT3416212809889</t>
  </si>
  <si>
    <t>YT3413106259689</t>
  </si>
  <si>
    <t>YT3416212808024</t>
  </si>
  <si>
    <t>YT3413106258871</t>
  </si>
  <si>
    <t>YT3413106258486</t>
  </si>
  <si>
    <t>YT3416212805650</t>
  </si>
  <si>
    <t>YT3416212804879</t>
  </si>
  <si>
    <t>YT3413106257010</t>
  </si>
  <si>
    <t>YT3416212802837</t>
  </si>
  <si>
    <t>YT3413106256262</t>
  </si>
  <si>
    <t>YT3416212800949</t>
  </si>
  <si>
    <t>YT3416212800075</t>
  </si>
  <si>
    <t>YT3416212799140</t>
  </si>
  <si>
    <t>YT3413106372188</t>
  </si>
  <si>
    <t>YT3416212798095</t>
  </si>
  <si>
    <t>YT3416212796958</t>
  </si>
  <si>
    <t>YT3416212815192</t>
  </si>
  <si>
    <t>YT3413106262201</t>
  </si>
  <si>
    <t>YT3416212812829</t>
  </si>
  <si>
    <t>YT3413106260915</t>
  </si>
  <si>
    <t>YT3413106260612</t>
  </si>
  <si>
    <t>YT3416212810094</t>
  </si>
  <si>
    <t>YT3413106259779</t>
  </si>
  <si>
    <t>YT3416212808149</t>
  </si>
  <si>
    <t>YT3416212807487</t>
  </si>
  <si>
    <t>YT3413106258514</t>
  </si>
  <si>
    <t>YT3416212805539</t>
  </si>
  <si>
    <t>YT3416212804785</t>
  </si>
  <si>
    <t>YT3413106256987</t>
  </si>
  <si>
    <t>YT3416212802565</t>
  </si>
  <si>
    <t>YT3416212801874</t>
  </si>
  <si>
    <t>YT3416212800972</t>
  </si>
  <si>
    <t>YT3413106255393</t>
  </si>
  <si>
    <t>YT3416212799267</t>
  </si>
  <si>
    <t>YT3416212798240</t>
  </si>
  <si>
    <t>YT3416212796987</t>
  </si>
  <si>
    <t>YT3413106371820</t>
  </si>
  <si>
    <t>YT3416213030592</t>
  </si>
  <si>
    <t>YT3416213029547</t>
  </si>
  <si>
    <t>YT3416213028733</t>
  </si>
  <si>
    <t>YT3416213457672</t>
  </si>
  <si>
    <t>YT3416213455122</t>
  </si>
  <si>
    <t>YT3416213454042</t>
  </si>
  <si>
    <t>YT3416213453564</t>
  </si>
  <si>
    <t>YT3416213452664</t>
  </si>
  <si>
    <t>YT3416212814171</t>
  </si>
  <si>
    <t>YT3413106377589</t>
  </si>
  <si>
    <t>YT3413106377109</t>
  </si>
  <si>
    <t>YT3413106376087</t>
  </si>
  <si>
    <t>YT3416213037977</t>
  </si>
  <si>
    <t>YT3413106374618</t>
  </si>
  <si>
    <t>YT3413106374197</t>
  </si>
  <si>
    <t>YT3413106373804</t>
  </si>
  <si>
    <t>YT3416212812706</t>
  </si>
  <si>
    <t>YT3416213034316</t>
  </si>
  <si>
    <t>YT3416212811956</t>
  </si>
  <si>
    <t>YT3416212811204</t>
  </si>
  <si>
    <t>YT3416212810339</t>
  </si>
  <si>
    <t>YT3413106259865</t>
  </si>
  <si>
    <t>YT3413106259539</t>
  </si>
  <si>
    <t>YT3416212807573</t>
  </si>
  <si>
    <t>YT3413106258608</t>
  </si>
  <si>
    <t>YT3416212805809</t>
  </si>
  <si>
    <t>YT3416212804965</t>
  </si>
  <si>
    <t>YT3413106257102</t>
  </si>
  <si>
    <t>YT3413106256833</t>
  </si>
  <si>
    <t>YT3413106256358</t>
  </si>
  <si>
    <t>YT3416212801450</t>
  </si>
  <si>
    <t>YT3416213033566</t>
  </si>
  <si>
    <t>YT3416212800796</t>
  </si>
  <si>
    <t>YT3416212799953</t>
  </si>
  <si>
    <t>YT3413106254888</t>
  </si>
  <si>
    <t>YT3416212797942</t>
  </si>
  <si>
    <t>YT3416212796741</t>
  </si>
  <si>
    <t>YT3416212815222</t>
  </si>
  <si>
    <t>YT3416212814290</t>
  </si>
  <si>
    <t>YT3416212813129</t>
  </si>
  <si>
    <t>YT3413106261185</t>
  </si>
  <si>
    <t>YT3416213032840</t>
  </si>
  <si>
    <t>YT3416212811143</t>
  </si>
  <si>
    <t>YT3416212809762</t>
  </si>
  <si>
    <t>YT3416212808837</t>
  </si>
  <si>
    <t>YT3416213031946</t>
  </si>
  <si>
    <t>YT3416212807968</t>
  </si>
  <si>
    <t>YT3416212807302</t>
  </si>
  <si>
    <t>YT3416212806345</t>
  </si>
  <si>
    <t>YT3416212805566</t>
  </si>
  <si>
    <t>YT3413106257821</t>
  </si>
  <si>
    <t>YT3416212803610</t>
  </si>
  <si>
    <t>YT3416213031014</t>
  </si>
  <si>
    <t>YT3413106371497</t>
  </si>
  <si>
    <t>YT3416213029662</t>
  </si>
  <si>
    <t>YT3416213028645</t>
  </si>
  <si>
    <t>YT3413106579459</t>
  </si>
  <si>
    <t>YT3416213469316</t>
  </si>
  <si>
    <t>YT3416213468809</t>
  </si>
  <si>
    <t>YT3413106587250</t>
  </si>
  <si>
    <t>YT3416213467932</t>
  </si>
  <si>
    <t>YT3416213041932</t>
  </si>
  <si>
    <t>YT3416213041488</t>
  </si>
  <si>
    <t>YT3416213039801</t>
  </si>
  <si>
    <t>YT3416213038123</t>
  </si>
  <si>
    <t>YT3416213037377</t>
  </si>
  <si>
    <t>YT3416213036237</t>
  </si>
  <si>
    <t>YT3416213035098</t>
  </si>
  <si>
    <t>YT3416213034253</t>
  </si>
  <si>
    <t>YT3416213033591</t>
  </si>
  <si>
    <t>YT3416213032969</t>
  </si>
  <si>
    <t>YT3416213031911</t>
  </si>
  <si>
    <t>YT3416213031197</t>
  </si>
  <si>
    <t>YT3413106371552</t>
  </si>
  <si>
    <t>YT3416213029570</t>
  </si>
  <si>
    <t>YT3416213028827</t>
  </si>
  <si>
    <t>YT3416213467275</t>
  </si>
  <si>
    <t>YT3416212802114</t>
  </si>
  <si>
    <t>YT3416213466346</t>
  </si>
  <si>
    <t>YT3413106255931</t>
  </si>
  <si>
    <t>YT3416212800705</t>
  </si>
  <si>
    <t>YT3413106255153</t>
  </si>
  <si>
    <t>YT3416212799025</t>
  </si>
  <si>
    <t>YT3416212797799</t>
  </si>
  <si>
    <t>YT3416212796534</t>
  </si>
  <si>
    <t>YT3416212814863</t>
  </si>
  <si>
    <t>YT3413106262056</t>
  </si>
  <si>
    <t>YT3413106261693</t>
  </si>
  <si>
    <t>YT3416212811772</t>
  </si>
  <si>
    <t>YT3416212811028</t>
  </si>
  <si>
    <t>YT3416212810069</t>
  </si>
  <si>
    <t>YT3416212808899</t>
  </si>
  <si>
    <t>YT3416212808172</t>
  </si>
  <si>
    <t>YT3413106258901</t>
  </si>
  <si>
    <t>YT3416212806466</t>
  </si>
  <si>
    <t>YT3416212805890</t>
  </si>
  <si>
    <t>YT3416212804846</t>
  </si>
  <si>
    <t>YT3416212803528</t>
  </si>
  <si>
    <t>YT3413106256655</t>
  </si>
  <si>
    <t>YT3413106256206</t>
  </si>
  <si>
    <t>YT3416212801007</t>
  </si>
  <si>
    <t>YT3416212800042</t>
  </si>
  <si>
    <t>YT3413106254914</t>
  </si>
  <si>
    <t>YT3416212797614</t>
  </si>
  <si>
    <t>YT3413106254075</t>
  </si>
  <si>
    <t>YT3413106586323</t>
  </si>
  <si>
    <t>YT3416212814807</t>
  </si>
  <si>
    <t>YT3413106262025</t>
  </si>
  <si>
    <t>YT3416212812520</t>
  </si>
  <si>
    <t>YT3416212811653</t>
  </si>
  <si>
    <t>YT3416213464991</t>
  </si>
  <si>
    <t>YT3416212810607</t>
  </si>
  <si>
    <t>YT3416212809551</t>
  </si>
  <si>
    <t>YT3416212808778</t>
  </si>
  <si>
    <t>YT3413106585634</t>
  </si>
  <si>
    <t>YT3413106259115</t>
  </si>
  <si>
    <t>YT3416212807241</t>
  </si>
  <si>
    <t>YT3416212806286</t>
  </si>
  <si>
    <t>YT3413106377611</t>
  </si>
  <si>
    <t>YT3416212805292</t>
  </si>
  <si>
    <t>YT3413106377138</t>
  </si>
  <si>
    <t>YT3416212804390</t>
  </si>
  <si>
    <t>YT3416213040016</t>
  </si>
  <si>
    <t>YT3416213038303</t>
  </si>
  <si>
    <t>YT3413106375068</t>
  </si>
  <si>
    <t>YT3416213036686</t>
  </si>
  <si>
    <t>YT3416213035489</t>
  </si>
  <si>
    <t>YT3416213034648</t>
  </si>
  <si>
    <t>YT3416213033865</t>
  </si>
  <si>
    <t>YT3416213033173</t>
  </si>
  <si>
    <t>YT3416213032123</t>
  </si>
  <si>
    <t>YT3413106371916</t>
  </si>
  <si>
    <t>YT3416213030712</t>
  </si>
  <si>
    <t>YT3413106371044</t>
  </si>
  <si>
    <t>YT3416213028469</t>
  </si>
  <si>
    <t>YT3413106585092</t>
  </si>
  <si>
    <t>YT3413106584642</t>
  </si>
  <si>
    <t>YT3416213461543</t>
  </si>
  <si>
    <t>YT3416213460043</t>
  </si>
  <si>
    <t>YT3416213042351</t>
  </si>
  <si>
    <t>YT3416213041639</t>
  </si>
  <si>
    <t>YT3416213040469</t>
  </si>
  <si>
    <t>YT3413106375606</t>
  </si>
  <si>
    <t>YT3416213037616</t>
  </si>
  <si>
    <t>YT3416212803313</t>
  </si>
  <si>
    <t>YT3416213036626</t>
  </si>
  <si>
    <t>YT3416212802444</t>
  </si>
  <si>
    <t>YT3416212801751</t>
  </si>
  <si>
    <t>YT3413106255759</t>
  </si>
  <si>
    <t>YT3416212799890</t>
  </si>
  <si>
    <t>YT3416212798930</t>
  </si>
  <si>
    <t>YT3416212797737</t>
  </si>
  <si>
    <t>YT3416212796415</t>
  </si>
  <si>
    <t>YT3416212815101</t>
  </si>
  <si>
    <t>YT3416213035360</t>
  </si>
  <si>
    <t>YT3416212813785</t>
  </si>
  <si>
    <t>YT3416212812670</t>
  </si>
  <si>
    <t>YT3416212811893</t>
  </si>
  <si>
    <t>YT3413106373534</t>
  </si>
  <si>
    <t>YT3416212056313</t>
  </si>
  <si>
    <t>YT3416212053851</t>
  </si>
  <si>
    <t>YT3416212052748</t>
  </si>
  <si>
    <t>YT3416212049449</t>
  </si>
  <si>
    <t>YT3416212048480</t>
  </si>
  <si>
    <t>YT3416212047258</t>
  </si>
  <si>
    <t>YT3413105881236</t>
  </si>
  <si>
    <t>YT3413105880815</t>
  </si>
  <si>
    <t>YT3416212044046</t>
  </si>
  <si>
    <t>YT3413105879761</t>
  </si>
  <si>
    <t>YT3416212041913</t>
  </si>
  <si>
    <t>YT3416212811176</t>
  </si>
  <si>
    <t>YT3413106260166</t>
  </si>
  <si>
    <t>YT3413106259746</t>
  </si>
  <si>
    <t>YT3416213034019</t>
  </si>
  <si>
    <t>YT3416212808321</t>
  </si>
  <si>
    <t>YT3413105884923</t>
  </si>
  <si>
    <t>YT3416212053101</t>
  </si>
  <si>
    <t>YT3413105883274</t>
  </si>
  <si>
    <t>YT3416212049261</t>
  </si>
  <si>
    <t>YT3416212048156</t>
  </si>
  <si>
    <t>YT3416212047072</t>
  </si>
  <si>
    <t>YT3416212045722</t>
  </si>
  <si>
    <t>YT3416212044822</t>
  </si>
  <si>
    <t>YT3416212043412</t>
  </si>
  <si>
    <t>YT3413105879734</t>
  </si>
  <si>
    <t>YT3416212041760</t>
  </si>
  <si>
    <t>YT3413105878836</t>
  </si>
  <si>
    <t>YT3416212039002</t>
  </si>
  <si>
    <t>YT3413105878054</t>
  </si>
  <si>
    <t>YT3413105877514</t>
  </si>
  <si>
    <t>YT3416213033292</t>
  </si>
  <si>
    <t>YT3416213032332</t>
  </si>
  <si>
    <t>YT3416213031618</t>
  </si>
  <si>
    <t>YT3416213030954</t>
  </si>
  <si>
    <t>YT3416212054368</t>
  </si>
  <si>
    <t>YT3416212053167</t>
  </si>
  <si>
    <t>YT3416212051510</t>
  </si>
  <si>
    <t>YT3416212049357</t>
  </si>
  <si>
    <t>YT3413105882103</t>
  </si>
  <si>
    <t>YT3416212047227</t>
  </si>
  <si>
    <t>YT3413105881298</t>
  </si>
  <si>
    <t>YT3413105880903</t>
  </si>
  <si>
    <t>YT3413105880242</t>
  </si>
  <si>
    <t>YT3413105879828</t>
  </si>
  <si>
    <t>YT3416212041588</t>
  </si>
  <si>
    <t>YT3413105878898</t>
  </si>
  <si>
    <t>YT3416212039424</t>
  </si>
  <si>
    <t>YT3413105878265</t>
  </si>
  <si>
    <t>YT3416212037628</t>
  </si>
  <si>
    <t>YT3416212036995</t>
  </si>
  <si>
    <t>YT3416212807515</t>
  </si>
  <si>
    <t>YT3416212806378</t>
  </si>
  <si>
    <t>YT3413106258181</t>
  </si>
  <si>
    <t>YT3416212804662</t>
  </si>
  <si>
    <t>YT3413105885700</t>
  </si>
  <si>
    <t>YT3413105884747</t>
  </si>
  <si>
    <t>YT3416212052984</t>
  </si>
  <si>
    <t>YT3416212050254</t>
  </si>
  <si>
    <t>YT3413105882343</t>
  </si>
  <si>
    <t>YT3416212047768</t>
  </si>
  <si>
    <t>YT3416212046778</t>
  </si>
  <si>
    <t>YT3416212045362</t>
  </si>
  <si>
    <t>YT3416212044464</t>
  </si>
  <si>
    <t>YT3416212043232</t>
  </si>
  <si>
    <t>YT3413105879611</t>
  </si>
  <si>
    <t>YT3416212041016</t>
  </si>
  <si>
    <t>YT3413105878777</t>
  </si>
  <si>
    <t>YT3416212039213</t>
  </si>
  <si>
    <t>YT3416212037899</t>
  </si>
  <si>
    <t>YT3416212037381</t>
  </si>
  <si>
    <t>YT3416212803403</t>
  </si>
  <si>
    <t>YT3416212802419</t>
  </si>
  <si>
    <t>YT3416212801395</t>
  </si>
  <si>
    <t>YT3413106255638</t>
  </si>
  <si>
    <t>YT3416212799629</t>
  </si>
  <si>
    <t>YT3413105884680</t>
  </si>
  <si>
    <t>YT3416212052924</t>
  </si>
  <si>
    <t>YT3416212049926</t>
  </si>
  <si>
    <t>YT3416212048905</t>
  </si>
  <si>
    <t>YT3413105881959</t>
  </si>
  <si>
    <t>YT3416212046808</t>
  </si>
  <si>
    <t>YT3416212045452</t>
  </si>
  <si>
    <t>YT3416212044640</t>
  </si>
  <si>
    <t>YT3416212043531</t>
  </si>
  <si>
    <t>YT3416212042576</t>
  </si>
  <si>
    <t>YT3416212041403</t>
  </si>
  <si>
    <t>YT3416212040413</t>
  </si>
  <si>
    <t>YT3416212038948</t>
  </si>
  <si>
    <t>YT3416212038199</t>
  </si>
  <si>
    <t>YT3413105877486</t>
  </si>
  <si>
    <t>YT3416212798699</t>
  </si>
  <si>
    <t>YT3416212797463</t>
  </si>
  <si>
    <t>YT3413106254109</t>
  </si>
  <si>
    <t>YT3413106262230</t>
  </si>
  <si>
    <t>YT3416212055594</t>
  </si>
  <si>
    <t>YT3413105884354</t>
  </si>
  <si>
    <t>YT3413105883931</t>
  </si>
  <si>
    <t>YT3416212049623</t>
  </si>
  <si>
    <t>YT3413105882194</t>
  </si>
  <si>
    <t>YT3416212047492</t>
  </si>
  <si>
    <t>YT3416212046266</t>
  </si>
  <si>
    <t>YT3416212045245</t>
  </si>
  <si>
    <t>YT3416212044523</t>
  </si>
  <si>
    <t>YT3413105880035</t>
  </si>
  <si>
    <t>YT3416212042361</t>
  </si>
  <si>
    <t>YT3416212041108</t>
  </si>
  <si>
    <t>YT3416212040356</t>
  </si>
  <si>
    <t>YT3416212039365</t>
  </si>
  <si>
    <t>YT3416212038313</t>
  </si>
  <si>
    <t>YT3416212037419</t>
  </si>
  <si>
    <t>YT3413106371374</t>
  </si>
  <si>
    <t>YT3416213029271</t>
  </si>
  <si>
    <t>YT3413106370359</t>
  </si>
  <si>
    <t>YT3416213458273</t>
  </si>
  <si>
    <t>YT3413106581281</t>
  </si>
  <si>
    <t>YT3416212054515</t>
  </si>
  <si>
    <t>YT3416212052955</t>
  </si>
  <si>
    <t>YT3416212049894</t>
  </si>
  <si>
    <t>YT3416212048996</t>
  </si>
  <si>
    <t>YT3416212047856</t>
  </si>
  <si>
    <t>YT3416212046628</t>
  </si>
  <si>
    <t>YT3416212045335</t>
  </si>
  <si>
    <t>YT3413105880541</t>
  </si>
  <si>
    <t>YT3416212043117</t>
  </si>
  <si>
    <t>YT3416212042305</t>
  </si>
  <si>
    <t>YT3416212040893</t>
  </si>
  <si>
    <t>YT3416212040118</t>
  </si>
  <si>
    <t>YT3416212038827</t>
  </si>
  <si>
    <t>YT3416212038164</t>
  </si>
  <si>
    <t>YT3416212037444</t>
  </si>
  <si>
    <t>YT3416213454495</t>
  </si>
  <si>
    <t>YT3416213453777</t>
  </si>
  <si>
    <t>YT3413106377529</t>
  </si>
  <si>
    <t>YT3416213041428</t>
  </si>
  <si>
    <t>YT3416213039867</t>
  </si>
  <si>
    <t>YT3413105885195</t>
  </si>
  <si>
    <t>YT3416212053462</t>
  </si>
  <si>
    <t>YT3416212051039</t>
  </si>
  <si>
    <t>YT3413105882437</t>
  </si>
  <si>
    <t>YT3416212047825</t>
  </si>
  <si>
    <t>YT3416212046688</t>
  </si>
  <si>
    <t>YT3413105881179</t>
  </si>
  <si>
    <t>YT3416212044765</t>
  </si>
  <si>
    <t>YT3416212043621</t>
  </si>
  <si>
    <t>YT3413105879705</t>
  </si>
  <si>
    <t>YT3416212041610</t>
  </si>
  <si>
    <t>YT3416212040176</t>
  </si>
  <si>
    <t>YT3416212039129</t>
  </si>
  <si>
    <t>YT3413105878023</t>
  </si>
  <si>
    <t>YT3416212037084</t>
  </si>
  <si>
    <t>YT3413106375484</t>
  </si>
  <si>
    <t>YT3413106374946</t>
  </si>
  <si>
    <t>YT3416212056016</t>
  </si>
  <si>
    <t>YT3413105884651</t>
  </si>
  <si>
    <t>YT3413105884141</t>
  </si>
  <si>
    <t>YT3413105882976</t>
  </si>
  <si>
    <t>YT3413105882464</t>
  </si>
  <si>
    <t>YT3413105882046</t>
  </si>
  <si>
    <t>YT3416212046710</t>
  </si>
  <si>
    <t>YT3416212045632</t>
  </si>
  <si>
    <t>YT3416212044790</t>
  </si>
  <si>
    <t>YT3416212044132</t>
  </si>
  <si>
    <t>YT3416212042842</t>
  </si>
  <si>
    <t>YT3413105879349</t>
  </si>
  <si>
    <t>YT3416212040653</t>
  </si>
  <si>
    <t>YT3416212039606</t>
  </si>
  <si>
    <t>YT3416212038795</t>
  </si>
  <si>
    <t>YT3413105877871</t>
  </si>
  <si>
    <t>YT3416212037321</t>
  </si>
  <si>
    <t>YT3413106373958</t>
  </si>
  <si>
    <t>YT3416213034736</t>
  </si>
  <si>
    <t>YT3416211922039</t>
  </si>
  <si>
    <t>YT3416211921252</t>
  </si>
  <si>
    <t>YT3416211920020</t>
  </si>
  <si>
    <t>YT3413106373358</t>
  </si>
  <si>
    <t>YT3416213033201</t>
  </si>
  <si>
    <t>YT3413105885256</t>
  </si>
  <si>
    <t>YT3416212053253</t>
  </si>
  <si>
    <t>YT3413105883788</t>
  </si>
  <si>
    <t>YT3416212049595</t>
  </si>
  <si>
    <t>YT3416212048668</t>
  </si>
  <si>
    <t>YT3416212047430</t>
  </si>
  <si>
    <t>YT3416212046200</t>
  </si>
  <si>
    <t>YT3416212045186</t>
  </si>
  <si>
    <t>YT3416212044499</t>
  </si>
  <si>
    <t>YT3416212043087</t>
  </si>
  <si>
    <t>YT3416212042334</t>
  </si>
  <si>
    <t>YT3416212040985</t>
  </si>
  <si>
    <t>YT3416212039938</t>
  </si>
  <si>
    <t>YT3413105878351</t>
  </si>
  <si>
    <t>YT3416212037837</t>
  </si>
  <si>
    <t>YT3416211921889</t>
  </si>
  <si>
    <t>YT3416211921100</t>
  </si>
  <si>
    <t>YT3416211919934</t>
  </si>
  <si>
    <t>YT3413105877152</t>
  </si>
  <si>
    <t>YT3413106372511</t>
  </si>
  <si>
    <t>YT3413106372092</t>
  </si>
  <si>
    <t>YT3413106371671</t>
  </si>
  <si>
    <t>YT3416213030231</t>
  </si>
  <si>
    <t>YT3416212054393</t>
  </si>
  <si>
    <t>YT3416212053130</t>
  </si>
  <si>
    <t>YT3413105883216</t>
  </si>
  <si>
    <t>YT3416212049386</t>
  </si>
  <si>
    <t>YT3416212048064</t>
  </si>
  <si>
    <t>YT3416212046952</t>
  </si>
  <si>
    <t>YT3416212045306</t>
  </si>
  <si>
    <t>YT3413105880639</t>
  </si>
  <si>
    <t>YT3413105880217</t>
  </si>
  <si>
    <t>YT3416212042752</t>
  </si>
  <si>
    <t>YT3416212041971</t>
  </si>
  <si>
    <t>YT3413105817279</t>
  </si>
  <si>
    <t>YT3413105816915</t>
  </si>
  <si>
    <t>YT3416211920927</t>
  </si>
  <si>
    <t>YT3416211919817</t>
  </si>
  <si>
    <t>YT3413105879017</t>
  </si>
  <si>
    <t>YT3416212039846</t>
  </si>
  <si>
    <t>YT3413105878320</t>
  </si>
  <si>
    <t>YT3416212038074</t>
  </si>
  <si>
    <t>YT3413105877457</t>
  </si>
  <si>
    <t>YT3413106261543</t>
  </si>
  <si>
    <t>YT3416212811749</t>
  </si>
  <si>
    <t>YT3416212810900</t>
  </si>
  <si>
    <t>YT3413106260221</t>
  </si>
  <si>
    <t>YT3416212056704</t>
  </si>
  <si>
    <t>YT3416212054122</t>
  </si>
  <si>
    <t>YT3413105884174</t>
  </si>
  <si>
    <t>YT3416211922398</t>
  </si>
  <si>
    <t>YT3413105816940</t>
  </si>
  <si>
    <t>YT3413105816461</t>
  </si>
  <si>
    <t>YT3416211919693</t>
  </si>
  <si>
    <t>YT3413105815624</t>
  </si>
  <si>
    <t>YT3416211917833</t>
  </si>
  <si>
    <t>YT3416211917145</t>
  </si>
  <si>
    <t>YT3416211916094</t>
  </si>
  <si>
    <t>YT3413105882673</t>
  </si>
  <si>
    <t>YT3413105882318</t>
  </si>
  <si>
    <t>YT3416212048037</t>
  </si>
  <si>
    <t>YT3413105881625</t>
  </si>
  <si>
    <t>YT3416212045421</t>
  </si>
  <si>
    <t>YT3416212044709</t>
  </si>
  <si>
    <t>YT3416212043568</t>
  </si>
  <si>
    <t>YT3413105817187</t>
  </si>
  <si>
    <t>YT3416211921340</t>
  </si>
  <si>
    <t>YT3416211920262</t>
  </si>
  <si>
    <t>YT3413105815987</t>
  </si>
  <si>
    <t>YT3416211918133</t>
  </si>
  <si>
    <t>YT3413105815145</t>
  </si>
  <si>
    <t>YT3416211916548</t>
  </si>
  <si>
    <t>YT3416211915730</t>
  </si>
  <si>
    <t>YT3413105813882</t>
  </si>
  <si>
    <t>YT3416211914531</t>
  </si>
  <si>
    <t>YT3413105813079</t>
  </si>
  <si>
    <t>YT3413105812740</t>
  </si>
  <si>
    <t>YT3413105812386</t>
  </si>
  <si>
    <t>YT3416212042543</t>
  </si>
  <si>
    <t>YT3413105879251</t>
  </si>
  <si>
    <t>YT3416212040385</t>
  </si>
  <si>
    <t>YT3416212038971</t>
  </si>
  <si>
    <t>YT3416211922246</t>
  </si>
  <si>
    <t>YT3413105816850</t>
  </si>
  <si>
    <t>YT3416211920716</t>
  </si>
  <si>
    <t>YT3416211919518</t>
  </si>
  <si>
    <t>YT3416211918285</t>
  </si>
  <si>
    <t>YT3416211917624</t>
  </si>
  <si>
    <t>YT3416211916812</t>
  </si>
  <si>
    <t>YT3413105814395</t>
  </si>
  <si>
    <t>YT3413105814036</t>
  </si>
  <si>
    <t>YT3416211914713</t>
  </si>
  <si>
    <t>YT3413105813284</t>
  </si>
  <si>
    <t>YT3416211913275</t>
  </si>
  <si>
    <t>YT3413105814450</t>
  </si>
  <si>
    <t>YT3416211915071</t>
  </si>
  <si>
    <t>YT3413105813615</t>
  </si>
  <si>
    <t>YT3413105813194</t>
  </si>
  <si>
    <t>YT3413105812803</t>
  </si>
  <si>
    <t>YT3413105812357</t>
  </si>
  <si>
    <t>YT3413105811846</t>
  </si>
  <si>
    <t>YT3413105811512</t>
  </si>
  <si>
    <t>YT3413105811031</t>
  </si>
  <si>
    <t>YT3416211909438</t>
  </si>
  <si>
    <t>YT3413105879646</t>
  </si>
  <si>
    <t>YT3416212041041</t>
  </si>
  <si>
    <t>YT3416212040204</t>
  </si>
  <si>
    <t>YT3416211921670</t>
  </si>
  <si>
    <t>YT3416211920415</t>
  </si>
  <si>
    <t>YT3416211919334</t>
  </si>
  <si>
    <t>YT3416211918225</t>
  </si>
  <si>
    <t>YT3413105815297</t>
  </si>
  <si>
    <t>YT3413105814960</t>
  </si>
  <si>
    <t>YT3416211916120</t>
  </si>
  <si>
    <t>YT3416211915617</t>
  </si>
  <si>
    <t>YT3416211914892</t>
  </si>
  <si>
    <t>YT3416211914269</t>
  </si>
  <si>
    <t>YT3416211913574</t>
  </si>
  <si>
    <t>YT3416211913006</t>
  </si>
  <si>
    <t>YT3416211912285</t>
  </si>
  <si>
    <t>YT3413105811811</t>
  </si>
  <si>
    <t>YT3416211910841</t>
  </si>
  <si>
    <t>YT3413105811129</t>
  </si>
  <si>
    <t>YT3416211909225</t>
  </si>
  <si>
    <t>YT3416212039248</t>
  </si>
  <si>
    <t>YT3416212038528</t>
  </si>
  <si>
    <t>YT3413105877572</t>
  </si>
  <si>
    <t>YT3413105817127</t>
  </si>
  <si>
    <t>YT3416211921315</t>
  </si>
  <si>
    <t>YT3416211920206</t>
  </si>
  <si>
    <t>YT3413105815927</t>
  </si>
  <si>
    <t>YT3413105815534</t>
  </si>
  <si>
    <t>YT3413105815206</t>
  </si>
  <si>
    <t>YT3416211916870</t>
  </si>
  <si>
    <t>YT3413105814360</t>
  </si>
  <si>
    <t>YT3416211915105</t>
  </si>
  <si>
    <t>YT3413105813523</t>
  </si>
  <si>
    <t>YT3413105813046</t>
  </si>
  <si>
    <t>YT3416211913035</t>
  </si>
  <si>
    <t>YT3416211912319</t>
  </si>
  <si>
    <t>YT3416211911743</t>
  </si>
  <si>
    <t>YT3416211910933</t>
  </si>
  <si>
    <t>YT3413105810944</t>
  </si>
  <si>
    <t>YT3413105810616</t>
  </si>
  <si>
    <t>YT3598657874799</t>
  </si>
  <si>
    <t>YT3598658245839</t>
  </si>
  <si>
    <t>YT3598658245819</t>
  </si>
  <si>
    <t>YT3598657681230</t>
  </si>
  <si>
    <t>YT3598658439731</t>
  </si>
  <si>
    <t>YT3598657874711</t>
  </si>
  <si>
    <t>YT3598658053232</t>
  </si>
  <si>
    <t>YT3598657314444</t>
  </si>
  <si>
    <t>YT3598658439649</t>
  </si>
  <si>
    <t>YT3598658053205</t>
  </si>
  <si>
    <t>YT3598657874654</t>
  </si>
  <si>
    <t>YT3598658245660</t>
  </si>
  <si>
    <t>YT3598658053179</t>
  </si>
  <si>
    <t>YT3598657314343</t>
  </si>
  <si>
    <t>YT3598657874636</t>
  </si>
  <si>
    <t>YT1892809247580</t>
  </si>
  <si>
    <t>YT1892809247579</t>
  </si>
  <si>
    <t>YT1892808291546</t>
  </si>
  <si>
    <t>YT1892808291533</t>
  </si>
  <si>
    <t>YT1892808291522</t>
  </si>
  <si>
    <t>YT1892808291513</t>
  </si>
  <si>
    <t>YT1892808291506</t>
  </si>
  <si>
    <t>YT1892808291490</t>
  </si>
  <si>
    <t>YT1892808291487</t>
  </si>
  <si>
    <t>YT1892808291476</t>
  </si>
  <si>
    <t>YT1892808291467</t>
  </si>
  <si>
    <t>YT1892808291450</t>
  </si>
  <si>
    <t>YT1892809567992</t>
  </si>
  <si>
    <t>YT1892809567989</t>
  </si>
  <si>
    <t>YT1892809567978</t>
  </si>
  <si>
    <t>YT1892809567969</t>
  </si>
  <si>
    <t>YT1892809567952</t>
  </si>
  <si>
    <t>YT1892809567947</t>
  </si>
  <si>
    <t>YT1892809567934</t>
  </si>
  <si>
    <t>YT1892809567923</t>
  </si>
  <si>
    <t>YT1892809567914</t>
  </si>
  <si>
    <t>YT1892809567907</t>
  </si>
  <si>
    <t>YT7500065928892</t>
  </si>
  <si>
    <t>YT7500065928881</t>
  </si>
  <si>
    <t>YT7500065928870</t>
  </si>
  <si>
    <t>YT7500065928856</t>
  </si>
  <si>
    <t>YT7500065928843</t>
  </si>
  <si>
    <t>YT7500065928830</t>
  </si>
  <si>
    <t>YT7500065928821</t>
  </si>
  <si>
    <t>YT7500065928812</t>
  </si>
  <si>
    <t>YT1892677643932</t>
  </si>
  <si>
    <t>YT7501298065053</t>
  </si>
  <si>
    <t>YT7501298065048</t>
  </si>
  <si>
    <t>YT7500055603013</t>
  </si>
  <si>
    <t>YT7500055602993</t>
  </si>
  <si>
    <t>YT7500055603006</t>
  </si>
  <si>
    <t>YT7500055602982</t>
  </si>
  <si>
    <t>YT7500055602964</t>
  </si>
  <si>
    <t>YT7500055602971</t>
  </si>
  <si>
    <t>YT7500055602944</t>
  </si>
  <si>
    <t>YT7500055602931</t>
  </si>
  <si>
    <t>YT3416196269022</t>
  </si>
  <si>
    <t>YT3413097998224</t>
  </si>
  <si>
    <t>YT3413097998132</t>
  </si>
  <si>
    <t>YT3413097998079</t>
  </si>
  <si>
    <t>YT1892672925435</t>
  </si>
  <si>
    <t>YT1892672925424</t>
  </si>
  <si>
    <t>YT1892672925415</t>
  </si>
  <si>
    <t>YT1892672925408</t>
  </si>
  <si>
    <t>YT1892673230990</t>
  </si>
  <si>
    <t>YT1892673230987</t>
  </si>
  <si>
    <t>YT1892673230976</t>
  </si>
  <si>
    <t>YT1892673230967</t>
  </si>
  <si>
    <t>YT1892673230950</t>
  </si>
  <si>
    <t>YT1892673230945</t>
  </si>
  <si>
    <t>YT1892673230932</t>
  </si>
  <si>
    <t>YT1892673230921</t>
  </si>
  <si>
    <t>YT1892673230912</t>
  </si>
  <si>
    <t>YT1892673230905</t>
  </si>
  <si>
    <t>YT1892671682720</t>
  </si>
  <si>
    <t>YT1892671682711</t>
  </si>
  <si>
    <t>YT1892671682704</t>
  </si>
  <si>
    <t>YT1892671682694</t>
  </si>
  <si>
    <t>YT1892671682681</t>
  </si>
  <si>
    <t>YT1892671682670</t>
  </si>
  <si>
    <t>YT1892671682661</t>
  </si>
  <si>
    <t>YT1892671682654</t>
  </si>
  <si>
    <t>YT1892671682649</t>
  </si>
  <si>
    <t>YT1892671682636</t>
  </si>
  <si>
    <t>YT1892673135152</t>
  </si>
  <si>
    <t>YT1892673135147</t>
  </si>
  <si>
    <t>YT1892673135134</t>
  </si>
  <si>
    <t>YT1892673135123</t>
  </si>
  <si>
    <t>YT1892673135114</t>
  </si>
  <si>
    <t>YT1892673135107</t>
  </si>
  <si>
    <t>YT1892673135099</t>
  </si>
  <si>
    <t>YT1892673135086</t>
  </si>
  <si>
    <t>YT1892673135075</t>
  </si>
  <si>
    <t>YT1892673135066</t>
  </si>
  <si>
    <t>YT1892673135011</t>
  </si>
  <si>
    <t>YT1892673135004</t>
  </si>
  <si>
    <t>YT1892673134991</t>
  </si>
  <si>
    <t>YT1892673134988</t>
  </si>
  <si>
    <t>YT1892673134977</t>
  </si>
  <si>
    <t>YT1892673134968</t>
  </si>
  <si>
    <t>YT1892673134951</t>
  </si>
  <si>
    <t>YT1892673134946</t>
  </si>
  <si>
    <t>YT1892673134933</t>
  </si>
  <si>
    <t>YT1892673134922</t>
  </si>
  <si>
    <t>YT3598632562190</t>
  </si>
  <si>
    <t>YT3598632756117</t>
  </si>
  <si>
    <t>YT3598632945807</t>
  </si>
  <si>
    <t>YT3598632945780</t>
  </si>
  <si>
    <t>YT3598632756089</t>
  </si>
  <si>
    <t>YT3598632381984</t>
  </si>
  <si>
    <t>YT3598632192746</t>
  </si>
  <si>
    <t>YT3598633145691</t>
  </si>
  <si>
    <t>YT3598632192944</t>
  </si>
  <si>
    <t>YT3598632382192</t>
  </si>
  <si>
    <t>YT3598633145651</t>
  </si>
  <si>
    <t>YT3598633220756</t>
  </si>
  <si>
    <t>YT3598632946046</t>
  </si>
  <si>
    <t>YT3598633145563</t>
  </si>
  <si>
    <t>YT3598632562284</t>
  </si>
  <si>
    <t>YT3598632945933</t>
  </si>
  <si>
    <t>YT3598632562257</t>
  </si>
  <si>
    <t>YT3598632192812</t>
  </si>
  <si>
    <t>YT3598632945922</t>
  </si>
  <si>
    <t>YT3598633220583</t>
  </si>
  <si>
    <t>YT3598632945852</t>
  </si>
  <si>
    <t>YT3598633145440</t>
  </si>
  <si>
    <t>YT3598632562150</t>
  </si>
  <si>
    <t>YT3598632562145</t>
  </si>
  <si>
    <t>YT3598632756078</t>
  </si>
  <si>
    <t>YT3598632562105</t>
  </si>
  <si>
    <t>YT3598633220541</t>
  </si>
  <si>
    <t>YT3413097496298</t>
  </si>
  <si>
    <t>YT3416185744574</t>
  </si>
  <si>
    <t>YT3416185743672</t>
  </si>
  <si>
    <t>YT3416185743010</t>
  </si>
  <si>
    <t>YT3416185741845</t>
  </si>
  <si>
    <t>YT3416185741001</t>
  </si>
  <si>
    <t>YT3416185740079</t>
  </si>
  <si>
    <t>YT3416185738810</t>
  </si>
  <si>
    <t>YT3413092786444</t>
  </si>
  <si>
    <t>YT3413092785906</t>
  </si>
  <si>
    <t>YT3416185797677</t>
  </si>
  <si>
    <t>YT3416185753514</t>
  </si>
  <si>
    <t>YT3413092763979</t>
  </si>
  <si>
    <t>YT3416185751327</t>
  </si>
  <si>
    <t>YT3416185750393</t>
  </si>
  <si>
    <t>YT3413092762776</t>
  </si>
  <si>
    <t>YT3416185748831</t>
  </si>
  <si>
    <t>YT3416185747962</t>
  </si>
  <si>
    <t>YT3413092761573</t>
  </si>
  <si>
    <t>YT3413092761122</t>
  </si>
  <si>
    <t>YT3413092760527</t>
  </si>
  <si>
    <t>YT3416185743708</t>
  </si>
  <si>
    <t>YT3416185742956</t>
  </si>
  <si>
    <t>YT3416185741999</t>
  </si>
  <si>
    <t>YT3413092758696</t>
  </si>
  <si>
    <t>YT3413092758270</t>
  </si>
  <si>
    <t>YT3416185739299</t>
  </si>
  <si>
    <t>YT3413092757589</t>
  </si>
  <si>
    <t>YT3413092785397</t>
  </si>
  <si>
    <t>YT3416185796382</t>
  </si>
  <si>
    <t>YT3413092784554</t>
  </si>
  <si>
    <t>YT3413092784169</t>
  </si>
  <si>
    <t>YT3416185753121</t>
  </si>
  <si>
    <t>YT3416185751860</t>
  </si>
  <si>
    <t>YT3416185750814</t>
  </si>
  <si>
    <t>YT3413092762929</t>
  </si>
  <si>
    <t>YT3413092762442</t>
  </si>
  <si>
    <t>YT3413092761968</t>
  </si>
  <si>
    <t>YT3416185747245</t>
  </si>
  <si>
    <t>YT3413092761216</t>
  </si>
  <si>
    <t>YT3416185745144</t>
  </si>
  <si>
    <t>YT3416185744242</t>
  </si>
  <si>
    <t>YT3416185743254</t>
  </si>
  <si>
    <t>YT3416185742295</t>
  </si>
  <si>
    <t>YT3416185741364</t>
  </si>
  <si>
    <t>YT3416185740103</t>
  </si>
  <si>
    <t>YT3416185738878</t>
  </si>
  <si>
    <t>YT3413092757075</t>
  </si>
  <si>
    <t>YT3416185793956</t>
  </si>
  <si>
    <t>YT3416185792962</t>
  </si>
  <si>
    <t>YT3416185791888</t>
  </si>
  <si>
    <t>YT3416185753004</t>
  </si>
  <si>
    <t>YT3413092763676</t>
  </si>
  <si>
    <t>YT3416185750609</t>
  </si>
  <si>
    <t>YT3416185749616</t>
  </si>
  <si>
    <t>YT3416185748653</t>
  </si>
  <si>
    <t>YT3416185747997</t>
  </si>
  <si>
    <t>YT3416185747090</t>
  </si>
  <si>
    <t>YT3416185746165</t>
  </si>
  <si>
    <t>YT3413092760587</t>
  </si>
  <si>
    <t>YT3413092760136</t>
  </si>
  <si>
    <t>YT3416185743045</t>
  </si>
  <si>
    <t>YT3416185741784</t>
  </si>
  <si>
    <t>YT3416185741188</t>
  </si>
  <si>
    <t>YT3413092758247</t>
  </si>
  <si>
    <t>YT3416185739417</t>
  </si>
  <si>
    <t>YT3413092757529</t>
  </si>
  <si>
    <t>YT3416185737372</t>
  </si>
  <si>
    <t>YT3413092789050</t>
  </si>
  <si>
    <t>YT3416185803709</t>
  </si>
  <si>
    <t>YT3416185752799</t>
  </si>
  <si>
    <t>YT3413092763768</t>
  </si>
  <si>
    <t>YT3416185750759</t>
  </si>
  <si>
    <t>YT3413092762862</t>
  </si>
  <si>
    <t>YT3416185749195</t>
  </si>
  <si>
    <t>YT3416185748413</t>
  </si>
  <si>
    <t>YT3416185747452</t>
  </si>
  <si>
    <t>YT3416185746589</t>
  </si>
  <si>
    <t>YT3416185745595</t>
  </si>
  <si>
    <t>YT3416185744541</t>
  </si>
  <si>
    <t>YT3413092760015</t>
  </si>
  <si>
    <t>YT3413092759563</t>
  </si>
  <si>
    <t>YT3416185741755</t>
  </si>
  <si>
    <t>YT3413092758546</t>
  </si>
  <si>
    <t>YT3416185739989</t>
  </si>
  <si>
    <t>YT3413092757859</t>
  </si>
  <si>
    <t>YT3413092757165</t>
  </si>
  <si>
    <t>YT3413092756892</t>
  </si>
  <si>
    <t>YT3416185803079</t>
  </si>
  <si>
    <t>YT3416185802715</t>
  </si>
  <si>
    <t>YT3416185802296</t>
  </si>
  <si>
    <t>YT3416185753426</t>
  </si>
  <si>
    <t>YT3416185751716</t>
  </si>
  <si>
    <t>YT3413092763379</t>
  </si>
  <si>
    <t>YT3416185749823</t>
  </si>
  <si>
    <t>YT3416185748893</t>
  </si>
  <si>
    <t>YT3416185748204</t>
  </si>
  <si>
    <t>YT3416185747210</t>
  </si>
  <si>
    <t>YT3416185746220</t>
  </si>
  <si>
    <t>YT3416185744994</t>
  </si>
  <si>
    <t>YT3416185744332</t>
  </si>
  <si>
    <t>YT3413092759743</t>
  </si>
  <si>
    <t>YT3416185742233</t>
  </si>
  <si>
    <t>YT3416185741454</t>
  </si>
  <si>
    <t>YT3413092758308</t>
  </si>
  <si>
    <t>YT3413092757949</t>
  </si>
  <si>
    <t>YT3416185738337</t>
  </si>
  <si>
    <t>YT3413092756621</t>
  </si>
  <si>
    <t>YT3416185801846</t>
  </si>
  <si>
    <t>YT3413092787676</t>
  </si>
  <si>
    <t>YT3416185752821</t>
  </si>
  <si>
    <t>YT3413092763618</t>
  </si>
  <si>
    <t>YT3413092763287</t>
  </si>
  <si>
    <t>YT3413092762806</t>
  </si>
  <si>
    <t>YT3416185748749</t>
  </si>
  <si>
    <t>YT3416185747876</t>
  </si>
  <si>
    <t>YT3413092761458</t>
  </si>
  <si>
    <t>YT1892583271074</t>
  </si>
  <si>
    <t>YT1892583271065</t>
  </si>
  <si>
    <t>YT1892583271058</t>
  </si>
  <si>
    <t>YT1892583271043</t>
  </si>
  <si>
    <t>YT1892583271030</t>
  </si>
  <si>
    <t>YT1892583271029</t>
  </si>
  <si>
    <t>YT1892583271010</t>
  </si>
  <si>
    <t>YT1892583271003</t>
  </si>
  <si>
    <t>YT1892583270998</t>
  </si>
  <si>
    <t>YT1892583641413</t>
  </si>
  <si>
    <t>YT1892568490977</t>
  </si>
  <si>
    <t>YT1892568490968</t>
  </si>
  <si>
    <t>YT1892568490951</t>
  </si>
  <si>
    <t>YT1892568490946</t>
  </si>
  <si>
    <t>YT1892570223037</t>
  </si>
  <si>
    <t>YT1892570223026</t>
  </si>
  <si>
    <t>YT1892570223017</t>
  </si>
  <si>
    <t>YT1892570223000</t>
  </si>
  <si>
    <t>YT1892570222991</t>
  </si>
  <si>
    <t>YT1892570222988</t>
  </si>
  <si>
    <t>YT1892570222977</t>
  </si>
  <si>
    <t>YT1892570222968</t>
  </si>
  <si>
    <t>YT1892570222951</t>
  </si>
  <si>
    <t>YT1892570222946</t>
  </si>
  <si>
    <t>YT1892569920932</t>
  </si>
  <si>
    <t>YT1892569920921</t>
  </si>
  <si>
    <t>YT1892569920912</t>
  </si>
  <si>
    <t>YT1892569920905</t>
  </si>
  <si>
    <t>YT1892569920891</t>
  </si>
  <si>
    <t>YT1892569920888</t>
  </si>
  <si>
    <t>YT1892569920877</t>
  </si>
  <si>
    <t>YT1892569920868</t>
  </si>
  <si>
    <t>YT1892569920851</t>
  </si>
  <si>
    <t>YT1892569920846</t>
  </si>
  <si>
    <t>YT1892568662220</t>
  </si>
  <si>
    <t>YT1892568662211</t>
  </si>
  <si>
    <t>YT1892568662204</t>
  </si>
  <si>
    <t>YT1892568662192</t>
  </si>
  <si>
    <t>YT1892568662189</t>
  </si>
  <si>
    <t>YT1892568662178</t>
  </si>
  <si>
    <t>YT1892568662169</t>
  </si>
  <si>
    <t>YT1892568662152</t>
  </si>
  <si>
    <t>YT1892568662147</t>
  </si>
  <si>
    <t>YT1892568662134</t>
  </si>
  <si>
    <t>YT1892569429602</t>
  </si>
  <si>
    <t>YT1892569429592</t>
  </si>
  <si>
    <t>YT1892569429589</t>
  </si>
  <si>
    <t>YT1892569429578</t>
  </si>
  <si>
    <t>YT1892569429569</t>
  </si>
  <si>
    <t>YT1892569429552</t>
  </si>
  <si>
    <t>YT1892569429547</t>
  </si>
  <si>
    <t>YT1892569429534</t>
  </si>
  <si>
    <t>YT1892569429523</t>
  </si>
  <si>
    <t>YT1892569429514</t>
  </si>
  <si>
    <t>YT1892570410945</t>
  </si>
  <si>
    <t>YT1892570410932</t>
  </si>
  <si>
    <t>YT1892570410921</t>
  </si>
  <si>
    <t>YT1892570410912</t>
  </si>
  <si>
    <t>YT1892570410905</t>
  </si>
  <si>
    <t>YT1892570410891</t>
  </si>
  <si>
    <t>YT1892570410888</t>
  </si>
  <si>
    <t>YT1892570410877</t>
  </si>
  <si>
    <t>YT1892570410868</t>
  </si>
  <si>
    <t>YT3598616351211</t>
  </si>
  <si>
    <t>YT3598617109499</t>
  </si>
  <si>
    <t>YT3598616527944</t>
  </si>
  <si>
    <t>YT3598616351178</t>
  </si>
  <si>
    <t>YT3598616527890</t>
  </si>
  <si>
    <t>YT3598616917422</t>
  </si>
  <si>
    <t>YT3598616917387</t>
  </si>
  <si>
    <t>YT3598617109385</t>
  </si>
  <si>
    <t>YT3598617109365</t>
  </si>
  <si>
    <t>YT3598615776701</t>
  </si>
  <si>
    <t>YT3598616721834</t>
  </si>
  <si>
    <t>YT3598616351318</t>
  </si>
  <si>
    <t>YT3598616528053</t>
  </si>
  <si>
    <t>YT3598616917592</t>
  </si>
  <si>
    <t>YT3598617109521</t>
  </si>
  <si>
    <t>YT3598616721753</t>
  </si>
  <si>
    <t>YT3598616917552</t>
  </si>
  <si>
    <t>YT3598615959326</t>
  </si>
  <si>
    <t>YT3598615959317</t>
  </si>
  <si>
    <t>YT3598616527975</t>
  </si>
  <si>
    <t>YT3598615776954</t>
  </si>
  <si>
    <t>YT3598616351204</t>
  </si>
  <si>
    <t>YT3598616721708</t>
  </si>
  <si>
    <t>YT3598616527911</t>
  </si>
  <si>
    <t>YT3598615776895</t>
  </si>
  <si>
    <t>YT3598616527788</t>
  </si>
  <si>
    <t>YT3598616721580</t>
  </si>
  <si>
    <t>YT3598616721548</t>
  </si>
  <si>
    <t>YT3598613567183</t>
  </si>
  <si>
    <t>YT3598614404539</t>
  </si>
  <si>
    <t>YT3598613763129</t>
  </si>
  <si>
    <t>YT3598613566580</t>
  </si>
  <si>
    <t>YT3598613957348</t>
  </si>
  <si>
    <t>YT3598614024081</t>
  </si>
  <si>
    <t>YT3598614404188</t>
  </si>
  <si>
    <t>YT3598613566447</t>
  </si>
  <si>
    <t>YT3598614404151</t>
  </si>
  <si>
    <t>YT3598613197456</t>
  </si>
  <si>
    <t>YT3598613197427</t>
  </si>
  <si>
    <t>YT3598613198679</t>
  </si>
  <si>
    <t>YT3598613764427</t>
  </si>
  <si>
    <t>YT3598614405215</t>
  </si>
  <si>
    <t>YT3598614205341</t>
  </si>
  <si>
    <t>YT3598613198574</t>
  </si>
  <si>
    <t>YT3598613372703</t>
  </si>
  <si>
    <t>YT3598614024946</t>
  </si>
  <si>
    <t>YT3598613198318</t>
  </si>
  <si>
    <t>YT3598613198259</t>
  </si>
  <si>
    <t>YT3598613372266</t>
  </si>
  <si>
    <t>YT3598613566878</t>
  </si>
  <si>
    <t>YT3598613566658</t>
  </si>
  <si>
    <t>YT3598613197669</t>
  </si>
  <si>
    <t>YT3598614404243</t>
  </si>
  <si>
    <t>YT3598613197542</t>
  </si>
  <si>
    <t>YT3598613197528</t>
  </si>
  <si>
    <t>YT3598613762933</t>
  </si>
  <si>
    <t>YT3598613371661</t>
  </si>
  <si>
    <t>YT3598613197438</t>
  </si>
  <si>
    <t>YT3598613762847</t>
  </si>
  <si>
    <t>YT3598614025338</t>
  </si>
  <si>
    <t>YT3598613567813</t>
  </si>
  <si>
    <t>YT3598613372765</t>
  </si>
  <si>
    <t>YT3598613764191</t>
  </si>
  <si>
    <t>YT3598613372608</t>
  </si>
  <si>
    <t>YT3598614205066</t>
  </si>
  <si>
    <t>YT3598613958028</t>
  </si>
  <si>
    <t>YT3598614404841</t>
  </si>
  <si>
    <t>YT3598613567048</t>
  </si>
  <si>
    <t>YT3598613763378</t>
  </si>
  <si>
    <t>YT3598614204489</t>
  </si>
  <si>
    <t>YT3598614204414</t>
  </si>
  <si>
    <t>YT3598613371766</t>
  </si>
  <si>
    <t>YT3598613957324</t>
  </si>
  <si>
    <t>YT3598613371759</t>
  </si>
  <si>
    <t>YT3598614024054</t>
  </si>
  <si>
    <t>YT3598613762889</t>
  </si>
  <si>
    <t>YT3598613566391</t>
  </si>
  <si>
    <t>YT3598613957166</t>
  </si>
  <si>
    <t>YT3598614404058</t>
  </si>
  <si>
    <t>YT3598613958471</t>
  </si>
  <si>
    <t>YT3598613958440</t>
  </si>
  <si>
    <t>YT3598613198615</t>
  </si>
  <si>
    <t>YT3598614205275</t>
  </si>
  <si>
    <t>YT3598614405101</t>
  </si>
  <si>
    <t>YT3598613567547</t>
  </si>
  <si>
    <t>YT3598613763978</t>
  </si>
  <si>
    <t>YT3598613567413</t>
  </si>
  <si>
    <t>YT3598613567138</t>
  </si>
  <si>
    <t>YT3598613957612</t>
  </si>
  <si>
    <t>YT3598613763110</t>
  </si>
  <si>
    <t>YT3598613566553</t>
  </si>
  <si>
    <t>YT3598614204407</t>
  </si>
  <si>
    <t>YT3598614024070</t>
  </si>
  <si>
    <t>YT3598613566489</t>
  </si>
  <si>
    <t>YT3598614404177</t>
  </si>
  <si>
    <t>YT3598613566434</t>
  </si>
  <si>
    <t>YT3598613566368</t>
  </si>
  <si>
    <t>YT3598614023965</t>
  </si>
  <si>
    <t>YT3598613566333</t>
  </si>
  <si>
    <t>YT3598614025439</t>
  </si>
  <si>
    <t>YT3598614205419</t>
  </si>
  <si>
    <t>YT3598613958426</t>
  </si>
  <si>
    <t>YT3598613567789</t>
  </si>
  <si>
    <t>YT3598613567697</t>
  </si>
  <si>
    <t>YT3598614205220</t>
  </si>
  <si>
    <t>YT3598613198428</t>
  </si>
  <si>
    <t>YT3598614404926</t>
  </si>
  <si>
    <t>YT3598614404784</t>
  </si>
  <si>
    <t>YT3598613957645</t>
  </si>
  <si>
    <t>YT3598591063644</t>
  </si>
  <si>
    <t>YT3598590685229</t>
  </si>
  <si>
    <t>YT3598590494793</t>
  </si>
  <si>
    <t>YT3598590295631</t>
  </si>
  <si>
    <t>YT3598590295611</t>
  </si>
  <si>
    <t>YT3598590119188</t>
  </si>
  <si>
    <t>YT3598590868174</t>
  </si>
  <si>
    <t>YT3598590119151</t>
  </si>
  <si>
    <t>YT3598591063549</t>
  </si>
  <si>
    <t>YT1892438225825</t>
  </si>
  <si>
    <t>YT1892438225816</t>
  </si>
  <si>
    <t>YT1892438225809</t>
  </si>
  <si>
    <t>YT7499862122465</t>
  </si>
  <si>
    <t>YT7499862122458</t>
  </si>
  <si>
    <t>YT7499862122445</t>
  </si>
  <si>
    <t>YT7499862122432</t>
  </si>
  <si>
    <t>YT7499862122423</t>
  </si>
  <si>
    <t>YT7499862122414</t>
  </si>
  <si>
    <t>YT7499862122397</t>
  </si>
  <si>
    <t>YT3416165866603</t>
  </si>
  <si>
    <t>YT3416165866362</t>
  </si>
  <si>
    <t>YT3413082851589</t>
  </si>
  <si>
    <t>YT3416165865798</t>
  </si>
  <si>
    <t>YT1892430485368</t>
  </si>
  <si>
    <t>YT1892430485351</t>
  </si>
  <si>
    <t>YT1892430485346</t>
  </si>
  <si>
    <t>YT1892430485333</t>
  </si>
  <si>
    <t>YT1892430485322</t>
  </si>
  <si>
    <t>YT1892430485306</t>
  </si>
  <si>
    <t>YT1892430485294</t>
  </si>
  <si>
    <t>YT1892432124348</t>
  </si>
  <si>
    <t>YT1892432124335</t>
  </si>
  <si>
    <t>YT1892432124324</t>
  </si>
  <si>
    <t>YT1892432124315</t>
  </si>
  <si>
    <t>YT1892432124308</t>
  </si>
  <si>
    <t>YT1892432124296</t>
  </si>
  <si>
    <t>YT1892432124283</t>
  </si>
  <si>
    <t>YT1892432124272</t>
  </si>
  <si>
    <t>YT1892432124263</t>
  </si>
  <si>
    <t>YT1892432124256</t>
  </si>
  <si>
    <t>YT1892430887292</t>
  </si>
  <si>
    <t>YT1892430887289</t>
  </si>
  <si>
    <t>YT1892430887278</t>
  </si>
  <si>
    <t>YT1892430887269</t>
  </si>
  <si>
    <t>YT1892430887252</t>
  </si>
  <si>
    <t>YT1892430887247</t>
  </si>
  <si>
    <t>YT1892430887234</t>
  </si>
  <si>
    <t>YT1892430887223</t>
  </si>
  <si>
    <t>YT1892430887214</t>
  </si>
  <si>
    <t>YT1892430887207</t>
  </si>
  <si>
    <t>YT1892431356362</t>
  </si>
  <si>
    <t>YT1892431356355</t>
  </si>
  <si>
    <t>YT1892431356340</t>
  </si>
  <si>
    <t>YT1892431356337</t>
  </si>
  <si>
    <t>YT1892431356326</t>
  </si>
  <si>
    <t>YT1892431356317</t>
  </si>
  <si>
    <t>YT1892431356300</t>
  </si>
  <si>
    <t>YT1892431356298</t>
  </si>
  <si>
    <t>YT1892431356285</t>
  </si>
  <si>
    <t>YT1892431356274</t>
  </si>
  <si>
    <t>YT3598588717936</t>
  </si>
  <si>
    <t>YT3598589109747</t>
  </si>
  <si>
    <t>YT3598589290292</t>
  </si>
  <si>
    <t>YT3598589682459</t>
  </si>
  <si>
    <t>YT3598588916467</t>
  </si>
  <si>
    <t>YT3598588916421</t>
  </si>
  <si>
    <t>YT3598589290195</t>
  </si>
  <si>
    <t>YT3598588916359</t>
  </si>
  <si>
    <t>YT3598589872928</t>
  </si>
  <si>
    <t>YT3598589484451</t>
  </si>
  <si>
    <t>YT3598589682116</t>
  </si>
  <si>
    <t>YT3598589289968</t>
  </si>
  <si>
    <t>YT3598589872775</t>
  </si>
  <si>
    <t>YT3598588916162</t>
  </si>
  <si>
    <t>YT3598588717426</t>
  </si>
  <si>
    <t>YT3598589109235</t>
  </si>
  <si>
    <t>YT3598589681999</t>
  </si>
  <si>
    <t>YT3598589681890</t>
  </si>
  <si>
    <t>YT3598589682567</t>
  </si>
  <si>
    <t>YT3598589682512</t>
  </si>
  <si>
    <t>YT3598588717909</t>
  </si>
  <si>
    <t>YT3598589290304</t>
  </si>
  <si>
    <t>YT3598588717871</t>
  </si>
  <si>
    <t>YT3598588717855</t>
  </si>
  <si>
    <t>YT3598589109697</t>
  </si>
  <si>
    <t>YT3598589109639</t>
  </si>
  <si>
    <t>YT3598588717738</t>
  </si>
  <si>
    <t>YT3598589290171</t>
  </si>
  <si>
    <t>YT3598589109523</t>
  </si>
  <si>
    <t>YT3598589109451</t>
  </si>
  <si>
    <t>YT3598589109406</t>
  </si>
  <si>
    <t>YT3598589872829</t>
  </si>
  <si>
    <t>YT3598589484345</t>
  </si>
  <si>
    <t>YT3598589109280</t>
  </si>
  <si>
    <t>YT3598589289878</t>
  </si>
  <si>
    <t>YT3598589484248</t>
  </si>
  <si>
    <t>YT3598589872649</t>
  </si>
  <si>
    <t>YT3598589289780</t>
  </si>
  <si>
    <t>YT3598588717994</t>
  </si>
  <si>
    <t>YT3598589873365</t>
  </si>
  <si>
    <t>YT3598588916601</t>
  </si>
  <si>
    <t>YT3598589290311</t>
  </si>
  <si>
    <t>YT3598589873222</t>
  </si>
  <si>
    <t>YT3598588542648</t>
  </si>
  <si>
    <t>YT3598589290269</t>
  </si>
  <si>
    <t>YT3598588542585</t>
  </si>
  <si>
    <t>YT3598588717756</t>
  </si>
  <si>
    <t>YT3598589682251</t>
  </si>
  <si>
    <t>YT3598589872919</t>
  </si>
  <si>
    <t>YT3598589290089</t>
  </si>
  <si>
    <t>YT3598589290047</t>
  </si>
  <si>
    <t>YT3598589682077</t>
  </si>
  <si>
    <t>YT3598589484332</t>
  </si>
  <si>
    <t>YT3598589289892</t>
  </si>
  <si>
    <t>YT3598588916137</t>
  </si>
  <si>
    <t>YT3598589872670</t>
  </si>
  <si>
    <t>YT3598589872636</t>
  </si>
  <si>
    <t>YT3598589484196</t>
  </si>
  <si>
    <t>YT3598570943242</t>
  </si>
  <si>
    <t>YT3598571512067</t>
  </si>
  <si>
    <t>YT3416152425769</t>
  </si>
  <si>
    <t>YT3416152424773</t>
  </si>
  <si>
    <t>YT3416152423752</t>
  </si>
  <si>
    <t>YT3416152423277</t>
  </si>
  <si>
    <t>YT3416152422731</t>
  </si>
  <si>
    <t>YT3413076137314</t>
  </si>
  <si>
    <t>YT3413076136955</t>
  </si>
  <si>
    <t>YT3416152421291</t>
  </si>
  <si>
    <t>YT3416152420962</t>
  </si>
  <si>
    <t>YT3416152420362</t>
  </si>
  <si>
    <t>YT3416152419555</t>
  </si>
  <si>
    <t>YT3416152419047</t>
  </si>
  <si>
    <t>YT3413076143708</t>
  </si>
  <si>
    <t>YT3416152433744</t>
  </si>
  <si>
    <t>YT3416152433023</t>
  </si>
  <si>
    <t>YT3416152432486</t>
  </si>
  <si>
    <t>YT3416152431791</t>
  </si>
  <si>
    <t>YT3416152431256</t>
  </si>
  <si>
    <t>YT3416152430321</t>
  </si>
  <si>
    <t>YT3413076140738</t>
  </si>
  <si>
    <t>YT3416152426814</t>
  </si>
  <si>
    <t>YT3413076139208</t>
  </si>
  <si>
    <t>YT3416152424560</t>
  </si>
  <si>
    <t>YT3416152423451</t>
  </si>
  <si>
    <t>YT3413076137972</t>
  </si>
  <si>
    <t>YT3416152422430</t>
  </si>
  <si>
    <t>YT3416152421921</t>
  </si>
  <si>
    <t>YT3416152421024</t>
  </si>
  <si>
    <t>YT3416152420335</t>
  </si>
  <si>
    <t>YT3413076135606</t>
  </si>
  <si>
    <t>YT3416152419133</t>
  </si>
  <si>
    <t>YT3416152433951</t>
  </si>
  <si>
    <t>YT3416152433476</t>
  </si>
  <si>
    <t>YT3416152432901</t>
  </si>
  <si>
    <t>YT3416152432181</t>
  </si>
  <si>
    <t>YT3413076142325</t>
  </si>
  <si>
    <t>YT3416152431012</t>
  </si>
  <si>
    <t>YT3413076141634</t>
  </si>
  <si>
    <t>YT3416152428311</t>
  </si>
  <si>
    <t>YT3413076139718</t>
  </si>
  <si>
    <t>YT3416152425402</t>
  </si>
  <si>
    <t>YT3416152424386</t>
  </si>
  <si>
    <t>YT3416152423420</t>
  </si>
  <si>
    <t>YT3416152422856</t>
  </si>
  <si>
    <t>YT3413076137529</t>
  </si>
  <si>
    <t>YT3416152421981</t>
  </si>
  <si>
    <t>YT3416152421590</t>
  </si>
  <si>
    <t>YT3416152421084</t>
  </si>
  <si>
    <t>YT3416152420519</t>
  </si>
  <si>
    <t>YT3416152419739</t>
  </si>
  <si>
    <t>YT3416152419160</t>
  </si>
  <si>
    <t>YT3416152433836</t>
  </si>
  <si>
    <t>YT3416152433443</t>
  </si>
  <si>
    <t>YT3416152432848</t>
  </si>
  <si>
    <t>YT3416152432367</t>
  </si>
  <si>
    <t>YT3416152431739</t>
  </si>
  <si>
    <t>YT3413076142088</t>
  </si>
  <si>
    <t>YT3413076141724</t>
  </si>
  <si>
    <t>YT3416152428702</t>
  </si>
  <si>
    <t>YT3416152426393</t>
  </si>
  <si>
    <t>YT3413076139053</t>
  </si>
  <si>
    <t>YT3413076138661</t>
  </si>
  <si>
    <t>YT3416152423361</t>
  </si>
  <si>
    <t>YT3413076137949</t>
  </si>
  <si>
    <t>YT3413076137589</t>
  </si>
  <si>
    <t>YT3413076137017</t>
  </si>
  <si>
    <t>YT3413076136748</t>
  </si>
  <si>
    <t>YT3413076136384</t>
  </si>
  <si>
    <t>YT3413076135965</t>
  </si>
  <si>
    <t>YT3416152419641</t>
  </si>
  <si>
    <t>YT3416152419225</t>
  </si>
  <si>
    <t>YT3413076143131</t>
  </si>
  <si>
    <t>YT3416152432871</t>
  </si>
  <si>
    <t>YT3416152432240</t>
  </si>
  <si>
    <t>YT3416152431641</t>
  </si>
  <si>
    <t>YT3416152431133</t>
  </si>
  <si>
    <t>YT3416152430419</t>
  </si>
  <si>
    <t>YT3416152429000</t>
  </si>
  <si>
    <t>YT3416152427264</t>
  </si>
  <si>
    <t>YT3416152425619</t>
  </si>
  <si>
    <t>YT3416152424740</t>
  </si>
  <si>
    <t>YT3416152423668</t>
  </si>
  <si>
    <t>YT3416152423185</t>
  </si>
  <si>
    <t>YT3413076137859</t>
  </si>
  <si>
    <t>YT3416152422346</t>
  </si>
  <si>
    <t>YT3416152421837</t>
  </si>
  <si>
    <t>YT3416152421381</t>
  </si>
  <si>
    <t>YT3416152420997</t>
  </si>
  <si>
    <t>YT3416152420397</t>
  </si>
  <si>
    <t>YT3416152419584</t>
  </si>
  <si>
    <t>YT3416152419104</t>
  </si>
  <si>
    <t>YT3416152433320</t>
  </si>
  <si>
    <t>YT3416152432813</t>
  </si>
  <si>
    <t>YT3413076142653</t>
  </si>
  <si>
    <t>YT1892333564872</t>
  </si>
  <si>
    <t>YT1892333564863</t>
  </si>
  <si>
    <t>YT1892333564856</t>
  </si>
  <si>
    <t>YT1892333564841</t>
  </si>
  <si>
    <t>YT1892333564838</t>
  </si>
  <si>
    <t>YT1892333564827</t>
  </si>
  <si>
    <t>YT1892333564818</t>
  </si>
  <si>
    <t>YT1892333564801</t>
  </si>
  <si>
    <t>YT1892333372736</t>
  </si>
  <si>
    <t>YT1892333372725</t>
  </si>
  <si>
    <t>YT1892333372716</t>
  </si>
  <si>
    <t>YT1892333372709</t>
  </si>
  <si>
    <t>YT1892333372699</t>
  </si>
  <si>
    <t>YT1892333372686</t>
  </si>
  <si>
    <t>YT1892333372675</t>
  </si>
  <si>
    <t>YT1892333372666</t>
  </si>
  <si>
    <t>YT1892333372659</t>
  </si>
  <si>
    <t>YT1892333372644</t>
  </si>
  <si>
    <t>YT1892333195757</t>
  </si>
  <si>
    <t>YT1892333195742</t>
  </si>
  <si>
    <t>YT1892333195739</t>
  </si>
  <si>
    <t>YT1892333195728</t>
  </si>
  <si>
    <t>YT1892333195719</t>
  </si>
  <si>
    <t>YT1892333195702</t>
  </si>
  <si>
    <t>YT1892333195692</t>
  </si>
  <si>
    <t>YT1892333195689</t>
  </si>
  <si>
    <t>YT3598571651436</t>
  </si>
  <si>
    <t>YT3598571847493</t>
  </si>
  <si>
    <t>YT3598571480665</t>
  </si>
  <si>
    <t>YT3598571094019</t>
  </si>
  <si>
    <t>YT3598571847369</t>
  </si>
  <si>
    <t>YT3598571093933</t>
  </si>
  <si>
    <t>YT3598572238461</t>
  </si>
  <si>
    <t>YT3598571286375</t>
  </si>
  <si>
    <t>YT3598572045380</t>
  </si>
  <si>
    <t>YT3598571847130</t>
  </si>
  <si>
    <t>YT3598571651861</t>
  </si>
  <si>
    <t>YT3598571481077</t>
  </si>
  <si>
    <t>YT3598571287013</t>
  </si>
  <si>
    <t>YT3598571651740</t>
  </si>
  <si>
    <t>YT3598572238894</t>
  </si>
  <si>
    <t>YT3598570911629</t>
  </si>
  <si>
    <t>YT3598571094239</t>
  </si>
  <si>
    <t>YT3598572238740</t>
  </si>
  <si>
    <t>YT3598571847549</t>
  </si>
  <si>
    <t>YT3598571286641</t>
  </si>
  <si>
    <t>YT3598571094097</t>
  </si>
  <si>
    <t>YT3598572045621</t>
  </si>
  <si>
    <t>YT3598572238562</t>
  </si>
  <si>
    <t>YT3598571093977</t>
  </si>
  <si>
    <t>YT3598571093951</t>
  </si>
  <si>
    <t>YT3598570911333</t>
  </si>
  <si>
    <t>YT3598571286432</t>
  </si>
  <si>
    <t>YT3598571651201</t>
  </si>
  <si>
    <t>YT3598571286311</t>
  </si>
  <si>
    <t>YT3598571480478</t>
  </si>
  <si>
    <t>YT3598572239134</t>
  </si>
  <si>
    <t>YT3598572239044</t>
  </si>
  <si>
    <t>YT3598571481013</t>
  </si>
  <si>
    <t>YT3598571847761</t>
  </si>
  <si>
    <t>YT3598571286920</t>
  </si>
  <si>
    <t>YT3598571286850</t>
  </si>
  <si>
    <t>YT3598570911610</t>
  </si>
  <si>
    <t>YT3598571847594</t>
  </si>
  <si>
    <t>YT3598571847570</t>
  </si>
  <si>
    <t>YT3598571094167</t>
  </si>
  <si>
    <t>YT3598571847460</t>
  </si>
  <si>
    <t>YT3598571480630</t>
  </si>
  <si>
    <t>YT3598571094028</t>
  </si>
  <si>
    <t>YT3598570911388</t>
  </si>
  <si>
    <t>YT3598571480579</t>
  </si>
  <si>
    <t>YT3598570911346</t>
  </si>
  <si>
    <t>YT3598571286445</t>
  </si>
  <si>
    <t>YT3598570911225</t>
  </si>
  <si>
    <t>YT3598570911197</t>
  </si>
  <si>
    <t>YT3598571847143</t>
  </si>
  <si>
    <t>YT3598571481154</t>
  </si>
  <si>
    <t>YT3598571094417</t>
  </si>
  <si>
    <t>YT3598572238915</t>
  </si>
  <si>
    <t>YT3598571651726</t>
  </si>
  <si>
    <t>YT3598572045870</t>
  </si>
  <si>
    <t>YT3598572045849</t>
  </si>
  <si>
    <t>YT3598571651537</t>
  </si>
  <si>
    <t>YT3598571286656</t>
  </si>
  <si>
    <t>YT3598571480748</t>
  </si>
  <si>
    <t>YT3598571480715</t>
  </si>
  <si>
    <t>YT3598572045650</t>
  </si>
  <si>
    <t>YT3598571651380</t>
  </si>
  <si>
    <t>YT3598571286568</t>
  </si>
  <si>
    <t>YT3598570911377</t>
  </si>
  <si>
    <t>YT3598571651283</t>
  </si>
  <si>
    <t>YT3598570911294</t>
  </si>
  <si>
    <t>YT3598572238416</t>
  </si>
  <si>
    <t>YT3598572045416</t>
  </si>
  <si>
    <t>YT3598571093847</t>
  </si>
  <si>
    <t>YT3598571286252</t>
  </si>
  <si>
    <t>YT3598571094556</t>
  </si>
  <si>
    <t>YT3598571847853</t>
  </si>
  <si>
    <t>YT3598571094426</t>
  </si>
  <si>
    <t>YT3598572045948</t>
  </si>
  <si>
    <t>YT3598571651717</t>
  </si>
  <si>
    <t>YT3598571847675</t>
  </si>
  <si>
    <t>YT3598571286746</t>
  </si>
  <si>
    <t>YT3598571651494</t>
  </si>
  <si>
    <t>YT3598570911489</t>
  </si>
  <si>
    <t>YT3598572045690</t>
  </si>
  <si>
    <t>YT3598571094105</t>
  </si>
  <si>
    <t>YT3598571847435</t>
  </si>
  <si>
    <t>YT3598571651353</t>
  </si>
  <si>
    <t>YT3598572045555</t>
  </si>
  <si>
    <t>YT3598570911368</t>
  </si>
  <si>
    <t>YT3598571847307</t>
  </si>
  <si>
    <t>YT3598572238454</t>
  </si>
  <si>
    <t>YT3598572045409</t>
  </si>
  <si>
    <t>YT3598571286292</t>
  </si>
  <si>
    <t>YT3598571651166</t>
  </si>
  <si>
    <t>YT3598570911913</t>
  </si>
  <si>
    <t>YT3598571847808</t>
  </si>
  <si>
    <t>YT3598571651762</t>
  </si>
  <si>
    <t>YT3598570911735</t>
  </si>
  <si>
    <t>YT3598570911685</t>
  </si>
  <si>
    <t>YT3598571480869</t>
  </si>
  <si>
    <t>YT3598571094228</t>
  </si>
  <si>
    <t>YT3598572238726</t>
  </si>
  <si>
    <t>YT3598571480753</t>
  </si>
  <si>
    <t>YT3598571651425</t>
  </si>
  <si>
    <t>YT3598572238605</t>
  </si>
  <si>
    <t>YT3598571480629</t>
  </si>
  <si>
    <t>YT3598570911391</t>
  </si>
  <si>
    <t>YT3598571286506</t>
  </si>
  <si>
    <t>YT3598572045494</t>
  </si>
  <si>
    <t>YT3598571847271</t>
  </si>
  <si>
    <t>YT3598572045454</t>
  </si>
  <si>
    <t>YT3598572045425</t>
  </si>
  <si>
    <t>YT3598571480492</t>
  </si>
  <si>
    <t>YT3598571093823</t>
  </si>
  <si>
    <t>YT3598571651836</t>
  </si>
  <si>
    <t>YT3598571651771</t>
  </si>
  <si>
    <t>YT3598571480988</t>
  </si>
  <si>
    <t>YT3598571847749</t>
  </si>
  <si>
    <t>YT3598571651621</t>
  </si>
  <si>
    <t>YT3598571094242</t>
  </si>
  <si>
    <t>YT3598572045740</t>
  </si>
  <si>
    <t>YT3598571847561</t>
  </si>
  <si>
    <t>YT3598571480724</t>
  </si>
  <si>
    <t>YT3598571847525</t>
  </si>
  <si>
    <t>YT3598572045645</t>
  </si>
  <si>
    <t>YT7499694401116</t>
  </si>
  <si>
    <t>YT3598547671200</t>
  </si>
  <si>
    <t>YT1892207360096</t>
  </si>
  <si>
    <t>YT3598545844567</t>
  </si>
  <si>
    <t>YT3416135418704</t>
  </si>
  <si>
    <t>YT7499684321909</t>
  </si>
  <si>
    <t>YT7499684321886</t>
  </si>
  <si>
    <t>YT7499682536864</t>
  </si>
  <si>
    <t>YT1892196194605</t>
  </si>
  <si>
    <t>YT1892196194595</t>
  </si>
  <si>
    <t>YT1892196194582</t>
  </si>
  <si>
    <t>YT1892196194571</t>
  </si>
  <si>
    <t>YT1892196194562</t>
  </si>
  <si>
    <t>YT1892196694288</t>
  </si>
  <si>
    <t>YT1892196694277</t>
  </si>
  <si>
    <t>YT1892196694268</t>
  </si>
  <si>
    <t>YT1892196694251</t>
  </si>
  <si>
    <t>YT1892196694246</t>
  </si>
  <si>
    <t>YT1892196694233</t>
  </si>
  <si>
    <t>YT1892196694213</t>
  </si>
  <si>
    <t>YT1892196694194</t>
  </si>
  <si>
    <t>YT1892197141309</t>
  </si>
  <si>
    <t>YT1892197141297</t>
  </si>
  <si>
    <t>YT1892197141284</t>
  </si>
  <si>
    <t>YT1892197141273</t>
  </si>
  <si>
    <t>YT1892197141264</t>
  </si>
  <si>
    <t>YT1892197141257</t>
  </si>
  <si>
    <t>YT1892197141242</t>
  </si>
  <si>
    <t>YT1892197141239</t>
  </si>
  <si>
    <t>YT1892197141228</t>
  </si>
  <si>
    <t>YT1892198201042</t>
  </si>
  <si>
    <t>YT1892198201039</t>
  </si>
  <si>
    <t>YT1892198201028</t>
  </si>
  <si>
    <t>YT1892198201019</t>
  </si>
  <si>
    <t>YT1892198201002</t>
  </si>
  <si>
    <t>YT1892198200997</t>
  </si>
  <si>
    <t>YT1892198200984</t>
  </si>
  <si>
    <t>YT1892198200973</t>
  </si>
  <si>
    <t>YT1892198200964</t>
  </si>
  <si>
    <t>YT1892198200957</t>
  </si>
  <si>
    <t>YT1892197364683</t>
  </si>
  <si>
    <t>YT1892197364672</t>
  </si>
  <si>
    <t>YT1892197364663</t>
  </si>
  <si>
    <t>YT1892197364656</t>
  </si>
  <si>
    <t>YT3598546013465</t>
  </si>
  <si>
    <t>YT1892197141219</t>
  </si>
  <si>
    <t>YT3598546205239</t>
  </si>
  <si>
    <t>YT3598546403822</t>
  </si>
  <si>
    <t>YT3598545844512</t>
  </si>
  <si>
    <t>YT3598545844505</t>
  </si>
  <si>
    <t>YT3598546403697</t>
  </si>
  <si>
    <t>YT3598545273578</t>
  </si>
  <si>
    <t>YT3598545844358</t>
  </si>
  <si>
    <t>YT3416121815508</t>
  </si>
  <si>
    <t>YT3416121814091</t>
  </si>
  <si>
    <t>YT3416121812657</t>
  </si>
  <si>
    <t>YT3416121810912</t>
  </si>
  <si>
    <t>YT3416121810136</t>
  </si>
  <si>
    <t>YT3416121809170</t>
  </si>
  <si>
    <t>YT3413060869988</t>
  </si>
  <si>
    <t>YT3413060869535</t>
  </si>
  <si>
    <t>YT3416121807611</t>
  </si>
  <si>
    <t>YT3416121806681</t>
  </si>
  <si>
    <t>YT3413060868422</t>
  </si>
  <si>
    <t>YT3413060867971</t>
  </si>
  <si>
    <t>YT3416121916698</t>
  </si>
  <si>
    <t>YT3416121820786</t>
  </si>
  <si>
    <t>YT3416121819913</t>
  </si>
  <si>
    <t>YT3416121819313</t>
  </si>
  <si>
    <t>YT3416121818657</t>
  </si>
  <si>
    <t>YT3416121817900</t>
  </si>
  <si>
    <t>YT3416121817339</t>
  </si>
  <si>
    <t>YT3416121816738</t>
  </si>
  <si>
    <t>YT3416121815564</t>
  </si>
  <si>
    <t>YT3416121814336</t>
  </si>
  <si>
    <t>YT3416121813258</t>
  </si>
  <si>
    <t>YT3413060871097</t>
  </si>
  <si>
    <t>YT3416121810288</t>
  </si>
  <si>
    <t>YT3416121809264</t>
  </si>
  <si>
    <t>YT3413060869861</t>
  </si>
  <si>
    <t>YT3413060869506</t>
  </si>
  <si>
    <t>YT3416121807495</t>
  </si>
  <si>
    <t>YT3416121806412</t>
  </si>
  <si>
    <t>YT3416121805606</t>
  </si>
  <si>
    <t>YT3416121804731</t>
  </si>
  <si>
    <t>YT3416121916571</t>
  </si>
  <si>
    <t>YT3413060875710</t>
  </si>
  <si>
    <t>YT3413060875291</t>
  </si>
  <si>
    <t>YT3416121819528</t>
  </si>
  <si>
    <t>YT3416121818897</t>
  </si>
  <si>
    <t>YT3416121818082</t>
  </si>
  <si>
    <t>YT3416121817456</t>
  </si>
  <si>
    <t>YT3416121816790</t>
  </si>
  <si>
    <t>YT3413060872863</t>
  </si>
  <si>
    <t>YT3416121814510</t>
  </si>
  <si>
    <t>YT3413060872054</t>
  </si>
  <si>
    <t>YT3416121811274</t>
  </si>
  <si>
    <t>YT3416121810347</t>
  </si>
  <si>
    <t>YT3416121809536</t>
  </si>
  <si>
    <t>YT3416121808784</t>
  </si>
  <si>
    <t>YT3413060869685</t>
  </si>
  <si>
    <t>YT3416121807859</t>
  </si>
  <si>
    <t>YT3416121806652</t>
  </si>
  <si>
    <t>YT3416121805785</t>
  </si>
  <si>
    <t>YT3413060867913</t>
  </si>
  <si>
    <t>YT3413060924223</t>
  </si>
  <si>
    <t>YT3413060875745</t>
  </si>
  <si>
    <t>YT3416121820366</t>
  </si>
  <si>
    <t>YT3416121819588</t>
  </si>
  <si>
    <t>YT3416121818950</t>
  </si>
  <si>
    <t>YT3413060874212</t>
  </si>
  <si>
    <t>YT3416121817249</t>
  </si>
  <si>
    <t>YT3416121816343</t>
  </si>
  <si>
    <t>YT3416121815209</t>
  </si>
  <si>
    <t>YT3416121813768</t>
  </si>
  <si>
    <t>YT3413060871729</t>
  </si>
  <si>
    <t>YT3416121811005</t>
  </si>
  <si>
    <t>YT3413060870678</t>
  </si>
  <si>
    <t>YT3416121808964</t>
  </si>
  <si>
    <t>YT3416121808511</t>
  </si>
  <si>
    <t>YT3416121807949</t>
  </si>
  <si>
    <t>YT3416121807372</t>
  </si>
  <si>
    <t>YT3416121806294</t>
  </si>
  <si>
    <t>YT3416121805570</t>
  </si>
  <si>
    <t>YT3416121804885</t>
  </si>
  <si>
    <t>YT3416121916151</t>
  </si>
  <si>
    <t>YT3413060875419</t>
  </si>
  <si>
    <t>YT3416121820003</t>
  </si>
  <si>
    <t>YT3416121819137</t>
  </si>
  <si>
    <t>YT3416121818299</t>
  </si>
  <si>
    <t>YT3413060874001</t>
  </si>
  <si>
    <t>YT3416121816822</t>
  </si>
  <si>
    <t>YT3416121815920</t>
  </si>
  <si>
    <t>YT3416121814998</t>
  </si>
  <si>
    <t>YT3416121813557</t>
  </si>
  <si>
    <t>YT3416121811638</t>
  </si>
  <si>
    <t>YT3413060870795</t>
  </si>
  <si>
    <t>YT3416121809950</t>
  </si>
  <si>
    <t>YT3413060870199</t>
  </si>
  <si>
    <t>YT3416121808605</t>
  </si>
  <si>
    <t>YT3413060869562</t>
  </si>
  <si>
    <t>YT3416121807433</t>
  </si>
  <si>
    <t>YT3416121806384</t>
  </si>
  <si>
    <t>YT3413060868307</t>
  </si>
  <si>
    <t>YT3416121804825</t>
  </si>
  <si>
    <t>YT3416121915910</t>
  </si>
  <si>
    <t>YT3416121821118</t>
  </si>
  <si>
    <t>YT3413060875149</t>
  </si>
  <si>
    <t>YT3416121819348</t>
  </si>
  <si>
    <t>YT3413060874399</t>
  </si>
  <si>
    <t>YT3416121817726</t>
  </si>
  <si>
    <t>YT3416121817180</t>
  </si>
  <si>
    <t>YT3416121816224</t>
  </si>
  <si>
    <t>YT3416121815148</t>
  </si>
  <si>
    <t>YT3416121813467</t>
  </si>
  <si>
    <t>YT3416121811540</t>
  </si>
  <si>
    <t>YT3598527754426</t>
  </si>
  <si>
    <t>YT3598529066189</t>
  </si>
  <si>
    <t>YT3598529066648</t>
  </si>
  <si>
    <t>YT3598527929895</t>
  </si>
  <si>
    <t>YT3598527754741</t>
  </si>
  <si>
    <t>YT3598529066529</t>
  </si>
  <si>
    <t>YT3598528493184</t>
  </si>
  <si>
    <t>YT3598527929718</t>
  </si>
  <si>
    <t>YT3598528320480</t>
  </si>
  <si>
    <t>YT3598527754596</t>
  </si>
  <si>
    <t>YT3598528132292</t>
  </si>
  <si>
    <t>YT3598528683684</t>
  </si>
  <si>
    <t>YT3598528683664</t>
  </si>
  <si>
    <t>YT3598529066356</t>
  </si>
  <si>
    <t>YT3598528683619</t>
  </si>
  <si>
    <t>YT3598529066286</t>
  </si>
  <si>
    <t>YT3598528876541</t>
  </si>
  <si>
    <t>YT3598528320295</t>
  </si>
  <si>
    <t>YT3598527754471</t>
  </si>
  <si>
    <t>YT3598528876400</t>
  </si>
  <si>
    <t>YT3598528132171</t>
  </si>
  <si>
    <t>YT3598528320185</t>
  </si>
  <si>
    <t>YT3598528332089</t>
  </si>
  <si>
    <t>YT3598528888496</t>
  </si>
  <si>
    <t>YT3598527766379</t>
  </si>
  <si>
    <t>YT3598528888395</t>
  </si>
  <si>
    <t>YT3598527941053</t>
  </si>
  <si>
    <t>YT3598527940993</t>
  </si>
  <si>
    <t>YT3598528504354</t>
  </si>
  <si>
    <t>YT3598528888151</t>
  </si>
  <si>
    <t>YT3598528331789</t>
  </si>
  <si>
    <t>YT3598528504187</t>
  </si>
  <si>
    <t>YT3598528504132</t>
  </si>
  <si>
    <t>YT3598528888003</t>
  </si>
  <si>
    <t>YT3598528695933</t>
  </si>
  <si>
    <t>YT3598527940612</t>
  </si>
  <si>
    <t>YT3598528870103</t>
  </si>
  <si>
    <t>YT3598528676925</t>
  </si>
  <si>
    <t>YT3598528125599</t>
  </si>
  <si>
    <t>YT3598528125520</t>
  </si>
  <si>
    <t>YT3598528486726</t>
  </si>
  <si>
    <t>YT3598528869910</t>
  </si>
  <si>
    <t>YT3598528869866</t>
  </si>
  <si>
    <t>YT3598529059835</t>
  </si>
  <si>
    <t>YT3598529059794</t>
  </si>
  <si>
    <t>YT3598528677416</t>
  </si>
  <si>
    <t>YT3598528487314</t>
  </si>
  <si>
    <t>YT3598528870620</t>
  </si>
  <si>
    <t>YT3598529059749</t>
  </si>
  <si>
    <t>YT3598528314083</t>
  </si>
  <si>
    <t>YT3598528314027</t>
  </si>
  <si>
    <t>YT1892106095765</t>
  </si>
  <si>
    <t>YT1892106095758</t>
  </si>
  <si>
    <t>YT1892106095743</t>
  </si>
  <si>
    <t>YT1892107562077</t>
  </si>
  <si>
    <t>YT1892107562068</t>
  </si>
  <si>
    <t>YT1892107562051</t>
  </si>
  <si>
    <t>YT1892107562046</t>
  </si>
  <si>
    <t>YT1892107562033</t>
  </si>
  <si>
    <t>YT1892107562022</t>
  </si>
  <si>
    <t>YT1892106860163</t>
  </si>
  <si>
    <t>YT1892106860156</t>
  </si>
  <si>
    <t>YT1892106860141</t>
  </si>
  <si>
    <t>YT1892106860138</t>
  </si>
  <si>
    <t>YT1892106860127</t>
  </si>
  <si>
    <t>YT1892106860118</t>
  </si>
  <si>
    <t>YT1892106082349</t>
  </si>
  <si>
    <t>YT1892106082336</t>
  </si>
  <si>
    <t>YT1892106082325</t>
  </si>
  <si>
    <t>YT1892106082316</t>
  </si>
  <si>
    <t>YT1892107039090</t>
  </si>
  <si>
    <t>YT1892107039087</t>
  </si>
  <si>
    <t>YT1892107039076</t>
  </si>
  <si>
    <t>YT1892107039067</t>
  </si>
  <si>
    <t>YT1892107039050</t>
  </si>
  <si>
    <t>YT1892107039045</t>
  </si>
  <si>
    <t>YT1892107039032</t>
  </si>
  <si>
    <t>YT1892107039021</t>
  </si>
  <si>
    <t>YT1892107039012</t>
  </si>
  <si>
    <t>YT1892107039005</t>
  </si>
  <si>
    <t>YT1892107252978</t>
  </si>
  <si>
    <t>YT1892107252969</t>
  </si>
  <si>
    <t>YT1892107252952</t>
  </si>
  <si>
    <t>YT1892107252947</t>
  </si>
  <si>
    <t>YT1892107252934</t>
  </si>
  <si>
    <t>YT1892107252923</t>
  </si>
  <si>
    <t>YT1892107252914</t>
  </si>
  <si>
    <t>YT1892107252907</t>
  </si>
  <si>
    <t>YT1892107252893</t>
  </si>
  <si>
    <t>YT1892107252880</t>
  </si>
  <si>
    <t>YT1892107335527</t>
  </si>
  <si>
    <t>YT1892107335518</t>
  </si>
  <si>
    <t>YT1892107335501</t>
  </si>
  <si>
    <t>YT1892107335495</t>
  </si>
  <si>
    <t>YT1892107335482</t>
  </si>
  <si>
    <t>YT1892107335471</t>
  </si>
  <si>
    <t>YT1892107335462</t>
  </si>
  <si>
    <t>YT1892107335455</t>
  </si>
  <si>
    <t>YT1892107335440</t>
  </si>
  <si>
    <t>YT1892107335437</t>
  </si>
  <si>
    <t>YT1892106473862</t>
  </si>
  <si>
    <t>YT1892106473855</t>
  </si>
  <si>
    <t>YT1892106473840</t>
  </si>
  <si>
    <t>YT1892106473837</t>
  </si>
  <si>
    <t>YT1892106473826</t>
  </si>
  <si>
    <t>YT1892106473817</t>
  </si>
  <si>
    <t>YT1892106473800</t>
  </si>
  <si>
    <t>YT1892106473796</t>
  </si>
  <si>
    <t>YT1892106473783</t>
  </si>
  <si>
    <t>YT1892106473772</t>
  </si>
  <si>
    <t>YT1892107444085</t>
  </si>
  <si>
    <t>YT1892107444074</t>
  </si>
  <si>
    <t>YT1892107444065</t>
  </si>
  <si>
    <t>YT1892107444058</t>
  </si>
  <si>
    <t>YT1892107444043</t>
  </si>
  <si>
    <t>YT1892107444030</t>
  </si>
  <si>
    <t>YT1892107444029</t>
  </si>
  <si>
    <t>YT1892107444010</t>
  </si>
  <si>
    <t>YT1892107444003</t>
  </si>
  <si>
    <t>YT1892107443992</t>
  </si>
  <si>
    <t>YT1892106638429</t>
  </si>
  <si>
    <t>YT1892106638410</t>
  </si>
  <si>
    <t>YT1892106638403</t>
  </si>
  <si>
    <t>YT1892106638397</t>
  </si>
  <si>
    <t>YT1892106638384</t>
  </si>
  <si>
    <t>YT1892106638373</t>
  </si>
  <si>
    <t>YT1892106638364</t>
  </si>
  <si>
    <t>YT1892106638357</t>
  </si>
  <si>
    <t>YT1892106638342</t>
  </si>
  <si>
    <t>YT1892106638339</t>
  </si>
  <si>
    <t>YT1892107803284</t>
  </si>
  <si>
    <t>YT1892107803273</t>
  </si>
  <si>
    <t>YT1892107803264</t>
  </si>
  <si>
    <t>YT1892107803257</t>
  </si>
  <si>
    <t>YT1892107803242</t>
  </si>
  <si>
    <t>YT1892107803239</t>
  </si>
  <si>
    <t>YT1892107803228</t>
  </si>
  <si>
    <t>YT1892107803219</t>
  </si>
  <si>
    <t>YT1892107803202</t>
  </si>
  <si>
    <t>YT1892107803190</t>
  </si>
  <si>
    <t>YT1892106473961</t>
  </si>
  <si>
    <t>YT1892106473954</t>
  </si>
  <si>
    <t>YT1892106473949</t>
  </si>
  <si>
    <t>YT1892106473936</t>
  </si>
  <si>
    <t>YT1892106473925</t>
  </si>
  <si>
    <t>YT1892106473916</t>
  </si>
  <si>
    <t>YT1892106473909</t>
  </si>
  <si>
    <t>YT1892106473895</t>
  </si>
  <si>
    <t>YT1892106473882</t>
  </si>
  <si>
    <t>YT1892106473871</t>
  </si>
  <si>
    <t>YT1892106393872</t>
  </si>
  <si>
    <t>YT1892106393863</t>
  </si>
  <si>
    <t>YT1892106393856</t>
  </si>
  <si>
    <t>YT1892106393838</t>
  </si>
  <si>
    <t>YT1892106393827</t>
  </si>
  <si>
    <t>YT1892106393818</t>
  </si>
  <si>
    <t>YT1892106393801</t>
  </si>
  <si>
    <t>YT1892106393797</t>
  </si>
  <si>
    <t>YT1892106393784</t>
  </si>
  <si>
    <t>YT1892106740544</t>
  </si>
  <si>
    <t>YT1892106740531</t>
  </si>
  <si>
    <t>YT1892106740520</t>
  </si>
  <si>
    <t>YT1892106740511</t>
  </si>
  <si>
    <t>YT1892106740504</t>
  </si>
  <si>
    <t>YT1892106740498</t>
  </si>
  <si>
    <t>YT1892106740485</t>
  </si>
  <si>
    <t>YT1892106740474</t>
  </si>
  <si>
    <t>YT1892106740465</t>
  </si>
  <si>
    <t>YT1892106740458</t>
  </si>
  <si>
    <t>YT1892106167396</t>
  </si>
  <si>
    <t>YT1892106167383</t>
  </si>
  <si>
    <t>YT1892106167372</t>
  </si>
  <si>
    <t>YT1892106167363</t>
  </si>
  <si>
    <t>YT1892106167356</t>
  </si>
  <si>
    <t>YT1892106167341</t>
  </si>
  <si>
    <t>YT1892106167338</t>
  </si>
  <si>
    <t>YT1892106167327</t>
  </si>
  <si>
    <t>YT1892106167318</t>
  </si>
  <si>
    <t>YT1892106167301</t>
  </si>
  <si>
    <t>YT1892106958626</t>
  </si>
  <si>
    <t>YT1892106958617</t>
  </si>
  <si>
    <t>YT1892106958600</t>
  </si>
  <si>
    <t>YT1892106958590</t>
  </si>
  <si>
    <t>YT1892106958587</t>
  </si>
  <si>
    <t>YT1892106958576</t>
  </si>
  <si>
    <t>YT1892106958567</t>
  </si>
  <si>
    <t>YT1892106958550</t>
  </si>
  <si>
    <t>YT1892106958545</t>
  </si>
  <si>
    <t>YT1892106958532</t>
  </si>
  <si>
    <t>YT1892107252424</t>
  </si>
  <si>
    <t>YT1892107252415</t>
  </si>
  <si>
    <t>YT1892107252408</t>
  </si>
  <si>
    <t>YT1892107252392</t>
  </si>
  <si>
    <t>YT1892107252389</t>
  </si>
  <si>
    <t>YT1892107252378</t>
  </si>
  <si>
    <t>YT1892107252369</t>
  </si>
  <si>
    <t>YT1892107252352</t>
  </si>
  <si>
    <t>YT1892107252347</t>
  </si>
  <si>
    <t>YT1892107252334</t>
  </si>
  <si>
    <t>YT1892107922808</t>
  </si>
  <si>
    <t>YT1892107922794</t>
  </si>
  <si>
    <t>YT1892107922781</t>
  </si>
  <si>
    <t>YT1892107922770</t>
  </si>
  <si>
    <t>YT1892107922761</t>
  </si>
  <si>
    <t>YT1892107922754</t>
  </si>
  <si>
    <t>YT1892107922749</t>
  </si>
  <si>
    <t>YT1892107922736</t>
  </si>
  <si>
    <t>YT1892107922725</t>
  </si>
  <si>
    <t>YT1892107922716</t>
  </si>
  <si>
    <t>YT1892105691740</t>
  </si>
  <si>
    <t>YT1892105691737</t>
  </si>
  <si>
    <t>YT1892105691726</t>
  </si>
  <si>
    <t>YT1892105691717</t>
  </si>
  <si>
    <t>YT1892105691700</t>
  </si>
  <si>
    <t>YT1892105691690</t>
  </si>
  <si>
    <t>YT1892105691687</t>
  </si>
  <si>
    <t>YT1892105691676</t>
  </si>
  <si>
    <t>YT1892105691667</t>
  </si>
  <si>
    <t>YT1892105691650</t>
  </si>
  <si>
    <t>YT7499684321916</t>
  </si>
  <si>
    <t>YT7499862122409</t>
  </si>
  <si>
    <t>YT7499862122483</t>
  </si>
  <si>
    <t>YT7500065928863</t>
  </si>
  <si>
    <t>YT1892196694222</t>
  </si>
  <si>
    <t>YT1892196694206</t>
  </si>
  <si>
    <t>YT3598545457754</t>
  </si>
  <si>
    <t>YT3598546403778</t>
  </si>
  <si>
    <t>YT3598546013108</t>
  </si>
  <si>
    <t>YT3598545656085</t>
  </si>
  <si>
    <t>YT3598546403976</t>
  </si>
  <si>
    <t>YT3598546205167</t>
  </si>
  <si>
    <t>YT3598546012972</t>
  </si>
  <si>
    <t>YT7499683848326</t>
  </si>
  <si>
    <t>YT7499862122472</t>
  </si>
  <si>
    <t>YT7500065928904</t>
  </si>
  <si>
    <t>2元包0.3公斤，2.3元包0.5公斤，每超0.1公斤加0.15元，</t>
  </si>
  <si>
    <t>气泡膜加0.15元一个（含贴胶带），</t>
  </si>
  <si>
    <t>一个包裹含三个SKU（品类超3款），超一个加收0.1元，</t>
  </si>
  <si>
    <t>新疆西藏17元，0.5KG，每增加0.1公斤加2元</t>
  </si>
  <si>
    <t>报价含贴标不含纸箱</t>
  </si>
  <si>
    <t>发中通+0.3</t>
  </si>
  <si>
    <t>运费报价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</si>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</sst>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30005;&#21830;\&#21644;&#29855;\&#22869;&#33805;\&#20840;&#27427;1&#26376;\10&#26376;&#28844;&#39532;&#36134;&#21333;11.27&#24050;&#26356;&#26032;.xlsx" TargetMode="External"/><Relationship Id="rId1" Type="http://schemas.openxmlformats.org/officeDocument/2006/relationships/externalLinkPath" Target="file:///E:\&#30005;&#21830;\&#21644;&#29855;\&#22869;&#33805;\&#20840;&#27427;1&#26376;\10&#26376;&#28844;&#39532;&#36134;&#21333;11.27&#24050;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"/>
      <sheetName val="明细"/>
      <sheetName val="报价"/>
      <sheetName val="顺丰"/>
      <sheetName val="线下出库"/>
      <sheetName val="退货"/>
      <sheetName val="Sheet4"/>
      <sheetName val="3KG报价"/>
      <sheetName val="涨价通知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炬马云仓快递报价表（3公斤以上）</v>
          </cell>
        </row>
        <row r="2">
          <cell r="A2" t="str">
            <v>省份</v>
          </cell>
          <cell r="B2" t="str">
            <v>面单费</v>
          </cell>
          <cell r="C2" t="str">
            <v>每公斤续重</v>
          </cell>
        </row>
        <row r="3">
          <cell r="A3" t="str">
            <v>广东省</v>
          </cell>
          <cell r="B3">
            <v>3.5</v>
          </cell>
          <cell r="C3">
            <v>0.9</v>
          </cell>
        </row>
        <row r="4">
          <cell r="A4" t="str">
            <v>安徽省</v>
          </cell>
          <cell r="B4">
            <v>3.5</v>
          </cell>
          <cell r="C4">
            <v>2</v>
          </cell>
        </row>
        <row r="5">
          <cell r="A5" t="str">
            <v>福建省</v>
          </cell>
          <cell r="B5">
            <v>3.5</v>
          </cell>
          <cell r="C5">
            <v>2</v>
          </cell>
        </row>
        <row r="6">
          <cell r="A6" t="str">
            <v>广西壮族自治区</v>
          </cell>
          <cell r="B6">
            <v>3.5</v>
          </cell>
          <cell r="C6">
            <v>2</v>
          </cell>
        </row>
        <row r="7">
          <cell r="A7" t="str">
            <v>湖北省</v>
          </cell>
          <cell r="B7">
            <v>3.5</v>
          </cell>
          <cell r="C7">
            <v>2</v>
          </cell>
        </row>
        <row r="8">
          <cell r="A8" t="str">
            <v>湖南省</v>
          </cell>
          <cell r="B8">
            <v>3.5</v>
          </cell>
          <cell r="C8">
            <v>2</v>
          </cell>
        </row>
        <row r="9">
          <cell r="A9" t="str">
            <v>江西省</v>
          </cell>
          <cell r="B9">
            <v>3.5</v>
          </cell>
          <cell r="C9">
            <v>2</v>
          </cell>
        </row>
        <row r="10">
          <cell r="A10" t="str">
            <v>江苏省</v>
          </cell>
          <cell r="B10">
            <v>3.5</v>
          </cell>
          <cell r="C10">
            <v>2</v>
          </cell>
        </row>
        <row r="11">
          <cell r="A11" t="str">
            <v>上海市</v>
          </cell>
          <cell r="B11">
            <v>3.5</v>
          </cell>
          <cell r="C11">
            <v>2</v>
          </cell>
        </row>
        <row r="12">
          <cell r="A12" t="str">
            <v>浙江省</v>
          </cell>
          <cell r="B12">
            <v>3.5</v>
          </cell>
          <cell r="C12">
            <v>2</v>
          </cell>
        </row>
        <row r="13">
          <cell r="A13" t="str">
            <v>北京市</v>
          </cell>
          <cell r="B13">
            <v>3.5</v>
          </cell>
          <cell r="C13">
            <v>2.5</v>
          </cell>
        </row>
        <row r="14">
          <cell r="A14" t="str">
            <v>贵州省</v>
          </cell>
          <cell r="B14">
            <v>3.5</v>
          </cell>
          <cell r="C14">
            <v>2.5</v>
          </cell>
        </row>
        <row r="15">
          <cell r="A15" t="str">
            <v>海南省</v>
          </cell>
          <cell r="B15">
            <v>3.5</v>
          </cell>
          <cell r="C15">
            <v>2.5</v>
          </cell>
        </row>
        <row r="16">
          <cell r="A16" t="str">
            <v>河北省</v>
          </cell>
          <cell r="B16">
            <v>3.5</v>
          </cell>
          <cell r="C16">
            <v>2.5</v>
          </cell>
        </row>
        <row r="17">
          <cell r="A17" t="str">
            <v>河南省</v>
          </cell>
          <cell r="B17">
            <v>3.5</v>
          </cell>
          <cell r="C17">
            <v>2.5</v>
          </cell>
        </row>
        <row r="18">
          <cell r="A18" t="str">
            <v>山东省</v>
          </cell>
          <cell r="B18">
            <v>3.5</v>
          </cell>
          <cell r="C18">
            <v>2.5</v>
          </cell>
        </row>
        <row r="19">
          <cell r="A19" t="str">
            <v>四川省</v>
          </cell>
          <cell r="B19">
            <v>3.5</v>
          </cell>
          <cell r="C19">
            <v>2.5</v>
          </cell>
        </row>
        <row r="20">
          <cell r="A20" t="str">
            <v>天津市</v>
          </cell>
          <cell r="B20">
            <v>3.5</v>
          </cell>
          <cell r="C20">
            <v>2.5</v>
          </cell>
        </row>
        <row r="21">
          <cell r="A21" t="str">
            <v>云南省</v>
          </cell>
          <cell r="B21">
            <v>3.5</v>
          </cell>
          <cell r="C21">
            <v>2.5</v>
          </cell>
        </row>
        <row r="22">
          <cell r="A22" t="str">
            <v>重庆市</v>
          </cell>
          <cell r="B22">
            <v>3.5</v>
          </cell>
          <cell r="C22">
            <v>2.5</v>
          </cell>
        </row>
        <row r="23">
          <cell r="A23" t="str">
            <v>山西省</v>
          </cell>
          <cell r="B23">
            <v>3.5</v>
          </cell>
          <cell r="C23">
            <v>2.5</v>
          </cell>
        </row>
        <row r="24">
          <cell r="A24" t="str">
            <v>陕西省</v>
          </cell>
          <cell r="B24">
            <v>3.5</v>
          </cell>
          <cell r="C24">
            <v>3.5</v>
          </cell>
        </row>
        <row r="25">
          <cell r="A25" t="str">
            <v>黑龙江省</v>
          </cell>
          <cell r="B25">
            <v>3.5</v>
          </cell>
          <cell r="C25">
            <v>3.5</v>
          </cell>
        </row>
        <row r="26">
          <cell r="A26" t="str">
            <v>吉林省</v>
          </cell>
          <cell r="B26">
            <v>3.5</v>
          </cell>
          <cell r="C26">
            <v>3.5</v>
          </cell>
        </row>
        <row r="27">
          <cell r="A27" t="str">
            <v>辽宁省</v>
          </cell>
          <cell r="B27">
            <v>3.5</v>
          </cell>
          <cell r="C27">
            <v>3.5</v>
          </cell>
        </row>
        <row r="28">
          <cell r="A28" t="str">
            <v>甘肃省</v>
          </cell>
          <cell r="B28">
            <v>3.5</v>
          </cell>
          <cell r="C28">
            <v>6</v>
          </cell>
        </row>
        <row r="29">
          <cell r="A29" t="str">
            <v>内蒙古自治区</v>
          </cell>
          <cell r="B29">
            <v>3.5</v>
          </cell>
          <cell r="C29">
            <v>6</v>
          </cell>
        </row>
        <row r="30">
          <cell r="A30" t="str">
            <v>宁夏回族自治区</v>
          </cell>
          <cell r="B30">
            <v>3.5</v>
          </cell>
          <cell r="C30">
            <v>6</v>
          </cell>
        </row>
        <row r="31">
          <cell r="A31" t="str">
            <v>青海省</v>
          </cell>
          <cell r="B31">
            <v>3.5</v>
          </cell>
          <cell r="C31">
            <v>6</v>
          </cell>
        </row>
        <row r="32">
          <cell r="A32" t="str">
            <v>新疆维吾尔自治区</v>
          </cell>
          <cell r="B32" t="str">
            <v>12（1kg）</v>
          </cell>
          <cell r="C32">
            <v>12</v>
          </cell>
        </row>
        <row r="33">
          <cell r="A33" t="str">
            <v>西藏自治区</v>
          </cell>
          <cell r="B33" t="str">
            <v>12（1kg）</v>
          </cell>
          <cell r="C33">
            <v>12</v>
          </cell>
        </row>
        <row r="34">
          <cell r="A34" t="str">
            <v>备注：一、以上报价含快递费、操作费、填充物、纸箱，不含税金，如需开票另补5个点。</v>
          </cell>
        </row>
        <row r="35">
          <cell r="A35" t="str">
            <v>二、以上报价提供客服，售后服务，及系统追踪。</v>
          </cell>
        </row>
        <row r="36">
          <cell r="A36" t="str">
            <v>三、如有市场行情波动、行业价格及国家政策调整，以上价格做相应调整。</v>
          </cell>
        </row>
        <row r="37">
          <cell r="A37" t="str">
            <v>四、计泡比例1:6000。</v>
          </cell>
        </row>
        <row r="38">
          <cell r="A38" t="str">
            <v>五、发中通的件如需加气泡膜另加收0.2/单</v>
          </cell>
        </row>
        <row r="39">
          <cell r="A39" t="str">
            <v>六、此报价液体、易碎、生鲜易腐类包丢不包损。</v>
          </cell>
        </row>
        <row r="40">
          <cell r="A40" t="str">
            <v>七、特殊订制包装服务（如气柱袋，葫芦袋等，按0.2元/个收费）。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4506-51DF-4E51-8074-27E5A5925D7D}">
  <dimension ref="A1:X10197"/>
  <sheetViews>
    <sheetView tabSelected="1" zoomScale="90" zoomScaleNormal="90" workbookViewId="0">
      <selection activeCell="I12" sqref="I12"/>
    </sheetView>
  </sheetViews>
  <sheetFormatPr defaultColWidth="9" defaultRowHeight="14" x14ac:dyDescent="0.25"/>
  <cols>
    <col min="1" max="1" width="18.6328125" customWidth="1"/>
    <col min="6" max="6" width="11.7265625" customWidth="1"/>
    <col min="7" max="7" width="28.7265625" customWidth="1"/>
    <col min="15" max="15" width="9" style="10"/>
    <col min="16" max="16" width="9" style="9"/>
    <col min="17" max="21" width="9" style="12"/>
    <col min="23" max="23" width="13.6328125" customWidth="1"/>
    <col min="26" max="28" width="11.36328125" customWidth="1"/>
  </cols>
  <sheetData>
    <row r="1" spans="1:24" x14ac:dyDescent="0.25">
      <c r="A1" s="1" t="str">
        <f>"货主"</f>
        <v>货主</v>
      </c>
      <c r="B1" s="1" t="str">
        <f>"订单编号"</f>
        <v>订单编号</v>
      </c>
      <c r="C1" s="1" t="str">
        <f>"仓储单号"</f>
        <v>仓储单号</v>
      </c>
      <c r="D1" s="1" t="str">
        <f>"出库单号"</f>
        <v>出库单号</v>
      </c>
      <c r="E1" s="1" t="str">
        <f>"原始单号"</f>
        <v>原始单号</v>
      </c>
      <c r="F1" s="1" t="str">
        <f>"仓库"</f>
        <v>仓库</v>
      </c>
      <c r="G1" s="2" t="s">
        <v>0</v>
      </c>
      <c r="H1" s="1" t="str">
        <f>"订单类型"</f>
        <v>订单类型</v>
      </c>
      <c r="I1" s="1" t="str">
        <f>"状态"</f>
        <v>状态</v>
      </c>
      <c r="J1" s="1" t="str">
        <f>"货品数量"</f>
        <v>货品数量</v>
      </c>
      <c r="K1" s="1" t="s">
        <v>1</v>
      </c>
      <c r="L1" s="1"/>
      <c r="M1" s="1" t="str">
        <f>"省市区"</f>
        <v>省市区</v>
      </c>
      <c r="N1" s="1" t="str">
        <f>"物流公司"</f>
        <v>物流公司</v>
      </c>
      <c r="O1" s="3" t="s">
        <v>2</v>
      </c>
      <c r="P1" s="4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3" t="s">
        <v>5690</v>
      </c>
      <c r="W1" t="s">
        <v>9</v>
      </c>
      <c r="X1" s="1" t="s">
        <v>10</v>
      </c>
    </row>
    <row r="2" spans="1:24" x14ac:dyDescent="0.25">
      <c r="A2" s="1" t="str">
        <f t="shared" ref="A2:A65" si="0">"卡卡杜-凤凰仓"</f>
        <v>卡卡杜-凤凰仓</v>
      </c>
      <c r="B2" s="1" t="str">
        <f>"CK2024103112423"</f>
        <v>CK2024103112423</v>
      </c>
      <c r="C2" s="1" t="str">
        <f>"DD2024103137550"</f>
        <v>DD2024103137550</v>
      </c>
      <c r="D2" s="1" t="str">
        <f>"CK2024103137275"</f>
        <v>CK2024103137275</v>
      </c>
      <c r="E2" s="1" t="str">
        <f>"6935390262713980078"</f>
        <v>6935390262713980078</v>
      </c>
      <c r="F2" s="1" t="str">
        <f t="shared" ref="F2:F65" si="1">"花都四部-凤凰仓"</f>
        <v>花都四部-凤凰仓</v>
      </c>
      <c r="G2" s="1" t="str">
        <f>"卡卡杜个人护理店（抖店）"</f>
        <v>卡卡杜个人护理店（抖店）</v>
      </c>
      <c r="H2" s="1" t="str">
        <f t="shared" ref="H2:H65" si="2">"正常订单"</f>
        <v>正常订单</v>
      </c>
      <c r="I2" s="1" t="str">
        <f t="shared" ref="I2:I65" si="3">"已发货"</f>
        <v>已发货</v>
      </c>
      <c r="J2" s="1" t="str">
        <f>"3"</f>
        <v>3</v>
      </c>
      <c r="K2" s="1">
        <v>2</v>
      </c>
      <c r="L2" s="1" t="s">
        <v>11</v>
      </c>
      <c r="M2" s="1" t="str">
        <f>"上海 上海市 松江区 车墩镇"</f>
        <v>上海 上海市 松江区 车墩镇</v>
      </c>
      <c r="N2" s="1" t="str">
        <f>"凡华云仓-城南圆通-抖音"</f>
        <v>凡华云仓-城南圆通-抖音</v>
      </c>
      <c r="O2" s="5" t="s">
        <v>12</v>
      </c>
      <c r="P2" s="6">
        <v>0.35</v>
      </c>
      <c r="Q2" s="11">
        <v>2.2999999999999998</v>
      </c>
      <c r="R2" s="11"/>
      <c r="S2" s="11"/>
      <c r="T2" s="11"/>
      <c r="U2" s="11">
        <f>T2+S2+R2+Q2</f>
        <v>2.2999999999999998</v>
      </c>
      <c r="W2">
        <v>2.5</v>
      </c>
      <c r="X2" s="1" t="s">
        <v>11</v>
      </c>
    </row>
    <row r="3" spans="1:24" x14ac:dyDescent="0.25">
      <c r="A3" s="1" t="str">
        <f t="shared" si="0"/>
        <v>卡卡杜-凤凰仓</v>
      </c>
      <c r="B3" s="1" t="str">
        <f>"CK2024103112252"</f>
        <v>CK2024103112252</v>
      </c>
      <c r="C3" s="1" t="str">
        <f>"DD2024103133093"</f>
        <v>DD2024103133093</v>
      </c>
      <c r="D3" s="1" t="str">
        <f>"CK2024103132955"</f>
        <v>CK2024103132955</v>
      </c>
      <c r="E3" s="1" t="str">
        <f>"KKD20241031YP009"</f>
        <v>KKD20241031YP009</v>
      </c>
      <c r="F3" s="1" t="str">
        <f t="shared" si="1"/>
        <v>花都四部-凤凰仓</v>
      </c>
      <c r="G3" s="1" t="str">
        <f t="shared" ref="G3:G11" si="4">"卡卡杜全欣样品"</f>
        <v>卡卡杜全欣样品</v>
      </c>
      <c r="H3" s="1" t="str">
        <f t="shared" si="2"/>
        <v>正常订单</v>
      </c>
      <c r="I3" s="1" t="str">
        <f t="shared" si="3"/>
        <v>已发货</v>
      </c>
      <c r="J3" s="1" t="str">
        <f>"15"</f>
        <v>15</v>
      </c>
      <c r="K3" s="1">
        <v>10</v>
      </c>
      <c r="L3" s="1" t="s">
        <v>13</v>
      </c>
      <c r="M3" s="1" t="str">
        <f>"江苏省 徐州市 邳州市 "</f>
        <v xml:space="preserve">江苏省 徐州市 邳州市 </v>
      </c>
      <c r="N3" s="1" t="str">
        <f t="shared" ref="N3:N11" si="5">"凡华云仓-城南圆通-淘宝"</f>
        <v>凡华云仓-城南圆通-淘宝</v>
      </c>
      <c r="O3" s="3" t="s">
        <v>14</v>
      </c>
      <c r="P3" s="6">
        <v>1.62</v>
      </c>
      <c r="Q3" s="11">
        <f t="shared" ref="Q3:Q6" si="6">CEILING(P3-0.5,0.1)*10*0.15+2.3</f>
        <v>4.0999999999999996</v>
      </c>
      <c r="R3" s="11">
        <f t="shared" ref="R3:R5" si="7">(K3-3)*0.1</f>
        <v>0.70000000000000007</v>
      </c>
      <c r="S3" s="11">
        <v>0.15</v>
      </c>
      <c r="T3" s="11"/>
      <c r="U3" s="11">
        <f t="shared" ref="U3:U66" si="8">T3+S3+R3+Q3</f>
        <v>4.9499999999999993</v>
      </c>
      <c r="V3" t="s">
        <v>15</v>
      </c>
      <c r="W3">
        <v>4.95</v>
      </c>
      <c r="X3" s="1" t="s">
        <v>13</v>
      </c>
    </row>
    <row r="4" spans="1:24" x14ac:dyDescent="0.25">
      <c r="A4" s="1" t="str">
        <f t="shared" si="0"/>
        <v>卡卡杜-凤凰仓</v>
      </c>
      <c r="B4" s="1" t="str">
        <f>"CK2024103112251"</f>
        <v>CK2024103112251</v>
      </c>
      <c r="C4" s="1" t="str">
        <f>"DD2024103133092"</f>
        <v>DD2024103133092</v>
      </c>
      <c r="D4" s="1" t="str">
        <f>"CK2024103132954"</f>
        <v>CK2024103132954</v>
      </c>
      <c r="E4" s="1" t="str">
        <f>"KKD20241031YP008"</f>
        <v>KKD20241031YP008</v>
      </c>
      <c r="F4" s="1" t="str">
        <f t="shared" si="1"/>
        <v>花都四部-凤凰仓</v>
      </c>
      <c r="G4" s="1" t="str">
        <f t="shared" si="4"/>
        <v>卡卡杜全欣样品</v>
      </c>
      <c r="H4" s="1" t="str">
        <f t="shared" si="2"/>
        <v>正常订单</v>
      </c>
      <c r="I4" s="1" t="str">
        <f t="shared" si="3"/>
        <v>已发货</v>
      </c>
      <c r="J4" s="1" t="str">
        <f>"15"</f>
        <v>15</v>
      </c>
      <c r="K4" s="1">
        <v>10</v>
      </c>
      <c r="L4" s="1" t="s">
        <v>16</v>
      </c>
      <c r="M4" s="1" t="str">
        <f>"河北省 邯郸市 邯山区 "</f>
        <v xml:space="preserve">河北省 邯郸市 邯山区 </v>
      </c>
      <c r="N4" s="1" t="str">
        <f t="shared" si="5"/>
        <v>凡华云仓-城南圆通-淘宝</v>
      </c>
      <c r="O4" s="3" t="s">
        <v>17</v>
      </c>
      <c r="P4" s="6">
        <v>1.62</v>
      </c>
      <c r="Q4" s="11">
        <f t="shared" si="6"/>
        <v>4.0999999999999996</v>
      </c>
      <c r="R4" s="11">
        <f t="shared" si="7"/>
        <v>0.70000000000000007</v>
      </c>
      <c r="S4" s="11">
        <v>0.15</v>
      </c>
      <c r="T4" s="11"/>
      <c r="U4" s="11">
        <f t="shared" si="8"/>
        <v>4.9499999999999993</v>
      </c>
      <c r="V4" t="s">
        <v>15</v>
      </c>
      <c r="W4">
        <v>4.95</v>
      </c>
      <c r="X4" s="1" t="s">
        <v>16</v>
      </c>
    </row>
    <row r="5" spans="1:24" x14ac:dyDescent="0.25">
      <c r="A5" s="1" t="str">
        <f t="shared" si="0"/>
        <v>卡卡杜-凤凰仓</v>
      </c>
      <c r="B5" s="1" t="str">
        <f>"CK2024103112248"</f>
        <v>CK2024103112248</v>
      </c>
      <c r="C5" s="1" t="str">
        <f>"DD2024103133091"</f>
        <v>DD2024103133091</v>
      </c>
      <c r="D5" s="1" t="str">
        <f>"CK2024103132953"</f>
        <v>CK2024103132953</v>
      </c>
      <c r="E5" s="1" t="str">
        <f>"KKD20241031YP004"</f>
        <v>KKD20241031YP004</v>
      </c>
      <c r="F5" s="1" t="str">
        <f t="shared" si="1"/>
        <v>花都四部-凤凰仓</v>
      </c>
      <c r="G5" s="1" t="str">
        <f t="shared" si="4"/>
        <v>卡卡杜全欣样品</v>
      </c>
      <c r="H5" s="1" t="str">
        <f t="shared" si="2"/>
        <v>正常订单</v>
      </c>
      <c r="I5" s="1" t="str">
        <f t="shared" si="3"/>
        <v>已发货</v>
      </c>
      <c r="J5" s="1" t="str">
        <f>"15"</f>
        <v>15</v>
      </c>
      <c r="K5" s="1">
        <v>10</v>
      </c>
      <c r="L5" s="1" t="s">
        <v>18</v>
      </c>
      <c r="M5" s="1" t="str">
        <f>"广东省 深圳市 宝安区 "</f>
        <v xml:space="preserve">广东省 深圳市 宝安区 </v>
      </c>
      <c r="N5" s="1" t="str">
        <f t="shared" si="5"/>
        <v>凡华云仓-城南圆通-淘宝</v>
      </c>
      <c r="O5" s="3" t="s">
        <v>19</v>
      </c>
      <c r="P5" s="6">
        <v>1.62</v>
      </c>
      <c r="Q5" s="11">
        <f t="shared" si="6"/>
        <v>4.0999999999999996</v>
      </c>
      <c r="R5" s="11">
        <f t="shared" si="7"/>
        <v>0.70000000000000007</v>
      </c>
      <c r="S5" s="11">
        <v>0.15</v>
      </c>
      <c r="T5" s="11"/>
      <c r="U5" s="11">
        <f t="shared" si="8"/>
        <v>4.9499999999999993</v>
      </c>
      <c r="V5" t="s">
        <v>15</v>
      </c>
      <c r="W5">
        <v>4.95</v>
      </c>
      <c r="X5" s="1" t="s">
        <v>18</v>
      </c>
    </row>
    <row r="6" spans="1:24" x14ac:dyDescent="0.25">
      <c r="A6" s="1" t="str">
        <f t="shared" si="0"/>
        <v>卡卡杜-凤凰仓</v>
      </c>
      <c r="B6" s="1" t="str">
        <f>"CK2024103112246"</f>
        <v>CK2024103112246</v>
      </c>
      <c r="C6" s="1" t="str">
        <f>"DD2024103133090"</f>
        <v>DD2024103133090</v>
      </c>
      <c r="D6" s="1" t="str">
        <f>"CK2024103132952"</f>
        <v>CK2024103132952</v>
      </c>
      <c r="E6" s="1" t="str">
        <f>"KKD20241031YP002"</f>
        <v>KKD20241031YP002</v>
      </c>
      <c r="F6" s="1" t="str">
        <f t="shared" si="1"/>
        <v>花都四部-凤凰仓</v>
      </c>
      <c r="G6" s="1" t="str">
        <f t="shared" si="4"/>
        <v>卡卡杜全欣样品</v>
      </c>
      <c r="H6" s="1" t="str">
        <f t="shared" si="2"/>
        <v>正常订单</v>
      </c>
      <c r="I6" s="1" t="str">
        <f t="shared" si="3"/>
        <v>已发货</v>
      </c>
      <c r="J6" s="1" t="str">
        <f>"13"</f>
        <v>13</v>
      </c>
      <c r="K6" s="1">
        <v>10</v>
      </c>
      <c r="L6" s="1" t="s">
        <v>20</v>
      </c>
      <c r="M6" s="1" t="str">
        <f>"浙江省 杭州市 临平区 "</f>
        <v xml:space="preserve">浙江省 杭州市 临平区 </v>
      </c>
      <c r="N6" s="1" t="str">
        <f t="shared" si="5"/>
        <v>凡华云仓-城南圆通-淘宝</v>
      </c>
      <c r="O6" s="3" t="s">
        <v>21</v>
      </c>
      <c r="P6" s="6">
        <v>1.4</v>
      </c>
      <c r="Q6" s="11">
        <f t="shared" si="6"/>
        <v>3.6499999999999995</v>
      </c>
      <c r="R6" s="11"/>
      <c r="S6" s="11">
        <v>0.15</v>
      </c>
      <c r="T6" s="11"/>
      <c r="U6" s="11">
        <f t="shared" si="8"/>
        <v>3.7999999999999994</v>
      </c>
      <c r="V6" t="s">
        <v>15</v>
      </c>
      <c r="W6">
        <v>4.5</v>
      </c>
      <c r="X6" s="1" t="s">
        <v>20</v>
      </c>
    </row>
    <row r="7" spans="1:24" x14ac:dyDescent="0.25">
      <c r="A7" s="1" t="str">
        <f t="shared" si="0"/>
        <v>卡卡杜-凤凰仓</v>
      </c>
      <c r="B7" s="1" t="str">
        <f>"CK2024103112247"</f>
        <v>CK2024103112247</v>
      </c>
      <c r="C7" s="1" t="str">
        <f>"DD2024103133088"</f>
        <v>DD2024103133088</v>
      </c>
      <c r="D7" s="1" t="str">
        <f>"CK2024103132948"</f>
        <v>CK2024103132948</v>
      </c>
      <c r="E7" s="1" t="str">
        <f>"KKD20241031YP003"</f>
        <v>KKD20241031YP003</v>
      </c>
      <c r="F7" s="1" t="str">
        <f t="shared" si="1"/>
        <v>花都四部-凤凰仓</v>
      </c>
      <c r="G7" s="1" t="str">
        <f t="shared" si="4"/>
        <v>卡卡杜全欣样品</v>
      </c>
      <c r="H7" s="1" t="str">
        <f t="shared" si="2"/>
        <v>正常订单</v>
      </c>
      <c r="I7" s="1" t="str">
        <f t="shared" si="3"/>
        <v>已发货</v>
      </c>
      <c r="J7" s="1" t="str">
        <f>"5"</f>
        <v>5</v>
      </c>
      <c r="K7" s="1">
        <v>4</v>
      </c>
      <c r="L7" s="1" t="s">
        <v>22</v>
      </c>
      <c r="M7" s="1" t="str">
        <f>"江西省 赣州市 赣县区 "</f>
        <v xml:space="preserve">江西省 赣州市 赣县区 </v>
      </c>
      <c r="N7" s="1" t="str">
        <f t="shared" si="5"/>
        <v>凡华云仓-城南圆通-淘宝</v>
      </c>
      <c r="O7" s="3" t="s">
        <v>23</v>
      </c>
      <c r="P7" s="6">
        <v>0.46</v>
      </c>
      <c r="Q7" s="11">
        <v>2.2999999999999998</v>
      </c>
      <c r="R7" s="11"/>
      <c r="S7" s="11">
        <v>0.15</v>
      </c>
      <c r="T7" s="11"/>
      <c r="U7" s="11">
        <f t="shared" si="8"/>
        <v>2.4499999999999997</v>
      </c>
      <c r="W7">
        <v>2.65</v>
      </c>
      <c r="X7" s="1" t="s">
        <v>22</v>
      </c>
    </row>
    <row r="8" spans="1:24" x14ac:dyDescent="0.25">
      <c r="A8" s="1" t="str">
        <f t="shared" si="0"/>
        <v>卡卡杜-凤凰仓</v>
      </c>
      <c r="B8" s="1" t="str">
        <f>"CK2024103112253"</f>
        <v>CK2024103112253</v>
      </c>
      <c r="C8" s="1" t="str">
        <f>"DD2024103133095"</f>
        <v>DD2024103133095</v>
      </c>
      <c r="D8" s="1" t="str">
        <f>"CK2024103132950"</f>
        <v>CK2024103132950</v>
      </c>
      <c r="E8" s="1" t="str">
        <f>"KKD20241031YP007"</f>
        <v>KKD20241031YP007</v>
      </c>
      <c r="F8" s="1" t="str">
        <f t="shared" si="1"/>
        <v>花都四部-凤凰仓</v>
      </c>
      <c r="G8" s="1" t="str">
        <f t="shared" si="4"/>
        <v>卡卡杜全欣样品</v>
      </c>
      <c r="H8" s="1" t="str">
        <f t="shared" si="2"/>
        <v>正常订单</v>
      </c>
      <c r="I8" s="1" t="str">
        <f t="shared" si="3"/>
        <v>已发货</v>
      </c>
      <c r="J8" s="1" t="str">
        <f>"13"</f>
        <v>13</v>
      </c>
      <c r="K8" s="1">
        <v>7</v>
      </c>
      <c r="L8" s="1" t="s">
        <v>24</v>
      </c>
      <c r="M8" s="1" t="str">
        <f>"福建省 泉州市 南安市 "</f>
        <v xml:space="preserve">福建省 泉州市 南安市 </v>
      </c>
      <c r="N8" s="1" t="str">
        <f t="shared" si="5"/>
        <v>凡华云仓-城南圆通-淘宝</v>
      </c>
      <c r="O8" s="3" t="s">
        <v>25</v>
      </c>
      <c r="P8" s="6">
        <v>1.36</v>
      </c>
      <c r="Q8" s="11">
        <f t="shared" ref="Q8:Q12" si="9">CEILING(P8-0.5,0.1)*10*0.15+2.3</f>
        <v>3.6499999999999995</v>
      </c>
      <c r="R8" s="11">
        <f>(K8-3)*0.1</f>
        <v>0.4</v>
      </c>
      <c r="S8" s="11">
        <v>0.15</v>
      </c>
      <c r="T8" s="11"/>
      <c r="U8" s="11">
        <f t="shared" si="8"/>
        <v>4.1999999999999993</v>
      </c>
      <c r="V8" t="s">
        <v>15</v>
      </c>
      <c r="W8">
        <v>4.2</v>
      </c>
      <c r="X8" s="1" t="s">
        <v>24</v>
      </c>
    </row>
    <row r="9" spans="1:24" x14ac:dyDescent="0.25">
      <c r="A9" s="1" t="str">
        <f t="shared" si="0"/>
        <v>卡卡杜-凤凰仓</v>
      </c>
      <c r="B9" s="1" t="str">
        <f>"CK2024103112249"</f>
        <v>CK2024103112249</v>
      </c>
      <c r="C9" s="1" t="str">
        <f>"DD2024103133087"</f>
        <v>DD2024103133087</v>
      </c>
      <c r="D9" s="1" t="str">
        <f>"CK2024103132949"</f>
        <v>CK2024103132949</v>
      </c>
      <c r="E9" s="1" t="str">
        <f>"KKD20241031YP005"</f>
        <v>KKD20241031YP005</v>
      </c>
      <c r="F9" s="1" t="str">
        <f t="shared" si="1"/>
        <v>花都四部-凤凰仓</v>
      </c>
      <c r="G9" s="1" t="str">
        <f t="shared" si="4"/>
        <v>卡卡杜全欣样品</v>
      </c>
      <c r="H9" s="1" t="str">
        <f t="shared" si="2"/>
        <v>正常订单</v>
      </c>
      <c r="I9" s="1" t="str">
        <f t="shared" si="3"/>
        <v>已发货</v>
      </c>
      <c r="J9" s="1" t="str">
        <f>"7"</f>
        <v>7</v>
      </c>
      <c r="K9" s="1">
        <v>4</v>
      </c>
      <c r="L9" s="1" t="s">
        <v>22</v>
      </c>
      <c r="M9" s="1" t="str">
        <f>"江西省 九江市 浔阳区 "</f>
        <v xml:space="preserve">江西省 九江市 浔阳区 </v>
      </c>
      <c r="N9" s="1" t="str">
        <f t="shared" si="5"/>
        <v>凡华云仓-城南圆通-淘宝</v>
      </c>
      <c r="O9" s="3" t="s">
        <v>26</v>
      </c>
      <c r="P9" s="6">
        <v>1.24</v>
      </c>
      <c r="Q9" s="11">
        <f t="shared" si="9"/>
        <v>3.5</v>
      </c>
      <c r="R9" s="11"/>
      <c r="S9" s="11"/>
      <c r="T9" s="11"/>
      <c r="U9" s="11">
        <f t="shared" si="8"/>
        <v>3.5</v>
      </c>
      <c r="V9" t="s">
        <v>15</v>
      </c>
      <c r="W9">
        <v>3.5</v>
      </c>
      <c r="X9" s="1" t="s">
        <v>22</v>
      </c>
    </row>
    <row r="10" spans="1:24" x14ac:dyDescent="0.25">
      <c r="A10" s="1" t="str">
        <f t="shared" si="0"/>
        <v>卡卡杜-凤凰仓</v>
      </c>
      <c r="B10" s="1" t="str">
        <f>"CK202410307433"</f>
        <v>CK202410307433</v>
      </c>
      <c r="C10" s="1" t="str">
        <f>"DD2024103088757"</f>
        <v>DD2024103088757</v>
      </c>
      <c r="D10" s="1" t="str">
        <f>"CK2024103067672"</f>
        <v>CK2024103067672</v>
      </c>
      <c r="E10" s="1" t="str">
        <f>"KKD20241030YP009"</f>
        <v>KKD20241030YP009</v>
      </c>
      <c r="F10" s="1" t="str">
        <f t="shared" si="1"/>
        <v>花都四部-凤凰仓</v>
      </c>
      <c r="G10" s="1" t="str">
        <f t="shared" si="4"/>
        <v>卡卡杜全欣样品</v>
      </c>
      <c r="H10" s="1" t="str">
        <f t="shared" si="2"/>
        <v>正常订单</v>
      </c>
      <c r="I10" s="1" t="str">
        <f t="shared" si="3"/>
        <v>已发货</v>
      </c>
      <c r="J10" s="1" t="str">
        <f>"5"</f>
        <v>5</v>
      </c>
      <c r="K10" s="1">
        <v>4</v>
      </c>
      <c r="L10" s="1" t="s">
        <v>27</v>
      </c>
      <c r="M10" s="1" t="str">
        <f>"贵州省 贵阳市 云岩区 "</f>
        <v xml:space="preserve">贵州省 贵阳市 云岩区 </v>
      </c>
      <c r="N10" s="1" t="str">
        <f t="shared" si="5"/>
        <v>凡华云仓-城南圆通-淘宝</v>
      </c>
      <c r="O10" s="3" t="s">
        <v>28</v>
      </c>
      <c r="P10" s="6">
        <v>0.46</v>
      </c>
      <c r="Q10" s="11">
        <v>2.2999999999999998</v>
      </c>
      <c r="R10" s="11"/>
      <c r="S10" s="11">
        <v>0.15</v>
      </c>
      <c r="T10" s="11"/>
      <c r="U10" s="11">
        <f t="shared" si="8"/>
        <v>2.4499999999999997</v>
      </c>
      <c r="W10">
        <v>2.65</v>
      </c>
      <c r="X10" s="1" t="s">
        <v>27</v>
      </c>
    </row>
    <row r="11" spans="1:24" x14ac:dyDescent="0.25">
      <c r="A11" s="1" t="str">
        <f t="shared" si="0"/>
        <v>卡卡杜-凤凰仓</v>
      </c>
      <c r="B11" s="1" t="str">
        <f>"CK2024102512316"</f>
        <v>CK2024102512316</v>
      </c>
      <c r="C11" s="1" t="str">
        <f>"DD2024102591949"</f>
        <v>DD2024102591949</v>
      </c>
      <c r="D11" s="1" t="str">
        <f>"CK2024102591182"</f>
        <v>CK2024102591182</v>
      </c>
      <c r="E11" s="1" t="str">
        <f>"KKD20241025YP009"</f>
        <v>KKD20241025YP009</v>
      </c>
      <c r="F11" s="1" t="str">
        <f t="shared" si="1"/>
        <v>花都四部-凤凰仓</v>
      </c>
      <c r="G11" s="1" t="str">
        <f t="shared" si="4"/>
        <v>卡卡杜全欣样品</v>
      </c>
      <c r="H11" s="1" t="str">
        <f t="shared" si="2"/>
        <v>正常订单</v>
      </c>
      <c r="I11" s="1" t="str">
        <f t="shared" si="3"/>
        <v>已发货</v>
      </c>
      <c r="J11" s="1" t="str">
        <f>"5"</f>
        <v>5</v>
      </c>
      <c r="K11" s="1">
        <v>4</v>
      </c>
      <c r="L11" s="1" t="s">
        <v>18</v>
      </c>
      <c r="M11" s="1" t="str">
        <f>"广东省 惠州市 惠阳区 "</f>
        <v xml:space="preserve">广东省 惠州市 惠阳区 </v>
      </c>
      <c r="N11" s="1" t="str">
        <f t="shared" si="5"/>
        <v>凡华云仓-城南圆通-淘宝</v>
      </c>
      <c r="O11" s="3" t="s">
        <v>29</v>
      </c>
      <c r="P11" s="6">
        <v>0.46</v>
      </c>
      <c r="Q11" s="11">
        <v>2.2999999999999998</v>
      </c>
      <c r="R11" s="11"/>
      <c r="S11" s="11">
        <v>0.15</v>
      </c>
      <c r="T11" s="11"/>
      <c r="U11" s="11">
        <f t="shared" si="8"/>
        <v>2.4499999999999997</v>
      </c>
      <c r="W11">
        <v>2.65</v>
      </c>
      <c r="X11" s="1" t="s">
        <v>18</v>
      </c>
    </row>
    <row r="12" spans="1:24" x14ac:dyDescent="0.25">
      <c r="A12" s="1" t="str">
        <f t="shared" si="0"/>
        <v>卡卡杜-凤凰仓</v>
      </c>
      <c r="B12" s="1" t="str">
        <f>"CK2024103112254"</f>
        <v>CK2024103112254</v>
      </c>
      <c r="C12" s="1" t="str">
        <f>"DD2024103133111"</f>
        <v>DD2024103133111</v>
      </c>
      <c r="D12" s="1" t="str">
        <f>"CK2024103132946"</f>
        <v>CK2024103132946</v>
      </c>
      <c r="E12" s="1" t="str">
        <f>"2430502485530081"</f>
        <v>2430502485530081</v>
      </c>
      <c r="F12" s="1" t="str">
        <f t="shared" si="1"/>
        <v>花都四部-凤凰仓</v>
      </c>
      <c r="G12" s="1" t="str">
        <f>"卡卡杜佳旺专卖店（快手店）"</f>
        <v>卡卡杜佳旺专卖店（快手店）</v>
      </c>
      <c r="H12" s="1" t="str">
        <f t="shared" si="2"/>
        <v>正常订单</v>
      </c>
      <c r="I12" s="1" t="str">
        <f t="shared" si="3"/>
        <v>已发货</v>
      </c>
      <c r="J12" s="1" t="str">
        <f>"5"</f>
        <v>5</v>
      </c>
      <c r="K12" s="1">
        <v>2</v>
      </c>
      <c r="L12" s="1" t="s">
        <v>30</v>
      </c>
      <c r="M12" s="1" t="str">
        <f>"山东省 日照市 东港区 日照街道"</f>
        <v>山东省 日照市 东港区 日照街道</v>
      </c>
      <c r="N12" s="1" t="str">
        <f>"凡华云仓-城南圆通-快手"</f>
        <v>凡华云仓-城南圆通-快手</v>
      </c>
      <c r="O12" s="5" t="s">
        <v>31</v>
      </c>
      <c r="P12" s="6">
        <v>0.59</v>
      </c>
      <c r="Q12" s="11">
        <f t="shared" si="9"/>
        <v>2.4499999999999997</v>
      </c>
      <c r="R12" s="11"/>
      <c r="S12" s="11"/>
      <c r="T12" s="11"/>
      <c r="U12" s="11">
        <f t="shared" si="8"/>
        <v>2.4499999999999997</v>
      </c>
      <c r="V12" t="s">
        <v>15</v>
      </c>
      <c r="W12">
        <v>2.4500000000000002</v>
      </c>
      <c r="X12" s="1" t="s">
        <v>30</v>
      </c>
    </row>
    <row r="13" spans="1:24" x14ac:dyDescent="0.25">
      <c r="A13" s="1" t="str">
        <f t="shared" si="0"/>
        <v>卡卡杜-凤凰仓</v>
      </c>
      <c r="B13" s="1" t="str">
        <f>"CK2024103112257"</f>
        <v>CK2024103112257</v>
      </c>
      <c r="C13" s="1" t="str">
        <f>"DD2024103133112"</f>
        <v>DD2024103133112</v>
      </c>
      <c r="D13" s="1" t="str">
        <f>"CK2024103132945"</f>
        <v>CK2024103132945</v>
      </c>
      <c r="E13" s="1" t="str">
        <f>"6935706580756600435"</f>
        <v>6935706580756600435</v>
      </c>
      <c r="F13" s="1" t="str">
        <f t="shared" si="1"/>
        <v>花都四部-凤凰仓</v>
      </c>
      <c r="G13" s="1" t="str">
        <f t="shared" ref="G13:G20" si="10">"卡卡杜个人护理店（抖店）"</f>
        <v>卡卡杜个人护理店（抖店）</v>
      </c>
      <c r="H13" s="1" t="str">
        <f t="shared" si="2"/>
        <v>正常订单</v>
      </c>
      <c r="I13" s="1" t="str">
        <f t="shared" si="3"/>
        <v>已发货</v>
      </c>
      <c r="J13" s="1" t="str">
        <f t="shared" ref="J13:J20" si="11">"3"</f>
        <v>3</v>
      </c>
      <c r="K13" s="1">
        <v>2</v>
      </c>
      <c r="L13" s="1" t="s">
        <v>32</v>
      </c>
      <c r="M13" s="1" t="str">
        <f>"陕西省 西安市 长安区 郭杜街道"</f>
        <v>陕西省 西安市 长安区 郭杜街道</v>
      </c>
      <c r="N13" s="1" t="str">
        <f t="shared" ref="N13:N20" si="12">"凡华云仓-城南圆通-抖音"</f>
        <v>凡华云仓-城南圆通-抖音</v>
      </c>
      <c r="O13" s="5" t="s">
        <v>33</v>
      </c>
      <c r="P13" s="6">
        <v>0.35</v>
      </c>
      <c r="Q13" s="11">
        <v>2.2999999999999998</v>
      </c>
      <c r="R13" s="11"/>
      <c r="S13" s="11"/>
      <c r="T13" s="11"/>
      <c r="U13" s="11">
        <f t="shared" si="8"/>
        <v>2.2999999999999998</v>
      </c>
      <c r="W13">
        <v>2.5</v>
      </c>
      <c r="X13" s="1" t="s">
        <v>32</v>
      </c>
    </row>
    <row r="14" spans="1:24" x14ac:dyDescent="0.25">
      <c r="A14" s="1" t="str">
        <f t="shared" si="0"/>
        <v>卡卡杜-凤凰仓</v>
      </c>
      <c r="B14" s="1" t="str">
        <f>"CK2024103112262"</f>
        <v>CK2024103112262</v>
      </c>
      <c r="C14" s="1" t="str">
        <f>"DD2024103133119"</f>
        <v>DD2024103133119</v>
      </c>
      <c r="D14" s="1" t="str">
        <f>"CK2024103132944"</f>
        <v>CK2024103132944</v>
      </c>
      <c r="E14" s="1" t="str">
        <f>"6935695324403668070"</f>
        <v>6935695324403668070</v>
      </c>
      <c r="F14" s="1" t="str">
        <f t="shared" si="1"/>
        <v>花都四部-凤凰仓</v>
      </c>
      <c r="G14" s="1" t="str">
        <f t="shared" si="10"/>
        <v>卡卡杜个人护理店（抖店）</v>
      </c>
      <c r="H14" s="1" t="str">
        <f t="shared" si="2"/>
        <v>正常订单</v>
      </c>
      <c r="I14" s="1" t="str">
        <f t="shared" si="3"/>
        <v>已发货</v>
      </c>
      <c r="J14" s="1" t="str">
        <f t="shared" si="11"/>
        <v>3</v>
      </c>
      <c r="K14" s="1">
        <v>2</v>
      </c>
      <c r="L14" s="1" t="s">
        <v>20</v>
      </c>
      <c r="M14" s="1" t="str">
        <f>"浙江省 杭州市 萧山区 北干街道"</f>
        <v>浙江省 杭州市 萧山区 北干街道</v>
      </c>
      <c r="N14" s="1" t="str">
        <f t="shared" si="12"/>
        <v>凡华云仓-城南圆通-抖音</v>
      </c>
      <c r="O14" s="5" t="s">
        <v>34</v>
      </c>
      <c r="P14" s="6">
        <v>0.35</v>
      </c>
      <c r="Q14" s="11">
        <v>2.2999999999999998</v>
      </c>
      <c r="R14" s="11"/>
      <c r="S14" s="11"/>
      <c r="T14" s="11"/>
      <c r="U14" s="11">
        <f t="shared" si="8"/>
        <v>2.2999999999999998</v>
      </c>
      <c r="W14">
        <v>2.5</v>
      </c>
      <c r="X14" s="1" t="s">
        <v>20</v>
      </c>
    </row>
    <row r="15" spans="1:24" x14ac:dyDescent="0.25">
      <c r="A15" s="1" t="str">
        <f t="shared" si="0"/>
        <v>卡卡杜-凤凰仓</v>
      </c>
      <c r="B15" s="1" t="str">
        <f>"CK2024103112256"</f>
        <v>CK2024103112256</v>
      </c>
      <c r="C15" s="1" t="str">
        <f>"DD2024103133115"</f>
        <v>DD2024103133115</v>
      </c>
      <c r="D15" s="1" t="str">
        <f>"CK2024103132943"</f>
        <v>CK2024103132943</v>
      </c>
      <c r="E15" s="1" t="str">
        <f>"6935704218253072268"</f>
        <v>6935704218253072268</v>
      </c>
      <c r="F15" s="1" t="str">
        <f t="shared" si="1"/>
        <v>花都四部-凤凰仓</v>
      </c>
      <c r="G15" s="1" t="str">
        <f t="shared" si="10"/>
        <v>卡卡杜个人护理店（抖店）</v>
      </c>
      <c r="H15" s="1" t="str">
        <f t="shared" si="2"/>
        <v>正常订单</v>
      </c>
      <c r="I15" s="1" t="str">
        <f t="shared" si="3"/>
        <v>已发货</v>
      </c>
      <c r="J15" s="1" t="str">
        <f t="shared" si="11"/>
        <v>3</v>
      </c>
      <c r="K15" s="1">
        <v>2</v>
      </c>
      <c r="L15" s="1" t="s">
        <v>18</v>
      </c>
      <c r="M15" s="1" t="str">
        <f>"广东省 东莞市 东莞市 万江街道"</f>
        <v>广东省 东莞市 东莞市 万江街道</v>
      </c>
      <c r="N15" s="1" t="str">
        <f t="shared" si="12"/>
        <v>凡华云仓-城南圆通-抖音</v>
      </c>
      <c r="O15" s="5" t="s">
        <v>35</v>
      </c>
      <c r="P15" s="6">
        <v>0.35</v>
      </c>
      <c r="Q15" s="11">
        <v>2.2999999999999998</v>
      </c>
      <c r="R15" s="11"/>
      <c r="S15" s="11"/>
      <c r="T15" s="11"/>
      <c r="U15" s="11">
        <f t="shared" si="8"/>
        <v>2.2999999999999998</v>
      </c>
      <c r="W15">
        <v>2.5</v>
      </c>
      <c r="X15" s="1" t="s">
        <v>18</v>
      </c>
    </row>
    <row r="16" spans="1:24" x14ac:dyDescent="0.25">
      <c r="A16" s="1" t="str">
        <f t="shared" si="0"/>
        <v>卡卡杜-凤凰仓</v>
      </c>
      <c r="B16" s="1" t="str">
        <f>"CK2024103112255"</f>
        <v>CK2024103112255</v>
      </c>
      <c r="C16" s="1" t="str">
        <f>"DD2024103133116"</f>
        <v>DD2024103133116</v>
      </c>
      <c r="D16" s="1" t="str">
        <f>"CK2024103132942"</f>
        <v>CK2024103132942</v>
      </c>
      <c r="E16" s="1" t="str">
        <f>"6935700009468499313"</f>
        <v>6935700009468499313</v>
      </c>
      <c r="F16" s="1" t="str">
        <f t="shared" si="1"/>
        <v>花都四部-凤凰仓</v>
      </c>
      <c r="G16" s="1" t="str">
        <f t="shared" si="10"/>
        <v>卡卡杜个人护理店（抖店）</v>
      </c>
      <c r="H16" s="1" t="str">
        <f t="shared" si="2"/>
        <v>正常订单</v>
      </c>
      <c r="I16" s="1" t="str">
        <f t="shared" si="3"/>
        <v>已发货</v>
      </c>
      <c r="J16" s="1" t="str">
        <f t="shared" si="11"/>
        <v>3</v>
      </c>
      <c r="K16" s="1">
        <v>2</v>
      </c>
      <c r="L16" s="1" t="s">
        <v>36</v>
      </c>
      <c r="M16" s="1" t="str">
        <f>"安徽省 合肥市 巢湖市 凤凰山街道"</f>
        <v>安徽省 合肥市 巢湖市 凤凰山街道</v>
      </c>
      <c r="N16" s="1" t="str">
        <f t="shared" si="12"/>
        <v>凡华云仓-城南圆通-抖音</v>
      </c>
      <c r="O16" s="5" t="s">
        <v>37</v>
      </c>
      <c r="P16" s="6">
        <v>0.35</v>
      </c>
      <c r="Q16" s="11">
        <v>2.2999999999999998</v>
      </c>
      <c r="R16" s="11"/>
      <c r="S16" s="11"/>
      <c r="T16" s="11"/>
      <c r="U16" s="11">
        <f t="shared" si="8"/>
        <v>2.2999999999999998</v>
      </c>
      <c r="W16">
        <v>2.5</v>
      </c>
      <c r="X16" s="1" t="s">
        <v>36</v>
      </c>
    </row>
    <row r="17" spans="1:24" x14ac:dyDescent="0.25">
      <c r="A17" s="1" t="str">
        <f t="shared" si="0"/>
        <v>卡卡杜-凤凰仓</v>
      </c>
      <c r="B17" s="1" t="str">
        <f>"CK2024103112261"</f>
        <v>CK2024103112261</v>
      </c>
      <c r="C17" s="1" t="str">
        <f>"DD2024103133118"</f>
        <v>DD2024103133118</v>
      </c>
      <c r="D17" s="1" t="str">
        <f>"CK2024103132941"</f>
        <v>CK2024103132941</v>
      </c>
      <c r="E17" s="1" t="str">
        <f>"6935719211490940821"</f>
        <v>6935719211490940821</v>
      </c>
      <c r="F17" s="1" t="str">
        <f t="shared" si="1"/>
        <v>花都四部-凤凰仓</v>
      </c>
      <c r="G17" s="1" t="str">
        <f t="shared" si="10"/>
        <v>卡卡杜个人护理店（抖店）</v>
      </c>
      <c r="H17" s="1" t="str">
        <f t="shared" si="2"/>
        <v>正常订单</v>
      </c>
      <c r="I17" s="1" t="str">
        <f t="shared" si="3"/>
        <v>已发货</v>
      </c>
      <c r="J17" s="1" t="str">
        <f t="shared" si="11"/>
        <v>3</v>
      </c>
      <c r="K17" s="1">
        <v>2</v>
      </c>
      <c r="L17" s="1" t="s">
        <v>13</v>
      </c>
      <c r="M17" s="1" t="str">
        <f>"江苏省 无锡市 滨湖区 马山街道"</f>
        <v>江苏省 无锡市 滨湖区 马山街道</v>
      </c>
      <c r="N17" s="1" t="str">
        <f t="shared" si="12"/>
        <v>凡华云仓-城南圆通-抖音</v>
      </c>
      <c r="O17" s="5" t="s">
        <v>38</v>
      </c>
      <c r="P17" s="6">
        <v>0.35</v>
      </c>
      <c r="Q17" s="11">
        <v>2.2999999999999998</v>
      </c>
      <c r="R17" s="11"/>
      <c r="S17" s="11"/>
      <c r="T17" s="11"/>
      <c r="U17" s="11">
        <f t="shared" si="8"/>
        <v>2.2999999999999998</v>
      </c>
      <c r="W17">
        <v>2.5</v>
      </c>
      <c r="X17" s="1" t="s">
        <v>13</v>
      </c>
    </row>
    <row r="18" spans="1:24" x14ac:dyDescent="0.25">
      <c r="A18" s="1" t="str">
        <f t="shared" si="0"/>
        <v>卡卡杜-凤凰仓</v>
      </c>
      <c r="B18" s="1" t="str">
        <f>"CK2024103112258"</f>
        <v>CK2024103112258</v>
      </c>
      <c r="C18" s="1" t="str">
        <f>"DD2024103133114"</f>
        <v>DD2024103133114</v>
      </c>
      <c r="D18" s="1" t="str">
        <f>"CK2024103132940"</f>
        <v>CK2024103132940</v>
      </c>
      <c r="E18" s="1" t="str">
        <f>"6935704341314279091"</f>
        <v>6935704341314279091</v>
      </c>
      <c r="F18" s="1" t="str">
        <f t="shared" si="1"/>
        <v>花都四部-凤凰仓</v>
      </c>
      <c r="G18" s="1" t="str">
        <f t="shared" si="10"/>
        <v>卡卡杜个人护理店（抖店）</v>
      </c>
      <c r="H18" s="1" t="str">
        <f t="shared" si="2"/>
        <v>正常订单</v>
      </c>
      <c r="I18" s="1" t="str">
        <f t="shared" si="3"/>
        <v>已发货</v>
      </c>
      <c r="J18" s="1" t="str">
        <f t="shared" si="11"/>
        <v>3</v>
      </c>
      <c r="K18" s="1">
        <v>2</v>
      </c>
      <c r="L18" s="1" t="s">
        <v>30</v>
      </c>
      <c r="M18" s="1" t="str">
        <f>"山东省 临沂市 河东区 九曲街道"</f>
        <v>山东省 临沂市 河东区 九曲街道</v>
      </c>
      <c r="N18" s="1" t="str">
        <f t="shared" si="12"/>
        <v>凡华云仓-城南圆通-抖音</v>
      </c>
      <c r="O18" s="5" t="s">
        <v>39</v>
      </c>
      <c r="P18" s="6">
        <v>0.35</v>
      </c>
      <c r="Q18" s="11">
        <v>2.2999999999999998</v>
      </c>
      <c r="R18" s="11"/>
      <c r="S18" s="11"/>
      <c r="T18" s="11"/>
      <c r="U18" s="11">
        <f t="shared" si="8"/>
        <v>2.2999999999999998</v>
      </c>
      <c r="W18">
        <v>2.5</v>
      </c>
      <c r="X18" s="1" t="s">
        <v>30</v>
      </c>
    </row>
    <row r="19" spans="1:24" x14ac:dyDescent="0.25">
      <c r="A19" s="1" t="str">
        <f t="shared" si="0"/>
        <v>卡卡杜-凤凰仓</v>
      </c>
      <c r="B19" s="1" t="str">
        <f>"CK2024103112260"</f>
        <v>CK2024103112260</v>
      </c>
      <c r="C19" s="1" t="str">
        <f>"DD2024103133117"</f>
        <v>DD2024103133117</v>
      </c>
      <c r="D19" s="1" t="str">
        <f>"CK2024103132939"</f>
        <v>CK2024103132939</v>
      </c>
      <c r="E19" s="1" t="str">
        <f>"6935693010458056115"</f>
        <v>6935693010458056115</v>
      </c>
      <c r="F19" s="1" t="str">
        <f t="shared" si="1"/>
        <v>花都四部-凤凰仓</v>
      </c>
      <c r="G19" s="1" t="str">
        <f t="shared" si="10"/>
        <v>卡卡杜个人护理店（抖店）</v>
      </c>
      <c r="H19" s="1" t="str">
        <f t="shared" si="2"/>
        <v>正常订单</v>
      </c>
      <c r="I19" s="1" t="str">
        <f t="shared" si="3"/>
        <v>已发货</v>
      </c>
      <c r="J19" s="1" t="str">
        <f t="shared" si="11"/>
        <v>3</v>
      </c>
      <c r="K19" s="1">
        <v>2</v>
      </c>
      <c r="L19" s="1" t="s">
        <v>32</v>
      </c>
      <c r="M19" s="1" t="str">
        <f>"陕西省 西安市 高陵区 泾渭街道"</f>
        <v>陕西省 西安市 高陵区 泾渭街道</v>
      </c>
      <c r="N19" s="1" t="str">
        <f t="shared" si="12"/>
        <v>凡华云仓-城南圆通-抖音</v>
      </c>
      <c r="O19" s="5" t="s">
        <v>40</v>
      </c>
      <c r="P19" s="6">
        <v>0.35</v>
      </c>
      <c r="Q19" s="11">
        <v>2.2999999999999998</v>
      </c>
      <c r="R19" s="11"/>
      <c r="S19" s="11"/>
      <c r="T19" s="11"/>
      <c r="U19" s="11">
        <f t="shared" si="8"/>
        <v>2.2999999999999998</v>
      </c>
      <c r="W19">
        <v>2.5</v>
      </c>
      <c r="X19" s="1" t="s">
        <v>32</v>
      </c>
    </row>
    <row r="20" spans="1:24" x14ac:dyDescent="0.25">
      <c r="A20" s="1" t="str">
        <f t="shared" si="0"/>
        <v>卡卡杜-凤凰仓</v>
      </c>
      <c r="B20" s="1" t="str">
        <f>"CK2024103112259"</f>
        <v>CK2024103112259</v>
      </c>
      <c r="C20" s="1" t="str">
        <f>"DD2024103133113"</f>
        <v>DD2024103133113</v>
      </c>
      <c r="D20" s="1" t="str">
        <f>"CK2024103132938"</f>
        <v>CK2024103132938</v>
      </c>
      <c r="E20" s="1" t="str">
        <f>"6935700058576590392"</f>
        <v>6935700058576590392</v>
      </c>
      <c r="F20" s="1" t="str">
        <f t="shared" si="1"/>
        <v>花都四部-凤凰仓</v>
      </c>
      <c r="G20" s="1" t="str">
        <f t="shared" si="10"/>
        <v>卡卡杜个人护理店（抖店）</v>
      </c>
      <c r="H20" s="1" t="str">
        <f t="shared" si="2"/>
        <v>正常订单</v>
      </c>
      <c r="I20" s="1" t="str">
        <f t="shared" si="3"/>
        <v>已发货</v>
      </c>
      <c r="J20" s="1" t="str">
        <f t="shared" si="11"/>
        <v>3</v>
      </c>
      <c r="K20" s="1">
        <v>2</v>
      </c>
      <c r="L20" s="1" t="s">
        <v>41</v>
      </c>
      <c r="M20" s="1" t="str">
        <f>"湖北省 宜昌市 枝江市 马家店街道"</f>
        <v>湖北省 宜昌市 枝江市 马家店街道</v>
      </c>
      <c r="N20" s="1" t="str">
        <f t="shared" si="12"/>
        <v>凡华云仓-城南圆通-抖音</v>
      </c>
      <c r="O20" s="5" t="s">
        <v>42</v>
      </c>
      <c r="P20" s="6">
        <v>0.35</v>
      </c>
      <c r="Q20" s="11">
        <v>2.2999999999999998</v>
      </c>
      <c r="R20" s="11"/>
      <c r="S20" s="11"/>
      <c r="T20" s="11"/>
      <c r="U20" s="11">
        <f t="shared" si="8"/>
        <v>2.2999999999999998</v>
      </c>
      <c r="W20">
        <v>2.5</v>
      </c>
      <c r="X20" s="1" t="s">
        <v>41</v>
      </c>
    </row>
    <row r="21" spans="1:24" x14ac:dyDescent="0.25">
      <c r="A21" s="1" t="str">
        <f t="shared" si="0"/>
        <v>卡卡杜-凤凰仓</v>
      </c>
      <c r="B21" s="1" t="str">
        <f>"CK2024103110537"</f>
        <v>CK2024103110537</v>
      </c>
      <c r="C21" s="1" t="str">
        <f>"DD2024103128945"</f>
        <v>DD2024103128945</v>
      </c>
      <c r="D21" s="1" t="str">
        <f>"CK2024103129006"</f>
        <v>CK2024103129006</v>
      </c>
      <c r="E21" s="1" t="str">
        <f>"3723686934500476416"</f>
        <v>3723686934500476416</v>
      </c>
      <c r="F21" s="1" t="str">
        <f t="shared" si="1"/>
        <v>花都四部-凤凰仓</v>
      </c>
      <c r="G21" s="1" t="str">
        <f t="shared" ref="G21:G24" si="13">"卡卡杜企业店（视频号）"</f>
        <v>卡卡杜企业店（视频号）</v>
      </c>
      <c r="H21" s="1" t="str">
        <f t="shared" si="2"/>
        <v>正常订单</v>
      </c>
      <c r="I21" s="1" t="str">
        <f t="shared" si="3"/>
        <v>已发货</v>
      </c>
      <c r="J21" s="1" t="str">
        <f t="shared" ref="J21:J23" si="14">"5"</f>
        <v>5</v>
      </c>
      <c r="K21" s="1">
        <v>3</v>
      </c>
      <c r="L21" s="1" t="s">
        <v>16</v>
      </c>
      <c r="M21" s="1" t="str">
        <f>"河北省 秦皇岛市 昌黎县 "</f>
        <v xml:space="preserve">河北省 秦皇岛市 昌黎县 </v>
      </c>
      <c r="N21" s="1" t="str">
        <f t="shared" ref="N21:N24" si="15">"凡华云仓-城南圆通-微信视频号"</f>
        <v>凡华云仓-城南圆通-微信视频号</v>
      </c>
      <c r="O21" s="5" t="s">
        <v>43</v>
      </c>
      <c r="P21" s="6">
        <v>0.46</v>
      </c>
      <c r="Q21" s="11">
        <v>2.2999999999999998</v>
      </c>
      <c r="R21" s="11"/>
      <c r="S21" s="11"/>
      <c r="T21" s="11"/>
      <c r="U21" s="11">
        <f t="shared" si="8"/>
        <v>2.2999999999999998</v>
      </c>
      <c r="W21">
        <v>2.5</v>
      </c>
      <c r="X21" s="1" t="s">
        <v>16</v>
      </c>
    </row>
    <row r="22" spans="1:24" x14ac:dyDescent="0.25">
      <c r="A22" s="1" t="str">
        <f t="shared" si="0"/>
        <v>卡卡杜-凤凰仓</v>
      </c>
      <c r="B22" s="1" t="str">
        <f>"CK2024103110536"</f>
        <v>CK2024103110536</v>
      </c>
      <c r="C22" s="1" t="str">
        <f>"DD2024103128944"</f>
        <v>DD2024103128944</v>
      </c>
      <c r="D22" s="1" t="str">
        <f>"CK2024103129005"</f>
        <v>CK2024103129005</v>
      </c>
      <c r="E22" s="1" t="str">
        <f>"3723688479533436928"</f>
        <v>3723688479533436928</v>
      </c>
      <c r="F22" s="1" t="str">
        <f t="shared" si="1"/>
        <v>花都四部-凤凰仓</v>
      </c>
      <c r="G22" s="1" t="str">
        <f t="shared" si="13"/>
        <v>卡卡杜企业店（视频号）</v>
      </c>
      <c r="H22" s="1" t="str">
        <f t="shared" si="2"/>
        <v>正常订单</v>
      </c>
      <c r="I22" s="1" t="str">
        <f t="shared" si="3"/>
        <v>已发货</v>
      </c>
      <c r="J22" s="1" t="str">
        <f t="shared" si="14"/>
        <v>5</v>
      </c>
      <c r="K22" s="1">
        <v>3</v>
      </c>
      <c r="L22" s="1" t="s">
        <v>44</v>
      </c>
      <c r="M22" s="1" t="str">
        <f>"海南省 海口市 龙华区 "</f>
        <v xml:space="preserve">海南省 海口市 龙华区 </v>
      </c>
      <c r="N22" s="1" t="str">
        <f t="shared" si="15"/>
        <v>凡华云仓-城南圆通-微信视频号</v>
      </c>
      <c r="O22" s="5" t="s">
        <v>45</v>
      </c>
      <c r="P22" s="6">
        <v>0.46</v>
      </c>
      <c r="Q22" s="11">
        <v>2.2999999999999998</v>
      </c>
      <c r="R22" s="11"/>
      <c r="S22" s="11"/>
      <c r="T22" s="11"/>
      <c r="U22" s="11">
        <f t="shared" si="8"/>
        <v>2.2999999999999998</v>
      </c>
      <c r="W22">
        <v>2.5</v>
      </c>
      <c r="X22" s="1" t="s">
        <v>44</v>
      </c>
    </row>
    <row r="23" spans="1:24" x14ac:dyDescent="0.25">
      <c r="A23" s="1" t="str">
        <f t="shared" si="0"/>
        <v>卡卡杜-凤凰仓</v>
      </c>
      <c r="B23" s="1" t="str">
        <f>"CK2024103110538"</f>
        <v>CK2024103110538</v>
      </c>
      <c r="C23" s="1" t="str">
        <f>"DD2024103128943"</f>
        <v>DD2024103128943</v>
      </c>
      <c r="D23" s="1" t="str">
        <f>"CK2024103129004"</f>
        <v>CK2024103129004</v>
      </c>
      <c r="E23" s="1" t="str">
        <f>"3723685336732537856"</f>
        <v>3723685336732537856</v>
      </c>
      <c r="F23" s="1" t="str">
        <f t="shared" si="1"/>
        <v>花都四部-凤凰仓</v>
      </c>
      <c r="G23" s="1" t="str">
        <f t="shared" si="13"/>
        <v>卡卡杜企业店（视频号）</v>
      </c>
      <c r="H23" s="1" t="str">
        <f t="shared" si="2"/>
        <v>正常订单</v>
      </c>
      <c r="I23" s="1" t="str">
        <f t="shared" si="3"/>
        <v>已发货</v>
      </c>
      <c r="J23" s="1" t="str">
        <f t="shared" si="14"/>
        <v>5</v>
      </c>
      <c r="K23" s="1">
        <v>3</v>
      </c>
      <c r="L23" s="1" t="s">
        <v>18</v>
      </c>
      <c r="M23" s="1" t="str">
        <f>"广东省 清远市 阳山县 "</f>
        <v xml:space="preserve">广东省 清远市 阳山县 </v>
      </c>
      <c r="N23" s="1" t="str">
        <f t="shared" si="15"/>
        <v>凡华云仓-城南圆通-微信视频号</v>
      </c>
      <c r="O23" s="5" t="s">
        <v>46</v>
      </c>
      <c r="P23" s="6">
        <v>0.46</v>
      </c>
      <c r="Q23" s="11">
        <v>2.2999999999999998</v>
      </c>
      <c r="R23" s="11"/>
      <c r="S23" s="11"/>
      <c r="T23" s="11"/>
      <c r="U23" s="11">
        <f t="shared" si="8"/>
        <v>2.2999999999999998</v>
      </c>
      <c r="W23">
        <v>2.5</v>
      </c>
      <c r="X23" s="1" t="s">
        <v>18</v>
      </c>
    </row>
    <row r="24" spans="1:24" x14ac:dyDescent="0.25">
      <c r="A24" s="1" t="str">
        <f t="shared" si="0"/>
        <v>卡卡杜-凤凰仓</v>
      </c>
      <c r="B24" s="1" t="str">
        <f>"CK2024103110489"</f>
        <v>CK2024103110489</v>
      </c>
      <c r="C24" s="1" t="str">
        <f>"DD2024103128884"</f>
        <v>DD2024103128884</v>
      </c>
      <c r="D24" s="1" t="str">
        <f>"CK2024103129003"</f>
        <v>CK2024103129003</v>
      </c>
      <c r="E24" s="1" t="str">
        <f>"3723689411213919489"</f>
        <v>3723689411213919489</v>
      </c>
      <c r="F24" s="1" t="str">
        <f t="shared" si="1"/>
        <v>花都四部-凤凰仓</v>
      </c>
      <c r="G24" s="1" t="str">
        <f t="shared" si="13"/>
        <v>卡卡杜企业店（视频号）</v>
      </c>
      <c r="H24" s="1" t="str">
        <f t="shared" si="2"/>
        <v>正常订单</v>
      </c>
      <c r="I24" s="1" t="str">
        <f t="shared" si="3"/>
        <v>已发货</v>
      </c>
      <c r="J24" s="1" t="str">
        <f t="shared" ref="J24:J28" si="16">"3"</f>
        <v>3</v>
      </c>
      <c r="K24" s="1">
        <v>3</v>
      </c>
      <c r="L24" s="1" t="s">
        <v>47</v>
      </c>
      <c r="M24" s="1" t="str">
        <f>"重庆 重庆市 九龙坡区 "</f>
        <v xml:space="preserve">重庆 重庆市 九龙坡区 </v>
      </c>
      <c r="N24" s="1" t="str">
        <f t="shared" si="15"/>
        <v>凡华云仓-城南圆通-微信视频号</v>
      </c>
      <c r="O24" s="5" t="s">
        <v>48</v>
      </c>
      <c r="P24" s="6">
        <v>0.33</v>
      </c>
      <c r="Q24" s="11">
        <v>2.2999999999999998</v>
      </c>
      <c r="R24" s="11"/>
      <c r="S24" s="11"/>
      <c r="T24" s="11"/>
      <c r="U24" s="11">
        <f t="shared" si="8"/>
        <v>2.2999999999999998</v>
      </c>
      <c r="W24">
        <v>2.5</v>
      </c>
      <c r="X24" s="1" t="s">
        <v>47</v>
      </c>
    </row>
    <row r="25" spans="1:24" x14ac:dyDescent="0.25">
      <c r="A25" s="1" t="str">
        <f t="shared" si="0"/>
        <v>卡卡杜-凤凰仓</v>
      </c>
      <c r="B25" s="1" t="str">
        <f>"CK2024103110533"</f>
        <v>CK2024103110533</v>
      </c>
      <c r="C25" s="1" t="str">
        <f>"DD2024103128946"</f>
        <v>DD2024103128946</v>
      </c>
      <c r="D25" s="1" t="str">
        <f>"CK2024103129002"</f>
        <v>CK2024103129002</v>
      </c>
      <c r="E25" s="1" t="str">
        <f>"kkd20241031qx001"</f>
        <v>kkd20241031qx001</v>
      </c>
      <c r="F25" s="1" t="str">
        <f t="shared" si="1"/>
        <v>花都四部-凤凰仓</v>
      </c>
      <c r="G25" s="1" t="str">
        <f>"卡卡杜全欣样品"</f>
        <v>卡卡杜全欣样品</v>
      </c>
      <c r="H25" s="1" t="str">
        <f t="shared" si="2"/>
        <v>正常订单</v>
      </c>
      <c r="I25" s="1" t="str">
        <f t="shared" si="3"/>
        <v>已发货</v>
      </c>
      <c r="J25" s="1" t="str">
        <f>"5"</f>
        <v>5</v>
      </c>
      <c r="K25" s="1">
        <v>2</v>
      </c>
      <c r="L25" s="1" t="s">
        <v>20</v>
      </c>
      <c r="M25" s="1" t="str">
        <f>"浙江省 温州市 乐清市 "</f>
        <v xml:space="preserve">浙江省 温州市 乐清市 </v>
      </c>
      <c r="N25" s="1" t="str">
        <f>"凡华云仓-城南圆通-淘宝"</f>
        <v>凡华云仓-城南圆通-淘宝</v>
      </c>
      <c r="O25" s="3" t="s">
        <v>49</v>
      </c>
      <c r="P25" s="6">
        <v>0.59</v>
      </c>
      <c r="Q25" s="11">
        <f>CEILING(P25-0.5,0.1)*10*0.15+2.3</f>
        <v>2.4499999999999997</v>
      </c>
      <c r="R25" s="11"/>
      <c r="S25" s="11"/>
      <c r="T25" s="11"/>
      <c r="U25" s="11">
        <f t="shared" si="8"/>
        <v>2.4499999999999997</v>
      </c>
      <c r="V25" t="s">
        <v>15</v>
      </c>
      <c r="W25">
        <v>2.4500000000000002</v>
      </c>
      <c r="X25" s="1" t="s">
        <v>20</v>
      </c>
    </row>
    <row r="26" spans="1:24" x14ac:dyDescent="0.25">
      <c r="A26" s="1" t="str">
        <f t="shared" si="0"/>
        <v>卡卡杜-凤凰仓</v>
      </c>
      <c r="B26" s="1" t="str">
        <f>"CK2024103110532"</f>
        <v>CK2024103110532</v>
      </c>
      <c r="C26" s="1" t="str">
        <f>"DD2024103128930"</f>
        <v>DD2024103128930</v>
      </c>
      <c r="D26" s="1" t="str">
        <f>"CK2024103129001"</f>
        <v>CK2024103129001</v>
      </c>
      <c r="E26" s="1" t="str">
        <f>"KKD20241031AG001"</f>
        <v>KKD20241031AG001</v>
      </c>
      <c r="F26" s="1" t="str">
        <f t="shared" si="1"/>
        <v>花都四部-凤凰仓</v>
      </c>
      <c r="G26" s="1" t="str">
        <f>"卡卡杜-A G潮牌厂（拼多多）"</f>
        <v>卡卡杜-A G潮牌厂（拼多多）</v>
      </c>
      <c r="H26" s="1" t="str">
        <f t="shared" si="2"/>
        <v>正常订单</v>
      </c>
      <c r="I26" s="1" t="str">
        <f t="shared" si="3"/>
        <v>已发货</v>
      </c>
      <c r="J26" s="1" t="str">
        <f t="shared" si="16"/>
        <v>3</v>
      </c>
      <c r="K26" s="1">
        <v>2</v>
      </c>
      <c r="L26" s="1" t="s">
        <v>13</v>
      </c>
      <c r="M26" s="1" t="str">
        <f>"江苏省 苏州市 昆山市 "</f>
        <v xml:space="preserve">江苏省 苏州市 昆山市 </v>
      </c>
      <c r="N26" s="1" t="str">
        <f>"凡华云仓-城南圆通-拼多多"</f>
        <v>凡华云仓-城南圆通-拼多多</v>
      </c>
      <c r="O26" s="5" t="s">
        <v>50</v>
      </c>
      <c r="P26" s="6">
        <v>0.35</v>
      </c>
      <c r="Q26" s="11">
        <v>2.2999999999999998</v>
      </c>
      <c r="R26" s="11"/>
      <c r="S26" s="11"/>
      <c r="T26" s="11"/>
      <c r="U26" s="11">
        <f t="shared" si="8"/>
        <v>2.2999999999999998</v>
      </c>
      <c r="W26">
        <v>2.5</v>
      </c>
      <c r="X26" s="1" t="s">
        <v>13</v>
      </c>
    </row>
    <row r="27" spans="1:24" x14ac:dyDescent="0.25">
      <c r="A27" s="1" t="str">
        <f t="shared" si="0"/>
        <v>卡卡杜-凤凰仓</v>
      </c>
      <c r="B27" s="1" t="str">
        <f>"CK2024103110515"</f>
        <v>CK2024103110515</v>
      </c>
      <c r="C27" s="1" t="str">
        <f>"DD2024103128913"</f>
        <v>DD2024103128913</v>
      </c>
      <c r="D27" s="1" t="str">
        <f>"CK2024103129000"</f>
        <v>CK2024103129000</v>
      </c>
      <c r="E27" s="1" t="str">
        <f>"2430501609827987"</f>
        <v>2430501609827987</v>
      </c>
      <c r="F27" s="1" t="str">
        <f t="shared" si="1"/>
        <v>花都四部-凤凰仓</v>
      </c>
      <c r="G27" s="1" t="str">
        <f t="shared" ref="G27:G38" si="17">"卡卡杜佳旺专卖店（快手店）"</f>
        <v>卡卡杜佳旺专卖店（快手店）</v>
      </c>
      <c r="H27" s="1" t="str">
        <f t="shared" si="2"/>
        <v>正常订单</v>
      </c>
      <c r="I27" s="1" t="str">
        <f t="shared" si="3"/>
        <v>已发货</v>
      </c>
      <c r="J27" s="1" t="str">
        <f t="shared" si="16"/>
        <v>3</v>
      </c>
      <c r="K27" s="1">
        <v>2</v>
      </c>
      <c r="L27" s="1" t="s">
        <v>41</v>
      </c>
      <c r="M27" s="1" t="str">
        <f>"湖北省 荆州市 沙市区 胜利街道"</f>
        <v>湖北省 荆州市 沙市区 胜利街道</v>
      </c>
      <c r="N27" s="1" t="str">
        <f t="shared" ref="N27:N38" si="18">"凡华云仓-城南圆通-快手"</f>
        <v>凡华云仓-城南圆通-快手</v>
      </c>
      <c r="O27" s="5" t="s">
        <v>51</v>
      </c>
      <c r="P27" s="6">
        <v>0.35</v>
      </c>
      <c r="Q27" s="11">
        <v>2.2999999999999998</v>
      </c>
      <c r="R27" s="11"/>
      <c r="S27" s="11"/>
      <c r="T27" s="11"/>
      <c r="U27" s="11">
        <f t="shared" si="8"/>
        <v>2.2999999999999998</v>
      </c>
      <c r="W27">
        <v>2.5</v>
      </c>
      <c r="X27" s="1" t="s">
        <v>41</v>
      </c>
    </row>
    <row r="28" spans="1:24" x14ac:dyDescent="0.25">
      <c r="A28" s="1" t="str">
        <f t="shared" si="0"/>
        <v>卡卡杜-凤凰仓</v>
      </c>
      <c r="B28" s="1" t="str">
        <f>"CK2024103110513"</f>
        <v>CK2024103110513</v>
      </c>
      <c r="C28" s="1" t="str">
        <f>"DD2024103128912"</f>
        <v>DD2024103128912</v>
      </c>
      <c r="D28" s="1" t="str">
        <f>"CK2024103128999"</f>
        <v>CK2024103128999</v>
      </c>
      <c r="E28" s="1" t="str">
        <f>"2430501609819429"</f>
        <v>2430501609819429</v>
      </c>
      <c r="F28" s="1" t="str">
        <f t="shared" si="1"/>
        <v>花都四部-凤凰仓</v>
      </c>
      <c r="G28" s="1" t="str">
        <f t="shared" si="17"/>
        <v>卡卡杜佳旺专卖店（快手店）</v>
      </c>
      <c r="H28" s="1" t="str">
        <f t="shared" si="2"/>
        <v>正常订单</v>
      </c>
      <c r="I28" s="1" t="str">
        <f t="shared" si="3"/>
        <v>已发货</v>
      </c>
      <c r="J28" s="1" t="str">
        <f t="shared" si="16"/>
        <v>3</v>
      </c>
      <c r="K28" s="1">
        <v>2</v>
      </c>
      <c r="L28" s="1" t="s">
        <v>52</v>
      </c>
      <c r="M28" s="1" t="str">
        <f>"甘肃省 酒泉市 敦煌市 沙州镇"</f>
        <v>甘肃省 酒泉市 敦煌市 沙州镇</v>
      </c>
      <c r="N28" s="1" t="str">
        <f t="shared" si="18"/>
        <v>凡华云仓-城南圆通-快手</v>
      </c>
      <c r="O28" s="5" t="s">
        <v>53</v>
      </c>
      <c r="P28" s="6">
        <v>0.35</v>
      </c>
      <c r="Q28" s="11">
        <v>2.2999999999999998</v>
      </c>
      <c r="R28" s="11"/>
      <c r="S28" s="11"/>
      <c r="T28" s="11"/>
      <c r="U28" s="11">
        <f t="shared" si="8"/>
        <v>2.2999999999999998</v>
      </c>
      <c r="W28">
        <v>2.5</v>
      </c>
      <c r="X28" s="1" t="s">
        <v>52</v>
      </c>
    </row>
    <row r="29" spans="1:24" x14ac:dyDescent="0.25">
      <c r="A29" s="1" t="str">
        <f t="shared" si="0"/>
        <v>卡卡杜-凤凰仓</v>
      </c>
      <c r="B29" s="1" t="str">
        <f>"CK2024103110534"</f>
        <v>CK2024103110534</v>
      </c>
      <c r="C29" s="1" t="str">
        <f>"DD2024103128947"</f>
        <v>DD2024103128947</v>
      </c>
      <c r="D29" s="1" t="str">
        <f>"CK2024103128998"</f>
        <v>CK2024103128998</v>
      </c>
      <c r="E29" s="1" t="str">
        <f>"2430501612275132"</f>
        <v>2430501612275132</v>
      </c>
      <c r="F29" s="1" t="str">
        <f t="shared" si="1"/>
        <v>花都四部-凤凰仓</v>
      </c>
      <c r="G29" s="1" t="str">
        <f t="shared" si="17"/>
        <v>卡卡杜佳旺专卖店（快手店）</v>
      </c>
      <c r="H29" s="1" t="str">
        <f t="shared" si="2"/>
        <v>正常订单</v>
      </c>
      <c r="I29" s="1" t="str">
        <f t="shared" si="3"/>
        <v>已发货</v>
      </c>
      <c r="J29" s="1" t="str">
        <f>"5"</f>
        <v>5</v>
      </c>
      <c r="K29" s="1">
        <v>2</v>
      </c>
      <c r="L29" s="1" t="s">
        <v>54</v>
      </c>
      <c r="M29" s="1" t="str">
        <f>"黑龙江省 双鸭山市 宝清县 宝清镇"</f>
        <v>黑龙江省 双鸭山市 宝清县 宝清镇</v>
      </c>
      <c r="N29" s="1" t="str">
        <f t="shared" si="18"/>
        <v>凡华云仓-城南圆通-快手</v>
      </c>
      <c r="O29" s="5" t="s">
        <v>55</v>
      </c>
      <c r="P29" s="6">
        <v>0.59</v>
      </c>
      <c r="Q29" s="11">
        <f>CEILING(P29-0.5,0.1)*10*0.15+2.3</f>
        <v>2.4499999999999997</v>
      </c>
      <c r="R29" s="11"/>
      <c r="S29" s="11"/>
      <c r="T29" s="11"/>
      <c r="U29" s="11">
        <f t="shared" si="8"/>
        <v>2.4499999999999997</v>
      </c>
      <c r="V29" t="s">
        <v>15</v>
      </c>
      <c r="W29">
        <v>2.4500000000000002</v>
      </c>
      <c r="X29" s="1" t="s">
        <v>54</v>
      </c>
    </row>
    <row r="30" spans="1:24" x14ac:dyDescent="0.25">
      <c r="A30" s="1" t="str">
        <f t="shared" si="0"/>
        <v>卡卡杜-凤凰仓</v>
      </c>
      <c r="B30" s="1" t="str">
        <f>"CK2024103110519"</f>
        <v>CK2024103110519</v>
      </c>
      <c r="C30" s="1" t="str">
        <f>"DD2024103128917"</f>
        <v>DD2024103128917</v>
      </c>
      <c r="D30" s="1" t="str">
        <f>"CK2024103128997"</f>
        <v>CK2024103128997</v>
      </c>
      <c r="E30" s="1" t="str">
        <f>"2430502246611631"</f>
        <v>2430502246611631</v>
      </c>
      <c r="F30" s="1" t="str">
        <f t="shared" si="1"/>
        <v>花都四部-凤凰仓</v>
      </c>
      <c r="G30" s="1" t="str">
        <f t="shared" si="17"/>
        <v>卡卡杜佳旺专卖店（快手店）</v>
      </c>
      <c r="H30" s="1" t="str">
        <f t="shared" si="2"/>
        <v>正常订单</v>
      </c>
      <c r="I30" s="1" t="str">
        <f t="shared" si="3"/>
        <v>已发货</v>
      </c>
      <c r="J30" s="1" t="str">
        <f t="shared" ref="J30:J37" si="19">"3"</f>
        <v>3</v>
      </c>
      <c r="K30" s="1">
        <v>2</v>
      </c>
      <c r="L30" s="1" t="s">
        <v>32</v>
      </c>
      <c r="M30" s="1" t="str">
        <f>"陕西省 渭南市 蒲城县 奉先街道"</f>
        <v>陕西省 渭南市 蒲城县 奉先街道</v>
      </c>
      <c r="N30" s="1" t="str">
        <f t="shared" si="18"/>
        <v>凡华云仓-城南圆通-快手</v>
      </c>
      <c r="O30" s="5" t="s">
        <v>56</v>
      </c>
      <c r="P30" s="6">
        <v>0.35</v>
      </c>
      <c r="Q30" s="11">
        <v>2.2999999999999998</v>
      </c>
      <c r="R30" s="11"/>
      <c r="S30" s="11"/>
      <c r="T30" s="11"/>
      <c r="U30" s="11">
        <f t="shared" si="8"/>
        <v>2.2999999999999998</v>
      </c>
      <c r="W30">
        <v>2.5</v>
      </c>
      <c r="X30" s="1" t="s">
        <v>32</v>
      </c>
    </row>
    <row r="31" spans="1:24" x14ac:dyDescent="0.25">
      <c r="A31" s="1" t="str">
        <f t="shared" si="0"/>
        <v>卡卡杜-凤凰仓</v>
      </c>
      <c r="B31" s="1" t="str">
        <f>"CK2024103110512"</f>
        <v>CK2024103110512</v>
      </c>
      <c r="C31" s="1" t="str">
        <f>"DD2024103128909"</f>
        <v>DD2024103128909</v>
      </c>
      <c r="D31" s="1" t="str">
        <f>"CK2024103128996"</f>
        <v>CK2024103128996</v>
      </c>
      <c r="E31" s="1" t="str">
        <f>"2430501610552929"</f>
        <v>2430501610552929</v>
      </c>
      <c r="F31" s="1" t="str">
        <f t="shared" si="1"/>
        <v>花都四部-凤凰仓</v>
      </c>
      <c r="G31" s="1" t="str">
        <f t="shared" si="17"/>
        <v>卡卡杜佳旺专卖店（快手店）</v>
      </c>
      <c r="H31" s="1" t="str">
        <f t="shared" si="2"/>
        <v>正常订单</v>
      </c>
      <c r="I31" s="1" t="str">
        <f t="shared" si="3"/>
        <v>已发货</v>
      </c>
      <c r="J31" s="1" t="str">
        <f t="shared" si="19"/>
        <v>3</v>
      </c>
      <c r="K31" s="1">
        <v>2</v>
      </c>
      <c r="L31" s="1" t="s">
        <v>41</v>
      </c>
      <c r="M31" s="1" t="str">
        <f>"湖北省 武汉市 江岸区 百步亭花园"</f>
        <v>湖北省 武汉市 江岸区 百步亭花园</v>
      </c>
      <c r="N31" s="1" t="str">
        <f t="shared" si="18"/>
        <v>凡华云仓-城南圆通-快手</v>
      </c>
      <c r="O31" s="5" t="s">
        <v>57</v>
      </c>
      <c r="P31" s="6">
        <v>0.35</v>
      </c>
      <c r="Q31" s="11">
        <v>2.2999999999999998</v>
      </c>
      <c r="R31" s="11"/>
      <c r="S31" s="11"/>
      <c r="T31" s="11"/>
      <c r="U31" s="11">
        <f t="shared" si="8"/>
        <v>2.2999999999999998</v>
      </c>
      <c r="W31">
        <v>2.5</v>
      </c>
      <c r="X31" s="1" t="s">
        <v>41</v>
      </c>
    </row>
    <row r="32" spans="1:24" x14ac:dyDescent="0.25">
      <c r="A32" s="1" t="str">
        <f t="shared" si="0"/>
        <v>卡卡杜-凤凰仓</v>
      </c>
      <c r="B32" s="1" t="str">
        <f>"CK2024103110520"</f>
        <v>CK2024103110520</v>
      </c>
      <c r="C32" s="1" t="str">
        <f>"DD2024103128918"</f>
        <v>DD2024103128918</v>
      </c>
      <c r="D32" s="1" t="str">
        <f>"CK2024103128995"</f>
        <v>CK2024103128995</v>
      </c>
      <c r="E32" s="1" t="str">
        <f>"2430502002872973"</f>
        <v>2430502002872973</v>
      </c>
      <c r="F32" s="1" t="str">
        <f t="shared" si="1"/>
        <v>花都四部-凤凰仓</v>
      </c>
      <c r="G32" s="1" t="str">
        <f t="shared" si="17"/>
        <v>卡卡杜佳旺专卖店（快手店）</v>
      </c>
      <c r="H32" s="1" t="str">
        <f t="shared" si="2"/>
        <v>正常订单</v>
      </c>
      <c r="I32" s="1" t="str">
        <f t="shared" si="3"/>
        <v>已发货</v>
      </c>
      <c r="J32" s="1" t="str">
        <f t="shared" si="19"/>
        <v>3</v>
      </c>
      <c r="K32" s="1">
        <v>2</v>
      </c>
      <c r="L32" s="1" t="s">
        <v>36</v>
      </c>
      <c r="M32" s="1" t="str">
        <f>"安徽省 合肥市 蜀山区 高新技术产业开发区"</f>
        <v>安徽省 合肥市 蜀山区 高新技术产业开发区</v>
      </c>
      <c r="N32" s="1" t="str">
        <f t="shared" si="18"/>
        <v>凡华云仓-城南圆通-快手</v>
      </c>
      <c r="O32" s="5" t="s">
        <v>58</v>
      </c>
      <c r="P32" s="6">
        <v>0.35</v>
      </c>
      <c r="Q32" s="11">
        <v>2.2999999999999998</v>
      </c>
      <c r="R32" s="11"/>
      <c r="S32" s="11"/>
      <c r="T32" s="11"/>
      <c r="U32" s="11">
        <f t="shared" si="8"/>
        <v>2.2999999999999998</v>
      </c>
      <c r="W32">
        <v>2.5</v>
      </c>
      <c r="X32" s="1" t="s">
        <v>36</v>
      </c>
    </row>
    <row r="33" spans="1:24" x14ac:dyDescent="0.25">
      <c r="A33" s="1" t="str">
        <f t="shared" si="0"/>
        <v>卡卡杜-凤凰仓</v>
      </c>
      <c r="B33" s="1" t="str">
        <f>"CK2024103110528"</f>
        <v>CK2024103110528</v>
      </c>
      <c r="C33" s="1" t="str">
        <f>"DD2024103128926"</f>
        <v>DD2024103128926</v>
      </c>
      <c r="D33" s="1" t="str">
        <f>"CK2024103128994"</f>
        <v>CK2024103128994</v>
      </c>
      <c r="E33" s="1" t="str">
        <f>"2430501614227715"</f>
        <v>2430501614227715</v>
      </c>
      <c r="F33" s="1" t="str">
        <f t="shared" si="1"/>
        <v>花都四部-凤凰仓</v>
      </c>
      <c r="G33" s="1" t="str">
        <f t="shared" si="17"/>
        <v>卡卡杜佳旺专卖店（快手店）</v>
      </c>
      <c r="H33" s="1" t="str">
        <f t="shared" si="2"/>
        <v>正常订单</v>
      </c>
      <c r="I33" s="1" t="str">
        <f t="shared" si="3"/>
        <v>已发货</v>
      </c>
      <c r="J33" s="1" t="str">
        <f t="shared" si="19"/>
        <v>3</v>
      </c>
      <c r="K33" s="1">
        <v>2</v>
      </c>
      <c r="L33" s="1" t="s">
        <v>30</v>
      </c>
      <c r="M33" s="1" t="str">
        <f>"山东省 济南市 章丘区 "</f>
        <v xml:space="preserve">山东省 济南市 章丘区 </v>
      </c>
      <c r="N33" s="1" t="str">
        <f t="shared" si="18"/>
        <v>凡华云仓-城南圆通-快手</v>
      </c>
      <c r="O33" s="5" t="s">
        <v>59</v>
      </c>
      <c r="P33" s="6">
        <v>0.35</v>
      </c>
      <c r="Q33" s="11">
        <v>2.2999999999999998</v>
      </c>
      <c r="R33" s="11"/>
      <c r="S33" s="11"/>
      <c r="T33" s="11"/>
      <c r="U33" s="11">
        <f t="shared" si="8"/>
        <v>2.2999999999999998</v>
      </c>
      <c r="W33">
        <v>2.5</v>
      </c>
      <c r="X33" s="1" t="s">
        <v>30</v>
      </c>
    </row>
    <row r="34" spans="1:24" x14ac:dyDescent="0.25">
      <c r="A34" s="1" t="str">
        <f t="shared" si="0"/>
        <v>卡卡杜-凤凰仓</v>
      </c>
      <c r="B34" s="1" t="str">
        <f>"CK2024103110490"</f>
        <v>CK2024103110490</v>
      </c>
      <c r="C34" s="1" t="str">
        <f>"DD2024103128887"</f>
        <v>DD2024103128887</v>
      </c>
      <c r="D34" s="1" t="str">
        <f>"CK2024103128993"</f>
        <v>CK2024103128993</v>
      </c>
      <c r="E34" s="1" t="str">
        <f>"2430501694427199"</f>
        <v>2430501694427199</v>
      </c>
      <c r="F34" s="1" t="str">
        <f t="shared" si="1"/>
        <v>花都四部-凤凰仓</v>
      </c>
      <c r="G34" s="1" t="str">
        <f t="shared" si="17"/>
        <v>卡卡杜佳旺专卖店（快手店）</v>
      </c>
      <c r="H34" s="1" t="str">
        <f t="shared" si="2"/>
        <v>正常订单</v>
      </c>
      <c r="I34" s="1" t="str">
        <f t="shared" si="3"/>
        <v>已发货</v>
      </c>
      <c r="J34" s="1" t="str">
        <f t="shared" si="19"/>
        <v>3</v>
      </c>
      <c r="K34" s="1">
        <v>3</v>
      </c>
      <c r="L34" s="1" t="s">
        <v>60</v>
      </c>
      <c r="M34" s="1" t="str">
        <f>"云南省 大理白族自治州 洱源县 三营镇"</f>
        <v>云南省 大理白族自治州 洱源县 三营镇</v>
      </c>
      <c r="N34" s="1" t="str">
        <f t="shared" si="18"/>
        <v>凡华云仓-城南圆通-快手</v>
      </c>
      <c r="O34" s="5" t="s">
        <v>61</v>
      </c>
      <c r="P34" s="6">
        <v>0.33</v>
      </c>
      <c r="Q34" s="11">
        <v>2.2999999999999998</v>
      </c>
      <c r="R34" s="11"/>
      <c r="S34" s="11"/>
      <c r="T34" s="11"/>
      <c r="U34" s="11">
        <f t="shared" si="8"/>
        <v>2.2999999999999998</v>
      </c>
      <c r="W34">
        <v>2.5</v>
      </c>
      <c r="X34" s="1" t="s">
        <v>60</v>
      </c>
    </row>
    <row r="35" spans="1:24" x14ac:dyDescent="0.25">
      <c r="A35" s="1" t="str">
        <f t="shared" si="0"/>
        <v>卡卡杜-凤凰仓</v>
      </c>
      <c r="B35" s="1" t="str">
        <f>"CK2024103110522"</f>
        <v>CK2024103110522</v>
      </c>
      <c r="C35" s="1" t="str">
        <f>"DD2024103128920"</f>
        <v>DD2024103128920</v>
      </c>
      <c r="D35" s="1" t="str">
        <f>"CK2024103128992"</f>
        <v>CK2024103128992</v>
      </c>
      <c r="E35" s="1" t="str">
        <f>"2430502245665246"</f>
        <v>2430502245665246</v>
      </c>
      <c r="F35" s="1" t="str">
        <f t="shared" si="1"/>
        <v>花都四部-凤凰仓</v>
      </c>
      <c r="G35" s="1" t="str">
        <f t="shared" si="17"/>
        <v>卡卡杜佳旺专卖店（快手店）</v>
      </c>
      <c r="H35" s="1" t="str">
        <f t="shared" si="2"/>
        <v>正常订单</v>
      </c>
      <c r="I35" s="1" t="str">
        <f t="shared" si="3"/>
        <v>已发货</v>
      </c>
      <c r="J35" s="1" t="str">
        <f t="shared" si="19"/>
        <v>3</v>
      </c>
      <c r="K35" s="1">
        <v>2</v>
      </c>
      <c r="L35" s="1" t="s">
        <v>41</v>
      </c>
      <c r="M35" s="1" t="str">
        <f>"湖北省 荆门市 钟祥市 双河镇"</f>
        <v>湖北省 荆门市 钟祥市 双河镇</v>
      </c>
      <c r="N35" s="1" t="str">
        <f t="shared" si="18"/>
        <v>凡华云仓-城南圆通-快手</v>
      </c>
      <c r="O35" s="5" t="s">
        <v>62</v>
      </c>
      <c r="P35" s="6">
        <v>0.35</v>
      </c>
      <c r="Q35" s="11">
        <v>2.2999999999999998</v>
      </c>
      <c r="R35" s="11"/>
      <c r="S35" s="11"/>
      <c r="T35" s="11"/>
      <c r="U35" s="11">
        <f t="shared" si="8"/>
        <v>2.2999999999999998</v>
      </c>
      <c r="W35">
        <v>2.5</v>
      </c>
      <c r="X35" s="1" t="s">
        <v>41</v>
      </c>
    </row>
    <row r="36" spans="1:24" x14ac:dyDescent="0.25">
      <c r="A36" s="1" t="str">
        <f t="shared" si="0"/>
        <v>卡卡杜-凤凰仓</v>
      </c>
      <c r="B36" s="1" t="str">
        <f>"CK2024103110530"</f>
        <v>CK2024103110530</v>
      </c>
      <c r="C36" s="1" t="str">
        <f>"DD2024103128928"</f>
        <v>DD2024103128928</v>
      </c>
      <c r="D36" s="1" t="str">
        <f>"CK2024103128991"</f>
        <v>CK2024103128991</v>
      </c>
      <c r="E36" s="1" t="str">
        <f>"2430501770400268"</f>
        <v>2430501770400268</v>
      </c>
      <c r="F36" s="1" t="str">
        <f t="shared" si="1"/>
        <v>花都四部-凤凰仓</v>
      </c>
      <c r="G36" s="1" t="str">
        <f t="shared" si="17"/>
        <v>卡卡杜佳旺专卖店（快手店）</v>
      </c>
      <c r="H36" s="1" t="str">
        <f t="shared" si="2"/>
        <v>正常订单</v>
      </c>
      <c r="I36" s="1" t="str">
        <f t="shared" si="3"/>
        <v>已发货</v>
      </c>
      <c r="J36" s="1" t="str">
        <f t="shared" si="19"/>
        <v>3</v>
      </c>
      <c r="K36" s="1">
        <v>2</v>
      </c>
      <c r="L36" s="1" t="s">
        <v>13</v>
      </c>
      <c r="M36" s="1" t="str">
        <f>"江苏省 常州市 武进区 湖塘镇"</f>
        <v>江苏省 常州市 武进区 湖塘镇</v>
      </c>
      <c r="N36" s="1" t="str">
        <f t="shared" si="18"/>
        <v>凡华云仓-城南圆通-快手</v>
      </c>
      <c r="O36" s="5" t="s">
        <v>63</v>
      </c>
      <c r="P36" s="6">
        <v>0.35</v>
      </c>
      <c r="Q36" s="11">
        <v>2.2999999999999998</v>
      </c>
      <c r="R36" s="11"/>
      <c r="S36" s="11"/>
      <c r="T36" s="11"/>
      <c r="U36" s="11">
        <f t="shared" si="8"/>
        <v>2.2999999999999998</v>
      </c>
      <c r="W36">
        <v>2.5</v>
      </c>
      <c r="X36" s="1" t="s">
        <v>13</v>
      </c>
    </row>
    <row r="37" spans="1:24" x14ac:dyDescent="0.25">
      <c r="A37" s="1" t="str">
        <f t="shared" si="0"/>
        <v>卡卡杜-凤凰仓</v>
      </c>
      <c r="B37" s="1" t="str">
        <f>"CK2024103110526"</f>
        <v>CK2024103110526</v>
      </c>
      <c r="C37" s="1" t="str">
        <f>"DD2024103128924"</f>
        <v>DD2024103128924</v>
      </c>
      <c r="D37" s="1" t="str">
        <f>"CK2024103128990"</f>
        <v>CK2024103128990</v>
      </c>
      <c r="E37" s="1" t="str">
        <f>"2430502000315321"</f>
        <v>2430502000315321</v>
      </c>
      <c r="F37" s="1" t="str">
        <f t="shared" si="1"/>
        <v>花都四部-凤凰仓</v>
      </c>
      <c r="G37" s="1" t="str">
        <f t="shared" si="17"/>
        <v>卡卡杜佳旺专卖店（快手店）</v>
      </c>
      <c r="H37" s="1" t="str">
        <f t="shared" si="2"/>
        <v>正常订单</v>
      </c>
      <c r="I37" s="1" t="str">
        <f t="shared" si="3"/>
        <v>已发货</v>
      </c>
      <c r="J37" s="1" t="str">
        <f t="shared" si="19"/>
        <v>3</v>
      </c>
      <c r="K37" s="1">
        <v>2</v>
      </c>
      <c r="L37" s="1" t="s">
        <v>30</v>
      </c>
      <c r="M37" s="1" t="str">
        <f>"山东省 东营市 利津县 陈庄镇"</f>
        <v>山东省 东营市 利津县 陈庄镇</v>
      </c>
      <c r="N37" s="1" t="str">
        <f t="shared" si="18"/>
        <v>凡华云仓-城南圆通-快手</v>
      </c>
      <c r="O37" s="5" t="s">
        <v>64</v>
      </c>
      <c r="P37" s="6">
        <v>0.35</v>
      </c>
      <c r="Q37" s="11">
        <v>2.2999999999999998</v>
      </c>
      <c r="R37" s="11"/>
      <c r="S37" s="11"/>
      <c r="T37" s="11"/>
      <c r="U37" s="11">
        <f t="shared" si="8"/>
        <v>2.2999999999999998</v>
      </c>
      <c r="W37">
        <v>2.5</v>
      </c>
      <c r="X37" s="1" t="s">
        <v>30</v>
      </c>
    </row>
    <row r="38" spans="1:24" x14ac:dyDescent="0.25">
      <c r="A38" s="1" t="str">
        <f t="shared" si="0"/>
        <v>卡卡杜-凤凰仓</v>
      </c>
      <c r="B38" s="1" t="str">
        <f>"CK2024103110535"</f>
        <v>CK2024103110535</v>
      </c>
      <c r="C38" s="1" t="str">
        <f>"DD2024103128948"</f>
        <v>DD2024103128948</v>
      </c>
      <c r="D38" s="1" t="str">
        <f>"CK2024103128989"</f>
        <v>CK2024103128989</v>
      </c>
      <c r="E38" s="1" t="str">
        <f>"2430502241225101"</f>
        <v>2430502241225101</v>
      </c>
      <c r="F38" s="1" t="str">
        <f t="shared" si="1"/>
        <v>花都四部-凤凰仓</v>
      </c>
      <c r="G38" s="1" t="str">
        <f t="shared" si="17"/>
        <v>卡卡杜佳旺专卖店（快手店）</v>
      </c>
      <c r="H38" s="1" t="str">
        <f t="shared" si="2"/>
        <v>正常订单</v>
      </c>
      <c r="I38" s="1" t="str">
        <f t="shared" si="3"/>
        <v>已发货</v>
      </c>
      <c r="J38" s="1" t="str">
        <f>"5"</f>
        <v>5</v>
      </c>
      <c r="K38" s="1">
        <v>2</v>
      </c>
      <c r="L38" s="1" t="s">
        <v>20</v>
      </c>
      <c r="M38" s="1" t="str">
        <f>"浙江省 宁波市 余姚市 兰江街道"</f>
        <v>浙江省 宁波市 余姚市 兰江街道</v>
      </c>
      <c r="N38" s="1" t="str">
        <f t="shared" si="18"/>
        <v>凡华云仓-城南圆通-快手</v>
      </c>
      <c r="O38" s="5" t="s">
        <v>65</v>
      </c>
      <c r="P38" s="6">
        <v>0.59</v>
      </c>
      <c r="Q38" s="11">
        <f>CEILING(P38-0.5,0.1)*10*0.15+2.3</f>
        <v>2.4499999999999997</v>
      </c>
      <c r="R38" s="11"/>
      <c r="S38" s="11"/>
      <c r="T38" s="11"/>
      <c r="U38" s="11">
        <f t="shared" si="8"/>
        <v>2.4499999999999997</v>
      </c>
      <c r="V38" t="s">
        <v>15</v>
      </c>
      <c r="W38">
        <v>2.4500000000000002</v>
      </c>
      <c r="X38" s="1" t="s">
        <v>20</v>
      </c>
    </row>
    <row r="39" spans="1:24" x14ac:dyDescent="0.25">
      <c r="A39" s="1" t="str">
        <f t="shared" si="0"/>
        <v>卡卡杜-凤凰仓</v>
      </c>
      <c r="B39" s="1" t="str">
        <f>"CK2024103110540"</f>
        <v>CK2024103110540</v>
      </c>
      <c r="C39" s="1" t="str">
        <f>"DD2024103128949"</f>
        <v>DD2024103128949</v>
      </c>
      <c r="D39" s="1" t="str">
        <f>"CK2024103128988"</f>
        <v>CK2024103128988</v>
      </c>
      <c r="E39" s="1" t="str">
        <f>"6935692918223868994"</f>
        <v>6935692918223868994</v>
      </c>
      <c r="F39" s="1" t="str">
        <f t="shared" si="1"/>
        <v>花都四部-凤凰仓</v>
      </c>
      <c r="G39" s="1" t="str">
        <f t="shared" ref="G39:G98" si="20">"卡卡杜个人护理店（抖店）"</f>
        <v>卡卡杜个人护理店（抖店）</v>
      </c>
      <c r="H39" s="1" t="str">
        <f t="shared" si="2"/>
        <v>正常订单</v>
      </c>
      <c r="I39" s="1" t="str">
        <f t="shared" si="3"/>
        <v>已发货</v>
      </c>
      <c r="J39" s="1" t="str">
        <f t="shared" ref="J39:J64" si="21">"3"</f>
        <v>3</v>
      </c>
      <c r="K39" s="1">
        <v>2</v>
      </c>
      <c r="L39" s="1" t="s">
        <v>66</v>
      </c>
      <c r="M39" s="1" t="str">
        <f>"内蒙古自治区 乌海市 海勃湾区 海北街道"</f>
        <v>内蒙古自治区 乌海市 海勃湾区 海北街道</v>
      </c>
      <c r="N39" s="1" t="str">
        <f t="shared" ref="N39:N98" si="22">"凡华云仓-城南圆通-抖音"</f>
        <v>凡华云仓-城南圆通-抖音</v>
      </c>
      <c r="O39" s="5" t="s">
        <v>67</v>
      </c>
      <c r="P39" s="6">
        <v>0.35</v>
      </c>
      <c r="Q39" s="11">
        <v>2.2999999999999998</v>
      </c>
      <c r="R39" s="11"/>
      <c r="S39" s="11"/>
      <c r="T39" s="11"/>
      <c r="U39" s="11">
        <f t="shared" si="8"/>
        <v>2.2999999999999998</v>
      </c>
      <c r="W39">
        <v>2.5</v>
      </c>
      <c r="X39" s="1" t="s">
        <v>66</v>
      </c>
    </row>
    <row r="40" spans="1:24" x14ac:dyDescent="0.25">
      <c r="A40" s="1" t="str">
        <f t="shared" si="0"/>
        <v>卡卡杜-凤凰仓</v>
      </c>
      <c r="B40" s="1" t="str">
        <f>"CK2024103110541"</f>
        <v>CK2024103110541</v>
      </c>
      <c r="C40" s="1" t="str">
        <f>"DD2024103128951"</f>
        <v>DD2024103128951</v>
      </c>
      <c r="D40" s="1" t="str">
        <f>"CK2024103128987"</f>
        <v>CK2024103128987</v>
      </c>
      <c r="E40" s="1" t="str">
        <f>"6935690549945898139"</f>
        <v>6935690549945898139</v>
      </c>
      <c r="F40" s="1" t="str">
        <f t="shared" si="1"/>
        <v>花都四部-凤凰仓</v>
      </c>
      <c r="G40" s="1" t="str">
        <f t="shared" si="20"/>
        <v>卡卡杜个人护理店（抖店）</v>
      </c>
      <c r="H40" s="1" t="str">
        <f t="shared" si="2"/>
        <v>正常订单</v>
      </c>
      <c r="I40" s="1" t="str">
        <f t="shared" si="3"/>
        <v>已发货</v>
      </c>
      <c r="J40" s="1" t="str">
        <f t="shared" si="21"/>
        <v>3</v>
      </c>
      <c r="K40" s="1">
        <v>2</v>
      </c>
      <c r="L40" s="1" t="s">
        <v>32</v>
      </c>
      <c r="M40" s="1" t="str">
        <f>"陕西省 咸阳市 渭城区 周陵街道"</f>
        <v>陕西省 咸阳市 渭城区 周陵街道</v>
      </c>
      <c r="N40" s="1" t="str">
        <f t="shared" si="22"/>
        <v>凡华云仓-城南圆通-抖音</v>
      </c>
      <c r="O40" s="5" t="s">
        <v>68</v>
      </c>
      <c r="P40" s="6">
        <v>0.35</v>
      </c>
      <c r="Q40" s="11">
        <v>2.2999999999999998</v>
      </c>
      <c r="R40" s="11"/>
      <c r="S40" s="11"/>
      <c r="T40" s="11"/>
      <c r="U40" s="11">
        <f t="shared" si="8"/>
        <v>2.2999999999999998</v>
      </c>
      <c r="W40">
        <v>2.5</v>
      </c>
      <c r="X40" s="1" t="s">
        <v>32</v>
      </c>
    </row>
    <row r="41" spans="1:24" x14ac:dyDescent="0.25">
      <c r="A41" s="1" t="str">
        <f t="shared" si="0"/>
        <v>卡卡杜-凤凰仓</v>
      </c>
      <c r="B41" s="1" t="str">
        <f>"CK2024103110496"</f>
        <v>CK2024103110496</v>
      </c>
      <c r="C41" s="1" t="str">
        <f>"DD2024103128893"</f>
        <v>DD2024103128893</v>
      </c>
      <c r="D41" s="1" t="str">
        <f>"CK2024103128986"</f>
        <v>CK2024103128986</v>
      </c>
      <c r="E41" s="1" t="str">
        <f>"6935714751416899032"</f>
        <v>6935714751416899032</v>
      </c>
      <c r="F41" s="1" t="str">
        <f t="shared" si="1"/>
        <v>花都四部-凤凰仓</v>
      </c>
      <c r="G41" s="1" t="str">
        <f t="shared" si="20"/>
        <v>卡卡杜个人护理店（抖店）</v>
      </c>
      <c r="H41" s="1" t="str">
        <f t="shared" si="2"/>
        <v>正常订单</v>
      </c>
      <c r="I41" s="1" t="str">
        <f t="shared" si="3"/>
        <v>已发货</v>
      </c>
      <c r="J41" s="1" t="str">
        <f t="shared" si="21"/>
        <v>3</v>
      </c>
      <c r="K41" s="1">
        <v>2</v>
      </c>
      <c r="L41" s="1" t="s">
        <v>20</v>
      </c>
      <c r="M41" s="1" t="str">
        <f>"浙江省 金华市 武义县 泉溪镇"</f>
        <v>浙江省 金华市 武义县 泉溪镇</v>
      </c>
      <c r="N41" s="1" t="str">
        <f t="shared" si="22"/>
        <v>凡华云仓-城南圆通-抖音</v>
      </c>
      <c r="O41" s="5" t="s">
        <v>69</v>
      </c>
      <c r="P41" s="6">
        <v>0.35</v>
      </c>
      <c r="Q41" s="11">
        <v>2.2999999999999998</v>
      </c>
      <c r="R41" s="11"/>
      <c r="S41" s="11"/>
      <c r="T41" s="11"/>
      <c r="U41" s="11">
        <f t="shared" si="8"/>
        <v>2.2999999999999998</v>
      </c>
      <c r="W41">
        <v>2.5</v>
      </c>
      <c r="X41" s="1" t="s">
        <v>20</v>
      </c>
    </row>
    <row r="42" spans="1:24" x14ac:dyDescent="0.25">
      <c r="A42" s="1" t="str">
        <f t="shared" si="0"/>
        <v>卡卡杜-凤凰仓</v>
      </c>
      <c r="B42" s="1" t="str">
        <f>"CK2024103110495"</f>
        <v>CK2024103110495</v>
      </c>
      <c r="C42" s="1" t="str">
        <f>"DD2024103128890"</f>
        <v>DD2024103128890</v>
      </c>
      <c r="D42" s="1" t="str">
        <f>"CK2024103128985"</f>
        <v>CK2024103128985</v>
      </c>
      <c r="E42" s="1" t="str">
        <f>"6935708608450532823"</f>
        <v>6935708608450532823</v>
      </c>
      <c r="F42" s="1" t="str">
        <f t="shared" si="1"/>
        <v>花都四部-凤凰仓</v>
      </c>
      <c r="G42" s="1" t="str">
        <f t="shared" si="20"/>
        <v>卡卡杜个人护理店（抖店）</v>
      </c>
      <c r="H42" s="1" t="str">
        <f t="shared" si="2"/>
        <v>正常订单</v>
      </c>
      <c r="I42" s="1" t="str">
        <f t="shared" si="3"/>
        <v>已发货</v>
      </c>
      <c r="J42" s="1" t="str">
        <f t="shared" si="21"/>
        <v>3</v>
      </c>
      <c r="K42" s="1">
        <v>2</v>
      </c>
      <c r="L42" s="1" t="s">
        <v>20</v>
      </c>
      <c r="M42" s="1" t="str">
        <f>"浙江省 杭州市 上城区 笕桥街道"</f>
        <v>浙江省 杭州市 上城区 笕桥街道</v>
      </c>
      <c r="N42" s="1" t="str">
        <f t="shared" si="22"/>
        <v>凡华云仓-城南圆通-抖音</v>
      </c>
      <c r="O42" s="5" t="s">
        <v>70</v>
      </c>
      <c r="P42" s="6">
        <v>0.35</v>
      </c>
      <c r="Q42" s="11">
        <v>2.2999999999999998</v>
      </c>
      <c r="R42" s="11"/>
      <c r="S42" s="11"/>
      <c r="T42" s="11"/>
      <c r="U42" s="11">
        <f t="shared" si="8"/>
        <v>2.2999999999999998</v>
      </c>
      <c r="W42">
        <v>2.5</v>
      </c>
      <c r="X42" s="1" t="s">
        <v>20</v>
      </c>
    </row>
    <row r="43" spans="1:24" x14ac:dyDescent="0.25">
      <c r="A43" s="1" t="str">
        <f t="shared" si="0"/>
        <v>卡卡杜-凤凰仓</v>
      </c>
      <c r="B43" s="1" t="str">
        <f>"CK2024103110494"</f>
        <v>CK2024103110494</v>
      </c>
      <c r="C43" s="1" t="str">
        <f>"DD2024103128891"</f>
        <v>DD2024103128891</v>
      </c>
      <c r="D43" s="1" t="str">
        <f>"CK2024103128984"</f>
        <v>CK2024103128984</v>
      </c>
      <c r="E43" s="1" t="str">
        <f>"6935716971903128595"</f>
        <v>6935716971903128595</v>
      </c>
      <c r="F43" s="1" t="str">
        <f t="shared" si="1"/>
        <v>花都四部-凤凰仓</v>
      </c>
      <c r="G43" s="1" t="str">
        <f t="shared" si="20"/>
        <v>卡卡杜个人护理店（抖店）</v>
      </c>
      <c r="H43" s="1" t="str">
        <f t="shared" si="2"/>
        <v>正常订单</v>
      </c>
      <c r="I43" s="1" t="str">
        <f t="shared" si="3"/>
        <v>已发货</v>
      </c>
      <c r="J43" s="1" t="str">
        <f t="shared" si="21"/>
        <v>3</v>
      </c>
      <c r="K43" s="1">
        <v>2</v>
      </c>
      <c r="L43" s="1" t="s">
        <v>13</v>
      </c>
      <c r="M43" s="1" t="str">
        <f>"江苏省 扬州市 广陵区 汤汪乡"</f>
        <v>江苏省 扬州市 广陵区 汤汪乡</v>
      </c>
      <c r="N43" s="1" t="str">
        <f t="shared" si="22"/>
        <v>凡华云仓-城南圆通-抖音</v>
      </c>
      <c r="O43" s="5" t="s">
        <v>71</v>
      </c>
      <c r="P43" s="6">
        <v>0.35</v>
      </c>
      <c r="Q43" s="11">
        <v>2.2999999999999998</v>
      </c>
      <c r="R43" s="11"/>
      <c r="S43" s="11"/>
      <c r="T43" s="11"/>
      <c r="U43" s="11">
        <f t="shared" si="8"/>
        <v>2.2999999999999998</v>
      </c>
      <c r="W43">
        <v>2.5</v>
      </c>
      <c r="X43" s="1" t="s">
        <v>13</v>
      </c>
    </row>
    <row r="44" spans="1:24" x14ac:dyDescent="0.25">
      <c r="A44" s="1" t="str">
        <f t="shared" si="0"/>
        <v>卡卡杜-凤凰仓</v>
      </c>
      <c r="B44" s="1" t="str">
        <f>"CK2024103110497"</f>
        <v>CK2024103110497</v>
      </c>
      <c r="C44" s="1" t="str">
        <f>"DD2024103128894"</f>
        <v>DD2024103128894</v>
      </c>
      <c r="D44" s="1" t="str">
        <f>"CK2024103128983"</f>
        <v>CK2024103128983</v>
      </c>
      <c r="E44" s="1" t="str">
        <f>"6935688269828789520"</f>
        <v>6935688269828789520</v>
      </c>
      <c r="F44" s="1" t="str">
        <f t="shared" si="1"/>
        <v>花都四部-凤凰仓</v>
      </c>
      <c r="G44" s="1" t="str">
        <f t="shared" si="20"/>
        <v>卡卡杜个人护理店（抖店）</v>
      </c>
      <c r="H44" s="1" t="str">
        <f t="shared" si="2"/>
        <v>正常订单</v>
      </c>
      <c r="I44" s="1" t="str">
        <f t="shared" si="3"/>
        <v>已发货</v>
      </c>
      <c r="J44" s="1" t="str">
        <f t="shared" si="21"/>
        <v>3</v>
      </c>
      <c r="K44" s="1">
        <v>2</v>
      </c>
      <c r="L44" s="1" t="s">
        <v>60</v>
      </c>
      <c r="M44" s="1" t="str">
        <f>"云南省 昆明市 五华区 莲华街道"</f>
        <v>云南省 昆明市 五华区 莲华街道</v>
      </c>
      <c r="N44" s="1" t="str">
        <f t="shared" si="22"/>
        <v>凡华云仓-城南圆通-抖音</v>
      </c>
      <c r="O44" s="5" t="s">
        <v>72</v>
      </c>
      <c r="P44" s="6">
        <v>0.35</v>
      </c>
      <c r="Q44" s="11">
        <v>2.2999999999999998</v>
      </c>
      <c r="R44" s="11"/>
      <c r="S44" s="11"/>
      <c r="T44" s="11"/>
      <c r="U44" s="11">
        <f t="shared" si="8"/>
        <v>2.2999999999999998</v>
      </c>
      <c r="W44">
        <v>2.5</v>
      </c>
      <c r="X44" s="1" t="s">
        <v>60</v>
      </c>
    </row>
    <row r="45" spans="1:24" x14ac:dyDescent="0.25">
      <c r="A45" s="1" t="str">
        <f t="shared" si="0"/>
        <v>卡卡杜-凤凰仓</v>
      </c>
      <c r="B45" s="1" t="str">
        <f>"CK2024103110492"</f>
        <v>CK2024103110492</v>
      </c>
      <c r="C45" s="1" t="str">
        <f>"DD2024103128886"</f>
        <v>DD2024103128886</v>
      </c>
      <c r="D45" s="1" t="str">
        <f>"CK2024103128982"</f>
        <v>CK2024103128982</v>
      </c>
      <c r="E45" s="1" t="str">
        <f>"6935686084778726439"</f>
        <v>6935686084778726439</v>
      </c>
      <c r="F45" s="1" t="str">
        <f t="shared" si="1"/>
        <v>花都四部-凤凰仓</v>
      </c>
      <c r="G45" s="1" t="str">
        <f t="shared" si="20"/>
        <v>卡卡杜个人护理店（抖店）</v>
      </c>
      <c r="H45" s="1" t="str">
        <f t="shared" si="2"/>
        <v>正常订单</v>
      </c>
      <c r="I45" s="1" t="str">
        <f t="shared" si="3"/>
        <v>已发货</v>
      </c>
      <c r="J45" s="1" t="str">
        <f t="shared" si="21"/>
        <v>3</v>
      </c>
      <c r="K45" s="1">
        <v>2</v>
      </c>
      <c r="L45" s="1" t="s">
        <v>13</v>
      </c>
      <c r="M45" s="1" t="str">
        <f>"江苏省 扬州市 广陵区 曲江街道"</f>
        <v>江苏省 扬州市 广陵区 曲江街道</v>
      </c>
      <c r="N45" s="1" t="str">
        <f t="shared" si="22"/>
        <v>凡华云仓-城南圆通-抖音</v>
      </c>
      <c r="O45" s="5" t="s">
        <v>73</v>
      </c>
      <c r="P45" s="6">
        <v>0.35</v>
      </c>
      <c r="Q45" s="11">
        <v>2.2999999999999998</v>
      </c>
      <c r="R45" s="11"/>
      <c r="S45" s="11"/>
      <c r="T45" s="11"/>
      <c r="U45" s="11">
        <f t="shared" si="8"/>
        <v>2.2999999999999998</v>
      </c>
      <c r="W45">
        <v>2.5</v>
      </c>
      <c r="X45" s="1" t="s">
        <v>13</v>
      </c>
    </row>
    <row r="46" spans="1:24" x14ac:dyDescent="0.25">
      <c r="A46" s="1" t="str">
        <f t="shared" si="0"/>
        <v>卡卡杜-凤凰仓</v>
      </c>
      <c r="B46" s="1" t="str">
        <f>"CK2024103110525"</f>
        <v>CK2024103110525</v>
      </c>
      <c r="C46" s="1" t="str">
        <f>"DD2024103128923"</f>
        <v>DD2024103128923</v>
      </c>
      <c r="D46" s="1" t="str">
        <f>"CK2024103128981"</f>
        <v>CK2024103128981</v>
      </c>
      <c r="E46" s="1" t="str">
        <f>"6935704300644210110"</f>
        <v>6935704300644210110</v>
      </c>
      <c r="F46" s="1" t="str">
        <f t="shared" si="1"/>
        <v>花都四部-凤凰仓</v>
      </c>
      <c r="G46" s="1" t="str">
        <f t="shared" si="20"/>
        <v>卡卡杜个人护理店（抖店）</v>
      </c>
      <c r="H46" s="1" t="str">
        <f t="shared" si="2"/>
        <v>正常订单</v>
      </c>
      <c r="I46" s="1" t="str">
        <f t="shared" si="3"/>
        <v>已发货</v>
      </c>
      <c r="J46" s="1" t="str">
        <f t="shared" si="21"/>
        <v>3</v>
      </c>
      <c r="K46" s="1">
        <v>2</v>
      </c>
      <c r="L46" s="1" t="s">
        <v>74</v>
      </c>
      <c r="M46" s="1" t="str">
        <f>"上海 上海市 浦东新区 三林镇"</f>
        <v>上海 上海市 浦东新区 三林镇</v>
      </c>
      <c r="N46" s="1" t="str">
        <f t="shared" si="22"/>
        <v>凡华云仓-城南圆通-抖音</v>
      </c>
      <c r="O46" s="5" t="s">
        <v>75</v>
      </c>
      <c r="P46" s="6">
        <v>0.35</v>
      </c>
      <c r="Q46" s="11">
        <v>2.2999999999999998</v>
      </c>
      <c r="R46" s="11"/>
      <c r="S46" s="11"/>
      <c r="T46" s="11"/>
      <c r="U46" s="11">
        <f t="shared" si="8"/>
        <v>2.2999999999999998</v>
      </c>
      <c r="W46">
        <v>2.5</v>
      </c>
      <c r="X46" s="1" t="s">
        <v>74</v>
      </c>
    </row>
    <row r="47" spans="1:24" x14ac:dyDescent="0.25">
      <c r="A47" s="1" t="str">
        <f t="shared" si="0"/>
        <v>卡卡杜-凤凰仓</v>
      </c>
      <c r="B47" s="1" t="str">
        <f>"CK2024103110503"</f>
        <v>CK2024103110503</v>
      </c>
      <c r="C47" s="1" t="str">
        <f>"DD2024103128900"</f>
        <v>DD2024103128900</v>
      </c>
      <c r="D47" s="1" t="str">
        <f>"CK2024103128980"</f>
        <v>CK2024103128980</v>
      </c>
      <c r="E47" s="1" t="str">
        <f>"6935704269270554429"</f>
        <v>6935704269270554429</v>
      </c>
      <c r="F47" s="1" t="str">
        <f t="shared" si="1"/>
        <v>花都四部-凤凰仓</v>
      </c>
      <c r="G47" s="1" t="str">
        <f t="shared" si="20"/>
        <v>卡卡杜个人护理店（抖店）</v>
      </c>
      <c r="H47" s="1" t="str">
        <f t="shared" si="2"/>
        <v>正常订单</v>
      </c>
      <c r="I47" s="1" t="str">
        <f t="shared" si="3"/>
        <v>已发货</v>
      </c>
      <c r="J47" s="1" t="str">
        <f t="shared" si="21"/>
        <v>3</v>
      </c>
      <c r="K47" s="1">
        <v>2</v>
      </c>
      <c r="L47" s="1" t="s">
        <v>13</v>
      </c>
      <c r="M47" s="1" t="str">
        <f>"江苏省 南京市 栖霞区 迈皋桥街道"</f>
        <v>江苏省 南京市 栖霞区 迈皋桥街道</v>
      </c>
      <c r="N47" s="1" t="str">
        <f t="shared" si="22"/>
        <v>凡华云仓-城南圆通-抖音</v>
      </c>
      <c r="O47" s="5" t="s">
        <v>76</v>
      </c>
      <c r="P47" s="6">
        <v>0.35</v>
      </c>
      <c r="Q47" s="11">
        <v>2.2999999999999998</v>
      </c>
      <c r="R47" s="11"/>
      <c r="S47" s="11"/>
      <c r="T47" s="11"/>
      <c r="U47" s="11">
        <f t="shared" si="8"/>
        <v>2.2999999999999998</v>
      </c>
      <c r="W47">
        <v>2.5</v>
      </c>
      <c r="X47" s="1" t="s">
        <v>13</v>
      </c>
    </row>
    <row r="48" spans="1:24" x14ac:dyDescent="0.25">
      <c r="A48" s="1" t="str">
        <f t="shared" si="0"/>
        <v>卡卡杜-凤凰仓</v>
      </c>
      <c r="B48" s="1" t="str">
        <f>"CK2024103110509"</f>
        <v>CK2024103110509</v>
      </c>
      <c r="C48" s="1" t="str">
        <f>"DD2024103128901"</f>
        <v>DD2024103128901</v>
      </c>
      <c r="D48" s="1" t="str">
        <f>"CK2024103128979"</f>
        <v>CK2024103128979</v>
      </c>
      <c r="E48" s="1" t="str">
        <f>"6935708584823493950"</f>
        <v>6935708584823493950</v>
      </c>
      <c r="F48" s="1" t="str">
        <f t="shared" si="1"/>
        <v>花都四部-凤凰仓</v>
      </c>
      <c r="G48" s="1" t="str">
        <f t="shared" si="20"/>
        <v>卡卡杜个人护理店（抖店）</v>
      </c>
      <c r="H48" s="1" t="str">
        <f t="shared" si="2"/>
        <v>正常订单</v>
      </c>
      <c r="I48" s="1" t="str">
        <f t="shared" si="3"/>
        <v>已发货</v>
      </c>
      <c r="J48" s="1" t="str">
        <f t="shared" si="21"/>
        <v>3</v>
      </c>
      <c r="K48" s="1">
        <v>2</v>
      </c>
      <c r="L48" s="1" t="s">
        <v>13</v>
      </c>
      <c r="M48" s="1" t="str">
        <f>"江苏省 南京市 鼓楼区 江东街道"</f>
        <v>江苏省 南京市 鼓楼区 江东街道</v>
      </c>
      <c r="N48" s="1" t="str">
        <f t="shared" si="22"/>
        <v>凡华云仓-城南圆通-抖音</v>
      </c>
      <c r="O48" s="5" t="s">
        <v>77</v>
      </c>
      <c r="P48" s="6">
        <v>0.35</v>
      </c>
      <c r="Q48" s="11">
        <v>2.2999999999999998</v>
      </c>
      <c r="R48" s="11"/>
      <c r="S48" s="11"/>
      <c r="T48" s="11"/>
      <c r="U48" s="11">
        <f t="shared" si="8"/>
        <v>2.2999999999999998</v>
      </c>
      <c r="W48">
        <v>2.5</v>
      </c>
      <c r="X48" s="1" t="s">
        <v>13</v>
      </c>
    </row>
    <row r="49" spans="1:24" x14ac:dyDescent="0.25">
      <c r="A49" s="1" t="str">
        <f t="shared" si="0"/>
        <v>卡卡杜-凤凰仓</v>
      </c>
      <c r="B49" s="1" t="str">
        <f>"CK2024103110491"</f>
        <v>CK2024103110491</v>
      </c>
      <c r="C49" s="1" t="str">
        <f>"DD2024103128888"</f>
        <v>DD2024103128888</v>
      </c>
      <c r="D49" s="1" t="str">
        <f>"CK2024103128978"</f>
        <v>CK2024103128978</v>
      </c>
      <c r="E49" s="1" t="str">
        <f>"6935700029521401497"</f>
        <v>6935700029521401497</v>
      </c>
      <c r="F49" s="1" t="str">
        <f t="shared" si="1"/>
        <v>花都四部-凤凰仓</v>
      </c>
      <c r="G49" s="1" t="str">
        <f t="shared" si="20"/>
        <v>卡卡杜个人护理店（抖店）</v>
      </c>
      <c r="H49" s="1" t="str">
        <f t="shared" si="2"/>
        <v>正常订单</v>
      </c>
      <c r="I49" s="1" t="str">
        <f t="shared" si="3"/>
        <v>已发货</v>
      </c>
      <c r="J49" s="1" t="str">
        <f t="shared" si="21"/>
        <v>3</v>
      </c>
      <c r="K49" s="1">
        <v>2</v>
      </c>
      <c r="L49" s="1" t="s">
        <v>13</v>
      </c>
      <c r="M49" s="1" t="str">
        <f>"江苏省 盐城市 亭湖区 文峰街道"</f>
        <v>江苏省 盐城市 亭湖区 文峰街道</v>
      </c>
      <c r="N49" s="1" t="str">
        <f t="shared" si="22"/>
        <v>凡华云仓-城南圆通-抖音</v>
      </c>
      <c r="O49" s="5" t="s">
        <v>78</v>
      </c>
      <c r="P49" s="6">
        <v>0.35</v>
      </c>
      <c r="Q49" s="11">
        <v>2.2999999999999998</v>
      </c>
      <c r="R49" s="11"/>
      <c r="S49" s="11"/>
      <c r="T49" s="11"/>
      <c r="U49" s="11">
        <f t="shared" si="8"/>
        <v>2.2999999999999998</v>
      </c>
      <c r="W49">
        <v>2.5</v>
      </c>
      <c r="X49" s="1" t="s">
        <v>13</v>
      </c>
    </row>
    <row r="50" spans="1:24" x14ac:dyDescent="0.25">
      <c r="A50" s="1" t="str">
        <f t="shared" si="0"/>
        <v>卡卡杜-凤凰仓</v>
      </c>
      <c r="B50" s="1" t="str">
        <f>"CK2024103110523"</f>
        <v>CK2024103110523</v>
      </c>
      <c r="C50" s="1" t="str">
        <f>"DD2024103128921"</f>
        <v>DD2024103128921</v>
      </c>
      <c r="D50" s="1" t="str">
        <f>"CK2024103128977"</f>
        <v>CK2024103128977</v>
      </c>
      <c r="E50" s="1" t="str">
        <f>"6935701669519300368"</f>
        <v>6935701669519300368</v>
      </c>
      <c r="F50" s="1" t="str">
        <f t="shared" si="1"/>
        <v>花都四部-凤凰仓</v>
      </c>
      <c r="G50" s="1" t="str">
        <f t="shared" si="20"/>
        <v>卡卡杜个人护理店（抖店）</v>
      </c>
      <c r="H50" s="1" t="str">
        <f t="shared" si="2"/>
        <v>正常订单</v>
      </c>
      <c r="I50" s="1" t="str">
        <f t="shared" si="3"/>
        <v>已发货</v>
      </c>
      <c r="J50" s="1" t="str">
        <f t="shared" si="21"/>
        <v>3</v>
      </c>
      <c r="K50" s="1">
        <v>2</v>
      </c>
      <c r="L50" s="1" t="s">
        <v>74</v>
      </c>
      <c r="M50" s="1" t="str">
        <f>"上海 上海市 闵行区 古美街道"</f>
        <v>上海 上海市 闵行区 古美街道</v>
      </c>
      <c r="N50" s="1" t="str">
        <f t="shared" si="22"/>
        <v>凡华云仓-城南圆通-抖音</v>
      </c>
      <c r="O50" s="5" t="s">
        <v>79</v>
      </c>
      <c r="P50" s="6">
        <v>0.35</v>
      </c>
      <c r="Q50" s="11">
        <v>2.2999999999999998</v>
      </c>
      <c r="R50" s="11"/>
      <c r="S50" s="11"/>
      <c r="T50" s="11"/>
      <c r="U50" s="11">
        <f t="shared" si="8"/>
        <v>2.2999999999999998</v>
      </c>
      <c r="W50">
        <v>2.5</v>
      </c>
      <c r="X50" s="1" t="s">
        <v>74</v>
      </c>
    </row>
    <row r="51" spans="1:24" x14ac:dyDescent="0.25">
      <c r="A51" s="1" t="str">
        <f t="shared" si="0"/>
        <v>卡卡杜-凤凰仓</v>
      </c>
      <c r="B51" s="1" t="str">
        <f>"CK2024103110493"</f>
        <v>CK2024103110493</v>
      </c>
      <c r="C51" s="1" t="str">
        <f>"DD2024103128892"</f>
        <v>DD2024103128892</v>
      </c>
      <c r="D51" s="1" t="str">
        <f>"CK2024103128976"</f>
        <v>CK2024103128976</v>
      </c>
      <c r="E51" s="1" t="str">
        <f>"6935714793871578267"</f>
        <v>6935714793871578267</v>
      </c>
      <c r="F51" s="1" t="str">
        <f t="shared" si="1"/>
        <v>花都四部-凤凰仓</v>
      </c>
      <c r="G51" s="1" t="str">
        <f t="shared" si="20"/>
        <v>卡卡杜个人护理店（抖店）</v>
      </c>
      <c r="H51" s="1" t="str">
        <f t="shared" si="2"/>
        <v>正常订单</v>
      </c>
      <c r="I51" s="1" t="str">
        <f t="shared" si="3"/>
        <v>已发货</v>
      </c>
      <c r="J51" s="1" t="str">
        <f t="shared" si="21"/>
        <v>3</v>
      </c>
      <c r="K51" s="1">
        <v>2</v>
      </c>
      <c r="L51" s="1" t="s">
        <v>80</v>
      </c>
      <c r="M51" s="1" t="str">
        <f>"河南省 新乡市 红旗区 向阳小区街道"</f>
        <v>河南省 新乡市 红旗区 向阳小区街道</v>
      </c>
      <c r="N51" s="1" t="str">
        <f t="shared" si="22"/>
        <v>凡华云仓-城南圆通-抖音</v>
      </c>
      <c r="O51" s="5" t="s">
        <v>81</v>
      </c>
      <c r="P51" s="6">
        <v>0.35</v>
      </c>
      <c r="Q51" s="11">
        <v>2.2999999999999998</v>
      </c>
      <c r="R51" s="11"/>
      <c r="S51" s="11"/>
      <c r="T51" s="11"/>
      <c r="U51" s="11">
        <f t="shared" si="8"/>
        <v>2.2999999999999998</v>
      </c>
      <c r="W51">
        <v>2.5</v>
      </c>
      <c r="X51" s="1" t="s">
        <v>80</v>
      </c>
    </row>
    <row r="52" spans="1:24" x14ac:dyDescent="0.25">
      <c r="A52" s="1" t="str">
        <f t="shared" si="0"/>
        <v>卡卡杜-凤凰仓</v>
      </c>
      <c r="B52" s="1" t="str">
        <f>"CK2024103110524"</f>
        <v>CK2024103110524</v>
      </c>
      <c r="C52" s="1" t="str">
        <f>"DD2024103128922"</f>
        <v>DD2024103128922</v>
      </c>
      <c r="D52" s="1" t="str">
        <f>"CK2024103128975"</f>
        <v>CK2024103128975</v>
      </c>
      <c r="E52" s="1" t="str">
        <f>"6935693033712195528"</f>
        <v>6935693033712195528</v>
      </c>
      <c r="F52" s="1" t="str">
        <f t="shared" si="1"/>
        <v>花都四部-凤凰仓</v>
      </c>
      <c r="G52" s="1" t="str">
        <f t="shared" si="20"/>
        <v>卡卡杜个人护理店（抖店）</v>
      </c>
      <c r="H52" s="1" t="str">
        <f t="shared" si="2"/>
        <v>正常订单</v>
      </c>
      <c r="I52" s="1" t="str">
        <f t="shared" si="3"/>
        <v>已发货</v>
      </c>
      <c r="J52" s="1" t="str">
        <f t="shared" si="21"/>
        <v>3</v>
      </c>
      <c r="K52" s="1">
        <v>2</v>
      </c>
      <c r="L52" s="1" t="s">
        <v>74</v>
      </c>
      <c r="M52" s="1" t="str">
        <f>"上海 上海市 静安区 宝山路街道"</f>
        <v>上海 上海市 静安区 宝山路街道</v>
      </c>
      <c r="N52" s="1" t="str">
        <f t="shared" si="22"/>
        <v>凡华云仓-城南圆通-抖音</v>
      </c>
      <c r="O52" s="5" t="s">
        <v>82</v>
      </c>
      <c r="P52" s="6">
        <v>0.35</v>
      </c>
      <c r="Q52" s="11">
        <v>2.2999999999999998</v>
      </c>
      <c r="R52" s="11"/>
      <c r="S52" s="11"/>
      <c r="T52" s="11"/>
      <c r="U52" s="11">
        <f t="shared" si="8"/>
        <v>2.2999999999999998</v>
      </c>
      <c r="W52">
        <v>2.5</v>
      </c>
      <c r="X52" s="1" t="s">
        <v>74</v>
      </c>
    </row>
    <row r="53" spans="1:24" x14ac:dyDescent="0.25">
      <c r="A53" s="1" t="str">
        <f t="shared" si="0"/>
        <v>卡卡杜-凤凰仓</v>
      </c>
      <c r="B53" s="1" t="str">
        <f>"CK2024103110508"</f>
        <v>CK2024103110508</v>
      </c>
      <c r="C53" s="1" t="str">
        <f>"DD2024103128905"</f>
        <v>DD2024103128905</v>
      </c>
      <c r="D53" s="1" t="str">
        <f>"CK2024103128974"</f>
        <v>CK2024103128974</v>
      </c>
      <c r="E53" s="1" t="str">
        <f>"6935701706330609159"</f>
        <v>6935701706330609159</v>
      </c>
      <c r="F53" s="1" t="str">
        <f t="shared" si="1"/>
        <v>花都四部-凤凰仓</v>
      </c>
      <c r="G53" s="1" t="str">
        <f t="shared" si="20"/>
        <v>卡卡杜个人护理店（抖店）</v>
      </c>
      <c r="H53" s="1" t="str">
        <f t="shared" si="2"/>
        <v>正常订单</v>
      </c>
      <c r="I53" s="1" t="str">
        <f t="shared" si="3"/>
        <v>已发货</v>
      </c>
      <c r="J53" s="1" t="str">
        <f t="shared" si="21"/>
        <v>3</v>
      </c>
      <c r="K53" s="1">
        <v>2</v>
      </c>
      <c r="L53" s="1" t="s">
        <v>80</v>
      </c>
      <c r="M53" s="1" t="str">
        <f>"河南省 周口市 鹿邑县 真源办事处"</f>
        <v>河南省 周口市 鹿邑县 真源办事处</v>
      </c>
      <c r="N53" s="1" t="str">
        <f t="shared" si="22"/>
        <v>凡华云仓-城南圆通-抖音</v>
      </c>
      <c r="O53" s="5" t="s">
        <v>83</v>
      </c>
      <c r="P53" s="6">
        <v>0.35</v>
      </c>
      <c r="Q53" s="11">
        <v>2.2999999999999998</v>
      </c>
      <c r="R53" s="11"/>
      <c r="S53" s="11"/>
      <c r="T53" s="11"/>
      <c r="U53" s="11">
        <f t="shared" si="8"/>
        <v>2.2999999999999998</v>
      </c>
      <c r="W53">
        <v>2.5</v>
      </c>
      <c r="X53" s="1" t="s">
        <v>80</v>
      </c>
    </row>
    <row r="54" spans="1:24" x14ac:dyDescent="0.25">
      <c r="A54" s="1" t="str">
        <f t="shared" si="0"/>
        <v>卡卡杜-凤凰仓</v>
      </c>
      <c r="B54" s="1" t="str">
        <f>"CK2024103110500"</f>
        <v>CK2024103110500</v>
      </c>
      <c r="C54" s="1" t="str">
        <f>"DD2024103128902"</f>
        <v>DD2024103128902</v>
      </c>
      <c r="D54" s="1" t="str">
        <f>"CK2024103128973"</f>
        <v>CK2024103128973</v>
      </c>
      <c r="E54" s="1" t="str">
        <f>"6935692973795120404"</f>
        <v>6935692973795120404</v>
      </c>
      <c r="F54" s="1" t="str">
        <f t="shared" si="1"/>
        <v>花都四部-凤凰仓</v>
      </c>
      <c r="G54" s="1" t="str">
        <f t="shared" si="20"/>
        <v>卡卡杜个人护理店（抖店）</v>
      </c>
      <c r="H54" s="1" t="str">
        <f t="shared" si="2"/>
        <v>正常订单</v>
      </c>
      <c r="I54" s="1" t="str">
        <f t="shared" si="3"/>
        <v>已发货</v>
      </c>
      <c r="J54" s="1" t="str">
        <f t="shared" si="21"/>
        <v>3</v>
      </c>
      <c r="K54" s="1">
        <v>2</v>
      </c>
      <c r="L54" s="1" t="s">
        <v>30</v>
      </c>
      <c r="M54" s="1" t="str">
        <f>"山东省 烟台市 海阳市 方圆街道"</f>
        <v>山东省 烟台市 海阳市 方圆街道</v>
      </c>
      <c r="N54" s="1" t="str">
        <f t="shared" si="22"/>
        <v>凡华云仓-城南圆通-抖音</v>
      </c>
      <c r="O54" s="5" t="s">
        <v>84</v>
      </c>
      <c r="P54" s="6">
        <v>0.35</v>
      </c>
      <c r="Q54" s="11">
        <v>2.2999999999999998</v>
      </c>
      <c r="R54" s="11"/>
      <c r="S54" s="11"/>
      <c r="T54" s="11"/>
      <c r="U54" s="11">
        <f t="shared" si="8"/>
        <v>2.2999999999999998</v>
      </c>
      <c r="W54">
        <v>2.5</v>
      </c>
      <c r="X54" s="1" t="s">
        <v>30</v>
      </c>
    </row>
    <row r="55" spans="1:24" x14ac:dyDescent="0.25">
      <c r="A55" s="1" t="str">
        <f t="shared" si="0"/>
        <v>卡卡杜-凤凰仓</v>
      </c>
      <c r="B55" s="1" t="str">
        <f>"CK2024103110504"</f>
        <v>CK2024103110504</v>
      </c>
      <c r="C55" s="1" t="str">
        <f>"DD2024103128906"</f>
        <v>DD2024103128906</v>
      </c>
      <c r="D55" s="1" t="str">
        <f>"CK2024103128972"</f>
        <v>CK2024103128972</v>
      </c>
      <c r="E55" s="1" t="str">
        <f>"6935710563467073355"</f>
        <v>6935710563467073355</v>
      </c>
      <c r="F55" s="1" t="str">
        <f t="shared" si="1"/>
        <v>花都四部-凤凰仓</v>
      </c>
      <c r="G55" s="1" t="str">
        <f t="shared" si="20"/>
        <v>卡卡杜个人护理店（抖店）</v>
      </c>
      <c r="H55" s="1" t="str">
        <f t="shared" si="2"/>
        <v>正常订单</v>
      </c>
      <c r="I55" s="1" t="str">
        <f t="shared" si="3"/>
        <v>已发货</v>
      </c>
      <c r="J55" s="1" t="str">
        <f t="shared" si="21"/>
        <v>3</v>
      </c>
      <c r="K55" s="1">
        <v>2</v>
      </c>
      <c r="L55" s="1" t="s">
        <v>13</v>
      </c>
      <c r="M55" s="1" t="str">
        <f>"江苏省 宿迁市 沭阳县 青伊湖镇"</f>
        <v>江苏省 宿迁市 沭阳县 青伊湖镇</v>
      </c>
      <c r="N55" s="1" t="str">
        <f t="shared" si="22"/>
        <v>凡华云仓-城南圆通-抖音</v>
      </c>
      <c r="O55" s="5" t="s">
        <v>85</v>
      </c>
      <c r="P55" s="6">
        <v>0.35</v>
      </c>
      <c r="Q55" s="11">
        <v>2.2999999999999998</v>
      </c>
      <c r="R55" s="11"/>
      <c r="S55" s="11"/>
      <c r="T55" s="11"/>
      <c r="U55" s="11">
        <f t="shared" si="8"/>
        <v>2.2999999999999998</v>
      </c>
      <c r="W55">
        <v>2.5</v>
      </c>
      <c r="X55" s="1" t="s">
        <v>13</v>
      </c>
    </row>
    <row r="56" spans="1:24" x14ac:dyDescent="0.25">
      <c r="A56" s="1" t="str">
        <f t="shared" si="0"/>
        <v>卡卡杜-凤凰仓</v>
      </c>
      <c r="B56" s="1" t="str">
        <f>"CK2024103110502"</f>
        <v>CK2024103110502</v>
      </c>
      <c r="C56" s="1" t="str">
        <f>"DD2024103128896"</f>
        <v>DD2024103128896</v>
      </c>
      <c r="D56" s="1" t="str">
        <f>"CK2024103128971"</f>
        <v>CK2024103128971</v>
      </c>
      <c r="E56" s="1" t="str">
        <f>"6935686125693769488"</f>
        <v>6935686125693769488</v>
      </c>
      <c r="F56" s="1" t="str">
        <f t="shared" si="1"/>
        <v>花都四部-凤凰仓</v>
      </c>
      <c r="G56" s="1" t="str">
        <f t="shared" si="20"/>
        <v>卡卡杜个人护理店（抖店）</v>
      </c>
      <c r="H56" s="1" t="str">
        <f t="shared" si="2"/>
        <v>正常订单</v>
      </c>
      <c r="I56" s="1" t="str">
        <f t="shared" si="3"/>
        <v>已发货</v>
      </c>
      <c r="J56" s="1" t="str">
        <f t="shared" si="21"/>
        <v>3</v>
      </c>
      <c r="K56" s="1">
        <v>2</v>
      </c>
      <c r="L56" s="1" t="s">
        <v>13</v>
      </c>
      <c r="M56" s="1" t="str">
        <f>"江苏省 南京市 六合区 大厂街道"</f>
        <v>江苏省 南京市 六合区 大厂街道</v>
      </c>
      <c r="N56" s="1" t="str">
        <f t="shared" si="22"/>
        <v>凡华云仓-城南圆通-抖音</v>
      </c>
      <c r="O56" s="5" t="s">
        <v>86</v>
      </c>
      <c r="P56" s="6">
        <v>0.35</v>
      </c>
      <c r="Q56" s="11">
        <v>2.2999999999999998</v>
      </c>
      <c r="R56" s="11"/>
      <c r="S56" s="11"/>
      <c r="T56" s="11"/>
      <c r="U56" s="11">
        <f t="shared" si="8"/>
        <v>2.2999999999999998</v>
      </c>
      <c r="W56">
        <v>2.5</v>
      </c>
      <c r="X56" s="1" t="s">
        <v>13</v>
      </c>
    </row>
    <row r="57" spans="1:24" x14ac:dyDescent="0.25">
      <c r="A57" s="1" t="str">
        <f t="shared" si="0"/>
        <v>卡卡杜-凤凰仓</v>
      </c>
      <c r="B57" s="1" t="str">
        <f>"CK2024103110501"</f>
        <v>CK2024103110501</v>
      </c>
      <c r="C57" s="1" t="str">
        <f>"DD2024103128897"</f>
        <v>DD2024103128897</v>
      </c>
      <c r="D57" s="1" t="str">
        <f>"CK2024103128970"</f>
        <v>CK2024103128970</v>
      </c>
      <c r="E57" s="1" t="str">
        <f>"6935690517265323843"</f>
        <v>6935690517265323843</v>
      </c>
      <c r="F57" s="1" t="str">
        <f t="shared" si="1"/>
        <v>花都四部-凤凰仓</v>
      </c>
      <c r="G57" s="1" t="str">
        <f t="shared" si="20"/>
        <v>卡卡杜个人护理店（抖店）</v>
      </c>
      <c r="H57" s="1" t="str">
        <f t="shared" si="2"/>
        <v>正常订单</v>
      </c>
      <c r="I57" s="1" t="str">
        <f t="shared" si="3"/>
        <v>已发货</v>
      </c>
      <c r="J57" s="1" t="str">
        <f t="shared" si="21"/>
        <v>3</v>
      </c>
      <c r="K57" s="1">
        <v>2</v>
      </c>
      <c r="L57" s="1" t="s">
        <v>20</v>
      </c>
      <c r="M57" s="1" t="str">
        <f>"浙江省 嘉兴市 平湖市 新仓镇"</f>
        <v>浙江省 嘉兴市 平湖市 新仓镇</v>
      </c>
      <c r="N57" s="1" t="str">
        <f t="shared" si="22"/>
        <v>凡华云仓-城南圆通-抖音</v>
      </c>
      <c r="O57" s="5" t="s">
        <v>87</v>
      </c>
      <c r="P57" s="6">
        <v>0.35</v>
      </c>
      <c r="Q57" s="11">
        <v>2.2999999999999998</v>
      </c>
      <c r="R57" s="11"/>
      <c r="S57" s="11"/>
      <c r="T57" s="11"/>
      <c r="U57" s="11">
        <f t="shared" si="8"/>
        <v>2.2999999999999998</v>
      </c>
      <c r="W57">
        <v>2.5</v>
      </c>
      <c r="X57" s="1" t="s">
        <v>20</v>
      </c>
    </row>
    <row r="58" spans="1:24" x14ac:dyDescent="0.25">
      <c r="A58" s="1" t="str">
        <f t="shared" si="0"/>
        <v>卡卡杜-凤凰仓</v>
      </c>
      <c r="B58" s="1" t="str">
        <f>"CK2024103110506"</f>
        <v>CK2024103110506</v>
      </c>
      <c r="C58" s="1" t="str">
        <f>"DD2024103128907"</f>
        <v>DD2024103128907</v>
      </c>
      <c r="D58" s="1" t="str">
        <f>"CK2024103128969"</f>
        <v>CK2024103128969</v>
      </c>
      <c r="E58" s="1" t="str">
        <f>"6935701683131127150"</f>
        <v>6935701683131127150</v>
      </c>
      <c r="F58" s="1" t="str">
        <f t="shared" si="1"/>
        <v>花都四部-凤凰仓</v>
      </c>
      <c r="G58" s="1" t="str">
        <f t="shared" si="20"/>
        <v>卡卡杜个人护理店（抖店）</v>
      </c>
      <c r="H58" s="1" t="str">
        <f t="shared" si="2"/>
        <v>正常订单</v>
      </c>
      <c r="I58" s="1" t="str">
        <f t="shared" si="3"/>
        <v>已发货</v>
      </c>
      <c r="J58" s="1" t="str">
        <f t="shared" si="21"/>
        <v>3</v>
      </c>
      <c r="K58" s="1">
        <v>2</v>
      </c>
      <c r="L58" s="1" t="s">
        <v>36</v>
      </c>
      <c r="M58" s="1" t="str">
        <f>"安徽省 六安市 舒城县 南港镇"</f>
        <v>安徽省 六安市 舒城县 南港镇</v>
      </c>
      <c r="N58" s="1" t="str">
        <f t="shared" si="22"/>
        <v>凡华云仓-城南圆通-抖音</v>
      </c>
      <c r="O58" s="5" t="s">
        <v>88</v>
      </c>
      <c r="P58" s="6">
        <v>0.35</v>
      </c>
      <c r="Q58" s="11">
        <v>2.2999999999999998</v>
      </c>
      <c r="R58" s="11"/>
      <c r="S58" s="11"/>
      <c r="T58" s="11"/>
      <c r="U58" s="11">
        <f t="shared" si="8"/>
        <v>2.2999999999999998</v>
      </c>
      <c r="W58">
        <v>2.5</v>
      </c>
      <c r="X58" s="1" t="s">
        <v>36</v>
      </c>
    </row>
    <row r="59" spans="1:24" x14ac:dyDescent="0.25">
      <c r="A59" s="1" t="str">
        <f t="shared" si="0"/>
        <v>卡卡杜-凤凰仓</v>
      </c>
      <c r="B59" s="1" t="str">
        <f>"CK2024103110505"</f>
        <v>CK2024103110505</v>
      </c>
      <c r="C59" s="1" t="str">
        <f>"DD2024103128899"</f>
        <v>DD2024103128899</v>
      </c>
      <c r="D59" s="1" t="str">
        <f>"CK2024103128968"</f>
        <v>CK2024103128968</v>
      </c>
      <c r="E59" s="1" t="str">
        <f>"6935714737426928928"</f>
        <v>6935714737426928928</v>
      </c>
      <c r="F59" s="1" t="str">
        <f t="shared" si="1"/>
        <v>花都四部-凤凰仓</v>
      </c>
      <c r="G59" s="1" t="str">
        <f t="shared" si="20"/>
        <v>卡卡杜个人护理店（抖店）</v>
      </c>
      <c r="H59" s="1" t="str">
        <f t="shared" si="2"/>
        <v>正常订单</v>
      </c>
      <c r="I59" s="1" t="str">
        <f t="shared" si="3"/>
        <v>已发货</v>
      </c>
      <c r="J59" s="1" t="str">
        <f t="shared" si="21"/>
        <v>3</v>
      </c>
      <c r="K59" s="1">
        <v>2</v>
      </c>
      <c r="L59" s="1" t="s">
        <v>13</v>
      </c>
      <c r="M59" s="1" t="str">
        <f>"江苏省 南京市 玄武区 新街口街道"</f>
        <v>江苏省 南京市 玄武区 新街口街道</v>
      </c>
      <c r="N59" s="1" t="str">
        <f t="shared" si="22"/>
        <v>凡华云仓-城南圆通-抖音</v>
      </c>
      <c r="O59" s="5" t="s">
        <v>89</v>
      </c>
      <c r="P59" s="6">
        <v>0.35</v>
      </c>
      <c r="Q59" s="11">
        <v>2.2999999999999998</v>
      </c>
      <c r="R59" s="11"/>
      <c r="S59" s="11"/>
      <c r="T59" s="11"/>
      <c r="U59" s="11">
        <f t="shared" si="8"/>
        <v>2.2999999999999998</v>
      </c>
      <c r="W59">
        <v>2.5</v>
      </c>
      <c r="X59" s="1" t="s">
        <v>13</v>
      </c>
    </row>
    <row r="60" spans="1:24" x14ac:dyDescent="0.25">
      <c r="A60" s="1" t="str">
        <f t="shared" si="0"/>
        <v>卡卡杜-凤凰仓</v>
      </c>
      <c r="B60" s="1" t="str">
        <f>"CK2024103110499"</f>
        <v>CK2024103110499</v>
      </c>
      <c r="C60" s="1" t="str">
        <f>"DD2024103128898"</f>
        <v>DD2024103128898</v>
      </c>
      <c r="D60" s="1" t="str">
        <f>"CK2024103128967"</f>
        <v>CK2024103128967</v>
      </c>
      <c r="E60" s="1" t="str">
        <f>"6935714823334860130"</f>
        <v>6935714823334860130</v>
      </c>
      <c r="F60" s="1" t="str">
        <f t="shared" si="1"/>
        <v>花都四部-凤凰仓</v>
      </c>
      <c r="G60" s="1" t="str">
        <f t="shared" si="20"/>
        <v>卡卡杜个人护理店（抖店）</v>
      </c>
      <c r="H60" s="1" t="str">
        <f t="shared" si="2"/>
        <v>正常订单</v>
      </c>
      <c r="I60" s="1" t="str">
        <f t="shared" si="3"/>
        <v>已发货</v>
      </c>
      <c r="J60" s="1" t="str">
        <f t="shared" si="21"/>
        <v>3</v>
      </c>
      <c r="K60" s="1">
        <v>2</v>
      </c>
      <c r="L60" s="1" t="s">
        <v>36</v>
      </c>
      <c r="M60" s="1" t="str">
        <f>"安徽省 合肥市 肥东县 店埠镇"</f>
        <v>安徽省 合肥市 肥东县 店埠镇</v>
      </c>
      <c r="N60" s="1" t="str">
        <f t="shared" si="22"/>
        <v>凡华云仓-城南圆通-抖音</v>
      </c>
      <c r="O60" s="5" t="s">
        <v>90</v>
      </c>
      <c r="P60" s="6">
        <v>0.35</v>
      </c>
      <c r="Q60" s="11">
        <v>2.2999999999999998</v>
      </c>
      <c r="R60" s="11"/>
      <c r="S60" s="11"/>
      <c r="T60" s="11"/>
      <c r="U60" s="11">
        <f t="shared" si="8"/>
        <v>2.2999999999999998</v>
      </c>
      <c r="W60">
        <v>2.5</v>
      </c>
      <c r="X60" s="1" t="s">
        <v>36</v>
      </c>
    </row>
    <row r="61" spans="1:24" x14ac:dyDescent="0.25">
      <c r="A61" s="1" t="str">
        <f t="shared" si="0"/>
        <v>卡卡杜-凤凰仓</v>
      </c>
      <c r="B61" s="1" t="str">
        <f>"CK2024103110511"</f>
        <v>CK2024103110511</v>
      </c>
      <c r="C61" s="1" t="str">
        <f>"DD2024103128910"</f>
        <v>DD2024103128910</v>
      </c>
      <c r="D61" s="1" t="str">
        <f>"CK2024103128966"</f>
        <v>CK2024103128966</v>
      </c>
      <c r="E61" s="1" t="str">
        <f>"6935695214140331863"</f>
        <v>6935695214140331863</v>
      </c>
      <c r="F61" s="1" t="str">
        <f t="shared" si="1"/>
        <v>花都四部-凤凰仓</v>
      </c>
      <c r="G61" s="1" t="str">
        <f t="shared" si="20"/>
        <v>卡卡杜个人护理店（抖店）</v>
      </c>
      <c r="H61" s="1" t="str">
        <f t="shared" si="2"/>
        <v>正常订单</v>
      </c>
      <c r="I61" s="1" t="str">
        <f t="shared" si="3"/>
        <v>已发货</v>
      </c>
      <c r="J61" s="1" t="str">
        <f t="shared" si="21"/>
        <v>3</v>
      </c>
      <c r="K61" s="1">
        <v>2</v>
      </c>
      <c r="L61" s="1" t="s">
        <v>13</v>
      </c>
      <c r="M61" s="1" t="str">
        <f>"江苏省 苏州市 常熟市 琴川街道"</f>
        <v>江苏省 苏州市 常熟市 琴川街道</v>
      </c>
      <c r="N61" s="1" t="str">
        <f t="shared" si="22"/>
        <v>凡华云仓-城南圆通-抖音</v>
      </c>
      <c r="O61" s="5" t="s">
        <v>91</v>
      </c>
      <c r="P61" s="6">
        <v>0.35</v>
      </c>
      <c r="Q61" s="11">
        <v>2.2999999999999998</v>
      </c>
      <c r="R61" s="11"/>
      <c r="S61" s="11"/>
      <c r="T61" s="11"/>
      <c r="U61" s="11">
        <f t="shared" si="8"/>
        <v>2.2999999999999998</v>
      </c>
      <c r="W61">
        <v>2.5</v>
      </c>
      <c r="X61" s="1" t="s">
        <v>13</v>
      </c>
    </row>
    <row r="62" spans="1:24" x14ac:dyDescent="0.25">
      <c r="A62" s="1" t="str">
        <f t="shared" si="0"/>
        <v>卡卡杜-凤凰仓</v>
      </c>
      <c r="B62" s="1" t="str">
        <f>"CK2024103110529"</f>
        <v>CK2024103110529</v>
      </c>
      <c r="C62" s="1" t="str">
        <f>"DD2024103128927"</f>
        <v>DD2024103128927</v>
      </c>
      <c r="D62" s="1" t="str">
        <f>"CK2024103128965"</f>
        <v>CK2024103128965</v>
      </c>
      <c r="E62" s="1" t="str">
        <f>"6935714809887266138"</f>
        <v>6935714809887266138</v>
      </c>
      <c r="F62" s="1" t="str">
        <f t="shared" si="1"/>
        <v>花都四部-凤凰仓</v>
      </c>
      <c r="G62" s="1" t="str">
        <f t="shared" si="20"/>
        <v>卡卡杜个人护理店（抖店）</v>
      </c>
      <c r="H62" s="1" t="str">
        <f t="shared" si="2"/>
        <v>正常订单</v>
      </c>
      <c r="I62" s="1" t="str">
        <f t="shared" si="3"/>
        <v>已发货</v>
      </c>
      <c r="J62" s="1" t="str">
        <f t="shared" si="21"/>
        <v>3</v>
      </c>
      <c r="K62" s="1">
        <v>2</v>
      </c>
      <c r="L62" s="1" t="s">
        <v>92</v>
      </c>
      <c r="M62" s="1" t="str">
        <f>"辽宁省 营口市 鲅鱼圈区 望海街道"</f>
        <v>辽宁省 营口市 鲅鱼圈区 望海街道</v>
      </c>
      <c r="N62" s="1" t="str">
        <f t="shared" si="22"/>
        <v>凡华云仓-城南圆通-抖音</v>
      </c>
      <c r="O62" s="5" t="s">
        <v>93</v>
      </c>
      <c r="P62" s="6">
        <v>0.35</v>
      </c>
      <c r="Q62" s="11">
        <v>2.2999999999999998</v>
      </c>
      <c r="R62" s="11"/>
      <c r="S62" s="11"/>
      <c r="T62" s="11"/>
      <c r="U62" s="11">
        <f t="shared" si="8"/>
        <v>2.2999999999999998</v>
      </c>
      <c r="W62">
        <v>2.5</v>
      </c>
      <c r="X62" s="1" t="s">
        <v>92</v>
      </c>
    </row>
    <row r="63" spans="1:24" x14ac:dyDescent="0.25">
      <c r="A63" s="1" t="str">
        <f t="shared" si="0"/>
        <v>卡卡杜-凤凰仓</v>
      </c>
      <c r="B63" s="1" t="str">
        <f>"CK2024103110507"</f>
        <v>CK2024103110507</v>
      </c>
      <c r="C63" s="1" t="str">
        <f>"DD2024103128903"</f>
        <v>DD2024103128903</v>
      </c>
      <c r="D63" s="1" t="str">
        <f>"CK2024103128964"</f>
        <v>CK2024103128964</v>
      </c>
      <c r="E63" s="1" t="str">
        <f>"6935690598627742943"</f>
        <v>6935690598627742943</v>
      </c>
      <c r="F63" s="1" t="str">
        <f t="shared" si="1"/>
        <v>花都四部-凤凰仓</v>
      </c>
      <c r="G63" s="1" t="str">
        <f t="shared" si="20"/>
        <v>卡卡杜个人护理店（抖店）</v>
      </c>
      <c r="H63" s="1" t="str">
        <f t="shared" si="2"/>
        <v>正常订单</v>
      </c>
      <c r="I63" s="1" t="str">
        <f t="shared" si="3"/>
        <v>已发货</v>
      </c>
      <c r="J63" s="1" t="str">
        <f t="shared" si="21"/>
        <v>3</v>
      </c>
      <c r="K63" s="1">
        <v>2</v>
      </c>
      <c r="L63" s="1" t="s">
        <v>94</v>
      </c>
      <c r="M63" s="1" t="str">
        <f>"湖南省 娄底市 娄星区 长青街道"</f>
        <v>湖南省 娄底市 娄星区 长青街道</v>
      </c>
      <c r="N63" s="1" t="str">
        <f t="shared" si="22"/>
        <v>凡华云仓-城南圆通-抖音</v>
      </c>
      <c r="O63" s="5" t="s">
        <v>95</v>
      </c>
      <c r="P63" s="6">
        <v>0.35</v>
      </c>
      <c r="Q63" s="11">
        <v>2.2999999999999998</v>
      </c>
      <c r="R63" s="11"/>
      <c r="S63" s="11"/>
      <c r="T63" s="11"/>
      <c r="U63" s="11">
        <f t="shared" si="8"/>
        <v>2.2999999999999998</v>
      </c>
      <c r="W63">
        <v>2.5</v>
      </c>
      <c r="X63" s="1" t="s">
        <v>94</v>
      </c>
    </row>
    <row r="64" spans="1:24" x14ac:dyDescent="0.25">
      <c r="A64" s="1" t="str">
        <f t="shared" si="0"/>
        <v>卡卡杜-凤凰仓</v>
      </c>
      <c r="B64" s="1" t="str">
        <f>"CK2024103110517"</f>
        <v>CK2024103110517</v>
      </c>
      <c r="C64" s="1" t="str">
        <f>"DD2024103128915"</f>
        <v>DD2024103128915</v>
      </c>
      <c r="D64" s="1" t="str">
        <f>"CK2024103128963"</f>
        <v>CK2024103128963</v>
      </c>
      <c r="E64" s="1" t="str">
        <f>"6935690583832794870"</f>
        <v>6935690583832794870</v>
      </c>
      <c r="F64" s="1" t="str">
        <f t="shared" si="1"/>
        <v>花都四部-凤凰仓</v>
      </c>
      <c r="G64" s="1" t="str">
        <f t="shared" si="20"/>
        <v>卡卡杜个人护理店（抖店）</v>
      </c>
      <c r="H64" s="1" t="str">
        <f t="shared" si="2"/>
        <v>正常订单</v>
      </c>
      <c r="I64" s="1" t="str">
        <f t="shared" si="3"/>
        <v>已发货</v>
      </c>
      <c r="J64" s="1" t="str">
        <f t="shared" si="21"/>
        <v>3</v>
      </c>
      <c r="K64" s="1">
        <v>2</v>
      </c>
      <c r="L64" s="1" t="s">
        <v>96</v>
      </c>
      <c r="M64" s="1" t="str">
        <f>"广西壮族自治区 北海市 合浦县 白沙镇"</f>
        <v>广西壮族自治区 北海市 合浦县 白沙镇</v>
      </c>
      <c r="N64" s="1" t="str">
        <f t="shared" si="22"/>
        <v>凡华云仓-城南圆通-抖音</v>
      </c>
      <c r="O64" s="5" t="s">
        <v>97</v>
      </c>
      <c r="P64" s="6">
        <v>0.35</v>
      </c>
      <c r="Q64" s="11">
        <v>2.2999999999999998</v>
      </c>
      <c r="R64" s="11"/>
      <c r="S64" s="11"/>
      <c r="T64" s="11"/>
      <c r="U64" s="11">
        <f t="shared" si="8"/>
        <v>2.2999999999999998</v>
      </c>
      <c r="W64">
        <v>2.5</v>
      </c>
      <c r="X64" s="1" t="s">
        <v>96</v>
      </c>
    </row>
    <row r="65" spans="1:24" x14ac:dyDescent="0.25">
      <c r="A65" s="1" t="str">
        <f t="shared" si="0"/>
        <v>卡卡杜-凤凰仓</v>
      </c>
      <c r="B65" s="1" t="str">
        <f>"CK2024103110539"</f>
        <v>CK2024103110539</v>
      </c>
      <c r="C65" s="1" t="str">
        <f>"DD2024103128950"</f>
        <v>DD2024103128950</v>
      </c>
      <c r="D65" s="1" t="str">
        <f>"CK2024103128962"</f>
        <v>CK2024103128962</v>
      </c>
      <c r="E65" s="1" t="str">
        <f>"6935710661525116560"</f>
        <v>6935710661525116560</v>
      </c>
      <c r="F65" s="1" t="str">
        <f t="shared" si="1"/>
        <v>花都四部-凤凰仓</v>
      </c>
      <c r="G65" s="1" t="str">
        <f t="shared" si="20"/>
        <v>卡卡杜个人护理店（抖店）</v>
      </c>
      <c r="H65" s="1" t="str">
        <f t="shared" si="2"/>
        <v>正常订单</v>
      </c>
      <c r="I65" s="1" t="str">
        <f t="shared" si="3"/>
        <v>已发货</v>
      </c>
      <c r="J65" s="1" t="str">
        <f>"5"</f>
        <v>5</v>
      </c>
      <c r="K65" s="1">
        <v>2</v>
      </c>
      <c r="L65" s="1" t="s">
        <v>20</v>
      </c>
      <c r="M65" s="1" t="str">
        <f>"浙江省 台州市 温岭市 泽国镇"</f>
        <v>浙江省 台州市 温岭市 泽国镇</v>
      </c>
      <c r="N65" s="1" t="str">
        <f t="shared" si="22"/>
        <v>凡华云仓-城南圆通-抖音</v>
      </c>
      <c r="O65" s="5" t="s">
        <v>98</v>
      </c>
      <c r="P65" s="6">
        <v>0.59</v>
      </c>
      <c r="Q65" s="11">
        <f>CEILING(P65-0.5,0.1)*10*0.15+2.3</f>
        <v>2.4499999999999997</v>
      </c>
      <c r="R65" s="11"/>
      <c r="S65" s="11"/>
      <c r="T65" s="11"/>
      <c r="U65" s="11">
        <f t="shared" si="8"/>
        <v>2.4499999999999997</v>
      </c>
      <c r="V65" t="s">
        <v>15</v>
      </c>
      <c r="W65">
        <v>2.4500000000000002</v>
      </c>
      <c r="X65" s="1" t="s">
        <v>20</v>
      </c>
    </row>
    <row r="66" spans="1:24" x14ac:dyDescent="0.25">
      <c r="A66" s="1" t="str">
        <f t="shared" ref="A66:A129" si="23">"卡卡杜-凤凰仓"</f>
        <v>卡卡杜-凤凰仓</v>
      </c>
      <c r="B66" s="1" t="str">
        <f>"CK2024103110527"</f>
        <v>CK2024103110527</v>
      </c>
      <c r="C66" s="1" t="str">
        <f>"DD2024103128925"</f>
        <v>DD2024103128925</v>
      </c>
      <c r="D66" s="1" t="str">
        <f>"CK2024103128961"</f>
        <v>CK2024103128961</v>
      </c>
      <c r="E66" s="1" t="str">
        <f>"6935710622619342346"</f>
        <v>6935710622619342346</v>
      </c>
      <c r="F66" s="1" t="str">
        <f t="shared" ref="F66:F129" si="24">"花都四部-凤凰仓"</f>
        <v>花都四部-凤凰仓</v>
      </c>
      <c r="G66" s="1" t="str">
        <f t="shared" si="20"/>
        <v>卡卡杜个人护理店（抖店）</v>
      </c>
      <c r="H66" s="1" t="str">
        <f t="shared" ref="H66:H129" si="25">"正常订单"</f>
        <v>正常订单</v>
      </c>
      <c r="I66" s="1" t="str">
        <f t="shared" ref="I66:I129" si="26">"已发货"</f>
        <v>已发货</v>
      </c>
      <c r="J66" s="1" t="str">
        <f t="shared" ref="J66:J76" si="27">"3"</f>
        <v>3</v>
      </c>
      <c r="K66" s="1">
        <v>2</v>
      </c>
      <c r="L66" s="1" t="s">
        <v>20</v>
      </c>
      <c r="M66" s="1" t="str">
        <f>"浙江省 温州市 乐清市 白石街道"</f>
        <v>浙江省 温州市 乐清市 白石街道</v>
      </c>
      <c r="N66" s="1" t="str">
        <f t="shared" si="22"/>
        <v>凡华云仓-城南圆通-抖音</v>
      </c>
      <c r="O66" s="5" t="s">
        <v>99</v>
      </c>
      <c r="P66" s="6">
        <v>0.35</v>
      </c>
      <c r="Q66" s="11">
        <v>2.2999999999999998</v>
      </c>
      <c r="R66" s="11"/>
      <c r="S66" s="11"/>
      <c r="T66" s="11"/>
      <c r="U66" s="11">
        <f t="shared" si="8"/>
        <v>2.2999999999999998</v>
      </c>
      <c r="W66">
        <v>2.5</v>
      </c>
      <c r="X66" s="1" t="s">
        <v>20</v>
      </c>
    </row>
    <row r="67" spans="1:24" x14ac:dyDescent="0.25">
      <c r="A67" s="1" t="str">
        <f t="shared" si="23"/>
        <v>卡卡杜-凤凰仓</v>
      </c>
      <c r="B67" s="1" t="str">
        <f>"CK2024103110514"</f>
        <v>CK2024103110514</v>
      </c>
      <c r="C67" s="1" t="str">
        <f>"DD2024103128911"</f>
        <v>DD2024103128911</v>
      </c>
      <c r="D67" s="1" t="str">
        <f>"CK2024103128960"</f>
        <v>CK2024103128960</v>
      </c>
      <c r="E67" s="1" t="str">
        <f>"6935697186568673237"</f>
        <v>6935697186568673237</v>
      </c>
      <c r="F67" s="1" t="str">
        <f t="shared" si="24"/>
        <v>花都四部-凤凰仓</v>
      </c>
      <c r="G67" s="1" t="str">
        <f t="shared" si="20"/>
        <v>卡卡杜个人护理店（抖店）</v>
      </c>
      <c r="H67" s="1" t="str">
        <f t="shared" si="25"/>
        <v>正常订单</v>
      </c>
      <c r="I67" s="1" t="str">
        <f t="shared" si="26"/>
        <v>已发货</v>
      </c>
      <c r="J67" s="1" t="str">
        <f t="shared" si="27"/>
        <v>3</v>
      </c>
      <c r="K67" s="1">
        <v>2</v>
      </c>
      <c r="L67" s="1" t="s">
        <v>13</v>
      </c>
      <c r="M67" s="1" t="str">
        <f>"江苏省 宿迁市 宿城区 洋河镇"</f>
        <v>江苏省 宿迁市 宿城区 洋河镇</v>
      </c>
      <c r="N67" s="1" t="str">
        <f t="shared" si="22"/>
        <v>凡华云仓-城南圆通-抖音</v>
      </c>
      <c r="O67" s="5" t="s">
        <v>100</v>
      </c>
      <c r="P67" s="6">
        <v>0.35</v>
      </c>
      <c r="Q67" s="11">
        <v>2.2999999999999998</v>
      </c>
      <c r="R67" s="11"/>
      <c r="S67" s="11"/>
      <c r="T67" s="11"/>
      <c r="U67" s="11">
        <f t="shared" ref="U67:U130" si="28">T67+S67+R67+Q67</f>
        <v>2.2999999999999998</v>
      </c>
      <c r="W67">
        <v>2.5</v>
      </c>
      <c r="X67" s="1" t="s">
        <v>13</v>
      </c>
    </row>
    <row r="68" spans="1:24" x14ac:dyDescent="0.25">
      <c r="A68" s="1" t="str">
        <f t="shared" si="23"/>
        <v>卡卡杜-凤凰仓</v>
      </c>
      <c r="B68" s="1" t="str">
        <f>"CK2024103110516"</f>
        <v>CK2024103110516</v>
      </c>
      <c r="C68" s="1" t="str">
        <f>"DD2024103128914"</f>
        <v>DD2024103128914</v>
      </c>
      <c r="D68" s="1" t="str">
        <f>"CK2024103128959"</f>
        <v>CK2024103128959</v>
      </c>
      <c r="E68" s="1" t="str">
        <f>"6935712501689882264"</f>
        <v>6935712501689882264</v>
      </c>
      <c r="F68" s="1" t="str">
        <f t="shared" si="24"/>
        <v>花都四部-凤凰仓</v>
      </c>
      <c r="G68" s="1" t="str">
        <f t="shared" si="20"/>
        <v>卡卡杜个人护理店（抖店）</v>
      </c>
      <c r="H68" s="1" t="str">
        <f t="shared" si="25"/>
        <v>正常订单</v>
      </c>
      <c r="I68" s="1" t="str">
        <f t="shared" si="26"/>
        <v>已发货</v>
      </c>
      <c r="J68" s="1" t="str">
        <f t="shared" si="27"/>
        <v>3</v>
      </c>
      <c r="K68" s="1">
        <v>2</v>
      </c>
      <c r="L68" s="1" t="s">
        <v>20</v>
      </c>
      <c r="M68" s="1" t="str">
        <f>"浙江省 台州市 临海市 大洋街道"</f>
        <v>浙江省 台州市 临海市 大洋街道</v>
      </c>
      <c r="N68" s="1" t="str">
        <f t="shared" si="22"/>
        <v>凡华云仓-城南圆通-抖音</v>
      </c>
      <c r="O68" s="5" t="s">
        <v>101</v>
      </c>
      <c r="P68" s="6">
        <v>0.35</v>
      </c>
      <c r="Q68" s="11">
        <v>2.2999999999999998</v>
      </c>
      <c r="R68" s="11"/>
      <c r="S68" s="11"/>
      <c r="T68" s="11"/>
      <c r="U68" s="11">
        <f t="shared" si="28"/>
        <v>2.2999999999999998</v>
      </c>
      <c r="W68">
        <v>2.5</v>
      </c>
      <c r="X68" s="1" t="s">
        <v>20</v>
      </c>
    </row>
    <row r="69" spans="1:24" x14ac:dyDescent="0.25">
      <c r="A69" s="1" t="str">
        <f t="shared" si="23"/>
        <v>卡卡杜-凤凰仓</v>
      </c>
      <c r="B69" s="1" t="str">
        <f>"CK2024103110510"</f>
        <v>CK2024103110510</v>
      </c>
      <c r="C69" s="1" t="str">
        <f>"DD2024103128904"</f>
        <v>DD2024103128904</v>
      </c>
      <c r="D69" s="1" t="str">
        <f>"CK2024103128958"</f>
        <v>CK2024103128958</v>
      </c>
      <c r="E69" s="1" t="str">
        <f>"6935701571153630933"</f>
        <v>6935701571153630933</v>
      </c>
      <c r="F69" s="1" t="str">
        <f t="shared" si="24"/>
        <v>花都四部-凤凰仓</v>
      </c>
      <c r="G69" s="1" t="str">
        <f t="shared" si="20"/>
        <v>卡卡杜个人护理店（抖店）</v>
      </c>
      <c r="H69" s="1" t="str">
        <f t="shared" si="25"/>
        <v>正常订单</v>
      </c>
      <c r="I69" s="1" t="str">
        <f t="shared" si="26"/>
        <v>已发货</v>
      </c>
      <c r="J69" s="1" t="str">
        <f t="shared" si="27"/>
        <v>3</v>
      </c>
      <c r="K69" s="1">
        <v>2</v>
      </c>
      <c r="L69" s="1" t="s">
        <v>30</v>
      </c>
      <c r="M69" s="1" t="str">
        <f>"山东省 临沂市 平邑县 仲村镇"</f>
        <v>山东省 临沂市 平邑县 仲村镇</v>
      </c>
      <c r="N69" s="1" t="str">
        <f t="shared" si="22"/>
        <v>凡华云仓-城南圆通-抖音</v>
      </c>
      <c r="O69" s="5" t="s">
        <v>102</v>
      </c>
      <c r="P69" s="6">
        <v>0.35</v>
      </c>
      <c r="Q69" s="11">
        <v>2.2999999999999998</v>
      </c>
      <c r="R69" s="11"/>
      <c r="S69" s="11"/>
      <c r="T69" s="11"/>
      <c r="U69" s="11">
        <f t="shared" si="28"/>
        <v>2.2999999999999998</v>
      </c>
      <c r="W69">
        <v>2.5</v>
      </c>
      <c r="X69" s="1" t="s">
        <v>30</v>
      </c>
    </row>
    <row r="70" spans="1:24" x14ac:dyDescent="0.25">
      <c r="A70" s="1" t="str">
        <f t="shared" si="23"/>
        <v>卡卡杜-凤凰仓</v>
      </c>
      <c r="B70" s="1" t="str">
        <f>"CK2024103110518"</f>
        <v>CK2024103110518</v>
      </c>
      <c r="C70" s="1" t="str">
        <f>"DD2024103128916"</f>
        <v>DD2024103128916</v>
      </c>
      <c r="D70" s="1" t="str">
        <f>"CK2024103128957"</f>
        <v>CK2024103128957</v>
      </c>
      <c r="E70" s="1" t="str">
        <f>"6935708161645418404"</f>
        <v>6935708161645418404</v>
      </c>
      <c r="F70" s="1" t="str">
        <f t="shared" si="24"/>
        <v>花都四部-凤凰仓</v>
      </c>
      <c r="G70" s="1" t="str">
        <f t="shared" si="20"/>
        <v>卡卡杜个人护理店（抖店）</v>
      </c>
      <c r="H70" s="1" t="str">
        <f t="shared" si="25"/>
        <v>正常订单</v>
      </c>
      <c r="I70" s="1" t="str">
        <f t="shared" si="26"/>
        <v>已发货</v>
      </c>
      <c r="J70" s="1" t="str">
        <f t="shared" si="27"/>
        <v>3</v>
      </c>
      <c r="K70" s="1">
        <v>2</v>
      </c>
      <c r="L70" s="1" t="s">
        <v>18</v>
      </c>
      <c r="M70" s="1" t="str">
        <f>"广东省 广州市 番禺区 大石街道"</f>
        <v>广东省 广州市 番禺区 大石街道</v>
      </c>
      <c r="N70" s="1" t="str">
        <f t="shared" si="22"/>
        <v>凡华云仓-城南圆通-抖音</v>
      </c>
      <c r="O70" s="5" t="s">
        <v>103</v>
      </c>
      <c r="P70" s="6">
        <v>0.35</v>
      </c>
      <c r="Q70" s="11">
        <v>2.2999999999999998</v>
      </c>
      <c r="R70" s="11"/>
      <c r="S70" s="11"/>
      <c r="T70" s="11"/>
      <c r="U70" s="11">
        <f t="shared" si="28"/>
        <v>2.2999999999999998</v>
      </c>
      <c r="W70">
        <v>2.5</v>
      </c>
      <c r="X70" s="1" t="s">
        <v>18</v>
      </c>
    </row>
    <row r="71" spans="1:24" x14ac:dyDescent="0.25">
      <c r="A71" s="1" t="str">
        <f t="shared" si="23"/>
        <v>卡卡杜-凤凰仓</v>
      </c>
      <c r="B71" s="1" t="str">
        <f>"CK2024103110521"</f>
        <v>CK2024103110521</v>
      </c>
      <c r="C71" s="1" t="str">
        <f>"DD2024103128919"</f>
        <v>DD2024103128919</v>
      </c>
      <c r="D71" s="1" t="str">
        <f>"CK2024103128956"</f>
        <v>CK2024103128956</v>
      </c>
      <c r="E71" s="1" t="str">
        <f>"6935685395958011203"</f>
        <v>6935685395958011203</v>
      </c>
      <c r="F71" s="1" t="str">
        <f t="shared" si="24"/>
        <v>花都四部-凤凰仓</v>
      </c>
      <c r="G71" s="1" t="str">
        <f t="shared" si="20"/>
        <v>卡卡杜个人护理店（抖店）</v>
      </c>
      <c r="H71" s="1" t="str">
        <f t="shared" si="25"/>
        <v>正常订单</v>
      </c>
      <c r="I71" s="1" t="str">
        <f t="shared" si="26"/>
        <v>已发货</v>
      </c>
      <c r="J71" s="1" t="str">
        <f t="shared" si="27"/>
        <v>3</v>
      </c>
      <c r="K71" s="1">
        <v>2</v>
      </c>
      <c r="L71" s="1" t="s">
        <v>32</v>
      </c>
      <c r="M71" s="1" t="str">
        <f>"陕西省 咸阳市 长武县 亭口镇"</f>
        <v>陕西省 咸阳市 长武县 亭口镇</v>
      </c>
      <c r="N71" s="1" t="str">
        <f t="shared" si="22"/>
        <v>凡华云仓-城南圆通-抖音</v>
      </c>
      <c r="O71" s="5" t="s">
        <v>104</v>
      </c>
      <c r="P71" s="6">
        <v>0.35</v>
      </c>
      <c r="Q71" s="11">
        <v>2.2999999999999998</v>
      </c>
      <c r="R71" s="11"/>
      <c r="S71" s="11"/>
      <c r="T71" s="11"/>
      <c r="U71" s="11">
        <f t="shared" si="28"/>
        <v>2.2999999999999998</v>
      </c>
      <c r="W71">
        <v>2.5</v>
      </c>
      <c r="X71" s="1" t="s">
        <v>32</v>
      </c>
    </row>
    <row r="72" spans="1:24" x14ac:dyDescent="0.25">
      <c r="A72" s="1" t="str">
        <f t="shared" si="23"/>
        <v>卡卡杜-凤凰仓</v>
      </c>
      <c r="B72" s="1" t="str">
        <f>"CK2024103110488"</f>
        <v>CK2024103110488</v>
      </c>
      <c r="C72" s="1" t="str">
        <f>"DD2024103128889"</f>
        <v>DD2024103128889</v>
      </c>
      <c r="D72" s="1" t="str">
        <f>"CK2024103128955"</f>
        <v>CK2024103128955</v>
      </c>
      <c r="E72" s="1" t="str">
        <f>"6935705583383353267"</f>
        <v>6935705583383353267</v>
      </c>
      <c r="F72" s="1" t="str">
        <f t="shared" si="24"/>
        <v>花都四部-凤凰仓</v>
      </c>
      <c r="G72" s="1" t="str">
        <f t="shared" si="20"/>
        <v>卡卡杜个人护理店（抖店）</v>
      </c>
      <c r="H72" s="1" t="str">
        <f t="shared" si="25"/>
        <v>正常订单</v>
      </c>
      <c r="I72" s="1" t="str">
        <f t="shared" si="26"/>
        <v>已发货</v>
      </c>
      <c r="J72" s="1" t="str">
        <f t="shared" si="27"/>
        <v>3</v>
      </c>
      <c r="K72" s="1">
        <v>3</v>
      </c>
      <c r="L72" s="1" t="s">
        <v>105</v>
      </c>
      <c r="M72" s="1" t="str">
        <f>"北京 北京市 海淀区 学院路街道"</f>
        <v>北京 北京市 海淀区 学院路街道</v>
      </c>
      <c r="N72" s="1" t="str">
        <f t="shared" si="22"/>
        <v>凡华云仓-城南圆通-抖音</v>
      </c>
      <c r="O72" s="5" t="s">
        <v>106</v>
      </c>
      <c r="P72" s="6">
        <v>0.33</v>
      </c>
      <c r="Q72" s="11">
        <v>2.2999999999999998</v>
      </c>
      <c r="R72" s="11"/>
      <c r="S72" s="11"/>
      <c r="T72" s="11"/>
      <c r="U72" s="11">
        <f t="shared" si="28"/>
        <v>2.2999999999999998</v>
      </c>
      <c r="W72">
        <v>2.5</v>
      </c>
      <c r="X72" s="1" t="s">
        <v>105</v>
      </c>
    </row>
    <row r="73" spans="1:24" x14ac:dyDescent="0.25">
      <c r="A73" s="1" t="str">
        <f t="shared" si="23"/>
        <v>卡卡杜-凤凰仓</v>
      </c>
      <c r="B73" s="1" t="str">
        <f>"CK2024103110531"</f>
        <v>CK2024103110531</v>
      </c>
      <c r="C73" s="1" t="str">
        <f>"DD2024103128929"</f>
        <v>DD2024103128929</v>
      </c>
      <c r="D73" s="1" t="str">
        <f>"CK2024103128954"</f>
        <v>CK2024103128954</v>
      </c>
      <c r="E73" s="1" t="str">
        <f>"6935707720435176470"</f>
        <v>6935707720435176470</v>
      </c>
      <c r="F73" s="1" t="str">
        <f t="shared" si="24"/>
        <v>花都四部-凤凰仓</v>
      </c>
      <c r="G73" s="1" t="str">
        <f t="shared" si="20"/>
        <v>卡卡杜个人护理店（抖店）</v>
      </c>
      <c r="H73" s="1" t="str">
        <f t="shared" si="25"/>
        <v>正常订单</v>
      </c>
      <c r="I73" s="1" t="str">
        <f t="shared" si="26"/>
        <v>已发货</v>
      </c>
      <c r="J73" s="1" t="str">
        <f t="shared" si="27"/>
        <v>3</v>
      </c>
      <c r="K73" s="1">
        <v>2</v>
      </c>
      <c r="L73" s="1" t="s">
        <v>30</v>
      </c>
      <c r="M73" s="1" t="str">
        <f>"山东省 日照市 东港区 日照街道"</f>
        <v>山东省 日照市 东港区 日照街道</v>
      </c>
      <c r="N73" s="1" t="str">
        <f t="shared" si="22"/>
        <v>凡华云仓-城南圆通-抖音</v>
      </c>
      <c r="O73" s="5" t="s">
        <v>107</v>
      </c>
      <c r="P73" s="6">
        <v>0.25</v>
      </c>
      <c r="Q73" s="11">
        <v>2</v>
      </c>
      <c r="R73" s="11"/>
      <c r="S73" s="11"/>
      <c r="T73" s="11"/>
      <c r="U73" s="11">
        <f t="shared" si="28"/>
        <v>2</v>
      </c>
      <c r="W73">
        <v>2.2000000000000002</v>
      </c>
      <c r="X73" s="1" t="s">
        <v>30</v>
      </c>
    </row>
    <row r="74" spans="1:24" x14ac:dyDescent="0.25">
      <c r="A74" s="1" t="str">
        <f t="shared" si="23"/>
        <v>卡卡杜-凤凰仓</v>
      </c>
      <c r="B74" s="1" t="str">
        <f>"CK2024103199"</f>
        <v>CK2024103199</v>
      </c>
      <c r="C74" s="1" t="str">
        <f>"DD2024103112216"</f>
        <v>DD2024103112216</v>
      </c>
      <c r="D74" s="1" t="str">
        <f>"CK2024103119181"</f>
        <v>CK2024103119181</v>
      </c>
      <c r="E74" s="1" t="str">
        <f>"6935703060878595077"</f>
        <v>6935703060878595077</v>
      </c>
      <c r="F74" s="1" t="str">
        <f t="shared" si="24"/>
        <v>花都四部-凤凰仓</v>
      </c>
      <c r="G74" s="1" t="str">
        <f t="shared" si="20"/>
        <v>卡卡杜个人护理店（抖店）</v>
      </c>
      <c r="H74" s="1" t="str">
        <f t="shared" si="25"/>
        <v>正常订单</v>
      </c>
      <c r="I74" s="1" t="str">
        <f t="shared" si="26"/>
        <v>已发货</v>
      </c>
      <c r="J74" s="1" t="str">
        <f t="shared" si="27"/>
        <v>3</v>
      </c>
      <c r="K74" s="1">
        <v>2</v>
      </c>
      <c r="L74" s="1" t="s">
        <v>94</v>
      </c>
      <c r="M74" s="1" t="str">
        <f>"湖南省 益阳市 资阳区 长春镇"</f>
        <v>湖南省 益阳市 资阳区 长春镇</v>
      </c>
      <c r="N74" s="1" t="str">
        <f t="shared" si="22"/>
        <v>凡华云仓-城南圆通-抖音</v>
      </c>
      <c r="O74" s="5" t="s">
        <v>108</v>
      </c>
      <c r="P74" s="6">
        <v>0.35</v>
      </c>
      <c r="Q74" s="11">
        <v>2.2999999999999998</v>
      </c>
      <c r="R74" s="11"/>
      <c r="S74" s="11"/>
      <c r="T74" s="11"/>
      <c r="U74" s="11">
        <f t="shared" si="28"/>
        <v>2.2999999999999998</v>
      </c>
      <c r="W74">
        <v>2.5</v>
      </c>
      <c r="X74" s="1" t="s">
        <v>94</v>
      </c>
    </row>
    <row r="75" spans="1:24" x14ac:dyDescent="0.25">
      <c r="A75" s="1" t="str">
        <f t="shared" si="23"/>
        <v>卡卡杜-凤凰仓</v>
      </c>
      <c r="B75" s="1" t="str">
        <f>"CK2024103198"</f>
        <v>CK2024103198</v>
      </c>
      <c r="C75" s="1" t="str">
        <f>"DD2024103112209"</f>
        <v>DD2024103112209</v>
      </c>
      <c r="D75" s="1" t="str">
        <f>"CK2024103119180"</f>
        <v>CK2024103119180</v>
      </c>
      <c r="E75" s="1" t="str">
        <f>"6935702756328019186"</f>
        <v>6935702756328019186</v>
      </c>
      <c r="F75" s="1" t="str">
        <f t="shared" si="24"/>
        <v>花都四部-凤凰仓</v>
      </c>
      <c r="G75" s="1" t="str">
        <f t="shared" si="20"/>
        <v>卡卡杜个人护理店（抖店）</v>
      </c>
      <c r="H75" s="1" t="str">
        <f t="shared" si="25"/>
        <v>正常订单</v>
      </c>
      <c r="I75" s="1" t="str">
        <f t="shared" si="26"/>
        <v>已发货</v>
      </c>
      <c r="J75" s="1" t="str">
        <f t="shared" si="27"/>
        <v>3</v>
      </c>
      <c r="K75" s="1">
        <v>2</v>
      </c>
      <c r="L75" s="1" t="s">
        <v>109</v>
      </c>
      <c r="M75" s="1" t="str">
        <f>"山西省 晋中市 榆次区 "</f>
        <v xml:space="preserve">山西省 晋中市 榆次区 </v>
      </c>
      <c r="N75" s="1" t="str">
        <f t="shared" si="22"/>
        <v>凡华云仓-城南圆通-抖音</v>
      </c>
      <c r="O75" s="5" t="s">
        <v>110</v>
      </c>
      <c r="P75" s="6">
        <v>0.35</v>
      </c>
      <c r="Q75" s="11">
        <v>2.2999999999999998</v>
      </c>
      <c r="R75" s="11"/>
      <c r="S75" s="11"/>
      <c r="T75" s="11"/>
      <c r="U75" s="11">
        <f t="shared" si="28"/>
        <v>2.2999999999999998</v>
      </c>
      <c r="W75">
        <v>2.5</v>
      </c>
      <c r="X75" s="1" t="s">
        <v>109</v>
      </c>
    </row>
    <row r="76" spans="1:24" x14ac:dyDescent="0.25">
      <c r="A76" s="1" t="str">
        <f t="shared" si="23"/>
        <v>卡卡杜-凤凰仓</v>
      </c>
      <c r="B76" s="1" t="str">
        <f>"CK2024103178"</f>
        <v>CK2024103178</v>
      </c>
      <c r="C76" s="1" t="str">
        <f>"DD2024103112165"</f>
        <v>DD2024103112165</v>
      </c>
      <c r="D76" s="1" t="str">
        <f>"CK2024103119179"</f>
        <v>CK2024103119179</v>
      </c>
      <c r="E76" s="1" t="str">
        <f>"6935691351798322812"</f>
        <v>6935691351798322812</v>
      </c>
      <c r="F76" s="1" t="str">
        <f t="shared" si="24"/>
        <v>花都四部-凤凰仓</v>
      </c>
      <c r="G76" s="1" t="str">
        <f t="shared" si="20"/>
        <v>卡卡杜个人护理店（抖店）</v>
      </c>
      <c r="H76" s="1" t="str">
        <f t="shared" si="25"/>
        <v>正常订单</v>
      </c>
      <c r="I76" s="1" t="str">
        <f t="shared" si="26"/>
        <v>已发货</v>
      </c>
      <c r="J76" s="1" t="str">
        <f t="shared" si="27"/>
        <v>3</v>
      </c>
      <c r="K76" s="1">
        <v>2</v>
      </c>
      <c r="L76" s="1" t="s">
        <v>32</v>
      </c>
      <c r="M76" s="1" t="str">
        <f>"陕西省 榆林市 榆阳区 长城路街道"</f>
        <v>陕西省 榆林市 榆阳区 长城路街道</v>
      </c>
      <c r="N76" s="1" t="str">
        <f t="shared" si="22"/>
        <v>凡华云仓-城南圆通-抖音</v>
      </c>
      <c r="O76" s="5" t="s">
        <v>111</v>
      </c>
      <c r="P76" s="6">
        <v>0.35</v>
      </c>
      <c r="Q76" s="11">
        <v>2.2999999999999998</v>
      </c>
      <c r="R76" s="11"/>
      <c r="S76" s="11"/>
      <c r="T76" s="11"/>
      <c r="U76" s="11">
        <f t="shared" si="28"/>
        <v>2.2999999999999998</v>
      </c>
      <c r="W76">
        <v>2.5</v>
      </c>
      <c r="X76" s="1" t="s">
        <v>32</v>
      </c>
    </row>
    <row r="77" spans="1:24" x14ac:dyDescent="0.25">
      <c r="A77" s="1" t="str">
        <f t="shared" si="23"/>
        <v>卡卡杜-凤凰仓</v>
      </c>
      <c r="B77" s="1" t="str">
        <f>"CK202410311565"</f>
        <v>CK202410311565</v>
      </c>
      <c r="C77" s="1" t="str">
        <f>"DD2024103112707"</f>
        <v>DD2024103112707</v>
      </c>
      <c r="D77" s="1" t="str">
        <f>"CK2024103119178"</f>
        <v>CK2024103119178</v>
      </c>
      <c r="E77" s="1" t="str">
        <f>"6935677862420878702"</f>
        <v>6935677862420878702</v>
      </c>
      <c r="F77" s="1" t="str">
        <f t="shared" si="24"/>
        <v>花都四部-凤凰仓</v>
      </c>
      <c r="G77" s="1" t="str">
        <f t="shared" si="20"/>
        <v>卡卡杜个人护理店（抖店）</v>
      </c>
      <c r="H77" s="1" t="str">
        <f t="shared" si="25"/>
        <v>正常订单</v>
      </c>
      <c r="I77" s="1" t="str">
        <f t="shared" si="26"/>
        <v>已发货</v>
      </c>
      <c r="J77" s="1" t="str">
        <f>"2"</f>
        <v>2</v>
      </c>
      <c r="K77" s="1">
        <v>2</v>
      </c>
      <c r="L77" s="1" t="s">
        <v>13</v>
      </c>
      <c r="M77" s="1" t="str">
        <f>"江苏省 南通市 通州区 平潮镇"</f>
        <v>江苏省 南通市 通州区 平潮镇</v>
      </c>
      <c r="N77" s="1" t="str">
        <f t="shared" si="22"/>
        <v>凡华云仓-城南圆通-抖音</v>
      </c>
      <c r="O77" s="5" t="s">
        <v>112</v>
      </c>
      <c r="P77" s="6">
        <v>0.17</v>
      </c>
      <c r="Q77" s="11">
        <v>2</v>
      </c>
      <c r="R77" s="11"/>
      <c r="S77" s="11"/>
      <c r="T77" s="11"/>
      <c r="U77" s="11">
        <f t="shared" si="28"/>
        <v>2</v>
      </c>
      <c r="W77">
        <v>2.2000000000000002</v>
      </c>
      <c r="X77" s="1" t="s">
        <v>13</v>
      </c>
    </row>
    <row r="78" spans="1:24" x14ac:dyDescent="0.25">
      <c r="A78" s="1" t="str">
        <f t="shared" si="23"/>
        <v>卡卡杜-凤凰仓</v>
      </c>
      <c r="B78" s="1" t="str">
        <f>"CK2024103157"</f>
        <v>CK2024103157</v>
      </c>
      <c r="C78" s="1" t="str">
        <f>"DD2024103112105"</f>
        <v>DD2024103112105</v>
      </c>
      <c r="D78" s="1" t="str">
        <f>"CK2024103119177"</f>
        <v>CK2024103119177</v>
      </c>
      <c r="E78" s="1" t="str">
        <f>"6935667140464678691"</f>
        <v>6935667140464678691</v>
      </c>
      <c r="F78" s="1" t="str">
        <f t="shared" si="24"/>
        <v>花都四部-凤凰仓</v>
      </c>
      <c r="G78" s="1" t="str">
        <f t="shared" si="20"/>
        <v>卡卡杜个人护理店（抖店）</v>
      </c>
      <c r="H78" s="1" t="str">
        <f t="shared" si="25"/>
        <v>正常订单</v>
      </c>
      <c r="I78" s="1" t="str">
        <f t="shared" si="26"/>
        <v>已发货</v>
      </c>
      <c r="J78" s="1" t="str">
        <f t="shared" ref="J78:J81" si="29">"3"</f>
        <v>3</v>
      </c>
      <c r="K78" s="1">
        <v>2</v>
      </c>
      <c r="L78" s="1" t="s">
        <v>32</v>
      </c>
      <c r="M78" s="1" t="str">
        <f>"陕西省 榆林市 榆阳区 长城路街道"</f>
        <v>陕西省 榆林市 榆阳区 长城路街道</v>
      </c>
      <c r="N78" s="1" t="str">
        <f t="shared" si="22"/>
        <v>凡华云仓-城南圆通-抖音</v>
      </c>
      <c r="O78" s="5" t="s">
        <v>113</v>
      </c>
      <c r="P78" s="6">
        <v>0.35</v>
      </c>
      <c r="Q78" s="11">
        <v>2.2999999999999998</v>
      </c>
      <c r="R78" s="11"/>
      <c r="S78" s="11"/>
      <c r="T78" s="11"/>
      <c r="U78" s="11">
        <f t="shared" si="28"/>
        <v>2.2999999999999998</v>
      </c>
      <c r="W78">
        <v>2.5</v>
      </c>
      <c r="X78" s="1" t="s">
        <v>32</v>
      </c>
    </row>
    <row r="79" spans="1:24" x14ac:dyDescent="0.25">
      <c r="A79" s="1" t="str">
        <f t="shared" si="23"/>
        <v>卡卡杜-凤凰仓</v>
      </c>
      <c r="B79" s="1" t="str">
        <f>"CK2024103191"</f>
        <v>CK2024103191</v>
      </c>
      <c r="C79" s="1" t="str">
        <f>"DD2024103112198"</f>
        <v>DD2024103112198</v>
      </c>
      <c r="D79" s="1" t="str">
        <f>"CK2024103119176"</f>
        <v>CK2024103119176</v>
      </c>
      <c r="E79" s="1" t="str">
        <f>"6935673921088460587"</f>
        <v>6935673921088460587</v>
      </c>
      <c r="F79" s="1" t="str">
        <f t="shared" si="24"/>
        <v>花都四部-凤凰仓</v>
      </c>
      <c r="G79" s="1" t="str">
        <f t="shared" si="20"/>
        <v>卡卡杜个人护理店（抖店）</v>
      </c>
      <c r="H79" s="1" t="str">
        <f t="shared" si="25"/>
        <v>正常订单</v>
      </c>
      <c r="I79" s="1" t="str">
        <f t="shared" si="26"/>
        <v>已发货</v>
      </c>
      <c r="J79" s="1" t="str">
        <f t="shared" si="29"/>
        <v>3</v>
      </c>
      <c r="K79" s="1">
        <v>2</v>
      </c>
      <c r="L79" s="1" t="s">
        <v>20</v>
      </c>
      <c r="M79" s="1" t="str">
        <f>"浙江省 金华市 东阳市 白云街道"</f>
        <v>浙江省 金华市 东阳市 白云街道</v>
      </c>
      <c r="N79" s="1" t="str">
        <f t="shared" si="22"/>
        <v>凡华云仓-城南圆通-抖音</v>
      </c>
      <c r="O79" s="5" t="s">
        <v>114</v>
      </c>
      <c r="P79" s="6">
        <v>0.35</v>
      </c>
      <c r="Q79" s="11">
        <v>2.2999999999999998</v>
      </c>
      <c r="R79" s="11"/>
      <c r="S79" s="11"/>
      <c r="T79" s="11"/>
      <c r="U79" s="11">
        <f t="shared" si="28"/>
        <v>2.2999999999999998</v>
      </c>
      <c r="W79">
        <v>2.5</v>
      </c>
      <c r="X79" s="1" t="s">
        <v>20</v>
      </c>
    </row>
    <row r="80" spans="1:24" x14ac:dyDescent="0.25">
      <c r="A80" s="1" t="str">
        <f t="shared" si="23"/>
        <v>卡卡杜-凤凰仓</v>
      </c>
      <c r="B80" s="1" t="str">
        <f>"CK2024103195"</f>
        <v>CK2024103195</v>
      </c>
      <c r="C80" s="1" t="str">
        <f>"DD2024103112203"</f>
        <v>DD2024103112203</v>
      </c>
      <c r="D80" s="1" t="str">
        <f>"CK2024103119175"</f>
        <v>CK2024103119175</v>
      </c>
      <c r="E80" s="1" t="str">
        <f>"6935695650574964154"</f>
        <v>6935695650574964154</v>
      </c>
      <c r="F80" s="1" t="str">
        <f t="shared" si="24"/>
        <v>花都四部-凤凰仓</v>
      </c>
      <c r="G80" s="1" t="str">
        <f t="shared" si="20"/>
        <v>卡卡杜个人护理店（抖店）</v>
      </c>
      <c r="H80" s="1" t="str">
        <f t="shared" si="25"/>
        <v>正常订单</v>
      </c>
      <c r="I80" s="1" t="str">
        <f t="shared" si="26"/>
        <v>已发货</v>
      </c>
      <c r="J80" s="1" t="str">
        <f t="shared" si="29"/>
        <v>3</v>
      </c>
      <c r="K80" s="1">
        <v>2</v>
      </c>
      <c r="L80" s="1" t="s">
        <v>13</v>
      </c>
      <c r="M80" s="1" t="str">
        <f>"江苏省 徐州市 泉山区 段庄街道"</f>
        <v>江苏省 徐州市 泉山区 段庄街道</v>
      </c>
      <c r="N80" s="1" t="str">
        <f t="shared" si="22"/>
        <v>凡华云仓-城南圆通-抖音</v>
      </c>
      <c r="O80" s="5" t="s">
        <v>115</v>
      </c>
      <c r="P80" s="6">
        <v>0.35</v>
      </c>
      <c r="Q80" s="11">
        <v>2.2999999999999998</v>
      </c>
      <c r="R80" s="11"/>
      <c r="S80" s="11"/>
      <c r="T80" s="11"/>
      <c r="U80" s="11">
        <f t="shared" si="28"/>
        <v>2.2999999999999998</v>
      </c>
      <c r="W80">
        <v>2.5</v>
      </c>
      <c r="X80" s="1" t="s">
        <v>13</v>
      </c>
    </row>
    <row r="81" spans="1:24" x14ac:dyDescent="0.25">
      <c r="A81" s="1" t="str">
        <f t="shared" si="23"/>
        <v>卡卡杜-凤凰仓</v>
      </c>
      <c r="B81" s="1" t="str">
        <f>"CK2024103182"</f>
        <v>CK2024103182</v>
      </c>
      <c r="C81" s="1" t="str">
        <f>"DD2024103112174"</f>
        <v>DD2024103112174</v>
      </c>
      <c r="D81" s="1" t="str">
        <f>"CK2024103119174"</f>
        <v>CK2024103119174</v>
      </c>
      <c r="E81" s="1" t="str">
        <f>"6935682347158738498"</f>
        <v>6935682347158738498</v>
      </c>
      <c r="F81" s="1" t="str">
        <f t="shared" si="24"/>
        <v>花都四部-凤凰仓</v>
      </c>
      <c r="G81" s="1" t="str">
        <f t="shared" si="20"/>
        <v>卡卡杜个人护理店（抖店）</v>
      </c>
      <c r="H81" s="1" t="str">
        <f t="shared" si="25"/>
        <v>正常订单</v>
      </c>
      <c r="I81" s="1" t="str">
        <f t="shared" si="26"/>
        <v>已发货</v>
      </c>
      <c r="J81" s="1" t="str">
        <f t="shared" si="29"/>
        <v>3</v>
      </c>
      <c r="K81" s="1">
        <v>2</v>
      </c>
      <c r="L81" s="1" t="s">
        <v>13</v>
      </c>
      <c r="M81" s="1" t="str">
        <f>"江苏省 徐州市 贾汪区 金龙湖街道"</f>
        <v>江苏省 徐州市 贾汪区 金龙湖街道</v>
      </c>
      <c r="N81" s="1" t="str">
        <f t="shared" si="22"/>
        <v>凡华云仓-城南圆通-抖音</v>
      </c>
      <c r="O81" s="5" t="s">
        <v>116</v>
      </c>
      <c r="P81" s="6">
        <v>0.35</v>
      </c>
      <c r="Q81" s="11">
        <v>2.2999999999999998</v>
      </c>
      <c r="R81" s="11"/>
      <c r="S81" s="11"/>
      <c r="T81" s="11"/>
      <c r="U81" s="11">
        <f t="shared" si="28"/>
        <v>2.2999999999999998</v>
      </c>
      <c r="W81">
        <v>2.5</v>
      </c>
      <c r="X81" s="1" t="s">
        <v>13</v>
      </c>
    </row>
    <row r="82" spans="1:24" x14ac:dyDescent="0.25">
      <c r="A82" s="1" t="str">
        <f t="shared" si="23"/>
        <v>卡卡杜-凤凰仓</v>
      </c>
      <c r="B82" s="1" t="str">
        <f>"CK2024103112"</f>
        <v>CK2024103112</v>
      </c>
      <c r="C82" s="1" t="str">
        <f>"DD2024103111326"</f>
        <v>DD2024103111326</v>
      </c>
      <c r="D82" s="1" t="str">
        <f>"CK2024103119173"</f>
        <v>CK2024103119173</v>
      </c>
      <c r="E82" s="1" t="str">
        <f>"6935671625170949527"</f>
        <v>6935671625170949527</v>
      </c>
      <c r="F82" s="1" t="str">
        <f t="shared" si="24"/>
        <v>花都四部-凤凰仓</v>
      </c>
      <c r="G82" s="1" t="str">
        <f t="shared" si="20"/>
        <v>卡卡杜个人护理店（抖店）</v>
      </c>
      <c r="H82" s="1" t="str">
        <f t="shared" si="25"/>
        <v>正常订单</v>
      </c>
      <c r="I82" s="1" t="str">
        <f t="shared" si="26"/>
        <v>已发货</v>
      </c>
      <c r="J82" s="1" t="str">
        <f>"5"</f>
        <v>5</v>
      </c>
      <c r="K82" s="1">
        <v>2</v>
      </c>
      <c r="L82" s="1" t="s">
        <v>30</v>
      </c>
      <c r="M82" s="1" t="str">
        <f>"山东省 济南市 历下区 姚家街道"</f>
        <v>山东省 济南市 历下区 姚家街道</v>
      </c>
      <c r="N82" s="1" t="str">
        <f t="shared" si="22"/>
        <v>凡华云仓-城南圆通-抖音</v>
      </c>
      <c r="O82" s="5" t="s">
        <v>117</v>
      </c>
      <c r="P82" s="6">
        <v>0.59</v>
      </c>
      <c r="Q82" s="11">
        <f>CEILING(P82-0.5,0.1)*10*0.15+2.3</f>
        <v>2.4499999999999997</v>
      </c>
      <c r="R82" s="11"/>
      <c r="S82" s="11"/>
      <c r="T82" s="11"/>
      <c r="U82" s="11">
        <f t="shared" si="28"/>
        <v>2.4499999999999997</v>
      </c>
      <c r="V82" t="s">
        <v>15</v>
      </c>
      <c r="W82">
        <v>2.4500000000000002</v>
      </c>
      <c r="X82" s="1" t="s">
        <v>30</v>
      </c>
    </row>
    <row r="83" spans="1:24" x14ac:dyDescent="0.25">
      <c r="A83" s="1" t="str">
        <f t="shared" si="23"/>
        <v>卡卡杜-凤凰仓</v>
      </c>
      <c r="B83" s="1" t="str">
        <f>"CK2024103168"</f>
        <v>CK2024103168</v>
      </c>
      <c r="C83" s="1" t="str">
        <f>"DD2024103112137"</f>
        <v>DD2024103112137</v>
      </c>
      <c r="D83" s="1" t="str">
        <f>"CK2024103119172"</f>
        <v>CK2024103119172</v>
      </c>
      <c r="E83" s="1" t="str">
        <f>"6935675894957610251"</f>
        <v>6935675894957610251</v>
      </c>
      <c r="F83" s="1" t="str">
        <f t="shared" si="24"/>
        <v>花都四部-凤凰仓</v>
      </c>
      <c r="G83" s="1" t="str">
        <f t="shared" si="20"/>
        <v>卡卡杜个人护理店（抖店）</v>
      </c>
      <c r="H83" s="1" t="str">
        <f t="shared" si="25"/>
        <v>正常订单</v>
      </c>
      <c r="I83" s="1" t="str">
        <f t="shared" si="26"/>
        <v>已发货</v>
      </c>
      <c r="J83" s="1" t="str">
        <f t="shared" ref="J83:J98" si="30">"3"</f>
        <v>3</v>
      </c>
      <c r="K83" s="1">
        <v>2</v>
      </c>
      <c r="L83" s="1" t="s">
        <v>13</v>
      </c>
      <c r="M83" s="1" t="str">
        <f>"江苏省 宿迁市 宿豫区 晓店街道"</f>
        <v>江苏省 宿迁市 宿豫区 晓店街道</v>
      </c>
      <c r="N83" s="1" t="str">
        <f t="shared" si="22"/>
        <v>凡华云仓-城南圆通-抖音</v>
      </c>
      <c r="O83" s="5" t="s">
        <v>118</v>
      </c>
      <c r="P83" s="6">
        <v>0.35</v>
      </c>
      <c r="Q83" s="11">
        <v>2.2999999999999998</v>
      </c>
      <c r="R83" s="11"/>
      <c r="S83" s="11"/>
      <c r="T83" s="11"/>
      <c r="U83" s="11">
        <f t="shared" si="28"/>
        <v>2.2999999999999998</v>
      </c>
      <c r="W83">
        <v>2.5</v>
      </c>
      <c r="X83" s="1" t="s">
        <v>13</v>
      </c>
    </row>
    <row r="84" spans="1:24" x14ac:dyDescent="0.25">
      <c r="A84" s="1" t="str">
        <f t="shared" si="23"/>
        <v>卡卡杜-凤凰仓</v>
      </c>
      <c r="B84" s="1" t="str">
        <f>"CK2024103158"</f>
        <v>CK2024103158</v>
      </c>
      <c r="C84" s="1" t="str">
        <f>"DD2024103112113"</f>
        <v>DD2024103112113</v>
      </c>
      <c r="D84" s="1" t="str">
        <f>"CK2024103119171"</f>
        <v>CK2024103119171</v>
      </c>
      <c r="E84" s="1" t="str">
        <f>"6935680102569875072"</f>
        <v>6935680102569875072</v>
      </c>
      <c r="F84" s="1" t="str">
        <f t="shared" si="24"/>
        <v>花都四部-凤凰仓</v>
      </c>
      <c r="G84" s="1" t="str">
        <f t="shared" si="20"/>
        <v>卡卡杜个人护理店（抖店）</v>
      </c>
      <c r="H84" s="1" t="str">
        <f t="shared" si="25"/>
        <v>正常订单</v>
      </c>
      <c r="I84" s="1" t="str">
        <f t="shared" si="26"/>
        <v>已发货</v>
      </c>
      <c r="J84" s="1" t="str">
        <f t="shared" si="30"/>
        <v>3</v>
      </c>
      <c r="K84" s="1">
        <v>2</v>
      </c>
      <c r="L84" s="1" t="s">
        <v>30</v>
      </c>
      <c r="M84" s="1" t="str">
        <f>"山东省 东营市 东营区 辛店街道"</f>
        <v>山东省 东营市 东营区 辛店街道</v>
      </c>
      <c r="N84" s="1" t="str">
        <f t="shared" si="22"/>
        <v>凡华云仓-城南圆通-抖音</v>
      </c>
      <c r="O84" s="5" t="s">
        <v>119</v>
      </c>
      <c r="P84" s="6">
        <v>0.35</v>
      </c>
      <c r="Q84" s="11">
        <v>2.2999999999999998</v>
      </c>
      <c r="R84" s="11"/>
      <c r="S84" s="11"/>
      <c r="T84" s="11"/>
      <c r="U84" s="11">
        <f t="shared" si="28"/>
        <v>2.2999999999999998</v>
      </c>
      <c r="W84">
        <v>2.5</v>
      </c>
      <c r="X84" s="1" t="s">
        <v>30</v>
      </c>
    </row>
    <row r="85" spans="1:24" x14ac:dyDescent="0.25">
      <c r="A85" s="1" t="str">
        <f t="shared" si="23"/>
        <v>卡卡杜-凤凰仓</v>
      </c>
      <c r="B85" s="1" t="str">
        <f>"CK2024103176"</f>
        <v>CK2024103176</v>
      </c>
      <c r="C85" s="1" t="str">
        <f>"DD2024103112159"</f>
        <v>DD2024103112159</v>
      </c>
      <c r="D85" s="1" t="str">
        <f>"CK2024103119170"</f>
        <v>CK2024103119170</v>
      </c>
      <c r="E85" s="1" t="str">
        <f>"6935671645051622752"</f>
        <v>6935671645051622752</v>
      </c>
      <c r="F85" s="1" t="str">
        <f t="shared" si="24"/>
        <v>花都四部-凤凰仓</v>
      </c>
      <c r="G85" s="1" t="str">
        <f t="shared" si="20"/>
        <v>卡卡杜个人护理店（抖店）</v>
      </c>
      <c r="H85" s="1" t="str">
        <f t="shared" si="25"/>
        <v>正常订单</v>
      </c>
      <c r="I85" s="1" t="str">
        <f t="shared" si="26"/>
        <v>已发货</v>
      </c>
      <c r="J85" s="1" t="str">
        <f t="shared" si="30"/>
        <v>3</v>
      </c>
      <c r="K85" s="1">
        <v>2</v>
      </c>
      <c r="L85" s="1" t="s">
        <v>22</v>
      </c>
      <c r="M85" s="1" t="str">
        <f>"江西省 抚州市 南城县 "</f>
        <v xml:space="preserve">江西省 抚州市 南城县 </v>
      </c>
      <c r="N85" s="1" t="str">
        <f t="shared" si="22"/>
        <v>凡华云仓-城南圆通-抖音</v>
      </c>
      <c r="O85" s="5" t="s">
        <v>120</v>
      </c>
      <c r="P85" s="6">
        <v>0.35</v>
      </c>
      <c r="Q85" s="11">
        <v>2.2999999999999998</v>
      </c>
      <c r="R85" s="11"/>
      <c r="S85" s="11"/>
      <c r="T85" s="11"/>
      <c r="U85" s="11">
        <f t="shared" si="28"/>
        <v>2.2999999999999998</v>
      </c>
      <c r="W85">
        <v>2.5</v>
      </c>
      <c r="X85" s="1" t="s">
        <v>22</v>
      </c>
    </row>
    <row r="86" spans="1:24" x14ac:dyDescent="0.25">
      <c r="A86" s="1" t="str">
        <f t="shared" si="23"/>
        <v>卡卡杜-凤凰仓</v>
      </c>
      <c r="B86" s="1" t="str">
        <f>"CK2024103161"</f>
        <v>CK2024103161</v>
      </c>
      <c r="C86" s="1" t="str">
        <f>"DD2024103112121"</f>
        <v>DD2024103112121</v>
      </c>
      <c r="D86" s="1" t="str">
        <f>"CK2024103119169"</f>
        <v>CK2024103119169</v>
      </c>
      <c r="E86" s="1" t="str">
        <f>"6935673669399811140"</f>
        <v>6935673669399811140</v>
      </c>
      <c r="F86" s="1" t="str">
        <f t="shared" si="24"/>
        <v>花都四部-凤凰仓</v>
      </c>
      <c r="G86" s="1" t="str">
        <f t="shared" si="20"/>
        <v>卡卡杜个人护理店（抖店）</v>
      </c>
      <c r="H86" s="1" t="str">
        <f t="shared" si="25"/>
        <v>正常订单</v>
      </c>
      <c r="I86" s="1" t="str">
        <f t="shared" si="26"/>
        <v>已发货</v>
      </c>
      <c r="J86" s="1" t="str">
        <f t="shared" si="30"/>
        <v>3</v>
      </c>
      <c r="K86" s="1">
        <v>2</v>
      </c>
      <c r="L86" s="1" t="s">
        <v>80</v>
      </c>
      <c r="M86" s="1" t="str">
        <f>"河南省 驻马店市 平舆县 东和店镇"</f>
        <v>河南省 驻马店市 平舆县 东和店镇</v>
      </c>
      <c r="N86" s="1" t="str">
        <f t="shared" si="22"/>
        <v>凡华云仓-城南圆通-抖音</v>
      </c>
      <c r="O86" s="5" t="s">
        <v>121</v>
      </c>
      <c r="P86" s="6">
        <v>0.35</v>
      </c>
      <c r="Q86" s="11">
        <v>2.2999999999999998</v>
      </c>
      <c r="R86" s="11"/>
      <c r="S86" s="11"/>
      <c r="T86" s="11"/>
      <c r="U86" s="11">
        <f t="shared" si="28"/>
        <v>2.2999999999999998</v>
      </c>
      <c r="W86">
        <v>2.5</v>
      </c>
      <c r="X86" s="1" t="s">
        <v>80</v>
      </c>
    </row>
    <row r="87" spans="1:24" x14ac:dyDescent="0.25">
      <c r="A87" s="1" t="str">
        <f t="shared" si="23"/>
        <v>卡卡杜-凤凰仓</v>
      </c>
      <c r="B87" s="1" t="str">
        <f>"CK2024103177"</f>
        <v>CK2024103177</v>
      </c>
      <c r="C87" s="1" t="str">
        <f>"DD2024103112157"</f>
        <v>DD2024103112157</v>
      </c>
      <c r="D87" s="1" t="str">
        <f>"CK2024103119168"</f>
        <v>CK2024103119168</v>
      </c>
      <c r="E87" s="1" t="str">
        <f>"6935660050598597666"</f>
        <v>6935660050598597666</v>
      </c>
      <c r="F87" s="1" t="str">
        <f t="shared" si="24"/>
        <v>花都四部-凤凰仓</v>
      </c>
      <c r="G87" s="1" t="str">
        <f t="shared" si="20"/>
        <v>卡卡杜个人护理店（抖店）</v>
      </c>
      <c r="H87" s="1" t="str">
        <f t="shared" si="25"/>
        <v>正常订单</v>
      </c>
      <c r="I87" s="1" t="str">
        <f t="shared" si="26"/>
        <v>已发货</v>
      </c>
      <c r="J87" s="1" t="str">
        <f t="shared" si="30"/>
        <v>3</v>
      </c>
      <c r="K87" s="1">
        <v>2</v>
      </c>
      <c r="L87" s="1" t="s">
        <v>47</v>
      </c>
      <c r="M87" s="1" t="str">
        <f>"重庆 重庆市 城口县 鸡鸣乡"</f>
        <v>重庆 重庆市 城口县 鸡鸣乡</v>
      </c>
      <c r="N87" s="1" t="str">
        <f t="shared" si="22"/>
        <v>凡华云仓-城南圆通-抖音</v>
      </c>
      <c r="O87" s="5" t="s">
        <v>122</v>
      </c>
      <c r="P87" s="6">
        <v>0.35</v>
      </c>
      <c r="Q87" s="11">
        <v>2.2999999999999998</v>
      </c>
      <c r="R87" s="11"/>
      <c r="S87" s="11"/>
      <c r="T87" s="11"/>
      <c r="U87" s="11">
        <f t="shared" si="28"/>
        <v>2.2999999999999998</v>
      </c>
      <c r="W87">
        <v>2.5</v>
      </c>
      <c r="X87" s="1" t="s">
        <v>47</v>
      </c>
    </row>
    <row r="88" spans="1:24" x14ac:dyDescent="0.25">
      <c r="A88" s="1" t="str">
        <f t="shared" si="23"/>
        <v>卡卡杜-凤凰仓</v>
      </c>
      <c r="B88" s="1" t="str">
        <f>"CK2024103173"</f>
        <v>CK2024103173</v>
      </c>
      <c r="C88" s="1" t="str">
        <f>"DD2024103112149"</f>
        <v>DD2024103112149</v>
      </c>
      <c r="D88" s="1" t="str">
        <f>"CK2024103119167"</f>
        <v>CK2024103119167</v>
      </c>
      <c r="E88" s="1" t="str">
        <f>"6935671311950681546"</f>
        <v>6935671311950681546</v>
      </c>
      <c r="F88" s="1" t="str">
        <f t="shared" si="24"/>
        <v>花都四部-凤凰仓</v>
      </c>
      <c r="G88" s="1" t="str">
        <f t="shared" si="20"/>
        <v>卡卡杜个人护理店（抖店）</v>
      </c>
      <c r="H88" s="1" t="str">
        <f t="shared" si="25"/>
        <v>正常订单</v>
      </c>
      <c r="I88" s="1" t="str">
        <f t="shared" si="26"/>
        <v>已发货</v>
      </c>
      <c r="J88" s="1" t="str">
        <f t="shared" si="30"/>
        <v>3</v>
      </c>
      <c r="K88" s="1">
        <v>2</v>
      </c>
      <c r="L88" s="1" t="s">
        <v>80</v>
      </c>
      <c r="M88" s="1" t="str">
        <f>"河南省 焦作市 沁阳市 沁园街道"</f>
        <v>河南省 焦作市 沁阳市 沁园街道</v>
      </c>
      <c r="N88" s="1" t="str">
        <f t="shared" si="22"/>
        <v>凡华云仓-城南圆通-抖音</v>
      </c>
      <c r="O88" s="5" t="s">
        <v>123</v>
      </c>
      <c r="P88" s="6">
        <v>0.35</v>
      </c>
      <c r="Q88" s="11">
        <v>2.2999999999999998</v>
      </c>
      <c r="R88" s="11"/>
      <c r="S88" s="11"/>
      <c r="T88" s="11"/>
      <c r="U88" s="11">
        <f t="shared" si="28"/>
        <v>2.2999999999999998</v>
      </c>
      <c r="W88">
        <v>2.5</v>
      </c>
      <c r="X88" s="1" t="s">
        <v>80</v>
      </c>
    </row>
    <row r="89" spans="1:24" x14ac:dyDescent="0.25">
      <c r="A89" s="1" t="str">
        <f t="shared" si="23"/>
        <v>卡卡杜-凤凰仓</v>
      </c>
      <c r="B89" s="1" t="str">
        <f>"CK2024103169"</f>
        <v>CK2024103169</v>
      </c>
      <c r="C89" s="1" t="str">
        <f>"DD2024103112140"</f>
        <v>DD2024103112140</v>
      </c>
      <c r="D89" s="1" t="str">
        <f>"CK2024103119166"</f>
        <v>CK2024103119166</v>
      </c>
      <c r="E89" s="1" t="str">
        <f>"6935669116175128346"</f>
        <v>6935669116175128346</v>
      </c>
      <c r="F89" s="1" t="str">
        <f t="shared" si="24"/>
        <v>花都四部-凤凰仓</v>
      </c>
      <c r="G89" s="1" t="str">
        <f t="shared" si="20"/>
        <v>卡卡杜个人护理店（抖店）</v>
      </c>
      <c r="H89" s="1" t="str">
        <f t="shared" si="25"/>
        <v>正常订单</v>
      </c>
      <c r="I89" s="1" t="str">
        <f t="shared" si="26"/>
        <v>已发货</v>
      </c>
      <c r="J89" s="1" t="str">
        <f t="shared" si="30"/>
        <v>3</v>
      </c>
      <c r="K89" s="1">
        <v>2</v>
      </c>
      <c r="L89" s="1" t="s">
        <v>94</v>
      </c>
      <c r="M89" s="1" t="str">
        <f>"湖南省 岳阳市 平江县 三阳乡"</f>
        <v>湖南省 岳阳市 平江县 三阳乡</v>
      </c>
      <c r="N89" s="1" t="str">
        <f t="shared" si="22"/>
        <v>凡华云仓-城南圆通-抖音</v>
      </c>
      <c r="O89" s="5" t="s">
        <v>124</v>
      </c>
      <c r="P89" s="6">
        <v>0.35</v>
      </c>
      <c r="Q89" s="11">
        <v>2.2999999999999998</v>
      </c>
      <c r="R89" s="11"/>
      <c r="S89" s="11"/>
      <c r="T89" s="11"/>
      <c r="U89" s="11">
        <f t="shared" si="28"/>
        <v>2.2999999999999998</v>
      </c>
      <c r="W89">
        <v>2.5</v>
      </c>
      <c r="X89" s="1" t="s">
        <v>94</v>
      </c>
    </row>
    <row r="90" spans="1:24" x14ac:dyDescent="0.25">
      <c r="A90" s="1" t="str">
        <f t="shared" si="23"/>
        <v>卡卡杜-凤凰仓</v>
      </c>
      <c r="B90" s="1" t="str">
        <f>"CK2024103174"</f>
        <v>CK2024103174</v>
      </c>
      <c r="C90" s="1" t="str">
        <f>"DD2024103112153"</f>
        <v>DD2024103112153</v>
      </c>
      <c r="D90" s="1" t="str">
        <f>"CK2024103119165"</f>
        <v>CK2024103119165</v>
      </c>
      <c r="E90" s="1" t="str">
        <f>"6918024276827799301"</f>
        <v>6918024276827799301</v>
      </c>
      <c r="F90" s="1" t="str">
        <f t="shared" si="24"/>
        <v>花都四部-凤凰仓</v>
      </c>
      <c r="G90" s="1" t="str">
        <f t="shared" si="20"/>
        <v>卡卡杜个人护理店（抖店）</v>
      </c>
      <c r="H90" s="1" t="str">
        <f t="shared" si="25"/>
        <v>正常订单</v>
      </c>
      <c r="I90" s="1" t="str">
        <f t="shared" si="26"/>
        <v>已发货</v>
      </c>
      <c r="J90" s="1" t="str">
        <f t="shared" si="30"/>
        <v>3</v>
      </c>
      <c r="K90" s="1">
        <v>2</v>
      </c>
      <c r="L90" s="1" t="s">
        <v>41</v>
      </c>
      <c r="M90" s="1" t="str">
        <f>"湖北省 宜昌市 夷陵区 东城城乡统筹发展试验区"</f>
        <v>湖北省 宜昌市 夷陵区 东城城乡统筹发展试验区</v>
      </c>
      <c r="N90" s="1" t="str">
        <f t="shared" si="22"/>
        <v>凡华云仓-城南圆通-抖音</v>
      </c>
      <c r="O90" s="5" t="s">
        <v>125</v>
      </c>
      <c r="P90" s="6">
        <v>0.35</v>
      </c>
      <c r="Q90" s="11">
        <v>2.2999999999999998</v>
      </c>
      <c r="R90" s="11"/>
      <c r="S90" s="11"/>
      <c r="T90" s="11"/>
      <c r="U90" s="11">
        <f t="shared" si="28"/>
        <v>2.2999999999999998</v>
      </c>
      <c r="W90">
        <v>2.5</v>
      </c>
      <c r="X90" s="1" t="s">
        <v>41</v>
      </c>
    </row>
    <row r="91" spans="1:24" x14ac:dyDescent="0.25">
      <c r="A91" s="1" t="str">
        <f t="shared" si="23"/>
        <v>卡卡杜-凤凰仓</v>
      </c>
      <c r="B91" s="1" t="str">
        <f>"CK2024103160"</f>
        <v>CK2024103160</v>
      </c>
      <c r="C91" s="1" t="str">
        <f>"DD2024103112119"</f>
        <v>DD2024103112119</v>
      </c>
      <c r="D91" s="1" t="str">
        <f>"CK2024103119164"</f>
        <v>CK2024103119164</v>
      </c>
      <c r="E91" s="1" t="str">
        <f>"6935684291461715668"</f>
        <v>6935684291461715668</v>
      </c>
      <c r="F91" s="1" t="str">
        <f t="shared" si="24"/>
        <v>花都四部-凤凰仓</v>
      </c>
      <c r="G91" s="1" t="str">
        <f t="shared" si="20"/>
        <v>卡卡杜个人护理店（抖店）</v>
      </c>
      <c r="H91" s="1" t="str">
        <f t="shared" si="25"/>
        <v>正常订单</v>
      </c>
      <c r="I91" s="1" t="str">
        <f t="shared" si="26"/>
        <v>已发货</v>
      </c>
      <c r="J91" s="1" t="str">
        <f t="shared" si="30"/>
        <v>3</v>
      </c>
      <c r="K91" s="1">
        <v>2</v>
      </c>
      <c r="L91" s="1" t="s">
        <v>16</v>
      </c>
      <c r="M91" s="1" t="str">
        <f>"河北省 邢台市 威县 洺州镇"</f>
        <v>河北省 邢台市 威县 洺州镇</v>
      </c>
      <c r="N91" s="1" t="str">
        <f t="shared" si="22"/>
        <v>凡华云仓-城南圆通-抖音</v>
      </c>
      <c r="O91" s="5" t="s">
        <v>126</v>
      </c>
      <c r="P91" s="6">
        <v>0.35</v>
      </c>
      <c r="Q91" s="11">
        <v>2.2999999999999998</v>
      </c>
      <c r="R91" s="11"/>
      <c r="S91" s="11"/>
      <c r="T91" s="11"/>
      <c r="U91" s="11">
        <f t="shared" si="28"/>
        <v>2.2999999999999998</v>
      </c>
      <c r="W91">
        <v>2.5</v>
      </c>
      <c r="X91" s="1" t="s">
        <v>16</v>
      </c>
    </row>
    <row r="92" spans="1:24" x14ac:dyDescent="0.25">
      <c r="A92" s="1" t="str">
        <f t="shared" si="23"/>
        <v>卡卡杜-凤凰仓</v>
      </c>
      <c r="B92" s="1" t="str">
        <f>"CK2024103159"</f>
        <v>CK2024103159</v>
      </c>
      <c r="C92" s="1" t="str">
        <f>"DD2024103112110"</f>
        <v>DD2024103112110</v>
      </c>
      <c r="D92" s="1" t="str">
        <f>"CK2024103119163"</f>
        <v>CK2024103119163</v>
      </c>
      <c r="E92" s="1" t="str">
        <f>"6935657848207513477"</f>
        <v>6935657848207513477</v>
      </c>
      <c r="F92" s="1" t="str">
        <f t="shared" si="24"/>
        <v>花都四部-凤凰仓</v>
      </c>
      <c r="G92" s="1" t="str">
        <f t="shared" si="20"/>
        <v>卡卡杜个人护理店（抖店）</v>
      </c>
      <c r="H92" s="1" t="str">
        <f t="shared" si="25"/>
        <v>正常订单</v>
      </c>
      <c r="I92" s="1" t="str">
        <f t="shared" si="26"/>
        <v>已发货</v>
      </c>
      <c r="J92" s="1" t="str">
        <f t="shared" si="30"/>
        <v>3</v>
      </c>
      <c r="K92" s="1">
        <v>2</v>
      </c>
      <c r="L92" s="1" t="s">
        <v>41</v>
      </c>
      <c r="M92" s="1" t="str">
        <f>"湖北省 孝感市 孝南区 卧龙乡"</f>
        <v>湖北省 孝感市 孝南区 卧龙乡</v>
      </c>
      <c r="N92" s="1" t="str">
        <f t="shared" si="22"/>
        <v>凡华云仓-城南圆通-抖音</v>
      </c>
      <c r="O92" s="5" t="s">
        <v>127</v>
      </c>
      <c r="P92" s="6">
        <v>0.35</v>
      </c>
      <c r="Q92" s="11">
        <v>2.2999999999999998</v>
      </c>
      <c r="R92" s="11"/>
      <c r="S92" s="11"/>
      <c r="T92" s="11"/>
      <c r="U92" s="11">
        <f t="shared" si="28"/>
        <v>2.2999999999999998</v>
      </c>
      <c r="W92">
        <v>2.5</v>
      </c>
      <c r="X92" s="1" t="s">
        <v>41</v>
      </c>
    </row>
    <row r="93" spans="1:24" x14ac:dyDescent="0.25">
      <c r="A93" s="1" t="str">
        <f t="shared" si="23"/>
        <v>卡卡杜-凤凰仓</v>
      </c>
      <c r="B93" s="1" t="str">
        <f>"CK2024103145"</f>
        <v>CK2024103145</v>
      </c>
      <c r="C93" s="1" t="str">
        <f>"DD2024103112070"</f>
        <v>DD2024103112070</v>
      </c>
      <c r="D93" s="1" t="str">
        <f>"CK2024103119162"</f>
        <v>CK2024103119162</v>
      </c>
      <c r="E93" s="1" t="str">
        <f>"6935679870219523229"</f>
        <v>6935679870219523229</v>
      </c>
      <c r="F93" s="1" t="str">
        <f t="shared" si="24"/>
        <v>花都四部-凤凰仓</v>
      </c>
      <c r="G93" s="1" t="str">
        <f t="shared" si="20"/>
        <v>卡卡杜个人护理店（抖店）</v>
      </c>
      <c r="H93" s="1" t="str">
        <f t="shared" si="25"/>
        <v>正常订单</v>
      </c>
      <c r="I93" s="1" t="str">
        <f t="shared" si="26"/>
        <v>已发货</v>
      </c>
      <c r="J93" s="1" t="str">
        <f t="shared" si="30"/>
        <v>3</v>
      </c>
      <c r="K93" s="1">
        <v>3</v>
      </c>
      <c r="L93" s="1" t="s">
        <v>18</v>
      </c>
      <c r="M93" s="1" t="str">
        <f>"广东省 深圳市 宝安区 福海街道"</f>
        <v>广东省 深圳市 宝安区 福海街道</v>
      </c>
      <c r="N93" s="1" t="str">
        <f t="shared" si="22"/>
        <v>凡华云仓-城南圆通-抖音</v>
      </c>
      <c r="O93" s="5" t="s">
        <v>128</v>
      </c>
      <c r="P93" s="6">
        <v>0.33</v>
      </c>
      <c r="Q93" s="11">
        <v>2.2999999999999998</v>
      </c>
      <c r="R93" s="11"/>
      <c r="S93" s="11"/>
      <c r="T93" s="11"/>
      <c r="U93" s="11">
        <f t="shared" si="28"/>
        <v>2.2999999999999998</v>
      </c>
      <c r="W93">
        <v>2.5</v>
      </c>
      <c r="X93" s="1" t="s">
        <v>18</v>
      </c>
    </row>
    <row r="94" spans="1:24" x14ac:dyDescent="0.25">
      <c r="A94" s="1" t="str">
        <f t="shared" si="23"/>
        <v>卡卡杜-凤凰仓</v>
      </c>
      <c r="B94" s="1" t="str">
        <f>"CK20241031102"</f>
        <v>CK20241031102</v>
      </c>
      <c r="C94" s="1" t="str">
        <f>"DD2024103112222"</f>
        <v>DD2024103112222</v>
      </c>
      <c r="D94" s="1" t="str">
        <f>"CK2024103119161"</f>
        <v>CK2024103119161</v>
      </c>
      <c r="E94" s="1" t="str">
        <f>"6935693284076492266"</f>
        <v>6935693284076492266</v>
      </c>
      <c r="F94" s="1" t="str">
        <f t="shared" si="24"/>
        <v>花都四部-凤凰仓</v>
      </c>
      <c r="G94" s="1" t="str">
        <f t="shared" si="20"/>
        <v>卡卡杜个人护理店（抖店）</v>
      </c>
      <c r="H94" s="1" t="str">
        <f t="shared" si="25"/>
        <v>正常订单</v>
      </c>
      <c r="I94" s="1" t="str">
        <f t="shared" si="26"/>
        <v>已发货</v>
      </c>
      <c r="J94" s="1" t="str">
        <f t="shared" si="30"/>
        <v>3</v>
      </c>
      <c r="K94" s="1">
        <v>2</v>
      </c>
      <c r="L94" s="1" t="s">
        <v>13</v>
      </c>
      <c r="M94" s="1" t="str">
        <f>"江苏省 常州市 天宁区 青龙街道"</f>
        <v>江苏省 常州市 天宁区 青龙街道</v>
      </c>
      <c r="N94" s="1" t="str">
        <f t="shared" si="22"/>
        <v>凡华云仓-城南圆通-抖音</v>
      </c>
      <c r="O94" s="5" t="s">
        <v>129</v>
      </c>
      <c r="P94" s="6">
        <v>0.35</v>
      </c>
      <c r="Q94" s="11">
        <v>2.2999999999999998</v>
      </c>
      <c r="R94" s="11"/>
      <c r="S94" s="11"/>
      <c r="T94" s="11"/>
      <c r="U94" s="11">
        <f t="shared" si="28"/>
        <v>2.2999999999999998</v>
      </c>
      <c r="W94">
        <v>2.5</v>
      </c>
      <c r="X94" s="1" t="s">
        <v>13</v>
      </c>
    </row>
    <row r="95" spans="1:24" x14ac:dyDescent="0.25">
      <c r="A95" s="1" t="str">
        <f t="shared" si="23"/>
        <v>卡卡杜-凤凰仓</v>
      </c>
      <c r="B95" s="1" t="str">
        <f>"CK2024103165"</f>
        <v>CK2024103165</v>
      </c>
      <c r="C95" s="1" t="str">
        <f>"DD2024103112130"</f>
        <v>DD2024103112130</v>
      </c>
      <c r="D95" s="1" t="str">
        <f>"CK2024103119160"</f>
        <v>CK2024103119160</v>
      </c>
      <c r="E95" s="1" t="str">
        <f>"6935684208848541356"</f>
        <v>6935684208848541356</v>
      </c>
      <c r="F95" s="1" t="str">
        <f t="shared" si="24"/>
        <v>花都四部-凤凰仓</v>
      </c>
      <c r="G95" s="1" t="str">
        <f t="shared" si="20"/>
        <v>卡卡杜个人护理店（抖店）</v>
      </c>
      <c r="H95" s="1" t="str">
        <f t="shared" si="25"/>
        <v>正常订单</v>
      </c>
      <c r="I95" s="1" t="str">
        <f t="shared" si="26"/>
        <v>已发货</v>
      </c>
      <c r="J95" s="1" t="str">
        <f t="shared" si="30"/>
        <v>3</v>
      </c>
      <c r="K95" s="1">
        <v>2</v>
      </c>
      <c r="L95" s="1" t="s">
        <v>16</v>
      </c>
      <c r="M95" s="1" t="str">
        <f>"河北省 邯郸市 峰峰矿区 峰峰镇"</f>
        <v>河北省 邯郸市 峰峰矿区 峰峰镇</v>
      </c>
      <c r="N95" s="1" t="str">
        <f t="shared" si="22"/>
        <v>凡华云仓-城南圆通-抖音</v>
      </c>
      <c r="O95" s="5" t="s">
        <v>130</v>
      </c>
      <c r="P95" s="6">
        <v>0.35</v>
      </c>
      <c r="Q95" s="11">
        <v>2.2999999999999998</v>
      </c>
      <c r="R95" s="11"/>
      <c r="S95" s="11"/>
      <c r="T95" s="11"/>
      <c r="U95" s="11">
        <f t="shared" si="28"/>
        <v>2.2999999999999998</v>
      </c>
      <c r="W95">
        <v>2.5</v>
      </c>
      <c r="X95" s="1" t="s">
        <v>16</v>
      </c>
    </row>
    <row r="96" spans="1:24" x14ac:dyDescent="0.25">
      <c r="A96" s="1" t="str">
        <f t="shared" si="23"/>
        <v>卡卡杜-凤凰仓</v>
      </c>
      <c r="B96" s="1" t="str">
        <f>"CK2024103179"</f>
        <v>CK2024103179</v>
      </c>
      <c r="C96" s="1" t="str">
        <f>"DD2024103112168"</f>
        <v>DD2024103112168</v>
      </c>
      <c r="D96" s="1" t="str">
        <f>"CK2024103119159"</f>
        <v>CK2024103119159</v>
      </c>
      <c r="E96" s="1" t="str">
        <f>"6935669030818878772"</f>
        <v>6935669030818878772</v>
      </c>
      <c r="F96" s="1" t="str">
        <f t="shared" si="24"/>
        <v>花都四部-凤凰仓</v>
      </c>
      <c r="G96" s="1" t="str">
        <f t="shared" si="20"/>
        <v>卡卡杜个人护理店（抖店）</v>
      </c>
      <c r="H96" s="1" t="str">
        <f t="shared" si="25"/>
        <v>正常订单</v>
      </c>
      <c r="I96" s="1" t="str">
        <f t="shared" si="26"/>
        <v>已发货</v>
      </c>
      <c r="J96" s="1" t="str">
        <f t="shared" si="30"/>
        <v>3</v>
      </c>
      <c r="K96" s="1">
        <v>2</v>
      </c>
      <c r="L96" s="1" t="s">
        <v>36</v>
      </c>
      <c r="M96" s="1" t="str">
        <f>"安徽省 淮北市 濉溪县 孙町镇"</f>
        <v>安徽省 淮北市 濉溪县 孙町镇</v>
      </c>
      <c r="N96" s="1" t="str">
        <f t="shared" si="22"/>
        <v>凡华云仓-城南圆通-抖音</v>
      </c>
      <c r="O96" s="5" t="s">
        <v>131</v>
      </c>
      <c r="P96" s="6">
        <v>0.35</v>
      </c>
      <c r="Q96" s="11">
        <v>2.2999999999999998</v>
      </c>
      <c r="R96" s="11"/>
      <c r="S96" s="11"/>
      <c r="T96" s="11"/>
      <c r="U96" s="11">
        <f t="shared" si="28"/>
        <v>2.2999999999999998</v>
      </c>
      <c r="W96">
        <v>2.5</v>
      </c>
      <c r="X96" s="1" t="s">
        <v>36</v>
      </c>
    </row>
    <row r="97" spans="1:24" x14ac:dyDescent="0.25">
      <c r="A97" s="1" t="str">
        <f t="shared" si="23"/>
        <v>卡卡杜-凤凰仓</v>
      </c>
      <c r="B97" s="1" t="str">
        <f>"CK2024103194"</f>
        <v>CK2024103194</v>
      </c>
      <c r="C97" s="1" t="str">
        <f>"DD2024103112204"</f>
        <v>DD2024103112204</v>
      </c>
      <c r="D97" s="1" t="str">
        <f>"CK2024103119158"</f>
        <v>CK2024103119158</v>
      </c>
      <c r="E97" s="1" t="str">
        <f>"6935664661074809889"</f>
        <v>6935664661074809889</v>
      </c>
      <c r="F97" s="1" t="str">
        <f t="shared" si="24"/>
        <v>花都四部-凤凰仓</v>
      </c>
      <c r="G97" s="1" t="str">
        <f t="shared" si="20"/>
        <v>卡卡杜个人护理店（抖店）</v>
      </c>
      <c r="H97" s="1" t="str">
        <f t="shared" si="25"/>
        <v>正常订单</v>
      </c>
      <c r="I97" s="1" t="str">
        <f t="shared" si="26"/>
        <v>已发货</v>
      </c>
      <c r="J97" s="1" t="str">
        <f t="shared" si="30"/>
        <v>3</v>
      </c>
      <c r="K97" s="1">
        <v>2</v>
      </c>
      <c r="L97" s="1" t="s">
        <v>13</v>
      </c>
      <c r="M97" s="1" t="str">
        <f>"江苏省 泰州市 海陵区 凤凰街道"</f>
        <v>江苏省 泰州市 海陵区 凤凰街道</v>
      </c>
      <c r="N97" s="1" t="str">
        <f t="shared" si="22"/>
        <v>凡华云仓-城南圆通-抖音</v>
      </c>
      <c r="O97" s="5" t="s">
        <v>132</v>
      </c>
      <c r="P97" s="6">
        <v>0.35</v>
      </c>
      <c r="Q97" s="11">
        <v>2.2999999999999998</v>
      </c>
      <c r="R97" s="11"/>
      <c r="S97" s="11"/>
      <c r="T97" s="11"/>
      <c r="U97" s="11">
        <f t="shared" si="28"/>
        <v>2.2999999999999998</v>
      </c>
      <c r="W97">
        <v>2.5</v>
      </c>
      <c r="X97" s="1" t="s">
        <v>13</v>
      </c>
    </row>
    <row r="98" spans="1:24" x14ac:dyDescent="0.25">
      <c r="A98" s="1" t="str">
        <f t="shared" si="23"/>
        <v>卡卡杜-凤凰仓</v>
      </c>
      <c r="B98" s="1" t="str">
        <f>"CK2024103154"</f>
        <v>CK2024103154</v>
      </c>
      <c r="C98" s="1" t="str">
        <f>"DD2024103112104"</f>
        <v>DD2024103112104</v>
      </c>
      <c r="D98" s="1" t="str">
        <f>"CK2024103119157"</f>
        <v>CK2024103119157</v>
      </c>
      <c r="E98" s="1" t="str">
        <f>"6935668770013647935"</f>
        <v>6935668770013647935</v>
      </c>
      <c r="F98" s="1" t="str">
        <f t="shared" si="24"/>
        <v>花都四部-凤凰仓</v>
      </c>
      <c r="G98" s="1" t="str">
        <f t="shared" si="20"/>
        <v>卡卡杜个人护理店（抖店）</v>
      </c>
      <c r="H98" s="1" t="str">
        <f t="shared" si="25"/>
        <v>正常订单</v>
      </c>
      <c r="I98" s="1" t="str">
        <f t="shared" si="26"/>
        <v>已发货</v>
      </c>
      <c r="J98" s="1" t="str">
        <f t="shared" si="30"/>
        <v>3</v>
      </c>
      <c r="K98" s="1">
        <v>3</v>
      </c>
      <c r="L98" s="1" t="s">
        <v>18</v>
      </c>
      <c r="M98" s="1" t="str">
        <f>"广东省 深圳市 宝安区 新安街道"</f>
        <v>广东省 深圳市 宝安区 新安街道</v>
      </c>
      <c r="N98" s="1" t="str">
        <f t="shared" si="22"/>
        <v>凡华云仓-城南圆通-抖音</v>
      </c>
      <c r="O98" s="5" t="s">
        <v>133</v>
      </c>
      <c r="P98" s="6">
        <v>0.33</v>
      </c>
      <c r="Q98" s="11">
        <v>2.2999999999999998</v>
      </c>
      <c r="R98" s="11"/>
      <c r="S98" s="11"/>
      <c r="T98" s="11"/>
      <c r="U98" s="11">
        <f t="shared" si="28"/>
        <v>2.2999999999999998</v>
      </c>
      <c r="W98">
        <v>2.5</v>
      </c>
      <c r="X98" s="1" t="s">
        <v>18</v>
      </c>
    </row>
    <row r="99" spans="1:24" x14ac:dyDescent="0.25">
      <c r="A99" s="1" t="str">
        <f t="shared" si="23"/>
        <v>卡卡杜-凤凰仓</v>
      </c>
      <c r="B99" s="1" t="str">
        <f>"CK2024103101"</f>
        <v>CK2024103101</v>
      </c>
      <c r="C99" s="1" t="str">
        <f>"DD2024103111295"</f>
        <v>DD2024103111295</v>
      </c>
      <c r="D99" s="1" t="str">
        <f>"CK2024103119156"</f>
        <v>CK2024103119156</v>
      </c>
      <c r="E99" s="1" t="str">
        <f>"2430502002688323"</f>
        <v>2430502002688323</v>
      </c>
      <c r="F99" s="1" t="str">
        <f t="shared" si="24"/>
        <v>花都四部-凤凰仓</v>
      </c>
      <c r="G99" s="1" t="str">
        <f t="shared" ref="G99:G138" si="31">"卡卡杜佳旺专卖店（快手店）"</f>
        <v>卡卡杜佳旺专卖店（快手店）</v>
      </c>
      <c r="H99" s="1" t="str">
        <f t="shared" si="25"/>
        <v>正常订单</v>
      </c>
      <c r="I99" s="1" t="str">
        <f t="shared" si="26"/>
        <v>已发货</v>
      </c>
      <c r="J99" s="1" t="str">
        <f t="shared" ref="J99:J105" si="32">"5"</f>
        <v>5</v>
      </c>
      <c r="K99" s="1">
        <v>2</v>
      </c>
      <c r="L99" s="1" t="s">
        <v>13</v>
      </c>
      <c r="M99" s="1" t="str">
        <f>"江苏省 苏州市 昆山市 周市镇"</f>
        <v>江苏省 苏州市 昆山市 周市镇</v>
      </c>
      <c r="N99" s="1" t="str">
        <f t="shared" ref="N99:N138" si="33">"凡华云仓-城南圆通-快手"</f>
        <v>凡华云仓-城南圆通-快手</v>
      </c>
      <c r="O99" s="5" t="s">
        <v>134</v>
      </c>
      <c r="P99" s="6">
        <v>0.59</v>
      </c>
      <c r="Q99" s="11">
        <f t="shared" ref="Q99:Q105" si="34">CEILING(P99-0.5,0.1)*10*0.15+2.3</f>
        <v>2.4499999999999997</v>
      </c>
      <c r="R99" s="11"/>
      <c r="S99" s="11"/>
      <c r="T99" s="11"/>
      <c r="U99" s="11">
        <f t="shared" si="28"/>
        <v>2.4499999999999997</v>
      </c>
      <c r="V99" t="s">
        <v>15</v>
      </c>
      <c r="W99">
        <v>2.4500000000000002</v>
      </c>
      <c r="X99" s="1" t="s">
        <v>13</v>
      </c>
    </row>
    <row r="100" spans="1:24" x14ac:dyDescent="0.25">
      <c r="A100" s="1" t="str">
        <f t="shared" si="23"/>
        <v>卡卡杜-凤凰仓</v>
      </c>
      <c r="B100" s="1" t="str">
        <f>"CK2024103188"</f>
        <v>CK2024103188</v>
      </c>
      <c r="C100" s="1" t="str">
        <f>"DD2024103112192"</f>
        <v>DD2024103112192</v>
      </c>
      <c r="D100" s="1" t="str">
        <f>"CK2024103119155"</f>
        <v>CK2024103119155</v>
      </c>
      <c r="E100" s="1" t="str">
        <f>"2430501767387068"</f>
        <v>2430501767387068</v>
      </c>
      <c r="F100" s="1" t="str">
        <f t="shared" si="24"/>
        <v>花都四部-凤凰仓</v>
      </c>
      <c r="G100" s="1" t="str">
        <f t="shared" si="31"/>
        <v>卡卡杜佳旺专卖店（快手店）</v>
      </c>
      <c r="H100" s="1" t="str">
        <f t="shared" si="25"/>
        <v>正常订单</v>
      </c>
      <c r="I100" s="1" t="str">
        <f t="shared" si="26"/>
        <v>已发货</v>
      </c>
      <c r="J100" s="1" t="str">
        <f>"3"</f>
        <v>3</v>
      </c>
      <c r="K100" s="1">
        <v>2</v>
      </c>
      <c r="L100" s="1" t="s">
        <v>18</v>
      </c>
      <c r="M100" s="1" t="str">
        <f>"广东省 珠海市 斗门区 乾务镇"</f>
        <v>广东省 珠海市 斗门区 乾务镇</v>
      </c>
      <c r="N100" s="1" t="str">
        <f t="shared" si="33"/>
        <v>凡华云仓-城南圆通-快手</v>
      </c>
      <c r="O100" s="5" t="s">
        <v>135</v>
      </c>
      <c r="P100" s="6">
        <v>0.35</v>
      </c>
      <c r="Q100" s="11">
        <v>2.2999999999999998</v>
      </c>
      <c r="R100" s="11"/>
      <c r="S100" s="11"/>
      <c r="T100" s="11"/>
      <c r="U100" s="11">
        <f t="shared" si="28"/>
        <v>2.2999999999999998</v>
      </c>
      <c r="W100">
        <v>2.5</v>
      </c>
      <c r="X100" s="1" t="s">
        <v>18</v>
      </c>
    </row>
    <row r="101" spans="1:24" x14ac:dyDescent="0.25">
      <c r="A101" s="1" t="str">
        <f t="shared" si="23"/>
        <v>卡卡杜-凤凰仓</v>
      </c>
      <c r="B101" s="1" t="str">
        <f>"CK2024103103"</f>
        <v>CK2024103103</v>
      </c>
      <c r="C101" s="1" t="str">
        <f>"DD2024103111298"</f>
        <v>DD2024103111298</v>
      </c>
      <c r="D101" s="1" t="str">
        <f>"CK2024103119154"</f>
        <v>CK2024103119154</v>
      </c>
      <c r="E101" s="1" t="str">
        <f>"2430501841115413"</f>
        <v>2430501841115413</v>
      </c>
      <c r="F101" s="1" t="str">
        <f t="shared" si="24"/>
        <v>花都四部-凤凰仓</v>
      </c>
      <c r="G101" s="1" t="str">
        <f t="shared" si="31"/>
        <v>卡卡杜佳旺专卖店（快手店）</v>
      </c>
      <c r="H101" s="1" t="str">
        <f t="shared" si="25"/>
        <v>正常订单</v>
      </c>
      <c r="I101" s="1" t="str">
        <f t="shared" si="26"/>
        <v>已发货</v>
      </c>
      <c r="J101" s="1" t="str">
        <f t="shared" si="32"/>
        <v>5</v>
      </c>
      <c r="K101" s="1">
        <v>2</v>
      </c>
      <c r="L101" s="1" t="s">
        <v>136</v>
      </c>
      <c r="M101" s="1" t="str">
        <f>"北京市 北京市 通州区 宋庄镇"</f>
        <v>北京市 北京市 通州区 宋庄镇</v>
      </c>
      <c r="N101" s="1" t="str">
        <f t="shared" si="33"/>
        <v>凡华云仓-城南圆通-快手</v>
      </c>
      <c r="O101" s="5" t="s">
        <v>137</v>
      </c>
      <c r="P101" s="6">
        <v>0.59</v>
      </c>
      <c r="Q101" s="11">
        <f t="shared" si="34"/>
        <v>2.4499999999999997</v>
      </c>
      <c r="R101" s="11"/>
      <c r="S101" s="11"/>
      <c r="T101" s="11"/>
      <c r="U101" s="11">
        <f t="shared" si="28"/>
        <v>2.4499999999999997</v>
      </c>
      <c r="V101" t="s">
        <v>15</v>
      </c>
      <c r="W101">
        <v>2.4500000000000002</v>
      </c>
      <c r="X101" s="1" t="s">
        <v>136</v>
      </c>
    </row>
    <row r="102" spans="1:24" x14ac:dyDescent="0.25">
      <c r="A102" s="1" t="str">
        <f t="shared" si="23"/>
        <v>卡卡杜-凤凰仓</v>
      </c>
      <c r="B102" s="1" t="str">
        <f>"CK2024103106"</f>
        <v>CK2024103106</v>
      </c>
      <c r="C102" s="1" t="str">
        <f>"DD2024103111296"</f>
        <v>DD2024103111296</v>
      </c>
      <c r="D102" s="1" t="str">
        <f>"CK2024103119153"</f>
        <v>CK2024103119153</v>
      </c>
      <c r="E102" s="1" t="str">
        <f>"2430502321043411"</f>
        <v>2430502321043411</v>
      </c>
      <c r="F102" s="1" t="str">
        <f t="shared" si="24"/>
        <v>花都四部-凤凰仓</v>
      </c>
      <c r="G102" s="1" t="str">
        <f t="shared" si="31"/>
        <v>卡卡杜佳旺专卖店（快手店）</v>
      </c>
      <c r="H102" s="1" t="str">
        <f t="shared" si="25"/>
        <v>正常订单</v>
      </c>
      <c r="I102" s="1" t="str">
        <f t="shared" si="26"/>
        <v>已发货</v>
      </c>
      <c r="J102" s="1" t="str">
        <f t="shared" si="32"/>
        <v>5</v>
      </c>
      <c r="K102" s="1">
        <v>2</v>
      </c>
      <c r="L102" s="1" t="s">
        <v>18</v>
      </c>
      <c r="M102" s="1" t="str">
        <f>"广东省 珠海市 斗门区 井岸镇"</f>
        <v>广东省 珠海市 斗门区 井岸镇</v>
      </c>
      <c r="N102" s="1" t="str">
        <f t="shared" si="33"/>
        <v>凡华云仓-城南圆通-快手</v>
      </c>
      <c r="O102" s="5" t="s">
        <v>138</v>
      </c>
      <c r="P102" s="6">
        <v>0.59</v>
      </c>
      <c r="Q102" s="11">
        <f t="shared" si="34"/>
        <v>2.4499999999999997</v>
      </c>
      <c r="R102" s="11"/>
      <c r="S102" s="11"/>
      <c r="T102" s="11"/>
      <c r="U102" s="11">
        <f t="shared" si="28"/>
        <v>2.4499999999999997</v>
      </c>
      <c r="V102" t="s">
        <v>15</v>
      </c>
      <c r="W102">
        <v>2.4500000000000002</v>
      </c>
      <c r="X102" s="1" t="s">
        <v>18</v>
      </c>
    </row>
    <row r="103" spans="1:24" x14ac:dyDescent="0.25">
      <c r="A103" s="1" t="str">
        <f t="shared" si="23"/>
        <v>卡卡杜-凤凰仓</v>
      </c>
      <c r="B103" s="1" t="str">
        <f>"CK2024103107"</f>
        <v>CK2024103107</v>
      </c>
      <c r="C103" s="1" t="str">
        <f>"DD2024103111303"</f>
        <v>DD2024103111303</v>
      </c>
      <c r="D103" s="1" t="str">
        <f>"CK2024103119152"</f>
        <v>CK2024103119152</v>
      </c>
      <c r="E103" s="1" t="str">
        <f>"2430502162537078"</f>
        <v>2430502162537078</v>
      </c>
      <c r="F103" s="1" t="str">
        <f t="shared" si="24"/>
        <v>花都四部-凤凰仓</v>
      </c>
      <c r="G103" s="1" t="str">
        <f t="shared" si="31"/>
        <v>卡卡杜佳旺专卖店（快手店）</v>
      </c>
      <c r="H103" s="1" t="str">
        <f t="shared" si="25"/>
        <v>正常订单</v>
      </c>
      <c r="I103" s="1" t="str">
        <f t="shared" si="26"/>
        <v>已发货</v>
      </c>
      <c r="J103" s="1" t="str">
        <f t="shared" si="32"/>
        <v>5</v>
      </c>
      <c r="K103" s="1">
        <v>2</v>
      </c>
      <c r="L103" s="1" t="s">
        <v>52</v>
      </c>
      <c r="M103" s="1" t="str">
        <f>"甘肃省 天水市 甘谷县 新兴镇"</f>
        <v>甘肃省 天水市 甘谷县 新兴镇</v>
      </c>
      <c r="N103" s="1" t="str">
        <f t="shared" si="33"/>
        <v>凡华云仓-城南圆通-快手</v>
      </c>
      <c r="O103" s="5" t="s">
        <v>139</v>
      </c>
      <c r="P103" s="6">
        <v>0.59</v>
      </c>
      <c r="Q103" s="11">
        <f t="shared" si="34"/>
        <v>2.4499999999999997</v>
      </c>
      <c r="R103" s="11"/>
      <c r="S103" s="11"/>
      <c r="T103" s="11"/>
      <c r="U103" s="11">
        <f t="shared" si="28"/>
        <v>2.4499999999999997</v>
      </c>
      <c r="V103" t="s">
        <v>15</v>
      </c>
      <c r="W103">
        <v>2.4500000000000002</v>
      </c>
      <c r="X103" s="1" t="s">
        <v>52</v>
      </c>
    </row>
    <row r="104" spans="1:24" x14ac:dyDescent="0.25">
      <c r="A104" s="1" t="str">
        <f t="shared" si="23"/>
        <v>卡卡杜-凤凰仓</v>
      </c>
      <c r="B104" s="1" t="str">
        <f>"CK2024103102"</f>
        <v>CK2024103102</v>
      </c>
      <c r="C104" s="1" t="str">
        <f>"DD2024103111297"</f>
        <v>DD2024103111297</v>
      </c>
      <c r="D104" s="1" t="str">
        <f>"CK2024103119151"</f>
        <v>CK2024103119151</v>
      </c>
      <c r="E104" s="1" t="str">
        <f>"2430502004168919"</f>
        <v>2430502004168919</v>
      </c>
      <c r="F104" s="1" t="str">
        <f t="shared" si="24"/>
        <v>花都四部-凤凰仓</v>
      </c>
      <c r="G104" s="1" t="str">
        <f t="shared" si="31"/>
        <v>卡卡杜佳旺专卖店（快手店）</v>
      </c>
      <c r="H104" s="1" t="str">
        <f t="shared" si="25"/>
        <v>正常订单</v>
      </c>
      <c r="I104" s="1" t="str">
        <f t="shared" si="26"/>
        <v>已发货</v>
      </c>
      <c r="J104" s="1" t="str">
        <f t="shared" si="32"/>
        <v>5</v>
      </c>
      <c r="K104" s="1">
        <v>2</v>
      </c>
      <c r="L104" s="1" t="s">
        <v>94</v>
      </c>
      <c r="M104" s="1" t="str">
        <f>"湖南省 长沙市 浏阳市 洞阳镇"</f>
        <v>湖南省 长沙市 浏阳市 洞阳镇</v>
      </c>
      <c r="N104" s="1" t="str">
        <f t="shared" si="33"/>
        <v>凡华云仓-城南圆通-快手</v>
      </c>
      <c r="O104" s="5" t="s">
        <v>140</v>
      </c>
      <c r="P104" s="6">
        <v>0.59</v>
      </c>
      <c r="Q104" s="11">
        <f t="shared" si="34"/>
        <v>2.4499999999999997</v>
      </c>
      <c r="R104" s="11"/>
      <c r="S104" s="11"/>
      <c r="T104" s="11"/>
      <c r="U104" s="11">
        <f t="shared" si="28"/>
        <v>2.4499999999999997</v>
      </c>
      <c r="V104" t="s">
        <v>15</v>
      </c>
      <c r="W104">
        <v>2.4500000000000002</v>
      </c>
      <c r="X104" s="1" t="s">
        <v>94</v>
      </c>
    </row>
    <row r="105" spans="1:24" x14ac:dyDescent="0.25">
      <c r="A105" s="1" t="str">
        <f t="shared" si="23"/>
        <v>卡卡杜-凤凰仓</v>
      </c>
      <c r="B105" s="1" t="str">
        <f>"CK2024103105"</f>
        <v>CK2024103105</v>
      </c>
      <c r="C105" s="1" t="str">
        <f>"DD2024103111299"</f>
        <v>DD2024103111299</v>
      </c>
      <c r="D105" s="1" t="str">
        <f>"CK2024103119150"</f>
        <v>CK2024103119150</v>
      </c>
      <c r="E105" s="1" t="str">
        <f>"2430502160930522"</f>
        <v>2430502160930522</v>
      </c>
      <c r="F105" s="1" t="str">
        <f t="shared" si="24"/>
        <v>花都四部-凤凰仓</v>
      </c>
      <c r="G105" s="1" t="str">
        <f t="shared" si="31"/>
        <v>卡卡杜佳旺专卖店（快手店）</v>
      </c>
      <c r="H105" s="1" t="str">
        <f t="shared" si="25"/>
        <v>正常订单</v>
      </c>
      <c r="I105" s="1" t="str">
        <f t="shared" si="26"/>
        <v>已发货</v>
      </c>
      <c r="J105" s="1" t="str">
        <f t="shared" si="32"/>
        <v>5</v>
      </c>
      <c r="K105" s="1">
        <v>2</v>
      </c>
      <c r="L105" s="1" t="s">
        <v>80</v>
      </c>
      <c r="M105" s="1" t="str">
        <f>"河南省 洛阳市 新安县 石寺镇"</f>
        <v>河南省 洛阳市 新安县 石寺镇</v>
      </c>
      <c r="N105" s="1" t="str">
        <f t="shared" si="33"/>
        <v>凡华云仓-城南圆通-快手</v>
      </c>
      <c r="O105" s="5" t="s">
        <v>141</v>
      </c>
      <c r="P105" s="6">
        <v>0.59</v>
      </c>
      <c r="Q105" s="11">
        <f t="shared" si="34"/>
        <v>2.4499999999999997</v>
      </c>
      <c r="R105" s="11"/>
      <c r="S105" s="11"/>
      <c r="T105" s="11"/>
      <c r="U105" s="11">
        <f t="shared" si="28"/>
        <v>2.4499999999999997</v>
      </c>
      <c r="V105" t="s">
        <v>15</v>
      </c>
      <c r="W105">
        <v>2.4500000000000002</v>
      </c>
      <c r="X105" s="1" t="s">
        <v>80</v>
      </c>
    </row>
    <row r="106" spans="1:24" x14ac:dyDescent="0.25">
      <c r="A106" s="1" t="str">
        <f t="shared" si="23"/>
        <v>卡卡杜-凤凰仓</v>
      </c>
      <c r="B106" s="1" t="str">
        <f>"CK2024103155"</f>
        <v>CK2024103155</v>
      </c>
      <c r="C106" s="1" t="str">
        <f>"DD2024103112102"</f>
        <v>DD2024103112102</v>
      </c>
      <c r="D106" s="1" t="str">
        <f>"CK2024103119149"</f>
        <v>CK2024103119149</v>
      </c>
      <c r="E106" s="1" t="str">
        <f>"2430501687353818"</f>
        <v>2430501687353818</v>
      </c>
      <c r="F106" s="1" t="str">
        <f t="shared" si="24"/>
        <v>花都四部-凤凰仓</v>
      </c>
      <c r="G106" s="1" t="str">
        <f t="shared" si="31"/>
        <v>卡卡杜佳旺专卖店（快手店）</v>
      </c>
      <c r="H106" s="1" t="str">
        <f t="shared" si="25"/>
        <v>正常订单</v>
      </c>
      <c r="I106" s="1" t="str">
        <f t="shared" si="26"/>
        <v>已发货</v>
      </c>
      <c r="J106" s="1" t="str">
        <f t="shared" ref="J106:J122" si="35">"3"</f>
        <v>3</v>
      </c>
      <c r="K106" s="1">
        <v>2</v>
      </c>
      <c r="L106" s="1" t="s">
        <v>18</v>
      </c>
      <c r="M106" s="1" t="str">
        <f>"广东省 广州市 荔湾区 彩虹街道"</f>
        <v>广东省 广州市 荔湾区 彩虹街道</v>
      </c>
      <c r="N106" s="1" t="str">
        <f t="shared" si="33"/>
        <v>凡华云仓-城南圆通-快手</v>
      </c>
      <c r="O106" s="5" t="s">
        <v>142</v>
      </c>
      <c r="P106" s="6">
        <v>0.35</v>
      </c>
      <c r="Q106" s="11">
        <v>2.2999999999999998</v>
      </c>
      <c r="R106" s="11"/>
      <c r="S106" s="11"/>
      <c r="T106" s="11"/>
      <c r="U106" s="11">
        <f t="shared" si="28"/>
        <v>2.2999999999999998</v>
      </c>
      <c r="W106">
        <v>2.5</v>
      </c>
      <c r="X106" s="1" t="s">
        <v>18</v>
      </c>
    </row>
    <row r="107" spans="1:24" x14ac:dyDescent="0.25">
      <c r="A107" s="1" t="str">
        <f t="shared" si="23"/>
        <v>卡卡杜-凤凰仓</v>
      </c>
      <c r="B107" s="1" t="str">
        <f>"CK2024103166"</f>
        <v>CK2024103166</v>
      </c>
      <c r="C107" s="1" t="str">
        <f>"DD2024103112134"</f>
        <v>DD2024103112134</v>
      </c>
      <c r="D107" s="1" t="str">
        <f>"CK2024103119148"</f>
        <v>CK2024103119148</v>
      </c>
      <c r="E107" s="1" t="str">
        <f>"2430501921768840"</f>
        <v>2430501921768840</v>
      </c>
      <c r="F107" s="1" t="str">
        <f t="shared" si="24"/>
        <v>花都四部-凤凰仓</v>
      </c>
      <c r="G107" s="1" t="str">
        <f t="shared" si="31"/>
        <v>卡卡杜佳旺专卖店（快手店）</v>
      </c>
      <c r="H107" s="1" t="str">
        <f t="shared" si="25"/>
        <v>正常订单</v>
      </c>
      <c r="I107" s="1" t="str">
        <f t="shared" si="26"/>
        <v>已发货</v>
      </c>
      <c r="J107" s="1" t="str">
        <f t="shared" si="35"/>
        <v>3</v>
      </c>
      <c r="K107" s="1">
        <v>2</v>
      </c>
      <c r="L107" s="1" t="s">
        <v>18</v>
      </c>
      <c r="M107" s="1" t="str">
        <f>"广东省 深圳市 宝安区 新安街道"</f>
        <v>广东省 深圳市 宝安区 新安街道</v>
      </c>
      <c r="N107" s="1" t="str">
        <f t="shared" si="33"/>
        <v>凡华云仓-城南圆通-快手</v>
      </c>
      <c r="O107" s="5" t="s">
        <v>143</v>
      </c>
      <c r="P107" s="6">
        <v>0.35</v>
      </c>
      <c r="Q107" s="11">
        <v>2.2999999999999998</v>
      </c>
      <c r="R107" s="11"/>
      <c r="S107" s="11"/>
      <c r="T107" s="11"/>
      <c r="U107" s="11">
        <f t="shared" si="28"/>
        <v>2.2999999999999998</v>
      </c>
      <c r="W107">
        <v>2.5</v>
      </c>
      <c r="X107" s="1" t="s">
        <v>18</v>
      </c>
    </row>
    <row r="108" spans="1:24" x14ac:dyDescent="0.25">
      <c r="A108" s="1" t="str">
        <f t="shared" si="23"/>
        <v>卡卡杜-凤凰仓</v>
      </c>
      <c r="B108" s="1" t="str">
        <f>"CK2024103104"</f>
        <v>CK2024103104</v>
      </c>
      <c r="C108" s="1" t="str">
        <f>"DD2024103111300"</f>
        <v>DD2024103111300</v>
      </c>
      <c r="D108" s="1" t="str">
        <f>"CK2024103119147"</f>
        <v>CK2024103119147</v>
      </c>
      <c r="E108" s="1" t="str">
        <f>"2430502161016718"</f>
        <v>2430502161016718</v>
      </c>
      <c r="F108" s="1" t="str">
        <f t="shared" si="24"/>
        <v>花都四部-凤凰仓</v>
      </c>
      <c r="G108" s="1" t="str">
        <f t="shared" si="31"/>
        <v>卡卡杜佳旺专卖店（快手店）</v>
      </c>
      <c r="H108" s="1" t="str">
        <f t="shared" si="25"/>
        <v>正常订单</v>
      </c>
      <c r="I108" s="1" t="str">
        <f t="shared" si="26"/>
        <v>已发货</v>
      </c>
      <c r="J108" s="1" t="str">
        <f>"5"</f>
        <v>5</v>
      </c>
      <c r="K108" s="1">
        <v>2</v>
      </c>
      <c r="L108" s="1" t="s">
        <v>41</v>
      </c>
      <c r="M108" s="1" t="str">
        <f>"湖北省 襄阳市 宜城市 宜城经济开发区"</f>
        <v>湖北省 襄阳市 宜城市 宜城经济开发区</v>
      </c>
      <c r="N108" s="1" t="str">
        <f t="shared" si="33"/>
        <v>凡华云仓-城南圆通-快手</v>
      </c>
      <c r="O108" s="5" t="s">
        <v>144</v>
      </c>
      <c r="P108" s="6">
        <v>0.59</v>
      </c>
      <c r="Q108" s="11">
        <f>CEILING(P108-0.5,0.1)*10*0.15+2.3</f>
        <v>2.4499999999999997</v>
      </c>
      <c r="R108" s="11"/>
      <c r="S108" s="11"/>
      <c r="T108" s="11"/>
      <c r="U108" s="11">
        <f t="shared" si="28"/>
        <v>2.4499999999999997</v>
      </c>
      <c r="V108" t="s">
        <v>15</v>
      </c>
      <c r="W108">
        <v>2.4500000000000002</v>
      </c>
      <c r="X108" s="1" t="s">
        <v>41</v>
      </c>
    </row>
    <row r="109" spans="1:24" x14ac:dyDescent="0.25">
      <c r="A109" s="1" t="str">
        <f t="shared" si="23"/>
        <v>卡卡杜-凤凰仓</v>
      </c>
      <c r="B109" s="1" t="str">
        <f>"CK2024103172"</f>
        <v>CK2024103172</v>
      </c>
      <c r="C109" s="1" t="str">
        <f>"DD2024103112150"</f>
        <v>DD2024103112150</v>
      </c>
      <c r="D109" s="1" t="str">
        <f>"CK2024103119146"</f>
        <v>CK2024103119146</v>
      </c>
      <c r="E109" s="1" t="str">
        <f>"2430501922528238"</f>
        <v>2430501922528238</v>
      </c>
      <c r="F109" s="1" t="str">
        <f t="shared" si="24"/>
        <v>花都四部-凤凰仓</v>
      </c>
      <c r="G109" s="1" t="str">
        <f t="shared" si="31"/>
        <v>卡卡杜佳旺专卖店（快手店）</v>
      </c>
      <c r="H109" s="1" t="str">
        <f t="shared" si="25"/>
        <v>正常订单</v>
      </c>
      <c r="I109" s="1" t="str">
        <f t="shared" si="26"/>
        <v>已发货</v>
      </c>
      <c r="J109" s="1" t="str">
        <f t="shared" si="35"/>
        <v>3</v>
      </c>
      <c r="K109" s="1">
        <v>2</v>
      </c>
      <c r="L109" s="1" t="s">
        <v>32</v>
      </c>
      <c r="M109" s="1" t="str">
        <f>"陕西省 西安市 莲湖区 枣园街道"</f>
        <v>陕西省 西安市 莲湖区 枣园街道</v>
      </c>
      <c r="N109" s="1" t="str">
        <f t="shared" si="33"/>
        <v>凡华云仓-城南圆通-快手</v>
      </c>
      <c r="O109" s="5" t="s">
        <v>145</v>
      </c>
      <c r="P109" s="6">
        <v>0.35</v>
      </c>
      <c r="Q109" s="11">
        <v>2.2999999999999998</v>
      </c>
      <c r="R109" s="11"/>
      <c r="S109" s="11"/>
      <c r="T109" s="11"/>
      <c r="U109" s="11">
        <f t="shared" si="28"/>
        <v>2.2999999999999998</v>
      </c>
      <c r="W109">
        <v>2.5</v>
      </c>
      <c r="X109" s="1" t="s">
        <v>32</v>
      </c>
    </row>
    <row r="110" spans="1:24" x14ac:dyDescent="0.25">
      <c r="A110" s="1" t="str">
        <f t="shared" si="23"/>
        <v>卡卡杜-凤凰仓</v>
      </c>
      <c r="B110" s="1" t="str">
        <f>"CK2024103163"</f>
        <v>CK2024103163</v>
      </c>
      <c r="C110" s="1" t="str">
        <f>"DD2024103112126"</f>
        <v>DD2024103112126</v>
      </c>
      <c r="D110" s="1" t="str">
        <f>"CK2024103119145"</f>
        <v>CK2024103119145</v>
      </c>
      <c r="E110" s="1" t="str">
        <f>"2430501760083298"</f>
        <v>2430501760083298</v>
      </c>
      <c r="F110" s="1" t="str">
        <f t="shared" si="24"/>
        <v>花都四部-凤凰仓</v>
      </c>
      <c r="G110" s="1" t="str">
        <f t="shared" si="31"/>
        <v>卡卡杜佳旺专卖店（快手店）</v>
      </c>
      <c r="H110" s="1" t="str">
        <f t="shared" si="25"/>
        <v>正常订单</v>
      </c>
      <c r="I110" s="1" t="str">
        <f t="shared" si="26"/>
        <v>已发货</v>
      </c>
      <c r="J110" s="1" t="str">
        <f t="shared" si="35"/>
        <v>3</v>
      </c>
      <c r="K110" s="1">
        <v>2</v>
      </c>
      <c r="L110" s="1" t="s">
        <v>13</v>
      </c>
      <c r="M110" s="1" t="str">
        <f>"江苏省 无锡市 梁溪区 山北街道"</f>
        <v>江苏省 无锡市 梁溪区 山北街道</v>
      </c>
      <c r="N110" s="1" t="str">
        <f t="shared" si="33"/>
        <v>凡华云仓-城南圆通-快手</v>
      </c>
      <c r="O110" s="5" t="s">
        <v>146</v>
      </c>
      <c r="P110" s="6">
        <v>0.35</v>
      </c>
      <c r="Q110" s="11">
        <v>2.2999999999999998</v>
      </c>
      <c r="R110" s="11"/>
      <c r="S110" s="11"/>
      <c r="T110" s="11"/>
      <c r="U110" s="11">
        <f t="shared" si="28"/>
        <v>2.2999999999999998</v>
      </c>
      <c r="W110">
        <v>2.5</v>
      </c>
      <c r="X110" s="1" t="s">
        <v>13</v>
      </c>
    </row>
    <row r="111" spans="1:24" x14ac:dyDescent="0.25">
      <c r="A111" s="1" t="str">
        <f t="shared" si="23"/>
        <v>卡卡杜-凤凰仓</v>
      </c>
      <c r="B111" s="1" t="str">
        <f>"CK2024103175"</f>
        <v>CK2024103175</v>
      </c>
      <c r="C111" s="1" t="str">
        <f>"DD2024103112156"</f>
        <v>DD2024103112156</v>
      </c>
      <c r="D111" s="1" t="str">
        <f>"CK2024103119144"</f>
        <v>CK2024103119144</v>
      </c>
      <c r="E111" s="1" t="str">
        <f>"2430502480825266"</f>
        <v>2430502480825266</v>
      </c>
      <c r="F111" s="1" t="str">
        <f t="shared" si="24"/>
        <v>花都四部-凤凰仓</v>
      </c>
      <c r="G111" s="1" t="str">
        <f t="shared" si="31"/>
        <v>卡卡杜佳旺专卖店（快手店）</v>
      </c>
      <c r="H111" s="1" t="str">
        <f t="shared" si="25"/>
        <v>正常订单</v>
      </c>
      <c r="I111" s="1" t="str">
        <f t="shared" si="26"/>
        <v>已发货</v>
      </c>
      <c r="J111" s="1" t="str">
        <f t="shared" si="35"/>
        <v>3</v>
      </c>
      <c r="K111" s="1">
        <v>2</v>
      </c>
      <c r="L111" s="1" t="s">
        <v>18</v>
      </c>
      <c r="M111" s="1" t="str">
        <f>"广东省 广州市 花都区 狮岭镇"</f>
        <v>广东省 广州市 花都区 狮岭镇</v>
      </c>
      <c r="N111" s="1" t="str">
        <f t="shared" si="33"/>
        <v>凡华云仓-城南圆通-快手</v>
      </c>
      <c r="O111" s="5" t="s">
        <v>147</v>
      </c>
      <c r="P111" s="6">
        <v>0.35</v>
      </c>
      <c r="Q111" s="11">
        <v>2.2999999999999998</v>
      </c>
      <c r="R111" s="11"/>
      <c r="S111" s="11"/>
      <c r="T111" s="11"/>
      <c r="U111" s="11">
        <f t="shared" si="28"/>
        <v>2.2999999999999998</v>
      </c>
      <c r="W111">
        <v>2.5</v>
      </c>
      <c r="X111" s="1" t="s">
        <v>18</v>
      </c>
    </row>
    <row r="112" spans="1:24" x14ac:dyDescent="0.25">
      <c r="A112" s="1" t="str">
        <f t="shared" si="23"/>
        <v>卡卡杜-凤凰仓</v>
      </c>
      <c r="B112" s="1" t="str">
        <f>"CK2024103183"</f>
        <v>CK2024103183</v>
      </c>
      <c r="C112" s="1" t="str">
        <f>"DD2024103112175"</f>
        <v>DD2024103112175</v>
      </c>
      <c r="D112" s="1" t="str">
        <f>"CK2024103119143"</f>
        <v>CK2024103119143</v>
      </c>
      <c r="E112" s="1" t="str">
        <f>"2430502322427034"</f>
        <v>2430502322427034</v>
      </c>
      <c r="F112" s="1" t="str">
        <f t="shared" si="24"/>
        <v>花都四部-凤凰仓</v>
      </c>
      <c r="G112" s="1" t="str">
        <f t="shared" si="31"/>
        <v>卡卡杜佳旺专卖店（快手店）</v>
      </c>
      <c r="H112" s="1" t="str">
        <f t="shared" si="25"/>
        <v>正常订单</v>
      </c>
      <c r="I112" s="1" t="str">
        <f t="shared" si="26"/>
        <v>已发货</v>
      </c>
      <c r="J112" s="1" t="str">
        <f t="shared" si="35"/>
        <v>3</v>
      </c>
      <c r="K112" s="1">
        <v>2</v>
      </c>
      <c r="L112" s="1" t="s">
        <v>16</v>
      </c>
      <c r="M112" s="1" t="str">
        <f>"河北省 邯郸市 丛台区 "</f>
        <v xml:space="preserve">河北省 邯郸市 丛台区 </v>
      </c>
      <c r="N112" s="1" t="str">
        <f t="shared" si="33"/>
        <v>凡华云仓-城南圆通-快手</v>
      </c>
      <c r="O112" s="5" t="s">
        <v>148</v>
      </c>
      <c r="P112" s="6">
        <v>0.35</v>
      </c>
      <c r="Q112" s="11">
        <v>2.2999999999999998</v>
      </c>
      <c r="R112" s="11"/>
      <c r="S112" s="11"/>
      <c r="T112" s="11"/>
      <c r="U112" s="11">
        <f t="shared" si="28"/>
        <v>2.2999999999999998</v>
      </c>
      <c r="W112">
        <v>2.5</v>
      </c>
      <c r="X112" s="1" t="s">
        <v>16</v>
      </c>
    </row>
    <row r="113" spans="1:24" x14ac:dyDescent="0.25">
      <c r="A113" s="1" t="str">
        <f t="shared" si="23"/>
        <v>卡卡杜-凤凰仓</v>
      </c>
      <c r="B113" s="1" t="str">
        <f>"CK2024103153"</f>
        <v>CK2024103153</v>
      </c>
      <c r="C113" s="1" t="str">
        <f>"DD2024103112097"</f>
        <v>DD2024103112097</v>
      </c>
      <c r="D113" s="1" t="str">
        <f>"CK2024103119142"</f>
        <v>CK2024103119142</v>
      </c>
      <c r="E113" s="1" t="str">
        <f>"2430401707968322"</f>
        <v>2430401707968322</v>
      </c>
      <c r="F113" s="1" t="str">
        <f t="shared" si="24"/>
        <v>花都四部-凤凰仓</v>
      </c>
      <c r="G113" s="1" t="str">
        <f t="shared" si="31"/>
        <v>卡卡杜佳旺专卖店（快手店）</v>
      </c>
      <c r="H113" s="1" t="str">
        <f t="shared" si="25"/>
        <v>正常订单</v>
      </c>
      <c r="I113" s="1" t="str">
        <f t="shared" si="26"/>
        <v>已发货</v>
      </c>
      <c r="J113" s="1" t="str">
        <f t="shared" si="35"/>
        <v>3</v>
      </c>
      <c r="K113" s="1">
        <v>3</v>
      </c>
      <c r="L113" s="1" t="s">
        <v>20</v>
      </c>
      <c r="M113" s="1" t="str">
        <f>"浙江省 温州市 永嘉县 瓯北街道"</f>
        <v>浙江省 温州市 永嘉县 瓯北街道</v>
      </c>
      <c r="N113" s="1" t="str">
        <f t="shared" si="33"/>
        <v>凡华云仓-城南圆通-快手</v>
      </c>
      <c r="O113" s="5" t="s">
        <v>149</v>
      </c>
      <c r="P113" s="6">
        <v>0.33</v>
      </c>
      <c r="Q113" s="11">
        <v>2.2999999999999998</v>
      </c>
      <c r="R113" s="11"/>
      <c r="S113" s="11"/>
      <c r="T113" s="11"/>
      <c r="U113" s="11">
        <f t="shared" si="28"/>
        <v>2.2999999999999998</v>
      </c>
      <c r="W113">
        <v>2.5</v>
      </c>
      <c r="X113" s="1" t="s">
        <v>20</v>
      </c>
    </row>
    <row r="114" spans="1:24" x14ac:dyDescent="0.25">
      <c r="A114" s="1" t="str">
        <f t="shared" si="23"/>
        <v>卡卡杜-凤凰仓</v>
      </c>
      <c r="B114" s="1" t="str">
        <f>"CK2024103180"</f>
        <v>CK2024103180</v>
      </c>
      <c r="C114" s="1" t="str">
        <f>"DD2024103112166"</f>
        <v>DD2024103112166</v>
      </c>
      <c r="D114" s="1" t="str">
        <f>"CK2024103119141"</f>
        <v>CK2024103119141</v>
      </c>
      <c r="E114" s="1" t="str">
        <f>"2430401789059742"</f>
        <v>2430401789059742</v>
      </c>
      <c r="F114" s="1" t="str">
        <f t="shared" si="24"/>
        <v>花都四部-凤凰仓</v>
      </c>
      <c r="G114" s="1" t="str">
        <f t="shared" si="31"/>
        <v>卡卡杜佳旺专卖店（快手店）</v>
      </c>
      <c r="H114" s="1" t="str">
        <f t="shared" si="25"/>
        <v>正常订单</v>
      </c>
      <c r="I114" s="1" t="str">
        <f t="shared" si="26"/>
        <v>已发货</v>
      </c>
      <c r="J114" s="1" t="str">
        <f t="shared" si="35"/>
        <v>3</v>
      </c>
      <c r="K114" s="1">
        <v>2</v>
      </c>
      <c r="L114" s="1" t="s">
        <v>13</v>
      </c>
      <c r="M114" s="1" t="str">
        <f>"江苏省 徐州市 睢宁县 官山镇"</f>
        <v>江苏省 徐州市 睢宁县 官山镇</v>
      </c>
      <c r="N114" s="1" t="str">
        <f t="shared" si="33"/>
        <v>凡华云仓-城南圆通-快手</v>
      </c>
      <c r="O114" s="5" t="s">
        <v>150</v>
      </c>
      <c r="P114" s="6">
        <v>0.35</v>
      </c>
      <c r="Q114" s="11">
        <v>2.2999999999999998</v>
      </c>
      <c r="R114" s="11"/>
      <c r="S114" s="11"/>
      <c r="T114" s="11"/>
      <c r="U114" s="11">
        <f t="shared" si="28"/>
        <v>2.2999999999999998</v>
      </c>
      <c r="W114">
        <v>2.5</v>
      </c>
      <c r="X114" s="1" t="s">
        <v>13</v>
      </c>
    </row>
    <row r="115" spans="1:24" x14ac:dyDescent="0.25">
      <c r="A115" s="1" t="str">
        <f t="shared" si="23"/>
        <v>卡卡杜-凤凰仓</v>
      </c>
      <c r="B115" s="1" t="str">
        <f>"CK20241031103"</f>
        <v>CK20241031103</v>
      </c>
      <c r="C115" s="1" t="str">
        <f>"DD2024103112226"</f>
        <v>DD2024103112226</v>
      </c>
      <c r="D115" s="1" t="str">
        <f>"CK2024103119140"</f>
        <v>CK2024103119140</v>
      </c>
      <c r="E115" s="1" t="str">
        <f>"2430402188691566"</f>
        <v>2430402188691566</v>
      </c>
      <c r="F115" s="1" t="str">
        <f t="shared" si="24"/>
        <v>花都四部-凤凰仓</v>
      </c>
      <c r="G115" s="1" t="str">
        <f t="shared" si="31"/>
        <v>卡卡杜佳旺专卖店（快手店）</v>
      </c>
      <c r="H115" s="1" t="str">
        <f t="shared" si="25"/>
        <v>正常订单</v>
      </c>
      <c r="I115" s="1" t="str">
        <f t="shared" si="26"/>
        <v>已发货</v>
      </c>
      <c r="J115" s="1" t="str">
        <f t="shared" si="35"/>
        <v>3</v>
      </c>
      <c r="K115" s="1">
        <v>2</v>
      </c>
      <c r="L115" s="1" t="s">
        <v>18</v>
      </c>
      <c r="M115" s="1" t="str">
        <f>"广东省 东莞市 石碣镇 石碣镇"</f>
        <v>广东省 东莞市 石碣镇 石碣镇</v>
      </c>
      <c r="N115" s="1" t="str">
        <f t="shared" si="33"/>
        <v>凡华云仓-城南圆通-快手</v>
      </c>
      <c r="O115" s="5" t="s">
        <v>151</v>
      </c>
      <c r="P115" s="6">
        <v>0.35</v>
      </c>
      <c r="Q115" s="11">
        <v>2.2999999999999998</v>
      </c>
      <c r="R115" s="11"/>
      <c r="S115" s="11"/>
      <c r="T115" s="11"/>
      <c r="U115" s="11">
        <f t="shared" si="28"/>
        <v>2.2999999999999998</v>
      </c>
      <c r="W115">
        <v>2.5</v>
      </c>
      <c r="X115" s="1" t="s">
        <v>18</v>
      </c>
    </row>
    <row r="116" spans="1:24" x14ac:dyDescent="0.25">
      <c r="A116" s="1" t="str">
        <f t="shared" si="23"/>
        <v>卡卡杜-凤凰仓</v>
      </c>
      <c r="B116" s="1" t="str">
        <f>"CK2024103184"</f>
        <v>CK2024103184</v>
      </c>
      <c r="C116" s="1" t="str">
        <f>"DD2024103112183"</f>
        <v>DD2024103112183</v>
      </c>
      <c r="D116" s="1" t="str">
        <f>"CK2024103119139"</f>
        <v>CK2024103119139</v>
      </c>
      <c r="E116" s="1" t="str">
        <f>"2430402429843877"</f>
        <v>2430402429843877</v>
      </c>
      <c r="F116" s="1" t="str">
        <f t="shared" si="24"/>
        <v>花都四部-凤凰仓</v>
      </c>
      <c r="G116" s="1" t="str">
        <f t="shared" si="31"/>
        <v>卡卡杜佳旺专卖店（快手店）</v>
      </c>
      <c r="H116" s="1" t="str">
        <f t="shared" si="25"/>
        <v>正常订单</v>
      </c>
      <c r="I116" s="1" t="str">
        <f t="shared" si="26"/>
        <v>已发货</v>
      </c>
      <c r="J116" s="1" t="str">
        <f t="shared" si="35"/>
        <v>3</v>
      </c>
      <c r="K116" s="1">
        <v>2</v>
      </c>
      <c r="L116" s="1" t="s">
        <v>54</v>
      </c>
      <c r="M116" s="1" t="str">
        <f>"黑龙江省 齐齐哈尔市 依安县 依安镇"</f>
        <v>黑龙江省 齐齐哈尔市 依安县 依安镇</v>
      </c>
      <c r="N116" s="1" t="str">
        <f t="shared" si="33"/>
        <v>凡华云仓-城南圆通-快手</v>
      </c>
      <c r="O116" s="5" t="s">
        <v>152</v>
      </c>
      <c r="P116" s="6">
        <v>0.35</v>
      </c>
      <c r="Q116" s="11">
        <v>2.2999999999999998</v>
      </c>
      <c r="R116" s="11"/>
      <c r="S116" s="11"/>
      <c r="T116" s="11"/>
      <c r="U116" s="11">
        <f t="shared" si="28"/>
        <v>2.2999999999999998</v>
      </c>
      <c r="W116">
        <v>2.5</v>
      </c>
      <c r="X116" s="1" t="s">
        <v>54</v>
      </c>
    </row>
    <row r="117" spans="1:24" x14ac:dyDescent="0.25">
      <c r="A117" s="1" t="str">
        <f t="shared" si="23"/>
        <v>卡卡杜-凤凰仓</v>
      </c>
      <c r="B117" s="1" t="str">
        <f>"CK2024103190"</f>
        <v>CK2024103190</v>
      </c>
      <c r="C117" s="1" t="str">
        <f>"DD2024103112195"</f>
        <v>DD2024103112195</v>
      </c>
      <c r="D117" s="1" t="str">
        <f>"CK2024103119138"</f>
        <v>CK2024103119138</v>
      </c>
      <c r="E117" s="1" t="str">
        <f>"2430402105810289"</f>
        <v>2430402105810289</v>
      </c>
      <c r="F117" s="1" t="str">
        <f t="shared" si="24"/>
        <v>花都四部-凤凰仓</v>
      </c>
      <c r="G117" s="1" t="str">
        <f t="shared" si="31"/>
        <v>卡卡杜佳旺专卖店（快手店）</v>
      </c>
      <c r="H117" s="1" t="str">
        <f t="shared" si="25"/>
        <v>正常订单</v>
      </c>
      <c r="I117" s="1" t="str">
        <f t="shared" si="26"/>
        <v>已发货</v>
      </c>
      <c r="J117" s="1" t="str">
        <f t="shared" si="35"/>
        <v>3</v>
      </c>
      <c r="K117" s="1">
        <v>2</v>
      </c>
      <c r="L117" s="1" t="s">
        <v>18</v>
      </c>
      <c r="M117" s="1" t="str">
        <f>"广东省 深圳市 宝安区 福永街道"</f>
        <v>广东省 深圳市 宝安区 福永街道</v>
      </c>
      <c r="N117" s="1" t="str">
        <f t="shared" si="33"/>
        <v>凡华云仓-城南圆通-快手</v>
      </c>
      <c r="O117" s="5" t="s">
        <v>153</v>
      </c>
      <c r="P117" s="6">
        <v>0.35</v>
      </c>
      <c r="Q117" s="11">
        <v>2.2999999999999998</v>
      </c>
      <c r="R117" s="11"/>
      <c r="S117" s="11"/>
      <c r="T117" s="11"/>
      <c r="U117" s="11">
        <f t="shared" si="28"/>
        <v>2.2999999999999998</v>
      </c>
      <c r="W117">
        <v>2.5</v>
      </c>
      <c r="X117" s="1" t="s">
        <v>18</v>
      </c>
    </row>
    <row r="118" spans="1:24" x14ac:dyDescent="0.25">
      <c r="A118" s="1" t="str">
        <f t="shared" si="23"/>
        <v>卡卡杜-凤凰仓</v>
      </c>
      <c r="B118" s="1" t="str">
        <f>"CK2024103189"</f>
        <v>CK2024103189</v>
      </c>
      <c r="C118" s="1" t="str">
        <f>"DD2024103112191"</f>
        <v>DD2024103112191</v>
      </c>
      <c r="D118" s="1" t="str">
        <f>"CK2024103119137"</f>
        <v>CK2024103119137</v>
      </c>
      <c r="E118" s="1" t="str">
        <f>"2430402186762220"</f>
        <v>2430402186762220</v>
      </c>
      <c r="F118" s="1" t="str">
        <f t="shared" si="24"/>
        <v>花都四部-凤凰仓</v>
      </c>
      <c r="G118" s="1" t="str">
        <f t="shared" si="31"/>
        <v>卡卡杜佳旺专卖店（快手店）</v>
      </c>
      <c r="H118" s="1" t="str">
        <f t="shared" si="25"/>
        <v>正常订单</v>
      </c>
      <c r="I118" s="1" t="str">
        <f t="shared" si="26"/>
        <v>已发货</v>
      </c>
      <c r="J118" s="1" t="str">
        <f t="shared" si="35"/>
        <v>3</v>
      </c>
      <c r="K118" s="1">
        <v>2</v>
      </c>
      <c r="L118" s="1" t="s">
        <v>94</v>
      </c>
      <c r="M118" s="1" t="str">
        <f>"湖南省 长沙市 雨花区 左家塘街道"</f>
        <v>湖南省 长沙市 雨花区 左家塘街道</v>
      </c>
      <c r="N118" s="1" t="str">
        <f t="shared" si="33"/>
        <v>凡华云仓-城南圆通-快手</v>
      </c>
      <c r="O118" s="5" t="s">
        <v>154</v>
      </c>
      <c r="P118" s="6">
        <v>0.35</v>
      </c>
      <c r="Q118" s="11">
        <v>2.2999999999999998</v>
      </c>
      <c r="R118" s="11"/>
      <c r="S118" s="11"/>
      <c r="T118" s="11"/>
      <c r="U118" s="11">
        <f t="shared" si="28"/>
        <v>2.2999999999999998</v>
      </c>
      <c r="W118">
        <v>2.5</v>
      </c>
      <c r="X118" s="1" t="s">
        <v>94</v>
      </c>
    </row>
    <row r="119" spans="1:24" x14ac:dyDescent="0.25">
      <c r="A119" s="1" t="str">
        <f t="shared" si="23"/>
        <v>卡卡杜-凤凰仓</v>
      </c>
      <c r="B119" s="1" t="str">
        <f>"CK2024103196"</f>
        <v>CK2024103196</v>
      </c>
      <c r="C119" s="1" t="str">
        <f>"DD2024103112208"</f>
        <v>DD2024103112208</v>
      </c>
      <c r="D119" s="1" t="str">
        <f>"CK2024103119136"</f>
        <v>CK2024103119136</v>
      </c>
      <c r="E119" s="1" t="str">
        <f>"2430402357833958"</f>
        <v>2430402357833958</v>
      </c>
      <c r="F119" s="1" t="str">
        <f t="shared" si="24"/>
        <v>花都四部-凤凰仓</v>
      </c>
      <c r="G119" s="1" t="str">
        <f t="shared" si="31"/>
        <v>卡卡杜佳旺专卖店（快手店）</v>
      </c>
      <c r="H119" s="1" t="str">
        <f t="shared" si="25"/>
        <v>正常订单</v>
      </c>
      <c r="I119" s="1" t="str">
        <f t="shared" si="26"/>
        <v>已发货</v>
      </c>
      <c r="J119" s="1" t="str">
        <f t="shared" si="35"/>
        <v>3</v>
      </c>
      <c r="K119" s="1">
        <v>2</v>
      </c>
      <c r="L119" s="1" t="s">
        <v>94</v>
      </c>
      <c r="M119" s="1" t="str">
        <f>"湖南省 株洲市 天元区 栗雨街道"</f>
        <v>湖南省 株洲市 天元区 栗雨街道</v>
      </c>
      <c r="N119" s="1" t="str">
        <f t="shared" si="33"/>
        <v>凡华云仓-城南圆通-快手</v>
      </c>
      <c r="O119" s="5" t="s">
        <v>155</v>
      </c>
      <c r="P119" s="6">
        <v>0.35</v>
      </c>
      <c r="Q119" s="11">
        <v>2.2999999999999998</v>
      </c>
      <c r="R119" s="11"/>
      <c r="S119" s="11"/>
      <c r="T119" s="11"/>
      <c r="U119" s="11">
        <f t="shared" si="28"/>
        <v>2.2999999999999998</v>
      </c>
      <c r="W119">
        <v>2.5</v>
      </c>
      <c r="X119" s="1" t="s">
        <v>94</v>
      </c>
    </row>
    <row r="120" spans="1:24" x14ac:dyDescent="0.25">
      <c r="A120" s="1" t="str">
        <f t="shared" si="23"/>
        <v>卡卡杜-凤凰仓</v>
      </c>
      <c r="B120" s="1" t="str">
        <f>"CK2024103192"</f>
        <v>CK2024103192</v>
      </c>
      <c r="C120" s="1" t="str">
        <f>"DD2024103112197"</f>
        <v>DD2024103112197</v>
      </c>
      <c r="D120" s="1" t="str">
        <f>"CK2024103119135"</f>
        <v>CK2024103119135</v>
      </c>
      <c r="E120" s="1" t="str">
        <f>"2430402424977064"</f>
        <v>2430402424977064</v>
      </c>
      <c r="F120" s="1" t="str">
        <f t="shared" si="24"/>
        <v>花都四部-凤凰仓</v>
      </c>
      <c r="G120" s="1" t="str">
        <f t="shared" si="31"/>
        <v>卡卡杜佳旺专卖店（快手店）</v>
      </c>
      <c r="H120" s="1" t="str">
        <f t="shared" si="25"/>
        <v>正常订单</v>
      </c>
      <c r="I120" s="1" t="str">
        <f t="shared" si="26"/>
        <v>已发货</v>
      </c>
      <c r="J120" s="1" t="str">
        <f t="shared" si="35"/>
        <v>3</v>
      </c>
      <c r="K120" s="1">
        <v>2</v>
      </c>
      <c r="L120" s="1" t="s">
        <v>18</v>
      </c>
      <c r="M120" s="1" t="str">
        <f>"广东省 惠州市 惠城区 惠环街道"</f>
        <v>广东省 惠州市 惠城区 惠环街道</v>
      </c>
      <c r="N120" s="1" t="str">
        <f t="shared" si="33"/>
        <v>凡华云仓-城南圆通-快手</v>
      </c>
      <c r="O120" s="5" t="s">
        <v>156</v>
      </c>
      <c r="P120" s="6">
        <v>0.35</v>
      </c>
      <c r="Q120" s="11">
        <v>2.2999999999999998</v>
      </c>
      <c r="R120" s="11"/>
      <c r="S120" s="11"/>
      <c r="T120" s="11"/>
      <c r="U120" s="11">
        <f t="shared" si="28"/>
        <v>2.2999999999999998</v>
      </c>
      <c r="W120">
        <v>2.5</v>
      </c>
      <c r="X120" s="1" t="s">
        <v>18</v>
      </c>
    </row>
    <row r="121" spans="1:24" x14ac:dyDescent="0.25">
      <c r="A121" s="1" t="str">
        <f t="shared" si="23"/>
        <v>卡卡杜-凤凰仓</v>
      </c>
      <c r="B121" s="1" t="str">
        <f>"CK2024103171"</f>
        <v>CK2024103171</v>
      </c>
      <c r="C121" s="1" t="str">
        <f>"DD2024103112141"</f>
        <v>DD2024103112141</v>
      </c>
      <c r="D121" s="1" t="str">
        <f>"CK2024103119134"</f>
        <v>CK2024103119134</v>
      </c>
      <c r="E121" s="1" t="str">
        <f>"2430402186051966"</f>
        <v>2430402186051966</v>
      </c>
      <c r="F121" s="1" t="str">
        <f t="shared" si="24"/>
        <v>花都四部-凤凰仓</v>
      </c>
      <c r="G121" s="1" t="str">
        <f t="shared" si="31"/>
        <v>卡卡杜佳旺专卖店（快手店）</v>
      </c>
      <c r="H121" s="1" t="str">
        <f t="shared" si="25"/>
        <v>正常订单</v>
      </c>
      <c r="I121" s="1" t="str">
        <f t="shared" si="26"/>
        <v>已发货</v>
      </c>
      <c r="J121" s="1" t="str">
        <f t="shared" si="35"/>
        <v>3</v>
      </c>
      <c r="K121" s="1">
        <v>2</v>
      </c>
      <c r="L121" s="1" t="s">
        <v>13</v>
      </c>
      <c r="M121" s="1" t="str">
        <f>"江苏省 苏州市 太仓市 城厢镇"</f>
        <v>江苏省 苏州市 太仓市 城厢镇</v>
      </c>
      <c r="N121" s="1" t="str">
        <f t="shared" si="33"/>
        <v>凡华云仓-城南圆通-快手</v>
      </c>
      <c r="O121" s="5" t="s">
        <v>157</v>
      </c>
      <c r="P121" s="6">
        <v>0.35</v>
      </c>
      <c r="Q121" s="11">
        <v>2.2999999999999998</v>
      </c>
      <c r="R121" s="11"/>
      <c r="S121" s="11"/>
      <c r="T121" s="11"/>
      <c r="U121" s="11">
        <f t="shared" si="28"/>
        <v>2.2999999999999998</v>
      </c>
      <c r="W121">
        <v>2.5</v>
      </c>
      <c r="X121" s="1" t="s">
        <v>13</v>
      </c>
    </row>
    <row r="122" spans="1:24" x14ac:dyDescent="0.25">
      <c r="A122" s="1" t="str">
        <f t="shared" si="23"/>
        <v>卡卡杜-凤凰仓</v>
      </c>
      <c r="B122" s="1" t="str">
        <f>"CK20241031100"</f>
        <v>CK20241031100</v>
      </c>
      <c r="C122" s="1" t="str">
        <f>"DD2024103112218"</f>
        <v>DD2024103112218</v>
      </c>
      <c r="D122" s="1" t="str">
        <f>"CK2024103119133"</f>
        <v>CK2024103119133</v>
      </c>
      <c r="E122" s="1" t="str">
        <f>"2430401781832720"</f>
        <v>2430401781832720</v>
      </c>
      <c r="F122" s="1" t="str">
        <f t="shared" si="24"/>
        <v>花都四部-凤凰仓</v>
      </c>
      <c r="G122" s="1" t="str">
        <f t="shared" si="31"/>
        <v>卡卡杜佳旺专卖店（快手店）</v>
      </c>
      <c r="H122" s="1" t="str">
        <f t="shared" si="25"/>
        <v>正常订单</v>
      </c>
      <c r="I122" s="1" t="str">
        <f t="shared" si="26"/>
        <v>已发货</v>
      </c>
      <c r="J122" s="1" t="str">
        <f t="shared" si="35"/>
        <v>3</v>
      </c>
      <c r="K122" s="1">
        <v>2</v>
      </c>
      <c r="L122" s="1" t="s">
        <v>80</v>
      </c>
      <c r="M122" s="1" t="str">
        <f>"河南省 郑州市 惠济区 新城街道"</f>
        <v>河南省 郑州市 惠济区 新城街道</v>
      </c>
      <c r="N122" s="1" t="str">
        <f t="shared" si="33"/>
        <v>凡华云仓-城南圆通-快手</v>
      </c>
      <c r="O122" s="5" t="s">
        <v>158</v>
      </c>
      <c r="P122" s="6">
        <v>0.35</v>
      </c>
      <c r="Q122" s="11">
        <v>2.2999999999999998</v>
      </c>
      <c r="R122" s="11"/>
      <c r="S122" s="11"/>
      <c r="T122" s="11"/>
      <c r="U122" s="11">
        <f t="shared" si="28"/>
        <v>2.2999999999999998</v>
      </c>
      <c r="W122">
        <v>2.5</v>
      </c>
      <c r="X122" s="1" t="s">
        <v>80</v>
      </c>
    </row>
    <row r="123" spans="1:24" x14ac:dyDescent="0.25">
      <c r="A123" s="1" t="str">
        <f t="shared" si="23"/>
        <v>卡卡杜-凤凰仓</v>
      </c>
      <c r="B123" s="1" t="str">
        <f>"CK202410311456"</f>
        <v>CK202410311456</v>
      </c>
      <c r="C123" s="1" t="str">
        <f>"DD2024103112630"</f>
        <v>DD2024103112630</v>
      </c>
      <c r="D123" s="1" t="str">
        <f>"CK2024103119132"</f>
        <v>CK2024103119132</v>
      </c>
      <c r="E123" s="1" t="str">
        <f>"2430402267867379"</f>
        <v>2430402267867379</v>
      </c>
      <c r="F123" s="1" t="str">
        <f t="shared" si="24"/>
        <v>花都四部-凤凰仓</v>
      </c>
      <c r="G123" s="1" t="str">
        <f t="shared" si="31"/>
        <v>卡卡杜佳旺专卖店（快手店）</v>
      </c>
      <c r="H123" s="1" t="str">
        <f t="shared" si="25"/>
        <v>正常订单</v>
      </c>
      <c r="I123" s="1" t="str">
        <f t="shared" si="26"/>
        <v>已发货</v>
      </c>
      <c r="J123" s="1" t="str">
        <f>"10"</f>
        <v>10</v>
      </c>
      <c r="K123" s="1">
        <v>2</v>
      </c>
      <c r="L123" s="1" t="s">
        <v>80</v>
      </c>
      <c r="M123" s="1" t="str">
        <f>"河南省 新乡市 新乡县 七里营镇"</f>
        <v>河南省 新乡市 新乡县 七里营镇</v>
      </c>
      <c r="N123" s="1" t="str">
        <f t="shared" si="33"/>
        <v>凡华云仓-城南圆通-快手</v>
      </c>
      <c r="O123" s="5" t="s">
        <v>159</v>
      </c>
      <c r="P123" s="6">
        <v>1.1200000000000001</v>
      </c>
      <c r="Q123" s="11">
        <f>CEILING(P123-0.5,0.1)*10*0.15+2.3</f>
        <v>3.3499999999999996</v>
      </c>
      <c r="R123" s="11"/>
      <c r="S123" s="11"/>
      <c r="T123" s="11"/>
      <c r="U123" s="11">
        <f t="shared" si="28"/>
        <v>3.3499999999999996</v>
      </c>
      <c r="V123" t="s">
        <v>15</v>
      </c>
      <c r="W123">
        <v>3.35</v>
      </c>
      <c r="X123" s="1" t="s">
        <v>80</v>
      </c>
    </row>
    <row r="124" spans="1:24" x14ac:dyDescent="0.25">
      <c r="A124" s="1" t="str">
        <f t="shared" si="23"/>
        <v>卡卡杜-凤凰仓</v>
      </c>
      <c r="B124" s="1" t="str">
        <f>"CK2024103156"</f>
        <v>CK2024103156</v>
      </c>
      <c r="C124" s="1" t="str">
        <f>"DD2024103112108"</f>
        <v>DD2024103112108</v>
      </c>
      <c r="D124" s="1" t="str">
        <f>"CK2024103119131"</f>
        <v>CK2024103119131</v>
      </c>
      <c r="E124" s="1" t="str">
        <f>"2430402028219994"</f>
        <v>2430402028219994</v>
      </c>
      <c r="F124" s="1" t="str">
        <f t="shared" si="24"/>
        <v>花都四部-凤凰仓</v>
      </c>
      <c r="G124" s="1" t="str">
        <f t="shared" si="31"/>
        <v>卡卡杜佳旺专卖店（快手店）</v>
      </c>
      <c r="H124" s="1" t="str">
        <f t="shared" si="25"/>
        <v>正常订单</v>
      </c>
      <c r="I124" s="1" t="str">
        <f t="shared" si="26"/>
        <v>已发货</v>
      </c>
      <c r="J124" s="1" t="str">
        <f t="shared" ref="J124:J135" si="36">"3"</f>
        <v>3</v>
      </c>
      <c r="K124" s="1">
        <v>2</v>
      </c>
      <c r="L124" s="1" t="s">
        <v>16</v>
      </c>
      <c r="M124" s="1" t="str">
        <f>"河北省 唐山市 迁西县 栗乡街道"</f>
        <v>河北省 唐山市 迁西县 栗乡街道</v>
      </c>
      <c r="N124" s="1" t="str">
        <f t="shared" si="33"/>
        <v>凡华云仓-城南圆通-快手</v>
      </c>
      <c r="O124" s="5" t="s">
        <v>160</v>
      </c>
      <c r="P124" s="6">
        <v>0.35</v>
      </c>
      <c r="Q124" s="11">
        <v>2.2999999999999998</v>
      </c>
      <c r="R124" s="11"/>
      <c r="S124" s="11"/>
      <c r="T124" s="11"/>
      <c r="U124" s="11">
        <f t="shared" si="28"/>
        <v>2.2999999999999998</v>
      </c>
      <c r="W124">
        <v>2.5</v>
      </c>
      <c r="X124" s="1" t="s">
        <v>16</v>
      </c>
    </row>
    <row r="125" spans="1:24" x14ac:dyDescent="0.25">
      <c r="A125" s="1" t="str">
        <f t="shared" si="23"/>
        <v>卡卡杜-凤凰仓</v>
      </c>
      <c r="B125" s="1" t="str">
        <f>"CK2024103162"</f>
        <v>CK2024103162</v>
      </c>
      <c r="C125" s="1" t="str">
        <f>"DD2024103112123"</f>
        <v>DD2024103112123</v>
      </c>
      <c r="D125" s="1" t="str">
        <f>"CK2024103119130"</f>
        <v>CK2024103119130</v>
      </c>
      <c r="E125" s="1" t="str">
        <f>"2430402100907592"</f>
        <v>2430402100907592</v>
      </c>
      <c r="F125" s="1" t="str">
        <f t="shared" si="24"/>
        <v>花都四部-凤凰仓</v>
      </c>
      <c r="G125" s="1" t="str">
        <f t="shared" si="31"/>
        <v>卡卡杜佳旺专卖店（快手店）</v>
      </c>
      <c r="H125" s="1" t="str">
        <f t="shared" si="25"/>
        <v>正常订单</v>
      </c>
      <c r="I125" s="1" t="str">
        <f t="shared" si="26"/>
        <v>已发货</v>
      </c>
      <c r="J125" s="1" t="str">
        <f t="shared" si="36"/>
        <v>3</v>
      </c>
      <c r="K125" s="1">
        <v>2</v>
      </c>
      <c r="L125" s="1" t="s">
        <v>161</v>
      </c>
      <c r="M125" s="1" t="str">
        <f>"四川省 成都市 青白江区 大弯街道"</f>
        <v>四川省 成都市 青白江区 大弯街道</v>
      </c>
      <c r="N125" s="1" t="str">
        <f t="shared" si="33"/>
        <v>凡华云仓-城南圆通-快手</v>
      </c>
      <c r="O125" s="5" t="s">
        <v>162</v>
      </c>
      <c r="P125" s="6">
        <v>0.35</v>
      </c>
      <c r="Q125" s="11">
        <v>2.2999999999999998</v>
      </c>
      <c r="R125" s="11"/>
      <c r="S125" s="11"/>
      <c r="T125" s="11"/>
      <c r="U125" s="11">
        <f t="shared" si="28"/>
        <v>2.2999999999999998</v>
      </c>
      <c r="W125">
        <v>2.5</v>
      </c>
      <c r="X125" s="1" t="s">
        <v>161</v>
      </c>
    </row>
    <row r="126" spans="1:24" x14ac:dyDescent="0.25">
      <c r="A126" s="1" t="str">
        <f t="shared" si="23"/>
        <v>卡卡杜-凤凰仓</v>
      </c>
      <c r="B126" s="1" t="str">
        <f>"CK2024103170"</f>
        <v>CK2024103170</v>
      </c>
      <c r="C126" s="1" t="str">
        <f>"DD2024103112139"</f>
        <v>DD2024103112139</v>
      </c>
      <c r="D126" s="1" t="str">
        <f>"CK2024103119129"</f>
        <v>CK2024103119129</v>
      </c>
      <c r="E126" s="1" t="str">
        <f>"2430402506880033"</f>
        <v>2430402506880033</v>
      </c>
      <c r="F126" s="1" t="str">
        <f t="shared" si="24"/>
        <v>花都四部-凤凰仓</v>
      </c>
      <c r="G126" s="1" t="str">
        <f t="shared" si="31"/>
        <v>卡卡杜佳旺专卖店（快手店）</v>
      </c>
      <c r="H126" s="1" t="str">
        <f t="shared" si="25"/>
        <v>正常订单</v>
      </c>
      <c r="I126" s="1" t="str">
        <f t="shared" si="26"/>
        <v>已发货</v>
      </c>
      <c r="J126" s="1" t="str">
        <f t="shared" si="36"/>
        <v>3</v>
      </c>
      <c r="K126" s="1">
        <v>2</v>
      </c>
      <c r="L126" s="1" t="s">
        <v>136</v>
      </c>
      <c r="M126" s="1" t="str">
        <f>"北京市 北京市 大兴区 北京经济技术开发区"</f>
        <v>北京市 北京市 大兴区 北京经济技术开发区</v>
      </c>
      <c r="N126" s="1" t="str">
        <f t="shared" si="33"/>
        <v>凡华云仓-城南圆通-快手</v>
      </c>
      <c r="O126" s="5" t="s">
        <v>163</v>
      </c>
      <c r="P126" s="6">
        <v>0.35</v>
      </c>
      <c r="Q126" s="11">
        <v>2.2999999999999998</v>
      </c>
      <c r="R126" s="11"/>
      <c r="S126" s="11"/>
      <c r="T126" s="11"/>
      <c r="U126" s="11">
        <f t="shared" si="28"/>
        <v>2.2999999999999998</v>
      </c>
      <c r="W126">
        <v>2.5</v>
      </c>
      <c r="X126" s="1" t="s">
        <v>136</v>
      </c>
    </row>
    <row r="127" spans="1:24" x14ac:dyDescent="0.25">
      <c r="A127" s="1" t="str">
        <f t="shared" si="23"/>
        <v>卡卡杜-凤凰仓</v>
      </c>
      <c r="B127" s="1" t="str">
        <f>"CK2024103167"</f>
        <v>CK2024103167</v>
      </c>
      <c r="C127" s="1" t="str">
        <f>"DD2024103112135"</f>
        <v>DD2024103112135</v>
      </c>
      <c r="D127" s="1" t="str">
        <f>"CK2024103119128"</f>
        <v>CK2024103119128</v>
      </c>
      <c r="E127" s="1" t="str">
        <f>"2430402268361447"</f>
        <v>2430402268361447</v>
      </c>
      <c r="F127" s="1" t="str">
        <f t="shared" si="24"/>
        <v>花都四部-凤凰仓</v>
      </c>
      <c r="G127" s="1" t="str">
        <f t="shared" si="31"/>
        <v>卡卡杜佳旺专卖店（快手店）</v>
      </c>
      <c r="H127" s="1" t="str">
        <f t="shared" si="25"/>
        <v>正常订单</v>
      </c>
      <c r="I127" s="1" t="str">
        <f t="shared" si="26"/>
        <v>已发货</v>
      </c>
      <c r="J127" s="1" t="str">
        <f t="shared" si="36"/>
        <v>3</v>
      </c>
      <c r="K127" s="1">
        <v>2</v>
      </c>
      <c r="L127" s="1" t="s">
        <v>60</v>
      </c>
      <c r="M127" s="1" t="str">
        <f>"云南省 大理白族自治州 大理市 喜洲镇"</f>
        <v>云南省 大理白族自治州 大理市 喜洲镇</v>
      </c>
      <c r="N127" s="1" t="str">
        <f t="shared" si="33"/>
        <v>凡华云仓-城南圆通-快手</v>
      </c>
      <c r="O127" s="5" t="s">
        <v>164</v>
      </c>
      <c r="P127" s="6">
        <v>0.35</v>
      </c>
      <c r="Q127" s="11">
        <v>2.2999999999999998</v>
      </c>
      <c r="R127" s="11"/>
      <c r="S127" s="11"/>
      <c r="T127" s="11"/>
      <c r="U127" s="11">
        <f t="shared" si="28"/>
        <v>2.2999999999999998</v>
      </c>
      <c r="W127">
        <v>2.5</v>
      </c>
      <c r="X127" s="1" t="s">
        <v>60</v>
      </c>
    </row>
    <row r="128" spans="1:24" x14ac:dyDescent="0.25">
      <c r="A128" s="1" t="str">
        <f t="shared" si="23"/>
        <v>卡卡杜-凤凰仓</v>
      </c>
      <c r="B128" s="1" t="str">
        <f>"CK2024103164"</f>
        <v>CK2024103164</v>
      </c>
      <c r="C128" s="1" t="str">
        <f>"DD2024103112128"</f>
        <v>DD2024103112128</v>
      </c>
      <c r="D128" s="1" t="str">
        <f>"CK2024103119127"</f>
        <v>CK2024103119127</v>
      </c>
      <c r="E128" s="1" t="str">
        <f>"2430401860768933"</f>
        <v>2430401860768933</v>
      </c>
      <c r="F128" s="1" t="str">
        <f t="shared" si="24"/>
        <v>花都四部-凤凰仓</v>
      </c>
      <c r="G128" s="1" t="str">
        <f t="shared" si="31"/>
        <v>卡卡杜佳旺专卖店（快手店）</v>
      </c>
      <c r="H128" s="1" t="str">
        <f t="shared" si="25"/>
        <v>正常订单</v>
      </c>
      <c r="I128" s="1" t="str">
        <f t="shared" si="26"/>
        <v>已发货</v>
      </c>
      <c r="J128" s="1" t="str">
        <f t="shared" si="36"/>
        <v>3</v>
      </c>
      <c r="K128" s="1">
        <v>2</v>
      </c>
      <c r="L128" s="1" t="s">
        <v>13</v>
      </c>
      <c r="M128" s="1" t="str">
        <f>"江苏省 盐城市 射阳县 黄沙港镇"</f>
        <v>江苏省 盐城市 射阳县 黄沙港镇</v>
      </c>
      <c r="N128" s="1" t="str">
        <f t="shared" si="33"/>
        <v>凡华云仓-城南圆通-快手</v>
      </c>
      <c r="O128" s="5" t="s">
        <v>165</v>
      </c>
      <c r="P128" s="6">
        <v>0.35</v>
      </c>
      <c r="Q128" s="11">
        <v>2.2999999999999998</v>
      </c>
      <c r="R128" s="11"/>
      <c r="S128" s="11"/>
      <c r="T128" s="11"/>
      <c r="U128" s="11">
        <f t="shared" si="28"/>
        <v>2.2999999999999998</v>
      </c>
      <c r="W128">
        <v>2.5</v>
      </c>
      <c r="X128" s="1" t="s">
        <v>13</v>
      </c>
    </row>
    <row r="129" spans="1:24" x14ac:dyDescent="0.25">
      <c r="A129" s="1" t="str">
        <f t="shared" si="23"/>
        <v>卡卡杜-凤凰仓</v>
      </c>
      <c r="B129" s="1" t="str">
        <f>"CK20241031105"</f>
        <v>CK20241031105</v>
      </c>
      <c r="C129" s="1" t="str">
        <f>"DD2024103112231"</f>
        <v>DD2024103112231</v>
      </c>
      <c r="D129" s="1" t="str">
        <f>"CK2024103119126"</f>
        <v>CK2024103119126</v>
      </c>
      <c r="E129" s="1" t="str">
        <f>"2430401619467536"</f>
        <v>2430401619467536</v>
      </c>
      <c r="F129" s="1" t="str">
        <f t="shared" si="24"/>
        <v>花都四部-凤凰仓</v>
      </c>
      <c r="G129" s="1" t="str">
        <f t="shared" si="31"/>
        <v>卡卡杜佳旺专卖店（快手店）</v>
      </c>
      <c r="H129" s="1" t="str">
        <f t="shared" si="25"/>
        <v>正常订单</v>
      </c>
      <c r="I129" s="1" t="str">
        <f t="shared" si="26"/>
        <v>已发货</v>
      </c>
      <c r="J129" s="1" t="str">
        <f t="shared" si="36"/>
        <v>3</v>
      </c>
      <c r="K129" s="1">
        <v>2</v>
      </c>
      <c r="L129" s="1" t="s">
        <v>94</v>
      </c>
      <c r="M129" s="1" t="str">
        <f>"湖南省 长沙市 雨花区 高桥街道"</f>
        <v>湖南省 长沙市 雨花区 高桥街道</v>
      </c>
      <c r="N129" s="1" t="str">
        <f t="shared" si="33"/>
        <v>凡华云仓-城南圆通-快手</v>
      </c>
      <c r="O129" s="5" t="s">
        <v>166</v>
      </c>
      <c r="P129" s="6">
        <v>0.35</v>
      </c>
      <c r="Q129" s="11">
        <v>2.2999999999999998</v>
      </c>
      <c r="R129" s="11"/>
      <c r="S129" s="11"/>
      <c r="T129" s="11"/>
      <c r="U129" s="11">
        <f t="shared" si="28"/>
        <v>2.2999999999999998</v>
      </c>
      <c r="W129">
        <v>2.5</v>
      </c>
      <c r="X129" s="1" t="s">
        <v>94</v>
      </c>
    </row>
    <row r="130" spans="1:24" x14ac:dyDescent="0.25">
      <c r="A130" s="1" t="str">
        <f t="shared" ref="A130:A193" si="37">"卡卡杜-凤凰仓"</f>
        <v>卡卡杜-凤凰仓</v>
      </c>
      <c r="B130" s="1" t="str">
        <f>"CK20241031106"</f>
        <v>CK20241031106</v>
      </c>
      <c r="C130" s="1" t="str">
        <f>"DD2024103112236"</f>
        <v>DD2024103112236</v>
      </c>
      <c r="D130" s="1" t="str">
        <f>"CK2024103119125"</f>
        <v>CK2024103119125</v>
      </c>
      <c r="E130" s="1" t="str">
        <f>"2430402268730062"</f>
        <v>2430402268730062</v>
      </c>
      <c r="F130" s="1" t="str">
        <f t="shared" ref="F130:F193" si="38">"花都四部-凤凰仓"</f>
        <v>花都四部-凤凰仓</v>
      </c>
      <c r="G130" s="1" t="str">
        <f t="shared" si="31"/>
        <v>卡卡杜佳旺专卖店（快手店）</v>
      </c>
      <c r="H130" s="1" t="str">
        <f t="shared" ref="H130:H193" si="39">"正常订单"</f>
        <v>正常订单</v>
      </c>
      <c r="I130" s="1" t="str">
        <f t="shared" ref="I130:I193" si="40">"已发货"</f>
        <v>已发货</v>
      </c>
      <c r="J130" s="1" t="str">
        <f t="shared" si="36"/>
        <v>3</v>
      </c>
      <c r="K130" s="1">
        <v>2</v>
      </c>
      <c r="L130" s="1" t="s">
        <v>52</v>
      </c>
      <c r="M130" s="1" t="str">
        <f>"甘肃省 庆阳市 环县 环城镇"</f>
        <v>甘肃省 庆阳市 环县 环城镇</v>
      </c>
      <c r="N130" s="1" t="str">
        <f t="shared" si="33"/>
        <v>凡华云仓-城南圆通-快手</v>
      </c>
      <c r="O130" s="5" t="s">
        <v>167</v>
      </c>
      <c r="P130" s="6">
        <v>0.35</v>
      </c>
      <c r="Q130" s="11">
        <v>2.2999999999999998</v>
      </c>
      <c r="R130" s="11"/>
      <c r="S130" s="11"/>
      <c r="T130" s="11"/>
      <c r="U130" s="11">
        <f t="shared" si="28"/>
        <v>2.2999999999999998</v>
      </c>
      <c r="W130">
        <v>2.5</v>
      </c>
      <c r="X130" s="1" t="s">
        <v>52</v>
      </c>
    </row>
    <row r="131" spans="1:24" x14ac:dyDescent="0.25">
      <c r="A131" s="1" t="str">
        <f t="shared" si="37"/>
        <v>卡卡杜-凤凰仓</v>
      </c>
      <c r="B131" s="1" t="str">
        <f>"CK2024103197"</f>
        <v>CK2024103197</v>
      </c>
      <c r="C131" s="1" t="str">
        <f>"DD2024103112207"</f>
        <v>DD2024103112207</v>
      </c>
      <c r="D131" s="1" t="str">
        <f>"CK2024103119124"</f>
        <v>CK2024103119124</v>
      </c>
      <c r="E131" s="1" t="str">
        <f>"2430402346353526"</f>
        <v>2430402346353526</v>
      </c>
      <c r="F131" s="1" t="str">
        <f t="shared" si="38"/>
        <v>花都四部-凤凰仓</v>
      </c>
      <c r="G131" s="1" t="str">
        <f t="shared" si="31"/>
        <v>卡卡杜佳旺专卖店（快手店）</v>
      </c>
      <c r="H131" s="1" t="str">
        <f t="shared" si="39"/>
        <v>正常订单</v>
      </c>
      <c r="I131" s="1" t="str">
        <f t="shared" si="40"/>
        <v>已发货</v>
      </c>
      <c r="J131" s="1" t="str">
        <f t="shared" si="36"/>
        <v>3</v>
      </c>
      <c r="K131" s="1">
        <v>2</v>
      </c>
      <c r="L131" s="1" t="s">
        <v>54</v>
      </c>
      <c r="M131" s="1" t="str">
        <f>"黑龙江省 哈尔滨市 呼兰区 长岭街道"</f>
        <v>黑龙江省 哈尔滨市 呼兰区 长岭街道</v>
      </c>
      <c r="N131" s="1" t="str">
        <f t="shared" si="33"/>
        <v>凡华云仓-城南圆通-快手</v>
      </c>
      <c r="O131" s="5" t="s">
        <v>168</v>
      </c>
      <c r="P131" s="6">
        <v>0.35</v>
      </c>
      <c r="Q131" s="11">
        <v>2.2999999999999998</v>
      </c>
      <c r="R131" s="11"/>
      <c r="S131" s="11"/>
      <c r="T131" s="11"/>
      <c r="U131" s="11">
        <f t="shared" ref="U131:U194" si="41">T131+S131+R131+Q131</f>
        <v>2.2999999999999998</v>
      </c>
      <c r="W131">
        <v>2.5</v>
      </c>
      <c r="X131" s="1" t="s">
        <v>54</v>
      </c>
    </row>
    <row r="132" spans="1:24" x14ac:dyDescent="0.25">
      <c r="A132" s="1" t="str">
        <f t="shared" si="37"/>
        <v>卡卡杜-凤凰仓</v>
      </c>
      <c r="B132" s="1" t="str">
        <f>"CK2024103187"</f>
        <v>CK2024103187</v>
      </c>
      <c r="C132" s="1" t="str">
        <f>"DD2024103112189"</f>
        <v>DD2024103112189</v>
      </c>
      <c r="D132" s="1" t="str">
        <f>"CK2024103119123"</f>
        <v>CK2024103119123</v>
      </c>
      <c r="E132" s="1" t="str">
        <f>"2430401626648191"</f>
        <v>2430401626648191</v>
      </c>
      <c r="F132" s="1" t="str">
        <f t="shared" si="38"/>
        <v>花都四部-凤凰仓</v>
      </c>
      <c r="G132" s="1" t="str">
        <f t="shared" si="31"/>
        <v>卡卡杜佳旺专卖店（快手店）</v>
      </c>
      <c r="H132" s="1" t="str">
        <f t="shared" si="39"/>
        <v>正常订单</v>
      </c>
      <c r="I132" s="1" t="str">
        <f t="shared" si="40"/>
        <v>已发货</v>
      </c>
      <c r="J132" s="1" t="str">
        <f t="shared" si="36"/>
        <v>3</v>
      </c>
      <c r="K132" s="1">
        <v>2</v>
      </c>
      <c r="L132" s="1" t="s">
        <v>136</v>
      </c>
      <c r="M132" s="1" t="str">
        <f>"北京市 北京市 密云区 果园街道"</f>
        <v>北京市 北京市 密云区 果园街道</v>
      </c>
      <c r="N132" s="1" t="str">
        <f t="shared" si="33"/>
        <v>凡华云仓-城南圆通-快手</v>
      </c>
      <c r="O132" s="5" t="s">
        <v>169</v>
      </c>
      <c r="P132" s="6">
        <v>0.35</v>
      </c>
      <c r="Q132" s="11">
        <v>2.2999999999999998</v>
      </c>
      <c r="R132" s="11"/>
      <c r="S132" s="11"/>
      <c r="T132" s="11"/>
      <c r="U132" s="11">
        <f t="shared" si="41"/>
        <v>2.2999999999999998</v>
      </c>
      <c r="W132">
        <v>2.5</v>
      </c>
      <c r="X132" s="1" t="s">
        <v>136</v>
      </c>
    </row>
    <row r="133" spans="1:24" x14ac:dyDescent="0.25">
      <c r="A133" s="1" t="str">
        <f t="shared" si="37"/>
        <v>卡卡杜-凤凰仓</v>
      </c>
      <c r="B133" s="1" t="str">
        <f>"CK2024103186"</f>
        <v>CK2024103186</v>
      </c>
      <c r="C133" s="1" t="str">
        <f>"DD2024103112184"</f>
        <v>DD2024103112184</v>
      </c>
      <c r="D133" s="1" t="str">
        <f>"CK2024103119122"</f>
        <v>CK2024103119122</v>
      </c>
      <c r="E133" s="1" t="str">
        <f>"2430402427458782"</f>
        <v>2430402427458782</v>
      </c>
      <c r="F133" s="1" t="str">
        <f t="shared" si="38"/>
        <v>花都四部-凤凰仓</v>
      </c>
      <c r="G133" s="1" t="str">
        <f t="shared" si="31"/>
        <v>卡卡杜佳旺专卖店（快手店）</v>
      </c>
      <c r="H133" s="1" t="str">
        <f t="shared" si="39"/>
        <v>正常订单</v>
      </c>
      <c r="I133" s="1" t="str">
        <f t="shared" si="40"/>
        <v>已发货</v>
      </c>
      <c r="J133" s="1" t="str">
        <f t="shared" si="36"/>
        <v>3</v>
      </c>
      <c r="K133" s="1">
        <v>2</v>
      </c>
      <c r="L133" s="1" t="s">
        <v>66</v>
      </c>
      <c r="M133" s="1" t="str">
        <f>"内蒙古自治区 包头市 昆都仑区 团结大街街道"</f>
        <v>内蒙古自治区 包头市 昆都仑区 团结大街街道</v>
      </c>
      <c r="N133" s="1" t="str">
        <f t="shared" si="33"/>
        <v>凡华云仓-城南圆通-快手</v>
      </c>
      <c r="O133" s="5" t="s">
        <v>170</v>
      </c>
      <c r="P133" s="6">
        <v>0.35</v>
      </c>
      <c r="Q133" s="11">
        <v>2.2999999999999998</v>
      </c>
      <c r="R133" s="11"/>
      <c r="S133" s="11"/>
      <c r="T133" s="11"/>
      <c r="U133" s="11">
        <f t="shared" si="41"/>
        <v>2.2999999999999998</v>
      </c>
      <c r="W133">
        <v>2.5</v>
      </c>
      <c r="X133" s="1" t="s">
        <v>66</v>
      </c>
    </row>
    <row r="134" spans="1:24" x14ac:dyDescent="0.25">
      <c r="A134" s="1" t="str">
        <f t="shared" si="37"/>
        <v>卡卡杜-凤凰仓</v>
      </c>
      <c r="B134" s="1" t="str">
        <f>"CK2024103185"</f>
        <v>CK2024103185</v>
      </c>
      <c r="C134" s="1" t="str">
        <f>"DD2024103112181"</f>
        <v>DD2024103112181</v>
      </c>
      <c r="D134" s="1" t="str">
        <f>"CK2024103119121"</f>
        <v>CK2024103119121</v>
      </c>
      <c r="E134" s="1" t="str">
        <f>"2430402104873308"</f>
        <v>2430402104873308</v>
      </c>
      <c r="F134" s="1" t="str">
        <f t="shared" si="38"/>
        <v>花都四部-凤凰仓</v>
      </c>
      <c r="G134" s="1" t="str">
        <f t="shared" si="31"/>
        <v>卡卡杜佳旺专卖店（快手店）</v>
      </c>
      <c r="H134" s="1" t="str">
        <f t="shared" si="39"/>
        <v>正常订单</v>
      </c>
      <c r="I134" s="1" t="str">
        <f t="shared" si="40"/>
        <v>已发货</v>
      </c>
      <c r="J134" s="1" t="str">
        <f t="shared" si="36"/>
        <v>3</v>
      </c>
      <c r="K134" s="1">
        <v>2</v>
      </c>
      <c r="L134" s="1" t="s">
        <v>36</v>
      </c>
      <c r="M134" s="1" t="str">
        <f>"安徽省 合肥市 蜀山区 高新技术产业开发区"</f>
        <v>安徽省 合肥市 蜀山区 高新技术产业开发区</v>
      </c>
      <c r="N134" s="1" t="str">
        <f t="shared" si="33"/>
        <v>凡华云仓-城南圆通-快手</v>
      </c>
      <c r="O134" s="5" t="s">
        <v>171</v>
      </c>
      <c r="P134" s="6">
        <v>0.35</v>
      </c>
      <c r="Q134" s="11">
        <v>2.2999999999999998</v>
      </c>
      <c r="R134" s="11"/>
      <c r="S134" s="11"/>
      <c r="T134" s="11"/>
      <c r="U134" s="11">
        <f t="shared" si="41"/>
        <v>2.2999999999999998</v>
      </c>
      <c r="W134">
        <v>2.5</v>
      </c>
      <c r="X134" s="1" t="s">
        <v>36</v>
      </c>
    </row>
    <row r="135" spans="1:24" x14ac:dyDescent="0.25">
      <c r="A135" s="1" t="str">
        <f t="shared" si="37"/>
        <v>卡卡杜-凤凰仓</v>
      </c>
      <c r="B135" s="1" t="str">
        <f>"CK2024103193"</f>
        <v>CK2024103193</v>
      </c>
      <c r="C135" s="1" t="str">
        <f>"DD2024103112200"</f>
        <v>DD2024103112200</v>
      </c>
      <c r="D135" s="1" t="str">
        <f>"CK2024103119120"</f>
        <v>CK2024103119120</v>
      </c>
      <c r="E135" s="1" t="str">
        <f>"2430401626233407"</f>
        <v>2430401626233407</v>
      </c>
      <c r="F135" s="1" t="str">
        <f t="shared" si="38"/>
        <v>花都四部-凤凰仓</v>
      </c>
      <c r="G135" s="1" t="str">
        <f t="shared" si="31"/>
        <v>卡卡杜佳旺专卖店（快手店）</v>
      </c>
      <c r="H135" s="1" t="str">
        <f t="shared" si="39"/>
        <v>正常订单</v>
      </c>
      <c r="I135" s="1" t="str">
        <f t="shared" si="40"/>
        <v>已发货</v>
      </c>
      <c r="J135" s="1" t="str">
        <f t="shared" si="36"/>
        <v>3</v>
      </c>
      <c r="K135" s="1">
        <v>2</v>
      </c>
      <c r="L135" s="1" t="s">
        <v>18</v>
      </c>
      <c r="M135" s="1" t="str">
        <f>"广东省 深圳市 龙岗区 横岗街道"</f>
        <v>广东省 深圳市 龙岗区 横岗街道</v>
      </c>
      <c r="N135" s="1" t="str">
        <f t="shared" si="33"/>
        <v>凡华云仓-城南圆通-快手</v>
      </c>
      <c r="O135" s="5" t="s">
        <v>172</v>
      </c>
      <c r="P135" s="6">
        <v>0.35</v>
      </c>
      <c r="Q135" s="11">
        <v>2.2999999999999998</v>
      </c>
      <c r="R135" s="11"/>
      <c r="S135" s="11"/>
      <c r="T135" s="11"/>
      <c r="U135" s="11">
        <f t="shared" si="41"/>
        <v>2.2999999999999998</v>
      </c>
      <c r="W135">
        <v>2.5</v>
      </c>
      <c r="X135" s="1" t="s">
        <v>18</v>
      </c>
    </row>
    <row r="136" spans="1:24" x14ac:dyDescent="0.25">
      <c r="A136" s="1" t="str">
        <f t="shared" si="37"/>
        <v>卡卡杜-凤凰仓</v>
      </c>
      <c r="B136" s="1" t="str">
        <f>"CK2024103111"</f>
        <v>CK2024103111</v>
      </c>
      <c r="C136" s="1" t="str">
        <f>"DD2024103111327"</f>
        <v>DD2024103111327</v>
      </c>
      <c r="D136" s="1" t="str">
        <f>"CK2024103119119"</f>
        <v>CK2024103119119</v>
      </c>
      <c r="E136" s="1" t="str">
        <f>"2430402428800705"</f>
        <v>2430402428800705</v>
      </c>
      <c r="F136" s="1" t="str">
        <f t="shared" si="38"/>
        <v>花都四部-凤凰仓</v>
      </c>
      <c r="G136" s="1" t="str">
        <f t="shared" si="31"/>
        <v>卡卡杜佳旺专卖店（快手店）</v>
      </c>
      <c r="H136" s="1" t="str">
        <f t="shared" si="39"/>
        <v>正常订单</v>
      </c>
      <c r="I136" s="1" t="str">
        <f t="shared" si="40"/>
        <v>已发货</v>
      </c>
      <c r="J136" s="1" t="str">
        <f>"5"</f>
        <v>5</v>
      </c>
      <c r="K136" s="1">
        <v>2</v>
      </c>
      <c r="L136" s="1" t="s">
        <v>80</v>
      </c>
      <c r="M136" s="1" t="str">
        <f>"河南省 郑州市 登封市 嵩阳街道"</f>
        <v>河南省 郑州市 登封市 嵩阳街道</v>
      </c>
      <c r="N136" s="1" t="str">
        <f t="shared" si="33"/>
        <v>凡华云仓-城南圆通-快手</v>
      </c>
      <c r="O136" s="5" t="s">
        <v>173</v>
      </c>
      <c r="P136" s="6">
        <v>0.59</v>
      </c>
      <c r="Q136" s="11">
        <f>CEILING(P136-0.5,0.1)*10*0.15+2.3</f>
        <v>2.4499999999999997</v>
      </c>
      <c r="R136" s="11"/>
      <c r="S136" s="11"/>
      <c r="T136" s="11"/>
      <c r="U136" s="11">
        <f t="shared" si="41"/>
        <v>2.4499999999999997</v>
      </c>
      <c r="V136" t="s">
        <v>15</v>
      </c>
      <c r="W136">
        <v>2.4500000000000002</v>
      </c>
      <c r="X136" s="1" t="s">
        <v>80</v>
      </c>
    </row>
    <row r="137" spans="1:24" x14ac:dyDescent="0.25">
      <c r="A137" s="1" t="str">
        <f t="shared" si="37"/>
        <v>卡卡杜-凤凰仓</v>
      </c>
      <c r="B137" s="1" t="str">
        <f>"CK20241031104"</f>
        <v>CK20241031104</v>
      </c>
      <c r="C137" s="1" t="str">
        <f>"DD2024103112225"</f>
        <v>DD2024103112225</v>
      </c>
      <c r="D137" s="1" t="str">
        <f>"CK2024103119118"</f>
        <v>CK2024103119118</v>
      </c>
      <c r="E137" s="1" t="str">
        <f>"2430401858147573"</f>
        <v>2430401858147573</v>
      </c>
      <c r="F137" s="1" t="str">
        <f t="shared" si="38"/>
        <v>花都四部-凤凰仓</v>
      </c>
      <c r="G137" s="1" t="str">
        <f t="shared" si="31"/>
        <v>卡卡杜佳旺专卖店（快手店）</v>
      </c>
      <c r="H137" s="1" t="str">
        <f t="shared" si="39"/>
        <v>正常订单</v>
      </c>
      <c r="I137" s="1" t="str">
        <f t="shared" si="40"/>
        <v>已发货</v>
      </c>
      <c r="J137" s="1" t="str">
        <f t="shared" ref="J137:J141" si="42">"3"</f>
        <v>3</v>
      </c>
      <c r="K137" s="1">
        <v>2</v>
      </c>
      <c r="L137" s="1" t="s">
        <v>20</v>
      </c>
      <c r="M137" s="1" t="str">
        <f>"浙江省 台州市 温岭市 温峤镇"</f>
        <v>浙江省 台州市 温岭市 温峤镇</v>
      </c>
      <c r="N137" s="1" t="str">
        <f t="shared" si="33"/>
        <v>凡华云仓-城南圆通-快手</v>
      </c>
      <c r="O137" s="5" t="s">
        <v>174</v>
      </c>
      <c r="P137" s="6">
        <v>0.35</v>
      </c>
      <c r="Q137" s="11">
        <v>2.2999999999999998</v>
      </c>
      <c r="R137" s="11"/>
      <c r="S137" s="11"/>
      <c r="T137" s="11"/>
      <c r="U137" s="11">
        <f t="shared" si="41"/>
        <v>2.2999999999999998</v>
      </c>
      <c r="W137">
        <v>2.5</v>
      </c>
      <c r="X137" s="1" t="s">
        <v>20</v>
      </c>
    </row>
    <row r="138" spans="1:24" x14ac:dyDescent="0.25">
      <c r="A138" s="1" t="str">
        <f t="shared" si="37"/>
        <v>卡卡杜-凤凰仓</v>
      </c>
      <c r="B138" s="1" t="str">
        <f>"CK20241031101"</f>
        <v>CK20241031101</v>
      </c>
      <c r="C138" s="1" t="str">
        <f>"DD2024103112217"</f>
        <v>DD2024103112217</v>
      </c>
      <c r="D138" s="1" t="str">
        <f>"CK2024103119117"</f>
        <v>CK2024103119117</v>
      </c>
      <c r="E138" s="1" t="str">
        <f>"2430401946579598"</f>
        <v>2430401946579598</v>
      </c>
      <c r="F138" s="1" t="str">
        <f t="shared" si="38"/>
        <v>花都四部-凤凰仓</v>
      </c>
      <c r="G138" s="1" t="str">
        <f t="shared" si="31"/>
        <v>卡卡杜佳旺专卖店（快手店）</v>
      </c>
      <c r="H138" s="1" t="str">
        <f t="shared" si="39"/>
        <v>正常订单</v>
      </c>
      <c r="I138" s="1" t="str">
        <f t="shared" si="40"/>
        <v>已发货</v>
      </c>
      <c r="J138" s="1" t="str">
        <f t="shared" si="42"/>
        <v>3</v>
      </c>
      <c r="K138" s="1">
        <v>2</v>
      </c>
      <c r="L138" s="1" t="s">
        <v>92</v>
      </c>
      <c r="M138" s="1" t="str">
        <f>"辽宁省 丹东市 振兴区 汤池镇"</f>
        <v>辽宁省 丹东市 振兴区 汤池镇</v>
      </c>
      <c r="N138" s="1" t="str">
        <f t="shared" si="33"/>
        <v>凡华云仓-城南圆通-快手</v>
      </c>
      <c r="O138" s="5" t="s">
        <v>175</v>
      </c>
      <c r="P138" s="6">
        <v>0.35</v>
      </c>
      <c r="Q138" s="11">
        <v>2.2999999999999998</v>
      </c>
      <c r="R138" s="11"/>
      <c r="S138" s="11"/>
      <c r="T138" s="11"/>
      <c r="U138" s="11">
        <f t="shared" si="41"/>
        <v>2.2999999999999998</v>
      </c>
      <c r="W138">
        <v>2.5</v>
      </c>
      <c r="X138" s="1" t="s">
        <v>92</v>
      </c>
    </row>
    <row r="139" spans="1:24" x14ac:dyDescent="0.25">
      <c r="A139" s="1" t="str">
        <f t="shared" si="37"/>
        <v>卡卡杜-凤凰仓</v>
      </c>
      <c r="B139" s="1" t="str">
        <f>"CK202410311452"</f>
        <v>CK202410311452</v>
      </c>
      <c r="C139" s="1" t="str">
        <f>"DD2024103112626"</f>
        <v>DD2024103112626</v>
      </c>
      <c r="D139" s="1" t="str">
        <f>"CK2024103119116"</f>
        <v>CK2024103119116</v>
      </c>
      <c r="E139" s="1" t="str">
        <f>"3723684441379702016"</f>
        <v>3723684441379702016</v>
      </c>
      <c r="F139" s="1" t="str">
        <f t="shared" si="38"/>
        <v>花都四部-凤凰仓</v>
      </c>
      <c r="G139" s="1" t="str">
        <f t="shared" ref="G139:G202" si="43">"卡卡杜企业店（视频号）"</f>
        <v>卡卡杜企业店（视频号）</v>
      </c>
      <c r="H139" s="1" t="str">
        <f t="shared" si="39"/>
        <v>正常订单</v>
      </c>
      <c r="I139" s="1" t="str">
        <f t="shared" si="40"/>
        <v>已发货</v>
      </c>
      <c r="J139" s="1" t="str">
        <f t="shared" ref="J139:J143" si="44">"5"</f>
        <v>5</v>
      </c>
      <c r="K139" s="1">
        <v>3</v>
      </c>
      <c r="L139" s="1" t="s">
        <v>92</v>
      </c>
      <c r="M139" s="1" t="str">
        <f>"辽宁省 辽阳市 灯塔市 "</f>
        <v xml:space="preserve">辽宁省 辽阳市 灯塔市 </v>
      </c>
      <c r="N139" s="1" t="str">
        <f t="shared" ref="N139:N202" si="45">"凡华云仓-城南圆通-微信视频号"</f>
        <v>凡华云仓-城南圆通-微信视频号</v>
      </c>
      <c r="O139" s="5" t="s">
        <v>176</v>
      </c>
      <c r="P139" s="6">
        <v>0.46</v>
      </c>
      <c r="Q139" s="11">
        <v>2.2999999999999998</v>
      </c>
      <c r="R139" s="11"/>
      <c r="S139" s="11"/>
      <c r="T139" s="11"/>
      <c r="U139" s="11">
        <f t="shared" si="41"/>
        <v>2.2999999999999998</v>
      </c>
      <c r="W139">
        <v>2.5</v>
      </c>
      <c r="X139" s="1" t="s">
        <v>92</v>
      </c>
    </row>
    <row r="140" spans="1:24" x14ac:dyDescent="0.25">
      <c r="A140" s="1" t="str">
        <f t="shared" si="37"/>
        <v>卡卡杜-凤凰仓</v>
      </c>
      <c r="B140" s="1" t="str">
        <f>"CK2024103152"</f>
        <v>CK2024103152</v>
      </c>
      <c r="C140" s="1" t="str">
        <f>"DD2024103112093"</f>
        <v>DD2024103112093</v>
      </c>
      <c r="D140" s="1" t="str">
        <f>"CK2024103119115"</f>
        <v>CK2024103119115</v>
      </c>
      <c r="E140" s="1" t="str">
        <f>"3723683621318822912"</f>
        <v>3723683621318822912</v>
      </c>
      <c r="F140" s="1" t="str">
        <f t="shared" si="38"/>
        <v>花都四部-凤凰仓</v>
      </c>
      <c r="G140" s="1" t="str">
        <f t="shared" si="43"/>
        <v>卡卡杜企业店（视频号）</v>
      </c>
      <c r="H140" s="1" t="str">
        <f t="shared" si="39"/>
        <v>正常订单</v>
      </c>
      <c r="I140" s="1" t="str">
        <f t="shared" si="40"/>
        <v>已发货</v>
      </c>
      <c r="J140" s="1" t="str">
        <f t="shared" si="42"/>
        <v>3</v>
      </c>
      <c r="K140" s="1">
        <v>3</v>
      </c>
      <c r="L140" s="1" t="s">
        <v>24</v>
      </c>
      <c r="M140" s="1" t="str">
        <f>"福建省 福州市 闽侯县 "</f>
        <v xml:space="preserve">福建省 福州市 闽侯县 </v>
      </c>
      <c r="N140" s="1" t="str">
        <f t="shared" si="45"/>
        <v>凡华云仓-城南圆通-微信视频号</v>
      </c>
      <c r="O140" s="5" t="s">
        <v>177</v>
      </c>
      <c r="P140" s="6">
        <v>0.33</v>
      </c>
      <c r="Q140" s="11">
        <v>2.2999999999999998</v>
      </c>
      <c r="R140" s="11"/>
      <c r="S140" s="11"/>
      <c r="T140" s="11"/>
      <c r="U140" s="11">
        <f t="shared" si="41"/>
        <v>2.2999999999999998</v>
      </c>
      <c r="W140">
        <v>2.5</v>
      </c>
      <c r="X140" s="1" t="s">
        <v>24</v>
      </c>
    </row>
    <row r="141" spans="1:24" x14ac:dyDescent="0.25">
      <c r="A141" s="1" t="str">
        <f t="shared" si="37"/>
        <v>卡卡杜-凤凰仓</v>
      </c>
      <c r="B141" s="1" t="str">
        <f>"CK20241031194"</f>
        <v>CK20241031194</v>
      </c>
      <c r="C141" s="1" t="str">
        <f>"DD2024103112416"</f>
        <v>DD2024103112416</v>
      </c>
      <c r="D141" s="1" t="str">
        <f>"CK2024103119114"</f>
        <v>CK2024103119114</v>
      </c>
      <c r="E141" s="1" t="str">
        <f>"3723683292073297408"</f>
        <v>3723683292073297408</v>
      </c>
      <c r="F141" s="1" t="str">
        <f t="shared" si="38"/>
        <v>花都四部-凤凰仓</v>
      </c>
      <c r="G141" s="1" t="str">
        <f t="shared" si="43"/>
        <v>卡卡杜企业店（视频号）</v>
      </c>
      <c r="H141" s="1" t="str">
        <f t="shared" si="39"/>
        <v>正常订单</v>
      </c>
      <c r="I141" s="1" t="str">
        <f t="shared" si="40"/>
        <v>已发货</v>
      </c>
      <c r="J141" s="1" t="str">
        <f t="shared" si="42"/>
        <v>3</v>
      </c>
      <c r="K141" s="1">
        <v>2</v>
      </c>
      <c r="L141" s="1" t="s">
        <v>80</v>
      </c>
      <c r="M141" s="1" t="str">
        <f>"河南省 郑州市 上街区 "</f>
        <v xml:space="preserve">河南省 郑州市 上街区 </v>
      </c>
      <c r="N141" s="1" t="str">
        <f t="shared" si="45"/>
        <v>凡华云仓-城南圆通-微信视频号</v>
      </c>
      <c r="O141" s="5" t="s">
        <v>178</v>
      </c>
      <c r="P141" s="6">
        <v>0.25</v>
      </c>
      <c r="Q141" s="11">
        <v>2</v>
      </c>
      <c r="R141" s="11"/>
      <c r="S141" s="11"/>
      <c r="T141" s="11"/>
      <c r="U141" s="11">
        <f t="shared" si="41"/>
        <v>2</v>
      </c>
      <c r="W141">
        <v>2.2000000000000002</v>
      </c>
      <c r="X141" s="1" t="s">
        <v>80</v>
      </c>
    </row>
    <row r="142" spans="1:24" x14ac:dyDescent="0.25">
      <c r="A142" s="1" t="str">
        <f t="shared" si="37"/>
        <v>卡卡杜-凤凰仓</v>
      </c>
      <c r="B142" s="1" t="str">
        <f>"CK2024103109-1"</f>
        <v>CK2024103109-1</v>
      </c>
      <c r="C142" s="1" t="str">
        <f>"DD2024103118289"</f>
        <v>DD2024103118289</v>
      </c>
      <c r="D142" s="1" t="str">
        <f>"CK2024103119113"</f>
        <v>CK2024103119113</v>
      </c>
      <c r="E142" s="1" t="str">
        <f>"3723683062266070272"</f>
        <v>3723683062266070272</v>
      </c>
      <c r="F142" s="1" t="str">
        <f t="shared" si="38"/>
        <v>花都四部-凤凰仓</v>
      </c>
      <c r="G142" s="1" t="str">
        <f t="shared" si="43"/>
        <v>卡卡杜企业店（视频号）</v>
      </c>
      <c r="H142" s="1" t="str">
        <f t="shared" si="39"/>
        <v>正常订单</v>
      </c>
      <c r="I142" s="1" t="str">
        <f t="shared" si="40"/>
        <v>已发货</v>
      </c>
      <c r="J142" s="1" t="str">
        <f t="shared" si="44"/>
        <v>5</v>
      </c>
      <c r="K142" s="1">
        <v>3</v>
      </c>
      <c r="L142" s="1" t="s">
        <v>18</v>
      </c>
      <c r="M142" s="1" t="str">
        <f>"广东省 湛江市 廉江市 "</f>
        <v xml:space="preserve">广东省 湛江市 廉江市 </v>
      </c>
      <c r="N142" s="1" t="str">
        <f t="shared" si="45"/>
        <v>凡华云仓-城南圆通-微信视频号</v>
      </c>
      <c r="O142" s="5" t="s">
        <v>179</v>
      </c>
      <c r="P142" s="6">
        <v>0.46</v>
      </c>
      <c r="Q142" s="11">
        <v>2.2999999999999998</v>
      </c>
      <c r="R142" s="11"/>
      <c r="S142" s="11"/>
      <c r="T142" s="11"/>
      <c r="U142" s="11">
        <f t="shared" si="41"/>
        <v>2.2999999999999998</v>
      </c>
      <c r="W142">
        <v>2.5</v>
      </c>
      <c r="X142" s="1" t="s">
        <v>18</v>
      </c>
    </row>
    <row r="143" spans="1:24" x14ac:dyDescent="0.25">
      <c r="A143" s="1" t="str">
        <f t="shared" si="37"/>
        <v>卡卡杜-凤凰仓</v>
      </c>
      <c r="B143" s="1" t="str">
        <f>"CK2024103108-1"</f>
        <v>CK2024103108-1</v>
      </c>
      <c r="C143" s="1" t="str">
        <f>"DD2024103118288"</f>
        <v>DD2024103118288</v>
      </c>
      <c r="D143" s="1" t="str">
        <f>"CK2024103119112"</f>
        <v>CK2024103119112</v>
      </c>
      <c r="E143" s="1" t="str">
        <f>"3723680668446754048"</f>
        <v>3723680668446754048</v>
      </c>
      <c r="F143" s="1" t="str">
        <f t="shared" si="38"/>
        <v>花都四部-凤凰仓</v>
      </c>
      <c r="G143" s="1" t="str">
        <f t="shared" si="43"/>
        <v>卡卡杜企业店（视频号）</v>
      </c>
      <c r="H143" s="1" t="str">
        <f t="shared" si="39"/>
        <v>正常订单</v>
      </c>
      <c r="I143" s="1" t="str">
        <f t="shared" si="40"/>
        <v>已发货</v>
      </c>
      <c r="J143" s="1" t="str">
        <f t="shared" si="44"/>
        <v>5</v>
      </c>
      <c r="K143" s="1">
        <v>3</v>
      </c>
      <c r="L143" s="1" t="s">
        <v>20</v>
      </c>
      <c r="M143" s="1" t="str">
        <f>"浙江省 温州市 永嘉县 "</f>
        <v xml:space="preserve">浙江省 温州市 永嘉县 </v>
      </c>
      <c r="N143" s="1" t="str">
        <f t="shared" si="45"/>
        <v>凡华云仓-城南圆通-微信视频号</v>
      </c>
      <c r="O143" s="5" t="s">
        <v>180</v>
      </c>
      <c r="P143" s="6">
        <v>0.46</v>
      </c>
      <c r="Q143" s="11">
        <v>2.2999999999999998</v>
      </c>
      <c r="R143" s="11"/>
      <c r="S143" s="11"/>
      <c r="T143" s="11"/>
      <c r="U143" s="11">
        <f t="shared" si="41"/>
        <v>2.2999999999999998</v>
      </c>
      <c r="W143">
        <v>2.5</v>
      </c>
      <c r="X143" s="1" t="s">
        <v>20</v>
      </c>
    </row>
    <row r="144" spans="1:24" x14ac:dyDescent="0.25">
      <c r="A144" s="1" t="str">
        <f t="shared" si="37"/>
        <v>卡卡杜-凤凰仓</v>
      </c>
      <c r="B144" s="1" t="str">
        <f>"CK2024103151"</f>
        <v>CK2024103151</v>
      </c>
      <c r="C144" s="1" t="str">
        <f>"DD2024103112095"</f>
        <v>DD2024103112095</v>
      </c>
      <c r="D144" s="1" t="str">
        <f>"CK2024103119111"</f>
        <v>CK2024103119111</v>
      </c>
      <c r="E144" s="1" t="str">
        <f>"3723675862059322368"</f>
        <v>3723675862059322368</v>
      </c>
      <c r="F144" s="1" t="str">
        <f t="shared" si="38"/>
        <v>花都四部-凤凰仓</v>
      </c>
      <c r="G144" s="1" t="str">
        <f t="shared" si="43"/>
        <v>卡卡杜企业店（视频号）</v>
      </c>
      <c r="H144" s="1" t="str">
        <f t="shared" si="39"/>
        <v>正常订单</v>
      </c>
      <c r="I144" s="1" t="str">
        <f t="shared" si="40"/>
        <v>已发货</v>
      </c>
      <c r="J144" s="1" t="str">
        <f t="shared" ref="J144:J146" si="46">"3"</f>
        <v>3</v>
      </c>
      <c r="K144" s="1">
        <v>3</v>
      </c>
      <c r="L144" s="1" t="s">
        <v>18</v>
      </c>
      <c r="M144" s="1" t="str">
        <f>"广东省 惠州市 惠阳区 "</f>
        <v xml:space="preserve">广东省 惠州市 惠阳区 </v>
      </c>
      <c r="N144" s="1" t="str">
        <f t="shared" si="45"/>
        <v>凡华云仓-城南圆通-微信视频号</v>
      </c>
      <c r="O144" s="5" t="s">
        <v>181</v>
      </c>
      <c r="P144" s="6">
        <v>0.33</v>
      </c>
      <c r="Q144" s="11">
        <v>2.2999999999999998</v>
      </c>
      <c r="R144" s="11"/>
      <c r="S144" s="11"/>
      <c r="T144" s="11"/>
      <c r="U144" s="11">
        <f t="shared" si="41"/>
        <v>2.2999999999999998</v>
      </c>
      <c r="W144">
        <v>2.5</v>
      </c>
      <c r="X144" s="1" t="s">
        <v>18</v>
      </c>
    </row>
    <row r="145" spans="1:24" x14ac:dyDescent="0.25">
      <c r="A145" s="1" t="str">
        <f t="shared" si="37"/>
        <v>卡卡杜-凤凰仓</v>
      </c>
      <c r="B145" s="1" t="str">
        <f>"CK2024103149"</f>
        <v>CK2024103149</v>
      </c>
      <c r="C145" s="1" t="str">
        <f>"DD2024103112090"</f>
        <v>DD2024103112090</v>
      </c>
      <c r="D145" s="1" t="str">
        <f>"CK2024103119110"</f>
        <v>CK2024103119110</v>
      </c>
      <c r="E145" s="1" t="str">
        <f>"3723675833766905088"</f>
        <v>3723675833766905088</v>
      </c>
      <c r="F145" s="1" t="str">
        <f t="shared" si="38"/>
        <v>花都四部-凤凰仓</v>
      </c>
      <c r="G145" s="1" t="str">
        <f t="shared" si="43"/>
        <v>卡卡杜企业店（视频号）</v>
      </c>
      <c r="H145" s="1" t="str">
        <f t="shared" si="39"/>
        <v>正常订单</v>
      </c>
      <c r="I145" s="1" t="str">
        <f t="shared" si="40"/>
        <v>已发货</v>
      </c>
      <c r="J145" s="1" t="str">
        <f t="shared" si="46"/>
        <v>3</v>
      </c>
      <c r="K145" s="1">
        <v>3</v>
      </c>
      <c r="L145" s="1" t="s">
        <v>182</v>
      </c>
      <c r="M145" s="1" t="str">
        <f>"新疆维吾尔自治区 乌鲁木齐市 米东区 "</f>
        <v xml:space="preserve">新疆维吾尔自治区 乌鲁木齐市 米东区 </v>
      </c>
      <c r="N145" s="1" t="str">
        <f t="shared" si="45"/>
        <v>凡华云仓-城南圆通-微信视频号</v>
      </c>
      <c r="O145" s="5" t="s">
        <v>183</v>
      </c>
      <c r="P145" s="6">
        <v>0.33</v>
      </c>
      <c r="Q145" s="11">
        <v>17</v>
      </c>
      <c r="R145" s="11"/>
      <c r="S145" s="11"/>
      <c r="T145" s="11"/>
      <c r="U145" s="11">
        <f t="shared" si="41"/>
        <v>17</v>
      </c>
      <c r="W145">
        <v>17</v>
      </c>
      <c r="X145" s="1" t="s">
        <v>182</v>
      </c>
    </row>
    <row r="146" spans="1:24" x14ac:dyDescent="0.25">
      <c r="A146" s="1" t="str">
        <f t="shared" si="37"/>
        <v>卡卡杜-凤凰仓</v>
      </c>
      <c r="B146" s="1" t="str">
        <f>"CK20241031113"</f>
        <v>CK20241031113</v>
      </c>
      <c r="C146" s="1" t="str">
        <f>"DD2024103112253"</f>
        <v>DD2024103112253</v>
      </c>
      <c r="D146" s="1" t="str">
        <f>"CK2024103119109"</f>
        <v>CK2024103119109</v>
      </c>
      <c r="E146" s="1" t="str">
        <f>"3723675518744528384"</f>
        <v>3723675518744528384</v>
      </c>
      <c r="F146" s="1" t="str">
        <f t="shared" si="38"/>
        <v>花都四部-凤凰仓</v>
      </c>
      <c r="G146" s="1" t="str">
        <f t="shared" si="43"/>
        <v>卡卡杜企业店（视频号）</v>
      </c>
      <c r="H146" s="1" t="str">
        <f t="shared" si="39"/>
        <v>正常订单</v>
      </c>
      <c r="I146" s="1" t="str">
        <f t="shared" si="40"/>
        <v>已发货</v>
      </c>
      <c r="J146" s="1" t="str">
        <f t="shared" si="46"/>
        <v>3</v>
      </c>
      <c r="K146" s="1">
        <v>2</v>
      </c>
      <c r="L146" s="1" t="s">
        <v>18</v>
      </c>
      <c r="M146" s="1" t="str">
        <f>"广东省 珠海市 香洲区 "</f>
        <v xml:space="preserve">广东省 珠海市 香洲区 </v>
      </c>
      <c r="N146" s="1" t="str">
        <f t="shared" si="45"/>
        <v>凡华云仓-城南圆通-微信视频号</v>
      </c>
      <c r="O146" s="5" t="s">
        <v>184</v>
      </c>
      <c r="P146" s="6">
        <v>0.25</v>
      </c>
      <c r="Q146" s="11">
        <v>2</v>
      </c>
      <c r="R146" s="11"/>
      <c r="S146" s="11"/>
      <c r="T146" s="11"/>
      <c r="U146" s="11">
        <f t="shared" si="41"/>
        <v>2</v>
      </c>
      <c r="W146">
        <v>2.2000000000000002</v>
      </c>
      <c r="X146" s="1" t="s">
        <v>18</v>
      </c>
    </row>
    <row r="147" spans="1:24" x14ac:dyDescent="0.25">
      <c r="A147" s="1" t="str">
        <f t="shared" si="37"/>
        <v>卡卡杜-凤凰仓</v>
      </c>
      <c r="B147" s="1" t="str">
        <f>"CK202410311521"</f>
        <v>CK202410311521</v>
      </c>
      <c r="C147" s="1" t="str">
        <f>"DD2024103112663"</f>
        <v>DD2024103112663</v>
      </c>
      <c r="D147" s="1" t="str">
        <f>"CK2024103119108"</f>
        <v>CK2024103119108</v>
      </c>
      <c r="E147" s="1" t="str">
        <f>"3723675498579363328"</f>
        <v>3723675498579363328</v>
      </c>
      <c r="F147" s="1" t="str">
        <f t="shared" si="38"/>
        <v>花都四部-凤凰仓</v>
      </c>
      <c r="G147" s="1" t="str">
        <f t="shared" si="43"/>
        <v>卡卡杜企业店（视频号）</v>
      </c>
      <c r="H147" s="1" t="str">
        <f t="shared" si="39"/>
        <v>正常订单</v>
      </c>
      <c r="I147" s="1" t="str">
        <f t="shared" si="40"/>
        <v>已发货</v>
      </c>
      <c r="J147" s="1" t="str">
        <f t="shared" ref="J147:J149" si="47">"2"</f>
        <v>2</v>
      </c>
      <c r="K147" s="1">
        <v>2</v>
      </c>
      <c r="L147" s="1" t="s">
        <v>13</v>
      </c>
      <c r="M147" s="1" t="str">
        <f>"江苏省 南京市 六合区 "</f>
        <v xml:space="preserve">江苏省 南京市 六合区 </v>
      </c>
      <c r="N147" s="1" t="str">
        <f t="shared" si="45"/>
        <v>凡华云仓-城南圆通-微信视频号</v>
      </c>
      <c r="O147" s="5" t="s">
        <v>185</v>
      </c>
      <c r="P147" s="6">
        <v>0.17</v>
      </c>
      <c r="Q147" s="11">
        <v>2</v>
      </c>
      <c r="R147" s="11"/>
      <c r="S147" s="11"/>
      <c r="T147" s="11"/>
      <c r="U147" s="11">
        <f t="shared" si="41"/>
        <v>2</v>
      </c>
      <c r="W147">
        <v>2.2000000000000002</v>
      </c>
      <c r="X147" s="1" t="s">
        <v>13</v>
      </c>
    </row>
    <row r="148" spans="1:24" x14ac:dyDescent="0.25">
      <c r="A148" s="1" t="str">
        <f t="shared" si="37"/>
        <v>卡卡杜-凤凰仓</v>
      </c>
      <c r="B148" s="1" t="str">
        <f>"CK202410311522"</f>
        <v>CK202410311522</v>
      </c>
      <c r="C148" s="1" t="str">
        <f>"DD2024103112664"</f>
        <v>DD2024103112664</v>
      </c>
      <c r="D148" s="1" t="str">
        <f>"CK2024103119107"</f>
        <v>CK2024103119107</v>
      </c>
      <c r="E148" s="1" t="str">
        <f>"3723675491501214720"</f>
        <v>3723675491501214720</v>
      </c>
      <c r="F148" s="1" t="str">
        <f t="shared" si="38"/>
        <v>花都四部-凤凰仓</v>
      </c>
      <c r="G148" s="1" t="str">
        <f t="shared" si="43"/>
        <v>卡卡杜企业店（视频号）</v>
      </c>
      <c r="H148" s="1" t="str">
        <f t="shared" si="39"/>
        <v>正常订单</v>
      </c>
      <c r="I148" s="1" t="str">
        <f t="shared" si="40"/>
        <v>已发货</v>
      </c>
      <c r="J148" s="1" t="str">
        <f t="shared" si="47"/>
        <v>2</v>
      </c>
      <c r="K148" s="1">
        <v>2</v>
      </c>
      <c r="L148" s="1" t="s">
        <v>18</v>
      </c>
      <c r="M148" s="1" t="str">
        <f>"广东省 深圳市 宝安区 "</f>
        <v xml:space="preserve">广东省 深圳市 宝安区 </v>
      </c>
      <c r="N148" s="1" t="str">
        <f t="shared" si="45"/>
        <v>凡华云仓-城南圆通-微信视频号</v>
      </c>
      <c r="O148" s="5" t="s">
        <v>186</v>
      </c>
      <c r="P148" s="6">
        <v>0.17</v>
      </c>
      <c r="Q148" s="11">
        <v>2</v>
      </c>
      <c r="R148" s="11"/>
      <c r="S148" s="11"/>
      <c r="T148" s="11"/>
      <c r="U148" s="11">
        <f t="shared" si="41"/>
        <v>2</v>
      </c>
      <c r="W148">
        <v>2.2000000000000002</v>
      </c>
      <c r="X148" s="1" t="s">
        <v>18</v>
      </c>
    </row>
    <row r="149" spans="1:24" x14ac:dyDescent="0.25">
      <c r="A149" s="1" t="str">
        <f t="shared" si="37"/>
        <v>卡卡杜-凤凰仓</v>
      </c>
      <c r="B149" s="1" t="str">
        <f>"CK202410311523"</f>
        <v>CK202410311523</v>
      </c>
      <c r="C149" s="1" t="str">
        <f>"DD2024103112665"</f>
        <v>DD2024103112665</v>
      </c>
      <c r="D149" s="1" t="str">
        <f>"CK2024103119106"</f>
        <v>CK2024103119106</v>
      </c>
      <c r="E149" s="1" t="str">
        <f>"3723675410153473280"</f>
        <v>3723675410153473280</v>
      </c>
      <c r="F149" s="1" t="str">
        <f t="shared" si="38"/>
        <v>花都四部-凤凰仓</v>
      </c>
      <c r="G149" s="1" t="str">
        <f t="shared" si="43"/>
        <v>卡卡杜企业店（视频号）</v>
      </c>
      <c r="H149" s="1" t="str">
        <f t="shared" si="39"/>
        <v>正常订单</v>
      </c>
      <c r="I149" s="1" t="str">
        <f t="shared" si="40"/>
        <v>已发货</v>
      </c>
      <c r="J149" s="1" t="str">
        <f t="shared" si="47"/>
        <v>2</v>
      </c>
      <c r="K149" s="1">
        <v>2</v>
      </c>
      <c r="L149" s="1" t="s">
        <v>187</v>
      </c>
      <c r="M149" s="1" t="str">
        <f>"吉林省 通化市 梅河口市 "</f>
        <v xml:space="preserve">吉林省 通化市 梅河口市 </v>
      </c>
      <c r="N149" s="1" t="str">
        <f t="shared" si="45"/>
        <v>凡华云仓-城南圆通-微信视频号</v>
      </c>
      <c r="O149" s="5" t="s">
        <v>188</v>
      </c>
      <c r="P149" s="6">
        <v>0.17</v>
      </c>
      <c r="Q149" s="11">
        <v>2</v>
      </c>
      <c r="R149" s="11"/>
      <c r="S149" s="11"/>
      <c r="T149" s="11"/>
      <c r="U149" s="11">
        <f t="shared" si="41"/>
        <v>2</v>
      </c>
      <c r="W149">
        <v>2.2000000000000002</v>
      </c>
      <c r="X149" s="1" t="s">
        <v>187</v>
      </c>
    </row>
    <row r="150" spans="1:24" x14ac:dyDescent="0.25">
      <c r="A150" s="1" t="str">
        <f t="shared" si="37"/>
        <v>卡卡杜-凤凰仓</v>
      </c>
      <c r="B150" s="1" t="str">
        <f>"CK20241031228"</f>
        <v>CK20241031228</v>
      </c>
      <c r="C150" s="1" t="str">
        <f>"DD2024103112449"</f>
        <v>DD2024103112449</v>
      </c>
      <c r="D150" s="1" t="str">
        <f>"CK2024103119105"</f>
        <v>CK2024103119105</v>
      </c>
      <c r="E150" s="1" t="str">
        <f>"3723675412230181888"</f>
        <v>3723675412230181888</v>
      </c>
      <c r="F150" s="1" t="str">
        <f t="shared" si="38"/>
        <v>花都四部-凤凰仓</v>
      </c>
      <c r="G150" s="1" t="str">
        <f t="shared" si="43"/>
        <v>卡卡杜企业店（视频号）</v>
      </c>
      <c r="H150" s="1" t="str">
        <f t="shared" si="39"/>
        <v>正常订单</v>
      </c>
      <c r="I150" s="1" t="str">
        <f t="shared" si="40"/>
        <v>已发货</v>
      </c>
      <c r="J150" s="1" t="str">
        <f>"3"</f>
        <v>3</v>
      </c>
      <c r="K150" s="1">
        <v>2</v>
      </c>
      <c r="L150" s="1" t="s">
        <v>74</v>
      </c>
      <c r="M150" s="1" t="str">
        <f>"上海 上海市 宝山区 "</f>
        <v xml:space="preserve">上海 上海市 宝山区 </v>
      </c>
      <c r="N150" s="1" t="str">
        <f t="shared" si="45"/>
        <v>凡华云仓-城南圆通-微信视频号</v>
      </c>
      <c r="O150" s="5" t="s">
        <v>189</v>
      </c>
      <c r="P150" s="6">
        <v>0.25</v>
      </c>
      <c r="Q150" s="11">
        <v>2</v>
      </c>
      <c r="R150" s="11"/>
      <c r="S150" s="11"/>
      <c r="T150" s="11"/>
      <c r="U150" s="11">
        <f t="shared" si="41"/>
        <v>2</v>
      </c>
      <c r="W150">
        <v>2.2000000000000002</v>
      </c>
      <c r="X150" s="1" t="s">
        <v>74</v>
      </c>
    </row>
    <row r="151" spans="1:24" x14ac:dyDescent="0.25">
      <c r="A151" s="1" t="str">
        <f t="shared" si="37"/>
        <v>卡卡杜-凤凰仓</v>
      </c>
      <c r="B151" s="1" t="str">
        <f>"CK202410311524"</f>
        <v>CK202410311524</v>
      </c>
      <c r="C151" s="1" t="str">
        <f>"DD2024103112660"</f>
        <v>DD2024103112660</v>
      </c>
      <c r="D151" s="1" t="str">
        <f>"CK2024103119104"</f>
        <v>CK2024103119104</v>
      </c>
      <c r="E151" s="1" t="str">
        <f>"3723675411507449856"</f>
        <v>3723675411507449856</v>
      </c>
      <c r="F151" s="1" t="str">
        <f t="shared" si="38"/>
        <v>花都四部-凤凰仓</v>
      </c>
      <c r="G151" s="1" t="str">
        <f t="shared" si="43"/>
        <v>卡卡杜企业店（视频号）</v>
      </c>
      <c r="H151" s="1" t="str">
        <f t="shared" si="39"/>
        <v>正常订单</v>
      </c>
      <c r="I151" s="1" t="str">
        <f t="shared" si="40"/>
        <v>已发货</v>
      </c>
      <c r="J151" s="1" t="str">
        <f t="shared" ref="J151:J153" si="48">"2"</f>
        <v>2</v>
      </c>
      <c r="K151" s="1">
        <v>2</v>
      </c>
      <c r="L151" s="1" t="s">
        <v>24</v>
      </c>
      <c r="M151" s="1" t="str">
        <f>"福建省 福州市 鼓楼区 "</f>
        <v xml:space="preserve">福建省 福州市 鼓楼区 </v>
      </c>
      <c r="N151" s="1" t="str">
        <f t="shared" si="45"/>
        <v>凡华云仓-城南圆通-微信视频号</v>
      </c>
      <c r="O151" s="5" t="s">
        <v>190</v>
      </c>
      <c r="P151" s="6">
        <v>0.17</v>
      </c>
      <c r="Q151" s="11">
        <v>2</v>
      </c>
      <c r="R151" s="11"/>
      <c r="S151" s="11"/>
      <c r="T151" s="11"/>
      <c r="U151" s="11">
        <f t="shared" si="41"/>
        <v>2</v>
      </c>
      <c r="W151">
        <v>2.2000000000000002</v>
      </c>
      <c r="X151" s="1" t="s">
        <v>24</v>
      </c>
    </row>
    <row r="152" spans="1:24" x14ac:dyDescent="0.25">
      <c r="A152" s="1" t="str">
        <f t="shared" si="37"/>
        <v>卡卡杜-凤凰仓</v>
      </c>
      <c r="B152" s="1" t="str">
        <f>"CK202410311526"</f>
        <v>CK202410311526</v>
      </c>
      <c r="C152" s="1" t="str">
        <f>"DD2024103112661"</f>
        <v>DD2024103112661</v>
      </c>
      <c r="D152" s="1" t="str">
        <f>"CK2024103119103"</f>
        <v>CK2024103119103</v>
      </c>
      <c r="E152" s="1" t="str">
        <f>"3723675401816773632"</f>
        <v>3723675401816773632</v>
      </c>
      <c r="F152" s="1" t="str">
        <f t="shared" si="38"/>
        <v>花都四部-凤凰仓</v>
      </c>
      <c r="G152" s="1" t="str">
        <f t="shared" si="43"/>
        <v>卡卡杜企业店（视频号）</v>
      </c>
      <c r="H152" s="1" t="str">
        <f t="shared" si="39"/>
        <v>正常订单</v>
      </c>
      <c r="I152" s="1" t="str">
        <f t="shared" si="40"/>
        <v>已发货</v>
      </c>
      <c r="J152" s="1" t="str">
        <f t="shared" si="48"/>
        <v>2</v>
      </c>
      <c r="K152" s="1">
        <v>2</v>
      </c>
      <c r="L152" s="1" t="s">
        <v>52</v>
      </c>
      <c r="M152" s="1" t="str">
        <f>"甘肃省 平凉市 崆峒区 "</f>
        <v xml:space="preserve">甘肃省 平凉市 崆峒区 </v>
      </c>
      <c r="N152" s="1" t="str">
        <f t="shared" si="45"/>
        <v>凡华云仓-城南圆通-微信视频号</v>
      </c>
      <c r="O152" s="5" t="s">
        <v>191</v>
      </c>
      <c r="P152" s="6">
        <v>0.17</v>
      </c>
      <c r="Q152" s="11">
        <v>2</v>
      </c>
      <c r="R152" s="11"/>
      <c r="S152" s="11"/>
      <c r="T152" s="11"/>
      <c r="U152" s="11">
        <f t="shared" si="41"/>
        <v>2</v>
      </c>
      <c r="W152">
        <v>2.2000000000000002</v>
      </c>
      <c r="X152" s="1" t="s">
        <v>52</v>
      </c>
    </row>
    <row r="153" spans="1:24" x14ac:dyDescent="0.25">
      <c r="A153" s="1" t="str">
        <f t="shared" si="37"/>
        <v>卡卡杜-凤凰仓</v>
      </c>
      <c r="B153" s="1" t="str">
        <f>"CK202410311525"</f>
        <v>CK202410311525</v>
      </c>
      <c r="C153" s="1" t="str">
        <f>"DD2024103112662"</f>
        <v>DD2024103112662</v>
      </c>
      <c r="D153" s="1" t="str">
        <f>"CK2024103119102"</f>
        <v>CK2024103119102</v>
      </c>
      <c r="E153" s="1" t="str">
        <f>"3723675401399960832"</f>
        <v>3723675401399960832</v>
      </c>
      <c r="F153" s="1" t="str">
        <f t="shared" si="38"/>
        <v>花都四部-凤凰仓</v>
      </c>
      <c r="G153" s="1" t="str">
        <f t="shared" si="43"/>
        <v>卡卡杜企业店（视频号）</v>
      </c>
      <c r="H153" s="1" t="str">
        <f t="shared" si="39"/>
        <v>正常订单</v>
      </c>
      <c r="I153" s="1" t="str">
        <f t="shared" si="40"/>
        <v>已发货</v>
      </c>
      <c r="J153" s="1" t="str">
        <f t="shared" si="48"/>
        <v>2</v>
      </c>
      <c r="K153" s="1">
        <v>2</v>
      </c>
      <c r="L153" s="1" t="s">
        <v>36</v>
      </c>
      <c r="M153" s="1" t="str">
        <f>"安徽省 芜湖市 镜湖区 "</f>
        <v xml:space="preserve">安徽省 芜湖市 镜湖区 </v>
      </c>
      <c r="N153" s="1" t="str">
        <f t="shared" si="45"/>
        <v>凡华云仓-城南圆通-微信视频号</v>
      </c>
      <c r="O153" s="5" t="s">
        <v>192</v>
      </c>
      <c r="P153" s="6">
        <v>0.17</v>
      </c>
      <c r="Q153" s="11">
        <v>2</v>
      </c>
      <c r="R153" s="11"/>
      <c r="S153" s="11"/>
      <c r="T153" s="11"/>
      <c r="U153" s="11">
        <f t="shared" si="41"/>
        <v>2</v>
      </c>
      <c r="W153">
        <v>2.2000000000000002</v>
      </c>
      <c r="X153" s="1" t="s">
        <v>36</v>
      </c>
    </row>
    <row r="154" spans="1:24" x14ac:dyDescent="0.25">
      <c r="A154" s="1" t="str">
        <f t="shared" si="37"/>
        <v>卡卡杜-凤凰仓</v>
      </c>
      <c r="B154" s="1" t="str">
        <f>"CK20241031248"</f>
        <v>CK20241031248</v>
      </c>
      <c r="C154" s="1" t="str">
        <f>"DD2024103112473"</f>
        <v>DD2024103112473</v>
      </c>
      <c r="D154" s="1" t="str">
        <f>"CK2024103119101"</f>
        <v>CK2024103119101</v>
      </c>
      <c r="E154" s="1" t="str">
        <f>"3723675398245322752"</f>
        <v>3723675398245322752</v>
      </c>
      <c r="F154" s="1" t="str">
        <f t="shared" si="38"/>
        <v>花都四部-凤凰仓</v>
      </c>
      <c r="G154" s="1" t="str">
        <f t="shared" si="43"/>
        <v>卡卡杜企业店（视频号）</v>
      </c>
      <c r="H154" s="1" t="str">
        <f t="shared" si="39"/>
        <v>正常订单</v>
      </c>
      <c r="I154" s="1" t="str">
        <f t="shared" si="40"/>
        <v>已发货</v>
      </c>
      <c r="J154" s="1" t="str">
        <f>"3"</f>
        <v>3</v>
      </c>
      <c r="K154" s="1">
        <v>2</v>
      </c>
      <c r="L154" s="1" t="s">
        <v>92</v>
      </c>
      <c r="M154" s="1" t="str">
        <f>"辽宁省 沈阳市 沈河区 "</f>
        <v xml:space="preserve">辽宁省 沈阳市 沈河区 </v>
      </c>
      <c r="N154" s="1" t="str">
        <f t="shared" si="45"/>
        <v>凡华云仓-城南圆通-微信视频号</v>
      </c>
      <c r="O154" s="5" t="s">
        <v>193</v>
      </c>
      <c r="P154" s="6">
        <v>0.25</v>
      </c>
      <c r="Q154" s="11">
        <v>2</v>
      </c>
      <c r="R154" s="11"/>
      <c r="S154" s="11"/>
      <c r="T154" s="11"/>
      <c r="U154" s="11">
        <f t="shared" si="41"/>
        <v>2</v>
      </c>
      <c r="W154">
        <v>2.2000000000000002</v>
      </c>
      <c r="X154" s="1" t="s">
        <v>92</v>
      </c>
    </row>
    <row r="155" spans="1:24" x14ac:dyDescent="0.25">
      <c r="A155" s="1" t="str">
        <f t="shared" si="37"/>
        <v>卡卡杜-凤凰仓</v>
      </c>
      <c r="B155" s="1" t="str">
        <f>"CK202410311527"</f>
        <v>CK202410311527</v>
      </c>
      <c r="C155" s="1" t="str">
        <f>"DD2024103112667"</f>
        <v>DD2024103112667</v>
      </c>
      <c r="D155" s="1" t="str">
        <f>"CK2024103119100"</f>
        <v>CK2024103119100</v>
      </c>
      <c r="E155" s="1" t="str">
        <f>"3723675395210218496"</f>
        <v>3723675395210218496</v>
      </c>
      <c r="F155" s="1" t="str">
        <f t="shared" si="38"/>
        <v>花都四部-凤凰仓</v>
      </c>
      <c r="G155" s="1" t="str">
        <f t="shared" si="43"/>
        <v>卡卡杜企业店（视频号）</v>
      </c>
      <c r="H155" s="1" t="str">
        <f t="shared" si="39"/>
        <v>正常订单</v>
      </c>
      <c r="I155" s="1" t="str">
        <f t="shared" si="40"/>
        <v>已发货</v>
      </c>
      <c r="J155" s="1" t="str">
        <f t="shared" ref="J155:J159" si="49">"2"</f>
        <v>2</v>
      </c>
      <c r="K155" s="1">
        <v>2</v>
      </c>
      <c r="L155" s="1" t="s">
        <v>105</v>
      </c>
      <c r="M155" s="1" t="str">
        <f>"北京 北京市 昌平区 "</f>
        <v xml:space="preserve">北京 北京市 昌平区 </v>
      </c>
      <c r="N155" s="1" t="str">
        <f t="shared" si="45"/>
        <v>凡华云仓-城南圆通-微信视频号</v>
      </c>
      <c r="O155" s="5" t="s">
        <v>194</v>
      </c>
      <c r="P155" s="6">
        <v>0.17</v>
      </c>
      <c r="Q155" s="11">
        <v>2</v>
      </c>
      <c r="R155" s="11"/>
      <c r="S155" s="11"/>
      <c r="T155" s="11"/>
      <c r="U155" s="11">
        <f t="shared" si="41"/>
        <v>2</v>
      </c>
      <c r="W155">
        <v>2.2000000000000002</v>
      </c>
      <c r="X155" s="1" t="s">
        <v>105</v>
      </c>
    </row>
    <row r="156" spans="1:24" x14ac:dyDescent="0.25">
      <c r="A156" s="1" t="str">
        <f t="shared" si="37"/>
        <v>卡卡杜-凤凰仓</v>
      </c>
      <c r="B156" s="1" t="str">
        <f>"CK202410311528"</f>
        <v>CK202410311528</v>
      </c>
      <c r="C156" s="1" t="str">
        <f>"DD2024103112668"</f>
        <v>DD2024103112668</v>
      </c>
      <c r="D156" s="1" t="str">
        <f>"CK2024103119099"</f>
        <v>CK2024103119099</v>
      </c>
      <c r="E156" s="1" t="str">
        <f>"3723675393285559296"</f>
        <v>3723675393285559296</v>
      </c>
      <c r="F156" s="1" t="str">
        <f t="shared" si="38"/>
        <v>花都四部-凤凰仓</v>
      </c>
      <c r="G156" s="1" t="str">
        <f t="shared" si="43"/>
        <v>卡卡杜企业店（视频号）</v>
      </c>
      <c r="H156" s="1" t="str">
        <f t="shared" si="39"/>
        <v>正常订单</v>
      </c>
      <c r="I156" s="1" t="str">
        <f t="shared" si="40"/>
        <v>已发货</v>
      </c>
      <c r="J156" s="1" t="str">
        <f t="shared" si="49"/>
        <v>2</v>
      </c>
      <c r="K156" s="1">
        <v>2</v>
      </c>
      <c r="L156" s="1" t="s">
        <v>16</v>
      </c>
      <c r="M156" s="1" t="str">
        <f>"河北省 唐山市 路北区 "</f>
        <v xml:space="preserve">河北省 唐山市 路北区 </v>
      </c>
      <c r="N156" s="1" t="str">
        <f t="shared" si="45"/>
        <v>凡华云仓-城南圆通-微信视频号</v>
      </c>
      <c r="O156" s="5" t="s">
        <v>195</v>
      </c>
      <c r="P156" s="6">
        <v>0.17</v>
      </c>
      <c r="Q156" s="11">
        <v>2</v>
      </c>
      <c r="R156" s="11"/>
      <c r="S156" s="11"/>
      <c r="T156" s="11"/>
      <c r="U156" s="11">
        <f t="shared" si="41"/>
        <v>2</v>
      </c>
      <c r="W156">
        <v>2.2000000000000002</v>
      </c>
      <c r="X156" s="1" t="s">
        <v>16</v>
      </c>
    </row>
    <row r="157" spans="1:24" x14ac:dyDescent="0.25">
      <c r="A157" s="1" t="str">
        <f t="shared" si="37"/>
        <v>卡卡杜-凤凰仓</v>
      </c>
      <c r="B157" s="1" t="str">
        <f>"CK202410311531"</f>
        <v>CK202410311531</v>
      </c>
      <c r="C157" s="1" t="str">
        <f>"DD2024103112672"</f>
        <v>DD2024103112672</v>
      </c>
      <c r="D157" s="1" t="str">
        <f>"CK2024103119098"</f>
        <v>CK2024103119098</v>
      </c>
      <c r="E157" s="1" t="str">
        <f>"3723675393461456896"</f>
        <v>3723675393461456896</v>
      </c>
      <c r="F157" s="1" t="str">
        <f t="shared" si="38"/>
        <v>花都四部-凤凰仓</v>
      </c>
      <c r="G157" s="1" t="str">
        <f t="shared" si="43"/>
        <v>卡卡杜企业店（视频号）</v>
      </c>
      <c r="H157" s="1" t="str">
        <f t="shared" si="39"/>
        <v>正常订单</v>
      </c>
      <c r="I157" s="1" t="str">
        <f t="shared" si="40"/>
        <v>已发货</v>
      </c>
      <c r="J157" s="1" t="str">
        <f t="shared" si="49"/>
        <v>2</v>
      </c>
      <c r="K157" s="1">
        <v>2</v>
      </c>
      <c r="L157" s="1" t="s">
        <v>80</v>
      </c>
      <c r="M157" s="1" t="str">
        <f>"河南省 开封市 龙亭区 "</f>
        <v xml:space="preserve">河南省 开封市 龙亭区 </v>
      </c>
      <c r="N157" s="1" t="str">
        <f t="shared" si="45"/>
        <v>凡华云仓-城南圆通-微信视频号</v>
      </c>
      <c r="O157" s="5" t="s">
        <v>196</v>
      </c>
      <c r="P157" s="6">
        <v>0.17</v>
      </c>
      <c r="Q157" s="11">
        <v>2</v>
      </c>
      <c r="R157" s="11"/>
      <c r="S157" s="11"/>
      <c r="T157" s="11"/>
      <c r="U157" s="11">
        <f t="shared" si="41"/>
        <v>2</v>
      </c>
      <c r="W157">
        <v>2.2000000000000002</v>
      </c>
      <c r="X157" s="1" t="s">
        <v>80</v>
      </c>
    </row>
    <row r="158" spans="1:24" x14ac:dyDescent="0.25">
      <c r="A158" s="1" t="str">
        <f t="shared" si="37"/>
        <v>卡卡杜-凤凰仓</v>
      </c>
      <c r="B158" s="1" t="str">
        <f>"CK202410311529"</f>
        <v>CK202410311529</v>
      </c>
      <c r="C158" s="1" t="str">
        <f>"DD2024103112669"</f>
        <v>DD2024103112669</v>
      </c>
      <c r="D158" s="1" t="str">
        <f>"CK2024103119097"</f>
        <v>CK2024103119097</v>
      </c>
      <c r="E158" s="1" t="str">
        <f>"3723675389700474368"</f>
        <v>3723675389700474368</v>
      </c>
      <c r="F158" s="1" t="str">
        <f t="shared" si="38"/>
        <v>花都四部-凤凰仓</v>
      </c>
      <c r="G158" s="1" t="str">
        <f t="shared" si="43"/>
        <v>卡卡杜企业店（视频号）</v>
      </c>
      <c r="H158" s="1" t="str">
        <f t="shared" si="39"/>
        <v>正常订单</v>
      </c>
      <c r="I158" s="1" t="str">
        <f t="shared" si="40"/>
        <v>已发货</v>
      </c>
      <c r="J158" s="1" t="str">
        <f t="shared" si="49"/>
        <v>2</v>
      </c>
      <c r="K158" s="1">
        <v>2</v>
      </c>
      <c r="L158" s="1" t="s">
        <v>16</v>
      </c>
      <c r="M158" s="1" t="str">
        <f>"河北省 唐山市 路南区 "</f>
        <v xml:space="preserve">河北省 唐山市 路南区 </v>
      </c>
      <c r="N158" s="1" t="str">
        <f t="shared" si="45"/>
        <v>凡华云仓-城南圆通-微信视频号</v>
      </c>
      <c r="O158" s="5" t="s">
        <v>197</v>
      </c>
      <c r="P158" s="6">
        <v>0.17</v>
      </c>
      <c r="Q158" s="11">
        <v>2</v>
      </c>
      <c r="R158" s="11"/>
      <c r="S158" s="11"/>
      <c r="T158" s="11"/>
      <c r="U158" s="11">
        <f t="shared" si="41"/>
        <v>2</v>
      </c>
      <c r="W158">
        <v>2.2000000000000002</v>
      </c>
      <c r="X158" s="1" t="s">
        <v>16</v>
      </c>
    </row>
    <row r="159" spans="1:24" x14ac:dyDescent="0.25">
      <c r="A159" s="1" t="str">
        <f t="shared" si="37"/>
        <v>卡卡杜-凤凰仓</v>
      </c>
      <c r="B159" s="1" t="str">
        <f>"CK202410311530"</f>
        <v>CK202410311530</v>
      </c>
      <c r="C159" s="1" t="str">
        <f>"DD2024103112670"</f>
        <v>DD2024103112670</v>
      </c>
      <c r="D159" s="1" t="str">
        <f>"CK2024103119096"</f>
        <v>CK2024103119096</v>
      </c>
      <c r="E159" s="1" t="str">
        <f>"3723675393885081600"</f>
        <v>3723675393885081600</v>
      </c>
      <c r="F159" s="1" t="str">
        <f t="shared" si="38"/>
        <v>花都四部-凤凰仓</v>
      </c>
      <c r="G159" s="1" t="str">
        <f t="shared" si="43"/>
        <v>卡卡杜企业店（视频号）</v>
      </c>
      <c r="H159" s="1" t="str">
        <f t="shared" si="39"/>
        <v>正常订单</v>
      </c>
      <c r="I159" s="1" t="str">
        <f t="shared" si="40"/>
        <v>已发货</v>
      </c>
      <c r="J159" s="1" t="str">
        <f t="shared" si="49"/>
        <v>2</v>
      </c>
      <c r="K159" s="1">
        <v>2</v>
      </c>
      <c r="L159" s="1" t="s">
        <v>105</v>
      </c>
      <c r="M159" s="1" t="str">
        <f>"北京 北京市 石景山区 "</f>
        <v xml:space="preserve">北京 北京市 石景山区 </v>
      </c>
      <c r="N159" s="1" t="str">
        <f t="shared" si="45"/>
        <v>凡华云仓-城南圆通-微信视频号</v>
      </c>
      <c r="O159" s="5" t="s">
        <v>198</v>
      </c>
      <c r="P159" s="6">
        <v>0.17</v>
      </c>
      <c r="Q159" s="11">
        <v>2</v>
      </c>
      <c r="R159" s="11"/>
      <c r="S159" s="11"/>
      <c r="T159" s="11"/>
      <c r="U159" s="11">
        <f t="shared" si="41"/>
        <v>2</v>
      </c>
      <c r="W159">
        <v>2.2000000000000002</v>
      </c>
      <c r="X159" s="1" t="s">
        <v>105</v>
      </c>
    </row>
    <row r="160" spans="1:24" x14ac:dyDescent="0.25">
      <c r="A160" s="1" t="str">
        <f t="shared" si="37"/>
        <v>卡卡杜-凤凰仓</v>
      </c>
      <c r="B160" s="1" t="str">
        <f>"CK20241031236"</f>
        <v>CK20241031236</v>
      </c>
      <c r="C160" s="1" t="str">
        <f>"DD2024103112457"</f>
        <v>DD2024103112457</v>
      </c>
      <c r="D160" s="1" t="str">
        <f>"CK2024103119095"</f>
        <v>CK2024103119095</v>
      </c>
      <c r="E160" s="1" t="str">
        <f>"3723675384209868288"</f>
        <v>3723675384209868288</v>
      </c>
      <c r="F160" s="1" t="str">
        <f t="shared" si="38"/>
        <v>花都四部-凤凰仓</v>
      </c>
      <c r="G160" s="1" t="str">
        <f t="shared" si="43"/>
        <v>卡卡杜企业店（视频号）</v>
      </c>
      <c r="H160" s="1" t="str">
        <f t="shared" si="39"/>
        <v>正常订单</v>
      </c>
      <c r="I160" s="1" t="str">
        <f t="shared" si="40"/>
        <v>已发货</v>
      </c>
      <c r="J160" s="1" t="str">
        <f>"3"</f>
        <v>3</v>
      </c>
      <c r="K160" s="1">
        <v>2</v>
      </c>
      <c r="L160" s="1" t="s">
        <v>96</v>
      </c>
      <c r="M160" s="1" t="str">
        <f>"广西壮族自治区 防城港市 港口区 "</f>
        <v xml:space="preserve">广西壮族自治区 防城港市 港口区 </v>
      </c>
      <c r="N160" s="1" t="str">
        <f t="shared" si="45"/>
        <v>凡华云仓-城南圆通-微信视频号</v>
      </c>
      <c r="O160" s="5" t="s">
        <v>199</v>
      </c>
      <c r="P160" s="6">
        <v>0.25</v>
      </c>
      <c r="Q160" s="11">
        <v>2</v>
      </c>
      <c r="R160" s="11"/>
      <c r="S160" s="11"/>
      <c r="T160" s="11"/>
      <c r="U160" s="11">
        <f t="shared" si="41"/>
        <v>2</v>
      </c>
      <c r="W160">
        <v>2.2000000000000002</v>
      </c>
      <c r="X160" s="1" t="s">
        <v>96</v>
      </c>
    </row>
    <row r="161" spans="1:24" x14ac:dyDescent="0.25">
      <c r="A161" s="1" t="str">
        <f t="shared" si="37"/>
        <v>卡卡杜-凤凰仓</v>
      </c>
      <c r="B161" s="1" t="str">
        <f>"CK202410311532"</f>
        <v>CK202410311532</v>
      </c>
      <c r="C161" s="1" t="str">
        <f>"DD2024103112671"</f>
        <v>DD2024103112671</v>
      </c>
      <c r="D161" s="1" t="str">
        <f>"CK2024103119094"</f>
        <v>CK2024103119094</v>
      </c>
      <c r="E161" s="1" t="str">
        <f>"3723675390408265728"</f>
        <v>3723675390408265728</v>
      </c>
      <c r="F161" s="1" t="str">
        <f t="shared" si="38"/>
        <v>花都四部-凤凰仓</v>
      </c>
      <c r="G161" s="1" t="str">
        <f t="shared" si="43"/>
        <v>卡卡杜企业店（视频号）</v>
      </c>
      <c r="H161" s="1" t="str">
        <f t="shared" si="39"/>
        <v>正常订单</v>
      </c>
      <c r="I161" s="1" t="str">
        <f t="shared" si="40"/>
        <v>已发货</v>
      </c>
      <c r="J161" s="1" t="str">
        <f t="shared" ref="J161:J164" si="50">"2"</f>
        <v>2</v>
      </c>
      <c r="K161" s="1">
        <v>2</v>
      </c>
      <c r="L161" s="1" t="s">
        <v>74</v>
      </c>
      <c r="M161" s="1" t="str">
        <f>"上海 上海市 浦东新区 "</f>
        <v xml:space="preserve">上海 上海市 浦东新区 </v>
      </c>
      <c r="N161" s="1" t="str">
        <f t="shared" si="45"/>
        <v>凡华云仓-城南圆通-微信视频号</v>
      </c>
      <c r="O161" s="5" t="s">
        <v>200</v>
      </c>
      <c r="P161" s="6">
        <v>0.17</v>
      </c>
      <c r="Q161" s="11">
        <v>2</v>
      </c>
      <c r="R161" s="11"/>
      <c r="S161" s="11"/>
      <c r="T161" s="11"/>
      <c r="U161" s="11">
        <f t="shared" si="41"/>
        <v>2</v>
      </c>
      <c r="W161">
        <v>2.2000000000000002</v>
      </c>
      <c r="X161" s="1" t="s">
        <v>74</v>
      </c>
    </row>
    <row r="162" spans="1:24" x14ac:dyDescent="0.25">
      <c r="A162" s="1" t="str">
        <f t="shared" si="37"/>
        <v>卡卡杜-凤凰仓</v>
      </c>
      <c r="B162" s="1" t="str">
        <f>"CK202410311536"</f>
        <v>CK202410311536</v>
      </c>
      <c r="C162" s="1" t="str">
        <f>"DD2024103112675"</f>
        <v>DD2024103112675</v>
      </c>
      <c r="D162" s="1" t="str">
        <f>"CK2024103119093"</f>
        <v>CK2024103119093</v>
      </c>
      <c r="E162" s="1" t="str">
        <f>"3723675379899174912"</f>
        <v>3723675379899174912</v>
      </c>
      <c r="F162" s="1" t="str">
        <f t="shared" si="38"/>
        <v>花都四部-凤凰仓</v>
      </c>
      <c r="G162" s="1" t="str">
        <f t="shared" si="43"/>
        <v>卡卡杜企业店（视频号）</v>
      </c>
      <c r="H162" s="1" t="str">
        <f t="shared" si="39"/>
        <v>正常订单</v>
      </c>
      <c r="I162" s="1" t="str">
        <f t="shared" si="40"/>
        <v>已发货</v>
      </c>
      <c r="J162" s="1" t="str">
        <f t="shared" si="50"/>
        <v>2</v>
      </c>
      <c r="K162" s="1">
        <v>2</v>
      </c>
      <c r="L162" s="1" t="s">
        <v>41</v>
      </c>
      <c r="M162" s="1" t="str">
        <f>"湖北省 武汉市 硚口区 "</f>
        <v xml:space="preserve">湖北省 武汉市 硚口区 </v>
      </c>
      <c r="N162" s="1" t="str">
        <f t="shared" si="45"/>
        <v>凡华云仓-城南圆通-微信视频号</v>
      </c>
      <c r="O162" s="5" t="s">
        <v>201</v>
      </c>
      <c r="P162" s="6">
        <v>0.17</v>
      </c>
      <c r="Q162" s="11">
        <v>2</v>
      </c>
      <c r="R162" s="11"/>
      <c r="S162" s="11"/>
      <c r="T162" s="11"/>
      <c r="U162" s="11">
        <f t="shared" si="41"/>
        <v>2</v>
      </c>
      <c r="W162">
        <v>2.2000000000000002</v>
      </c>
      <c r="X162" s="1" t="s">
        <v>41</v>
      </c>
    </row>
    <row r="163" spans="1:24" x14ac:dyDescent="0.25">
      <c r="A163" s="1" t="str">
        <f t="shared" si="37"/>
        <v>卡卡杜-凤凰仓</v>
      </c>
      <c r="B163" s="1" t="str">
        <f>"CK202410311534"</f>
        <v>CK202410311534</v>
      </c>
      <c r="C163" s="1" t="str">
        <f>"DD2024103112677"</f>
        <v>DD2024103112677</v>
      </c>
      <c r="D163" s="1" t="str">
        <f>"CK2024103119092"</f>
        <v>CK2024103119092</v>
      </c>
      <c r="E163" s="1" t="str">
        <f>"3723675388736048128"</f>
        <v>3723675388736048128</v>
      </c>
      <c r="F163" s="1" t="str">
        <f t="shared" si="38"/>
        <v>花都四部-凤凰仓</v>
      </c>
      <c r="G163" s="1" t="str">
        <f t="shared" si="43"/>
        <v>卡卡杜企业店（视频号）</v>
      </c>
      <c r="H163" s="1" t="str">
        <f t="shared" si="39"/>
        <v>正常订单</v>
      </c>
      <c r="I163" s="1" t="str">
        <f t="shared" si="40"/>
        <v>已发货</v>
      </c>
      <c r="J163" s="1" t="str">
        <f t="shared" si="50"/>
        <v>2</v>
      </c>
      <c r="K163" s="1">
        <v>2</v>
      </c>
      <c r="L163" s="1" t="s">
        <v>32</v>
      </c>
      <c r="M163" s="1" t="str">
        <f>"陕西省 宝鸡市 渭滨区 "</f>
        <v xml:space="preserve">陕西省 宝鸡市 渭滨区 </v>
      </c>
      <c r="N163" s="1" t="str">
        <f t="shared" si="45"/>
        <v>凡华云仓-城南圆通-微信视频号</v>
      </c>
      <c r="O163" s="5" t="s">
        <v>202</v>
      </c>
      <c r="P163" s="6">
        <v>0.17</v>
      </c>
      <c r="Q163" s="11">
        <v>2</v>
      </c>
      <c r="R163" s="11"/>
      <c r="S163" s="11"/>
      <c r="T163" s="11"/>
      <c r="U163" s="11">
        <f t="shared" si="41"/>
        <v>2</v>
      </c>
      <c r="W163">
        <v>2.2000000000000002</v>
      </c>
      <c r="X163" s="1" t="s">
        <v>32</v>
      </c>
    </row>
    <row r="164" spans="1:24" x14ac:dyDescent="0.25">
      <c r="A164" s="1" t="str">
        <f t="shared" si="37"/>
        <v>卡卡杜-凤凰仓</v>
      </c>
      <c r="B164" s="1" t="str">
        <f>"CK202410311533"</f>
        <v>CK202410311533</v>
      </c>
      <c r="C164" s="1" t="str">
        <f>"DD2024103112673"</f>
        <v>DD2024103112673</v>
      </c>
      <c r="D164" s="1" t="str">
        <f>"CK2024103119091"</f>
        <v>CK2024103119091</v>
      </c>
      <c r="E164" s="1" t="str">
        <f>"3723675385063147008"</f>
        <v>3723675385063147008</v>
      </c>
      <c r="F164" s="1" t="str">
        <f t="shared" si="38"/>
        <v>花都四部-凤凰仓</v>
      </c>
      <c r="G164" s="1" t="str">
        <f t="shared" si="43"/>
        <v>卡卡杜企业店（视频号）</v>
      </c>
      <c r="H164" s="1" t="str">
        <f t="shared" si="39"/>
        <v>正常订单</v>
      </c>
      <c r="I164" s="1" t="str">
        <f t="shared" si="40"/>
        <v>已发货</v>
      </c>
      <c r="J164" s="1" t="str">
        <f t="shared" si="50"/>
        <v>2</v>
      </c>
      <c r="K164" s="1">
        <v>2</v>
      </c>
      <c r="L164" s="1" t="s">
        <v>94</v>
      </c>
      <c r="M164" s="1" t="str">
        <f>"湖南省 长沙市 雨花区 "</f>
        <v xml:space="preserve">湖南省 长沙市 雨花区 </v>
      </c>
      <c r="N164" s="1" t="str">
        <f t="shared" si="45"/>
        <v>凡华云仓-城南圆通-微信视频号</v>
      </c>
      <c r="O164" s="5" t="s">
        <v>203</v>
      </c>
      <c r="P164" s="6">
        <v>0.17</v>
      </c>
      <c r="Q164" s="11">
        <v>2</v>
      </c>
      <c r="R164" s="11"/>
      <c r="S164" s="11"/>
      <c r="T164" s="11"/>
      <c r="U164" s="11">
        <f t="shared" si="41"/>
        <v>2</v>
      </c>
      <c r="W164">
        <v>2.2000000000000002</v>
      </c>
      <c r="X164" s="1" t="s">
        <v>94</v>
      </c>
    </row>
    <row r="165" spans="1:24" x14ac:dyDescent="0.25">
      <c r="A165" s="1" t="str">
        <f t="shared" si="37"/>
        <v>卡卡杜-凤凰仓</v>
      </c>
      <c r="B165" s="1" t="str">
        <f>"CK20241031233"</f>
        <v>CK20241031233</v>
      </c>
      <c r="C165" s="1" t="str">
        <f>"DD2024103112454"</f>
        <v>DD2024103112454</v>
      </c>
      <c r="D165" s="1" t="str">
        <f>"CK2024103119090"</f>
        <v>CK2024103119090</v>
      </c>
      <c r="E165" s="1" t="str">
        <f>"3723675387677772800"</f>
        <v>3723675387677772800</v>
      </c>
      <c r="F165" s="1" t="str">
        <f t="shared" si="38"/>
        <v>花都四部-凤凰仓</v>
      </c>
      <c r="G165" s="1" t="str">
        <f t="shared" si="43"/>
        <v>卡卡杜企业店（视频号）</v>
      </c>
      <c r="H165" s="1" t="str">
        <f t="shared" si="39"/>
        <v>正常订单</v>
      </c>
      <c r="I165" s="1" t="str">
        <f t="shared" si="40"/>
        <v>已发货</v>
      </c>
      <c r="J165" s="1" t="str">
        <f t="shared" ref="J165:J167" si="51">"3"</f>
        <v>3</v>
      </c>
      <c r="K165" s="1">
        <v>2</v>
      </c>
      <c r="L165" s="1" t="s">
        <v>13</v>
      </c>
      <c r="M165" s="1" t="str">
        <f>"江苏省 南京市 秦淮区 "</f>
        <v xml:space="preserve">江苏省 南京市 秦淮区 </v>
      </c>
      <c r="N165" s="1" t="str">
        <f t="shared" si="45"/>
        <v>凡华云仓-城南圆通-微信视频号</v>
      </c>
      <c r="O165" s="5" t="s">
        <v>204</v>
      </c>
      <c r="P165" s="6">
        <v>0.25</v>
      </c>
      <c r="Q165" s="11">
        <v>2</v>
      </c>
      <c r="R165" s="11"/>
      <c r="S165" s="11"/>
      <c r="T165" s="11"/>
      <c r="U165" s="11">
        <f t="shared" si="41"/>
        <v>2</v>
      </c>
      <c r="W165">
        <v>2.2000000000000002</v>
      </c>
      <c r="X165" s="1" t="s">
        <v>13</v>
      </c>
    </row>
    <row r="166" spans="1:24" x14ac:dyDescent="0.25">
      <c r="A166" s="1" t="str">
        <f t="shared" si="37"/>
        <v>卡卡杜-凤凰仓</v>
      </c>
      <c r="B166" s="1" t="str">
        <f>"CK20241031245"</f>
        <v>CK20241031245</v>
      </c>
      <c r="C166" s="1" t="str">
        <f>"DD2024103112468"</f>
        <v>DD2024103112468</v>
      </c>
      <c r="D166" s="1" t="str">
        <f>"CK2024103119089"</f>
        <v>CK2024103119089</v>
      </c>
      <c r="E166" s="1" t="str">
        <f>"3723675382805565440"</f>
        <v>3723675382805565440</v>
      </c>
      <c r="F166" s="1" t="str">
        <f t="shared" si="38"/>
        <v>花都四部-凤凰仓</v>
      </c>
      <c r="G166" s="1" t="str">
        <f t="shared" si="43"/>
        <v>卡卡杜企业店（视频号）</v>
      </c>
      <c r="H166" s="1" t="str">
        <f t="shared" si="39"/>
        <v>正常订单</v>
      </c>
      <c r="I166" s="1" t="str">
        <f t="shared" si="40"/>
        <v>已发货</v>
      </c>
      <c r="J166" s="1" t="str">
        <f t="shared" si="51"/>
        <v>3</v>
      </c>
      <c r="K166" s="1">
        <v>2</v>
      </c>
      <c r="L166" s="1" t="s">
        <v>105</v>
      </c>
      <c r="M166" s="1" t="str">
        <f>"北京 北京市 东城区 "</f>
        <v xml:space="preserve">北京 北京市 东城区 </v>
      </c>
      <c r="N166" s="1" t="str">
        <f t="shared" si="45"/>
        <v>凡华云仓-城南圆通-微信视频号</v>
      </c>
      <c r="O166" s="5" t="s">
        <v>205</v>
      </c>
      <c r="P166" s="6">
        <v>0.25</v>
      </c>
      <c r="Q166" s="11">
        <v>2</v>
      </c>
      <c r="R166" s="11"/>
      <c r="S166" s="11"/>
      <c r="T166" s="11"/>
      <c r="U166" s="11">
        <f t="shared" si="41"/>
        <v>2</v>
      </c>
      <c r="W166">
        <v>2.2000000000000002</v>
      </c>
      <c r="X166" s="1" t="s">
        <v>105</v>
      </c>
    </row>
    <row r="167" spans="1:24" x14ac:dyDescent="0.25">
      <c r="A167" s="1" t="str">
        <f t="shared" si="37"/>
        <v>卡卡杜-凤凰仓</v>
      </c>
      <c r="B167" s="1" t="str">
        <f>"CK20241031272"</f>
        <v>CK20241031272</v>
      </c>
      <c r="C167" s="1" t="str">
        <f>"DD2024103112498"</f>
        <v>DD2024103112498</v>
      </c>
      <c r="D167" s="1" t="str">
        <f>"CK2024103119088"</f>
        <v>CK2024103119088</v>
      </c>
      <c r="E167" s="1" t="str">
        <f>"3723675380296844544"</f>
        <v>3723675380296844544</v>
      </c>
      <c r="F167" s="1" t="str">
        <f t="shared" si="38"/>
        <v>花都四部-凤凰仓</v>
      </c>
      <c r="G167" s="1" t="str">
        <f t="shared" si="43"/>
        <v>卡卡杜企业店（视频号）</v>
      </c>
      <c r="H167" s="1" t="str">
        <f t="shared" si="39"/>
        <v>正常订单</v>
      </c>
      <c r="I167" s="1" t="str">
        <f t="shared" si="40"/>
        <v>已发货</v>
      </c>
      <c r="J167" s="1" t="str">
        <f t="shared" si="51"/>
        <v>3</v>
      </c>
      <c r="K167" s="1">
        <v>2</v>
      </c>
      <c r="L167" s="1" t="s">
        <v>105</v>
      </c>
      <c r="M167" s="1" t="str">
        <f>"北京 北京市 通州区 "</f>
        <v xml:space="preserve">北京 北京市 通州区 </v>
      </c>
      <c r="N167" s="1" t="str">
        <f t="shared" si="45"/>
        <v>凡华云仓-城南圆通-微信视频号</v>
      </c>
      <c r="O167" s="5" t="s">
        <v>206</v>
      </c>
      <c r="P167" s="6">
        <v>0.25</v>
      </c>
      <c r="Q167" s="11">
        <v>2</v>
      </c>
      <c r="R167" s="11"/>
      <c r="S167" s="11"/>
      <c r="T167" s="11"/>
      <c r="U167" s="11">
        <f t="shared" si="41"/>
        <v>2</v>
      </c>
      <c r="W167">
        <v>2.2000000000000002</v>
      </c>
      <c r="X167" s="1" t="s">
        <v>105</v>
      </c>
    </row>
    <row r="168" spans="1:24" x14ac:dyDescent="0.25">
      <c r="A168" s="1" t="str">
        <f t="shared" si="37"/>
        <v>卡卡杜-凤凰仓</v>
      </c>
      <c r="B168" s="1" t="str">
        <f>"CK202410311535"</f>
        <v>CK202410311535</v>
      </c>
      <c r="C168" s="1" t="str">
        <f>"DD2024103112674"</f>
        <v>DD2024103112674</v>
      </c>
      <c r="D168" s="1" t="str">
        <f>"CK2024103119087"</f>
        <v>CK2024103119087</v>
      </c>
      <c r="E168" s="1" t="str">
        <f>"3723675383111484928"</f>
        <v>3723675383111484928</v>
      </c>
      <c r="F168" s="1" t="str">
        <f t="shared" si="38"/>
        <v>花都四部-凤凰仓</v>
      </c>
      <c r="G168" s="1" t="str">
        <f t="shared" si="43"/>
        <v>卡卡杜企业店（视频号）</v>
      </c>
      <c r="H168" s="1" t="str">
        <f t="shared" si="39"/>
        <v>正常订单</v>
      </c>
      <c r="I168" s="1" t="str">
        <f t="shared" si="40"/>
        <v>已发货</v>
      </c>
      <c r="J168" s="1" t="str">
        <f t="shared" ref="J168:J171" si="52">"2"</f>
        <v>2</v>
      </c>
      <c r="K168" s="1">
        <v>2</v>
      </c>
      <c r="L168" s="1" t="s">
        <v>30</v>
      </c>
      <c r="M168" s="1" t="str">
        <f>"山东省 青岛市 城阳区 "</f>
        <v xml:space="preserve">山东省 青岛市 城阳区 </v>
      </c>
      <c r="N168" s="1" t="str">
        <f t="shared" si="45"/>
        <v>凡华云仓-城南圆通-微信视频号</v>
      </c>
      <c r="O168" s="5" t="s">
        <v>207</v>
      </c>
      <c r="P168" s="6">
        <v>0.17</v>
      </c>
      <c r="Q168" s="11">
        <v>2</v>
      </c>
      <c r="R168" s="11"/>
      <c r="S168" s="11"/>
      <c r="T168" s="11"/>
      <c r="U168" s="11">
        <f t="shared" si="41"/>
        <v>2</v>
      </c>
      <c r="W168">
        <v>2.2000000000000002</v>
      </c>
      <c r="X168" s="1" t="s">
        <v>30</v>
      </c>
    </row>
    <row r="169" spans="1:24" x14ac:dyDescent="0.25">
      <c r="A169" s="1" t="str">
        <f t="shared" si="37"/>
        <v>卡卡杜-凤凰仓</v>
      </c>
      <c r="B169" s="1" t="str">
        <f>"CK2024103181"</f>
        <v>CK2024103181</v>
      </c>
      <c r="C169" s="1" t="str">
        <f>"DD2024103112171"</f>
        <v>DD2024103112171</v>
      </c>
      <c r="D169" s="1" t="str">
        <f>"CK2024103119086"</f>
        <v>CK2024103119086</v>
      </c>
      <c r="E169" s="1" t="str">
        <f>"3723675282618847232"</f>
        <v>3723675282618847232</v>
      </c>
      <c r="F169" s="1" t="str">
        <f t="shared" si="38"/>
        <v>花都四部-凤凰仓</v>
      </c>
      <c r="G169" s="1" t="str">
        <f t="shared" si="43"/>
        <v>卡卡杜企业店（视频号）</v>
      </c>
      <c r="H169" s="1" t="str">
        <f t="shared" si="39"/>
        <v>正常订单</v>
      </c>
      <c r="I169" s="1" t="str">
        <f t="shared" si="40"/>
        <v>已发货</v>
      </c>
      <c r="J169" s="1" t="str">
        <f>"3"</f>
        <v>3</v>
      </c>
      <c r="K169" s="1">
        <v>2</v>
      </c>
      <c r="L169" s="1" t="s">
        <v>20</v>
      </c>
      <c r="M169" s="1" t="str">
        <f>"浙江省 杭州市 上城区 "</f>
        <v xml:space="preserve">浙江省 杭州市 上城区 </v>
      </c>
      <c r="N169" s="1" t="str">
        <f t="shared" si="45"/>
        <v>凡华云仓-城南圆通-微信视频号</v>
      </c>
      <c r="O169" s="5" t="s">
        <v>208</v>
      </c>
      <c r="P169" s="6">
        <v>0.35</v>
      </c>
      <c r="Q169" s="11">
        <v>2.2999999999999998</v>
      </c>
      <c r="R169" s="11"/>
      <c r="S169" s="11"/>
      <c r="T169" s="11"/>
      <c r="U169" s="11">
        <f t="shared" si="41"/>
        <v>2.2999999999999998</v>
      </c>
      <c r="W169">
        <v>2.5</v>
      </c>
      <c r="X169" s="1" t="s">
        <v>20</v>
      </c>
    </row>
    <row r="170" spans="1:24" x14ac:dyDescent="0.25">
      <c r="A170" s="1" t="str">
        <f t="shared" si="37"/>
        <v>卡卡杜-凤凰仓</v>
      </c>
      <c r="B170" s="1" t="str">
        <f>"CK202410311537"</f>
        <v>CK202410311537</v>
      </c>
      <c r="C170" s="1" t="str">
        <f>"DD2024103112676"</f>
        <v>DD2024103112676</v>
      </c>
      <c r="D170" s="1" t="str">
        <f>"CK2024103119085"</f>
        <v>CK2024103119085</v>
      </c>
      <c r="E170" s="1" t="str">
        <f>"3723675065506465024"</f>
        <v>3723675065506465024</v>
      </c>
      <c r="F170" s="1" t="str">
        <f t="shared" si="38"/>
        <v>花都四部-凤凰仓</v>
      </c>
      <c r="G170" s="1" t="str">
        <f t="shared" si="43"/>
        <v>卡卡杜企业店（视频号）</v>
      </c>
      <c r="H170" s="1" t="str">
        <f t="shared" si="39"/>
        <v>正常订单</v>
      </c>
      <c r="I170" s="1" t="str">
        <f t="shared" si="40"/>
        <v>已发货</v>
      </c>
      <c r="J170" s="1" t="str">
        <f t="shared" si="52"/>
        <v>2</v>
      </c>
      <c r="K170" s="1">
        <v>2</v>
      </c>
      <c r="L170" s="1" t="s">
        <v>105</v>
      </c>
      <c r="M170" s="1" t="str">
        <f>"北京 北京市 朝阳区 "</f>
        <v xml:space="preserve">北京 北京市 朝阳区 </v>
      </c>
      <c r="N170" s="1" t="str">
        <f t="shared" si="45"/>
        <v>凡华云仓-城南圆通-微信视频号</v>
      </c>
      <c r="O170" s="5" t="s">
        <v>209</v>
      </c>
      <c r="P170" s="6">
        <v>0.17</v>
      </c>
      <c r="Q170" s="11">
        <v>2</v>
      </c>
      <c r="R170" s="11"/>
      <c r="S170" s="11"/>
      <c r="T170" s="11"/>
      <c r="U170" s="11">
        <f t="shared" si="41"/>
        <v>2</v>
      </c>
      <c r="W170">
        <v>2.2000000000000002</v>
      </c>
      <c r="X170" s="1" t="s">
        <v>105</v>
      </c>
    </row>
    <row r="171" spans="1:24" x14ac:dyDescent="0.25">
      <c r="A171" s="1" t="str">
        <f t="shared" si="37"/>
        <v>卡卡杜-凤凰仓</v>
      </c>
      <c r="B171" s="1" t="str">
        <f>"CK202410311540"</f>
        <v>CK202410311540</v>
      </c>
      <c r="C171" s="1" t="str">
        <f>"DD2024103112681"</f>
        <v>DD2024103112681</v>
      </c>
      <c r="D171" s="1" t="str">
        <f>"CK2024103119084"</f>
        <v>CK2024103119084</v>
      </c>
      <c r="E171" s="1" t="str">
        <f>"3723675055300674816"</f>
        <v>3723675055300674816</v>
      </c>
      <c r="F171" s="1" t="str">
        <f t="shared" si="38"/>
        <v>花都四部-凤凰仓</v>
      </c>
      <c r="G171" s="1" t="str">
        <f t="shared" si="43"/>
        <v>卡卡杜企业店（视频号）</v>
      </c>
      <c r="H171" s="1" t="str">
        <f t="shared" si="39"/>
        <v>正常订单</v>
      </c>
      <c r="I171" s="1" t="str">
        <f t="shared" si="40"/>
        <v>已发货</v>
      </c>
      <c r="J171" s="1" t="str">
        <f t="shared" si="52"/>
        <v>2</v>
      </c>
      <c r="K171" s="1">
        <v>2</v>
      </c>
      <c r="L171" s="1" t="s">
        <v>66</v>
      </c>
      <c r="M171" s="1" t="str">
        <f>"内蒙古自治区 巴彦淖尔市 临河区 "</f>
        <v xml:space="preserve">内蒙古自治区 巴彦淖尔市 临河区 </v>
      </c>
      <c r="N171" s="1" t="str">
        <f t="shared" si="45"/>
        <v>凡华云仓-城南圆通-微信视频号</v>
      </c>
      <c r="O171" s="5" t="s">
        <v>210</v>
      </c>
      <c r="P171" s="6">
        <v>0.17</v>
      </c>
      <c r="Q171" s="11">
        <v>2</v>
      </c>
      <c r="R171" s="11"/>
      <c r="S171" s="11"/>
      <c r="T171" s="11"/>
      <c r="U171" s="11">
        <f t="shared" si="41"/>
        <v>2</v>
      </c>
      <c r="W171">
        <v>2.2000000000000002</v>
      </c>
      <c r="X171" s="1" t="s">
        <v>66</v>
      </c>
    </row>
    <row r="172" spans="1:24" x14ac:dyDescent="0.25">
      <c r="A172" s="1" t="str">
        <f t="shared" si="37"/>
        <v>卡卡杜-凤凰仓</v>
      </c>
      <c r="B172" s="1" t="str">
        <f>"CK20241031256"</f>
        <v>CK20241031256</v>
      </c>
      <c r="C172" s="1" t="str">
        <f>"DD2024103112485"</f>
        <v>DD2024103112485</v>
      </c>
      <c r="D172" s="1" t="str">
        <f>"CK2024103119083"</f>
        <v>CK2024103119083</v>
      </c>
      <c r="E172" s="1" t="str">
        <f>"3723675043752446976"</f>
        <v>3723675043752446976</v>
      </c>
      <c r="F172" s="1" t="str">
        <f t="shared" si="38"/>
        <v>花都四部-凤凰仓</v>
      </c>
      <c r="G172" s="1" t="str">
        <f t="shared" si="43"/>
        <v>卡卡杜企业店（视频号）</v>
      </c>
      <c r="H172" s="1" t="str">
        <f t="shared" si="39"/>
        <v>正常订单</v>
      </c>
      <c r="I172" s="1" t="str">
        <f t="shared" si="40"/>
        <v>已发货</v>
      </c>
      <c r="J172" s="1" t="str">
        <f>"3"</f>
        <v>3</v>
      </c>
      <c r="K172" s="1">
        <v>2</v>
      </c>
      <c r="L172" s="1" t="s">
        <v>105</v>
      </c>
      <c r="M172" s="1" t="str">
        <f>"北京 北京市 丰台区 "</f>
        <v xml:space="preserve">北京 北京市 丰台区 </v>
      </c>
      <c r="N172" s="1" t="str">
        <f t="shared" si="45"/>
        <v>凡华云仓-城南圆通-微信视频号</v>
      </c>
      <c r="O172" s="5" t="s">
        <v>211</v>
      </c>
      <c r="P172" s="6">
        <v>0.25</v>
      </c>
      <c r="Q172" s="11">
        <v>2</v>
      </c>
      <c r="R172" s="11"/>
      <c r="S172" s="11"/>
      <c r="T172" s="11"/>
      <c r="U172" s="11">
        <f t="shared" si="41"/>
        <v>2</v>
      </c>
      <c r="W172">
        <v>2.2000000000000002</v>
      </c>
      <c r="X172" s="1" t="s">
        <v>105</v>
      </c>
    </row>
    <row r="173" spans="1:24" x14ac:dyDescent="0.25">
      <c r="A173" s="1" t="str">
        <f t="shared" si="37"/>
        <v>卡卡杜-凤凰仓</v>
      </c>
      <c r="B173" s="1" t="str">
        <f>"CK202410311538"</f>
        <v>CK202410311538</v>
      </c>
      <c r="C173" s="1" t="str">
        <f>"DD2024103112678"</f>
        <v>DD2024103112678</v>
      </c>
      <c r="D173" s="1" t="str">
        <f>"CK2024103119082"</f>
        <v>CK2024103119082</v>
      </c>
      <c r="E173" s="1" t="str">
        <f>"3723675056992817152"</f>
        <v>3723675056992817152</v>
      </c>
      <c r="F173" s="1" t="str">
        <f t="shared" si="38"/>
        <v>花都四部-凤凰仓</v>
      </c>
      <c r="G173" s="1" t="str">
        <f t="shared" si="43"/>
        <v>卡卡杜企业店（视频号）</v>
      </c>
      <c r="H173" s="1" t="str">
        <f t="shared" si="39"/>
        <v>正常订单</v>
      </c>
      <c r="I173" s="1" t="str">
        <f t="shared" si="40"/>
        <v>已发货</v>
      </c>
      <c r="J173" s="1" t="str">
        <f t="shared" ref="J173:J175" si="53">"2"</f>
        <v>2</v>
      </c>
      <c r="K173" s="1">
        <v>2</v>
      </c>
      <c r="L173" s="1" t="s">
        <v>18</v>
      </c>
      <c r="M173" s="1" t="str">
        <f>"广东省 广州市 海珠区 "</f>
        <v xml:space="preserve">广东省 广州市 海珠区 </v>
      </c>
      <c r="N173" s="1" t="str">
        <f t="shared" si="45"/>
        <v>凡华云仓-城南圆通-微信视频号</v>
      </c>
      <c r="O173" s="5" t="s">
        <v>212</v>
      </c>
      <c r="P173" s="6">
        <v>0.17</v>
      </c>
      <c r="Q173" s="11">
        <v>2</v>
      </c>
      <c r="R173" s="11"/>
      <c r="S173" s="11"/>
      <c r="T173" s="11"/>
      <c r="U173" s="11">
        <f t="shared" si="41"/>
        <v>2</v>
      </c>
      <c r="W173">
        <v>2.2000000000000002</v>
      </c>
      <c r="X173" s="1" t="s">
        <v>18</v>
      </c>
    </row>
    <row r="174" spans="1:24" x14ac:dyDescent="0.25">
      <c r="A174" s="1" t="str">
        <f t="shared" si="37"/>
        <v>卡卡杜-凤凰仓</v>
      </c>
      <c r="B174" s="1" t="str">
        <f>"CK202410311539"</f>
        <v>CK202410311539</v>
      </c>
      <c r="C174" s="1" t="str">
        <f>"DD2024103112679"</f>
        <v>DD2024103112679</v>
      </c>
      <c r="D174" s="1" t="str">
        <f>"CK2024103119081"</f>
        <v>CK2024103119081</v>
      </c>
      <c r="E174" s="1" t="str">
        <f>"3723675055987756032"</f>
        <v>3723675055987756032</v>
      </c>
      <c r="F174" s="1" t="str">
        <f t="shared" si="38"/>
        <v>花都四部-凤凰仓</v>
      </c>
      <c r="G174" s="1" t="str">
        <f t="shared" si="43"/>
        <v>卡卡杜企业店（视频号）</v>
      </c>
      <c r="H174" s="1" t="str">
        <f t="shared" si="39"/>
        <v>正常订单</v>
      </c>
      <c r="I174" s="1" t="str">
        <f t="shared" si="40"/>
        <v>已发货</v>
      </c>
      <c r="J174" s="1" t="str">
        <f t="shared" si="53"/>
        <v>2</v>
      </c>
      <c r="K174" s="1">
        <v>2</v>
      </c>
      <c r="L174" s="1" t="s">
        <v>36</v>
      </c>
      <c r="M174" s="1" t="str">
        <f>"安徽省 芜湖市 镜湖区 "</f>
        <v xml:space="preserve">安徽省 芜湖市 镜湖区 </v>
      </c>
      <c r="N174" s="1" t="str">
        <f t="shared" si="45"/>
        <v>凡华云仓-城南圆通-微信视频号</v>
      </c>
      <c r="O174" s="5" t="s">
        <v>213</v>
      </c>
      <c r="P174" s="6">
        <v>0.17</v>
      </c>
      <c r="Q174" s="11">
        <v>2</v>
      </c>
      <c r="R174" s="11"/>
      <c r="S174" s="11"/>
      <c r="T174" s="11"/>
      <c r="U174" s="11">
        <f t="shared" si="41"/>
        <v>2</v>
      </c>
      <c r="W174">
        <v>2.2000000000000002</v>
      </c>
      <c r="X174" s="1" t="s">
        <v>36</v>
      </c>
    </row>
    <row r="175" spans="1:24" x14ac:dyDescent="0.25">
      <c r="A175" s="1" t="str">
        <f t="shared" si="37"/>
        <v>卡卡杜-凤凰仓</v>
      </c>
      <c r="B175" s="1" t="str">
        <f>"CK202410311541"</f>
        <v>CK202410311541</v>
      </c>
      <c r="C175" s="1" t="str">
        <f>"DD2024103112680"</f>
        <v>DD2024103112680</v>
      </c>
      <c r="D175" s="1" t="str">
        <f>"CK2024103119080"</f>
        <v>CK2024103119080</v>
      </c>
      <c r="E175" s="1" t="str">
        <f>"3723675035785364992"</f>
        <v>3723675035785364992</v>
      </c>
      <c r="F175" s="1" t="str">
        <f t="shared" si="38"/>
        <v>花都四部-凤凰仓</v>
      </c>
      <c r="G175" s="1" t="str">
        <f t="shared" si="43"/>
        <v>卡卡杜企业店（视频号）</v>
      </c>
      <c r="H175" s="1" t="str">
        <f t="shared" si="39"/>
        <v>正常订单</v>
      </c>
      <c r="I175" s="1" t="str">
        <f t="shared" si="40"/>
        <v>已发货</v>
      </c>
      <c r="J175" s="1" t="str">
        <f t="shared" si="53"/>
        <v>2</v>
      </c>
      <c r="K175" s="1">
        <v>2</v>
      </c>
      <c r="L175" s="1" t="s">
        <v>74</v>
      </c>
      <c r="M175" s="1" t="str">
        <f>"上海 上海市 浦东新区 "</f>
        <v xml:space="preserve">上海 上海市 浦东新区 </v>
      </c>
      <c r="N175" s="1" t="str">
        <f t="shared" si="45"/>
        <v>凡华云仓-城南圆通-微信视频号</v>
      </c>
      <c r="O175" s="5" t="s">
        <v>214</v>
      </c>
      <c r="P175" s="6">
        <v>0.17</v>
      </c>
      <c r="Q175" s="11">
        <v>2</v>
      </c>
      <c r="R175" s="11"/>
      <c r="S175" s="11"/>
      <c r="T175" s="11"/>
      <c r="U175" s="11">
        <f t="shared" si="41"/>
        <v>2</v>
      </c>
      <c r="W175">
        <v>2.2000000000000002</v>
      </c>
      <c r="X175" s="1" t="s">
        <v>74</v>
      </c>
    </row>
    <row r="176" spans="1:24" x14ac:dyDescent="0.25">
      <c r="A176" s="1" t="str">
        <f t="shared" si="37"/>
        <v>卡卡杜-凤凰仓</v>
      </c>
      <c r="B176" s="1" t="str">
        <f>"CK20241031229"</f>
        <v>CK20241031229</v>
      </c>
      <c r="C176" s="1" t="str">
        <f>"DD2024103112450"</f>
        <v>DD2024103112450</v>
      </c>
      <c r="D176" s="1" t="str">
        <f>"CK2024103119079"</f>
        <v>CK2024103119079</v>
      </c>
      <c r="E176" s="1" t="str">
        <f>"3723675032680271872"</f>
        <v>3723675032680271872</v>
      </c>
      <c r="F176" s="1" t="str">
        <f t="shared" si="38"/>
        <v>花都四部-凤凰仓</v>
      </c>
      <c r="G176" s="1" t="str">
        <f t="shared" si="43"/>
        <v>卡卡杜企业店（视频号）</v>
      </c>
      <c r="H176" s="1" t="str">
        <f t="shared" si="39"/>
        <v>正常订单</v>
      </c>
      <c r="I176" s="1" t="str">
        <f t="shared" si="40"/>
        <v>已发货</v>
      </c>
      <c r="J176" s="1" t="str">
        <f>"3"</f>
        <v>3</v>
      </c>
      <c r="K176" s="1">
        <v>2</v>
      </c>
      <c r="L176" s="1" t="s">
        <v>74</v>
      </c>
      <c r="M176" s="1" t="str">
        <f>"上海 上海市 嘉定区 "</f>
        <v xml:space="preserve">上海 上海市 嘉定区 </v>
      </c>
      <c r="N176" s="1" t="str">
        <f t="shared" si="45"/>
        <v>凡华云仓-城南圆通-微信视频号</v>
      </c>
      <c r="O176" s="5" t="s">
        <v>215</v>
      </c>
      <c r="P176" s="6">
        <v>0.25</v>
      </c>
      <c r="Q176" s="11">
        <v>2</v>
      </c>
      <c r="R176" s="11"/>
      <c r="S176" s="11"/>
      <c r="T176" s="11"/>
      <c r="U176" s="11">
        <f t="shared" si="41"/>
        <v>2</v>
      </c>
      <c r="W176">
        <v>2.2000000000000002</v>
      </c>
      <c r="X176" s="1" t="s">
        <v>74</v>
      </c>
    </row>
    <row r="177" spans="1:24" x14ac:dyDescent="0.25">
      <c r="A177" s="1" t="str">
        <f t="shared" si="37"/>
        <v>卡卡杜-凤凰仓</v>
      </c>
      <c r="B177" s="1" t="str">
        <f>"CK202410311556"</f>
        <v>CK202410311556</v>
      </c>
      <c r="C177" s="1" t="str">
        <f>"DD2024103112695"</f>
        <v>DD2024103112695</v>
      </c>
      <c r="D177" s="1" t="str">
        <f>"CK2024103119078"</f>
        <v>CK2024103119078</v>
      </c>
      <c r="E177" s="1" t="str">
        <f>"3723675004914504704"</f>
        <v>3723675004914504704</v>
      </c>
      <c r="F177" s="1" t="str">
        <f t="shared" si="38"/>
        <v>花都四部-凤凰仓</v>
      </c>
      <c r="G177" s="1" t="str">
        <f t="shared" si="43"/>
        <v>卡卡杜企业店（视频号）</v>
      </c>
      <c r="H177" s="1" t="str">
        <f t="shared" si="39"/>
        <v>正常订单</v>
      </c>
      <c r="I177" s="1" t="str">
        <f t="shared" si="40"/>
        <v>已发货</v>
      </c>
      <c r="J177" s="1" t="str">
        <f t="shared" ref="J177:J179" si="54">"2"</f>
        <v>2</v>
      </c>
      <c r="K177" s="1">
        <v>2</v>
      </c>
      <c r="L177" s="1" t="s">
        <v>161</v>
      </c>
      <c r="M177" s="1" t="str">
        <f>"四川省 成都市 郫都区 "</f>
        <v xml:space="preserve">四川省 成都市 郫都区 </v>
      </c>
      <c r="N177" s="1" t="str">
        <f t="shared" si="45"/>
        <v>凡华云仓-城南圆通-微信视频号</v>
      </c>
      <c r="O177" s="5" t="s">
        <v>216</v>
      </c>
      <c r="P177" s="6">
        <v>0.17</v>
      </c>
      <c r="Q177" s="11">
        <v>2</v>
      </c>
      <c r="R177" s="11"/>
      <c r="S177" s="11"/>
      <c r="T177" s="11"/>
      <c r="U177" s="11">
        <f t="shared" si="41"/>
        <v>2</v>
      </c>
      <c r="W177">
        <v>2.2000000000000002</v>
      </c>
      <c r="X177" s="1" t="s">
        <v>161</v>
      </c>
    </row>
    <row r="178" spans="1:24" x14ac:dyDescent="0.25">
      <c r="A178" s="1" t="str">
        <f t="shared" si="37"/>
        <v>卡卡杜-凤凰仓</v>
      </c>
      <c r="B178" s="1" t="str">
        <f>"CK202410311542"</f>
        <v>CK202410311542</v>
      </c>
      <c r="C178" s="1" t="str">
        <f>"DD2024103112682"</f>
        <v>DD2024103112682</v>
      </c>
      <c r="D178" s="1" t="str">
        <f>"CK2024103119077"</f>
        <v>CK2024103119077</v>
      </c>
      <c r="E178" s="1" t="str">
        <f>"3723675033127488512"</f>
        <v>3723675033127488512</v>
      </c>
      <c r="F178" s="1" t="str">
        <f t="shared" si="38"/>
        <v>花都四部-凤凰仓</v>
      </c>
      <c r="G178" s="1" t="str">
        <f t="shared" si="43"/>
        <v>卡卡杜企业店（视频号）</v>
      </c>
      <c r="H178" s="1" t="str">
        <f t="shared" si="39"/>
        <v>正常订单</v>
      </c>
      <c r="I178" s="1" t="str">
        <f t="shared" si="40"/>
        <v>已发货</v>
      </c>
      <c r="J178" s="1" t="str">
        <f t="shared" si="54"/>
        <v>2</v>
      </c>
      <c r="K178" s="1">
        <v>2</v>
      </c>
      <c r="L178" s="1" t="s">
        <v>24</v>
      </c>
      <c r="M178" s="1" t="str">
        <f>"福建省 南平市 建阳区 "</f>
        <v xml:space="preserve">福建省 南平市 建阳区 </v>
      </c>
      <c r="N178" s="1" t="str">
        <f t="shared" si="45"/>
        <v>凡华云仓-城南圆通-微信视频号</v>
      </c>
      <c r="O178" s="5" t="s">
        <v>217</v>
      </c>
      <c r="P178" s="6">
        <v>0.17</v>
      </c>
      <c r="Q178" s="11">
        <v>2</v>
      </c>
      <c r="R178" s="11"/>
      <c r="S178" s="11"/>
      <c r="T178" s="11"/>
      <c r="U178" s="11">
        <f t="shared" si="41"/>
        <v>2</v>
      </c>
      <c r="W178">
        <v>2.2000000000000002</v>
      </c>
      <c r="X178" s="1" t="s">
        <v>24</v>
      </c>
    </row>
    <row r="179" spans="1:24" x14ac:dyDescent="0.25">
      <c r="A179" s="1" t="str">
        <f t="shared" si="37"/>
        <v>卡卡杜-凤凰仓</v>
      </c>
      <c r="B179" s="1" t="str">
        <f>"CK202410311543"</f>
        <v>CK202410311543</v>
      </c>
      <c r="C179" s="1" t="str">
        <f>"DD2024103112683"</f>
        <v>DD2024103112683</v>
      </c>
      <c r="D179" s="1" t="str">
        <f>"CK2024103119076"</f>
        <v>CK2024103119076</v>
      </c>
      <c r="E179" s="1" t="str">
        <f>"3723675023875379200"</f>
        <v>3723675023875379200</v>
      </c>
      <c r="F179" s="1" t="str">
        <f t="shared" si="38"/>
        <v>花都四部-凤凰仓</v>
      </c>
      <c r="G179" s="1" t="str">
        <f t="shared" si="43"/>
        <v>卡卡杜企业店（视频号）</v>
      </c>
      <c r="H179" s="1" t="str">
        <f t="shared" si="39"/>
        <v>正常订单</v>
      </c>
      <c r="I179" s="1" t="str">
        <f t="shared" si="40"/>
        <v>已发货</v>
      </c>
      <c r="J179" s="1" t="str">
        <f t="shared" si="54"/>
        <v>2</v>
      </c>
      <c r="K179" s="1">
        <v>2</v>
      </c>
      <c r="L179" s="1" t="s">
        <v>218</v>
      </c>
      <c r="M179" s="1" t="str">
        <f>"天津 天津市 滨海新区 "</f>
        <v xml:space="preserve">天津 天津市 滨海新区 </v>
      </c>
      <c r="N179" s="1" t="str">
        <f t="shared" si="45"/>
        <v>凡华云仓-城南圆通-微信视频号</v>
      </c>
      <c r="O179" s="5" t="s">
        <v>219</v>
      </c>
      <c r="P179" s="6">
        <v>0.17</v>
      </c>
      <c r="Q179" s="11">
        <v>2</v>
      </c>
      <c r="R179" s="11"/>
      <c r="S179" s="11"/>
      <c r="T179" s="11"/>
      <c r="U179" s="11">
        <f t="shared" si="41"/>
        <v>2</v>
      </c>
      <c r="W179">
        <v>2.2000000000000002</v>
      </c>
      <c r="X179" s="1" t="s">
        <v>218</v>
      </c>
    </row>
    <row r="180" spans="1:24" x14ac:dyDescent="0.25">
      <c r="A180" s="1" t="str">
        <f t="shared" si="37"/>
        <v>卡卡杜-凤凰仓</v>
      </c>
      <c r="B180" s="1" t="str">
        <f>"CK20241031230"</f>
        <v>CK20241031230</v>
      </c>
      <c r="C180" s="1" t="str">
        <f>"DD2024103112451"</f>
        <v>DD2024103112451</v>
      </c>
      <c r="D180" s="1" t="str">
        <f>"CK2024103119075"</f>
        <v>CK2024103119075</v>
      </c>
      <c r="E180" s="1" t="str">
        <f>"3723675025364619264"</f>
        <v>3723675025364619264</v>
      </c>
      <c r="F180" s="1" t="str">
        <f t="shared" si="38"/>
        <v>花都四部-凤凰仓</v>
      </c>
      <c r="G180" s="1" t="str">
        <f t="shared" si="43"/>
        <v>卡卡杜企业店（视频号）</v>
      </c>
      <c r="H180" s="1" t="str">
        <f t="shared" si="39"/>
        <v>正常订单</v>
      </c>
      <c r="I180" s="1" t="str">
        <f t="shared" si="40"/>
        <v>已发货</v>
      </c>
      <c r="J180" s="1" t="str">
        <f>"3"</f>
        <v>3</v>
      </c>
      <c r="K180" s="1">
        <v>2</v>
      </c>
      <c r="L180" s="1" t="s">
        <v>13</v>
      </c>
      <c r="M180" s="1" t="str">
        <f>"江苏省 南通市 崇川区 "</f>
        <v xml:space="preserve">江苏省 南通市 崇川区 </v>
      </c>
      <c r="N180" s="1" t="str">
        <f t="shared" si="45"/>
        <v>凡华云仓-城南圆通-微信视频号</v>
      </c>
      <c r="O180" s="5" t="s">
        <v>220</v>
      </c>
      <c r="P180" s="6">
        <v>0.25</v>
      </c>
      <c r="Q180" s="11">
        <v>2</v>
      </c>
      <c r="R180" s="11"/>
      <c r="S180" s="11"/>
      <c r="T180" s="11"/>
      <c r="U180" s="11">
        <f t="shared" si="41"/>
        <v>2</v>
      </c>
      <c r="W180">
        <v>2.2000000000000002</v>
      </c>
      <c r="X180" s="1" t="s">
        <v>13</v>
      </c>
    </row>
    <row r="181" spans="1:24" x14ac:dyDescent="0.25">
      <c r="A181" s="1" t="str">
        <f t="shared" si="37"/>
        <v>卡卡杜-凤凰仓</v>
      </c>
      <c r="B181" s="1" t="str">
        <f>"CK202410311547"</f>
        <v>CK202410311547</v>
      </c>
      <c r="C181" s="1" t="str">
        <f>"DD2024103112686"</f>
        <v>DD2024103112686</v>
      </c>
      <c r="D181" s="1" t="str">
        <f>"CK2024103119074"</f>
        <v>CK2024103119074</v>
      </c>
      <c r="E181" s="1" t="str">
        <f>"3723675012874243072"</f>
        <v>3723675012874243072</v>
      </c>
      <c r="F181" s="1" t="str">
        <f t="shared" si="38"/>
        <v>花都四部-凤凰仓</v>
      </c>
      <c r="G181" s="1" t="str">
        <f t="shared" si="43"/>
        <v>卡卡杜企业店（视频号）</v>
      </c>
      <c r="H181" s="1" t="str">
        <f t="shared" si="39"/>
        <v>正常订单</v>
      </c>
      <c r="I181" s="1" t="str">
        <f t="shared" si="40"/>
        <v>已发货</v>
      </c>
      <c r="J181" s="1" t="str">
        <f t="shared" ref="J181:J184" si="55">"2"</f>
        <v>2</v>
      </c>
      <c r="K181" s="1">
        <v>2</v>
      </c>
      <c r="L181" s="1" t="s">
        <v>66</v>
      </c>
      <c r="M181" s="1" t="str">
        <f>"内蒙古自治区 阿拉善盟 阿拉善左旗 "</f>
        <v xml:space="preserve">内蒙古自治区 阿拉善盟 阿拉善左旗 </v>
      </c>
      <c r="N181" s="1" t="str">
        <f t="shared" si="45"/>
        <v>凡华云仓-城南圆通-微信视频号</v>
      </c>
      <c r="O181" s="5" t="s">
        <v>221</v>
      </c>
      <c r="P181" s="6">
        <v>0.17</v>
      </c>
      <c r="Q181" s="11">
        <v>2</v>
      </c>
      <c r="R181" s="11"/>
      <c r="S181" s="11"/>
      <c r="T181" s="11"/>
      <c r="U181" s="11">
        <f t="shared" si="41"/>
        <v>2</v>
      </c>
      <c r="W181">
        <v>2.2000000000000002</v>
      </c>
      <c r="X181" s="1" t="s">
        <v>66</v>
      </c>
    </row>
    <row r="182" spans="1:24" x14ac:dyDescent="0.25">
      <c r="A182" s="1" t="str">
        <f t="shared" si="37"/>
        <v>卡卡杜-凤凰仓</v>
      </c>
      <c r="B182" s="1" t="str">
        <f>"CK202410311544"</f>
        <v>CK202410311544</v>
      </c>
      <c r="C182" s="1" t="str">
        <f>"DD2024103112684"</f>
        <v>DD2024103112684</v>
      </c>
      <c r="D182" s="1" t="str">
        <f>"CK2024103119073"</f>
        <v>CK2024103119073</v>
      </c>
      <c r="E182" s="1" t="str">
        <f>"3723675023974731776"</f>
        <v>3723675023974731776</v>
      </c>
      <c r="F182" s="1" t="str">
        <f t="shared" si="38"/>
        <v>花都四部-凤凰仓</v>
      </c>
      <c r="G182" s="1" t="str">
        <f t="shared" si="43"/>
        <v>卡卡杜企业店（视频号）</v>
      </c>
      <c r="H182" s="1" t="str">
        <f t="shared" si="39"/>
        <v>正常订单</v>
      </c>
      <c r="I182" s="1" t="str">
        <f t="shared" si="40"/>
        <v>已发货</v>
      </c>
      <c r="J182" s="1" t="str">
        <f t="shared" si="55"/>
        <v>2</v>
      </c>
      <c r="K182" s="1">
        <v>2</v>
      </c>
      <c r="L182" s="1" t="s">
        <v>20</v>
      </c>
      <c r="M182" s="1" t="str">
        <f>"浙江省 杭州市 拱墅区 "</f>
        <v xml:space="preserve">浙江省 杭州市 拱墅区 </v>
      </c>
      <c r="N182" s="1" t="str">
        <f t="shared" si="45"/>
        <v>凡华云仓-城南圆通-微信视频号</v>
      </c>
      <c r="O182" s="5" t="s">
        <v>222</v>
      </c>
      <c r="P182" s="6">
        <v>0.17</v>
      </c>
      <c r="Q182" s="11">
        <v>2</v>
      </c>
      <c r="R182" s="11"/>
      <c r="S182" s="11"/>
      <c r="T182" s="11"/>
      <c r="U182" s="11">
        <f t="shared" si="41"/>
        <v>2</v>
      </c>
      <c r="W182">
        <v>2.2000000000000002</v>
      </c>
      <c r="X182" s="1" t="s">
        <v>20</v>
      </c>
    </row>
    <row r="183" spans="1:24" x14ac:dyDescent="0.25">
      <c r="A183" s="1" t="str">
        <f t="shared" si="37"/>
        <v>卡卡杜-凤凰仓</v>
      </c>
      <c r="B183" s="1" t="str">
        <f>"CK202410311545"</f>
        <v>CK202410311545</v>
      </c>
      <c r="C183" s="1" t="str">
        <f>"DD2024103112685"</f>
        <v>DD2024103112685</v>
      </c>
      <c r="D183" s="1" t="str">
        <f>"CK2024103119072"</f>
        <v>CK2024103119072</v>
      </c>
      <c r="E183" s="1" t="str">
        <f>"3723675020582323712"</f>
        <v>3723675020582323712</v>
      </c>
      <c r="F183" s="1" t="str">
        <f t="shared" si="38"/>
        <v>花都四部-凤凰仓</v>
      </c>
      <c r="G183" s="1" t="str">
        <f t="shared" si="43"/>
        <v>卡卡杜企业店（视频号）</v>
      </c>
      <c r="H183" s="1" t="str">
        <f t="shared" si="39"/>
        <v>正常订单</v>
      </c>
      <c r="I183" s="1" t="str">
        <f t="shared" si="40"/>
        <v>已发货</v>
      </c>
      <c r="J183" s="1" t="str">
        <f t="shared" si="55"/>
        <v>2</v>
      </c>
      <c r="K183" s="1">
        <v>2</v>
      </c>
      <c r="L183" s="1" t="s">
        <v>30</v>
      </c>
      <c r="M183" s="1" t="str">
        <f>"山东省 东营市 东营区 "</f>
        <v xml:space="preserve">山东省 东营市 东营区 </v>
      </c>
      <c r="N183" s="1" t="str">
        <f t="shared" si="45"/>
        <v>凡华云仓-城南圆通-微信视频号</v>
      </c>
      <c r="O183" s="5" t="s">
        <v>223</v>
      </c>
      <c r="P183" s="6">
        <v>0.17</v>
      </c>
      <c r="Q183" s="11">
        <v>2</v>
      </c>
      <c r="R183" s="11"/>
      <c r="S183" s="11"/>
      <c r="T183" s="11"/>
      <c r="U183" s="11">
        <f t="shared" si="41"/>
        <v>2</v>
      </c>
      <c r="W183">
        <v>2.2000000000000002</v>
      </c>
      <c r="X183" s="1" t="s">
        <v>30</v>
      </c>
    </row>
    <row r="184" spans="1:24" x14ac:dyDescent="0.25">
      <c r="A184" s="1" t="str">
        <f t="shared" si="37"/>
        <v>卡卡杜-凤凰仓</v>
      </c>
      <c r="B184" s="1" t="str">
        <f>"CK202410311546"</f>
        <v>CK202410311546</v>
      </c>
      <c r="C184" s="1" t="str">
        <f>"DD2024103112687"</f>
        <v>DD2024103112687</v>
      </c>
      <c r="D184" s="1" t="str">
        <f>"CK2024103119071"</f>
        <v>CK2024103119071</v>
      </c>
      <c r="E184" s="1" t="str">
        <f>"3723675019294673920"</f>
        <v>3723675019294673920</v>
      </c>
      <c r="F184" s="1" t="str">
        <f t="shared" si="38"/>
        <v>花都四部-凤凰仓</v>
      </c>
      <c r="G184" s="1" t="str">
        <f t="shared" si="43"/>
        <v>卡卡杜企业店（视频号）</v>
      </c>
      <c r="H184" s="1" t="str">
        <f t="shared" si="39"/>
        <v>正常订单</v>
      </c>
      <c r="I184" s="1" t="str">
        <f t="shared" si="40"/>
        <v>已发货</v>
      </c>
      <c r="J184" s="1" t="str">
        <f t="shared" si="55"/>
        <v>2</v>
      </c>
      <c r="K184" s="1">
        <v>2</v>
      </c>
      <c r="L184" s="1" t="s">
        <v>22</v>
      </c>
      <c r="M184" s="1" t="str">
        <f>"江西省 宜春市 上高县 "</f>
        <v xml:space="preserve">江西省 宜春市 上高县 </v>
      </c>
      <c r="N184" s="1" t="str">
        <f t="shared" si="45"/>
        <v>凡华云仓-城南圆通-微信视频号</v>
      </c>
      <c r="O184" s="5" t="s">
        <v>224</v>
      </c>
      <c r="P184" s="6">
        <v>0.17</v>
      </c>
      <c r="Q184" s="11">
        <v>2</v>
      </c>
      <c r="R184" s="11"/>
      <c r="S184" s="11"/>
      <c r="T184" s="11"/>
      <c r="U184" s="11">
        <f t="shared" si="41"/>
        <v>2</v>
      </c>
      <c r="W184">
        <v>2.2000000000000002</v>
      </c>
      <c r="X184" s="1" t="s">
        <v>22</v>
      </c>
    </row>
    <row r="185" spans="1:24" x14ac:dyDescent="0.25">
      <c r="A185" s="1" t="str">
        <f t="shared" si="37"/>
        <v>卡卡杜-凤凰仓</v>
      </c>
      <c r="B185" s="1" t="str">
        <f>"CK20241031249"</f>
        <v>CK20241031249</v>
      </c>
      <c r="C185" s="1" t="str">
        <f>"DD2024103112476"</f>
        <v>DD2024103112476</v>
      </c>
      <c r="D185" s="1" t="str">
        <f>"CK2024103119070"</f>
        <v>CK2024103119070</v>
      </c>
      <c r="E185" s="1" t="str">
        <f>"3723675016584889601"</f>
        <v>3723675016584889601</v>
      </c>
      <c r="F185" s="1" t="str">
        <f t="shared" si="38"/>
        <v>花都四部-凤凰仓</v>
      </c>
      <c r="G185" s="1" t="str">
        <f t="shared" si="43"/>
        <v>卡卡杜企业店（视频号）</v>
      </c>
      <c r="H185" s="1" t="str">
        <f t="shared" si="39"/>
        <v>正常订单</v>
      </c>
      <c r="I185" s="1" t="str">
        <f t="shared" si="40"/>
        <v>已发货</v>
      </c>
      <c r="J185" s="1" t="str">
        <f t="shared" ref="J185:J190" si="56">"3"</f>
        <v>3</v>
      </c>
      <c r="K185" s="1">
        <v>2</v>
      </c>
      <c r="L185" s="1" t="s">
        <v>16</v>
      </c>
      <c r="M185" s="1" t="str">
        <f>"河北省 廊坊市 固安县 "</f>
        <v xml:space="preserve">河北省 廊坊市 固安县 </v>
      </c>
      <c r="N185" s="1" t="str">
        <f t="shared" si="45"/>
        <v>凡华云仓-城南圆通-微信视频号</v>
      </c>
      <c r="O185" s="5" t="s">
        <v>225</v>
      </c>
      <c r="P185" s="6">
        <v>0.25</v>
      </c>
      <c r="Q185" s="11">
        <v>2</v>
      </c>
      <c r="R185" s="11"/>
      <c r="S185" s="11"/>
      <c r="T185" s="11"/>
      <c r="U185" s="11">
        <f t="shared" si="41"/>
        <v>2</v>
      </c>
      <c r="W185">
        <v>2.2000000000000002</v>
      </c>
      <c r="X185" s="1" t="s">
        <v>16</v>
      </c>
    </row>
    <row r="186" spans="1:24" x14ac:dyDescent="0.25">
      <c r="A186" s="1" t="str">
        <f t="shared" si="37"/>
        <v>卡卡杜-凤凰仓</v>
      </c>
      <c r="B186" s="1" t="str">
        <f>"CK202410311548"</f>
        <v>CK202410311548</v>
      </c>
      <c r="C186" s="1" t="str">
        <f>"DD2024103112689"</f>
        <v>DD2024103112689</v>
      </c>
      <c r="D186" s="1" t="str">
        <f>"CK2024103119069"</f>
        <v>CK2024103119069</v>
      </c>
      <c r="E186" s="1" t="str">
        <f>"3723675015375622144"</f>
        <v>3723675015375622144</v>
      </c>
      <c r="F186" s="1" t="str">
        <f t="shared" si="38"/>
        <v>花都四部-凤凰仓</v>
      </c>
      <c r="G186" s="1" t="str">
        <f t="shared" si="43"/>
        <v>卡卡杜企业店（视频号）</v>
      </c>
      <c r="H186" s="1" t="str">
        <f t="shared" si="39"/>
        <v>正常订单</v>
      </c>
      <c r="I186" s="1" t="str">
        <f t="shared" si="40"/>
        <v>已发货</v>
      </c>
      <c r="J186" s="1" t="str">
        <f t="shared" ref="J186:J189" si="57">"2"</f>
        <v>2</v>
      </c>
      <c r="K186" s="1">
        <v>2</v>
      </c>
      <c r="L186" s="1" t="s">
        <v>187</v>
      </c>
      <c r="M186" s="1" t="str">
        <f>"吉林省 长春市 二道区 "</f>
        <v xml:space="preserve">吉林省 长春市 二道区 </v>
      </c>
      <c r="N186" s="1" t="str">
        <f t="shared" si="45"/>
        <v>凡华云仓-城南圆通-微信视频号</v>
      </c>
      <c r="O186" s="5" t="s">
        <v>226</v>
      </c>
      <c r="P186" s="6">
        <v>0.17</v>
      </c>
      <c r="Q186" s="11">
        <v>2</v>
      </c>
      <c r="R186" s="11"/>
      <c r="S186" s="11"/>
      <c r="T186" s="11"/>
      <c r="U186" s="11">
        <f t="shared" si="41"/>
        <v>2</v>
      </c>
      <c r="W186">
        <v>2.2000000000000002</v>
      </c>
      <c r="X186" s="1" t="s">
        <v>187</v>
      </c>
    </row>
    <row r="187" spans="1:24" x14ac:dyDescent="0.25">
      <c r="A187" s="1" t="str">
        <f t="shared" si="37"/>
        <v>卡卡杜-凤凰仓</v>
      </c>
      <c r="B187" s="1" t="str">
        <f>"CK20241031225"</f>
        <v>CK20241031225</v>
      </c>
      <c r="C187" s="1" t="str">
        <f>"DD2024103112445"</f>
        <v>DD2024103112445</v>
      </c>
      <c r="D187" s="1" t="str">
        <f>"CK2024103119068"</f>
        <v>CK2024103119068</v>
      </c>
      <c r="E187" s="1" t="str">
        <f>"3723675014763775232"</f>
        <v>3723675014763775232</v>
      </c>
      <c r="F187" s="1" t="str">
        <f t="shared" si="38"/>
        <v>花都四部-凤凰仓</v>
      </c>
      <c r="G187" s="1" t="str">
        <f t="shared" si="43"/>
        <v>卡卡杜企业店（视频号）</v>
      </c>
      <c r="H187" s="1" t="str">
        <f t="shared" si="39"/>
        <v>正常订单</v>
      </c>
      <c r="I187" s="1" t="str">
        <f t="shared" si="40"/>
        <v>已发货</v>
      </c>
      <c r="J187" s="1" t="str">
        <f t="shared" si="56"/>
        <v>3</v>
      </c>
      <c r="K187" s="1">
        <v>2</v>
      </c>
      <c r="L187" s="1" t="s">
        <v>18</v>
      </c>
      <c r="M187" s="1" t="str">
        <f>"广东省 深圳市 南山区 "</f>
        <v xml:space="preserve">广东省 深圳市 南山区 </v>
      </c>
      <c r="N187" s="1" t="str">
        <f t="shared" si="45"/>
        <v>凡华云仓-城南圆通-微信视频号</v>
      </c>
      <c r="O187" s="5" t="s">
        <v>227</v>
      </c>
      <c r="P187" s="6">
        <v>0.25</v>
      </c>
      <c r="Q187" s="11">
        <v>2</v>
      </c>
      <c r="R187" s="11"/>
      <c r="S187" s="11"/>
      <c r="T187" s="11"/>
      <c r="U187" s="11">
        <f t="shared" si="41"/>
        <v>2</v>
      </c>
      <c r="W187">
        <v>2.2000000000000002</v>
      </c>
      <c r="X187" s="1" t="s">
        <v>18</v>
      </c>
    </row>
    <row r="188" spans="1:24" x14ac:dyDescent="0.25">
      <c r="A188" s="1" t="str">
        <f t="shared" si="37"/>
        <v>卡卡杜-凤凰仓</v>
      </c>
      <c r="B188" s="1" t="str">
        <f>"CK202410311549"</f>
        <v>CK202410311549</v>
      </c>
      <c r="C188" s="1" t="str">
        <f>"DD2024103112688"</f>
        <v>DD2024103112688</v>
      </c>
      <c r="D188" s="1" t="str">
        <f>"CK2024103119067"</f>
        <v>CK2024103119067</v>
      </c>
      <c r="E188" s="1" t="str">
        <f>"3723675014379472128"</f>
        <v>3723675014379472128</v>
      </c>
      <c r="F188" s="1" t="str">
        <f t="shared" si="38"/>
        <v>花都四部-凤凰仓</v>
      </c>
      <c r="G188" s="1" t="str">
        <f t="shared" si="43"/>
        <v>卡卡杜企业店（视频号）</v>
      </c>
      <c r="H188" s="1" t="str">
        <f t="shared" si="39"/>
        <v>正常订单</v>
      </c>
      <c r="I188" s="1" t="str">
        <f t="shared" si="40"/>
        <v>已发货</v>
      </c>
      <c r="J188" s="1" t="str">
        <f t="shared" si="57"/>
        <v>2</v>
      </c>
      <c r="K188" s="1">
        <v>2</v>
      </c>
      <c r="L188" s="1" t="s">
        <v>161</v>
      </c>
      <c r="M188" s="1" t="str">
        <f>"四川省 成都市 温江区 "</f>
        <v xml:space="preserve">四川省 成都市 温江区 </v>
      </c>
      <c r="N188" s="1" t="str">
        <f t="shared" si="45"/>
        <v>凡华云仓-城南圆通-微信视频号</v>
      </c>
      <c r="O188" s="5" t="s">
        <v>228</v>
      </c>
      <c r="P188" s="6">
        <v>0.17</v>
      </c>
      <c r="Q188" s="11">
        <v>2</v>
      </c>
      <c r="R188" s="11"/>
      <c r="S188" s="11"/>
      <c r="T188" s="11"/>
      <c r="U188" s="11">
        <f t="shared" si="41"/>
        <v>2</v>
      </c>
      <c r="W188">
        <v>2.2000000000000002</v>
      </c>
      <c r="X188" s="1" t="s">
        <v>161</v>
      </c>
    </row>
    <row r="189" spans="1:24" x14ac:dyDescent="0.25">
      <c r="A189" s="1" t="str">
        <f t="shared" si="37"/>
        <v>卡卡杜-凤凰仓</v>
      </c>
      <c r="B189" s="1" t="str">
        <f>"CK202410311550"</f>
        <v>CK202410311550</v>
      </c>
      <c r="C189" s="1" t="str">
        <f>"DD2024103112690"</f>
        <v>DD2024103112690</v>
      </c>
      <c r="D189" s="1" t="str">
        <f>"CK2024103119066"</f>
        <v>CK2024103119066</v>
      </c>
      <c r="E189" s="1" t="str">
        <f>"3723675010741702656"</f>
        <v>3723675010741702656</v>
      </c>
      <c r="F189" s="1" t="str">
        <f t="shared" si="38"/>
        <v>花都四部-凤凰仓</v>
      </c>
      <c r="G189" s="1" t="str">
        <f t="shared" si="43"/>
        <v>卡卡杜企业店（视频号）</v>
      </c>
      <c r="H189" s="1" t="str">
        <f t="shared" si="39"/>
        <v>正常订单</v>
      </c>
      <c r="I189" s="1" t="str">
        <f t="shared" si="40"/>
        <v>已发货</v>
      </c>
      <c r="J189" s="1" t="str">
        <f t="shared" si="57"/>
        <v>2</v>
      </c>
      <c r="K189" s="1">
        <v>2</v>
      </c>
      <c r="L189" s="1" t="s">
        <v>20</v>
      </c>
      <c r="M189" s="1" t="str">
        <f>"浙江省 嘉兴市 秀洲区 "</f>
        <v xml:space="preserve">浙江省 嘉兴市 秀洲区 </v>
      </c>
      <c r="N189" s="1" t="str">
        <f t="shared" si="45"/>
        <v>凡华云仓-城南圆通-微信视频号</v>
      </c>
      <c r="O189" s="5" t="s">
        <v>229</v>
      </c>
      <c r="P189" s="6">
        <v>0.17</v>
      </c>
      <c r="Q189" s="11">
        <v>2</v>
      </c>
      <c r="R189" s="11"/>
      <c r="S189" s="11"/>
      <c r="T189" s="11"/>
      <c r="U189" s="11">
        <f t="shared" si="41"/>
        <v>2</v>
      </c>
      <c r="W189">
        <v>2.2000000000000002</v>
      </c>
      <c r="X189" s="1" t="s">
        <v>20</v>
      </c>
    </row>
    <row r="190" spans="1:24" x14ac:dyDescent="0.25">
      <c r="A190" s="1" t="str">
        <f t="shared" si="37"/>
        <v>卡卡杜-凤凰仓</v>
      </c>
      <c r="B190" s="1" t="str">
        <f>"CK20241031207"</f>
        <v>CK20241031207</v>
      </c>
      <c r="C190" s="1" t="str">
        <f>"DD2024103112428"</f>
        <v>DD2024103112428</v>
      </c>
      <c r="D190" s="1" t="str">
        <f>"CK2024103119065"</f>
        <v>CK2024103119065</v>
      </c>
      <c r="E190" s="1" t="str">
        <f>"3723675007163958785"</f>
        <v>3723675007163958785</v>
      </c>
      <c r="F190" s="1" t="str">
        <f t="shared" si="38"/>
        <v>花都四部-凤凰仓</v>
      </c>
      <c r="G190" s="1" t="str">
        <f t="shared" si="43"/>
        <v>卡卡杜企业店（视频号）</v>
      </c>
      <c r="H190" s="1" t="str">
        <f t="shared" si="39"/>
        <v>正常订单</v>
      </c>
      <c r="I190" s="1" t="str">
        <f t="shared" si="40"/>
        <v>已发货</v>
      </c>
      <c r="J190" s="1" t="str">
        <f t="shared" si="56"/>
        <v>3</v>
      </c>
      <c r="K190" s="1">
        <v>2</v>
      </c>
      <c r="L190" s="1" t="s">
        <v>16</v>
      </c>
      <c r="M190" s="1" t="str">
        <f>"河北省 保定市 涿州市 "</f>
        <v xml:space="preserve">河北省 保定市 涿州市 </v>
      </c>
      <c r="N190" s="1" t="str">
        <f t="shared" si="45"/>
        <v>凡华云仓-城南圆通-微信视频号</v>
      </c>
      <c r="O190" s="5" t="s">
        <v>230</v>
      </c>
      <c r="P190" s="6">
        <v>0.25</v>
      </c>
      <c r="Q190" s="11">
        <v>2</v>
      </c>
      <c r="R190" s="11"/>
      <c r="S190" s="11"/>
      <c r="T190" s="11"/>
      <c r="U190" s="11">
        <f t="shared" si="41"/>
        <v>2</v>
      </c>
      <c r="W190">
        <v>2.2000000000000002</v>
      </c>
      <c r="X190" s="1" t="s">
        <v>16</v>
      </c>
    </row>
    <row r="191" spans="1:24" x14ac:dyDescent="0.25">
      <c r="A191" s="1" t="str">
        <f t="shared" si="37"/>
        <v>卡卡杜-凤凰仓</v>
      </c>
      <c r="B191" s="1" t="str">
        <f>"CK202410311551"</f>
        <v>CK202410311551</v>
      </c>
      <c r="C191" s="1" t="str">
        <f>"DD2024103112691"</f>
        <v>DD2024103112691</v>
      </c>
      <c r="D191" s="1" t="str">
        <f>"CK2024103119064"</f>
        <v>CK2024103119064</v>
      </c>
      <c r="E191" s="1" t="str">
        <f>"3723675008934479104"</f>
        <v>3723675008934479104</v>
      </c>
      <c r="F191" s="1" t="str">
        <f t="shared" si="38"/>
        <v>花都四部-凤凰仓</v>
      </c>
      <c r="G191" s="1" t="str">
        <f t="shared" si="43"/>
        <v>卡卡杜企业店（视频号）</v>
      </c>
      <c r="H191" s="1" t="str">
        <f t="shared" si="39"/>
        <v>正常订单</v>
      </c>
      <c r="I191" s="1" t="str">
        <f t="shared" si="40"/>
        <v>已发货</v>
      </c>
      <c r="J191" s="1" t="str">
        <f t="shared" ref="J191:J194" si="58">"2"</f>
        <v>2</v>
      </c>
      <c r="K191" s="1">
        <v>2</v>
      </c>
      <c r="L191" s="1" t="s">
        <v>18</v>
      </c>
      <c r="M191" s="1" t="str">
        <f>"广东省 广州市 天河区 "</f>
        <v xml:space="preserve">广东省 广州市 天河区 </v>
      </c>
      <c r="N191" s="1" t="str">
        <f t="shared" si="45"/>
        <v>凡华云仓-城南圆通-微信视频号</v>
      </c>
      <c r="O191" s="5" t="s">
        <v>231</v>
      </c>
      <c r="P191" s="6">
        <v>0.17</v>
      </c>
      <c r="Q191" s="11">
        <v>2</v>
      </c>
      <c r="R191" s="11"/>
      <c r="S191" s="11"/>
      <c r="T191" s="11"/>
      <c r="U191" s="11">
        <f t="shared" si="41"/>
        <v>2</v>
      </c>
      <c r="W191">
        <v>2.2000000000000002</v>
      </c>
      <c r="X191" s="1" t="s">
        <v>18</v>
      </c>
    </row>
    <row r="192" spans="1:24" x14ac:dyDescent="0.25">
      <c r="A192" s="1" t="str">
        <f t="shared" si="37"/>
        <v>卡卡杜-凤凰仓</v>
      </c>
      <c r="B192" s="1" t="str">
        <f>"CK202410311552"</f>
        <v>CK202410311552</v>
      </c>
      <c r="C192" s="1" t="str">
        <f>"DD2024103112692"</f>
        <v>DD2024103112692</v>
      </c>
      <c r="D192" s="1" t="str">
        <f>"CK2024103119063"</f>
        <v>CK2024103119063</v>
      </c>
      <c r="E192" s="1" t="str">
        <f>"3723675009321927937"</f>
        <v>3723675009321927937</v>
      </c>
      <c r="F192" s="1" t="str">
        <f t="shared" si="38"/>
        <v>花都四部-凤凰仓</v>
      </c>
      <c r="G192" s="1" t="str">
        <f t="shared" si="43"/>
        <v>卡卡杜企业店（视频号）</v>
      </c>
      <c r="H192" s="1" t="str">
        <f t="shared" si="39"/>
        <v>正常订单</v>
      </c>
      <c r="I192" s="1" t="str">
        <f t="shared" si="40"/>
        <v>已发货</v>
      </c>
      <c r="J192" s="1" t="str">
        <f t="shared" si="58"/>
        <v>2</v>
      </c>
      <c r="K192" s="1">
        <v>2</v>
      </c>
      <c r="L192" s="1" t="s">
        <v>94</v>
      </c>
      <c r="M192" s="1" t="str">
        <f>"湖南省 永州市 祁阳县 "</f>
        <v xml:space="preserve">湖南省 永州市 祁阳县 </v>
      </c>
      <c r="N192" s="1" t="str">
        <f t="shared" si="45"/>
        <v>凡华云仓-城南圆通-微信视频号</v>
      </c>
      <c r="O192" s="5" t="s">
        <v>232</v>
      </c>
      <c r="P192" s="6">
        <v>0.17</v>
      </c>
      <c r="Q192" s="11">
        <v>2</v>
      </c>
      <c r="R192" s="11"/>
      <c r="S192" s="11"/>
      <c r="T192" s="11"/>
      <c r="U192" s="11">
        <f t="shared" si="41"/>
        <v>2</v>
      </c>
      <c r="W192">
        <v>2.2000000000000002</v>
      </c>
      <c r="X192" s="1" t="s">
        <v>94</v>
      </c>
    </row>
    <row r="193" spans="1:24" x14ac:dyDescent="0.25">
      <c r="A193" s="1" t="str">
        <f t="shared" si="37"/>
        <v>卡卡杜-凤凰仓</v>
      </c>
      <c r="B193" s="1" t="str">
        <f>"CK202410311553"</f>
        <v>CK202410311553</v>
      </c>
      <c r="C193" s="1" t="str">
        <f>"DD2024103112693"</f>
        <v>DD2024103112693</v>
      </c>
      <c r="D193" s="1" t="str">
        <f>"CK2024103119062"</f>
        <v>CK2024103119062</v>
      </c>
      <c r="E193" s="1" t="str">
        <f>"3723675007251518464"</f>
        <v>3723675007251518464</v>
      </c>
      <c r="F193" s="1" t="str">
        <f t="shared" si="38"/>
        <v>花都四部-凤凰仓</v>
      </c>
      <c r="G193" s="1" t="str">
        <f t="shared" si="43"/>
        <v>卡卡杜企业店（视频号）</v>
      </c>
      <c r="H193" s="1" t="str">
        <f t="shared" si="39"/>
        <v>正常订单</v>
      </c>
      <c r="I193" s="1" t="str">
        <f t="shared" si="40"/>
        <v>已发货</v>
      </c>
      <c r="J193" s="1" t="str">
        <f t="shared" si="58"/>
        <v>2</v>
      </c>
      <c r="K193" s="1">
        <v>2</v>
      </c>
      <c r="L193" s="1" t="s">
        <v>94</v>
      </c>
      <c r="M193" s="1" t="str">
        <f>"湖南省 衡阳市 蒸湘区 "</f>
        <v xml:space="preserve">湖南省 衡阳市 蒸湘区 </v>
      </c>
      <c r="N193" s="1" t="str">
        <f t="shared" si="45"/>
        <v>凡华云仓-城南圆通-微信视频号</v>
      </c>
      <c r="O193" s="5" t="s">
        <v>233</v>
      </c>
      <c r="P193" s="6">
        <v>0.17</v>
      </c>
      <c r="Q193" s="11">
        <v>2</v>
      </c>
      <c r="R193" s="11"/>
      <c r="S193" s="11"/>
      <c r="T193" s="11"/>
      <c r="U193" s="11">
        <f t="shared" si="41"/>
        <v>2</v>
      </c>
      <c r="W193">
        <v>2.2000000000000002</v>
      </c>
      <c r="X193" s="1" t="s">
        <v>94</v>
      </c>
    </row>
    <row r="194" spans="1:24" x14ac:dyDescent="0.25">
      <c r="A194" s="1" t="str">
        <f t="shared" ref="A194:A257" si="59">"卡卡杜-凤凰仓"</f>
        <v>卡卡杜-凤凰仓</v>
      </c>
      <c r="B194" s="1" t="str">
        <f>"CK202410311554"</f>
        <v>CK202410311554</v>
      </c>
      <c r="C194" s="1" t="str">
        <f>"DD2024103112694"</f>
        <v>DD2024103112694</v>
      </c>
      <c r="D194" s="1" t="str">
        <f>"CK2024103119061"</f>
        <v>CK2024103119061</v>
      </c>
      <c r="E194" s="1" t="str">
        <f>"3723675006718053376"</f>
        <v>3723675006718053376</v>
      </c>
      <c r="F194" s="1" t="str">
        <f t="shared" ref="F194:F257" si="60">"花都四部-凤凰仓"</f>
        <v>花都四部-凤凰仓</v>
      </c>
      <c r="G194" s="1" t="str">
        <f t="shared" si="43"/>
        <v>卡卡杜企业店（视频号）</v>
      </c>
      <c r="H194" s="1" t="str">
        <f t="shared" ref="H194:H257" si="61">"正常订单"</f>
        <v>正常订单</v>
      </c>
      <c r="I194" s="1" t="str">
        <f t="shared" ref="I194:I257" si="62">"已发货"</f>
        <v>已发货</v>
      </c>
      <c r="J194" s="1" t="str">
        <f t="shared" si="58"/>
        <v>2</v>
      </c>
      <c r="K194" s="1">
        <v>2</v>
      </c>
      <c r="L194" s="1" t="s">
        <v>161</v>
      </c>
      <c r="M194" s="1" t="str">
        <f>"四川省 绵阳市 涪城区 "</f>
        <v xml:space="preserve">四川省 绵阳市 涪城区 </v>
      </c>
      <c r="N194" s="1" t="str">
        <f t="shared" si="45"/>
        <v>凡华云仓-城南圆通-微信视频号</v>
      </c>
      <c r="O194" s="5" t="s">
        <v>234</v>
      </c>
      <c r="P194" s="6">
        <v>0.17</v>
      </c>
      <c r="Q194" s="11">
        <v>2</v>
      </c>
      <c r="R194" s="11"/>
      <c r="S194" s="11"/>
      <c r="T194" s="11"/>
      <c r="U194" s="11">
        <f t="shared" si="41"/>
        <v>2</v>
      </c>
      <c r="W194">
        <v>2.2000000000000002</v>
      </c>
      <c r="X194" s="1" t="s">
        <v>161</v>
      </c>
    </row>
    <row r="195" spans="1:24" x14ac:dyDescent="0.25">
      <c r="A195" s="1" t="str">
        <f t="shared" si="59"/>
        <v>卡卡杜-凤凰仓</v>
      </c>
      <c r="B195" s="1" t="str">
        <f>"CK20241031227"</f>
        <v>CK20241031227</v>
      </c>
      <c r="C195" s="1" t="str">
        <f>"DD2024103112448"</f>
        <v>DD2024103112448</v>
      </c>
      <c r="D195" s="1" t="str">
        <f>"CK2024103119060"</f>
        <v>CK2024103119060</v>
      </c>
      <c r="E195" s="1" t="str">
        <f>"3723675006731158784"</f>
        <v>3723675006731158784</v>
      </c>
      <c r="F195" s="1" t="str">
        <f t="shared" si="60"/>
        <v>花都四部-凤凰仓</v>
      </c>
      <c r="G195" s="1" t="str">
        <f t="shared" si="43"/>
        <v>卡卡杜企业店（视频号）</v>
      </c>
      <c r="H195" s="1" t="str">
        <f t="shared" si="61"/>
        <v>正常订单</v>
      </c>
      <c r="I195" s="1" t="str">
        <f t="shared" si="62"/>
        <v>已发货</v>
      </c>
      <c r="J195" s="1" t="str">
        <f>"3"</f>
        <v>3</v>
      </c>
      <c r="K195" s="1">
        <v>2</v>
      </c>
      <c r="L195" s="1" t="s">
        <v>187</v>
      </c>
      <c r="M195" s="1" t="str">
        <f>"吉林省 长春市 南关区 "</f>
        <v xml:space="preserve">吉林省 长春市 南关区 </v>
      </c>
      <c r="N195" s="1" t="str">
        <f t="shared" si="45"/>
        <v>凡华云仓-城南圆通-微信视频号</v>
      </c>
      <c r="O195" s="5" t="s">
        <v>235</v>
      </c>
      <c r="P195" s="6">
        <v>0.25</v>
      </c>
      <c r="Q195" s="11">
        <v>2</v>
      </c>
      <c r="R195" s="11"/>
      <c r="S195" s="11"/>
      <c r="T195" s="11"/>
      <c r="U195" s="11">
        <f t="shared" ref="U195:U258" si="63">T195+S195+R195+Q195</f>
        <v>2</v>
      </c>
      <c r="W195">
        <v>2.2000000000000002</v>
      </c>
      <c r="X195" s="1" t="s">
        <v>187</v>
      </c>
    </row>
    <row r="196" spans="1:24" x14ac:dyDescent="0.25">
      <c r="A196" s="1" t="str">
        <f t="shared" si="59"/>
        <v>卡卡杜-凤凰仓</v>
      </c>
      <c r="B196" s="1" t="str">
        <f>"CK20241031131"</f>
        <v>CK20241031131</v>
      </c>
      <c r="C196" s="1" t="str">
        <f>"DD2024103112299"</f>
        <v>DD2024103112299</v>
      </c>
      <c r="D196" s="1" t="str">
        <f>"CK2024103119059"</f>
        <v>CK2024103119059</v>
      </c>
      <c r="E196" s="1" t="str">
        <f>"3723675004875969536"</f>
        <v>3723675004875969536</v>
      </c>
      <c r="F196" s="1" t="str">
        <f t="shared" si="60"/>
        <v>花都四部-凤凰仓</v>
      </c>
      <c r="G196" s="1" t="str">
        <f t="shared" si="43"/>
        <v>卡卡杜企业店（视频号）</v>
      </c>
      <c r="H196" s="1" t="str">
        <f t="shared" si="61"/>
        <v>正常订单</v>
      </c>
      <c r="I196" s="1" t="str">
        <f t="shared" si="62"/>
        <v>已发货</v>
      </c>
      <c r="J196" s="1" t="str">
        <f>"3"</f>
        <v>3</v>
      </c>
      <c r="K196" s="1">
        <v>2</v>
      </c>
      <c r="L196" s="1" t="s">
        <v>16</v>
      </c>
      <c r="M196" s="1" t="str">
        <f>"河北省 沧州市 黄骅市 "</f>
        <v xml:space="preserve">河北省 沧州市 黄骅市 </v>
      </c>
      <c r="N196" s="1" t="str">
        <f t="shared" si="45"/>
        <v>凡华云仓-城南圆通-微信视频号</v>
      </c>
      <c r="O196" s="5" t="s">
        <v>236</v>
      </c>
      <c r="P196" s="6">
        <v>0.25</v>
      </c>
      <c r="Q196" s="11">
        <v>2</v>
      </c>
      <c r="R196" s="11"/>
      <c r="S196" s="11"/>
      <c r="T196" s="11"/>
      <c r="U196" s="11">
        <f t="shared" si="63"/>
        <v>2</v>
      </c>
      <c r="W196">
        <v>2.2000000000000002</v>
      </c>
      <c r="X196" s="1" t="s">
        <v>16</v>
      </c>
    </row>
    <row r="197" spans="1:24" x14ac:dyDescent="0.25">
      <c r="A197" s="1" t="str">
        <f t="shared" si="59"/>
        <v>卡卡杜-凤凰仓</v>
      </c>
      <c r="B197" s="1" t="str">
        <f>"CK202410311560"</f>
        <v>CK202410311560</v>
      </c>
      <c r="C197" s="1" t="str">
        <f>"DD2024103112700"</f>
        <v>DD2024103112700</v>
      </c>
      <c r="D197" s="1" t="str">
        <f>"CK2024103119058"</f>
        <v>CK2024103119058</v>
      </c>
      <c r="E197" s="1" t="str">
        <f>"3723674997690862592"</f>
        <v>3723674997690862592</v>
      </c>
      <c r="F197" s="1" t="str">
        <f t="shared" si="60"/>
        <v>花都四部-凤凰仓</v>
      </c>
      <c r="G197" s="1" t="str">
        <f t="shared" si="43"/>
        <v>卡卡杜企业店（视频号）</v>
      </c>
      <c r="H197" s="1" t="str">
        <f t="shared" si="61"/>
        <v>正常订单</v>
      </c>
      <c r="I197" s="1" t="str">
        <f t="shared" si="62"/>
        <v>已发货</v>
      </c>
      <c r="J197" s="1" t="str">
        <f t="shared" ref="J197:J205" si="64">"2"</f>
        <v>2</v>
      </c>
      <c r="K197" s="1">
        <v>2</v>
      </c>
      <c r="L197" s="1" t="s">
        <v>18</v>
      </c>
      <c r="M197" s="1" t="str">
        <f>"广东省 佛山市 禅城区 "</f>
        <v xml:space="preserve">广东省 佛山市 禅城区 </v>
      </c>
      <c r="N197" s="1" t="str">
        <f t="shared" si="45"/>
        <v>凡华云仓-城南圆通-微信视频号</v>
      </c>
      <c r="O197" s="5" t="s">
        <v>237</v>
      </c>
      <c r="P197" s="6">
        <v>0.17</v>
      </c>
      <c r="Q197" s="11">
        <v>2</v>
      </c>
      <c r="R197" s="11"/>
      <c r="S197" s="11"/>
      <c r="T197" s="11"/>
      <c r="U197" s="11">
        <f t="shared" si="63"/>
        <v>2</v>
      </c>
      <c r="W197">
        <v>2.2000000000000002</v>
      </c>
      <c r="X197" s="1" t="s">
        <v>18</v>
      </c>
    </row>
    <row r="198" spans="1:24" x14ac:dyDescent="0.25">
      <c r="A198" s="1" t="str">
        <f t="shared" si="59"/>
        <v>卡卡杜-凤凰仓</v>
      </c>
      <c r="B198" s="1" t="str">
        <f>"CK202410311555"</f>
        <v>CK202410311555</v>
      </c>
      <c r="C198" s="1" t="str">
        <f>"DD2024103112696"</f>
        <v>DD2024103112696</v>
      </c>
      <c r="D198" s="1" t="str">
        <f>"CK2024103119057"</f>
        <v>CK2024103119057</v>
      </c>
      <c r="E198" s="1" t="str">
        <f>"3723675005009662976"</f>
        <v>3723675005009662976</v>
      </c>
      <c r="F198" s="1" t="str">
        <f t="shared" si="60"/>
        <v>花都四部-凤凰仓</v>
      </c>
      <c r="G198" s="1" t="str">
        <f t="shared" si="43"/>
        <v>卡卡杜企业店（视频号）</v>
      </c>
      <c r="H198" s="1" t="str">
        <f t="shared" si="61"/>
        <v>正常订单</v>
      </c>
      <c r="I198" s="1" t="str">
        <f t="shared" si="62"/>
        <v>已发货</v>
      </c>
      <c r="J198" s="1" t="str">
        <f t="shared" si="64"/>
        <v>2</v>
      </c>
      <c r="K198" s="1">
        <v>2</v>
      </c>
      <c r="L198" s="1" t="s">
        <v>105</v>
      </c>
      <c r="M198" s="1" t="str">
        <f>"北京 北京市 西城区 "</f>
        <v xml:space="preserve">北京 北京市 西城区 </v>
      </c>
      <c r="N198" s="1" t="str">
        <f t="shared" si="45"/>
        <v>凡华云仓-城南圆通-微信视频号</v>
      </c>
      <c r="O198" s="5" t="s">
        <v>238</v>
      </c>
      <c r="P198" s="6">
        <v>0.17</v>
      </c>
      <c r="Q198" s="11">
        <v>2</v>
      </c>
      <c r="R198" s="11"/>
      <c r="S198" s="11"/>
      <c r="T198" s="11"/>
      <c r="U198" s="11">
        <f t="shared" si="63"/>
        <v>2</v>
      </c>
      <c r="W198">
        <v>2.2000000000000002</v>
      </c>
      <c r="X198" s="1" t="s">
        <v>105</v>
      </c>
    </row>
    <row r="199" spans="1:24" x14ac:dyDescent="0.25">
      <c r="A199" s="1" t="str">
        <f t="shared" si="59"/>
        <v>卡卡杜-凤凰仓</v>
      </c>
      <c r="B199" s="1" t="str">
        <f>"CK202410311557"</f>
        <v>CK202410311557</v>
      </c>
      <c r="C199" s="1" t="str">
        <f>"DD2024103112697"</f>
        <v>DD2024103112697</v>
      </c>
      <c r="D199" s="1" t="str">
        <f>"CK2024103119056"</f>
        <v>CK2024103119056</v>
      </c>
      <c r="E199" s="1" t="str">
        <f>"3723675003918881792"</f>
        <v>3723675003918881792</v>
      </c>
      <c r="F199" s="1" t="str">
        <f t="shared" si="60"/>
        <v>花都四部-凤凰仓</v>
      </c>
      <c r="G199" s="1" t="str">
        <f t="shared" si="43"/>
        <v>卡卡杜企业店（视频号）</v>
      </c>
      <c r="H199" s="1" t="str">
        <f t="shared" si="61"/>
        <v>正常订单</v>
      </c>
      <c r="I199" s="1" t="str">
        <f t="shared" si="62"/>
        <v>已发货</v>
      </c>
      <c r="J199" s="1" t="str">
        <f t="shared" si="64"/>
        <v>2</v>
      </c>
      <c r="K199" s="1">
        <v>2</v>
      </c>
      <c r="L199" s="1" t="s">
        <v>74</v>
      </c>
      <c r="M199" s="1" t="str">
        <f>"上海 上海市 闵行区 "</f>
        <v xml:space="preserve">上海 上海市 闵行区 </v>
      </c>
      <c r="N199" s="1" t="str">
        <f t="shared" si="45"/>
        <v>凡华云仓-城南圆通-微信视频号</v>
      </c>
      <c r="O199" s="5" t="s">
        <v>239</v>
      </c>
      <c r="P199" s="6">
        <v>0.17</v>
      </c>
      <c r="Q199" s="11">
        <v>2</v>
      </c>
      <c r="R199" s="11"/>
      <c r="S199" s="11"/>
      <c r="T199" s="11"/>
      <c r="U199" s="11">
        <f t="shared" si="63"/>
        <v>2</v>
      </c>
      <c r="W199">
        <v>2.2000000000000002</v>
      </c>
      <c r="X199" s="1" t="s">
        <v>74</v>
      </c>
    </row>
    <row r="200" spans="1:24" x14ac:dyDescent="0.25">
      <c r="A200" s="1" t="str">
        <f t="shared" si="59"/>
        <v>卡卡杜-凤凰仓</v>
      </c>
      <c r="B200" s="1" t="str">
        <f>"CK202410311558"</f>
        <v>CK202410311558</v>
      </c>
      <c r="C200" s="1" t="str">
        <f>"DD2024103112698"</f>
        <v>DD2024103112698</v>
      </c>
      <c r="D200" s="1" t="str">
        <f>"CK2024103119055"</f>
        <v>CK2024103119055</v>
      </c>
      <c r="E200" s="1" t="str">
        <f>"3723675001982944768"</f>
        <v>3723675001982944768</v>
      </c>
      <c r="F200" s="1" t="str">
        <f t="shared" si="60"/>
        <v>花都四部-凤凰仓</v>
      </c>
      <c r="G200" s="1" t="str">
        <f t="shared" si="43"/>
        <v>卡卡杜企业店（视频号）</v>
      </c>
      <c r="H200" s="1" t="str">
        <f t="shared" si="61"/>
        <v>正常订单</v>
      </c>
      <c r="I200" s="1" t="str">
        <f t="shared" si="62"/>
        <v>已发货</v>
      </c>
      <c r="J200" s="1" t="str">
        <f t="shared" si="64"/>
        <v>2</v>
      </c>
      <c r="K200" s="1">
        <v>2</v>
      </c>
      <c r="L200" s="1" t="s">
        <v>32</v>
      </c>
      <c r="M200" s="1" t="str">
        <f>"陕西省 宝鸡市 金台区 "</f>
        <v xml:space="preserve">陕西省 宝鸡市 金台区 </v>
      </c>
      <c r="N200" s="1" t="str">
        <f t="shared" si="45"/>
        <v>凡华云仓-城南圆通-微信视频号</v>
      </c>
      <c r="O200" s="5" t="s">
        <v>240</v>
      </c>
      <c r="P200" s="6">
        <v>0.17</v>
      </c>
      <c r="Q200" s="11">
        <v>2</v>
      </c>
      <c r="R200" s="11"/>
      <c r="S200" s="11"/>
      <c r="T200" s="11"/>
      <c r="U200" s="11">
        <f t="shared" si="63"/>
        <v>2</v>
      </c>
      <c r="W200">
        <v>2.2000000000000002</v>
      </c>
      <c r="X200" s="1" t="s">
        <v>32</v>
      </c>
    </row>
    <row r="201" spans="1:24" x14ac:dyDescent="0.25">
      <c r="A201" s="1" t="str">
        <f t="shared" si="59"/>
        <v>卡卡杜-凤凰仓</v>
      </c>
      <c r="B201" s="1" t="str">
        <f>"CK202410311559"</f>
        <v>CK202410311559</v>
      </c>
      <c r="C201" s="1" t="str">
        <f>"DD2024103112699"</f>
        <v>DD2024103112699</v>
      </c>
      <c r="D201" s="1" t="str">
        <f>"CK2024103119054"</f>
        <v>CK2024103119054</v>
      </c>
      <c r="E201" s="1" t="str">
        <f>"3723675000882466816"</f>
        <v>3723675000882466816</v>
      </c>
      <c r="F201" s="1" t="str">
        <f t="shared" si="60"/>
        <v>花都四部-凤凰仓</v>
      </c>
      <c r="G201" s="1" t="str">
        <f t="shared" si="43"/>
        <v>卡卡杜企业店（视频号）</v>
      </c>
      <c r="H201" s="1" t="str">
        <f t="shared" si="61"/>
        <v>正常订单</v>
      </c>
      <c r="I201" s="1" t="str">
        <f t="shared" si="62"/>
        <v>已发货</v>
      </c>
      <c r="J201" s="1" t="str">
        <f t="shared" si="64"/>
        <v>2</v>
      </c>
      <c r="K201" s="1">
        <v>2</v>
      </c>
      <c r="L201" s="1" t="s">
        <v>18</v>
      </c>
      <c r="M201" s="1" t="str">
        <f>"广东省 深圳市 罗湖区 "</f>
        <v xml:space="preserve">广东省 深圳市 罗湖区 </v>
      </c>
      <c r="N201" s="1" t="str">
        <f t="shared" si="45"/>
        <v>凡华云仓-城南圆通-微信视频号</v>
      </c>
      <c r="O201" s="5" t="s">
        <v>241</v>
      </c>
      <c r="P201" s="6">
        <v>0.17</v>
      </c>
      <c r="Q201" s="11">
        <v>2</v>
      </c>
      <c r="R201" s="11"/>
      <c r="S201" s="11"/>
      <c r="T201" s="11"/>
      <c r="U201" s="11">
        <f t="shared" si="63"/>
        <v>2</v>
      </c>
      <c r="W201">
        <v>2.2000000000000002</v>
      </c>
      <c r="X201" s="1" t="s">
        <v>18</v>
      </c>
    </row>
    <row r="202" spans="1:24" x14ac:dyDescent="0.25">
      <c r="A202" s="1" t="str">
        <f t="shared" si="59"/>
        <v>卡卡杜-凤凰仓</v>
      </c>
      <c r="B202" s="1" t="str">
        <f>"CK202410311561"</f>
        <v>CK202410311561</v>
      </c>
      <c r="C202" s="1" t="str">
        <f>"DD2024103112701"</f>
        <v>DD2024103112701</v>
      </c>
      <c r="D202" s="1" t="str">
        <f>"CK2024103119053"</f>
        <v>CK2024103119053</v>
      </c>
      <c r="E202" s="1" t="str">
        <f>"3723674997398834176"</f>
        <v>3723674997398834176</v>
      </c>
      <c r="F202" s="1" t="str">
        <f t="shared" si="60"/>
        <v>花都四部-凤凰仓</v>
      </c>
      <c r="G202" s="1" t="str">
        <f t="shared" si="43"/>
        <v>卡卡杜企业店（视频号）</v>
      </c>
      <c r="H202" s="1" t="str">
        <f t="shared" si="61"/>
        <v>正常订单</v>
      </c>
      <c r="I202" s="1" t="str">
        <f t="shared" si="62"/>
        <v>已发货</v>
      </c>
      <c r="J202" s="1" t="str">
        <f t="shared" si="64"/>
        <v>2</v>
      </c>
      <c r="K202" s="1">
        <v>2</v>
      </c>
      <c r="L202" s="1" t="s">
        <v>18</v>
      </c>
      <c r="M202" s="1" t="str">
        <f>"广东省 深圳市 龙岗区 "</f>
        <v xml:space="preserve">广东省 深圳市 龙岗区 </v>
      </c>
      <c r="N202" s="1" t="str">
        <f t="shared" si="45"/>
        <v>凡华云仓-城南圆通-微信视频号</v>
      </c>
      <c r="O202" s="5" t="s">
        <v>242</v>
      </c>
      <c r="P202" s="6">
        <v>0.17</v>
      </c>
      <c r="Q202" s="11">
        <v>2</v>
      </c>
      <c r="R202" s="11"/>
      <c r="S202" s="11"/>
      <c r="T202" s="11"/>
      <c r="U202" s="11">
        <f t="shared" si="63"/>
        <v>2</v>
      </c>
      <c r="W202">
        <v>2.2000000000000002</v>
      </c>
      <c r="X202" s="1" t="s">
        <v>18</v>
      </c>
    </row>
    <row r="203" spans="1:24" x14ac:dyDescent="0.25">
      <c r="A203" s="1" t="str">
        <f t="shared" si="59"/>
        <v>卡卡杜-凤凰仓</v>
      </c>
      <c r="B203" s="1" t="str">
        <f>"CK202410311562"</f>
        <v>CK202410311562</v>
      </c>
      <c r="C203" s="1" t="str">
        <f>"DD2024103112702"</f>
        <v>DD2024103112702</v>
      </c>
      <c r="D203" s="1" t="str">
        <f>"CK2024103119052"</f>
        <v>CK2024103119052</v>
      </c>
      <c r="E203" s="1" t="str">
        <f>"3723674997260944640"</f>
        <v>3723674997260944640</v>
      </c>
      <c r="F203" s="1" t="str">
        <f t="shared" si="60"/>
        <v>花都四部-凤凰仓</v>
      </c>
      <c r="G203" s="1" t="str">
        <f t="shared" ref="G203:G266" si="65">"卡卡杜企业店（视频号）"</f>
        <v>卡卡杜企业店（视频号）</v>
      </c>
      <c r="H203" s="1" t="str">
        <f t="shared" si="61"/>
        <v>正常订单</v>
      </c>
      <c r="I203" s="1" t="str">
        <f t="shared" si="62"/>
        <v>已发货</v>
      </c>
      <c r="J203" s="1" t="str">
        <f t="shared" si="64"/>
        <v>2</v>
      </c>
      <c r="K203" s="1">
        <v>2</v>
      </c>
      <c r="L203" s="1" t="s">
        <v>74</v>
      </c>
      <c r="M203" s="1" t="str">
        <f>"上海 上海市 嘉定区 "</f>
        <v xml:space="preserve">上海 上海市 嘉定区 </v>
      </c>
      <c r="N203" s="1" t="str">
        <f t="shared" ref="N203:N259" si="66">"凡华云仓-城南圆通-微信视频号"</f>
        <v>凡华云仓-城南圆通-微信视频号</v>
      </c>
      <c r="O203" s="5" t="s">
        <v>243</v>
      </c>
      <c r="P203" s="6">
        <v>0.17</v>
      </c>
      <c r="Q203" s="11">
        <v>2</v>
      </c>
      <c r="R203" s="11"/>
      <c r="S203" s="11"/>
      <c r="T203" s="11"/>
      <c r="U203" s="11">
        <f t="shared" si="63"/>
        <v>2</v>
      </c>
      <c r="W203">
        <v>2.2000000000000002</v>
      </c>
      <c r="X203" s="1" t="s">
        <v>74</v>
      </c>
    </row>
    <row r="204" spans="1:24" x14ac:dyDescent="0.25">
      <c r="A204" s="1" t="str">
        <f t="shared" si="59"/>
        <v>卡卡杜-凤凰仓</v>
      </c>
      <c r="B204" s="1" t="str">
        <f>"CK202410311563"</f>
        <v>CK202410311563</v>
      </c>
      <c r="C204" s="1" t="str">
        <f>"DD2024103112704"</f>
        <v>DD2024103112704</v>
      </c>
      <c r="D204" s="1" t="str">
        <f>"CK2024103119051"</f>
        <v>CK2024103119051</v>
      </c>
      <c r="E204" s="1" t="str">
        <f>"3723674995858998784"</f>
        <v>3723674995858998784</v>
      </c>
      <c r="F204" s="1" t="str">
        <f t="shared" si="60"/>
        <v>花都四部-凤凰仓</v>
      </c>
      <c r="G204" s="1" t="str">
        <f t="shared" si="65"/>
        <v>卡卡杜企业店（视频号）</v>
      </c>
      <c r="H204" s="1" t="str">
        <f t="shared" si="61"/>
        <v>正常订单</v>
      </c>
      <c r="I204" s="1" t="str">
        <f t="shared" si="62"/>
        <v>已发货</v>
      </c>
      <c r="J204" s="1" t="str">
        <f t="shared" si="64"/>
        <v>2</v>
      </c>
      <c r="K204" s="1">
        <v>2</v>
      </c>
      <c r="L204" s="1" t="s">
        <v>105</v>
      </c>
      <c r="M204" s="1" t="str">
        <f>"北京 北京市 海淀区 "</f>
        <v xml:space="preserve">北京 北京市 海淀区 </v>
      </c>
      <c r="N204" s="1" t="str">
        <f t="shared" si="66"/>
        <v>凡华云仓-城南圆通-微信视频号</v>
      </c>
      <c r="O204" s="5" t="s">
        <v>244</v>
      </c>
      <c r="P204" s="6">
        <v>0.17</v>
      </c>
      <c r="Q204" s="11">
        <v>2</v>
      </c>
      <c r="R204" s="11"/>
      <c r="S204" s="11"/>
      <c r="T204" s="11"/>
      <c r="U204" s="11">
        <f t="shared" si="63"/>
        <v>2</v>
      </c>
      <c r="W204">
        <v>2.2000000000000002</v>
      </c>
      <c r="X204" s="1" t="s">
        <v>105</v>
      </c>
    </row>
    <row r="205" spans="1:24" x14ac:dyDescent="0.25">
      <c r="A205" s="1" t="str">
        <f t="shared" si="59"/>
        <v>卡卡杜-凤凰仓</v>
      </c>
      <c r="B205" s="1" t="str">
        <f>"CK202410311564"</f>
        <v>CK202410311564</v>
      </c>
      <c r="C205" s="1" t="str">
        <f>"DD2024103112703"</f>
        <v>DD2024103112703</v>
      </c>
      <c r="D205" s="1" t="str">
        <f>"CK2024103119050"</f>
        <v>CK2024103119050</v>
      </c>
      <c r="E205" s="1" t="str">
        <f>"3723674986285237760"</f>
        <v>3723674986285237760</v>
      </c>
      <c r="F205" s="1" t="str">
        <f t="shared" si="60"/>
        <v>花都四部-凤凰仓</v>
      </c>
      <c r="G205" s="1" t="str">
        <f t="shared" si="65"/>
        <v>卡卡杜企业店（视频号）</v>
      </c>
      <c r="H205" s="1" t="str">
        <f t="shared" si="61"/>
        <v>正常订单</v>
      </c>
      <c r="I205" s="1" t="str">
        <f t="shared" si="62"/>
        <v>已发货</v>
      </c>
      <c r="J205" s="1" t="str">
        <f t="shared" si="64"/>
        <v>2</v>
      </c>
      <c r="K205" s="1">
        <v>2</v>
      </c>
      <c r="L205" s="1" t="s">
        <v>92</v>
      </c>
      <c r="M205" s="1" t="str">
        <f>"辽宁省 锦州市 太和区 "</f>
        <v xml:space="preserve">辽宁省 锦州市 太和区 </v>
      </c>
      <c r="N205" s="1" t="str">
        <f t="shared" si="66"/>
        <v>凡华云仓-城南圆通-微信视频号</v>
      </c>
      <c r="O205" s="5" t="s">
        <v>245</v>
      </c>
      <c r="P205" s="6">
        <v>0.17</v>
      </c>
      <c r="Q205" s="11">
        <v>2</v>
      </c>
      <c r="R205" s="11"/>
      <c r="S205" s="11"/>
      <c r="T205" s="11"/>
      <c r="U205" s="11">
        <f t="shared" si="63"/>
        <v>2</v>
      </c>
      <c r="W205">
        <v>2.2000000000000002</v>
      </c>
      <c r="X205" s="1" t="s">
        <v>92</v>
      </c>
    </row>
    <row r="206" spans="1:24" x14ac:dyDescent="0.25">
      <c r="A206" s="1" t="str">
        <f t="shared" si="59"/>
        <v>卡卡杜-凤凰仓</v>
      </c>
      <c r="B206" s="1" t="str">
        <f>"CK2024103147"</f>
        <v>CK2024103147</v>
      </c>
      <c r="C206" s="1" t="str">
        <f>"DD2024103112077"</f>
        <v>DD2024103112077</v>
      </c>
      <c r="D206" s="1" t="str">
        <f>"CK2024103119049"</f>
        <v>CK2024103119049</v>
      </c>
      <c r="E206" s="1" t="str">
        <f>"3723674949367497984"</f>
        <v>3723674949367497984</v>
      </c>
      <c r="F206" s="1" t="str">
        <f t="shared" si="60"/>
        <v>花都四部-凤凰仓</v>
      </c>
      <c r="G206" s="1" t="str">
        <f t="shared" si="65"/>
        <v>卡卡杜企业店（视频号）</v>
      </c>
      <c r="H206" s="1" t="str">
        <f t="shared" si="61"/>
        <v>正常订单</v>
      </c>
      <c r="I206" s="1" t="str">
        <f t="shared" si="62"/>
        <v>已发货</v>
      </c>
      <c r="J206" s="1" t="str">
        <f t="shared" ref="J206:J210" si="67">"3"</f>
        <v>3</v>
      </c>
      <c r="K206" s="1">
        <v>3</v>
      </c>
      <c r="L206" s="1" t="s">
        <v>96</v>
      </c>
      <c r="M206" s="1" t="str">
        <f>"广西壮族自治区 南宁市 青秀区 "</f>
        <v xml:space="preserve">广西壮族自治区 南宁市 青秀区 </v>
      </c>
      <c r="N206" s="1" t="str">
        <f t="shared" si="66"/>
        <v>凡华云仓-城南圆通-微信视频号</v>
      </c>
      <c r="O206" s="5" t="s">
        <v>246</v>
      </c>
      <c r="P206" s="6">
        <v>0.33</v>
      </c>
      <c r="Q206" s="11">
        <v>2.2999999999999998</v>
      </c>
      <c r="R206" s="11"/>
      <c r="S206" s="11"/>
      <c r="T206" s="11"/>
      <c r="U206" s="11">
        <f t="shared" si="63"/>
        <v>2.2999999999999998</v>
      </c>
      <c r="W206">
        <v>2.5</v>
      </c>
      <c r="X206" s="1" t="s">
        <v>96</v>
      </c>
    </row>
    <row r="207" spans="1:24" x14ac:dyDescent="0.25">
      <c r="A207" s="1" t="str">
        <f t="shared" si="59"/>
        <v>卡卡杜-凤凰仓</v>
      </c>
      <c r="B207" s="1" t="str">
        <f>"CK2024103144"</f>
        <v>CK2024103144</v>
      </c>
      <c r="C207" s="1" t="str">
        <f>"DD2024103112075"</f>
        <v>DD2024103112075</v>
      </c>
      <c r="D207" s="1" t="str">
        <f>"CK2024103119048"</f>
        <v>CK2024103119048</v>
      </c>
      <c r="E207" s="1" t="str">
        <f>"3723674807016493056"</f>
        <v>3723674807016493056</v>
      </c>
      <c r="F207" s="1" t="str">
        <f t="shared" si="60"/>
        <v>花都四部-凤凰仓</v>
      </c>
      <c r="G207" s="1" t="str">
        <f t="shared" si="65"/>
        <v>卡卡杜企业店（视频号）</v>
      </c>
      <c r="H207" s="1" t="str">
        <f t="shared" si="61"/>
        <v>正常订单</v>
      </c>
      <c r="I207" s="1" t="str">
        <f t="shared" si="62"/>
        <v>已发货</v>
      </c>
      <c r="J207" s="1" t="str">
        <f t="shared" si="67"/>
        <v>3</v>
      </c>
      <c r="K207" s="1">
        <v>3</v>
      </c>
      <c r="L207" s="1" t="s">
        <v>182</v>
      </c>
      <c r="M207" s="1" t="str">
        <f>"新疆维吾尔自治区 乌鲁木齐市 沙依巴克区 "</f>
        <v xml:space="preserve">新疆维吾尔自治区 乌鲁木齐市 沙依巴克区 </v>
      </c>
      <c r="N207" s="1" t="str">
        <f t="shared" si="66"/>
        <v>凡华云仓-城南圆通-微信视频号</v>
      </c>
      <c r="O207" s="5" t="s">
        <v>247</v>
      </c>
      <c r="P207" s="6">
        <v>0.33</v>
      </c>
      <c r="Q207" s="11">
        <v>17</v>
      </c>
      <c r="R207" s="11"/>
      <c r="S207" s="11"/>
      <c r="T207" s="11"/>
      <c r="U207" s="11">
        <f t="shared" si="63"/>
        <v>17</v>
      </c>
      <c r="W207">
        <v>17</v>
      </c>
      <c r="X207" s="1" t="s">
        <v>182</v>
      </c>
    </row>
    <row r="208" spans="1:24" x14ac:dyDescent="0.25">
      <c r="A208" s="1" t="str">
        <f t="shared" si="59"/>
        <v>卡卡杜-凤凰仓</v>
      </c>
      <c r="B208" s="1" t="str">
        <f>"CK202410311566"</f>
        <v>CK202410311566</v>
      </c>
      <c r="C208" s="1" t="str">
        <f>"DD2024103112705"</f>
        <v>DD2024103112705</v>
      </c>
      <c r="D208" s="1" t="str">
        <f>"CK2024103119047"</f>
        <v>CK2024103119047</v>
      </c>
      <c r="E208" s="1" t="str">
        <f>"3723674639854341120"</f>
        <v>3723674639854341120</v>
      </c>
      <c r="F208" s="1" t="str">
        <f t="shared" si="60"/>
        <v>花都四部-凤凰仓</v>
      </c>
      <c r="G208" s="1" t="str">
        <f t="shared" si="65"/>
        <v>卡卡杜企业店（视频号）</v>
      </c>
      <c r="H208" s="1" t="str">
        <f t="shared" si="61"/>
        <v>正常订单</v>
      </c>
      <c r="I208" s="1" t="str">
        <f t="shared" si="62"/>
        <v>已发货</v>
      </c>
      <c r="J208" s="1" t="str">
        <f t="shared" ref="J208:J215" si="68">"2"</f>
        <v>2</v>
      </c>
      <c r="K208" s="1">
        <v>2</v>
      </c>
      <c r="L208" s="1" t="s">
        <v>20</v>
      </c>
      <c r="M208" s="1" t="str">
        <f>"浙江省 台州市 椒江区 "</f>
        <v xml:space="preserve">浙江省 台州市 椒江区 </v>
      </c>
      <c r="N208" s="1" t="str">
        <f t="shared" si="66"/>
        <v>凡华云仓-城南圆通-微信视频号</v>
      </c>
      <c r="O208" s="5" t="s">
        <v>248</v>
      </c>
      <c r="P208" s="6">
        <v>0.17</v>
      </c>
      <c r="Q208" s="11">
        <v>2</v>
      </c>
      <c r="R208" s="11"/>
      <c r="S208" s="11"/>
      <c r="T208" s="11"/>
      <c r="U208" s="11">
        <f t="shared" si="63"/>
        <v>2</v>
      </c>
      <c r="W208">
        <v>2.2000000000000002</v>
      </c>
      <c r="X208" s="1" t="s">
        <v>20</v>
      </c>
    </row>
    <row r="209" spans="1:24" x14ac:dyDescent="0.25">
      <c r="A209" s="1" t="str">
        <f t="shared" si="59"/>
        <v>卡卡杜-凤凰仓</v>
      </c>
      <c r="B209" s="1" t="str">
        <f>"CK202410311453"</f>
        <v>CK202410311453</v>
      </c>
      <c r="C209" s="1" t="str">
        <f>"DD2024103112627"</f>
        <v>DD2024103112627</v>
      </c>
      <c r="D209" s="1" t="str">
        <f>"CK2024103119046"</f>
        <v>CK2024103119046</v>
      </c>
      <c r="E209" s="1" t="str">
        <f>"3723674573338445056"</f>
        <v>3723674573338445056</v>
      </c>
      <c r="F209" s="1" t="str">
        <f t="shared" si="60"/>
        <v>花都四部-凤凰仓</v>
      </c>
      <c r="G209" s="1" t="str">
        <f t="shared" si="65"/>
        <v>卡卡杜企业店（视频号）</v>
      </c>
      <c r="H209" s="1" t="str">
        <f t="shared" si="61"/>
        <v>正常订单</v>
      </c>
      <c r="I209" s="1" t="str">
        <f t="shared" si="62"/>
        <v>已发货</v>
      </c>
      <c r="J209" s="1" t="str">
        <f>"6"</f>
        <v>6</v>
      </c>
      <c r="K209" s="1">
        <v>3</v>
      </c>
      <c r="L209" s="1" t="s">
        <v>18</v>
      </c>
      <c r="M209" s="1" t="str">
        <f>"广东省 广州市 越秀区 "</f>
        <v xml:space="preserve">广东省 广州市 越秀区 </v>
      </c>
      <c r="N209" s="1" t="str">
        <f t="shared" si="66"/>
        <v>凡华云仓-城南圆通-微信视频号</v>
      </c>
      <c r="O209" s="5" t="s">
        <v>249</v>
      </c>
      <c r="P209" s="6">
        <v>0.56000000000000005</v>
      </c>
      <c r="Q209" s="11">
        <f>CEILING(P209-0.5,0.1)*10*0.15+2.3</f>
        <v>2.4499999999999997</v>
      </c>
      <c r="R209" s="11"/>
      <c r="S209" s="11"/>
      <c r="T209" s="11"/>
      <c r="U209" s="11">
        <f t="shared" si="63"/>
        <v>2.4499999999999997</v>
      </c>
      <c r="V209" t="s">
        <v>15</v>
      </c>
      <c r="W209">
        <v>2.4500000000000002</v>
      </c>
      <c r="X209" s="1" t="s">
        <v>18</v>
      </c>
    </row>
    <row r="210" spans="1:24" x14ac:dyDescent="0.25">
      <c r="A210" s="1" t="str">
        <f t="shared" si="59"/>
        <v>卡卡杜-凤凰仓</v>
      </c>
      <c r="B210" s="1" t="str">
        <f>"CK20241031212"</f>
        <v>CK20241031212</v>
      </c>
      <c r="C210" s="1" t="str">
        <f>"DD2024103112433"</f>
        <v>DD2024103112433</v>
      </c>
      <c r="D210" s="1" t="str">
        <f>"CK2024103119045"</f>
        <v>CK2024103119045</v>
      </c>
      <c r="E210" s="1" t="str">
        <f>"3723674534688982529"</f>
        <v>3723674534688982529</v>
      </c>
      <c r="F210" s="1" t="str">
        <f t="shared" si="60"/>
        <v>花都四部-凤凰仓</v>
      </c>
      <c r="G210" s="1" t="str">
        <f t="shared" si="65"/>
        <v>卡卡杜企业店（视频号）</v>
      </c>
      <c r="H210" s="1" t="str">
        <f t="shared" si="61"/>
        <v>正常订单</v>
      </c>
      <c r="I210" s="1" t="str">
        <f t="shared" si="62"/>
        <v>已发货</v>
      </c>
      <c r="J210" s="1" t="str">
        <f t="shared" si="67"/>
        <v>3</v>
      </c>
      <c r="K210" s="1">
        <v>2</v>
      </c>
      <c r="L210" s="1" t="s">
        <v>36</v>
      </c>
      <c r="M210" s="1" t="str">
        <f>"安徽省 淮北市 相山区 "</f>
        <v xml:space="preserve">安徽省 淮北市 相山区 </v>
      </c>
      <c r="N210" s="1" t="str">
        <f t="shared" si="66"/>
        <v>凡华云仓-城南圆通-微信视频号</v>
      </c>
      <c r="O210" s="5" t="s">
        <v>250</v>
      </c>
      <c r="P210" s="6">
        <v>0.25</v>
      </c>
      <c r="Q210" s="11">
        <v>2</v>
      </c>
      <c r="R210" s="11"/>
      <c r="S210" s="11"/>
      <c r="T210" s="11"/>
      <c r="U210" s="11">
        <f t="shared" si="63"/>
        <v>2</v>
      </c>
      <c r="W210">
        <v>2.2000000000000002</v>
      </c>
      <c r="X210" s="1" t="s">
        <v>36</v>
      </c>
    </row>
    <row r="211" spans="1:24" x14ac:dyDescent="0.25">
      <c r="A211" s="1" t="str">
        <f t="shared" si="59"/>
        <v>卡卡杜-凤凰仓</v>
      </c>
      <c r="B211" s="1" t="str">
        <f>"CK202410311567"</f>
        <v>CK202410311567</v>
      </c>
      <c r="C211" s="1" t="str">
        <f>"DD2024103112706"</f>
        <v>DD2024103112706</v>
      </c>
      <c r="D211" s="1" t="str">
        <f>"CK2024103119044"</f>
        <v>CK2024103119044</v>
      </c>
      <c r="E211" s="1" t="str">
        <f>"3723674546832543744"</f>
        <v>3723674546832543744</v>
      </c>
      <c r="F211" s="1" t="str">
        <f t="shared" si="60"/>
        <v>花都四部-凤凰仓</v>
      </c>
      <c r="G211" s="1" t="str">
        <f t="shared" si="65"/>
        <v>卡卡杜企业店（视频号）</v>
      </c>
      <c r="H211" s="1" t="str">
        <f t="shared" si="61"/>
        <v>正常订单</v>
      </c>
      <c r="I211" s="1" t="str">
        <f t="shared" si="62"/>
        <v>已发货</v>
      </c>
      <c r="J211" s="1" t="str">
        <f t="shared" si="68"/>
        <v>2</v>
      </c>
      <c r="K211" s="1">
        <v>2</v>
      </c>
      <c r="L211" s="1" t="s">
        <v>41</v>
      </c>
      <c r="M211" s="1" t="str">
        <f>"湖北省 襄阳市 枣阳市 "</f>
        <v xml:space="preserve">湖北省 襄阳市 枣阳市 </v>
      </c>
      <c r="N211" s="1" t="str">
        <f t="shared" si="66"/>
        <v>凡华云仓-城南圆通-微信视频号</v>
      </c>
      <c r="O211" s="5" t="s">
        <v>251</v>
      </c>
      <c r="P211" s="6">
        <v>0.17</v>
      </c>
      <c r="Q211" s="11">
        <v>2</v>
      </c>
      <c r="R211" s="11"/>
      <c r="S211" s="11"/>
      <c r="T211" s="11"/>
      <c r="U211" s="11">
        <f t="shared" si="63"/>
        <v>2</v>
      </c>
      <c r="W211">
        <v>2.2000000000000002</v>
      </c>
      <c r="X211" s="1" t="s">
        <v>41</v>
      </c>
    </row>
    <row r="212" spans="1:24" x14ac:dyDescent="0.25">
      <c r="A212" s="1" t="str">
        <f t="shared" si="59"/>
        <v>卡卡杜-凤凰仓</v>
      </c>
      <c r="B212" s="1" t="str">
        <f>"CK20241031200"</f>
        <v>CK20241031200</v>
      </c>
      <c r="C212" s="1" t="str">
        <f>"DD2024103112422"</f>
        <v>DD2024103112422</v>
      </c>
      <c r="D212" s="1" t="str">
        <f>"CK2024103119043"</f>
        <v>CK2024103119043</v>
      </c>
      <c r="E212" s="1" t="str">
        <f>"3723674538029487104"</f>
        <v>3723674538029487104</v>
      </c>
      <c r="F212" s="1" t="str">
        <f t="shared" si="60"/>
        <v>花都四部-凤凰仓</v>
      </c>
      <c r="G212" s="1" t="str">
        <f t="shared" si="65"/>
        <v>卡卡杜企业店（视频号）</v>
      </c>
      <c r="H212" s="1" t="str">
        <f t="shared" si="61"/>
        <v>正常订单</v>
      </c>
      <c r="I212" s="1" t="str">
        <f t="shared" si="62"/>
        <v>已发货</v>
      </c>
      <c r="J212" s="1" t="str">
        <f>"3"</f>
        <v>3</v>
      </c>
      <c r="K212" s="1">
        <v>2</v>
      </c>
      <c r="L212" s="1" t="s">
        <v>80</v>
      </c>
      <c r="M212" s="1" t="str">
        <f>"河南省 郑州市 中原区 "</f>
        <v xml:space="preserve">河南省 郑州市 中原区 </v>
      </c>
      <c r="N212" s="1" t="str">
        <f t="shared" si="66"/>
        <v>凡华云仓-城南圆通-微信视频号</v>
      </c>
      <c r="O212" s="5" t="s">
        <v>252</v>
      </c>
      <c r="P212" s="6">
        <v>0.25</v>
      </c>
      <c r="Q212" s="11">
        <v>2</v>
      </c>
      <c r="R212" s="11"/>
      <c r="S212" s="11"/>
      <c r="T212" s="11"/>
      <c r="U212" s="11">
        <f t="shared" si="63"/>
        <v>2</v>
      </c>
      <c r="W212">
        <v>2.2000000000000002</v>
      </c>
      <c r="X212" s="1" t="s">
        <v>80</v>
      </c>
    </row>
    <row r="213" spans="1:24" x14ac:dyDescent="0.25">
      <c r="A213" s="1" t="str">
        <f t="shared" si="59"/>
        <v>卡卡杜-凤凰仓</v>
      </c>
      <c r="B213" s="1" t="str">
        <f>"CK202410311568"</f>
        <v>CK202410311568</v>
      </c>
      <c r="C213" s="1" t="str">
        <f>"DD2024103112708"</f>
        <v>DD2024103112708</v>
      </c>
      <c r="D213" s="1" t="str">
        <f>"CK2024103119042"</f>
        <v>CK2024103119042</v>
      </c>
      <c r="E213" s="1" t="str">
        <f>"3723674542048678912"</f>
        <v>3723674542048678912</v>
      </c>
      <c r="F213" s="1" t="str">
        <f t="shared" si="60"/>
        <v>花都四部-凤凰仓</v>
      </c>
      <c r="G213" s="1" t="str">
        <f t="shared" si="65"/>
        <v>卡卡杜企业店（视频号）</v>
      </c>
      <c r="H213" s="1" t="str">
        <f t="shared" si="61"/>
        <v>正常订单</v>
      </c>
      <c r="I213" s="1" t="str">
        <f t="shared" si="62"/>
        <v>已发货</v>
      </c>
      <c r="J213" s="1" t="str">
        <f t="shared" si="68"/>
        <v>2</v>
      </c>
      <c r="K213" s="1">
        <v>2</v>
      </c>
      <c r="L213" s="1" t="s">
        <v>16</v>
      </c>
      <c r="M213" s="1" t="str">
        <f>"河北省 石家庄市 辛集市 "</f>
        <v xml:space="preserve">河北省 石家庄市 辛集市 </v>
      </c>
      <c r="N213" s="1" t="str">
        <f t="shared" si="66"/>
        <v>凡华云仓-城南圆通-微信视频号</v>
      </c>
      <c r="O213" s="5" t="s">
        <v>253</v>
      </c>
      <c r="P213" s="6">
        <v>0.17</v>
      </c>
      <c r="Q213" s="11">
        <v>2</v>
      </c>
      <c r="R213" s="11"/>
      <c r="S213" s="11"/>
      <c r="T213" s="11"/>
      <c r="U213" s="11">
        <f t="shared" si="63"/>
        <v>2</v>
      </c>
      <c r="W213">
        <v>2.2000000000000002</v>
      </c>
      <c r="X213" s="1" t="s">
        <v>16</v>
      </c>
    </row>
    <row r="214" spans="1:24" x14ac:dyDescent="0.25">
      <c r="A214" s="1" t="str">
        <f t="shared" si="59"/>
        <v>卡卡杜-凤凰仓</v>
      </c>
      <c r="B214" s="1" t="str">
        <f>"CK202410311570"</f>
        <v>CK202410311570</v>
      </c>
      <c r="C214" s="1" t="str">
        <f>"DD2024103112710"</f>
        <v>DD2024103112710</v>
      </c>
      <c r="D214" s="1" t="str">
        <f>"CK2024103119041"</f>
        <v>CK2024103119041</v>
      </c>
      <c r="E214" s="1" t="str">
        <f>"3723674537515156736"</f>
        <v>3723674537515156736</v>
      </c>
      <c r="F214" s="1" t="str">
        <f t="shared" si="60"/>
        <v>花都四部-凤凰仓</v>
      </c>
      <c r="G214" s="1" t="str">
        <f t="shared" si="65"/>
        <v>卡卡杜企业店（视频号）</v>
      </c>
      <c r="H214" s="1" t="str">
        <f t="shared" si="61"/>
        <v>正常订单</v>
      </c>
      <c r="I214" s="1" t="str">
        <f t="shared" si="62"/>
        <v>已发货</v>
      </c>
      <c r="J214" s="1" t="str">
        <f t="shared" si="68"/>
        <v>2</v>
      </c>
      <c r="K214" s="1">
        <v>2</v>
      </c>
      <c r="L214" s="1" t="s">
        <v>18</v>
      </c>
      <c r="M214" s="1" t="str">
        <f>"广东省 深圳市 罗湖区 "</f>
        <v xml:space="preserve">广东省 深圳市 罗湖区 </v>
      </c>
      <c r="N214" s="1" t="str">
        <f t="shared" si="66"/>
        <v>凡华云仓-城南圆通-微信视频号</v>
      </c>
      <c r="O214" s="5" t="s">
        <v>254</v>
      </c>
      <c r="P214" s="6">
        <v>0.17</v>
      </c>
      <c r="Q214" s="11">
        <v>2</v>
      </c>
      <c r="R214" s="11"/>
      <c r="S214" s="11"/>
      <c r="T214" s="11"/>
      <c r="U214" s="11">
        <f t="shared" si="63"/>
        <v>2</v>
      </c>
      <c r="W214">
        <v>2.2000000000000002</v>
      </c>
      <c r="X214" s="1" t="s">
        <v>18</v>
      </c>
    </row>
    <row r="215" spans="1:24" x14ac:dyDescent="0.25">
      <c r="A215" s="1" t="str">
        <f t="shared" si="59"/>
        <v>卡卡杜-凤凰仓</v>
      </c>
      <c r="B215" s="1" t="str">
        <f>"CK202410311569"</f>
        <v>CK202410311569</v>
      </c>
      <c r="C215" s="1" t="str">
        <f>"DD2024103112709"</f>
        <v>DD2024103112709</v>
      </c>
      <c r="D215" s="1" t="str">
        <f>"CK2024103119040"</f>
        <v>CK2024103119040</v>
      </c>
      <c r="E215" s="1" t="str">
        <f>"3723674537623424000"</f>
        <v>3723674537623424000</v>
      </c>
      <c r="F215" s="1" t="str">
        <f t="shared" si="60"/>
        <v>花都四部-凤凰仓</v>
      </c>
      <c r="G215" s="1" t="str">
        <f t="shared" si="65"/>
        <v>卡卡杜企业店（视频号）</v>
      </c>
      <c r="H215" s="1" t="str">
        <f t="shared" si="61"/>
        <v>正常订单</v>
      </c>
      <c r="I215" s="1" t="str">
        <f t="shared" si="62"/>
        <v>已发货</v>
      </c>
      <c r="J215" s="1" t="str">
        <f t="shared" si="68"/>
        <v>2</v>
      </c>
      <c r="K215" s="1">
        <v>2</v>
      </c>
      <c r="L215" s="1" t="s">
        <v>32</v>
      </c>
      <c r="M215" s="1" t="str">
        <f>"陕西省 西安市 雁塔区 "</f>
        <v xml:space="preserve">陕西省 西安市 雁塔区 </v>
      </c>
      <c r="N215" s="1" t="str">
        <f t="shared" si="66"/>
        <v>凡华云仓-城南圆通-微信视频号</v>
      </c>
      <c r="O215" s="5" t="s">
        <v>255</v>
      </c>
      <c r="P215" s="6">
        <v>0.17</v>
      </c>
      <c r="Q215" s="11">
        <v>2</v>
      </c>
      <c r="R215" s="11"/>
      <c r="S215" s="11"/>
      <c r="T215" s="11"/>
      <c r="U215" s="11">
        <f t="shared" si="63"/>
        <v>2</v>
      </c>
      <c r="W215">
        <v>2.2000000000000002</v>
      </c>
      <c r="X215" s="1" t="s">
        <v>32</v>
      </c>
    </row>
    <row r="216" spans="1:24" x14ac:dyDescent="0.25">
      <c r="A216" s="1" t="str">
        <f t="shared" si="59"/>
        <v>卡卡杜-凤凰仓</v>
      </c>
      <c r="B216" s="1" t="str">
        <f>"CK202410311454"</f>
        <v>CK202410311454</v>
      </c>
      <c r="C216" s="1" t="str">
        <f>"DD2024103112628"</f>
        <v>DD2024103112628</v>
      </c>
      <c r="D216" s="1" t="str">
        <f>"CK2024103119039"</f>
        <v>CK2024103119039</v>
      </c>
      <c r="E216" s="1" t="str">
        <f>"3723674519134934016"</f>
        <v>3723674519134934016</v>
      </c>
      <c r="F216" s="1" t="str">
        <f t="shared" si="60"/>
        <v>花都四部-凤凰仓</v>
      </c>
      <c r="G216" s="1" t="str">
        <f t="shared" si="65"/>
        <v>卡卡杜企业店（视频号）</v>
      </c>
      <c r="H216" s="1" t="str">
        <f t="shared" si="61"/>
        <v>正常订单</v>
      </c>
      <c r="I216" s="1" t="str">
        <f t="shared" si="62"/>
        <v>已发货</v>
      </c>
      <c r="J216" s="1" t="str">
        <f>"5"</f>
        <v>5</v>
      </c>
      <c r="K216" s="1">
        <v>3</v>
      </c>
      <c r="L216" s="1" t="s">
        <v>16</v>
      </c>
      <c r="M216" s="1" t="str">
        <f>"河北省 秦皇岛市 山海关区 "</f>
        <v xml:space="preserve">河北省 秦皇岛市 山海关区 </v>
      </c>
      <c r="N216" s="1" t="str">
        <f t="shared" si="66"/>
        <v>凡华云仓-城南圆通-微信视频号</v>
      </c>
      <c r="O216" s="5" t="s">
        <v>256</v>
      </c>
      <c r="P216" s="6">
        <v>0.46</v>
      </c>
      <c r="Q216" s="11">
        <v>2.2999999999999998</v>
      </c>
      <c r="R216" s="11"/>
      <c r="S216" s="11"/>
      <c r="T216" s="11"/>
      <c r="U216" s="11">
        <f t="shared" si="63"/>
        <v>2.2999999999999998</v>
      </c>
      <c r="W216">
        <v>2.5</v>
      </c>
      <c r="X216" s="1" t="s">
        <v>16</v>
      </c>
    </row>
    <row r="217" spans="1:24" x14ac:dyDescent="0.25">
      <c r="A217" s="1" t="str">
        <f t="shared" si="59"/>
        <v>卡卡杜-凤凰仓</v>
      </c>
      <c r="B217" s="1" t="str">
        <f>"CK202410311571"</f>
        <v>CK202410311571</v>
      </c>
      <c r="C217" s="1" t="str">
        <f>"DD2024103112712"</f>
        <v>DD2024103112712</v>
      </c>
      <c r="D217" s="1" t="str">
        <f>"CK2024103119038"</f>
        <v>CK2024103119038</v>
      </c>
      <c r="E217" s="1" t="str">
        <f>"3723674535011945472"</f>
        <v>3723674535011945472</v>
      </c>
      <c r="F217" s="1" t="str">
        <f t="shared" si="60"/>
        <v>花都四部-凤凰仓</v>
      </c>
      <c r="G217" s="1" t="str">
        <f t="shared" si="65"/>
        <v>卡卡杜企业店（视频号）</v>
      </c>
      <c r="H217" s="1" t="str">
        <f t="shared" si="61"/>
        <v>正常订单</v>
      </c>
      <c r="I217" s="1" t="str">
        <f t="shared" si="62"/>
        <v>已发货</v>
      </c>
      <c r="J217" s="1" t="str">
        <f t="shared" ref="J217:J220" si="69">"2"</f>
        <v>2</v>
      </c>
      <c r="K217" s="1">
        <v>2</v>
      </c>
      <c r="L217" s="1" t="s">
        <v>32</v>
      </c>
      <c r="M217" s="1" t="str">
        <f>"陕西省 西安市 雁塔区 "</f>
        <v xml:space="preserve">陕西省 西安市 雁塔区 </v>
      </c>
      <c r="N217" s="1" t="str">
        <f t="shared" si="66"/>
        <v>凡华云仓-城南圆通-微信视频号</v>
      </c>
      <c r="O217" s="5" t="s">
        <v>257</v>
      </c>
      <c r="P217" s="6">
        <v>0.17</v>
      </c>
      <c r="Q217" s="11">
        <v>2</v>
      </c>
      <c r="R217" s="11"/>
      <c r="S217" s="11"/>
      <c r="T217" s="11"/>
      <c r="U217" s="11">
        <f t="shared" si="63"/>
        <v>2</v>
      </c>
      <c r="W217">
        <v>2.2000000000000002</v>
      </c>
      <c r="X217" s="1" t="s">
        <v>32</v>
      </c>
    </row>
    <row r="218" spans="1:24" x14ac:dyDescent="0.25">
      <c r="A218" s="1" t="str">
        <f t="shared" si="59"/>
        <v>卡卡杜-凤凰仓</v>
      </c>
      <c r="B218" s="1" t="str">
        <f>"CK202410311572"</f>
        <v>CK202410311572</v>
      </c>
      <c r="C218" s="1" t="str">
        <f>"DD2024103112711"</f>
        <v>DD2024103112711</v>
      </c>
      <c r="D218" s="1" t="str">
        <f>"CK2024103119037"</f>
        <v>CK2024103119037</v>
      </c>
      <c r="E218" s="1" t="str">
        <f>"3723674533812637696"</f>
        <v>3723674533812637696</v>
      </c>
      <c r="F218" s="1" t="str">
        <f t="shared" si="60"/>
        <v>花都四部-凤凰仓</v>
      </c>
      <c r="G218" s="1" t="str">
        <f t="shared" si="65"/>
        <v>卡卡杜企业店（视频号）</v>
      </c>
      <c r="H218" s="1" t="str">
        <f t="shared" si="61"/>
        <v>正常订单</v>
      </c>
      <c r="I218" s="1" t="str">
        <f t="shared" si="62"/>
        <v>已发货</v>
      </c>
      <c r="J218" s="1" t="str">
        <f t="shared" si="69"/>
        <v>2</v>
      </c>
      <c r="K218" s="1">
        <v>2</v>
      </c>
      <c r="L218" s="1" t="s">
        <v>161</v>
      </c>
      <c r="M218" s="1" t="str">
        <f>"四川省 成都市 金牛区 "</f>
        <v xml:space="preserve">四川省 成都市 金牛区 </v>
      </c>
      <c r="N218" s="1" t="str">
        <f t="shared" si="66"/>
        <v>凡华云仓-城南圆通-微信视频号</v>
      </c>
      <c r="O218" s="5" t="s">
        <v>258</v>
      </c>
      <c r="P218" s="6">
        <v>0.17</v>
      </c>
      <c r="Q218" s="11">
        <v>2</v>
      </c>
      <c r="R218" s="11"/>
      <c r="S218" s="11"/>
      <c r="T218" s="11"/>
      <c r="U218" s="11">
        <f t="shared" si="63"/>
        <v>2</v>
      </c>
      <c r="W218">
        <v>2.2000000000000002</v>
      </c>
      <c r="X218" s="1" t="s">
        <v>161</v>
      </c>
    </row>
    <row r="219" spans="1:24" x14ac:dyDescent="0.25">
      <c r="A219" s="1" t="str">
        <f t="shared" si="59"/>
        <v>卡卡杜-凤凰仓</v>
      </c>
      <c r="B219" s="1" t="str">
        <f>"CK202410311573"</f>
        <v>CK202410311573</v>
      </c>
      <c r="C219" s="1" t="str">
        <f>"DD2024103112713"</f>
        <v>DD2024103112713</v>
      </c>
      <c r="D219" s="1" t="str">
        <f>"CK2024103119036"</f>
        <v>CK2024103119036</v>
      </c>
      <c r="E219" s="1" t="str">
        <f>"3723674530352337920"</f>
        <v>3723674530352337920</v>
      </c>
      <c r="F219" s="1" t="str">
        <f t="shared" si="60"/>
        <v>花都四部-凤凰仓</v>
      </c>
      <c r="G219" s="1" t="str">
        <f t="shared" si="65"/>
        <v>卡卡杜企业店（视频号）</v>
      </c>
      <c r="H219" s="1" t="str">
        <f t="shared" si="61"/>
        <v>正常订单</v>
      </c>
      <c r="I219" s="1" t="str">
        <f t="shared" si="62"/>
        <v>已发货</v>
      </c>
      <c r="J219" s="1" t="str">
        <f t="shared" si="69"/>
        <v>2</v>
      </c>
      <c r="K219" s="1">
        <v>2</v>
      </c>
      <c r="L219" s="1" t="s">
        <v>109</v>
      </c>
      <c r="M219" s="1" t="str">
        <f>"山西省 太原市 小店区 "</f>
        <v xml:space="preserve">山西省 太原市 小店区 </v>
      </c>
      <c r="N219" s="1" t="str">
        <f t="shared" si="66"/>
        <v>凡华云仓-城南圆通-微信视频号</v>
      </c>
      <c r="O219" s="5" t="s">
        <v>259</v>
      </c>
      <c r="P219" s="6">
        <v>0.17</v>
      </c>
      <c r="Q219" s="11">
        <v>2</v>
      </c>
      <c r="R219" s="11"/>
      <c r="S219" s="11"/>
      <c r="T219" s="11"/>
      <c r="U219" s="11">
        <f t="shared" si="63"/>
        <v>2</v>
      </c>
      <c r="W219">
        <v>2.2000000000000002</v>
      </c>
      <c r="X219" s="1" t="s">
        <v>109</v>
      </c>
    </row>
    <row r="220" spans="1:24" x14ac:dyDescent="0.25">
      <c r="A220" s="1" t="str">
        <f t="shared" si="59"/>
        <v>卡卡杜-凤凰仓</v>
      </c>
      <c r="B220" s="1" t="str">
        <f>"CK202410311575"</f>
        <v>CK202410311575</v>
      </c>
      <c r="C220" s="1" t="str">
        <f>"DD2024103112716"</f>
        <v>DD2024103112716</v>
      </c>
      <c r="D220" s="1" t="str">
        <f>"CK2024103119035"</f>
        <v>CK2024103119035</v>
      </c>
      <c r="E220" s="1" t="str">
        <f>"3723674527266899456"</f>
        <v>3723674527266899456</v>
      </c>
      <c r="F220" s="1" t="str">
        <f t="shared" si="60"/>
        <v>花都四部-凤凰仓</v>
      </c>
      <c r="G220" s="1" t="str">
        <f t="shared" si="65"/>
        <v>卡卡杜企业店（视频号）</v>
      </c>
      <c r="H220" s="1" t="str">
        <f t="shared" si="61"/>
        <v>正常订单</v>
      </c>
      <c r="I220" s="1" t="str">
        <f t="shared" si="62"/>
        <v>已发货</v>
      </c>
      <c r="J220" s="1" t="str">
        <f t="shared" si="69"/>
        <v>2</v>
      </c>
      <c r="K220" s="1">
        <v>2</v>
      </c>
      <c r="L220" s="1" t="s">
        <v>105</v>
      </c>
      <c r="M220" s="1" t="str">
        <f>"北京 北京市 海淀区 "</f>
        <v xml:space="preserve">北京 北京市 海淀区 </v>
      </c>
      <c r="N220" s="1" t="str">
        <f t="shared" si="66"/>
        <v>凡华云仓-城南圆通-微信视频号</v>
      </c>
      <c r="O220" s="5" t="s">
        <v>260</v>
      </c>
      <c r="P220" s="6">
        <v>0.17</v>
      </c>
      <c r="Q220" s="11">
        <v>2</v>
      </c>
      <c r="R220" s="11"/>
      <c r="S220" s="11"/>
      <c r="T220" s="11"/>
      <c r="U220" s="11">
        <f t="shared" si="63"/>
        <v>2</v>
      </c>
      <c r="W220">
        <v>2.2000000000000002</v>
      </c>
      <c r="X220" s="1" t="s">
        <v>105</v>
      </c>
    </row>
    <row r="221" spans="1:24" x14ac:dyDescent="0.25">
      <c r="A221" s="1" t="str">
        <f t="shared" si="59"/>
        <v>卡卡杜-凤凰仓</v>
      </c>
      <c r="B221" s="1" t="str">
        <f>"CK20241031224"</f>
        <v>CK20241031224</v>
      </c>
      <c r="C221" s="1" t="str">
        <f>"DD2024103112446"</f>
        <v>DD2024103112446</v>
      </c>
      <c r="D221" s="1" t="str">
        <f>"CK2024103119034"</f>
        <v>CK2024103119034</v>
      </c>
      <c r="E221" s="1" t="str">
        <f>"3723674528320457728"</f>
        <v>3723674528320457728</v>
      </c>
      <c r="F221" s="1" t="str">
        <f t="shared" si="60"/>
        <v>花都四部-凤凰仓</v>
      </c>
      <c r="G221" s="1" t="str">
        <f t="shared" si="65"/>
        <v>卡卡杜企业店（视频号）</v>
      </c>
      <c r="H221" s="1" t="str">
        <f t="shared" si="61"/>
        <v>正常订单</v>
      </c>
      <c r="I221" s="1" t="str">
        <f t="shared" si="62"/>
        <v>已发货</v>
      </c>
      <c r="J221" s="1" t="str">
        <f t="shared" ref="J221:J223" si="70">"3"</f>
        <v>3</v>
      </c>
      <c r="K221" s="1">
        <v>2</v>
      </c>
      <c r="L221" s="1" t="s">
        <v>27</v>
      </c>
      <c r="M221" s="1" t="str">
        <f>"贵州省 黔南布依族苗族自治州 平塘县 "</f>
        <v xml:space="preserve">贵州省 黔南布依族苗族自治州 平塘县 </v>
      </c>
      <c r="N221" s="1" t="str">
        <f t="shared" si="66"/>
        <v>凡华云仓-城南圆通-微信视频号</v>
      </c>
      <c r="O221" s="5" t="s">
        <v>261</v>
      </c>
      <c r="P221" s="6">
        <v>0.25</v>
      </c>
      <c r="Q221" s="11">
        <v>2</v>
      </c>
      <c r="R221" s="11"/>
      <c r="S221" s="11"/>
      <c r="T221" s="11"/>
      <c r="U221" s="11">
        <f t="shared" si="63"/>
        <v>2</v>
      </c>
      <c r="W221">
        <v>2.2000000000000002</v>
      </c>
      <c r="X221" s="1" t="s">
        <v>27</v>
      </c>
    </row>
    <row r="222" spans="1:24" x14ac:dyDescent="0.25">
      <c r="A222" s="1" t="str">
        <f t="shared" si="59"/>
        <v>卡卡杜-凤凰仓</v>
      </c>
      <c r="B222" s="1" t="str">
        <f>"CK20241031190"</f>
        <v>CK20241031190</v>
      </c>
      <c r="C222" s="1" t="str">
        <f>"DD2024103112411"</f>
        <v>DD2024103112411</v>
      </c>
      <c r="D222" s="1" t="str">
        <f>"CK2024103119033"</f>
        <v>CK2024103119033</v>
      </c>
      <c r="E222" s="1" t="str">
        <f>"3723674526180312577"</f>
        <v>3723674526180312577</v>
      </c>
      <c r="F222" s="1" t="str">
        <f t="shared" si="60"/>
        <v>花都四部-凤凰仓</v>
      </c>
      <c r="G222" s="1" t="str">
        <f t="shared" si="65"/>
        <v>卡卡杜企业店（视频号）</v>
      </c>
      <c r="H222" s="1" t="str">
        <f t="shared" si="61"/>
        <v>正常订单</v>
      </c>
      <c r="I222" s="1" t="str">
        <f t="shared" si="62"/>
        <v>已发货</v>
      </c>
      <c r="J222" s="1" t="str">
        <f t="shared" si="70"/>
        <v>3</v>
      </c>
      <c r="K222" s="1">
        <v>2</v>
      </c>
      <c r="L222" s="1" t="s">
        <v>74</v>
      </c>
      <c r="M222" s="1" t="str">
        <f>"上海 上海市 黄浦区 "</f>
        <v xml:space="preserve">上海 上海市 黄浦区 </v>
      </c>
      <c r="N222" s="1" t="str">
        <f t="shared" si="66"/>
        <v>凡华云仓-城南圆通-微信视频号</v>
      </c>
      <c r="O222" s="5" t="s">
        <v>262</v>
      </c>
      <c r="P222" s="6">
        <v>0.25</v>
      </c>
      <c r="Q222" s="11">
        <v>2</v>
      </c>
      <c r="R222" s="11"/>
      <c r="S222" s="11"/>
      <c r="T222" s="11"/>
      <c r="U222" s="11">
        <f t="shared" si="63"/>
        <v>2</v>
      </c>
      <c r="W222">
        <v>2.2000000000000002</v>
      </c>
      <c r="X222" s="1" t="s">
        <v>74</v>
      </c>
    </row>
    <row r="223" spans="1:24" x14ac:dyDescent="0.25">
      <c r="A223" s="1" t="str">
        <f t="shared" si="59"/>
        <v>卡卡杜-凤凰仓</v>
      </c>
      <c r="B223" s="1" t="str">
        <f>"CK20241031220"</f>
        <v>CK20241031220</v>
      </c>
      <c r="C223" s="1" t="str">
        <f>"DD2024103112441"</f>
        <v>DD2024103112441</v>
      </c>
      <c r="D223" s="1" t="str">
        <f>"CK2024103119032"</f>
        <v>CK2024103119032</v>
      </c>
      <c r="E223" s="1" t="str">
        <f>"3723674529210961921"</f>
        <v>3723674529210961921</v>
      </c>
      <c r="F223" s="1" t="str">
        <f t="shared" si="60"/>
        <v>花都四部-凤凰仓</v>
      </c>
      <c r="G223" s="1" t="str">
        <f t="shared" si="65"/>
        <v>卡卡杜企业店（视频号）</v>
      </c>
      <c r="H223" s="1" t="str">
        <f t="shared" si="61"/>
        <v>正常订单</v>
      </c>
      <c r="I223" s="1" t="str">
        <f t="shared" si="62"/>
        <v>已发货</v>
      </c>
      <c r="J223" s="1" t="str">
        <f t="shared" si="70"/>
        <v>3</v>
      </c>
      <c r="K223" s="1">
        <v>2</v>
      </c>
      <c r="L223" s="1" t="s">
        <v>54</v>
      </c>
      <c r="M223" s="1" t="str">
        <f>"黑龙江省 齐齐哈尔市 龙沙区 "</f>
        <v xml:space="preserve">黑龙江省 齐齐哈尔市 龙沙区 </v>
      </c>
      <c r="N223" s="1" t="str">
        <f t="shared" si="66"/>
        <v>凡华云仓-城南圆通-微信视频号</v>
      </c>
      <c r="O223" s="5" t="s">
        <v>263</v>
      </c>
      <c r="P223" s="6">
        <v>0.25</v>
      </c>
      <c r="Q223" s="11">
        <v>2</v>
      </c>
      <c r="R223" s="11"/>
      <c r="S223" s="11"/>
      <c r="T223" s="11"/>
      <c r="U223" s="11">
        <f t="shared" si="63"/>
        <v>2</v>
      </c>
      <c r="W223">
        <v>2.2000000000000002</v>
      </c>
      <c r="X223" s="1" t="s">
        <v>54</v>
      </c>
    </row>
    <row r="224" spans="1:24" x14ac:dyDescent="0.25">
      <c r="A224" s="1" t="str">
        <f t="shared" si="59"/>
        <v>卡卡杜-凤凰仓</v>
      </c>
      <c r="B224" s="1" t="str">
        <f>"CK202410311574"</f>
        <v>CK202410311574</v>
      </c>
      <c r="C224" s="1" t="str">
        <f>"DD2024103112714"</f>
        <v>DD2024103112714</v>
      </c>
      <c r="D224" s="1" t="str">
        <f>"CK2024103119031"</f>
        <v>CK2024103119031</v>
      </c>
      <c r="E224" s="1" t="str">
        <f>"3723674522669419521"</f>
        <v>3723674522669419521</v>
      </c>
      <c r="F224" s="1" t="str">
        <f t="shared" si="60"/>
        <v>花都四部-凤凰仓</v>
      </c>
      <c r="G224" s="1" t="str">
        <f t="shared" si="65"/>
        <v>卡卡杜企业店（视频号）</v>
      </c>
      <c r="H224" s="1" t="str">
        <f t="shared" si="61"/>
        <v>正常订单</v>
      </c>
      <c r="I224" s="1" t="str">
        <f t="shared" si="62"/>
        <v>已发货</v>
      </c>
      <c r="J224" s="1" t="str">
        <f t="shared" ref="J224:J239" si="71">"2"</f>
        <v>2</v>
      </c>
      <c r="K224" s="1">
        <v>2</v>
      </c>
      <c r="L224" s="1" t="s">
        <v>13</v>
      </c>
      <c r="M224" s="1" t="str">
        <f>"江苏省 无锡市 新吴区 "</f>
        <v xml:space="preserve">江苏省 无锡市 新吴区 </v>
      </c>
      <c r="N224" s="1" t="str">
        <f t="shared" si="66"/>
        <v>凡华云仓-城南圆通-微信视频号</v>
      </c>
      <c r="O224" s="5" t="s">
        <v>264</v>
      </c>
      <c r="P224" s="6">
        <v>0.17</v>
      </c>
      <c r="Q224" s="11">
        <v>2</v>
      </c>
      <c r="R224" s="11"/>
      <c r="S224" s="11"/>
      <c r="T224" s="11"/>
      <c r="U224" s="11">
        <f t="shared" si="63"/>
        <v>2</v>
      </c>
      <c r="W224">
        <v>2.2000000000000002</v>
      </c>
      <c r="X224" s="1" t="s">
        <v>13</v>
      </c>
    </row>
    <row r="225" spans="1:24" x14ac:dyDescent="0.25">
      <c r="A225" s="1" t="str">
        <f t="shared" si="59"/>
        <v>卡卡杜-凤凰仓</v>
      </c>
      <c r="B225" s="1" t="str">
        <f>"CK20241031206"</f>
        <v>CK20241031206</v>
      </c>
      <c r="C225" s="1" t="str">
        <f>"DD2024103112427"</f>
        <v>DD2024103112427</v>
      </c>
      <c r="D225" s="1" t="str">
        <f>"CK2024103119030"</f>
        <v>CK2024103119030</v>
      </c>
      <c r="E225" s="1" t="str">
        <f>"3723674526961241088"</f>
        <v>3723674526961241088</v>
      </c>
      <c r="F225" s="1" t="str">
        <f t="shared" si="60"/>
        <v>花都四部-凤凰仓</v>
      </c>
      <c r="G225" s="1" t="str">
        <f t="shared" si="65"/>
        <v>卡卡杜企业店（视频号）</v>
      </c>
      <c r="H225" s="1" t="str">
        <f t="shared" si="61"/>
        <v>正常订单</v>
      </c>
      <c r="I225" s="1" t="str">
        <f t="shared" si="62"/>
        <v>已发货</v>
      </c>
      <c r="J225" s="1" t="str">
        <f>"3"</f>
        <v>3</v>
      </c>
      <c r="K225" s="1">
        <v>2</v>
      </c>
      <c r="L225" s="1" t="s">
        <v>105</v>
      </c>
      <c r="M225" s="1" t="str">
        <f>"北京 北京市 昌平区 "</f>
        <v xml:space="preserve">北京 北京市 昌平区 </v>
      </c>
      <c r="N225" s="1" t="str">
        <f t="shared" si="66"/>
        <v>凡华云仓-城南圆通-微信视频号</v>
      </c>
      <c r="O225" s="5" t="s">
        <v>265</v>
      </c>
      <c r="P225" s="6">
        <v>0.25</v>
      </c>
      <c r="Q225" s="11">
        <v>2</v>
      </c>
      <c r="R225" s="11"/>
      <c r="S225" s="11"/>
      <c r="T225" s="11"/>
      <c r="U225" s="11">
        <f t="shared" si="63"/>
        <v>2</v>
      </c>
      <c r="W225">
        <v>2.2000000000000002</v>
      </c>
      <c r="X225" s="1" t="s">
        <v>105</v>
      </c>
    </row>
    <row r="226" spans="1:24" x14ac:dyDescent="0.25">
      <c r="A226" s="1" t="str">
        <f t="shared" si="59"/>
        <v>卡卡杜-凤凰仓</v>
      </c>
      <c r="B226" s="1" t="str">
        <f>"CK202410311578"</f>
        <v>CK202410311578</v>
      </c>
      <c r="C226" s="1" t="str">
        <f>"DD2024103112718"</f>
        <v>DD2024103112718</v>
      </c>
      <c r="D226" s="1" t="str">
        <f>"CK2024103119029"</f>
        <v>CK2024103119029</v>
      </c>
      <c r="E226" s="1" t="str">
        <f>"3723674526296442112"</f>
        <v>3723674526296442112</v>
      </c>
      <c r="F226" s="1" t="str">
        <f t="shared" si="60"/>
        <v>花都四部-凤凰仓</v>
      </c>
      <c r="G226" s="1" t="str">
        <f t="shared" si="65"/>
        <v>卡卡杜企业店（视频号）</v>
      </c>
      <c r="H226" s="1" t="str">
        <f t="shared" si="61"/>
        <v>正常订单</v>
      </c>
      <c r="I226" s="1" t="str">
        <f t="shared" si="62"/>
        <v>已发货</v>
      </c>
      <c r="J226" s="1" t="str">
        <f t="shared" si="71"/>
        <v>2</v>
      </c>
      <c r="K226" s="1">
        <v>2</v>
      </c>
      <c r="L226" s="1" t="s">
        <v>30</v>
      </c>
      <c r="M226" s="1" t="str">
        <f>"山东省 泰安市 东平县 "</f>
        <v xml:space="preserve">山东省 泰安市 东平县 </v>
      </c>
      <c r="N226" s="1" t="str">
        <f t="shared" si="66"/>
        <v>凡华云仓-城南圆通-微信视频号</v>
      </c>
      <c r="O226" s="5" t="s">
        <v>266</v>
      </c>
      <c r="P226" s="6">
        <v>0.17</v>
      </c>
      <c r="Q226" s="11">
        <v>2</v>
      </c>
      <c r="R226" s="11"/>
      <c r="S226" s="11"/>
      <c r="T226" s="11"/>
      <c r="U226" s="11">
        <f t="shared" si="63"/>
        <v>2</v>
      </c>
      <c r="W226">
        <v>2.2000000000000002</v>
      </c>
      <c r="X226" s="1" t="s">
        <v>30</v>
      </c>
    </row>
    <row r="227" spans="1:24" x14ac:dyDescent="0.25">
      <c r="A227" s="1" t="str">
        <f t="shared" si="59"/>
        <v>卡卡杜-凤凰仓</v>
      </c>
      <c r="B227" s="1" t="str">
        <f>"CK202410311587"</f>
        <v>CK202410311587</v>
      </c>
      <c r="C227" s="1" t="str">
        <f>"DD2024103112727"</f>
        <v>DD2024103112727</v>
      </c>
      <c r="D227" s="1" t="str">
        <f>"CK2024103119028"</f>
        <v>CK2024103119028</v>
      </c>
      <c r="E227" s="1" t="str">
        <f>"3723674519035053569"</f>
        <v>3723674519035053569</v>
      </c>
      <c r="F227" s="1" t="str">
        <f t="shared" si="60"/>
        <v>花都四部-凤凰仓</v>
      </c>
      <c r="G227" s="1" t="str">
        <f t="shared" si="65"/>
        <v>卡卡杜企业店（视频号）</v>
      </c>
      <c r="H227" s="1" t="str">
        <f t="shared" si="61"/>
        <v>正常订单</v>
      </c>
      <c r="I227" s="1" t="str">
        <f t="shared" si="62"/>
        <v>已发货</v>
      </c>
      <c r="J227" s="1" t="str">
        <f t="shared" si="71"/>
        <v>2</v>
      </c>
      <c r="K227" s="1">
        <v>2</v>
      </c>
      <c r="L227" s="1" t="s">
        <v>30</v>
      </c>
      <c r="M227" s="1" t="str">
        <f>"山东省 淄博市 张店区 "</f>
        <v xml:space="preserve">山东省 淄博市 张店区 </v>
      </c>
      <c r="N227" s="1" t="str">
        <f t="shared" si="66"/>
        <v>凡华云仓-城南圆通-微信视频号</v>
      </c>
      <c r="O227" s="5" t="s">
        <v>267</v>
      </c>
      <c r="P227" s="6">
        <v>0.17</v>
      </c>
      <c r="Q227" s="11">
        <v>2</v>
      </c>
      <c r="R227" s="11"/>
      <c r="S227" s="11"/>
      <c r="T227" s="11"/>
      <c r="U227" s="11">
        <f t="shared" si="63"/>
        <v>2</v>
      </c>
      <c r="W227">
        <v>2.2000000000000002</v>
      </c>
      <c r="X227" s="1" t="s">
        <v>30</v>
      </c>
    </row>
    <row r="228" spans="1:24" x14ac:dyDescent="0.25">
      <c r="A228" s="1" t="str">
        <f t="shared" si="59"/>
        <v>卡卡杜-凤凰仓</v>
      </c>
      <c r="B228" s="1" t="str">
        <f>"CK202410311576"</f>
        <v>CK202410311576</v>
      </c>
      <c r="C228" s="1" t="str">
        <f>"DD2024103112715"</f>
        <v>DD2024103112715</v>
      </c>
      <c r="D228" s="1" t="str">
        <f>"CK2024103119027"</f>
        <v>CK2024103119027</v>
      </c>
      <c r="E228" s="1" t="str">
        <f>"3723674525525741569"</f>
        <v>3723674525525741569</v>
      </c>
      <c r="F228" s="1" t="str">
        <f t="shared" si="60"/>
        <v>花都四部-凤凰仓</v>
      </c>
      <c r="G228" s="1" t="str">
        <f t="shared" si="65"/>
        <v>卡卡杜企业店（视频号）</v>
      </c>
      <c r="H228" s="1" t="str">
        <f t="shared" si="61"/>
        <v>正常订单</v>
      </c>
      <c r="I228" s="1" t="str">
        <f t="shared" si="62"/>
        <v>已发货</v>
      </c>
      <c r="J228" s="1" t="str">
        <f t="shared" si="71"/>
        <v>2</v>
      </c>
      <c r="K228" s="1">
        <v>2</v>
      </c>
      <c r="L228" s="1" t="s">
        <v>105</v>
      </c>
      <c r="M228" s="1" t="str">
        <f>"北京 北京市 丰台区 "</f>
        <v xml:space="preserve">北京 北京市 丰台区 </v>
      </c>
      <c r="N228" s="1" t="str">
        <f t="shared" si="66"/>
        <v>凡华云仓-城南圆通-微信视频号</v>
      </c>
      <c r="O228" s="5" t="s">
        <v>268</v>
      </c>
      <c r="P228" s="6">
        <v>0.17</v>
      </c>
      <c r="Q228" s="11">
        <v>2</v>
      </c>
      <c r="R228" s="11"/>
      <c r="S228" s="11"/>
      <c r="T228" s="11"/>
      <c r="U228" s="11">
        <f t="shared" si="63"/>
        <v>2</v>
      </c>
      <c r="W228">
        <v>2.2000000000000002</v>
      </c>
      <c r="X228" s="1" t="s">
        <v>105</v>
      </c>
    </row>
    <row r="229" spans="1:24" x14ac:dyDescent="0.25">
      <c r="A229" s="1" t="str">
        <f t="shared" si="59"/>
        <v>卡卡杜-凤凰仓</v>
      </c>
      <c r="B229" s="1" t="str">
        <f>"CK202410311577"</f>
        <v>CK202410311577</v>
      </c>
      <c r="C229" s="1" t="str">
        <f>"DD2024103112717"</f>
        <v>DD2024103112717</v>
      </c>
      <c r="D229" s="1" t="str">
        <f>"CK2024103119026"</f>
        <v>CK2024103119026</v>
      </c>
      <c r="E229" s="1" t="str">
        <f>"3723674523284409344"</f>
        <v>3723674523284409344</v>
      </c>
      <c r="F229" s="1" t="str">
        <f t="shared" si="60"/>
        <v>花都四部-凤凰仓</v>
      </c>
      <c r="G229" s="1" t="str">
        <f t="shared" si="65"/>
        <v>卡卡杜企业店（视频号）</v>
      </c>
      <c r="H229" s="1" t="str">
        <f t="shared" si="61"/>
        <v>正常订单</v>
      </c>
      <c r="I229" s="1" t="str">
        <f t="shared" si="62"/>
        <v>已发货</v>
      </c>
      <c r="J229" s="1" t="str">
        <f t="shared" si="71"/>
        <v>2</v>
      </c>
      <c r="K229" s="1">
        <v>2</v>
      </c>
      <c r="L229" s="1" t="s">
        <v>44</v>
      </c>
      <c r="M229" s="1" t="str">
        <f>"海南省 海口市 美兰区 "</f>
        <v xml:space="preserve">海南省 海口市 美兰区 </v>
      </c>
      <c r="N229" s="1" t="str">
        <f t="shared" si="66"/>
        <v>凡华云仓-城南圆通-微信视频号</v>
      </c>
      <c r="O229" s="5" t="s">
        <v>269</v>
      </c>
      <c r="P229" s="6">
        <v>0.17</v>
      </c>
      <c r="Q229" s="11">
        <v>2</v>
      </c>
      <c r="R229" s="11"/>
      <c r="S229" s="11"/>
      <c r="T229" s="11"/>
      <c r="U229" s="11">
        <f t="shared" si="63"/>
        <v>2</v>
      </c>
      <c r="W229">
        <v>2.2000000000000002</v>
      </c>
      <c r="X229" s="1" t="s">
        <v>44</v>
      </c>
    </row>
    <row r="230" spans="1:24" x14ac:dyDescent="0.25">
      <c r="A230" s="1" t="str">
        <f t="shared" si="59"/>
        <v>卡卡杜-凤凰仓</v>
      </c>
      <c r="B230" s="1" t="str">
        <f>"CK202410311580"</f>
        <v>CK202410311580</v>
      </c>
      <c r="C230" s="1" t="str">
        <f>"DD2024103112720"</f>
        <v>DD2024103112720</v>
      </c>
      <c r="D230" s="1" t="str">
        <f>"CK2024103119025"</f>
        <v>CK2024103119025</v>
      </c>
      <c r="E230" s="1" t="str">
        <f>"3723674524180678144"</f>
        <v>3723674524180678144</v>
      </c>
      <c r="F230" s="1" t="str">
        <f t="shared" si="60"/>
        <v>花都四部-凤凰仓</v>
      </c>
      <c r="G230" s="1" t="str">
        <f t="shared" si="65"/>
        <v>卡卡杜企业店（视频号）</v>
      </c>
      <c r="H230" s="1" t="str">
        <f t="shared" si="61"/>
        <v>正常订单</v>
      </c>
      <c r="I230" s="1" t="str">
        <f t="shared" si="62"/>
        <v>已发货</v>
      </c>
      <c r="J230" s="1" t="str">
        <f t="shared" si="71"/>
        <v>2</v>
      </c>
      <c r="K230" s="1">
        <v>2</v>
      </c>
      <c r="L230" s="1" t="s">
        <v>74</v>
      </c>
      <c r="M230" s="1" t="str">
        <f>"上海 上海市 杨浦区 "</f>
        <v xml:space="preserve">上海 上海市 杨浦区 </v>
      </c>
      <c r="N230" s="1" t="str">
        <f t="shared" si="66"/>
        <v>凡华云仓-城南圆通-微信视频号</v>
      </c>
      <c r="O230" s="5" t="s">
        <v>270</v>
      </c>
      <c r="P230" s="6">
        <v>0.17</v>
      </c>
      <c r="Q230" s="11">
        <v>2</v>
      </c>
      <c r="R230" s="11"/>
      <c r="S230" s="11"/>
      <c r="T230" s="11"/>
      <c r="U230" s="11">
        <f t="shared" si="63"/>
        <v>2</v>
      </c>
      <c r="W230">
        <v>2.2000000000000002</v>
      </c>
      <c r="X230" s="1" t="s">
        <v>74</v>
      </c>
    </row>
    <row r="231" spans="1:24" x14ac:dyDescent="0.25">
      <c r="A231" s="1" t="str">
        <f t="shared" si="59"/>
        <v>卡卡杜-凤凰仓</v>
      </c>
      <c r="B231" s="1" t="str">
        <f>"CK202410311579"</f>
        <v>CK202410311579</v>
      </c>
      <c r="C231" s="1" t="str">
        <f>"DD2024103112719"</f>
        <v>DD2024103112719</v>
      </c>
      <c r="D231" s="1" t="str">
        <f>"CK2024103119024"</f>
        <v>CK2024103119024</v>
      </c>
      <c r="E231" s="1" t="str">
        <f>"3723674523262390273"</f>
        <v>3723674523262390273</v>
      </c>
      <c r="F231" s="1" t="str">
        <f t="shared" si="60"/>
        <v>花都四部-凤凰仓</v>
      </c>
      <c r="G231" s="1" t="str">
        <f t="shared" si="65"/>
        <v>卡卡杜企业店（视频号）</v>
      </c>
      <c r="H231" s="1" t="str">
        <f t="shared" si="61"/>
        <v>正常订单</v>
      </c>
      <c r="I231" s="1" t="str">
        <f t="shared" si="62"/>
        <v>已发货</v>
      </c>
      <c r="J231" s="1" t="str">
        <f t="shared" si="71"/>
        <v>2</v>
      </c>
      <c r="K231" s="1">
        <v>2</v>
      </c>
      <c r="L231" s="1" t="s">
        <v>30</v>
      </c>
      <c r="M231" s="1" t="str">
        <f>"山东省 淄博市 张店区 "</f>
        <v xml:space="preserve">山东省 淄博市 张店区 </v>
      </c>
      <c r="N231" s="1" t="str">
        <f t="shared" si="66"/>
        <v>凡华云仓-城南圆通-微信视频号</v>
      </c>
      <c r="O231" s="5" t="s">
        <v>271</v>
      </c>
      <c r="P231" s="6">
        <v>0.17</v>
      </c>
      <c r="Q231" s="11">
        <v>2</v>
      </c>
      <c r="R231" s="11"/>
      <c r="S231" s="11"/>
      <c r="T231" s="11"/>
      <c r="U231" s="11">
        <f t="shared" si="63"/>
        <v>2</v>
      </c>
      <c r="W231">
        <v>2.2000000000000002</v>
      </c>
      <c r="X231" s="1" t="s">
        <v>30</v>
      </c>
    </row>
    <row r="232" spans="1:24" x14ac:dyDescent="0.25">
      <c r="A232" s="1" t="str">
        <f t="shared" si="59"/>
        <v>卡卡杜-凤凰仓</v>
      </c>
      <c r="B232" s="1" t="str">
        <f>"CK202410311589"</f>
        <v>CK202410311589</v>
      </c>
      <c r="C232" s="1" t="str">
        <f>"DD2024103112729"</f>
        <v>DD2024103112729</v>
      </c>
      <c r="D232" s="1" t="str">
        <f>"CK2024103119023"</f>
        <v>CK2024103119023</v>
      </c>
      <c r="E232" s="1" t="str">
        <f>"3723674518135114752"</f>
        <v>3723674518135114752</v>
      </c>
      <c r="F232" s="1" t="str">
        <f t="shared" si="60"/>
        <v>花都四部-凤凰仓</v>
      </c>
      <c r="G232" s="1" t="str">
        <f t="shared" si="65"/>
        <v>卡卡杜企业店（视频号）</v>
      </c>
      <c r="H232" s="1" t="str">
        <f t="shared" si="61"/>
        <v>正常订单</v>
      </c>
      <c r="I232" s="1" t="str">
        <f t="shared" si="62"/>
        <v>已发货</v>
      </c>
      <c r="J232" s="1" t="str">
        <f t="shared" si="71"/>
        <v>2</v>
      </c>
      <c r="K232" s="1">
        <v>2</v>
      </c>
      <c r="L232" s="1" t="s">
        <v>18</v>
      </c>
      <c r="M232" s="1" t="str">
        <f>"广东省 中山市 中山港街道 "</f>
        <v xml:space="preserve">广东省 中山市 中山港街道 </v>
      </c>
      <c r="N232" s="1" t="str">
        <f t="shared" si="66"/>
        <v>凡华云仓-城南圆通-微信视频号</v>
      </c>
      <c r="O232" s="5" t="s">
        <v>272</v>
      </c>
      <c r="P232" s="6">
        <v>0.17</v>
      </c>
      <c r="Q232" s="11">
        <v>2</v>
      </c>
      <c r="R232" s="11"/>
      <c r="S232" s="11"/>
      <c r="T232" s="11"/>
      <c r="U232" s="11">
        <f t="shared" si="63"/>
        <v>2</v>
      </c>
      <c r="W232">
        <v>2.2000000000000002</v>
      </c>
      <c r="X232" s="1" t="s">
        <v>18</v>
      </c>
    </row>
    <row r="233" spans="1:24" x14ac:dyDescent="0.25">
      <c r="A233" s="1" t="str">
        <f t="shared" si="59"/>
        <v>卡卡杜-凤凰仓</v>
      </c>
      <c r="B233" s="1" t="str">
        <f>"CK202410311585"</f>
        <v>CK202410311585</v>
      </c>
      <c r="C233" s="1" t="str">
        <f>"DD2024103112725"</f>
        <v>DD2024103112725</v>
      </c>
      <c r="D233" s="1" t="str">
        <f>"CK2024103119022"</f>
        <v>CK2024103119022</v>
      </c>
      <c r="E233" s="1" t="str">
        <f>"3723674520312220673"</f>
        <v>3723674520312220673</v>
      </c>
      <c r="F233" s="1" t="str">
        <f t="shared" si="60"/>
        <v>花都四部-凤凰仓</v>
      </c>
      <c r="G233" s="1" t="str">
        <f t="shared" si="65"/>
        <v>卡卡杜企业店（视频号）</v>
      </c>
      <c r="H233" s="1" t="str">
        <f t="shared" si="61"/>
        <v>正常订单</v>
      </c>
      <c r="I233" s="1" t="str">
        <f t="shared" si="62"/>
        <v>已发货</v>
      </c>
      <c r="J233" s="1" t="str">
        <f t="shared" si="71"/>
        <v>2</v>
      </c>
      <c r="K233" s="1">
        <v>2</v>
      </c>
      <c r="L233" s="1" t="s">
        <v>218</v>
      </c>
      <c r="M233" s="1" t="str">
        <f>"天津 天津市 河西区 "</f>
        <v xml:space="preserve">天津 天津市 河西区 </v>
      </c>
      <c r="N233" s="1" t="str">
        <f t="shared" si="66"/>
        <v>凡华云仓-城南圆通-微信视频号</v>
      </c>
      <c r="O233" s="5" t="s">
        <v>273</v>
      </c>
      <c r="P233" s="6">
        <v>0.17</v>
      </c>
      <c r="Q233" s="11">
        <v>2</v>
      </c>
      <c r="R233" s="11"/>
      <c r="S233" s="11"/>
      <c r="T233" s="11"/>
      <c r="U233" s="11">
        <f t="shared" si="63"/>
        <v>2</v>
      </c>
      <c r="W233">
        <v>2.2000000000000002</v>
      </c>
      <c r="X233" s="1" t="s">
        <v>218</v>
      </c>
    </row>
    <row r="234" spans="1:24" x14ac:dyDescent="0.25">
      <c r="A234" s="1" t="str">
        <f t="shared" si="59"/>
        <v>卡卡杜-凤凰仓</v>
      </c>
      <c r="B234" s="1" t="str">
        <f>"CK202410311581"</f>
        <v>CK202410311581</v>
      </c>
      <c r="C234" s="1" t="str">
        <f>"DD2024103112721"</f>
        <v>DD2024103112721</v>
      </c>
      <c r="D234" s="1" t="str">
        <f>"CK2024103119021"</f>
        <v>CK2024103119021</v>
      </c>
      <c r="E234" s="1" t="str">
        <f>"3723674522892764416"</f>
        <v>3723674522892764416</v>
      </c>
      <c r="F234" s="1" t="str">
        <f t="shared" si="60"/>
        <v>花都四部-凤凰仓</v>
      </c>
      <c r="G234" s="1" t="str">
        <f t="shared" si="65"/>
        <v>卡卡杜企业店（视频号）</v>
      </c>
      <c r="H234" s="1" t="str">
        <f t="shared" si="61"/>
        <v>正常订单</v>
      </c>
      <c r="I234" s="1" t="str">
        <f t="shared" si="62"/>
        <v>已发货</v>
      </c>
      <c r="J234" s="1" t="str">
        <f t="shared" si="71"/>
        <v>2</v>
      </c>
      <c r="K234" s="1">
        <v>2</v>
      </c>
      <c r="L234" s="1" t="s">
        <v>161</v>
      </c>
      <c r="M234" s="1" t="str">
        <f>"四川省 成都市 锦江区 "</f>
        <v xml:space="preserve">四川省 成都市 锦江区 </v>
      </c>
      <c r="N234" s="1" t="str">
        <f t="shared" si="66"/>
        <v>凡华云仓-城南圆通-微信视频号</v>
      </c>
      <c r="O234" s="5" t="s">
        <v>274</v>
      </c>
      <c r="P234" s="6">
        <v>0.17</v>
      </c>
      <c r="Q234" s="11">
        <v>2</v>
      </c>
      <c r="R234" s="11"/>
      <c r="S234" s="11"/>
      <c r="T234" s="11"/>
      <c r="U234" s="11">
        <f t="shared" si="63"/>
        <v>2</v>
      </c>
      <c r="W234">
        <v>2.2000000000000002</v>
      </c>
      <c r="X234" s="1" t="s">
        <v>161</v>
      </c>
    </row>
    <row r="235" spans="1:24" x14ac:dyDescent="0.25">
      <c r="A235" s="1" t="str">
        <f t="shared" si="59"/>
        <v>卡卡杜-凤凰仓</v>
      </c>
      <c r="B235" s="1" t="str">
        <f>"CK202410311582"</f>
        <v>CK202410311582</v>
      </c>
      <c r="C235" s="1" t="str">
        <f>"DD2024103112722"</f>
        <v>DD2024103112722</v>
      </c>
      <c r="D235" s="1" t="str">
        <f>"CK2024103119020"</f>
        <v>CK2024103119020</v>
      </c>
      <c r="E235" s="1" t="str">
        <f>"3723674520813438464"</f>
        <v>3723674520813438464</v>
      </c>
      <c r="F235" s="1" t="str">
        <f t="shared" si="60"/>
        <v>花都四部-凤凰仓</v>
      </c>
      <c r="G235" s="1" t="str">
        <f t="shared" si="65"/>
        <v>卡卡杜企业店（视频号）</v>
      </c>
      <c r="H235" s="1" t="str">
        <f t="shared" si="61"/>
        <v>正常订单</v>
      </c>
      <c r="I235" s="1" t="str">
        <f t="shared" si="62"/>
        <v>已发货</v>
      </c>
      <c r="J235" s="1" t="str">
        <f t="shared" si="71"/>
        <v>2</v>
      </c>
      <c r="K235" s="1">
        <v>2</v>
      </c>
      <c r="L235" s="1" t="s">
        <v>41</v>
      </c>
      <c r="M235" s="1" t="str">
        <f>"湖北省 武汉市 青山区 "</f>
        <v xml:space="preserve">湖北省 武汉市 青山区 </v>
      </c>
      <c r="N235" s="1" t="str">
        <f t="shared" si="66"/>
        <v>凡华云仓-城南圆通-微信视频号</v>
      </c>
      <c r="O235" s="5" t="s">
        <v>275</v>
      </c>
      <c r="P235" s="6">
        <v>0.17</v>
      </c>
      <c r="Q235" s="11">
        <v>2</v>
      </c>
      <c r="R235" s="11"/>
      <c r="S235" s="11"/>
      <c r="T235" s="11"/>
      <c r="U235" s="11">
        <f t="shared" si="63"/>
        <v>2</v>
      </c>
      <c r="W235">
        <v>2.2000000000000002</v>
      </c>
      <c r="X235" s="1" t="s">
        <v>41</v>
      </c>
    </row>
    <row r="236" spans="1:24" x14ac:dyDescent="0.25">
      <c r="A236" s="1" t="str">
        <f t="shared" si="59"/>
        <v>卡卡杜-凤凰仓</v>
      </c>
      <c r="B236" s="1" t="str">
        <f>"CK202410311584"</f>
        <v>CK202410311584</v>
      </c>
      <c r="C236" s="1" t="str">
        <f>"DD2024103112724"</f>
        <v>DD2024103112724</v>
      </c>
      <c r="D236" s="1" t="str">
        <f>"CK2024103119019"</f>
        <v>CK2024103119019</v>
      </c>
      <c r="E236" s="1" t="str">
        <f>"3723674518352434176"</f>
        <v>3723674518352434176</v>
      </c>
      <c r="F236" s="1" t="str">
        <f t="shared" si="60"/>
        <v>花都四部-凤凰仓</v>
      </c>
      <c r="G236" s="1" t="str">
        <f t="shared" si="65"/>
        <v>卡卡杜企业店（视频号）</v>
      </c>
      <c r="H236" s="1" t="str">
        <f t="shared" si="61"/>
        <v>正常订单</v>
      </c>
      <c r="I236" s="1" t="str">
        <f t="shared" si="62"/>
        <v>已发货</v>
      </c>
      <c r="J236" s="1" t="str">
        <f t="shared" si="71"/>
        <v>2</v>
      </c>
      <c r="K236" s="1">
        <v>2</v>
      </c>
      <c r="L236" s="1" t="s">
        <v>18</v>
      </c>
      <c r="M236" s="1" t="str">
        <f>"广东省 广州市 海珠区 "</f>
        <v xml:space="preserve">广东省 广州市 海珠区 </v>
      </c>
      <c r="N236" s="1" t="str">
        <f t="shared" si="66"/>
        <v>凡华云仓-城南圆通-微信视频号</v>
      </c>
      <c r="O236" s="5" t="s">
        <v>276</v>
      </c>
      <c r="P236" s="6">
        <v>0.17</v>
      </c>
      <c r="Q236" s="11">
        <v>2</v>
      </c>
      <c r="R236" s="11"/>
      <c r="S236" s="11"/>
      <c r="T236" s="11"/>
      <c r="U236" s="11">
        <f t="shared" si="63"/>
        <v>2</v>
      </c>
      <c r="W236">
        <v>2.2000000000000002</v>
      </c>
      <c r="X236" s="1" t="s">
        <v>18</v>
      </c>
    </row>
    <row r="237" spans="1:24" x14ac:dyDescent="0.25">
      <c r="A237" s="1" t="str">
        <f t="shared" si="59"/>
        <v>卡卡杜-凤凰仓</v>
      </c>
      <c r="B237" s="1" t="str">
        <f>"CK202410311586"</f>
        <v>CK202410311586</v>
      </c>
      <c r="C237" s="1" t="str">
        <f>"DD2024103112726"</f>
        <v>DD2024103112726</v>
      </c>
      <c r="D237" s="1" t="str">
        <f>"CK2024103119018"</f>
        <v>CK2024103119018</v>
      </c>
      <c r="E237" s="1" t="str">
        <f>"3723674519965667328"</f>
        <v>3723674519965667328</v>
      </c>
      <c r="F237" s="1" t="str">
        <f t="shared" si="60"/>
        <v>花都四部-凤凰仓</v>
      </c>
      <c r="G237" s="1" t="str">
        <f t="shared" si="65"/>
        <v>卡卡杜企业店（视频号）</v>
      </c>
      <c r="H237" s="1" t="str">
        <f t="shared" si="61"/>
        <v>正常订单</v>
      </c>
      <c r="I237" s="1" t="str">
        <f t="shared" si="62"/>
        <v>已发货</v>
      </c>
      <c r="J237" s="1" t="str">
        <f t="shared" si="71"/>
        <v>2</v>
      </c>
      <c r="K237" s="1">
        <v>2</v>
      </c>
      <c r="L237" s="1" t="s">
        <v>60</v>
      </c>
      <c r="M237" s="1" t="str">
        <f>"云南省 昆明市 东川区 "</f>
        <v xml:space="preserve">云南省 昆明市 东川区 </v>
      </c>
      <c r="N237" s="1" t="str">
        <f t="shared" si="66"/>
        <v>凡华云仓-城南圆通-微信视频号</v>
      </c>
      <c r="O237" s="5" t="s">
        <v>277</v>
      </c>
      <c r="P237" s="6">
        <v>0.17</v>
      </c>
      <c r="Q237" s="11">
        <v>2</v>
      </c>
      <c r="R237" s="11"/>
      <c r="S237" s="11"/>
      <c r="T237" s="11"/>
      <c r="U237" s="11">
        <f t="shared" si="63"/>
        <v>2</v>
      </c>
      <c r="W237">
        <v>2.2000000000000002</v>
      </c>
      <c r="X237" s="1" t="s">
        <v>60</v>
      </c>
    </row>
    <row r="238" spans="1:24" x14ac:dyDescent="0.25">
      <c r="A238" s="1" t="str">
        <f t="shared" si="59"/>
        <v>卡卡杜-凤凰仓</v>
      </c>
      <c r="B238" s="1" t="str">
        <f>"CK202410311583"</f>
        <v>CK202410311583</v>
      </c>
      <c r="C238" s="1" t="str">
        <f>"DD2024103112723"</f>
        <v>DD2024103112723</v>
      </c>
      <c r="D238" s="1" t="str">
        <f>"CK2024103119017"</f>
        <v>CK2024103119017</v>
      </c>
      <c r="E238" s="1" t="str">
        <f>"3723674520422843904"</f>
        <v>3723674520422843904</v>
      </c>
      <c r="F238" s="1" t="str">
        <f t="shared" si="60"/>
        <v>花都四部-凤凰仓</v>
      </c>
      <c r="G238" s="1" t="str">
        <f t="shared" si="65"/>
        <v>卡卡杜企业店（视频号）</v>
      </c>
      <c r="H238" s="1" t="str">
        <f t="shared" si="61"/>
        <v>正常订单</v>
      </c>
      <c r="I238" s="1" t="str">
        <f t="shared" si="62"/>
        <v>已发货</v>
      </c>
      <c r="J238" s="1" t="str">
        <f t="shared" si="71"/>
        <v>2</v>
      </c>
      <c r="K238" s="1">
        <v>2</v>
      </c>
      <c r="L238" s="1" t="s">
        <v>54</v>
      </c>
      <c r="M238" s="1" t="str">
        <f>"黑龙江省 大庆市 肇州县 "</f>
        <v xml:space="preserve">黑龙江省 大庆市 肇州县 </v>
      </c>
      <c r="N238" s="1" t="str">
        <f t="shared" si="66"/>
        <v>凡华云仓-城南圆通-微信视频号</v>
      </c>
      <c r="O238" s="5" t="s">
        <v>278</v>
      </c>
      <c r="P238" s="6">
        <v>0.17</v>
      </c>
      <c r="Q238" s="11">
        <v>2</v>
      </c>
      <c r="R238" s="11"/>
      <c r="S238" s="11"/>
      <c r="T238" s="11"/>
      <c r="U238" s="11">
        <f t="shared" si="63"/>
        <v>2</v>
      </c>
      <c r="W238">
        <v>2.2000000000000002</v>
      </c>
      <c r="X238" s="1" t="s">
        <v>54</v>
      </c>
    </row>
    <row r="239" spans="1:24" x14ac:dyDescent="0.25">
      <c r="A239" s="1" t="str">
        <f t="shared" si="59"/>
        <v>卡卡杜-凤凰仓</v>
      </c>
      <c r="B239" s="1" t="str">
        <f>"CK202410311588"</f>
        <v>CK202410311588</v>
      </c>
      <c r="C239" s="1" t="str">
        <f>"DD2024103112728"</f>
        <v>DD2024103112728</v>
      </c>
      <c r="D239" s="1" t="str">
        <f>"CK2024103119016"</f>
        <v>CK2024103119016</v>
      </c>
      <c r="E239" s="1" t="str">
        <f>"3723674518830060544"</f>
        <v>3723674518830060544</v>
      </c>
      <c r="F239" s="1" t="str">
        <f t="shared" si="60"/>
        <v>花都四部-凤凰仓</v>
      </c>
      <c r="G239" s="1" t="str">
        <f t="shared" si="65"/>
        <v>卡卡杜企业店（视频号）</v>
      </c>
      <c r="H239" s="1" t="str">
        <f t="shared" si="61"/>
        <v>正常订单</v>
      </c>
      <c r="I239" s="1" t="str">
        <f t="shared" si="62"/>
        <v>已发货</v>
      </c>
      <c r="J239" s="1" t="str">
        <f t="shared" si="71"/>
        <v>2</v>
      </c>
      <c r="K239" s="1">
        <v>2</v>
      </c>
      <c r="L239" s="1" t="s">
        <v>105</v>
      </c>
      <c r="M239" s="1" t="str">
        <f>"北京 北京市 朝阳区 "</f>
        <v xml:space="preserve">北京 北京市 朝阳区 </v>
      </c>
      <c r="N239" s="1" t="str">
        <f t="shared" si="66"/>
        <v>凡华云仓-城南圆通-微信视频号</v>
      </c>
      <c r="O239" s="5" t="s">
        <v>279</v>
      </c>
      <c r="P239" s="6">
        <v>0.17</v>
      </c>
      <c r="Q239" s="11">
        <v>2</v>
      </c>
      <c r="R239" s="11"/>
      <c r="S239" s="11"/>
      <c r="T239" s="11"/>
      <c r="U239" s="11">
        <f t="shared" si="63"/>
        <v>2</v>
      </c>
      <c r="W239">
        <v>2.2000000000000002</v>
      </c>
      <c r="X239" s="1" t="s">
        <v>105</v>
      </c>
    </row>
    <row r="240" spans="1:24" x14ac:dyDescent="0.25">
      <c r="A240" s="1" t="str">
        <f t="shared" si="59"/>
        <v>卡卡杜-凤凰仓</v>
      </c>
      <c r="B240" s="1" t="str">
        <f>"CK20241031198"</f>
        <v>CK20241031198</v>
      </c>
      <c r="C240" s="1" t="str">
        <f>"DD2024103112419"</f>
        <v>DD2024103112419</v>
      </c>
      <c r="D240" s="1" t="str">
        <f>"CK2024103119015"</f>
        <v>CK2024103119015</v>
      </c>
      <c r="E240" s="1" t="str">
        <f>"3723674520414196736"</f>
        <v>3723674520414196736</v>
      </c>
      <c r="F240" s="1" t="str">
        <f t="shared" si="60"/>
        <v>花都四部-凤凰仓</v>
      </c>
      <c r="G240" s="1" t="str">
        <f t="shared" si="65"/>
        <v>卡卡杜企业店（视频号）</v>
      </c>
      <c r="H240" s="1" t="str">
        <f t="shared" si="61"/>
        <v>正常订单</v>
      </c>
      <c r="I240" s="1" t="str">
        <f t="shared" si="62"/>
        <v>已发货</v>
      </c>
      <c r="J240" s="1" t="str">
        <f>"3"</f>
        <v>3</v>
      </c>
      <c r="K240" s="1">
        <v>2</v>
      </c>
      <c r="L240" s="1" t="s">
        <v>109</v>
      </c>
      <c r="M240" s="1" t="str">
        <f>"山西省 大同市 城区 "</f>
        <v xml:space="preserve">山西省 大同市 城区 </v>
      </c>
      <c r="N240" s="1" t="str">
        <f t="shared" si="66"/>
        <v>凡华云仓-城南圆通-微信视频号</v>
      </c>
      <c r="O240" s="5" t="s">
        <v>280</v>
      </c>
      <c r="P240" s="6">
        <v>0.25</v>
      </c>
      <c r="Q240" s="11">
        <v>2</v>
      </c>
      <c r="R240" s="11"/>
      <c r="S240" s="11"/>
      <c r="T240" s="11"/>
      <c r="U240" s="11">
        <f t="shared" si="63"/>
        <v>2</v>
      </c>
      <c r="W240">
        <v>2.2000000000000002</v>
      </c>
      <c r="X240" s="1" t="s">
        <v>109</v>
      </c>
    </row>
    <row r="241" spans="1:24" x14ac:dyDescent="0.25">
      <c r="A241" s="1" t="str">
        <f t="shared" si="59"/>
        <v>卡卡杜-凤凰仓</v>
      </c>
      <c r="B241" s="1" t="str">
        <f>"CK202410311590"</f>
        <v>CK202410311590</v>
      </c>
      <c r="C241" s="1" t="str">
        <f>"DD2024103112730"</f>
        <v>DD2024103112730</v>
      </c>
      <c r="D241" s="1" t="str">
        <f>"CK2024103119014"</f>
        <v>CK2024103119014</v>
      </c>
      <c r="E241" s="1" t="str">
        <f>"3723674517310935040"</f>
        <v>3723674517310935040</v>
      </c>
      <c r="F241" s="1" t="str">
        <f t="shared" si="60"/>
        <v>花都四部-凤凰仓</v>
      </c>
      <c r="G241" s="1" t="str">
        <f t="shared" si="65"/>
        <v>卡卡杜企业店（视频号）</v>
      </c>
      <c r="H241" s="1" t="str">
        <f t="shared" si="61"/>
        <v>正常订单</v>
      </c>
      <c r="I241" s="1" t="str">
        <f t="shared" si="62"/>
        <v>已发货</v>
      </c>
      <c r="J241" s="1" t="str">
        <f t="shared" ref="J241:J248" si="72">"2"</f>
        <v>2</v>
      </c>
      <c r="K241" s="1">
        <v>2</v>
      </c>
      <c r="L241" s="1" t="s">
        <v>52</v>
      </c>
      <c r="M241" s="1" t="str">
        <f>"甘肃省 兰州市 七里河区 "</f>
        <v xml:space="preserve">甘肃省 兰州市 七里河区 </v>
      </c>
      <c r="N241" s="1" t="str">
        <f t="shared" si="66"/>
        <v>凡华云仓-城南圆通-微信视频号</v>
      </c>
      <c r="O241" s="5" t="s">
        <v>281</v>
      </c>
      <c r="P241" s="6">
        <v>0.17</v>
      </c>
      <c r="Q241" s="11">
        <v>2</v>
      </c>
      <c r="R241" s="11"/>
      <c r="S241" s="11"/>
      <c r="T241" s="11"/>
      <c r="U241" s="11">
        <f t="shared" si="63"/>
        <v>2</v>
      </c>
      <c r="W241">
        <v>2.2000000000000002</v>
      </c>
      <c r="X241" s="1" t="s">
        <v>52</v>
      </c>
    </row>
    <row r="242" spans="1:24" x14ac:dyDescent="0.25">
      <c r="A242" s="1" t="str">
        <f t="shared" si="59"/>
        <v>卡卡杜-凤凰仓</v>
      </c>
      <c r="B242" s="1" t="str">
        <f>"CK202410311592"</f>
        <v>CK202410311592</v>
      </c>
      <c r="C242" s="1" t="str">
        <f>"DD2024103112732"</f>
        <v>DD2024103112732</v>
      </c>
      <c r="D242" s="1" t="str">
        <f>"CK2024103119013"</f>
        <v>CK2024103119013</v>
      </c>
      <c r="E242" s="1" t="str">
        <f>"3723674515889849600"</f>
        <v>3723674515889849600</v>
      </c>
      <c r="F242" s="1" t="str">
        <f t="shared" si="60"/>
        <v>花都四部-凤凰仓</v>
      </c>
      <c r="G242" s="1" t="str">
        <f t="shared" si="65"/>
        <v>卡卡杜企业店（视频号）</v>
      </c>
      <c r="H242" s="1" t="str">
        <f t="shared" si="61"/>
        <v>正常订单</v>
      </c>
      <c r="I242" s="1" t="str">
        <f t="shared" si="62"/>
        <v>已发货</v>
      </c>
      <c r="J242" s="1" t="str">
        <f t="shared" si="72"/>
        <v>2</v>
      </c>
      <c r="K242" s="1">
        <v>2</v>
      </c>
      <c r="L242" s="1" t="s">
        <v>66</v>
      </c>
      <c r="M242" s="1" t="str">
        <f>"内蒙古自治区 呼和浩特市 回民区 "</f>
        <v xml:space="preserve">内蒙古自治区 呼和浩特市 回民区 </v>
      </c>
      <c r="N242" s="1" t="str">
        <f t="shared" si="66"/>
        <v>凡华云仓-城南圆通-微信视频号</v>
      </c>
      <c r="O242" s="5" t="s">
        <v>282</v>
      </c>
      <c r="P242" s="6">
        <v>0.17</v>
      </c>
      <c r="Q242" s="11">
        <v>2</v>
      </c>
      <c r="R242" s="11"/>
      <c r="S242" s="11"/>
      <c r="T242" s="11"/>
      <c r="U242" s="11">
        <f t="shared" si="63"/>
        <v>2</v>
      </c>
      <c r="W242">
        <v>2.2000000000000002</v>
      </c>
      <c r="X242" s="1" t="s">
        <v>66</v>
      </c>
    </row>
    <row r="243" spans="1:24" x14ac:dyDescent="0.25">
      <c r="A243" s="1" t="str">
        <f t="shared" si="59"/>
        <v>卡卡杜-凤凰仓</v>
      </c>
      <c r="B243" s="1" t="str">
        <f>"CK202410311591"</f>
        <v>CK202410311591</v>
      </c>
      <c r="C243" s="1" t="str">
        <f>"DD2024103112731"</f>
        <v>DD2024103112731</v>
      </c>
      <c r="D243" s="1" t="str">
        <f>"CK2024103119012"</f>
        <v>CK2024103119012</v>
      </c>
      <c r="E243" s="1" t="str">
        <f>"3723674514850186496"</f>
        <v>3723674514850186496</v>
      </c>
      <c r="F243" s="1" t="str">
        <f t="shared" si="60"/>
        <v>花都四部-凤凰仓</v>
      </c>
      <c r="G243" s="1" t="str">
        <f t="shared" si="65"/>
        <v>卡卡杜企业店（视频号）</v>
      </c>
      <c r="H243" s="1" t="str">
        <f t="shared" si="61"/>
        <v>正常订单</v>
      </c>
      <c r="I243" s="1" t="str">
        <f t="shared" si="62"/>
        <v>已发货</v>
      </c>
      <c r="J243" s="1" t="str">
        <f t="shared" si="72"/>
        <v>2</v>
      </c>
      <c r="K243" s="1">
        <v>2</v>
      </c>
      <c r="L243" s="1" t="s">
        <v>27</v>
      </c>
      <c r="M243" s="1" t="str">
        <f>"贵州省 贵阳市 观山湖区 "</f>
        <v xml:space="preserve">贵州省 贵阳市 观山湖区 </v>
      </c>
      <c r="N243" s="1" t="str">
        <f t="shared" si="66"/>
        <v>凡华云仓-城南圆通-微信视频号</v>
      </c>
      <c r="O243" s="5" t="s">
        <v>283</v>
      </c>
      <c r="P243" s="6">
        <v>0.17</v>
      </c>
      <c r="Q243" s="11">
        <v>2</v>
      </c>
      <c r="R243" s="11"/>
      <c r="S243" s="11"/>
      <c r="T243" s="11"/>
      <c r="U243" s="11">
        <f t="shared" si="63"/>
        <v>2</v>
      </c>
      <c r="W243">
        <v>2.2000000000000002</v>
      </c>
      <c r="X243" s="1" t="s">
        <v>27</v>
      </c>
    </row>
    <row r="244" spans="1:24" x14ac:dyDescent="0.25">
      <c r="A244" s="1" t="str">
        <f t="shared" si="59"/>
        <v>卡卡杜-凤凰仓</v>
      </c>
      <c r="B244" s="1" t="str">
        <f>"CK202410311593"</f>
        <v>CK202410311593</v>
      </c>
      <c r="C244" s="1" t="str">
        <f>"DD2024103112733"</f>
        <v>DD2024103112733</v>
      </c>
      <c r="D244" s="1" t="str">
        <f>"CK2024103119011"</f>
        <v>CK2024103119011</v>
      </c>
      <c r="E244" s="1" t="str">
        <f>"3723674514916510720"</f>
        <v>3723674514916510720</v>
      </c>
      <c r="F244" s="1" t="str">
        <f t="shared" si="60"/>
        <v>花都四部-凤凰仓</v>
      </c>
      <c r="G244" s="1" t="str">
        <f t="shared" si="65"/>
        <v>卡卡杜企业店（视频号）</v>
      </c>
      <c r="H244" s="1" t="str">
        <f t="shared" si="61"/>
        <v>正常订单</v>
      </c>
      <c r="I244" s="1" t="str">
        <f t="shared" si="62"/>
        <v>已发货</v>
      </c>
      <c r="J244" s="1" t="str">
        <f t="shared" si="72"/>
        <v>2</v>
      </c>
      <c r="K244" s="1">
        <v>2</v>
      </c>
      <c r="L244" s="1" t="s">
        <v>24</v>
      </c>
      <c r="M244" s="1" t="str">
        <f>"福建省 厦门市 思明区 "</f>
        <v xml:space="preserve">福建省 厦门市 思明区 </v>
      </c>
      <c r="N244" s="1" t="str">
        <f t="shared" si="66"/>
        <v>凡华云仓-城南圆通-微信视频号</v>
      </c>
      <c r="O244" s="5" t="s">
        <v>284</v>
      </c>
      <c r="P244" s="6">
        <v>0.17</v>
      </c>
      <c r="Q244" s="11">
        <v>2</v>
      </c>
      <c r="R244" s="11"/>
      <c r="S244" s="11"/>
      <c r="T244" s="11"/>
      <c r="U244" s="11">
        <f t="shared" si="63"/>
        <v>2</v>
      </c>
      <c r="W244">
        <v>2.2000000000000002</v>
      </c>
      <c r="X244" s="1" t="s">
        <v>24</v>
      </c>
    </row>
    <row r="245" spans="1:24" x14ac:dyDescent="0.25">
      <c r="A245" s="1" t="str">
        <f t="shared" si="59"/>
        <v>卡卡杜-凤凰仓</v>
      </c>
      <c r="B245" s="1" t="str">
        <f>"CK202410311594"</f>
        <v>CK202410311594</v>
      </c>
      <c r="C245" s="1" t="str">
        <f>"DD2024103112734"</f>
        <v>DD2024103112734</v>
      </c>
      <c r="D245" s="1" t="str">
        <f>"CK2024103119010"</f>
        <v>CK2024103119010</v>
      </c>
      <c r="E245" s="1" t="str">
        <f>"3723674515405932032"</f>
        <v>3723674515405932032</v>
      </c>
      <c r="F245" s="1" t="str">
        <f t="shared" si="60"/>
        <v>花都四部-凤凰仓</v>
      </c>
      <c r="G245" s="1" t="str">
        <f t="shared" si="65"/>
        <v>卡卡杜企业店（视频号）</v>
      </c>
      <c r="H245" s="1" t="str">
        <f t="shared" si="61"/>
        <v>正常订单</v>
      </c>
      <c r="I245" s="1" t="str">
        <f t="shared" si="62"/>
        <v>已发货</v>
      </c>
      <c r="J245" s="1" t="str">
        <f t="shared" si="72"/>
        <v>2</v>
      </c>
      <c r="K245" s="1">
        <v>2</v>
      </c>
      <c r="L245" s="1" t="s">
        <v>13</v>
      </c>
      <c r="M245" s="1" t="str">
        <f>"江苏省 苏州市 苏州工业园区 "</f>
        <v xml:space="preserve">江苏省 苏州市 苏州工业园区 </v>
      </c>
      <c r="N245" s="1" t="str">
        <f t="shared" si="66"/>
        <v>凡华云仓-城南圆通-微信视频号</v>
      </c>
      <c r="O245" s="5" t="s">
        <v>285</v>
      </c>
      <c r="P245" s="6">
        <v>0.17</v>
      </c>
      <c r="Q245" s="11">
        <v>2</v>
      </c>
      <c r="R245" s="11"/>
      <c r="S245" s="11"/>
      <c r="T245" s="11"/>
      <c r="U245" s="11">
        <f t="shared" si="63"/>
        <v>2</v>
      </c>
      <c r="W245">
        <v>2.2000000000000002</v>
      </c>
      <c r="X245" s="1" t="s">
        <v>13</v>
      </c>
    </row>
    <row r="246" spans="1:24" x14ac:dyDescent="0.25">
      <c r="A246" s="1" t="str">
        <f t="shared" si="59"/>
        <v>卡卡杜-凤凰仓</v>
      </c>
      <c r="B246" s="1" t="str">
        <f>"CK202410311595"</f>
        <v>CK202410311595</v>
      </c>
      <c r="C246" s="1" t="str">
        <f>"DD2024103112735"</f>
        <v>DD2024103112735</v>
      </c>
      <c r="D246" s="1" t="str">
        <f>"CK2024103119009"</f>
        <v>CK2024103119009</v>
      </c>
      <c r="E246" s="1" t="str">
        <f>"3723674514798021632"</f>
        <v>3723674514798021632</v>
      </c>
      <c r="F246" s="1" t="str">
        <f t="shared" si="60"/>
        <v>花都四部-凤凰仓</v>
      </c>
      <c r="G246" s="1" t="str">
        <f t="shared" si="65"/>
        <v>卡卡杜企业店（视频号）</v>
      </c>
      <c r="H246" s="1" t="str">
        <f t="shared" si="61"/>
        <v>正常订单</v>
      </c>
      <c r="I246" s="1" t="str">
        <f t="shared" si="62"/>
        <v>已发货</v>
      </c>
      <c r="J246" s="1" t="str">
        <f t="shared" si="72"/>
        <v>2</v>
      </c>
      <c r="K246" s="1">
        <v>2</v>
      </c>
      <c r="L246" s="1" t="s">
        <v>60</v>
      </c>
      <c r="M246" s="1" t="str">
        <f>"云南省 昆明市 五华区 "</f>
        <v xml:space="preserve">云南省 昆明市 五华区 </v>
      </c>
      <c r="N246" s="1" t="str">
        <f t="shared" si="66"/>
        <v>凡华云仓-城南圆通-微信视频号</v>
      </c>
      <c r="O246" s="5" t="s">
        <v>286</v>
      </c>
      <c r="P246" s="6">
        <v>0.17</v>
      </c>
      <c r="Q246" s="11">
        <v>2</v>
      </c>
      <c r="R246" s="11"/>
      <c r="S246" s="11"/>
      <c r="T246" s="11"/>
      <c r="U246" s="11">
        <f t="shared" si="63"/>
        <v>2</v>
      </c>
      <c r="W246">
        <v>2.2000000000000002</v>
      </c>
      <c r="X246" s="1" t="s">
        <v>60</v>
      </c>
    </row>
    <row r="247" spans="1:24" x14ac:dyDescent="0.25">
      <c r="A247" s="1" t="str">
        <f t="shared" si="59"/>
        <v>卡卡杜-凤凰仓</v>
      </c>
      <c r="B247" s="1" t="str">
        <f>"CK202410311596"</f>
        <v>CK202410311596</v>
      </c>
      <c r="C247" s="1" t="str">
        <f>"DD2024103112736"</f>
        <v>DD2024103112736</v>
      </c>
      <c r="D247" s="1" t="str">
        <f>"CK2024103119008"</f>
        <v>CK2024103119008</v>
      </c>
      <c r="E247" s="1" t="str">
        <f>"3723674514408477697"</f>
        <v>3723674514408477697</v>
      </c>
      <c r="F247" s="1" t="str">
        <f t="shared" si="60"/>
        <v>花都四部-凤凰仓</v>
      </c>
      <c r="G247" s="1" t="str">
        <f t="shared" si="65"/>
        <v>卡卡杜企业店（视频号）</v>
      </c>
      <c r="H247" s="1" t="str">
        <f t="shared" si="61"/>
        <v>正常订单</v>
      </c>
      <c r="I247" s="1" t="str">
        <f t="shared" si="62"/>
        <v>已发货</v>
      </c>
      <c r="J247" s="1" t="str">
        <f t="shared" si="72"/>
        <v>2</v>
      </c>
      <c r="K247" s="1">
        <v>2</v>
      </c>
      <c r="L247" s="1" t="s">
        <v>74</v>
      </c>
      <c r="M247" s="1" t="str">
        <f>"上海 上海市 虹口区 "</f>
        <v xml:space="preserve">上海 上海市 虹口区 </v>
      </c>
      <c r="N247" s="1" t="str">
        <f t="shared" si="66"/>
        <v>凡华云仓-城南圆通-微信视频号</v>
      </c>
      <c r="O247" s="5" t="s">
        <v>287</v>
      </c>
      <c r="P247" s="6">
        <v>0.17</v>
      </c>
      <c r="Q247" s="11">
        <v>2</v>
      </c>
      <c r="R247" s="11"/>
      <c r="S247" s="11"/>
      <c r="T247" s="11"/>
      <c r="U247" s="11">
        <f t="shared" si="63"/>
        <v>2</v>
      </c>
      <c r="W247">
        <v>2.2000000000000002</v>
      </c>
      <c r="X247" s="1" t="s">
        <v>74</v>
      </c>
    </row>
    <row r="248" spans="1:24" x14ac:dyDescent="0.25">
      <c r="A248" s="1" t="str">
        <f t="shared" si="59"/>
        <v>卡卡杜-凤凰仓</v>
      </c>
      <c r="B248" s="1" t="str">
        <f>"CK202410311597"</f>
        <v>CK202410311597</v>
      </c>
      <c r="C248" s="1" t="str">
        <f>"DD2024103112737"</f>
        <v>DD2024103112737</v>
      </c>
      <c r="D248" s="1" t="str">
        <f>"CK2024103119007"</f>
        <v>CK2024103119007</v>
      </c>
      <c r="E248" s="1" t="str">
        <f>"3723674514288412160"</f>
        <v>3723674514288412160</v>
      </c>
      <c r="F248" s="1" t="str">
        <f t="shared" si="60"/>
        <v>花都四部-凤凰仓</v>
      </c>
      <c r="G248" s="1" t="str">
        <f t="shared" si="65"/>
        <v>卡卡杜企业店（视频号）</v>
      </c>
      <c r="H248" s="1" t="str">
        <f t="shared" si="61"/>
        <v>正常订单</v>
      </c>
      <c r="I248" s="1" t="str">
        <f t="shared" si="62"/>
        <v>已发货</v>
      </c>
      <c r="J248" s="1" t="str">
        <f t="shared" si="72"/>
        <v>2</v>
      </c>
      <c r="K248" s="1">
        <v>2</v>
      </c>
      <c r="L248" s="1" t="s">
        <v>92</v>
      </c>
      <c r="M248" s="1" t="str">
        <f>"辽宁省 鞍山市 铁西区 "</f>
        <v xml:space="preserve">辽宁省 鞍山市 铁西区 </v>
      </c>
      <c r="N248" s="1" t="str">
        <f t="shared" si="66"/>
        <v>凡华云仓-城南圆通-微信视频号</v>
      </c>
      <c r="O248" s="5" t="s">
        <v>288</v>
      </c>
      <c r="P248" s="6">
        <v>0.17</v>
      </c>
      <c r="Q248" s="11">
        <v>2</v>
      </c>
      <c r="R248" s="11"/>
      <c r="S248" s="11"/>
      <c r="T248" s="11"/>
      <c r="U248" s="11">
        <f t="shared" si="63"/>
        <v>2</v>
      </c>
      <c r="W248">
        <v>2.2000000000000002</v>
      </c>
      <c r="X248" s="1" t="s">
        <v>92</v>
      </c>
    </row>
    <row r="249" spans="1:24" x14ac:dyDescent="0.25">
      <c r="A249" s="1" t="str">
        <f t="shared" si="59"/>
        <v>卡卡杜-凤凰仓</v>
      </c>
      <c r="B249" s="1" t="str">
        <f>"CK20241031252"</f>
        <v>CK20241031252</v>
      </c>
      <c r="C249" s="1" t="str">
        <f>"DD2024103112481"</f>
        <v>DD2024103112481</v>
      </c>
      <c r="D249" s="1" t="str">
        <f>"CK2024103119006"</f>
        <v>CK2024103119006</v>
      </c>
      <c r="E249" s="1" t="str">
        <f>"3723674510972817408"</f>
        <v>3723674510972817408</v>
      </c>
      <c r="F249" s="1" t="str">
        <f t="shared" si="60"/>
        <v>花都四部-凤凰仓</v>
      </c>
      <c r="G249" s="1" t="str">
        <f t="shared" si="65"/>
        <v>卡卡杜企业店（视频号）</v>
      </c>
      <c r="H249" s="1" t="str">
        <f t="shared" si="61"/>
        <v>正常订单</v>
      </c>
      <c r="I249" s="1" t="str">
        <f t="shared" si="62"/>
        <v>已发货</v>
      </c>
      <c r="J249" s="1" t="str">
        <f t="shared" ref="J249:J254" si="73">"3"</f>
        <v>3</v>
      </c>
      <c r="K249" s="1">
        <v>2</v>
      </c>
      <c r="L249" s="1" t="s">
        <v>36</v>
      </c>
      <c r="M249" s="1" t="str">
        <f>"安徽省 合肥市 蜀山区 "</f>
        <v xml:space="preserve">安徽省 合肥市 蜀山区 </v>
      </c>
      <c r="N249" s="1" t="str">
        <f t="shared" si="66"/>
        <v>凡华云仓-城南圆通-微信视频号</v>
      </c>
      <c r="O249" s="5" t="s">
        <v>289</v>
      </c>
      <c r="P249" s="6">
        <v>0.25</v>
      </c>
      <c r="Q249" s="11">
        <v>2</v>
      </c>
      <c r="R249" s="11"/>
      <c r="S249" s="11"/>
      <c r="T249" s="11"/>
      <c r="U249" s="11">
        <f t="shared" si="63"/>
        <v>2</v>
      </c>
      <c r="W249">
        <v>2.2000000000000002</v>
      </c>
      <c r="X249" s="1" t="s">
        <v>36</v>
      </c>
    </row>
    <row r="250" spans="1:24" x14ac:dyDescent="0.25">
      <c r="A250" s="1" t="str">
        <f t="shared" si="59"/>
        <v>卡卡杜-凤凰仓</v>
      </c>
      <c r="B250" s="1" t="str">
        <f>"CK202410311599"</f>
        <v>CK202410311599</v>
      </c>
      <c r="C250" s="1" t="str">
        <f>"DD2024103112738"</f>
        <v>DD2024103112738</v>
      </c>
      <c r="D250" s="1" t="str">
        <f>"CK2024103119005"</f>
        <v>CK2024103119005</v>
      </c>
      <c r="E250" s="1" t="str">
        <f>"3723674511664614400"</f>
        <v>3723674511664614400</v>
      </c>
      <c r="F250" s="1" t="str">
        <f t="shared" si="60"/>
        <v>花都四部-凤凰仓</v>
      </c>
      <c r="G250" s="1" t="str">
        <f t="shared" si="65"/>
        <v>卡卡杜企业店（视频号）</v>
      </c>
      <c r="H250" s="1" t="str">
        <f t="shared" si="61"/>
        <v>正常订单</v>
      </c>
      <c r="I250" s="1" t="str">
        <f t="shared" si="62"/>
        <v>已发货</v>
      </c>
      <c r="J250" s="1" t="str">
        <f t="shared" ref="J250:J253" si="74">"2"</f>
        <v>2</v>
      </c>
      <c r="K250" s="1">
        <v>2</v>
      </c>
      <c r="L250" s="1" t="s">
        <v>74</v>
      </c>
      <c r="M250" s="1" t="str">
        <f>"上海 上海市 杨浦区 "</f>
        <v xml:space="preserve">上海 上海市 杨浦区 </v>
      </c>
      <c r="N250" s="1" t="str">
        <f t="shared" si="66"/>
        <v>凡华云仓-城南圆通-微信视频号</v>
      </c>
      <c r="O250" s="5" t="s">
        <v>290</v>
      </c>
      <c r="P250" s="6">
        <v>0.17</v>
      </c>
      <c r="Q250" s="11">
        <v>2</v>
      </c>
      <c r="R250" s="11"/>
      <c r="S250" s="11"/>
      <c r="T250" s="11"/>
      <c r="U250" s="11">
        <f t="shared" si="63"/>
        <v>2</v>
      </c>
      <c r="W250">
        <v>2.2000000000000002</v>
      </c>
      <c r="X250" s="1" t="s">
        <v>74</v>
      </c>
    </row>
    <row r="251" spans="1:24" x14ac:dyDescent="0.25">
      <c r="A251" s="1" t="str">
        <f t="shared" si="59"/>
        <v>卡卡杜-凤凰仓</v>
      </c>
      <c r="B251" s="1" t="str">
        <f>"CK202410311598"</f>
        <v>CK202410311598</v>
      </c>
      <c r="C251" s="1" t="str">
        <f>"DD2024103112739"</f>
        <v>DD2024103112739</v>
      </c>
      <c r="D251" s="1" t="str">
        <f>"CK2024103119004"</f>
        <v>CK2024103119004</v>
      </c>
      <c r="E251" s="1" t="str">
        <f>"3723674513961257984"</f>
        <v>3723674513961257984</v>
      </c>
      <c r="F251" s="1" t="str">
        <f t="shared" si="60"/>
        <v>花都四部-凤凰仓</v>
      </c>
      <c r="G251" s="1" t="str">
        <f t="shared" si="65"/>
        <v>卡卡杜企业店（视频号）</v>
      </c>
      <c r="H251" s="1" t="str">
        <f t="shared" si="61"/>
        <v>正常订单</v>
      </c>
      <c r="I251" s="1" t="str">
        <f t="shared" si="62"/>
        <v>已发货</v>
      </c>
      <c r="J251" s="1" t="str">
        <f t="shared" si="74"/>
        <v>2</v>
      </c>
      <c r="K251" s="1">
        <v>2</v>
      </c>
      <c r="L251" s="1" t="s">
        <v>18</v>
      </c>
      <c r="M251" s="1" t="str">
        <f>"广东省 深圳市 龙华区 "</f>
        <v xml:space="preserve">广东省 深圳市 龙华区 </v>
      </c>
      <c r="N251" s="1" t="str">
        <f t="shared" si="66"/>
        <v>凡华云仓-城南圆通-微信视频号</v>
      </c>
      <c r="O251" s="5" t="s">
        <v>291</v>
      </c>
      <c r="P251" s="6">
        <v>0.17</v>
      </c>
      <c r="Q251" s="11">
        <v>2</v>
      </c>
      <c r="R251" s="11"/>
      <c r="S251" s="11"/>
      <c r="T251" s="11"/>
      <c r="U251" s="11">
        <f t="shared" si="63"/>
        <v>2</v>
      </c>
      <c r="W251">
        <v>2.2000000000000002</v>
      </c>
      <c r="X251" s="1" t="s">
        <v>18</v>
      </c>
    </row>
    <row r="252" spans="1:24" x14ac:dyDescent="0.25">
      <c r="A252" s="1" t="str">
        <f t="shared" si="59"/>
        <v>卡卡杜-凤凰仓</v>
      </c>
      <c r="B252" s="1" t="str">
        <f>"CK20241031255"</f>
        <v>CK20241031255</v>
      </c>
      <c r="C252" s="1" t="str">
        <f>"DD2024103112484"</f>
        <v>DD2024103112484</v>
      </c>
      <c r="D252" s="1" t="str">
        <f>"CK2024103119003"</f>
        <v>CK2024103119003</v>
      </c>
      <c r="E252" s="1" t="str">
        <f>"3723674510707266561"</f>
        <v>3723674510707266561</v>
      </c>
      <c r="F252" s="1" t="str">
        <f t="shared" si="60"/>
        <v>花都四部-凤凰仓</v>
      </c>
      <c r="G252" s="1" t="str">
        <f t="shared" si="65"/>
        <v>卡卡杜企业店（视频号）</v>
      </c>
      <c r="H252" s="1" t="str">
        <f t="shared" si="61"/>
        <v>正常订单</v>
      </c>
      <c r="I252" s="1" t="str">
        <f t="shared" si="62"/>
        <v>已发货</v>
      </c>
      <c r="J252" s="1" t="str">
        <f t="shared" si="73"/>
        <v>3</v>
      </c>
      <c r="K252" s="1">
        <v>2</v>
      </c>
      <c r="L252" s="1" t="s">
        <v>18</v>
      </c>
      <c r="M252" s="1" t="str">
        <f>"广东省 广州市 花都区 "</f>
        <v xml:space="preserve">广东省 广州市 花都区 </v>
      </c>
      <c r="N252" s="1" t="str">
        <f t="shared" si="66"/>
        <v>凡华云仓-城南圆通-微信视频号</v>
      </c>
      <c r="O252" s="5" t="s">
        <v>292</v>
      </c>
      <c r="P252" s="6">
        <v>0.25</v>
      </c>
      <c r="Q252" s="11">
        <v>2</v>
      </c>
      <c r="R252" s="11"/>
      <c r="S252" s="11"/>
      <c r="T252" s="11"/>
      <c r="U252" s="11">
        <f t="shared" si="63"/>
        <v>2</v>
      </c>
      <c r="W252">
        <v>2.2000000000000002</v>
      </c>
      <c r="X252" s="1" t="s">
        <v>18</v>
      </c>
    </row>
    <row r="253" spans="1:24" x14ac:dyDescent="0.25">
      <c r="A253" s="1" t="str">
        <f t="shared" si="59"/>
        <v>卡卡杜-凤凰仓</v>
      </c>
      <c r="B253" s="1" t="str">
        <f>"CK202410311603"</f>
        <v>CK202410311603</v>
      </c>
      <c r="C253" s="1" t="str">
        <f>"DD2024103112743"</f>
        <v>DD2024103112743</v>
      </c>
      <c r="D253" s="1" t="str">
        <f>"CK2024103119002"</f>
        <v>CK2024103119002</v>
      </c>
      <c r="E253" s="1" t="str">
        <f>"3723674511695287296"</f>
        <v>3723674511695287296</v>
      </c>
      <c r="F253" s="1" t="str">
        <f t="shared" si="60"/>
        <v>花都四部-凤凰仓</v>
      </c>
      <c r="G253" s="1" t="str">
        <f t="shared" si="65"/>
        <v>卡卡杜企业店（视频号）</v>
      </c>
      <c r="H253" s="1" t="str">
        <f t="shared" si="61"/>
        <v>正常订单</v>
      </c>
      <c r="I253" s="1" t="str">
        <f t="shared" si="62"/>
        <v>已发货</v>
      </c>
      <c r="J253" s="1" t="str">
        <f t="shared" si="74"/>
        <v>2</v>
      </c>
      <c r="K253" s="1">
        <v>2</v>
      </c>
      <c r="L253" s="1" t="s">
        <v>16</v>
      </c>
      <c r="M253" s="1" t="str">
        <f>"河北省 邢台市 襄都区 "</f>
        <v xml:space="preserve">河北省 邢台市 襄都区 </v>
      </c>
      <c r="N253" s="1" t="str">
        <f t="shared" si="66"/>
        <v>凡华云仓-城南圆通-微信视频号</v>
      </c>
      <c r="O253" s="5" t="s">
        <v>293</v>
      </c>
      <c r="P253" s="6">
        <v>0.17</v>
      </c>
      <c r="Q253" s="11">
        <v>2</v>
      </c>
      <c r="R253" s="11"/>
      <c r="S253" s="11"/>
      <c r="T253" s="11"/>
      <c r="U253" s="11">
        <f t="shared" si="63"/>
        <v>2</v>
      </c>
      <c r="W253">
        <v>2.2000000000000002</v>
      </c>
      <c r="X253" s="1" t="s">
        <v>16</v>
      </c>
    </row>
    <row r="254" spans="1:24" x14ac:dyDescent="0.25">
      <c r="A254" s="1" t="str">
        <f t="shared" si="59"/>
        <v>卡卡杜-凤凰仓</v>
      </c>
      <c r="B254" s="1" t="str">
        <f>"CK20241031265"</f>
        <v>CK20241031265</v>
      </c>
      <c r="C254" s="1" t="str">
        <f>"DD2024103112494"</f>
        <v>DD2024103112494</v>
      </c>
      <c r="D254" s="1" t="str">
        <f>"CK2024103119001"</f>
        <v>CK2024103119001</v>
      </c>
      <c r="E254" s="1" t="str">
        <f>"3723674511719404544"</f>
        <v>3723674511719404544</v>
      </c>
      <c r="F254" s="1" t="str">
        <f t="shared" si="60"/>
        <v>花都四部-凤凰仓</v>
      </c>
      <c r="G254" s="1" t="str">
        <f t="shared" si="65"/>
        <v>卡卡杜企业店（视频号）</v>
      </c>
      <c r="H254" s="1" t="str">
        <f t="shared" si="61"/>
        <v>正常订单</v>
      </c>
      <c r="I254" s="1" t="str">
        <f t="shared" si="62"/>
        <v>已发货</v>
      </c>
      <c r="J254" s="1" t="str">
        <f t="shared" si="73"/>
        <v>3</v>
      </c>
      <c r="K254" s="1">
        <v>2</v>
      </c>
      <c r="L254" s="1" t="s">
        <v>16</v>
      </c>
      <c r="M254" s="1" t="str">
        <f>"河北省 秦皇岛市 海港区 "</f>
        <v xml:space="preserve">河北省 秦皇岛市 海港区 </v>
      </c>
      <c r="N254" s="1" t="str">
        <f t="shared" si="66"/>
        <v>凡华云仓-城南圆通-微信视频号</v>
      </c>
      <c r="O254" s="5" t="s">
        <v>294</v>
      </c>
      <c r="P254" s="6">
        <v>0.25</v>
      </c>
      <c r="Q254" s="11">
        <v>2</v>
      </c>
      <c r="R254" s="11"/>
      <c r="S254" s="11"/>
      <c r="T254" s="11"/>
      <c r="U254" s="11">
        <f t="shared" si="63"/>
        <v>2</v>
      </c>
      <c r="W254">
        <v>2.2000000000000002</v>
      </c>
      <c r="X254" s="1" t="s">
        <v>16</v>
      </c>
    </row>
    <row r="255" spans="1:24" x14ac:dyDescent="0.25">
      <c r="A255" s="1" t="str">
        <f t="shared" si="59"/>
        <v>卡卡杜-凤凰仓</v>
      </c>
      <c r="B255" s="1" t="str">
        <f>"CK202410311600"</f>
        <v>CK202410311600</v>
      </c>
      <c r="C255" s="1" t="str">
        <f>"DD2024103112740"</f>
        <v>DD2024103112740</v>
      </c>
      <c r="D255" s="1" t="str">
        <f>"CK2024103119000"</f>
        <v>CK2024103119000</v>
      </c>
      <c r="E255" s="1" t="str">
        <f>"3723674513314022912"</f>
        <v>3723674513314022912</v>
      </c>
      <c r="F255" s="1" t="str">
        <f t="shared" si="60"/>
        <v>花都四部-凤凰仓</v>
      </c>
      <c r="G255" s="1" t="str">
        <f t="shared" si="65"/>
        <v>卡卡杜企业店（视频号）</v>
      </c>
      <c r="H255" s="1" t="str">
        <f t="shared" si="61"/>
        <v>正常订单</v>
      </c>
      <c r="I255" s="1" t="str">
        <f t="shared" si="62"/>
        <v>已发货</v>
      </c>
      <c r="J255" s="1" t="str">
        <f t="shared" ref="J255:J261" si="75">"2"</f>
        <v>2</v>
      </c>
      <c r="K255" s="1">
        <v>2</v>
      </c>
      <c r="L255" s="1" t="s">
        <v>20</v>
      </c>
      <c r="M255" s="1" t="str">
        <f>"浙江省 杭州市 滨江区 "</f>
        <v xml:space="preserve">浙江省 杭州市 滨江区 </v>
      </c>
      <c r="N255" s="1" t="str">
        <f t="shared" si="66"/>
        <v>凡华云仓-城南圆通-微信视频号</v>
      </c>
      <c r="O255" s="5" t="s">
        <v>295</v>
      </c>
      <c r="P255" s="6">
        <v>0.17</v>
      </c>
      <c r="Q255" s="11">
        <v>2</v>
      </c>
      <c r="R255" s="11"/>
      <c r="S255" s="11"/>
      <c r="T255" s="11"/>
      <c r="U255" s="11">
        <f t="shared" si="63"/>
        <v>2</v>
      </c>
      <c r="W255">
        <v>2.2000000000000002</v>
      </c>
      <c r="X255" s="1" t="s">
        <v>20</v>
      </c>
    </row>
    <row r="256" spans="1:24" x14ac:dyDescent="0.25">
      <c r="A256" s="1" t="str">
        <f t="shared" si="59"/>
        <v>卡卡杜-凤凰仓</v>
      </c>
      <c r="B256" s="1" t="str">
        <f>"CK202410311601"</f>
        <v>CK202410311601</v>
      </c>
      <c r="C256" s="1" t="str">
        <f>"DD2024103112741"</f>
        <v>DD2024103112741</v>
      </c>
      <c r="D256" s="1" t="str">
        <f>"CK2024103118999"</f>
        <v>CK2024103118999</v>
      </c>
      <c r="E256" s="1" t="str">
        <f>"3723674512813067265"</f>
        <v>3723674512813067265</v>
      </c>
      <c r="F256" s="1" t="str">
        <f t="shared" si="60"/>
        <v>花都四部-凤凰仓</v>
      </c>
      <c r="G256" s="1" t="str">
        <f t="shared" si="65"/>
        <v>卡卡杜企业店（视频号）</v>
      </c>
      <c r="H256" s="1" t="str">
        <f t="shared" si="61"/>
        <v>正常订单</v>
      </c>
      <c r="I256" s="1" t="str">
        <f t="shared" si="62"/>
        <v>已发货</v>
      </c>
      <c r="J256" s="1" t="str">
        <f t="shared" si="75"/>
        <v>2</v>
      </c>
      <c r="K256" s="1">
        <v>2</v>
      </c>
      <c r="L256" s="1" t="s">
        <v>80</v>
      </c>
      <c r="M256" s="1" t="str">
        <f>"河南省 郑州市 中原区 "</f>
        <v xml:space="preserve">河南省 郑州市 中原区 </v>
      </c>
      <c r="N256" s="1" t="str">
        <f t="shared" si="66"/>
        <v>凡华云仓-城南圆通-微信视频号</v>
      </c>
      <c r="O256" s="5" t="s">
        <v>296</v>
      </c>
      <c r="P256" s="6">
        <v>0.17</v>
      </c>
      <c r="Q256" s="11">
        <v>2</v>
      </c>
      <c r="R256" s="11"/>
      <c r="S256" s="11"/>
      <c r="T256" s="11"/>
      <c r="U256" s="11">
        <f t="shared" si="63"/>
        <v>2</v>
      </c>
      <c r="W256">
        <v>2.2000000000000002</v>
      </c>
      <c r="X256" s="1" t="s">
        <v>80</v>
      </c>
    </row>
    <row r="257" spans="1:24" x14ac:dyDescent="0.25">
      <c r="A257" s="1" t="str">
        <f t="shared" si="59"/>
        <v>卡卡杜-凤凰仓</v>
      </c>
      <c r="B257" s="1" t="str">
        <f>"CK202410311602"</f>
        <v>CK202410311602</v>
      </c>
      <c r="C257" s="1" t="str">
        <f>"DD2024103112742"</f>
        <v>DD2024103112742</v>
      </c>
      <c r="D257" s="1" t="str">
        <f>"CK2024103118998"</f>
        <v>CK2024103118998</v>
      </c>
      <c r="E257" s="1" t="str">
        <f>"3723674511426323969"</f>
        <v>3723674511426323969</v>
      </c>
      <c r="F257" s="1" t="str">
        <f t="shared" si="60"/>
        <v>花都四部-凤凰仓</v>
      </c>
      <c r="G257" s="1" t="str">
        <f t="shared" si="65"/>
        <v>卡卡杜企业店（视频号）</v>
      </c>
      <c r="H257" s="1" t="str">
        <f t="shared" si="61"/>
        <v>正常订单</v>
      </c>
      <c r="I257" s="1" t="str">
        <f t="shared" si="62"/>
        <v>已发货</v>
      </c>
      <c r="J257" s="1" t="str">
        <f t="shared" si="75"/>
        <v>2</v>
      </c>
      <c r="K257" s="1">
        <v>2</v>
      </c>
      <c r="L257" s="1" t="s">
        <v>105</v>
      </c>
      <c r="M257" s="1" t="str">
        <f>"北京 北京市 通州区 "</f>
        <v xml:space="preserve">北京 北京市 通州区 </v>
      </c>
      <c r="N257" s="1" t="str">
        <f t="shared" si="66"/>
        <v>凡华云仓-城南圆通-微信视频号</v>
      </c>
      <c r="O257" s="5" t="s">
        <v>297</v>
      </c>
      <c r="P257" s="6">
        <v>0.17</v>
      </c>
      <c r="Q257" s="11">
        <v>2</v>
      </c>
      <c r="R257" s="11"/>
      <c r="S257" s="11"/>
      <c r="T257" s="11"/>
      <c r="U257" s="11">
        <f t="shared" si="63"/>
        <v>2</v>
      </c>
      <c r="W257">
        <v>2.2000000000000002</v>
      </c>
      <c r="X257" s="1" t="s">
        <v>105</v>
      </c>
    </row>
    <row r="258" spans="1:24" x14ac:dyDescent="0.25">
      <c r="A258" s="1" t="str">
        <f t="shared" ref="A258:A321" si="76">"卡卡杜-凤凰仓"</f>
        <v>卡卡杜-凤凰仓</v>
      </c>
      <c r="B258" s="1" t="str">
        <f>"CK202410311604"</f>
        <v>CK202410311604</v>
      </c>
      <c r="C258" s="1" t="str">
        <f>"DD2024103112744"</f>
        <v>DD2024103112744</v>
      </c>
      <c r="D258" s="1" t="str">
        <f>"CK2024103118997"</f>
        <v>CK2024103118997</v>
      </c>
      <c r="E258" s="1" t="str">
        <f>"3723674510790365184"</f>
        <v>3723674510790365184</v>
      </c>
      <c r="F258" s="1" t="str">
        <f t="shared" ref="F258:F321" si="77">"花都四部-凤凰仓"</f>
        <v>花都四部-凤凰仓</v>
      </c>
      <c r="G258" s="1" t="str">
        <f t="shared" si="65"/>
        <v>卡卡杜企业店（视频号）</v>
      </c>
      <c r="H258" s="1" t="str">
        <f t="shared" ref="H258:H321" si="78">"正常订单"</f>
        <v>正常订单</v>
      </c>
      <c r="I258" s="1" t="str">
        <f t="shared" ref="I258:I321" si="79">"已发货"</f>
        <v>已发货</v>
      </c>
      <c r="J258" s="1" t="str">
        <f t="shared" si="75"/>
        <v>2</v>
      </c>
      <c r="K258" s="1">
        <v>2</v>
      </c>
      <c r="L258" s="1" t="s">
        <v>74</v>
      </c>
      <c r="M258" s="1" t="str">
        <f>"上海 上海市 普陀区 "</f>
        <v xml:space="preserve">上海 上海市 普陀区 </v>
      </c>
      <c r="N258" s="1" t="str">
        <f t="shared" si="66"/>
        <v>凡华云仓-城南圆通-微信视频号</v>
      </c>
      <c r="O258" s="5" t="s">
        <v>298</v>
      </c>
      <c r="P258" s="6">
        <v>0.17</v>
      </c>
      <c r="Q258" s="11">
        <v>2</v>
      </c>
      <c r="R258" s="11"/>
      <c r="S258" s="11"/>
      <c r="T258" s="11"/>
      <c r="U258" s="11">
        <f t="shared" si="63"/>
        <v>2</v>
      </c>
      <c r="W258">
        <v>2.2000000000000002</v>
      </c>
      <c r="X258" s="1" t="s">
        <v>74</v>
      </c>
    </row>
    <row r="259" spans="1:24" x14ac:dyDescent="0.25">
      <c r="A259" s="1" t="str">
        <f t="shared" si="76"/>
        <v>卡卡杜-凤凰仓</v>
      </c>
      <c r="B259" s="1" t="str">
        <f>"CK202410311617"</f>
        <v>CK202410311617</v>
      </c>
      <c r="C259" s="1" t="str">
        <f>"DD2024103112759"</f>
        <v>DD2024103112759</v>
      </c>
      <c r="D259" s="1" t="str">
        <f>"CK2024103118996"</f>
        <v>CK2024103118996</v>
      </c>
      <c r="E259" s="1" t="str">
        <f>"3723674494115909632"</f>
        <v>3723674494115909632</v>
      </c>
      <c r="F259" s="1" t="str">
        <f t="shared" si="77"/>
        <v>花都四部-凤凰仓</v>
      </c>
      <c r="G259" s="1" t="str">
        <f t="shared" si="65"/>
        <v>卡卡杜企业店（视频号）</v>
      </c>
      <c r="H259" s="1" t="str">
        <f t="shared" si="78"/>
        <v>正常订单</v>
      </c>
      <c r="I259" s="1" t="str">
        <f t="shared" si="79"/>
        <v>已发货</v>
      </c>
      <c r="J259" s="1" t="str">
        <f t="shared" si="75"/>
        <v>2</v>
      </c>
      <c r="K259" s="1">
        <v>2</v>
      </c>
      <c r="L259" s="1" t="s">
        <v>105</v>
      </c>
      <c r="M259" s="1" t="str">
        <f>"北京 北京市 东城区 "</f>
        <v xml:space="preserve">北京 北京市 东城区 </v>
      </c>
      <c r="N259" s="1" t="str">
        <f t="shared" si="66"/>
        <v>凡华云仓-城南圆通-微信视频号</v>
      </c>
      <c r="O259" s="5" t="s">
        <v>299</v>
      </c>
      <c r="P259" s="6">
        <v>0.17</v>
      </c>
      <c r="Q259" s="11">
        <v>2</v>
      </c>
      <c r="R259" s="11"/>
      <c r="S259" s="11"/>
      <c r="T259" s="11"/>
      <c r="U259" s="11">
        <f t="shared" ref="U259:U322" si="80">T259+S259+R259+Q259</f>
        <v>2</v>
      </c>
      <c r="W259">
        <v>2.2000000000000002</v>
      </c>
      <c r="X259" s="1" t="s">
        <v>105</v>
      </c>
    </row>
    <row r="260" spans="1:24" x14ac:dyDescent="0.25">
      <c r="A260" s="1" t="str">
        <f t="shared" si="76"/>
        <v>卡卡杜-凤凰仓</v>
      </c>
      <c r="B260" s="1" t="str">
        <f>"CK202410311605"</f>
        <v>CK202410311605</v>
      </c>
      <c r="C260" s="1" t="str">
        <f>"DD2024103112745"</f>
        <v>DD2024103112745</v>
      </c>
      <c r="D260" s="1" t="str">
        <f>"CK2024103118995"</f>
        <v>CK2024103118995</v>
      </c>
      <c r="E260" s="1" t="str">
        <f>"3723674510471595264"</f>
        <v>3723674510471595264</v>
      </c>
      <c r="F260" s="1" t="str">
        <f t="shared" si="77"/>
        <v>花都四部-凤凰仓</v>
      </c>
      <c r="G260" s="1" t="str">
        <f t="shared" si="65"/>
        <v>卡卡杜企业店（视频号）</v>
      </c>
      <c r="H260" s="1" t="str">
        <f t="shared" si="78"/>
        <v>正常订单</v>
      </c>
      <c r="I260" s="1" t="str">
        <f t="shared" si="79"/>
        <v>已发货</v>
      </c>
      <c r="J260" s="1" t="str">
        <f t="shared" si="75"/>
        <v>2</v>
      </c>
      <c r="K260" s="1">
        <v>2</v>
      </c>
      <c r="L260" s="1" t="s">
        <v>30</v>
      </c>
      <c r="M260" s="1" t="str">
        <f>"山东省 青岛市 崂山区 "</f>
        <v xml:space="preserve">山东省 青岛市 崂山区 </v>
      </c>
      <c r="N260" s="1" t="str">
        <f>"凡华云仓-竹料中通-微信视频号"</f>
        <v>凡华云仓-竹料中通-微信视频号</v>
      </c>
      <c r="O260" s="5">
        <v>73613959784790</v>
      </c>
      <c r="P260" s="6">
        <v>0.17</v>
      </c>
      <c r="Q260" s="11">
        <v>2.2999999999999998</v>
      </c>
      <c r="R260" s="11"/>
      <c r="S260" s="11"/>
      <c r="T260" s="11"/>
      <c r="U260" s="11">
        <f t="shared" si="80"/>
        <v>2.2999999999999998</v>
      </c>
      <c r="W260">
        <v>2.5</v>
      </c>
      <c r="X260" s="1" t="s">
        <v>30</v>
      </c>
    </row>
    <row r="261" spans="1:24" x14ac:dyDescent="0.25">
      <c r="A261" s="1" t="str">
        <f t="shared" si="76"/>
        <v>卡卡杜-凤凰仓</v>
      </c>
      <c r="B261" s="1" t="str">
        <f>"CK202410311606"</f>
        <v>CK202410311606</v>
      </c>
      <c r="C261" s="1" t="str">
        <f>"DD2024103112747"</f>
        <v>DD2024103112747</v>
      </c>
      <c r="D261" s="1" t="str">
        <f>"CK2024103118994"</f>
        <v>CK2024103118994</v>
      </c>
      <c r="E261" s="1" t="str">
        <f>"3723674502099502336"</f>
        <v>3723674502099502336</v>
      </c>
      <c r="F261" s="1" t="str">
        <f t="shared" si="77"/>
        <v>花都四部-凤凰仓</v>
      </c>
      <c r="G261" s="1" t="str">
        <f t="shared" si="65"/>
        <v>卡卡杜企业店（视频号）</v>
      </c>
      <c r="H261" s="1" t="str">
        <f t="shared" si="78"/>
        <v>正常订单</v>
      </c>
      <c r="I261" s="1" t="str">
        <f t="shared" si="79"/>
        <v>已发货</v>
      </c>
      <c r="J261" s="1" t="str">
        <f t="shared" si="75"/>
        <v>2</v>
      </c>
      <c r="K261" s="1">
        <v>2</v>
      </c>
      <c r="L261" s="1" t="s">
        <v>52</v>
      </c>
      <c r="M261" s="1" t="str">
        <f>"甘肃省 兰州市 永登县 "</f>
        <v xml:space="preserve">甘肃省 兰州市 永登县 </v>
      </c>
      <c r="N261" s="1" t="str">
        <f t="shared" ref="N261:N303" si="81">"凡华云仓-城南圆通-微信视频号"</f>
        <v>凡华云仓-城南圆通-微信视频号</v>
      </c>
      <c r="O261" s="5" t="s">
        <v>300</v>
      </c>
      <c r="P261" s="6">
        <v>0.17</v>
      </c>
      <c r="Q261" s="11">
        <v>2</v>
      </c>
      <c r="R261" s="11"/>
      <c r="S261" s="11"/>
      <c r="T261" s="11"/>
      <c r="U261" s="11">
        <f t="shared" si="80"/>
        <v>2</v>
      </c>
      <c r="W261">
        <v>2.2000000000000002</v>
      </c>
      <c r="X261" s="1" t="s">
        <v>52</v>
      </c>
    </row>
    <row r="262" spans="1:24" x14ac:dyDescent="0.25">
      <c r="A262" s="1" t="str">
        <f t="shared" si="76"/>
        <v>卡卡杜-凤凰仓</v>
      </c>
      <c r="B262" s="1" t="str">
        <f>"CK20241031234"</f>
        <v>CK20241031234</v>
      </c>
      <c r="C262" s="1" t="str">
        <f>"DD2024103112456"</f>
        <v>DD2024103112456</v>
      </c>
      <c r="D262" s="1" t="str">
        <f>"CK2024103118993"</f>
        <v>CK2024103118993</v>
      </c>
      <c r="E262" s="1" t="str">
        <f>"3723674499452110080"</f>
        <v>3723674499452110080</v>
      </c>
      <c r="F262" s="1" t="str">
        <f t="shared" si="77"/>
        <v>花都四部-凤凰仓</v>
      </c>
      <c r="G262" s="1" t="str">
        <f t="shared" si="65"/>
        <v>卡卡杜企业店（视频号）</v>
      </c>
      <c r="H262" s="1" t="str">
        <f t="shared" si="78"/>
        <v>正常订单</v>
      </c>
      <c r="I262" s="1" t="str">
        <f t="shared" si="79"/>
        <v>已发货</v>
      </c>
      <c r="J262" s="1" t="str">
        <f t="shared" ref="J262:J268" si="82">"3"</f>
        <v>3</v>
      </c>
      <c r="K262" s="1">
        <v>2</v>
      </c>
      <c r="L262" s="1" t="s">
        <v>32</v>
      </c>
      <c r="M262" s="1" t="str">
        <f>"陕西省 咸阳市 秦都区 "</f>
        <v xml:space="preserve">陕西省 咸阳市 秦都区 </v>
      </c>
      <c r="N262" s="1" t="str">
        <f t="shared" si="81"/>
        <v>凡华云仓-城南圆通-微信视频号</v>
      </c>
      <c r="O262" s="5" t="s">
        <v>301</v>
      </c>
      <c r="P262" s="6">
        <v>0.25</v>
      </c>
      <c r="Q262" s="11">
        <v>2</v>
      </c>
      <c r="R262" s="11"/>
      <c r="S262" s="11"/>
      <c r="T262" s="11"/>
      <c r="U262" s="11">
        <f t="shared" si="80"/>
        <v>2</v>
      </c>
      <c r="W262">
        <v>2.2000000000000002</v>
      </c>
      <c r="X262" s="1" t="s">
        <v>32</v>
      </c>
    </row>
    <row r="263" spans="1:24" x14ac:dyDescent="0.25">
      <c r="A263" s="1" t="str">
        <f t="shared" si="76"/>
        <v>卡卡杜-凤凰仓</v>
      </c>
      <c r="B263" s="1" t="str">
        <f>"CK202410311607"</f>
        <v>CK202410311607</v>
      </c>
      <c r="C263" s="1" t="str">
        <f>"DD2024103112746"</f>
        <v>DD2024103112746</v>
      </c>
      <c r="D263" s="1" t="str">
        <f>"CK2024103118992"</f>
        <v>CK2024103118992</v>
      </c>
      <c r="E263" s="1" t="str">
        <f>"3723674506275718656"</f>
        <v>3723674506275718656</v>
      </c>
      <c r="F263" s="1" t="str">
        <f t="shared" si="77"/>
        <v>花都四部-凤凰仓</v>
      </c>
      <c r="G263" s="1" t="str">
        <f t="shared" si="65"/>
        <v>卡卡杜企业店（视频号）</v>
      </c>
      <c r="H263" s="1" t="str">
        <f t="shared" si="78"/>
        <v>正常订单</v>
      </c>
      <c r="I263" s="1" t="str">
        <f t="shared" si="79"/>
        <v>已发货</v>
      </c>
      <c r="J263" s="1" t="str">
        <f>"2"</f>
        <v>2</v>
      </c>
      <c r="K263" s="1">
        <v>2</v>
      </c>
      <c r="L263" s="1" t="s">
        <v>30</v>
      </c>
      <c r="M263" s="1" t="str">
        <f>"山东省 烟台市 福山区 "</f>
        <v xml:space="preserve">山东省 烟台市 福山区 </v>
      </c>
      <c r="N263" s="1" t="str">
        <f t="shared" si="81"/>
        <v>凡华云仓-城南圆通-微信视频号</v>
      </c>
      <c r="O263" s="5" t="s">
        <v>302</v>
      </c>
      <c r="P263" s="6">
        <v>0.17</v>
      </c>
      <c r="Q263" s="11">
        <v>2</v>
      </c>
      <c r="R263" s="11"/>
      <c r="S263" s="11"/>
      <c r="T263" s="11"/>
      <c r="U263" s="11">
        <f t="shared" si="80"/>
        <v>2</v>
      </c>
      <c r="W263">
        <v>2.2000000000000002</v>
      </c>
      <c r="X263" s="1" t="s">
        <v>30</v>
      </c>
    </row>
    <row r="264" spans="1:24" x14ac:dyDescent="0.25">
      <c r="A264" s="1" t="str">
        <f t="shared" si="76"/>
        <v>卡卡杜-凤凰仓</v>
      </c>
      <c r="B264" s="1" t="str">
        <f>"CK20241031268"</f>
        <v>CK20241031268</v>
      </c>
      <c r="C264" s="1" t="str">
        <f>"DD2024103112497"</f>
        <v>DD2024103112497</v>
      </c>
      <c r="D264" s="1" t="str">
        <f>"CK2024103118991"</f>
        <v>CK2024103118991</v>
      </c>
      <c r="E264" s="1" t="str">
        <f>"3723674504293647873"</f>
        <v>3723674504293647873</v>
      </c>
      <c r="F264" s="1" t="str">
        <f t="shared" si="77"/>
        <v>花都四部-凤凰仓</v>
      </c>
      <c r="G264" s="1" t="str">
        <f t="shared" si="65"/>
        <v>卡卡杜企业店（视频号）</v>
      </c>
      <c r="H264" s="1" t="str">
        <f t="shared" si="78"/>
        <v>正常订单</v>
      </c>
      <c r="I264" s="1" t="str">
        <f t="shared" si="79"/>
        <v>已发货</v>
      </c>
      <c r="J264" s="1" t="str">
        <f t="shared" si="82"/>
        <v>3</v>
      </c>
      <c r="K264" s="1">
        <v>2</v>
      </c>
      <c r="L264" s="1" t="s">
        <v>30</v>
      </c>
      <c r="M264" s="1" t="str">
        <f>"山东省 青岛市 市南区 "</f>
        <v xml:space="preserve">山东省 青岛市 市南区 </v>
      </c>
      <c r="N264" s="1" t="str">
        <f t="shared" si="81"/>
        <v>凡华云仓-城南圆通-微信视频号</v>
      </c>
      <c r="O264" s="5" t="s">
        <v>303</v>
      </c>
      <c r="P264" s="6">
        <v>0.25</v>
      </c>
      <c r="Q264" s="11">
        <v>2</v>
      </c>
      <c r="R264" s="11"/>
      <c r="S264" s="11"/>
      <c r="T264" s="11"/>
      <c r="U264" s="11">
        <f t="shared" si="80"/>
        <v>2</v>
      </c>
      <c r="W264">
        <v>2.2000000000000002</v>
      </c>
      <c r="X264" s="1" t="s">
        <v>30</v>
      </c>
    </row>
    <row r="265" spans="1:24" x14ac:dyDescent="0.25">
      <c r="A265" s="1" t="str">
        <f t="shared" si="76"/>
        <v>卡卡杜-凤凰仓</v>
      </c>
      <c r="B265" s="1" t="str">
        <f>"CK202410311608"</f>
        <v>CK202410311608</v>
      </c>
      <c r="C265" s="1" t="str">
        <f>"DD2024103112748"</f>
        <v>DD2024103112748</v>
      </c>
      <c r="D265" s="1" t="str">
        <f>"CK2024103118990"</f>
        <v>CK2024103118990</v>
      </c>
      <c r="E265" s="1" t="str">
        <f>"3723674504268219648"</f>
        <v>3723674504268219648</v>
      </c>
      <c r="F265" s="1" t="str">
        <f t="shared" si="77"/>
        <v>花都四部-凤凰仓</v>
      </c>
      <c r="G265" s="1" t="str">
        <f t="shared" si="65"/>
        <v>卡卡杜企业店（视频号）</v>
      </c>
      <c r="H265" s="1" t="str">
        <f t="shared" si="78"/>
        <v>正常订单</v>
      </c>
      <c r="I265" s="1" t="str">
        <f t="shared" si="79"/>
        <v>已发货</v>
      </c>
      <c r="J265" s="1" t="str">
        <f t="shared" ref="J265:J272" si="83">"2"</f>
        <v>2</v>
      </c>
      <c r="K265" s="1">
        <v>2</v>
      </c>
      <c r="L265" s="1" t="s">
        <v>109</v>
      </c>
      <c r="M265" s="1" t="str">
        <f>"山西省 太原市 万柏林区 "</f>
        <v xml:space="preserve">山西省 太原市 万柏林区 </v>
      </c>
      <c r="N265" s="1" t="str">
        <f t="shared" si="81"/>
        <v>凡华云仓-城南圆通-微信视频号</v>
      </c>
      <c r="O265" s="5" t="s">
        <v>304</v>
      </c>
      <c r="P265" s="6">
        <v>0.17</v>
      </c>
      <c r="Q265" s="11">
        <v>2</v>
      </c>
      <c r="R265" s="11"/>
      <c r="S265" s="11"/>
      <c r="T265" s="11"/>
      <c r="U265" s="11">
        <f t="shared" si="80"/>
        <v>2</v>
      </c>
      <c r="W265">
        <v>2.2000000000000002</v>
      </c>
      <c r="X265" s="1" t="s">
        <v>109</v>
      </c>
    </row>
    <row r="266" spans="1:24" x14ac:dyDescent="0.25">
      <c r="A266" s="1" t="str">
        <f t="shared" si="76"/>
        <v>卡卡杜-凤凰仓</v>
      </c>
      <c r="B266" s="1" t="str">
        <f>"CK20241031231"</f>
        <v>CK20241031231</v>
      </c>
      <c r="C266" s="1" t="str">
        <f>"DD2024103112452"</f>
        <v>DD2024103112452</v>
      </c>
      <c r="D266" s="1" t="str">
        <f>"CK2024103118989"</f>
        <v>CK2024103118989</v>
      </c>
      <c r="E266" s="1" t="str">
        <f>"3723674502495601920"</f>
        <v>3723674502495601920</v>
      </c>
      <c r="F266" s="1" t="str">
        <f t="shared" si="77"/>
        <v>花都四部-凤凰仓</v>
      </c>
      <c r="G266" s="1" t="str">
        <f t="shared" si="65"/>
        <v>卡卡杜企业店（视频号）</v>
      </c>
      <c r="H266" s="1" t="str">
        <f t="shared" si="78"/>
        <v>正常订单</v>
      </c>
      <c r="I266" s="1" t="str">
        <f t="shared" si="79"/>
        <v>已发货</v>
      </c>
      <c r="J266" s="1" t="str">
        <f t="shared" si="82"/>
        <v>3</v>
      </c>
      <c r="K266" s="1">
        <v>2</v>
      </c>
      <c r="L266" s="1" t="s">
        <v>41</v>
      </c>
      <c r="M266" s="1" t="str">
        <f>"湖北省 武汉市 江夏区 "</f>
        <v xml:space="preserve">湖北省 武汉市 江夏区 </v>
      </c>
      <c r="N266" s="1" t="str">
        <f t="shared" si="81"/>
        <v>凡华云仓-城南圆通-微信视频号</v>
      </c>
      <c r="O266" s="5" t="s">
        <v>305</v>
      </c>
      <c r="P266" s="6">
        <v>0.25</v>
      </c>
      <c r="Q266" s="11">
        <v>2</v>
      </c>
      <c r="R266" s="11"/>
      <c r="S266" s="11"/>
      <c r="T266" s="11"/>
      <c r="U266" s="11">
        <f t="shared" si="80"/>
        <v>2</v>
      </c>
      <c r="W266">
        <v>2.2000000000000002</v>
      </c>
      <c r="X266" s="1" t="s">
        <v>41</v>
      </c>
    </row>
    <row r="267" spans="1:24" x14ac:dyDescent="0.25">
      <c r="A267" s="1" t="str">
        <f t="shared" si="76"/>
        <v>卡卡杜-凤凰仓</v>
      </c>
      <c r="B267" s="1" t="str">
        <f>"CK20241031263"</f>
        <v>CK20241031263</v>
      </c>
      <c r="C267" s="1" t="str">
        <f>"DD2024103112492"</f>
        <v>DD2024103112492</v>
      </c>
      <c r="D267" s="1" t="str">
        <f>"CK2024103118988"</f>
        <v>CK2024103118988</v>
      </c>
      <c r="E267" s="1" t="str">
        <f>"3723674506563028225"</f>
        <v>3723674506563028225</v>
      </c>
      <c r="F267" s="1" t="str">
        <f t="shared" si="77"/>
        <v>花都四部-凤凰仓</v>
      </c>
      <c r="G267" s="1" t="str">
        <f t="shared" ref="G267:G330" si="84">"卡卡杜企业店（视频号）"</f>
        <v>卡卡杜企业店（视频号）</v>
      </c>
      <c r="H267" s="1" t="str">
        <f t="shared" si="78"/>
        <v>正常订单</v>
      </c>
      <c r="I267" s="1" t="str">
        <f t="shared" si="79"/>
        <v>已发货</v>
      </c>
      <c r="J267" s="1" t="str">
        <f t="shared" si="82"/>
        <v>3</v>
      </c>
      <c r="K267" s="1">
        <v>2</v>
      </c>
      <c r="L267" s="1" t="s">
        <v>92</v>
      </c>
      <c r="M267" s="1" t="str">
        <f>"辽宁省 葫芦岛市 绥中县 "</f>
        <v xml:space="preserve">辽宁省 葫芦岛市 绥中县 </v>
      </c>
      <c r="N267" s="1" t="str">
        <f t="shared" si="81"/>
        <v>凡华云仓-城南圆通-微信视频号</v>
      </c>
      <c r="O267" s="5" t="s">
        <v>306</v>
      </c>
      <c r="P267" s="6">
        <v>0.25</v>
      </c>
      <c r="Q267" s="11">
        <v>2</v>
      </c>
      <c r="R267" s="11"/>
      <c r="S267" s="11"/>
      <c r="T267" s="11"/>
      <c r="U267" s="11">
        <f t="shared" si="80"/>
        <v>2</v>
      </c>
      <c r="W267">
        <v>2.2000000000000002</v>
      </c>
      <c r="X267" s="1" t="s">
        <v>92</v>
      </c>
    </row>
    <row r="268" spans="1:24" x14ac:dyDescent="0.25">
      <c r="A268" s="1" t="str">
        <f t="shared" si="76"/>
        <v>卡卡杜-凤凰仓</v>
      </c>
      <c r="B268" s="1" t="str">
        <f>"CK20241031241"</f>
        <v>CK20241031241</v>
      </c>
      <c r="C268" s="1" t="str">
        <f>"DD2024103112461"</f>
        <v>DD2024103112461</v>
      </c>
      <c r="D268" s="1" t="str">
        <f>"CK2024103118987"</f>
        <v>CK2024103118987</v>
      </c>
      <c r="E268" s="1" t="str">
        <f>"3723674506696986624"</f>
        <v>3723674506696986624</v>
      </c>
      <c r="F268" s="1" t="str">
        <f t="shared" si="77"/>
        <v>花都四部-凤凰仓</v>
      </c>
      <c r="G268" s="1" t="str">
        <f t="shared" si="84"/>
        <v>卡卡杜企业店（视频号）</v>
      </c>
      <c r="H268" s="1" t="str">
        <f t="shared" si="78"/>
        <v>正常订单</v>
      </c>
      <c r="I268" s="1" t="str">
        <f t="shared" si="79"/>
        <v>已发货</v>
      </c>
      <c r="J268" s="1" t="str">
        <f t="shared" si="82"/>
        <v>3</v>
      </c>
      <c r="K268" s="1">
        <v>2</v>
      </c>
      <c r="L268" s="1" t="s">
        <v>32</v>
      </c>
      <c r="M268" s="1" t="str">
        <f>"陕西省 西安市 雁塔区 "</f>
        <v xml:space="preserve">陕西省 西安市 雁塔区 </v>
      </c>
      <c r="N268" s="1" t="str">
        <f t="shared" si="81"/>
        <v>凡华云仓-城南圆通-微信视频号</v>
      </c>
      <c r="O268" s="5" t="s">
        <v>307</v>
      </c>
      <c r="P268" s="6">
        <v>0.25</v>
      </c>
      <c r="Q268" s="11">
        <v>2</v>
      </c>
      <c r="R268" s="11"/>
      <c r="S268" s="11"/>
      <c r="T268" s="11"/>
      <c r="U268" s="11">
        <f t="shared" si="80"/>
        <v>2</v>
      </c>
      <c r="W268">
        <v>2.2000000000000002</v>
      </c>
      <c r="X268" s="1" t="s">
        <v>32</v>
      </c>
    </row>
    <row r="269" spans="1:24" x14ac:dyDescent="0.25">
      <c r="A269" s="1" t="str">
        <f t="shared" si="76"/>
        <v>卡卡杜-凤凰仓</v>
      </c>
      <c r="B269" s="1" t="str">
        <f>"CK202410311609"</f>
        <v>CK202410311609</v>
      </c>
      <c r="C269" s="1" t="str">
        <f>"DD2024103112751"</f>
        <v>DD2024103112751</v>
      </c>
      <c r="D269" s="1" t="str">
        <f>"CK2024103118986"</f>
        <v>CK2024103118986</v>
      </c>
      <c r="E269" s="1" t="str">
        <f>"3723674506975642880"</f>
        <v>3723674506975642880</v>
      </c>
      <c r="F269" s="1" t="str">
        <f t="shared" si="77"/>
        <v>花都四部-凤凰仓</v>
      </c>
      <c r="G269" s="1" t="str">
        <f t="shared" si="84"/>
        <v>卡卡杜企业店（视频号）</v>
      </c>
      <c r="H269" s="1" t="str">
        <f t="shared" si="78"/>
        <v>正常订单</v>
      </c>
      <c r="I269" s="1" t="str">
        <f t="shared" si="79"/>
        <v>已发货</v>
      </c>
      <c r="J269" s="1" t="str">
        <f t="shared" si="83"/>
        <v>2</v>
      </c>
      <c r="K269" s="1">
        <v>2</v>
      </c>
      <c r="L269" s="1" t="s">
        <v>44</v>
      </c>
      <c r="M269" s="1" t="str">
        <f>"海南省 省直辖县级行政区划 文昌市 "</f>
        <v xml:space="preserve">海南省 省直辖县级行政区划 文昌市 </v>
      </c>
      <c r="N269" s="1" t="str">
        <f t="shared" si="81"/>
        <v>凡华云仓-城南圆通-微信视频号</v>
      </c>
      <c r="O269" s="5" t="s">
        <v>308</v>
      </c>
      <c r="P269" s="6">
        <v>0.17</v>
      </c>
      <c r="Q269" s="11">
        <v>2</v>
      </c>
      <c r="R269" s="11"/>
      <c r="S269" s="11"/>
      <c r="T269" s="11"/>
      <c r="U269" s="11">
        <f t="shared" si="80"/>
        <v>2</v>
      </c>
      <c r="W269">
        <v>2.2000000000000002</v>
      </c>
      <c r="X269" s="1" t="s">
        <v>44</v>
      </c>
    </row>
    <row r="270" spans="1:24" x14ac:dyDescent="0.25">
      <c r="A270" s="1" t="str">
        <f t="shared" si="76"/>
        <v>卡卡杜-凤凰仓</v>
      </c>
      <c r="B270" s="1" t="str">
        <f>"CK202410311610"</f>
        <v>CK202410311610</v>
      </c>
      <c r="C270" s="1" t="str">
        <f>"DD2024103112752"</f>
        <v>DD2024103112752</v>
      </c>
      <c r="D270" s="1" t="str">
        <f>"CK2024103118985"</f>
        <v>CK2024103118985</v>
      </c>
      <c r="E270" s="1" t="str">
        <f>"3723674505716303361"</f>
        <v>3723674505716303361</v>
      </c>
      <c r="F270" s="1" t="str">
        <f t="shared" si="77"/>
        <v>花都四部-凤凰仓</v>
      </c>
      <c r="G270" s="1" t="str">
        <f t="shared" si="84"/>
        <v>卡卡杜企业店（视频号）</v>
      </c>
      <c r="H270" s="1" t="str">
        <f t="shared" si="78"/>
        <v>正常订单</v>
      </c>
      <c r="I270" s="1" t="str">
        <f t="shared" si="79"/>
        <v>已发货</v>
      </c>
      <c r="J270" s="1" t="str">
        <f t="shared" si="83"/>
        <v>2</v>
      </c>
      <c r="K270" s="1">
        <v>2</v>
      </c>
      <c r="L270" s="1" t="s">
        <v>54</v>
      </c>
      <c r="M270" s="1" t="str">
        <f>"黑龙江省 鹤岗市 工农区 "</f>
        <v xml:space="preserve">黑龙江省 鹤岗市 工农区 </v>
      </c>
      <c r="N270" s="1" t="str">
        <f t="shared" si="81"/>
        <v>凡华云仓-城南圆通-微信视频号</v>
      </c>
      <c r="O270" s="5" t="s">
        <v>309</v>
      </c>
      <c r="P270" s="6">
        <v>0.17</v>
      </c>
      <c r="Q270" s="11">
        <v>2</v>
      </c>
      <c r="R270" s="11"/>
      <c r="S270" s="11"/>
      <c r="T270" s="11"/>
      <c r="U270" s="11">
        <f t="shared" si="80"/>
        <v>2</v>
      </c>
      <c r="W270">
        <v>2.2000000000000002</v>
      </c>
      <c r="X270" s="1" t="s">
        <v>54</v>
      </c>
    </row>
    <row r="271" spans="1:24" x14ac:dyDescent="0.25">
      <c r="A271" s="1" t="str">
        <f t="shared" si="76"/>
        <v>卡卡杜-凤凰仓</v>
      </c>
      <c r="B271" s="1" t="str">
        <f>"CK202410311611"</f>
        <v>CK202410311611</v>
      </c>
      <c r="C271" s="1" t="str">
        <f>"DD2024103112750"</f>
        <v>DD2024103112750</v>
      </c>
      <c r="D271" s="1" t="str">
        <f>"CK2024103118984"</f>
        <v>CK2024103118984</v>
      </c>
      <c r="E271" s="1" t="str">
        <f>"3723674503455049216"</f>
        <v>3723674503455049216</v>
      </c>
      <c r="F271" s="1" t="str">
        <f t="shared" si="77"/>
        <v>花都四部-凤凰仓</v>
      </c>
      <c r="G271" s="1" t="str">
        <f t="shared" si="84"/>
        <v>卡卡杜企业店（视频号）</v>
      </c>
      <c r="H271" s="1" t="str">
        <f t="shared" si="78"/>
        <v>正常订单</v>
      </c>
      <c r="I271" s="1" t="str">
        <f t="shared" si="79"/>
        <v>已发货</v>
      </c>
      <c r="J271" s="1" t="str">
        <f t="shared" si="83"/>
        <v>2</v>
      </c>
      <c r="K271" s="1">
        <v>2</v>
      </c>
      <c r="L271" s="1" t="s">
        <v>187</v>
      </c>
      <c r="M271" s="1" t="str">
        <f>"吉林省 吉林市 龙潭区 "</f>
        <v xml:space="preserve">吉林省 吉林市 龙潭区 </v>
      </c>
      <c r="N271" s="1" t="str">
        <f t="shared" si="81"/>
        <v>凡华云仓-城南圆通-微信视频号</v>
      </c>
      <c r="O271" s="5" t="s">
        <v>310</v>
      </c>
      <c r="P271" s="6">
        <v>0.17</v>
      </c>
      <c r="Q271" s="11">
        <v>2</v>
      </c>
      <c r="R271" s="11"/>
      <c r="S271" s="11"/>
      <c r="T271" s="11"/>
      <c r="U271" s="11">
        <f t="shared" si="80"/>
        <v>2</v>
      </c>
      <c r="W271">
        <v>2.2000000000000002</v>
      </c>
      <c r="X271" s="1" t="s">
        <v>187</v>
      </c>
    </row>
    <row r="272" spans="1:24" x14ac:dyDescent="0.25">
      <c r="A272" s="1" t="str">
        <f t="shared" si="76"/>
        <v>卡卡杜-凤凰仓</v>
      </c>
      <c r="B272" s="1" t="str">
        <f>"CK202410311612"</f>
        <v>CK202410311612</v>
      </c>
      <c r="C272" s="1" t="str">
        <f>"DD2024103112749"</f>
        <v>DD2024103112749</v>
      </c>
      <c r="D272" s="1" t="str">
        <f>"CK2024103118983"</f>
        <v>CK2024103118983</v>
      </c>
      <c r="E272" s="1" t="str">
        <f>"3723674503676560640"</f>
        <v>3723674503676560640</v>
      </c>
      <c r="F272" s="1" t="str">
        <f t="shared" si="77"/>
        <v>花都四部-凤凰仓</v>
      </c>
      <c r="G272" s="1" t="str">
        <f t="shared" si="84"/>
        <v>卡卡杜企业店（视频号）</v>
      </c>
      <c r="H272" s="1" t="str">
        <f t="shared" si="78"/>
        <v>正常订单</v>
      </c>
      <c r="I272" s="1" t="str">
        <f t="shared" si="79"/>
        <v>已发货</v>
      </c>
      <c r="J272" s="1" t="str">
        <f t="shared" si="83"/>
        <v>2</v>
      </c>
      <c r="K272" s="1">
        <v>2</v>
      </c>
      <c r="L272" s="1" t="s">
        <v>161</v>
      </c>
      <c r="M272" s="1" t="str">
        <f>"四川省 德阳市 广汉市 "</f>
        <v xml:space="preserve">四川省 德阳市 广汉市 </v>
      </c>
      <c r="N272" s="1" t="str">
        <f t="shared" si="81"/>
        <v>凡华云仓-城南圆通-微信视频号</v>
      </c>
      <c r="O272" s="5" t="s">
        <v>311</v>
      </c>
      <c r="P272" s="6">
        <v>0.17</v>
      </c>
      <c r="Q272" s="11">
        <v>2</v>
      </c>
      <c r="R272" s="11"/>
      <c r="S272" s="11"/>
      <c r="T272" s="11"/>
      <c r="U272" s="11">
        <f t="shared" si="80"/>
        <v>2</v>
      </c>
      <c r="W272">
        <v>2.2000000000000002</v>
      </c>
      <c r="X272" s="1" t="s">
        <v>161</v>
      </c>
    </row>
    <row r="273" spans="1:24" x14ac:dyDescent="0.25">
      <c r="A273" s="1" t="str">
        <f t="shared" si="76"/>
        <v>卡卡杜-凤凰仓</v>
      </c>
      <c r="B273" s="1" t="str">
        <f>"CK202410311899"</f>
        <v>CK202410311899</v>
      </c>
      <c r="C273" s="1" t="str">
        <f>"DD2024103113816"</f>
        <v>DD2024103113816</v>
      </c>
      <c r="D273" s="1" t="str">
        <f>"CK2024103118982"</f>
        <v>CK2024103118982</v>
      </c>
      <c r="E273" s="1" t="str">
        <f>"3723674502257313280"</f>
        <v>3723674502257313280</v>
      </c>
      <c r="F273" s="1" t="str">
        <f t="shared" si="77"/>
        <v>花都四部-凤凰仓</v>
      </c>
      <c r="G273" s="1" t="str">
        <f t="shared" si="84"/>
        <v>卡卡杜企业店（视频号）</v>
      </c>
      <c r="H273" s="1" t="str">
        <f t="shared" si="78"/>
        <v>正常订单</v>
      </c>
      <c r="I273" s="1" t="str">
        <f t="shared" si="79"/>
        <v>已发货</v>
      </c>
      <c r="J273" s="1" t="str">
        <f>"5"</f>
        <v>5</v>
      </c>
      <c r="K273" s="1">
        <v>2</v>
      </c>
      <c r="L273" s="1" t="s">
        <v>92</v>
      </c>
      <c r="M273" s="1" t="str">
        <f>"辽宁省 沈阳市 于洪区 "</f>
        <v xml:space="preserve">辽宁省 沈阳市 于洪区 </v>
      </c>
      <c r="N273" s="1" t="str">
        <f t="shared" si="81"/>
        <v>凡华云仓-城南圆通-微信视频号</v>
      </c>
      <c r="O273" s="5" t="s">
        <v>312</v>
      </c>
      <c r="P273" s="6">
        <v>0.35</v>
      </c>
      <c r="Q273" s="11">
        <v>2.2999999999999998</v>
      </c>
      <c r="R273" s="11"/>
      <c r="S273" s="11"/>
      <c r="T273" s="11"/>
      <c r="U273" s="11">
        <f t="shared" si="80"/>
        <v>2.2999999999999998</v>
      </c>
      <c r="W273">
        <v>2.5</v>
      </c>
      <c r="X273" s="1" t="s">
        <v>92</v>
      </c>
    </row>
    <row r="274" spans="1:24" x14ac:dyDescent="0.25">
      <c r="A274" s="1" t="str">
        <f t="shared" si="76"/>
        <v>卡卡杜-凤凰仓</v>
      </c>
      <c r="B274" s="1" t="str">
        <f>"CK202410311613"</f>
        <v>CK202410311613</v>
      </c>
      <c r="C274" s="1" t="str">
        <f>"DD2024103112753"</f>
        <v>DD2024103112753</v>
      </c>
      <c r="D274" s="1" t="str">
        <f>"CK2024103118981"</f>
        <v>CK2024103118981</v>
      </c>
      <c r="E274" s="1" t="str">
        <f>"3723674501062198528"</f>
        <v>3723674501062198528</v>
      </c>
      <c r="F274" s="1" t="str">
        <f t="shared" si="77"/>
        <v>花都四部-凤凰仓</v>
      </c>
      <c r="G274" s="1" t="str">
        <f t="shared" si="84"/>
        <v>卡卡杜企业店（视频号）</v>
      </c>
      <c r="H274" s="1" t="str">
        <f t="shared" si="78"/>
        <v>正常订单</v>
      </c>
      <c r="I274" s="1" t="str">
        <f t="shared" si="79"/>
        <v>已发货</v>
      </c>
      <c r="J274" s="1" t="str">
        <f t="shared" ref="J274:J280" si="85">"2"</f>
        <v>2</v>
      </c>
      <c r="K274" s="1">
        <v>2</v>
      </c>
      <c r="L274" s="1" t="s">
        <v>161</v>
      </c>
      <c r="M274" s="1" t="str">
        <f>"四川省 眉山市 仁寿县 "</f>
        <v xml:space="preserve">四川省 眉山市 仁寿县 </v>
      </c>
      <c r="N274" s="1" t="str">
        <f t="shared" si="81"/>
        <v>凡华云仓-城南圆通-微信视频号</v>
      </c>
      <c r="O274" s="5" t="s">
        <v>313</v>
      </c>
      <c r="P274" s="6">
        <v>0.17</v>
      </c>
      <c r="Q274" s="11">
        <v>2</v>
      </c>
      <c r="R274" s="11"/>
      <c r="S274" s="11"/>
      <c r="T274" s="11"/>
      <c r="U274" s="11">
        <f t="shared" si="80"/>
        <v>2</v>
      </c>
      <c r="W274">
        <v>2.2000000000000002</v>
      </c>
      <c r="X274" s="1" t="s">
        <v>161</v>
      </c>
    </row>
    <row r="275" spans="1:24" x14ac:dyDescent="0.25">
      <c r="A275" s="1" t="str">
        <f t="shared" si="76"/>
        <v>卡卡杜-凤凰仓</v>
      </c>
      <c r="B275" s="1" t="str">
        <f>"CK20241031191"</f>
        <v>CK20241031191</v>
      </c>
      <c r="C275" s="1" t="str">
        <f>"DD2024103112412"</f>
        <v>DD2024103112412</v>
      </c>
      <c r="D275" s="1" t="str">
        <f>"CK2024103118980"</f>
        <v>CK2024103118980</v>
      </c>
      <c r="E275" s="1" t="str">
        <f>"3723674498943028224"</f>
        <v>3723674498943028224</v>
      </c>
      <c r="F275" s="1" t="str">
        <f t="shared" si="77"/>
        <v>花都四部-凤凰仓</v>
      </c>
      <c r="G275" s="1" t="str">
        <f t="shared" si="84"/>
        <v>卡卡杜企业店（视频号）</v>
      </c>
      <c r="H275" s="1" t="str">
        <f t="shared" si="78"/>
        <v>正常订单</v>
      </c>
      <c r="I275" s="1" t="str">
        <f t="shared" si="79"/>
        <v>已发货</v>
      </c>
      <c r="J275" s="1" t="str">
        <f t="shared" ref="J275:J278" si="86">"3"</f>
        <v>3</v>
      </c>
      <c r="K275" s="1">
        <v>2</v>
      </c>
      <c r="L275" s="1" t="s">
        <v>105</v>
      </c>
      <c r="M275" s="1" t="str">
        <f>"北京 北京市 西城区 "</f>
        <v xml:space="preserve">北京 北京市 西城区 </v>
      </c>
      <c r="N275" s="1" t="str">
        <f t="shared" si="81"/>
        <v>凡华云仓-城南圆通-微信视频号</v>
      </c>
      <c r="O275" s="5" t="s">
        <v>314</v>
      </c>
      <c r="P275" s="6">
        <v>0.25</v>
      </c>
      <c r="Q275" s="11">
        <v>2</v>
      </c>
      <c r="R275" s="11"/>
      <c r="S275" s="11"/>
      <c r="T275" s="11"/>
      <c r="U275" s="11">
        <f t="shared" si="80"/>
        <v>2</v>
      </c>
      <c r="W275">
        <v>2.2000000000000002</v>
      </c>
      <c r="X275" s="1" t="s">
        <v>105</v>
      </c>
    </row>
    <row r="276" spans="1:24" x14ac:dyDescent="0.25">
      <c r="A276" s="1" t="str">
        <f t="shared" si="76"/>
        <v>卡卡杜-凤凰仓</v>
      </c>
      <c r="B276" s="1" t="str">
        <f>"CK20241031250"</f>
        <v>CK20241031250</v>
      </c>
      <c r="C276" s="1" t="str">
        <f>"DD2024103112478"</f>
        <v>DD2024103112478</v>
      </c>
      <c r="D276" s="1" t="str">
        <f>"CK2024103118979"</f>
        <v>CK2024103118979</v>
      </c>
      <c r="E276" s="1" t="str">
        <f>"3723674499775071488"</f>
        <v>3723674499775071488</v>
      </c>
      <c r="F276" s="1" t="str">
        <f t="shared" si="77"/>
        <v>花都四部-凤凰仓</v>
      </c>
      <c r="G276" s="1" t="str">
        <f t="shared" si="84"/>
        <v>卡卡杜企业店（视频号）</v>
      </c>
      <c r="H276" s="1" t="str">
        <f t="shared" si="78"/>
        <v>正常订单</v>
      </c>
      <c r="I276" s="1" t="str">
        <f t="shared" si="79"/>
        <v>已发货</v>
      </c>
      <c r="J276" s="1" t="str">
        <f t="shared" si="86"/>
        <v>3</v>
      </c>
      <c r="K276" s="1">
        <v>2</v>
      </c>
      <c r="L276" s="1" t="s">
        <v>24</v>
      </c>
      <c r="M276" s="1" t="str">
        <f>"福建省 福州市 永泰县 "</f>
        <v xml:space="preserve">福建省 福州市 永泰县 </v>
      </c>
      <c r="N276" s="1" t="str">
        <f t="shared" si="81"/>
        <v>凡华云仓-城南圆通-微信视频号</v>
      </c>
      <c r="O276" s="5" t="s">
        <v>315</v>
      </c>
      <c r="P276" s="6">
        <v>0.25</v>
      </c>
      <c r="Q276" s="11">
        <v>2</v>
      </c>
      <c r="R276" s="11"/>
      <c r="S276" s="11"/>
      <c r="T276" s="11"/>
      <c r="U276" s="11">
        <f t="shared" si="80"/>
        <v>2</v>
      </c>
      <c r="W276">
        <v>2.2000000000000002</v>
      </c>
      <c r="X276" s="1" t="s">
        <v>24</v>
      </c>
    </row>
    <row r="277" spans="1:24" x14ac:dyDescent="0.25">
      <c r="A277" s="1" t="str">
        <f t="shared" si="76"/>
        <v>卡卡杜-凤凰仓</v>
      </c>
      <c r="B277" s="1" t="str">
        <f>"CK202410311614"</f>
        <v>CK202410311614</v>
      </c>
      <c r="C277" s="1" t="str">
        <f>"DD2024103112754"</f>
        <v>DD2024103112754</v>
      </c>
      <c r="D277" s="1" t="str">
        <f>"CK2024103118978"</f>
        <v>CK2024103118978</v>
      </c>
      <c r="E277" s="1" t="str">
        <f>"3723674500330032128"</f>
        <v>3723674500330032128</v>
      </c>
      <c r="F277" s="1" t="str">
        <f t="shared" si="77"/>
        <v>花都四部-凤凰仓</v>
      </c>
      <c r="G277" s="1" t="str">
        <f t="shared" si="84"/>
        <v>卡卡杜企业店（视频号）</v>
      </c>
      <c r="H277" s="1" t="str">
        <f t="shared" si="78"/>
        <v>正常订单</v>
      </c>
      <c r="I277" s="1" t="str">
        <f t="shared" si="79"/>
        <v>已发货</v>
      </c>
      <c r="J277" s="1" t="str">
        <f t="shared" si="85"/>
        <v>2</v>
      </c>
      <c r="K277" s="1">
        <v>2</v>
      </c>
      <c r="L277" s="1" t="s">
        <v>30</v>
      </c>
      <c r="M277" s="1" t="str">
        <f>"山东省 济南市 历下区 "</f>
        <v xml:space="preserve">山东省 济南市 历下区 </v>
      </c>
      <c r="N277" s="1" t="str">
        <f t="shared" si="81"/>
        <v>凡华云仓-城南圆通-微信视频号</v>
      </c>
      <c r="O277" s="5" t="s">
        <v>316</v>
      </c>
      <c r="P277" s="6">
        <v>0.17</v>
      </c>
      <c r="Q277" s="11">
        <v>2</v>
      </c>
      <c r="R277" s="11"/>
      <c r="S277" s="11"/>
      <c r="T277" s="11"/>
      <c r="U277" s="11">
        <f t="shared" si="80"/>
        <v>2</v>
      </c>
      <c r="W277">
        <v>2.2000000000000002</v>
      </c>
      <c r="X277" s="1" t="s">
        <v>30</v>
      </c>
    </row>
    <row r="278" spans="1:24" x14ac:dyDescent="0.25">
      <c r="A278" s="1" t="str">
        <f t="shared" si="76"/>
        <v>卡卡杜-凤凰仓</v>
      </c>
      <c r="B278" s="1" t="str">
        <f>"CK20241031244"</f>
        <v>CK20241031244</v>
      </c>
      <c r="C278" s="1" t="str">
        <f>"DD2024103112467"</f>
        <v>DD2024103112467</v>
      </c>
      <c r="D278" s="1" t="str">
        <f>"CK2024103118977"</f>
        <v>CK2024103118977</v>
      </c>
      <c r="E278" s="1" t="str">
        <f>"3723674498276132352"</f>
        <v>3723674498276132352</v>
      </c>
      <c r="F278" s="1" t="str">
        <f t="shared" si="77"/>
        <v>花都四部-凤凰仓</v>
      </c>
      <c r="G278" s="1" t="str">
        <f t="shared" si="84"/>
        <v>卡卡杜企业店（视频号）</v>
      </c>
      <c r="H278" s="1" t="str">
        <f t="shared" si="78"/>
        <v>正常订单</v>
      </c>
      <c r="I278" s="1" t="str">
        <f t="shared" si="79"/>
        <v>已发货</v>
      </c>
      <c r="J278" s="1" t="str">
        <f t="shared" si="86"/>
        <v>3</v>
      </c>
      <c r="K278" s="1">
        <v>2</v>
      </c>
      <c r="L278" s="1" t="s">
        <v>66</v>
      </c>
      <c r="M278" s="1" t="str">
        <f>"内蒙古自治区 赤峰市 松山区 "</f>
        <v xml:space="preserve">内蒙古自治区 赤峰市 松山区 </v>
      </c>
      <c r="N278" s="1" t="str">
        <f t="shared" si="81"/>
        <v>凡华云仓-城南圆通-微信视频号</v>
      </c>
      <c r="O278" s="5" t="s">
        <v>317</v>
      </c>
      <c r="P278" s="6">
        <v>0.25</v>
      </c>
      <c r="Q278" s="11">
        <v>2</v>
      </c>
      <c r="R278" s="11"/>
      <c r="S278" s="11"/>
      <c r="T278" s="11"/>
      <c r="U278" s="11">
        <f t="shared" si="80"/>
        <v>2</v>
      </c>
      <c r="W278">
        <v>2.2000000000000002</v>
      </c>
      <c r="X278" s="1" t="s">
        <v>66</v>
      </c>
    </row>
    <row r="279" spans="1:24" x14ac:dyDescent="0.25">
      <c r="A279" s="1" t="str">
        <f t="shared" si="76"/>
        <v>卡卡杜-凤凰仓</v>
      </c>
      <c r="B279" s="1" t="str">
        <f>"CK202410311618"</f>
        <v>CK202410311618</v>
      </c>
      <c r="C279" s="1" t="str">
        <f>"DD2024103112757"</f>
        <v>DD2024103112757</v>
      </c>
      <c r="D279" s="1" t="str">
        <f>"CK2024103118976"</f>
        <v>CK2024103118976</v>
      </c>
      <c r="E279" s="1" t="str">
        <f>"3723674492207498752"</f>
        <v>3723674492207498752</v>
      </c>
      <c r="F279" s="1" t="str">
        <f t="shared" si="77"/>
        <v>花都四部-凤凰仓</v>
      </c>
      <c r="G279" s="1" t="str">
        <f t="shared" si="84"/>
        <v>卡卡杜企业店（视频号）</v>
      </c>
      <c r="H279" s="1" t="str">
        <f t="shared" si="78"/>
        <v>正常订单</v>
      </c>
      <c r="I279" s="1" t="str">
        <f t="shared" si="79"/>
        <v>已发货</v>
      </c>
      <c r="J279" s="1" t="str">
        <f t="shared" si="85"/>
        <v>2</v>
      </c>
      <c r="K279" s="1">
        <v>2</v>
      </c>
      <c r="L279" s="1" t="s">
        <v>54</v>
      </c>
      <c r="M279" s="1" t="str">
        <f>"黑龙江省 齐齐哈尔市 依安县 "</f>
        <v xml:space="preserve">黑龙江省 齐齐哈尔市 依安县 </v>
      </c>
      <c r="N279" s="1" t="str">
        <f t="shared" si="81"/>
        <v>凡华云仓-城南圆通-微信视频号</v>
      </c>
      <c r="O279" s="5" t="s">
        <v>318</v>
      </c>
      <c r="P279" s="6">
        <v>0.17</v>
      </c>
      <c r="Q279" s="11">
        <v>2</v>
      </c>
      <c r="R279" s="11"/>
      <c r="S279" s="11"/>
      <c r="T279" s="11"/>
      <c r="U279" s="11">
        <f t="shared" si="80"/>
        <v>2</v>
      </c>
      <c r="W279">
        <v>2.2000000000000002</v>
      </c>
      <c r="X279" s="1" t="s">
        <v>54</v>
      </c>
    </row>
    <row r="280" spans="1:24" x14ac:dyDescent="0.25">
      <c r="A280" s="1" t="str">
        <f t="shared" si="76"/>
        <v>卡卡杜-凤凰仓</v>
      </c>
      <c r="B280" s="1" t="str">
        <f>"CK202410311615"</f>
        <v>CK202410311615</v>
      </c>
      <c r="C280" s="1" t="str">
        <f>"DD2024103112755"</f>
        <v>DD2024103112755</v>
      </c>
      <c r="D280" s="1" t="str">
        <f>"CK2024103118975"</f>
        <v>CK2024103118975</v>
      </c>
      <c r="E280" s="1" t="str">
        <f>"3723674498757428480"</f>
        <v>3723674498757428480</v>
      </c>
      <c r="F280" s="1" t="str">
        <f t="shared" si="77"/>
        <v>花都四部-凤凰仓</v>
      </c>
      <c r="G280" s="1" t="str">
        <f t="shared" si="84"/>
        <v>卡卡杜企业店（视频号）</v>
      </c>
      <c r="H280" s="1" t="str">
        <f t="shared" si="78"/>
        <v>正常订单</v>
      </c>
      <c r="I280" s="1" t="str">
        <f t="shared" si="79"/>
        <v>已发货</v>
      </c>
      <c r="J280" s="1" t="str">
        <f t="shared" si="85"/>
        <v>2</v>
      </c>
      <c r="K280" s="1">
        <v>2</v>
      </c>
      <c r="L280" s="1" t="s">
        <v>20</v>
      </c>
      <c r="M280" s="1" t="str">
        <f>"浙江省 温州市 乐清市 "</f>
        <v xml:space="preserve">浙江省 温州市 乐清市 </v>
      </c>
      <c r="N280" s="1" t="str">
        <f t="shared" si="81"/>
        <v>凡华云仓-城南圆通-微信视频号</v>
      </c>
      <c r="O280" s="5" t="s">
        <v>319</v>
      </c>
      <c r="P280" s="6">
        <v>0.17</v>
      </c>
      <c r="Q280" s="11">
        <v>2</v>
      </c>
      <c r="R280" s="11"/>
      <c r="S280" s="11"/>
      <c r="T280" s="11"/>
      <c r="U280" s="11">
        <f t="shared" si="80"/>
        <v>2</v>
      </c>
      <c r="W280">
        <v>2.2000000000000002</v>
      </c>
      <c r="X280" s="1" t="s">
        <v>20</v>
      </c>
    </row>
    <row r="281" spans="1:24" x14ac:dyDescent="0.25">
      <c r="A281" s="1" t="str">
        <f t="shared" si="76"/>
        <v>卡卡杜-凤凰仓</v>
      </c>
      <c r="B281" s="1" t="str">
        <f>"CK20241031247"</f>
        <v>CK20241031247</v>
      </c>
      <c r="C281" s="1" t="str">
        <f>"DD2024103112471"</f>
        <v>DD2024103112471</v>
      </c>
      <c r="D281" s="1" t="str">
        <f>"CK2024103118974"</f>
        <v>CK2024103118974</v>
      </c>
      <c r="E281" s="1" t="str">
        <f>"3723674498285831424"</f>
        <v>3723674498285831424</v>
      </c>
      <c r="F281" s="1" t="str">
        <f t="shared" si="77"/>
        <v>花都四部-凤凰仓</v>
      </c>
      <c r="G281" s="1" t="str">
        <f t="shared" si="84"/>
        <v>卡卡杜企业店（视频号）</v>
      </c>
      <c r="H281" s="1" t="str">
        <f t="shared" si="78"/>
        <v>正常订单</v>
      </c>
      <c r="I281" s="1" t="str">
        <f t="shared" si="79"/>
        <v>已发货</v>
      </c>
      <c r="J281" s="1" t="str">
        <f t="shared" ref="J281:J283" si="87">"3"</f>
        <v>3</v>
      </c>
      <c r="K281" s="1">
        <v>2</v>
      </c>
      <c r="L281" s="1" t="s">
        <v>20</v>
      </c>
      <c r="M281" s="1" t="str">
        <f>"浙江省 宁波市 江北区 "</f>
        <v xml:space="preserve">浙江省 宁波市 江北区 </v>
      </c>
      <c r="N281" s="1" t="str">
        <f t="shared" si="81"/>
        <v>凡华云仓-城南圆通-微信视频号</v>
      </c>
      <c r="O281" s="5" t="s">
        <v>320</v>
      </c>
      <c r="P281" s="6">
        <v>0.25</v>
      </c>
      <c r="Q281" s="11">
        <v>2</v>
      </c>
      <c r="R281" s="11"/>
      <c r="S281" s="11"/>
      <c r="T281" s="11"/>
      <c r="U281" s="11">
        <f t="shared" si="80"/>
        <v>2</v>
      </c>
      <c r="W281">
        <v>2.2000000000000002</v>
      </c>
      <c r="X281" s="1" t="s">
        <v>20</v>
      </c>
    </row>
    <row r="282" spans="1:24" x14ac:dyDescent="0.25">
      <c r="A282" s="1" t="str">
        <f t="shared" si="76"/>
        <v>卡卡杜-凤凰仓</v>
      </c>
      <c r="B282" s="1" t="str">
        <f>"CK20241031251"</f>
        <v>CK20241031251</v>
      </c>
      <c r="C282" s="1" t="str">
        <f>"DD2024103112479"</f>
        <v>DD2024103112479</v>
      </c>
      <c r="D282" s="1" t="str">
        <f>"CK2024103118973"</f>
        <v>CK2024103118973</v>
      </c>
      <c r="E282" s="1" t="str">
        <f>"3723674497452213504"</f>
        <v>3723674497452213504</v>
      </c>
      <c r="F282" s="1" t="str">
        <f t="shared" si="77"/>
        <v>花都四部-凤凰仓</v>
      </c>
      <c r="G282" s="1" t="str">
        <f t="shared" si="84"/>
        <v>卡卡杜企业店（视频号）</v>
      </c>
      <c r="H282" s="1" t="str">
        <f t="shared" si="78"/>
        <v>正常订单</v>
      </c>
      <c r="I282" s="1" t="str">
        <f t="shared" si="79"/>
        <v>已发货</v>
      </c>
      <c r="J282" s="1" t="str">
        <f t="shared" si="87"/>
        <v>3</v>
      </c>
      <c r="K282" s="1">
        <v>2</v>
      </c>
      <c r="L282" s="1" t="s">
        <v>18</v>
      </c>
      <c r="M282" s="1" t="str">
        <f>"广东省 深圳市 龙华区 "</f>
        <v xml:space="preserve">广东省 深圳市 龙华区 </v>
      </c>
      <c r="N282" s="1" t="str">
        <f t="shared" si="81"/>
        <v>凡华云仓-城南圆通-微信视频号</v>
      </c>
      <c r="O282" s="5" t="s">
        <v>321</v>
      </c>
      <c r="P282" s="6">
        <v>0.25</v>
      </c>
      <c r="Q282" s="11">
        <v>2</v>
      </c>
      <c r="R282" s="11"/>
      <c r="S282" s="11"/>
      <c r="T282" s="11"/>
      <c r="U282" s="11">
        <f t="shared" si="80"/>
        <v>2</v>
      </c>
      <c r="W282">
        <v>2.2000000000000002</v>
      </c>
      <c r="X282" s="1" t="s">
        <v>18</v>
      </c>
    </row>
    <row r="283" spans="1:24" x14ac:dyDescent="0.25">
      <c r="A283" s="1" t="str">
        <f t="shared" si="76"/>
        <v>卡卡杜-凤凰仓</v>
      </c>
      <c r="B283" s="1" t="str">
        <f>"CK20241031243"</f>
        <v>CK20241031243</v>
      </c>
      <c r="C283" s="1" t="str">
        <f>"DD2024103112465"</f>
        <v>DD2024103112465</v>
      </c>
      <c r="D283" s="1" t="str">
        <f>"CK2024103118972"</f>
        <v>CK2024103118972</v>
      </c>
      <c r="E283" s="1" t="str">
        <f>"3723674492189672704"</f>
        <v>3723674492189672704</v>
      </c>
      <c r="F283" s="1" t="str">
        <f t="shared" si="77"/>
        <v>花都四部-凤凰仓</v>
      </c>
      <c r="G283" s="1" t="str">
        <f t="shared" si="84"/>
        <v>卡卡杜企业店（视频号）</v>
      </c>
      <c r="H283" s="1" t="str">
        <f t="shared" si="78"/>
        <v>正常订单</v>
      </c>
      <c r="I283" s="1" t="str">
        <f t="shared" si="79"/>
        <v>已发货</v>
      </c>
      <c r="J283" s="1" t="str">
        <f t="shared" si="87"/>
        <v>3</v>
      </c>
      <c r="K283" s="1">
        <v>2</v>
      </c>
      <c r="L283" s="1" t="s">
        <v>16</v>
      </c>
      <c r="M283" s="1" t="str">
        <f>"河北省 石家庄市 裕华区 "</f>
        <v xml:space="preserve">河北省 石家庄市 裕华区 </v>
      </c>
      <c r="N283" s="1" t="str">
        <f t="shared" si="81"/>
        <v>凡华云仓-城南圆通-微信视频号</v>
      </c>
      <c r="O283" s="5" t="s">
        <v>322</v>
      </c>
      <c r="P283" s="6">
        <v>0.25</v>
      </c>
      <c r="Q283" s="11">
        <v>2</v>
      </c>
      <c r="R283" s="11"/>
      <c r="S283" s="11"/>
      <c r="T283" s="11"/>
      <c r="U283" s="11">
        <f t="shared" si="80"/>
        <v>2</v>
      </c>
      <c r="W283">
        <v>2.2000000000000002</v>
      </c>
      <c r="X283" s="1" t="s">
        <v>16</v>
      </c>
    </row>
    <row r="284" spans="1:24" x14ac:dyDescent="0.25">
      <c r="A284" s="1" t="str">
        <f t="shared" si="76"/>
        <v>卡卡杜-凤凰仓</v>
      </c>
      <c r="B284" s="1" t="str">
        <f>"CK202410311616"</f>
        <v>CK202410311616</v>
      </c>
      <c r="C284" s="1" t="str">
        <f>"DD2024103112756"</f>
        <v>DD2024103112756</v>
      </c>
      <c r="D284" s="1" t="str">
        <f>"CK2024103118971"</f>
        <v>CK2024103118971</v>
      </c>
      <c r="E284" s="1" t="str">
        <f>"3723674494915448832"</f>
        <v>3723674494915448832</v>
      </c>
      <c r="F284" s="1" t="str">
        <f t="shared" si="77"/>
        <v>花都四部-凤凰仓</v>
      </c>
      <c r="G284" s="1" t="str">
        <f t="shared" si="84"/>
        <v>卡卡杜企业店（视频号）</v>
      </c>
      <c r="H284" s="1" t="str">
        <f t="shared" si="78"/>
        <v>正常订单</v>
      </c>
      <c r="I284" s="1" t="str">
        <f t="shared" si="79"/>
        <v>已发货</v>
      </c>
      <c r="J284" s="1" t="str">
        <f>"2"</f>
        <v>2</v>
      </c>
      <c r="K284" s="1">
        <v>2</v>
      </c>
      <c r="L284" s="1" t="s">
        <v>66</v>
      </c>
      <c r="M284" s="1" t="str">
        <f>"内蒙古自治区 包头市 青山区 "</f>
        <v xml:space="preserve">内蒙古自治区 包头市 青山区 </v>
      </c>
      <c r="N284" s="1" t="str">
        <f t="shared" si="81"/>
        <v>凡华云仓-城南圆通-微信视频号</v>
      </c>
      <c r="O284" s="5" t="s">
        <v>323</v>
      </c>
      <c r="P284" s="6">
        <v>0.17</v>
      </c>
      <c r="Q284" s="11">
        <v>2</v>
      </c>
      <c r="R284" s="11"/>
      <c r="S284" s="11"/>
      <c r="T284" s="11"/>
      <c r="U284" s="11">
        <f t="shared" si="80"/>
        <v>2</v>
      </c>
      <c r="W284">
        <v>2.2000000000000002</v>
      </c>
      <c r="X284" s="1" t="s">
        <v>66</v>
      </c>
    </row>
    <row r="285" spans="1:24" x14ac:dyDescent="0.25">
      <c r="A285" s="1" t="str">
        <f t="shared" si="76"/>
        <v>卡卡杜-凤凰仓</v>
      </c>
      <c r="B285" s="1" t="str">
        <f>"CK202410311900"</f>
        <v>CK202410311900</v>
      </c>
      <c r="C285" s="1" t="str">
        <f>"DD2024103113817"</f>
        <v>DD2024103113817</v>
      </c>
      <c r="D285" s="1" t="str">
        <f>"CK2024103118970"</f>
        <v>CK2024103118970</v>
      </c>
      <c r="E285" s="1" t="str">
        <f>"3723674493050815744"</f>
        <v>3723674493050815744</v>
      </c>
      <c r="F285" s="1" t="str">
        <f t="shared" si="77"/>
        <v>花都四部-凤凰仓</v>
      </c>
      <c r="G285" s="1" t="str">
        <f t="shared" si="84"/>
        <v>卡卡杜企业店（视频号）</v>
      </c>
      <c r="H285" s="1" t="str">
        <f t="shared" si="78"/>
        <v>正常订单</v>
      </c>
      <c r="I285" s="1" t="str">
        <f t="shared" si="79"/>
        <v>已发货</v>
      </c>
      <c r="J285" s="1" t="str">
        <f>"5"</f>
        <v>5</v>
      </c>
      <c r="K285" s="1">
        <v>2</v>
      </c>
      <c r="L285" s="1" t="s">
        <v>32</v>
      </c>
      <c r="M285" s="1" t="str">
        <f>"陕西省 西安市 雁塔区 "</f>
        <v xml:space="preserve">陕西省 西安市 雁塔区 </v>
      </c>
      <c r="N285" s="1" t="str">
        <f t="shared" si="81"/>
        <v>凡华云仓-城南圆通-微信视频号</v>
      </c>
      <c r="O285" s="5" t="s">
        <v>324</v>
      </c>
      <c r="P285" s="6">
        <v>0.35</v>
      </c>
      <c r="Q285" s="11">
        <v>2.2999999999999998</v>
      </c>
      <c r="R285" s="11"/>
      <c r="S285" s="11"/>
      <c r="T285" s="11"/>
      <c r="U285" s="11">
        <f t="shared" si="80"/>
        <v>2.2999999999999998</v>
      </c>
      <c r="W285">
        <v>2.5</v>
      </c>
      <c r="X285" s="1" t="s">
        <v>32</v>
      </c>
    </row>
    <row r="286" spans="1:24" x14ac:dyDescent="0.25">
      <c r="A286" s="1" t="str">
        <f t="shared" si="76"/>
        <v>卡卡杜-凤凰仓</v>
      </c>
      <c r="B286" s="1" t="str">
        <f>"CK20241031176"</f>
        <v>CK20241031176</v>
      </c>
      <c r="C286" s="1" t="str">
        <f>"DD2024103112397"</f>
        <v>DD2024103112397</v>
      </c>
      <c r="D286" s="1" t="str">
        <f>"CK2024103118969"</f>
        <v>CK2024103118969</v>
      </c>
      <c r="E286" s="1" t="str">
        <f>"3723674490287293697"</f>
        <v>3723674490287293697</v>
      </c>
      <c r="F286" s="1" t="str">
        <f t="shared" si="77"/>
        <v>花都四部-凤凰仓</v>
      </c>
      <c r="G286" s="1" t="str">
        <f t="shared" si="84"/>
        <v>卡卡杜企业店（视频号）</v>
      </c>
      <c r="H286" s="1" t="str">
        <f t="shared" si="78"/>
        <v>正常订单</v>
      </c>
      <c r="I286" s="1" t="str">
        <f t="shared" si="79"/>
        <v>已发货</v>
      </c>
      <c r="J286" s="1" t="str">
        <f t="shared" ref="J286:J289" si="88">"3"</f>
        <v>3</v>
      </c>
      <c r="K286" s="1">
        <v>2</v>
      </c>
      <c r="L286" s="1" t="s">
        <v>18</v>
      </c>
      <c r="M286" s="1" t="str">
        <f>"广东省 韶关市 乐昌市 "</f>
        <v xml:space="preserve">广东省 韶关市 乐昌市 </v>
      </c>
      <c r="N286" s="1" t="str">
        <f t="shared" si="81"/>
        <v>凡华云仓-城南圆通-微信视频号</v>
      </c>
      <c r="O286" s="5" t="s">
        <v>325</v>
      </c>
      <c r="P286" s="6">
        <v>0.25</v>
      </c>
      <c r="Q286" s="11">
        <v>2</v>
      </c>
      <c r="R286" s="11"/>
      <c r="S286" s="11"/>
      <c r="T286" s="11"/>
      <c r="U286" s="11">
        <f t="shared" si="80"/>
        <v>2</v>
      </c>
      <c r="W286">
        <v>2.2000000000000002</v>
      </c>
      <c r="X286" s="1" t="s">
        <v>18</v>
      </c>
    </row>
    <row r="287" spans="1:24" x14ac:dyDescent="0.25">
      <c r="A287" s="1" t="str">
        <f t="shared" si="76"/>
        <v>卡卡杜-凤凰仓</v>
      </c>
      <c r="B287" s="1" t="str">
        <f>"CK20241031184"</f>
        <v>CK20241031184</v>
      </c>
      <c r="C287" s="1" t="str">
        <f>"DD2024103112405"</f>
        <v>DD2024103112405</v>
      </c>
      <c r="D287" s="1" t="str">
        <f>"CK2024103118968"</f>
        <v>CK2024103118968</v>
      </c>
      <c r="E287" s="1" t="str">
        <f>"3723674489372673280"</f>
        <v>3723674489372673280</v>
      </c>
      <c r="F287" s="1" t="str">
        <f t="shared" si="77"/>
        <v>花都四部-凤凰仓</v>
      </c>
      <c r="G287" s="1" t="str">
        <f t="shared" si="84"/>
        <v>卡卡杜企业店（视频号）</v>
      </c>
      <c r="H287" s="1" t="str">
        <f t="shared" si="78"/>
        <v>正常订单</v>
      </c>
      <c r="I287" s="1" t="str">
        <f t="shared" si="79"/>
        <v>已发货</v>
      </c>
      <c r="J287" s="1" t="str">
        <f t="shared" si="88"/>
        <v>3</v>
      </c>
      <c r="K287" s="1">
        <v>2</v>
      </c>
      <c r="L287" s="1" t="s">
        <v>105</v>
      </c>
      <c r="M287" s="1" t="str">
        <f>"北京 北京市 西城区 "</f>
        <v xml:space="preserve">北京 北京市 西城区 </v>
      </c>
      <c r="N287" s="1" t="str">
        <f t="shared" si="81"/>
        <v>凡华云仓-城南圆通-微信视频号</v>
      </c>
      <c r="O287" s="5" t="s">
        <v>326</v>
      </c>
      <c r="P287" s="6">
        <v>0.25</v>
      </c>
      <c r="Q287" s="11">
        <v>2</v>
      </c>
      <c r="R287" s="11"/>
      <c r="S287" s="11"/>
      <c r="T287" s="11"/>
      <c r="U287" s="11">
        <f t="shared" si="80"/>
        <v>2</v>
      </c>
      <c r="W287">
        <v>2.2000000000000002</v>
      </c>
      <c r="X287" s="1" t="s">
        <v>105</v>
      </c>
    </row>
    <row r="288" spans="1:24" x14ac:dyDescent="0.25">
      <c r="A288" s="1" t="str">
        <f t="shared" si="76"/>
        <v>卡卡杜-凤凰仓</v>
      </c>
      <c r="B288" s="1" t="str">
        <f>"CK202410311619"</f>
        <v>CK202410311619</v>
      </c>
      <c r="C288" s="1" t="str">
        <f>"DD2024103112758"</f>
        <v>DD2024103112758</v>
      </c>
      <c r="D288" s="1" t="str">
        <f>"CK2024103118967"</f>
        <v>CK2024103118967</v>
      </c>
      <c r="E288" s="1" t="str">
        <f>"3723674185355104256"</f>
        <v>3723674185355104256</v>
      </c>
      <c r="F288" s="1" t="str">
        <f t="shared" si="77"/>
        <v>花都四部-凤凰仓</v>
      </c>
      <c r="G288" s="1" t="str">
        <f t="shared" si="84"/>
        <v>卡卡杜企业店（视频号）</v>
      </c>
      <c r="H288" s="1" t="str">
        <f t="shared" si="78"/>
        <v>正常订单</v>
      </c>
      <c r="I288" s="1" t="str">
        <f t="shared" si="79"/>
        <v>已发货</v>
      </c>
      <c r="J288" s="1" t="str">
        <f t="shared" ref="J288:J293" si="89">"2"</f>
        <v>2</v>
      </c>
      <c r="K288" s="1">
        <v>2</v>
      </c>
      <c r="L288" s="1" t="s">
        <v>105</v>
      </c>
      <c r="M288" s="1" t="str">
        <f>"北京 北京市 昌平区 "</f>
        <v xml:space="preserve">北京 北京市 昌平区 </v>
      </c>
      <c r="N288" s="1" t="str">
        <f t="shared" si="81"/>
        <v>凡华云仓-城南圆通-微信视频号</v>
      </c>
      <c r="O288" s="5" t="s">
        <v>327</v>
      </c>
      <c r="P288" s="6">
        <v>0.17</v>
      </c>
      <c r="Q288" s="11">
        <v>2</v>
      </c>
      <c r="R288" s="11"/>
      <c r="S288" s="11"/>
      <c r="T288" s="11"/>
      <c r="U288" s="11">
        <f t="shared" si="80"/>
        <v>2</v>
      </c>
      <c r="W288">
        <v>2.2000000000000002</v>
      </c>
      <c r="X288" s="1" t="s">
        <v>105</v>
      </c>
    </row>
    <row r="289" spans="1:24" x14ac:dyDescent="0.25">
      <c r="A289" s="1" t="str">
        <f t="shared" si="76"/>
        <v>卡卡杜-凤凰仓</v>
      </c>
      <c r="B289" s="1" t="str">
        <f>"CK20241031120"</f>
        <v>CK20241031120</v>
      </c>
      <c r="C289" s="1" t="str">
        <f>"DD2024103112271"</f>
        <v>DD2024103112271</v>
      </c>
      <c r="D289" s="1" t="str">
        <f>"CK2024103118966"</f>
        <v>CK2024103118966</v>
      </c>
      <c r="E289" s="1" t="str">
        <f>"3723674107928774144"</f>
        <v>3723674107928774144</v>
      </c>
      <c r="F289" s="1" t="str">
        <f t="shared" si="77"/>
        <v>花都四部-凤凰仓</v>
      </c>
      <c r="G289" s="1" t="str">
        <f t="shared" si="84"/>
        <v>卡卡杜企业店（视频号）</v>
      </c>
      <c r="H289" s="1" t="str">
        <f t="shared" si="78"/>
        <v>正常订单</v>
      </c>
      <c r="I289" s="1" t="str">
        <f t="shared" si="79"/>
        <v>已发货</v>
      </c>
      <c r="J289" s="1" t="str">
        <f t="shared" si="88"/>
        <v>3</v>
      </c>
      <c r="K289" s="1">
        <v>2</v>
      </c>
      <c r="L289" s="1" t="s">
        <v>16</v>
      </c>
      <c r="M289" s="1" t="str">
        <f>"河北省 石家庄市 赵县 "</f>
        <v xml:space="preserve">河北省 石家庄市 赵县 </v>
      </c>
      <c r="N289" s="1" t="str">
        <f t="shared" si="81"/>
        <v>凡华云仓-城南圆通-微信视频号</v>
      </c>
      <c r="O289" s="5" t="s">
        <v>328</v>
      </c>
      <c r="P289" s="6">
        <v>0.25</v>
      </c>
      <c r="Q289" s="11">
        <v>2</v>
      </c>
      <c r="R289" s="11"/>
      <c r="S289" s="11"/>
      <c r="T289" s="11"/>
      <c r="U289" s="11">
        <f t="shared" si="80"/>
        <v>2</v>
      </c>
      <c r="W289">
        <v>2.2000000000000002</v>
      </c>
      <c r="X289" s="1" t="s">
        <v>16</v>
      </c>
    </row>
    <row r="290" spans="1:24" x14ac:dyDescent="0.25">
      <c r="A290" s="1" t="str">
        <f t="shared" si="76"/>
        <v>卡卡杜-凤凰仓</v>
      </c>
      <c r="B290" s="1" t="str">
        <f>"CK202410311620"</f>
        <v>CK202410311620</v>
      </c>
      <c r="C290" s="1" t="str">
        <f>"DD2024103112760"</f>
        <v>DD2024103112760</v>
      </c>
      <c r="D290" s="1" t="str">
        <f>"CK2024103118965"</f>
        <v>CK2024103118965</v>
      </c>
      <c r="E290" s="1" t="str">
        <f>"3723674045964487680"</f>
        <v>3723674045964487680</v>
      </c>
      <c r="F290" s="1" t="str">
        <f t="shared" si="77"/>
        <v>花都四部-凤凰仓</v>
      </c>
      <c r="G290" s="1" t="str">
        <f t="shared" si="84"/>
        <v>卡卡杜企业店（视频号）</v>
      </c>
      <c r="H290" s="1" t="str">
        <f t="shared" si="78"/>
        <v>正常订单</v>
      </c>
      <c r="I290" s="1" t="str">
        <f t="shared" si="79"/>
        <v>已发货</v>
      </c>
      <c r="J290" s="1" t="str">
        <f t="shared" si="89"/>
        <v>2</v>
      </c>
      <c r="K290" s="1">
        <v>2</v>
      </c>
      <c r="L290" s="1" t="s">
        <v>218</v>
      </c>
      <c r="M290" s="1" t="str">
        <f>"天津 天津市 河西区 "</f>
        <v xml:space="preserve">天津 天津市 河西区 </v>
      </c>
      <c r="N290" s="1" t="str">
        <f t="shared" si="81"/>
        <v>凡华云仓-城南圆通-微信视频号</v>
      </c>
      <c r="O290" s="5" t="s">
        <v>329</v>
      </c>
      <c r="P290" s="6">
        <v>0.17</v>
      </c>
      <c r="Q290" s="11">
        <v>2</v>
      </c>
      <c r="R290" s="11"/>
      <c r="S290" s="11"/>
      <c r="T290" s="11"/>
      <c r="U290" s="11">
        <f t="shared" si="80"/>
        <v>2</v>
      </c>
      <c r="W290">
        <v>2.2000000000000002</v>
      </c>
      <c r="X290" s="1" t="s">
        <v>218</v>
      </c>
    </row>
    <row r="291" spans="1:24" x14ac:dyDescent="0.25">
      <c r="A291" s="1" t="str">
        <f t="shared" si="76"/>
        <v>卡卡杜-凤凰仓</v>
      </c>
      <c r="B291" s="1" t="str">
        <f>"CK202410311621"</f>
        <v>CK202410311621</v>
      </c>
      <c r="C291" s="1" t="str">
        <f>"DD2024103112761"</f>
        <v>DD2024103112761</v>
      </c>
      <c r="D291" s="1" t="str">
        <f>"CK2024103118964"</f>
        <v>CK2024103118964</v>
      </c>
      <c r="E291" s="1" t="str">
        <f>"3723674003622990848"</f>
        <v>3723674003622990848</v>
      </c>
      <c r="F291" s="1" t="str">
        <f t="shared" si="77"/>
        <v>花都四部-凤凰仓</v>
      </c>
      <c r="G291" s="1" t="str">
        <f t="shared" si="84"/>
        <v>卡卡杜企业店（视频号）</v>
      </c>
      <c r="H291" s="1" t="str">
        <f t="shared" si="78"/>
        <v>正常订单</v>
      </c>
      <c r="I291" s="1" t="str">
        <f t="shared" si="79"/>
        <v>已发货</v>
      </c>
      <c r="J291" s="1" t="str">
        <f t="shared" si="89"/>
        <v>2</v>
      </c>
      <c r="K291" s="1">
        <v>2</v>
      </c>
      <c r="L291" s="1" t="s">
        <v>32</v>
      </c>
      <c r="M291" s="1" t="str">
        <f>"陕西省 西安市 长安区 "</f>
        <v xml:space="preserve">陕西省 西安市 长安区 </v>
      </c>
      <c r="N291" s="1" t="str">
        <f t="shared" si="81"/>
        <v>凡华云仓-城南圆通-微信视频号</v>
      </c>
      <c r="O291" s="5" t="s">
        <v>330</v>
      </c>
      <c r="P291" s="6">
        <v>0.17</v>
      </c>
      <c r="Q291" s="11">
        <v>2</v>
      </c>
      <c r="R291" s="11"/>
      <c r="S291" s="11"/>
      <c r="T291" s="11"/>
      <c r="U291" s="11">
        <f t="shared" si="80"/>
        <v>2</v>
      </c>
      <c r="W291">
        <v>2.2000000000000002</v>
      </c>
      <c r="X291" s="1" t="s">
        <v>32</v>
      </c>
    </row>
    <row r="292" spans="1:24" x14ac:dyDescent="0.25">
      <c r="A292" s="1" t="str">
        <f t="shared" si="76"/>
        <v>卡卡杜-凤凰仓</v>
      </c>
      <c r="B292" s="1" t="str">
        <f>"CK202410311622"</f>
        <v>CK202410311622</v>
      </c>
      <c r="C292" s="1" t="str">
        <f>"DD2024103112762"</f>
        <v>DD2024103112762</v>
      </c>
      <c r="D292" s="1" t="str">
        <f>"CK2024103118963"</f>
        <v>CK2024103118963</v>
      </c>
      <c r="E292" s="1" t="str">
        <f>"3723674001258186240"</f>
        <v>3723674001258186240</v>
      </c>
      <c r="F292" s="1" t="str">
        <f t="shared" si="77"/>
        <v>花都四部-凤凰仓</v>
      </c>
      <c r="G292" s="1" t="str">
        <f t="shared" si="84"/>
        <v>卡卡杜企业店（视频号）</v>
      </c>
      <c r="H292" s="1" t="str">
        <f t="shared" si="78"/>
        <v>正常订单</v>
      </c>
      <c r="I292" s="1" t="str">
        <f t="shared" si="79"/>
        <v>已发货</v>
      </c>
      <c r="J292" s="1" t="str">
        <f t="shared" si="89"/>
        <v>2</v>
      </c>
      <c r="K292" s="1">
        <v>2</v>
      </c>
      <c r="L292" s="1" t="s">
        <v>105</v>
      </c>
      <c r="M292" s="1" t="str">
        <f>"北京 北京市 朝阳区 "</f>
        <v xml:space="preserve">北京 北京市 朝阳区 </v>
      </c>
      <c r="N292" s="1" t="str">
        <f t="shared" si="81"/>
        <v>凡华云仓-城南圆通-微信视频号</v>
      </c>
      <c r="O292" s="5" t="s">
        <v>331</v>
      </c>
      <c r="P292" s="6">
        <v>0.17</v>
      </c>
      <c r="Q292" s="11">
        <v>2</v>
      </c>
      <c r="R292" s="11"/>
      <c r="S292" s="11"/>
      <c r="T292" s="11"/>
      <c r="U292" s="11">
        <f t="shared" si="80"/>
        <v>2</v>
      </c>
      <c r="W292">
        <v>2.2000000000000002</v>
      </c>
      <c r="X292" s="1" t="s">
        <v>105</v>
      </c>
    </row>
    <row r="293" spans="1:24" x14ac:dyDescent="0.25">
      <c r="A293" s="1" t="str">
        <f t="shared" si="76"/>
        <v>卡卡杜-凤凰仓</v>
      </c>
      <c r="B293" s="1" t="str">
        <f>"CK202410311623"</f>
        <v>CK202410311623</v>
      </c>
      <c r="C293" s="1" t="str">
        <f>"DD2024103112763"</f>
        <v>DD2024103112763</v>
      </c>
      <c r="D293" s="1" t="str">
        <f>"CK2024103118962"</f>
        <v>CK2024103118962</v>
      </c>
      <c r="E293" s="1" t="str">
        <f>"3723674000361656320"</f>
        <v>3723674000361656320</v>
      </c>
      <c r="F293" s="1" t="str">
        <f t="shared" si="77"/>
        <v>花都四部-凤凰仓</v>
      </c>
      <c r="G293" s="1" t="str">
        <f t="shared" si="84"/>
        <v>卡卡杜企业店（视频号）</v>
      </c>
      <c r="H293" s="1" t="str">
        <f t="shared" si="78"/>
        <v>正常订单</v>
      </c>
      <c r="I293" s="1" t="str">
        <f t="shared" si="79"/>
        <v>已发货</v>
      </c>
      <c r="J293" s="1" t="str">
        <f t="shared" si="89"/>
        <v>2</v>
      </c>
      <c r="K293" s="1">
        <v>2</v>
      </c>
      <c r="L293" s="1" t="s">
        <v>74</v>
      </c>
      <c r="M293" s="1" t="str">
        <f>"上海 上海市 宝山区 "</f>
        <v xml:space="preserve">上海 上海市 宝山区 </v>
      </c>
      <c r="N293" s="1" t="str">
        <f t="shared" si="81"/>
        <v>凡华云仓-城南圆通-微信视频号</v>
      </c>
      <c r="O293" s="5" t="s">
        <v>332</v>
      </c>
      <c r="P293" s="6">
        <v>0.17</v>
      </c>
      <c r="Q293" s="11">
        <v>2</v>
      </c>
      <c r="R293" s="11"/>
      <c r="S293" s="11"/>
      <c r="T293" s="11"/>
      <c r="U293" s="11">
        <f t="shared" si="80"/>
        <v>2</v>
      </c>
      <c r="W293">
        <v>2.2000000000000002</v>
      </c>
      <c r="X293" s="1" t="s">
        <v>74</v>
      </c>
    </row>
    <row r="294" spans="1:24" x14ac:dyDescent="0.25">
      <c r="A294" s="1" t="str">
        <f t="shared" si="76"/>
        <v>卡卡杜-凤凰仓</v>
      </c>
      <c r="B294" s="1" t="str">
        <f>"CK20241031125"</f>
        <v>CK20241031125</v>
      </c>
      <c r="C294" s="1" t="str">
        <f>"DD2024103112282"</f>
        <v>DD2024103112282</v>
      </c>
      <c r="D294" s="1" t="str">
        <f>"CK2024103118961"</f>
        <v>CK2024103118961</v>
      </c>
      <c r="E294" s="1" t="str">
        <f>"3723673997644793344"</f>
        <v>3723673997644793344</v>
      </c>
      <c r="F294" s="1" t="str">
        <f t="shared" si="77"/>
        <v>花都四部-凤凰仓</v>
      </c>
      <c r="G294" s="1" t="str">
        <f t="shared" si="84"/>
        <v>卡卡杜企业店（视频号）</v>
      </c>
      <c r="H294" s="1" t="str">
        <f t="shared" si="78"/>
        <v>正常订单</v>
      </c>
      <c r="I294" s="1" t="str">
        <f t="shared" si="79"/>
        <v>已发货</v>
      </c>
      <c r="J294" s="1" t="str">
        <f t="shared" ref="J294:J299" si="90">"3"</f>
        <v>3</v>
      </c>
      <c r="K294" s="1">
        <v>2</v>
      </c>
      <c r="L294" s="1" t="s">
        <v>80</v>
      </c>
      <c r="M294" s="1" t="str">
        <f>"河南省 郑州市 金水区 "</f>
        <v xml:space="preserve">河南省 郑州市 金水区 </v>
      </c>
      <c r="N294" s="1" t="str">
        <f t="shared" si="81"/>
        <v>凡华云仓-城南圆通-微信视频号</v>
      </c>
      <c r="O294" s="5" t="s">
        <v>333</v>
      </c>
      <c r="P294" s="6">
        <v>0.25</v>
      </c>
      <c r="Q294" s="11">
        <v>2</v>
      </c>
      <c r="R294" s="11"/>
      <c r="S294" s="11"/>
      <c r="T294" s="11"/>
      <c r="U294" s="11">
        <f t="shared" si="80"/>
        <v>2</v>
      </c>
      <c r="W294">
        <v>2.2000000000000002</v>
      </c>
      <c r="X294" s="1" t="s">
        <v>80</v>
      </c>
    </row>
    <row r="295" spans="1:24" x14ac:dyDescent="0.25">
      <c r="A295" s="1" t="str">
        <f t="shared" si="76"/>
        <v>卡卡杜-凤凰仓</v>
      </c>
      <c r="B295" s="1" t="str">
        <f>"CK202410311625"</f>
        <v>CK202410311625</v>
      </c>
      <c r="C295" s="1" t="str">
        <f>"DD2024103112765"</f>
        <v>DD2024103112765</v>
      </c>
      <c r="D295" s="1" t="str">
        <f>"CK2024103118960"</f>
        <v>CK2024103118960</v>
      </c>
      <c r="E295" s="1" t="str">
        <f>"3723673994117383680"</f>
        <v>3723673994117383680</v>
      </c>
      <c r="F295" s="1" t="str">
        <f t="shared" si="77"/>
        <v>花都四部-凤凰仓</v>
      </c>
      <c r="G295" s="1" t="str">
        <f t="shared" si="84"/>
        <v>卡卡杜企业店（视频号）</v>
      </c>
      <c r="H295" s="1" t="str">
        <f t="shared" si="78"/>
        <v>正常订单</v>
      </c>
      <c r="I295" s="1" t="str">
        <f t="shared" si="79"/>
        <v>已发货</v>
      </c>
      <c r="J295" s="1" t="str">
        <f t="shared" ref="J295:J297" si="91">"2"</f>
        <v>2</v>
      </c>
      <c r="K295" s="1">
        <v>2</v>
      </c>
      <c r="L295" s="1" t="s">
        <v>92</v>
      </c>
      <c r="M295" s="1" t="str">
        <f>"辽宁省 大连市 瓦房店市 "</f>
        <v xml:space="preserve">辽宁省 大连市 瓦房店市 </v>
      </c>
      <c r="N295" s="1" t="str">
        <f t="shared" si="81"/>
        <v>凡华云仓-城南圆通-微信视频号</v>
      </c>
      <c r="O295" s="5" t="s">
        <v>334</v>
      </c>
      <c r="P295" s="6">
        <v>0.17</v>
      </c>
      <c r="Q295" s="11">
        <v>2</v>
      </c>
      <c r="R295" s="11"/>
      <c r="S295" s="11"/>
      <c r="T295" s="11"/>
      <c r="U295" s="11">
        <f t="shared" si="80"/>
        <v>2</v>
      </c>
      <c r="W295">
        <v>2.2000000000000002</v>
      </c>
      <c r="X295" s="1" t="s">
        <v>92</v>
      </c>
    </row>
    <row r="296" spans="1:24" x14ac:dyDescent="0.25">
      <c r="A296" s="1" t="str">
        <f t="shared" si="76"/>
        <v>卡卡杜-凤凰仓</v>
      </c>
      <c r="B296" s="1" t="str">
        <f>"CK202410311624"</f>
        <v>CK202410311624</v>
      </c>
      <c r="C296" s="1" t="str">
        <f>"DD2024103112764"</f>
        <v>DD2024103112764</v>
      </c>
      <c r="D296" s="1" t="str">
        <f>"CK2024103118959"</f>
        <v>CK2024103118959</v>
      </c>
      <c r="E296" s="1" t="str">
        <f>"3723673995551051776"</f>
        <v>3723673995551051776</v>
      </c>
      <c r="F296" s="1" t="str">
        <f t="shared" si="77"/>
        <v>花都四部-凤凰仓</v>
      </c>
      <c r="G296" s="1" t="str">
        <f t="shared" si="84"/>
        <v>卡卡杜企业店（视频号）</v>
      </c>
      <c r="H296" s="1" t="str">
        <f t="shared" si="78"/>
        <v>正常订单</v>
      </c>
      <c r="I296" s="1" t="str">
        <f t="shared" si="79"/>
        <v>已发货</v>
      </c>
      <c r="J296" s="1" t="str">
        <f t="shared" si="91"/>
        <v>2</v>
      </c>
      <c r="K296" s="1">
        <v>2</v>
      </c>
      <c r="L296" s="1" t="s">
        <v>30</v>
      </c>
      <c r="M296" s="1" t="str">
        <f>"山东省 潍坊市 寿光市 "</f>
        <v xml:space="preserve">山东省 潍坊市 寿光市 </v>
      </c>
      <c r="N296" s="1" t="str">
        <f t="shared" si="81"/>
        <v>凡华云仓-城南圆通-微信视频号</v>
      </c>
      <c r="O296" s="5" t="s">
        <v>335</v>
      </c>
      <c r="P296" s="6">
        <v>0.17</v>
      </c>
      <c r="Q296" s="11">
        <v>2</v>
      </c>
      <c r="R296" s="11"/>
      <c r="S296" s="11"/>
      <c r="T296" s="11"/>
      <c r="U296" s="11">
        <f t="shared" si="80"/>
        <v>2</v>
      </c>
      <c r="W296">
        <v>2.2000000000000002</v>
      </c>
      <c r="X296" s="1" t="s">
        <v>30</v>
      </c>
    </row>
    <row r="297" spans="1:24" x14ac:dyDescent="0.25">
      <c r="A297" s="1" t="str">
        <f t="shared" si="76"/>
        <v>卡卡杜-凤凰仓</v>
      </c>
      <c r="B297" s="1" t="str">
        <f>"CK202410311626"</f>
        <v>CK202410311626</v>
      </c>
      <c r="C297" s="1" t="str">
        <f>"DD2024103112766"</f>
        <v>DD2024103112766</v>
      </c>
      <c r="D297" s="1" t="str">
        <f>"CK2024103118958"</f>
        <v>CK2024103118958</v>
      </c>
      <c r="E297" s="1" t="str">
        <f>"3723673993235009536"</f>
        <v>3723673993235009536</v>
      </c>
      <c r="F297" s="1" t="str">
        <f t="shared" si="77"/>
        <v>花都四部-凤凰仓</v>
      </c>
      <c r="G297" s="1" t="str">
        <f t="shared" si="84"/>
        <v>卡卡杜企业店（视频号）</v>
      </c>
      <c r="H297" s="1" t="str">
        <f t="shared" si="78"/>
        <v>正常订单</v>
      </c>
      <c r="I297" s="1" t="str">
        <f t="shared" si="79"/>
        <v>已发货</v>
      </c>
      <c r="J297" s="1" t="str">
        <f t="shared" si="91"/>
        <v>2</v>
      </c>
      <c r="K297" s="1">
        <v>2</v>
      </c>
      <c r="L297" s="1" t="s">
        <v>105</v>
      </c>
      <c r="M297" s="1" t="str">
        <f>"北京 北京市 西城区 "</f>
        <v xml:space="preserve">北京 北京市 西城区 </v>
      </c>
      <c r="N297" s="1" t="str">
        <f t="shared" si="81"/>
        <v>凡华云仓-城南圆通-微信视频号</v>
      </c>
      <c r="O297" s="5" t="s">
        <v>336</v>
      </c>
      <c r="P297" s="6">
        <v>0.17</v>
      </c>
      <c r="Q297" s="11">
        <v>2</v>
      </c>
      <c r="R297" s="11"/>
      <c r="S297" s="11"/>
      <c r="T297" s="11"/>
      <c r="U297" s="11">
        <f t="shared" si="80"/>
        <v>2</v>
      </c>
      <c r="W297">
        <v>2.2000000000000002</v>
      </c>
      <c r="X297" s="1" t="s">
        <v>105</v>
      </c>
    </row>
    <row r="298" spans="1:24" x14ac:dyDescent="0.25">
      <c r="A298" s="1" t="str">
        <f t="shared" si="76"/>
        <v>卡卡杜-凤凰仓</v>
      </c>
      <c r="B298" s="1" t="str">
        <f>"CK20241031123"</f>
        <v>CK20241031123</v>
      </c>
      <c r="C298" s="1" t="str">
        <f>"DD2024103112277"</f>
        <v>DD2024103112277</v>
      </c>
      <c r="D298" s="1" t="str">
        <f>"CK2024103118957"</f>
        <v>CK2024103118957</v>
      </c>
      <c r="E298" s="1" t="str">
        <f>"3723673991857440000"</f>
        <v>3723673991857440000</v>
      </c>
      <c r="F298" s="1" t="str">
        <f t="shared" si="77"/>
        <v>花都四部-凤凰仓</v>
      </c>
      <c r="G298" s="1" t="str">
        <f t="shared" si="84"/>
        <v>卡卡杜企业店（视频号）</v>
      </c>
      <c r="H298" s="1" t="str">
        <f t="shared" si="78"/>
        <v>正常订单</v>
      </c>
      <c r="I298" s="1" t="str">
        <f t="shared" si="79"/>
        <v>已发货</v>
      </c>
      <c r="J298" s="1" t="str">
        <f t="shared" si="90"/>
        <v>3</v>
      </c>
      <c r="K298" s="1">
        <v>2</v>
      </c>
      <c r="L298" s="1" t="s">
        <v>44</v>
      </c>
      <c r="M298" s="1" t="str">
        <f>"海南省 省直辖县级行政区划 定安县 "</f>
        <v xml:space="preserve">海南省 省直辖县级行政区划 定安县 </v>
      </c>
      <c r="N298" s="1" t="str">
        <f t="shared" si="81"/>
        <v>凡华云仓-城南圆通-微信视频号</v>
      </c>
      <c r="O298" s="5" t="s">
        <v>337</v>
      </c>
      <c r="P298" s="6">
        <v>0.25</v>
      </c>
      <c r="Q298" s="11">
        <v>2</v>
      </c>
      <c r="R298" s="11"/>
      <c r="S298" s="11"/>
      <c r="T298" s="11"/>
      <c r="U298" s="11">
        <f t="shared" si="80"/>
        <v>2</v>
      </c>
      <c r="W298">
        <v>2.2000000000000002</v>
      </c>
      <c r="X298" s="1" t="s">
        <v>44</v>
      </c>
    </row>
    <row r="299" spans="1:24" x14ac:dyDescent="0.25">
      <c r="A299" s="1" t="str">
        <f t="shared" si="76"/>
        <v>卡卡杜-凤凰仓</v>
      </c>
      <c r="B299" s="1" t="str">
        <f>"CK20241031133"</f>
        <v>CK20241031133</v>
      </c>
      <c r="C299" s="1" t="str">
        <f>"DD2024103112307"</f>
        <v>DD2024103112307</v>
      </c>
      <c r="D299" s="1" t="str">
        <f>"CK2024103118956"</f>
        <v>CK2024103118956</v>
      </c>
      <c r="E299" s="1" t="str">
        <f>"3723673984155388929"</f>
        <v>3723673984155388929</v>
      </c>
      <c r="F299" s="1" t="str">
        <f t="shared" si="77"/>
        <v>花都四部-凤凰仓</v>
      </c>
      <c r="G299" s="1" t="str">
        <f t="shared" si="84"/>
        <v>卡卡杜企业店（视频号）</v>
      </c>
      <c r="H299" s="1" t="str">
        <f t="shared" si="78"/>
        <v>正常订单</v>
      </c>
      <c r="I299" s="1" t="str">
        <f t="shared" si="79"/>
        <v>已发货</v>
      </c>
      <c r="J299" s="1" t="str">
        <f t="shared" si="90"/>
        <v>3</v>
      </c>
      <c r="K299" s="1">
        <v>2</v>
      </c>
      <c r="L299" s="1" t="s">
        <v>20</v>
      </c>
      <c r="M299" s="1" t="str">
        <f>"浙江省 金华市 金东区 "</f>
        <v xml:space="preserve">浙江省 金华市 金东区 </v>
      </c>
      <c r="N299" s="1" t="str">
        <f t="shared" si="81"/>
        <v>凡华云仓-城南圆通-微信视频号</v>
      </c>
      <c r="O299" s="5" t="s">
        <v>338</v>
      </c>
      <c r="P299" s="6">
        <v>0.25</v>
      </c>
      <c r="Q299" s="11">
        <v>2</v>
      </c>
      <c r="R299" s="11"/>
      <c r="S299" s="11"/>
      <c r="T299" s="11"/>
      <c r="U299" s="11">
        <f t="shared" si="80"/>
        <v>2</v>
      </c>
      <c r="W299">
        <v>2.2000000000000002</v>
      </c>
      <c r="X299" s="1" t="s">
        <v>20</v>
      </c>
    </row>
    <row r="300" spans="1:24" x14ac:dyDescent="0.25">
      <c r="A300" s="1" t="str">
        <f t="shared" si="76"/>
        <v>卡卡杜-凤凰仓</v>
      </c>
      <c r="B300" s="1" t="str">
        <f>"CK202410311627"</f>
        <v>CK202410311627</v>
      </c>
      <c r="C300" s="1" t="str">
        <f>"DD2024103112767"</f>
        <v>DD2024103112767</v>
      </c>
      <c r="D300" s="1" t="str">
        <f>"CK2024103118955"</f>
        <v>CK2024103118955</v>
      </c>
      <c r="E300" s="1" t="str">
        <f>"3723673989048042754"</f>
        <v>3723673989048042754</v>
      </c>
      <c r="F300" s="1" t="str">
        <f t="shared" si="77"/>
        <v>花都四部-凤凰仓</v>
      </c>
      <c r="G300" s="1" t="str">
        <f t="shared" si="84"/>
        <v>卡卡杜企业店（视频号）</v>
      </c>
      <c r="H300" s="1" t="str">
        <f t="shared" si="78"/>
        <v>正常订单</v>
      </c>
      <c r="I300" s="1" t="str">
        <f t="shared" si="79"/>
        <v>已发货</v>
      </c>
      <c r="J300" s="1" t="str">
        <f t="shared" ref="J300:J306" si="92">"2"</f>
        <v>2</v>
      </c>
      <c r="K300" s="1">
        <v>2</v>
      </c>
      <c r="L300" s="1" t="s">
        <v>54</v>
      </c>
      <c r="M300" s="1" t="str">
        <f>"黑龙江省 哈尔滨市 五常市 "</f>
        <v xml:space="preserve">黑龙江省 哈尔滨市 五常市 </v>
      </c>
      <c r="N300" s="1" t="str">
        <f t="shared" si="81"/>
        <v>凡华云仓-城南圆通-微信视频号</v>
      </c>
      <c r="O300" s="5" t="s">
        <v>339</v>
      </c>
      <c r="P300" s="6">
        <v>0.17</v>
      </c>
      <c r="Q300" s="11">
        <v>2</v>
      </c>
      <c r="R300" s="11"/>
      <c r="S300" s="11"/>
      <c r="T300" s="11"/>
      <c r="U300" s="11">
        <f t="shared" si="80"/>
        <v>2</v>
      </c>
      <c r="W300">
        <v>2.2000000000000002</v>
      </c>
      <c r="X300" s="1" t="s">
        <v>54</v>
      </c>
    </row>
    <row r="301" spans="1:24" x14ac:dyDescent="0.25">
      <c r="A301" s="1" t="str">
        <f t="shared" si="76"/>
        <v>卡卡杜-凤凰仓</v>
      </c>
      <c r="B301" s="1" t="str">
        <f>"CK20241031126"</f>
        <v>CK20241031126</v>
      </c>
      <c r="C301" s="1" t="str">
        <f>"DD2024103112287"</f>
        <v>DD2024103112287</v>
      </c>
      <c r="D301" s="1" t="str">
        <f>"CK2024103118954"</f>
        <v>CK2024103118954</v>
      </c>
      <c r="E301" s="1" t="str">
        <f>"3723673988617864704"</f>
        <v>3723673988617864704</v>
      </c>
      <c r="F301" s="1" t="str">
        <f t="shared" si="77"/>
        <v>花都四部-凤凰仓</v>
      </c>
      <c r="G301" s="1" t="str">
        <f t="shared" si="84"/>
        <v>卡卡杜企业店（视频号）</v>
      </c>
      <c r="H301" s="1" t="str">
        <f t="shared" si="78"/>
        <v>正常订单</v>
      </c>
      <c r="I301" s="1" t="str">
        <f t="shared" si="79"/>
        <v>已发货</v>
      </c>
      <c r="J301" s="1" t="str">
        <f>"3"</f>
        <v>3</v>
      </c>
      <c r="K301" s="1">
        <v>2</v>
      </c>
      <c r="L301" s="1" t="s">
        <v>80</v>
      </c>
      <c r="M301" s="1" t="str">
        <f>"河南省 省直辖县级行政区划 济源市 "</f>
        <v xml:space="preserve">河南省 省直辖县级行政区划 济源市 </v>
      </c>
      <c r="N301" s="1" t="str">
        <f t="shared" si="81"/>
        <v>凡华云仓-城南圆通-微信视频号</v>
      </c>
      <c r="O301" s="5" t="s">
        <v>340</v>
      </c>
      <c r="P301" s="6">
        <v>0.25</v>
      </c>
      <c r="Q301" s="11">
        <v>2</v>
      </c>
      <c r="R301" s="11"/>
      <c r="S301" s="11"/>
      <c r="T301" s="11"/>
      <c r="U301" s="11">
        <f t="shared" si="80"/>
        <v>2</v>
      </c>
      <c r="W301">
        <v>2.2000000000000002</v>
      </c>
      <c r="X301" s="1" t="s">
        <v>80</v>
      </c>
    </row>
    <row r="302" spans="1:24" x14ac:dyDescent="0.25">
      <c r="A302" s="1" t="str">
        <f t="shared" si="76"/>
        <v>卡卡杜-凤凰仓</v>
      </c>
      <c r="B302" s="1" t="str">
        <f>"CK202410311628"</f>
        <v>CK202410311628</v>
      </c>
      <c r="C302" s="1" t="str">
        <f>"DD2024103112770"</f>
        <v>DD2024103112770</v>
      </c>
      <c r="D302" s="1" t="str">
        <f>"CK2024103118953"</f>
        <v>CK2024103118953</v>
      </c>
      <c r="E302" s="1" t="str">
        <f>"3723673983401724928"</f>
        <v>3723673983401724928</v>
      </c>
      <c r="F302" s="1" t="str">
        <f t="shared" si="77"/>
        <v>花都四部-凤凰仓</v>
      </c>
      <c r="G302" s="1" t="str">
        <f t="shared" si="84"/>
        <v>卡卡杜企业店（视频号）</v>
      </c>
      <c r="H302" s="1" t="str">
        <f t="shared" si="78"/>
        <v>正常订单</v>
      </c>
      <c r="I302" s="1" t="str">
        <f t="shared" si="79"/>
        <v>已发货</v>
      </c>
      <c r="J302" s="1" t="str">
        <f t="shared" si="92"/>
        <v>2</v>
      </c>
      <c r="K302" s="1">
        <v>2</v>
      </c>
      <c r="L302" s="1" t="s">
        <v>36</v>
      </c>
      <c r="M302" s="1" t="str">
        <f>"安徽省 蚌埠市 蚌山区 "</f>
        <v xml:space="preserve">安徽省 蚌埠市 蚌山区 </v>
      </c>
      <c r="N302" s="1" t="str">
        <f t="shared" si="81"/>
        <v>凡华云仓-城南圆通-微信视频号</v>
      </c>
      <c r="O302" s="5" t="s">
        <v>341</v>
      </c>
      <c r="P302" s="6">
        <v>0.17</v>
      </c>
      <c r="Q302" s="11">
        <v>2</v>
      </c>
      <c r="R302" s="11"/>
      <c r="S302" s="11"/>
      <c r="T302" s="11"/>
      <c r="U302" s="11">
        <f t="shared" si="80"/>
        <v>2</v>
      </c>
      <c r="W302">
        <v>2.2000000000000002</v>
      </c>
      <c r="X302" s="1" t="s">
        <v>36</v>
      </c>
    </row>
    <row r="303" spans="1:24" x14ac:dyDescent="0.25">
      <c r="A303" s="1" t="str">
        <f t="shared" si="76"/>
        <v>卡卡杜-凤凰仓</v>
      </c>
      <c r="B303" s="1" t="str">
        <f>"CK20241031130"</f>
        <v>CK20241031130</v>
      </c>
      <c r="C303" s="1" t="str">
        <f>"DD2024103112300"</f>
        <v>DD2024103112300</v>
      </c>
      <c r="D303" s="1" t="str">
        <f>"CK2024103118952"</f>
        <v>CK2024103118952</v>
      </c>
      <c r="E303" s="1" t="str">
        <f>"3723673987105817856"</f>
        <v>3723673987105817856</v>
      </c>
      <c r="F303" s="1" t="str">
        <f t="shared" si="77"/>
        <v>花都四部-凤凰仓</v>
      </c>
      <c r="G303" s="1" t="str">
        <f t="shared" si="84"/>
        <v>卡卡杜企业店（视频号）</v>
      </c>
      <c r="H303" s="1" t="str">
        <f t="shared" si="78"/>
        <v>正常订单</v>
      </c>
      <c r="I303" s="1" t="str">
        <f t="shared" si="79"/>
        <v>已发货</v>
      </c>
      <c r="J303" s="1" t="str">
        <f t="shared" ref="J303:J309" si="93">"3"</f>
        <v>3</v>
      </c>
      <c r="K303" s="1">
        <v>2</v>
      </c>
      <c r="L303" s="1" t="s">
        <v>20</v>
      </c>
      <c r="M303" s="1" t="str">
        <f>"浙江省 温州市 鹿城区 "</f>
        <v xml:space="preserve">浙江省 温州市 鹿城区 </v>
      </c>
      <c r="N303" s="1" t="str">
        <f t="shared" si="81"/>
        <v>凡华云仓-城南圆通-微信视频号</v>
      </c>
      <c r="O303" s="5" t="s">
        <v>342</v>
      </c>
      <c r="P303" s="6">
        <v>0.25</v>
      </c>
      <c r="Q303" s="11">
        <v>2</v>
      </c>
      <c r="R303" s="11"/>
      <c r="S303" s="11"/>
      <c r="T303" s="11"/>
      <c r="U303" s="11">
        <f t="shared" si="80"/>
        <v>2</v>
      </c>
      <c r="W303">
        <v>2.2000000000000002</v>
      </c>
      <c r="X303" s="1" t="s">
        <v>20</v>
      </c>
    </row>
    <row r="304" spans="1:24" x14ac:dyDescent="0.25">
      <c r="A304" s="1" t="str">
        <f t="shared" si="76"/>
        <v>卡卡杜-凤凰仓</v>
      </c>
      <c r="B304" s="1" t="str">
        <f>"CK202410311629"</f>
        <v>CK202410311629</v>
      </c>
      <c r="C304" s="1" t="str">
        <f>"DD2024103112768"</f>
        <v>DD2024103112768</v>
      </c>
      <c r="D304" s="1" t="str">
        <f>"CK2024103118951"</f>
        <v>CK2024103118951</v>
      </c>
      <c r="E304" s="1" t="str">
        <f>"3723673986679309568"</f>
        <v>3723673986679309568</v>
      </c>
      <c r="F304" s="1" t="str">
        <f t="shared" si="77"/>
        <v>花都四部-凤凰仓</v>
      </c>
      <c r="G304" s="1" t="str">
        <f t="shared" si="84"/>
        <v>卡卡杜企业店（视频号）</v>
      </c>
      <c r="H304" s="1" t="str">
        <f t="shared" si="78"/>
        <v>正常订单</v>
      </c>
      <c r="I304" s="1" t="str">
        <f t="shared" si="79"/>
        <v>已发货</v>
      </c>
      <c r="J304" s="1" t="str">
        <f t="shared" si="92"/>
        <v>2</v>
      </c>
      <c r="K304" s="1">
        <v>2</v>
      </c>
      <c r="L304" s="1" t="s">
        <v>161</v>
      </c>
      <c r="M304" s="1" t="str">
        <f>"四川省 成都市 彭州市 "</f>
        <v xml:space="preserve">四川省 成都市 彭州市 </v>
      </c>
      <c r="N304" s="1" t="str">
        <f>"凡华云仓-竹料中通-微信视频号"</f>
        <v>凡华云仓-竹料中通-微信视频号</v>
      </c>
      <c r="O304" s="5">
        <v>73613959784606</v>
      </c>
      <c r="P304" s="6">
        <v>0.17</v>
      </c>
      <c r="Q304" s="11">
        <v>2.2999999999999998</v>
      </c>
      <c r="R304" s="11"/>
      <c r="S304" s="11"/>
      <c r="T304" s="11"/>
      <c r="U304" s="11">
        <f t="shared" si="80"/>
        <v>2.2999999999999998</v>
      </c>
      <c r="W304">
        <v>2.5</v>
      </c>
      <c r="X304" s="1" t="s">
        <v>161</v>
      </c>
    </row>
    <row r="305" spans="1:24" x14ac:dyDescent="0.25">
      <c r="A305" s="1" t="str">
        <f t="shared" si="76"/>
        <v>卡卡杜-凤凰仓</v>
      </c>
      <c r="B305" s="1" t="str">
        <f>"CK202410311630"</f>
        <v>CK202410311630</v>
      </c>
      <c r="C305" s="1" t="str">
        <f>"DD2024103112769"</f>
        <v>DD2024103112769</v>
      </c>
      <c r="D305" s="1" t="str">
        <f>"CK2024103118950"</f>
        <v>CK2024103118950</v>
      </c>
      <c r="E305" s="1" t="str">
        <f>"3723673983574738176"</f>
        <v>3723673983574738176</v>
      </c>
      <c r="F305" s="1" t="str">
        <f t="shared" si="77"/>
        <v>花都四部-凤凰仓</v>
      </c>
      <c r="G305" s="1" t="str">
        <f t="shared" si="84"/>
        <v>卡卡杜企业店（视频号）</v>
      </c>
      <c r="H305" s="1" t="str">
        <f t="shared" si="78"/>
        <v>正常订单</v>
      </c>
      <c r="I305" s="1" t="str">
        <f t="shared" si="79"/>
        <v>已发货</v>
      </c>
      <c r="J305" s="1" t="str">
        <f t="shared" si="92"/>
        <v>2</v>
      </c>
      <c r="K305" s="1">
        <v>2</v>
      </c>
      <c r="L305" s="1" t="s">
        <v>24</v>
      </c>
      <c r="M305" s="1" t="str">
        <f>"福建省 厦门市 海沧区 "</f>
        <v xml:space="preserve">福建省 厦门市 海沧区 </v>
      </c>
      <c r="N305" s="1" t="str">
        <f t="shared" ref="N305:N368" si="94">"凡华云仓-城南圆通-微信视频号"</f>
        <v>凡华云仓-城南圆通-微信视频号</v>
      </c>
      <c r="O305" s="5" t="s">
        <v>343</v>
      </c>
      <c r="P305" s="6">
        <v>0.17</v>
      </c>
      <c r="Q305" s="11">
        <v>2</v>
      </c>
      <c r="R305" s="11"/>
      <c r="S305" s="11"/>
      <c r="T305" s="11"/>
      <c r="U305" s="11">
        <f t="shared" si="80"/>
        <v>2</v>
      </c>
      <c r="W305">
        <v>2.2000000000000002</v>
      </c>
      <c r="X305" s="1" t="s">
        <v>24</v>
      </c>
    </row>
    <row r="306" spans="1:24" x14ac:dyDescent="0.25">
      <c r="A306" s="1" t="str">
        <f t="shared" si="76"/>
        <v>卡卡杜-凤凰仓</v>
      </c>
      <c r="B306" s="1" t="str">
        <f>"CK202410311631"</f>
        <v>CK202410311631</v>
      </c>
      <c r="C306" s="1" t="str">
        <f>"DD2024103112771"</f>
        <v>DD2024103112771</v>
      </c>
      <c r="D306" s="1" t="str">
        <f>"CK2024103118949"</f>
        <v>CK2024103118949</v>
      </c>
      <c r="E306" s="1" t="str">
        <f>"3723673983524932608"</f>
        <v>3723673983524932608</v>
      </c>
      <c r="F306" s="1" t="str">
        <f t="shared" si="77"/>
        <v>花都四部-凤凰仓</v>
      </c>
      <c r="G306" s="1" t="str">
        <f t="shared" si="84"/>
        <v>卡卡杜企业店（视频号）</v>
      </c>
      <c r="H306" s="1" t="str">
        <f t="shared" si="78"/>
        <v>正常订单</v>
      </c>
      <c r="I306" s="1" t="str">
        <f t="shared" si="79"/>
        <v>已发货</v>
      </c>
      <c r="J306" s="1" t="str">
        <f t="shared" si="92"/>
        <v>2</v>
      </c>
      <c r="K306" s="1">
        <v>2</v>
      </c>
      <c r="L306" s="1" t="s">
        <v>16</v>
      </c>
      <c r="M306" s="1" t="str">
        <f>"河北省 保定市 雄县 "</f>
        <v xml:space="preserve">河北省 保定市 雄县 </v>
      </c>
      <c r="N306" s="1" t="str">
        <f t="shared" si="94"/>
        <v>凡华云仓-城南圆通-微信视频号</v>
      </c>
      <c r="O306" s="5" t="s">
        <v>344</v>
      </c>
      <c r="P306" s="6">
        <v>0.17</v>
      </c>
      <c r="Q306" s="11">
        <v>2</v>
      </c>
      <c r="R306" s="11"/>
      <c r="S306" s="11"/>
      <c r="T306" s="11"/>
      <c r="U306" s="11">
        <f t="shared" si="80"/>
        <v>2</v>
      </c>
      <c r="W306">
        <v>2.2000000000000002</v>
      </c>
      <c r="X306" s="1" t="s">
        <v>16</v>
      </c>
    </row>
    <row r="307" spans="1:24" x14ac:dyDescent="0.25">
      <c r="A307" s="1" t="str">
        <f t="shared" si="76"/>
        <v>卡卡杜-凤凰仓</v>
      </c>
      <c r="B307" s="1" t="str">
        <f>"CK20241031119"</f>
        <v>CK20241031119</v>
      </c>
      <c r="C307" s="1" t="str">
        <f>"DD2024103112263"</f>
        <v>DD2024103112263</v>
      </c>
      <c r="D307" s="1" t="str">
        <f>"CK2024103118948"</f>
        <v>CK2024103118948</v>
      </c>
      <c r="E307" s="1" t="str">
        <f>"3723673980048117760"</f>
        <v>3723673980048117760</v>
      </c>
      <c r="F307" s="1" t="str">
        <f t="shared" si="77"/>
        <v>花都四部-凤凰仓</v>
      </c>
      <c r="G307" s="1" t="str">
        <f t="shared" si="84"/>
        <v>卡卡杜企业店（视频号）</v>
      </c>
      <c r="H307" s="1" t="str">
        <f t="shared" si="78"/>
        <v>正常订单</v>
      </c>
      <c r="I307" s="1" t="str">
        <f t="shared" si="79"/>
        <v>已发货</v>
      </c>
      <c r="J307" s="1" t="str">
        <f t="shared" si="93"/>
        <v>3</v>
      </c>
      <c r="K307" s="1">
        <v>2</v>
      </c>
      <c r="L307" s="1" t="s">
        <v>105</v>
      </c>
      <c r="M307" s="1" t="str">
        <f>"北京 北京市 丰台区 "</f>
        <v xml:space="preserve">北京 北京市 丰台区 </v>
      </c>
      <c r="N307" s="1" t="str">
        <f t="shared" si="94"/>
        <v>凡华云仓-城南圆通-微信视频号</v>
      </c>
      <c r="O307" s="5" t="s">
        <v>345</v>
      </c>
      <c r="P307" s="6">
        <v>0.25</v>
      </c>
      <c r="Q307" s="11">
        <v>2</v>
      </c>
      <c r="R307" s="11"/>
      <c r="S307" s="11"/>
      <c r="T307" s="11"/>
      <c r="U307" s="11">
        <f t="shared" si="80"/>
        <v>2</v>
      </c>
      <c r="W307">
        <v>2.2000000000000002</v>
      </c>
      <c r="X307" s="1" t="s">
        <v>105</v>
      </c>
    </row>
    <row r="308" spans="1:24" x14ac:dyDescent="0.25">
      <c r="A308" s="1" t="str">
        <f t="shared" si="76"/>
        <v>卡卡杜-凤凰仓</v>
      </c>
      <c r="B308" s="1" t="str">
        <f>"CK20241031136"</f>
        <v>CK20241031136</v>
      </c>
      <c r="C308" s="1" t="str">
        <f>"DD2024103112317"</f>
        <v>DD2024103112317</v>
      </c>
      <c r="D308" s="1" t="str">
        <f>"CK2024103118947"</f>
        <v>CK2024103118947</v>
      </c>
      <c r="E308" s="1" t="str">
        <f>"3723673982769435648"</f>
        <v>3723673982769435648</v>
      </c>
      <c r="F308" s="1" t="str">
        <f t="shared" si="77"/>
        <v>花都四部-凤凰仓</v>
      </c>
      <c r="G308" s="1" t="str">
        <f t="shared" si="84"/>
        <v>卡卡杜企业店（视频号）</v>
      </c>
      <c r="H308" s="1" t="str">
        <f t="shared" si="78"/>
        <v>正常订单</v>
      </c>
      <c r="I308" s="1" t="str">
        <f t="shared" si="79"/>
        <v>已发货</v>
      </c>
      <c r="J308" s="1" t="str">
        <f t="shared" si="93"/>
        <v>3</v>
      </c>
      <c r="K308" s="1">
        <v>2</v>
      </c>
      <c r="L308" s="1" t="s">
        <v>66</v>
      </c>
      <c r="M308" s="1" t="str">
        <f>"内蒙古自治区 乌兰察布市 集宁区 "</f>
        <v xml:space="preserve">内蒙古自治区 乌兰察布市 集宁区 </v>
      </c>
      <c r="N308" s="1" t="str">
        <f t="shared" si="94"/>
        <v>凡华云仓-城南圆通-微信视频号</v>
      </c>
      <c r="O308" s="5" t="s">
        <v>346</v>
      </c>
      <c r="P308" s="6">
        <v>0.25</v>
      </c>
      <c r="Q308" s="11">
        <v>2</v>
      </c>
      <c r="R308" s="11"/>
      <c r="S308" s="11"/>
      <c r="T308" s="11"/>
      <c r="U308" s="11">
        <f t="shared" si="80"/>
        <v>2</v>
      </c>
      <c r="W308">
        <v>2.2000000000000002</v>
      </c>
      <c r="X308" s="1" t="s">
        <v>66</v>
      </c>
    </row>
    <row r="309" spans="1:24" x14ac:dyDescent="0.25">
      <c r="A309" s="1" t="str">
        <f t="shared" si="76"/>
        <v>卡卡杜-凤凰仓</v>
      </c>
      <c r="B309" s="1" t="str">
        <f>"CK20241031128"</f>
        <v>CK20241031128</v>
      </c>
      <c r="C309" s="1" t="str">
        <f>"DD2024103112289"</f>
        <v>DD2024103112289</v>
      </c>
      <c r="D309" s="1" t="str">
        <f>"CK2024103118946"</f>
        <v>CK2024103118946</v>
      </c>
      <c r="E309" s="1" t="str">
        <f>"3723673980104214016"</f>
        <v>3723673980104214016</v>
      </c>
      <c r="F309" s="1" t="str">
        <f t="shared" si="77"/>
        <v>花都四部-凤凰仓</v>
      </c>
      <c r="G309" s="1" t="str">
        <f t="shared" si="84"/>
        <v>卡卡杜企业店（视频号）</v>
      </c>
      <c r="H309" s="1" t="str">
        <f t="shared" si="78"/>
        <v>正常订单</v>
      </c>
      <c r="I309" s="1" t="str">
        <f t="shared" si="79"/>
        <v>已发货</v>
      </c>
      <c r="J309" s="1" t="str">
        <f t="shared" si="93"/>
        <v>3</v>
      </c>
      <c r="K309" s="1">
        <v>2</v>
      </c>
      <c r="L309" s="1" t="s">
        <v>32</v>
      </c>
      <c r="M309" s="1" t="str">
        <f>"陕西省 西安市 新城区 "</f>
        <v xml:space="preserve">陕西省 西安市 新城区 </v>
      </c>
      <c r="N309" s="1" t="str">
        <f t="shared" si="94"/>
        <v>凡华云仓-城南圆通-微信视频号</v>
      </c>
      <c r="O309" s="5" t="s">
        <v>347</v>
      </c>
      <c r="P309" s="6">
        <v>0.25</v>
      </c>
      <c r="Q309" s="11">
        <v>2</v>
      </c>
      <c r="R309" s="11"/>
      <c r="S309" s="11"/>
      <c r="T309" s="11"/>
      <c r="U309" s="11">
        <f t="shared" si="80"/>
        <v>2</v>
      </c>
      <c r="W309">
        <v>2.2000000000000002</v>
      </c>
      <c r="X309" s="1" t="s">
        <v>32</v>
      </c>
    </row>
    <row r="310" spans="1:24" x14ac:dyDescent="0.25">
      <c r="A310" s="1" t="str">
        <f t="shared" si="76"/>
        <v>卡卡杜-凤凰仓</v>
      </c>
      <c r="B310" s="1" t="str">
        <f>"CK202410311901"</f>
        <v>CK202410311901</v>
      </c>
      <c r="C310" s="1" t="str">
        <f>"DD2024103113819"</f>
        <v>DD2024103113819</v>
      </c>
      <c r="D310" s="1" t="str">
        <f>"CK2024103118945"</f>
        <v>CK2024103118945</v>
      </c>
      <c r="E310" s="1" t="str">
        <f>"3723673980457849856"</f>
        <v>3723673980457849856</v>
      </c>
      <c r="F310" s="1" t="str">
        <f t="shared" si="77"/>
        <v>花都四部-凤凰仓</v>
      </c>
      <c r="G310" s="1" t="str">
        <f t="shared" si="84"/>
        <v>卡卡杜企业店（视频号）</v>
      </c>
      <c r="H310" s="1" t="str">
        <f t="shared" si="78"/>
        <v>正常订单</v>
      </c>
      <c r="I310" s="1" t="str">
        <f t="shared" si="79"/>
        <v>已发货</v>
      </c>
      <c r="J310" s="1" t="str">
        <f>"5"</f>
        <v>5</v>
      </c>
      <c r="K310" s="1">
        <v>2</v>
      </c>
      <c r="L310" s="1" t="s">
        <v>32</v>
      </c>
      <c r="M310" s="1" t="str">
        <f>"陕西省 西安市 雁塔区 "</f>
        <v xml:space="preserve">陕西省 西安市 雁塔区 </v>
      </c>
      <c r="N310" s="1" t="str">
        <f t="shared" si="94"/>
        <v>凡华云仓-城南圆通-微信视频号</v>
      </c>
      <c r="O310" s="5" t="s">
        <v>348</v>
      </c>
      <c r="P310" s="6">
        <v>0.35</v>
      </c>
      <c r="Q310" s="11">
        <v>2.2999999999999998</v>
      </c>
      <c r="R310" s="11"/>
      <c r="S310" s="11"/>
      <c r="T310" s="11"/>
      <c r="U310" s="11">
        <f t="shared" si="80"/>
        <v>2.2999999999999998</v>
      </c>
      <c r="W310">
        <v>2.5</v>
      </c>
      <c r="X310" s="1" t="s">
        <v>32</v>
      </c>
    </row>
    <row r="311" spans="1:24" x14ac:dyDescent="0.25">
      <c r="A311" s="1" t="str">
        <f t="shared" si="76"/>
        <v>卡卡杜-凤凰仓</v>
      </c>
      <c r="B311" s="1" t="str">
        <f>"CK20241031124"</f>
        <v>CK20241031124</v>
      </c>
      <c r="C311" s="1" t="str">
        <f>"DD2024103112281"</f>
        <v>DD2024103112281</v>
      </c>
      <c r="D311" s="1" t="str">
        <f>"CK2024103118944"</f>
        <v>CK2024103118944</v>
      </c>
      <c r="E311" s="1" t="str">
        <f>"3723673977256022016"</f>
        <v>3723673977256022016</v>
      </c>
      <c r="F311" s="1" t="str">
        <f t="shared" si="77"/>
        <v>花都四部-凤凰仓</v>
      </c>
      <c r="G311" s="1" t="str">
        <f t="shared" si="84"/>
        <v>卡卡杜企业店（视频号）</v>
      </c>
      <c r="H311" s="1" t="str">
        <f t="shared" si="78"/>
        <v>正常订单</v>
      </c>
      <c r="I311" s="1" t="str">
        <f t="shared" si="79"/>
        <v>已发货</v>
      </c>
      <c r="J311" s="1" t="str">
        <f>"3"</f>
        <v>3</v>
      </c>
      <c r="K311" s="1">
        <v>2</v>
      </c>
      <c r="L311" s="1" t="s">
        <v>92</v>
      </c>
      <c r="M311" s="1" t="str">
        <f>"辽宁省 大连市 甘井子区 "</f>
        <v xml:space="preserve">辽宁省 大连市 甘井子区 </v>
      </c>
      <c r="N311" s="1" t="str">
        <f t="shared" si="94"/>
        <v>凡华云仓-城南圆通-微信视频号</v>
      </c>
      <c r="O311" s="5" t="s">
        <v>349</v>
      </c>
      <c r="P311" s="6">
        <v>0.25</v>
      </c>
      <c r="Q311" s="11">
        <v>2</v>
      </c>
      <c r="R311" s="11"/>
      <c r="S311" s="11"/>
      <c r="T311" s="11"/>
      <c r="U311" s="11">
        <f t="shared" si="80"/>
        <v>2</v>
      </c>
      <c r="W311">
        <v>2.2000000000000002</v>
      </c>
      <c r="X311" s="1" t="s">
        <v>92</v>
      </c>
    </row>
    <row r="312" spans="1:24" x14ac:dyDescent="0.25">
      <c r="A312" s="1" t="str">
        <f t="shared" si="76"/>
        <v>卡卡杜-凤凰仓</v>
      </c>
      <c r="B312" s="1" t="str">
        <f>"CK202410311633"</f>
        <v>CK202410311633</v>
      </c>
      <c r="C312" s="1" t="str">
        <f>"DD2024103112773"</f>
        <v>DD2024103112773</v>
      </c>
      <c r="D312" s="1" t="str">
        <f>"CK2024103118943"</f>
        <v>CK2024103118943</v>
      </c>
      <c r="E312" s="1" t="str">
        <f>"3723673973472494848"</f>
        <v>3723673973472494848</v>
      </c>
      <c r="F312" s="1" t="str">
        <f t="shared" si="77"/>
        <v>花都四部-凤凰仓</v>
      </c>
      <c r="G312" s="1" t="str">
        <f t="shared" si="84"/>
        <v>卡卡杜企业店（视频号）</v>
      </c>
      <c r="H312" s="1" t="str">
        <f t="shared" si="78"/>
        <v>正常订单</v>
      </c>
      <c r="I312" s="1" t="str">
        <f t="shared" si="79"/>
        <v>已发货</v>
      </c>
      <c r="J312" s="1" t="str">
        <f t="shared" ref="J312:J315" si="95">"2"</f>
        <v>2</v>
      </c>
      <c r="K312" s="1">
        <v>2</v>
      </c>
      <c r="L312" s="1" t="s">
        <v>32</v>
      </c>
      <c r="M312" s="1" t="str">
        <f>"陕西省 渭南市 韩城市 "</f>
        <v xml:space="preserve">陕西省 渭南市 韩城市 </v>
      </c>
      <c r="N312" s="1" t="str">
        <f t="shared" si="94"/>
        <v>凡华云仓-城南圆通-微信视频号</v>
      </c>
      <c r="O312" s="5" t="s">
        <v>350</v>
      </c>
      <c r="P312" s="6">
        <v>0.17</v>
      </c>
      <c r="Q312" s="11">
        <v>2</v>
      </c>
      <c r="R312" s="11"/>
      <c r="S312" s="11"/>
      <c r="T312" s="11"/>
      <c r="U312" s="11">
        <f t="shared" si="80"/>
        <v>2</v>
      </c>
      <c r="W312">
        <v>2.2000000000000002</v>
      </c>
      <c r="X312" s="1" t="s">
        <v>32</v>
      </c>
    </row>
    <row r="313" spans="1:24" x14ac:dyDescent="0.25">
      <c r="A313" s="1" t="str">
        <f t="shared" si="76"/>
        <v>卡卡杜-凤凰仓</v>
      </c>
      <c r="B313" s="1" t="str">
        <f>"CK202410311634"</f>
        <v>CK202410311634</v>
      </c>
      <c r="C313" s="1" t="str">
        <f>"DD2024103112776"</f>
        <v>DD2024103112776</v>
      </c>
      <c r="D313" s="1" t="str">
        <f>"CK2024103118942"</f>
        <v>CK2024103118942</v>
      </c>
      <c r="E313" s="1" t="str">
        <f>"3723673977808360448"</f>
        <v>3723673977808360448</v>
      </c>
      <c r="F313" s="1" t="str">
        <f t="shared" si="77"/>
        <v>花都四部-凤凰仓</v>
      </c>
      <c r="G313" s="1" t="str">
        <f t="shared" si="84"/>
        <v>卡卡杜企业店（视频号）</v>
      </c>
      <c r="H313" s="1" t="str">
        <f t="shared" si="78"/>
        <v>正常订单</v>
      </c>
      <c r="I313" s="1" t="str">
        <f t="shared" si="79"/>
        <v>已发货</v>
      </c>
      <c r="J313" s="1" t="str">
        <f t="shared" si="95"/>
        <v>2</v>
      </c>
      <c r="K313" s="1">
        <v>2</v>
      </c>
      <c r="L313" s="1" t="s">
        <v>16</v>
      </c>
      <c r="M313" s="1" t="str">
        <f>"河北省 张家口市 张北县 "</f>
        <v xml:space="preserve">河北省 张家口市 张北县 </v>
      </c>
      <c r="N313" s="1" t="str">
        <f t="shared" si="94"/>
        <v>凡华云仓-城南圆通-微信视频号</v>
      </c>
      <c r="O313" s="5" t="s">
        <v>351</v>
      </c>
      <c r="P313" s="6">
        <v>0.17</v>
      </c>
      <c r="Q313" s="11">
        <v>2</v>
      </c>
      <c r="R313" s="11"/>
      <c r="S313" s="11"/>
      <c r="T313" s="11"/>
      <c r="U313" s="11">
        <f t="shared" si="80"/>
        <v>2</v>
      </c>
      <c r="W313">
        <v>2.2000000000000002</v>
      </c>
      <c r="X313" s="1" t="s">
        <v>16</v>
      </c>
    </row>
    <row r="314" spans="1:24" x14ac:dyDescent="0.25">
      <c r="A314" s="1" t="str">
        <f t="shared" si="76"/>
        <v>卡卡杜-凤凰仓</v>
      </c>
      <c r="B314" s="1" t="str">
        <f>"CK202410311632"</f>
        <v>CK202410311632</v>
      </c>
      <c r="C314" s="1" t="str">
        <f>"DD2024103112772"</f>
        <v>DD2024103112772</v>
      </c>
      <c r="D314" s="1" t="str">
        <f>"CK2024103118941"</f>
        <v>CK2024103118941</v>
      </c>
      <c r="E314" s="1" t="str">
        <f>"3723673981589259520"</f>
        <v>3723673981589259520</v>
      </c>
      <c r="F314" s="1" t="str">
        <f t="shared" si="77"/>
        <v>花都四部-凤凰仓</v>
      </c>
      <c r="G314" s="1" t="str">
        <f t="shared" si="84"/>
        <v>卡卡杜企业店（视频号）</v>
      </c>
      <c r="H314" s="1" t="str">
        <f t="shared" si="78"/>
        <v>正常订单</v>
      </c>
      <c r="I314" s="1" t="str">
        <f t="shared" si="79"/>
        <v>已发货</v>
      </c>
      <c r="J314" s="1" t="str">
        <f t="shared" si="95"/>
        <v>2</v>
      </c>
      <c r="K314" s="1">
        <v>2</v>
      </c>
      <c r="L314" s="1" t="s">
        <v>16</v>
      </c>
      <c r="M314" s="1" t="str">
        <f>"河北省 唐山市 遵化市 "</f>
        <v xml:space="preserve">河北省 唐山市 遵化市 </v>
      </c>
      <c r="N314" s="1" t="str">
        <f t="shared" si="94"/>
        <v>凡华云仓-城南圆通-微信视频号</v>
      </c>
      <c r="O314" s="5" t="s">
        <v>352</v>
      </c>
      <c r="P314" s="6">
        <v>0.17</v>
      </c>
      <c r="Q314" s="11">
        <v>2</v>
      </c>
      <c r="R314" s="11"/>
      <c r="S314" s="11"/>
      <c r="T314" s="11"/>
      <c r="U314" s="11">
        <f t="shared" si="80"/>
        <v>2</v>
      </c>
      <c r="W314">
        <v>2.2000000000000002</v>
      </c>
      <c r="X314" s="1" t="s">
        <v>16</v>
      </c>
    </row>
    <row r="315" spans="1:24" x14ac:dyDescent="0.25">
      <c r="A315" s="1" t="str">
        <f t="shared" si="76"/>
        <v>卡卡杜-凤凰仓</v>
      </c>
      <c r="B315" s="1" t="str">
        <f>"CK202410311638"</f>
        <v>CK202410311638</v>
      </c>
      <c r="C315" s="1" t="str">
        <f>"DD2024103112778"</f>
        <v>DD2024103112778</v>
      </c>
      <c r="D315" s="1" t="str">
        <f>"CK2024103118940"</f>
        <v>CK2024103118940</v>
      </c>
      <c r="E315" s="1" t="str">
        <f>"3723673978009683200"</f>
        <v>3723673978009683200</v>
      </c>
      <c r="F315" s="1" t="str">
        <f t="shared" si="77"/>
        <v>花都四部-凤凰仓</v>
      </c>
      <c r="G315" s="1" t="str">
        <f t="shared" si="84"/>
        <v>卡卡杜企业店（视频号）</v>
      </c>
      <c r="H315" s="1" t="str">
        <f t="shared" si="78"/>
        <v>正常订单</v>
      </c>
      <c r="I315" s="1" t="str">
        <f t="shared" si="79"/>
        <v>已发货</v>
      </c>
      <c r="J315" s="1" t="str">
        <f t="shared" si="95"/>
        <v>2</v>
      </c>
      <c r="K315" s="1">
        <v>2</v>
      </c>
      <c r="L315" s="1" t="s">
        <v>13</v>
      </c>
      <c r="M315" s="1" t="str">
        <f>"江苏省 南京市 秦淮区 "</f>
        <v xml:space="preserve">江苏省 南京市 秦淮区 </v>
      </c>
      <c r="N315" s="1" t="str">
        <f t="shared" si="94"/>
        <v>凡华云仓-城南圆通-微信视频号</v>
      </c>
      <c r="O315" s="5" t="s">
        <v>353</v>
      </c>
      <c r="P315" s="6">
        <v>0.17</v>
      </c>
      <c r="Q315" s="11">
        <v>2</v>
      </c>
      <c r="R315" s="11"/>
      <c r="S315" s="11"/>
      <c r="T315" s="11"/>
      <c r="U315" s="11">
        <f t="shared" si="80"/>
        <v>2</v>
      </c>
      <c r="W315">
        <v>2.2000000000000002</v>
      </c>
      <c r="X315" s="1" t="s">
        <v>13</v>
      </c>
    </row>
    <row r="316" spans="1:24" x14ac:dyDescent="0.25">
      <c r="A316" s="1" t="str">
        <f t="shared" si="76"/>
        <v>卡卡杜-凤凰仓</v>
      </c>
      <c r="B316" s="1" t="str">
        <f>"CK20241031179"</f>
        <v>CK20241031179</v>
      </c>
      <c r="C316" s="1" t="str">
        <f>"DD2024103112401"</f>
        <v>DD2024103112401</v>
      </c>
      <c r="D316" s="1" t="str">
        <f>"CK2024103118939"</f>
        <v>CK2024103118939</v>
      </c>
      <c r="E316" s="1" t="str">
        <f>"3723673980664156160"</f>
        <v>3723673980664156160</v>
      </c>
      <c r="F316" s="1" t="str">
        <f t="shared" si="77"/>
        <v>花都四部-凤凰仓</v>
      </c>
      <c r="G316" s="1" t="str">
        <f t="shared" si="84"/>
        <v>卡卡杜企业店（视频号）</v>
      </c>
      <c r="H316" s="1" t="str">
        <f t="shared" si="78"/>
        <v>正常订单</v>
      </c>
      <c r="I316" s="1" t="str">
        <f t="shared" si="79"/>
        <v>已发货</v>
      </c>
      <c r="J316" s="1" t="str">
        <f>"3"</f>
        <v>3</v>
      </c>
      <c r="K316" s="1">
        <v>2</v>
      </c>
      <c r="L316" s="1" t="s">
        <v>74</v>
      </c>
      <c r="M316" s="1" t="str">
        <f>"上海 上海市 普陀区 "</f>
        <v xml:space="preserve">上海 上海市 普陀区 </v>
      </c>
      <c r="N316" s="1" t="str">
        <f t="shared" si="94"/>
        <v>凡华云仓-城南圆通-微信视频号</v>
      </c>
      <c r="O316" s="5" t="s">
        <v>354</v>
      </c>
      <c r="P316" s="6">
        <v>0.25</v>
      </c>
      <c r="Q316" s="11">
        <v>2</v>
      </c>
      <c r="R316" s="11"/>
      <c r="S316" s="11"/>
      <c r="T316" s="11"/>
      <c r="U316" s="11">
        <f t="shared" si="80"/>
        <v>2</v>
      </c>
      <c r="W316">
        <v>2.2000000000000002</v>
      </c>
      <c r="X316" s="1" t="s">
        <v>74</v>
      </c>
    </row>
    <row r="317" spans="1:24" x14ac:dyDescent="0.25">
      <c r="A317" s="1" t="str">
        <f t="shared" si="76"/>
        <v>卡卡杜-凤凰仓</v>
      </c>
      <c r="B317" s="1" t="str">
        <f>"CK202410311637"</f>
        <v>CK202410311637</v>
      </c>
      <c r="C317" s="1" t="str">
        <f>"DD2024103112777"</f>
        <v>DD2024103112777</v>
      </c>
      <c r="D317" s="1" t="str">
        <f>"CK2024103118938"</f>
        <v>CK2024103118938</v>
      </c>
      <c r="E317" s="1" t="str">
        <f>"3723673979844956161"</f>
        <v>3723673979844956161</v>
      </c>
      <c r="F317" s="1" t="str">
        <f t="shared" si="77"/>
        <v>花都四部-凤凰仓</v>
      </c>
      <c r="G317" s="1" t="str">
        <f t="shared" si="84"/>
        <v>卡卡杜企业店（视频号）</v>
      </c>
      <c r="H317" s="1" t="str">
        <f t="shared" si="78"/>
        <v>正常订单</v>
      </c>
      <c r="I317" s="1" t="str">
        <f t="shared" si="79"/>
        <v>已发货</v>
      </c>
      <c r="J317" s="1" t="str">
        <f t="shared" ref="J317:J325" si="96">"2"</f>
        <v>2</v>
      </c>
      <c r="K317" s="1">
        <v>2</v>
      </c>
      <c r="L317" s="1" t="s">
        <v>20</v>
      </c>
      <c r="M317" s="1" t="str">
        <f>"浙江省 衢州市 常山县 "</f>
        <v xml:space="preserve">浙江省 衢州市 常山县 </v>
      </c>
      <c r="N317" s="1" t="str">
        <f t="shared" si="94"/>
        <v>凡华云仓-城南圆通-微信视频号</v>
      </c>
      <c r="O317" s="5" t="s">
        <v>355</v>
      </c>
      <c r="P317" s="6">
        <v>0.17</v>
      </c>
      <c r="Q317" s="11">
        <v>2</v>
      </c>
      <c r="R317" s="11"/>
      <c r="S317" s="11"/>
      <c r="T317" s="11"/>
      <c r="U317" s="11">
        <f t="shared" si="80"/>
        <v>2</v>
      </c>
      <c r="W317">
        <v>2.2000000000000002</v>
      </c>
      <c r="X317" s="1" t="s">
        <v>20</v>
      </c>
    </row>
    <row r="318" spans="1:24" x14ac:dyDescent="0.25">
      <c r="A318" s="1" t="str">
        <f t="shared" si="76"/>
        <v>卡卡杜-凤凰仓</v>
      </c>
      <c r="B318" s="1" t="str">
        <f>"CK202410311636"</f>
        <v>CK202410311636</v>
      </c>
      <c r="C318" s="1" t="str">
        <f>"DD2024103112774"</f>
        <v>DD2024103112774</v>
      </c>
      <c r="D318" s="1" t="str">
        <f>"CK2024103118937"</f>
        <v>CK2024103118937</v>
      </c>
      <c r="E318" s="1" t="str">
        <f>"3723673980324939008"</f>
        <v>3723673980324939008</v>
      </c>
      <c r="F318" s="1" t="str">
        <f t="shared" si="77"/>
        <v>花都四部-凤凰仓</v>
      </c>
      <c r="G318" s="1" t="str">
        <f t="shared" si="84"/>
        <v>卡卡杜企业店（视频号）</v>
      </c>
      <c r="H318" s="1" t="str">
        <f t="shared" si="78"/>
        <v>正常订单</v>
      </c>
      <c r="I318" s="1" t="str">
        <f t="shared" si="79"/>
        <v>已发货</v>
      </c>
      <c r="J318" s="1" t="str">
        <f t="shared" si="96"/>
        <v>2</v>
      </c>
      <c r="K318" s="1">
        <v>2</v>
      </c>
      <c r="L318" s="1" t="s">
        <v>161</v>
      </c>
      <c r="M318" s="1" t="str">
        <f>"四川省 成都市 新都区 "</f>
        <v xml:space="preserve">四川省 成都市 新都区 </v>
      </c>
      <c r="N318" s="1" t="str">
        <f t="shared" si="94"/>
        <v>凡华云仓-城南圆通-微信视频号</v>
      </c>
      <c r="O318" s="5" t="s">
        <v>356</v>
      </c>
      <c r="P318" s="6">
        <v>0.17</v>
      </c>
      <c r="Q318" s="11">
        <v>2</v>
      </c>
      <c r="R318" s="11"/>
      <c r="S318" s="11"/>
      <c r="T318" s="11"/>
      <c r="U318" s="11">
        <f t="shared" si="80"/>
        <v>2</v>
      </c>
      <c r="W318">
        <v>2.2000000000000002</v>
      </c>
      <c r="X318" s="1" t="s">
        <v>161</v>
      </c>
    </row>
    <row r="319" spans="1:24" x14ac:dyDescent="0.25">
      <c r="A319" s="1" t="str">
        <f t="shared" si="76"/>
        <v>卡卡杜-凤凰仓</v>
      </c>
      <c r="B319" s="1" t="str">
        <f>"CK202410311635"</f>
        <v>CK202410311635</v>
      </c>
      <c r="C319" s="1" t="str">
        <f>"DD2024103112775"</f>
        <v>DD2024103112775</v>
      </c>
      <c r="D319" s="1" t="str">
        <f>"CK2024103118936"</f>
        <v>CK2024103118936</v>
      </c>
      <c r="E319" s="1" t="str">
        <f>"3723673979288424448"</f>
        <v>3723673979288424448</v>
      </c>
      <c r="F319" s="1" t="str">
        <f t="shared" si="77"/>
        <v>花都四部-凤凰仓</v>
      </c>
      <c r="G319" s="1" t="str">
        <f t="shared" si="84"/>
        <v>卡卡杜企业店（视频号）</v>
      </c>
      <c r="H319" s="1" t="str">
        <f t="shared" si="78"/>
        <v>正常订单</v>
      </c>
      <c r="I319" s="1" t="str">
        <f t="shared" si="79"/>
        <v>已发货</v>
      </c>
      <c r="J319" s="1" t="str">
        <f t="shared" si="96"/>
        <v>2</v>
      </c>
      <c r="K319" s="1">
        <v>2</v>
      </c>
      <c r="L319" s="1" t="s">
        <v>16</v>
      </c>
      <c r="M319" s="1" t="str">
        <f>"河北省 石家庄市 鹿泉区 "</f>
        <v xml:space="preserve">河北省 石家庄市 鹿泉区 </v>
      </c>
      <c r="N319" s="1" t="str">
        <f t="shared" si="94"/>
        <v>凡华云仓-城南圆通-微信视频号</v>
      </c>
      <c r="O319" s="5" t="s">
        <v>357</v>
      </c>
      <c r="P319" s="6">
        <v>0.17</v>
      </c>
      <c r="Q319" s="11">
        <v>2</v>
      </c>
      <c r="R319" s="11"/>
      <c r="S319" s="11"/>
      <c r="T319" s="11"/>
      <c r="U319" s="11">
        <f t="shared" si="80"/>
        <v>2</v>
      </c>
      <c r="W319">
        <v>2.2000000000000002</v>
      </c>
      <c r="X319" s="1" t="s">
        <v>16</v>
      </c>
    </row>
    <row r="320" spans="1:24" x14ac:dyDescent="0.25">
      <c r="A320" s="1" t="str">
        <f t="shared" si="76"/>
        <v>卡卡杜-凤凰仓</v>
      </c>
      <c r="B320" s="1" t="str">
        <f>"CK202410311639"</f>
        <v>CK202410311639</v>
      </c>
      <c r="C320" s="1" t="str">
        <f>"DD2024103112781"</f>
        <v>DD2024103112781</v>
      </c>
      <c r="D320" s="1" t="str">
        <f>"CK2024103118935"</f>
        <v>CK2024103118935</v>
      </c>
      <c r="E320" s="1" t="str">
        <f>"3723673980052833536"</f>
        <v>3723673980052833536</v>
      </c>
      <c r="F320" s="1" t="str">
        <f t="shared" si="77"/>
        <v>花都四部-凤凰仓</v>
      </c>
      <c r="G320" s="1" t="str">
        <f t="shared" si="84"/>
        <v>卡卡杜企业店（视频号）</v>
      </c>
      <c r="H320" s="1" t="str">
        <f t="shared" si="78"/>
        <v>正常订单</v>
      </c>
      <c r="I320" s="1" t="str">
        <f t="shared" si="79"/>
        <v>已发货</v>
      </c>
      <c r="J320" s="1" t="str">
        <f t="shared" si="96"/>
        <v>2</v>
      </c>
      <c r="K320" s="1">
        <v>2</v>
      </c>
      <c r="L320" s="1" t="s">
        <v>18</v>
      </c>
      <c r="M320" s="1" t="str">
        <f>"广东省 广州市 越秀区 "</f>
        <v xml:space="preserve">广东省 广州市 越秀区 </v>
      </c>
      <c r="N320" s="1" t="str">
        <f t="shared" si="94"/>
        <v>凡华云仓-城南圆通-微信视频号</v>
      </c>
      <c r="O320" s="5" t="s">
        <v>358</v>
      </c>
      <c r="P320" s="6">
        <v>0.17</v>
      </c>
      <c r="Q320" s="11">
        <v>2</v>
      </c>
      <c r="R320" s="11"/>
      <c r="S320" s="11"/>
      <c r="T320" s="11"/>
      <c r="U320" s="11">
        <f t="shared" si="80"/>
        <v>2</v>
      </c>
      <c r="W320">
        <v>2.2000000000000002</v>
      </c>
      <c r="X320" s="1" t="s">
        <v>18</v>
      </c>
    </row>
    <row r="321" spans="1:24" x14ac:dyDescent="0.25">
      <c r="A321" s="1" t="str">
        <f t="shared" si="76"/>
        <v>卡卡杜-凤凰仓</v>
      </c>
      <c r="B321" s="1" t="str">
        <f>"CK202410311645"</f>
        <v>CK202410311645</v>
      </c>
      <c r="C321" s="1" t="str">
        <f>"DD2024103112786"</f>
        <v>DD2024103112786</v>
      </c>
      <c r="D321" s="1" t="str">
        <f>"CK2024103118934"</f>
        <v>CK2024103118934</v>
      </c>
      <c r="E321" s="1" t="str">
        <f>"3723673971134958592"</f>
        <v>3723673971134958592</v>
      </c>
      <c r="F321" s="1" t="str">
        <f t="shared" si="77"/>
        <v>花都四部-凤凰仓</v>
      </c>
      <c r="G321" s="1" t="str">
        <f t="shared" si="84"/>
        <v>卡卡杜企业店（视频号）</v>
      </c>
      <c r="H321" s="1" t="str">
        <f t="shared" si="78"/>
        <v>正常订单</v>
      </c>
      <c r="I321" s="1" t="str">
        <f t="shared" si="79"/>
        <v>已发货</v>
      </c>
      <c r="J321" s="1" t="str">
        <f t="shared" si="96"/>
        <v>2</v>
      </c>
      <c r="K321" s="1">
        <v>2</v>
      </c>
      <c r="L321" s="1" t="s">
        <v>94</v>
      </c>
      <c r="M321" s="1" t="str">
        <f>"湖南省 长沙市 开福区 "</f>
        <v xml:space="preserve">湖南省 长沙市 开福区 </v>
      </c>
      <c r="N321" s="1" t="str">
        <f t="shared" si="94"/>
        <v>凡华云仓-城南圆通-微信视频号</v>
      </c>
      <c r="O321" s="5" t="s">
        <v>359</v>
      </c>
      <c r="P321" s="6">
        <v>0.17</v>
      </c>
      <c r="Q321" s="11">
        <v>2</v>
      </c>
      <c r="R321" s="11"/>
      <c r="S321" s="11"/>
      <c r="T321" s="11"/>
      <c r="U321" s="11">
        <f t="shared" si="80"/>
        <v>2</v>
      </c>
      <c r="W321">
        <v>2.2000000000000002</v>
      </c>
      <c r="X321" s="1" t="s">
        <v>94</v>
      </c>
    </row>
    <row r="322" spans="1:24" x14ac:dyDescent="0.25">
      <c r="A322" s="1" t="str">
        <f t="shared" ref="A322:A385" si="97">"卡卡杜-凤凰仓"</f>
        <v>卡卡杜-凤凰仓</v>
      </c>
      <c r="B322" s="1" t="str">
        <f>"CK202410311640"</f>
        <v>CK202410311640</v>
      </c>
      <c r="C322" s="1" t="str">
        <f>"DD2024103112779"</f>
        <v>DD2024103112779</v>
      </c>
      <c r="D322" s="1" t="str">
        <f>"CK2024103118933"</f>
        <v>CK2024103118933</v>
      </c>
      <c r="E322" s="1" t="str">
        <f>"3723673971599740928"</f>
        <v>3723673971599740928</v>
      </c>
      <c r="F322" s="1" t="str">
        <f t="shared" ref="F322:F385" si="98">"花都四部-凤凰仓"</f>
        <v>花都四部-凤凰仓</v>
      </c>
      <c r="G322" s="1" t="str">
        <f t="shared" si="84"/>
        <v>卡卡杜企业店（视频号）</v>
      </c>
      <c r="H322" s="1" t="str">
        <f t="shared" ref="H322:H385" si="99">"正常订单"</f>
        <v>正常订单</v>
      </c>
      <c r="I322" s="1" t="str">
        <f t="shared" ref="I322:I385" si="100">"已发货"</f>
        <v>已发货</v>
      </c>
      <c r="J322" s="1" t="str">
        <f t="shared" si="96"/>
        <v>2</v>
      </c>
      <c r="K322" s="1">
        <v>2</v>
      </c>
      <c r="L322" s="1" t="s">
        <v>30</v>
      </c>
      <c r="M322" s="1" t="str">
        <f>"山东省 济宁市 曲阜市 "</f>
        <v xml:space="preserve">山东省 济宁市 曲阜市 </v>
      </c>
      <c r="N322" s="1" t="str">
        <f t="shared" si="94"/>
        <v>凡华云仓-城南圆通-微信视频号</v>
      </c>
      <c r="O322" s="5" t="s">
        <v>360</v>
      </c>
      <c r="P322" s="6">
        <v>0.17</v>
      </c>
      <c r="Q322" s="11">
        <v>2</v>
      </c>
      <c r="R322" s="11"/>
      <c r="S322" s="11"/>
      <c r="T322" s="11"/>
      <c r="U322" s="11">
        <f t="shared" si="80"/>
        <v>2</v>
      </c>
      <c r="W322">
        <v>2.2000000000000002</v>
      </c>
      <c r="X322" s="1" t="s">
        <v>30</v>
      </c>
    </row>
    <row r="323" spans="1:24" x14ac:dyDescent="0.25">
      <c r="A323" s="1" t="str">
        <f t="shared" si="97"/>
        <v>卡卡杜-凤凰仓</v>
      </c>
      <c r="B323" s="1" t="str">
        <f>"CK202410311641"</f>
        <v>CK202410311641</v>
      </c>
      <c r="C323" s="1" t="str">
        <f>"DD2024103112782"</f>
        <v>DD2024103112782</v>
      </c>
      <c r="D323" s="1" t="str">
        <f>"CK2024103118932"</f>
        <v>CK2024103118932</v>
      </c>
      <c r="E323" s="1" t="str">
        <f>"3723673977713464320"</f>
        <v>3723673977713464320</v>
      </c>
      <c r="F323" s="1" t="str">
        <f t="shared" si="98"/>
        <v>花都四部-凤凰仓</v>
      </c>
      <c r="G323" s="1" t="str">
        <f t="shared" si="84"/>
        <v>卡卡杜企业店（视频号）</v>
      </c>
      <c r="H323" s="1" t="str">
        <f t="shared" si="99"/>
        <v>正常订单</v>
      </c>
      <c r="I323" s="1" t="str">
        <f t="shared" si="100"/>
        <v>已发货</v>
      </c>
      <c r="J323" s="1" t="str">
        <f t="shared" si="96"/>
        <v>2</v>
      </c>
      <c r="K323" s="1">
        <v>2</v>
      </c>
      <c r="L323" s="1" t="s">
        <v>105</v>
      </c>
      <c r="M323" s="1" t="str">
        <f>"北京 北京市 顺义区 "</f>
        <v xml:space="preserve">北京 北京市 顺义区 </v>
      </c>
      <c r="N323" s="1" t="str">
        <f t="shared" si="94"/>
        <v>凡华云仓-城南圆通-微信视频号</v>
      </c>
      <c r="O323" s="5" t="s">
        <v>361</v>
      </c>
      <c r="P323" s="6">
        <v>0.17</v>
      </c>
      <c r="Q323" s="11">
        <v>2</v>
      </c>
      <c r="R323" s="11"/>
      <c r="S323" s="11"/>
      <c r="T323" s="11"/>
      <c r="U323" s="11">
        <f t="shared" ref="U323:U386" si="101">T323+S323+R323+Q323</f>
        <v>2</v>
      </c>
      <c r="W323">
        <v>2.2000000000000002</v>
      </c>
      <c r="X323" s="1" t="s">
        <v>105</v>
      </c>
    </row>
    <row r="324" spans="1:24" x14ac:dyDescent="0.25">
      <c r="A324" s="1" t="str">
        <f t="shared" si="97"/>
        <v>卡卡杜-凤凰仓</v>
      </c>
      <c r="B324" s="1" t="str">
        <f>"CK202410311642"</f>
        <v>CK202410311642</v>
      </c>
      <c r="C324" s="1" t="str">
        <f>"DD2024103112780"</f>
        <v>DD2024103112780</v>
      </c>
      <c r="D324" s="1" t="str">
        <f>"CK2024103118931"</f>
        <v>CK2024103118931</v>
      </c>
      <c r="E324" s="1" t="str">
        <f>"3723673977492735232"</f>
        <v>3723673977492735232</v>
      </c>
      <c r="F324" s="1" t="str">
        <f t="shared" si="98"/>
        <v>花都四部-凤凰仓</v>
      </c>
      <c r="G324" s="1" t="str">
        <f t="shared" si="84"/>
        <v>卡卡杜企业店（视频号）</v>
      </c>
      <c r="H324" s="1" t="str">
        <f t="shared" si="99"/>
        <v>正常订单</v>
      </c>
      <c r="I324" s="1" t="str">
        <f t="shared" si="100"/>
        <v>已发货</v>
      </c>
      <c r="J324" s="1" t="str">
        <f t="shared" si="96"/>
        <v>2</v>
      </c>
      <c r="K324" s="1">
        <v>2</v>
      </c>
      <c r="L324" s="1" t="s">
        <v>30</v>
      </c>
      <c r="M324" s="1" t="str">
        <f>"山东省 威海市 环翠区 "</f>
        <v xml:space="preserve">山东省 威海市 环翠区 </v>
      </c>
      <c r="N324" s="1" t="str">
        <f t="shared" si="94"/>
        <v>凡华云仓-城南圆通-微信视频号</v>
      </c>
      <c r="O324" s="5" t="s">
        <v>362</v>
      </c>
      <c r="P324" s="6">
        <v>0.17</v>
      </c>
      <c r="Q324" s="11">
        <v>2</v>
      </c>
      <c r="R324" s="11"/>
      <c r="S324" s="11"/>
      <c r="T324" s="11"/>
      <c r="U324" s="11">
        <f t="shared" si="101"/>
        <v>2</v>
      </c>
      <c r="W324">
        <v>2.2000000000000002</v>
      </c>
      <c r="X324" s="1" t="s">
        <v>30</v>
      </c>
    </row>
    <row r="325" spans="1:24" x14ac:dyDescent="0.25">
      <c r="A325" s="1" t="str">
        <f t="shared" si="97"/>
        <v>卡卡杜-凤凰仓</v>
      </c>
      <c r="B325" s="1" t="str">
        <f>"CK202410311643"</f>
        <v>CK202410311643</v>
      </c>
      <c r="C325" s="1" t="str">
        <f>"DD2024103112783"</f>
        <v>DD2024103112783</v>
      </c>
      <c r="D325" s="1" t="str">
        <f>"CK2024103118930"</f>
        <v>CK2024103118930</v>
      </c>
      <c r="E325" s="1" t="str">
        <f>"3723673975403450368"</f>
        <v>3723673975403450368</v>
      </c>
      <c r="F325" s="1" t="str">
        <f t="shared" si="98"/>
        <v>花都四部-凤凰仓</v>
      </c>
      <c r="G325" s="1" t="str">
        <f t="shared" si="84"/>
        <v>卡卡杜企业店（视频号）</v>
      </c>
      <c r="H325" s="1" t="str">
        <f t="shared" si="99"/>
        <v>正常订单</v>
      </c>
      <c r="I325" s="1" t="str">
        <f t="shared" si="100"/>
        <v>已发货</v>
      </c>
      <c r="J325" s="1" t="str">
        <f t="shared" si="96"/>
        <v>2</v>
      </c>
      <c r="K325" s="1">
        <v>2</v>
      </c>
      <c r="L325" s="1" t="s">
        <v>109</v>
      </c>
      <c r="M325" s="1" t="str">
        <f>"山西省 晋中市 榆次区 "</f>
        <v xml:space="preserve">山西省 晋中市 榆次区 </v>
      </c>
      <c r="N325" s="1" t="str">
        <f t="shared" si="94"/>
        <v>凡华云仓-城南圆通-微信视频号</v>
      </c>
      <c r="O325" s="5" t="s">
        <v>363</v>
      </c>
      <c r="P325" s="6">
        <v>0.17</v>
      </c>
      <c r="Q325" s="11">
        <v>2</v>
      </c>
      <c r="R325" s="11"/>
      <c r="S325" s="11"/>
      <c r="T325" s="11"/>
      <c r="U325" s="11">
        <f t="shared" si="101"/>
        <v>2</v>
      </c>
      <c r="W325">
        <v>2.2000000000000002</v>
      </c>
      <c r="X325" s="1" t="s">
        <v>109</v>
      </c>
    </row>
    <row r="326" spans="1:24" x14ac:dyDescent="0.25">
      <c r="A326" s="1" t="str">
        <f t="shared" si="97"/>
        <v>卡卡杜-凤凰仓</v>
      </c>
      <c r="B326" s="1" t="str">
        <f>"CK20241031146"</f>
        <v>CK20241031146</v>
      </c>
      <c r="C326" s="1" t="str">
        <f>"DD2024103112337"</f>
        <v>DD2024103112337</v>
      </c>
      <c r="D326" s="1" t="str">
        <f>"CK2024103118929"</f>
        <v>CK2024103118929</v>
      </c>
      <c r="E326" s="1" t="str">
        <f>"3723673972734297344"</f>
        <v>3723673972734297344</v>
      </c>
      <c r="F326" s="1" t="str">
        <f t="shared" si="98"/>
        <v>花都四部-凤凰仓</v>
      </c>
      <c r="G326" s="1" t="str">
        <f t="shared" si="84"/>
        <v>卡卡杜企业店（视频号）</v>
      </c>
      <c r="H326" s="1" t="str">
        <f t="shared" si="99"/>
        <v>正常订单</v>
      </c>
      <c r="I326" s="1" t="str">
        <f t="shared" si="100"/>
        <v>已发货</v>
      </c>
      <c r="J326" s="1" t="str">
        <f t="shared" ref="J326:J330" si="102">"3"</f>
        <v>3</v>
      </c>
      <c r="K326" s="1">
        <v>2</v>
      </c>
      <c r="L326" s="1" t="s">
        <v>30</v>
      </c>
      <c r="M326" s="1" t="str">
        <f>"山东省 济南市 市中区 "</f>
        <v xml:space="preserve">山东省 济南市 市中区 </v>
      </c>
      <c r="N326" s="1" t="str">
        <f t="shared" si="94"/>
        <v>凡华云仓-城南圆通-微信视频号</v>
      </c>
      <c r="O326" s="5" t="s">
        <v>364</v>
      </c>
      <c r="P326" s="6">
        <v>0.25</v>
      </c>
      <c r="Q326" s="11">
        <v>2</v>
      </c>
      <c r="R326" s="11"/>
      <c r="S326" s="11"/>
      <c r="T326" s="11"/>
      <c r="U326" s="11">
        <f t="shared" si="101"/>
        <v>2</v>
      </c>
      <c r="W326">
        <v>2.2000000000000002</v>
      </c>
      <c r="X326" s="1" t="s">
        <v>30</v>
      </c>
    </row>
    <row r="327" spans="1:24" x14ac:dyDescent="0.25">
      <c r="A327" s="1" t="str">
        <f t="shared" si="97"/>
        <v>卡卡杜-凤凰仓</v>
      </c>
      <c r="B327" s="1" t="str">
        <f>"CK202410311644"</f>
        <v>CK202410311644</v>
      </c>
      <c r="C327" s="1" t="str">
        <f>"DD2024103112784"</f>
        <v>DD2024103112784</v>
      </c>
      <c r="D327" s="1" t="str">
        <f>"CK2024103118928"</f>
        <v>CK2024103118928</v>
      </c>
      <c r="E327" s="1" t="str">
        <f>"3723673971955731456"</f>
        <v>3723673971955731456</v>
      </c>
      <c r="F327" s="1" t="str">
        <f t="shared" si="98"/>
        <v>花都四部-凤凰仓</v>
      </c>
      <c r="G327" s="1" t="str">
        <f t="shared" si="84"/>
        <v>卡卡杜企业店（视频号）</v>
      </c>
      <c r="H327" s="1" t="str">
        <f t="shared" si="99"/>
        <v>正常订单</v>
      </c>
      <c r="I327" s="1" t="str">
        <f t="shared" si="100"/>
        <v>已发货</v>
      </c>
      <c r="J327" s="1" t="str">
        <f t="shared" ref="J327:J333" si="103">"2"</f>
        <v>2</v>
      </c>
      <c r="K327" s="1">
        <v>2</v>
      </c>
      <c r="L327" s="1" t="s">
        <v>161</v>
      </c>
      <c r="M327" s="1" t="str">
        <f>"四川省 成都市 双流区 "</f>
        <v xml:space="preserve">四川省 成都市 双流区 </v>
      </c>
      <c r="N327" s="1" t="str">
        <f t="shared" si="94"/>
        <v>凡华云仓-城南圆通-微信视频号</v>
      </c>
      <c r="O327" s="5" t="s">
        <v>365</v>
      </c>
      <c r="P327" s="6">
        <v>0.17</v>
      </c>
      <c r="Q327" s="11">
        <v>2</v>
      </c>
      <c r="R327" s="11"/>
      <c r="S327" s="11"/>
      <c r="T327" s="11"/>
      <c r="U327" s="11">
        <f t="shared" si="101"/>
        <v>2</v>
      </c>
      <c r="W327">
        <v>2.2000000000000002</v>
      </c>
      <c r="X327" s="1" t="s">
        <v>161</v>
      </c>
    </row>
    <row r="328" spans="1:24" x14ac:dyDescent="0.25">
      <c r="A328" s="1" t="str">
        <f t="shared" si="97"/>
        <v>卡卡杜-凤凰仓</v>
      </c>
      <c r="B328" s="1" t="str">
        <f>"CK202410311648"</f>
        <v>CK202410311648</v>
      </c>
      <c r="C328" s="1" t="str">
        <f>"DD2024103112788"</f>
        <v>DD2024103112788</v>
      </c>
      <c r="D328" s="1" t="str">
        <f>"CK2024103118927"</f>
        <v>CK2024103118927</v>
      </c>
      <c r="E328" s="1" t="str">
        <f>"3723673969820569600"</f>
        <v>3723673969820569600</v>
      </c>
      <c r="F328" s="1" t="str">
        <f t="shared" si="98"/>
        <v>花都四部-凤凰仓</v>
      </c>
      <c r="G328" s="1" t="str">
        <f t="shared" si="84"/>
        <v>卡卡杜企业店（视频号）</v>
      </c>
      <c r="H328" s="1" t="str">
        <f t="shared" si="99"/>
        <v>正常订单</v>
      </c>
      <c r="I328" s="1" t="str">
        <f t="shared" si="100"/>
        <v>已发货</v>
      </c>
      <c r="J328" s="1" t="str">
        <f t="shared" si="103"/>
        <v>2</v>
      </c>
      <c r="K328" s="1">
        <v>2</v>
      </c>
      <c r="L328" s="1" t="s">
        <v>187</v>
      </c>
      <c r="M328" s="1" t="str">
        <f>"吉林省 延边朝鲜族自治州 延吉市 "</f>
        <v xml:space="preserve">吉林省 延边朝鲜族自治州 延吉市 </v>
      </c>
      <c r="N328" s="1" t="str">
        <f t="shared" si="94"/>
        <v>凡华云仓-城南圆通-微信视频号</v>
      </c>
      <c r="O328" s="5" t="s">
        <v>366</v>
      </c>
      <c r="P328" s="6">
        <v>0.17</v>
      </c>
      <c r="Q328" s="11">
        <v>2</v>
      </c>
      <c r="R328" s="11"/>
      <c r="S328" s="11"/>
      <c r="T328" s="11"/>
      <c r="U328" s="11">
        <f t="shared" si="101"/>
        <v>2</v>
      </c>
      <c r="W328">
        <v>2.2000000000000002</v>
      </c>
      <c r="X328" s="1" t="s">
        <v>187</v>
      </c>
    </row>
    <row r="329" spans="1:24" x14ac:dyDescent="0.25">
      <c r="A329" s="1" t="str">
        <f t="shared" si="97"/>
        <v>卡卡杜-凤凰仓</v>
      </c>
      <c r="B329" s="1" t="str">
        <f>"CK20241031108"</f>
        <v>CK20241031108</v>
      </c>
      <c r="C329" s="1" t="str">
        <f>"DD2024103112243"</f>
        <v>DD2024103112243</v>
      </c>
      <c r="D329" s="1" t="str">
        <f>"CK2024103118926"</f>
        <v>CK2024103118926</v>
      </c>
      <c r="E329" s="1" t="str">
        <f>"3723673970286400512"</f>
        <v>3723673970286400512</v>
      </c>
      <c r="F329" s="1" t="str">
        <f t="shared" si="98"/>
        <v>花都四部-凤凰仓</v>
      </c>
      <c r="G329" s="1" t="str">
        <f t="shared" si="84"/>
        <v>卡卡杜企业店（视频号）</v>
      </c>
      <c r="H329" s="1" t="str">
        <f t="shared" si="99"/>
        <v>正常订单</v>
      </c>
      <c r="I329" s="1" t="str">
        <f t="shared" si="100"/>
        <v>已发货</v>
      </c>
      <c r="J329" s="1" t="str">
        <f t="shared" si="102"/>
        <v>3</v>
      </c>
      <c r="K329" s="1">
        <v>2</v>
      </c>
      <c r="L329" s="1" t="s">
        <v>74</v>
      </c>
      <c r="M329" s="1" t="str">
        <f>"上海 上海市 宝山区 "</f>
        <v xml:space="preserve">上海 上海市 宝山区 </v>
      </c>
      <c r="N329" s="1" t="str">
        <f t="shared" si="94"/>
        <v>凡华云仓-城南圆通-微信视频号</v>
      </c>
      <c r="O329" s="5" t="s">
        <v>367</v>
      </c>
      <c r="P329" s="6">
        <v>0.25</v>
      </c>
      <c r="Q329" s="11">
        <v>2</v>
      </c>
      <c r="R329" s="11"/>
      <c r="S329" s="11"/>
      <c r="T329" s="11"/>
      <c r="U329" s="11">
        <f t="shared" si="101"/>
        <v>2</v>
      </c>
      <c r="W329">
        <v>2.2000000000000002</v>
      </c>
      <c r="X329" s="1" t="s">
        <v>74</v>
      </c>
    </row>
    <row r="330" spans="1:24" x14ac:dyDescent="0.25">
      <c r="A330" s="1" t="str">
        <f t="shared" si="97"/>
        <v>卡卡杜-凤凰仓</v>
      </c>
      <c r="B330" s="1" t="str">
        <f>"CK20241031107"</f>
        <v>CK20241031107</v>
      </c>
      <c r="C330" s="1" t="str">
        <f>"DD2024103112237"</f>
        <v>DD2024103112237</v>
      </c>
      <c r="D330" s="1" t="str">
        <f>"CK2024103118925"</f>
        <v>CK2024103118925</v>
      </c>
      <c r="E330" s="1" t="str">
        <f>"3723673971492787200"</f>
        <v>3723673971492787200</v>
      </c>
      <c r="F330" s="1" t="str">
        <f t="shared" si="98"/>
        <v>花都四部-凤凰仓</v>
      </c>
      <c r="G330" s="1" t="str">
        <f t="shared" si="84"/>
        <v>卡卡杜企业店（视频号）</v>
      </c>
      <c r="H330" s="1" t="str">
        <f t="shared" si="99"/>
        <v>正常订单</v>
      </c>
      <c r="I330" s="1" t="str">
        <f t="shared" si="100"/>
        <v>已发货</v>
      </c>
      <c r="J330" s="1" t="str">
        <f t="shared" si="102"/>
        <v>3</v>
      </c>
      <c r="K330" s="1">
        <v>2</v>
      </c>
      <c r="L330" s="1" t="s">
        <v>20</v>
      </c>
      <c r="M330" s="1" t="str">
        <f>"浙江省 嘉兴市 平湖市 "</f>
        <v xml:space="preserve">浙江省 嘉兴市 平湖市 </v>
      </c>
      <c r="N330" s="1" t="str">
        <f t="shared" si="94"/>
        <v>凡华云仓-城南圆通-微信视频号</v>
      </c>
      <c r="O330" s="5" t="s">
        <v>368</v>
      </c>
      <c r="P330" s="6">
        <v>0.25</v>
      </c>
      <c r="Q330" s="11">
        <v>2</v>
      </c>
      <c r="R330" s="11"/>
      <c r="S330" s="11"/>
      <c r="T330" s="11"/>
      <c r="U330" s="11">
        <f t="shared" si="101"/>
        <v>2</v>
      </c>
      <c r="W330">
        <v>2.2000000000000002</v>
      </c>
      <c r="X330" s="1" t="s">
        <v>20</v>
      </c>
    </row>
    <row r="331" spans="1:24" x14ac:dyDescent="0.25">
      <c r="A331" s="1" t="str">
        <f t="shared" si="97"/>
        <v>卡卡杜-凤凰仓</v>
      </c>
      <c r="B331" s="1" t="str">
        <f>"CK202410311647"</f>
        <v>CK202410311647</v>
      </c>
      <c r="C331" s="1" t="str">
        <f>"DD2024103112787"</f>
        <v>DD2024103112787</v>
      </c>
      <c r="D331" s="1" t="str">
        <f>"CK2024103118924"</f>
        <v>CK2024103118924</v>
      </c>
      <c r="E331" s="1" t="str">
        <f>"3723673967793407489"</f>
        <v>3723673967793407489</v>
      </c>
      <c r="F331" s="1" t="str">
        <f t="shared" si="98"/>
        <v>花都四部-凤凰仓</v>
      </c>
      <c r="G331" s="1" t="str">
        <f t="shared" ref="G331:G394" si="104">"卡卡杜企业店（视频号）"</f>
        <v>卡卡杜企业店（视频号）</v>
      </c>
      <c r="H331" s="1" t="str">
        <f t="shared" si="99"/>
        <v>正常订单</v>
      </c>
      <c r="I331" s="1" t="str">
        <f t="shared" si="100"/>
        <v>已发货</v>
      </c>
      <c r="J331" s="1" t="str">
        <f t="shared" si="103"/>
        <v>2</v>
      </c>
      <c r="K331" s="1">
        <v>2</v>
      </c>
      <c r="L331" s="1" t="s">
        <v>161</v>
      </c>
      <c r="M331" s="1" t="str">
        <f>"四川省 成都市 都江堰市 "</f>
        <v xml:space="preserve">四川省 成都市 都江堰市 </v>
      </c>
      <c r="N331" s="1" t="str">
        <f t="shared" si="94"/>
        <v>凡华云仓-城南圆通-微信视频号</v>
      </c>
      <c r="O331" s="5" t="s">
        <v>369</v>
      </c>
      <c r="P331" s="6">
        <v>0.17</v>
      </c>
      <c r="Q331" s="11">
        <v>2</v>
      </c>
      <c r="R331" s="11"/>
      <c r="S331" s="11"/>
      <c r="T331" s="11"/>
      <c r="U331" s="11">
        <f t="shared" si="101"/>
        <v>2</v>
      </c>
      <c r="W331">
        <v>2.2000000000000002</v>
      </c>
      <c r="X331" s="1" t="s">
        <v>161</v>
      </c>
    </row>
    <row r="332" spans="1:24" x14ac:dyDescent="0.25">
      <c r="A332" s="1" t="str">
        <f t="shared" si="97"/>
        <v>卡卡杜-凤凰仓</v>
      </c>
      <c r="B332" s="1" t="str">
        <f>"CK202410311646"</f>
        <v>CK202410311646</v>
      </c>
      <c r="C332" s="1" t="str">
        <f>"DD2024103112785"</f>
        <v>DD2024103112785</v>
      </c>
      <c r="D332" s="1" t="str">
        <f>"CK2024103118923"</f>
        <v>CK2024103118923</v>
      </c>
      <c r="E332" s="1" t="str">
        <f>"3723673969790158080"</f>
        <v>3723673969790158080</v>
      </c>
      <c r="F332" s="1" t="str">
        <f t="shared" si="98"/>
        <v>花都四部-凤凰仓</v>
      </c>
      <c r="G332" s="1" t="str">
        <f t="shared" si="104"/>
        <v>卡卡杜企业店（视频号）</v>
      </c>
      <c r="H332" s="1" t="str">
        <f t="shared" si="99"/>
        <v>正常订单</v>
      </c>
      <c r="I332" s="1" t="str">
        <f t="shared" si="100"/>
        <v>已发货</v>
      </c>
      <c r="J332" s="1" t="str">
        <f t="shared" si="103"/>
        <v>2</v>
      </c>
      <c r="K332" s="1">
        <v>2</v>
      </c>
      <c r="L332" s="1" t="s">
        <v>105</v>
      </c>
      <c r="M332" s="1" t="str">
        <f>"北京 北京市 丰台区 "</f>
        <v xml:space="preserve">北京 北京市 丰台区 </v>
      </c>
      <c r="N332" s="1" t="str">
        <f t="shared" si="94"/>
        <v>凡华云仓-城南圆通-微信视频号</v>
      </c>
      <c r="O332" s="5" t="s">
        <v>370</v>
      </c>
      <c r="P332" s="6">
        <v>0.17</v>
      </c>
      <c r="Q332" s="11">
        <v>2</v>
      </c>
      <c r="R332" s="11"/>
      <c r="S332" s="11"/>
      <c r="T332" s="11"/>
      <c r="U332" s="11">
        <f t="shared" si="101"/>
        <v>2</v>
      </c>
      <c r="W332">
        <v>2.2000000000000002</v>
      </c>
      <c r="X332" s="1" t="s">
        <v>105</v>
      </c>
    </row>
    <row r="333" spans="1:24" x14ac:dyDescent="0.25">
      <c r="A333" s="1" t="str">
        <f t="shared" si="97"/>
        <v>卡卡杜-凤凰仓</v>
      </c>
      <c r="B333" s="1" t="str">
        <f>"CK202410311649"</f>
        <v>CK202410311649</v>
      </c>
      <c r="C333" s="1" t="str">
        <f>"DD2024103112789"</f>
        <v>DD2024103112789</v>
      </c>
      <c r="D333" s="1" t="str">
        <f>"CK2024103118922"</f>
        <v>CK2024103118922</v>
      </c>
      <c r="E333" s="1" t="str">
        <f>"3723673968175089152"</f>
        <v>3723673968175089152</v>
      </c>
      <c r="F333" s="1" t="str">
        <f t="shared" si="98"/>
        <v>花都四部-凤凰仓</v>
      </c>
      <c r="G333" s="1" t="str">
        <f t="shared" si="104"/>
        <v>卡卡杜企业店（视频号）</v>
      </c>
      <c r="H333" s="1" t="str">
        <f t="shared" si="99"/>
        <v>正常订单</v>
      </c>
      <c r="I333" s="1" t="str">
        <f t="shared" si="100"/>
        <v>已发货</v>
      </c>
      <c r="J333" s="1" t="str">
        <f t="shared" si="103"/>
        <v>2</v>
      </c>
      <c r="K333" s="1">
        <v>2</v>
      </c>
      <c r="L333" s="1" t="s">
        <v>41</v>
      </c>
      <c r="M333" s="1" t="str">
        <f>"湖北省 武汉市 汉阳区 "</f>
        <v xml:space="preserve">湖北省 武汉市 汉阳区 </v>
      </c>
      <c r="N333" s="1" t="str">
        <f t="shared" si="94"/>
        <v>凡华云仓-城南圆通-微信视频号</v>
      </c>
      <c r="O333" s="5" t="s">
        <v>371</v>
      </c>
      <c r="P333" s="6">
        <v>0.17</v>
      </c>
      <c r="Q333" s="11">
        <v>2</v>
      </c>
      <c r="R333" s="11"/>
      <c r="S333" s="11"/>
      <c r="T333" s="11"/>
      <c r="U333" s="11">
        <f t="shared" si="101"/>
        <v>2</v>
      </c>
      <c r="W333">
        <v>2.2000000000000002</v>
      </c>
      <c r="X333" s="1" t="s">
        <v>41</v>
      </c>
    </row>
    <row r="334" spans="1:24" x14ac:dyDescent="0.25">
      <c r="A334" s="1" t="str">
        <f t="shared" si="97"/>
        <v>卡卡杜-凤凰仓</v>
      </c>
      <c r="B334" s="1" t="str">
        <f>"CK20241031142"</f>
        <v>CK20241031142</v>
      </c>
      <c r="C334" s="1" t="str">
        <f>"DD2024103112332"</f>
        <v>DD2024103112332</v>
      </c>
      <c r="D334" s="1" t="str">
        <f>"CK2024103118921"</f>
        <v>CK2024103118921</v>
      </c>
      <c r="E334" s="1" t="str">
        <f>"3723673965916722177"</f>
        <v>3723673965916722177</v>
      </c>
      <c r="F334" s="1" t="str">
        <f t="shared" si="98"/>
        <v>花都四部-凤凰仓</v>
      </c>
      <c r="G334" s="1" t="str">
        <f t="shared" si="104"/>
        <v>卡卡杜企业店（视频号）</v>
      </c>
      <c r="H334" s="1" t="str">
        <f t="shared" si="99"/>
        <v>正常订单</v>
      </c>
      <c r="I334" s="1" t="str">
        <f t="shared" si="100"/>
        <v>已发货</v>
      </c>
      <c r="J334" s="1" t="str">
        <f>"3"</f>
        <v>3</v>
      </c>
      <c r="K334" s="1">
        <v>2</v>
      </c>
      <c r="L334" s="1" t="s">
        <v>105</v>
      </c>
      <c r="M334" s="1" t="str">
        <f>"北京 北京市 房山区 "</f>
        <v xml:space="preserve">北京 北京市 房山区 </v>
      </c>
      <c r="N334" s="1" t="str">
        <f t="shared" si="94"/>
        <v>凡华云仓-城南圆通-微信视频号</v>
      </c>
      <c r="O334" s="5" t="s">
        <v>372</v>
      </c>
      <c r="P334" s="6">
        <v>0.25</v>
      </c>
      <c r="Q334" s="11">
        <v>2</v>
      </c>
      <c r="R334" s="11"/>
      <c r="S334" s="11"/>
      <c r="T334" s="11"/>
      <c r="U334" s="11">
        <f t="shared" si="101"/>
        <v>2</v>
      </c>
      <c r="W334">
        <v>2.2000000000000002</v>
      </c>
      <c r="X334" s="1" t="s">
        <v>105</v>
      </c>
    </row>
    <row r="335" spans="1:24" x14ac:dyDescent="0.25">
      <c r="A335" s="1" t="str">
        <f t="shared" si="97"/>
        <v>卡卡杜-凤凰仓</v>
      </c>
      <c r="B335" s="1" t="str">
        <f>"CK202410311653"</f>
        <v>CK202410311653</v>
      </c>
      <c r="C335" s="1" t="str">
        <f>"DD2024103112793"</f>
        <v>DD2024103112793</v>
      </c>
      <c r="D335" s="1" t="str">
        <f>"CK2024103118920"</f>
        <v>CK2024103118920</v>
      </c>
      <c r="E335" s="1" t="str">
        <f>"3723673966776552448"</f>
        <v>3723673966776552448</v>
      </c>
      <c r="F335" s="1" t="str">
        <f t="shared" si="98"/>
        <v>花都四部-凤凰仓</v>
      </c>
      <c r="G335" s="1" t="str">
        <f t="shared" si="104"/>
        <v>卡卡杜企业店（视频号）</v>
      </c>
      <c r="H335" s="1" t="str">
        <f t="shared" si="99"/>
        <v>正常订单</v>
      </c>
      <c r="I335" s="1" t="str">
        <f t="shared" si="100"/>
        <v>已发货</v>
      </c>
      <c r="J335" s="1" t="str">
        <f t="shared" ref="J335:J337" si="105">"2"</f>
        <v>2</v>
      </c>
      <c r="K335" s="1">
        <v>2</v>
      </c>
      <c r="L335" s="1" t="s">
        <v>92</v>
      </c>
      <c r="M335" s="1" t="str">
        <f>"辽宁省 沈阳市 于洪区 "</f>
        <v xml:space="preserve">辽宁省 沈阳市 于洪区 </v>
      </c>
      <c r="N335" s="1" t="str">
        <f t="shared" si="94"/>
        <v>凡华云仓-城南圆通-微信视频号</v>
      </c>
      <c r="O335" s="5" t="s">
        <v>373</v>
      </c>
      <c r="P335" s="6">
        <v>0.17</v>
      </c>
      <c r="Q335" s="11">
        <v>2</v>
      </c>
      <c r="R335" s="11"/>
      <c r="S335" s="11"/>
      <c r="T335" s="11"/>
      <c r="U335" s="11">
        <f t="shared" si="101"/>
        <v>2</v>
      </c>
      <c r="W335">
        <v>2.2000000000000002</v>
      </c>
      <c r="X335" s="1" t="s">
        <v>92</v>
      </c>
    </row>
    <row r="336" spans="1:24" x14ac:dyDescent="0.25">
      <c r="A336" s="1" t="str">
        <f t="shared" si="97"/>
        <v>卡卡杜-凤凰仓</v>
      </c>
      <c r="B336" s="1" t="str">
        <f>"CK202410311654"</f>
        <v>CK202410311654</v>
      </c>
      <c r="C336" s="1" t="str">
        <f>"DD2024103112794"</f>
        <v>DD2024103112794</v>
      </c>
      <c r="D336" s="1" t="str">
        <f>"CK2024103118919"</f>
        <v>CK2024103118919</v>
      </c>
      <c r="E336" s="1" t="str">
        <f>"3723673965251397120"</f>
        <v>3723673965251397120</v>
      </c>
      <c r="F336" s="1" t="str">
        <f t="shared" si="98"/>
        <v>花都四部-凤凰仓</v>
      </c>
      <c r="G336" s="1" t="str">
        <f t="shared" si="104"/>
        <v>卡卡杜企业店（视频号）</v>
      </c>
      <c r="H336" s="1" t="str">
        <f t="shared" si="99"/>
        <v>正常订单</v>
      </c>
      <c r="I336" s="1" t="str">
        <f t="shared" si="100"/>
        <v>已发货</v>
      </c>
      <c r="J336" s="1" t="str">
        <f t="shared" si="105"/>
        <v>2</v>
      </c>
      <c r="K336" s="1">
        <v>2</v>
      </c>
      <c r="L336" s="1" t="s">
        <v>105</v>
      </c>
      <c r="M336" s="1" t="str">
        <f>"北京 北京市 平谷区 "</f>
        <v xml:space="preserve">北京 北京市 平谷区 </v>
      </c>
      <c r="N336" s="1" t="str">
        <f t="shared" si="94"/>
        <v>凡华云仓-城南圆通-微信视频号</v>
      </c>
      <c r="O336" s="5" t="s">
        <v>374</v>
      </c>
      <c r="P336" s="6">
        <v>0.17</v>
      </c>
      <c r="Q336" s="11">
        <v>2</v>
      </c>
      <c r="R336" s="11"/>
      <c r="S336" s="11"/>
      <c r="T336" s="11"/>
      <c r="U336" s="11">
        <f t="shared" si="101"/>
        <v>2</v>
      </c>
      <c r="W336">
        <v>2.2000000000000002</v>
      </c>
      <c r="X336" s="1" t="s">
        <v>105</v>
      </c>
    </row>
    <row r="337" spans="1:24" x14ac:dyDescent="0.25">
      <c r="A337" s="1" t="str">
        <f t="shared" si="97"/>
        <v>卡卡杜-凤凰仓</v>
      </c>
      <c r="B337" s="1" t="str">
        <f>"CK202410311650"</f>
        <v>CK202410311650</v>
      </c>
      <c r="C337" s="1" t="str">
        <f>"DD2024103112790"</f>
        <v>DD2024103112790</v>
      </c>
      <c r="D337" s="1" t="str">
        <f>"CK2024103118918"</f>
        <v>CK2024103118918</v>
      </c>
      <c r="E337" s="1" t="str">
        <f>"3723673966838941184"</f>
        <v>3723673966838941184</v>
      </c>
      <c r="F337" s="1" t="str">
        <f t="shared" si="98"/>
        <v>花都四部-凤凰仓</v>
      </c>
      <c r="G337" s="1" t="str">
        <f t="shared" si="104"/>
        <v>卡卡杜企业店（视频号）</v>
      </c>
      <c r="H337" s="1" t="str">
        <f t="shared" si="99"/>
        <v>正常订单</v>
      </c>
      <c r="I337" s="1" t="str">
        <f t="shared" si="100"/>
        <v>已发货</v>
      </c>
      <c r="J337" s="1" t="str">
        <f t="shared" si="105"/>
        <v>2</v>
      </c>
      <c r="K337" s="1">
        <v>2</v>
      </c>
      <c r="L337" s="1" t="s">
        <v>105</v>
      </c>
      <c r="M337" s="1" t="str">
        <f>"北京 北京市 朝阳区 "</f>
        <v xml:space="preserve">北京 北京市 朝阳区 </v>
      </c>
      <c r="N337" s="1" t="str">
        <f t="shared" si="94"/>
        <v>凡华云仓-城南圆通-微信视频号</v>
      </c>
      <c r="O337" s="5" t="s">
        <v>375</v>
      </c>
      <c r="P337" s="6">
        <v>0.17</v>
      </c>
      <c r="Q337" s="11">
        <v>2</v>
      </c>
      <c r="R337" s="11"/>
      <c r="S337" s="11"/>
      <c r="T337" s="11"/>
      <c r="U337" s="11">
        <f t="shared" si="101"/>
        <v>2</v>
      </c>
      <c r="W337">
        <v>2.2000000000000002</v>
      </c>
      <c r="X337" s="1" t="s">
        <v>105</v>
      </c>
    </row>
    <row r="338" spans="1:24" x14ac:dyDescent="0.25">
      <c r="A338" s="1" t="str">
        <f t="shared" si="97"/>
        <v>卡卡杜-凤凰仓</v>
      </c>
      <c r="B338" s="1" t="str">
        <f>"CK20241031186"</f>
        <v>CK20241031186</v>
      </c>
      <c r="C338" s="1" t="str">
        <f>"DD2024103112406"</f>
        <v>DD2024103112406</v>
      </c>
      <c r="D338" s="1" t="str">
        <f>"CK2024103118917"</f>
        <v>CK2024103118917</v>
      </c>
      <c r="E338" s="1" t="str">
        <f>"3723673968101426689"</f>
        <v>3723673968101426689</v>
      </c>
      <c r="F338" s="1" t="str">
        <f t="shared" si="98"/>
        <v>花都四部-凤凰仓</v>
      </c>
      <c r="G338" s="1" t="str">
        <f t="shared" si="104"/>
        <v>卡卡杜企业店（视频号）</v>
      </c>
      <c r="H338" s="1" t="str">
        <f t="shared" si="99"/>
        <v>正常订单</v>
      </c>
      <c r="I338" s="1" t="str">
        <f t="shared" si="100"/>
        <v>已发货</v>
      </c>
      <c r="J338" s="1" t="str">
        <f t="shared" ref="J338:J343" si="106">"3"</f>
        <v>3</v>
      </c>
      <c r="K338" s="1">
        <v>2</v>
      </c>
      <c r="L338" s="1" t="s">
        <v>218</v>
      </c>
      <c r="M338" s="1" t="str">
        <f>"天津 天津市 河东区 "</f>
        <v xml:space="preserve">天津 天津市 河东区 </v>
      </c>
      <c r="N338" s="1" t="str">
        <f t="shared" si="94"/>
        <v>凡华云仓-城南圆通-微信视频号</v>
      </c>
      <c r="O338" s="5" t="s">
        <v>376</v>
      </c>
      <c r="P338" s="6">
        <v>0.25</v>
      </c>
      <c r="Q338" s="11">
        <v>2</v>
      </c>
      <c r="R338" s="11"/>
      <c r="S338" s="11"/>
      <c r="T338" s="11"/>
      <c r="U338" s="11">
        <f t="shared" si="101"/>
        <v>2</v>
      </c>
      <c r="W338">
        <v>2.2000000000000002</v>
      </c>
      <c r="X338" s="1" t="s">
        <v>218</v>
      </c>
    </row>
    <row r="339" spans="1:24" x14ac:dyDescent="0.25">
      <c r="A339" s="1" t="str">
        <f t="shared" si="97"/>
        <v>卡卡杜-凤凰仓</v>
      </c>
      <c r="B339" s="1" t="str">
        <f>"CK202410311652"</f>
        <v>CK202410311652</v>
      </c>
      <c r="C339" s="1" t="str">
        <f>"DD2024103112791"</f>
        <v>DD2024103112791</v>
      </c>
      <c r="D339" s="1" t="str">
        <f>"CK2024103118916"</f>
        <v>CK2024103118916</v>
      </c>
      <c r="E339" s="1" t="str">
        <f>"3723673965998769664"</f>
        <v>3723673965998769664</v>
      </c>
      <c r="F339" s="1" t="str">
        <f t="shared" si="98"/>
        <v>花都四部-凤凰仓</v>
      </c>
      <c r="G339" s="1" t="str">
        <f t="shared" si="104"/>
        <v>卡卡杜企业店（视频号）</v>
      </c>
      <c r="H339" s="1" t="str">
        <f t="shared" si="99"/>
        <v>正常订单</v>
      </c>
      <c r="I339" s="1" t="str">
        <f t="shared" si="100"/>
        <v>已发货</v>
      </c>
      <c r="J339" s="1" t="str">
        <f t="shared" ref="J339:J346" si="107">"2"</f>
        <v>2</v>
      </c>
      <c r="K339" s="1">
        <v>2</v>
      </c>
      <c r="L339" s="1" t="s">
        <v>13</v>
      </c>
      <c r="M339" s="1" t="str">
        <f>"江苏省 常州市 新北区 "</f>
        <v xml:space="preserve">江苏省 常州市 新北区 </v>
      </c>
      <c r="N339" s="1" t="str">
        <f t="shared" si="94"/>
        <v>凡华云仓-城南圆通-微信视频号</v>
      </c>
      <c r="O339" s="5" t="s">
        <v>377</v>
      </c>
      <c r="P339" s="6">
        <v>0.17</v>
      </c>
      <c r="Q339" s="11">
        <v>2</v>
      </c>
      <c r="R339" s="11"/>
      <c r="S339" s="11"/>
      <c r="T339" s="11"/>
      <c r="U339" s="11">
        <f t="shared" si="101"/>
        <v>2</v>
      </c>
      <c r="W339">
        <v>2.2000000000000002</v>
      </c>
      <c r="X339" s="1" t="s">
        <v>13</v>
      </c>
    </row>
    <row r="340" spans="1:24" x14ac:dyDescent="0.25">
      <c r="A340" s="1" t="str">
        <f t="shared" si="97"/>
        <v>卡卡杜-凤凰仓</v>
      </c>
      <c r="B340" s="1" t="str">
        <f>"CK20241031187"</f>
        <v>CK20241031187</v>
      </c>
      <c r="C340" s="1" t="str">
        <f>"DD2024103112407"</f>
        <v>DD2024103112407</v>
      </c>
      <c r="D340" s="1" t="str">
        <f>"CK2024103118915"</f>
        <v>CK2024103118915</v>
      </c>
      <c r="E340" s="1" t="str">
        <f>"3723673959489735680"</f>
        <v>3723673959489735680</v>
      </c>
      <c r="F340" s="1" t="str">
        <f t="shared" si="98"/>
        <v>花都四部-凤凰仓</v>
      </c>
      <c r="G340" s="1" t="str">
        <f t="shared" si="104"/>
        <v>卡卡杜企业店（视频号）</v>
      </c>
      <c r="H340" s="1" t="str">
        <f t="shared" si="99"/>
        <v>正常订单</v>
      </c>
      <c r="I340" s="1" t="str">
        <f t="shared" si="100"/>
        <v>已发货</v>
      </c>
      <c r="J340" s="1" t="str">
        <f t="shared" si="106"/>
        <v>3</v>
      </c>
      <c r="K340" s="1">
        <v>2</v>
      </c>
      <c r="L340" s="1" t="s">
        <v>41</v>
      </c>
      <c r="M340" s="1" t="str">
        <f>"湖北省 武汉市 蔡甸区 "</f>
        <v xml:space="preserve">湖北省 武汉市 蔡甸区 </v>
      </c>
      <c r="N340" s="1" t="str">
        <f t="shared" si="94"/>
        <v>凡华云仓-城南圆通-微信视频号</v>
      </c>
      <c r="O340" s="5" t="s">
        <v>378</v>
      </c>
      <c r="P340" s="6">
        <v>0.25</v>
      </c>
      <c r="Q340" s="11">
        <v>2</v>
      </c>
      <c r="R340" s="11"/>
      <c r="S340" s="11"/>
      <c r="T340" s="11"/>
      <c r="U340" s="11">
        <f t="shared" si="101"/>
        <v>2</v>
      </c>
      <c r="W340">
        <v>2.2000000000000002</v>
      </c>
      <c r="X340" s="1" t="s">
        <v>41</v>
      </c>
    </row>
    <row r="341" spans="1:24" x14ac:dyDescent="0.25">
      <c r="A341" s="1" t="str">
        <f t="shared" si="97"/>
        <v>卡卡杜-凤凰仓</v>
      </c>
      <c r="B341" s="1" t="str">
        <f>"CK202410311651"</f>
        <v>CK202410311651</v>
      </c>
      <c r="C341" s="1" t="str">
        <f>"DD2024103112792"</f>
        <v>DD2024103112792</v>
      </c>
      <c r="D341" s="1" t="str">
        <f>"CK2024103118914"</f>
        <v>CK2024103118914</v>
      </c>
      <c r="E341" s="1" t="str">
        <f>"3723673968330279936"</f>
        <v>3723673968330279936</v>
      </c>
      <c r="F341" s="1" t="str">
        <f t="shared" si="98"/>
        <v>花都四部-凤凰仓</v>
      </c>
      <c r="G341" s="1" t="str">
        <f t="shared" si="104"/>
        <v>卡卡杜企业店（视频号）</v>
      </c>
      <c r="H341" s="1" t="str">
        <f t="shared" si="99"/>
        <v>正常订单</v>
      </c>
      <c r="I341" s="1" t="str">
        <f t="shared" si="100"/>
        <v>已发货</v>
      </c>
      <c r="J341" s="1" t="str">
        <f t="shared" si="107"/>
        <v>2</v>
      </c>
      <c r="K341" s="1">
        <v>2</v>
      </c>
      <c r="L341" s="1" t="s">
        <v>105</v>
      </c>
      <c r="M341" s="1" t="str">
        <f>"北京 北京市 海淀区 "</f>
        <v xml:space="preserve">北京 北京市 海淀区 </v>
      </c>
      <c r="N341" s="1" t="str">
        <f t="shared" si="94"/>
        <v>凡华云仓-城南圆通-微信视频号</v>
      </c>
      <c r="O341" s="5" t="s">
        <v>379</v>
      </c>
      <c r="P341" s="6">
        <v>0.17</v>
      </c>
      <c r="Q341" s="11">
        <v>2</v>
      </c>
      <c r="R341" s="11"/>
      <c r="S341" s="11"/>
      <c r="T341" s="11"/>
      <c r="U341" s="11">
        <f t="shared" si="101"/>
        <v>2</v>
      </c>
      <c r="W341">
        <v>2.2000000000000002</v>
      </c>
      <c r="X341" s="1" t="s">
        <v>105</v>
      </c>
    </row>
    <row r="342" spans="1:24" x14ac:dyDescent="0.25">
      <c r="A342" s="1" t="str">
        <f t="shared" si="97"/>
        <v>卡卡杜-凤凰仓</v>
      </c>
      <c r="B342" s="1" t="str">
        <f>"CK20241031147"</f>
        <v>CK20241031147</v>
      </c>
      <c r="C342" s="1" t="str">
        <f>"DD2024103112339"</f>
        <v>DD2024103112339</v>
      </c>
      <c r="D342" s="1" t="str">
        <f>"CK2024103118913"</f>
        <v>CK2024103118913</v>
      </c>
      <c r="E342" s="1" t="str">
        <f>"3723673964669703168"</f>
        <v>3723673964669703168</v>
      </c>
      <c r="F342" s="1" t="str">
        <f t="shared" si="98"/>
        <v>花都四部-凤凰仓</v>
      </c>
      <c r="G342" s="1" t="str">
        <f t="shared" si="104"/>
        <v>卡卡杜企业店（视频号）</v>
      </c>
      <c r="H342" s="1" t="str">
        <f t="shared" si="99"/>
        <v>正常订单</v>
      </c>
      <c r="I342" s="1" t="str">
        <f t="shared" si="100"/>
        <v>已发货</v>
      </c>
      <c r="J342" s="1" t="str">
        <f t="shared" si="106"/>
        <v>3</v>
      </c>
      <c r="K342" s="1">
        <v>2</v>
      </c>
      <c r="L342" s="1" t="s">
        <v>32</v>
      </c>
      <c r="M342" s="1" t="str">
        <f>"陕西省 西安市 雁塔区 "</f>
        <v xml:space="preserve">陕西省 西安市 雁塔区 </v>
      </c>
      <c r="N342" s="1" t="str">
        <f t="shared" si="94"/>
        <v>凡华云仓-城南圆通-微信视频号</v>
      </c>
      <c r="O342" s="5" t="s">
        <v>380</v>
      </c>
      <c r="P342" s="6">
        <v>0.25</v>
      </c>
      <c r="Q342" s="11">
        <v>2</v>
      </c>
      <c r="R342" s="11"/>
      <c r="S342" s="11"/>
      <c r="T342" s="11"/>
      <c r="U342" s="11">
        <f t="shared" si="101"/>
        <v>2</v>
      </c>
      <c r="W342">
        <v>2.2000000000000002</v>
      </c>
      <c r="X342" s="1" t="s">
        <v>32</v>
      </c>
    </row>
    <row r="343" spans="1:24" x14ac:dyDescent="0.25">
      <c r="A343" s="1" t="str">
        <f t="shared" si="97"/>
        <v>卡卡杜-凤凰仓</v>
      </c>
      <c r="B343" s="1" t="str">
        <f>"CK20241031158"</f>
        <v>CK20241031158</v>
      </c>
      <c r="C343" s="1" t="str">
        <f>"DD2024103112365"</f>
        <v>DD2024103112365</v>
      </c>
      <c r="D343" s="1" t="str">
        <f>"CK2024103118912"</f>
        <v>CK2024103118912</v>
      </c>
      <c r="E343" s="1" t="str">
        <f>"3723673963866229760"</f>
        <v>3723673963866229760</v>
      </c>
      <c r="F343" s="1" t="str">
        <f t="shared" si="98"/>
        <v>花都四部-凤凰仓</v>
      </c>
      <c r="G343" s="1" t="str">
        <f t="shared" si="104"/>
        <v>卡卡杜企业店（视频号）</v>
      </c>
      <c r="H343" s="1" t="str">
        <f t="shared" si="99"/>
        <v>正常订单</v>
      </c>
      <c r="I343" s="1" t="str">
        <f t="shared" si="100"/>
        <v>已发货</v>
      </c>
      <c r="J343" s="1" t="str">
        <f t="shared" si="106"/>
        <v>3</v>
      </c>
      <c r="K343" s="1">
        <v>2</v>
      </c>
      <c r="L343" s="1" t="s">
        <v>105</v>
      </c>
      <c r="M343" s="1" t="str">
        <f>"北京 北京市 通州区 "</f>
        <v xml:space="preserve">北京 北京市 通州区 </v>
      </c>
      <c r="N343" s="1" t="str">
        <f t="shared" si="94"/>
        <v>凡华云仓-城南圆通-微信视频号</v>
      </c>
      <c r="O343" s="5" t="s">
        <v>381</v>
      </c>
      <c r="P343" s="6">
        <v>0.25</v>
      </c>
      <c r="Q343" s="11">
        <v>2</v>
      </c>
      <c r="R343" s="11"/>
      <c r="S343" s="11"/>
      <c r="T343" s="11"/>
      <c r="U343" s="11">
        <f t="shared" si="101"/>
        <v>2</v>
      </c>
      <c r="W343">
        <v>2.2000000000000002</v>
      </c>
      <c r="X343" s="1" t="s">
        <v>105</v>
      </c>
    </row>
    <row r="344" spans="1:24" x14ac:dyDescent="0.25">
      <c r="A344" s="1" t="str">
        <f t="shared" si="97"/>
        <v>卡卡杜-凤凰仓</v>
      </c>
      <c r="B344" s="1" t="str">
        <f>"CK202410311655"</f>
        <v>CK202410311655</v>
      </c>
      <c r="C344" s="1" t="str">
        <f>"DD2024103112795"</f>
        <v>DD2024103112795</v>
      </c>
      <c r="D344" s="1" t="str">
        <f>"CK2024103118911"</f>
        <v>CK2024103118911</v>
      </c>
      <c r="E344" s="1" t="str">
        <f>"3723673967033976320"</f>
        <v>3723673967033976320</v>
      </c>
      <c r="F344" s="1" t="str">
        <f t="shared" si="98"/>
        <v>花都四部-凤凰仓</v>
      </c>
      <c r="G344" s="1" t="str">
        <f t="shared" si="104"/>
        <v>卡卡杜企业店（视频号）</v>
      </c>
      <c r="H344" s="1" t="str">
        <f t="shared" si="99"/>
        <v>正常订单</v>
      </c>
      <c r="I344" s="1" t="str">
        <f t="shared" si="100"/>
        <v>已发货</v>
      </c>
      <c r="J344" s="1" t="str">
        <f t="shared" si="107"/>
        <v>2</v>
      </c>
      <c r="K344" s="1">
        <v>2</v>
      </c>
      <c r="L344" s="1" t="s">
        <v>47</v>
      </c>
      <c r="M344" s="1" t="str">
        <f>"重庆 重庆市 荣昌区 "</f>
        <v xml:space="preserve">重庆 重庆市 荣昌区 </v>
      </c>
      <c r="N344" s="1" t="str">
        <f t="shared" si="94"/>
        <v>凡华云仓-城南圆通-微信视频号</v>
      </c>
      <c r="O344" s="5" t="s">
        <v>382</v>
      </c>
      <c r="P344" s="6">
        <v>0.17</v>
      </c>
      <c r="Q344" s="11">
        <v>2</v>
      </c>
      <c r="R344" s="11"/>
      <c r="S344" s="11"/>
      <c r="T344" s="11"/>
      <c r="U344" s="11">
        <f t="shared" si="101"/>
        <v>2</v>
      </c>
      <c r="W344">
        <v>2.2000000000000002</v>
      </c>
      <c r="X344" s="1" t="s">
        <v>47</v>
      </c>
    </row>
    <row r="345" spans="1:24" x14ac:dyDescent="0.25">
      <c r="A345" s="1" t="str">
        <f t="shared" si="97"/>
        <v>卡卡杜-凤凰仓</v>
      </c>
      <c r="B345" s="1" t="str">
        <f>"CK202410311658"</f>
        <v>CK202410311658</v>
      </c>
      <c r="C345" s="1" t="str">
        <f>"DD2024103112798"</f>
        <v>DD2024103112798</v>
      </c>
      <c r="D345" s="1" t="str">
        <f>"CK2024103118910"</f>
        <v>CK2024103118910</v>
      </c>
      <c r="E345" s="1" t="str">
        <f>"3723673964162713088"</f>
        <v>3723673964162713088</v>
      </c>
      <c r="F345" s="1" t="str">
        <f t="shared" si="98"/>
        <v>花都四部-凤凰仓</v>
      </c>
      <c r="G345" s="1" t="str">
        <f t="shared" si="104"/>
        <v>卡卡杜企业店（视频号）</v>
      </c>
      <c r="H345" s="1" t="str">
        <f t="shared" si="99"/>
        <v>正常订单</v>
      </c>
      <c r="I345" s="1" t="str">
        <f t="shared" si="100"/>
        <v>已发货</v>
      </c>
      <c r="J345" s="1" t="str">
        <f t="shared" si="107"/>
        <v>2</v>
      </c>
      <c r="K345" s="1">
        <v>2</v>
      </c>
      <c r="L345" s="1" t="s">
        <v>24</v>
      </c>
      <c r="M345" s="1" t="str">
        <f>"福建省 福州市 晋安区 "</f>
        <v xml:space="preserve">福建省 福州市 晋安区 </v>
      </c>
      <c r="N345" s="1" t="str">
        <f t="shared" si="94"/>
        <v>凡华云仓-城南圆通-微信视频号</v>
      </c>
      <c r="O345" s="5" t="s">
        <v>383</v>
      </c>
      <c r="P345" s="6">
        <v>0.17</v>
      </c>
      <c r="Q345" s="11">
        <v>2</v>
      </c>
      <c r="R345" s="11"/>
      <c r="S345" s="11"/>
      <c r="T345" s="11"/>
      <c r="U345" s="11">
        <f t="shared" si="101"/>
        <v>2</v>
      </c>
      <c r="W345">
        <v>2.2000000000000002</v>
      </c>
      <c r="X345" s="1" t="s">
        <v>24</v>
      </c>
    </row>
    <row r="346" spans="1:24" x14ac:dyDescent="0.25">
      <c r="A346" s="1" t="str">
        <f t="shared" si="97"/>
        <v>卡卡杜-凤凰仓</v>
      </c>
      <c r="B346" s="1" t="str">
        <f>"CK202410311656"</f>
        <v>CK202410311656</v>
      </c>
      <c r="C346" s="1" t="str">
        <f>"DD2024103112796"</f>
        <v>DD2024103112796</v>
      </c>
      <c r="D346" s="1" t="str">
        <f>"CK2024103118909"</f>
        <v>CK2024103118909</v>
      </c>
      <c r="E346" s="1" t="str">
        <f>"3723673959526435840"</f>
        <v>3723673959526435840</v>
      </c>
      <c r="F346" s="1" t="str">
        <f t="shared" si="98"/>
        <v>花都四部-凤凰仓</v>
      </c>
      <c r="G346" s="1" t="str">
        <f t="shared" si="104"/>
        <v>卡卡杜企业店（视频号）</v>
      </c>
      <c r="H346" s="1" t="str">
        <f t="shared" si="99"/>
        <v>正常订单</v>
      </c>
      <c r="I346" s="1" t="str">
        <f t="shared" si="100"/>
        <v>已发货</v>
      </c>
      <c r="J346" s="1" t="str">
        <f t="shared" si="107"/>
        <v>2</v>
      </c>
      <c r="K346" s="1">
        <v>2</v>
      </c>
      <c r="L346" s="1" t="s">
        <v>24</v>
      </c>
      <c r="M346" s="1" t="str">
        <f>"福建省 厦门市 集美区 "</f>
        <v xml:space="preserve">福建省 厦门市 集美区 </v>
      </c>
      <c r="N346" s="1" t="str">
        <f t="shared" si="94"/>
        <v>凡华云仓-城南圆通-微信视频号</v>
      </c>
      <c r="O346" s="5" t="s">
        <v>384</v>
      </c>
      <c r="P346" s="6">
        <v>0.17</v>
      </c>
      <c r="Q346" s="11">
        <v>2</v>
      </c>
      <c r="R346" s="11"/>
      <c r="S346" s="11"/>
      <c r="T346" s="11"/>
      <c r="U346" s="11">
        <f t="shared" si="101"/>
        <v>2</v>
      </c>
      <c r="W346">
        <v>2.2000000000000002</v>
      </c>
      <c r="X346" s="1" t="s">
        <v>24</v>
      </c>
    </row>
    <row r="347" spans="1:24" x14ac:dyDescent="0.25">
      <c r="A347" s="1" t="str">
        <f t="shared" si="97"/>
        <v>卡卡杜-凤凰仓</v>
      </c>
      <c r="B347" s="1" t="str">
        <f>"CK20241031169"</f>
        <v>CK20241031169</v>
      </c>
      <c r="C347" s="1" t="str">
        <f>"DD2024103112388"</f>
        <v>DD2024103112388</v>
      </c>
      <c r="D347" s="1" t="str">
        <f>"CK2024103118908"</f>
        <v>CK2024103118908</v>
      </c>
      <c r="E347" s="1" t="str">
        <f>"3723673962359948800"</f>
        <v>3723673962359948800</v>
      </c>
      <c r="F347" s="1" t="str">
        <f t="shared" si="98"/>
        <v>花都四部-凤凰仓</v>
      </c>
      <c r="G347" s="1" t="str">
        <f t="shared" si="104"/>
        <v>卡卡杜企业店（视频号）</v>
      </c>
      <c r="H347" s="1" t="str">
        <f t="shared" si="99"/>
        <v>正常订单</v>
      </c>
      <c r="I347" s="1" t="str">
        <f t="shared" si="100"/>
        <v>已发货</v>
      </c>
      <c r="J347" s="1" t="str">
        <f t="shared" ref="J347:J352" si="108">"3"</f>
        <v>3</v>
      </c>
      <c r="K347" s="1">
        <v>2</v>
      </c>
      <c r="L347" s="1" t="s">
        <v>74</v>
      </c>
      <c r="M347" s="1" t="str">
        <f>"上海 上海市 徐汇区 "</f>
        <v xml:space="preserve">上海 上海市 徐汇区 </v>
      </c>
      <c r="N347" s="1" t="str">
        <f t="shared" si="94"/>
        <v>凡华云仓-城南圆通-微信视频号</v>
      </c>
      <c r="O347" s="5" t="s">
        <v>385</v>
      </c>
      <c r="P347" s="6">
        <v>0.25</v>
      </c>
      <c r="Q347" s="11">
        <v>2</v>
      </c>
      <c r="R347" s="11"/>
      <c r="S347" s="11"/>
      <c r="T347" s="11"/>
      <c r="U347" s="11">
        <f t="shared" si="101"/>
        <v>2</v>
      </c>
      <c r="W347">
        <v>2.2000000000000002</v>
      </c>
      <c r="X347" s="1" t="s">
        <v>74</v>
      </c>
    </row>
    <row r="348" spans="1:24" x14ac:dyDescent="0.25">
      <c r="A348" s="1" t="str">
        <f t="shared" si="97"/>
        <v>卡卡杜-凤凰仓</v>
      </c>
      <c r="B348" s="1" t="str">
        <f>"CK202410311657"</f>
        <v>CK202410311657</v>
      </c>
      <c r="C348" s="1" t="str">
        <f>"DD2024103112797"</f>
        <v>DD2024103112797</v>
      </c>
      <c r="D348" s="1" t="str">
        <f>"CK2024103118907"</f>
        <v>CK2024103118907</v>
      </c>
      <c r="E348" s="1" t="str">
        <f>"3723673965762843648"</f>
        <v>3723673965762843648</v>
      </c>
      <c r="F348" s="1" t="str">
        <f t="shared" si="98"/>
        <v>花都四部-凤凰仓</v>
      </c>
      <c r="G348" s="1" t="str">
        <f t="shared" si="104"/>
        <v>卡卡杜企业店（视频号）</v>
      </c>
      <c r="H348" s="1" t="str">
        <f t="shared" si="99"/>
        <v>正常订单</v>
      </c>
      <c r="I348" s="1" t="str">
        <f t="shared" si="100"/>
        <v>已发货</v>
      </c>
      <c r="J348" s="1" t="str">
        <f t="shared" ref="J348:J351" si="109">"2"</f>
        <v>2</v>
      </c>
      <c r="K348" s="1">
        <v>2</v>
      </c>
      <c r="L348" s="1" t="s">
        <v>105</v>
      </c>
      <c r="M348" s="1" t="str">
        <f>"北京 北京市 通州区 "</f>
        <v xml:space="preserve">北京 北京市 通州区 </v>
      </c>
      <c r="N348" s="1" t="str">
        <f t="shared" si="94"/>
        <v>凡华云仓-城南圆通-微信视频号</v>
      </c>
      <c r="O348" s="5" t="s">
        <v>386</v>
      </c>
      <c r="P348" s="6">
        <v>0.17</v>
      </c>
      <c r="Q348" s="11">
        <v>2</v>
      </c>
      <c r="R348" s="11"/>
      <c r="S348" s="11"/>
      <c r="T348" s="11"/>
      <c r="U348" s="11">
        <f t="shared" si="101"/>
        <v>2</v>
      </c>
      <c r="W348">
        <v>2.2000000000000002</v>
      </c>
      <c r="X348" s="1" t="s">
        <v>105</v>
      </c>
    </row>
    <row r="349" spans="1:24" x14ac:dyDescent="0.25">
      <c r="A349" s="1" t="str">
        <f t="shared" si="97"/>
        <v>卡卡杜-凤凰仓</v>
      </c>
      <c r="B349" s="1" t="str">
        <f>"CK20241031177"</f>
        <v>CK20241031177</v>
      </c>
      <c r="C349" s="1" t="str">
        <f>"DD2024103112398"</f>
        <v>DD2024103112398</v>
      </c>
      <c r="D349" s="1" t="str">
        <f>"CK2024103118906"</f>
        <v>CK2024103118906</v>
      </c>
      <c r="E349" s="1" t="str">
        <f>"3723673964015915008"</f>
        <v>3723673964015915008</v>
      </c>
      <c r="F349" s="1" t="str">
        <f t="shared" si="98"/>
        <v>花都四部-凤凰仓</v>
      </c>
      <c r="G349" s="1" t="str">
        <f t="shared" si="104"/>
        <v>卡卡杜企业店（视频号）</v>
      </c>
      <c r="H349" s="1" t="str">
        <f t="shared" si="99"/>
        <v>正常订单</v>
      </c>
      <c r="I349" s="1" t="str">
        <f t="shared" si="100"/>
        <v>已发货</v>
      </c>
      <c r="J349" s="1" t="str">
        <f t="shared" si="108"/>
        <v>3</v>
      </c>
      <c r="K349" s="1">
        <v>2</v>
      </c>
      <c r="L349" s="1" t="s">
        <v>105</v>
      </c>
      <c r="M349" s="1" t="str">
        <f>"北京 北京市 海淀区 "</f>
        <v xml:space="preserve">北京 北京市 海淀区 </v>
      </c>
      <c r="N349" s="1" t="str">
        <f t="shared" si="94"/>
        <v>凡华云仓-城南圆通-微信视频号</v>
      </c>
      <c r="O349" s="5" t="s">
        <v>387</v>
      </c>
      <c r="P349" s="6">
        <v>0.25</v>
      </c>
      <c r="Q349" s="11">
        <v>2</v>
      </c>
      <c r="R349" s="11"/>
      <c r="S349" s="11"/>
      <c r="T349" s="11"/>
      <c r="U349" s="11">
        <f t="shared" si="101"/>
        <v>2</v>
      </c>
      <c r="W349">
        <v>2.2000000000000002</v>
      </c>
      <c r="X349" s="1" t="s">
        <v>105</v>
      </c>
    </row>
    <row r="350" spans="1:24" x14ac:dyDescent="0.25">
      <c r="A350" s="1" t="str">
        <f t="shared" si="97"/>
        <v>卡卡杜-凤凰仓</v>
      </c>
      <c r="B350" s="1" t="str">
        <f>"CK202410311659"</f>
        <v>CK202410311659</v>
      </c>
      <c r="C350" s="1" t="str">
        <f>"DD2024103112799"</f>
        <v>DD2024103112799</v>
      </c>
      <c r="D350" s="1" t="str">
        <f>"CK2024103118905"</f>
        <v>CK2024103118905</v>
      </c>
      <c r="E350" s="1" t="str">
        <f>"3723673962992505856"</f>
        <v>3723673962992505856</v>
      </c>
      <c r="F350" s="1" t="str">
        <f t="shared" si="98"/>
        <v>花都四部-凤凰仓</v>
      </c>
      <c r="G350" s="1" t="str">
        <f t="shared" si="104"/>
        <v>卡卡杜企业店（视频号）</v>
      </c>
      <c r="H350" s="1" t="str">
        <f t="shared" si="99"/>
        <v>正常订单</v>
      </c>
      <c r="I350" s="1" t="str">
        <f t="shared" si="100"/>
        <v>已发货</v>
      </c>
      <c r="J350" s="1" t="str">
        <f t="shared" si="109"/>
        <v>2</v>
      </c>
      <c r="K350" s="1">
        <v>2</v>
      </c>
      <c r="L350" s="1" t="s">
        <v>109</v>
      </c>
      <c r="M350" s="1" t="str">
        <f>"山西省 吕梁市 孝义市 "</f>
        <v xml:space="preserve">山西省 吕梁市 孝义市 </v>
      </c>
      <c r="N350" s="1" t="str">
        <f t="shared" si="94"/>
        <v>凡华云仓-城南圆通-微信视频号</v>
      </c>
      <c r="O350" s="5" t="s">
        <v>388</v>
      </c>
      <c r="P350" s="6">
        <v>0.17</v>
      </c>
      <c r="Q350" s="11">
        <v>2</v>
      </c>
      <c r="R350" s="11"/>
      <c r="S350" s="11"/>
      <c r="T350" s="11"/>
      <c r="U350" s="11">
        <f t="shared" si="101"/>
        <v>2</v>
      </c>
      <c r="W350">
        <v>2.2000000000000002</v>
      </c>
      <c r="X350" s="1" t="s">
        <v>109</v>
      </c>
    </row>
    <row r="351" spans="1:24" x14ac:dyDescent="0.25">
      <c r="A351" s="1" t="str">
        <f t="shared" si="97"/>
        <v>卡卡杜-凤凰仓</v>
      </c>
      <c r="B351" s="1" t="str">
        <f>"CK202410311661"</f>
        <v>CK202410311661</v>
      </c>
      <c r="C351" s="1" t="str">
        <f>"DD2024103112801"</f>
        <v>DD2024103112801</v>
      </c>
      <c r="D351" s="1" t="str">
        <f>"CK2024103118904"</f>
        <v>CK2024103118904</v>
      </c>
      <c r="E351" s="1" t="str">
        <f>"3723673963160013824"</f>
        <v>3723673963160013824</v>
      </c>
      <c r="F351" s="1" t="str">
        <f t="shared" si="98"/>
        <v>花都四部-凤凰仓</v>
      </c>
      <c r="G351" s="1" t="str">
        <f t="shared" si="104"/>
        <v>卡卡杜企业店（视频号）</v>
      </c>
      <c r="H351" s="1" t="str">
        <f t="shared" si="99"/>
        <v>正常订单</v>
      </c>
      <c r="I351" s="1" t="str">
        <f t="shared" si="100"/>
        <v>已发货</v>
      </c>
      <c r="J351" s="1" t="str">
        <f t="shared" si="109"/>
        <v>2</v>
      </c>
      <c r="K351" s="1">
        <v>2</v>
      </c>
      <c r="L351" s="1" t="s">
        <v>94</v>
      </c>
      <c r="M351" s="1" t="str">
        <f>"湖南省 常德市 武陵区 "</f>
        <v xml:space="preserve">湖南省 常德市 武陵区 </v>
      </c>
      <c r="N351" s="1" t="str">
        <f t="shared" si="94"/>
        <v>凡华云仓-城南圆通-微信视频号</v>
      </c>
      <c r="O351" s="5" t="s">
        <v>389</v>
      </c>
      <c r="P351" s="6">
        <v>0.17</v>
      </c>
      <c r="Q351" s="11">
        <v>2</v>
      </c>
      <c r="R351" s="11"/>
      <c r="S351" s="11"/>
      <c r="T351" s="11"/>
      <c r="U351" s="11">
        <f t="shared" si="101"/>
        <v>2</v>
      </c>
      <c r="W351">
        <v>2.2000000000000002</v>
      </c>
      <c r="X351" s="1" t="s">
        <v>94</v>
      </c>
    </row>
    <row r="352" spans="1:24" x14ac:dyDescent="0.25">
      <c r="A352" s="1" t="str">
        <f t="shared" si="97"/>
        <v>卡卡杜-凤凰仓</v>
      </c>
      <c r="B352" s="1" t="str">
        <f>"CK20241031182"</f>
        <v>CK20241031182</v>
      </c>
      <c r="C352" s="1" t="str">
        <f>"DD2024103112403"</f>
        <v>DD2024103112403</v>
      </c>
      <c r="D352" s="1" t="str">
        <f>"CK2024103118903"</f>
        <v>CK2024103118903</v>
      </c>
      <c r="E352" s="1" t="str">
        <f>"3723673962878996480"</f>
        <v>3723673962878996480</v>
      </c>
      <c r="F352" s="1" t="str">
        <f t="shared" si="98"/>
        <v>花都四部-凤凰仓</v>
      </c>
      <c r="G352" s="1" t="str">
        <f t="shared" si="104"/>
        <v>卡卡杜企业店（视频号）</v>
      </c>
      <c r="H352" s="1" t="str">
        <f t="shared" si="99"/>
        <v>正常订单</v>
      </c>
      <c r="I352" s="1" t="str">
        <f t="shared" si="100"/>
        <v>已发货</v>
      </c>
      <c r="J352" s="1" t="str">
        <f t="shared" si="108"/>
        <v>3</v>
      </c>
      <c r="K352" s="1">
        <v>2</v>
      </c>
      <c r="L352" s="1" t="s">
        <v>96</v>
      </c>
      <c r="M352" s="1" t="str">
        <f>"广西壮族自治区 桂林市 象山区 "</f>
        <v xml:space="preserve">广西壮族自治区 桂林市 象山区 </v>
      </c>
      <c r="N352" s="1" t="str">
        <f t="shared" si="94"/>
        <v>凡华云仓-城南圆通-微信视频号</v>
      </c>
      <c r="O352" s="5" t="s">
        <v>390</v>
      </c>
      <c r="P352" s="6">
        <v>0.25</v>
      </c>
      <c r="Q352" s="11">
        <v>2</v>
      </c>
      <c r="R352" s="11"/>
      <c r="S352" s="11"/>
      <c r="T352" s="11"/>
      <c r="U352" s="11">
        <f t="shared" si="101"/>
        <v>2</v>
      </c>
      <c r="W352">
        <v>2.2000000000000002</v>
      </c>
      <c r="X352" s="1" t="s">
        <v>96</v>
      </c>
    </row>
    <row r="353" spans="1:24" x14ac:dyDescent="0.25">
      <c r="A353" s="1" t="str">
        <f t="shared" si="97"/>
        <v>卡卡杜-凤凰仓</v>
      </c>
      <c r="B353" s="1" t="str">
        <f>"CK202410311660"</f>
        <v>CK202410311660</v>
      </c>
      <c r="C353" s="1" t="str">
        <f>"DD2024103112800"</f>
        <v>DD2024103112800</v>
      </c>
      <c r="D353" s="1" t="str">
        <f>"CK2024103118902"</f>
        <v>CK2024103118902</v>
      </c>
      <c r="E353" s="1" t="str">
        <f>"3723673964313445888"</f>
        <v>3723673964313445888</v>
      </c>
      <c r="F353" s="1" t="str">
        <f t="shared" si="98"/>
        <v>花都四部-凤凰仓</v>
      </c>
      <c r="G353" s="1" t="str">
        <f t="shared" si="104"/>
        <v>卡卡杜企业店（视频号）</v>
      </c>
      <c r="H353" s="1" t="str">
        <f t="shared" si="99"/>
        <v>正常订单</v>
      </c>
      <c r="I353" s="1" t="str">
        <f t="shared" si="100"/>
        <v>已发货</v>
      </c>
      <c r="J353" s="1" t="str">
        <f t="shared" ref="J353:J355" si="110">"2"</f>
        <v>2</v>
      </c>
      <c r="K353" s="1">
        <v>2</v>
      </c>
      <c r="L353" s="1" t="s">
        <v>66</v>
      </c>
      <c r="M353" s="1" t="str">
        <f>"内蒙古自治区 鄂尔多斯市 东胜区 "</f>
        <v xml:space="preserve">内蒙古自治区 鄂尔多斯市 东胜区 </v>
      </c>
      <c r="N353" s="1" t="str">
        <f t="shared" si="94"/>
        <v>凡华云仓-城南圆通-微信视频号</v>
      </c>
      <c r="O353" s="5" t="s">
        <v>391</v>
      </c>
      <c r="P353" s="6">
        <v>0.17</v>
      </c>
      <c r="Q353" s="11">
        <v>2</v>
      </c>
      <c r="R353" s="11"/>
      <c r="S353" s="11"/>
      <c r="T353" s="11"/>
      <c r="U353" s="11">
        <f t="shared" si="101"/>
        <v>2</v>
      </c>
      <c r="W353">
        <v>2.2000000000000002</v>
      </c>
      <c r="X353" s="1" t="s">
        <v>66</v>
      </c>
    </row>
    <row r="354" spans="1:24" x14ac:dyDescent="0.25">
      <c r="A354" s="1" t="str">
        <f t="shared" si="97"/>
        <v>卡卡杜-凤凰仓</v>
      </c>
      <c r="B354" s="1" t="str">
        <f>"CK202410311662"</f>
        <v>CK202410311662</v>
      </c>
      <c r="C354" s="1" t="str">
        <f>"DD2024103112802"</f>
        <v>DD2024103112802</v>
      </c>
      <c r="D354" s="1" t="str">
        <f>"CK2024103118901"</f>
        <v>CK2024103118901</v>
      </c>
      <c r="E354" s="1" t="str">
        <f>"3723673963126195456"</f>
        <v>3723673963126195456</v>
      </c>
      <c r="F354" s="1" t="str">
        <f t="shared" si="98"/>
        <v>花都四部-凤凰仓</v>
      </c>
      <c r="G354" s="1" t="str">
        <f t="shared" si="104"/>
        <v>卡卡杜企业店（视频号）</v>
      </c>
      <c r="H354" s="1" t="str">
        <f t="shared" si="99"/>
        <v>正常订单</v>
      </c>
      <c r="I354" s="1" t="str">
        <f t="shared" si="100"/>
        <v>已发货</v>
      </c>
      <c r="J354" s="1" t="str">
        <f t="shared" si="110"/>
        <v>2</v>
      </c>
      <c r="K354" s="1">
        <v>2</v>
      </c>
      <c r="L354" s="1" t="s">
        <v>218</v>
      </c>
      <c r="M354" s="1" t="str">
        <f>"天津 天津市 西青区 "</f>
        <v xml:space="preserve">天津 天津市 西青区 </v>
      </c>
      <c r="N354" s="1" t="str">
        <f t="shared" si="94"/>
        <v>凡华云仓-城南圆通-微信视频号</v>
      </c>
      <c r="O354" s="5" t="s">
        <v>392</v>
      </c>
      <c r="P354" s="6">
        <v>0.17</v>
      </c>
      <c r="Q354" s="11">
        <v>2</v>
      </c>
      <c r="R354" s="11"/>
      <c r="S354" s="11"/>
      <c r="T354" s="11"/>
      <c r="U354" s="11">
        <f t="shared" si="101"/>
        <v>2</v>
      </c>
      <c r="W354">
        <v>2.2000000000000002</v>
      </c>
      <c r="X354" s="1" t="s">
        <v>218</v>
      </c>
    </row>
    <row r="355" spans="1:24" x14ac:dyDescent="0.25">
      <c r="A355" s="1" t="str">
        <f t="shared" si="97"/>
        <v>卡卡杜-凤凰仓</v>
      </c>
      <c r="B355" s="1" t="str">
        <f>"CK202410311663"</f>
        <v>CK202410311663</v>
      </c>
      <c r="C355" s="1" t="str">
        <f>"DD2024103112806"</f>
        <v>DD2024103112806</v>
      </c>
      <c r="D355" s="1" t="str">
        <f>"CK2024103118900"</f>
        <v>CK2024103118900</v>
      </c>
      <c r="E355" s="1" t="str">
        <f>"3723673962885286912"</f>
        <v>3723673962885286912</v>
      </c>
      <c r="F355" s="1" t="str">
        <f t="shared" si="98"/>
        <v>花都四部-凤凰仓</v>
      </c>
      <c r="G355" s="1" t="str">
        <f t="shared" si="104"/>
        <v>卡卡杜企业店（视频号）</v>
      </c>
      <c r="H355" s="1" t="str">
        <f t="shared" si="99"/>
        <v>正常订单</v>
      </c>
      <c r="I355" s="1" t="str">
        <f t="shared" si="100"/>
        <v>已发货</v>
      </c>
      <c r="J355" s="1" t="str">
        <f t="shared" si="110"/>
        <v>2</v>
      </c>
      <c r="K355" s="1">
        <v>2</v>
      </c>
      <c r="L355" s="1" t="s">
        <v>22</v>
      </c>
      <c r="M355" s="1" t="str">
        <f>"江西省 上饶市 婺源县 "</f>
        <v xml:space="preserve">江西省 上饶市 婺源县 </v>
      </c>
      <c r="N355" s="1" t="str">
        <f t="shared" si="94"/>
        <v>凡华云仓-城南圆通-微信视频号</v>
      </c>
      <c r="O355" s="5" t="s">
        <v>393</v>
      </c>
      <c r="P355" s="6">
        <v>0.17</v>
      </c>
      <c r="Q355" s="11">
        <v>2</v>
      </c>
      <c r="R355" s="11"/>
      <c r="S355" s="11"/>
      <c r="T355" s="11"/>
      <c r="U355" s="11">
        <f t="shared" si="101"/>
        <v>2</v>
      </c>
      <c r="W355">
        <v>2.2000000000000002</v>
      </c>
      <c r="X355" s="1" t="s">
        <v>22</v>
      </c>
    </row>
    <row r="356" spans="1:24" x14ac:dyDescent="0.25">
      <c r="A356" s="1" t="str">
        <f t="shared" si="97"/>
        <v>卡卡杜-凤凰仓</v>
      </c>
      <c r="B356" s="1" t="str">
        <f>"CK20241031178"</f>
        <v>CK20241031178</v>
      </c>
      <c r="C356" s="1" t="str">
        <f>"DD2024103112399"</f>
        <v>DD2024103112399</v>
      </c>
      <c r="D356" s="1" t="str">
        <f>"CK2024103118899"</f>
        <v>CK2024103118899</v>
      </c>
      <c r="E356" s="1" t="str">
        <f>"3723673959651476736"</f>
        <v>3723673959651476736</v>
      </c>
      <c r="F356" s="1" t="str">
        <f t="shared" si="98"/>
        <v>花都四部-凤凰仓</v>
      </c>
      <c r="G356" s="1" t="str">
        <f t="shared" si="104"/>
        <v>卡卡杜企业店（视频号）</v>
      </c>
      <c r="H356" s="1" t="str">
        <f t="shared" si="99"/>
        <v>正常订单</v>
      </c>
      <c r="I356" s="1" t="str">
        <f t="shared" si="100"/>
        <v>已发货</v>
      </c>
      <c r="J356" s="1" t="str">
        <f t="shared" ref="J356:J358" si="111">"3"</f>
        <v>3</v>
      </c>
      <c r="K356" s="1">
        <v>2</v>
      </c>
      <c r="L356" s="1" t="s">
        <v>30</v>
      </c>
      <c r="M356" s="1" t="str">
        <f>"山东省 青岛市 市北区 "</f>
        <v xml:space="preserve">山东省 青岛市 市北区 </v>
      </c>
      <c r="N356" s="1" t="str">
        <f t="shared" si="94"/>
        <v>凡华云仓-城南圆通-微信视频号</v>
      </c>
      <c r="O356" s="5" t="s">
        <v>394</v>
      </c>
      <c r="P356" s="6">
        <v>0.25</v>
      </c>
      <c r="Q356" s="11">
        <v>2</v>
      </c>
      <c r="R356" s="11"/>
      <c r="S356" s="11"/>
      <c r="T356" s="11"/>
      <c r="U356" s="11">
        <f t="shared" si="101"/>
        <v>2</v>
      </c>
      <c r="W356">
        <v>2.2000000000000002</v>
      </c>
      <c r="X356" s="1" t="s">
        <v>30</v>
      </c>
    </row>
    <row r="357" spans="1:24" x14ac:dyDescent="0.25">
      <c r="A357" s="1" t="str">
        <f t="shared" si="97"/>
        <v>卡卡杜-凤凰仓</v>
      </c>
      <c r="B357" s="1" t="str">
        <f>"CK20241031161"</f>
        <v>CK20241031161</v>
      </c>
      <c r="C357" s="1" t="str">
        <f>"DD2024103112375"</f>
        <v>DD2024103112375</v>
      </c>
      <c r="D357" s="1" t="str">
        <f>"CK2024103118898"</f>
        <v>CK2024103118898</v>
      </c>
      <c r="E357" s="1" t="str">
        <f>"3723673960383120896"</f>
        <v>3723673960383120896</v>
      </c>
      <c r="F357" s="1" t="str">
        <f t="shared" si="98"/>
        <v>花都四部-凤凰仓</v>
      </c>
      <c r="G357" s="1" t="str">
        <f t="shared" si="104"/>
        <v>卡卡杜企业店（视频号）</v>
      </c>
      <c r="H357" s="1" t="str">
        <f t="shared" si="99"/>
        <v>正常订单</v>
      </c>
      <c r="I357" s="1" t="str">
        <f t="shared" si="100"/>
        <v>已发货</v>
      </c>
      <c r="J357" s="1" t="str">
        <f t="shared" si="111"/>
        <v>3</v>
      </c>
      <c r="K357" s="1">
        <v>2</v>
      </c>
      <c r="L357" s="1" t="s">
        <v>105</v>
      </c>
      <c r="M357" s="1" t="str">
        <f>"北京 北京市 西城区 "</f>
        <v xml:space="preserve">北京 北京市 西城区 </v>
      </c>
      <c r="N357" s="1" t="str">
        <f t="shared" si="94"/>
        <v>凡华云仓-城南圆通-微信视频号</v>
      </c>
      <c r="O357" s="5" t="s">
        <v>395</v>
      </c>
      <c r="P357" s="6">
        <v>0.25</v>
      </c>
      <c r="Q357" s="11">
        <v>2</v>
      </c>
      <c r="R357" s="11"/>
      <c r="S357" s="11"/>
      <c r="T357" s="11"/>
      <c r="U357" s="11">
        <f t="shared" si="101"/>
        <v>2</v>
      </c>
      <c r="W357">
        <v>2.2000000000000002</v>
      </c>
      <c r="X357" s="1" t="s">
        <v>105</v>
      </c>
    </row>
    <row r="358" spans="1:24" x14ac:dyDescent="0.25">
      <c r="A358" s="1" t="str">
        <f t="shared" si="97"/>
        <v>卡卡杜-凤凰仓</v>
      </c>
      <c r="B358" s="1" t="str">
        <f>"CK20241031166"</f>
        <v>CK20241031166</v>
      </c>
      <c r="C358" s="1" t="str">
        <f>"DD2024103112384"</f>
        <v>DD2024103112384</v>
      </c>
      <c r="D358" s="1" t="str">
        <f>"CK2024103118897"</f>
        <v>CK2024103118897</v>
      </c>
      <c r="E358" s="1" t="str">
        <f>"3723673962394027521"</f>
        <v>3723673962394027521</v>
      </c>
      <c r="F358" s="1" t="str">
        <f t="shared" si="98"/>
        <v>花都四部-凤凰仓</v>
      </c>
      <c r="G358" s="1" t="str">
        <f t="shared" si="104"/>
        <v>卡卡杜企业店（视频号）</v>
      </c>
      <c r="H358" s="1" t="str">
        <f t="shared" si="99"/>
        <v>正常订单</v>
      </c>
      <c r="I358" s="1" t="str">
        <f t="shared" si="100"/>
        <v>已发货</v>
      </c>
      <c r="J358" s="1" t="str">
        <f t="shared" si="111"/>
        <v>3</v>
      </c>
      <c r="K358" s="1">
        <v>2</v>
      </c>
      <c r="L358" s="1" t="s">
        <v>30</v>
      </c>
      <c r="M358" s="1" t="str">
        <f>"山东省 青岛市 崂山区 "</f>
        <v xml:space="preserve">山东省 青岛市 崂山区 </v>
      </c>
      <c r="N358" s="1" t="str">
        <f t="shared" si="94"/>
        <v>凡华云仓-城南圆通-微信视频号</v>
      </c>
      <c r="O358" s="5" t="s">
        <v>396</v>
      </c>
      <c r="P358" s="6">
        <v>0.25</v>
      </c>
      <c r="Q358" s="11">
        <v>2</v>
      </c>
      <c r="R358" s="11"/>
      <c r="S358" s="11"/>
      <c r="T358" s="11"/>
      <c r="U358" s="11">
        <f t="shared" si="101"/>
        <v>2</v>
      </c>
      <c r="W358">
        <v>2.2000000000000002</v>
      </c>
      <c r="X358" s="1" t="s">
        <v>30</v>
      </c>
    </row>
    <row r="359" spans="1:24" x14ac:dyDescent="0.25">
      <c r="A359" s="1" t="str">
        <f t="shared" si="97"/>
        <v>卡卡杜-凤凰仓</v>
      </c>
      <c r="B359" s="1" t="str">
        <f>"CK202410311664"</f>
        <v>CK202410311664</v>
      </c>
      <c r="C359" s="1" t="str">
        <f>"DD2024103112803"</f>
        <v>DD2024103112803</v>
      </c>
      <c r="D359" s="1" t="str">
        <f>"CK2024103118896"</f>
        <v>CK2024103118896</v>
      </c>
      <c r="E359" s="1" t="str">
        <f>"3723673961074394368"</f>
        <v>3723673961074394368</v>
      </c>
      <c r="F359" s="1" t="str">
        <f t="shared" si="98"/>
        <v>花都四部-凤凰仓</v>
      </c>
      <c r="G359" s="1" t="str">
        <f t="shared" si="104"/>
        <v>卡卡杜企业店（视频号）</v>
      </c>
      <c r="H359" s="1" t="str">
        <f t="shared" si="99"/>
        <v>正常订单</v>
      </c>
      <c r="I359" s="1" t="str">
        <f t="shared" si="100"/>
        <v>已发货</v>
      </c>
      <c r="J359" s="1" t="str">
        <f>"2"</f>
        <v>2</v>
      </c>
      <c r="K359" s="1">
        <v>2</v>
      </c>
      <c r="L359" s="1" t="s">
        <v>94</v>
      </c>
      <c r="M359" s="1" t="str">
        <f>"湖南省 株洲市 芦淞区 "</f>
        <v xml:space="preserve">湖南省 株洲市 芦淞区 </v>
      </c>
      <c r="N359" s="1" t="str">
        <f t="shared" si="94"/>
        <v>凡华云仓-城南圆通-微信视频号</v>
      </c>
      <c r="O359" s="5" t="s">
        <v>397</v>
      </c>
      <c r="P359" s="6">
        <v>0.17</v>
      </c>
      <c r="Q359" s="11">
        <v>2</v>
      </c>
      <c r="R359" s="11"/>
      <c r="S359" s="11"/>
      <c r="T359" s="11"/>
      <c r="U359" s="11">
        <f t="shared" si="101"/>
        <v>2</v>
      </c>
      <c r="W359">
        <v>2.2000000000000002</v>
      </c>
      <c r="X359" s="1" t="s">
        <v>94</v>
      </c>
    </row>
    <row r="360" spans="1:24" x14ac:dyDescent="0.25">
      <c r="A360" s="1" t="str">
        <f t="shared" si="97"/>
        <v>卡卡杜-凤凰仓</v>
      </c>
      <c r="B360" s="1" t="str">
        <f>"CK20241031149"</f>
        <v>CK20241031149</v>
      </c>
      <c r="C360" s="1" t="str">
        <f>"DD2024103112344"</f>
        <v>DD2024103112344</v>
      </c>
      <c r="D360" s="1" t="str">
        <f>"CK2024103118895"</f>
        <v>CK2024103118895</v>
      </c>
      <c r="E360" s="1" t="str">
        <f>"3723673961105589504"</f>
        <v>3723673961105589504</v>
      </c>
      <c r="F360" s="1" t="str">
        <f t="shared" si="98"/>
        <v>花都四部-凤凰仓</v>
      </c>
      <c r="G360" s="1" t="str">
        <f t="shared" si="104"/>
        <v>卡卡杜企业店（视频号）</v>
      </c>
      <c r="H360" s="1" t="str">
        <f t="shared" si="99"/>
        <v>正常订单</v>
      </c>
      <c r="I360" s="1" t="str">
        <f t="shared" si="100"/>
        <v>已发货</v>
      </c>
      <c r="J360" s="1" t="str">
        <f t="shared" ref="J360:J363" si="112">"3"</f>
        <v>3</v>
      </c>
      <c r="K360" s="1">
        <v>2</v>
      </c>
      <c r="L360" s="1" t="s">
        <v>92</v>
      </c>
      <c r="M360" s="1" t="str">
        <f>"辽宁省 大连市 沙河口区 "</f>
        <v xml:space="preserve">辽宁省 大连市 沙河口区 </v>
      </c>
      <c r="N360" s="1" t="str">
        <f t="shared" si="94"/>
        <v>凡华云仓-城南圆通-微信视频号</v>
      </c>
      <c r="O360" s="5" t="s">
        <v>398</v>
      </c>
      <c r="P360" s="6">
        <v>0.25</v>
      </c>
      <c r="Q360" s="11">
        <v>2</v>
      </c>
      <c r="R360" s="11"/>
      <c r="S360" s="11"/>
      <c r="T360" s="11"/>
      <c r="U360" s="11">
        <f t="shared" si="101"/>
        <v>2</v>
      </c>
      <c r="W360">
        <v>2.2000000000000002</v>
      </c>
      <c r="X360" s="1" t="s">
        <v>92</v>
      </c>
    </row>
    <row r="361" spans="1:24" x14ac:dyDescent="0.25">
      <c r="A361" s="1" t="str">
        <f t="shared" si="97"/>
        <v>卡卡杜-凤凰仓</v>
      </c>
      <c r="B361" s="1" t="str">
        <f>"CK20241031151"</f>
        <v>CK20241031151</v>
      </c>
      <c r="C361" s="1" t="str">
        <f>"DD2024103112350"</f>
        <v>DD2024103112350</v>
      </c>
      <c r="D361" s="1" t="str">
        <f>"CK2024103118894"</f>
        <v>CK2024103118894</v>
      </c>
      <c r="E361" s="1" t="str">
        <f>"3723673961320811521"</f>
        <v>3723673961320811521</v>
      </c>
      <c r="F361" s="1" t="str">
        <f t="shared" si="98"/>
        <v>花都四部-凤凰仓</v>
      </c>
      <c r="G361" s="1" t="str">
        <f t="shared" si="104"/>
        <v>卡卡杜企业店（视频号）</v>
      </c>
      <c r="H361" s="1" t="str">
        <f t="shared" si="99"/>
        <v>正常订单</v>
      </c>
      <c r="I361" s="1" t="str">
        <f t="shared" si="100"/>
        <v>已发货</v>
      </c>
      <c r="J361" s="1" t="str">
        <f t="shared" si="112"/>
        <v>3</v>
      </c>
      <c r="K361" s="1">
        <v>2</v>
      </c>
      <c r="L361" s="1" t="s">
        <v>105</v>
      </c>
      <c r="M361" s="1" t="str">
        <f>"北京 北京市 海淀区 "</f>
        <v xml:space="preserve">北京 北京市 海淀区 </v>
      </c>
      <c r="N361" s="1" t="str">
        <f t="shared" si="94"/>
        <v>凡华云仓-城南圆通-微信视频号</v>
      </c>
      <c r="O361" s="5" t="s">
        <v>399</v>
      </c>
      <c r="P361" s="6">
        <v>0.25</v>
      </c>
      <c r="Q361" s="11">
        <v>2</v>
      </c>
      <c r="R361" s="11"/>
      <c r="S361" s="11"/>
      <c r="T361" s="11"/>
      <c r="U361" s="11">
        <f t="shared" si="101"/>
        <v>2</v>
      </c>
      <c r="W361">
        <v>2.2000000000000002</v>
      </c>
      <c r="X361" s="1" t="s">
        <v>105</v>
      </c>
    </row>
    <row r="362" spans="1:24" x14ac:dyDescent="0.25">
      <c r="A362" s="1" t="str">
        <f t="shared" si="97"/>
        <v>卡卡杜-凤凰仓</v>
      </c>
      <c r="B362" s="1" t="str">
        <f>"CK20241031165"</f>
        <v>CK20241031165</v>
      </c>
      <c r="C362" s="1" t="str">
        <f>"DD2024103112383"</f>
        <v>DD2024103112383</v>
      </c>
      <c r="D362" s="1" t="str">
        <f>"CK2024103118893"</f>
        <v>CK2024103118893</v>
      </c>
      <c r="E362" s="1" t="str">
        <f>"3723673960924189696"</f>
        <v>3723673960924189696</v>
      </c>
      <c r="F362" s="1" t="str">
        <f t="shared" si="98"/>
        <v>花都四部-凤凰仓</v>
      </c>
      <c r="G362" s="1" t="str">
        <f t="shared" si="104"/>
        <v>卡卡杜企业店（视频号）</v>
      </c>
      <c r="H362" s="1" t="str">
        <f t="shared" si="99"/>
        <v>正常订单</v>
      </c>
      <c r="I362" s="1" t="str">
        <f t="shared" si="100"/>
        <v>已发货</v>
      </c>
      <c r="J362" s="1" t="str">
        <f t="shared" si="112"/>
        <v>3</v>
      </c>
      <c r="K362" s="1">
        <v>2</v>
      </c>
      <c r="L362" s="1" t="s">
        <v>105</v>
      </c>
      <c r="M362" s="1" t="str">
        <f>"北京 北京市 西城区 "</f>
        <v xml:space="preserve">北京 北京市 西城区 </v>
      </c>
      <c r="N362" s="1" t="str">
        <f t="shared" si="94"/>
        <v>凡华云仓-城南圆通-微信视频号</v>
      </c>
      <c r="O362" s="5" t="s">
        <v>400</v>
      </c>
      <c r="P362" s="6">
        <v>0.25</v>
      </c>
      <c r="Q362" s="11">
        <v>2</v>
      </c>
      <c r="R362" s="11"/>
      <c r="S362" s="11"/>
      <c r="T362" s="11"/>
      <c r="U362" s="11">
        <f t="shared" si="101"/>
        <v>2</v>
      </c>
      <c r="W362">
        <v>2.2000000000000002</v>
      </c>
      <c r="X362" s="1" t="s">
        <v>105</v>
      </c>
    </row>
    <row r="363" spans="1:24" x14ac:dyDescent="0.25">
      <c r="A363" s="1" t="str">
        <f t="shared" si="97"/>
        <v>卡卡杜-凤凰仓</v>
      </c>
      <c r="B363" s="1" t="str">
        <f>"CK20241031183"</f>
        <v>CK20241031183</v>
      </c>
      <c r="C363" s="1" t="str">
        <f>"DD2024103112404"</f>
        <v>DD2024103112404</v>
      </c>
      <c r="D363" s="1" t="str">
        <f>"CK2024103118892"</f>
        <v>CK2024103118892</v>
      </c>
      <c r="E363" s="1" t="str">
        <f>"3723673960486409216"</f>
        <v>3723673960486409216</v>
      </c>
      <c r="F363" s="1" t="str">
        <f t="shared" si="98"/>
        <v>花都四部-凤凰仓</v>
      </c>
      <c r="G363" s="1" t="str">
        <f t="shared" si="104"/>
        <v>卡卡杜企业店（视频号）</v>
      </c>
      <c r="H363" s="1" t="str">
        <f t="shared" si="99"/>
        <v>正常订单</v>
      </c>
      <c r="I363" s="1" t="str">
        <f t="shared" si="100"/>
        <v>已发货</v>
      </c>
      <c r="J363" s="1" t="str">
        <f t="shared" si="112"/>
        <v>3</v>
      </c>
      <c r="K363" s="1">
        <v>2</v>
      </c>
      <c r="L363" s="1" t="s">
        <v>105</v>
      </c>
      <c r="M363" s="1" t="str">
        <f>"北京 北京市 门头沟区 "</f>
        <v xml:space="preserve">北京 北京市 门头沟区 </v>
      </c>
      <c r="N363" s="1" t="str">
        <f t="shared" si="94"/>
        <v>凡华云仓-城南圆通-微信视频号</v>
      </c>
      <c r="O363" s="5" t="s">
        <v>401</v>
      </c>
      <c r="P363" s="6">
        <v>0.25</v>
      </c>
      <c r="Q363" s="11">
        <v>2</v>
      </c>
      <c r="R363" s="11"/>
      <c r="S363" s="11"/>
      <c r="T363" s="11"/>
      <c r="U363" s="11">
        <f t="shared" si="101"/>
        <v>2</v>
      </c>
      <c r="W363">
        <v>2.2000000000000002</v>
      </c>
      <c r="X363" s="1" t="s">
        <v>105</v>
      </c>
    </row>
    <row r="364" spans="1:24" x14ac:dyDescent="0.25">
      <c r="A364" s="1" t="str">
        <f t="shared" si="97"/>
        <v>卡卡杜-凤凰仓</v>
      </c>
      <c r="B364" s="1" t="str">
        <f>"CK202410311665"</f>
        <v>CK202410311665</v>
      </c>
      <c r="C364" s="1" t="str">
        <f>"DD2024103112804"</f>
        <v>DD2024103112804</v>
      </c>
      <c r="D364" s="1" t="str">
        <f>"CK2024103118891"</f>
        <v>CK2024103118891</v>
      </c>
      <c r="E364" s="1" t="str">
        <f>"3723673959226541568"</f>
        <v>3723673959226541568</v>
      </c>
      <c r="F364" s="1" t="str">
        <f t="shared" si="98"/>
        <v>花都四部-凤凰仓</v>
      </c>
      <c r="G364" s="1" t="str">
        <f t="shared" si="104"/>
        <v>卡卡杜企业店（视频号）</v>
      </c>
      <c r="H364" s="1" t="str">
        <f t="shared" si="99"/>
        <v>正常订单</v>
      </c>
      <c r="I364" s="1" t="str">
        <f t="shared" si="100"/>
        <v>已发货</v>
      </c>
      <c r="J364" s="1" t="str">
        <f t="shared" ref="J364:J368" si="113">"2"</f>
        <v>2</v>
      </c>
      <c r="K364" s="1">
        <v>2</v>
      </c>
      <c r="L364" s="1" t="s">
        <v>20</v>
      </c>
      <c r="M364" s="1" t="str">
        <f>"浙江省 杭州市 临安区 "</f>
        <v xml:space="preserve">浙江省 杭州市 临安区 </v>
      </c>
      <c r="N364" s="1" t="str">
        <f t="shared" si="94"/>
        <v>凡华云仓-城南圆通-微信视频号</v>
      </c>
      <c r="O364" s="5" t="s">
        <v>402</v>
      </c>
      <c r="P364" s="6">
        <v>0.17</v>
      </c>
      <c r="Q364" s="11">
        <v>2</v>
      </c>
      <c r="R364" s="11"/>
      <c r="S364" s="11"/>
      <c r="T364" s="11"/>
      <c r="U364" s="11">
        <f t="shared" si="101"/>
        <v>2</v>
      </c>
      <c r="W364">
        <v>2.2000000000000002</v>
      </c>
      <c r="X364" s="1" t="s">
        <v>20</v>
      </c>
    </row>
    <row r="365" spans="1:24" x14ac:dyDescent="0.25">
      <c r="A365" s="1" t="str">
        <f t="shared" si="97"/>
        <v>卡卡杜-凤凰仓</v>
      </c>
      <c r="B365" s="1" t="str">
        <f>"CK202410311668"</f>
        <v>CK202410311668</v>
      </c>
      <c r="C365" s="1" t="str">
        <f>"DD2024103112808"</f>
        <v>DD2024103112808</v>
      </c>
      <c r="D365" s="1" t="str">
        <f>"CK2024103118889"</f>
        <v>CK2024103118889</v>
      </c>
      <c r="E365" s="1" t="str">
        <f>"3723673952351290880"</f>
        <v>3723673952351290880</v>
      </c>
      <c r="F365" s="1" t="str">
        <f t="shared" si="98"/>
        <v>花都四部-凤凰仓</v>
      </c>
      <c r="G365" s="1" t="str">
        <f t="shared" si="104"/>
        <v>卡卡杜企业店（视频号）</v>
      </c>
      <c r="H365" s="1" t="str">
        <f t="shared" si="99"/>
        <v>正常订单</v>
      </c>
      <c r="I365" s="1" t="str">
        <f t="shared" si="100"/>
        <v>已发货</v>
      </c>
      <c r="J365" s="1" t="str">
        <f t="shared" si="113"/>
        <v>2</v>
      </c>
      <c r="K365" s="1">
        <v>2</v>
      </c>
      <c r="L365" s="1" t="s">
        <v>32</v>
      </c>
      <c r="M365" s="1" t="str">
        <f>"陕西省 西安市 碑林区 "</f>
        <v xml:space="preserve">陕西省 西安市 碑林区 </v>
      </c>
      <c r="N365" s="1" t="str">
        <f t="shared" si="94"/>
        <v>凡华云仓-城南圆通-微信视频号</v>
      </c>
      <c r="O365" s="5" t="s">
        <v>403</v>
      </c>
      <c r="P365" s="6">
        <v>0.17</v>
      </c>
      <c r="Q365" s="11">
        <v>2</v>
      </c>
      <c r="R365" s="11"/>
      <c r="S365" s="11"/>
      <c r="T365" s="11"/>
      <c r="U365" s="11">
        <f t="shared" si="101"/>
        <v>2</v>
      </c>
      <c r="W365">
        <v>2.2000000000000002</v>
      </c>
      <c r="X365" s="1" t="s">
        <v>32</v>
      </c>
    </row>
    <row r="366" spans="1:24" x14ac:dyDescent="0.25">
      <c r="A366" s="1" t="str">
        <f t="shared" si="97"/>
        <v>卡卡杜-凤凰仓</v>
      </c>
      <c r="B366" s="1" t="str">
        <f>"CK20241031122"</f>
        <v>CK20241031122</v>
      </c>
      <c r="C366" s="1" t="str">
        <f>"DD2024103112273"</f>
        <v>DD2024103112273</v>
      </c>
      <c r="D366" s="1" t="str">
        <f>"CK2024103118887"</f>
        <v>CK2024103118887</v>
      </c>
      <c r="E366" s="1" t="str">
        <f>"3723673955316927488"</f>
        <v>3723673955316927488</v>
      </c>
      <c r="F366" s="1" t="str">
        <f t="shared" si="98"/>
        <v>花都四部-凤凰仓</v>
      </c>
      <c r="G366" s="1" t="str">
        <f t="shared" si="104"/>
        <v>卡卡杜企业店（视频号）</v>
      </c>
      <c r="H366" s="1" t="str">
        <f t="shared" si="99"/>
        <v>正常订单</v>
      </c>
      <c r="I366" s="1" t="str">
        <f t="shared" si="100"/>
        <v>已发货</v>
      </c>
      <c r="J366" s="1" t="str">
        <f>"3"</f>
        <v>3</v>
      </c>
      <c r="K366" s="1">
        <v>2</v>
      </c>
      <c r="L366" s="1" t="s">
        <v>20</v>
      </c>
      <c r="M366" s="1" t="str">
        <f>"浙江省 金华市 婺城区 "</f>
        <v xml:space="preserve">浙江省 金华市 婺城区 </v>
      </c>
      <c r="N366" s="1" t="str">
        <f t="shared" si="94"/>
        <v>凡华云仓-城南圆通-微信视频号</v>
      </c>
      <c r="O366" s="5" t="s">
        <v>404</v>
      </c>
      <c r="P366" s="6">
        <v>0.25</v>
      </c>
      <c r="Q366" s="11">
        <v>2</v>
      </c>
      <c r="R366" s="11"/>
      <c r="S366" s="11"/>
      <c r="T366" s="11"/>
      <c r="U366" s="11">
        <f t="shared" si="101"/>
        <v>2</v>
      </c>
      <c r="W366">
        <v>2.2000000000000002</v>
      </c>
      <c r="X366" s="1" t="s">
        <v>20</v>
      </c>
    </row>
    <row r="367" spans="1:24" x14ac:dyDescent="0.25">
      <c r="A367" s="1" t="str">
        <f t="shared" si="97"/>
        <v>卡卡杜-凤凰仓</v>
      </c>
      <c r="B367" s="1" t="str">
        <f>"CK202410311666"</f>
        <v>CK202410311666</v>
      </c>
      <c r="C367" s="1" t="str">
        <f>"DD2024103112805"</f>
        <v>DD2024103112805</v>
      </c>
      <c r="D367" s="1" t="str">
        <f>"CK2024103118886"</f>
        <v>CK2024103118886</v>
      </c>
      <c r="E367" s="1" t="str">
        <f>"3723673957647910400"</f>
        <v>3723673957647910400</v>
      </c>
      <c r="F367" s="1" t="str">
        <f t="shared" si="98"/>
        <v>花都四部-凤凰仓</v>
      </c>
      <c r="G367" s="1" t="str">
        <f t="shared" si="104"/>
        <v>卡卡杜企业店（视频号）</v>
      </c>
      <c r="H367" s="1" t="str">
        <f t="shared" si="99"/>
        <v>正常订单</v>
      </c>
      <c r="I367" s="1" t="str">
        <f t="shared" si="100"/>
        <v>已发货</v>
      </c>
      <c r="J367" s="1" t="str">
        <f t="shared" si="113"/>
        <v>2</v>
      </c>
      <c r="K367" s="1">
        <v>2</v>
      </c>
      <c r="L367" s="1" t="s">
        <v>92</v>
      </c>
      <c r="M367" s="1" t="str">
        <f>"辽宁省 沈阳市 和平区 "</f>
        <v xml:space="preserve">辽宁省 沈阳市 和平区 </v>
      </c>
      <c r="N367" s="1" t="str">
        <f t="shared" si="94"/>
        <v>凡华云仓-城南圆通-微信视频号</v>
      </c>
      <c r="O367" s="5" t="s">
        <v>405</v>
      </c>
      <c r="P367" s="6">
        <v>0.17</v>
      </c>
      <c r="Q367" s="11">
        <v>2</v>
      </c>
      <c r="R367" s="11"/>
      <c r="S367" s="11"/>
      <c r="T367" s="11"/>
      <c r="U367" s="11">
        <f t="shared" si="101"/>
        <v>2</v>
      </c>
      <c r="W367">
        <v>2.2000000000000002</v>
      </c>
      <c r="X367" s="1" t="s">
        <v>92</v>
      </c>
    </row>
    <row r="368" spans="1:24" x14ac:dyDescent="0.25">
      <c r="A368" s="1" t="str">
        <f t="shared" si="97"/>
        <v>卡卡杜-凤凰仓</v>
      </c>
      <c r="B368" s="1" t="str">
        <f>"CK202410311667"</f>
        <v>CK202410311667</v>
      </c>
      <c r="C368" s="1" t="str">
        <f>"DD2024103112807"</f>
        <v>DD2024103112807</v>
      </c>
      <c r="D368" s="1" t="str">
        <f>"CK2024103118885"</f>
        <v>CK2024103118885</v>
      </c>
      <c r="E368" s="1" t="str">
        <f>"3723673956975514624"</f>
        <v>3723673956975514624</v>
      </c>
      <c r="F368" s="1" t="str">
        <f t="shared" si="98"/>
        <v>花都四部-凤凰仓</v>
      </c>
      <c r="G368" s="1" t="str">
        <f t="shared" si="104"/>
        <v>卡卡杜企业店（视频号）</v>
      </c>
      <c r="H368" s="1" t="str">
        <f t="shared" si="99"/>
        <v>正常订单</v>
      </c>
      <c r="I368" s="1" t="str">
        <f t="shared" si="100"/>
        <v>已发货</v>
      </c>
      <c r="J368" s="1" t="str">
        <f t="shared" si="113"/>
        <v>2</v>
      </c>
      <c r="K368" s="1">
        <v>2</v>
      </c>
      <c r="L368" s="1" t="s">
        <v>20</v>
      </c>
      <c r="M368" s="1" t="str">
        <f>"浙江省 温州市 鹿城区 "</f>
        <v xml:space="preserve">浙江省 温州市 鹿城区 </v>
      </c>
      <c r="N368" s="1" t="str">
        <f t="shared" si="94"/>
        <v>凡华云仓-城南圆通-微信视频号</v>
      </c>
      <c r="O368" s="5" t="s">
        <v>406</v>
      </c>
      <c r="P368" s="6">
        <v>0.17</v>
      </c>
      <c r="Q368" s="11">
        <v>2</v>
      </c>
      <c r="R368" s="11"/>
      <c r="S368" s="11"/>
      <c r="T368" s="11"/>
      <c r="U368" s="11">
        <f t="shared" si="101"/>
        <v>2</v>
      </c>
      <c r="W368">
        <v>2.2000000000000002</v>
      </c>
      <c r="X368" s="1" t="s">
        <v>20</v>
      </c>
    </row>
    <row r="369" spans="1:24" x14ac:dyDescent="0.25">
      <c r="A369" s="1" t="str">
        <f t="shared" si="97"/>
        <v>卡卡杜-凤凰仓</v>
      </c>
      <c r="B369" s="1" t="str">
        <f>"CK20241031141"</f>
        <v>CK20241031141</v>
      </c>
      <c r="C369" s="1" t="str">
        <f>"DD2024103112325"</f>
        <v>DD2024103112325</v>
      </c>
      <c r="D369" s="1" t="str">
        <f>"CK2024103118883"</f>
        <v>CK2024103118883</v>
      </c>
      <c r="E369" s="1" t="str">
        <f>"3723673955036957696"</f>
        <v>3723673955036957696</v>
      </c>
      <c r="F369" s="1" t="str">
        <f t="shared" si="98"/>
        <v>花都四部-凤凰仓</v>
      </c>
      <c r="G369" s="1" t="str">
        <f t="shared" si="104"/>
        <v>卡卡杜企业店（视频号）</v>
      </c>
      <c r="H369" s="1" t="str">
        <f t="shared" si="99"/>
        <v>正常订单</v>
      </c>
      <c r="I369" s="1" t="str">
        <f t="shared" si="100"/>
        <v>已发货</v>
      </c>
      <c r="J369" s="1" t="str">
        <f>"3"</f>
        <v>3</v>
      </c>
      <c r="K369" s="1">
        <v>2</v>
      </c>
      <c r="L369" s="1" t="s">
        <v>96</v>
      </c>
      <c r="M369" s="1" t="str">
        <f>"广西壮族自治区 柳州市 柳北区 "</f>
        <v xml:space="preserve">广西壮族自治区 柳州市 柳北区 </v>
      </c>
      <c r="N369" s="1" t="str">
        <f t="shared" ref="N369:N432" si="114">"凡华云仓-城南圆通-微信视频号"</f>
        <v>凡华云仓-城南圆通-微信视频号</v>
      </c>
      <c r="O369" s="5" t="s">
        <v>407</v>
      </c>
      <c r="P369" s="6">
        <v>0.25</v>
      </c>
      <c r="Q369" s="11">
        <v>2</v>
      </c>
      <c r="R369" s="11"/>
      <c r="S369" s="11"/>
      <c r="T369" s="11"/>
      <c r="U369" s="11">
        <f t="shared" si="101"/>
        <v>2</v>
      </c>
      <c r="W369">
        <v>2.2000000000000002</v>
      </c>
      <c r="X369" s="1" t="s">
        <v>96</v>
      </c>
    </row>
    <row r="370" spans="1:24" x14ac:dyDescent="0.25">
      <c r="A370" s="1" t="str">
        <f t="shared" si="97"/>
        <v>卡卡杜-凤凰仓</v>
      </c>
      <c r="B370" s="1" t="str">
        <f>"CK202410311669"</f>
        <v>CK202410311669</v>
      </c>
      <c r="C370" s="1" t="str">
        <f>"DD2024103112809"</f>
        <v>DD2024103112809</v>
      </c>
      <c r="D370" s="1" t="str">
        <f>"CK2024103118881"</f>
        <v>CK2024103118881</v>
      </c>
      <c r="E370" s="1" t="str">
        <f>"3723673950453892352"</f>
        <v>3723673950453892352</v>
      </c>
      <c r="F370" s="1" t="str">
        <f t="shared" si="98"/>
        <v>花都四部-凤凰仓</v>
      </c>
      <c r="G370" s="1" t="str">
        <f t="shared" si="104"/>
        <v>卡卡杜企业店（视频号）</v>
      </c>
      <c r="H370" s="1" t="str">
        <f t="shared" si="99"/>
        <v>正常订单</v>
      </c>
      <c r="I370" s="1" t="str">
        <f t="shared" si="100"/>
        <v>已发货</v>
      </c>
      <c r="J370" s="1" t="str">
        <f t="shared" ref="J370:J372" si="115">"2"</f>
        <v>2</v>
      </c>
      <c r="K370" s="1">
        <v>2</v>
      </c>
      <c r="L370" s="1" t="s">
        <v>30</v>
      </c>
      <c r="M370" s="1" t="str">
        <f>"山东省 烟台市 牟平区 "</f>
        <v xml:space="preserve">山东省 烟台市 牟平区 </v>
      </c>
      <c r="N370" s="1" t="str">
        <f t="shared" si="114"/>
        <v>凡华云仓-城南圆通-微信视频号</v>
      </c>
      <c r="O370" s="5" t="s">
        <v>408</v>
      </c>
      <c r="P370" s="6">
        <v>0.17</v>
      </c>
      <c r="Q370" s="11">
        <v>2</v>
      </c>
      <c r="R370" s="11"/>
      <c r="S370" s="11"/>
      <c r="T370" s="11"/>
      <c r="U370" s="11">
        <f t="shared" si="101"/>
        <v>2</v>
      </c>
      <c r="W370">
        <v>2.2000000000000002</v>
      </c>
      <c r="X370" s="1" t="s">
        <v>30</v>
      </c>
    </row>
    <row r="371" spans="1:24" x14ac:dyDescent="0.25">
      <c r="A371" s="1" t="str">
        <f t="shared" si="97"/>
        <v>卡卡杜-凤凰仓</v>
      </c>
      <c r="B371" s="1" t="str">
        <f>"CK202410311670"</f>
        <v>CK202410311670</v>
      </c>
      <c r="C371" s="1" t="str">
        <f>"DD2024103112810"</f>
        <v>DD2024103112810</v>
      </c>
      <c r="D371" s="1" t="str">
        <f>"CK2024103118880"</f>
        <v>CK2024103118880</v>
      </c>
      <c r="E371" s="1" t="str">
        <f>"3723673950777117697"</f>
        <v>3723673950777117697</v>
      </c>
      <c r="F371" s="1" t="str">
        <f t="shared" si="98"/>
        <v>花都四部-凤凰仓</v>
      </c>
      <c r="G371" s="1" t="str">
        <f t="shared" si="104"/>
        <v>卡卡杜企业店（视频号）</v>
      </c>
      <c r="H371" s="1" t="str">
        <f t="shared" si="99"/>
        <v>正常订单</v>
      </c>
      <c r="I371" s="1" t="str">
        <f t="shared" si="100"/>
        <v>已发货</v>
      </c>
      <c r="J371" s="1" t="str">
        <f t="shared" si="115"/>
        <v>2</v>
      </c>
      <c r="K371" s="1">
        <v>2</v>
      </c>
      <c r="L371" s="1" t="s">
        <v>92</v>
      </c>
      <c r="M371" s="1" t="str">
        <f>"辽宁省 大连市 沙河口区 "</f>
        <v xml:space="preserve">辽宁省 大连市 沙河口区 </v>
      </c>
      <c r="N371" s="1" t="str">
        <f t="shared" si="114"/>
        <v>凡华云仓-城南圆通-微信视频号</v>
      </c>
      <c r="O371" s="5" t="s">
        <v>409</v>
      </c>
      <c r="P371" s="6">
        <v>0.17</v>
      </c>
      <c r="Q371" s="11">
        <v>2</v>
      </c>
      <c r="R371" s="11"/>
      <c r="S371" s="11"/>
      <c r="T371" s="11"/>
      <c r="U371" s="11">
        <f t="shared" si="101"/>
        <v>2</v>
      </c>
      <c r="W371">
        <v>2.2000000000000002</v>
      </c>
      <c r="X371" s="1" t="s">
        <v>92</v>
      </c>
    </row>
    <row r="372" spans="1:24" x14ac:dyDescent="0.25">
      <c r="A372" s="1" t="str">
        <f t="shared" si="97"/>
        <v>卡卡杜-凤凰仓</v>
      </c>
      <c r="B372" s="1" t="str">
        <f>"CK202410311671"</f>
        <v>CK202410311671</v>
      </c>
      <c r="C372" s="1" t="str">
        <f>"DD2024103112811"</f>
        <v>DD2024103112811</v>
      </c>
      <c r="D372" s="1" t="str">
        <f>"CK2024103118878"</f>
        <v>CK2024103118878</v>
      </c>
      <c r="E372" s="1" t="str">
        <f>"3723673944234003456"</f>
        <v>3723673944234003456</v>
      </c>
      <c r="F372" s="1" t="str">
        <f t="shared" si="98"/>
        <v>花都四部-凤凰仓</v>
      </c>
      <c r="G372" s="1" t="str">
        <f t="shared" si="104"/>
        <v>卡卡杜企业店（视频号）</v>
      </c>
      <c r="H372" s="1" t="str">
        <f t="shared" si="99"/>
        <v>正常订单</v>
      </c>
      <c r="I372" s="1" t="str">
        <f t="shared" si="100"/>
        <v>已发货</v>
      </c>
      <c r="J372" s="1" t="str">
        <f t="shared" si="115"/>
        <v>2</v>
      </c>
      <c r="K372" s="1">
        <v>2</v>
      </c>
      <c r="L372" s="1" t="s">
        <v>105</v>
      </c>
      <c r="M372" s="1" t="str">
        <f>"北京 北京市 房山区 "</f>
        <v xml:space="preserve">北京 北京市 房山区 </v>
      </c>
      <c r="N372" s="1" t="str">
        <f t="shared" si="114"/>
        <v>凡华云仓-城南圆通-微信视频号</v>
      </c>
      <c r="O372" s="5" t="s">
        <v>410</v>
      </c>
      <c r="P372" s="6">
        <v>0.17</v>
      </c>
      <c r="Q372" s="11">
        <v>2</v>
      </c>
      <c r="R372" s="11"/>
      <c r="S372" s="11"/>
      <c r="T372" s="11"/>
      <c r="U372" s="11">
        <f t="shared" si="101"/>
        <v>2</v>
      </c>
      <c r="W372">
        <v>2.2000000000000002</v>
      </c>
      <c r="X372" s="1" t="s">
        <v>105</v>
      </c>
    </row>
    <row r="373" spans="1:24" x14ac:dyDescent="0.25">
      <c r="A373" s="1" t="str">
        <f t="shared" si="97"/>
        <v>卡卡杜-凤凰仓</v>
      </c>
      <c r="B373" s="1" t="str">
        <f>"CK20241031137"</f>
        <v>CK20241031137</v>
      </c>
      <c r="C373" s="1" t="str">
        <f>"DD2024103112316"</f>
        <v>DD2024103112316</v>
      </c>
      <c r="D373" s="1" t="str">
        <f>"CK2024103118877"</f>
        <v>CK2024103118877</v>
      </c>
      <c r="E373" s="1" t="str">
        <f>"3723673923740894720"</f>
        <v>3723673923740894720</v>
      </c>
      <c r="F373" s="1" t="str">
        <f t="shared" si="98"/>
        <v>花都四部-凤凰仓</v>
      </c>
      <c r="G373" s="1" t="str">
        <f t="shared" si="104"/>
        <v>卡卡杜企业店（视频号）</v>
      </c>
      <c r="H373" s="1" t="str">
        <f t="shared" si="99"/>
        <v>正常订单</v>
      </c>
      <c r="I373" s="1" t="str">
        <f t="shared" si="100"/>
        <v>已发货</v>
      </c>
      <c r="J373" s="1" t="str">
        <f t="shared" ref="J373:J376" si="116">"3"</f>
        <v>3</v>
      </c>
      <c r="K373" s="1">
        <v>2</v>
      </c>
      <c r="L373" s="1" t="s">
        <v>13</v>
      </c>
      <c r="M373" s="1" t="str">
        <f>"江苏省 盐城市 亭湖区 "</f>
        <v xml:space="preserve">江苏省 盐城市 亭湖区 </v>
      </c>
      <c r="N373" s="1" t="str">
        <f t="shared" si="114"/>
        <v>凡华云仓-城南圆通-微信视频号</v>
      </c>
      <c r="O373" s="5" t="s">
        <v>411</v>
      </c>
      <c r="P373" s="6">
        <v>0.25</v>
      </c>
      <c r="Q373" s="11">
        <v>2</v>
      </c>
      <c r="R373" s="11"/>
      <c r="S373" s="11"/>
      <c r="T373" s="11"/>
      <c r="U373" s="11">
        <f t="shared" si="101"/>
        <v>2</v>
      </c>
      <c r="W373">
        <v>2.2000000000000002</v>
      </c>
      <c r="X373" s="1" t="s">
        <v>13</v>
      </c>
    </row>
    <row r="374" spans="1:24" x14ac:dyDescent="0.25">
      <c r="A374" s="1" t="str">
        <f t="shared" si="97"/>
        <v>卡卡杜-凤凰仓</v>
      </c>
      <c r="B374" s="1" t="str">
        <f>"CK202410311672"</f>
        <v>CK202410311672</v>
      </c>
      <c r="C374" s="1" t="str">
        <f>"DD2024103112812"</f>
        <v>DD2024103112812</v>
      </c>
      <c r="D374" s="1" t="str">
        <f>"CK2024103118875"</f>
        <v>CK2024103118875</v>
      </c>
      <c r="E374" s="1" t="str">
        <f>"3723673885775892480"</f>
        <v>3723673885775892480</v>
      </c>
      <c r="F374" s="1" t="str">
        <f t="shared" si="98"/>
        <v>花都四部-凤凰仓</v>
      </c>
      <c r="G374" s="1" t="str">
        <f t="shared" si="104"/>
        <v>卡卡杜企业店（视频号）</v>
      </c>
      <c r="H374" s="1" t="str">
        <f t="shared" si="99"/>
        <v>正常订单</v>
      </c>
      <c r="I374" s="1" t="str">
        <f t="shared" si="100"/>
        <v>已发货</v>
      </c>
      <c r="J374" s="1" t="str">
        <f>"2"</f>
        <v>2</v>
      </c>
      <c r="K374" s="1">
        <v>2</v>
      </c>
      <c r="L374" s="1" t="s">
        <v>32</v>
      </c>
      <c r="M374" s="1" t="str">
        <f>"陕西省 咸阳市 秦都区 "</f>
        <v xml:space="preserve">陕西省 咸阳市 秦都区 </v>
      </c>
      <c r="N374" s="1" t="str">
        <f t="shared" si="114"/>
        <v>凡华云仓-城南圆通-微信视频号</v>
      </c>
      <c r="O374" s="5" t="s">
        <v>412</v>
      </c>
      <c r="P374" s="6">
        <v>0.17</v>
      </c>
      <c r="Q374" s="11">
        <v>2</v>
      </c>
      <c r="R374" s="11"/>
      <c r="S374" s="11"/>
      <c r="T374" s="11"/>
      <c r="U374" s="11">
        <f t="shared" si="101"/>
        <v>2</v>
      </c>
      <c r="W374">
        <v>2.2000000000000002</v>
      </c>
      <c r="X374" s="1" t="s">
        <v>32</v>
      </c>
    </row>
    <row r="375" spans="1:24" x14ac:dyDescent="0.25">
      <c r="A375" s="1" t="str">
        <f t="shared" si="97"/>
        <v>卡卡杜-凤凰仓</v>
      </c>
      <c r="B375" s="1" t="str">
        <f>"CK20241031150"</f>
        <v>CK20241031150</v>
      </c>
      <c r="C375" s="1" t="str">
        <f>"DD2024103112346"</f>
        <v>DD2024103112346</v>
      </c>
      <c r="D375" s="1" t="str">
        <f>"CK2024103118873"</f>
        <v>CK2024103118873</v>
      </c>
      <c r="E375" s="1" t="str">
        <f>"3723673840050636288"</f>
        <v>3723673840050636288</v>
      </c>
      <c r="F375" s="1" t="str">
        <f t="shared" si="98"/>
        <v>花都四部-凤凰仓</v>
      </c>
      <c r="G375" s="1" t="str">
        <f t="shared" si="104"/>
        <v>卡卡杜企业店（视频号）</v>
      </c>
      <c r="H375" s="1" t="str">
        <f t="shared" si="99"/>
        <v>正常订单</v>
      </c>
      <c r="I375" s="1" t="str">
        <f t="shared" si="100"/>
        <v>已发货</v>
      </c>
      <c r="J375" s="1" t="str">
        <f t="shared" si="116"/>
        <v>3</v>
      </c>
      <c r="K375" s="1">
        <v>2</v>
      </c>
      <c r="L375" s="1" t="s">
        <v>80</v>
      </c>
      <c r="M375" s="1" t="str">
        <f>"河南省 郑州市 二七区 "</f>
        <v xml:space="preserve">河南省 郑州市 二七区 </v>
      </c>
      <c r="N375" s="1" t="str">
        <f t="shared" si="114"/>
        <v>凡华云仓-城南圆通-微信视频号</v>
      </c>
      <c r="O375" s="5" t="s">
        <v>413</v>
      </c>
      <c r="P375" s="6">
        <v>0.25</v>
      </c>
      <c r="Q375" s="11">
        <v>2</v>
      </c>
      <c r="R375" s="11"/>
      <c r="S375" s="11"/>
      <c r="T375" s="11"/>
      <c r="U375" s="11">
        <f t="shared" si="101"/>
        <v>2</v>
      </c>
      <c r="W375">
        <v>2.2000000000000002</v>
      </c>
      <c r="X375" s="1" t="s">
        <v>80</v>
      </c>
    </row>
    <row r="376" spans="1:24" x14ac:dyDescent="0.25">
      <c r="A376" s="1" t="str">
        <f t="shared" si="97"/>
        <v>卡卡杜-凤凰仓</v>
      </c>
      <c r="B376" s="1" t="str">
        <f>"CK2024103142"</f>
        <v>CK2024103142</v>
      </c>
      <c r="C376" s="1" t="str">
        <f>"DD2024103112076"</f>
        <v>DD2024103112076</v>
      </c>
      <c r="D376" s="1" t="str">
        <f>"CK2024103118872"</f>
        <v>CK2024103118872</v>
      </c>
      <c r="E376" s="1" t="str">
        <f>"3723673779820168449"</f>
        <v>3723673779820168449</v>
      </c>
      <c r="F376" s="1" t="str">
        <f t="shared" si="98"/>
        <v>花都四部-凤凰仓</v>
      </c>
      <c r="G376" s="1" t="str">
        <f t="shared" si="104"/>
        <v>卡卡杜企业店（视频号）</v>
      </c>
      <c r="H376" s="1" t="str">
        <f t="shared" si="99"/>
        <v>正常订单</v>
      </c>
      <c r="I376" s="1" t="str">
        <f t="shared" si="100"/>
        <v>已发货</v>
      </c>
      <c r="J376" s="1" t="str">
        <f t="shared" si="116"/>
        <v>3</v>
      </c>
      <c r="K376" s="1">
        <v>3</v>
      </c>
      <c r="L376" s="1" t="s">
        <v>18</v>
      </c>
      <c r="M376" s="1" t="str">
        <f>"广东省 深圳市 盐田区 "</f>
        <v xml:space="preserve">广东省 深圳市 盐田区 </v>
      </c>
      <c r="N376" s="1" t="str">
        <f t="shared" si="114"/>
        <v>凡华云仓-城南圆通-微信视频号</v>
      </c>
      <c r="O376" s="5" t="s">
        <v>414</v>
      </c>
      <c r="P376" s="6">
        <v>0.33</v>
      </c>
      <c r="Q376" s="11">
        <v>2.2999999999999998</v>
      </c>
      <c r="R376" s="11"/>
      <c r="S376" s="11"/>
      <c r="T376" s="11"/>
      <c r="U376" s="11">
        <f t="shared" si="101"/>
        <v>2.2999999999999998</v>
      </c>
      <c r="W376">
        <v>2.5</v>
      </c>
      <c r="X376" s="1" t="s">
        <v>18</v>
      </c>
    </row>
    <row r="377" spans="1:24" x14ac:dyDescent="0.25">
      <c r="A377" s="1" t="str">
        <f t="shared" si="97"/>
        <v>卡卡杜-凤凰仓</v>
      </c>
      <c r="B377" s="1" t="str">
        <f>"CK202410311673"</f>
        <v>CK202410311673</v>
      </c>
      <c r="C377" s="1" t="str">
        <f>"DD2024103112813"</f>
        <v>DD2024103112813</v>
      </c>
      <c r="D377" s="1" t="str">
        <f>"CK2024103118870"</f>
        <v>CK2024103118870</v>
      </c>
      <c r="E377" s="1" t="str">
        <f>"3723673726162177024"</f>
        <v>3723673726162177024</v>
      </c>
      <c r="F377" s="1" t="str">
        <f t="shared" si="98"/>
        <v>花都四部-凤凰仓</v>
      </c>
      <c r="G377" s="1" t="str">
        <f t="shared" si="104"/>
        <v>卡卡杜企业店（视频号）</v>
      </c>
      <c r="H377" s="1" t="str">
        <f t="shared" si="99"/>
        <v>正常订单</v>
      </c>
      <c r="I377" s="1" t="str">
        <f t="shared" si="100"/>
        <v>已发货</v>
      </c>
      <c r="J377" s="1" t="str">
        <f t="shared" ref="J377:J384" si="117">"2"</f>
        <v>2</v>
      </c>
      <c r="K377" s="1">
        <v>2</v>
      </c>
      <c r="L377" s="1" t="s">
        <v>74</v>
      </c>
      <c r="M377" s="1" t="str">
        <f>"上海 上海市 松江区 "</f>
        <v xml:space="preserve">上海 上海市 松江区 </v>
      </c>
      <c r="N377" s="1" t="str">
        <f t="shared" si="114"/>
        <v>凡华云仓-城南圆通-微信视频号</v>
      </c>
      <c r="O377" s="5" t="s">
        <v>415</v>
      </c>
      <c r="P377" s="6">
        <v>0.17</v>
      </c>
      <c r="Q377" s="11">
        <v>2</v>
      </c>
      <c r="R377" s="11"/>
      <c r="S377" s="11"/>
      <c r="T377" s="11"/>
      <c r="U377" s="11">
        <f t="shared" si="101"/>
        <v>2</v>
      </c>
      <c r="W377">
        <v>2.2000000000000002</v>
      </c>
      <c r="X377" s="1" t="s">
        <v>74</v>
      </c>
    </row>
    <row r="378" spans="1:24" x14ac:dyDescent="0.25">
      <c r="A378" s="1" t="str">
        <f t="shared" si="97"/>
        <v>卡卡杜-凤凰仓</v>
      </c>
      <c r="B378" s="1" t="str">
        <f>"CK20241031153"</f>
        <v>CK20241031153</v>
      </c>
      <c r="C378" s="1" t="str">
        <f>"DD2024103112355"</f>
        <v>DD2024103112355</v>
      </c>
      <c r="D378" s="1" t="str">
        <f>"CK2024103118868"</f>
        <v>CK2024103118868</v>
      </c>
      <c r="E378" s="1" t="str">
        <f>"3723673708163107840"</f>
        <v>3723673708163107840</v>
      </c>
      <c r="F378" s="1" t="str">
        <f t="shared" si="98"/>
        <v>花都四部-凤凰仓</v>
      </c>
      <c r="G378" s="1" t="str">
        <f t="shared" si="104"/>
        <v>卡卡杜企业店（视频号）</v>
      </c>
      <c r="H378" s="1" t="str">
        <f t="shared" si="99"/>
        <v>正常订单</v>
      </c>
      <c r="I378" s="1" t="str">
        <f t="shared" si="100"/>
        <v>已发货</v>
      </c>
      <c r="J378" s="1" t="str">
        <f>"3"</f>
        <v>3</v>
      </c>
      <c r="K378" s="1">
        <v>2</v>
      </c>
      <c r="L378" s="1" t="s">
        <v>96</v>
      </c>
      <c r="M378" s="1" t="str">
        <f>"广西壮族自治区 南宁市 江南区 "</f>
        <v xml:space="preserve">广西壮族自治区 南宁市 江南区 </v>
      </c>
      <c r="N378" s="1" t="str">
        <f t="shared" si="114"/>
        <v>凡华云仓-城南圆通-微信视频号</v>
      </c>
      <c r="O378" s="5" t="s">
        <v>416</v>
      </c>
      <c r="P378" s="6">
        <v>0.25</v>
      </c>
      <c r="Q378" s="11">
        <v>2</v>
      </c>
      <c r="R378" s="11"/>
      <c r="S378" s="11"/>
      <c r="T378" s="11"/>
      <c r="U378" s="11">
        <f t="shared" si="101"/>
        <v>2</v>
      </c>
      <c r="W378">
        <v>2.2000000000000002</v>
      </c>
      <c r="X378" s="1" t="s">
        <v>96</v>
      </c>
    </row>
    <row r="379" spans="1:24" x14ac:dyDescent="0.25">
      <c r="A379" s="1" t="str">
        <f t="shared" si="97"/>
        <v>卡卡杜-凤凰仓</v>
      </c>
      <c r="B379" s="1" t="str">
        <f>"CK202410311455"</f>
        <v>CK202410311455</v>
      </c>
      <c r="C379" s="1" t="str">
        <f>"DD2024103112629"</f>
        <v>DD2024103112629</v>
      </c>
      <c r="D379" s="1" t="str">
        <f>"CK2024103118867"</f>
        <v>CK2024103118867</v>
      </c>
      <c r="E379" s="1" t="str">
        <f>"3723673618065003520"</f>
        <v>3723673618065003520</v>
      </c>
      <c r="F379" s="1" t="str">
        <f t="shared" si="98"/>
        <v>花都四部-凤凰仓</v>
      </c>
      <c r="G379" s="1" t="str">
        <f t="shared" si="104"/>
        <v>卡卡杜企业店（视频号）</v>
      </c>
      <c r="H379" s="1" t="str">
        <f t="shared" si="99"/>
        <v>正常订单</v>
      </c>
      <c r="I379" s="1" t="str">
        <f t="shared" si="100"/>
        <v>已发货</v>
      </c>
      <c r="J379" s="1" t="str">
        <f>"5"</f>
        <v>5</v>
      </c>
      <c r="K379" s="1">
        <v>3</v>
      </c>
      <c r="L379" s="1" t="s">
        <v>20</v>
      </c>
      <c r="M379" s="1" t="str">
        <f>"浙江省 金华市 义乌市 "</f>
        <v xml:space="preserve">浙江省 金华市 义乌市 </v>
      </c>
      <c r="N379" s="1" t="str">
        <f t="shared" si="114"/>
        <v>凡华云仓-城南圆通-微信视频号</v>
      </c>
      <c r="O379" s="5" t="s">
        <v>417</v>
      </c>
      <c r="P379" s="6">
        <v>0.46</v>
      </c>
      <c r="Q379" s="11">
        <v>2.2999999999999998</v>
      </c>
      <c r="R379" s="11"/>
      <c r="S379" s="11"/>
      <c r="T379" s="11"/>
      <c r="U379" s="11">
        <f t="shared" si="101"/>
        <v>2.2999999999999998</v>
      </c>
      <c r="W379">
        <v>2.5</v>
      </c>
      <c r="X379" s="1" t="s">
        <v>20</v>
      </c>
    </row>
    <row r="380" spans="1:24" x14ac:dyDescent="0.25">
      <c r="A380" s="1" t="str">
        <f t="shared" si="97"/>
        <v>卡卡杜-凤凰仓</v>
      </c>
      <c r="B380" s="1" t="str">
        <f>"CK202410311674"</f>
        <v>CK202410311674</v>
      </c>
      <c r="C380" s="1" t="str">
        <f>"DD2024103112814"</f>
        <v>DD2024103112814</v>
      </c>
      <c r="D380" s="1" t="str">
        <f>"CK2024103118865"</f>
        <v>CK2024103118865</v>
      </c>
      <c r="E380" s="1" t="str">
        <f>"3723673620755123201"</f>
        <v>3723673620755123201</v>
      </c>
      <c r="F380" s="1" t="str">
        <f t="shared" si="98"/>
        <v>花都四部-凤凰仓</v>
      </c>
      <c r="G380" s="1" t="str">
        <f t="shared" si="104"/>
        <v>卡卡杜企业店（视频号）</v>
      </c>
      <c r="H380" s="1" t="str">
        <f t="shared" si="99"/>
        <v>正常订单</v>
      </c>
      <c r="I380" s="1" t="str">
        <f t="shared" si="100"/>
        <v>已发货</v>
      </c>
      <c r="J380" s="1" t="str">
        <f t="shared" si="117"/>
        <v>2</v>
      </c>
      <c r="K380" s="1">
        <v>2</v>
      </c>
      <c r="L380" s="1" t="s">
        <v>74</v>
      </c>
      <c r="M380" s="1" t="str">
        <f>"上海 上海市 徐汇区 "</f>
        <v xml:space="preserve">上海 上海市 徐汇区 </v>
      </c>
      <c r="N380" s="1" t="str">
        <f t="shared" si="114"/>
        <v>凡华云仓-城南圆通-微信视频号</v>
      </c>
      <c r="O380" s="5" t="s">
        <v>418</v>
      </c>
      <c r="P380" s="6">
        <v>0.17</v>
      </c>
      <c r="Q380" s="11">
        <v>2</v>
      </c>
      <c r="R380" s="11"/>
      <c r="S380" s="11"/>
      <c r="T380" s="11"/>
      <c r="U380" s="11">
        <f t="shared" si="101"/>
        <v>2</v>
      </c>
      <c r="W380">
        <v>2.2000000000000002</v>
      </c>
      <c r="X380" s="1" t="s">
        <v>74</v>
      </c>
    </row>
    <row r="381" spans="1:24" x14ac:dyDescent="0.25">
      <c r="A381" s="1" t="str">
        <f t="shared" si="97"/>
        <v>卡卡杜-凤凰仓</v>
      </c>
      <c r="B381" s="1" t="str">
        <f>"CK20241031155"</f>
        <v>CK20241031155</v>
      </c>
      <c r="C381" s="1" t="str">
        <f>"DD2024103112361"</f>
        <v>DD2024103112361</v>
      </c>
      <c r="D381" s="1" t="str">
        <f>"CK2024103118864"</f>
        <v>CK2024103118864</v>
      </c>
      <c r="E381" s="1" t="str">
        <f>"3723673564233993216"</f>
        <v>3723673564233993216</v>
      </c>
      <c r="F381" s="1" t="str">
        <f t="shared" si="98"/>
        <v>花都四部-凤凰仓</v>
      </c>
      <c r="G381" s="1" t="str">
        <f t="shared" si="104"/>
        <v>卡卡杜企业店（视频号）</v>
      </c>
      <c r="H381" s="1" t="str">
        <f t="shared" si="99"/>
        <v>正常订单</v>
      </c>
      <c r="I381" s="1" t="str">
        <f t="shared" si="100"/>
        <v>已发货</v>
      </c>
      <c r="J381" s="1" t="str">
        <f t="shared" ref="J381:J386" si="118">"3"</f>
        <v>3</v>
      </c>
      <c r="K381" s="1">
        <v>2</v>
      </c>
      <c r="L381" s="1" t="s">
        <v>30</v>
      </c>
      <c r="M381" s="1" t="str">
        <f>"山东省 烟台市 芝罘区 "</f>
        <v xml:space="preserve">山东省 烟台市 芝罘区 </v>
      </c>
      <c r="N381" s="1" t="str">
        <f t="shared" si="114"/>
        <v>凡华云仓-城南圆通-微信视频号</v>
      </c>
      <c r="O381" s="5" t="s">
        <v>419</v>
      </c>
      <c r="P381" s="6">
        <v>0.25</v>
      </c>
      <c r="Q381" s="11">
        <v>2</v>
      </c>
      <c r="R381" s="11"/>
      <c r="S381" s="11"/>
      <c r="T381" s="11"/>
      <c r="U381" s="11">
        <f t="shared" si="101"/>
        <v>2</v>
      </c>
      <c r="W381">
        <v>2.2000000000000002</v>
      </c>
      <c r="X381" s="1" t="s">
        <v>30</v>
      </c>
    </row>
    <row r="382" spans="1:24" x14ac:dyDescent="0.25">
      <c r="A382" s="1" t="str">
        <f t="shared" si="97"/>
        <v>卡卡杜-凤凰仓</v>
      </c>
      <c r="B382" s="1" t="str">
        <f>"CK202410311675"</f>
        <v>CK202410311675</v>
      </c>
      <c r="C382" s="1" t="str">
        <f>"DD2024103112815"</f>
        <v>DD2024103112815</v>
      </c>
      <c r="D382" s="1" t="str">
        <f>"CK2024103118862"</f>
        <v>CK2024103118862</v>
      </c>
      <c r="E382" s="1" t="str">
        <f>"3723673606470372352"</f>
        <v>3723673606470372352</v>
      </c>
      <c r="F382" s="1" t="str">
        <f t="shared" si="98"/>
        <v>花都四部-凤凰仓</v>
      </c>
      <c r="G382" s="1" t="str">
        <f t="shared" si="104"/>
        <v>卡卡杜企业店（视频号）</v>
      </c>
      <c r="H382" s="1" t="str">
        <f t="shared" si="99"/>
        <v>正常订单</v>
      </c>
      <c r="I382" s="1" t="str">
        <f t="shared" si="100"/>
        <v>已发货</v>
      </c>
      <c r="J382" s="1" t="str">
        <f t="shared" si="117"/>
        <v>2</v>
      </c>
      <c r="K382" s="1">
        <v>2</v>
      </c>
      <c r="L382" s="1" t="s">
        <v>92</v>
      </c>
      <c r="M382" s="1" t="str">
        <f>"辽宁省 葫芦岛市 兴城市 "</f>
        <v xml:space="preserve">辽宁省 葫芦岛市 兴城市 </v>
      </c>
      <c r="N382" s="1" t="str">
        <f t="shared" si="114"/>
        <v>凡华云仓-城南圆通-微信视频号</v>
      </c>
      <c r="O382" s="5" t="s">
        <v>420</v>
      </c>
      <c r="P382" s="6">
        <v>0.17</v>
      </c>
      <c r="Q382" s="11">
        <v>2</v>
      </c>
      <c r="R382" s="11"/>
      <c r="S382" s="11"/>
      <c r="T382" s="11"/>
      <c r="U382" s="11">
        <f t="shared" si="101"/>
        <v>2</v>
      </c>
      <c r="W382">
        <v>2.2000000000000002</v>
      </c>
      <c r="X382" s="1" t="s">
        <v>92</v>
      </c>
    </row>
    <row r="383" spans="1:24" x14ac:dyDescent="0.25">
      <c r="A383" s="1" t="str">
        <f t="shared" si="97"/>
        <v>卡卡杜-凤凰仓</v>
      </c>
      <c r="B383" s="1" t="str">
        <f>"CK202410311676"</f>
        <v>CK202410311676</v>
      </c>
      <c r="C383" s="1" t="str">
        <f>"DD2024103112817"</f>
        <v>DD2024103112817</v>
      </c>
      <c r="D383" s="1" t="str">
        <f>"CK2024103118860"</f>
        <v>CK2024103118860</v>
      </c>
      <c r="E383" s="1" t="str">
        <f>"3723673589374127105"</f>
        <v>3723673589374127105</v>
      </c>
      <c r="F383" s="1" t="str">
        <f t="shared" si="98"/>
        <v>花都四部-凤凰仓</v>
      </c>
      <c r="G383" s="1" t="str">
        <f t="shared" si="104"/>
        <v>卡卡杜企业店（视频号）</v>
      </c>
      <c r="H383" s="1" t="str">
        <f t="shared" si="99"/>
        <v>正常订单</v>
      </c>
      <c r="I383" s="1" t="str">
        <f t="shared" si="100"/>
        <v>已发货</v>
      </c>
      <c r="J383" s="1" t="str">
        <f t="shared" si="117"/>
        <v>2</v>
      </c>
      <c r="K383" s="1">
        <v>2</v>
      </c>
      <c r="L383" s="1" t="s">
        <v>44</v>
      </c>
      <c r="M383" s="1" t="str">
        <f>"海南省 儋州市 白马井镇 "</f>
        <v xml:space="preserve">海南省 儋州市 白马井镇 </v>
      </c>
      <c r="N383" s="1" t="str">
        <f t="shared" si="114"/>
        <v>凡华云仓-城南圆通-微信视频号</v>
      </c>
      <c r="O383" s="5" t="s">
        <v>421</v>
      </c>
      <c r="P383" s="6">
        <v>0.17</v>
      </c>
      <c r="Q383" s="11">
        <v>2</v>
      </c>
      <c r="R383" s="11"/>
      <c r="S383" s="11"/>
      <c r="T383" s="11"/>
      <c r="U383" s="11">
        <f t="shared" si="101"/>
        <v>2</v>
      </c>
      <c r="W383">
        <v>2.2000000000000002</v>
      </c>
      <c r="X383" s="1" t="s">
        <v>44</v>
      </c>
    </row>
    <row r="384" spans="1:24" x14ac:dyDescent="0.25">
      <c r="A384" s="1" t="str">
        <f t="shared" si="97"/>
        <v>卡卡杜-凤凰仓</v>
      </c>
      <c r="B384" s="1" t="str">
        <f>"CK202410311677"</f>
        <v>CK202410311677</v>
      </c>
      <c r="C384" s="1" t="str">
        <f>"DD2024103112816"</f>
        <v>DD2024103112816</v>
      </c>
      <c r="D384" s="1" t="str">
        <f>"CK2024103118859"</f>
        <v>CK2024103118859</v>
      </c>
      <c r="E384" s="1" t="str">
        <f>"3723673586275583232"</f>
        <v>3723673586275583232</v>
      </c>
      <c r="F384" s="1" t="str">
        <f t="shared" si="98"/>
        <v>花都四部-凤凰仓</v>
      </c>
      <c r="G384" s="1" t="str">
        <f t="shared" si="104"/>
        <v>卡卡杜企业店（视频号）</v>
      </c>
      <c r="H384" s="1" t="str">
        <f t="shared" si="99"/>
        <v>正常订单</v>
      </c>
      <c r="I384" s="1" t="str">
        <f t="shared" si="100"/>
        <v>已发货</v>
      </c>
      <c r="J384" s="1" t="str">
        <f t="shared" si="117"/>
        <v>2</v>
      </c>
      <c r="K384" s="1">
        <v>2</v>
      </c>
      <c r="L384" s="1" t="s">
        <v>105</v>
      </c>
      <c r="M384" s="1" t="str">
        <f>"北京 北京市 西城区 "</f>
        <v xml:space="preserve">北京 北京市 西城区 </v>
      </c>
      <c r="N384" s="1" t="str">
        <f t="shared" si="114"/>
        <v>凡华云仓-城南圆通-微信视频号</v>
      </c>
      <c r="O384" s="5" t="s">
        <v>422</v>
      </c>
      <c r="P384" s="6">
        <v>0.17</v>
      </c>
      <c r="Q384" s="11">
        <v>2</v>
      </c>
      <c r="R384" s="11"/>
      <c r="S384" s="11"/>
      <c r="T384" s="11"/>
      <c r="U384" s="11">
        <f t="shared" si="101"/>
        <v>2</v>
      </c>
      <c r="W384">
        <v>2.2000000000000002</v>
      </c>
      <c r="X384" s="1" t="s">
        <v>105</v>
      </c>
    </row>
    <row r="385" spans="1:24" x14ac:dyDescent="0.25">
      <c r="A385" s="1" t="str">
        <f t="shared" si="97"/>
        <v>卡卡杜-凤凰仓</v>
      </c>
      <c r="B385" s="1" t="str">
        <f>"CK20241031154"</f>
        <v>CK20241031154</v>
      </c>
      <c r="C385" s="1" t="str">
        <f>"DD2024103112357"</f>
        <v>DD2024103112357</v>
      </c>
      <c r="D385" s="1" t="str">
        <f>"CK2024103118857"</f>
        <v>CK2024103118857</v>
      </c>
      <c r="E385" s="1" t="str">
        <f>"3723673563079509504"</f>
        <v>3723673563079509504</v>
      </c>
      <c r="F385" s="1" t="str">
        <f t="shared" si="98"/>
        <v>花都四部-凤凰仓</v>
      </c>
      <c r="G385" s="1" t="str">
        <f t="shared" si="104"/>
        <v>卡卡杜企业店（视频号）</v>
      </c>
      <c r="H385" s="1" t="str">
        <f t="shared" si="99"/>
        <v>正常订单</v>
      </c>
      <c r="I385" s="1" t="str">
        <f t="shared" si="100"/>
        <v>已发货</v>
      </c>
      <c r="J385" s="1" t="str">
        <f t="shared" si="118"/>
        <v>3</v>
      </c>
      <c r="K385" s="1">
        <v>2</v>
      </c>
      <c r="L385" s="1" t="s">
        <v>105</v>
      </c>
      <c r="M385" s="1" t="str">
        <f>"北京 北京市 海淀区 "</f>
        <v xml:space="preserve">北京 北京市 海淀区 </v>
      </c>
      <c r="N385" s="1" t="str">
        <f t="shared" si="114"/>
        <v>凡华云仓-城南圆通-微信视频号</v>
      </c>
      <c r="O385" s="5" t="s">
        <v>423</v>
      </c>
      <c r="P385" s="6">
        <v>0.25</v>
      </c>
      <c r="Q385" s="11">
        <v>2</v>
      </c>
      <c r="R385" s="11"/>
      <c r="S385" s="11"/>
      <c r="T385" s="11"/>
      <c r="U385" s="11">
        <f t="shared" si="101"/>
        <v>2</v>
      </c>
      <c r="W385">
        <v>2.2000000000000002</v>
      </c>
      <c r="X385" s="1" t="s">
        <v>105</v>
      </c>
    </row>
    <row r="386" spans="1:24" x14ac:dyDescent="0.25">
      <c r="A386" s="1" t="str">
        <f t="shared" ref="A386:A449" si="119">"卡卡杜-凤凰仓"</f>
        <v>卡卡杜-凤凰仓</v>
      </c>
      <c r="B386" s="1" t="str">
        <f>"CK20241031139"</f>
        <v>CK20241031139</v>
      </c>
      <c r="C386" s="1" t="str">
        <f>"DD2024103112322"</f>
        <v>DD2024103112322</v>
      </c>
      <c r="D386" s="1" t="str">
        <f>"CK2024103118856"</f>
        <v>CK2024103118856</v>
      </c>
      <c r="E386" s="1" t="str">
        <f>"3723673561677563393"</f>
        <v>3723673561677563393</v>
      </c>
      <c r="F386" s="1" t="str">
        <f t="shared" ref="F386:F449" si="120">"花都四部-凤凰仓"</f>
        <v>花都四部-凤凰仓</v>
      </c>
      <c r="G386" s="1" t="str">
        <f t="shared" si="104"/>
        <v>卡卡杜企业店（视频号）</v>
      </c>
      <c r="H386" s="1" t="str">
        <f t="shared" ref="H386:H449" si="121">"正常订单"</f>
        <v>正常订单</v>
      </c>
      <c r="I386" s="1" t="str">
        <f t="shared" ref="I386:I449" si="122">"已发货"</f>
        <v>已发货</v>
      </c>
      <c r="J386" s="1" t="str">
        <f t="shared" si="118"/>
        <v>3</v>
      </c>
      <c r="K386" s="1">
        <v>2</v>
      </c>
      <c r="L386" s="1" t="s">
        <v>44</v>
      </c>
      <c r="M386" s="1" t="str">
        <f>"海南省 省直辖县级行政区划 东方市 "</f>
        <v xml:space="preserve">海南省 省直辖县级行政区划 东方市 </v>
      </c>
      <c r="N386" s="1" t="str">
        <f t="shared" si="114"/>
        <v>凡华云仓-城南圆通-微信视频号</v>
      </c>
      <c r="O386" s="5" t="s">
        <v>424</v>
      </c>
      <c r="P386" s="6">
        <v>0.25</v>
      </c>
      <c r="Q386" s="11">
        <v>2</v>
      </c>
      <c r="R386" s="11"/>
      <c r="S386" s="11"/>
      <c r="T386" s="11"/>
      <c r="U386" s="11">
        <f t="shared" si="101"/>
        <v>2</v>
      </c>
      <c r="W386">
        <v>2.2000000000000002</v>
      </c>
      <c r="X386" s="1" t="s">
        <v>44</v>
      </c>
    </row>
    <row r="387" spans="1:24" x14ac:dyDescent="0.25">
      <c r="A387" s="1" t="str">
        <f t="shared" si="119"/>
        <v>卡卡杜-凤凰仓</v>
      </c>
      <c r="B387" s="1" t="str">
        <f>"CK202410311678"</f>
        <v>CK202410311678</v>
      </c>
      <c r="C387" s="1" t="str">
        <f>"DD2024103112818"</f>
        <v>DD2024103112818</v>
      </c>
      <c r="D387" s="1" t="str">
        <f>"CK2024103118854"</f>
        <v>CK2024103118854</v>
      </c>
      <c r="E387" s="1" t="str">
        <f>"3723673556539804672"</f>
        <v>3723673556539804672</v>
      </c>
      <c r="F387" s="1" t="str">
        <f t="shared" si="120"/>
        <v>花都四部-凤凰仓</v>
      </c>
      <c r="G387" s="1" t="str">
        <f t="shared" si="104"/>
        <v>卡卡杜企业店（视频号）</v>
      </c>
      <c r="H387" s="1" t="str">
        <f t="shared" si="121"/>
        <v>正常订单</v>
      </c>
      <c r="I387" s="1" t="str">
        <f t="shared" si="122"/>
        <v>已发货</v>
      </c>
      <c r="J387" s="1" t="str">
        <f t="shared" ref="J387:J393" si="123">"2"</f>
        <v>2</v>
      </c>
      <c r="K387" s="1">
        <v>2</v>
      </c>
      <c r="L387" s="1" t="s">
        <v>94</v>
      </c>
      <c r="M387" s="1" t="str">
        <f>"湖南省 长沙市 芙蓉区 "</f>
        <v xml:space="preserve">湖南省 长沙市 芙蓉区 </v>
      </c>
      <c r="N387" s="1" t="str">
        <f t="shared" si="114"/>
        <v>凡华云仓-城南圆通-微信视频号</v>
      </c>
      <c r="O387" s="5" t="s">
        <v>425</v>
      </c>
      <c r="P387" s="6">
        <v>0.17</v>
      </c>
      <c r="Q387" s="11">
        <v>2</v>
      </c>
      <c r="R387" s="11"/>
      <c r="S387" s="11"/>
      <c r="T387" s="11"/>
      <c r="U387" s="11">
        <f t="shared" ref="U387:U450" si="124">T387+S387+R387+Q387</f>
        <v>2</v>
      </c>
      <c r="W387">
        <v>2.2000000000000002</v>
      </c>
      <c r="X387" s="1" t="s">
        <v>94</v>
      </c>
    </row>
    <row r="388" spans="1:24" x14ac:dyDescent="0.25">
      <c r="A388" s="1" t="str">
        <f t="shared" si="119"/>
        <v>卡卡杜-凤凰仓</v>
      </c>
      <c r="B388" s="1" t="str">
        <f>"CK20241031164"</f>
        <v>CK20241031164</v>
      </c>
      <c r="C388" s="1" t="str">
        <f>"DD2024103112381"</f>
        <v>DD2024103112381</v>
      </c>
      <c r="D388" s="1" t="str">
        <f>"CK2024103118853"</f>
        <v>CK2024103118853</v>
      </c>
      <c r="E388" s="1" t="str">
        <f>"3723673551722644736"</f>
        <v>3723673551722644736</v>
      </c>
      <c r="F388" s="1" t="str">
        <f t="shared" si="120"/>
        <v>花都四部-凤凰仓</v>
      </c>
      <c r="G388" s="1" t="str">
        <f t="shared" si="104"/>
        <v>卡卡杜企业店（视频号）</v>
      </c>
      <c r="H388" s="1" t="str">
        <f t="shared" si="121"/>
        <v>正常订单</v>
      </c>
      <c r="I388" s="1" t="str">
        <f t="shared" si="122"/>
        <v>已发货</v>
      </c>
      <c r="J388" s="1" t="str">
        <f t="shared" ref="J388:J391" si="125">"3"</f>
        <v>3</v>
      </c>
      <c r="K388" s="1">
        <v>2</v>
      </c>
      <c r="L388" s="1" t="s">
        <v>20</v>
      </c>
      <c r="M388" s="1" t="str">
        <f>"浙江省 宁波市 镇海区 "</f>
        <v xml:space="preserve">浙江省 宁波市 镇海区 </v>
      </c>
      <c r="N388" s="1" t="str">
        <f t="shared" si="114"/>
        <v>凡华云仓-城南圆通-微信视频号</v>
      </c>
      <c r="O388" s="5" t="s">
        <v>426</v>
      </c>
      <c r="P388" s="6">
        <v>0.25</v>
      </c>
      <c r="Q388" s="11">
        <v>2</v>
      </c>
      <c r="R388" s="11"/>
      <c r="S388" s="11"/>
      <c r="T388" s="11"/>
      <c r="U388" s="11">
        <f t="shared" si="124"/>
        <v>2</v>
      </c>
      <c r="W388">
        <v>2.2000000000000002</v>
      </c>
      <c r="X388" s="1" t="s">
        <v>20</v>
      </c>
    </row>
    <row r="389" spans="1:24" x14ac:dyDescent="0.25">
      <c r="A389" s="1" t="str">
        <f t="shared" si="119"/>
        <v>卡卡杜-凤凰仓</v>
      </c>
      <c r="B389" s="1" t="str">
        <f>"CK202410311679"</f>
        <v>CK202410311679</v>
      </c>
      <c r="C389" s="1" t="str">
        <f>"DD2024103112819"</f>
        <v>DD2024103112819</v>
      </c>
      <c r="D389" s="1" t="str">
        <f>"CK2024103118852"</f>
        <v>CK2024103118852</v>
      </c>
      <c r="E389" s="1" t="str">
        <f>"3723673550420313347"</f>
        <v>3723673550420313347</v>
      </c>
      <c r="F389" s="1" t="str">
        <f t="shared" si="120"/>
        <v>花都四部-凤凰仓</v>
      </c>
      <c r="G389" s="1" t="str">
        <f t="shared" si="104"/>
        <v>卡卡杜企业店（视频号）</v>
      </c>
      <c r="H389" s="1" t="str">
        <f t="shared" si="121"/>
        <v>正常订单</v>
      </c>
      <c r="I389" s="1" t="str">
        <f t="shared" si="122"/>
        <v>已发货</v>
      </c>
      <c r="J389" s="1" t="str">
        <f t="shared" si="123"/>
        <v>2</v>
      </c>
      <c r="K389" s="1">
        <v>2</v>
      </c>
      <c r="L389" s="1" t="s">
        <v>92</v>
      </c>
      <c r="M389" s="1" t="str">
        <f>"辽宁省 葫芦岛市 龙港区 "</f>
        <v xml:space="preserve">辽宁省 葫芦岛市 龙港区 </v>
      </c>
      <c r="N389" s="1" t="str">
        <f t="shared" si="114"/>
        <v>凡华云仓-城南圆通-微信视频号</v>
      </c>
      <c r="O389" s="5" t="s">
        <v>427</v>
      </c>
      <c r="P389" s="6">
        <v>0.17</v>
      </c>
      <c r="Q389" s="11">
        <v>2</v>
      </c>
      <c r="R389" s="11"/>
      <c r="S389" s="11"/>
      <c r="T389" s="11"/>
      <c r="U389" s="11">
        <f t="shared" si="124"/>
        <v>2</v>
      </c>
      <c r="W389">
        <v>2.2000000000000002</v>
      </c>
      <c r="X389" s="1" t="s">
        <v>92</v>
      </c>
    </row>
    <row r="390" spans="1:24" x14ac:dyDescent="0.25">
      <c r="A390" s="1" t="str">
        <f t="shared" si="119"/>
        <v>卡卡杜-凤凰仓</v>
      </c>
      <c r="B390" s="1" t="str">
        <f>"CK20241031157"</f>
        <v>CK20241031157</v>
      </c>
      <c r="C390" s="1" t="str">
        <f>"DD2024103112364"</f>
        <v>DD2024103112364</v>
      </c>
      <c r="D390" s="1" t="str">
        <f>"CK2024103118851"</f>
        <v>CK2024103118851</v>
      </c>
      <c r="E390" s="1" t="str">
        <f>"3723673554010637824"</f>
        <v>3723673554010637824</v>
      </c>
      <c r="F390" s="1" t="str">
        <f t="shared" si="120"/>
        <v>花都四部-凤凰仓</v>
      </c>
      <c r="G390" s="1" t="str">
        <f t="shared" si="104"/>
        <v>卡卡杜企业店（视频号）</v>
      </c>
      <c r="H390" s="1" t="str">
        <f t="shared" si="121"/>
        <v>正常订单</v>
      </c>
      <c r="I390" s="1" t="str">
        <f t="shared" si="122"/>
        <v>已发货</v>
      </c>
      <c r="J390" s="1" t="str">
        <f t="shared" si="125"/>
        <v>3</v>
      </c>
      <c r="K390" s="1">
        <v>2</v>
      </c>
      <c r="L390" s="1" t="s">
        <v>92</v>
      </c>
      <c r="M390" s="1" t="str">
        <f>"辽宁省 沈阳市 和平区 "</f>
        <v xml:space="preserve">辽宁省 沈阳市 和平区 </v>
      </c>
      <c r="N390" s="1" t="str">
        <f t="shared" si="114"/>
        <v>凡华云仓-城南圆通-微信视频号</v>
      </c>
      <c r="O390" s="5" t="s">
        <v>428</v>
      </c>
      <c r="P390" s="6">
        <v>0.25</v>
      </c>
      <c r="Q390" s="11">
        <v>2</v>
      </c>
      <c r="R390" s="11"/>
      <c r="S390" s="11"/>
      <c r="T390" s="11"/>
      <c r="U390" s="11">
        <f t="shared" si="124"/>
        <v>2</v>
      </c>
      <c r="W390">
        <v>2.2000000000000002</v>
      </c>
      <c r="X390" s="1" t="s">
        <v>92</v>
      </c>
    </row>
    <row r="391" spans="1:24" x14ac:dyDescent="0.25">
      <c r="A391" s="1" t="str">
        <f t="shared" si="119"/>
        <v>卡卡杜-凤凰仓</v>
      </c>
      <c r="B391" s="1" t="str">
        <f>"CK20241031163"</f>
        <v>CK20241031163</v>
      </c>
      <c r="C391" s="1" t="str">
        <f>"DD2024103112379"</f>
        <v>DD2024103112379</v>
      </c>
      <c r="D391" s="1" t="str">
        <f>"CK2024103118850"</f>
        <v>CK2024103118850</v>
      </c>
      <c r="E391" s="1" t="str">
        <f>"3723673551323139072"</f>
        <v>3723673551323139072</v>
      </c>
      <c r="F391" s="1" t="str">
        <f t="shared" si="120"/>
        <v>花都四部-凤凰仓</v>
      </c>
      <c r="G391" s="1" t="str">
        <f t="shared" si="104"/>
        <v>卡卡杜企业店（视频号）</v>
      </c>
      <c r="H391" s="1" t="str">
        <f t="shared" si="121"/>
        <v>正常订单</v>
      </c>
      <c r="I391" s="1" t="str">
        <f t="shared" si="122"/>
        <v>已发货</v>
      </c>
      <c r="J391" s="1" t="str">
        <f t="shared" si="125"/>
        <v>3</v>
      </c>
      <c r="K391" s="1">
        <v>2</v>
      </c>
      <c r="L391" s="1" t="s">
        <v>105</v>
      </c>
      <c r="M391" s="1" t="str">
        <f>"北京 北京市 西城区 "</f>
        <v xml:space="preserve">北京 北京市 西城区 </v>
      </c>
      <c r="N391" s="1" t="str">
        <f t="shared" si="114"/>
        <v>凡华云仓-城南圆通-微信视频号</v>
      </c>
      <c r="O391" s="5" t="s">
        <v>429</v>
      </c>
      <c r="P391" s="6">
        <v>0.25</v>
      </c>
      <c r="Q391" s="11">
        <v>2</v>
      </c>
      <c r="R391" s="11"/>
      <c r="S391" s="11"/>
      <c r="T391" s="11"/>
      <c r="U391" s="11">
        <f t="shared" si="124"/>
        <v>2</v>
      </c>
      <c r="W391">
        <v>2.2000000000000002</v>
      </c>
      <c r="X391" s="1" t="s">
        <v>105</v>
      </c>
    </row>
    <row r="392" spans="1:24" x14ac:dyDescent="0.25">
      <c r="A392" s="1" t="str">
        <f t="shared" si="119"/>
        <v>卡卡杜-凤凰仓</v>
      </c>
      <c r="B392" s="1" t="str">
        <f>"CK202410311680"</f>
        <v>CK202410311680</v>
      </c>
      <c r="C392" s="1" t="str">
        <f>"DD2024103112820"</f>
        <v>DD2024103112820</v>
      </c>
      <c r="D392" s="1" t="str">
        <f>"CK2024103118849"</f>
        <v>CK2024103118849</v>
      </c>
      <c r="E392" s="1" t="str">
        <f>"3723673547373678592"</f>
        <v>3723673547373678592</v>
      </c>
      <c r="F392" s="1" t="str">
        <f t="shared" si="120"/>
        <v>花都四部-凤凰仓</v>
      </c>
      <c r="G392" s="1" t="str">
        <f t="shared" si="104"/>
        <v>卡卡杜企业店（视频号）</v>
      </c>
      <c r="H392" s="1" t="str">
        <f t="shared" si="121"/>
        <v>正常订单</v>
      </c>
      <c r="I392" s="1" t="str">
        <f t="shared" si="122"/>
        <v>已发货</v>
      </c>
      <c r="J392" s="1" t="str">
        <f t="shared" si="123"/>
        <v>2</v>
      </c>
      <c r="K392" s="1">
        <v>2</v>
      </c>
      <c r="L392" s="1" t="s">
        <v>60</v>
      </c>
      <c r="M392" s="1" t="str">
        <f>"云南省 曲靖市 麒麟区 "</f>
        <v xml:space="preserve">云南省 曲靖市 麒麟区 </v>
      </c>
      <c r="N392" s="1" t="str">
        <f t="shared" si="114"/>
        <v>凡华云仓-城南圆通-微信视频号</v>
      </c>
      <c r="O392" s="5" t="s">
        <v>430</v>
      </c>
      <c r="P392" s="6">
        <v>0.17</v>
      </c>
      <c r="Q392" s="11">
        <v>2</v>
      </c>
      <c r="R392" s="11"/>
      <c r="S392" s="11"/>
      <c r="T392" s="11"/>
      <c r="U392" s="11">
        <f t="shared" si="124"/>
        <v>2</v>
      </c>
      <c r="W392">
        <v>2.2000000000000002</v>
      </c>
      <c r="X392" s="1" t="s">
        <v>60</v>
      </c>
    </row>
    <row r="393" spans="1:24" x14ac:dyDescent="0.25">
      <c r="A393" s="1" t="str">
        <f t="shared" si="119"/>
        <v>卡卡杜-凤凰仓</v>
      </c>
      <c r="B393" s="1" t="str">
        <f>"CK202410311683"</f>
        <v>CK202410311683</v>
      </c>
      <c r="C393" s="1" t="str">
        <f>"DD2024103112824"</f>
        <v>DD2024103112824</v>
      </c>
      <c r="D393" s="1" t="str">
        <f>"CK2024103118848"</f>
        <v>CK2024103118848</v>
      </c>
      <c r="E393" s="1" t="str">
        <f>"3723673538756740608"</f>
        <v>3723673538756740608</v>
      </c>
      <c r="F393" s="1" t="str">
        <f t="shared" si="120"/>
        <v>花都四部-凤凰仓</v>
      </c>
      <c r="G393" s="1" t="str">
        <f t="shared" si="104"/>
        <v>卡卡杜企业店（视频号）</v>
      </c>
      <c r="H393" s="1" t="str">
        <f t="shared" si="121"/>
        <v>正常订单</v>
      </c>
      <c r="I393" s="1" t="str">
        <f t="shared" si="122"/>
        <v>已发货</v>
      </c>
      <c r="J393" s="1" t="str">
        <f t="shared" si="123"/>
        <v>2</v>
      </c>
      <c r="K393" s="1">
        <v>2</v>
      </c>
      <c r="L393" s="1" t="s">
        <v>47</v>
      </c>
      <c r="M393" s="1" t="str">
        <f>"重庆 重庆市 南岸区 "</f>
        <v xml:space="preserve">重庆 重庆市 南岸区 </v>
      </c>
      <c r="N393" s="1" t="str">
        <f t="shared" si="114"/>
        <v>凡华云仓-城南圆通-微信视频号</v>
      </c>
      <c r="O393" s="5" t="s">
        <v>431</v>
      </c>
      <c r="P393" s="6">
        <v>0.17</v>
      </c>
      <c r="Q393" s="11">
        <v>2</v>
      </c>
      <c r="R393" s="11"/>
      <c r="S393" s="11"/>
      <c r="T393" s="11"/>
      <c r="U393" s="11">
        <f t="shared" si="124"/>
        <v>2</v>
      </c>
      <c r="W393">
        <v>2.2000000000000002</v>
      </c>
      <c r="X393" s="1" t="s">
        <v>47</v>
      </c>
    </row>
    <row r="394" spans="1:24" x14ac:dyDescent="0.25">
      <c r="A394" s="1" t="str">
        <f t="shared" si="119"/>
        <v>卡卡杜-凤凰仓</v>
      </c>
      <c r="B394" s="1" t="str">
        <f>"CK20241031143"</f>
        <v>CK20241031143</v>
      </c>
      <c r="C394" s="1" t="str">
        <f>"DD2024103112330"</f>
        <v>DD2024103112330</v>
      </c>
      <c r="D394" s="1" t="str">
        <f>"CK2024103118847"</f>
        <v>CK2024103118847</v>
      </c>
      <c r="E394" s="1" t="str">
        <f>"3723673545762802688"</f>
        <v>3723673545762802688</v>
      </c>
      <c r="F394" s="1" t="str">
        <f t="shared" si="120"/>
        <v>花都四部-凤凰仓</v>
      </c>
      <c r="G394" s="1" t="str">
        <f t="shared" si="104"/>
        <v>卡卡杜企业店（视频号）</v>
      </c>
      <c r="H394" s="1" t="str">
        <f t="shared" si="121"/>
        <v>正常订单</v>
      </c>
      <c r="I394" s="1" t="str">
        <f t="shared" si="122"/>
        <v>已发货</v>
      </c>
      <c r="J394" s="1" t="str">
        <f>"3"</f>
        <v>3</v>
      </c>
      <c r="K394" s="1">
        <v>2</v>
      </c>
      <c r="L394" s="1" t="s">
        <v>92</v>
      </c>
      <c r="M394" s="1" t="str">
        <f>"辽宁省 大连市 旅顺口区 "</f>
        <v xml:space="preserve">辽宁省 大连市 旅顺口区 </v>
      </c>
      <c r="N394" s="1" t="str">
        <f t="shared" si="114"/>
        <v>凡华云仓-城南圆通-微信视频号</v>
      </c>
      <c r="O394" s="5" t="s">
        <v>432</v>
      </c>
      <c r="P394" s="6">
        <v>0.25</v>
      </c>
      <c r="Q394" s="11">
        <v>2</v>
      </c>
      <c r="R394" s="11"/>
      <c r="S394" s="11"/>
      <c r="T394" s="11"/>
      <c r="U394" s="11">
        <f t="shared" si="124"/>
        <v>2</v>
      </c>
      <c r="W394">
        <v>2.2000000000000002</v>
      </c>
      <c r="X394" s="1" t="s">
        <v>92</v>
      </c>
    </row>
    <row r="395" spans="1:24" x14ac:dyDescent="0.25">
      <c r="A395" s="1" t="str">
        <f t="shared" si="119"/>
        <v>卡卡杜-凤凰仓</v>
      </c>
      <c r="B395" s="1" t="str">
        <f>"CK202410311681"</f>
        <v>CK202410311681</v>
      </c>
      <c r="C395" s="1" t="str">
        <f>"DD2024103112821"</f>
        <v>DD2024103112821</v>
      </c>
      <c r="D395" s="1" t="str">
        <f>"CK2024103118846"</f>
        <v>CK2024103118846</v>
      </c>
      <c r="E395" s="1" t="str">
        <f>"3723673541914789120"</f>
        <v>3723673541914789120</v>
      </c>
      <c r="F395" s="1" t="str">
        <f t="shared" si="120"/>
        <v>花都四部-凤凰仓</v>
      </c>
      <c r="G395" s="1" t="str">
        <f t="shared" ref="G395:G458" si="126">"卡卡杜企业店（视频号）"</f>
        <v>卡卡杜企业店（视频号）</v>
      </c>
      <c r="H395" s="1" t="str">
        <f t="shared" si="121"/>
        <v>正常订单</v>
      </c>
      <c r="I395" s="1" t="str">
        <f t="shared" si="122"/>
        <v>已发货</v>
      </c>
      <c r="J395" s="1" t="str">
        <f t="shared" ref="J395:J399" si="127">"2"</f>
        <v>2</v>
      </c>
      <c r="K395" s="1">
        <v>2</v>
      </c>
      <c r="L395" s="1" t="s">
        <v>41</v>
      </c>
      <c r="M395" s="1" t="str">
        <f>"湖北省 武汉市 洪山区 "</f>
        <v xml:space="preserve">湖北省 武汉市 洪山区 </v>
      </c>
      <c r="N395" s="1" t="str">
        <f t="shared" si="114"/>
        <v>凡华云仓-城南圆通-微信视频号</v>
      </c>
      <c r="O395" s="5" t="s">
        <v>433</v>
      </c>
      <c r="P395" s="6">
        <v>0.17</v>
      </c>
      <c r="Q395" s="11">
        <v>2</v>
      </c>
      <c r="R395" s="11"/>
      <c r="S395" s="11"/>
      <c r="T395" s="11"/>
      <c r="U395" s="11">
        <f t="shared" si="124"/>
        <v>2</v>
      </c>
      <c r="W395">
        <v>2.2000000000000002</v>
      </c>
      <c r="X395" s="1" t="s">
        <v>41</v>
      </c>
    </row>
    <row r="396" spans="1:24" x14ac:dyDescent="0.25">
      <c r="A396" s="1" t="str">
        <f t="shared" si="119"/>
        <v>卡卡杜-凤凰仓</v>
      </c>
      <c r="B396" s="1" t="str">
        <f>"CK20241031140"</f>
        <v>CK20241031140</v>
      </c>
      <c r="C396" s="1" t="str">
        <f>"DD2024103112324"</f>
        <v>DD2024103112324</v>
      </c>
      <c r="D396" s="1" t="str">
        <f>"CK2024103118845"</f>
        <v>CK2024103118845</v>
      </c>
      <c r="E396" s="1" t="str">
        <f>"3723673541031626240"</f>
        <v>3723673541031626240</v>
      </c>
      <c r="F396" s="1" t="str">
        <f t="shared" si="120"/>
        <v>花都四部-凤凰仓</v>
      </c>
      <c r="G396" s="1" t="str">
        <f t="shared" si="126"/>
        <v>卡卡杜企业店（视频号）</v>
      </c>
      <c r="H396" s="1" t="str">
        <f t="shared" si="121"/>
        <v>正常订单</v>
      </c>
      <c r="I396" s="1" t="str">
        <f t="shared" si="122"/>
        <v>已发货</v>
      </c>
      <c r="J396" s="1" t="str">
        <f>"3"</f>
        <v>3</v>
      </c>
      <c r="K396" s="1">
        <v>2</v>
      </c>
      <c r="L396" s="1" t="s">
        <v>54</v>
      </c>
      <c r="M396" s="1" t="str">
        <f>"黑龙江省 哈尔滨市 平房区 "</f>
        <v xml:space="preserve">黑龙江省 哈尔滨市 平房区 </v>
      </c>
      <c r="N396" s="1" t="str">
        <f t="shared" si="114"/>
        <v>凡华云仓-城南圆通-微信视频号</v>
      </c>
      <c r="O396" s="5" t="s">
        <v>434</v>
      </c>
      <c r="P396" s="6">
        <v>0.25</v>
      </c>
      <c r="Q396" s="11">
        <v>2</v>
      </c>
      <c r="R396" s="11"/>
      <c r="S396" s="11"/>
      <c r="T396" s="11"/>
      <c r="U396" s="11">
        <f t="shared" si="124"/>
        <v>2</v>
      </c>
      <c r="W396">
        <v>2.2000000000000002</v>
      </c>
      <c r="X396" s="1" t="s">
        <v>54</v>
      </c>
    </row>
    <row r="397" spans="1:24" x14ac:dyDescent="0.25">
      <c r="A397" s="1" t="str">
        <f t="shared" si="119"/>
        <v>卡卡杜-凤凰仓</v>
      </c>
      <c r="B397" s="1" t="str">
        <f>"CK202410311682"</f>
        <v>CK202410311682</v>
      </c>
      <c r="C397" s="1" t="str">
        <f>"DD2024103112822"</f>
        <v>DD2024103112822</v>
      </c>
      <c r="D397" s="1" t="str">
        <f>"CK2024103118844"</f>
        <v>CK2024103118844</v>
      </c>
      <c r="E397" s="1" t="str">
        <f>"3723673540970808832"</f>
        <v>3723673540970808832</v>
      </c>
      <c r="F397" s="1" t="str">
        <f t="shared" si="120"/>
        <v>花都四部-凤凰仓</v>
      </c>
      <c r="G397" s="1" t="str">
        <f t="shared" si="126"/>
        <v>卡卡杜企业店（视频号）</v>
      </c>
      <c r="H397" s="1" t="str">
        <f t="shared" si="121"/>
        <v>正常订单</v>
      </c>
      <c r="I397" s="1" t="str">
        <f t="shared" si="122"/>
        <v>已发货</v>
      </c>
      <c r="J397" s="1" t="str">
        <f t="shared" si="127"/>
        <v>2</v>
      </c>
      <c r="K397" s="1">
        <v>2</v>
      </c>
      <c r="L397" s="1" t="s">
        <v>105</v>
      </c>
      <c r="M397" s="1" t="str">
        <f>"北京 北京市 西城区 "</f>
        <v xml:space="preserve">北京 北京市 西城区 </v>
      </c>
      <c r="N397" s="1" t="str">
        <f t="shared" si="114"/>
        <v>凡华云仓-城南圆通-微信视频号</v>
      </c>
      <c r="O397" s="5" t="s">
        <v>435</v>
      </c>
      <c r="P397" s="6">
        <v>0.17</v>
      </c>
      <c r="Q397" s="11">
        <v>2</v>
      </c>
      <c r="R397" s="11"/>
      <c r="S397" s="11"/>
      <c r="T397" s="11"/>
      <c r="U397" s="11">
        <f t="shared" si="124"/>
        <v>2</v>
      </c>
      <c r="W397">
        <v>2.2000000000000002</v>
      </c>
      <c r="X397" s="1" t="s">
        <v>105</v>
      </c>
    </row>
    <row r="398" spans="1:24" x14ac:dyDescent="0.25">
      <c r="A398" s="1" t="str">
        <f t="shared" si="119"/>
        <v>卡卡杜-凤凰仓</v>
      </c>
      <c r="B398" s="1" t="str">
        <f>"CK202410311684"</f>
        <v>CK202410311684</v>
      </c>
      <c r="C398" s="1" t="str">
        <f>"DD2024103112823"</f>
        <v>DD2024103112823</v>
      </c>
      <c r="D398" s="1" t="str">
        <f>"CK2024103118843"</f>
        <v>CK2024103118843</v>
      </c>
      <c r="E398" s="1" t="str">
        <f>"3723673541657363968"</f>
        <v>3723673541657363968</v>
      </c>
      <c r="F398" s="1" t="str">
        <f t="shared" si="120"/>
        <v>花都四部-凤凰仓</v>
      </c>
      <c r="G398" s="1" t="str">
        <f t="shared" si="126"/>
        <v>卡卡杜企业店（视频号）</v>
      </c>
      <c r="H398" s="1" t="str">
        <f t="shared" si="121"/>
        <v>正常订单</v>
      </c>
      <c r="I398" s="1" t="str">
        <f t="shared" si="122"/>
        <v>已发货</v>
      </c>
      <c r="J398" s="1" t="str">
        <f t="shared" si="127"/>
        <v>2</v>
      </c>
      <c r="K398" s="1">
        <v>2</v>
      </c>
      <c r="L398" s="1" t="s">
        <v>16</v>
      </c>
      <c r="M398" s="1" t="str">
        <f>"河北省 石家庄市 元氏县 "</f>
        <v xml:space="preserve">河北省 石家庄市 元氏县 </v>
      </c>
      <c r="N398" s="1" t="str">
        <f t="shared" si="114"/>
        <v>凡华云仓-城南圆通-微信视频号</v>
      </c>
      <c r="O398" s="5" t="s">
        <v>436</v>
      </c>
      <c r="P398" s="6">
        <v>0.17</v>
      </c>
      <c r="Q398" s="11">
        <v>2</v>
      </c>
      <c r="R398" s="11"/>
      <c r="S398" s="11"/>
      <c r="T398" s="11"/>
      <c r="U398" s="11">
        <f t="shared" si="124"/>
        <v>2</v>
      </c>
      <c r="W398">
        <v>2.2000000000000002</v>
      </c>
      <c r="X398" s="1" t="s">
        <v>16</v>
      </c>
    </row>
    <row r="399" spans="1:24" x14ac:dyDescent="0.25">
      <c r="A399" s="1" t="str">
        <f t="shared" si="119"/>
        <v>卡卡杜-凤凰仓</v>
      </c>
      <c r="B399" s="1" t="str">
        <f>"CK202410311685"</f>
        <v>CK202410311685</v>
      </c>
      <c r="C399" s="1" t="str">
        <f>"DD2024103112825"</f>
        <v>DD2024103112825</v>
      </c>
      <c r="D399" s="1" t="str">
        <f>"CK2024103118842"</f>
        <v>CK2024103118842</v>
      </c>
      <c r="E399" s="1" t="str">
        <f>"3723673539959720960"</f>
        <v>3723673539959720960</v>
      </c>
      <c r="F399" s="1" t="str">
        <f t="shared" si="120"/>
        <v>花都四部-凤凰仓</v>
      </c>
      <c r="G399" s="1" t="str">
        <f t="shared" si="126"/>
        <v>卡卡杜企业店（视频号）</v>
      </c>
      <c r="H399" s="1" t="str">
        <f t="shared" si="121"/>
        <v>正常订单</v>
      </c>
      <c r="I399" s="1" t="str">
        <f t="shared" si="122"/>
        <v>已发货</v>
      </c>
      <c r="J399" s="1" t="str">
        <f t="shared" si="127"/>
        <v>2</v>
      </c>
      <c r="K399" s="1">
        <v>2</v>
      </c>
      <c r="L399" s="1" t="s">
        <v>218</v>
      </c>
      <c r="M399" s="1" t="str">
        <f>"天津 天津市 河东区 "</f>
        <v xml:space="preserve">天津 天津市 河东区 </v>
      </c>
      <c r="N399" s="1" t="str">
        <f t="shared" si="114"/>
        <v>凡华云仓-城南圆通-微信视频号</v>
      </c>
      <c r="O399" s="5" t="s">
        <v>437</v>
      </c>
      <c r="P399" s="6">
        <v>0.17</v>
      </c>
      <c r="Q399" s="11">
        <v>2</v>
      </c>
      <c r="R399" s="11"/>
      <c r="S399" s="11"/>
      <c r="T399" s="11"/>
      <c r="U399" s="11">
        <f t="shared" si="124"/>
        <v>2</v>
      </c>
      <c r="W399">
        <v>2.2000000000000002</v>
      </c>
      <c r="X399" s="1" t="s">
        <v>218</v>
      </c>
    </row>
    <row r="400" spans="1:24" x14ac:dyDescent="0.25">
      <c r="A400" s="1" t="str">
        <f t="shared" si="119"/>
        <v>卡卡杜-凤凰仓</v>
      </c>
      <c r="B400" s="1" t="str">
        <f>"CK20241031181"</f>
        <v>CK20241031181</v>
      </c>
      <c r="C400" s="1" t="str">
        <f>"DD2024103112402"</f>
        <v>DD2024103112402</v>
      </c>
      <c r="D400" s="1" t="str">
        <f>"CK2024103118841"</f>
        <v>CK2024103118841</v>
      </c>
      <c r="E400" s="1" t="str">
        <f>"3723673539100677120"</f>
        <v>3723673539100677120</v>
      </c>
      <c r="F400" s="1" t="str">
        <f t="shared" si="120"/>
        <v>花都四部-凤凰仓</v>
      </c>
      <c r="G400" s="1" t="str">
        <f t="shared" si="126"/>
        <v>卡卡杜企业店（视频号）</v>
      </c>
      <c r="H400" s="1" t="str">
        <f t="shared" si="121"/>
        <v>正常订单</v>
      </c>
      <c r="I400" s="1" t="str">
        <f t="shared" si="122"/>
        <v>已发货</v>
      </c>
      <c r="J400" s="1" t="str">
        <f t="shared" ref="J400:J405" si="128">"3"</f>
        <v>3</v>
      </c>
      <c r="K400" s="1">
        <v>2</v>
      </c>
      <c r="L400" s="1" t="s">
        <v>30</v>
      </c>
      <c r="M400" s="1" t="str">
        <f>"山东省 济南市 槐荫区 "</f>
        <v xml:space="preserve">山东省 济南市 槐荫区 </v>
      </c>
      <c r="N400" s="1" t="str">
        <f t="shared" si="114"/>
        <v>凡华云仓-城南圆通-微信视频号</v>
      </c>
      <c r="O400" s="5" t="s">
        <v>438</v>
      </c>
      <c r="P400" s="6">
        <v>0.25</v>
      </c>
      <c r="Q400" s="11">
        <v>2</v>
      </c>
      <c r="R400" s="11"/>
      <c r="S400" s="11"/>
      <c r="T400" s="11"/>
      <c r="U400" s="11">
        <f t="shared" si="124"/>
        <v>2</v>
      </c>
      <c r="W400">
        <v>2.2000000000000002</v>
      </c>
      <c r="X400" s="1" t="s">
        <v>30</v>
      </c>
    </row>
    <row r="401" spans="1:24" x14ac:dyDescent="0.25">
      <c r="A401" s="1" t="str">
        <f t="shared" si="119"/>
        <v>卡卡杜-凤凰仓</v>
      </c>
      <c r="B401" s="1" t="str">
        <f>"CK202410311686"</f>
        <v>CK202410311686</v>
      </c>
      <c r="C401" s="1" t="str">
        <f>"DD2024103112826"</f>
        <v>DD2024103112826</v>
      </c>
      <c r="D401" s="1" t="str">
        <f>"CK2024103118840"</f>
        <v>CK2024103118840</v>
      </c>
      <c r="E401" s="1" t="str">
        <f>"3723673540078732800"</f>
        <v>3723673540078732800</v>
      </c>
      <c r="F401" s="1" t="str">
        <f t="shared" si="120"/>
        <v>花都四部-凤凰仓</v>
      </c>
      <c r="G401" s="1" t="str">
        <f t="shared" si="126"/>
        <v>卡卡杜企业店（视频号）</v>
      </c>
      <c r="H401" s="1" t="str">
        <f t="shared" si="121"/>
        <v>正常订单</v>
      </c>
      <c r="I401" s="1" t="str">
        <f t="shared" si="122"/>
        <v>已发货</v>
      </c>
      <c r="J401" s="1" t="str">
        <f t="shared" ref="J401:J403" si="129">"2"</f>
        <v>2</v>
      </c>
      <c r="K401" s="1">
        <v>2</v>
      </c>
      <c r="L401" s="1" t="s">
        <v>92</v>
      </c>
      <c r="M401" s="1" t="str">
        <f>"辽宁省 沈阳市 苏家屯区 "</f>
        <v xml:space="preserve">辽宁省 沈阳市 苏家屯区 </v>
      </c>
      <c r="N401" s="1" t="str">
        <f t="shared" si="114"/>
        <v>凡华云仓-城南圆通-微信视频号</v>
      </c>
      <c r="O401" s="5" t="s">
        <v>439</v>
      </c>
      <c r="P401" s="6">
        <v>0.17</v>
      </c>
      <c r="Q401" s="11">
        <v>2</v>
      </c>
      <c r="R401" s="11"/>
      <c r="S401" s="11"/>
      <c r="T401" s="11"/>
      <c r="U401" s="11">
        <f t="shared" si="124"/>
        <v>2</v>
      </c>
      <c r="W401">
        <v>2.2000000000000002</v>
      </c>
      <c r="X401" s="1" t="s">
        <v>92</v>
      </c>
    </row>
    <row r="402" spans="1:24" x14ac:dyDescent="0.25">
      <c r="A402" s="1" t="str">
        <f t="shared" si="119"/>
        <v>卡卡杜-凤凰仓</v>
      </c>
      <c r="B402" s="1" t="str">
        <f>"CK202410311687"</f>
        <v>CK202410311687</v>
      </c>
      <c r="C402" s="1" t="str">
        <f>"DD2024103112827"</f>
        <v>DD2024103112827</v>
      </c>
      <c r="D402" s="1" t="str">
        <f>"CK2024103118839"</f>
        <v>CK2024103118839</v>
      </c>
      <c r="E402" s="1" t="str">
        <f>"3723673537908442625"</f>
        <v>3723673537908442625</v>
      </c>
      <c r="F402" s="1" t="str">
        <f t="shared" si="120"/>
        <v>花都四部-凤凰仓</v>
      </c>
      <c r="G402" s="1" t="str">
        <f t="shared" si="126"/>
        <v>卡卡杜企业店（视频号）</v>
      </c>
      <c r="H402" s="1" t="str">
        <f t="shared" si="121"/>
        <v>正常订单</v>
      </c>
      <c r="I402" s="1" t="str">
        <f t="shared" si="122"/>
        <v>已发货</v>
      </c>
      <c r="J402" s="1" t="str">
        <f t="shared" si="129"/>
        <v>2</v>
      </c>
      <c r="K402" s="1">
        <v>2</v>
      </c>
      <c r="L402" s="1" t="s">
        <v>105</v>
      </c>
      <c r="M402" s="1" t="str">
        <f>"北京 北京市 顺义区 "</f>
        <v xml:space="preserve">北京 北京市 顺义区 </v>
      </c>
      <c r="N402" s="1" t="str">
        <f t="shared" si="114"/>
        <v>凡华云仓-城南圆通-微信视频号</v>
      </c>
      <c r="O402" s="5" t="s">
        <v>440</v>
      </c>
      <c r="P402" s="6">
        <v>0.17</v>
      </c>
      <c r="Q402" s="11">
        <v>2</v>
      </c>
      <c r="R402" s="11"/>
      <c r="S402" s="11"/>
      <c r="T402" s="11"/>
      <c r="U402" s="11">
        <f t="shared" si="124"/>
        <v>2</v>
      </c>
      <c r="W402">
        <v>2.2000000000000002</v>
      </c>
      <c r="X402" s="1" t="s">
        <v>105</v>
      </c>
    </row>
    <row r="403" spans="1:24" x14ac:dyDescent="0.25">
      <c r="A403" s="1" t="str">
        <f t="shared" si="119"/>
        <v>卡卡杜-凤凰仓</v>
      </c>
      <c r="B403" s="1" t="str">
        <f>"CK202410311688"</f>
        <v>CK202410311688</v>
      </c>
      <c r="C403" s="1" t="str">
        <f>"DD2024103112828"</f>
        <v>DD2024103112828</v>
      </c>
      <c r="D403" s="1" t="str">
        <f>"CK2024103118838"</f>
        <v>CK2024103118838</v>
      </c>
      <c r="E403" s="1" t="str">
        <f>"3723673538026671104"</f>
        <v>3723673538026671104</v>
      </c>
      <c r="F403" s="1" t="str">
        <f t="shared" si="120"/>
        <v>花都四部-凤凰仓</v>
      </c>
      <c r="G403" s="1" t="str">
        <f t="shared" si="126"/>
        <v>卡卡杜企业店（视频号）</v>
      </c>
      <c r="H403" s="1" t="str">
        <f t="shared" si="121"/>
        <v>正常订单</v>
      </c>
      <c r="I403" s="1" t="str">
        <f t="shared" si="122"/>
        <v>已发货</v>
      </c>
      <c r="J403" s="1" t="str">
        <f t="shared" si="129"/>
        <v>2</v>
      </c>
      <c r="K403" s="1">
        <v>2</v>
      </c>
      <c r="L403" s="1" t="s">
        <v>187</v>
      </c>
      <c r="M403" s="1" t="str">
        <f>"吉林省 通化市 梅河口市 "</f>
        <v xml:space="preserve">吉林省 通化市 梅河口市 </v>
      </c>
      <c r="N403" s="1" t="str">
        <f t="shared" si="114"/>
        <v>凡华云仓-城南圆通-微信视频号</v>
      </c>
      <c r="O403" s="5" t="s">
        <v>441</v>
      </c>
      <c r="P403" s="6">
        <v>0.17</v>
      </c>
      <c r="Q403" s="11">
        <v>2</v>
      </c>
      <c r="R403" s="11"/>
      <c r="S403" s="11"/>
      <c r="T403" s="11"/>
      <c r="U403" s="11">
        <f t="shared" si="124"/>
        <v>2</v>
      </c>
      <c r="W403">
        <v>2.2000000000000002</v>
      </c>
      <c r="X403" s="1" t="s">
        <v>187</v>
      </c>
    </row>
    <row r="404" spans="1:24" x14ac:dyDescent="0.25">
      <c r="A404" s="1" t="str">
        <f t="shared" si="119"/>
        <v>卡卡杜-凤凰仓</v>
      </c>
      <c r="B404" s="1" t="str">
        <f>"CK20241031173"</f>
        <v>CK20241031173</v>
      </c>
      <c r="C404" s="1" t="str">
        <f>"DD2024103112394"</f>
        <v>DD2024103112394</v>
      </c>
      <c r="D404" s="1" t="str">
        <f>"CK2024103118837"</f>
        <v>CK2024103118837</v>
      </c>
      <c r="E404" s="1" t="str">
        <f>"3723673537675658496"</f>
        <v>3723673537675658496</v>
      </c>
      <c r="F404" s="1" t="str">
        <f t="shared" si="120"/>
        <v>花都四部-凤凰仓</v>
      </c>
      <c r="G404" s="1" t="str">
        <f t="shared" si="126"/>
        <v>卡卡杜企业店（视频号）</v>
      </c>
      <c r="H404" s="1" t="str">
        <f t="shared" si="121"/>
        <v>正常订单</v>
      </c>
      <c r="I404" s="1" t="str">
        <f t="shared" si="122"/>
        <v>已发货</v>
      </c>
      <c r="J404" s="1" t="str">
        <f t="shared" si="128"/>
        <v>3</v>
      </c>
      <c r="K404" s="1">
        <v>2</v>
      </c>
      <c r="L404" s="1" t="s">
        <v>18</v>
      </c>
      <c r="M404" s="1" t="str">
        <f>"广东省 广州市 黄埔区 "</f>
        <v xml:space="preserve">广东省 广州市 黄埔区 </v>
      </c>
      <c r="N404" s="1" t="str">
        <f t="shared" si="114"/>
        <v>凡华云仓-城南圆通-微信视频号</v>
      </c>
      <c r="O404" s="5" t="s">
        <v>442</v>
      </c>
      <c r="P404" s="6">
        <v>0.25</v>
      </c>
      <c r="Q404" s="11">
        <v>2</v>
      </c>
      <c r="R404" s="11"/>
      <c r="S404" s="11"/>
      <c r="T404" s="11"/>
      <c r="U404" s="11">
        <f t="shared" si="124"/>
        <v>2</v>
      </c>
      <c r="W404">
        <v>2.2000000000000002</v>
      </c>
      <c r="X404" s="1" t="s">
        <v>18</v>
      </c>
    </row>
    <row r="405" spans="1:24" x14ac:dyDescent="0.25">
      <c r="A405" s="1" t="str">
        <f t="shared" si="119"/>
        <v>卡卡杜-凤凰仓</v>
      </c>
      <c r="B405" s="1" t="str">
        <f>"CK20241031242"</f>
        <v>CK20241031242</v>
      </c>
      <c r="C405" s="1" t="str">
        <f>"DD2024103112464"</f>
        <v>DD2024103112464</v>
      </c>
      <c r="D405" s="1" t="str">
        <f>"CK2024103118836"</f>
        <v>CK2024103118836</v>
      </c>
      <c r="E405" s="1" t="str">
        <f>"3723673529772017152"</f>
        <v>3723673529772017152</v>
      </c>
      <c r="F405" s="1" t="str">
        <f t="shared" si="120"/>
        <v>花都四部-凤凰仓</v>
      </c>
      <c r="G405" s="1" t="str">
        <f t="shared" si="126"/>
        <v>卡卡杜企业店（视频号）</v>
      </c>
      <c r="H405" s="1" t="str">
        <f t="shared" si="121"/>
        <v>正常订单</v>
      </c>
      <c r="I405" s="1" t="str">
        <f t="shared" si="122"/>
        <v>已发货</v>
      </c>
      <c r="J405" s="1" t="str">
        <f t="shared" si="128"/>
        <v>3</v>
      </c>
      <c r="K405" s="1">
        <v>2</v>
      </c>
      <c r="L405" s="1" t="s">
        <v>105</v>
      </c>
      <c r="M405" s="1" t="str">
        <f>"北京 北京市 丰台区 "</f>
        <v xml:space="preserve">北京 北京市 丰台区 </v>
      </c>
      <c r="N405" s="1" t="str">
        <f t="shared" si="114"/>
        <v>凡华云仓-城南圆通-微信视频号</v>
      </c>
      <c r="O405" s="5" t="s">
        <v>443</v>
      </c>
      <c r="P405" s="6">
        <v>0.25</v>
      </c>
      <c r="Q405" s="11">
        <v>2</v>
      </c>
      <c r="R405" s="11"/>
      <c r="S405" s="11"/>
      <c r="T405" s="11"/>
      <c r="U405" s="11">
        <f t="shared" si="124"/>
        <v>2</v>
      </c>
      <c r="W405">
        <v>2.2000000000000002</v>
      </c>
      <c r="X405" s="1" t="s">
        <v>105</v>
      </c>
    </row>
    <row r="406" spans="1:24" x14ac:dyDescent="0.25">
      <c r="A406" s="1" t="str">
        <f t="shared" si="119"/>
        <v>卡卡杜-凤凰仓</v>
      </c>
      <c r="B406" s="1" t="str">
        <f>"CK202410311689"</f>
        <v>CK202410311689</v>
      </c>
      <c r="C406" s="1" t="str">
        <f>"DD2024103112829"</f>
        <v>DD2024103112829</v>
      </c>
      <c r="D406" s="1" t="str">
        <f>"CK2024103118835"</f>
        <v>CK2024103118835</v>
      </c>
      <c r="E406" s="1" t="str">
        <f>"3723673537845789952"</f>
        <v>3723673537845789952</v>
      </c>
      <c r="F406" s="1" t="str">
        <f t="shared" si="120"/>
        <v>花都四部-凤凰仓</v>
      </c>
      <c r="G406" s="1" t="str">
        <f t="shared" si="126"/>
        <v>卡卡杜企业店（视频号）</v>
      </c>
      <c r="H406" s="1" t="str">
        <f t="shared" si="121"/>
        <v>正常订单</v>
      </c>
      <c r="I406" s="1" t="str">
        <f t="shared" si="122"/>
        <v>已发货</v>
      </c>
      <c r="J406" s="1" t="str">
        <f t="shared" ref="J406:J410" si="130">"2"</f>
        <v>2</v>
      </c>
      <c r="K406" s="1">
        <v>2</v>
      </c>
      <c r="L406" s="1" t="s">
        <v>105</v>
      </c>
      <c r="M406" s="1" t="str">
        <f>"北京 北京市 怀柔区 "</f>
        <v xml:space="preserve">北京 北京市 怀柔区 </v>
      </c>
      <c r="N406" s="1" t="str">
        <f t="shared" si="114"/>
        <v>凡华云仓-城南圆通-微信视频号</v>
      </c>
      <c r="O406" s="5" t="s">
        <v>444</v>
      </c>
      <c r="P406" s="6">
        <v>0.17</v>
      </c>
      <c r="Q406" s="11">
        <v>2</v>
      </c>
      <c r="R406" s="11"/>
      <c r="S406" s="11"/>
      <c r="T406" s="11"/>
      <c r="U406" s="11">
        <f t="shared" si="124"/>
        <v>2</v>
      </c>
      <c r="W406">
        <v>2.2000000000000002</v>
      </c>
      <c r="X406" s="1" t="s">
        <v>105</v>
      </c>
    </row>
    <row r="407" spans="1:24" x14ac:dyDescent="0.25">
      <c r="A407" s="1" t="str">
        <f t="shared" si="119"/>
        <v>卡卡杜-凤凰仓</v>
      </c>
      <c r="B407" s="1" t="str">
        <f>"CK202410311720"</f>
        <v>CK202410311720</v>
      </c>
      <c r="C407" s="1" t="str">
        <f>"DD2024103112858"</f>
        <v>DD2024103112858</v>
      </c>
      <c r="D407" s="1" t="str">
        <f>"CK2024103118834"</f>
        <v>CK2024103118834</v>
      </c>
      <c r="E407" s="1" t="str">
        <f>"3723673521690119168"</f>
        <v>3723673521690119168</v>
      </c>
      <c r="F407" s="1" t="str">
        <f t="shared" si="120"/>
        <v>花都四部-凤凰仓</v>
      </c>
      <c r="G407" s="1" t="str">
        <f t="shared" si="126"/>
        <v>卡卡杜企业店（视频号）</v>
      </c>
      <c r="H407" s="1" t="str">
        <f t="shared" si="121"/>
        <v>正常订单</v>
      </c>
      <c r="I407" s="1" t="str">
        <f t="shared" si="122"/>
        <v>已发货</v>
      </c>
      <c r="J407" s="1" t="str">
        <f t="shared" si="130"/>
        <v>2</v>
      </c>
      <c r="K407" s="1">
        <v>2</v>
      </c>
      <c r="L407" s="1" t="s">
        <v>105</v>
      </c>
      <c r="M407" s="1" t="str">
        <f>"北京 北京市 昌平区 "</f>
        <v xml:space="preserve">北京 北京市 昌平区 </v>
      </c>
      <c r="N407" s="1" t="str">
        <f t="shared" si="114"/>
        <v>凡华云仓-城南圆通-微信视频号</v>
      </c>
      <c r="O407" s="5" t="s">
        <v>445</v>
      </c>
      <c r="P407" s="6">
        <v>0.17</v>
      </c>
      <c r="Q407" s="11">
        <v>2</v>
      </c>
      <c r="R407" s="11"/>
      <c r="S407" s="11"/>
      <c r="T407" s="11"/>
      <c r="U407" s="11">
        <f t="shared" si="124"/>
        <v>2</v>
      </c>
      <c r="W407">
        <v>2.2000000000000002</v>
      </c>
      <c r="X407" s="1" t="s">
        <v>105</v>
      </c>
    </row>
    <row r="408" spans="1:24" x14ac:dyDescent="0.25">
      <c r="A408" s="1" t="str">
        <f t="shared" si="119"/>
        <v>卡卡杜-凤凰仓</v>
      </c>
      <c r="B408" s="1" t="str">
        <f>"CK20241031115"</f>
        <v>CK20241031115</v>
      </c>
      <c r="C408" s="1" t="str">
        <f>"DD2024103112256"</f>
        <v>DD2024103112256</v>
      </c>
      <c r="D408" s="1" t="str">
        <f>"CK2024103118833"</f>
        <v>CK2024103118833</v>
      </c>
      <c r="E408" s="1" t="str">
        <f>"3723673533443343872"</f>
        <v>3723673533443343872</v>
      </c>
      <c r="F408" s="1" t="str">
        <f t="shared" si="120"/>
        <v>花都四部-凤凰仓</v>
      </c>
      <c r="G408" s="1" t="str">
        <f t="shared" si="126"/>
        <v>卡卡杜企业店（视频号）</v>
      </c>
      <c r="H408" s="1" t="str">
        <f t="shared" si="121"/>
        <v>正常订单</v>
      </c>
      <c r="I408" s="1" t="str">
        <f t="shared" si="122"/>
        <v>已发货</v>
      </c>
      <c r="J408" s="1" t="str">
        <f t="shared" ref="J408:J413" si="131">"3"</f>
        <v>3</v>
      </c>
      <c r="K408" s="1">
        <v>2</v>
      </c>
      <c r="L408" s="1" t="s">
        <v>92</v>
      </c>
      <c r="M408" s="1" t="str">
        <f>"辽宁省 沈阳市 浑南区 "</f>
        <v xml:space="preserve">辽宁省 沈阳市 浑南区 </v>
      </c>
      <c r="N408" s="1" t="str">
        <f t="shared" si="114"/>
        <v>凡华云仓-城南圆通-微信视频号</v>
      </c>
      <c r="O408" s="5" t="s">
        <v>446</v>
      </c>
      <c r="P408" s="6">
        <v>0.25</v>
      </c>
      <c r="Q408" s="11">
        <v>2</v>
      </c>
      <c r="R408" s="11"/>
      <c r="S408" s="11"/>
      <c r="T408" s="11"/>
      <c r="U408" s="11">
        <f t="shared" si="124"/>
        <v>2</v>
      </c>
      <c r="W408">
        <v>2.2000000000000002</v>
      </c>
      <c r="X408" s="1" t="s">
        <v>92</v>
      </c>
    </row>
    <row r="409" spans="1:24" x14ac:dyDescent="0.25">
      <c r="A409" s="1" t="str">
        <f t="shared" si="119"/>
        <v>卡卡杜-凤凰仓</v>
      </c>
      <c r="B409" s="1" t="str">
        <f>"CK202410311691"</f>
        <v>CK202410311691</v>
      </c>
      <c r="C409" s="1" t="str">
        <f>"DD2024103112831"</f>
        <v>DD2024103112831</v>
      </c>
      <c r="D409" s="1" t="str">
        <f>"CK2024103118832"</f>
        <v>CK2024103118832</v>
      </c>
      <c r="E409" s="1" t="str">
        <f>"3723673535656625664"</f>
        <v>3723673535656625664</v>
      </c>
      <c r="F409" s="1" t="str">
        <f t="shared" si="120"/>
        <v>花都四部-凤凰仓</v>
      </c>
      <c r="G409" s="1" t="str">
        <f t="shared" si="126"/>
        <v>卡卡杜企业店（视频号）</v>
      </c>
      <c r="H409" s="1" t="str">
        <f t="shared" si="121"/>
        <v>正常订单</v>
      </c>
      <c r="I409" s="1" t="str">
        <f t="shared" si="122"/>
        <v>已发货</v>
      </c>
      <c r="J409" s="1" t="str">
        <f t="shared" si="130"/>
        <v>2</v>
      </c>
      <c r="K409" s="1">
        <v>2</v>
      </c>
      <c r="L409" s="1" t="s">
        <v>36</v>
      </c>
      <c r="M409" s="1" t="str">
        <f>"安徽省 安庆市 太湖县 "</f>
        <v xml:space="preserve">安徽省 安庆市 太湖县 </v>
      </c>
      <c r="N409" s="1" t="str">
        <f t="shared" si="114"/>
        <v>凡华云仓-城南圆通-微信视频号</v>
      </c>
      <c r="O409" s="5" t="s">
        <v>447</v>
      </c>
      <c r="P409" s="6">
        <v>0.17</v>
      </c>
      <c r="Q409" s="11">
        <v>2</v>
      </c>
      <c r="R409" s="11"/>
      <c r="S409" s="11"/>
      <c r="T409" s="11"/>
      <c r="U409" s="11">
        <f t="shared" si="124"/>
        <v>2</v>
      </c>
      <c r="W409">
        <v>2.2000000000000002</v>
      </c>
      <c r="X409" s="1" t="s">
        <v>36</v>
      </c>
    </row>
    <row r="410" spans="1:24" x14ac:dyDescent="0.25">
      <c r="A410" s="1" t="str">
        <f t="shared" si="119"/>
        <v>卡卡杜-凤凰仓</v>
      </c>
      <c r="B410" s="1" t="str">
        <f>"CK202410311692"</f>
        <v>CK202410311692</v>
      </c>
      <c r="C410" s="1" t="str">
        <f>"DD2024103112832"</f>
        <v>DD2024103112832</v>
      </c>
      <c r="D410" s="1" t="str">
        <f>"CK2024103118831"</f>
        <v>CK2024103118831</v>
      </c>
      <c r="E410" s="1" t="str">
        <f>"3723673534841097216"</f>
        <v>3723673534841097216</v>
      </c>
      <c r="F410" s="1" t="str">
        <f t="shared" si="120"/>
        <v>花都四部-凤凰仓</v>
      </c>
      <c r="G410" s="1" t="str">
        <f t="shared" si="126"/>
        <v>卡卡杜企业店（视频号）</v>
      </c>
      <c r="H410" s="1" t="str">
        <f t="shared" si="121"/>
        <v>正常订单</v>
      </c>
      <c r="I410" s="1" t="str">
        <f t="shared" si="122"/>
        <v>已发货</v>
      </c>
      <c r="J410" s="1" t="str">
        <f t="shared" si="130"/>
        <v>2</v>
      </c>
      <c r="K410" s="1">
        <v>2</v>
      </c>
      <c r="L410" s="1" t="s">
        <v>13</v>
      </c>
      <c r="M410" s="1" t="str">
        <f>"江苏省 南京市 江宁区 "</f>
        <v xml:space="preserve">江苏省 南京市 江宁区 </v>
      </c>
      <c r="N410" s="1" t="str">
        <f t="shared" si="114"/>
        <v>凡华云仓-城南圆通-微信视频号</v>
      </c>
      <c r="O410" s="5" t="s">
        <v>448</v>
      </c>
      <c r="P410" s="6">
        <v>0.17</v>
      </c>
      <c r="Q410" s="11">
        <v>2</v>
      </c>
      <c r="R410" s="11"/>
      <c r="S410" s="11"/>
      <c r="T410" s="11"/>
      <c r="U410" s="11">
        <f t="shared" si="124"/>
        <v>2</v>
      </c>
      <c r="W410">
        <v>2.2000000000000002</v>
      </c>
      <c r="X410" s="1" t="s">
        <v>13</v>
      </c>
    </row>
    <row r="411" spans="1:24" x14ac:dyDescent="0.25">
      <c r="A411" s="1" t="str">
        <f t="shared" si="119"/>
        <v>卡卡杜-凤凰仓</v>
      </c>
      <c r="B411" s="1" t="str">
        <f>"CK20241031162"</f>
        <v>CK20241031162</v>
      </c>
      <c r="C411" s="1" t="str">
        <f>"DD2024103112376"</f>
        <v>DD2024103112376</v>
      </c>
      <c r="D411" s="1" t="str">
        <f>"CK2024103118830"</f>
        <v>CK2024103118830</v>
      </c>
      <c r="E411" s="1" t="str">
        <f>"3723673534929703936"</f>
        <v>3723673534929703936</v>
      </c>
      <c r="F411" s="1" t="str">
        <f t="shared" si="120"/>
        <v>花都四部-凤凰仓</v>
      </c>
      <c r="G411" s="1" t="str">
        <f t="shared" si="126"/>
        <v>卡卡杜企业店（视频号）</v>
      </c>
      <c r="H411" s="1" t="str">
        <f t="shared" si="121"/>
        <v>正常订单</v>
      </c>
      <c r="I411" s="1" t="str">
        <f t="shared" si="122"/>
        <v>已发货</v>
      </c>
      <c r="J411" s="1" t="str">
        <f t="shared" si="131"/>
        <v>3</v>
      </c>
      <c r="K411" s="1">
        <v>2</v>
      </c>
      <c r="L411" s="1" t="s">
        <v>109</v>
      </c>
      <c r="M411" s="1" t="str">
        <f>"山西省 大同市 云冈区 "</f>
        <v xml:space="preserve">山西省 大同市 云冈区 </v>
      </c>
      <c r="N411" s="1" t="str">
        <f t="shared" si="114"/>
        <v>凡华云仓-城南圆通-微信视频号</v>
      </c>
      <c r="O411" s="5" t="s">
        <v>449</v>
      </c>
      <c r="P411" s="6">
        <v>0.25</v>
      </c>
      <c r="Q411" s="11">
        <v>2</v>
      </c>
      <c r="R411" s="11"/>
      <c r="S411" s="11"/>
      <c r="T411" s="11"/>
      <c r="U411" s="11">
        <f t="shared" si="124"/>
        <v>2</v>
      </c>
      <c r="W411">
        <v>2.2000000000000002</v>
      </c>
      <c r="X411" s="1" t="s">
        <v>109</v>
      </c>
    </row>
    <row r="412" spans="1:24" x14ac:dyDescent="0.25">
      <c r="A412" s="1" t="str">
        <f t="shared" si="119"/>
        <v>卡卡杜-凤凰仓</v>
      </c>
      <c r="B412" s="1" t="str">
        <f>"CK202410311690"</f>
        <v>CK202410311690</v>
      </c>
      <c r="C412" s="1" t="str">
        <f>"DD2024103112830"</f>
        <v>DD2024103112830</v>
      </c>
      <c r="D412" s="1" t="str">
        <f>"CK2024103118829"</f>
        <v>CK2024103118829</v>
      </c>
      <c r="E412" s="1" t="str">
        <f>"3723673535391860224"</f>
        <v>3723673535391860224</v>
      </c>
      <c r="F412" s="1" t="str">
        <f t="shared" si="120"/>
        <v>花都四部-凤凰仓</v>
      </c>
      <c r="G412" s="1" t="str">
        <f t="shared" si="126"/>
        <v>卡卡杜企业店（视频号）</v>
      </c>
      <c r="H412" s="1" t="str">
        <f t="shared" si="121"/>
        <v>正常订单</v>
      </c>
      <c r="I412" s="1" t="str">
        <f t="shared" si="122"/>
        <v>已发货</v>
      </c>
      <c r="J412" s="1" t="str">
        <f t="shared" ref="J412:J417" si="132">"2"</f>
        <v>2</v>
      </c>
      <c r="K412" s="1">
        <v>2</v>
      </c>
      <c r="L412" s="1" t="s">
        <v>109</v>
      </c>
      <c r="M412" s="1" t="str">
        <f>"山西省 太原市 迎泽区 "</f>
        <v xml:space="preserve">山西省 太原市 迎泽区 </v>
      </c>
      <c r="N412" s="1" t="str">
        <f t="shared" si="114"/>
        <v>凡华云仓-城南圆通-微信视频号</v>
      </c>
      <c r="O412" s="5" t="s">
        <v>450</v>
      </c>
      <c r="P412" s="6">
        <v>0.17</v>
      </c>
      <c r="Q412" s="11">
        <v>2</v>
      </c>
      <c r="R412" s="11"/>
      <c r="S412" s="11"/>
      <c r="T412" s="11"/>
      <c r="U412" s="11">
        <f t="shared" si="124"/>
        <v>2</v>
      </c>
      <c r="W412">
        <v>2.2000000000000002</v>
      </c>
      <c r="X412" s="1" t="s">
        <v>109</v>
      </c>
    </row>
    <row r="413" spans="1:24" x14ac:dyDescent="0.25">
      <c r="A413" s="1" t="str">
        <f t="shared" si="119"/>
        <v>卡卡杜-凤凰仓</v>
      </c>
      <c r="B413" s="1" t="str">
        <f>"CK20241031110"</f>
        <v>CK20241031110</v>
      </c>
      <c r="C413" s="1" t="str">
        <f>"DD2024103112246"</f>
        <v>DD2024103112246</v>
      </c>
      <c r="D413" s="1" t="str">
        <f>"CK2024103118828"</f>
        <v>CK2024103118828</v>
      </c>
      <c r="E413" s="1" t="str">
        <f>"3723673528372692224"</f>
        <v>3723673528372692224</v>
      </c>
      <c r="F413" s="1" t="str">
        <f t="shared" si="120"/>
        <v>花都四部-凤凰仓</v>
      </c>
      <c r="G413" s="1" t="str">
        <f t="shared" si="126"/>
        <v>卡卡杜企业店（视频号）</v>
      </c>
      <c r="H413" s="1" t="str">
        <f t="shared" si="121"/>
        <v>正常订单</v>
      </c>
      <c r="I413" s="1" t="str">
        <f t="shared" si="122"/>
        <v>已发货</v>
      </c>
      <c r="J413" s="1" t="str">
        <f t="shared" si="131"/>
        <v>3</v>
      </c>
      <c r="K413" s="1">
        <v>2</v>
      </c>
      <c r="L413" s="1" t="s">
        <v>36</v>
      </c>
      <c r="M413" s="1" t="str">
        <f>"安徽省 淮南市 田家庵区 "</f>
        <v xml:space="preserve">安徽省 淮南市 田家庵区 </v>
      </c>
      <c r="N413" s="1" t="str">
        <f t="shared" si="114"/>
        <v>凡华云仓-城南圆通-微信视频号</v>
      </c>
      <c r="O413" s="5" t="s">
        <v>451</v>
      </c>
      <c r="P413" s="6">
        <v>0.25</v>
      </c>
      <c r="Q413" s="11">
        <v>2</v>
      </c>
      <c r="R413" s="11"/>
      <c r="S413" s="11"/>
      <c r="T413" s="11"/>
      <c r="U413" s="11">
        <f t="shared" si="124"/>
        <v>2</v>
      </c>
      <c r="W413">
        <v>2.2000000000000002</v>
      </c>
      <c r="X413" s="1" t="s">
        <v>36</v>
      </c>
    </row>
    <row r="414" spans="1:24" x14ac:dyDescent="0.25">
      <c r="A414" s="1" t="str">
        <f t="shared" si="119"/>
        <v>卡卡杜-凤凰仓</v>
      </c>
      <c r="B414" s="1" t="str">
        <f>"CK202410311696"</f>
        <v>CK202410311696</v>
      </c>
      <c r="C414" s="1" t="str">
        <f>"DD2024103112836"</f>
        <v>DD2024103112836</v>
      </c>
      <c r="D414" s="1" t="str">
        <f>"CK2024103118827"</f>
        <v>CK2024103118827</v>
      </c>
      <c r="E414" s="1" t="str">
        <f>"3723673525488584192"</f>
        <v>3723673525488584192</v>
      </c>
      <c r="F414" s="1" t="str">
        <f t="shared" si="120"/>
        <v>花都四部-凤凰仓</v>
      </c>
      <c r="G414" s="1" t="str">
        <f t="shared" si="126"/>
        <v>卡卡杜企业店（视频号）</v>
      </c>
      <c r="H414" s="1" t="str">
        <f t="shared" si="121"/>
        <v>正常订单</v>
      </c>
      <c r="I414" s="1" t="str">
        <f t="shared" si="122"/>
        <v>已发货</v>
      </c>
      <c r="J414" s="1" t="str">
        <f t="shared" si="132"/>
        <v>2</v>
      </c>
      <c r="K414" s="1">
        <v>2</v>
      </c>
      <c r="L414" s="1" t="s">
        <v>66</v>
      </c>
      <c r="M414" s="1" t="str">
        <f>"内蒙古自治区 鄂尔多斯市 准格尔旗 "</f>
        <v xml:space="preserve">内蒙古自治区 鄂尔多斯市 准格尔旗 </v>
      </c>
      <c r="N414" s="1" t="str">
        <f t="shared" si="114"/>
        <v>凡华云仓-城南圆通-微信视频号</v>
      </c>
      <c r="O414" s="5" t="s">
        <v>452</v>
      </c>
      <c r="P414" s="6">
        <v>0.17</v>
      </c>
      <c r="Q414" s="11">
        <v>2</v>
      </c>
      <c r="R414" s="11"/>
      <c r="S414" s="11"/>
      <c r="T414" s="11"/>
      <c r="U414" s="11">
        <f t="shared" si="124"/>
        <v>2</v>
      </c>
      <c r="W414">
        <v>2.2000000000000002</v>
      </c>
      <c r="X414" s="1" t="s">
        <v>66</v>
      </c>
    </row>
    <row r="415" spans="1:24" x14ac:dyDescent="0.25">
      <c r="A415" s="1" t="str">
        <f t="shared" si="119"/>
        <v>卡卡杜-凤凰仓</v>
      </c>
      <c r="B415" s="1" t="str">
        <f>"CK202410311693"</f>
        <v>CK202410311693</v>
      </c>
      <c r="C415" s="1" t="str">
        <f>"DD2024103112833"</f>
        <v>DD2024103112833</v>
      </c>
      <c r="D415" s="1" t="str">
        <f>"CK2024103118826"</f>
        <v>CK2024103118826</v>
      </c>
      <c r="E415" s="1" t="str">
        <f>"3723673532185579520"</f>
        <v>3723673532185579520</v>
      </c>
      <c r="F415" s="1" t="str">
        <f t="shared" si="120"/>
        <v>花都四部-凤凰仓</v>
      </c>
      <c r="G415" s="1" t="str">
        <f t="shared" si="126"/>
        <v>卡卡杜企业店（视频号）</v>
      </c>
      <c r="H415" s="1" t="str">
        <f t="shared" si="121"/>
        <v>正常订单</v>
      </c>
      <c r="I415" s="1" t="str">
        <f t="shared" si="122"/>
        <v>已发货</v>
      </c>
      <c r="J415" s="1" t="str">
        <f t="shared" si="132"/>
        <v>2</v>
      </c>
      <c r="K415" s="1">
        <v>2</v>
      </c>
      <c r="L415" s="1" t="s">
        <v>13</v>
      </c>
      <c r="M415" s="1" t="str">
        <f>"江苏省 南京市 浦口区 "</f>
        <v xml:space="preserve">江苏省 南京市 浦口区 </v>
      </c>
      <c r="N415" s="1" t="str">
        <f t="shared" si="114"/>
        <v>凡华云仓-城南圆通-微信视频号</v>
      </c>
      <c r="O415" s="5" t="s">
        <v>453</v>
      </c>
      <c r="P415" s="6">
        <v>0.17</v>
      </c>
      <c r="Q415" s="11">
        <v>2</v>
      </c>
      <c r="R415" s="11"/>
      <c r="S415" s="11"/>
      <c r="T415" s="11"/>
      <c r="U415" s="11">
        <f t="shared" si="124"/>
        <v>2</v>
      </c>
      <c r="W415">
        <v>2.2000000000000002</v>
      </c>
      <c r="X415" s="1" t="s">
        <v>13</v>
      </c>
    </row>
    <row r="416" spans="1:24" x14ac:dyDescent="0.25">
      <c r="A416" s="1" t="str">
        <f t="shared" si="119"/>
        <v>卡卡杜-凤凰仓</v>
      </c>
      <c r="B416" s="1" t="str">
        <f>"CK202410311694"</f>
        <v>CK202410311694</v>
      </c>
      <c r="C416" s="1" t="str">
        <f>"DD2024103112835"</f>
        <v>DD2024103112835</v>
      </c>
      <c r="D416" s="1" t="str">
        <f>"CK2024103118825"</f>
        <v>CK2024103118825</v>
      </c>
      <c r="E416" s="1" t="str">
        <f>"3723673533263778816"</f>
        <v>3723673533263778816</v>
      </c>
      <c r="F416" s="1" t="str">
        <f t="shared" si="120"/>
        <v>花都四部-凤凰仓</v>
      </c>
      <c r="G416" s="1" t="str">
        <f t="shared" si="126"/>
        <v>卡卡杜企业店（视频号）</v>
      </c>
      <c r="H416" s="1" t="str">
        <f t="shared" si="121"/>
        <v>正常订单</v>
      </c>
      <c r="I416" s="1" t="str">
        <f t="shared" si="122"/>
        <v>已发货</v>
      </c>
      <c r="J416" s="1" t="str">
        <f t="shared" si="132"/>
        <v>2</v>
      </c>
      <c r="K416" s="1">
        <v>2</v>
      </c>
      <c r="L416" s="1" t="s">
        <v>30</v>
      </c>
      <c r="M416" s="1" t="str">
        <f>"山东省 东营市 东营经济技术开发区 "</f>
        <v xml:space="preserve">山东省 东营市 东营经济技术开发区 </v>
      </c>
      <c r="N416" s="1" t="str">
        <f t="shared" si="114"/>
        <v>凡华云仓-城南圆通-微信视频号</v>
      </c>
      <c r="O416" s="5" t="s">
        <v>454</v>
      </c>
      <c r="P416" s="6">
        <v>0.17</v>
      </c>
      <c r="Q416" s="11">
        <v>2</v>
      </c>
      <c r="R416" s="11"/>
      <c r="S416" s="11"/>
      <c r="T416" s="11"/>
      <c r="U416" s="11">
        <f t="shared" si="124"/>
        <v>2</v>
      </c>
      <c r="W416">
        <v>2.2000000000000002</v>
      </c>
      <c r="X416" s="1" t="s">
        <v>30</v>
      </c>
    </row>
    <row r="417" spans="1:24" x14ac:dyDescent="0.25">
      <c r="A417" s="1" t="str">
        <f t="shared" si="119"/>
        <v>卡卡杜-凤凰仓</v>
      </c>
      <c r="B417" s="1" t="str">
        <f>"CK202410311703"</f>
        <v>CK202410311703</v>
      </c>
      <c r="C417" s="1" t="str">
        <f>"DD2024103112843"</f>
        <v>DD2024103112843</v>
      </c>
      <c r="D417" s="1" t="str">
        <f>"CK2024103118824"</f>
        <v>CK2024103118824</v>
      </c>
      <c r="E417" s="1" t="str">
        <f>"3723673528601544192"</f>
        <v>3723673528601544192</v>
      </c>
      <c r="F417" s="1" t="str">
        <f t="shared" si="120"/>
        <v>花都四部-凤凰仓</v>
      </c>
      <c r="G417" s="1" t="str">
        <f t="shared" si="126"/>
        <v>卡卡杜企业店（视频号）</v>
      </c>
      <c r="H417" s="1" t="str">
        <f t="shared" si="121"/>
        <v>正常订单</v>
      </c>
      <c r="I417" s="1" t="str">
        <f t="shared" si="122"/>
        <v>已发货</v>
      </c>
      <c r="J417" s="1" t="str">
        <f t="shared" si="132"/>
        <v>2</v>
      </c>
      <c r="K417" s="1">
        <v>2</v>
      </c>
      <c r="L417" s="1" t="s">
        <v>18</v>
      </c>
      <c r="M417" s="1" t="str">
        <f>"广东省 广州市 荔湾区 "</f>
        <v xml:space="preserve">广东省 广州市 荔湾区 </v>
      </c>
      <c r="N417" s="1" t="str">
        <f t="shared" si="114"/>
        <v>凡华云仓-城南圆通-微信视频号</v>
      </c>
      <c r="O417" s="5" t="s">
        <v>455</v>
      </c>
      <c r="P417" s="6">
        <v>0.17</v>
      </c>
      <c r="Q417" s="11">
        <v>2</v>
      </c>
      <c r="R417" s="11"/>
      <c r="S417" s="11"/>
      <c r="T417" s="11"/>
      <c r="U417" s="11">
        <f t="shared" si="124"/>
        <v>2</v>
      </c>
      <c r="W417">
        <v>2.2000000000000002</v>
      </c>
      <c r="X417" s="1" t="s">
        <v>18</v>
      </c>
    </row>
    <row r="418" spans="1:24" x14ac:dyDescent="0.25">
      <c r="A418" s="1" t="str">
        <f t="shared" si="119"/>
        <v>卡卡杜-凤凰仓</v>
      </c>
      <c r="B418" s="1" t="str">
        <f>"CK20241031118"</f>
        <v>CK20241031118</v>
      </c>
      <c r="C418" s="1" t="str">
        <f>"DD2024103112265"</f>
        <v>DD2024103112265</v>
      </c>
      <c r="D418" s="1" t="str">
        <f>"CK2024103118823"</f>
        <v>CK2024103118823</v>
      </c>
      <c r="E418" s="1" t="str">
        <f>"3723673528150918400"</f>
        <v>3723673528150918400</v>
      </c>
      <c r="F418" s="1" t="str">
        <f t="shared" si="120"/>
        <v>花都四部-凤凰仓</v>
      </c>
      <c r="G418" s="1" t="str">
        <f t="shared" si="126"/>
        <v>卡卡杜企业店（视频号）</v>
      </c>
      <c r="H418" s="1" t="str">
        <f t="shared" si="121"/>
        <v>正常订单</v>
      </c>
      <c r="I418" s="1" t="str">
        <f t="shared" si="122"/>
        <v>已发货</v>
      </c>
      <c r="J418" s="1" t="str">
        <f>"3"</f>
        <v>3</v>
      </c>
      <c r="K418" s="1">
        <v>2</v>
      </c>
      <c r="L418" s="1" t="s">
        <v>41</v>
      </c>
      <c r="M418" s="1" t="str">
        <f>"湖北省 武汉市 青山区 "</f>
        <v xml:space="preserve">湖北省 武汉市 青山区 </v>
      </c>
      <c r="N418" s="1" t="str">
        <f t="shared" si="114"/>
        <v>凡华云仓-城南圆通-微信视频号</v>
      </c>
      <c r="O418" s="5" t="s">
        <v>456</v>
      </c>
      <c r="P418" s="6">
        <v>0.25</v>
      </c>
      <c r="Q418" s="11">
        <v>2</v>
      </c>
      <c r="R418" s="11"/>
      <c r="S418" s="11"/>
      <c r="T418" s="11"/>
      <c r="U418" s="11">
        <f t="shared" si="124"/>
        <v>2</v>
      </c>
      <c r="W418">
        <v>2.2000000000000002</v>
      </c>
      <c r="X418" s="1" t="s">
        <v>41</v>
      </c>
    </row>
    <row r="419" spans="1:24" x14ac:dyDescent="0.25">
      <c r="A419" s="1" t="str">
        <f t="shared" si="119"/>
        <v>卡卡杜-凤凰仓</v>
      </c>
      <c r="B419" s="1" t="str">
        <f>"CK202410311695"</f>
        <v>CK202410311695</v>
      </c>
      <c r="C419" s="1" t="str">
        <f>"DD2024103112834"</f>
        <v>DD2024103112834</v>
      </c>
      <c r="D419" s="1" t="str">
        <f>"CK2024103118822"</f>
        <v>CK2024103118822</v>
      </c>
      <c r="E419" s="1" t="str">
        <f>"3723673531895123968"</f>
        <v>3723673531895123968</v>
      </c>
      <c r="F419" s="1" t="str">
        <f t="shared" si="120"/>
        <v>花都四部-凤凰仓</v>
      </c>
      <c r="G419" s="1" t="str">
        <f t="shared" si="126"/>
        <v>卡卡杜企业店（视频号）</v>
      </c>
      <c r="H419" s="1" t="str">
        <f t="shared" si="121"/>
        <v>正常订单</v>
      </c>
      <c r="I419" s="1" t="str">
        <f t="shared" si="122"/>
        <v>已发货</v>
      </c>
      <c r="J419" s="1" t="str">
        <f t="shared" ref="J419:J422" si="133">"2"</f>
        <v>2</v>
      </c>
      <c r="K419" s="1">
        <v>2</v>
      </c>
      <c r="L419" s="1" t="s">
        <v>20</v>
      </c>
      <c r="M419" s="1" t="str">
        <f>"浙江省 金华市 婺城区 "</f>
        <v xml:space="preserve">浙江省 金华市 婺城区 </v>
      </c>
      <c r="N419" s="1" t="str">
        <f t="shared" si="114"/>
        <v>凡华云仓-城南圆通-微信视频号</v>
      </c>
      <c r="O419" s="5" t="s">
        <v>457</v>
      </c>
      <c r="P419" s="6">
        <v>0.17</v>
      </c>
      <c r="Q419" s="11">
        <v>2</v>
      </c>
      <c r="R419" s="11"/>
      <c r="S419" s="11"/>
      <c r="T419" s="11"/>
      <c r="U419" s="11">
        <f t="shared" si="124"/>
        <v>2</v>
      </c>
      <c r="W419">
        <v>2.2000000000000002</v>
      </c>
      <c r="X419" s="1" t="s">
        <v>20</v>
      </c>
    </row>
    <row r="420" spans="1:24" x14ac:dyDescent="0.25">
      <c r="A420" s="1" t="str">
        <f t="shared" si="119"/>
        <v>卡卡杜-凤凰仓</v>
      </c>
      <c r="B420" s="1" t="str">
        <f>"CK202410311697"</f>
        <v>CK202410311697</v>
      </c>
      <c r="C420" s="1" t="str">
        <f>"DD2024103112837"</f>
        <v>DD2024103112837</v>
      </c>
      <c r="D420" s="1" t="str">
        <f>"CK2024103118821"</f>
        <v>CK2024103118821</v>
      </c>
      <c r="E420" s="1" t="str">
        <f>"3723673521416176897"</f>
        <v>3723673521416176897</v>
      </c>
      <c r="F420" s="1" t="str">
        <f t="shared" si="120"/>
        <v>花都四部-凤凰仓</v>
      </c>
      <c r="G420" s="1" t="str">
        <f t="shared" si="126"/>
        <v>卡卡杜企业店（视频号）</v>
      </c>
      <c r="H420" s="1" t="str">
        <f t="shared" si="121"/>
        <v>正常订单</v>
      </c>
      <c r="I420" s="1" t="str">
        <f t="shared" si="122"/>
        <v>已发货</v>
      </c>
      <c r="J420" s="1" t="str">
        <f t="shared" si="133"/>
        <v>2</v>
      </c>
      <c r="K420" s="1">
        <v>2</v>
      </c>
      <c r="L420" s="1" t="s">
        <v>187</v>
      </c>
      <c r="M420" s="1" t="str">
        <f>"吉林省 延边朝鲜族自治州 延吉市 "</f>
        <v xml:space="preserve">吉林省 延边朝鲜族自治州 延吉市 </v>
      </c>
      <c r="N420" s="1" t="str">
        <f t="shared" si="114"/>
        <v>凡华云仓-城南圆通-微信视频号</v>
      </c>
      <c r="O420" s="5" t="s">
        <v>458</v>
      </c>
      <c r="P420" s="6">
        <v>0.17</v>
      </c>
      <c r="Q420" s="11">
        <v>2</v>
      </c>
      <c r="R420" s="11"/>
      <c r="S420" s="11"/>
      <c r="T420" s="11"/>
      <c r="U420" s="11">
        <f t="shared" si="124"/>
        <v>2</v>
      </c>
      <c r="W420">
        <v>2.2000000000000002</v>
      </c>
      <c r="X420" s="1" t="s">
        <v>187</v>
      </c>
    </row>
    <row r="421" spans="1:24" x14ac:dyDescent="0.25">
      <c r="A421" s="1" t="str">
        <f t="shared" si="119"/>
        <v>卡卡杜-凤凰仓</v>
      </c>
      <c r="B421" s="1" t="str">
        <f>"CK202410311698"</f>
        <v>CK202410311698</v>
      </c>
      <c r="C421" s="1" t="str">
        <f>"DD2024103112838"</f>
        <v>DD2024103112838</v>
      </c>
      <c r="D421" s="1" t="str">
        <f>"CK2024103118820"</f>
        <v>CK2024103118820</v>
      </c>
      <c r="E421" s="1" t="str">
        <f>"3723673532910142976"</f>
        <v>3723673532910142976</v>
      </c>
      <c r="F421" s="1" t="str">
        <f t="shared" si="120"/>
        <v>花都四部-凤凰仓</v>
      </c>
      <c r="G421" s="1" t="str">
        <f t="shared" si="126"/>
        <v>卡卡杜企业店（视频号）</v>
      </c>
      <c r="H421" s="1" t="str">
        <f t="shared" si="121"/>
        <v>正常订单</v>
      </c>
      <c r="I421" s="1" t="str">
        <f t="shared" si="122"/>
        <v>已发货</v>
      </c>
      <c r="J421" s="1" t="str">
        <f t="shared" si="133"/>
        <v>2</v>
      </c>
      <c r="K421" s="1">
        <v>2</v>
      </c>
      <c r="L421" s="1" t="s">
        <v>105</v>
      </c>
      <c r="M421" s="1" t="str">
        <f>"北京 北京市 昌平区 "</f>
        <v xml:space="preserve">北京 北京市 昌平区 </v>
      </c>
      <c r="N421" s="1" t="str">
        <f t="shared" si="114"/>
        <v>凡华云仓-城南圆通-微信视频号</v>
      </c>
      <c r="O421" s="5" t="s">
        <v>459</v>
      </c>
      <c r="P421" s="6">
        <v>0.17</v>
      </c>
      <c r="Q421" s="11">
        <v>2</v>
      </c>
      <c r="R421" s="11"/>
      <c r="S421" s="11"/>
      <c r="T421" s="11"/>
      <c r="U421" s="11">
        <f t="shared" si="124"/>
        <v>2</v>
      </c>
      <c r="W421">
        <v>2.2000000000000002</v>
      </c>
      <c r="X421" s="1" t="s">
        <v>105</v>
      </c>
    </row>
    <row r="422" spans="1:24" x14ac:dyDescent="0.25">
      <c r="A422" s="1" t="str">
        <f t="shared" si="119"/>
        <v>卡卡杜-凤凰仓</v>
      </c>
      <c r="B422" s="1" t="str">
        <f>"CK202410311699"</f>
        <v>CK202410311699</v>
      </c>
      <c r="C422" s="1" t="str">
        <f>"DD2024103112839"</f>
        <v>DD2024103112839</v>
      </c>
      <c r="D422" s="1" t="str">
        <f>"CK2024103118819"</f>
        <v>CK2024103118819</v>
      </c>
      <c r="E422" s="1" t="str">
        <f>"3723673526718566401"</f>
        <v>3723673526718566401</v>
      </c>
      <c r="F422" s="1" t="str">
        <f t="shared" si="120"/>
        <v>花都四部-凤凰仓</v>
      </c>
      <c r="G422" s="1" t="str">
        <f t="shared" si="126"/>
        <v>卡卡杜企业店（视频号）</v>
      </c>
      <c r="H422" s="1" t="str">
        <f t="shared" si="121"/>
        <v>正常订单</v>
      </c>
      <c r="I422" s="1" t="str">
        <f t="shared" si="122"/>
        <v>已发货</v>
      </c>
      <c r="J422" s="1" t="str">
        <f t="shared" si="133"/>
        <v>2</v>
      </c>
      <c r="K422" s="1">
        <v>2</v>
      </c>
      <c r="L422" s="1" t="s">
        <v>105</v>
      </c>
      <c r="M422" s="1" t="str">
        <f>"北京 北京市 丰台区 "</f>
        <v xml:space="preserve">北京 北京市 丰台区 </v>
      </c>
      <c r="N422" s="1" t="str">
        <f t="shared" si="114"/>
        <v>凡华云仓-城南圆通-微信视频号</v>
      </c>
      <c r="O422" s="5" t="s">
        <v>460</v>
      </c>
      <c r="P422" s="6">
        <v>0.17</v>
      </c>
      <c r="Q422" s="11">
        <v>2</v>
      </c>
      <c r="R422" s="11"/>
      <c r="S422" s="11"/>
      <c r="T422" s="11"/>
      <c r="U422" s="11">
        <f t="shared" si="124"/>
        <v>2</v>
      </c>
      <c r="W422">
        <v>2.2000000000000002</v>
      </c>
      <c r="X422" s="1" t="s">
        <v>105</v>
      </c>
    </row>
    <row r="423" spans="1:24" x14ac:dyDescent="0.25">
      <c r="A423" s="1" t="str">
        <f t="shared" si="119"/>
        <v>卡卡杜-凤凰仓</v>
      </c>
      <c r="B423" s="1" t="str">
        <f>"CK20241031112"</f>
        <v>CK20241031112</v>
      </c>
      <c r="C423" s="1" t="str">
        <f>"DD2024103112252"</f>
        <v>DD2024103112252</v>
      </c>
      <c r="D423" s="1" t="str">
        <f>"CK2024103118818"</f>
        <v>CK2024103118818</v>
      </c>
      <c r="E423" s="1" t="str">
        <f>"3723673524010092032"</f>
        <v>3723673524010092032</v>
      </c>
      <c r="F423" s="1" t="str">
        <f t="shared" si="120"/>
        <v>花都四部-凤凰仓</v>
      </c>
      <c r="G423" s="1" t="str">
        <f t="shared" si="126"/>
        <v>卡卡杜企业店（视频号）</v>
      </c>
      <c r="H423" s="1" t="str">
        <f t="shared" si="121"/>
        <v>正常订单</v>
      </c>
      <c r="I423" s="1" t="str">
        <f t="shared" si="122"/>
        <v>已发货</v>
      </c>
      <c r="J423" s="1" t="str">
        <f t="shared" ref="J423:J427" si="134">"3"</f>
        <v>3</v>
      </c>
      <c r="K423" s="1">
        <v>2</v>
      </c>
      <c r="L423" s="1" t="s">
        <v>47</v>
      </c>
      <c r="M423" s="1" t="str">
        <f>"重庆 重庆市 南岸区 "</f>
        <v xml:space="preserve">重庆 重庆市 南岸区 </v>
      </c>
      <c r="N423" s="1" t="str">
        <f t="shared" si="114"/>
        <v>凡华云仓-城南圆通-微信视频号</v>
      </c>
      <c r="O423" s="5" t="s">
        <v>461</v>
      </c>
      <c r="P423" s="6">
        <v>0.25</v>
      </c>
      <c r="Q423" s="11">
        <v>2</v>
      </c>
      <c r="R423" s="11"/>
      <c r="S423" s="11"/>
      <c r="T423" s="11"/>
      <c r="U423" s="11">
        <f t="shared" si="124"/>
        <v>2</v>
      </c>
      <c r="W423">
        <v>2.2000000000000002</v>
      </c>
      <c r="X423" s="1" t="s">
        <v>47</v>
      </c>
    </row>
    <row r="424" spans="1:24" x14ac:dyDescent="0.25">
      <c r="A424" s="1" t="str">
        <f t="shared" si="119"/>
        <v>卡卡杜-凤凰仓</v>
      </c>
      <c r="B424" s="1" t="str">
        <f>"CK20241031121"</f>
        <v>CK20241031121</v>
      </c>
      <c r="C424" s="1" t="str">
        <f>"DD2024103112272"</f>
        <v>DD2024103112272</v>
      </c>
      <c r="D424" s="1" t="str">
        <f>"CK2024103118817"</f>
        <v>CK2024103118817</v>
      </c>
      <c r="E424" s="1" t="str">
        <f>"3723673528551215104"</f>
        <v>3723673528551215104</v>
      </c>
      <c r="F424" s="1" t="str">
        <f t="shared" si="120"/>
        <v>花都四部-凤凰仓</v>
      </c>
      <c r="G424" s="1" t="str">
        <f t="shared" si="126"/>
        <v>卡卡杜企业店（视频号）</v>
      </c>
      <c r="H424" s="1" t="str">
        <f t="shared" si="121"/>
        <v>正常订单</v>
      </c>
      <c r="I424" s="1" t="str">
        <f t="shared" si="122"/>
        <v>已发货</v>
      </c>
      <c r="J424" s="1" t="str">
        <f t="shared" si="134"/>
        <v>3</v>
      </c>
      <c r="K424" s="1">
        <v>2</v>
      </c>
      <c r="L424" s="1" t="s">
        <v>32</v>
      </c>
      <c r="M424" s="1" t="str">
        <f>"陕西省 西安市 未央区 "</f>
        <v xml:space="preserve">陕西省 西安市 未央区 </v>
      </c>
      <c r="N424" s="1" t="str">
        <f t="shared" si="114"/>
        <v>凡华云仓-城南圆通-微信视频号</v>
      </c>
      <c r="O424" s="5" t="s">
        <v>462</v>
      </c>
      <c r="P424" s="6">
        <v>0.25</v>
      </c>
      <c r="Q424" s="11">
        <v>2</v>
      </c>
      <c r="R424" s="11"/>
      <c r="S424" s="11"/>
      <c r="T424" s="11"/>
      <c r="U424" s="11">
        <f t="shared" si="124"/>
        <v>2</v>
      </c>
      <c r="W424">
        <v>2.2000000000000002</v>
      </c>
      <c r="X424" s="1" t="s">
        <v>32</v>
      </c>
    </row>
    <row r="425" spans="1:24" x14ac:dyDescent="0.25">
      <c r="A425" s="1" t="str">
        <f t="shared" si="119"/>
        <v>卡卡杜-凤凰仓</v>
      </c>
      <c r="B425" s="1" t="str">
        <f>"CK202410311701"</f>
        <v>CK202410311701</v>
      </c>
      <c r="C425" s="1" t="str">
        <f>"DD2024103112841"</f>
        <v>DD2024103112841</v>
      </c>
      <c r="D425" s="1" t="str">
        <f>"CK2024103118816"</f>
        <v>CK2024103118816</v>
      </c>
      <c r="E425" s="1" t="str">
        <f>"3723673530647843841"</f>
        <v>3723673530647843841</v>
      </c>
      <c r="F425" s="1" t="str">
        <f t="shared" si="120"/>
        <v>花都四部-凤凰仓</v>
      </c>
      <c r="G425" s="1" t="str">
        <f t="shared" si="126"/>
        <v>卡卡杜企业店（视频号）</v>
      </c>
      <c r="H425" s="1" t="str">
        <f t="shared" si="121"/>
        <v>正常订单</v>
      </c>
      <c r="I425" s="1" t="str">
        <f t="shared" si="122"/>
        <v>已发货</v>
      </c>
      <c r="J425" s="1" t="str">
        <f t="shared" ref="J425:J430" si="135">"2"</f>
        <v>2</v>
      </c>
      <c r="K425" s="1">
        <v>2</v>
      </c>
      <c r="L425" s="1" t="s">
        <v>74</v>
      </c>
      <c r="M425" s="1" t="str">
        <f>"上海 上海市 闵行区 "</f>
        <v xml:space="preserve">上海 上海市 闵行区 </v>
      </c>
      <c r="N425" s="1" t="str">
        <f t="shared" si="114"/>
        <v>凡华云仓-城南圆通-微信视频号</v>
      </c>
      <c r="O425" s="5" t="s">
        <v>463</v>
      </c>
      <c r="P425" s="6">
        <v>0.17</v>
      </c>
      <c r="Q425" s="11">
        <v>2</v>
      </c>
      <c r="R425" s="11"/>
      <c r="S425" s="11"/>
      <c r="T425" s="11"/>
      <c r="U425" s="11">
        <f t="shared" si="124"/>
        <v>2</v>
      </c>
      <c r="W425">
        <v>2.2000000000000002</v>
      </c>
      <c r="X425" s="1" t="s">
        <v>74</v>
      </c>
    </row>
    <row r="426" spans="1:24" x14ac:dyDescent="0.25">
      <c r="A426" s="1" t="str">
        <f t="shared" si="119"/>
        <v>卡卡杜-凤凰仓</v>
      </c>
      <c r="B426" s="1" t="str">
        <f>"CK202410311700"</f>
        <v>CK202410311700</v>
      </c>
      <c r="C426" s="1" t="str">
        <f>"DD2024103112840"</f>
        <v>DD2024103112840</v>
      </c>
      <c r="D426" s="1" t="str">
        <f>"CK2024103118815"</f>
        <v>CK2024103118815</v>
      </c>
      <c r="E426" s="1" t="str">
        <f>"3723673529916982784"</f>
        <v>3723673529916982784</v>
      </c>
      <c r="F426" s="1" t="str">
        <f t="shared" si="120"/>
        <v>花都四部-凤凰仓</v>
      </c>
      <c r="G426" s="1" t="str">
        <f t="shared" si="126"/>
        <v>卡卡杜企业店（视频号）</v>
      </c>
      <c r="H426" s="1" t="str">
        <f t="shared" si="121"/>
        <v>正常订单</v>
      </c>
      <c r="I426" s="1" t="str">
        <f t="shared" si="122"/>
        <v>已发货</v>
      </c>
      <c r="J426" s="1" t="str">
        <f t="shared" si="135"/>
        <v>2</v>
      </c>
      <c r="K426" s="1">
        <v>2</v>
      </c>
      <c r="L426" s="1" t="s">
        <v>16</v>
      </c>
      <c r="M426" s="1" t="str">
        <f>"河北省 张家口市 宣化区 "</f>
        <v xml:space="preserve">河北省 张家口市 宣化区 </v>
      </c>
      <c r="N426" s="1" t="str">
        <f t="shared" si="114"/>
        <v>凡华云仓-城南圆通-微信视频号</v>
      </c>
      <c r="O426" s="5" t="s">
        <v>464</v>
      </c>
      <c r="P426" s="6">
        <v>0.17</v>
      </c>
      <c r="Q426" s="11">
        <v>2</v>
      </c>
      <c r="R426" s="11"/>
      <c r="S426" s="11"/>
      <c r="T426" s="11"/>
      <c r="U426" s="11">
        <f t="shared" si="124"/>
        <v>2</v>
      </c>
      <c r="W426">
        <v>2.2000000000000002</v>
      </c>
      <c r="X426" s="1" t="s">
        <v>16</v>
      </c>
    </row>
    <row r="427" spans="1:24" x14ac:dyDescent="0.25">
      <c r="A427" s="1" t="str">
        <f t="shared" si="119"/>
        <v>卡卡杜-凤凰仓</v>
      </c>
      <c r="B427" s="1" t="str">
        <f>"CK20241031109"</f>
        <v>CK20241031109</v>
      </c>
      <c r="C427" s="1" t="str">
        <f>"DD2024103112245"</f>
        <v>DD2024103112245</v>
      </c>
      <c r="D427" s="1" t="str">
        <f>"CK2024103118814"</f>
        <v>CK2024103118814</v>
      </c>
      <c r="E427" s="1" t="str">
        <f>"3723673530576277504"</f>
        <v>3723673530576277504</v>
      </c>
      <c r="F427" s="1" t="str">
        <f t="shared" si="120"/>
        <v>花都四部-凤凰仓</v>
      </c>
      <c r="G427" s="1" t="str">
        <f t="shared" si="126"/>
        <v>卡卡杜企业店（视频号）</v>
      </c>
      <c r="H427" s="1" t="str">
        <f t="shared" si="121"/>
        <v>正常订单</v>
      </c>
      <c r="I427" s="1" t="str">
        <f t="shared" si="122"/>
        <v>已发货</v>
      </c>
      <c r="J427" s="1" t="str">
        <f t="shared" si="134"/>
        <v>3</v>
      </c>
      <c r="K427" s="1">
        <v>2</v>
      </c>
      <c r="L427" s="1" t="s">
        <v>30</v>
      </c>
      <c r="M427" s="1" t="str">
        <f>"山东省 青岛市 市北区 "</f>
        <v xml:space="preserve">山东省 青岛市 市北区 </v>
      </c>
      <c r="N427" s="1" t="str">
        <f t="shared" si="114"/>
        <v>凡华云仓-城南圆通-微信视频号</v>
      </c>
      <c r="O427" s="5" t="s">
        <v>465</v>
      </c>
      <c r="P427" s="6">
        <v>0.25</v>
      </c>
      <c r="Q427" s="11">
        <v>2</v>
      </c>
      <c r="R427" s="11"/>
      <c r="S427" s="11"/>
      <c r="T427" s="11"/>
      <c r="U427" s="11">
        <f t="shared" si="124"/>
        <v>2</v>
      </c>
      <c r="W427">
        <v>2.2000000000000002</v>
      </c>
      <c r="X427" s="1" t="s">
        <v>30</v>
      </c>
    </row>
    <row r="428" spans="1:24" x14ac:dyDescent="0.25">
      <c r="A428" s="1" t="str">
        <f t="shared" si="119"/>
        <v>卡卡杜-凤凰仓</v>
      </c>
      <c r="B428" s="1" t="str">
        <f>"CK202410311702"</f>
        <v>CK202410311702</v>
      </c>
      <c r="C428" s="1" t="str">
        <f>"DD2024103112842"</f>
        <v>DD2024103112842</v>
      </c>
      <c r="D428" s="1" t="str">
        <f>"CK2024103118813"</f>
        <v>CK2024103118813</v>
      </c>
      <c r="E428" s="1" t="str">
        <f>"3723673526530345984"</f>
        <v>3723673526530345984</v>
      </c>
      <c r="F428" s="1" t="str">
        <f t="shared" si="120"/>
        <v>花都四部-凤凰仓</v>
      </c>
      <c r="G428" s="1" t="str">
        <f t="shared" si="126"/>
        <v>卡卡杜企业店（视频号）</v>
      </c>
      <c r="H428" s="1" t="str">
        <f t="shared" si="121"/>
        <v>正常订单</v>
      </c>
      <c r="I428" s="1" t="str">
        <f t="shared" si="122"/>
        <v>已发货</v>
      </c>
      <c r="J428" s="1" t="str">
        <f t="shared" si="135"/>
        <v>2</v>
      </c>
      <c r="K428" s="1">
        <v>2</v>
      </c>
      <c r="L428" s="1" t="s">
        <v>47</v>
      </c>
      <c r="M428" s="1" t="str">
        <f>"重庆 重庆市 北碚区 "</f>
        <v xml:space="preserve">重庆 重庆市 北碚区 </v>
      </c>
      <c r="N428" s="1" t="str">
        <f t="shared" si="114"/>
        <v>凡华云仓-城南圆通-微信视频号</v>
      </c>
      <c r="O428" s="5" t="s">
        <v>466</v>
      </c>
      <c r="P428" s="6">
        <v>0.17</v>
      </c>
      <c r="Q428" s="11">
        <v>2</v>
      </c>
      <c r="R428" s="11"/>
      <c r="S428" s="11"/>
      <c r="T428" s="11"/>
      <c r="U428" s="11">
        <f t="shared" si="124"/>
        <v>2</v>
      </c>
      <c r="W428">
        <v>2.2000000000000002</v>
      </c>
      <c r="X428" s="1" t="s">
        <v>47</v>
      </c>
    </row>
    <row r="429" spans="1:24" x14ac:dyDescent="0.25">
      <c r="A429" s="1" t="str">
        <f t="shared" si="119"/>
        <v>卡卡杜-凤凰仓</v>
      </c>
      <c r="B429" s="1" t="str">
        <f>"CK202410311704"</f>
        <v>CK202410311704</v>
      </c>
      <c r="C429" s="1" t="str">
        <f>"DD2024103112844"</f>
        <v>DD2024103112844</v>
      </c>
      <c r="D429" s="1" t="str">
        <f>"CK2024103118812"</f>
        <v>CK2024103118812</v>
      </c>
      <c r="E429" s="1" t="str">
        <f>"3723673529062655232"</f>
        <v>3723673529062655232</v>
      </c>
      <c r="F429" s="1" t="str">
        <f t="shared" si="120"/>
        <v>花都四部-凤凰仓</v>
      </c>
      <c r="G429" s="1" t="str">
        <f t="shared" si="126"/>
        <v>卡卡杜企业店（视频号）</v>
      </c>
      <c r="H429" s="1" t="str">
        <f t="shared" si="121"/>
        <v>正常订单</v>
      </c>
      <c r="I429" s="1" t="str">
        <f t="shared" si="122"/>
        <v>已发货</v>
      </c>
      <c r="J429" s="1" t="str">
        <f t="shared" si="135"/>
        <v>2</v>
      </c>
      <c r="K429" s="1">
        <v>2</v>
      </c>
      <c r="L429" s="1" t="s">
        <v>32</v>
      </c>
      <c r="M429" s="1" t="str">
        <f>"陕西省 西安市 未央区 "</f>
        <v xml:space="preserve">陕西省 西安市 未央区 </v>
      </c>
      <c r="N429" s="1" t="str">
        <f t="shared" si="114"/>
        <v>凡华云仓-城南圆通-微信视频号</v>
      </c>
      <c r="O429" s="5" t="s">
        <v>467</v>
      </c>
      <c r="P429" s="6">
        <v>0.17</v>
      </c>
      <c r="Q429" s="11">
        <v>2</v>
      </c>
      <c r="R429" s="11"/>
      <c r="S429" s="11"/>
      <c r="T429" s="11"/>
      <c r="U429" s="11">
        <f t="shared" si="124"/>
        <v>2</v>
      </c>
      <c r="W429">
        <v>2.2000000000000002</v>
      </c>
      <c r="X429" s="1" t="s">
        <v>32</v>
      </c>
    </row>
    <row r="430" spans="1:24" x14ac:dyDescent="0.25">
      <c r="A430" s="1" t="str">
        <f t="shared" si="119"/>
        <v>卡卡杜-凤凰仓</v>
      </c>
      <c r="B430" s="1" t="str">
        <f>"CK202410311706"</f>
        <v>CK202410311706</v>
      </c>
      <c r="C430" s="1" t="str">
        <f>"DD2024103112845"</f>
        <v>DD2024103112845</v>
      </c>
      <c r="D430" s="1" t="str">
        <f>"CK2024103118811"</f>
        <v>CK2024103118811</v>
      </c>
      <c r="E430" s="1" t="str">
        <f>"3723673529322440192"</f>
        <v>3723673529322440192</v>
      </c>
      <c r="F430" s="1" t="str">
        <f t="shared" si="120"/>
        <v>花都四部-凤凰仓</v>
      </c>
      <c r="G430" s="1" t="str">
        <f t="shared" si="126"/>
        <v>卡卡杜企业店（视频号）</v>
      </c>
      <c r="H430" s="1" t="str">
        <f t="shared" si="121"/>
        <v>正常订单</v>
      </c>
      <c r="I430" s="1" t="str">
        <f t="shared" si="122"/>
        <v>已发货</v>
      </c>
      <c r="J430" s="1" t="str">
        <f t="shared" si="135"/>
        <v>2</v>
      </c>
      <c r="K430" s="1">
        <v>2</v>
      </c>
      <c r="L430" s="1" t="s">
        <v>13</v>
      </c>
      <c r="M430" s="1" t="str">
        <f>"江苏省 无锡市 宜兴市 "</f>
        <v xml:space="preserve">江苏省 无锡市 宜兴市 </v>
      </c>
      <c r="N430" s="1" t="str">
        <f t="shared" si="114"/>
        <v>凡华云仓-城南圆通-微信视频号</v>
      </c>
      <c r="O430" s="5" t="s">
        <v>468</v>
      </c>
      <c r="P430" s="6">
        <v>0.17</v>
      </c>
      <c r="Q430" s="11">
        <v>2</v>
      </c>
      <c r="R430" s="11"/>
      <c r="S430" s="11"/>
      <c r="T430" s="11"/>
      <c r="U430" s="11">
        <f t="shared" si="124"/>
        <v>2</v>
      </c>
      <c r="W430">
        <v>2.2000000000000002</v>
      </c>
      <c r="X430" s="1" t="s">
        <v>13</v>
      </c>
    </row>
    <row r="431" spans="1:24" x14ac:dyDescent="0.25">
      <c r="A431" s="1" t="str">
        <f t="shared" si="119"/>
        <v>卡卡杜-凤凰仓</v>
      </c>
      <c r="B431" s="1" t="str">
        <f>"CK20241031237"</f>
        <v>CK20241031237</v>
      </c>
      <c r="C431" s="1" t="str">
        <f>"DD2024103112458"</f>
        <v>DD2024103112458</v>
      </c>
      <c r="D431" s="1" t="str">
        <f>"CK2024103118810"</f>
        <v>CK2024103118810</v>
      </c>
      <c r="E431" s="1" t="str">
        <f>"3723673527049389570"</f>
        <v>3723673527049389570</v>
      </c>
      <c r="F431" s="1" t="str">
        <f t="shared" si="120"/>
        <v>花都四部-凤凰仓</v>
      </c>
      <c r="G431" s="1" t="str">
        <f t="shared" si="126"/>
        <v>卡卡杜企业店（视频号）</v>
      </c>
      <c r="H431" s="1" t="str">
        <f t="shared" si="121"/>
        <v>正常订单</v>
      </c>
      <c r="I431" s="1" t="str">
        <f t="shared" si="122"/>
        <v>已发货</v>
      </c>
      <c r="J431" s="1" t="str">
        <f t="shared" ref="J431:J435" si="136">"3"</f>
        <v>3</v>
      </c>
      <c r="K431" s="1">
        <v>2</v>
      </c>
      <c r="L431" s="1" t="s">
        <v>74</v>
      </c>
      <c r="M431" s="1" t="str">
        <f>"上海 上海市 杨浦区 "</f>
        <v xml:space="preserve">上海 上海市 杨浦区 </v>
      </c>
      <c r="N431" s="1" t="str">
        <f t="shared" si="114"/>
        <v>凡华云仓-城南圆通-微信视频号</v>
      </c>
      <c r="O431" s="5" t="s">
        <v>469</v>
      </c>
      <c r="P431" s="6">
        <v>0.25</v>
      </c>
      <c r="Q431" s="11">
        <v>2</v>
      </c>
      <c r="R431" s="11"/>
      <c r="S431" s="11"/>
      <c r="T431" s="11"/>
      <c r="U431" s="11">
        <f t="shared" si="124"/>
        <v>2</v>
      </c>
      <c r="W431">
        <v>2.2000000000000002</v>
      </c>
      <c r="X431" s="1" t="s">
        <v>74</v>
      </c>
    </row>
    <row r="432" spans="1:24" x14ac:dyDescent="0.25">
      <c r="A432" s="1" t="str">
        <f t="shared" si="119"/>
        <v>卡卡杜-凤凰仓</v>
      </c>
      <c r="B432" s="1" t="str">
        <f>"CK202410311705"</f>
        <v>CK202410311705</v>
      </c>
      <c r="C432" s="1" t="str">
        <f>"DD2024103112846"</f>
        <v>DD2024103112846</v>
      </c>
      <c r="D432" s="1" t="str">
        <f>"CK2024103118809"</f>
        <v>CK2024103118809</v>
      </c>
      <c r="E432" s="1" t="str">
        <f>"3723673529384569856"</f>
        <v>3723673529384569856</v>
      </c>
      <c r="F432" s="1" t="str">
        <f t="shared" si="120"/>
        <v>花都四部-凤凰仓</v>
      </c>
      <c r="G432" s="1" t="str">
        <f t="shared" si="126"/>
        <v>卡卡杜企业店（视频号）</v>
      </c>
      <c r="H432" s="1" t="str">
        <f t="shared" si="121"/>
        <v>正常订单</v>
      </c>
      <c r="I432" s="1" t="str">
        <f t="shared" si="122"/>
        <v>已发货</v>
      </c>
      <c r="J432" s="1" t="str">
        <f t="shared" ref="J432:J436" si="137">"2"</f>
        <v>2</v>
      </c>
      <c r="K432" s="1">
        <v>2</v>
      </c>
      <c r="L432" s="1" t="s">
        <v>18</v>
      </c>
      <c r="M432" s="1" t="str">
        <f>"广东省 汕尾市 陆丰市 "</f>
        <v xml:space="preserve">广东省 汕尾市 陆丰市 </v>
      </c>
      <c r="N432" s="1" t="str">
        <f t="shared" si="114"/>
        <v>凡华云仓-城南圆通-微信视频号</v>
      </c>
      <c r="O432" s="5" t="s">
        <v>470</v>
      </c>
      <c r="P432" s="6">
        <v>0.17</v>
      </c>
      <c r="Q432" s="11">
        <v>2</v>
      </c>
      <c r="R432" s="11"/>
      <c r="S432" s="11"/>
      <c r="T432" s="11"/>
      <c r="U432" s="11">
        <f t="shared" si="124"/>
        <v>2</v>
      </c>
      <c r="W432">
        <v>2.2000000000000002</v>
      </c>
      <c r="X432" s="1" t="s">
        <v>18</v>
      </c>
    </row>
    <row r="433" spans="1:24" x14ac:dyDescent="0.25">
      <c r="A433" s="1" t="str">
        <f t="shared" si="119"/>
        <v>卡卡杜-凤凰仓</v>
      </c>
      <c r="B433" s="1" t="str">
        <f>"CK202410311707"</f>
        <v>CK202410311707</v>
      </c>
      <c r="C433" s="1" t="str">
        <f>"DD2024103112847"</f>
        <v>DD2024103112847</v>
      </c>
      <c r="D433" s="1" t="str">
        <f>"CK2024103118808"</f>
        <v>CK2024103118808</v>
      </c>
      <c r="E433" s="1" t="str">
        <f>"3723673526559968256"</f>
        <v>3723673526559968256</v>
      </c>
      <c r="F433" s="1" t="str">
        <f t="shared" si="120"/>
        <v>花都四部-凤凰仓</v>
      </c>
      <c r="G433" s="1" t="str">
        <f t="shared" si="126"/>
        <v>卡卡杜企业店（视频号）</v>
      </c>
      <c r="H433" s="1" t="str">
        <f t="shared" si="121"/>
        <v>正常订单</v>
      </c>
      <c r="I433" s="1" t="str">
        <f t="shared" si="122"/>
        <v>已发货</v>
      </c>
      <c r="J433" s="1" t="str">
        <f t="shared" si="137"/>
        <v>2</v>
      </c>
      <c r="K433" s="1">
        <v>2</v>
      </c>
      <c r="L433" s="1" t="s">
        <v>18</v>
      </c>
      <c r="M433" s="1" t="str">
        <f>"广东省 深圳市 南山区 "</f>
        <v xml:space="preserve">广东省 深圳市 南山区 </v>
      </c>
      <c r="N433" s="1" t="str">
        <f t="shared" ref="N433:N496" si="138">"凡华云仓-城南圆通-微信视频号"</f>
        <v>凡华云仓-城南圆通-微信视频号</v>
      </c>
      <c r="O433" s="5" t="s">
        <v>471</v>
      </c>
      <c r="P433" s="6">
        <v>0.17</v>
      </c>
      <c r="Q433" s="11">
        <v>2</v>
      </c>
      <c r="R433" s="11"/>
      <c r="S433" s="11"/>
      <c r="T433" s="11"/>
      <c r="U433" s="11">
        <f t="shared" si="124"/>
        <v>2</v>
      </c>
      <c r="W433">
        <v>2.2000000000000002</v>
      </c>
      <c r="X433" s="1" t="s">
        <v>18</v>
      </c>
    </row>
    <row r="434" spans="1:24" x14ac:dyDescent="0.25">
      <c r="A434" s="1" t="str">
        <f t="shared" si="119"/>
        <v>卡卡杜-凤凰仓</v>
      </c>
      <c r="B434" s="1" t="str">
        <f>"CK20241031221"</f>
        <v>CK20241031221</v>
      </c>
      <c r="C434" s="1" t="str">
        <f>"DD2024103112442"</f>
        <v>DD2024103112442</v>
      </c>
      <c r="D434" s="1" t="str">
        <f>"CK2024103118807"</f>
        <v>CK2024103118807</v>
      </c>
      <c r="E434" s="1" t="str">
        <f>"3723673526568357888"</f>
        <v>3723673526568357888</v>
      </c>
      <c r="F434" s="1" t="str">
        <f t="shared" si="120"/>
        <v>花都四部-凤凰仓</v>
      </c>
      <c r="G434" s="1" t="str">
        <f t="shared" si="126"/>
        <v>卡卡杜企业店（视频号）</v>
      </c>
      <c r="H434" s="1" t="str">
        <f t="shared" si="121"/>
        <v>正常订单</v>
      </c>
      <c r="I434" s="1" t="str">
        <f t="shared" si="122"/>
        <v>已发货</v>
      </c>
      <c r="J434" s="1" t="str">
        <f t="shared" si="136"/>
        <v>3</v>
      </c>
      <c r="K434" s="1">
        <v>2</v>
      </c>
      <c r="L434" s="1" t="s">
        <v>105</v>
      </c>
      <c r="M434" s="1" t="str">
        <f>"北京 北京市 朝阳区 "</f>
        <v xml:space="preserve">北京 北京市 朝阳区 </v>
      </c>
      <c r="N434" s="1" t="str">
        <f t="shared" si="138"/>
        <v>凡华云仓-城南圆通-微信视频号</v>
      </c>
      <c r="O434" s="5" t="s">
        <v>472</v>
      </c>
      <c r="P434" s="6">
        <v>0.25</v>
      </c>
      <c r="Q434" s="11">
        <v>2</v>
      </c>
      <c r="R434" s="11"/>
      <c r="S434" s="11"/>
      <c r="T434" s="11"/>
      <c r="U434" s="11">
        <f t="shared" si="124"/>
        <v>2</v>
      </c>
      <c r="W434">
        <v>2.2000000000000002</v>
      </c>
      <c r="X434" s="1" t="s">
        <v>105</v>
      </c>
    </row>
    <row r="435" spans="1:24" x14ac:dyDescent="0.25">
      <c r="A435" s="1" t="str">
        <f t="shared" si="119"/>
        <v>卡卡杜-凤凰仓</v>
      </c>
      <c r="B435" s="1" t="str">
        <f>"CK20241031264"</f>
        <v>CK20241031264</v>
      </c>
      <c r="C435" s="1" t="str">
        <f>"DD2024103112493"</f>
        <v>DD2024103112493</v>
      </c>
      <c r="D435" s="1" t="str">
        <f>"CK2024103118806"</f>
        <v>CK2024103118806</v>
      </c>
      <c r="E435" s="1" t="str">
        <f>"3723673525972502016"</f>
        <v>3723673525972502016</v>
      </c>
      <c r="F435" s="1" t="str">
        <f t="shared" si="120"/>
        <v>花都四部-凤凰仓</v>
      </c>
      <c r="G435" s="1" t="str">
        <f t="shared" si="126"/>
        <v>卡卡杜企业店（视频号）</v>
      </c>
      <c r="H435" s="1" t="str">
        <f t="shared" si="121"/>
        <v>正常订单</v>
      </c>
      <c r="I435" s="1" t="str">
        <f t="shared" si="122"/>
        <v>已发货</v>
      </c>
      <c r="J435" s="1" t="str">
        <f t="shared" si="136"/>
        <v>3</v>
      </c>
      <c r="K435" s="1">
        <v>2</v>
      </c>
      <c r="L435" s="1" t="s">
        <v>74</v>
      </c>
      <c r="M435" s="1" t="str">
        <f>"上海 上海市 浦东新区 "</f>
        <v xml:space="preserve">上海 上海市 浦东新区 </v>
      </c>
      <c r="N435" s="1" t="str">
        <f t="shared" si="138"/>
        <v>凡华云仓-城南圆通-微信视频号</v>
      </c>
      <c r="O435" s="5" t="s">
        <v>473</v>
      </c>
      <c r="P435" s="6">
        <v>0.25</v>
      </c>
      <c r="Q435" s="11">
        <v>2</v>
      </c>
      <c r="R435" s="11"/>
      <c r="S435" s="11"/>
      <c r="T435" s="11"/>
      <c r="U435" s="11">
        <f t="shared" si="124"/>
        <v>2</v>
      </c>
      <c r="W435">
        <v>2.2000000000000002</v>
      </c>
      <c r="X435" s="1" t="s">
        <v>74</v>
      </c>
    </row>
    <row r="436" spans="1:24" x14ac:dyDescent="0.25">
      <c r="A436" s="1" t="str">
        <f t="shared" si="119"/>
        <v>卡卡杜-凤凰仓</v>
      </c>
      <c r="B436" s="1" t="str">
        <f>"CK202410311708"</f>
        <v>CK202410311708</v>
      </c>
      <c r="C436" s="1" t="str">
        <f>"DD2024103112848"</f>
        <v>DD2024103112848</v>
      </c>
      <c r="D436" s="1" t="str">
        <f>"CK2024103118805"</f>
        <v>CK2024103118805</v>
      </c>
      <c r="E436" s="1" t="str">
        <f>"3723673526472936449"</f>
        <v>3723673526472936449</v>
      </c>
      <c r="F436" s="1" t="str">
        <f t="shared" si="120"/>
        <v>花都四部-凤凰仓</v>
      </c>
      <c r="G436" s="1" t="str">
        <f t="shared" si="126"/>
        <v>卡卡杜企业店（视频号）</v>
      </c>
      <c r="H436" s="1" t="str">
        <f t="shared" si="121"/>
        <v>正常订单</v>
      </c>
      <c r="I436" s="1" t="str">
        <f t="shared" si="122"/>
        <v>已发货</v>
      </c>
      <c r="J436" s="1" t="str">
        <f t="shared" si="137"/>
        <v>2</v>
      </c>
      <c r="K436" s="1">
        <v>2</v>
      </c>
      <c r="L436" s="1" t="s">
        <v>18</v>
      </c>
      <c r="M436" s="1" t="str">
        <f>"广东省 广州市 海珠区 "</f>
        <v xml:space="preserve">广东省 广州市 海珠区 </v>
      </c>
      <c r="N436" s="1" t="str">
        <f t="shared" si="138"/>
        <v>凡华云仓-城南圆通-微信视频号</v>
      </c>
      <c r="O436" s="5" t="s">
        <v>474</v>
      </c>
      <c r="P436" s="6">
        <v>0.17</v>
      </c>
      <c r="Q436" s="11">
        <v>2</v>
      </c>
      <c r="R436" s="11"/>
      <c r="S436" s="11"/>
      <c r="T436" s="11"/>
      <c r="U436" s="11">
        <f t="shared" si="124"/>
        <v>2</v>
      </c>
      <c r="W436">
        <v>2.2000000000000002</v>
      </c>
      <c r="X436" s="1" t="s">
        <v>18</v>
      </c>
    </row>
    <row r="437" spans="1:24" x14ac:dyDescent="0.25">
      <c r="A437" s="1" t="str">
        <f t="shared" si="119"/>
        <v>卡卡杜-凤凰仓</v>
      </c>
      <c r="B437" s="1" t="str">
        <f>"CK20241031266"</f>
        <v>CK20241031266</v>
      </c>
      <c r="C437" s="1" t="str">
        <f>"DD2024103112495"</f>
        <v>DD2024103112495</v>
      </c>
      <c r="D437" s="1" t="str">
        <f>"CK2024103118804"</f>
        <v>CK2024103118804</v>
      </c>
      <c r="E437" s="1" t="str">
        <f>"3723673526835479808"</f>
        <v>3723673526835479808</v>
      </c>
      <c r="F437" s="1" t="str">
        <f t="shared" si="120"/>
        <v>花都四部-凤凰仓</v>
      </c>
      <c r="G437" s="1" t="str">
        <f t="shared" si="126"/>
        <v>卡卡杜企业店（视频号）</v>
      </c>
      <c r="H437" s="1" t="str">
        <f t="shared" si="121"/>
        <v>正常订单</v>
      </c>
      <c r="I437" s="1" t="str">
        <f t="shared" si="122"/>
        <v>已发货</v>
      </c>
      <c r="J437" s="1" t="str">
        <f>"3"</f>
        <v>3</v>
      </c>
      <c r="K437" s="1">
        <v>2</v>
      </c>
      <c r="L437" s="1" t="s">
        <v>74</v>
      </c>
      <c r="M437" s="1" t="str">
        <f>"上海 上海市 浦东新区 "</f>
        <v xml:space="preserve">上海 上海市 浦东新区 </v>
      </c>
      <c r="N437" s="1" t="str">
        <f t="shared" si="138"/>
        <v>凡华云仓-城南圆通-微信视频号</v>
      </c>
      <c r="O437" s="5" t="s">
        <v>475</v>
      </c>
      <c r="P437" s="6">
        <v>0.25</v>
      </c>
      <c r="Q437" s="11">
        <v>2</v>
      </c>
      <c r="R437" s="11"/>
      <c r="S437" s="11"/>
      <c r="T437" s="11"/>
      <c r="U437" s="11">
        <f t="shared" si="124"/>
        <v>2</v>
      </c>
      <c r="W437">
        <v>2.2000000000000002</v>
      </c>
      <c r="X437" s="1" t="s">
        <v>74</v>
      </c>
    </row>
    <row r="438" spans="1:24" x14ac:dyDescent="0.25">
      <c r="A438" s="1" t="str">
        <f t="shared" si="119"/>
        <v>卡卡杜-凤凰仓</v>
      </c>
      <c r="B438" s="1" t="str">
        <f>"CK20241031254"</f>
        <v>CK20241031254</v>
      </c>
      <c r="C438" s="1" t="str">
        <f>"DD2024103112483"</f>
        <v>DD2024103112483</v>
      </c>
      <c r="D438" s="1" t="str">
        <f>"CK2024103118803"</f>
        <v>CK2024103118803</v>
      </c>
      <c r="E438" s="1" t="str">
        <f>"3723673526786458880"</f>
        <v>3723673526786458880</v>
      </c>
      <c r="F438" s="1" t="str">
        <f t="shared" si="120"/>
        <v>花都四部-凤凰仓</v>
      </c>
      <c r="G438" s="1" t="str">
        <f t="shared" si="126"/>
        <v>卡卡杜企业店（视频号）</v>
      </c>
      <c r="H438" s="1" t="str">
        <f t="shared" si="121"/>
        <v>正常订单</v>
      </c>
      <c r="I438" s="1" t="str">
        <f t="shared" si="122"/>
        <v>已发货</v>
      </c>
      <c r="J438" s="1" t="str">
        <f>"3"</f>
        <v>3</v>
      </c>
      <c r="K438" s="1">
        <v>2</v>
      </c>
      <c r="L438" s="1" t="s">
        <v>60</v>
      </c>
      <c r="M438" s="1" t="str">
        <f>"云南省 昆明市 五华区 "</f>
        <v xml:space="preserve">云南省 昆明市 五华区 </v>
      </c>
      <c r="N438" s="1" t="str">
        <f t="shared" si="138"/>
        <v>凡华云仓-城南圆通-微信视频号</v>
      </c>
      <c r="O438" s="5" t="s">
        <v>476</v>
      </c>
      <c r="P438" s="6">
        <v>0.25</v>
      </c>
      <c r="Q438" s="11">
        <v>2</v>
      </c>
      <c r="R438" s="11"/>
      <c r="S438" s="11"/>
      <c r="T438" s="11"/>
      <c r="U438" s="11">
        <f t="shared" si="124"/>
        <v>2</v>
      </c>
      <c r="W438">
        <v>2.2000000000000002</v>
      </c>
      <c r="X438" s="1" t="s">
        <v>60</v>
      </c>
    </row>
    <row r="439" spans="1:24" x14ac:dyDescent="0.25">
      <c r="A439" s="1" t="str">
        <f t="shared" si="119"/>
        <v>卡卡杜-凤凰仓</v>
      </c>
      <c r="B439" s="1" t="str">
        <f>"CK202410311709"</f>
        <v>CK202410311709</v>
      </c>
      <c r="C439" s="1" t="str">
        <f>"DD2024103112849"</f>
        <v>DD2024103112849</v>
      </c>
      <c r="D439" s="1" t="str">
        <f>"CK2024103118802"</f>
        <v>CK2024103118802</v>
      </c>
      <c r="E439" s="1" t="str">
        <f>"3723673525922694400"</f>
        <v>3723673525922694400</v>
      </c>
      <c r="F439" s="1" t="str">
        <f t="shared" si="120"/>
        <v>花都四部-凤凰仓</v>
      </c>
      <c r="G439" s="1" t="str">
        <f t="shared" si="126"/>
        <v>卡卡杜企业店（视频号）</v>
      </c>
      <c r="H439" s="1" t="str">
        <f t="shared" si="121"/>
        <v>正常订单</v>
      </c>
      <c r="I439" s="1" t="str">
        <f t="shared" si="122"/>
        <v>已发货</v>
      </c>
      <c r="J439" s="1" t="str">
        <f t="shared" ref="J439:J447" si="139">"2"</f>
        <v>2</v>
      </c>
      <c r="K439" s="1">
        <v>2</v>
      </c>
      <c r="L439" s="1" t="s">
        <v>161</v>
      </c>
      <c r="M439" s="1" t="str">
        <f>"四川省 成都市 武侯区 "</f>
        <v xml:space="preserve">四川省 成都市 武侯区 </v>
      </c>
      <c r="N439" s="1" t="str">
        <f t="shared" si="138"/>
        <v>凡华云仓-城南圆通-微信视频号</v>
      </c>
      <c r="O439" s="5" t="s">
        <v>477</v>
      </c>
      <c r="P439" s="6">
        <v>0.17</v>
      </c>
      <c r="Q439" s="11">
        <v>2</v>
      </c>
      <c r="R439" s="11"/>
      <c r="S439" s="11"/>
      <c r="T439" s="11"/>
      <c r="U439" s="11">
        <f t="shared" si="124"/>
        <v>2</v>
      </c>
      <c r="W439">
        <v>2.2000000000000002</v>
      </c>
      <c r="X439" s="1" t="s">
        <v>161</v>
      </c>
    </row>
    <row r="440" spans="1:24" x14ac:dyDescent="0.25">
      <c r="A440" s="1" t="str">
        <f t="shared" si="119"/>
        <v>卡卡杜-凤凰仓</v>
      </c>
      <c r="B440" s="1" t="str">
        <f>"CK202410311710"</f>
        <v>CK202410311710</v>
      </c>
      <c r="C440" s="1" t="str">
        <f>"DD2024103112850"</f>
        <v>DD2024103112850</v>
      </c>
      <c r="D440" s="1" t="str">
        <f>"CK2024103118801"</f>
        <v>CK2024103118801</v>
      </c>
      <c r="E440" s="1" t="str">
        <f>"3723673525880228864"</f>
        <v>3723673525880228864</v>
      </c>
      <c r="F440" s="1" t="str">
        <f t="shared" si="120"/>
        <v>花都四部-凤凰仓</v>
      </c>
      <c r="G440" s="1" t="str">
        <f t="shared" si="126"/>
        <v>卡卡杜企业店（视频号）</v>
      </c>
      <c r="H440" s="1" t="str">
        <f t="shared" si="121"/>
        <v>正常订单</v>
      </c>
      <c r="I440" s="1" t="str">
        <f t="shared" si="122"/>
        <v>已发货</v>
      </c>
      <c r="J440" s="1" t="str">
        <f t="shared" si="139"/>
        <v>2</v>
      </c>
      <c r="K440" s="1">
        <v>2</v>
      </c>
      <c r="L440" s="1" t="s">
        <v>105</v>
      </c>
      <c r="M440" s="1" t="str">
        <f>"北京 北京市 门头沟区 "</f>
        <v xml:space="preserve">北京 北京市 门头沟区 </v>
      </c>
      <c r="N440" s="1" t="str">
        <f t="shared" si="138"/>
        <v>凡华云仓-城南圆通-微信视频号</v>
      </c>
      <c r="O440" s="5" t="s">
        <v>478</v>
      </c>
      <c r="P440" s="6">
        <v>0.17</v>
      </c>
      <c r="Q440" s="11">
        <v>2</v>
      </c>
      <c r="R440" s="11"/>
      <c r="S440" s="11"/>
      <c r="T440" s="11"/>
      <c r="U440" s="11">
        <f t="shared" si="124"/>
        <v>2</v>
      </c>
      <c r="W440">
        <v>2.2000000000000002</v>
      </c>
      <c r="X440" s="1" t="s">
        <v>105</v>
      </c>
    </row>
    <row r="441" spans="1:24" x14ac:dyDescent="0.25">
      <c r="A441" s="1" t="str">
        <f t="shared" si="119"/>
        <v>卡卡杜-凤凰仓</v>
      </c>
      <c r="B441" s="1" t="str">
        <f>"CK202410311711"</f>
        <v>CK202410311711</v>
      </c>
      <c r="C441" s="1" t="str">
        <f>"DD2024103112851"</f>
        <v>DD2024103112851</v>
      </c>
      <c r="D441" s="1" t="str">
        <f>"CK2024103118800"</f>
        <v>CK2024103118800</v>
      </c>
      <c r="E441" s="1" t="str">
        <f>"3723673525643773440"</f>
        <v>3723673525643773440</v>
      </c>
      <c r="F441" s="1" t="str">
        <f t="shared" si="120"/>
        <v>花都四部-凤凰仓</v>
      </c>
      <c r="G441" s="1" t="str">
        <f t="shared" si="126"/>
        <v>卡卡杜企业店（视频号）</v>
      </c>
      <c r="H441" s="1" t="str">
        <f t="shared" si="121"/>
        <v>正常订单</v>
      </c>
      <c r="I441" s="1" t="str">
        <f t="shared" si="122"/>
        <v>已发货</v>
      </c>
      <c r="J441" s="1" t="str">
        <f t="shared" si="139"/>
        <v>2</v>
      </c>
      <c r="K441" s="1">
        <v>2</v>
      </c>
      <c r="L441" s="1" t="s">
        <v>18</v>
      </c>
      <c r="M441" s="1" t="str">
        <f>"广东省 江门市 蓬江区 "</f>
        <v xml:space="preserve">广东省 江门市 蓬江区 </v>
      </c>
      <c r="N441" s="1" t="str">
        <f t="shared" si="138"/>
        <v>凡华云仓-城南圆通-微信视频号</v>
      </c>
      <c r="O441" s="5" t="s">
        <v>479</v>
      </c>
      <c r="P441" s="6">
        <v>0.17</v>
      </c>
      <c r="Q441" s="11">
        <v>2</v>
      </c>
      <c r="R441" s="11"/>
      <c r="S441" s="11"/>
      <c r="T441" s="11"/>
      <c r="U441" s="11">
        <f t="shared" si="124"/>
        <v>2</v>
      </c>
      <c r="W441">
        <v>2.2000000000000002</v>
      </c>
      <c r="X441" s="1" t="s">
        <v>18</v>
      </c>
    </row>
    <row r="442" spans="1:24" x14ac:dyDescent="0.25">
      <c r="A442" s="1" t="str">
        <f t="shared" si="119"/>
        <v>卡卡杜-凤凰仓</v>
      </c>
      <c r="B442" s="1" t="str">
        <f>"CK202410311712"</f>
        <v>CK202410311712</v>
      </c>
      <c r="C442" s="1" t="str">
        <f>"DD2024103112852"</f>
        <v>DD2024103112852</v>
      </c>
      <c r="D442" s="1" t="str">
        <f>"CK2024103118799"</f>
        <v>CK2024103118799</v>
      </c>
      <c r="E442" s="1" t="str">
        <f>"3723673525262357504"</f>
        <v>3723673525262357504</v>
      </c>
      <c r="F442" s="1" t="str">
        <f t="shared" si="120"/>
        <v>花都四部-凤凰仓</v>
      </c>
      <c r="G442" s="1" t="str">
        <f t="shared" si="126"/>
        <v>卡卡杜企业店（视频号）</v>
      </c>
      <c r="H442" s="1" t="str">
        <f t="shared" si="121"/>
        <v>正常订单</v>
      </c>
      <c r="I442" s="1" t="str">
        <f t="shared" si="122"/>
        <v>已发货</v>
      </c>
      <c r="J442" s="1" t="str">
        <f t="shared" si="139"/>
        <v>2</v>
      </c>
      <c r="K442" s="1">
        <v>2</v>
      </c>
      <c r="L442" s="1" t="s">
        <v>18</v>
      </c>
      <c r="M442" s="1" t="str">
        <f>"广东省 深圳市 宝安区 "</f>
        <v xml:space="preserve">广东省 深圳市 宝安区 </v>
      </c>
      <c r="N442" s="1" t="str">
        <f t="shared" si="138"/>
        <v>凡华云仓-城南圆通-微信视频号</v>
      </c>
      <c r="O442" s="5" t="s">
        <v>480</v>
      </c>
      <c r="P442" s="6">
        <v>0.17</v>
      </c>
      <c r="Q442" s="11">
        <v>2</v>
      </c>
      <c r="R442" s="11"/>
      <c r="S442" s="11"/>
      <c r="T442" s="11"/>
      <c r="U442" s="11">
        <f t="shared" si="124"/>
        <v>2</v>
      </c>
      <c r="W442">
        <v>2.2000000000000002</v>
      </c>
      <c r="X442" s="1" t="s">
        <v>18</v>
      </c>
    </row>
    <row r="443" spans="1:24" x14ac:dyDescent="0.25">
      <c r="A443" s="1" t="str">
        <f t="shared" si="119"/>
        <v>卡卡杜-凤凰仓</v>
      </c>
      <c r="B443" s="1" t="str">
        <f>"CK202410311714"</f>
        <v>CK202410311714</v>
      </c>
      <c r="C443" s="1" t="str">
        <f>"DD2024103112853"</f>
        <v>DD2024103112853</v>
      </c>
      <c r="D443" s="1" t="str">
        <f>"CK2024103118798"</f>
        <v>CK2024103118798</v>
      </c>
      <c r="E443" s="1" t="str">
        <f>"3723673521065952513"</f>
        <v>3723673521065952513</v>
      </c>
      <c r="F443" s="1" t="str">
        <f t="shared" si="120"/>
        <v>花都四部-凤凰仓</v>
      </c>
      <c r="G443" s="1" t="str">
        <f t="shared" si="126"/>
        <v>卡卡杜企业店（视频号）</v>
      </c>
      <c r="H443" s="1" t="str">
        <f t="shared" si="121"/>
        <v>正常订单</v>
      </c>
      <c r="I443" s="1" t="str">
        <f t="shared" si="122"/>
        <v>已发货</v>
      </c>
      <c r="J443" s="1" t="str">
        <f t="shared" si="139"/>
        <v>2</v>
      </c>
      <c r="K443" s="1">
        <v>2</v>
      </c>
      <c r="L443" s="1" t="s">
        <v>18</v>
      </c>
      <c r="M443" s="1" t="str">
        <f>"广东省 珠海市 香洲区 "</f>
        <v xml:space="preserve">广东省 珠海市 香洲区 </v>
      </c>
      <c r="N443" s="1" t="str">
        <f t="shared" si="138"/>
        <v>凡华云仓-城南圆通-微信视频号</v>
      </c>
      <c r="O443" s="5" t="s">
        <v>481</v>
      </c>
      <c r="P443" s="6">
        <v>0.17</v>
      </c>
      <c r="Q443" s="11">
        <v>2</v>
      </c>
      <c r="R443" s="11"/>
      <c r="S443" s="11"/>
      <c r="T443" s="11"/>
      <c r="U443" s="11">
        <f t="shared" si="124"/>
        <v>2</v>
      </c>
      <c r="W443">
        <v>2.2000000000000002</v>
      </c>
      <c r="X443" s="1" t="s">
        <v>18</v>
      </c>
    </row>
    <row r="444" spans="1:24" x14ac:dyDescent="0.25">
      <c r="A444" s="1" t="str">
        <f t="shared" si="119"/>
        <v>卡卡杜-凤凰仓</v>
      </c>
      <c r="B444" s="1" t="str">
        <f>"CK202410311713"</f>
        <v>CK202410311713</v>
      </c>
      <c r="C444" s="1" t="str">
        <f>"DD2024103112855"</f>
        <v>DD2024103112855</v>
      </c>
      <c r="D444" s="1" t="str">
        <f>"CK2024103118797"</f>
        <v>CK2024103118797</v>
      </c>
      <c r="E444" s="1" t="str">
        <f>"3723673525473643520"</f>
        <v>3723673525473643520</v>
      </c>
      <c r="F444" s="1" t="str">
        <f t="shared" si="120"/>
        <v>花都四部-凤凰仓</v>
      </c>
      <c r="G444" s="1" t="str">
        <f t="shared" si="126"/>
        <v>卡卡杜企业店（视频号）</v>
      </c>
      <c r="H444" s="1" t="str">
        <f t="shared" si="121"/>
        <v>正常订单</v>
      </c>
      <c r="I444" s="1" t="str">
        <f t="shared" si="122"/>
        <v>已发货</v>
      </c>
      <c r="J444" s="1" t="str">
        <f t="shared" si="139"/>
        <v>2</v>
      </c>
      <c r="K444" s="1">
        <v>2</v>
      </c>
      <c r="L444" s="1" t="s">
        <v>105</v>
      </c>
      <c r="M444" s="1" t="str">
        <f>"北京 北京市 朝阳区 "</f>
        <v xml:space="preserve">北京 北京市 朝阳区 </v>
      </c>
      <c r="N444" s="1" t="str">
        <f t="shared" si="138"/>
        <v>凡华云仓-城南圆通-微信视频号</v>
      </c>
      <c r="O444" s="5" t="s">
        <v>482</v>
      </c>
      <c r="P444" s="6">
        <v>0.17</v>
      </c>
      <c r="Q444" s="11">
        <v>2</v>
      </c>
      <c r="R444" s="11"/>
      <c r="S444" s="11"/>
      <c r="T444" s="11"/>
      <c r="U444" s="11">
        <f t="shared" si="124"/>
        <v>2</v>
      </c>
      <c r="W444">
        <v>2.2000000000000002</v>
      </c>
      <c r="X444" s="1" t="s">
        <v>105</v>
      </c>
    </row>
    <row r="445" spans="1:24" x14ac:dyDescent="0.25">
      <c r="A445" s="1" t="str">
        <f t="shared" si="119"/>
        <v>卡卡杜-凤凰仓</v>
      </c>
      <c r="B445" s="1" t="str">
        <f>"CK202410311716"</f>
        <v>CK202410311716</v>
      </c>
      <c r="C445" s="1" t="str">
        <f>"DD2024103112857"</f>
        <v>DD2024103112857</v>
      </c>
      <c r="D445" s="1" t="str">
        <f>"CK2024103118796"</f>
        <v>CK2024103118796</v>
      </c>
      <c r="E445" s="1" t="str">
        <f>"3723673523772066816"</f>
        <v>3723673523772066816</v>
      </c>
      <c r="F445" s="1" t="str">
        <f t="shared" si="120"/>
        <v>花都四部-凤凰仓</v>
      </c>
      <c r="G445" s="1" t="str">
        <f t="shared" si="126"/>
        <v>卡卡杜企业店（视频号）</v>
      </c>
      <c r="H445" s="1" t="str">
        <f t="shared" si="121"/>
        <v>正常订单</v>
      </c>
      <c r="I445" s="1" t="str">
        <f t="shared" si="122"/>
        <v>已发货</v>
      </c>
      <c r="J445" s="1" t="str">
        <f t="shared" si="139"/>
        <v>2</v>
      </c>
      <c r="K445" s="1">
        <v>2</v>
      </c>
      <c r="L445" s="1" t="s">
        <v>16</v>
      </c>
      <c r="M445" s="1" t="str">
        <f>"河北省 邯郸市 丛台区 "</f>
        <v xml:space="preserve">河北省 邯郸市 丛台区 </v>
      </c>
      <c r="N445" s="1" t="str">
        <f t="shared" si="138"/>
        <v>凡华云仓-城南圆通-微信视频号</v>
      </c>
      <c r="O445" s="5" t="s">
        <v>483</v>
      </c>
      <c r="P445" s="6">
        <v>0.17</v>
      </c>
      <c r="Q445" s="11">
        <v>2</v>
      </c>
      <c r="R445" s="11"/>
      <c r="S445" s="11"/>
      <c r="T445" s="11"/>
      <c r="U445" s="11">
        <f t="shared" si="124"/>
        <v>2</v>
      </c>
      <c r="W445">
        <v>2.2000000000000002</v>
      </c>
      <c r="X445" s="1" t="s">
        <v>16</v>
      </c>
    </row>
    <row r="446" spans="1:24" x14ac:dyDescent="0.25">
      <c r="A446" s="1" t="str">
        <f t="shared" si="119"/>
        <v>卡卡杜-凤凰仓</v>
      </c>
      <c r="B446" s="1" t="str">
        <f>"CK202410311715"</f>
        <v>CK202410311715</v>
      </c>
      <c r="C446" s="1" t="str">
        <f>"DD2024103112854"</f>
        <v>DD2024103112854</v>
      </c>
      <c r="D446" s="1" t="str">
        <f>"CK2024103118795"</f>
        <v>CK2024103118795</v>
      </c>
      <c r="E446" s="1" t="str">
        <f>"3723673524046793728"</f>
        <v>3723673524046793728</v>
      </c>
      <c r="F446" s="1" t="str">
        <f t="shared" si="120"/>
        <v>花都四部-凤凰仓</v>
      </c>
      <c r="G446" s="1" t="str">
        <f t="shared" si="126"/>
        <v>卡卡杜企业店（视频号）</v>
      </c>
      <c r="H446" s="1" t="str">
        <f t="shared" si="121"/>
        <v>正常订单</v>
      </c>
      <c r="I446" s="1" t="str">
        <f t="shared" si="122"/>
        <v>已发货</v>
      </c>
      <c r="J446" s="1" t="str">
        <f t="shared" si="139"/>
        <v>2</v>
      </c>
      <c r="K446" s="1">
        <v>2</v>
      </c>
      <c r="L446" s="1" t="s">
        <v>92</v>
      </c>
      <c r="M446" s="1" t="str">
        <f>"辽宁省 大连市 旅顺口区 "</f>
        <v xml:space="preserve">辽宁省 大连市 旅顺口区 </v>
      </c>
      <c r="N446" s="1" t="str">
        <f t="shared" si="138"/>
        <v>凡华云仓-城南圆通-微信视频号</v>
      </c>
      <c r="O446" s="5" t="s">
        <v>484</v>
      </c>
      <c r="P446" s="6">
        <v>0.17</v>
      </c>
      <c r="Q446" s="11">
        <v>2</v>
      </c>
      <c r="R446" s="11"/>
      <c r="S446" s="11"/>
      <c r="T446" s="11"/>
      <c r="U446" s="11">
        <f t="shared" si="124"/>
        <v>2</v>
      </c>
      <c r="W446">
        <v>2.2000000000000002</v>
      </c>
      <c r="X446" s="1" t="s">
        <v>92</v>
      </c>
    </row>
    <row r="447" spans="1:24" x14ac:dyDescent="0.25">
      <c r="A447" s="1" t="str">
        <f t="shared" si="119"/>
        <v>卡卡杜-凤凰仓</v>
      </c>
      <c r="B447" s="1" t="str">
        <f>"CK202410311717"</f>
        <v>CK202410311717</v>
      </c>
      <c r="C447" s="1" t="str">
        <f>"DD2024103112856"</f>
        <v>DD2024103112856</v>
      </c>
      <c r="D447" s="1" t="str">
        <f>"CK2024103118794"</f>
        <v>CK2024103118794</v>
      </c>
      <c r="E447" s="1" t="str">
        <f>"3723673523875875840"</f>
        <v>3723673523875875840</v>
      </c>
      <c r="F447" s="1" t="str">
        <f t="shared" si="120"/>
        <v>花都四部-凤凰仓</v>
      </c>
      <c r="G447" s="1" t="str">
        <f t="shared" si="126"/>
        <v>卡卡杜企业店（视频号）</v>
      </c>
      <c r="H447" s="1" t="str">
        <f t="shared" si="121"/>
        <v>正常订单</v>
      </c>
      <c r="I447" s="1" t="str">
        <f t="shared" si="122"/>
        <v>已发货</v>
      </c>
      <c r="J447" s="1" t="str">
        <f t="shared" si="139"/>
        <v>2</v>
      </c>
      <c r="K447" s="1">
        <v>2</v>
      </c>
      <c r="L447" s="1" t="s">
        <v>80</v>
      </c>
      <c r="M447" s="1" t="str">
        <f>"河南省 郑州市 上街区 "</f>
        <v xml:space="preserve">河南省 郑州市 上街区 </v>
      </c>
      <c r="N447" s="1" t="str">
        <f t="shared" si="138"/>
        <v>凡华云仓-城南圆通-微信视频号</v>
      </c>
      <c r="O447" s="5" t="s">
        <v>485</v>
      </c>
      <c r="P447" s="6">
        <v>0.17</v>
      </c>
      <c r="Q447" s="11">
        <v>2</v>
      </c>
      <c r="R447" s="11"/>
      <c r="S447" s="11"/>
      <c r="T447" s="11"/>
      <c r="U447" s="11">
        <f t="shared" si="124"/>
        <v>2</v>
      </c>
      <c r="W447">
        <v>2.2000000000000002</v>
      </c>
      <c r="X447" s="1" t="s">
        <v>80</v>
      </c>
    </row>
    <row r="448" spans="1:24" x14ac:dyDescent="0.25">
      <c r="A448" s="1" t="str">
        <f t="shared" si="119"/>
        <v>卡卡杜-凤凰仓</v>
      </c>
      <c r="B448" s="1" t="str">
        <f>"CK20241031222"</f>
        <v>CK20241031222</v>
      </c>
      <c r="C448" s="1" t="str">
        <f>"DD2024103112443"</f>
        <v>DD2024103112443</v>
      </c>
      <c r="D448" s="1" t="str">
        <f>"CK2024103118793"</f>
        <v>CK2024103118793</v>
      </c>
      <c r="E448" s="1" t="str">
        <f>"3723673520264056832"</f>
        <v>3723673520264056832</v>
      </c>
      <c r="F448" s="1" t="str">
        <f t="shared" si="120"/>
        <v>花都四部-凤凰仓</v>
      </c>
      <c r="G448" s="1" t="str">
        <f t="shared" si="126"/>
        <v>卡卡杜企业店（视频号）</v>
      </c>
      <c r="H448" s="1" t="str">
        <f t="shared" si="121"/>
        <v>正常订单</v>
      </c>
      <c r="I448" s="1" t="str">
        <f t="shared" si="122"/>
        <v>已发货</v>
      </c>
      <c r="J448" s="1" t="str">
        <f t="shared" ref="J448:J451" si="140">"3"</f>
        <v>3</v>
      </c>
      <c r="K448" s="1">
        <v>2</v>
      </c>
      <c r="L448" s="1" t="s">
        <v>74</v>
      </c>
      <c r="M448" s="1" t="str">
        <f>"上海 上海市 宝山区 "</f>
        <v xml:space="preserve">上海 上海市 宝山区 </v>
      </c>
      <c r="N448" s="1" t="str">
        <f t="shared" si="138"/>
        <v>凡华云仓-城南圆通-微信视频号</v>
      </c>
      <c r="O448" s="5" t="s">
        <v>486</v>
      </c>
      <c r="P448" s="6">
        <v>0.25</v>
      </c>
      <c r="Q448" s="11">
        <v>2</v>
      </c>
      <c r="R448" s="11"/>
      <c r="S448" s="11"/>
      <c r="T448" s="11"/>
      <c r="U448" s="11">
        <f t="shared" si="124"/>
        <v>2</v>
      </c>
      <c r="W448">
        <v>2.2000000000000002</v>
      </c>
      <c r="X448" s="1" t="s">
        <v>74</v>
      </c>
    </row>
    <row r="449" spans="1:24" x14ac:dyDescent="0.25">
      <c r="A449" s="1" t="str">
        <f t="shared" si="119"/>
        <v>卡卡杜-凤凰仓</v>
      </c>
      <c r="B449" s="1" t="str">
        <f>"CK202410311719"</f>
        <v>CK202410311719</v>
      </c>
      <c r="C449" s="1" t="str">
        <f>"DD2024103112859"</f>
        <v>DD2024103112859</v>
      </c>
      <c r="D449" s="1" t="str">
        <f>"CK2024103118792"</f>
        <v>CK2024103118792</v>
      </c>
      <c r="E449" s="1" t="str">
        <f>"3723673521756701952"</f>
        <v>3723673521756701952</v>
      </c>
      <c r="F449" s="1" t="str">
        <f t="shared" si="120"/>
        <v>花都四部-凤凰仓</v>
      </c>
      <c r="G449" s="1" t="str">
        <f t="shared" si="126"/>
        <v>卡卡杜企业店（视频号）</v>
      </c>
      <c r="H449" s="1" t="str">
        <f t="shared" si="121"/>
        <v>正常订单</v>
      </c>
      <c r="I449" s="1" t="str">
        <f t="shared" si="122"/>
        <v>已发货</v>
      </c>
      <c r="J449" s="1" t="str">
        <f t="shared" ref="J449:J458" si="141">"2"</f>
        <v>2</v>
      </c>
      <c r="K449" s="1">
        <v>2</v>
      </c>
      <c r="L449" s="1" t="s">
        <v>20</v>
      </c>
      <c r="M449" s="1" t="str">
        <f>"浙江省 宁波市 海曙区 "</f>
        <v xml:space="preserve">浙江省 宁波市 海曙区 </v>
      </c>
      <c r="N449" s="1" t="str">
        <f t="shared" si="138"/>
        <v>凡华云仓-城南圆通-微信视频号</v>
      </c>
      <c r="O449" s="5" t="s">
        <v>487</v>
      </c>
      <c r="P449" s="6">
        <v>0.17</v>
      </c>
      <c r="Q449" s="11">
        <v>2</v>
      </c>
      <c r="R449" s="11"/>
      <c r="S449" s="11"/>
      <c r="T449" s="11"/>
      <c r="U449" s="11">
        <f t="shared" si="124"/>
        <v>2</v>
      </c>
      <c r="W449">
        <v>2.2000000000000002</v>
      </c>
      <c r="X449" s="1" t="s">
        <v>20</v>
      </c>
    </row>
    <row r="450" spans="1:24" x14ac:dyDescent="0.25">
      <c r="A450" s="1" t="str">
        <f t="shared" ref="A450:A513" si="142">"卡卡杜-凤凰仓"</f>
        <v>卡卡杜-凤凰仓</v>
      </c>
      <c r="B450" s="1" t="str">
        <f>"CK20241031197"</f>
        <v>CK20241031197</v>
      </c>
      <c r="C450" s="1" t="str">
        <f>"DD2024103112417"</f>
        <v>DD2024103112417</v>
      </c>
      <c r="D450" s="1" t="str">
        <f>"CK2024103118791"</f>
        <v>CK2024103118791</v>
      </c>
      <c r="E450" s="1" t="str">
        <f>"3723673522139432192"</f>
        <v>3723673522139432192</v>
      </c>
      <c r="F450" s="1" t="str">
        <f t="shared" ref="F450:F513" si="143">"花都四部-凤凰仓"</f>
        <v>花都四部-凤凰仓</v>
      </c>
      <c r="G450" s="1" t="str">
        <f t="shared" si="126"/>
        <v>卡卡杜企业店（视频号）</v>
      </c>
      <c r="H450" s="1" t="str">
        <f t="shared" ref="H450:H513" si="144">"正常订单"</f>
        <v>正常订单</v>
      </c>
      <c r="I450" s="1" t="str">
        <f t="shared" ref="I450:I513" si="145">"已发货"</f>
        <v>已发货</v>
      </c>
      <c r="J450" s="1" t="str">
        <f t="shared" si="140"/>
        <v>3</v>
      </c>
      <c r="K450" s="1">
        <v>2</v>
      </c>
      <c r="L450" s="1" t="s">
        <v>20</v>
      </c>
      <c r="M450" s="1" t="str">
        <f>"浙江省 杭州市 拱墅区 "</f>
        <v xml:space="preserve">浙江省 杭州市 拱墅区 </v>
      </c>
      <c r="N450" s="1" t="str">
        <f t="shared" si="138"/>
        <v>凡华云仓-城南圆通-微信视频号</v>
      </c>
      <c r="O450" s="5" t="s">
        <v>488</v>
      </c>
      <c r="P450" s="6">
        <v>0.25</v>
      </c>
      <c r="Q450" s="11">
        <v>2</v>
      </c>
      <c r="R450" s="11"/>
      <c r="S450" s="11"/>
      <c r="T450" s="11"/>
      <c r="U450" s="11">
        <f t="shared" si="124"/>
        <v>2</v>
      </c>
      <c r="W450">
        <v>2.2000000000000002</v>
      </c>
      <c r="X450" s="1" t="s">
        <v>20</v>
      </c>
    </row>
    <row r="451" spans="1:24" x14ac:dyDescent="0.25">
      <c r="A451" s="1" t="str">
        <f t="shared" si="142"/>
        <v>卡卡杜-凤凰仓</v>
      </c>
      <c r="B451" s="1" t="str">
        <f>"CK20241031211"</f>
        <v>CK20241031211</v>
      </c>
      <c r="C451" s="1" t="str">
        <f>"DD2024103112432"</f>
        <v>DD2024103112432</v>
      </c>
      <c r="D451" s="1" t="str">
        <f>"CK2024103118790"</f>
        <v>CK2024103118790</v>
      </c>
      <c r="E451" s="1" t="str">
        <f>"3723673517596478464"</f>
        <v>3723673517596478464</v>
      </c>
      <c r="F451" s="1" t="str">
        <f t="shared" si="143"/>
        <v>花都四部-凤凰仓</v>
      </c>
      <c r="G451" s="1" t="str">
        <f t="shared" si="126"/>
        <v>卡卡杜企业店（视频号）</v>
      </c>
      <c r="H451" s="1" t="str">
        <f t="shared" si="144"/>
        <v>正常订单</v>
      </c>
      <c r="I451" s="1" t="str">
        <f t="shared" si="145"/>
        <v>已发货</v>
      </c>
      <c r="J451" s="1" t="str">
        <f t="shared" si="140"/>
        <v>3</v>
      </c>
      <c r="K451" s="1">
        <v>2</v>
      </c>
      <c r="L451" s="1" t="s">
        <v>36</v>
      </c>
      <c r="M451" s="1" t="str">
        <f>"安徽省 合肥市 包河区 "</f>
        <v xml:space="preserve">安徽省 合肥市 包河区 </v>
      </c>
      <c r="N451" s="1" t="str">
        <f t="shared" si="138"/>
        <v>凡华云仓-城南圆通-微信视频号</v>
      </c>
      <c r="O451" s="5" t="s">
        <v>489</v>
      </c>
      <c r="P451" s="6">
        <v>0.25</v>
      </c>
      <c r="Q451" s="11">
        <v>2</v>
      </c>
      <c r="R451" s="11"/>
      <c r="S451" s="11"/>
      <c r="T451" s="11"/>
      <c r="U451" s="11">
        <f t="shared" ref="U451:U514" si="146">T451+S451+R451+Q451</f>
        <v>2</v>
      </c>
      <c r="W451">
        <v>2.2000000000000002</v>
      </c>
      <c r="X451" s="1" t="s">
        <v>36</v>
      </c>
    </row>
    <row r="452" spans="1:24" x14ac:dyDescent="0.25">
      <c r="A452" s="1" t="str">
        <f t="shared" si="142"/>
        <v>卡卡杜-凤凰仓</v>
      </c>
      <c r="B452" s="1" t="str">
        <f>"CK202410311718"</f>
        <v>CK202410311718</v>
      </c>
      <c r="C452" s="1" t="str">
        <f>"DD2024103112860"</f>
        <v>DD2024103112860</v>
      </c>
      <c r="D452" s="1" t="str">
        <f>"CK2024103118789"</f>
        <v>CK2024103118789</v>
      </c>
      <c r="E452" s="1" t="str">
        <f>"3723673522389520384"</f>
        <v>3723673522389520384</v>
      </c>
      <c r="F452" s="1" t="str">
        <f t="shared" si="143"/>
        <v>花都四部-凤凰仓</v>
      </c>
      <c r="G452" s="1" t="str">
        <f t="shared" si="126"/>
        <v>卡卡杜企业店（视频号）</v>
      </c>
      <c r="H452" s="1" t="str">
        <f t="shared" si="144"/>
        <v>正常订单</v>
      </c>
      <c r="I452" s="1" t="str">
        <f t="shared" si="145"/>
        <v>已发货</v>
      </c>
      <c r="J452" s="1" t="str">
        <f t="shared" si="141"/>
        <v>2</v>
      </c>
      <c r="K452" s="1">
        <v>2</v>
      </c>
      <c r="L452" s="1" t="s">
        <v>20</v>
      </c>
      <c r="M452" s="1" t="str">
        <f>"浙江省 嘉兴市 平湖市 "</f>
        <v xml:space="preserve">浙江省 嘉兴市 平湖市 </v>
      </c>
      <c r="N452" s="1" t="str">
        <f t="shared" si="138"/>
        <v>凡华云仓-城南圆通-微信视频号</v>
      </c>
      <c r="O452" s="5" t="s">
        <v>490</v>
      </c>
      <c r="P452" s="6">
        <v>0.17</v>
      </c>
      <c r="Q452" s="11">
        <v>2</v>
      </c>
      <c r="R452" s="11"/>
      <c r="S452" s="11"/>
      <c r="T452" s="11"/>
      <c r="U452" s="11">
        <f t="shared" si="146"/>
        <v>2</v>
      </c>
      <c r="W452">
        <v>2.2000000000000002</v>
      </c>
      <c r="X452" s="1" t="s">
        <v>20</v>
      </c>
    </row>
    <row r="453" spans="1:24" x14ac:dyDescent="0.25">
      <c r="A453" s="1" t="str">
        <f t="shared" si="142"/>
        <v>卡卡杜-凤凰仓</v>
      </c>
      <c r="B453" s="1" t="str">
        <f>"CK20241031223"</f>
        <v>CK20241031223</v>
      </c>
      <c r="C453" s="1" t="str">
        <f>"DD2024103112444"</f>
        <v>DD2024103112444</v>
      </c>
      <c r="D453" s="1" t="str">
        <f>"CK2024103118788"</f>
        <v>CK2024103118788</v>
      </c>
      <c r="E453" s="1" t="str">
        <f>"3723673522299866112"</f>
        <v>3723673522299866112</v>
      </c>
      <c r="F453" s="1" t="str">
        <f t="shared" si="143"/>
        <v>花都四部-凤凰仓</v>
      </c>
      <c r="G453" s="1" t="str">
        <f t="shared" si="126"/>
        <v>卡卡杜企业店（视频号）</v>
      </c>
      <c r="H453" s="1" t="str">
        <f t="shared" si="144"/>
        <v>正常订单</v>
      </c>
      <c r="I453" s="1" t="str">
        <f t="shared" si="145"/>
        <v>已发货</v>
      </c>
      <c r="J453" s="1" t="str">
        <f>"3"</f>
        <v>3</v>
      </c>
      <c r="K453" s="1">
        <v>2</v>
      </c>
      <c r="L453" s="1" t="s">
        <v>187</v>
      </c>
      <c r="M453" s="1" t="str">
        <f>"吉林省 长春市 朝阳区 "</f>
        <v xml:space="preserve">吉林省 长春市 朝阳区 </v>
      </c>
      <c r="N453" s="1" t="str">
        <f t="shared" si="138"/>
        <v>凡华云仓-城南圆通-微信视频号</v>
      </c>
      <c r="O453" s="5" t="s">
        <v>491</v>
      </c>
      <c r="P453" s="6">
        <v>0.25</v>
      </c>
      <c r="Q453" s="11">
        <v>2</v>
      </c>
      <c r="R453" s="11"/>
      <c r="S453" s="11"/>
      <c r="T453" s="11"/>
      <c r="U453" s="11">
        <f t="shared" si="146"/>
        <v>2</v>
      </c>
      <c r="W453">
        <v>2.2000000000000002</v>
      </c>
      <c r="X453" s="1" t="s">
        <v>187</v>
      </c>
    </row>
    <row r="454" spans="1:24" x14ac:dyDescent="0.25">
      <c r="A454" s="1" t="str">
        <f t="shared" si="142"/>
        <v>卡卡杜-凤凰仓</v>
      </c>
      <c r="B454" s="1" t="str">
        <f>"CK202410311721"</f>
        <v>CK202410311721</v>
      </c>
      <c r="C454" s="1" t="str">
        <f>"DD2024103112861"</f>
        <v>DD2024103112861</v>
      </c>
      <c r="D454" s="1" t="str">
        <f>"CK2024103118787"</f>
        <v>CK2024103118787</v>
      </c>
      <c r="E454" s="1" t="str">
        <f>"3723673522136548608"</f>
        <v>3723673522136548608</v>
      </c>
      <c r="F454" s="1" t="str">
        <f t="shared" si="143"/>
        <v>花都四部-凤凰仓</v>
      </c>
      <c r="G454" s="1" t="str">
        <f t="shared" si="126"/>
        <v>卡卡杜企业店（视频号）</v>
      </c>
      <c r="H454" s="1" t="str">
        <f t="shared" si="144"/>
        <v>正常订单</v>
      </c>
      <c r="I454" s="1" t="str">
        <f t="shared" si="145"/>
        <v>已发货</v>
      </c>
      <c r="J454" s="1" t="str">
        <f t="shared" si="141"/>
        <v>2</v>
      </c>
      <c r="K454" s="1">
        <v>2</v>
      </c>
      <c r="L454" s="1" t="s">
        <v>74</v>
      </c>
      <c r="M454" s="1" t="str">
        <f>"上海 上海市 宝山区 "</f>
        <v xml:space="preserve">上海 上海市 宝山区 </v>
      </c>
      <c r="N454" s="1" t="str">
        <f t="shared" si="138"/>
        <v>凡华云仓-城南圆通-微信视频号</v>
      </c>
      <c r="O454" s="5" t="s">
        <v>492</v>
      </c>
      <c r="P454" s="6">
        <v>0.17</v>
      </c>
      <c r="Q454" s="11">
        <v>2</v>
      </c>
      <c r="R454" s="11"/>
      <c r="S454" s="11"/>
      <c r="T454" s="11"/>
      <c r="U454" s="11">
        <f t="shared" si="146"/>
        <v>2</v>
      </c>
      <c r="W454">
        <v>2.2000000000000002</v>
      </c>
      <c r="X454" s="1" t="s">
        <v>74</v>
      </c>
    </row>
    <row r="455" spans="1:24" x14ac:dyDescent="0.25">
      <c r="A455" s="1" t="str">
        <f t="shared" si="142"/>
        <v>卡卡杜-凤凰仓</v>
      </c>
      <c r="B455" s="1" t="str">
        <f>"CK202410311722"</f>
        <v>CK202410311722</v>
      </c>
      <c r="C455" s="1" t="str">
        <f>"DD2024103112864"</f>
        <v>DD2024103112864</v>
      </c>
      <c r="D455" s="1" t="str">
        <f>"CK2024103118786"</f>
        <v>CK2024103118786</v>
      </c>
      <c r="E455" s="1" t="str">
        <f>"3723673520994388992"</f>
        <v>3723673520994388992</v>
      </c>
      <c r="F455" s="1" t="str">
        <f t="shared" si="143"/>
        <v>花都四部-凤凰仓</v>
      </c>
      <c r="G455" s="1" t="str">
        <f t="shared" si="126"/>
        <v>卡卡杜企业店（视频号）</v>
      </c>
      <c r="H455" s="1" t="str">
        <f t="shared" si="144"/>
        <v>正常订单</v>
      </c>
      <c r="I455" s="1" t="str">
        <f t="shared" si="145"/>
        <v>已发货</v>
      </c>
      <c r="J455" s="1" t="str">
        <f t="shared" si="141"/>
        <v>2</v>
      </c>
      <c r="K455" s="1">
        <v>2</v>
      </c>
      <c r="L455" s="1" t="s">
        <v>105</v>
      </c>
      <c r="M455" s="1" t="str">
        <f>"北京 北京市 海淀区 "</f>
        <v xml:space="preserve">北京 北京市 海淀区 </v>
      </c>
      <c r="N455" s="1" t="str">
        <f t="shared" si="138"/>
        <v>凡华云仓-城南圆通-微信视频号</v>
      </c>
      <c r="O455" s="5" t="s">
        <v>493</v>
      </c>
      <c r="P455" s="6">
        <v>0.17</v>
      </c>
      <c r="Q455" s="11">
        <v>2</v>
      </c>
      <c r="R455" s="11"/>
      <c r="S455" s="11"/>
      <c r="T455" s="11"/>
      <c r="U455" s="11">
        <f t="shared" si="146"/>
        <v>2</v>
      </c>
      <c r="W455">
        <v>2.2000000000000002</v>
      </c>
      <c r="X455" s="1" t="s">
        <v>105</v>
      </c>
    </row>
    <row r="456" spans="1:24" x14ac:dyDescent="0.25">
      <c r="A456" s="1" t="str">
        <f t="shared" si="142"/>
        <v>卡卡杜-凤凰仓</v>
      </c>
      <c r="B456" s="1" t="str">
        <f>"CK202410311723"</f>
        <v>CK202410311723</v>
      </c>
      <c r="C456" s="1" t="str">
        <f>"DD2024103112862"</f>
        <v>DD2024103112862</v>
      </c>
      <c r="D456" s="1" t="str">
        <f>"CK2024103118785"</f>
        <v>CK2024103118785</v>
      </c>
      <c r="E456" s="1" t="str">
        <f>"3723673520388310528"</f>
        <v>3723673520388310528</v>
      </c>
      <c r="F456" s="1" t="str">
        <f t="shared" si="143"/>
        <v>花都四部-凤凰仓</v>
      </c>
      <c r="G456" s="1" t="str">
        <f t="shared" si="126"/>
        <v>卡卡杜企业店（视频号）</v>
      </c>
      <c r="H456" s="1" t="str">
        <f t="shared" si="144"/>
        <v>正常订单</v>
      </c>
      <c r="I456" s="1" t="str">
        <f t="shared" si="145"/>
        <v>已发货</v>
      </c>
      <c r="J456" s="1" t="str">
        <f t="shared" si="141"/>
        <v>2</v>
      </c>
      <c r="K456" s="1">
        <v>2</v>
      </c>
      <c r="L456" s="1" t="s">
        <v>96</v>
      </c>
      <c r="M456" s="1" t="str">
        <f>"广西壮族自治区 南宁市 兴宁区 "</f>
        <v xml:space="preserve">广西壮族自治区 南宁市 兴宁区 </v>
      </c>
      <c r="N456" s="1" t="str">
        <f t="shared" si="138"/>
        <v>凡华云仓-城南圆通-微信视频号</v>
      </c>
      <c r="O456" s="5" t="s">
        <v>494</v>
      </c>
      <c r="P456" s="6">
        <v>0.17</v>
      </c>
      <c r="Q456" s="11">
        <v>2</v>
      </c>
      <c r="R456" s="11"/>
      <c r="S456" s="11"/>
      <c r="T456" s="11"/>
      <c r="U456" s="11">
        <f t="shared" si="146"/>
        <v>2</v>
      </c>
      <c r="W456">
        <v>2.2000000000000002</v>
      </c>
      <c r="X456" s="1" t="s">
        <v>96</v>
      </c>
    </row>
    <row r="457" spans="1:24" x14ac:dyDescent="0.25">
      <c r="A457" s="1" t="str">
        <f t="shared" si="142"/>
        <v>卡卡杜-凤凰仓</v>
      </c>
      <c r="B457" s="1" t="str">
        <f>"CK202410311724"</f>
        <v>CK202410311724</v>
      </c>
      <c r="C457" s="1" t="str">
        <f>"DD2024103112863"</f>
        <v>DD2024103112863</v>
      </c>
      <c r="D457" s="1" t="str">
        <f>"CK2024103118784"</f>
        <v>CK2024103118784</v>
      </c>
      <c r="E457" s="1" t="str">
        <f>"3723673520926233600"</f>
        <v>3723673520926233600</v>
      </c>
      <c r="F457" s="1" t="str">
        <f t="shared" si="143"/>
        <v>花都四部-凤凰仓</v>
      </c>
      <c r="G457" s="1" t="str">
        <f t="shared" si="126"/>
        <v>卡卡杜企业店（视频号）</v>
      </c>
      <c r="H457" s="1" t="str">
        <f t="shared" si="144"/>
        <v>正常订单</v>
      </c>
      <c r="I457" s="1" t="str">
        <f t="shared" si="145"/>
        <v>已发货</v>
      </c>
      <c r="J457" s="1" t="str">
        <f t="shared" si="141"/>
        <v>2</v>
      </c>
      <c r="K457" s="1">
        <v>2</v>
      </c>
      <c r="L457" s="1" t="s">
        <v>94</v>
      </c>
      <c r="M457" s="1" t="str">
        <f>"湖南省 长沙市 天心区 "</f>
        <v xml:space="preserve">湖南省 长沙市 天心区 </v>
      </c>
      <c r="N457" s="1" t="str">
        <f t="shared" si="138"/>
        <v>凡华云仓-城南圆通-微信视频号</v>
      </c>
      <c r="O457" s="5" t="s">
        <v>495</v>
      </c>
      <c r="P457" s="6">
        <v>0.17</v>
      </c>
      <c r="Q457" s="11">
        <v>2</v>
      </c>
      <c r="R457" s="11"/>
      <c r="S457" s="11"/>
      <c r="T457" s="11"/>
      <c r="U457" s="11">
        <f t="shared" si="146"/>
        <v>2</v>
      </c>
      <c r="W457">
        <v>2.2000000000000002</v>
      </c>
      <c r="X457" s="1" t="s">
        <v>94</v>
      </c>
    </row>
    <row r="458" spans="1:24" x14ac:dyDescent="0.25">
      <c r="A458" s="1" t="str">
        <f t="shared" si="142"/>
        <v>卡卡杜-凤凰仓</v>
      </c>
      <c r="B458" s="1" t="str">
        <f>"CK202410311726"</f>
        <v>CK202410311726</v>
      </c>
      <c r="C458" s="1" t="str">
        <f>"DD2024103112866"</f>
        <v>DD2024103112866</v>
      </c>
      <c r="D458" s="1" t="str">
        <f>"CK2024103118783"</f>
        <v>CK2024103118783</v>
      </c>
      <c r="E458" s="1" t="str">
        <f>"3723673518504019456"</f>
        <v>3723673518504019456</v>
      </c>
      <c r="F458" s="1" t="str">
        <f t="shared" si="143"/>
        <v>花都四部-凤凰仓</v>
      </c>
      <c r="G458" s="1" t="str">
        <f t="shared" si="126"/>
        <v>卡卡杜企业店（视频号）</v>
      </c>
      <c r="H458" s="1" t="str">
        <f t="shared" si="144"/>
        <v>正常订单</v>
      </c>
      <c r="I458" s="1" t="str">
        <f t="shared" si="145"/>
        <v>已发货</v>
      </c>
      <c r="J458" s="1" t="str">
        <f t="shared" si="141"/>
        <v>2</v>
      </c>
      <c r="K458" s="1">
        <v>2</v>
      </c>
      <c r="L458" s="1" t="s">
        <v>161</v>
      </c>
      <c r="M458" s="1" t="str">
        <f>"四川省 成都市 崇州市 "</f>
        <v xml:space="preserve">四川省 成都市 崇州市 </v>
      </c>
      <c r="N458" s="1" t="str">
        <f t="shared" si="138"/>
        <v>凡华云仓-城南圆通-微信视频号</v>
      </c>
      <c r="O458" s="5" t="s">
        <v>496</v>
      </c>
      <c r="P458" s="6">
        <v>0.17</v>
      </c>
      <c r="Q458" s="11">
        <v>2</v>
      </c>
      <c r="R458" s="11"/>
      <c r="S458" s="11"/>
      <c r="T458" s="11"/>
      <c r="U458" s="11">
        <f t="shared" si="146"/>
        <v>2</v>
      </c>
      <c r="W458">
        <v>2.2000000000000002</v>
      </c>
      <c r="X458" s="1" t="s">
        <v>161</v>
      </c>
    </row>
    <row r="459" spans="1:24" x14ac:dyDescent="0.25">
      <c r="A459" s="1" t="str">
        <f t="shared" si="142"/>
        <v>卡卡杜-凤凰仓</v>
      </c>
      <c r="B459" s="1" t="str">
        <f>"CK20241031208"</f>
        <v>CK20241031208</v>
      </c>
      <c r="C459" s="1" t="str">
        <f>"DD2024103112429"</f>
        <v>DD2024103112429</v>
      </c>
      <c r="D459" s="1" t="str">
        <f>"CK2024103118782"</f>
        <v>CK2024103118782</v>
      </c>
      <c r="E459" s="1" t="str">
        <f>"3723673518644006913"</f>
        <v>3723673518644006913</v>
      </c>
      <c r="F459" s="1" t="str">
        <f t="shared" si="143"/>
        <v>花都四部-凤凰仓</v>
      </c>
      <c r="G459" s="1" t="str">
        <f t="shared" ref="G459:G522" si="147">"卡卡杜企业店（视频号）"</f>
        <v>卡卡杜企业店（视频号）</v>
      </c>
      <c r="H459" s="1" t="str">
        <f t="shared" si="144"/>
        <v>正常订单</v>
      </c>
      <c r="I459" s="1" t="str">
        <f t="shared" si="145"/>
        <v>已发货</v>
      </c>
      <c r="J459" s="1" t="str">
        <f t="shared" ref="J459:J464" si="148">"3"</f>
        <v>3</v>
      </c>
      <c r="K459" s="1">
        <v>2</v>
      </c>
      <c r="L459" s="1" t="s">
        <v>161</v>
      </c>
      <c r="M459" s="1" t="str">
        <f>"四川省 绵阳市 涪城区 "</f>
        <v xml:space="preserve">四川省 绵阳市 涪城区 </v>
      </c>
      <c r="N459" s="1" t="str">
        <f t="shared" si="138"/>
        <v>凡华云仓-城南圆通-微信视频号</v>
      </c>
      <c r="O459" s="5" t="s">
        <v>497</v>
      </c>
      <c r="P459" s="6">
        <v>0.25</v>
      </c>
      <c r="Q459" s="11">
        <v>2</v>
      </c>
      <c r="R459" s="11"/>
      <c r="S459" s="11"/>
      <c r="T459" s="11"/>
      <c r="U459" s="11">
        <f t="shared" si="146"/>
        <v>2</v>
      </c>
      <c r="W459">
        <v>2.2000000000000002</v>
      </c>
      <c r="X459" s="1" t="s">
        <v>161</v>
      </c>
    </row>
    <row r="460" spans="1:24" x14ac:dyDescent="0.25">
      <c r="A460" s="1" t="str">
        <f t="shared" si="142"/>
        <v>卡卡杜-凤凰仓</v>
      </c>
      <c r="B460" s="1" t="str">
        <f>"CK202410311725"</f>
        <v>CK202410311725</v>
      </c>
      <c r="C460" s="1" t="str">
        <f>"DD2024103112865"</f>
        <v>DD2024103112865</v>
      </c>
      <c r="D460" s="1" t="str">
        <f>"CK2024103118781"</f>
        <v>CK2024103118781</v>
      </c>
      <c r="E460" s="1" t="str">
        <f>"3723673518378190336"</f>
        <v>3723673518378190336</v>
      </c>
      <c r="F460" s="1" t="str">
        <f t="shared" si="143"/>
        <v>花都四部-凤凰仓</v>
      </c>
      <c r="G460" s="1" t="str">
        <f t="shared" si="147"/>
        <v>卡卡杜企业店（视频号）</v>
      </c>
      <c r="H460" s="1" t="str">
        <f t="shared" si="144"/>
        <v>正常订单</v>
      </c>
      <c r="I460" s="1" t="str">
        <f t="shared" si="145"/>
        <v>已发货</v>
      </c>
      <c r="J460" s="1" t="str">
        <f t="shared" ref="J460:J463" si="149">"2"</f>
        <v>2</v>
      </c>
      <c r="K460" s="1">
        <v>2</v>
      </c>
      <c r="L460" s="1" t="s">
        <v>18</v>
      </c>
      <c r="M460" s="1" t="str">
        <f>"广东省 深圳市 南山区 "</f>
        <v xml:space="preserve">广东省 深圳市 南山区 </v>
      </c>
      <c r="N460" s="1" t="str">
        <f t="shared" si="138"/>
        <v>凡华云仓-城南圆通-微信视频号</v>
      </c>
      <c r="O460" s="5" t="s">
        <v>498</v>
      </c>
      <c r="P460" s="6">
        <v>0.17</v>
      </c>
      <c r="Q460" s="11">
        <v>2</v>
      </c>
      <c r="R460" s="11"/>
      <c r="S460" s="11"/>
      <c r="T460" s="11"/>
      <c r="U460" s="11">
        <f t="shared" si="146"/>
        <v>2</v>
      </c>
      <c r="W460">
        <v>2.2000000000000002</v>
      </c>
      <c r="X460" s="1" t="s">
        <v>18</v>
      </c>
    </row>
    <row r="461" spans="1:24" x14ac:dyDescent="0.25">
      <c r="A461" s="1" t="str">
        <f t="shared" si="142"/>
        <v>卡卡杜-凤凰仓</v>
      </c>
      <c r="B461" s="1" t="str">
        <f>"CK20241031232"</f>
        <v>CK20241031232</v>
      </c>
      <c r="C461" s="1" t="str">
        <f>"DD2024103112453"</f>
        <v>DD2024103112453</v>
      </c>
      <c r="D461" s="1" t="str">
        <f>"CK2024103118780"</f>
        <v>CK2024103118780</v>
      </c>
      <c r="E461" s="1" t="str">
        <f>"3723673516914643969"</f>
        <v>3723673516914643969</v>
      </c>
      <c r="F461" s="1" t="str">
        <f t="shared" si="143"/>
        <v>花都四部-凤凰仓</v>
      </c>
      <c r="G461" s="1" t="str">
        <f t="shared" si="147"/>
        <v>卡卡杜企业店（视频号）</v>
      </c>
      <c r="H461" s="1" t="str">
        <f t="shared" si="144"/>
        <v>正常订单</v>
      </c>
      <c r="I461" s="1" t="str">
        <f t="shared" si="145"/>
        <v>已发货</v>
      </c>
      <c r="J461" s="1" t="str">
        <f t="shared" si="148"/>
        <v>3</v>
      </c>
      <c r="K461" s="1">
        <v>2</v>
      </c>
      <c r="L461" s="1" t="s">
        <v>13</v>
      </c>
      <c r="M461" s="1" t="str">
        <f>"江苏省 南通市 如东县 "</f>
        <v xml:space="preserve">江苏省 南通市 如东县 </v>
      </c>
      <c r="N461" s="1" t="str">
        <f t="shared" si="138"/>
        <v>凡华云仓-城南圆通-微信视频号</v>
      </c>
      <c r="O461" s="5" t="s">
        <v>499</v>
      </c>
      <c r="P461" s="6">
        <v>0.25</v>
      </c>
      <c r="Q461" s="11">
        <v>2</v>
      </c>
      <c r="R461" s="11"/>
      <c r="S461" s="11"/>
      <c r="T461" s="11"/>
      <c r="U461" s="11">
        <f t="shared" si="146"/>
        <v>2</v>
      </c>
      <c r="W461">
        <v>2.2000000000000002</v>
      </c>
      <c r="X461" s="1" t="s">
        <v>13</v>
      </c>
    </row>
    <row r="462" spans="1:24" x14ac:dyDescent="0.25">
      <c r="A462" s="1" t="str">
        <f t="shared" si="142"/>
        <v>卡卡杜-凤凰仓</v>
      </c>
      <c r="B462" s="1" t="str">
        <f>"CK202410311727"</f>
        <v>CK202410311727</v>
      </c>
      <c r="C462" s="1" t="str">
        <f>"DD2024103112867"</f>
        <v>DD2024103112867</v>
      </c>
      <c r="D462" s="1" t="str">
        <f>"CK2024103118779"</f>
        <v>CK2024103118779</v>
      </c>
      <c r="E462" s="1" t="str">
        <f>"3723673518463913985"</f>
        <v>3723673518463913985</v>
      </c>
      <c r="F462" s="1" t="str">
        <f t="shared" si="143"/>
        <v>花都四部-凤凰仓</v>
      </c>
      <c r="G462" s="1" t="str">
        <f t="shared" si="147"/>
        <v>卡卡杜企业店（视频号）</v>
      </c>
      <c r="H462" s="1" t="str">
        <f t="shared" si="144"/>
        <v>正常订单</v>
      </c>
      <c r="I462" s="1" t="str">
        <f t="shared" si="145"/>
        <v>已发货</v>
      </c>
      <c r="J462" s="1" t="str">
        <f t="shared" si="149"/>
        <v>2</v>
      </c>
      <c r="K462" s="1">
        <v>2</v>
      </c>
      <c r="L462" s="1" t="s">
        <v>105</v>
      </c>
      <c r="M462" s="1" t="str">
        <f>"北京 北京市 怀柔区 "</f>
        <v xml:space="preserve">北京 北京市 怀柔区 </v>
      </c>
      <c r="N462" s="1" t="str">
        <f t="shared" si="138"/>
        <v>凡华云仓-城南圆通-微信视频号</v>
      </c>
      <c r="O462" s="5" t="s">
        <v>500</v>
      </c>
      <c r="P462" s="6">
        <v>0.17</v>
      </c>
      <c r="Q462" s="11">
        <v>2</v>
      </c>
      <c r="R462" s="11"/>
      <c r="S462" s="11"/>
      <c r="T462" s="11"/>
      <c r="U462" s="11">
        <f t="shared" si="146"/>
        <v>2</v>
      </c>
      <c r="W462">
        <v>2.2000000000000002</v>
      </c>
      <c r="X462" s="1" t="s">
        <v>105</v>
      </c>
    </row>
    <row r="463" spans="1:24" x14ac:dyDescent="0.25">
      <c r="A463" s="1" t="str">
        <f t="shared" si="142"/>
        <v>卡卡杜-凤凰仓</v>
      </c>
      <c r="B463" s="1" t="str">
        <f>"CK202410311728"</f>
        <v>CK202410311728</v>
      </c>
      <c r="C463" s="1" t="str">
        <f>"DD2024103112869"</f>
        <v>DD2024103112869</v>
      </c>
      <c r="D463" s="1" t="str">
        <f>"CK2024103118778"</f>
        <v>CK2024103118778</v>
      </c>
      <c r="E463" s="1" t="str">
        <f>"3723673515589505024"</f>
        <v>3723673515589505024</v>
      </c>
      <c r="F463" s="1" t="str">
        <f t="shared" si="143"/>
        <v>花都四部-凤凰仓</v>
      </c>
      <c r="G463" s="1" t="str">
        <f t="shared" si="147"/>
        <v>卡卡杜企业店（视频号）</v>
      </c>
      <c r="H463" s="1" t="str">
        <f t="shared" si="144"/>
        <v>正常订单</v>
      </c>
      <c r="I463" s="1" t="str">
        <f t="shared" si="145"/>
        <v>已发货</v>
      </c>
      <c r="J463" s="1" t="str">
        <f t="shared" si="149"/>
        <v>2</v>
      </c>
      <c r="K463" s="1">
        <v>2</v>
      </c>
      <c r="L463" s="1" t="s">
        <v>105</v>
      </c>
      <c r="M463" s="1" t="str">
        <f>"北京 北京市 朝阳区 "</f>
        <v xml:space="preserve">北京 北京市 朝阳区 </v>
      </c>
      <c r="N463" s="1" t="str">
        <f t="shared" si="138"/>
        <v>凡华云仓-城南圆通-微信视频号</v>
      </c>
      <c r="O463" s="5" t="s">
        <v>501</v>
      </c>
      <c r="P463" s="6">
        <v>0.17</v>
      </c>
      <c r="Q463" s="11">
        <v>2</v>
      </c>
      <c r="R463" s="11"/>
      <c r="S463" s="11"/>
      <c r="T463" s="11"/>
      <c r="U463" s="11">
        <f t="shared" si="146"/>
        <v>2</v>
      </c>
      <c r="W463">
        <v>2.2000000000000002</v>
      </c>
      <c r="X463" s="1" t="s">
        <v>105</v>
      </c>
    </row>
    <row r="464" spans="1:24" x14ac:dyDescent="0.25">
      <c r="A464" s="1" t="str">
        <f t="shared" si="142"/>
        <v>卡卡杜-凤凰仓</v>
      </c>
      <c r="B464" s="1" t="str">
        <f>"CK20241031132"</f>
        <v>CK20241031132</v>
      </c>
      <c r="C464" s="1" t="str">
        <f>"DD2024103112306"</f>
        <v>DD2024103112306</v>
      </c>
      <c r="D464" s="1" t="str">
        <f>"CK2024103118777"</f>
        <v>CK2024103118777</v>
      </c>
      <c r="E464" s="1" t="str">
        <f>"3723673517044666368"</f>
        <v>3723673517044666368</v>
      </c>
      <c r="F464" s="1" t="str">
        <f t="shared" si="143"/>
        <v>花都四部-凤凰仓</v>
      </c>
      <c r="G464" s="1" t="str">
        <f t="shared" si="147"/>
        <v>卡卡杜企业店（视频号）</v>
      </c>
      <c r="H464" s="1" t="str">
        <f t="shared" si="144"/>
        <v>正常订单</v>
      </c>
      <c r="I464" s="1" t="str">
        <f t="shared" si="145"/>
        <v>已发货</v>
      </c>
      <c r="J464" s="1" t="str">
        <f t="shared" si="148"/>
        <v>3</v>
      </c>
      <c r="K464" s="1">
        <v>2</v>
      </c>
      <c r="L464" s="1" t="s">
        <v>41</v>
      </c>
      <c r="M464" s="1" t="str">
        <f>"湖北省 襄阳市 樊城区 "</f>
        <v xml:space="preserve">湖北省 襄阳市 樊城区 </v>
      </c>
      <c r="N464" s="1" t="str">
        <f t="shared" si="138"/>
        <v>凡华云仓-城南圆通-微信视频号</v>
      </c>
      <c r="O464" s="5" t="s">
        <v>502</v>
      </c>
      <c r="P464" s="6">
        <v>0.25</v>
      </c>
      <c r="Q464" s="11">
        <v>2</v>
      </c>
      <c r="R464" s="11"/>
      <c r="S464" s="11"/>
      <c r="T464" s="11"/>
      <c r="U464" s="11">
        <f t="shared" si="146"/>
        <v>2</v>
      </c>
      <c r="W464">
        <v>2.2000000000000002</v>
      </c>
      <c r="X464" s="1" t="s">
        <v>41</v>
      </c>
    </row>
    <row r="465" spans="1:24" x14ac:dyDescent="0.25">
      <c r="A465" s="1" t="str">
        <f t="shared" si="142"/>
        <v>卡卡杜-凤凰仓</v>
      </c>
      <c r="B465" s="1" t="str">
        <f>"CK202410311729"</f>
        <v>CK202410311729</v>
      </c>
      <c r="C465" s="1" t="str">
        <f>"DD2024103112868"</f>
        <v>DD2024103112868</v>
      </c>
      <c r="D465" s="1" t="str">
        <f>"CK2024103118776"</f>
        <v>CK2024103118776</v>
      </c>
      <c r="E465" s="1" t="str">
        <f>"3723673516474500608"</f>
        <v>3723673516474500608</v>
      </c>
      <c r="F465" s="1" t="str">
        <f t="shared" si="143"/>
        <v>花都四部-凤凰仓</v>
      </c>
      <c r="G465" s="1" t="str">
        <f t="shared" si="147"/>
        <v>卡卡杜企业店（视频号）</v>
      </c>
      <c r="H465" s="1" t="str">
        <f t="shared" si="144"/>
        <v>正常订单</v>
      </c>
      <c r="I465" s="1" t="str">
        <f t="shared" si="145"/>
        <v>已发货</v>
      </c>
      <c r="J465" s="1" t="str">
        <f>"2"</f>
        <v>2</v>
      </c>
      <c r="K465" s="1">
        <v>2</v>
      </c>
      <c r="L465" s="1" t="s">
        <v>105</v>
      </c>
      <c r="M465" s="1" t="str">
        <f>"北京 北京市 顺义区 "</f>
        <v xml:space="preserve">北京 北京市 顺义区 </v>
      </c>
      <c r="N465" s="1" t="str">
        <f t="shared" si="138"/>
        <v>凡华云仓-城南圆通-微信视频号</v>
      </c>
      <c r="O465" s="5" t="s">
        <v>503</v>
      </c>
      <c r="P465" s="6">
        <v>0.17</v>
      </c>
      <c r="Q465" s="11">
        <v>2</v>
      </c>
      <c r="R465" s="11"/>
      <c r="S465" s="11"/>
      <c r="T465" s="11"/>
      <c r="U465" s="11">
        <f t="shared" si="146"/>
        <v>2</v>
      </c>
      <c r="W465">
        <v>2.2000000000000002</v>
      </c>
      <c r="X465" s="1" t="s">
        <v>105</v>
      </c>
    </row>
    <row r="466" spans="1:24" x14ac:dyDescent="0.25">
      <c r="A466" s="1" t="str">
        <f t="shared" si="142"/>
        <v>卡卡杜-凤凰仓</v>
      </c>
      <c r="B466" s="1" t="str">
        <f>"CK202410311730"</f>
        <v>CK202410311730</v>
      </c>
      <c r="C466" s="1" t="str">
        <f>"DD2024103112870"</f>
        <v>DD2024103112870</v>
      </c>
      <c r="D466" s="1" t="str">
        <f>"CK2024103118775"</f>
        <v>CK2024103118775</v>
      </c>
      <c r="E466" s="1" t="str">
        <f>"3723673512707753472"</f>
        <v>3723673512707753472</v>
      </c>
      <c r="F466" s="1" t="str">
        <f t="shared" si="143"/>
        <v>花都四部-凤凰仓</v>
      </c>
      <c r="G466" s="1" t="str">
        <f t="shared" si="147"/>
        <v>卡卡杜企业店（视频号）</v>
      </c>
      <c r="H466" s="1" t="str">
        <f t="shared" si="144"/>
        <v>正常订单</v>
      </c>
      <c r="I466" s="1" t="str">
        <f t="shared" si="145"/>
        <v>已发货</v>
      </c>
      <c r="J466" s="1" t="str">
        <f>"2"</f>
        <v>2</v>
      </c>
      <c r="K466" s="1">
        <v>2</v>
      </c>
      <c r="L466" s="1" t="s">
        <v>16</v>
      </c>
      <c r="M466" s="1" t="str">
        <f>"河北省 秦皇岛市 北戴河区 "</f>
        <v xml:space="preserve">河北省 秦皇岛市 北戴河区 </v>
      </c>
      <c r="N466" s="1" t="str">
        <f t="shared" si="138"/>
        <v>凡华云仓-城南圆通-微信视频号</v>
      </c>
      <c r="O466" s="5" t="s">
        <v>504</v>
      </c>
      <c r="P466" s="6">
        <v>0.17</v>
      </c>
      <c r="Q466" s="11">
        <v>2</v>
      </c>
      <c r="R466" s="11"/>
      <c r="S466" s="11"/>
      <c r="T466" s="11"/>
      <c r="U466" s="11">
        <f t="shared" si="146"/>
        <v>2</v>
      </c>
      <c r="W466">
        <v>2.2000000000000002</v>
      </c>
      <c r="X466" s="1" t="s">
        <v>16</v>
      </c>
    </row>
    <row r="467" spans="1:24" x14ac:dyDescent="0.25">
      <c r="A467" s="1" t="str">
        <f t="shared" si="142"/>
        <v>卡卡杜-凤凰仓</v>
      </c>
      <c r="B467" s="1" t="str">
        <f>"CK20241031216"</f>
        <v>CK20241031216</v>
      </c>
      <c r="C467" s="1" t="str">
        <f>"DD2024103112437"</f>
        <v>DD2024103112437</v>
      </c>
      <c r="D467" s="1" t="str">
        <f>"CK2024103118774"</f>
        <v>CK2024103118774</v>
      </c>
      <c r="E467" s="1" t="str">
        <f>"3723673511379210240"</f>
        <v>3723673511379210240</v>
      </c>
      <c r="F467" s="1" t="str">
        <f t="shared" si="143"/>
        <v>花都四部-凤凰仓</v>
      </c>
      <c r="G467" s="1" t="str">
        <f t="shared" si="147"/>
        <v>卡卡杜企业店（视频号）</v>
      </c>
      <c r="H467" s="1" t="str">
        <f t="shared" si="144"/>
        <v>正常订单</v>
      </c>
      <c r="I467" s="1" t="str">
        <f t="shared" si="145"/>
        <v>已发货</v>
      </c>
      <c r="J467" s="1" t="str">
        <f t="shared" ref="J467:J470" si="150">"3"</f>
        <v>3</v>
      </c>
      <c r="K467" s="1">
        <v>2</v>
      </c>
      <c r="L467" s="1" t="s">
        <v>32</v>
      </c>
      <c r="M467" s="1" t="str">
        <f>"陕西省 咸阳市 秦都区 "</f>
        <v xml:space="preserve">陕西省 咸阳市 秦都区 </v>
      </c>
      <c r="N467" s="1" t="str">
        <f t="shared" si="138"/>
        <v>凡华云仓-城南圆通-微信视频号</v>
      </c>
      <c r="O467" s="5" t="s">
        <v>505</v>
      </c>
      <c r="P467" s="6">
        <v>0.25</v>
      </c>
      <c r="Q467" s="11">
        <v>2</v>
      </c>
      <c r="R467" s="11"/>
      <c r="S467" s="11"/>
      <c r="T467" s="11"/>
      <c r="U467" s="11">
        <f t="shared" si="146"/>
        <v>2</v>
      </c>
      <c r="W467">
        <v>2.2000000000000002</v>
      </c>
      <c r="X467" s="1" t="s">
        <v>32</v>
      </c>
    </row>
    <row r="468" spans="1:24" x14ac:dyDescent="0.25">
      <c r="A468" s="1" t="str">
        <f t="shared" si="142"/>
        <v>卡卡杜-凤凰仓</v>
      </c>
      <c r="B468" s="1" t="str">
        <f>"CK20241031219"</f>
        <v>CK20241031219</v>
      </c>
      <c r="C468" s="1" t="str">
        <f>"DD2024103112439"</f>
        <v>DD2024103112439</v>
      </c>
      <c r="D468" s="1" t="str">
        <f>"CK2024103118773"</f>
        <v>CK2024103118773</v>
      </c>
      <c r="E468" s="1" t="str">
        <f>"3723673507942763520"</f>
        <v>3723673507942763520</v>
      </c>
      <c r="F468" s="1" t="str">
        <f t="shared" si="143"/>
        <v>花都四部-凤凰仓</v>
      </c>
      <c r="G468" s="1" t="str">
        <f t="shared" si="147"/>
        <v>卡卡杜企业店（视频号）</v>
      </c>
      <c r="H468" s="1" t="str">
        <f t="shared" si="144"/>
        <v>正常订单</v>
      </c>
      <c r="I468" s="1" t="str">
        <f t="shared" si="145"/>
        <v>已发货</v>
      </c>
      <c r="J468" s="1" t="str">
        <f t="shared" si="150"/>
        <v>3</v>
      </c>
      <c r="K468" s="1">
        <v>2</v>
      </c>
      <c r="L468" s="1" t="s">
        <v>13</v>
      </c>
      <c r="M468" s="1" t="str">
        <f>"江苏省 苏州市 张家港市 "</f>
        <v xml:space="preserve">江苏省 苏州市 张家港市 </v>
      </c>
      <c r="N468" s="1" t="str">
        <f t="shared" si="138"/>
        <v>凡华云仓-城南圆通-微信视频号</v>
      </c>
      <c r="O468" s="5" t="s">
        <v>506</v>
      </c>
      <c r="P468" s="6">
        <v>0.25</v>
      </c>
      <c r="Q468" s="11">
        <v>2</v>
      </c>
      <c r="R468" s="11"/>
      <c r="S468" s="11"/>
      <c r="T468" s="11"/>
      <c r="U468" s="11">
        <f t="shared" si="146"/>
        <v>2</v>
      </c>
      <c r="W468">
        <v>2.2000000000000002</v>
      </c>
      <c r="X468" s="1" t="s">
        <v>13</v>
      </c>
    </row>
    <row r="469" spans="1:24" x14ac:dyDescent="0.25">
      <c r="A469" s="1" t="str">
        <f t="shared" si="142"/>
        <v>卡卡杜-凤凰仓</v>
      </c>
      <c r="B469" s="1" t="str">
        <f>"CK20241031218"</f>
        <v>CK20241031218</v>
      </c>
      <c r="C469" s="1" t="str">
        <f>"DD2024103112440"</f>
        <v>DD2024103112440</v>
      </c>
      <c r="D469" s="1" t="str">
        <f>"CK2024103118772"</f>
        <v>CK2024103118772</v>
      </c>
      <c r="E469" s="1" t="str">
        <f>"3723673260687494144"</f>
        <v>3723673260687494144</v>
      </c>
      <c r="F469" s="1" t="str">
        <f t="shared" si="143"/>
        <v>花都四部-凤凰仓</v>
      </c>
      <c r="G469" s="1" t="str">
        <f t="shared" si="147"/>
        <v>卡卡杜企业店（视频号）</v>
      </c>
      <c r="H469" s="1" t="str">
        <f t="shared" si="144"/>
        <v>正常订单</v>
      </c>
      <c r="I469" s="1" t="str">
        <f t="shared" si="145"/>
        <v>已发货</v>
      </c>
      <c r="J469" s="1" t="str">
        <f t="shared" si="150"/>
        <v>3</v>
      </c>
      <c r="K469" s="1">
        <v>2</v>
      </c>
      <c r="L469" s="1" t="s">
        <v>20</v>
      </c>
      <c r="M469" s="1" t="str">
        <f>"浙江省 宁波市 海曙区 "</f>
        <v xml:space="preserve">浙江省 宁波市 海曙区 </v>
      </c>
      <c r="N469" s="1" t="str">
        <f t="shared" si="138"/>
        <v>凡华云仓-城南圆通-微信视频号</v>
      </c>
      <c r="O469" s="5" t="s">
        <v>507</v>
      </c>
      <c r="P469" s="6">
        <v>0.25</v>
      </c>
      <c r="Q469" s="11">
        <v>2</v>
      </c>
      <c r="R469" s="11"/>
      <c r="S469" s="11"/>
      <c r="T469" s="11"/>
      <c r="U469" s="11">
        <f t="shared" si="146"/>
        <v>2</v>
      </c>
      <c r="W469">
        <v>2.2000000000000002</v>
      </c>
      <c r="X469" s="1" t="s">
        <v>20</v>
      </c>
    </row>
    <row r="470" spans="1:24" x14ac:dyDescent="0.25">
      <c r="A470" s="1" t="str">
        <f t="shared" si="142"/>
        <v>卡卡杜-凤凰仓</v>
      </c>
      <c r="B470" s="1" t="str">
        <f>"CK2024103143"</f>
        <v>CK2024103143</v>
      </c>
      <c r="C470" s="1" t="str">
        <f>"DD2024103112071"</f>
        <v>DD2024103112071</v>
      </c>
      <c r="D470" s="1" t="str">
        <f>"CK2024103118771"</f>
        <v>CK2024103118771</v>
      </c>
      <c r="E470" s="1" t="str">
        <f>"3723673252174366208"</f>
        <v>3723673252174366208</v>
      </c>
      <c r="F470" s="1" t="str">
        <f t="shared" si="143"/>
        <v>花都四部-凤凰仓</v>
      </c>
      <c r="G470" s="1" t="str">
        <f t="shared" si="147"/>
        <v>卡卡杜企业店（视频号）</v>
      </c>
      <c r="H470" s="1" t="str">
        <f t="shared" si="144"/>
        <v>正常订单</v>
      </c>
      <c r="I470" s="1" t="str">
        <f t="shared" si="145"/>
        <v>已发货</v>
      </c>
      <c r="J470" s="1" t="str">
        <f t="shared" si="150"/>
        <v>3</v>
      </c>
      <c r="K470" s="1">
        <v>3</v>
      </c>
      <c r="L470" s="1" t="s">
        <v>30</v>
      </c>
      <c r="M470" s="1" t="str">
        <f>"山东省 青岛市 李沧区 "</f>
        <v xml:space="preserve">山东省 青岛市 李沧区 </v>
      </c>
      <c r="N470" s="1" t="str">
        <f t="shared" si="138"/>
        <v>凡华云仓-城南圆通-微信视频号</v>
      </c>
      <c r="O470" s="5" t="s">
        <v>508</v>
      </c>
      <c r="P470" s="6">
        <v>0.33</v>
      </c>
      <c r="Q470" s="11">
        <v>2.2999999999999998</v>
      </c>
      <c r="R470" s="11"/>
      <c r="S470" s="11"/>
      <c r="T470" s="11"/>
      <c r="U470" s="11">
        <f t="shared" si="146"/>
        <v>2.2999999999999998</v>
      </c>
      <c r="W470">
        <v>2.5</v>
      </c>
      <c r="X470" s="1" t="s">
        <v>30</v>
      </c>
    </row>
    <row r="471" spans="1:24" x14ac:dyDescent="0.25">
      <c r="A471" s="1" t="str">
        <f t="shared" si="142"/>
        <v>卡卡杜-凤凰仓</v>
      </c>
      <c r="B471" s="1" t="str">
        <f>"CK202410311731"</f>
        <v>CK202410311731</v>
      </c>
      <c r="C471" s="1" t="str">
        <f>"DD2024103112871"</f>
        <v>DD2024103112871</v>
      </c>
      <c r="D471" s="1" t="str">
        <f>"CK2024103118770"</f>
        <v>CK2024103118770</v>
      </c>
      <c r="E471" s="1" t="str">
        <f>"3723673119626757377"</f>
        <v>3723673119626757377</v>
      </c>
      <c r="F471" s="1" t="str">
        <f t="shared" si="143"/>
        <v>花都四部-凤凰仓</v>
      </c>
      <c r="G471" s="1" t="str">
        <f t="shared" si="147"/>
        <v>卡卡杜企业店（视频号）</v>
      </c>
      <c r="H471" s="1" t="str">
        <f t="shared" si="144"/>
        <v>正常订单</v>
      </c>
      <c r="I471" s="1" t="str">
        <f t="shared" si="145"/>
        <v>已发货</v>
      </c>
      <c r="J471" s="1" t="str">
        <f t="shared" ref="J471:J474" si="151">"2"</f>
        <v>2</v>
      </c>
      <c r="K471" s="1">
        <v>2</v>
      </c>
      <c r="L471" s="1" t="s">
        <v>20</v>
      </c>
      <c r="M471" s="1" t="str">
        <f>"浙江省 温州市 鹿城区 "</f>
        <v xml:space="preserve">浙江省 温州市 鹿城区 </v>
      </c>
      <c r="N471" s="1" t="str">
        <f t="shared" si="138"/>
        <v>凡华云仓-城南圆通-微信视频号</v>
      </c>
      <c r="O471" s="5" t="s">
        <v>509</v>
      </c>
      <c r="P471" s="6">
        <v>0.17</v>
      </c>
      <c r="Q471" s="11">
        <v>2</v>
      </c>
      <c r="R471" s="11"/>
      <c r="S471" s="11"/>
      <c r="T471" s="11"/>
      <c r="U471" s="11">
        <f t="shared" si="146"/>
        <v>2</v>
      </c>
      <c r="W471">
        <v>2.2000000000000002</v>
      </c>
      <c r="X471" s="1" t="s">
        <v>20</v>
      </c>
    </row>
    <row r="472" spans="1:24" x14ac:dyDescent="0.25">
      <c r="A472" s="1" t="str">
        <f t="shared" si="142"/>
        <v>卡卡杜-凤凰仓</v>
      </c>
      <c r="B472" s="1" t="str">
        <f>"CK202410311732"</f>
        <v>CK202410311732</v>
      </c>
      <c r="C472" s="1" t="str">
        <f>"DD2024103112872"</f>
        <v>DD2024103112872</v>
      </c>
      <c r="D472" s="1" t="str">
        <f>"CK2024103118769"</f>
        <v>CK2024103118769</v>
      </c>
      <c r="E472" s="1" t="str">
        <f>"3723673045220066560"</f>
        <v>3723673045220066560</v>
      </c>
      <c r="F472" s="1" t="str">
        <f t="shared" si="143"/>
        <v>花都四部-凤凰仓</v>
      </c>
      <c r="G472" s="1" t="str">
        <f t="shared" si="147"/>
        <v>卡卡杜企业店（视频号）</v>
      </c>
      <c r="H472" s="1" t="str">
        <f t="shared" si="144"/>
        <v>正常订单</v>
      </c>
      <c r="I472" s="1" t="str">
        <f t="shared" si="145"/>
        <v>已发货</v>
      </c>
      <c r="J472" s="1" t="str">
        <f t="shared" si="151"/>
        <v>2</v>
      </c>
      <c r="K472" s="1">
        <v>2</v>
      </c>
      <c r="L472" s="1" t="s">
        <v>54</v>
      </c>
      <c r="M472" s="1" t="str">
        <f>"黑龙江省 哈尔滨市 平房区 "</f>
        <v xml:space="preserve">黑龙江省 哈尔滨市 平房区 </v>
      </c>
      <c r="N472" s="1" t="str">
        <f t="shared" si="138"/>
        <v>凡华云仓-城南圆通-微信视频号</v>
      </c>
      <c r="O472" s="5" t="s">
        <v>510</v>
      </c>
      <c r="P472" s="6">
        <v>0.17</v>
      </c>
      <c r="Q472" s="11">
        <v>2</v>
      </c>
      <c r="R472" s="11"/>
      <c r="S472" s="11"/>
      <c r="T472" s="11"/>
      <c r="U472" s="11">
        <f t="shared" si="146"/>
        <v>2</v>
      </c>
      <c r="W472">
        <v>2.2000000000000002</v>
      </c>
      <c r="X472" s="1" t="s">
        <v>54</v>
      </c>
    </row>
    <row r="473" spans="1:24" x14ac:dyDescent="0.25">
      <c r="A473" s="1" t="str">
        <f t="shared" si="142"/>
        <v>卡卡杜-凤凰仓</v>
      </c>
      <c r="B473" s="1" t="str">
        <f>"CK202410311733"</f>
        <v>CK202410311733</v>
      </c>
      <c r="C473" s="1" t="str">
        <f>"DD2024103112873"</f>
        <v>DD2024103112873</v>
      </c>
      <c r="D473" s="1" t="str">
        <f>"CK2024103118768"</f>
        <v>CK2024103118768</v>
      </c>
      <c r="E473" s="1" t="str">
        <f>"3723673056522932224"</f>
        <v>3723673056522932224</v>
      </c>
      <c r="F473" s="1" t="str">
        <f t="shared" si="143"/>
        <v>花都四部-凤凰仓</v>
      </c>
      <c r="G473" s="1" t="str">
        <f t="shared" si="147"/>
        <v>卡卡杜企业店（视频号）</v>
      </c>
      <c r="H473" s="1" t="str">
        <f t="shared" si="144"/>
        <v>正常订单</v>
      </c>
      <c r="I473" s="1" t="str">
        <f t="shared" si="145"/>
        <v>已发货</v>
      </c>
      <c r="J473" s="1" t="str">
        <f t="shared" si="151"/>
        <v>2</v>
      </c>
      <c r="K473" s="1">
        <v>2</v>
      </c>
      <c r="L473" s="1" t="s">
        <v>187</v>
      </c>
      <c r="M473" s="1" t="str">
        <f>"吉林省 长春市 长春经济技术开发区 "</f>
        <v xml:space="preserve">吉林省 长春市 长春经济技术开发区 </v>
      </c>
      <c r="N473" s="1" t="str">
        <f t="shared" si="138"/>
        <v>凡华云仓-城南圆通-微信视频号</v>
      </c>
      <c r="O473" s="5" t="s">
        <v>511</v>
      </c>
      <c r="P473" s="6">
        <v>0.17</v>
      </c>
      <c r="Q473" s="11">
        <v>2</v>
      </c>
      <c r="R473" s="11"/>
      <c r="S473" s="11"/>
      <c r="T473" s="11"/>
      <c r="U473" s="11">
        <f t="shared" si="146"/>
        <v>2</v>
      </c>
      <c r="W473">
        <v>2.2000000000000002</v>
      </c>
      <c r="X473" s="1" t="s">
        <v>187</v>
      </c>
    </row>
    <row r="474" spans="1:24" x14ac:dyDescent="0.25">
      <c r="A474" s="1" t="str">
        <f t="shared" si="142"/>
        <v>卡卡杜-凤凰仓</v>
      </c>
      <c r="B474" s="1" t="str">
        <f>"CK202410311734"</f>
        <v>CK202410311734</v>
      </c>
      <c r="C474" s="1" t="str">
        <f>"DD2024103112874"</f>
        <v>DD2024103112874</v>
      </c>
      <c r="D474" s="1" t="str">
        <f>"CK2024103118767"</f>
        <v>CK2024103118767</v>
      </c>
      <c r="E474" s="1" t="str">
        <f>"3723673049282774529"</f>
        <v>3723673049282774529</v>
      </c>
      <c r="F474" s="1" t="str">
        <f t="shared" si="143"/>
        <v>花都四部-凤凰仓</v>
      </c>
      <c r="G474" s="1" t="str">
        <f t="shared" si="147"/>
        <v>卡卡杜企业店（视频号）</v>
      </c>
      <c r="H474" s="1" t="str">
        <f t="shared" si="144"/>
        <v>正常订单</v>
      </c>
      <c r="I474" s="1" t="str">
        <f t="shared" si="145"/>
        <v>已发货</v>
      </c>
      <c r="J474" s="1" t="str">
        <f t="shared" si="151"/>
        <v>2</v>
      </c>
      <c r="K474" s="1">
        <v>2</v>
      </c>
      <c r="L474" s="1" t="s">
        <v>161</v>
      </c>
      <c r="M474" s="1" t="str">
        <f>"四川省 成都市 金牛区 "</f>
        <v xml:space="preserve">四川省 成都市 金牛区 </v>
      </c>
      <c r="N474" s="1" t="str">
        <f t="shared" si="138"/>
        <v>凡华云仓-城南圆通-微信视频号</v>
      </c>
      <c r="O474" s="5" t="s">
        <v>512</v>
      </c>
      <c r="P474" s="6">
        <v>0.17</v>
      </c>
      <c r="Q474" s="11">
        <v>2</v>
      </c>
      <c r="R474" s="11"/>
      <c r="S474" s="11"/>
      <c r="T474" s="11"/>
      <c r="U474" s="11">
        <f t="shared" si="146"/>
        <v>2</v>
      </c>
      <c r="W474">
        <v>2.2000000000000002</v>
      </c>
      <c r="X474" s="1" t="s">
        <v>161</v>
      </c>
    </row>
    <row r="475" spans="1:24" x14ac:dyDescent="0.25">
      <c r="A475" s="1" t="str">
        <f t="shared" si="142"/>
        <v>卡卡杜-凤凰仓</v>
      </c>
      <c r="B475" s="1" t="str">
        <f>"CK20241031201"</f>
        <v>CK20241031201</v>
      </c>
      <c r="C475" s="1" t="str">
        <f>"DD2024103112421"</f>
        <v>DD2024103112421</v>
      </c>
      <c r="D475" s="1" t="str">
        <f>"CK2024103118766"</f>
        <v>CK2024103118766</v>
      </c>
      <c r="E475" s="1" t="str">
        <f>"3723673051534068736"</f>
        <v>3723673051534068736</v>
      </c>
      <c r="F475" s="1" t="str">
        <f t="shared" si="143"/>
        <v>花都四部-凤凰仓</v>
      </c>
      <c r="G475" s="1" t="str">
        <f t="shared" si="147"/>
        <v>卡卡杜企业店（视频号）</v>
      </c>
      <c r="H475" s="1" t="str">
        <f t="shared" si="144"/>
        <v>正常订单</v>
      </c>
      <c r="I475" s="1" t="str">
        <f t="shared" si="145"/>
        <v>已发货</v>
      </c>
      <c r="J475" s="1" t="str">
        <f>"3"</f>
        <v>3</v>
      </c>
      <c r="K475" s="1">
        <v>2</v>
      </c>
      <c r="L475" s="1" t="s">
        <v>36</v>
      </c>
      <c r="M475" s="1" t="str">
        <f>"安徽省 合肥市 蜀山区 "</f>
        <v xml:space="preserve">安徽省 合肥市 蜀山区 </v>
      </c>
      <c r="N475" s="1" t="str">
        <f t="shared" si="138"/>
        <v>凡华云仓-城南圆通-微信视频号</v>
      </c>
      <c r="O475" s="5" t="s">
        <v>513</v>
      </c>
      <c r="P475" s="6">
        <v>0.25</v>
      </c>
      <c r="Q475" s="11">
        <v>2</v>
      </c>
      <c r="R475" s="11"/>
      <c r="S475" s="11"/>
      <c r="T475" s="11"/>
      <c r="U475" s="11">
        <f t="shared" si="146"/>
        <v>2</v>
      </c>
      <c r="W475">
        <v>2.2000000000000002</v>
      </c>
      <c r="X475" s="1" t="s">
        <v>36</v>
      </c>
    </row>
    <row r="476" spans="1:24" x14ac:dyDescent="0.25">
      <c r="A476" s="1" t="str">
        <f t="shared" si="142"/>
        <v>卡卡杜-凤凰仓</v>
      </c>
      <c r="B476" s="1" t="str">
        <f>"CK20241031226"</f>
        <v>CK20241031226</v>
      </c>
      <c r="C476" s="1" t="str">
        <f>"DD2024103112447"</f>
        <v>DD2024103112447</v>
      </c>
      <c r="D476" s="1" t="str">
        <f>"CK2024103118765"</f>
        <v>CK2024103118765</v>
      </c>
      <c r="E476" s="1" t="str">
        <f>"3723673049333370880"</f>
        <v>3723673049333370880</v>
      </c>
      <c r="F476" s="1" t="str">
        <f t="shared" si="143"/>
        <v>花都四部-凤凰仓</v>
      </c>
      <c r="G476" s="1" t="str">
        <f t="shared" si="147"/>
        <v>卡卡杜企业店（视频号）</v>
      </c>
      <c r="H476" s="1" t="str">
        <f t="shared" si="144"/>
        <v>正常订单</v>
      </c>
      <c r="I476" s="1" t="str">
        <f t="shared" si="145"/>
        <v>已发货</v>
      </c>
      <c r="J476" s="1" t="str">
        <f>"3"</f>
        <v>3</v>
      </c>
      <c r="K476" s="1">
        <v>2</v>
      </c>
      <c r="L476" s="1" t="s">
        <v>20</v>
      </c>
      <c r="M476" s="1" t="str">
        <f>"浙江省 杭州市 滨江区 "</f>
        <v xml:space="preserve">浙江省 杭州市 滨江区 </v>
      </c>
      <c r="N476" s="1" t="str">
        <f t="shared" si="138"/>
        <v>凡华云仓-城南圆通-微信视频号</v>
      </c>
      <c r="O476" s="5" t="s">
        <v>514</v>
      </c>
      <c r="P476" s="6">
        <v>0.25</v>
      </c>
      <c r="Q476" s="11">
        <v>2</v>
      </c>
      <c r="R476" s="11"/>
      <c r="S476" s="11"/>
      <c r="T476" s="11"/>
      <c r="U476" s="11">
        <f t="shared" si="146"/>
        <v>2</v>
      </c>
      <c r="W476">
        <v>2.2000000000000002</v>
      </c>
      <c r="X476" s="1" t="s">
        <v>20</v>
      </c>
    </row>
    <row r="477" spans="1:24" x14ac:dyDescent="0.25">
      <c r="A477" s="1" t="str">
        <f t="shared" si="142"/>
        <v>卡卡杜-凤凰仓</v>
      </c>
      <c r="B477" s="1" t="str">
        <f>"CK202410311735"</f>
        <v>CK202410311735</v>
      </c>
      <c r="C477" s="1" t="str">
        <f>"DD2024103112875"</f>
        <v>DD2024103112875</v>
      </c>
      <c r="D477" s="1" t="str">
        <f>"CK2024103118764"</f>
        <v>CK2024103118764</v>
      </c>
      <c r="E477" s="1" t="str">
        <f>"3723673044373605376"</f>
        <v>3723673044373605376</v>
      </c>
      <c r="F477" s="1" t="str">
        <f t="shared" si="143"/>
        <v>花都四部-凤凰仓</v>
      </c>
      <c r="G477" s="1" t="str">
        <f t="shared" si="147"/>
        <v>卡卡杜企业店（视频号）</v>
      </c>
      <c r="H477" s="1" t="str">
        <f t="shared" si="144"/>
        <v>正常订单</v>
      </c>
      <c r="I477" s="1" t="str">
        <f t="shared" si="145"/>
        <v>已发货</v>
      </c>
      <c r="J477" s="1" t="str">
        <f t="shared" ref="J477:J490" si="152">"2"</f>
        <v>2</v>
      </c>
      <c r="K477" s="1">
        <v>2</v>
      </c>
      <c r="L477" s="1" t="s">
        <v>105</v>
      </c>
      <c r="M477" s="1" t="str">
        <f>"北京 北京市 昌平区 "</f>
        <v xml:space="preserve">北京 北京市 昌平区 </v>
      </c>
      <c r="N477" s="1" t="str">
        <f t="shared" si="138"/>
        <v>凡华云仓-城南圆通-微信视频号</v>
      </c>
      <c r="O477" s="5" t="s">
        <v>515</v>
      </c>
      <c r="P477" s="6">
        <v>0.17</v>
      </c>
      <c r="Q477" s="11">
        <v>2</v>
      </c>
      <c r="R477" s="11"/>
      <c r="S477" s="11"/>
      <c r="T477" s="11"/>
      <c r="U477" s="11">
        <f t="shared" si="146"/>
        <v>2</v>
      </c>
      <c r="W477">
        <v>2.2000000000000002</v>
      </c>
      <c r="X477" s="1" t="s">
        <v>105</v>
      </c>
    </row>
    <row r="478" spans="1:24" x14ac:dyDescent="0.25">
      <c r="A478" s="1" t="str">
        <f t="shared" si="142"/>
        <v>卡卡杜-凤凰仓</v>
      </c>
      <c r="B478" s="1" t="str">
        <f>"CK202410311736"</f>
        <v>CK202410311736</v>
      </c>
      <c r="C478" s="1" t="str">
        <f>"DD2024103112877"</f>
        <v>DD2024103112877</v>
      </c>
      <c r="D478" s="1" t="str">
        <f>"CK2024103118763"</f>
        <v>CK2024103118763</v>
      </c>
      <c r="E478" s="1" t="str">
        <f>"3723673046241903872"</f>
        <v>3723673046241903872</v>
      </c>
      <c r="F478" s="1" t="str">
        <f t="shared" si="143"/>
        <v>花都四部-凤凰仓</v>
      </c>
      <c r="G478" s="1" t="str">
        <f t="shared" si="147"/>
        <v>卡卡杜企业店（视频号）</v>
      </c>
      <c r="H478" s="1" t="str">
        <f t="shared" si="144"/>
        <v>正常订单</v>
      </c>
      <c r="I478" s="1" t="str">
        <f t="shared" si="145"/>
        <v>已发货</v>
      </c>
      <c r="J478" s="1" t="str">
        <f t="shared" si="152"/>
        <v>2</v>
      </c>
      <c r="K478" s="1">
        <v>2</v>
      </c>
      <c r="L478" s="1" t="s">
        <v>92</v>
      </c>
      <c r="M478" s="1" t="str">
        <f>"辽宁省 沈阳市 皇姑区 "</f>
        <v xml:space="preserve">辽宁省 沈阳市 皇姑区 </v>
      </c>
      <c r="N478" s="1" t="str">
        <f t="shared" si="138"/>
        <v>凡华云仓-城南圆通-微信视频号</v>
      </c>
      <c r="O478" s="5" t="s">
        <v>516</v>
      </c>
      <c r="P478" s="6">
        <v>0.17</v>
      </c>
      <c r="Q478" s="11">
        <v>2</v>
      </c>
      <c r="R478" s="11"/>
      <c r="S478" s="11"/>
      <c r="T478" s="11"/>
      <c r="U478" s="11">
        <f t="shared" si="146"/>
        <v>2</v>
      </c>
      <c r="W478">
        <v>2.2000000000000002</v>
      </c>
      <c r="X478" s="1" t="s">
        <v>92</v>
      </c>
    </row>
    <row r="479" spans="1:24" x14ac:dyDescent="0.25">
      <c r="A479" s="1" t="str">
        <f t="shared" si="142"/>
        <v>卡卡杜-凤凰仓</v>
      </c>
      <c r="B479" s="1" t="str">
        <f>"CK202410311737"</f>
        <v>CK202410311737</v>
      </c>
      <c r="C479" s="1" t="str">
        <f>"DD2024103112876"</f>
        <v>DD2024103112876</v>
      </c>
      <c r="D479" s="1" t="str">
        <f>"CK2024103118762"</f>
        <v>CK2024103118762</v>
      </c>
      <c r="E479" s="1" t="str">
        <f>"3723673041962406912"</f>
        <v>3723673041962406912</v>
      </c>
      <c r="F479" s="1" t="str">
        <f t="shared" si="143"/>
        <v>花都四部-凤凰仓</v>
      </c>
      <c r="G479" s="1" t="str">
        <f t="shared" si="147"/>
        <v>卡卡杜企业店（视频号）</v>
      </c>
      <c r="H479" s="1" t="str">
        <f t="shared" si="144"/>
        <v>正常订单</v>
      </c>
      <c r="I479" s="1" t="str">
        <f t="shared" si="145"/>
        <v>已发货</v>
      </c>
      <c r="J479" s="1" t="str">
        <f t="shared" si="152"/>
        <v>2</v>
      </c>
      <c r="K479" s="1">
        <v>2</v>
      </c>
      <c r="L479" s="1" t="s">
        <v>24</v>
      </c>
      <c r="M479" s="1" t="str">
        <f>"福建省 漳州市 芗城区 "</f>
        <v xml:space="preserve">福建省 漳州市 芗城区 </v>
      </c>
      <c r="N479" s="1" t="str">
        <f t="shared" si="138"/>
        <v>凡华云仓-城南圆通-微信视频号</v>
      </c>
      <c r="O479" s="5" t="s">
        <v>517</v>
      </c>
      <c r="P479" s="6">
        <v>0.17</v>
      </c>
      <c r="Q479" s="11">
        <v>2</v>
      </c>
      <c r="R479" s="11"/>
      <c r="S479" s="11"/>
      <c r="T479" s="11"/>
      <c r="U479" s="11">
        <f t="shared" si="146"/>
        <v>2</v>
      </c>
      <c r="W479">
        <v>2.2000000000000002</v>
      </c>
      <c r="X479" s="1" t="s">
        <v>24</v>
      </c>
    </row>
    <row r="480" spans="1:24" x14ac:dyDescent="0.25">
      <c r="A480" s="1" t="str">
        <f t="shared" si="142"/>
        <v>卡卡杜-凤凰仓</v>
      </c>
      <c r="B480" s="1" t="str">
        <f>"CK202410311739"</f>
        <v>CK202410311739</v>
      </c>
      <c r="C480" s="1" t="str">
        <f>"DD2024103112879"</f>
        <v>DD2024103112879</v>
      </c>
      <c r="D480" s="1" t="str">
        <f>"CK2024103118761"</f>
        <v>CK2024103118761</v>
      </c>
      <c r="E480" s="1" t="str">
        <f>"3723673038095517184"</f>
        <v>3723673038095517184</v>
      </c>
      <c r="F480" s="1" t="str">
        <f t="shared" si="143"/>
        <v>花都四部-凤凰仓</v>
      </c>
      <c r="G480" s="1" t="str">
        <f t="shared" si="147"/>
        <v>卡卡杜企业店（视频号）</v>
      </c>
      <c r="H480" s="1" t="str">
        <f t="shared" si="144"/>
        <v>正常订单</v>
      </c>
      <c r="I480" s="1" t="str">
        <f t="shared" si="145"/>
        <v>已发货</v>
      </c>
      <c r="J480" s="1" t="str">
        <f t="shared" si="152"/>
        <v>2</v>
      </c>
      <c r="K480" s="1">
        <v>2</v>
      </c>
      <c r="L480" s="1" t="s">
        <v>13</v>
      </c>
      <c r="M480" s="1" t="str">
        <f>"江苏省 常州市 新北区 "</f>
        <v xml:space="preserve">江苏省 常州市 新北区 </v>
      </c>
      <c r="N480" s="1" t="str">
        <f t="shared" si="138"/>
        <v>凡华云仓-城南圆通-微信视频号</v>
      </c>
      <c r="O480" s="5" t="s">
        <v>518</v>
      </c>
      <c r="P480" s="6">
        <v>0.17</v>
      </c>
      <c r="Q480" s="11">
        <v>2</v>
      </c>
      <c r="R480" s="11"/>
      <c r="S480" s="11"/>
      <c r="T480" s="11"/>
      <c r="U480" s="11">
        <f t="shared" si="146"/>
        <v>2</v>
      </c>
      <c r="W480">
        <v>2.2000000000000002</v>
      </c>
      <c r="X480" s="1" t="s">
        <v>13</v>
      </c>
    </row>
    <row r="481" spans="1:24" x14ac:dyDescent="0.25">
      <c r="A481" s="1" t="str">
        <f t="shared" si="142"/>
        <v>卡卡杜-凤凰仓</v>
      </c>
      <c r="B481" s="1" t="str">
        <f>"CK202410311738"</f>
        <v>CK202410311738</v>
      </c>
      <c r="C481" s="1" t="str">
        <f>"DD2024103112878"</f>
        <v>DD2024103112878</v>
      </c>
      <c r="D481" s="1" t="str">
        <f>"CK2024103118760"</f>
        <v>CK2024103118760</v>
      </c>
      <c r="E481" s="1" t="str">
        <f>"3723673041711797248"</f>
        <v>3723673041711797248</v>
      </c>
      <c r="F481" s="1" t="str">
        <f t="shared" si="143"/>
        <v>花都四部-凤凰仓</v>
      </c>
      <c r="G481" s="1" t="str">
        <f t="shared" si="147"/>
        <v>卡卡杜企业店（视频号）</v>
      </c>
      <c r="H481" s="1" t="str">
        <f t="shared" si="144"/>
        <v>正常订单</v>
      </c>
      <c r="I481" s="1" t="str">
        <f t="shared" si="145"/>
        <v>已发货</v>
      </c>
      <c r="J481" s="1" t="str">
        <f t="shared" si="152"/>
        <v>2</v>
      </c>
      <c r="K481" s="1">
        <v>2</v>
      </c>
      <c r="L481" s="1" t="s">
        <v>30</v>
      </c>
      <c r="M481" s="1" t="str">
        <f>"山东省 青岛市 市北区 "</f>
        <v xml:space="preserve">山东省 青岛市 市北区 </v>
      </c>
      <c r="N481" s="1" t="str">
        <f t="shared" si="138"/>
        <v>凡华云仓-城南圆通-微信视频号</v>
      </c>
      <c r="O481" s="5" t="s">
        <v>519</v>
      </c>
      <c r="P481" s="6">
        <v>0.17</v>
      </c>
      <c r="Q481" s="11">
        <v>2</v>
      </c>
      <c r="R481" s="11"/>
      <c r="S481" s="11"/>
      <c r="T481" s="11"/>
      <c r="U481" s="11">
        <f t="shared" si="146"/>
        <v>2</v>
      </c>
      <c r="W481">
        <v>2.2000000000000002</v>
      </c>
      <c r="X481" s="1" t="s">
        <v>30</v>
      </c>
    </row>
    <row r="482" spans="1:24" x14ac:dyDescent="0.25">
      <c r="A482" s="1" t="str">
        <f t="shared" si="142"/>
        <v>卡卡杜-凤凰仓</v>
      </c>
      <c r="B482" s="1" t="str">
        <f>"CK202410311741"</f>
        <v>CK202410311741</v>
      </c>
      <c r="C482" s="1" t="str">
        <f>"DD2024103112881"</f>
        <v>DD2024103112881</v>
      </c>
      <c r="D482" s="1" t="str">
        <f>"CK2024103118759"</f>
        <v>CK2024103118759</v>
      </c>
      <c r="E482" s="1" t="str">
        <f>"3723673039133873152"</f>
        <v>3723673039133873152</v>
      </c>
      <c r="F482" s="1" t="str">
        <f t="shared" si="143"/>
        <v>花都四部-凤凰仓</v>
      </c>
      <c r="G482" s="1" t="str">
        <f t="shared" si="147"/>
        <v>卡卡杜企业店（视频号）</v>
      </c>
      <c r="H482" s="1" t="str">
        <f t="shared" si="144"/>
        <v>正常订单</v>
      </c>
      <c r="I482" s="1" t="str">
        <f t="shared" si="145"/>
        <v>已发货</v>
      </c>
      <c r="J482" s="1" t="str">
        <f t="shared" si="152"/>
        <v>2</v>
      </c>
      <c r="K482" s="1">
        <v>2</v>
      </c>
      <c r="L482" s="1" t="s">
        <v>109</v>
      </c>
      <c r="M482" s="1" t="str">
        <f>"山西省 太原市 杏花岭区 "</f>
        <v xml:space="preserve">山西省 太原市 杏花岭区 </v>
      </c>
      <c r="N482" s="1" t="str">
        <f t="shared" si="138"/>
        <v>凡华云仓-城南圆通-微信视频号</v>
      </c>
      <c r="O482" s="5" t="s">
        <v>520</v>
      </c>
      <c r="P482" s="6">
        <v>0.17</v>
      </c>
      <c r="Q482" s="11">
        <v>2</v>
      </c>
      <c r="R482" s="11"/>
      <c r="S482" s="11"/>
      <c r="T482" s="11"/>
      <c r="U482" s="11">
        <f t="shared" si="146"/>
        <v>2</v>
      </c>
      <c r="W482">
        <v>2.2000000000000002</v>
      </c>
      <c r="X482" s="1" t="s">
        <v>109</v>
      </c>
    </row>
    <row r="483" spans="1:24" x14ac:dyDescent="0.25">
      <c r="A483" s="1" t="str">
        <f t="shared" si="142"/>
        <v>卡卡杜-凤凰仓</v>
      </c>
      <c r="B483" s="1" t="str">
        <f>"CK202410311740"</f>
        <v>CK202410311740</v>
      </c>
      <c r="C483" s="1" t="str">
        <f>"DD2024103112880"</f>
        <v>DD2024103112880</v>
      </c>
      <c r="D483" s="1" t="str">
        <f>"CK2024103118758"</f>
        <v>CK2024103118758</v>
      </c>
      <c r="E483" s="1" t="str">
        <f>"3723673040167506944"</f>
        <v>3723673040167506944</v>
      </c>
      <c r="F483" s="1" t="str">
        <f t="shared" si="143"/>
        <v>花都四部-凤凰仓</v>
      </c>
      <c r="G483" s="1" t="str">
        <f t="shared" si="147"/>
        <v>卡卡杜企业店（视频号）</v>
      </c>
      <c r="H483" s="1" t="str">
        <f t="shared" si="144"/>
        <v>正常订单</v>
      </c>
      <c r="I483" s="1" t="str">
        <f t="shared" si="145"/>
        <v>已发货</v>
      </c>
      <c r="J483" s="1" t="str">
        <f t="shared" si="152"/>
        <v>2</v>
      </c>
      <c r="K483" s="1">
        <v>2</v>
      </c>
      <c r="L483" s="1" t="s">
        <v>161</v>
      </c>
      <c r="M483" s="1" t="str">
        <f>"四川省 成都市 温江区 "</f>
        <v xml:space="preserve">四川省 成都市 温江区 </v>
      </c>
      <c r="N483" s="1" t="str">
        <f t="shared" si="138"/>
        <v>凡华云仓-城南圆通-微信视频号</v>
      </c>
      <c r="O483" s="5" t="s">
        <v>521</v>
      </c>
      <c r="P483" s="6">
        <v>0.17</v>
      </c>
      <c r="Q483" s="11">
        <v>2</v>
      </c>
      <c r="R483" s="11"/>
      <c r="S483" s="11"/>
      <c r="T483" s="11"/>
      <c r="U483" s="11">
        <f t="shared" si="146"/>
        <v>2</v>
      </c>
      <c r="W483">
        <v>2.2000000000000002</v>
      </c>
      <c r="X483" s="1" t="s">
        <v>161</v>
      </c>
    </row>
    <row r="484" spans="1:24" x14ac:dyDescent="0.25">
      <c r="A484" s="1" t="str">
        <f t="shared" si="142"/>
        <v>卡卡杜-凤凰仓</v>
      </c>
      <c r="B484" s="1" t="str">
        <f>"CK202410311742"</f>
        <v>CK202410311742</v>
      </c>
      <c r="C484" s="1" t="str">
        <f>"DD2024103112882"</f>
        <v>DD2024103112882</v>
      </c>
      <c r="D484" s="1" t="str">
        <f>"CK2024103118757"</f>
        <v>CK2024103118757</v>
      </c>
      <c r="E484" s="1" t="str">
        <f>"3723673038677739008"</f>
        <v>3723673038677739008</v>
      </c>
      <c r="F484" s="1" t="str">
        <f t="shared" si="143"/>
        <v>花都四部-凤凰仓</v>
      </c>
      <c r="G484" s="1" t="str">
        <f t="shared" si="147"/>
        <v>卡卡杜企业店（视频号）</v>
      </c>
      <c r="H484" s="1" t="str">
        <f t="shared" si="144"/>
        <v>正常订单</v>
      </c>
      <c r="I484" s="1" t="str">
        <f t="shared" si="145"/>
        <v>已发货</v>
      </c>
      <c r="J484" s="1" t="str">
        <f t="shared" si="152"/>
        <v>2</v>
      </c>
      <c r="K484" s="1">
        <v>2</v>
      </c>
      <c r="L484" s="1" t="s">
        <v>92</v>
      </c>
      <c r="M484" s="1" t="str">
        <f>"辽宁省 沈阳市 皇姑区 "</f>
        <v xml:space="preserve">辽宁省 沈阳市 皇姑区 </v>
      </c>
      <c r="N484" s="1" t="str">
        <f t="shared" si="138"/>
        <v>凡华云仓-城南圆通-微信视频号</v>
      </c>
      <c r="O484" s="5" t="s">
        <v>522</v>
      </c>
      <c r="P484" s="6">
        <v>0.17</v>
      </c>
      <c r="Q484" s="11">
        <v>2</v>
      </c>
      <c r="R484" s="11"/>
      <c r="S484" s="11"/>
      <c r="T484" s="11"/>
      <c r="U484" s="11">
        <f t="shared" si="146"/>
        <v>2</v>
      </c>
      <c r="W484">
        <v>2.2000000000000002</v>
      </c>
      <c r="X484" s="1" t="s">
        <v>92</v>
      </c>
    </row>
    <row r="485" spans="1:24" x14ac:dyDescent="0.25">
      <c r="A485" s="1" t="str">
        <f t="shared" si="142"/>
        <v>卡卡杜-凤凰仓</v>
      </c>
      <c r="B485" s="1" t="str">
        <f>"CK202410311743"</f>
        <v>CK202410311743</v>
      </c>
      <c r="C485" s="1" t="str">
        <f>"DD2024103112883"</f>
        <v>DD2024103112883</v>
      </c>
      <c r="D485" s="1" t="str">
        <f>"CK2024103118756"</f>
        <v>CK2024103118756</v>
      </c>
      <c r="E485" s="1" t="str">
        <f>"3723673037774918656"</f>
        <v>3723673037774918656</v>
      </c>
      <c r="F485" s="1" t="str">
        <f t="shared" si="143"/>
        <v>花都四部-凤凰仓</v>
      </c>
      <c r="G485" s="1" t="str">
        <f t="shared" si="147"/>
        <v>卡卡杜企业店（视频号）</v>
      </c>
      <c r="H485" s="1" t="str">
        <f t="shared" si="144"/>
        <v>正常订单</v>
      </c>
      <c r="I485" s="1" t="str">
        <f t="shared" si="145"/>
        <v>已发货</v>
      </c>
      <c r="J485" s="1" t="str">
        <f t="shared" si="152"/>
        <v>2</v>
      </c>
      <c r="K485" s="1">
        <v>2</v>
      </c>
      <c r="L485" s="1" t="s">
        <v>105</v>
      </c>
      <c r="M485" s="1" t="str">
        <f>"北京 北京市 昌平区 "</f>
        <v xml:space="preserve">北京 北京市 昌平区 </v>
      </c>
      <c r="N485" s="1" t="str">
        <f t="shared" si="138"/>
        <v>凡华云仓-城南圆通-微信视频号</v>
      </c>
      <c r="O485" s="5" t="s">
        <v>523</v>
      </c>
      <c r="P485" s="6">
        <v>0.17</v>
      </c>
      <c r="Q485" s="11">
        <v>2</v>
      </c>
      <c r="R485" s="11"/>
      <c r="S485" s="11"/>
      <c r="T485" s="11"/>
      <c r="U485" s="11">
        <f t="shared" si="146"/>
        <v>2</v>
      </c>
      <c r="W485">
        <v>2.2000000000000002</v>
      </c>
      <c r="X485" s="1" t="s">
        <v>105</v>
      </c>
    </row>
    <row r="486" spans="1:24" x14ac:dyDescent="0.25">
      <c r="A486" s="1" t="str">
        <f t="shared" si="142"/>
        <v>卡卡杜-凤凰仓</v>
      </c>
      <c r="B486" s="1" t="str">
        <f>"CK202410311746"</f>
        <v>CK202410311746</v>
      </c>
      <c r="C486" s="1" t="str">
        <f>"DD2024103112887"</f>
        <v>DD2024103112887</v>
      </c>
      <c r="D486" s="1" t="str">
        <f>"CK2024103118755"</f>
        <v>CK2024103118755</v>
      </c>
      <c r="E486" s="1" t="str">
        <f>"3723673035441049601"</f>
        <v>3723673035441049601</v>
      </c>
      <c r="F486" s="1" t="str">
        <f t="shared" si="143"/>
        <v>花都四部-凤凰仓</v>
      </c>
      <c r="G486" s="1" t="str">
        <f t="shared" si="147"/>
        <v>卡卡杜企业店（视频号）</v>
      </c>
      <c r="H486" s="1" t="str">
        <f t="shared" si="144"/>
        <v>正常订单</v>
      </c>
      <c r="I486" s="1" t="str">
        <f t="shared" si="145"/>
        <v>已发货</v>
      </c>
      <c r="J486" s="1" t="str">
        <f t="shared" si="152"/>
        <v>2</v>
      </c>
      <c r="K486" s="1">
        <v>2</v>
      </c>
      <c r="L486" s="1" t="s">
        <v>13</v>
      </c>
      <c r="M486" s="1" t="str">
        <f>"江苏省 无锡市 宜兴市 "</f>
        <v xml:space="preserve">江苏省 无锡市 宜兴市 </v>
      </c>
      <c r="N486" s="1" t="str">
        <f t="shared" si="138"/>
        <v>凡华云仓-城南圆通-微信视频号</v>
      </c>
      <c r="O486" s="5" t="s">
        <v>524</v>
      </c>
      <c r="P486" s="6">
        <v>0.17</v>
      </c>
      <c r="Q486" s="11">
        <v>2</v>
      </c>
      <c r="R486" s="11"/>
      <c r="S486" s="11"/>
      <c r="T486" s="11"/>
      <c r="U486" s="11">
        <f t="shared" si="146"/>
        <v>2</v>
      </c>
      <c r="W486">
        <v>2.2000000000000002</v>
      </c>
      <c r="X486" s="1" t="s">
        <v>13</v>
      </c>
    </row>
    <row r="487" spans="1:24" x14ac:dyDescent="0.25">
      <c r="A487" s="1" t="str">
        <f t="shared" si="142"/>
        <v>卡卡杜-凤凰仓</v>
      </c>
      <c r="B487" s="1" t="str">
        <f>"CK202410311744"</f>
        <v>CK202410311744</v>
      </c>
      <c r="C487" s="1" t="str">
        <f>"DD2024103112884"</f>
        <v>DD2024103112884</v>
      </c>
      <c r="D487" s="1" t="str">
        <f>"CK2024103118754"</f>
        <v>CK2024103118754</v>
      </c>
      <c r="E487" s="1" t="str">
        <f>"3723673032593376512"</f>
        <v>3723673032593376512</v>
      </c>
      <c r="F487" s="1" t="str">
        <f t="shared" si="143"/>
        <v>花都四部-凤凰仓</v>
      </c>
      <c r="G487" s="1" t="str">
        <f t="shared" si="147"/>
        <v>卡卡杜企业店（视频号）</v>
      </c>
      <c r="H487" s="1" t="str">
        <f t="shared" si="144"/>
        <v>正常订单</v>
      </c>
      <c r="I487" s="1" t="str">
        <f t="shared" si="145"/>
        <v>已发货</v>
      </c>
      <c r="J487" s="1" t="str">
        <f t="shared" si="152"/>
        <v>2</v>
      </c>
      <c r="K487" s="1">
        <v>2</v>
      </c>
      <c r="L487" s="1" t="s">
        <v>13</v>
      </c>
      <c r="M487" s="1" t="str">
        <f>"江苏省 南京市 秦淮区 "</f>
        <v xml:space="preserve">江苏省 南京市 秦淮区 </v>
      </c>
      <c r="N487" s="1" t="str">
        <f t="shared" si="138"/>
        <v>凡华云仓-城南圆通-微信视频号</v>
      </c>
      <c r="O487" s="5" t="s">
        <v>525</v>
      </c>
      <c r="P487" s="6">
        <v>0.17</v>
      </c>
      <c r="Q487" s="11">
        <v>2</v>
      </c>
      <c r="R487" s="11"/>
      <c r="S487" s="11"/>
      <c r="T487" s="11"/>
      <c r="U487" s="11">
        <f t="shared" si="146"/>
        <v>2</v>
      </c>
      <c r="W487">
        <v>2.2000000000000002</v>
      </c>
      <c r="X487" s="1" t="s">
        <v>13</v>
      </c>
    </row>
    <row r="488" spans="1:24" x14ac:dyDescent="0.25">
      <c r="A488" s="1" t="str">
        <f t="shared" si="142"/>
        <v>卡卡杜-凤凰仓</v>
      </c>
      <c r="B488" s="1" t="str">
        <f>"CK202410311745"</f>
        <v>CK202410311745</v>
      </c>
      <c r="C488" s="1" t="str">
        <f>"DD2024103112885"</f>
        <v>DD2024103112885</v>
      </c>
      <c r="D488" s="1" t="str">
        <f>"CK2024103118753"</f>
        <v>CK2024103118753</v>
      </c>
      <c r="E488" s="1" t="str">
        <f>"3723673036357506048"</f>
        <v>3723673036357506048</v>
      </c>
      <c r="F488" s="1" t="str">
        <f t="shared" si="143"/>
        <v>花都四部-凤凰仓</v>
      </c>
      <c r="G488" s="1" t="str">
        <f t="shared" si="147"/>
        <v>卡卡杜企业店（视频号）</v>
      </c>
      <c r="H488" s="1" t="str">
        <f t="shared" si="144"/>
        <v>正常订单</v>
      </c>
      <c r="I488" s="1" t="str">
        <f t="shared" si="145"/>
        <v>已发货</v>
      </c>
      <c r="J488" s="1" t="str">
        <f t="shared" si="152"/>
        <v>2</v>
      </c>
      <c r="K488" s="1">
        <v>2</v>
      </c>
      <c r="L488" s="1" t="s">
        <v>30</v>
      </c>
      <c r="M488" s="1" t="str">
        <f>"山东省 潍坊市 奎文区 "</f>
        <v xml:space="preserve">山东省 潍坊市 奎文区 </v>
      </c>
      <c r="N488" s="1" t="str">
        <f t="shared" si="138"/>
        <v>凡华云仓-城南圆通-微信视频号</v>
      </c>
      <c r="O488" s="5" t="s">
        <v>526</v>
      </c>
      <c r="P488" s="6">
        <v>0.17</v>
      </c>
      <c r="Q488" s="11">
        <v>2</v>
      </c>
      <c r="R488" s="11"/>
      <c r="S488" s="11"/>
      <c r="T488" s="11"/>
      <c r="U488" s="11">
        <f t="shared" si="146"/>
        <v>2</v>
      </c>
      <c r="W488">
        <v>2.2000000000000002</v>
      </c>
      <c r="X488" s="1" t="s">
        <v>30</v>
      </c>
    </row>
    <row r="489" spans="1:24" x14ac:dyDescent="0.25">
      <c r="A489" s="1" t="str">
        <f t="shared" si="142"/>
        <v>卡卡杜-凤凰仓</v>
      </c>
      <c r="B489" s="1" t="str">
        <f>"CK202410311748"</f>
        <v>CK202410311748</v>
      </c>
      <c r="C489" s="1" t="str">
        <f>"DD2024103112888"</f>
        <v>DD2024103112888</v>
      </c>
      <c r="D489" s="1" t="str">
        <f>"CK2024103118752"</f>
        <v>CK2024103118752</v>
      </c>
      <c r="E489" s="1" t="str">
        <f>"3723673029436114432"</f>
        <v>3723673029436114432</v>
      </c>
      <c r="F489" s="1" t="str">
        <f t="shared" si="143"/>
        <v>花都四部-凤凰仓</v>
      </c>
      <c r="G489" s="1" t="str">
        <f t="shared" si="147"/>
        <v>卡卡杜企业店（视频号）</v>
      </c>
      <c r="H489" s="1" t="str">
        <f t="shared" si="144"/>
        <v>正常订单</v>
      </c>
      <c r="I489" s="1" t="str">
        <f t="shared" si="145"/>
        <v>已发货</v>
      </c>
      <c r="J489" s="1" t="str">
        <f t="shared" si="152"/>
        <v>2</v>
      </c>
      <c r="K489" s="1">
        <v>2</v>
      </c>
      <c r="L489" s="1" t="s">
        <v>36</v>
      </c>
      <c r="M489" s="1" t="str">
        <f>"安徽省 宣城市 泾县 "</f>
        <v xml:space="preserve">安徽省 宣城市 泾县 </v>
      </c>
      <c r="N489" s="1" t="str">
        <f t="shared" si="138"/>
        <v>凡华云仓-城南圆通-微信视频号</v>
      </c>
      <c r="O489" s="5" t="s">
        <v>527</v>
      </c>
      <c r="P489" s="6">
        <v>0.17</v>
      </c>
      <c r="Q489" s="11">
        <v>2</v>
      </c>
      <c r="R489" s="11"/>
      <c r="S489" s="11"/>
      <c r="T489" s="11"/>
      <c r="U489" s="11">
        <f t="shared" si="146"/>
        <v>2</v>
      </c>
      <c r="W489">
        <v>2.2000000000000002</v>
      </c>
      <c r="X489" s="1" t="s">
        <v>36</v>
      </c>
    </row>
    <row r="490" spans="1:24" x14ac:dyDescent="0.25">
      <c r="A490" s="1" t="str">
        <f t="shared" si="142"/>
        <v>卡卡杜-凤凰仓</v>
      </c>
      <c r="B490" s="1" t="str">
        <f>"CK202410311747"</f>
        <v>CK202410311747</v>
      </c>
      <c r="C490" s="1" t="str">
        <f>"DD2024103112886"</f>
        <v>DD2024103112886</v>
      </c>
      <c r="D490" s="1" t="str">
        <f>"CK2024103118751"</f>
        <v>CK2024103118751</v>
      </c>
      <c r="E490" s="1" t="str">
        <f>"3723673032538852352"</f>
        <v>3723673032538852352</v>
      </c>
      <c r="F490" s="1" t="str">
        <f t="shared" si="143"/>
        <v>花都四部-凤凰仓</v>
      </c>
      <c r="G490" s="1" t="str">
        <f t="shared" si="147"/>
        <v>卡卡杜企业店（视频号）</v>
      </c>
      <c r="H490" s="1" t="str">
        <f t="shared" si="144"/>
        <v>正常订单</v>
      </c>
      <c r="I490" s="1" t="str">
        <f t="shared" si="145"/>
        <v>已发货</v>
      </c>
      <c r="J490" s="1" t="str">
        <f t="shared" si="152"/>
        <v>2</v>
      </c>
      <c r="K490" s="1">
        <v>2</v>
      </c>
      <c r="L490" s="1" t="s">
        <v>20</v>
      </c>
      <c r="M490" s="1" t="str">
        <f>"浙江省 杭州市 上城区 "</f>
        <v xml:space="preserve">浙江省 杭州市 上城区 </v>
      </c>
      <c r="N490" s="1" t="str">
        <f t="shared" si="138"/>
        <v>凡华云仓-城南圆通-微信视频号</v>
      </c>
      <c r="O490" s="5" t="s">
        <v>528</v>
      </c>
      <c r="P490" s="6">
        <v>0.17</v>
      </c>
      <c r="Q490" s="11">
        <v>2</v>
      </c>
      <c r="R490" s="11"/>
      <c r="S490" s="11"/>
      <c r="T490" s="11"/>
      <c r="U490" s="11">
        <f t="shared" si="146"/>
        <v>2</v>
      </c>
      <c r="W490">
        <v>2.2000000000000002</v>
      </c>
      <c r="X490" s="1" t="s">
        <v>20</v>
      </c>
    </row>
    <row r="491" spans="1:24" x14ac:dyDescent="0.25">
      <c r="A491" s="1" t="str">
        <f t="shared" si="142"/>
        <v>卡卡杜-凤凰仓</v>
      </c>
      <c r="B491" s="1" t="str">
        <f>"CK20241031116"</f>
        <v>CK20241031116</v>
      </c>
      <c r="C491" s="1" t="str">
        <f>"DD2024103112257"</f>
        <v>DD2024103112257</v>
      </c>
      <c r="D491" s="1" t="str">
        <f>"CK2024103118750"</f>
        <v>CK2024103118750</v>
      </c>
      <c r="E491" s="1" t="str">
        <f>"3723673032891960320"</f>
        <v>3723673032891960320</v>
      </c>
      <c r="F491" s="1" t="str">
        <f t="shared" si="143"/>
        <v>花都四部-凤凰仓</v>
      </c>
      <c r="G491" s="1" t="str">
        <f t="shared" si="147"/>
        <v>卡卡杜企业店（视频号）</v>
      </c>
      <c r="H491" s="1" t="str">
        <f t="shared" si="144"/>
        <v>正常订单</v>
      </c>
      <c r="I491" s="1" t="str">
        <f t="shared" si="145"/>
        <v>已发货</v>
      </c>
      <c r="J491" s="1" t="str">
        <f>"3"</f>
        <v>3</v>
      </c>
      <c r="K491" s="1">
        <v>2</v>
      </c>
      <c r="L491" s="1" t="s">
        <v>161</v>
      </c>
      <c r="M491" s="1" t="str">
        <f>"四川省 成都市 武侯区 "</f>
        <v xml:space="preserve">四川省 成都市 武侯区 </v>
      </c>
      <c r="N491" s="1" t="str">
        <f t="shared" si="138"/>
        <v>凡华云仓-城南圆通-微信视频号</v>
      </c>
      <c r="O491" s="5" t="s">
        <v>529</v>
      </c>
      <c r="P491" s="6">
        <v>0.25</v>
      </c>
      <c r="Q491" s="11">
        <v>2</v>
      </c>
      <c r="R491" s="11"/>
      <c r="S491" s="11"/>
      <c r="T491" s="11"/>
      <c r="U491" s="11">
        <f t="shared" si="146"/>
        <v>2</v>
      </c>
      <c r="W491">
        <v>2.2000000000000002</v>
      </c>
      <c r="X491" s="1" t="s">
        <v>161</v>
      </c>
    </row>
    <row r="492" spans="1:24" x14ac:dyDescent="0.25">
      <c r="A492" s="1" t="str">
        <f t="shared" si="142"/>
        <v>卡卡杜-凤凰仓</v>
      </c>
      <c r="B492" s="1" t="str">
        <f>"CK202410311749"</f>
        <v>CK202410311749</v>
      </c>
      <c r="C492" s="1" t="str">
        <f>"DD2024103112890"</f>
        <v>DD2024103112890</v>
      </c>
      <c r="D492" s="1" t="str">
        <f>"CK2024103118749"</f>
        <v>CK2024103118749</v>
      </c>
      <c r="E492" s="1" t="str">
        <f>"3723673034394309632"</f>
        <v>3723673034394309632</v>
      </c>
      <c r="F492" s="1" t="str">
        <f t="shared" si="143"/>
        <v>花都四部-凤凰仓</v>
      </c>
      <c r="G492" s="1" t="str">
        <f t="shared" si="147"/>
        <v>卡卡杜企业店（视频号）</v>
      </c>
      <c r="H492" s="1" t="str">
        <f t="shared" si="144"/>
        <v>正常订单</v>
      </c>
      <c r="I492" s="1" t="str">
        <f t="shared" si="145"/>
        <v>已发货</v>
      </c>
      <c r="J492" s="1" t="str">
        <f t="shared" ref="J492:J496" si="153">"2"</f>
        <v>2</v>
      </c>
      <c r="K492" s="1">
        <v>2</v>
      </c>
      <c r="L492" s="1" t="s">
        <v>109</v>
      </c>
      <c r="M492" s="1" t="str">
        <f>"山西省 运城市 盐湖区 "</f>
        <v xml:space="preserve">山西省 运城市 盐湖区 </v>
      </c>
      <c r="N492" s="1" t="str">
        <f t="shared" si="138"/>
        <v>凡华云仓-城南圆通-微信视频号</v>
      </c>
      <c r="O492" s="5" t="s">
        <v>530</v>
      </c>
      <c r="P492" s="6">
        <v>0.17</v>
      </c>
      <c r="Q492" s="11">
        <v>2</v>
      </c>
      <c r="R492" s="11"/>
      <c r="S492" s="11"/>
      <c r="T492" s="11"/>
      <c r="U492" s="11">
        <f t="shared" si="146"/>
        <v>2</v>
      </c>
      <c r="W492">
        <v>2.2000000000000002</v>
      </c>
      <c r="X492" s="1" t="s">
        <v>109</v>
      </c>
    </row>
    <row r="493" spans="1:24" x14ac:dyDescent="0.25">
      <c r="A493" s="1" t="str">
        <f t="shared" si="142"/>
        <v>卡卡杜-凤凰仓</v>
      </c>
      <c r="B493" s="1" t="str">
        <f>"CK202410311752"</f>
        <v>CK202410311752</v>
      </c>
      <c r="C493" s="1" t="str">
        <f>"DD2024103112892"</f>
        <v>DD2024103112892</v>
      </c>
      <c r="D493" s="1" t="str">
        <f>"CK2024103118748"</f>
        <v>CK2024103118748</v>
      </c>
      <c r="E493" s="1" t="str">
        <f>"3723673031212402176"</f>
        <v>3723673031212402176</v>
      </c>
      <c r="F493" s="1" t="str">
        <f t="shared" si="143"/>
        <v>花都四部-凤凰仓</v>
      </c>
      <c r="G493" s="1" t="str">
        <f t="shared" si="147"/>
        <v>卡卡杜企业店（视频号）</v>
      </c>
      <c r="H493" s="1" t="str">
        <f t="shared" si="144"/>
        <v>正常订单</v>
      </c>
      <c r="I493" s="1" t="str">
        <f t="shared" si="145"/>
        <v>已发货</v>
      </c>
      <c r="J493" s="1" t="str">
        <f t="shared" si="153"/>
        <v>2</v>
      </c>
      <c r="K493" s="1">
        <v>2</v>
      </c>
      <c r="L493" s="1" t="s">
        <v>92</v>
      </c>
      <c r="M493" s="1" t="str">
        <f>"辽宁省 鞍山市 千山区 "</f>
        <v xml:space="preserve">辽宁省 鞍山市 千山区 </v>
      </c>
      <c r="N493" s="1" t="str">
        <f t="shared" si="138"/>
        <v>凡华云仓-城南圆通-微信视频号</v>
      </c>
      <c r="O493" s="5" t="s">
        <v>531</v>
      </c>
      <c r="P493" s="6">
        <v>0.17</v>
      </c>
      <c r="Q493" s="11">
        <v>2</v>
      </c>
      <c r="R493" s="11"/>
      <c r="S493" s="11"/>
      <c r="T493" s="11"/>
      <c r="U493" s="11">
        <f t="shared" si="146"/>
        <v>2</v>
      </c>
      <c r="W493">
        <v>2.2000000000000002</v>
      </c>
      <c r="X493" s="1" t="s">
        <v>92</v>
      </c>
    </row>
    <row r="494" spans="1:24" x14ac:dyDescent="0.25">
      <c r="A494" s="1" t="str">
        <f t="shared" si="142"/>
        <v>卡卡杜-凤凰仓</v>
      </c>
      <c r="B494" s="1" t="str">
        <f>"CK20241031170"</f>
        <v>CK20241031170</v>
      </c>
      <c r="C494" s="1" t="str">
        <f>"DD2024103112390"</f>
        <v>DD2024103112390</v>
      </c>
      <c r="D494" s="1" t="str">
        <f>"CK2024103118747"</f>
        <v>CK2024103118747</v>
      </c>
      <c r="E494" s="1" t="str">
        <f>"3723673031285015808"</f>
        <v>3723673031285015808</v>
      </c>
      <c r="F494" s="1" t="str">
        <f t="shared" si="143"/>
        <v>花都四部-凤凰仓</v>
      </c>
      <c r="G494" s="1" t="str">
        <f t="shared" si="147"/>
        <v>卡卡杜企业店（视频号）</v>
      </c>
      <c r="H494" s="1" t="str">
        <f t="shared" si="144"/>
        <v>正常订单</v>
      </c>
      <c r="I494" s="1" t="str">
        <f t="shared" si="145"/>
        <v>已发货</v>
      </c>
      <c r="J494" s="1" t="str">
        <f t="shared" ref="J494:J500" si="154">"3"</f>
        <v>3</v>
      </c>
      <c r="K494" s="1">
        <v>2</v>
      </c>
      <c r="L494" s="1" t="s">
        <v>36</v>
      </c>
      <c r="M494" s="1" t="str">
        <f>"安徽省 合肥市 庐阳区 "</f>
        <v xml:space="preserve">安徽省 合肥市 庐阳区 </v>
      </c>
      <c r="N494" s="1" t="str">
        <f t="shared" si="138"/>
        <v>凡华云仓-城南圆通-微信视频号</v>
      </c>
      <c r="O494" s="5" t="s">
        <v>532</v>
      </c>
      <c r="P494" s="6">
        <v>0.25</v>
      </c>
      <c r="Q494" s="11">
        <v>2</v>
      </c>
      <c r="R494" s="11"/>
      <c r="S494" s="11"/>
      <c r="T494" s="11"/>
      <c r="U494" s="11">
        <f t="shared" si="146"/>
        <v>2</v>
      </c>
      <c r="W494">
        <v>2.2000000000000002</v>
      </c>
      <c r="X494" s="1" t="s">
        <v>36</v>
      </c>
    </row>
    <row r="495" spans="1:24" x14ac:dyDescent="0.25">
      <c r="A495" s="1" t="str">
        <f t="shared" si="142"/>
        <v>卡卡杜-凤凰仓</v>
      </c>
      <c r="B495" s="1" t="str">
        <f>"CK202410311751"</f>
        <v>CK202410311751</v>
      </c>
      <c r="C495" s="1" t="str">
        <f>"DD2024103112889"</f>
        <v>DD2024103112889</v>
      </c>
      <c r="D495" s="1" t="str">
        <f>"CK2024103118746"</f>
        <v>CK2024103118746</v>
      </c>
      <c r="E495" s="1" t="str">
        <f>"3723673033584281088"</f>
        <v>3723673033584281088</v>
      </c>
      <c r="F495" s="1" t="str">
        <f t="shared" si="143"/>
        <v>花都四部-凤凰仓</v>
      </c>
      <c r="G495" s="1" t="str">
        <f t="shared" si="147"/>
        <v>卡卡杜企业店（视频号）</v>
      </c>
      <c r="H495" s="1" t="str">
        <f t="shared" si="144"/>
        <v>正常订单</v>
      </c>
      <c r="I495" s="1" t="str">
        <f t="shared" si="145"/>
        <v>已发货</v>
      </c>
      <c r="J495" s="1" t="str">
        <f t="shared" si="153"/>
        <v>2</v>
      </c>
      <c r="K495" s="1">
        <v>2</v>
      </c>
      <c r="L495" s="1" t="s">
        <v>105</v>
      </c>
      <c r="M495" s="1" t="str">
        <f>"北京 北京市 丰台区 "</f>
        <v xml:space="preserve">北京 北京市 丰台区 </v>
      </c>
      <c r="N495" s="1" t="str">
        <f t="shared" si="138"/>
        <v>凡华云仓-城南圆通-微信视频号</v>
      </c>
      <c r="O495" s="5" t="s">
        <v>533</v>
      </c>
      <c r="P495" s="6">
        <v>0.17</v>
      </c>
      <c r="Q495" s="11">
        <v>2</v>
      </c>
      <c r="R495" s="11"/>
      <c r="S495" s="11"/>
      <c r="T495" s="11"/>
      <c r="U495" s="11">
        <f t="shared" si="146"/>
        <v>2</v>
      </c>
      <c r="W495">
        <v>2.2000000000000002</v>
      </c>
      <c r="X495" s="1" t="s">
        <v>105</v>
      </c>
    </row>
    <row r="496" spans="1:24" x14ac:dyDescent="0.25">
      <c r="A496" s="1" t="str">
        <f t="shared" si="142"/>
        <v>卡卡杜-凤凰仓</v>
      </c>
      <c r="B496" s="1" t="str">
        <f>"CK202410311750"</f>
        <v>CK202410311750</v>
      </c>
      <c r="C496" s="1" t="str">
        <f>"DD2024103112891"</f>
        <v>DD2024103112891</v>
      </c>
      <c r="D496" s="1" t="str">
        <f>"CK2024103118745"</f>
        <v>CK2024103118745</v>
      </c>
      <c r="E496" s="1" t="str">
        <f>"3723673034643604993"</f>
        <v>3723673034643604993</v>
      </c>
      <c r="F496" s="1" t="str">
        <f t="shared" si="143"/>
        <v>花都四部-凤凰仓</v>
      </c>
      <c r="G496" s="1" t="str">
        <f t="shared" si="147"/>
        <v>卡卡杜企业店（视频号）</v>
      </c>
      <c r="H496" s="1" t="str">
        <f t="shared" si="144"/>
        <v>正常订单</v>
      </c>
      <c r="I496" s="1" t="str">
        <f t="shared" si="145"/>
        <v>已发货</v>
      </c>
      <c r="J496" s="1" t="str">
        <f t="shared" si="153"/>
        <v>2</v>
      </c>
      <c r="K496" s="1">
        <v>2</v>
      </c>
      <c r="L496" s="1" t="s">
        <v>18</v>
      </c>
      <c r="M496" s="1" t="str">
        <f>"广东省 深圳市 福田区 "</f>
        <v xml:space="preserve">广东省 深圳市 福田区 </v>
      </c>
      <c r="N496" s="1" t="str">
        <f t="shared" si="138"/>
        <v>凡华云仓-城南圆通-微信视频号</v>
      </c>
      <c r="O496" s="5" t="s">
        <v>534</v>
      </c>
      <c r="P496" s="6">
        <v>0.17</v>
      </c>
      <c r="Q496" s="11">
        <v>2</v>
      </c>
      <c r="R496" s="11"/>
      <c r="S496" s="11"/>
      <c r="T496" s="11"/>
      <c r="U496" s="11">
        <f t="shared" si="146"/>
        <v>2</v>
      </c>
      <c r="W496">
        <v>2.2000000000000002</v>
      </c>
      <c r="X496" s="1" t="s">
        <v>18</v>
      </c>
    </row>
    <row r="497" spans="1:24" x14ac:dyDescent="0.25">
      <c r="A497" s="1" t="str">
        <f t="shared" si="142"/>
        <v>卡卡杜-凤凰仓</v>
      </c>
      <c r="B497" s="1" t="str">
        <f>"CK20241031174"</f>
        <v>CK20241031174</v>
      </c>
      <c r="C497" s="1" t="str">
        <f>"DD2024103112395"</f>
        <v>DD2024103112395</v>
      </c>
      <c r="D497" s="1" t="str">
        <f>"CK2024103118744"</f>
        <v>CK2024103118744</v>
      </c>
      <c r="E497" s="1" t="str">
        <f>"3723673032168707072"</f>
        <v>3723673032168707072</v>
      </c>
      <c r="F497" s="1" t="str">
        <f t="shared" si="143"/>
        <v>花都四部-凤凰仓</v>
      </c>
      <c r="G497" s="1" t="str">
        <f t="shared" si="147"/>
        <v>卡卡杜企业店（视频号）</v>
      </c>
      <c r="H497" s="1" t="str">
        <f t="shared" si="144"/>
        <v>正常订单</v>
      </c>
      <c r="I497" s="1" t="str">
        <f t="shared" si="145"/>
        <v>已发货</v>
      </c>
      <c r="J497" s="1" t="str">
        <f t="shared" si="154"/>
        <v>3</v>
      </c>
      <c r="K497" s="1">
        <v>2</v>
      </c>
      <c r="L497" s="1" t="s">
        <v>187</v>
      </c>
      <c r="M497" s="1" t="str">
        <f>"吉林省 长春市 长春高新技术产业开发区 "</f>
        <v xml:space="preserve">吉林省 长春市 长春高新技术产业开发区 </v>
      </c>
      <c r="N497" s="1" t="str">
        <f t="shared" ref="N497:N560" si="155">"凡华云仓-城南圆通-微信视频号"</f>
        <v>凡华云仓-城南圆通-微信视频号</v>
      </c>
      <c r="O497" s="5" t="s">
        <v>535</v>
      </c>
      <c r="P497" s="6">
        <v>0.25</v>
      </c>
      <c r="Q497" s="11">
        <v>2</v>
      </c>
      <c r="R497" s="11"/>
      <c r="S497" s="11"/>
      <c r="T497" s="11"/>
      <c r="U497" s="11">
        <f t="shared" si="146"/>
        <v>2</v>
      </c>
      <c r="W497">
        <v>2.2000000000000002</v>
      </c>
      <c r="X497" s="1" t="s">
        <v>187</v>
      </c>
    </row>
    <row r="498" spans="1:24" x14ac:dyDescent="0.25">
      <c r="A498" s="1" t="str">
        <f t="shared" si="142"/>
        <v>卡卡杜-凤凰仓</v>
      </c>
      <c r="B498" s="1" t="str">
        <f>"CK20241031167"</f>
        <v>CK20241031167</v>
      </c>
      <c r="C498" s="1" t="str">
        <f>"DD2024103112386"</f>
        <v>DD2024103112386</v>
      </c>
      <c r="D498" s="1" t="str">
        <f>"CK2024103118743"</f>
        <v>CK2024103118743</v>
      </c>
      <c r="E498" s="1" t="str">
        <f>"3723673031289211904"</f>
        <v>3723673031289211904</v>
      </c>
      <c r="F498" s="1" t="str">
        <f t="shared" si="143"/>
        <v>花都四部-凤凰仓</v>
      </c>
      <c r="G498" s="1" t="str">
        <f t="shared" si="147"/>
        <v>卡卡杜企业店（视频号）</v>
      </c>
      <c r="H498" s="1" t="str">
        <f t="shared" si="144"/>
        <v>正常订单</v>
      </c>
      <c r="I498" s="1" t="str">
        <f t="shared" si="145"/>
        <v>已发货</v>
      </c>
      <c r="J498" s="1" t="str">
        <f t="shared" si="154"/>
        <v>3</v>
      </c>
      <c r="K498" s="1">
        <v>2</v>
      </c>
      <c r="L498" s="1" t="s">
        <v>92</v>
      </c>
      <c r="M498" s="1" t="str">
        <f>"辽宁省 大连市 旅顺口区 "</f>
        <v xml:space="preserve">辽宁省 大连市 旅顺口区 </v>
      </c>
      <c r="N498" s="1" t="str">
        <f t="shared" si="155"/>
        <v>凡华云仓-城南圆通-微信视频号</v>
      </c>
      <c r="O498" s="5" t="s">
        <v>536</v>
      </c>
      <c r="P498" s="6">
        <v>0.25</v>
      </c>
      <c r="Q498" s="11">
        <v>2</v>
      </c>
      <c r="R498" s="11"/>
      <c r="S498" s="11"/>
      <c r="T498" s="11"/>
      <c r="U498" s="11">
        <f t="shared" si="146"/>
        <v>2</v>
      </c>
      <c r="W498">
        <v>2.2000000000000002</v>
      </c>
      <c r="X498" s="1" t="s">
        <v>92</v>
      </c>
    </row>
    <row r="499" spans="1:24" x14ac:dyDescent="0.25">
      <c r="A499" s="1" t="str">
        <f t="shared" si="142"/>
        <v>卡卡杜-凤凰仓</v>
      </c>
      <c r="B499" s="1" t="str">
        <f>"CK20241031168"</f>
        <v>CK20241031168</v>
      </c>
      <c r="C499" s="1" t="str">
        <f>"DD2024103112385"</f>
        <v>DD2024103112385</v>
      </c>
      <c r="D499" s="1" t="str">
        <f>"CK2024103118742"</f>
        <v>CK2024103118742</v>
      </c>
      <c r="E499" s="1" t="str">
        <f>"3723673030675796992"</f>
        <v>3723673030675796992</v>
      </c>
      <c r="F499" s="1" t="str">
        <f t="shared" si="143"/>
        <v>花都四部-凤凰仓</v>
      </c>
      <c r="G499" s="1" t="str">
        <f t="shared" si="147"/>
        <v>卡卡杜企业店（视频号）</v>
      </c>
      <c r="H499" s="1" t="str">
        <f t="shared" si="144"/>
        <v>正常订单</v>
      </c>
      <c r="I499" s="1" t="str">
        <f t="shared" si="145"/>
        <v>已发货</v>
      </c>
      <c r="J499" s="1" t="str">
        <f t="shared" si="154"/>
        <v>3</v>
      </c>
      <c r="K499" s="1">
        <v>2</v>
      </c>
      <c r="L499" s="1" t="s">
        <v>13</v>
      </c>
      <c r="M499" s="1" t="str">
        <f>"江苏省 南通市 崇川区 "</f>
        <v xml:space="preserve">江苏省 南通市 崇川区 </v>
      </c>
      <c r="N499" s="1" t="str">
        <f t="shared" si="155"/>
        <v>凡华云仓-城南圆通-微信视频号</v>
      </c>
      <c r="O499" s="5" t="s">
        <v>537</v>
      </c>
      <c r="P499" s="6">
        <v>0.25</v>
      </c>
      <c r="Q499" s="11">
        <v>2</v>
      </c>
      <c r="R499" s="11"/>
      <c r="S499" s="11"/>
      <c r="T499" s="11"/>
      <c r="U499" s="11">
        <f t="shared" si="146"/>
        <v>2</v>
      </c>
      <c r="W499">
        <v>2.2000000000000002</v>
      </c>
      <c r="X499" s="1" t="s">
        <v>13</v>
      </c>
    </row>
    <row r="500" spans="1:24" x14ac:dyDescent="0.25">
      <c r="A500" s="1" t="str">
        <f t="shared" si="142"/>
        <v>卡卡杜-凤凰仓</v>
      </c>
      <c r="B500" s="1" t="str">
        <f>"CK20241031180"</f>
        <v>CK20241031180</v>
      </c>
      <c r="C500" s="1" t="str">
        <f>"DD2024103112400"</f>
        <v>DD2024103112400</v>
      </c>
      <c r="D500" s="1" t="str">
        <f>"CK2024103118741"</f>
        <v>CK2024103118741</v>
      </c>
      <c r="E500" s="1" t="str">
        <f>"3723673026806813696"</f>
        <v>3723673026806813696</v>
      </c>
      <c r="F500" s="1" t="str">
        <f t="shared" si="143"/>
        <v>花都四部-凤凰仓</v>
      </c>
      <c r="G500" s="1" t="str">
        <f t="shared" si="147"/>
        <v>卡卡杜企业店（视频号）</v>
      </c>
      <c r="H500" s="1" t="str">
        <f t="shared" si="144"/>
        <v>正常订单</v>
      </c>
      <c r="I500" s="1" t="str">
        <f t="shared" si="145"/>
        <v>已发货</v>
      </c>
      <c r="J500" s="1" t="str">
        <f t="shared" si="154"/>
        <v>3</v>
      </c>
      <c r="K500" s="1">
        <v>2</v>
      </c>
      <c r="L500" s="1" t="s">
        <v>41</v>
      </c>
      <c r="M500" s="1" t="str">
        <f>"湖北省 武汉市 蔡甸区 "</f>
        <v xml:space="preserve">湖北省 武汉市 蔡甸区 </v>
      </c>
      <c r="N500" s="1" t="str">
        <f t="shared" si="155"/>
        <v>凡华云仓-城南圆通-微信视频号</v>
      </c>
      <c r="O500" s="5" t="s">
        <v>538</v>
      </c>
      <c r="P500" s="6">
        <v>0.25</v>
      </c>
      <c r="Q500" s="11">
        <v>2</v>
      </c>
      <c r="R500" s="11"/>
      <c r="S500" s="11"/>
      <c r="T500" s="11"/>
      <c r="U500" s="11">
        <f t="shared" si="146"/>
        <v>2</v>
      </c>
      <c r="W500">
        <v>2.2000000000000002</v>
      </c>
      <c r="X500" s="1" t="s">
        <v>41</v>
      </c>
    </row>
    <row r="501" spans="1:24" x14ac:dyDescent="0.25">
      <c r="A501" s="1" t="str">
        <f t="shared" si="142"/>
        <v>卡卡杜-凤凰仓</v>
      </c>
      <c r="B501" s="1" t="str">
        <f>"CK202410311753"</f>
        <v>CK202410311753</v>
      </c>
      <c r="C501" s="1" t="str">
        <f>"DD2024103112894"</f>
        <v>DD2024103112894</v>
      </c>
      <c r="D501" s="1" t="str">
        <f>"CK2024103118740"</f>
        <v>CK2024103118740</v>
      </c>
      <c r="E501" s="1" t="str">
        <f>"3723673031381486592"</f>
        <v>3723673031381486592</v>
      </c>
      <c r="F501" s="1" t="str">
        <f t="shared" si="143"/>
        <v>花都四部-凤凰仓</v>
      </c>
      <c r="G501" s="1" t="str">
        <f t="shared" si="147"/>
        <v>卡卡杜企业店（视频号）</v>
      </c>
      <c r="H501" s="1" t="str">
        <f t="shared" si="144"/>
        <v>正常订单</v>
      </c>
      <c r="I501" s="1" t="str">
        <f t="shared" si="145"/>
        <v>已发货</v>
      </c>
      <c r="J501" s="1" t="str">
        <f t="shared" ref="J501:J504" si="156">"2"</f>
        <v>2</v>
      </c>
      <c r="K501" s="1">
        <v>2</v>
      </c>
      <c r="L501" s="1" t="s">
        <v>30</v>
      </c>
      <c r="M501" s="1" t="str">
        <f>"山东省 潍坊市 诸城市 "</f>
        <v xml:space="preserve">山东省 潍坊市 诸城市 </v>
      </c>
      <c r="N501" s="1" t="str">
        <f t="shared" si="155"/>
        <v>凡华云仓-城南圆通-微信视频号</v>
      </c>
      <c r="O501" s="5" t="s">
        <v>539</v>
      </c>
      <c r="P501" s="6">
        <v>0.17</v>
      </c>
      <c r="Q501" s="11">
        <v>2</v>
      </c>
      <c r="R501" s="11"/>
      <c r="S501" s="11"/>
      <c r="T501" s="11"/>
      <c r="U501" s="11">
        <f t="shared" si="146"/>
        <v>2</v>
      </c>
      <c r="W501">
        <v>2.2000000000000002</v>
      </c>
      <c r="X501" s="1" t="s">
        <v>30</v>
      </c>
    </row>
    <row r="502" spans="1:24" x14ac:dyDescent="0.25">
      <c r="A502" s="1" t="str">
        <f t="shared" si="142"/>
        <v>卡卡杜-凤凰仓</v>
      </c>
      <c r="B502" s="1" t="str">
        <f>"CK202410311754"</f>
        <v>CK202410311754</v>
      </c>
      <c r="C502" s="1" t="str">
        <f>"DD2024103112893"</f>
        <v>DD2024103112893</v>
      </c>
      <c r="D502" s="1" t="str">
        <f>"CK2024103118739"</f>
        <v>CK2024103118739</v>
      </c>
      <c r="E502" s="1" t="str">
        <f>"3723673030425449474"</f>
        <v>3723673030425449474</v>
      </c>
      <c r="F502" s="1" t="str">
        <f t="shared" si="143"/>
        <v>花都四部-凤凰仓</v>
      </c>
      <c r="G502" s="1" t="str">
        <f t="shared" si="147"/>
        <v>卡卡杜企业店（视频号）</v>
      </c>
      <c r="H502" s="1" t="str">
        <f t="shared" si="144"/>
        <v>正常订单</v>
      </c>
      <c r="I502" s="1" t="str">
        <f t="shared" si="145"/>
        <v>已发货</v>
      </c>
      <c r="J502" s="1" t="str">
        <f t="shared" si="156"/>
        <v>2</v>
      </c>
      <c r="K502" s="1">
        <v>2</v>
      </c>
      <c r="L502" s="1" t="s">
        <v>16</v>
      </c>
      <c r="M502" s="1" t="str">
        <f>"河北省 张家口市 桥西区 "</f>
        <v xml:space="preserve">河北省 张家口市 桥西区 </v>
      </c>
      <c r="N502" s="1" t="str">
        <f t="shared" si="155"/>
        <v>凡华云仓-城南圆通-微信视频号</v>
      </c>
      <c r="O502" s="5" t="s">
        <v>540</v>
      </c>
      <c r="P502" s="6">
        <v>0.17</v>
      </c>
      <c r="Q502" s="11">
        <v>2</v>
      </c>
      <c r="R502" s="11"/>
      <c r="S502" s="11"/>
      <c r="T502" s="11"/>
      <c r="U502" s="11">
        <f t="shared" si="146"/>
        <v>2</v>
      </c>
      <c r="W502">
        <v>2.2000000000000002</v>
      </c>
      <c r="X502" s="1" t="s">
        <v>16</v>
      </c>
    </row>
    <row r="503" spans="1:24" x14ac:dyDescent="0.25">
      <c r="A503" s="1" t="str">
        <f t="shared" si="142"/>
        <v>卡卡杜-凤凰仓</v>
      </c>
      <c r="B503" s="1" t="str">
        <f>"CK202410311755"</f>
        <v>CK202410311755</v>
      </c>
      <c r="C503" s="1" t="str">
        <f>"DD2024103112895"</f>
        <v>DD2024103112895</v>
      </c>
      <c r="D503" s="1" t="str">
        <f>"CK2024103118738"</f>
        <v>CK2024103118738</v>
      </c>
      <c r="E503" s="1" t="str">
        <f>"3723673028428173312"</f>
        <v>3723673028428173312</v>
      </c>
      <c r="F503" s="1" t="str">
        <f t="shared" si="143"/>
        <v>花都四部-凤凰仓</v>
      </c>
      <c r="G503" s="1" t="str">
        <f t="shared" si="147"/>
        <v>卡卡杜企业店（视频号）</v>
      </c>
      <c r="H503" s="1" t="str">
        <f t="shared" si="144"/>
        <v>正常订单</v>
      </c>
      <c r="I503" s="1" t="str">
        <f t="shared" si="145"/>
        <v>已发货</v>
      </c>
      <c r="J503" s="1" t="str">
        <f t="shared" si="156"/>
        <v>2</v>
      </c>
      <c r="K503" s="1">
        <v>2</v>
      </c>
      <c r="L503" s="1" t="s">
        <v>41</v>
      </c>
      <c r="M503" s="1" t="str">
        <f>"湖北省 武汉市 新洲区 "</f>
        <v xml:space="preserve">湖北省 武汉市 新洲区 </v>
      </c>
      <c r="N503" s="1" t="str">
        <f t="shared" si="155"/>
        <v>凡华云仓-城南圆通-微信视频号</v>
      </c>
      <c r="O503" s="5" t="s">
        <v>541</v>
      </c>
      <c r="P503" s="6">
        <v>0.17</v>
      </c>
      <c r="Q503" s="11">
        <v>2</v>
      </c>
      <c r="R503" s="11"/>
      <c r="S503" s="11"/>
      <c r="T503" s="11"/>
      <c r="U503" s="11">
        <f t="shared" si="146"/>
        <v>2</v>
      </c>
      <c r="W503">
        <v>2.2000000000000002</v>
      </c>
      <c r="X503" s="1" t="s">
        <v>41</v>
      </c>
    </row>
    <row r="504" spans="1:24" x14ac:dyDescent="0.25">
      <c r="A504" s="1" t="str">
        <f t="shared" si="142"/>
        <v>卡卡杜-凤凰仓</v>
      </c>
      <c r="B504" s="1" t="str">
        <f>"CK202410311756"</f>
        <v>CK202410311756</v>
      </c>
      <c r="C504" s="1" t="str">
        <f>"DD2024103112896"</f>
        <v>DD2024103112896</v>
      </c>
      <c r="D504" s="1" t="str">
        <f>"CK2024103118737"</f>
        <v>CK2024103118737</v>
      </c>
      <c r="E504" s="1" t="str">
        <f>"3723673028335373315"</f>
        <v>3723673028335373315</v>
      </c>
      <c r="F504" s="1" t="str">
        <f t="shared" si="143"/>
        <v>花都四部-凤凰仓</v>
      </c>
      <c r="G504" s="1" t="str">
        <f t="shared" si="147"/>
        <v>卡卡杜企业店（视频号）</v>
      </c>
      <c r="H504" s="1" t="str">
        <f t="shared" si="144"/>
        <v>正常订单</v>
      </c>
      <c r="I504" s="1" t="str">
        <f t="shared" si="145"/>
        <v>已发货</v>
      </c>
      <c r="J504" s="1" t="str">
        <f t="shared" si="156"/>
        <v>2</v>
      </c>
      <c r="K504" s="1">
        <v>2</v>
      </c>
      <c r="L504" s="1" t="s">
        <v>109</v>
      </c>
      <c r="M504" s="1" t="str">
        <f>"山西省 长治市 潞州区 "</f>
        <v xml:space="preserve">山西省 长治市 潞州区 </v>
      </c>
      <c r="N504" s="1" t="str">
        <f t="shared" si="155"/>
        <v>凡华云仓-城南圆通-微信视频号</v>
      </c>
      <c r="O504" s="5" t="s">
        <v>542</v>
      </c>
      <c r="P504" s="6">
        <v>0.17</v>
      </c>
      <c r="Q504" s="11">
        <v>2</v>
      </c>
      <c r="R504" s="11"/>
      <c r="S504" s="11"/>
      <c r="T504" s="11"/>
      <c r="U504" s="11">
        <f t="shared" si="146"/>
        <v>2</v>
      </c>
      <c r="W504">
        <v>2.2000000000000002</v>
      </c>
      <c r="X504" s="1" t="s">
        <v>109</v>
      </c>
    </row>
    <row r="505" spans="1:24" x14ac:dyDescent="0.25">
      <c r="A505" s="1" t="str">
        <f t="shared" si="142"/>
        <v>卡卡杜-凤凰仓</v>
      </c>
      <c r="B505" s="1" t="str">
        <f>"CK20241031144"</f>
        <v>CK20241031144</v>
      </c>
      <c r="C505" s="1" t="str">
        <f>"DD2024103112334"</f>
        <v>DD2024103112334</v>
      </c>
      <c r="D505" s="1" t="str">
        <f>"CK2024103118736"</f>
        <v>CK2024103118736</v>
      </c>
      <c r="E505" s="1" t="str">
        <f>"3723673028801725696"</f>
        <v>3723673028801725696</v>
      </c>
      <c r="F505" s="1" t="str">
        <f t="shared" si="143"/>
        <v>花都四部-凤凰仓</v>
      </c>
      <c r="G505" s="1" t="str">
        <f t="shared" si="147"/>
        <v>卡卡杜企业店（视频号）</v>
      </c>
      <c r="H505" s="1" t="str">
        <f t="shared" si="144"/>
        <v>正常订单</v>
      </c>
      <c r="I505" s="1" t="str">
        <f t="shared" si="145"/>
        <v>已发货</v>
      </c>
      <c r="J505" s="1" t="str">
        <f t="shared" ref="J505:J509" si="157">"3"</f>
        <v>3</v>
      </c>
      <c r="K505" s="1">
        <v>2</v>
      </c>
      <c r="L505" s="1" t="s">
        <v>105</v>
      </c>
      <c r="M505" s="1" t="str">
        <f>"北京 北京市 西城区 "</f>
        <v xml:space="preserve">北京 北京市 西城区 </v>
      </c>
      <c r="N505" s="1" t="str">
        <f t="shared" si="155"/>
        <v>凡华云仓-城南圆通-微信视频号</v>
      </c>
      <c r="O505" s="5" t="s">
        <v>543</v>
      </c>
      <c r="P505" s="6">
        <v>0.25</v>
      </c>
      <c r="Q505" s="11">
        <v>2</v>
      </c>
      <c r="R505" s="11"/>
      <c r="S505" s="11"/>
      <c r="T505" s="11"/>
      <c r="U505" s="11">
        <f t="shared" si="146"/>
        <v>2</v>
      </c>
      <c r="W505">
        <v>2.2000000000000002</v>
      </c>
      <c r="X505" s="1" t="s">
        <v>105</v>
      </c>
    </row>
    <row r="506" spans="1:24" x14ac:dyDescent="0.25">
      <c r="A506" s="1" t="str">
        <f t="shared" si="142"/>
        <v>卡卡杜-凤凰仓</v>
      </c>
      <c r="B506" s="1" t="str">
        <f>"CK20241031152"</f>
        <v>CK20241031152</v>
      </c>
      <c r="C506" s="1" t="str">
        <f>"DD2024103112352"</f>
        <v>DD2024103112352</v>
      </c>
      <c r="D506" s="1" t="str">
        <f>"CK2024103118735"</f>
        <v>CK2024103118735</v>
      </c>
      <c r="E506" s="1" t="str">
        <f>"3723673027141830144"</f>
        <v>3723673027141830144</v>
      </c>
      <c r="F506" s="1" t="str">
        <f t="shared" si="143"/>
        <v>花都四部-凤凰仓</v>
      </c>
      <c r="G506" s="1" t="str">
        <f t="shared" si="147"/>
        <v>卡卡杜企业店（视频号）</v>
      </c>
      <c r="H506" s="1" t="str">
        <f t="shared" si="144"/>
        <v>正常订单</v>
      </c>
      <c r="I506" s="1" t="str">
        <f t="shared" si="145"/>
        <v>已发货</v>
      </c>
      <c r="J506" s="1" t="str">
        <f t="shared" si="157"/>
        <v>3</v>
      </c>
      <c r="K506" s="1">
        <v>2</v>
      </c>
      <c r="L506" s="1" t="s">
        <v>22</v>
      </c>
      <c r="M506" s="1" t="str">
        <f>"江西省 新余市 渝水区 "</f>
        <v xml:space="preserve">江西省 新余市 渝水区 </v>
      </c>
      <c r="N506" s="1" t="str">
        <f t="shared" si="155"/>
        <v>凡华云仓-城南圆通-微信视频号</v>
      </c>
      <c r="O506" s="5" t="s">
        <v>544</v>
      </c>
      <c r="P506" s="6">
        <v>0.25</v>
      </c>
      <c r="Q506" s="11">
        <v>2</v>
      </c>
      <c r="R506" s="11"/>
      <c r="S506" s="11"/>
      <c r="T506" s="11"/>
      <c r="U506" s="11">
        <f t="shared" si="146"/>
        <v>2</v>
      </c>
      <c r="W506">
        <v>2.2000000000000002</v>
      </c>
      <c r="X506" s="1" t="s">
        <v>22</v>
      </c>
    </row>
    <row r="507" spans="1:24" x14ac:dyDescent="0.25">
      <c r="A507" s="1" t="str">
        <f t="shared" si="142"/>
        <v>卡卡杜-凤凰仓</v>
      </c>
      <c r="B507" s="1" t="str">
        <f>"CK202410311757"</f>
        <v>CK202410311757</v>
      </c>
      <c r="C507" s="1" t="str">
        <f>"DD2024103112897"</f>
        <v>DD2024103112897</v>
      </c>
      <c r="D507" s="1" t="str">
        <f>"CK2024103118734"</f>
        <v>CK2024103118734</v>
      </c>
      <c r="E507" s="1" t="str">
        <f>"3723673026799994112"</f>
        <v>3723673026799994112</v>
      </c>
      <c r="F507" s="1" t="str">
        <f t="shared" si="143"/>
        <v>花都四部-凤凰仓</v>
      </c>
      <c r="G507" s="1" t="str">
        <f t="shared" si="147"/>
        <v>卡卡杜企业店（视频号）</v>
      </c>
      <c r="H507" s="1" t="str">
        <f t="shared" si="144"/>
        <v>正常订单</v>
      </c>
      <c r="I507" s="1" t="str">
        <f t="shared" si="145"/>
        <v>已发货</v>
      </c>
      <c r="J507" s="1" t="str">
        <f t="shared" ref="J507:J512" si="158">"2"</f>
        <v>2</v>
      </c>
      <c r="K507" s="1">
        <v>2</v>
      </c>
      <c r="L507" s="1" t="s">
        <v>18</v>
      </c>
      <c r="M507" s="1" t="str">
        <f>"广东省 广州市 越秀区 "</f>
        <v xml:space="preserve">广东省 广州市 越秀区 </v>
      </c>
      <c r="N507" s="1" t="str">
        <f t="shared" si="155"/>
        <v>凡华云仓-城南圆通-微信视频号</v>
      </c>
      <c r="O507" s="5" t="s">
        <v>545</v>
      </c>
      <c r="P507" s="6">
        <v>0.17</v>
      </c>
      <c r="Q507" s="11">
        <v>2</v>
      </c>
      <c r="R507" s="11"/>
      <c r="S507" s="11"/>
      <c r="T507" s="11"/>
      <c r="U507" s="11">
        <f t="shared" si="146"/>
        <v>2</v>
      </c>
      <c r="W507">
        <v>2.2000000000000002</v>
      </c>
      <c r="X507" s="1" t="s">
        <v>18</v>
      </c>
    </row>
    <row r="508" spans="1:24" x14ac:dyDescent="0.25">
      <c r="A508" s="1" t="str">
        <f t="shared" si="142"/>
        <v>卡卡杜-凤凰仓</v>
      </c>
      <c r="B508" s="1" t="str">
        <f>"CK20241031235"</f>
        <v>CK20241031235</v>
      </c>
      <c r="C508" s="1" t="str">
        <f>"DD2024103112455"</f>
        <v>DD2024103112455</v>
      </c>
      <c r="D508" s="1" t="str">
        <f>"CK2024103118733"</f>
        <v>CK2024103118733</v>
      </c>
      <c r="E508" s="1" t="str">
        <f>"3723673026376897536"</f>
        <v>3723673026376897536</v>
      </c>
      <c r="F508" s="1" t="str">
        <f t="shared" si="143"/>
        <v>花都四部-凤凰仓</v>
      </c>
      <c r="G508" s="1" t="str">
        <f t="shared" si="147"/>
        <v>卡卡杜企业店（视频号）</v>
      </c>
      <c r="H508" s="1" t="str">
        <f t="shared" si="144"/>
        <v>正常订单</v>
      </c>
      <c r="I508" s="1" t="str">
        <f t="shared" si="145"/>
        <v>已发货</v>
      </c>
      <c r="J508" s="1" t="str">
        <f t="shared" si="157"/>
        <v>3</v>
      </c>
      <c r="K508" s="1">
        <v>2</v>
      </c>
      <c r="L508" s="1" t="s">
        <v>30</v>
      </c>
      <c r="M508" s="1" t="str">
        <f>"山东省 青岛市 黄岛区 "</f>
        <v xml:space="preserve">山东省 青岛市 黄岛区 </v>
      </c>
      <c r="N508" s="1" t="str">
        <f t="shared" si="155"/>
        <v>凡华云仓-城南圆通-微信视频号</v>
      </c>
      <c r="O508" s="5" t="s">
        <v>546</v>
      </c>
      <c r="P508" s="6">
        <v>0.25</v>
      </c>
      <c r="Q508" s="11">
        <v>2</v>
      </c>
      <c r="R508" s="11"/>
      <c r="S508" s="11"/>
      <c r="T508" s="11"/>
      <c r="U508" s="11">
        <f t="shared" si="146"/>
        <v>2</v>
      </c>
      <c r="W508">
        <v>2.2000000000000002</v>
      </c>
      <c r="X508" s="1" t="s">
        <v>30</v>
      </c>
    </row>
    <row r="509" spans="1:24" x14ac:dyDescent="0.25">
      <c r="A509" s="1" t="str">
        <f t="shared" si="142"/>
        <v>卡卡杜-凤凰仓</v>
      </c>
      <c r="B509" s="1" t="str">
        <f>"CK20241031156"</f>
        <v>CK20241031156</v>
      </c>
      <c r="C509" s="1" t="str">
        <f>"DD2024103112362"</f>
        <v>DD2024103112362</v>
      </c>
      <c r="D509" s="1" t="str">
        <f>"CK2024103118732"</f>
        <v>CK2024103118732</v>
      </c>
      <c r="E509" s="1" t="str">
        <f>"3723673026950204417"</f>
        <v>3723673026950204417</v>
      </c>
      <c r="F509" s="1" t="str">
        <f t="shared" si="143"/>
        <v>花都四部-凤凰仓</v>
      </c>
      <c r="G509" s="1" t="str">
        <f t="shared" si="147"/>
        <v>卡卡杜企业店（视频号）</v>
      </c>
      <c r="H509" s="1" t="str">
        <f t="shared" si="144"/>
        <v>正常订单</v>
      </c>
      <c r="I509" s="1" t="str">
        <f t="shared" si="145"/>
        <v>已发货</v>
      </c>
      <c r="J509" s="1" t="str">
        <f t="shared" si="157"/>
        <v>3</v>
      </c>
      <c r="K509" s="1">
        <v>2</v>
      </c>
      <c r="L509" s="1" t="s">
        <v>105</v>
      </c>
      <c r="M509" s="1" t="str">
        <f>"北京 北京市 海淀区 "</f>
        <v xml:space="preserve">北京 北京市 海淀区 </v>
      </c>
      <c r="N509" s="1" t="str">
        <f t="shared" si="155"/>
        <v>凡华云仓-城南圆通-微信视频号</v>
      </c>
      <c r="O509" s="5" t="s">
        <v>547</v>
      </c>
      <c r="P509" s="6">
        <v>0.25</v>
      </c>
      <c r="Q509" s="11">
        <v>2</v>
      </c>
      <c r="R509" s="11"/>
      <c r="S509" s="11"/>
      <c r="T509" s="11"/>
      <c r="U509" s="11">
        <f t="shared" si="146"/>
        <v>2</v>
      </c>
      <c r="W509">
        <v>2.2000000000000002</v>
      </c>
      <c r="X509" s="1" t="s">
        <v>105</v>
      </c>
    </row>
    <row r="510" spans="1:24" x14ac:dyDescent="0.25">
      <c r="A510" s="1" t="str">
        <f t="shared" si="142"/>
        <v>卡卡杜-凤凰仓</v>
      </c>
      <c r="B510" s="1" t="str">
        <f>"CK202410311758"</f>
        <v>CK202410311758</v>
      </c>
      <c r="C510" s="1" t="str">
        <f>"DD2024103112898"</f>
        <v>DD2024103112898</v>
      </c>
      <c r="D510" s="1" t="str">
        <f>"CK2024103118731"</f>
        <v>CK2024103118731</v>
      </c>
      <c r="E510" s="1" t="str">
        <f>"3723673026630389760"</f>
        <v>3723673026630389760</v>
      </c>
      <c r="F510" s="1" t="str">
        <f t="shared" si="143"/>
        <v>花都四部-凤凰仓</v>
      </c>
      <c r="G510" s="1" t="str">
        <f t="shared" si="147"/>
        <v>卡卡杜企业店（视频号）</v>
      </c>
      <c r="H510" s="1" t="str">
        <f t="shared" si="144"/>
        <v>正常订单</v>
      </c>
      <c r="I510" s="1" t="str">
        <f t="shared" si="145"/>
        <v>已发货</v>
      </c>
      <c r="J510" s="1" t="str">
        <f t="shared" si="158"/>
        <v>2</v>
      </c>
      <c r="K510" s="1">
        <v>2</v>
      </c>
      <c r="L510" s="1" t="s">
        <v>92</v>
      </c>
      <c r="M510" s="1" t="str">
        <f>"辽宁省 大连市 甘井子区 "</f>
        <v xml:space="preserve">辽宁省 大连市 甘井子区 </v>
      </c>
      <c r="N510" s="1" t="str">
        <f t="shared" si="155"/>
        <v>凡华云仓-城南圆通-微信视频号</v>
      </c>
      <c r="O510" s="5" t="s">
        <v>548</v>
      </c>
      <c r="P510" s="6">
        <v>0.17</v>
      </c>
      <c r="Q510" s="11">
        <v>2</v>
      </c>
      <c r="R510" s="11"/>
      <c r="S510" s="11"/>
      <c r="T510" s="11"/>
      <c r="U510" s="11">
        <f t="shared" si="146"/>
        <v>2</v>
      </c>
      <c r="W510">
        <v>2.2000000000000002</v>
      </c>
      <c r="X510" s="1" t="s">
        <v>92</v>
      </c>
    </row>
    <row r="511" spans="1:24" x14ac:dyDescent="0.25">
      <c r="A511" s="1" t="str">
        <f t="shared" si="142"/>
        <v>卡卡杜-凤凰仓</v>
      </c>
      <c r="B511" s="1" t="str">
        <f>"CK202410311759"</f>
        <v>CK202410311759</v>
      </c>
      <c r="C511" s="1" t="str">
        <f>"DD2024103112899"</f>
        <v>DD2024103112899</v>
      </c>
      <c r="D511" s="1" t="str">
        <f>"CK2024103118730"</f>
        <v>CK2024103118730</v>
      </c>
      <c r="E511" s="1" t="str">
        <f>"3723673026772993280"</f>
        <v>3723673026772993280</v>
      </c>
      <c r="F511" s="1" t="str">
        <f t="shared" si="143"/>
        <v>花都四部-凤凰仓</v>
      </c>
      <c r="G511" s="1" t="str">
        <f t="shared" si="147"/>
        <v>卡卡杜企业店（视频号）</v>
      </c>
      <c r="H511" s="1" t="str">
        <f t="shared" si="144"/>
        <v>正常订单</v>
      </c>
      <c r="I511" s="1" t="str">
        <f t="shared" si="145"/>
        <v>已发货</v>
      </c>
      <c r="J511" s="1" t="str">
        <f t="shared" si="158"/>
        <v>2</v>
      </c>
      <c r="K511" s="1">
        <v>2</v>
      </c>
      <c r="L511" s="1" t="s">
        <v>20</v>
      </c>
      <c r="M511" s="1" t="str">
        <f>"浙江省 嘉兴市 南湖区 "</f>
        <v xml:space="preserve">浙江省 嘉兴市 南湖区 </v>
      </c>
      <c r="N511" s="1" t="str">
        <f t="shared" si="155"/>
        <v>凡华云仓-城南圆通-微信视频号</v>
      </c>
      <c r="O511" s="5" t="s">
        <v>549</v>
      </c>
      <c r="P511" s="6">
        <v>0.17</v>
      </c>
      <c r="Q511" s="11">
        <v>2</v>
      </c>
      <c r="R511" s="11"/>
      <c r="S511" s="11"/>
      <c r="T511" s="11"/>
      <c r="U511" s="11">
        <f t="shared" si="146"/>
        <v>2</v>
      </c>
      <c r="W511">
        <v>2.2000000000000002</v>
      </c>
      <c r="X511" s="1" t="s">
        <v>20</v>
      </c>
    </row>
    <row r="512" spans="1:24" x14ac:dyDescent="0.25">
      <c r="A512" s="1" t="str">
        <f t="shared" si="142"/>
        <v>卡卡杜-凤凰仓</v>
      </c>
      <c r="B512" s="1" t="str">
        <f>"CK202410311760"</f>
        <v>CK202410311760</v>
      </c>
      <c r="C512" s="1" t="str">
        <f>"DD2024103112900"</f>
        <v>DD2024103112900</v>
      </c>
      <c r="D512" s="1" t="str">
        <f>"CK2024103118729"</f>
        <v>CK2024103118729</v>
      </c>
      <c r="E512" s="1" t="str">
        <f>"3723673025268548864"</f>
        <v>3723673025268548864</v>
      </c>
      <c r="F512" s="1" t="str">
        <f t="shared" si="143"/>
        <v>花都四部-凤凰仓</v>
      </c>
      <c r="G512" s="1" t="str">
        <f t="shared" si="147"/>
        <v>卡卡杜企业店（视频号）</v>
      </c>
      <c r="H512" s="1" t="str">
        <f t="shared" si="144"/>
        <v>正常订单</v>
      </c>
      <c r="I512" s="1" t="str">
        <f t="shared" si="145"/>
        <v>已发货</v>
      </c>
      <c r="J512" s="1" t="str">
        <f t="shared" si="158"/>
        <v>2</v>
      </c>
      <c r="K512" s="1">
        <v>2</v>
      </c>
      <c r="L512" s="1" t="s">
        <v>20</v>
      </c>
      <c r="M512" s="1" t="str">
        <f>"浙江省 杭州市 拱墅区 "</f>
        <v xml:space="preserve">浙江省 杭州市 拱墅区 </v>
      </c>
      <c r="N512" s="1" t="str">
        <f t="shared" si="155"/>
        <v>凡华云仓-城南圆通-微信视频号</v>
      </c>
      <c r="O512" s="5" t="s">
        <v>550</v>
      </c>
      <c r="P512" s="6">
        <v>0.17</v>
      </c>
      <c r="Q512" s="11">
        <v>2</v>
      </c>
      <c r="R512" s="11"/>
      <c r="S512" s="11"/>
      <c r="T512" s="11"/>
      <c r="U512" s="11">
        <f t="shared" si="146"/>
        <v>2</v>
      </c>
      <c r="W512">
        <v>2.2000000000000002</v>
      </c>
      <c r="X512" s="1" t="s">
        <v>20</v>
      </c>
    </row>
    <row r="513" spans="1:24" x14ac:dyDescent="0.25">
      <c r="A513" s="1" t="str">
        <f t="shared" si="142"/>
        <v>卡卡杜-凤凰仓</v>
      </c>
      <c r="B513" s="1" t="str">
        <f>"CK20241031159"</f>
        <v>CK20241031159</v>
      </c>
      <c r="C513" s="1" t="str">
        <f>"DD2024103112368"</f>
        <v>DD2024103112368</v>
      </c>
      <c r="D513" s="1" t="str">
        <f>"CK2024103118728"</f>
        <v>CK2024103118728</v>
      </c>
      <c r="E513" s="1" t="str">
        <f>"3723673024859608064"</f>
        <v>3723673024859608064</v>
      </c>
      <c r="F513" s="1" t="str">
        <f t="shared" si="143"/>
        <v>花都四部-凤凰仓</v>
      </c>
      <c r="G513" s="1" t="str">
        <f t="shared" si="147"/>
        <v>卡卡杜企业店（视频号）</v>
      </c>
      <c r="H513" s="1" t="str">
        <f t="shared" si="144"/>
        <v>正常订单</v>
      </c>
      <c r="I513" s="1" t="str">
        <f t="shared" si="145"/>
        <v>已发货</v>
      </c>
      <c r="J513" s="1" t="str">
        <f>"3"</f>
        <v>3</v>
      </c>
      <c r="K513" s="1">
        <v>2</v>
      </c>
      <c r="L513" s="1" t="s">
        <v>13</v>
      </c>
      <c r="M513" s="1" t="str">
        <f>"江苏省 南京市 鼓楼区 "</f>
        <v xml:space="preserve">江苏省 南京市 鼓楼区 </v>
      </c>
      <c r="N513" s="1" t="str">
        <f t="shared" si="155"/>
        <v>凡华云仓-城南圆通-微信视频号</v>
      </c>
      <c r="O513" s="5" t="s">
        <v>551</v>
      </c>
      <c r="P513" s="6">
        <v>0.25</v>
      </c>
      <c r="Q513" s="11">
        <v>2</v>
      </c>
      <c r="R513" s="11"/>
      <c r="S513" s="11"/>
      <c r="T513" s="11"/>
      <c r="U513" s="11">
        <f t="shared" si="146"/>
        <v>2</v>
      </c>
      <c r="W513">
        <v>2.2000000000000002</v>
      </c>
      <c r="X513" s="1" t="s">
        <v>13</v>
      </c>
    </row>
    <row r="514" spans="1:24" x14ac:dyDescent="0.25">
      <c r="A514" s="1" t="str">
        <f t="shared" ref="A514:A577" si="159">"卡卡杜-凤凰仓"</f>
        <v>卡卡杜-凤凰仓</v>
      </c>
      <c r="B514" s="1" t="str">
        <f>"CK202410311767"</f>
        <v>CK202410311767</v>
      </c>
      <c r="C514" s="1" t="str">
        <f>"DD2024103112906"</f>
        <v>DD2024103112906</v>
      </c>
      <c r="D514" s="1" t="str">
        <f>"CK2024103118727"</f>
        <v>CK2024103118727</v>
      </c>
      <c r="E514" s="1" t="str">
        <f>"3723673021369943552"</f>
        <v>3723673021369943552</v>
      </c>
      <c r="F514" s="1" t="str">
        <f t="shared" ref="F514:F577" si="160">"花都四部-凤凰仓"</f>
        <v>花都四部-凤凰仓</v>
      </c>
      <c r="G514" s="1" t="str">
        <f t="shared" si="147"/>
        <v>卡卡杜企业店（视频号）</v>
      </c>
      <c r="H514" s="1" t="str">
        <f t="shared" ref="H514:H577" si="161">"正常订单"</f>
        <v>正常订单</v>
      </c>
      <c r="I514" s="1" t="str">
        <f t="shared" ref="I514:I577" si="162">"已发货"</f>
        <v>已发货</v>
      </c>
      <c r="J514" s="1" t="str">
        <f t="shared" ref="J514:J517" si="163">"2"</f>
        <v>2</v>
      </c>
      <c r="K514" s="1">
        <v>2</v>
      </c>
      <c r="L514" s="1" t="s">
        <v>20</v>
      </c>
      <c r="M514" s="1" t="str">
        <f>"浙江省 嘉兴市 平湖市 "</f>
        <v xml:space="preserve">浙江省 嘉兴市 平湖市 </v>
      </c>
      <c r="N514" s="1" t="str">
        <f t="shared" si="155"/>
        <v>凡华云仓-城南圆通-微信视频号</v>
      </c>
      <c r="O514" s="5" t="s">
        <v>552</v>
      </c>
      <c r="P514" s="6">
        <v>0.17</v>
      </c>
      <c r="Q514" s="11">
        <v>2</v>
      </c>
      <c r="R514" s="11"/>
      <c r="S514" s="11"/>
      <c r="T514" s="11"/>
      <c r="U514" s="11">
        <f t="shared" si="146"/>
        <v>2</v>
      </c>
      <c r="W514">
        <v>2.2000000000000002</v>
      </c>
      <c r="X514" s="1" t="s">
        <v>20</v>
      </c>
    </row>
    <row r="515" spans="1:24" x14ac:dyDescent="0.25">
      <c r="A515" s="1" t="str">
        <f t="shared" si="159"/>
        <v>卡卡杜-凤凰仓</v>
      </c>
      <c r="B515" s="1" t="str">
        <f>"CK202410311761"</f>
        <v>CK202410311761</v>
      </c>
      <c r="C515" s="1" t="str">
        <f>"DD2024103112901"</f>
        <v>DD2024103112901</v>
      </c>
      <c r="D515" s="1" t="str">
        <f>"CK2024103118726"</f>
        <v>CK2024103118726</v>
      </c>
      <c r="E515" s="1" t="str">
        <f>"3723673024904430849"</f>
        <v>3723673024904430849</v>
      </c>
      <c r="F515" s="1" t="str">
        <f t="shared" si="160"/>
        <v>花都四部-凤凰仓</v>
      </c>
      <c r="G515" s="1" t="str">
        <f t="shared" si="147"/>
        <v>卡卡杜企业店（视频号）</v>
      </c>
      <c r="H515" s="1" t="str">
        <f t="shared" si="161"/>
        <v>正常订单</v>
      </c>
      <c r="I515" s="1" t="str">
        <f t="shared" si="162"/>
        <v>已发货</v>
      </c>
      <c r="J515" s="1" t="str">
        <f t="shared" si="163"/>
        <v>2</v>
      </c>
      <c r="K515" s="1">
        <v>2</v>
      </c>
      <c r="L515" s="1" t="s">
        <v>187</v>
      </c>
      <c r="M515" s="1" t="str">
        <f>"吉林省 长春市 长春经济技术开发区 "</f>
        <v xml:space="preserve">吉林省 长春市 长春经济技术开发区 </v>
      </c>
      <c r="N515" s="1" t="str">
        <f t="shared" si="155"/>
        <v>凡华云仓-城南圆通-微信视频号</v>
      </c>
      <c r="O515" s="5" t="s">
        <v>553</v>
      </c>
      <c r="P515" s="6">
        <v>0.17</v>
      </c>
      <c r="Q515" s="11">
        <v>2</v>
      </c>
      <c r="R515" s="11"/>
      <c r="S515" s="11"/>
      <c r="T515" s="11"/>
      <c r="U515" s="11">
        <f t="shared" ref="U515:U578" si="164">T515+S515+R515+Q515</f>
        <v>2</v>
      </c>
      <c r="W515">
        <v>2.2000000000000002</v>
      </c>
      <c r="X515" s="1" t="s">
        <v>187</v>
      </c>
    </row>
    <row r="516" spans="1:24" x14ac:dyDescent="0.25">
      <c r="A516" s="1" t="str">
        <f t="shared" si="159"/>
        <v>卡卡杜-凤凰仓</v>
      </c>
      <c r="B516" s="1" t="str">
        <f>"CK202410311762"</f>
        <v>CK202410311762</v>
      </c>
      <c r="C516" s="1" t="str">
        <f>"DD2024103112902"</f>
        <v>DD2024103112902</v>
      </c>
      <c r="D516" s="1" t="str">
        <f>"CK2024103118725"</f>
        <v>CK2024103118725</v>
      </c>
      <c r="E516" s="1" t="str">
        <f>"3723673024513836544"</f>
        <v>3723673024513836544</v>
      </c>
      <c r="F516" s="1" t="str">
        <f t="shared" si="160"/>
        <v>花都四部-凤凰仓</v>
      </c>
      <c r="G516" s="1" t="str">
        <f t="shared" si="147"/>
        <v>卡卡杜企业店（视频号）</v>
      </c>
      <c r="H516" s="1" t="str">
        <f t="shared" si="161"/>
        <v>正常订单</v>
      </c>
      <c r="I516" s="1" t="str">
        <f t="shared" si="162"/>
        <v>已发货</v>
      </c>
      <c r="J516" s="1" t="str">
        <f t="shared" si="163"/>
        <v>2</v>
      </c>
      <c r="K516" s="1">
        <v>2</v>
      </c>
      <c r="L516" s="1" t="s">
        <v>94</v>
      </c>
      <c r="M516" s="1" t="str">
        <f>"湖南省 长沙市 雨花区 "</f>
        <v xml:space="preserve">湖南省 长沙市 雨花区 </v>
      </c>
      <c r="N516" s="1" t="str">
        <f t="shared" si="155"/>
        <v>凡华云仓-城南圆通-微信视频号</v>
      </c>
      <c r="O516" s="5" t="s">
        <v>554</v>
      </c>
      <c r="P516" s="6">
        <v>0.17</v>
      </c>
      <c r="Q516" s="11">
        <v>2</v>
      </c>
      <c r="R516" s="11"/>
      <c r="S516" s="11"/>
      <c r="T516" s="11"/>
      <c r="U516" s="11">
        <f t="shared" si="164"/>
        <v>2</v>
      </c>
      <c r="W516">
        <v>2.2000000000000002</v>
      </c>
      <c r="X516" s="1" t="s">
        <v>94</v>
      </c>
    </row>
    <row r="517" spans="1:24" x14ac:dyDescent="0.25">
      <c r="A517" s="1" t="str">
        <f t="shared" si="159"/>
        <v>卡卡杜-凤凰仓</v>
      </c>
      <c r="B517" s="1" t="str">
        <f>"CK202410311765"</f>
        <v>CK202410311765</v>
      </c>
      <c r="C517" s="1" t="str">
        <f>"DD2024103112905"</f>
        <v>DD2024103112905</v>
      </c>
      <c r="D517" s="1" t="str">
        <f>"CK2024103118724"</f>
        <v>CK2024103118724</v>
      </c>
      <c r="E517" s="1" t="str">
        <f>"3723673023860049409"</f>
        <v>3723673023860049409</v>
      </c>
      <c r="F517" s="1" t="str">
        <f t="shared" si="160"/>
        <v>花都四部-凤凰仓</v>
      </c>
      <c r="G517" s="1" t="str">
        <f t="shared" si="147"/>
        <v>卡卡杜企业店（视频号）</v>
      </c>
      <c r="H517" s="1" t="str">
        <f t="shared" si="161"/>
        <v>正常订单</v>
      </c>
      <c r="I517" s="1" t="str">
        <f t="shared" si="162"/>
        <v>已发货</v>
      </c>
      <c r="J517" s="1" t="str">
        <f t="shared" si="163"/>
        <v>2</v>
      </c>
      <c r="K517" s="1">
        <v>2</v>
      </c>
      <c r="L517" s="1" t="s">
        <v>13</v>
      </c>
      <c r="M517" s="1" t="str">
        <f>"江苏省 苏州市 苏州工业园区 "</f>
        <v xml:space="preserve">江苏省 苏州市 苏州工业园区 </v>
      </c>
      <c r="N517" s="1" t="str">
        <f t="shared" si="155"/>
        <v>凡华云仓-城南圆通-微信视频号</v>
      </c>
      <c r="O517" s="5" t="s">
        <v>555</v>
      </c>
      <c r="P517" s="6">
        <v>0.17</v>
      </c>
      <c r="Q517" s="11">
        <v>2</v>
      </c>
      <c r="R517" s="11"/>
      <c r="S517" s="11"/>
      <c r="T517" s="11"/>
      <c r="U517" s="11">
        <f t="shared" si="164"/>
        <v>2</v>
      </c>
      <c r="W517">
        <v>2.2000000000000002</v>
      </c>
      <c r="X517" s="1" t="s">
        <v>13</v>
      </c>
    </row>
    <row r="518" spans="1:24" x14ac:dyDescent="0.25">
      <c r="A518" s="1" t="str">
        <f t="shared" si="159"/>
        <v>卡卡杜-凤凰仓</v>
      </c>
      <c r="B518" s="1" t="str">
        <f>"CK20241031148"</f>
        <v>CK20241031148</v>
      </c>
      <c r="C518" s="1" t="str">
        <f>"DD2024103112343"</f>
        <v>DD2024103112343</v>
      </c>
      <c r="D518" s="1" t="str">
        <f>"CK2024103118723"</f>
        <v>CK2024103118723</v>
      </c>
      <c r="E518" s="1" t="str">
        <f>"3723673023081747456"</f>
        <v>3723673023081747456</v>
      </c>
      <c r="F518" s="1" t="str">
        <f t="shared" si="160"/>
        <v>花都四部-凤凰仓</v>
      </c>
      <c r="G518" s="1" t="str">
        <f t="shared" si="147"/>
        <v>卡卡杜企业店（视频号）</v>
      </c>
      <c r="H518" s="1" t="str">
        <f t="shared" si="161"/>
        <v>正常订单</v>
      </c>
      <c r="I518" s="1" t="str">
        <f t="shared" si="162"/>
        <v>已发货</v>
      </c>
      <c r="J518" s="1" t="str">
        <f>"3"</f>
        <v>3</v>
      </c>
      <c r="K518" s="1">
        <v>2</v>
      </c>
      <c r="L518" s="1" t="s">
        <v>92</v>
      </c>
      <c r="M518" s="1" t="str">
        <f>"辽宁省 大连市 金州区 "</f>
        <v xml:space="preserve">辽宁省 大连市 金州区 </v>
      </c>
      <c r="N518" s="1" t="str">
        <f t="shared" si="155"/>
        <v>凡华云仓-城南圆通-微信视频号</v>
      </c>
      <c r="O518" s="5" t="s">
        <v>556</v>
      </c>
      <c r="P518" s="6">
        <v>0.25</v>
      </c>
      <c r="Q518" s="11">
        <v>2</v>
      </c>
      <c r="R518" s="11"/>
      <c r="S518" s="11"/>
      <c r="T518" s="11"/>
      <c r="U518" s="11">
        <f t="shared" si="164"/>
        <v>2</v>
      </c>
      <c r="W518">
        <v>2.2000000000000002</v>
      </c>
      <c r="X518" s="1" t="s">
        <v>92</v>
      </c>
    </row>
    <row r="519" spans="1:24" x14ac:dyDescent="0.25">
      <c r="A519" s="1" t="str">
        <f t="shared" si="159"/>
        <v>卡卡杜-凤凰仓</v>
      </c>
      <c r="B519" s="1" t="str">
        <f>"CK202410311763"</f>
        <v>CK202410311763</v>
      </c>
      <c r="C519" s="1" t="str">
        <f>"DD2024103112903"</f>
        <v>DD2024103112903</v>
      </c>
      <c r="D519" s="1" t="str">
        <f>"CK2024103118722"</f>
        <v>CK2024103118722</v>
      </c>
      <c r="E519" s="1" t="str">
        <f>"3723673025185449472"</f>
        <v>3723673025185449472</v>
      </c>
      <c r="F519" s="1" t="str">
        <f t="shared" si="160"/>
        <v>花都四部-凤凰仓</v>
      </c>
      <c r="G519" s="1" t="str">
        <f t="shared" si="147"/>
        <v>卡卡杜企业店（视频号）</v>
      </c>
      <c r="H519" s="1" t="str">
        <f t="shared" si="161"/>
        <v>正常订单</v>
      </c>
      <c r="I519" s="1" t="str">
        <f t="shared" si="162"/>
        <v>已发货</v>
      </c>
      <c r="J519" s="1" t="str">
        <f t="shared" ref="J519:J523" si="165">"2"</f>
        <v>2</v>
      </c>
      <c r="K519" s="1">
        <v>2</v>
      </c>
      <c r="L519" s="1" t="s">
        <v>18</v>
      </c>
      <c r="M519" s="1" t="str">
        <f>"广东省 深圳市 龙华区 "</f>
        <v xml:space="preserve">广东省 深圳市 龙华区 </v>
      </c>
      <c r="N519" s="1" t="str">
        <f t="shared" si="155"/>
        <v>凡华云仓-城南圆通-微信视频号</v>
      </c>
      <c r="O519" s="5" t="s">
        <v>557</v>
      </c>
      <c r="P519" s="6">
        <v>0.17</v>
      </c>
      <c r="Q519" s="11">
        <v>2</v>
      </c>
      <c r="R519" s="11"/>
      <c r="S519" s="11"/>
      <c r="T519" s="11"/>
      <c r="U519" s="11">
        <f t="shared" si="164"/>
        <v>2</v>
      </c>
      <c r="W519">
        <v>2.2000000000000002</v>
      </c>
      <c r="X519" s="1" t="s">
        <v>18</v>
      </c>
    </row>
    <row r="520" spans="1:24" x14ac:dyDescent="0.25">
      <c r="A520" s="1" t="str">
        <f t="shared" si="159"/>
        <v>卡卡杜-凤凰仓</v>
      </c>
      <c r="B520" s="1" t="str">
        <f>"CK202410311764"</f>
        <v>CK202410311764</v>
      </c>
      <c r="C520" s="1" t="str">
        <f>"DD2024103112904"</f>
        <v>DD2024103112904</v>
      </c>
      <c r="D520" s="1" t="str">
        <f>"CK2024103118721"</f>
        <v>CK2024103118721</v>
      </c>
      <c r="E520" s="1" t="str">
        <f>"3723673023027480064"</f>
        <v>3723673023027480064</v>
      </c>
      <c r="F520" s="1" t="str">
        <f t="shared" si="160"/>
        <v>花都四部-凤凰仓</v>
      </c>
      <c r="G520" s="1" t="str">
        <f t="shared" si="147"/>
        <v>卡卡杜企业店（视频号）</v>
      </c>
      <c r="H520" s="1" t="str">
        <f t="shared" si="161"/>
        <v>正常订单</v>
      </c>
      <c r="I520" s="1" t="str">
        <f t="shared" si="162"/>
        <v>已发货</v>
      </c>
      <c r="J520" s="1" t="str">
        <f t="shared" si="165"/>
        <v>2</v>
      </c>
      <c r="K520" s="1">
        <v>2</v>
      </c>
      <c r="L520" s="1" t="s">
        <v>27</v>
      </c>
      <c r="M520" s="1" t="str">
        <f>"贵州省 贵阳市 云岩区 "</f>
        <v xml:space="preserve">贵州省 贵阳市 云岩区 </v>
      </c>
      <c r="N520" s="1" t="str">
        <f t="shared" si="155"/>
        <v>凡华云仓-城南圆通-微信视频号</v>
      </c>
      <c r="O520" s="5" t="s">
        <v>558</v>
      </c>
      <c r="P520" s="6">
        <v>0.17</v>
      </c>
      <c r="Q520" s="11">
        <v>2</v>
      </c>
      <c r="R520" s="11"/>
      <c r="S520" s="11"/>
      <c r="T520" s="11"/>
      <c r="U520" s="11">
        <f t="shared" si="164"/>
        <v>2</v>
      </c>
      <c r="W520">
        <v>2.2000000000000002</v>
      </c>
      <c r="X520" s="1" t="s">
        <v>27</v>
      </c>
    </row>
    <row r="521" spans="1:24" x14ac:dyDescent="0.25">
      <c r="A521" s="1" t="str">
        <f t="shared" si="159"/>
        <v>卡卡杜-凤凰仓</v>
      </c>
      <c r="B521" s="1" t="str">
        <f>"CK20241031127"</f>
        <v>CK20241031127</v>
      </c>
      <c r="C521" s="1" t="str">
        <f>"DD2024103112290"</f>
        <v>DD2024103112290</v>
      </c>
      <c r="D521" s="1" t="str">
        <f>"CK2024103118720"</f>
        <v>CK2024103118720</v>
      </c>
      <c r="E521" s="1" t="str">
        <f>"3723673022620635136"</f>
        <v>3723673022620635136</v>
      </c>
      <c r="F521" s="1" t="str">
        <f t="shared" si="160"/>
        <v>花都四部-凤凰仓</v>
      </c>
      <c r="G521" s="1" t="str">
        <f t="shared" si="147"/>
        <v>卡卡杜企业店（视频号）</v>
      </c>
      <c r="H521" s="1" t="str">
        <f t="shared" si="161"/>
        <v>正常订单</v>
      </c>
      <c r="I521" s="1" t="str">
        <f t="shared" si="162"/>
        <v>已发货</v>
      </c>
      <c r="J521" s="1" t="str">
        <f>"3"</f>
        <v>3</v>
      </c>
      <c r="K521" s="1">
        <v>2</v>
      </c>
      <c r="L521" s="1" t="s">
        <v>218</v>
      </c>
      <c r="M521" s="1" t="str">
        <f>"天津 天津市 河东区 "</f>
        <v xml:space="preserve">天津 天津市 河东区 </v>
      </c>
      <c r="N521" s="1" t="str">
        <f t="shared" si="155"/>
        <v>凡华云仓-城南圆通-微信视频号</v>
      </c>
      <c r="O521" s="5" t="s">
        <v>559</v>
      </c>
      <c r="P521" s="6">
        <v>0.25</v>
      </c>
      <c r="Q521" s="11">
        <v>2</v>
      </c>
      <c r="R521" s="11"/>
      <c r="S521" s="11"/>
      <c r="T521" s="11"/>
      <c r="U521" s="11">
        <f t="shared" si="164"/>
        <v>2</v>
      </c>
      <c r="W521">
        <v>2.2000000000000002</v>
      </c>
      <c r="X521" s="1" t="s">
        <v>218</v>
      </c>
    </row>
    <row r="522" spans="1:24" x14ac:dyDescent="0.25">
      <c r="A522" s="1" t="str">
        <f t="shared" si="159"/>
        <v>卡卡杜-凤凰仓</v>
      </c>
      <c r="B522" s="1" t="str">
        <f>"CK202410311766"</f>
        <v>CK202410311766</v>
      </c>
      <c r="C522" s="1" t="str">
        <f>"DD2024103112907"</f>
        <v>DD2024103112907</v>
      </c>
      <c r="D522" s="1" t="str">
        <f>"CK2024103118719"</f>
        <v>CK2024103118719</v>
      </c>
      <c r="E522" s="1" t="str">
        <f>"3723673020233288704"</f>
        <v>3723673020233288704</v>
      </c>
      <c r="F522" s="1" t="str">
        <f t="shared" si="160"/>
        <v>花都四部-凤凰仓</v>
      </c>
      <c r="G522" s="1" t="str">
        <f t="shared" si="147"/>
        <v>卡卡杜企业店（视频号）</v>
      </c>
      <c r="H522" s="1" t="str">
        <f t="shared" si="161"/>
        <v>正常订单</v>
      </c>
      <c r="I522" s="1" t="str">
        <f t="shared" si="162"/>
        <v>已发货</v>
      </c>
      <c r="J522" s="1" t="str">
        <f t="shared" si="165"/>
        <v>2</v>
      </c>
      <c r="K522" s="1">
        <v>2</v>
      </c>
      <c r="L522" s="1" t="s">
        <v>218</v>
      </c>
      <c r="M522" s="1" t="str">
        <f>"天津 天津市 南开区 "</f>
        <v xml:space="preserve">天津 天津市 南开区 </v>
      </c>
      <c r="N522" s="1" t="str">
        <f t="shared" si="155"/>
        <v>凡华云仓-城南圆通-微信视频号</v>
      </c>
      <c r="O522" s="5" t="s">
        <v>560</v>
      </c>
      <c r="P522" s="6">
        <v>0.17</v>
      </c>
      <c r="Q522" s="11">
        <v>2</v>
      </c>
      <c r="R522" s="11"/>
      <c r="S522" s="11"/>
      <c r="T522" s="11"/>
      <c r="U522" s="11">
        <f t="shared" si="164"/>
        <v>2</v>
      </c>
      <c r="W522">
        <v>2.2000000000000002</v>
      </c>
      <c r="X522" s="1" t="s">
        <v>218</v>
      </c>
    </row>
    <row r="523" spans="1:24" x14ac:dyDescent="0.25">
      <c r="A523" s="1" t="str">
        <f t="shared" si="159"/>
        <v>卡卡杜-凤凰仓</v>
      </c>
      <c r="B523" s="1" t="str">
        <f>"CK202410311768"</f>
        <v>CK202410311768</v>
      </c>
      <c r="C523" s="1" t="str">
        <f>"DD2024103112908"</f>
        <v>DD2024103112908</v>
      </c>
      <c r="D523" s="1" t="str">
        <f>"CK2024103118718"</f>
        <v>CK2024103118718</v>
      </c>
      <c r="E523" s="1" t="str">
        <f>"3723673017276567552"</f>
        <v>3723673017276567552</v>
      </c>
      <c r="F523" s="1" t="str">
        <f t="shared" si="160"/>
        <v>花都四部-凤凰仓</v>
      </c>
      <c r="G523" s="1" t="str">
        <f t="shared" ref="G523:G586" si="166">"卡卡杜企业店（视频号）"</f>
        <v>卡卡杜企业店（视频号）</v>
      </c>
      <c r="H523" s="1" t="str">
        <f t="shared" si="161"/>
        <v>正常订单</v>
      </c>
      <c r="I523" s="1" t="str">
        <f t="shared" si="162"/>
        <v>已发货</v>
      </c>
      <c r="J523" s="1" t="str">
        <f t="shared" si="165"/>
        <v>2</v>
      </c>
      <c r="K523" s="1">
        <v>2</v>
      </c>
      <c r="L523" s="1" t="s">
        <v>20</v>
      </c>
      <c r="M523" s="1" t="str">
        <f>"浙江省 舟山市 定海区 "</f>
        <v xml:space="preserve">浙江省 舟山市 定海区 </v>
      </c>
      <c r="N523" s="1" t="str">
        <f t="shared" si="155"/>
        <v>凡华云仓-城南圆通-微信视频号</v>
      </c>
      <c r="O523" s="5" t="s">
        <v>561</v>
      </c>
      <c r="P523" s="6">
        <v>0.17</v>
      </c>
      <c r="Q523" s="11">
        <v>2</v>
      </c>
      <c r="R523" s="11"/>
      <c r="S523" s="11"/>
      <c r="T523" s="11"/>
      <c r="U523" s="11">
        <f t="shared" si="164"/>
        <v>2</v>
      </c>
      <c r="W523">
        <v>2.2000000000000002</v>
      </c>
      <c r="X523" s="1" t="s">
        <v>20</v>
      </c>
    </row>
    <row r="524" spans="1:24" x14ac:dyDescent="0.25">
      <c r="A524" s="1" t="str">
        <f t="shared" si="159"/>
        <v>卡卡杜-凤凰仓</v>
      </c>
      <c r="B524" s="1" t="str">
        <f>"CK20241031175"</f>
        <v>CK20241031175</v>
      </c>
      <c r="C524" s="1" t="str">
        <f>"DD2024103112396"</f>
        <v>DD2024103112396</v>
      </c>
      <c r="D524" s="1" t="str">
        <f>"CK2024103118717"</f>
        <v>CK2024103118717</v>
      </c>
      <c r="E524" s="1" t="str">
        <f>"3723673021957670401"</f>
        <v>3723673021957670401</v>
      </c>
      <c r="F524" s="1" t="str">
        <f t="shared" si="160"/>
        <v>花都四部-凤凰仓</v>
      </c>
      <c r="G524" s="1" t="str">
        <f t="shared" si="166"/>
        <v>卡卡杜企业店（视频号）</v>
      </c>
      <c r="H524" s="1" t="str">
        <f t="shared" si="161"/>
        <v>正常订单</v>
      </c>
      <c r="I524" s="1" t="str">
        <f t="shared" si="162"/>
        <v>已发货</v>
      </c>
      <c r="J524" s="1" t="str">
        <f>"3"</f>
        <v>3</v>
      </c>
      <c r="K524" s="1">
        <v>2</v>
      </c>
      <c r="L524" s="1" t="s">
        <v>105</v>
      </c>
      <c r="M524" s="1" t="str">
        <f>"北京 北京市 海淀区 "</f>
        <v xml:space="preserve">北京 北京市 海淀区 </v>
      </c>
      <c r="N524" s="1" t="str">
        <f t="shared" si="155"/>
        <v>凡华云仓-城南圆通-微信视频号</v>
      </c>
      <c r="O524" s="5" t="s">
        <v>562</v>
      </c>
      <c r="P524" s="6">
        <v>0.25</v>
      </c>
      <c r="Q524" s="11">
        <v>2</v>
      </c>
      <c r="R524" s="11"/>
      <c r="S524" s="11"/>
      <c r="T524" s="11"/>
      <c r="U524" s="11">
        <f t="shared" si="164"/>
        <v>2</v>
      </c>
      <c r="W524">
        <v>2.2000000000000002</v>
      </c>
      <c r="X524" s="1" t="s">
        <v>105</v>
      </c>
    </row>
    <row r="525" spans="1:24" x14ac:dyDescent="0.25">
      <c r="A525" s="1" t="str">
        <f t="shared" si="159"/>
        <v>卡卡杜-凤凰仓</v>
      </c>
      <c r="B525" s="1" t="str">
        <f>"CK202410311770"</f>
        <v>CK202410311770</v>
      </c>
      <c r="C525" s="1" t="str">
        <f>"DD2024103112910"</f>
        <v>DD2024103112910</v>
      </c>
      <c r="D525" s="1" t="str">
        <f>"CK2024103118716"</f>
        <v>CK2024103118716</v>
      </c>
      <c r="E525" s="1" t="str">
        <f>"3723673016650302976"</f>
        <v>3723673016650302976</v>
      </c>
      <c r="F525" s="1" t="str">
        <f t="shared" si="160"/>
        <v>花都四部-凤凰仓</v>
      </c>
      <c r="G525" s="1" t="str">
        <f t="shared" si="166"/>
        <v>卡卡杜企业店（视频号）</v>
      </c>
      <c r="H525" s="1" t="str">
        <f t="shared" si="161"/>
        <v>正常订单</v>
      </c>
      <c r="I525" s="1" t="str">
        <f t="shared" si="162"/>
        <v>已发货</v>
      </c>
      <c r="J525" s="1" t="str">
        <f t="shared" ref="J525:J533" si="167">"2"</f>
        <v>2</v>
      </c>
      <c r="K525" s="1">
        <v>2</v>
      </c>
      <c r="L525" s="1" t="s">
        <v>24</v>
      </c>
      <c r="M525" s="1" t="str">
        <f>"福建省 福州市 晋安区 "</f>
        <v xml:space="preserve">福建省 福州市 晋安区 </v>
      </c>
      <c r="N525" s="1" t="str">
        <f t="shared" si="155"/>
        <v>凡华云仓-城南圆通-微信视频号</v>
      </c>
      <c r="O525" s="5" t="s">
        <v>563</v>
      </c>
      <c r="P525" s="6">
        <v>0.17</v>
      </c>
      <c r="Q525" s="11">
        <v>2</v>
      </c>
      <c r="R525" s="11"/>
      <c r="S525" s="11"/>
      <c r="T525" s="11"/>
      <c r="U525" s="11">
        <f t="shared" si="164"/>
        <v>2</v>
      </c>
      <c r="W525">
        <v>2.2000000000000002</v>
      </c>
      <c r="X525" s="1" t="s">
        <v>24</v>
      </c>
    </row>
    <row r="526" spans="1:24" x14ac:dyDescent="0.25">
      <c r="A526" s="1" t="str">
        <f t="shared" si="159"/>
        <v>卡卡杜-凤凰仓</v>
      </c>
      <c r="B526" s="1" t="str">
        <f>"CK202410311769"</f>
        <v>CK202410311769</v>
      </c>
      <c r="C526" s="1" t="str">
        <f>"DD2024103112909"</f>
        <v>DD2024103112909</v>
      </c>
      <c r="D526" s="1" t="str">
        <f>"CK2024103118715"</f>
        <v>CK2024103118715</v>
      </c>
      <c r="E526" s="1" t="str">
        <f>"3723673018499991040"</f>
        <v>3723673018499991040</v>
      </c>
      <c r="F526" s="1" t="str">
        <f t="shared" si="160"/>
        <v>花都四部-凤凰仓</v>
      </c>
      <c r="G526" s="1" t="str">
        <f t="shared" si="166"/>
        <v>卡卡杜企业店（视频号）</v>
      </c>
      <c r="H526" s="1" t="str">
        <f t="shared" si="161"/>
        <v>正常订单</v>
      </c>
      <c r="I526" s="1" t="str">
        <f t="shared" si="162"/>
        <v>已发货</v>
      </c>
      <c r="J526" s="1" t="str">
        <f t="shared" si="167"/>
        <v>2</v>
      </c>
      <c r="K526" s="1">
        <v>2</v>
      </c>
      <c r="L526" s="1" t="s">
        <v>80</v>
      </c>
      <c r="M526" s="1" t="str">
        <f>"河南省 开封市 尉氏县 "</f>
        <v xml:space="preserve">河南省 开封市 尉氏县 </v>
      </c>
      <c r="N526" s="1" t="str">
        <f t="shared" si="155"/>
        <v>凡华云仓-城南圆通-微信视频号</v>
      </c>
      <c r="O526" s="5" t="s">
        <v>564</v>
      </c>
      <c r="P526" s="6">
        <v>0.17</v>
      </c>
      <c r="Q526" s="11">
        <v>2</v>
      </c>
      <c r="R526" s="11"/>
      <c r="S526" s="11"/>
      <c r="T526" s="11"/>
      <c r="U526" s="11">
        <f t="shared" si="164"/>
        <v>2</v>
      </c>
      <c r="W526">
        <v>2.2000000000000002</v>
      </c>
      <c r="X526" s="1" t="s">
        <v>80</v>
      </c>
    </row>
    <row r="527" spans="1:24" x14ac:dyDescent="0.25">
      <c r="A527" s="1" t="str">
        <f t="shared" si="159"/>
        <v>卡卡杜-凤凰仓</v>
      </c>
      <c r="B527" s="1" t="str">
        <f>"CK202410311775"</f>
        <v>CK202410311775</v>
      </c>
      <c r="C527" s="1" t="str">
        <f>"DD2024103112915"</f>
        <v>DD2024103112915</v>
      </c>
      <c r="D527" s="1" t="str">
        <f>"CK2024103118714"</f>
        <v>CK2024103118714</v>
      </c>
      <c r="E527" s="1" t="str">
        <f>"3723673016222223360"</f>
        <v>3723673016222223360</v>
      </c>
      <c r="F527" s="1" t="str">
        <f t="shared" si="160"/>
        <v>花都四部-凤凰仓</v>
      </c>
      <c r="G527" s="1" t="str">
        <f t="shared" si="166"/>
        <v>卡卡杜企业店（视频号）</v>
      </c>
      <c r="H527" s="1" t="str">
        <f t="shared" si="161"/>
        <v>正常订单</v>
      </c>
      <c r="I527" s="1" t="str">
        <f t="shared" si="162"/>
        <v>已发货</v>
      </c>
      <c r="J527" s="1" t="str">
        <f t="shared" si="167"/>
        <v>2</v>
      </c>
      <c r="K527" s="1">
        <v>2</v>
      </c>
      <c r="L527" s="1" t="s">
        <v>161</v>
      </c>
      <c r="M527" s="1" t="str">
        <f>"四川省 成都市 成华区 "</f>
        <v xml:space="preserve">四川省 成都市 成华区 </v>
      </c>
      <c r="N527" s="1" t="str">
        <f t="shared" si="155"/>
        <v>凡华云仓-城南圆通-微信视频号</v>
      </c>
      <c r="O527" s="5" t="s">
        <v>565</v>
      </c>
      <c r="P527" s="6">
        <v>0.17</v>
      </c>
      <c r="Q527" s="11">
        <v>2</v>
      </c>
      <c r="R527" s="11"/>
      <c r="S527" s="11"/>
      <c r="T527" s="11"/>
      <c r="U527" s="11">
        <f t="shared" si="164"/>
        <v>2</v>
      </c>
      <c r="W527">
        <v>2.2000000000000002</v>
      </c>
      <c r="X527" s="1" t="s">
        <v>161</v>
      </c>
    </row>
    <row r="528" spans="1:24" x14ac:dyDescent="0.25">
      <c r="A528" s="1" t="str">
        <f t="shared" si="159"/>
        <v>卡卡杜-凤凰仓</v>
      </c>
      <c r="B528" s="1" t="str">
        <f>"CK202410311771"</f>
        <v>CK202410311771</v>
      </c>
      <c r="C528" s="1" t="str">
        <f>"DD2024103112912"</f>
        <v>DD2024103112912</v>
      </c>
      <c r="D528" s="1" t="str">
        <f>"CK2024103118713"</f>
        <v>CK2024103118713</v>
      </c>
      <c r="E528" s="1" t="str">
        <f>"3723673016983225856"</f>
        <v>3723673016983225856</v>
      </c>
      <c r="F528" s="1" t="str">
        <f t="shared" si="160"/>
        <v>花都四部-凤凰仓</v>
      </c>
      <c r="G528" s="1" t="str">
        <f t="shared" si="166"/>
        <v>卡卡杜企业店（视频号）</v>
      </c>
      <c r="H528" s="1" t="str">
        <f t="shared" si="161"/>
        <v>正常订单</v>
      </c>
      <c r="I528" s="1" t="str">
        <f t="shared" si="162"/>
        <v>已发货</v>
      </c>
      <c r="J528" s="1" t="str">
        <f t="shared" si="167"/>
        <v>2</v>
      </c>
      <c r="K528" s="1">
        <v>2</v>
      </c>
      <c r="L528" s="1" t="s">
        <v>30</v>
      </c>
      <c r="M528" s="1" t="str">
        <f>"山东省 菏泽市 巨野县 "</f>
        <v xml:space="preserve">山东省 菏泽市 巨野县 </v>
      </c>
      <c r="N528" s="1" t="str">
        <f t="shared" si="155"/>
        <v>凡华云仓-城南圆通-微信视频号</v>
      </c>
      <c r="O528" s="5" t="s">
        <v>566</v>
      </c>
      <c r="P528" s="6">
        <v>0.17</v>
      </c>
      <c r="Q528" s="11">
        <v>2</v>
      </c>
      <c r="R528" s="11"/>
      <c r="S528" s="11"/>
      <c r="T528" s="11"/>
      <c r="U528" s="11">
        <f t="shared" si="164"/>
        <v>2</v>
      </c>
      <c r="W528">
        <v>2.2000000000000002</v>
      </c>
      <c r="X528" s="1" t="s">
        <v>30</v>
      </c>
    </row>
    <row r="529" spans="1:24" x14ac:dyDescent="0.25">
      <c r="A529" s="1" t="str">
        <f t="shared" si="159"/>
        <v>卡卡杜-凤凰仓</v>
      </c>
      <c r="B529" s="1" t="str">
        <f>"CK202410311772"</f>
        <v>CK202410311772</v>
      </c>
      <c r="C529" s="1" t="str">
        <f>"DD2024103112911"</f>
        <v>DD2024103112911</v>
      </c>
      <c r="D529" s="1" t="str">
        <f>"CK2024103118712"</f>
        <v>CK2024103118712</v>
      </c>
      <c r="E529" s="1" t="str">
        <f>"3723673017527440384"</f>
        <v>3723673017527440384</v>
      </c>
      <c r="F529" s="1" t="str">
        <f t="shared" si="160"/>
        <v>花都四部-凤凰仓</v>
      </c>
      <c r="G529" s="1" t="str">
        <f t="shared" si="166"/>
        <v>卡卡杜企业店（视频号）</v>
      </c>
      <c r="H529" s="1" t="str">
        <f t="shared" si="161"/>
        <v>正常订单</v>
      </c>
      <c r="I529" s="1" t="str">
        <f t="shared" si="162"/>
        <v>已发货</v>
      </c>
      <c r="J529" s="1" t="str">
        <f t="shared" si="167"/>
        <v>2</v>
      </c>
      <c r="K529" s="1">
        <v>2</v>
      </c>
      <c r="L529" s="1" t="s">
        <v>105</v>
      </c>
      <c r="M529" s="1" t="str">
        <f>"北京 北京市 西城区 "</f>
        <v xml:space="preserve">北京 北京市 西城区 </v>
      </c>
      <c r="N529" s="1" t="str">
        <f t="shared" si="155"/>
        <v>凡华云仓-城南圆通-微信视频号</v>
      </c>
      <c r="O529" s="5" t="s">
        <v>567</v>
      </c>
      <c r="P529" s="6">
        <v>0.17</v>
      </c>
      <c r="Q529" s="11">
        <v>2</v>
      </c>
      <c r="R529" s="11"/>
      <c r="S529" s="11"/>
      <c r="T529" s="11"/>
      <c r="U529" s="11">
        <f t="shared" si="164"/>
        <v>2</v>
      </c>
      <c r="W529">
        <v>2.2000000000000002</v>
      </c>
      <c r="X529" s="1" t="s">
        <v>105</v>
      </c>
    </row>
    <row r="530" spans="1:24" x14ac:dyDescent="0.25">
      <c r="A530" s="1" t="str">
        <f t="shared" si="159"/>
        <v>卡卡杜-凤凰仓</v>
      </c>
      <c r="B530" s="1" t="str">
        <f>"CK202410311773"</f>
        <v>CK202410311773</v>
      </c>
      <c r="C530" s="1" t="str">
        <f>"DD2024103112914"</f>
        <v>DD2024103112914</v>
      </c>
      <c r="D530" s="1" t="str">
        <f>"CK2024103118711"</f>
        <v>CK2024103118711</v>
      </c>
      <c r="E530" s="1" t="str">
        <f>"3723673017343149314"</f>
        <v>3723673017343149314</v>
      </c>
      <c r="F530" s="1" t="str">
        <f t="shared" si="160"/>
        <v>花都四部-凤凰仓</v>
      </c>
      <c r="G530" s="1" t="str">
        <f t="shared" si="166"/>
        <v>卡卡杜企业店（视频号）</v>
      </c>
      <c r="H530" s="1" t="str">
        <f t="shared" si="161"/>
        <v>正常订单</v>
      </c>
      <c r="I530" s="1" t="str">
        <f t="shared" si="162"/>
        <v>已发货</v>
      </c>
      <c r="J530" s="1" t="str">
        <f t="shared" si="167"/>
        <v>2</v>
      </c>
      <c r="K530" s="1">
        <v>2</v>
      </c>
      <c r="L530" s="1" t="s">
        <v>109</v>
      </c>
      <c r="M530" s="1" t="str">
        <f>"山西省 太原市 小店区 "</f>
        <v xml:space="preserve">山西省 太原市 小店区 </v>
      </c>
      <c r="N530" s="1" t="str">
        <f t="shared" si="155"/>
        <v>凡华云仓-城南圆通-微信视频号</v>
      </c>
      <c r="O530" s="5" t="s">
        <v>568</v>
      </c>
      <c r="P530" s="6">
        <v>0.17</v>
      </c>
      <c r="Q530" s="11">
        <v>2</v>
      </c>
      <c r="R530" s="11"/>
      <c r="S530" s="11"/>
      <c r="T530" s="11"/>
      <c r="U530" s="11">
        <f t="shared" si="164"/>
        <v>2</v>
      </c>
      <c r="W530">
        <v>2.2000000000000002</v>
      </c>
      <c r="X530" s="1" t="s">
        <v>109</v>
      </c>
    </row>
    <row r="531" spans="1:24" x14ac:dyDescent="0.25">
      <c r="A531" s="1" t="str">
        <f t="shared" si="159"/>
        <v>卡卡杜-凤凰仓</v>
      </c>
      <c r="B531" s="1" t="str">
        <f>"CK202410311774"</f>
        <v>CK202410311774</v>
      </c>
      <c r="C531" s="1" t="str">
        <f>"DD2024103112913"</f>
        <v>DD2024103112913</v>
      </c>
      <c r="D531" s="1" t="str">
        <f>"CK2024103118710"</f>
        <v>CK2024103118710</v>
      </c>
      <c r="E531" s="1" t="str">
        <f>"3723673016899867648"</f>
        <v>3723673016899867648</v>
      </c>
      <c r="F531" s="1" t="str">
        <f t="shared" si="160"/>
        <v>花都四部-凤凰仓</v>
      </c>
      <c r="G531" s="1" t="str">
        <f t="shared" si="166"/>
        <v>卡卡杜企业店（视频号）</v>
      </c>
      <c r="H531" s="1" t="str">
        <f t="shared" si="161"/>
        <v>正常订单</v>
      </c>
      <c r="I531" s="1" t="str">
        <f t="shared" si="162"/>
        <v>已发货</v>
      </c>
      <c r="J531" s="1" t="str">
        <f t="shared" si="167"/>
        <v>2</v>
      </c>
      <c r="K531" s="1">
        <v>2</v>
      </c>
      <c r="L531" s="1" t="s">
        <v>20</v>
      </c>
      <c r="M531" s="1" t="str">
        <f>"浙江省 台州市 温岭市 "</f>
        <v xml:space="preserve">浙江省 台州市 温岭市 </v>
      </c>
      <c r="N531" s="1" t="str">
        <f t="shared" si="155"/>
        <v>凡华云仓-城南圆通-微信视频号</v>
      </c>
      <c r="O531" s="5" t="s">
        <v>569</v>
      </c>
      <c r="P531" s="6">
        <v>0.17</v>
      </c>
      <c r="Q531" s="11">
        <v>2</v>
      </c>
      <c r="R531" s="11"/>
      <c r="S531" s="11"/>
      <c r="T531" s="11"/>
      <c r="U531" s="11">
        <f t="shared" si="164"/>
        <v>2</v>
      </c>
      <c r="W531">
        <v>2.2000000000000002</v>
      </c>
      <c r="X531" s="1" t="s">
        <v>20</v>
      </c>
    </row>
    <row r="532" spans="1:24" x14ac:dyDescent="0.25">
      <c r="A532" s="1" t="str">
        <f t="shared" si="159"/>
        <v>卡卡杜-凤凰仓</v>
      </c>
      <c r="B532" s="1" t="str">
        <f>"CK202410311776"</f>
        <v>CK202410311776</v>
      </c>
      <c r="C532" s="1" t="str">
        <f>"DD2024103112916"</f>
        <v>DD2024103112916</v>
      </c>
      <c r="D532" s="1" t="str">
        <f>"CK2024103118709"</f>
        <v>CK2024103118709</v>
      </c>
      <c r="E532" s="1" t="str">
        <f>"3723673010144412930"</f>
        <v>3723673010144412930</v>
      </c>
      <c r="F532" s="1" t="str">
        <f t="shared" si="160"/>
        <v>花都四部-凤凰仓</v>
      </c>
      <c r="G532" s="1" t="str">
        <f t="shared" si="166"/>
        <v>卡卡杜企业店（视频号）</v>
      </c>
      <c r="H532" s="1" t="str">
        <f t="shared" si="161"/>
        <v>正常订单</v>
      </c>
      <c r="I532" s="1" t="str">
        <f t="shared" si="162"/>
        <v>已发货</v>
      </c>
      <c r="J532" s="1" t="str">
        <f t="shared" si="167"/>
        <v>2</v>
      </c>
      <c r="K532" s="1">
        <v>2</v>
      </c>
      <c r="L532" s="1" t="s">
        <v>30</v>
      </c>
      <c r="M532" s="1" t="str">
        <f>"山东省 青岛市 胶州市 "</f>
        <v xml:space="preserve">山东省 青岛市 胶州市 </v>
      </c>
      <c r="N532" s="1" t="str">
        <f t="shared" si="155"/>
        <v>凡华云仓-城南圆通-微信视频号</v>
      </c>
      <c r="O532" s="5" t="s">
        <v>570</v>
      </c>
      <c r="P532" s="6">
        <v>0.17</v>
      </c>
      <c r="Q532" s="11">
        <v>2</v>
      </c>
      <c r="R532" s="11"/>
      <c r="S532" s="11"/>
      <c r="T532" s="11"/>
      <c r="U532" s="11">
        <f t="shared" si="164"/>
        <v>2</v>
      </c>
      <c r="W532">
        <v>2.2000000000000002</v>
      </c>
      <c r="X532" s="1" t="s">
        <v>30</v>
      </c>
    </row>
    <row r="533" spans="1:24" x14ac:dyDescent="0.25">
      <c r="A533" s="1" t="str">
        <f t="shared" si="159"/>
        <v>卡卡杜-凤凰仓</v>
      </c>
      <c r="B533" s="1" t="str">
        <f>"CK202410311886"</f>
        <v>CK202410311886</v>
      </c>
      <c r="C533" s="1" t="str">
        <f>"DD2024103113448"</f>
        <v>DD2024103113448</v>
      </c>
      <c r="D533" s="1" t="str">
        <f>"CK2024103118708"</f>
        <v>CK2024103118708</v>
      </c>
      <c r="E533" s="1" t="str">
        <f>"3723673007266597888"</f>
        <v>3723673007266597888</v>
      </c>
      <c r="F533" s="1" t="str">
        <f t="shared" si="160"/>
        <v>花都四部-凤凰仓</v>
      </c>
      <c r="G533" s="1" t="str">
        <f t="shared" si="166"/>
        <v>卡卡杜企业店（视频号）</v>
      </c>
      <c r="H533" s="1" t="str">
        <f t="shared" si="161"/>
        <v>正常订单</v>
      </c>
      <c r="I533" s="1" t="str">
        <f t="shared" si="162"/>
        <v>已发货</v>
      </c>
      <c r="J533" s="1" t="str">
        <f t="shared" si="167"/>
        <v>2</v>
      </c>
      <c r="K533" s="1">
        <v>2</v>
      </c>
      <c r="L533" s="1" t="s">
        <v>109</v>
      </c>
      <c r="M533" s="1" t="str">
        <f>"山西省 晋中市 榆次区 "</f>
        <v xml:space="preserve">山西省 晋中市 榆次区 </v>
      </c>
      <c r="N533" s="1" t="str">
        <f t="shared" si="155"/>
        <v>凡华云仓-城南圆通-微信视频号</v>
      </c>
      <c r="O533" s="5" t="s">
        <v>571</v>
      </c>
      <c r="P533" s="6">
        <v>0.17</v>
      </c>
      <c r="Q533" s="11">
        <v>2</v>
      </c>
      <c r="R533" s="11"/>
      <c r="S533" s="11"/>
      <c r="T533" s="11"/>
      <c r="U533" s="11">
        <f t="shared" si="164"/>
        <v>2</v>
      </c>
      <c r="W533">
        <v>2.2000000000000002</v>
      </c>
      <c r="X533" s="1" t="s">
        <v>109</v>
      </c>
    </row>
    <row r="534" spans="1:24" x14ac:dyDescent="0.25">
      <c r="A534" s="1" t="str">
        <f t="shared" si="159"/>
        <v>卡卡杜-凤凰仓</v>
      </c>
      <c r="B534" s="1" t="str">
        <f>"CK20241031172"</f>
        <v>CK20241031172</v>
      </c>
      <c r="C534" s="1" t="str">
        <f>"DD2024103112392"</f>
        <v>DD2024103112392</v>
      </c>
      <c r="D534" s="1" t="str">
        <f>"CK2024103118707"</f>
        <v>CK2024103118707</v>
      </c>
      <c r="E534" s="1" t="str">
        <f>"3723673004300702720"</f>
        <v>3723673004300702720</v>
      </c>
      <c r="F534" s="1" t="str">
        <f t="shared" si="160"/>
        <v>花都四部-凤凰仓</v>
      </c>
      <c r="G534" s="1" t="str">
        <f t="shared" si="166"/>
        <v>卡卡杜企业店（视频号）</v>
      </c>
      <c r="H534" s="1" t="str">
        <f t="shared" si="161"/>
        <v>正常订单</v>
      </c>
      <c r="I534" s="1" t="str">
        <f t="shared" si="162"/>
        <v>已发货</v>
      </c>
      <c r="J534" s="1" t="str">
        <f t="shared" ref="J534:J538" si="168">"3"</f>
        <v>3</v>
      </c>
      <c r="K534" s="1">
        <v>2</v>
      </c>
      <c r="L534" s="1" t="s">
        <v>105</v>
      </c>
      <c r="M534" s="1" t="str">
        <f>"北京 北京市 平谷区 "</f>
        <v xml:space="preserve">北京 北京市 平谷区 </v>
      </c>
      <c r="N534" s="1" t="str">
        <f t="shared" si="155"/>
        <v>凡华云仓-城南圆通-微信视频号</v>
      </c>
      <c r="O534" s="5" t="s">
        <v>572</v>
      </c>
      <c r="P534" s="6">
        <v>0.25</v>
      </c>
      <c r="Q534" s="11">
        <v>2</v>
      </c>
      <c r="R534" s="11"/>
      <c r="S534" s="11"/>
      <c r="T534" s="11"/>
      <c r="U534" s="11">
        <f t="shared" si="164"/>
        <v>2</v>
      </c>
      <c r="W534">
        <v>2.2000000000000002</v>
      </c>
      <c r="X534" s="1" t="s">
        <v>105</v>
      </c>
    </row>
    <row r="535" spans="1:24" x14ac:dyDescent="0.25">
      <c r="A535" s="1" t="str">
        <f t="shared" si="159"/>
        <v>卡卡杜-凤凰仓</v>
      </c>
      <c r="B535" s="1" t="str">
        <f>"CK202410311777"</f>
        <v>CK202410311777</v>
      </c>
      <c r="C535" s="1" t="str">
        <f>"DD2024103112917"</f>
        <v>DD2024103112917</v>
      </c>
      <c r="D535" s="1" t="str">
        <f>"CK2024103118706"</f>
        <v>CK2024103118706</v>
      </c>
      <c r="E535" s="1" t="str">
        <f>"3723673005871991808"</f>
        <v>3723673005871991808</v>
      </c>
      <c r="F535" s="1" t="str">
        <f t="shared" si="160"/>
        <v>花都四部-凤凰仓</v>
      </c>
      <c r="G535" s="1" t="str">
        <f t="shared" si="166"/>
        <v>卡卡杜企业店（视频号）</v>
      </c>
      <c r="H535" s="1" t="str">
        <f t="shared" si="161"/>
        <v>正常订单</v>
      </c>
      <c r="I535" s="1" t="str">
        <f t="shared" si="162"/>
        <v>已发货</v>
      </c>
      <c r="J535" s="1" t="str">
        <f>"2"</f>
        <v>2</v>
      </c>
      <c r="K535" s="1">
        <v>2</v>
      </c>
      <c r="L535" s="1" t="s">
        <v>218</v>
      </c>
      <c r="M535" s="1" t="str">
        <f>"天津 天津市 滨海新区 "</f>
        <v xml:space="preserve">天津 天津市 滨海新区 </v>
      </c>
      <c r="N535" s="1" t="str">
        <f t="shared" si="155"/>
        <v>凡华云仓-城南圆通-微信视频号</v>
      </c>
      <c r="O535" s="5" t="s">
        <v>573</v>
      </c>
      <c r="P535" s="6">
        <v>0.17</v>
      </c>
      <c r="Q535" s="11">
        <v>2</v>
      </c>
      <c r="R535" s="11"/>
      <c r="S535" s="11"/>
      <c r="T535" s="11"/>
      <c r="U535" s="11">
        <f t="shared" si="164"/>
        <v>2</v>
      </c>
      <c r="W535">
        <v>2.2000000000000002</v>
      </c>
      <c r="X535" s="1" t="s">
        <v>218</v>
      </c>
    </row>
    <row r="536" spans="1:24" x14ac:dyDescent="0.25">
      <c r="A536" s="1" t="str">
        <f t="shared" si="159"/>
        <v>卡卡杜-凤凰仓</v>
      </c>
      <c r="B536" s="1" t="str">
        <f>"CK20241031171"</f>
        <v>CK20241031171</v>
      </c>
      <c r="C536" s="1" t="str">
        <f>"DD2024103112391"</f>
        <v>DD2024103112391</v>
      </c>
      <c r="D536" s="1" t="str">
        <f>"CK2024103118705"</f>
        <v>CK2024103118705</v>
      </c>
      <c r="E536" s="1" t="str">
        <f>"3723673004921457664"</f>
        <v>3723673004921457664</v>
      </c>
      <c r="F536" s="1" t="str">
        <f t="shared" si="160"/>
        <v>花都四部-凤凰仓</v>
      </c>
      <c r="G536" s="1" t="str">
        <f t="shared" si="166"/>
        <v>卡卡杜企业店（视频号）</v>
      </c>
      <c r="H536" s="1" t="str">
        <f t="shared" si="161"/>
        <v>正常订单</v>
      </c>
      <c r="I536" s="1" t="str">
        <f t="shared" si="162"/>
        <v>已发货</v>
      </c>
      <c r="J536" s="1" t="str">
        <f t="shared" si="168"/>
        <v>3</v>
      </c>
      <c r="K536" s="1">
        <v>2</v>
      </c>
      <c r="L536" s="1" t="s">
        <v>109</v>
      </c>
      <c r="M536" s="1" t="str">
        <f>"山西省 大同市 平城区 "</f>
        <v xml:space="preserve">山西省 大同市 平城区 </v>
      </c>
      <c r="N536" s="1" t="str">
        <f t="shared" si="155"/>
        <v>凡华云仓-城南圆通-微信视频号</v>
      </c>
      <c r="O536" s="5" t="s">
        <v>574</v>
      </c>
      <c r="P536" s="6">
        <v>0.25</v>
      </c>
      <c r="Q536" s="11">
        <v>2</v>
      </c>
      <c r="R536" s="11"/>
      <c r="S536" s="11"/>
      <c r="T536" s="11"/>
      <c r="U536" s="11">
        <f t="shared" si="164"/>
        <v>2</v>
      </c>
      <c r="W536">
        <v>2.2000000000000002</v>
      </c>
      <c r="X536" s="1" t="s">
        <v>109</v>
      </c>
    </row>
    <row r="537" spans="1:24" x14ac:dyDescent="0.25">
      <c r="A537" s="1" t="str">
        <f t="shared" si="159"/>
        <v>卡卡杜-凤凰仓</v>
      </c>
      <c r="B537" s="1" t="str">
        <f>"CK2024103146"</f>
        <v>CK2024103146</v>
      </c>
      <c r="C537" s="1" t="str">
        <f>"DD2024103112072"</f>
        <v>DD2024103112072</v>
      </c>
      <c r="D537" s="1" t="str">
        <f>"CK2024103118704"</f>
        <v>CK2024103118704</v>
      </c>
      <c r="E537" s="1" t="str">
        <f>"3723672902519096577"</f>
        <v>3723672902519096577</v>
      </c>
      <c r="F537" s="1" t="str">
        <f t="shared" si="160"/>
        <v>花都四部-凤凰仓</v>
      </c>
      <c r="G537" s="1" t="str">
        <f t="shared" si="166"/>
        <v>卡卡杜企业店（视频号）</v>
      </c>
      <c r="H537" s="1" t="str">
        <f t="shared" si="161"/>
        <v>正常订单</v>
      </c>
      <c r="I537" s="1" t="str">
        <f t="shared" si="162"/>
        <v>已发货</v>
      </c>
      <c r="J537" s="1" t="str">
        <f t="shared" si="168"/>
        <v>3</v>
      </c>
      <c r="K537" s="1">
        <v>3</v>
      </c>
      <c r="L537" s="1" t="s">
        <v>74</v>
      </c>
      <c r="M537" s="1" t="str">
        <f>"上海 上海市 徐汇区 "</f>
        <v xml:space="preserve">上海 上海市 徐汇区 </v>
      </c>
      <c r="N537" s="1" t="str">
        <f t="shared" si="155"/>
        <v>凡华云仓-城南圆通-微信视频号</v>
      </c>
      <c r="O537" s="5" t="s">
        <v>575</v>
      </c>
      <c r="P537" s="6">
        <v>0.33</v>
      </c>
      <c r="Q537" s="11">
        <v>2.2999999999999998</v>
      </c>
      <c r="R537" s="11"/>
      <c r="S537" s="11"/>
      <c r="T537" s="11"/>
      <c r="U537" s="11">
        <f t="shared" si="164"/>
        <v>2.2999999999999998</v>
      </c>
      <c r="W537">
        <v>2.5</v>
      </c>
      <c r="X537" s="1" t="s">
        <v>74</v>
      </c>
    </row>
    <row r="538" spans="1:24" x14ac:dyDescent="0.25">
      <c r="A538" s="1" t="str">
        <f t="shared" si="159"/>
        <v>卡卡杜-凤凰仓</v>
      </c>
      <c r="B538" s="1" t="str">
        <f>"CK20241031160"</f>
        <v>CK20241031160</v>
      </c>
      <c r="C538" s="1" t="str">
        <f>"DD2024103112372"</f>
        <v>DD2024103112372</v>
      </c>
      <c r="D538" s="1" t="str">
        <f>"CK2024103118703"</f>
        <v>CK2024103118703</v>
      </c>
      <c r="E538" s="1" t="str">
        <f>"3723672940241094145"</f>
        <v>3723672940241094145</v>
      </c>
      <c r="F538" s="1" t="str">
        <f t="shared" si="160"/>
        <v>花都四部-凤凰仓</v>
      </c>
      <c r="G538" s="1" t="str">
        <f t="shared" si="166"/>
        <v>卡卡杜企业店（视频号）</v>
      </c>
      <c r="H538" s="1" t="str">
        <f t="shared" si="161"/>
        <v>正常订单</v>
      </c>
      <c r="I538" s="1" t="str">
        <f t="shared" si="162"/>
        <v>已发货</v>
      </c>
      <c r="J538" s="1" t="str">
        <f t="shared" si="168"/>
        <v>3</v>
      </c>
      <c r="K538" s="1">
        <v>2</v>
      </c>
      <c r="L538" s="1" t="s">
        <v>47</v>
      </c>
      <c r="M538" s="1" t="str">
        <f>"重庆 重庆市 江北区 "</f>
        <v xml:space="preserve">重庆 重庆市 江北区 </v>
      </c>
      <c r="N538" s="1" t="str">
        <f t="shared" si="155"/>
        <v>凡华云仓-城南圆通-微信视频号</v>
      </c>
      <c r="O538" s="5" t="s">
        <v>576</v>
      </c>
      <c r="P538" s="6">
        <v>0.25</v>
      </c>
      <c r="Q538" s="11">
        <v>2</v>
      </c>
      <c r="R538" s="11"/>
      <c r="S538" s="11"/>
      <c r="T538" s="11"/>
      <c r="U538" s="11">
        <f t="shared" si="164"/>
        <v>2</v>
      </c>
      <c r="W538">
        <v>2.2000000000000002</v>
      </c>
      <c r="X538" s="1" t="s">
        <v>47</v>
      </c>
    </row>
    <row r="539" spans="1:24" x14ac:dyDescent="0.25">
      <c r="A539" s="1" t="str">
        <f t="shared" si="159"/>
        <v>卡卡杜-凤凰仓</v>
      </c>
      <c r="B539" s="1" t="str">
        <f>"CK202410311510"</f>
        <v>CK202410311510</v>
      </c>
      <c r="C539" s="1" t="str">
        <f>"DD2024103112636"</f>
        <v>DD2024103112636</v>
      </c>
      <c r="D539" s="1" t="str">
        <f>"CK2024103118702"</f>
        <v>CK2024103118702</v>
      </c>
      <c r="E539" s="1" t="str">
        <f>"3723672894949168128"</f>
        <v>3723672894949168128</v>
      </c>
      <c r="F539" s="1" t="str">
        <f t="shared" si="160"/>
        <v>花都四部-凤凰仓</v>
      </c>
      <c r="G539" s="1" t="str">
        <f t="shared" si="166"/>
        <v>卡卡杜企业店（视频号）</v>
      </c>
      <c r="H539" s="1" t="str">
        <f t="shared" si="161"/>
        <v>正常订单</v>
      </c>
      <c r="I539" s="1" t="str">
        <f t="shared" si="162"/>
        <v>已发货</v>
      </c>
      <c r="J539" s="1" t="str">
        <f>"6"</f>
        <v>6</v>
      </c>
      <c r="K539" s="1">
        <v>3</v>
      </c>
      <c r="L539" s="1" t="s">
        <v>20</v>
      </c>
      <c r="M539" s="1" t="str">
        <f>"浙江省 台州市 温岭市 "</f>
        <v xml:space="preserve">浙江省 台州市 温岭市 </v>
      </c>
      <c r="N539" s="1" t="str">
        <f t="shared" si="155"/>
        <v>凡华云仓-城南圆通-微信视频号</v>
      </c>
      <c r="O539" s="5" t="s">
        <v>577</v>
      </c>
      <c r="P539" s="6">
        <v>0.56000000000000005</v>
      </c>
      <c r="Q539" s="11">
        <f>CEILING(P539-0.5,0.1)*10*0.15+2.3</f>
        <v>2.4499999999999997</v>
      </c>
      <c r="R539" s="11"/>
      <c r="S539" s="11"/>
      <c r="T539" s="11"/>
      <c r="U539" s="11">
        <f t="shared" si="164"/>
        <v>2.4499999999999997</v>
      </c>
      <c r="V539" t="s">
        <v>15</v>
      </c>
      <c r="W539">
        <v>2.4500000000000002</v>
      </c>
      <c r="X539" s="1" t="s">
        <v>20</v>
      </c>
    </row>
    <row r="540" spans="1:24" x14ac:dyDescent="0.25">
      <c r="A540" s="1" t="str">
        <f t="shared" si="159"/>
        <v>卡卡杜-凤凰仓</v>
      </c>
      <c r="B540" s="1" t="str">
        <f>"CK202410311778"</f>
        <v>CK202410311778</v>
      </c>
      <c r="C540" s="1" t="str">
        <f>"DD2024103112919"</f>
        <v>DD2024103112919</v>
      </c>
      <c r="D540" s="1" t="str">
        <f>"CK2024103118701"</f>
        <v>CK2024103118701</v>
      </c>
      <c r="E540" s="1" t="str">
        <f>"3723672754056726016"</f>
        <v>3723672754056726016</v>
      </c>
      <c r="F540" s="1" t="str">
        <f t="shared" si="160"/>
        <v>花都四部-凤凰仓</v>
      </c>
      <c r="G540" s="1" t="str">
        <f t="shared" si="166"/>
        <v>卡卡杜企业店（视频号）</v>
      </c>
      <c r="H540" s="1" t="str">
        <f t="shared" si="161"/>
        <v>正常订单</v>
      </c>
      <c r="I540" s="1" t="str">
        <f t="shared" si="162"/>
        <v>已发货</v>
      </c>
      <c r="J540" s="1" t="str">
        <f t="shared" ref="J540:J543" si="169">"2"</f>
        <v>2</v>
      </c>
      <c r="K540" s="1">
        <v>2</v>
      </c>
      <c r="L540" s="1" t="s">
        <v>36</v>
      </c>
      <c r="M540" s="1" t="str">
        <f>"安徽省 铜陵市 铜官区 "</f>
        <v xml:space="preserve">安徽省 铜陵市 铜官区 </v>
      </c>
      <c r="N540" s="1" t="str">
        <f t="shared" si="155"/>
        <v>凡华云仓-城南圆通-微信视频号</v>
      </c>
      <c r="O540" s="5" t="s">
        <v>578</v>
      </c>
      <c r="P540" s="6">
        <v>0.17</v>
      </c>
      <c r="Q540" s="11">
        <v>2</v>
      </c>
      <c r="R540" s="11"/>
      <c r="S540" s="11"/>
      <c r="T540" s="11"/>
      <c r="U540" s="11">
        <f t="shared" si="164"/>
        <v>2</v>
      </c>
      <c r="W540">
        <v>2.2000000000000002</v>
      </c>
      <c r="X540" s="1" t="s">
        <v>36</v>
      </c>
    </row>
    <row r="541" spans="1:24" x14ac:dyDescent="0.25">
      <c r="A541" s="1" t="str">
        <f t="shared" si="159"/>
        <v>卡卡杜-凤凰仓</v>
      </c>
      <c r="B541" s="1" t="str">
        <f>"CK20241031117"</f>
        <v>CK20241031117</v>
      </c>
      <c r="C541" s="1" t="str">
        <f>"DD2024103112261"</f>
        <v>DD2024103112261</v>
      </c>
      <c r="D541" s="1" t="str">
        <f>"CK2024103118700"</f>
        <v>CK2024103118700</v>
      </c>
      <c r="E541" s="1" t="str">
        <f>"3723672666377163776"</f>
        <v>3723672666377163776</v>
      </c>
      <c r="F541" s="1" t="str">
        <f t="shared" si="160"/>
        <v>花都四部-凤凰仓</v>
      </c>
      <c r="G541" s="1" t="str">
        <f t="shared" si="166"/>
        <v>卡卡杜企业店（视频号）</v>
      </c>
      <c r="H541" s="1" t="str">
        <f t="shared" si="161"/>
        <v>正常订单</v>
      </c>
      <c r="I541" s="1" t="str">
        <f t="shared" si="162"/>
        <v>已发货</v>
      </c>
      <c r="J541" s="1" t="str">
        <f>"3"</f>
        <v>3</v>
      </c>
      <c r="K541" s="1">
        <v>2</v>
      </c>
      <c r="L541" s="1" t="s">
        <v>18</v>
      </c>
      <c r="M541" s="1" t="str">
        <f>"广东省 深圳市 南山区 "</f>
        <v xml:space="preserve">广东省 深圳市 南山区 </v>
      </c>
      <c r="N541" s="1" t="str">
        <f t="shared" si="155"/>
        <v>凡华云仓-城南圆通-微信视频号</v>
      </c>
      <c r="O541" s="5" t="s">
        <v>579</v>
      </c>
      <c r="P541" s="6">
        <v>0.25</v>
      </c>
      <c r="Q541" s="11">
        <v>2</v>
      </c>
      <c r="R541" s="11"/>
      <c r="S541" s="11"/>
      <c r="T541" s="11"/>
      <c r="U541" s="11">
        <f t="shared" si="164"/>
        <v>2</v>
      </c>
      <c r="W541">
        <v>2.2000000000000002</v>
      </c>
      <c r="X541" s="1" t="s">
        <v>18</v>
      </c>
    </row>
    <row r="542" spans="1:24" x14ac:dyDescent="0.25">
      <c r="A542" s="1" t="str">
        <f t="shared" si="159"/>
        <v>卡卡杜-凤凰仓</v>
      </c>
      <c r="B542" s="1" t="str">
        <f>"CK202410311779"</f>
        <v>CK202410311779</v>
      </c>
      <c r="C542" s="1" t="str">
        <f>"DD2024103112918"</f>
        <v>DD2024103112918</v>
      </c>
      <c r="D542" s="1" t="str">
        <f>"CK2024103118699"</f>
        <v>CK2024103118699</v>
      </c>
      <c r="E542" s="1" t="str">
        <f>"3723672662206711298"</f>
        <v>3723672662206711298</v>
      </c>
      <c r="F542" s="1" t="str">
        <f t="shared" si="160"/>
        <v>花都四部-凤凰仓</v>
      </c>
      <c r="G542" s="1" t="str">
        <f t="shared" si="166"/>
        <v>卡卡杜企业店（视频号）</v>
      </c>
      <c r="H542" s="1" t="str">
        <f t="shared" si="161"/>
        <v>正常订单</v>
      </c>
      <c r="I542" s="1" t="str">
        <f t="shared" si="162"/>
        <v>已发货</v>
      </c>
      <c r="J542" s="1" t="str">
        <f t="shared" si="169"/>
        <v>2</v>
      </c>
      <c r="K542" s="1">
        <v>2</v>
      </c>
      <c r="L542" s="1" t="s">
        <v>20</v>
      </c>
      <c r="M542" s="1" t="str">
        <f>"浙江省 宁波市 鄞州区 "</f>
        <v xml:space="preserve">浙江省 宁波市 鄞州区 </v>
      </c>
      <c r="N542" s="1" t="str">
        <f t="shared" si="155"/>
        <v>凡华云仓-城南圆通-微信视频号</v>
      </c>
      <c r="O542" s="5" t="s">
        <v>580</v>
      </c>
      <c r="P542" s="6">
        <v>0.17</v>
      </c>
      <c r="Q542" s="11">
        <v>2</v>
      </c>
      <c r="R542" s="11"/>
      <c r="S542" s="11"/>
      <c r="T542" s="11"/>
      <c r="U542" s="11">
        <f t="shared" si="164"/>
        <v>2</v>
      </c>
      <c r="W542">
        <v>2.2000000000000002</v>
      </c>
      <c r="X542" s="1" t="s">
        <v>20</v>
      </c>
    </row>
    <row r="543" spans="1:24" x14ac:dyDescent="0.25">
      <c r="A543" s="1" t="str">
        <f t="shared" si="159"/>
        <v>卡卡杜-凤凰仓</v>
      </c>
      <c r="B543" s="1" t="str">
        <f>"CK202410311780"</f>
        <v>CK202410311780</v>
      </c>
      <c r="C543" s="1" t="str">
        <f>"DD2024103112920"</f>
        <v>DD2024103112920</v>
      </c>
      <c r="D543" s="1" t="str">
        <f>"CK2024103118698"</f>
        <v>CK2024103118698</v>
      </c>
      <c r="E543" s="1" t="str">
        <f>"3723672649625637889"</f>
        <v>3723672649625637889</v>
      </c>
      <c r="F543" s="1" t="str">
        <f t="shared" si="160"/>
        <v>花都四部-凤凰仓</v>
      </c>
      <c r="G543" s="1" t="str">
        <f t="shared" si="166"/>
        <v>卡卡杜企业店（视频号）</v>
      </c>
      <c r="H543" s="1" t="str">
        <f t="shared" si="161"/>
        <v>正常订单</v>
      </c>
      <c r="I543" s="1" t="str">
        <f t="shared" si="162"/>
        <v>已发货</v>
      </c>
      <c r="J543" s="1" t="str">
        <f t="shared" si="169"/>
        <v>2</v>
      </c>
      <c r="K543" s="1">
        <v>2</v>
      </c>
      <c r="L543" s="1" t="s">
        <v>161</v>
      </c>
      <c r="M543" s="1" t="str">
        <f>"四川省 成都市 郫都区 "</f>
        <v xml:space="preserve">四川省 成都市 郫都区 </v>
      </c>
      <c r="N543" s="1" t="str">
        <f t="shared" si="155"/>
        <v>凡华云仓-城南圆通-微信视频号</v>
      </c>
      <c r="O543" s="5" t="s">
        <v>581</v>
      </c>
      <c r="P543" s="6">
        <v>0.17</v>
      </c>
      <c r="Q543" s="11">
        <v>2</v>
      </c>
      <c r="R543" s="11"/>
      <c r="S543" s="11"/>
      <c r="T543" s="11"/>
      <c r="U543" s="11">
        <f t="shared" si="164"/>
        <v>2</v>
      </c>
      <c r="W543">
        <v>2.2000000000000002</v>
      </c>
      <c r="X543" s="1" t="s">
        <v>161</v>
      </c>
    </row>
    <row r="544" spans="1:24" x14ac:dyDescent="0.25">
      <c r="A544" s="1" t="str">
        <f t="shared" si="159"/>
        <v>卡卡杜-凤凰仓</v>
      </c>
      <c r="B544" s="1" t="str">
        <f>"CK20241031269"</f>
        <v>CK20241031269</v>
      </c>
      <c r="C544" s="1" t="str">
        <f>"DD2024103112501"</f>
        <v>DD2024103112501</v>
      </c>
      <c r="D544" s="1" t="str">
        <f>"CK2024103118697"</f>
        <v>CK2024103118697</v>
      </c>
      <c r="E544" s="1" t="str">
        <f>"3723672636035302912"</f>
        <v>3723672636035302912</v>
      </c>
      <c r="F544" s="1" t="str">
        <f t="shared" si="160"/>
        <v>花都四部-凤凰仓</v>
      </c>
      <c r="G544" s="1" t="str">
        <f t="shared" si="166"/>
        <v>卡卡杜企业店（视频号）</v>
      </c>
      <c r="H544" s="1" t="str">
        <f t="shared" si="161"/>
        <v>正常订单</v>
      </c>
      <c r="I544" s="1" t="str">
        <f t="shared" si="162"/>
        <v>已发货</v>
      </c>
      <c r="J544" s="1" t="str">
        <f>"3"</f>
        <v>3</v>
      </c>
      <c r="K544" s="1">
        <v>3</v>
      </c>
      <c r="L544" s="1" t="s">
        <v>20</v>
      </c>
      <c r="M544" s="1" t="str">
        <f>"浙江省 宁波市 鄞州区 "</f>
        <v xml:space="preserve">浙江省 宁波市 鄞州区 </v>
      </c>
      <c r="N544" s="1" t="str">
        <f t="shared" si="155"/>
        <v>凡华云仓-城南圆通-微信视频号</v>
      </c>
      <c r="O544" s="5" t="s">
        <v>582</v>
      </c>
      <c r="P544" s="6">
        <v>0.33</v>
      </c>
      <c r="Q544" s="11">
        <v>2.2999999999999998</v>
      </c>
      <c r="R544" s="11"/>
      <c r="S544" s="11"/>
      <c r="T544" s="11"/>
      <c r="U544" s="11">
        <f t="shared" si="164"/>
        <v>2.2999999999999998</v>
      </c>
      <c r="W544">
        <v>2.5</v>
      </c>
      <c r="X544" s="1" t="s">
        <v>20</v>
      </c>
    </row>
    <row r="545" spans="1:24" x14ac:dyDescent="0.25">
      <c r="A545" s="1" t="str">
        <f t="shared" si="159"/>
        <v>卡卡杜-凤凰仓</v>
      </c>
      <c r="B545" s="1" t="str">
        <f>"CK202410311781"</f>
        <v>CK202410311781</v>
      </c>
      <c r="C545" s="1" t="str">
        <f>"DD2024103112921"</f>
        <v>DD2024103112921</v>
      </c>
      <c r="D545" s="1" t="str">
        <f>"CK2024103118696"</f>
        <v>CK2024103118696</v>
      </c>
      <c r="E545" s="1" t="str">
        <f>"3723672628384892418"</f>
        <v>3723672628384892418</v>
      </c>
      <c r="F545" s="1" t="str">
        <f t="shared" si="160"/>
        <v>花都四部-凤凰仓</v>
      </c>
      <c r="G545" s="1" t="str">
        <f t="shared" si="166"/>
        <v>卡卡杜企业店（视频号）</v>
      </c>
      <c r="H545" s="1" t="str">
        <f t="shared" si="161"/>
        <v>正常订单</v>
      </c>
      <c r="I545" s="1" t="str">
        <f t="shared" si="162"/>
        <v>已发货</v>
      </c>
      <c r="J545" s="1" t="str">
        <f t="shared" ref="J545:J551" si="170">"2"</f>
        <v>2</v>
      </c>
      <c r="K545" s="1">
        <v>2</v>
      </c>
      <c r="L545" s="1" t="s">
        <v>16</v>
      </c>
      <c r="M545" s="1" t="str">
        <f>"河北省 承德市 隆化县 "</f>
        <v xml:space="preserve">河北省 承德市 隆化县 </v>
      </c>
      <c r="N545" s="1" t="str">
        <f t="shared" si="155"/>
        <v>凡华云仓-城南圆通-微信视频号</v>
      </c>
      <c r="O545" s="5" t="s">
        <v>583</v>
      </c>
      <c r="P545" s="6">
        <v>0.17</v>
      </c>
      <c r="Q545" s="11">
        <v>2</v>
      </c>
      <c r="R545" s="11"/>
      <c r="S545" s="11"/>
      <c r="T545" s="11"/>
      <c r="U545" s="11">
        <f t="shared" si="164"/>
        <v>2</v>
      </c>
      <c r="W545">
        <v>2.2000000000000002</v>
      </c>
      <c r="X545" s="1" t="s">
        <v>16</v>
      </c>
    </row>
    <row r="546" spans="1:24" x14ac:dyDescent="0.25">
      <c r="A546" s="1" t="str">
        <f t="shared" si="159"/>
        <v>卡卡杜-凤凰仓</v>
      </c>
      <c r="B546" s="1" t="str">
        <f>"CK202410311782"</f>
        <v>CK202410311782</v>
      </c>
      <c r="C546" s="1" t="str">
        <f>"DD2024103112922"</f>
        <v>DD2024103112922</v>
      </c>
      <c r="D546" s="1" t="str">
        <f>"CK2024103118695"</f>
        <v>CK2024103118695</v>
      </c>
      <c r="E546" s="1" t="str">
        <f>"3723672617306162432"</f>
        <v>3723672617306162432</v>
      </c>
      <c r="F546" s="1" t="str">
        <f t="shared" si="160"/>
        <v>花都四部-凤凰仓</v>
      </c>
      <c r="G546" s="1" t="str">
        <f t="shared" si="166"/>
        <v>卡卡杜企业店（视频号）</v>
      </c>
      <c r="H546" s="1" t="str">
        <f t="shared" si="161"/>
        <v>正常订单</v>
      </c>
      <c r="I546" s="1" t="str">
        <f t="shared" si="162"/>
        <v>已发货</v>
      </c>
      <c r="J546" s="1" t="str">
        <f t="shared" si="170"/>
        <v>2</v>
      </c>
      <c r="K546" s="1">
        <v>2</v>
      </c>
      <c r="L546" s="1" t="s">
        <v>105</v>
      </c>
      <c r="M546" s="1" t="str">
        <f>"北京 北京市 顺义区 "</f>
        <v xml:space="preserve">北京 北京市 顺义区 </v>
      </c>
      <c r="N546" s="1" t="str">
        <f t="shared" si="155"/>
        <v>凡华云仓-城南圆通-微信视频号</v>
      </c>
      <c r="O546" s="5" t="s">
        <v>584</v>
      </c>
      <c r="P546" s="6">
        <v>0.17</v>
      </c>
      <c r="Q546" s="11">
        <v>2</v>
      </c>
      <c r="R546" s="11"/>
      <c r="S546" s="11"/>
      <c r="T546" s="11"/>
      <c r="U546" s="11">
        <f t="shared" si="164"/>
        <v>2</v>
      </c>
      <c r="W546">
        <v>2.2000000000000002</v>
      </c>
      <c r="X546" s="1" t="s">
        <v>105</v>
      </c>
    </row>
    <row r="547" spans="1:24" x14ac:dyDescent="0.25">
      <c r="A547" s="1" t="str">
        <f t="shared" si="159"/>
        <v>卡卡杜-凤凰仓</v>
      </c>
      <c r="B547" s="1" t="str">
        <f>"CK20241031111"</f>
        <v>CK20241031111</v>
      </c>
      <c r="C547" s="1" t="str">
        <f>"DD2024103112249"</f>
        <v>DD2024103112249</v>
      </c>
      <c r="D547" s="1" t="str">
        <f>"CK2024103118694"</f>
        <v>CK2024103118694</v>
      </c>
      <c r="E547" s="1" t="str">
        <f>"3723672610626995457"</f>
        <v>3723672610626995457</v>
      </c>
      <c r="F547" s="1" t="str">
        <f t="shared" si="160"/>
        <v>花都四部-凤凰仓</v>
      </c>
      <c r="G547" s="1" t="str">
        <f t="shared" si="166"/>
        <v>卡卡杜企业店（视频号）</v>
      </c>
      <c r="H547" s="1" t="str">
        <f t="shared" si="161"/>
        <v>正常订单</v>
      </c>
      <c r="I547" s="1" t="str">
        <f t="shared" si="162"/>
        <v>已发货</v>
      </c>
      <c r="J547" s="1" t="str">
        <f>"3"</f>
        <v>3</v>
      </c>
      <c r="K547" s="1">
        <v>2</v>
      </c>
      <c r="L547" s="1" t="s">
        <v>30</v>
      </c>
      <c r="M547" s="1" t="str">
        <f>"山东省 淄博市 张店区 "</f>
        <v xml:space="preserve">山东省 淄博市 张店区 </v>
      </c>
      <c r="N547" s="1" t="str">
        <f t="shared" si="155"/>
        <v>凡华云仓-城南圆通-微信视频号</v>
      </c>
      <c r="O547" s="5" t="s">
        <v>585</v>
      </c>
      <c r="P547" s="6">
        <v>0.25</v>
      </c>
      <c r="Q547" s="11">
        <v>2</v>
      </c>
      <c r="R547" s="11"/>
      <c r="S547" s="11"/>
      <c r="T547" s="11"/>
      <c r="U547" s="11">
        <f t="shared" si="164"/>
        <v>2</v>
      </c>
      <c r="W547">
        <v>2.2000000000000002</v>
      </c>
      <c r="X547" s="1" t="s">
        <v>30</v>
      </c>
    </row>
    <row r="548" spans="1:24" x14ac:dyDescent="0.25">
      <c r="A548" s="1" t="str">
        <f t="shared" si="159"/>
        <v>卡卡杜-凤凰仓</v>
      </c>
      <c r="B548" s="1" t="str">
        <f>"CK202410311783"</f>
        <v>CK202410311783</v>
      </c>
      <c r="C548" s="1" t="str">
        <f>"DD2024103112923"</f>
        <v>DD2024103112923</v>
      </c>
      <c r="D548" s="1" t="str">
        <f>"CK2024103118693"</f>
        <v>CK2024103118693</v>
      </c>
      <c r="E548" s="1" t="str">
        <f>"3723672610442187776"</f>
        <v>3723672610442187776</v>
      </c>
      <c r="F548" s="1" t="str">
        <f t="shared" si="160"/>
        <v>花都四部-凤凰仓</v>
      </c>
      <c r="G548" s="1" t="str">
        <f t="shared" si="166"/>
        <v>卡卡杜企业店（视频号）</v>
      </c>
      <c r="H548" s="1" t="str">
        <f t="shared" si="161"/>
        <v>正常订单</v>
      </c>
      <c r="I548" s="1" t="str">
        <f t="shared" si="162"/>
        <v>已发货</v>
      </c>
      <c r="J548" s="1" t="str">
        <f t="shared" si="170"/>
        <v>2</v>
      </c>
      <c r="K548" s="1">
        <v>2</v>
      </c>
      <c r="L548" s="1" t="s">
        <v>18</v>
      </c>
      <c r="M548" s="1" t="str">
        <f>"广东省 珠海市 香洲区 "</f>
        <v xml:space="preserve">广东省 珠海市 香洲区 </v>
      </c>
      <c r="N548" s="1" t="str">
        <f t="shared" si="155"/>
        <v>凡华云仓-城南圆通-微信视频号</v>
      </c>
      <c r="O548" s="5" t="s">
        <v>586</v>
      </c>
      <c r="P548" s="6">
        <v>0.17</v>
      </c>
      <c r="Q548" s="11">
        <v>2</v>
      </c>
      <c r="R548" s="11"/>
      <c r="S548" s="11"/>
      <c r="T548" s="11"/>
      <c r="U548" s="11">
        <f t="shared" si="164"/>
        <v>2</v>
      </c>
      <c r="W548">
        <v>2.2000000000000002</v>
      </c>
      <c r="X548" s="1" t="s">
        <v>18</v>
      </c>
    </row>
    <row r="549" spans="1:24" x14ac:dyDescent="0.25">
      <c r="A549" s="1" t="str">
        <f t="shared" si="159"/>
        <v>卡卡杜-凤凰仓</v>
      </c>
      <c r="B549" s="1" t="str">
        <f>"CK202410311784"</f>
        <v>CK202410311784</v>
      </c>
      <c r="C549" s="1" t="str">
        <f>"DD2024103112924"</f>
        <v>DD2024103112924</v>
      </c>
      <c r="D549" s="1" t="str">
        <f>"CK2024103118692"</f>
        <v>CK2024103118692</v>
      </c>
      <c r="E549" s="1" t="str">
        <f>"3723672612257534976"</f>
        <v>3723672612257534976</v>
      </c>
      <c r="F549" s="1" t="str">
        <f t="shared" si="160"/>
        <v>花都四部-凤凰仓</v>
      </c>
      <c r="G549" s="1" t="str">
        <f t="shared" si="166"/>
        <v>卡卡杜企业店（视频号）</v>
      </c>
      <c r="H549" s="1" t="str">
        <f t="shared" si="161"/>
        <v>正常订单</v>
      </c>
      <c r="I549" s="1" t="str">
        <f t="shared" si="162"/>
        <v>已发货</v>
      </c>
      <c r="J549" s="1" t="str">
        <f t="shared" si="170"/>
        <v>2</v>
      </c>
      <c r="K549" s="1">
        <v>2</v>
      </c>
      <c r="L549" s="1" t="s">
        <v>187</v>
      </c>
      <c r="M549" s="1" t="str">
        <f>"吉林省 长春市 南关区 "</f>
        <v xml:space="preserve">吉林省 长春市 南关区 </v>
      </c>
      <c r="N549" s="1" t="str">
        <f t="shared" si="155"/>
        <v>凡华云仓-城南圆通-微信视频号</v>
      </c>
      <c r="O549" s="5" t="s">
        <v>587</v>
      </c>
      <c r="P549" s="6">
        <v>0.17</v>
      </c>
      <c r="Q549" s="11">
        <v>2</v>
      </c>
      <c r="R549" s="11"/>
      <c r="S549" s="11"/>
      <c r="T549" s="11"/>
      <c r="U549" s="11">
        <f t="shared" si="164"/>
        <v>2</v>
      </c>
      <c r="W549">
        <v>2.2000000000000002</v>
      </c>
      <c r="X549" s="1" t="s">
        <v>187</v>
      </c>
    </row>
    <row r="550" spans="1:24" x14ac:dyDescent="0.25">
      <c r="A550" s="1" t="str">
        <f t="shared" si="159"/>
        <v>卡卡杜-凤凰仓</v>
      </c>
      <c r="B550" s="1" t="str">
        <f>"CK202410311816"</f>
        <v>CK202410311816</v>
      </c>
      <c r="C550" s="1" t="str">
        <f>"DD2024103112956"</f>
        <v>DD2024103112956</v>
      </c>
      <c r="D550" s="1" t="str">
        <f>"CK2024103118691"</f>
        <v>CK2024103118691</v>
      </c>
      <c r="E550" s="1" t="str">
        <f>"3723672546399621120"</f>
        <v>3723672546399621120</v>
      </c>
      <c r="F550" s="1" t="str">
        <f t="shared" si="160"/>
        <v>花都四部-凤凰仓</v>
      </c>
      <c r="G550" s="1" t="str">
        <f t="shared" si="166"/>
        <v>卡卡杜企业店（视频号）</v>
      </c>
      <c r="H550" s="1" t="str">
        <f t="shared" si="161"/>
        <v>正常订单</v>
      </c>
      <c r="I550" s="1" t="str">
        <f t="shared" si="162"/>
        <v>已发货</v>
      </c>
      <c r="J550" s="1" t="str">
        <f t="shared" si="170"/>
        <v>2</v>
      </c>
      <c r="K550" s="1">
        <v>2</v>
      </c>
      <c r="L550" s="1" t="s">
        <v>18</v>
      </c>
      <c r="M550" s="1" t="str">
        <f>"广东省 深圳市 龙岗区 "</f>
        <v xml:space="preserve">广东省 深圳市 龙岗区 </v>
      </c>
      <c r="N550" s="1" t="str">
        <f t="shared" si="155"/>
        <v>凡华云仓-城南圆通-微信视频号</v>
      </c>
      <c r="O550" s="5" t="s">
        <v>588</v>
      </c>
      <c r="P550" s="6">
        <v>0.17</v>
      </c>
      <c r="Q550" s="11">
        <v>2</v>
      </c>
      <c r="R550" s="11"/>
      <c r="S550" s="11"/>
      <c r="T550" s="11"/>
      <c r="U550" s="11">
        <f t="shared" si="164"/>
        <v>2</v>
      </c>
      <c r="W550">
        <v>2.2000000000000002</v>
      </c>
      <c r="X550" s="1" t="s">
        <v>18</v>
      </c>
    </row>
    <row r="551" spans="1:24" x14ac:dyDescent="0.25">
      <c r="A551" s="1" t="str">
        <f t="shared" si="159"/>
        <v>卡卡杜-凤凰仓</v>
      </c>
      <c r="B551" s="1" t="str">
        <f>"CK202410311785"</f>
        <v>CK202410311785</v>
      </c>
      <c r="C551" s="1" t="str">
        <f>"DD2024103112925"</f>
        <v>DD2024103112925</v>
      </c>
      <c r="D551" s="1" t="str">
        <f>"CK2024103118690"</f>
        <v>CK2024103118690</v>
      </c>
      <c r="E551" s="1" t="str">
        <f>"3723672607575115008"</f>
        <v>3723672607575115008</v>
      </c>
      <c r="F551" s="1" t="str">
        <f t="shared" si="160"/>
        <v>花都四部-凤凰仓</v>
      </c>
      <c r="G551" s="1" t="str">
        <f t="shared" si="166"/>
        <v>卡卡杜企业店（视频号）</v>
      </c>
      <c r="H551" s="1" t="str">
        <f t="shared" si="161"/>
        <v>正常订单</v>
      </c>
      <c r="I551" s="1" t="str">
        <f t="shared" si="162"/>
        <v>已发货</v>
      </c>
      <c r="J551" s="1" t="str">
        <f t="shared" si="170"/>
        <v>2</v>
      </c>
      <c r="K551" s="1">
        <v>2</v>
      </c>
      <c r="L551" s="1" t="s">
        <v>13</v>
      </c>
      <c r="M551" s="1" t="str">
        <f>"江苏省 南京市 栖霞区 "</f>
        <v xml:space="preserve">江苏省 南京市 栖霞区 </v>
      </c>
      <c r="N551" s="1" t="str">
        <f t="shared" si="155"/>
        <v>凡华云仓-城南圆通-微信视频号</v>
      </c>
      <c r="O551" s="5" t="s">
        <v>589</v>
      </c>
      <c r="P551" s="6">
        <v>0.17</v>
      </c>
      <c r="Q551" s="11">
        <v>2</v>
      </c>
      <c r="R551" s="11"/>
      <c r="S551" s="11"/>
      <c r="T551" s="11"/>
      <c r="U551" s="11">
        <f t="shared" si="164"/>
        <v>2</v>
      </c>
      <c r="W551">
        <v>2.2000000000000002</v>
      </c>
      <c r="X551" s="1" t="s">
        <v>13</v>
      </c>
    </row>
    <row r="552" spans="1:24" x14ac:dyDescent="0.25">
      <c r="A552" s="1" t="str">
        <f t="shared" si="159"/>
        <v>卡卡杜-凤凰仓</v>
      </c>
      <c r="B552" s="1" t="str">
        <f>"CK20241031138"</f>
        <v>CK20241031138</v>
      </c>
      <c r="C552" s="1" t="str">
        <f>"DD2024103112320"</f>
        <v>DD2024103112320</v>
      </c>
      <c r="D552" s="1" t="str">
        <f>"CK2024103118689"</f>
        <v>CK2024103118689</v>
      </c>
      <c r="E552" s="1" t="str">
        <f>"3723672600975641600"</f>
        <v>3723672600975641600</v>
      </c>
      <c r="F552" s="1" t="str">
        <f t="shared" si="160"/>
        <v>花都四部-凤凰仓</v>
      </c>
      <c r="G552" s="1" t="str">
        <f t="shared" si="166"/>
        <v>卡卡杜企业店（视频号）</v>
      </c>
      <c r="H552" s="1" t="str">
        <f t="shared" si="161"/>
        <v>正常订单</v>
      </c>
      <c r="I552" s="1" t="str">
        <f t="shared" si="162"/>
        <v>已发货</v>
      </c>
      <c r="J552" s="1" t="str">
        <f t="shared" ref="J552:J557" si="171">"3"</f>
        <v>3</v>
      </c>
      <c r="K552" s="1">
        <v>2</v>
      </c>
      <c r="L552" s="1" t="s">
        <v>105</v>
      </c>
      <c r="M552" s="1" t="str">
        <f>"北京 北京市 丰台区 "</f>
        <v xml:space="preserve">北京 北京市 丰台区 </v>
      </c>
      <c r="N552" s="1" t="str">
        <f t="shared" si="155"/>
        <v>凡华云仓-城南圆通-微信视频号</v>
      </c>
      <c r="O552" s="5" t="s">
        <v>590</v>
      </c>
      <c r="P552" s="6">
        <v>0.25</v>
      </c>
      <c r="Q552" s="11">
        <v>2</v>
      </c>
      <c r="R552" s="11"/>
      <c r="S552" s="11"/>
      <c r="T552" s="11"/>
      <c r="U552" s="11">
        <f t="shared" si="164"/>
        <v>2</v>
      </c>
      <c r="W552">
        <v>2.2000000000000002</v>
      </c>
      <c r="X552" s="1" t="s">
        <v>105</v>
      </c>
    </row>
    <row r="553" spans="1:24" x14ac:dyDescent="0.25">
      <c r="A553" s="1" t="str">
        <f t="shared" si="159"/>
        <v>卡卡杜-凤凰仓</v>
      </c>
      <c r="B553" s="1" t="str">
        <f>"CK202410311790"</f>
        <v>CK202410311790</v>
      </c>
      <c r="C553" s="1" t="str">
        <f>"DD2024103112931"</f>
        <v>DD2024103112931</v>
      </c>
      <c r="D553" s="1" t="str">
        <f>"CK2024103118688"</f>
        <v>CK2024103118688</v>
      </c>
      <c r="E553" s="1" t="str">
        <f>"3723672580010151936"</f>
        <v>3723672580010151936</v>
      </c>
      <c r="F553" s="1" t="str">
        <f t="shared" si="160"/>
        <v>花都四部-凤凰仓</v>
      </c>
      <c r="G553" s="1" t="str">
        <f t="shared" si="166"/>
        <v>卡卡杜企业店（视频号）</v>
      </c>
      <c r="H553" s="1" t="str">
        <f t="shared" si="161"/>
        <v>正常订单</v>
      </c>
      <c r="I553" s="1" t="str">
        <f t="shared" si="162"/>
        <v>已发货</v>
      </c>
      <c r="J553" s="1" t="str">
        <f>"2"</f>
        <v>2</v>
      </c>
      <c r="K553" s="1">
        <v>2</v>
      </c>
      <c r="L553" s="1" t="s">
        <v>92</v>
      </c>
      <c r="M553" s="1" t="str">
        <f>"辽宁省 沈阳市 辽中区 "</f>
        <v xml:space="preserve">辽宁省 沈阳市 辽中区 </v>
      </c>
      <c r="N553" s="1" t="str">
        <f t="shared" si="155"/>
        <v>凡华云仓-城南圆通-微信视频号</v>
      </c>
      <c r="O553" s="5" t="s">
        <v>591</v>
      </c>
      <c r="P553" s="6">
        <v>0.17</v>
      </c>
      <c r="Q553" s="11">
        <v>2</v>
      </c>
      <c r="R553" s="11"/>
      <c r="S553" s="11"/>
      <c r="T553" s="11"/>
      <c r="U553" s="11">
        <f t="shared" si="164"/>
        <v>2</v>
      </c>
      <c r="W553">
        <v>2.2000000000000002</v>
      </c>
      <c r="X553" s="1" t="s">
        <v>92</v>
      </c>
    </row>
    <row r="554" spans="1:24" x14ac:dyDescent="0.25">
      <c r="A554" s="1" t="str">
        <f t="shared" si="159"/>
        <v>卡卡杜-凤凰仓</v>
      </c>
      <c r="B554" s="1" t="str">
        <f>"CK20241031135"</f>
        <v>CK20241031135</v>
      </c>
      <c r="C554" s="1" t="str">
        <f>"DD2024103112312"</f>
        <v>DD2024103112312</v>
      </c>
      <c r="D554" s="1" t="str">
        <f>"CK2024103118687"</f>
        <v>CK2024103118687</v>
      </c>
      <c r="E554" s="1" t="str">
        <f>"3723672590097190912"</f>
        <v>3723672590097190912</v>
      </c>
      <c r="F554" s="1" t="str">
        <f t="shared" si="160"/>
        <v>花都四部-凤凰仓</v>
      </c>
      <c r="G554" s="1" t="str">
        <f t="shared" si="166"/>
        <v>卡卡杜企业店（视频号）</v>
      </c>
      <c r="H554" s="1" t="str">
        <f t="shared" si="161"/>
        <v>正常订单</v>
      </c>
      <c r="I554" s="1" t="str">
        <f t="shared" si="162"/>
        <v>已发货</v>
      </c>
      <c r="J554" s="1" t="str">
        <f t="shared" si="171"/>
        <v>3</v>
      </c>
      <c r="K554" s="1">
        <v>2</v>
      </c>
      <c r="L554" s="1" t="s">
        <v>18</v>
      </c>
      <c r="M554" s="1" t="str">
        <f>"广东省 佛山市 南海区 "</f>
        <v xml:space="preserve">广东省 佛山市 南海区 </v>
      </c>
      <c r="N554" s="1" t="str">
        <f t="shared" si="155"/>
        <v>凡华云仓-城南圆通-微信视频号</v>
      </c>
      <c r="O554" s="5" t="s">
        <v>592</v>
      </c>
      <c r="P554" s="6">
        <v>0.25</v>
      </c>
      <c r="Q554" s="11">
        <v>2</v>
      </c>
      <c r="R554" s="11"/>
      <c r="S554" s="11"/>
      <c r="T554" s="11"/>
      <c r="U554" s="11">
        <f t="shared" si="164"/>
        <v>2</v>
      </c>
      <c r="W554">
        <v>2.2000000000000002</v>
      </c>
      <c r="X554" s="1" t="s">
        <v>18</v>
      </c>
    </row>
    <row r="555" spans="1:24" x14ac:dyDescent="0.25">
      <c r="A555" s="1" t="str">
        <f t="shared" si="159"/>
        <v>卡卡杜-凤凰仓</v>
      </c>
      <c r="B555" s="1" t="str">
        <f>"CK20241031134"</f>
        <v>CK20241031134</v>
      </c>
      <c r="C555" s="1" t="str">
        <f>"DD2024103112308"</f>
        <v>DD2024103112308</v>
      </c>
      <c r="D555" s="1" t="str">
        <f>"CK2024103118686"</f>
        <v>CK2024103118686</v>
      </c>
      <c r="E555" s="1" t="str">
        <f>"3723672588467176705"</f>
        <v>3723672588467176705</v>
      </c>
      <c r="F555" s="1" t="str">
        <f t="shared" si="160"/>
        <v>花都四部-凤凰仓</v>
      </c>
      <c r="G555" s="1" t="str">
        <f t="shared" si="166"/>
        <v>卡卡杜企业店（视频号）</v>
      </c>
      <c r="H555" s="1" t="str">
        <f t="shared" si="161"/>
        <v>正常订单</v>
      </c>
      <c r="I555" s="1" t="str">
        <f t="shared" si="162"/>
        <v>已发货</v>
      </c>
      <c r="J555" s="1" t="str">
        <f t="shared" si="171"/>
        <v>3</v>
      </c>
      <c r="K555" s="1">
        <v>2</v>
      </c>
      <c r="L555" s="1" t="s">
        <v>105</v>
      </c>
      <c r="M555" s="1" t="str">
        <f>"北京 北京市 朝阳区 "</f>
        <v xml:space="preserve">北京 北京市 朝阳区 </v>
      </c>
      <c r="N555" s="1" t="str">
        <f t="shared" si="155"/>
        <v>凡华云仓-城南圆通-微信视频号</v>
      </c>
      <c r="O555" s="5" t="s">
        <v>593</v>
      </c>
      <c r="P555" s="6">
        <v>0.25</v>
      </c>
      <c r="Q555" s="11">
        <v>2</v>
      </c>
      <c r="R555" s="11"/>
      <c r="S555" s="11"/>
      <c r="T555" s="11"/>
      <c r="U555" s="11">
        <f t="shared" si="164"/>
        <v>2</v>
      </c>
      <c r="W555">
        <v>2.2000000000000002</v>
      </c>
      <c r="X555" s="1" t="s">
        <v>105</v>
      </c>
    </row>
    <row r="556" spans="1:24" x14ac:dyDescent="0.25">
      <c r="A556" s="1" t="str">
        <f t="shared" si="159"/>
        <v>卡卡杜-凤凰仓</v>
      </c>
      <c r="B556" s="1" t="str">
        <f>"CK20241031203"</f>
        <v>CK20241031203</v>
      </c>
      <c r="C556" s="1" t="str">
        <f>"DD2024103112424"</f>
        <v>DD2024103112424</v>
      </c>
      <c r="D556" s="1" t="str">
        <f>"CK2024103118685"</f>
        <v>CK2024103118685</v>
      </c>
      <c r="E556" s="1" t="str">
        <f>"3723672554019620096"</f>
        <v>3723672554019620096</v>
      </c>
      <c r="F556" s="1" t="str">
        <f t="shared" si="160"/>
        <v>花都四部-凤凰仓</v>
      </c>
      <c r="G556" s="1" t="str">
        <f t="shared" si="166"/>
        <v>卡卡杜企业店（视频号）</v>
      </c>
      <c r="H556" s="1" t="str">
        <f t="shared" si="161"/>
        <v>正常订单</v>
      </c>
      <c r="I556" s="1" t="str">
        <f t="shared" si="162"/>
        <v>已发货</v>
      </c>
      <c r="J556" s="1" t="str">
        <f t="shared" si="171"/>
        <v>3</v>
      </c>
      <c r="K556" s="1">
        <v>2</v>
      </c>
      <c r="L556" s="1" t="s">
        <v>92</v>
      </c>
      <c r="M556" s="1" t="str">
        <f>"辽宁省 盘锦市 兴隆台区 "</f>
        <v xml:space="preserve">辽宁省 盘锦市 兴隆台区 </v>
      </c>
      <c r="N556" s="1" t="str">
        <f t="shared" si="155"/>
        <v>凡华云仓-城南圆通-微信视频号</v>
      </c>
      <c r="O556" s="5" t="s">
        <v>594</v>
      </c>
      <c r="P556" s="6">
        <v>0.25</v>
      </c>
      <c r="Q556" s="11">
        <v>2</v>
      </c>
      <c r="R556" s="11"/>
      <c r="S556" s="11"/>
      <c r="T556" s="11"/>
      <c r="U556" s="11">
        <f t="shared" si="164"/>
        <v>2</v>
      </c>
      <c r="W556">
        <v>2.2000000000000002</v>
      </c>
      <c r="X556" s="1" t="s">
        <v>92</v>
      </c>
    </row>
    <row r="557" spans="1:24" x14ac:dyDescent="0.25">
      <c r="A557" s="1" t="str">
        <f t="shared" si="159"/>
        <v>卡卡杜-凤凰仓</v>
      </c>
      <c r="B557" s="1" t="str">
        <f>"CK20241031238"</f>
        <v>CK20241031238</v>
      </c>
      <c r="C557" s="1" t="str">
        <f>"DD2024103112459"</f>
        <v>DD2024103112459</v>
      </c>
      <c r="D557" s="1" t="str">
        <f>"CK2024103118684"</f>
        <v>CK2024103118684</v>
      </c>
      <c r="E557" s="1" t="str">
        <f>"3723672574683646977"</f>
        <v>3723672574683646977</v>
      </c>
      <c r="F557" s="1" t="str">
        <f t="shared" si="160"/>
        <v>花都四部-凤凰仓</v>
      </c>
      <c r="G557" s="1" t="str">
        <f t="shared" si="166"/>
        <v>卡卡杜企业店（视频号）</v>
      </c>
      <c r="H557" s="1" t="str">
        <f t="shared" si="161"/>
        <v>正常订单</v>
      </c>
      <c r="I557" s="1" t="str">
        <f t="shared" si="162"/>
        <v>已发货</v>
      </c>
      <c r="J557" s="1" t="str">
        <f t="shared" si="171"/>
        <v>3</v>
      </c>
      <c r="K557" s="1">
        <v>2</v>
      </c>
      <c r="L557" s="1" t="s">
        <v>105</v>
      </c>
      <c r="M557" s="1" t="str">
        <f>"北京 北京市 海淀区 "</f>
        <v xml:space="preserve">北京 北京市 海淀区 </v>
      </c>
      <c r="N557" s="1" t="str">
        <f t="shared" si="155"/>
        <v>凡华云仓-城南圆通-微信视频号</v>
      </c>
      <c r="O557" s="5" t="s">
        <v>595</v>
      </c>
      <c r="P557" s="6">
        <v>0.25</v>
      </c>
      <c r="Q557" s="11">
        <v>2</v>
      </c>
      <c r="R557" s="11"/>
      <c r="S557" s="11"/>
      <c r="T557" s="11"/>
      <c r="U557" s="11">
        <f t="shared" si="164"/>
        <v>2</v>
      </c>
      <c r="W557">
        <v>2.2000000000000002</v>
      </c>
      <c r="X557" s="1" t="s">
        <v>105</v>
      </c>
    </row>
    <row r="558" spans="1:24" x14ac:dyDescent="0.25">
      <c r="A558" s="1" t="str">
        <f t="shared" si="159"/>
        <v>卡卡杜-凤凰仓</v>
      </c>
      <c r="B558" s="1" t="str">
        <f>"CK202410311792"</f>
        <v>CK202410311792</v>
      </c>
      <c r="C558" s="1" t="str">
        <f>"DD2024103112932"</f>
        <v>DD2024103112932</v>
      </c>
      <c r="D558" s="1" t="str">
        <f>"CK2024103118683"</f>
        <v>CK2024103118683</v>
      </c>
      <c r="E558" s="1" t="str">
        <f>"3723672578165444609"</f>
        <v>3723672578165444609</v>
      </c>
      <c r="F558" s="1" t="str">
        <f t="shared" si="160"/>
        <v>花都四部-凤凰仓</v>
      </c>
      <c r="G558" s="1" t="str">
        <f t="shared" si="166"/>
        <v>卡卡杜企业店（视频号）</v>
      </c>
      <c r="H558" s="1" t="str">
        <f t="shared" si="161"/>
        <v>正常订单</v>
      </c>
      <c r="I558" s="1" t="str">
        <f t="shared" si="162"/>
        <v>已发货</v>
      </c>
      <c r="J558" s="1" t="str">
        <f t="shared" ref="J558:J560" si="172">"2"</f>
        <v>2</v>
      </c>
      <c r="K558" s="1">
        <v>2</v>
      </c>
      <c r="L558" s="1" t="s">
        <v>105</v>
      </c>
      <c r="M558" s="1" t="str">
        <f>"北京 北京市 昌平区 "</f>
        <v xml:space="preserve">北京 北京市 昌平区 </v>
      </c>
      <c r="N558" s="1" t="str">
        <f t="shared" si="155"/>
        <v>凡华云仓-城南圆通-微信视频号</v>
      </c>
      <c r="O558" s="5" t="s">
        <v>596</v>
      </c>
      <c r="P558" s="6">
        <v>0.17</v>
      </c>
      <c r="Q558" s="11">
        <v>2</v>
      </c>
      <c r="R558" s="11"/>
      <c r="S558" s="11"/>
      <c r="T558" s="11"/>
      <c r="U558" s="11">
        <f t="shared" si="164"/>
        <v>2</v>
      </c>
      <c r="W558">
        <v>2.2000000000000002</v>
      </c>
      <c r="X558" s="1" t="s">
        <v>105</v>
      </c>
    </row>
    <row r="559" spans="1:24" x14ac:dyDescent="0.25">
      <c r="A559" s="1" t="str">
        <f t="shared" si="159"/>
        <v>卡卡杜-凤凰仓</v>
      </c>
      <c r="B559" s="1" t="str">
        <f>"CK202410311786"</f>
        <v>CK202410311786</v>
      </c>
      <c r="C559" s="1" t="str">
        <f>"DD2024103112926"</f>
        <v>DD2024103112926</v>
      </c>
      <c r="D559" s="1" t="str">
        <f>"CK2024103118682"</f>
        <v>CK2024103118682</v>
      </c>
      <c r="E559" s="1" t="str">
        <f>"3723672583598377984"</f>
        <v>3723672583598377984</v>
      </c>
      <c r="F559" s="1" t="str">
        <f t="shared" si="160"/>
        <v>花都四部-凤凰仓</v>
      </c>
      <c r="G559" s="1" t="str">
        <f t="shared" si="166"/>
        <v>卡卡杜企业店（视频号）</v>
      </c>
      <c r="H559" s="1" t="str">
        <f t="shared" si="161"/>
        <v>正常订单</v>
      </c>
      <c r="I559" s="1" t="str">
        <f t="shared" si="162"/>
        <v>已发货</v>
      </c>
      <c r="J559" s="1" t="str">
        <f t="shared" si="172"/>
        <v>2</v>
      </c>
      <c r="K559" s="1">
        <v>2</v>
      </c>
      <c r="L559" s="1" t="s">
        <v>74</v>
      </c>
      <c r="M559" s="1" t="str">
        <f>"上海 上海市 松江区 "</f>
        <v xml:space="preserve">上海 上海市 松江区 </v>
      </c>
      <c r="N559" s="1" t="str">
        <f t="shared" si="155"/>
        <v>凡华云仓-城南圆通-微信视频号</v>
      </c>
      <c r="O559" s="5" t="s">
        <v>597</v>
      </c>
      <c r="P559" s="6">
        <v>0.17</v>
      </c>
      <c r="Q559" s="11">
        <v>2</v>
      </c>
      <c r="R559" s="11"/>
      <c r="S559" s="11"/>
      <c r="T559" s="11"/>
      <c r="U559" s="11">
        <f t="shared" si="164"/>
        <v>2</v>
      </c>
      <c r="W559">
        <v>2.2000000000000002</v>
      </c>
      <c r="X559" s="1" t="s">
        <v>74</v>
      </c>
    </row>
    <row r="560" spans="1:24" x14ac:dyDescent="0.25">
      <c r="A560" s="1" t="str">
        <f t="shared" si="159"/>
        <v>卡卡杜-凤凰仓</v>
      </c>
      <c r="B560" s="1" t="str">
        <f>"CK202410311794"</f>
        <v>CK202410311794</v>
      </c>
      <c r="C560" s="1" t="str">
        <f>"DD2024103112936"</f>
        <v>DD2024103112936</v>
      </c>
      <c r="D560" s="1" t="str">
        <f>"CK2024103118681"</f>
        <v>CK2024103118681</v>
      </c>
      <c r="E560" s="1" t="str">
        <f>"3723672575592498689"</f>
        <v>3723672575592498689</v>
      </c>
      <c r="F560" s="1" t="str">
        <f t="shared" si="160"/>
        <v>花都四部-凤凰仓</v>
      </c>
      <c r="G560" s="1" t="str">
        <f t="shared" si="166"/>
        <v>卡卡杜企业店（视频号）</v>
      </c>
      <c r="H560" s="1" t="str">
        <f t="shared" si="161"/>
        <v>正常订单</v>
      </c>
      <c r="I560" s="1" t="str">
        <f t="shared" si="162"/>
        <v>已发货</v>
      </c>
      <c r="J560" s="1" t="str">
        <f t="shared" si="172"/>
        <v>2</v>
      </c>
      <c r="K560" s="1">
        <v>2</v>
      </c>
      <c r="L560" s="1" t="s">
        <v>66</v>
      </c>
      <c r="M560" s="1" t="str">
        <f>"内蒙古自治区 包头市 九原区 "</f>
        <v xml:space="preserve">内蒙古自治区 包头市 九原区 </v>
      </c>
      <c r="N560" s="1" t="str">
        <f t="shared" si="155"/>
        <v>凡华云仓-城南圆通-微信视频号</v>
      </c>
      <c r="O560" s="5" t="s">
        <v>598</v>
      </c>
      <c r="P560" s="6">
        <v>0.17</v>
      </c>
      <c r="Q560" s="11">
        <v>2</v>
      </c>
      <c r="R560" s="11"/>
      <c r="S560" s="11"/>
      <c r="T560" s="11"/>
      <c r="U560" s="11">
        <f t="shared" si="164"/>
        <v>2</v>
      </c>
      <c r="W560">
        <v>2.2000000000000002</v>
      </c>
      <c r="X560" s="1" t="s">
        <v>66</v>
      </c>
    </row>
    <row r="561" spans="1:24" x14ac:dyDescent="0.25">
      <c r="A561" s="1" t="str">
        <f t="shared" si="159"/>
        <v>卡卡杜-凤凰仓</v>
      </c>
      <c r="B561" s="1" t="str">
        <f>"CK20241031114"</f>
        <v>CK20241031114</v>
      </c>
      <c r="C561" s="1" t="str">
        <f>"DD2024103112255"</f>
        <v>DD2024103112255</v>
      </c>
      <c r="D561" s="1" t="str">
        <f>"CK2024103118680"</f>
        <v>CK2024103118680</v>
      </c>
      <c r="E561" s="1" t="str">
        <f>"3723672578308838400"</f>
        <v>3723672578308838400</v>
      </c>
      <c r="F561" s="1" t="str">
        <f t="shared" si="160"/>
        <v>花都四部-凤凰仓</v>
      </c>
      <c r="G561" s="1" t="str">
        <f t="shared" si="166"/>
        <v>卡卡杜企业店（视频号）</v>
      </c>
      <c r="H561" s="1" t="str">
        <f t="shared" si="161"/>
        <v>正常订单</v>
      </c>
      <c r="I561" s="1" t="str">
        <f t="shared" si="162"/>
        <v>已发货</v>
      </c>
      <c r="J561" s="1" t="str">
        <f>"3"</f>
        <v>3</v>
      </c>
      <c r="K561" s="1">
        <v>2</v>
      </c>
      <c r="L561" s="1" t="s">
        <v>187</v>
      </c>
      <c r="M561" s="1" t="str">
        <f>"吉林省 长春市 南关区 "</f>
        <v xml:space="preserve">吉林省 长春市 南关区 </v>
      </c>
      <c r="N561" s="1" t="str">
        <f t="shared" ref="N561:N568" si="173">"凡华云仓-城南圆通-微信视频号"</f>
        <v>凡华云仓-城南圆通-微信视频号</v>
      </c>
      <c r="O561" s="5" t="s">
        <v>599</v>
      </c>
      <c r="P561" s="6">
        <v>0.25</v>
      </c>
      <c r="Q561" s="11">
        <v>2</v>
      </c>
      <c r="R561" s="11"/>
      <c r="S561" s="11"/>
      <c r="T561" s="11"/>
      <c r="U561" s="11">
        <f t="shared" si="164"/>
        <v>2</v>
      </c>
      <c r="W561">
        <v>2.2000000000000002</v>
      </c>
      <c r="X561" s="1" t="s">
        <v>187</v>
      </c>
    </row>
    <row r="562" spans="1:24" x14ac:dyDescent="0.25">
      <c r="A562" s="1" t="str">
        <f t="shared" si="159"/>
        <v>卡卡杜-凤凰仓</v>
      </c>
      <c r="B562" s="1" t="str">
        <f>"CK202410311787"</f>
        <v>CK202410311787</v>
      </c>
      <c r="C562" s="1" t="str">
        <f>"DD2024103112927"</f>
        <v>DD2024103112927</v>
      </c>
      <c r="D562" s="1" t="str">
        <f>"CK2024103118679"</f>
        <v>CK2024103118679</v>
      </c>
      <c r="E562" s="1" t="str">
        <f>"3723672582171529217"</f>
        <v>3723672582171529217</v>
      </c>
      <c r="F562" s="1" t="str">
        <f t="shared" si="160"/>
        <v>花都四部-凤凰仓</v>
      </c>
      <c r="G562" s="1" t="str">
        <f t="shared" si="166"/>
        <v>卡卡杜企业店（视频号）</v>
      </c>
      <c r="H562" s="1" t="str">
        <f t="shared" si="161"/>
        <v>正常订单</v>
      </c>
      <c r="I562" s="1" t="str">
        <f t="shared" si="162"/>
        <v>已发货</v>
      </c>
      <c r="J562" s="1" t="str">
        <f t="shared" ref="J562:J565" si="174">"2"</f>
        <v>2</v>
      </c>
      <c r="K562" s="1">
        <v>2</v>
      </c>
      <c r="L562" s="1" t="s">
        <v>187</v>
      </c>
      <c r="M562" s="1" t="str">
        <f>"吉林省 长春市 南关区 "</f>
        <v xml:space="preserve">吉林省 长春市 南关区 </v>
      </c>
      <c r="N562" s="1" t="str">
        <f t="shared" si="173"/>
        <v>凡华云仓-城南圆通-微信视频号</v>
      </c>
      <c r="O562" s="5" t="s">
        <v>600</v>
      </c>
      <c r="P562" s="6">
        <v>0.17</v>
      </c>
      <c r="Q562" s="11">
        <v>2</v>
      </c>
      <c r="R562" s="11"/>
      <c r="S562" s="11"/>
      <c r="T562" s="11"/>
      <c r="U562" s="11">
        <f t="shared" si="164"/>
        <v>2</v>
      </c>
      <c r="W562">
        <v>2.2000000000000002</v>
      </c>
      <c r="X562" s="1" t="s">
        <v>187</v>
      </c>
    </row>
    <row r="563" spans="1:24" x14ac:dyDescent="0.25">
      <c r="A563" s="1" t="str">
        <f t="shared" si="159"/>
        <v>卡卡杜-凤凰仓</v>
      </c>
      <c r="B563" s="1" t="str">
        <f>"CK202410311788"</f>
        <v>CK202410311788</v>
      </c>
      <c r="C563" s="1" t="str">
        <f>"DD2024103112928"</f>
        <v>DD2024103112928</v>
      </c>
      <c r="D563" s="1" t="str">
        <f>"CK2024103118678"</f>
        <v>CK2024103118678</v>
      </c>
      <c r="E563" s="1" t="str">
        <f>"3723672580481484032"</f>
        <v>3723672580481484032</v>
      </c>
      <c r="F563" s="1" t="str">
        <f t="shared" si="160"/>
        <v>花都四部-凤凰仓</v>
      </c>
      <c r="G563" s="1" t="str">
        <f t="shared" si="166"/>
        <v>卡卡杜企业店（视频号）</v>
      </c>
      <c r="H563" s="1" t="str">
        <f t="shared" si="161"/>
        <v>正常订单</v>
      </c>
      <c r="I563" s="1" t="str">
        <f t="shared" si="162"/>
        <v>已发货</v>
      </c>
      <c r="J563" s="1" t="str">
        <f t="shared" si="174"/>
        <v>2</v>
      </c>
      <c r="K563" s="1">
        <v>2</v>
      </c>
      <c r="L563" s="1" t="s">
        <v>105</v>
      </c>
      <c r="M563" s="1" t="str">
        <f>"北京 北京市 石景山区 "</f>
        <v xml:space="preserve">北京 北京市 石景山区 </v>
      </c>
      <c r="N563" s="1" t="str">
        <f t="shared" si="173"/>
        <v>凡华云仓-城南圆通-微信视频号</v>
      </c>
      <c r="O563" s="5" t="s">
        <v>601</v>
      </c>
      <c r="P563" s="6">
        <v>0.17</v>
      </c>
      <c r="Q563" s="11">
        <v>2</v>
      </c>
      <c r="R563" s="11"/>
      <c r="S563" s="11"/>
      <c r="T563" s="11"/>
      <c r="U563" s="11">
        <f t="shared" si="164"/>
        <v>2</v>
      </c>
      <c r="W563">
        <v>2.2000000000000002</v>
      </c>
      <c r="X563" s="1" t="s">
        <v>105</v>
      </c>
    </row>
    <row r="564" spans="1:24" x14ac:dyDescent="0.25">
      <c r="A564" s="1" t="str">
        <f t="shared" si="159"/>
        <v>卡卡杜-凤凰仓</v>
      </c>
      <c r="B564" s="1" t="str">
        <f>"CK202410311789"</f>
        <v>CK202410311789</v>
      </c>
      <c r="C564" s="1" t="str">
        <f>"DD2024103112929"</f>
        <v>DD2024103112929</v>
      </c>
      <c r="D564" s="1" t="str">
        <f>"CK2024103118677"</f>
        <v>CK2024103118677</v>
      </c>
      <c r="E564" s="1" t="str">
        <f>"3723672580728689664"</f>
        <v>3723672580728689664</v>
      </c>
      <c r="F564" s="1" t="str">
        <f t="shared" si="160"/>
        <v>花都四部-凤凰仓</v>
      </c>
      <c r="G564" s="1" t="str">
        <f t="shared" si="166"/>
        <v>卡卡杜企业店（视频号）</v>
      </c>
      <c r="H564" s="1" t="str">
        <f t="shared" si="161"/>
        <v>正常订单</v>
      </c>
      <c r="I564" s="1" t="str">
        <f t="shared" si="162"/>
        <v>已发货</v>
      </c>
      <c r="J564" s="1" t="str">
        <f t="shared" si="174"/>
        <v>2</v>
      </c>
      <c r="K564" s="1">
        <v>2</v>
      </c>
      <c r="L564" s="1" t="s">
        <v>52</v>
      </c>
      <c r="M564" s="1" t="str">
        <f>"甘肃省 天水市 麦积区 "</f>
        <v xml:space="preserve">甘肃省 天水市 麦积区 </v>
      </c>
      <c r="N564" s="1" t="str">
        <f t="shared" si="173"/>
        <v>凡华云仓-城南圆通-微信视频号</v>
      </c>
      <c r="O564" s="5" t="s">
        <v>602</v>
      </c>
      <c r="P564" s="6">
        <v>0.17</v>
      </c>
      <c r="Q564" s="11">
        <v>2</v>
      </c>
      <c r="R564" s="11"/>
      <c r="S564" s="11"/>
      <c r="T564" s="11"/>
      <c r="U564" s="11">
        <f t="shared" si="164"/>
        <v>2</v>
      </c>
      <c r="W564">
        <v>2.2000000000000002</v>
      </c>
      <c r="X564" s="1" t="s">
        <v>52</v>
      </c>
    </row>
    <row r="565" spans="1:24" x14ac:dyDescent="0.25">
      <c r="A565" s="1" t="str">
        <f t="shared" si="159"/>
        <v>卡卡杜-凤凰仓</v>
      </c>
      <c r="B565" s="1" t="str">
        <f>"CK202410311791"</f>
        <v>CK202410311791</v>
      </c>
      <c r="C565" s="1" t="str">
        <f>"DD2024103112930"</f>
        <v>DD2024103112930</v>
      </c>
      <c r="D565" s="1" t="str">
        <f>"CK2024103118676"</f>
        <v>CK2024103118676</v>
      </c>
      <c r="E565" s="1" t="str">
        <f>"3723672580454221056"</f>
        <v>3723672580454221056</v>
      </c>
      <c r="F565" s="1" t="str">
        <f t="shared" si="160"/>
        <v>花都四部-凤凰仓</v>
      </c>
      <c r="G565" s="1" t="str">
        <f t="shared" si="166"/>
        <v>卡卡杜企业店（视频号）</v>
      </c>
      <c r="H565" s="1" t="str">
        <f t="shared" si="161"/>
        <v>正常订单</v>
      </c>
      <c r="I565" s="1" t="str">
        <f t="shared" si="162"/>
        <v>已发货</v>
      </c>
      <c r="J565" s="1" t="str">
        <f t="shared" si="174"/>
        <v>2</v>
      </c>
      <c r="K565" s="1">
        <v>2</v>
      </c>
      <c r="L565" s="1" t="s">
        <v>74</v>
      </c>
      <c r="M565" s="1" t="str">
        <f>"上海 上海市 杨浦区 "</f>
        <v xml:space="preserve">上海 上海市 杨浦区 </v>
      </c>
      <c r="N565" s="1" t="str">
        <f t="shared" si="173"/>
        <v>凡华云仓-城南圆通-微信视频号</v>
      </c>
      <c r="O565" s="5" t="s">
        <v>603</v>
      </c>
      <c r="P565" s="6">
        <v>0.17</v>
      </c>
      <c r="Q565" s="11">
        <v>2</v>
      </c>
      <c r="R565" s="11"/>
      <c r="S565" s="11"/>
      <c r="T565" s="11"/>
      <c r="U565" s="11">
        <f t="shared" si="164"/>
        <v>2</v>
      </c>
      <c r="W565">
        <v>2.2000000000000002</v>
      </c>
      <c r="X565" s="1" t="s">
        <v>74</v>
      </c>
    </row>
    <row r="566" spans="1:24" x14ac:dyDescent="0.25">
      <c r="A566" s="1" t="str">
        <f t="shared" si="159"/>
        <v>卡卡杜-凤凰仓</v>
      </c>
      <c r="B566" s="1" t="str">
        <f>"CK20241031129"</f>
        <v>CK20241031129</v>
      </c>
      <c r="C566" s="1" t="str">
        <f>"DD2024103112293"</f>
        <v>DD2024103112293</v>
      </c>
      <c r="D566" s="1" t="str">
        <f>"CK2024103118675"</f>
        <v>CK2024103118675</v>
      </c>
      <c r="E566" s="1" t="str">
        <f>"3723672577479148800"</f>
        <v>3723672577479148800</v>
      </c>
      <c r="F566" s="1" t="str">
        <f t="shared" si="160"/>
        <v>花都四部-凤凰仓</v>
      </c>
      <c r="G566" s="1" t="str">
        <f t="shared" si="166"/>
        <v>卡卡杜企业店（视频号）</v>
      </c>
      <c r="H566" s="1" t="str">
        <f t="shared" si="161"/>
        <v>正常订单</v>
      </c>
      <c r="I566" s="1" t="str">
        <f t="shared" si="162"/>
        <v>已发货</v>
      </c>
      <c r="J566" s="1" t="str">
        <f t="shared" ref="J566:J571" si="175">"3"</f>
        <v>3</v>
      </c>
      <c r="K566" s="1">
        <v>2</v>
      </c>
      <c r="L566" s="1" t="s">
        <v>44</v>
      </c>
      <c r="M566" s="1" t="str">
        <f>"海南省 省直辖县级行政区划 东方市 "</f>
        <v xml:space="preserve">海南省 省直辖县级行政区划 东方市 </v>
      </c>
      <c r="N566" s="1" t="str">
        <f t="shared" si="173"/>
        <v>凡华云仓-城南圆通-微信视频号</v>
      </c>
      <c r="O566" s="5" t="s">
        <v>604</v>
      </c>
      <c r="P566" s="6">
        <v>0.25</v>
      </c>
      <c r="Q566" s="11">
        <v>2</v>
      </c>
      <c r="R566" s="11"/>
      <c r="S566" s="11"/>
      <c r="T566" s="11"/>
      <c r="U566" s="11">
        <f t="shared" si="164"/>
        <v>2</v>
      </c>
      <c r="W566">
        <v>2.2000000000000002</v>
      </c>
      <c r="X566" s="1" t="s">
        <v>44</v>
      </c>
    </row>
    <row r="567" spans="1:24" x14ac:dyDescent="0.25">
      <c r="A567" s="1" t="str">
        <f t="shared" si="159"/>
        <v>卡卡杜-凤凰仓</v>
      </c>
      <c r="B567" s="1" t="str">
        <f>"CK20241031145"</f>
        <v>CK20241031145</v>
      </c>
      <c r="C567" s="1" t="str">
        <f>"DD2024103112335"</f>
        <v>DD2024103112335</v>
      </c>
      <c r="D567" s="1" t="str">
        <f>"CK2024103118674"</f>
        <v>CK2024103118674</v>
      </c>
      <c r="E567" s="1" t="str">
        <f>"3723672578464814080"</f>
        <v>3723672578464814080</v>
      </c>
      <c r="F567" s="1" t="str">
        <f t="shared" si="160"/>
        <v>花都四部-凤凰仓</v>
      </c>
      <c r="G567" s="1" t="str">
        <f t="shared" si="166"/>
        <v>卡卡杜企业店（视频号）</v>
      </c>
      <c r="H567" s="1" t="str">
        <f t="shared" si="161"/>
        <v>正常订单</v>
      </c>
      <c r="I567" s="1" t="str">
        <f t="shared" si="162"/>
        <v>已发货</v>
      </c>
      <c r="J567" s="1" t="str">
        <f t="shared" si="175"/>
        <v>3</v>
      </c>
      <c r="K567" s="1">
        <v>2</v>
      </c>
      <c r="L567" s="1" t="s">
        <v>22</v>
      </c>
      <c r="M567" s="1" t="str">
        <f>"江西省 南昌市 南昌县 "</f>
        <v xml:space="preserve">江西省 南昌市 南昌县 </v>
      </c>
      <c r="N567" s="1" t="str">
        <f t="shared" si="173"/>
        <v>凡华云仓-城南圆通-微信视频号</v>
      </c>
      <c r="O567" s="5" t="s">
        <v>605</v>
      </c>
      <c r="P567" s="6">
        <v>0.25</v>
      </c>
      <c r="Q567" s="11">
        <v>2</v>
      </c>
      <c r="R567" s="11"/>
      <c r="S567" s="11"/>
      <c r="T567" s="11"/>
      <c r="U567" s="11">
        <f t="shared" si="164"/>
        <v>2</v>
      </c>
      <c r="W567">
        <v>2.2000000000000002</v>
      </c>
      <c r="X567" s="1" t="s">
        <v>22</v>
      </c>
    </row>
    <row r="568" spans="1:24" x14ac:dyDescent="0.25">
      <c r="A568" s="1" t="str">
        <f t="shared" si="159"/>
        <v>卡卡杜-凤凰仓</v>
      </c>
      <c r="B568" s="1" t="str">
        <f>"CK202410311793"</f>
        <v>CK202410311793</v>
      </c>
      <c r="C568" s="1" t="str">
        <f>"DD2024103112933"</f>
        <v>DD2024103112933</v>
      </c>
      <c r="D568" s="1" t="str">
        <f>"CK2024103118673"</f>
        <v>CK2024103118673</v>
      </c>
      <c r="E568" s="1" t="str">
        <f>"3723672577255541760"</f>
        <v>3723672577255541760</v>
      </c>
      <c r="F568" s="1" t="str">
        <f t="shared" si="160"/>
        <v>花都四部-凤凰仓</v>
      </c>
      <c r="G568" s="1" t="str">
        <f t="shared" si="166"/>
        <v>卡卡杜企业店（视频号）</v>
      </c>
      <c r="H568" s="1" t="str">
        <f t="shared" si="161"/>
        <v>正常订单</v>
      </c>
      <c r="I568" s="1" t="str">
        <f t="shared" si="162"/>
        <v>已发货</v>
      </c>
      <c r="J568" s="1" t="str">
        <f t="shared" ref="J568:J570" si="176">"2"</f>
        <v>2</v>
      </c>
      <c r="K568" s="1">
        <v>2</v>
      </c>
      <c r="L568" s="1" t="s">
        <v>60</v>
      </c>
      <c r="M568" s="1" t="str">
        <f>"云南省 西双版纳傣族自治州 景洪市 "</f>
        <v xml:space="preserve">云南省 西双版纳傣族自治州 景洪市 </v>
      </c>
      <c r="N568" s="1" t="str">
        <f t="shared" si="173"/>
        <v>凡华云仓-城南圆通-微信视频号</v>
      </c>
      <c r="O568" s="5" t="s">
        <v>606</v>
      </c>
      <c r="P568" s="6">
        <v>0.17</v>
      </c>
      <c r="Q568" s="11">
        <v>2</v>
      </c>
      <c r="R568" s="11"/>
      <c r="S568" s="11"/>
      <c r="T568" s="11"/>
      <c r="U568" s="11">
        <f t="shared" si="164"/>
        <v>2</v>
      </c>
      <c r="W568">
        <v>2.2000000000000002</v>
      </c>
      <c r="X568" s="1" t="s">
        <v>60</v>
      </c>
    </row>
    <row r="569" spans="1:24" x14ac:dyDescent="0.25">
      <c r="A569" s="1" t="str">
        <f t="shared" si="159"/>
        <v>卡卡杜-凤凰仓</v>
      </c>
      <c r="B569" s="1" t="str">
        <f>"CK202410311795"</f>
        <v>CK202410311795</v>
      </c>
      <c r="C569" s="1" t="str">
        <f>"DD2024103112934"</f>
        <v>DD2024103112934</v>
      </c>
      <c r="D569" s="1" t="str">
        <f>"CK2024103118672"</f>
        <v>CK2024103118672</v>
      </c>
      <c r="E569" s="1" t="str">
        <f>"3723672576925504512"</f>
        <v>3723672576925504512</v>
      </c>
      <c r="F569" s="1" t="str">
        <f t="shared" si="160"/>
        <v>花都四部-凤凰仓</v>
      </c>
      <c r="G569" s="1" t="str">
        <f t="shared" si="166"/>
        <v>卡卡杜企业店（视频号）</v>
      </c>
      <c r="H569" s="1" t="str">
        <f t="shared" si="161"/>
        <v>正常订单</v>
      </c>
      <c r="I569" s="1" t="str">
        <f t="shared" si="162"/>
        <v>已发货</v>
      </c>
      <c r="J569" s="1" t="str">
        <f t="shared" si="176"/>
        <v>2</v>
      </c>
      <c r="K569" s="1">
        <v>2</v>
      </c>
      <c r="L569" s="1" t="s">
        <v>32</v>
      </c>
      <c r="M569" s="1" t="str">
        <f>"陕西省 西安市 碑林区 "</f>
        <v xml:space="preserve">陕西省 西安市 碑林区 </v>
      </c>
      <c r="N569" s="1" t="str">
        <f>"凡华云仓-竹料中通-微信视频号"</f>
        <v>凡华云仓-竹料中通-微信视频号</v>
      </c>
      <c r="O569" s="5">
        <v>73613959784476</v>
      </c>
      <c r="P569" s="6">
        <v>0.17</v>
      </c>
      <c r="Q569" s="11">
        <v>2.2999999999999998</v>
      </c>
      <c r="R569" s="11"/>
      <c r="S569" s="11"/>
      <c r="T569" s="11"/>
      <c r="U569" s="11">
        <f t="shared" si="164"/>
        <v>2.2999999999999998</v>
      </c>
      <c r="W569">
        <v>2.5</v>
      </c>
      <c r="X569" s="1" t="s">
        <v>32</v>
      </c>
    </row>
    <row r="570" spans="1:24" x14ac:dyDescent="0.25">
      <c r="A570" s="1" t="str">
        <f t="shared" si="159"/>
        <v>卡卡杜-凤凰仓</v>
      </c>
      <c r="B570" s="1" t="str">
        <f>"CK202410311796"</f>
        <v>CK202410311796</v>
      </c>
      <c r="C570" s="1" t="str">
        <f>"DD2024103112937"</f>
        <v>DD2024103112937</v>
      </c>
      <c r="D570" s="1" t="str">
        <f>"CK2024103118671"</f>
        <v>CK2024103118671</v>
      </c>
      <c r="E570" s="1" t="str">
        <f>"3723672576716835840"</f>
        <v>3723672576716835840</v>
      </c>
      <c r="F570" s="1" t="str">
        <f t="shared" si="160"/>
        <v>花都四部-凤凰仓</v>
      </c>
      <c r="G570" s="1" t="str">
        <f t="shared" si="166"/>
        <v>卡卡杜企业店（视频号）</v>
      </c>
      <c r="H570" s="1" t="str">
        <f t="shared" si="161"/>
        <v>正常订单</v>
      </c>
      <c r="I570" s="1" t="str">
        <f t="shared" si="162"/>
        <v>已发货</v>
      </c>
      <c r="J570" s="1" t="str">
        <f t="shared" si="176"/>
        <v>2</v>
      </c>
      <c r="K570" s="1">
        <v>2</v>
      </c>
      <c r="L570" s="1" t="s">
        <v>109</v>
      </c>
      <c r="M570" s="1" t="str">
        <f>"山西省 临汾市 翼城县 "</f>
        <v xml:space="preserve">山西省 临汾市 翼城县 </v>
      </c>
      <c r="N570" s="1" t="str">
        <f t="shared" ref="N570:N633" si="177">"凡华云仓-城南圆通-微信视频号"</f>
        <v>凡华云仓-城南圆通-微信视频号</v>
      </c>
      <c r="O570" s="5" t="s">
        <v>607</v>
      </c>
      <c r="P570" s="6">
        <v>0.17</v>
      </c>
      <c r="Q570" s="11">
        <v>2</v>
      </c>
      <c r="R570" s="11"/>
      <c r="S570" s="11"/>
      <c r="T570" s="11"/>
      <c r="U570" s="11">
        <f t="shared" si="164"/>
        <v>2</v>
      </c>
      <c r="W570">
        <v>2.2000000000000002</v>
      </c>
      <c r="X570" s="1" t="s">
        <v>109</v>
      </c>
    </row>
    <row r="571" spans="1:24" x14ac:dyDescent="0.25">
      <c r="A571" s="1" t="str">
        <f t="shared" si="159"/>
        <v>卡卡杜-凤凰仓</v>
      </c>
      <c r="B571" s="1" t="str">
        <f>"CK20241031240"</f>
        <v>CK20241031240</v>
      </c>
      <c r="C571" s="1" t="str">
        <f>"DD2024103112462"</f>
        <v>DD2024103112462</v>
      </c>
      <c r="D571" s="1" t="str">
        <f>"CK2024103118670"</f>
        <v>CK2024103118670</v>
      </c>
      <c r="E571" s="1" t="str">
        <f>"3723672576807799809"</f>
        <v>3723672576807799809</v>
      </c>
      <c r="F571" s="1" t="str">
        <f t="shared" si="160"/>
        <v>花都四部-凤凰仓</v>
      </c>
      <c r="G571" s="1" t="str">
        <f t="shared" si="166"/>
        <v>卡卡杜企业店（视频号）</v>
      </c>
      <c r="H571" s="1" t="str">
        <f t="shared" si="161"/>
        <v>正常订单</v>
      </c>
      <c r="I571" s="1" t="str">
        <f t="shared" si="162"/>
        <v>已发货</v>
      </c>
      <c r="J571" s="1" t="str">
        <f t="shared" si="175"/>
        <v>3</v>
      </c>
      <c r="K571" s="1">
        <v>2</v>
      </c>
      <c r="L571" s="1" t="s">
        <v>30</v>
      </c>
      <c r="M571" s="1" t="str">
        <f>"山东省 济南市 天桥区 "</f>
        <v xml:space="preserve">山东省 济南市 天桥区 </v>
      </c>
      <c r="N571" s="1" t="str">
        <f t="shared" si="177"/>
        <v>凡华云仓-城南圆通-微信视频号</v>
      </c>
      <c r="O571" s="5" t="s">
        <v>608</v>
      </c>
      <c r="P571" s="6">
        <v>0.25</v>
      </c>
      <c r="Q571" s="11">
        <v>2</v>
      </c>
      <c r="R571" s="11"/>
      <c r="S571" s="11"/>
      <c r="T571" s="11"/>
      <c r="U571" s="11">
        <f t="shared" si="164"/>
        <v>2</v>
      </c>
      <c r="W571">
        <v>2.2000000000000002</v>
      </c>
      <c r="X571" s="1" t="s">
        <v>30</v>
      </c>
    </row>
    <row r="572" spans="1:24" x14ac:dyDescent="0.25">
      <c r="A572" s="1" t="str">
        <f t="shared" si="159"/>
        <v>卡卡杜-凤凰仓</v>
      </c>
      <c r="B572" s="1" t="str">
        <f>"CK202410311797"</f>
        <v>CK202410311797</v>
      </c>
      <c r="C572" s="1" t="str">
        <f>"DD2024103112935"</f>
        <v>DD2024103112935</v>
      </c>
      <c r="D572" s="1" t="str">
        <f>"CK2024103118669"</f>
        <v>CK2024103118669</v>
      </c>
      <c r="E572" s="1" t="str">
        <f>"3723672576725485056"</f>
        <v>3723672576725485056</v>
      </c>
      <c r="F572" s="1" t="str">
        <f t="shared" si="160"/>
        <v>花都四部-凤凰仓</v>
      </c>
      <c r="G572" s="1" t="str">
        <f t="shared" si="166"/>
        <v>卡卡杜企业店（视频号）</v>
      </c>
      <c r="H572" s="1" t="str">
        <f t="shared" si="161"/>
        <v>正常订单</v>
      </c>
      <c r="I572" s="1" t="str">
        <f t="shared" si="162"/>
        <v>已发货</v>
      </c>
      <c r="J572" s="1" t="str">
        <f t="shared" ref="J572:J580" si="178">"2"</f>
        <v>2</v>
      </c>
      <c r="K572" s="1">
        <v>2</v>
      </c>
      <c r="L572" s="1" t="s">
        <v>20</v>
      </c>
      <c r="M572" s="1" t="str">
        <f>"浙江省 衢州市 江山市 "</f>
        <v xml:space="preserve">浙江省 衢州市 江山市 </v>
      </c>
      <c r="N572" s="1" t="str">
        <f t="shared" si="177"/>
        <v>凡华云仓-城南圆通-微信视频号</v>
      </c>
      <c r="O572" s="5" t="s">
        <v>609</v>
      </c>
      <c r="P572" s="6">
        <v>0.17</v>
      </c>
      <c r="Q572" s="11">
        <v>2</v>
      </c>
      <c r="R572" s="11"/>
      <c r="S572" s="11"/>
      <c r="T572" s="11"/>
      <c r="U572" s="11">
        <f t="shared" si="164"/>
        <v>2</v>
      </c>
      <c r="W572">
        <v>2.2000000000000002</v>
      </c>
      <c r="X572" s="1" t="s">
        <v>20</v>
      </c>
    </row>
    <row r="573" spans="1:24" x14ac:dyDescent="0.25">
      <c r="A573" s="1" t="str">
        <f t="shared" si="159"/>
        <v>卡卡杜-凤凰仓</v>
      </c>
      <c r="B573" s="1" t="str">
        <f>"CK202410311798"</f>
        <v>CK202410311798</v>
      </c>
      <c r="C573" s="1" t="str">
        <f>"DD2024103112938"</f>
        <v>DD2024103112938</v>
      </c>
      <c r="D573" s="1" t="str">
        <f>"CK2024103118668"</f>
        <v>CK2024103118668</v>
      </c>
      <c r="E573" s="1" t="str">
        <f>"3723672575479516160"</f>
        <v>3723672575479516160</v>
      </c>
      <c r="F573" s="1" t="str">
        <f t="shared" si="160"/>
        <v>花都四部-凤凰仓</v>
      </c>
      <c r="G573" s="1" t="str">
        <f t="shared" si="166"/>
        <v>卡卡杜企业店（视频号）</v>
      </c>
      <c r="H573" s="1" t="str">
        <f t="shared" si="161"/>
        <v>正常订单</v>
      </c>
      <c r="I573" s="1" t="str">
        <f t="shared" si="162"/>
        <v>已发货</v>
      </c>
      <c r="J573" s="1" t="str">
        <f t="shared" si="178"/>
        <v>2</v>
      </c>
      <c r="K573" s="1">
        <v>2</v>
      </c>
      <c r="L573" s="1" t="s">
        <v>92</v>
      </c>
      <c r="M573" s="1" t="str">
        <f>"辽宁省 大连市 普兰店区 "</f>
        <v xml:space="preserve">辽宁省 大连市 普兰店区 </v>
      </c>
      <c r="N573" s="1" t="str">
        <f t="shared" si="177"/>
        <v>凡华云仓-城南圆通-微信视频号</v>
      </c>
      <c r="O573" s="5" t="s">
        <v>610</v>
      </c>
      <c r="P573" s="6">
        <v>0.17</v>
      </c>
      <c r="Q573" s="11">
        <v>2</v>
      </c>
      <c r="R573" s="11"/>
      <c r="S573" s="11"/>
      <c r="T573" s="11"/>
      <c r="U573" s="11">
        <f t="shared" si="164"/>
        <v>2</v>
      </c>
      <c r="W573">
        <v>2.2000000000000002</v>
      </c>
      <c r="X573" s="1" t="s">
        <v>92</v>
      </c>
    </row>
    <row r="574" spans="1:24" x14ac:dyDescent="0.25">
      <c r="A574" s="1" t="str">
        <f t="shared" si="159"/>
        <v>卡卡杜-凤凰仓</v>
      </c>
      <c r="B574" s="1" t="str">
        <f>"CK20241031209"</f>
        <v>CK20241031209</v>
      </c>
      <c r="C574" s="1" t="str">
        <f>"DD2024103112430"</f>
        <v>DD2024103112430</v>
      </c>
      <c r="D574" s="1" t="str">
        <f>"CK2024103118667"</f>
        <v>CK2024103118667</v>
      </c>
      <c r="E574" s="1" t="str">
        <f>"3723672574082028545"</f>
        <v>3723672574082028545</v>
      </c>
      <c r="F574" s="1" t="str">
        <f t="shared" si="160"/>
        <v>花都四部-凤凰仓</v>
      </c>
      <c r="G574" s="1" t="str">
        <f t="shared" si="166"/>
        <v>卡卡杜企业店（视频号）</v>
      </c>
      <c r="H574" s="1" t="str">
        <f t="shared" si="161"/>
        <v>正常订单</v>
      </c>
      <c r="I574" s="1" t="str">
        <f t="shared" si="162"/>
        <v>已发货</v>
      </c>
      <c r="J574" s="1" t="str">
        <f>"3"</f>
        <v>3</v>
      </c>
      <c r="K574" s="1">
        <v>2</v>
      </c>
      <c r="L574" s="1" t="s">
        <v>161</v>
      </c>
      <c r="M574" s="1" t="str">
        <f>"四川省 南充市 阆中市 "</f>
        <v xml:space="preserve">四川省 南充市 阆中市 </v>
      </c>
      <c r="N574" s="1" t="str">
        <f t="shared" si="177"/>
        <v>凡华云仓-城南圆通-微信视频号</v>
      </c>
      <c r="O574" s="5" t="s">
        <v>611</v>
      </c>
      <c r="P574" s="6">
        <v>0.25</v>
      </c>
      <c r="Q574" s="11">
        <v>2</v>
      </c>
      <c r="R574" s="11"/>
      <c r="S574" s="11"/>
      <c r="T574" s="11"/>
      <c r="U574" s="11">
        <f t="shared" si="164"/>
        <v>2</v>
      </c>
      <c r="W574">
        <v>2.2000000000000002</v>
      </c>
      <c r="X574" s="1" t="s">
        <v>161</v>
      </c>
    </row>
    <row r="575" spans="1:24" x14ac:dyDescent="0.25">
      <c r="A575" s="1" t="str">
        <f t="shared" si="159"/>
        <v>卡卡杜-凤凰仓</v>
      </c>
      <c r="B575" s="1" t="str">
        <f>"CK20241031185"</f>
        <v>CK20241031185</v>
      </c>
      <c r="C575" s="1" t="str">
        <f>"DD2024103112409"</f>
        <v>DD2024103112409</v>
      </c>
      <c r="D575" s="1" t="str">
        <f>"CK2024103118666"</f>
        <v>CK2024103118666</v>
      </c>
      <c r="E575" s="1" t="str">
        <f>"3723672573364801536"</f>
        <v>3723672573364801536</v>
      </c>
      <c r="F575" s="1" t="str">
        <f t="shared" si="160"/>
        <v>花都四部-凤凰仓</v>
      </c>
      <c r="G575" s="1" t="str">
        <f t="shared" si="166"/>
        <v>卡卡杜企业店（视频号）</v>
      </c>
      <c r="H575" s="1" t="str">
        <f t="shared" si="161"/>
        <v>正常订单</v>
      </c>
      <c r="I575" s="1" t="str">
        <f t="shared" si="162"/>
        <v>已发货</v>
      </c>
      <c r="J575" s="1" t="str">
        <f>"3"</f>
        <v>3</v>
      </c>
      <c r="K575" s="1">
        <v>2</v>
      </c>
      <c r="L575" s="1" t="s">
        <v>74</v>
      </c>
      <c r="M575" s="1" t="str">
        <f>"上海 上海市 普陀区 "</f>
        <v xml:space="preserve">上海 上海市 普陀区 </v>
      </c>
      <c r="N575" s="1" t="str">
        <f t="shared" si="177"/>
        <v>凡华云仓-城南圆通-微信视频号</v>
      </c>
      <c r="O575" s="5" t="s">
        <v>612</v>
      </c>
      <c r="P575" s="6">
        <v>0.25</v>
      </c>
      <c r="Q575" s="11">
        <v>2</v>
      </c>
      <c r="R575" s="11"/>
      <c r="S575" s="11"/>
      <c r="T575" s="11"/>
      <c r="U575" s="11">
        <f t="shared" si="164"/>
        <v>2</v>
      </c>
      <c r="W575">
        <v>2.2000000000000002</v>
      </c>
      <c r="X575" s="1" t="s">
        <v>74</v>
      </c>
    </row>
    <row r="576" spans="1:24" x14ac:dyDescent="0.25">
      <c r="A576" s="1" t="str">
        <f t="shared" si="159"/>
        <v>卡卡杜-凤凰仓</v>
      </c>
      <c r="B576" s="1" t="str">
        <f>"CK202410311799"</f>
        <v>CK202410311799</v>
      </c>
      <c r="C576" s="1" t="str">
        <f>"DD2024103112939"</f>
        <v>DD2024103112939</v>
      </c>
      <c r="D576" s="1" t="str">
        <f>"CK2024103118665"</f>
        <v>CK2024103118665</v>
      </c>
      <c r="E576" s="1" t="str">
        <f>"3723672571084932608"</f>
        <v>3723672571084932608</v>
      </c>
      <c r="F576" s="1" t="str">
        <f t="shared" si="160"/>
        <v>花都四部-凤凰仓</v>
      </c>
      <c r="G576" s="1" t="str">
        <f t="shared" si="166"/>
        <v>卡卡杜企业店（视频号）</v>
      </c>
      <c r="H576" s="1" t="str">
        <f t="shared" si="161"/>
        <v>正常订单</v>
      </c>
      <c r="I576" s="1" t="str">
        <f t="shared" si="162"/>
        <v>已发货</v>
      </c>
      <c r="J576" s="1" t="str">
        <f t="shared" si="178"/>
        <v>2</v>
      </c>
      <c r="K576" s="1">
        <v>2</v>
      </c>
      <c r="L576" s="1" t="s">
        <v>105</v>
      </c>
      <c r="M576" s="1" t="str">
        <f>"北京 北京市 丰台区 "</f>
        <v xml:space="preserve">北京 北京市 丰台区 </v>
      </c>
      <c r="N576" s="1" t="str">
        <f t="shared" si="177"/>
        <v>凡华云仓-城南圆通-微信视频号</v>
      </c>
      <c r="O576" s="5" t="s">
        <v>613</v>
      </c>
      <c r="P576" s="6">
        <v>0.17</v>
      </c>
      <c r="Q576" s="11">
        <v>2</v>
      </c>
      <c r="R576" s="11"/>
      <c r="S576" s="11"/>
      <c r="T576" s="11"/>
      <c r="U576" s="11">
        <f t="shared" si="164"/>
        <v>2</v>
      </c>
      <c r="W576">
        <v>2.2000000000000002</v>
      </c>
      <c r="X576" s="1" t="s">
        <v>105</v>
      </c>
    </row>
    <row r="577" spans="1:24" x14ac:dyDescent="0.25">
      <c r="A577" s="1" t="str">
        <f t="shared" si="159"/>
        <v>卡卡杜-凤凰仓</v>
      </c>
      <c r="B577" s="1" t="str">
        <f>"CK202410311800"</f>
        <v>CK202410311800</v>
      </c>
      <c r="C577" s="1" t="str">
        <f>"DD2024103112940"</f>
        <v>DD2024103112940</v>
      </c>
      <c r="D577" s="1" t="str">
        <f>"CK2024103118664"</f>
        <v>CK2024103118664</v>
      </c>
      <c r="E577" s="1" t="str">
        <f>"3723672571607911424"</f>
        <v>3723672571607911424</v>
      </c>
      <c r="F577" s="1" t="str">
        <f t="shared" si="160"/>
        <v>花都四部-凤凰仓</v>
      </c>
      <c r="G577" s="1" t="str">
        <f t="shared" si="166"/>
        <v>卡卡杜企业店（视频号）</v>
      </c>
      <c r="H577" s="1" t="str">
        <f t="shared" si="161"/>
        <v>正常订单</v>
      </c>
      <c r="I577" s="1" t="str">
        <f t="shared" si="162"/>
        <v>已发货</v>
      </c>
      <c r="J577" s="1" t="str">
        <f t="shared" si="178"/>
        <v>2</v>
      </c>
      <c r="K577" s="1">
        <v>2</v>
      </c>
      <c r="L577" s="1" t="s">
        <v>30</v>
      </c>
      <c r="M577" s="1" t="str">
        <f>"山东省 青岛市 城阳区 "</f>
        <v xml:space="preserve">山东省 青岛市 城阳区 </v>
      </c>
      <c r="N577" s="1" t="str">
        <f t="shared" si="177"/>
        <v>凡华云仓-城南圆通-微信视频号</v>
      </c>
      <c r="O577" s="5" t="s">
        <v>614</v>
      </c>
      <c r="P577" s="6">
        <v>0.17</v>
      </c>
      <c r="Q577" s="11">
        <v>2</v>
      </c>
      <c r="R577" s="11"/>
      <c r="S577" s="11"/>
      <c r="T577" s="11"/>
      <c r="U577" s="11">
        <f t="shared" si="164"/>
        <v>2</v>
      </c>
      <c r="W577">
        <v>2.2000000000000002</v>
      </c>
      <c r="X577" s="1" t="s">
        <v>30</v>
      </c>
    </row>
    <row r="578" spans="1:24" x14ac:dyDescent="0.25">
      <c r="A578" s="1" t="str">
        <f t="shared" ref="A578:A641" si="179">"卡卡杜-凤凰仓"</f>
        <v>卡卡杜-凤凰仓</v>
      </c>
      <c r="B578" s="1" t="str">
        <f>"CK202410311801"</f>
        <v>CK202410311801</v>
      </c>
      <c r="C578" s="1" t="str">
        <f>"DD2024103112941"</f>
        <v>DD2024103112941</v>
      </c>
      <c r="D578" s="1" t="str">
        <f>"CK2024103118663"</f>
        <v>CK2024103118663</v>
      </c>
      <c r="E578" s="1" t="str">
        <f>"3723672567427503104"</f>
        <v>3723672567427503104</v>
      </c>
      <c r="F578" s="1" t="str">
        <f t="shared" ref="F578:F641" si="180">"花都四部-凤凰仓"</f>
        <v>花都四部-凤凰仓</v>
      </c>
      <c r="G578" s="1" t="str">
        <f t="shared" si="166"/>
        <v>卡卡杜企业店（视频号）</v>
      </c>
      <c r="H578" s="1" t="str">
        <f t="shared" ref="H578:H641" si="181">"正常订单"</f>
        <v>正常订单</v>
      </c>
      <c r="I578" s="1" t="str">
        <f t="shared" ref="I578:I641" si="182">"已发货"</f>
        <v>已发货</v>
      </c>
      <c r="J578" s="1" t="str">
        <f t="shared" si="178"/>
        <v>2</v>
      </c>
      <c r="K578" s="1">
        <v>2</v>
      </c>
      <c r="L578" s="1" t="s">
        <v>109</v>
      </c>
      <c r="M578" s="1" t="str">
        <f>"山西省 太原市 万柏林区 "</f>
        <v xml:space="preserve">山西省 太原市 万柏林区 </v>
      </c>
      <c r="N578" s="1" t="str">
        <f t="shared" si="177"/>
        <v>凡华云仓-城南圆通-微信视频号</v>
      </c>
      <c r="O578" s="5" t="s">
        <v>615</v>
      </c>
      <c r="P578" s="6">
        <v>0.17</v>
      </c>
      <c r="Q578" s="11">
        <v>2</v>
      </c>
      <c r="R578" s="11"/>
      <c r="S578" s="11"/>
      <c r="T578" s="11"/>
      <c r="U578" s="11">
        <f t="shared" si="164"/>
        <v>2</v>
      </c>
      <c r="W578">
        <v>2.2000000000000002</v>
      </c>
      <c r="X578" s="1" t="s">
        <v>109</v>
      </c>
    </row>
    <row r="579" spans="1:24" x14ac:dyDescent="0.25">
      <c r="A579" s="1" t="str">
        <f t="shared" si="179"/>
        <v>卡卡杜-凤凰仓</v>
      </c>
      <c r="B579" s="1" t="str">
        <f>"CK202410311802"</f>
        <v>CK202410311802</v>
      </c>
      <c r="C579" s="1" t="str">
        <f>"DD2024103112942"</f>
        <v>DD2024103112942</v>
      </c>
      <c r="D579" s="1" t="str">
        <f>"CK2024103118662"</f>
        <v>CK2024103118662</v>
      </c>
      <c r="E579" s="1" t="str">
        <f>"3723672560218277376"</f>
        <v>3723672560218277376</v>
      </c>
      <c r="F579" s="1" t="str">
        <f t="shared" si="180"/>
        <v>花都四部-凤凰仓</v>
      </c>
      <c r="G579" s="1" t="str">
        <f t="shared" si="166"/>
        <v>卡卡杜企业店（视频号）</v>
      </c>
      <c r="H579" s="1" t="str">
        <f t="shared" si="181"/>
        <v>正常订单</v>
      </c>
      <c r="I579" s="1" t="str">
        <f t="shared" si="182"/>
        <v>已发货</v>
      </c>
      <c r="J579" s="1" t="str">
        <f t="shared" si="178"/>
        <v>2</v>
      </c>
      <c r="K579" s="1">
        <v>2</v>
      </c>
      <c r="L579" s="1" t="s">
        <v>105</v>
      </c>
      <c r="M579" s="1" t="str">
        <f>"北京 北京市 朝阳区 "</f>
        <v xml:space="preserve">北京 北京市 朝阳区 </v>
      </c>
      <c r="N579" s="1" t="str">
        <f t="shared" si="177"/>
        <v>凡华云仓-城南圆通-微信视频号</v>
      </c>
      <c r="O579" s="5" t="s">
        <v>616</v>
      </c>
      <c r="P579" s="6">
        <v>0.17</v>
      </c>
      <c r="Q579" s="11">
        <v>2</v>
      </c>
      <c r="R579" s="11"/>
      <c r="S579" s="11"/>
      <c r="T579" s="11"/>
      <c r="U579" s="11">
        <f t="shared" ref="U579:U642" si="183">T579+S579+R579+Q579</f>
        <v>2</v>
      </c>
      <c r="W579">
        <v>2.2000000000000002</v>
      </c>
      <c r="X579" s="1" t="s">
        <v>105</v>
      </c>
    </row>
    <row r="580" spans="1:24" x14ac:dyDescent="0.25">
      <c r="A580" s="1" t="str">
        <f t="shared" si="179"/>
        <v>卡卡杜-凤凰仓</v>
      </c>
      <c r="B580" s="1" t="str">
        <f>"CK202410311804"</f>
        <v>CK202410311804</v>
      </c>
      <c r="C580" s="1" t="str">
        <f>"DD2024103112944"</f>
        <v>DD2024103112944</v>
      </c>
      <c r="D580" s="1" t="str">
        <f>"CK2024103118661"</f>
        <v>CK2024103118661</v>
      </c>
      <c r="E580" s="1" t="str">
        <f>"3723672564279414786"</f>
        <v>3723672564279414786</v>
      </c>
      <c r="F580" s="1" t="str">
        <f t="shared" si="180"/>
        <v>花都四部-凤凰仓</v>
      </c>
      <c r="G580" s="1" t="str">
        <f t="shared" si="166"/>
        <v>卡卡杜企业店（视频号）</v>
      </c>
      <c r="H580" s="1" t="str">
        <f t="shared" si="181"/>
        <v>正常订单</v>
      </c>
      <c r="I580" s="1" t="str">
        <f t="shared" si="182"/>
        <v>已发货</v>
      </c>
      <c r="J580" s="1" t="str">
        <f t="shared" si="178"/>
        <v>2</v>
      </c>
      <c r="K580" s="1">
        <v>2</v>
      </c>
      <c r="L580" s="1" t="s">
        <v>105</v>
      </c>
      <c r="M580" s="1" t="str">
        <f>"北京 北京市 海淀区 "</f>
        <v xml:space="preserve">北京 北京市 海淀区 </v>
      </c>
      <c r="N580" s="1" t="str">
        <f t="shared" si="177"/>
        <v>凡华云仓-城南圆通-微信视频号</v>
      </c>
      <c r="O580" s="5" t="s">
        <v>617</v>
      </c>
      <c r="P580" s="6">
        <v>0.17</v>
      </c>
      <c r="Q580" s="11">
        <v>2</v>
      </c>
      <c r="R580" s="11"/>
      <c r="S580" s="11"/>
      <c r="T580" s="11"/>
      <c r="U580" s="11">
        <f t="shared" si="183"/>
        <v>2</v>
      </c>
      <c r="W580">
        <v>2.2000000000000002</v>
      </c>
      <c r="X580" s="1" t="s">
        <v>105</v>
      </c>
    </row>
    <row r="581" spans="1:24" x14ac:dyDescent="0.25">
      <c r="A581" s="1" t="str">
        <f t="shared" si="179"/>
        <v>卡卡杜-凤凰仓</v>
      </c>
      <c r="B581" s="1" t="str">
        <f>"CK20241031253"</f>
        <v>CK20241031253</v>
      </c>
      <c r="C581" s="1" t="str">
        <f>"DD2024103112480"</f>
        <v>DD2024103112480</v>
      </c>
      <c r="D581" s="1" t="str">
        <f>"CK2024103118660"</f>
        <v>CK2024103118660</v>
      </c>
      <c r="E581" s="1" t="str">
        <f>"3723672564364348417"</f>
        <v>3723672564364348417</v>
      </c>
      <c r="F581" s="1" t="str">
        <f t="shared" si="180"/>
        <v>花都四部-凤凰仓</v>
      </c>
      <c r="G581" s="1" t="str">
        <f t="shared" si="166"/>
        <v>卡卡杜企业店（视频号）</v>
      </c>
      <c r="H581" s="1" t="str">
        <f t="shared" si="181"/>
        <v>正常订单</v>
      </c>
      <c r="I581" s="1" t="str">
        <f t="shared" si="182"/>
        <v>已发货</v>
      </c>
      <c r="J581" s="1" t="str">
        <f t="shared" ref="J581:J585" si="184">"3"</f>
        <v>3</v>
      </c>
      <c r="K581" s="1">
        <v>2</v>
      </c>
      <c r="L581" s="1" t="s">
        <v>66</v>
      </c>
      <c r="M581" s="1" t="str">
        <f>"内蒙古自治区 呼伦贝尔市 扎兰屯市 "</f>
        <v xml:space="preserve">内蒙古自治区 呼伦贝尔市 扎兰屯市 </v>
      </c>
      <c r="N581" s="1" t="str">
        <f t="shared" si="177"/>
        <v>凡华云仓-城南圆通-微信视频号</v>
      </c>
      <c r="O581" s="5" t="s">
        <v>618</v>
      </c>
      <c r="P581" s="6">
        <v>0.25</v>
      </c>
      <c r="Q581" s="11">
        <v>2</v>
      </c>
      <c r="R581" s="11"/>
      <c r="S581" s="11"/>
      <c r="T581" s="11"/>
      <c r="U581" s="11">
        <f t="shared" si="183"/>
        <v>2</v>
      </c>
      <c r="W581">
        <v>2.2000000000000002</v>
      </c>
      <c r="X581" s="1" t="s">
        <v>66</v>
      </c>
    </row>
    <row r="582" spans="1:24" x14ac:dyDescent="0.25">
      <c r="A582" s="1" t="str">
        <f t="shared" si="179"/>
        <v>卡卡杜-凤凰仓</v>
      </c>
      <c r="B582" s="1" t="str">
        <f>"CK202410311803"</f>
        <v>CK202410311803</v>
      </c>
      <c r="C582" s="1" t="str">
        <f>"DD2024103112943"</f>
        <v>DD2024103112943</v>
      </c>
      <c r="D582" s="1" t="str">
        <f>"CK2024103118659"</f>
        <v>CK2024103118659</v>
      </c>
      <c r="E582" s="1" t="str">
        <f>"3723672564817335296"</f>
        <v>3723672564817335296</v>
      </c>
      <c r="F582" s="1" t="str">
        <f t="shared" si="180"/>
        <v>花都四部-凤凰仓</v>
      </c>
      <c r="G582" s="1" t="str">
        <f t="shared" si="166"/>
        <v>卡卡杜企业店（视频号）</v>
      </c>
      <c r="H582" s="1" t="str">
        <f t="shared" si="181"/>
        <v>正常订单</v>
      </c>
      <c r="I582" s="1" t="str">
        <f t="shared" si="182"/>
        <v>已发货</v>
      </c>
      <c r="J582" s="1" t="str">
        <f t="shared" ref="J582:J587" si="185">"2"</f>
        <v>2</v>
      </c>
      <c r="K582" s="1">
        <v>2</v>
      </c>
      <c r="L582" s="1" t="s">
        <v>13</v>
      </c>
      <c r="M582" s="1" t="str">
        <f>"江苏省 无锡市 梁溪区 "</f>
        <v xml:space="preserve">江苏省 无锡市 梁溪区 </v>
      </c>
      <c r="N582" s="1" t="str">
        <f t="shared" si="177"/>
        <v>凡华云仓-城南圆通-微信视频号</v>
      </c>
      <c r="O582" s="5" t="s">
        <v>619</v>
      </c>
      <c r="P582" s="6">
        <v>0.17</v>
      </c>
      <c r="Q582" s="11">
        <v>2</v>
      </c>
      <c r="R582" s="11"/>
      <c r="S582" s="11"/>
      <c r="T582" s="11"/>
      <c r="U582" s="11">
        <f t="shared" si="183"/>
        <v>2</v>
      </c>
      <c r="W582">
        <v>2.2000000000000002</v>
      </c>
      <c r="X582" s="1" t="s">
        <v>13</v>
      </c>
    </row>
    <row r="583" spans="1:24" x14ac:dyDescent="0.25">
      <c r="A583" s="1" t="str">
        <f t="shared" si="179"/>
        <v>卡卡杜-凤凰仓</v>
      </c>
      <c r="B583" s="1" t="str">
        <f>"CK20241031260"</f>
        <v>CK20241031260</v>
      </c>
      <c r="C583" s="1" t="str">
        <f>"DD2024103112489"</f>
        <v>DD2024103112489</v>
      </c>
      <c r="D583" s="1" t="str">
        <f>"CK2024103118658"</f>
        <v>CK2024103118658</v>
      </c>
      <c r="E583" s="1" t="str">
        <f>"3723672563168448512"</f>
        <v>3723672563168448512</v>
      </c>
      <c r="F583" s="1" t="str">
        <f t="shared" si="180"/>
        <v>花都四部-凤凰仓</v>
      </c>
      <c r="G583" s="1" t="str">
        <f t="shared" si="166"/>
        <v>卡卡杜企业店（视频号）</v>
      </c>
      <c r="H583" s="1" t="str">
        <f t="shared" si="181"/>
        <v>正常订单</v>
      </c>
      <c r="I583" s="1" t="str">
        <f t="shared" si="182"/>
        <v>已发货</v>
      </c>
      <c r="J583" s="1" t="str">
        <f t="shared" si="184"/>
        <v>3</v>
      </c>
      <c r="K583" s="1">
        <v>2</v>
      </c>
      <c r="L583" s="1" t="s">
        <v>105</v>
      </c>
      <c r="M583" s="1" t="str">
        <f>"北京 北京市 通州区 "</f>
        <v xml:space="preserve">北京 北京市 通州区 </v>
      </c>
      <c r="N583" s="1" t="str">
        <f t="shared" si="177"/>
        <v>凡华云仓-城南圆通-微信视频号</v>
      </c>
      <c r="O583" s="5" t="s">
        <v>620</v>
      </c>
      <c r="P583" s="6">
        <v>0.25</v>
      </c>
      <c r="Q583" s="11">
        <v>2</v>
      </c>
      <c r="R583" s="11"/>
      <c r="S583" s="11"/>
      <c r="T583" s="11"/>
      <c r="U583" s="11">
        <f t="shared" si="183"/>
        <v>2</v>
      </c>
      <c r="W583">
        <v>2.2000000000000002</v>
      </c>
      <c r="X583" s="1" t="s">
        <v>105</v>
      </c>
    </row>
    <row r="584" spans="1:24" x14ac:dyDescent="0.25">
      <c r="A584" s="1" t="str">
        <f t="shared" si="179"/>
        <v>卡卡杜-凤凰仓</v>
      </c>
      <c r="B584" s="1" t="str">
        <f>"CK202410311805"</f>
        <v>CK202410311805</v>
      </c>
      <c r="C584" s="1" t="str">
        <f>"DD2024103112945"</f>
        <v>DD2024103112945</v>
      </c>
      <c r="D584" s="1" t="str">
        <f>"CK2024103118657"</f>
        <v>CK2024103118657</v>
      </c>
      <c r="E584" s="1" t="str">
        <f>"3723672563426659328"</f>
        <v>3723672563426659328</v>
      </c>
      <c r="F584" s="1" t="str">
        <f t="shared" si="180"/>
        <v>花都四部-凤凰仓</v>
      </c>
      <c r="G584" s="1" t="str">
        <f t="shared" si="166"/>
        <v>卡卡杜企业店（视频号）</v>
      </c>
      <c r="H584" s="1" t="str">
        <f t="shared" si="181"/>
        <v>正常订单</v>
      </c>
      <c r="I584" s="1" t="str">
        <f t="shared" si="182"/>
        <v>已发货</v>
      </c>
      <c r="J584" s="1" t="str">
        <f t="shared" si="185"/>
        <v>2</v>
      </c>
      <c r="K584" s="1">
        <v>2</v>
      </c>
      <c r="L584" s="1" t="s">
        <v>66</v>
      </c>
      <c r="M584" s="1" t="str">
        <f>"内蒙古自治区 包头市 昆都仑区 "</f>
        <v xml:space="preserve">内蒙古自治区 包头市 昆都仑区 </v>
      </c>
      <c r="N584" s="1" t="str">
        <f t="shared" si="177"/>
        <v>凡华云仓-城南圆通-微信视频号</v>
      </c>
      <c r="O584" s="5" t="s">
        <v>621</v>
      </c>
      <c r="P584" s="6">
        <v>0.17</v>
      </c>
      <c r="Q584" s="11">
        <v>2</v>
      </c>
      <c r="R584" s="11"/>
      <c r="S584" s="11"/>
      <c r="T584" s="11"/>
      <c r="U584" s="11">
        <f t="shared" si="183"/>
        <v>2</v>
      </c>
      <c r="W584">
        <v>2.2000000000000002</v>
      </c>
      <c r="X584" s="1" t="s">
        <v>66</v>
      </c>
    </row>
    <row r="585" spans="1:24" x14ac:dyDescent="0.25">
      <c r="A585" s="1" t="str">
        <f t="shared" si="179"/>
        <v>卡卡杜-凤凰仓</v>
      </c>
      <c r="B585" s="1" t="str">
        <f>"CK20241031257"</f>
        <v>CK20241031257</v>
      </c>
      <c r="C585" s="1" t="str">
        <f>"DD2024103112486"</f>
        <v>DD2024103112486</v>
      </c>
      <c r="D585" s="1" t="str">
        <f>"CK2024103118656"</f>
        <v>CK2024103118656</v>
      </c>
      <c r="E585" s="1" t="str">
        <f>"3723672560704029952"</f>
        <v>3723672560704029952</v>
      </c>
      <c r="F585" s="1" t="str">
        <f t="shared" si="180"/>
        <v>花都四部-凤凰仓</v>
      </c>
      <c r="G585" s="1" t="str">
        <f t="shared" si="166"/>
        <v>卡卡杜企业店（视频号）</v>
      </c>
      <c r="H585" s="1" t="str">
        <f t="shared" si="181"/>
        <v>正常订单</v>
      </c>
      <c r="I585" s="1" t="str">
        <f t="shared" si="182"/>
        <v>已发货</v>
      </c>
      <c r="J585" s="1" t="str">
        <f t="shared" si="184"/>
        <v>3</v>
      </c>
      <c r="K585" s="1">
        <v>2</v>
      </c>
      <c r="L585" s="1" t="s">
        <v>218</v>
      </c>
      <c r="M585" s="1" t="str">
        <f>"天津 天津市 河西区 "</f>
        <v xml:space="preserve">天津 天津市 河西区 </v>
      </c>
      <c r="N585" s="1" t="str">
        <f t="shared" si="177"/>
        <v>凡华云仓-城南圆通-微信视频号</v>
      </c>
      <c r="O585" s="5" t="s">
        <v>622</v>
      </c>
      <c r="P585" s="6">
        <v>0.25</v>
      </c>
      <c r="Q585" s="11">
        <v>2</v>
      </c>
      <c r="R585" s="11"/>
      <c r="S585" s="11"/>
      <c r="T585" s="11"/>
      <c r="U585" s="11">
        <f t="shared" si="183"/>
        <v>2</v>
      </c>
      <c r="W585">
        <v>2.2000000000000002</v>
      </c>
      <c r="X585" s="1" t="s">
        <v>218</v>
      </c>
    </row>
    <row r="586" spans="1:24" x14ac:dyDescent="0.25">
      <c r="A586" s="1" t="str">
        <f t="shared" si="179"/>
        <v>卡卡杜-凤凰仓</v>
      </c>
      <c r="B586" s="1" t="str">
        <f>"CK202410311806"</f>
        <v>CK202410311806</v>
      </c>
      <c r="C586" s="1" t="str">
        <f>"DD2024103112946"</f>
        <v>DD2024103112946</v>
      </c>
      <c r="D586" s="1" t="str">
        <f>"CK2024103118655"</f>
        <v>CK2024103118655</v>
      </c>
      <c r="E586" s="1" t="str">
        <f>"3723672563339629568"</f>
        <v>3723672563339629568</v>
      </c>
      <c r="F586" s="1" t="str">
        <f t="shared" si="180"/>
        <v>花都四部-凤凰仓</v>
      </c>
      <c r="G586" s="1" t="str">
        <f t="shared" si="166"/>
        <v>卡卡杜企业店（视频号）</v>
      </c>
      <c r="H586" s="1" t="str">
        <f t="shared" si="181"/>
        <v>正常订单</v>
      </c>
      <c r="I586" s="1" t="str">
        <f t="shared" si="182"/>
        <v>已发货</v>
      </c>
      <c r="J586" s="1" t="str">
        <f t="shared" si="185"/>
        <v>2</v>
      </c>
      <c r="K586" s="1">
        <v>2</v>
      </c>
      <c r="L586" s="1" t="s">
        <v>109</v>
      </c>
      <c r="M586" s="1" t="str">
        <f>"山西省 大同市 平城区 "</f>
        <v xml:space="preserve">山西省 大同市 平城区 </v>
      </c>
      <c r="N586" s="1" t="str">
        <f t="shared" si="177"/>
        <v>凡华云仓-城南圆通-微信视频号</v>
      </c>
      <c r="O586" s="5" t="s">
        <v>623</v>
      </c>
      <c r="P586" s="6">
        <v>0.17</v>
      </c>
      <c r="Q586" s="11">
        <v>2</v>
      </c>
      <c r="R586" s="11"/>
      <c r="S586" s="11"/>
      <c r="T586" s="11"/>
      <c r="U586" s="11">
        <f t="shared" si="183"/>
        <v>2</v>
      </c>
      <c r="W586">
        <v>2.2000000000000002</v>
      </c>
      <c r="X586" s="1" t="s">
        <v>109</v>
      </c>
    </row>
    <row r="587" spans="1:24" x14ac:dyDescent="0.25">
      <c r="A587" s="1" t="str">
        <f t="shared" si="179"/>
        <v>卡卡杜-凤凰仓</v>
      </c>
      <c r="B587" s="1" t="str">
        <f>"CK202410311807"</f>
        <v>CK202410311807</v>
      </c>
      <c r="C587" s="1" t="str">
        <f>"DD2024103112947"</f>
        <v>DD2024103112947</v>
      </c>
      <c r="D587" s="1" t="str">
        <f>"CK2024103118654"</f>
        <v>CK2024103118654</v>
      </c>
      <c r="E587" s="1" t="str">
        <f>"3723672561973857281"</f>
        <v>3723672561973857281</v>
      </c>
      <c r="F587" s="1" t="str">
        <f t="shared" si="180"/>
        <v>花都四部-凤凰仓</v>
      </c>
      <c r="G587" s="1" t="str">
        <f t="shared" ref="G587:G640" si="186">"卡卡杜企业店（视频号）"</f>
        <v>卡卡杜企业店（视频号）</v>
      </c>
      <c r="H587" s="1" t="str">
        <f t="shared" si="181"/>
        <v>正常订单</v>
      </c>
      <c r="I587" s="1" t="str">
        <f t="shared" si="182"/>
        <v>已发货</v>
      </c>
      <c r="J587" s="1" t="str">
        <f t="shared" si="185"/>
        <v>2</v>
      </c>
      <c r="K587" s="1">
        <v>2</v>
      </c>
      <c r="L587" s="1" t="s">
        <v>13</v>
      </c>
      <c r="M587" s="1" t="str">
        <f>"江苏省 苏州市 张家港市 "</f>
        <v xml:space="preserve">江苏省 苏州市 张家港市 </v>
      </c>
      <c r="N587" s="1" t="str">
        <f t="shared" si="177"/>
        <v>凡华云仓-城南圆通-微信视频号</v>
      </c>
      <c r="O587" s="5" t="s">
        <v>624</v>
      </c>
      <c r="P587" s="6">
        <v>0.17</v>
      </c>
      <c r="Q587" s="11">
        <v>2</v>
      </c>
      <c r="R587" s="11"/>
      <c r="S587" s="11"/>
      <c r="T587" s="11"/>
      <c r="U587" s="11">
        <f t="shared" si="183"/>
        <v>2</v>
      </c>
      <c r="W587">
        <v>2.2000000000000002</v>
      </c>
      <c r="X587" s="1" t="s">
        <v>13</v>
      </c>
    </row>
    <row r="588" spans="1:24" x14ac:dyDescent="0.25">
      <c r="A588" s="1" t="str">
        <f t="shared" si="179"/>
        <v>卡卡杜-凤凰仓</v>
      </c>
      <c r="B588" s="1" t="str">
        <f>"CK20241031262"</f>
        <v>CK20241031262</v>
      </c>
      <c r="C588" s="1" t="str">
        <f>"DD2024103112491"</f>
        <v>DD2024103112491</v>
      </c>
      <c r="D588" s="1" t="str">
        <f>"CK2024103118653"</f>
        <v>CK2024103118653</v>
      </c>
      <c r="E588" s="1" t="str">
        <f>"3723672561129489920"</f>
        <v>3723672561129489920</v>
      </c>
      <c r="F588" s="1" t="str">
        <f t="shared" si="180"/>
        <v>花都四部-凤凰仓</v>
      </c>
      <c r="G588" s="1" t="str">
        <f t="shared" si="186"/>
        <v>卡卡杜企业店（视频号）</v>
      </c>
      <c r="H588" s="1" t="str">
        <f t="shared" si="181"/>
        <v>正常订单</v>
      </c>
      <c r="I588" s="1" t="str">
        <f t="shared" si="182"/>
        <v>已发货</v>
      </c>
      <c r="J588" s="1" t="str">
        <f>"3"</f>
        <v>3</v>
      </c>
      <c r="K588" s="1">
        <v>2</v>
      </c>
      <c r="L588" s="1" t="s">
        <v>74</v>
      </c>
      <c r="M588" s="1" t="str">
        <f>"上海 上海市 宝山区 "</f>
        <v xml:space="preserve">上海 上海市 宝山区 </v>
      </c>
      <c r="N588" s="1" t="str">
        <f t="shared" si="177"/>
        <v>凡华云仓-城南圆通-微信视频号</v>
      </c>
      <c r="O588" s="5" t="s">
        <v>625</v>
      </c>
      <c r="P588" s="6">
        <v>0.25</v>
      </c>
      <c r="Q588" s="11">
        <v>2</v>
      </c>
      <c r="R588" s="11"/>
      <c r="S588" s="11"/>
      <c r="T588" s="11"/>
      <c r="U588" s="11">
        <f t="shared" si="183"/>
        <v>2</v>
      </c>
      <c r="W588">
        <v>2.2000000000000002</v>
      </c>
      <c r="X588" s="1" t="s">
        <v>74</v>
      </c>
    </row>
    <row r="589" spans="1:24" x14ac:dyDescent="0.25">
      <c r="A589" s="1" t="str">
        <f t="shared" si="179"/>
        <v>卡卡杜-凤凰仓</v>
      </c>
      <c r="B589" s="1" t="str">
        <f>"CK202410311808"</f>
        <v>CK202410311808</v>
      </c>
      <c r="C589" s="1" t="str">
        <f>"DD2024103112949"</f>
        <v>DD2024103112949</v>
      </c>
      <c r="D589" s="1" t="str">
        <f>"CK2024103118652"</f>
        <v>CK2024103118652</v>
      </c>
      <c r="E589" s="1" t="str">
        <f>"3723672560538879232"</f>
        <v>3723672560538879232</v>
      </c>
      <c r="F589" s="1" t="str">
        <f t="shared" si="180"/>
        <v>花都四部-凤凰仓</v>
      </c>
      <c r="G589" s="1" t="str">
        <f t="shared" si="186"/>
        <v>卡卡杜企业店（视频号）</v>
      </c>
      <c r="H589" s="1" t="str">
        <f t="shared" si="181"/>
        <v>正常订单</v>
      </c>
      <c r="I589" s="1" t="str">
        <f t="shared" si="182"/>
        <v>已发货</v>
      </c>
      <c r="J589" s="1" t="str">
        <f t="shared" ref="J589:J593" si="187">"2"</f>
        <v>2</v>
      </c>
      <c r="K589" s="1">
        <v>2</v>
      </c>
      <c r="L589" s="1" t="s">
        <v>74</v>
      </c>
      <c r="M589" s="1" t="str">
        <f>"上海 上海市 徐汇区 "</f>
        <v xml:space="preserve">上海 上海市 徐汇区 </v>
      </c>
      <c r="N589" s="1" t="str">
        <f t="shared" si="177"/>
        <v>凡华云仓-城南圆通-微信视频号</v>
      </c>
      <c r="O589" s="5" t="s">
        <v>626</v>
      </c>
      <c r="P589" s="6">
        <v>0.17</v>
      </c>
      <c r="Q589" s="11">
        <v>2</v>
      </c>
      <c r="R589" s="11"/>
      <c r="S589" s="11"/>
      <c r="T589" s="11"/>
      <c r="U589" s="11">
        <f t="shared" si="183"/>
        <v>2</v>
      </c>
      <c r="W589">
        <v>2.2000000000000002</v>
      </c>
      <c r="X589" s="1" t="s">
        <v>74</v>
      </c>
    </row>
    <row r="590" spans="1:24" x14ac:dyDescent="0.25">
      <c r="A590" s="1" t="str">
        <f t="shared" si="179"/>
        <v>卡卡杜-凤凰仓</v>
      </c>
      <c r="B590" s="1" t="str">
        <f>"CK20241031204"</f>
        <v>CK20241031204</v>
      </c>
      <c r="C590" s="1" t="str">
        <f>"DD2024103112425"</f>
        <v>DD2024103112425</v>
      </c>
      <c r="D590" s="1" t="str">
        <f>"CK2024103118651"</f>
        <v>CK2024103118651</v>
      </c>
      <c r="E590" s="1" t="str">
        <f>"3723672553296367616"</f>
        <v>3723672553296367616</v>
      </c>
      <c r="F590" s="1" t="str">
        <f t="shared" si="180"/>
        <v>花都四部-凤凰仓</v>
      </c>
      <c r="G590" s="1" t="str">
        <f t="shared" si="186"/>
        <v>卡卡杜企业店（视频号）</v>
      </c>
      <c r="H590" s="1" t="str">
        <f t="shared" si="181"/>
        <v>正常订单</v>
      </c>
      <c r="I590" s="1" t="str">
        <f t="shared" si="182"/>
        <v>已发货</v>
      </c>
      <c r="J590" s="1" t="str">
        <f>"3"</f>
        <v>3</v>
      </c>
      <c r="K590" s="1">
        <v>2</v>
      </c>
      <c r="L590" s="1" t="s">
        <v>54</v>
      </c>
      <c r="M590" s="1" t="str">
        <f>"黑龙江省 哈尔滨市 道里区 "</f>
        <v xml:space="preserve">黑龙江省 哈尔滨市 道里区 </v>
      </c>
      <c r="N590" s="1" t="str">
        <f t="shared" si="177"/>
        <v>凡华云仓-城南圆通-微信视频号</v>
      </c>
      <c r="O590" s="5" t="s">
        <v>627</v>
      </c>
      <c r="P590" s="6">
        <v>0.25</v>
      </c>
      <c r="Q590" s="11">
        <v>2</v>
      </c>
      <c r="R590" s="11"/>
      <c r="S590" s="11"/>
      <c r="T590" s="11"/>
      <c r="U590" s="11">
        <f t="shared" si="183"/>
        <v>2</v>
      </c>
      <c r="W590">
        <v>2.2000000000000002</v>
      </c>
      <c r="X590" s="1" t="s">
        <v>54</v>
      </c>
    </row>
    <row r="591" spans="1:24" x14ac:dyDescent="0.25">
      <c r="A591" s="1" t="str">
        <f t="shared" si="179"/>
        <v>卡卡杜-凤凰仓</v>
      </c>
      <c r="B591" s="1" t="str">
        <f>"CK202410311809"</f>
        <v>CK202410311809</v>
      </c>
      <c r="C591" s="1" t="str">
        <f>"DD2024103112948"</f>
        <v>DD2024103112948</v>
      </c>
      <c r="D591" s="1" t="str">
        <f>"CK2024103118650"</f>
        <v>CK2024103118650</v>
      </c>
      <c r="E591" s="1" t="str">
        <f>"3723672556017944064"</f>
        <v>3723672556017944064</v>
      </c>
      <c r="F591" s="1" t="str">
        <f t="shared" si="180"/>
        <v>花都四部-凤凰仓</v>
      </c>
      <c r="G591" s="1" t="str">
        <f t="shared" si="186"/>
        <v>卡卡杜企业店（视频号）</v>
      </c>
      <c r="H591" s="1" t="str">
        <f t="shared" si="181"/>
        <v>正常订单</v>
      </c>
      <c r="I591" s="1" t="str">
        <f t="shared" si="182"/>
        <v>已发货</v>
      </c>
      <c r="J591" s="1" t="str">
        <f t="shared" si="187"/>
        <v>2</v>
      </c>
      <c r="K591" s="1">
        <v>2</v>
      </c>
      <c r="L591" s="1" t="s">
        <v>94</v>
      </c>
      <c r="M591" s="1" t="str">
        <f>"湖南省 常德市 桃源县 "</f>
        <v xml:space="preserve">湖南省 常德市 桃源县 </v>
      </c>
      <c r="N591" s="1" t="str">
        <f t="shared" si="177"/>
        <v>凡华云仓-城南圆通-微信视频号</v>
      </c>
      <c r="O591" s="5" t="s">
        <v>628</v>
      </c>
      <c r="P591" s="6">
        <v>0.17</v>
      </c>
      <c r="Q591" s="11">
        <v>2</v>
      </c>
      <c r="R591" s="11"/>
      <c r="S591" s="11"/>
      <c r="T591" s="11"/>
      <c r="U591" s="11">
        <f t="shared" si="183"/>
        <v>2</v>
      </c>
      <c r="W591">
        <v>2.2000000000000002</v>
      </c>
      <c r="X591" s="1" t="s">
        <v>94</v>
      </c>
    </row>
    <row r="592" spans="1:24" x14ac:dyDescent="0.25">
      <c r="A592" s="1" t="str">
        <f t="shared" si="179"/>
        <v>卡卡杜-凤凰仓</v>
      </c>
      <c r="B592" s="1" t="str">
        <f>"CK202410311887"</f>
        <v>CK202410311887</v>
      </c>
      <c r="C592" s="1" t="str">
        <f>"DD2024103113452"</f>
        <v>DD2024103113452</v>
      </c>
      <c r="D592" s="1" t="str">
        <f>"CK2024103118649"</f>
        <v>CK2024103118649</v>
      </c>
      <c r="E592" s="1" t="str">
        <f>"3723672558848577537"</f>
        <v>3723672558848577537</v>
      </c>
      <c r="F592" s="1" t="str">
        <f t="shared" si="180"/>
        <v>花都四部-凤凰仓</v>
      </c>
      <c r="G592" s="1" t="str">
        <f t="shared" si="186"/>
        <v>卡卡杜企业店（视频号）</v>
      </c>
      <c r="H592" s="1" t="str">
        <f t="shared" si="181"/>
        <v>正常订单</v>
      </c>
      <c r="I592" s="1" t="str">
        <f t="shared" si="182"/>
        <v>已发货</v>
      </c>
      <c r="J592" s="1" t="str">
        <f t="shared" si="187"/>
        <v>2</v>
      </c>
      <c r="K592" s="1">
        <v>2</v>
      </c>
      <c r="L592" s="1" t="s">
        <v>109</v>
      </c>
      <c r="M592" s="1" t="str">
        <f>"山西省 晋中市 榆次区 "</f>
        <v xml:space="preserve">山西省 晋中市 榆次区 </v>
      </c>
      <c r="N592" s="1" t="str">
        <f t="shared" si="177"/>
        <v>凡华云仓-城南圆通-微信视频号</v>
      </c>
      <c r="O592" s="5" t="s">
        <v>629</v>
      </c>
      <c r="P592" s="6">
        <v>0.17</v>
      </c>
      <c r="Q592" s="11">
        <v>2</v>
      </c>
      <c r="R592" s="11"/>
      <c r="S592" s="11"/>
      <c r="T592" s="11"/>
      <c r="U592" s="11">
        <f t="shared" si="183"/>
        <v>2</v>
      </c>
      <c r="W592">
        <v>2.2000000000000002</v>
      </c>
      <c r="X592" s="1" t="s">
        <v>109</v>
      </c>
    </row>
    <row r="593" spans="1:24" x14ac:dyDescent="0.25">
      <c r="A593" s="1" t="str">
        <f t="shared" si="179"/>
        <v>卡卡杜-凤凰仓</v>
      </c>
      <c r="B593" s="1" t="str">
        <f>"CK202410311810"</f>
        <v>CK202410311810</v>
      </c>
      <c r="C593" s="1" t="str">
        <f>"DD2024103112950"</f>
        <v>DD2024103112950</v>
      </c>
      <c r="D593" s="1" t="str">
        <f>"CK2024103118648"</f>
        <v>CK2024103118648</v>
      </c>
      <c r="E593" s="1" t="str">
        <f>"3723672555537433856"</f>
        <v>3723672555537433856</v>
      </c>
      <c r="F593" s="1" t="str">
        <f t="shared" si="180"/>
        <v>花都四部-凤凰仓</v>
      </c>
      <c r="G593" s="1" t="str">
        <f t="shared" si="186"/>
        <v>卡卡杜企业店（视频号）</v>
      </c>
      <c r="H593" s="1" t="str">
        <f t="shared" si="181"/>
        <v>正常订单</v>
      </c>
      <c r="I593" s="1" t="str">
        <f t="shared" si="182"/>
        <v>已发货</v>
      </c>
      <c r="J593" s="1" t="str">
        <f t="shared" si="187"/>
        <v>2</v>
      </c>
      <c r="K593" s="1">
        <v>2</v>
      </c>
      <c r="L593" s="1" t="s">
        <v>13</v>
      </c>
      <c r="M593" s="1" t="str">
        <f>"江苏省 常州市 钟楼区 "</f>
        <v xml:space="preserve">江苏省 常州市 钟楼区 </v>
      </c>
      <c r="N593" s="1" t="str">
        <f t="shared" si="177"/>
        <v>凡华云仓-城南圆通-微信视频号</v>
      </c>
      <c r="O593" s="5" t="s">
        <v>630</v>
      </c>
      <c r="P593" s="6">
        <v>0.17</v>
      </c>
      <c r="Q593" s="11">
        <v>2</v>
      </c>
      <c r="R593" s="11"/>
      <c r="S593" s="11"/>
      <c r="T593" s="11"/>
      <c r="U593" s="11">
        <f t="shared" si="183"/>
        <v>2</v>
      </c>
      <c r="W593">
        <v>2.2000000000000002</v>
      </c>
      <c r="X593" s="1" t="s">
        <v>13</v>
      </c>
    </row>
    <row r="594" spans="1:24" x14ac:dyDescent="0.25">
      <c r="A594" s="1" t="str">
        <f t="shared" si="179"/>
        <v>卡卡杜-凤凰仓</v>
      </c>
      <c r="B594" s="1" t="str">
        <f>"CK20241031202"</f>
        <v>CK20241031202</v>
      </c>
      <c r="C594" s="1" t="str">
        <f>"DD2024103112423"</f>
        <v>DD2024103112423</v>
      </c>
      <c r="D594" s="1" t="str">
        <f>"CK2024103118647"</f>
        <v>CK2024103118647</v>
      </c>
      <c r="E594" s="1" t="str">
        <f>"3723672545614759424"</f>
        <v>3723672545614759424</v>
      </c>
      <c r="F594" s="1" t="str">
        <f t="shared" si="180"/>
        <v>花都四部-凤凰仓</v>
      </c>
      <c r="G594" s="1" t="str">
        <f t="shared" si="186"/>
        <v>卡卡杜企业店（视频号）</v>
      </c>
      <c r="H594" s="1" t="str">
        <f t="shared" si="181"/>
        <v>正常订单</v>
      </c>
      <c r="I594" s="1" t="str">
        <f t="shared" si="182"/>
        <v>已发货</v>
      </c>
      <c r="J594" s="1" t="str">
        <f>"3"</f>
        <v>3</v>
      </c>
      <c r="K594" s="1">
        <v>2</v>
      </c>
      <c r="L594" s="1" t="s">
        <v>30</v>
      </c>
      <c r="M594" s="1" t="str">
        <f>"山东省 德州市 临邑县 "</f>
        <v xml:space="preserve">山东省 德州市 临邑县 </v>
      </c>
      <c r="N594" s="1" t="str">
        <f t="shared" si="177"/>
        <v>凡华云仓-城南圆通-微信视频号</v>
      </c>
      <c r="O594" s="5" t="s">
        <v>631</v>
      </c>
      <c r="P594" s="6">
        <v>0.25</v>
      </c>
      <c r="Q594" s="11">
        <v>2</v>
      </c>
      <c r="R594" s="11"/>
      <c r="S594" s="11"/>
      <c r="T594" s="11"/>
      <c r="U594" s="11">
        <f t="shared" si="183"/>
        <v>2</v>
      </c>
      <c r="W594">
        <v>2.2000000000000002</v>
      </c>
      <c r="X594" s="1" t="s">
        <v>30</v>
      </c>
    </row>
    <row r="595" spans="1:24" x14ac:dyDescent="0.25">
      <c r="A595" s="1" t="str">
        <f t="shared" si="179"/>
        <v>卡卡杜-凤凰仓</v>
      </c>
      <c r="B595" s="1" t="str">
        <f>"CK202410311815"</f>
        <v>CK202410311815</v>
      </c>
      <c r="C595" s="1" t="str">
        <f>"DD2024103112955"</f>
        <v>DD2024103112955</v>
      </c>
      <c r="D595" s="1" t="str">
        <f>"CK2024103118646"</f>
        <v>CK2024103118646</v>
      </c>
      <c r="E595" s="1" t="str">
        <f>"3723672550669685760"</f>
        <v>3723672550669685760</v>
      </c>
      <c r="F595" s="1" t="str">
        <f t="shared" si="180"/>
        <v>花都四部-凤凰仓</v>
      </c>
      <c r="G595" s="1" t="str">
        <f t="shared" si="186"/>
        <v>卡卡杜企业店（视频号）</v>
      </c>
      <c r="H595" s="1" t="str">
        <f t="shared" si="181"/>
        <v>正常订单</v>
      </c>
      <c r="I595" s="1" t="str">
        <f t="shared" si="182"/>
        <v>已发货</v>
      </c>
      <c r="J595" s="1" t="str">
        <f t="shared" ref="J595:J598" si="188">"2"</f>
        <v>2</v>
      </c>
      <c r="K595" s="1">
        <v>2</v>
      </c>
      <c r="L595" s="1" t="s">
        <v>74</v>
      </c>
      <c r="M595" s="1" t="str">
        <f>"上海 上海市 松江区 "</f>
        <v xml:space="preserve">上海 上海市 松江区 </v>
      </c>
      <c r="N595" s="1" t="str">
        <f t="shared" si="177"/>
        <v>凡华云仓-城南圆通-微信视频号</v>
      </c>
      <c r="O595" s="5" t="s">
        <v>632</v>
      </c>
      <c r="P595" s="6">
        <v>0.17</v>
      </c>
      <c r="Q595" s="11">
        <v>2</v>
      </c>
      <c r="R595" s="11"/>
      <c r="S595" s="11"/>
      <c r="T595" s="11"/>
      <c r="U595" s="11">
        <f t="shared" si="183"/>
        <v>2</v>
      </c>
      <c r="W595">
        <v>2.2000000000000002</v>
      </c>
      <c r="X595" s="1" t="s">
        <v>74</v>
      </c>
    </row>
    <row r="596" spans="1:24" x14ac:dyDescent="0.25">
      <c r="A596" s="1" t="str">
        <f t="shared" si="179"/>
        <v>卡卡杜-凤凰仓</v>
      </c>
      <c r="B596" s="1" t="str">
        <f>"CK202410311811"</f>
        <v>CK202410311811</v>
      </c>
      <c r="C596" s="1" t="str">
        <f>"DD2024103112951"</f>
        <v>DD2024103112951</v>
      </c>
      <c r="D596" s="1" t="str">
        <f>"CK2024103118645"</f>
        <v>CK2024103118645</v>
      </c>
      <c r="E596" s="1" t="str">
        <f>"3723672552529593600"</f>
        <v>3723672552529593600</v>
      </c>
      <c r="F596" s="1" t="str">
        <f t="shared" si="180"/>
        <v>花都四部-凤凰仓</v>
      </c>
      <c r="G596" s="1" t="str">
        <f t="shared" si="186"/>
        <v>卡卡杜企业店（视频号）</v>
      </c>
      <c r="H596" s="1" t="str">
        <f t="shared" si="181"/>
        <v>正常订单</v>
      </c>
      <c r="I596" s="1" t="str">
        <f t="shared" si="182"/>
        <v>已发货</v>
      </c>
      <c r="J596" s="1" t="str">
        <f t="shared" si="188"/>
        <v>2</v>
      </c>
      <c r="K596" s="1">
        <v>2</v>
      </c>
      <c r="L596" s="1" t="s">
        <v>16</v>
      </c>
      <c r="M596" s="1" t="str">
        <f>"河北省 衡水市 桃城区 "</f>
        <v xml:space="preserve">河北省 衡水市 桃城区 </v>
      </c>
      <c r="N596" s="1" t="str">
        <f t="shared" si="177"/>
        <v>凡华云仓-城南圆通-微信视频号</v>
      </c>
      <c r="O596" s="5" t="s">
        <v>633</v>
      </c>
      <c r="P596" s="6">
        <v>0.17</v>
      </c>
      <c r="Q596" s="11">
        <v>2</v>
      </c>
      <c r="R596" s="11"/>
      <c r="S596" s="11"/>
      <c r="T596" s="11"/>
      <c r="U596" s="11">
        <f t="shared" si="183"/>
        <v>2</v>
      </c>
      <c r="W596">
        <v>2.2000000000000002</v>
      </c>
      <c r="X596" s="1" t="s">
        <v>16</v>
      </c>
    </row>
    <row r="597" spans="1:24" x14ac:dyDescent="0.25">
      <c r="A597" s="1" t="str">
        <f t="shared" si="179"/>
        <v>卡卡杜-凤凰仓</v>
      </c>
      <c r="B597" s="1" t="str">
        <f>"CK202410311813"</f>
        <v>CK202410311813</v>
      </c>
      <c r="C597" s="1" t="str">
        <f>"DD2024103112952"</f>
        <v>DD2024103112952</v>
      </c>
      <c r="D597" s="1" t="str">
        <f>"CK2024103118644"</f>
        <v>CK2024103118644</v>
      </c>
      <c r="E597" s="1" t="str">
        <f>"3723672550208570881"</f>
        <v>3723672550208570881</v>
      </c>
      <c r="F597" s="1" t="str">
        <f t="shared" si="180"/>
        <v>花都四部-凤凰仓</v>
      </c>
      <c r="G597" s="1" t="str">
        <f t="shared" si="186"/>
        <v>卡卡杜企业店（视频号）</v>
      </c>
      <c r="H597" s="1" t="str">
        <f t="shared" si="181"/>
        <v>正常订单</v>
      </c>
      <c r="I597" s="1" t="str">
        <f t="shared" si="182"/>
        <v>已发货</v>
      </c>
      <c r="J597" s="1" t="str">
        <f t="shared" si="188"/>
        <v>2</v>
      </c>
      <c r="K597" s="1">
        <v>2</v>
      </c>
      <c r="L597" s="1" t="s">
        <v>92</v>
      </c>
      <c r="M597" s="1" t="str">
        <f>"辽宁省 沈阳市 和平区 "</f>
        <v xml:space="preserve">辽宁省 沈阳市 和平区 </v>
      </c>
      <c r="N597" s="1" t="str">
        <f t="shared" si="177"/>
        <v>凡华云仓-城南圆通-微信视频号</v>
      </c>
      <c r="O597" s="5" t="s">
        <v>634</v>
      </c>
      <c r="P597" s="6">
        <v>0.17</v>
      </c>
      <c r="Q597" s="11">
        <v>2</v>
      </c>
      <c r="R597" s="11"/>
      <c r="S597" s="11"/>
      <c r="T597" s="11"/>
      <c r="U597" s="11">
        <f t="shared" si="183"/>
        <v>2</v>
      </c>
      <c r="W597">
        <v>2.2000000000000002</v>
      </c>
      <c r="X597" s="1" t="s">
        <v>92</v>
      </c>
    </row>
    <row r="598" spans="1:24" x14ac:dyDescent="0.25">
      <c r="A598" s="1" t="str">
        <f t="shared" si="179"/>
        <v>卡卡杜-凤凰仓</v>
      </c>
      <c r="B598" s="1" t="str">
        <f>"CK202410311812"</f>
        <v>CK202410311812</v>
      </c>
      <c r="C598" s="1" t="str">
        <f>"DD2024103112953"</f>
        <v>DD2024103112953</v>
      </c>
      <c r="D598" s="1" t="str">
        <f>"CK2024103118643"</f>
        <v>CK2024103118643</v>
      </c>
      <c r="E598" s="1" t="str">
        <f>"3723672553980823041"</f>
        <v>3723672553980823041</v>
      </c>
      <c r="F598" s="1" t="str">
        <f t="shared" si="180"/>
        <v>花都四部-凤凰仓</v>
      </c>
      <c r="G598" s="1" t="str">
        <f t="shared" si="186"/>
        <v>卡卡杜企业店（视频号）</v>
      </c>
      <c r="H598" s="1" t="str">
        <f t="shared" si="181"/>
        <v>正常订单</v>
      </c>
      <c r="I598" s="1" t="str">
        <f t="shared" si="182"/>
        <v>已发货</v>
      </c>
      <c r="J598" s="1" t="str">
        <f t="shared" si="188"/>
        <v>2</v>
      </c>
      <c r="K598" s="1">
        <v>2</v>
      </c>
      <c r="L598" s="1" t="s">
        <v>18</v>
      </c>
      <c r="M598" s="1" t="str">
        <f>"广东省 深圳市 南山区 "</f>
        <v xml:space="preserve">广东省 深圳市 南山区 </v>
      </c>
      <c r="N598" s="1" t="str">
        <f t="shared" si="177"/>
        <v>凡华云仓-城南圆通-微信视频号</v>
      </c>
      <c r="O598" s="5" t="s">
        <v>635</v>
      </c>
      <c r="P598" s="6">
        <v>0.17</v>
      </c>
      <c r="Q598" s="11">
        <v>2</v>
      </c>
      <c r="R598" s="11"/>
      <c r="S598" s="11"/>
      <c r="T598" s="11"/>
      <c r="U598" s="11">
        <f t="shared" si="183"/>
        <v>2</v>
      </c>
      <c r="W598">
        <v>2.2000000000000002</v>
      </c>
      <c r="X598" s="1" t="s">
        <v>18</v>
      </c>
    </row>
    <row r="599" spans="1:24" x14ac:dyDescent="0.25">
      <c r="A599" s="1" t="str">
        <f t="shared" si="179"/>
        <v>卡卡杜-凤凰仓</v>
      </c>
      <c r="B599" s="1" t="str">
        <f>"CK20241031196"</f>
        <v>CK20241031196</v>
      </c>
      <c r="C599" s="1" t="str">
        <f>"DD2024103112418"</f>
        <v>DD2024103112418</v>
      </c>
      <c r="D599" s="1" t="str">
        <f>"CK2024103118642"</f>
        <v>CK2024103118642</v>
      </c>
      <c r="E599" s="1" t="str">
        <f>"3723672551629130752"</f>
        <v>3723672551629130752</v>
      </c>
      <c r="F599" s="1" t="str">
        <f t="shared" si="180"/>
        <v>花都四部-凤凰仓</v>
      </c>
      <c r="G599" s="1" t="str">
        <f t="shared" si="186"/>
        <v>卡卡杜企业店（视频号）</v>
      </c>
      <c r="H599" s="1" t="str">
        <f t="shared" si="181"/>
        <v>正常订单</v>
      </c>
      <c r="I599" s="1" t="str">
        <f t="shared" si="182"/>
        <v>已发货</v>
      </c>
      <c r="J599" s="1" t="str">
        <f t="shared" ref="J599:J601" si="189">"3"</f>
        <v>3</v>
      </c>
      <c r="K599" s="1">
        <v>2</v>
      </c>
      <c r="L599" s="1" t="s">
        <v>105</v>
      </c>
      <c r="M599" s="1" t="str">
        <f>"北京 北京市 海淀区 "</f>
        <v xml:space="preserve">北京 北京市 海淀区 </v>
      </c>
      <c r="N599" s="1" t="str">
        <f t="shared" si="177"/>
        <v>凡华云仓-城南圆通-微信视频号</v>
      </c>
      <c r="O599" s="5" t="s">
        <v>636</v>
      </c>
      <c r="P599" s="6">
        <v>0.25</v>
      </c>
      <c r="Q599" s="11">
        <v>2</v>
      </c>
      <c r="R599" s="11"/>
      <c r="S599" s="11"/>
      <c r="T599" s="11"/>
      <c r="U599" s="11">
        <f t="shared" si="183"/>
        <v>2</v>
      </c>
      <c r="W599">
        <v>2.2000000000000002</v>
      </c>
      <c r="X599" s="1" t="s">
        <v>105</v>
      </c>
    </row>
    <row r="600" spans="1:24" x14ac:dyDescent="0.25">
      <c r="A600" s="1" t="str">
        <f t="shared" si="179"/>
        <v>卡卡杜-凤凰仓</v>
      </c>
      <c r="B600" s="1" t="str">
        <f>"CK20241031210"</f>
        <v>CK20241031210</v>
      </c>
      <c r="C600" s="1" t="str">
        <f>"DD2024103112431"</f>
        <v>DD2024103112431</v>
      </c>
      <c r="D600" s="1" t="str">
        <f>"CK2024103118641"</f>
        <v>CK2024103118641</v>
      </c>
      <c r="E600" s="1" t="str">
        <f>"3723672553325204480"</f>
        <v>3723672553325204480</v>
      </c>
      <c r="F600" s="1" t="str">
        <f t="shared" si="180"/>
        <v>花都四部-凤凰仓</v>
      </c>
      <c r="G600" s="1" t="str">
        <f t="shared" si="186"/>
        <v>卡卡杜企业店（视频号）</v>
      </c>
      <c r="H600" s="1" t="str">
        <f t="shared" si="181"/>
        <v>正常订单</v>
      </c>
      <c r="I600" s="1" t="str">
        <f t="shared" si="182"/>
        <v>已发货</v>
      </c>
      <c r="J600" s="1" t="str">
        <f t="shared" si="189"/>
        <v>3</v>
      </c>
      <c r="K600" s="1">
        <v>2</v>
      </c>
      <c r="L600" s="1" t="s">
        <v>92</v>
      </c>
      <c r="M600" s="1" t="str">
        <f>"辽宁省 阜新市 细河区 "</f>
        <v xml:space="preserve">辽宁省 阜新市 细河区 </v>
      </c>
      <c r="N600" s="1" t="str">
        <f t="shared" si="177"/>
        <v>凡华云仓-城南圆通-微信视频号</v>
      </c>
      <c r="O600" s="5" t="s">
        <v>637</v>
      </c>
      <c r="P600" s="6">
        <v>0.25</v>
      </c>
      <c r="Q600" s="11">
        <v>2</v>
      </c>
      <c r="R600" s="11"/>
      <c r="S600" s="11"/>
      <c r="T600" s="11"/>
      <c r="U600" s="11">
        <f t="shared" si="183"/>
        <v>2</v>
      </c>
      <c r="W600">
        <v>2.2000000000000002</v>
      </c>
      <c r="X600" s="1" t="s">
        <v>92</v>
      </c>
    </row>
    <row r="601" spans="1:24" x14ac:dyDescent="0.25">
      <c r="A601" s="1" t="str">
        <f t="shared" si="179"/>
        <v>卡卡杜-凤凰仓</v>
      </c>
      <c r="B601" s="1" t="str">
        <f>"CK20241031188"</f>
        <v>CK20241031188</v>
      </c>
      <c r="C601" s="1" t="str">
        <f>"DD2024103112410"</f>
        <v>DD2024103112410</v>
      </c>
      <c r="D601" s="1" t="str">
        <f>"CK2024103118640"</f>
        <v>CK2024103118640</v>
      </c>
      <c r="E601" s="1" t="str">
        <f>"3723672551956549632"</f>
        <v>3723672551956549632</v>
      </c>
      <c r="F601" s="1" t="str">
        <f t="shared" si="180"/>
        <v>花都四部-凤凰仓</v>
      </c>
      <c r="G601" s="1" t="str">
        <f t="shared" si="186"/>
        <v>卡卡杜企业店（视频号）</v>
      </c>
      <c r="H601" s="1" t="str">
        <f t="shared" si="181"/>
        <v>正常订单</v>
      </c>
      <c r="I601" s="1" t="str">
        <f t="shared" si="182"/>
        <v>已发货</v>
      </c>
      <c r="J601" s="1" t="str">
        <f t="shared" si="189"/>
        <v>3</v>
      </c>
      <c r="K601" s="1">
        <v>2</v>
      </c>
      <c r="L601" s="1" t="s">
        <v>13</v>
      </c>
      <c r="M601" s="1" t="str">
        <f>"江苏省 南京市 鼓楼区 "</f>
        <v xml:space="preserve">江苏省 南京市 鼓楼区 </v>
      </c>
      <c r="N601" s="1" t="str">
        <f t="shared" si="177"/>
        <v>凡华云仓-城南圆通-微信视频号</v>
      </c>
      <c r="O601" s="5" t="s">
        <v>638</v>
      </c>
      <c r="P601" s="6">
        <v>0.25</v>
      </c>
      <c r="Q601" s="11">
        <v>2</v>
      </c>
      <c r="R601" s="11"/>
      <c r="S601" s="11"/>
      <c r="T601" s="11"/>
      <c r="U601" s="11">
        <f t="shared" si="183"/>
        <v>2</v>
      </c>
      <c r="W601">
        <v>2.2000000000000002</v>
      </c>
      <c r="X601" s="1" t="s">
        <v>13</v>
      </c>
    </row>
    <row r="602" spans="1:24" x14ac:dyDescent="0.25">
      <c r="A602" s="1" t="str">
        <f t="shared" si="179"/>
        <v>卡卡杜-凤凰仓</v>
      </c>
      <c r="B602" s="1" t="str">
        <f>"CK202410311814"</f>
        <v>CK202410311814</v>
      </c>
      <c r="C602" s="1" t="str">
        <f>"DD2024103112954"</f>
        <v>DD2024103112954</v>
      </c>
      <c r="D602" s="1" t="str">
        <f>"CK2024103118639"</f>
        <v>CK2024103118639</v>
      </c>
      <c r="E602" s="1" t="str">
        <f>"3723672548057419776"</f>
        <v>3723672548057419776</v>
      </c>
      <c r="F602" s="1" t="str">
        <f t="shared" si="180"/>
        <v>花都四部-凤凰仓</v>
      </c>
      <c r="G602" s="1" t="str">
        <f t="shared" si="186"/>
        <v>卡卡杜企业店（视频号）</v>
      </c>
      <c r="H602" s="1" t="str">
        <f t="shared" si="181"/>
        <v>正常订单</v>
      </c>
      <c r="I602" s="1" t="str">
        <f t="shared" si="182"/>
        <v>已发货</v>
      </c>
      <c r="J602" s="1" t="str">
        <f>"2"</f>
        <v>2</v>
      </c>
      <c r="K602" s="1">
        <v>2</v>
      </c>
      <c r="L602" s="1" t="s">
        <v>92</v>
      </c>
      <c r="M602" s="1" t="str">
        <f>"辽宁省 葫芦岛市 连山区 "</f>
        <v xml:space="preserve">辽宁省 葫芦岛市 连山区 </v>
      </c>
      <c r="N602" s="1" t="str">
        <f t="shared" si="177"/>
        <v>凡华云仓-城南圆通-微信视频号</v>
      </c>
      <c r="O602" s="5" t="s">
        <v>639</v>
      </c>
      <c r="P602" s="6">
        <v>0.17</v>
      </c>
      <c r="Q602" s="11">
        <v>2</v>
      </c>
      <c r="R602" s="11"/>
      <c r="S602" s="11"/>
      <c r="T602" s="11"/>
      <c r="U602" s="11">
        <f t="shared" si="183"/>
        <v>2</v>
      </c>
      <c r="W602">
        <v>2.2000000000000002</v>
      </c>
      <c r="X602" s="1" t="s">
        <v>92</v>
      </c>
    </row>
    <row r="603" spans="1:24" x14ac:dyDescent="0.25">
      <c r="A603" s="1" t="str">
        <f t="shared" si="179"/>
        <v>卡卡杜-凤凰仓</v>
      </c>
      <c r="B603" s="1" t="str">
        <f>"CK20241031192"</f>
        <v>CK20241031192</v>
      </c>
      <c r="C603" s="1" t="str">
        <f>"DD2024103112413"</f>
        <v>DD2024103112413</v>
      </c>
      <c r="D603" s="1" t="str">
        <f>"CK2024103118638"</f>
        <v>CK2024103118638</v>
      </c>
      <c r="E603" s="1" t="str">
        <f>"3723672549556096000"</f>
        <v>3723672549556096000</v>
      </c>
      <c r="F603" s="1" t="str">
        <f t="shared" si="180"/>
        <v>花都四部-凤凰仓</v>
      </c>
      <c r="G603" s="1" t="str">
        <f t="shared" si="186"/>
        <v>卡卡杜企业店（视频号）</v>
      </c>
      <c r="H603" s="1" t="str">
        <f t="shared" si="181"/>
        <v>正常订单</v>
      </c>
      <c r="I603" s="1" t="str">
        <f t="shared" si="182"/>
        <v>已发货</v>
      </c>
      <c r="J603" s="1" t="str">
        <f t="shared" ref="J603:J607" si="190">"3"</f>
        <v>3</v>
      </c>
      <c r="K603" s="1">
        <v>2</v>
      </c>
      <c r="L603" s="1" t="s">
        <v>30</v>
      </c>
      <c r="M603" s="1" t="str">
        <f>"山东省 潍坊市 奎文区 "</f>
        <v xml:space="preserve">山东省 潍坊市 奎文区 </v>
      </c>
      <c r="N603" s="1" t="str">
        <f t="shared" si="177"/>
        <v>凡华云仓-城南圆通-微信视频号</v>
      </c>
      <c r="O603" s="5" t="s">
        <v>640</v>
      </c>
      <c r="P603" s="6">
        <v>0.25</v>
      </c>
      <c r="Q603" s="11">
        <v>2</v>
      </c>
      <c r="R603" s="11"/>
      <c r="S603" s="11"/>
      <c r="T603" s="11"/>
      <c r="U603" s="11">
        <f t="shared" si="183"/>
        <v>2</v>
      </c>
      <c r="W603">
        <v>2.2000000000000002</v>
      </c>
      <c r="X603" s="1" t="s">
        <v>30</v>
      </c>
    </row>
    <row r="604" spans="1:24" x14ac:dyDescent="0.25">
      <c r="A604" s="1" t="str">
        <f t="shared" si="179"/>
        <v>卡卡杜-凤凰仓</v>
      </c>
      <c r="B604" s="1" t="str">
        <f>"CK20241031193"</f>
        <v>CK20241031193</v>
      </c>
      <c r="C604" s="1" t="str">
        <f>"DD2024103112414"</f>
        <v>DD2024103112414</v>
      </c>
      <c r="D604" s="1" t="str">
        <f>"CK2024103118637"</f>
        <v>CK2024103118637</v>
      </c>
      <c r="E604" s="1" t="str">
        <f>"3723672550977177088"</f>
        <v>3723672550977177088</v>
      </c>
      <c r="F604" s="1" t="str">
        <f t="shared" si="180"/>
        <v>花都四部-凤凰仓</v>
      </c>
      <c r="G604" s="1" t="str">
        <f t="shared" si="186"/>
        <v>卡卡杜企业店（视频号）</v>
      </c>
      <c r="H604" s="1" t="str">
        <f t="shared" si="181"/>
        <v>正常订单</v>
      </c>
      <c r="I604" s="1" t="str">
        <f t="shared" si="182"/>
        <v>已发货</v>
      </c>
      <c r="J604" s="1" t="str">
        <f t="shared" si="190"/>
        <v>3</v>
      </c>
      <c r="K604" s="1">
        <v>2</v>
      </c>
      <c r="L604" s="1" t="s">
        <v>105</v>
      </c>
      <c r="M604" s="1" t="str">
        <f>"北京 北京市 怀柔区 "</f>
        <v xml:space="preserve">北京 北京市 怀柔区 </v>
      </c>
      <c r="N604" s="1" t="str">
        <f t="shared" si="177"/>
        <v>凡华云仓-城南圆通-微信视频号</v>
      </c>
      <c r="O604" s="5" t="s">
        <v>641</v>
      </c>
      <c r="P604" s="6">
        <v>0.25</v>
      </c>
      <c r="Q604" s="11">
        <v>2</v>
      </c>
      <c r="R604" s="11"/>
      <c r="S604" s="11"/>
      <c r="T604" s="11"/>
      <c r="U604" s="11">
        <f t="shared" si="183"/>
        <v>2</v>
      </c>
      <c r="W604">
        <v>2.2000000000000002</v>
      </c>
      <c r="X604" s="1" t="s">
        <v>105</v>
      </c>
    </row>
    <row r="605" spans="1:24" x14ac:dyDescent="0.25">
      <c r="A605" s="1" t="str">
        <f t="shared" si="179"/>
        <v>卡卡杜-凤凰仓</v>
      </c>
      <c r="B605" s="1" t="str">
        <f>"CK20241031189"</f>
        <v>CK20241031189</v>
      </c>
      <c r="C605" s="1" t="str">
        <f>"DD2024103112408"</f>
        <v>DD2024103112408</v>
      </c>
      <c r="D605" s="1" t="str">
        <f>"CK2024103118636"</f>
        <v>CK2024103118636</v>
      </c>
      <c r="E605" s="1" t="str">
        <f>"3723672549750607872"</f>
        <v>3723672549750607872</v>
      </c>
      <c r="F605" s="1" t="str">
        <f t="shared" si="180"/>
        <v>花都四部-凤凰仓</v>
      </c>
      <c r="G605" s="1" t="str">
        <f t="shared" si="186"/>
        <v>卡卡杜企业店（视频号）</v>
      </c>
      <c r="H605" s="1" t="str">
        <f t="shared" si="181"/>
        <v>正常订单</v>
      </c>
      <c r="I605" s="1" t="str">
        <f t="shared" si="182"/>
        <v>已发货</v>
      </c>
      <c r="J605" s="1" t="str">
        <f t="shared" si="190"/>
        <v>3</v>
      </c>
      <c r="K605" s="1">
        <v>2</v>
      </c>
      <c r="L605" s="1" t="s">
        <v>105</v>
      </c>
      <c r="M605" s="1" t="str">
        <f>"北京 北京市 海淀区 "</f>
        <v xml:space="preserve">北京 北京市 海淀区 </v>
      </c>
      <c r="N605" s="1" t="str">
        <f t="shared" si="177"/>
        <v>凡华云仓-城南圆通-微信视频号</v>
      </c>
      <c r="O605" s="5" t="s">
        <v>642</v>
      </c>
      <c r="P605" s="6">
        <v>0.25</v>
      </c>
      <c r="Q605" s="11">
        <v>2</v>
      </c>
      <c r="R605" s="11"/>
      <c r="S605" s="11"/>
      <c r="T605" s="11"/>
      <c r="U605" s="11">
        <f t="shared" si="183"/>
        <v>2</v>
      </c>
      <c r="W605">
        <v>2.2000000000000002</v>
      </c>
      <c r="X605" s="1" t="s">
        <v>105</v>
      </c>
    </row>
    <row r="606" spans="1:24" x14ac:dyDescent="0.25">
      <c r="A606" s="1" t="str">
        <f t="shared" si="179"/>
        <v>卡卡杜-凤凰仓</v>
      </c>
      <c r="B606" s="1" t="str">
        <f>"CK20241031195"</f>
        <v>CK20241031195</v>
      </c>
      <c r="C606" s="1" t="str">
        <f>"DD2024103112415"</f>
        <v>DD2024103112415</v>
      </c>
      <c r="D606" s="1" t="str">
        <f>"CK2024103118635"</f>
        <v>CK2024103118635</v>
      </c>
      <c r="E606" s="1" t="str">
        <f>"3723672546869642496"</f>
        <v>3723672546869642496</v>
      </c>
      <c r="F606" s="1" t="str">
        <f t="shared" si="180"/>
        <v>花都四部-凤凰仓</v>
      </c>
      <c r="G606" s="1" t="str">
        <f t="shared" si="186"/>
        <v>卡卡杜企业店（视频号）</v>
      </c>
      <c r="H606" s="1" t="str">
        <f t="shared" si="181"/>
        <v>正常订单</v>
      </c>
      <c r="I606" s="1" t="str">
        <f t="shared" si="182"/>
        <v>已发货</v>
      </c>
      <c r="J606" s="1" t="str">
        <f t="shared" si="190"/>
        <v>3</v>
      </c>
      <c r="K606" s="1">
        <v>2</v>
      </c>
      <c r="L606" s="1" t="s">
        <v>92</v>
      </c>
      <c r="M606" s="1" t="str">
        <f>"辽宁省 沈阳市 大东区 "</f>
        <v xml:space="preserve">辽宁省 沈阳市 大东区 </v>
      </c>
      <c r="N606" s="1" t="str">
        <f t="shared" si="177"/>
        <v>凡华云仓-城南圆通-微信视频号</v>
      </c>
      <c r="O606" s="5" t="s">
        <v>643</v>
      </c>
      <c r="P606" s="6">
        <v>0.25</v>
      </c>
      <c r="Q606" s="11">
        <v>2</v>
      </c>
      <c r="R606" s="11"/>
      <c r="S606" s="11"/>
      <c r="T606" s="11"/>
      <c r="U606" s="11">
        <f t="shared" si="183"/>
        <v>2</v>
      </c>
      <c r="W606">
        <v>2.2000000000000002</v>
      </c>
      <c r="X606" s="1" t="s">
        <v>92</v>
      </c>
    </row>
    <row r="607" spans="1:24" x14ac:dyDescent="0.25">
      <c r="A607" s="1" t="str">
        <f t="shared" si="179"/>
        <v>卡卡杜-凤凰仓</v>
      </c>
      <c r="B607" s="1" t="str">
        <f>"CK20241031205"</f>
        <v>CK20241031205</v>
      </c>
      <c r="C607" s="1" t="str">
        <f>"DD2024103112426"</f>
        <v>DD2024103112426</v>
      </c>
      <c r="D607" s="1" t="str">
        <f>"CK2024103118634"</f>
        <v>CK2024103118634</v>
      </c>
      <c r="E607" s="1" t="str">
        <f>"3723672547936568832"</f>
        <v>3723672547936568832</v>
      </c>
      <c r="F607" s="1" t="str">
        <f t="shared" si="180"/>
        <v>花都四部-凤凰仓</v>
      </c>
      <c r="G607" s="1" t="str">
        <f t="shared" si="186"/>
        <v>卡卡杜企业店（视频号）</v>
      </c>
      <c r="H607" s="1" t="str">
        <f t="shared" si="181"/>
        <v>正常订单</v>
      </c>
      <c r="I607" s="1" t="str">
        <f t="shared" si="182"/>
        <v>已发货</v>
      </c>
      <c r="J607" s="1" t="str">
        <f t="shared" si="190"/>
        <v>3</v>
      </c>
      <c r="K607" s="1">
        <v>2</v>
      </c>
      <c r="L607" s="1" t="s">
        <v>105</v>
      </c>
      <c r="M607" s="1" t="str">
        <f>"北京 北京市 东城区 "</f>
        <v xml:space="preserve">北京 北京市 东城区 </v>
      </c>
      <c r="N607" s="1" t="str">
        <f t="shared" si="177"/>
        <v>凡华云仓-城南圆通-微信视频号</v>
      </c>
      <c r="O607" s="5" t="s">
        <v>644</v>
      </c>
      <c r="P607" s="6">
        <v>0.25</v>
      </c>
      <c r="Q607" s="11">
        <v>2</v>
      </c>
      <c r="R607" s="11"/>
      <c r="S607" s="11"/>
      <c r="T607" s="11"/>
      <c r="U607" s="11">
        <f t="shared" si="183"/>
        <v>2</v>
      </c>
      <c r="W607">
        <v>2.2000000000000002</v>
      </c>
      <c r="X607" s="1" t="s">
        <v>105</v>
      </c>
    </row>
    <row r="608" spans="1:24" x14ac:dyDescent="0.25">
      <c r="A608" s="1" t="str">
        <f t="shared" si="179"/>
        <v>卡卡杜-凤凰仓</v>
      </c>
      <c r="B608" s="1" t="str">
        <f>"CK202410311817"</f>
        <v>CK202410311817</v>
      </c>
      <c r="C608" s="1" t="str">
        <f>"DD2024103112957"</f>
        <v>DD2024103112957</v>
      </c>
      <c r="D608" s="1" t="str">
        <f>"CK2024103118633"</f>
        <v>CK2024103118633</v>
      </c>
      <c r="E608" s="1" t="str">
        <f>"3723672545753961472"</f>
        <v>3723672545753961472</v>
      </c>
      <c r="F608" s="1" t="str">
        <f t="shared" si="180"/>
        <v>花都四部-凤凰仓</v>
      </c>
      <c r="G608" s="1" t="str">
        <f t="shared" si="186"/>
        <v>卡卡杜企业店（视频号）</v>
      </c>
      <c r="H608" s="1" t="str">
        <f t="shared" si="181"/>
        <v>正常订单</v>
      </c>
      <c r="I608" s="1" t="str">
        <f t="shared" si="182"/>
        <v>已发货</v>
      </c>
      <c r="J608" s="1" t="str">
        <f t="shared" ref="J608:J615" si="191">"2"</f>
        <v>2</v>
      </c>
      <c r="K608" s="1">
        <v>2</v>
      </c>
      <c r="L608" s="1" t="s">
        <v>27</v>
      </c>
      <c r="M608" s="1" t="str">
        <f>"贵州省 贵阳市 南明区 "</f>
        <v xml:space="preserve">贵州省 贵阳市 南明区 </v>
      </c>
      <c r="N608" s="1" t="str">
        <f t="shared" si="177"/>
        <v>凡华云仓-城南圆通-微信视频号</v>
      </c>
      <c r="O608" s="5" t="s">
        <v>645</v>
      </c>
      <c r="P608" s="6">
        <v>0.17</v>
      </c>
      <c r="Q608" s="11">
        <v>2</v>
      </c>
      <c r="R608" s="11"/>
      <c r="S608" s="11"/>
      <c r="T608" s="11"/>
      <c r="U608" s="11">
        <f t="shared" si="183"/>
        <v>2</v>
      </c>
      <c r="W608">
        <v>2.2000000000000002</v>
      </c>
      <c r="X608" s="1" t="s">
        <v>27</v>
      </c>
    </row>
    <row r="609" spans="1:24" x14ac:dyDescent="0.25">
      <c r="A609" s="1" t="str">
        <f t="shared" si="179"/>
        <v>卡卡杜-凤凰仓</v>
      </c>
      <c r="B609" s="1" t="str">
        <f>"CK202410311818"</f>
        <v>CK202410311818</v>
      </c>
      <c r="C609" s="1" t="str">
        <f>"DD2024103112958"</f>
        <v>DD2024103112958</v>
      </c>
      <c r="D609" s="1" t="str">
        <f>"CK2024103118632"</f>
        <v>CK2024103118632</v>
      </c>
      <c r="E609" s="1" t="str">
        <f>"3723672543005905920"</f>
        <v>3723672543005905920</v>
      </c>
      <c r="F609" s="1" t="str">
        <f t="shared" si="180"/>
        <v>花都四部-凤凰仓</v>
      </c>
      <c r="G609" s="1" t="str">
        <f t="shared" si="186"/>
        <v>卡卡杜企业店（视频号）</v>
      </c>
      <c r="H609" s="1" t="str">
        <f t="shared" si="181"/>
        <v>正常订单</v>
      </c>
      <c r="I609" s="1" t="str">
        <f t="shared" si="182"/>
        <v>已发货</v>
      </c>
      <c r="J609" s="1" t="str">
        <f t="shared" si="191"/>
        <v>2</v>
      </c>
      <c r="K609" s="1">
        <v>2</v>
      </c>
      <c r="L609" s="1" t="s">
        <v>161</v>
      </c>
      <c r="M609" s="1" t="str">
        <f>"四川省 成都市 双流区 "</f>
        <v xml:space="preserve">四川省 成都市 双流区 </v>
      </c>
      <c r="N609" s="1" t="str">
        <f t="shared" si="177"/>
        <v>凡华云仓-城南圆通-微信视频号</v>
      </c>
      <c r="O609" s="5" t="s">
        <v>646</v>
      </c>
      <c r="P609" s="6">
        <v>0.17</v>
      </c>
      <c r="Q609" s="11">
        <v>2</v>
      </c>
      <c r="R609" s="11"/>
      <c r="S609" s="11"/>
      <c r="T609" s="11"/>
      <c r="U609" s="11">
        <f t="shared" si="183"/>
        <v>2</v>
      </c>
      <c r="W609">
        <v>2.2000000000000002</v>
      </c>
      <c r="X609" s="1" t="s">
        <v>161</v>
      </c>
    </row>
    <row r="610" spans="1:24" x14ac:dyDescent="0.25">
      <c r="A610" s="1" t="str">
        <f t="shared" si="179"/>
        <v>卡卡杜-凤凰仓</v>
      </c>
      <c r="B610" s="1" t="str">
        <f>"CK202410311819"</f>
        <v>CK202410311819</v>
      </c>
      <c r="C610" s="1" t="str">
        <f>"DD2024103112959"</f>
        <v>DD2024103112959</v>
      </c>
      <c r="D610" s="1" t="str">
        <f>"CK2024103118631"</f>
        <v>CK2024103118631</v>
      </c>
      <c r="E610" s="1" t="str">
        <f>"3723672544494880000"</f>
        <v>3723672544494880000</v>
      </c>
      <c r="F610" s="1" t="str">
        <f t="shared" si="180"/>
        <v>花都四部-凤凰仓</v>
      </c>
      <c r="G610" s="1" t="str">
        <f t="shared" si="186"/>
        <v>卡卡杜企业店（视频号）</v>
      </c>
      <c r="H610" s="1" t="str">
        <f t="shared" si="181"/>
        <v>正常订单</v>
      </c>
      <c r="I610" s="1" t="str">
        <f t="shared" si="182"/>
        <v>已发货</v>
      </c>
      <c r="J610" s="1" t="str">
        <f t="shared" si="191"/>
        <v>2</v>
      </c>
      <c r="K610" s="1">
        <v>2</v>
      </c>
      <c r="L610" s="1" t="s">
        <v>105</v>
      </c>
      <c r="M610" s="1" t="str">
        <f>"北京 北京市 顺义区 "</f>
        <v xml:space="preserve">北京 北京市 顺义区 </v>
      </c>
      <c r="N610" s="1" t="str">
        <f t="shared" si="177"/>
        <v>凡华云仓-城南圆通-微信视频号</v>
      </c>
      <c r="O610" s="5" t="s">
        <v>647</v>
      </c>
      <c r="P610" s="6">
        <v>0.17</v>
      </c>
      <c r="Q610" s="11">
        <v>2</v>
      </c>
      <c r="R610" s="11"/>
      <c r="S610" s="11"/>
      <c r="T610" s="11"/>
      <c r="U610" s="11">
        <f t="shared" si="183"/>
        <v>2</v>
      </c>
      <c r="W610">
        <v>2.2000000000000002</v>
      </c>
      <c r="X610" s="1" t="s">
        <v>105</v>
      </c>
    </row>
    <row r="611" spans="1:24" x14ac:dyDescent="0.25">
      <c r="A611" s="1" t="str">
        <f t="shared" si="179"/>
        <v>卡卡杜-凤凰仓</v>
      </c>
      <c r="B611" s="1" t="str">
        <f>"CK202410311820"</f>
        <v>CK202410311820</v>
      </c>
      <c r="C611" s="1" t="str">
        <f>"DD2024103112960"</f>
        <v>DD2024103112960</v>
      </c>
      <c r="D611" s="1" t="str">
        <f>"CK2024103118630"</f>
        <v>CK2024103118630</v>
      </c>
      <c r="E611" s="1" t="str">
        <f>"3723672544332091392"</f>
        <v>3723672544332091392</v>
      </c>
      <c r="F611" s="1" t="str">
        <f t="shared" si="180"/>
        <v>花都四部-凤凰仓</v>
      </c>
      <c r="G611" s="1" t="str">
        <f t="shared" si="186"/>
        <v>卡卡杜企业店（视频号）</v>
      </c>
      <c r="H611" s="1" t="str">
        <f t="shared" si="181"/>
        <v>正常订单</v>
      </c>
      <c r="I611" s="1" t="str">
        <f t="shared" si="182"/>
        <v>已发货</v>
      </c>
      <c r="J611" s="1" t="str">
        <f t="shared" si="191"/>
        <v>2</v>
      </c>
      <c r="K611" s="1">
        <v>2</v>
      </c>
      <c r="L611" s="1" t="s">
        <v>13</v>
      </c>
      <c r="M611" s="1" t="str">
        <f>"江苏省 扬州市 邗江区 "</f>
        <v xml:space="preserve">江苏省 扬州市 邗江区 </v>
      </c>
      <c r="N611" s="1" t="str">
        <f t="shared" si="177"/>
        <v>凡华云仓-城南圆通-微信视频号</v>
      </c>
      <c r="O611" s="5" t="s">
        <v>648</v>
      </c>
      <c r="P611" s="6">
        <v>0.17</v>
      </c>
      <c r="Q611" s="11">
        <v>2</v>
      </c>
      <c r="R611" s="11"/>
      <c r="S611" s="11"/>
      <c r="T611" s="11"/>
      <c r="U611" s="11">
        <f t="shared" si="183"/>
        <v>2</v>
      </c>
      <c r="W611">
        <v>2.2000000000000002</v>
      </c>
      <c r="X611" s="1" t="s">
        <v>13</v>
      </c>
    </row>
    <row r="612" spans="1:24" x14ac:dyDescent="0.25">
      <c r="A612" s="1" t="str">
        <f t="shared" si="179"/>
        <v>卡卡杜-凤凰仓</v>
      </c>
      <c r="B612" s="1" t="str">
        <f>"CK202410311821"</f>
        <v>CK202410311821</v>
      </c>
      <c r="C612" s="1" t="str">
        <f>"DD2024103112961"</f>
        <v>DD2024103112961</v>
      </c>
      <c r="D612" s="1" t="str">
        <f>"CK2024103118629"</f>
        <v>CK2024103118629</v>
      </c>
      <c r="E612" s="1" t="str">
        <f>"3723672543841879296"</f>
        <v>3723672543841879296</v>
      </c>
      <c r="F612" s="1" t="str">
        <f t="shared" si="180"/>
        <v>花都四部-凤凰仓</v>
      </c>
      <c r="G612" s="1" t="str">
        <f t="shared" si="186"/>
        <v>卡卡杜企业店（视频号）</v>
      </c>
      <c r="H612" s="1" t="str">
        <f t="shared" si="181"/>
        <v>正常订单</v>
      </c>
      <c r="I612" s="1" t="str">
        <f t="shared" si="182"/>
        <v>已发货</v>
      </c>
      <c r="J612" s="1" t="str">
        <f t="shared" si="191"/>
        <v>2</v>
      </c>
      <c r="K612" s="1">
        <v>2</v>
      </c>
      <c r="L612" s="1" t="s">
        <v>74</v>
      </c>
      <c r="M612" s="1" t="str">
        <f>"上海 上海市 嘉定区 "</f>
        <v xml:space="preserve">上海 上海市 嘉定区 </v>
      </c>
      <c r="N612" s="1" t="str">
        <f t="shared" si="177"/>
        <v>凡华云仓-城南圆通-微信视频号</v>
      </c>
      <c r="O612" s="5" t="s">
        <v>649</v>
      </c>
      <c r="P612" s="6">
        <v>0.17</v>
      </c>
      <c r="Q612" s="11">
        <v>2</v>
      </c>
      <c r="R612" s="11"/>
      <c r="S612" s="11"/>
      <c r="T612" s="11"/>
      <c r="U612" s="11">
        <f t="shared" si="183"/>
        <v>2</v>
      </c>
      <c r="W612">
        <v>2.2000000000000002</v>
      </c>
      <c r="X612" s="1" t="s">
        <v>74</v>
      </c>
    </row>
    <row r="613" spans="1:24" x14ac:dyDescent="0.25">
      <c r="A613" s="1" t="str">
        <f t="shared" si="179"/>
        <v>卡卡杜-凤凰仓</v>
      </c>
      <c r="B613" s="1" t="str">
        <f>"CK202410311824"</f>
        <v>CK202410311824</v>
      </c>
      <c r="C613" s="1" t="str">
        <f>"DD2024103112964"</f>
        <v>DD2024103112964</v>
      </c>
      <c r="D613" s="1" t="str">
        <f>"CK2024103118628"</f>
        <v>CK2024103118628</v>
      </c>
      <c r="E613" s="1" t="str">
        <f>"3723672541870032384"</f>
        <v>3723672541870032384</v>
      </c>
      <c r="F613" s="1" t="str">
        <f t="shared" si="180"/>
        <v>花都四部-凤凰仓</v>
      </c>
      <c r="G613" s="1" t="str">
        <f t="shared" si="186"/>
        <v>卡卡杜企业店（视频号）</v>
      </c>
      <c r="H613" s="1" t="str">
        <f t="shared" si="181"/>
        <v>正常订单</v>
      </c>
      <c r="I613" s="1" t="str">
        <f t="shared" si="182"/>
        <v>已发货</v>
      </c>
      <c r="J613" s="1" t="str">
        <f t="shared" si="191"/>
        <v>2</v>
      </c>
      <c r="K613" s="1">
        <v>2</v>
      </c>
      <c r="L613" s="1" t="s">
        <v>92</v>
      </c>
      <c r="M613" s="1" t="str">
        <f>"辽宁省 丹东市 宽甸满族自治县 "</f>
        <v xml:space="preserve">辽宁省 丹东市 宽甸满族自治县 </v>
      </c>
      <c r="N613" s="1" t="str">
        <f t="shared" si="177"/>
        <v>凡华云仓-城南圆通-微信视频号</v>
      </c>
      <c r="O613" s="5" t="s">
        <v>650</v>
      </c>
      <c r="P613" s="6">
        <v>0.17</v>
      </c>
      <c r="Q613" s="11">
        <v>2</v>
      </c>
      <c r="R613" s="11"/>
      <c r="S613" s="11"/>
      <c r="T613" s="11"/>
      <c r="U613" s="11">
        <f t="shared" si="183"/>
        <v>2</v>
      </c>
      <c r="W613">
        <v>2.2000000000000002</v>
      </c>
      <c r="X613" s="1" t="s">
        <v>92</v>
      </c>
    </row>
    <row r="614" spans="1:24" x14ac:dyDescent="0.25">
      <c r="A614" s="1" t="str">
        <f t="shared" si="179"/>
        <v>卡卡杜-凤凰仓</v>
      </c>
      <c r="B614" s="1" t="str">
        <f>"CK202410311822"</f>
        <v>CK202410311822</v>
      </c>
      <c r="C614" s="1" t="str">
        <f>"DD2024103112962"</f>
        <v>DD2024103112962</v>
      </c>
      <c r="D614" s="1" t="str">
        <f>"CK2024103118627"</f>
        <v>CK2024103118627</v>
      </c>
      <c r="E614" s="1" t="str">
        <f>"3723672543187570688"</f>
        <v>3723672543187570688</v>
      </c>
      <c r="F614" s="1" t="str">
        <f t="shared" si="180"/>
        <v>花都四部-凤凰仓</v>
      </c>
      <c r="G614" s="1" t="str">
        <f t="shared" si="186"/>
        <v>卡卡杜企业店（视频号）</v>
      </c>
      <c r="H614" s="1" t="str">
        <f t="shared" si="181"/>
        <v>正常订单</v>
      </c>
      <c r="I614" s="1" t="str">
        <f t="shared" si="182"/>
        <v>已发货</v>
      </c>
      <c r="J614" s="1" t="str">
        <f t="shared" si="191"/>
        <v>2</v>
      </c>
      <c r="K614" s="1">
        <v>2</v>
      </c>
      <c r="L614" s="1" t="s">
        <v>105</v>
      </c>
      <c r="M614" s="1" t="str">
        <f>"北京 北京市 东城区 "</f>
        <v xml:space="preserve">北京 北京市 东城区 </v>
      </c>
      <c r="N614" s="1" t="str">
        <f t="shared" si="177"/>
        <v>凡华云仓-城南圆通-微信视频号</v>
      </c>
      <c r="O614" s="5" t="s">
        <v>651</v>
      </c>
      <c r="P614" s="6">
        <v>0.17</v>
      </c>
      <c r="Q614" s="11">
        <v>2</v>
      </c>
      <c r="R614" s="11"/>
      <c r="S614" s="11"/>
      <c r="T614" s="11"/>
      <c r="U614" s="11">
        <f t="shared" si="183"/>
        <v>2</v>
      </c>
      <c r="W614">
        <v>2.2000000000000002</v>
      </c>
      <c r="X614" s="1" t="s">
        <v>105</v>
      </c>
    </row>
    <row r="615" spans="1:24" x14ac:dyDescent="0.25">
      <c r="A615" s="1" t="str">
        <f t="shared" si="179"/>
        <v>卡卡杜-凤凰仓</v>
      </c>
      <c r="B615" s="1" t="str">
        <f>"CK202410311823"</f>
        <v>CK202410311823</v>
      </c>
      <c r="C615" s="1" t="str">
        <f>"DD2024103112963"</f>
        <v>DD2024103112963</v>
      </c>
      <c r="D615" s="1" t="str">
        <f>"CK2024103118626"</f>
        <v>CK2024103118626</v>
      </c>
      <c r="E615" s="1" t="str">
        <f>"3723672541557560320"</f>
        <v>3723672541557560320</v>
      </c>
      <c r="F615" s="1" t="str">
        <f t="shared" si="180"/>
        <v>花都四部-凤凰仓</v>
      </c>
      <c r="G615" s="1" t="str">
        <f t="shared" si="186"/>
        <v>卡卡杜企业店（视频号）</v>
      </c>
      <c r="H615" s="1" t="str">
        <f t="shared" si="181"/>
        <v>正常订单</v>
      </c>
      <c r="I615" s="1" t="str">
        <f t="shared" si="182"/>
        <v>已发货</v>
      </c>
      <c r="J615" s="1" t="str">
        <f t="shared" si="191"/>
        <v>2</v>
      </c>
      <c r="K615" s="1">
        <v>2</v>
      </c>
      <c r="L615" s="1" t="s">
        <v>30</v>
      </c>
      <c r="M615" s="1" t="str">
        <f>"山东省 青岛市 即墨区 "</f>
        <v xml:space="preserve">山东省 青岛市 即墨区 </v>
      </c>
      <c r="N615" s="1" t="str">
        <f t="shared" si="177"/>
        <v>凡华云仓-城南圆通-微信视频号</v>
      </c>
      <c r="O615" s="5" t="s">
        <v>652</v>
      </c>
      <c r="P615" s="6">
        <v>0.17</v>
      </c>
      <c r="Q615" s="11">
        <v>2</v>
      </c>
      <c r="R615" s="11"/>
      <c r="S615" s="11"/>
      <c r="T615" s="11"/>
      <c r="U615" s="11">
        <f t="shared" si="183"/>
        <v>2</v>
      </c>
      <c r="W615">
        <v>2.2000000000000002</v>
      </c>
      <c r="X615" s="1" t="s">
        <v>30</v>
      </c>
    </row>
    <row r="616" spans="1:24" x14ac:dyDescent="0.25">
      <c r="A616" s="1" t="str">
        <f t="shared" si="179"/>
        <v>卡卡杜-凤凰仓</v>
      </c>
      <c r="B616" s="1" t="str">
        <f>"CK20241031214"</f>
        <v>CK20241031214</v>
      </c>
      <c r="C616" s="1" t="str">
        <f>"DD2024103112435"</f>
        <v>DD2024103112435</v>
      </c>
      <c r="D616" s="1" t="str">
        <f>"CK2024103118625"</f>
        <v>CK2024103118625</v>
      </c>
      <c r="E616" s="1" t="str">
        <f>"3723672540572681472"</f>
        <v>3723672540572681472</v>
      </c>
      <c r="F616" s="1" t="str">
        <f t="shared" si="180"/>
        <v>花都四部-凤凰仓</v>
      </c>
      <c r="G616" s="1" t="str">
        <f t="shared" si="186"/>
        <v>卡卡杜企业店（视频号）</v>
      </c>
      <c r="H616" s="1" t="str">
        <f t="shared" si="181"/>
        <v>正常订单</v>
      </c>
      <c r="I616" s="1" t="str">
        <f t="shared" si="182"/>
        <v>已发货</v>
      </c>
      <c r="J616" s="1" t="str">
        <f t="shared" ref="J616:J619" si="192">"3"</f>
        <v>3</v>
      </c>
      <c r="K616" s="1">
        <v>2</v>
      </c>
      <c r="L616" s="1" t="s">
        <v>74</v>
      </c>
      <c r="M616" s="1" t="str">
        <f>"上海 上海市 嘉定区 "</f>
        <v xml:space="preserve">上海 上海市 嘉定区 </v>
      </c>
      <c r="N616" s="1" t="str">
        <f t="shared" si="177"/>
        <v>凡华云仓-城南圆通-微信视频号</v>
      </c>
      <c r="O616" s="5" t="s">
        <v>653</v>
      </c>
      <c r="P616" s="6">
        <v>0.25</v>
      </c>
      <c r="Q616" s="11">
        <v>2</v>
      </c>
      <c r="R616" s="11"/>
      <c r="S616" s="11"/>
      <c r="T616" s="11"/>
      <c r="U616" s="11">
        <f t="shared" si="183"/>
        <v>2</v>
      </c>
      <c r="W616">
        <v>2.2000000000000002</v>
      </c>
      <c r="X616" s="1" t="s">
        <v>74</v>
      </c>
    </row>
    <row r="617" spans="1:24" x14ac:dyDescent="0.25">
      <c r="A617" s="1" t="str">
        <f t="shared" si="179"/>
        <v>卡卡杜-凤凰仓</v>
      </c>
      <c r="B617" s="1" t="str">
        <f>"CK20241031217"</f>
        <v>CK20241031217</v>
      </c>
      <c r="C617" s="1" t="str">
        <f>"DD2024103112438"</f>
        <v>DD2024103112438</v>
      </c>
      <c r="D617" s="1" t="str">
        <f>"CK2024103118624"</f>
        <v>CK2024103118624</v>
      </c>
      <c r="E617" s="1" t="str">
        <f>"3723672540410941441"</f>
        <v>3723672540410941441</v>
      </c>
      <c r="F617" s="1" t="str">
        <f t="shared" si="180"/>
        <v>花都四部-凤凰仓</v>
      </c>
      <c r="G617" s="1" t="str">
        <f t="shared" si="186"/>
        <v>卡卡杜企业店（视频号）</v>
      </c>
      <c r="H617" s="1" t="str">
        <f t="shared" si="181"/>
        <v>正常订单</v>
      </c>
      <c r="I617" s="1" t="str">
        <f t="shared" si="182"/>
        <v>已发货</v>
      </c>
      <c r="J617" s="1" t="str">
        <f t="shared" si="192"/>
        <v>3</v>
      </c>
      <c r="K617" s="1">
        <v>2</v>
      </c>
      <c r="L617" s="1" t="s">
        <v>218</v>
      </c>
      <c r="M617" s="1" t="str">
        <f>"天津 天津市 河西区 "</f>
        <v xml:space="preserve">天津 天津市 河西区 </v>
      </c>
      <c r="N617" s="1" t="str">
        <f t="shared" si="177"/>
        <v>凡华云仓-城南圆通-微信视频号</v>
      </c>
      <c r="O617" s="5" t="s">
        <v>654</v>
      </c>
      <c r="P617" s="6">
        <v>0.25</v>
      </c>
      <c r="Q617" s="11">
        <v>2</v>
      </c>
      <c r="R617" s="11"/>
      <c r="S617" s="11"/>
      <c r="T617" s="11"/>
      <c r="U617" s="11">
        <f t="shared" si="183"/>
        <v>2</v>
      </c>
      <c r="W617">
        <v>2.2000000000000002</v>
      </c>
      <c r="X617" s="1" t="s">
        <v>218</v>
      </c>
    </row>
    <row r="618" spans="1:24" x14ac:dyDescent="0.25">
      <c r="A618" s="1" t="str">
        <f t="shared" si="179"/>
        <v>卡卡杜-凤凰仓</v>
      </c>
      <c r="B618" s="1" t="str">
        <f>"CK202410311825"</f>
        <v>CK202410311825</v>
      </c>
      <c r="C618" s="1" t="str">
        <f>"DD2024103112965"</f>
        <v>DD2024103112965</v>
      </c>
      <c r="D618" s="1" t="str">
        <f>"CK2024103118623"</f>
        <v>CK2024103118623</v>
      </c>
      <c r="E618" s="1" t="str">
        <f>"3723672540069893120"</f>
        <v>3723672540069893120</v>
      </c>
      <c r="F618" s="1" t="str">
        <f t="shared" si="180"/>
        <v>花都四部-凤凰仓</v>
      </c>
      <c r="G618" s="1" t="str">
        <f t="shared" si="186"/>
        <v>卡卡杜企业店（视频号）</v>
      </c>
      <c r="H618" s="1" t="str">
        <f t="shared" si="181"/>
        <v>正常订单</v>
      </c>
      <c r="I618" s="1" t="str">
        <f t="shared" si="182"/>
        <v>已发货</v>
      </c>
      <c r="J618" s="1" t="str">
        <f t="shared" ref="J618:J621" si="193">"2"</f>
        <v>2</v>
      </c>
      <c r="K618" s="1">
        <v>2</v>
      </c>
      <c r="L618" s="1" t="s">
        <v>105</v>
      </c>
      <c r="M618" s="1" t="str">
        <f>"北京 北京市 通州区 "</f>
        <v xml:space="preserve">北京 北京市 通州区 </v>
      </c>
      <c r="N618" s="1" t="str">
        <f t="shared" si="177"/>
        <v>凡华云仓-城南圆通-微信视频号</v>
      </c>
      <c r="O618" s="5" t="s">
        <v>655</v>
      </c>
      <c r="P618" s="6">
        <v>0.17</v>
      </c>
      <c r="Q618" s="11">
        <v>2</v>
      </c>
      <c r="R618" s="11"/>
      <c r="S618" s="11"/>
      <c r="T618" s="11"/>
      <c r="U618" s="11">
        <f t="shared" si="183"/>
        <v>2</v>
      </c>
      <c r="W618">
        <v>2.2000000000000002</v>
      </c>
      <c r="X618" s="1" t="s">
        <v>105</v>
      </c>
    </row>
    <row r="619" spans="1:24" x14ac:dyDescent="0.25">
      <c r="A619" s="1" t="str">
        <f t="shared" si="179"/>
        <v>卡卡杜-凤凰仓</v>
      </c>
      <c r="B619" s="1" t="str">
        <f>"CK20241031213"</f>
        <v>CK20241031213</v>
      </c>
      <c r="C619" s="1" t="str">
        <f>"DD2024103112434"</f>
        <v>DD2024103112434</v>
      </c>
      <c r="D619" s="1" t="str">
        <f>"CK2024103118622"</f>
        <v>CK2024103118622</v>
      </c>
      <c r="E619" s="1" t="str">
        <f>"3723672541983278593"</f>
        <v>3723672541983278593</v>
      </c>
      <c r="F619" s="1" t="str">
        <f t="shared" si="180"/>
        <v>花都四部-凤凰仓</v>
      </c>
      <c r="G619" s="1" t="str">
        <f t="shared" si="186"/>
        <v>卡卡杜企业店（视频号）</v>
      </c>
      <c r="H619" s="1" t="str">
        <f t="shared" si="181"/>
        <v>正常订单</v>
      </c>
      <c r="I619" s="1" t="str">
        <f t="shared" si="182"/>
        <v>已发货</v>
      </c>
      <c r="J619" s="1" t="str">
        <f t="shared" si="192"/>
        <v>3</v>
      </c>
      <c r="K619" s="1">
        <v>2</v>
      </c>
      <c r="L619" s="1" t="s">
        <v>30</v>
      </c>
      <c r="M619" s="1" t="str">
        <f>"山东省 烟台市 牟平区 "</f>
        <v xml:space="preserve">山东省 烟台市 牟平区 </v>
      </c>
      <c r="N619" s="1" t="str">
        <f t="shared" si="177"/>
        <v>凡华云仓-城南圆通-微信视频号</v>
      </c>
      <c r="O619" s="5" t="s">
        <v>656</v>
      </c>
      <c r="P619" s="6">
        <v>0.25</v>
      </c>
      <c r="Q619" s="11">
        <v>2</v>
      </c>
      <c r="R619" s="11"/>
      <c r="S619" s="11"/>
      <c r="T619" s="11"/>
      <c r="U619" s="11">
        <f t="shared" si="183"/>
        <v>2</v>
      </c>
      <c r="W619">
        <v>2.2000000000000002</v>
      </c>
      <c r="X619" s="1" t="s">
        <v>30</v>
      </c>
    </row>
    <row r="620" spans="1:24" x14ac:dyDescent="0.25">
      <c r="A620" s="1" t="str">
        <f t="shared" si="179"/>
        <v>卡卡杜-凤凰仓</v>
      </c>
      <c r="B620" s="1" t="str">
        <f>"CK202410311826"</f>
        <v>CK202410311826</v>
      </c>
      <c r="C620" s="1" t="str">
        <f>"DD2024103112966"</f>
        <v>DD2024103112966</v>
      </c>
      <c r="D620" s="1" t="str">
        <f>"CK2024103118621"</f>
        <v>CK2024103118621</v>
      </c>
      <c r="E620" s="1" t="str">
        <f>"3723672540527594496"</f>
        <v>3723672540527594496</v>
      </c>
      <c r="F620" s="1" t="str">
        <f t="shared" si="180"/>
        <v>花都四部-凤凰仓</v>
      </c>
      <c r="G620" s="1" t="str">
        <f t="shared" si="186"/>
        <v>卡卡杜企业店（视频号）</v>
      </c>
      <c r="H620" s="1" t="str">
        <f t="shared" si="181"/>
        <v>正常订单</v>
      </c>
      <c r="I620" s="1" t="str">
        <f t="shared" si="182"/>
        <v>已发货</v>
      </c>
      <c r="J620" s="1" t="str">
        <f t="shared" si="193"/>
        <v>2</v>
      </c>
      <c r="K620" s="1">
        <v>2</v>
      </c>
      <c r="L620" s="1" t="s">
        <v>105</v>
      </c>
      <c r="M620" s="1" t="str">
        <f>"北京 北京市 西城区 "</f>
        <v xml:space="preserve">北京 北京市 西城区 </v>
      </c>
      <c r="N620" s="1" t="str">
        <f t="shared" si="177"/>
        <v>凡华云仓-城南圆通-微信视频号</v>
      </c>
      <c r="O620" s="5" t="s">
        <v>657</v>
      </c>
      <c r="P620" s="6">
        <v>0.17</v>
      </c>
      <c r="Q620" s="11">
        <v>2</v>
      </c>
      <c r="R620" s="11"/>
      <c r="S620" s="11"/>
      <c r="T620" s="11"/>
      <c r="U620" s="11">
        <f t="shared" si="183"/>
        <v>2</v>
      </c>
      <c r="W620">
        <v>2.2000000000000002</v>
      </c>
      <c r="X620" s="1" t="s">
        <v>105</v>
      </c>
    </row>
    <row r="621" spans="1:24" x14ac:dyDescent="0.25">
      <c r="A621" s="1" t="str">
        <f t="shared" si="179"/>
        <v>卡卡杜-凤凰仓</v>
      </c>
      <c r="B621" s="1" t="str">
        <f>"CK202410311827"</f>
        <v>CK202410311827</v>
      </c>
      <c r="C621" s="1" t="str">
        <f>"DD2024103112967"</f>
        <v>DD2024103112967</v>
      </c>
      <c r="D621" s="1" t="str">
        <f>"CK2024103118620"</f>
        <v>CK2024103118620</v>
      </c>
      <c r="E621" s="1" t="str">
        <f>"3723672538565971968"</f>
        <v>3723672538565971968</v>
      </c>
      <c r="F621" s="1" t="str">
        <f t="shared" si="180"/>
        <v>花都四部-凤凰仓</v>
      </c>
      <c r="G621" s="1" t="str">
        <f t="shared" si="186"/>
        <v>卡卡杜企业店（视频号）</v>
      </c>
      <c r="H621" s="1" t="str">
        <f t="shared" si="181"/>
        <v>正常订单</v>
      </c>
      <c r="I621" s="1" t="str">
        <f t="shared" si="182"/>
        <v>已发货</v>
      </c>
      <c r="J621" s="1" t="str">
        <f t="shared" si="193"/>
        <v>2</v>
      </c>
      <c r="K621" s="1">
        <v>2</v>
      </c>
      <c r="L621" s="1" t="s">
        <v>54</v>
      </c>
      <c r="M621" s="1" t="str">
        <f>"黑龙江省 哈尔滨市 阿城区 "</f>
        <v xml:space="preserve">黑龙江省 哈尔滨市 阿城区 </v>
      </c>
      <c r="N621" s="1" t="str">
        <f t="shared" si="177"/>
        <v>凡华云仓-城南圆通-微信视频号</v>
      </c>
      <c r="O621" s="5" t="s">
        <v>658</v>
      </c>
      <c r="P621" s="6">
        <v>0.17</v>
      </c>
      <c r="Q621" s="11">
        <v>2</v>
      </c>
      <c r="R621" s="11"/>
      <c r="S621" s="11"/>
      <c r="T621" s="11"/>
      <c r="U621" s="11">
        <f t="shared" si="183"/>
        <v>2</v>
      </c>
      <c r="W621">
        <v>2.2000000000000002</v>
      </c>
      <c r="X621" s="1" t="s">
        <v>54</v>
      </c>
    </row>
    <row r="622" spans="1:24" x14ac:dyDescent="0.25">
      <c r="A622" s="1" t="str">
        <f t="shared" si="179"/>
        <v>卡卡杜-凤凰仓</v>
      </c>
      <c r="B622" s="1" t="str">
        <f>"CK202410311457"</f>
        <v>CK202410311457</v>
      </c>
      <c r="C622" s="1" t="str">
        <f>"DD2024103112631"</f>
        <v>DD2024103112631</v>
      </c>
      <c r="D622" s="1" t="str">
        <f>"CK2024103118619"</f>
        <v>CK2024103118619</v>
      </c>
      <c r="E622" s="1" t="str">
        <f>"3723672534368521216"</f>
        <v>3723672534368521216</v>
      </c>
      <c r="F622" s="1" t="str">
        <f t="shared" si="180"/>
        <v>花都四部-凤凰仓</v>
      </c>
      <c r="G622" s="1" t="str">
        <f t="shared" si="186"/>
        <v>卡卡杜企业店（视频号）</v>
      </c>
      <c r="H622" s="1" t="str">
        <f t="shared" si="181"/>
        <v>正常订单</v>
      </c>
      <c r="I622" s="1" t="str">
        <f t="shared" si="182"/>
        <v>已发货</v>
      </c>
      <c r="J622" s="1" t="str">
        <f t="shared" ref="J622:J626" si="194">"5"</f>
        <v>5</v>
      </c>
      <c r="K622" s="1">
        <v>3</v>
      </c>
      <c r="L622" s="1" t="s">
        <v>24</v>
      </c>
      <c r="M622" s="1" t="str">
        <f>"福建省 福州市 台江区 "</f>
        <v xml:space="preserve">福建省 福州市 台江区 </v>
      </c>
      <c r="N622" s="1" t="str">
        <f t="shared" si="177"/>
        <v>凡华云仓-城南圆通-微信视频号</v>
      </c>
      <c r="O622" s="5" t="s">
        <v>659</v>
      </c>
      <c r="P622" s="6">
        <v>0.46</v>
      </c>
      <c r="Q622" s="11">
        <v>2.2999999999999998</v>
      </c>
      <c r="R622" s="11"/>
      <c r="S622" s="11"/>
      <c r="T622" s="11"/>
      <c r="U622" s="11">
        <f t="shared" si="183"/>
        <v>2.2999999999999998</v>
      </c>
      <c r="W622">
        <v>2.5</v>
      </c>
      <c r="X622" s="1" t="s">
        <v>24</v>
      </c>
    </row>
    <row r="623" spans="1:24" x14ac:dyDescent="0.25">
      <c r="A623" s="1" t="str">
        <f t="shared" si="179"/>
        <v>卡卡杜-凤凰仓</v>
      </c>
      <c r="B623" s="1" t="str">
        <f>"CK20241031270"</f>
        <v>CK20241031270</v>
      </c>
      <c r="C623" s="1" t="str">
        <f>"DD2024103112500"</f>
        <v>DD2024103112500</v>
      </c>
      <c r="D623" s="1" t="str">
        <f>"CK2024103118618"</f>
        <v>CK2024103118618</v>
      </c>
      <c r="E623" s="1" t="str">
        <f>"3723672506849953280"</f>
        <v>3723672506849953280</v>
      </c>
      <c r="F623" s="1" t="str">
        <f t="shared" si="180"/>
        <v>花都四部-凤凰仓</v>
      </c>
      <c r="G623" s="1" t="str">
        <f t="shared" si="186"/>
        <v>卡卡杜企业店（视频号）</v>
      </c>
      <c r="H623" s="1" t="str">
        <f t="shared" si="181"/>
        <v>正常订单</v>
      </c>
      <c r="I623" s="1" t="str">
        <f t="shared" si="182"/>
        <v>已发货</v>
      </c>
      <c r="J623" s="1" t="str">
        <f t="shared" ref="J623:J627" si="195">"3"</f>
        <v>3</v>
      </c>
      <c r="K623" s="1">
        <v>3</v>
      </c>
      <c r="L623" s="1" t="s">
        <v>109</v>
      </c>
      <c r="M623" s="1" t="str">
        <f>"山西省 太原市 万柏林区 "</f>
        <v xml:space="preserve">山西省 太原市 万柏林区 </v>
      </c>
      <c r="N623" s="1" t="str">
        <f t="shared" si="177"/>
        <v>凡华云仓-城南圆通-微信视频号</v>
      </c>
      <c r="O623" s="5" t="s">
        <v>660</v>
      </c>
      <c r="P623" s="6">
        <v>0.33</v>
      </c>
      <c r="Q623" s="11">
        <v>2.2999999999999998</v>
      </c>
      <c r="R623" s="11"/>
      <c r="S623" s="11"/>
      <c r="T623" s="11"/>
      <c r="U623" s="11">
        <f t="shared" si="183"/>
        <v>2.2999999999999998</v>
      </c>
      <c r="W623">
        <v>2.5</v>
      </c>
      <c r="X623" s="1" t="s">
        <v>109</v>
      </c>
    </row>
    <row r="624" spans="1:24" x14ac:dyDescent="0.25">
      <c r="A624" s="1" t="str">
        <f t="shared" si="179"/>
        <v>卡卡杜-凤凰仓</v>
      </c>
      <c r="B624" s="1" t="str">
        <f>"CK202410311458"</f>
        <v>CK202410311458</v>
      </c>
      <c r="C624" s="1" t="str">
        <f>"DD2024103112632"</f>
        <v>DD2024103112632</v>
      </c>
      <c r="D624" s="1" t="str">
        <f>"CK2024103118617"</f>
        <v>CK2024103118617</v>
      </c>
      <c r="E624" s="1" t="str">
        <f>"3723672459184049153"</f>
        <v>3723672459184049153</v>
      </c>
      <c r="F624" s="1" t="str">
        <f t="shared" si="180"/>
        <v>花都四部-凤凰仓</v>
      </c>
      <c r="G624" s="1" t="str">
        <f t="shared" si="186"/>
        <v>卡卡杜企业店（视频号）</v>
      </c>
      <c r="H624" s="1" t="str">
        <f t="shared" si="181"/>
        <v>正常订单</v>
      </c>
      <c r="I624" s="1" t="str">
        <f t="shared" si="182"/>
        <v>已发货</v>
      </c>
      <c r="J624" s="1" t="str">
        <f t="shared" si="194"/>
        <v>5</v>
      </c>
      <c r="K624" s="1">
        <v>3</v>
      </c>
      <c r="L624" s="1" t="s">
        <v>18</v>
      </c>
      <c r="M624" s="1" t="str">
        <f>"广东省 佛山市 南海区 "</f>
        <v xml:space="preserve">广东省 佛山市 南海区 </v>
      </c>
      <c r="N624" s="1" t="str">
        <f t="shared" si="177"/>
        <v>凡华云仓-城南圆通-微信视频号</v>
      </c>
      <c r="O624" s="5" t="s">
        <v>661</v>
      </c>
      <c r="P624" s="6">
        <v>0.46</v>
      </c>
      <c r="Q624" s="11">
        <v>2.2999999999999998</v>
      </c>
      <c r="R624" s="11"/>
      <c r="S624" s="11"/>
      <c r="T624" s="11"/>
      <c r="U624" s="11">
        <f t="shared" si="183"/>
        <v>2.2999999999999998</v>
      </c>
      <c r="W624">
        <v>2.5</v>
      </c>
      <c r="X624" s="1" t="s">
        <v>18</v>
      </c>
    </row>
    <row r="625" spans="1:24" x14ac:dyDescent="0.25">
      <c r="A625" s="1" t="str">
        <f t="shared" si="179"/>
        <v>卡卡杜-凤凰仓</v>
      </c>
      <c r="B625" s="1" t="str">
        <f>"CK20241031215"</f>
        <v>CK20241031215</v>
      </c>
      <c r="C625" s="1" t="str">
        <f>"DD2024103112436"</f>
        <v>DD2024103112436</v>
      </c>
      <c r="D625" s="1" t="str">
        <f>"CK2024103118616"</f>
        <v>CK2024103118616</v>
      </c>
      <c r="E625" s="1" t="str">
        <f>"3723671850812052480"</f>
        <v>3723671850812052480</v>
      </c>
      <c r="F625" s="1" t="str">
        <f t="shared" si="180"/>
        <v>花都四部-凤凰仓</v>
      </c>
      <c r="G625" s="1" t="str">
        <f t="shared" si="186"/>
        <v>卡卡杜企业店（视频号）</v>
      </c>
      <c r="H625" s="1" t="str">
        <f t="shared" si="181"/>
        <v>正常订单</v>
      </c>
      <c r="I625" s="1" t="str">
        <f t="shared" si="182"/>
        <v>已发货</v>
      </c>
      <c r="J625" s="1" t="str">
        <f t="shared" si="195"/>
        <v>3</v>
      </c>
      <c r="K625" s="1">
        <v>2</v>
      </c>
      <c r="L625" s="1" t="s">
        <v>18</v>
      </c>
      <c r="M625" s="1" t="str">
        <f>"广东省 广州市 天河区 "</f>
        <v xml:space="preserve">广东省 广州市 天河区 </v>
      </c>
      <c r="N625" s="1" t="str">
        <f t="shared" si="177"/>
        <v>凡华云仓-城南圆通-微信视频号</v>
      </c>
      <c r="O625" s="5" t="s">
        <v>662</v>
      </c>
      <c r="P625" s="6">
        <v>0.25</v>
      </c>
      <c r="Q625" s="11">
        <v>2</v>
      </c>
      <c r="R625" s="11"/>
      <c r="S625" s="11"/>
      <c r="T625" s="11"/>
      <c r="U625" s="11">
        <f t="shared" si="183"/>
        <v>2</v>
      </c>
      <c r="W625">
        <v>2.2000000000000002</v>
      </c>
      <c r="X625" s="1" t="s">
        <v>18</v>
      </c>
    </row>
    <row r="626" spans="1:24" x14ac:dyDescent="0.25">
      <c r="A626" s="1" t="str">
        <f t="shared" si="179"/>
        <v>卡卡杜-凤凰仓</v>
      </c>
      <c r="B626" s="1" t="str">
        <f>"CK202410311459"</f>
        <v>CK202410311459</v>
      </c>
      <c r="C626" s="1" t="str">
        <f>"DD2024103112633"</f>
        <v>DD2024103112633</v>
      </c>
      <c r="D626" s="1" t="str">
        <f>"CK2024103118615"</f>
        <v>CK2024103118615</v>
      </c>
      <c r="E626" s="1" t="str">
        <f>"3723671627300475904"</f>
        <v>3723671627300475904</v>
      </c>
      <c r="F626" s="1" t="str">
        <f t="shared" si="180"/>
        <v>花都四部-凤凰仓</v>
      </c>
      <c r="G626" s="1" t="str">
        <f t="shared" si="186"/>
        <v>卡卡杜企业店（视频号）</v>
      </c>
      <c r="H626" s="1" t="str">
        <f t="shared" si="181"/>
        <v>正常订单</v>
      </c>
      <c r="I626" s="1" t="str">
        <f t="shared" si="182"/>
        <v>已发货</v>
      </c>
      <c r="J626" s="1" t="str">
        <f t="shared" si="194"/>
        <v>5</v>
      </c>
      <c r="K626" s="1">
        <v>3</v>
      </c>
      <c r="L626" s="1" t="s">
        <v>41</v>
      </c>
      <c r="M626" s="1" t="str">
        <f>"湖北省 武汉市 江岸区 "</f>
        <v xml:space="preserve">湖北省 武汉市 江岸区 </v>
      </c>
      <c r="N626" s="1" t="str">
        <f t="shared" si="177"/>
        <v>凡华云仓-城南圆通-微信视频号</v>
      </c>
      <c r="O626" s="5" t="s">
        <v>663</v>
      </c>
      <c r="P626" s="6">
        <v>0.46</v>
      </c>
      <c r="Q626" s="11">
        <v>2.2999999999999998</v>
      </c>
      <c r="R626" s="11"/>
      <c r="S626" s="11"/>
      <c r="T626" s="11"/>
      <c r="U626" s="11">
        <f t="shared" si="183"/>
        <v>2.2999999999999998</v>
      </c>
      <c r="W626">
        <v>2.5</v>
      </c>
      <c r="X626" s="1" t="s">
        <v>41</v>
      </c>
    </row>
    <row r="627" spans="1:24" x14ac:dyDescent="0.25">
      <c r="A627" s="1" t="str">
        <f t="shared" si="179"/>
        <v>卡卡杜-凤凰仓</v>
      </c>
      <c r="B627" s="1" t="str">
        <f>"CK20241031271"</f>
        <v>CK20241031271</v>
      </c>
      <c r="C627" s="1" t="str">
        <f>"DD2024103112499"</f>
        <v>DD2024103112499</v>
      </c>
      <c r="D627" s="1" t="str">
        <f>"CK2024103118614"</f>
        <v>CK2024103118614</v>
      </c>
      <c r="E627" s="1" t="str">
        <f>"3723671654244681216"</f>
        <v>3723671654244681216</v>
      </c>
      <c r="F627" s="1" t="str">
        <f t="shared" si="180"/>
        <v>花都四部-凤凰仓</v>
      </c>
      <c r="G627" s="1" t="str">
        <f t="shared" si="186"/>
        <v>卡卡杜企业店（视频号）</v>
      </c>
      <c r="H627" s="1" t="str">
        <f t="shared" si="181"/>
        <v>正常订单</v>
      </c>
      <c r="I627" s="1" t="str">
        <f t="shared" si="182"/>
        <v>已发货</v>
      </c>
      <c r="J627" s="1" t="str">
        <f t="shared" si="195"/>
        <v>3</v>
      </c>
      <c r="K627" s="1">
        <v>2</v>
      </c>
      <c r="L627" s="1" t="s">
        <v>41</v>
      </c>
      <c r="M627" s="1" t="str">
        <f>"湖北省 武汉市 江岸区 "</f>
        <v xml:space="preserve">湖北省 武汉市 江岸区 </v>
      </c>
      <c r="N627" s="1" t="str">
        <f t="shared" si="177"/>
        <v>凡华云仓-城南圆通-微信视频号</v>
      </c>
      <c r="O627" s="5" t="s">
        <v>664</v>
      </c>
      <c r="P627" s="6">
        <v>0.25</v>
      </c>
      <c r="Q627" s="11">
        <v>2</v>
      </c>
      <c r="R627" s="11"/>
      <c r="S627" s="11"/>
      <c r="T627" s="11"/>
      <c r="U627" s="11">
        <f t="shared" si="183"/>
        <v>2</v>
      </c>
      <c r="W627">
        <v>2.2000000000000002</v>
      </c>
      <c r="X627" s="1" t="s">
        <v>41</v>
      </c>
    </row>
    <row r="628" spans="1:24" x14ac:dyDescent="0.25">
      <c r="A628" s="1" t="str">
        <f t="shared" si="179"/>
        <v>卡卡杜-凤凰仓</v>
      </c>
      <c r="B628" s="1" t="str">
        <f>"CK202410311460"</f>
        <v>CK202410311460</v>
      </c>
      <c r="C628" s="1" t="str">
        <f>"DD2024103112635"</f>
        <v>DD2024103112635</v>
      </c>
      <c r="D628" s="1" t="str">
        <f>"CK2024103118613"</f>
        <v>CK2024103118613</v>
      </c>
      <c r="E628" s="1" t="str">
        <f>"3723671532214289920"</f>
        <v>3723671532214289920</v>
      </c>
      <c r="F628" s="1" t="str">
        <f t="shared" si="180"/>
        <v>花都四部-凤凰仓</v>
      </c>
      <c r="G628" s="1" t="str">
        <f t="shared" si="186"/>
        <v>卡卡杜企业店（视频号）</v>
      </c>
      <c r="H628" s="1" t="str">
        <f t="shared" si="181"/>
        <v>正常订单</v>
      </c>
      <c r="I628" s="1" t="str">
        <f t="shared" si="182"/>
        <v>已发货</v>
      </c>
      <c r="J628" s="1" t="str">
        <f>"5"</f>
        <v>5</v>
      </c>
      <c r="K628" s="1">
        <v>3</v>
      </c>
      <c r="L628" s="1" t="s">
        <v>54</v>
      </c>
      <c r="M628" s="1" t="str">
        <f>"黑龙江省 哈尔滨市 道里区 "</f>
        <v xml:space="preserve">黑龙江省 哈尔滨市 道里区 </v>
      </c>
      <c r="N628" s="1" t="str">
        <f t="shared" si="177"/>
        <v>凡华云仓-城南圆通-微信视频号</v>
      </c>
      <c r="O628" s="5" t="s">
        <v>665</v>
      </c>
      <c r="P628" s="6">
        <v>0.46</v>
      </c>
      <c r="Q628" s="11">
        <v>2.2999999999999998</v>
      </c>
      <c r="R628" s="11"/>
      <c r="S628" s="11"/>
      <c r="T628" s="11"/>
      <c r="U628" s="11">
        <f t="shared" si="183"/>
        <v>2.2999999999999998</v>
      </c>
      <c r="W628">
        <v>2.5</v>
      </c>
      <c r="X628" s="1" t="s">
        <v>54</v>
      </c>
    </row>
    <row r="629" spans="1:24" x14ac:dyDescent="0.25">
      <c r="A629" s="1" t="str">
        <f t="shared" si="179"/>
        <v>卡卡杜-凤凰仓</v>
      </c>
      <c r="B629" s="1" t="str">
        <f>"CK2024103150"</f>
        <v>CK2024103150</v>
      </c>
      <c r="C629" s="1" t="str">
        <f>"DD2024103112089"</f>
        <v>DD2024103112089</v>
      </c>
      <c r="D629" s="1" t="str">
        <f>"CK2024103118612"</f>
        <v>CK2024103118612</v>
      </c>
      <c r="E629" s="1" t="str">
        <f>"3723671399198491904"</f>
        <v>3723671399198491904</v>
      </c>
      <c r="F629" s="1" t="str">
        <f t="shared" si="180"/>
        <v>花都四部-凤凰仓</v>
      </c>
      <c r="G629" s="1" t="str">
        <f t="shared" si="186"/>
        <v>卡卡杜企业店（视频号）</v>
      </c>
      <c r="H629" s="1" t="str">
        <f t="shared" si="181"/>
        <v>正常订单</v>
      </c>
      <c r="I629" s="1" t="str">
        <f t="shared" si="182"/>
        <v>已发货</v>
      </c>
      <c r="J629" s="1" t="str">
        <f t="shared" ref="J629:J639" si="196">"3"</f>
        <v>3</v>
      </c>
      <c r="K629" s="1">
        <v>3</v>
      </c>
      <c r="L629" s="1" t="s">
        <v>96</v>
      </c>
      <c r="M629" s="1" t="str">
        <f>"广西壮族自治区 北海市 银海区 "</f>
        <v xml:space="preserve">广西壮族自治区 北海市 银海区 </v>
      </c>
      <c r="N629" s="1" t="str">
        <f t="shared" si="177"/>
        <v>凡华云仓-城南圆通-微信视频号</v>
      </c>
      <c r="O629" s="5" t="s">
        <v>666</v>
      </c>
      <c r="P629" s="6">
        <v>0.33</v>
      </c>
      <c r="Q629" s="11">
        <v>2.2999999999999998</v>
      </c>
      <c r="R629" s="11"/>
      <c r="S629" s="11"/>
      <c r="T629" s="11"/>
      <c r="U629" s="11">
        <f t="shared" si="183"/>
        <v>2.2999999999999998</v>
      </c>
      <c r="W629">
        <v>2.5</v>
      </c>
      <c r="X629" s="1" t="s">
        <v>96</v>
      </c>
    </row>
    <row r="630" spans="1:24" x14ac:dyDescent="0.25">
      <c r="A630" s="1" t="str">
        <f t="shared" si="179"/>
        <v>卡卡杜-凤凰仓</v>
      </c>
      <c r="B630" s="1" t="str">
        <f>"CK2024103148"</f>
        <v>CK2024103148</v>
      </c>
      <c r="C630" s="1" t="str">
        <f>"DD2024103112088"</f>
        <v>DD2024103112088</v>
      </c>
      <c r="D630" s="1" t="str">
        <f>"CK2024103118611"</f>
        <v>CK2024103118611</v>
      </c>
      <c r="E630" s="1" t="str">
        <f>"3723671389754492416"</f>
        <v>3723671389754492416</v>
      </c>
      <c r="F630" s="1" t="str">
        <f t="shared" si="180"/>
        <v>花都四部-凤凰仓</v>
      </c>
      <c r="G630" s="1" t="str">
        <f t="shared" si="186"/>
        <v>卡卡杜企业店（视频号）</v>
      </c>
      <c r="H630" s="1" t="str">
        <f t="shared" si="181"/>
        <v>正常订单</v>
      </c>
      <c r="I630" s="1" t="str">
        <f t="shared" si="182"/>
        <v>已发货</v>
      </c>
      <c r="J630" s="1" t="str">
        <f t="shared" si="196"/>
        <v>3</v>
      </c>
      <c r="K630" s="1">
        <v>3</v>
      </c>
      <c r="L630" s="1" t="s">
        <v>41</v>
      </c>
      <c r="M630" s="1" t="str">
        <f>"湖北省 孝感市 汉川市 "</f>
        <v xml:space="preserve">湖北省 孝感市 汉川市 </v>
      </c>
      <c r="N630" s="1" t="str">
        <f t="shared" si="177"/>
        <v>凡华云仓-城南圆通-微信视频号</v>
      </c>
      <c r="O630" s="5" t="s">
        <v>667</v>
      </c>
      <c r="P630" s="6">
        <v>0.33</v>
      </c>
      <c r="Q630" s="11">
        <v>2.2999999999999998</v>
      </c>
      <c r="R630" s="11"/>
      <c r="S630" s="11"/>
      <c r="T630" s="11"/>
      <c r="U630" s="11">
        <f t="shared" si="183"/>
        <v>2.2999999999999998</v>
      </c>
      <c r="W630">
        <v>2.5</v>
      </c>
      <c r="X630" s="1" t="s">
        <v>41</v>
      </c>
    </row>
    <row r="631" spans="1:24" x14ac:dyDescent="0.25">
      <c r="A631" s="1" t="str">
        <f t="shared" si="179"/>
        <v>卡卡杜-凤凰仓</v>
      </c>
      <c r="B631" s="1" t="str">
        <f>"CK202410311461"</f>
        <v>CK202410311461</v>
      </c>
      <c r="C631" s="1" t="str">
        <f>"DD2024103112634"</f>
        <v>DD2024103112634</v>
      </c>
      <c r="D631" s="1" t="str">
        <f>"CK2024103118610"</f>
        <v>CK2024103118610</v>
      </c>
      <c r="E631" s="1" t="str">
        <f>"3723671371320528896"</f>
        <v>3723671371320528896</v>
      </c>
      <c r="F631" s="1" t="str">
        <f t="shared" si="180"/>
        <v>花都四部-凤凰仓</v>
      </c>
      <c r="G631" s="1" t="str">
        <f t="shared" si="186"/>
        <v>卡卡杜企业店（视频号）</v>
      </c>
      <c r="H631" s="1" t="str">
        <f t="shared" si="181"/>
        <v>正常订单</v>
      </c>
      <c r="I631" s="1" t="str">
        <f t="shared" si="182"/>
        <v>已发货</v>
      </c>
      <c r="J631" s="1" t="str">
        <f>"5"</f>
        <v>5</v>
      </c>
      <c r="K631" s="1">
        <v>3</v>
      </c>
      <c r="L631" s="1" t="s">
        <v>218</v>
      </c>
      <c r="M631" s="1" t="str">
        <f>"天津 天津市 津南区 "</f>
        <v xml:space="preserve">天津 天津市 津南区 </v>
      </c>
      <c r="N631" s="1" t="str">
        <f t="shared" si="177"/>
        <v>凡华云仓-城南圆通-微信视频号</v>
      </c>
      <c r="O631" s="5" t="s">
        <v>668</v>
      </c>
      <c r="P631" s="6">
        <v>0.46</v>
      </c>
      <c r="Q631" s="11">
        <v>2.2999999999999998</v>
      </c>
      <c r="R631" s="11"/>
      <c r="S631" s="11"/>
      <c r="T631" s="11"/>
      <c r="U631" s="11">
        <f t="shared" si="183"/>
        <v>2.2999999999999998</v>
      </c>
      <c r="W631">
        <v>2.5</v>
      </c>
      <c r="X631" s="1" t="s">
        <v>218</v>
      </c>
    </row>
    <row r="632" spans="1:24" x14ac:dyDescent="0.25">
      <c r="A632" s="1" t="str">
        <f t="shared" si="179"/>
        <v>卡卡杜-凤凰仓</v>
      </c>
      <c r="B632" s="1" t="str">
        <f>"CK202410311828"</f>
        <v>CK202410311828</v>
      </c>
      <c r="C632" s="1" t="str">
        <f>"DD2024103112968"</f>
        <v>DD2024103112968</v>
      </c>
      <c r="D632" s="1" t="str">
        <f>"CK2024103118609"</f>
        <v>CK2024103118609</v>
      </c>
      <c r="E632" s="1" t="str">
        <f>"3723670880892355840"</f>
        <v>3723670880892355840</v>
      </c>
      <c r="F632" s="1" t="str">
        <f t="shared" si="180"/>
        <v>花都四部-凤凰仓</v>
      </c>
      <c r="G632" s="1" t="str">
        <f t="shared" si="186"/>
        <v>卡卡杜企业店（视频号）</v>
      </c>
      <c r="H632" s="1" t="str">
        <f t="shared" si="181"/>
        <v>正常订单</v>
      </c>
      <c r="I632" s="1" t="str">
        <f t="shared" si="182"/>
        <v>已发货</v>
      </c>
      <c r="J632" s="1" t="str">
        <f>"2"</f>
        <v>2</v>
      </c>
      <c r="K632" s="1">
        <v>2</v>
      </c>
      <c r="L632" s="1" t="s">
        <v>60</v>
      </c>
      <c r="M632" s="1" t="str">
        <f>"云南省 楚雄彝族自治州 楚雄市 "</f>
        <v xml:space="preserve">云南省 楚雄彝族自治州 楚雄市 </v>
      </c>
      <c r="N632" s="1" t="str">
        <f t="shared" si="177"/>
        <v>凡华云仓-城南圆通-微信视频号</v>
      </c>
      <c r="O632" s="5" t="s">
        <v>669</v>
      </c>
      <c r="P632" s="6">
        <v>0.17</v>
      </c>
      <c r="Q632" s="11">
        <v>2</v>
      </c>
      <c r="R632" s="11"/>
      <c r="S632" s="11"/>
      <c r="T632" s="11"/>
      <c r="U632" s="11">
        <f t="shared" si="183"/>
        <v>2</v>
      </c>
      <c r="W632">
        <v>2.2000000000000002</v>
      </c>
      <c r="X632" s="1" t="s">
        <v>60</v>
      </c>
    </row>
    <row r="633" spans="1:24" x14ac:dyDescent="0.25">
      <c r="A633" s="1" t="str">
        <f t="shared" si="179"/>
        <v>卡卡杜-凤凰仓</v>
      </c>
      <c r="B633" s="1" t="str">
        <f>"CK202410311829"</f>
        <v>CK202410311829</v>
      </c>
      <c r="C633" s="1" t="str">
        <f>"DD2024103112969"</f>
        <v>DD2024103112969</v>
      </c>
      <c r="D633" s="1" t="str">
        <f>"CK2024103118608"</f>
        <v>CK2024103118608</v>
      </c>
      <c r="E633" s="1" t="str">
        <f>"3723670784166726657"</f>
        <v>3723670784166726657</v>
      </c>
      <c r="F633" s="1" t="str">
        <f t="shared" si="180"/>
        <v>花都四部-凤凰仓</v>
      </c>
      <c r="G633" s="1" t="str">
        <f t="shared" si="186"/>
        <v>卡卡杜企业店（视频号）</v>
      </c>
      <c r="H633" s="1" t="str">
        <f t="shared" si="181"/>
        <v>正常订单</v>
      </c>
      <c r="I633" s="1" t="str">
        <f t="shared" si="182"/>
        <v>已发货</v>
      </c>
      <c r="J633" s="1" t="str">
        <f>"2"</f>
        <v>2</v>
      </c>
      <c r="K633" s="1">
        <v>2</v>
      </c>
      <c r="L633" s="1" t="s">
        <v>27</v>
      </c>
      <c r="M633" s="1" t="str">
        <f>"贵州省 黔东南苗族侗族自治州 凯里市 "</f>
        <v xml:space="preserve">贵州省 黔东南苗族侗族自治州 凯里市 </v>
      </c>
      <c r="N633" s="1" t="str">
        <f t="shared" si="177"/>
        <v>凡华云仓-城南圆通-微信视频号</v>
      </c>
      <c r="O633" s="5" t="s">
        <v>670</v>
      </c>
      <c r="P633" s="6">
        <v>0.17</v>
      </c>
      <c r="Q633" s="11">
        <v>2</v>
      </c>
      <c r="R633" s="11"/>
      <c r="S633" s="11"/>
      <c r="T633" s="11"/>
      <c r="U633" s="11">
        <f t="shared" si="183"/>
        <v>2</v>
      </c>
      <c r="W633">
        <v>2.2000000000000002</v>
      </c>
      <c r="X633" s="1" t="s">
        <v>27</v>
      </c>
    </row>
    <row r="634" spans="1:24" x14ac:dyDescent="0.25">
      <c r="A634" s="1" t="str">
        <f t="shared" si="179"/>
        <v>卡卡杜-凤凰仓</v>
      </c>
      <c r="B634" s="1" t="str">
        <f>"CK20241031261"</f>
        <v>CK20241031261</v>
      </c>
      <c r="C634" s="1" t="str">
        <f>"DD2024103112490"</f>
        <v>DD2024103112490</v>
      </c>
      <c r="D634" s="1" t="str">
        <f>"CK2024103118607"</f>
        <v>CK2024103118607</v>
      </c>
      <c r="E634" s="1" t="str">
        <f>"3723670601274888192"</f>
        <v>3723670601274888192</v>
      </c>
      <c r="F634" s="1" t="str">
        <f t="shared" si="180"/>
        <v>花都四部-凤凰仓</v>
      </c>
      <c r="G634" s="1" t="str">
        <f t="shared" si="186"/>
        <v>卡卡杜企业店（视频号）</v>
      </c>
      <c r="H634" s="1" t="str">
        <f t="shared" si="181"/>
        <v>正常订单</v>
      </c>
      <c r="I634" s="1" t="str">
        <f t="shared" si="182"/>
        <v>已发货</v>
      </c>
      <c r="J634" s="1" t="str">
        <f t="shared" si="196"/>
        <v>3</v>
      </c>
      <c r="K634" s="1">
        <v>2</v>
      </c>
      <c r="L634" s="1" t="s">
        <v>54</v>
      </c>
      <c r="M634" s="1" t="str">
        <f>"黑龙江省 绥化市 庆安县 "</f>
        <v xml:space="preserve">黑龙江省 绥化市 庆安县 </v>
      </c>
      <c r="N634" s="1" t="str">
        <f t="shared" ref="N634:N640" si="197">"凡华云仓-城南圆通-微信视频号"</f>
        <v>凡华云仓-城南圆通-微信视频号</v>
      </c>
      <c r="O634" s="5" t="s">
        <v>671</v>
      </c>
      <c r="P634" s="6">
        <v>0.25</v>
      </c>
      <c r="Q634" s="11">
        <v>2</v>
      </c>
      <c r="R634" s="11"/>
      <c r="S634" s="11"/>
      <c r="T634" s="11"/>
      <c r="U634" s="11">
        <f t="shared" si="183"/>
        <v>2</v>
      </c>
      <c r="W634">
        <v>2.2000000000000002</v>
      </c>
      <c r="X634" s="1" t="s">
        <v>54</v>
      </c>
    </row>
    <row r="635" spans="1:24" x14ac:dyDescent="0.25">
      <c r="A635" s="1" t="str">
        <f t="shared" si="179"/>
        <v>卡卡杜-凤凰仓</v>
      </c>
      <c r="B635" s="1" t="str">
        <f>"CK20241031259"</f>
        <v>CK20241031259</v>
      </c>
      <c r="C635" s="1" t="str">
        <f>"DD2024103112488"</f>
        <v>DD2024103112488</v>
      </c>
      <c r="D635" s="1" t="str">
        <f>"CK2024103118606"</f>
        <v>CK2024103118606</v>
      </c>
      <c r="E635" s="1" t="str">
        <f>"3723670590566567936"</f>
        <v>3723670590566567936</v>
      </c>
      <c r="F635" s="1" t="str">
        <f t="shared" si="180"/>
        <v>花都四部-凤凰仓</v>
      </c>
      <c r="G635" s="1" t="str">
        <f t="shared" si="186"/>
        <v>卡卡杜企业店（视频号）</v>
      </c>
      <c r="H635" s="1" t="str">
        <f t="shared" si="181"/>
        <v>正常订单</v>
      </c>
      <c r="I635" s="1" t="str">
        <f t="shared" si="182"/>
        <v>已发货</v>
      </c>
      <c r="J635" s="1" t="str">
        <f t="shared" si="196"/>
        <v>3</v>
      </c>
      <c r="K635" s="1">
        <v>2</v>
      </c>
      <c r="L635" s="1" t="s">
        <v>105</v>
      </c>
      <c r="M635" s="1" t="str">
        <f>"北京 北京市 朝阳区 "</f>
        <v xml:space="preserve">北京 北京市 朝阳区 </v>
      </c>
      <c r="N635" s="1" t="str">
        <f t="shared" si="197"/>
        <v>凡华云仓-城南圆通-微信视频号</v>
      </c>
      <c r="O635" s="5" t="s">
        <v>672</v>
      </c>
      <c r="P635" s="6">
        <v>0.25</v>
      </c>
      <c r="Q635" s="11">
        <v>2</v>
      </c>
      <c r="R635" s="11"/>
      <c r="S635" s="11"/>
      <c r="T635" s="11"/>
      <c r="U635" s="11">
        <f t="shared" si="183"/>
        <v>2</v>
      </c>
      <c r="W635">
        <v>2.2000000000000002</v>
      </c>
      <c r="X635" s="1" t="s">
        <v>105</v>
      </c>
    </row>
    <row r="636" spans="1:24" x14ac:dyDescent="0.25">
      <c r="A636" s="1" t="str">
        <f t="shared" si="179"/>
        <v>卡卡杜-凤凰仓</v>
      </c>
      <c r="B636" s="1" t="str">
        <f>"CK20241031267"</f>
        <v>CK20241031267</v>
      </c>
      <c r="C636" s="1" t="str">
        <f>"DD2024103112496"</f>
        <v>DD2024103112496</v>
      </c>
      <c r="D636" s="1" t="str">
        <f>"CK2024103118605"</f>
        <v>CK2024103118605</v>
      </c>
      <c r="E636" s="1" t="str">
        <f>"3723670534971065600"</f>
        <v>3723670534971065600</v>
      </c>
      <c r="F636" s="1" t="str">
        <f t="shared" si="180"/>
        <v>花都四部-凤凰仓</v>
      </c>
      <c r="G636" s="1" t="str">
        <f t="shared" si="186"/>
        <v>卡卡杜企业店（视频号）</v>
      </c>
      <c r="H636" s="1" t="str">
        <f t="shared" si="181"/>
        <v>正常订单</v>
      </c>
      <c r="I636" s="1" t="str">
        <f t="shared" si="182"/>
        <v>已发货</v>
      </c>
      <c r="J636" s="1" t="str">
        <f t="shared" si="196"/>
        <v>3</v>
      </c>
      <c r="K636" s="1">
        <v>2</v>
      </c>
      <c r="L636" s="1" t="s">
        <v>105</v>
      </c>
      <c r="M636" s="1" t="str">
        <f>"北京 北京市 朝阳区 "</f>
        <v xml:space="preserve">北京 北京市 朝阳区 </v>
      </c>
      <c r="N636" s="1" t="str">
        <f t="shared" si="197"/>
        <v>凡华云仓-城南圆通-微信视频号</v>
      </c>
      <c r="O636" s="5" t="s">
        <v>673</v>
      </c>
      <c r="P636" s="6">
        <v>0.25</v>
      </c>
      <c r="Q636" s="11">
        <v>2</v>
      </c>
      <c r="R636" s="11"/>
      <c r="S636" s="11"/>
      <c r="T636" s="11"/>
      <c r="U636" s="11">
        <f t="shared" si="183"/>
        <v>2</v>
      </c>
      <c r="W636">
        <v>2.2000000000000002</v>
      </c>
      <c r="X636" s="1" t="s">
        <v>105</v>
      </c>
    </row>
    <row r="637" spans="1:24" x14ac:dyDescent="0.25">
      <c r="A637" s="1" t="str">
        <f t="shared" si="179"/>
        <v>卡卡杜-凤凰仓</v>
      </c>
      <c r="B637" s="1" t="str">
        <f>"CK20241031246"</f>
        <v>CK20241031246</v>
      </c>
      <c r="C637" s="1" t="str">
        <f>"DD2024103112469"</f>
        <v>DD2024103112469</v>
      </c>
      <c r="D637" s="1" t="str">
        <f>"CK2024103118604"</f>
        <v>CK2024103118604</v>
      </c>
      <c r="E637" s="1" t="str">
        <f>"3723670535088509952"</f>
        <v>3723670535088509952</v>
      </c>
      <c r="F637" s="1" t="str">
        <f t="shared" si="180"/>
        <v>花都四部-凤凰仓</v>
      </c>
      <c r="G637" s="1" t="str">
        <f t="shared" si="186"/>
        <v>卡卡杜企业店（视频号）</v>
      </c>
      <c r="H637" s="1" t="str">
        <f t="shared" si="181"/>
        <v>正常订单</v>
      </c>
      <c r="I637" s="1" t="str">
        <f t="shared" si="182"/>
        <v>已发货</v>
      </c>
      <c r="J637" s="1" t="str">
        <f t="shared" si="196"/>
        <v>3</v>
      </c>
      <c r="K637" s="1">
        <v>2</v>
      </c>
      <c r="L637" s="1" t="s">
        <v>187</v>
      </c>
      <c r="M637" s="1" t="str">
        <f>"吉林省 白城市 大安市 "</f>
        <v xml:space="preserve">吉林省 白城市 大安市 </v>
      </c>
      <c r="N637" s="1" t="str">
        <f t="shared" si="197"/>
        <v>凡华云仓-城南圆通-微信视频号</v>
      </c>
      <c r="O637" s="5" t="s">
        <v>674</v>
      </c>
      <c r="P637" s="6">
        <v>0.25</v>
      </c>
      <c r="Q637" s="11">
        <v>2</v>
      </c>
      <c r="R637" s="11"/>
      <c r="S637" s="11"/>
      <c r="T637" s="11"/>
      <c r="U637" s="11">
        <f t="shared" si="183"/>
        <v>2</v>
      </c>
      <c r="W637">
        <v>2.2000000000000002</v>
      </c>
      <c r="X637" s="1" t="s">
        <v>187</v>
      </c>
    </row>
    <row r="638" spans="1:24" x14ac:dyDescent="0.25">
      <c r="A638" s="1" t="str">
        <f t="shared" si="179"/>
        <v>卡卡杜-凤凰仓</v>
      </c>
      <c r="B638" s="1" t="str">
        <f>"CK20241031239"</f>
        <v>CK20241031239</v>
      </c>
      <c r="C638" s="1" t="str">
        <f>"DD2024103112460"</f>
        <v>DD2024103112460</v>
      </c>
      <c r="D638" s="1" t="str">
        <f>"CK2024103118603"</f>
        <v>CK2024103118603</v>
      </c>
      <c r="E638" s="1" t="str">
        <f>"3723670284061511680"</f>
        <v>3723670284061511680</v>
      </c>
      <c r="F638" s="1" t="str">
        <f t="shared" si="180"/>
        <v>花都四部-凤凰仓</v>
      </c>
      <c r="G638" s="1" t="str">
        <f t="shared" si="186"/>
        <v>卡卡杜企业店（视频号）</v>
      </c>
      <c r="H638" s="1" t="str">
        <f t="shared" si="181"/>
        <v>正常订单</v>
      </c>
      <c r="I638" s="1" t="str">
        <f t="shared" si="182"/>
        <v>已发货</v>
      </c>
      <c r="J638" s="1" t="str">
        <f t="shared" si="196"/>
        <v>3</v>
      </c>
      <c r="K638" s="1">
        <v>2</v>
      </c>
      <c r="L638" s="1" t="s">
        <v>105</v>
      </c>
      <c r="M638" s="1" t="str">
        <f>"北京 北京市 西城区 "</f>
        <v xml:space="preserve">北京 北京市 西城区 </v>
      </c>
      <c r="N638" s="1" t="str">
        <f t="shared" si="197"/>
        <v>凡华云仓-城南圆通-微信视频号</v>
      </c>
      <c r="O638" s="5" t="s">
        <v>675</v>
      </c>
      <c r="P638" s="6">
        <v>0.25</v>
      </c>
      <c r="Q638" s="11">
        <v>2</v>
      </c>
      <c r="R638" s="11"/>
      <c r="S638" s="11"/>
      <c r="T638" s="11"/>
      <c r="U638" s="11">
        <f t="shared" si="183"/>
        <v>2</v>
      </c>
      <c r="W638">
        <v>2.2000000000000002</v>
      </c>
      <c r="X638" s="1" t="s">
        <v>105</v>
      </c>
    </row>
    <row r="639" spans="1:24" x14ac:dyDescent="0.25">
      <c r="A639" s="1" t="str">
        <f t="shared" si="179"/>
        <v>卡卡杜-凤凰仓</v>
      </c>
      <c r="B639" s="1" t="str">
        <f>"CK202410307450-2"</f>
        <v>CK202410307450-2</v>
      </c>
      <c r="C639" s="1" t="str">
        <f>"DD2024103096674"</f>
        <v>DD2024103096674</v>
      </c>
      <c r="D639" s="1" t="str">
        <f>"CK2024103071354"</f>
        <v>CK2024103071354</v>
      </c>
      <c r="E639" s="1" t="str">
        <f>"3723662489364337664"</f>
        <v>3723662489364337664</v>
      </c>
      <c r="F639" s="1" t="str">
        <f t="shared" si="180"/>
        <v>花都四部-凤凰仓</v>
      </c>
      <c r="G639" s="1" t="str">
        <f t="shared" si="186"/>
        <v>卡卡杜企业店（视频号）</v>
      </c>
      <c r="H639" s="1" t="str">
        <f t="shared" si="181"/>
        <v>正常订单</v>
      </c>
      <c r="I639" s="1" t="str">
        <f t="shared" si="182"/>
        <v>已发货</v>
      </c>
      <c r="J639" s="1" t="str">
        <f t="shared" si="196"/>
        <v>3</v>
      </c>
      <c r="K639" s="1">
        <v>3</v>
      </c>
      <c r="L639" s="1" t="s">
        <v>74</v>
      </c>
      <c r="M639" s="1" t="str">
        <f>"上海 上海市 虹口区 "</f>
        <v xml:space="preserve">上海 上海市 虹口区 </v>
      </c>
      <c r="N639" s="1" t="str">
        <f t="shared" si="197"/>
        <v>凡华云仓-城南圆通-微信视频号</v>
      </c>
      <c r="O639" s="5" t="s">
        <v>676</v>
      </c>
      <c r="P639" s="6">
        <v>0.33</v>
      </c>
      <c r="Q639" s="11">
        <v>2.2999999999999998</v>
      </c>
      <c r="R639" s="11"/>
      <c r="S639" s="11"/>
      <c r="T639" s="11"/>
      <c r="U639" s="11">
        <f t="shared" si="183"/>
        <v>2.2999999999999998</v>
      </c>
      <c r="W639">
        <v>2.5</v>
      </c>
      <c r="X639" s="1" t="s">
        <v>74</v>
      </c>
    </row>
    <row r="640" spans="1:24" x14ac:dyDescent="0.25">
      <c r="A640" s="1" t="str">
        <f t="shared" si="179"/>
        <v>卡卡杜-凤凰仓</v>
      </c>
      <c r="B640" s="1" t="str">
        <f>"CK20241030138-2"</f>
        <v>CK20241030138-2</v>
      </c>
      <c r="C640" s="1" t="str">
        <f>"DD2024103096673"</f>
        <v>DD2024103096673</v>
      </c>
      <c r="D640" s="1" t="str">
        <f>"CK2024103071353"</f>
        <v>CK2024103071353</v>
      </c>
      <c r="E640" s="1" t="str">
        <f>"3723647433117406208"</f>
        <v>3723647433117406208</v>
      </c>
      <c r="F640" s="1" t="str">
        <f t="shared" si="180"/>
        <v>花都四部-凤凰仓</v>
      </c>
      <c r="G640" s="1" t="str">
        <f t="shared" si="186"/>
        <v>卡卡杜企业店（视频号）</v>
      </c>
      <c r="H640" s="1" t="str">
        <f t="shared" si="181"/>
        <v>正常订单</v>
      </c>
      <c r="I640" s="1" t="str">
        <f t="shared" si="182"/>
        <v>已发货</v>
      </c>
      <c r="J640" s="1" t="str">
        <f>"2"</f>
        <v>2</v>
      </c>
      <c r="K640" s="1">
        <v>2</v>
      </c>
      <c r="L640" s="1" t="s">
        <v>74</v>
      </c>
      <c r="M640" s="1" t="str">
        <f>"上海 上海市 浦东新区 "</f>
        <v xml:space="preserve">上海 上海市 浦东新区 </v>
      </c>
      <c r="N640" s="1" t="str">
        <f t="shared" si="197"/>
        <v>凡华云仓-城南圆通-微信视频号</v>
      </c>
      <c r="O640" s="5" t="s">
        <v>677</v>
      </c>
      <c r="P640" s="6">
        <v>0.17</v>
      </c>
      <c r="Q640" s="11">
        <v>2</v>
      </c>
      <c r="R640" s="11"/>
      <c r="S640" s="11"/>
      <c r="T640" s="11"/>
      <c r="U640" s="11">
        <f t="shared" si="183"/>
        <v>2</v>
      </c>
      <c r="W640">
        <v>2.2000000000000002</v>
      </c>
      <c r="X640" s="1" t="s">
        <v>74</v>
      </c>
    </row>
    <row r="641" spans="1:24" x14ac:dyDescent="0.25">
      <c r="A641" s="1" t="str">
        <f t="shared" si="179"/>
        <v>卡卡杜-凤凰仓</v>
      </c>
      <c r="B641" s="1" t="str">
        <f>"CK2024103010326"</f>
        <v>CK2024103010326</v>
      </c>
      <c r="C641" s="1" t="str">
        <f>"DD2024103096204"</f>
        <v>DD2024103096204</v>
      </c>
      <c r="D641" s="1" t="str">
        <f>"CK2024103070769"</f>
        <v>CK2024103070769</v>
      </c>
      <c r="E641" s="1" t="str">
        <f>"6935661797502817558"</f>
        <v>6935661797502817558</v>
      </c>
      <c r="F641" s="1" t="str">
        <f t="shared" si="180"/>
        <v>花都四部-凤凰仓</v>
      </c>
      <c r="G641" s="1" t="str">
        <f>"卡卡杜个人护理店（抖店）"</f>
        <v>卡卡杜个人护理店（抖店）</v>
      </c>
      <c r="H641" s="1" t="str">
        <f t="shared" si="181"/>
        <v>正常订单</v>
      </c>
      <c r="I641" s="1" t="str">
        <f t="shared" si="182"/>
        <v>已发货</v>
      </c>
      <c r="J641" s="1" t="str">
        <f>"3"</f>
        <v>3</v>
      </c>
      <c r="K641" s="1">
        <v>3</v>
      </c>
      <c r="L641" s="1" t="s">
        <v>13</v>
      </c>
      <c r="M641" s="1" t="str">
        <f>"江苏省 常州市 新北区 三井街道"</f>
        <v>江苏省 常州市 新北区 三井街道</v>
      </c>
      <c r="N641" s="1" t="str">
        <f>"凡华云仓-城南圆通-抖音"</f>
        <v>凡华云仓-城南圆通-抖音</v>
      </c>
      <c r="O641" s="5" t="s">
        <v>678</v>
      </c>
      <c r="P641" s="6">
        <v>0.33</v>
      </c>
      <c r="Q641" s="11">
        <v>2.2999999999999998</v>
      </c>
      <c r="R641" s="11"/>
      <c r="S641" s="11"/>
      <c r="T641" s="11"/>
      <c r="U641" s="11">
        <f t="shared" si="183"/>
        <v>2.2999999999999998</v>
      </c>
      <c r="W641">
        <v>2.5</v>
      </c>
      <c r="X641" s="1" t="s">
        <v>13</v>
      </c>
    </row>
    <row r="642" spans="1:24" x14ac:dyDescent="0.25">
      <c r="A642" s="1" t="str">
        <f t="shared" ref="A642:A705" si="198">"卡卡杜-凤凰仓"</f>
        <v>卡卡杜-凤凰仓</v>
      </c>
      <c r="B642" s="1" t="str">
        <f>"CK2024103010325"</f>
        <v>CK2024103010325</v>
      </c>
      <c r="C642" s="1" t="str">
        <f>"DD2024103096205"</f>
        <v>DD2024103096205</v>
      </c>
      <c r="D642" s="1" t="str">
        <f>"CK2024103070768"</f>
        <v>CK2024103070768</v>
      </c>
      <c r="E642" s="1" t="str">
        <f>"2430401949531281"</f>
        <v>2430401949531281</v>
      </c>
      <c r="F642" s="1" t="str">
        <f t="shared" ref="F642:F705" si="199">"花都四部-凤凰仓"</f>
        <v>花都四部-凤凰仓</v>
      </c>
      <c r="G642" s="1" t="str">
        <f t="shared" ref="G642:G647" si="200">"卡卡杜佳旺专卖店（快手店）"</f>
        <v>卡卡杜佳旺专卖店（快手店）</v>
      </c>
      <c r="H642" s="1" t="str">
        <f t="shared" ref="H642:H705" si="201">"正常订单"</f>
        <v>正常订单</v>
      </c>
      <c r="I642" s="1" t="str">
        <f t="shared" ref="I642:I705" si="202">"已发货"</f>
        <v>已发货</v>
      </c>
      <c r="J642" s="1" t="str">
        <f>"3"</f>
        <v>3</v>
      </c>
      <c r="K642" s="1">
        <v>2</v>
      </c>
      <c r="L642" s="1" t="s">
        <v>32</v>
      </c>
      <c r="M642" s="1" t="str">
        <f>"陕西省 咸阳市 秦都区 钓台街道"</f>
        <v>陕西省 咸阳市 秦都区 钓台街道</v>
      </c>
      <c r="N642" s="1" t="str">
        <f t="shared" ref="N642:N647" si="203">"凡华云仓-城南圆通-快手"</f>
        <v>凡华云仓-城南圆通-快手</v>
      </c>
      <c r="O642" s="5" t="s">
        <v>679</v>
      </c>
      <c r="P642" s="6">
        <v>0.25</v>
      </c>
      <c r="Q642" s="11">
        <v>2</v>
      </c>
      <c r="R642" s="11"/>
      <c r="S642" s="11"/>
      <c r="T642" s="11"/>
      <c r="U642" s="11">
        <f t="shared" si="183"/>
        <v>2</v>
      </c>
      <c r="W642">
        <v>2.2000000000000002</v>
      </c>
      <c r="X642" s="1" t="s">
        <v>32</v>
      </c>
    </row>
    <row r="643" spans="1:24" x14ac:dyDescent="0.25">
      <c r="A643" s="1" t="str">
        <f t="shared" si="198"/>
        <v>卡卡杜-凤凰仓</v>
      </c>
      <c r="B643" s="1" t="str">
        <f>"CK2024103010324"</f>
        <v>CK2024103010324</v>
      </c>
      <c r="C643" s="1" t="str">
        <f>"DD2024103096191"</f>
        <v>DD2024103096191</v>
      </c>
      <c r="D643" s="1" t="str">
        <f>"CK2024103070752"</f>
        <v>CK2024103070752</v>
      </c>
      <c r="E643" s="1" t="str">
        <f>"2430402432864195"</f>
        <v>2430402432864195</v>
      </c>
      <c r="F643" s="1" t="str">
        <f t="shared" si="199"/>
        <v>花都四部-凤凰仓</v>
      </c>
      <c r="G643" s="1" t="str">
        <f t="shared" si="200"/>
        <v>卡卡杜佳旺专卖店（快手店）</v>
      </c>
      <c r="H643" s="1" t="str">
        <f t="shared" si="201"/>
        <v>正常订单</v>
      </c>
      <c r="I643" s="1" t="str">
        <f t="shared" si="202"/>
        <v>已发货</v>
      </c>
      <c r="J643" s="1" t="str">
        <f>"8"</f>
        <v>8</v>
      </c>
      <c r="K643" s="1">
        <v>1</v>
      </c>
      <c r="L643" s="1" t="s">
        <v>18</v>
      </c>
      <c r="M643" s="1" t="str">
        <f>"广东省 广州市 番禺区 大龙街道"</f>
        <v>广东省 广州市 番禺区 大龙街道</v>
      </c>
      <c r="N643" s="1" t="str">
        <f t="shared" si="203"/>
        <v>凡华云仓-城南圆通-快手</v>
      </c>
      <c r="O643" s="5" t="s">
        <v>680</v>
      </c>
      <c r="P643" s="6">
        <v>1.1200000000000001</v>
      </c>
      <c r="Q643" s="11">
        <f t="shared" ref="Q643:Q654" si="204">CEILING(P643-0.5,0.1)*10*0.15+2.3</f>
        <v>3.3499999999999996</v>
      </c>
      <c r="R643" s="11"/>
      <c r="S643" s="11"/>
      <c r="T643" s="11"/>
      <c r="U643" s="11">
        <f t="shared" ref="U643:U706" si="205">T643+S643+R643+Q643</f>
        <v>3.3499999999999996</v>
      </c>
      <c r="V643" t="s">
        <v>15</v>
      </c>
      <c r="W643">
        <v>3.35</v>
      </c>
      <c r="X643" s="1" t="s">
        <v>18</v>
      </c>
    </row>
    <row r="644" spans="1:24" x14ac:dyDescent="0.25">
      <c r="A644" s="1" t="str">
        <f t="shared" si="198"/>
        <v>卡卡杜-凤凰仓</v>
      </c>
      <c r="B644" s="1" t="str">
        <f>"CK2024103010319"</f>
        <v>CK2024103010319</v>
      </c>
      <c r="C644" s="1" t="str">
        <f>"DD2024103096175"</f>
        <v>DD2024103096175</v>
      </c>
      <c r="D644" s="1" t="str">
        <f>"CK2024103070751"</f>
        <v>CK2024103070751</v>
      </c>
      <c r="E644" s="1" t="str">
        <f>"2430402100665170"</f>
        <v>2430402100665170</v>
      </c>
      <c r="F644" s="1" t="str">
        <f t="shared" si="199"/>
        <v>花都四部-凤凰仓</v>
      </c>
      <c r="G644" s="1" t="str">
        <f t="shared" si="200"/>
        <v>卡卡杜佳旺专卖店（快手店）</v>
      </c>
      <c r="H644" s="1" t="str">
        <f t="shared" si="201"/>
        <v>正常订单</v>
      </c>
      <c r="I644" s="1" t="str">
        <f t="shared" si="202"/>
        <v>已发货</v>
      </c>
      <c r="J644" s="1" t="str">
        <f t="shared" ref="J644:J647" si="206">"5"</f>
        <v>5</v>
      </c>
      <c r="K644" s="1">
        <v>2</v>
      </c>
      <c r="L644" s="1" t="s">
        <v>41</v>
      </c>
      <c r="M644" s="1" t="str">
        <f>"湖北省 武汉市 江岸区 西马街道"</f>
        <v>湖北省 武汉市 江岸区 西马街道</v>
      </c>
      <c r="N644" s="1" t="str">
        <f t="shared" si="203"/>
        <v>凡华云仓-城南圆通-快手</v>
      </c>
      <c r="O644" s="5" t="s">
        <v>681</v>
      </c>
      <c r="P644" s="6">
        <v>0.59</v>
      </c>
      <c r="Q644" s="11">
        <f t="shared" si="204"/>
        <v>2.4499999999999997</v>
      </c>
      <c r="R644" s="11"/>
      <c r="S644" s="11"/>
      <c r="T644" s="11"/>
      <c r="U644" s="11">
        <f t="shared" si="205"/>
        <v>2.4499999999999997</v>
      </c>
      <c r="V644" t="s">
        <v>15</v>
      </c>
      <c r="W644">
        <v>2.4500000000000002</v>
      </c>
      <c r="X644" s="1" t="s">
        <v>41</v>
      </c>
    </row>
    <row r="645" spans="1:24" x14ac:dyDescent="0.25">
      <c r="A645" s="1" t="str">
        <f t="shared" si="198"/>
        <v>卡卡杜-凤凰仓</v>
      </c>
      <c r="B645" s="1" t="str">
        <f>"CK2024103010320"</f>
        <v>CK2024103010320</v>
      </c>
      <c r="C645" s="1" t="str">
        <f>"DD2024103096176"</f>
        <v>DD2024103096176</v>
      </c>
      <c r="D645" s="1" t="str">
        <f>"CK2024103070750"</f>
        <v>CK2024103070750</v>
      </c>
      <c r="E645" s="1" t="str">
        <f>"2430402425544821"</f>
        <v>2430402425544821</v>
      </c>
      <c r="F645" s="1" t="str">
        <f t="shared" si="199"/>
        <v>花都四部-凤凰仓</v>
      </c>
      <c r="G645" s="1" t="str">
        <f t="shared" si="200"/>
        <v>卡卡杜佳旺专卖店（快手店）</v>
      </c>
      <c r="H645" s="1" t="str">
        <f t="shared" si="201"/>
        <v>正常订单</v>
      </c>
      <c r="I645" s="1" t="str">
        <f t="shared" si="202"/>
        <v>已发货</v>
      </c>
      <c r="J645" s="1" t="str">
        <f t="shared" si="206"/>
        <v>5</v>
      </c>
      <c r="K645" s="1">
        <v>2</v>
      </c>
      <c r="L645" s="1" t="s">
        <v>13</v>
      </c>
      <c r="M645" s="1" t="str">
        <f>"江苏省 苏州市 昆山市 周市镇"</f>
        <v>江苏省 苏州市 昆山市 周市镇</v>
      </c>
      <c r="N645" s="1" t="str">
        <f t="shared" si="203"/>
        <v>凡华云仓-城南圆通-快手</v>
      </c>
      <c r="O645" s="5" t="s">
        <v>682</v>
      </c>
      <c r="P645" s="6">
        <v>0.59</v>
      </c>
      <c r="Q645" s="11">
        <f t="shared" si="204"/>
        <v>2.4499999999999997</v>
      </c>
      <c r="R645" s="11"/>
      <c r="S645" s="11"/>
      <c r="T645" s="11"/>
      <c r="U645" s="11">
        <f t="shared" si="205"/>
        <v>2.4499999999999997</v>
      </c>
      <c r="V645" t="s">
        <v>15</v>
      </c>
      <c r="W645">
        <v>2.4500000000000002</v>
      </c>
      <c r="X645" s="1" t="s">
        <v>13</v>
      </c>
    </row>
    <row r="646" spans="1:24" x14ac:dyDescent="0.25">
      <c r="A646" s="1" t="str">
        <f t="shared" si="198"/>
        <v>卡卡杜-凤凰仓</v>
      </c>
      <c r="B646" s="1" t="str">
        <f>"CK2024103010321"</f>
        <v>CK2024103010321</v>
      </c>
      <c r="C646" s="1" t="str">
        <f>"DD2024103096174"</f>
        <v>DD2024103096174</v>
      </c>
      <c r="D646" s="1" t="str">
        <f>"CK2024103070749"</f>
        <v>CK2024103070749</v>
      </c>
      <c r="E646" s="1" t="str">
        <f>"2430401863651517"</f>
        <v>2430401863651517</v>
      </c>
      <c r="F646" s="1" t="str">
        <f t="shared" si="199"/>
        <v>花都四部-凤凰仓</v>
      </c>
      <c r="G646" s="1" t="str">
        <f t="shared" si="200"/>
        <v>卡卡杜佳旺专卖店（快手店）</v>
      </c>
      <c r="H646" s="1" t="str">
        <f t="shared" si="201"/>
        <v>正常订单</v>
      </c>
      <c r="I646" s="1" t="str">
        <f t="shared" si="202"/>
        <v>已发货</v>
      </c>
      <c r="J646" s="1" t="str">
        <f t="shared" si="206"/>
        <v>5</v>
      </c>
      <c r="K646" s="1">
        <v>2</v>
      </c>
      <c r="L646" s="1" t="s">
        <v>32</v>
      </c>
      <c r="M646" s="1" t="str">
        <f>"陕西省 咸阳市 渭城区 周陵街道"</f>
        <v>陕西省 咸阳市 渭城区 周陵街道</v>
      </c>
      <c r="N646" s="1" t="str">
        <f t="shared" si="203"/>
        <v>凡华云仓-城南圆通-快手</v>
      </c>
      <c r="O646" s="5" t="s">
        <v>683</v>
      </c>
      <c r="P646" s="6">
        <v>0.59</v>
      </c>
      <c r="Q646" s="11">
        <f t="shared" si="204"/>
        <v>2.4499999999999997</v>
      </c>
      <c r="R646" s="11"/>
      <c r="S646" s="11"/>
      <c r="T646" s="11"/>
      <c r="U646" s="11">
        <f t="shared" si="205"/>
        <v>2.4499999999999997</v>
      </c>
      <c r="V646" t="s">
        <v>15</v>
      </c>
      <c r="W646">
        <v>2.4500000000000002</v>
      </c>
      <c r="X646" s="1" t="s">
        <v>32</v>
      </c>
    </row>
    <row r="647" spans="1:24" x14ac:dyDescent="0.25">
      <c r="A647" s="1" t="str">
        <f t="shared" si="198"/>
        <v>卡卡杜-凤凰仓</v>
      </c>
      <c r="B647" s="1" t="str">
        <f>"CK2024103010322"</f>
        <v>CK2024103010322</v>
      </c>
      <c r="C647" s="1" t="str">
        <f>"DD2024103096173"</f>
        <v>DD2024103096173</v>
      </c>
      <c r="D647" s="1" t="str">
        <f>"CK2024103070748"</f>
        <v>CK2024103070748</v>
      </c>
      <c r="E647" s="1" t="str">
        <f>"2430402358586583"</f>
        <v>2430402358586583</v>
      </c>
      <c r="F647" s="1" t="str">
        <f t="shared" si="199"/>
        <v>花都四部-凤凰仓</v>
      </c>
      <c r="G647" s="1" t="str">
        <f t="shared" si="200"/>
        <v>卡卡杜佳旺专卖店（快手店）</v>
      </c>
      <c r="H647" s="1" t="str">
        <f t="shared" si="201"/>
        <v>正常订单</v>
      </c>
      <c r="I647" s="1" t="str">
        <f t="shared" si="202"/>
        <v>已发货</v>
      </c>
      <c r="J647" s="1" t="str">
        <f t="shared" si="206"/>
        <v>5</v>
      </c>
      <c r="K647" s="1">
        <v>2</v>
      </c>
      <c r="L647" s="1" t="s">
        <v>13</v>
      </c>
      <c r="M647" s="1" t="str">
        <f>"江苏省 常州市 溧阳市 溧城街道"</f>
        <v>江苏省 常州市 溧阳市 溧城街道</v>
      </c>
      <c r="N647" s="1" t="str">
        <f t="shared" si="203"/>
        <v>凡华云仓-城南圆通-快手</v>
      </c>
      <c r="O647" s="5" t="s">
        <v>684</v>
      </c>
      <c r="P647" s="6">
        <v>0.59</v>
      </c>
      <c r="Q647" s="11">
        <f t="shared" si="204"/>
        <v>2.4499999999999997</v>
      </c>
      <c r="R647" s="11"/>
      <c r="S647" s="11"/>
      <c r="T647" s="11"/>
      <c r="U647" s="11">
        <f t="shared" si="205"/>
        <v>2.4499999999999997</v>
      </c>
      <c r="V647" t="s">
        <v>15</v>
      </c>
      <c r="W647">
        <v>2.4500000000000002</v>
      </c>
      <c r="X647" s="1" t="s">
        <v>13</v>
      </c>
    </row>
    <row r="648" spans="1:24" x14ac:dyDescent="0.25">
      <c r="A648" s="1" t="str">
        <f t="shared" si="198"/>
        <v>卡卡杜-凤凰仓</v>
      </c>
      <c r="B648" s="1" t="str">
        <f>"CK202410307426"</f>
        <v>CK202410307426</v>
      </c>
      <c r="C648" s="1" t="str">
        <f>"DD2024103088749"</f>
        <v>DD2024103088749</v>
      </c>
      <c r="D648" s="1" t="str">
        <f>"CK2024103067680"</f>
        <v>CK2024103067680</v>
      </c>
      <c r="E648" s="1" t="str">
        <f>"KKD20241030YP002-1"</f>
        <v>KKD20241030YP002-1</v>
      </c>
      <c r="F648" s="1" t="str">
        <f t="shared" si="199"/>
        <v>花都四部-凤凰仓</v>
      </c>
      <c r="G648" s="1" t="str">
        <f t="shared" ref="G648:G657" si="207">"卡卡杜全欣样品"</f>
        <v>卡卡杜全欣样品</v>
      </c>
      <c r="H648" s="1" t="str">
        <f t="shared" si="201"/>
        <v>正常订单</v>
      </c>
      <c r="I648" s="1" t="str">
        <f t="shared" si="202"/>
        <v>已发货</v>
      </c>
      <c r="J648" s="1" t="str">
        <f>"7"</f>
        <v>7</v>
      </c>
      <c r="K648" s="1">
        <v>4</v>
      </c>
      <c r="L648" s="1" t="s">
        <v>60</v>
      </c>
      <c r="M648" s="1" t="str">
        <f>"云南省 昆明市 西山区 "</f>
        <v xml:space="preserve">云南省 昆明市 西山区 </v>
      </c>
      <c r="N648" s="1" t="str">
        <f t="shared" ref="N648:N658" si="208">"凡华云仓-城南圆通-淘宝"</f>
        <v>凡华云仓-城南圆通-淘宝</v>
      </c>
      <c r="O648" s="3" t="s">
        <v>685</v>
      </c>
      <c r="P648" s="6">
        <v>0.78</v>
      </c>
      <c r="Q648" s="11">
        <f t="shared" si="204"/>
        <v>2.75</v>
      </c>
      <c r="R648" s="11"/>
      <c r="S648" s="11">
        <v>0.15</v>
      </c>
      <c r="T648" s="11"/>
      <c r="U648" s="11">
        <f t="shared" si="205"/>
        <v>2.9</v>
      </c>
      <c r="V648" t="s">
        <v>15</v>
      </c>
      <c r="W648">
        <v>2.9</v>
      </c>
      <c r="X648" s="1" t="s">
        <v>60</v>
      </c>
    </row>
    <row r="649" spans="1:24" x14ac:dyDescent="0.25">
      <c r="A649" s="1" t="str">
        <f t="shared" si="198"/>
        <v>卡卡杜-凤凰仓</v>
      </c>
      <c r="B649" s="1" t="str">
        <f>"CK202410307425"</f>
        <v>CK202410307425</v>
      </c>
      <c r="C649" s="1" t="str">
        <f>"DD2024103088751"</f>
        <v>DD2024103088751</v>
      </c>
      <c r="D649" s="1" t="str">
        <f>"CK2024103067679"</f>
        <v>CK2024103067679</v>
      </c>
      <c r="E649" s="1" t="str">
        <f>"KKD20241030YP001-1"</f>
        <v>KKD20241030YP001-1</v>
      </c>
      <c r="F649" s="1" t="str">
        <f t="shared" si="199"/>
        <v>花都四部-凤凰仓</v>
      </c>
      <c r="G649" s="1" t="str">
        <f t="shared" si="207"/>
        <v>卡卡杜全欣样品</v>
      </c>
      <c r="H649" s="1" t="str">
        <f t="shared" si="201"/>
        <v>正常订单</v>
      </c>
      <c r="I649" s="1" t="str">
        <f t="shared" si="202"/>
        <v>已发货</v>
      </c>
      <c r="J649" s="1" t="str">
        <f>"10"</f>
        <v>10</v>
      </c>
      <c r="K649" s="1">
        <v>7</v>
      </c>
      <c r="L649" s="1" t="s">
        <v>92</v>
      </c>
      <c r="M649" s="1" t="str">
        <f>"辽宁省 沈阳市 于洪区 "</f>
        <v xml:space="preserve">辽宁省 沈阳市 于洪区 </v>
      </c>
      <c r="N649" s="1" t="str">
        <f t="shared" si="208"/>
        <v>凡华云仓-城南圆通-淘宝</v>
      </c>
      <c r="O649" s="3" t="s">
        <v>686</v>
      </c>
      <c r="P649" s="6">
        <v>1.0900000000000001</v>
      </c>
      <c r="Q649" s="11">
        <f t="shared" si="204"/>
        <v>3.2</v>
      </c>
      <c r="R649" s="11">
        <f t="shared" ref="R649:R654" si="209">(K649-3)*0.1</f>
        <v>0.4</v>
      </c>
      <c r="S649" s="11">
        <v>0.15</v>
      </c>
      <c r="T649" s="11"/>
      <c r="U649" s="11">
        <f t="shared" si="205"/>
        <v>3.75</v>
      </c>
      <c r="V649" t="s">
        <v>15</v>
      </c>
      <c r="W649">
        <v>3.75</v>
      </c>
      <c r="X649" s="1" t="s">
        <v>92</v>
      </c>
    </row>
    <row r="650" spans="1:24" x14ac:dyDescent="0.25">
      <c r="A650" s="1" t="str">
        <f t="shared" si="198"/>
        <v>卡卡杜-凤凰仓</v>
      </c>
      <c r="B650" s="1" t="str">
        <f>"CK202410307430"</f>
        <v>CK202410307430</v>
      </c>
      <c r="C650" s="1" t="str">
        <f>"DD2024103088750"</f>
        <v>DD2024103088750</v>
      </c>
      <c r="D650" s="1" t="str">
        <f>"CK2024103067678"</f>
        <v>CK2024103067678</v>
      </c>
      <c r="E650" s="1" t="str">
        <f>"KKD20241030YP006"</f>
        <v>KKD20241030YP006</v>
      </c>
      <c r="F650" s="1" t="str">
        <f t="shared" si="199"/>
        <v>花都四部-凤凰仓</v>
      </c>
      <c r="G650" s="1" t="str">
        <f t="shared" si="207"/>
        <v>卡卡杜全欣样品</v>
      </c>
      <c r="H650" s="1" t="str">
        <f t="shared" si="201"/>
        <v>正常订单</v>
      </c>
      <c r="I650" s="1" t="str">
        <f t="shared" si="202"/>
        <v>已发货</v>
      </c>
      <c r="J650" s="1" t="str">
        <f>"8"</f>
        <v>8</v>
      </c>
      <c r="K650" s="1">
        <v>7</v>
      </c>
      <c r="L650" s="1" t="s">
        <v>18</v>
      </c>
      <c r="M650" s="1" t="str">
        <f>"广东省 广州市 海珠区 "</f>
        <v xml:space="preserve">广东省 广州市 海珠区 </v>
      </c>
      <c r="N650" s="1" t="str">
        <f t="shared" si="208"/>
        <v>凡华云仓-城南圆通-淘宝</v>
      </c>
      <c r="O650" s="3" t="s">
        <v>687</v>
      </c>
      <c r="P650" s="6">
        <v>0.97</v>
      </c>
      <c r="Q650" s="11">
        <f t="shared" si="204"/>
        <v>3.05</v>
      </c>
      <c r="R650" s="11">
        <f t="shared" si="209"/>
        <v>0.4</v>
      </c>
      <c r="S650" s="11">
        <v>0.15</v>
      </c>
      <c r="T650" s="11"/>
      <c r="U650" s="11">
        <f t="shared" si="205"/>
        <v>3.5999999999999996</v>
      </c>
      <c r="V650" t="s">
        <v>15</v>
      </c>
      <c r="W650">
        <v>3.6</v>
      </c>
      <c r="X650" s="1" t="s">
        <v>18</v>
      </c>
    </row>
    <row r="651" spans="1:24" x14ac:dyDescent="0.25">
      <c r="A651" s="1" t="str">
        <f t="shared" si="198"/>
        <v>卡卡杜-凤凰仓</v>
      </c>
      <c r="B651" s="1" t="str">
        <f>"CK202410307429"</f>
        <v>CK202410307429</v>
      </c>
      <c r="C651" s="1" t="str">
        <f>"DD2024103088752"</f>
        <v>DD2024103088752</v>
      </c>
      <c r="D651" s="1" t="str">
        <f>"CK2024103067677"</f>
        <v>CK2024103067677</v>
      </c>
      <c r="E651" s="1" t="str">
        <f>"KKD20241030YP005"</f>
        <v>KKD20241030YP005</v>
      </c>
      <c r="F651" s="1" t="str">
        <f t="shared" si="199"/>
        <v>花都四部-凤凰仓</v>
      </c>
      <c r="G651" s="1" t="str">
        <f t="shared" si="207"/>
        <v>卡卡杜全欣样品</v>
      </c>
      <c r="H651" s="1" t="str">
        <f t="shared" si="201"/>
        <v>正常订单</v>
      </c>
      <c r="I651" s="1" t="str">
        <f t="shared" si="202"/>
        <v>已发货</v>
      </c>
      <c r="J651" s="1" t="str">
        <f>"15"</f>
        <v>15</v>
      </c>
      <c r="K651" s="1">
        <v>10</v>
      </c>
      <c r="L651" s="1" t="s">
        <v>105</v>
      </c>
      <c r="M651" s="1" t="str">
        <f>"北京 北京市 朝阳区 "</f>
        <v xml:space="preserve">北京 北京市 朝阳区 </v>
      </c>
      <c r="N651" s="1" t="str">
        <f t="shared" si="208"/>
        <v>凡华云仓-城南圆通-淘宝</v>
      </c>
      <c r="O651" s="3" t="s">
        <v>688</v>
      </c>
      <c r="P651" s="6">
        <v>1.62</v>
      </c>
      <c r="Q651" s="11">
        <f t="shared" si="204"/>
        <v>4.0999999999999996</v>
      </c>
      <c r="R651" s="11">
        <f t="shared" si="209"/>
        <v>0.70000000000000007</v>
      </c>
      <c r="S651" s="11">
        <v>0.15</v>
      </c>
      <c r="T651" s="11"/>
      <c r="U651" s="11">
        <f t="shared" si="205"/>
        <v>4.9499999999999993</v>
      </c>
      <c r="V651" t="s">
        <v>15</v>
      </c>
      <c r="W651">
        <v>4.95</v>
      </c>
      <c r="X651" s="1" t="s">
        <v>105</v>
      </c>
    </row>
    <row r="652" spans="1:24" x14ac:dyDescent="0.25">
      <c r="A652" s="1" t="str">
        <f t="shared" si="198"/>
        <v>卡卡杜-凤凰仓</v>
      </c>
      <c r="B652" s="1" t="str">
        <f>"CK202410307428"</f>
        <v>CK202410307428</v>
      </c>
      <c r="C652" s="1" t="str">
        <f>"DD2024103088753"</f>
        <v>DD2024103088753</v>
      </c>
      <c r="D652" s="1" t="str">
        <f>"CK2024103067676"</f>
        <v>CK2024103067676</v>
      </c>
      <c r="E652" s="1" t="str">
        <f>"KKD20241030YP004"</f>
        <v>KKD20241030YP004</v>
      </c>
      <c r="F652" s="1" t="str">
        <f t="shared" si="199"/>
        <v>花都四部-凤凰仓</v>
      </c>
      <c r="G652" s="1" t="str">
        <f t="shared" si="207"/>
        <v>卡卡杜全欣样品</v>
      </c>
      <c r="H652" s="1" t="str">
        <f t="shared" si="201"/>
        <v>正常订单</v>
      </c>
      <c r="I652" s="1" t="str">
        <f t="shared" si="202"/>
        <v>已发货</v>
      </c>
      <c r="J652" s="1" t="str">
        <f>"7"</f>
        <v>7</v>
      </c>
      <c r="K652" s="1">
        <v>5</v>
      </c>
      <c r="L652" s="1" t="s">
        <v>18</v>
      </c>
      <c r="M652" s="1" t="str">
        <f>"广东省 湛江市 廉江市 "</f>
        <v xml:space="preserve">广东省 湛江市 廉江市 </v>
      </c>
      <c r="N652" s="1" t="str">
        <f t="shared" si="208"/>
        <v>凡华云仓-城南圆通-淘宝</v>
      </c>
      <c r="O652" s="3" t="s">
        <v>689</v>
      </c>
      <c r="P652" s="6">
        <v>0.8</v>
      </c>
      <c r="Q652" s="11">
        <f t="shared" si="204"/>
        <v>2.75</v>
      </c>
      <c r="R652" s="11">
        <f t="shared" si="209"/>
        <v>0.2</v>
      </c>
      <c r="S652" s="11">
        <v>0.15</v>
      </c>
      <c r="T652" s="11"/>
      <c r="U652" s="11">
        <f t="shared" si="205"/>
        <v>3.1</v>
      </c>
      <c r="V652" t="s">
        <v>15</v>
      </c>
      <c r="W652">
        <v>3.1</v>
      </c>
      <c r="X652" s="1" t="s">
        <v>18</v>
      </c>
    </row>
    <row r="653" spans="1:24" x14ac:dyDescent="0.25">
      <c r="A653" s="1" t="str">
        <f t="shared" si="198"/>
        <v>卡卡杜-凤凰仓</v>
      </c>
      <c r="B653" s="1" t="str">
        <f>"CK202410307427"</f>
        <v>CK202410307427</v>
      </c>
      <c r="C653" s="1" t="str">
        <f>"DD2024103088754"</f>
        <v>DD2024103088754</v>
      </c>
      <c r="D653" s="1" t="str">
        <f>"CK2024103067675"</f>
        <v>CK2024103067675</v>
      </c>
      <c r="E653" s="1" t="str">
        <f>"KKD20241030YP003"</f>
        <v>KKD20241030YP003</v>
      </c>
      <c r="F653" s="1" t="str">
        <f t="shared" si="199"/>
        <v>花都四部-凤凰仓</v>
      </c>
      <c r="G653" s="1" t="str">
        <f t="shared" si="207"/>
        <v>卡卡杜全欣样品</v>
      </c>
      <c r="H653" s="1" t="str">
        <f t="shared" si="201"/>
        <v>正常订单</v>
      </c>
      <c r="I653" s="1" t="str">
        <f t="shared" si="202"/>
        <v>已发货</v>
      </c>
      <c r="J653" s="1" t="str">
        <f>"10"</f>
        <v>10</v>
      </c>
      <c r="K653" s="1">
        <v>7</v>
      </c>
      <c r="L653" s="1" t="s">
        <v>109</v>
      </c>
      <c r="M653" s="1" t="str">
        <f>"山西省 忻州市 五台县 "</f>
        <v xml:space="preserve">山西省 忻州市 五台县 </v>
      </c>
      <c r="N653" s="1" t="str">
        <f t="shared" si="208"/>
        <v>凡华云仓-城南圆通-淘宝</v>
      </c>
      <c r="O653" s="3" t="s">
        <v>690</v>
      </c>
      <c r="P653" s="6">
        <v>1.0900000000000001</v>
      </c>
      <c r="Q653" s="11">
        <f t="shared" si="204"/>
        <v>3.2</v>
      </c>
      <c r="R653" s="11">
        <f t="shared" si="209"/>
        <v>0.4</v>
      </c>
      <c r="S653" s="11">
        <v>0.15</v>
      </c>
      <c r="T653" s="11"/>
      <c r="U653" s="11">
        <f t="shared" si="205"/>
        <v>3.75</v>
      </c>
      <c r="V653" t="s">
        <v>15</v>
      </c>
      <c r="W653">
        <v>3.75</v>
      </c>
      <c r="X653" s="1" t="s">
        <v>109</v>
      </c>
    </row>
    <row r="654" spans="1:24" x14ac:dyDescent="0.25">
      <c r="A654" s="1" t="str">
        <f t="shared" si="198"/>
        <v>卡卡杜-凤凰仓</v>
      </c>
      <c r="B654" s="1" t="str">
        <f>"CK202410307432"</f>
        <v>CK202410307432</v>
      </c>
      <c r="C654" s="1" t="str">
        <f>"DD2024103088755"</f>
        <v>DD2024103088755</v>
      </c>
      <c r="D654" s="1" t="str">
        <f>"CK2024103067674"</f>
        <v>CK2024103067674</v>
      </c>
      <c r="E654" s="1" t="str">
        <f>"KKD20241030YP008"</f>
        <v>KKD20241030YP008</v>
      </c>
      <c r="F654" s="1" t="str">
        <f t="shared" si="199"/>
        <v>花都四部-凤凰仓</v>
      </c>
      <c r="G654" s="1" t="str">
        <f t="shared" si="207"/>
        <v>卡卡杜全欣样品</v>
      </c>
      <c r="H654" s="1" t="str">
        <f t="shared" si="201"/>
        <v>正常订单</v>
      </c>
      <c r="I654" s="1" t="str">
        <f t="shared" si="202"/>
        <v>已发货</v>
      </c>
      <c r="J654" s="1" t="str">
        <f>"7"</f>
        <v>7</v>
      </c>
      <c r="K654" s="1">
        <v>5</v>
      </c>
      <c r="L654" s="1" t="s">
        <v>161</v>
      </c>
      <c r="M654" s="1" t="str">
        <f>"四川省 成都市 成华区 "</f>
        <v xml:space="preserve">四川省 成都市 成华区 </v>
      </c>
      <c r="N654" s="1" t="str">
        <f t="shared" si="208"/>
        <v>凡华云仓-城南圆通-淘宝</v>
      </c>
      <c r="O654" s="3" t="s">
        <v>691</v>
      </c>
      <c r="P654" s="6">
        <v>0.8</v>
      </c>
      <c r="Q654" s="11">
        <f t="shared" si="204"/>
        <v>2.75</v>
      </c>
      <c r="R654" s="11">
        <f t="shared" si="209"/>
        <v>0.2</v>
      </c>
      <c r="S654" s="11">
        <v>0.15</v>
      </c>
      <c r="T654" s="11"/>
      <c r="U654" s="11">
        <f t="shared" si="205"/>
        <v>3.1</v>
      </c>
      <c r="V654" t="s">
        <v>15</v>
      </c>
      <c r="W654">
        <v>3.1</v>
      </c>
      <c r="X654" s="1" t="s">
        <v>161</v>
      </c>
    </row>
    <row r="655" spans="1:24" x14ac:dyDescent="0.25">
      <c r="A655" s="1" t="str">
        <f t="shared" si="198"/>
        <v>卡卡杜-凤凰仓</v>
      </c>
      <c r="B655" s="1" t="str">
        <f>"CK2024102512308"</f>
        <v>CK2024102512308</v>
      </c>
      <c r="C655" s="1" t="str">
        <f>"DD2024102591943"</f>
        <v>DD2024102591943</v>
      </c>
      <c r="D655" s="1" t="str">
        <f>"CK2024102591171"</f>
        <v>CK2024102591171</v>
      </c>
      <c r="E655" s="1" t="str">
        <f>"KKD20241025YP001-1"</f>
        <v>KKD20241025YP001-1</v>
      </c>
      <c r="F655" s="1" t="str">
        <f t="shared" si="199"/>
        <v>花都四部-凤凰仓</v>
      </c>
      <c r="G655" s="1" t="str">
        <f t="shared" si="207"/>
        <v>卡卡杜全欣样品</v>
      </c>
      <c r="H655" s="1" t="str">
        <f t="shared" si="201"/>
        <v>正常订单</v>
      </c>
      <c r="I655" s="1" t="str">
        <f t="shared" si="202"/>
        <v>已发货</v>
      </c>
      <c r="J655" s="1" t="str">
        <f>"5"</f>
        <v>5</v>
      </c>
      <c r="K655" s="1">
        <v>4</v>
      </c>
      <c r="L655" s="1" t="s">
        <v>32</v>
      </c>
      <c r="M655" s="1" t="str">
        <f>"陕西省 咸阳市 兴平市 "</f>
        <v xml:space="preserve">陕西省 咸阳市 兴平市 </v>
      </c>
      <c r="N655" s="1" t="str">
        <f t="shared" si="208"/>
        <v>凡华云仓-城南圆通-淘宝</v>
      </c>
      <c r="O655" s="3" t="s">
        <v>692</v>
      </c>
      <c r="P655" s="6">
        <v>0.46</v>
      </c>
      <c r="Q655" s="11">
        <v>2.2999999999999998</v>
      </c>
      <c r="R655" s="11"/>
      <c r="S655" s="11">
        <v>0.15</v>
      </c>
      <c r="T655" s="11"/>
      <c r="U655" s="11">
        <f t="shared" si="205"/>
        <v>2.4499999999999997</v>
      </c>
      <c r="W655">
        <v>2.65</v>
      </c>
      <c r="X655" s="1" t="s">
        <v>32</v>
      </c>
    </row>
    <row r="656" spans="1:24" x14ac:dyDescent="0.25">
      <c r="A656" s="1" t="str">
        <f t="shared" si="198"/>
        <v>卡卡杜-凤凰仓</v>
      </c>
      <c r="B656" s="1" t="str">
        <f>"CK2024102512317"</f>
        <v>CK2024102512317</v>
      </c>
      <c r="C656" s="1" t="str">
        <f>"DD2024102591950"</f>
        <v>DD2024102591950</v>
      </c>
      <c r="D656" s="1" t="str">
        <f>"CK2024102591170"</f>
        <v>CK2024102591170</v>
      </c>
      <c r="E656" s="1" t="str">
        <f>"KKD20241025YP010"</f>
        <v>KKD20241025YP010</v>
      </c>
      <c r="F656" s="1" t="str">
        <f t="shared" si="199"/>
        <v>花都四部-凤凰仓</v>
      </c>
      <c r="G656" s="1" t="str">
        <f t="shared" si="207"/>
        <v>卡卡杜全欣样品</v>
      </c>
      <c r="H656" s="1" t="str">
        <f t="shared" si="201"/>
        <v>正常订单</v>
      </c>
      <c r="I656" s="1" t="str">
        <f t="shared" si="202"/>
        <v>已发货</v>
      </c>
      <c r="J656" s="1" t="str">
        <f>"5"</f>
        <v>5</v>
      </c>
      <c r="K656" s="1">
        <v>4</v>
      </c>
      <c r="L656" s="1" t="s">
        <v>105</v>
      </c>
      <c r="M656" s="1" t="str">
        <f>"北京 北京市 门头沟区 "</f>
        <v xml:space="preserve">北京 北京市 门头沟区 </v>
      </c>
      <c r="N656" s="1" t="str">
        <f t="shared" si="208"/>
        <v>凡华云仓-城南圆通-淘宝</v>
      </c>
      <c r="O656" s="3" t="s">
        <v>693</v>
      </c>
      <c r="P656" s="6">
        <v>0.46</v>
      </c>
      <c r="Q656" s="11">
        <v>2.2999999999999998</v>
      </c>
      <c r="R656" s="11"/>
      <c r="S656" s="11">
        <v>0.15</v>
      </c>
      <c r="T656" s="11"/>
      <c r="U656" s="11">
        <f t="shared" si="205"/>
        <v>2.4499999999999997</v>
      </c>
      <c r="W656">
        <v>2.65</v>
      </c>
      <c r="X656" s="1" t="s">
        <v>105</v>
      </c>
    </row>
    <row r="657" spans="1:24" x14ac:dyDescent="0.25">
      <c r="A657" s="1" t="str">
        <f t="shared" si="198"/>
        <v>卡卡杜-凤凰仓</v>
      </c>
      <c r="B657" s="1" t="str">
        <f>"CK202410307431"</f>
        <v>CK202410307431</v>
      </c>
      <c r="C657" s="1" t="str">
        <f>"DD2024103088758"</f>
        <v>DD2024103088758</v>
      </c>
      <c r="D657" s="1" t="str">
        <f>"CK2024103067671"</f>
        <v>CK2024103067671</v>
      </c>
      <c r="E657" s="1" t="str">
        <f>"KKD20241030YP007"</f>
        <v>KKD20241030YP007</v>
      </c>
      <c r="F657" s="1" t="str">
        <f t="shared" si="199"/>
        <v>花都四部-凤凰仓</v>
      </c>
      <c r="G657" s="1" t="str">
        <f t="shared" si="207"/>
        <v>卡卡杜全欣样品</v>
      </c>
      <c r="H657" s="1" t="str">
        <f t="shared" si="201"/>
        <v>正常订单</v>
      </c>
      <c r="I657" s="1" t="str">
        <f t="shared" si="202"/>
        <v>已发货</v>
      </c>
      <c r="J657" s="1" t="str">
        <f>"16"</f>
        <v>16</v>
      </c>
      <c r="K657" s="1">
        <v>12</v>
      </c>
      <c r="L657" s="1" t="s">
        <v>13</v>
      </c>
      <c r="M657" s="1" t="str">
        <f>"江苏省 南京市 江宁区 "</f>
        <v xml:space="preserve">江苏省 南京市 江宁区 </v>
      </c>
      <c r="N657" s="1" t="str">
        <f t="shared" si="208"/>
        <v>凡华云仓-城南圆通-淘宝</v>
      </c>
      <c r="O657" s="3" t="s">
        <v>694</v>
      </c>
      <c r="P657" s="6">
        <v>1.75</v>
      </c>
      <c r="Q657" s="11">
        <f t="shared" ref="Q657:Q660" si="210">CEILING(P657-0.5,0.1)*10*0.15+2.3</f>
        <v>4.25</v>
      </c>
      <c r="R657" s="11">
        <f>(K657-3)*0.1</f>
        <v>0.9</v>
      </c>
      <c r="S657" s="11">
        <v>0.15</v>
      </c>
      <c r="T657" s="11"/>
      <c r="U657" s="11">
        <f t="shared" si="205"/>
        <v>5.3</v>
      </c>
      <c r="V657" t="s">
        <v>15</v>
      </c>
      <c r="W657">
        <v>5.3</v>
      </c>
      <c r="X657" s="1" t="s">
        <v>13</v>
      </c>
    </row>
    <row r="658" spans="1:24" x14ac:dyDescent="0.25">
      <c r="A658" s="1" t="str">
        <f t="shared" si="198"/>
        <v>卡卡杜-凤凰仓</v>
      </c>
      <c r="B658" s="1" t="str">
        <f>"CK202410307440"</f>
        <v>CK202410307440</v>
      </c>
      <c r="C658" s="1" t="str">
        <f>"DD2024103088785"</f>
        <v>DD2024103088785</v>
      </c>
      <c r="D658" s="1" t="str">
        <f>"CK2024103067668"</f>
        <v>CK2024103067668</v>
      </c>
      <c r="E658" s="1" t="str">
        <f>"KKD20241030QX001"</f>
        <v>KKD20241030QX001</v>
      </c>
      <c r="F658" s="1" t="str">
        <f t="shared" si="199"/>
        <v>花都四部-凤凰仓</v>
      </c>
      <c r="G658" s="1" t="str">
        <f>"卡卡杜（全欣）"</f>
        <v>卡卡杜（全欣）</v>
      </c>
      <c r="H658" s="1" t="str">
        <f t="shared" si="201"/>
        <v>正常订单</v>
      </c>
      <c r="I658" s="1" t="str">
        <f t="shared" si="202"/>
        <v>已发货</v>
      </c>
      <c r="J658" s="1" t="str">
        <f>"5"</f>
        <v>5</v>
      </c>
      <c r="K658" s="1">
        <v>2</v>
      </c>
      <c r="L658" s="1" t="s">
        <v>18</v>
      </c>
      <c r="M658" s="1" t="str">
        <f>"广东省 东莞市 石碣镇 "</f>
        <v xml:space="preserve">广东省 东莞市 石碣镇 </v>
      </c>
      <c r="N658" s="1" t="str">
        <f t="shared" si="208"/>
        <v>凡华云仓-城南圆通-淘宝</v>
      </c>
      <c r="O658" s="5" t="s">
        <v>695</v>
      </c>
      <c r="P658" s="6">
        <v>0.59</v>
      </c>
      <c r="Q658" s="11">
        <f t="shared" si="210"/>
        <v>2.4499999999999997</v>
      </c>
      <c r="R658" s="11"/>
      <c r="S658" s="11"/>
      <c r="T658" s="11"/>
      <c r="U658" s="11">
        <f t="shared" si="205"/>
        <v>2.4499999999999997</v>
      </c>
      <c r="V658" t="s">
        <v>15</v>
      </c>
      <c r="W658">
        <v>2.4500000000000002</v>
      </c>
      <c r="X658" s="1" t="s">
        <v>18</v>
      </c>
    </row>
    <row r="659" spans="1:24" x14ac:dyDescent="0.25">
      <c r="A659" s="1" t="str">
        <f t="shared" si="198"/>
        <v>卡卡杜-凤凰仓</v>
      </c>
      <c r="B659" s="1" t="str">
        <f>"CK202410307437"</f>
        <v>CK202410307437</v>
      </c>
      <c r="C659" s="1" t="str">
        <f>"DD2024103088786"</f>
        <v>DD2024103088786</v>
      </c>
      <c r="D659" s="1" t="str">
        <f>"CK2024103067667"</f>
        <v>CK2024103067667</v>
      </c>
      <c r="E659" s="1" t="str">
        <f>"KKD20241030AG002"</f>
        <v>KKD20241030AG002</v>
      </c>
      <c r="F659" s="1" t="str">
        <f t="shared" si="199"/>
        <v>花都四部-凤凰仓</v>
      </c>
      <c r="G659" s="1" t="str">
        <f>"卡卡杜-A G潮牌厂（拼多多）"</f>
        <v>卡卡杜-A G潮牌厂（拼多多）</v>
      </c>
      <c r="H659" s="1" t="str">
        <f t="shared" si="201"/>
        <v>正常订单</v>
      </c>
      <c r="I659" s="1" t="str">
        <f t="shared" si="202"/>
        <v>已发货</v>
      </c>
      <c r="J659" s="1" t="str">
        <f t="shared" ref="J659:J662" si="211">"3"</f>
        <v>3</v>
      </c>
      <c r="K659" s="1">
        <v>2</v>
      </c>
      <c r="L659" s="1" t="s">
        <v>96</v>
      </c>
      <c r="M659" s="1" t="str">
        <f>"广西壮族自治区 桂林市 七星区 "</f>
        <v xml:space="preserve">广西壮族自治区 桂林市 七星区 </v>
      </c>
      <c r="N659" s="1" t="str">
        <f>"凡华云仓-城南圆通-拼多多"</f>
        <v>凡华云仓-城南圆通-拼多多</v>
      </c>
      <c r="O659" s="5" t="s">
        <v>696</v>
      </c>
      <c r="P659" s="6">
        <v>0.35</v>
      </c>
      <c r="Q659" s="11">
        <v>2.2999999999999998</v>
      </c>
      <c r="R659" s="11"/>
      <c r="S659" s="11"/>
      <c r="T659" s="11"/>
      <c r="U659" s="11">
        <f t="shared" si="205"/>
        <v>2.2999999999999998</v>
      </c>
      <c r="W659">
        <v>2.5</v>
      </c>
      <c r="X659" s="1" t="s">
        <v>96</v>
      </c>
    </row>
    <row r="660" spans="1:24" x14ac:dyDescent="0.25">
      <c r="A660" s="1" t="str">
        <f t="shared" si="198"/>
        <v>卡卡杜-凤凰仓</v>
      </c>
      <c r="B660" s="1" t="str">
        <f>"CK202410307448"</f>
        <v>CK202410307448</v>
      </c>
      <c r="C660" s="1" t="str">
        <f>"DD2024103089789"</f>
        <v>DD2024103089789</v>
      </c>
      <c r="D660" s="1" t="str">
        <f>"CK2024103067666"</f>
        <v>CK2024103067666</v>
      </c>
      <c r="E660" s="1" t="str">
        <f>"KKD20241030AG001"</f>
        <v>KKD20241030AG001</v>
      </c>
      <c r="F660" s="1" t="str">
        <f t="shared" si="199"/>
        <v>花都四部-凤凰仓</v>
      </c>
      <c r="G660" s="1" t="str">
        <f>"卡卡杜-A G潮牌厂（拼多多）"</f>
        <v>卡卡杜-A G潮牌厂（拼多多）</v>
      </c>
      <c r="H660" s="1" t="str">
        <f t="shared" si="201"/>
        <v>正常订单</v>
      </c>
      <c r="I660" s="1" t="str">
        <f t="shared" si="202"/>
        <v>已发货</v>
      </c>
      <c r="J660" s="1" t="str">
        <f>"12"</f>
        <v>12</v>
      </c>
      <c r="K660" s="1">
        <v>1</v>
      </c>
      <c r="L660" s="1" t="s">
        <v>20</v>
      </c>
      <c r="M660" s="1" t="str">
        <f>"浙江省 温州市 鹿城区 "</f>
        <v xml:space="preserve">浙江省 温州市 鹿城区 </v>
      </c>
      <c r="N660" s="1" t="str">
        <f>"凡华云仓-城南圆通-拼多多"</f>
        <v>凡华云仓-城南圆通-拼多多</v>
      </c>
      <c r="O660" s="5" t="s">
        <v>697</v>
      </c>
      <c r="P660" s="6">
        <v>1.74</v>
      </c>
      <c r="Q660" s="11">
        <f t="shared" si="210"/>
        <v>4.25</v>
      </c>
      <c r="R660" s="11"/>
      <c r="S660" s="11"/>
      <c r="T660" s="11"/>
      <c r="U660" s="11">
        <f t="shared" si="205"/>
        <v>4.25</v>
      </c>
      <c r="V660" t="s">
        <v>15</v>
      </c>
      <c r="W660">
        <v>4.25</v>
      </c>
      <c r="X660" s="1" t="s">
        <v>20</v>
      </c>
    </row>
    <row r="661" spans="1:24" x14ac:dyDescent="0.25">
      <c r="A661" s="1" t="str">
        <f t="shared" si="198"/>
        <v>卡卡杜-凤凰仓</v>
      </c>
      <c r="B661" s="1" t="str">
        <f>"CK202410307456"</f>
        <v>CK202410307456</v>
      </c>
      <c r="C661" s="1" t="str">
        <f>"DD2024103090473"</f>
        <v>DD2024103090473</v>
      </c>
      <c r="D661" s="1" t="str">
        <f>"CK2024103067664"</f>
        <v>CK2024103067664</v>
      </c>
      <c r="E661" s="1" t="str">
        <f>"2430401702402223"</f>
        <v>2430401702402223</v>
      </c>
      <c r="F661" s="1" t="str">
        <f t="shared" si="199"/>
        <v>花都四部-凤凰仓</v>
      </c>
      <c r="G661" s="1" t="str">
        <f t="shared" ref="G661:G683" si="212">"卡卡杜佳旺专卖店（快手店）"</f>
        <v>卡卡杜佳旺专卖店（快手店）</v>
      </c>
      <c r="H661" s="1" t="str">
        <f t="shared" si="201"/>
        <v>正常订单</v>
      </c>
      <c r="I661" s="1" t="str">
        <f t="shared" si="202"/>
        <v>已发货</v>
      </c>
      <c r="J661" s="1" t="str">
        <f t="shared" si="211"/>
        <v>3</v>
      </c>
      <c r="K661" s="1">
        <v>2</v>
      </c>
      <c r="L661" s="1" t="s">
        <v>92</v>
      </c>
      <c r="M661" s="1" t="str">
        <f>"辽宁省 盘锦市 双台子区 红旗街道"</f>
        <v>辽宁省 盘锦市 双台子区 红旗街道</v>
      </c>
      <c r="N661" s="1" t="str">
        <f t="shared" ref="N661:N683" si="213">"凡华云仓-城南圆通-快手"</f>
        <v>凡华云仓-城南圆通-快手</v>
      </c>
      <c r="O661" s="5" t="s">
        <v>698</v>
      </c>
      <c r="P661" s="6">
        <v>0.35</v>
      </c>
      <c r="Q661" s="11">
        <v>2.2999999999999998</v>
      </c>
      <c r="R661" s="11"/>
      <c r="S661" s="11"/>
      <c r="T661" s="11"/>
      <c r="U661" s="11">
        <f t="shared" si="205"/>
        <v>2.2999999999999998</v>
      </c>
      <c r="W661">
        <v>2.5</v>
      </c>
      <c r="X661" s="1" t="s">
        <v>92</v>
      </c>
    </row>
    <row r="662" spans="1:24" x14ac:dyDescent="0.25">
      <c r="A662" s="1" t="str">
        <f t="shared" si="198"/>
        <v>卡卡杜-凤凰仓</v>
      </c>
      <c r="B662" s="1" t="str">
        <f>"CK202410307475"</f>
        <v>CK202410307475</v>
      </c>
      <c r="C662" s="1" t="str">
        <f>"DD2024103090489"</f>
        <v>DD2024103090489</v>
      </c>
      <c r="D662" s="1" t="str">
        <f>"CK2024103067663"</f>
        <v>CK2024103067663</v>
      </c>
      <c r="E662" s="1" t="str">
        <f>"2430402421025918"</f>
        <v>2430402421025918</v>
      </c>
      <c r="F662" s="1" t="str">
        <f t="shared" si="199"/>
        <v>花都四部-凤凰仓</v>
      </c>
      <c r="G662" s="1" t="str">
        <f t="shared" si="212"/>
        <v>卡卡杜佳旺专卖店（快手店）</v>
      </c>
      <c r="H662" s="1" t="str">
        <f t="shared" si="201"/>
        <v>正常订单</v>
      </c>
      <c r="I662" s="1" t="str">
        <f t="shared" si="202"/>
        <v>已发货</v>
      </c>
      <c r="J662" s="1" t="str">
        <f t="shared" si="211"/>
        <v>3</v>
      </c>
      <c r="K662" s="1">
        <v>2</v>
      </c>
      <c r="L662" s="1" t="s">
        <v>22</v>
      </c>
      <c r="M662" s="1" t="str">
        <f>"江西省 九江市 濂溪区 五里街道"</f>
        <v>江西省 九江市 濂溪区 五里街道</v>
      </c>
      <c r="N662" s="1" t="str">
        <f t="shared" si="213"/>
        <v>凡华云仓-城南圆通-快手</v>
      </c>
      <c r="O662" s="5" t="s">
        <v>699</v>
      </c>
      <c r="P662" s="6">
        <v>0.35</v>
      </c>
      <c r="Q662" s="11">
        <v>2.2999999999999998</v>
      </c>
      <c r="R662" s="11"/>
      <c r="S662" s="11"/>
      <c r="T662" s="11"/>
      <c r="U662" s="11">
        <f t="shared" si="205"/>
        <v>2.2999999999999998</v>
      </c>
      <c r="W662">
        <v>2.5</v>
      </c>
      <c r="X662" s="1" t="s">
        <v>22</v>
      </c>
    </row>
    <row r="663" spans="1:24" x14ac:dyDescent="0.25">
      <c r="A663" s="1" t="str">
        <f t="shared" si="198"/>
        <v>卡卡杜-凤凰仓</v>
      </c>
      <c r="B663" s="1" t="str">
        <f>"CK202410307441"</f>
        <v>CK202410307441</v>
      </c>
      <c r="C663" s="1" t="str">
        <f>"DD2024103088782"</f>
        <v>DD2024103088782</v>
      </c>
      <c r="D663" s="1" t="str">
        <f>"CK2024103067662"</f>
        <v>CK2024103067662</v>
      </c>
      <c r="E663" s="1" t="str">
        <f>"2430402422784981"</f>
        <v>2430402422784981</v>
      </c>
      <c r="F663" s="1" t="str">
        <f t="shared" si="199"/>
        <v>花都四部-凤凰仓</v>
      </c>
      <c r="G663" s="1" t="str">
        <f t="shared" si="212"/>
        <v>卡卡杜佳旺专卖店（快手店）</v>
      </c>
      <c r="H663" s="1" t="str">
        <f t="shared" si="201"/>
        <v>正常订单</v>
      </c>
      <c r="I663" s="1" t="str">
        <f t="shared" si="202"/>
        <v>已发货</v>
      </c>
      <c r="J663" s="1" t="str">
        <f>"5"</f>
        <v>5</v>
      </c>
      <c r="K663" s="1">
        <v>2</v>
      </c>
      <c r="L663" s="1" t="s">
        <v>16</v>
      </c>
      <c r="M663" s="1" t="str">
        <f>"河北省 秦皇岛市 山海关区 第一关镇"</f>
        <v>河北省 秦皇岛市 山海关区 第一关镇</v>
      </c>
      <c r="N663" s="1" t="str">
        <f t="shared" si="213"/>
        <v>凡华云仓-城南圆通-快手</v>
      </c>
      <c r="O663" s="5" t="s">
        <v>700</v>
      </c>
      <c r="P663" s="6">
        <v>0.59</v>
      </c>
      <c r="Q663" s="11">
        <f>CEILING(P663-0.5,0.1)*10*0.15+2.3</f>
        <v>2.4499999999999997</v>
      </c>
      <c r="R663" s="11"/>
      <c r="S663" s="11"/>
      <c r="T663" s="11"/>
      <c r="U663" s="11">
        <f t="shared" si="205"/>
        <v>2.4499999999999997</v>
      </c>
      <c r="V663" t="s">
        <v>15</v>
      </c>
      <c r="W663">
        <v>2.4500000000000002</v>
      </c>
      <c r="X663" s="1" t="s">
        <v>16</v>
      </c>
    </row>
    <row r="664" spans="1:24" x14ac:dyDescent="0.25">
      <c r="A664" s="1" t="str">
        <f t="shared" si="198"/>
        <v>卡卡杜-凤凰仓</v>
      </c>
      <c r="B664" s="1" t="str">
        <f>"CK202410307470"</f>
        <v>CK202410307470</v>
      </c>
      <c r="C664" s="1" t="str">
        <f>"DD2024103090483"</f>
        <v>DD2024103090483</v>
      </c>
      <c r="D664" s="1" t="str">
        <f>"CK2024103067661"</f>
        <v>CK2024103067661</v>
      </c>
      <c r="E664" s="1" t="str">
        <f>"2430402266569627"</f>
        <v>2430402266569627</v>
      </c>
      <c r="F664" s="1" t="str">
        <f t="shared" si="199"/>
        <v>花都四部-凤凰仓</v>
      </c>
      <c r="G664" s="1" t="str">
        <f t="shared" si="212"/>
        <v>卡卡杜佳旺专卖店（快手店）</v>
      </c>
      <c r="H664" s="1" t="str">
        <f t="shared" si="201"/>
        <v>正常订单</v>
      </c>
      <c r="I664" s="1" t="str">
        <f t="shared" si="202"/>
        <v>已发货</v>
      </c>
      <c r="J664" s="1" t="str">
        <f t="shared" ref="J664:J669" si="214">"3"</f>
        <v>3</v>
      </c>
      <c r="K664" s="1">
        <v>2</v>
      </c>
      <c r="L664" s="1" t="s">
        <v>41</v>
      </c>
      <c r="M664" s="1" t="str">
        <f>"湖北省 随州市 曾都区 何店镇"</f>
        <v>湖北省 随州市 曾都区 何店镇</v>
      </c>
      <c r="N664" s="1" t="str">
        <f t="shared" si="213"/>
        <v>凡华云仓-城南圆通-快手</v>
      </c>
      <c r="O664" s="5" t="s">
        <v>701</v>
      </c>
      <c r="P664" s="6">
        <v>0.35</v>
      </c>
      <c r="Q664" s="11">
        <v>2.2999999999999998</v>
      </c>
      <c r="R664" s="11"/>
      <c r="S664" s="11"/>
      <c r="T664" s="11"/>
      <c r="U664" s="11">
        <f t="shared" si="205"/>
        <v>2.2999999999999998</v>
      </c>
      <c r="W664">
        <v>2.5</v>
      </c>
      <c r="X664" s="1" t="s">
        <v>41</v>
      </c>
    </row>
    <row r="665" spans="1:24" x14ac:dyDescent="0.25">
      <c r="A665" s="1" t="str">
        <f t="shared" si="198"/>
        <v>卡卡杜-凤凰仓</v>
      </c>
      <c r="B665" s="1" t="str">
        <f>"CK202410307466"</f>
        <v>CK202410307466</v>
      </c>
      <c r="C665" s="1" t="str">
        <f>"DD2024103090480"</f>
        <v>DD2024103090480</v>
      </c>
      <c r="D665" s="1" t="str">
        <f>"CK2024103067660"</f>
        <v>CK2024103067660</v>
      </c>
      <c r="E665" s="1" t="str">
        <f>"2430402104024020"</f>
        <v>2430402104024020</v>
      </c>
      <c r="F665" s="1" t="str">
        <f t="shared" si="199"/>
        <v>花都四部-凤凰仓</v>
      </c>
      <c r="G665" s="1" t="str">
        <f t="shared" si="212"/>
        <v>卡卡杜佳旺专卖店（快手店）</v>
      </c>
      <c r="H665" s="1" t="str">
        <f t="shared" si="201"/>
        <v>正常订单</v>
      </c>
      <c r="I665" s="1" t="str">
        <f t="shared" si="202"/>
        <v>已发货</v>
      </c>
      <c r="J665" s="1" t="str">
        <f t="shared" si="214"/>
        <v>3</v>
      </c>
      <c r="K665" s="1">
        <v>2</v>
      </c>
      <c r="L665" s="1" t="s">
        <v>54</v>
      </c>
      <c r="M665" s="1" t="str">
        <f>"黑龙江省 佳木斯市 桦川县 悦来镇"</f>
        <v>黑龙江省 佳木斯市 桦川县 悦来镇</v>
      </c>
      <c r="N665" s="1" t="str">
        <f t="shared" si="213"/>
        <v>凡华云仓-城南圆通-快手</v>
      </c>
      <c r="O665" s="5" t="s">
        <v>702</v>
      </c>
      <c r="P665" s="6">
        <v>0.35</v>
      </c>
      <c r="Q665" s="11">
        <v>2.2999999999999998</v>
      </c>
      <c r="R665" s="11"/>
      <c r="S665" s="11"/>
      <c r="T665" s="11"/>
      <c r="U665" s="11">
        <f t="shared" si="205"/>
        <v>2.2999999999999998</v>
      </c>
      <c r="W665">
        <v>2.5</v>
      </c>
      <c r="X665" s="1" t="s">
        <v>54</v>
      </c>
    </row>
    <row r="666" spans="1:24" x14ac:dyDescent="0.25">
      <c r="A666" s="1" t="str">
        <f t="shared" si="198"/>
        <v>卡卡杜-凤凰仓</v>
      </c>
      <c r="B666" s="1" t="str">
        <f>"CK202410307462"</f>
        <v>CK202410307462</v>
      </c>
      <c r="C666" s="1" t="str">
        <f>"DD2024103090479"</f>
        <v>DD2024103090479</v>
      </c>
      <c r="D666" s="1" t="str">
        <f>"CK2024103067659"</f>
        <v>CK2024103067659</v>
      </c>
      <c r="E666" s="1" t="str">
        <f>"2430402341619192"</f>
        <v>2430402341619192</v>
      </c>
      <c r="F666" s="1" t="str">
        <f t="shared" si="199"/>
        <v>花都四部-凤凰仓</v>
      </c>
      <c r="G666" s="1" t="str">
        <f t="shared" si="212"/>
        <v>卡卡杜佳旺专卖店（快手店）</v>
      </c>
      <c r="H666" s="1" t="str">
        <f t="shared" si="201"/>
        <v>正常订单</v>
      </c>
      <c r="I666" s="1" t="str">
        <f t="shared" si="202"/>
        <v>已发货</v>
      </c>
      <c r="J666" s="1" t="str">
        <f t="shared" si="214"/>
        <v>3</v>
      </c>
      <c r="K666" s="1">
        <v>2</v>
      </c>
      <c r="L666" s="1" t="s">
        <v>20</v>
      </c>
      <c r="M666" s="1" t="str">
        <f>"浙江省 杭州市 钱塘区 河庄街道"</f>
        <v>浙江省 杭州市 钱塘区 河庄街道</v>
      </c>
      <c r="N666" s="1" t="str">
        <f t="shared" si="213"/>
        <v>凡华云仓-城南圆通-快手</v>
      </c>
      <c r="O666" s="5" t="s">
        <v>703</v>
      </c>
      <c r="P666" s="6">
        <v>0.35</v>
      </c>
      <c r="Q666" s="11">
        <v>2.2999999999999998</v>
      </c>
      <c r="R666" s="11"/>
      <c r="S666" s="11"/>
      <c r="T666" s="11"/>
      <c r="U666" s="11">
        <f t="shared" si="205"/>
        <v>2.2999999999999998</v>
      </c>
      <c r="W666">
        <v>2.5</v>
      </c>
      <c r="X666" s="1" t="s">
        <v>20</v>
      </c>
    </row>
    <row r="667" spans="1:24" x14ac:dyDescent="0.25">
      <c r="A667" s="1" t="str">
        <f t="shared" si="198"/>
        <v>卡卡杜-凤凰仓</v>
      </c>
      <c r="B667" s="1" t="str">
        <f>"CK202410307464"</f>
        <v>CK202410307464</v>
      </c>
      <c r="C667" s="1" t="str">
        <f>"DD2024103090477"</f>
        <v>DD2024103090477</v>
      </c>
      <c r="D667" s="1" t="str">
        <f>"CK2024103067658"</f>
        <v>CK2024103067658</v>
      </c>
      <c r="E667" s="1" t="str">
        <f>"2430402258385706"</f>
        <v>2430402258385706</v>
      </c>
      <c r="F667" s="1" t="str">
        <f t="shared" si="199"/>
        <v>花都四部-凤凰仓</v>
      </c>
      <c r="G667" s="1" t="str">
        <f t="shared" si="212"/>
        <v>卡卡杜佳旺专卖店（快手店）</v>
      </c>
      <c r="H667" s="1" t="str">
        <f t="shared" si="201"/>
        <v>正常订单</v>
      </c>
      <c r="I667" s="1" t="str">
        <f t="shared" si="202"/>
        <v>已发货</v>
      </c>
      <c r="J667" s="1" t="str">
        <f t="shared" si="214"/>
        <v>3</v>
      </c>
      <c r="K667" s="1">
        <v>2</v>
      </c>
      <c r="L667" s="1" t="s">
        <v>66</v>
      </c>
      <c r="M667" s="1" t="str">
        <f>"内蒙古自治区 乌兰察布市 集宁区 "</f>
        <v xml:space="preserve">内蒙古自治区 乌兰察布市 集宁区 </v>
      </c>
      <c r="N667" s="1" t="str">
        <f t="shared" si="213"/>
        <v>凡华云仓-城南圆通-快手</v>
      </c>
      <c r="O667" s="5" t="s">
        <v>704</v>
      </c>
      <c r="P667" s="6">
        <v>0.35</v>
      </c>
      <c r="Q667" s="11">
        <v>2.2999999999999998</v>
      </c>
      <c r="R667" s="11"/>
      <c r="S667" s="11"/>
      <c r="T667" s="11"/>
      <c r="U667" s="11">
        <f t="shared" si="205"/>
        <v>2.2999999999999998</v>
      </c>
      <c r="W667">
        <v>2.5</v>
      </c>
      <c r="X667" s="1" t="s">
        <v>66</v>
      </c>
    </row>
    <row r="668" spans="1:24" x14ac:dyDescent="0.25">
      <c r="A668" s="1" t="str">
        <f t="shared" si="198"/>
        <v>卡卡杜-凤凰仓</v>
      </c>
      <c r="B668" s="1" t="str">
        <f>"CK202410307477"</f>
        <v>CK202410307477</v>
      </c>
      <c r="C668" s="1" t="str">
        <f>"DD2024103090492"</f>
        <v>DD2024103090492</v>
      </c>
      <c r="D668" s="1" t="str">
        <f>"CK2024103067657"</f>
        <v>CK2024103067657</v>
      </c>
      <c r="E668" s="1" t="str">
        <f>"2430402419433789"</f>
        <v>2430402419433789</v>
      </c>
      <c r="F668" s="1" t="str">
        <f t="shared" si="199"/>
        <v>花都四部-凤凰仓</v>
      </c>
      <c r="G668" s="1" t="str">
        <f t="shared" si="212"/>
        <v>卡卡杜佳旺专卖店（快手店）</v>
      </c>
      <c r="H668" s="1" t="str">
        <f t="shared" si="201"/>
        <v>正常订单</v>
      </c>
      <c r="I668" s="1" t="str">
        <f t="shared" si="202"/>
        <v>已发货</v>
      </c>
      <c r="J668" s="1" t="str">
        <f t="shared" si="214"/>
        <v>3</v>
      </c>
      <c r="K668" s="1">
        <v>3</v>
      </c>
      <c r="L668" s="1" t="s">
        <v>13</v>
      </c>
      <c r="M668" s="1" t="str">
        <f>"江苏省 镇江市 镇江新区 丁卯街道"</f>
        <v>江苏省 镇江市 镇江新区 丁卯街道</v>
      </c>
      <c r="N668" s="1" t="str">
        <f t="shared" si="213"/>
        <v>凡华云仓-城南圆通-快手</v>
      </c>
      <c r="O668" s="5" t="s">
        <v>705</v>
      </c>
      <c r="P668" s="6">
        <v>0.33</v>
      </c>
      <c r="Q668" s="11">
        <v>2.2999999999999998</v>
      </c>
      <c r="R668" s="11"/>
      <c r="S668" s="11"/>
      <c r="T668" s="11"/>
      <c r="U668" s="11">
        <f t="shared" si="205"/>
        <v>2.2999999999999998</v>
      </c>
      <c r="W668">
        <v>2.5</v>
      </c>
      <c r="X668" s="1" t="s">
        <v>13</v>
      </c>
    </row>
    <row r="669" spans="1:24" x14ac:dyDescent="0.25">
      <c r="A669" s="1" t="str">
        <f t="shared" si="198"/>
        <v>卡卡杜-凤凰仓</v>
      </c>
      <c r="B669" s="1" t="str">
        <f>"CK202410307468"</f>
        <v>CK202410307468</v>
      </c>
      <c r="C669" s="1" t="str">
        <f>"DD2024103090482"</f>
        <v>DD2024103090482</v>
      </c>
      <c r="D669" s="1" t="str">
        <f>"CK2024103067656"</f>
        <v>CK2024103067656</v>
      </c>
      <c r="E669" s="1" t="str">
        <f>"2430401706136060"</f>
        <v>2430401706136060</v>
      </c>
      <c r="F669" s="1" t="str">
        <f t="shared" si="199"/>
        <v>花都四部-凤凰仓</v>
      </c>
      <c r="G669" s="1" t="str">
        <f t="shared" si="212"/>
        <v>卡卡杜佳旺专卖店（快手店）</v>
      </c>
      <c r="H669" s="1" t="str">
        <f t="shared" si="201"/>
        <v>正常订单</v>
      </c>
      <c r="I669" s="1" t="str">
        <f t="shared" si="202"/>
        <v>已发货</v>
      </c>
      <c r="J669" s="1" t="str">
        <f t="shared" si="214"/>
        <v>3</v>
      </c>
      <c r="K669" s="1">
        <v>2</v>
      </c>
      <c r="L669" s="1" t="s">
        <v>161</v>
      </c>
      <c r="M669" s="1" t="str">
        <f>"四川省 南充市 阆中市 保宁街道"</f>
        <v>四川省 南充市 阆中市 保宁街道</v>
      </c>
      <c r="N669" s="1" t="str">
        <f t="shared" si="213"/>
        <v>凡华云仓-城南圆通-快手</v>
      </c>
      <c r="O669" s="5" t="s">
        <v>706</v>
      </c>
      <c r="P669" s="6">
        <v>0.35</v>
      </c>
      <c r="Q669" s="11">
        <v>2.2999999999999998</v>
      </c>
      <c r="R669" s="11"/>
      <c r="S669" s="11"/>
      <c r="T669" s="11"/>
      <c r="U669" s="11">
        <f t="shared" si="205"/>
        <v>2.2999999999999998</v>
      </c>
      <c r="W669">
        <v>2.5</v>
      </c>
      <c r="X669" s="1" t="s">
        <v>161</v>
      </c>
    </row>
    <row r="670" spans="1:24" x14ac:dyDescent="0.25">
      <c r="A670" s="1" t="str">
        <f t="shared" si="198"/>
        <v>卡卡杜-凤凰仓</v>
      </c>
      <c r="B670" s="1" t="str">
        <f>"CK202410307438"</f>
        <v>CK202410307438</v>
      </c>
      <c r="C670" s="1" t="str">
        <f>"DD2024103088784"</f>
        <v>DD2024103088784</v>
      </c>
      <c r="D670" s="1" t="str">
        <f>"CK2024103067655"</f>
        <v>CK2024103067655</v>
      </c>
      <c r="E670" s="1" t="str">
        <f>"2430402172786344"</f>
        <v>2430402172786344</v>
      </c>
      <c r="F670" s="1" t="str">
        <f t="shared" si="199"/>
        <v>花都四部-凤凰仓</v>
      </c>
      <c r="G670" s="1" t="str">
        <f t="shared" si="212"/>
        <v>卡卡杜佳旺专卖店（快手店）</v>
      </c>
      <c r="H670" s="1" t="str">
        <f t="shared" si="201"/>
        <v>正常订单</v>
      </c>
      <c r="I670" s="1" t="str">
        <f t="shared" si="202"/>
        <v>已发货</v>
      </c>
      <c r="J670" s="1" t="str">
        <f>"5"</f>
        <v>5</v>
      </c>
      <c r="K670" s="1">
        <v>2</v>
      </c>
      <c r="L670" s="1" t="s">
        <v>13</v>
      </c>
      <c r="M670" s="1" t="str">
        <f>"江苏省 宿迁市 沭阳县 沭城街道"</f>
        <v>江苏省 宿迁市 沭阳县 沭城街道</v>
      </c>
      <c r="N670" s="1" t="str">
        <f t="shared" si="213"/>
        <v>凡华云仓-城南圆通-快手</v>
      </c>
      <c r="O670" s="5" t="s">
        <v>707</v>
      </c>
      <c r="P670" s="6">
        <v>0.59</v>
      </c>
      <c r="Q670" s="11">
        <f>CEILING(P670-0.5,0.1)*10*0.15+2.3</f>
        <v>2.4499999999999997</v>
      </c>
      <c r="R670" s="11"/>
      <c r="S670" s="11"/>
      <c r="T670" s="11"/>
      <c r="U670" s="11">
        <f t="shared" si="205"/>
        <v>2.4499999999999997</v>
      </c>
      <c r="V670" t="s">
        <v>15</v>
      </c>
      <c r="W670">
        <v>2.4500000000000002</v>
      </c>
      <c r="X670" s="1" t="s">
        <v>13</v>
      </c>
    </row>
    <row r="671" spans="1:24" x14ac:dyDescent="0.25">
      <c r="A671" s="1" t="str">
        <f t="shared" si="198"/>
        <v>卡卡杜-凤凰仓</v>
      </c>
      <c r="B671" s="1" t="str">
        <f>"CK202410307471"</f>
        <v>CK202410307471</v>
      </c>
      <c r="C671" s="1" t="str">
        <f>"DD2024103090485"</f>
        <v>DD2024103090485</v>
      </c>
      <c r="D671" s="1" t="str">
        <f>"CK2024103067654"</f>
        <v>CK2024103067654</v>
      </c>
      <c r="E671" s="1" t="str">
        <f>"2430401704401267"</f>
        <v>2430401704401267</v>
      </c>
      <c r="F671" s="1" t="str">
        <f t="shared" si="199"/>
        <v>花都四部-凤凰仓</v>
      </c>
      <c r="G671" s="1" t="str">
        <f t="shared" si="212"/>
        <v>卡卡杜佳旺专卖店（快手店）</v>
      </c>
      <c r="H671" s="1" t="str">
        <f t="shared" si="201"/>
        <v>正常订单</v>
      </c>
      <c r="I671" s="1" t="str">
        <f t="shared" si="202"/>
        <v>已发货</v>
      </c>
      <c r="J671" s="1" t="str">
        <f t="shared" ref="J671:J675" si="215">"3"</f>
        <v>3</v>
      </c>
      <c r="K671" s="1">
        <v>2</v>
      </c>
      <c r="L671" s="1" t="s">
        <v>41</v>
      </c>
      <c r="M671" s="1" t="str">
        <f>"湖北省 孝感市 孝南区 三汊镇"</f>
        <v>湖北省 孝感市 孝南区 三汊镇</v>
      </c>
      <c r="N671" s="1" t="str">
        <f t="shared" si="213"/>
        <v>凡华云仓-城南圆通-快手</v>
      </c>
      <c r="O671" s="5" t="s">
        <v>708</v>
      </c>
      <c r="P671" s="6">
        <v>0.35</v>
      </c>
      <c r="Q671" s="11">
        <v>2.2999999999999998</v>
      </c>
      <c r="R671" s="11"/>
      <c r="S671" s="11"/>
      <c r="T671" s="11"/>
      <c r="U671" s="11">
        <f t="shared" si="205"/>
        <v>2.2999999999999998</v>
      </c>
      <c r="W671">
        <v>2.5</v>
      </c>
      <c r="X671" s="1" t="s">
        <v>41</v>
      </c>
    </row>
    <row r="672" spans="1:24" x14ac:dyDescent="0.25">
      <c r="A672" s="1" t="str">
        <f t="shared" si="198"/>
        <v>卡卡杜-凤凰仓</v>
      </c>
      <c r="B672" s="1" t="str">
        <f>"CK202410307444"</f>
        <v>CK202410307444</v>
      </c>
      <c r="C672" s="1" t="str">
        <f>"DD2024103088788"</f>
        <v>DD2024103088788</v>
      </c>
      <c r="D672" s="1" t="str">
        <f>"CK2024103067653"</f>
        <v>CK2024103067653</v>
      </c>
      <c r="E672" s="1" t="str">
        <f>"2430401950904495"</f>
        <v>2430401950904495</v>
      </c>
      <c r="F672" s="1" t="str">
        <f t="shared" si="199"/>
        <v>花都四部-凤凰仓</v>
      </c>
      <c r="G672" s="1" t="str">
        <f t="shared" si="212"/>
        <v>卡卡杜佳旺专卖店（快手店）</v>
      </c>
      <c r="H672" s="1" t="str">
        <f t="shared" si="201"/>
        <v>正常订单</v>
      </c>
      <c r="I672" s="1" t="str">
        <f t="shared" si="202"/>
        <v>已发货</v>
      </c>
      <c r="J672" s="1" t="str">
        <f>"5"</f>
        <v>5</v>
      </c>
      <c r="K672" s="1">
        <v>2</v>
      </c>
      <c r="L672" s="1" t="s">
        <v>16</v>
      </c>
      <c r="M672" s="1" t="str">
        <f>"河北省 保定市 竞秀区 韩村乡"</f>
        <v>河北省 保定市 竞秀区 韩村乡</v>
      </c>
      <c r="N672" s="1" t="str">
        <f t="shared" si="213"/>
        <v>凡华云仓-城南圆通-快手</v>
      </c>
      <c r="O672" s="5" t="s">
        <v>709</v>
      </c>
      <c r="P672" s="6">
        <v>0.59</v>
      </c>
      <c r="Q672" s="11">
        <f>CEILING(P672-0.5,0.1)*10*0.15+2.3</f>
        <v>2.4499999999999997</v>
      </c>
      <c r="R672" s="11"/>
      <c r="S672" s="11"/>
      <c r="T672" s="11"/>
      <c r="U672" s="11">
        <f t="shared" si="205"/>
        <v>2.4499999999999997</v>
      </c>
      <c r="V672" t="s">
        <v>15</v>
      </c>
      <c r="W672">
        <v>2.4500000000000002</v>
      </c>
      <c r="X672" s="1" t="s">
        <v>16</v>
      </c>
    </row>
    <row r="673" spans="1:24" x14ac:dyDescent="0.25">
      <c r="A673" s="1" t="str">
        <f t="shared" si="198"/>
        <v>卡卡杜-凤凰仓</v>
      </c>
      <c r="B673" s="1" t="str">
        <f>"CK202410307474"</f>
        <v>CK202410307474</v>
      </c>
      <c r="C673" s="1" t="str">
        <f>"DD2024103090488"</f>
        <v>DD2024103090488</v>
      </c>
      <c r="D673" s="1" t="str">
        <f>"CK2024103067652"</f>
        <v>CK2024103067652</v>
      </c>
      <c r="E673" s="1" t="str">
        <f>"2430401944355060"</f>
        <v>2430401944355060</v>
      </c>
      <c r="F673" s="1" t="str">
        <f t="shared" si="199"/>
        <v>花都四部-凤凰仓</v>
      </c>
      <c r="G673" s="1" t="str">
        <f t="shared" si="212"/>
        <v>卡卡杜佳旺专卖店（快手店）</v>
      </c>
      <c r="H673" s="1" t="str">
        <f t="shared" si="201"/>
        <v>正常订单</v>
      </c>
      <c r="I673" s="1" t="str">
        <f t="shared" si="202"/>
        <v>已发货</v>
      </c>
      <c r="J673" s="1" t="str">
        <f t="shared" si="215"/>
        <v>3</v>
      </c>
      <c r="K673" s="1">
        <v>2</v>
      </c>
      <c r="L673" s="1" t="s">
        <v>710</v>
      </c>
      <c r="M673" s="1" t="str">
        <f>"上海市 上海市 宝山区 罗店镇"</f>
        <v>上海市 上海市 宝山区 罗店镇</v>
      </c>
      <c r="N673" s="1" t="str">
        <f t="shared" si="213"/>
        <v>凡华云仓-城南圆通-快手</v>
      </c>
      <c r="O673" s="5" t="s">
        <v>711</v>
      </c>
      <c r="P673" s="6">
        <v>0.35</v>
      </c>
      <c r="Q673" s="11">
        <v>2.2999999999999998</v>
      </c>
      <c r="R673" s="11"/>
      <c r="S673" s="11"/>
      <c r="T673" s="11"/>
      <c r="U673" s="11">
        <f t="shared" si="205"/>
        <v>2.2999999999999998</v>
      </c>
      <c r="W673">
        <v>2.5</v>
      </c>
      <c r="X673" s="1" t="s">
        <v>710</v>
      </c>
    </row>
    <row r="674" spans="1:24" x14ac:dyDescent="0.25">
      <c r="A674" s="1" t="str">
        <f t="shared" si="198"/>
        <v>卡卡杜-凤凰仓</v>
      </c>
      <c r="B674" s="1" t="str">
        <f>"CK202410307476"</f>
        <v>CK202410307476</v>
      </c>
      <c r="C674" s="1" t="str">
        <f>"DD2024103090491"</f>
        <v>DD2024103090491</v>
      </c>
      <c r="D674" s="1" t="str">
        <f>"CK2024103067651"</f>
        <v>CK2024103067651</v>
      </c>
      <c r="E674" s="1" t="str">
        <f>"2430401701665789"</f>
        <v>2430401701665789</v>
      </c>
      <c r="F674" s="1" t="str">
        <f t="shared" si="199"/>
        <v>花都四部-凤凰仓</v>
      </c>
      <c r="G674" s="1" t="str">
        <f t="shared" si="212"/>
        <v>卡卡杜佳旺专卖店（快手店）</v>
      </c>
      <c r="H674" s="1" t="str">
        <f t="shared" si="201"/>
        <v>正常订单</v>
      </c>
      <c r="I674" s="1" t="str">
        <f t="shared" si="202"/>
        <v>已发货</v>
      </c>
      <c r="J674" s="1" t="str">
        <f t="shared" si="215"/>
        <v>3</v>
      </c>
      <c r="K674" s="1">
        <v>2</v>
      </c>
      <c r="L674" s="1" t="s">
        <v>13</v>
      </c>
      <c r="M674" s="1" t="str">
        <f>"江苏省 镇江市 镇江新区 丁卯街道"</f>
        <v>江苏省 镇江市 镇江新区 丁卯街道</v>
      </c>
      <c r="N674" s="1" t="str">
        <f t="shared" si="213"/>
        <v>凡华云仓-城南圆通-快手</v>
      </c>
      <c r="O674" s="5" t="s">
        <v>712</v>
      </c>
      <c r="P674" s="6">
        <v>0.35</v>
      </c>
      <c r="Q674" s="11">
        <v>2.2999999999999998</v>
      </c>
      <c r="R674" s="11"/>
      <c r="S674" s="11"/>
      <c r="T674" s="11"/>
      <c r="U674" s="11">
        <f t="shared" si="205"/>
        <v>2.2999999999999998</v>
      </c>
      <c r="W674">
        <v>2.5</v>
      </c>
      <c r="X674" s="1" t="s">
        <v>13</v>
      </c>
    </row>
    <row r="675" spans="1:24" x14ac:dyDescent="0.25">
      <c r="A675" s="1" t="str">
        <f t="shared" si="198"/>
        <v>卡卡杜-凤凰仓</v>
      </c>
      <c r="B675" s="1" t="str">
        <f>"CK202410307457"</f>
        <v>CK202410307457</v>
      </c>
      <c r="C675" s="1" t="str">
        <f>"DD2024103090470"</f>
        <v>DD2024103090470</v>
      </c>
      <c r="D675" s="1" t="str">
        <f>"CK2024103067650"</f>
        <v>CK2024103067650</v>
      </c>
      <c r="E675" s="1" t="str">
        <f>"2430401942530112"</f>
        <v>2430401942530112</v>
      </c>
      <c r="F675" s="1" t="str">
        <f t="shared" si="199"/>
        <v>花都四部-凤凰仓</v>
      </c>
      <c r="G675" s="1" t="str">
        <f t="shared" si="212"/>
        <v>卡卡杜佳旺专卖店（快手店）</v>
      </c>
      <c r="H675" s="1" t="str">
        <f t="shared" si="201"/>
        <v>正常订单</v>
      </c>
      <c r="I675" s="1" t="str">
        <f t="shared" si="202"/>
        <v>已发货</v>
      </c>
      <c r="J675" s="1" t="str">
        <f t="shared" si="215"/>
        <v>3</v>
      </c>
      <c r="K675" s="1">
        <v>2</v>
      </c>
      <c r="L675" s="1" t="s">
        <v>13</v>
      </c>
      <c r="M675" s="1" t="str">
        <f>"江苏省 苏州市 昆山市 张浦镇"</f>
        <v>江苏省 苏州市 昆山市 张浦镇</v>
      </c>
      <c r="N675" s="1" t="str">
        <f t="shared" si="213"/>
        <v>凡华云仓-城南圆通-快手</v>
      </c>
      <c r="O675" s="5" t="s">
        <v>713</v>
      </c>
      <c r="P675" s="6">
        <v>0.35</v>
      </c>
      <c r="Q675" s="11">
        <v>2.2999999999999998</v>
      </c>
      <c r="R675" s="11"/>
      <c r="S675" s="11"/>
      <c r="T675" s="11"/>
      <c r="U675" s="11">
        <f t="shared" si="205"/>
        <v>2.2999999999999998</v>
      </c>
      <c r="W675">
        <v>2.5</v>
      </c>
      <c r="X675" s="1" t="s">
        <v>13</v>
      </c>
    </row>
    <row r="676" spans="1:24" x14ac:dyDescent="0.25">
      <c r="A676" s="1" t="str">
        <f t="shared" si="198"/>
        <v>卡卡杜-凤凰仓</v>
      </c>
      <c r="B676" s="1" t="str">
        <f>"CK202410307443"</f>
        <v>CK202410307443</v>
      </c>
      <c r="C676" s="1" t="str">
        <f>"DD2024103088787"</f>
        <v>DD2024103088787</v>
      </c>
      <c r="D676" s="1" t="str">
        <f>"CK2024103067649"</f>
        <v>CK2024103067649</v>
      </c>
      <c r="E676" s="1" t="str">
        <f>"2430401698352325"</f>
        <v>2430401698352325</v>
      </c>
      <c r="F676" s="1" t="str">
        <f t="shared" si="199"/>
        <v>花都四部-凤凰仓</v>
      </c>
      <c r="G676" s="1" t="str">
        <f t="shared" si="212"/>
        <v>卡卡杜佳旺专卖店（快手店）</v>
      </c>
      <c r="H676" s="1" t="str">
        <f t="shared" si="201"/>
        <v>正常订单</v>
      </c>
      <c r="I676" s="1" t="str">
        <f t="shared" si="202"/>
        <v>已发货</v>
      </c>
      <c r="J676" s="1" t="str">
        <f>"5"</f>
        <v>5</v>
      </c>
      <c r="K676" s="1">
        <v>2</v>
      </c>
      <c r="L676" s="1" t="s">
        <v>187</v>
      </c>
      <c r="M676" s="1" t="str">
        <f>"吉林省 长春市 农安县 兴农街道"</f>
        <v>吉林省 长春市 农安县 兴农街道</v>
      </c>
      <c r="N676" s="1" t="str">
        <f t="shared" si="213"/>
        <v>凡华云仓-城南圆通-快手</v>
      </c>
      <c r="O676" s="5" t="s">
        <v>714</v>
      </c>
      <c r="P676" s="6">
        <v>0.59</v>
      </c>
      <c r="Q676" s="11">
        <f>CEILING(P676-0.5,0.1)*10*0.15+2.3</f>
        <v>2.4499999999999997</v>
      </c>
      <c r="R676" s="11"/>
      <c r="S676" s="11"/>
      <c r="T676" s="11"/>
      <c r="U676" s="11">
        <f t="shared" si="205"/>
        <v>2.4499999999999997</v>
      </c>
      <c r="V676" t="s">
        <v>15</v>
      </c>
      <c r="W676">
        <v>2.4500000000000002</v>
      </c>
      <c r="X676" s="1" t="s">
        <v>187</v>
      </c>
    </row>
    <row r="677" spans="1:24" x14ac:dyDescent="0.25">
      <c r="A677" s="1" t="str">
        <f t="shared" si="198"/>
        <v>卡卡杜-凤凰仓</v>
      </c>
      <c r="B677" s="1" t="str">
        <f>"CK202410307459"</f>
        <v>CK202410307459</v>
      </c>
      <c r="C677" s="1" t="str">
        <f>"DD2024103090471"</f>
        <v>DD2024103090471</v>
      </c>
      <c r="D677" s="1" t="str">
        <f>"CK2024103067648"</f>
        <v>CK2024103067648</v>
      </c>
      <c r="E677" s="1" t="str">
        <f>"2430402028915456"</f>
        <v>2430402028915456</v>
      </c>
      <c r="F677" s="1" t="str">
        <f t="shared" si="199"/>
        <v>花都四部-凤凰仓</v>
      </c>
      <c r="G677" s="1" t="str">
        <f t="shared" si="212"/>
        <v>卡卡杜佳旺专卖店（快手店）</v>
      </c>
      <c r="H677" s="1" t="str">
        <f t="shared" si="201"/>
        <v>正常订单</v>
      </c>
      <c r="I677" s="1" t="str">
        <f t="shared" si="202"/>
        <v>已发货</v>
      </c>
      <c r="J677" s="1" t="str">
        <f t="shared" ref="J677:J679" si="216">"3"</f>
        <v>3</v>
      </c>
      <c r="K677" s="1">
        <v>2</v>
      </c>
      <c r="L677" s="1" t="s">
        <v>13</v>
      </c>
      <c r="M677" s="1" t="str">
        <f>"江苏省 淮安市 金湖县 黎城街道"</f>
        <v>江苏省 淮安市 金湖县 黎城街道</v>
      </c>
      <c r="N677" s="1" t="str">
        <f t="shared" si="213"/>
        <v>凡华云仓-城南圆通-快手</v>
      </c>
      <c r="O677" s="5" t="s">
        <v>715</v>
      </c>
      <c r="P677" s="6">
        <v>0.35</v>
      </c>
      <c r="Q677" s="11">
        <v>2.2999999999999998</v>
      </c>
      <c r="R677" s="11"/>
      <c r="S677" s="11"/>
      <c r="T677" s="11"/>
      <c r="U677" s="11">
        <f t="shared" si="205"/>
        <v>2.2999999999999998</v>
      </c>
      <c r="W677">
        <v>2.5</v>
      </c>
      <c r="X677" s="1" t="s">
        <v>13</v>
      </c>
    </row>
    <row r="678" spans="1:24" x14ac:dyDescent="0.25">
      <c r="A678" s="1" t="str">
        <f t="shared" si="198"/>
        <v>卡卡杜-凤凰仓</v>
      </c>
      <c r="B678" s="1" t="str">
        <f>"CK202410307458"</f>
        <v>CK202410307458</v>
      </c>
      <c r="C678" s="1" t="str">
        <f>"DD2024103090472"</f>
        <v>DD2024103090472</v>
      </c>
      <c r="D678" s="1" t="str">
        <f>"CK2024103067647"</f>
        <v>CK2024103067647</v>
      </c>
      <c r="E678" s="1" t="str">
        <f>"2430402021096579"</f>
        <v>2430402021096579</v>
      </c>
      <c r="F678" s="1" t="str">
        <f t="shared" si="199"/>
        <v>花都四部-凤凰仓</v>
      </c>
      <c r="G678" s="1" t="str">
        <f t="shared" si="212"/>
        <v>卡卡杜佳旺专卖店（快手店）</v>
      </c>
      <c r="H678" s="1" t="str">
        <f t="shared" si="201"/>
        <v>正常订单</v>
      </c>
      <c r="I678" s="1" t="str">
        <f t="shared" si="202"/>
        <v>已发货</v>
      </c>
      <c r="J678" s="1" t="str">
        <f t="shared" si="216"/>
        <v>3</v>
      </c>
      <c r="K678" s="1">
        <v>2</v>
      </c>
      <c r="L678" s="1" t="s">
        <v>30</v>
      </c>
      <c r="M678" s="1" t="str">
        <f>"山东省 济宁市 邹城市 钢山街道"</f>
        <v>山东省 济宁市 邹城市 钢山街道</v>
      </c>
      <c r="N678" s="1" t="str">
        <f t="shared" si="213"/>
        <v>凡华云仓-城南圆通-快手</v>
      </c>
      <c r="O678" s="5" t="s">
        <v>716</v>
      </c>
      <c r="P678" s="6">
        <v>0.35</v>
      </c>
      <c r="Q678" s="11">
        <v>2.2999999999999998</v>
      </c>
      <c r="R678" s="11"/>
      <c r="S678" s="11"/>
      <c r="T678" s="11"/>
      <c r="U678" s="11">
        <f t="shared" si="205"/>
        <v>2.2999999999999998</v>
      </c>
      <c r="W678">
        <v>2.5</v>
      </c>
      <c r="X678" s="1" t="s">
        <v>30</v>
      </c>
    </row>
    <row r="679" spans="1:24" x14ac:dyDescent="0.25">
      <c r="A679" s="1" t="str">
        <f t="shared" si="198"/>
        <v>卡卡杜-凤凰仓</v>
      </c>
      <c r="B679" s="1" t="str">
        <f>"CK202410307461"</f>
        <v>CK202410307461</v>
      </c>
      <c r="C679" s="1" t="str">
        <f>"DD2024103090475"</f>
        <v>DD2024103090475</v>
      </c>
      <c r="D679" s="1" t="str">
        <f>"CK2024103067646"</f>
        <v>CK2024103067646</v>
      </c>
      <c r="E679" s="1" t="str">
        <f>"2430401616002196"</f>
        <v>2430401616002196</v>
      </c>
      <c r="F679" s="1" t="str">
        <f t="shared" si="199"/>
        <v>花都四部-凤凰仓</v>
      </c>
      <c r="G679" s="1" t="str">
        <f t="shared" si="212"/>
        <v>卡卡杜佳旺专卖店（快手店）</v>
      </c>
      <c r="H679" s="1" t="str">
        <f t="shared" si="201"/>
        <v>正常订单</v>
      </c>
      <c r="I679" s="1" t="str">
        <f t="shared" si="202"/>
        <v>已发货</v>
      </c>
      <c r="J679" s="1" t="str">
        <f t="shared" si="216"/>
        <v>3</v>
      </c>
      <c r="K679" s="1">
        <v>2</v>
      </c>
      <c r="L679" s="1" t="s">
        <v>80</v>
      </c>
      <c r="M679" s="1" t="str">
        <f>"河南省 周口市 太康县 老冢镇"</f>
        <v>河南省 周口市 太康县 老冢镇</v>
      </c>
      <c r="N679" s="1" t="str">
        <f t="shared" si="213"/>
        <v>凡华云仓-城南圆通-快手</v>
      </c>
      <c r="O679" s="5" t="s">
        <v>717</v>
      </c>
      <c r="P679" s="6">
        <v>0.35</v>
      </c>
      <c r="Q679" s="11">
        <v>2.2999999999999998</v>
      </c>
      <c r="R679" s="11"/>
      <c r="S679" s="11"/>
      <c r="T679" s="11"/>
      <c r="U679" s="11">
        <f t="shared" si="205"/>
        <v>2.2999999999999998</v>
      </c>
      <c r="W679">
        <v>2.5</v>
      </c>
      <c r="X679" s="1" t="s">
        <v>80</v>
      </c>
    </row>
    <row r="680" spans="1:24" x14ac:dyDescent="0.25">
      <c r="A680" s="1" t="str">
        <f t="shared" si="198"/>
        <v>卡卡杜-凤凰仓</v>
      </c>
      <c r="B680" s="1" t="str">
        <f>"CK202410307439"</f>
        <v>CK202410307439</v>
      </c>
      <c r="C680" s="1" t="str">
        <f>"DD2024103088781"</f>
        <v>DD2024103088781</v>
      </c>
      <c r="D680" s="1" t="str">
        <f>"CK2024103067645"</f>
        <v>CK2024103067645</v>
      </c>
      <c r="E680" s="1" t="str">
        <f>"2430402343856866"</f>
        <v>2430402343856866</v>
      </c>
      <c r="F680" s="1" t="str">
        <f t="shared" si="199"/>
        <v>花都四部-凤凰仓</v>
      </c>
      <c r="G680" s="1" t="str">
        <f t="shared" si="212"/>
        <v>卡卡杜佳旺专卖店（快手店）</v>
      </c>
      <c r="H680" s="1" t="str">
        <f t="shared" si="201"/>
        <v>正常订单</v>
      </c>
      <c r="I680" s="1" t="str">
        <f t="shared" si="202"/>
        <v>已发货</v>
      </c>
      <c r="J680" s="1" t="str">
        <f>"5"</f>
        <v>5</v>
      </c>
      <c r="K680" s="1">
        <v>2</v>
      </c>
      <c r="L680" s="1" t="s">
        <v>66</v>
      </c>
      <c r="M680" s="1" t="str">
        <f>"内蒙古自治区 包头市 昆都仑区 团结大街街道"</f>
        <v>内蒙古自治区 包头市 昆都仑区 团结大街街道</v>
      </c>
      <c r="N680" s="1" t="str">
        <f t="shared" si="213"/>
        <v>凡华云仓-城南圆通-快手</v>
      </c>
      <c r="O680" s="5" t="s">
        <v>718</v>
      </c>
      <c r="P680" s="6">
        <v>0.59</v>
      </c>
      <c r="Q680" s="11">
        <f>CEILING(P680-0.5,0.1)*10*0.15+2.3</f>
        <v>2.4499999999999997</v>
      </c>
      <c r="R680" s="11"/>
      <c r="S680" s="11"/>
      <c r="T680" s="11"/>
      <c r="U680" s="11">
        <f t="shared" si="205"/>
        <v>2.4499999999999997</v>
      </c>
      <c r="V680" t="s">
        <v>15</v>
      </c>
      <c r="W680">
        <v>2.4500000000000002</v>
      </c>
      <c r="X680" s="1" t="s">
        <v>66</v>
      </c>
    </row>
    <row r="681" spans="1:24" x14ac:dyDescent="0.25">
      <c r="A681" s="1" t="str">
        <f t="shared" si="198"/>
        <v>卡卡杜-凤凰仓</v>
      </c>
      <c r="B681" s="1" t="str">
        <f>"CK202410307472"</f>
        <v>CK202410307472</v>
      </c>
      <c r="C681" s="1" t="str">
        <f>"DD2024103090486"</f>
        <v>DD2024103090486</v>
      </c>
      <c r="D681" s="1" t="str">
        <f>"CK2024103067644"</f>
        <v>CK2024103067644</v>
      </c>
      <c r="E681" s="1" t="str">
        <f>"2430401622746253"</f>
        <v>2430401622746253</v>
      </c>
      <c r="F681" s="1" t="str">
        <f t="shared" si="199"/>
        <v>花都四部-凤凰仓</v>
      </c>
      <c r="G681" s="1" t="str">
        <f t="shared" si="212"/>
        <v>卡卡杜佳旺专卖店（快手店）</v>
      </c>
      <c r="H681" s="1" t="str">
        <f t="shared" si="201"/>
        <v>正常订单</v>
      </c>
      <c r="I681" s="1" t="str">
        <f t="shared" si="202"/>
        <v>已发货</v>
      </c>
      <c r="J681" s="1" t="str">
        <f t="shared" ref="J681:J692" si="217">"3"</f>
        <v>3</v>
      </c>
      <c r="K681" s="1">
        <v>2</v>
      </c>
      <c r="L681" s="1" t="s">
        <v>92</v>
      </c>
      <c r="M681" s="1" t="str">
        <f>"辽宁省 阜新市 新邱区 新发屯街道"</f>
        <v>辽宁省 阜新市 新邱区 新发屯街道</v>
      </c>
      <c r="N681" s="1" t="str">
        <f t="shared" si="213"/>
        <v>凡华云仓-城南圆通-快手</v>
      </c>
      <c r="O681" s="5" t="s">
        <v>719</v>
      </c>
      <c r="P681" s="6">
        <v>0.35</v>
      </c>
      <c r="Q681" s="11">
        <v>2.2999999999999998</v>
      </c>
      <c r="R681" s="11"/>
      <c r="S681" s="11"/>
      <c r="T681" s="11"/>
      <c r="U681" s="11">
        <f t="shared" si="205"/>
        <v>2.2999999999999998</v>
      </c>
      <c r="W681">
        <v>2.5</v>
      </c>
      <c r="X681" s="1" t="s">
        <v>92</v>
      </c>
    </row>
    <row r="682" spans="1:24" x14ac:dyDescent="0.25">
      <c r="A682" s="1" t="str">
        <f t="shared" si="198"/>
        <v>卡卡杜-凤凰仓</v>
      </c>
      <c r="B682" s="1" t="str">
        <f>"CK202410307465"</f>
        <v>CK202410307465</v>
      </c>
      <c r="C682" s="1" t="str">
        <f>"DD2024103090478"</f>
        <v>DD2024103090478</v>
      </c>
      <c r="D682" s="1" t="str">
        <f>"CK2024103067643"</f>
        <v>CK2024103067643</v>
      </c>
      <c r="E682" s="1" t="str">
        <f>"2430402339730600"</f>
        <v>2430402339730600</v>
      </c>
      <c r="F682" s="1" t="str">
        <f t="shared" si="199"/>
        <v>花都四部-凤凰仓</v>
      </c>
      <c r="G682" s="1" t="str">
        <f t="shared" si="212"/>
        <v>卡卡杜佳旺专卖店（快手店）</v>
      </c>
      <c r="H682" s="1" t="str">
        <f t="shared" si="201"/>
        <v>正常订单</v>
      </c>
      <c r="I682" s="1" t="str">
        <f t="shared" si="202"/>
        <v>已发货</v>
      </c>
      <c r="J682" s="1" t="str">
        <f t="shared" si="217"/>
        <v>3</v>
      </c>
      <c r="K682" s="1">
        <v>2</v>
      </c>
      <c r="L682" s="1" t="s">
        <v>54</v>
      </c>
      <c r="M682" s="1" t="str">
        <f>"黑龙江省 哈尔滨市 呼兰区 学院路街道"</f>
        <v>黑龙江省 哈尔滨市 呼兰区 学院路街道</v>
      </c>
      <c r="N682" s="1" t="str">
        <f t="shared" si="213"/>
        <v>凡华云仓-城南圆通-快手</v>
      </c>
      <c r="O682" s="5" t="s">
        <v>720</v>
      </c>
      <c r="P682" s="6">
        <v>0.35</v>
      </c>
      <c r="Q682" s="11">
        <v>2.2999999999999998</v>
      </c>
      <c r="R682" s="11"/>
      <c r="S682" s="11"/>
      <c r="T682" s="11"/>
      <c r="U682" s="11">
        <f t="shared" si="205"/>
        <v>2.2999999999999998</v>
      </c>
      <c r="W682">
        <v>2.5</v>
      </c>
      <c r="X682" s="1" t="s">
        <v>54</v>
      </c>
    </row>
    <row r="683" spans="1:24" x14ac:dyDescent="0.25">
      <c r="A683" s="1" t="str">
        <f t="shared" si="198"/>
        <v>卡卡杜-凤凰仓</v>
      </c>
      <c r="B683" s="1" t="str">
        <f>"CK202410307454"</f>
        <v>CK202410307454</v>
      </c>
      <c r="C683" s="1" t="str">
        <f>"DD2024103090469"</f>
        <v>DD2024103090469</v>
      </c>
      <c r="D683" s="1" t="str">
        <f>"CK2024103067642"</f>
        <v>CK2024103067642</v>
      </c>
      <c r="E683" s="1" t="str">
        <f>"2430401858417038"</f>
        <v>2430401858417038</v>
      </c>
      <c r="F683" s="1" t="str">
        <f t="shared" si="199"/>
        <v>花都四部-凤凰仓</v>
      </c>
      <c r="G683" s="1" t="str">
        <f t="shared" si="212"/>
        <v>卡卡杜佳旺专卖店（快手店）</v>
      </c>
      <c r="H683" s="1" t="str">
        <f t="shared" si="201"/>
        <v>正常订单</v>
      </c>
      <c r="I683" s="1" t="str">
        <f t="shared" si="202"/>
        <v>已发货</v>
      </c>
      <c r="J683" s="1" t="str">
        <f t="shared" si="217"/>
        <v>3</v>
      </c>
      <c r="K683" s="1">
        <v>2</v>
      </c>
      <c r="L683" s="1" t="s">
        <v>136</v>
      </c>
      <c r="M683" s="1" t="str">
        <f>"北京市 北京市 海淀区 曙光街道"</f>
        <v>北京市 北京市 海淀区 曙光街道</v>
      </c>
      <c r="N683" s="1" t="str">
        <f t="shared" si="213"/>
        <v>凡华云仓-城南圆通-快手</v>
      </c>
      <c r="O683" s="5" t="s">
        <v>721</v>
      </c>
      <c r="P683" s="6">
        <v>0.25</v>
      </c>
      <c r="Q683" s="11">
        <v>2</v>
      </c>
      <c r="R683" s="11"/>
      <c r="S683" s="11"/>
      <c r="T683" s="11"/>
      <c r="U683" s="11">
        <f t="shared" si="205"/>
        <v>2</v>
      </c>
      <c r="W683">
        <v>2.2000000000000002</v>
      </c>
      <c r="X683" s="1" t="s">
        <v>136</v>
      </c>
    </row>
    <row r="684" spans="1:24" x14ac:dyDescent="0.25">
      <c r="A684" s="1" t="str">
        <f t="shared" si="198"/>
        <v>卡卡杜-凤凰仓</v>
      </c>
      <c r="B684" s="1" t="str">
        <f>"CK202410307452"</f>
        <v>CK202410307452</v>
      </c>
      <c r="C684" s="1" t="str">
        <f>"DD2024103090464"</f>
        <v>DD2024103090464</v>
      </c>
      <c r="D684" s="1" t="str">
        <f>"CK2024103067638"</f>
        <v>CK2024103067638</v>
      </c>
      <c r="E684" s="1" t="str">
        <f>"6935656868435400253"</f>
        <v>6935656868435400253</v>
      </c>
      <c r="F684" s="1" t="str">
        <f t="shared" si="199"/>
        <v>花都四部-凤凰仓</v>
      </c>
      <c r="G684" s="1" t="str">
        <f t="shared" ref="G684:G689" si="218">"卡卡杜个人护理店（抖店）"</f>
        <v>卡卡杜个人护理店（抖店）</v>
      </c>
      <c r="H684" s="1" t="str">
        <f t="shared" si="201"/>
        <v>正常订单</v>
      </c>
      <c r="I684" s="1" t="str">
        <f t="shared" si="202"/>
        <v>已发货</v>
      </c>
      <c r="J684" s="1" t="str">
        <f t="shared" si="217"/>
        <v>3</v>
      </c>
      <c r="K684" s="1">
        <v>3</v>
      </c>
      <c r="L684" s="1" t="s">
        <v>218</v>
      </c>
      <c r="M684" s="1" t="str">
        <f>"天津 天津市 和平区 五大道街道"</f>
        <v>天津 天津市 和平区 五大道街道</v>
      </c>
      <c r="N684" s="1" t="str">
        <f t="shared" ref="N684:N689" si="219">"凡华云仓-城南圆通-抖音"</f>
        <v>凡华云仓-城南圆通-抖音</v>
      </c>
      <c r="O684" s="5" t="s">
        <v>722</v>
      </c>
      <c r="P684" s="6">
        <v>0.33</v>
      </c>
      <c r="Q684" s="11">
        <v>2.2999999999999998</v>
      </c>
      <c r="R684" s="11"/>
      <c r="S684" s="11"/>
      <c r="T684" s="11"/>
      <c r="U684" s="11">
        <f t="shared" si="205"/>
        <v>2.2999999999999998</v>
      </c>
      <c r="W684">
        <v>2.5</v>
      </c>
      <c r="X684" s="1" t="s">
        <v>218</v>
      </c>
    </row>
    <row r="685" spans="1:24" x14ac:dyDescent="0.25">
      <c r="A685" s="1" t="str">
        <f t="shared" si="198"/>
        <v>卡卡杜-凤凰仓</v>
      </c>
      <c r="B685" s="1" t="str">
        <f>"CK202410307469"</f>
        <v>CK202410307469</v>
      </c>
      <c r="C685" s="1" t="str">
        <f>"DD2024103090484"</f>
        <v>DD2024103090484</v>
      </c>
      <c r="D685" s="1" t="str">
        <f>"CK2024103067637"</f>
        <v>CK2024103067637</v>
      </c>
      <c r="E685" s="1" t="str">
        <f>"6935647994242798826"</f>
        <v>6935647994242798826</v>
      </c>
      <c r="F685" s="1" t="str">
        <f t="shared" si="199"/>
        <v>花都四部-凤凰仓</v>
      </c>
      <c r="G685" s="1" t="str">
        <f t="shared" si="218"/>
        <v>卡卡杜个人护理店（抖店）</v>
      </c>
      <c r="H685" s="1" t="str">
        <f t="shared" si="201"/>
        <v>正常订单</v>
      </c>
      <c r="I685" s="1" t="str">
        <f t="shared" si="202"/>
        <v>已发货</v>
      </c>
      <c r="J685" s="1" t="str">
        <f t="shared" si="217"/>
        <v>3</v>
      </c>
      <c r="K685" s="1">
        <v>2</v>
      </c>
      <c r="L685" s="1" t="s">
        <v>92</v>
      </c>
      <c r="M685" s="1" t="str">
        <f>"辽宁省 鞍山市 海城市 海州街道"</f>
        <v>辽宁省 鞍山市 海城市 海州街道</v>
      </c>
      <c r="N685" s="1" t="str">
        <f t="shared" si="219"/>
        <v>凡华云仓-城南圆通-抖音</v>
      </c>
      <c r="O685" s="5" t="s">
        <v>723</v>
      </c>
      <c r="P685" s="6">
        <v>0.35</v>
      </c>
      <c r="Q685" s="11">
        <v>2.2999999999999998</v>
      </c>
      <c r="R685" s="11"/>
      <c r="S685" s="11"/>
      <c r="T685" s="11"/>
      <c r="U685" s="11">
        <f t="shared" si="205"/>
        <v>2.2999999999999998</v>
      </c>
      <c r="W685">
        <v>2.5</v>
      </c>
      <c r="X685" s="1" t="s">
        <v>92</v>
      </c>
    </row>
    <row r="686" spans="1:24" x14ac:dyDescent="0.25">
      <c r="A686" s="1" t="str">
        <f t="shared" si="198"/>
        <v>卡卡杜-凤凰仓</v>
      </c>
      <c r="B686" s="1" t="str">
        <f>"CK202410307473"</f>
        <v>CK202410307473</v>
      </c>
      <c r="C686" s="1" t="str">
        <f>"DD2024103090487"</f>
        <v>DD2024103090487</v>
      </c>
      <c r="D686" s="1" t="str">
        <f>"CK2024103067636"</f>
        <v>CK2024103067636</v>
      </c>
      <c r="E686" s="1" t="str">
        <f>"6935665763216135811"</f>
        <v>6935665763216135811</v>
      </c>
      <c r="F686" s="1" t="str">
        <f t="shared" si="199"/>
        <v>花都四部-凤凰仓</v>
      </c>
      <c r="G686" s="1" t="str">
        <f t="shared" si="218"/>
        <v>卡卡杜个人护理店（抖店）</v>
      </c>
      <c r="H686" s="1" t="str">
        <f t="shared" si="201"/>
        <v>正常订单</v>
      </c>
      <c r="I686" s="1" t="str">
        <f t="shared" si="202"/>
        <v>已发货</v>
      </c>
      <c r="J686" s="1" t="str">
        <f t="shared" si="217"/>
        <v>3</v>
      </c>
      <c r="K686" s="1">
        <v>2</v>
      </c>
      <c r="L686" s="1" t="s">
        <v>32</v>
      </c>
      <c r="M686" s="1" t="str">
        <f>"陕西省 咸阳市 秦都区 古渡街道"</f>
        <v>陕西省 咸阳市 秦都区 古渡街道</v>
      </c>
      <c r="N686" s="1" t="str">
        <f t="shared" si="219"/>
        <v>凡华云仓-城南圆通-抖音</v>
      </c>
      <c r="O686" s="5" t="s">
        <v>724</v>
      </c>
      <c r="P686" s="6">
        <v>0.35</v>
      </c>
      <c r="Q686" s="11">
        <v>2.2999999999999998</v>
      </c>
      <c r="R686" s="11"/>
      <c r="S686" s="11"/>
      <c r="T686" s="11"/>
      <c r="U686" s="11">
        <f t="shared" si="205"/>
        <v>2.2999999999999998</v>
      </c>
      <c r="W686">
        <v>2.5</v>
      </c>
      <c r="X686" s="1" t="s">
        <v>32</v>
      </c>
    </row>
    <row r="687" spans="1:24" x14ac:dyDescent="0.25">
      <c r="A687" s="1" t="str">
        <f t="shared" si="198"/>
        <v>卡卡杜-凤凰仓</v>
      </c>
      <c r="B687" s="1" t="str">
        <f>"CK202410307467"</f>
        <v>CK202410307467</v>
      </c>
      <c r="C687" s="1" t="str">
        <f>"DD2024103090481"</f>
        <v>DD2024103090481</v>
      </c>
      <c r="D687" s="1" t="str">
        <f>"CK2024103067635"</f>
        <v>CK2024103067635</v>
      </c>
      <c r="E687" s="1" t="str">
        <f>"6935665611959244481"</f>
        <v>6935665611959244481</v>
      </c>
      <c r="F687" s="1" t="str">
        <f t="shared" si="199"/>
        <v>花都四部-凤凰仓</v>
      </c>
      <c r="G687" s="1" t="str">
        <f t="shared" si="218"/>
        <v>卡卡杜个人护理店（抖店）</v>
      </c>
      <c r="H687" s="1" t="str">
        <f t="shared" si="201"/>
        <v>正常订单</v>
      </c>
      <c r="I687" s="1" t="str">
        <f t="shared" si="202"/>
        <v>已发货</v>
      </c>
      <c r="J687" s="1" t="str">
        <f t="shared" si="217"/>
        <v>3</v>
      </c>
      <c r="K687" s="1">
        <v>2</v>
      </c>
      <c r="L687" s="1" t="s">
        <v>30</v>
      </c>
      <c r="M687" s="1" t="str">
        <f>"山东省 济宁市 任城区 南张街道"</f>
        <v>山东省 济宁市 任城区 南张街道</v>
      </c>
      <c r="N687" s="1" t="str">
        <f t="shared" si="219"/>
        <v>凡华云仓-城南圆通-抖音</v>
      </c>
      <c r="O687" s="5" t="s">
        <v>725</v>
      </c>
      <c r="P687" s="6">
        <v>0.35</v>
      </c>
      <c r="Q687" s="11">
        <v>2.2999999999999998</v>
      </c>
      <c r="R687" s="11"/>
      <c r="S687" s="11"/>
      <c r="T687" s="11"/>
      <c r="U687" s="11">
        <f t="shared" si="205"/>
        <v>2.2999999999999998</v>
      </c>
      <c r="W687">
        <v>2.5</v>
      </c>
      <c r="X687" s="1" t="s">
        <v>30</v>
      </c>
    </row>
    <row r="688" spans="1:24" x14ac:dyDescent="0.25">
      <c r="A688" s="1" t="str">
        <f t="shared" si="198"/>
        <v>卡卡杜-凤凰仓</v>
      </c>
      <c r="B688" s="1" t="str">
        <f>"CK202410307460"</f>
        <v>CK202410307460</v>
      </c>
      <c r="C688" s="1" t="str">
        <f>"DD2024103090474"</f>
        <v>DD2024103090474</v>
      </c>
      <c r="D688" s="1" t="str">
        <f>"CK2024103067634"</f>
        <v>CK2024103067634</v>
      </c>
      <c r="E688" s="1" t="str">
        <f>"6935643145278395750"</f>
        <v>6935643145278395750</v>
      </c>
      <c r="F688" s="1" t="str">
        <f t="shared" si="199"/>
        <v>花都四部-凤凰仓</v>
      </c>
      <c r="G688" s="1" t="str">
        <f t="shared" si="218"/>
        <v>卡卡杜个人护理店（抖店）</v>
      </c>
      <c r="H688" s="1" t="str">
        <f t="shared" si="201"/>
        <v>正常订单</v>
      </c>
      <c r="I688" s="1" t="str">
        <f t="shared" si="202"/>
        <v>已发货</v>
      </c>
      <c r="J688" s="1" t="str">
        <f t="shared" si="217"/>
        <v>3</v>
      </c>
      <c r="K688" s="1">
        <v>2</v>
      </c>
      <c r="L688" s="1" t="s">
        <v>32</v>
      </c>
      <c r="M688" s="1" t="str">
        <f>"陕西省 西安市 高陵区 泾渭街道"</f>
        <v>陕西省 西安市 高陵区 泾渭街道</v>
      </c>
      <c r="N688" s="1" t="str">
        <f t="shared" si="219"/>
        <v>凡华云仓-城南圆通-抖音</v>
      </c>
      <c r="O688" s="5" t="s">
        <v>726</v>
      </c>
      <c r="P688" s="6">
        <v>0.35</v>
      </c>
      <c r="Q688" s="11">
        <v>2.2999999999999998</v>
      </c>
      <c r="R688" s="11"/>
      <c r="S688" s="11"/>
      <c r="T688" s="11"/>
      <c r="U688" s="11">
        <f t="shared" si="205"/>
        <v>2.2999999999999998</v>
      </c>
      <c r="W688">
        <v>2.5</v>
      </c>
      <c r="X688" s="1" t="s">
        <v>32</v>
      </c>
    </row>
    <row r="689" spans="1:24" x14ac:dyDescent="0.25">
      <c r="A689" s="1" t="str">
        <f t="shared" si="198"/>
        <v>卡卡杜-凤凰仓</v>
      </c>
      <c r="B689" s="1" t="str">
        <f>"CK202410307455"</f>
        <v>CK202410307455</v>
      </c>
      <c r="C689" s="1" t="str">
        <f>"DD2024103090468"</f>
        <v>DD2024103090468</v>
      </c>
      <c r="D689" s="1" t="str">
        <f>"CK2024103067633"</f>
        <v>CK2024103067633</v>
      </c>
      <c r="E689" s="1" t="str">
        <f>"6935647851771598822"</f>
        <v>6935647851771598822</v>
      </c>
      <c r="F689" s="1" t="str">
        <f t="shared" si="199"/>
        <v>花都四部-凤凰仓</v>
      </c>
      <c r="G689" s="1" t="str">
        <f t="shared" si="218"/>
        <v>卡卡杜个人护理店（抖店）</v>
      </c>
      <c r="H689" s="1" t="str">
        <f t="shared" si="201"/>
        <v>正常订单</v>
      </c>
      <c r="I689" s="1" t="str">
        <f t="shared" si="202"/>
        <v>已发货</v>
      </c>
      <c r="J689" s="1" t="str">
        <f t="shared" si="217"/>
        <v>3</v>
      </c>
      <c r="K689" s="1">
        <v>2</v>
      </c>
      <c r="L689" s="1" t="s">
        <v>30</v>
      </c>
      <c r="M689" s="1" t="str">
        <f>"山东省 日照市 东港区 石臼街道"</f>
        <v>山东省 日照市 东港区 石臼街道</v>
      </c>
      <c r="N689" s="1" t="str">
        <f t="shared" si="219"/>
        <v>凡华云仓-城南圆通-抖音</v>
      </c>
      <c r="O689" s="5" t="s">
        <v>727</v>
      </c>
      <c r="P689" s="6">
        <v>0.25</v>
      </c>
      <c r="Q689" s="11">
        <v>2</v>
      </c>
      <c r="R689" s="11"/>
      <c r="S689" s="11"/>
      <c r="T689" s="11"/>
      <c r="U689" s="11">
        <f t="shared" si="205"/>
        <v>2</v>
      </c>
      <c r="W689">
        <v>2.2000000000000002</v>
      </c>
      <c r="X689" s="1" t="s">
        <v>30</v>
      </c>
    </row>
    <row r="690" spans="1:24" x14ac:dyDescent="0.25">
      <c r="A690" s="1" t="str">
        <f t="shared" si="198"/>
        <v>卡卡杜-凤凰仓</v>
      </c>
      <c r="B690" s="1" t="str">
        <f>"CK202410307463"</f>
        <v>CK202410307463</v>
      </c>
      <c r="C690" s="1" t="str">
        <f>"DD2024103090476"</f>
        <v>DD2024103090476</v>
      </c>
      <c r="D690" s="1" t="str">
        <f>"CK2024103067627"</f>
        <v>CK2024103067627</v>
      </c>
      <c r="E690" s="1" t="str">
        <f>"3723666789413815552"</f>
        <v>3723666789413815552</v>
      </c>
      <c r="F690" s="1" t="str">
        <f t="shared" si="199"/>
        <v>花都四部-凤凰仓</v>
      </c>
      <c r="G690" s="1" t="str">
        <f t="shared" ref="G690:G693" si="220">"卡卡杜企业店（视频号）"</f>
        <v>卡卡杜企业店（视频号）</v>
      </c>
      <c r="H690" s="1" t="str">
        <f t="shared" si="201"/>
        <v>正常订单</v>
      </c>
      <c r="I690" s="1" t="str">
        <f t="shared" si="202"/>
        <v>已发货</v>
      </c>
      <c r="J690" s="1" t="str">
        <f t="shared" si="217"/>
        <v>3</v>
      </c>
      <c r="K690" s="1">
        <v>2</v>
      </c>
      <c r="L690" s="1" t="s">
        <v>74</v>
      </c>
      <c r="M690" s="1" t="str">
        <f>"上海 上海市 松江区 "</f>
        <v xml:space="preserve">上海 上海市 松江区 </v>
      </c>
      <c r="N690" s="1" t="str">
        <f t="shared" ref="N690:N753" si="221">"凡华云仓-城南圆通-微信视频号"</f>
        <v>凡华云仓-城南圆通-微信视频号</v>
      </c>
      <c r="O690" s="5" t="s">
        <v>728</v>
      </c>
      <c r="P690" s="6">
        <v>0.35</v>
      </c>
      <c r="Q690" s="11">
        <v>2.2999999999999998</v>
      </c>
      <c r="R690" s="11"/>
      <c r="S690" s="11"/>
      <c r="T690" s="11"/>
      <c r="U690" s="11">
        <f t="shared" si="205"/>
        <v>2.2999999999999998</v>
      </c>
      <c r="W690">
        <v>2.5</v>
      </c>
      <c r="X690" s="1" t="s">
        <v>74</v>
      </c>
    </row>
    <row r="691" spans="1:24" x14ac:dyDescent="0.25">
      <c r="A691" s="1" t="str">
        <f t="shared" si="198"/>
        <v>卡卡杜-凤凰仓</v>
      </c>
      <c r="B691" s="1" t="str">
        <f>"CK202410307453"</f>
        <v>CK202410307453</v>
      </c>
      <c r="C691" s="1" t="str">
        <f>"DD2024103090463"</f>
        <v>DD2024103090463</v>
      </c>
      <c r="D691" s="1" t="str">
        <f>"CK2024103067626"</f>
        <v>CK2024103067626</v>
      </c>
      <c r="E691" s="1" t="str">
        <f>"3723666479538115584"</f>
        <v>3723666479538115584</v>
      </c>
      <c r="F691" s="1" t="str">
        <f t="shared" si="199"/>
        <v>花都四部-凤凰仓</v>
      </c>
      <c r="G691" s="1" t="str">
        <f t="shared" si="220"/>
        <v>卡卡杜企业店（视频号）</v>
      </c>
      <c r="H691" s="1" t="str">
        <f t="shared" si="201"/>
        <v>正常订单</v>
      </c>
      <c r="I691" s="1" t="str">
        <f t="shared" si="202"/>
        <v>已发货</v>
      </c>
      <c r="J691" s="1" t="str">
        <f t="shared" si="217"/>
        <v>3</v>
      </c>
      <c r="K691" s="1">
        <v>3</v>
      </c>
      <c r="L691" s="1" t="s">
        <v>18</v>
      </c>
      <c r="M691" s="1" t="str">
        <f>"广东省 佛山市 南海区 "</f>
        <v xml:space="preserve">广东省 佛山市 南海区 </v>
      </c>
      <c r="N691" s="1" t="str">
        <f t="shared" si="221"/>
        <v>凡华云仓-城南圆通-微信视频号</v>
      </c>
      <c r="O691" s="5" t="s">
        <v>729</v>
      </c>
      <c r="P691" s="6">
        <v>0.33</v>
      </c>
      <c r="Q691" s="11">
        <v>2.2999999999999998</v>
      </c>
      <c r="R691" s="11"/>
      <c r="S691" s="11"/>
      <c r="T691" s="11"/>
      <c r="U691" s="11">
        <f t="shared" si="205"/>
        <v>2.2999999999999998</v>
      </c>
      <c r="W691">
        <v>2.5</v>
      </c>
      <c r="X691" s="1" t="s">
        <v>18</v>
      </c>
    </row>
    <row r="692" spans="1:24" x14ac:dyDescent="0.25">
      <c r="A692" s="1" t="str">
        <f t="shared" si="198"/>
        <v>卡卡杜-凤凰仓</v>
      </c>
      <c r="B692" s="1" t="str">
        <f>"CK202410307451"</f>
        <v>CK202410307451</v>
      </c>
      <c r="C692" s="1" t="str">
        <f>"DD2024103090465"</f>
        <v>DD2024103090465</v>
      </c>
      <c r="D692" s="1" t="str">
        <f>"CK2024103067625"</f>
        <v>CK2024103067625</v>
      </c>
      <c r="E692" s="1" t="str">
        <f>"3723665730071823872"</f>
        <v>3723665730071823872</v>
      </c>
      <c r="F692" s="1" t="str">
        <f t="shared" si="199"/>
        <v>花都四部-凤凰仓</v>
      </c>
      <c r="G692" s="1" t="str">
        <f t="shared" si="220"/>
        <v>卡卡杜企业店（视频号）</v>
      </c>
      <c r="H692" s="1" t="str">
        <f t="shared" si="201"/>
        <v>正常订单</v>
      </c>
      <c r="I692" s="1" t="str">
        <f t="shared" si="202"/>
        <v>已发货</v>
      </c>
      <c r="J692" s="1" t="str">
        <f t="shared" si="217"/>
        <v>3</v>
      </c>
      <c r="K692" s="1">
        <v>3</v>
      </c>
      <c r="L692" s="1" t="s">
        <v>20</v>
      </c>
      <c r="M692" s="1" t="str">
        <f>"浙江省 台州市 温岭市 "</f>
        <v xml:space="preserve">浙江省 台州市 温岭市 </v>
      </c>
      <c r="N692" s="1" t="str">
        <f t="shared" si="221"/>
        <v>凡华云仓-城南圆通-微信视频号</v>
      </c>
      <c r="O692" s="5" t="s">
        <v>730</v>
      </c>
      <c r="P692" s="6">
        <v>0.33</v>
      </c>
      <c r="Q692" s="11">
        <v>2.2999999999999998</v>
      </c>
      <c r="R692" s="11"/>
      <c r="S692" s="11"/>
      <c r="T692" s="11"/>
      <c r="U692" s="11">
        <f t="shared" si="205"/>
        <v>2.2999999999999998</v>
      </c>
      <c r="W692">
        <v>2.5</v>
      </c>
      <c r="X692" s="1" t="s">
        <v>20</v>
      </c>
    </row>
    <row r="693" spans="1:24" x14ac:dyDescent="0.25">
      <c r="A693" s="1" t="str">
        <f t="shared" si="198"/>
        <v>卡卡杜-凤凰仓</v>
      </c>
      <c r="B693" s="1" t="str">
        <f>"CK202410307442"</f>
        <v>CK202410307442</v>
      </c>
      <c r="C693" s="1" t="str">
        <f>"DD2024103088783"</f>
        <v>DD2024103088783</v>
      </c>
      <c r="D693" s="1" t="str">
        <f>"CK2024103067624"</f>
        <v>CK2024103067624</v>
      </c>
      <c r="E693" s="1" t="str">
        <f>"3723665400248537088"</f>
        <v>3723665400248537088</v>
      </c>
      <c r="F693" s="1" t="str">
        <f t="shared" si="199"/>
        <v>花都四部-凤凰仓</v>
      </c>
      <c r="G693" s="1" t="str">
        <f t="shared" si="220"/>
        <v>卡卡杜企业店（视频号）</v>
      </c>
      <c r="H693" s="1" t="str">
        <f t="shared" si="201"/>
        <v>正常订单</v>
      </c>
      <c r="I693" s="1" t="str">
        <f t="shared" si="202"/>
        <v>已发货</v>
      </c>
      <c r="J693" s="1" t="str">
        <f>"5"</f>
        <v>5</v>
      </c>
      <c r="K693" s="1">
        <v>2</v>
      </c>
      <c r="L693" s="1" t="s">
        <v>20</v>
      </c>
      <c r="M693" s="1" t="str">
        <f>"浙江省 杭州市 余杭区 "</f>
        <v xml:space="preserve">浙江省 杭州市 余杭区 </v>
      </c>
      <c r="N693" s="1" t="str">
        <f t="shared" si="221"/>
        <v>凡华云仓-城南圆通-微信视频号</v>
      </c>
      <c r="O693" s="5" t="s">
        <v>731</v>
      </c>
      <c r="P693" s="6">
        <v>0.59</v>
      </c>
      <c r="Q693" s="11">
        <f>CEILING(P693-0.5,0.1)*10*0.15+2.3</f>
        <v>2.4499999999999997</v>
      </c>
      <c r="R693" s="11"/>
      <c r="S693" s="11"/>
      <c r="T693" s="11"/>
      <c r="U693" s="11">
        <f t="shared" si="205"/>
        <v>2.4499999999999997</v>
      </c>
      <c r="V693" t="s">
        <v>15</v>
      </c>
      <c r="W693">
        <v>2.4500000000000002</v>
      </c>
      <c r="X693" s="1" t="s">
        <v>20</v>
      </c>
    </row>
    <row r="694" spans="1:24" x14ac:dyDescent="0.25">
      <c r="A694" s="1" t="str">
        <f t="shared" si="198"/>
        <v>卡卡杜-凤凰仓</v>
      </c>
      <c r="B694" s="1" t="str">
        <f>"CK202410307478"</f>
        <v>CK202410307478</v>
      </c>
      <c r="C694" s="1" t="str">
        <f>"DD2024103090496"</f>
        <v>DD2024103090496</v>
      </c>
      <c r="D694" s="1" t="str">
        <f>"CK2024103067623"</f>
        <v>CK2024103067623</v>
      </c>
      <c r="E694" s="1" t="str">
        <f>"3723643714947387392"</f>
        <v>3723643714947387392</v>
      </c>
      <c r="F694" s="1" t="str">
        <f t="shared" si="199"/>
        <v>花都四部-凤凰仓</v>
      </c>
      <c r="G694" s="1" t="str">
        <f>"RO橙心外贸供应链 （视频号）"</f>
        <v>RO橙心外贸供应链 （视频号）</v>
      </c>
      <c r="H694" s="1" t="str">
        <f t="shared" si="201"/>
        <v>正常订单</v>
      </c>
      <c r="I694" s="1" t="str">
        <f t="shared" si="202"/>
        <v>已发货</v>
      </c>
      <c r="J694" s="1" t="str">
        <f t="shared" ref="J694:J699" si="222">"3"</f>
        <v>3</v>
      </c>
      <c r="K694" s="1">
        <v>3</v>
      </c>
      <c r="L694" s="1" t="s">
        <v>94</v>
      </c>
      <c r="M694" s="1" t="str">
        <f>"湖南省 衡阳市 蒸湘区 "</f>
        <v xml:space="preserve">湖南省 衡阳市 蒸湘区 </v>
      </c>
      <c r="N694" s="1" t="str">
        <f t="shared" si="221"/>
        <v>凡华云仓-城南圆通-微信视频号</v>
      </c>
      <c r="O694" s="5" t="s">
        <v>732</v>
      </c>
      <c r="P694" s="6">
        <v>0.33</v>
      </c>
      <c r="Q694" s="11">
        <v>2.2999999999999998</v>
      </c>
      <c r="R694" s="11"/>
      <c r="S694" s="11"/>
      <c r="T694" s="11"/>
      <c r="U694" s="11">
        <f t="shared" si="205"/>
        <v>2.2999999999999998</v>
      </c>
      <c r="W694">
        <v>2.5</v>
      </c>
      <c r="X694" s="1" t="s">
        <v>94</v>
      </c>
    </row>
    <row r="695" spans="1:24" x14ac:dyDescent="0.25">
      <c r="A695" s="1" t="str">
        <f t="shared" si="198"/>
        <v>卡卡杜-凤凰仓</v>
      </c>
      <c r="B695" s="1" t="str">
        <f>"CK20241030139"</f>
        <v>CK20241030139</v>
      </c>
      <c r="C695" s="1" t="str">
        <f>"DD2024103051674"</f>
        <v>DD2024103051674</v>
      </c>
      <c r="D695" s="1" t="str">
        <f>"CK2024103042920"</f>
        <v>CK2024103042920</v>
      </c>
      <c r="E695" s="1" t="str">
        <f>"3723646955042245632"</f>
        <v>3723646955042245632</v>
      </c>
      <c r="F695" s="1" t="str">
        <f t="shared" si="199"/>
        <v>花都四部-凤凰仓</v>
      </c>
      <c r="G695" s="1" t="str">
        <f t="shared" ref="G695:G758" si="223">"卡卡杜企业店（视频号）"</f>
        <v>卡卡杜企业店（视频号）</v>
      </c>
      <c r="H695" s="1" t="str">
        <f t="shared" si="201"/>
        <v>正常订单</v>
      </c>
      <c r="I695" s="1" t="str">
        <f t="shared" si="202"/>
        <v>已发货</v>
      </c>
      <c r="J695" s="1" t="str">
        <f>"2"</f>
        <v>2</v>
      </c>
      <c r="K695" s="1">
        <v>2</v>
      </c>
      <c r="L695" s="1" t="s">
        <v>18</v>
      </c>
      <c r="M695" s="1" t="str">
        <f>"广东省 深圳市 南山区 "</f>
        <v xml:space="preserve">广东省 深圳市 南山区 </v>
      </c>
      <c r="N695" s="1" t="str">
        <f t="shared" si="221"/>
        <v>凡华云仓-城南圆通-微信视频号</v>
      </c>
      <c r="O695" s="5" t="s">
        <v>733</v>
      </c>
      <c r="P695" s="6">
        <v>0.17</v>
      </c>
      <c r="Q695" s="11">
        <v>2</v>
      </c>
      <c r="R695" s="11"/>
      <c r="S695" s="11"/>
      <c r="T695" s="11"/>
      <c r="U695" s="11">
        <f t="shared" si="205"/>
        <v>2</v>
      </c>
      <c r="W695">
        <v>2.2000000000000002</v>
      </c>
      <c r="X695" s="1" t="s">
        <v>18</v>
      </c>
    </row>
    <row r="696" spans="1:24" x14ac:dyDescent="0.25">
      <c r="A696" s="1" t="str">
        <f t="shared" si="198"/>
        <v>卡卡杜-凤凰仓</v>
      </c>
      <c r="B696" s="1" t="str">
        <f>"CK20241030184"</f>
        <v>CK20241030184</v>
      </c>
      <c r="C696" s="1" t="str">
        <f>"DD2024103036261"</f>
        <v>DD2024103036261</v>
      </c>
      <c r="D696" s="1" t="str">
        <f>"CK2024103035768"</f>
        <v>CK2024103035768</v>
      </c>
      <c r="E696" s="1" t="str">
        <f>"3723661584770925824"</f>
        <v>3723661584770925824</v>
      </c>
      <c r="F696" s="1" t="str">
        <f t="shared" si="199"/>
        <v>花都四部-凤凰仓</v>
      </c>
      <c r="G696" s="1" t="str">
        <f t="shared" si="223"/>
        <v>卡卡杜企业店（视频号）</v>
      </c>
      <c r="H696" s="1" t="str">
        <f t="shared" si="201"/>
        <v>正常订单</v>
      </c>
      <c r="I696" s="1" t="str">
        <f t="shared" si="202"/>
        <v>已发货</v>
      </c>
      <c r="J696" s="1" t="str">
        <f>"1"</f>
        <v>1</v>
      </c>
      <c r="K696" s="1">
        <v>1</v>
      </c>
      <c r="L696" s="1" t="s">
        <v>66</v>
      </c>
      <c r="M696" s="1" t="str">
        <f>"内蒙古自治区 兴安盟 扎赉特旗 "</f>
        <v xml:space="preserve">内蒙古自治区 兴安盟 扎赉特旗 </v>
      </c>
      <c r="N696" s="1" t="str">
        <f t="shared" si="221"/>
        <v>凡华云仓-城南圆通-微信视频号</v>
      </c>
      <c r="O696" s="5" t="s">
        <v>734</v>
      </c>
      <c r="P696" s="6">
        <v>0.12</v>
      </c>
      <c r="Q696" s="11">
        <v>2</v>
      </c>
      <c r="R696" s="11"/>
      <c r="S696" s="11"/>
      <c r="T696" s="11"/>
      <c r="U696" s="11">
        <f t="shared" si="205"/>
        <v>2</v>
      </c>
      <c r="W696">
        <v>2.2000000000000002</v>
      </c>
      <c r="X696" s="1" t="s">
        <v>66</v>
      </c>
    </row>
    <row r="697" spans="1:24" x14ac:dyDescent="0.25">
      <c r="A697" s="1" t="str">
        <f t="shared" si="198"/>
        <v>卡卡杜-凤凰仓</v>
      </c>
      <c r="B697" s="1" t="str">
        <f>"CK2024103066"</f>
        <v>CK2024103066</v>
      </c>
      <c r="C697" s="1" t="str">
        <f>"DD2024103035317"</f>
        <v>DD2024103035317</v>
      </c>
      <c r="D697" s="1" t="str">
        <f>"CK2024103035767"</f>
        <v>CK2024103035767</v>
      </c>
      <c r="E697" s="1" t="str">
        <f>"3723661467043106816"</f>
        <v>3723661467043106816</v>
      </c>
      <c r="F697" s="1" t="str">
        <f t="shared" si="199"/>
        <v>花都四部-凤凰仓</v>
      </c>
      <c r="G697" s="1" t="str">
        <f t="shared" si="223"/>
        <v>卡卡杜企业店（视频号）</v>
      </c>
      <c r="H697" s="1" t="str">
        <f t="shared" si="201"/>
        <v>正常订单</v>
      </c>
      <c r="I697" s="1" t="str">
        <f t="shared" si="202"/>
        <v>已发货</v>
      </c>
      <c r="J697" s="1" t="str">
        <f t="shared" si="222"/>
        <v>3</v>
      </c>
      <c r="K697" s="1">
        <v>3</v>
      </c>
      <c r="L697" s="1" t="s">
        <v>218</v>
      </c>
      <c r="M697" s="1" t="str">
        <f>"天津 天津市 滨海新区 "</f>
        <v xml:space="preserve">天津 天津市 滨海新区 </v>
      </c>
      <c r="N697" s="1" t="str">
        <f t="shared" si="221"/>
        <v>凡华云仓-城南圆通-微信视频号</v>
      </c>
      <c r="O697" s="5" t="s">
        <v>735</v>
      </c>
      <c r="P697" s="6">
        <v>0.34</v>
      </c>
      <c r="Q697" s="11">
        <v>2.2999999999999998</v>
      </c>
      <c r="R697" s="11"/>
      <c r="S697" s="11"/>
      <c r="T697" s="11"/>
      <c r="U697" s="11">
        <f t="shared" si="205"/>
        <v>2.2999999999999998</v>
      </c>
      <c r="W697">
        <v>2.5</v>
      </c>
      <c r="X697" s="1" t="s">
        <v>218</v>
      </c>
    </row>
    <row r="698" spans="1:24" x14ac:dyDescent="0.25">
      <c r="A698" s="1" t="str">
        <f t="shared" si="198"/>
        <v>卡卡杜-凤凰仓</v>
      </c>
      <c r="B698" s="1" t="str">
        <f>"CK2024103071"</f>
        <v>CK2024103071</v>
      </c>
      <c r="C698" s="1" t="str">
        <f>"DD2024103035322"</f>
        <v>DD2024103035322</v>
      </c>
      <c r="D698" s="1" t="str">
        <f>"CK2024103035766"</f>
        <v>CK2024103035766</v>
      </c>
      <c r="E698" s="1" t="str">
        <f>"3723661377525908736"</f>
        <v>3723661377525908736</v>
      </c>
      <c r="F698" s="1" t="str">
        <f t="shared" si="199"/>
        <v>花都四部-凤凰仓</v>
      </c>
      <c r="G698" s="1" t="str">
        <f t="shared" si="223"/>
        <v>卡卡杜企业店（视频号）</v>
      </c>
      <c r="H698" s="1" t="str">
        <f t="shared" si="201"/>
        <v>正常订单</v>
      </c>
      <c r="I698" s="1" t="str">
        <f t="shared" si="202"/>
        <v>已发货</v>
      </c>
      <c r="J698" s="1" t="str">
        <f t="shared" si="222"/>
        <v>3</v>
      </c>
      <c r="K698" s="1">
        <v>3</v>
      </c>
      <c r="L698" s="1" t="s">
        <v>18</v>
      </c>
      <c r="M698" s="1" t="str">
        <f>"广东省 佛山市 南海区 "</f>
        <v xml:space="preserve">广东省 佛山市 南海区 </v>
      </c>
      <c r="N698" s="1" t="str">
        <f t="shared" si="221"/>
        <v>凡华云仓-城南圆通-微信视频号</v>
      </c>
      <c r="O698" s="5" t="s">
        <v>736</v>
      </c>
      <c r="P698" s="6">
        <v>0.34</v>
      </c>
      <c r="Q698" s="11">
        <v>2.2999999999999998</v>
      </c>
      <c r="R698" s="11"/>
      <c r="S698" s="11"/>
      <c r="T698" s="11"/>
      <c r="U698" s="11">
        <f t="shared" si="205"/>
        <v>2.2999999999999998</v>
      </c>
      <c r="W698">
        <v>2.5</v>
      </c>
      <c r="X698" s="1" t="s">
        <v>18</v>
      </c>
    </row>
    <row r="699" spans="1:24" x14ac:dyDescent="0.25">
      <c r="A699" s="1" t="str">
        <f t="shared" si="198"/>
        <v>卡卡杜-凤凰仓</v>
      </c>
      <c r="B699" s="1" t="str">
        <f>"CK2024103073"</f>
        <v>CK2024103073</v>
      </c>
      <c r="C699" s="1" t="str">
        <f>"DD2024103035323"</f>
        <v>DD2024103035323</v>
      </c>
      <c r="D699" s="1" t="str">
        <f>"CK2024103035765"</f>
        <v>CK2024103035765</v>
      </c>
      <c r="E699" s="1" t="str">
        <f>"3723659736966104576"</f>
        <v>3723659736966104576</v>
      </c>
      <c r="F699" s="1" t="str">
        <f t="shared" si="199"/>
        <v>花都四部-凤凰仓</v>
      </c>
      <c r="G699" s="1" t="str">
        <f t="shared" si="223"/>
        <v>卡卡杜企业店（视频号）</v>
      </c>
      <c r="H699" s="1" t="str">
        <f t="shared" si="201"/>
        <v>正常订单</v>
      </c>
      <c r="I699" s="1" t="str">
        <f t="shared" si="202"/>
        <v>已发货</v>
      </c>
      <c r="J699" s="1" t="str">
        <f t="shared" si="222"/>
        <v>3</v>
      </c>
      <c r="K699" s="1">
        <v>3</v>
      </c>
      <c r="L699" s="1" t="s">
        <v>18</v>
      </c>
      <c r="M699" s="1" t="str">
        <f>"广东省 深圳市 福田区 "</f>
        <v xml:space="preserve">广东省 深圳市 福田区 </v>
      </c>
      <c r="N699" s="1" t="str">
        <f t="shared" si="221"/>
        <v>凡华云仓-城南圆通-微信视频号</v>
      </c>
      <c r="O699" s="5" t="s">
        <v>737</v>
      </c>
      <c r="P699" s="6">
        <v>0.34</v>
      </c>
      <c r="Q699" s="11">
        <v>2.2999999999999998</v>
      </c>
      <c r="R699" s="11"/>
      <c r="S699" s="11"/>
      <c r="T699" s="11"/>
      <c r="U699" s="11">
        <f t="shared" si="205"/>
        <v>2.2999999999999998</v>
      </c>
      <c r="W699">
        <v>2.5</v>
      </c>
      <c r="X699" s="1" t="s">
        <v>18</v>
      </c>
    </row>
    <row r="700" spans="1:24" x14ac:dyDescent="0.25">
      <c r="A700" s="1" t="str">
        <f t="shared" si="198"/>
        <v>卡卡杜-凤凰仓</v>
      </c>
      <c r="B700" s="1" t="str">
        <f>"CK2024103001"</f>
        <v>CK2024103001</v>
      </c>
      <c r="C700" s="1" t="str">
        <f>"DD2024103035165"</f>
        <v>DD2024103035165</v>
      </c>
      <c r="D700" s="1" t="str">
        <f>"CK2024103035764"</f>
        <v>CK2024103035764</v>
      </c>
      <c r="E700" s="1" t="str">
        <f>"3723655268575351808"</f>
        <v>3723655268575351808</v>
      </c>
      <c r="F700" s="1" t="str">
        <f t="shared" si="199"/>
        <v>花都四部-凤凰仓</v>
      </c>
      <c r="G700" s="1" t="str">
        <f t="shared" si="223"/>
        <v>卡卡杜企业店（视频号）</v>
      </c>
      <c r="H700" s="1" t="str">
        <f t="shared" si="201"/>
        <v>正常订单</v>
      </c>
      <c r="I700" s="1" t="str">
        <f t="shared" si="202"/>
        <v>已发货</v>
      </c>
      <c r="J700" s="1" t="str">
        <f>"5"</f>
        <v>5</v>
      </c>
      <c r="K700" s="1">
        <v>2</v>
      </c>
      <c r="L700" s="1" t="s">
        <v>44</v>
      </c>
      <c r="M700" s="1" t="str">
        <f>"海南省 省直辖县级行政区划 临高县 "</f>
        <v xml:space="preserve">海南省 省直辖县级行政区划 临高县 </v>
      </c>
      <c r="N700" s="1" t="str">
        <f t="shared" si="221"/>
        <v>凡华云仓-城南圆通-微信视频号</v>
      </c>
      <c r="O700" s="5" t="s">
        <v>738</v>
      </c>
      <c r="P700" s="6">
        <v>0.59</v>
      </c>
      <c r="Q700" s="11">
        <f>CEILING(P700-0.5,0.1)*10*0.15+2.3</f>
        <v>2.4499999999999997</v>
      </c>
      <c r="R700" s="11"/>
      <c r="S700" s="11"/>
      <c r="T700" s="11"/>
      <c r="U700" s="11">
        <f t="shared" si="205"/>
        <v>2.4499999999999997</v>
      </c>
      <c r="V700" t="s">
        <v>15</v>
      </c>
      <c r="W700">
        <v>2.4500000000000002</v>
      </c>
      <c r="X700" s="1" t="s">
        <v>44</v>
      </c>
    </row>
    <row r="701" spans="1:24" x14ac:dyDescent="0.25">
      <c r="A701" s="1" t="str">
        <f t="shared" si="198"/>
        <v>卡卡杜-凤凰仓</v>
      </c>
      <c r="B701" s="1" t="str">
        <f>"CK2024103067"</f>
        <v>CK2024103067</v>
      </c>
      <c r="C701" s="1" t="str">
        <f>"DD2024103035316"</f>
        <v>DD2024103035316</v>
      </c>
      <c r="D701" s="1" t="str">
        <f>"CK2024103035763"</f>
        <v>CK2024103035763</v>
      </c>
      <c r="E701" s="1" t="str">
        <f>"3723653198763396096"</f>
        <v>3723653198763396096</v>
      </c>
      <c r="F701" s="1" t="str">
        <f t="shared" si="199"/>
        <v>花都四部-凤凰仓</v>
      </c>
      <c r="G701" s="1" t="str">
        <f t="shared" si="223"/>
        <v>卡卡杜企业店（视频号）</v>
      </c>
      <c r="H701" s="1" t="str">
        <f t="shared" si="201"/>
        <v>正常订单</v>
      </c>
      <c r="I701" s="1" t="str">
        <f t="shared" si="202"/>
        <v>已发货</v>
      </c>
      <c r="J701" s="1" t="str">
        <f t="shared" ref="J701:J704" si="224">"3"</f>
        <v>3</v>
      </c>
      <c r="K701" s="1">
        <v>3</v>
      </c>
      <c r="L701" s="1" t="s">
        <v>16</v>
      </c>
      <c r="M701" s="1" t="str">
        <f>"河北省 秦皇岛市 海港区 "</f>
        <v xml:space="preserve">河北省 秦皇岛市 海港区 </v>
      </c>
      <c r="N701" s="1" t="str">
        <f t="shared" si="221"/>
        <v>凡华云仓-城南圆通-微信视频号</v>
      </c>
      <c r="O701" s="5" t="s">
        <v>739</v>
      </c>
      <c r="P701" s="6">
        <v>0.34</v>
      </c>
      <c r="Q701" s="11">
        <v>2.2999999999999998</v>
      </c>
      <c r="R701" s="11"/>
      <c r="S701" s="11"/>
      <c r="T701" s="11"/>
      <c r="U701" s="11">
        <f t="shared" si="205"/>
        <v>2.2999999999999998</v>
      </c>
      <c r="W701">
        <v>2.5</v>
      </c>
      <c r="X701" s="1" t="s">
        <v>16</v>
      </c>
    </row>
    <row r="702" spans="1:24" x14ac:dyDescent="0.25">
      <c r="A702" s="1" t="str">
        <f t="shared" si="198"/>
        <v>卡卡杜-凤凰仓</v>
      </c>
      <c r="B702" s="1" t="str">
        <f>"CK2024103081"</f>
        <v>CK2024103081</v>
      </c>
      <c r="C702" s="1" t="str">
        <f>"DD2024103035331"</f>
        <v>DD2024103035331</v>
      </c>
      <c r="D702" s="1" t="str">
        <f>"CK2024103035762"</f>
        <v>CK2024103035762</v>
      </c>
      <c r="E702" s="1" t="str">
        <f>"3723653051510821888"</f>
        <v>3723653051510821888</v>
      </c>
      <c r="F702" s="1" t="str">
        <f t="shared" si="199"/>
        <v>花都四部-凤凰仓</v>
      </c>
      <c r="G702" s="1" t="str">
        <f t="shared" si="223"/>
        <v>卡卡杜企业店（视频号）</v>
      </c>
      <c r="H702" s="1" t="str">
        <f t="shared" si="201"/>
        <v>正常订单</v>
      </c>
      <c r="I702" s="1" t="str">
        <f t="shared" si="202"/>
        <v>已发货</v>
      </c>
      <c r="J702" s="1" t="str">
        <f t="shared" si="224"/>
        <v>3</v>
      </c>
      <c r="K702" s="1">
        <v>3</v>
      </c>
      <c r="L702" s="1" t="s">
        <v>740</v>
      </c>
      <c r="M702" s="1" t="str">
        <f>"宁夏回族自治区 银川市 金凤区 "</f>
        <v xml:space="preserve">宁夏回族自治区 银川市 金凤区 </v>
      </c>
      <c r="N702" s="1" t="str">
        <f t="shared" si="221"/>
        <v>凡华云仓-城南圆通-微信视频号</v>
      </c>
      <c r="O702" s="5" t="s">
        <v>741</v>
      </c>
      <c r="P702" s="6">
        <v>0.34</v>
      </c>
      <c r="Q702" s="11">
        <v>2.2999999999999998</v>
      </c>
      <c r="R702" s="11"/>
      <c r="S702" s="11"/>
      <c r="T702" s="11"/>
      <c r="U702" s="11">
        <f t="shared" si="205"/>
        <v>2.2999999999999998</v>
      </c>
      <c r="W702">
        <v>2.5</v>
      </c>
      <c r="X702" s="1" t="s">
        <v>740</v>
      </c>
    </row>
    <row r="703" spans="1:24" x14ac:dyDescent="0.25">
      <c r="A703" s="1" t="str">
        <f t="shared" si="198"/>
        <v>卡卡杜-凤凰仓</v>
      </c>
      <c r="B703" s="1" t="str">
        <f>"CK2024103083"</f>
        <v>CK2024103083</v>
      </c>
      <c r="C703" s="1" t="str">
        <f>"DD2024103035345"</f>
        <v>DD2024103035345</v>
      </c>
      <c r="D703" s="1" t="str">
        <f>"CK2024103035761"</f>
        <v>CK2024103035761</v>
      </c>
      <c r="E703" s="1" t="str">
        <f>"3723652975810187264"</f>
        <v>3723652975810187264</v>
      </c>
      <c r="F703" s="1" t="str">
        <f t="shared" si="199"/>
        <v>花都四部-凤凰仓</v>
      </c>
      <c r="G703" s="1" t="str">
        <f t="shared" si="223"/>
        <v>卡卡杜企业店（视频号）</v>
      </c>
      <c r="H703" s="1" t="str">
        <f t="shared" si="201"/>
        <v>正常订单</v>
      </c>
      <c r="I703" s="1" t="str">
        <f t="shared" si="202"/>
        <v>已发货</v>
      </c>
      <c r="J703" s="1" t="str">
        <f t="shared" ref="J703:J707" si="225">"2"</f>
        <v>2</v>
      </c>
      <c r="K703" s="1">
        <v>2</v>
      </c>
      <c r="L703" s="1" t="s">
        <v>18</v>
      </c>
      <c r="M703" s="1" t="str">
        <f>"广东省 东莞市 常平镇 "</f>
        <v xml:space="preserve">广东省 东莞市 常平镇 </v>
      </c>
      <c r="N703" s="1" t="str">
        <f t="shared" si="221"/>
        <v>凡华云仓-城南圆通-微信视频号</v>
      </c>
      <c r="O703" s="5" t="s">
        <v>742</v>
      </c>
      <c r="P703" s="6">
        <v>0.17</v>
      </c>
      <c r="Q703" s="11">
        <v>2</v>
      </c>
      <c r="R703" s="11"/>
      <c r="S703" s="11"/>
      <c r="T703" s="11"/>
      <c r="U703" s="11">
        <f t="shared" si="205"/>
        <v>2</v>
      </c>
      <c r="W703">
        <v>2.2000000000000002</v>
      </c>
      <c r="X703" s="1" t="s">
        <v>18</v>
      </c>
    </row>
    <row r="704" spans="1:24" x14ac:dyDescent="0.25">
      <c r="A704" s="1" t="str">
        <f t="shared" si="198"/>
        <v>卡卡杜-凤凰仓</v>
      </c>
      <c r="B704" s="1" t="str">
        <f>"CK2024103070"</f>
        <v>CK2024103070</v>
      </c>
      <c r="C704" s="1" t="str">
        <f>"DD2024103035321"</f>
        <v>DD2024103035321</v>
      </c>
      <c r="D704" s="1" t="str">
        <f>"CK2024103035760"</f>
        <v>CK2024103035760</v>
      </c>
      <c r="E704" s="1" t="str">
        <f>"3723652913931093248"</f>
        <v>3723652913931093248</v>
      </c>
      <c r="F704" s="1" t="str">
        <f t="shared" si="199"/>
        <v>花都四部-凤凰仓</v>
      </c>
      <c r="G704" s="1" t="str">
        <f t="shared" si="223"/>
        <v>卡卡杜企业店（视频号）</v>
      </c>
      <c r="H704" s="1" t="str">
        <f t="shared" si="201"/>
        <v>正常订单</v>
      </c>
      <c r="I704" s="1" t="str">
        <f t="shared" si="202"/>
        <v>已发货</v>
      </c>
      <c r="J704" s="1" t="str">
        <f t="shared" si="224"/>
        <v>3</v>
      </c>
      <c r="K704" s="1">
        <v>3</v>
      </c>
      <c r="L704" s="1" t="s">
        <v>30</v>
      </c>
      <c r="M704" s="1" t="str">
        <f>"山东省 青岛市 市北区 "</f>
        <v xml:space="preserve">山东省 青岛市 市北区 </v>
      </c>
      <c r="N704" s="1" t="str">
        <f t="shared" si="221"/>
        <v>凡华云仓-城南圆通-微信视频号</v>
      </c>
      <c r="O704" s="5" t="s">
        <v>743</v>
      </c>
      <c r="P704" s="6">
        <v>0.34</v>
      </c>
      <c r="Q704" s="11">
        <v>2.2999999999999998</v>
      </c>
      <c r="R704" s="11"/>
      <c r="S704" s="11"/>
      <c r="T704" s="11"/>
      <c r="U704" s="11">
        <f t="shared" si="205"/>
        <v>2.2999999999999998</v>
      </c>
      <c r="W704">
        <v>2.5</v>
      </c>
      <c r="X704" s="1" t="s">
        <v>30</v>
      </c>
    </row>
    <row r="705" spans="1:24" x14ac:dyDescent="0.25">
      <c r="A705" s="1" t="str">
        <f t="shared" si="198"/>
        <v>卡卡杜-凤凰仓</v>
      </c>
      <c r="B705" s="1" t="str">
        <f>"CK2024103084"</f>
        <v>CK2024103084</v>
      </c>
      <c r="C705" s="1" t="str">
        <f>"DD2024103035344"</f>
        <v>DD2024103035344</v>
      </c>
      <c r="D705" s="1" t="str">
        <f>"CK2024103035759"</f>
        <v>CK2024103035759</v>
      </c>
      <c r="E705" s="1" t="str">
        <f>"3723652817914563584"</f>
        <v>3723652817914563584</v>
      </c>
      <c r="F705" s="1" t="str">
        <f t="shared" si="199"/>
        <v>花都四部-凤凰仓</v>
      </c>
      <c r="G705" s="1" t="str">
        <f t="shared" si="223"/>
        <v>卡卡杜企业店（视频号）</v>
      </c>
      <c r="H705" s="1" t="str">
        <f t="shared" si="201"/>
        <v>正常订单</v>
      </c>
      <c r="I705" s="1" t="str">
        <f t="shared" si="202"/>
        <v>已发货</v>
      </c>
      <c r="J705" s="1" t="str">
        <f t="shared" si="225"/>
        <v>2</v>
      </c>
      <c r="K705" s="1">
        <v>2</v>
      </c>
      <c r="L705" s="1" t="s">
        <v>16</v>
      </c>
      <c r="M705" s="1" t="str">
        <f>"河北省 石家庄市 裕华区 "</f>
        <v xml:space="preserve">河北省 石家庄市 裕华区 </v>
      </c>
      <c r="N705" s="1" t="str">
        <f t="shared" si="221"/>
        <v>凡华云仓-城南圆通-微信视频号</v>
      </c>
      <c r="O705" s="5" t="s">
        <v>744</v>
      </c>
      <c r="P705" s="6">
        <v>0.17</v>
      </c>
      <c r="Q705" s="11">
        <v>2</v>
      </c>
      <c r="R705" s="11"/>
      <c r="S705" s="11"/>
      <c r="T705" s="11"/>
      <c r="U705" s="11">
        <f t="shared" si="205"/>
        <v>2</v>
      </c>
      <c r="W705">
        <v>2.2000000000000002</v>
      </c>
      <c r="X705" s="1" t="s">
        <v>16</v>
      </c>
    </row>
    <row r="706" spans="1:24" x14ac:dyDescent="0.25">
      <c r="A706" s="1" t="str">
        <f t="shared" ref="A706:A769" si="226">"卡卡杜-凤凰仓"</f>
        <v>卡卡杜-凤凰仓</v>
      </c>
      <c r="B706" s="1" t="str">
        <f>"CK2024103086"</f>
        <v>CK2024103086</v>
      </c>
      <c r="C706" s="1" t="str">
        <f>"DD2024103035346"</f>
        <v>DD2024103035346</v>
      </c>
      <c r="D706" s="1" t="str">
        <f>"CK2024103035758"</f>
        <v>CK2024103035758</v>
      </c>
      <c r="E706" s="1" t="str">
        <f>"3723652761527129088"</f>
        <v>3723652761527129088</v>
      </c>
      <c r="F706" s="1" t="str">
        <f t="shared" ref="F706:F769" si="227">"花都四部-凤凰仓"</f>
        <v>花都四部-凤凰仓</v>
      </c>
      <c r="G706" s="1" t="str">
        <f t="shared" si="223"/>
        <v>卡卡杜企业店（视频号）</v>
      </c>
      <c r="H706" s="1" t="str">
        <f t="shared" ref="H706:H769" si="228">"正常订单"</f>
        <v>正常订单</v>
      </c>
      <c r="I706" s="1" t="str">
        <f t="shared" ref="I706:I769" si="229">"已发货"</f>
        <v>已发货</v>
      </c>
      <c r="J706" s="1" t="str">
        <f t="shared" si="225"/>
        <v>2</v>
      </c>
      <c r="K706" s="1">
        <v>2</v>
      </c>
      <c r="L706" s="1" t="s">
        <v>105</v>
      </c>
      <c r="M706" s="1" t="str">
        <f>"北京 北京市 朝阳区 "</f>
        <v xml:space="preserve">北京 北京市 朝阳区 </v>
      </c>
      <c r="N706" s="1" t="str">
        <f t="shared" si="221"/>
        <v>凡华云仓-城南圆通-微信视频号</v>
      </c>
      <c r="O706" s="5" t="s">
        <v>745</v>
      </c>
      <c r="P706" s="6">
        <v>0.17</v>
      </c>
      <c r="Q706" s="11">
        <v>2</v>
      </c>
      <c r="R706" s="11"/>
      <c r="S706" s="11"/>
      <c r="T706" s="11"/>
      <c r="U706" s="11">
        <f t="shared" si="205"/>
        <v>2</v>
      </c>
      <c r="W706">
        <v>2.2000000000000002</v>
      </c>
      <c r="X706" s="1" t="s">
        <v>105</v>
      </c>
    </row>
    <row r="707" spans="1:24" x14ac:dyDescent="0.25">
      <c r="A707" s="1" t="str">
        <f t="shared" si="226"/>
        <v>卡卡杜-凤凰仓</v>
      </c>
      <c r="B707" s="1" t="str">
        <f>"CK2024103085"</f>
        <v>CK2024103085</v>
      </c>
      <c r="C707" s="1" t="str">
        <f>"DD2024103035347"</f>
        <v>DD2024103035347</v>
      </c>
      <c r="D707" s="1" t="str">
        <f>"CK2024103035757"</f>
        <v>CK2024103035757</v>
      </c>
      <c r="E707" s="1" t="str">
        <f>"3723652766758474752"</f>
        <v>3723652766758474752</v>
      </c>
      <c r="F707" s="1" t="str">
        <f t="shared" si="227"/>
        <v>花都四部-凤凰仓</v>
      </c>
      <c r="G707" s="1" t="str">
        <f t="shared" si="223"/>
        <v>卡卡杜企业店（视频号）</v>
      </c>
      <c r="H707" s="1" t="str">
        <f t="shared" si="228"/>
        <v>正常订单</v>
      </c>
      <c r="I707" s="1" t="str">
        <f t="shared" si="229"/>
        <v>已发货</v>
      </c>
      <c r="J707" s="1" t="str">
        <f t="shared" si="225"/>
        <v>2</v>
      </c>
      <c r="K707" s="1">
        <v>2</v>
      </c>
      <c r="L707" s="1" t="s">
        <v>96</v>
      </c>
      <c r="M707" s="1" t="str">
        <f>"广西壮族自治区 柳州市 柳南区 "</f>
        <v xml:space="preserve">广西壮族自治区 柳州市 柳南区 </v>
      </c>
      <c r="N707" s="1" t="str">
        <f t="shared" si="221"/>
        <v>凡华云仓-城南圆通-微信视频号</v>
      </c>
      <c r="O707" s="5" t="s">
        <v>746</v>
      </c>
      <c r="P707" s="6">
        <v>0.17</v>
      </c>
      <c r="Q707" s="11">
        <v>2</v>
      </c>
      <c r="R707" s="11"/>
      <c r="S707" s="11"/>
      <c r="T707" s="11"/>
      <c r="U707" s="11">
        <f t="shared" ref="U707:U770" si="230">T707+S707+R707+Q707</f>
        <v>2</v>
      </c>
      <c r="W707">
        <v>2.2000000000000002</v>
      </c>
      <c r="X707" s="1" t="s">
        <v>96</v>
      </c>
    </row>
    <row r="708" spans="1:24" x14ac:dyDescent="0.25">
      <c r="A708" s="1" t="str">
        <f t="shared" si="226"/>
        <v>卡卡杜-凤凰仓</v>
      </c>
      <c r="B708" s="1" t="str">
        <f>"CK2024103039"</f>
        <v>CK2024103039</v>
      </c>
      <c r="C708" s="1" t="str">
        <f>"DD2024103035290"</f>
        <v>DD2024103035290</v>
      </c>
      <c r="D708" s="1" t="str">
        <f>"CK2024103035756"</f>
        <v>CK2024103035756</v>
      </c>
      <c r="E708" s="1" t="str">
        <f>"3723652757839545600"</f>
        <v>3723652757839545600</v>
      </c>
      <c r="F708" s="1" t="str">
        <f t="shared" si="227"/>
        <v>花都四部-凤凰仓</v>
      </c>
      <c r="G708" s="1" t="str">
        <f t="shared" si="223"/>
        <v>卡卡杜企业店（视频号）</v>
      </c>
      <c r="H708" s="1" t="str">
        <f t="shared" si="228"/>
        <v>正常订单</v>
      </c>
      <c r="I708" s="1" t="str">
        <f t="shared" si="229"/>
        <v>已发货</v>
      </c>
      <c r="J708" s="1" t="str">
        <f>"3"</f>
        <v>3</v>
      </c>
      <c r="K708" s="1">
        <v>2</v>
      </c>
      <c r="L708" s="1" t="s">
        <v>66</v>
      </c>
      <c r="M708" s="1" t="str">
        <f>"内蒙古自治区 呼和浩特市 赛罕区 "</f>
        <v xml:space="preserve">内蒙古自治区 呼和浩特市 赛罕区 </v>
      </c>
      <c r="N708" s="1" t="str">
        <f t="shared" si="221"/>
        <v>凡华云仓-城南圆通-微信视频号</v>
      </c>
      <c r="O708" s="5" t="s">
        <v>747</v>
      </c>
      <c r="P708" s="6">
        <v>0.24</v>
      </c>
      <c r="Q708" s="11">
        <v>2</v>
      </c>
      <c r="R708" s="11"/>
      <c r="S708" s="11"/>
      <c r="T708" s="11"/>
      <c r="U708" s="11">
        <f t="shared" si="230"/>
        <v>2</v>
      </c>
      <c r="W708">
        <v>2.2000000000000002</v>
      </c>
      <c r="X708" s="1" t="s">
        <v>66</v>
      </c>
    </row>
    <row r="709" spans="1:24" x14ac:dyDescent="0.25">
      <c r="A709" s="1" t="str">
        <f t="shared" si="226"/>
        <v>卡卡杜-凤凰仓</v>
      </c>
      <c r="B709" s="1" t="str">
        <f>"CK2024103087"</f>
        <v>CK2024103087</v>
      </c>
      <c r="C709" s="1" t="str">
        <f>"DD2024103035343"</f>
        <v>DD2024103035343</v>
      </c>
      <c r="D709" s="1" t="str">
        <f>"CK2024103035755"</f>
        <v>CK2024103035755</v>
      </c>
      <c r="E709" s="1" t="str">
        <f>"3723652756373378048"</f>
        <v>3723652756373378048</v>
      </c>
      <c r="F709" s="1" t="str">
        <f t="shared" si="227"/>
        <v>花都四部-凤凰仓</v>
      </c>
      <c r="G709" s="1" t="str">
        <f t="shared" si="223"/>
        <v>卡卡杜企业店（视频号）</v>
      </c>
      <c r="H709" s="1" t="str">
        <f t="shared" si="228"/>
        <v>正常订单</v>
      </c>
      <c r="I709" s="1" t="str">
        <f t="shared" si="229"/>
        <v>已发货</v>
      </c>
      <c r="J709" s="1" t="str">
        <f t="shared" ref="J709:J712" si="231">"2"</f>
        <v>2</v>
      </c>
      <c r="K709" s="1">
        <v>2</v>
      </c>
      <c r="L709" s="1" t="s">
        <v>54</v>
      </c>
      <c r="M709" s="1" t="str">
        <f>"黑龙江省 佳木斯市 桦川县 "</f>
        <v xml:space="preserve">黑龙江省 佳木斯市 桦川县 </v>
      </c>
      <c r="N709" s="1" t="str">
        <f t="shared" si="221"/>
        <v>凡华云仓-城南圆通-微信视频号</v>
      </c>
      <c r="O709" s="5" t="s">
        <v>748</v>
      </c>
      <c r="P709" s="6">
        <v>0.17</v>
      </c>
      <c r="Q709" s="11">
        <v>2</v>
      </c>
      <c r="R709" s="11"/>
      <c r="S709" s="11"/>
      <c r="T709" s="11"/>
      <c r="U709" s="11">
        <f t="shared" si="230"/>
        <v>2</v>
      </c>
      <c r="W709">
        <v>2.2000000000000002</v>
      </c>
      <c r="X709" s="1" t="s">
        <v>54</v>
      </c>
    </row>
    <row r="710" spans="1:24" x14ac:dyDescent="0.25">
      <c r="A710" s="1" t="str">
        <f t="shared" si="226"/>
        <v>卡卡杜-凤凰仓</v>
      </c>
      <c r="B710" s="1" t="str">
        <f>"CK2024103089"</f>
        <v>CK2024103089</v>
      </c>
      <c r="C710" s="1" t="str">
        <f>"DD2024103035348"</f>
        <v>DD2024103035348</v>
      </c>
      <c r="D710" s="1" t="str">
        <f>"CK2024103035754"</f>
        <v>CK2024103035754</v>
      </c>
      <c r="E710" s="1" t="str">
        <f>"3723652754151445505"</f>
        <v>3723652754151445505</v>
      </c>
      <c r="F710" s="1" t="str">
        <f t="shared" si="227"/>
        <v>花都四部-凤凰仓</v>
      </c>
      <c r="G710" s="1" t="str">
        <f t="shared" si="223"/>
        <v>卡卡杜企业店（视频号）</v>
      </c>
      <c r="H710" s="1" t="str">
        <f t="shared" si="228"/>
        <v>正常订单</v>
      </c>
      <c r="I710" s="1" t="str">
        <f t="shared" si="229"/>
        <v>已发货</v>
      </c>
      <c r="J710" s="1" t="str">
        <f t="shared" si="231"/>
        <v>2</v>
      </c>
      <c r="K710" s="1">
        <v>2</v>
      </c>
      <c r="L710" s="1" t="s">
        <v>740</v>
      </c>
      <c r="M710" s="1" t="str">
        <f>"宁夏回族自治区 银川市 兴庆区 "</f>
        <v xml:space="preserve">宁夏回族自治区 银川市 兴庆区 </v>
      </c>
      <c r="N710" s="1" t="str">
        <f t="shared" si="221"/>
        <v>凡华云仓-城南圆通-微信视频号</v>
      </c>
      <c r="O710" s="5" t="s">
        <v>749</v>
      </c>
      <c r="P710" s="6">
        <v>0.17</v>
      </c>
      <c r="Q710" s="11">
        <v>2</v>
      </c>
      <c r="R710" s="11"/>
      <c r="S710" s="11"/>
      <c r="T710" s="11"/>
      <c r="U710" s="11">
        <f t="shared" si="230"/>
        <v>2</v>
      </c>
      <c r="W710">
        <v>2.2000000000000002</v>
      </c>
      <c r="X710" s="1" t="s">
        <v>740</v>
      </c>
    </row>
    <row r="711" spans="1:24" x14ac:dyDescent="0.25">
      <c r="A711" s="1" t="str">
        <f t="shared" si="226"/>
        <v>卡卡杜-凤凰仓</v>
      </c>
      <c r="B711" s="1" t="str">
        <f>"CK2024103088"</f>
        <v>CK2024103088</v>
      </c>
      <c r="C711" s="1" t="str">
        <f>"DD2024103035349"</f>
        <v>DD2024103035349</v>
      </c>
      <c r="D711" s="1" t="str">
        <f>"CK2024103035753"</f>
        <v>CK2024103035753</v>
      </c>
      <c r="E711" s="1" t="str">
        <f>"3723652754280682497"</f>
        <v>3723652754280682497</v>
      </c>
      <c r="F711" s="1" t="str">
        <f t="shared" si="227"/>
        <v>花都四部-凤凰仓</v>
      </c>
      <c r="G711" s="1" t="str">
        <f t="shared" si="223"/>
        <v>卡卡杜企业店（视频号）</v>
      </c>
      <c r="H711" s="1" t="str">
        <f t="shared" si="228"/>
        <v>正常订单</v>
      </c>
      <c r="I711" s="1" t="str">
        <f t="shared" si="229"/>
        <v>已发货</v>
      </c>
      <c r="J711" s="1" t="str">
        <f t="shared" si="231"/>
        <v>2</v>
      </c>
      <c r="K711" s="1">
        <v>2</v>
      </c>
      <c r="L711" s="1" t="s">
        <v>74</v>
      </c>
      <c r="M711" s="1" t="str">
        <f>"上海 上海市 浦东新区 "</f>
        <v xml:space="preserve">上海 上海市 浦东新区 </v>
      </c>
      <c r="N711" s="1" t="str">
        <f t="shared" si="221"/>
        <v>凡华云仓-城南圆通-微信视频号</v>
      </c>
      <c r="O711" s="5" t="s">
        <v>750</v>
      </c>
      <c r="P711" s="6">
        <v>0.17</v>
      </c>
      <c r="Q711" s="11">
        <v>2</v>
      </c>
      <c r="R711" s="11"/>
      <c r="S711" s="11"/>
      <c r="T711" s="11"/>
      <c r="U711" s="11">
        <f t="shared" si="230"/>
        <v>2</v>
      </c>
      <c r="W711">
        <v>2.2000000000000002</v>
      </c>
      <c r="X711" s="1" t="s">
        <v>74</v>
      </c>
    </row>
    <row r="712" spans="1:24" x14ac:dyDescent="0.25">
      <c r="A712" s="1" t="str">
        <f t="shared" si="226"/>
        <v>卡卡杜-凤凰仓</v>
      </c>
      <c r="B712" s="1" t="str">
        <f>"CK2024103090"</f>
        <v>CK2024103090</v>
      </c>
      <c r="C712" s="1" t="str">
        <f>"DD2024103035351"</f>
        <v>DD2024103035351</v>
      </c>
      <c r="D712" s="1" t="str">
        <f>"CK2024103035752"</f>
        <v>CK2024103035752</v>
      </c>
      <c r="E712" s="1" t="str">
        <f>"3723652747352478720"</f>
        <v>3723652747352478720</v>
      </c>
      <c r="F712" s="1" t="str">
        <f t="shared" si="227"/>
        <v>花都四部-凤凰仓</v>
      </c>
      <c r="G712" s="1" t="str">
        <f t="shared" si="223"/>
        <v>卡卡杜企业店（视频号）</v>
      </c>
      <c r="H712" s="1" t="str">
        <f t="shared" si="228"/>
        <v>正常订单</v>
      </c>
      <c r="I712" s="1" t="str">
        <f t="shared" si="229"/>
        <v>已发货</v>
      </c>
      <c r="J712" s="1" t="str">
        <f t="shared" si="231"/>
        <v>2</v>
      </c>
      <c r="K712" s="1">
        <v>2</v>
      </c>
      <c r="L712" s="1" t="s">
        <v>92</v>
      </c>
      <c r="M712" s="1" t="str">
        <f>"辽宁省 大连市 中山区 "</f>
        <v xml:space="preserve">辽宁省 大连市 中山区 </v>
      </c>
      <c r="N712" s="1" t="str">
        <f t="shared" si="221"/>
        <v>凡华云仓-城南圆通-微信视频号</v>
      </c>
      <c r="O712" s="5" t="s">
        <v>751</v>
      </c>
      <c r="P712" s="6">
        <v>0.17</v>
      </c>
      <c r="Q712" s="11">
        <v>2</v>
      </c>
      <c r="R712" s="11"/>
      <c r="S712" s="11"/>
      <c r="T712" s="11"/>
      <c r="U712" s="11">
        <f t="shared" si="230"/>
        <v>2</v>
      </c>
      <c r="W712">
        <v>2.2000000000000002</v>
      </c>
      <c r="X712" s="1" t="s">
        <v>92</v>
      </c>
    </row>
    <row r="713" spans="1:24" x14ac:dyDescent="0.25">
      <c r="A713" s="1" t="str">
        <f t="shared" si="226"/>
        <v>卡卡杜-凤凰仓</v>
      </c>
      <c r="B713" s="1" t="str">
        <f>"CK2024103038"</f>
        <v>CK2024103038</v>
      </c>
      <c r="C713" s="1" t="str">
        <f>"DD2024103035289"</f>
        <v>DD2024103035289</v>
      </c>
      <c r="D713" s="1" t="str">
        <f>"CK2024103035751"</f>
        <v>CK2024103035751</v>
      </c>
      <c r="E713" s="1" t="str">
        <f>"3723652743783122432"</f>
        <v>3723652743783122432</v>
      </c>
      <c r="F713" s="1" t="str">
        <f t="shared" si="227"/>
        <v>花都四部-凤凰仓</v>
      </c>
      <c r="G713" s="1" t="str">
        <f t="shared" si="223"/>
        <v>卡卡杜企业店（视频号）</v>
      </c>
      <c r="H713" s="1" t="str">
        <f t="shared" si="228"/>
        <v>正常订单</v>
      </c>
      <c r="I713" s="1" t="str">
        <f t="shared" si="229"/>
        <v>已发货</v>
      </c>
      <c r="J713" s="1" t="str">
        <f>"3"</f>
        <v>3</v>
      </c>
      <c r="K713" s="1">
        <v>2</v>
      </c>
      <c r="L713" s="1" t="s">
        <v>187</v>
      </c>
      <c r="M713" s="1" t="str">
        <f>"吉林省 松原市 宁江区 "</f>
        <v xml:space="preserve">吉林省 松原市 宁江区 </v>
      </c>
      <c r="N713" s="1" t="str">
        <f t="shared" si="221"/>
        <v>凡华云仓-城南圆通-微信视频号</v>
      </c>
      <c r="O713" s="5" t="s">
        <v>752</v>
      </c>
      <c r="P713" s="6">
        <v>0.24</v>
      </c>
      <c r="Q713" s="11">
        <v>2</v>
      </c>
      <c r="R713" s="11"/>
      <c r="S713" s="11"/>
      <c r="T713" s="11"/>
      <c r="U713" s="11">
        <f t="shared" si="230"/>
        <v>2</v>
      </c>
      <c r="W713">
        <v>2.2000000000000002</v>
      </c>
      <c r="X713" s="1" t="s">
        <v>187</v>
      </c>
    </row>
    <row r="714" spans="1:24" x14ac:dyDescent="0.25">
      <c r="A714" s="1" t="str">
        <f t="shared" si="226"/>
        <v>卡卡杜-凤凰仓</v>
      </c>
      <c r="B714" s="1" t="str">
        <f>"CK2024103032"</f>
        <v>CK2024103032</v>
      </c>
      <c r="C714" s="1" t="str">
        <f>"DD2024103035281"</f>
        <v>DD2024103035281</v>
      </c>
      <c r="D714" s="1" t="str">
        <f>"CK2024103035750"</f>
        <v>CK2024103035750</v>
      </c>
      <c r="E714" s="1" t="str">
        <f>"3723652741237442048"</f>
        <v>3723652741237442048</v>
      </c>
      <c r="F714" s="1" t="str">
        <f t="shared" si="227"/>
        <v>花都四部-凤凰仓</v>
      </c>
      <c r="G714" s="1" t="str">
        <f t="shared" si="223"/>
        <v>卡卡杜企业店（视频号）</v>
      </c>
      <c r="H714" s="1" t="str">
        <f t="shared" si="228"/>
        <v>正常订单</v>
      </c>
      <c r="I714" s="1" t="str">
        <f t="shared" si="229"/>
        <v>已发货</v>
      </c>
      <c r="J714" s="1" t="str">
        <f>"3"</f>
        <v>3</v>
      </c>
      <c r="K714" s="1">
        <v>2</v>
      </c>
      <c r="L714" s="1" t="s">
        <v>52</v>
      </c>
      <c r="M714" s="1" t="str">
        <f>"甘肃省 兰州市 城关区 "</f>
        <v xml:space="preserve">甘肃省 兰州市 城关区 </v>
      </c>
      <c r="N714" s="1" t="str">
        <f t="shared" si="221"/>
        <v>凡华云仓-城南圆通-微信视频号</v>
      </c>
      <c r="O714" s="5" t="s">
        <v>753</v>
      </c>
      <c r="P714" s="6">
        <v>0.24</v>
      </c>
      <c r="Q714" s="11">
        <v>2</v>
      </c>
      <c r="R714" s="11"/>
      <c r="S714" s="11"/>
      <c r="T714" s="11"/>
      <c r="U714" s="11">
        <f t="shared" si="230"/>
        <v>2</v>
      </c>
      <c r="W714">
        <v>2.2000000000000002</v>
      </c>
      <c r="X714" s="1" t="s">
        <v>52</v>
      </c>
    </row>
    <row r="715" spans="1:24" x14ac:dyDescent="0.25">
      <c r="A715" s="1" t="str">
        <f t="shared" si="226"/>
        <v>卡卡杜-凤凰仓</v>
      </c>
      <c r="B715" s="1" t="str">
        <f>"CK2024103091"</f>
        <v>CK2024103091</v>
      </c>
      <c r="C715" s="1" t="str">
        <f>"DD2024103035352"</f>
        <v>DD2024103035352</v>
      </c>
      <c r="D715" s="1" t="str">
        <f>"CK2024103035749"</f>
        <v>CK2024103035749</v>
      </c>
      <c r="E715" s="1" t="str">
        <f>"3723652740611443712"</f>
        <v>3723652740611443712</v>
      </c>
      <c r="F715" s="1" t="str">
        <f t="shared" si="227"/>
        <v>花都四部-凤凰仓</v>
      </c>
      <c r="G715" s="1" t="str">
        <f t="shared" si="223"/>
        <v>卡卡杜企业店（视频号）</v>
      </c>
      <c r="H715" s="1" t="str">
        <f t="shared" si="228"/>
        <v>正常订单</v>
      </c>
      <c r="I715" s="1" t="str">
        <f t="shared" si="229"/>
        <v>已发货</v>
      </c>
      <c r="J715" s="1" t="str">
        <f t="shared" ref="J715:J718" si="232">"2"</f>
        <v>2</v>
      </c>
      <c r="K715" s="1">
        <v>2</v>
      </c>
      <c r="L715" s="1" t="s">
        <v>105</v>
      </c>
      <c r="M715" s="1" t="str">
        <f>"北京 北京市 大兴区 "</f>
        <v xml:space="preserve">北京 北京市 大兴区 </v>
      </c>
      <c r="N715" s="1" t="str">
        <f t="shared" si="221"/>
        <v>凡华云仓-城南圆通-微信视频号</v>
      </c>
      <c r="O715" s="5" t="s">
        <v>754</v>
      </c>
      <c r="P715" s="6">
        <v>0.17</v>
      </c>
      <c r="Q715" s="11">
        <v>2</v>
      </c>
      <c r="R715" s="11"/>
      <c r="S715" s="11"/>
      <c r="T715" s="11"/>
      <c r="U715" s="11">
        <f t="shared" si="230"/>
        <v>2</v>
      </c>
      <c r="W715">
        <v>2.2000000000000002</v>
      </c>
      <c r="X715" s="1" t="s">
        <v>105</v>
      </c>
    </row>
    <row r="716" spans="1:24" x14ac:dyDescent="0.25">
      <c r="A716" s="1" t="str">
        <f t="shared" si="226"/>
        <v>卡卡杜-凤凰仓</v>
      </c>
      <c r="B716" s="1" t="str">
        <f>"CK2024103092"</f>
        <v>CK2024103092</v>
      </c>
      <c r="C716" s="1" t="str">
        <f>"DD2024103035350"</f>
        <v>DD2024103035350</v>
      </c>
      <c r="D716" s="1" t="str">
        <f>"CK2024103035748"</f>
        <v>CK2024103035748</v>
      </c>
      <c r="E716" s="1" t="str">
        <f>"3723652742437800960"</f>
        <v>3723652742437800960</v>
      </c>
      <c r="F716" s="1" t="str">
        <f t="shared" si="227"/>
        <v>花都四部-凤凰仓</v>
      </c>
      <c r="G716" s="1" t="str">
        <f t="shared" si="223"/>
        <v>卡卡杜企业店（视频号）</v>
      </c>
      <c r="H716" s="1" t="str">
        <f t="shared" si="228"/>
        <v>正常订单</v>
      </c>
      <c r="I716" s="1" t="str">
        <f t="shared" si="229"/>
        <v>已发货</v>
      </c>
      <c r="J716" s="1" t="str">
        <f t="shared" si="232"/>
        <v>2</v>
      </c>
      <c r="K716" s="1">
        <v>2</v>
      </c>
      <c r="L716" s="1" t="s">
        <v>105</v>
      </c>
      <c r="M716" s="1" t="str">
        <f>"北京 北京市 昌平区 "</f>
        <v xml:space="preserve">北京 北京市 昌平区 </v>
      </c>
      <c r="N716" s="1" t="str">
        <f t="shared" si="221"/>
        <v>凡华云仓-城南圆通-微信视频号</v>
      </c>
      <c r="O716" s="5" t="s">
        <v>755</v>
      </c>
      <c r="P716" s="6">
        <v>0.17</v>
      </c>
      <c r="Q716" s="11">
        <v>2</v>
      </c>
      <c r="R716" s="11"/>
      <c r="S716" s="11"/>
      <c r="T716" s="11"/>
      <c r="U716" s="11">
        <f t="shared" si="230"/>
        <v>2</v>
      </c>
      <c r="W716">
        <v>2.2000000000000002</v>
      </c>
      <c r="X716" s="1" t="s">
        <v>105</v>
      </c>
    </row>
    <row r="717" spans="1:24" x14ac:dyDescent="0.25">
      <c r="A717" s="1" t="str">
        <f t="shared" si="226"/>
        <v>卡卡杜-凤凰仓</v>
      </c>
      <c r="B717" s="1" t="str">
        <f>"CK2024103093"</f>
        <v>CK2024103093</v>
      </c>
      <c r="C717" s="1" t="str">
        <f>"DD2024103035353"</f>
        <v>DD2024103035353</v>
      </c>
      <c r="D717" s="1" t="str">
        <f>"CK2024103035747"</f>
        <v>CK2024103035747</v>
      </c>
      <c r="E717" s="1" t="str">
        <f>"3723652735764661504"</f>
        <v>3723652735764661504</v>
      </c>
      <c r="F717" s="1" t="str">
        <f t="shared" si="227"/>
        <v>花都四部-凤凰仓</v>
      </c>
      <c r="G717" s="1" t="str">
        <f t="shared" si="223"/>
        <v>卡卡杜企业店（视频号）</v>
      </c>
      <c r="H717" s="1" t="str">
        <f t="shared" si="228"/>
        <v>正常订单</v>
      </c>
      <c r="I717" s="1" t="str">
        <f t="shared" si="229"/>
        <v>已发货</v>
      </c>
      <c r="J717" s="1" t="str">
        <f t="shared" si="232"/>
        <v>2</v>
      </c>
      <c r="K717" s="1">
        <v>2</v>
      </c>
      <c r="L717" s="1" t="s">
        <v>18</v>
      </c>
      <c r="M717" s="1" t="str">
        <f>"广东省 深圳市 宝安区 "</f>
        <v xml:space="preserve">广东省 深圳市 宝安区 </v>
      </c>
      <c r="N717" s="1" t="str">
        <f t="shared" si="221"/>
        <v>凡华云仓-城南圆通-微信视频号</v>
      </c>
      <c r="O717" s="5" t="s">
        <v>756</v>
      </c>
      <c r="P717" s="6">
        <v>0.17</v>
      </c>
      <c r="Q717" s="11">
        <v>2</v>
      </c>
      <c r="R717" s="11"/>
      <c r="S717" s="11"/>
      <c r="T717" s="11"/>
      <c r="U717" s="11">
        <f t="shared" si="230"/>
        <v>2</v>
      </c>
      <c r="W717">
        <v>2.2000000000000002</v>
      </c>
      <c r="X717" s="1" t="s">
        <v>18</v>
      </c>
    </row>
    <row r="718" spans="1:24" x14ac:dyDescent="0.25">
      <c r="A718" s="1" t="str">
        <f t="shared" si="226"/>
        <v>卡卡杜-凤凰仓</v>
      </c>
      <c r="B718" s="1" t="str">
        <f>"CK2024103094"</f>
        <v>CK2024103094</v>
      </c>
      <c r="C718" s="1" t="str">
        <f>"DD2024103035354"</f>
        <v>DD2024103035354</v>
      </c>
      <c r="D718" s="1" t="str">
        <f>"CK2024103035746"</f>
        <v>CK2024103035746</v>
      </c>
      <c r="E718" s="1" t="str">
        <f>"3723652734867080448"</f>
        <v>3723652734867080448</v>
      </c>
      <c r="F718" s="1" t="str">
        <f t="shared" si="227"/>
        <v>花都四部-凤凰仓</v>
      </c>
      <c r="G718" s="1" t="str">
        <f t="shared" si="223"/>
        <v>卡卡杜企业店（视频号）</v>
      </c>
      <c r="H718" s="1" t="str">
        <f t="shared" si="228"/>
        <v>正常订单</v>
      </c>
      <c r="I718" s="1" t="str">
        <f t="shared" si="229"/>
        <v>已发货</v>
      </c>
      <c r="J718" s="1" t="str">
        <f t="shared" si="232"/>
        <v>2</v>
      </c>
      <c r="K718" s="1">
        <v>2</v>
      </c>
      <c r="L718" s="1" t="s">
        <v>41</v>
      </c>
      <c r="M718" s="1" t="str">
        <f>"湖北省 武汉市 黄陂区 "</f>
        <v xml:space="preserve">湖北省 武汉市 黄陂区 </v>
      </c>
      <c r="N718" s="1" t="str">
        <f t="shared" si="221"/>
        <v>凡华云仓-城南圆通-微信视频号</v>
      </c>
      <c r="O718" s="5" t="s">
        <v>757</v>
      </c>
      <c r="P718" s="6">
        <v>0.17</v>
      </c>
      <c r="Q718" s="11">
        <v>2</v>
      </c>
      <c r="R718" s="11"/>
      <c r="S718" s="11"/>
      <c r="T718" s="11"/>
      <c r="U718" s="11">
        <f t="shared" si="230"/>
        <v>2</v>
      </c>
      <c r="W718">
        <v>2.2000000000000002</v>
      </c>
      <c r="X718" s="1" t="s">
        <v>41</v>
      </c>
    </row>
    <row r="719" spans="1:24" x14ac:dyDescent="0.25">
      <c r="A719" s="1" t="str">
        <f t="shared" si="226"/>
        <v>卡卡杜-凤凰仓</v>
      </c>
      <c r="B719" s="1" t="str">
        <f>"CK2024103027"</f>
        <v>CK2024103027</v>
      </c>
      <c r="C719" s="1" t="str">
        <f>"DD2024103035278"</f>
        <v>DD2024103035278</v>
      </c>
      <c r="D719" s="1" t="str">
        <f>"CK2024103035745"</f>
        <v>CK2024103035745</v>
      </c>
      <c r="E719" s="1" t="str">
        <f>"3723652730778682624"</f>
        <v>3723652730778682624</v>
      </c>
      <c r="F719" s="1" t="str">
        <f t="shared" si="227"/>
        <v>花都四部-凤凰仓</v>
      </c>
      <c r="G719" s="1" t="str">
        <f t="shared" si="223"/>
        <v>卡卡杜企业店（视频号）</v>
      </c>
      <c r="H719" s="1" t="str">
        <f t="shared" si="228"/>
        <v>正常订单</v>
      </c>
      <c r="I719" s="1" t="str">
        <f t="shared" si="229"/>
        <v>已发货</v>
      </c>
      <c r="J719" s="1" t="str">
        <f t="shared" ref="J719:J722" si="233">"3"</f>
        <v>3</v>
      </c>
      <c r="K719" s="1">
        <v>2</v>
      </c>
      <c r="L719" s="1" t="s">
        <v>187</v>
      </c>
      <c r="M719" s="1" t="str">
        <f>"吉林省 长春市 南关区 "</f>
        <v xml:space="preserve">吉林省 长春市 南关区 </v>
      </c>
      <c r="N719" s="1" t="str">
        <f t="shared" si="221"/>
        <v>凡华云仓-城南圆通-微信视频号</v>
      </c>
      <c r="O719" s="5" t="s">
        <v>758</v>
      </c>
      <c r="P719" s="6">
        <v>0.24</v>
      </c>
      <c r="Q719" s="11">
        <v>2</v>
      </c>
      <c r="R719" s="11"/>
      <c r="S719" s="11"/>
      <c r="T719" s="11"/>
      <c r="U719" s="11">
        <f t="shared" si="230"/>
        <v>2</v>
      </c>
      <c r="W719">
        <v>2.2000000000000002</v>
      </c>
      <c r="X719" s="1" t="s">
        <v>187</v>
      </c>
    </row>
    <row r="720" spans="1:24" x14ac:dyDescent="0.25">
      <c r="A720" s="1" t="str">
        <f t="shared" si="226"/>
        <v>卡卡杜-凤凰仓</v>
      </c>
      <c r="B720" s="1" t="str">
        <f>"CK2024103095"</f>
        <v>CK2024103095</v>
      </c>
      <c r="C720" s="1" t="str">
        <f>"DD2024103035358"</f>
        <v>DD2024103035358</v>
      </c>
      <c r="D720" s="1" t="str">
        <f>"CK2024103035744"</f>
        <v>CK2024103035744</v>
      </c>
      <c r="E720" s="1" t="str">
        <f>"3723652725890483712"</f>
        <v>3723652725890483712</v>
      </c>
      <c r="F720" s="1" t="str">
        <f t="shared" si="227"/>
        <v>花都四部-凤凰仓</v>
      </c>
      <c r="G720" s="1" t="str">
        <f t="shared" si="223"/>
        <v>卡卡杜企业店（视频号）</v>
      </c>
      <c r="H720" s="1" t="str">
        <f t="shared" si="228"/>
        <v>正常订单</v>
      </c>
      <c r="I720" s="1" t="str">
        <f t="shared" si="229"/>
        <v>已发货</v>
      </c>
      <c r="J720" s="1" t="str">
        <f>"2"</f>
        <v>2</v>
      </c>
      <c r="K720" s="1">
        <v>2</v>
      </c>
      <c r="L720" s="1" t="s">
        <v>18</v>
      </c>
      <c r="M720" s="1" t="str">
        <f>"广东省 深圳市 罗湖区 "</f>
        <v xml:space="preserve">广东省 深圳市 罗湖区 </v>
      </c>
      <c r="N720" s="1" t="str">
        <f t="shared" si="221"/>
        <v>凡华云仓-城南圆通-微信视频号</v>
      </c>
      <c r="O720" s="5" t="s">
        <v>759</v>
      </c>
      <c r="P720" s="6">
        <v>0.17</v>
      </c>
      <c r="Q720" s="11">
        <v>2</v>
      </c>
      <c r="R720" s="11"/>
      <c r="S720" s="11"/>
      <c r="T720" s="11"/>
      <c r="U720" s="11">
        <f t="shared" si="230"/>
        <v>2</v>
      </c>
      <c r="W720">
        <v>2.2000000000000002</v>
      </c>
      <c r="X720" s="1" t="s">
        <v>18</v>
      </c>
    </row>
    <row r="721" spans="1:24" x14ac:dyDescent="0.25">
      <c r="A721" s="1" t="str">
        <f t="shared" si="226"/>
        <v>卡卡杜-凤凰仓</v>
      </c>
      <c r="B721" s="1" t="str">
        <f>"CK2024103040"</f>
        <v>CK2024103040</v>
      </c>
      <c r="C721" s="1" t="str">
        <f>"DD2024103035291"</f>
        <v>DD2024103035291</v>
      </c>
      <c r="D721" s="1" t="str">
        <f>"CK2024103035743"</f>
        <v>CK2024103035743</v>
      </c>
      <c r="E721" s="1" t="str">
        <f>"3723652688453700608"</f>
        <v>3723652688453700608</v>
      </c>
      <c r="F721" s="1" t="str">
        <f t="shared" si="227"/>
        <v>花都四部-凤凰仓</v>
      </c>
      <c r="G721" s="1" t="str">
        <f t="shared" si="223"/>
        <v>卡卡杜企业店（视频号）</v>
      </c>
      <c r="H721" s="1" t="str">
        <f t="shared" si="228"/>
        <v>正常订单</v>
      </c>
      <c r="I721" s="1" t="str">
        <f t="shared" si="229"/>
        <v>已发货</v>
      </c>
      <c r="J721" s="1" t="str">
        <f t="shared" si="233"/>
        <v>3</v>
      </c>
      <c r="K721" s="1">
        <v>2</v>
      </c>
      <c r="L721" s="1" t="s">
        <v>20</v>
      </c>
      <c r="M721" s="1" t="str">
        <f>"浙江省 绍兴市 越城区 "</f>
        <v xml:space="preserve">浙江省 绍兴市 越城区 </v>
      </c>
      <c r="N721" s="1" t="str">
        <f t="shared" si="221"/>
        <v>凡华云仓-城南圆通-微信视频号</v>
      </c>
      <c r="O721" s="5" t="s">
        <v>760</v>
      </c>
      <c r="P721" s="6">
        <v>0.24</v>
      </c>
      <c r="Q721" s="11">
        <v>2</v>
      </c>
      <c r="R721" s="11"/>
      <c r="S721" s="11"/>
      <c r="T721" s="11"/>
      <c r="U721" s="11">
        <f t="shared" si="230"/>
        <v>2</v>
      </c>
      <c r="W721">
        <v>2.2000000000000002</v>
      </c>
      <c r="X721" s="1" t="s">
        <v>20</v>
      </c>
    </row>
    <row r="722" spans="1:24" x14ac:dyDescent="0.25">
      <c r="A722" s="1" t="str">
        <f t="shared" si="226"/>
        <v>卡卡杜-凤凰仓</v>
      </c>
      <c r="B722" s="1" t="str">
        <f>"CK2024103010"</f>
        <v>CK2024103010</v>
      </c>
      <c r="C722" s="1" t="str">
        <f>"DD2024103035261"</f>
        <v>DD2024103035261</v>
      </c>
      <c r="D722" s="1" t="str">
        <f>"CK2024103035742"</f>
        <v>CK2024103035742</v>
      </c>
      <c r="E722" s="1" t="str">
        <f>"3723652620205822976"</f>
        <v>3723652620205822976</v>
      </c>
      <c r="F722" s="1" t="str">
        <f t="shared" si="227"/>
        <v>花都四部-凤凰仓</v>
      </c>
      <c r="G722" s="1" t="str">
        <f t="shared" si="223"/>
        <v>卡卡杜企业店（视频号）</v>
      </c>
      <c r="H722" s="1" t="str">
        <f t="shared" si="228"/>
        <v>正常订单</v>
      </c>
      <c r="I722" s="1" t="str">
        <f t="shared" si="229"/>
        <v>已发货</v>
      </c>
      <c r="J722" s="1" t="str">
        <f t="shared" si="233"/>
        <v>3</v>
      </c>
      <c r="K722" s="1">
        <v>2</v>
      </c>
      <c r="L722" s="1" t="s">
        <v>16</v>
      </c>
      <c r="M722" s="1" t="str">
        <f>"河北省 邢台市 信都区 "</f>
        <v xml:space="preserve">河北省 邢台市 信都区 </v>
      </c>
      <c r="N722" s="1" t="str">
        <f t="shared" si="221"/>
        <v>凡华云仓-城南圆通-微信视频号</v>
      </c>
      <c r="O722" s="5" t="s">
        <v>761</v>
      </c>
      <c r="P722" s="6">
        <v>0.24</v>
      </c>
      <c r="Q722" s="11">
        <v>2</v>
      </c>
      <c r="R722" s="11"/>
      <c r="S722" s="11"/>
      <c r="T722" s="11"/>
      <c r="U722" s="11">
        <f t="shared" si="230"/>
        <v>2</v>
      </c>
      <c r="W722">
        <v>2.2000000000000002</v>
      </c>
      <c r="X722" s="1" t="s">
        <v>16</v>
      </c>
    </row>
    <row r="723" spans="1:24" x14ac:dyDescent="0.25">
      <c r="A723" s="1" t="str">
        <f t="shared" si="226"/>
        <v>卡卡杜-凤凰仓</v>
      </c>
      <c r="B723" s="1" t="str">
        <f>"CK2024103096"</f>
        <v>CK2024103096</v>
      </c>
      <c r="C723" s="1" t="str">
        <f>"DD2024103035356"</f>
        <v>DD2024103035356</v>
      </c>
      <c r="D723" s="1" t="str">
        <f>"CK2024103035741"</f>
        <v>CK2024103035741</v>
      </c>
      <c r="E723" s="1" t="str">
        <f>"3723652548785473024"</f>
        <v>3723652548785473024</v>
      </c>
      <c r="F723" s="1" t="str">
        <f t="shared" si="227"/>
        <v>花都四部-凤凰仓</v>
      </c>
      <c r="G723" s="1" t="str">
        <f t="shared" si="223"/>
        <v>卡卡杜企业店（视频号）</v>
      </c>
      <c r="H723" s="1" t="str">
        <f t="shared" si="228"/>
        <v>正常订单</v>
      </c>
      <c r="I723" s="1" t="str">
        <f t="shared" si="229"/>
        <v>已发货</v>
      </c>
      <c r="J723" s="1" t="str">
        <f>"2"</f>
        <v>2</v>
      </c>
      <c r="K723" s="1">
        <v>2</v>
      </c>
      <c r="L723" s="1" t="s">
        <v>18</v>
      </c>
      <c r="M723" s="1" t="str">
        <f>"广东省 广州市 黄埔区 "</f>
        <v xml:space="preserve">广东省 广州市 黄埔区 </v>
      </c>
      <c r="N723" s="1" t="str">
        <f t="shared" si="221"/>
        <v>凡华云仓-城南圆通-微信视频号</v>
      </c>
      <c r="O723" s="5" t="s">
        <v>762</v>
      </c>
      <c r="P723" s="6">
        <v>0.17</v>
      </c>
      <c r="Q723" s="11">
        <v>2</v>
      </c>
      <c r="R723" s="11"/>
      <c r="S723" s="11"/>
      <c r="T723" s="11"/>
      <c r="U723" s="11">
        <f t="shared" si="230"/>
        <v>2</v>
      </c>
      <c r="W723">
        <v>2.2000000000000002</v>
      </c>
      <c r="X723" s="1" t="s">
        <v>18</v>
      </c>
    </row>
    <row r="724" spans="1:24" x14ac:dyDescent="0.25">
      <c r="A724" s="1" t="str">
        <f t="shared" si="226"/>
        <v>卡卡杜-凤凰仓</v>
      </c>
      <c r="B724" s="1" t="str">
        <f>"CK20241030185"</f>
        <v>CK20241030185</v>
      </c>
      <c r="C724" s="1" t="str">
        <f>"DD2024103036260"</f>
        <v>DD2024103036260</v>
      </c>
      <c r="D724" s="1" t="str">
        <f>"CK2024103035740"</f>
        <v>CK2024103035740</v>
      </c>
      <c r="E724" s="1" t="str">
        <f>"3723652494265029632"</f>
        <v>3723652494265029632</v>
      </c>
      <c r="F724" s="1" t="str">
        <f t="shared" si="227"/>
        <v>花都四部-凤凰仓</v>
      </c>
      <c r="G724" s="1" t="str">
        <f t="shared" si="223"/>
        <v>卡卡杜企业店（视频号）</v>
      </c>
      <c r="H724" s="1" t="str">
        <f t="shared" si="228"/>
        <v>正常订单</v>
      </c>
      <c r="I724" s="1" t="str">
        <f t="shared" si="229"/>
        <v>已发货</v>
      </c>
      <c r="J724" s="1" t="str">
        <f t="shared" ref="J724:J727" si="234">"1"</f>
        <v>1</v>
      </c>
      <c r="K724" s="1">
        <v>1</v>
      </c>
      <c r="L724" s="1" t="s">
        <v>32</v>
      </c>
      <c r="M724" s="1" t="str">
        <f>"陕西省 延安市 宝塔区 "</f>
        <v xml:space="preserve">陕西省 延安市 宝塔区 </v>
      </c>
      <c r="N724" s="1" t="str">
        <f t="shared" si="221"/>
        <v>凡华云仓-城南圆通-微信视频号</v>
      </c>
      <c r="O724" s="5" t="s">
        <v>763</v>
      </c>
      <c r="P724" s="6">
        <v>0.12</v>
      </c>
      <c r="Q724" s="11">
        <v>2</v>
      </c>
      <c r="R724" s="11"/>
      <c r="S724" s="11"/>
      <c r="T724" s="11"/>
      <c r="U724" s="11">
        <f t="shared" si="230"/>
        <v>2</v>
      </c>
      <c r="W724">
        <v>2.2000000000000002</v>
      </c>
      <c r="X724" s="1" t="s">
        <v>32</v>
      </c>
    </row>
    <row r="725" spans="1:24" x14ac:dyDescent="0.25">
      <c r="A725" s="1" t="str">
        <f t="shared" si="226"/>
        <v>卡卡杜-凤凰仓</v>
      </c>
      <c r="B725" s="1" t="str">
        <f>"CK20241030186"</f>
        <v>CK20241030186</v>
      </c>
      <c r="C725" s="1" t="str">
        <f>"DD2024103036263"</f>
        <v>DD2024103036263</v>
      </c>
      <c r="D725" s="1" t="str">
        <f>"CK2024103035739"</f>
        <v>CK2024103035739</v>
      </c>
      <c r="E725" s="1" t="str">
        <f>"3723652477949183232"</f>
        <v>3723652477949183232</v>
      </c>
      <c r="F725" s="1" t="str">
        <f t="shared" si="227"/>
        <v>花都四部-凤凰仓</v>
      </c>
      <c r="G725" s="1" t="str">
        <f t="shared" si="223"/>
        <v>卡卡杜企业店（视频号）</v>
      </c>
      <c r="H725" s="1" t="str">
        <f t="shared" si="228"/>
        <v>正常订单</v>
      </c>
      <c r="I725" s="1" t="str">
        <f t="shared" si="229"/>
        <v>已发货</v>
      </c>
      <c r="J725" s="1" t="str">
        <f t="shared" si="234"/>
        <v>1</v>
      </c>
      <c r="K725" s="1">
        <v>1</v>
      </c>
      <c r="L725" s="1" t="s">
        <v>18</v>
      </c>
      <c r="M725" s="1" t="str">
        <f>"广东省 广州市 天河区 "</f>
        <v xml:space="preserve">广东省 广州市 天河区 </v>
      </c>
      <c r="N725" s="1" t="str">
        <f t="shared" si="221"/>
        <v>凡华云仓-城南圆通-微信视频号</v>
      </c>
      <c r="O725" s="5" t="s">
        <v>764</v>
      </c>
      <c r="P725" s="6">
        <v>0.12</v>
      </c>
      <c r="Q725" s="11">
        <v>2</v>
      </c>
      <c r="R725" s="11"/>
      <c r="S725" s="11"/>
      <c r="T725" s="11"/>
      <c r="U725" s="11">
        <f t="shared" si="230"/>
        <v>2</v>
      </c>
      <c r="W725">
        <v>2.2000000000000002</v>
      </c>
      <c r="X725" s="1" t="s">
        <v>18</v>
      </c>
    </row>
    <row r="726" spans="1:24" x14ac:dyDescent="0.25">
      <c r="A726" s="1" t="str">
        <f t="shared" si="226"/>
        <v>卡卡杜-凤凰仓</v>
      </c>
      <c r="B726" s="1" t="str">
        <f>"CK20241030187"</f>
        <v>CK20241030187</v>
      </c>
      <c r="C726" s="1" t="str">
        <f>"DD2024103036259"</f>
        <v>DD2024103036259</v>
      </c>
      <c r="D726" s="1" t="str">
        <f>"CK2024103035738"</f>
        <v>CK2024103035738</v>
      </c>
      <c r="E726" s="1" t="str">
        <f>"3723652429587285249"</f>
        <v>3723652429587285249</v>
      </c>
      <c r="F726" s="1" t="str">
        <f t="shared" si="227"/>
        <v>花都四部-凤凰仓</v>
      </c>
      <c r="G726" s="1" t="str">
        <f t="shared" si="223"/>
        <v>卡卡杜企业店（视频号）</v>
      </c>
      <c r="H726" s="1" t="str">
        <f t="shared" si="228"/>
        <v>正常订单</v>
      </c>
      <c r="I726" s="1" t="str">
        <f t="shared" si="229"/>
        <v>已发货</v>
      </c>
      <c r="J726" s="1" t="str">
        <f t="shared" ref="J726:J733" si="235">"3"</f>
        <v>3</v>
      </c>
      <c r="K726" s="1">
        <v>2</v>
      </c>
      <c r="L726" s="1" t="s">
        <v>13</v>
      </c>
      <c r="M726" s="1" t="str">
        <f>"江苏省 无锡市 江阴市 "</f>
        <v xml:space="preserve">江苏省 无锡市 江阴市 </v>
      </c>
      <c r="N726" s="1" t="str">
        <f t="shared" si="221"/>
        <v>凡华云仓-城南圆通-微信视频号</v>
      </c>
      <c r="O726" s="5" t="s">
        <v>765</v>
      </c>
      <c r="P726" s="6">
        <v>0.25</v>
      </c>
      <c r="Q726" s="11">
        <v>2</v>
      </c>
      <c r="R726" s="11"/>
      <c r="S726" s="11"/>
      <c r="T726" s="11"/>
      <c r="U726" s="11">
        <f t="shared" si="230"/>
        <v>2</v>
      </c>
      <c r="W726">
        <v>2.2000000000000002</v>
      </c>
      <c r="X726" s="1" t="s">
        <v>13</v>
      </c>
    </row>
    <row r="727" spans="1:24" x14ac:dyDescent="0.25">
      <c r="A727" s="1" t="str">
        <f t="shared" si="226"/>
        <v>卡卡杜-凤凰仓</v>
      </c>
      <c r="B727" s="1" t="str">
        <f>"CK20241030188"</f>
        <v>CK20241030188</v>
      </c>
      <c r="C727" s="1" t="str">
        <f>"DD2024103036262"</f>
        <v>DD2024103036262</v>
      </c>
      <c r="D727" s="1" t="str">
        <f>"CK2024103035737"</f>
        <v>CK2024103035737</v>
      </c>
      <c r="E727" s="1" t="str">
        <f>"3723652409920459776"</f>
        <v>3723652409920459776</v>
      </c>
      <c r="F727" s="1" t="str">
        <f t="shared" si="227"/>
        <v>花都四部-凤凰仓</v>
      </c>
      <c r="G727" s="1" t="str">
        <f t="shared" si="223"/>
        <v>卡卡杜企业店（视频号）</v>
      </c>
      <c r="H727" s="1" t="str">
        <f t="shared" si="228"/>
        <v>正常订单</v>
      </c>
      <c r="I727" s="1" t="str">
        <f t="shared" si="229"/>
        <v>已发货</v>
      </c>
      <c r="J727" s="1" t="str">
        <f t="shared" si="234"/>
        <v>1</v>
      </c>
      <c r="K727" s="1">
        <v>1</v>
      </c>
      <c r="L727" s="1" t="s">
        <v>22</v>
      </c>
      <c r="M727" s="1" t="str">
        <f>"江西省 九江市 濂溪区 "</f>
        <v xml:space="preserve">江西省 九江市 濂溪区 </v>
      </c>
      <c r="N727" s="1" t="str">
        <f t="shared" si="221"/>
        <v>凡华云仓-城南圆通-微信视频号</v>
      </c>
      <c r="O727" s="5" t="s">
        <v>766</v>
      </c>
      <c r="P727" s="6">
        <v>0.12</v>
      </c>
      <c r="Q727" s="11">
        <v>2</v>
      </c>
      <c r="R727" s="11"/>
      <c r="S727" s="11"/>
      <c r="T727" s="11"/>
      <c r="U727" s="11">
        <f t="shared" si="230"/>
        <v>2</v>
      </c>
      <c r="W727">
        <v>2.2000000000000002</v>
      </c>
      <c r="X727" s="1" t="s">
        <v>22</v>
      </c>
    </row>
    <row r="728" spans="1:24" x14ac:dyDescent="0.25">
      <c r="A728" s="1" t="str">
        <f t="shared" si="226"/>
        <v>卡卡杜-凤凰仓</v>
      </c>
      <c r="B728" s="1" t="str">
        <f>"CK20241030189"</f>
        <v>CK20241030189</v>
      </c>
      <c r="C728" s="1" t="str">
        <f>"DD2024103036264"</f>
        <v>DD2024103036264</v>
      </c>
      <c r="D728" s="1" t="str">
        <f>"CK2024103035736"</f>
        <v>CK2024103035736</v>
      </c>
      <c r="E728" s="1" t="str">
        <f>"3723652411983004928"</f>
        <v>3723652411983004928</v>
      </c>
      <c r="F728" s="1" t="str">
        <f t="shared" si="227"/>
        <v>花都四部-凤凰仓</v>
      </c>
      <c r="G728" s="1" t="str">
        <f t="shared" si="223"/>
        <v>卡卡杜企业店（视频号）</v>
      </c>
      <c r="H728" s="1" t="str">
        <f t="shared" si="228"/>
        <v>正常订单</v>
      </c>
      <c r="I728" s="1" t="str">
        <f t="shared" si="229"/>
        <v>已发货</v>
      </c>
      <c r="J728" s="1" t="str">
        <f t="shared" si="235"/>
        <v>3</v>
      </c>
      <c r="K728" s="1">
        <v>2</v>
      </c>
      <c r="L728" s="1" t="s">
        <v>105</v>
      </c>
      <c r="M728" s="1" t="str">
        <f>"北京 北京市 海淀区 "</f>
        <v xml:space="preserve">北京 北京市 海淀区 </v>
      </c>
      <c r="N728" s="1" t="str">
        <f t="shared" si="221"/>
        <v>凡华云仓-城南圆通-微信视频号</v>
      </c>
      <c r="O728" s="5" t="s">
        <v>767</v>
      </c>
      <c r="P728" s="6">
        <v>0.25</v>
      </c>
      <c r="Q728" s="11">
        <v>2</v>
      </c>
      <c r="R728" s="11"/>
      <c r="S728" s="11"/>
      <c r="T728" s="11"/>
      <c r="U728" s="11">
        <f t="shared" si="230"/>
        <v>2</v>
      </c>
      <c r="W728">
        <v>2.2000000000000002</v>
      </c>
      <c r="X728" s="1" t="s">
        <v>105</v>
      </c>
    </row>
    <row r="729" spans="1:24" x14ac:dyDescent="0.25">
      <c r="A729" s="1" t="str">
        <f t="shared" si="226"/>
        <v>卡卡杜-凤凰仓</v>
      </c>
      <c r="B729" s="1" t="str">
        <f>"CK20241030190"</f>
        <v>CK20241030190</v>
      </c>
      <c r="C729" s="1" t="str">
        <f>"DD2024103036265"</f>
        <v>DD2024103036265</v>
      </c>
      <c r="D729" s="1" t="str">
        <f>"CK2024103035735"</f>
        <v>CK2024103035735</v>
      </c>
      <c r="E729" s="1" t="str">
        <f>"3723652366205586432"</f>
        <v>3723652366205586432</v>
      </c>
      <c r="F729" s="1" t="str">
        <f t="shared" si="227"/>
        <v>花都四部-凤凰仓</v>
      </c>
      <c r="G729" s="1" t="str">
        <f t="shared" si="223"/>
        <v>卡卡杜企业店（视频号）</v>
      </c>
      <c r="H729" s="1" t="str">
        <f t="shared" si="228"/>
        <v>正常订单</v>
      </c>
      <c r="I729" s="1" t="str">
        <f t="shared" si="229"/>
        <v>已发货</v>
      </c>
      <c r="J729" s="1" t="str">
        <f>"1"</f>
        <v>1</v>
      </c>
      <c r="K729" s="1">
        <v>1</v>
      </c>
      <c r="L729" s="1" t="s">
        <v>16</v>
      </c>
      <c r="M729" s="1" t="str">
        <f>"河北省 唐山市 路北区 "</f>
        <v xml:space="preserve">河北省 唐山市 路北区 </v>
      </c>
      <c r="N729" s="1" t="str">
        <f t="shared" si="221"/>
        <v>凡华云仓-城南圆通-微信视频号</v>
      </c>
      <c r="O729" s="5" t="s">
        <v>768</v>
      </c>
      <c r="P729" s="6">
        <v>0.12</v>
      </c>
      <c r="Q729" s="11">
        <v>2</v>
      </c>
      <c r="R729" s="11"/>
      <c r="S729" s="11"/>
      <c r="T729" s="11"/>
      <c r="U729" s="11">
        <f t="shared" si="230"/>
        <v>2</v>
      </c>
      <c r="W729">
        <v>2.2000000000000002</v>
      </c>
      <c r="X729" s="1" t="s">
        <v>16</v>
      </c>
    </row>
    <row r="730" spans="1:24" x14ac:dyDescent="0.25">
      <c r="A730" s="1" t="str">
        <f t="shared" si="226"/>
        <v>卡卡杜-凤凰仓</v>
      </c>
      <c r="B730" s="1" t="str">
        <f>"CK20241030191"</f>
        <v>CK20241030191</v>
      </c>
      <c r="C730" s="1" t="str">
        <f>"DD2024103036266"</f>
        <v>DD2024103036266</v>
      </c>
      <c r="D730" s="1" t="str">
        <f>"CK2024103035734"</f>
        <v>CK2024103035734</v>
      </c>
      <c r="E730" s="1" t="str">
        <f>"3723652364557223424"</f>
        <v>3723652364557223424</v>
      </c>
      <c r="F730" s="1" t="str">
        <f t="shared" si="227"/>
        <v>花都四部-凤凰仓</v>
      </c>
      <c r="G730" s="1" t="str">
        <f t="shared" si="223"/>
        <v>卡卡杜企业店（视频号）</v>
      </c>
      <c r="H730" s="1" t="str">
        <f t="shared" si="228"/>
        <v>正常订单</v>
      </c>
      <c r="I730" s="1" t="str">
        <f t="shared" si="229"/>
        <v>已发货</v>
      </c>
      <c r="J730" s="1" t="str">
        <f t="shared" si="235"/>
        <v>3</v>
      </c>
      <c r="K730" s="1">
        <v>2</v>
      </c>
      <c r="L730" s="1" t="s">
        <v>105</v>
      </c>
      <c r="M730" s="1" t="str">
        <f>"北京 北京市 朝阳区 "</f>
        <v xml:space="preserve">北京 北京市 朝阳区 </v>
      </c>
      <c r="N730" s="1" t="str">
        <f t="shared" si="221"/>
        <v>凡华云仓-城南圆通-微信视频号</v>
      </c>
      <c r="O730" s="5" t="s">
        <v>769</v>
      </c>
      <c r="P730" s="6">
        <v>0.25</v>
      </c>
      <c r="Q730" s="11">
        <v>2</v>
      </c>
      <c r="R730" s="11"/>
      <c r="S730" s="11"/>
      <c r="T730" s="11"/>
      <c r="U730" s="11">
        <f t="shared" si="230"/>
        <v>2</v>
      </c>
      <c r="W730">
        <v>2.2000000000000002</v>
      </c>
      <c r="X730" s="1" t="s">
        <v>105</v>
      </c>
    </row>
    <row r="731" spans="1:24" x14ac:dyDescent="0.25">
      <c r="A731" s="1" t="str">
        <f t="shared" si="226"/>
        <v>卡卡杜-凤凰仓</v>
      </c>
      <c r="B731" s="1" t="str">
        <f>"CK20241030192"</f>
        <v>CK20241030192</v>
      </c>
      <c r="C731" s="1" t="str">
        <f>"DD2024103036268"</f>
        <v>DD2024103036268</v>
      </c>
      <c r="D731" s="1" t="str">
        <f>"CK2024103035733"</f>
        <v>CK2024103035733</v>
      </c>
      <c r="E731" s="1" t="str">
        <f>"3723652362961290496"</f>
        <v>3723652362961290496</v>
      </c>
      <c r="F731" s="1" t="str">
        <f t="shared" si="227"/>
        <v>花都四部-凤凰仓</v>
      </c>
      <c r="G731" s="1" t="str">
        <f t="shared" si="223"/>
        <v>卡卡杜企业店（视频号）</v>
      </c>
      <c r="H731" s="1" t="str">
        <f t="shared" si="228"/>
        <v>正常订单</v>
      </c>
      <c r="I731" s="1" t="str">
        <f t="shared" si="229"/>
        <v>已发货</v>
      </c>
      <c r="J731" s="1" t="str">
        <f t="shared" si="235"/>
        <v>3</v>
      </c>
      <c r="K731" s="1">
        <v>2</v>
      </c>
      <c r="L731" s="1" t="s">
        <v>94</v>
      </c>
      <c r="M731" s="1" t="str">
        <f>"湖南省 长沙市 芙蓉区 "</f>
        <v xml:space="preserve">湖南省 长沙市 芙蓉区 </v>
      </c>
      <c r="N731" s="1" t="str">
        <f t="shared" si="221"/>
        <v>凡华云仓-城南圆通-微信视频号</v>
      </c>
      <c r="O731" s="5" t="s">
        <v>770</v>
      </c>
      <c r="P731" s="6">
        <v>0.25</v>
      </c>
      <c r="Q731" s="11">
        <v>2</v>
      </c>
      <c r="R731" s="11"/>
      <c r="S731" s="11"/>
      <c r="T731" s="11"/>
      <c r="U731" s="11">
        <f t="shared" si="230"/>
        <v>2</v>
      </c>
      <c r="W731">
        <v>2.2000000000000002</v>
      </c>
      <c r="X731" s="1" t="s">
        <v>94</v>
      </c>
    </row>
    <row r="732" spans="1:24" x14ac:dyDescent="0.25">
      <c r="A732" s="1" t="str">
        <f t="shared" si="226"/>
        <v>卡卡杜-凤凰仓</v>
      </c>
      <c r="B732" s="1" t="str">
        <f>"CK20241030193"</f>
        <v>CK20241030193</v>
      </c>
      <c r="C732" s="1" t="str">
        <f>"DD2024103036267"</f>
        <v>DD2024103036267</v>
      </c>
      <c r="D732" s="1" t="str">
        <f>"CK2024103035732"</f>
        <v>CK2024103035732</v>
      </c>
      <c r="E732" s="1" t="str">
        <f>"3723652359535068416"</f>
        <v>3723652359535068416</v>
      </c>
      <c r="F732" s="1" t="str">
        <f t="shared" si="227"/>
        <v>花都四部-凤凰仓</v>
      </c>
      <c r="G732" s="1" t="str">
        <f t="shared" si="223"/>
        <v>卡卡杜企业店（视频号）</v>
      </c>
      <c r="H732" s="1" t="str">
        <f t="shared" si="228"/>
        <v>正常订单</v>
      </c>
      <c r="I732" s="1" t="str">
        <f t="shared" si="229"/>
        <v>已发货</v>
      </c>
      <c r="J732" s="1" t="str">
        <f t="shared" si="235"/>
        <v>3</v>
      </c>
      <c r="K732" s="1">
        <v>2</v>
      </c>
      <c r="L732" s="1" t="s">
        <v>13</v>
      </c>
      <c r="M732" s="1" t="str">
        <f>"江苏省 徐州市 云龙区 "</f>
        <v xml:space="preserve">江苏省 徐州市 云龙区 </v>
      </c>
      <c r="N732" s="1" t="str">
        <f t="shared" si="221"/>
        <v>凡华云仓-城南圆通-微信视频号</v>
      </c>
      <c r="O732" s="5" t="s">
        <v>771</v>
      </c>
      <c r="P732" s="6">
        <v>0.25</v>
      </c>
      <c r="Q732" s="11">
        <v>2</v>
      </c>
      <c r="R732" s="11"/>
      <c r="S732" s="11"/>
      <c r="T732" s="11"/>
      <c r="U732" s="11">
        <f t="shared" si="230"/>
        <v>2</v>
      </c>
      <c r="W732">
        <v>2.2000000000000002</v>
      </c>
      <c r="X732" s="1" t="s">
        <v>13</v>
      </c>
    </row>
    <row r="733" spans="1:24" x14ac:dyDescent="0.25">
      <c r="A733" s="1" t="str">
        <f t="shared" si="226"/>
        <v>卡卡杜-凤凰仓</v>
      </c>
      <c r="B733" s="1" t="str">
        <f>"CK20241030196"</f>
        <v>CK20241030196</v>
      </c>
      <c r="C733" s="1" t="str">
        <f>"DD2024103036272"</f>
        <v>DD2024103036272</v>
      </c>
      <c r="D733" s="1" t="str">
        <f>"CK2024103035731"</f>
        <v>CK2024103035731</v>
      </c>
      <c r="E733" s="1" t="str">
        <f>"3723652352817370112"</f>
        <v>3723652352817370112</v>
      </c>
      <c r="F733" s="1" t="str">
        <f t="shared" si="227"/>
        <v>花都四部-凤凰仓</v>
      </c>
      <c r="G733" s="1" t="str">
        <f t="shared" si="223"/>
        <v>卡卡杜企业店（视频号）</v>
      </c>
      <c r="H733" s="1" t="str">
        <f t="shared" si="228"/>
        <v>正常订单</v>
      </c>
      <c r="I733" s="1" t="str">
        <f t="shared" si="229"/>
        <v>已发货</v>
      </c>
      <c r="J733" s="1" t="str">
        <f t="shared" si="235"/>
        <v>3</v>
      </c>
      <c r="K733" s="1">
        <v>2</v>
      </c>
      <c r="L733" s="1" t="s">
        <v>36</v>
      </c>
      <c r="M733" s="1" t="str">
        <f>"安徽省 合肥市 蜀山区 "</f>
        <v xml:space="preserve">安徽省 合肥市 蜀山区 </v>
      </c>
      <c r="N733" s="1" t="str">
        <f t="shared" si="221"/>
        <v>凡华云仓-城南圆通-微信视频号</v>
      </c>
      <c r="O733" s="5" t="s">
        <v>772</v>
      </c>
      <c r="P733" s="6">
        <v>0.25</v>
      </c>
      <c r="Q733" s="11">
        <v>2</v>
      </c>
      <c r="R733" s="11"/>
      <c r="S733" s="11"/>
      <c r="T733" s="11"/>
      <c r="U733" s="11">
        <f t="shared" si="230"/>
        <v>2</v>
      </c>
      <c r="W733">
        <v>2.2000000000000002</v>
      </c>
      <c r="X733" s="1" t="s">
        <v>36</v>
      </c>
    </row>
    <row r="734" spans="1:24" x14ac:dyDescent="0.25">
      <c r="A734" s="1" t="str">
        <f t="shared" si="226"/>
        <v>卡卡杜-凤凰仓</v>
      </c>
      <c r="B734" s="1" t="str">
        <f>"CK20241030194"</f>
        <v>CK20241030194</v>
      </c>
      <c r="C734" s="1" t="str">
        <f>"DD2024103036269"</f>
        <v>DD2024103036269</v>
      </c>
      <c r="D734" s="1" t="str">
        <f>"CK2024103035730"</f>
        <v>CK2024103035730</v>
      </c>
      <c r="E734" s="1" t="str">
        <f>"3723652355509323264"</f>
        <v>3723652355509323264</v>
      </c>
      <c r="F734" s="1" t="str">
        <f t="shared" si="227"/>
        <v>花都四部-凤凰仓</v>
      </c>
      <c r="G734" s="1" t="str">
        <f t="shared" si="223"/>
        <v>卡卡杜企业店（视频号）</v>
      </c>
      <c r="H734" s="1" t="str">
        <f t="shared" si="228"/>
        <v>正常订单</v>
      </c>
      <c r="I734" s="1" t="str">
        <f t="shared" si="229"/>
        <v>已发货</v>
      </c>
      <c r="J734" s="1" t="str">
        <f t="shared" ref="J734:J737" si="236">"1"</f>
        <v>1</v>
      </c>
      <c r="K734" s="1">
        <v>1</v>
      </c>
      <c r="L734" s="1" t="s">
        <v>66</v>
      </c>
      <c r="M734" s="1" t="str">
        <f>"内蒙古自治区 包头市 昆都仑区 "</f>
        <v xml:space="preserve">内蒙古自治区 包头市 昆都仑区 </v>
      </c>
      <c r="N734" s="1" t="str">
        <f t="shared" si="221"/>
        <v>凡华云仓-城南圆通-微信视频号</v>
      </c>
      <c r="O734" s="5" t="s">
        <v>773</v>
      </c>
      <c r="P734" s="6">
        <v>0.12</v>
      </c>
      <c r="Q734" s="11">
        <v>2</v>
      </c>
      <c r="R734" s="11"/>
      <c r="S734" s="11"/>
      <c r="T734" s="11"/>
      <c r="U734" s="11">
        <f t="shared" si="230"/>
        <v>2</v>
      </c>
      <c r="W734">
        <v>2.2000000000000002</v>
      </c>
      <c r="X734" s="1" t="s">
        <v>66</v>
      </c>
    </row>
    <row r="735" spans="1:24" x14ac:dyDescent="0.25">
      <c r="A735" s="1" t="str">
        <f t="shared" si="226"/>
        <v>卡卡杜-凤凰仓</v>
      </c>
      <c r="B735" s="1" t="str">
        <f>"CK20241030195"</f>
        <v>CK20241030195</v>
      </c>
      <c r="C735" s="1" t="str">
        <f>"DD2024103036270"</f>
        <v>DD2024103036270</v>
      </c>
      <c r="D735" s="1" t="str">
        <f>"CK2024103035729"</f>
        <v>CK2024103035729</v>
      </c>
      <c r="E735" s="1" t="str">
        <f>"3723652354469139456"</f>
        <v>3723652354469139456</v>
      </c>
      <c r="F735" s="1" t="str">
        <f t="shared" si="227"/>
        <v>花都四部-凤凰仓</v>
      </c>
      <c r="G735" s="1" t="str">
        <f t="shared" si="223"/>
        <v>卡卡杜企业店（视频号）</v>
      </c>
      <c r="H735" s="1" t="str">
        <f t="shared" si="228"/>
        <v>正常订单</v>
      </c>
      <c r="I735" s="1" t="str">
        <f t="shared" si="229"/>
        <v>已发货</v>
      </c>
      <c r="J735" s="1" t="str">
        <f t="shared" si="236"/>
        <v>1</v>
      </c>
      <c r="K735" s="1">
        <v>1</v>
      </c>
      <c r="L735" s="1" t="s">
        <v>13</v>
      </c>
      <c r="M735" s="1" t="str">
        <f>"江苏省 无锡市 宜兴市 "</f>
        <v xml:space="preserve">江苏省 无锡市 宜兴市 </v>
      </c>
      <c r="N735" s="1" t="str">
        <f t="shared" si="221"/>
        <v>凡华云仓-城南圆通-微信视频号</v>
      </c>
      <c r="O735" s="5" t="s">
        <v>774</v>
      </c>
      <c r="P735" s="6">
        <v>0.12</v>
      </c>
      <c r="Q735" s="11">
        <v>2</v>
      </c>
      <c r="R735" s="11"/>
      <c r="S735" s="11"/>
      <c r="T735" s="11"/>
      <c r="U735" s="11">
        <f t="shared" si="230"/>
        <v>2</v>
      </c>
      <c r="W735">
        <v>2.2000000000000002</v>
      </c>
      <c r="X735" s="1" t="s">
        <v>13</v>
      </c>
    </row>
    <row r="736" spans="1:24" x14ac:dyDescent="0.25">
      <c r="A736" s="1" t="str">
        <f t="shared" si="226"/>
        <v>卡卡杜-凤凰仓</v>
      </c>
      <c r="B736" s="1" t="str">
        <f>"CK20241030197"</f>
        <v>CK20241030197</v>
      </c>
      <c r="C736" s="1" t="str">
        <f>"DD2024103036271"</f>
        <v>DD2024103036271</v>
      </c>
      <c r="D736" s="1" t="str">
        <f>"CK2024103035728"</f>
        <v>CK2024103035728</v>
      </c>
      <c r="E736" s="1" t="str">
        <f>"3723652346455921664"</f>
        <v>3723652346455921664</v>
      </c>
      <c r="F736" s="1" t="str">
        <f t="shared" si="227"/>
        <v>花都四部-凤凰仓</v>
      </c>
      <c r="G736" s="1" t="str">
        <f t="shared" si="223"/>
        <v>卡卡杜企业店（视频号）</v>
      </c>
      <c r="H736" s="1" t="str">
        <f t="shared" si="228"/>
        <v>正常订单</v>
      </c>
      <c r="I736" s="1" t="str">
        <f t="shared" si="229"/>
        <v>已发货</v>
      </c>
      <c r="J736" s="1" t="str">
        <f t="shared" si="236"/>
        <v>1</v>
      </c>
      <c r="K736" s="1">
        <v>1</v>
      </c>
      <c r="L736" s="1" t="s">
        <v>24</v>
      </c>
      <c r="M736" s="1" t="str">
        <f>"福建省 漳州市 南靖县 "</f>
        <v xml:space="preserve">福建省 漳州市 南靖县 </v>
      </c>
      <c r="N736" s="1" t="str">
        <f t="shared" si="221"/>
        <v>凡华云仓-城南圆通-微信视频号</v>
      </c>
      <c r="O736" s="5" t="s">
        <v>775</v>
      </c>
      <c r="P736" s="6">
        <v>0.12</v>
      </c>
      <c r="Q736" s="11">
        <v>2</v>
      </c>
      <c r="R736" s="11"/>
      <c r="S736" s="11"/>
      <c r="T736" s="11"/>
      <c r="U736" s="11">
        <f t="shared" si="230"/>
        <v>2</v>
      </c>
      <c r="W736">
        <v>2.2000000000000002</v>
      </c>
      <c r="X736" s="1" t="s">
        <v>24</v>
      </c>
    </row>
    <row r="737" spans="1:24" x14ac:dyDescent="0.25">
      <c r="A737" s="1" t="str">
        <f t="shared" si="226"/>
        <v>卡卡杜-凤凰仓</v>
      </c>
      <c r="B737" s="1" t="str">
        <f>"CK20241030207"</f>
        <v>CK20241030207</v>
      </c>
      <c r="C737" s="1" t="str">
        <f>"DD2024103036282"</f>
        <v>DD2024103036282</v>
      </c>
      <c r="D737" s="1" t="str">
        <f>"CK2024103035726"</f>
        <v>CK2024103035726</v>
      </c>
      <c r="E737" s="1" t="str">
        <f>"3723652324375266816"</f>
        <v>3723652324375266816</v>
      </c>
      <c r="F737" s="1" t="str">
        <f t="shared" si="227"/>
        <v>花都四部-凤凰仓</v>
      </c>
      <c r="G737" s="1" t="str">
        <f t="shared" si="223"/>
        <v>卡卡杜企业店（视频号）</v>
      </c>
      <c r="H737" s="1" t="str">
        <f t="shared" si="228"/>
        <v>正常订单</v>
      </c>
      <c r="I737" s="1" t="str">
        <f t="shared" si="229"/>
        <v>已发货</v>
      </c>
      <c r="J737" s="1" t="str">
        <f t="shared" si="236"/>
        <v>1</v>
      </c>
      <c r="K737" s="1">
        <v>1</v>
      </c>
      <c r="L737" s="1" t="s">
        <v>54</v>
      </c>
      <c r="M737" s="1" t="str">
        <f>"黑龙江省 牡丹江市 东安区 "</f>
        <v xml:space="preserve">黑龙江省 牡丹江市 东安区 </v>
      </c>
      <c r="N737" s="1" t="str">
        <f t="shared" si="221"/>
        <v>凡华云仓-城南圆通-微信视频号</v>
      </c>
      <c r="O737" s="5" t="s">
        <v>776</v>
      </c>
      <c r="P737" s="6">
        <v>0.12</v>
      </c>
      <c r="Q737" s="11">
        <v>2</v>
      </c>
      <c r="R737" s="11"/>
      <c r="S737" s="11"/>
      <c r="T737" s="11"/>
      <c r="U737" s="11">
        <f t="shared" si="230"/>
        <v>2</v>
      </c>
      <c r="W737">
        <v>2.2000000000000002</v>
      </c>
      <c r="X737" s="1" t="s">
        <v>54</v>
      </c>
    </row>
    <row r="738" spans="1:24" x14ac:dyDescent="0.25">
      <c r="A738" s="1" t="str">
        <f t="shared" si="226"/>
        <v>卡卡杜-凤凰仓</v>
      </c>
      <c r="B738" s="1" t="str">
        <f>"CK20241030199"</f>
        <v>CK20241030199</v>
      </c>
      <c r="C738" s="1" t="str">
        <f>"DD2024103036274"</f>
        <v>DD2024103036274</v>
      </c>
      <c r="D738" s="1" t="str">
        <f>"CK2024103035725"</f>
        <v>CK2024103035725</v>
      </c>
      <c r="E738" s="1" t="str">
        <f>"3723652337438950656"</f>
        <v>3723652337438950656</v>
      </c>
      <c r="F738" s="1" t="str">
        <f t="shared" si="227"/>
        <v>花都四部-凤凰仓</v>
      </c>
      <c r="G738" s="1" t="str">
        <f t="shared" si="223"/>
        <v>卡卡杜企业店（视频号）</v>
      </c>
      <c r="H738" s="1" t="str">
        <f t="shared" si="228"/>
        <v>正常订单</v>
      </c>
      <c r="I738" s="1" t="str">
        <f t="shared" si="229"/>
        <v>已发货</v>
      </c>
      <c r="J738" s="1" t="str">
        <f t="shared" ref="J738:J741" si="237">"3"</f>
        <v>3</v>
      </c>
      <c r="K738" s="1">
        <v>2</v>
      </c>
      <c r="L738" s="1" t="s">
        <v>105</v>
      </c>
      <c r="M738" s="1" t="str">
        <f>"北京 北京市 海淀区 "</f>
        <v xml:space="preserve">北京 北京市 海淀区 </v>
      </c>
      <c r="N738" s="1" t="str">
        <f t="shared" si="221"/>
        <v>凡华云仓-城南圆通-微信视频号</v>
      </c>
      <c r="O738" s="5" t="s">
        <v>777</v>
      </c>
      <c r="P738" s="6">
        <v>0.25</v>
      </c>
      <c r="Q738" s="11">
        <v>2</v>
      </c>
      <c r="R738" s="11"/>
      <c r="S738" s="11"/>
      <c r="T738" s="11"/>
      <c r="U738" s="11">
        <f t="shared" si="230"/>
        <v>2</v>
      </c>
      <c r="W738">
        <v>2.2000000000000002</v>
      </c>
      <c r="X738" s="1" t="s">
        <v>105</v>
      </c>
    </row>
    <row r="739" spans="1:24" x14ac:dyDescent="0.25">
      <c r="A739" s="1" t="str">
        <f t="shared" si="226"/>
        <v>卡卡杜-凤凰仓</v>
      </c>
      <c r="B739" s="1" t="str">
        <f>"CK20241030200"</f>
        <v>CK20241030200</v>
      </c>
      <c r="C739" s="1" t="str">
        <f>"DD2024103036275"</f>
        <v>DD2024103036275</v>
      </c>
      <c r="D739" s="1" t="str">
        <f>"CK2024103035724"</f>
        <v>CK2024103035724</v>
      </c>
      <c r="E739" s="1" t="str">
        <f>"3723652335006519296"</f>
        <v>3723652335006519296</v>
      </c>
      <c r="F739" s="1" t="str">
        <f t="shared" si="227"/>
        <v>花都四部-凤凰仓</v>
      </c>
      <c r="G739" s="1" t="str">
        <f t="shared" si="223"/>
        <v>卡卡杜企业店（视频号）</v>
      </c>
      <c r="H739" s="1" t="str">
        <f t="shared" si="228"/>
        <v>正常订单</v>
      </c>
      <c r="I739" s="1" t="str">
        <f t="shared" si="229"/>
        <v>已发货</v>
      </c>
      <c r="J739" s="1" t="str">
        <f t="shared" si="237"/>
        <v>3</v>
      </c>
      <c r="K739" s="1">
        <v>2</v>
      </c>
      <c r="L739" s="1" t="s">
        <v>41</v>
      </c>
      <c r="M739" s="1" t="str">
        <f>"湖北省 随州市 曾都区 "</f>
        <v xml:space="preserve">湖北省 随州市 曾都区 </v>
      </c>
      <c r="N739" s="1" t="str">
        <f t="shared" si="221"/>
        <v>凡华云仓-城南圆通-微信视频号</v>
      </c>
      <c r="O739" s="5" t="s">
        <v>778</v>
      </c>
      <c r="P739" s="6">
        <v>0.25</v>
      </c>
      <c r="Q739" s="11">
        <v>2</v>
      </c>
      <c r="R739" s="11"/>
      <c r="S739" s="11"/>
      <c r="T739" s="11"/>
      <c r="U739" s="11">
        <f t="shared" si="230"/>
        <v>2</v>
      </c>
      <c r="W739">
        <v>2.2000000000000002</v>
      </c>
      <c r="X739" s="1" t="s">
        <v>41</v>
      </c>
    </row>
    <row r="740" spans="1:24" x14ac:dyDescent="0.25">
      <c r="A740" s="1" t="str">
        <f t="shared" si="226"/>
        <v>卡卡杜-凤凰仓</v>
      </c>
      <c r="B740" s="1" t="str">
        <f>"CK20241030201"</f>
        <v>CK20241030201</v>
      </c>
      <c r="C740" s="1" t="str">
        <f>"DD2024103036276"</f>
        <v>DD2024103036276</v>
      </c>
      <c r="D740" s="1" t="str">
        <f>"CK2024103035723"</f>
        <v>CK2024103035723</v>
      </c>
      <c r="E740" s="1" t="str">
        <f>"3723652333839193088"</f>
        <v>3723652333839193088</v>
      </c>
      <c r="F740" s="1" t="str">
        <f t="shared" si="227"/>
        <v>花都四部-凤凰仓</v>
      </c>
      <c r="G740" s="1" t="str">
        <f t="shared" si="223"/>
        <v>卡卡杜企业店（视频号）</v>
      </c>
      <c r="H740" s="1" t="str">
        <f t="shared" si="228"/>
        <v>正常订单</v>
      </c>
      <c r="I740" s="1" t="str">
        <f t="shared" si="229"/>
        <v>已发货</v>
      </c>
      <c r="J740" s="1" t="str">
        <f t="shared" si="237"/>
        <v>3</v>
      </c>
      <c r="K740" s="1">
        <v>2</v>
      </c>
      <c r="L740" s="1" t="s">
        <v>66</v>
      </c>
      <c r="M740" s="1" t="str">
        <f>"内蒙古自治区 呼和浩特市 赛罕区 "</f>
        <v xml:space="preserve">内蒙古自治区 呼和浩特市 赛罕区 </v>
      </c>
      <c r="N740" s="1" t="str">
        <f t="shared" si="221"/>
        <v>凡华云仓-城南圆通-微信视频号</v>
      </c>
      <c r="O740" s="5" t="s">
        <v>779</v>
      </c>
      <c r="P740" s="6">
        <v>0.25</v>
      </c>
      <c r="Q740" s="11">
        <v>2</v>
      </c>
      <c r="R740" s="11"/>
      <c r="S740" s="11"/>
      <c r="T740" s="11"/>
      <c r="U740" s="11">
        <f t="shared" si="230"/>
        <v>2</v>
      </c>
      <c r="W740">
        <v>2.2000000000000002</v>
      </c>
      <c r="X740" s="1" t="s">
        <v>66</v>
      </c>
    </row>
    <row r="741" spans="1:24" x14ac:dyDescent="0.25">
      <c r="A741" s="1" t="str">
        <f t="shared" si="226"/>
        <v>卡卡杜-凤凰仓</v>
      </c>
      <c r="B741" s="1" t="str">
        <f>"CK20241030202"</f>
        <v>CK20241030202</v>
      </c>
      <c r="C741" s="1" t="str">
        <f>"DD2024103036277"</f>
        <v>DD2024103036277</v>
      </c>
      <c r="D741" s="1" t="str">
        <f>"CK2024103035722"</f>
        <v>CK2024103035722</v>
      </c>
      <c r="E741" s="1" t="str">
        <f>"3723652331312909312"</f>
        <v>3723652331312909312</v>
      </c>
      <c r="F741" s="1" t="str">
        <f t="shared" si="227"/>
        <v>花都四部-凤凰仓</v>
      </c>
      <c r="G741" s="1" t="str">
        <f t="shared" si="223"/>
        <v>卡卡杜企业店（视频号）</v>
      </c>
      <c r="H741" s="1" t="str">
        <f t="shared" si="228"/>
        <v>正常订单</v>
      </c>
      <c r="I741" s="1" t="str">
        <f t="shared" si="229"/>
        <v>已发货</v>
      </c>
      <c r="J741" s="1" t="str">
        <f t="shared" si="237"/>
        <v>3</v>
      </c>
      <c r="K741" s="1">
        <v>2</v>
      </c>
      <c r="L741" s="1" t="s">
        <v>161</v>
      </c>
      <c r="M741" s="1" t="str">
        <f>"四川省 成都市 温江区 "</f>
        <v xml:space="preserve">四川省 成都市 温江区 </v>
      </c>
      <c r="N741" s="1" t="str">
        <f t="shared" si="221"/>
        <v>凡华云仓-城南圆通-微信视频号</v>
      </c>
      <c r="O741" s="5" t="s">
        <v>780</v>
      </c>
      <c r="P741" s="6">
        <v>0.25</v>
      </c>
      <c r="Q741" s="11">
        <v>2</v>
      </c>
      <c r="R741" s="11"/>
      <c r="S741" s="11"/>
      <c r="T741" s="11"/>
      <c r="U741" s="11">
        <f t="shared" si="230"/>
        <v>2</v>
      </c>
      <c r="W741">
        <v>2.2000000000000002</v>
      </c>
      <c r="X741" s="1" t="s">
        <v>161</v>
      </c>
    </row>
    <row r="742" spans="1:24" x14ac:dyDescent="0.25">
      <c r="A742" s="1" t="str">
        <f t="shared" si="226"/>
        <v>卡卡杜-凤凰仓</v>
      </c>
      <c r="B742" s="1" t="str">
        <f>"CK20241030203"</f>
        <v>CK20241030203</v>
      </c>
      <c r="C742" s="1" t="str">
        <f>"DD2024103036280"</f>
        <v>DD2024103036280</v>
      </c>
      <c r="D742" s="1" t="str">
        <f>"CK2024103035721"</f>
        <v>CK2024103035721</v>
      </c>
      <c r="E742" s="1" t="str">
        <f>"3723652330394095616"</f>
        <v>3723652330394095616</v>
      </c>
      <c r="F742" s="1" t="str">
        <f t="shared" si="227"/>
        <v>花都四部-凤凰仓</v>
      </c>
      <c r="G742" s="1" t="str">
        <f t="shared" si="223"/>
        <v>卡卡杜企业店（视频号）</v>
      </c>
      <c r="H742" s="1" t="str">
        <f t="shared" si="228"/>
        <v>正常订单</v>
      </c>
      <c r="I742" s="1" t="str">
        <f t="shared" si="229"/>
        <v>已发货</v>
      </c>
      <c r="J742" s="1" t="str">
        <f>"1"</f>
        <v>1</v>
      </c>
      <c r="K742" s="1">
        <v>1</v>
      </c>
      <c r="L742" s="1" t="s">
        <v>30</v>
      </c>
      <c r="M742" s="1" t="str">
        <f>"山东省 济南市 市中区 "</f>
        <v xml:space="preserve">山东省 济南市 市中区 </v>
      </c>
      <c r="N742" s="1" t="str">
        <f t="shared" si="221"/>
        <v>凡华云仓-城南圆通-微信视频号</v>
      </c>
      <c r="O742" s="5" t="s">
        <v>781</v>
      </c>
      <c r="P742" s="6">
        <v>0.12</v>
      </c>
      <c r="Q742" s="11">
        <v>2</v>
      </c>
      <c r="R742" s="11"/>
      <c r="S742" s="11"/>
      <c r="T742" s="11"/>
      <c r="U742" s="11">
        <f t="shared" si="230"/>
        <v>2</v>
      </c>
      <c r="W742">
        <v>2.2000000000000002</v>
      </c>
      <c r="X742" s="1" t="s">
        <v>30</v>
      </c>
    </row>
    <row r="743" spans="1:24" x14ac:dyDescent="0.25">
      <c r="A743" s="1" t="str">
        <f t="shared" si="226"/>
        <v>卡卡杜-凤凰仓</v>
      </c>
      <c r="B743" s="1" t="str">
        <f>"CK20241030206"</f>
        <v>CK20241030206</v>
      </c>
      <c r="C743" s="1" t="str">
        <f>"DD2024103036279"</f>
        <v>DD2024103036279</v>
      </c>
      <c r="D743" s="1" t="str">
        <f>"CK2024103035720"</f>
        <v>CK2024103035720</v>
      </c>
      <c r="E743" s="1" t="str">
        <f>"3723652324481172992"</f>
        <v>3723652324481172992</v>
      </c>
      <c r="F743" s="1" t="str">
        <f t="shared" si="227"/>
        <v>花都四部-凤凰仓</v>
      </c>
      <c r="G743" s="1" t="str">
        <f t="shared" si="223"/>
        <v>卡卡杜企业店（视频号）</v>
      </c>
      <c r="H743" s="1" t="str">
        <f t="shared" si="228"/>
        <v>正常订单</v>
      </c>
      <c r="I743" s="1" t="str">
        <f t="shared" si="229"/>
        <v>已发货</v>
      </c>
      <c r="J743" s="1" t="str">
        <f t="shared" ref="J743:J748" si="238">"3"</f>
        <v>3</v>
      </c>
      <c r="K743" s="1">
        <v>2</v>
      </c>
      <c r="L743" s="1" t="s">
        <v>66</v>
      </c>
      <c r="M743" s="1" t="str">
        <f>"内蒙古自治区 包头市 青山区 "</f>
        <v xml:space="preserve">内蒙古自治区 包头市 青山区 </v>
      </c>
      <c r="N743" s="1" t="str">
        <f t="shared" si="221"/>
        <v>凡华云仓-城南圆通-微信视频号</v>
      </c>
      <c r="O743" s="5" t="s">
        <v>782</v>
      </c>
      <c r="P743" s="6">
        <v>0.25</v>
      </c>
      <c r="Q743" s="11">
        <v>2</v>
      </c>
      <c r="R743" s="11"/>
      <c r="S743" s="11"/>
      <c r="T743" s="11"/>
      <c r="U743" s="11">
        <f t="shared" si="230"/>
        <v>2</v>
      </c>
      <c r="W743">
        <v>2.2000000000000002</v>
      </c>
      <c r="X743" s="1" t="s">
        <v>66</v>
      </c>
    </row>
    <row r="744" spans="1:24" x14ac:dyDescent="0.25">
      <c r="A744" s="1" t="str">
        <f t="shared" si="226"/>
        <v>卡卡杜-凤凰仓</v>
      </c>
      <c r="B744" s="1" t="str">
        <f>"CK20241030204"</f>
        <v>CK20241030204</v>
      </c>
      <c r="C744" s="1" t="str">
        <f>"DD2024103036278"</f>
        <v>DD2024103036278</v>
      </c>
      <c r="D744" s="1" t="str">
        <f>"CK2024103035719"</f>
        <v>CK2024103035719</v>
      </c>
      <c r="E744" s="1" t="str">
        <f>"3723652328438498560"</f>
        <v>3723652328438498560</v>
      </c>
      <c r="F744" s="1" t="str">
        <f t="shared" si="227"/>
        <v>花都四部-凤凰仓</v>
      </c>
      <c r="G744" s="1" t="str">
        <f t="shared" si="223"/>
        <v>卡卡杜企业店（视频号）</v>
      </c>
      <c r="H744" s="1" t="str">
        <f t="shared" si="228"/>
        <v>正常订单</v>
      </c>
      <c r="I744" s="1" t="str">
        <f t="shared" si="229"/>
        <v>已发货</v>
      </c>
      <c r="J744" s="1" t="str">
        <f>"1"</f>
        <v>1</v>
      </c>
      <c r="K744" s="1">
        <v>1</v>
      </c>
      <c r="L744" s="1" t="s">
        <v>94</v>
      </c>
      <c r="M744" s="1" t="str">
        <f>"湖南省 娄底市 双峰县 "</f>
        <v xml:space="preserve">湖南省 娄底市 双峰县 </v>
      </c>
      <c r="N744" s="1" t="str">
        <f t="shared" si="221"/>
        <v>凡华云仓-城南圆通-微信视频号</v>
      </c>
      <c r="O744" s="5" t="s">
        <v>783</v>
      </c>
      <c r="P744" s="6">
        <v>0.12</v>
      </c>
      <c r="Q744" s="11">
        <v>2</v>
      </c>
      <c r="R744" s="11"/>
      <c r="S744" s="11"/>
      <c r="T744" s="11"/>
      <c r="U744" s="11">
        <f t="shared" si="230"/>
        <v>2</v>
      </c>
      <c r="W744">
        <v>2.2000000000000002</v>
      </c>
      <c r="X744" s="1" t="s">
        <v>94</v>
      </c>
    </row>
    <row r="745" spans="1:24" x14ac:dyDescent="0.25">
      <c r="A745" s="1" t="str">
        <f t="shared" si="226"/>
        <v>卡卡杜-凤凰仓</v>
      </c>
      <c r="B745" s="1" t="str">
        <f>"CK20241030205"</f>
        <v>CK20241030205</v>
      </c>
      <c r="C745" s="1" t="str">
        <f>"DD2024103036281"</f>
        <v>DD2024103036281</v>
      </c>
      <c r="D745" s="1" t="str">
        <f>"CK2024103035718"</f>
        <v>CK2024103035718</v>
      </c>
      <c r="E745" s="1" t="str">
        <f>"3723652328126551040"</f>
        <v>3723652328126551040</v>
      </c>
      <c r="F745" s="1" t="str">
        <f t="shared" si="227"/>
        <v>花都四部-凤凰仓</v>
      </c>
      <c r="G745" s="1" t="str">
        <f t="shared" si="223"/>
        <v>卡卡杜企业店（视频号）</v>
      </c>
      <c r="H745" s="1" t="str">
        <f t="shared" si="228"/>
        <v>正常订单</v>
      </c>
      <c r="I745" s="1" t="str">
        <f t="shared" si="229"/>
        <v>已发货</v>
      </c>
      <c r="J745" s="1" t="str">
        <f t="shared" si="238"/>
        <v>3</v>
      </c>
      <c r="K745" s="1">
        <v>2</v>
      </c>
      <c r="L745" s="1" t="s">
        <v>74</v>
      </c>
      <c r="M745" s="1" t="str">
        <f>"上海 上海市 宝山区 "</f>
        <v xml:space="preserve">上海 上海市 宝山区 </v>
      </c>
      <c r="N745" s="1" t="str">
        <f t="shared" si="221"/>
        <v>凡华云仓-城南圆通-微信视频号</v>
      </c>
      <c r="O745" s="5" t="s">
        <v>784</v>
      </c>
      <c r="P745" s="6">
        <v>0.25</v>
      </c>
      <c r="Q745" s="11">
        <v>2</v>
      </c>
      <c r="R745" s="11"/>
      <c r="S745" s="11"/>
      <c r="T745" s="11"/>
      <c r="U745" s="11">
        <f t="shared" si="230"/>
        <v>2</v>
      </c>
      <c r="W745">
        <v>2.2000000000000002</v>
      </c>
      <c r="X745" s="1" t="s">
        <v>74</v>
      </c>
    </row>
    <row r="746" spans="1:24" x14ac:dyDescent="0.25">
      <c r="A746" s="1" t="str">
        <f t="shared" si="226"/>
        <v>卡卡杜-凤凰仓</v>
      </c>
      <c r="B746" s="1" t="str">
        <f>"CK20241030210"</f>
        <v>CK20241030210</v>
      </c>
      <c r="C746" s="1" t="str">
        <f>"DD2024103036286"</f>
        <v>DD2024103036286</v>
      </c>
      <c r="D746" s="1" t="str">
        <f>"CK2024103035717"</f>
        <v>CK2024103035717</v>
      </c>
      <c r="E746" s="1" t="str">
        <f>"3723652325306405888"</f>
        <v>3723652325306405888</v>
      </c>
      <c r="F746" s="1" t="str">
        <f t="shared" si="227"/>
        <v>花都四部-凤凰仓</v>
      </c>
      <c r="G746" s="1" t="str">
        <f t="shared" si="223"/>
        <v>卡卡杜企业店（视频号）</v>
      </c>
      <c r="H746" s="1" t="str">
        <f t="shared" si="228"/>
        <v>正常订单</v>
      </c>
      <c r="I746" s="1" t="str">
        <f t="shared" si="229"/>
        <v>已发货</v>
      </c>
      <c r="J746" s="1" t="str">
        <f t="shared" si="238"/>
        <v>3</v>
      </c>
      <c r="K746" s="1">
        <v>2</v>
      </c>
      <c r="L746" s="1" t="s">
        <v>740</v>
      </c>
      <c r="M746" s="1" t="str">
        <f>"宁夏回族自治区 银川市 金凤区 "</f>
        <v xml:space="preserve">宁夏回族自治区 银川市 金凤区 </v>
      </c>
      <c r="N746" s="1" t="str">
        <f t="shared" si="221"/>
        <v>凡华云仓-城南圆通-微信视频号</v>
      </c>
      <c r="O746" s="5" t="s">
        <v>785</v>
      </c>
      <c r="P746" s="6">
        <v>0.25</v>
      </c>
      <c r="Q746" s="11">
        <v>2</v>
      </c>
      <c r="R746" s="11"/>
      <c r="S746" s="11"/>
      <c r="T746" s="11"/>
      <c r="U746" s="11">
        <f t="shared" si="230"/>
        <v>2</v>
      </c>
      <c r="W746">
        <v>2.2000000000000002</v>
      </c>
      <c r="X746" s="1" t="s">
        <v>740</v>
      </c>
    </row>
    <row r="747" spans="1:24" x14ac:dyDescent="0.25">
      <c r="A747" s="1" t="str">
        <f t="shared" si="226"/>
        <v>卡卡杜-凤凰仓</v>
      </c>
      <c r="B747" s="1" t="str">
        <f>"CK20241030209"</f>
        <v>CK20241030209</v>
      </c>
      <c r="C747" s="1" t="str">
        <f>"DD2024103036284"</f>
        <v>DD2024103036284</v>
      </c>
      <c r="D747" s="1" t="str">
        <f>"CK2024103035716"</f>
        <v>CK2024103035716</v>
      </c>
      <c r="E747" s="1" t="str">
        <f>"3723652324569519104"</f>
        <v>3723652324569519104</v>
      </c>
      <c r="F747" s="1" t="str">
        <f t="shared" si="227"/>
        <v>花都四部-凤凰仓</v>
      </c>
      <c r="G747" s="1" t="str">
        <f t="shared" si="223"/>
        <v>卡卡杜企业店（视频号）</v>
      </c>
      <c r="H747" s="1" t="str">
        <f t="shared" si="228"/>
        <v>正常订单</v>
      </c>
      <c r="I747" s="1" t="str">
        <f t="shared" si="229"/>
        <v>已发货</v>
      </c>
      <c r="J747" s="1" t="str">
        <f t="shared" si="238"/>
        <v>3</v>
      </c>
      <c r="K747" s="1">
        <v>2</v>
      </c>
      <c r="L747" s="1" t="s">
        <v>60</v>
      </c>
      <c r="M747" s="1" t="str">
        <f>"云南省 昆明市 五华区 "</f>
        <v xml:space="preserve">云南省 昆明市 五华区 </v>
      </c>
      <c r="N747" s="1" t="str">
        <f t="shared" si="221"/>
        <v>凡华云仓-城南圆通-微信视频号</v>
      </c>
      <c r="O747" s="5" t="s">
        <v>786</v>
      </c>
      <c r="P747" s="6">
        <v>0.25</v>
      </c>
      <c r="Q747" s="11">
        <v>2</v>
      </c>
      <c r="R747" s="11"/>
      <c r="S747" s="11"/>
      <c r="T747" s="11"/>
      <c r="U747" s="11">
        <f t="shared" si="230"/>
        <v>2</v>
      </c>
      <c r="W747">
        <v>2.2000000000000002</v>
      </c>
      <c r="X747" s="1" t="s">
        <v>60</v>
      </c>
    </row>
    <row r="748" spans="1:24" x14ac:dyDescent="0.25">
      <c r="A748" s="1" t="str">
        <f t="shared" si="226"/>
        <v>卡卡杜-凤凰仓</v>
      </c>
      <c r="B748" s="1" t="str">
        <f>"CK20241030208"</f>
        <v>CK20241030208</v>
      </c>
      <c r="C748" s="1" t="str">
        <f>"DD2024103036283"</f>
        <v>DD2024103036283</v>
      </c>
      <c r="D748" s="1" t="str">
        <f>"CK2024103035715"</f>
        <v>CK2024103035715</v>
      </c>
      <c r="E748" s="1" t="str">
        <f>"3723652325352804353"</f>
        <v>3723652325352804353</v>
      </c>
      <c r="F748" s="1" t="str">
        <f t="shared" si="227"/>
        <v>花都四部-凤凰仓</v>
      </c>
      <c r="G748" s="1" t="str">
        <f t="shared" si="223"/>
        <v>卡卡杜企业店（视频号）</v>
      </c>
      <c r="H748" s="1" t="str">
        <f t="shared" si="228"/>
        <v>正常订单</v>
      </c>
      <c r="I748" s="1" t="str">
        <f t="shared" si="229"/>
        <v>已发货</v>
      </c>
      <c r="J748" s="1" t="str">
        <f t="shared" si="238"/>
        <v>3</v>
      </c>
      <c r="K748" s="1">
        <v>2</v>
      </c>
      <c r="L748" s="1" t="s">
        <v>24</v>
      </c>
      <c r="M748" s="1" t="str">
        <f>"福建省 厦门市 思明区 "</f>
        <v xml:space="preserve">福建省 厦门市 思明区 </v>
      </c>
      <c r="N748" s="1" t="str">
        <f t="shared" si="221"/>
        <v>凡华云仓-城南圆通-微信视频号</v>
      </c>
      <c r="O748" s="5" t="s">
        <v>787</v>
      </c>
      <c r="P748" s="6">
        <v>0.25</v>
      </c>
      <c r="Q748" s="11">
        <v>2</v>
      </c>
      <c r="R748" s="11"/>
      <c r="S748" s="11"/>
      <c r="T748" s="11"/>
      <c r="U748" s="11">
        <f t="shared" si="230"/>
        <v>2</v>
      </c>
      <c r="W748">
        <v>2.2000000000000002</v>
      </c>
      <c r="X748" s="1" t="s">
        <v>24</v>
      </c>
    </row>
    <row r="749" spans="1:24" x14ac:dyDescent="0.25">
      <c r="A749" s="1" t="str">
        <f t="shared" si="226"/>
        <v>卡卡杜-凤凰仓</v>
      </c>
      <c r="B749" s="1" t="str">
        <f>"CK20241030211"</f>
        <v>CK20241030211</v>
      </c>
      <c r="C749" s="1" t="str">
        <f>"DD2024103036285"</f>
        <v>DD2024103036285</v>
      </c>
      <c r="D749" s="1" t="str">
        <f>"CK2024103035714"</f>
        <v>CK2024103035714</v>
      </c>
      <c r="E749" s="1" t="str">
        <f>"3723652325271277568"</f>
        <v>3723652325271277568</v>
      </c>
      <c r="F749" s="1" t="str">
        <f t="shared" si="227"/>
        <v>花都四部-凤凰仓</v>
      </c>
      <c r="G749" s="1" t="str">
        <f t="shared" si="223"/>
        <v>卡卡杜企业店（视频号）</v>
      </c>
      <c r="H749" s="1" t="str">
        <f t="shared" si="228"/>
        <v>正常订单</v>
      </c>
      <c r="I749" s="1" t="str">
        <f t="shared" si="229"/>
        <v>已发货</v>
      </c>
      <c r="J749" s="1" t="str">
        <f t="shared" ref="J749:J751" si="239">"1"</f>
        <v>1</v>
      </c>
      <c r="K749" s="1">
        <v>1</v>
      </c>
      <c r="L749" s="1" t="s">
        <v>24</v>
      </c>
      <c r="M749" s="1" t="str">
        <f>"福建省 厦门市 思明区 "</f>
        <v xml:space="preserve">福建省 厦门市 思明区 </v>
      </c>
      <c r="N749" s="1" t="str">
        <f t="shared" si="221"/>
        <v>凡华云仓-城南圆通-微信视频号</v>
      </c>
      <c r="O749" s="5" t="s">
        <v>788</v>
      </c>
      <c r="P749" s="6">
        <v>0.12</v>
      </c>
      <c r="Q749" s="11">
        <v>2</v>
      </c>
      <c r="R749" s="11"/>
      <c r="S749" s="11"/>
      <c r="T749" s="11"/>
      <c r="U749" s="11">
        <f t="shared" si="230"/>
        <v>2</v>
      </c>
      <c r="W749">
        <v>2.2000000000000002</v>
      </c>
      <c r="X749" s="1" t="s">
        <v>24</v>
      </c>
    </row>
    <row r="750" spans="1:24" x14ac:dyDescent="0.25">
      <c r="A750" s="1" t="str">
        <f t="shared" si="226"/>
        <v>卡卡杜-凤凰仓</v>
      </c>
      <c r="B750" s="1" t="str">
        <f>"CK20241030212"</f>
        <v>CK20241030212</v>
      </c>
      <c r="C750" s="1" t="str">
        <f>"DD2024103036287"</f>
        <v>DD2024103036287</v>
      </c>
      <c r="D750" s="1" t="str">
        <f>"CK2024103035713"</f>
        <v>CK2024103035713</v>
      </c>
      <c r="E750" s="1" t="str">
        <f>"3723652322116111360"</f>
        <v>3723652322116111360</v>
      </c>
      <c r="F750" s="1" t="str">
        <f t="shared" si="227"/>
        <v>花都四部-凤凰仓</v>
      </c>
      <c r="G750" s="1" t="str">
        <f t="shared" si="223"/>
        <v>卡卡杜企业店（视频号）</v>
      </c>
      <c r="H750" s="1" t="str">
        <f t="shared" si="228"/>
        <v>正常订单</v>
      </c>
      <c r="I750" s="1" t="str">
        <f t="shared" si="229"/>
        <v>已发货</v>
      </c>
      <c r="J750" s="1" t="str">
        <f t="shared" si="239"/>
        <v>1</v>
      </c>
      <c r="K750" s="1">
        <v>1</v>
      </c>
      <c r="L750" s="1" t="s">
        <v>109</v>
      </c>
      <c r="M750" s="1" t="str">
        <f>"山西省 长治市 上党区 "</f>
        <v xml:space="preserve">山西省 长治市 上党区 </v>
      </c>
      <c r="N750" s="1" t="str">
        <f t="shared" si="221"/>
        <v>凡华云仓-城南圆通-微信视频号</v>
      </c>
      <c r="O750" s="5" t="s">
        <v>789</v>
      </c>
      <c r="P750" s="6">
        <v>0.12</v>
      </c>
      <c r="Q750" s="11">
        <v>2</v>
      </c>
      <c r="R750" s="11"/>
      <c r="S750" s="11"/>
      <c r="T750" s="11"/>
      <c r="U750" s="11">
        <f t="shared" si="230"/>
        <v>2</v>
      </c>
      <c r="W750">
        <v>2.2000000000000002</v>
      </c>
      <c r="X750" s="1" t="s">
        <v>109</v>
      </c>
    </row>
    <row r="751" spans="1:24" x14ac:dyDescent="0.25">
      <c r="A751" s="1" t="str">
        <f t="shared" si="226"/>
        <v>卡卡杜-凤凰仓</v>
      </c>
      <c r="B751" s="1" t="str">
        <f>"CK20241030213"</f>
        <v>CK20241030213</v>
      </c>
      <c r="C751" s="1" t="str">
        <f>"DD2024103036288"</f>
        <v>DD2024103036288</v>
      </c>
      <c r="D751" s="1" t="str">
        <f>"CK2024103035712"</f>
        <v>CK2024103035712</v>
      </c>
      <c r="E751" s="1" t="str">
        <f>"3723652323089977345"</f>
        <v>3723652323089977345</v>
      </c>
      <c r="F751" s="1" t="str">
        <f t="shared" si="227"/>
        <v>花都四部-凤凰仓</v>
      </c>
      <c r="G751" s="1" t="str">
        <f t="shared" si="223"/>
        <v>卡卡杜企业店（视频号）</v>
      </c>
      <c r="H751" s="1" t="str">
        <f t="shared" si="228"/>
        <v>正常订单</v>
      </c>
      <c r="I751" s="1" t="str">
        <f t="shared" si="229"/>
        <v>已发货</v>
      </c>
      <c r="J751" s="1" t="str">
        <f t="shared" si="239"/>
        <v>1</v>
      </c>
      <c r="K751" s="1">
        <v>1</v>
      </c>
      <c r="L751" s="1" t="s">
        <v>161</v>
      </c>
      <c r="M751" s="1" t="str">
        <f>"四川省 成都市 彭州市 "</f>
        <v xml:space="preserve">四川省 成都市 彭州市 </v>
      </c>
      <c r="N751" s="1" t="str">
        <f t="shared" si="221"/>
        <v>凡华云仓-城南圆通-微信视频号</v>
      </c>
      <c r="O751" s="5" t="s">
        <v>790</v>
      </c>
      <c r="P751" s="6">
        <v>0.12</v>
      </c>
      <c r="Q751" s="11">
        <v>2</v>
      </c>
      <c r="R751" s="11"/>
      <c r="S751" s="11"/>
      <c r="T751" s="11"/>
      <c r="U751" s="11">
        <f t="shared" si="230"/>
        <v>2</v>
      </c>
      <c r="W751">
        <v>2.2000000000000002</v>
      </c>
      <c r="X751" s="1" t="s">
        <v>161</v>
      </c>
    </row>
    <row r="752" spans="1:24" x14ac:dyDescent="0.25">
      <c r="A752" s="1" t="str">
        <f t="shared" si="226"/>
        <v>卡卡杜-凤凰仓</v>
      </c>
      <c r="B752" s="1" t="str">
        <f>"CK20241030214"</f>
        <v>CK20241030214</v>
      </c>
      <c r="C752" s="1" t="str">
        <f>"DD2024103036289"</f>
        <v>DD2024103036289</v>
      </c>
      <c r="D752" s="1" t="str">
        <f>"CK2024103035711"</f>
        <v>CK2024103035711</v>
      </c>
      <c r="E752" s="1" t="str">
        <f>"3723652321473335296"</f>
        <v>3723652321473335296</v>
      </c>
      <c r="F752" s="1" t="str">
        <f t="shared" si="227"/>
        <v>花都四部-凤凰仓</v>
      </c>
      <c r="G752" s="1" t="str">
        <f t="shared" si="223"/>
        <v>卡卡杜企业店（视频号）</v>
      </c>
      <c r="H752" s="1" t="str">
        <f t="shared" si="228"/>
        <v>正常订单</v>
      </c>
      <c r="I752" s="1" t="str">
        <f t="shared" si="229"/>
        <v>已发货</v>
      </c>
      <c r="J752" s="1" t="str">
        <f t="shared" ref="J752:J757" si="240">"3"</f>
        <v>3</v>
      </c>
      <c r="K752" s="1">
        <v>2</v>
      </c>
      <c r="L752" s="1" t="s">
        <v>92</v>
      </c>
      <c r="M752" s="1" t="str">
        <f>"辽宁省 沈阳市 沈河区 "</f>
        <v xml:space="preserve">辽宁省 沈阳市 沈河区 </v>
      </c>
      <c r="N752" s="1" t="str">
        <f t="shared" si="221"/>
        <v>凡华云仓-城南圆通-微信视频号</v>
      </c>
      <c r="O752" s="5" t="s">
        <v>791</v>
      </c>
      <c r="P752" s="6">
        <v>0.25</v>
      </c>
      <c r="Q752" s="11">
        <v>2</v>
      </c>
      <c r="R752" s="11"/>
      <c r="S752" s="11"/>
      <c r="T752" s="11"/>
      <c r="U752" s="11">
        <f t="shared" si="230"/>
        <v>2</v>
      </c>
      <c r="W752">
        <v>2.2000000000000002</v>
      </c>
      <c r="X752" s="1" t="s">
        <v>92</v>
      </c>
    </row>
    <row r="753" spans="1:24" x14ac:dyDescent="0.25">
      <c r="A753" s="1" t="str">
        <f t="shared" si="226"/>
        <v>卡卡杜-凤凰仓</v>
      </c>
      <c r="B753" s="1" t="str">
        <f>"CK20241030217"</f>
        <v>CK20241030217</v>
      </c>
      <c r="C753" s="1" t="str">
        <f>"DD2024103036292"</f>
        <v>DD2024103036292</v>
      </c>
      <c r="D753" s="1" t="str">
        <f>"CK2024103035710"</f>
        <v>CK2024103035710</v>
      </c>
      <c r="E753" s="1" t="str">
        <f>"3723652311783443456"</f>
        <v>3723652311783443456</v>
      </c>
      <c r="F753" s="1" t="str">
        <f t="shared" si="227"/>
        <v>花都四部-凤凰仓</v>
      </c>
      <c r="G753" s="1" t="str">
        <f t="shared" si="223"/>
        <v>卡卡杜企业店（视频号）</v>
      </c>
      <c r="H753" s="1" t="str">
        <f t="shared" si="228"/>
        <v>正常订单</v>
      </c>
      <c r="I753" s="1" t="str">
        <f t="shared" si="229"/>
        <v>已发货</v>
      </c>
      <c r="J753" s="1" t="str">
        <f>"1"</f>
        <v>1</v>
      </c>
      <c r="K753" s="1">
        <v>1</v>
      </c>
      <c r="L753" s="1" t="s">
        <v>13</v>
      </c>
      <c r="M753" s="1" t="str">
        <f>"江苏省 南京市 玄武区 "</f>
        <v xml:space="preserve">江苏省 南京市 玄武区 </v>
      </c>
      <c r="N753" s="1" t="str">
        <f t="shared" si="221"/>
        <v>凡华云仓-城南圆通-微信视频号</v>
      </c>
      <c r="O753" s="5" t="s">
        <v>792</v>
      </c>
      <c r="P753" s="6">
        <v>0.12</v>
      </c>
      <c r="Q753" s="11">
        <v>2</v>
      </c>
      <c r="R753" s="11"/>
      <c r="S753" s="11"/>
      <c r="T753" s="11"/>
      <c r="U753" s="11">
        <f t="shared" si="230"/>
        <v>2</v>
      </c>
      <c r="W753">
        <v>2.2000000000000002</v>
      </c>
      <c r="X753" s="1" t="s">
        <v>13</v>
      </c>
    </row>
    <row r="754" spans="1:24" x14ac:dyDescent="0.25">
      <c r="A754" s="1" t="str">
        <f t="shared" si="226"/>
        <v>卡卡杜-凤凰仓</v>
      </c>
      <c r="B754" s="1" t="str">
        <f>"CK20241030215"</f>
        <v>CK20241030215</v>
      </c>
      <c r="C754" s="1" t="str">
        <f>"DD2024103036290"</f>
        <v>DD2024103036290</v>
      </c>
      <c r="D754" s="1" t="str">
        <f>"CK2024103035709"</f>
        <v>CK2024103035709</v>
      </c>
      <c r="E754" s="1" t="str">
        <f>"3723652316136084480"</f>
        <v>3723652316136084480</v>
      </c>
      <c r="F754" s="1" t="str">
        <f t="shared" si="227"/>
        <v>花都四部-凤凰仓</v>
      </c>
      <c r="G754" s="1" t="str">
        <f t="shared" si="223"/>
        <v>卡卡杜企业店（视频号）</v>
      </c>
      <c r="H754" s="1" t="str">
        <f t="shared" si="228"/>
        <v>正常订单</v>
      </c>
      <c r="I754" s="1" t="str">
        <f t="shared" si="229"/>
        <v>已发货</v>
      </c>
      <c r="J754" s="1" t="str">
        <f t="shared" si="240"/>
        <v>3</v>
      </c>
      <c r="K754" s="1">
        <v>2</v>
      </c>
      <c r="L754" s="1" t="s">
        <v>92</v>
      </c>
      <c r="M754" s="1" t="str">
        <f>"辽宁省 丹东市 振兴区 "</f>
        <v xml:space="preserve">辽宁省 丹东市 振兴区 </v>
      </c>
      <c r="N754" s="1" t="str">
        <f t="shared" ref="N754:N817" si="241">"凡华云仓-城南圆通-微信视频号"</f>
        <v>凡华云仓-城南圆通-微信视频号</v>
      </c>
      <c r="O754" s="5" t="s">
        <v>793</v>
      </c>
      <c r="P754" s="6">
        <v>0.25</v>
      </c>
      <c r="Q754" s="11">
        <v>2</v>
      </c>
      <c r="R754" s="11"/>
      <c r="S754" s="11"/>
      <c r="T754" s="11"/>
      <c r="U754" s="11">
        <f t="shared" si="230"/>
        <v>2</v>
      </c>
      <c r="W754">
        <v>2.2000000000000002</v>
      </c>
      <c r="X754" s="1" t="s">
        <v>92</v>
      </c>
    </row>
    <row r="755" spans="1:24" x14ac:dyDescent="0.25">
      <c r="A755" s="1" t="str">
        <f t="shared" si="226"/>
        <v>卡卡杜-凤凰仓</v>
      </c>
      <c r="B755" s="1" t="str">
        <f>"CK20241030440"</f>
        <v>CK20241030440</v>
      </c>
      <c r="C755" s="1" t="str">
        <f>"DD2024103036515"</f>
        <v>DD2024103036515</v>
      </c>
      <c r="D755" s="1" t="str">
        <f>"CK2024103035708"</f>
        <v>CK2024103035708</v>
      </c>
      <c r="E755" s="1" t="str">
        <f>"3723652316834958336"</f>
        <v>3723652316834958336</v>
      </c>
      <c r="F755" s="1" t="str">
        <f t="shared" si="227"/>
        <v>花都四部-凤凰仓</v>
      </c>
      <c r="G755" s="1" t="str">
        <f t="shared" si="223"/>
        <v>卡卡杜企业店（视频号）</v>
      </c>
      <c r="H755" s="1" t="str">
        <f t="shared" si="228"/>
        <v>正常订单</v>
      </c>
      <c r="I755" s="1" t="str">
        <f t="shared" si="229"/>
        <v>已发货</v>
      </c>
      <c r="J755" s="1" t="str">
        <f t="shared" si="240"/>
        <v>3</v>
      </c>
      <c r="K755" s="1">
        <v>2</v>
      </c>
      <c r="L755" s="1" t="s">
        <v>18</v>
      </c>
      <c r="M755" s="1" t="str">
        <f>"广东省 东莞市 东莞市 "</f>
        <v xml:space="preserve">广东省 东莞市 东莞市 </v>
      </c>
      <c r="N755" s="1" t="str">
        <f t="shared" si="241"/>
        <v>凡华云仓-城南圆通-微信视频号</v>
      </c>
      <c r="O755" s="5" t="s">
        <v>794</v>
      </c>
      <c r="P755" s="6">
        <v>0.25</v>
      </c>
      <c r="Q755" s="11">
        <v>2</v>
      </c>
      <c r="R755" s="11"/>
      <c r="S755" s="11"/>
      <c r="T755" s="11"/>
      <c r="U755" s="11">
        <f t="shared" si="230"/>
        <v>2</v>
      </c>
      <c r="W755">
        <v>2.2000000000000002</v>
      </c>
      <c r="X755" s="1" t="s">
        <v>18</v>
      </c>
    </row>
    <row r="756" spans="1:24" x14ac:dyDescent="0.25">
      <c r="A756" s="1" t="str">
        <f t="shared" si="226"/>
        <v>卡卡杜-凤凰仓</v>
      </c>
      <c r="B756" s="1" t="str">
        <f>"CK20241030216"</f>
        <v>CK20241030216</v>
      </c>
      <c r="C756" s="1" t="str">
        <f>"DD2024103036291"</f>
        <v>DD2024103036291</v>
      </c>
      <c r="D756" s="1" t="str">
        <f>"CK2024103035707"</f>
        <v>CK2024103035707</v>
      </c>
      <c r="E756" s="1" t="str">
        <f>"3723652315421476096"</f>
        <v>3723652315421476096</v>
      </c>
      <c r="F756" s="1" t="str">
        <f t="shared" si="227"/>
        <v>花都四部-凤凰仓</v>
      </c>
      <c r="G756" s="1" t="str">
        <f t="shared" si="223"/>
        <v>卡卡杜企业店（视频号）</v>
      </c>
      <c r="H756" s="1" t="str">
        <f t="shared" si="228"/>
        <v>正常订单</v>
      </c>
      <c r="I756" s="1" t="str">
        <f t="shared" si="229"/>
        <v>已发货</v>
      </c>
      <c r="J756" s="1" t="str">
        <f t="shared" si="240"/>
        <v>3</v>
      </c>
      <c r="K756" s="1">
        <v>2</v>
      </c>
      <c r="L756" s="1" t="s">
        <v>109</v>
      </c>
      <c r="M756" s="1" t="str">
        <f>"山西省 太原市 杏花岭区 "</f>
        <v xml:space="preserve">山西省 太原市 杏花岭区 </v>
      </c>
      <c r="N756" s="1" t="str">
        <f t="shared" si="241"/>
        <v>凡华云仓-城南圆通-微信视频号</v>
      </c>
      <c r="O756" s="5" t="s">
        <v>795</v>
      </c>
      <c r="P756" s="6">
        <v>0.25</v>
      </c>
      <c r="Q756" s="11">
        <v>2</v>
      </c>
      <c r="R756" s="11"/>
      <c r="S756" s="11"/>
      <c r="T756" s="11"/>
      <c r="U756" s="11">
        <f t="shared" si="230"/>
        <v>2</v>
      </c>
      <c r="W756">
        <v>2.2000000000000002</v>
      </c>
      <c r="X756" s="1" t="s">
        <v>109</v>
      </c>
    </row>
    <row r="757" spans="1:24" x14ac:dyDescent="0.25">
      <c r="A757" s="1" t="str">
        <f t="shared" si="226"/>
        <v>卡卡杜-凤凰仓</v>
      </c>
      <c r="B757" s="1" t="str">
        <f>"CK20241030441"</f>
        <v>CK20241030441</v>
      </c>
      <c r="C757" s="1" t="str">
        <f>"DD2024103036516"</f>
        <v>DD2024103036516</v>
      </c>
      <c r="D757" s="1" t="str">
        <f>"CK2024103035706"</f>
        <v>CK2024103035706</v>
      </c>
      <c r="E757" s="1" t="str">
        <f>"3723652309097776640"</f>
        <v>3723652309097776640</v>
      </c>
      <c r="F757" s="1" t="str">
        <f t="shared" si="227"/>
        <v>花都四部-凤凰仓</v>
      </c>
      <c r="G757" s="1" t="str">
        <f t="shared" si="223"/>
        <v>卡卡杜企业店（视频号）</v>
      </c>
      <c r="H757" s="1" t="str">
        <f t="shared" si="228"/>
        <v>正常订单</v>
      </c>
      <c r="I757" s="1" t="str">
        <f t="shared" si="229"/>
        <v>已发货</v>
      </c>
      <c r="J757" s="1" t="str">
        <f t="shared" si="240"/>
        <v>3</v>
      </c>
      <c r="K757" s="1">
        <v>2</v>
      </c>
      <c r="L757" s="1" t="s">
        <v>18</v>
      </c>
      <c r="M757" s="1" t="str">
        <f>"广东省 东莞市 东莞市 "</f>
        <v xml:space="preserve">广东省 东莞市 东莞市 </v>
      </c>
      <c r="N757" s="1" t="str">
        <f t="shared" si="241"/>
        <v>凡华云仓-城南圆通-微信视频号</v>
      </c>
      <c r="O757" s="5" t="s">
        <v>796</v>
      </c>
      <c r="P757" s="6">
        <v>0.25</v>
      </c>
      <c r="Q757" s="11">
        <v>2</v>
      </c>
      <c r="R757" s="11"/>
      <c r="S757" s="11"/>
      <c r="T757" s="11"/>
      <c r="U757" s="11">
        <f t="shared" si="230"/>
        <v>2</v>
      </c>
      <c r="W757">
        <v>2.2000000000000002</v>
      </c>
      <c r="X757" s="1" t="s">
        <v>18</v>
      </c>
    </row>
    <row r="758" spans="1:24" x14ac:dyDescent="0.25">
      <c r="A758" s="1" t="str">
        <f t="shared" si="226"/>
        <v>卡卡杜-凤凰仓</v>
      </c>
      <c r="B758" s="1" t="str">
        <f>"CK20241030218"</f>
        <v>CK20241030218</v>
      </c>
      <c r="C758" s="1" t="str">
        <f>"DD2024103036293"</f>
        <v>DD2024103036293</v>
      </c>
      <c r="D758" s="1" t="str">
        <f>"CK2024103035705"</f>
        <v>CK2024103035705</v>
      </c>
      <c r="E758" s="1" t="str">
        <f>"3723652305367729408"</f>
        <v>3723652305367729408</v>
      </c>
      <c r="F758" s="1" t="str">
        <f t="shared" si="227"/>
        <v>花都四部-凤凰仓</v>
      </c>
      <c r="G758" s="1" t="str">
        <f t="shared" si="223"/>
        <v>卡卡杜企业店（视频号）</v>
      </c>
      <c r="H758" s="1" t="str">
        <f t="shared" si="228"/>
        <v>正常订单</v>
      </c>
      <c r="I758" s="1" t="str">
        <f t="shared" si="229"/>
        <v>已发货</v>
      </c>
      <c r="J758" s="1" t="str">
        <f t="shared" ref="J758:J764" si="242">"1"</f>
        <v>1</v>
      </c>
      <c r="K758" s="1">
        <v>1</v>
      </c>
      <c r="L758" s="1" t="s">
        <v>41</v>
      </c>
      <c r="M758" s="1" t="str">
        <f>"湖北省 武汉市 硚口区 "</f>
        <v xml:space="preserve">湖北省 武汉市 硚口区 </v>
      </c>
      <c r="N758" s="1" t="str">
        <f t="shared" si="241"/>
        <v>凡华云仓-城南圆通-微信视频号</v>
      </c>
      <c r="O758" s="5" t="s">
        <v>797</v>
      </c>
      <c r="P758" s="6">
        <v>0.12</v>
      </c>
      <c r="Q758" s="11">
        <v>2</v>
      </c>
      <c r="R758" s="11"/>
      <c r="S758" s="11"/>
      <c r="T758" s="11"/>
      <c r="U758" s="11">
        <f t="shared" si="230"/>
        <v>2</v>
      </c>
      <c r="W758">
        <v>2.2000000000000002</v>
      </c>
      <c r="X758" s="1" t="s">
        <v>41</v>
      </c>
    </row>
    <row r="759" spans="1:24" x14ac:dyDescent="0.25">
      <c r="A759" s="1" t="str">
        <f t="shared" si="226"/>
        <v>卡卡杜-凤凰仓</v>
      </c>
      <c r="B759" s="1" t="str">
        <f>"CK20241030221"</f>
        <v>CK20241030221</v>
      </c>
      <c r="C759" s="1" t="str">
        <f>"DD2024103036295"</f>
        <v>DD2024103036295</v>
      </c>
      <c r="D759" s="1" t="str">
        <f>"CK2024103035704"</f>
        <v>CK2024103035704</v>
      </c>
      <c r="E759" s="1" t="str">
        <f>"3723652298421437952"</f>
        <v>3723652298421437952</v>
      </c>
      <c r="F759" s="1" t="str">
        <f t="shared" si="227"/>
        <v>花都四部-凤凰仓</v>
      </c>
      <c r="G759" s="1" t="str">
        <f t="shared" ref="G759:G822" si="243">"卡卡杜企业店（视频号）"</f>
        <v>卡卡杜企业店（视频号）</v>
      </c>
      <c r="H759" s="1" t="str">
        <f t="shared" si="228"/>
        <v>正常订单</v>
      </c>
      <c r="I759" s="1" t="str">
        <f t="shared" si="229"/>
        <v>已发货</v>
      </c>
      <c r="J759" s="1" t="str">
        <f>"3"</f>
        <v>3</v>
      </c>
      <c r="K759" s="1">
        <v>2</v>
      </c>
      <c r="L759" s="1" t="s">
        <v>105</v>
      </c>
      <c r="M759" s="1" t="str">
        <f>"北京 北京市 海淀区 "</f>
        <v xml:space="preserve">北京 北京市 海淀区 </v>
      </c>
      <c r="N759" s="1" t="str">
        <f t="shared" si="241"/>
        <v>凡华云仓-城南圆通-微信视频号</v>
      </c>
      <c r="O759" s="5" t="s">
        <v>798</v>
      </c>
      <c r="P759" s="6">
        <v>0.25</v>
      </c>
      <c r="Q759" s="11">
        <v>2</v>
      </c>
      <c r="R759" s="11"/>
      <c r="S759" s="11"/>
      <c r="T759" s="11"/>
      <c r="U759" s="11">
        <f t="shared" si="230"/>
        <v>2</v>
      </c>
      <c r="W759">
        <v>2.2000000000000002</v>
      </c>
      <c r="X759" s="1" t="s">
        <v>105</v>
      </c>
    </row>
    <row r="760" spans="1:24" x14ac:dyDescent="0.25">
      <c r="A760" s="1" t="str">
        <f t="shared" si="226"/>
        <v>卡卡杜-凤凰仓</v>
      </c>
      <c r="B760" s="1" t="str">
        <f>"CK20241030219"</f>
        <v>CK20241030219</v>
      </c>
      <c r="C760" s="1" t="str">
        <f>"DD2024103036294"</f>
        <v>DD2024103036294</v>
      </c>
      <c r="D760" s="1" t="str">
        <f>"CK2024103035703"</f>
        <v>CK2024103035703</v>
      </c>
      <c r="E760" s="1" t="str">
        <f>"3723652306610819072"</f>
        <v>3723652306610819072</v>
      </c>
      <c r="F760" s="1" t="str">
        <f t="shared" si="227"/>
        <v>花都四部-凤凰仓</v>
      </c>
      <c r="G760" s="1" t="str">
        <f t="shared" si="243"/>
        <v>卡卡杜企业店（视频号）</v>
      </c>
      <c r="H760" s="1" t="str">
        <f t="shared" si="228"/>
        <v>正常订单</v>
      </c>
      <c r="I760" s="1" t="str">
        <f t="shared" si="229"/>
        <v>已发货</v>
      </c>
      <c r="J760" s="1" t="str">
        <f t="shared" si="242"/>
        <v>1</v>
      </c>
      <c r="K760" s="1">
        <v>1</v>
      </c>
      <c r="L760" s="1" t="s">
        <v>41</v>
      </c>
      <c r="M760" s="1" t="str">
        <f>"湖北省 宜昌市 西陵区 "</f>
        <v xml:space="preserve">湖北省 宜昌市 西陵区 </v>
      </c>
      <c r="N760" s="1" t="str">
        <f t="shared" si="241"/>
        <v>凡华云仓-城南圆通-微信视频号</v>
      </c>
      <c r="O760" s="5" t="s">
        <v>799</v>
      </c>
      <c r="P760" s="6">
        <v>0.12</v>
      </c>
      <c r="Q760" s="11">
        <v>2</v>
      </c>
      <c r="R760" s="11"/>
      <c r="S760" s="11"/>
      <c r="T760" s="11"/>
      <c r="U760" s="11">
        <f t="shared" si="230"/>
        <v>2</v>
      </c>
      <c r="W760">
        <v>2.2000000000000002</v>
      </c>
      <c r="X760" s="1" t="s">
        <v>41</v>
      </c>
    </row>
    <row r="761" spans="1:24" x14ac:dyDescent="0.25">
      <c r="A761" s="1" t="str">
        <f t="shared" si="226"/>
        <v>卡卡杜-凤凰仓</v>
      </c>
      <c r="B761" s="1" t="str">
        <f>"CK20241030220"</f>
        <v>CK20241030220</v>
      </c>
      <c r="C761" s="1" t="str">
        <f>"DD2024103036296"</f>
        <v>DD2024103036296</v>
      </c>
      <c r="D761" s="1" t="str">
        <f>"CK2024103035702"</f>
        <v>CK2024103035702</v>
      </c>
      <c r="E761" s="1" t="str">
        <f>"3723652305390801920"</f>
        <v>3723652305390801920</v>
      </c>
      <c r="F761" s="1" t="str">
        <f t="shared" si="227"/>
        <v>花都四部-凤凰仓</v>
      </c>
      <c r="G761" s="1" t="str">
        <f t="shared" si="243"/>
        <v>卡卡杜企业店（视频号）</v>
      </c>
      <c r="H761" s="1" t="str">
        <f t="shared" si="228"/>
        <v>正常订单</v>
      </c>
      <c r="I761" s="1" t="str">
        <f t="shared" si="229"/>
        <v>已发货</v>
      </c>
      <c r="J761" s="1" t="str">
        <f>"3"</f>
        <v>3</v>
      </c>
      <c r="K761" s="1">
        <v>2</v>
      </c>
      <c r="L761" s="1" t="s">
        <v>109</v>
      </c>
      <c r="M761" s="1" t="str">
        <f>"山西省 大同市 平城区 "</f>
        <v xml:space="preserve">山西省 大同市 平城区 </v>
      </c>
      <c r="N761" s="1" t="str">
        <f t="shared" si="241"/>
        <v>凡华云仓-城南圆通-微信视频号</v>
      </c>
      <c r="O761" s="5" t="s">
        <v>800</v>
      </c>
      <c r="P761" s="6">
        <v>0.25</v>
      </c>
      <c r="Q761" s="11">
        <v>2</v>
      </c>
      <c r="R761" s="11"/>
      <c r="S761" s="11"/>
      <c r="T761" s="11"/>
      <c r="U761" s="11">
        <f t="shared" si="230"/>
        <v>2</v>
      </c>
      <c r="W761">
        <v>2.2000000000000002</v>
      </c>
      <c r="X761" s="1" t="s">
        <v>109</v>
      </c>
    </row>
    <row r="762" spans="1:24" x14ac:dyDescent="0.25">
      <c r="A762" s="1" t="str">
        <f t="shared" si="226"/>
        <v>卡卡杜-凤凰仓</v>
      </c>
      <c r="B762" s="1" t="str">
        <f>"CK20241030223"</f>
        <v>CK20241030223</v>
      </c>
      <c r="C762" s="1" t="str">
        <f>"DD2024103036298"</f>
        <v>DD2024103036298</v>
      </c>
      <c r="D762" s="1" t="str">
        <f>"CK2024103035701"</f>
        <v>CK2024103035701</v>
      </c>
      <c r="E762" s="1" t="str">
        <f>"3723652233933489408"</f>
        <v>3723652233933489408</v>
      </c>
      <c r="F762" s="1" t="str">
        <f t="shared" si="227"/>
        <v>花都四部-凤凰仓</v>
      </c>
      <c r="G762" s="1" t="str">
        <f t="shared" si="243"/>
        <v>卡卡杜企业店（视频号）</v>
      </c>
      <c r="H762" s="1" t="str">
        <f t="shared" si="228"/>
        <v>正常订单</v>
      </c>
      <c r="I762" s="1" t="str">
        <f t="shared" si="229"/>
        <v>已发货</v>
      </c>
      <c r="J762" s="1" t="str">
        <f t="shared" si="242"/>
        <v>1</v>
      </c>
      <c r="K762" s="1">
        <v>1</v>
      </c>
      <c r="L762" s="1" t="s">
        <v>161</v>
      </c>
      <c r="M762" s="1" t="str">
        <f>"四川省 成都市 武侯区 "</f>
        <v xml:space="preserve">四川省 成都市 武侯区 </v>
      </c>
      <c r="N762" s="1" t="str">
        <f t="shared" si="241"/>
        <v>凡华云仓-城南圆通-微信视频号</v>
      </c>
      <c r="O762" s="5" t="s">
        <v>801</v>
      </c>
      <c r="P762" s="6">
        <v>0.12</v>
      </c>
      <c r="Q762" s="11">
        <v>2</v>
      </c>
      <c r="R762" s="11"/>
      <c r="S762" s="11"/>
      <c r="T762" s="11"/>
      <c r="U762" s="11">
        <f t="shared" si="230"/>
        <v>2</v>
      </c>
      <c r="W762">
        <v>2.2000000000000002</v>
      </c>
      <c r="X762" s="1" t="s">
        <v>161</v>
      </c>
    </row>
    <row r="763" spans="1:24" x14ac:dyDescent="0.25">
      <c r="A763" s="1" t="str">
        <f t="shared" si="226"/>
        <v>卡卡杜-凤凰仓</v>
      </c>
      <c r="B763" s="1" t="str">
        <f>"CK20241030224"</f>
        <v>CK20241030224</v>
      </c>
      <c r="C763" s="1" t="str">
        <f>"DD2024103036299"</f>
        <v>DD2024103036299</v>
      </c>
      <c r="D763" s="1" t="str">
        <f>"CK2024103035700"</f>
        <v>CK2024103035700</v>
      </c>
      <c r="E763" s="1" t="str">
        <f>"3723652218360300800"</f>
        <v>3723652218360300800</v>
      </c>
      <c r="F763" s="1" t="str">
        <f t="shared" si="227"/>
        <v>花都四部-凤凰仓</v>
      </c>
      <c r="G763" s="1" t="str">
        <f t="shared" si="243"/>
        <v>卡卡杜企业店（视频号）</v>
      </c>
      <c r="H763" s="1" t="str">
        <f t="shared" si="228"/>
        <v>正常订单</v>
      </c>
      <c r="I763" s="1" t="str">
        <f t="shared" si="229"/>
        <v>已发货</v>
      </c>
      <c r="J763" s="1" t="str">
        <f t="shared" si="242"/>
        <v>1</v>
      </c>
      <c r="K763" s="1">
        <v>1</v>
      </c>
      <c r="L763" s="1" t="s">
        <v>13</v>
      </c>
      <c r="M763" s="1" t="str">
        <f>"江苏省 南京市 建邺区 "</f>
        <v xml:space="preserve">江苏省 南京市 建邺区 </v>
      </c>
      <c r="N763" s="1" t="str">
        <f t="shared" si="241"/>
        <v>凡华云仓-城南圆通-微信视频号</v>
      </c>
      <c r="O763" s="5" t="s">
        <v>802</v>
      </c>
      <c r="P763" s="6">
        <v>0.12</v>
      </c>
      <c r="Q763" s="11">
        <v>2</v>
      </c>
      <c r="R763" s="11"/>
      <c r="S763" s="11"/>
      <c r="T763" s="11"/>
      <c r="U763" s="11">
        <f t="shared" si="230"/>
        <v>2</v>
      </c>
      <c r="W763">
        <v>2.2000000000000002</v>
      </c>
      <c r="X763" s="1" t="s">
        <v>13</v>
      </c>
    </row>
    <row r="764" spans="1:24" x14ac:dyDescent="0.25">
      <c r="A764" s="1" t="str">
        <f t="shared" si="226"/>
        <v>卡卡杜-凤凰仓</v>
      </c>
      <c r="B764" s="1" t="str">
        <f>"CK20241030225"</f>
        <v>CK20241030225</v>
      </c>
      <c r="C764" s="1" t="str">
        <f>"DD2024103036300"</f>
        <v>DD2024103036300</v>
      </c>
      <c r="D764" s="1" t="str">
        <f>"CK2024103035699"</f>
        <v>CK2024103035699</v>
      </c>
      <c r="E764" s="1" t="str">
        <f>"3723652175847622144"</f>
        <v>3723652175847622144</v>
      </c>
      <c r="F764" s="1" t="str">
        <f t="shared" si="227"/>
        <v>花都四部-凤凰仓</v>
      </c>
      <c r="G764" s="1" t="str">
        <f t="shared" si="243"/>
        <v>卡卡杜企业店（视频号）</v>
      </c>
      <c r="H764" s="1" t="str">
        <f t="shared" si="228"/>
        <v>正常订单</v>
      </c>
      <c r="I764" s="1" t="str">
        <f t="shared" si="229"/>
        <v>已发货</v>
      </c>
      <c r="J764" s="1" t="str">
        <f t="shared" si="242"/>
        <v>1</v>
      </c>
      <c r="K764" s="1">
        <v>1</v>
      </c>
      <c r="L764" s="1" t="s">
        <v>161</v>
      </c>
      <c r="M764" s="1" t="str">
        <f>"四川省 成都市 青羊区 "</f>
        <v xml:space="preserve">四川省 成都市 青羊区 </v>
      </c>
      <c r="N764" s="1" t="str">
        <f t="shared" si="241"/>
        <v>凡华云仓-城南圆通-微信视频号</v>
      </c>
      <c r="O764" s="5" t="s">
        <v>803</v>
      </c>
      <c r="P764" s="6">
        <v>0.12</v>
      </c>
      <c r="Q764" s="11">
        <v>2</v>
      </c>
      <c r="R764" s="11"/>
      <c r="S764" s="11"/>
      <c r="T764" s="11"/>
      <c r="U764" s="11">
        <f t="shared" si="230"/>
        <v>2</v>
      </c>
      <c r="W764">
        <v>2.2000000000000002</v>
      </c>
      <c r="X764" s="1" t="s">
        <v>161</v>
      </c>
    </row>
    <row r="765" spans="1:24" x14ac:dyDescent="0.25">
      <c r="A765" s="1" t="str">
        <f t="shared" si="226"/>
        <v>卡卡杜-凤凰仓</v>
      </c>
      <c r="B765" s="1" t="str">
        <f>"CK20241030226"</f>
        <v>CK20241030226</v>
      </c>
      <c r="C765" s="1" t="str">
        <f>"DD2024103036301"</f>
        <v>DD2024103036301</v>
      </c>
      <c r="D765" s="1" t="str">
        <f>"CK2024103035698"</f>
        <v>CK2024103035698</v>
      </c>
      <c r="E765" s="1" t="str">
        <f>"3723652011269165056"</f>
        <v>3723652011269165056</v>
      </c>
      <c r="F765" s="1" t="str">
        <f t="shared" si="227"/>
        <v>花都四部-凤凰仓</v>
      </c>
      <c r="G765" s="1" t="str">
        <f t="shared" si="243"/>
        <v>卡卡杜企业店（视频号）</v>
      </c>
      <c r="H765" s="1" t="str">
        <f t="shared" si="228"/>
        <v>正常订单</v>
      </c>
      <c r="I765" s="1" t="str">
        <f t="shared" si="229"/>
        <v>已发货</v>
      </c>
      <c r="J765" s="1" t="str">
        <f t="shared" ref="J765:J771" si="244">"3"</f>
        <v>3</v>
      </c>
      <c r="K765" s="1">
        <v>2</v>
      </c>
      <c r="L765" s="1" t="s">
        <v>32</v>
      </c>
      <c r="M765" s="1" t="str">
        <f>"陕西省 西安市 雁塔区 "</f>
        <v xml:space="preserve">陕西省 西安市 雁塔区 </v>
      </c>
      <c r="N765" s="1" t="str">
        <f t="shared" si="241"/>
        <v>凡华云仓-城南圆通-微信视频号</v>
      </c>
      <c r="O765" s="5" t="s">
        <v>804</v>
      </c>
      <c r="P765" s="6">
        <v>0.25</v>
      </c>
      <c r="Q765" s="11">
        <v>2</v>
      </c>
      <c r="R765" s="11"/>
      <c r="S765" s="11"/>
      <c r="T765" s="11"/>
      <c r="U765" s="11">
        <f t="shared" si="230"/>
        <v>2</v>
      </c>
      <c r="W765">
        <v>2.2000000000000002</v>
      </c>
      <c r="X765" s="1" t="s">
        <v>32</v>
      </c>
    </row>
    <row r="766" spans="1:24" x14ac:dyDescent="0.25">
      <c r="A766" s="1" t="str">
        <f t="shared" si="226"/>
        <v>卡卡杜-凤凰仓</v>
      </c>
      <c r="B766" s="1" t="str">
        <f>"CK20241030449"</f>
        <v>CK20241030449</v>
      </c>
      <c r="C766" s="1" t="str">
        <f>"DD2024103036576"</f>
        <v>DD2024103036576</v>
      </c>
      <c r="D766" s="1" t="str">
        <f>"CK2024103035697"</f>
        <v>CK2024103035697</v>
      </c>
      <c r="E766" s="1" t="str">
        <f>"3723651977409074176"</f>
        <v>3723651977409074176</v>
      </c>
      <c r="F766" s="1" t="str">
        <f t="shared" si="227"/>
        <v>花都四部-凤凰仓</v>
      </c>
      <c r="G766" s="1" t="str">
        <f t="shared" si="243"/>
        <v>卡卡杜企业店（视频号）</v>
      </c>
      <c r="H766" s="1" t="str">
        <f t="shared" si="228"/>
        <v>正常订单</v>
      </c>
      <c r="I766" s="1" t="str">
        <f t="shared" si="229"/>
        <v>已发货</v>
      </c>
      <c r="J766" s="1" t="str">
        <f>"5"</f>
        <v>5</v>
      </c>
      <c r="K766" s="1">
        <v>2</v>
      </c>
      <c r="L766" s="1" t="s">
        <v>16</v>
      </c>
      <c r="M766" s="1" t="str">
        <f>"河北省 保定市 莲池区 "</f>
        <v xml:space="preserve">河北省 保定市 莲池区 </v>
      </c>
      <c r="N766" s="1" t="str">
        <f t="shared" si="241"/>
        <v>凡华云仓-城南圆通-微信视频号</v>
      </c>
      <c r="O766" s="5" t="s">
        <v>805</v>
      </c>
      <c r="P766" s="6">
        <v>0.35</v>
      </c>
      <c r="Q766" s="11">
        <v>2.2999999999999998</v>
      </c>
      <c r="R766" s="11"/>
      <c r="S766" s="11"/>
      <c r="T766" s="11"/>
      <c r="U766" s="11">
        <f t="shared" si="230"/>
        <v>2.2999999999999998</v>
      </c>
      <c r="W766">
        <v>2.5</v>
      </c>
      <c r="X766" s="1" t="s">
        <v>16</v>
      </c>
    </row>
    <row r="767" spans="1:24" x14ac:dyDescent="0.25">
      <c r="A767" s="1" t="str">
        <f t="shared" si="226"/>
        <v>卡卡杜-凤凰仓</v>
      </c>
      <c r="B767" s="1" t="str">
        <f>"CK20241030227"</f>
        <v>CK20241030227</v>
      </c>
      <c r="C767" s="1" t="str">
        <f>"DD2024103036302"</f>
        <v>DD2024103036302</v>
      </c>
      <c r="D767" s="1" t="str">
        <f>"CK2024103035696"</f>
        <v>CK2024103035696</v>
      </c>
      <c r="E767" s="1" t="str">
        <f>"3723651981544131584"</f>
        <v>3723651981544131584</v>
      </c>
      <c r="F767" s="1" t="str">
        <f t="shared" si="227"/>
        <v>花都四部-凤凰仓</v>
      </c>
      <c r="G767" s="1" t="str">
        <f t="shared" si="243"/>
        <v>卡卡杜企业店（视频号）</v>
      </c>
      <c r="H767" s="1" t="str">
        <f t="shared" si="228"/>
        <v>正常订单</v>
      </c>
      <c r="I767" s="1" t="str">
        <f t="shared" si="229"/>
        <v>已发货</v>
      </c>
      <c r="J767" s="1" t="str">
        <f t="shared" ref="J767:J772" si="245">"1"</f>
        <v>1</v>
      </c>
      <c r="K767" s="1">
        <v>1</v>
      </c>
      <c r="L767" s="1" t="s">
        <v>187</v>
      </c>
      <c r="M767" s="1" t="str">
        <f>"吉林省 吉林市 昌邑区 "</f>
        <v xml:space="preserve">吉林省 吉林市 昌邑区 </v>
      </c>
      <c r="N767" s="1" t="str">
        <f t="shared" si="241"/>
        <v>凡华云仓-城南圆通-微信视频号</v>
      </c>
      <c r="O767" s="5" t="s">
        <v>806</v>
      </c>
      <c r="P767" s="6">
        <v>0.12</v>
      </c>
      <c r="Q767" s="11">
        <v>2</v>
      </c>
      <c r="R767" s="11"/>
      <c r="S767" s="11"/>
      <c r="T767" s="11"/>
      <c r="U767" s="11">
        <f t="shared" si="230"/>
        <v>2</v>
      </c>
      <c r="W767">
        <v>2.2000000000000002</v>
      </c>
      <c r="X767" s="1" t="s">
        <v>187</v>
      </c>
    </row>
    <row r="768" spans="1:24" x14ac:dyDescent="0.25">
      <c r="A768" s="1" t="str">
        <f t="shared" si="226"/>
        <v>卡卡杜-凤凰仓</v>
      </c>
      <c r="B768" s="1" t="str">
        <f>"CK20241030229"</f>
        <v>CK20241030229</v>
      </c>
      <c r="C768" s="1" t="str">
        <f>"DD2024103036304"</f>
        <v>DD2024103036304</v>
      </c>
      <c r="D768" s="1" t="str">
        <f>"CK2024103035695"</f>
        <v>CK2024103035695</v>
      </c>
      <c r="E768" s="1" t="str">
        <f>"3723651950903690496"</f>
        <v>3723651950903690496</v>
      </c>
      <c r="F768" s="1" t="str">
        <f t="shared" si="227"/>
        <v>花都四部-凤凰仓</v>
      </c>
      <c r="G768" s="1" t="str">
        <f t="shared" si="243"/>
        <v>卡卡杜企业店（视频号）</v>
      </c>
      <c r="H768" s="1" t="str">
        <f t="shared" si="228"/>
        <v>正常订单</v>
      </c>
      <c r="I768" s="1" t="str">
        <f t="shared" si="229"/>
        <v>已发货</v>
      </c>
      <c r="J768" s="1" t="str">
        <f t="shared" si="244"/>
        <v>3</v>
      </c>
      <c r="K768" s="1">
        <v>2</v>
      </c>
      <c r="L768" s="1" t="s">
        <v>182</v>
      </c>
      <c r="M768" s="1" t="str">
        <f>"新疆维吾尔自治区 乌鲁木齐市 沙依巴克区 "</f>
        <v xml:space="preserve">新疆维吾尔自治区 乌鲁木齐市 沙依巴克区 </v>
      </c>
      <c r="N768" s="1" t="str">
        <f t="shared" si="241"/>
        <v>凡华云仓-城南圆通-微信视频号</v>
      </c>
      <c r="O768" s="5" t="s">
        <v>807</v>
      </c>
      <c r="P768" s="6">
        <v>0.25</v>
      </c>
      <c r="Q768" s="11">
        <v>17</v>
      </c>
      <c r="R768" s="11"/>
      <c r="S768" s="11"/>
      <c r="T768" s="11"/>
      <c r="U768" s="11">
        <f t="shared" si="230"/>
        <v>17</v>
      </c>
      <c r="W768">
        <v>17</v>
      </c>
      <c r="X768" s="1" t="s">
        <v>182</v>
      </c>
    </row>
    <row r="769" spans="1:24" x14ac:dyDescent="0.25">
      <c r="A769" s="1" t="str">
        <f t="shared" si="226"/>
        <v>卡卡杜-凤凰仓</v>
      </c>
      <c r="B769" s="1" t="str">
        <f>"CK20241030228"</f>
        <v>CK20241030228</v>
      </c>
      <c r="C769" s="1" t="str">
        <f>"DD2024103036303"</f>
        <v>DD2024103036303</v>
      </c>
      <c r="D769" s="1" t="str">
        <f>"CK2024103035694"</f>
        <v>CK2024103035694</v>
      </c>
      <c r="E769" s="1" t="str">
        <f>"3723651955611534848"</f>
        <v>3723651955611534848</v>
      </c>
      <c r="F769" s="1" t="str">
        <f t="shared" si="227"/>
        <v>花都四部-凤凰仓</v>
      </c>
      <c r="G769" s="1" t="str">
        <f t="shared" si="243"/>
        <v>卡卡杜企业店（视频号）</v>
      </c>
      <c r="H769" s="1" t="str">
        <f t="shared" si="228"/>
        <v>正常订单</v>
      </c>
      <c r="I769" s="1" t="str">
        <f t="shared" si="229"/>
        <v>已发货</v>
      </c>
      <c r="J769" s="1" t="str">
        <f t="shared" si="245"/>
        <v>1</v>
      </c>
      <c r="K769" s="1">
        <v>1</v>
      </c>
      <c r="L769" s="1" t="s">
        <v>187</v>
      </c>
      <c r="M769" s="1" t="str">
        <f>"吉林省 白城市 大安市 "</f>
        <v xml:space="preserve">吉林省 白城市 大安市 </v>
      </c>
      <c r="N769" s="1" t="str">
        <f t="shared" si="241"/>
        <v>凡华云仓-城南圆通-微信视频号</v>
      </c>
      <c r="O769" s="5" t="s">
        <v>808</v>
      </c>
      <c r="P769" s="6">
        <v>0.12</v>
      </c>
      <c r="Q769" s="11">
        <v>2</v>
      </c>
      <c r="R769" s="11"/>
      <c r="S769" s="11"/>
      <c r="T769" s="11"/>
      <c r="U769" s="11">
        <f t="shared" si="230"/>
        <v>2</v>
      </c>
      <c r="W769">
        <v>2.2000000000000002</v>
      </c>
      <c r="X769" s="1" t="s">
        <v>187</v>
      </c>
    </row>
    <row r="770" spans="1:24" x14ac:dyDescent="0.25">
      <c r="A770" s="1" t="str">
        <f t="shared" ref="A770:A833" si="246">"卡卡杜-凤凰仓"</f>
        <v>卡卡杜-凤凰仓</v>
      </c>
      <c r="B770" s="1" t="str">
        <f>"CK20241030230"</f>
        <v>CK20241030230</v>
      </c>
      <c r="C770" s="1" t="str">
        <f>"DD2024103036305"</f>
        <v>DD2024103036305</v>
      </c>
      <c r="D770" s="1" t="str">
        <f>"CK2024103035693"</f>
        <v>CK2024103035693</v>
      </c>
      <c r="E770" s="1" t="str">
        <f>"3723651949547881984"</f>
        <v>3723651949547881984</v>
      </c>
      <c r="F770" s="1" t="str">
        <f t="shared" ref="F770:F833" si="247">"花都四部-凤凰仓"</f>
        <v>花都四部-凤凰仓</v>
      </c>
      <c r="G770" s="1" t="str">
        <f t="shared" si="243"/>
        <v>卡卡杜企业店（视频号）</v>
      </c>
      <c r="H770" s="1" t="str">
        <f t="shared" ref="H770:H833" si="248">"正常订单"</f>
        <v>正常订单</v>
      </c>
      <c r="I770" s="1" t="str">
        <f t="shared" ref="I770:I833" si="249">"已发货"</f>
        <v>已发货</v>
      </c>
      <c r="J770" s="1" t="str">
        <f t="shared" si="244"/>
        <v>3</v>
      </c>
      <c r="K770" s="1">
        <v>2</v>
      </c>
      <c r="L770" s="1" t="s">
        <v>109</v>
      </c>
      <c r="M770" s="1" t="str">
        <f>"山西省 太原市 万柏林区 "</f>
        <v xml:space="preserve">山西省 太原市 万柏林区 </v>
      </c>
      <c r="N770" s="1" t="str">
        <f t="shared" si="241"/>
        <v>凡华云仓-城南圆通-微信视频号</v>
      </c>
      <c r="O770" s="5" t="s">
        <v>809</v>
      </c>
      <c r="P770" s="6">
        <v>0.25</v>
      </c>
      <c r="Q770" s="11">
        <v>2</v>
      </c>
      <c r="R770" s="11"/>
      <c r="S770" s="11"/>
      <c r="T770" s="11"/>
      <c r="U770" s="11">
        <f t="shared" si="230"/>
        <v>2</v>
      </c>
      <c r="W770">
        <v>2.2000000000000002</v>
      </c>
      <c r="X770" s="1" t="s">
        <v>109</v>
      </c>
    </row>
    <row r="771" spans="1:24" x14ac:dyDescent="0.25">
      <c r="A771" s="1" t="str">
        <f t="shared" si="246"/>
        <v>卡卡杜-凤凰仓</v>
      </c>
      <c r="B771" s="1" t="str">
        <f>"CK20241030231"</f>
        <v>CK20241030231</v>
      </c>
      <c r="C771" s="1" t="str">
        <f>"DD2024103036306"</f>
        <v>DD2024103036306</v>
      </c>
      <c r="D771" s="1" t="str">
        <f>"CK2024103035692"</f>
        <v>CK2024103035692</v>
      </c>
      <c r="E771" s="1" t="str">
        <f>"3723651950583354369"</f>
        <v>3723651950583354369</v>
      </c>
      <c r="F771" s="1" t="str">
        <f t="shared" si="247"/>
        <v>花都四部-凤凰仓</v>
      </c>
      <c r="G771" s="1" t="str">
        <f t="shared" si="243"/>
        <v>卡卡杜企业店（视频号）</v>
      </c>
      <c r="H771" s="1" t="str">
        <f t="shared" si="248"/>
        <v>正常订单</v>
      </c>
      <c r="I771" s="1" t="str">
        <f t="shared" si="249"/>
        <v>已发货</v>
      </c>
      <c r="J771" s="1" t="str">
        <f t="shared" si="244"/>
        <v>3</v>
      </c>
      <c r="K771" s="1">
        <v>2</v>
      </c>
      <c r="L771" s="1" t="s">
        <v>30</v>
      </c>
      <c r="M771" s="1" t="str">
        <f>"山东省 青岛市 城阳区 "</f>
        <v xml:space="preserve">山东省 青岛市 城阳区 </v>
      </c>
      <c r="N771" s="1" t="str">
        <f t="shared" si="241"/>
        <v>凡华云仓-城南圆通-微信视频号</v>
      </c>
      <c r="O771" s="5" t="s">
        <v>810</v>
      </c>
      <c r="P771" s="6">
        <v>0.25</v>
      </c>
      <c r="Q771" s="11">
        <v>2</v>
      </c>
      <c r="R771" s="11"/>
      <c r="S771" s="11"/>
      <c r="T771" s="11"/>
      <c r="U771" s="11">
        <f t="shared" ref="U771:U834" si="250">T771+S771+R771+Q771</f>
        <v>2</v>
      </c>
      <c r="W771">
        <v>2.2000000000000002</v>
      </c>
      <c r="X771" s="1" t="s">
        <v>30</v>
      </c>
    </row>
    <row r="772" spans="1:24" x14ac:dyDescent="0.25">
      <c r="A772" s="1" t="str">
        <f t="shared" si="246"/>
        <v>卡卡杜-凤凰仓</v>
      </c>
      <c r="B772" s="1" t="str">
        <f>"CK20241030232"</f>
        <v>CK20241030232</v>
      </c>
      <c r="C772" s="1" t="str">
        <f>"DD2024103036307"</f>
        <v>DD2024103036307</v>
      </c>
      <c r="D772" s="1" t="str">
        <f>"CK2024103035691"</f>
        <v>CK2024103035691</v>
      </c>
      <c r="E772" s="1" t="str">
        <f>"3723651948539939841"</f>
        <v>3723651948539939841</v>
      </c>
      <c r="F772" s="1" t="str">
        <f t="shared" si="247"/>
        <v>花都四部-凤凰仓</v>
      </c>
      <c r="G772" s="1" t="str">
        <f t="shared" si="243"/>
        <v>卡卡杜企业店（视频号）</v>
      </c>
      <c r="H772" s="1" t="str">
        <f t="shared" si="248"/>
        <v>正常订单</v>
      </c>
      <c r="I772" s="1" t="str">
        <f t="shared" si="249"/>
        <v>已发货</v>
      </c>
      <c r="J772" s="1" t="str">
        <f t="shared" si="245"/>
        <v>1</v>
      </c>
      <c r="K772" s="1">
        <v>1</v>
      </c>
      <c r="L772" s="1" t="s">
        <v>80</v>
      </c>
      <c r="M772" s="1" t="str">
        <f>"河南省 商丘市 睢阳区 "</f>
        <v xml:space="preserve">河南省 商丘市 睢阳区 </v>
      </c>
      <c r="N772" s="1" t="str">
        <f t="shared" si="241"/>
        <v>凡华云仓-城南圆通-微信视频号</v>
      </c>
      <c r="O772" s="5" t="s">
        <v>811</v>
      </c>
      <c r="P772" s="6">
        <v>0.12</v>
      </c>
      <c r="Q772" s="11">
        <v>2</v>
      </c>
      <c r="R772" s="11"/>
      <c r="S772" s="11"/>
      <c r="T772" s="11"/>
      <c r="U772" s="11">
        <f t="shared" si="250"/>
        <v>2</v>
      </c>
      <c r="W772">
        <v>2.2000000000000002</v>
      </c>
      <c r="X772" s="1" t="s">
        <v>80</v>
      </c>
    </row>
    <row r="773" spans="1:24" x14ac:dyDescent="0.25">
      <c r="A773" s="1" t="str">
        <f t="shared" si="246"/>
        <v>卡卡杜-凤凰仓</v>
      </c>
      <c r="B773" s="1" t="str">
        <f>"CK20241030235"</f>
        <v>CK20241030235</v>
      </c>
      <c r="C773" s="1" t="str">
        <f>"DD2024103036310"</f>
        <v>DD2024103036310</v>
      </c>
      <c r="D773" s="1" t="str">
        <f>"CK2024103035690"</f>
        <v>CK2024103035690</v>
      </c>
      <c r="E773" s="1" t="str">
        <f>"3723651942961779712"</f>
        <v>3723651942961779712</v>
      </c>
      <c r="F773" s="1" t="str">
        <f t="shared" si="247"/>
        <v>花都四部-凤凰仓</v>
      </c>
      <c r="G773" s="1" t="str">
        <f t="shared" si="243"/>
        <v>卡卡杜企业店（视频号）</v>
      </c>
      <c r="H773" s="1" t="str">
        <f t="shared" si="248"/>
        <v>正常订单</v>
      </c>
      <c r="I773" s="1" t="str">
        <f t="shared" si="249"/>
        <v>已发货</v>
      </c>
      <c r="J773" s="1" t="str">
        <f>"3"</f>
        <v>3</v>
      </c>
      <c r="K773" s="1">
        <v>2</v>
      </c>
      <c r="L773" s="1" t="s">
        <v>105</v>
      </c>
      <c r="M773" s="1" t="str">
        <f>"北京 北京市 房山区 "</f>
        <v xml:space="preserve">北京 北京市 房山区 </v>
      </c>
      <c r="N773" s="1" t="str">
        <f t="shared" si="241"/>
        <v>凡华云仓-城南圆通-微信视频号</v>
      </c>
      <c r="O773" s="5" t="s">
        <v>812</v>
      </c>
      <c r="P773" s="6">
        <v>0.25</v>
      </c>
      <c r="Q773" s="11">
        <v>2</v>
      </c>
      <c r="R773" s="11"/>
      <c r="S773" s="11"/>
      <c r="T773" s="11"/>
      <c r="U773" s="11">
        <f t="shared" si="250"/>
        <v>2</v>
      </c>
      <c r="W773">
        <v>2.2000000000000002</v>
      </c>
      <c r="X773" s="1" t="s">
        <v>105</v>
      </c>
    </row>
    <row r="774" spans="1:24" x14ac:dyDescent="0.25">
      <c r="A774" s="1" t="str">
        <f t="shared" si="246"/>
        <v>卡卡杜-凤凰仓</v>
      </c>
      <c r="B774" s="1" t="str">
        <f>"CK20241030237"</f>
        <v>CK20241030237</v>
      </c>
      <c r="C774" s="1" t="str">
        <f>"DD2024103036312"</f>
        <v>DD2024103036312</v>
      </c>
      <c r="D774" s="1" t="str">
        <f>"CK2024103035689"</f>
        <v>CK2024103035689</v>
      </c>
      <c r="E774" s="1" t="str">
        <f>"3723651942002856960"</f>
        <v>3723651942002856960</v>
      </c>
      <c r="F774" s="1" t="str">
        <f t="shared" si="247"/>
        <v>花都四部-凤凰仓</v>
      </c>
      <c r="G774" s="1" t="str">
        <f t="shared" si="243"/>
        <v>卡卡杜企业店（视频号）</v>
      </c>
      <c r="H774" s="1" t="str">
        <f t="shared" si="248"/>
        <v>正常订单</v>
      </c>
      <c r="I774" s="1" t="str">
        <f t="shared" si="249"/>
        <v>已发货</v>
      </c>
      <c r="J774" s="1" t="str">
        <f t="shared" ref="J774:J776" si="251">"1"</f>
        <v>1</v>
      </c>
      <c r="K774" s="1">
        <v>1</v>
      </c>
      <c r="L774" s="1" t="s">
        <v>105</v>
      </c>
      <c r="M774" s="1" t="str">
        <f>"北京 北京市 海淀区 "</f>
        <v xml:space="preserve">北京 北京市 海淀区 </v>
      </c>
      <c r="N774" s="1" t="str">
        <f t="shared" si="241"/>
        <v>凡华云仓-城南圆通-微信视频号</v>
      </c>
      <c r="O774" s="5" t="s">
        <v>813</v>
      </c>
      <c r="P774" s="6">
        <v>0.12</v>
      </c>
      <c r="Q774" s="11">
        <v>2</v>
      </c>
      <c r="R774" s="11"/>
      <c r="S774" s="11"/>
      <c r="T774" s="11"/>
      <c r="U774" s="11">
        <f t="shared" si="250"/>
        <v>2</v>
      </c>
      <c r="W774">
        <v>2.2000000000000002</v>
      </c>
      <c r="X774" s="1" t="s">
        <v>105</v>
      </c>
    </row>
    <row r="775" spans="1:24" x14ac:dyDescent="0.25">
      <c r="A775" s="1" t="str">
        <f t="shared" si="246"/>
        <v>卡卡杜-凤凰仓</v>
      </c>
      <c r="B775" s="1" t="str">
        <f>"CK20241030233"</f>
        <v>CK20241030233</v>
      </c>
      <c r="C775" s="1" t="str">
        <f>"DD2024103036309"</f>
        <v>DD2024103036309</v>
      </c>
      <c r="D775" s="1" t="str">
        <f>"CK2024103035688"</f>
        <v>CK2024103035688</v>
      </c>
      <c r="E775" s="1" t="str">
        <f>"3723651946494168065"</f>
        <v>3723651946494168065</v>
      </c>
      <c r="F775" s="1" t="str">
        <f t="shared" si="247"/>
        <v>花都四部-凤凰仓</v>
      </c>
      <c r="G775" s="1" t="str">
        <f t="shared" si="243"/>
        <v>卡卡杜企业店（视频号）</v>
      </c>
      <c r="H775" s="1" t="str">
        <f t="shared" si="248"/>
        <v>正常订单</v>
      </c>
      <c r="I775" s="1" t="str">
        <f t="shared" si="249"/>
        <v>已发货</v>
      </c>
      <c r="J775" s="1" t="str">
        <f t="shared" si="251"/>
        <v>1</v>
      </c>
      <c r="K775" s="1">
        <v>1</v>
      </c>
      <c r="L775" s="1" t="s">
        <v>32</v>
      </c>
      <c r="M775" s="1" t="str">
        <f>"陕西省 咸阳市 秦都区 "</f>
        <v xml:space="preserve">陕西省 咸阳市 秦都区 </v>
      </c>
      <c r="N775" s="1" t="str">
        <f t="shared" si="241"/>
        <v>凡华云仓-城南圆通-微信视频号</v>
      </c>
      <c r="O775" s="5" t="s">
        <v>814</v>
      </c>
      <c r="P775" s="6">
        <v>0.12</v>
      </c>
      <c r="Q775" s="11">
        <v>2</v>
      </c>
      <c r="R775" s="11"/>
      <c r="S775" s="11"/>
      <c r="T775" s="11"/>
      <c r="U775" s="11">
        <f t="shared" si="250"/>
        <v>2</v>
      </c>
      <c r="W775">
        <v>2.2000000000000002</v>
      </c>
      <c r="X775" s="1" t="s">
        <v>32</v>
      </c>
    </row>
    <row r="776" spans="1:24" x14ac:dyDescent="0.25">
      <c r="A776" s="1" t="str">
        <f t="shared" si="246"/>
        <v>卡卡杜-凤凰仓</v>
      </c>
      <c r="B776" s="1" t="str">
        <f>"CK20241030234"</f>
        <v>CK20241030234</v>
      </c>
      <c r="C776" s="1" t="str">
        <f>"DD2024103036308"</f>
        <v>DD2024103036308</v>
      </c>
      <c r="D776" s="1" t="str">
        <f>"CK2024103035687"</f>
        <v>CK2024103035687</v>
      </c>
      <c r="E776" s="1" t="str">
        <f>"3723651943256951808"</f>
        <v>3723651943256951808</v>
      </c>
      <c r="F776" s="1" t="str">
        <f t="shared" si="247"/>
        <v>花都四部-凤凰仓</v>
      </c>
      <c r="G776" s="1" t="str">
        <f t="shared" si="243"/>
        <v>卡卡杜企业店（视频号）</v>
      </c>
      <c r="H776" s="1" t="str">
        <f t="shared" si="248"/>
        <v>正常订单</v>
      </c>
      <c r="I776" s="1" t="str">
        <f t="shared" si="249"/>
        <v>已发货</v>
      </c>
      <c r="J776" s="1" t="str">
        <f t="shared" si="251"/>
        <v>1</v>
      </c>
      <c r="K776" s="1">
        <v>1</v>
      </c>
      <c r="L776" s="1" t="s">
        <v>18</v>
      </c>
      <c r="M776" s="1" t="str">
        <f>"广东省 珠海市 香洲区 "</f>
        <v xml:space="preserve">广东省 珠海市 香洲区 </v>
      </c>
      <c r="N776" s="1" t="str">
        <f t="shared" si="241"/>
        <v>凡华云仓-城南圆通-微信视频号</v>
      </c>
      <c r="O776" s="5" t="s">
        <v>815</v>
      </c>
      <c r="P776" s="6">
        <v>0.12</v>
      </c>
      <c r="Q776" s="11">
        <v>2</v>
      </c>
      <c r="R776" s="11"/>
      <c r="S776" s="11"/>
      <c r="T776" s="11"/>
      <c r="U776" s="11">
        <f t="shared" si="250"/>
        <v>2</v>
      </c>
      <c r="W776">
        <v>2.2000000000000002</v>
      </c>
      <c r="X776" s="1" t="s">
        <v>18</v>
      </c>
    </row>
    <row r="777" spans="1:24" x14ac:dyDescent="0.25">
      <c r="A777" s="1" t="str">
        <f t="shared" si="246"/>
        <v>卡卡杜-凤凰仓</v>
      </c>
      <c r="B777" s="1" t="str">
        <f>"CK20241030236"</f>
        <v>CK20241030236</v>
      </c>
      <c r="C777" s="1" t="str">
        <f>"DD2024103036311"</f>
        <v>DD2024103036311</v>
      </c>
      <c r="D777" s="1" t="str">
        <f>"CK2024103035686"</f>
        <v>CK2024103035686</v>
      </c>
      <c r="E777" s="1" t="str">
        <f>"3723651944563478529"</f>
        <v>3723651944563478529</v>
      </c>
      <c r="F777" s="1" t="str">
        <f t="shared" si="247"/>
        <v>花都四部-凤凰仓</v>
      </c>
      <c r="G777" s="1" t="str">
        <f t="shared" si="243"/>
        <v>卡卡杜企业店（视频号）</v>
      </c>
      <c r="H777" s="1" t="str">
        <f t="shared" si="248"/>
        <v>正常订单</v>
      </c>
      <c r="I777" s="1" t="str">
        <f t="shared" si="249"/>
        <v>已发货</v>
      </c>
      <c r="J777" s="1" t="str">
        <f t="shared" ref="J777:J781" si="252">"3"</f>
        <v>3</v>
      </c>
      <c r="K777" s="1">
        <v>2</v>
      </c>
      <c r="L777" s="1" t="s">
        <v>13</v>
      </c>
      <c r="M777" s="1" t="str">
        <f>"江苏省 镇江市 扬中市 "</f>
        <v xml:space="preserve">江苏省 镇江市 扬中市 </v>
      </c>
      <c r="N777" s="1" t="str">
        <f t="shared" si="241"/>
        <v>凡华云仓-城南圆通-微信视频号</v>
      </c>
      <c r="O777" s="5" t="s">
        <v>816</v>
      </c>
      <c r="P777" s="6">
        <v>0.25</v>
      </c>
      <c r="Q777" s="11">
        <v>2</v>
      </c>
      <c r="R777" s="11"/>
      <c r="S777" s="11"/>
      <c r="T777" s="11"/>
      <c r="U777" s="11">
        <f t="shared" si="250"/>
        <v>2</v>
      </c>
      <c r="W777">
        <v>2.2000000000000002</v>
      </c>
      <c r="X777" s="1" t="s">
        <v>13</v>
      </c>
    </row>
    <row r="778" spans="1:24" x14ac:dyDescent="0.25">
      <c r="A778" s="1" t="str">
        <f t="shared" si="246"/>
        <v>卡卡杜-凤凰仓</v>
      </c>
      <c r="B778" s="1" t="str">
        <f>"CK20241030238"</f>
        <v>CK20241030238</v>
      </c>
      <c r="C778" s="1" t="str">
        <f>"DD2024103036313"</f>
        <v>DD2024103036313</v>
      </c>
      <c r="D778" s="1" t="str">
        <f>"CK2024103035685"</f>
        <v>CK2024103035685</v>
      </c>
      <c r="E778" s="1" t="str">
        <f>"3723651940182266882"</f>
        <v>3723651940182266882</v>
      </c>
      <c r="F778" s="1" t="str">
        <f t="shared" si="247"/>
        <v>花都四部-凤凰仓</v>
      </c>
      <c r="G778" s="1" t="str">
        <f t="shared" si="243"/>
        <v>卡卡杜企业店（视频号）</v>
      </c>
      <c r="H778" s="1" t="str">
        <f t="shared" si="248"/>
        <v>正常订单</v>
      </c>
      <c r="I778" s="1" t="str">
        <f t="shared" si="249"/>
        <v>已发货</v>
      </c>
      <c r="J778" s="1" t="str">
        <f>"1"</f>
        <v>1</v>
      </c>
      <c r="K778" s="1">
        <v>1</v>
      </c>
      <c r="L778" s="1" t="s">
        <v>109</v>
      </c>
      <c r="M778" s="1" t="str">
        <f>"山西省 太原市 杏花岭区 "</f>
        <v xml:space="preserve">山西省 太原市 杏花岭区 </v>
      </c>
      <c r="N778" s="1" t="str">
        <f t="shared" si="241"/>
        <v>凡华云仓-城南圆通-微信视频号</v>
      </c>
      <c r="O778" s="5" t="s">
        <v>817</v>
      </c>
      <c r="P778" s="6">
        <v>0.12</v>
      </c>
      <c r="Q778" s="11">
        <v>2</v>
      </c>
      <c r="R778" s="11"/>
      <c r="S778" s="11"/>
      <c r="T778" s="11"/>
      <c r="U778" s="11">
        <f t="shared" si="250"/>
        <v>2</v>
      </c>
      <c r="W778">
        <v>2.2000000000000002</v>
      </c>
      <c r="X778" s="1" t="s">
        <v>109</v>
      </c>
    </row>
    <row r="779" spans="1:24" x14ac:dyDescent="0.25">
      <c r="A779" s="1" t="str">
        <f t="shared" si="246"/>
        <v>卡卡杜-凤凰仓</v>
      </c>
      <c r="B779" s="1" t="str">
        <f>"CK20241030239"</f>
        <v>CK20241030239</v>
      </c>
      <c r="C779" s="1" t="str">
        <f>"DD2024103036314"</f>
        <v>DD2024103036314</v>
      </c>
      <c r="D779" s="1" t="str">
        <f>"CK2024103035684"</f>
        <v>CK2024103035684</v>
      </c>
      <c r="E779" s="1" t="str">
        <f>"3723651938678343168"</f>
        <v>3723651938678343168</v>
      </c>
      <c r="F779" s="1" t="str">
        <f t="shared" si="247"/>
        <v>花都四部-凤凰仓</v>
      </c>
      <c r="G779" s="1" t="str">
        <f t="shared" si="243"/>
        <v>卡卡杜企业店（视频号）</v>
      </c>
      <c r="H779" s="1" t="str">
        <f t="shared" si="248"/>
        <v>正常订单</v>
      </c>
      <c r="I779" s="1" t="str">
        <f t="shared" si="249"/>
        <v>已发货</v>
      </c>
      <c r="J779" s="1" t="str">
        <f t="shared" si="252"/>
        <v>3</v>
      </c>
      <c r="K779" s="1">
        <v>2</v>
      </c>
      <c r="L779" s="1" t="s">
        <v>105</v>
      </c>
      <c r="M779" s="1" t="str">
        <f>"北京 北京市 石景山区 "</f>
        <v xml:space="preserve">北京 北京市 石景山区 </v>
      </c>
      <c r="N779" s="1" t="str">
        <f t="shared" si="241"/>
        <v>凡华云仓-城南圆通-微信视频号</v>
      </c>
      <c r="O779" s="5" t="s">
        <v>818</v>
      </c>
      <c r="P779" s="6">
        <v>0.25</v>
      </c>
      <c r="Q779" s="11">
        <v>2</v>
      </c>
      <c r="R779" s="11"/>
      <c r="S779" s="11"/>
      <c r="T779" s="11"/>
      <c r="U779" s="11">
        <f t="shared" si="250"/>
        <v>2</v>
      </c>
      <c r="W779">
        <v>2.2000000000000002</v>
      </c>
      <c r="X779" s="1" t="s">
        <v>105</v>
      </c>
    </row>
    <row r="780" spans="1:24" x14ac:dyDescent="0.25">
      <c r="A780" s="1" t="str">
        <f t="shared" si="246"/>
        <v>卡卡杜-凤凰仓</v>
      </c>
      <c r="B780" s="1" t="str">
        <f>"CK20241030240"</f>
        <v>CK20241030240</v>
      </c>
      <c r="C780" s="1" t="str">
        <f>"DD2024103036316"</f>
        <v>DD2024103036316</v>
      </c>
      <c r="D780" s="1" t="str">
        <f>"CK2024103035683"</f>
        <v>CK2024103035683</v>
      </c>
      <c r="E780" s="1" t="str">
        <f>"3723651936184832000"</f>
        <v>3723651936184832000</v>
      </c>
      <c r="F780" s="1" t="str">
        <f t="shared" si="247"/>
        <v>花都四部-凤凰仓</v>
      </c>
      <c r="G780" s="1" t="str">
        <f t="shared" si="243"/>
        <v>卡卡杜企业店（视频号）</v>
      </c>
      <c r="H780" s="1" t="str">
        <f t="shared" si="248"/>
        <v>正常订单</v>
      </c>
      <c r="I780" s="1" t="str">
        <f t="shared" si="249"/>
        <v>已发货</v>
      </c>
      <c r="J780" s="1" t="str">
        <f t="shared" si="252"/>
        <v>3</v>
      </c>
      <c r="K780" s="1">
        <v>2</v>
      </c>
      <c r="L780" s="1" t="s">
        <v>94</v>
      </c>
      <c r="M780" s="1" t="str">
        <f>"湖南省 长沙市 天心区 "</f>
        <v xml:space="preserve">湖南省 长沙市 天心区 </v>
      </c>
      <c r="N780" s="1" t="str">
        <f t="shared" si="241"/>
        <v>凡华云仓-城南圆通-微信视频号</v>
      </c>
      <c r="O780" s="5" t="s">
        <v>819</v>
      </c>
      <c r="P780" s="6">
        <v>0.25</v>
      </c>
      <c r="Q780" s="11">
        <v>2</v>
      </c>
      <c r="R780" s="11"/>
      <c r="S780" s="11"/>
      <c r="T780" s="11"/>
      <c r="U780" s="11">
        <f t="shared" si="250"/>
        <v>2</v>
      </c>
      <c r="W780">
        <v>2.2000000000000002</v>
      </c>
      <c r="X780" s="1" t="s">
        <v>94</v>
      </c>
    </row>
    <row r="781" spans="1:24" x14ac:dyDescent="0.25">
      <c r="A781" s="1" t="str">
        <f t="shared" si="246"/>
        <v>卡卡杜-凤凰仓</v>
      </c>
      <c r="B781" s="1" t="str">
        <f>"CK20241030241"</f>
        <v>CK20241030241</v>
      </c>
      <c r="C781" s="1" t="str">
        <f>"DD2024103036315"</f>
        <v>DD2024103036315</v>
      </c>
      <c r="D781" s="1" t="str">
        <f>"CK2024103035682"</f>
        <v>CK2024103035682</v>
      </c>
      <c r="E781" s="1" t="str">
        <f>"3723651928541238273"</f>
        <v>3723651928541238273</v>
      </c>
      <c r="F781" s="1" t="str">
        <f t="shared" si="247"/>
        <v>花都四部-凤凰仓</v>
      </c>
      <c r="G781" s="1" t="str">
        <f t="shared" si="243"/>
        <v>卡卡杜企业店（视频号）</v>
      </c>
      <c r="H781" s="1" t="str">
        <f t="shared" si="248"/>
        <v>正常订单</v>
      </c>
      <c r="I781" s="1" t="str">
        <f t="shared" si="249"/>
        <v>已发货</v>
      </c>
      <c r="J781" s="1" t="str">
        <f t="shared" si="252"/>
        <v>3</v>
      </c>
      <c r="K781" s="1">
        <v>2</v>
      </c>
      <c r="L781" s="1" t="s">
        <v>74</v>
      </c>
      <c r="M781" s="1" t="str">
        <f>"上海 上海市 浦东新区 "</f>
        <v xml:space="preserve">上海 上海市 浦东新区 </v>
      </c>
      <c r="N781" s="1" t="str">
        <f t="shared" si="241"/>
        <v>凡华云仓-城南圆通-微信视频号</v>
      </c>
      <c r="O781" s="5" t="s">
        <v>820</v>
      </c>
      <c r="P781" s="6">
        <v>0.25</v>
      </c>
      <c r="Q781" s="11">
        <v>2</v>
      </c>
      <c r="R781" s="11"/>
      <c r="S781" s="11"/>
      <c r="T781" s="11"/>
      <c r="U781" s="11">
        <f t="shared" si="250"/>
        <v>2</v>
      </c>
      <c r="W781">
        <v>2.2000000000000002</v>
      </c>
      <c r="X781" s="1" t="s">
        <v>74</v>
      </c>
    </row>
    <row r="782" spans="1:24" x14ac:dyDescent="0.25">
      <c r="A782" s="1" t="str">
        <f t="shared" si="246"/>
        <v>卡卡杜-凤凰仓</v>
      </c>
      <c r="B782" s="1" t="str">
        <f>"CK20241030243"</f>
        <v>CK20241030243</v>
      </c>
      <c r="C782" s="1" t="str">
        <f>"DD2024103036318"</f>
        <v>DD2024103036318</v>
      </c>
      <c r="D782" s="1" t="str">
        <f>"CK2024103035681"</f>
        <v>CK2024103035681</v>
      </c>
      <c r="E782" s="1" t="str">
        <f>"3723651920311751680"</f>
        <v>3723651920311751680</v>
      </c>
      <c r="F782" s="1" t="str">
        <f t="shared" si="247"/>
        <v>花都四部-凤凰仓</v>
      </c>
      <c r="G782" s="1" t="str">
        <f t="shared" si="243"/>
        <v>卡卡杜企业店（视频号）</v>
      </c>
      <c r="H782" s="1" t="str">
        <f t="shared" si="248"/>
        <v>正常订单</v>
      </c>
      <c r="I782" s="1" t="str">
        <f t="shared" si="249"/>
        <v>已发货</v>
      </c>
      <c r="J782" s="1" t="str">
        <f t="shared" ref="J782:J786" si="253">"1"</f>
        <v>1</v>
      </c>
      <c r="K782" s="1">
        <v>1</v>
      </c>
      <c r="L782" s="1" t="s">
        <v>54</v>
      </c>
      <c r="M782" s="1" t="str">
        <f>"黑龙江省 大兴安岭地区 呼玛县 "</f>
        <v xml:space="preserve">黑龙江省 大兴安岭地区 呼玛县 </v>
      </c>
      <c r="N782" s="1" t="str">
        <f t="shared" si="241"/>
        <v>凡华云仓-城南圆通-微信视频号</v>
      </c>
      <c r="O782" s="5" t="s">
        <v>821</v>
      </c>
      <c r="P782" s="6">
        <v>0.12</v>
      </c>
      <c r="Q782" s="11">
        <v>2</v>
      </c>
      <c r="R782" s="11"/>
      <c r="S782" s="11"/>
      <c r="T782" s="11"/>
      <c r="U782" s="11">
        <f t="shared" si="250"/>
        <v>2</v>
      </c>
      <c r="W782">
        <v>2.2000000000000002</v>
      </c>
      <c r="X782" s="1" t="s">
        <v>54</v>
      </c>
    </row>
    <row r="783" spans="1:24" x14ac:dyDescent="0.25">
      <c r="A783" s="1" t="str">
        <f t="shared" si="246"/>
        <v>卡卡杜-凤凰仓</v>
      </c>
      <c r="B783" s="1" t="str">
        <f>"CK20241030242"</f>
        <v>CK20241030242</v>
      </c>
      <c r="C783" s="1" t="str">
        <f>"DD2024103036317"</f>
        <v>DD2024103036317</v>
      </c>
      <c r="D783" s="1" t="str">
        <f>"CK2024103035680"</f>
        <v>CK2024103035680</v>
      </c>
      <c r="E783" s="1" t="str">
        <f>"3723651921099756544"</f>
        <v>3723651921099756544</v>
      </c>
      <c r="F783" s="1" t="str">
        <f t="shared" si="247"/>
        <v>花都四部-凤凰仓</v>
      </c>
      <c r="G783" s="1" t="str">
        <f t="shared" si="243"/>
        <v>卡卡杜企业店（视频号）</v>
      </c>
      <c r="H783" s="1" t="str">
        <f t="shared" si="248"/>
        <v>正常订单</v>
      </c>
      <c r="I783" s="1" t="str">
        <f t="shared" si="249"/>
        <v>已发货</v>
      </c>
      <c r="J783" s="1" t="str">
        <f t="shared" ref="J783:J787" si="254">"3"</f>
        <v>3</v>
      </c>
      <c r="K783" s="1">
        <v>2</v>
      </c>
      <c r="L783" s="1" t="s">
        <v>54</v>
      </c>
      <c r="M783" s="1" t="str">
        <f>"黑龙江省 齐齐哈尔市 龙沙区 "</f>
        <v xml:space="preserve">黑龙江省 齐齐哈尔市 龙沙区 </v>
      </c>
      <c r="N783" s="1" t="str">
        <f t="shared" si="241"/>
        <v>凡华云仓-城南圆通-微信视频号</v>
      </c>
      <c r="O783" s="5" t="s">
        <v>822</v>
      </c>
      <c r="P783" s="6">
        <v>0.25</v>
      </c>
      <c r="Q783" s="11">
        <v>2</v>
      </c>
      <c r="R783" s="11"/>
      <c r="S783" s="11"/>
      <c r="T783" s="11"/>
      <c r="U783" s="11">
        <f t="shared" si="250"/>
        <v>2</v>
      </c>
      <c r="W783">
        <v>2.2000000000000002</v>
      </c>
      <c r="X783" s="1" t="s">
        <v>54</v>
      </c>
    </row>
    <row r="784" spans="1:24" x14ac:dyDescent="0.25">
      <c r="A784" s="1" t="str">
        <f t="shared" si="246"/>
        <v>卡卡杜-凤凰仓</v>
      </c>
      <c r="B784" s="1" t="str">
        <f>"CK20241030244"</f>
        <v>CK20241030244</v>
      </c>
      <c r="C784" s="1" t="str">
        <f>"DD2024103036319"</f>
        <v>DD2024103036319</v>
      </c>
      <c r="D784" s="1" t="str">
        <f>"CK2024103035679"</f>
        <v>CK2024103035679</v>
      </c>
      <c r="E784" s="1" t="str">
        <f>"3723651917408504832"</f>
        <v>3723651917408504832</v>
      </c>
      <c r="F784" s="1" t="str">
        <f t="shared" si="247"/>
        <v>花都四部-凤凰仓</v>
      </c>
      <c r="G784" s="1" t="str">
        <f t="shared" si="243"/>
        <v>卡卡杜企业店（视频号）</v>
      </c>
      <c r="H784" s="1" t="str">
        <f t="shared" si="248"/>
        <v>正常订单</v>
      </c>
      <c r="I784" s="1" t="str">
        <f t="shared" si="249"/>
        <v>已发货</v>
      </c>
      <c r="J784" s="1" t="str">
        <f t="shared" si="254"/>
        <v>3</v>
      </c>
      <c r="K784" s="1">
        <v>2</v>
      </c>
      <c r="L784" s="1" t="s">
        <v>92</v>
      </c>
      <c r="M784" s="1" t="str">
        <f>"辽宁省 大连市 西岗区 "</f>
        <v xml:space="preserve">辽宁省 大连市 西岗区 </v>
      </c>
      <c r="N784" s="1" t="str">
        <f t="shared" si="241"/>
        <v>凡华云仓-城南圆通-微信视频号</v>
      </c>
      <c r="O784" s="5" t="s">
        <v>823</v>
      </c>
      <c r="P784" s="6">
        <v>0.25</v>
      </c>
      <c r="Q784" s="11">
        <v>2</v>
      </c>
      <c r="R784" s="11"/>
      <c r="S784" s="11"/>
      <c r="T784" s="11"/>
      <c r="U784" s="11">
        <f t="shared" si="250"/>
        <v>2</v>
      </c>
      <c r="W784">
        <v>2.2000000000000002</v>
      </c>
      <c r="X784" s="1" t="s">
        <v>92</v>
      </c>
    </row>
    <row r="785" spans="1:24" x14ac:dyDescent="0.25">
      <c r="A785" s="1" t="str">
        <f t="shared" si="246"/>
        <v>卡卡杜-凤凰仓</v>
      </c>
      <c r="B785" s="1" t="str">
        <f>"CK20241030245"</f>
        <v>CK20241030245</v>
      </c>
      <c r="C785" s="1" t="str">
        <f>"DD2024103036320"</f>
        <v>DD2024103036320</v>
      </c>
      <c r="D785" s="1" t="str">
        <f>"CK2024103035678"</f>
        <v>CK2024103035678</v>
      </c>
      <c r="E785" s="1" t="str">
        <f>"3723651915960943872"</f>
        <v>3723651915960943872</v>
      </c>
      <c r="F785" s="1" t="str">
        <f t="shared" si="247"/>
        <v>花都四部-凤凰仓</v>
      </c>
      <c r="G785" s="1" t="str">
        <f t="shared" si="243"/>
        <v>卡卡杜企业店（视频号）</v>
      </c>
      <c r="H785" s="1" t="str">
        <f t="shared" si="248"/>
        <v>正常订单</v>
      </c>
      <c r="I785" s="1" t="str">
        <f t="shared" si="249"/>
        <v>已发货</v>
      </c>
      <c r="J785" s="1" t="str">
        <f t="shared" si="253"/>
        <v>1</v>
      </c>
      <c r="K785" s="1">
        <v>1</v>
      </c>
      <c r="L785" s="1" t="s">
        <v>80</v>
      </c>
      <c r="M785" s="1" t="str">
        <f>"河南省 郑州市 惠济区 "</f>
        <v xml:space="preserve">河南省 郑州市 惠济区 </v>
      </c>
      <c r="N785" s="1" t="str">
        <f t="shared" si="241"/>
        <v>凡华云仓-城南圆通-微信视频号</v>
      </c>
      <c r="O785" s="5" t="s">
        <v>824</v>
      </c>
      <c r="P785" s="6">
        <v>0.12</v>
      </c>
      <c r="Q785" s="11">
        <v>2</v>
      </c>
      <c r="R785" s="11"/>
      <c r="S785" s="11"/>
      <c r="T785" s="11"/>
      <c r="U785" s="11">
        <f t="shared" si="250"/>
        <v>2</v>
      </c>
      <c r="W785">
        <v>2.2000000000000002</v>
      </c>
      <c r="X785" s="1" t="s">
        <v>80</v>
      </c>
    </row>
    <row r="786" spans="1:24" x14ac:dyDescent="0.25">
      <c r="A786" s="1" t="str">
        <f t="shared" si="246"/>
        <v>卡卡杜-凤凰仓</v>
      </c>
      <c r="B786" s="1" t="str">
        <f>"CK20241030246"</f>
        <v>CK20241030246</v>
      </c>
      <c r="C786" s="1" t="str">
        <f>"DD2024103036321"</f>
        <v>DD2024103036321</v>
      </c>
      <c r="D786" s="1" t="str">
        <f>"CK2024103035677"</f>
        <v>CK2024103035677</v>
      </c>
      <c r="E786" s="1" t="str">
        <f>"3723651912694105344"</f>
        <v>3723651912694105344</v>
      </c>
      <c r="F786" s="1" t="str">
        <f t="shared" si="247"/>
        <v>花都四部-凤凰仓</v>
      </c>
      <c r="G786" s="1" t="str">
        <f t="shared" si="243"/>
        <v>卡卡杜企业店（视频号）</v>
      </c>
      <c r="H786" s="1" t="str">
        <f t="shared" si="248"/>
        <v>正常订单</v>
      </c>
      <c r="I786" s="1" t="str">
        <f t="shared" si="249"/>
        <v>已发货</v>
      </c>
      <c r="J786" s="1" t="str">
        <f t="shared" si="253"/>
        <v>1</v>
      </c>
      <c r="K786" s="1">
        <v>1</v>
      </c>
      <c r="L786" s="1" t="s">
        <v>32</v>
      </c>
      <c r="M786" s="1" t="str">
        <f>"陕西省 西安市 新城区 "</f>
        <v xml:space="preserve">陕西省 西安市 新城区 </v>
      </c>
      <c r="N786" s="1" t="str">
        <f t="shared" si="241"/>
        <v>凡华云仓-城南圆通-微信视频号</v>
      </c>
      <c r="O786" s="5" t="s">
        <v>825</v>
      </c>
      <c r="P786" s="6">
        <v>0.12</v>
      </c>
      <c r="Q786" s="11">
        <v>2</v>
      </c>
      <c r="R786" s="11"/>
      <c r="S786" s="11"/>
      <c r="T786" s="11"/>
      <c r="U786" s="11">
        <f t="shared" si="250"/>
        <v>2</v>
      </c>
      <c r="W786">
        <v>2.2000000000000002</v>
      </c>
      <c r="X786" s="1" t="s">
        <v>32</v>
      </c>
    </row>
    <row r="787" spans="1:24" x14ac:dyDescent="0.25">
      <c r="A787" s="1" t="str">
        <f t="shared" si="246"/>
        <v>卡卡杜-凤凰仓</v>
      </c>
      <c r="B787" s="1" t="str">
        <f>"CK20241030247"</f>
        <v>CK20241030247</v>
      </c>
      <c r="C787" s="1" t="str">
        <f>"DD2024103036322"</f>
        <v>DD2024103036322</v>
      </c>
      <c r="D787" s="1" t="str">
        <f>"CK2024103035676"</f>
        <v>CK2024103035676</v>
      </c>
      <c r="E787" s="1" t="str">
        <f>"3723651910362074112"</f>
        <v>3723651910362074112</v>
      </c>
      <c r="F787" s="1" t="str">
        <f t="shared" si="247"/>
        <v>花都四部-凤凰仓</v>
      </c>
      <c r="G787" s="1" t="str">
        <f t="shared" si="243"/>
        <v>卡卡杜企业店（视频号）</v>
      </c>
      <c r="H787" s="1" t="str">
        <f t="shared" si="248"/>
        <v>正常订单</v>
      </c>
      <c r="I787" s="1" t="str">
        <f t="shared" si="249"/>
        <v>已发货</v>
      </c>
      <c r="J787" s="1" t="str">
        <f t="shared" si="254"/>
        <v>3</v>
      </c>
      <c r="K787" s="1">
        <v>2</v>
      </c>
      <c r="L787" s="1" t="s">
        <v>18</v>
      </c>
      <c r="M787" s="1" t="str">
        <f>"广东省 深圳市 福田区 "</f>
        <v xml:space="preserve">广东省 深圳市 福田区 </v>
      </c>
      <c r="N787" s="1" t="str">
        <f t="shared" si="241"/>
        <v>凡华云仓-城南圆通-微信视频号</v>
      </c>
      <c r="O787" s="5" t="s">
        <v>826</v>
      </c>
      <c r="P787" s="6">
        <v>0.25</v>
      </c>
      <c r="Q787" s="11">
        <v>2</v>
      </c>
      <c r="R787" s="11"/>
      <c r="S787" s="11"/>
      <c r="T787" s="11"/>
      <c r="U787" s="11">
        <f t="shared" si="250"/>
        <v>2</v>
      </c>
      <c r="W787">
        <v>2.2000000000000002</v>
      </c>
      <c r="X787" s="1" t="s">
        <v>18</v>
      </c>
    </row>
    <row r="788" spans="1:24" x14ac:dyDescent="0.25">
      <c r="A788" s="1" t="str">
        <f t="shared" si="246"/>
        <v>卡卡杜-凤凰仓</v>
      </c>
      <c r="B788" s="1" t="str">
        <f>"CK20241030248"</f>
        <v>CK20241030248</v>
      </c>
      <c r="C788" s="1" t="str">
        <f>"DD2024103036323"</f>
        <v>DD2024103036323</v>
      </c>
      <c r="D788" s="1" t="str">
        <f>"CK2024103035675"</f>
        <v>CK2024103035675</v>
      </c>
      <c r="E788" s="1" t="str">
        <f>"3723651901738059008"</f>
        <v>3723651901738059008</v>
      </c>
      <c r="F788" s="1" t="str">
        <f t="shared" si="247"/>
        <v>花都四部-凤凰仓</v>
      </c>
      <c r="G788" s="1" t="str">
        <f t="shared" si="243"/>
        <v>卡卡杜企业店（视频号）</v>
      </c>
      <c r="H788" s="1" t="str">
        <f t="shared" si="248"/>
        <v>正常订单</v>
      </c>
      <c r="I788" s="1" t="str">
        <f t="shared" si="249"/>
        <v>已发货</v>
      </c>
      <c r="J788" s="1" t="str">
        <f t="shared" ref="J788:J791" si="255">"1"</f>
        <v>1</v>
      </c>
      <c r="K788" s="1">
        <v>1</v>
      </c>
      <c r="L788" s="1" t="s">
        <v>13</v>
      </c>
      <c r="M788" s="1" t="str">
        <f>"江苏省 盐城市 射阳县 "</f>
        <v xml:space="preserve">江苏省 盐城市 射阳县 </v>
      </c>
      <c r="N788" s="1" t="str">
        <f t="shared" si="241"/>
        <v>凡华云仓-城南圆通-微信视频号</v>
      </c>
      <c r="O788" s="5" t="s">
        <v>827</v>
      </c>
      <c r="P788" s="6">
        <v>0.12</v>
      </c>
      <c r="Q788" s="11">
        <v>2</v>
      </c>
      <c r="R788" s="11"/>
      <c r="S788" s="11"/>
      <c r="T788" s="11"/>
      <c r="U788" s="11">
        <f t="shared" si="250"/>
        <v>2</v>
      </c>
      <c r="W788">
        <v>2.2000000000000002</v>
      </c>
      <c r="X788" s="1" t="s">
        <v>13</v>
      </c>
    </row>
    <row r="789" spans="1:24" x14ac:dyDescent="0.25">
      <c r="A789" s="1" t="str">
        <f t="shared" si="246"/>
        <v>卡卡杜-凤凰仓</v>
      </c>
      <c r="B789" s="1" t="str">
        <f>"CK20241030249"</f>
        <v>CK20241030249</v>
      </c>
      <c r="C789" s="1" t="str">
        <f>"DD2024103036324"</f>
        <v>DD2024103036324</v>
      </c>
      <c r="D789" s="1" t="str">
        <f>"CK2024103035674"</f>
        <v>CK2024103035674</v>
      </c>
      <c r="E789" s="1" t="str">
        <f>"3723651897144771840"</f>
        <v>3723651897144771840</v>
      </c>
      <c r="F789" s="1" t="str">
        <f t="shared" si="247"/>
        <v>花都四部-凤凰仓</v>
      </c>
      <c r="G789" s="1" t="str">
        <f t="shared" si="243"/>
        <v>卡卡杜企业店（视频号）</v>
      </c>
      <c r="H789" s="1" t="str">
        <f t="shared" si="248"/>
        <v>正常订单</v>
      </c>
      <c r="I789" s="1" t="str">
        <f t="shared" si="249"/>
        <v>已发货</v>
      </c>
      <c r="J789" s="1" t="str">
        <f t="shared" si="255"/>
        <v>1</v>
      </c>
      <c r="K789" s="1">
        <v>1</v>
      </c>
      <c r="L789" s="1" t="s">
        <v>30</v>
      </c>
      <c r="M789" s="1" t="str">
        <f>"山东省 济南市 市中区 "</f>
        <v xml:space="preserve">山东省 济南市 市中区 </v>
      </c>
      <c r="N789" s="1" t="str">
        <f t="shared" si="241"/>
        <v>凡华云仓-城南圆通-微信视频号</v>
      </c>
      <c r="O789" s="5" t="s">
        <v>828</v>
      </c>
      <c r="P789" s="6">
        <v>0.12</v>
      </c>
      <c r="Q789" s="11">
        <v>2</v>
      </c>
      <c r="R789" s="11"/>
      <c r="S789" s="11"/>
      <c r="T789" s="11"/>
      <c r="U789" s="11">
        <f t="shared" si="250"/>
        <v>2</v>
      </c>
      <c r="W789">
        <v>2.2000000000000002</v>
      </c>
      <c r="X789" s="1" t="s">
        <v>30</v>
      </c>
    </row>
    <row r="790" spans="1:24" x14ac:dyDescent="0.25">
      <c r="A790" s="1" t="str">
        <f t="shared" si="246"/>
        <v>卡卡杜-凤凰仓</v>
      </c>
      <c r="B790" s="1" t="str">
        <f>"CK20241030250"</f>
        <v>CK20241030250</v>
      </c>
      <c r="C790" s="1" t="str">
        <f>"DD2024103036325"</f>
        <v>DD2024103036325</v>
      </c>
      <c r="D790" s="1" t="str">
        <f>"CK2024103035673"</f>
        <v>CK2024103035673</v>
      </c>
      <c r="E790" s="1" t="str">
        <f>"3723651890058761216"</f>
        <v>3723651890058761216</v>
      </c>
      <c r="F790" s="1" t="str">
        <f t="shared" si="247"/>
        <v>花都四部-凤凰仓</v>
      </c>
      <c r="G790" s="1" t="str">
        <f t="shared" si="243"/>
        <v>卡卡杜企业店（视频号）</v>
      </c>
      <c r="H790" s="1" t="str">
        <f t="shared" si="248"/>
        <v>正常订单</v>
      </c>
      <c r="I790" s="1" t="str">
        <f t="shared" si="249"/>
        <v>已发货</v>
      </c>
      <c r="J790" s="1" t="str">
        <f t="shared" si="255"/>
        <v>1</v>
      </c>
      <c r="K790" s="1">
        <v>1</v>
      </c>
      <c r="L790" s="1" t="s">
        <v>66</v>
      </c>
      <c r="M790" s="1" t="str">
        <f>"内蒙古自治区 锡林郭勒盟 锡林浩特市 "</f>
        <v xml:space="preserve">内蒙古自治区 锡林郭勒盟 锡林浩特市 </v>
      </c>
      <c r="N790" s="1" t="str">
        <f t="shared" si="241"/>
        <v>凡华云仓-城南圆通-微信视频号</v>
      </c>
      <c r="O790" s="5" t="s">
        <v>829</v>
      </c>
      <c r="P790" s="6">
        <v>0.12</v>
      </c>
      <c r="Q790" s="11">
        <v>2</v>
      </c>
      <c r="R790" s="11"/>
      <c r="S790" s="11"/>
      <c r="T790" s="11"/>
      <c r="U790" s="11">
        <f t="shared" si="250"/>
        <v>2</v>
      </c>
      <c r="W790">
        <v>2.2000000000000002</v>
      </c>
      <c r="X790" s="1" t="s">
        <v>66</v>
      </c>
    </row>
    <row r="791" spans="1:24" x14ac:dyDescent="0.25">
      <c r="A791" s="1" t="str">
        <f t="shared" si="246"/>
        <v>卡卡杜-凤凰仓</v>
      </c>
      <c r="B791" s="1" t="str">
        <f>"CK20241030251"</f>
        <v>CK20241030251</v>
      </c>
      <c r="C791" s="1" t="str">
        <f>"DD2024103036326"</f>
        <v>DD2024103036326</v>
      </c>
      <c r="D791" s="1" t="str">
        <f>"CK2024103035672"</f>
        <v>CK2024103035672</v>
      </c>
      <c r="E791" s="1" t="str">
        <f>"3723651885840862208"</f>
        <v>3723651885840862208</v>
      </c>
      <c r="F791" s="1" t="str">
        <f t="shared" si="247"/>
        <v>花都四部-凤凰仓</v>
      </c>
      <c r="G791" s="1" t="str">
        <f t="shared" si="243"/>
        <v>卡卡杜企业店（视频号）</v>
      </c>
      <c r="H791" s="1" t="str">
        <f t="shared" si="248"/>
        <v>正常订单</v>
      </c>
      <c r="I791" s="1" t="str">
        <f t="shared" si="249"/>
        <v>已发货</v>
      </c>
      <c r="J791" s="1" t="str">
        <f t="shared" si="255"/>
        <v>1</v>
      </c>
      <c r="K791" s="1">
        <v>1</v>
      </c>
      <c r="L791" s="1" t="s">
        <v>105</v>
      </c>
      <c r="M791" s="1" t="str">
        <f>"北京 北京市 朝阳区 "</f>
        <v xml:space="preserve">北京 北京市 朝阳区 </v>
      </c>
      <c r="N791" s="1" t="str">
        <f t="shared" si="241"/>
        <v>凡华云仓-城南圆通-微信视频号</v>
      </c>
      <c r="O791" s="5" t="s">
        <v>830</v>
      </c>
      <c r="P791" s="6">
        <v>0.12</v>
      </c>
      <c r="Q791" s="11">
        <v>2</v>
      </c>
      <c r="R791" s="11"/>
      <c r="S791" s="11"/>
      <c r="T791" s="11"/>
      <c r="U791" s="11">
        <f t="shared" si="250"/>
        <v>2</v>
      </c>
      <c r="W791">
        <v>2.2000000000000002</v>
      </c>
      <c r="X791" s="1" t="s">
        <v>105</v>
      </c>
    </row>
    <row r="792" spans="1:24" x14ac:dyDescent="0.25">
      <c r="A792" s="1" t="str">
        <f t="shared" si="246"/>
        <v>卡卡杜-凤凰仓</v>
      </c>
      <c r="B792" s="1" t="str">
        <f>"CK20241030448"</f>
        <v>CK20241030448</v>
      </c>
      <c r="C792" s="1" t="str">
        <f>"DD2024103036573"</f>
        <v>DD2024103036573</v>
      </c>
      <c r="D792" s="1" t="str">
        <f>"CK2024103035671"</f>
        <v>CK2024103035671</v>
      </c>
      <c r="E792" s="1" t="str">
        <f>"3723651873214432512"</f>
        <v>3723651873214432512</v>
      </c>
      <c r="F792" s="1" t="str">
        <f t="shared" si="247"/>
        <v>花都四部-凤凰仓</v>
      </c>
      <c r="G792" s="1" t="str">
        <f t="shared" si="243"/>
        <v>卡卡杜企业店（视频号）</v>
      </c>
      <c r="H792" s="1" t="str">
        <f t="shared" si="248"/>
        <v>正常订单</v>
      </c>
      <c r="I792" s="1" t="str">
        <f t="shared" si="249"/>
        <v>已发货</v>
      </c>
      <c r="J792" s="1" t="str">
        <f>"5"</f>
        <v>5</v>
      </c>
      <c r="K792" s="1">
        <v>2</v>
      </c>
      <c r="L792" s="1" t="s">
        <v>74</v>
      </c>
      <c r="M792" s="1" t="str">
        <f>"上海 上海市 闵行区 "</f>
        <v xml:space="preserve">上海 上海市 闵行区 </v>
      </c>
      <c r="N792" s="1" t="str">
        <f t="shared" si="241"/>
        <v>凡华云仓-城南圆通-微信视频号</v>
      </c>
      <c r="O792" s="5" t="s">
        <v>831</v>
      </c>
      <c r="P792" s="6">
        <v>0.35</v>
      </c>
      <c r="Q792" s="11">
        <v>2.2999999999999998</v>
      </c>
      <c r="R792" s="11"/>
      <c r="S792" s="11"/>
      <c r="T792" s="11"/>
      <c r="U792" s="11">
        <f t="shared" si="250"/>
        <v>2.2999999999999998</v>
      </c>
      <c r="W792">
        <v>2.5</v>
      </c>
      <c r="X792" s="1" t="s">
        <v>74</v>
      </c>
    </row>
    <row r="793" spans="1:24" x14ac:dyDescent="0.25">
      <c r="A793" s="1" t="str">
        <f t="shared" si="246"/>
        <v>卡卡杜-凤凰仓</v>
      </c>
      <c r="B793" s="1" t="str">
        <f>"CK20241030252"</f>
        <v>CK20241030252</v>
      </c>
      <c r="C793" s="1" t="str">
        <f>"DD2024103036327"</f>
        <v>DD2024103036327</v>
      </c>
      <c r="D793" s="1" t="str">
        <f>"CK2024103035670"</f>
        <v>CK2024103035670</v>
      </c>
      <c r="E793" s="1" t="str">
        <f>"3723651874636301824"</f>
        <v>3723651874636301824</v>
      </c>
      <c r="F793" s="1" t="str">
        <f t="shared" si="247"/>
        <v>花都四部-凤凰仓</v>
      </c>
      <c r="G793" s="1" t="str">
        <f t="shared" si="243"/>
        <v>卡卡杜企业店（视频号）</v>
      </c>
      <c r="H793" s="1" t="str">
        <f t="shared" si="248"/>
        <v>正常订单</v>
      </c>
      <c r="I793" s="1" t="str">
        <f t="shared" si="249"/>
        <v>已发货</v>
      </c>
      <c r="J793" s="1" t="str">
        <f t="shared" ref="J793:J798" si="256">"3"</f>
        <v>3</v>
      </c>
      <c r="K793" s="1">
        <v>2</v>
      </c>
      <c r="L793" s="1" t="s">
        <v>74</v>
      </c>
      <c r="M793" s="1" t="str">
        <f>"上海 上海市 闵行区 "</f>
        <v xml:space="preserve">上海 上海市 闵行区 </v>
      </c>
      <c r="N793" s="1" t="str">
        <f t="shared" si="241"/>
        <v>凡华云仓-城南圆通-微信视频号</v>
      </c>
      <c r="O793" s="5" t="s">
        <v>832</v>
      </c>
      <c r="P793" s="6">
        <v>0.25</v>
      </c>
      <c r="Q793" s="11">
        <v>2</v>
      </c>
      <c r="R793" s="11"/>
      <c r="S793" s="11"/>
      <c r="T793" s="11"/>
      <c r="U793" s="11">
        <f t="shared" si="250"/>
        <v>2</v>
      </c>
      <c r="W793">
        <v>2.2000000000000002</v>
      </c>
      <c r="X793" s="1" t="s">
        <v>74</v>
      </c>
    </row>
    <row r="794" spans="1:24" x14ac:dyDescent="0.25">
      <c r="A794" s="1" t="str">
        <f t="shared" si="246"/>
        <v>卡卡杜-凤凰仓</v>
      </c>
      <c r="B794" s="1" t="str">
        <f>"CK20241030253"</f>
        <v>CK20241030253</v>
      </c>
      <c r="C794" s="1" t="str">
        <f>"DD2024103036329"</f>
        <v>DD2024103036329</v>
      </c>
      <c r="D794" s="1" t="str">
        <f>"CK2024103035669"</f>
        <v>CK2024103035669</v>
      </c>
      <c r="E794" s="1" t="str">
        <f>"3723651883785655297"</f>
        <v>3723651883785655297</v>
      </c>
      <c r="F794" s="1" t="str">
        <f t="shared" si="247"/>
        <v>花都四部-凤凰仓</v>
      </c>
      <c r="G794" s="1" t="str">
        <f t="shared" si="243"/>
        <v>卡卡杜企业店（视频号）</v>
      </c>
      <c r="H794" s="1" t="str">
        <f t="shared" si="248"/>
        <v>正常订单</v>
      </c>
      <c r="I794" s="1" t="str">
        <f t="shared" si="249"/>
        <v>已发货</v>
      </c>
      <c r="J794" s="1" t="str">
        <f t="shared" ref="J794:J797" si="257">"1"</f>
        <v>1</v>
      </c>
      <c r="K794" s="1">
        <v>1</v>
      </c>
      <c r="L794" s="1" t="s">
        <v>92</v>
      </c>
      <c r="M794" s="1" t="str">
        <f>"辽宁省 沈阳市 和平区 "</f>
        <v xml:space="preserve">辽宁省 沈阳市 和平区 </v>
      </c>
      <c r="N794" s="1" t="str">
        <f t="shared" si="241"/>
        <v>凡华云仓-城南圆通-微信视频号</v>
      </c>
      <c r="O794" s="5" t="s">
        <v>833</v>
      </c>
      <c r="P794" s="6">
        <v>0.12</v>
      </c>
      <c r="Q794" s="11">
        <v>2</v>
      </c>
      <c r="R794" s="11"/>
      <c r="S794" s="11"/>
      <c r="T794" s="11"/>
      <c r="U794" s="11">
        <f t="shared" si="250"/>
        <v>2</v>
      </c>
      <c r="W794">
        <v>2.2000000000000002</v>
      </c>
      <c r="X794" s="1" t="s">
        <v>92</v>
      </c>
    </row>
    <row r="795" spans="1:24" x14ac:dyDescent="0.25">
      <c r="A795" s="1" t="str">
        <f t="shared" si="246"/>
        <v>卡卡杜-凤凰仓</v>
      </c>
      <c r="B795" s="1" t="str">
        <f>"CK20241030254"</f>
        <v>CK20241030254</v>
      </c>
      <c r="C795" s="1" t="str">
        <f>"DD2024103036328"</f>
        <v>DD2024103036328</v>
      </c>
      <c r="D795" s="1" t="str">
        <f>"CK2024103035668"</f>
        <v>CK2024103035668</v>
      </c>
      <c r="E795" s="1" t="str">
        <f>"3723651884277957888"</f>
        <v>3723651884277957888</v>
      </c>
      <c r="F795" s="1" t="str">
        <f t="shared" si="247"/>
        <v>花都四部-凤凰仓</v>
      </c>
      <c r="G795" s="1" t="str">
        <f t="shared" si="243"/>
        <v>卡卡杜企业店（视频号）</v>
      </c>
      <c r="H795" s="1" t="str">
        <f t="shared" si="248"/>
        <v>正常订单</v>
      </c>
      <c r="I795" s="1" t="str">
        <f t="shared" si="249"/>
        <v>已发货</v>
      </c>
      <c r="J795" s="1" t="str">
        <f t="shared" si="257"/>
        <v>1</v>
      </c>
      <c r="K795" s="1">
        <v>1</v>
      </c>
      <c r="L795" s="1" t="s">
        <v>52</v>
      </c>
      <c r="M795" s="1" t="str">
        <f>"甘肃省 兰州市 城关区 "</f>
        <v xml:space="preserve">甘肃省 兰州市 城关区 </v>
      </c>
      <c r="N795" s="1" t="str">
        <f t="shared" si="241"/>
        <v>凡华云仓-城南圆通-微信视频号</v>
      </c>
      <c r="O795" s="5" t="s">
        <v>834</v>
      </c>
      <c r="P795" s="6">
        <v>0.12</v>
      </c>
      <c r="Q795" s="11">
        <v>2</v>
      </c>
      <c r="R795" s="11"/>
      <c r="S795" s="11"/>
      <c r="T795" s="11"/>
      <c r="U795" s="11">
        <f t="shared" si="250"/>
        <v>2</v>
      </c>
      <c r="W795">
        <v>2.2000000000000002</v>
      </c>
      <c r="X795" s="1" t="s">
        <v>52</v>
      </c>
    </row>
    <row r="796" spans="1:24" x14ac:dyDescent="0.25">
      <c r="A796" s="1" t="str">
        <f t="shared" si="246"/>
        <v>卡卡杜-凤凰仓</v>
      </c>
      <c r="B796" s="1" t="str">
        <f>"CK20241030255"</f>
        <v>CK20241030255</v>
      </c>
      <c r="C796" s="1" t="str">
        <f>"DD2024103036330"</f>
        <v>DD2024103036330</v>
      </c>
      <c r="D796" s="1" t="str">
        <f>"CK2024103035667"</f>
        <v>CK2024103035667</v>
      </c>
      <c r="E796" s="1" t="str">
        <f>"3723651877676123648"</f>
        <v>3723651877676123648</v>
      </c>
      <c r="F796" s="1" t="str">
        <f t="shared" si="247"/>
        <v>花都四部-凤凰仓</v>
      </c>
      <c r="G796" s="1" t="str">
        <f t="shared" si="243"/>
        <v>卡卡杜企业店（视频号）</v>
      </c>
      <c r="H796" s="1" t="str">
        <f t="shared" si="248"/>
        <v>正常订单</v>
      </c>
      <c r="I796" s="1" t="str">
        <f t="shared" si="249"/>
        <v>已发货</v>
      </c>
      <c r="J796" s="1" t="str">
        <f t="shared" si="256"/>
        <v>3</v>
      </c>
      <c r="K796" s="1">
        <v>2</v>
      </c>
      <c r="L796" s="1" t="s">
        <v>32</v>
      </c>
      <c r="M796" s="1" t="str">
        <f>"陕西省 西安市 未央区 "</f>
        <v xml:space="preserve">陕西省 西安市 未央区 </v>
      </c>
      <c r="N796" s="1" t="str">
        <f t="shared" si="241"/>
        <v>凡华云仓-城南圆通-微信视频号</v>
      </c>
      <c r="O796" s="5" t="s">
        <v>835</v>
      </c>
      <c r="P796" s="6">
        <v>0.25</v>
      </c>
      <c r="Q796" s="11">
        <v>2</v>
      </c>
      <c r="R796" s="11"/>
      <c r="S796" s="11"/>
      <c r="T796" s="11"/>
      <c r="U796" s="11">
        <f t="shared" si="250"/>
        <v>2</v>
      </c>
      <c r="W796">
        <v>2.2000000000000002</v>
      </c>
      <c r="X796" s="1" t="s">
        <v>32</v>
      </c>
    </row>
    <row r="797" spans="1:24" x14ac:dyDescent="0.25">
      <c r="A797" s="1" t="str">
        <f t="shared" si="246"/>
        <v>卡卡杜-凤凰仓</v>
      </c>
      <c r="B797" s="1" t="str">
        <f>"CK20241030256"</f>
        <v>CK20241030256</v>
      </c>
      <c r="C797" s="1" t="str">
        <f>"DD2024103036331"</f>
        <v>DD2024103036331</v>
      </c>
      <c r="D797" s="1" t="str">
        <f>"CK2024103035666"</f>
        <v>CK2024103035666</v>
      </c>
      <c r="E797" s="1" t="str">
        <f>"3723651878683804928"</f>
        <v>3723651878683804928</v>
      </c>
      <c r="F797" s="1" t="str">
        <f t="shared" si="247"/>
        <v>花都四部-凤凰仓</v>
      </c>
      <c r="G797" s="1" t="str">
        <f t="shared" si="243"/>
        <v>卡卡杜企业店（视频号）</v>
      </c>
      <c r="H797" s="1" t="str">
        <f t="shared" si="248"/>
        <v>正常订单</v>
      </c>
      <c r="I797" s="1" t="str">
        <f t="shared" si="249"/>
        <v>已发货</v>
      </c>
      <c r="J797" s="1" t="str">
        <f t="shared" si="257"/>
        <v>1</v>
      </c>
      <c r="K797" s="1">
        <v>1</v>
      </c>
      <c r="L797" s="1" t="s">
        <v>13</v>
      </c>
      <c r="M797" s="1" t="str">
        <f>"江苏省 苏州市 姑苏区 "</f>
        <v xml:space="preserve">江苏省 苏州市 姑苏区 </v>
      </c>
      <c r="N797" s="1" t="str">
        <f t="shared" si="241"/>
        <v>凡华云仓-城南圆通-微信视频号</v>
      </c>
      <c r="O797" s="5" t="s">
        <v>836</v>
      </c>
      <c r="P797" s="6">
        <v>0.12</v>
      </c>
      <c r="Q797" s="11">
        <v>2</v>
      </c>
      <c r="R797" s="11"/>
      <c r="S797" s="11"/>
      <c r="T797" s="11"/>
      <c r="U797" s="11">
        <f t="shared" si="250"/>
        <v>2</v>
      </c>
      <c r="W797">
        <v>2.2000000000000002</v>
      </c>
      <c r="X797" s="1" t="s">
        <v>13</v>
      </c>
    </row>
    <row r="798" spans="1:24" x14ac:dyDescent="0.25">
      <c r="A798" s="1" t="str">
        <f t="shared" si="246"/>
        <v>卡卡杜-凤凰仓</v>
      </c>
      <c r="B798" s="1" t="str">
        <f>"CK20241030257"</f>
        <v>CK20241030257</v>
      </c>
      <c r="C798" s="1" t="str">
        <f>"DD2024103036332"</f>
        <v>DD2024103036332</v>
      </c>
      <c r="D798" s="1" t="str">
        <f>"CK2024103035665"</f>
        <v>CK2024103035665</v>
      </c>
      <c r="E798" s="1" t="str">
        <f>"3723651874863320065"</f>
        <v>3723651874863320065</v>
      </c>
      <c r="F798" s="1" t="str">
        <f t="shared" si="247"/>
        <v>花都四部-凤凰仓</v>
      </c>
      <c r="G798" s="1" t="str">
        <f t="shared" si="243"/>
        <v>卡卡杜企业店（视频号）</v>
      </c>
      <c r="H798" s="1" t="str">
        <f t="shared" si="248"/>
        <v>正常订单</v>
      </c>
      <c r="I798" s="1" t="str">
        <f t="shared" si="249"/>
        <v>已发货</v>
      </c>
      <c r="J798" s="1" t="str">
        <f t="shared" si="256"/>
        <v>3</v>
      </c>
      <c r="K798" s="1">
        <v>2</v>
      </c>
      <c r="L798" s="1" t="s">
        <v>30</v>
      </c>
      <c r="M798" s="1" t="str">
        <f>"山东省 济南市 槐荫区 "</f>
        <v xml:space="preserve">山东省 济南市 槐荫区 </v>
      </c>
      <c r="N798" s="1" t="str">
        <f t="shared" si="241"/>
        <v>凡华云仓-城南圆通-微信视频号</v>
      </c>
      <c r="O798" s="5" t="s">
        <v>837</v>
      </c>
      <c r="P798" s="6">
        <v>0.25</v>
      </c>
      <c r="Q798" s="11">
        <v>2</v>
      </c>
      <c r="R798" s="11"/>
      <c r="S798" s="11"/>
      <c r="T798" s="11"/>
      <c r="U798" s="11">
        <f t="shared" si="250"/>
        <v>2</v>
      </c>
      <c r="W798">
        <v>2.2000000000000002</v>
      </c>
      <c r="X798" s="1" t="s">
        <v>30</v>
      </c>
    </row>
    <row r="799" spans="1:24" x14ac:dyDescent="0.25">
      <c r="A799" s="1" t="str">
        <f t="shared" si="246"/>
        <v>卡卡杜-凤凰仓</v>
      </c>
      <c r="B799" s="1" t="str">
        <f>"CK20241030259"</f>
        <v>CK20241030259</v>
      </c>
      <c r="C799" s="1" t="str">
        <f>"DD2024103036334"</f>
        <v>DD2024103036334</v>
      </c>
      <c r="D799" s="1" t="str">
        <f>"CK2024103035664"</f>
        <v>CK2024103035664</v>
      </c>
      <c r="E799" s="1" t="str">
        <f>"3723651870913596416"</f>
        <v>3723651870913596416</v>
      </c>
      <c r="F799" s="1" t="str">
        <f t="shared" si="247"/>
        <v>花都四部-凤凰仓</v>
      </c>
      <c r="G799" s="1" t="str">
        <f t="shared" si="243"/>
        <v>卡卡杜企业店（视频号）</v>
      </c>
      <c r="H799" s="1" t="str">
        <f t="shared" si="248"/>
        <v>正常订单</v>
      </c>
      <c r="I799" s="1" t="str">
        <f t="shared" si="249"/>
        <v>已发货</v>
      </c>
      <c r="J799" s="1" t="str">
        <f t="shared" ref="J799:J802" si="258">"1"</f>
        <v>1</v>
      </c>
      <c r="K799" s="1">
        <v>1</v>
      </c>
      <c r="L799" s="1" t="s">
        <v>74</v>
      </c>
      <c r="M799" s="1" t="str">
        <f>"上海 上海市 杨浦区 "</f>
        <v xml:space="preserve">上海 上海市 杨浦区 </v>
      </c>
      <c r="N799" s="1" t="str">
        <f t="shared" si="241"/>
        <v>凡华云仓-城南圆通-微信视频号</v>
      </c>
      <c r="O799" s="5" t="s">
        <v>838</v>
      </c>
      <c r="P799" s="6">
        <v>0.12</v>
      </c>
      <c r="Q799" s="11">
        <v>2</v>
      </c>
      <c r="R799" s="11"/>
      <c r="S799" s="11"/>
      <c r="T799" s="11"/>
      <c r="U799" s="11">
        <f t="shared" si="250"/>
        <v>2</v>
      </c>
      <c r="W799">
        <v>2.2000000000000002</v>
      </c>
      <c r="X799" s="1" t="s">
        <v>74</v>
      </c>
    </row>
    <row r="800" spans="1:24" x14ac:dyDescent="0.25">
      <c r="A800" s="1" t="str">
        <f t="shared" si="246"/>
        <v>卡卡杜-凤凰仓</v>
      </c>
      <c r="B800" s="1" t="str">
        <f>"CK20241030260"</f>
        <v>CK20241030260</v>
      </c>
      <c r="C800" s="1" t="str">
        <f>"DD2024103036335"</f>
        <v>DD2024103036335</v>
      </c>
      <c r="D800" s="1" t="str">
        <f>"CK2024103035663"</f>
        <v>CK2024103035663</v>
      </c>
      <c r="E800" s="1" t="str">
        <f>"3723651873770702080"</f>
        <v>3723651873770702080</v>
      </c>
      <c r="F800" s="1" t="str">
        <f t="shared" si="247"/>
        <v>花都四部-凤凰仓</v>
      </c>
      <c r="G800" s="1" t="str">
        <f t="shared" si="243"/>
        <v>卡卡杜企业店（视频号）</v>
      </c>
      <c r="H800" s="1" t="str">
        <f t="shared" si="248"/>
        <v>正常订单</v>
      </c>
      <c r="I800" s="1" t="str">
        <f t="shared" si="249"/>
        <v>已发货</v>
      </c>
      <c r="J800" s="1" t="str">
        <f t="shared" si="258"/>
        <v>1</v>
      </c>
      <c r="K800" s="1">
        <v>1</v>
      </c>
      <c r="L800" s="1" t="s">
        <v>60</v>
      </c>
      <c r="M800" s="1" t="str">
        <f>"云南省 德宏傣族景颇族自治州 芒市 "</f>
        <v xml:space="preserve">云南省 德宏傣族景颇族自治州 芒市 </v>
      </c>
      <c r="N800" s="1" t="str">
        <f t="shared" si="241"/>
        <v>凡华云仓-城南圆通-微信视频号</v>
      </c>
      <c r="O800" s="5" t="s">
        <v>839</v>
      </c>
      <c r="P800" s="6">
        <v>0.12</v>
      </c>
      <c r="Q800" s="11">
        <v>2</v>
      </c>
      <c r="R800" s="11"/>
      <c r="S800" s="11"/>
      <c r="T800" s="11"/>
      <c r="U800" s="11">
        <f t="shared" si="250"/>
        <v>2</v>
      </c>
      <c r="W800">
        <v>2.2000000000000002</v>
      </c>
      <c r="X800" s="1" t="s">
        <v>60</v>
      </c>
    </row>
    <row r="801" spans="1:24" x14ac:dyDescent="0.25">
      <c r="A801" s="1" t="str">
        <f t="shared" si="246"/>
        <v>卡卡杜-凤凰仓</v>
      </c>
      <c r="B801" s="1" t="str">
        <f>"CK20241030258"</f>
        <v>CK20241030258</v>
      </c>
      <c r="C801" s="1" t="str">
        <f>"DD2024103036333"</f>
        <v>DD2024103036333</v>
      </c>
      <c r="D801" s="1" t="str">
        <f>"CK2024103035662"</f>
        <v>CK2024103035662</v>
      </c>
      <c r="E801" s="1" t="str">
        <f>"3723651874021314560"</f>
        <v>3723651874021314560</v>
      </c>
      <c r="F801" s="1" t="str">
        <f t="shared" si="247"/>
        <v>花都四部-凤凰仓</v>
      </c>
      <c r="G801" s="1" t="str">
        <f t="shared" si="243"/>
        <v>卡卡杜企业店（视频号）</v>
      </c>
      <c r="H801" s="1" t="str">
        <f t="shared" si="248"/>
        <v>正常订单</v>
      </c>
      <c r="I801" s="1" t="str">
        <f t="shared" si="249"/>
        <v>已发货</v>
      </c>
      <c r="J801" s="1" t="str">
        <f t="shared" ref="J801:J806" si="259">"3"</f>
        <v>3</v>
      </c>
      <c r="K801" s="1">
        <v>2</v>
      </c>
      <c r="L801" s="1" t="s">
        <v>105</v>
      </c>
      <c r="M801" s="1" t="str">
        <f>"北京 北京市 海淀区 "</f>
        <v xml:space="preserve">北京 北京市 海淀区 </v>
      </c>
      <c r="N801" s="1" t="str">
        <f t="shared" si="241"/>
        <v>凡华云仓-城南圆通-微信视频号</v>
      </c>
      <c r="O801" s="5" t="s">
        <v>840</v>
      </c>
      <c r="P801" s="6">
        <v>0.25</v>
      </c>
      <c r="Q801" s="11">
        <v>2</v>
      </c>
      <c r="R801" s="11"/>
      <c r="S801" s="11"/>
      <c r="T801" s="11"/>
      <c r="U801" s="11">
        <f t="shared" si="250"/>
        <v>2</v>
      </c>
      <c r="W801">
        <v>2.2000000000000002</v>
      </c>
      <c r="X801" s="1" t="s">
        <v>105</v>
      </c>
    </row>
    <row r="802" spans="1:24" x14ac:dyDescent="0.25">
      <c r="A802" s="1" t="str">
        <f t="shared" si="246"/>
        <v>卡卡杜-凤凰仓</v>
      </c>
      <c r="B802" s="1" t="str">
        <f>"CK20241030261"</f>
        <v>CK20241030261</v>
      </c>
      <c r="C802" s="1" t="str">
        <f>"DD2024103036336"</f>
        <v>DD2024103036336</v>
      </c>
      <c r="D802" s="1" t="str">
        <f>"CK2024103035661"</f>
        <v>CK2024103035661</v>
      </c>
      <c r="E802" s="1" t="str">
        <f>"3723651873125305344"</f>
        <v>3723651873125305344</v>
      </c>
      <c r="F802" s="1" t="str">
        <f t="shared" si="247"/>
        <v>花都四部-凤凰仓</v>
      </c>
      <c r="G802" s="1" t="str">
        <f t="shared" si="243"/>
        <v>卡卡杜企业店（视频号）</v>
      </c>
      <c r="H802" s="1" t="str">
        <f t="shared" si="248"/>
        <v>正常订单</v>
      </c>
      <c r="I802" s="1" t="str">
        <f t="shared" si="249"/>
        <v>已发货</v>
      </c>
      <c r="J802" s="1" t="str">
        <f t="shared" si="258"/>
        <v>1</v>
      </c>
      <c r="K802" s="1">
        <v>1</v>
      </c>
      <c r="L802" s="1" t="s">
        <v>92</v>
      </c>
      <c r="M802" s="1" t="str">
        <f>"辽宁省 沈阳市 铁西区 "</f>
        <v xml:space="preserve">辽宁省 沈阳市 铁西区 </v>
      </c>
      <c r="N802" s="1" t="str">
        <f t="shared" si="241"/>
        <v>凡华云仓-城南圆通-微信视频号</v>
      </c>
      <c r="O802" s="5" t="s">
        <v>841</v>
      </c>
      <c r="P802" s="6">
        <v>0.12</v>
      </c>
      <c r="Q802" s="11">
        <v>2</v>
      </c>
      <c r="R802" s="11"/>
      <c r="S802" s="11"/>
      <c r="T802" s="11"/>
      <c r="U802" s="11">
        <f t="shared" si="250"/>
        <v>2</v>
      </c>
      <c r="W802">
        <v>2.2000000000000002</v>
      </c>
      <c r="X802" s="1" t="s">
        <v>92</v>
      </c>
    </row>
    <row r="803" spans="1:24" x14ac:dyDescent="0.25">
      <c r="A803" s="1" t="str">
        <f t="shared" si="246"/>
        <v>卡卡杜-凤凰仓</v>
      </c>
      <c r="B803" s="1" t="str">
        <f>"CK20241030262"</f>
        <v>CK20241030262</v>
      </c>
      <c r="C803" s="1" t="str">
        <f>"DD2024103036338"</f>
        <v>DD2024103036338</v>
      </c>
      <c r="D803" s="1" t="str">
        <f>"CK2024103035660"</f>
        <v>CK2024103035660</v>
      </c>
      <c r="E803" s="1" t="str">
        <f>"3723651871522556929"</f>
        <v>3723651871522556929</v>
      </c>
      <c r="F803" s="1" t="str">
        <f t="shared" si="247"/>
        <v>花都四部-凤凰仓</v>
      </c>
      <c r="G803" s="1" t="str">
        <f t="shared" si="243"/>
        <v>卡卡杜企业店（视频号）</v>
      </c>
      <c r="H803" s="1" t="str">
        <f t="shared" si="248"/>
        <v>正常订单</v>
      </c>
      <c r="I803" s="1" t="str">
        <f t="shared" si="249"/>
        <v>已发货</v>
      </c>
      <c r="J803" s="1" t="str">
        <f t="shared" si="259"/>
        <v>3</v>
      </c>
      <c r="K803" s="1">
        <v>2</v>
      </c>
      <c r="L803" s="1" t="s">
        <v>80</v>
      </c>
      <c r="M803" s="1" t="str">
        <f>"河南省 三门峡市 湖滨区 "</f>
        <v xml:space="preserve">河南省 三门峡市 湖滨区 </v>
      </c>
      <c r="N803" s="1" t="str">
        <f t="shared" si="241"/>
        <v>凡华云仓-城南圆通-微信视频号</v>
      </c>
      <c r="O803" s="5" t="s">
        <v>842</v>
      </c>
      <c r="P803" s="6">
        <v>0.25</v>
      </c>
      <c r="Q803" s="11">
        <v>2</v>
      </c>
      <c r="R803" s="11"/>
      <c r="S803" s="11"/>
      <c r="T803" s="11"/>
      <c r="U803" s="11">
        <f t="shared" si="250"/>
        <v>2</v>
      </c>
      <c r="W803">
        <v>2.2000000000000002</v>
      </c>
      <c r="X803" s="1" t="s">
        <v>80</v>
      </c>
    </row>
    <row r="804" spans="1:24" x14ac:dyDescent="0.25">
      <c r="A804" s="1" t="str">
        <f t="shared" si="246"/>
        <v>卡卡杜-凤凰仓</v>
      </c>
      <c r="B804" s="1" t="str">
        <f>"CK20241030264"</f>
        <v>CK20241030264</v>
      </c>
      <c r="C804" s="1" t="str">
        <f>"DD2024103036337"</f>
        <v>DD2024103036337</v>
      </c>
      <c r="D804" s="1" t="str">
        <f>"CK2024103035659"</f>
        <v>CK2024103035659</v>
      </c>
      <c r="E804" s="1" t="str">
        <f>"3723651870446195712"</f>
        <v>3723651870446195712</v>
      </c>
      <c r="F804" s="1" t="str">
        <f t="shared" si="247"/>
        <v>花都四部-凤凰仓</v>
      </c>
      <c r="G804" s="1" t="str">
        <f t="shared" si="243"/>
        <v>卡卡杜企业店（视频号）</v>
      </c>
      <c r="H804" s="1" t="str">
        <f t="shared" si="248"/>
        <v>正常订单</v>
      </c>
      <c r="I804" s="1" t="str">
        <f t="shared" si="249"/>
        <v>已发货</v>
      </c>
      <c r="J804" s="1" t="str">
        <f t="shared" ref="J804:J811" si="260">"1"</f>
        <v>1</v>
      </c>
      <c r="K804" s="1">
        <v>1</v>
      </c>
      <c r="L804" s="1" t="s">
        <v>52</v>
      </c>
      <c r="M804" s="1" t="str">
        <f>"甘肃省 兰州市 七里河区 "</f>
        <v xml:space="preserve">甘肃省 兰州市 七里河区 </v>
      </c>
      <c r="N804" s="1" t="str">
        <f t="shared" si="241"/>
        <v>凡华云仓-城南圆通-微信视频号</v>
      </c>
      <c r="O804" s="5" t="s">
        <v>843</v>
      </c>
      <c r="P804" s="6">
        <v>0.12</v>
      </c>
      <c r="Q804" s="11">
        <v>2</v>
      </c>
      <c r="R804" s="11"/>
      <c r="S804" s="11"/>
      <c r="T804" s="11"/>
      <c r="U804" s="11">
        <f t="shared" si="250"/>
        <v>2</v>
      </c>
      <c r="W804">
        <v>2.2000000000000002</v>
      </c>
      <c r="X804" s="1" t="s">
        <v>52</v>
      </c>
    </row>
    <row r="805" spans="1:24" x14ac:dyDescent="0.25">
      <c r="A805" s="1" t="str">
        <f t="shared" si="246"/>
        <v>卡卡杜-凤凰仓</v>
      </c>
      <c r="B805" s="1" t="str">
        <f>"CK20241030263"</f>
        <v>CK20241030263</v>
      </c>
      <c r="C805" s="1" t="str">
        <f>"DD2024103036339"</f>
        <v>DD2024103036339</v>
      </c>
      <c r="D805" s="1" t="str">
        <f>"CK2024103035658"</f>
        <v>CK2024103035658</v>
      </c>
      <c r="E805" s="1" t="str">
        <f>"3723651870811622400"</f>
        <v>3723651870811622400</v>
      </c>
      <c r="F805" s="1" t="str">
        <f t="shared" si="247"/>
        <v>花都四部-凤凰仓</v>
      </c>
      <c r="G805" s="1" t="str">
        <f t="shared" si="243"/>
        <v>卡卡杜企业店（视频号）</v>
      </c>
      <c r="H805" s="1" t="str">
        <f t="shared" si="248"/>
        <v>正常订单</v>
      </c>
      <c r="I805" s="1" t="str">
        <f t="shared" si="249"/>
        <v>已发货</v>
      </c>
      <c r="J805" s="1" t="str">
        <f t="shared" si="260"/>
        <v>1</v>
      </c>
      <c r="K805" s="1">
        <v>1</v>
      </c>
      <c r="L805" s="1" t="s">
        <v>74</v>
      </c>
      <c r="M805" s="1" t="str">
        <f>"上海 上海市 松江区 "</f>
        <v xml:space="preserve">上海 上海市 松江区 </v>
      </c>
      <c r="N805" s="1" t="str">
        <f t="shared" si="241"/>
        <v>凡华云仓-城南圆通-微信视频号</v>
      </c>
      <c r="O805" s="5" t="s">
        <v>844</v>
      </c>
      <c r="P805" s="6">
        <v>0.12</v>
      </c>
      <c r="Q805" s="11">
        <v>2</v>
      </c>
      <c r="R805" s="11"/>
      <c r="S805" s="11"/>
      <c r="T805" s="11"/>
      <c r="U805" s="11">
        <f t="shared" si="250"/>
        <v>2</v>
      </c>
      <c r="W805">
        <v>2.2000000000000002</v>
      </c>
      <c r="X805" s="1" t="s">
        <v>74</v>
      </c>
    </row>
    <row r="806" spans="1:24" x14ac:dyDescent="0.25">
      <c r="A806" s="1" t="str">
        <f t="shared" si="246"/>
        <v>卡卡杜-凤凰仓</v>
      </c>
      <c r="B806" s="1" t="str">
        <f>"CK20241030266"</f>
        <v>CK20241030266</v>
      </c>
      <c r="C806" s="1" t="str">
        <f>"DD2024103036341"</f>
        <v>DD2024103036341</v>
      </c>
      <c r="D806" s="1" t="str">
        <f>"CK2024103035657"</f>
        <v>CK2024103035657</v>
      </c>
      <c r="E806" s="1" t="str">
        <f>"3723651866982748160"</f>
        <v>3723651866982748160</v>
      </c>
      <c r="F806" s="1" t="str">
        <f t="shared" si="247"/>
        <v>花都四部-凤凰仓</v>
      </c>
      <c r="G806" s="1" t="str">
        <f t="shared" si="243"/>
        <v>卡卡杜企业店（视频号）</v>
      </c>
      <c r="H806" s="1" t="str">
        <f t="shared" si="248"/>
        <v>正常订单</v>
      </c>
      <c r="I806" s="1" t="str">
        <f t="shared" si="249"/>
        <v>已发货</v>
      </c>
      <c r="J806" s="1" t="str">
        <f t="shared" si="259"/>
        <v>3</v>
      </c>
      <c r="K806" s="1">
        <v>2</v>
      </c>
      <c r="L806" s="1" t="s">
        <v>161</v>
      </c>
      <c r="M806" s="1" t="str">
        <f>"四川省 成都市 金牛区 "</f>
        <v xml:space="preserve">四川省 成都市 金牛区 </v>
      </c>
      <c r="N806" s="1" t="str">
        <f t="shared" si="241"/>
        <v>凡华云仓-城南圆通-微信视频号</v>
      </c>
      <c r="O806" s="5" t="s">
        <v>845</v>
      </c>
      <c r="P806" s="6">
        <v>0.25</v>
      </c>
      <c r="Q806" s="11">
        <v>2</v>
      </c>
      <c r="R806" s="11"/>
      <c r="S806" s="11"/>
      <c r="T806" s="11"/>
      <c r="U806" s="11">
        <f t="shared" si="250"/>
        <v>2</v>
      </c>
      <c r="W806">
        <v>2.2000000000000002</v>
      </c>
      <c r="X806" s="1" t="s">
        <v>161</v>
      </c>
    </row>
    <row r="807" spans="1:24" x14ac:dyDescent="0.25">
      <c r="A807" s="1" t="str">
        <f t="shared" si="246"/>
        <v>卡卡杜-凤凰仓</v>
      </c>
      <c r="B807" s="1" t="str">
        <f>"CK20241030265"</f>
        <v>CK20241030265</v>
      </c>
      <c r="C807" s="1" t="str">
        <f>"DD2024103036340"</f>
        <v>DD2024103036340</v>
      </c>
      <c r="D807" s="1" t="str">
        <f>"CK2024103035656"</f>
        <v>CK2024103035656</v>
      </c>
      <c r="E807" s="1" t="str">
        <f>"3723651869672342784"</f>
        <v>3723651869672342784</v>
      </c>
      <c r="F807" s="1" t="str">
        <f t="shared" si="247"/>
        <v>花都四部-凤凰仓</v>
      </c>
      <c r="G807" s="1" t="str">
        <f t="shared" si="243"/>
        <v>卡卡杜企业店（视频号）</v>
      </c>
      <c r="H807" s="1" t="str">
        <f t="shared" si="248"/>
        <v>正常订单</v>
      </c>
      <c r="I807" s="1" t="str">
        <f t="shared" si="249"/>
        <v>已发货</v>
      </c>
      <c r="J807" s="1" t="str">
        <f t="shared" si="260"/>
        <v>1</v>
      </c>
      <c r="K807" s="1">
        <v>1</v>
      </c>
      <c r="L807" s="1" t="s">
        <v>13</v>
      </c>
      <c r="M807" s="1" t="str">
        <f>"江苏省 无锡市 宜兴市 "</f>
        <v xml:space="preserve">江苏省 无锡市 宜兴市 </v>
      </c>
      <c r="N807" s="1" t="str">
        <f t="shared" si="241"/>
        <v>凡华云仓-城南圆通-微信视频号</v>
      </c>
      <c r="O807" s="5" t="s">
        <v>846</v>
      </c>
      <c r="P807" s="6">
        <v>0.12</v>
      </c>
      <c r="Q807" s="11">
        <v>2</v>
      </c>
      <c r="R807" s="11"/>
      <c r="S807" s="11"/>
      <c r="T807" s="11"/>
      <c r="U807" s="11">
        <f t="shared" si="250"/>
        <v>2</v>
      </c>
      <c r="W807">
        <v>2.2000000000000002</v>
      </c>
      <c r="X807" s="1" t="s">
        <v>13</v>
      </c>
    </row>
    <row r="808" spans="1:24" x14ac:dyDescent="0.25">
      <c r="A808" s="1" t="str">
        <f t="shared" si="246"/>
        <v>卡卡杜-凤凰仓</v>
      </c>
      <c r="B808" s="1" t="str">
        <f>"CK20241030267"</f>
        <v>CK20241030267</v>
      </c>
      <c r="C808" s="1" t="str">
        <f>"DD2024103036383"</f>
        <v>DD2024103036383</v>
      </c>
      <c r="D808" s="1" t="str">
        <f>"CK2024103035655"</f>
        <v>CK2024103035655</v>
      </c>
      <c r="E808" s="1" t="str">
        <f>"3723651867001621504"</f>
        <v>3723651867001621504</v>
      </c>
      <c r="F808" s="1" t="str">
        <f t="shared" si="247"/>
        <v>花都四部-凤凰仓</v>
      </c>
      <c r="G808" s="1" t="str">
        <f t="shared" si="243"/>
        <v>卡卡杜企业店（视频号）</v>
      </c>
      <c r="H808" s="1" t="str">
        <f t="shared" si="248"/>
        <v>正常订单</v>
      </c>
      <c r="I808" s="1" t="str">
        <f t="shared" si="249"/>
        <v>已发货</v>
      </c>
      <c r="J808" s="1" t="str">
        <f t="shared" si="260"/>
        <v>1</v>
      </c>
      <c r="K808" s="1">
        <v>1</v>
      </c>
      <c r="L808" s="1" t="s">
        <v>74</v>
      </c>
      <c r="M808" s="1" t="str">
        <f>"上海 上海市 黄浦区 "</f>
        <v xml:space="preserve">上海 上海市 黄浦区 </v>
      </c>
      <c r="N808" s="1" t="str">
        <f t="shared" si="241"/>
        <v>凡华云仓-城南圆通-微信视频号</v>
      </c>
      <c r="O808" s="5" t="s">
        <v>847</v>
      </c>
      <c r="P808" s="6">
        <v>0.12</v>
      </c>
      <c r="Q808" s="11">
        <v>2</v>
      </c>
      <c r="R808" s="11"/>
      <c r="S808" s="11"/>
      <c r="T808" s="11"/>
      <c r="U808" s="11">
        <f t="shared" si="250"/>
        <v>2</v>
      </c>
      <c r="W808">
        <v>2.2000000000000002</v>
      </c>
      <c r="X808" s="1" t="s">
        <v>74</v>
      </c>
    </row>
    <row r="809" spans="1:24" x14ac:dyDescent="0.25">
      <c r="A809" s="1" t="str">
        <f t="shared" si="246"/>
        <v>卡卡杜-凤凰仓</v>
      </c>
      <c r="B809" s="1" t="str">
        <f>"CK20241030268"</f>
        <v>CK20241030268</v>
      </c>
      <c r="C809" s="1" t="str">
        <f>"DD2024103036343"</f>
        <v>DD2024103036343</v>
      </c>
      <c r="D809" s="1" t="str">
        <f>"CK2024103035654"</f>
        <v>CK2024103035654</v>
      </c>
      <c r="E809" s="1" t="str">
        <f>"3723651867480822784"</f>
        <v>3723651867480822784</v>
      </c>
      <c r="F809" s="1" t="str">
        <f t="shared" si="247"/>
        <v>花都四部-凤凰仓</v>
      </c>
      <c r="G809" s="1" t="str">
        <f t="shared" si="243"/>
        <v>卡卡杜企业店（视频号）</v>
      </c>
      <c r="H809" s="1" t="str">
        <f t="shared" si="248"/>
        <v>正常订单</v>
      </c>
      <c r="I809" s="1" t="str">
        <f t="shared" si="249"/>
        <v>已发货</v>
      </c>
      <c r="J809" s="1" t="str">
        <f t="shared" si="260"/>
        <v>1</v>
      </c>
      <c r="K809" s="1">
        <v>1</v>
      </c>
      <c r="L809" s="1" t="s">
        <v>92</v>
      </c>
      <c r="M809" s="1" t="str">
        <f>"辽宁省 沈阳市 皇姑区 "</f>
        <v xml:space="preserve">辽宁省 沈阳市 皇姑区 </v>
      </c>
      <c r="N809" s="1" t="str">
        <f t="shared" si="241"/>
        <v>凡华云仓-城南圆通-微信视频号</v>
      </c>
      <c r="O809" s="5" t="s">
        <v>848</v>
      </c>
      <c r="P809" s="6">
        <v>0.12</v>
      </c>
      <c r="Q809" s="11">
        <v>2</v>
      </c>
      <c r="R809" s="11"/>
      <c r="S809" s="11"/>
      <c r="T809" s="11"/>
      <c r="U809" s="11">
        <f t="shared" si="250"/>
        <v>2</v>
      </c>
      <c r="W809">
        <v>2.2000000000000002</v>
      </c>
      <c r="X809" s="1" t="s">
        <v>92</v>
      </c>
    </row>
    <row r="810" spans="1:24" x14ac:dyDescent="0.25">
      <c r="A810" s="1" t="str">
        <f t="shared" si="246"/>
        <v>卡卡杜-凤凰仓</v>
      </c>
      <c r="B810" s="1" t="str">
        <f>"CK20241030269"</f>
        <v>CK20241030269</v>
      </c>
      <c r="C810" s="1" t="str">
        <f>"DD2024103036342"</f>
        <v>DD2024103036342</v>
      </c>
      <c r="D810" s="1" t="str">
        <f>"CK2024103035653"</f>
        <v>CK2024103035653</v>
      </c>
      <c r="E810" s="1" t="str">
        <f>"3723651866962822400"</f>
        <v>3723651866962822400</v>
      </c>
      <c r="F810" s="1" t="str">
        <f t="shared" si="247"/>
        <v>花都四部-凤凰仓</v>
      </c>
      <c r="G810" s="1" t="str">
        <f t="shared" si="243"/>
        <v>卡卡杜企业店（视频号）</v>
      </c>
      <c r="H810" s="1" t="str">
        <f t="shared" si="248"/>
        <v>正常订单</v>
      </c>
      <c r="I810" s="1" t="str">
        <f t="shared" si="249"/>
        <v>已发货</v>
      </c>
      <c r="J810" s="1" t="str">
        <f t="shared" si="260"/>
        <v>1</v>
      </c>
      <c r="K810" s="1">
        <v>1</v>
      </c>
      <c r="L810" s="1" t="s">
        <v>16</v>
      </c>
      <c r="M810" s="1" t="str">
        <f>"河北省 秦皇岛市 海港区 "</f>
        <v xml:space="preserve">河北省 秦皇岛市 海港区 </v>
      </c>
      <c r="N810" s="1" t="str">
        <f t="shared" si="241"/>
        <v>凡华云仓-城南圆通-微信视频号</v>
      </c>
      <c r="O810" s="5" t="s">
        <v>849</v>
      </c>
      <c r="P810" s="6">
        <v>0.12</v>
      </c>
      <c r="Q810" s="11">
        <v>2</v>
      </c>
      <c r="R810" s="11"/>
      <c r="S810" s="11"/>
      <c r="T810" s="11"/>
      <c r="U810" s="11">
        <f t="shared" si="250"/>
        <v>2</v>
      </c>
      <c r="W810">
        <v>2.2000000000000002</v>
      </c>
      <c r="X810" s="1" t="s">
        <v>16</v>
      </c>
    </row>
    <row r="811" spans="1:24" x14ac:dyDescent="0.25">
      <c r="A811" s="1" t="str">
        <f t="shared" si="246"/>
        <v>卡卡杜-凤凰仓</v>
      </c>
      <c r="B811" s="1" t="str">
        <f>"CK20241030275"</f>
        <v>CK20241030275</v>
      </c>
      <c r="C811" s="1" t="str">
        <f>"DD2024103036348"</f>
        <v>DD2024103036348</v>
      </c>
      <c r="D811" s="1" t="str">
        <f>"CK2024103035652"</f>
        <v>CK2024103035652</v>
      </c>
      <c r="E811" s="1" t="str">
        <f>"3723651856328951296"</f>
        <v>3723651856328951296</v>
      </c>
      <c r="F811" s="1" t="str">
        <f t="shared" si="247"/>
        <v>花都四部-凤凰仓</v>
      </c>
      <c r="G811" s="1" t="str">
        <f t="shared" si="243"/>
        <v>卡卡杜企业店（视频号）</v>
      </c>
      <c r="H811" s="1" t="str">
        <f t="shared" si="248"/>
        <v>正常订单</v>
      </c>
      <c r="I811" s="1" t="str">
        <f t="shared" si="249"/>
        <v>已发货</v>
      </c>
      <c r="J811" s="1" t="str">
        <f t="shared" si="260"/>
        <v>1</v>
      </c>
      <c r="K811" s="1">
        <v>1</v>
      </c>
      <c r="L811" s="1" t="s">
        <v>13</v>
      </c>
      <c r="M811" s="1" t="str">
        <f>"江苏省 扬州市 江都区 "</f>
        <v xml:space="preserve">江苏省 扬州市 江都区 </v>
      </c>
      <c r="N811" s="1" t="str">
        <f t="shared" si="241"/>
        <v>凡华云仓-城南圆通-微信视频号</v>
      </c>
      <c r="O811" s="5" t="s">
        <v>850</v>
      </c>
      <c r="P811" s="6">
        <v>0.12</v>
      </c>
      <c r="Q811" s="11">
        <v>2</v>
      </c>
      <c r="R811" s="11"/>
      <c r="S811" s="11"/>
      <c r="T811" s="11"/>
      <c r="U811" s="11">
        <f t="shared" si="250"/>
        <v>2</v>
      </c>
      <c r="W811">
        <v>2.2000000000000002</v>
      </c>
      <c r="X811" s="1" t="s">
        <v>13</v>
      </c>
    </row>
    <row r="812" spans="1:24" x14ac:dyDescent="0.25">
      <c r="A812" s="1" t="str">
        <f t="shared" si="246"/>
        <v>卡卡杜-凤凰仓</v>
      </c>
      <c r="B812" s="1" t="str">
        <f>"CK20241030270"</f>
        <v>CK20241030270</v>
      </c>
      <c r="C812" s="1" t="str">
        <f>"DD2024103036345"</f>
        <v>DD2024103036345</v>
      </c>
      <c r="D812" s="1" t="str">
        <f>"CK2024103035651"</f>
        <v>CK2024103035651</v>
      </c>
      <c r="E812" s="1" t="str">
        <f>"3723651866793742336"</f>
        <v>3723651866793742336</v>
      </c>
      <c r="F812" s="1" t="str">
        <f t="shared" si="247"/>
        <v>花都四部-凤凰仓</v>
      </c>
      <c r="G812" s="1" t="str">
        <f t="shared" si="243"/>
        <v>卡卡杜企业店（视频号）</v>
      </c>
      <c r="H812" s="1" t="str">
        <f t="shared" si="248"/>
        <v>正常订单</v>
      </c>
      <c r="I812" s="1" t="str">
        <f t="shared" si="249"/>
        <v>已发货</v>
      </c>
      <c r="J812" s="1" t="str">
        <f>"3"</f>
        <v>3</v>
      </c>
      <c r="K812" s="1">
        <v>2</v>
      </c>
      <c r="L812" s="1" t="s">
        <v>92</v>
      </c>
      <c r="M812" s="1" t="str">
        <f>"辽宁省 大连市 金州区 "</f>
        <v xml:space="preserve">辽宁省 大连市 金州区 </v>
      </c>
      <c r="N812" s="1" t="str">
        <f t="shared" si="241"/>
        <v>凡华云仓-城南圆通-微信视频号</v>
      </c>
      <c r="O812" s="5" t="s">
        <v>851</v>
      </c>
      <c r="P812" s="6">
        <v>0.25</v>
      </c>
      <c r="Q812" s="11">
        <v>2</v>
      </c>
      <c r="R812" s="11"/>
      <c r="S812" s="11"/>
      <c r="T812" s="11"/>
      <c r="U812" s="11">
        <f t="shared" si="250"/>
        <v>2</v>
      </c>
      <c r="W812">
        <v>2.2000000000000002</v>
      </c>
      <c r="X812" s="1" t="s">
        <v>92</v>
      </c>
    </row>
    <row r="813" spans="1:24" x14ac:dyDescent="0.25">
      <c r="A813" s="1" t="str">
        <f t="shared" si="246"/>
        <v>卡卡杜-凤凰仓</v>
      </c>
      <c r="B813" s="1" t="str">
        <f>"CK20241030271"</f>
        <v>CK20241030271</v>
      </c>
      <c r="C813" s="1" t="str">
        <f>"DD2024103036347"</f>
        <v>DD2024103036347</v>
      </c>
      <c r="D813" s="1" t="str">
        <f>"CK2024103035650"</f>
        <v>CK2024103035650</v>
      </c>
      <c r="E813" s="1" t="str">
        <f>"3723651866490440704"</f>
        <v>3723651866490440704</v>
      </c>
      <c r="F813" s="1" t="str">
        <f t="shared" si="247"/>
        <v>花都四部-凤凰仓</v>
      </c>
      <c r="G813" s="1" t="str">
        <f t="shared" si="243"/>
        <v>卡卡杜企业店（视频号）</v>
      </c>
      <c r="H813" s="1" t="str">
        <f t="shared" si="248"/>
        <v>正常订单</v>
      </c>
      <c r="I813" s="1" t="str">
        <f t="shared" si="249"/>
        <v>已发货</v>
      </c>
      <c r="J813" s="1" t="str">
        <f t="shared" ref="J813:J817" si="261">"1"</f>
        <v>1</v>
      </c>
      <c r="K813" s="1">
        <v>1</v>
      </c>
      <c r="L813" s="1" t="s">
        <v>18</v>
      </c>
      <c r="M813" s="1" t="str">
        <f>"广东省 深圳市 南山区 "</f>
        <v xml:space="preserve">广东省 深圳市 南山区 </v>
      </c>
      <c r="N813" s="1" t="str">
        <f t="shared" si="241"/>
        <v>凡华云仓-城南圆通-微信视频号</v>
      </c>
      <c r="O813" s="5" t="s">
        <v>852</v>
      </c>
      <c r="P813" s="6">
        <v>0.12</v>
      </c>
      <c r="Q813" s="11">
        <v>2</v>
      </c>
      <c r="R813" s="11"/>
      <c r="S813" s="11"/>
      <c r="T813" s="11"/>
      <c r="U813" s="11">
        <f t="shared" si="250"/>
        <v>2</v>
      </c>
      <c r="W813">
        <v>2.2000000000000002</v>
      </c>
      <c r="X813" s="1" t="s">
        <v>18</v>
      </c>
    </row>
    <row r="814" spans="1:24" x14ac:dyDescent="0.25">
      <c r="A814" s="1" t="str">
        <f t="shared" si="246"/>
        <v>卡卡杜-凤凰仓</v>
      </c>
      <c r="B814" s="1" t="str">
        <f>"CK20241030276"</f>
        <v>CK20241030276</v>
      </c>
      <c r="C814" s="1" t="str">
        <f>"DD2024103036349"</f>
        <v>DD2024103036349</v>
      </c>
      <c r="D814" s="1" t="str">
        <f>"CK2024103035649"</f>
        <v>CK2024103035649</v>
      </c>
      <c r="E814" s="1" t="str">
        <f>"3723651857691575808"</f>
        <v>3723651857691575808</v>
      </c>
      <c r="F814" s="1" t="str">
        <f t="shared" si="247"/>
        <v>花都四部-凤凰仓</v>
      </c>
      <c r="G814" s="1" t="str">
        <f t="shared" si="243"/>
        <v>卡卡杜企业店（视频号）</v>
      </c>
      <c r="H814" s="1" t="str">
        <f t="shared" si="248"/>
        <v>正常订单</v>
      </c>
      <c r="I814" s="1" t="str">
        <f t="shared" si="249"/>
        <v>已发货</v>
      </c>
      <c r="J814" s="1" t="str">
        <f t="shared" si="261"/>
        <v>1</v>
      </c>
      <c r="K814" s="1">
        <v>1</v>
      </c>
      <c r="L814" s="1" t="s">
        <v>13</v>
      </c>
      <c r="M814" s="1" t="str">
        <f>"江苏省 无锡市 梁溪区 "</f>
        <v xml:space="preserve">江苏省 无锡市 梁溪区 </v>
      </c>
      <c r="N814" s="1" t="str">
        <f t="shared" si="241"/>
        <v>凡华云仓-城南圆通-微信视频号</v>
      </c>
      <c r="O814" s="5" t="s">
        <v>853</v>
      </c>
      <c r="P814" s="6">
        <v>0.12</v>
      </c>
      <c r="Q814" s="11">
        <v>2</v>
      </c>
      <c r="R814" s="11"/>
      <c r="S814" s="11"/>
      <c r="T814" s="11"/>
      <c r="U814" s="11">
        <f t="shared" si="250"/>
        <v>2</v>
      </c>
      <c r="W814">
        <v>2.2000000000000002</v>
      </c>
      <c r="X814" s="1" t="s">
        <v>13</v>
      </c>
    </row>
    <row r="815" spans="1:24" x14ac:dyDescent="0.25">
      <c r="A815" s="1" t="str">
        <f t="shared" si="246"/>
        <v>卡卡杜-凤凰仓</v>
      </c>
      <c r="B815" s="1" t="str">
        <f>"CK20241030272"</f>
        <v>CK20241030272</v>
      </c>
      <c r="C815" s="1" t="str">
        <f>"DD2024103036350"</f>
        <v>DD2024103036350</v>
      </c>
      <c r="D815" s="1" t="str">
        <f>"CK2024103035648"</f>
        <v>CK2024103035648</v>
      </c>
      <c r="E815" s="1" t="str">
        <f>"3723651865467816960"</f>
        <v>3723651865467816960</v>
      </c>
      <c r="F815" s="1" t="str">
        <f t="shared" si="247"/>
        <v>花都四部-凤凰仓</v>
      </c>
      <c r="G815" s="1" t="str">
        <f t="shared" si="243"/>
        <v>卡卡杜企业店（视频号）</v>
      </c>
      <c r="H815" s="1" t="str">
        <f t="shared" si="248"/>
        <v>正常订单</v>
      </c>
      <c r="I815" s="1" t="str">
        <f t="shared" si="249"/>
        <v>已发货</v>
      </c>
      <c r="J815" s="1" t="str">
        <f t="shared" si="261"/>
        <v>1</v>
      </c>
      <c r="K815" s="1">
        <v>1</v>
      </c>
      <c r="L815" s="1" t="s">
        <v>109</v>
      </c>
      <c r="M815" s="1" t="str">
        <f>"山西省 太原市 万柏林区 "</f>
        <v xml:space="preserve">山西省 太原市 万柏林区 </v>
      </c>
      <c r="N815" s="1" t="str">
        <f t="shared" si="241"/>
        <v>凡华云仓-城南圆通-微信视频号</v>
      </c>
      <c r="O815" s="5" t="s">
        <v>854</v>
      </c>
      <c r="P815" s="6">
        <v>0.12</v>
      </c>
      <c r="Q815" s="11">
        <v>2</v>
      </c>
      <c r="R815" s="11"/>
      <c r="S815" s="11"/>
      <c r="T815" s="11"/>
      <c r="U815" s="11">
        <f t="shared" si="250"/>
        <v>2</v>
      </c>
      <c r="W815">
        <v>2.2000000000000002</v>
      </c>
      <c r="X815" s="1" t="s">
        <v>109</v>
      </c>
    </row>
    <row r="816" spans="1:24" x14ac:dyDescent="0.25">
      <c r="A816" s="1" t="str">
        <f t="shared" si="246"/>
        <v>卡卡杜-凤凰仓</v>
      </c>
      <c r="B816" s="1" t="str">
        <f>"CK20241030274"</f>
        <v>CK20241030274</v>
      </c>
      <c r="C816" s="1" t="str">
        <f>"DD2024103036346"</f>
        <v>DD2024103036346</v>
      </c>
      <c r="D816" s="1" t="str">
        <f>"CK2024103035647"</f>
        <v>CK2024103035647</v>
      </c>
      <c r="E816" s="1" t="str">
        <f>"3723651858845533696"</f>
        <v>3723651858845533696</v>
      </c>
      <c r="F816" s="1" t="str">
        <f t="shared" si="247"/>
        <v>花都四部-凤凰仓</v>
      </c>
      <c r="G816" s="1" t="str">
        <f t="shared" si="243"/>
        <v>卡卡杜企业店（视频号）</v>
      </c>
      <c r="H816" s="1" t="str">
        <f t="shared" si="248"/>
        <v>正常订单</v>
      </c>
      <c r="I816" s="1" t="str">
        <f t="shared" si="249"/>
        <v>已发货</v>
      </c>
      <c r="J816" s="1" t="str">
        <f t="shared" si="261"/>
        <v>1</v>
      </c>
      <c r="K816" s="1">
        <v>1</v>
      </c>
      <c r="L816" s="1" t="s">
        <v>105</v>
      </c>
      <c r="M816" s="1" t="str">
        <f>"北京 北京市 海淀区 "</f>
        <v xml:space="preserve">北京 北京市 海淀区 </v>
      </c>
      <c r="N816" s="1" t="str">
        <f t="shared" si="241"/>
        <v>凡华云仓-城南圆通-微信视频号</v>
      </c>
      <c r="O816" s="5" t="s">
        <v>855</v>
      </c>
      <c r="P816" s="6">
        <v>0.12</v>
      </c>
      <c r="Q816" s="11">
        <v>2</v>
      </c>
      <c r="R816" s="11"/>
      <c r="S816" s="11"/>
      <c r="T816" s="11"/>
      <c r="U816" s="11">
        <f t="shared" si="250"/>
        <v>2</v>
      </c>
      <c r="W816">
        <v>2.2000000000000002</v>
      </c>
      <c r="X816" s="1" t="s">
        <v>105</v>
      </c>
    </row>
    <row r="817" spans="1:24" x14ac:dyDescent="0.25">
      <c r="A817" s="1" t="str">
        <f t="shared" si="246"/>
        <v>卡卡杜-凤凰仓</v>
      </c>
      <c r="B817" s="1" t="str">
        <f>"CK20241030273"</f>
        <v>CK20241030273</v>
      </c>
      <c r="C817" s="1" t="str">
        <f>"DD2024103036344"</f>
        <v>DD2024103036344</v>
      </c>
      <c r="D817" s="1" t="str">
        <f>"CK2024103035646"</f>
        <v>CK2024103035646</v>
      </c>
      <c r="E817" s="1" t="str">
        <f>"3723651861148730624"</f>
        <v>3723651861148730624</v>
      </c>
      <c r="F817" s="1" t="str">
        <f t="shared" si="247"/>
        <v>花都四部-凤凰仓</v>
      </c>
      <c r="G817" s="1" t="str">
        <f t="shared" si="243"/>
        <v>卡卡杜企业店（视频号）</v>
      </c>
      <c r="H817" s="1" t="str">
        <f t="shared" si="248"/>
        <v>正常订单</v>
      </c>
      <c r="I817" s="1" t="str">
        <f t="shared" si="249"/>
        <v>已发货</v>
      </c>
      <c r="J817" s="1" t="str">
        <f t="shared" si="261"/>
        <v>1</v>
      </c>
      <c r="K817" s="1">
        <v>1</v>
      </c>
      <c r="L817" s="1" t="s">
        <v>13</v>
      </c>
      <c r="M817" s="1" t="str">
        <f>"江苏省 苏州市 吴中区 "</f>
        <v xml:space="preserve">江苏省 苏州市 吴中区 </v>
      </c>
      <c r="N817" s="1" t="str">
        <f t="shared" si="241"/>
        <v>凡华云仓-城南圆通-微信视频号</v>
      </c>
      <c r="O817" s="5" t="s">
        <v>856</v>
      </c>
      <c r="P817" s="6">
        <v>0.12</v>
      </c>
      <c r="Q817" s="11">
        <v>2</v>
      </c>
      <c r="R817" s="11"/>
      <c r="S817" s="11"/>
      <c r="T817" s="11"/>
      <c r="U817" s="11">
        <f t="shared" si="250"/>
        <v>2</v>
      </c>
      <c r="W817">
        <v>2.2000000000000002</v>
      </c>
      <c r="X817" s="1" t="s">
        <v>13</v>
      </c>
    </row>
    <row r="818" spans="1:24" x14ac:dyDescent="0.25">
      <c r="A818" s="1" t="str">
        <f t="shared" si="246"/>
        <v>卡卡杜-凤凰仓</v>
      </c>
      <c r="B818" s="1" t="str">
        <f>"CK20241030278"</f>
        <v>CK20241030278</v>
      </c>
      <c r="C818" s="1" t="str">
        <f>"DD2024103036358"</f>
        <v>DD2024103036358</v>
      </c>
      <c r="D818" s="1" t="str">
        <f>"CK2024103035645"</f>
        <v>CK2024103035645</v>
      </c>
      <c r="E818" s="1" t="str">
        <f>"3723651854332986624"</f>
        <v>3723651854332986624</v>
      </c>
      <c r="F818" s="1" t="str">
        <f t="shared" si="247"/>
        <v>花都四部-凤凰仓</v>
      </c>
      <c r="G818" s="1" t="str">
        <f t="shared" si="243"/>
        <v>卡卡杜企业店（视频号）</v>
      </c>
      <c r="H818" s="1" t="str">
        <f t="shared" si="248"/>
        <v>正常订单</v>
      </c>
      <c r="I818" s="1" t="str">
        <f t="shared" si="249"/>
        <v>已发货</v>
      </c>
      <c r="J818" s="1" t="str">
        <f t="shared" ref="J818:J824" si="262">"3"</f>
        <v>3</v>
      </c>
      <c r="K818" s="1">
        <v>2</v>
      </c>
      <c r="L818" s="1" t="s">
        <v>20</v>
      </c>
      <c r="M818" s="1" t="str">
        <f>"浙江省 杭州市 钱塘区 "</f>
        <v xml:space="preserve">浙江省 杭州市 钱塘区 </v>
      </c>
      <c r="N818" s="1" t="str">
        <f t="shared" ref="N818:N881" si="263">"凡华云仓-城南圆通-微信视频号"</f>
        <v>凡华云仓-城南圆通-微信视频号</v>
      </c>
      <c r="O818" s="5" t="s">
        <v>857</v>
      </c>
      <c r="P818" s="6">
        <v>0.25</v>
      </c>
      <c r="Q818" s="11">
        <v>2</v>
      </c>
      <c r="R818" s="11"/>
      <c r="S818" s="11"/>
      <c r="T818" s="11"/>
      <c r="U818" s="11">
        <f t="shared" si="250"/>
        <v>2</v>
      </c>
      <c r="W818">
        <v>2.2000000000000002</v>
      </c>
      <c r="X818" s="1" t="s">
        <v>20</v>
      </c>
    </row>
    <row r="819" spans="1:24" x14ac:dyDescent="0.25">
      <c r="A819" s="1" t="str">
        <f t="shared" si="246"/>
        <v>卡卡杜-凤凰仓</v>
      </c>
      <c r="B819" s="1" t="str">
        <f>"CK20241030277"</f>
        <v>CK20241030277</v>
      </c>
      <c r="C819" s="1" t="str">
        <f>"DD2024103036352"</f>
        <v>DD2024103036352</v>
      </c>
      <c r="D819" s="1" t="str">
        <f>"CK2024103035644"</f>
        <v>CK2024103035644</v>
      </c>
      <c r="E819" s="1" t="str">
        <f>"3723651855481180160"</f>
        <v>3723651855481180160</v>
      </c>
      <c r="F819" s="1" t="str">
        <f t="shared" si="247"/>
        <v>花都四部-凤凰仓</v>
      </c>
      <c r="G819" s="1" t="str">
        <f t="shared" si="243"/>
        <v>卡卡杜企业店（视频号）</v>
      </c>
      <c r="H819" s="1" t="str">
        <f t="shared" si="248"/>
        <v>正常订单</v>
      </c>
      <c r="I819" s="1" t="str">
        <f t="shared" si="249"/>
        <v>已发货</v>
      </c>
      <c r="J819" s="1" t="str">
        <f t="shared" si="262"/>
        <v>3</v>
      </c>
      <c r="K819" s="1">
        <v>2</v>
      </c>
      <c r="L819" s="1" t="s">
        <v>161</v>
      </c>
      <c r="M819" s="1" t="str">
        <f>"四川省 绵阳市 涪城区 "</f>
        <v xml:space="preserve">四川省 绵阳市 涪城区 </v>
      </c>
      <c r="N819" s="1" t="str">
        <f t="shared" si="263"/>
        <v>凡华云仓-城南圆通-微信视频号</v>
      </c>
      <c r="O819" s="5" t="s">
        <v>858</v>
      </c>
      <c r="P819" s="6">
        <v>0.25</v>
      </c>
      <c r="Q819" s="11">
        <v>2</v>
      </c>
      <c r="R819" s="11"/>
      <c r="S819" s="11"/>
      <c r="T819" s="11"/>
      <c r="U819" s="11">
        <f t="shared" si="250"/>
        <v>2</v>
      </c>
      <c r="W819">
        <v>2.2000000000000002</v>
      </c>
      <c r="X819" s="1" t="s">
        <v>161</v>
      </c>
    </row>
    <row r="820" spans="1:24" x14ac:dyDescent="0.25">
      <c r="A820" s="1" t="str">
        <f t="shared" si="246"/>
        <v>卡卡杜-凤凰仓</v>
      </c>
      <c r="B820" s="1" t="str">
        <f>"CK20241030279"</f>
        <v>CK20241030279</v>
      </c>
      <c r="C820" s="1" t="str">
        <f>"DD2024103036351"</f>
        <v>DD2024103036351</v>
      </c>
      <c r="D820" s="1" t="str">
        <f>"CK2024103035643"</f>
        <v>CK2024103035643</v>
      </c>
      <c r="E820" s="1" t="str">
        <f>"3723651854148702208"</f>
        <v>3723651854148702208</v>
      </c>
      <c r="F820" s="1" t="str">
        <f t="shared" si="247"/>
        <v>花都四部-凤凰仓</v>
      </c>
      <c r="G820" s="1" t="str">
        <f t="shared" si="243"/>
        <v>卡卡杜企业店（视频号）</v>
      </c>
      <c r="H820" s="1" t="str">
        <f t="shared" si="248"/>
        <v>正常订单</v>
      </c>
      <c r="I820" s="1" t="str">
        <f t="shared" si="249"/>
        <v>已发货</v>
      </c>
      <c r="J820" s="1" t="str">
        <f t="shared" ref="J820:J822" si="264">"1"</f>
        <v>1</v>
      </c>
      <c r="K820" s="1">
        <v>1</v>
      </c>
      <c r="L820" s="1" t="s">
        <v>16</v>
      </c>
      <c r="M820" s="1" t="str">
        <f>"河北省 张家口市 桥西区 "</f>
        <v xml:space="preserve">河北省 张家口市 桥西区 </v>
      </c>
      <c r="N820" s="1" t="str">
        <f t="shared" si="263"/>
        <v>凡华云仓-城南圆通-微信视频号</v>
      </c>
      <c r="O820" s="5" t="s">
        <v>859</v>
      </c>
      <c r="P820" s="6">
        <v>0.12</v>
      </c>
      <c r="Q820" s="11">
        <v>2</v>
      </c>
      <c r="R820" s="11"/>
      <c r="S820" s="11"/>
      <c r="T820" s="11"/>
      <c r="U820" s="11">
        <f t="shared" si="250"/>
        <v>2</v>
      </c>
      <c r="W820">
        <v>2.2000000000000002</v>
      </c>
      <c r="X820" s="1" t="s">
        <v>16</v>
      </c>
    </row>
    <row r="821" spans="1:24" x14ac:dyDescent="0.25">
      <c r="A821" s="1" t="str">
        <f t="shared" si="246"/>
        <v>卡卡杜-凤凰仓</v>
      </c>
      <c r="B821" s="1" t="str">
        <f>"CK20241030280"</f>
        <v>CK20241030280</v>
      </c>
      <c r="C821" s="1" t="str">
        <f>"DD2024103036353"</f>
        <v>DD2024103036353</v>
      </c>
      <c r="D821" s="1" t="str">
        <f>"CK2024103035642"</f>
        <v>CK2024103035642</v>
      </c>
      <c r="E821" s="1" t="str">
        <f>"3723651847516194305"</f>
        <v>3723651847516194305</v>
      </c>
      <c r="F821" s="1" t="str">
        <f t="shared" si="247"/>
        <v>花都四部-凤凰仓</v>
      </c>
      <c r="G821" s="1" t="str">
        <f t="shared" si="243"/>
        <v>卡卡杜企业店（视频号）</v>
      </c>
      <c r="H821" s="1" t="str">
        <f t="shared" si="248"/>
        <v>正常订单</v>
      </c>
      <c r="I821" s="1" t="str">
        <f t="shared" si="249"/>
        <v>已发货</v>
      </c>
      <c r="J821" s="1" t="str">
        <f t="shared" si="264"/>
        <v>1</v>
      </c>
      <c r="K821" s="1">
        <v>1</v>
      </c>
      <c r="L821" s="1" t="s">
        <v>27</v>
      </c>
      <c r="M821" s="1" t="str">
        <f>"贵州省 贵阳市 云岩区 "</f>
        <v xml:space="preserve">贵州省 贵阳市 云岩区 </v>
      </c>
      <c r="N821" s="1" t="str">
        <f t="shared" si="263"/>
        <v>凡华云仓-城南圆通-微信视频号</v>
      </c>
      <c r="O821" s="5" t="s">
        <v>860</v>
      </c>
      <c r="P821" s="6">
        <v>0.12</v>
      </c>
      <c r="Q821" s="11">
        <v>2</v>
      </c>
      <c r="R821" s="11"/>
      <c r="S821" s="11"/>
      <c r="T821" s="11"/>
      <c r="U821" s="11">
        <f t="shared" si="250"/>
        <v>2</v>
      </c>
      <c r="W821">
        <v>2.2000000000000002</v>
      </c>
      <c r="X821" s="1" t="s">
        <v>27</v>
      </c>
    </row>
    <row r="822" spans="1:24" x14ac:dyDescent="0.25">
      <c r="A822" s="1" t="str">
        <f t="shared" si="246"/>
        <v>卡卡杜-凤凰仓</v>
      </c>
      <c r="B822" s="1" t="str">
        <f>"CK20241030281"</f>
        <v>CK20241030281</v>
      </c>
      <c r="C822" s="1" t="str">
        <f>"DD2024103036354"</f>
        <v>DD2024103036354</v>
      </c>
      <c r="D822" s="1" t="str">
        <f>"CK2024103035641"</f>
        <v>CK2024103035641</v>
      </c>
      <c r="E822" s="1" t="str">
        <f>"3723651846901990656"</f>
        <v>3723651846901990656</v>
      </c>
      <c r="F822" s="1" t="str">
        <f t="shared" si="247"/>
        <v>花都四部-凤凰仓</v>
      </c>
      <c r="G822" s="1" t="str">
        <f t="shared" si="243"/>
        <v>卡卡杜企业店（视频号）</v>
      </c>
      <c r="H822" s="1" t="str">
        <f t="shared" si="248"/>
        <v>正常订单</v>
      </c>
      <c r="I822" s="1" t="str">
        <f t="shared" si="249"/>
        <v>已发货</v>
      </c>
      <c r="J822" s="1" t="str">
        <f t="shared" si="264"/>
        <v>1</v>
      </c>
      <c r="K822" s="1">
        <v>1</v>
      </c>
      <c r="L822" s="1" t="s">
        <v>13</v>
      </c>
      <c r="M822" s="1" t="str">
        <f>"江苏省 南京市 栖霞区 "</f>
        <v xml:space="preserve">江苏省 南京市 栖霞区 </v>
      </c>
      <c r="N822" s="1" t="str">
        <f t="shared" si="263"/>
        <v>凡华云仓-城南圆通-微信视频号</v>
      </c>
      <c r="O822" s="5" t="s">
        <v>861</v>
      </c>
      <c r="P822" s="6">
        <v>0.12</v>
      </c>
      <c r="Q822" s="11">
        <v>2</v>
      </c>
      <c r="R822" s="11"/>
      <c r="S822" s="11"/>
      <c r="T822" s="11"/>
      <c r="U822" s="11">
        <f t="shared" si="250"/>
        <v>2</v>
      </c>
      <c r="W822">
        <v>2.2000000000000002</v>
      </c>
      <c r="X822" s="1" t="s">
        <v>13</v>
      </c>
    </row>
    <row r="823" spans="1:24" x14ac:dyDescent="0.25">
      <c r="A823" s="1" t="str">
        <f t="shared" si="246"/>
        <v>卡卡杜-凤凰仓</v>
      </c>
      <c r="B823" s="1" t="str">
        <f>"CK20241030282"</f>
        <v>CK20241030282</v>
      </c>
      <c r="C823" s="1" t="str">
        <f>"DD2024103036355"</f>
        <v>DD2024103036355</v>
      </c>
      <c r="D823" s="1" t="str">
        <f>"CK2024103035640"</f>
        <v>CK2024103035640</v>
      </c>
      <c r="E823" s="1" t="str">
        <f>"3723651842677802496"</f>
        <v>3723651842677802496</v>
      </c>
      <c r="F823" s="1" t="str">
        <f t="shared" si="247"/>
        <v>花都四部-凤凰仓</v>
      </c>
      <c r="G823" s="1" t="str">
        <f t="shared" ref="G823:G886" si="265">"卡卡杜企业店（视频号）"</f>
        <v>卡卡杜企业店（视频号）</v>
      </c>
      <c r="H823" s="1" t="str">
        <f t="shared" si="248"/>
        <v>正常订单</v>
      </c>
      <c r="I823" s="1" t="str">
        <f t="shared" si="249"/>
        <v>已发货</v>
      </c>
      <c r="J823" s="1" t="str">
        <f t="shared" si="262"/>
        <v>3</v>
      </c>
      <c r="K823" s="1">
        <v>2</v>
      </c>
      <c r="L823" s="1" t="s">
        <v>66</v>
      </c>
      <c r="M823" s="1" t="str">
        <f>"内蒙古自治区 包头市 昆都仑区 "</f>
        <v xml:space="preserve">内蒙古自治区 包头市 昆都仑区 </v>
      </c>
      <c r="N823" s="1" t="str">
        <f t="shared" si="263"/>
        <v>凡华云仓-城南圆通-微信视频号</v>
      </c>
      <c r="O823" s="5" t="s">
        <v>862</v>
      </c>
      <c r="P823" s="6">
        <v>0.25</v>
      </c>
      <c r="Q823" s="11">
        <v>2</v>
      </c>
      <c r="R823" s="11"/>
      <c r="S823" s="11"/>
      <c r="T823" s="11"/>
      <c r="U823" s="11">
        <f t="shared" si="250"/>
        <v>2</v>
      </c>
      <c r="W823">
        <v>2.2000000000000002</v>
      </c>
      <c r="X823" s="1" t="s">
        <v>66</v>
      </c>
    </row>
    <row r="824" spans="1:24" x14ac:dyDescent="0.25">
      <c r="A824" s="1" t="str">
        <f t="shared" si="246"/>
        <v>卡卡杜-凤凰仓</v>
      </c>
      <c r="B824" s="1" t="str">
        <f>"CK20241030284"</f>
        <v>CK20241030284</v>
      </c>
      <c r="C824" s="1" t="str">
        <f>"DD2024103036356"</f>
        <v>DD2024103036356</v>
      </c>
      <c r="D824" s="1" t="str">
        <f>"CK2024103035639"</f>
        <v>CK2024103035639</v>
      </c>
      <c r="E824" s="1" t="str">
        <f>"3723651801448056064"</f>
        <v>3723651801448056064</v>
      </c>
      <c r="F824" s="1" t="str">
        <f t="shared" si="247"/>
        <v>花都四部-凤凰仓</v>
      </c>
      <c r="G824" s="1" t="str">
        <f t="shared" si="265"/>
        <v>卡卡杜企业店（视频号）</v>
      </c>
      <c r="H824" s="1" t="str">
        <f t="shared" si="248"/>
        <v>正常订单</v>
      </c>
      <c r="I824" s="1" t="str">
        <f t="shared" si="249"/>
        <v>已发货</v>
      </c>
      <c r="J824" s="1" t="str">
        <f t="shared" si="262"/>
        <v>3</v>
      </c>
      <c r="K824" s="1">
        <v>2</v>
      </c>
      <c r="L824" s="1" t="s">
        <v>92</v>
      </c>
      <c r="M824" s="1" t="str">
        <f>"辽宁省 大连市 金州区 "</f>
        <v xml:space="preserve">辽宁省 大连市 金州区 </v>
      </c>
      <c r="N824" s="1" t="str">
        <f t="shared" si="263"/>
        <v>凡华云仓-城南圆通-微信视频号</v>
      </c>
      <c r="O824" s="5" t="s">
        <v>863</v>
      </c>
      <c r="P824" s="6">
        <v>0.25</v>
      </c>
      <c r="Q824" s="11">
        <v>2</v>
      </c>
      <c r="R824" s="11"/>
      <c r="S824" s="11"/>
      <c r="T824" s="11"/>
      <c r="U824" s="11">
        <f t="shared" si="250"/>
        <v>2</v>
      </c>
      <c r="W824">
        <v>2.2000000000000002</v>
      </c>
      <c r="X824" s="1" t="s">
        <v>92</v>
      </c>
    </row>
    <row r="825" spans="1:24" x14ac:dyDescent="0.25">
      <c r="A825" s="1" t="str">
        <f t="shared" si="246"/>
        <v>卡卡杜-凤凰仓</v>
      </c>
      <c r="B825" s="1" t="str">
        <f>"CK20241030285"</f>
        <v>CK20241030285</v>
      </c>
      <c r="C825" s="1" t="str">
        <f>"DD2024103036357"</f>
        <v>DD2024103036357</v>
      </c>
      <c r="D825" s="1" t="str">
        <f>"CK2024103035638"</f>
        <v>CK2024103035638</v>
      </c>
      <c r="E825" s="1" t="str">
        <f>"3723651774028582912"</f>
        <v>3723651774028582912</v>
      </c>
      <c r="F825" s="1" t="str">
        <f t="shared" si="247"/>
        <v>花都四部-凤凰仓</v>
      </c>
      <c r="G825" s="1" t="str">
        <f t="shared" si="265"/>
        <v>卡卡杜企业店（视频号）</v>
      </c>
      <c r="H825" s="1" t="str">
        <f t="shared" si="248"/>
        <v>正常订单</v>
      </c>
      <c r="I825" s="1" t="str">
        <f t="shared" si="249"/>
        <v>已发货</v>
      </c>
      <c r="J825" s="1" t="str">
        <f t="shared" ref="J825:J829" si="266">"1"</f>
        <v>1</v>
      </c>
      <c r="K825" s="1">
        <v>1</v>
      </c>
      <c r="L825" s="1" t="s">
        <v>13</v>
      </c>
      <c r="M825" s="1" t="str">
        <f>"江苏省 南京市 栖霞区 "</f>
        <v xml:space="preserve">江苏省 南京市 栖霞区 </v>
      </c>
      <c r="N825" s="1" t="str">
        <f t="shared" si="263"/>
        <v>凡华云仓-城南圆通-微信视频号</v>
      </c>
      <c r="O825" s="5" t="s">
        <v>864</v>
      </c>
      <c r="P825" s="6">
        <v>0.12</v>
      </c>
      <c r="Q825" s="11">
        <v>2</v>
      </c>
      <c r="R825" s="11"/>
      <c r="S825" s="11"/>
      <c r="T825" s="11"/>
      <c r="U825" s="11">
        <f t="shared" si="250"/>
        <v>2</v>
      </c>
      <c r="W825">
        <v>2.2000000000000002</v>
      </c>
      <c r="X825" s="1" t="s">
        <v>13</v>
      </c>
    </row>
    <row r="826" spans="1:24" x14ac:dyDescent="0.25">
      <c r="A826" s="1" t="str">
        <f t="shared" si="246"/>
        <v>卡卡杜-凤凰仓</v>
      </c>
      <c r="B826" s="1" t="str">
        <f>"CK2024103078"</f>
        <v>CK2024103078</v>
      </c>
      <c r="C826" s="1" t="str">
        <f>"DD2024103035332"</f>
        <v>DD2024103035332</v>
      </c>
      <c r="D826" s="1" t="str">
        <f>"CK2024103035637"</f>
        <v>CK2024103035637</v>
      </c>
      <c r="E826" s="1" t="str">
        <f>"3723651698963907840"</f>
        <v>3723651698963907840</v>
      </c>
      <c r="F826" s="1" t="str">
        <f t="shared" si="247"/>
        <v>花都四部-凤凰仓</v>
      </c>
      <c r="G826" s="1" t="str">
        <f t="shared" si="265"/>
        <v>卡卡杜企业店（视频号）</v>
      </c>
      <c r="H826" s="1" t="str">
        <f t="shared" si="248"/>
        <v>正常订单</v>
      </c>
      <c r="I826" s="1" t="str">
        <f t="shared" si="249"/>
        <v>已发货</v>
      </c>
      <c r="J826" s="1" t="str">
        <f>"3"</f>
        <v>3</v>
      </c>
      <c r="K826" s="1">
        <v>3</v>
      </c>
      <c r="L826" s="1" t="s">
        <v>44</v>
      </c>
      <c r="M826" s="1" t="str">
        <f>"海南省 三亚市 天涯区 "</f>
        <v xml:space="preserve">海南省 三亚市 天涯区 </v>
      </c>
      <c r="N826" s="1" t="str">
        <f t="shared" si="263"/>
        <v>凡华云仓-城南圆通-微信视频号</v>
      </c>
      <c r="O826" s="5" t="s">
        <v>865</v>
      </c>
      <c r="P826" s="6">
        <v>0.34</v>
      </c>
      <c r="Q826" s="11">
        <v>2.2999999999999998</v>
      </c>
      <c r="R826" s="11"/>
      <c r="S826" s="11"/>
      <c r="T826" s="11"/>
      <c r="U826" s="11">
        <f t="shared" si="250"/>
        <v>2.2999999999999998</v>
      </c>
      <c r="W826">
        <v>2.5</v>
      </c>
      <c r="X826" s="1" t="s">
        <v>44</v>
      </c>
    </row>
    <row r="827" spans="1:24" x14ac:dyDescent="0.25">
      <c r="A827" s="1" t="str">
        <f t="shared" si="246"/>
        <v>卡卡杜-凤凰仓</v>
      </c>
      <c r="B827" s="1" t="str">
        <f>"CK20241030286"</f>
        <v>CK20241030286</v>
      </c>
      <c r="C827" s="1" t="str">
        <f>"DD2024103036359"</f>
        <v>DD2024103036359</v>
      </c>
      <c r="D827" s="1" t="str">
        <f>"CK2024103035636"</f>
        <v>CK2024103035636</v>
      </c>
      <c r="E827" s="1" t="str">
        <f>"3723651666123557888"</f>
        <v>3723651666123557888</v>
      </c>
      <c r="F827" s="1" t="str">
        <f t="shared" si="247"/>
        <v>花都四部-凤凰仓</v>
      </c>
      <c r="G827" s="1" t="str">
        <f t="shared" si="265"/>
        <v>卡卡杜企业店（视频号）</v>
      </c>
      <c r="H827" s="1" t="str">
        <f t="shared" si="248"/>
        <v>正常订单</v>
      </c>
      <c r="I827" s="1" t="str">
        <f t="shared" si="249"/>
        <v>已发货</v>
      </c>
      <c r="J827" s="1" t="str">
        <f t="shared" si="266"/>
        <v>1</v>
      </c>
      <c r="K827" s="1">
        <v>1</v>
      </c>
      <c r="L827" s="1" t="s">
        <v>16</v>
      </c>
      <c r="M827" s="1" t="str">
        <f>"河北省 沧州市 河间市 "</f>
        <v xml:space="preserve">河北省 沧州市 河间市 </v>
      </c>
      <c r="N827" s="1" t="str">
        <f t="shared" si="263"/>
        <v>凡华云仓-城南圆通-微信视频号</v>
      </c>
      <c r="O827" s="5" t="s">
        <v>866</v>
      </c>
      <c r="P827" s="6">
        <v>0.12</v>
      </c>
      <c r="Q827" s="11">
        <v>2</v>
      </c>
      <c r="R827" s="11"/>
      <c r="S827" s="11"/>
      <c r="T827" s="11"/>
      <c r="U827" s="11">
        <f t="shared" si="250"/>
        <v>2</v>
      </c>
      <c r="W827">
        <v>2.2000000000000002</v>
      </c>
      <c r="X827" s="1" t="s">
        <v>16</v>
      </c>
    </row>
    <row r="828" spans="1:24" x14ac:dyDescent="0.25">
      <c r="A828" s="1" t="str">
        <f t="shared" si="246"/>
        <v>卡卡杜-凤凰仓</v>
      </c>
      <c r="B828" s="1" t="str">
        <f>"CK20241030287"</f>
        <v>CK20241030287</v>
      </c>
      <c r="C828" s="1" t="str">
        <f>"DD2024103036360"</f>
        <v>DD2024103036360</v>
      </c>
      <c r="D828" s="1" t="str">
        <f>"CK2024103035635"</f>
        <v>CK2024103035635</v>
      </c>
      <c r="E828" s="1" t="str">
        <f>"3723651654575591424"</f>
        <v>3723651654575591424</v>
      </c>
      <c r="F828" s="1" t="str">
        <f t="shared" si="247"/>
        <v>花都四部-凤凰仓</v>
      </c>
      <c r="G828" s="1" t="str">
        <f t="shared" si="265"/>
        <v>卡卡杜企业店（视频号）</v>
      </c>
      <c r="H828" s="1" t="str">
        <f t="shared" si="248"/>
        <v>正常订单</v>
      </c>
      <c r="I828" s="1" t="str">
        <f t="shared" si="249"/>
        <v>已发货</v>
      </c>
      <c r="J828" s="1" t="str">
        <f t="shared" si="266"/>
        <v>1</v>
      </c>
      <c r="K828" s="1">
        <v>1</v>
      </c>
      <c r="L828" s="1" t="s">
        <v>105</v>
      </c>
      <c r="M828" s="1" t="str">
        <f>"北京 北京市 丰台区 "</f>
        <v xml:space="preserve">北京 北京市 丰台区 </v>
      </c>
      <c r="N828" s="1" t="str">
        <f t="shared" si="263"/>
        <v>凡华云仓-城南圆通-微信视频号</v>
      </c>
      <c r="O828" s="5" t="s">
        <v>867</v>
      </c>
      <c r="P828" s="6">
        <v>0.12</v>
      </c>
      <c r="Q828" s="11">
        <v>2</v>
      </c>
      <c r="R828" s="11"/>
      <c r="S828" s="11"/>
      <c r="T828" s="11"/>
      <c r="U828" s="11">
        <f t="shared" si="250"/>
        <v>2</v>
      </c>
      <c r="W828">
        <v>2.2000000000000002</v>
      </c>
      <c r="X828" s="1" t="s">
        <v>105</v>
      </c>
    </row>
    <row r="829" spans="1:24" x14ac:dyDescent="0.25">
      <c r="A829" s="1" t="str">
        <f t="shared" si="246"/>
        <v>卡卡杜-凤凰仓</v>
      </c>
      <c r="B829" s="1" t="str">
        <f>"CK20241030288"</f>
        <v>CK20241030288</v>
      </c>
      <c r="C829" s="1" t="str">
        <f>"DD2024103036361"</f>
        <v>DD2024103036361</v>
      </c>
      <c r="D829" s="1" t="str">
        <f>"CK2024103035634"</f>
        <v>CK2024103035634</v>
      </c>
      <c r="E829" s="1" t="str">
        <f>"3723651644988461056"</f>
        <v>3723651644988461056</v>
      </c>
      <c r="F829" s="1" t="str">
        <f t="shared" si="247"/>
        <v>花都四部-凤凰仓</v>
      </c>
      <c r="G829" s="1" t="str">
        <f t="shared" si="265"/>
        <v>卡卡杜企业店（视频号）</v>
      </c>
      <c r="H829" s="1" t="str">
        <f t="shared" si="248"/>
        <v>正常订单</v>
      </c>
      <c r="I829" s="1" t="str">
        <f t="shared" si="249"/>
        <v>已发货</v>
      </c>
      <c r="J829" s="1" t="str">
        <f t="shared" si="266"/>
        <v>1</v>
      </c>
      <c r="K829" s="1">
        <v>1</v>
      </c>
      <c r="L829" s="1" t="s">
        <v>80</v>
      </c>
      <c r="M829" s="1" t="str">
        <f>"河南省 郑州市 二七区 "</f>
        <v xml:space="preserve">河南省 郑州市 二七区 </v>
      </c>
      <c r="N829" s="1" t="str">
        <f t="shared" si="263"/>
        <v>凡华云仓-城南圆通-微信视频号</v>
      </c>
      <c r="O829" s="5" t="s">
        <v>868</v>
      </c>
      <c r="P829" s="6">
        <v>0.12</v>
      </c>
      <c r="Q829" s="11">
        <v>2</v>
      </c>
      <c r="R829" s="11"/>
      <c r="S829" s="11"/>
      <c r="T829" s="11"/>
      <c r="U829" s="11">
        <f t="shared" si="250"/>
        <v>2</v>
      </c>
      <c r="W829">
        <v>2.2000000000000002</v>
      </c>
      <c r="X829" s="1" t="s">
        <v>80</v>
      </c>
    </row>
    <row r="830" spans="1:24" x14ac:dyDescent="0.25">
      <c r="A830" s="1" t="str">
        <f t="shared" si="246"/>
        <v>卡卡杜-凤凰仓</v>
      </c>
      <c r="B830" s="1" t="str">
        <f>"CK20241030289"</f>
        <v>CK20241030289</v>
      </c>
      <c r="C830" s="1" t="str">
        <f>"DD2024103036364"</f>
        <v>DD2024103036364</v>
      </c>
      <c r="D830" s="1" t="str">
        <f>"CK2024103035633"</f>
        <v>CK2024103035633</v>
      </c>
      <c r="E830" s="1" t="str">
        <f>"3723651636090768384"</f>
        <v>3723651636090768384</v>
      </c>
      <c r="F830" s="1" t="str">
        <f t="shared" si="247"/>
        <v>花都四部-凤凰仓</v>
      </c>
      <c r="G830" s="1" t="str">
        <f t="shared" si="265"/>
        <v>卡卡杜企业店（视频号）</v>
      </c>
      <c r="H830" s="1" t="str">
        <f t="shared" si="248"/>
        <v>正常订单</v>
      </c>
      <c r="I830" s="1" t="str">
        <f t="shared" si="249"/>
        <v>已发货</v>
      </c>
      <c r="J830" s="1" t="str">
        <f t="shared" ref="J830:J835" si="267">"3"</f>
        <v>3</v>
      </c>
      <c r="K830" s="1">
        <v>2</v>
      </c>
      <c r="L830" s="1" t="s">
        <v>161</v>
      </c>
      <c r="M830" s="1" t="str">
        <f>"四川省 成都市 青羊区 "</f>
        <v xml:space="preserve">四川省 成都市 青羊区 </v>
      </c>
      <c r="N830" s="1" t="str">
        <f t="shared" si="263"/>
        <v>凡华云仓-城南圆通-微信视频号</v>
      </c>
      <c r="O830" s="5" t="s">
        <v>869</v>
      </c>
      <c r="P830" s="6">
        <v>0.25</v>
      </c>
      <c r="Q830" s="11">
        <v>2</v>
      </c>
      <c r="R830" s="11"/>
      <c r="S830" s="11"/>
      <c r="T830" s="11"/>
      <c r="U830" s="11">
        <f t="shared" si="250"/>
        <v>2</v>
      </c>
      <c r="W830">
        <v>2.2000000000000002</v>
      </c>
      <c r="X830" s="1" t="s">
        <v>161</v>
      </c>
    </row>
    <row r="831" spans="1:24" x14ac:dyDescent="0.25">
      <c r="A831" s="1" t="str">
        <f t="shared" si="246"/>
        <v>卡卡杜-凤凰仓</v>
      </c>
      <c r="B831" s="1" t="str">
        <f>"CK20241030290"</f>
        <v>CK20241030290</v>
      </c>
      <c r="C831" s="1" t="str">
        <f>"DD2024103036363"</f>
        <v>DD2024103036363</v>
      </c>
      <c r="D831" s="1" t="str">
        <f>"CK2024103035632"</f>
        <v>CK2024103035632</v>
      </c>
      <c r="E831" s="1" t="str">
        <f>"3723651577784435968"</f>
        <v>3723651577784435968</v>
      </c>
      <c r="F831" s="1" t="str">
        <f t="shared" si="247"/>
        <v>花都四部-凤凰仓</v>
      </c>
      <c r="G831" s="1" t="str">
        <f t="shared" si="265"/>
        <v>卡卡杜企业店（视频号）</v>
      </c>
      <c r="H831" s="1" t="str">
        <f t="shared" si="248"/>
        <v>正常订单</v>
      </c>
      <c r="I831" s="1" t="str">
        <f t="shared" si="249"/>
        <v>已发货</v>
      </c>
      <c r="J831" s="1" t="str">
        <f>"1"</f>
        <v>1</v>
      </c>
      <c r="K831" s="1">
        <v>1</v>
      </c>
      <c r="L831" s="1" t="s">
        <v>24</v>
      </c>
      <c r="M831" s="1" t="str">
        <f>"福建省 厦门市 海沧区 "</f>
        <v xml:space="preserve">福建省 厦门市 海沧区 </v>
      </c>
      <c r="N831" s="1" t="str">
        <f t="shared" si="263"/>
        <v>凡华云仓-城南圆通-微信视频号</v>
      </c>
      <c r="O831" s="5" t="s">
        <v>870</v>
      </c>
      <c r="P831" s="6">
        <v>0.12</v>
      </c>
      <c r="Q831" s="11">
        <v>2</v>
      </c>
      <c r="R831" s="11"/>
      <c r="S831" s="11"/>
      <c r="T831" s="11"/>
      <c r="U831" s="11">
        <f t="shared" si="250"/>
        <v>2</v>
      </c>
      <c r="W831">
        <v>2.2000000000000002</v>
      </c>
      <c r="X831" s="1" t="s">
        <v>24</v>
      </c>
    </row>
    <row r="832" spans="1:24" x14ac:dyDescent="0.25">
      <c r="A832" s="1" t="str">
        <f t="shared" si="246"/>
        <v>卡卡杜-凤凰仓</v>
      </c>
      <c r="B832" s="1" t="str">
        <f>"CK20241030291"</f>
        <v>CK20241030291</v>
      </c>
      <c r="C832" s="1" t="str">
        <f>"DD2024103036366"</f>
        <v>DD2024103036366</v>
      </c>
      <c r="D832" s="1" t="str">
        <f>"CK2024103035631"</f>
        <v>CK2024103035631</v>
      </c>
      <c r="E832" s="1" t="str">
        <f>"3723651568268087296"</f>
        <v>3723651568268087296</v>
      </c>
      <c r="F832" s="1" t="str">
        <f t="shared" si="247"/>
        <v>花都四部-凤凰仓</v>
      </c>
      <c r="G832" s="1" t="str">
        <f t="shared" si="265"/>
        <v>卡卡杜企业店（视频号）</v>
      </c>
      <c r="H832" s="1" t="str">
        <f t="shared" si="248"/>
        <v>正常订单</v>
      </c>
      <c r="I832" s="1" t="str">
        <f t="shared" si="249"/>
        <v>已发货</v>
      </c>
      <c r="J832" s="1" t="str">
        <f t="shared" si="267"/>
        <v>3</v>
      </c>
      <c r="K832" s="1">
        <v>2</v>
      </c>
      <c r="L832" s="1" t="s">
        <v>16</v>
      </c>
      <c r="M832" s="1" t="str">
        <f>"河北省 张家口市 桥西区 "</f>
        <v xml:space="preserve">河北省 张家口市 桥西区 </v>
      </c>
      <c r="N832" s="1" t="str">
        <f t="shared" si="263"/>
        <v>凡华云仓-城南圆通-微信视频号</v>
      </c>
      <c r="O832" s="5" t="s">
        <v>871</v>
      </c>
      <c r="P832" s="6">
        <v>0.25</v>
      </c>
      <c r="Q832" s="11">
        <v>2</v>
      </c>
      <c r="R832" s="11"/>
      <c r="S832" s="11"/>
      <c r="T832" s="11"/>
      <c r="U832" s="11">
        <f t="shared" si="250"/>
        <v>2</v>
      </c>
      <c r="W832">
        <v>2.2000000000000002</v>
      </c>
      <c r="X832" s="1" t="s">
        <v>16</v>
      </c>
    </row>
    <row r="833" spans="1:24" x14ac:dyDescent="0.25">
      <c r="A833" s="1" t="str">
        <f t="shared" si="246"/>
        <v>卡卡杜-凤凰仓</v>
      </c>
      <c r="B833" s="1" t="str">
        <f>"CK20241030293"</f>
        <v>CK20241030293</v>
      </c>
      <c r="C833" s="1" t="str">
        <f>"DD2024103036365"</f>
        <v>DD2024103036365</v>
      </c>
      <c r="D833" s="1" t="str">
        <f>"CK2024103035630"</f>
        <v>CK2024103035630</v>
      </c>
      <c r="E833" s="1" t="str">
        <f>"3723651487502307328"</f>
        <v>3723651487502307328</v>
      </c>
      <c r="F833" s="1" t="str">
        <f t="shared" si="247"/>
        <v>花都四部-凤凰仓</v>
      </c>
      <c r="G833" s="1" t="str">
        <f t="shared" si="265"/>
        <v>卡卡杜企业店（视频号）</v>
      </c>
      <c r="H833" s="1" t="str">
        <f t="shared" si="248"/>
        <v>正常订单</v>
      </c>
      <c r="I833" s="1" t="str">
        <f t="shared" si="249"/>
        <v>已发货</v>
      </c>
      <c r="J833" s="1" t="str">
        <f t="shared" si="267"/>
        <v>3</v>
      </c>
      <c r="K833" s="1">
        <v>2</v>
      </c>
      <c r="L833" s="1" t="s">
        <v>54</v>
      </c>
      <c r="M833" s="1" t="str">
        <f>"黑龙江省 齐齐哈尔市 龙沙区 "</f>
        <v xml:space="preserve">黑龙江省 齐齐哈尔市 龙沙区 </v>
      </c>
      <c r="N833" s="1" t="str">
        <f t="shared" si="263"/>
        <v>凡华云仓-城南圆通-微信视频号</v>
      </c>
      <c r="O833" s="5" t="s">
        <v>872</v>
      </c>
      <c r="P833" s="6">
        <v>0.25</v>
      </c>
      <c r="Q833" s="11">
        <v>2</v>
      </c>
      <c r="R833" s="11"/>
      <c r="S833" s="11"/>
      <c r="T833" s="11"/>
      <c r="U833" s="11">
        <f t="shared" si="250"/>
        <v>2</v>
      </c>
      <c r="W833">
        <v>2.2000000000000002</v>
      </c>
      <c r="X833" s="1" t="s">
        <v>54</v>
      </c>
    </row>
    <row r="834" spans="1:24" x14ac:dyDescent="0.25">
      <c r="A834" s="1" t="str">
        <f t="shared" ref="A834:A897" si="268">"卡卡杜-凤凰仓"</f>
        <v>卡卡杜-凤凰仓</v>
      </c>
      <c r="B834" s="1" t="str">
        <f>"CK20241030294"</f>
        <v>CK20241030294</v>
      </c>
      <c r="C834" s="1" t="str">
        <f>"DD2024103036369"</f>
        <v>DD2024103036369</v>
      </c>
      <c r="D834" s="1" t="str">
        <f>"CK2024103035629"</f>
        <v>CK2024103035629</v>
      </c>
      <c r="E834" s="1" t="str">
        <f>"3723651479372432896"</f>
        <v>3723651479372432896</v>
      </c>
      <c r="F834" s="1" t="str">
        <f t="shared" ref="F834:F897" si="269">"花都四部-凤凰仓"</f>
        <v>花都四部-凤凰仓</v>
      </c>
      <c r="G834" s="1" t="str">
        <f t="shared" si="265"/>
        <v>卡卡杜企业店（视频号）</v>
      </c>
      <c r="H834" s="1" t="str">
        <f t="shared" ref="H834:H897" si="270">"正常订单"</f>
        <v>正常订单</v>
      </c>
      <c r="I834" s="1" t="str">
        <f t="shared" ref="I834:I897" si="271">"已发货"</f>
        <v>已发货</v>
      </c>
      <c r="J834" s="1" t="str">
        <f t="shared" si="267"/>
        <v>3</v>
      </c>
      <c r="K834" s="1">
        <v>2</v>
      </c>
      <c r="L834" s="1" t="s">
        <v>13</v>
      </c>
      <c r="M834" s="1" t="str">
        <f>"江苏省 南京市 建邺区 "</f>
        <v xml:space="preserve">江苏省 南京市 建邺区 </v>
      </c>
      <c r="N834" s="1" t="str">
        <f t="shared" si="263"/>
        <v>凡华云仓-城南圆通-微信视频号</v>
      </c>
      <c r="O834" s="5" t="s">
        <v>873</v>
      </c>
      <c r="P834" s="6">
        <v>0.25</v>
      </c>
      <c r="Q834" s="11">
        <v>2</v>
      </c>
      <c r="R834" s="11"/>
      <c r="S834" s="11"/>
      <c r="T834" s="11"/>
      <c r="U834" s="11">
        <f t="shared" si="250"/>
        <v>2</v>
      </c>
      <c r="W834">
        <v>2.2000000000000002</v>
      </c>
      <c r="X834" s="1" t="s">
        <v>13</v>
      </c>
    </row>
    <row r="835" spans="1:24" x14ac:dyDescent="0.25">
      <c r="A835" s="1" t="str">
        <f t="shared" si="268"/>
        <v>卡卡杜-凤凰仓</v>
      </c>
      <c r="B835" s="1" t="str">
        <f>"CK20241030292"</f>
        <v>CK20241030292</v>
      </c>
      <c r="C835" s="1" t="str">
        <f>"DD2024103036367"</f>
        <v>DD2024103036367</v>
      </c>
      <c r="D835" s="1" t="str">
        <f>"CK2024103035628"</f>
        <v>CK2024103035628</v>
      </c>
      <c r="E835" s="1" t="str">
        <f>"3723651482491421953"</f>
        <v>3723651482491421953</v>
      </c>
      <c r="F835" s="1" t="str">
        <f t="shared" si="269"/>
        <v>花都四部-凤凰仓</v>
      </c>
      <c r="G835" s="1" t="str">
        <f t="shared" si="265"/>
        <v>卡卡杜企业店（视频号）</v>
      </c>
      <c r="H835" s="1" t="str">
        <f t="shared" si="270"/>
        <v>正常订单</v>
      </c>
      <c r="I835" s="1" t="str">
        <f t="shared" si="271"/>
        <v>已发货</v>
      </c>
      <c r="J835" s="1" t="str">
        <f t="shared" si="267"/>
        <v>3</v>
      </c>
      <c r="K835" s="1">
        <v>2</v>
      </c>
      <c r="L835" s="1" t="s">
        <v>13</v>
      </c>
      <c r="M835" s="1" t="str">
        <f>"江苏省 南京市 秦淮区 "</f>
        <v xml:space="preserve">江苏省 南京市 秦淮区 </v>
      </c>
      <c r="N835" s="1" t="str">
        <f t="shared" si="263"/>
        <v>凡华云仓-城南圆通-微信视频号</v>
      </c>
      <c r="O835" s="5" t="s">
        <v>874</v>
      </c>
      <c r="P835" s="6">
        <v>0.25</v>
      </c>
      <c r="Q835" s="11">
        <v>2</v>
      </c>
      <c r="R835" s="11"/>
      <c r="S835" s="11"/>
      <c r="T835" s="11"/>
      <c r="U835" s="11">
        <f t="shared" ref="U835:U898" si="272">T835+S835+R835+Q835</f>
        <v>2</v>
      </c>
      <c r="W835">
        <v>2.2000000000000002</v>
      </c>
      <c r="X835" s="1" t="s">
        <v>13</v>
      </c>
    </row>
    <row r="836" spans="1:24" x14ac:dyDescent="0.25">
      <c r="A836" s="1" t="str">
        <f t="shared" si="268"/>
        <v>卡卡杜-凤凰仓</v>
      </c>
      <c r="B836" s="1" t="str">
        <f>"CK20241030295"</f>
        <v>CK20241030295</v>
      </c>
      <c r="C836" s="1" t="str">
        <f>"DD2024103036368"</f>
        <v>DD2024103036368</v>
      </c>
      <c r="D836" s="1" t="str">
        <f>"CK2024103035627"</f>
        <v>CK2024103035627</v>
      </c>
      <c r="E836" s="1" t="str">
        <f>"3723651471919682560"</f>
        <v>3723651471919682560</v>
      </c>
      <c r="F836" s="1" t="str">
        <f t="shared" si="269"/>
        <v>花都四部-凤凰仓</v>
      </c>
      <c r="G836" s="1" t="str">
        <f t="shared" si="265"/>
        <v>卡卡杜企业店（视频号）</v>
      </c>
      <c r="H836" s="1" t="str">
        <f t="shared" si="270"/>
        <v>正常订单</v>
      </c>
      <c r="I836" s="1" t="str">
        <f t="shared" si="271"/>
        <v>已发货</v>
      </c>
      <c r="J836" s="1" t="str">
        <f>"1"</f>
        <v>1</v>
      </c>
      <c r="K836" s="1">
        <v>1</v>
      </c>
      <c r="L836" s="1" t="s">
        <v>105</v>
      </c>
      <c r="M836" s="1" t="str">
        <f>"北京 北京市 丰台区 "</f>
        <v xml:space="preserve">北京 北京市 丰台区 </v>
      </c>
      <c r="N836" s="1" t="str">
        <f t="shared" si="263"/>
        <v>凡华云仓-城南圆通-微信视频号</v>
      </c>
      <c r="O836" s="5" t="s">
        <v>875</v>
      </c>
      <c r="P836" s="6">
        <v>0.12</v>
      </c>
      <c r="Q836" s="11">
        <v>2</v>
      </c>
      <c r="R836" s="11"/>
      <c r="S836" s="11"/>
      <c r="T836" s="11"/>
      <c r="U836" s="11">
        <f t="shared" si="272"/>
        <v>2</v>
      </c>
      <c r="W836">
        <v>2.2000000000000002</v>
      </c>
      <c r="X836" s="1" t="s">
        <v>105</v>
      </c>
    </row>
    <row r="837" spans="1:24" x14ac:dyDescent="0.25">
      <c r="A837" s="1" t="str">
        <f t="shared" si="268"/>
        <v>卡卡杜-凤凰仓</v>
      </c>
      <c r="B837" s="1" t="str">
        <f>"CK20241030296"</f>
        <v>CK20241030296</v>
      </c>
      <c r="C837" s="1" t="str">
        <f>"DD2024103036370"</f>
        <v>DD2024103036370</v>
      </c>
      <c r="D837" s="1" t="str">
        <f>"CK2024103035626"</f>
        <v>CK2024103035626</v>
      </c>
      <c r="E837" s="1" t="str">
        <f>"3723651464130859008"</f>
        <v>3723651464130859008</v>
      </c>
      <c r="F837" s="1" t="str">
        <f t="shared" si="269"/>
        <v>花都四部-凤凰仓</v>
      </c>
      <c r="G837" s="1" t="str">
        <f t="shared" si="265"/>
        <v>卡卡杜企业店（视频号）</v>
      </c>
      <c r="H837" s="1" t="str">
        <f t="shared" si="270"/>
        <v>正常订单</v>
      </c>
      <c r="I837" s="1" t="str">
        <f t="shared" si="271"/>
        <v>已发货</v>
      </c>
      <c r="J837" s="1" t="str">
        <f t="shared" ref="J837:J841" si="273">"3"</f>
        <v>3</v>
      </c>
      <c r="K837" s="1">
        <v>2</v>
      </c>
      <c r="L837" s="1" t="s">
        <v>105</v>
      </c>
      <c r="M837" s="1" t="str">
        <f>"北京 北京市 丰台区 "</f>
        <v xml:space="preserve">北京 北京市 丰台区 </v>
      </c>
      <c r="N837" s="1" t="str">
        <f t="shared" si="263"/>
        <v>凡华云仓-城南圆通-微信视频号</v>
      </c>
      <c r="O837" s="5" t="s">
        <v>876</v>
      </c>
      <c r="P837" s="6">
        <v>0.25</v>
      </c>
      <c r="Q837" s="11">
        <v>2</v>
      </c>
      <c r="R837" s="11"/>
      <c r="S837" s="11"/>
      <c r="T837" s="11"/>
      <c r="U837" s="11">
        <f t="shared" si="272"/>
        <v>2</v>
      </c>
      <c r="W837">
        <v>2.2000000000000002</v>
      </c>
      <c r="X837" s="1" t="s">
        <v>105</v>
      </c>
    </row>
    <row r="838" spans="1:24" x14ac:dyDescent="0.25">
      <c r="A838" s="1" t="str">
        <f t="shared" si="268"/>
        <v>卡卡杜-凤凰仓</v>
      </c>
      <c r="B838" s="1" t="str">
        <f>"CK20241030297"</f>
        <v>CK20241030297</v>
      </c>
      <c r="C838" s="1" t="str">
        <f>"DD2024103036372"</f>
        <v>DD2024103036372</v>
      </c>
      <c r="D838" s="1" t="str">
        <f>"CK2024103035625"</f>
        <v>CK2024103035625</v>
      </c>
      <c r="E838" s="1" t="str">
        <f>"3723651446247919616"</f>
        <v>3723651446247919616</v>
      </c>
      <c r="F838" s="1" t="str">
        <f t="shared" si="269"/>
        <v>花都四部-凤凰仓</v>
      </c>
      <c r="G838" s="1" t="str">
        <f t="shared" si="265"/>
        <v>卡卡杜企业店（视频号）</v>
      </c>
      <c r="H838" s="1" t="str">
        <f t="shared" si="270"/>
        <v>正常订单</v>
      </c>
      <c r="I838" s="1" t="str">
        <f t="shared" si="271"/>
        <v>已发货</v>
      </c>
      <c r="J838" s="1" t="str">
        <f t="shared" si="273"/>
        <v>3</v>
      </c>
      <c r="K838" s="1">
        <v>2</v>
      </c>
      <c r="L838" s="1" t="s">
        <v>44</v>
      </c>
      <c r="M838" s="1" t="str">
        <f>"海南省 省直辖县级行政区划 五指山市 "</f>
        <v xml:space="preserve">海南省 省直辖县级行政区划 五指山市 </v>
      </c>
      <c r="N838" s="1" t="str">
        <f t="shared" si="263"/>
        <v>凡华云仓-城南圆通-微信视频号</v>
      </c>
      <c r="O838" s="5" t="s">
        <v>877</v>
      </c>
      <c r="P838" s="6">
        <v>0.25</v>
      </c>
      <c r="Q838" s="11">
        <v>2</v>
      </c>
      <c r="R838" s="11"/>
      <c r="S838" s="11"/>
      <c r="T838" s="11"/>
      <c r="U838" s="11">
        <f t="shared" si="272"/>
        <v>2</v>
      </c>
      <c r="W838">
        <v>2.2000000000000002</v>
      </c>
      <c r="X838" s="1" t="s">
        <v>44</v>
      </c>
    </row>
    <row r="839" spans="1:24" x14ac:dyDescent="0.25">
      <c r="A839" s="1" t="str">
        <f t="shared" si="268"/>
        <v>卡卡杜-凤凰仓</v>
      </c>
      <c r="B839" s="1" t="str">
        <f>"CK20241030298"</f>
        <v>CK20241030298</v>
      </c>
      <c r="C839" s="1" t="str">
        <f>"DD2024103036371"</f>
        <v>DD2024103036371</v>
      </c>
      <c r="D839" s="1" t="str">
        <f>"CK2024103035624"</f>
        <v>CK2024103035624</v>
      </c>
      <c r="E839" s="1" t="str">
        <f>"3723651423097719808"</f>
        <v>3723651423097719808</v>
      </c>
      <c r="F839" s="1" t="str">
        <f t="shared" si="269"/>
        <v>花都四部-凤凰仓</v>
      </c>
      <c r="G839" s="1" t="str">
        <f t="shared" si="265"/>
        <v>卡卡杜企业店（视频号）</v>
      </c>
      <c r="H839" s="1" t="str">
        <f t="shared" si="270"/>
        <v>正常订单</v>
      </c>
      <c r="I839" s="1" t="str">
        <f t="shared" si="271"/>
        <v>已发货</v>
      </c>
      <c r="J839" s="1" t="str">
        <f t="shared" ref="J839:J844" si="274">"1"</f>
        <v>1</v>
      </c>
      <c r="K839" s="1">
        <v>1</v>
      </c>
      <c r="L839" s="1" t="s">
        <v>54</v>
      </c>
      <c r="M839" s="1" t="str">
        <f>"黑龙江省 哈尔滨市 道里区 "</f>
        <v xml:space="preserve">黑龙江省 哈尔滨市 道里区 </v>
      </c>
      <c r="N839" s="1" t="str">
        <f t="shared" si="263"/>
        <v>凡华云仓-城南圆通-微信视频号</v>
      </c>
      <c r="O839" s="5" t="s">
        <v>878</v>
      </c>
      <c r="P839" s="6">
        <v>0.12</v>
      </c>
      <c r="Q839" s="11">
        <v>2</v>
      </c>
      <c r="R839" s="11"/>
      <c r="S839" s="11"/>
      <c r="T839" s="11"/>
      <c r="U839" s="11">
        <f t="shared" si="272"/>
        <v>2</v>
      </c>
      <c r="W839">
        <v>2.2000000000000002</v>
      </c>
      <c r="X839" s="1" t="s">
        <v>54</v>
      </c>
    </row>
    <row r="840" spans="1:24" x14ac:dyDescent="0.25">
      <c r="A840" s="1" t="str">
        <f t="shared" si="268"/>
        <v>卡卡杜-凤凰仓</v>
      </c>
      <c r="B840" s="1" t="str">
        <f>"CK20241030299"</f>
        <v>CK20241030299</v>
      </c>
      <c r="C840" s="1" t="str">
        <f>"DD2024103036374"</f>
        <v>DD2024103036374</v>
      </c>
      <c r="D840" s="1" t="str">
        <f>"CK2024103035623"</f>
        <v>CK2024103035623</v>
      </c>
      <c r="E840" s="1" t="str">
        <f>"3723651411135040512"</f>
        <v>3723651411135040512</v>
      </c>
      <c r="F840" s="1" t="str">
        <f t="shared" si="269"/>
        <v>花都四部-凤凰仓</v>
      </c>
      <c r="G840" s="1" t="str">
        <f t="shared" si="265"/>
        <v>卡卡杜企业店（视频号）</v>
      </c>
      <c r="H840" s="1" t="str">
        <f t="shared" si="270"/>
        <v>正常订单</v>
      </c>
      <c r="I840" s="1" t="str">
        <f t="shared" si="271"/>
        <v>已发货</v>
      </c>
      <c r="J840" s="1" t="str">
        <f t="shared" si="273"/>
        <v>3</v>
      </c>
      <c r="K840" s="1">
        <v>2</v>
      </c>
      <c r="L840" s="1" t="s">
        <v>105</v>
      </c>
      <c r="M840" s="1" t="str">
        <f>"北京 北京市 东城区 "</f>
        <v xml:space="preserve">北京 北京市 东城区 </v>
      </c>
      <c r="N840" s="1" t="str">
        <f t="shared" si="263"/>
        <v>凡华云仓-城南圆通-微信视频号</v>
      </c>
      <c r="O840" s="5" t="s">
        <v>879</v>
      </c>
      <c r="P840" s="6">
        <v>0.25</v>
      </c>
      <c r="Q840" s="11">
        <v>2</v>
      </c>
      <c r="R840" s="11"/>
      <c r="S840" s="11"/>
      <c r="T840" s="11"/>
      <c r="U840" s="11">
        <f t="shared" si="272"/>
        <v>2</v>
      </c>
      <c r="W840">
        <v>2.2000000000000002</v>
      </c>
      <c r="X840" s="1" t="s">
        <v>105</v>
      </c>
    </row>
    <row r="841" spans="1:24" x14ac:dyDescent="0.25">
      <c r="A841" s="1" t="str">
        <f t="shared" si="268"/>
        <v>卡卡杜-凤凰仓</v>
      </c>
      <c r="B841" s="1" t="str">
        <f>"CK20241030300"</f>
        <v>CK20241030300</v>
      </c>
      <c r="C841" s="1" t="str">
        <f>"DD2024103036373"</f>
        <v>DD2024103036373</v>
      </c>
      <c r="D841" s="1" t="str">
        <f>"CK2024103035622"</f>
        <v>CK2024103035622</v>
      </c>
      <c r="E841" s="1" t="str">
        <f>"3723651389675931136"</f>
        <v>3723651389675931136</v>
      </c>
      <c r="F841" s="1" t="str">
        <f t="shared" si="269"/>
        <v>花都四部-凤凰仓</v>
      </c>
      <c r="G841" s="1" t="str">
        <f t="shared" si="265"/>
        <v>卡卡杜企业店（视频号）</v>
      </c>
      <c r="H841" s="1" t="str">
        <f t="shared" si="270"/>
        <v>正常订单</v>
      </c>
      <c r="I841" s="1" t="str">
        <f t="shared" si="271"/>
        <v>已发货</v>
      </c>
      <c r="J841" s="1" t="str">
        <f t="shared" si="273"/>
        <v>3</v>
      </c>
      <c r="K841" s="1">
        <v>2</v>
      </c>
      <c r="L841" s="1" t="s">
        <v>22</v>
      </c>
      <c r="M841" s="1" t="str">
        <f>"江西省 九江市 浔阳区 "</f>
        <v xml:space="preserve">江西省 九江市 浔阳区 </v>
      </c>
      <c r="N841" s="1" t="str">
        <f t="shared" si="263"/>
        <v>凡华云仓-城南圆通-微信视频号</v>
      </c>
      <c r="O841" s="5" t="s">
        <v>880</v>
      </c>
      <c r="P841" s="6">
        <v>0.25</v>
      </c>
      <c r="Q841" s="11">
        <v>2</v>
      </c>
      <c r="R841" s="11"/>
      <c r="S841" s="11"/>
      <c r="T841" s="11"/>
      <c r="U841" s="11">
        <f t="shared" si="272"/>
        <v>2</v>
      </c>
      <c r="W841">
        <v>2.2000000000000002</v>
      </c>
      <c r="X841" s="1" t="s">
        <v>22</v>
      </c>
    </row>
    <row r="842" spans="1:24" x14ac:dyDescent="0.25">
      <c r="A842" s="1" t="str">
        <f t="shared" si="268"/>
        <v>卡卡杜-凤凰仓</v>
      </c>
      <c r="B842" s="1" t="str">
        <f>"CK20241030301"</f>
        <v>CK20241030301</v>
      </c>
      <c r="C842" s="1" t="str">
        <f>"DD2024103036375"</f>
        <v>DD2024103036375</v>
      </c>
      <c r="D842" s="1" t="str">
        <f>"CK2024103035621"</f>
        <v>CK2024103035621</v>
      </c>
      <c r="E842" s="1" t="str">
        <f>"3723651383360098304"</f>
        <v>3723651383360098304</v>
      </c>
      <c r="F842" s="1" t="str">
        <f t="shared" si="269"/>
        <v>花都四部-凤凰仓</v>
      </c>
      <c r="G842" s="1" t="str">
        <f t="shared" si="265"/>
        <v>卡卡杜企业店（视频号）</v>
      </c>
      <c r="H842" s="1" t="str">
        <f t="shared" si="270"/>
        <v>正常订单</v>
      </c>
      <c r="I842" s="1" t="str">
        <f t="shared" si="271"/>
        <v>已发货</v>
      </c>
      <c r="J842" s="1" t="str">
        <f t="shared" si="274"/>
        <v>1</v>
      </c>
      <c r="K842" s="1">
        <v>1</v>
      </c>
      <c r="L842" s="1" t="s">
        <v>13</v>
      </c>
      <c r="M842" s="1" t="str">
        <f>"江苏省 无锡市 江阴市 "</f>
        <v xml:space="preserve">江苏省 无锡市 江阴市 </v>
      </c>
      <c r="N842" s="1" t="str">
        <f t="shared" si="263"/>
        <v>凡华云仓-城南圆通-微信视频号</v>
      </c>
      <c r="O842" s="5" t="s">
        <v>881</v>
      </c>
      <c r="P842" s="6">
        <v>0.12</v>
      </c>
      <c r="Q842" s="11">
        <v>2</v>
      </c>
      <c r="R842" s="11"/>
      <c r="S842" s="11"/>
      <c r="T842" s="11"/>
      <c r="U842" s="11">
        <f t="shared" si="272"/>
        <v>2</v>
      </c>
      <c r="W842">
        <v>2.2000000000000002</v>
      </c>
      <c r="X842" s="1" t="s">
        <v>13</v>
      </c>
    </row>
    <row r="843" spans="1:24" x14ac:dyDescent="0.25">
      <c r="A843" s="1" t="str">
        <f t="shared" si="268"/>
        <v>卡卡杜-凤凰仓</v>
      </c>
      <c r="B843" s="1" t="str">
        <f>"CK20241030302"</f>
        <v>CK20241030302</v>
      </c>
      <c r="C843" s="1" t="str">
        <f>"DD2024103036377"</f>
        <v>DD2024103036377</v>
      </c>
      <c r="D843" s="1" t="str">
        <f>"CK2024103035620"</f>
        <v>CK2024103035620</v>
      </c>
      <c r="E843" s="1" t="str">
        <f>"3723651376123613184"</f>
        <v>3723651376123613184</v>
      </c>
      <c r="F843" s="1" t="str">
        <f t="shared" si="269"/>
        <v>花都四部-凤凰仓</v>
      </c>
      <c r="G843" s="1" t="str">
        <f t="shared" si="265"/>
        <v>卡卡杜企业店（视频号）</v>
      </c>
      <c r="H843" s="1" t="str">
        <f t="shared" si="270"/>
        <v>正常订单</v>
      </c>
      <c r="I843" s="1" t="str">
        <f t="shared" si="271"/>
        <v>已发货</v>
      </c>
      <c r="J843" s="1" t="str">
        <f t="shared" ref="J843:J847" si="275">"3"</f>
        <v>3</v>
      </c>
      <c r="K843" s="1">
        <v>2</v>
      </c>
      <c r="L843" s="1" t="s">
        <v>92</v>
      </c>
      <c r="M843" s="1" t="str">
        <f>"辽宁省 大连市 沙河口区 "</f>
        <v xml:space="preserve">辽宁省 大连市 沙河口区 </v>
      </c>
      <c r="N843" s="1" t="str">
        <f t="shared" si="263"/>
        <v>凡华云仓-城南圆通-微信视频号</v>
      </c>
      <c r="O843" s="5" t="s">
        <v>882</v>
      </c>
      <c r="P843" s="6">
        <v>0.25</v>
      </c>
      <c r="Q843" s="11">
        <v>2</v>
      </c>
      <c r="R843" s="11"/>
      <c r="S843" s="11"/>
      <c r="T843" s="11"/>
      <c r="U843" s="11">
        <f t="shared" si="272"/>
        <v>2</v>
      </c>
      <c r="W843">
        <v>2.2000000000000002</v>
      </c>
      <c r="X843" s="1" t="s">
        <v>92</v>
      </c>
    </row>
    <row r="844" spans="1:24" x14ac:dyDescent="0.25">
      <c r="A844" s="1" t="str">
        <f t="shared" si="268"/>
        <v>卡卡杜-凤凰仓</v>
      </c>
      <c r="B844" s="1" t="str">
        <f>"CK20241030303"</f>
        <v>CK20241030303</v>
      </c>
      <c r="C844" s="1" t="str">
        <f>"DD2024103036376"</f>
        <v>DD2024103036376</v>
      </c>
      <c r="D844" s="1" t="str">
        <f>"CK2024103035619"</f>
        <v>CK2024103035619</v>
      </c>
      <c r="E844" s="1" t="str">
        <f>"3723651367263933440"</f>
        <v>3723651367263933440</v>
      </c>
      <c r="F844" s="1" t="str">
        <f t="shared" si="269"/>
        <v>花都四部-凤凰仓</v>
      </c>
      <c r="G844" s="1" t="str">
        <f t="shared" si="265"/>
        <v>卡卡杜企业店（视频号）</v>
      </c>
      <c r="H844" s="1" t="str">
        <f t="shared" si="270"/>
        <v>正常订单</v>
      </c>
      <c r="I844" s="1" t="str">
        <f t="shared" si="271"/>
        <v>已发货</v>
      </c>
      <c r="J844" s="1" t="str">
        <f t="shared" si="274"/>
        <v>1</v>
      </c>
      <c r="K844" s="1">
        <v>1</v>
      </c>
      <c r="L844" s="1" t="s">
        <v>30</v>
      </c>
      <c r="M844" s="1" t="str">
        <f>"山东省 威海市 乳山市 "</f>
        <v xml:space="preserve">山东省 威海市 乳山市 </v>
      </c>
      <c r="N844" s="1" t="str">
        <f t="shared" si="263"/>
        <v>凡华云仓-城南圆通-微信视频号</v>
      </c>
      <c r="O844" s="5" t="s">
        <v>883</v>
      </c>
      <c r="P844" s="6">
        <v>0.12</v>
      </c>
      <c r="Q844" s="11">
        <v>2</v>
      </c>
      <c r="R844" s="11"/>
      <c r="S844" s="11"/>
      <c r="T844" s="11"/>
      <c r="U844" s="11">
        <f t="shared" si="272"/>
        <v>2</v>
      </c>
      <c r="W844">
        <v>2.2000000000000002</v>
      </c>
      <c r="X844" s="1" t="s">
        <v>30</v>
      </c>
    </row>
    <row r="845" spans="1:24" x14ac:dyDescent="0.25">
      <c r="A845" s="1" t="str">
        <f t="shared" si="268"/>
        <v>卡卡杜-凤凰仓</v>
      </c>
      <c r="B845" s="1" t="str">
        <f>"CK20241030304"</f>
        <v>CK20241030304</v>
      </c>
      <c r="C845" s="1" t="str">
        <f>"DD2024103036378"</f>
        <v>DD2024103036378</v>
      </c>
      <c r="D845" s="1" t="str">
        <f>"CK2024103035618"</f>
        <v>CK2024103035618</v>
      </c>
      <c r="E845" s="1" t="str">
        <f>"3723651365779410945"</f>
        <v>3723651365779410945</v>
      </c>
      <c r="F845" s="1" t="str">
        <f t="shared" si="269"/>
        <v>花都四部-凤凰仓</v>
      </c>
      <c r="G845" s="1" t="str">
        <f t="shared" si="265"/>
        <v>卡卡杜企业店（视频号）</v>
      </c>
      <c r="H845" s="1" t="str">
        <f t="shared" si="270"/>
        <v>正常订单</v>
      </c>
      <c r="I845" s="1" t="str">
        <f t="shared" si="271"/>
        <v>已发货</v>
      </c>
      <c r="J845" s="1" t="str">
        <f t="shared" si="275"/>
        <v>3</v>
      </c>
      <c r="K845" s="1">
        <v>2</v>
      </c>
      <c r="L845" s="1" t="s">
        <v>74</v>
      </c>
      <c r="M845" s="1" t="str">
        <f>"上海 上海市 长宁区 "</f>
        <v xml:space="preserve">上海 上海市 长宁区 </v>
      </c>
      <c r="N845" s="1" t="str">
        <f t="shared" si="263"/>
        <v>凡华云仓-城南圆通-微信视频号</v>
      </c>
      <c r="O845" s="5" t="s">
        <v>884</v>
      </c>
      <c r="P845" s="6">
        <v>0.25</v>
      </c>
      <c r="Q845" s="11">
        <v>2</v>
      </c>
      <c r="R845" s="11"/>
      <c r="S845" s="11"/>
      <c r="T845" s="11"/>
      <c r="U845" s="11">
        <f t="shared" si="272"/>
        <v>2</v>
      </c>
      <c r="W845">
        <v>2.2000000000000002</v>
      </c>
      <c r="X845" s="1" t="s">
        <v>74</v>
      </c>
    </row>
    <row r="846" spans="1:24" x14ac:dyDescent="0.25">
      <c r="A846" s="1" t="str">
        <f t="shared" si="268"/>
        <v>卡卡杜-凤凰仓</v>
      </c>
      <c r="B846" s="1" t="str">
        <f>"CK20241030305"</f>
        <v>CK20241030305</v>
      </c>
      <c r="C846" s="1" t="str">
        <f>"DD2024103036379"</f>
        <v>DD2024103036379</v>
      </c>
      <c r="D846" s="1" t="str">
        <f>"CK2024103035617"</f>
        <v>CK2024103035617</v>
      </c>
      <c r="E846" s="1" t="str">
        <f>"3723651363087454208"</f>
        <v>3723651363087454208</v>
      </c>
      <c r="F846" s="1" t="str">
        <f t="shared" si="269"/>
        <v>花都四部-凤凰仓</v>
      </c>
      <c r="G846" s="1" t="str">
        <f t="shared" si="265"/>
        <v>卡卡杜企业店（视频号）</v>
      </c>
      <c r="H846" s="1" t="str">
        <f t="shared" si="270"/>
        <v>正常订单</v>
      </c>
      <c r="I846" s="1" t="str">
        <f t="shared" si="271"/>
        <v>已发货</v>
      </c>
      <c r="J846" s="1" t="str">
        <f t="shared" si="275"/>
        <v>3</v>
      </c>
      <c r="K846" s="1">
        <v>2</v>
      </c>
      <c r="L846" s="1" t="s">
        <v>92</v>
      </c>
      <c r="M846" s="1" t="str">
        <f>"辽宁省 丹东市 振兴区 "</f>
        <v xml:space="preserve">辽宁省 丹东市 振兴区 </v>
      </c>
      <c r="N846" s="1" t="str">
        <f t="shared" si="263"/>
        <v>凡华云仓-城南圆通-微信视频号</v>
      </c>
      <c r="O846" s="5" t="s">
        <v>885</v>
      </c>
      <c r="P846" s="6">
        <v>0.25</v>
      </c>
      <c r="Q846" s="11">
        <v>2</v>
      </c>
      <c r="R846" s="11"/>
      <c r="S846" s="11"/>
      <c r="T846" s="11"/>
      <c r="U846" s="11">
        <f t="shared" si="272"/>
        <v>2</v>
      </c>
      <c r="W846">
        <v>2.2000000000000002</v>
      </c>
      <c r="X846" s="1" t="s">
        <v>92</v>
      </c>
    </row>
    <row r="847" spans="1:24" x14ac:dyDescent="0.25">
      <c r="A847" s="1" t="str">
        <f t="shared" si="268"/>
        <v>卡卡杜-凤凰仓</v>
      </c>
      <c r="B847" s="1" t="str">
        <f>"CK20241030307"</f>
        <v>CK20241030307</v>
      </c>
      <c r="C847" s="1" t="str">
        <f>"DD2024103036380"</f>
        <v>DD2024103036380</v>
      </c>
      <c r="D847" s="1" t="str">
        <f>"CK2024103035616"</f>
        <v>CK2024103035616</v>
      </c>
      <c r="E847" s="1" t="str">
        <f>"3723651358685794304"</f>
        <v>3723651358685794304</v>
      </c>
      <c r="F847" s="1" t="str">
        <f t="shared" si="269"/>
        <v>花都四部-凤凰仓</v>
      </c>
      <c r="G847" s="1" t="str">
        <f t="shared" si="265"/>
        <v>卡卡杜企业店（视频号）</v>
      </c>
      <c r="H847" s="1" t="str">
        <f t="shared" si="270"/>
        <v>正常订单</v>
      </c>
      <c r="I847" s="1" t="str">
        <f t="shared" si="271"/>
        <v>已发货</v>
      </c>
      <c r="J847" s="1" t="str">
        <f t="shared" si="275"/>
        <v>3</v>
      </c>
      <c r="K847" s="1">
        <v>2</v>
      </c>
      <c r="L847" s="1" t="s">
        <v>66</v>
      </c>
      <c r="M847" s="1" t="str">
        <f>"内蒙古自治区 包头市 青山区 "</f>
        <v xml:space="preserve">内蒙古自治区 包头市 青山区 </v>
      </c>
      <c r="N847" s="1" t="str">
        <f t="shared" si="263"/>
        <v>凡华云仓-城南圆通-微信视频号</v>
      </c>
      <c r="O847" s="5" t="s">
        <v>886</v>
      </c>
      <c r="P847" s="6">
        <v>0.25</v>
      </c>
      <c r="Q847" s="11">
        <v>2</v>
      </c>
      <c r="R847" s="11"/>
      <c r="S847" s="11"/>
      <c r="T847" s="11"/>
      <c r="U847" s="11">
        <f t="shared" si="272"/>
        <v>2</v>
      </c>
      <c r="W847">
        <v>2.2000000000000002</v>
      </c>
      <c r="X847" s="1" t="s">
        <v>66</v>
      </c>
    </row>
    <row r="848" spans="1:24" x14ac:dyDescent="0.25">
      <c r="A848" s="1" t="str">
        <f t="shared" si="268"/>
        <v>卡卡杜-凤凰仓</v>
      </c>
      <c r="B848" s="1" t="str">
        <f>"CK20241030306"</f>
        <v>CK20241030306</v>
      </c>
      <c r="C848" s="1" t="str">
        <f>"DD2024103036381"</f>
        <v>DD2024103036381</v>
      </c>
      <c r="D848" s="1" t="str">
        <f>"CK2024103035615"</f>
        <v>CK2024103035615</v>
      </c>
      <c r="E848" s="1" t="str">
        <f>"3723651360411488256"</f>
        <v>3723651360411488256</v>
      </c>
      <c r="F848" s="1" t="str">
        <f t="shared" si="269"/>
        <v>花都四部-凤凰仓</v>
      </c>
      <c r="G848" s="1" t="str">
        <f t="shared" si="265"/>
        <v>卡卡杜企业店（视频号）</v>
      </c>
      <c r="H848" s="1" t="str">
        <f t="shared" si="270"/>
        <v>正常订单</v>
      </c>
      <c r="I848" s="1" t="str">
        <f t="shared" si="271"/>
        <v>已发货</v>
      </c>
      <c r="J848" s="1" t="str">
        <f t="shared" ref="J848:J853" si="276">"1"</f>
        <v>1</v>
      </c>
      <c r="K848" s="1">
        <v>1</v>
      </c>
      <c r="L848" s="1" t="s">
        <v>105</v>
      </c>
      <c r="M848" s="1" t="str">
        <f>"北京 北京市 昌平区 "</f>
        <v xml:space="preserve">北京 北京市 昌平区 </v>
      </c>
      <c r="N848" s="1" t="str">
        <f t="shared" si="263"/>
        <v>凡华云仓-城南圆通-微信视频号</v>
      </c>
      <c r="O848" s="5" t="s">
        <v>887</v>
      </c>
      <c r="P848" s="6">
        <v>0.12</v>
      </c>
      <c r="Q848" s="11">
        <v>2</v>
      </c>
      <c r="R848" s="11"/>
      <c r="S848" s="11"/>
      <c r="T848" s="11"/>
      <c r="U848" s="11">
        <f t="shared" si="272"/>
        <v>2</v>
      </c>
      <c r="W848">
        <v>2.2000000000000002</v>
      </c>
      <c r="X848" s="1" t="s">
        <v>105</v>
      </c>
    </row>
    <row r="849" spans="1:24" x14ac:dyDescent="0.25">
      <c r="A849" s="1" t="str">
        <f t="shared" si="268"/>
        <v>卡卡杜-凤凰仓</v>
      </c>
      <c r="B849" s="1" t="str">
        <f>"CK20241030308"</f>
        <v>CK20241030308</v>
      </c>
      <c r="C849" s="1" t="str">
        <f>"DD2024103036382"</f>
        <v>DD2024103036382</v>
      </c>
      <c r="D849" s="1" t="str">
        <f>"CK2024103035614"</f>
        <v>CK2024103035614</v>
      </c>
      <c r="E849" s="1" t="str">
        <f>"3723651356836630528"</f>
        <v>3723651356836630528</v>
      </c>
      <c r="F849" s="1" t="str">
        <f t="shared" si="269"/>
        <v>花都四部-凤凰仓</v>
      </c>
      <c r="G849" s="1" t="str">
        <f t="shared" si="265"/>
        <v>卡卡杜企业店（视频号）</v>
      </c>
      <c r="H849" s="1" t="str">
        <f t="shared" si="270"/>
        <v>正常订单</v>
      </c>
      <c r="I849" s="1" t="str">
        <f t="shared" si="271"/>
        <v>已发货</v>
      </c>
      <c r="J849" s="1" t="str">
        <f t="shared" ref="J849:J856" si="277">"3"</f>
        <v>3</v>
      </c>
      <c r="K849" s="1">
        <v>2</v>
      </c>
      <c r="L849" s="1" t="s">
        <v>30</v>
      </c>
      <c r="M849" s="1" t="str">
        <f>"山东省 威海市 环翠区 "</f>
        <v xml:space="preserve">山东省 威海市 环翠区 </v>
      </c>
      <c r="N849" s="1" t="str">
        <f t="shared" si="263"/>
        <v>凡华云仓-城南圆通-微信视频号</v>
      </c>
      <c r="O849" s="5" t="s">
        <v>888</v>
      </c>
      <c r="P849" s="6">
        <v>0.25</v>
      </c>
      <c r="Q849" s="11">
        <v>2</v>
      </c>
      <c r="R849" s="11"/>
      <c r="S849" s="11"/>
      <c r="T849" s="11"/>
      <c r="U849" s="11">
        <f t="shared" si="272"/>
        <v>2</v>
      </c>
      <c r="W849">
        <v>2.2000000000000002</v>
      </c>
      <c r="X849" s="1" t="s">
        <v>30</v>
      </c>
    </row>
    <row r="850" spans="1:24" x14ac:dyDescent="0.25">
      <c r="A850" s="1" t="str">
        <f t="shared" si="268"/>
        <v>卡卡杜-凤凰仓</v>
      </c>
      <c r="B850" s="1" t="str">
        <f>"CK20241030310"</f>
        <v>CK20241030310</v>
      </c>
      <c r="C850" s="1" t="str">
        <f>"DD2024103036385"</f>
        <v>DD2024103036385</v>
      </c>
      <c r="D850" s="1" t="str">
        <f>"CK2024103035612"</f>
        <v>CK2024103035612</v>
      </c>
      <c r="E850" s="1" t="str">
        <f>"3723651358579624960"</f>
        <v>3723651358579624960</v>
      </c>
      <c r="F850" s="1" t="str">
        <f t="shared" si="269"/>
        <v>花都四部-凤凰仓</v>
      </c>
      <c r="G850" s="1" t="str">
        <f t="shared" si="265"/>
        <v>卡卡杜企业店（视频号）</v>
      </c>
      <c r="H850" s="1" t="str">
        <f t="shared" si="270"/>
        <v>正常订单</v>
      </c>
      <c r="I850" s="1" t="str">
        <f t="shared" si="271"/>
        <v>已发货</v>
      </c>
      <c r="J850" s="1" t="str">
        <f t="shared" si="277"/>
        <v>3</v>
      </c>
      <c r="K850" s="1">
        <v>2</v>
      </c>
      <c r="L850" s="1" t="s">
        <v>92</v>
      </c>
      <c r="M850" s="1" t="str">
        <f>"辽宁省 大连市 中山区 "</f>
        <v xml:space="preserve">辽宁省 大连市 中山区 </v>
      </c>
      <c r="N850" s="1" t="str">
        <f t="shared" si="263"/>
        <v>凡华云仓-城南圆通-微信视频号</v>
      </c>
      <c r="O850" s="5" t="s">
        <v>889</v>
      </c>
      <c r="P850" s="6">
        <v>0.25</v>
      </c>
      <c r="Q850" s="11">
        <v>2</v>
      </c>
      <c r="R850" s="11"/>
      <c r="S850" s="11"/>
      <c r="T850" s="11"/>
      <c r="U850" s="11">
        <f t="shared" si="272"/>
        <v>2</v>
      </c>
      <c r="W850">
        <v>2.2000000000000002</v>
      </c>
      <c r="X850" s="1" t="s">
        <v>92</v>
      </c>
    </row>
    <row r="851" spans="1:24" x14ac:dyDescent="0.25">
      <c r="A851" s="1" t="str">
        <f t="shared" si="268"/>
        <v>卡卡杜-凤凰仓</v>
      </c>
      <c r="B851" s="1" t="str">
        <f>"CK20241030313"</f>
        <v>CK20241030313</v>
      </c>
      <c r="C851" s="1" t="str">
        <f>"DD2024103036388"</f>
        <v>DD2024103036388</v>
      </c>
      <c r="D851" s="1" t="str">
        <f>"CK2024103035611"</f>
        <v>CK2024103035611</v>
      </c>
      <c r="E851" s="1" t="str">
        <f>"3723651356057013249"</f>
        <v>3723651356057013249</v>
      </c>
      <c r="F851" s="1" t="str">
        <f t="shared" si="269"/>
        <v>花都四部-凤凰仓</v>
      </c>
      <c r="G851" s="1" t="str">
        <f t="shared" si="265"/>
        <v>卡卡杜企业店（视频号）</v>
      </c>
      <c r="H851" s="1" t="str">
        <f t="shared" si="270"/>
        <v>正常订单</v>
      </c>
      <c r="I851" s="1" t="str">
        <f t="shared" si="271"/>
        <v>已发货</v>
      </c>
      <c r="J851" s="1" t="str">
        <f t="shared" si="276"/>
        <v>1</v>
      </c>
      <c r="K851" s="1">
        <v>1</v>
      </c>
      <c r="L851" s="1" t="s">
        <v>96</v>
      </c>
      <c r="M851" s="1" t="str">
        <f>"广西壮族自治区 南宁市 青秀区 "</f>
        <v xml:space="preserve">广西壮族自治区 南宁市 青秀区 </v>
      </c>
      <c r="N851" s="1" t="str">
        <f t="shared" si="263"/>
        <v>凡华云仓-城南圆通-微信视频号</v>
      </c>
      <c r="O851" s="5" t="s">
        <v>890</v>
      </c>
      <c r="P851" s="6">
        <v>0.12</v>
      </c>
      <c r="Q851" s="11">
        <v>2</v>
      </c>
      <c r="R851" s="11"/>
      <c r="S851" s="11"/>
      <c r="T851" s="11"/>
      <c r="U851" s="11">
        <f t="shared" si="272"/>
        <v>2</v>
      </c>
      <c r="W851">
        <v>2.2000000000000002</v>
      </c>
      <c r="X851" s="1" t="s">
        <v>96</v>
      </c>
    </row>
    <row r="852" spans="1:24" x14ac:dyDescent="0.25">
      <c r="A852" s="1" t="str">
        <f t="shared" si="268"/>
        <v>卡卡杜-凤凰仓</v>
      </c>
      <c r="B852" s="1" t="str">
        <f>"CK20241030319"</f>
        <v>CK20241030319</v>
      </c>
      <c r="C852" s="1" t="str">
        <f>"DD2024103036395"</f>
        <v>DD2024103036395</v>
      </c>
      <c r="D852" s="1" t="str">
        <f>"CK2024103035610"</f>
        <v>CK2024103035610</v>
      </c>
      <c r="E852" s="1" t="str">
        <f>"3723651353000676352"</f>
        <v>3723651353000676352</v>
      </c>
      <c r="F852" s="1" t="str">
        <f t="shared" si="269"/>
        <v>花都四部-凤凰仓</v>
      </c>
      <c r="G852" s="1" t="str">
        <f t="shared" si="265"/>
        <v>卡卡杜企业店（视频号）</v>
      </c>
      <c r="H852" s="1" t="str">
        <f t="shared" si="270"/>
        <v>正常订单</v>
      </c>
      <c r="I852" s="1" t="str">
        <f t="shared" si="271"/>
        <v>已发货</v>
      </c>
      <c r="J852" s="1" t="str">
        <f t="shared" si="276"/>
        <v>1</v>
      </c>
      <c r="K852" s="1">
        <v>1</v>
      </c>
      <c r="L852" s="1" t="s">
        <v>105</v>
      </c>
      <c r="M852" s="1" t="str">
        <f>"北京 北京市 昌平区 "</f>
        <v xml:space="preserve">北京 北京市 昌平区 </v>
      </c>
      <c r="N852" s="1" t="str">
        <f t="shared" si="263"/>
        <v>凡华云仓-城南圆通-微信视频号</v>
      </c>
      <c r="O852" s="5" t="s">
        <v>891</v>
      </c>
      <c r="P852" s="6">
        <v>0.12</v>
      </c>
      <c r="Q852" s="11">
        <v>2</v>
      </c>
      <c r="R852" s="11"/>
      <c r="S852" s="11"/>
      <c r="T852" s="11"/>
      <c r="U852" s="11">
        <f t="shared" si="272"/>
        <v>2</v>
      </c>
      <c r="W852">
        <v>2.2000000000000002</v>
      </c>
      <c r="X852" s="1" t="s">
        <v>105</v>
      </c>
    </row>
    <row r="853" spans="1:24" x14ac:dyDescent="0.25">
      <c r="A853" s="1" t="str">
        <f t="shared" si="268"/>
        <v>卡卡杜-凤凰仓</v>
      </c>
      <c r="B853" s="1" t="str">
        <f>"CK20241030312"</f>
        <v>CK20241030312</v>
      </c>
      <c r="C853" s="1" t="str">
        <f>"DD2024103036386"</f>
        <v>DD2024103036386</v>
      </c>
      <c r="D853" s="1" t="str">
        <f>"CK2024103035609"</f>
        <v>CK2024103035609</v>
      </c>
      <c r="E853" s="1" t="str">
        <f>"3723651355942980608"</f>
        <v>3723651355942980608</v>
      </c>
      <c r="F853" s="1" t="str">
        <f t="shared" si="269"/>
        <v>花都四部-凤凰仓</v>
      </c>
      <c r="G853" s="1" t="str">
        <f t="shared" si="265"/>
        <v>卡卡杜企业店（视频号）</v>
      </c>
      <c r="H853" s="1" t="str">
        <f t="shared" si="270"/>
        <v>正常订单</v>
      </c>
      <c r="I853" s="1" t="str">
        <f t="shared" si="271"/>
        <v>已发货</v>
      </c>
      <c r="J853" s="1" t="str">
        <f t="shared" si="276"/>
        <v>1</v>
      </c>
      <c r="K853" s="1">
        <v>1</v>
      </c>
      <c r="L853" s="1" t="s">
        <v>18</v>
      </c>
      <c r="M853" s="1" t="str">
        <f>"广东省 珠海市 香洲区 "</f>
        <v xml:space="preserve">广东省 珠海市 香洲区 </v>
      </c>
      <c r="N853" s="1" t="str">
        <f t="shared" si="263"/>
        <v>凡华云仓-城南圆通-微信视频号</v>
      </c>
      <c r="O853" s="5" t="s">
        <v>892</v>
      </c>
      <c r="P853" s="6">
        <v>0.12</v>
      </c>
      <c r="Q853" s="11">
        <v>2</v>
      </c>
      <c r="R853" s="11"/>
      <c r="S853" s="11"/>
      <c r="T853" s="11"/>
      <c r="U853" s="11">
        <f t="shared" si="272"/>
        <v>2</v>
      </c>
      <c r="W853">
        <v>2.2000000000000002</v>
      </c>
      <c r="X853" s="1" t="s">
        <v>18</v>
      </c>
    </row>
    <row r="854" spans="1:24" x14ac:dyDescent="0.25">
      <c r="A854" s="1" t="str">
        <f t="shared" si="268"/>
        <v>卡卡杜-凤凰仓</v>
      </c>
      <c r="B854" s="1" t="str">
        <f>"CK20241030311"</f>
        <v>CK20241030311</v>
      </c>
      <c r="C854" s="1" t="str">
        <f>"DD2024103036387"</f>
        <v>DD2024103036387</v>
      </c>
      <c r="D854" s="1" t="str">
        <f>"CK2024103035608"</f>
        <v>CK2024103035608</v>
      </c>
      <c r="E854" s="1" t="str">
        <f>"3723651356713682176"</f>
        <v>3723651356713682176</v>
      </c>
      <c r="F854" s="1" t="str">
        <f t="shared" si="269"/>
        <v>花都四部-凤凰仓</v>
      </c>
      <c r="G854" s="1" t="str">
        <f t="shared" si="265"/>
        <v>卡卡杜企业店（视频号）</v>
      </c>
      <c r="H854" s="1" t="str">
        <f t="shared" si="270"/>
        <v>正常订单</v>
      </c>
      <c r="I854" s="1" t="str">
        <f t="shared" si="271"/>
        <v>已发货</v>
      </c>
      <c r="J854" s="1" t="str">
        <f t="shared" si="277"/>
        <v>3</v>
      </c>
      <c r="K854" s="1">
        <v>2</v>
      </c>
      <c r="L854" s="1" t="s">
        <v>105</v>
      </c>
      <c r="M854" s="1" t="str">
        <f>"北京 北京市 海淀区 "</f>
        <v xml:space="preserve">北京 北京市 海淀区 </v>
      </c>
      <c r="N854" s="1" t="str">
        <f t="shared" si="263"/>
        <v>凡华云仓-城南圆通-微信视频号</v>
      </c>
      <c r="O854" s="5" t="s">
        <v>893</v>
      </c>
      <c r="P854" s="6">
        <v>0.25</v>
      </c>
      <c r="Q854" s="11">
        <v>2</v>
      </c>
      <c r="R854" s="11"/>
      <c r="S854" s="11"/>
      <c r="T854" s="11"/>
      <c r="U854" s="11">
        <f t="shared" si="272"/>
        <v>2</v>
      </c>
      <c r="W854">
        <v>2.2000000000000002</v>
      </c>
      <c r="X854" s="1" t="s">
        <v>105</v>
      </c>
    </row>
    <row r="855" spans="1:24" x14ac:dyDescent="0.25">
      <c r="A855" s="1" t="str">
        <f t="shared" si="268"/>
        <v>卡卡杜-凤凰仓</v>
      </c>
      <c r="B855" s="1" t="str">
        <f>"CK20241030314"</f>
        <v>CK20241030314</v>
      </c>
      <c r="C855" s="1" t="str">
        <f>"DD2024103036389"</f>
        <v>DD2024103036389</v>
      </c>
      <c r="D855" s="1" t="str">
        <f>"CK2024103035607"</f>
        <v>CK2024103035607</v>
      </c>
      <c r="E855" s="1" t="str">
        <f>"3723651356466484225"</f>
        <v>3723651356466484225</v>
      </c>
      <c r="F855" s="1" t="str">
        <f t="shared" si="269"/>
        <v>花都四部-凤凰仓</v>
      </c>
      <c r="G855" s="1" t="str">
        <f t="shared" si="265"/>
        <v>卡卡杜企业店（视频号）</v>
      </c>
      <c r="H855" s="1" t="str">
        <f t="shared" si="270"/>
        <v>正常订单</v>
      </c>
      <c r="I855" s="1" t="str">
        <f t="shared" si="271"/>
        <v>已发货</v>
      </c>
      <c r="J855" s="1" t="str">
        <f t="shared" si="277"/>
        <v>3</v>
      </c>
      <c r="K855" s="1">
        <v>2</v>
      </c>
      <c r="L855" s="1" t="s">
        <v>218</v>
      </c>
      <c r="M855" s="1" t="str">
        <f>"天津 天津市 蓟州区 "</f>
        <v xml:space="preserve">天津 天津市 蓟州区 </v>
      </c>
      <c r="N855" s="1" t="str">
        <f t="shared" si="263"/>
        <v>凡华云仓-城南圆通-微信视频号</v>
      </c>
      <c r="O855" s="5" t="s">
        <v>894</v>
      </c>
      <c r="P855" s="6">
        <v>0.25</v>
      </c>
      <c r="Q855" s="11">
        <v>2</v>
      </c>
      <c r="R855" s="11"/>
      <c r="S855" s="11"/>
      <c r="T855" s="11"/>
      <c r="U855" s="11">
        <f t="shared" si="272"/>
        <v>2</v>
      </c>
      <c r="W855">
        <v>2.2000000000000002</v>
      </c>
      <c r="X855" s="1" t="s">
        <v>218</v>
      </c>
    </row>
    <row r="856" spans="1:24" x14ac:dyDescent="0.25">
      <c r="A856" s="1" t="str">
        <f t="shared" si="268"/>
        <v>卡卡杜-凤凰仓</v>
      </c>
      <c r="B856" s="1" t="str">
        <f>"CK20241030315"</f>
        <v>CK20241030315</v>
      </c>
      <c r="C856" s="1" t="str">
        <f>"DD2024103036390"</f>
        <v>DD2024103036390</v>
      </c>
      <c r="D856" s="1" t="str">
        <f>"CK2024103035606"</f>
        <v>CK2024103035606</v>
      </c>
      <c r="E856" s="1" t="str">
        <f>"3723651355351584768"</f>
        <v>3723651355351584768</v>
      </c>
      <c r="F856" s="1" t="str">
        <f t="shared" si="269"/>
        <v>花都四部-凤凰仓</v>
      </c>
      <c r="G856" s="1" t="str">
        <f t="shared" si="265"/>
        <v>卡卡杜企业店（视频号）</v>
      </c>
      <c r="H856" s="1" t="str">
        <f t="shared" si="270"/>
        <v>正常订单</v>
      </c>
      <c r="I856" s="1" t="str">
        <f t="shared" si="271"/>
        <v>已发货</v>
      </c>
      <c r="J856" s="1" t="str">
        <f t="shared" si="277"/>
        <v>3</v>
      </c>
      <c r="K856" s="1">
        <v>2</v>
      </c>
      <c r="L856" s="1" t="s">
        <v>60</v>
      </c>
      <c r="M856" s="1" t="str">
        <f>"云南省 玉溪市 江川区 "</f>
        <v xml:space="preserve">云南省 玉溪市 江川区 </v>
      </c>
      <c r="N856" s="1" t="str">
        <f t="shared" si="263"/>
        <v>凡华云仓-城南圆通-微信视频号</v>
      </c>
      <c r="O856" s="5" t="s">
        <v>895</v>
      </c>
      <c r="P856" s="6">
        <v>0.25</v>
      </c>
      <c r="Q856" s="11">
        <v>2</v>
      </c>
      <c r="R856" s="11"/>
      <c r="S856" s="11"/>
      <c r="T856" s="11"/>
      <c r="U856" s="11">
        <f t="shared" si="272"/>
        <v>2</v>
      </c>
      <c r="W856">
        <v>2.2000000000000002</v>
      </c>
      <c r="X856" s="1" t="s">
        <v>60</v>
      </c>
    </row>
    <row r="857" spans="1:24" x14ac:dyDescent="0.25">
      <c r="A857" s="1" t="str">
        <f t="shared" si="268"/>
        <v>卡卡杜-凤凰仓</v>
      </c>
      <c r="B857" s="1" t="str">
        <f>"CK20241030317"</f>
        <v>CK20241030317</v>
      </c>
      <c r="C857" s="1" t="str">
        <f>"DD2024103036392"</f>
        <v>DD2024103036392</v>
      </c>
      <c r="D857" s="1" t="str">
        <f>"CK2024103035605"</f>
        <v>CK2024103035605</v>
      </c>
      <c r="E857" s="1" t="str">
        <f>"3723651355222871041"</f>
        <v>3723651355222871041</v>
      </c>
      <c r="F857" s="1" t="str">
        <f t="shared" si="269"/>
        <v>花都四部-凤凰仓</v>
      </c>
      <c r="G857" s="1" t="str">
        <f t="shared" si="265"/>
        <v>卡卡杜企业店（视频号）</v>
      </c>
      <c r="H857" s="1" t="str">
        <f t="shared" si="270"/>
        <v>正常订单</v>
      </c>
      <c r="I857" s="1" t="str">
        <f t="shared" si="271"/>
        <v>已发货</v>
      </c>
      <c r="J857" s="1" t="str">
        <f t="shared" ref="J857:J864" si="278">"1"</f>
        <v>1</v>
      </c>
      <c r="K857" s="1">
        <v>1</v>
      </c>
      <c r="L857" s="1" t="s">
        <v>92</v>
      </c>
      <c r="M857" s="1" t="str">
        <f>"辽宁省 大连市 旅顺口区 "</f>
        <v xml:space="preserve">辽宁省 大连市 旅顺口区 </v>
      </c>
      <c r="N857" s="1" t="str">
        <f t="shared" si="263"/>
        <v>凡华云仓-城南圆通-微信视频号</v>
      </c>
      <c r="O857" s="5" t="s">
        <v>896</v>
      </c>
      <c r="P857" s="6">
        <v>0.12</v>
      </c>
      <c r="Q857" s="11">
        <v>2</v>
      </c>
      <c r="R857" s="11"/>
      <c r="S857" s="11"/>
      <c r="T857" s="11"/>
      <c r="U857" s="11">
        <f t="shared" si="272"/>
        <v>2</v>
      </c>
      <c r="W857">
        <v>2.2000000000000002</v>
      </c>
      <c r="X857" s="1" t="s">
        <v>92</v>
      </c>
    </row>
    <row r="858" spans="1:24" x14ac:dyDescent="0.25">
      <c r="A858" s="1" t="str">
        <f t="shared" si="268"/>
        <v>卡卡杜-凤凰仓</v>
      </c>
      <c r="B858" s="1" t="str">
        <f>"CK20241030316"</f>
        <v>CK20241030316</v>
      </c>
      <c r="C858" s="1" t="str">
        <f>"DD2024103036391"</f>
        <v>DD2024103036391</v>
      </c>
      <c r="D858" s="1" t="str">
        <f>"CK2024103035604"</f>
        <v>CK2024103035604</v>
      </c>
      <c r="E858" s="1" t="str">
        <f>"3723651354828083201"</f>
        <v>3723651354828083201</v>
      </c>
      <c r="F858" s="1" t="str">
        <f t="shared" si="269"/>
        <v>花都四部-凤凰仓</v>
      </c>
      <c r="G858" s="1" t="str">
        <f t="shared" si="265"/>
        <v>卡卡杜企业店（视频号）</v>
      </c>
      <c r="H858" s="1" t="str">
        <f t="shared" si="270"/>
        <v>正常订单</v>
      </c>
      <c r="I858" s="1" t="str">
        <f t="shared" si="271"/>
        <v>已发货</v>
      </c>
      <c r="J858" s="1" t="str">
        <f t="shared" ref="J858:J861" si="279">"3"</f>
        <v>3</v>
      </c>
      <c r="K858" s="1">
        <v>2</v>
      </c>
      <c r="L858" s="1" t="s">
        <v>20</v>
      </c>
      <c r="M858" s="1" t="str">
        <f>"浙江省 宁波市 鄞州区 "</f>
        <v xml:space="preserve">浙江省 宁波市 鄞州区 </v>
      </c>
      <c r="N858" s="1" t="str">
        <f t="shared" si="263"/>
        <v>凡华云仓-城南圆通-微信视频号</v>
      </c>
      <c r="O858" s="5" t="s">
        <v>897</v>
      </c>
      <c r="P858" s="6">
        <v>0.25</v>
      </c>
      <c r="Q858" s="11">
        <v>2</v>
      </c>
      <c r="R858" s="11"/>
      <c r="S858" s="11"/>
      <c r="T858" s="11"/>
      <c r="U858" s="11">
        <f t="shared" si="272"/>
        <v>2</v>
      </c>
      <c r="W858">
        <v>2.2000000000000002</v>
      </c>
      <c r="X858" s="1" t="s">
        <v>20</v>
      </c>
    </row>
    <row r="859" spans="1:24" x14ac:dyDescent="0.25">
      <c r="A859" s="1" t="str">
        <f t="shared" si="268"/>
        <v>卡卡杜-凤凰仓</v>
      </c>
      <c r="B859" s="1" t="str">
        <f>"CK20241030318"</f>
        <v>CK20241030318</v>
      </c>
      <c r="C859" s="1" t="str">
        <f>"DD2024103036393"</f>
        <v>DD2024103036393</v>
      </c>
      <c r="D859" s="1" t="str">
        <f>"CK2024103035603"</f>
        <v>CK2024103035603</v>
      </c>
      <c r="E859" s="1" t="str">
        <f>"3723651353187061760"</f>
        <v>3723651353187061760</v>
      </c>
      <c r="F859" s="1" t="str">
        <f t="shared" si="269"/>
        <v>花都四部-凤凰仓</v>
      </c>
      <c r="G859" s="1" t="str">
        <f t="shared" si="265"/>
        <v>卡卡杜企业店（视频号）</v>
      </c>
      <c r="H859" s="1" t="str">
        <f t="shared" si="270"/>
        <v>正常订单</v>
      </c>
      <c r="I859" s="1" t="str">
        <f t="shared" si="271"/>
        <v>已发货</v>
      </c>
      <c r="J859" s="1" t="str">
        <f t="shared" si="279"/>
        <v>3</v>
      </c>
      <c r="K859" s="1">
        <v>2</v>
      </c>
      <c r="L859" s="1" t="s">
        <v>47</v>
      </c>
      <c r="M859" s="1" t="str">
        <f>"重庆 重庆市 云阳县 "</f>
        <v xml:space="preserve">重庆 重庆市 云阳县 </v>
      </c>
      <c r="N859" s="1" t="str">
        <f t="shared" si="263"/>
        <v>凡华云仓-城南圆通-微信视频号</v>
      </c>
      <c r="O859" s="5" t="s">
        <v>898</v>
      </c>
      <c r="P859" s="6">
        <v>0.25</v>
      </c>
      <c r="Q859" s="11">
        <v>2</v>
      </c>
      <c r="R859" s="11"/>
      <c r="S859" s="11"/>
      <c r="T859" s="11"/>
      <c r="U859" s="11">
        <f t="shared" si="272"/>
        <v>2</v>
      </c>
      <c r="W859">
        <v>2.2000000000000002</v>
      </c>
      <c r="X859" s="1" t="s">
        <v>47</v>
      </c>
    </row>
    <row r="860" spans="1:24" x14ac:dyDescent="0.25">
      <c r="A860" s="1" t="str">
        <f t="shared" si="268"/>
        <v>卡卡杜-凤凰仓</v>
      </c>
      <c r="B860" s="1" t="str">
        <f>"CK20241030320"</f>
        <v>CK20241030320</v>
      </c>
      <c r="C860" s="1" t="str">
        <f>"DD2024103036394"</f>
        <v>DD2024103036394</v>
      </c>
      <c r="D860" s="1" t="str">
        <f>"CK2024103035602"</f>
        <v>CK2024103035602</v>
      </c>
      <c r="E860" s="1" t="str">
        <f>"3723651352278471681"</f>
        <v>3723651352278471681</v>
      </c>
      <c r="F860" s="1" t="str">
        <f t="shared" si="269"/>
        <v>花都四部-凤凰仓</v>
      </c>
      <c r="G860" s="1" t="str">
        <f t="shared" si="265"/>
        <v>卡卡杜企业店（视频号）</v>
      </c>
      <c r="H860" s="1" t="str">
        <f t="shared" si="270"/>
        <v>正常订单</v>
      </c>
      <c r="I860" s="1" t="str">
        <f t="shared" si="271"/>
        <v>已发货</v>
      </c>
      <c r="J860" s="1" t="str">
        <f t="shared" si="278"/>
        <v>1</v>
      </c>
      <c r="K860" s="1">
        <v>1</v>
      </c>
      <c r="L860" s="1" t="s">
        <v>18</v>
      </c>
      <c r="M860" s="1" t="str">
        <f>"广东省 河源市 源城区 "</f>
        <v xml:space="preserve">广东省 河源市 源城区 </v>
      </c>
      <c r="N860" s="1" t="str">
        <f t="shared" si="263"/>
        <v>凡华云仓-城南圆通-微信视频号</v>
      </c>
      <c r="O860" s="5" t="s">
        <v>899</v>
      </c>
      <c r="P860" s="6">
        <v>0.12</v>
      </c>
      <c r="Q860" s="11">
        <v>2</v>
      </c>
      <c r="R860" s="11"/>
      <c r="S860" s="11"/>
      <c r="T860" s="11"/>
      <c r="U860" s="11">
        <f t="shared" si="272"/>
        <v>2</v>
      </c>
      <c r="W860">
        <v>2.2000000000000002</v>
      </c>
      <c r="X860" s="1" t="s">
        <v>18</v>
      </c>
    </row>
    <row r="861" spans="1:24" x14ac:dyDescent="0.25">
      <c r="A861" s="1" t="str">
        <f t="shared" si="268"/>
        <v>卡卡杜-凤凰仓</v>
      </c>
      <c r="B861" s="1" t="str">
        <f>"CK20241030321"</f>
        <v>CK20241030321</v>
      </c>
      <c r="C861" s="1" t="str">
        <f>"DD2024103036396"</f>
        <v>DD2024103036396</v>
      </c>
      <c r="D861" s="1" t="str">
        <f>"CK2024103035601"</f>
        <v>CK2024103035601</v>
      </c>
      <c r="E861" s="1" t="str">
        <f>"3723651348083639808"</f>
        <v>3723651348083639808</v>
      </c>
      <c r="F861" s="1" t="str">
        <f t="shared" si="269"/>
        <v>花都四部-凤凰仓</v>
      </c>
      <c r="G861" s="1" t="str">
        <f t="shared" si="265"/>
        <v>卡卡杜企业店（视频号）</v>
      </c>
      <c r="H861" s="1" t="str">
        <f t="shared" si="270"/>
        <v>正常订单</v>
      </c>
      <c r="I861" s="1" t="str">
        <f t="shared" si="271"/>
        <v>已发货</v>
      </c>
      <c r="J861" s="1" t="str">
        <f t="shared" si="279"/>
        <v>3</v>
      </c>
      <c r="K861" s="1">
        <v>2</v>
      </c>
      <c r="L861" s="1" t="s">
        <v>74</v>
      </c>
      <c r="M861" s="1" t="str">
        <f>"上海 上海市 松江区 "</f>
        <v xml:space="preserve">上海 上海市 松江区 </v>
      </c>
      <c r="N861" s="1" t="str">
        <f t="shared" si="263"/>
        <v>凡华云仓-城南圆通-微信视频号</v>
      </c>
      <c r="O861" s="5" t="s">
        <v>900</v>
      </c>
      <c r="P861" s="6">
        <v>0.25</v>
      </c>
      <c r="Q861" s="11">
        <v>2</v>
      </c>
      <c r="R861" s="11"/>
      <c r="S861" s="11"/>
      <c r="T861" s="11"/>
      <c r="U861" s="11">
        <f t="shared" si="272"/>
        <v>2</v>
      </c>
      <c r="W861">
        <v>2.2000000000000002</v>
      </c>
      <c r="X861" s="1" t="s">
        <v>74</v>
      </c>
    </row>
    <row r="862" spans="1:24" x14ac:dyDescent="0.25">
      <c r="A862" s="1" t="str">
        <f t="shared" si="268"/>
        <v>卡卡杜-凤凰仓</v>
      </c>
      <c r="B862" s="1" t="str">
        <f>"CK20241030323"</f>
        <v>CK20241030323</v>
      </c>
      <c r="C862" s="1" t="str">
        <f>"DD2024103036398"</f>
        <v>DD2024103036398</v>
      </c>
      <c r="D862" s="1" t="str">
        <f>"CK2024103035600"</f>
        <v>CK2024103035600</v>
      </c>
      <c r="E862" s="1" t="str">
        <f>"3723651343177614592"</f>
        <v>3723651343177614592</v>
      </c>
      <c r="F862" s="1" t="str">
        <f t="shared" si="269"/>
        <v>花都四部-凤凰仓</v>
      </c>
      <c r="G862" s="1" t="str">
        <f t="shared" si="265"/>
        <v>卡卡杜企业店（视频号）</v>
      </c>
      <c r="H862" s="1" t="str">
        <f t="shared" si="270"/>
        <v>正常订单</v>
      </c>
      <c r="I862" s="1" t="str">
        <f t="shared" si="271"/>
        <v>已发货</v>
      </c>
      <c r="J862" s="1" t="str">
        <f t="shared" si="278"/>
        <v>1</v>
      </c>
      <c r="K862" s="1">
        <v>1</v>
      </c>
      <c r="L862" s="1" t="s">
        <v>13</v>
      </c>
      <c r="M862" s="1" t="str">
        <f>"江苏省 镇江市 丹阳市 "</f>
        <v xml:space="preserve">江苏省 镇江市 丹阳市 </v>
      </c>
      <c r="N862" s="1" t="str">
        <f t="shared" si="263"/>
        <v>凡华云仓-城南圆通-微信视频号</v>
      </c>
      <c r="O862" s="5" t="s">
        <v>901</v>
      </c>
      <c r="P862" s="6">
        <v>0.12</v>
      </c>
      <c r="Q862" s="11">
        <v>2</v>
      </c>
      <c r="R862" s="11"/>
      <c r="S862" s="11"/>
      <c r="T862" s="11"/>
      <c r="U862" s="11">
        <f t="shared" si="272"/>
        <v>2</v>
      </c>
      <c r="W862">
        <v>2.2000000000000002</v>
      </c>
      <c r="X862" s="1" t="s">
        <v>13</v>
      </c>
    </row>
    <row r="863" spans="1:24" x14ac:dyDescent="0.25">
      <c r="A863" s="1" t="str">
        <f t="shared" si="268"/>
        <v>卡卡杜-凤凰仓</v>
      </c>
      <c r="B863" s="1" t="str">
        <f>"CK20241030326"</f>
        <v>CK20241030326</v>
      </c>
      <c r="C863" s="1" t="str">
        <f>"DD2024103036401"</f>
        <v>DD2024103036401</v>
      </c>
      <c r="D863" s="1" t="str">
        <f>"CK2024103035599"</f>
        <v>CK2024103035599</v>
      </c>
      <c r="E863" s="1" t="str">
        <f>"3723651343276444672"</f>
        <v>3723651343276444672</v>
      </c>
      <c r="F863" s="1" t="str">
        <f t="shared" si="269"/>
        <v>花都四部-凤凰仓</v>
      </c>
      <c r="G863" s="1" t="str">
        <f t="shared" si="265"/>
        <v>卡卡杜企业店（视频号）</v>
      </c>
      <c r="H863" s="1" t="str">
        <f t="shared" si="270"/>
        <v>正常订单</v>
      </c>
      <c r="I863" s="1" t="str">
        <f t="shared" si="271"/>
        <v>已发货</v>
      </c>
      <c r="J863" s="1" t="str">
        <f t="shared" si="278"/>
        <v>1</v>
      </c>
      <c r="K863" s="1">
        <v>1</v>
      </c>
      <c r="L863" s="1" t="s">
        <v>18</v>
      </c>
      <c r="M863" s="1" t="str">
        <f>"广东省 佛山市 南海区 "</f>
        <v xml:space="preserve">广东省 佛山市 南海区 </v>
      </c>
      <c r="N863" s="1" t="str">
        <f t="shared" si="263"/>
        <v>凡华云仓-城南圆通-微信视频号</v>
      </c>
      <c r="O863" s="5" t="s">
        <v>902</v>
      </c>
      <c r="P863" s="6">
        <v>0.12</v>
      </c>
      <c r="Q863" s="11">
        <v>2</v>
      </c>
      <c r="R863" s="11"/>
      <c r="S863" s="11"/>
      <c r="T863" s="11"/>
      <c r="U863" s="11">
        <f t="shared" si="272"/>
        <v>2</v>
      </c>
      <c r="W863">
        <v>2.2000000000000002</v>
      </c>
      <c r="X863" s="1" t="s">
        <v>18</v>
      </c>
    </row>
    <row r="864" spans="1:24" x14ac:dyDescent="0.25">
      <c r="A864" s="1" t="str">
        <f t="shared" si="268"/>
        <v>卡卡杜-凤凰仓</v>
      </c>
      <c r="B864" s="1" t="str">
        <f>"CK20241030322"</f>
        <v>CK20241030322</v>
      </c>
      <c r="C864" s="1" t="str">
        <f>"DD2024103036397"</f>
        <v>DD2024103036397</v>
      </c>
      <c r="D864" s="1" t="str">
        <f>"CK2024103035598"</f>
        <v>CK2024103035598</v>
      </c>
      <c r="E864" s="1" t="str">
        <f>"3723651345500472832"</f>
        <v>3723651345500472832</v>
      </c>
      <c r="F864" s="1" t="str">
        <f t="shared" si="269"/>
        <v>花都四部-凤凰仓</v>
      </c>
      <c r="G864" s="1" t="str">
        <f t="shared" si="265"/>
        <v>卡卡杜企业店（视频号）</v>
      </c>
      <c r="H864" s="1" t="str">
        <f t="shared" si="270"/>
        <v>正常订单</v>
      </c>
      <c r="I864" s="1" t="str">
        <f t="shared" si="271"/>
        <v>已发货</v>
      </c>
      <c r="J864" s="1" t="str">
        <f t="shared" si="278"/>
        <v>1</v>
      </c>
      <c r="K864" s="1">
        <v>1</v>
      </c>
      <c r="L864" s="1" t="s">
        <v>32</v>
      </c>
      <c r="M864" s="1" t="str">
        <f>"陕西省 西安市 雁塔区 "</f>
        <v xml:space="preserve">陕西省 西安市 雁塔区 </v>
      </c>
      <c r="N864" s="1" t="str">
        <f t="shared" si="263"/>
        <v>凡华云仓-城南圆通-微信视频号</v>
      </c>
      <c r="O864" s="5" t="s">
        <v>903</v>
      </c>
      <c r="P864" s="6">
        <v>0.12</v>
      </c>
      <c r="Q864" s="11">
        <v>2</v>
      </c>
      <c r="R864" s="11"/>
      <c r="S864" s="11"/>
      <c r="T864" s="11"/>
      <c r="U864" s="11">
        <f t="shared" si="272"/>
        <v>2</v>
      </c>
      <c r="W864">
        <v>2.2000000000000002</v>
      </c>
      <c r="X864" s="1" t="s">
        <v>32</v>
      </c>
    </row>
    <row r="865" spans="1:24" x14ac:dyDescent="0.25">
      <c r="A865" s="1" t="str">
        <f t="shared" si="268"/>
        <v>卡卡杜-凤凰仓</v>
      </c>
      <c r="B865" s="1" t="str">
        <f>"CK20241030324"</f>
        <v>CK20241030324</v>
      </c>
      <c r="C865" s="1" t="str">
        <f>"DD2024103036399"</f>
        <v>DD2024103036399</v>
      </c>
      <c r="D865" s="1" t="str">
        <f>"CK2024103035597"</f>
        <v>CK2024103035597</v>
      </c>
      <c r="E865" s="1" t="str">
        <f>"3723651339101015040"</f>
        <v>3723651339101015040</v>
      </c>
      <c r="F865" s="1" t="str">
        <f t="shared" si="269"/>
        <v>花都四部-凤凰仓</v>
      </c>
      <c r="G865" s="1" t="str">
        <f t="shared" si="265"/>
        <v>卡卡杜企业店（视频号）</v>
      </c>
      <c r="H865" s="1" t="str">
        <f t="shared" si="270"/>
        <v>正常订单</v>
      </c>
      <c r="I865" s="1" t="str">
        <f t="shared" si="271"/>
        <v>已发货</v>
      </c>
      <c r="J865" s="1" t="str">
        <f t="shared" ref="J865:J868" si="280">"3"</f>
        <v>3</v>
      </c>
      <c r="K865" s="1">
        <v>2</v>
      </c>
      <c r="L865" s="1" t="s">
        <v>41</v>
      </c>
      <c r="M865" s="1" t="str">
        <f>"湖北省 武汉市 江岸区 "</f>
        <v xml:space="preserve">湖北省 武汉市 江岸区 </v>
      </c>
      <c r="N865" s="1" t="str">
        <f t="shared" si="263"/>
        <v>凡华云仓-城南圆通-微信视频号</v>
      </c>
      <c r="O865" s="5" t="s">
        <v>904</v>
      </c>
      <c r="P865" s="6">
        <v>0.25</v>
      </c>
      <c r="Q865" s="11">
        <v>2</v>
      </c>
      <c r="R865" s="11"/>
      <c r="S865" s="11"/>
      <c r="T865" s="11"/>
      <c r="U865" s="11">
        <f t="shared" si="272"/>
        <v>2</v>
      </c>
      <c r="W865">
        <v>2.2000000000000002</v>
      </c>
      <c r="X865" s="1" t="s">
        <v>41</v>
      </c>
    </row>
    <row r="866" spans="1:24" x14ac:dyDescent="0.25">
      <c r="A866" s="1" t="str">
        <f t="shared" si="268"/>
        <v>卡卡杜-凤凰仓</v>
      </c>
      <c r="B866" s="1" t="str">
        <f>"CK20241030325"</f>
        <v>CK20241030325</v>
      </c>
      <c r="C866" s="1" t="str">
        <f>"DD2024103036400"</f>
        <v>DD2024103036400</v>
      </c>
      <c r="D866" s="1" t="str">
        <f>"CK2024103035596"</f>
        <v>CK2024103035596</v>
      </c>
      <c r="E866" s="1" t="str">
        <f>"3723651343763248128"</f>
        <v>3723651343763248128</v>
      </c>
      <c r="F866" s="1" t="str">
        <f t="shared" si="269"/>
        <v>花都四部-凤凰仓</v>
      </c>
      <c r="G866" s="1" t="str">
        <f t="shared" si="265"/>
        <v>卡卡杜企业店（视频号）</v>
      </c>
      <c r="H866" s="1" t="str">
        <f t="shared" si="270"/>
        <v>正常订单</v>
      </c>
      <c r="I866" s="1" t="str">
        <f t="shared" si="271"/>
        <v>已发货</v>
      </c>
      <c r="J866" s="1" t="str">
        <f t="shared" ref="J866:J871" si="281">"1"</f>
        <v>1</v>
      </c>
      <c r="K866" s="1">
        <v>1</v>
      </c>
      <c r="L866" s="1" t="s">
        <v>94</v>
      </c>
      <c r="M866" s="1" t="str">
        <f>"湖南省 长沙市 芙蓉区 "</f>
        <v xml:space="preserve">湖南省 长沙市 芙蓉区 </v>
      </c>
      <c r="N866" s="1" t="str">
        <f t="shared" si="263"/>
        <v>凡华云仓-城南圆通-微信视频号</v>
      </c>
      <c r="O866" s="5" t="s">
        <v>905</v>
      </c>
      <c r="P866" s="6">
        <v>0.12</v>
      </c>
      <c r="Q866" s="11">
        <v>2</v>
      </c>
      <c r="R866" s="11"/>
      <c r="S866" s="11"/>
      <c r="T866" s="11"/>
      <c r="U866" s="11">
        <f t="shared" si="272"/>
        <v>2</v>
      </c>
      <c r="W866">
        <v>2.2000000000000002</v>
      </c>
      <c r="X866" s="1" t="s">
        <v>94</v>
      </c>
    </row>
    <row r="867" spans="1:24" x14ac:dyDescent="0.25">
      <c r="A867" s="1" t="str">
        <f t="shared" si="268"/>
        <v>卡卡杜-凤凰仓</v>
      </c>
      <c r="B867" s="1" t="str">
        <f>"CK20241030327"</f>
        <v>CK20241030327</v>
      </c>
      <c r="C867" s="1" t="str">
        <f>"DD2024103036402"</f>
        <v>DD2024103036402</v>
      </c>
      <c r="D867" s="1" t="str">
        <f>"CK2024103035595"</f>
        <v>CK2024103035595</v>
      </c>
      <c r="E867" s="1" t="str">
        <f>"3723651342842074112"</f>
        <v>3723651342842074112</v>
      </c>
      <c r="F867" s="1" t="str">
        <f t="shared" si="269"/>
        <v>花都四部-凤凰仓</v>
      </c>
      <c r="G867" s="1" t="str">
        <f t="shared" si="265"/>
        <v>卡卡杜企业店（视频号）</v>
      </c>
      <c r="H867" s="1" t="str">
        <f t="shared" si="270"/>
        <v>正常订单</v>
      </c>
      <c r="I867" s="1" t="str">
        <f t="shared" si="271"/>
        <v>已发货</v>
      </c>
      <c r="J867" s="1" t="str">
        <f t="shared" si="280"/>
        <v>3</v>
      </c>
      <c r="K867" s="1">
        <v>2</v>
      </c>
      <c r="L867" s="1" t="s">
        <v>20</v>
      </c>
      <c r="M867" s="1" t="str">
        <f>"浙江省 嘉兴市 南湖区 "</f>
        <v xml:space="preserve">浙江省 嘉兴市 南湖区 </v>
      </c>
      <c r="N867" s="1" t="str">
        <f t="shared" si="263"/>
        <v>凡华云仓-城南圆通-微信视频号</v>
      </c>
      <c r="O867" s="5" t="s">
        <v>906</v>
      </c>
      <c r="P867" s="6">
        <v>0.25</v>
      </c>
      <c r="Q867" s="11">
        <v>2</v>
      </c>
      <c r="R867" s="11"/>
      <c r="S867" s="11"/>
      <c r="T867" s="11"/>
      <c r="U867" s="11">
        <f t="shared" si="272"/>
        <v>2</v>
      </c>
      <c r="W867">
        <v>2.2000000000000002</v>
      </c>
      <c r="X867" s="1" t="s">
        <v>20</v>
      </c>
    </row>
    <row r="868" spans="1:24" x14ac:dyDescent="0.25">
      <c r="A868" s="1" t="str">
        <f t="shared" si="268"/>
        <v>卡卡杜-凤凰仓</v>
      </c>
      <c r="B868" s="1" t="str">
        <f>"CK20241030329"</f>
        <v>CK20241030329</v>
      </c>
      <c r="C868" s="1" t="str">
        <f>"DD2024103036403"</f>
        <v>DD2024103036403</v>
      </c>
      <c r="D868" s="1" t="str">
        <f>"CK2024103035594"</f>
        <v>CK2024103035594</v>
      </c>
      <c r="E868" s="1" t="str">
        <f>"3723651339552166913"</f>
        <v>3723651339552166913</v>
      </c>
      <c r="F868" s="1" t="str">
        <f t="shared" si="269"/>
        <v>花都四部-凤凰仓</v>
      </c>
      <c r="G868" s="1" t="str">
        <f t="shared" si="265"/>
        <v>卡卡杜企业店（视频号）</v>
      </c>
      <c r="H868" s="1" t="str">
        <f t="shared" si="270"/>
        <v>正常订单</v>
      </c>
      <c r="I868" s="1" t="str">
        <f t="shared" si="271"/>
        <v>已发货</v>
      </c>
      <c r="J868" s="1" t="str">
        <f t="shared" si="280"/>
        <v>3</v>
      </c>
      <c r="K868" s="1">
        <v>2</v>
      </c>
      <c r="L868" s="1" t="s">
        <v>92</v>
      </c>
      <c r="M868" s="1" t="str">
        <f>"辽宁省 沈阳市 沈河区 "</f>
        <v xml:space="preserve">辽宁省 沈阳市 沈河区 </v>
      </c>
      <c r="N868" s="1" t="str">
        <f t="shared" si="263"/>
        <v>凡华云仓-城南圆通-微信视频号</v>
      </c>
      <c r="O868" s="5" t="s">
        <v>907</v>
      </c>
      <c r="P868" s="6">
        <v>0.25</v>
      </c>
      <c r="Q868" s="11">
        <v>2</v>
      </c>
      <c r="R868" s="11"/>
      <c r="S868" s="11"/>
      <c r="T868" s="11"/>
      <c r="U868" s="11">
        <f t="shared" si="272"/>
        <v>2</v>
      </c>
      <c r="W868">
        <v>2.2000000000000002</v>
      </c>
      <c r="X868" s="1" t="s">
        <v>92</v>
      </c>
    </row>
    <row r="869" spans="1:24" x14ac:dyDescent="0.25">
      <c r="A869" s="1" t="str">
        <f t="shared" si="268"/>
        <v>卡卡杜-凤凰仓</v>
      </c>
      <c r="B869" s="1" t="str">
        <f>"CK20241030330"</f>
        <v>CK20241030330</v>
      </c>
      <c r="C869" s="1" t="str">
        <f>"DD2024103036404"</f>
        <v>DD2024103036404</v>
      </c>
      <c r="D869" s="1" t="str">
        <f>"CK2024103035593"</f>
        <v>CK2024103035593</v>
      </c>
      <c r="E869" s="1" t="str">
        <f>"3723651337502986241"</f>
        <v>3723651337502986241</v>
      </c>
      <c r="F869" s="1" t="str">
        <f t="shared" si="269"/>
        <v>花都四部-凤凰仓</v>
      </c>
      <c r="G869" s="1" t="str">
        <f t="shared" si="265"/>
        <v>卡卡杜企业店（视频号）</v>
      </c>
      <c r="H869" s="1" t="str">
        <f t="shared" si="270"/>
        <v>正常订单</v>
      </c>
      <c r="I869" s="1" t="str">
        <f t="shared" si="271"/>
        <v>已发货</v>
      </c>
      <c r="J869" s="1" t="str">
        <f t="shared" si="281"/>
        <v>1</v>
      </c>
      <c r="K869" s="1">
        <v>1</v>
      </c>
      <c r="L869" s="1" t="s">
        <v>13</v>
      </c>
      <c r="M869" s="1" t="str">
        <f>"江苏省 南京市 浦口区 "</f>
        <v xml:space="preserve">江苏省 南京市 浦口区 </v>
      </c>
      <c r="N869" s="1" t="str">
        <f t="shared" si="263"/>
        <v>凡华云仓-城南圆通-微信视频号</v>
      </c>
      <c r="O869" s="5" t="s">
        <v>908</v>
      </c>
      <c r="P869" s="6">
        <v>0.12</v>
      </c>
      <c r="Q869" s="11">
        <v>2</v>
      </c>
      <c r="R869" s="11"/>
      <c r="S869" s="11"/>
      <c r="T869" s="11"/>
      <c r="U869" s="11">
        <f t="shared" si="272"/>
        <v>2</v>
      </c>
      <c r="W869">
        <v>2.2000000000000002</v>
      </c>
      <c r="X869" s="1" t="s">
        <v>13</v>
      </c>
    </row>
    <row r="870" spans="1:24" x14ac:dyDescent="0.25">
      <c r="A870" s="1" t="str">
        <f t="shared" si="268"/>
        <v>卡卡杜-凤凰仓</v>
      </c>
      <c r="B870" s="1" t="str">
        <f>"CK20241030328"</f>
        <v>CK20241030328</v>
      </c>
      <c r="C870" s="1" t="str">
        <f>"DD2024103036438"</f>
        <v>DD2024103036438</v>
      </c>
      <c r="D870" s="1" t="str">
        <f>"CK2024103035592"</f>
        <v>CK2024103035592</v>
      </c>
      <c r="E870" s="1" t="str">
        <f>"3723651342054331392"</f>
        <v>3723651342054331392</v>
      </c>
      <c r="F870" s="1" t="str">
        <f t="shared" si="269"/>
        <v>花都四部-凤凰仓</v>
      </c>
      <c r="G870" s="1" t="str">
        <f t="shared" si="265"/>
        <v>卡卡杜企业店（视频号）</v>
      </c>
      <c r="H870" s="1" t="str">
        <f t="shared" si="270"/>
        <v>正常订单</v>
      </c>
      <c r="I870" s="1" t="str">
        <f t="shared" si="271"/>
        <v>已发货</v>
      </c>
      <c r="J870" s="1" t="str">
        <f t="shared" ref="J870:J875" si="282">"3"</f>
        <v>3</v>
      </c>
      <c r="K870" s="1">
        <v>2</v>
      </c>
      <c r="L870" s="1" t="s">
        <v>92</v>
      </c>
      <c r="M870" s="1" t="str">
        <f>"辽宁省 铁岭市 银州区 "</f>
        <v xml:space="preserve">辽宁省 铁岭市 银州区 </v>
      </c>
      <c r="N870" s="1" t="str">
        <f t="shared" si="263"/>
        <v>凡华云仓-城南圆通-微信视频号</v>
      </c>
      <c r="O870" s="5" t="s">
        <v>909</v>
      </c>
      <c r="P870" s="6">
        <v>0.25</v>
      </c>
      <c r="Q870" s="11">
        <v>2</v>
      </c>
      <c r="R870" s="11"/>
      <c r="S870" s="11"/>
      <c r="T870" s="11"/>
      <c r="U870" s="11">
        <f t="shared" si="272"/>
        <v>2</v>
      </c>
      <c r="W870">
        <v>2.2000000000000002</v>
      </c>
      <c r="X870" s="1" t="s">
        <v>92</v>
      </c>
    </row>
    <row r="871" spans="1:24" x14ac:dyDescent="0.25">
      <c r="A871" s="1" t="str">
        <f t="shared" si="268"/>
        <v>卡卡杜-凤凰仓</v>
      </c>
      <c r="B871" s="1" t="str">
        <f>"CK20241030331"</f>
        <v>CK20241030331</v>
      </c>
      <c r="C871" s="1" t="str">
        <f>"DD2024103036406"</f>
        <v>DD2024103036406</v>
      </c>
      <c r="D871" s="1" t="str">
        <f>"CK2024103035591"</f>
        <v>CK2024103035591</v>
      </c>
      <c r="E871" s="1" t="str">
        <f>"3723651338923279616"</f>
        <v>3723651338923279616</v>
      </c>
      <c r="F871" s="1" t="str">
        <f t="shared" si="269"/>
        <v>花都四部-凤凰仓</v>
      </c>
      <c r="G871" s="1" t="str">
        <f t="shared" si="265"/>
        <v>卡卡杜企业店（视频号）</v>
      </c>
      <c r="H871" s="1" t="str">
        <f t="shared" si="270"/>
        <v>正常订单</v>
      </c>
      <c r="I871" s="1" t="str">
        <f t="shared" si="271"/>
        <v>已发货</v>
      </c>
      <c r="J871" s="1" t="str">
        <f t="shared" si="281"/>
        <v>1</v>
      </c>
      <c r="K871" s="1">
        <v>1</v>
      </c>
      <c r="L871" s="1" t="s">
        <v>30</v>
      </c>
      <c r="M871" s="1" t="str">
        <f>"山东省 东营市 东营区 "</f>
        <v xml:space="preserve">山东省 东营市 东营区 </v>
      </c>
      <c r="N871" s="1" t="str">
        <f t="shared" si="263"/>
        <v>凡华云仓-城南圆通-微信视频号</v>
      </c>
      <c r="O871" s="5" t="s">
        <v>910</v>
      </c>
      <c r="P871" s="6">
        <v>0.12</v>
      </c>
      <c r="Q871" s="11">
        <v>2</v>
      </c>
      <c r="R871" s="11"/>
      <c r="S871" s="11"/>
      <c r="T871" s="11"/>
      <c r="U871" s="11">
        <f t="shared" si="272"/>
        <v>2</v>
      </c>
      <c r="W871">
        <v>2.2000000000000002</v>
      </c>
      <c r="X871" s="1" t="s">
        <v>30</v>
      </c>
    </row>
    <row r="872" spans="1:24" x14ac:dyDescent="0.25">
      <c r="A872" s="1" t="str">
        <f t="shared" si="268"/>
        <v>卡卡杜-凤凰仓</v>
      </c>
      <c r="B872" s="1" t="str">
        <f>"CK20241030332"</f>
        <v>CK20241030332</v>
      </c>
      <c r="C872" s="1" t="str">
        <f>"DD2024103036405"</f>
        <v>DD2024103036405</v>
      </c>
      <c r="D872" s="1" t="str">
        <f>"CK2024103035590"</f>
        <v>CK2024103035590</v>
      </c>
      <c r="E872" s="1" t="str">
        <f>"3723651331065516032"</f>
        <v>3723651331065516032</v>
      </c>
      <c r="F872" s="1" t="str">
        <f t="shared" si="269"/>
        <v>花都四部-凤凰仓</v>
      </c>
      <c r="G872" s="1" t="str">
        <f t="shared" si="265"/>
        <v>卡卡杜企业店（视频号）</v>
      </c>
      <c r="H872" s="1" t="str">
        <f t="shared" si="270"/>
        <v>正常订单</v>
      </c>
      <c r="I872" s="1" t="str">
        <f t="shared" si="271"/>
        <v>已发货</v>
      </c>
      <c r="J872" s="1" t="str">
        <f t="shared" si="282"/>
        <v>3</v>
      </c>
      <c r="K872" s="1">
        <v>2</v>
      </c>
      <c r="L872" s="1" t="s">
        <v>32</v>
      </c>
      <c r="M872" s="1" t="str">
        <f>"陕西省 咸阳市 秦都区 "</f>
        <v xml:space="preserve">陕西省 咸阳市 秦都区 </v>
      </c>
      <c r="N872" s="1" t="str">
        <f t="shared" si="263"/>
        <v>凡华云仓-城南圆通-微信视频号</v>
      </c>
      <c r="O872" s="5" t="s">
        <v>911</v>
      </c>
      <c r="P872" s="6">
        <v>0.25</v>
      </c>
      <c r="Q872" s="11">
        <v>2</v>
      </c>
      <c r="R872" s="11"/>
      <c r="S872" s="11"/>
      <c r="T872" s="11"/>
      <c r="U872" s="11">
        <f t="shared" si="272"/>
        <v>2</v>
      </c>
      <c r="W872">
        <v>2.2000000000000002</v>
      </c>
      <c r="X872" s="1" t="s">
        <v>32</v>
      </c>
    </row>
    <row r="873" spans="1:24" x14ac:dyDescent="0.25">
      <c r="A873" s="1" t="str">
        <f t="shared" si="268"/>
        <v>卡卡杜-凤凰仓</v>
      </c>
      <c r="B873" s="1" t="str">
        <f>"CK20241030333"</f>
        <v>CK20241030333</v>
      </c>
      <c r="C873" s="1" t="str">
        <f>"DD2024103036407"</f>
        <v>DD2024103036407</v>
      </c>
      <c r="D873" s="1" t="str">
        <f>"CK2024103035589"</f>
        <v>CK2024103035589</v>
      </c>
      <c r="E873" s="1" t="str">
        <f>"3723651325287339008"</f>
        <v>3723651325287339008</v>
      </c>
      <c r="F873" s="1" t="str">
        <f t="shared" si="269"/>
        <v>花都四部-凤凰仓</v>
      </c>
      <c r="G873" s="1" t="str">
        <f t="shared" si="265"/>
        <v>卡卡杜企业店（视频号）</v>
      </c>
      <c r="H873" s="1" t="str">
        <f t="shared" si="270"/>
        <v>正常订单</v>
      </c>
      <c r="I873" s="1" t="str">
        <f t="shared" si="271"/>
        <v>已发货</v>
      </c>
      <c r="J873" s="1" t="str">
        <f t="shared" si="282"/>
        <v>3</v>
      </c>
      <c r="K873" s="1">
        <v>2</v>
      </c>
      <c r="L873" s="1" t="s">
        <v>22</v>
      </c>
      <c r="M873" s="1" t="str">
        <f>"江西省 赣州市 于都县 "</f>
        <v xml:space="preserve">江西省 赣州市 于都县 </v>
      </c>
      <c r="N873" s="1" t="str">
        <f t="shared" si="263"/>
        <v>凡华云仓-城南圆通-微信视频号</v>
      </c>
      <c r="O873" s="5" t="s">
        <v>912</v>
      </c>
      <c r="P873" s="6">
        <v>0.25</v>
      </c>
      <c r="Q873" s="11">
        <v>2</v>
      </c>
      <c r="R873" s="11"/>
      <c r="S873" s="11"/>
      <c r="T873" s="11"/>
      <c r="U873" s="11">
        <f t="shared" si="272"/>
        <v>2</v>
      </c>
      <c r="W873">
        <v>2.2000000000000002</v>
      </c>
      <c r="X873" s="1" t="s">
        <v>22</v>
      </c>
    </row>
    <row r="874" spans="1:24" x14ac:dyDescent="0.25">
      <c r="A874" s="1" t="str">
        <f t="shared" si="268"/>
        <v>卡卡杜-凤凰仓</v>
      </c>
      <c r="B874" s="1" t="str">
        <f>"CK20241030334"</f>
        <v>CK20241030334</v>
      </c>
      <c r="C874" s="1" t="str">
        <f>"DD2024103036408"</f>
        <v>DD2024103036408</v>
      </c>
      <c r="D874" s="1" t="str">
        <f>"CK2024103035588"</f>
        <v>CK2024103035588</v>
      </c>
      <c r="E874" s="1" t="str">
        <f>"3723651326387032064"</f>
        <v>3723651326387032064</v>
      </c>
      <c r="F874" s="1" t="str">
        <f t="shared" si="269"/>
        <v>花都四部-凤凰仓</v>
      </c>
      <c r="G874" s="1" t="str">
        <f t="shared" si="265"/>
        <v>卡卡杜企业店（视频号）</v>
      </c>
      <c r="H874" s="1" t="str">
        <f t="shared" si="270"/>
        <v>正常订单</v>
      </c>
      <c r="I874" s="1" t="str">
        <f t="shared" si="271"/>
        <v>已发货</v>
      </c>
      <c r="J874" s="1" t="str">
        <f t="shared" si="282"/>
        <v>3</v>
      </c>
      <c r="K874" s="1">
        <v>2</v>
      </c>
      <c r="L874" s="1" t="s">
        <v>30</v>
      </c>
      <c r="M874" s="1" t="str">
        <f>"山东省 济南市 天桥区 "</f>
        <v xml:space="preserve">山东省 济南市 天桥区 </v>
      </c>
      <c r="N874" s="1" t="str">
        <f t="shared" si="263"/>
        <v>凡华云仓-城南圆通-微信视频号</v>
      </c>
      <c r="O874" s="5" t="s">
        <v>913</v>
      </c>
      <c r="P874" s="6">
        <v>0.25</v>
      </c>
      <c r="Q874" s="11">
        <v>2</v>
      </c>
      <c r="R874" s="11"/>
      <c r="S874" s="11"/>
      <c r="T874" s="11"/>
      <c r="U874" s="11">
        <f t="shared" si="272"/>
        <v>2</v>
      </c>
      <c r="W874">
        <v>2.2000000000000002</v>
      </c>
      <c r="X874" s="1" t="s">
        <v>30</v>
      </c>
    </row>
    <row r="875" spans="1:24" x14ac:dyDescent="0.25">
      <c r="A875" s="1" t="str">
        <f t="shared" si="268"/>
        <v>卡卡杜-凤凰仓</v>
      </c>
      <c r="B875" s="1" t="str">
        <f>"CK20241030335"</f>
        <v>CK20241030335</v>
      </c>
      <c r="C875" s="1" t="str">
        <f>"DD2024103036409"</f>
        <v>DD2024103036409</v>
      </c>
      <c r="D875" s="1" t="str">
        <f>"CK2024103035587"</f>
        <v>CK2024103035587</v>
      </c>
      <c r="E875" s="1" t="str">
        <f>"3723651021451694080"</f>
        <v>3723651021451694080</v>
      </c>
      <c r="F875" s="1" t="str">
        <f t="shared" si="269"/>
        <v>花都四部-凤凰仓</v>
      </c>
      <c r="G875" s="1" t="str">
        <f t="shared" si="265"/>
        <v>卡卡杜企业店（视频号）</v>
      </c>
      <c r="H875" s="1" t="str">
        <f t="shared" si="270"/>
        <v>正常订单</v>
      </c>
      <c r="I875" s="1" t="str">
        <f t="shared" si="271"/>
        <v>已发货</v>
      </c>
      <c r="J875" s="1" t="str">
        <f t="shared" si="282"/>
        <v>3</v>
      </c>
      <c r="K875" s="1">
        <v>2</v>
      </c>
      <c r="L875" s="1" t="s">
        <v>32</v>
      </c>
      <c r="M875" s="1" t="str">
        <f>"陕西省 西安市 雁塔区 "</f>
        <v xml:space="preserve">陕西省 西安市 雁塔区 </v>
      </c>
      <c r="N875" s="1" t="str">
        <f t="shared" si="263"/>
        <v>凡华云仓-城南圆通-微信视频号</v>
      </c>
      <c r="O875" s="5" t="s">
        <v>914</v>
      </c>
      <c r="P875" s="6">
        <v>0.25</v>
      </c>
      <c r="Q875" s="11">
        <v>2</v>
      </c>
      <c r="R875" s="11"/>
      <c r="S875" s="11"/>
      <c r="T875" s="11"/>
      <c r="U875" s="11">
        <f t="shared" si="272"/>
        <v>2</v>
      </c>
      <c r="W875">
        <v>2.2000000000000002</v>
      </c>
      <c r="X875" s="1" t="s">
        <v>32</v>
      </c>
    </row>
    <row r="876" spans="1:24" x14ac:dyDescent="0.25">
      <c r="A876" s="1" t="str">
        <f t="shared" si="268"/>
        <v>卡卡杜-凤凰仓</v>
      </c>
      <c r="B876" s="1" t="str">
        <f>"CK20241030336"</f>
        <v>CK20241030336</v>
      </c>
      <c r="C876" s="1" t="str">
        <f>"DD2024103036410"</f>
        <v>DD2024103036410</v>
      </c>
      <c r="D876" s="1" t="str">
        <f>"CK2024103035586"</f>
        <v>CK2024103035586</v>
      </c>
      <c r="E876" s="1" t="str">
        <f>"3723651001840174592"</f>
        <v>3723651001840174592</v>
      </c>
      <c r="F876" s="1" t="str">
        <f t="shared" si="269"/>
        <v>花都四部-凤凰仓</v>
      </c>
      <c r="G876" s="1" t="str">
        <f t="shared" si="265"/>
        <v>卡卡杜企业店（视频号）</v>
      </c>
      <c r="H876" s="1" t="str">
        <f t="shared" si="270"/>
        <v>正常订单</v>
      </c>
      <c r="I876" s="1" t="str">
        <f t="shared" si="271"/>
        <v>已发货</v>
      </c>
      <c r="J876" s="1" t="str">
        <f t="shared" ref="J876:J880" si="283">"1"</f>
        <v>1</v>
      </c>
      <c r="K876" s="1">
        <v>1</v>
      </c>
      <c r="L876" s="1" t="s">
        <v>30</v>
      </c>
      <c r="M876" s="1" t="str">
        <f>"山东省 济南市 历城区 "</f>
        <v xml:space="preserve">山东省 济南市 历城区 </v>
      </c>
      <c r="N876" s="1" t="str">
        <f t="shared" si="263"/>
        <v>凡华云仓-城南圆通-微信视频号</v>
      </c>
      <c r="O876" s="5" t="s">
        <v>915</v>
      </c>
      <c r="P876" s="6">
        <v>0.12</v>
      </c>
      <c r="Q876" s="11">
        <v>2</v>
      </c>
      <c r="R876" s="11"/>
      <c r="S876" s="11"/>
      <c r="T876" s="11"/>
      <c r="U876" s="11">
        <f t="shared" si="272"/>
        <v>2</v>
      </c>
      <c r="W876">
        <v>2.2000000000000002</v>
      </c>
      <c r="X876" s="1" t="s">
        <v>30</v>
      </c>
    </row>
    <row r="877" spans="1:24" x14ac:dyDescent="0.25">
      <c r="A877" s="1" t="str">
        <f t="shared" si="268"/>
        <v>卡卡杜-凤凰仓</v>
      </c>
      <c r="B877" s="1" t="str">
        <f>"CK20241030337"</f>
        <v>CK20241030337</v>
      </c>
      <c r="C877" s="1" t="str">
        <f>"DD2024103036412"</f>
        <v>DD2024103036412</v>
      </c>
      <c r="D877" s="1" t="str">
        <f>"CK2024103035585"</f>
        <v>CK2024103035585</v>
      </c>
      <c r="E877" s="1" t="str">
        <f>"3723650996334363904"</f>
        <v>3723650996334363904</v>
      </c>
      <c r="F877" s="1" t="str">
        <f t="shared" si="269"/>
        <v>花都四部-凤凰仓</v>
      </c>
      <c r="G877" s="1" t="str">
        <f t="shared" si="265"/>
        <v>卡卡杜企业店（视频号）</v>
      </c>
      <c r="H877" s="1" t="str">
        <f t="shared" si="270"/>
        <v>正常订单</v>
      </c>
      <c r="I877" s="1" t="str">
        <f t="shared" si="271"/>
        <v>已发货</v>
      </c>
      <c r="J877" s="1" t="str">
        <f t="shared" ref="J877:J881" si="284">"3"</f>
        <v>3</v>
      </c>
      <c r="K877" s="1">
        <v>2</v>
      </c>
      <c r="L877" s="1" t="s">
        <v>105</v>
      </c>
      <c r="M877" s="1" t="str">
        <f>"北京 北京市 东城区 "</f>
        <v xml:space="preserve">北京 北京市 东城区 </v>
      </c>
      <c r="N877" s="1" t="str">
        <f t="shared" si="263"/>
        <v>凡华云仓-城南圆通-微信视频号</v>
      </c>
      <c r="O877" s="5" t="s">
        <v>916</v>
      </c>
      <c r="P877" s="6">
        <v>0.25</v>
      </c>
      <c r="Q877" s="11">
        <v>2</v>
      </c>
      <c r="R877" s="11"/>
      <c r="S877" s="11"/>
      <c r="T877" s="11"/>
      <c r="U877" s="11">
        <f t="shared" si="272"/>
        <v>2</v>
      </c>
      <c r="W877">
        <v>2.2000000000000002</v>
      </c>
      <c r="X877" s="1" t="s">
        <v>105</v>
      </c>
    </row>
    <row r="878" spans="1:24" x14ac:dyDescent="0.25">
      <c r="A878" s="1" t="str">
        <f t="shared" si="268"/>
        <v>卡卡杜-凤凰仓</v>
      </c>
      <c r="B878" s="1" t="str">
        <f>"CK20241030339"</f>
        <v>CK20241030339</v>
      </c>
      <c r="C878" s="1" t="str">
        <f>"DD2024103036413"</f>
        <v>DD2024103036413</v>
      </c>
      <c r="D878" s="1" t="str">
        <f>"CK2024103035584"</f>
        <v>CK2024103035584</v>
      </c>
      <c r="E878" s="1" t="str">
        <f>"3723650974011231233"</f>
        <v>3723650974011231233</v>
      </c>
      <c r="F878" s="1" t="str">
        <f t="shared" si="269"/>
        <v>花都四部-凤凰仓</v>
      </c>
      <c r="G878" s="1" t="str">
        <f t="shared" si="265"/>
        <v>卡卡杜企业店（视频号）</v>
      </c>
      <c r="H878" s="1" t="str">
        <f t="shared" si="270"/>
        <v>正常订单</v>
      </c>
      <c r="I878" s="1" t="str">
        <f t="shared" si="271"/>
        <v>已发货</v>
      </c>
      <c r="J878" s="1" t="str">
        <f t="shared" si="283"/>
        <v>1</v>
      </c>
      <c r="K878" s="1">
        <v>1</v>
      </c>
      <c r="L878" s="1" t="s">
        <v>105</v>
      </c>
      <c r="M878" s="1" t="str">
        <f>"北京 北京市 丰台区 "</f>
        <v xml:space="preserve">北京 北京市 丰台区 </v>
      </c>
      <c r="N878" s="1" t="str">
        <f t="shared" si="263"/>
        <v>凡华云仓-城南圆通-微信视频号</v>
      </c>
      <c r="O878" s="5" t="s">
        <v>917</v>
      </c>
      <c r="P878" s="6">
        <v>0.12</v>
      </c>
      <c r="Q878" s="11">
        <v>2</v>
      </c>
      <c r="R878" s="11"/>
      <c r="S878" s="11"/>
      <c r="T878" s="11"/>
      <c r="U878" s="11">
        <f t="shared" si="272"/>
        <v>2</v>
      </c>
      <c r="W878">
        <v>2.2000000000000002</v>
      </c>
      <c r="X878" s="1" t="s">
        <v>105</v>
      </c>
    </row>
    <row r="879" spans="1:24" x14ac:dyDescent="0.25">
      <c r="A879" s="1" t="str">
        <f t="shared" si="268"/>
        <v>卡卡杜-凤凰仓</v>
      </c>
      <c r="B879" s="1" t="str">
        <f>"CK20241030338"</f>
        <v>CK20241030338</v>
      </c>
      <c r="C879" s="1" t="str">
        <f>"DD2024103036411"</f>
        <v>DD2024103036411</v>
      </c>
      <c r="D879" s="1" t="str">
        <f>"CK2024103035583"</f>
        <v>CK2024103035583</v>
      </c>
      <c r="E879" s="1" t="str">
        <f>"3723650982503124992"</f>
        <v>3723650982503124992</v>
      </c>
      <c r="F879" s="1" t="str">
        <f t="shared" si="269"/>
        <v>花都四部-凤凰仓</v>
      </c>
      <c r="G879" s="1" t="str">
        <f t="shared" si="265"/>
        <v>卡卡杜企业店（视频号）</v>
      </c>
      <c r="H879" s="1" t="str">
        <f t="shared" si="270"/>
        <v>正常订单</v>
      </c>
      <c r="I879" s="1" t="str">
        <f t="shared" si="271"/>
        <v>已发货</v>
      </c>
      <c r="J879" s="1" t="str">
        <f t="shared" si="284"/>
        <v>3</v>
      </c>
      <c r="K879" s="1">
        <v>2</v>
      </c>
      <c r="L879" s="1" t="s">
        <v>41</v>
      </c>
      <c r="M879" s="1" t="str">
        <f>"湖北省 武汉市 东西湖区 "</f>
        <v xml:space="preserve">湖北省 武汉市 东西湖区 </v>
      </c>
      <c r="N879" s="1" t="str">
        <f t="shared" si="263"/>
        <v>凡华云仓-城南圆通-微信视频号</v>
      </c>
      <c r="O879" s="5" t="s">
        <v>918</v>
      </c>
      <c r="P879" s="6">
        <v>0.25</v>
      </c>
      <c r="Q879" s="11">
        <v>2</v>
      </c>
      <c r="R879" s="11"/>
      <c r="S879" s="11"/>
      <c r="T879" s="11"/>
      <c r="U879" s="11">
        <f t="shared" si="272"/>
        <v>2</v>
      </c>
      <c r="W879">
        <v>2.2000000000000002</v>
      </c>
      <c r="X879" s="1" t="s">
        <v>41</v>
      </c>
    </row>
    <row r="880" spans="1:24" x14ac:dyDescent="0.25">
      <c r="A880" s="1" t="str">
        <f t="shared" si="268"/>
        <v>卡卡杜-凤凰仓</v>
      </c>
      <c r="B880" s="1" t="str">
        <f>"CK20241030340"</f>
        <v>CK20241030340</v>
      </c>
      <c r="C880" s="1" t="str">
        <f>"DD2024103036414"</f>
        <v>DD2024103036414</v>
      </c>
      <c r="D880" s="1" t="str">
        <f>"CK2024103035582"</f>
        <v>CK2024103035582</v>
      </c>
      <c r="E880" s="1" t="str">
        <f>"3723650909997237760"</f>
        <v>3723650909997237760</v>
      </c>
      <c r="F880" s="1" t="str">
        <f t="shared" si="269"/>
        <v>花都四部-凤凰仓</v>
      </c>
      <c r="G880" s="1" t="str">
        <f t="shared" si="265"/>
        <v>卡卡杜企业店（视频号）</v>
      </c>
      <c r="H880" s="1" t="str">
        <f t="shared" si="270"/>
        <v>正常订单</v>
      </c>
      <c r="I880" s="1" t="str">
        <f t="shared" si="271"/>
        <v>已发货</v>
      </c>
      <c r="J880" s="1" t="str">
        <f t="shared" si="283"/>
        <v>1</v>
      </c>
      <c r="K880" s="1">
        <v>1</v>
      </c>
      <c r="L880" s="1" t="s">
        <v>44</v>
      </c>
      <c r="M880" s="1" t="str">
        <f>"海南省 三亚市 吉阳区 "</f>
        <v xml:space="preserve">海南省 三亚市 吉阳区 </v>
      </c>
      <c r="N880" s="1" t="str">
        <f t="shared" si="263"/>
        <v>凡华云仓-城南圆通-微信视频号</v>
      </c>
      <c r="O880" s="5" t="s">
        <v>919</v>
      </c>
      <c r="P880" s="6">
        <v>0.12</v>
      </c>
      <c r="Q880" s="11">
        <v>2</v>
      </c>
      <c r="R880" s="11"/>
      <c r="S880" s="11"/>
      <c r="T880" s="11"/>
      <c r="U880" s="11">
        <f t="shared" si="272"/>
        <v>2</v>
      </c>
      <c r="W880">
        <v>2.2000000000000002</v>
      </c>
      <c r="X880" s="1" t="s">
        <v>44</v>
      </c>
    </row>
    <row r="881" spans="1:24" x14ac:dyDescent="0.25">
      <c r="A881" s="1" t="str">
        <f t="shared" si="268"/>
        <v>卡卡杜-凤凰仓</v>
      </c>
      <c r="B881" s="1" t="str">
        <f>"CK20241030341"</f>
        <v>CK20241030341</v>
      </c>
      <c r="C881" s="1" t="str">
        <f>"DD2024103036415"</f>
        <v>DD2024103036415</v>
      </c>
      <c r="D881" s="1" t="str">
        <f>"CK2024103035581"</f>
        <v>CK2024103035581</v>
      </c>
      <c r="E881" s="1" t="str">
        <f>"3723650958279706113"</f>
        <v>3723650958279706113</v>
      </c>
      <c r="F881" s="1" t="str">
        <f t="shared" si="269"/>
        <v>花都四部-凤凰仓</v>
      </c>
      <c r="G881" s="1" t="str">
        <f t="shared" si="265"/>
        <v>卡卡杜企业店（视频号）</v>
      </c>
      <c r="H881" s="1" t="str">
        <f t="shared" si="270"/>
        <v>正常订单</v>
      </c>
      <c r="I881" s="1" t="str">
        <f t="shared" si="271"/>
        <v>已发货</v>
      </c>
      <c r="J881" s="1" t="str">
        <f t="shared" si="284"/>
        <v>3</v>
      </c>
      <c r="K881" s="1">
        <v>2</v>
      </c>
      <c r="L881" s="1" t="s">
        <v>36</v>
      </c>
      <c r="M881" s="1" t="str">
        <f>"安徽省 马鞍山市 花山区 "</f>
        <v xml:space="preserve">安徽省 马鞍山市 花山区 </v>
      </c>
      <c r="N881" s="1" t="str">
        <f t="shared" si="263"/>
        <v>凡华云仓-城南圆通-微信视频号</v>
      </c>
      <c r="O881" s="5" t="s">
        <v>920</v>
      </c>
      <c r="P881" s="6">
        <v>0.25</v>
      </c>
      <c r="Q881" s="11">
        <v>2</v>
      </c>
      <c r="R881" s="11"/>
      <c r="S881" s="11"/>
      <c r="T881" s="11"/>
      <c r="U881" s="11">
        <f t="shared" si="272"/>
        <v>2</v>
      </c>
      <c r="W881">
        <v>2.2000000000000002</v>
      </c>
      <c r="X881" s="1" t="s">
        <v>36</v>
      </c>
    </row>
    <row r="882" spans="1:24" x14ac:dyDescent="0.25">
      <c r="A882" s="1" t="str">
        <f t="shared" si="268"/>
        <v>卡卡杜-凤凰仓</v>
      </c>
      <c r="B882" s="1" t="str">
        <f>"CK20241030344"</f>
        <v>CK20241030344</v>
      </c>
      <c r="C882" s="1" t="str">
        <f>"DD2024103036418"</f>
        <v>DD2024103036418</v>
      </c>
      <c r="D882" s="1" t="str">
        <f>"CK2024103035580"</f>
        <v>CK2024103035580</v>
      </c>
      <c r="E882" s="1" t="str">
        <f>"3723650931771966720"</f>
        <v>3723650931771966720</v>
      </c>
      <c r="F882" s="1" t="str">
        <f t="shared" si="269"/>
        <v>花都四部-凤凰仓</v>
      </c>
      <c r="G882" s="1" t="str">
        <f t="shared" si="265"/>
        <v>卡卡杜企业店（视频号）</v>
      </c>
      <c r="H882" s="1" t="str">
        <f t="shared" si="270"/>
        <v>正常订单</v>
      </c>
      <c r="I882" s="1" t="str">
        <f t="shared" si="271"/>
        <v>已发货</v>
      </c>
      <c r="J882" s="1" t="str">
        <f>"1"</f>
        <v>1</v>
      </c>
      <c r="K882" s="1">
        <v>1</v>
      </c>
      <c r="L882" s="1" t="s">
        <v>92</v>
      </c>
      <c r="M882" s="1" t="str">
        <f>"辽宁省 沈阳市 大东区 "</f>
        <v xml:space="preserve">辽宁省 沈阳市 大东区 </v>
      </c>
      <c r="N882" s="1" t="str">
        <f t="shared" ref="N882:N893" si="285">"凡华云仓-城南圆通-微信视频号"</f>
        <v>凡华云仓-城南圆通-微信视频号</v>
      </c>
      <c r="O882" s="5" t="s">
        <v>921</v>
      </c>
      <c r="P882" s="6">
        <v>0.12</v>
      </c>
      <c r="Q882" s="11">
        <v>2</v>
      </c>
      <c r="R882" s="11"/>
      <c r="S882" s="11"/>
      <c r="T882" s="11"/>
      <c r="U882" s="11">
        <f t="shared" si="272"/>
        <v>2</v>
      </c>
      <c r="W882">
        <v>2.2000000000000002</v>
      </c>
      <c r="X882" s="1" t="s">
        <v>92</v>
      </c>
    </row>
    <row r="883" spans="1:24" x14ac:dyDescent="0.25">
      <c r="A883" s="1" t="str">
        <f t="shared" si="268"/>
        <v>卡卡杜-凤凰仓</v>
      </c>
      <c r="B883" s="1" t="str">
        <f>"CK20241030342"</f>
        <v>CK20241030342</v>
      </c>
      <c r="C883" s="1" t="str">
        <f>"DD2024103036416"</f>
        <v>DD2024103036416</v>
      </c>
      <c r="D883" s="1" t="str">
        <f>"CK2024103035579"</f>
        <v>CK2024103035579</v>
      </c>
      <c r="E883" s="1" t="str">
        <f>"3723650943347985408"</f>
        <v>3723650943347985408</v>
      </c>
      <c r="F883" s="1" t="str">
        <f t="shared" si="269"/>
        <v>花都四部-凤凰仓</v>
      </c>
      <c r="G883" s="1" t="str">
        <f t="shared" si="265"/>
        <v>卡卡杜企业店（视频号）</v>
      </c>
      <c r="H883" s="1" t="str">
        <f t="shared" si="270"/>
        <v>正常订单</v>
      </c>
      <c r="I883" s="1" t="str">
        <f t="shared" si="271"/>
        <v>已发货</v>
      </c>
      <c r="J883" s="1" t="str">
        <f t="shared" ref="J883:J885" si="286">"3"</f>
        <v>3</v>
      </c>
      <c r="K883" s="1">
        <v>2</v>
      </c>
      <c r="L883" s="1" t="s">
        <v>74</v>
      </c>
      <c r="M883" s="1" t="str">
        <f>"上海 上海市 浦东新区 "</f>
        <v xml:space="preserve">上海 上海市 浦东新区 </v>
      </c>
      <c r="N883" s="1" t="str">
        <f t="shared" si="285"/>
        <v>凡华云仓-城南圆通-微信视频号</v>
      </c>
      <c r="O883" s="5" t="s">
        <v>922</v>
      </c>
      <c r="P883" s="6">
        <v>0.25</v>
      </c>
      <c r="Q883" s="11">
        <v>2</v>
      </c>
      <c r="R883" s="11"/>
      <c r="S883" s="11"/>
      <c r="T883" s="11"/>
      <c r="U883" s="11">
        <f t="shared" si="272"/>
        <v>2</v>
      </c>
      <c r="W883">
        <v>2.2000000000000002</v>
      </c>
      <c r="X883" s="1" t="s">
        <v>74</v>
      </c>
    </row>
    <row r="884" spans="1:24" x14ac:dyDescent="0.25">
      <c r="A884" s="1" t="str">
        <f t="shared" si="268"/>
        <v>卡卡杜-凤凰仓</v>
      </c>
      <c r="B884" s="1" t="str">
        <f>"CK20241030343"</f>
        <v>CK20241030343</v>
      </c>
      <c r="C884" s="1" t="str">
        <f>"DD2024103036417"</f>
        <v>DD2024103036417</v>
      </c>
      <c r="D884" s="1" t="str">
        <f>"CK2024103035578"</f>
        <v>CK2024103035578</v>
      </c>
      <c r="E884" s="1" t="str">
        <f>"3723650936118314496"</f>
        <v>3723650936118314496</v>
      </c>
      <c r="F884" s="1" t="str">
        <f t="shared" si="269"/>
        <v>花都四部-凤凰仓</v>
      </c>
      <c r="G884" s="1" t="str">
        <f t="shared" si="265"/>
        <v>卡卡杜企业店（视频号）</v>
      </c>
      <c r="H884" s="1" t="str">
        <f t="shared" si="270"/>
        <v>正常订单</v>
      </c>
      <c r="I884" s="1" t="str">
        <f t="shared" si="271"/>
        <v>已发货</v>
      </c>
      <c r="J884" s="1" t="str">
        <f t="shared" si="286"/>
        <v>3</v>
      </c>
      <c r="K884" s="1">
        <v>2</v>
      </c>
      <c r="L884" s="1" t="s">
        <v>20</v>
      </c>
      <c r="M884" s="1" t="str">
        <f>"浙江省 温州市 龙湾区 "</f>
        <v xml:space="preserve">浙江省 温州市 龙湾区 </v>
      </c>
      <c r="N884" s="1" t="str">
        <f t="shared" si="285"/>
        <v>凡华云仓-城南圆通-微信视频号</v>
      </c>
      <c r="O884" s="5" t="s">
        <v>923</v>
      </c>
      <c r="P884" s="6">
        <v>0.25</v>
      </c>
      <c r="Q884" s="11">
        <v>2</v>
      </c>
      <c r="R884" s="11"/>
      <c r="S884" s="11"/>
      <c r="T884" s="11"/>
      <c r="U884" s="11">
        <f t="shared" si="272"/>
        <v>2</v>
      </c>
      <c r="W884">
        <v>2.2000000000000002</v>
      </c>
      <c r="X884" s="1" t="s">
        <v>20</v>
      </c>
    </row>
    <row r="885" spans="1:24" x14ac:dyDescent="0.25">
      <c r="A885" s="1" t="str">
        <f t="shared" si="268"/>
        <v>卡卡杜-凤凰仓</v>
      </c>
      <c r="B885" s="1" t="str">
        <f>"CK20241030345"</f>
        <v>CK20241030345</v>
      </c>
      <c r="C885" s="1" t="str">
        <f>"DD2024103036421"</f>
        <v>DD2024103036421</v>
      </c>
      <c r="D885" s="1" t="str">
        <f>"CK2024103035577"</f>
        <v>CK2024103035577</v>
      </c>
      <c r="E885" s="1" t="str">
        <f>"3723650930619845632"</f>
        <v>3723650930619845632</v>
      </c>
      <c r="F885" s="1" t="str">
        <f t="shared" si="269"/>
        <v>花都四部-凤凰仓</v>
      </c>
      <c r="G885" s="1" t="str">
        <f t="shared" si="265"/>
        <v>卡卡杜企业店（视频号）</v>
      </c>
      <c r="H885" s="1" t="str">
        <f t="shared" si="270"/>
        <v>正常订单</v>
      </c>
      <c r="I885" s="1" t="str">
        <f t="shared" si="271"/>
        <v>已发货</v>
      </c>
      <c r="J885" s="1" t="str">
        <f t="shared" si="286"/>
        <v>3</v>
      </c>
      <c r="K885" s="1">
        <v>2</v>
      </c>
      <c r="L885" s="1" t="s">
        <v>30</v>
      </c>
      <c r="M885" s="1" t="str">
        <f>"山东省 临沂市 兰山区 "</f>
        <v xml:space="preserve">山东省 临沂市 兰山区 </v>
      </c>
      <c r="N885" s="1" t="str">
        <f t="shared" si="285"/>
        <v>凡华云仓-城南圆通-微信视频号</v>
      </c>
      <c r="O885" s="5" t="s">
        <v>924</v>
      </c>
      <c r="P885" s="6">
        <v>0.25</v>
      </c>
      <c r="Q885" s="11">
        <v>2</v>
      </c>
      <c r="R885" s="11"/>
      <c r="S885" s="11"/>
      <c r="T885" s="11"/>
      <c r="U885" s="11">
        <f t="shared" si="272"/>
        <v>2</v>
      </c>
      <c r="W885">
        <v>2.2000000000000002</v>
      </c>
      <c r="X885" s="1" t="s">
        <v>30</v>
      </c>
    </row>
    <row r="886" spans="1:24" x14ac:dyDescent="0.25">
      <c r="A886" s="1" t="str">
        <f t="shared" si="268"/>
        <v>卡卡杜-凤凰仓</v>
      </c>
      <c r="B886" s="1" t="str">
        <f>"CK20241030346"</f>
        <v>CK20241030346</v>
      </c>
      <c r="C886" s="1" t="str">
        <f>"DD2024103036419"</f>
        <v>DD2024103036419</v>
      </c>
      <c r="D886" s="1" t="str">
        <f>"CK2024103035576"</f>
        <v>CK2024103035576</v>
      </c>
      <c r="E886" s="1" t="str">
        <f>"3723650929196926211"</f>
        <v>3723650929196926211</v>
      </c>
      <c r="F886" s="1" t="str">
        <f t="shared" si="269"/>
        <v>花都四部-凤凰仓</v>
      </c>
      <c r="G886" s="1" t="str">
        <f t="shared" si="265"/>
        <v>卡卡杜企业店（视频号）</v>
      </c>
      <c r="H886" s="1" t="str">
        <f t="shared" si="270"/>
        <v>正常订单</v>
      </c>
      <c r="I886" s="1" t="str">
        <f t="shared" si="271"/>
        <v>已发货</v>
      </c>
      <c r="J886" s="1" t="str">
        <f t="shared" ref="J886:J890" si="287">"1"</f>
        <v>1</v>
      </c>
      <c r="K886" s="1">
        <v>1</v>
      </c>
      <c r="L886" s="1" t="s">
        <v>105</v>
      </c>
      <c r="M886" s="1" t="str">
        <f>"北京 北京市 朝阳区 "</f>
        <v xml:space="preserve">北京 北京市 朝阳区 </v>
      </c>
      <c r="N886" s="1" t="str">
        <f t="shared" si="285"/>
        <v>凡华云仓-城南圆通-微信视频号</v>
      </c>
      <c r="O886" s="5" t="s">
        <v>925</v>
      </c>
      <c r="P886" s="6">
        <v>0.12</v>
      </c>
      <c r="Q886" s="11">
        <v>2</v>
      </c>
      <c r="R886" s="11"/>
      <c r="S886" s="11"/>
      <c r="T886" s="11"/>
      <c r="U886" s="11">
        <f t="shared" si="272"/>
        <v>2</v>
      </c>
      <c r="W886">
        <v>2.2000000000000002</v>
      </c>
      <c r="X886" s="1" t="s">
        <v>105</v>
      </c>
    </row>
    <row r="887" spans="1:24" x14ac:dyDescent="0.25">
      <c r="A887" s="1" t="str">
        <f t="shared" si="268"/>
        <v>卡卡杜-凤凰仓</v>
      </c>
      <c r="B887" s="1" t="str">
        <f>"CK20241030347"</f>
        <v>CK20241030347</v>
      </c>
      <c r="C887" s="1" t="str">
        <f>"DD2024103036420"</f>
        <v>DD2024103036420</v>
      </c>
      <c r="D887" s="1" t="str">
        <f>"CK2024103035575"</f>
        <v>CK2024103035575</v>
      </c>
      <c r="E887" s="1" t="str">
        <f>"3723650926745358336"</f>
        <v>3723650926745358336</v>
      </c>
      <c r="F887" s="1" t="str">
        <f t="shared" si="269"/>
        <v>花都四部-凤凰仓</v>
      </c>
      <c r="G887" s="1" t="str">
        <f t="shared" ref="G887:G950" si="288">"卡卡杜企业店（视频号）"</f>
        <v>卡卡杜企业店（视频号）</v>
      </c>
      <c r="H887" s="1" t="str">
        <f t="shared" si="270"/>
        <v>正常订单</v>
      </c>
      <c r="I887" s="1" t="str">
        <f t="shared" si="271"/>
        <v>已发货</v>
      </c>
      <c r="J887" s="1" t="str">
        <f>"3"</f>
        <v>3</v>
      </c>
      <c r="K887" s="1">
        <v>2</v>
      </c>
      <c r="L887" s="1" t="s">
        <v>13</v>
      </c>
      <c r="M887" s="1" t="str">
        <f>"江苏省 镇江市 京口区 "</f>
        <v xml:space="preserve">江苏省 镇江市 京口区 </v>
      </c>
      <c r="N887" s="1" t="str">
        <f t="shared" si="285"/>
        <v>凡华云仓-城南圆通-微信视频号</v>
      </c>
      <c r="O887" s="5" t="s">
        <v>926</v>
      </c>
      <c r="P887" s="6">
        <v>0.25</v>
      </c>
      <c r="Q887" s="11">
        <v>2</v>
      </c>
      <c r="R887" s="11"/>
      <c r="S887" s="11"/>
      <c r="T887" s="11"/>
      <c r="U887" s="11">
        <f t="shared" si="272"/>
        <v>2</v>
      </c>
      <c r="W887">
        <v>2.2000000000000002</v>
      </c>
      <c r="X887" s="1" t="s">
        <v>13</v>
      </c>
    </row>
    <row r="888" spans="1:24" x14ac:dyDescent="0.25">
      <c r="A888" s="1" t="str">
        <f t="shared" si="268"/>
        <v>卡卡杜-凤凰仓</v>
      </c>
      <c r="B888" s="1" t="str">
        <f>"CK20241030358"</f>
        <v>CK20241030358</v>
      </c>
      <c r="C888" s="1" t="str">
        <f>"DD2024103036432"</f>
        <v>DD2024103036432</v>
      </c>
      <c r="D888" s="1" t="str">
        <f>"CK2024103035574"</f>
        <v>CK2024103035574</v>
      </c>
      <c r="E888" s="1" t="str">
        <f>"3723650912839666689"</f>
        <v>3723650912839666689</v>
      </c>
      <c r="F888" s="1" t="str">
        <f t="shared" si="269"/>
        <v>花都四部-凤凰仓</v>
      </c>
      <c r="G888" s="1" t="str">
        <f t="shared" si="288"/>
        <v>卡卡杜企业店（视频号）</v>
      </c>
      <c r="H888" s="1" t="str">
        <f t="shared" si="270"/>
        <v>正常订单</v>
      </c>
      <c r="I888" s="1" t="str">
        <f t="shared" si="271"/>
        <v>已发货</v>
      </c>
      <c r="J888" s="1" t="str">
        <f t="shared" si="287"/>
        <v>1</v>
      </c>
      <c r="K888" s="1">
        <v>1</v>
      </c>
      <c r="L888" s="1" t="s">
        <v>187</v>
      </c>
      <c r="M888" s="1" t="str">
        <f>"吉林省 延边朝鲜族自治州 延吉市 "</f>
        <v xml:space="preserve">吉林省 延边朝鲜族自治州 延吉市 </v>
      </c>
      <c r="N888" s="1" t="str">
        <f t="shared" si="285"/>
        <v>凡华云仓-城南圆通-微信视频号</v>
      </c>
      <c r="O888" s="5" t="s">
        <v>927</v>
      </c>
      <c r="P888" s="6">
        <v>0.12</v>
      </c>
      <c r="Q888" s="11">
        <v>2</v>
      </c>
      <c r="R888" s="11"/>
      <c r="S888" s="11"/>
      <c r="T888" s="11"/>
      <c r="U888" s="11">
        <f t="shared" si="272"/>
        <v>2</v>
      </c>
      <c r="W888">
        <v>2.2000000000000002</v>
      </c>
      <c r="X888" s="1" t="s">
        <v>187</v>
      </c>
    </row>
    <row r="889" spans="1:24" x14ac:dyDescent="0.25">
      <c r="A889" s="1" t="str">
        <f t="shared" si="268"/>
        <v>卡卡杜-凤凰仓</v>
      </c>
      <c r="B889" s="1" t="str">
        <f>"CK20241030349"</f>
        <v>CK20241030349</v>
      </c>
      <c r="C889" s="1" t="str">
        <f>"DD2024103036423"</f>
        <v>DD2024103036423</v>
      </c>
      <c r="D889" s="1" t="str">
        <f>"CK2024103035573"</f>
        <v>CK2024103035573</v>
      </c>
      <c r="E889" s="1" t="str">
        <f>"3723650923384146944"</f>
        <v>3723650923384146944</v>
      </c>
      <c r="F889" s="1" t="str">
        <f t="shared" si="269"/>
        <v>花都四部-凤凰仓</v>
      </c>
      <c r="G889" s="1" t="str">
        <f t="shared" si="288"/>
        <v>卡卡杜企业店（视频号）</v>
      </c>
      <c r="H889" s="1" t="str">
        <f t="shared" si="270"/>
        <v>正常订单</v>
      </c>
      <c r="I889" s="1" t="str">
        <f t="shared" si="271"/>
        <v>已发货</v>
      </c>
      <c r="J889" s="1" t="str">
        <f t="shared" si="287"/>
        <v>1</v>
      </c>
      <c r="K889" s="1">
        <v>1</v>
      </c>
      <c r="L889" s="1" t="s">
        <v>16</v>
      </c>
      <c r="M889" s="1" t="str">
        <f>"河北省 唐山市 开平区 "</f>
        <v xml:space="preserve">河北省 唐山市 开平区 </v>
      </c>
      <c r="N889" s="1" t="str">
        <f t="shared" si="285"/>
        <v>凡华云仓-城南圆通-微信视频号</v>
      </c>
      <c r="O889" s="5" t="s">
        <v>928</v>
      </c>
      <c r="P889" s="6">
        <v>0.12</v>
      </c>
      <c r="Q889" s="11">
        <v>2</v>
      </c>
      <c r="R889" s="11"/>
      <c r="S889" s="11"/>
      <c r="T889" s="11"/>
      <c r="U889" s="11">
        <f t="shared" si="272"/>
        <v>2</v>
      </c>
      <c r="W889">
        <v>2.2000000000000002</v>
      </c>
      <c r="X889" s="1" t="s">
        <v>16</v>
      </c>
    </row>
    <row r="890" spans="1:24" x14ac:dyDescent="0.25">
      <c r="A890" s="1" t="str">
        <f t="shared" si="268"/>
        <v>卡卡杜-凤凰仓</v>
      </c>
      <c r="B890" s="1" t="str">
        <f>"CK20241030348"</f>
        <v>CK20241030348</v>
      </c>
      <c r="C890" s="1" t="str">
        <f>"DD2024103036422"</f>
        <v>DD2024103036422</v>
      </c>
      <c r="D890" s="1" t="str">
        <f>"CK2024103035572"</f>
        <v>CK2024103035572</v>
      </c>
      <c r="E890" s="1" t="str">
        <f>"3723650925162530048"</f>
        <v>3723650925162530048</v>
      </c>
      <c r="F890" s="1" t="str">
        <f t="shared" si="269"/>
        <v>花都四部-凤凰仓</v>
      </c>
      <c r="G890" s="1" t="str">
        <f t="shared" si="288"/>
        <v>卡卡杜企业店（视频号）</v>
      </c>
      <c r="H890" s="1" t="str">
        <f t="shared" si="270"/>
        <v>正常订单</v>
      </c>
      <c r="I890" s="1" t="str">
        <f t="shared" si="271"/>
        <v>已发货</v>
      </c>
      <c r="J890" s="1" t="str">
        <f t="shared" si="287"/>
        <v>1</v>
      </c>
      <c r="K890" s="1">
        <v>1</v>
      </c>
      <c r="L890" s="1" t="s">
        <v>218</v>
      </c>
      <c r="M890" s="1" t="str">
        <f>"天津 天津市 和平区 "</f>
        <v xml:space="preserve">天津 天津市 和平区 </v>
      </c>
      <c r="N890" s="1" t="str">
        <f t="shared" si="285"/>
        <v>凡华云仓-城南圆通-微信视频号</v>
      </c>
      <c r="O890" s="5" t="s">
        <v>929</v>
      </c>
      <c r="P890" s="6">
        <v>0.12</v>
      </c>
      <c r="Q890" s="11">
        <v>2</v>
      </c>
      <c r="R890" s="11"/>
      <c r="S890" s="11"/>
      <c r="T890" s="11"/>
      <c r="U890" s="11">
        <f t="shared" si="272"/>
        <v>2</v>
      </c>
      <c r="W890">
        <v>2.2000000000000002</v>
      </c>
      <c r="X890" s="1" t="s">
        <v>218</v>
      </c>
    </row>
    <row r="891" spans="1:24" x14ac:dyDescent="0.25">
      <c r="A891" s="1" t="str">
        <f t="shared" si="268"/>
        <v>卡卡杜-凤凰仓</v>
      </c>
      <c r="B891" s="1" t="str">
        <f>"CK20241030351"</f>
        <v>CK20241030351</v>
      </c>
      <c r="C891" s="1" t="str">
        <f>"DD2024103036425"</f>
        <v>DD2024103036425</v>
      </c>
      <c r="D891" s="1" t="str">
        <f>"CK2024103035571"</f>
        <v>CK2024103035571</v>
      </c>
      <c r="E891" s="1" t="str">
        <f>"3723650922686579968"</f>
        <v>3723650922686579968</v>
      </c>
      <c r="F891" s="1" t="str">
        <f t="shared" si="269"/>
        <v>花都四部-凤凰仓</v>
      </c>
      <c r="G891" s="1" t="str">
        <f t="shared" si="288"/>
        <v>卡卡杜企业店（视频号）</v>
      </c>
      <c r="H891" s="1" t="str">
        <f t="shared" si="270"/>
        <v>正常订单</v>
      </c>
      <c r="I891" s="1" t="str">
        <f t="shared" si="271"/>
        <v>已发货</v>
      </c>
      <c r="J891" s="1" t="str">
        <f t="shared" ref="J891:J896" si="289">"3"</f>
        <v>3</v>
      </c>
      <c r="K891" s="1">
        <v>2</v>
      </c>
      <c r="L891" s="1" t="s">
        <v>92</v>
      </c>
      <c r="M891" s="1" t="str">
        <f>"辽宁省 沈阳市 于洪区 "</f>
        <v xml:space="preserve">辽宁省 沈阳市 于洪区 </v>
      </c>
      <c r="N891" s="1" t="str">
        <f t="shared" si="285"/>
        <v>凡华云仓-城南圆通-微信视频号</v>
      </c>
      <c r="O891" s="5" t="s">
        <v>930</v>
      </c>
      <c r="P891" s="6">
        <v>0.25</v>
      </c>
      <c r="Q891" s="11">
        <v>2</v>
      </c>
      <c r="R891" s="11"/>
      <c r="S891" s="11"/>
      <c r="T891" s="11"/>
      <c r="U891" s="11">
        <f t="shared" si="272"/>
        <v>2</v>
      </c>
      <c r="W891">
        <v>2.2000000000000002</v>
      </c>
      <c r="X891" s="1" t="s">
        <v>92</v>
      </c>
    </row>
    <row r="892" spans="1:24" x14ac:dyDescent="0.25">
      <c r="A892" s="1" t="str">
        <f t="shared" si="268"/>
        <v>卡卡杜-凤凰仓</v>
      </c>
      <c r="B892" s="1" t="str">
        <f>"CK20241030350"</f>
        <v>CK20241030350</v>
      </c>
      <c r="C892" s="1" t="str">
        <f>"DD2024103036424"</f>
        <v>DD2024103036424</v>
      </c>
      <c r="D892" s="1" t="str">
        <f>"CK2024103035570"</f>
        <v>CK2024103035570</v>
      </c>
      <c r="E892" s="1" t="str">
        <f>"3723650925577766401"</f>
        <v>3723650925577766401</v>
      </c>
      <c r="F892" s="1" t="str">
        <f t="shared" si="269"/>
        <v>花都四部-凤凰仓</v>
      </c>
      <c r="G892" s="1" t="str">
        <f t="shared" si="288"/>
        <v>卡卡杜企业店（视频号）</v>
      </c>
      <c r="H892" s="1" t="str">
        <f t="shared" si="270"/>
        <v>正常订单</v>
      </c>
      <c r="I892" s="1" t="str">
        <f t="shared" si="271"/>
        <v>已发货</v>
      </c>
      <c r="J892" s="1" t="str">
        <f>"1"</f>
        <v>1</v>
      </c>
      <c r="K892" s="1">
        <v>1</v>
      </c>
      <c r="L892" s="1" t="s">
        <v>105</v>
      </c>
      <c r="M892" s="1" t="str">
        <f>"北京 北京市 顺义区 "</f>
        <v xml:space="preserve">北京 北京市 顺义区 </v>
      </c>
      <c r="N892" s="1" t="str">
        <f t="shared" si="285"/>
        <v>凡华云仓-城南圆通-微信视频号</v>
      </c>
      <c r="O892" s="5" t="s">
        <v>931</v>
      </c>
      <c r="P892" s="6">
        <v>0.12</v>
      </c>
      <c r="Q892" s="11">
        <v>2</v>
      </c>
      <c r="R892" s="11"/>
      <c r="S892" s="11"/>
      <c r="T892" s="11"/>
      <c r="U892" s="11">
        <f t="shared" si="272"/>
        <v>2</v>
      </c>
      <c r="W892">
        <v>2.2000000000000002</v>
      </c>
      <c r="X892" s="1" t="s">
        <v>105</v>
      </c>
    </row>
    <row r="893" spans="1:24" x14ac:dyDescent="0.25">
      <c r="A893" s="1" t="str">
        <f t="shared" si="268"/>
        <v>卡卡杜-凤凰仓</v>
      </c>
      <c r="B893" s="1" t="str">
        <f>"CK20241030352"</f>
        <v>CK20241030352</v>
      </c>
      <c r="C893" s="1" t="str">
        <f>"DD2024103036426"</f>
        <v>DD2024103036426</v>
      </c>
      <c r="D893" s="1" t="str">
        <f>"CK2024103035569"</f>
        <v>CK2024103035569</v>
      </c>
      <c r="E893" s="1" t="str">
        <f>"3723650922440954880"</f>
        <v>3723650922440954880</v>
      </c>
      <c r="F893" s="1" t="str">
        <f t="shared" si="269"/>
        <v>花都四部-凤凰仓</v>
      </c>
      <c r="G893" s="1" t="str">
        <f t="shared" si="288"/>
        <v>卡卡杜企业店（视频号）</v>
      </c>
      <c r="H893" s="1" t="str">
        <f t="shared" si="270"/>
        <v>正常订单</v>
      </c>
      <c r="I893" s="1" t="str">
        <f t="shared" si="271"/>
        <v>已发货</v>
      </c>
      <c r="J893" s="1" t="str">
        <f t="shared" si="289"/>
        <v>3</v>
      </c>
      <c r="K893" s="1">
        <v>2</v>
      </c>
      <c r="L893" s="1" t="s">
        <v>74</v>
      </c>
      <c r="M893" s="1" t="str">
        <f>"上海 上海市 徐汇区 "</f>
        <v xml:space="preserve">上海 上海市 徐汇区 </v>
      </c>
      <c r="N893" s="1" t="str">
        <f t="shared" si="285"/>
        <v>凡华云仓-城南圆通-微信视频号</v>
      </c>
      <c r="O893" s="5" t="s">
        <v>932</v>
      </c>
      <c r="P893" s="6">
        <v>0.25</v>
      </c>
      <c r="Q893" s="11">
        <v>2</v>
      </c>
      <c r="R893" s="11"/>
      <c r="S893" s="11"/>
      <c r="T893" s="11"/>
      <c r="U893" s="11">
        <f t="shared" si="272"/>
        <v>2</v>
      </c>
      <c r="W893">
        <v>2.2000000000000002</v>
      </c>
      <c r="X893" s="1" t="s">
        <v>74</v>
      </c>
    </row>
    <row r="894" spans="1:24" x14ac:dyDescent="0.25">
      <c r="A894" s="1" t="str">
        <f t="shared" si="268"/>
        <v>卡卡杜-凤凰仓</v>
      </c>
      <c r="B894" s="1" t="str">
        <f>"CK20241030354"</f>
        <v>CK20241030354</v>
      </c>
      <c r="C894" s="1" t="str">
        <f>"DD2024103036430"</f>
        <v>DD2024103036430</v>
      </c>
      <c r="D894" s="1" t="str">
        <f>"CK2024103035568"</f>
        <v>CK2024103035568</v>
      </c>
      <c r="E894" s="1" t="str">
        <f>"3723650921668150784"</f>
        <v>3723650921668150784</v>
      </c>
      <c r="F894" s="1" t="str">
        <f t="shared" si="269"/>
        <v>花都四部-凤凰仓</v>
      </c>
      <c r="G894" s="1" t="str">
        <f t="shared" si="288"/>
        <v>卡卡杜企业店（视频号）</v>
      </c>
      <c r="H894" s="1" t="str">
        <f t="shared" si="270"/>
        <v>正常订单</v>
      </c>
      <c r="I894" s="1" t="str">
        <f t="shared" si="271"/>
        <v>已发货</v>
      </c>
      <c r="J894" s="1" t="str">
        <f t="shared" si="289"/>
        <v>3</v>
      </c>
      <c r="K894" s="1">
        <v>2</v>
      </c>
      <c r="L894" s="1" t="s">
        <v>161</v>
      </c>
      <c r="M894" s="1" t="str">
        <f>"四川省 成都市 金牛区 "</f>
        <v xml:space="preserve">四川省 成都市 金牛区 </v>
      </c>
      <c r="N894" s="1" t="str">
        <f>"凡华云仓-竹料中通-微信视频号"</f>
        <v>凡华云仓-竹料中通-微信视频号</v>
      </c>
      <c r="O894" s="5">
        <v>73613941690957</v>
      </c>
      <c r="P894" s="6">
        <v>0.25</v>
      </c>
      <c r="Q894" s="11">
        <v>2.2999999999999998</v>
      </c>
      <c r="R894" s="11"/>
      <c r="S894" s="11"/>
      <c r="T894" s="11"/>
      <c r="U894" s="11">
        <f t="shared" si="272"/>
        <v>2.2999999999999998</v>
      </c>
      <c r="W894">
        <v>2.5</v>
      </c>
      <c r="X894" s="1" t="s">
        <v>161</v>
      </c>
    </row>
    <row r="895" spans="1:24" x14ac:dyDescent="0.25">
      <c r="A895" s="1" t="str">
        <f t="shared" si="268"/>
        <v>卡卡杜-凤凰仓</v>
      </c>
      <c r="B895" s="1" t="str">
        <f>"CK20241030353"</f>
        <v>CK20241030353</v>
      </c>
      <c r="C895" s="1" t="str">
        <f>"DD2024103036427"</f>
        <v>DD2024103036427</v>
      </c>
      <c r="D895" s="1" t="str">
        <f>"CK2024103035567"</f>
        <v>CK2024103035567</v>
      </c>
      <c r="E895" s="1" t="str">
        <f>"3723650922531392512"</f>
        <v>3723650922531392512</v>
      </c>
      <c r="F895" s="1" t="str">
        <f t="shared" si="269"/>
        <v>花都四部-凤凰仓</v>
      </c>
      <c r="G895" s="1" t="str">
        <f t="shared" si="288"/>
        <v>卡卡杜企业店（视频号）</v>
      </c>
      <c r="H895" s="1" t="str">
        <f t="shared" si="270"/>
        <v>正常订单</v>
      </c>
      <c r="I895" s="1" t="str">
        <f t="shared" si="271"/>
        <v>已发货</v>
      </c>
      <c r="J895" s="1" t="str">
        <f t="shared" si="289"/>
        <v>3</v>
      </c>
      <c r="K895" s="1">
        <v>2</v>
      </c>
      <c r="L895" s="1" t="s">
        <v>105</v>
      </c>
      <c r="M895" s="1" t="str">
        <f>"北京 北京市 海淀区 "</f>
        <v xml:space="preserve">北京 北京市 海淀区 </v>
      </c>
      <c r="N895" s="1" t="str">
        <f t="shared" ref="N895:N950" si="290">"凡华云仓-城南圆通-微信视频号"</f>
        <v>凡华云仓-城南圆通-微信视频号</v>
      </c>
      <c r="O895" s="5" t="s">
        <v>933</v>
      </c>
      <c r="P895" s="6">
        <v>0.25</v>
      </c>
      <c r="Q895" s="11">
        <v>2</v>
      </c>
      <c r="R895" s="11"/>
      <c r="S895" s="11"/>
      <c r="T895" s="11"/>
      <c r="U895" s="11">
        <f t="shared" si="272"/>
        <v>2</v>
      </c>
      <c r="W895">
        <v>2.2000000000000002</v>
      </c>
      <c r="X895" s="1" t="s">
        <v>105</v>
      </c>
    </row>
    <row r="896" spans="1:24" x14ac:dyDescent="0.25">
      <c r="A896" s="1" t="str">
        <f t="shared" si="268"/>
        <v>卡卡杜-凤凰仓</v>
      </c>
      <c r="B896" s="1" t="str">
        <f>"CK20241030355"</f>
        <v>CK20241030355</v>
      </c>
      <c r="C896" s="1" t="str">
        <f>"DD2024103036428"</f>
        <v>DD2024103036428</v>
      </c>
      <c r="D896" s="1" t="str">
        <f>"CK2024103035566"</f>
        <v>CK2024103035566</v>
      </c>
      <c r="E896" s="1" t="str">
        <f>"3723650921839857664"</f>
        <v>3723650921839857664</v>
      </c>
      <c r="F896" s="1" t="str">
        <f t="shared" si="269"/>
        <v>花都四部-凤凰仓</v>
      </c>
      <c r="G896" s="1" t="str">
        <f t="shared" si="288"/>
        <v>卡卡杜企业店（视频号）</v>
      </c>
      <c r="H896" s="1" t="str">
        <f t="shared" si="270"/>
        <v>正常订单</v>
      </c>
      <c r="I896" s="1" t="str">
        <f t="shared" si="271"/>
        <v>已发货</v>
      </c>
      <c r="J896" s="1" t="str">
        <f t="shared" si="289"/>
        <v>3</v>
      </c>
      <c r="K896" s="1">
        <v>2</v>
      </c>
      <c r="L896" s="1" t="s">
        <v>22</v>
      </c>
      <c r="M896" s="1" t="str">
        <f>"江西省 南昌市 青山湖区 "</f>
        <v xml:space="preserve">江西省 南昌市 青山湖区 </v>
      </c>
      <c r="N896" s="1" t="str">
        <f t="shared" si="290"/>
        <v>凡华云仓-城南圆通-微信视频号</v>
      </c>
      <c r="O896" s="5" t="s">
        <v>934</v>
      </c>
      <c r="P896" s="6">
        <v>0.25</v>
      </c>
      <c r="Q896" s="11">
        <v>2</v>
      </c>
      <c r="R896" s="11"/>
      <c r="S896" s="11"/>
      <c r="T896" s="11"/>
      <c r="U896" s="11">
        <f t="shared" si="272"/>
        <v>2</v>
      </c>
      <c r="W896">
        <v>2.2000000000000002</v>
      </c>
      <c r="X896" s="1" t="s">
        <v>22</v>
      </c>
    </row>
    <row r="897" spans="1:24" x14ac:dyDescent="0.25">
      <c r="A897" s="1" t="str">
        <f t="shared" si="268"/>
        <v>卡卡杜-凤凰仓</v>
      </c>
      <c r="B897" s="1" t="str">
        <f>"CK20241030356"</f>
        <v>CK20241030356</v>
      </c>
      <c r="C897" s="1" t="str">
        <f>"DD2024103036429"</f>
        <v>DD2024103036429</v>
      </c>
      <c r="D897" s="1" t="str">
        <f>"CK2024103035565"</f>
        <v>CK2024103035565</v>
      </c>
      <c r="E897" s="1" t="str">
        <f>"3723650922014967040"</f>
        <v>3723650922014967040</v>
      </c>
      <c r="F897" s="1" t="str">
        <f t="shared" si="269"/>
        <v>花都四部-凤凰仓</v>
      </c>
      <c r="G897" s="1" t="str">
        <f t="shared" si="288"/>
        <v>卡卡杜企业店（视频号）</v>
      </c>
      <c r="H897" s="1" t="str">
        <f t="shared" si="270"/>
        <v>正常订单</v>
      </c>
      <c r="I897" s="1" t="str">
        <f t="shared" si="271"/>
        <v>已发货</v>
      </c>
      <c r="J897" s="1" t="str">
        <f t="shared" ref="J897:J902" si="291">"1"</f>
        <v>1</v>
      </c>
      <c r="K897" s="1">
        <v>1</v>
      </c>
      <c r="L897" s="1" t="s">
        <v>18</v>
      </c>
      <c r="M897" s="1" t="str">
        <f>"广东省 佛山市 禅城区 "</f>
        <v xml:space="preserve">广东省 佛山市 禅城区 </v>
      </c>
      <c r="N897" s="1" t="str">
        <f t="shared" si="290"/>
        <v>凡华云仓-城南圆通-微信视频号</v>
      </c>
      <c r="O897" s="5" t="s">
        <v>935</v>
      </c>
      <c r="P897" s="6">
        <v>0.12</v>
      </c>
      <c r="Q897" s="11">
        <v>2</v>
      </c>
      <c r="R897" s="11"/>
      <c r="S897" s="11"/>
      <c r="T897" s="11"/>
      <c r="U897" s="11">
        <f t="shared" si="272"/>
        <v>2</v>
      </c>
      <c r="W897">
        <v>2.2000000000000002</v>
      </c>
      <c r="X897" s="1" t="s">
        <v>18</v>
      </c>
    </row>
    <row r="898" spans="1:24" x14ac:dyDescent="0.25">
      <c r="A898" s="1" t="str">
        <f t="shared" ref="A898:A961" si="292">"卡卡杜-凤凰仓"</f>
        <v>卡卡杜-凤凰仓</v>
      </c>
      <c r="B898" s="1" t="str">
        <f>"CK20241030357"</f>
        <v>CK20241030357</v>
      </c>
      <c r="C898" s="1" t="str">
        <f>"DD2024103036431"</f>
        <v>DD2024103036431</v>
      </c>
      <c r="D898" s="1" t="str">
        <f>"CK2024103035564"</f>
        <v>CK2024103035564</v>
      </c>
      <c r="E898" s="1" t="str">
        <f>"3723650920567147522"</f>
        <v>3723650920567147522</v>
      </c>
      <c r="F898" s="1" t="str">
        <f t="shared" ref="F898:F961" si="293">"花都四部-凤凰仓"</f>
        <v>花都四部-凤凰仓</v>
      </c>
      <c r="G898" s="1" t="str">
        <f t="shared" si="288"/>
        <v>卡卡杜企业店（视频号）</v>
      </c>
      <c r="H898" s="1" t="str">
        <f t="shared" ref="H898:H961" si="294">"正常订单"</f>
        <v>正常订单</v>
      </c>
      <c r="I898" s="1" t="str">
        <f t="shared" ref="I898:I961" si="295">"已发货"</f>
        <v>已发货</v>
      </c>
      <c r="J898" s="1" t="str">
        <f t="shared" ref="J898:J909" si="296">"3"</f>
        <v>3</v>
      </c>
      <c r="K898" s="1">
        <v>2</v>
      </c>
      <c r="L898" s="1" t="s">
        <v>13</v>
      </c>
      <c r="M898" s="1" t="str">
        <f>"江苏省 南京市 江宁区 "</f>
        <v xml:space="preserve">江苏省 南京市 江宁区 </v>
      </c>
      <c r="N898" s="1" t="str">
        <f t="shared" si="290"/>
        <v>凡华云仓-城南圆通-微信视频号</v>
      </c>
      <c r="O898" s="5" t="s">
        <v>936</v>
      </c>
      <c r="P898" s="6">
        <v>0.25</v>
      </c>
      <c r="Q898" s="11">
        <v>2</v>
      </c>
      <c r="R898" s="11"/>
      <c r="S898" s="11"/>
      <c r="T898" s="11"/>
      <c r="U898" s="11">
        <f t="shared" si="272"/>
        <v>2</v>
      </c>
      <c r="W898">
        <v>2.2000000000000002</v>
      </c>
      <c r="X898" s="1" t="s">
        <v>13</v>
      </c>
    </row>
    <row r="899" spans="1:24" x14ac:dyDescent="0.25">
      <c r="A899" s="1" t="str">
        <f t="shared" si="292"/>
        <v>卡卡杜-凤凰仓</v>
      </c>
      <c r="B899" s="1" t="str">
        <f>"CK20241030359"</f>
        <v>CK20241030359</v>
      </c>
      <c r="C899" s="1" t="str">
        <f>"DD2024103036433"</f>
        <v>DD2024103036433</v>
      </c>
      <c r="D899" s="1" t="str">
        <f>"CK2024103035563"</f>
        <v>CK2024103035563</v>
      </c>
      <c r="E899" s="1" t="str">
        <f>"3723650907929449472"</f>
        <v>3723650907929449472</v>
      </c>
      <c r="F899" s="1" t="str">
        <f t="shared" si="293"/>
        <v>花都四部-凤凰仓</v>
      </c>
      <c r="G899" s="1" t="str">
        <f t="shared" si="288"/>
        <v>卡卡杜企业店（视频号）</v>
      </c>
      <c r="H899" s="1" t="str">
        <f t="shared" si="294"/>
        <v>正常订单</v>
      </c>
      <c r="I899" s="1" t="str">
        <f t="shared" si="295"/>
        <v>已发货</v>
      </c>
      <c r="J899" s="1" t="str">
        <f t="shared" si="296"/>
        <v>3</v>
      </c>
      <c r="K899" s="1">
        <v>2</v>
      </c>
      <c r="L899" s="1" t="s">
        <v>218</v>
      </c>
      <c r="M899" s="1" t="str">
        <f>"天津 天津市 津南区 "</f>
        <v xml:space="preserve">天津 天津市 津南区 </v>
      </c>
      <c r="N899" s="1" t="str">
        <f t="shared" si="290"/>
        <v>凡华云仓-城南圆通-微信视频号</v>
      </c>
      <c r="O899" s="5" t="s">
        <v>937</v>
      </c>
      <c r="P899" s="6">
        <v>0.25</v>
      </c>
      <c r="Q899" s="11">
        <v>2</v>
      </c>
      <c r="R899" s="11"/>
      <c r="S899" s="11"/>
      <c r="T899" s="11"/>
      <c r="U899" s="11">
        <f t="shared" ref="U899:U962" si="297">T899+S899+R899+Q899</f>
        <v>2</v>
      </c>
      <c r="W899">
        <v>2.2000000000000002</v>
      </c>
      <c r="X899" s="1" t="s">
        <v>218</v>
      </c>
    </row>
    <row r="900" spans="1:24" x14ac:dyDescent="0.25">
      <c r="A900" s="1" t="str">
        <f t="shared" si="292"/>
        <v>卡卡杜-凤凰仓</v>
      </c>
      <c r="B900" s="1" t="str">
        <f>"CK20241030360"</f>
        <v>CK20241030360</v>
      </c>
      <c r="C900" s="1" t="str">
        <f>"DD2024103036434"</f>
        <v>DD2024103036434</v>
      </c>
      <c r="D900" s="1" t="str">
        <f>"CK2024103035562"</f>
        <v>CK2024103035562</v>
      </c>
      <c r="E900" s="1" t="str">
        <f>"3723650910704505856"</f>
        <v>3723650910704505856</v>
      </c>
      <c r="F900" s="1" t="str">
        <f t="shared" si="293"/>
        <v>花都四部-凤凰仓</v>
      </c>
      <c r="G900" s="1" t="str">
        <f t="shared" si="288"/>
        <v>卡卡杜企业店（视频号）</v>
      </c>
      <c r="H900" s="1" t="str">
        <f t="shared" si="294"/>
        <v>正常订单</v>
      </c>
      <c r="I900" s="1" t="str">
        <f t="shared" si="295"/>
        <v>已发货</v>
      </c>
      <c r="J900" s="1" t="str">
        <f t="shared" si="291"/>
        <v>1</v>
      </c>
      <c r="K900" s="1">
        <v>1</v>
      </c>
      <c r="L900" s="1" t="s">
        <v>74</v>
      </c>
      <c r="M900" s="1" t="str">
        <f>"上海 上海市 浦东新区 "</f>
        <v xml:space="preserve">上海 上海市 浦东新区 </v>
      </c>
      <c r="N900" s="1" t="str">
        <f t="shared" si="290"/>
        <v>凡华云仓-城南圆通-微信视频号</v>
      </c>
      <c r="O900" s="5" t="s">
        <v>938</v>
      </c>
      <c r="P900" s="6">
        <v>0.12</v>
      </c>
      <c r="Q900" s="11">
        <v>2</v>
      </c>
      <c r="R900" s="11"/>
      <c r="S900" s="11"/>
      <c r="T900" s="11"/>
      <c r="U900" s="11">
        <f t="shared" si="297"/>
        <v>2</v>
      </c>
      <c r="W900">
        <v>2.2000000000000002</v>
      </c>
      <c r="X900" s="1" t="s">
        <v>74</v>
      </c>
    </row>
    <row r="901" spans="1:24" x14ac:dyDescent="0.25">
      <c r="A901" s="1" t="str">
        <f t="shared" si="292"/>
        <v>卡卡杜-凤凰仓</v>
      </c>
      <c r="B901" s="1" t="str">
        <f>"CK20241030366"</f>
        <v>CK20241030366</v>
      </c>
      <c r="C901" s="1" t="str">
        <f>"DD2024103036442"</f>
        <v>DD2024103036442</v>
      </c>
      <c r="D901" s="1" t="str">
        <f>"CK2024103035561"</f>
        <v>CK2024103035561</v>
      </c>
      <c r="E901" s="1" t="str">
        <f>"3723650900656787456"</f>
        <v>3723650900656787456</v>
      </c>
      <c r="F901" s="1" t="str">
        <f t="shared" si="293"/>
        <v>花都四部-凤凰仓</v>
      </c>
      <c r="G901" s="1" t="str">
        <f t="shared" si="288"/>
        <v>卡卡杜企业店（视频号）</v>
      </c>
      <c r="H901" s="1" t="str">
        <f t="shared" si="294"/>
        <v>正常订单</v>
      </c>
      <c r="I901" s="1" t="str">
        <f t="shared" si="295"/>
        <v>已发货</v>
      </c>
      <c r="J901" s="1" t="str">
        <f t="shared" si="291"/>
        <v>1</v>
      </c>
      <c r="K901" s="1">
        <v>1</v>
      </c>
      <c r="L901" s="1" t="s">
        <v>92</v>
      </c>
      <c r="M901" s="1" t="str">
        <f>"辽宁省 阜新市 海州区 "</f>
        <v xml:space="preserve">辽宁省 阜新市 海州区 </v>
      </c>
      <c r="N901" s="1" t="str">
        <f t="shared" si="290"/>
        <v>凡华云仓-城南圆通-微信视频号</v>
      </c>
      <c r="O901" s="5" t="s">
        <v>939</v>
      </c>
      <c r="P901" s="6">
        <v>0.12</v>
      </c>
      <c r="Q901" s="11">
        <v>2</v>
      </c>
      <c r="R901" s="11"/>
      <c r="S901" s="11"/>
      <c r="T901" s="11"/>
      <c r="U901" s="11">
        <f t="shared" si="297"/>
        <v>2</v>
      </c>
      <c r="W901">
        <v>2.2000000000000002</v>
      </c>
      <c r="X901" s="1" t="s">
        <v>92</v>
      </c>
    </row>
    <row r="902" spans="1:24" x14ac:dyDescent="0.25">
      <c r="A902" s="1" t="str">
        <f t="shared" si="292"/>
        <v>卡卡杜-凤凰仓</v>
      </c>
      <c r="B902" s="1" t="str">
        <f>"CK20241030361"</f>
        <v>CK20241030361</v>
      </c>
      <c r="C902" s="1" t="str">
        <f>"DD2024103036436"</f>
        <v>DD2024103036436</v>
      </c>
      <c r="D902" s="1" t="str">
        <f>"CK2024103035560"</f>
        <v>CK2024103035560</v>
      </c>
      <c r="E902" s="1" t="str">
        <f>"3723650912501502976"</f>
        <v>3723650912501502976</v>
      </c>
      <c r="F902" s="1" t="str">
        <f t="shared" si="293"/>
        <v>花都四部-凤凰仓</v>
      </c>
      <c r="G902" s="1" t="str">
        <f t="shared" si="288"/>
        <v>卡卡杜企业店（视频号）</v>
      </c>
      <c r="H902" s="1" t="str">
        <f t="shared" si="294"/>
        <v>正常订单</v>
      </c>
      <c r="I902" s="1" t="str">
        <f t="shared" si="295"/>
        <v>已发货</v>
      </c>
      <c r="J902" s="1" t="str">
        <f t="shared" si="291"/>
        <v>1</v>
      </c>
      <c r="K902" s="1">
        <v>1</v>
      </c>
      <c r="L902" s="1" t="s">
        <v>22</v>
      </c>
      <c r="M902" s="1" t="str">
        <f>"江西省 赣州市 南康区 "</f>
        <v xml:space="preserve">江西省 赣州市 南康区 </v>
      </c>
      <c r="N902" s="1" t="str">
        <f t="shared" si="290"/>
        <v>凡华云仓-城南圆通-微信视频号</v>
      </c>
      <c r="O902" s="5" t="s">
        <v>940</v>
      </c>
      <c r="P902" s="6">
        <v>0.12</v>
      </c>
      <c r="Q902" s="11">
        <v>2</v>
      </c>
      <c r="R902" s="11"/>
      <c r="S902" s="11"/>
      <c r="T902" s="11"/>
      <c r="U902" s="11">
        <f t="shared" si="297"/>
        <v>2</v>
      </c>
      <c r="W902">
        <v>2.2000000000000002</v>
      </c>
      <c r="X902" s="1" t="s">
        <v>22</v>
      </c>
    </row>
    <row r="903" spans="1:24" x14ac:dyDescent="0.25">
      <c r="A903" s="1" t="str">
        <f t="shared" si="292"/>
        <v>卡卡杜-凤凰仓</v>
      </c>
      <c r="B903" s="1" t="str">
        <f>"CK20241030362"</f>
        <v>CK20241030362</v>
      </c>
      <c r="C903" s="1" t="str">
        <f>"DD2024103036435"</f>
        <v>DD2024103036435</v>
      </c>
      <c r="D903" s="1" t="str">
        <f>"CK2024103035559"</f>
        <v>CK2024103035559</v>
      </c>
      <c r="E903" s="1" t="str">
        <f>"3723650909987276288"</f>
        <v>3723650909987276288</v>
      </c>
      <c r="F903" s="1" t="str">
        <f t="shared" si="293"/>
        <v>花都四部-凤凰仓</v>
      </c>
      <c r="G903" s="1" t="str">
        <f t="shared" si="288"/>
        <v>卡卡杜企业店（视频号）</v>
      </c>
      <c r="H903" s="1" t="str">
        <f t="shared" si="294"/>
        <v>正常订单</v>
      </c>
      <c r="I903" s="1" t="str">
        <f t="shared" si="295"/>
        <v>已发货</v>
      </c>
      <c r="J903" s="1" t="str">
        <f t="shared" si="296"/>
        <v>3</v>
      </c>
      <c r="K903" s="1">
        <v>2</v>
      </c>
      <c r="L903" s="1" t="s">
        <v>105</v>
      </c>
      <c r="M903" s="1" t="str">
        <f>"北京 北京市 朝阳区 "</f>
        <v xml:space="preserve">北京 北京市 朝阳区 </v>
      </c>
      <c r="N903" s="1" t="str">
        <f t="shared" si="290"/>
        <v>凡华云仓-城南圆通-微信视频号</v>
      </c>
      <c r="O903" s="5" t="s">
        <v>941</v>
      </c>
      <c r="P903" s="6">
        <v>0.25</v>
      </c>
      <c r="Q903" s="11">
        <v>2</v>
      </c>
      <c r="R903" s="11"/>
      <c r="S903" s="11"/>
      <c r="T903" s="11"/>
      <c r="U903" s="11">
        <f t="shared" si="297"/>
        <v>2</v>
      </c>
      <c r="W903">
        <v>2.2000000000000002</v>
      </c>
      <c r="X903" s="1" t="s">
        <v>105</v>
      </c>
    </row>
    <row r="904" spans="1:24" x14ac:dyDescent="0.25">
      <c r="A904" s="1" t="str">
        <f t="shared" si="292"/>
        <v>卡卡杜-凤凰仓</v>
      </c>
      <c r="B904" s="1" t="str">
        <f>"CK20241030363"</f>
        <v>CK20241030363</v>
      </c>
      <c r="C904" s="1" t="str">
        <f>"DD2024103036437"</f>
        <v>DD2024103036437</v>
      </c>
      <c r="D904" s="1" t="str">
        <f>"CK2024103035558"</f>
        <v>CK2024103035558</v>
      </c>
      <c r="E904" s="1" t="str">
        <f>"3723650908833057792"</f>
        <v>3723650908833057792</v>
      </c>
      <c r="F904" s="1" t="str">
        <f t="shared" si="293"/>
        <v>花都四部-凤凰仓</v>
      </c>
      <c r="G904" s="1" t="str">
        <f t="shared" si="288"/>
        <v>卡卡杜企业店（视频号）</v>
      </c>
      <c r="H904" s="1" t="str">
        <f t="shared" si="294"/>
        <v>正常订单</v>
      </c>
      <c r="I904" s="1" t="str">
        <f t="shared" si="295"/>
        <v>已发货</v>
      </c>
      <c r="J904" s="1" t="str">
        <f t="shared" si="296"/>
        <v>3</v>
      </c>
      <c r="K904" s="1">
        <v>2</v>
      </c>
      <c r="L904" s="1" t="s">
        <v>66</v>
      </c>
      <c r="M904" s="1" t="str">
        <f>"内蒙古自治区 呼和浩特市 回民区 "</f>
        <v xml:space="preserve">内蒙古自治区 呼和浩特市 回民区 </v>
      </c>
      <c r="N904" s="1" t="str">
        <f t="shared" si="290"/>
        <v>凡华云仓-城南圆通-微信视频号</v>
      </c>
      <c r="O904" s="5" t="s">
        <v>942</v>
      </c>
      <c r="P904" s="6">
        <v>0.25</v>
      </c>
      <c r="Q904" s="11">
        <v>2</v>
      </c>
      <c r="R904" s="11"/>
      <c r="S904" s="11"/>
      <c r="T904" s="11"/>
      <c r="U904" s="11">
        <f t="shared" si="297"/>
        <v>2</v>
      </c>
      <c r="W904">
        <v>2.2000000000000002</v>
      </c>
      <c r="X904" s="1" t="s">
        <v>66</v>
      </c>
    </row>
    <row r="905" spans="1:24" x14ac:dyDescent="0.25">
      <c r="A905" s="1" t="str">
        <f t="shared" si="292"/>
        <v>卡卡杜-凤凰仓</v>
      </c>
      <c r="B905" s="1" t="str">
        <f>"CK20241030364"</f>
        <v>CK20241030364</v>
      </c>
      <c r="C905" s="1" t="str">
        <f>"DD2024103036440"</f>
        <v>DD2024103036440</v>
      </c>
      <c r="D905" s="1" t="str">
        <f>"CK2024103035557"</f>
        <v>CK2024103035557</v>
      </c>
      <c r="E905" s="1" t="str">
        <f>"3723650908558853376"</f>
        <v>3723650908558853376</v>
      </c>
      <c r="F905" s="1" t="str">
        <f t="shared" si="293"/>
        <v>花都四部-凤凰仓</v>
      </c>
      <c r="G905" s="1" t="str">
        <f t="shared" si="288"/>
        <v>卡卡杜企业店（视频号）</v>
      </c>
      <c r="H905" s="1" t="str">
        <f t="shared" si="294"/>
        <v>正常订单</v>
      </c>
      <c r="I905" s="1" t="str">
        <f t="shared" si="295"/>
        <v>已发货</v>
      </c>
      <c r="J905" s="1" t="str">
        <f t="shared" si="296"/>
        <v>3</v>
      </c>
      <c r="K905" s="1">
        <v>2</v>
      </c>
      <c r="L905" s="1" t="s">
        <v>105</v>
      </c>
      <c r="M905" s="1" t="str">
        <f t="shared" ref="M905:M910" si="298">"北京 北京市 丰台区 "</f>
        <v xml:space="preserve">北京 北京市 丰台区 </v>
      </c>
      <c r="N905" s="1" t="str">
        <f t="shared" si="290"/>
        <v>凡华云仓-城南圆通-微信视频号</v>
      </c>
      <c r="O905" s="5" t="s">
        <v>943</v>
      </c>
      <c r="P905" s="6">
        <v>0.25</v>
      </c>
      <c r="Q905" s="11">
        <v>2</v>
      </c>
      <c r="R905" s="11"/>
      <c r="S905" s="11"/>
      <c r="T905" s="11"/>
      <c r="U905" s="11">
        <f t="shared" si="297"/>
        <v>2</v>
      </c>
      <c r="W905">
        <v>2.2000000000000002</v>
      </c>
      <c r="X905" s="1" t="s">
        <v>105</v>
      </c>
    </row>
    <row r="906" spans="1:24" x14ac:dyDescent="0.25">
      <c r="A906" s="1" t="str">
        <f t="shared" si="292"/>
        <v>卡卡杜-凤凰仓</v>
      </c>
      <c r="B906" s="1" t="str">
        <f>"CK20241030365"</f>
        <v>CK20241030365</v>
      </c>
      <c r="C906" s="1" t="str">
        <f>"DD2024103036439"</f>
        <v>DD2024103036439</v>
      </c>
      <c r="D906" s="1" t="str">
        <f>"CK2024103035556"</f>
        <v>CK2024103035556</v>
      </c>
      <c r="E906" s="1" t="str">
        <f>"3723650902969684992"</f>
        <v>3723650902969684992</v>
      </c>
      <c r="F906" s="1" t="str">
        <f t="shared" si="293"/>
        <v>花都四部-凤凰仓</v>
      </c>
      <c r="G906" s="1" t="str">
        <f t="shared" si="288"/>
        <v>卡卡杜企业店（视频号）</v>
      </c>
      <c r="H906" s="1" t="str">
        <f t="shared" si="294"/>
        <v>正常订单</v>
      </c>
      <c r="I906" s="1" t="str">
        <f t="shared" si="295"/>
        <v>已发货</v>
      </c>
      <c r="J906" s="1" t="str">
        <f t="shared" si="296"/>
        <v>3</v>
      </c>
      <c r="K906" s="1">
        <v>2</v>
      </c>
      <c r="L906" s="1" t="s">
        <v>80</v>
      </c>
      <c r="M906" s="1" t="str">
        <f>"河南省 郑州市 金水区 "</f>
        <v xml:space="preserve">河南省 郑州市 金水区 </v>
      </c>
      <c r="N906" s="1" t="str">
        <f t="shared" si="290"/>
        <v>凡华云仓-城南圆通-微信视频号</v>
      </c>
      <c r="O906" s="5" t="s">
        <v>944</v>
      </c>
      <c r="P906" s="6">
        <v>0.25</v>
      </c>
      <c r="Q906" s="11">
        <v>2</v>
      </c>
      <c r="R906" s="11"/>
      <c r="S906" s="11"/>
      <c r="T906" s="11"/>
      <c r="U906" s="11">
        <f t="shared" si="297"/>
        <v>2</v>
      </c>
      <c r="W906">
        <v>2.2000000000000002</v>
      </c>
      <c r="X906" s="1" t="s">
        <v>80</v>
      </c>
    </row>
    <row r="907" spans="1:24" x14ac:dyDescent="0.25">
      <c r="A907" s="1" t="str">
        <f t="shared" si="292"/>
        <v>卡卡杜-凤凰仓</v>
      </c>
      <c r="B907" s="1" t="str">
        <f>"CK20241030369"</f>
        <v>CK20241030369</v>
      </c>
      <c r="C907" s="1" t="str">
        <f>"DD2024103036444"</f>
        <v>DD2024103036444</v>
      </c>
      <c r="D907" s="1" t="str">
        <f>"CK2024103035555"</f>
        <v>CK2024103035555</v>
      </c>
      <c r="E907" s="1" t="str">
        <f>"3723650899208439040"</f>
        <v>3723650899208439040</v>
      </c>
      <c r="F907" s="1" t="str">
        <f t="shared" si="293"/>
        <v>花都四部-凤凰仓</v>
      </c>
      <c r="G907" s="1" t="str">
        <f t="shared" si="288"/>
        <v>卡卡杜企业店（视频号）</v>
      </c>
      <c r="H907" s="1" t="str">
        <f t="shared" si="294"/>
        <v>正常订单</v>
      </c>
      <c r="I907" s="1" t="str">
        <f t="shared" si="295"/>
        <v>已发货</v>
      </c>
      <c r="J907" s="1" t="str">
        <f t="shared" si="296"/>
        <v>3</v>
      </c>
      <c r="K907" s="1">
        <v>2</v>
      </c>
      <c r="L907" s="1" t="s">
        <v>105</v>
      </c>
      <c r="M907" s="1" t="str">
        <f t="shared" si="298"/>
        <v xml:space="preserve">北京 北京市 丰台区 </v>
      </c>
      <c r="N907" s="1" t="str">
        <f t="shared" si="290"/>
        <v>凡华云仓-城南圆通-微信视频号</v>
      </c>
      <c r="O907" s="5" t="s">
        <v>945</v>
      </c>
      <c r="P907" s="6">
        <v>0.25</v>
      </c>
      <c r="Q907" s="11">
        <v>2</v>
      </c>
      <c r="R907" s="11"/>
      <c r="S907" s="11"/>
      <c r="T907" s="11"/>
      <c r="U907" s="11">
        <f t="shared" si="297"/>
        <v>2</v>
      </c>
      <c r="W907">
        <v>2.2000000000000002</v>
      </c>
      <c r="X907" s="1" t="s">
        <v>105</v>
      </c>
    </row>
    <row r="908" spans="1:24" x14ac:dyDescent="0.25">
      <c r="A908" s="1" t="str">
        <f t="shared" si="292"/>
        <v>卡卡杜-凤凰仓</v>
      </c>
      <c r="B908" s="1" t="str">
        <f>"CK20241030367"</f>
        <v>CK20241030367</v>
      </c>
      <c r="C908" s="1" t="str">
        <f>"DD2024103036441"</f>
        <v>DD2024103036441</v>
      </c>
      <c r="D908" s="1" t="str">
        <f>"CK2024103035554"</f>
        <v>CK2024103035554</v>
      </c>
      <c r="E908" s="1" t="str">
        <f>"3723650899293899776"</f>
        <v>3723650899293899776</v>
      </c>
      <c r="F908" s="1" t="str">
        <f t="shared" si="293"/>
        <v>花都四部-凤凰仓</v>
      </c>
      <c r="G908" s="1" t="str">
        <f t="shared" si="288"/>
        <v>卡卡杜企业店（视频号）</v>
      </c>
      <c r="H908" s="1" t="str">
        <f t="shared" si="294"/>
        <v>正常订单</v>
      </c>
      <c r="I908" s="1" t="str">
        <f t="shared" si="295"/>
        <v>已发货</v>
      </c>
      <c r="J908" s="1" t="str">
        <f t="shared" si="296"/>
        <v>3</v>
      </c>
      <c r="K908" s="1">
        <v>2</v>
      </c>
      <c r="L908" s="1" t="s">
        <v>74</v>
      </c>
      <c r="M908" s="1" t="str">
        <f>"上海 上海市 闵行区 "</f>
        <v xml:space="preserve">上海 上海市 闵行区 </v>
      </c>
      <c r="N908" s="1" t="str">
        <f t="shared" si="290"/>
        <v>凡华云仓-城南圆通-微信视频号</v>
      </c>
      <c r="O908" s="5" t="s">
        <v>946</v>
      </c>
      <c r="P908" s="6">
        <v>0.25</v>
      </c>
      <c r="Q908" s="11">
        <v>2</v>
      </c>
      <c r="R908" s="11"/>
      <c r="S908" s="11"/>
      <c r="T908" s="11"/>
      <c r="U908" s="11">
        <f t="shared" si="297"/>
        <v>2</v>
      </c>
      <c r="W908">
        <v>2.2000000000000002</v>
      </c>
      <c r="X908" s="1" t="s">
        <v>74</v>
      </c>
    </row>
    <row r="909" spans="1:24" x14ac:dyDescent="0.25">
      <c r="A909" s="1" t="str">
        <f t="shared" si="292"/>
        <v>卡卡杜-凤凰仓</v>
      </c>
      <c r="B909" s="1" t="str">
        <f>"CK20241030368"</f>
        <v>CK20241030368</v>
      </c>
      <c r="C909" s="1" t="str">
        <f>"DD2024103036443"</f>
        <v>DD2024103036443</v>
      </c>
      <c r="D909" s="1" t="str">
        <f>"CK2024103035553"</f>
        <v>CK2024103035553</v>
      </c>
      <c r="E909" s="1" t="str">
        <f>"3723650900772918273"</f>
        <v>3723650900772918273</v>
      </c>
      <c r="F909" s="1" t="str">
        <f t="shared" si="293"/>
        <v>花都四部-凤凰仓</v>
      </c>
      <c r="G909" s="1" t="str">
        <f t="shared" si="288"/>
        <v>卡卡杜企业店（视频号）</v>
      </c>
      <c r="H909" s="1" t="str">
        <f t="shared" si="294"/>
        <v>正常订单</v>
      </c>
      <c r="I909" s="1" t="str">
        <f t="shared" si="295"/>
        <v>已发货</v>
      </c>
      <c r="J909" s="1" t="str">
        <f t="shared" si="296"/>
        <v>3</v>
      </c>
      <c r="K909" s="1">
        <v>2</v>
      </c>
      <c r="L909" s="1" t="s">
        <v>105</v>
      </c>
      <c r="M909" s="1" t="str">
        <f>"北京 北京市 海淀区 "</f>
        <v xml:space="preserve">北京 北京市 海淀区 </v>
      </c>
      <c r="N909" s="1" t="str">
        <f t="shared" si="290"/>
        <v>凡华云仓-城南圆通-微信视频号</v>
      </c>
      <c r="O909" s="5" t="s">
        <v>947</v>
      </c>
      <c r="P909" s="6">
        <v>0.25</v>
      </c>
      <c r="Q909" s="11">
        <v>2</v>
      </c>
      <c r="R909" s="11"/>
      <c r="S909" s="11"/>
      <c r="T909" s="11"/>
      <c r="U909" s="11">
        <f t="shared" si="297"/>
        <v>2</v>
      </c>
      <c r="W909">
        <v>2.2000000000000002</v>
      </c>
      <c r="X909" s="1" t="s">
        <v>105</v>
      </c>
    </row>
    <row r="910" spans="1:24" x14ac:dyDescent="0.25">
      <c r="A910" s="1" t="str">
        <f t="shared" si="292"/>
        <v>卡卡杜-凤凰仓</v>
      </c>
      <c r="B910" s="1" t="str">
        <f>"CK20241030374"</f>
        <v>CK20241030374</v>
      </c>
      <c r="C910" s="1" t="str">
        <f>"DD2024103036449"</f>
        <v>DD2024103036449</v>
      </c>
      <c r="D910" s="1" t="str">
        <f>"CK2024103035552"</f>
        <v>CK2024103035552</v>
      </c>
      <c r="E910" s="1" t="str">
        <f>"3723650895409976320"</f>
        <v>3723650895409976320</v>
      </c>
      <c r="F910" s="1" t="str">
        <f t="shared" si="293"/>
        <v>花都四部-凤凰仓</v>
      </c>
      <c r="G910" s="1" t="str">
        <f t="shared" si="288"/>
        <v>卡卡杜企业店（视频号）</v>
      </c>
      <c r="H910" s="1" t="str">
        <f t="shared" si="294"/>
        <v>正常订单</v>
      </c>
      <c r="I910" s="1" t="str">
        <f t="shared" si="295"/>
        <v>已发货</v>
      </c>
      <c r="J910" s="1" t="str">
        <f t="shared" ref="J910:J915" si="299">"1"</f>
        <v>1</v>
      </c>
      <c r="K910" s="1">
        <v>1</v>
      </c>
      <c r="L910" s="1" t="s">
        <v>105</v>
      </c>
      <c r="M910" s="1" t="str">
        <f t="shared" si="298"/>
        <v xml:space="preserve">北京 北京市 丰台区 </v>
      </c>
      <c r="N910" s="1" t="str">
        <f t="shared" si="290"/>
        <v>凡华云仓-城南圆通-微信视频号</v>
      </c>
      <c r="O910" s="5" t="s">
        <v>948</v>
      </c>
      <c r="P910" s="6">
        <v>0.12</v>
      </c>
      <c r="Q910" s="11">
        <v>2</v>
      </c>
      <c r="R910" s="11"/>
      <c r="S910" s="11"/>
      <c r="T910" s="11"/>
      <c r="U910" s="11">
        <f t="shared" si="297"/>
        <v>2</v>
      </c>
      <c r="W910">
        <v>2.2000000000000002</v>
      </c>
      <c r="X910" s="1" t="s">
        <v>105</v>
      </c>
    </row>
    <row r="911" spans="1:24" x14ac:dyDescent="0.25">
      <c r="A911" s="1" t="str">
        <f t="shared" si="292"/>
        <v>卡卡杜-凤凰仓</v>
      </c>
      <c r="B911" s="1" t="str">
        <f>"CK20241030370"</f>
        <v>CK20241030370</v>
      </c>
      <c r="C911" s="1" t="str">
        <f>"DD2024103036445"</f>
        <v>DD2024103036445</v>
      </c>
      <c r="D911" s="1" t="str">
        <f>"CK2024103035551"</f>
        <v>CK2024103035551</v>
      </c>
      <c r="E911" s="1" t="str">
        <f>"3723650899613451520"</f>
        <v>3723650899613451520</v>
      </c>
      <c r="F911" s="1" t="str">
        <f t="shared" si="293"/>
        <v>花都四部-凤凰仓</v>
      </c>
      <c r="G911" s="1" t="str">
        <f t="shared" si="288"/>
        <v>卡卡杜企业店（视频号）</v>
      </c>
      <c r="H911" s="1" t="str">
        <f t="shared" si="294"/>
        <v>正常订单</v>
      </c>
      <c r="I911" s="1" t="str">
        <f t="shared" si="295"/>
        <v>已发货</v>
      </c>
      <c r="J911" s="1" t="str">
        <f t="shared" si="299"/>
        <v>1</v>
      </c>
      <c r="K911" s="1">
        <v>1</v>
      </c>
      <c r="L911" s="1" t="s">
        <v>18</v>
      </c>
      <c r="M911" s="1" t="str">
        <f>"广东省 佛山市 禅城区 "</f>
        <v xml:space="preserve">广东省 佛山市 禅城区 </v>
      </c>
      <c r="N911" s="1" t="str">
        <f t="shared" si="290"/>
        <v>凡华云仓-城南圆通-微信视频号</v>
      </c>
      <c r="O911" s="5" t="s">
        <v>949</v>
      </c>
      <c r="P911" s="6">
        <v>0.12</v>
      </c>
      <c r="Q911" s="11">
        <v>2</v>
      </c>
      <c r="R911" s="11"/>
      <c r="S911" s="11"/>
      <c r="T911" s="11"/>
      <c r="U911" s="11">
        <f t="shared" si="297"/>
        <v>2</v>
      </c>
      <c r="W911">
        <v>2.2000000000000002</v>
      </c>
      <c r="X911" s="1" t="s">
        <v>18</v>
      </c>
    </row>
    <row r="912" spans="1:24" x14ac:dyDescent="0.25">
      <c r="A912" s="1" t="str">
        <f t="shared" si="292"/>
        <v>卡卡杜-凤凰仓</v>
      </c>
      <c r="B912" s="1" t="str">
        <f>"CK20241030371"</f>
        <v>CK20241030371</v>
      </c>
      <c r="C912" s="1" t="str">
        <f>"DD2024103036446"</f>
        <v>DD2024103036446</v>
      </c>
      <c r="D912" s="1" t="str">
        <f>"CK2024103035550"</f>
        <v>CK2024103035550</v>
      </c>
      <c r="E912" s="1" t="str">
        <f>"3723650898206265344"</f>
        <v>3723650898206265344</v>
      </c>
      <c r="F912" s="1" t="str">
        <f t="shared" si="293"/>
        <v>花都四部-凤凰仓</v>
      </c>
      <c r="G912" s="1" t="str">
        <f t="shared" si="288"/>
        <v>卡卡杜企业店（视频号）</v>
      </c>
      <c r="H912" s="1" t="str">
        <f t="shared" si="294"/>
        <v>正常订单</v>
      </c>
      <c r="I912" s="1" t="str">
        <f t="shared" si="295"/>
        <v>已发货</v>
      </c>
      <c r="J912" s="1" t="str">
        <f>"3"</f>
        <v>3</v>
      </c>
      <c r="K912" s="1">
        <v>2</v>
      </c>
      <c r="L912" s="1" t="s">
        <v>18</v>
      </c>
      <c r="M912" s="1" t="str">
        <f>"广东省 广州市 荔湾区 "</f>
        <v xml:space="preserve">广东省 广州市 荔湾区 </v>
      </c>
      <c r="N912" s="1" t="str">
        <f t="shared" si="290"/>
        <v>凡华云仓-城南圆通-微信视频号</v>
      </c>
      <c r="O912" s="5" t="s">
        <v>950</v>
      </c>
      <c r="P912" s="6">
        <v>0.25</v>
      </c>
      <c r="Q912" s="11">
        <v>2</v>
      </c>
      <c r="R912" s="11"/>
      <c r="S912" s="11"/>
      <c r="T912" s="11"/>
      <c r="U912" s="11">
        <f t="shared" si="297"/>
        <v>2</v>
      </c>
      <c r="W912">
        <v>2.2000000000000002</v>
      </c>
      <c r="X912" s="1" t="s">
        <v>18</v>
      </c>
    </row>
    <row r="913" spans="1:24" x14ac:dyDescent="0.25">
      <c r="A913" s="1" t="str">
        <f t="shared" si="292"/>
        <v>卡卡杜-凤凰仓</v>
      </c>
      <c r="B913" s="1" t="str">
        <f>"CK20241030372"</f>
        <v>CK20241030372</v>
      </c>
      <c r="C913" s="1" t="str">
        <f>"DD2024103036447"</f>
        <v>DD2024103036447</v>
      </c>
      <c r="D913" s="1" t="str">
        <f>"CK2024103035549"</f>
        <v>CK2024103035549</v>
      </c>
      <c r="E913" s="1" t="str">
        <f>"3723650898225402881"</f>
        <v>3723650898225402881</v>
      </c>
      <c r="F913" s="1" t="str">
        <f t="shared" si="293"/>
        <v>花都四部-凤凰仓</v>
      </c>
      <c r="G913" s="1" t="str">
        <f t="shared" si="288"/>
        <v>卡卡杜企业店（视频号）</v>
      </c>
      <c r="H913" s="1" t="str">
        <f t="shared" si="294"/>
        <v>正常订单</v>
      </c>
      <c r="I913" s="1" t="str">
        <f t="shared" si="295"/>
        <v>已发货</v>
      </c>
      <c r="J913" s="1" t="str">
        <f t="shared" si="299"/>
        <v>1</v>
      </c>
      <c r="K913" s="1">
        <v>1</v>
      </c>
      <c r="L913" s="1" t="s">
        <v>47</v>
      </c>
      <c r="M913" s="1" t="str">
        <f>"重庆 重庆市 南岸区 "</f>
        <v xml:space="preserve">重庆 重庆市 南岸区 </v>
      </c>
      <c r="N913" s="1" t="str">
        <f t="shared" si="290"/>
        <v>凡华云仓-城南圆通-微信视频号</v>
      </c>
      <c r="O913" s="5" t="s">
        <v>951</v>
      </c>
      <c r="P913" s="6">
        <v>0.12</v>
      </c>
      <c r="Q913" s="11">
        <v>2</v>
      </c>
      <c r="R913" s="11"/>
      <c r="S913" s="11"/>
      <c r="T913" s="11"/>
      <c r="U913" s="11">
        <f t="shared" si="297"/>
        <v>2</v>
      </c>
      <c r="W913">
        <v>2.2000000000000002</v>
      </c>
      <c r="X913" s="1" t="s">
        <v>47</v>
      </c>
    </row>
    <row r="914" spans="1:24" x14ac:dyDescent="0.25">
      <c r="A914" s="1" t="str">
        <f t="shared" si="292"/>
        <v>卡卡杜-凤凰仓</v>
      </c>
      <c r="B914" s="1" t="str">
        <f>"CK20241030373"</f>
        <v>CK20241030373</v>
      </c>
      <c r="C914" s="1" t="str">
        <f>"DD2024103036448"</f>
        <v>DD2024103036448</v>
      </c>
      <c r="D914" s="1" t="str">
        <f>"CK2024103035548"</f>
        <v>CK2024103035548</v>
      </c>
      <c r="E914" s="1" t="str">
        <f>"3723650897723657216"</f>
        <v>3723650897723657216</v>
      </c>
      <c r="F914" s="1" t="str">
        <f t="shared" si="293"/>
        <v>花都四部-凤凰仓</v>
      </c>
      <c r="G914" s="1" t="str">
        <f t="shared" si="288"/>
        <v>卡卡杜企业店（视频号）</v>
      </c>
      <c r="H914" s="1" t="str">
        <f t="shared" si="294"/>
        <v>正常订单</v>
      </c>
      <c r="I914" s="1" t="str">
        <f t="shared" si="295"/>
        <v>已发货</v>
      </c>
      <c r="J914" s="1" t="str">
        <f t="shared" si="299"/>
        <v>1</v>
      </c>
      <c r="K914" s="1">
        <v>1</v>
      </c>
      <c r="L914" s="1" t="s">
        <v>16</v>
      </c>
      <c r="M914" s="1" t="str">
        <f>"河北省 廊坊市 固安县 "</f>
        <v xml:space="preserve">河北省 廊坊市 固安县 </v>
      </c>
      <c r="N914" s="1" t="str">
        <f t="shared" si="290"/>
        <v>凡华云仓-城南圆通-微信视频号</v>
      </c>
      <c r="O914" s="5" t="s">
        <v>952</v>
      </c>
      <c r="P914" s="6">
        <v>0.12</v>
      </c>
      <c r="Q914" s="11">
        <v>2</v>
      </c>
      <c r="R914" s="11"/>
      <c r="S914" s="11"/>
      <c r="T914" s="11"/>
      <c r="U914" s="11">
        <f t="shared" si="297"/>
        <v>2</v>
      </c>
      <c r="W914">
        <v>2.2000000000000002</v>
      </c>
      <c r="X914" s="1" t="s">
        <v>16</v>
      </c>
    </row>
    <row r="915" spans="1:24" x14ac:dyDescent="0.25">
      <c r="A915" s="1" t="str">
        <f t="shared" si="292"/>
        <v>卡卡杜-凤凰仓</v>
      </c>
      <c r="B915" s="1" t="str">
        <f>"CK20241030375"</f>
        <v>CK20241030375</v>
      </c>
      <c r="C915" s="1" t="str">
        <f>"DD2024103036450"</f>
        <v>DD2024103036450</v>
      </c>
      <c r="D915" s="1" t="str">
        <f>"CK2024103035547"</f>
        <v>CK2024103035547</v>
      </c>
      <c r="E915" s="1" t="str">
        <f>"3723650897749348352"</f>
        <v>3723650897749348352</v>
      </c>
      <c r="F915" s="1" t="str">
        <f t="shared" si="293"/>
        <v>花都四部-凤凰仓</v>
      </c>
      <c r="G915" s="1" t="str">
        <f t="shared" si="288"/>
        <v>卡卡杜企业店（视频号）</v>
      </c>
      <c r="H915" s="1" t="str">
        <f t="shared" si="294"/>
        <v>正常订单</v>
      </c>
      <c r="I915" s="1" t="str">
        <f t="shared" si="295"/>
        <v>已发货</v>
      </c>
      <c r="J915" s="1" t="str">
        <f t="shared" si="299"/>
        <v>1</v>
      </c>
      <c r="K915" s="1">
        <v>1</v>
      </c>
      <c r="L915" s="1" t="s">
        <v>218</v>
      </c>
      <c r="M915" s="1" t="str">
        <f>"天津 天津市 北辰区 "</f>
        <v xml:space="preserve">天津 天津市 北辰区 </v>
      </c>
      <c r="N915" s="1" t="str">
        <f t="shared" si="290"/>
        <v>凡华云仓-城南圆通-微信视频号</v>
      </c>
      <c r="O915" s="5" t="s">
        <v>953</v>
      </c>
      <c r="P915" s="6">
        <v>0.12</v>
      </c>
      <c r="Q915" s="11">
        <v>2</v>
      </c>
      <c r="R915" s="11"/>
      <c r="S915" s="11"/>
      <c r="T915" s="11"/>
      <c r="U915" s="11">
        <f t="shared" si="297"/>
        <v>2</v>
      </c>
      <c r="W915">
        <v>2.2000000000000002</v>
      </c>
      <c r="X915" s="1" t="s">
        <v>218</v>
      </c>
    </row>
    <row r="916" spans="1:24" x14ac:dyDescent="0.25">
      <c r="A916" s="1" t="str">
        <f t="shared" si="292"/>
        <v>卡卡杜-凤凰仓</v>
      </c>
      <c r="B916" s="1" t="str">
        <f>"CK20241030376"</f>
        <v>CK20241030376</v>
      </c>
      <c r="C916" s="1" t="str">
        <f>"DD2024103036451"</f>
        <v>DD2024103036451</v>
      </c>
      <c r="D916" s="1" t="str">
        <f>"CK2024103035546"</f>
        <v>CK2024103035546</v>
      </c>
      <c r="E916" s="1" t="str">
        <f>"3723650895890744577"</f>
        <v>3723650895890744577</v>
      </c>
      <c r="F916" s="1" t="str">
        <f t="shared" si="293"/>
        <v>花都四部-凤凰仓</v>
      </c>
      <c r="G916" s="1" t="str">
        <f t="shared" si="288"/>
        <v>卡卡杜企业店（视频号）</v>
      </c>
      <c r="H916" s="1" t="str">
        <f t="shared" si="294"/>
        <v>正常订单</v>
      </c>
      <c r="I916" s="1" t="str">
        <f t="shared" si="295"/>
        <v>已发货</v>
      </c>
      <c r="J916" s="1" t="str">
        <f t="shared" ref="J916:J920" si="300">"3"</f>
        <v>3</v>
      </c>
      <c r="K916" s="1">
        <v>2</v>
      </c>
      <c r="L916" s="1" t="s">
        <v>36</v>
      </c>
      <c r="M916" s="1" t="str">
        <f>"安徽省 阜阳市 颍州区 "</f>
        <v xml:space="preserve">安徽省 阜阳市 颍州区 </v>
      </c>
      <c r="N916" s="1" t="str">
        <f t="shared" si="290"/>
        <v>凡华云仓-城南圆通-微信视频号</v>
      </c>
      <c r="O916" s="5" t="s">
        <v>954</v>
      </c>
      <c r="P916" s="6">
        <v>0.25</v>
      </c>
      <c r="Q916" s="11">
        <v>2</v>
      </c>
      <c r="R916" s="11"/>
      <c r="S916" s="11"/>
      <c r="T916" s="11"/>
      <c r="U916" s="11">
        <f t="shared" si="297"/>
        <v>2</v>
      </c>
      <c r="W916">
        <v>2.2000000000000002</v>
      </c>
      <c r="X916" s="1" t="s">
        <v>36</v>
      </c>
    </row>
    <row r="917" spans="1:24" x14ac:dyDescent="0.25">
      <c r="A917" s="1" t="str">
        <f t="shared" si="292"/>
        <v>卡卡杜-凤凰仓</v>
      </c>
      <c r="B917" s="1" t="str">
        <f>"CK20241030377"</f>
        <v>CK20241030377</v>
      </c>
      <c r="C917" s="1" t="str">
        <f>"DD2024103036452"</f>
        <v>DD2024103036452</v>
      </c>
      <c r="D917" s="1" t="str">
        <f>"CK2024103035545"</f>
        <v>CK2024103035545</v>
      </c>
      <c r="E917" s="1" t="str">
        <f>"3723650892979637250"</f>
        <v>3723650892979637250</v>
      </c>
      <c r="F917" s="1" t="str">
        <f t="shared" si="293"/>
        <v>花都四部-凤凰仓</v>
      </c>
      <c r="G917" s="1" t="str">
        <f t="shared" si="288"/>
        <v>卡卡杜企业店（视频号）</v>
      </c>
      <c r="H917" s="1" t="str">
        <f t="shared" si="294"/>
        <v>正常订单</v>
      </c>
      <c r="I917" s="1" t="str">
        <f t="shared" si="295"/>
        <v>已发货</v>
      </c>
      <c r="J917" s="1" t="str">
        <f t="shared" ref="J917:J923" si="301">"1"</f>
        <v>1</v>
      </c>
      <c r="K917" s="1">
        <v>1</v>
      </c>
      <c r="L917" s="1" t="s">
        <v>187</v>
      </c>
      <c r="M917" s="1" t="str">
        <f>"吉林省 通化市 梅河口市 "</f>
        <v xml:space="preserve">吉林省 通化市 梅河口市 </v>
      </c>
      <c r="N917" s="1" t="str">
        <f t="shared" si="290"/>
        <v>凡华云仓-城南圆通-微信视频号</v>
      </c>
      <c r="O917" s="5" t="s">
        <v>955</v>
      </c>
      <c r="P917" s="6">
        <v>0.12</v>
      </c>
      <c r="Q917" s="11">
        <v>2</v>
      </c>
      <c r="R917" s="11"/>
      <c r="S917" s="11"/>
      <c r="T917" s="11"/>
      <c r="U917" s="11">
        <f t="shared" si="297"/>
        <v>2</v>
      </c>
      <c r="W917">
        <v>2.2000000000000002</v>
      </c>
      <c r="X917" s="1" t="s">
        <v>187</v>
      </c>
    </row>
    <row r="918" spans="1:24" x14ac:dyDescent="0.25">
      <c r="A918" s="1" t="str">
        <f t="shared" si="292"/>
        <v>卡卡杜-凤凰仓</v>
      </c>
      <c r="B918" s="1" t="str">
        <f>"CK20241030378"</f>
        <v>CK20241030378</v>
      </c>
      <c r="C918" s="1" t="str">
        <f>"DD2024103036453"</f>
        <v>DD2024103036453</v>
      </c>
      <c r="D918" s="1" t="str">
        <f>"CK2024103035544"</f>
        <v>CK2024103035544</v>
      </c>
      <c r="E918" s="1" t="str">
        <f>"3723650888723990016"</f>
        <v>3723650888723990016</v>
      </c>
      <c r="F918" s="1" t="str">
        <f t="shared" si="293"/>
        <v>花都四部-凤凰仓</v>
      </c>
      <c r="G918" s="1" t="str">
        <f t="shared" si="288"/>
        <v>卡卡杜企业店（视频号）</v>
      </c>
      <c r="H918" s="1" t="str">
        <f t="shared" si="294"/>
        <v>正常订单</v>
      </c>
      <c r="I918" s="1" t="str">
        <f t="shared" si="295"/>
        <v>已发货</v>
      </c>
      <c r="J918" s="1" t="str">
        <f t="shared" si="300"/>
        <v>3</v>
      </c>
      <c r="K918" s="1">
        <v>2</v>
      </c>
      <c r="L918" s="1" t="s">
        <v>30</v>
      </c>
      <c r="M918" s="1" t="str">
        <f>"山东省 烟台市 莱州市 "</f>
        <v xml:space="preserve">山东省 烟台市 莱州市 </v>
      </c>
      <c r="N918" s="1" t="str">
        <f t="shared" si="290"/>
        <v>凡华云仓-城南圆通-微信视频号</v>
      </c>
      <c r="O918" s="5" t="s">
        <v>956</v>
      </c>
      <c r="P918" s="6">
        <v>0.25</v>
      </c>
      <c r="Q918" s="11">
        <v>2</v>
      </c>
      <c r="R918" s="11"/>
      <c r="S918" s="11"/>
      <c r="T918" s="11"/>
      <c r="U918" s="11">
        <f t="shared" si="297"/>
        <v>2</v>
      </c>
      <c r="W918">
        <v>2.2000000000000002</v>
      </c>
      <c r="X918" s="1" t="s">
        <v>30</v>
      </c>
    </row>
    <row r="919" spans="1:24" x14ac:dyDescent="0.25">
      <c r="A919" s="1" t="str">
        <f t="shared" si="292"/>
        <v>卡卡杜-凤凰仓</v>
      </c>
      <c r="B919" s="1" t="str">
        <f>"CK20241030379"</f>
        <v>CK20241030379</v>
      </c>
      <c r="C919" s="1" t="str">
        <f>"DD2024103036454"</f>
        <v>DD2024103036454</v>
      </c>
      <c r="D919" s="1" t="str">
        <f>"CK2024103035543"</f>
        <v>CK2024103035543</v>
      </c>
      <c r="E919" s="1" t="str">
        <f>"3723650888416757248"</f>
        <v>3723650888416757248</v>
      </c>
      <c r="F919" s="1" t="str">
        <f t="shared" si="293"/>
        <v>花都四部-凤凰仓</v>
      </c>
      <c r="G919" s="1" t="str">
        <f t="shared" si="288"/>
        <v>卡卡杜企业店（视频号）</v>
      </c>
      <c r="H919" s="1" t="str">
        <f t="shared" si="294"/>
        <v>正常订单</v>
      </c>
      <c r="I919" s="1" t="str">
        <f t="shared" si="295"/>
        <v>已发货</v>
      </c>
      <c r="J919" s="1" t="str">
        <f t="shared" si="301"/>
        <v>1</v>
      </c>
      <c r="K919" s="1">
        <v>1</v>
      </c>
      <c r="L919" s="1" t="s">
        <v>24</v>
      </c>
      <c r="M919" s="1" t="str">
        <f>"福建省 泉州市 泉港区 "</f>
        <v xml:space="preserve">福建省 泉州市 泉港区 </v>
      </c>
      <c r="N919" s="1" t="str">
        <f t="shared" si="290"/>
        <v>凡华云仓-城南圆通-微信视频号</v>
      </c>
      <c r="O919" s="5" t="s">
        <v>957</v>
      </c>
      <c r="P919" s="6">
        <v>0.12</v>
      </c>
      <c r="Q919" s="11">
        <v>2</v>
      </c>
      <c r="R919" s="11"/>
      <c r="S919" s="11"/>
      <c r="T919" s="11"/>
      <c r="U919" s="11">
        <f t="shared" si="297"/>
        <v>2</v>
      </c>
      <c r="W919">
        <v>2.2000000000000002</v>
      </c>
      <c r="X919" s="1" t="s">
        <v>24</v>
      </c>
    </row>
    <row r="920" spans="1:24" x14ac:dyDescent="0.25">
      <c r="A920" s="1" t="str">
        <f t="shared" si="292"/>
        <v>卡卡杜-凤凰仓</v>
      </c>
      <c r="B920" s="1" t="str">
        <f>"CK20241030380"</f>
        <v>CK20241030380</v>
      </c>
      <c r="C920" s="1" t="str">
        <f>"DD2024103036456"</f>
        <v>DD2024103036456</v>
      </c>
      <c r="D920" s="1" t="str">
        <f>"CK2024103035542"</f>
        <v>CK2024103035542</v>
      </c>
      <c r="E920" s="1" t="str">
        <f>"3723650884876242944"</f>
        <v>3723650884876242944</v>
      </c>
      <c r="F920" s="1" t="str">
        <f t="shared" si="293"/>
        <v>花都四部-凤凰仓</v>
      </c>
      <c r="G920" s="1" t="str">
        <f t="shared" si="288"/>
        <v>卡卡杜企业店（视频号）</v>
      </c>
      <c r="H920" s="1" t="str">
        <f t="shared" si="294"/>
        <v>正常订单</v>
      </c>
      <c r="I920" s="1" t="str">
        <f t="shared" si="295"/>
        <v>已发货</v>
      </c>
      <c r="J920" s="1" t="str">
        <f t="shared" si="300"/>
        <v>3</v>
      </c>
      <c r="K920" s="1">
        <v>2</v>
      </c>
      <c r="L920" s="1" t="s">
        <v>92</v>
      </c>
      <c r="M920" s="1" t="str">
        <f>"辽宁省 营口市 老边区 "</f>
        <v xml:space="preserve">辽宁省 营口市 老边区 </v>
      </c>
      <c r="N920" s="1" t="str">
        <f t="shared" si="290"/>
        <v>凡华云仓-城南圆通-微信视频号</v>
      </c>
      <c r="O920" s="5" t="s">
        <v>958</v>
      </c>
      <c r="P920" s="6">
        <v>0.25</v>
      </c>
      <c r="Q920" s="11">
        <v>2</v>
      </c>
      <c r="R920" s="11"/>
      <c r="S920" s="11"/>
      <c r="T920" s="11"/>
      <c r="U920" s="11">
        <f t="shared" si="297"/>
        <v>2</v>
      </c>
      <c r="W920">
        <v>2.2000000000000002</v>
      </c>
      <c r="X920" s="1" t="s">
        <v>92</v>
      </c>
    </row>
    <row r="921" spans="1:24" x14ac:dyDescent="0.25">
      <c r="A921" s="1" t="str">
        <f t="shared" si="292"/>
        <v>卡卡杜-凤凰仓</v>
      </c>
      <c r="B921" s="1" t="str">
        <f>"CK20241030381"</f>
        <v>CK20241030381</v>
      </c>
      <c r="C921" s="1" t="str">
        <f>"DD2024103036455"</f>
        <v>DD2024103036455</v>
      </c>
      <c r="D921" s="1" t="str">
        <f>"CK2024103035541"</f>
        <v>CK2024103035541</v>
      </c>
      <c r="E921" s="1" t="str">
        <f>"3723650880203261440"</f>
        <v>3723650880203261440</v>
      </c>
      <c r="F921" s="1" t="str">
        <f t="shared" si="293"/>
        <v>花都四部-凤凰仓</v>
      </c>
      <c r="G921" s="1" t="str">
        <f t="shared" si="288"/>
        <v>卡卡杜企业店（视频号）</v>
      </c>
      <c r="H921" s="1" t="str">
        <f t="shared" si="294"/>
        <v>正常订单</v>
      </c>
      <c r="I921" s="1" t="str">
        <f t="shared" si="295"/>
        <v>已发货</v>
      </c>
      <c r="J921" s="1" t="str">
        <f t="shared" si="301"/>
        <v>1</v>
      </c>
      <c r="K921" s="1">
        <v>1</v>
      </c>
      <c r="L921" s="1" t="s">
        <v>30</v>
      </c>
      <c r="M921" s="1" t="str">
        <f>"山东省 济南市 历下区 "</f>
        <v xml:space="preserve">山东省 济南市 历下区 </v>
      </c>
      <c r="N921" s="1" t="str">
        <f t="shared" si="290"/>
        <v>凡华云仓-城南圆通-微信视频号</v>
      </c>
      <c r="O921" s="5" t="s">
        <v>959</v>
      </c>
      <c r="P921" s="6">
        <v>0.12</v>
      </c>
      <c r="Q921" s="11">
        <v>2</v>
      </c>
      <c r="R921" s="11"/>
      <c r="S921" s="11"/>
      <c r="T921" s="11"/>
      <c r="U921" s="11">
        <f t="shared" si="297"/>
        <v>2</v>
      </c>
      <c r="W921">
        <v>2.2000000000000002</v>
      </c>
      <c r="X921" s="1" t="s">
        <v>30</v>
      </c>
    </row>
    <row r="922" spans="1:24" x14ac:dyDescent="0.25">
      <c r="A922" s="1" t="str">
        <f t="shared" si="292"/>
        <v>卡卡杜-凤凰仓</v>
      </c>
      <c r="B922" s="1" t="str">
        <f>"CK20241030382"</f>
        <v>CK20241030382</v>
      </c>
      <c r="C922" s="1" t="str">
        <f>"DD2024103036457"</f>
        <v>DD2024103036457</v>
      </c>
      <c r="D922" s="1" t="str">
        <f>"CK2024103035540"</f>
        <v>CK2024103035540</v>
      </c>
      <c r="E922" s="1" t="str">
        <f>"3723650879179068416"</f>
        <v>3723650879179068416</v>
      </c>
      <c r="F922" s="1" t="str">
        <f t="shared" si="293"/>
        <v>花都四部-凤凰仓</v>
      </c>
      <c r="G922" s="1" t="str">
        <f t="shared" si="288"/>
        <v>卡卡杜企业店（视频号）</v>
      </c>
      <c r="H922" s="1" t="str">
        <f t="shared" si="294"/>
        <v>正常订单</v>
      </c>
      <c r="I922" s="1" t="str">
        <f t="shared" si="295"/>
        <v>已发货</v>
      </c>
      <c r="J922" s="1" t="str">
        <f t="shared" si="301"/>
        <v>1</v>
      </c>
      <c r="K922" s="1">
        <v>1</v>
      </c>
      <c r="L922" s="1" t="s">
        <v>60</v>
      </c>
      <c r="M922" s="1" t="str">
        <f>"云南省 楚雄彝族自治州 楚雄市 "</f>
        <v xml:space="preserve">云南省 楚雄彝族自治州 楚雄市 </v>
      </c>
      <c r="N922" s="1" t="str">
        <f t="shared" si="290"/>
        <v>凡华云仓-城南圆通-微信视频号</v>
      </c>
      <c r="O922" s="5" t="s">
        <v>960</v>
      </c>
      <c r="P922" s="6">
        <v>0.12</v>
      </c>
      <c r="Q922" s="11">
        <v>2</v>
      </c>
      <c r="R922" s="11"/>
      <c r="S922" s="11"/>
      <c r="T922" s="11"/>
      <c r="U922" s="11">
        <f t="shared" si="297"/>
        <v>2</v>
      </c>
      <c r="W922">
        <v>2.2000000000000002</v>
      </c>
      <c r="X922" s="1" t="s">
        <v>60</v>
      </c>
    </row>
    <row r="923" spans="1:24" x14ac:dyDescent="0.25">
      <c r="A923" s="1" t="str">
        <f t="shared" si="292"/>
        <v>卡卡杜-凤凰仓</v>
      </c>
      <c r="B923" s="1" t="str">
        <f>"CK20241030383"</f>
        <v>CK20241030383</v>
      </c>
      <c r="C923" s="1" t="str">
        <f>"DD2024103036458"</f>
        <v>DD2024103036458</v>
      </c>
      <c r="D923" s="1" t="str">
        <f>"CK2024103035539"</f>
        <v>CK2024103035539</v>
      </c>
      <c r="E923" s="1" t="str">
        <f>"3723650811577632000"</f>
        <v>3723650811577632000</v>
      </c>
      <c r="F923" s="1" t="str">
        <f t="shared" si="293"/>
        <v>花都四部-凤凰仓</v>
      </c>
      <c r="G923" s="1" t="str">
        <f t="shared" si="288"/>
        <v>卡卡杜企业店（视频号）</v>
      </c>
      <c r="H923" s="1" t="str">
        <f t="shared" si="294"/>
        <v>正常订单</v>
      </c>
      <c r="I923" s="1" t="str">
        <f t="shared" si="295"/>
        <v>已发货</v>
      </c>
      <c r="J923" s="1" t="str">
        <f t="shared" si="301"/>
        <v>1</v>
      </c>
      <c r="K923" s="1">
        <v>1</v>
      </c>
      <c r="L923" s="1" t="s">
        <v>30</v>
      </c>
      <c r="M923" s="1" t="str">
        <f>"山东省 日照市 东港区 "</f>
        <v xml:space="preserve">山东省 日照市 东港区 </v>
      </c>
      <c r="N923" s="1" t="str">
        <f t="shared" si="290"/>
        <v>凡华云仓-城南圆通-微信视频号</v>
      </c>
      <c r="O923" s="5" t="s">
        <v>961</v>
      </c>
      <c r="P923" s="6">
        <v>0.12</v>
      </c>
      <c r="Q923" s="11">
        <v>2</v>
      </c>
      <c r="R923" s="11"/>
      <c r="S923" s="11"/>
      <c r="T923" s="11"/>
      <c r="U923" s="11">
        <f t="shared" si="297"/>
        <v>2</v>
      </c>
      <c r="W923">
        <v>2.2000000000000002</v>
      </c>
      <c r="X923" s="1" t="s">
        <v>30</v>
      </c>
    </row>
    <row r="924" spans="1:24" x14ac:dyDescent="0.25">
      <c r="A924" s="1" t="str">
        <f t="shared" si="292"/>
        <v>卡卡杜-凤凰仓</v>
      </c>
      <c r="B924" s="1" t="str">
        <f>"CK20241030384"</f>
        <v>CK20241030384</v>
      </c>
      <c r="C924" s="1" t="str">
        <f>"DD2024103036459"</f>
        <v>DD2024103036459</v>
      </c>
      <c r="D924" s="1" t="str">
        <f>"CK2024103035538"</f>
        <v>CK2024103035538</v>
      </c>
      <c r="E924" s="1" t="str">
        <f>"3723650605390366208"</f>
        <v>3723650605390366208</v>
      </c>
      <c r="F924" s="1" t="str">
        <f t="shared" si="293"/>
        <v>花都四部-凤凰仓</v>
      </c>
      <c r="G924" s="1" t="str">
        <f t="shared" si="288"/>
        <v>卡卡杜企业店（视频号）</v>
      </c>
      <c r="H924" s="1" t="str">
        <f t="shared" si="294"/>
        <v>正常订单</v>
      </c>
      <c r="I924" s="1" t="str">
        <f t="shared" si="295"/>
        <v>已发货</v>
      </c>
      <c r="J924" s="1" t="str">
        <f t="shared" ref="J924:J927" si="302">"3"</f>
        <v>3</v>
      </c>
      <c r="K924" s="1">
        <v>2</v>
      </c>
      <c r="L924" s="1" t="s">
        <v>80</v>
      </c>
      <c r="M924" s="1" t="str">
        <f>"河南省 开封市 龙亭区 "</f>
        <v xml:space="preserve">河南省 开封市 龙亭区 </v>
      </c>
      <c r="N924" s="1" t="str">
        <f t="shared" si="290"/>
        <v>凡华云仓-城南圆通-微信视频号</v>
      </c>
      <c r="O924" s="5" t="s">
        <v>962</v>
      </c>
      <c r="P924" s="6">
        <v>0.25</v>
      </c>
      <c r="Q924" s="11">
        <v>2</v>
      </c>
      <c r="R924" s="11"/>
      <c r="S924" s="11"/>
      <c r="T924" s="11"/>
      <c r="U924" s="11">
        <f t="shared" si="297"/>
        <v>2</v>
      </c>
      <c r="W924">
        <v>2.2000000000000002</v>
      </c>
      <c r="X924" s="1" t="s">
        <v>80</v>
      </c>
    </row>
    <row r="925" spans="1:24" x14ac:dyDescent="0.25">
      <c r="A925" s="1" t="str">
        <f t="shared" si="292"/>
        <v>卡卡杜-凤凰仓</v>
      </c>
      <c r="B925" s="1" t="str">
        <f>"CK20241030385"</f>
        <v>CK20241030385</v>
      </c>
      <c r="C925" s="1" t="str">
        <f>"DD2024103036460"</f>
        <v>DD2024103036460</v>
      </c>
      <c r="D925" s="1" t="str">
        <f>"CK2024103035537"</f>
        <v>CK2024103035537</v>
      </c>
      <c r="E925" s="1" t="str">
        <f>"3723650524726823937"</f>
        <v>3723650524726823937</v>
      </c>
      <c r="F925" s="1" t="str">
        <f t="shared" si="293"/>
        <v>花都四部-凤凰仓</v>
      </c>
      <c r="G925" s="1" t="str">
        <f t="shared" si="288"/>
        <v>卡卡杜企业店（视频号）</v>
      </c>
      <c r="H925" s="1" t="str">
        <f t="shared" si="294"/>
        <v>正常订单</v>
      </c>
      <c r="I925" s="1" t="str">
        <f t="shared" si="295"/>
        <v>已发货</v>
      </c>
      <c r="J925" s="1" t="str">
        <f t="shared" ref="J925:J929" si="303">"1"</f>
        <v>1</v>
      </c>
      <c r="K925" s="1">
        <v>1</v>
      </c>
      <c r="L925" s="1" t="s">
        <v>32</v>
      </c>
      <c r="M925" s="1" t="str">
        <f>"陕西省 西安市 雁塔区 "</f>
        <v xml:space="preserve">陕西省 西安市 雁塔区 </v>
      </c>
      <c r="N925" s="1" t="str">
        <f t="shared" si="290"/>
        <v>凡华云仓-城南圆通-微信视频号</v>
      </c>
      <c r="O925" s="5" t="s">
        <v>963</v>
      </c>
      <c r="P925" s="6">
        <v>0.12</v>
      </c>
      <c r="Q925" s="11">
        <v>2</v>
      </c>
      <c r="R925" s="11"/>
      <c r="S925" s="11"/>
      <c r="T925" s="11"/>
      <c r="U925" s="11">
        <f t="shared" si="297"/>
        <v>2</v>
      </c>
      <c r="W925">
        <v>2.2000000000000002</v>
      </c>
      <c r="X925" s="1" t="s">
        <v>32</v>
      </c>
    </row>
    <row r="926" spans="1:24" x14ac:dyDescent="0.25">
      <c r="A926" s="1" t="str">
        <f t="shared" si="292"/>
        <v>卡卡杜-凤凰仓</v>
      </c>
      <c r="B926" s="1" t="str">
        <f>"CK20241030386"</f>
        <v>CK20241030386</v>
      </c>
      <c r="C926" s="1" t="str">
        <f>"DD2024103036461"</f>
        <v>DD2024103036461</v>
      </c>
      <c r="D926" s="1" t="str">
        <f>"CK2024103035536"</f>
        <v>CK2024103035536</v>
      </c>
      <c r="E926" s="1" t="str">
        <f>"3723650514537550848"</f>
        <v>3723650514537550848</v>
      </c>
      <c r="F926" s="1" t="str">
        <f t="shared" si="293"/>
        <v>花都四部-凤凰仓</v>
      </c>
      <c r="G926" s="1" t="str">
        <f t="shared" si="288"/>
        <v>卡卡杜企业店（视频号）</v>
      </c>
      <c r="H926" s="1" t="str">
        <f t="shared" si="294"/>
        <v>正常订单</v>
      </c>
      <c r="I926" s="1" t="str">
        <f t="shared" si="295"/>
        <v>已发货</v>
      </c>
      <c r="J926" s="1" t="str">
        <f t="shared" si="302"/>
        <v>3</v>
      </c>
      <c r="K926" s="1">
        <v>2</v>
      </c>
      <c r="L926" s="1" t="s">
        <v>105</v>
      </c>
      <c r="M926" s="1" t="str">
        <f>"北京 北京市 海淀区 "</f>
        <v xml:space="preserve">北京 北京市 海淀区 </v>
      </c>
      <c r="N926" s="1" t="str">
        <f t="shared" si="290"/>
        <v>凡华云仓-城南圆通-微信视频号</v>
      </c>
      <c r="O926" s="5" t="s">
        <v>964</v>
      </c>
      <c r="P926" s="6">
        <v>0.25</v>
      </c>
      <c r="Q926" s="11">
        <v>2</v>
      </c>
      <c r="R926" s="11"/>
      <c r="S926" s="11"/>
      <c r="T926" s="11"/>
      <c r="U926" s="11">
        <f t="shared" si="297"/>
        <v>2</v>
      </c>
      <c r="W926">
        <v>2.2000000000000002</v>
      </c>
      <c r="X926" s="1" t="s">
        <v>105</v>
      </c>
    </row>
    <row r="927" spans="1:24" x14ac:dyDescent="0.25">
      <c r="A927" s="1" t="str">
        <f t="shared" si="292"/>
        <v>卡卡杜-凤凰仓</v>
      </c>
      <c r="B927" s="1" t="str">
        <f>"CK20241030387"</f>
        <v>CK20241030387</v>
      </c>
      <c r="C927" s="1" t="str">
        <f>"DD2024103036462"</f>
        <v>DD2024103036462</v>
      </c>
      <c r="D927" s="1" t="str">
        <f>"CK2024103035535"</f>
        <v>CK2024103035535</v>
      </c>
      <c r="E927" s="1" t="str">
        <f>"3723650514917393664"</f>
        <v>3723650514917393664</v>
      </c>
      <c r="F927" s="1" t="str">
        <f t="shared" si="293"/>
        <v>花都四部-凤凰仓</v>
      </c>
      <c r="G927" s="1" t="str">
        <f t="shared" si="288"/>
        <v>卡卡杜企业店（视频号）</v>
      </c>
      <c r="H927" s="1" t="str">
        <f t="shared" si="294"/>
        <v>正常订单</v>
      </c>
      <c r="I927" s="1" t="str">
        <f t="shared" si="295"/>
        <v>已发货</v>
      </c>
      <c r="J927" s="1" t="str">
        <f t="shared" si="302"/>
        <v>3</v>
      </c>
      <c r="K927" s="1">
        <v>2</v>
      </c>
      <c r="L927" s="1" t="s">
        <v>13</v>
      </c>
      <c r="M927" s="1" t="str">
        <f>"江苏省 连云港市 海州区 "</f>
        <v xml:space="preserve">江苏省 连云港市 海州区 </v>
      </c>
      <c r="N927" s="1" t="str">
        <f t="shared" si="290"/>
        <v>凡华云仓-城南圆通-微信视频号</v>
      </c>
      <c r="O927" s="5" t="s">
        <v>965</v>
      </c>
      <c r="P927" s="6">
        <v>0.25</v>
      </c>
      <c r="Q927" s="11">
        <v>2</v>
      </c>
      <c r="R927" s="11"/>
      <c r="S927" s="11"/>
      <c r="T927" s="11"/>
      <c r="U927" s="11">
        <f t="shared" si="297"/>
        <v>2</v>
      </c>
      <c r="W927">
        <v>2.2000000000000002</v>
      </c>
      <c r="X927" s="1" t="s">
        <v>13</v>
      </c>
    </row>
    <row r="928" spans="1:24" x14ac:dyDescent="0.25">
      <c r="A928" s="1" t="str">
        <f t="shared" si="292"/>
        <v>卡卡杜-凤凰仓</v>
      </c>
      <c r="B928" s="1" t="str">
        <f>"CK20241030388"</f>
        <v>CK20241030388</v>
      </c>
      <c r="C928" s="1" t="str">
        <f>"DD2024103036463"</f>
        <v>DD2024103036463</v>
      </c>
      <c r="D928" s="1" t="str">
        <f>"CK2024103035534"</f>
        <v>CK2024103035534</v>
      </c>
      <c r="E928" s="1" t="str">
        <f>"3723650500902392833"</f>
        <v>3723650500902392833</v>
      </c>
      <c r="F928" s="1" t="str">
        <f t="shared" si="293"/>
        <v>花都四部-凤凰仓</v>
      </c>
      <c r="G928" s="1" t="str">
        <f t="shared" si="288"/>
        <v>卡卡杜企业店（视频号）</v>
      </c>
      <c r="H928" s="1" t="str">
        <f t="shared" si="294"/>
        <v>正常订单</v>
      </c>
      <c r="I928" s="1" t="str">
        <f t="shared" si="295"/>
        <v>已发货</v>
      </c>
      <c r="J928" s="1" t="str">
        <f t="shared" si="303"/>
        <v>1</v>
      </c>
      <c r="K928" s="1">
        <v>1</v>
      </c>
      <c r="L928" s="1" t="s">
        <v>105</v>
      </c>
      <c r="M928" s="1" t="str">
        <f>"北京 北京市 昌平区 "</f>
        <v xml:space="preserve">北京 北京市 昌平区 </v>
      </c>
      <c r="N928" s="1" t="str">
        <f t="shared" si="290"/>
        <v>凡华云仓-城南圆通-微信视频号</v>
      </c>
      <c r="O928" s="5" t="s">
        <v>966</v>
      </c>
      <c r="P928" s="6">
        <v>0.12</v>
      </c>
      <c r="Q928" s="11">
        <v>2</v>
      </c>
      <c r="R928" s="11"/>
      <c r="S928" s="11"/>
      <c r="T928" s="11"/>
      <c r="U928" s="11">
        <f t="shared" si="297"/>
        <v>2</v>
      </c>
      <c r="W928">
        <v>2.2000000000000002</v>
      </c>
      <c r="X928" s="1" t="s">
        <v>105</v>
      </c>
    </row>
    <row r="929" spans="1:24" x14ac:dyDescent="0.25">
      <c r="A929" s="1" t="str">
        <f t="shared" si="292"/>
        <v>卡卡杜-凤凰仓</v>
      </c>
      <c r="B929" s="1" t="str">
        <f>"CK20241030389"</f>
        <v>CK20241030389</v>
      </c>
      <c r="C929" s="1" t="str">
        <f>"DD2024103036464"</f>
        <v>DD2024103036464</v>
      </c>
      <c r="D929" s="1" t="str">
        <f>"CK2024103035533"</f>
        <v>CK2024103035533</v>
      </c>
      <c r="E929" s="1" t="str">
        <f>"3723650488043965440"</f>
        <v>3723650488043965440</v>
      </c>
      <c r="F929" s="1" t="str">
        <f t="shared" si="293"/>
        <v>花都四部-凤凰仓</v>
      </c>
      <c r="G929" s="1" t="str">
        <f t="shared" si="288"/>
        <v>卡卡杜企业店（视频号）</v>
      </c>
      <c r="H929" s="1" t="str">
        <f t="shared" si="294"/>
        <v>正常订单</v>
      </c>
      <c r="I929" s="1" t="str">
        <f t="shared" si="295"/>
        <v>已发货</v>
      </c>
      <c r="J929" s="1" t="str">
        <f t="shared" si="303"/>
        <v>1</v>
      </c>
      <c r="K929" s="1">
        <v>1</v>
      </c>
      <c r="L929" s="1" t="s">
        <v>80</v>
      </c>
      <c r="M929" s="1" t="str">
        <f>"河南省 许昌市 魏都区 "</f>
        <v xml:space="preserve">河南省 许昌市 魏都区 </v>
      </c>
      <c r="N929" s="1" t="str">
        <f t="shared" si="290"/>
        <v>凡华云仓-城南圆通-微信视频号</v>
      </c>
      <c r="O929" s="5" t="s">
        <v>967</v>
      </c>
      <c r="P929" s="6">
        <v>0.12</v>
      </c>
      <c r="Q929" s="11">
        <v>2</v>
      </c>
      <c r="R929" s="11"/>
      <c r="S929" s="11"/>
      <c r="T929" s="11"/>
      <c r="U929" s="11">
        <f t="shared" si="297"/>
        <v>2</v>
      </c>
      <c r="W929">
        <v>2.2000000000000002</v>
      </c>
      <c r="X929" s="1" t="s">
        <v>80</v>
      </c>
    </row>
    <row r="930" spans="1:24" x14ac:dyDescent="0.25">
      <c r="A930" s="1" t="str">
        <f t="shared" si="292"/>
        <v>卡卡杜-凤凰仓</v>
      </c>
      <c r="B930" s="1" t="str">
        <f>"CK20241030390"</f>
        <v>CK20241030390</v>
      </c>
      <c r="C930" s="1" t="str">
        <f>"DD2024103036466"</f>
        <v>DD2024103036466</v>
      </c>
      <c r="D930" s="1" t="str">
        <f>"CK2024103035532"</f>
        <v>CK2024103035532</v>
      </c>
      <c r="E930" s="1" t="str">
        <f>"3723650478386581504"</f>
        <v>3723650478386581504</v>
      </c>
      <c r="F930" s="1" t="str">
        <f t="shared" si="293"/>
        <v>花都四部-凤凰仓</v>
      </c>
      <c r="G930" s="1" t="str">
        <f t="shared" si="288"/>
        <v>卡卡杜企业店（视频号）</v>
      </c>
      <c r="H930" s="1" t="str">
        <f t="shared" si="294"/>
        <v>正常订单</v>
      </c>
      <c r="I930" s="1" t="str">
        <f t="shared" si="295"/>
        <v>已发货</v>
      </c>
      <c r="J930" s="1" t="str">
        <f>"3"</f>
        <v>3</v>
      </c>
      <c r="K930" s="1">
        <v>2</v>
      </c>
      <c r="L930" s="1" t="s">
        <v>218</v>
      </c>
      <c r="M930" s="1" t="str">
        <f>"天津 天津市 西青区 "</f>
        <v xml:space="preserve">天津 天津市 西青区 </v>
      </c>
      <c r="N930" s="1" t="str">
        <f t="shared" si="290"/>
        <v>凡华云仓-城南圆通-微信视频号</v>
      </c>
      <c r="O930" s="5" t="s">
        <v>968</v>
      </c>
      <c r="P930" s="6">
        <v>0.25</v>
      </c>
      <c r="Q930" s="11">
        <v>2</v>
      </c>
      <c r="R930" s="11"/>
      <c r="S930" s="11"/>
      <c r="T930" s="11"/>
      <c r="U930" s="11">
        <f t="shared" si="297"/>
        <v>2</v>
      </c>
      <c r="W930">
        <v>2.2000000000000002</v>
      </c>
      <c r="X930" s="1" t="s">
        <v>218</v>
      </c>
    </row>
    <row r="931" spans="1:24" x14ac:dyDescent="0.25">
      <c r="A931" s="1" t="str">
        <f t="shared" si="292"/>
        <v>卡卡杜-凤凰仓</v>
      </c>
      <c r="B931" s="1" t="str">
        <f>"CK20241030391"</f>
        <v>CK20241030391</v>
      </c>
      <c r="C931" s="1" t="str">
        <f>"DD2024103036465"</f>
        <v>DD2024103036465</v>
      </c>
      <c r="D931" s="1" t="str">
        <f>"CK2024103035531"</f>
        <v>CK2024103035531</v>
      </c>
      <c r="E931" s="1" t="str">
        <f>"3723650458715031040"</f>
        <v>3723650458715031040</v>
      </c>
      <c r="F931" s="1" t="str">
        <f t="shared" si="293"/>
        <v>花都四部-凤凰仓</v>
      </c>
      <c r="G931" s="1" t="str">
        <f t="shared" si="288"/>
        <v>卡卡杜企业店（视频号）</v>
      </c>
      <c r="H931" s="1" t="str">
        <f t="shared" si="294"/>
        <v>正常订单</v>
      </c>
      <c r="I931" s="1" t="str">
        <f t="shared" si="295"/>
        <v>已发货</v>
      </c>
      <c r="J931" s="1" t="str">
        <f t="shared" ref="J931:J934" si="304">"1"</f>
        <v>1</v>
      </c>
      <c r="K931" s="1">
        <v>1</v>
      </c>
      <c r="L931" s="1" t="s">
        <v>74</v>
      </c>
      <c r="M931" s="1" t="str">
        <f>"上海 上海市 浦东新区 "</f>
        <v xml:space="preserve">上海 上海市 浦东新区 </v>
      </c>
      <c r="N931" s="1" t="str">
        <f t="shared" si="290"/>
        <v>凡华云仓-城南圆通-微信视频号</v>
      </c>
      <c r="O931" s="5" t="s">
        <v>969</v>
      </c>
      <c r="P931" s="6">
        <v>0.12</v>
      </c>
      <c r="Q931" s="11">
        <v>2</v>
      </c>
      <c r="R931" s="11"/>
      <c r="S931" s="11"/>
      <c r="T931" s="11"/>
      <c r="U931" s="11">
        <f t="shared" si="297"/>
        <v>2</v>
      </c>
      <c r="W931">
        <v>2.2000000000000002</v>
      </c>
      <c r="X931" s="1" t="s">
        <v>74</v>
      </c>
    </row>
    <row r="932" spans="1:24" x14ac:dyDescent="0.25">
      <c r="A932" s="1" t="str">
        <f t="shared" si="292"/>
        <v>卡卡杜-凤凰仓</v>
      </c>
      <c r="B932" s="1" t="str">
        <f>"CK20241030392"</f>
        <v>CK20241030392</v>
      </c>
      <c r="C932" s="1" t="str">
        <f>"DD2024103036467"</f>
        <v>DD2024103036467</v>
      </c>
      <c r="D932" s="1" t="str">
        <f>"CK2024103035530"</f>
        <v>CK2024103035530</v>
      </c>
      <c r="E932" s="1" t="str">
        <f>"3723650444140089344"</f>
        <v>3723650444140089344</v>
      </c>
      <c r="F932" s="1" t="str">
        <f t="shared" si="293"/>
        <v>花都四部-凤凰仓</v>
      </c>
      <c r="G932" s="1" t="str">
        <f t="shared" si="288"/>
        <v>卡卡杜企业店（视频号）</v>
      </c>
      <c r="H932" s="1" t="str">
        <f t="shared" si="294"/>
        <v>正常订单</v>
      </c>
      <c r="I932" s="1" t="str">
        <f t="shared" si="295"/>
        <v>已发货</v>
      </c>
      <c r="J932" s="1" t="str">
        <f t="shared" si="304"/>
        <v>1</v>
      </c>
      <c r="K932" s="1">
        <v>1</v>
      </c>
      <c r="L932" s="1" t="s">
        <v>74</v>
      </c>
      <c r="M932" s="1" t="str">
        <f>"上海 上海市 普陀区 "</f>
        <v xml:space="preserve">上海 上海市 普陀区 </v>
      </c>
      <c r="N932" s="1" t="str">
        <f t="shared" si="290"/>
        <v>凡华云仓-城南圆通-微信视频号</v>
      </c>
      <c r="O932" s="5" t="s">
        <v>970</v>
      </c>
      <c r="P932" s="6">
        <v>0.12</v>
      </c>
      <c r="Q932" s="11">
        <v>2</v>
      </c>
      <c r="R932" s="11"/>
      <c r="S932" s="11"/>
      <c r="T932" s="11"/>
      <c r="U932" s="11">
        <f t="shared" si="297"/>
        <v>2</v>
      </c>
      <c r="W932">
        <v>2.2000000000000002</v>
      </c>
      <c r="X932" s="1" t="s">
        <v>74</v>
      </c>
    </row>
    <row r="933" spans="1:24" x14ac:dyDescent="0.25">
      <c r="A933" s="1" t="str">
        <f t="shared" si="292"/>
        <v>卡卡杜-凤凰仓</v>
      </c>
      <c r="B933" s="1" t="str">
        <f>"CK20241030432"</f>
        <v>CK20241030432</v>
      </c>
      <c r="C933" s="1" t="str">
        <f>"DD2024103036508"</f>
        <v>DD2024103036508</v>
      </c>
      <c r="D933" s="1" t="str">
        <f>"CK2024103035529"</f>
        <v>CK2024103035529</v>
      </c>
      <c r="E933" s="1" t="str">
        <f>"3723650208079156224"</f>
        <v>3723650208079156224</v>
      </c>
      <c r="F933" s="1" t="str">
        <f t="shared" si="293"/>
        <v>花都四部-凤凰仓</v>
      </c>
      <c r="G933" s="1" t="str">
        <f t="shared" si="288"/>
        <v>卡卡杜企业店（视频号）</v>
      </c>
      <c r="H933" s="1" t="str">
        <f t="shared" si="294"/>
        <v>正常订单</v>
      </c>
      <c r="I933" s="1" t="str">
        <f t="shared" si="295"/>
        <v>已发货</v>
      </c>
      <c r="J933" s="1" t="str">
        <f t="shared" si="304"/>
        <v>1</v>
      </c>
      <c r="K933" s="1">
        <v>1</v>
      </c>
      <c r="L933" s="1" t="s">
        <v>41</v>
      </c>
      <c r="M933" s="1" t="str">
        <f>"湖北省 襄阳市 谷城县 "</f>
        <v xml:space="preserve">湖北省 襄阳市 谷城县 </v>
      </c>
      <c r="N933" s="1" t="str">
        <f t="shared" si="290"/>
        <v>凡华云仓-城南圆通-微信视频号</v>
      </c>
      <c r="O933" s="5" t="s">
        <v>971</v>
      </c>
      <c r="P933" s="6">
        <v>0.12</v>
      </c>
      <c r="Q933" s="11">
        <v>2</v>
      </c>
      <c r="R933" s="11"/>
      <c r="S933" s="11"/>
      <c r="T933" s="11"/>
      <c r="U933" s="11">
        <f t="shared" si="297"/>
        <v>2</v>
      </c>
      <c r="W933">
        <v>2.2000000000000002</v>
      </c>
      <c r="X933" s="1" t="s">
        <v>41</v>
      </c>
    </row>
    <row r="934" spans="1:24" x14ac:dyDescent="0.25">
      <c r="A934" s="1" t="str">
        <f t="shared" si="292"/>
        <v>卡卡杜-凤凰仓</v>
      </c>
      <c r="B934" s="1" t="str">
        <f>"CK20241030393"</f>
        <v>CK20241030393</v>
      </c>
      <c r="C934" s="1" t="str">
        <f>"DD2024103036468"</f>
        <v>DD2024103036468</v>
      </c>
      <c r="D934" s="1" t="str">
        <f>"CK2024103035528"</f>
        <v>CK2024103035528</v>
      </c>
      <c r="E934" s="1" t="str">
        <f>"3723650419656361216"</f>
        <v>3723650419656361216</v>
      </c>
      <c r="F934" s="1" t="str">
        <f t="shared" si="293"/>
        <v>花都四部-凤凰仓</v>
      </c>
      <c r="G934" s="1" t="str">
        <f t="shared" si="288"/>
        <v>卡卡杜企业店（视频号）</v>
      </c>
      <c r="H934" s="1" t="str">
        <f t="shared" si="294"/>
        <v>正常订单</v>
      </c>
      <c r="I934" s="1" t="str">
        <f t="shared" si="295"/>
        <v>已发货</v>
      </c>
      <c r="J934" s="1" t="str">
        <f t="shared" si="304"/>
        <v>1</v>
      </c>
      <c r="K934" s="1">
        <v>1</v>
      </c>
      <c r="L934" s="1" t="s">
        <v>20</v>
      </c>
      <c r="M934" s="1" t="str">
        <f>"浙江省 宁波市 慈溪市 "</f>
        <v xml:space="preserve">浙江省 宁波市 慈溪市 </v>
      </c>
      <c r="N934" s="1" t="str">
        <f t="shared" si="290"/>
        <v>凡华云仓-城南圆通-微信视频号</v>
      </c>
      <c r="O934" s="5" t="s">
        <v>972</v>
      </c>
      <c r="P934" s="6">
        <v>0.12</v>
      </c>
      <c r="Q934" s="11">
        <v>2</v>
      </c>
      <c r="R934" s="11"/>
      <c r="S934" s="11"/>
      <c r="T934" s="11"/>
      <c r="U934" s="11">
        <f t="shared" si="297"/>
        <v>2</v>
      </c>
      <c r="W934">
        <v>2.2000000000000002</v>
      </c>
      <c r="X934" s="1" t="s">
        <v>20</v>
      </c>
    </row>
    <row r="935" spans="1:24" x14ac:dyDescent="0.25">
      <c r="A935" s="1" t="str">
        <f t="shared" si="292"/>
        <v>卡卡杜-凤凰仓</v>
      </c>
      <c r="B935" s="1" t="str">
        <f>"CK20241030395"</f>
        <v>CK20241030395</v>
      </c>
      <c r="C935" s="1" t="str">
        <f>"DD2024103036471"</f>
        <v>DD2024103036471</v>
      </c>
      <c r="D935" s="1" t="str">
        <f>"CK2024103035527"</f>
        <v>CK2024103035527</v>
      </c>
      <c r="E935" s="1" t="str">
        <f>"3723650409641675776"</f>
        <v>3723650409641675776</v>
      </c>
      <c r="F935" s="1" t="str">
        <f t="shared" si="293"/>
        <v>花都四部-凤凰仓</v>
      </c>
      <c r="G935" s="1" t="str">
        <f t="shared" si="288"/>
        <v>卡卡杜企业店（视频号）</v>
      </c>
      <c r="H935" s="1" t="str">
        <f t="shared" si="294"/>
        <v>正常订单</v>
      </c>
      <c r="I935" s="1" t="str">
        <f t="shared" si="295"/>
        <v>已发货</v>
      </c>
      <c r="J935" s="1" t="str">
        <f>"3"</f>
        <v>3</v>
      </c>
      <c r="K935" s="1">
        <v>2</v>
      </c>
      <c r="L935" s="1" t="s">
        <v>182</v>
      </c>
      <c r="M935" s="1" t="str">
        <f>"新疆维吾尔自治区 喀什地区 喀什市 "</f>
        <v xml:space="preserve">新疆维吾尔自治区 喀什地区 喀什市 </v>
      </c>
      <c r="N935" s="1" t="str">
        <f t="shared" si="290"/>
        <v>凡华云仓-城南圆通-微信视频号</v>
      </c>
      <c r="O935" s="5" t="s">
        <v>973</v>
      </c>
      <c r="P935" s="6">
        <v>0.25</v>
      </c>
      <c r="Q935" s="11">
        <v>17</v>
      </c>
      <c r="R935" s="11"/>
      <c r="S935" s="11"/>
      <c r="T935" s="11"/>
      <c r="U935" s="11">
        <f t="shared" si="297"/>
        <v>17</v>
      </c>
      <c r="W935">
        <v>17</v>
      </c>
      <c r="X935" s="1" t="s">
        <v>182</v>
      </c>
    </row>
    <row r="936" spans="1:24" x14ac:dyDescent="0.25">
      <c r="A936" s="1" t="str">
        <f t="shared" si="292"/>
        <v>卡卡杜-凤凰仓</v>
      </c>
      <c r="B936" s="1" t="str">
        <f>"CK20241030394"</f>
        <v>CK20241030394</v>
      </c>
      <c r="C936" s="1" t="str">
        <f>"DD2024103036469"</f>
        <v>DD2024103036469</v>
      </c>
      <c r="D936" s="1" t="str">
        <f>"CK2024103035526"</f>
        <v>CK2024103035526</v>
      </c>
      <c r="E936" s="1" t="str">
        <f>"3723650418402788608"</f>
        <v>3723650418402788608</v>
      </c>
      <c r="F936" s="1" t="str">
        <f t="shared" si="293"/>
        <v>花都四部-凤凰仓</v>
      </c>
      <c r="G936" s="1" t="str">
        <f t="shared" si="288"/>
        <v>卡卡杜企业店（视频号）</v>
      </c>
      <c r="H936" s="1" t="str">
        <f t="shared" si="294"/>
        <v>正常订单</v>
      </c>
      <c r="I936" s="1" t="str">
        <f t="shared" si="295"/>
        <v>已发货</v>
      </c>
      <c r="J936" s="1" t="str">
        <f t="shared" ref="J936:J941" si="305">"1"</f>
        <v>1</v>
      </c>
      <c r="K936" s="1">
        <v>1</v>
      </c>
      <c r="L936" s="1" t="s">
        <v>47</v>
      </c>
      <c r="M936" s="1" t="str">
        <f>"重庆 重庆市 九龙坡区 "</f>
        <v xml:space="preserve">重庆 重庆市 九龙坡区 </v>
      </c>
      <c r="N936" s="1" t="str">
        <f t="shared" si="290"/>
        <v>凡华云仓-城南圆通-微信视频号</v>
      </c>
      <c r="O936" s="5" t="s">
        <v>974</v>
      </c>
      <c r="P936" s="6">
        <v>0.12</v>
      </c>
      <c r="Q936" s="11">
        <v>2</v>
      </c>
      <c r="R936" s="11"/>
      <c r="S936" s="11"/>
      <c r="T936" s="11"/>
      <c r="U936" s="11">
        <f t="shared" si="297"/>
        <v>2</v>
      </c>
      <c r="W936">
        <v>2.2000000000000002</v>
      </c>
      <c r="X936" s="1" t="s">
        <v>47</v>
      </c>
    </row>
    <row r="937" spans="1:24" x14ac:dyDescent="0.25">
      <c r="A937" s="1" t="str">
        <f t="shared" si="292"/>
        <v>卡卡杜-凤凰仓</v>
      </c>
      <c r="B937" s="1" t="str">
        <f>"CK20241030396"</f>
        <v>CK20241030396</v>
      </c>
      <c r="C937" s="1" t="str">
        <f>"DD2024103036472"</f>
        <v>DD2024103036472</v>
      </c>
      <c r="D937" s="1" t="str">
        <f>"CK2024103035525"</f>
        <v>CK2024103035525</v>
      </c>
      <c r="E937" s="1" t="str">
        <f>"3723650416673688576"</f>
        <v>3723650416673688576</v>
      </c>
      <c r="F937" s="1" t="str">
        <f t="shared" si="293"/>
        <v>花都四部-凤凰仓</v>
      </c>
      <c r="G937" s="1" t="str">
        <f t="shared" si="288"/>
        <v>卡卡杜企业店（视频号）</v>
      </c>
      <c r="H937" s="1" t="str">
        <f t="shared" si="294"/>
        <v>正常订单</v>
      </c>
      <c r="I937" s="1" t="str">
        <f t="shared" si="295"/>
        <v>已发货</v>
      </c>
      <c r="J937" s="1" t="str">
        <f t="shared" si="305"/>
        <v>1</v>
      </c>
      <c r="K937" s="1">
        <v>1</v>
      </c>
      <c r="L937" s="1" t="s">
        <v>161</v>
      </c>
      <c r="M937" s="1" t="str">
        <f>"四川省 成都市 大邑县 "</f>
        <v xml:space="preserve">四川省 成都市 大邑县 </v>
      </c>
      <c r="N937" s="1" t="str">
        <f t="shared" si="290"/>
        <v>凡华云仓-城南圆通-微信视频号</v>
      </c>
      <c r="O937" s="5" t="s">
        <v>975</v>
      </c>
      <c r="P937" s="6">
        <v>0.12</v>
      </c>
      <c r="Q937" s="11">
        <v>2</v>
      </c>
      <c r="R937" s="11"/>
      <c r="S937" s="11"/>
      <c r="T937" s="11"/>
      <c r="U937" s="11">
        <f t="shared" si="297"/>
        <v>2</v>
      </c>
      <c r="W937">
        <v>2.2000000000000002</v>
      </c>
      <c r="X937" s="1" t="s">
        <v>161</v>
      </c>
    </row>
    <row r="938" spans="1:24" x14ac:dyDescent="0.25">
      <c r="A938" s="1" t="str">
        <f t="shared" si="292"/>
        <v>卡卡杜-凤凰仓</v>
      </c>
      <c r="B938" s="1" t="str">
        <f>"CK20241030397"</f>
        <v>CK20241030397</v>
      </c>
      <c r="C938" s="1" t="str">
        <f>"DD2024103036470"</f>
        <v>DD2024103036470</v>
      </c>
      <c r="D938" s="1" t="str">
        <f>"CK2024103035524"</f>
        <v>CK2024103035524</v>
      </c>
      <c r="E938" s="1" t="str">
        <f>"3723650410414474752"</f>
        <v>3723650410414474752</v>
      </c>
      <c r="F938" s="1" t="str">
        <f t="shared" si="293"/>
        <v>花都四部-凤凰仓</v>
      </c>
      <c r="G938" s="1" t="str">
        <f t="shared" si="288"/>
        <v>卡卡杜企业店（视频号）</v>
      </c>
      <c r="H938" s="1" t="str">
        <f t="shared" si="294"/>
        <v>正常订单</v>
      </c>
      <c r="I938" s="1" t="str">
        <f t="shared" si="295"/>
        <v>已发货</v>
      </c>
      <c r="J938" s="1" t="str">
        <f>"3"</f>
        <v>3</v>
      </c>
      <c r="K938" s="1">
        <v>2</v>
      </c>
      <c r="L938" s="1" t="s">
        <v>74</v>
      </c>
      <c r="M938" s="1" t="str">
        <f>"上海 上海市 金山区 "</f>
        <v xml:space="preserve">上海 上海市 金山区 </v>
      </c>
      <c r="N938" s="1" t="str">
        <f t="shared" si="290"/>
        <v>凡华云仓-城南圆通-微信视频号</v>
      </c>
      <c r="O938" s="5" t="s">
        <v>976</v>
      </c>
      <c r="P938" s="6">
        <v>0.25</v>
      </c>
      <c r="Q938" s="11">
        <v>2</v>
      </c>
      <c r="R938" s="11"/>
      <c r="S938" s="11"/>
      <c r="T938" s="11"/>
      <c r="U938" s="11">
        <f t="shared" si="297"/>
        <v>2</v>
      </c>
      <c r="W938">
        <v>2.2000000000000002</v>
      </c>
      <c r="X938" s="1" t="s">
        <v>74</v>
      </c>
    </row>
    <row r="939" spans="1:24" x14ac:dyDescent="0.25">
      <c r="A939" s="1" t="str">
        <f t="shared" si="292"/>
        <v>卡卡杜-凤凰仓</v>
      </c>
      <c r="B939" s="1" t="str">
        <f>"CK20241030398"</f>
        <v>CK20241030398</v>
      </c>
      <c r="C939" s="1" t="str">
        <f>"DD2024103036473"</f>
        <v>DD2024103036473</v>
      </c>
      <c r="D939" s="1" t="str">
        <f>"CK2024103035523"</f>
        <v>CK2024103035523</v>
      </c>
      <c r="E939" s="1" t="str">
        <f>"3723650410376728576"</f>
        <v>3723650410376728576</v>
      </c>
      <c r="F939" s="1" t="str">
        <f t="shared" si="293"/>
        <v>花都四部-凤凰仓</v>
      </c>
      <c r="G939" s="1" t="str">
        <f t="shared" si="288"/>
        <v>卡卡杜企业店（视频号）</v>
      </c>
      <c r="H939" s="1" t="str">
        <f t="shared" si="294"/>
        <v>正常订单</v>
      </c>
      <c r="I939" s="1" t="str">
        <f t="shared" si="295"/>
        <v>已发货</v>
      </c>
      <c r="J939" s="1" t="str">
        <f t="shared" si="305"/>
        <v>1</v>
      </c>
      <c r="K939" s="1">
        <v>1</v>
      </c>
      <c r="L939" s="1" t="s">
        <v>92</v>
      </c>
      <c r="M939" s="1" t="str">
        <f>"辽宁省 抚顺市 新抚区 "</f>
        <v xml:space="preserve">辽宁省 抚顺市 新抚区 </v>
      </c>
      <c r="N939" s="1" t="str">
        <f t="shared" si="290"/>
        <v>凡华云仓-城南圆通-微信视频号</v>
      </c>
      <c r="O939" s="5" t="s">
        <v>977</v>
      </c>
      <c r="P939" s="6">
        <v>0.12</v>
      </c>
      <c r="Q939" s="11">
        <v>2</v>
      </c>
      <c r="R939" s="11"/>
      <c r="S939" s="11"/>
      <c r="T939" s="11"/>
      <c r="U939" s="11">
        <f t="shared" si="297"/>
        <v>2</v>
      </c>
      <c r="W939">
        <v>2.2000000000000002</v>
      </c>
      <c r="X939" s="1" t="s">
        <v>92</v>
      </c>
    </row>
    <row r="940" spans="1:24" x14ac:dyDescent="0.25">
      <c r="A940" s="1" t="str">
        <f t="shared" si="292"/>
        <v>卡卡杜-凤凰仓</v>
      </c>
      <c r="B940" s="1" t="str">
        <f>"CK20241030399"</f>
        <v>CK20241030399</v>
      </c>
      <c r="C940" s="1" t="str">
        <f>"DD2024103036474"</f>
        <v>DD2024103036474</v>
      </c>
      <c r="D940" s="1" t="str">
        <f>"CK2024103035522"</f>
        <v>CK2024103035522</v>
      </c>
      <c r="E940" s="1" t="str">
        <f>"3723650410238317568"</f>
        <v>3723650410238317568</v>
      </c>
      <c r="F940" s="1" t="str">
        <f t="shared" si="293"/>
        <v>花都四部-凤凰仓</v>
      </c>
      <c r="G940" s="1" t="str">
        <f t="shared" si="288"/>
        <v>卡卡杜企业店（视频号）</v>
      </c>
      <c r="H940" s="1" t="str">
        <f t="shared" si="294"/>
        <v>正常订单</v>
      </c>
      <c r="I940" s="1" t="str">
        <f t="shared" si="295"/>
        <v>已发货</v>
      </c>
      <c r="J940" s="1" t="str">
        <f t="shared" si="305"/>
        <v>1</v>
      </c>
      <c r="K940" s="1">
        <v>1</v>
      </c>
      <c r="L940" s="1" t="s">
        <v>18</v>
      </c>
      <c r="M940" s="1" t="str">
        <f>"广东省 广州市 番禺区 "</f>
        <v xml:space="preserve">广东省 广州市 番禺区 </v>
      </c>
      <c r="N940" s="1" t="str">
        <f t="shared" si="290"/>
        <v>凡华云仓-城南圆通-微信视频号</v>
      </c>
      <c r="O940" s="5" t="s">
        <v>978</v>
      </c>
      <c r="P940" s="6">
        <v>0.12</v>
      </c>
      <c r="Q940" s="11">
        <v>2</v>
      </c>
      <c r="R940" s="11"/>
      <c r="S940" s="11"/>
      <c r="T940" s="11"/>
      <c r="U940" s="11">
        <f t="shared" si="297"/>
        <v>2</v>
      </c>
      <c r="W940">
        <v>2.2000000000000002</v>
      </c>
      <c r="X940" s="1" t="s">
        <v>18</v>
      </c>
    </row>
    <row r="941" spans="1:24" x14ac:dyDescent="0.25">
      <c r="A941" s="1" t="str">
        <f t="shared" si="292"/>
        <v>卡卡杜-凤凰仓</v>
      </c>
      <c r="B941" s="1" t="str">
        <f>"CK20241030400"</f>
        <v>CK20241030400</v>
      </c>
      <c r="C941" s="1" t="str">
        <f>"DD2024103036478"</f>
        <v>DD2024103036478</v>
      </c>
      <c r="D941" s="1" t="str">
        <f>"CK2024103035521"</f>
        <v>CK2024103035521</v>
      </c>
      <c r="E941" s="1" t="str">
        <f>"3723650409417541120"</f>
        <v>3723650409417541120</v>
      </c>
      <c r="F941" s="1" t="str">
        <f t="shared" si="293"/>
        <v>花都四部-凤凰仓</v>
      </c>
      <c r="G941" s="1" t="str">
        <f t="shared" si="288"/>
        <v>卡卡杜企业店（视频号）</v>
      </c>
      <c r="H941" s="1" t="str">
        <f t="shared" si="294"/>
        <v>正常订单</v>
      </c>
      <c r="I941" s="1" t="str">
        <f t="shared" si="295"/>
        <v>已发货</v>
      </c>
      <c r="J941" s="1" t="str">
        <f t="shared" si="305"/>
        <v>1</v>
      </c>
      <c r="K941" s="1">
        <v>1</v>
      </c>
      <c r="L941" s="1" t="s">
        <v>44</v>
      </c>
      <c r="M941" s="1" t="str">
        <f>"海南省 三亚市 吉阳区 "</f>
        <v xml:space="preserve">海南省 三亚市 吉阳区 </v>
      </c>
      <c r="N941" s="1" t="str">
        <f t="shared" si="290"/>
        <v>凡华云仓-城南圆通-微信视频号</v>
      </c>
      <c r="O941" s="5" t="s">
        <v>979</v>
      </c>
      <c r="P941" s="6">
        <v>0.12</v>
      </c>
      <c r="Q941" s="11">
        <v>2</v>
      </c>
      <c r="R941" s="11"/>
      <c r="S941" s="11"/>
      <c r="T941" s="11"/>
      <c r="U941" s="11">
        <f t="shared" si="297"/>
        <v>2</v>
      </c>
      <c r="W941">
        <v>2.2000000000000002</v>
      </c>
      <c r="X941" s="1" t="s">
        <v>44</v>
      </c>
    </row>
    <row r="942" spans="1:24" x14ac:dyDescent="0.25">
      <c r="A942" s="1" t="str">
        <f t="shared" si="292"/>
        <v>卡卡杜-凤凰仓</v>
      </c>
      <c r="B942" s="1" t="str">
        <f>"CK20241030401"</f>
        <v>CK20241030401</v>
      </c>
      <c r="C942" s="1" t="str">
        <f>"DD2024103036475"</f>
        <v>DD2024103036475</v>
      </c>
      <c r="D942" s="1" t="str">
        <f>"CK2024103035520"</f>
        <v>CK2024103035520</v>
      </c>
      <c r="E942" s="1" t="str">
        <f>"3723650392833524992"</f>
        <v>3723650392833524992</v>
      </c>
      <c r="F942" s="1" t="str">
        <f t="shared" si="293"/>
        <v>花都四部-凤凰仓</v>
      </c>
      <c r="G942" s="1" t="str">
        <f t="shared" si="288"/>
        <v>卡卡杜企业店（视频号）</v>
      </c>
      <c r="H942" s="1" t="str">
        <f t="shared" si="294"/>
        <v>正常订单</v>
      </c>
      <c r="I942" s="1" t="str">
        <f t="shared" si="295"/>
        <v>已发货</v>
      </c>
      <c r="J942" s="1" t="str">
        <f t="shared" ref="J942:J947" si="306">"3"</f>
        <v>3</v>
      </c>
      <c r="K942" s="1">
        <v>2</v>
      </c>
      <c r="L942" s="1" t="s">
        <v>18</v>
      </c>
      <c r="M942" s="1" t="str">
        <f>"广东省 广州市 花都区 "</f>
        <v xml:space="preserve">广东省 广州市 花都区 </v>
      </c>
      <c r="N942" s="1" t="str">
        <f t="shared" si="290"/>
        <v>凡华云仓-城南圆通-微信视频号</v>
      </c>
      <c r="O942" s="5" t="s">
        <v>980</v>
      </c>
      <c r="P942" s="6">
        <v>0.25</v>
      </c>
      <c r="Q942" s="11">
        <v>2</v>
      </c>
      <c r="R942" s="11"/>
      <c r="S942" s="11"/>
      <c r="T942" s="11"/>
      <c r="U942" s="11">
        <f t="shared" si="297"/>
        <v>2</v>
      </c>
      <c r="W942">
        <v>2.2000000000000002</v>
      </c>
      <c r="X942" s="1" t="s">
        <v>18</v>
      </c>
    </row>
    <row r="943" spans="1:24" x14ac:dyDescent="0.25">
      <c r="A943" s="1" t="str">
        <f t="shared" si="292"/>
        <v>卡卡杜-凤凰仓</v>
      </c>
      <c r="B943" s="1" t="str">
        <f>"CK20241030402"</f>
        <v>CK20241030402</v>
      </c>
      <c r="C943" s="1" t="str">
        <f>"DD2024103036477"</f>
        <v>DD2024103036477</v>
      </c>
      <c r="D943" s="1" t="str">
        <f>"CK2024103035519"</f>
        <v>CK2024103035519</v>
      </c>
      <c r="E943" s="1" t="str">
        <f>"3723650407463260160"</f>
        <v>3723650407463260160</v>
      </c>
      <c r="F943" s="1" t="str">
        <f t="shared" si="293"/>
        <v>花都四部-凤凰仓</v>
      </c>
      <c r="G943" s="1" t="str">
        <f t="shared" si="288"/>
        <v>卡卡杜企业店（视频号）</v>
      </c>
      <c r="H943" s="1" t="str">
        <f t="shared" si="294"/>
        <v>正常订单</v>
      </c>
      <c r="I943" s="1" t="str">
        <f t="shared" si="295"/>
        <v>已发货</v>
      </c>
      <c r="J943" s="1" t="str">
        <f t="shared" ref="J943:J946" si="307">"1"</f>
        <v>1</v>
      </c>
      <c r="K943" s="1">
        <v>1</v>
      </c>
      <c r="L943" s="1" t="s">
        <v>41</v>
      </c>
      <c r="M943" s="1" t="str">
        <f>"湖北省 武汉市 青山区 "</f>
        <v xml:space="preserve">湖北省 武汉市 青山区 </v>
      </c>
      <c r="N943" s="1" t="str">
        <f t="shared" si="290"/>
        <v>凡华云仓-城南圆通-微信视频号</v>
      </c>
      <c r="O943" s="5" t="s">
        <v>981</v>
      </c>
      <c r="P943" s="6">
        <v>0.12</v>
      </c>
      <c r="Q943" s="11">
        <v>2</v>
      </c>
      <c r="R943" s="11"/>
      <c r="S943" s="11"/>
      <c r="T943" s="11"/>
      <c r="U943" s="11">
        <f t="shared" si="297"/>
        <v>2</v>
      </c>
      <c r="W943">
        <v>2.2000000000000002</v>
      </c>
      <c r="X943" s="1" t="s">
        <v>41</v>
      </c>
    </row>
    <row r="944" spans="1:24" x14ac:dyDescent="0.25">
      <c r="A944" s="1" t="str">
        <f t="shared" si="292"/>
        <v>卡卡杜-凤凰仓</v>
      </c>
      <c r="B944" s="1" t="str">
        <f>"CK20241030410"</f>
        <v>CK20241030410</v>
      </c>
      <c r="C944" s="1" t="str">
        <f>"DD2024103036485"</f>
        <v>DD2024103036485</v>
      </c>
      <c r="D944" s="1" t="str">
        <f>"CK2024103035518"</f>
        <v>CK2024103035518</v>
      </c>
      <c r="E944" s="1" t="str">
        <f>"3723650396579827712"</f>
        <v>3723650396579827712</v>
      </c>
      <c r="F944" s="1" t="str">
        <f t="shared" si="293"/>
        <v>花都四部-凤凰仓</v>
      </c>
      <c r="G944" s="1" t="str">
        <f t="shared" si="288"/>
        <v>卡卡杜企业店（视频号）</v>
      </c>
      <c r="H944" s="1" t="str">
        <f t="shared" si="294"/>
        <v>正常订单</v>
      </c>
      <c r="I944" s="1" t="str">
        <f t="shared" si="295"/>
        <v>已发货</v>
      </c>
      <c r="J944" s="1" t="str">
        <f t="shared" si="306"/>
        <v>3</v>
      </c>
      <c r="K944" s="1">
        <v>2</v>
      </c>
      <c r="L944" s="1" t="s">
        <v>218</v>
      </c>
      <c r="M944" s="1" t="str">
        <f>"天津 天津市 滨海新区 "</f>
        <v xml:space="preserve">天津 天津市 滨海新区 </v>
      </c>
      <c r="N944" s="1" t="str">
        <f t="shared" si="290"/>
        <v>凡华云仓-城南圆通-微信视频号</v>
      </c>
      <c r="O944" s="5" t="s">
        <v>982</v>
      </c>
      <c r="P944" s="6">
        <v>0.25</v>
      </c>
      <c r="Q944" s="11">
        <v>2</v>
      </c>
      <c r="R944" s="11"/>
      <c r="S944" s="11"/>
      <c r="T944" s="11"/>
      <c r="U944" s="11">
        <f t="shared" si="297"/>
        <v>2</v>
      </c>
      <c r="W944">
        <v>2.2000000000000002</v>
      </c>
      <c r="X944" s="1" t="s">
        <v>218</v>
      </c>
    </row>
    <row r="945" spans="1:24" x14ac:dyDescent="0.25">
      <c r="A945" s="1" t="str">
        <f t="shared" si="292"/>
        <v>卡卡杜-凤凰仓</v>
      </c>
      <c r="B945" s="1" t="str">
        <f>"CK20241030404"</f>
        <v>CK20241030404</v>
      </c>
      <c r="C945" s="1" t="str">
        <f>"DD2024103036479"</f>
        <v>DD2024103036479</v>
      </c>
      <c r="D945" s="1" t="str">
        <f>"CK2024103035517"</f>
        <v>CK2024103035517</v>
      </c>
      <c r="E945" s="1" t="str">
        <f>"3723650401426082816"</f>
        <v>3723650401426082816</v>
      </c>
      <c r="F945" s="1" t="str">
        <f t="shared" si="293"/>
        <v>花都四部-凤凰仓</v>
      </c>
      <c r="G945" s="1" t="str">
        <f t="shared" si="288"/>
        <v>卡卡杜企业店（视频号）</v>
      </c>
      <c r="H945" s="1" t="str">
        <f t="shared" si="294"/>
        <v>正常订单</v>
      </c>
      <c r="I945" s="1" t="str">
        <f t="shared" si="295"/>
        <v>已发货</v>
      </c>
      <c r="J945" s="1" t="str">
        <f t="shared" si="307"/>
        <v>1</v>
      </c>
      <c r="K945" s="1">
        <v>1</v>
      </c>
      <c r="L945" s="1" t="s">
        <v>74</v>
      </c>
      <c r="M945" s="1" t="str">
        <f>"上海 上海市 虹口区 "</f>
        <v xml:space="preserve">上海 上海市 虹口区 </v>
      </c>
      <c r="N945" s="1" t="str">
        <f t="shared" si="290"/>
        <v>凡华云仓-城南圆通-微信视频号</v>
      </c>
      <c r="O945" s="5" t="s">
        <v>983</v>
      </c>
      <c r="P945" s="6">
        <v>0.12</v>
      </c>
      <c r="Q945" s="11">
        <v>2</v>
      </c>
      <c r="R945" s="11"/>
      <c r="S945" s="11"/>
      <c r="T945" s="11"/>
      <c r="U945" s="11">
        <f t="shared" si="297"/>
        <v>2</v>
      </c>
      <c r="W945">
        <v>2.2000000000000002</v>
      </c>
      <c r="X945" s="1" t="s">
        <v>74</v>
      </c>
    </row>
    <row r="946" spans="1:24" x14ac:dyDescent="0.25">
      <c r="A946" s="1" t="str">
        <f t="shared" si="292"/>
        <v>卡卡杜-凤凰仓</v>
      </c>
      <c r="B946" s="1" t="str">
        <f>"CK20241030403"</f>
        <v>CK20241030403</v>
      </c>
      <c r="C946" s="1" t="str">
        <f>"DD2024103036476"</f>
        <v>DD2024103036476</v>
      </c>
      <c r="D946" s="1" t="str">
        <f>"CK2024103035516"</f>
        <v>CK2024103035516</v>
      </c>
      <c r="E946" s="1" t="str">
        <f>"3723650406022253568"</f>
        <v>3723650406022253568</v>
      </c>
      <c r="F946" s="1" t="str">
        <f t="shared" si="293"/>
        <v>花都四部-凤凰仓</v>
      </c>
      <c r="G946" s="1" t="str">
        <f t="shared" si="288"/>
        <v>卡卡杜企业店（视频号）</v>
      </c>
      <c r="H946" s="1" t="str">
        <f t="shared" si="294"/>
        <v>正常订单</v>
      </c>
      <c r="I946" s="1" t="str">
        <f t="shared" si="295"/>
        <v>已发货</v>
      </c>
      <c r="J946" s="1" t="str">
        <f t="shared" si="307"/>
        <v>1</v>
      </c>
      <c r="K946" s="1">
        <v>1</v>
      </c>
      <c r="L946" s="1" t="s">
        <v>18</v>
      </c>
      <c r="M946" s="1" t="str">
        <f>"广东省 佛山市 禅城区 "</f>
        <v xml:space="preserve">广东省 佛山市 禅城区 </v>
      </c>
      <c r="N946" s="1" t="str">
        <f t="shared" si="290"/>
        <v>凡华云仓-城南圆通-微信视频号</v>
      </c>
      <c r="O946" s="5" t="s">
        <v>984</v>
      </c>
      <c r="P946" s="6">
        <v>0.12</v>
      </c>
      <c r="Q946" s="11">
        <v>2</v>
      </c>
      <c r="R946" s="11"/>
      <c r="S946" s="11"/>
      <c r="T946" s="11"/>
      <c r="U946" s="11">
        <f t="shared" si="297"/>
        <v>2</v>
      </c>
      <c r="W946">
        <v>2.2000000000000002</v>
      </c>
      <c r="X946" s="1" t="s">
        <v>18</v>
      </c>
    </row>
    <row r="947" spans="1:24" x14ac:dyDescent="0.25">
      <c r="A947" s="1" t="str">
        <f t="shared" si="292"/>
        <v>卡卡杜-凤凰仓</v>
      </c>
      <c r="B947" s="1" t="str">
        <f>"CK20241030405"</f>
        <v>CK20241030405</v>
      </c>
      <c r="C947" s="1" t="str">
        <f>"DD2024103036480"</f>
        <v>DD2024103036480</v>
      </c>
      <c r="D947" s="1" t="str">
        <f>"CK2024103035515"</f>
        <v>CK2024103035515</v>
      </c>
      <c r="E947" s="1" t="str">
        <f>"3723650401763988480"</f>
        <v>3723650401763988480</v>
      </c>
      <c r="F947" s="1" t="str">
        <f t="shared" si="293"/>
        <v>花都四部-凤凰仓</v>
      </c>
      <c r="G947" s="1" t="str">
        <f t="shared" si="288"/>
        <v>卡卡杜企业店（视频号）</v>
      </c>
      <c r="H947" s="1" t="str">
        <f t="shared" si="294"/>
        <v>正常订单</v>
      </c>
      <c r="I947" s="1" t="str">
        <f t="shared" si="295"/>
        <v>已发货</v>
      </c>
      <c r="J947" s="1" t="str">
        <f t="shared" si="306"/>
        <v>3</v>
      </c>
      <c r="K947" s="1">
        <v>2</v>
      </c>
      <c r="L947" s="1" t="s">
        <v>41</v>
      </c>
      <c r="M947" s="1" t="str">
        <f>"湖北省 襄阳市 襄城区 "</f>
        <v xml:space="preserve">湖北省 襄阳市 襄城区 </v>
      </c>
      <c r="N947" s="1" t="str">
        <f t="shared" si="290"/>
        <v>凡华云仓-城南圆通-微信视频号</v>
      </c>
      <c r="O947" s="5" t="s">
        <v>985</v>
      </c>
      <c r="P947" s="6">
        <v>0.25</v>
      </c>
      <c r="Q947" s="11">
        <v>2</v>
      </c>
      <c r="R947" s="11"/>
      <c r="S947" s="11"/>
      <c r="T947" s="11"/>
      <c r="U947" s="11">
        <f t="shared" si="297"/>
        <v>2</v>
      </c>
      <c r="W947">
        <v>2.2000000000000002</v>
      </c>
      <c r="X947" s="1" t="s">
        <v>41</v>
      </c>
    </row>
    <row r="948" spans="1:24" x14ac:dyDescent="0.25">
      <c r="A948" s="1" t="str">
        <f t="shared" si="292"/>
        <v>卡卡杜-凤凰仓</v>
      </c>
      <c r="B948" s="1" t="str">
        <f>"CK20241030411"</f>
        <v>CK20241030411</v>
      </c>
      <c r="C948" s="1" t="str">
        <f>"DD2024103036486"</f>
        <v>DD2024103036486</v>
      </c>
      <c r="D948" s="1" t="str">
        <f>"CK2024103035514"</f>
        <v>CK2024103035514</v>
      </c>
      <c r="E948" s="1" t="str">
        <f>"3723650397989897472"</f>
        <v>3723650397989897472</v>
      </c>
      <c r="F948" s="1" t="str">
        <f t="shared" si="293"/>
        <v>花都四部-凤凰仓</v>
      </c>
      <c r="G948" s="1" t="str">
        <f t="shared" si="288"/>
        <v>卡卡杜企业店（视频号）</v>
      </c>
      <c r="H948" s="1" t="str">
        <f t="shared" si="294"/>
        <v>正常订单</v>
      </c>
      <c r="I948" s="1" t="str">
        <f t="shared" si="295"/>
        <v>已发货</v>
      </c>
      <c r="J948" s="1" t="str">
        <f t="shared" ref="J948:J954" si="308">"1"</f>
        <v>1</v>
      </c>
      <c r="K948" s="1">
        <v>1</v>
      </c>
      <c r="L948" s="1" t="s">
        <v>54</v>
      </c>
      <c r="M948" s="1" t="str">
        <f>"黑龙江省 佳木斯市 东风区 "</f>
        <v xml:space="preserve">黑龙江省 佳木斯市 东风区 </v>
      </c>
      <c r="N948" s="1" t="str">
        <f t="shared" si="290"/>
        <v>凡华云仓-城南圆通-微信视频号</v>
      </c>
      <c r="O948" s="5" t="s">
        <v>986</v>
      </c>
      <c r="P948" s="6">
        <v>0.12</v>
      </c>
      <c r="Q948" s="11">
        <v>2</v>
      </c>
      <c r="R948" s="11"/>
      <c r="S948" s="11"/>
      <c r="T948" s="11"/>
      <c r="U948" s="11">
        <f t="shared" si="297"/>
        <v>2</v>
      </c>
      <c r="W948">
        <v>2.2000000000000002</v>
      </c>
      <c r="X948" s="1" t="s">
        <v>54</v>
      </c>
    </row>
    <row r="949" spans="1:24" x14ac:dyDescent="0.25">
      <c r="A949" s="1" t="str">
        <f t="shared" si="292"/>
        <v>卡卡杜-凤凰仓</v>
      </c>
      <c r="B949" s="1" t="str">
        <f>"CK20241030406"</f>
        <v>CK20241030406</v>
      </c>
      <c r="C949" s="1" t="str">
        <f>"DD2024103036481"</f>
        <v>DD2024103036481</v>
      </c>
      <c r="D949" s="1" t="str">
        <f>"CK2024103035513"</f>
        <v>CK2024103035513</v>
      </c>
      <c r="E949" s="1" t="str">
        <f>"3723650403261613568"</f>
        <v>3723650403261613568</v>
      </c>
      <c r="F949" s="1" t="str">
        <f t="shared" si="293"/>
        <v>花都四部-凤凰仓</v>
      </c>
      <c r="G949" s="1" t="str">
        <f t="shared" si="288"/>
        <v>卡卡杜企业店（视频号）</v>
      </c>
      <c r="H949" s="1" t="str">
        <f t="shared" si="294"/>
        <v>正常订单</v>
      </c>
      <c r="I949" s="1" t="str">
        <f t="shared" si="295"/>
        <v>已发货</v>
      </c>
      <c r="J949" s="1" t="str">
        <f t="shared" si="308"/>
        <v>1</v>
      </c>
      <c r="K949" s="1">
        <v>1</v>
      </c>
      <c r="L949" s="1" t="s">
        <v>36</v>
      </c>
      <c r="M949" s="1" t="str">
        <f>"安徽省 芜湖市 弋江区 "</f>
        <v xml:space="preserve">安徽省 芜湖市 弋江区 </v>
      </c>
      <c r="N949" s="1" t="str">
        <f t="shared" si="290"/>
        <v>凡华云仓-城南圆通-微信视频号</v>
      </c>
      <c r="O949" s="5" t="s">
        <v>987</v>
      </c>
      <c r="P949" s="6">
        <v>0.12</v>
      </c>
      <c r="Q949" s="11">
        <v>2</v>
      </c>
      <c r="R949" s="11"/>
      <c r="S949" s="11"/>
      <c r="T949" s="11"/>
      <c r="U949" s="11">
        <f t="shared" si="297"/>
        <v>2</v>
      </c>
      <c r="W949">
        <v>2.2000000000000002</v>
      </c>
      <c r="X949" s="1" t="s">
        <v>36</v>
      </c>
    </row>
    <row r="950" spans="1:24" x14ac:dyDescent="0.25">
      <c r="A950" s="1" t="str">
        <f t="shared" si="292"/>
        <v>卡卡杜-凤凰仓</v>
      </c>
      <c r="B950" s="1" t="str">
        <f>"CK20241030409"</f>
        <v>CK20241030409</v>
      </c>
      <c r="C950" s="1" t="str">
        <f>"DD2024103036484"</f>
        <v>DD2024103036484</v>
      </c>
      <c r="D950" s="1" t="str">
        <f>"CK2024103035512"</f>
        <v>CK2024103035512</v>
      </c>
      <c r="E950" s="1" t="str">
        <f>"3723650398098691072"</f>
        <v>3723650398098691072</v>
      </c>
      <c r="F950" s="1" t="str">
        <f t="shared" si="293"/>
        <v>花都四部-凤凰仓</v>
      </c>
      <c r="G950" s="1" t="str">
        <f t="shared" si="288"/>
        <v>卡卡杜企业店（视频号）</v>
      </c>
      <c r="H950" s="1" t="str">
        <f t="shared" si="294"/>
        <v>正常订单</v>
      </c>
      <c r="I950" s="1" t="str">
        <f t="shared" si="295"/>
        <v>已发货</v>
      </c>
      <c r="J950" s="1" t="str">
        <f t="shared" ref="J950:J955" si="309">"3"</f>
        <v>3</v>
      </c>
      <c r="K950" s="1">
        <v>2</v>
      </c>
      <c r="L950" s="1" t="s">
        <v>92</v>
      </c>
      <c r="M950" s="1" t="str">
        <f>"辽宁省 沈阳市 皇姑区 "</f>
        <v xml:space="preserve">辽宁省 沈阳市 皇姑区 </v>
      </c>
      <c r="N950" s="1" t="str">
        <f t="shared" si="290"/>
        <v>凡华云仓-城南圆通-微信视频号</v>
      </c>
      <c r="O950" s="5" t="s">
        <v>988</v>
      </c>
      <c r="P950" s="6">
        <v>0.25</v>
      </c>
      <c r="Q950" s="11">
        <v>2</v>
      </c>
      <c r="R950" s="11"/>
      <c r="S950" s="11"/>
      <c r="T950" s="11"/>
      <c r="U950" s="11">
        <f t="shared" si="297"/>
        <v>2</v>
      </c>
      <c r="W950">
        <v>2.2000000000000002</v>
      </c>
      <c r="X950" s="1" t="s">
        <v>92</v>
      </c>
    </row>
    <row r="951" spans="1:24" x14ac:dyDescent="0.25">
      <c r="A951" s="1" t="str">
        <f t="shared" si="292"/>
        <v>卡卡杜-凤凰仓</v>
      </c>
      <c r="B951" s="1" t="str">
        <f>"CK20241030407"</f>
        <v>CK20241030407</v>
      </c>
      <c r="C951" s="1" t="str">
        <f>"DD2024103036482"</f>
        <v>DD2024103036482</v>
      </c>
      <c r="D951" s="1" t="str">
        <f>"CK2024103035511"</f>
        <v>CK2024103035511</v>
      </c>
      <c r="E951" s="1" t="str">
        <f>"3723650400898388992"</f>
        <v>3723650400898388992</v>
      </c>
      <c r="F951" s="1" t="str">
        <f t="shared" si="293"/>
        <v>花都四部-凤凰仓</v>
      </c>
      <c r="G951" s="1" t="str">
        <f t="shared" ref="G951:G1014" si="310">"卡卡杜企业店（视频号）"</f>
        <v>卡卡杜企业店（视频号）</v>
      </c>
      <c r="H951" s="1" t="str">
        <f t="shared" si="294"/>
        <v>正常订单</v>
      </c>
      <c r="I951" s="1" t="str">
        <f t="shared" si="295"/>
        <v>已发货</v>
      </c>
      <c r="J951" s="1" t="str">
        <f t="shared" si="309"/>
        <v>3</v>
      </c>
      <c r="K951" s="1">
        <v>2</v>
      </c>
      <c r="L951" s="1" t="s">
        <v>161</v>
      </c>
      <c r="M951" s="1" t="str">
        <f>"四川省 成都市 金牛区 "</f>
        <v xml:space="preserve">四川省 成都市 金牛区 </v>
      </c>
      <c r="N951" s="1" t="str">
        <f>"凡华云仓-竹料中通-微信视频号"</f>
        <v>凡华云仓-竹料中通-微信视频号</v>
      </c>
      <c r="O951" s="5">
        <v>73613941690413</v>
      </c>
      <c r="P951" s="6">
        <v>0.25</v>
      </c>
      <c r="Q951" s="11">
        <v>2.2999999999999998</v>
      </c>
      <c r="R951" s="11"/>
      <c r="S951" s="11"/>
      <c r="T951" s="11"/>
      <c r="U951" s="11">
        <f t="shared" si="297"/>
        <v>2.2999999999999998</v>
      </c>
      <c r="W951">
        <v>2.5</v>
      </c>
      <c r="X951" s="1" t="s">
        <v>161</v>
      </c>
    </row>
    <row r="952" spans="1:24" x14ac:dyDescent="0.25">
      <c r="A952" s="1" t="str">
        <f t="shared" si="292"/>
        <v>卡卡杜-凤凰仓</v>
      </c>
      <c r="B952" s="1" t="str">
        <f>"CK20241030408"</f>
        <v>CK20241030408</v>
      </c>
      <c r="C952" s="1" t="str">
        <f>"DD2024103036483"</f>
        <v>DD2024103036483</v>
      </c>
      <c r="D952" s="1" t="str">
        <f>"CK2024103035510"</f>
        <v>CK2024103035510</v>
      </c>
      <c r="E952" s="1" t="str">
        <f>"3723650401220824064"</f>
        <v>3723650401220824064</v>
      </c>
      <c r="F952" s="1" t="str">
        <f t="shared" si="293"/>
        <v>花都四部-凤凰仓</v>
      </c>
      <c r="G952" s="1" t="str">
        <f t="shared" si="310"/>
        <v>卡卡杜企业店（视频号）</v>
      </c>
      <c r="H952" s="1" t="str">
        <f t="shared" si="294"/>
        <v>正常订单</v>
      </c>
      <c r="I952" s="1" t="str">
        <f t="shared" si="295"/>
        <v>已发货</v>
      </c>
      <c r="J952" s="1" t="str">
        <f t="shared" si="308"/>
        <v>1</v>
      </c>
      <c r="K952" s="1">
        <v>1</v>
      </c>
      <c r="L952" s="1" t="s">
        <v>20</v>
      </c>
      <c r="M952" s="1" t="str">
        <f>"浙江省 宁波市 余姚市 "</f>
        <v xml:space="preserve">浙江省 宁波市 余姚市 </v>
      </c>
      <c r="N952" s="1" t="str">
        <f t="shared" ref="N952:N1015" si="311">"凡华云仓-城南圆通-微信视频号"</f>
        <v>凡华云仓-城南圆通-微信视频号</v>
      </c>
      <c r="O952" s="5" t="s">
        <v>989</v>
      </c>
      <c r="P952" s="6">
        <v>0.12</v>
      </c>
      <c r="Q952" s="11">
        <v>2</v>
      </c>
      <c r="R952" s="11"/>
      <c r="S952" s="11"/>
      <c r="T952" s="11"/>
      <c r="U952" s="11">
        <f t="shared" si="297"/>
        <v>2</v>
      </c>
      <c r="W952">
        <v>2.2000000000000002</v>
      </c>
      <c r="X952" s="1" t="s">
        <v>20</v>
      </c>
    </row>
    <row r="953" spans="1:24" x14ac:dyDescent="0.25">
      <c r="A953" s="1" t="str">
        <f t="shared" si="292"/>
        <v>卡卡杜-凤凰仓</v>
      </c>
      <c r="B953" s="1" t="str">
        <f>"CK20241030412"</f>
        <v>CK20241030412</v>
      </c>
      <c r="C953" s="1" t="str">
        <f>"DD2024103036487"</f>
        <v>DD2024103036487</v>
      </c>
      <c r="D953" s="1" t="str">
        <f>"CK2024103035509"</f>
        <v>CK2024103035509</v>
      </c>
      <c r="E953" s="1" t="str">
        <f>"3723650396942371840"</f>
        <v>3723650396942371840</v>
      </c>
      <c r="F953" s="1" t="str">
        <f t="shared" si="293"/>
        <v>花都四部-凤凰仓</v>
      </c>
      <c r="G953" s="1" t="str">
        <f t="shared" si="310"/>
        <v>卡卡杜企业店（视频号）</v>
      </c>
      <c r="H953" s="1" t="str">
        <f t="shared" si="294"/>
        <v>正常订单</v>
      </c>
      <c r="I953" s="1" t="str">
        <f t="shared" si="295"/>
        <v>已发货</v>
      </c>
      <c r="J953" s="1" t="str">
        <f t="shared" si="308"/>
        <v>1</v>
      </c>
      <c r="K953" s="1">
        <v>1</v>
      </c>
      <c r="L953" s="1" t="s">
        <v>41</v>
      </c>
      <c r="M953" s="1" t="str">
        <f>"湖北省 武汉市 硚口区 "</f>
        <v xml:space="preserve">湖北省 武汉市 硚口区 </v>
      </c>
      <c r="N953" s="1" t="str">
        <f t="shared" si="311"/>
        <v>凡华云仓-城南圆通-微信视频号</v>
      </c>
      <c r="O953" s="5" t="s">
        <v>990</v>
      </c>
      <c r="P953" s="6">
        <v>0.12</v>
      </c>
      <c r="Q953" s="11">
        <v>2</v>
      </c>
      <c r="R953" s="11"/>
      <c r="S953" s="11"/>
      <c r="T953" s="11"/>
      <c r="U953" s="11">
        <f t="shared" si="297"/>
        <v>2</v>
      </c>
      <c r="W953">
        <v>2.2000000000000002</v>
      </c>
      <c r="X953" s="1" t="s">
        <v>41</v>
      </c>
    </row>
    <row r="954" spans="1:24" x14ac:dyDescent="0.25">
      <c r="A954" s="1" t="str">
        <f t="shared" si="292"/>
        <v>卡卡杜-凤凰仓</v>
      </c>
      <c r="B954" s="1" t="str">
        <f>"CK20241030425"</f>
        <v>CK20241030425</v>
      </c>
      <c r="C954" s="1" t="str">
        <f>"DD2024103036500"</f>
        <v>DD2024103036500</v>
      </c>
      <c r="D954" s="1" t="str">
        <f>"CK2024103035508"</f>
        <v>CK2024103035508</v>
      </c>
      <c r="E954" s="1" t="str">
        <f>"3723650386285431808"</f>
        <v>3723650386285431808</v>
      </c>
      <c r="F954" s="1" t="str">
        <f t="shared" si="293"/>
        <v>花都四部-凤凰仓</v>
      </c>
      <c r="G954" s="1" t="str">
        <f t="shared" si="310"/>
        <v>卡卡杜企业店（视频号）</v>
      </c>
      <c r="H954" s="1" t="str">
        <f t="shared" si="294"/>
        <v>正常订单</v>
      </c>
      <c r="I954" s="1" t="str">
        <f t="shared" si="295"/>
        <v>已发货</v>
      </c>
      <c r="J954" s="1" t="str">
        <f t="shared" si="308"/>
        <v>1</v>
      </c>
      <c r="K954" s="1">
        <v>1</v>
      </c>
      <c r="L954" s="1" t="s">
        <v>94</v>
      </c>
      <c r="M954" s="1" t="str">
        <f>"湖南省 永州市 冷水滩区 "</f>
        <v xml:space="preserve">湖南省 永州市 冷水滩区 </v>
      </c>
      <c r="N954" s="1" t="str">
        <f t="shared" si="311"/>
        <v>凡华云仓-城南圆通-微信视频号</v>
      </c>
      <c r="O954" s="5" t="s">
        <v>991</v>
      </c>
      <c r="P954" s="6">
        <v>0.12</v>
      </c>
      <c r="Q954" s="11">
        <v>2</v>
      </c>
      <c r="R954" s="11"/>
      <c r="S954" s="11"/>
      <c r="T954" s="11"/>
      <c r="U954" s="11">
        <f t="shared" si="297"/>
        <v>2</v>
      </c>
      <c r="W954">
        <v>2.2000000000000002</v>
      </c>
      <c r="X954" s="1" t="s">
        <v>94</v>
      </c>
    </row>
    <row r="955" spans="1:24" x14ac:dyDescent="0.25">
      <c r="A955" s="1" t="str">
        <f t="shared" si="292"/>
        <v>卡卡杜-凤凰仓</v>
      </c>
      <c r="B955" s="1" t="str">
        <f>"CK20241030413"</f>
        <v>CK20241030413</v>
      </c>
      <c r="C955" s="1" t="str">
        <f>"DD2024103036488"</f>
        <v>DD2024103036488</v>
      </c>
      <c r="D955" s="1" t="str">
        <f>"CK2024103035507"</f>
        <v>CK2024103035507</v>
      </c>
      <c r="E955" s="1" t="str">
        <f>"3723650395743061248"</f>
        <v>3723650395743061248</v>
      </c>
      <c r="F955" s="1" t="str">
        <f t="shared" si="293"/>
        <v>花都四部-凤凰仓</v>
      </c>
      <c r="G955" s="1" t="str">
        <f t="shared" si="310"/>
        <v>卡卡杜企业店（视频号）</v>
      </c>
      <c r="H955" s="1" t="str">
        <f t="shared" si="294"/>
        <v>正常订单</v>
      </c>
      <c r="I955" s="1" t="str">
        <f t="shared" si="295"/>
        <v>已发货</v>
      </c>
      <c r="J955" s="1" t="str">
        <f t="shared" si="309"/>
        <v>3</v>
      </c>
      <c r="K955" s="1">
        <v>2</v>
      </c>
      <c r="L955" s="1" t="s">
        <v>54</v>
      </c>
      <c r="M955" s="1" t="str">
        <f>"黑龙江省 哈尔滨市 阿城区 "</f>
        <v xml:space="preserve">黑龙江省 哈尔滨市 阿城区 </v>
      </c>
      <c r="N955" s="1" t="str">
        <f t="shared" si="311"/>
        <v>凡华云仓-城南圆通-微信视频号</v>
      </c>
      <c r="O955" s="5" t="s">
        <v>992</v>
      </c>
      <c r="P955" s="6">
        <v>0.25</v>
      </c>
      <c r="Q955" s="11">
        <v>2</v>
      </c>
      <c r="R955" s="11"/>
      <c r="S955" s="11"/>
      <c r="T955" s="11"/>
      <c r="U955" s="11">
        <f t="shared" si="297"/>
        <v>2</v>
      </c>
      <c r="W955">
        <v>2.2000000000000002</v>
      </c>
      <c r="X955" s="1" t="s">
        <v>54</v>
      </c>
    </row>
    <row r="956" spans="1:24" x14ac:dyDescent="0.25">
      <c r="A956" s="1" t="str">
        <f t="shared" si="292"/>
        <v>卡卡杜-凤凰仓</v>
      </c>
      <c r="B956" s="1" t="str">
        <f>"CK20241030414"</f>
        <v>CK20241030414</v>
      </c>
      <c r="C956" s="1" t="str">
        <f>"DD2024103036489"</f>
        <v>DD2024103036489</v>
      </c>
      <c r="D956" s="1" t="str">
        <f>"CK2024103035506"</f>
        <v>CK2024103035506</v>
      </c>
      <c r="E956" s="1" t="str">
        <f>"3723650392823566336"</f>
        <v>3723650392823566336</v>
      </c>
      <c r="F956" s="1" t="str">
        <f t="shared" si="293"/>
        <v>花都四部-凤凰仓</v>
      </c>
      <c r="G956" s="1" t="str">
        <f t="shared" si="310"/>
        <v>卡卡杜企业店（视频号）</v>
      </c>
      <c r="H956" s="1" t="str">
        <f t="shared" si="294"/>
        <v>正常订单</v>
      </c>
      <c r="I956" s="1" t="str">
        <f t="shared" si="295"/>
        <v>已发货</v>
      </c>
      <c r="J956" s="1" t="str">
        <f t="shared" ref="J956:J962" si="312">"1"</f>
        <v>1</v>
      </c>
      <c r="K956" s="1">
        <v>1</v>
      </c>
      <c r="L956" s="1" t="s">
        <v>27</v>
      </c>
      <c r="M956" s="1" t="str">
        <f>"贵州省 贵阳市 清镇市 "</f>
        <v xml:space="preserve">贵州省 贵阳市 清镇市 </v>
      </c>
      <c r="N956" s="1" t="str">
        <f t="shared" si="311"/>
        <v>凡华云仓-城南圆通-微信视频号</v>
      </c>
      <c r="O956" s="5" t="s">
        <v>993</v>
      </c>
      <c r="P956" s="6">
        <v>0.12</v>
      </c>
      <c r="Q956" s="11">
        <v>2</v>
      </c>
      <c r="R956" s="11"/>
      <c r="S956" s="11"/>
      <c r="T956" s="11"/>
      <c r="U956" s="11">
        <f t="shared" si="297"/>
        <v>2</v>
      </c>
      <c r="W956">
        <v>2.2000000000000002</v>
      </c>
      <c r="X956" s="1" t="s">
        <v>27</v>
      </c>
    </row>
    <row r="957" spans="1:24" x14ac:dyDescent="0.25">
      <c r="A957" s="1" t="str">
        <f t="shared" si="292"/>
        <v>卡卡杜-凤凰仓</v>
      </c>
      <c r="B957" s="1" t="str">
        <f>"CK20241030416"</f>
        <v>CK20241030416</v>
      </c>
      <c r="C957" s="1" t="str">
        <f>"DD2024103036490"</f>
        <v>DD2024103036490</v>
      </c>
      <c r="D957" s="1" t="str">
        <f>"CK2024103035505"</f>
        <v>CK2024103035505</v>
      </c>
      <c r="E957" s="1" t="str">
        <f>"3723650389760939008"</f>
        <v>3723650389760939008</v>
      </c>
      <c r="F957" s="1" t="str">
        <f t="shared" si="293"/>
        <v>花都四部-凤凰仓</v>
      </c>
      <c r="G957" s="1" t="str">
        <f t="shared" si="310"/>
        <v>卡卡杜企业店（视频号）</v>
      </c>
      <c r="H957" s="1" t="str">
        <f t="shared" si="294"/>
        <v>正常订单</v>
      </c>
      <c r="I957" s="1" t="str">
        <f t="shared" si="295"/>
        <v>已发货</v>
      </c>
      <c r="J957" s="1" t="str">
        <f>"3"</f>
        <v>3</v>
      </c>
      <c r="K957" s="1">
        <v>2</v>
      </c>
      <c r="L957" s="1" t="s">
        <v>18</v>
      </c>
      <c r="M957" s="1" t="str">
        <f>"广东省 深圳市 龙岗区 "</f>
        <v xml:space="preserve">广东省 深圳市 龙岗区 </v>
      </c>
      <c r="N957" s="1" t="str">
        <f t="shared" si="311"/>
        <v>凡华云仓-城南圆通-微信视频号</v>
      </c>
      <c r="O957" s="5" t="s">
        <v>994</v>
      </c>
      <c r="P957" s="6">
        <v>0.25</v>
      </c>
      <c r="Q957" s="11">
        <v>2</v>
      </c>
      <c r="R957" s="11"/>
      <c r="S957" s="11"/>
      <c r="T957" s="11"/>
      <c r="U957" s="11">
        <f t="shared" si="297"/>
        <v>2</v>
      </c>
      <c r="W957">
        <v>2.2000000000000002</v>
      </c>
      <c r="X957" s="1" t="s">
        <v>18</v>
      </c>
    </row>
    <row r="958" spans="1:24" x14ac:dyDescent="0.25">
      <c r="A958" s="1" t="str">
        <f t="shared" si="292"/>
        <v>卡卡杜-凤凰仓</v>
      </c>
      <c r="B958" s="1" t="str">
        <f>"CK20241030418"</f>
        <v>CK20241030418</v>
      </c>
      <c r="C958" s="1" t="str">
        <f>"DD2024103036493"</f>
        <v>DD2024103036493</v>
      </c>
      <c r="D958" s="1" t="str">
        <f>"CK2024103035504"</f>
        <v>CK2024103035504</v>
      </c>
      <c r="E958" s="1" t="str">
        <f>"3723650389037682689"</f>
        <v>3723650389037682689</v>
      </c>
      <c r="F958" s="1" t="str">
        <f t="shared" si="293"/>
        <v>花都四部-凤凰仓</v>
      </c>
      <c r="G958" s="1" t="str">
        <f t="shared" si="310"/>
        <v>卡卡杜企业店（视频号）</v>
      </c>
      <c r="H958" s="1" t="str">
        <f t="shared" si="294"/>
        <v>正常订单</v>
      </c>
      <c r="I958" s="1" t="str">
        <f t="shared" si="295"/>
        <v>已发货</v>
      </c>
      <c r="J958" s="1" t="str">
        <f t="shared" si="312"/>
        <v>1</v>
      </c>
      <c r="K958" s="1">
        <v>1</v>
      </c>
      <c r="L958" s="1" t="s">
        <v>41</v>
      </c>
      <c r="M958" s="1" t="str">
        <f>"湖北省 武汉市 江岸区 "</f>
        <v xml:space="preserve">湖北省 武汉市 江岸区 </v>
      </c>
      <c r="N958" s="1" t="str">
        <f t="shared" si="311"/>
        <v>凡华云仓-城南圆通-微信视频号</v>
      </c>
      <c r="O958" s="5" t="s">
        <v>995</v>
      </c>
      <c r="P958" s="6">
        <v>0.12</v>
      </c>
      <c r="Q958" s="11">
        <v>2</v>
      </c>
      <c r="R958" s="11"/>
      <c r="S958" s="11"/>
      <c r="T958" s="11"/>
      <c r="U958" s="11">
        <f t="shared" si="297"/>
        <v>2</v>
      </c>
      <c r="W958">
        <v>2.2000000000000002</v>
      </c>
      <c r="X958" s="1" t="s">
        <v>41</v>
      </c>
    </row>
    <row r="959" spans="1:24" x14ac:dyDescent="0.25">
      <c r="A959" s="1" t="str">
        <f t="shared" si="292"/>
        <v>卡卡杜-凤凰仓</v>
      </c>
      <c r="B959" s="1" t="str">
        <f>"CK20241030415"</f>
        <v>CK20241030415</v>
      </c>
      <c r="C959" s="1" t="str">
        <f>"DD2024103036491"</f>
        <v>DD2024103036491</v>
      </c>
      <c r="D959" s="1" t="str">
        <f>"CK2024103035503"</f>
        <v>CK2024103035503</v>
      </c>
      <c r="E959" s="1" t="str">
        <f>"3723650390561523200"</f>
        <v>3723650390561523200</v>
      </c>
      <c r="F959" s="1" t="str">
        <f t="shared" si="293"/>
        <v>花都四部-凤凰仓</v>
      </c>
      <c r="G959" s="1" t="str">
        <f t="shared" si="310"/>
        <v>卡卡杜企业店（视频号）</v>
      </c>
      <c r="H959" s="1" t="str">
        <f t="shared" si="294"/>
        <v>正常订单</v>
      </c>
      <c r="I959" s="1" t="str">
        <f t="shared" si="295"/>
        <v>已发货</v>
      </c>
      <c r="J959" s="1" t="str">
        <f t="shared" si="312"/>
        <v>1</v>
      </c>
      <c r="K959" s="1">
        <v>1</v>
      </c>
      <c r="L959" s="1" t="s">
        <v>18</v>
      </c>
      <c r="M959" s="1" t="str">
        <f>"广东省 东莞市 东城区 "</f>
        <v xml:space="preserve">广东省 东莞市 东城区 </v>
      </c>
      <c r="N959" s="1" t="str">
        <f t="shared" si="311"/>
        <v>凡华云仓-城南圆通-微信视频号</v>
      </c>
      <c r="O959" s="5" t="s">
        <v>996</v>
      </c>
      <c r="P959" s="6">
        <v>0.12</v>
      </c>
      <c r="Q959" s="11">
        <v>2</v>
      </c>
      <c r="R959" s="11"/>
      <c r="S959" s="11"/>
      <c r="T959" s="11"/>
      <c r="U959" s="11">
        <f t="shared" si="297"/>
        <v>2</v>
      </c>
      <c r="W959">
        <v>2.2000000000000002</v>
      </c>
      <c r="X959" s="1" t="s">
        <v>18</v>
      </c>
    </row>
    <row r="960" spans="1:24" x14ac:dyDescent="0.25">
      <c r="A960" s="1" t="str">
        <f t="shared" si="292"/>
        <v>卡卡杜-凤凰仓</v>
      </c>
      <c r="B960" s="1" t="str">
        <f>"CK20241030419"</f>
        <v>CK20241030419</v>
      </c>
      <c r="C960" s="1" t="str">
        <f>"DD2024103036494"</f>
        <v>DD2024103036494</v>
      </c>
      <c r="D960" s="1" t="str">
        <f>"CK2024103035502"</f>
        <v>CK2024103035502</v>
      </c>
      <c r="E960" s="1" t="str">
        <f>"3723650388812762112"</f>
        <v>3723650388812762112</v>
      </c>
      <c r="F960" s="1" t="str">
        <f t="shared" si="293"/>
        <v>花都四部-凤凰仓</v>
      </c>
      <c r="G960" s="1" t="str">
        <f t="shared" si="310"/>
        <v>卡卡杜企业店（视频号）</v>
      </c>
      <c r="H960" s="1" t="str">
        <f t="shared" si="294"/>
        <v>正常订单</v>
      </c>
      <c r="I960" s="1" t="str">
        <f t="shared" si="295"/>
        <v>已发货</v>
      </c>
      <c r="J960" s="1" t="str">
        <f t="shared" si="312"/>
        <v>1</v>
      </c>
      <c r="K960" s="1">
        <v>1</v>
      </c>
      <c r="L960" s="1" t="s">
        <v>54</v>
      </c>
      <c r="M960" s="1" t="str">
        <f>"黑龙江省 鹤岗市 向阳区 "</f>
        <v xml:space="preserve">黑龙江省 鹤岗市 向阳区 </v>
      </c>
      <c r="N960" s="1" t="str">
        <f t="shared" si="311"/>
        <v>凡华云仓-城南圆通-微信视频号</v>
      </c>
      <c r="O960" s="5" t="s">
        <v>997</v>
      </c>
      <c r="P960" s="6">
        <v>0.12</v>
      </c>
      <c r="Q960" s="11">
        <v>2</v>
      </c>
      <c r="R960" s="11"/>
      <c r="S960" s="11"/>
      <c r="T960" s="11"/>
      <c r="U960" s="11">
        <f t="shared" si="297"/>
        <v>2</v>
      </c>
      <c r="W960">
        <v>2.2000000000000002</v>
      </c>
      <c r="X960" s="1" t="s">
        <v>54</v>
      </c>
    </row>
    <row r="961" spans="1:24" x14ac:dyDescent="0.25">
      <c r="A961" s="1" t="str">
        <f t="shared" si="292"/>
        <v>卡卡杜-凤凰仓</v>
      </c>
      <c r="B961" s="1" t="str">
        <f>"CK20241030417"</f>
        <v>CK20241030417</v>
      </c>
      <c r="C961" s="1" t="str">
        <f>"DD2024103036492"</f>
        <v>DD2024103036492</v>
      </c>
      <c r="D961" s="1" t="str">
        <f>"CK2024103035501"</f>
        <v>CK2024103035501</v>
      </c>
      <c r="E961" s="1" t="str">
        <f>"3723650388219793408"</f>
        <v>3723650388219793408</v>
      </c>
      <c r="F961" s="1" t="str">
        <f t="shared" si="293"/>
        <v>花都四部-凤凰仓</v>
      </c>
      <c r="G961" s="1" t="str">
        <f t="shared" si="310"/>
        <v>卡卡杜企业店（视频号）</v>
      </c>
      <c r="H961" s="1" t="str">
        <f t="shared" si="294"/>
        <v>正常订单</v>
      </c>
      <c r="I961" s="1" t="str">
        <f t="shared" si="295"/>
        <v>已发货</v>
      </c>
      <c r="J961" s="1" t="str">
        <f t="shared" si="312"/>
        <v>1</v>
      </c>
      <c r="K961" s="1">
        <v>1</v>
      </c>
      <c r="L961" s="1" t="s">
        <v>105</v>
      </c>
      <c r="M961" s="1" t="str">
        <f>"北京 北京市 朝阳区 "</f>
        <v xml:space="preserve">北京 北京市 朝阳区 </v>
      </c>
      <c r="N961" s="1" t="str">
        <f t="shared" si="311"/>
        <v>凡华云仓-城南圆通-微信视频号</v>
      </c>
      <c r="O961" s="5" t="s">
        <v>998</v>
      </c>
      <c r="P961" s="6">
        <v>0.12</v>
      </c>
      <c r="Q961" s="11">
        <v>2</v>
      </c>
      <c r="R961" s="11"/>
      <c r="S961" s="11"/>
      <c r="T961" s="11"/>
      <c r="U961" s="11">
        <f t="shared" si="297"/>
        <v>2</v>
      </c>
      <c r="W961">
        <v>2.2000000000000002</v>
      </c>
      <c r="X961" s="1" t="s">
        <v>105</v>
      </c>
    </row>
    <row r="962" spans="1:24" x14ac:dyDescent="0.25">
      <c r="A962" s="1" t="str">
        <f t="shared" ref="A962:A1025" si="313">"卡卡杜-凤凰仓"</f>
        <v>卡卡杜-凤凰仓</v>
      </c>
      <c r="B962" s="1" t="str">
        <f>"CK20241030423"</f>
        <v>CK20241030423</v>
      </c>
      <c r="C962" s="1" t="str">
        <f>"DD2024103036497"</f>
        <v>DD2024103036497</v>
      </c>
      <c r="D962" s="1" t="str">
        <f>"CK2024103035500"</f>
        <v>CK2024103035500</v>
      </c>
      <c r="E962" s="1" t="str">
        <f>"3723650386692017153"</f>
        <v>3723650386692017153</v>
      </c>
      <c r="F962" s="1" t="str">
        <f t="shared" ref="F962:F1025" si="314">"花都四部-凤凰仓"</f>
        <v>花都四部-凤凰仓</v>
      </c>
      <c r="G962" s="1" t="str">
        <f t="shared" si="310"/>
        <v>卡卡杜企业店（视频号）</v>
      </c>
      <c r="H962" s="1" t="str">
        <f t="shared" ref="H962:H1025" si="315">"正常订单"</f>
        <v>正常订单</v>
      </c>
      <c r="I962" s="1" t="str">
        <f t="shared" ref="I962:I1025" si="316">"已发货"</f>
        <v>已发货</v>
      </c>
      <c r="J962" s="1" t="str">
        <f t="shared" si="312"/>
        <v>1</v>
      </c>
      <c r="K962" s="1">
        <v>1</v>
      </c>
      <c r="L962" s="1" t="s">
        <v>80</v>
      </c>
      <c r="M962" s="1" t="str">
        <f>"河南省 开封市 龙亭区 "</f>
        <v xml:space="preserve">河南省 开封市 龙亭区 </v>
      </c>
      <c r="N962" s="1" t="str">
        <f t="shared" si="311"/>
        <v>凡华云仓-城南圆通-微信视频号</v>
      </c>
      <c r="O962" s="5" t="s">
        <v>999</v>
      </c>
      <c r="P962" s="6">
        <v>0.12</v>
      </c>
      <c r="Q962" s="11">
        <v>2</v>
      </c>
      <c r="R962" s="11"/>
      <c r="S962" s="11"/>
      <c r="T962" s="11"/>
      <c r="U962" s="11">
        <f t="shared" si="297"/>
        <v>2</v>
      </c>
      <c r="W962">
        <v>2.2000000000000002</v>
      </c>
      <c r="X962" s="1" t="s">
        <v>80</v>
      </c>
    </row>
    <row r="963" spans="1:24" x14ac:dyDescent="0.25">
      <c r="A963" s="1" t="str">
        <f t="shared" si="313"/>
        <v>卡卡杜-凤凰仓</v>
      </c>
      <c r="B963" s="1" t="str">
        <f>"CK20241030421"</f>
        <v>CK20241030421</v>
      </c>
      <c r="C963" s="1" t="str">
        <f>"DD2024103036498"</f>
        <v>DD2024103036498</v>
      </c>
      <c r="D963" s="1" t="str">
        <f>"CK2024103035499"</f>
        <v>CK2024103035499</v>
      </c>
      <c r="E963" s="1" t="str">
        <f>"3723650387162041344"</f>
        <v>3723650387162041344</v>
      </c>
      <c r="F963" s="1" t="str">
        <f t="shared" si="314"/>
        <v>花都四部-凤凰仓</v>
      </c>
      <c r="G963" s="1" t="str">
        <f t="shared" si="310"/>
        <v>卡卡杜企业店（视频号）</v>
      </c>
      <c r="H963" s="1" t="str">
        <f t="shared" si="315"/>
        <v>正常订单</v>
      </c>
      <c r="I963" s="1" t="str">
        <f t="shared" si="316"/>
        <v>已发货</v>
      </c>
      <c r="J963" s="1" t="str">
        <f t="shared" ref="J963:J965" si="317">"3"</f>
        <v>3</v>
      </c>
      <c r="K963" s="1">
        <v>2</v>
      </c>
      <c r="L963" s="1" t="s">
        <v>13</v>
      </c>
      <c r="M963" s="1" t="str">
        <f>"江苏省 南京市 秦淮区 "</f>
        <v xml:space="preserve">江苏省 南京市 秦淮区 </v>
      </c>
      <c r="N963" s="1" t="str">
        <f t="shared" si="311"/>
        <v>凡华云仓-城南圆通-微信视频号</v>
      </c>
      <c r="O963" s="5" t="s">
        <v>1000</v>
      </c>
      <c r="P963" s="6">
        <v>0.25</v>
      </c>
      <c r="Q963" s="11">
        <v>2</v>
      </c>
      <c r="R963" s="11"/>
      <c r="S963" s="11"/>
      <c r="T963" s="11"/>
      <c r="U963" s="11">
        <f t="shared" ref="U963:U1026" si="318">T963+S963+R963+Q963</f>
        <v>2</v>
      </c>
      <c r="W963">
        <v>2.2000000000000002</v>
      </c>
      <c r="X963" s="1" t="s">
        <v>13</v>
      </c>
    </row>
    <row r="964" spans="1:24" x14ac:dyDescent="0.25">
      <c r="A964" s="1" t="str">
        <f t="shared" si="313"/>
        <v>卡卡杜-凤凰仓</v>
      </c>
      <c r="B964" s="1" t="str">
        <f>"CK20241030420"</f>
        <v>CK20241030420</v>
      </c>
      <c r="C964" s="1" t="str">
        <f>"DD2024103036495"</f>
        <v>DD2024103036495</v>
      </c>
      <c r="D964" s="1" t="str">
        <f>"CK2024103035498"</f>
        <v>CK2024103035498</v>
      </c>
      <c r="E964" s="1" t="str">
        <f>"3723650388809094145"</f>
        <v>3723650388809094145</v>
      </c>
      <c r="F964" s="1" t="str">
        <f t="shared" si="314"/>
        <v>花都四部-凤凰仓</v>
      </c>
      <c r="G964" s="1" t="str">
        <f t="shared" si="310"/>
        <v>卡卡杜企业店（视频号）</v>
      </c>
      <c r="H964" s="1" t="str">
        <f t="shared" si="315"/>
        <v>正常订单</v>
      </c>
      <c r="I964" s="1" t="str">
        <f t="shared" si="316"/>
        <v>已发货</v>
      </c>
      <c r="J964" s="1" t="str">
        <f t="shared" si="317"/>
        <v>3</v>
      </c>
      <c r="K964" s="1">
        <v>2</v>
      </c>
      <c r="L964" s="1" t="s">
        <v>80</v>
      </c>
      <c r="M964" s="1" t="str">
        <f>"河南省 郑州市 金水区 "</f>
        <v xml:space="preserve">河南省 郑州市 金水区 </v>
      </c>
      <c r="N964" s="1" t="str">
        <f t="shared" si="311"/>
        <v>凡华云仓-城南圆通-微信视频号</v>
      </c>
      <c r="O964" s="5" t="s">
        <v>1001</v>
      </c>
      <c r="P964" s="6">
        <v>0.25</v>
      </c>
      <c r="Q964" s="11">
        <v>2</v>
      </c>
      <c r="R964" s="11"/>
      <c r="S964" s="11"/>
      <c r="T964" s="11"/>
      <c r="U964" s="11">
        <f t="shared" si="318"/>
        <v>2</v>
      </c>
      <c r="W964">
        <v>2.2000000000000002</v>
      </c>
      <c r="X964" s="1" t="s">
        <v>80</v>
      </c>
    </row>
    <row r="965" spans="1:24" x14ac:dyDescent="0.25">
      <c r="A965" s="1" t="str">
        <f t="shared" si="313"/>
        <v>卡卡杜-凤凰仓</v>
      </c>
      <c r="B965" s="1" t="str">
        <f>"CK20241030426"</f>
        <v>CK20241030426</v>
      </c>
      <c r="C965" s="1" t="str">
        <f>"DD2024103036501"</f>
        <v>DD2024103036501</v>
      </c>
      <c r="D965" s="1" t="str">
        <f>"CK2024103035497"</f>
        <v>CK2024103035497</v>
      </c>
      <c r="E965" s="1" t="str">
        <f>"3723650385935731712"</f>
        <v>3723650385935731712</v>
      </c>
      <c r="F965" s="1" t="str">
        <f t="shared" si="314"/>
        <v>花都四部-凤凰仓</v>
      </c>
      <c r="G965" s="1" t="str">
        <f t="shared" si="310"/>
        <v>卡卡杜企业店（视频号）</v>
      </c>
      <c r="H965" s="1" t="str">
        <f t="shared" si="315"/>
        <v>正常订单</v>
      </c>
      <c r="I965" s="1" t="str">
        <f t="shared" si="316"/>
        <v>已发货</v>
      </c>
      <c r="J965" s="1" t="str">
        <f t="shared" si="317"/>
        <v>3</v>
      </c>
      <c r="K965" s="1">
        <v>2</v>
      </c>
      <c r="L965" s="1" t="s">
        <v>32</v>
      </c>
      <c r="M965" s="1" t="str">
        <f>"陕西省 西安市 雁塔区 "</f>
        <v xml:space="preserve">陕西省 西安市 雁塔区 </v>
      </c>
      <c r="N965" s="1" t="str">
        <f t="shared" si="311"/>
        <v>凡华云仓-城南圆通-微信视频号</v>
      </c>
      <c r="O965" s="5" t="s">
        <v>1002</v>
      </c>
      <c r="P965" s="6">
        <v>0.25</v>
      </c>
      <c r="Q965" s="11">
        <v>2</v>
      </c>
      <c r="R965" s="11"/>
      <c r="S965" s="11"/>
      <c r="T965" s="11"/>
      <c r="U965" s="11">
        <f t="shared" si="318"/>
        <v>2</v>
      </c>
      <c r="W965">
        <v>2.2000000000000002</v>
      </c>
      <c r="X965" s="1" t="s">
        <v>32</v>
      </c>
    </row>
    <row r="966" spans="1:24" x14ac:dyDescent="0.25">
      <c r="A966" s="1" t="str">
        <f t="shared" si="313"/>
        <v>卡卡杜-凤凰仓</v>
      </c>
      <c r="B966" s="1" t="str">
        <f>"CK20241030422"</f>
        <v>CK20241030422</v>
      </c>
      <c r="C966" s="1" t="str">
        <f>"DD2024103036496"</f>
        <v>DD2024103036496</v>
      </c>
      <c r="D966" s="1" t="str">
        <f>"CK2024103035496"</f>
        <v>CK2024103035496</v>
      </c>
      <c r="E966" s="1" t="str">
        <f>"3723650387146049024"</f>
        <v>3723650387146049024</v>
      </c>
      <c r="F966" s="1" t="str">
        <f t="shared" si="314"/>
        <v>花都四部-凤凰仓</v>
      </c>
      <c r="G966" s="1" t="str">
        <f t="shared" si="310"/>
        <v>卡卡杜企业店（视频号）</v>
      </c>
      <c r="H966" s="1" t="str">
        <f t="shared" si="315"/>
        <v>正常订单</v>
      </c>
      <c r="I966" s="1" t="str">
        <f t="shared" si="316"/>
        <v>已发货</v>
      </c>
      <c r="J966" s="1" t="str">
        <f t="shared" ref="J966:J972" si="319">"1"</f>
        <v>1</v>
      </c>
      <c r="K966" s="1">
        <v>1</v>
      </c>
      <c r="L966" s="1" t="s">
        <v>105</v>
      </c>
      <c r="M966" s="1" t="str">
        <f>"北京 北京市 石景山区 "</f>
        <v xml:space="preserve">北京 北京市 石景山区 </v>
      </c>
      <c r="N966" s="1" t="str">
        <f t="shared" si="311"/>
        <v>凡华云仓-城南圆通-微信视频号</v>
      </c>
      <c r="O966" s="5" t="s">
        <v>1003</v>
      </c>
      <c r="P966" s="6">
        <v>0.12</v>
      </c>
      <c r="Q966" s="11">
        <v>2</v>
      </c>
      <c r="R966" s="11"/>
      <c r="S966" s="11"/>
      <c r="T966" s="11"/>
      <c r="U966" s="11">
        <f t="shared" si="318"/>
        <v>2</v>
      </c>
      <c r="W966">
        <v>2.2000000000000002</v>
      </c>
      <c r="X966" s="1" t="s">
        <v>105</v>
      </c>
    </row>
    <row r="967" spans="1:24" x14ac:dyDescent="0.25">
      <c r="A967" s="1" t="str">
        <f t="shared" si="313"/>
        <v>卡卡杜-凤凰仓</v>
      </c>
      <c r="B967" s="1" t="str">
        <f>"CK20241030424"</f>
        <v>CK20241030424</v>
      </c>
      <c r="C967" s="1" t="str">
        <f>"DD2024103036499"</f>
        <v>DD2024103036499</v>
      </c>
      <c r="D967" s="1" t="str">
        <f>"CK2024103035495"</f>
        <v>CK2024103035495</v>
      </c>
      <c r="E967" s="1" t="str">
        <f>"3723650386131817472"</f>
        <v>3723650386131817472</v>
      </c>
      <c r="F967" s="1" t="str">
        <f t="shared" si="314"/>
        <v>花都四部-凤凰仓</v>
      </c>
      <c r="G967" s="1" t="str">
        <f t="shared" si="310"/>
        <v>卡卡杜企业店（视频号）</v>
      </c>
      <c r="H967" s="1" t="str">
        <f t="shared" si="315"/>
        <v>正常订单</v>
      </c>
      <c r="I967" s="1" t="str">
        <f t="shared" si="316"/>
        <v>已发货</v>
      </c>
      <c r="J967" s="1" t="str">
        <f t="shared" si="319"/>
        <v>1</v>
      </c>
      <c r="K967" s="1">
        <v>1</v>
      </c>
      <c r="L967" s="1" t="s">
        <v>105</v>
      </c>
      <c r="M967" s="1" t="str">
        <f>"北京 北京市 海淀区 "</f>
        <v xml:space="preserve">北京 北京市 海淀区 </v>
      </c>
      <c r="N967" s="1" t="str">
        <f t="shared" si="311"/>
        <v>凡华云仓-城南圆通-微信视频号</v>
      </c>
      <c r="O967" s="5" t="s">
        <v>1004</v>
      </c>
      <c r="P967" s="6">
        <v>0.12</v>
      </c>
      <c r="Q967" s="11">
        <v>2</v>
      </c>
      <c r="R967" s="11"/>
      <c r="S967" s="11"/>
      <c r="T967" s="11"/>
      <c r="U967" s="11">
        <f t="shared" si="318"/>
        <v>2</v>
      </c>
      <c r="W967">
        <v>2.2000000000000002</v>
      </c>
      <c r="X967" s="1" t="s">
        <v>105</v>
      </c>
    </row>
    <row r="968" spans="1:24" x14ac:dyDescent="0.25">
      <c r="A968" s="1" t="str">
        <f t="shared" si="313"/>
        <v>卡卡杜-凤凰仓</v>
      </c>
      <c r="B968" s="1" t="str">
        <f>"CK20241030427"</f>
        <v>CK20241030427</v>
      </c>
      <c r="C968" s="1" t="str">
        <f>"DD2024103036502"</f>
        <v>DD2024103036502</v>
      </c>
      <c r="D968" s="1" t="str">
        <f>"CK2024103035494"</f>
        <v>CK2024103035494</v>
      </c>
      <c r="E968" s="1" t="str">
        <f>"3723650385169745152"</f>
        <v>3723650385169745152</v>
      </c>
      <c r="F968" s="1" t="str">
        <f t="shared" si="314"/>
        <v>花都四部-凤凰仓</v>
      </c>
      <c r="G968" s="1" t="str">
        <f t="shared" si="310"/>
        <v>卡卡杜企业店（视频号）</v>
      </c>
      <c r="H968" s="1" t="str">
        <f t="shared" si="315"/>
        <v>正常订单</v>
      </c>
      <c r="I968" s="1" t="str">
        <f t="shared" si="316"/>
        <v>已发货</v>
      </c>
      <c r="J968" s="1" t="str">
        <f t="shared" ref="J968:J970" si="320">"3"</f>
        <v>3</v>
      </c>
      <c r="K968" s="1">
        <v>2</v>
      </c>
      <c r="L968" s="1" t="s">
        <v>60</v>
      </c>
      <c r="M968" s="1" t="str">
        <f>"云南省 临沧市 云县 "</f>
        <v xml:space="preserve">云南省 临沧市 云县 </v>
      </c>
      <c r="N968" s="1" t="str">
        <f t="shared" si="311"/>
        <v>凡华云仓-城南圆通-微信视频号</v>
      </c>
      <c r="O968" s="5" t="s">
        <v>1005</v>
      </c>
      <c r="P968" s="6">
        <v>0.25</v>
      </c>
      <c r="Q968" s="11">
        <v>2</v>
      </c>
      <c r="R968" s="11"/>
      <c r="S968" s="11"/>
      <c r="T968" s="11"/>
      <c r="U968" s="11">
        <f t="shared" si="318"/>
        <v>2</v>
      </c>
      <c r="W968">
        <v>2.2000000000000002</v>
      </c>
      <c r="X968" s="1" t="s">
        <v>60</v>
      </c>
    </row>
    <row r="969" spans="1:24" x14ac:dyDescent="0.25">
      <c r="A969" s="1" t="str">
        <f t="shared" si="313"/>
        <v>卡卡杜-凤凰仓</v>
      </c>
      <c r="B969" s="1" t="str">
        <f>"CK20241030428"</f>
        <v>CK20241030428</v>
      </c>
      <c r="C969" s="1" t="str">
        <f>"DD2024103036504"</f>
        <v>DD2024103036504</v>
      </c>
      <c r="D969" s="1" t="str">
        <f>"CK2024103035493"</f>
        <v>CK2024103035493</v>
      </c>
      <c r="E969" s="1" t="str">
        <f>"3723650383523483648"</f>
        <v>3723650383523483648</v>
      </c>
      <c r="F969" s="1" t="str">
        <f t="shared" si="314"/>
        <v>花都四部-凤凰仓</v>
      </c>
      <c r="G969" s="1" t="str">
        <f t="shared" si="310"/>
        <v>卡卡杜企业店（视频号）</v>
      </c>
      <c r="H969" s="1" t="str">
        <f t="shared" si="315"/>
        <v>正常订单</v>
      </c>
      <c r="I969" s="1" t="str">
        <f t="shared" si="316"/>
        <v>已发货</v>
      </c>
      <c r="J969" s="1" t="str">
        <f t="shared" si="320"/>
        <v>3</v>
      </c>
      <c r="K969" s="1">
        <v>2</v>
      </c>
      <c r="L969" s="1" t="s">
        <v>54</v>
      </c>
      <c r="M969" s="1" t="str">
        <f>"黑龙江省 鹤岗市 萝北县 "</f>
        <v xml:space="preserve">黑龙江省 鹤岗市 萝北县 </v>
      </c>
      <c r="N969" s="1" t="str">
        <f t="shared" si="311"/>
        <v>凡华云仓-城南圆通-微信视频号</v>
      </c>
      <c r="O969" s="5" t="s">
        <v>1006</v>
      </c>
      <c r="P969" s="6">
        <v>0.25</v>
      </c>
      <c r="Q969" s="11">
        <v>2</v>
      </c>
      <c r="R969" s="11"/>
      <c r="S969" s="11"/>
      <c r="T969" s="11"/>
      <c r="U969" s="11">
        <f t="shared" si="318"/>
        <v>2</v>
      </c>
      <c r="W969">
        <v>2.2000000000000002</v>
      </c>
      <c r="X969" s="1" t="s">
        <v>54</v>
      </c>
    </row>
    <row r="970" spans="1:24" x14ac:dyDescent="0.25">
      <c r="A970" s="1" t="str">
        <f t="shared" si="313"/>
        <v>卡卡杜-凤凰仓</v>
      </c>
      <c r="B970" s="1" t="str">
        <f>"CK20241030429"</f>
        <v>CK20241030429</v>
      </c>
      <c r="C970" s="1" t="str">
        <f>"DD2024103036503"</f>
        <v>DD2024103036503</v>
      </c>
      <c r="D970" s="1" t="str">
        <f>"CK2024103035492"</f>
        <v>CK2024103035492</v>
      </c>
      <c r="E970" s="1" t="str">
        <f>"3723650373438014720"</f>
        <v>3723650373438014720</v>
      </c>
      <c r="F970" s="1" t="str">
        <f t="shared" si="314"/>
        <v>花都四部-凤凰仓</v>
      </c>
      <c r="G970" s="1" t="str">
        <f t="shared" si="310"/>
        <v>卡卡杜企业店（视频号）</v>
      </c>
      <c r="H970" s="1" t="str">
        <f t="shared" si="315"/>
        <v>正常订单</v>
      </c>
      <c r="I970" s="1" t="str">
        <f t="shared" si="316"/>
        <v>已发货</v>
      </c>
      <c r="J970" s="1" t="str">
        <f t="shared" si="320"/>
        <v>3</v>
      </c>
      <c r="K970" s="1">
        <v>2</v>
      </c>
      <c r="L970" s="1" t="s">
        <v>54</v>
      </c>
      <c r="M970" s="1" t="str">
        <f>"黑龙江省 鹤岗市 工农区 "</f>
        <v xml:space="preserve">黑龙江省 鹤岗市 工农区 </v>
      </c>
      <c r="N970" s="1" t="str">
        <f t="shared" si="311"/>
        <v>凡华云仓-城南圆通-微信视频号</v>
      </c>
      <c r="O970" s="5" t="s">
        <v>1007</v>
      </c>
      <c r="P970" s="6">
        <v>0.25</v>
      </c>
      <c r="Q970" s="11">
        <v>2</v>
      </c>
      <c r="R970" s="11"/>
      <c r="S970" s="11"/>
      <c r="T970" s="11"/>
      <c r="U970" s="11">
        <f t="shared" si="318"/>
        <v>2</v>
      </c>
      <c r="W970">
        <v>2.2000000000000002</v>
      </c>
      <c r="X970" s="1" t="s">
        <v>54</v>
      </c>
    </row>
    <row r="971" spans="1:24" x14ac:dyDescent="0.25">
      <c r="A971" s="1" t="str">
        <f t="shared" si="313"/>
        <v>卡卡杜-凤凰仓</v>
      </c>
      <c r="B971" s="1" t="str">
        <f>"CK20241030430"</f>
        <v>CK20241030430</v>
      </c>
      <c r="C971" s="1" t="str">
        <f>"DD2024103036505"</f>
        <v>DD2024103036505</v>
      </c>
      <c r="D971" s="1" t="str">
        <f>"CK2024103035491"</f>
        <v>CK2024103035491</v>
      </c>
      <c r="E971" s="1" t="str">
        <f>"3723650384467725312"</f>
        <v>3723650384467725312</v>
      </c>
      <c r="F971" s="1" t="str">
        <f t="shared" si="314"/>
        <v>花都四部-凤凰仓</v>
      </c>
      <c r="G971" s="1" t="str">
        <f t="shared" si="310"/>
        <v>卡卡杜企业店（视频号）</v>
      </c>
      <c r="H971" s="1" t="str">
        <f t="shared" si="315"/>
        <v>正常订单</v>
      </c>
      <c r="I971" s="1" t="str">
        <f t="shared" si="316"/>
        <v>已发货</v>
      </c>
      <c r="J971" s="1" t="str">
        <f t="shared" si="319"/>
        <v>1</v>
      </c>
      <c r="K971" s="1">
        <v>1</v>
      </c>
      <c r="L971" s="1" t="s">
        <v>13</v>
      </c>
      <c r="M971" s="1" t="str">
        <f>"江苏省 苏州市 苏州工业园区 "</f>
        <v xml:space="preserve">江苏省 苏州市 苏州工业园区 </v>
      </c>
      <c r="N971" s="1" t="str">
        <f t="shared" si="311"/>
        <v>凡华云仓-城南圆通-微信视频号</v>
      </c>
      <c r="O971" s="5" t="s">
        <v>1008</v>
      </c>
      <c r="P971" s="6">
        <v>0.12</v>
      </c>
      <c r="Q971" s="11">
        <v>2</v>
      </c>
      <c r="R971" s="11"/>
      <c r="S971" s="11"/>
      <c r="T971" s="11"/>
      <c r="U971" s="11">
        <f t="shared" si="318"/>
        <v>2</v>
      </c>
      <c r="W971">
        <v>2.2000000000000002</v>
      </c>
      <c r="X971" s="1" t="s">
        <v>13</v>
      </c>
    </row>
    <row r="972" spans="1:24" x14ac:dyDescent="0.25">
      <c r="A972" s="1" t="str">
        <f t="shared" si="313"/>
        <v>卡卡杜-凤凰仓</v>
      </c>
      <c r="B972" s="1" t="str">
        <f>"CK20241030431"</f>
        <v>CK20241030431</v>
      </c>
      <c r="C972" s="1" t="str">
        <f>"DD2024103036506"</f>
        <v>DD2024103036506</v>
      </c>
      <c r="D972" s="1" t="str">
        <f>"CK2024103035490"</f>
        <v>CK2024103035490</v>
      </c>
      <c r="E972" s="1" t="str">
        <f>"3723650381300762113"</f>
        <v>3723650381300762113</v>
      </c>
      <c r="F972" s="1" t="str">
        <f t="shared" si="314"/>
        <v>花都四部-凤凰仓</v>
      </c>
      <c r="G972" s="1" t="str">
        <f t="shared" si="310"/>
        <v>卡卡杜企业店（视频号）</v>
      </c>
      <c r="H972" s="1" t="str">
        <f t="shared" si="315"/>
        <v>正常订单</v>
      </c>
      <c r="I972" s="1" t="str">
        <f t="shared" si="316"/>
        <v>已发货</v>
      </c>
      <c r="J972" s="1" t="str">
        <f t="shared" si="319"/>
        <v>1</v>
      </c>
      <c r="K972" s="1">
        <v>1</v>
      </c>
      <c r="L972" s="1" t="s">
        <v>109</v>
      </c>
      <c r="M972" s="1" t="str">
        <f>"山西省 太原市 小店区 "</f>
        <v xml:space="preserve">山西省 太原市 小店区 </v>
      </c>
      <c r="N972" s="1" t="str">
        <f t="shared" si="311"/>
        <v>凡华云仓-城南圆通-微信视频号</v>
      </c>
      <c r="O972" s="5" t="s">
        <v>1009</v>
      </c>
      <c r="P972" s="6">
        <v>0.12</v>
      </c>
      <c r="Q972" s="11">
        <v>2</v>
      </c>
      <c r="R972" s="11"/>
      <c r="S972" s="11"/>
      <c r="T972" s="11"/>
      <c r="U972" s="11">
        <f t="shared" si="318"/>
        <v>2</v>
      </c>
      <c r="W972">
        <v>2.2000000000000002</v>
      </c>
      <c r="X972" s="1" t="s">
        <v>109</v>
      </c>
    </row>
    <row r="973" spans="1:24" x14ac:dyDescent="0.25">
      <c r="A973" s="1" t="str">
        <f t="shared" si="313"/>
        <v>卡卡杜-凤凰仓</v>
      </c>
      <c r="B973" s="1" t="str">
        <f>"CK2024103097"</f>
        <v>CK2024103097</v>
      </c>
      <c r="C973" s="1" t="str">
        <f>"DD2024103035355"</f>
        <v>DD2024103035355</v>
      </c>
      <c r="D973" s="1" t="str">
        <f>"CK2024103035489"</f>
        <v>CK2024103035489</v>
      </c>
      <c r="E973" s="1" t="str">
        <f>"3723650376946550016"</f>
        <v>3723650376946550016</v>
      </c>
      <c r="F973" s="1" t="str">
        <f t="shared" si="314"/>
        <v>花都四部-凤凰仓</v>
      </c>
      <c r="G973" s="1" t="str">
        <f t="shared" si="310"/>
        <v>卡卡杜企业店（视频号）</v>
      </c>
      <c r="H973" s="1" t="str">
        <f t="shared" si="315"/>
        <v>正常订单</v>
      </c>
      <c r="I973" s="1" t="str">
        <f t="shared" si="316"/>
        <v>已发货</v>
      </c>
      <c r="J973" s="1" t="str">
        <f t="shared" ref="J973:J975" si="321">"2"</f>
        <v>2</v>
      </c>
      <c r="K973" s="1">
        <v>2</v>
      </c>
      <c r="L973" s="1" t="s">
        <v>30</v>
      </c>
      <c r="M973" s="1" t="str">
        <f>"山东省 淄博市 桓台县 "</f>
        <v xml:space="preserve">山东省 淄博市 桓台县 </v>
      </c>
      <c r="N973" s="1" t="str">
        <f t="shared" si="311"/>
        <v>凡华云仓-城南圆通-微信视频号</v>
      </c>
      <c r="O973" s="5" t="s">
        <v>1010</v>
      </c>
      <c r="P973" s="6">
        <v>0.17</v>
      </c>
      <c r="Q973" s="11">
        <v>2</v>
      </c>
      <c r="R973" s="11"/>
      <c r="S973" s="11"/>
      <c r="T973" s="11"/>
      <c r="U973" s="11">
        <f t="shared" si="318"/>
        <v>2</v>
      </c>
      <c r="W973">
        <v>2.2000000000000002</v>
      </c>
      <c r="X973" s="1" t="s">
        <v>30</v>
      </c>
    </row>
    <row r="974" spans="1:24" x14ac:dyDescent="0.25">
      <c r="A974" s="1" t="str">
        <f t="shared" si="313"/>
        <v>卡卡杜-凤凰仓</v>
      </c>
      <c r="B974" s="1" t="str">
        <f>"CK2024103099"</f>
        <v>CK2024103099</v>
      </c>
      <c r="C974" s="1" t="str">
        <f>"DD2024103035357"</f>
        <v>DD2024103035357</v>
      </c>
      <c r="D974" s="1" t="str">
        <f>"CK2024103035488"</f>
        <v>CK2024103035488</v>
      </c>
      <c r="E974" s="1" t="str">
        <f>"3723650376164051968"</f>
        <v>3723650376164051968</v>
      </c>
      <c r="F974" s="1" t="str">
        <f t="shared" si="314"/>
        <v>花都四部-凤凰仓</v>
      </c>
      <c r="G974" s="1" t="str">
        <f t="shared" si="310"/>
        <v>卡卡杜企业店（视频号）</v>
      </c>
      <c r="H974" s="1" t="str">
        <f t="shared" si="315"/>
        <v>正常订单</v>
      </c>
      <c r="I974" s="1" t="str">
        <f t="shared" si="316"/>
        <v>已发货</v>
      </c>
      <c r="J974" s="1" t="str">
        <f t="shared" si="321"/>
        <v>2</v>
      </c>
      <c r="K974" s="1">
        <v>2</v>
      </c>
      <c r="L974" s="1" t="s">
        <v>18</v>
      </c>
      <c r="M974" s="1" t="str">
        <f>"广东省 广州市 番禺区 "</f>
        <v xml:space="preserve">广东省 广州市 番禺区 </v>
      </c>
      <c r="N974" s="1" t="str">
        <f t="shared" si="311"/>
        <v>凡华云仓-城南圆通-微信视频号</v>
      </c>
      <c r="O974" s="5" t="s">
        <v>1011</v>
      </c>
      <c r="P974" s="6">
        <v>0.17</v>
      </c>
      <c r="Q974" s="11">
        <v>2</v>
      </c>
      <c r="R974" s="11"/>
      <c r="S974" s="11"/>
      <c r="T974" s="11"/>
      <c r="U974" s="11">
        <f t="shared" si="318"/>
        <v>2</v>
      </c>
      <c r="W974">
        <v>2.2000000000000002</v>
      </c>
      <c r="X974" s="1" t="s">
        <v>18</v>
      </c>
    </row>
    <row r="975" spans="1:24" x14ac:dyDescent="0.25">
      <c r="A975" s="1" t="str">
        <f t="shared" si="313"/>
        <v>卡卡杜-凤凰仓</v>
      </c>
      <c r="B975" s="1" t="str">
        <f>"CK2024103098"</f>
        <v>CK2024103098</v>
      </c>
      <c r="C975" s="1" t="str">
        <f>"DD2024103035359"</f>
        <v>DD2024103035359</v>
      </c>
      <c r="D975" s="1" t="str">
        <f>"CK2024103035487"</f>
        <v>CK2024103035487</v>
      </c>
      <c r="E975" s="1" t="str">
        <f>"3723650375999685889"</f>
        <v>3723650375999685889</v>
      </c>
      <c r="F975" s="1" t="str">
        <f t="shared" si="314"/>
        <v>花都四部-凤凰仓</v>
      </c>
      <c r="G975" s="1" t="str">
        <f t="shared" si="310"/>
        <v>卡卡杜企业店（视频号）</v>
      </c>
      <c r="H975" s="1" t="str">
        <f t="shared" si="315"/>
        <v>正常订单</v>
      </c>
      <c r="I975" s="1" t="str">
        <f t="shared" si="316"/>
        <v>已发货</v>
      </c>
      <c r="J975" s="1" t="str">
        <f t="shared" si="321"/>
        <v>2</v>
      </c>
      <c r="K975" s="1">
        <v>2</v>
      </c>
      <c r="L975" s="1" t="s">
        <v>20</v>
      </c>
      <c r="M975" s="1" t="str">
        <f>"浙江省 绍兴市 柯桥区 "</f>
        <v xml:space="preserve">浙江省 绍兴市 柯桥区 </v>
      </c>
      <c r="N975" s="1" t="str">
        <f t="shared" si="311"/>
        <v>凡华云仓-城南圆通-微信视频号</v>
      </c>
      <c r="O975" s="5" t="s">
        <v>1012</v>
      </c>
      <c r="P975" s="6">
        <v>0.17</v>
      </c>
      <c r="Q975" s="11">
        <v>2</v>
      </c>
      <c r="R975" s="11"/>
      <c r="S975" s="11"/>
      <c r="T975" s="11"/>
      <c r="U975" s="11">
        <f t="shared" si="318"/>
        <v>2</v>
      </c>
      <c r="W975">
        <v>2.2000000000000002</v>
      </c>
      <c r="X975" s="1" t="s">
        <v>20</v>
      </c>
    </row>
    <row r="976" spans="1:24" x14ac:dyDescent="0.25">
      <c r="A976" s="1" t="str">
        <f t="shared" si="313"/>
        <v>卡卡杜-凤凰仓</v>
      </c>
      <c r="B976" s="1" t="str">
        <f>"CK2024103012"</f>
        <v>CK2024103012</v>
      </c>
      <c r="C976" s="1" t="str">
        <f>"DD2024103035265"</f>
        <v>DD2024103035265</v>
      </c>
      <c r="D976" s="1" t="str">
        <f>"CK2024103035486"</f>
        <v>CK2024103035486</v>
      </c>
      <c r="E976" s="1" t="str">
        <f>"3723650015752753153"</f>
        <v>3723650015752753153</v>
      </c>
      <c r="F976" s="1" t="str">
        <f t="shared" si="314"/>
        <v>花都四部-凤凰仓</v>
      </c>
      <c r="G976" s="1" t="str">
        <f t="shared" si="310"/>
        <v>卡卡杜企业店（视频号）</v>
      </c>
      <c r="H976" s="1" t="str">
        <f t="shared" si="315"/>
        <v>正常订单</v>
      </c>
      <c r="I976" s="1" t="str">
        <f t="shared" si="316"/>
        <v>已发货</v>
      </c>
      <c r="J976" s="1" t="str">
        <f>"3"</f>
        <v>3</v>
      </c>
      <c r="K976" s="1">
        <v>2</v>
      </c>
      <c r="L976" s="1" t="s">
        <v>161</v>
      </c>
      <c r="M976" s="1" t="str">
        <f>"四川省 成都市 郫都区 "</f>
        <v xml:space="preserve">四川省 成都市 郫都区 </v>
      </c>
      <c r="N976" s="1" t="str">
        <f t="shared" si="311"/>
        <v>凡华云仓-城南圆通-微信视频号</v>
      </c>
      <c r="O976" s="5" t="s">
        <v>1013</v>
      </c>
      <c r="P976" s="6">
        <v>0.24</v>
      </c>
      <c r="Q976" s="11">
        <v>2</v>
      </c>
      <c r="R976" s="11"/>
      <c r="S976" s="11"/>
      <c r="T976" s="11"/>
      <c r="U976" s="11">
        <f t="shared" si="318"/>
        <v>2</v>
      </c>
      <c r="W976">
        <v>2.2000000000000002</v>
      </c>
      <c r="X976" s="1" t="s">
        <v>161</v>
      </c>
    </row>
    <row r="977" spans="1:24" x14ac:dyDescent="0.25">
      <c r="A977" s="1" t="str">
        <f t="shared" si="313"/>
        <v>卡卡杜-凤凰仓</v>
      </c>
      <c r="B977" s="1" t="str">
        <f>"CK20241030100"</f>
        <v>CK20241030100</v>
      </c>
      <c r="C977" s="1" t="str">
        <f>"DD2024103035360"</f>
        <v>DD2024103035360</v>
      </c>
      <c r="D977" s="1" t="str">
        <f>"CK2024103035485"</f>
        <v>CK2024103035485</v>
      </c>
      <c r="E977" s="1" t="str">
        <f>"3723649918343711744"</f>
        <v>3723649918343711744</v>
      </c>
      <c r="F977" s="1" t="str">
        <f t="shared" si="314"/>
        <v>花都四部-凤凰仓</v>
      </c>
      <c r="G977" s="1" t="str">
        <f t="shared" si="310"/>
        <v>卡卡杜企业店（视频号）</v>
      </c>
      <c r="H977" s="1" t="str">
        <f t="shared" si="315"/>
        <v>正常订单</v>
      </c>
      <c r="I977" s="1" t="str">
        <f t="shared" si="316"/>
        <v>已发货</v>
      </c>
      <c r="J977" s="1" t="str">
        <f>"2"</f>
        <v>2</v>
      </c>
      <c r="K977" s="1">
        <v>2</v>
      </c>
      <c r="L977" s="1" t="s">
        <v>54</v>
      </c>
      <c r="M977" s="1" t="str">
        <f>"黑龙江省 哈尔滨市 南岗区 "</f>
        <v xml:space="preserve">黑龙江省 哈尔滨市 南岗区 </v>
      </c>
      <c r="N977" s="1" t="str">
        <f t="shared" si="311"/>
        <v>凡华云仓-城南圆通-微信视频号</v>
      </c>
      <c r="O977" s="5" t="s">
        <v>1014</v>
      </c>
      <c r="P977" s="6">
        <v>0.17</v>
      </c>
      <c r="Q977" s="11">
        <v>2</v>
      </c>
      <c r="R977" s="11"/>
      <c r="S977" s="11"/>
      <c r="T977" s="11"/>
      <c r="U977" s="11">
        <f t="shared" si="318"/>
        <v>2</v>
      </c>
      <c r="W977">
        <v>2.2000000000000002</v>
      </c>
      <c r="X977" s="1" t="s">
        <v>54</v>
      </c>
    </row>
    <row r="978" spans="1:24" x14ac:dyDescent="0.25">
      <c r="A978" s="1" t="str">
        <f t="shared" si="313"/>
        <v>卡卡杜-凤凰仓</v>
      </c>
      <c r="B978" s="1" t="str">
        <f>"CK20241030433"</f>
        <v>CK20241030433</v>
      </c>
      <c r="C978" s="1" t="str">
        <f>"DD2024103036507"</f>
        <v>DD2024103036507</v>
      </c>
      <c r="D978" s="1" t="str">
        <f>"CK2024103035484"</f>
        <v>CK2024103035484</v>
      </c>
      <c r="E978" s="1" t="str">
        <f>"3723649908661948416"</f>
        <v>3723649908661948416</v>
      </c>
      <c r="F978" s="1" t="str">
        <f t="shared" si="314"/>
        <v>花都四部-凤凰仓</v>
      </c>
      <c r="G978" s="1" t="str">
        <f t="shared" si="310"/>
        <v>卡卡杜企业店（视频号）</v>
      </c>
      <c r="H978" s="1" t="str">
        <f t="shared" si="315"/>
        <v>正常订单</v>
      </c>
      <c r="I978" s="1" t="str">
        <f t="shared" si="316"/>
        <v>已发货</v>
      </c>
      <c r="J978" s="1" t="str">
        <f t="shared" ref="J978:J982" si="322">"1"</f>
        <v>1</v>
      </c>
      <c r="K978" s="1">
        <v>1</v>
      </c>
      <c r="L978" s="1" t="s">
        <v>44</v>
      </c>
      <c r="M978" s="1" t="str">
        <f>"海南省 省直辖县级行政区划 乐东黎族自治县 "</f>
        <v xml:space="preserve">海南省 省直辖县级行政区划 乐东黎族自治县 </v>
      </c>
      <c r="N978" s="1" t="str">
        <f t="shared" si="311"/>
        <v>凡华云仓-城南圆通-微信视频号</v>
      </c>
      <c r="O978" s="5" t="s">
        <v>1015</v>
      </c>
      <c r="P978" s="6">
        <v>0.12</v>
      </c>
      <c r="Q978" s="11">
        <v>2</v>
      </c>
      <c r="R978" s="11"/>
      <c r="S978" s="11"/>
      <c r="T978" s="11"/>
      <c r="U978" s="11">
        <f t="shared" si="318"/>
        <v>2</v>
      </c>
      <c r="W978">
        <v>2.2000000000000002</v>
      </c>
      <c r="X978" s="1" t="s">
        <v>44</v>
      </c>
    </row>
    <row r="979" spans="1:24" x14ac:dyDescent="0.25">
      <c r="A979" s="1" t="str">
        <f t="shared" si="313"/>
        <v>卡卡杜-凤凰仓</v>
      </c>
      <c r="B979" s="1" t="str">
        <f>"CK20241030101"</f>
        <v>CK20241030101</v>
      </c>
      <c r="C979" s="1" t="str">
        <f>"DD2024103035361"</f>
        <v>DD2024103035361</v>
      </c>
      <c r="D979" s="1" t="str">
        <f>"CK2024103035483"</f>
        <v>CK2024103035483</v>
      </c>
      <c r="E979" s="1" t="str">
        <f>"3723649906130685952"</f>
        <v>3723649906130685952</v>
      </c>
      <c r="F979" s="1" t="str">
        <f t="shared" si="314"/>
        <v>花都四部-凤凰仓</v>
      </c>
      <c r="G979" s="1" t="str">
        <f t="shared" si="310"/>
        <v>卡卡杜企业店（视频号）</v>
      </c>
      <c r="H979" s="1" t="str">
        <f t="shared" si="315"/>
        <v>正常订单</v>
      </c>
      <c r="I979" s="1" t="str">
        <f t="shared" si="316"/>
        <v>已发货</v>
      </c>
      <c r="J979" s="1" t="str">
        <f>"2"</f>
        <v>2</v>
      </c>
      <c r="K979" s="1">
        <v>2</v>
      </c>
      <c r="L979" s="1" t="s">
        <v>13</v>
      </c>
      <c r="M979" s="1" t="str">
        <f>"江苏省 南京市 玄武区 "</f>
        <v xml:space="preserve">江苏省 南京市 玄武区 </v>
      </c>
      <c r="N979" s="1" t="str">
        <f t="shared" si="311"/>
        <v>凡华云仓-城南圆通-微信视频号</v>
      </c>
      <c r="O979" s="5" t="s">
        <v>1016</v>
      </c>
      <c r="P979" s="6">
        <v>0.17</v>
      </c>
      <c r="Q979" s="11">
        <v>2</v>
      </c>
      <c r="R979" s="11"/>
      <c r="S979" s="11"/>
      <c r="T979" s="11"/>
      <c r="U979" s="11">
        <f t="shared" si="318"/>
        <v>2</v>
      </c>
      <c r="W979">
        <v>2.2000000000000002</v>
      </c>
      <c r="X979" s="1" t="s">
        <v>13</v>
      </c>
    </row>
    <row r="980" spans="1:24" x14ac:dyDescent="0.25">
      <c r="A980" s="1" t="str">
        <f t="shared" si="313"/>
        <v>卡卡杜-凤凰仓</v>
      </c>
      <c r="B980" s="1" t="str">
        <f>"CK20241030436"</f>
        <v>CK20241030436</v>
      </c>
      <c r="C980" s="1" t="str">
        <f>"DD2024103036511"</f>
        <v>DD2024103036511</v>
      </c>
      <c r="D980" s="1" t="str">
        <f>"CK2024103035482"</f>
        <v>CK2024103035482</v>
      </c>
      <c r="E980" s="1" t="str">
        <f>"3723649874291197184"</f>
        <v>3723649874291197184</v>
      </c>
      <c r="F980" s="1" t="str">
        <f t="shared" si="314"/>
        <v>花都四部-凤凰仓</v>
      </c>
      <c r="G980" s="1" t="str">
        <f t="shared" si="310"/>
        <v>卡卡杜企业店（视频号）</v>
      </c>
      <c r="H980" s="1" t="str">
        <f t="shared" si="315"/>
        <v>正常订单</v>
      </c>
      <c r="I980" s="1" t="str">
        <f t="shared" si="316"/>
        <v>已发货</v>
      </c>
      <c r="J980" s="1" t="str">
        <f>"3"</f>
        <v>3</v>
      </c>
      <c r="K980" s="1">
        <v>2</v>
      </c>
      <c r="L980" s="1" t="s">
        <v>18</v>
      </c>
      <c r="M980" s="1" t="str">
        <f>"广东省 佛山市 南海区 "</f>
        <v xml:space="preserve">广东省 佛山市 南海区 </v>
      </c>
      <c r="N980" s="1" t="str">
        <f t="shared" si="311"/>
        <v>凡华云仓-城南圆通-微信视频号</v>
      </c>
      <c r="O980" s="5" t="s">
        <v>1017</v>
      </c>
      <c r="P980" s="6">
        <v>0.25</v>
      </c>
      <c r="Q980" s="11">
        <v>2</v>
      </c>
      <c r="R980" s="11"/>
      <c r="S980" s="11"/>
      <c r="T980" s="11"/>
      <c r="U980" s="11">
        <f t="shared" si="318"/>
        <v>2</v>
      </c>
      <c r="W980">
        <v>2.2000000000000002</v>
      </c>
      <c r="X980" s="1" t="s">
        <v>18</v>
      </c>
    </row>
    <row r="981" spans="1:24" x14ac:dyDescent="0.25">
      <c r="A981" s="1" t="str">
        <f t="shared" si="313"/>
        <v>卡卡杜-凤凰仓</v>
      </c>
      <c r="B981" s="1" t="str">
        <f>"CK20241030434"</f>
        <v>CK20241030434</v>
      </c>
      <c r="C981" s="1" t="str">
        <f>"DD2024103036509"</f>
        <v>DD2024103036509</v>
      </c>
      <c r="D981" s="1" t="str">
        <f>"CK2024103035481"</f>
        <v>CK2024103035481</v>
      </c>
      <c r="E981" s="1" t="str">
        <f>"3723649889351371776"</f>
        <v>3723649889351371776</v>
      </c>
      <c r="F981" s="1" t="str">
        <f t="shared" si="314"/>
        <v>花都四部-凤凰仓</v>
      </c>
      <c r="G981" s="1" t="str">
        <f t="shared" si="310"/>
        <v>卡卡杜企业店（视频号）</v>
      </c>
      <c r="H981" s="1" t="str">
        <f t="shared" si="315"/>
        <v>正常订单</v>
      </c>
      <c r="I981" s="1" t="str">
        <f t="shared" si="316"/>
        <v>已发货</v>
      </c>
      <c r="J981" s="1" t="str">
        <f t="shared" si="322"/>
        <v>1</v>
      </c>
      <c r="K981" s="1">
        <v>1</v>
      </c>
      <c r="L981" s="1" t="s">
        <v>161</v>
      </c>
      <c r="M981" s="1" t="str">
        <f>"四川省 成都市 郫都区 "</f>
        <v xml:space="preserve">四川省 成都市 郫都区 </v>
      </c>
      <c r="N981" s="1" t="str">
        <f t="shared" si="311"/>
        <v>凡华云仓-城南圆通-微信视频号</v>
      </c>
      <c r="O981" s="5" t="s">
        <v>1018</v>
      </c>
      <c r="P981" s="6">
        <v>0.12</v>
      </c>
      <c r="Q981" s="11">
        <v>2</v>
      </c>
      <c r="R981" s="11"/>
      <c r="S981" s="11"/>
      <c r="T981" s="11"/>
      <c r="U981" s="11">
        <f t="shared" si="318"/>
        <v>2</v>
      </c>
      <c r="W981">
        <v>2.2000000000000002</v>
      </c>
      <c r="X981" s="1" t="s">
        <v>161</v>
      </c>
    </row>
    <row r="982" spans="1:24" x14ac:dyDescent="0.25">
      <c r="A982" s="1" t="str">
        <f t="shared" si="313"/>
        <v>卡卡杜-凤凰仓</v>
      </c>
      <c r="B982" s="1" t="str">
        <f>"CK20241030435"</f>
        <v>CK20241030435</v>
      </c>
      <c r="C982" s="1" t="str">
        <f>"DD2024103036510"</f>
        <v>DD2024103036510</v>
      </c>
      <c r="D982" s="1" t="str">
        <f>"CK2024103035480"</f>
        <v>CK2024103035480</v>
      </c>
      <c r="E982" s="1" t="str">
        <f>"3723649883119946752"</f>
        <v>3723649883119946752</v>
      </c>
      <c r="F982" s="1" t="str">
        <f t="shared" si="314"/>
        <v>花都四部-凤凰仓</v>
      </c>
      <c r="G982" s="1" t="str">
        <f t="shared" si="310"/>
        <v>卡卡杜企业店（视频号）</v>
      </c>
      <c r="H982" s="1" t="str">
        <f t="shared" si="315"/>
        <v>正常订单</v>
      </c>
      <c r="I982" s="1" t="str">
        <f t="shared" si="316"/>
        <v>已发货</v>
      </c>
      <c r="J982" s="1" t="str">
        <f t="shared" si="322"/>
        <v>1</v>
      </c>
      <c r="K982" s="1">
        <v>1</v>
      </c>
      <c r="L982" s="1" t="s">
        <v>36</v>
      </c>
      <c r="M982" s="1" t="str">
        <f>"安徽省 阜阳市 颍上县 "</f>
        <v xml:space="preserve">安徽省 阜阳市 颍上县 </v>
      </c>
      <c r="N982" s="1" t="str">
        <f t="shared" si="311"/>
        <v>凡华云仓-城南圆通-微信视频号</v>
      </c>
      <c r="O982" s="5" t="s">
        <v>1019</v>
      </c>
      <c r="P982" s="6">
        <v>0.12</v>
      </c>
      <c r="Q982" s="11">
        <v>2</v>
      </c>
      <c r="R982" s="11"/>
      <c r="S982" s="11"/>
      <c r="T982" s="11"/>
      <c r="U982" s="11">
        <f t="shared" si="318"/>
        <v>2</v>
      </c>
      <c r="W982">
        <v>2.2000000000000002</v>
      </c>
      <c r="X982" s="1" t="s">
        <v>36</v>
      </c>
    </row>
    <row r="983" spans="1:24" x14ac:dyDescent="0.25">
      <c r="A983" s="1" t="str">
        <f t="shared" si="313"/>
        <v>卡卡杜-凤凰仓</v>
      </c>
      <c r="B983" s="1" t="str">
        <f>"CK2024103015"</f>
        <v>CK2024103015</v>
      </c>
      <c r="C983" s="1" t="str">
        <f>"DD2024103035266"</f>
        <v>DD2024103035266</v>
      </c>
      <c r="D983" s="1" t="str">
        <f>"CK2024103035479"</f>
        <v>CK2024103035479</v>
      </c>
      <c r="E983" s="1" t="str">
        <f>"3723649871545765888"</f>
        <v>3723649871545765888</v>
      </c>
      <c r="F983" s="1" t="str">
        <f t="shared" si="314"/>
        <v>花都四部-凤凰仓</v>
      </c>
      <c r="G983" s="1" t="str">
        <f t="shared" si="310"/>
        <v>卡卡杜企业店（视频号）</v>
      </c>
      <c r="H983" s="1" t="str">
        <f t="shared" si="315"/>
        <v>正常订单</v>
      </c>
      <c r="I983" s="1" t="str">
        <f t="shared" si="316"/>
        <v>已发货</v>
      </c>
      <c r="J983" s="1" t="str">
        <f t="shared" ref="J983:J988" si="323">"3"</f>
        <v>3</v>
      </c>
      <c r="K983" s="1">
        <v>2</v>
      </c>
      <c r="L983" s="1" t="s">
        <v>20</v>
      </c>
      <c r="M983" s="1" t="str">
        <f>"浙江省 湖州市 吴兴区 "</f>
        <v xml:space="preserve">浙江省 湖州市 吴兴区 </v>
      </c>
      <c r="N983" s="1" t="str">
        <f t="shared" si="311"/>
        <v>凡华云仓-城南圆通-微信视频号</v>
      </c>
      <c r="O983" s="5" t="s">
        <v>1020</v>
      </c>
      <c r="P983" s="6">
        <v>0.24</v>
      </c>
      <c r="Q983" s="11">
        <v>2</v>
      </c>
      <c r="R983" s="11"/>
      <c r="S983" s="11"/>
      <c r="T983" s="11"/>
      <c r="U983" s="11">
        <f t="shared" si="318"/>
        <v>2</v>
      </c>
      <c r="W983">
        <v>2.2000000000000002</v>
      </c>
      <c r="X983" s="1" t="s">
        <v>20</v>
      </c>
    </row>
    <row r="984" spans="1:24" x14ac:dyDescent="0.25">
      <c r="A984" s="1" t="str">
        <f t="shared" si="313"/>
        <v>卡卡杜-凤凰仓</v>
      </c>
      <c r="B984" s="1" t="str">
        <f>"CK20241030102"</f>
        <v>CK20241030102</v>
      </c>
      <c r="C984" s="1" t="str">
        <f>"DD2024103035362"</f>
        <v>DD2024103035362</v>
      </c>
      <c r="D984" s="1" t="str">
        <f>"CK2024103035478"</f>
        <v>CK2024103035478</v>
      </c>
      <c r="E984" s="1" t="str">
        <f>"3723649869378618624"</f>
        <v>3723649869378618624</v>
      </c>
      <c r="F984" s="1" t="str">
        <f t="shared" si="314"/>
        <v>花都四部-凤凰仓</v>
      </c>
      <c r="G984" s="1" t="str">
        <f t="shared" si="310"/>
        <v>卡卡杜企业店（视频号）</v>
      </c>
      <c r="H984" s="1" t="str">
        <f t="shared" si="315"/>
        <v>正常订单</v>
      </c>
      <c r="I984" s="1" t="str">
        <f t="shared" si="316"/>
        <v>已发货</v>
      </c>
      <c r="J984" s="1" t="str">
        <f t="shared" ref="J984:J986" si="324">"2"</f>
        <v>2</v>
      </c>
      <c r="K984" s="1">
        <v>2</v>
      </c>
      <c r="L984" s="1" t="s">
        <v>47</v>
      </c>
      <c r="M984" s="1" t="str">
        <f>"重庆 重庆市 巴南区 "</f>
        <v xml:space="preserve">重庆 重庆市 巴南区 </v>
      </c>
      <c r="N984" s="1" t="str">
        <f t="shared" si="311"/>
        <v>凡华云仓-城南圆通-微信视频号</v>
      </c>
      <c r="O984" s="5" t="s">
        <v>1021</v>
      </c>
      <c r="P984" s="6">
        <v>0.17</v>
      </c>
      <c r="Q984" s="11">
        <v>2</v>
      </c>
      <c r="R984" s="11"/>
      <c r="S984" s="11"/>
      <c r="T984" s="11"/>
      <c r="U984" s="11">
        <f t="shared" si="318"/>
        <v>2</v>
      </c>
      <c r="W984">
        <v>2.2000000000000002</v>
      </c>
      <c r="X984" s="1" t="s">
        <v>47</v>
      </c>
    </row>
    <row r="985" spans="1:24" x14ac:dyDescent="0.25">
      <c r="A985" s="1" t="str">
        <f t="shared" si="313"/>
        <v>卡卡杜-凤凰仓</v>
      </c>
      <c r="B985" s="1" t="str">
        <f>"CK20241030103"</f>
        <v>CK20241030103</v>
      </c>
      <c r="C985" s="1" t="str">
        <f>"DD2024103035363"</f>
        <v>DD2024103035363</v>
      </c>
      <c r="D985" s="1" t="str">
        <f>"CK2024103035477"</f>
        <v>CK2024103035477</v>
      </c>
      <c r="E985" s="1" t="str">
        <f>"3723649867004908544"</f>
        <v>3723649867004908544</v>
      </c>
      <c r="F985" s="1" t="str">
        <f t="shared" si="314"/>
        <v>花都四部-凤凰仓</v>
      </c>
      <c r="G985" s="1" t="str">
        <f t="shared" si="310"/>
        <v>卡卡杜企业店（视频号）</v>
      </c>
      <c r="H985" s="1" t="str">
        <f t="shared" si="315"/>
        <v>正常订单</v>
      </c>
      <c r="I985" s="1" t="str">
        <f t="shared" si="316"/>
        <v>已发货</v>
      </c>
      <c r="J985" s="1" t="str">
        <f t="shared" si="324"/>
        <v>2</v>
      </c>
      <c r="K985" s="1">
        <v>2</v>
      </c>
      <c r="L985" s="1" t="s">
        <v>41</v>
      </c>
      <c r="M985" s="1" t="str">
        <f>"湖北省 荆门市 京山市 "</f>
        <v xml:space="preserve">湖北省 荆门市 京山市 </v>
      </c>
      <c r="N985" s="1" t="str">
        <f t="shared" si="311"/>
        <v>凡华云仓-城南圆通-微信视频号</v>
      </c>
      <c r="O985" s="5" t="s">
        <v>1022</v>
      </c>
      <c r="P985" s="6">
        <v>0.17</v>
      </c>
      <c r="Q985" s="11">
        <v>2</v>
      </c>
      <c r="R985" s="11"/>
      <c r="S985" s="11"/>
      <c r="T985" s="11"/>
      <c r="U985" s="11">
        <f t="shared" si="318"/>
        <v>2</v>
      </c>
      <c r="W985">
        <v>2.2000000000000002</v>
      </c>
      <c r="X985" s="1" t="s">
        <v>41</v>
      </c>
    </row>
    <row r="986" spans="1:24" x14ac:dyDescent="0.25">
      <c r="A986" s="1" t="str">
        <f t="shared" si="313"/>
        <v>卡卡杜-凤凰仓</v>
      </c>
      <c r="B986" s="1" t="str">
        <f>"CK20241030104"</f>
        <v>CK20241030104</v>
      </c>
      <c r="C986" s="1" t="str">
        <f>"DD2024103035364"</f>
        <v>DD2024103035364</v>
      </c>
      <c r="D986" s="1" t="str">
        <f>"CK2024103035476"</f>
        <v>CK2024103035476</v>
      </c>
      <c r="E986" s="1" t="str">
        <f>"3723649863232390656"</f>
        <v>3723649863232390656</v>
      </c>
      <c r="F986" s="1" t="str">
        <f t="shared" si="314"/>
        <v>花都四部-凤凰仓</v>
      </c>
      <c r="G986" s="1" t="str">
        <f t="shared" si="310"/>
        <v>卡卡杜企业店（视频号）</v>
      </c>
      <c r="H986" s="1" t="str">
        <f t="shared" si="315"/>
        <v>正常订单</v>
      </c>
      <c r="I986" s="1" t="str">
        <f t="shared" si="316"/>
        <v>已发货</v>
      </c>
      <c r="J986" s="1" t="str">
        <f t="shared" si="324"/>
        <v>2</v>
      </c>
      <c r="K986" s="1">
        <v>2</v>
      </c>
      <c r="L986" s="1" t="s">
        <v>20</v>
      </c>
      <c r="M986" s="1" t="str">
        <f>"浙江省 绍兴市 上虞区 "</f>
        <v xml:space="preserve">浙江省 绍兴市 上虞区 </v>
      </c>
      <c r="N986" s="1" t="str">
        <f t="shared" si="311"/>
        <v>凡华云仓-城南圆通-微信视频号</v>
      </c>
      <c r="O986" s="5" t="s">
        <v>1023</v>
      </c>
      <c r="P986" s="6">
        <v>0.17</v>
      </c>
      <c r="Q986" s="11">
        <v>2</v>
      </c>
      <c r="R986" s="11"/>
      <c r="S986" s="11"/>
      <c r="T986" s="11"/>
      <c r="U986" s="11">
        <f t="shared" si="318"/>
        <v>2</v>
      </c>
      <c r="W986">
        <v>2.2000000000000002</v>
      </c>
      <c r="X986" s="1" t="s">
        <v>20</v>
      </c>
    </row>
    <row r="987" spans="1:24" x14ac:dyDescent="0.25">
      <c r="A987" s="1" t="str">
        <f t="shared" si="313"/>
        <v>卡卡杜-凤凰仓</v>
      </c>
      <c r="B987" s="1" t="str">
        <f>"CK2024103031"</f>
        <v>CK2024103031</v>
      </c>
      <c r="C987" s="1" t="str">
        <f>"DD2024103035283"</f>
        <v>DD2024103035283</v>
      </c>
      <c r="D987" s="1" t="str">
        <f>"CK2024103035475"</f>
        <v>CK2024103035475</v>
      </c>
      <c r="E987" s="1" t="str">
        <f>"3723649862210817024"</f>
        <v>3723649862210817024</v>
      </c>
      <c r="F987" s="1" t="str">
        <f t="shared" si="314"/>
        <v>花都四部-凤凰仓</v>
      </c>
      <c r="G987" s="1" t="str">
        <f t="shared" si="310"/>
        <v>卡卡杜企业店（视频号）</v>
      </c>
      <c r="H987" s="1" t="str">
        <f t="shared" si="315"/>
        <v>正常订单</v>
      </c>
      <c r="I987" s="1" t="str">
        <f t="shared" si="316"/>
        <v>已发货</v>
      </c>
      <c r="J987" s="1" t="str">
        <f t="shared" si="323"/>
        <v>3</v>
      </c>
      <c r="K987" s="1">
        <v>2</v>
      </c>
      <c r="L987" s="1" t="s">
        <v>92</v>
      </c>
      <c r="M987" s="1" t="str">
        <f>"辽宁省 大连市 沙河口区 "</f>
        <v xml:space="preserve">辽宁省 大连市 沙河口区 </v>
      </c>
      <c r="N987" s="1" t="str">
        <f t="shared" si="311"/>
        <v>凡华云仓-城南圆通-微信视频号</v>
      </c>
      <c r="O987" s="5" t="s">
        <v>1024</v>
      </c>
      <c r="P987" s="6">
        <v>0.24</v>
      </c>
      <c r="Q987" s="11">
        <v>2</v>
      </c>
      <c r="R987" s="11"/>
      <c r="S987" s="11"/>
      <c r="T987" s="11"/>
      <c r="U987" s="11">
        <f t="shared" si="318"/>
        <v>2</v>
      </c>
      <c r="W987">
        <v>2.2000000000000002</v>
      </c>
      <c r="X987" s="1" t="s">
        <v>92</v>
      </c>
    </row>
    <row r="988" spans="1:24" x14ac:dyDescent="0.25">
      <c r="A988" s="1" t="str">
        <f t="shared" si="313"/>
        <v>卡卡杜-凤凰仓</v>
      </c>
      <c r="B988" s="1" t="str">
        <f>"CK2024103035"</f>
        <v>CK2024103035</v>
      </c>
      <c r="C988" s="1" t="str">
        <f>"DD2024103035286"</f>
        <v>DD2024103035286</v>
      </c>
      <c r="D988" s="1" t="str">
        <f>"CK2024103035474"</f>
        <v>CK2024103035474</v>
      </c>
      <c r="E988" s="1" t="str">
        <f>"3723649860936011776"</f>
        <v>3723649860936011776</v>
      </c>
      <c r="F988" s="1" t="str">
        <f t="shared" si="314"/>
        <v>花都四部-凤凰仓</v>
      </c>
      <c r="G988" s="1" t="str">
        <f t="shared" si="310"/>
        <v>卡卡杜企业店（视频号）</v>
      </c>
      <c r="H988" s="1" t="str">
        <f t="shared" si="315"/>
        <v>正常订单</v>
      </c>
      <c r="I988" s="1" t="str">
        <f t="shared" si="316"/>
        <v>已发货</v>
      </c>
      <c r="J988" s="1" t="str">
        <f t="shared" si="323"/>
        <v>3</v>
      </c>
      <c r="K988" s="1">
        <v>2</v>
      </c>
      <c r="L988" s="1" t="s">
        <v>218</v>
      </c>
      <c r="M988" s="1" t="str">
        <f>"天津 天津市 河西区 "</f>
        <v xml:space="preserve">天津 天津市 河西区 </v>
      </c>
      <c r="N988" s="1" t="str">
        <f t="shared" si="311"/>
        <v>凡华云仓-城南圆通-微信视频号</v>
      </c>
      <c r="O988" s="5" t="s">
        <v>1025</v>
      </c>
      <c r="P988" s="6">
        <v>0.24</v>
      </c>
      <c r="Q988" s="11">
        <v>2</v>
      </c>
      <c r="R988" s="11"/>
      <c r="S988" s="11"/>
      <c r="T988" s="11"/>
      <c r="U988" s="11">
        <f t="shared" si="318"/>
        <v>2</v>
      </c>
      <c r="W988">
        <v>2.2000000000000002</v>
      </c>
      <c r="X988" s="1" t="s">
        <v>218</v>
      </c>
    </row>
    <row r="989" spans="1:24" x14ac:dyDescent="0.25">
      <c r="A989" s="1" t="str">
        <f t="shared" si="313"/>
        <v>卡卡杜-凤凰仓</v>
      </c>
      <c r="B989" s="1" t="str">
        <f>"CK20241030105"</f>
        <v>CK20241030105</v>
      </c>
      <c r="C989" s="1" t="str">
        <f>"DD2024103035365"</f>
        <v>DD2024103035365</v>
      </c>
      <c r="D989" s="1" t="str">
        <f>"CK2024103035473"</f>
        <v>CK2024103035473</v>
      </c>
      <c r="E989" s="1" t="str">
        <f>"3723649863710803456"</f>
        <v>3723649863710803456</v>
      </c>
      <c r="F989" s="1" t="str">
        <f t="shared" si="314"/>
        <v>花都四部-凤凰仓</v>
      </c>
      <c r="G989" s="1" t="str">
        <f t="shared" si="310"/>
        <v>卡卡杜企业店（视频号）</v>
      </c>
      <c r="H989" s="1" t="str">
        <f t="shared" si="315"/>
        <v>正常订单</v>
      </c>
      <c r="I989" s="1" t="str">
        <f t="shared" si="316"/>
        <v>已发货</v>
      </c>
      <c r="J989" s="1" t="str">
        <f t="shared" ref="J989:J996" si="325">"2"</f>
        <v>2</v>
      </c>
      <c r="K989" s="1">
        <v>2</v>
      </c>
      <c r="L989" s="1" t="s">
        <v>92</v>
      </c>
      <c r="M989" s="1" t="str">
        <f>"辽宁省 大连市 甘井子区 "</f>
        <v xml:space="preserve">辽宁省 大连市 甘井子区 </v>
      </c>
      <c r="N989" s="1" t="str">
        <f t="shared" si="311"/>
        <v>凡华云仓-城南圆通-微信视频号</v>
      </c>
      <c r="O989" s="5" t="s">
        <v>1026</v>
      </c>
      <c r="P989" s="6">
        <v>0.17</v>
      </c>
      <c r="Q989" s="11">
        <v>2</v>
      </c>
      <c r="R989" s="11"/>
      <c r="S989" s="11"/>
      <c r="T989" s="11"/>
      <c r="U989" s="11">
        <f t="shared" si="318"/>
        <v>2</v>
      </c>
      <c r="W989">
        <v>2.2000000000000002</v>
      </c>
      <c r="X989" s="1" t="s">
        <v>92</v>
      </c>
    </row>
    <row r="990" spans="1:24" x14ac:dyDescent="0.25">
      <c r="A990" s="1" t="str">
        <f t="shared" si="313"/>
        <v>卡卡杜-凤凰仓</v>
      </c>
      <c r="B990" s="1" t="str">
        <f>"CK20241030106"</f>
        <v>CK20241030106</v>
      </c>
      <c r="C990" s="1" t="str">
        <f>"DD2024103035366"</f>
        <v>DD2024103035366</v>
      </c>
      <c r="D990" s="1" t="str">
        <f>"CK2024103035472"</f>
        <v>CK2024103035472</v>
      </c>
      <c r="E990" s="1" t="str">
        <f>"3723649862951111681"</f>
        <v>3723649862951111681</v>
      </c>
      <c r="F990" s="1" t="str">
        <f t="shared" si="314"/>
        <v>花都四部-凤凰仓</v>
      </c>
      <c r="G990" s="1" t="str">
        <f t="shared" si="310"/>
        <v>卡卡杜企业店（视频号）</v>
      </c>
      <c r="H990" s="1" t="str">
        <f t="shared" si="315"/>
        <v>正常订单</v>
      </c>
      <c r="I990" s="1" t="str">
        <f t="shared" si="316"/>
        <v>已发货</v>
      </c>
      <c r="J990" s="1" t="str">
        <f t="shared" si="325"/>
        <v>2</v>
      </c>
      <c r="K990" s="1">
        <v>2</v>
      </c>
      <c r="L990" s="1" t="s">
        <v>94</v>
      </c>
      <c r="M990" s="1" t="str">
        <f>"湖南省 长沙市 开福区 "</f>
        <v xml:space="preserve">湖南省 长沙市 开福区 </v>
      </c>
      <c r="N990" s="1" t="str">
        <f t="shared" si="311"/>
        <v>凡华云仓-城南圆通-微信视频号</v>
      </c>
      <c r="O990" s="5" t="s">
        <v>1027</v>
      </c>
      <c r="P990" s="6">
        <v>0.17</v>
      </c>
      <c r="Q990" s="11">
        <v>2</v>
      </c>
      <c r="R990" s="11"/>
      <c r="S990" s="11"/>
      <c r="T990" s="11"/>
      <c r="U990" s="11">
        <f t="shared" si="318"/>
        <v>2</v>
      </c>
      <c r="W990">
        <v>2.2000000000000002</v>
      </c>
      <c r="X990" s="1" t="s">
        <v>94</v>
      </c>
    </row>
    <row r="991" spans="1:24" x14ac:dyDescent="0.25">
      <c r="A991" s="1" t="str">
        <f t="shared" si="313"/>
        <v>卡卡杜-凤凰仓</v>
      </c>
      <c r="B991" s="1" t="str">
        <f>"CK2024103033"</f>
        <v>CK2024103033</v>
      </c>
      <c r="C991" s="1" t="str">
        <f>"DD2024103035284"</f>
        <v>DD2024103035284</v>
      </c>
      <c r="D991" s="1" t="str">
        <f>"CK2024103035471"</f>
        <v>CK2024103035471</v>
      </c>
      <c r="E991" s="1" t="str">
        <f>"3723649863368446977"</f>
        <v>3723649863368446977</v>
      </c>
      <c r="F991" s="1" t="str">
        <f t="shared" si="314"/>
        <v>花都四部-凤凰仓</v>
      </c>
      <c r="G991" s="1" t="str">
        <f t="shared" si="310"/>
        <v>卡卡杜企业店（视频号）</v>
      </c>
      <c r="H991" s="1" t="str">
        <f t="shared" si="315"/>
        <v>正常订单</v>
      </c>
      <c r="I991" s="1" t="str">
        <f t="shared" si="316"/>
        <v>已发货</v>
      </c>
      <c r="J991" s="1" t="str">
        <f>"3"</f>
        <v>3</v>
      </c>
      <c r="K991" s="1">
        <v>2</v>
      </c>
      <c r="L991" s="1" t="s">
        <v>92</v>
      </c>
      <c r="M991" s="1" t="str">
        <f>"辽宁省 丹东市 东港市 "</f>
        <v xml:space="preserve">辽宁省 丹东市 东港市 </v>
      </c>
      <c r="N991" s="1" t="str">
        <f t="shared" si="311"/>
        <v>凡华云仓-城南圆通-微信视频号</v>
      </c>
      <c r="O991" s="5" t="s">
        <v>1028</v>
      </c>
      <c r="P991" s="6">
        <v>0.24</v>
      </c>
      <c r="Q991" s="11">
        <v>2</v>
      </c>
      <c r="R991" s="11"/>
      <c r="S991" s="11"/>
      <c r="T991" s="11"/>
      <c r="U991" s="11">
        <f t="shared" si="318"/>
        <v>2</v>
      </c>
      <c r="W991">
        <v>2.2000000000000002</v>
      </c>
      <c r="X991" s="1" t="s">
        <v>92</v>
      </c>
    </row>
    <row r="992" spans="1:24" x14ac:dyDescent="0.25">
      <c r="A992" s="1" t="str">
        <f t="shared" si="313"/>
        <v>卡卡杜-凤凰仓</v>
      </c>
      <c r="B992" s="1" t="str">
        <f>"CK2024103025"</f>
        <v>CK2024103025</v>
      </c>
      <c r="C992" s="1" t="str">
        <f>"DD2024103035276"</f>
        <v>DD2024103035276</v>
      </c>
      <c r="D992" s="1" t="str">
        <f>"CK2024103035470"</f>
        <v>CK2024103035470</v>
      </c>
      <c r="E992" s="1" t="str">
        <f>"3723649860350379264"</f>
        <v>3723649860350379264</v>
      </c>
      <c r="F992" s="1" t="str">
        <f t="shared" si="314"/>
        <v>花都四部-凤凰仓</v>
      </c>
      <c r="G992" s="1" t="str">
        <f t="shared" si="310"/>
        <v>卡卡杜企业店（视频号）</v>
      </c>
      <c r="H992" s="1" t="str">
        <f t="shared" si="315"/>
        <v>正常订单</v>
      </c>
      <c r="I992" s="1" t="str">
        <f t="shared" si="316"/>
        <v>已发货</v>
      </c>
      <c r="J992" s="1" t="str">
        <f>"3"</f>
        <v>3</v>
      </c>
      <c r="K992" s="1">
        <v>2</v>
      </c>
      <c r="L992" s="1" t="s">
        <v>161</v>
      </c>
      <c r="M992" s="1" t="str">
        <f>"四川省 成都市 武侯区 "</f>
        <v xml:space="preserve">四川省 成都市 武侯区 </v>
      </c>
      <c r="N992" s="1" t="str">
        <f t="shared" si="311"/>
        <v>凡华云仓-城南圆通-微信视频号</v>
      </c>
      <c r="O992" s="5" t="s">
        <v>1029</v>
      </c>
      <c r="P992" s="6">
        <v>0.24</v>
      </c>
      <c r="Q992" s="11">
        <v>2</v>
      </c>
      <c r="R992" s="11"/>
      <c r="S992" s="11"/>
      <c r="T992" s="11"/>
      <c r="U992" s="11">
        <f t="shared" si="318"/>
        <v>2</v>
      </c>
      <c r="W992">
        <v>2.2000000000000002</v>
      </c>
      <c r="X992" s="1" t="s">
        <v>161</v>
      </c>
    </row>
    <row r="993" spans="1:24" x14ac:dyDescent="0.25">
      <c r="A993" s="1" t="str">
        <f t="shared" si="313"/>
        <v>卡卡杜-凤凰仓</v>
      </c>
      <c r="B993" s="1" t="str">
        <f>"CK20241030110"</f>
        <v>CK20241030110</v>
      </c>
      <c r="C993" s="1" t="str">
        <f>"DD2024103035369"</f>
        <v>DD2024103035369</v>
      </c>
      <c r="D993" s="1" t="str">
        <f>"CK2024103035469"</f>
        <v>CK2024103035469</v>
      </c>
      <c r="E993" s="1" t="str">
        <f>"3723649861170627840"</f>
        <v>3723649861170627840</v>
      </c>
      <c r="F993" s="1" t="str">
        <f t="shared" si="314"/>
        <v>花都四部-凤凰仓</v>
      </c>
      <c r="G993" s="1" t="str">
        <f t="shared" si="310"/>
        <v>卡卡杜企业店（视频号）</v>
      </c>
      <c r="H993" s="1" t="str">
        <f t="shared" si="315"/>
        <v>正常订单</v>
      </c>
      <c r="I993" s="1" t="str">
        <f t="shared" si="316"/>
        <v>已发货</v>
      </c>
      <c r="J993" s="1" t="str">
        <f t="shared" si="325"/>
        <v>2</v>
      </c>
      <c r="K993" s="1">
        <v>2</v>
      </c>
      <c r="L993" s="1" t="s">
        <v>54</v>
      </c>
      <c r="M993" s="1" t="str">
        <f>"黑龙江省 哈尔滨市 道里区 "</f>
        <v xml:space="preserve">黑龙江省 哈尔滨市 道里区 </v>
      </c>
      <c r="N993" s="1" t="str">
        <f t="shared" si="311"/>
        <v>凡华云仓-城南圆通-微信视频号</v>
      </c>
      <c r="O993" s="5" t="s">
        <v>1030</v>
      </c>
      <c r="P993" s="6">
        <v>0.17</v>
      </c>
      <c r="Q993" s="11">
        <v>2</v>
      </c>
      <c r="R993" s="11"/>
      <c r="S993" s="11"/>
      <c r="T993" s="11"/>
      <c r="U993" s="11">
        <f t="shared" si="318"/>
        <v>2</v>
      </c>
      <c r="W993">
        <v>2.2000000000000002</v>
      </c>
      <c r="X993" s="1" t="s">
        <v>54</v>
      </c>
    </row>
    <row r="994" spans="1:24" x14ac:dyDescent="0.25">
      <c r="A994" s="1" t="str">
        <f t="shared" si="313"/>
        <v>卡卡杜-凤凰仓</v>
      </c>
      <c r="B994" s="1" t="str">
        <f>"CK20241030108"</f>
        <v>CK20241030108</v>
      </c>
      <c r="C994" s="1" t="str">
        <f>"DD2024103035368"</f>
        <v>DD2024103035368</v>
      </c>
      <c r="D994" s="1" t="str">
        <f>"CK2024103035468"</f>
        <v>CK2024103035468</v>
      </c>
      <c r="E994" s="1" t="str">
        <f>"3723649858816838657"</f>
        <v>3723649858816838657</v>
      </c>
      <c r="F994" s="1" t="str">
        <f t="shared" si="314"/>
        <v>花都四部-凤凰仓</v>
      </c>
      <c r="G994" s="1" t="str">
        <f t="shared" si="310"/>
        <v>卡卡杜企业店（视频号）</v>
      </c>
      <c r="H994" s="1" t="str">
        <f t="shared" si="315"/>
        <v>正常订单</v>
      </c>
      <c r="I994" s="1" t="str">
        <f t="shared" si="316"/>
        <v>已发货</v>
      </c>
      <c r="J994" s="1" t="str">
        <f t="shared" si="325"/>
        <v>2</v>
      </c>
      <c r="K994" s="1">
        <v>2</v>
      </c>
      <c r="L994" s="1" t="s">
        <v>109</v>
      </c>
      <c r="M994" s="1" t="str">
        <f>"山西省 大同市 城区 "</f>
        <v xml:space="preserve">山西省 大同市 城区 </v>
      </c>
      <c r="N994" s="1" t="str">
        <f t="shared" si="311"/>
        <v>凡华云仓-城南圆通-微信视频号</v>
      </c>
      <c r="O994" s="5" t="s">
        <v>1031</v>
      </c>
      <c r="P994" s="6">
        <v>0.17</v>
      </c>
      <c r="Q994" s="11">
        <v>2</v>
      </c>
      <c r="R994" s="11"/>
      <c r="S994" s="11"/>
      <c r="T994" s="11"/>
      <c r="U994" s="11">
        <f t="shared" si="318"/>
        <v>2</v>
      </c>
      <c r="W994">
        <v>2.2000000000000002</v>
      </c>
      <c r="X994" s="1" t="s">
        <v>109</v>
      </c>
    </row>
    <row r="995" spans="1:24" x14ac:dyDescent="0.25">
      <c r="A995" s="1" t="str">
        <f t="shared" si="313"/>
        <v>卡卡杜-凤凰仓</v>
      </c>
      <c r="B995" s="1" t="str">
        <f>"CK20241030107"</f>
        <v>CK20241030107</v>
      </c>
      <c r="C995" s="1" t="str">
        <f>"DD2024103035367"</f>
        <v>DD2024103035367</v>
      </c>
      <c r="D995" s="1" t="str">
        <f>"CK2024103035467"</f>
        <v>CK2024103035467</v>
      </c>
      <c r="E995" s="1" t="str">
        <f>"3723649861618894080"</f>
        <v>3723649861618894080</v>
      </c>
      <c r="F995" s="1" t="str">
        <f t="shared" si="314"/>
        <v>花都四部-凤凰仓</v>
      </c>
      <c r="G995" s="1" t="str">
        <f t="shared" si="310"/>
        <v>卡卡杜企业店（视频号）</v>
      </c>
      <c r="H995" s="1" t="str">
        <f t="shared" si="315"/>
        <v>正常订单</v>
      </c>
      <c r="I995" s="1" t="str">
        <f t="shared" si="316"/>
        <v>已发货</v>
      </c>
      <c r="J995" s="1" t="str">
        <f t="shared" si="325"/>
        <v>2</v>
      </c>
      <c r="K995" s="1">
        <v>2</v>
      </c>
      <c r="L995" s="1" t="s">
        <v>105</v>
      </c>
      <c r="M995" s="1" t="str">
        <f>"北京 北京市 朝阳区 "</f>
        <v xml:space="preserve">北京 北京市 朝阳区 </v>
      </c>
      <c r="N995" s="1" t="str">
        <f t="shared" si="311"/>
        <v>凡华云仓-城南圆通-微信视频号</v>
      </c>
      <c r="O995" s="5" t="s">
        <v>1032</v>
      </c>
      <c r="P995" s="6">
        <v>0.17</v>
      </c>
      <c r="Q995" s="11">
        <v>2</v>
      </c>
      <c r="R995" s="11"/>
      <c r="S995" s="11"/>
      <c r="T995" s="11"/>
      <c r="U995" s="11">
        <f t="shared" si="318"/>
        <v>2</v>
      </c>
      <c r="W995">
        <v>2.2000000000000002</v>
      </c>
      <c r="X995" s="1" t="s">
        <v>105</v>
      </c>
    </row>
    <row r="996" spans="1:24" x14ac:dyDescent="0.25">
      <c r="A996" s="1" t="str">
        <f t="shared" si="313"/>
        <v>卡卡杜-凤凰仓</v>
      </c>
      <c r="B996" s="1" t="str">
        <f>"CK20241030111"</f>
        <v>CK20241030111</v>
      </c>
      <c r="C996" s="1" t="str">
        <f>"DD2024103035371"</f>
        <v>DD2024103035371</v>
      </c>
      <c r="D996" s="1" t="str">
        <f>"CK2024103035466"</f>
        <v>CK2024103035466</v>
      </c>
      <c r="E996" s="1" t="str">
        <f>"3723649861129995776"</f>
        <v>3723649861129995776</v>
      </c>
      <c r="F996" s="1" t="str">
        <f t="shared" si="314"/>
        <v>花都四部-凤凰仓</v>
      </c>
      <c r="G996" s="1" t="str">
        <f t="shared" si="310"/>
        <v>卡卡杜企业店（视频号）</v>
      </c>
      <c r="H996" s="1" t="str">
        <f t="shared" si="315"/>
        <v>正常订单</v>
      </c>
      <c r="I996" s="1" t="str">
        <f t="shared" si="316"/>
        <v>已发货</v>
      </c>
      <c r="J996" s="1" t="str">
        <f t="shared" si="325"/>
        <v>2</v>
      </c>
      <c r="K996" s="1">
        <v>2</v>
      </c>
      <c r="L996" s="1" t="s">
        <v>32</v>
      </c>
      <c r="M996" s="1" t="str">
        <f>"陕西省 西安市 灞桥区 "</f>
        <v xml:space="preserve">陕西省 西安市 灞桥区 </v>
      </c>
      <c r="N996" s="1" t="str">
        <f t="shared" si="311"/>
        <v>凡华云仓-城南圆通-微信视频号</v>
      </c>
      <c r="O996" s="5" t="s">
        <v>1033</v>
      </c>
      <c r="P996" s="6">
        <v>0.17</v>
      </c>
      <c r="Q996" s="11">
        <v>2</v>
      </c>
      <c r="R996" s="11"/>
      <c r="S996" s="11"/>
      <c r="T996" s="11"/>
      <c r="U996" s="11">
        <f t="shared" si="318"/>
        <v>2</v>
      </c>
      <c r="W996">
        <v>2.2000000000000002</v>
      </c>
      <c r="X996" s="1" t="s">
        <v>32</v>
      </c>
    </row>
    <row r="997" spans="1:24" x14ac:dyDescent="0.25">
      <c r="A997" s="1" t="str">
        <f t="shared" si="313"/>
        <v>卡卡杜-凤凰仓</v>
      </c>
      <c r="B997" s="1" t="str">
        <f>"CK2024103034"</f>
        <v>CK2024103034</v>
      </c>
      <c r="C997" s="1" t="str">
        <f>"DD2024103035285"</f>
        <v>DD2024103035285</v>
      </c>
      <c r="D997" s="1" t="str">
        <f>"CK2024103035465"</f>
        <v>CK2024103035465</v>
      </c>
      <c r="E997" s="1" t="str">
        <f>"3723649861445355008"</f>
        <v>3723649861445355008</v>
      </c>
      <c r="F997" s="1" t="str">
        <f t="shared" si="314"/>
        <v>花都四部-凤凰仓</v>
      </c>
      <c r="G997" s="1" t="str">
        <f t="shared" si="310"/>
        <v>卡卡杜企业店（视频号）</v>
      </c>
      <c r="H997" s="1" t="str">
        <f t="shared" si="315"/>
        <v>正常订单</v>
      </c>
      <c r="I997" s="1" t="str">
        <f t="shared" si="316"/>
        <v>已发货</v>
      </c>
      <c r="J997" s="1" t="str">
        <f>"3"</f>
        <v>3</v>
      </c>
      <c r="K997" s="1">
        <v>2</v>
      </c>
      <c r="L997" s="1" t="s">
        <v>187</v>
      </c>
      <c r="M997" s="1" t="str">
        <f>"吉林省 长春市 朝阳区 "</f>
        <v xml:space="preserve">吉林省 长春市 朝阳区 </v>
      </c>
      <c r="N997" s="1" t="str">
        <f t="shared" si="311"/>
        <v>凡华云仓-城南圆通-微信视频号</v>
      </c>
      <c r="O997" s="5" t="s">
        <v>1034</v>
      </c>
      <c r="P997" s="6">
        <v>0.24</v>
      </c>
      <c r="Q997" s="11">
        <v>2</v>
      </c>
      <c r="R997" s="11"/>
      <c r="S997" s="11"/>
      <c r="T997" s="11"/>
      <c r="U997" s="11">
        <f t="shared" si="318"/>
        <v>2</v>
      </c>
      <c r="W997">
        <v>2.2000000000000002</v>
      </c>
      <c r="X997" s="1" t="s">
        <v>187</v>
      </c>
    </row>
    <row r="998" spans="1:24" x14ac:dyDescent="0.25">
      <c r="A998" s="1" t="str">
        <f t="shared" si="313"/>
        <v>卡卡杜-凤凰仓</v>
      </c>
      <c r="B998" s="1" t="str">
        <f>"CK20241030112"</f>
        <v>CK20241030112</v>
      </c>
      <c r="C998" s="1" t="str">
        <f>"DD2024103035372"</f>
        <v>DD2024103035372</v>
      </c>
      <c r="D998" s="1" t="str">
        <f>"CK2024103035463"</f>
        <v>CK2024103035463</v>
      </c>
      <c r="E998" s="1" t="str">
        <f>"3723649856873565184"</f>
        <v>3723649856873565184</v>
      </c>
      <c r="F998" s="1" t="str">
        <f t="shared" si="314"/>
        <v>花都四部-凤凰仓</v>
      </c>
      <c r="G998" s="1" t="str">
        <f t="shared" si="310"/>
        <v>卡卡杜企业店（视频号）</v>
      </c>
      <c r="H998" s="1" t="str">
        <f t="shared" si="315"/>
        <v>正常订单</v>
      </c>
      <c r="I998" s="1" t="str">
        <f t="shared" si="316"/>
        <v>已发货</v>
      </c>
      <c r="J998" s="1" t="str">
        <f t="shared" ref="J998:J1004" si="326">"2"</f>
        <v>2</v>
      </c>
      <c r="K998" s="1">
        <v>2</v>
      </c>
      <c r="L998" s="1" t="s">
        <v>54</v>
      </c>
      <c r="M998" s="1" t="str">
        <f>"黑龙江省 大庆市 让胡路区 "</f>
        <v xml:space="preserve">黑龙江省 大庆市 让胡路区 </v>
      </c>
      <c r="N998" s="1" t="str">
        <f t="shared" si="311"/>
        <v>凡华云仓-城南圆通-微信视频号</v>
      </c>
      <c r="O998" s="5" t="s">
        <v>1035</v>
      </c>
      <c r="P998" s="6">
        <v>0.17</v>
      </c>
      <c r="Q998" s="11">
        <v>2</v>
      </c>
      <c r="R998" s="11"/>
      <c r="S998" s="11"/>
      <c r="T998" s="11"/>
      <c r="U998" s="11">
        <f t="shared" si="318"/>
        <v>2</v>
      </c>
      <c r="W998">
        <v>2.2000000000000002</v>
      </c>
      <c r="X998" s="1" t="s">
        <v>54</v>
      </c>
    </row>
    <row r="999" spans="1:24" x14ac:dyDescent="0.25">
      <c r="A999" s="1" t="str">
        <f t="shared" si="313"/>
        <v>卡卡杜-凤凰仓</v>
      </c>
      <c r="B999" s="1" t="str">
        <f>"CK20241030113"</f>
        <v>CK20241030113</v>
      </c>
      <c r="C999" s="1" t="str">
        <f>"DD2024103035373"</f>
        <v>DD2024103035373</v>
      </c>
      <c r="D999" s="1" t="str">
        <f>"CK2024103035462"</f>
        <v>CK2024103035462</v>
      </c>
      <c r="E999" s="1" t="str">
        <f>"3723649859704721408"</f>
        <v>3723649859704721408</v>
      </c>
      <c r="F999" s="1" t="str">
        <f t="shared" si="314"/>
        <v>花都四部-凤凰仓</v>
      </c>
      <c r="G999" s="1" t="str">
        <f t="shared" si="310"/>
        <v>卡卡杜企业店（视频号）</v>
      </c>
      <c r="H999" s="1" t="str">
        <f t="shared" si="315"/>
        <v>正常订单</v>
      </c>
      <c r="I999" s="1" t="str">
        <f t="shared" si="316"/>
        <v>已发货</v>
      </c>
      <c r="J999" s="1" t="str">
        <f t="shared" si="326"/>
        <v>2</v>
      </c>
      <c r="K999" s="1">
        <v>2</v>
      </c>
      <c r="L999" s="1" t="s">
        <v>92</v>
      </c>
      <c r="M999" s="1" t="str">
        <f>"辽宁省 辽阳市 白塔区 "</f>
        <v xml:space="preserve">辽宁省 辽阳市 白塔区 </v>
      </c>
      <c r="N999" s="1" t="str">
        <f t="shared" si="311"/>
        <v>凡华云仓-城南圆通-微信视频号</v>
      </c>
      <c r="O999" s="5" t="s">
        <v>1036</v>
      </c>
      <c r="P999" s="6">
        <v>0.17</v>
      </c>
      <c r="Q999" s="11">
        <v>2</v>
      </c>
      <c r="R999" s="11"/>
      <c r="S999" s="11"/>
      <c r="T999" s="11"/>
      <c r="U999" s="11">
        <f t="shared" si="318"/>
        <v>2</v>
      </c>
      <c r="W999">
        <v>2.2000000000000002</v>
      </c>
      <c r="X999" s="1" t="s">
        <v>92</v>
      </c>
    </row>
    <row r="1000" spans="1:24" x14ac:dyDescent="0.25">
      <c r="A1000" s="1" t="str">
        <f t="shared" si="313"/>
        <v>卡卡杜-凤凰仓</v>
      </c>
      <c r="B1000" s="1" t="str">
        <f>"CK20241030450"</f>
        <v>CK20241030450</v>
      </c>
      <c r="C1000" s="1" t="str">
        <f>"DD2024103036575"</f>
        <v>DD2024103036575</v>
      </c>
      <c r="D1000" s="1" t="str">
        <f>"CK2024103035461"</f>
        <v>CK2024103035461</v>
      </c>
      <c r="E1000" s="1" t="str">
        <f>"3723649857171096832"</f>
        <v>3723649857171096832</v>
      </c>
      <c r="F1000" s="1" t="str">
        <f t="shared" si="314"/>
        <v>花都四部-凤凰仓</v>
      </c>
      <c r="G1000" s="1" t="str">
        <f t="shared" si="310"/>
        <v>卡卡杜企业店（视频号）</v>
      </c>
      <c r="H1000" s="1" t="str">
        <f t="shared" si="315"/>
        <v>正常订单</v>
      </c>
      <c r="I1000" s="1" t="str">
        <f t="shared" si="316"/>
        <v>已发货</v>
      </c>
      <c r="J1000" s="1" t="str">
        <f>"5"</f>
        <v>5</v>
      </c>
      <c r="K1000" s="1">
        <v>2</v>
      </c>
      <c r="L1000" s="1" t="s">
        <v>109</v>
      </c>
      <c r="M1000" s="1" t="str">
        <f>"山西省 太原市 小店区 "</f>
        <v xml:space="preserve">山西省 太原市 小店区 </v>
      </c>
      <c r="N1000" s="1" t="str">
        <f t="shared" si="311"/>
        <v>凡华云仓-城南圆通-微信视频号</v>
      </c>
      <c r="O1000" s="5" t="s">
        <v>1037</v>
      </c>
      <c r="P1000" s="6">
        <v>0.35</v>
      </c>
      <c r="Q1000" s="11">
        <v>2.2999999999999998</v>
      </c>
      <c r="R1000" s="11"/>
      <c r="S1000" s="11"/>
      <c r="T1000" s="11"/>
      <c r="U1000" s="11">
        <f t="shared" si="318"/>
        <v>2.2999999999999998</v>
      </c>
      <c r="W1000">
        <v>2.5</v>
      </c>
      <c r="X1000" s="1" t="s">
        <v>109</v>
      </c>
    </row>
    <row r="1001" spans="1:24" x14ac:dyDescent="0.25">
      <c r="A1001" s="1" t="str">
        <f t="shared" si="313"/>
        <v>卡卡杜-凤凰仓</v>
      </c>
      <c r="B1001" s="1" t="str">
        <f>"CK20241030116"</f>
        <v>CK20241030116</v>
      </c>
      <c r="C1001" s="1" t="str">
        <f>"DD2024103035376"</f>
        <v>DD2024103035376</v>
      </c>
      <c r="D1001" s="1" t="str">
        <f>"CK2024103035460"</f>
        <v>CK2024103035460</v>
      </c>
      <c r="E1001" s="1" t="str">
        <f>"3723649858205258752"</f>
        <v>3723649858205258752</v>
      </c>
      <c r="F1001" s="1" t="str">
        <f t="shared" si="314"/>
        <v>花都四部-凤凰仓</v>
      </c>
      <c r="G1001" s="1" t="str">
        <f t="shared" si="310"/>
        <v>卡卡杜企业店（视频号）</v>
      </c>
      <c r="H1001" s="1" t="str">
        <f t="shared" si="315"/>
        <v>正常订单</v>
      </c>
      <c r="I1001" s="1" t="str">
        <f t="shared" si="316"/>
        <v>已发货</v>
      </c>
      <c r="J1001" s="1" t="str">
        <f t="shared" si="326"/>
        <v>2</v>
      </c>
      <c r="K1001" s="1">
        <v>2</v>
      </c>
      <c r="L1001" s="1" t="s">
        <v>92</v>
      </c>
      <c r="M1001" s="1" t="str">
        <f>"辽宁省 本溪市 溪湖区 "</f>
        <v xml:space="preserve">辽宁省 本溪市 溪湖区 </v>
      </c>
      <c r="N1001" s="1" t="str">
        <f t="shared" si="311"/>
        <v>凡华云仓-城南圆通-微信视频号</v>
      </c>
      <c r="O1001" s="5" t="s">
        <v>1038</v>
      </c>
      <c r="P1001" s="6">
        <v>0.17</v>
      </c>
      <c r="Q1001" s="11">
        <v>2</v>
      </c>
      <c r="R1001" s="11"/>
      <c r="S1001" s="11"/>
      <c r="T1001" s="11"/>
      <c r="U1001" s="11">
        <f t="shared" si="318"/>
        <v>2</v>
      </c>
      <c r="W1001">
        <v>2.2000000000000002</v>
      </c>
      <c r="X1001" s="1" t="s">
        <v>92</v>
      </c>
    </row>
    <row r="1002" spans="1:24" x14ac:dyDescent="0.25">
      <c r="A1002" s="1" t="str">
        <f t="shared" si="313"/>
        <v>卡卡杜-凤凰仓</v>
      </c>
      <c r="B1002" s="1" t="str">
        <f>"CK20241030118"</f>
        <v>CK20241030118</v>
      </c>
      <c r="C1002" s="1" t="str">
        <f>"DD2024103035378"</f>
        <v>DD2024103035378</v>
      </c>
      <c r="D1002" s="1" t="str">
        <f>"CK2024103035459"</f>
        <v>CK2024103035459</v>
      </c>
      <c r="E1002" s="1" t="str">
        <f>"3723649857933673984"</f>
        <v>3723649857933673984</v>
      </c>
      <c r="F1002" s="1" t="str">
        <f t="shared" si="314"/>
        <v>花都四部-凤凰仓</v>
      </c>
      <c r="G1002" s="1" t="str">
        <f t="shared" si="310"/>
        <v>卡卡杜企业店（视频号）</v>
      </c>
      <c r="H1002" s="1" t="str">
        <f t="shared" si="315"/>
        <v>正常订单</v>
      </c>
      <c r="I1002" s="1" t="str">
        <f t="shared" si="316"/>
        <v>已发货</v>
      </c>
      <c r="J1002" s="1" t="str">
        <f t="shared" si="326"/>
        <v>2</v>
      </c>
      <c r="K1002" s="1">
        <v>2</v>
      </c>
      <c r="L1002" s="1" t="s">
        <v>109</v>
      </c>
      <c r="M1002" s="1" t="str">
        <f>"山西省 大同市 阳高县 "</f>
        <v xml:space="preserve">山西省 大同市 阳高县 </v>
      </c>
      <c r="N1002" s="1" t="str">
        <f t="shared" si="311"/>
        <v>凡华云仓-城南圆通-微信视频号</v>
      </c>
      <c r="O1002" s="5" t="s">
        <v>1039</v>
      </c>
      <c r="P1002" s="6">
        <v>0.17</v>
      </c>
      <c r="Q1002" s="11">
        <v>2</v>
      </c>
      <c r="R1002" s="11"/>
      <c r="S1002" s="11"/>
      <c r="T1002" s="11"/>
      <c r="U1002" s="11">
        <f t="shared" si="318"/>
        <v>2</v>
      </c>
      <c r="W1002">
        <v>2.2000000000000002</v>
      </c>
      <c r="X1002" s="1" t="s">
        <v>109</v>
      </c>
    </row>
    <row r="1003" spans="1:24" x14ac:dyDescent="0.25">
      <c r="A1003" s="1" t="str">
        <f t="shared" si="313"/>
        <v>卡卡杜-凤凰仓</v>
      </c>
      <c r="B1003" s="1" t="str">
        <f>"CK20241030115"</f>
        <v>CK20241030115</v>
      </c>
      <c r="C1003" s="1" t="str">
        <f>"DD2024103035374"</f>
        <v>DD2024103035374</v>
      </c>
      <c r="D1003" s="1" t="str">
        <f>"CK2024103035458"</f>
        <v>CK2024103035458</v>
      </c>
      <c r="E1003" s="1" t="str">
        <f>"3723649858075759616"</f>
        <v>3723649858075759616</v>
      </c>
      <c r="F1003" s="1" t="str">
        <f t="shared" si="314"/>
        <v>花都四部-凤凰仓</v>
      </c>
      <c r="G1003" s="1" t="str">
        <f t="shared" si="310"/>
        <v>卡卡杜企业店（视频号）</v>
      </c>
      <c r="H1003" s="1" t="str">
        <f t="shared" si="315"/>
        <v>正常订单</v>
      </c>
      <c r="I1003" s="1" t="str">
        <f t="shared" si="316"/>
        <v>已发货</v>
      </c>
      <c r="J1003" s="1" t="str">
        <f t="shared" si="326"/>
        <v>2</v>
      </c>
      <c r="K1003" s="1">
        <v>2</v>
      </c>
      <c r="L1003" s="1" t="s">
        <v>218</v>
      </c>
      <c r="M1003" s="1" t="str">
        <f>"天津 天津市 西青区 "</f>
        <v xml:space="preserve">天津 天津市 西青区 </v>
      </c>
      <c r="N1003" s="1" t="str">
        <f t="shared" si="311"/>
        <v>凡华云仓-城南圆通-微信视频号</v>
      </c>
      <c r="O1003" s="5" t="s">
        <v>1040</v>
      </c>
      <c r="P1003" s="6">
        <v>0.17</v>
      </c>
      <c r="Q1003" s="11">
        <v>2</v>
      </c>
      <c r="R1003" s="11"/>
      <c r="S1003" s="11"/>
      <c r="T1003" s="11"/>
      <c r="U1003" s="11">
        <f t="shared" si="318"/>
        <v>2</v>
      </c>
      <c r="W1003">
        <v>2.2000000000000002</v>
      </c>
      <c r="X1003" s="1" t="s">
        <v>218</v>
      </c>
    </row>
    <row r="1004" spans="1:24" x14ac:dyDescent="0.25">
      <c r="A1004" s="1" t="str">
        <f t="shared" si="313"/>
        <v>卡卡杜-凤凰仓</v>
      </c>
      <c r="B1004" s="1" t="str">
        <f>"CK20241030117"</f>
        <v>CK20241030117</v>
      </c>
      <c r="C1004" s="1" t="str">
        <f>"DD2024103035377"</f>
        <v>DD2024103035377</v>
      </c>
      <c r="D1004" s="1" t="str">
        <f>"CK2024103035457"</f>
        <v>CK2024103035457</v>
      </c>
      <c r="E1004" s="1" t="str">
        <f>"3723649857708754432"</f>
        <v>3723649857708754432</v>
      </c>
      <c r="F1004" s="1" t="str">
        <f t="shared" si="314"/>
        <v>花都四部-凤凰仓</v>
      </c>
      <c r="G1004" s="1" t="str">
        <f t="shared" si="310"/>
        <v>卡卡杜企业店（视频号）</v>
      </c>
      <c r="H1004" s="1" t="str">
        <f t="shared" si="315"/>
        <v>正常订单</v>
      </c>
      <c r="I1004" s="1" t="str">
        <f t="shared" si="316"/>
        <v>已发货</v>
      </c>
      <c r="J1004" s="1" t="str">
        <f t="shared" si="326"/>
        <v>2</v>
      </c>
      <c r="K1004" s="1">
        <v>2</v>
      </c>
      <c r="L1004" s="1" t="s">
        <v>105</v>
      </c>
      <c r="M1004" s="1" t="str">
        <f>"北京 北京市 海淀区 "</f>
        <v xml:space="preserve">北京 北京市 海淀区 </v>
      </c>
      <c r="N1004" s="1" t="str">
        <f t="shared" si="311"/>
        <v>凡华云仓-城南圆通-微信视频号</v>
      </c>
      <c r="O1004" s="5" t="s">
        <v>1041</v>
      </c>
      <c r="P1004" s="6">
        <v>0.17</v>
      </c>
      <c r="Q1004" s="11">
        <v>2</v>
      </c>
      <c r="R1004" s="11"/>
      <c r="S1004" s="11"/>
      <c r="T1004" s="11"/>
      <c r="U1004" s="11">
        <f t="shared" si="318"/>
        <v>2</v>
      </c>
      <c r="W1004">
        <v>2.2000000000000002</v>
      </c>
      <c r="X1004" s="1" t="s">
        <v>105</v>
      </c>
    </row>
    <row r="1005" spans="1:24" x14ac:dyDescent="0.25">
      <c r="A1005" s="1" t="str">
        <f t="shared" si="313"/>
        <v>卡卡杜-凤凰仓</v>
      </c>
      <c r="B1005" s="1" t="str">
        <f>"CK2024103028"</f>
        <v>CK2024103028</v>
      </c>
      <c r="C1005" s="1" t="str">
        <f>"DD2024103035279"</f>
        <v>DD2024103035279</v>
      </c>
      <c r="D1005" s="1" t="str">
        <f>"CK2024103035456"</f>
        <v>CK2024103035456</v>
      </c>
      <c r="E1005" s="1" t="str">
        <f>"3723649854760423424"</f>
        <v>3723649854760423424</v>
      </c>
      <c r="F1005" s="1" t="str">
        <f t="shared" si="314"/>
        <v>花都四部-凤凰仓</v>
      </c>
      <c r="G1005" s="1" t="str">
        <f t="shared" si="310"/>
        <v>卡卡杜企业店（视频号）</v>
      </c>
      <c r="H1005" s="1" t="str">
        <f t="shared" si="315"/>
        <v>正常订单</v>
      </c>
      <c r="I1005" s="1" t="str">
        <f t="shared" si="316"/>
        <v>已发货</v>
      </c>
      <c r="J1005" s="1" t="str">
        <f>"3"</f>
        <v>3</v>
      </c>
      <c r="K1005" s="1">
        <v>2</v>
      </c>
      <c r="L1005" s="1" t="s">
        <v>105</v>
      </c>
      <c r="M1005" s="1" t="str">
        <f>"北京 北京市 房山区 "</f>
        <v xml:space="preserve">北京 北京市 房山区 </v>
      </c>
      <c r="N1005" s="1" t="str">
        <f t="shared" si="311"/>
        <v>凡华云仓-城南圆通-微信视频号</v>
      </c>
      <c r="O1005" s="5" t="s">
        <v>1042</v>
      </c>
      <c r="P1005" s="6">
        <v>0.24</v>
      </c>
      <c r="Q1005" s="11">
        <v>2</v>
      </c>
      <c r="R1005" s="11"/>
      <c r="S1005" s="11"/>
      <c r="T1005" s="11"/>
      <c r="U1005" s="11">
        <f t="shared" si="318"/>
        <v>2</v>
      </c>
      <c r="W1005">
        <v>2.2000000000000002</v>
      </c>
      <c r="X1005" s="1" t="s">
        <v>105</v>
      </c>
    </row>
    <row r="1006" spans="1:24" x14ac:dyDescent="0.25">
      <c r="A1006" s="1" t="str">
        <f t="shared" si="313"/>
        <v>卡卡杜-凤凰仓</v>
      </c>
      <c r="B1006" s="1" t="str">
        <f>"CK20241030114"</f>
        <v>CK20241030114</v>
      </c>
      <c r="C1006" s="1" t="str">
        <f>"DD2024103035375"</f>
        <v>DD2024103035375</v>
      </c>
      <c r="D1006" s="1" t="str">
        <f>"CK2024103035455"</f>
        <v>CK2024103035455</v>
      </c>
      <c r="E1006" s="1" t="str">
        <f>"3723649858911995393"</f>
        <v>3723649858911995393</v>
      </c>
      <c r="F1006" s="1" t="str">
        <f t="shared" si="314"/>
        <v>花都四部-凤凰仓</v>
      </c>
      <c r="G1006" s="1" t="str">
        <f t="shared" si="310"/>
        <v>卡卡杜企业店（视频号）</v>
      </c>
      <c r="H1006" s="1" t="str">
        <f t="shared" si="315"/>
        <v>正常订单</v>
      </c>
      <c r="I1006" s="1" t="str">
        <f t="shared" si="316"/>
        <v>已发货</v>
      </c>
      <c r="J1006" s="1" t="str">
        <f t="shared" ref="J1006:J1009" si="327">"2"</f>
        <v>2</v>
      </c>
      <c r="K1006" s="1">
        <v>2</v>
      </c>
      <c r="L1006" s="1" t="s">
        <v>30</v>
      </c>
      <c r="M1006" s="1" t="str">
        <f>"山东省 济南市 历下区 "</f>
        <v xml:space="preserve">山东省 济南市 历下区 </v>
      </c>
      <c r="N1006" s="1" t="str">
        <f t="shared" si="311"/>
        <v>凡华云仓-城南圆通-微信视频号</v>
      </c>
      <c r="O1006" s="5" t="s">
        <v>1043</v>
      </c>
      <c r="P1006" s="6">
        <v>0.17</v>
      </c>
      <c r="Q1006" s="11">
        <v>2</v>
      </c>
      <c r="R1006" s="11"/>
      <c r="S1006" s="11"/>
      <c r="T1006" s="11"/>
      <c r="U1006" s="11">
        <f t="shared" si="318"/>
        <v>2</v>
      </c>
      <c r="W1006">
        <v>2.2000000000000002</v>
      </c>
      <c r="X1006" s="1" t="s">
        <v>30</v>
      </c>
    </row>
    <row r="1007" spans="1:24" x14ac:dyDescent="0.25">
      <c r="A1007" s="1" t="str">
        <f t="shared" si="313"/>
        <v>卡卡杜-凤凰仓</v>
      </c>
      <c r="B1007" s="1" t="str">
        <f>"CK20241030119"</f>
        <v>CK20241030119</v>
      </c>
      <c r="C1007" s="1" t="str">
        <f>"DD2024103035379"</f>
        <v>DD2024103035379</v>
      </c>
      <c r="D1007" s="1" t="str">
        <f>"CK2024103035454"</f>
        <v>CK2024103035454</v>
      </c>
      <c r="E1007" s="1" t="str">
        <f>"3723649857232438528"</f>
        <v>3723649857232438528</v>
      </c>
      <c r="F1007" s="1" t="str">
        <f t="shared" si="314"/>
        <v>花都四部-凤凰仓</v>
      </c>
      <c r="G1007" s="1" t="str">
        <f t="shared" si="310"/>
        <v>卡卡杜企业店（视频号）</v>
      </c>
      <c r="H1007" s="1" t="str">
        <f t="shared" si="315"/>
        <v>正常订单</v>
      </c>
      <c r="I1007" s="1" t="str">
        <f t="shared" si="316"/>
        <v>已发货</v>
      </c>
      <c r="J1007" s="1" t="str">
        <f t="shared" si="327"/>
        <v>2</v>
      </c>
      <c r="K1007" s="1">
        <v>2</v>
      </c>
      <c r="L1007" s="1" t="s">
        <v>105</v>
      </c>
      <c r="M1007" s="1" t="str">
        <f>"北京 北京市 海淀区 "</f>
        <v xml:space="preserve">北京 北京市 海淀区 </v>
      </c>
      <c r="N1007" s="1" t="str">
        <f t="shared" si="311"/>
        <v>凡华云仓-城南圆通-微信视频号</v>
      </c>
      <c r="O1007" s="5" t="s">
        <v>1044</v>
      </c>
      <c r="P1007" s="6">
        <v>0.17</v>
      </c>
      <c r="Q1007" s="11">
        <v>2</v>
      </c>
      <c r="R1007" s="11"/>
      <c r="S1007" s="11"/>
      <c r="T1007" s="11"/>
      <c r="U1007" s="11">
        <f t="shared" si="318"/>
        <v>2</v>
      </c>
      <c r="W1007">
        <v>2.2000000000000002</v>
      </c>
      <c r="X1007" s="1" t="s">
        <v>105</v>
      </c>
    </row>
    <row r="1008" spans="1:24" x14ac:dyDescent="0.25">
      <c r="A1008" s="1" t="str">
        <f t="shared" si="313"/>
        <v>卡卡杜-凤凰仓</v>
      </c>
      <c r="B1008" s="1" t="str">
        <f>"CK20241030120"</f>
        <v>CK20241030120</v>
      </c>
      <c r="C1008" s="1" t="str">
        <f>"DD2024103035380"</f>
        <v>DD2024103035380</v>
      </c>
      <c r="D1008" s="1" t="str">
        <f>"CK2024103035453"</f>
        <v>CK2024103035453</v>
      </c>
      <c r="E1008" s="1" t="str">
        <f>"3723649855799821568"</f>
        <v>3723649855799821568</v>
      </c>
      <c r="F1008" s="1" t="str">
        <f t="shared" si="314"/>
        <v>花都四部-凤凰仓</v>
      </c>
      <c r="G1008" s="1" t="str">
        <f t="shared" si="310"/>
        <v>卡卡杜企业店（视频号）</v>
      </c>
      <c r="H1008" s="1" t="str">
        <f t="shared" si="315"/>
        <v>正常订单</v>
      </c>
      <c r="I1008" s="1" t="str">
        <f t="shared" si="316"/>
        <v>已发货</v>
      </c>
      <c r="J1008" s="1" t="str">
        <f t="shared" si="327"/>
        <v>2</v>
      </c>
      <c r="K1008" s="1">
        <v>2</v>
      </c>
      <c r="L1008" s="1" t="s">
        <v>105</v>
      </c>
      <c r="M1008" s="1" t="str">
        <f>"北京 北京市 门头沟区 "</f>
        <v xml:space="preserve">北京 北京市 门头沟区 </v>
      </c>
      <c r="N1008" s="1" t="str">
        <f t="shared" si="311"/>
        <v>凡华云仓-城南圆通-微信视频号</v>
      </c>
      <c r="O1008" s="5" t="s">
        <v>1045</v>
      </c>
      <c r="P1008" s="6">
        <v>0.17</v>
      </c>
      <c r="Q1008" s="11">
        <v>2</v>
      </c>
      <c r="R1008" s="11"/>
      <c r="S1008" s="11"/>
      <c r="T1008" s="11"/>
      <c r="U1008" s="11">
        <f t="shared" si="318"/>
        <v>2</v>
      </c>
      <c r="W1008">
        <v>2.2000000000000002</v>
      </c>
      <c r="X1008" s="1" t="s">
        <v>105</v>
      </c>
    </row>
    <row r="1009" spans="1:24" x14ac:dyDescent="0.25">
      <c r="A1009" s="1" t="str">
        <f t="shared" si="313"/>
        <v>卡卡杜-凤凰仓</v>
      </c>
      <c r="B1009" s="1" t="str">
        <f>"CK20241030121"</f>
        <v>CK20241030121</v>
      </c>
      <c r="C1009" s="1" t="str">
        <f>"DD2024103035382"</f>
        <v>DD2024103035382</v>
      </c>
      <c r="D1009" s="1" t="str">
        <f>"CK2024103035452"</f>
        <v>CK2024103035452</v>
      </c>
      <c r="E1009" s="1" t="str">
        <f>"3723649844725289984"</f>
        <v>3723649844725289984</v>
      </c>
      <c r="F1009" s="1" t="str">
        <f t="shared" si="314"/>
        <v>花都四部-凤凰仓</v>
      </c>
      <c r="G1009" s="1" t="str">
        <f t="shared" si="310"/>
        <v>卡卡杜企业店（视频号）</v>
      </c>
      <c r="H1009" s="1" t="str">
        <f t="shared" si="315"/>
        <v>正常订单</v>
      </c>
      <c r="I1009" s="1" t="str">
        <f t="shared" si="316"/>
        <v>已发货</v>
      </c>
      <c r="J1009" s="1" t="str">
        <f t="shared" si="327"/>
        <v>2</v>
      </c>
      <c r="K1009" s="1">
        <v>2</v>
      </c>
      <c r="L1009" s="1" t="s">
        <v>161</v>
      </c>
      <c r="M1009" s="1" t="str">
        <f>"四川省 绵阳市 安州区 "</f>
        <v xml:space="preserve">四川省 绵阳市 安州区 </v>
      </c>
      <c r="N1009" s="1" t="str">
        <f t="shared" si="311"/>
        <v>凡华云仓-城南圆通-微信视频号</v>
      </c>
      <c r="O1009" s="5" t="s">
        <v>1046</v>
      </c>
      <c r="P1009" s="6">
        <v>0.17</v>
      </c>
      <c r="Q1009" s="11">
        <v>2</v>
      </c>
      <c r="R1009" s="11"/>
      <c r="S1009" s="11"/>
      <c r="T1009" s="11"/>
      <c r="U1009" s="11">
        <f t="shared" si="318"/>
        <v>2</v>
      </c>
      <c r="W1009">
        <v>2.2000000000000002</v>
      </c>
      <c r="X1009" s="1" t="s">
        <v>161</v>
      </c>
    </row>
    <row r="1010" spans="1:24" x14ac:dyDescent="0.25">
      <c r="A1010" s="1" t="str">
        <f t="shared" si="313"/>
        <v>卡卡杜-凤凰仓</v>
      </c>
      <c r="B1010" s="1" t="str">
        <f>"CK2024103029"</f>
        <v>CK2024103029</v>
      </c>
      <c r="C1010" s="1" t="str">
        <f>"DD2024103035282"</f>
        <v>DD2024103035282</v>
      </c>
      <c r="D1010" s="1" t="str">
        <f>"CK2024103035451"</f>
        <v>CK2024103035451</v>
      </c>
      <c r="E1010" s="1" t="str">
        <f>"3723649848987487232"</f>
        <v>3723649848987487232</v>
      </c>
      <c r="F1010" s="1" t="str">
        <f t="shared" si="314"/>
        <v>花都四部-凤凰仓</v>
      </c>
      <c r="G1010" s="1" t="str">
        <f t="shared" si="310"/>
        <v>卡卡杜企业店（视频号）</v>
      </c>
      <c r="H1010" s="1" t="str">
        <f t="shared" si="315"/>
        <v>正常订单</v>
      </c>
      <c r="I1010" s="1" t="str">
        <f t="shared" si="316"/>
        <v>已发货</v>
      </c>
      <c r="J1010" s="1" t="str">
        <f>"3"</f>
        <v>3</v>
      </c>
      <c r="K1010" s="1">
        <v>2</v>
      </c>
      <c r="L1010" s="1" t="s">
        <v>105</v>
      </c>
      <c r="M1010" s="1" t="str">
        <f>"北京 北京市 海淀区 "</f>
        <v xml:space="preserve">北京 北京市 海淀区 </v>
      </c>
      <c r="N1010" s="1" t="str">
        <f t="shared" si="311"/>
        <v>凡华云仓-城南圆通-微信视频号</v>
      </c>
      <c r="O1010" s="5" t="s">
        <v>1047</v>
      </c>
      <c r="P1010" s="6">
        <v>0.24</v>
      </c>
      <c r="Q1010" s="11">
        <v>2</v>
      </c>
      <c r="R1010" s="11"/>
      <c r="S1010" s="11"/>
      <c r="T1010" s="11"/>
      <c r="U1010" s="11">
        <f t="shared" si="318"/>
        <v>2</v>
      </c>
      <c r="W1010">
        <v>2.2000000000000002</v>
      </c>
      <c r="X1010" s="1" t="s">
        <v>105</v>
      </c>
    </row>
    <row r="1011" spans="1:24" x14ac:dyDescent="0.25">
      <c r="A1011" s="1" t="str">
        <f t="shared" si="313"/>
        <v>卡卡杜-凤凰仓</v>
      </c>
      <c r="B1011" s="1" t="str">
        <f>"CK2024103024"</f>
        <v>CK2024103024</v>
      </c>
      <c r="C1011" s="1" t="str">
        <f>"DD2024103035275"</f>
        <v>DD2024103035275</v>
      </c>
      <c r="D1011" s="1" t="str">
        <f>"CK2024103035450"</f>
        <v>CK2024103035450</v>
      </c>
      <c r="E1011" s="1" t="str">
        <f>"3723649834811001856"</f>
        <v>3723649834811001856</v>
      </c>
      <c r="F1011" s="1" t="str">
        <f t="shared" si="314"/>
        <v>花都四部-凤凰仓</v>
      </c>
      <c r="G1011" s="1" t="str">
        <f t="shared" si="310"/>
        <v>卡卡杜企业店（视频号）</v>
      </c>
      <c r="H1011" s="1" t="str">
        <f t="shared" si="315"/>
        <v>正常订单</v>
      </c>
      <c r="I1011" s="1" t="str">
        <f t="shared" si="316"/>
        <v>已发货</v>
      </c>
      <c r="J1011" s="1" t="str">
        <f>"3"</f>
        <v>3</v>
      </c>
      <c r="K1011" s="1">
        <v>2</v>
      </c>
      <c r="L1011" s="1" t="s">
        <v>66</v>
      </c>
      <c r="M1011" s="1" t="str">
        <f>"内蒙古自治区 阿拉善盟 阿拉善左旗 "</f>
        <v xml:space="preserve">内蒙古自治区 阿拉善盟 阿拉善左旗 </v>
      </c>
      <c r="N1011" s="1" t="str">
        <f t="shared" si="311"/>
        <v>凡华云仓-城南圆通-微信视频号</v>
      </c>
      <c r="O1011" s="5" t="s">
        <v>1048</v>
      </c>
      <c r="P1011" s="6">
        <v>0.24</v>
      </c>
      <c r="Q1011" s="11">
        <v>2</v>
      </c>
      <c r="R1011" s="11"/>
      <c r="S1011" s="11"/>
      <c r="T1011" s="11"/>
      <c r="U1011" s="11">
        <f t="shared" si="318"/>
        <v>2</v>
      </c>
      <c r="W1011">
        <v>2.2000000000000002</v>
      </c>
      <c r="X1011" s="1" t="s">
        <v>66</v>
      </c>
    </row>
    <row r="1012" spans="1:24" x14ac:dyDescent="0.25">
      <c r="A1012" s="1" t="str">
        <f t="shared" si="313"/>
        <v>卡卡杜-凤凰仓</v>
      </c>
      <c r="B1012" s="1" t="str">
        <f>"CK20241030451"</f>
        <v>CK20241030451</v>
      </c>
      <c r="C1012" s="1" t="str">
        <f>"DD2024103036574"</f>
        <v>DD2024103036574</v>
      </c>
      <c r="D1012" s="1" t="str">
        <f>"CK2024103035449"</f>
        <v>CK2024103035449</v>
      </c>
      <c r="E1012" s="1" t="str">
        <f>"3723649848657710080"</f>
        <v>3723649848657710080</v>
      </c>
      <c r="F1012" s="1" t="str">
        <f t="shared" si="314"/>
        <v>花都四部-凤凰仓</v>
      </c>
      <c r="G1012" s="1" t="str">
        <f t="shared" si="310"/>
        <v>卡卡杜企业店（视频号）</v>
      </c>
      <c r="H1012" s="1" t="str">
        <f t="shared" si="315"/>
        <v>正常订单</v>
      </c>
      <c r="I1012" s="1" t="str">
        <f t="shared" si="316"/>
        <v>已发货</v>
      </c>
      <c r="J1012" s="1" t="str">
        <f>"5"</f>
        <v>5</v>
      </c>
      <c r="K1012" s="1">
        <v>2</v>
      </c>
      <c r="L1012" s="1" t="s">
        <v>13</v>
      </c>
      <c r="M1012" s="1" t="str">
        <f>"江苏省 无锡市 新吴区 "</f>
        <v xml:space="preserve">江苏省 无锡市 新吴区 </v>
      </c>
      <c r="N1012" s="1" t="str">
        <f t="shared" si="311"/>
        <v>凡华云仓-城南圆通-微信视频号</v>
      </c>
      <c r="O1012" s="5" t="s">
        <v>1049</v>
      </c>
      <c r="P1012" s="6">
        <v>0.35</v>
      </c>
      <c r="Q1012" s="11">
        <v>2.2999999999999998</v>
      </c>
      <c r="R1012" s="11"/>
      <c r="S1012" s="11"/>
      <c r="T1012" s="11"/>
      <c r="U1012" s="11">
        <f t="shared" si="318"/>
        <v>2.2999999999999998</v>
      </c>
      <c r="W1012">
        <v>2.5</v>
      </c>
      <c r="X1012" s="1" t="s">
        <v>13</v>
      </c>
    </row>
    <row r="1013" spans="1:24" x14ac:dyDescent="0.25">
      <c r="A1013" s="1" t="str">
        <f t="shared" si="313"/>
        <v>卡卡杜-凤凰仓</v>
      </c>
      <c r="B1013" s="1" t="str">
        <f>"CK20241030122"</f>
        <v>CK20241030122</v>
      </c>
      <c r="C1013" s="1" t="str">
        <f>"DD2024103035381"</f>
        <v>DD2024103035381</v>
      </c>
      <c r="D1013" s="1" t="str">
        <f>"CK2024103035448"</f>
        <v>CK2024103035448</v>
      </c>
      <c r="E1013" s="1" t="str">
        <f>"3723649851608663297"</f>
        <v>3723649851608663297</v>
      </c>
      <c r="F1013" s="1" t="str">
        <f t="shared" si="314"/>
        <v>花都四部-凤凰仓</v>
      </c>
      <c r="G1013" s="1" t="str">
        <f t="shared" si="310"/>
        <v>卡卡杜企业店（视频号）</v>
      </c>
      <c r="H1013" s="1" t="str">
        <f t="shared" si="315"/>
        <v>正常订单</v>
      </c>
      <c r="I1013" s="1" t="str">
        <f t="shared" si="316"/>
        <v>已发货</v>
      </c>
      <c r="J1013" s="1" t="str">
        <f t="shared" ref="J1013:J1016" si="328">"2"</f>
        <v>2</v>
      </c>
      <c r="K1013" s="1">
        <v>2</v>
      </c>
      <c r="L1013" s="1" t="s">
        <v>32</v>
      </c>
      <c r="M1013" s="1" t="str">
        <f>"陕西省 延安市 宝塔区 "</f>
        <v xml:space="preserve">陕西省 延安市 宝塔区 </v>
      </c>
      <c r="N1013" s="1" t="str">
        <f t="shared" si="311"/>
        <v>凡华云仓-城南圆通-微信视频号</v>
      </c>
      <c r="O1013" s="5" t="s">
        <v>1050</v>
      </c>
      <c r="P1013" s="6">
        <v>0.17</v>
      </c>
      <c r="Q1013" s="11">
        <v>2</v>
      </c>
      <c r="R1013" s="11"/>
      <c r="S1013" s="11"/>
      <c r="T1013" s="11"/>
      <c r="U1013" s="11">
        <f t="shared" si="318"/>
        <v>2</v>
      </c>
      <c r="W1013">
        <v>2.2000000000000002</v>
      </c>
      <c r="X1013" s="1" t="s">
        <v>32</v>
      </c>
    </row>
    <row r="1014" spans="1:24" x14ac:dyDescent="0.25">
      <c r="A1014" s="1" t="str">
        <f t="shared" si="313"/>
        <v>卡卡杜-凤凰仓</v>
      </c>
      <c r="B1014" s="1" t="str">
        <f>"CK20241030123"</f>
        <v>CK20241030123</v>
      </c>
      <c r="C1014" s="1" t="str">
        <f>"DD2024103035383"</f>
        <v>DD2024103035383</v>
      </c>
      <c r="D1014" s="1" t="str">
        <f>"CK2024103035447"</f>
        <v>CK2024103035447</v>
      </c>
      <c r="E1014" s="1" t="str">
        <f>"3723649852003978240"</f>
        <v>3723649852003978240</v>
      </c>
      <c r="F1014" s="1" t="str">
        <f t="shared" si="314"/>
        <v>花都四部-凤凰仓</v>
      </c>
      <c r="G1014" s="1" t="str">
        <f t="shared" si="310"/>
        <v>卡卡杜企业店（视频号）</v>
      </c>
      <c r="H1014" s="1" t="str">
        <f t="shared" si="315"/>
        <v>正常订单</v>
      </c>
      <c r="I1014" s="1" t="str">
        <f t="shared" si="316"/>
        <v>已发货</v>
      </c>
      <c r="J1014" s="1" t="str">
        <f t="shared" si="328"/>
        <v>2</v>
      </c>
      <c r="K1014" s="1">
        <v>2</v>
      </c>
      <c r="L1014" s="1" t="s">
        <v>18</v>
      </c>
      <c r="M1014" s="1" t="str">
        <f>"广东省 江门市 蓬江区 "</f>
        <v xml:space="preserve">广东省 江门市 蓬江区 </v>
      </c>
      <c r="N1014" s="1" t="str">
        <f t="shared" si="311"/>
        <v>凡华云仓-城南圆通-微信视频号</v>
      </c>
      <c r="O1014" s="5" t="s">
        <v>1051</v>
      </c>
      <c r="P1014" s="6">
        <v>0.17</v>
      </c>
      <c r="Q1014" s="11">
        <v>2</v>
      </c>
      <c r="R1014" s="11"/>
      <c r="S1014" s="11"/>
      <c r="T1014" s="11"/>
      <c r="U1014" s="11">
        <f t="shared" si="318"/>
        <v>2</v>
      </c>
      <c r="W1014">
        <v>2.2000000000000002</v>
      </c>
      <c r="X1014" s="1" t="s">
        <v>18</v>
      </c>
    </row>
    <row r="1015" spans="1:24" x14ac:dyDescent="0.25">
      <c r="A1015" s="1" t="str">
        <f t="shared" si="313"/>
        <v>卡卡杜-凤凰仓</v>
      </c>
      <c r="B1015" s="1" t="str">
        <f>"CK20241030124"</f>
        <v>CK20241030124</v>
      </c>
      <c r="C1015" s="1" t="str">
        <f>"DD2024103035384"</f>
        <v>DD2024103035384</v>
      </c>
      <c r="D1015" s="1" t="str">
        <f>"CK2024103035446"</f>
        <v>CK2024103035446</v>
      </c>
      <c r="E1015" s="1" t="str">
        <f>"3723649851665290240"</f>
        <v>3723649851665290240</v>
      </c>
      <c r="F1015" s="1" t="str">
        <f t="shared" si="314"/>
        <v>花都四部-凤凰仓</v>
      </c>
      <c r="G1015" s="1" t="str">
        <f t="shared" ref="G1015:G1048" si="329">"卡卡杜企业店（视频号）"</f>
        <v>卡卡杜企业店（视频号）</v>
      </c>
      <c r="H1015" s="1" t="str">
        <f t="shared" si="315"/>
        <v>正常订单</v>
      </c>
      <c r="I1015" s="1" t="str">
        <f t="shared" si="316"/>
        <v>已发货</v>
      </c>
      <c r="J1015" s="1" t="str">
        <f t="shared" si="328"/>
        <v>2</v>
      </c>
      <c r="K1015" s="1">
        <v>2</v>
      </c>
      <c r="L1015" s="1" t="s">
        <v>16</v>
      </c>
      <c r="M1015" s="1" t="str">
        <f>"河北省 石家庄市 鹿泉区 "</f>
        <v xml:space="preserve">河北省 石家庄市 鹿泉区 </v>
      </c>
      <c r="N1015" s="1" t="str">
        <f t="shared" si="311"/>
        <v>凡华云仓-城南圆通-微信视频号</v>
      </c>
      <c r="O1015" s="5" t="s">
        <v>1052</v>
      </c>
      <c r="P1015" s="6">
        <v>0.17</v>
      </c>
      <c r="Q1015" s="11">
        <v>2</v>
      </c>
      <c r="R1015" s="11"/>
      <c r="S1015" s="11"/>
      <c r="T1015" s="11"/>
      <c r="U1015" s="11">
        <f t="shared" si="318"/>
        <v>2</v>
      </c>
      <c r="W1015">
        <v>2.2000000000000002</v>
      </c>
      <c r="X1015" s="1" t="s">
        <v>16</v>
      </c>
    </row>
    <row r="1016" spans="1:24" x14ac:dyDescent="0.25">
      <c r="A1016" s="1" t="str">
        <f t="shared" si="313"/>
        <v>卡卡杜-凤凰仓</v>
      </c>
      <c r="B1016" s="1" t="str">
        <f>"CK20241030126"</f>
        <v>CK20241030126</v>
      </c>
      <c r="C1016" s="1" t="str">
        <f>"DD2024103035386"</f>
        <v>DD2024103035386</v>
      </c>
      <c r="D1016" s="1" t="str">
        <f>"CK2024103035445"</f>
        <v>CK2024103035445</v>
      </c>
      <c r="E1016" s="1" t="str">
        <f>"3723649848644338944"</f>
        <v>3723649848644338944</v>
      </c>
      <c r="F1016" s="1" t="str">
        <f t="shared" si="314"/>
        <v>花都四部-凤凰仓</v>
      </c>
      <c r="G1016" s="1" t="str">
        <f t="shared" si="329"/>
        <v>卡卡杜企业店（视频号）</v>
      </c>
      <c r="H1016" s="1" t="str">
        <f t="shared" si="315"/>
        <v>正常订单</v>
      </c>
      <c r="I1016" s="1" t="str">
        <f t="shared" si="316"/>
        <v>已发货</v>
      </c>
      <c r="J1016" s="1" t="str">
        <f t="shared" si="328"/>
        <v>2</v>
      </c>
      <c r="K1016" s="1">
        <v>2</v>
      </c>
      <c r="L1016" s="1" t="s">
        <v>54</v>
      </c>
      <c r="M1016" s="1" t="str">
        <f>"黑龙江省 鸡西市 虎林市 "</f>
        <v xml:space="preserve">黑龙江省 鸡西市 虎林市 </v>
      </c>
      <c r="N1016" s="1" t="str">
        <f t="shared" ref="N1016:N1048" si="330">"凡华云仓-城南圆通-微信视频号"</f>
        <v>凡华云仓-城南圆通-微信视频号</v>
      </c>
      <c r="O1016" s="5" t="s">
        <v>1053</v>
      </c>
      <c r="P1016" s="6">
        <v>0.17</v>
      </c>
      <c r="Q1016" s="11">
        <v>2</v>
      </c>
      <c r="R1016" s="11"/>
      <c r="S1016" s="11"/>
      <c r="T1016" s="11"/>
      <c r="U1016" s="11">
        <f t="shared" si="318"/>
        <v>2</v>
      </c>
      <c r="W1016">
        <v>2.2000000000000002</v>
      </c>
      <c r="X1016" s="1" t="s">
        <v>54</v>
      </c>
    </row>
    <row r="1017" spans="1:24" x14ac:dyDescent="0.25">
      <c r="A1017" s="1" t="str">
        <f t="shared" si="313"/>
        <v>卡卡杜-凤凰仓</v>
      </c>
      <c r="B1017" s="1" t="str">
        <f>"CK2024103016"</f>
        <v>CK2024103016</v>
      </c>
      <c r="C1017" s="1" t="str">
        <f>"DD2024103035267"</f>
        <v>DD2024103035267</v>
      </c>
      <c r="D1017" s="1" t="str">
        <f>"CK2024103035444"</f>
        <v>CK2024103035444</v>
      </c>
      <c r="E1017" s="1" t="str">
        <f>"3723649849091556864"</f>
        <v>3723649849091556864</v>
      </c>
      <c r="F1017" s="1" t="str">
        <f t="shared" si="314"/>
        <v>花都四部-凤凰仓</v>
      </c>
      <c r="G1017" s="1" t="str">
        <f t="shared" si="329"/>
        <v>卡卡杜企业店（视频号）</v>
      </c>
      <c r="H1017" s="1" t="str">
        <f t="shared" si="315"/>
        <v>正常订单</v>
      </c>
      <c r="I1017" s="1" t="str">
        <f t="shared" si="316"/>
        <v>已发货</v>
      </c>
      <c r="J1017" s="1" t="str">
        <f>"3"</f>
        <v>3</v>
      </c>
      <c r="K1017" s="1">
        <v>2</v>
      </c>
      <c r="L1017" s="1" t="s">
        <v>218</v>
      </c>
      <c r="M1017" s="1" t="str">
        <f>"天津 天津市 滨海新区 "</f>
        <v xml:space="preserve">天津 天津市 滨海新区 </v>
      </c>
      <c r="N1017" s="1" t="str">
        <f t="shared" si="330"/>
        <v>凡华云仓-城南圆通-微信视频号</v>
      </c>
      <c r="O1017" s="5" t="s">
        <v>1054</v>
      </c>
      <c r="P1017" s="6">
        <v>0.24</v>
      </c>
      <c r="Q1017" s="11">
        <v>2</v>
      </c>
      <c r="R1017" s="11"/>
      <c r="S1017" s="11"/>
      <c r="T1017" s="11"/>
      <c r="U1017" s="11">
        <f t="shared" si="318"/>
        <v>2</v>
      </c>
      <c r="W1017">
        <v>2.2000000000000002</v>
      </c>
      <c r="X1017" s="1" t="s">
        <v>218</v>
      </c>
    </row>
    <row r="1018" spans="1:24" x14ac:dyDescent="0.25">
      <c r="A1018" s="1" t="str">
        <f t="shared" si="313"/>
        <v>卡卡杜-凤凰仓</v>
      </c>
      <c r="B1018" s="1" t="str">
        <f>"CK20241030130"</f>
        <v>CK20241030130</v>
      </c>
      <c r="C1018" s="1" t="str">
        <f>"DD2024103035390"</f>
        <v>DD2024103035390</v>
      </c>
      <c r="D1018" s="1" t="str">
        <f>"CK2024103035443"</f>
        <v>CK2024103035443</v>
      </c>
      <c r="E1018" s="1" t="str">
        <f>"3723649846666462721"</f>
        <v>3723649846666462721</v>
      </c>
      <c r="F1018" s="1" t="str">
        <f t="shared" si="314"/>
        <v>花都四部-凤凰仓</v>
      </c>
      <c r="G1018" s="1" t="str">
        <f t="shared" si="329"/>
        <v>卡卡杜企业店（视频号）</v>
      </c>
      <c r="H1018" s="1" t="str">
        <f t="shared" si="315"/>
        <v>正常订单</v>
      </c>
      <c r="I1018" s="1" t="str">
        <f t="shared" si="316"/>
        <v>已发货</v>
      </c>
      <c r="J1018" s="1" t="str">
        <f t="shared" ref="J1018:J1022" si="331">"2"</f>
        <v>2</v>
      </c>
      <c r="K1018" s="1">
        <v>2</v>
      </c>
      <c r="L1018" s="1" t="s">
        <v>94</v>
      </c>
      <c r="M1018" s="1" t="str">
        <f>"湖南省 长沙市 雨花区 "</f>
        <v xml:space="preserve">湖南省 长沙市 雨花区 </v>
      </c>
      <c r="N1018" s="1" t="str">
        <f t="shared" si="330"/>
        <v>凡华云仓-城南圆通-微信视频号</v>
      </c>
      <c r="O1018" s="5" t="s">
        <v>1055</v>
      </c>
      <c r="P1018" s="6">
        <v>0.17</v>
      </c>
      <c r="Q1018" s="11">
        <v>2</v>
      </c>
      <c r="R1018" s="11"/>
      <c r="S1018" s="11"/>
      <c r="T1018" s="11"/>
      <c r="U1018" s="11">
        <f t="shared" si="318"/>
        <v>2</v>
      </c>
      <c r="W1018">
        <v>2.2000000000000002</v>
      </c>
      <c r="X1018" s="1" t="s">
        <v>94</v>
      </c>
    </row>
    <row r="1019" spans="1:24" x14ac:dyDescent="0.25">
      <c r="A1019" s="1" t="str">
        <f t="shared" si="313"/>
        <v>卡卡杜-凤凰仓</v>
      </c>
      <c r="B1019" s="1" t="str">
        <f>"CK2024103020"</f>
        <v>CK2024103020</v>
      </c>
      <c r="C1019" s="1" t="str">
        <f>"DD2024103035271"</f>
        <v>DD2024103035271</v>
      </c>
      <c r="D1019" s="1" t="str">
        <f>"CK2024103035442"</f>
        <v>CK2024103035442</v>
      </c>
      <c r="E1019" s="1" t="str">
        <f>"3723649839480833537"</f>
        <v>3723649839480833537</v>
      </c>
      <c r="F1019" s="1" t="str">
        <f t="shared" si="314"/>
        <v>花都四部-凤凰仓</v>
      </c>
      <c r="G1019" s="1" t="str">
        <f t="shared" si="329"/>
        <v>卡卡杜企业店（视频号）</v>
      </c>
      <c r="H1019" s="1" t="str">
        <f t="shared" si="315"/>
        <v>正常订单</v>
      </c>
      <c r="I1019" s="1" t="str">
        <f t="shared" si="316"/>
        <v>已发货</v>
      </c>
      <c r="J1019" s="1" t="str">
        <f t="shared" ref="J1019:J1024" si="332">"3"</f>
        <v>3</v>
      </c>
      <c r="K1019" s="1">
        <v>2</v>
      </c>
      <c r="L1019" s="1" t="s">
        <v>32</v>
      </c>
      <c r="M1019" s="1" t="str">
        <f>"陕西省 西安市 雁塔区 "</f>
        <v xml:space="preserve">陕西省 西安市 雁塔区 </v>
      </c>
      <c r="N1019" s="1" t="str">
        <f t="shared" si="330"/>
        <v>凡华云仓-城南圆通-微信视频号</v>
      </c>
      <c r="O1019" s="5" t="s">
        <v>1056</v>
      </c>
      <c r="P1019" s="6">
        <v>0.24</v>
      </c>
      <c r="Q1019" s="11">
        <v>2</v>
      </c>
      <c r="R1019" s="11"/>
      <c r="S1019" s="11"/>
      <c r="T1019" s="11"/>
      <c r="U1019" s="11">
        <f t="shared" si="318"/>
        <v>2</v>
      </c>
      <c r="W1019">
        <v>2.2000000000000002</v>
      </c>
      <c r="X1019" s="1" t="s">
        <v>32</v>
      </c>
    </row>
    <row r="1020" spans="1:24" x14ac:dyDescent="0.25">
      <c r="A1020" s="1" t="str">
        <f t="shared" si="313"/>
        <v>卡卡杜-凤凰仓</v>
      </c>
      <c r="B1020" s="1" t="str">
        <f>"CK20241030125"</f>
        <v>CK20241030125</v>
      </c>
      <c r="C1020" s="1" t="str">
        <f>"DD2024103035385"</f>
        <v>DD2024103035385</v>
      </c>
      <c r="D1020" s="1" t="str">
        <f>"CK2024103035441"</f>
        <v>CK2024103035441</v>
      </c>
      <c r="E1020" s="1" t="str">
        <f>"3723649848649583617"</f>
        <v>3723649848649583617</v>
      </c>
      <c r="F1020" s="1" t="str">
        <f t="shared" si="314"/>
        <v>花都四部-凤凰仓</v>
      </c>
      <c r="G1020" s="1" t="str">
        <f t="shared" si="329"/>
        <v>卡卡杜企业店（视频号）</v>
      </c>
      <c r="H1020" s="1" t="str">
        <f t="shared" si="315"/>
        <v>正常订单</v>
      </c>
      <c r="I1020" s="1" t="str">
        <f t="shared" si="316"/>
        <v>已发货</v>
      </c>
      <c r="J1020" s="1" t="str">
        <f t="shared" si="331"/>
        <v>2</v>
      </c>
      <c r="K1020" s="1">
        <v>2</v>
      </c>
      <c r="L1020" s="1" t="s">
        <v>218</v>
      </c>
      <c r="M1020" s="1" t="str">
        <f>"天津 天津市 南开区 "</f>
        <v xml:space="preserve">天津 天津市 南开区 </v>
      </c>
      <c r="N1020" s="1" t="str">
        <f t="shared" si="330"/>
        <v>凡华云仓-城南圆通-微信视频号</v>
      </c>
      <c r="O1020" s="5" t="s">
        <v>1057</v>
      </c>
      <c r="P1020" s="6">
        <v>0.17</v>
      </c>
      <c r="Q1020" s="11">
        <v>2</v>
      </c>
      <c r="R1020" s="11"/>
      <c r="S1020" s="11"/>
      <c r="T1020" s="11"/>
      <c r="U1020" s="11">
        <f t="shared" si="318"/>
        <v>2</v>
      </c>
      <c r="W1020">
        <v>2.2000000000000002</v>
      </c>
      <c r="X1020" s="1" t="s">
        <v>218</v>
      </c>
    </row>
    <row r="1021" spans="1:24" x14ac:dyDescent="0.25">
      <c r="A1021" s="1" t="str">
        <f t="shared" si="313"/>
        <v>卡卡杜-凤凰仓</v>
      </c>
      <c r="B1021" s="1" t="str">
        <f>"CK20241030127"</f>
        <v>CK20241030127</v>
      </c>
      <c r="C1021" s="1" t="str">
        <f>"DD2024103035388"</f>
        <v>DD2024103035388</v>
      </c>
      <c r="D1021" s="1" t="str">
        <f>"CK2024103035440"</f>
        <v>CK2024103035440</v>
      </c>
      <c r="E1021" s="1" t="str">
        <f>"3723649848849600512"</f>
        <v>3723649848849600512</v>
      </c>
      <c r="F1021" s="1" t="str">
        <f t="shared" si="314"/>
        <v>花都四部-凤凰仓</v>
      </c>
      <c r="G1021" s="1" t="str">
        <f t="shared" si="329"/>
        <v>卡卡杜企业店（视频号）</v>
      </c>
      <c r="H1021" s="1" t="str">
        <f t="shared" si="315"/>
        <v>正常订单</v>
      </c>
      <c r="I1021" s="1" t="str">
        <f t="shared" si="316"/>
        <v>已发货</v>
      </c>
      <c r="J1021" s="1" t="str">
        <f t="shared" si="331"/>
        <v>2</v>
      </c>
      <c r="K1021" s="1">
        <v>2</v>
      </c>
      <c r="L1021" s="1" t="s">
        <v>105</v>
      </c>
      <c r="M1021" s="1" t="str">
        <f>"北京 北京市 怀柔区 "</f>
        <v xml:space="preserve">北京 北京市 怀柔区 </v>
      </c>
      <c r="N1021" s="1" t="str">
        <f t="shared" si="330"/>
        <v>凡华云仓-城南圆通-微信视频号</v>
      </c>
      <c r="O1021" s="5" t="s">
        <v>1058</v>
      </c>
      <c r="P1021" s="6">
        <v>0.17</v>
      </c>
      <c r="Q1021" s="11">
        <v>2</v>
      </c>
      <c r="R1021" s="11"/>
      <c r="S1021" s="11"/>
      <c r="T1021" s="11"/>
      <c r="U1021" s="11">
        <f t="shared" si="318"/>
        <v>2</v>
      </c>
      <c r="W1021">
        <v>2.2000000000000002</v>
      </c>
      <c r="X1021" s="1" t="s">
        <v>105</v>
      </c>
    </row>
    <row r="1022" spans="1:24" x14ac:dyDescent="0.25">
      <c r="A1022" s="1" t="str">
        <f t="shared" si="313"/>
        <v>卡卡杜-凤凰仓</v>
      </c>
      <c r="B1022" s="1" t="str">
        <f>"CK20241030129"</f>
        <v>CK20241030129</v>
      </c>
      <c r="C1022" s="1" t="str">
        <f>"DD2024103035389"</f>
        <v>DD2024103035389</v>
      </c>
      <c r="D1022" s="1" t="str">
        <f>"CK2024103035439"</f>
        <v>CK2024103035439</v>
      </c>
      <c r="E1022" s="1" t="str">
        <f>"3723649842365729792"</f>
        <v>3723649842365729792</v>
      </c>
      <c r="F1022" s="1" t="str">
        <f t="shared" si="314"/>
        <v>花都四部-凤凰仓</v>
      </c>
      <c r="G1022" s="1" t="str">
        <f t="shared" si="329"/>
        <v>卡卡杜企业店（视频号）</v>
      </c>
      <c r="H1022" s="1" t="str">
        <f t="shared" si="315"/>
        <v>正常订单</v>
      </c>
      <c r="I1022" s="1" t="str">
        <f t="shared" si="316"/>
        <v>已发货</v>
      </c>
      <c r="J1022" s="1" t="str">
        <f t="shared" si="331"/>
        <v>2</v>
      </c>
      <c r="K1022" s="1">
        <v>2</v>
      </c>
      <c r="L1022" s="1" t="s">
        <v>94</v>
      </c>
      <c r="M1022" s="1" t="str">
        <f>"湖南省 郴州市 北湖区 "</f>
        <v xml:space="preserve">湖南省 郴州市 北湖区 </v>
      </c>
      <c r="N1022" s="1" t="str">
        <f t="shared" si="330"/>
        <v>凡华云仓-城南圆通-微信视频号</v>
      </c>
      <c r="O1022" s="5" t="s">
        <v>1059</v>
      </c>
      <c r="P1022" s="6">
        <v>0.17</v>
      </c>
      <c r="Q1022" s="11">
        <v>2</v>
      </c>
      <c r="R1022" s="11"/>
      <c r="S1022" s="11"/>
      <c r="T1022" s="11"/>
      <c r="U1022" s="11">
        <f t="shared" si="318"/>
        <v>2</v>
      </c>
      <c r="W1022">
        <v>2.2000000000000002</v>
      </c>
      <c r="X1022" s="1" t="s">
        <v>94</v>
      </c>
    </row>
    <row r="1023" spans="1:24" x14ac:dyDescent="0.25">
      <c r="A1023" s="1" t="str">
        <f t="shared" si="313"/>
        <v>卡卡杜-凤凰仓</v>
      </c>
      <c r="B1023" s="1" t="str">
        <f>"CK2024103017"</f>
        <v>CK2024103017</v>
      </c>
      <c r="C1023" s="1" t="str">
        <f>"DD2024103035268"</f>
        <v>DD2024103035268</v>
      </c>
      <c r="D1023" s="1" t="str">
        <f>"CK2024103035438"</f>
        <v>CK2024103035438</v>
      </c>
      <c r="E1023" s="1" t="str">
        <f>"3723649845437010944"</f>
        <v>3723649845437010944</v>
      </c>
      <c r="F1023" s="1" t="str">
        <f t="shared" si="314"/>
        <v>花都四部-凤凰仓</v>
      </c>
      <c r="G1023" s="1" t="str">
        <f t="shared" si="329"/>
        <v>卡卡杜企业店（视频号）</v>
      </c>
      <c r="H1023" s="1" t="str">
        <f t="shared" si="315"/>
        <v>正常订单</v>
      </c>
      <c r="I1023" s="1" t="str">
        <f t="shared" si="316"/>
        <v>已发货</v>
      </c>
      <c r="J1023" s="1" t="str">
        <f t="shared" si="332"/>
        <v>3</v>
      </c>
      <c r="K1023" s="1">
        <v>2</v>
      </c>
      <c r="L1023" s="1" t="s">
        <v>105</v>
      </c>
      <c r="M1023" s="1" t="str">
        <f>"北京 北京市 丰台区 "</f>
        <v xml:space="preserve">北京 北京市 丰台区 </v>
      </c>
      <c r="N1023" s="1" t="str">
        <f t="shared" si="330"/>
        <v>凡华云仓-城南圆通-微信视频号</v>
      </c>
      <c r="O1023" s="5" t="s">
        <v>1060</v>
      </c>
      <c r="P1023" s="6">
        <v>0.24</v>
      </c>
      <c r="Q1023" s="11">
        <v>2</v>
      </c>
      <c r="R1023" s="11"/>
      <c r="S1023" s="11"/>
      <c r="T1023" s="11"/>
      <c r="U1023" s="11">
        <f t="shared" si="318"/>
        <v>2</v>
      </c>
      <c r="W1023">
        <v>2.2000000000000002</v>
      </c>
      <c r="X1023" s="1" t="s">
        <v>105</v>
      </c>
    </row>
    <row r="1024" spans="1:24" x14ac:dyDescent="0.25">
      <c r="A1024" s="1" t="str">
        <f t="shared" si="313"/>
        <v>卡卡杜-凤凰仓</v>
      </c>
      <c r="B1024" s="1" t="str">
        <f>"CK2024103036"</f>
        <v>CK2024103036</v>
      </c>
      <c r="C1024" s="1" t="str">
        <f>"DD2024103035287"</f>
        <v>DD2024103035287</v>
      </c>
      <c r="D1024" s="1" t="str">
        <f>"CK2024103035437"</f>
        <v>CK2024103035437</v>
      </c>
      <c r="E1024" s="1" t="str">
        <f>"3723649842948476928"</f>
        <v>3723649842948476928</v>
      </c>
      <c r="F1024" s="1" t="str">
        <f t="shared" si="314"/>
        <v>花都四部-凤凰仓</v>
      </c>
      <c r="G1024" s="1" t="str">
        <f t="shared" si="329"/>
        <v>卡卡杜企业店（视频号）</v>
      </c>
      <c r="H1024" s="1" t="str">
        <f t="shared" si="315"/>
        <v>正常订单</v>
      </c>
      <c r="I1024" s="1" t="str">
        <f t="shared" si="316"/>
        <v>已发货</v>
      </c>
      <c r="J1024" s="1" t="str">
        <f t="shared" si="332"/>
        <v>3</v>
      </c>
      <c r="K1024" s="1">
        <v>2</v>
      </c>
      <c r="L1024" s="1" t="s">
        <v>105</v>
      </c>
      <c r="M1024" s="1" t="str">
        <f>"北京 北京市 朝阳区 "</f>
        <v xml:space="preserve">北京 北京市 朝阳区 </v>
      </c>
      <c r="N1024" s="1" t="str">
        <f t="shared" si="330"/>
        <v>凡华云仓-城南圆通-微信视频号</v>
      </c>
      <c r="O1024" s="5" t="s">
        <v>1061</v>
      </c>
      <c r="P1024" s="6">
        <v>0.24</v>
      </c>
      <c r="Q1024" s="11">
        <v>2</v>
      </c>
      <c r="R1024" s="11"/>
      <c r="S1024" s="11"/>
      <c r="T1024" s="11"/>
      <c r="U1024" s="11">
        <f t="shared" si="318"/>
        <v>2</v>
      </c>
      <c r="W1024">
        <v>2.2000000000000002</v>
      </c>
      <c r="X1024" s="1" t="s">
        <v>105</v>
      </c>
    </row>
    <row r="1025" spans="1:24" x14ac:dyDescent="0.25">
      <c r="A1025" s="1" t="str">
        <f t="shared" si="313"/>
        <v>卡卡杜-凤凰仓</v>
      </c>
      <c r="B1025" s="1" t="str">
        <f>"CK20241030128"</f>
        <v>CK20241030128</v>
      </c>
      <c r="C1025" s="1" t="str">
        <f>"DD2024103035387"</f>
        <v>DD2024103035387</v>
      </c>
      <c r="D1025" s="1" t="str">
        <f>"CK2024103035436"</f>
        <v>CK2024103035436</v>
      </c>
      <c r="E1025" s="1" t="str">
        <f>"3723649847628794880"</f>
        <v>3723649847628794880</v>
      </c>
      <c r="F1025" s="1" t="str">
        <f t="shared" si="314"/>
        <v>花都四部-凤凰仓</v>
      </c>
      <c r="G1025" s="1" t="str">
        <f t="shared" si="329"/>
        <v>卡卡杜企业店（视频号）</v>
      </c>
      <c r="H1025" s="1" t="str">
        <f t="shared" si="315"/>
        <v>正常订单</v>
      </c>
      <c r="I1025" s="1" t="str">
        <f t="shared" si="316"/>
        <v>已发货</v>
      </c>
      <c r="J1025" s="1" t="str">
        <f>"2"</f>
        <v>2</v>
      </c>
      <c r="K1025" s="1">
        <v>2</v>
      </c>
      <c r="L1025" s="1" t="s">
        <v>13</v>
      </c>
      <c r="M1025" s="1" t="str">
        <f>"江苏省 无锡市 锡山区 "</f>
        <v xml:space="preserve">江苏省 无锡市 锡山区 </v>
      </c>
      <c r="N1025" s="1" t="str">
        <f t="shared" si="330"/>
        <v>凡华云仓-城南圆通-微信视频号</v>
      </c>
      <c r="O1025" s="5" t="s">
        <v>1062</v>
      </c>
      <c r="P1025" s="6">
        <v>0.17</v>
      </c>
      <c r="Q1025" s="11">
        <v>2</v>
      </c>
      <c r="R1025" s="11"/>
      <c r="S1025" s="11"/>
      <c r="T1025" s="11"/>
      <c r="U1025" s="11">
        <f t="shared" si="318"/>
        <v>2</v>
      </c>
      <c r="W1025">
        <v>2.2000000000000002</v>
      </c>
      <c r="X1025" s="1" t="s">
        <v>13</v>
      </c>
    </row>
    <row r="1026" spans="1:24" x14ac:dyDescent="0.25">
      <c r="A1026" s="1" t="str">
        <f t="shared" ref="A1026:A1089" si="333">"卡卡杜-凤凰仓"</f>
        <v>卡卡杜-凤凰仓</v>
      </c>
      <c r="B1026" s="1" t="str">
        <f>"CK2024103018"</f>
        <v>CK2024103018</v>
      </c>
      <c r="C1026" s="1" t="str">
        <f>"DD2024103035270"</f>
        <v>DD2024103035270</v>
      </c>
      <c r="D1026" s="1" t="str">
        <f>"CK2024103035435"</f>
        <v>CK2024103035435</v>
      </c>
      <c r="E1026" s="1" t="str">
        <f>"3723649844503778304"</f>
        <v>3723649844503778304</v>
      </c>
      <c r="F1026" s="1" t="str">
        <f t="shared" ref="F1026:F1089" si="334">"花都四部-凤凰仓"</f>
        <v>花都四部-凤凰仓</v>
      </c>
      <c r="G1026" s="1" t="str">
        <f t="shared" si="329"/>
        <v>卡卡杜企业店（视频号）</v>
      </c>
      <c r="H1026" s="1" t="str">
        <f t="shared" ref="H1026:H1089" si="335">"正常订单"</f>
        <v>正常订单</v>
      </c>
      <c r="I1026" s="1" t="str">
        <f t="shared" ref="I1026:I1089" si="336">"已发货"</f>
        <v>已发货</v>
      </c>
      <c r="J1026" s="1" t="str">
        <f t="shared" ref="J1026:J1030" si="337">"3"</f>
        <v>3</v>
      </c>
      <c r="K1026" s="1">
        <v>2</v>
      </c>
      <c r="L1026" s="1" t="s">
        <v>13</v>
      </c>
      <c r="M1026" s="1" t="str">
        <f>"江苏省 南京市 建邺区 "</f>
        <v xml:space="preserve">江苏省 南京市 建邺区 </v>
      </c>
      <c r="N1026" s="1" t="str">
        <f t="shared" si="330"/>
        <v>凡华云仓-城南圆通-微信视频号</v>
      </c>
      <c r="O1026" s="5" t="s">
        <v>1063</v>
      </c>
      <c r="P1026" s="6">
        <v>0.24</v>
      </c>
      <c r="Q1026" s="11">
        <v>2</v>
      </c>
      <c r="R1026" s="11"/>
      <c r="S1026" s="11"/>
      <c r="T1026" s="11"/>
      <c r="U1026" s="11">
        <f t="shared" si="318"/>
        <v>2</v>
      </c>
      <c r="W1026">
        <v>2.2000000000000002</v>
      </c>
      <c r="X1026" s="1" t="s">
        <v>13</v>
      </c>
    </row>
    <row r="1027" spans="1:24" x14ac:dyDescent="0.25">
      <c r="A1027" s="1" t="str">
        <f t="shared" si="333"/>
        <v>卡卡杜-凤凰仓</v>
      </c>
      <c r="B1027" s="1" t="str">
        <f>"CK20241030131"</f>
        <v>CK20241030131</v>
      </c>
      <c r="C1027" s="1" t="str">
        <f>"DD2024103035391"</f>
        <v>DD2024103035391</v>
      </c>
      <c r="D1027" s="1" t="str">
        <f>"CK2024103035434"</f>
        <v>CK2024103035434</v>
      </c>
      <c r="E1027" s="1" t="str">
        <f>"3723649842099917824"</f>
        <v>3723649842099917824</v>
      </c>
      <c r="F1027" s="1" t="str">
        <f t="shared" si="334"/>
        <v>花都四部-凤凰仓</v>
      </c>
      <c r="G1027" s="1" t="str">
        <f t="shared" si="329"/>
        <v>卡卡杜企业店（视频号）</v>
      </c>
      <c r="H1027" s="1" t="str">
        <f t="shared" si="335"/>
        <v>正常订单</v>
      </c>
      <c r="I1027" s="1" t="str">
        <f t="shared" si="336"/>
        <v>已发货</v>
      </c>
      <c r="J1027" s="1" t="str">
        <f t="shared" ref="J1027:J1034" si="338">"2"</f>
        <v>2</v>
      </c>
      <c r="K1027" s="1">
        <v>2</v>
      </c>
      <c r="L1027" s="1" t="s">
        <v>32</v>
      </c>
      <c r="M1027" s="1" t="str">
        <f>"陕西省 西安市 阎良区 "</f>
        <v xml:space="preserve">陕西省 西安市 阎良区 </v>
      </c>
      <c r="N1027" s="1" t="str">
        <f t="shared" si="330"/>
        <v>凡华云仓-城南圆通-微信视频号</v>
      </c>
      <c r="O1027" s="5" t="s">
        <v>1064</v>
      </c>
      <c r="P1027" s="6">
        <v>0.17</v>
      </c>
      <c r="Q1027" s="11">
        <v>2</v>
      </c>
      <c r="R1027" s="11"/>
      <c r="S1027" s="11"/>
      <c r="T1027" s="11"/>
      <c r="U1027" s="11">
        <f t="shared" ref="U1027:U1090" si="339">T1027+S1027+R1027+Q1027</f>
        <v>2</v>
      </c>
      <c r="W1027">
        <v>2.2000000000000002</v>
      </c>
      <c r="X1027" s="1" t="s">
        <v>32</v>
      </c>
    </row>
    <row r="1028" spans="1:24" x14ac:dyDescent="0.25">
      <c r="A1028" s="1" t="str">
        <f t="shared" si="333"/>
        <v>卡卡杜-凤凰仓</v>
      </c>
      <c r="B1028" s="1" t="str">
        <f>"CK2024103041"</f>
        <v>CK2024103041</v>
      </c>
      <c r="C1028" s="1" t="str">
        <f>"DD2024103035292"</f>
        <v>DD2024103035292</v>
      </c>
      <c r="D1028" s="1" t="str">
        <f>"CK2024103035433"</f>
        <v>CK2024103035433</v>
      </c>
      <c r="E1028" s="1" t="str">
        <f>"3723649843414830080"</f>
        <v>3723649843414830080</v>
      </c>
      <c r="F1028" s="1" t="str">
        <f t="shared" si="334"/>
        <v>花都四部-凤凰仓</v>
      </c>
      <c r="G1028" s="1" t="str">
        <f t="shared" si="329"/>
        <v>卡卡杜企业店（视频号）</v>
      </c>
      <c r="H1028" s="1" t="str">
        <f t="shared" si="335"/>
        <v>正常订单</v>
      </c>
      <c r="I1028" s="1" t="str">
        <f t="shared" si="336"/>
        <v>已发货</v>
      </c>
      <c r="J1028" s="1" t="str">
        <f t="shared" si="337"/>
        <v>3</v>
      </c>
      <c r="K1028" s="1">
        <v>2</v>
      </c>
      <c r="L1028" s="1" t="s">
        <v>47</v>
      </c>
      <c r="M1028" s="1" t="str">
        <f>"重庆 重庆市 北碚区 "</f>
        <v xml:space="preserve">重庆 重庆市 北碚区 </v>
      </c>
      <c r="N1028" s="1" t="str">
        <f t="shared" si="330"/>
        <v>凡华云仓-城南圆通-微信视频号</v>
      </c>
      <c r="O1028" s="5" t="s">
        <v>1065</v>
      </c>
      <c r="P1028" s="6">
        <v>0.24</v>
      </c>
      <c r="Q1028" s="11">
        <v>2</v>
      </c>
      <c r="R1028" s="11"/>
      <c r="S1028" s="11"/>
      <c r="T1028" s="11"/>
      <c r="U1028" s="11">
        <f t="shared" si="339"/>
        <v>2</v>
      </c>
      <c r="W1028">
        <v>2.2000000000000002</v>
      </c>
      <c r="X1028" s="1" t="s">
        <v>47</v>
      </c>
    </row>
    <row r="1029" spans="1:24" x14ac:dyDescent="0.25">
      <c r="A1029" s="1" t="str">
        <f t="shared" si="333"/>
        <v>卡卡杜-凤凰仓</v>
      </c>
      <c r="B1029" s="1" t="str">
        <f>"CK2024103011"</f>
        <v>CK2024103011</v>
      </c>
      <c r="C1029" s="1" t="str">
        <f>"DD2024103035262"</f>
        <v>DD2024103035262</v>
      </c>
      <c r="D1029" s="1" t="str">
        <f>"CK2024103035432"</f>
        <v>CK2024103035432</v>
      </c>
      <c r="E1029" s="1" t="str">
        <f>"3723649843872007424"</f>
        <v>3723649843872007424</v>
      </c>
      <c r="F1029" s="1" t="str">
        <f t="shared" si="334"/>
        <v>花都四部-凤凰仓</v>
      </c>
      <c r="G1029" s="1" t="str">
        <f t="shared" si="329"/>
        <v>卡卡杜企业店（视频号）</v>
      </c>
      <c r="H1029" s="1" t="str">
        <f t="shared" si="335"/>
        <v>正常订单</v>
      </c>
      <c r="I1029" s="1" t="str">
        <f t="shared" si="336"/>
        <v>已发货</v>
      </c>
      <c r="J1029" s="1" t="str">
        <f t="shared" si="337"/>
        <v>3</v>
      </c>
      <c r="K1029" s="1">
        <v>2</v>
      </c>
      <c r="L1029" s="1" t="s">
        <v>32</v>
      </c>
      <c r="M1029" s="1" t="str">
        <f>"陕西省 延安市 宝塔区 "</f>
        <v xml:space="preserve">陕西省 延安市 宝塔区 </v>
      </c>
      <c r="N1029" s="1" t="str">
        <f t="shared" si="330"/>
        <v>凡华云仓-城南圆通-微信视频号</v>
      </c>
      <c r="O1029" s="5" t="s">
        <v>1066</v>
      </c>
      <c r="P1029" s="6">
        <v>0.24</v>
      </c>
      <c r="Q1029" s="11">
        <v>2</v>
      </c>
      <c r="R1029" s="11"/>
      <c r="S1029" s="11"/>
      <c r="T1029" s="11"/>
      <c r="U1029" s="11">
        <f t="shared" si="339"/>
        <v>2</v>
      </c>
      <c r="W1029">
        <v>2.2000000000000002</v>
      </c>
      <c r="X1029" s="1" t="s">
        <v>32</v>
      </c>
    </row>
    <row r="1030" spans="1:24" x14ac:dyDescent="0.25">
      <c r="A1030" s="1" t="str">
        <f t="shared" si="333"/>
        <v>卡卡杜-凤凰仓</v>
      </c>
      <c r="B1030" s="1" t="str">
        <f>"CK2024103013"</f>
        <v>CK2024103013</v>
      </c>
      <c r="C1030" s="1" t="str">
        <f>"DD2024103035263"</f>
        <v>DD2024103035263</v>
      </c>
      <c r="D1030" s="1" t="str">
        <f>"CK2024103035431"</f>
        <v>CK2024103035431</v>
      </c>
      <c r="E1030" s="1" t="str">
        <f>"3723649843349031936"</f>
        <v>3723649843349031936</v>
      </c>
      <c r="F1030" s="1" t="str">
        <f t="shared" si="334"/>
        <v>花都四部-凤凰仓</v>
      </c>
      <c r="G1030" s="1" t="str">
        <f t="shared" si="329"/>
        <v>卡卡杜企业店（视频号）</v>
      </c>
      <c r="H1030" s="1" t="str">
        <f t="shared" si="335"/>
        <v>正常订单</v>
      </c>
      <c r="I1030" s="1" t="str">
        <f t="shared" si="336"/>
        <v>已发货</v>
      </c>
      <c r="J1030" s="1" t="str">
        <f t="shared" si="337"/>
        <v>3</v>
      </c>
      <c r="K1030" s="1">
        <v>2</v>
      </c>
      <c r="L1030" s="1" t="s">
        <v>105</v>
      </c>
      <c r="M1030" s="1" t="str">
        <f>"北京 北京市 丰台区 "</f>
        <v xml:space="preserve">北京 北京市 丰台区 </v>
      </c>
      <c r="N1030" s="1" t="str">
        <f t="shared" si="330"/>
        <v>凡华云仓-城南圆通-微信视频号</v>
      </c>
      <c r="O1030" s="5" t="s">
        <v>1067</v>
      </c>
      <c r="P1030" s="6">
        <v>0.24</v>
      </c>
      <c r="Q1030" s="11">
        <v>2</v>
      </c>
      <c r="R1030" s="11"/>
      <c r="S1030" s="11"/>
      <c r="T1030" s="11"/>
      <c r="U1030" s="11">
        <f t="shared" si="339"/>
        <v>2</v>
      </c>
      <c r="W1030">
        <v>2.2000000000000002</v>
      </c>
      <c r="X1030" s="1" t="s">
        <v>105</v>
      </c>
    </row>
    <row r="1031" spans="1:24" x14ac:dyDescent="0.25">
      <c r="A1031" s="1" t="str">
        <f t="shared" si="333"/>
        <v>卡卡杜-凤凰仓</v>
      </c>
      <c r="B1031" s="1" t="str">
        <f>"CK20241030132"</f>
        <v>CK20241030132</v>
      </c>
      <c r="C1031" s="1" t="str">
        <f>"DD2024103035392"</f>
        <v>DD2024103035392</v>
      </c>
      <c r="D1031" s="1" t="str">
        <f>"CK2024103035430"</f>
        <v>CK2024103035430</v>
      </c>
      <c r="E1031" s="1" t="str">
        <f>"3723649841906455552"</f>
        <v>3723649841906455552</v>
      </c>
      <c r="F1031" s="1" t="str">
        <f t="shared" si="334"/>
        <v>花都四部-凤凰仓</v>
      </c>
      <c r="G1031" s="1" t="str">
        <f t="shared" si="329"/>
        <v>卡卡杜企业店（视频号）</v>
      </c>
      <c r="H1031" s="1" t="str">
        <f t="shared" si="335"/>
        <v>正常订单</v>
      </c>
      <c r="I1031" s="1" t="str">
        <f t="shared" si="336"/>
        <v>已发货</v>
      </c>
      <c r="J1031" s="1" t="str">
        <f t="shared" si="338"/>
        <v>2</v>
      </c>
      <c r="K1031" s="1">
        <v>2</v>
      </c>
      <c r="L1031" s="1" t="s">
        <v>13</v>
      </c>
      <c r="M1031" s="1" t="str">
        <f>"江苏省 南京市 秦淮区 "</f>
        <v xml:space="preserve">江苏省 南京市 秦淮区 </v>
      </c>
      <c r="N1031" s="1" t="str">
        <f t="shared" si="330"/>
        <v>凡华云仓-城南圆通-微信视频号</v>
      </c>
      <c r="O1031" s="5" t="s">
        <v>1068</v>
      </c>
      <c r="P1031" s="6">
        <v>0.17</v>
      </c>
      <c r="Q1031" s="11">
        <v>2</v>
      </c>
      <c r="R1031" s="11"/>
      <c r="S1031" s="11"/>
      <c r="T1031" s="11"/>
      <c r="U1031" s="11">
        <f t="shared" si="339"/>
        <v>2</v>
      </c>
      <c r="W1031">
        <v>2.2000000000000002</v>
      </c>
      <c r="X1031" s="1" t="s">
        <v>13</v>
      </c>
    </row>
    <row r="1032" spans="1:24" x14ac:dyDescent="0.25">
      <c r="A1032" s="1" t="str">
        <f t="shared" si="333"/>
        <v>卡卡杜-凤凰仓</v>
      </c>
      <c r="B1032" s="1" t="str">
        <f>"CK20241030133"</f>
        <v>CK20241030133</v>
      </c>
      <c r="C1032" s="1" t="str">
        <f>"DD2024103035393"</f>
        <v>DD2024103035393</v>
      </c>
      <c r="D1032" s="1" t="str">
        <f>"CK2024103035429"</f>
        <v>CK2024103035429</v>
      </c>
      <c r="E1032" s="1" t="str">
        <f>"3723649842006594560"</f>
        <v>3723649842006594560</v>
      </c>
      <c r="F1032" s="1" t="str">
        <f t="shared" si="334"/>
        <v>花都四部-凤凰仓</v>
      </c>
      <c r="G1032" s="1" t="str">
        <f t="shared" si="329"/>
        <v>卡卡杜企业店（视频号）</v>
      </c>
      <c r="H1032" s="1" t="str">
        <f t="shared" si="335"/>
        <v>正常订单</v>
      </c>
      <c r="I1032" s="1" t="str">
        <f t="shared" si="336"/>
        <v>已发货</v>
      </c>
      <c r="J1032" s="1" t="str">
        <f t="shared" si="338"/>
        <v>2</v>
      </c>
      <c r="K1032" s="1">
        <v>2</v>
      </c>
      <c r="L1032" s="1" t="s">
        <v>74</v>
      </c>
      <c r="M1032" s="1" t="str">
        <f>"上海 上海市 浦东新区 "</f>
        <v xml:space="preserve">上海 上海市 浦东新区 </v>
      </c>
      <c r="N1032" s="1" t="str">
        <f t="shared" si="330"/>
        <v>凡华云仓-城南圆通-微信视频号</v>
      </c>
      <c r="O1032" s="5" t="s">
        <v>1069</v>
      </c>
      <c r="P1032" s="6">
        <v>0.17</v>
      </c>
      <c r="Q1032" s="11">
        <v>2</v>
      </c>
      <c r="R1032" s="11"/>
      <c r="S1032" s="11"/>
      <c r="T1032" s="11"/>
      <c r="U1032" s="11">
        <f t="shared" si="339"/>
        <v>2</v>
      </c>
      <c r="W1032">
        <v>2.2000000000000002</v>
      </c>
      <c r="X1032" s="1" t="s">
        <v>74</v>
      </c>
    </row>
    <row r="1033" spans="1:24" x14ac:dyDescent="0.25">
      <c r="A1033" s="1" t="str">
        <f t="shared" si="333"/>
        <v>卡卡杜-凤凰仓</v>
      </c>
      <c r="B1033" s="1" t="str">
        <f>"CK20241030134"</f>
        <v>CK20241030134</v>
      </c>
      <c r="C1033" s="1" t="str">
        <f>"DD2024103035395"</f>
        <v>DD2024103035395</v>
      </c>
      <c r="D1033" s="1" t="str">
        <f>"CK2024103035428"</f>
        <v>CK2024103035428</v>
      </c>
      <c r="E1033" s="1" t="str">
        <f>"3723649841406283776"</f>
        <v>3723649841406283776</v>
      </c>
      <c r="F1033" s="1" t="str">
        <f t="shared" si="334"/>
        <v>花都四部-凤凰仓</v>
      </c>
      <c r="G1033" s="1" t="str">
        <f t="shared" si="329"/>
        <v>卡卡杜企业店（视频号）</v>
      </c>
      <c r="H1033" s="1" t="str">
        <f t="shared" si="335"/>
        <v>正常订单</v>
      </c>
      <c r="I1033" s="1" t="str">
        <f t="shared" si="336"/>
        <v>已发货</v>
      </c>
      <c r="J1033" s="1" t="str">
        <f t="shared" si="338"/>
        <v>2</v>
      </c>
      <c r="K1033" s="1">
        <v>2</v>
      </c>
      <c r="L1033" s="1" t="s">
        <v>74</v>
      </c>
      <c r="M1033" s="1" t="str">
        <f>"上海 上海市 长宁区 "</f>
        <v xml:space="preserve">上海 上海市 长宁区 </v>
      </c>
      <c r="N1033" s="1" t="str">
        <f t="shared" si="330"/>
        <v>凡华云仓-城南圆通-微信视频号</v>
      </c>
      <c r="O1033" s="5" t="s">
        <v>1070</v>
      </c>
      <c r="P1033" s="6">
        <v>0.17</v>
      </c>
      <c r="Q1033" s="11">
        <v>2</v>
      </c>
      <c r="R1033" s="11"/>
      <c r="S1033" s="11"/>
      <c r="T1033" s="11"/>
      <c r="U1033" s="11">
        <f t="shared" si="339"/>
        <v>2</v>
      </c>
      <c r="W1033">
        <v>2.2000000000000002</v>
      </c>
      <c r="X1033" s="1" t="s">
        <v>74</v>
      </c>
    </row>
    <row r="1034" spans="1:24" x14ac:dyDescent="0.25">
      <c r="A1034" s="1" t="str">
        <f t="shared" si="333"/>
        <v>卡卡杜-凤凰仓</v>
      </c>
      <c r="B1034" s="1" t="str">
        <f>"CK20241030137"</f>
        <v>CK20241030137</v>
      </c>
      <c r="C1034" s="1" t="str">
        <f>"DD2024103035397"</f>
        <v>DD2024103035397</v>
      </c>
      <c r="D1034" s="1" t="str">
        <f>"CK2024103035427"</f>
        <v>CK2024103035427</v>
      </c>
      <c r="E1034" s="1" t="str">
        <f>"3723649839617675264"</f>
        <v>3723649839617675264</v>
      </c>
      <c r="F1034" s="1" t="str">
        <f t="shared" si="334"/>
        <v>花都四部-凤凰仓</v>
      </c>
      <c r="G1034" s="1" t="str">
        <f t="shared" si="329"/>
        <v>卡卡杜企业店（视频号）</v>
      </c>
      <c r="H1034" s="1" t="str">
        <f t="shared" si="335"/>
        <v>正常订单</v>
      </c>
      <c r="I1034" s="1" t="str">
        <f t="shared" si="336"/>
        <v>已发货</v>
      </c>
      <c r="J1034" s="1" t="str">
        <f t="shared" si="338"/>
        <v>2</v>
      </c>
      <c r="K1034" s="1">
        <v>2</v>
      </c>
      <c r="L1034" s="1" t="s">
        <v>30</v>
      </c>
      <c r="M1034" s="1" t="str">
        <f>"山东省 济南市 天桥区 "</f>
        <v xml:space="preserve">山东省 济南市 天桥区 </v>
      </c>
      <c r="N1034" s="1" t="str">
        <f t="shared" si="330"/>
        <v>凡华云仓-城南圆通-微信视频号</v>
      </c>
      <c r="O1034" s="5" t="s">
        <v>1071</v>
      </c>
      <c r="P1034" s="6">
        <v>0.17</v>
      </c>
      <c r="Q1034" s="11">
        <v>2</v>
      </c>
      <c r="R1034" s="11"/>
      <c r="S1034" s="11"/>
      <c r="T1034" s="11"/>
      <c r="U1034" s="11">
        <f t="shared" si="339"/>
        <v>2</v>
      </c>
      <c r="W1034">
        <v>2.2000000000000002</v>
      </c>
      <c r="X1034" s="1" t="s">
        <v>30</v>
      </c>
    </row>
    <row r="1035" spans="1:24" x14ac:dyDescent="0.25">
      <c r="A1035" s="1" t="str">
        <f t="shared" si="333"/>
        <v>卡卡杜-凤凰仓</v>
      </c>
      <c r="B1035" s="1" t="str">
        <f>"CK2024103014"</f>
        <v>CK2024103014</v>
      </c>
      <c r="C1035" s="1" t="str">
        <f>"DD2024103035264"</f>
        <v>DD2024103035264</v>
      </c>
      <c r="D1035" s="1" t="str">
        <f>"CK2024103035426"</f>
        <v>CK2024103035426</v>
      </c>
      <c r="E1035" s="1" t="str">
        <f>"3723649841317676288"</f>
        <v>3723649841317676288</v>
      </c>
      <c r="F1035" s="1" t="str">
        <f t="shared" si="334"/>
        <v>花都四部-凤凰仓</v>
      </c>
      <c r="G1035" s="1" t="str">
        <f t="shared" si="329"/>
        <v>卡卡杜企业店（视频号）</v>
      </c>
      <c r="H1035" s="1" t="str">
        <f t="shared" si="335"/>
        <v>正常订单</v>
      </c>
      <c r="I1035" s="1" t="str">
        <f t="shared" si="336"/>
        <v>已发货</v>
      </c>
      <c r="J1035" s="1" t="str">
        <f t="shared" ref="J1035:J1039" si="340">"3"</f>
        <v>3</v>
      </c>
      <c r="K1035" s="1">
        <v>2</v>
      </c>
      <c r="L1035" s="1" t="s">
        <v>16</v>
      </c>
      <c r="M1035" s="1" t="str">
        <f>"河北省 沧州市 河间市 "</f>
        <v xml:space="preserve">河北省 沧州市 河间市 </v>
      </c>
      <c r="N1035" s="1" t="str">
        <f t="shared" si="330"/>
        <v>凡华云仓-城南圆通-微信视频号</v>
      </c>
      <c r="O1035" s="5" t="s">
        <v>1072</v>
      </c>
      <c r="P1035" s="6">
        <v>0.24</v>
      </c>
      <c r="Q1035" s="11">
        <v>2</v>
      </c>
      <c r="R1035" s="11"/>
      <c r="S1035" s="11"/>
      <c r="T1035" s="11"/>
      <c r="U1035" s="11">
        <f t="shared" si="339"/>
        <v>2</v>
      </c>
      <c r="W1035">
        <v>2.2000000000000002</v>
      </c>
      <c r="X1035" s="1" t="s">
        <v>16</v>
      </c>
    </row>
    <row r="1036" spans="1:24" x14ac:dyDescent="0.25">
      <c r="A1036" s="1" t="str">
        <f t="shared" si="333"/>
        <v>卡卡杜-凤凰仓</v>
      </c>
      <c r="B1036" s="1" t="str">
        <f>"CK2024103037"</f>
        <v>CK2024103037</v>
      </c>
      <c r="C1036" s="1" t="str">
        <f>"DD2024103035288"</f>
        <v>DD2024103035288</v>
      </c>
      <c r="D1036" s="1" t="str">
        <f>"CK2024103035425"</f>
        <v>CK2024103035425</v>
      </c>
      <c r="E1036" s="1" t="str">
        <f>"3723649840550381057"</f>
        <v>3723649840550381057</v>
      </c>
      <c r="F1036" s="1" t="str">
        <f t="shared" si="334"/>
        <v>花都四部-凤凰仓</v>
      </c>
      <c r="G1036" s="1" t="str">
        <f t="shared" si="329"/>
        <v>卡卡杜企业店（视频号）</v>
      </c>
      <c r="H1036" s="1" t="str">
        <f t="shared" si="335"/>
        <v>正常订单</v>
      </c>
      <c r="I1036" s="1" t="str">
        <f t="shared" si="336"/>
        <v>已发货</v>
      </c>
      <c r="J1036" s="1" t="str">
        <f t="shared" si="340"/>
        <v>3</v>
      </c>
      <c r="K1036" s="1">
        <v>2</v>
      </c>
      <c r="L1036" s="1" t="s">
        <v>105</v>
      </c>
      <c r="M1036" s="1" t="str">
        <f>"北京 北京市 朝阳区 "</f>
        <v xml:space="preserve">北京 北京市 朝阳区 </v>
      </c>
      <c r="N1036" s="1" t="str">
        <f t="shared" si="330"/>
        <v>凡华云仓-城南圆通-微信视频号</v>
      </c>
      <c r="O1036" s="5" t="s">
        <v>1073</v>
      </c>
      <c r="P1036" s="6">
        <v>0.24</v>
      </c>
      <c r="Q1036" s="11">
        <v>2</v>
      </c>
      <c r="R1036" s="11"/>
      <c r="S1036" s="11"/>
      <c r="T1036" s="11"/>
      <c r="U1036" s="11">
        <f t="shared" si="339"/>
        <v>2</v>
      </c>
      <c r="W1036">
        <v>2.2000000000000002</v>
      </c>
      <c r="X1036" s="1" t="s">
        <v>105</v>
      </c>
    </row>
    <row r="1037" spans="1:24" x14ac:dyDescent="0.25">
      <c r="A1037" s="1" t="str">
        <f t="shared" si="333"/>
        <v>卡卡杜-凤凰仓</v>
      </c>
      <c r="B1037" s="1" t="str">
        <f>"CK20241030135"</f>
        <v>CK20241030135</v>
      </c>
      <c r="C1037" s="1" t="str">
        <f>"DD2024103035394"</f>
        <v>DD2024103035394</v>
      </c>
      <c r="D1037" s="1" t="str">
        <f>"CK2024103035424"</f>
        <v>CK2024103035424</v>
      </c>
      <c r="E1037" s="1" t="str">
        <f>"3723649838821803521"</f>
        <v>3723649838821803521</v>
      </c>
      <c r="F1037" s="1" t="str">
        <f t="shared" si="334"/>
        <v>花都四部-凤凰仓</v>
      </c>
      <c r="G1037" s="1" t="str">
        <f t="shared" si="329"/>
        <v>卡卡杜企业店（视频号）</v>
      </c>
      <c r="H1037" s="1" t="str">
        <f t="shared" si="335"/>
        <v>正常订单</v>
      </c>
      <c r="I1037" s="1" t="str">
        <f t="shared" si="336"/>
        <v>已发货</v>
      </c>
      <c r="J1037" s="1" t="str">
        <f>"2"</f>
        <v>2</v>
      </c>
      <c r="K1037" s="1">
        <v>2</v>
      </c>
      <c r="L1037" s="1" t="s">
        <v>66</v>
      </c>
      <c r="M1037" s="1" t="str">
        <f>"内蒙古自治区 巴彦淖尔市 乌拉特前旗 "</f>
        <v xml:space="preserve">内蒙古自治区 巴彦淖尔市 乌拉特前旗 </v>
      </c>
      <c r="N1037" s="1" t="str">
        <f t="shared" si="330"/>
        <v>凡华云仓-城南圆通-微信视频号</v>
      </c>
      <c r="O1037" s="5" t="s">
        <v>1074</v>
      </c>
      <c r="P1037" s="6">
        <v>0.17</v>
      </c>
      <c r="Q1037" s="11">
        <v>2</v>
      </c>
      <c r="R1037" s="11"/>
      <c r="S1037" s="11"/>
      <c r="T1037" s="11"/>
      <c r="U1037" s="11">
        <f t="shared" si="339"/>
        <v>2</v>
      </c>
      <c r="W1037">
        <v>2.2000000000000002</v>
      </c>
      <c r="X1037" s="1" t="s">
        <v>66</v>
      </c>
    </row>
    <row r="1038" spans="1:24" x14ac:dyDescent="0.25">
      <c r="A1038" s="1" t="str">
        <f t="shared" si="333"/>
        <v>卡卡杜-凤凰仓</v>
      </c>
      <c r="B1038" s="1" t="str">
        <f>"CK20241030136"</f>
        <v>CK20241030136</v>
      </c>
      <c r="C1038" s="1" t="str">
        <f>"DD2024103035396"</f>
        <v>DD2024103035396</v>
      </c>
      <c r="D1038" s="1" t="str">
        <f>"CK2024103035423"</f>
        <v>CK2024103035423</v>
      </c>
      <c r="E1038" s="1" t="str">
        <f>"3723649840065154049"</f>
        <v>3723649840065154049</v>
      </c>
      <c r="F1038" s="1" t="str">
        <f t="shared" si="334"/>
        <v>花都四部-凤凰仓</v>
      </c>
      <c r="G1038" s="1" t="str">
        <f t="shared" si="329"/>
        <v>卡卡杜企业店（视频号）</v>
      </c>
      <c r="H1038" s="1" t="str">
        <f t="shared" si="335"/>
        <v>正常订单</v>
      </c>
      <c r="I1038" s="1" t="str">
        <f t="shared" si="336"/>
        <v>已发货</v>
      </c>
      <c r="J1038" s="1" t="str">
        <f>"2"</f>
        <v>2</v>
      </c>
      <c r="K1038" s="1">
        <v>2</v>
      </c>
      <c r="L1038" s="1" t="s">
        <v>105</v>
      </c>
      <c r="M1038" s="1" t="str">
        <f>"北京 北京市 密云区 "</f>
        <v xml:space="preserve">北京 北京市 密云区 </v>
      </c>
      <c r="N1038" s="1" t="str">
        <f t="shared" si="330"/>
        <v>凡华云仓-城南圆通-微信视频号</v>
      </c>
      <c r="O1038" s="5" t="s">
        <v>1075</v>
      </c>
      <c r="P1038" s="6">
        <v>0.17</v>
      </c>
      <c r="Q1038" s="11">
        <v>2</v>
      </c>
      <c r="R1038" s="11"/>
      <c r="S1038" s="11"/>
      <c r="T1038" s="11"/>
      <c r="U1038" s="11">
        <f t="shared" si="339"/>
        <v>2</v>
      </c>
      <c r="W1038">
        <v>2.2000000000000002</v>
      </c>
      <c r="X1038" s="1" t="s">
        <v>105</v>
      </c>
    </row>
    <row r="1039" spans="1:24" x14ac:dyDescent="0.25">
      <c r="A1039" s="1" t="str">
        <f t="shared" si="333"/>
        <v>卡卡杜-凤凰仓</v>
      </c>
      <c r="B1039" s="1" t="str">
        <f>"CK2024103021"</f>
        <v>CK2024103021</v>
      </c>
      <c r="C1039" s="1" t="str">
        <f>"DD2024103035269"</f>
        <v>DD2024103035269</v>
      </c>
      <c r="D1039" s="1" t="str">
        <f>"CK2024103035422"</f>
        <v>CK2024103035422</v>
      </c>
      <c r="E1039" s="1" t="str">
        <f>"3723649334788887553"</f>
        <v>3723649334788887553</v>
      </c>
      <c r="F1039" s="1" t="str">
        <f t="shared" si="334"/>
        <v>花都四部-凤凰仓</v>
      </c>
      <c r="G1039" s="1" t="str">
        <f t="shared" si="329"/>
        <v>卡卡杜企业店（视频号）</v>
      </c>
      <c r="H1039" s="1" t="str">
        <f t="shared" si="335"/>
        <v>正常订单</v>
      </c>
      <c r="I1039" s="1" t="str">
        <f t="shared" si="336"/>
        <v>已发货</v>
      </c>
      <c r="J1039" s="1" t="str">
        <f t="shared" si="340"/>
        <v>3</v>
      </c>
      <c r="K1039" s="1">
        <v>2</v>
      </c>
      <c r="L1039" s="1" t="s">
        <v>96</v>
      </c>
      <c r="M1039" s="1" t="str">
        <f>"广西壮族自治区 南宁市 青秀区 "</f>
        <v xml:space="preserve">广西壮族自治区 南宁市 青秀区 </v>
      </c>
      <c r="N1039" s="1" t="str">
        <f t="shared" si="330"/>
        <v>凡华云仓-城南圆通-微信视频号</v>
      </c>
      <c r="O1039" s="5" t="s">
        <v>1076</v>
      </c>
      <c r="P1039" s="6">
        <v>0.24</v>
      </c>
      <c r="Q1039" s="11">
        <v>2</v>
      </c>
      <c r="R1039" s="11"/>
      <c r="S1039" s="11"/>
      <c r="T1039" s="11"/>
      <c r="U1039" s="11">
        <f t="shared" si="339"/>
        <v>2</v>
      </c>
      <c r="W1039">
        <v>2.2000000000000002</v>
      </c>
      <c r="X1039" s="1" t="s">
        <v>96</v>
      </c>
    </row>
    <row r="1040" spans="1:24" x14ac:dyDescent="0.25">
      <c r="A1040" s="1" t="str">
        <f t="shared" si="333"/>
        <v>卡卡杜-凤凰仓</v>
      </c>
      <c r="B1040" s="1" t="str">
        <f>"CK2024103008"</f>
        <v>CK2024103008</v>
      </c>
      <c r="C1040" s="1" t="str">
        <f>"DD2024103035169"</f>
        <v>DD2024103035169</v>
      </c>
      <c r="D1040" s="1" t="str">
        <f>"CK2024103035421"</f>
        <v>CK2024103035421</v>
      </c>
      <c r="E1040" s="1" t="str">
        <f>"3723648880232763392"</f>
        <v>3723648880232763392</v>
      </c>
      <c r="F1040" s="1" t="str">
        <f t="shared" si="334"/>
        <v>花都四部-凤凰仓</v>
      </c>
      <c r="G1040" s="1" t="str">
        <f t="shared" si="329"/>
        <v>卡卡杜企业店（视频号）</v>
      </c>
      <c r="H1040" s="1" t="str">
        <f t="shared" si="335"/>
        <v>正常订单</v>
      </c>
      <c r="I1040" s="1" t="str">
        <f t="shared" si="336"/>
        <v>已发货</v>
      </c>
      <c r="J1040" s="1" t="str">
        <f>"5"</f>
        <v>5</v>
      </c>
      <c r="K1040" s="1">
        <v>3</v>
      </c>
      <c r="L1040" s="1" t="s">
        <v>18</v>
      </c>
      <c r="M1040" s="1" t="str">
        <f>"广东省 深圳市 龙岗区 "</f>
        <v xml:space="preserve">广东省 深圳市 龙岗区 </v>
      </c>
      <c r="N1040" s="1" t="str">
        <f t="shared" si="330"/>
        <v>凡华云仓-城南圆通-微信视频号</v>
      </c>
      <c r="O1040" s="5" t="s">
        <v>1077</v>
      </c>
      <c r="P1040" s="6">
        <v>0.56000000000000005</v>
      </c>
      <c r="Q1040" s="11">
        <f>CEILING(P1040-0.5,0.1)*10*0.15+2.3</f>
        <v>2.4499999999999997</v>
      </c>
      <c r="R1040" s="11"/>
      <c r="S1040" s="11"/>
      <c r="T1040" s="11"/>
      <c r="U1040" s="11">
        <f t="shared" si="339"/>
        <v>2.4499999999999997</v>
      </c>
      <c r="V1040" t="s">
        <v>15</v>
      </c>
      <c r="W1040">
        <v>2.4500000000000002</v>
      </c>
      <c r="X1040" s="1" t="s">
        <v>18</v>
      </c>
    </row>
    <row r="1041" spans="1:24" x14ac:dyDescent="0.25">
      <c r="A1041" s="1" t="str">
        <f t="shared" si="333"/>
        <v>卡卡杜-凤凰仓</v>
      </c>
      <c r="B1041" s="1" t="str">
        <f>"CK2024103055"</f>
        <v>CK2024103055</v>
      </c>
      <c r="C1041" s="1" t="str">
        <f>"DD2024103035304"</f>
        <v>DD2024103035304</v>
      </c>
      <c r="D1041" s="1" t="str">
        <f>"CK2024103035420"</f>
        <v>CK2024103035420</v>
      </c>
      <c r="E1041" s="1" t="str">
        <f>"3723648867081520384"</f>
        <v>3723648867081520384</v>
      </c>
      <c r="F1041" s="1" t="str">
        <f t="shared" si="334"/>
        <v>花都四部-凤凰仓</v>
      </c>
      <c r="G1041" s="1" t="str">
        <f t="shared" si="329"/>
        <v>卡卡杜企业店（视频号）</v>
      </c>
      <c r="H1041" s="1" t="str">
        <f t="shared" si="335"/>
        <v>正常订单</v>
      </c>
      <c r="I1041" s="1" t="str">
        <f t="shared" si="336"/>
        <v>已发货</v>
      </c>
      <c r="J1041" s="1" t="str">
        <f t="shared" ref="J1041:J1048" si="341">"3"</f>
        <v>3</v>
      </c>
      <c r="K1041" s="1">
        <v>2</v>
      </c>
      <c r="L1041" s="1" t="s">
        <v>18</v>
      </c>
      <c r="M1041" s="1" t="str">
        <f>"广东省 佛山市 南海区 "</f>
        <v xml:space="preserve">广东省 佛山市 南海区 </v>
      </c>
      <c r="N1041" s="1" t="str">
        <f t="shared" si="330"/>
        <v>凡华云仓-城南圆通-微信视频号</v>
      </c>
      <c r="O1041" s="5" t="s">
        <v>1078</v>
      </c>
      <c r="P1041" s="6">
        <v>0.35</v>
      </c>
      <c r="Q1041" s="11">
        <v>2.2999999999999998</v>
      </c>
      <c r="R1041" s="11"/>
      <c r="S1041" s="11"/>
      <c r="T1041" s="11"/>
      <c r="U1041" s="11">
        <f t="shared" si="339"/>
        <v>2.2999999999999998</v>
      </c>
      <c r="W1041">
        <v>2.5</v>
      </c>
      <c r="X1041" s="1" t="s">
        <v>18</v>
      </c>
    </row>
    <row r="1042" spans="1:24" x14ac:dyDescent="0.25">
      <c r="A1042" s="1" t="str">
        <f t="shared" si="333"/>
        <v>卡卡杜-凤凰仓</v>
      </c>
      <c r="B1042" s="1" t="str">
        <f>"CK2024103074"</f>
        <v>CK2024103074</v>
      </c>
      <c r="C1042" s="1" t="str">
        <f>"DD2024103035325"</f>
        <v>DD2024103035325</v>
      </c>
      <c r="D1042" s="1" t="str">
        <f>"CK2024103035419"</f>
        <v>CK2024103035419</v>
      </c>
      <c r="E1042" s="1" t="str">
        <f>"3723648171653073920"</f>
        <v>3723648171653073920</v>
      </c>
      <c r="F1042" s="1" t="str">
        <f t="shared" si="334"/>
        <v>花都四部-凤凰仓</v>
      </c>
      <c r="G1042" s="1" t="str">
        <f t="shared" si="329"/>
        <v>卡卡杜企业店（视频号）</v>
      </c>
      <c r="H1042" s="1" t="str">
        <f t="shared" si="335"/>
        <v>正常订单</v>
      </c>
      <c r="I1042" s="1" t="str">
        <f t="shared" si="336"/>
        <v>已发货</v>
      </c>
      <c r="J1042" s="1" t="str">
        <f t="shared" si="341"/>
        <v>3</v>
      </c>
      <c r="K1042" s="1">
        <v>3</v>
      </c>
      <c r="L1042" s="1" t="s">
        <v>18</v>
      </c>
      <c r="M1042" s="1" t="str">
        <f>"广东省 惠州市 惠城区 "</f>
        <v xml:space="preserve">广东省 惠州市 惠城区 </v>
      </c>
      <c r="N1042" s="1" t="str">
        <f t="shared" si="330"/>
        <v>凡华云仓-城南圆通-微信视频号</v>
      </c>
      <c r="O1042" s="5" t="s">
        <v>1079</v>
      </c>
      <c r="P1042" s="6">
        <v>0.34</v>
      </c>
      <c r="Q1042" s="11">
        <v>2.2999999999999998</v>
      </c>
      <c r="R1042" s="11"/>
      <c r="S1042" s="11"/>
      <c r="T1042" s="11"/>
      <c r="U1042" s="11">
        <f t="shared" si="339"/>
        <v>2.2999999999999998</v>
      </c>
      <c r="W1042">
        <v>2.5</v>
      </c>
      <c r="X1042" s="1" t="s">
        <v>18</v>
      </c>
    </row>
    <row r="1043" spans="1:24" x14ac:dyDescent="0.25">
      <c r="A1043" s="1" t="str">
        <f t="shared" si="333"/>
        <v>卡卡杜-凤凰仓</v>
      </c>
      <c r="B1043" s="1" t="str">
        <f>"CK2024103072"</f>
        <v>CK2024103072</v>
      </c>
      <c r="C1043" s="1" t="str">
        <f>"DD2024103035324"</f>
        <v>DD2024103035324</v>
      </c>
      <c r="D1043" s="1" t="str">
        <f>"CK2024103035418"</f>
        <v>CK2024103035418</v>
      </c>
      <c r="E1043" s="1" t="str">
        <f>"3723648005306451457"</f>
        <v>3723648005306451457</v>
      </c>
      <c r="F1043" s="1" t="str">
        <f t="shared" si="334"/>
        <v>花都四部-凤凰仓</v>
      </c>
      <c r="G1043" s="1" t="str">
        <f t="shared" si="329"/>
        <v>卡卡杜企业店（视频号）</v>
      </c>
      <c r="H1043" s="1" t="str">
        <f t="shared" si="335"/>
        <v>正常订单</v>
      </c>
      <c r="I1043" s="1" t="str">
        <f t="shared" si="336"/>
        <v>已发货</v>
      </c>
      <c r="J1043" s="1" t="str">
        <f t="shared" si="341"/>
        <v>3</v>
      </c>
      <c r="K1043" s="1">
        <v>3</v>
      </c>
      <c r="L1043" s="1" t="s">
        <v>105</v>
      </c>
      <c r="M1043" s="1" t="str">
        <f>"北京 北京市 西城区 "</f>
        <v xml:space="preserve">北京 北京市 西城区 </v>
      </c>
      <c r="N1043" s="1" t="str">
        <f t="shared" si="330"/>
        <v>凡华云仓-城南圆通-微信视频号</v>
      </c>
      <c r="O1043" s="5" t="s">
        <v>1080</v>
      </c>
      <c r="P1043" s="6">
        <v>0.34</v>
      </c>
      <c r="Q1043" s="11">
        <v>2.2999999999999998</v>
      </c>
      <c r="R1043" s="11"/>
      <c r="S1043" s="11"/>
      <c r="T1043" s="11"/>
      <c r="U1043" s="11">
        <f t="shared" si="339"/>
        <v>2.2999999999999998</v>
      </c>
      <c r="W1043">
        <v>2.5</v>
      </c>
      <c r="X1043" s="1" t="s">
        <v>105</v>
      </c>
    </row>
    <row r="1044" spans="1:24" x14ac:dyDescent="0.25">
      <c r="A1044" s="1" t="str">
        <f t="shared" si="333"/>
        <v>卡卡杜-凤凰仓</v>
      </c>
      <c r="B1044" s="1" t="str">
        <f>"CK2024103022"</f>
        <v>CK2024103022</v>
      </c>
      <c r="C1044" s="1" t="str">
        <f>"DD2024103035273"</f>
        <v>DD2024103035273</v>
      </c>
      <c r="D1044" s="1" t="str">
        <f>"CK2024103035417"</f>
        <v>CK2024103035417</v>
      </c>
      <c r="E1044" s="1" t="str">
        <f>"3723647714517716992"</f>
        <v>3723647714517716992</v>
      </c>
      <c r="F1044" s="1" t="str">
        <f t="shared" si="334"/>
        <v>花都四部-凤凰仓</v>
      </c>
      <c r="G1044" s="1" t="str">
        <f t="shared" si="329"/>
        <v>卡卡杜企业店（视频号）</v>
      </c>
      <c r="H1044" s="1" t="str">
        <f t="shared" si="335"/>
        <v>正常订单</v>
      </c>
      <c r="I1044" s="1" t="str">
        <f t="shared" si="336"/>
        <v>已发货</v>
      </c>
      <c r="J1044" s="1" t="str">
        <f t="shared" si="341"/>
        <v>3</v>
      </c>
      <c r="K1044" s="1">
        <v>2</v>
      </c>
      <c r="L1044" s="1" t="s">
        <v>161</v>
      </c>
      <c r="M1044" s="1" t="str">
        <f>"四川省 成都市 青羊区 "</f>
        <v xml:space="preserve">四川省 成都市 青羊区 </v>
      </c>
      <c r="N1044" s="1" t="str">
        <f t="shared" si="330"/>
        <v>凡华云仓-城南圆通-微信视频号</v>
      </c>
      <c r="O1044" s="5" t="s">
        <v>1081</v>
      </c>
      <c r="P1044" s="6">
        <v>0.24</v>
      </c>
      <c r="Q1044" s="11">
        <v>2</v>
      </c>
      <c r="R1044" s="11"/>
      <c r="S1044" s="11"/>
      <c r="T1044" s="11"/>
      <c r="U1044" s="11">
        <f t="shared" si="339"/>
        <v>2</v>
      </c>
      <c r="W1044">
        <v>2.2000000000000002</v>
      </c>
      <c r="X1044" s="1" t="s">
        <v>161</v>
      </c>
    </row>
    <row r="1045" spans="1:24" x14ac:dyDescent="0.25">
      <c r="A1045" s="1" t="str">
        <f t="shared" si="333"/>
        <v>卡卡杜-凤凰仓</v>
      </c>
      <c r="B1045" s="1" t="str">
        <f>"CK2024103023"</f>
        <v>CK2024103023</v>
      </c>
      <c r="C1045" s="1" t="str">
        <f>"DD2024103035274"</f>
        <v>DD2024103035274</v>
      </c>
      <c r="D1045" s="1" t="str">
        <f>"CK2024103035416"</f>
        <v>CK2024103035416</v>
      </c>
      <c r="E1045" s="1" t="str">
        <f>"3723647080812905984"</f>
        <v>3723647080812905984</v>
      </c>
      <c r="F1045" s="1" t="str">
        <f t="shared" si="334"/>
        <v>花都四部-凤凰仓</v>
      </c>
      <c r="G1045" s="1" t="str">
        <f t="shared" si="329"/>
        <v>卡卡杜企业店（视频号）</v>
      </c>
      <c r="H1045" s="1" t="str">
        <f t="shared" si="335"/>
        <v>正常订单</v>
      </c>
      <c r="I1045" s="1" t="str">
        <f t="shared" si="336"/>
        <v>已发货</v>
      </c>
      <c r="J1045" s="1" t="str">
        <f t="shared" si="341"/>
        <v>3</v>
      </c>
      <c r="K1045" s="1">
        <v>2</v>
      </c>
      <c r="L1045" s="1" t="s">
        <v>18</v>
      </c>
      <c r="M1045" s="1" t="str">
        <f>"广东省 深圳市 光明区 "</f>
        <v xml:space="preserve">广东省 深圳市 光明区 </v>
      </c>
      <c r="N1045" s="1" t="str">
        <f t="shared" si="330"/>
        <v>凡华云仓-城南圆通-微信视频号</v>
      </c>
      <c r="O1045" s="5" t="s">
        <v>1082</v>
      </c>
      <c r="P1045" s="6">
        <v>0.24</v>
      </c>
      <c r="Q1045" s="11">
        <v>2</v>
      </c>
      <c r="R1045" s="11"/>
      <c r="S1045" s="11"/>
      <c r="T1045" s="11"/>
      <c r="U1045" s="11">
        <f t="shared" si="339"/>
        <v>2</v>
      </c>
      <c r="W1045">
        <v>2.2000000000000002</v>
      </c>
      <c r="X1045" s="1" t="s">
        <v>18</v>
      </c>
    </row>
    <row r="1046" spans="1:24" x14ac:dyDescent="0.25">
      <c r="A1046" s="1" t="str">
        <f t="shared" si="333"/>
        <v>卡卡杜-凤凰仓</v>
      </c>
      <c r="B1046" s="1" t="str">
        <f>"CK2024103019"</f>
        <v>CK2024103019</v>
      </c>
      <c r="C1046" s="1" t="str">
        <f>"DD2024103035272"</f>
        <v>DD2024103035272</v>
      </c>
      <c r="D1046" s="1" t="str">
        <f>"CK2024103035415"</f>
        <v>CK2024103035415</v>
      </c>
      <c r="E1046" s="1" t="str">
        <f>"3723647044753950208"</f>
        <v>3723647044753950208</v>
      </c>
      <c r="F1046" s="1" t="str">
        <f t="shared" si="334"/>
        <v>花都四部-凤凰仓</v>
      </c>
      <c r="G1046" s="1" t="str">
        <f t="shared" si="329"/>
        <v>卡卡杜企业店（视频号）</v>
      </c>
      <c r="H1046" s="1" t="str">
        <f t="shared" si="335"/>
        <v>正常订单</v>
      </c>
      <c r="I1046" s="1" t="str">
        <f t="shared" si="336"/>
        <v>已发货</v>
      </c>
      <c r="J1046" s="1" t="str">
        <f t="shared" si="341"/>
        <v>3</v>
      </c>
      <c r="K1046" s="1">
        <v>2</v>
      </c>
      <c r="L1046" s="1" t="s">
        <v>80</v>
      </c>
      <c r="M1046" s="1" t="str">
        <f>"河南省 洛阳市 涧西区 "</f>
        <v xml:space="preserve">河南省 洛阳市 涧西区 </v>
      </c>
      <c r="N1046" s="1" t="str">
        <f t="shared" si="330"/>
        <v>凡华云仓-城南圆通-微信视频号</v>
      </c>
      <c r="O1046" s="5" t="s">
        <v>1083</v>
      </c>
      <c r="P1046" s="6">
        <v>0.24</v>
      </c>
      <c r="Q1046" s="11">
        <v>2</v>
      </c>
      <c r="R1046" s="11"/>
      <c r="S1046" s="11"/>
      <c r="T1046" s="11"/>
      <c r="U1046" s="11">
        <f t="shared" si="339"/>
        <v>2</v>
      </c>
      <c r="W1046">
        <v>2.2000000000000002</v>
      </c>
      <c r="X1046" s="1" t="s">
        <v>80</v>
      </c>
    </row>
    <row r="1047" spans="1:24" x14ac:dyDescent="0.25">
      <c r="A1047" s="1" t="str">
        <f t="shared" si="333"/>
        <v>卡卡杜-凤凰仓</v>
      </c>
      <c r="B1047" s="1" t="str">
        <f>"CK2024103030"</f>
        <v>CK2024103030</v>
      </c>
      <c r="C1047" s="1" t="str">
        <f>"DD2024103035280"</f>
        <v>DD2024103035280</v>
      </c>
      <c r="D1047" s="1" t="str">
        <f>"CK2024103035414"</f>
        <v>CK2024103035414</v>
      </c>
      <c r="E1047" s="1" t="str">
        <f>"3723647028451476992"</f>
        <v>3723647028451476992</v>
      </c>
      <c r="F1047" s="1" t="str">
        <f t="shared" si="334"/>
        <v>花都四部-凤凰仓</v>
      </c>
      <c r="G1047" s="1" t="str">
        <f t="shared" si="329"/>
        <v>卡卡杜企业店（视频号）</v>
      </c>
      <c r="H1047" s="1" t="str">
        <f t="shared" si="335"/>
        <v>正常订单</v>
      </c>
      <c r="I1047" s="1" t="str">
        <f t="shared" si="336"/>
        <v>已发货</v>
      </c>
      <c r="J1047" s="1" t="str">
        <f t="shared" si="341"/>
        <v>3</v>
      </c>
      <c r="K1047" s="1">
        <v>2</v>
      </c>
      <c r="L1047" s="1" t="s">
        <v>18</v>
      </c>
      <c r="M1047" s="1" t="str">
        <f>"广东省 深圳市 龙华区 "</f>
        <v xml:space="preserve">广东省 深圳市 龙华区 </v>
      </c>
      <c r="N1047" s="1" t="str">
        <f t="shared" si="330"/>
        <v>凡华云仓-城南圆通-微信视频号</v>
      </c>
      <c r="O1047" s="5" t="s">
        <v>1084</v>
      </c>
      <c r="P1047" s="6">
        <v>0.24</v>
      </c>
      <c r="Q1047" s="11">
        <v>2</v>
      </c>
      <c r="R1047" s="11"/>
      <c r="S1047" s="11"/>
      <c r="T1047" s="11"/>
      <c r="U1047" s="11">
        <f t="shared" si="339"/>
        <v>2</v>
      </c>
      <c r="W1047">
        <v>2.2000000000000002</v>
      </c>
      <c r="X1047" s="1" t="s">
        <v>18</v>
      </c>
    </row>
    <row r="1048" spans="1:24" x14ac:dyDescent="0.25">
      <c r="A1048" s="1" t="str">
        <f t="shared" si="333"/>
        <v>卡卡杜-凤凰仓</v>
      </c>
      <c r="B1048" s="1" t="str">
        <f>"CK2024103026"</f>
        <v>CK2024103026</v>
      </c>
      <c r="C1048" s="1" t="str">
        <f>"DD2024103035277"</f>
        <v>DD2024103035277</v>
      </c>
      <c r="D1048" s="1" t="str">
        <f>"CK2024103035413"</f>
        <v>CK2024103035413</v>
      </c>
      <c r="E1048" s="1" t="str">
        <f>"3723646948080227328"</f>
        <v>3723646948080227328</v>
      </c>
      <c r="F1048" s="1" t="str">
        <f t="shared" si="334"/>
        <v>花都四部-凤凰仓</v>
      </c>
      <c r="G1048" s="1" t="str">
        <f t="shared" si="329"/>
        <v>卡卡杜企业店（视频号）</v>
      </c>
      <c r="H1048" s="1" t="str">
        <f t="shared" si="335"/>
        <v>正常订单</v>
      </c>
      <c r="I1048" s="1" t="str">
        <f t="shared" si="336"/>
        <v>已发货</v>
      </c>
      <c r="J1048" s="1" t="str">
        <f t="shared" si="341"/>
        <v>3</v>
      </c>
      <c r="K1048" s="1">
        <v>2</v>
      </c>
      <c r="L1048" s="1" t="s">
        <v>18</v>
      </c>
      <c r="M1048" s="1" t="str">
        <f>"广东省 深圳市 宝安区 "</f>
        <v xml:space="preserve">广东省 深圳市 宝安区 </v>
      </c>
      <c r="N1048" s="1" t="str">
        <f t="shared" si="330"/>
        <v>凡华云仓-城南圆通-微信视频号</v>
      </c>
      <c r="O1048" s="5" t="s">
        <v>1085</v>
      </c>
      <c r="P1048" s="6">
        <v>0.24</v>
      </c>
      <c r="Q1048" s="11">
        <v>2</v>
      </c>
      <c r="R1048" s="11"/>
      <c r="S1048" s="11"/>
      <c r="T1048" s="11"/>
      <c r="U1048" s="11">
        <f t="shared" si="339"/>
        <v>2</v>
      </c>
      <c r="W1048">
        <v>2.2000000000000002</v>
      </c>
      <c r="X1048" s="1" t="s">
        <v>18</v>
      </c>
    </row>
    <row r="1049" spans="1:24" x14ac:dyDescent="0.25">
      <c r="A1049" s="1" t="str">
        <f t="shared" si="333"/>
        <v>卡卡杜-凤凰仓</v>
      </c>
      <c r="B1049" s="1" t="str">
        <f>"CK2024103005"</f>
        <v>CK2024103005</v>
      </c>
      <c r="C1049" s="1" t="str">
        <f>"DD2024103035163"</f>
        <v>DD2024103035163</v>
      </c>
      <c r="D1049" s="1" t="str">
        <f>"CK2024103035412"</f>
        <v>CK2024103035412</v>
      </c>
      <c r="E1049" s="1" t="str">
        <f>"2430401615210174"</f>
        <v>2430401615210174</v>
      </c>
      <c r="F1049" s="1" t="str">
        <f t="shared" si="334"/>
        <v>花都四部-凤凰仓</v>
      </c>
      <c r="G1049" s="1" t="str">
        <f t="shared" ref="G1049:G1081" si="342">"卡卡杜佳旺专卖店（快手店）"</f>
        <v>卡卡杜佳旺专卖店（快手店）</v>
      </c>
      <c r="H1049" s="1" t="str">
        <f t="shared" si="335"/>
        <v>正常订单</v>
      </c>
      <c r="I1049" s="1" t="str">
        <f t="shared" si="336"/>
        <v>已发货</v>
      </c>
      <c r="J1049" s="1" t="str">
        <f>"5"</f>
        <v>5</v>
      </c>
      <c r="K1049" s="1">
        <v>2</v>
      </c>
      <c r="L1049" s="1" t="s">
        <v>187</v>
      </c>
      <c r="M1049" s="1" t="str">
        <f>"吉林省 长春市 宽城区 兴隆山镇"</f>
        <v>吉林省 长春市 宽城区 兴隆山镇</v>
      </c>
      <c r="N1049" s="1" t="str">
        <f t="shared" ref="N1049:N1073" si="343">"凡华云仓-城南圆通-快手"</f>
        <v>凡华云仓-城南圆通-快手</v>
      </c>
      <c r="O1049" s="5" t="s">
        <v>1086</v>
      </c>
      <c r="P1049" s="6">
        <v>0.59</v>
      </c>
      <c r="Q1049" s="11">
        <f>CEILING(P1049-0.5,0.1)*10*0.15+2.3</f>
        <v>2.4499999999999997</v>
      </c>
      <c r="R1049" s="11"/>
      <c r="S1049" s="11"/>
      <c r="T1049" s="11"/>
      <c r="U1049" s="11">
        <f t="shared" si="339"/>
        <v>2.4499999999999997</v>
      </c>
      <c r="V1049" t="s">
        <v>15</v>
      </c>
      <c r="W1049">
        <v>2.4500000000000002</v>
      </c>
      <c r="X1049" s="1" t="s">
        <v>187</v>
      </c>
    </row>
    <row r="1050" spans="1:24" x14ac:dyDescent="0.25">
      <c r="A1050" s="1" t="str">
        <f t="shared" si="333"/>
        <v>卡卡杜-凤凰仓</v>
      </c>
      <c r="B1050" s="1" t="str">
        <f>"CK20241030477"</f>
        <v>CK20241030477</v>
      </c>
      <c r="C1050" s="1" t="str">
        <f>"DD2024103036843"</f>
        <v>DD2024103036843</v>
      </c>
      <c r="D1050" s="1" t="str">
        <f>"CK2024103035411"</f>
        <v>CK2024103035411</v>
      </c>
      <c r="E1050" s="1" t="str">
        <f>"2430402181810290"</f>
        <v>2430402181810290</v>
      </c>
      <c r="F1050" s="1" t="str">
        <f t="shared" si="334"/>
        <v>花都四部-凤凰仓</v>
      </c>
      <c r="G1050" s="1" t="str">
        <f t="shared" si="342"/>
        <v>卡卡杜佳旺专卖店（快手店）</v>
      </c>
      <c r="H1050" s="1" t="str">
        <f t="shared" si="335"/>
        <v>正常订单</v>
      </c>
      <c r="I1050" s="1" t="str">
        <f t="shared" si="336"/>
        <v>已发货</v>
      </c>
      <c r="J1050" s="1" t="str">
        <f t="shared" ref="J1050:J1066" si="344">"3"</f>
        <v>3</v>
      </c>
      <c r="K1050" s="1">
        <v>2</v>
      </c>
      <c r="L1050" s="1" t="s">
        <v>30</v>
      </c>
      <c r="M1050" s="1" t="str">
        <f>"山东省 临沂市 平邑县 平邑街道"</f>
        <v>山东省 临沂市 平邑县 平邑街道</v>
      </c>
      <c r="N1050" s="1" t="str">
        <f t="shared" si="343"/>
        <v>凡华云仓-城南圆通-快手</v>
      </c>
      <c r="O1050" s="5" t="s">
        <v>1087</v>
      </c>
      <c r="P1050" s="6">
        <v>0.35</v>
      </c>
      <c r="Q1050" s="11">
        <v>2.2999999999999998</v>
      </c>
      <c r="R1050" s="11"/>
      <c r="S1050" s="11"/>
      <c r="T1050" s="11"/>
      <c r="U1050" s="11">
        <f t="shared" si="339"/>
        <v>2.2999999999999998</v>
      </c>
      <c r="W1050">
        <v>2.5</v>
      </c>
      <c r="X1050" s="1" t="s">
        <v>30</v>
      </c>
    </row>
    <row r="1051" spans="1:24" x14ac:dyDescent="0.25">
      <c r="A1051" s="1" t="str">
        <f t="shared" si="333"/>
        <v>卡卡杜-凤凰仓</v>
      </c>
      <c r="B1051" s="1" t="str">
        <f>"CK20241030473"</f>
        <v>CK20241030473</v>
      </c>
      <c r="C1051" s="1" t="str">
        <f>"DD2024103036839"</f>
        <v>DD2024103036839</v>
      </c>
      <c r="D1051" s="1" t="str">
        <f>"CK2024103035410"</f>
        <v>CK2024103035410</v>
      </c>
      <c r="E1051" s="1" t="str">
        <f>"2430401617601796"</f>
        <v>2430401617601796</v>
      </c>
      <c r="F1051" s="1" t="str">
        <f t="shared" si="334"/>
        <v>花都四部-凤凰仓</v>
      </c>
      <c r="G1051" s="1" t="str">
        <f t="shared" si="342"/>
        <v>卡卡杜佳旺专卖店（快手店）</v>
      </c>
      <c r="H1051" s="1" t="str">
        <f t="shared" si="335"/>
        <v>正常订单</v>
      </c>
      <c r="I1051" s="1" t="str">
        <f t="shared" si="336"/>
        <v>已发货</v>
      </c>
      <c r="J1051" s="1" t="str">
        <f t="shared" si="344"/>
        <v>3</v>
      </c>
      <c r="K1051" s="1">
        <v>2</v>
      </c>
      <c r="L1051" s="1" t="s">
        <v>32</v>
      </c>
      <c r="M1051" s="1" t="str">
        <f>"陕西省 咸阳市 秦都区 钓台街道"</f>
        <v>陕西省 咸阳市 秦都区 钓台街道</v>
      </c>
      <c r="N1051" s="1" t="str">
        <f t="shared" si="343"/>
        <v>凡华云仓-城南圆通-快手</v>
      </c>
      <c r="O1051" s="5" t="s">
        <v>1088</v>
      </c>
      <c r="P1051" s="6">
        <v>0.35</v>
      </c>
      <c r="Q1051" s="11">
        <v>2.2999999999999998</v>
      </c>
      <c r="R1051" s="11"/>
      <c r="S1051" s="11"/>
      <c r="T1051" s="11"/>
      <c r="U1051" s="11">
        <f t="shared" si="339"/>
        <v>2.2999999999999998</v>
      </c>
      <c r="W1051">
        <v>2.5</v>
      </c>
      <c r="X1051" s="1" t="s">
        <v>32</v>
      </c>
    </row>
    <row r="1052" spans="1:24" x14ac:dyDescent="0.25">
      <c r="A1052" s="1" t="str">
        <f t="shared" si="333"/>
        <v>卡卡杜-凤凰仓</v>
      </c>
      <c r="B1052" s="1" t="str">
        <f>"CK2024103004"</f>
        <v>CK2024103004</v>
      </c>
      <c r="C1052" s="1" t="str">
        <f>"DD2024103035166"</f>
        <v>DD2024103035166</v>
      </c>
      <c r="D1052" s="1" t="str">
        <f>"CK2024103035408"</f>
        <v>CK2024103035408</v>
      </c>
      <c r="E1052" s="1" t="str">
        <f>"2430402103457063"</f>
        <v>2430402103457063</v>
      </c>
      <c r="F1052" s="1" t="str">
        <f t="shared" si="334"/>
        <v>花都四部-凤凰仓</v>
      </c>
      <c r="G1052" s="1" t="str">
        <f t="shared" si="342"/>
        <v>卡卡杜佳旺专卖店（快手店）</v>
      </c>
      <c r="H1052" s="1" t="str">
        <f t="shared" si="335"/>
        <v>正常订单</v>
      </c>
      <c r="I1052" s="1" t="str">
        <f t="shared" si="336"/>
        <v>已发货</v>
      </c>
      <c r="J1052" s="1" t="str">
        <f>"5"</f>
        <v>5</v>
      </c>
      <c r="K1052" s="1">
        <v>2</v>
      </c>
      <c r="L1052" s="1" t="s">
        <v>20</v>
      </c>
      <c r="M1052" s="1" t="str">
        <f>"浙江省 杭州市 上城区 九堡街道"</f>
        <v>浙江省 杭州市 上城区 九堡街道</v>
      </c>
      <c r="N1052" s="1" t="str">
        <f t="shared" si="343"/>
        <v>凡华云仓-城南圆通-快手</v>
      </c>
      <c r="O1052" s="5" t="s">
        <v>1089</v>
      </c>
      <c r="P1052" s="6">
        <v>0.59</v>
      </c>
      <c r="Q1052" s="11">
        <f>CEILING(P1052-0.5,0.1)*10*0.15+2.3</f>
        <v>2.4499999999999997</v>
      </c>
      <c r="R1052" s="11"/>
      <c r="S1052" s="11"/>
      <c r="T1052" s="11"/>
      <c r="U1052" s="11">
        <f t="shared" si="339"/>
        <v>2.4499999999999997</v>
      </c>
      <c r="V1052" t="s">
        <v>15</v>
      </c>
      <c r="W1052">
        <v>2.4500000000000002</v>
      </c>
      <c r="X1052" s="1" t="s">
        <v>20</v>
      </c>
    </row>
    <row r="1053" spans="1:24" x14ac:dyDescent="0.25">
      <c r="A1053" s="1" t="str">
        <f t="shared" si="333"/>
        <v>卡卡杜-凤凰仓</v>
      </c>
      <c r="B1053" s="1" t="str">
        <f>"CK20241030476"</f>
        <v>CK20241030476</v>
      </c>
      <c r="C1053" s="1" t="str">
        <f>"DD2024103036840"</f>
        <v>DD2024103036840</v>
      </c>
      <c r="D1053" s="1" t="str">
        <f>"CK2024103035407"</f>
        <v>CK2024103035407</v>
      </c>
      <c r="E1053" s="1" t="str">
        <f>"2430401863299091"</f>
        <v>2430401863299091</v>
      </c>
      <c r="F1053" s="1" t="str">
        <f t="shared" si="334"/>
        <v>花都四部-凤凰仓</v>
      </c>
      <c r="G1053" s="1" t="str">
        <f t="shared" si="342"/>
        <v>卡卡杜佳旺专卖店（快手店）</v>
      </c>
      <c r="H1053" s="1" t="str">
        <f t="shared" si="335"/>
        <v>正常订单</v>
      </c>
      <c r="I1053" s="1" t="str">
        <f t="shared" si="336"/>
        <v>已发货</v>
      </c>
      <c r="J1053" s="1" t="str">
        <f t="shared" si="344"/>
        <v>3</v>
      </c>
      <c r="K1053" s="1">
        <v>2</v>
      </c>
      <c r="L1053" s="1" t="s">
        <v>13</v>
      </c>
      <c r="M1053" s="1" t="str">
        <f>"江苏省 无锡市 滨湖区 河埒街道"</f>
        <v>江苏省 无锡市 滨湖区 河埒街道</v>
      </c>
      <c r="N1053" s="1" t="str">
        <f t="shared" si="343"/>
        <v>凡华云仓-城南圆通-快手</v>
      </c>
      <c r="O1053" s="5" t="s">
        <v>1090</v>
      </c>
      <c r="P1053" s="6">
        <v>0.35</v>
      </c>
      <c r="Q1053" s="11">
        <v>2.2999999999999998</v>
      </c>
      <c r="R1053" s="11"/>
      <c r="S1053" s="11"/>
      <c r="T1053" s="11"/>
      <c r="U1053" s="11">
        <f t="shared" si="339"/>
        <v>2.2999999999999998</v>
      </c>
      <c r="W1053">
        <v>2.5</v>
      </c>
      <c r="X1053" s="1" t="s">
        <v>13</v>
      </c>
    </row>
    <row r="1054" spans="1:24" x14ac:dyDescent="0.25">
      <c r="A1054" s="1" t="str">
        <f t="shared" si="333"/>
        <v>卡卡杜-凤凰仓</v>
      </c>
      <c r="B1054" s="1" t="str">
        <f>"CK20241030471"</f>
        <v>CK20241030471</v>
      </c>
      <c r="C1054" s="1" t="str">
        <f>"DD2024103036836"</f>
        <v>DD2024103036836</v>
      </c>
      <c r="D1054" s="1" t="str">
        <f>"CK2024103035406"</f>
        <v>CK2024103035406</v>
      </c>
      <c r="E1054" s="1" t="str">
        <f>"2430402421545446"</f>
        <v>2430402421545446</v>
      </c>
      <c r="F1054" s="1" t="str">
        <f t="shared" si="334"/>
        <v>花都四部-凤凰仓</v>
      </c>
      <c r="G1054" s="1" t="str">
        <f t="shared" si="342"/>
        <v>卡卡杜佳旺专卖店（快手店）</v>
      </c>
      <c r="H1054" s="1" t="str">
        <f t="shared" si="335"/>
        <v>正常订单</v>
      </c>
      <c r="I1054" s="1" t="str">
        <f t="shared" si="336"/>
        <v>已发货</v>
      </c>
      <c r="J1054" s="1" t="str">
        <f t="shared" si="344"/>
        <v>3</v>
      </c>
      <c r="K1054" s="1">
        <v>2</v>
      </c>
      <c r="L1054" s="1" t="s">
        <v>80</v>
      </c>
      <c r="M1054" s="1" t="str">
        <f>"河南省 安阳市 文峰区 光华路街道"</f>
        <v>河南省 安阳市 文峰区 光华路街道</v>
      </c>
      <c r="N1054" s="1" t="str">
        <f t="shared" si="343"/>
        <v>凡华云仓-城南圆通-快手</v>
      </c>
      <c r="O1054" s="5" t="s">
        <v>1091</v>
      </c>
      <c r="P1054" s="6">
        <v>0.35</v>
      </c>
      <c r="Q1054" s="11">
        <v>2.2999999999999998</v>
      </c>
      <c r="R1054" s="11"/>
      <c r="S1054" s="11"/>
      <c r="T1054" s="11"/>
      <c r="U1054" s="11">
        <f t="shared" si="339"/>
        <v>2.2999999999999998</v>
      </c>
      <c r="W1054">
        <v>2.5</v>
      </c>
      <c r="X1054" s="1" t="s">
        <v>80</v>
      </c>
    </row>
    <row r="1055" spans="1:24" x14ac:dyDescent="0.25">
      <c r="A1055" s="1" t="str">
        <f t="shared" si="333"/>
        <v>卡卡杜-凤凰仓</v>
      </c>
      <c r="B1055" s="1" t="str">
        <f>"CK2024103063"</f>
        <v>CK2024103063</v>
      </c>
      <c r="C1055" s="1" t="str">
        <f>"DD2024103035314"</f>
        <v>DD2024103035314</v>
      </c>
      <c r="D1055" s="1" t="str">
        <f>"CK2024103035405"</f>
        <v>CK2024103035405</v>
      </c>
      <c r="E1055" s="1" t="str">
        <f>"2430402259000923"</f>
        <v>2430402259000923</v>
      </c>
      <c r="F1055" s="1" t="str">
        <f t="shared" si="334"/>
        <v>花都四部-凤凰仓</v>
      </c>
      <c r="G1055" s="1" t="str">
        <f t="shared" si="342"/>
        <v>卡卡杜佳旺专卖店（快手店）</v>
      </c>
      <c r="H1055" s="1" t="str">
        <f t="shared" si="335"/>
        <v>正常订单</v>
      </c>
      <c r="I1055" s="1" t="str">
        <f t="shared" si="336"/>
        <v>已发货</v>
      </c>
      <c r="J1055" s="1" t="str">
        <f t="shared" si="344"/>
        <v>3</v>
      </c>
      <c r="K1055" s="1">
        <v>2</v>
      </c>
      <c r="L1055" s="1" t="s">
        <v>18</v>
      </c>
      <c r="M1055" s="1" t="str">
        <f>"广东省 深圳市 宝安区 福永街道"</f>
        <v>广东省 深圳市 宝安区 福永街道</v>
      </c>
      <c r="N1055" s="1" t="str">
        <f t="shared" si="343"/>
        <v>凡华云仓-城南圆通-快手</v>
      </c>
      <c r="O1055" s="5" t="s">
        <v>1092</v>
      </c>
      <c r="P1055" s="6">
        <v>0.35</v>
      </c>
      <c r="Q1055" s="11">
        <v>2.2999999999999998</v>
      </c>
      <c r="R1055" s="11"/>
      <c r="S1055" s="11"/>
      <c r="T1055" s="11"/>
      <c r="U1055" s="11">
        <f t="shared" si="339"/>
        <v>2.2999999999999998</v>
      </c>
      <c r="W1055">
        <v>2.5</v>
      </c>
      <c r="X1055" s="1" t="s">
        <v>18</v>
      </c>
    </row>
    <row r="1056" spans="1:24" x14ac:dyDescent="0.25">
      <c r="A1056" s="1" t="str">
        <f t="shared" si="333"/>
        <v>卡卡杜-凤凰仓</v>
      </c>
      <c r="B1056" s="1" t="str">
        <f>"CK2024103060"</f>
        <v>CK2024103060</v>
      </c>
      <c r="C1056" s="1" t="str">
        <f>"DD2024103035312"</f>
        <v>DD2024103035312</v>
      </c>
      <c r="D1056" s="1" t="str">
        <f>"CK2024103035404"</f>
        <v>CK2024103035404</v>
      </c>
      <c r="E1056" s="1" t="str">
        <f>"2430401938960764"</f>
        <v>2430401938960764</v>
      </c>
      <c r="F1056" s="1" t="str">
        <f t="shared" si="334"/>
        <v>花都四部-凤凰仓</v>
      </c>
      <c r="G1056" s="1" t="str">
        <f t="shared" si="342"/>
        <v>卡卡杜佳旺专卖店（快手店）</v>
      </c>
      <c r="H1056" s="1" t="str">
        <f t="shared" si="335"/>
        <v>正常订单</v>
      </c>
      <c r="I1056" s="1" t="str">
        <f t="shared" si="336"/>
        <v>已发货</v>
      </c>
      <c r="J1056" s="1" t="str">
        <f t="shared" si="344"/>
        <v>3</v>
      </c>
      <c r="K1056" s="1">
        <v>2</v>
      </c>
      <c r="L1056" s="1" t="s">
        <v>30</v>
      </c>
      <c r="M1056" s="1" t="str">
        <f>"山东省 青岛市 即墨区 大信街道"</f>
        <v>山东省 青岛市 即墨区 大信街道</v>
      </c>
      <c r="N1056" s="1" t="str">
        <f t="shared" si="343"/>
        <v>凡华云仓-城南圆通-快手</v>
      </c>
      <c r="O1056" s="5" t="s">
        <v>1093</v>
      </c>
      <c r="P1056" s="6">
        <v>0.35</v>
      </c>
      <c r="Q1056" s="11">
        <v>2.2999999999999998</v>
      </c>
      <c r="R1056" s="11"/>
      <c r="S1056" s="11"/>
      <c r="T1056" s="11"/>
      <c r="U1056" s="11">
        <f t="shared" si="339"/>
        <v>2.2999999999999998</v>
      </c>
      <c r="W1056">
        <v>2.5</v>
      </c>
      <c r="X1056" s="1" t="s">
        <v>30</v>
      </c>
    </row>
    <row r="1057" spans="1:24" x14ac:dyDescent="0.25">
      <c r="A1057" s="1" t="str">
        <f t="shared" si="333"/>
        <v>卡卡杜-凤凰仓</v>
      </c>
      <c r="B1057" s="1" t="str">
        <f>"CK2024103064"</f>
        <v>CK2024103064</v>
      </c>
      <c r="C1057" s="1" t="str">
        <f>"DD2024103035318"</f>
        <v>DD2024103035318</v>
      </c>
      <c r="D1057" s="1" t="str">
        <f>"CK2024103035403"</f>
        <v>CK2024103035403</v>
      </c>
      <c r="E1057" s="1" t="str">
        <f>"2430402091219811"</f>
        <v>2430402091219811</v>
      </c>
      <c r="F1057" s="1" t="str">
        <f t="shared" si="334"/>
        <v>花都四部-凤凰仓</v>
      </c>
      <c r="G1057" s="1" t="str">
        <f t="shared" si="342"/>
        <v>卡卡杜佳旺专卖店（快手店）</v>
      </c>
      <c r="H1057" s="1" t="str">
        <f t="shared" si="335"/>
        <v>正常订单</v>
      </c>
      <c r="I1057" s="1" t="str">
        <f t="shared" si="336"/>
        <v>已发货</v>
      </c>
      <c r="J1057" s="1" t="str">
        <f t="shared" si="344"/>
        <v>3</v>
      </c>
      <c r="K1057" s="1">
        <v>2</v>
      </c>
      <c r="L1057" s="1" t="s">
        <v>18</v>
      </c>
      <c r="M1057" s="1" t="str">
        <f>"广东省 深圳市 宝安区 新桥街道"</f>
        <v>广东省 深圳市 宝安区 新桥街道</v>
      </c>
      <c r="N1057" s="1" t="str">
        <f t="shared" si="343"/>
        <v>凡华云仓-城南圆通-快手</v>
      </c>
      <c r="O1057" s="5" t="s">
        <v>1094</v>
      </c>
      <c r="P1057" s="6">
        <v>0.35</v>
      </c>
      <c r="Q1057" s="11">
        <v>2.2999999999999998</v>
      </c>
      <c r="R1057" s="11"/>
      <c r="S1057" s="11"/>
      <c r="T1057" s="11"/>
      <c r="U1057" s="11">
        <f t="shared" si="339"/>
        <v>2.2999999999999998</v>
      </c>
      <c r="W1057">
        <v>2.5</v>
      </c>
      <c r="X1057" s="1" t="s">
        <v>18</v>
      </c>
    </row>
    <row r="1058" spans="1:24" x14ac:dyDescent="0.25">
      <c r="A1058" s="1" t="str">
        <f t="shared" si="333"/>
        <v>卡卡杜-凤凰仓</v>
      </c>
      <c r="B1058" s="1" t="str">
        <f>"CK2024103069"</f>
        <v>CK2024103069</v>
      </c>
      <c r="C1058" s="1" t="str">
        <f>"DD2024103035320"</f>
        <v>DD2024103035320</v>
      </c>
      <c r="D1058" s="1" t="str">
        <f>"CK2024103035402"</f>
        <v>CK2024103035402</v>
      </c>
      <c r="E1058" s="1" t="str">
        <f>"2430402160809887"</f>
        <v>2430402160809887</v>
      </c>
      <c r="F1058" s="1" t="str">
        <f t="shared" si="334"/>
        <v>花都四部-凤凰仓</v>
      </c>
      <c r="G1058" s="1" t="str">
        <f t="shared" si="342"/>
        <v>卡卡杜佳旺专卖店（快手店）</v>
      </c>
      <c r="H1058" s="1" t="str">
        <f t="shared" si="335"/>
        <v>正常订单</v>
      </c>
      <c r="I1058" s="1" t="str">
        <f t="shared" si="336"/>
        <v>已发货</v>
      </c>
      <c r="J1058" s="1" t="str">
        <f t="shared" si="344"/>
        <v>3</v>
      </c>
      <c r="K1058" s="1">
        <v>3</v>
      </c>
      <c r="L1058" s="1" t="s">
        <v>32</v>
      </c>
      <c r="M1058" s="1" t="str">
        <f>"陕西省 商洛市 柞水县 乾佑街道"</f>
        <v>陕西省 商洛市 柞水县 乾佑街道</v>
      </c>
      <c r="N1058" s="1" t="str">
        <f t="shared" si="343"/>
        <v>凡华云仓-城南圆通-快手</v>
      </c>
      <c r="O1058" s="5" t="s">
        <v>1095</v>
      </c>
      <c r="P1058" s="6">
        <v>0.34</v>
      </c>
      <c r="Q1058" s="11">
        <v>2.2999999999999998</v>
      </c>
      <c r="R1058" s="11"/>
      <c r="S1058" s="11"/>
      <c r="T1058" s="11"/>
      <c r="U1058" s="11">
        <f t="shared" si="339"/>
        <v>2.2999999999999998</v>
      </c>
      <c r="W1058">
        <v>2.5</v>
      </c>
      <c r="X1058" s="1" t="s">
        <v>32</v>
      </c>
    </row>
    <row r="1059" spans="1:24" x14ac:dyDescent="0.25">
      <c r="A1059" s="1" t="str">
        <f t="shared" si="333"/>
        <v>卡卡杜-凤凰仓</v>
      </c>
      <c r="B1059" s="1" t="str">
        <f>"CK2024103065"</f>
        <v>CK2024103065</v>
      </c>
      <c r="C1059" s="1" t="str">
        <f>"DD2024103035315"</f>
        <v>DD2024103035315</v>
      </c>
      <c r="D1059" s="1" t="str">
        <f>"CK2024103035401"</f>
        <v>CK2024103035401</v>
      </c>
      <c r="E1059" s="1" t="str">
        <f>"2430302250754087"</f>
        <v>2430302250754087</v>
      </c>
      <c r="F1059" s="1" t="str">
        <f t="shared" si="334"/>
        <v>花都四部-凤凰仓</v>
      </c>
      <c r="G1059" s="1" t="str">
        <f t="shared" si="342"/>
        <v>卡卡杜佳旺专卖店（快手店）</v>
      </c>
      <c r="H1059" s="1" t="str">
        <f t="shared" si="335"/>
        <v>正常订单</v>
      </c>
      <c r="I1059" s="1" t="str">
        <f t="shared" si="336"/>
        <v>已发货</v>
      </c>
      <c r="J1059" s="1" t="str">
        <f t="shared" si="344"/>
        <v>3</v>
      </c>
      <c r="K1059" s="1">
        <v>2</v>
      </c>
      <c r="L1059" s="1" t="s">
        <v>18</v>
      </c>
      <c r="M1059" s="1" t="str">
        <f>"广东省 深圳市 龙华区 龙华街道"</f>
        <v>广东省 深圳市 龙华区 龙华街道</v>
      </c>
      <c r="N1059" s="1" t="str">
        <f t="shared" si="343"/>
        <v>凡华云仓-城南圆通-快手</v>
      </c>
      <c r="O1059" s="5" t="s">
        <v>1096</v>
      </c>
      <c r="P1059" s="6">
        <v>0.35</v>
      </c>
      <c r="Q1059" s="11">
        <v>2.2999999999999998</v>
      </c>
      <c r="R1059" s="11"/>
      <c r="S1059" s="11"/>
      <c r="T1059" s="11"/>
      <c r="U1059" s="11">
        <f t="shared" si="339"/>
        <v>2.2999999999999998</v>
      </c>
      <c r="W1059">
        <v>2.5</v>
      </c>
      <c r="X1059" s="1" t="s">
        <v>18</v>
      </c>
    </row>
    <row r="1060" spans="1:24" x14ac:dyDescent="0.25">
      <c r="A1060" s="1" t="str">
        <f t="shared" si="333"/>
        <v>卡卡杜-凤凰仓</v>
      </c>
      <c r="B1060" s="1" t="str">
        <f>"CK2024103061"</f>
        <v>CK2024103061</v>
      </c>
      <c r="C1060" s="1" t="str">
        <f>"DD2024103035310"</f>
        <v>DD2024103035310</v>
      </c>
      <c r="D1060" s="1" t="str">
        <f>"CK2024103035400"</f>
        <v>CK2024103035400</v>
      </c>
      <c r="E1060" s="1" t="str">
        <f>"2430302485961704"</f>
        <v>2430302485961704</v>
      </c>
      <c r="F1060" s="1" t="str">
        <f t="shared" si="334"/>
        <v>花都四部-凤凰仓</v>
      </c>
      <c r="G1060" s="1" t="str">
        <f t="shared" si="342"/>
        <v>卡卡杜佳旺专卖店（快手店）</v>
      </c>
      <c r="H1060" s="1" t="str">
        <f t="shared" si="335"/>
        <v>正常订单</v>
      </c>
      <c r="I1060" s="1" t="str">
        <f t="shared" si="336"/>
        <v>已发货</v>
      </c>
      <c r="J1060" s="1" t="str">
        <f t="shared" si="344"/>
        <v>3</v>
      </c>
      <c r="K1060" s="1">
        <v>2</v>
      </c>
      <c r="L1060" s="1" t="s">
        <v>96</v>
      </c>
      <c r="M1060" s="1" t="str">
        <f>"广西壮族自治区 北海市 海城区 高德街道"</f>
        <v>广西壮族自治区 北海市 海城区 高德街道</v>
      </c>
      <c r="N1060" s="1" t="str">
        <f t="shared" si="343"/>
        <v>凡华云仓-城南圆通-快手</v>
      </c>
      <c r="O1060" s="5" t="s">
        <v>1097</v>
      </c>
      <c r="P1060" s="6">
        <v>0.35</v>
      </c>
      <c r="Q1060" s="11">
        <v>2.2999999999999998</v>
      </c>
      <c r="R1060" s="11"/>
      <c r="S1060" s="11"/>
      <c r="T1060" s="11"/>
      <c r="U1060" s="11">
        <f t="shared" si="339"/>
        <v>2.2999999999999998</v>
      </c>
      <c r="W1060">
        <v>2.5</v>
      </c>
      <c r="X1060" s="1" t="s">
        <v>96</v>
      </c>
    </row>
    <row r="1061" spans="1:24" x14ac:dyDescent="0.25">
      <c r="A1061" s="1" t="str">
        <f t="shared" si="333"/>
        <v>卡卡杜-凤凰仓</v>
      </c>
      <c r="B1061" s="1" t="str">
        <f>"CK2024103062"</f>
        <v>CK2024103062</v>
      </c>
      <c r="C1061" s="1" t="str">
        <f>"DD2024103035313"</f>
        <v>DD2024103035313</v>
      </c>
      <c r="D1061" s="1" t="str">
        <f>"CK2024103035399"</f>
        <v>CK2024103035399</v>
      </c>
      <c r="E1061" s="1" t="str">
        <f>"2430302170585690"</f>
        <v>2430302170585690</v>
      </c>
      <c r="F1061" s="1" t="str">
        <f t="shared" si="334"/>
        <v>花都四部-凤凰仓</v>
      </c>
      <c r="G1061" s="1" t="str">
        <f t="shared" si="342"/>
        <v>卡卡杜佳旺专卖店（快手店）</v>
      </c>
      <c r="H1061" s="1" t="str">
        <f t="shared" si="335"/>
        <v>正常订单</v>
      </c>
      <c r="I1061" s="1" t="str">
        <f t="shared" si="336"/>
        <v>已发货</v>
      </c>
      <c r="J1061" s="1" t="str">
        <f t="shared" si="344"/>
        <v>3</v>
      </c>
      <c r="K1061" s="1">
        <v>2</v>
      </c>
      <c r="L1061" s="1" t="s">
        <v>18</v>
      </c>
      <c r="M1061" s="1" t="str">
        <f>"广东省 珠海市 香洲区 唐家湾镇"</f>
        <v>广东省 珠海市 香洲区 唐家湾镇</v>
      </c>
      <c r="N1061" s="1" t="str">
        <f t="shared" si="343"/>
        <v>凡华云仓-城南圆通-快手</v>
      </c>
      <c r="O1061" s="5" t="s">
        <v>1098</v>
      </c>
      <c r="P1061" s="6">
        <v>0.35</v>
      </c>
      <c r="Q1061" s="11">
        <v>2.2999999999999998</v>
      </c>
      <c r="R1061" s="11"/>
      <c r="S1061" s="11"/>
      <c r="T1061" s="11"/>
      <c r="U1061" s="11">
        <f t="shared" si="339"/>
        <v>2.2999999999999998</v>
      </c>
      <c r="W1061">
        <v>2.5</v>
      </c>
      <c r="X1061" s="1" t="s">
        <v>18</v>
      </c>
    </row>
    <row r="1062" spans="1:24" x14ac:dyDescent="0.25">
      <c r="A1062" s="1" t="str">
        <f t="shared" si="333"/>
        <v>卡卡杜-凤凰仓</v>
      </c>
      <c r="B1062" s="1" t="str">
        <f>"CK20241030469"</f>
        <v>CK20241030469</v>
      </c>
      <c r="C1062" s="1" t="str">
        <f>"DD2024103036832"</f>
        <v>DD2024103036832</v>
      </c>
      <c r="D1062" s="1" t="str">
        <f>"CK2024103035398"</f>
        <v>CK2024103035398</v>
      </c>
      <c r="E1062" s="1" t="str">
        <f>"2430301775442262"</f>
        <v>2430301775442262</v>
      </c>
      <c r="F1062" s="1" t="str">
        <f t="shared" si="334"/>
        <v>花都四部-凤凰仓</v>
      </c>
      <c r="G1062" s="1" t="str">
        <f t="shared" si="342"/>
        <v>卡卡杜佳旺专卖店（快手店）</v>
      </c>
      <c r="H1062" s="1" t="str">
        <f t="shared" si="335"/>
        <v>正常订单</v>
      </c>
      <c r="I1062" s="1" t="str">
        <f t="shared" si="336"/>
        <v>已发货</v>
      </c>
      <c r="J1062" s="1" t="str">
        <f t="shared" si="344"/>
        <v>3</v>
      </c>
      <c r="K1062" s="1">
        <v>2</v>
      </c>
      <c r="L1062" s="1" t="s">
        <v>1099</v>
      </c>
      <c r="M1062" s="1" t="str">
        <f>"重庆市 重庆市 云阳县 凤鸣镇"</f>
        <v>重庆市 重庆市 云阳县 凤鸣镇</v>
      </c>
      <c r="N1062" s="1" t="str">
        <f t="shared" si="343"/>
        <v>凡华云仓-城南圆通-快手</v>
      </c>
      <c r="O1062" s="5" t="s">
        <v>1100</v>
      </c>
      <c r="P1062" s="6">
        <v>0.35</v>
      </c>
      <c r="Q1062" s="11">
        <v>2.2999999999999998</v>
      </c>
      <c r="R1062" s="11"/>
      <c r="S1062" s="11"/>
      <c r="T1062" s="11"/>
      <c r="U1062" s="11">
        <f t="shared" si="339"/>
        <v>2.2999999999999998</v>
      </c>
      <c r="W1062">
        <v>2.5</v>
      </c>
      <c r="X1062" s="1" t="s">
        <v>1099</v>
      </c>
    </row>
    <row r="1063" spans="1:24" x14ac:dyDescent="0.25">
      <c r="A1063" s="1" t="str">
        <f t="shared" si="333"/>
        <v>卡卡杜-凤凰仓</v>
      </c>
      <c r="B1063" s="1" t="str">
        <f>"CK20241030466"</f>
        <v>CK20241030466</v>
      </c>
      <c r="C1063" s="1" t="str">
        <f>"DD2024103036830"</f>
        <v>DD2024103036830</v>
      </c>
      <c r="D1063" s="1" t="str">
        <f>"CK2024103035397"</f>
        <v>CK2024103035397</v>
      </c>
      <c r="E1063" s="1" t="str">
        <f>"2430302403096380"</f>
        <v>2430302403096380</v>
      </c>
      <c r="F1063" s="1" t="str">
        <f t="shared" si="334"/>
        <v>花都四部-凤凰仓</v>
      </c>
      <c r="G1063" s="1" t="str">
        <f t="shared" si="342"/>
        <v>卡卡杜佳旺专卖店（快手店）</v>
      </c>
      <c r="H1063" s="1" t="str">
        <f t="shared" si="335"/>
        <v>正常订单</v>
      </c>
      <c r="I1063" s="1" t="str">
        <f t="shared" si="336"/>
        <v>已发货</v>
      </c>
      <c r="J1063" s="1" t="str">
        <f t="shared" si="344"/>
        <v>3</v>
      </c>
      <c r="K1063" s="1">
        <v>2</v>
      </c>
      <c r="L1063" s="1" t="s">
        <v>1099</v>
      </c>
      <c r="M1063" s="1" t="str">
        <f>"重庆市 重庆市 渝北区 双凤桥街道"</f>
        <v>重庆市 重庆市 渝北区 双凤桥街道</v>
      </c>
      <c r="N1063" s="1" t="str">
        <f t="shared" si="343"/>
        <v>凡华云仓-城南圆通-快手</v>
      </c>
      <c r="O1063" s="5" t="s">
        <v>1101</v>
      </c>
      <c r="P1063" s="6">
        <v>0.35</v>
      </c>
      <c r="Q1063" s="11">
        <v>2.2999999999999998</v>
      </c>
      <c r="R1063" s="11"/>
      <c r="S1063" s="11"/>
      <c r="T1063" s="11"/>
      <c r="U1063" s="11">
        <f t="shared" si="339"/>
        <v>2.2999999999999998</v>
      </c>
      <c r="W1063">
        <v>2.5</v>
      </c>
      <c r="X1063" s="1" t="s">
        <v>1099</v>
      </c>
    </row>
    <row r="1064" spans="1:24" x14ac:dyDescent="0.25">
      <c r="A1064" s="1" t="str">
        <f t="shared" si="333"/>
        <v>卡卡杜-凤凰仓</v>
      </c>
      <c r="B1064" s="1" t="str">
        <f>"CK20241030461"</f>
        <v>CK20241030461</v>
      </c>
      <c r="C1064" s="1" t="str">
        <f>"DD2024103036827"</f>
        <v>DD2024103036827</v>
      </c>
      <c r="D1064" s="1" t="str">
        <f>"CK2024103035396"</f>
        <v>CK2024103035396</v>
      </c>
      <c r="E1064" s="1" t="str">
        <f>"2430301929907048"</f>
        <v>2430301929907048</v>
      </c>
      <c r="F1064" s="1" t="str">
        <f t="shared" si="334"/>
        <v>花都四部-凤凰仓</v>
      </c>
      <c r="G1064" s="1" t="str">
        <f t="shared" si="342"/>
        <v>卡卡杜佳旺专卖店（快手店）</v>
      </c>
      <c r="H1064" s="1" t="str">
        <f t="shared" si="335"/>
        <v>正常订单</v>
      </c>
      <c r="I1064" s="1" t="str">
        <f t="shared" si="336"/>
        <v>已发货</v>
      </c>
      <c r="J1064" s="1" t="str">
        <f t="shared" si="344"/>
        <v>3</v>
      </c>
      <c r="K1064" s="1">
        <v>2</v>
      </c>
      <c r="L1064" s="1" t="s">
        <v>18</v>
      </c>
      <c r="M1064" s="1" t="str">
        <f>"广东省 中山市 民众街道 民众街道"</f>
        <v>广东省 中山市 民众街道 民众街道</v>
      </c>
      <c r="N1064" s="1" t="str">
        <f t="shared" si="343"/>
        <v>凡华云仓-城南圆通-快手</v>
      </c>
      <c r="O1064" s="5" t="s">
        <v>1102</v>
      </c>
      <c r="P1064" s="6">
        <v>0.35</v>
      </c>
      <c r="Q1064" s="11">
        <v>2.2999999999999998</v>
      </c>
      <c r="R1064" s="11"/>
      <c r="S1064" s="11"/>
      <c r="T1064" s="11"/>
      <c r="U1064" s="11">
        <f t="shared" si="339"/>
        <v>2.2999999999999998</v>
      </c>
      <c r="W1064">
        <v>2.5</v>
      </c>
      <c r="X1064" s="1" t="s">
        <v>18</v>
      </c>
    </row>
    <row r="1065" spans="1:24" x14ac:dyDescent="0.25">
      <c r="A1065" s="1" t="str">
        <f t="shared" si="333"/>
        <v>卡卡杜-凤凰仓</v>
      </c>
      <c r="B1065" s="1" t="str">
        <f>"CK2024103080"</f>
        <v>CK2024103080</v>
      </c>
      <c r="C1065" s="1" t="str">
        <f>"DD2024103035328"</f>
        <v>DD2024103035328</v>
      </c>
      <c r="D1065" s="1" t="str">
        <f>"CK2024103035395"</f>
        <v>CK2024103035395</v>
      </c>
      <c r="E1065" s="1" t="str">
        <f>"2430301852386133"</f>
        <v>2430301852386133</v>
      </c>
      <c r="F1065" s="1" t="str">
        <f t="shared" si="334"/>
        <v>花都四部-凤凰仓</v>
      </c>
      <c r="G1065" s="1" t="str">
        <f t="shared" si="342"/>
        <v>卡卡杜佳旺专卖店（快手店）</v>
      </c>
      <c r="H1065" s="1" t="str">
        <f t="shared" si="335"/>
        <v>正常订单</v>
      </c>
      <c r="I1065" s="1" t="str">
        <f t="shared" si="336"/>
        <v>已发货</v>
      </c>
      <c r="J1065" s="1" t="str">
        <f t="shared" si="344"/>
        <v>3</v>
      </c>
      <c r="K1065" s="1">
        <v>2</v>
      </c>
      <c r="L1065" s="1" t="s">
        <v>32</v>
      </c>
      <c r="M1065" s="1" t="str">
        <f>"陕西省 西安市 未央区 "</f>
        <v xml:space="preserve">陕西省 西安市 未央区 </v>
      </c>
      <c r="N1065" s="1" t="str">
        <f t="shared" si="343"/>
        <v>凡华云仓-城南圆通-快手</v>
      </c>
      <c r="O1065" s="5" t="s">
        <v>1103</v>
      </c>
      <c r="P1065" s="6">
        <v>0.35</v>
      </c>
      <c r="Q1065" s="11">
        <v>2.2999999999999998</v>
      </c>
      <c r="R1065" s="11"/>
      <c r="S1065" s="11"/>
      <c r="T1065" s="11"/>
      <c r="U1065" s="11">
        <f t="shared" si="339"/>
        <v>2.2999999999999998</v>
      </c>
      <c r="W1065">
        <v>2.5</v>
      </c>
      <c r="X1065" s="1" t="s">
        <v>32</v>
      </c>
    </row>
    <row r="1066" spans="1:24" x14ac:dyDescent="0.25">
      <c r="A1066" s="1" t="str">
        <f t="shared" si="333"/>
        <v>卡卡杜-凤凰仓</v>
      </c>
      <c r="B1066" s="1" t="str">
        <f>"CK20241030459"</f>
        <v>CK20241030459</v>
      </c>
      <c r="C1066" s="1" t="str">
        <f>"DD2024103036823"</f>
        <v>DD2024103036823</v>
      </c>
      <c r="D1066" s="1" t="str">
        <f>"CK2024103035394"</f>
        <v>CK2024103035394</v>
      </c>
      <c r="E1066" s="1" t="str">
        <f>"2430302249755133"</f>
        <v>2430302249755133</v>
      </c>
      <c r="F1066" s="1" t="str">
        <f t="shared" si="334"/>
        <v>花都四部-凤凰仓</v>
      </c>
      <c r="G1066" s="1" t="str">
        <f t="shared" si="342"/>
        <v>卡卡杜佳旺专卖店（快手店）</v>
      </c>
      <c r="H1066" s="1" t="str">
        <f t="shared" si="335"/>
        <v>正常订单</v>
      </c>
      <c r="I1066" s="1" t="str">
        <f t="shared" si="336"/>
        <v>已发货</v>
      </c>
      <c r="J1066" s="1" t="str">
        <f t="shared" si="344"/>
        <v>3</v>
      </c>
      <c r="K1066" s="1">
        <v>2</v>
      </c>
      <c r="L1066" s="1" t="s">
        <v>32</v>
      </c>
      <c r="M1066" s="1" t="str">
        <f>"陕西省 西安市 未央区 "</f>
        <v xml:space="preserve">陕西省 西安市 未央区 </v>
      </c>
      <c r="N1066" s="1" t="str">
        <f t="shared" si="343"/>
        <v>凡华云仓-城南圆通-快手</v>
      </c>
      <c r="O1066" s="5" t="s">
        <v>1104</v>
      </c>
      <c r="P1066" s="6">
        <v>0.35</v>
      </c>
      <c r="Q1066" s="11">
        <v>2.2999999999999998</v>
      </c>
      <c r="R1066" s="11"/>
      <c r="S1066" s="11"/>
      <c r="T1066" s="11"/>
      <c r="U1066" s="11">
        <f t="shared" si="339"/>
        <v>2.2999999999999998</v>
      </c>
      <c r="W1066">
        <v>2.5</v>
      </c>
      <c r="X1066" s="1" t="s">
        <v>32</v>
      </c>
    </row>
    <row r="1067" spans="1:24" x14ac:dyDescent="0.25">
      <c r="A1067" s="1" t="str">
        <f t="shared" si="333"/>
        <v>卡卡杜-凤凰仓</v>
      </c>
      <c r="B1067" s="1" t="str">
        <f>"CK2024103007"</f>
        <v>CK2024103007</v>
      </c>
      <c r="C1067" s="1" t="str">
        <f>"DD2024103035170"</f>
        <v>DD2024103035170</v>
      </c>
      <c r="D1067" s="1" t="str">
        <f>"CK2024103035393"</f>
        <v>CK2024103035393</v>
      </c>
      <c r="E1067" s="1" t="str">
        <f>"2430302249176349"</f>
        <v>2430302249176349</v>
      </c>
      <c r="F1067" s="1" t="str">
        <f t="shared" si="334"/>
        <v>花都四部-凤凰仓</v>
      </c>
      <c r="G1067" s="1" t="str">
        <f t="shared" si="342"/>
        <v>卡卡杜佳旺专卖店（快手店）</v>
      </c>
      <c r="H1067" s="1" t="str">
        <f t="shared" si="335"/>
        <v>正常订单</v>
      </c>
      <c r="I1067" s="1" t="str">
        <f t="shared" si="336"/>
        <v>已发货</v>
      </c>
      <c r="J1067" s="1" t="str">
        <f>"5"</f>
        <v>5</v>
      </c>
      <c r="K1067" s="1">
        <v>2</v>
      </c>
      <c r="L1067" s="1" t="s">
        <v>22</v>
      </c>
      <c r="M1067" s="1" t="str">
        <f>"江西省 景德镇市 浮梁县 洪源镇"</f>
        <v>江西省 景德镇市 浮梁县 洪源镇</v>
      </c>
      <c r="N1067" s="1" t="str">
        <f t="shared" si="343"/>
        <v>凡华云仓-城南圆通-快手</v>
      </c>
      <c r="O1067" s="5" t="s">
        <v>1105</v>
      </c>
      <c r="P1067" s="6">
        <v>0.59</v>
      </c>
      <c r="Q1067" s="11">
        <f>CEILING(P1067-0.5,0.1)*10*0.15+2.3</f>
        <v>2.4499999999999997</v>
      </c>
      <c r="R1067" s="11"/>
      <c r="S1067" s="11"/>
      <c r="T1067" s="11"/>
      <c r="U1067" s="11">
        <f t="shared" si="339"/>
        <v>2.4499999999999997</v>
      </c>
      <c r="V1067" t="s">
        <v>15</v>
      </c>
      <c r="W1067">
        <v>2.4500000000000002</v>
      </c>
      <c r="X1067" s="1" t="s">
        <v>22</v>
      </c>
    </row>
    <row r="1068" spans="1:24" x14ac:dyDescent="0.25">
      <c r="A1068" s="1" t="str">
        <f t="shared" si="333"/>
        <v>卡卡杜-凤凰仓</v>
      </c>
      <c r="B1068" s="1" t="str">
        <f>"CK2024103059"</f>
        <v>CK2024103059</v>
      </c>
      <c r="C1068" s="1" t="str">
        <f>"DD2024103035311"</f>
        <v>DD2024103035311</v>
      </c>
      <c r="D1068" s="1" t="str">
        <f>"CK2024103035392"</f>
        <v>CK2024103035392</v>
      </c>
      <c r="E1068" s="1" t="str">
        <f>"2430302407506793"</f>
        <v>2430302407506793</v>
      </c>
      <c r="F1068" s="1" t="str">
        <f t="shared" si="334"/>
        <v>花都四部-凤凰仓</v>
      </c>
      <c r="G1068" s="1" t="str">
        <f t="shared" si="342"/>
        <v>卡卡杜佳旺专卖店（快手店）</v>
      </c>
      <c r="H1068" s="1" t="str">
        <f t="shared" si="335"/>
        <v>正常订单</v>
      </c>
      <c r="I1068" s="1" t="str">
        <f t="shared" si="336"/>
        <v>已发货</v>
      </c>
      <c r="J1068" s="1" t="str">
        <f t="shared" ref="J1068:J1074" si="345">"3"</f>
        <v>3</v>
      </c>
      <c r="K1068" s="1">
        <v>2</v>
      </c>
      <c r="L1068" s="1" t="s">
        <v>54</v>
      </c>
      <c r="M1068" s="1" t="str">
        <f>"黑龙江省 绥化市 北林区 吉泰街道"</f>
        <v>黑龙江省 绥化市 北林区 吉泰街道</v>
      </c>
      <c r="N1068" s="1" t="str">
        <f t="shared" si="343"/>
        <v>凡华云仓-城南圆通-快手</v>
      </c>
      <c r="O1068" s="5" t="s">
        <v>1106</v>
      </c>
      <c r="P1068" s="6">
        <v>0.35</v>
      </c>
      <c r="Q1068" s="11">
        <v>2.2999999999999998</v>
      </c>
      <c r="R1068" s="11"/>
      <c r="S1068" s="11"/>
      <c r="T1068" s="11"/>
      <c r="U1068" s="11">
        <f t="shared" si="339"/>
        <v>2.2999999999999998</v>
      </c>
      <c r="W1068">
        <v>2.5</v>
      </c>
      <c r="X1068" s="1" t="s">
        <v>54</v>
      </c>
    </row>
    <row r="1069" spans="1:24" x14ac:dyDescent="0.25">
      <c r="A1069" s="1" t="str">
        <f t="shared" si="333"/>
        <v>卡卡杜-凤凰仓</v>
      </c>
      <c r="B1069" s="1" t="str">
        <f>"CK2024103042"</f>
        <v>CK2024103042</v>
      </c>
      <c r="C1069" s="1" t="str">
        <f>"DD2024103035293"</f>
        <v>DD2024103035293</v>
      </c>
      <c r="D1069" s="1" t="str">
        <f>"CK2024103035391"</f>
        <v>CK2024103035391</v>
      </c>
      <c r="E1069" s="1" t="str">
        <f>"2430302175219042"</f>
        <v>2430302175219042</v>
      </c>
      <c r="F1069" s="1" t="str">
        <f t="shared" si="334"/>
        <v>花都四部-凤凰仓</v>
      </c>
      <c r="G1069" s="1" t="str">
        <f t="shared" si="342"/>
        <v>卡卡杜佳旺专卖店（快手店）</v>
      </c>
      <c r="H1069" s="1" t="str">
        <f t="shared" si="335"/>
        <v>正常订单</v>
      </c>
      <c r="I1069" s="1" t="str">
        <f t="shared" si="336"/>
        <v>已发货</v>
      </c>
      <c r="J1069" s="1" t="str">
        <f t="shared" si="345"/>
        <v>3</v>
      </c>
      <c r="K1069" s="1">
        <v>2</v>
      </c>
      <c r="L1069" s="1" t="s">
        <v>18</v>
      </c>
      <c r="M1069" s="1" t="str">
        <f>"广东省 佛山市 顺德区 北滘镇"</f>
        <v>广东省 佛山市 顺德区 北滘镇</v>
      </c>
      <c r="N1069" s="1" t="str">
        <f t="shared" si="343"/>
        <v>凡华云仓-城南圆通-快手</v>
      </c>
      <c r="O1069" s="5" t="s">
        <v>1107</v>
      </c>
      <c r="P1069" s="6">
        <v>0.35</v>
      </c>
      <c r="Q1069" s="11">
        <v>2.2999999999999998</v>
      </c>
      <c r="R1069" s="11"/>
      <c r="S1069" s="11"/>
      <c r="T1069" s="11"/>
      <c r="U1069" s="11">
        <f t="shared" si="339"/>
        <v>2.2999999999999998</v>
      </c>
      <c r="W1069">
        <v>2.5</v>
      </c>
      <c r="X1069" s="1" t="s">
        <v>18</v>
      </c>
    </row>
    <row r="1070" spans="1:24" x14ac:dyDescent="0.25">
      <c r="A1070" s="1" t="str">
        <f t="shared" si="333"/>
        <v>卡卡杜-凤凰仓</v>
      </c>
      <c r="B1070" s="1" t="str">
        <f>"CK20241030464"</f>
        <v>CK20241030464</v>
      </c>
      <c r="C1070" s="1" t="str">
        <f>"DD2024103036824"</f>
        <v>DD2024103036824</v>
      </c>
      <c r="D1070" s="1" t="str">
        <f>"CK2024103035390"</f>
        <v>CK2024103035390</v>
      </c>
      <c r="E1070" s="1" t="str">
        <f>"2430301767146715"</f>
        <v>2430301767146715</v>
      </c>
      <c r="F1070" s="1" t="str">
        <f t="shared" si="334"/>
        <v>花都四部-凤凰仓</v>
      </c>
      <c r="G1070" s="1" t="str">
        <f t="shared" si="342"/>
        <v>卡卡杜佳旺专卖店（快手店）</v>
      </c>
      <c r="H1070" s="1" t="str">
        <f t="shared" si="335"/>
        <v>正常订单</v>
      </c>
      <c r="I1070" s="1" t="str">
        <f t="shared" si="336"/>
        <v>已发货</v>
      </c>
      <c r="J1070" s="1" t="str">
        <f t="shared" si="345"/>
        <v>3</v>
      </c>
      <c r="K1070" s="1">
        <v>2</v>
      </c>
      <c r="L1070" s="1" t="s">
        <v>66</v>
      </c>
      <c r="M1070" s="1" t="str">
        <f>"内蒙古自治区 包头市 包头稀土高新技术产业开发区 稀土路街道"</f>
        <v>内蒙古自治区 包头市 包头稀土高新技术产业开发区 稀土路街道</v>
      </c>
      <c r="N1070" s="1" t="str">
        <f t="shared" si="343"/>
        <v>凡华云仓-城南圆通-快手</v>
      </c>
      <c r="O1070" s="5" t="s">
        <v>1108</v>
      </c>
      <c r="P1070" s="6">
        <v>0.35</v>
      </c>
      <c r="Q1070" s="11">
        <v>2.2999999999999998</v>
      </c>
      <c r="R1070" s="11"/>
      <c r="S1070" s="11"/>
      <c r="T1070" s="11"/>
      <c r="U1070" s="11">
        <f t="shared" si="339"/>
        <v>2.2999999999999998</v>
      </c>
      <c r="W1070">
        <v>2.5</v>
      </c>
      <c r="X1070" s="1" t="s">
        <v>66</v>
      </c>
    </row>
    <row r="1071" spans="1:24" x14ac:dyDescent="0.25">
      <c r="A1071" s="1" t="str">
        <f t="shared" si="333"/>
        <v>卡卡杜-凤凰仓</v>
      </c>
      <c r="B1071" s="1" t="str">
        <f>"CK2024103050"</f>
        <v>CK2024103050</v>
      </c>
      <c r="C1071" s="1" t="str">
        <f>"DD2024103035302"</f>
        <v>DD2024103035302</v>
      </c>
      <c r="D1071" s="1" t="str">
        <f>"CK2024103035389"</f>
        <v>CK2024103035389</v>
      </c>
      <c r="E1071" s="1" t="str">
        <f>"2430302090282923"</f>
        <v>2430302090282923</v>
      </c>
      <c r="F1071" s="1" t="str">
        <f t="shared" si="334"/>
        <v>花都四部-凤凰仓</v>
      </c>
      <c r="G1071" s="1" t="str">
        <f t="shared" si="342"/>
        <v>卡卡杜佳旺专卖店（快手店）</v>
      </c>
      <c r="H1071" s="1" t="str">
        <f t="shared" si="335"/>
        <v>正常订单</v>
      </c>
      <c r="I1071" s="1" t="str">
        <f t="shared" si="336"/>
        <v>已发货</v>
      </c>
      <c r="J1071" s="1" t="str">
        <f t="shared" si="345"/>
        <v>3</v>
      </c>
      <c r="K1071" s="1">
        <v>2</v>
      </c>
      <c r="L1071" s="1" t="s">
        <v>54</v>
      </c>
      <c r="M1071" s="1" t="str">
        <f>"黑龙江省 鹤岗市 东山区 蔬园乡"</f>
        <v>黑龙江省 鹤岗市 东山区 蔬园乡</v>
      </c>
      <c r="N1071" s="1" t="str">
        <f t="shared" si="343"/>
        <v>凡华云仓-城南圆通-快手</v>
      </c>
      <c r="O1071" s="5" t="s">
        <v>1109</v>
      </c>
      <c r="P1071" s="6">
        <v>0.35</v>
      </c>
      <c r="Q1071" s="11">
        <v>2.2999999999999998</v>
      </c>
      <c r="R1071" s="11"/>
      <c r="S1071" s="11"/>
      <c r="T1071" s="11"/>
      <c r="U1071" s="11">
        <f t="shared" si="339"/>
        <v>2.2999999999999998</v>
      </c>
      <c r="W1071">
        <v>2.5</v>
      </c>
      <c r="X1071" s="1" t="s">
        <v>54</v>
      </c>
    </row>
    <row r="1072" spans="1:24" x14ac:dyDescent="0.25">
      <c r="A1072" s="1" t="str">
        <f t="shared" si="333"/>
        <v>卡卡杜-凤凰仓</v>
      </c>
      <c r="B1072" s="1" t="str">
        <f>"CK2024103075"</f>
        <v>CK2024103075</v>
      </c>
      <c r="C1072" s="1" t="str">
        <f>"DD2024103035326"</f>
        <v>DD2024103035326</v>
      </c>
      <c r="D1072" s="1" t="str">
        <f>"CK2024103035388"</f>
        <v>CK2024103035388</v>
      </c>
      <c r="E1072" s="1" t="str">
        <f>"2430302090403409"</f>
        <v>2430302090403409</v>
      </c>
      <c r="F1072" s="1" t="str">
        <f t="shared" si="334"/>
        <v>花都四部-凤凰仓</v>
      </c>
      <c r="G1072" s="1" t="str">
        <f t="shared" si="342"/>
        <v>卡卡杜佳旺专卖店（快手店）</v>
      </c>
      <c r="H1072" s="1" t="str">
        <f t="shared" si="335"/>
        <v>正常订单</v>
      </c>
      <c r="I1072" s="1" t="str">
        <f t="shared" si="336"/>
        <v>已发货</v>
      </c>
      <c r="J1072" s="1" t="str">
        <f t="shared" si="345"/>
        <v>3</v>
      </c>
      <c r="K1072" s="1">
        <v>3</v>
      </c>
      <c r="L1072" s="1" t="s">
        <v>187</v>
      </c>
      <c r="M1072" s="1" t="str">
        <f>"吉林省 长春市 南关区 永吉街道"</f>
        <v>吉林省 长春市 南关区 永吉街道</v>
      </c>
      <c r="N1072" s="1" t="str">
        <f t="shared" si="343"/>
        <v>凡华云仓-城南圆通-快手</v>
      </c>
      <c r="O1072" s="5" t="s">
        <v>1110</v>
      </c>
      <c r="P1072" s="6">
        <v>0.34</v>
      </c>
      <c r="Q1072" s="11">
        <v>2.2999999999999998</v>
      </c>
      <c r="R1072" s="11"/>
      <c r="S1072" s="11"/>
      <c r="T1072" s="11"/>
      <c r="U1072" s="11">
        <f t="shared" si="339"/>
        <v>2.2999999999999998</v>
      </c>
      <c r="W1072">
        <v>2.5</v>
      </c>
      <c r="X1072" s="1" t="s">
        <v>187</v>
      </c>
    </row>
    <row r="1073" spans="1:24" x14ac:dyDescent="0.25">
      <c r="A1073" s="1" t="str">
        <f t="shared" si="333"/>
        <v>卡卡杜-凤凰仓</v>
      </c>
      <c r="B1073" s="1" t="str">
        <f>"CK2024103044"</f>
        <v>CK2024103044</v>
      </c>
      <c r="C1073" s="1" t="str">
        <f>"DD2024103035295"</f>
        <v>DD2024103035295</v>
      </c>
      <c r="D1073" s="1" t="str">
        <f>"CK2024103035387"</f>
        <v>CK2024103035387</v>
      </c>
      <c r="E1073" s="1" t="str">
        <f>"2430301769299773"</f>
        <v>2430301769299773</v>
      </c>
      <c r="F1073" s="1" t="str">
        <f t="shared" si="334"/>
        <v>花都四部-凤凰仓</v>
      </c>
      <c r="G1073" s="1" t="str">
        <f t="shared" si="342"/>
        <v>卡卡杜佳旺专卖店（快手店）</v>
      </c>
      <c r="H1073" s="1" t="str">
        <f t="shared" si="335"/>
        <v>正常订单</v>
      </c>
      <c r="I1073" s="1" t="str">
        <f t="shared" si="336"/>
        <v>已发货</v>
      </c>
      <c r="J1073" s="1" t="str">
        <f t="shared" si="345"/>
        <v>3</v>
      </c>
      <c r="K1073" s="1">
        <v>2</v>
      </c>
      <c r="L1073" s="1" t="s">
        <v>1111</v>
      </c>
      <c r="M1073" s="1" t="str">
        <f>"青海省 西宁市 大通回族土族自治县 桥头镇"</f>
        <v>青海省 西宁市 大通回族土族自治县 桥头镇</v>
      </c>
      <c r="N1073" s="1" t="str">
        <f t="shared" si="343"/>
        <v>凡华云仓-城南圆通-快手</v>
      </c>
      <c r="O1073" s="5" t="s">
        <v>1112</v>
      </c>
      <c r="P1073" s="6">
        <v>0.35</v>
      </c>
      <c r="Q1073" s="11">
        <v>2.2999999999999998</v>
      </c>
      <c r="R1073" s="11"/>
      <c r="S1073" s="11"/>
      <c r="T1073" s="11"/>
      <c r="U1073" s="11">
        <f t="shared" si="339"/>
        <v>2.2999999999999998</v>
      </c>
      <c r="W1073">
        <v>2.5</v>
      </c>
      <c r="X1073" s="1" t="s">
        <v>1111</v>
      </c>
    </row>
    <row r="1074" spans="1:24" x14ac:dyDescent="0.25">
      <c r="A1074" s="1" t="str">
        <f t="shared" si="333"/>
        <v>卡卡杜-凤凰仓</v>
      </c>
      <c r="B1074" s="1" t="str">
        <f>"CK2024103052"</f>
        <v>CK2024103052</v>
      </c>
      <c r="C1074" s="1" t="str">
        <f>"DD2024103035306"</f>
        <v>DD2024103035306</v>
      </c>
      <c r="D1074" s="1" t="str">
        <f>"CK2024103035386"</f>
        <v>CK2024103035386</v>
      </c>
      <c r="E1074" s="1" t="str">
        <f>"2430301767761325"</f>
        <v>2430301767761325</v>
      </c>
      <c r="F1074" s="1" t="str">
        <f t="shared" si="334"/>
        <v>花都四部-凤凰仓</v>
      </c>
      <c r="G1074" s="1" t="str">
        <f t="shared" si="342"/>
        <v>卡卡杜佳旺专卖店（快手店）</v>
      </c>
      <c r="H1074" s="1" t="str">
        <f t="shared" si="335"/>
        <v>正常订单</v>
      </c>
      <c r="I1074" s="1" t="str">
        <f t="shared" si="336"/>
        <v>已发货</v>
      </c>
      <c r="J1074" s="1" t="str">
        <f t="shared" si="345"/>
        <v>3</v>
      </c>
      <c r="K1074" s="1">
        <v>2</v>
      </c>
      <c r="L1074" s="1" t="s">
        <v>20</v>
      </c>
      <c r="M1074" s="1" t="str">
        <f>"浙江省 宁波市 北仑区 新碶街道"</f>
        <v>浙江省 宁波市 北仑区 新碶街道</v>
      </c>
      <c r="N1074" s="1" t="str">
        <f>"凡华云仓-竹料中通-快手"</f>
        <v>凡华云仓-竹料中通-快手</v>
      </c>
      <c r="O1074" s="5">
        <v>75935289548952</v>
      </c>
      <c r="P1074" s="6">
        <v>0.35</v>
      </c>
      <c r="Q1074" s="11">
        <v>2.6</v>
      </c>
      <c r="R1074" s="11"/>
      <c r="S1074" s="11"/>
      <c r="T1074" s="11"/>
      <c r="U1074" s="11">
        <f t="shared" si="339"/>
        <v>2.6</v>
      </c>
      <c r="W1074">
        <v>2.6</v>
      </c>
      <c r="X1074" s="1" t="s">
        <v>20</v>
      </c>
    </row>
    <row r="1075" spans="1:24" x14ac:dyDescent="0.25">
      <c r="A1075" s="1" t="str">
        <f t="shared" si="333"/>
        <v>卡卡杜-凤凰仓</v>
      </c>
      <c r="B1075" s="1" t="str">
        <f>"CK2024103006"</f>
        <v>CK2024103006</v>
      </c>
      <c r="C1075" s="1" t="str">
        <f>"DD2024103035164"</f>
        <v>DD2024103035164</v>
      </c>
      <c r="D1075" s="1" t="str">
        <f>"CK2024103035385"</f>
        <v>CK2024103035385</v>
      </c>
      <c r="E1075" s="1" t="str">
        <f>"2430301609066253"</f>
        <v>2430301609066253</v>
      </c>
      <c r="F1075" s="1" t="str">
        <f t="shared" si="334"/>
        <v>花都四部-凤凰仓</v>
      </c>
      <c r="G1075" s="1" t="str">
        <f t="shared" si="342"/>
        <v>卡卡杜佳旺专卖店（快手店）</v>
      </c>
      <c r="H1075" s="1" t="str">
        <f t="shared" si="335"/>
        <v>正常订单</v>
      </c>
      <c r="I1075" s="1" t="str">
        <f t="shared" si="336"/>
        <v>已发货</v>
      </c>
      <c r="J1075" s="1" t="str">
        <f>"5"</f>
        <v>5</v>
      </c>
      <c r="K1075" s="1">
        <v>2</v>
      </c>
      <c r="L1075" s="1" t="s">
        <v>41</v>
      </c>
      <c r="M1075" s="1" t="str">
        <f>"湖北省 武汉市 硚口区 汉水桥街道"</f>
        <v>湖北省 武汉市 硚口区 汉水桥街道</v>
      </c>
      <c r="N1075" s="1" t="str">
        <f t="shared" ref="N1075:N1081" si="346">"凡华云仓-城南圆通-快手"</f>
        <v>凡华云仓-城南圆通-快手</v>
      </c>
      <c r="O1075" s="5" t="s">
        <v>1113</v>
      </c>
      <c r="P1075" s="6">
        <v>0.59</v>
      </c>
      <c r="Q1075" s="11">
        <f t="shared" ref="Q1075:Q1080" si="347">CEILING(P1075-0.5,0.1)*10*0.15+2.3</f>
        <v>2.4499999999999997</v>
      </c>
      <c r="R1075" s="11"/>
      <c r="S1075" s="11"/>
      <c r="T1075" s="11"/>
      <c r="U1075" s="11">
        <f t="shared" si="339"/>
        <v>2.4499999999999997</v>
      </c>
      <c r="V1075" t="s">
        <v>15</v>
      </c>
      <c r="W1075">
        <v>2.4500000000000002</v>
      </c>
      <c r="X1075" s="1" t="s">
        <v>41</v>
      </c>
    </row>
    <row r="1076" spans="1:24" x14ac:dyDescent="0.25">
      <c r="A1076" s="1" t="str">
        <f t="shared" si="333"/>
        <v>卡卡杜-凤凰仓</v>
      </c>
      <c r="B1076" s="1" t="str">
        <f>"CK2024103048"</f>
        <v>CK2024103048</v>
      </c>
      <c r="C1076" s="1" t="str">
        <f>"DD2024103035299"</f>
        <v>DD2024103035299</v>
      </c>
      <c r="D1076" s="1" t="str">
        <f>"CK2024103035384"</f>
        <v>CK2024103035384</v>
      </c>
      <c r="E1076" s="1" t="str">
        <f>"2430302409427567"</f>
        <v>2430302409427567</v>
      </c>
      <c r="F1076" s="1" t="str">
        <f t="shared" si="334"/>
        <v>花都四部-凤凰仓</v>
      </c>
      <c r="G1076" s="1" t="str">
        <f t="shared" si="342"/>
        <v>卡卡杜佳旺专卖店（快手店）</v>
      </c>
      <c r="H1076" s="1" t="str">
        <f t="shared" si="335"/>
        <v>正常订单</v>
      </c>
      <c r="I1076" s="1" t="str">
        <f t="shared" si="336"/>
        <v>已发货</v>
      </c>
      <c r="J1076" s="1" t="str">
        <f t="shared" ref="J1076:J1078" si="348">"3"</f>
        <v>3</v>
      </c>
      <c r="K1076" s="1">
        <v>2</v>
      </c>
      <c r="L1076" s="1" t="s">
        <v>13</v>
      </c>
      <c r="M1076" s="1" t="str">
        <f>"江苏省 徐州市 铜山区 新区街道"</f>
        <v>江苏省 徐州市 铜山区 新区街道</v>
      </c>
      <c r="N1076" s="1" t="str">
        <f t="shared" si="346"/>
        <v>凡华云仓-城南圆通-快手</v>
      </c>
      <c r="O1076" s="5" t="s">
        <v>1114</v>
      </c>
      <c r="P1076" s="6">
        <v>0.35</v>
      </c>
      <c r="Q1076" s="11">
        <v>2.2999999999999998</v>
      </c>
      <c r="R1076" s="11"/>
      <c r="S1076" s="11"/>
      <c r="T1076" s="11"/>
      <c r="U1076" s="11">
        <f t="shared" si="339"/>
        <v>2.2999999999999998</v>
      </c>
      <c r="W1076">
        <v>2.5</v>
      </c>
      <c r="X1076" s="1" t="s">
        <v>13</v>
      </c>
    </row>
    <row r="1077" spans="1:24" x14ac:dyDescent="0.25">
      <c r="A1077" s="1" t="str">
        <f t="shared" si="333"/>
        <v>卡卡杜-凤凰仓</v>
      </c>
      <c r="B1077" s="1" t="str">
        <f>"CK2024103051"</f>
        <v>CK2024103051</v>
      </c>
      <c r="C1077" s="1" t="str">
        <f>"DD2024103035300"</f>
        <v>DD2024103035300</v>
      </c>
      <c r="D1077" s="1" t="str">
        <f>"CK2024103035383"</f>
        <v>CK2024103035383</v>
      </c>
      <c r="E1077" s="1" t="str">
        <f>"2430302326123614"</f>
        <v>2430302326123614</v>
      </c>
      <c r="F1077" s="1" t="str">
        <f t="shared" si="334"/>
        <v>花都四部-凤凰仓</v>
      </c>
      <c r="G1077" s="1" t="str">
        <f t="shared" si="342"/>
        <v>卡卡杜佳旺专卖店（快手店）</v>
      </c>
      <c r="H1077" s="1" t="str">
        <f t="shared" si="335"/>
        <v>正常订单</v>
      </c>
      <c r="I1077" s="1" t="str">
        <f t="shared" si="336"/>
        <v>已发货</v>
      </c>
      <c r="J1077" s="1" t="str">
        <f t="shared" si="348"/>
        <v>3</v>
      </c>
      <c r="K1077" s="1">
        <v>2</v>
      </c>
      <c r="L1077" s="1" t="s">
        <v>22</v>
      </c>
      <c r="M1077" s="1" t="str">
        <f>"江西省 景德镇市 昌江区 吕蒙乡"</f>
        <v>江西省 景德镇市 昌江区 吕蒙乡</v>
      </c>
      <c r="N1077" s="1" t="str">
        <f t="shared" si="346"/>
        <v>凡华云仓-城南圆通-快手</v>
      </c>
      <c r="O1077" s="5" t="s">
        <v>1115</v>
      </c>
      <c r="P1077" s="6">
        <v>0.35</v>
      </c>
      <c r="Q1077" s="11">
        <v>2.2999999999999998</v>
      </c>
      <c r="R1077" s="11"/>
      <c r="S1077" s="11"/>
      <c r="T1077" s="11"/>
      <c r="U1077" s="11">
        <f t="shared" si="339"/>
        <v>2.2999999999999998</v>
      </c>
      <c r="W1077">
        <v>2.5</v>
      </c>
      <c r="X1077" s="1" t="s">
        <v>22</v>
      </c>
    </row>
    <row r="1078" spans="1:24" x14ac:dyDescent="0.25">
      <c r="A1078" s="1" t="str">
        <f t="shared" si="333"/>
        <v>卡卡杜-凤凰仓</v>
      </c>
      <c r="B1078" s="1" t="str">
        <f>"CK2024103057"</f>
        <v>CK2024103057</v>
      </c>
      <c r="C1078" s="1" t="str">
        <f>"DD2024103035308"</f>
        <v>DD2024103035308</v>
      </c>
      <c r="D1078" s="1" t="str">
        <f>"CK2024103035382"</f>
        <v>CK2024103035382</v>
      </c>
      <c r="E1078" s="1" t="str">
        <f>"2430301688394245"</f>
        <v>2430301688394245</v>
      </c>
      <c r="F1078" s="1" t="str">
        <f t="shared" si="334"/>
        <v>花都四部-凤凰仓</v>
      </c>
      <c r="G1078" s="1" t="str">
        <f t="shared" si="342"/>
        <v>卡卡杜佳旺专卖店（快手店）</v>
      </c>
      <c r="H1078" s="1" t="str">
        <f t="shared" si="335"/>
        <v>正常订单</v>
      </c>
      <c r="I1078" s="1" t="str">
        <f t="shared" si="336"/>
        <v>已发货</v>
      </c>
      <c r="J1078" s="1" t="str">
        <f t="shared" si="348"/>
        <v>3</v>
      </c>
      <c r="K1078" s="1">
        <v>2</v>
      </c>
      <c r="L1078" s="1" t="s">
        <v>32</v>
      </c>
      <c r="M1078" s="1" t="str">
        <f>"陕西省 西安市 未央区 "</f>
        <v xml:space="preserve">陕西省 西安市 未央区 </v>
      </c>
      <c r="N1078" s="1" t="str">
        <f t="shared" si="346"/>
        <v>凡华云仓-城南圆通-快手</v>
      </c>
      <c r="O1078" s="5" t="s">
        <v>1116</v>
      </c>
      <c r="P1078" s="6">
        <v>0.35</v>
      </c>
      <c r="Q1078" s="11">
        <v>2.2999999999999998</v>
      </c>
      <c r="R1078" s="11"/>
      <c r="S1078" s="11"/>
      <c r="T1078" s="11"/>
      <c r="U1078" s="11">
        <f t="shared" si="339"/>
        <v>2.2999999999999998</v>
      </c>
      <c r="W1078">
        <v>2.5</v>
      </c>
      <c r="X1078" s="1" t="s">
        <v>32</v>
      </c>
    </row>
    <row r="1079" spans="1:24" x14ac:dyDescent="0.25">
      <c r="A1079" s="1" t="str">
        <f t="shared" si="333"/>
        <v>卡卡杜-凤凰仓</v>
      </c>
      <c r="B1079" s="1" t="str">
        <f>"CK20241030446"</f>
        <v>CK20241030446</v>
      </c>
      <c r="C1079" s="1" t="str">
        <f>"DD2024103036530"</f>
        <v>DD2024103036530</v>
      </c>
      <c r="D1079" s="1" t="str">
        <f>"CK2024103035381"</f>
        <v>CK2024103035381</v>
      </c>
      <c r="E1079" s="1" t="str">
        <f>"2430301768369995"</f>
        <v>2430301768369995</v>
      </c>
      <c r="F1079" s="1" t="str">
        <f t="shared" si="334"/>
        <v>花都四部-凤凰仓</v>
      </c>
      <c r="G1079" s="1" t="str">
        <f t="shared" si="342"/>
        <v>卡卡杜佳旺专卖店（快手店）</v>
      </c>
      <c r="H1079" s="1" t="str">
        <f t="shared" si="335"/>
        <v>正常订单</v>
      </c>
      <c r="I1079" s="1" t="str">
        <f t="shared" si="336"/>
        <v>已发货</v>
      </c>
      <c r="J1079" s="1" t="str">
        <f>"8"</f>
        <v>8</v>
      </c>
      <c r="K1079" s="1">
        <v>1</v>
      </c>
      <c r="L1079" s="1" t="s">
        <v>30</v>
      </c>
      <c r="M1079" s="1" t="str">
        <f>"山东省 威海市 威海火炬高技术产业开发区 初村镇"</f>
        <v>山东省 威海市 威海火炬高技术产业开发区 初村镇</v>
      </c>
      <c r="N1079" s="1" t="str">
        <f t="shared" si="346"/>
        <v>凡华云仓-城南圆通-快手</v>
      </c>
      <c r="O1079" s="5" t="s">
        <v>1117</v>
      </c>
      <c r="P1079" s="6">
        <v>1.1299999999999999</v>
      </c>
      <c r="Q1079" s="11">
        <f t="shared" si="347"/>
        <v>3.3499999999999996</v>
      </c>
      <c r="R1079" s="11"/>
      <c r="S1079" s="11"/>
      <c r="T1079" s="11"/>
      <c r="U1079" s="11">
        <f t="shared" si="339"/>
        <v>3.3499999999999996</v>
      </c>
      <c r="V1079" t="s">
        <v>15</v>
      </c>
      <c r="W1079">
        <v>3.35</v>
      </c>
      <c r="X1079" s="1" t="s">
        <v>30</v>
      </c>
    </row>
    <row r="1080" spans="1:24" x14ac:dyDescent="0.25">
      <c r="A1080" s="1" t="str">
        <f t="shared" si="333"/>
        <v>卡卡杜-凤凰仓</v>
      </c>
      <c r="B1080" s="1" t="str">
        <f>"CK2024103003"</f>
        <v>CK2024103003</v>
      </c>
      <c r="C1080" s="1" t="str">
        <f>"DD2024103035168"</f>
        <v>DD2024103035168</v>
      </c>
      <c r="D1080" s="1" t="str">
        <f>"CK2024103035380"</f>
        <v>CK2024103035380</v>
      </c>
      <c r="E1080" s="1" t="str">
        <f>"2430301846882624"</f>
        <v>2430301846882624</v>
      </c>
      <c r="F1080" s="1" t="str">
        <f t="shared" si="334"/>
        <v>花都四部-凤凰仓</v>
      </c>
      <c r="G1080" s="1" t="str">
        <f t="shared" si="342"/>
        <v>卡卡杜佳旺专卖店（快手店）</v>
      </c>
      <c r="H1080" s="1" t="str">
        <f t="shared" si="335"/>
        <v>正常订单</v>
      </c>
      <c r="I1080" s="1" t="str">
        <f t="shared" si="336"/>
        <v>已发货</v>
      </c>
      <c r="J1080" s="1" t="str">
        <f>"5"</f>
        <v>5</v>
      </c>
      <c r="K1080" s="1">
        <v>2</v>
      </c>
      <c r="L1080" s="1" t="s">
        <v>20</v>
      </c>
      <c r="M1080" s="1" t="str">
        <f>"浙江省 台州市 路桥区 螺洋街道"</f>
        <v>浙江省 台州市 路桥区 螺洋街道</v>
      </c>
      <c r="N1080" s="1" t="str">
        <f t="shared" si="346"/>
        <v>凡华云仓-城南圆通-快手</v>
      </c>
      <c r="O1080" s="5" t="s">
        <v>1118</v>
      </c>
      <c r="P1080" s="6">
        <v>0.59</v>
      </c>
      <c r="Q1080" s="11">
        <f t="shared" si="347"/>
        <v>2.4499999999999997</v>
      </c>
      <c r="R1080" s="11"/>
      <c r="S1080" s="11"/>
      <c r="T1080" s="11"/>
      <c r="U1080" s="11">
        <f t="shared" si="339"/>
        <v>2.4499999999999997</v>
      </c>
      <c r="V1080" t="s">
        <v>15</v>
      </c>
      <c r="W1080">
        <v>2.4500000000000002</v>
      </c>
      <c r="X1080" s="1" t="s">
        <v>20</v>
      </c>
    </row>
    <row r="1081" spans="1:24" x14ac:dyDescent="0.25">
      <c r="A1081" s="1" t="str">
        <f t="shared" si="333"/>
        <v>卡卡杜-凤凰仓</v>
      </c>
      <c r="B1081" s="1" t="str">
        <f>"CK2024103046"</f>
        <v>CK2024103046</v>
      </c>
      <c r="C1081" s="1" t="str">
        <f>"DD2024103035297"</f>
        <v>DD2024103035297</v>
      </c>
      <c r="D1081" s="1" t="str">
        <f>"CK2024103035379"</f>
        <v>CK2024103035379</v>
      </c>
      <c r="E1081" s="1" t="str">
        <f>"2430302326000197"</f>
        <v>2430302326000197</v>
      </c>
      <c r="F1081" s="1" t="str">
        <f t="shared" si="334"/>
        <v>花都四部-凤凰仓</v>
      </c>
      <c r="G1081" s="1" t="str">
        <f t="shared" si="342"/>
        <v>卡卡杜佳旺专卖店（快手店）</v>
      </c>
      <c r="H1081" s="1" t="str">
        <f t="shared" si="335"/>
        <v>正常订单</v>
      </c>
      <c r="I1081" s="1" t="str">
        <f t="shared" si="336"/>
        <v>已发货</v>
      </c>
      <c r="J1081" s="1" t="str">
        <f t="shared" ref="J1081:J1085" si="349">"3"</f>
        <v>3</v>
      </c>
      <c r="K1081" s="1">
        <v>2</v>
      </c>
      <c r="L1081" s="1" t="s">
        <v>30</v>
      </c>
      <c r="M1081" s="1" t="str">
        <f>"山东省 烟台市 烟台经济技术开发区 福莱山街道"</f>
        <v>山东省 烟台市 烟台经济技术开发区 福莱山街道</v>
      </c>
      <c r="N1081" s="1" t="str">
        <f t="shared" si="346"/>
        <v>凡华云仓-城南圆通-快手</v>
      </c>
      <c r="O1081" s="5" t="s">
        <v>1119</v>
      </c>
      <c r="P1081" s="6">
        <v>0.35</v>
      </c>
      <c r="Q1081" s="11">
        <v>2.2999999999999998</v>
      </c>
      <c r="R1081" s="11"/>
      <c r="S1081" s="11"/>
      <c r="T1081" s="11"/>
      <c r="U1081" s="11">
        <f t="shared" si="339"/>
        <v>2.2999999999999998</v>
      </c>
      <c r="W1081">
        <v>2.5</v>
      </c>
      <c r="X1081" s="1" t="s">
        <v>30</v>
      </c>
    </row>
    <row r="1082" spans="1:24" x14ac:dyDescent="0.25">
      <c r="A1082" s="1" t="str">
        <f t="shared" si="333"/>
        <v>卡卡杜-凤凰仓</v>
      </c>
      <c r="B1082" s="1" t="str">
        <f>"CK2024103068"</f>
        <v>CK2024103068</v>
      </c>
      <c r="C1082" s="1" t="str">
        <f>"DD2024103035319"</f>
        <v>DD2024103035319</v>
      </c>
      <c r="D1082" s="1" t="str">
        <f>"CK2024103035378"</f>
        <v>CK2024103035378</v>
      </c>
      <c r="E1082" s="1" t="str">
        <f>"6935663058133128601"</f>
        <v>6935663058133128601</v>
      </c>
      <c r="F1082" s="1" t="str">
        <f t="shared" si="334"/>
        <v>花都四部-凤凰仓</v>
      </c>
      <c r="G1082" s="1" t="str">
        <f t="shared" ref="G1082:G1113" si="350">"卡卡杜个人护理店（抖店）"</f>
        <v>卡卡杜个人护理店（抖店）</v>
      </c>
      <c r="H1082" s="1" t="str">
        <f t="shared" si="335"/>
        <v>正常订单</v>
      </c>
      <c r="I1082" s="1" t="str">
        <f t="shared" si="336"/>
        <v>已发货</v>
      </c>
      <c r="J1082" s="1" t="str">
        <f t="shared" si="349"/>
        <v>3</v>
      </c>
      <c r="K1082" s="1">
        <v>3</v>
      </c>
      <c r="L1082" s="1" t="s">
        <v>20</v>
      </c>
      <c r="M1082" s="1" t="str">
        <f>"浙江省 绍兴市 嵊州市 剡湖街道"</f>
        <v>浙江省 绍兴市 嵊州市 剡湖街道</v>
      </c>
      <c r="N1082" s="1" t="str">
        <f t="shared" ref="N1082:N1113" si="351">"凡华云仓-城南圆通-抖音"</f>
        <v>凡华云仓-城南圆通-抖音</v>
      </c>
      <c r="O1082" s="5" t="s">
        <v>1120</v>
      </c>
      <c r="P1082" s="6">
        <v>0.34</v>
      </c>
      <c r="Q1082" s="11">
        <v>2.2999999999999998</v>
      </c>
      <c r="R1082" s="11"/>
      <c r="S1082" s="11"/>
      <c r="T1082" s="11"/>
      <c r="U1082" s="11">
        <f t="shared" si="339"/>
        <v>2.2999999999999998</v>
      </c>
      <c r="W1082">
        <v>2.5</v>
      </c>
      <c r="X1082" s="1" t="s">
        <v>20</v>
      </c>
    </row>
    <row r="1083" spans="1:24" x14ac:dyDescent="0.25">
      <c r="A1083" s="1" t="str">
        <f t="shared" si="333"/>
        <v>卡卡杜-凤凰仓</v>
      </c>
      <c r="B1083" s="1" t="str">
        <f>"CK2024103077"</f>
        <v>CK2024103077</v>
      </c>
      <c r="C1083" s="1" t="str">
        <f>"DD2024103035330"</f>
        <v>DD2024103035330</v>
      </c>
      <c r="D1083" s="1" t="str">
        <f>"CK2024103035377"</f>
        <v>CK2024103035377</v>
      </c>
      <c r="E1083" s="1" t="str">
        <f>"6935658410100790494"</f>
        <v>6935658410100790494</v>
      </c>
      <c r="F1083" s="1" t="str">
        <f t="shared" si="334"/>
        <v>花都四部-凤凰仓</v>
      </c>
      <c r="G1083" s="1" t="str">
        <f t="shared" si="350"/>
        <v>卡卡杜个人护理店（抖店）</v>
      </c>
      <c r="H1083" s="1" t="str">
        <f t="shared" si="335"/>
        <v>正常订单</v>
      </c>
      <c r="I1083" s="1" t="str">
        <f t="shared" si="336"/>
        <v>已发货</v>
      </c>
      <c r="J1083" s="1" t="str">
        <f t="shared" si="349"/>
        <v>3</v>
      </c>
      <c r="K1083" s="1">
        <v>3</v>
      </c>
      <c r="L1083" s="1" t="s">
        <v>18</v>
      </c>
      <c r="M1083" s="1" t="str">
        <f>"广东省 深圳市 南山区 南山街道"</f>
        <v>广东省 深圳市 南山区 南山街道</v>
      </c>
      <c r="N1083" s="1" t="str">
        <f t="shared" si="351"/>
        <v>凡华云仓-城南圆通-抖音</v>
      </c>
      <c r="O1083" s="5" t="s">
        <v>1121</v>
      </c>
      <c r="P1083" s="6">
        <v>0.34</v>
      </c>
      <c r="Q1083" s="11">
        <v>2.2999999999999998</v>
      </c>
      <c r="R1083" s="11"/>
      <c r="S1083" s="11"/>
      <c r="T1083" s="11"/>
      <c r="U1083" s="11">
        <f t="shared" si="339"/>
        <v>2.2999999999999998</v>
      </c>
      <c r="W1083">
        <v>2.5</v>
      </c>
      <c r="X1083" s="1" t="s">
        <v>18</v>
      </c>
    </row>
    <row r="1084" spans="1:24" x14ac:dyDescent="0.25">
      <c r="A1084" s="1" t="str">
        <f t="shared" si="333"/>
        <v>卡卡杜-凤凰仓</v>
      </c>
      <c r="B1084" s="1" t="str">
        <f>"CK2024103076"</f>
        <v>CK2024103076</v>
      </c>
      <c r="C1084" s="1" t="str">
        <f>"DD2024103035327"</f>
        <v>DD2024103035327</v>
      </c>
      <c r="D1084" s="1" t="str">
        <f>"CK2024103035376"</f>
        <v>CK2024103035376</v>
      </c>
      <c r="E1084" s="1" t="str">
        <f>"6935658404261730243"</f>
        <v>6935658404261730243</v>
      </c>
      <c r="F1084" s="1" t="str">
        <f t="shared" si="334"/>
        <v>花都四部-凤凰仓</v>
      </c>
      <c r="G1084" s="1" t="str">
        <f t="shared" si="350"/>
        <v>卡卡杜个人护理店（抖店）</v>
      </c>
      <c r="H1084" s="1" t="str">
        <f t="shared" si="335"/>
        <v>正常订单</v>
      </c>
      <c r="I1084" s="1" t="str">
        <f t="shared" si="336"/>
        <v>已发货</v>
      </c>
      <c r="J1084" s="1" t="str">
        <f t="shared" si="349"/>
        <v>3</v>
      </c>
      <c r="K1084" s="1">
        <v>3</v>
      </c>
      <c r="L1084" s="1" t="s">
        <v>105</v>
      </c>
      <c r="M1084" s="1" t="str">
        <f>"北京 北京市 房山区 韩村河镇"</f>
        <v>北京 北京市 房山区 韩村河镇</v>
      </c>
      <c r="N1084" s="1" t="str">
        <f t="shared" si="351"/>
        <v>凡华云仓-城南圆通-抖音</v>
      </c>
      <c r="O1084" s="5" t="s">
        <v>1122</v>
      </c>
      <c r="P1084" s="6">
        <v>0.34</v>
      </c>
      <c r="Q1084" s="11">
        <v>2.2999999999999998</v>
      </c>
      <c r="R1084" s="11"/>
      <c r="S1084" s="11"/>
      <c r="T1084" s="11"/>
      <c r="U1084" s="11">
        <f t="shared" si="339"/>
        <v>2.2999999999999998</v>
      </c>
      <c r="W1084">
        <v>2.5</v>
      </c>
      <c r="X1084" s="1" t="s">
        <v>105</v>
      </c>
    </row>
    <row r="1085" spans="1:24" x14ac:dyDescent="0.25">
      <c r="A1085" s="1" t="str">
        <f t="shared" si="333"/>
        <v>卡卡杜-凤凰仓</v>
      </c>
      <c r="B1085" s="1" t="str">
        <f>"CK20241030475"</f>
        <v>CK20241030475</v>
      </c>
      <c r="C1085" s="1" t="str">
        <f>"DD2024103036838"</f>
        <v>DD2024103036838</v>
      </c>
      <c r="D1085" s="1" t="str">
        <f>"CK2024103035375"</f>
        <v>CK2024103035375</v>
      </c>
      <c r="E1085" s="1" t="str">
        <f>"6935660499503617660"</f>
        <v>6935660499503617660</v>
      </c>
      <c r="F1085" s="1" t="str">
        <f t="shared" si="334"/>
        <v>花都四部-凤凰仓</v>
      </c>
      <c r="G1085" s="1" t="str">
        <f t="shared" si="350"/>
        <v>卡卡杜个人护理店（抖店）</v>
      </c>
      <c r="H1085" s="1" t="str">
        <f t="shared" si="335"/>
        <v>正常订单</v>
      </c>
      <c r="I1085" s="1" t="str">
        <f t="shared" si="336"/>
        <v>已发货</v>
      </c>
      <c r="J1085" s="1" t="str">
        <f t="shared" si="349"/>
        <v>3</v>
      </c>
      <c r="K1085" s="1">
        <v>2</v>
      </c>
      <c r="L1085" s="1" t="s">
        <v>22</v>
      </c>
      <c r="M1085" s="1" t="str">
        <f>"江西省 南昌市 红谷滩区 卫东街道"</f>
        <v>江西省 南昌市 红谷滩区 卫东街道</v>
      </c>
      <c r="N1085" s="1" t="str">
        <f t="shared" si="351"/>
        <v>凡华云仓-城南圆通-抖音</v>
      </c>
      <c r="O1085" s="5" t="s">
        <v>1123</v>
      </c>
      <c r="P1085" s="6">
        <v>0.35</v>
      </c>
      <c r="Q1085" s="11">
        <v>2.2999999999999998</v>
      </c>
      <c r="R1085" s="11"/>
      <c r="S1085" s="11"/>
      <c r="T1085" s="11"/>
      <c r="U1085" s="11">
        <f t="shared" si="339"/>
        <v>2.2999999999999998</v>
      </c>
      <c r="W1085">
        <v>2.5</v>
      </c>
      <c r="X1085" s="1" t="s">
        <v>22</v>
      </c>
    </row>
    <row r="1086" spans="1:24" x14ac:dyDescent="0.25">
      <c r="A1086" s="1" t="str">
        <f t="shared" si="333"/>
        <v>卡卡杜-凤凰仓</v>
      </c>
      <c r="B1086" s="1" t="str">
        <f>"CK2024103002"</f>
        <v>CK2024103002</v>
      </c>
      <c r="C1086" s="1" t="str">
        <f>"DD2024103035167"</f>
        <v>DD2024103035167</v>
      </c>
      <c r="D1086" s="1" t="str">
        <f>"CK2024103035374"</f>
        <v>CK2024103035374</v>
      </c>
      <c r="E1086" s="1" t="str">
        <f>"6935649408489559584"</f>
        <v>6935649408489559584</v>
      </c>
      <c r="F1086" s="1" t="str">
        <f t="shared" si="334"/>
        <v>花都四部-凤凰仓</v>
      </c>
      <c r="G1086" s="1" t="str">
        <f t="shared" si="350"/>
        <v>卡卡杜个人护理店（抖店）</v>
      </c>
      <c r="H1086" s="1" t="str">
        <f t="shared" si="335"/>
        <v>正常订单</v>
      </c>
      <c r="I1086" s="1" t="str">
        <f t="shared" si="336"/>
        <v>已发货</v>
      </c>
      <c r="J1086" s="1" t="str">
        <f>"5"</f>
        <v>5</v>
      </c>
      <c r="K1086" s="1">
        <v>2</v>
      </c>
      <c r="L1086" s="1" t="s">
        <v>36</v>
      </c>
      <c r="M1086" s="1" t="str">
        <f>"安徽省 阜阳市 颍东区 向阳街道"</f>
        <v>安徽省 阜阳市 颍东区 向阳街道</v>
      </c>
      <c r="N1086" s="1" t="str">
        <f t="shared" si="351"/>
        <v>凡华云仓-城南圆通-抖音</v>
      </c>
      <c r="O1086" s="5" t="s">
        <v>1124</v>
      </c>
      <c r="P1086" s="6">
        <v>0.59</v>
      </c>
      <c r="Q1086" s="11">
        <f>CEILING(P1086-0.5,0.1)*10*0.15+2.3</f>
        <v>2.4499999999999997</v>
      </c>
      <c r="R1086" s="11"/>
      <c r="S1086" s="11"/>
      <c r="T1086" s="11"/>
      <c r="U1086" s="11">
        <f t="shared" si="339"/>
        <v>2.4499999999999997</v>
      </c>
      <c r="V1086" t="s">
        <v>15</v>
      </c>
      <c r="W1086">
        <v>2.4500000000000002</v>
      </c>
      <c r="X1086" s="1" t="s">
        <v>36</v>
      </c>
    </row>
    <row r="1087" spans="1:24" x14ac:dyDescent="0.25">
      <c r="A1087" s="1" t="str">
        <f t="shared" si="333"/>
        <v>卡卡杜-凤凰仓</v>
      </c>
      <c r="B1087" s="1" t="str">
        <f>"CK2024103009"</f>
        <v>CK2024103009</v>
      </c>
      <c r="C1087" s="1" t="str">
        <f>"DD2024103035171"</f>
        <v>DD2024103035171</v>
      </c>
      <c r="D1087" s="1" t="str">
        <f>"CK2024103035373"</f>
        <v>CK2024103035373</v>
      </c>
      <c r="E1087" s="1" t="str">
        <f>"6935655990011041633"</f>
        <v>6935655990011041633</v>
      </c>
      <c r="F1087" s="1" t="str">
        <f t="shared" si="334"/>
        <v>花都四部-凤凰仓</v>
      </c>
      <c r="G1087" s="1" t="str">
        <f t="shared" si="350"/>
        <v>卡卡杜个人护理店（抖店）</v>
      </c>
      <c r="H1087" s="1" t="str">
        <f t="shared" si="335"/>
        <v>正常订单</v>
      </c>
      <c r="I1087" s="1" t="str">
        <f t="shared" si="336"/>
        <v>已发货</v>
      </c>
      <c r="J1087" s="1" t="str">
        <f>"5"</f>
        <v>5</v>
      </c>
      <c r="K1087" s="1">
        <v>3</v>
      </c>
      <c r="L1087" s="1" t="s">
        <v>94</v>
      </c>
      <c r="M1087" s="1" t="str">
        <f>"湖南省 娄底市 娄星区 "</f>
        <v xml:space="preserve">湖南省 娄底市 娄星区 </v>
      </c>
      <c r="N1087" s="1" t="str">
        <f t="shared" si="351"/>
        <v>凡华云仓-城南圆通-抖音</v>
      </c>
      <c r="O1087" s="5" t="s">
        <v>1125</v>
      </c>
      <c r="P1087" s="6">
        <v>0.47</v>
      </c>
      <c r="Q1087" s="11">
        <v>2.2999999999999998</v>
      </c>
      <c r="R1087" s="11"/>
      <c r="S1087" s="11"/>
      <c r="T1087" s="11"/>
      <c r="U1087" s="11">
        <f t="shared" si="339"/>
        <v>2.2999999999999998</v>
      </c>
      <c r="W1087">
        <v>2.5</v>
      </c>
      <c r="X1087" s="1" t="s">
        <v>94</v>
      </c>
    </row>
    <row r="1088" spans="1:24" x14ac:dyDescent="0.25">
      <c r="A1088" s="1" t="str">
        <f t="shared" si="333"/>
        <v>卡卡杜-凤凰仓</v>
      </c>
      <c r="B1088" s="1" t="str">
        <f>"CK2024103079"</f>
        <v>CK2024103079</v>
      </c>
      <c r="C1088" s="1" t="str">
        <f>"DD2024103035329"</f>
        <v>DD2024103035329</v>
      </c>
      <c r="D1088" s="1" t="str">
        <f>"CK2024103035372"</f>
        <v>CK2024103035372</v>
      </c>
      <c r="E1088" s="1" t="str">
        <f>"6935647082981037351"</f>
        <v>6935647082981037351</v>
      </c>
      <c r="F1088" s="1" t="str">
        <f t="shared" si="334"/>
        <v>花都四部-凤凰仓</v>
      </c>
      <c r="G1088" s="1" t="str">
        <f t="shared" si="350"/>
        <v>卡卡杜个人护理店（抖店）</v>
      </c>
      <c r="H1088" s="1" t="str">
        <f t="shared" si="335"/>
        <v>正常订单</v>
      </c>
      <c r="I1088" s="1" t="str">
        <f t="shared" si="336"/>
        <v>已发货</v>
      </c>
      <c r="J1088" s="1" t="str">
        <f t="shared" ref="J1088:J1104" si="352">"3"</f>
        <v>3</v>
      </c>
      <c r="K1088" s="1">
        <v>3</v>
      </c>
      <c r="L1088" s="1" t="s">
        <v>18</v>
      </c>
      <c r="M1088" s="1" t="str">
        <f>"广东省 汕头市 龙湖区 金霞街道"</f>
        <v>广东省 汕头市 龙湖区 金霞街道</v>
      </c>
      <c r="N1088" s="1" t="str">
        <f t="shared" si="351"/>
        <v>凡华云仓-城南圆通-抖音</v>
      </c>
      <c r="O1088" s="5" t="s">
        <v>1126</v>
      </c>
      <c r="P1088" s="6">
        <v>0.34</v>
      </c>
      <c r="Q1088" s="11">
        <v>2.2999999999999998</v>
      </c>
      <c r="R1088" s="11"/>
      <c r="S1088" s="11"/>
      <c r="T1088" s="11"/>
      <c r="U1088" s="11">
        <f t="shared" si="339"/>
        <v>2.2999999999999998</v>
      </c>
      <c r="W1088">
        <v>2.5</v>
      </c>
      <c r="X1088" s="1" t="s">
        <v>18</v>
      </c>
    </row>
    <row r="1089" spans="1:24" x14ac:dyDescent="0.25">
      <c r="A1089" s="1" t="str">
        <f t="shared" si="333"/>
        <v>卡卡杜-凤凰仓</v>
      </c>
      <c r="B1089" s="1" t="str">
        <f>"CK2024103082"</f>
        <v>CK2024103082</v>
      </c>
      <c r="C1089" s="1" t="str">
        <f>"DD2024103035342"</f>
        <v>DD2024103035342</v>
      </c>
      <c r="D1089" s="1" t="str">
        <f>"CK2024103035371"</f>
        <v>CK2024103035371</v>
      </c>
      <c r="E1089" s="1" t="str">
        <f>"6935640682781611170"</f>
        <v>6935640682781611170</v>
      </c>
      <c r="F1089" s="1" t="str">
        <f t="shared" si="334"/>
        <v>花都四部-凤凰仓</v>
      </c>
      <c r="G1089" s="1" t="str">
        <f t="shared" si="350"/>
        <v>卡卡杜个人护理店（抖店）</v>
      </c>
      <c r="H1089" s="1" t="str">
        <f t="shared" si="335"/>
        <v>正常订单</v>
      </c>
      <c r="I1089" s="1" t="str">
        <f t="shared" si="336"/>
        <v>已发货</v>
      </c>
      <c r="J1089" s="1" t="str">
        <f>"2"</f>
        <v>2</v>
      </c>
      <c r="K1089" s="1">
        <v>2</v>
      </c>
      <c r="L1089" s="1" t="s">
        <v>13</v>
      </c>
      <c r="M1089" s="1" t="str">
        <f>"江苏省 盐城市 亭湖区 毓龙街道"</f>
        <v>江苏省 盐城市 亭湖区 毓龙街道</v>
      </c>
      <c r="N1089" s="1" t="str">
        <f t="shared" si="351"/>
        <v>凡华云仓-城南圆通-抖音</v>
      </c>
      <c r="O1089" s="5" t="s">
        <v>1127</v>
      </c>
      <c r="P1089" s="6">
        <v>0.17</v>
      </c>
      <c r="Q1089" s="11">
        <v>2</v>
      </c>
      <c r="R1089" s="11"/>
      <c r="S1089" s="11"/>
      <c r="T1089" s="11"/>
      <c r="U1089" s="11">
        <f t="shared" si="339"/>
        <v>2</v>
      </c>
      <c r="W1089">
        <v>2.2000000000000002</v>
      </c>
      <c r="X1089" s="1" t="s">
        <v>13</v>
      </c>
    </row>
    <row r="1090" spans="1:24" x14ac:dyDescent="0.25">
      <c r="A1090" s="1" t="str">
        <f t="shared" ref="A1090:A1153" si="353">"卡卡杜-凤凰仓"</f>
        <v>卡卡杜-凤凰仓</v>
      </c>
      <c r="B1090" s="1" t="str">
        <f>"CK20241030479"</f>
        <v>CK20241030479</v>
      </c>
      <c r="C1090" s="1" t="str">
        <f>"DD2024103036841"</f>
        <v>DD2024103036841</v>
      </c>
      <c r="D1090" s="1" t="str">
        <f>"CK2024103035370"</f>
        <v>CK2024103035370</v>
      </c>
      <c r="E1090" s="1" t="str">
        <f>"6935631656909412140"</f>
        <v>6935631656909412140</v>
      </c>
      <c r="F1090" s="1" t="str">
        <f t="shared" ref="F1090:F1153" si="354">"花都四部-凤凰仓"</f>
        <v>花都四部-凤凰仓</v>
      </c>
      <c r="G1090" s="1" t="str">
        <f t="shared" si="350"/>
        <v>卡卡杜个人护理店（抖店）</v>
      </c>
      <c r="H1090" s="1" t="str">
        <f t="shared" ref="H1090:H1153" si="355">"正常订单"</f>
        <v>正常订单</v>
      </c>
      <c r="I1090" s="1" t="str">
        <f t="shared" ref="I1090:I1153" si="356">"已发货"</f>
        <v>已发货</v>
      </c>
      <c r="J1090" s="1" t="str">
        <f t="shared" si="352"/>
        <v>3</v>
      </c>
      <c r="K1090" s="1">
        <v>2</v>
      </c>
      <c r="L1090" s="1" t="s">
        <v>18</v>
      </c>
      <c r="M1090" s="1" t="str">
        <f>"广东省 深圳市 龙岗区 龙岗街道"</f>
        <v>广东省 深圳市 龙岗区 龙岗街道</v>
      </c>
      <c r="N1090" s="1" t="str">
        <f t="shared" si="351"/>
        <v>凡华云仓-城南圆通-抖音</v>
      </c>
      <c r="O1090" s="5" t="s">
        <v>1128</v>
      </c>
      <c r="P1090" s="6">
        <v>0.35</v>
      </c>
      <c r="Q1090" s="11">
        <v>2.2999999999999998</v>
      </c>
      <c r="R1090" s="11"/>
      <c r="S1090" s="11"/>
      <c r="T1090" s="11"/>
      <c r="U1090" s="11">
        <f t="shared" si="339"/>
        <v>2.2999999999999998</v>
      </c>
      <c r="W1090">
        <v>2.5</v>
      </c>
      <c r="X1090" s="1" t="s">
        <v>18</v>
      </c>
    </row>
    <row r="1091" spans="1:24" x14ac:dyDescent="0.25">
      <c r="A1091" s="1" t="str">
        <f t="shared" si="353"/>
        <v>卡卡杜-凤凰仓</v>
      </c>
      <c r="B1091" s="1" t="str">
        <f>"CK20241030480"</f>
        <v>CK20241030480</v>
      </c>
      <c r="C1091" s="1" t="str">
        <f>"DD2024103036845"</f>
        <v>DD2024103036845</v>
      </c>
      <c r="D1091" s="1" t="str">
        <f>"CK2024103035369"</f>
        <v>CK2024103035369</v>
      </c>
      <c r="E1091" s="1" t="str">
        <f>"6935655553193350385"</f>
        <v>6935655553193350385</v>
      </c>
      <c r="F1091" s="1" t="str">
        <f t="shared" si="354"/>
        <v>花都四部-凤凰仓</v>
      </c>
      <c r="G1091" s="1" t="str">
        <f t="shared" si="350"/>
        <v>卡卡杜个人护理店（抖店）</v>
      </c>
      <c r="H1091" s="1" t="str">
        <f t="shared" si="355"/>
        <v>正常订单</v>
      </c>
      <c r="I1091" s="1" t="str">
        <f t="shared" si="356"/>
        <v>已发货</v>
      </c>
      <c r="J1091" s="1" t="str">
        <f t="shared" si="352"/>
        <v>3</v>
      </c>
      <c r="K1091" s="1">
        <v>2</v>
      </c>
      <c r="L1091" s="1" t="s">
        <v>13</v>
      </c>
      <c r="M1091" s="1" t="str">
        <f>"江苏省 南京市 浦口区 顶山街道"</f>
        <v>江苏省 南京市 浦口区 顶山街道</v>
      </c>
      <c r="N1091" s="1" t="str">
        <f t="shared" si="351"/>
        <v>凡华云仓-城南圆通-抖音</v>
      </c>
      <c r="O1091" s="5" t="s">
        <v>1129</v>
      </c>
      <c r="P1091" s="6">
        <v>0.35</v>
      </c>
      <c r="Q1091" s="11">
        <v>2.2999999999999998</v>
      </c>
      <c r="R1091" s="11"/>
      <c r="S1091" s="11"/>
      <c r="T1091" s="11"/>
      <c r="U1091" s="11">
        <f t="shared" ref="U1091:U1154" si="357">T1091+S1091+R1091+Q1091</f>
        <v>2.2999999999999998</v>
      </c>
      <c r="W1091">
        <v>2.5</v>
      </c>
      <c r="X1091" s="1" t="s">
        <v>13</v>
      </c>
    </row>
    <row r="1092" spans="1:24" x14ac:dyDescent="0.25">
      <c r="A1092" s="1" t="str">
        <f t="shared" si="353"/>
        <v>卡卡杜-凤凰仓</v>
      </c>
      <c r="B1092" s="1" t="str">
        <f>"CK20241030481"</f>
        <v>CK20241030481</v>
      </c>
      <c r="C1092" s="1" t="str">
        <f>"DD2024103036842"</f>
        <v>DD2024103036842</v>
      </c>
      <c r="D1092" s="1" t="str">
        <f>"CK2024103035368"</f>
        <v>CK2024103035368</v>
      </c>
      <c r="E1092" s="1" t="str">
        <f>"6935642213952460655"</f>
        <v>6935642213952460655</v>
      </c>
      <c r="F1092" s="1" t="str">
        <f t="shared" si="354"/>
        <v>花都四部-凤凰仓</v>
      </c>
      <c r="G1092" s="1" t="str">
        <f t="shared" si="350"/>
        <v>卡卡杜个人护理店（抖店）</v>
      </c>
      <c r="H1092" s="1" t="str">
        <f t="shared" si="355"/>
        <v>正常订单</v>
      </c>
      <c r="I1092" s="1" t="str">
        <f t="shared" si="356"/>
        <v>已发货</v>
      </c>
      <c r="J1092" s="1" t="str">
        <f t="shared" si="352"/>
        <v>3</v>
      </c>
      <c r="K1092" s="1">
        <v>2</v>
      </c>
      <c r="L1092" s="1" t="s">
        <v>60</v>
      </c>
      <c r="M1092" s="1" t="str">
        <f>"云南省 临沧市 沧源佤族自治县 勐董镇"</f>
        <v>云南省 临沧市 沧源佤族自治县 勐董镇</v>
      </c>
      <c r="N1092" s="1" t="str">
        <f t="shared" si="351"/>
        <v>凡华云仓-城南圆通-抖音</v>
      </c>
      <c r="O1092" s="5" t="s">
        <v>1130</v>
      </c>
      <c r="P1092" s="6">
        <v>0.35</v>
      </c>
      <c r="Q1092" s="11">
        <v>2.2999999999999998</v>
      </c>
      <c r="R1092" s="11"/>
      <c r="S1092" s="11"/>
      <c r="T1092" s="11"/>
      <c r="U1092" s="11">
        <f t="shared" si="357"/>
        <v>2.2999999999999998</v>
      </c>
      <c r="W1092">
        <v>2.5</v>
      </c>
      <c r="X1092" s="1" t="s">
        <v>60</v>
      </c>
    </row>
    <row r="1093" spans="1:24" x14ac:dyDescent="0.25">
      <c r="A1093" s="1" t="str">
        <f t="shared" si="353"/>
        <v>卡卡杜-凤凰仓</v>
      </c>
      <c r="B1093" s="1" t="str">
        <f>"CK20241030478"</f>
        <v>CK20241030478</v>
      </c>
      <c r="C1093" s="1" t="str">
        <f>"DD2024103036844"</f>
        <v>DD2024103036844</v>
      </c>
      <c r="D1093" s="1" t="str">
        <f>"CK2024103035367"</f>
        <v>CK2024103035367</v>
      </c>
      <c r="E1093" s="1" t="str">
        <f>"6935644540543637017"</f>
        <v>6935644540543637017</v>
      </c>
      <c r="F1093" s="1" t="str">
        <f t="shared" si="354"/>
        <v>花都四部-凤凰仓</v>
      </c>
      <c r="G1093" s="1" t="str">
        <f t="shared" si="350"/>
        <v>卡卡杜个人护理店（抖店）</v>
      </c>
      <c r="H1093" s="1" t="str">
        <f t="shared" si="355"/>
        <v>正常订单</v>
      </c>
      <c r="I1093" s="1" t="str">
        <f t="shared" si="356"/>
        <v>已发货</v>
      </c>
      <c r="J1093" s="1" t="str">
        <f t="shared" si="352"/>
        <v>3</v>
      </c>
      <c r="K1093" s="1">
        <v>2</v>
      </c>
      <c r="L1093" s="1" t="s">
        <v>32</v>
      </c>
      <c r="M1093" s="1" t="str">
        <f>"陕西省 渭南市 临渭区 崇业路街道"</f>
        <v>陕西省 渭南市 临渭区 崇业路街道</v>
      </c>
      <c r="N1093" s="1" t="str">
        <f t="shared" si="351"/>
        <v>凡华云仓-城南圆通-抖音</v>
      </c>
      <c r="O1093" s="5" t="s">
        <v>1131</v>
      </c>
      <c r="P1093" s="6">
        <v>0.35</v>
      </c>
      <c r="Q1093" s="11">
        <v>2.2999999999999998</v>
      </c>
      <c r="R1093" s="11"/>
      <c r="S1093" s="11"/>
      <c r="T1093" s="11"/>
      <c r="U1093" s="11">
        <f t="shared" si="357"/>
        <v>2.2999999999999998</v>
      </c>
      <c r="W1093">
        <v>2.5</v>
      </c>
      <c r="X1093" s="1" t="s">
        <v>32</v>
      </c>
    </row>
    <row r="1094" spans="1:24" x14ac:dyDescent="0.25">
      <c r="A1094" s="1" t="str">
        <f t="shared" si="353"/>
        <v>卡卡杜-凤凰仓</v>
      </c>
      <c r="B1094" s="1" t="str">
        <f>"CK20241030482"</f>
        <v>CK20241030482</v>
      </c>
      <c r="C1094" s="1" t="str">
        <f>"DD2024103036846"</f>
        <v>DD2024103036846</v>
      </c>
      <c r="D1094" s="1" t="str">
        <f>"CK2024103035366"</f>
        <v>CK2024103035366</v>
      </c>
      <c r="E1094" s="1" t="str">
        <f>"6935646879231448655"</f>
        <v>6935646879231448655</v>
      </c>
      <c r="F1094" s="1" t="str">
        <f t="shared" si="354"/>
        <v>花都四部-凤凰仓</v>
      </c>
      <c r="G1094" s="1" t="str">
        <f t="shared" si="350"/>
        <v>卡卡杜个人护理店（抖店）</v>
      </c>
      <c r="H1094" s="1" t="str">
        <f t="shared" si="355"/>
        <v>正常订单</v>
      </c>
      <c r="I1094" s="1" t="str">
        <f t="shared" si="356"/>
        <v>已发货</v>
      </c>
      <c r="J1094" s="1" t="str">
        <f t="shared" si="352"/>
        <v>3</v>
      </c>
      <c r="K1094" s="1">
        <v>2</v>
      </c>
      <c r="L1094" s="1" t="s">
        <v>74</v>
      </c>
      <c r="M1094" s="1" t="str">
        <f>"上海 上海市 嘉定区 马陆镇"</f>
        <v>上海 上海市 嘉定区 马陆镇</v>
      </c>
      <c r="N1094" s="1" t="str">
        <f t="shared" si="351"/>
        <v>凡华云仓-城南圆通-抖音</v>
      </c>
      <c r="O1094" s="5" t="s">
        <v>1132</v>
      </c>
      <c r="P1094" s="6">
        <v>0.35</v>
      </c>
      <c r="Q1094" s="11">
        <v>2.2999999999999998</v>
      </c>
      <c r="R1094" s="11"/>
      <c r="S1094" s="11"/>
      <c r="T1094" s="11"/>
      <c r="U1094" s="11">
        <f t="shared" si="357"/>
        <v>2.2999999999999998</v>
      </c>
      <c r="W1094">
        <v>2.5</v>
      </c>
      <c r="X1094" s="1" t="s">
        <v>74</v>
      </c>
    </row>
    <row r="1095" spans="1:24" x14ac:dyDescent="0.25">
      <c r="A1095" s="1" t="str">
        <f t="shared" si="353"/>
        <v>卡卡杜-凤凰仓</v>
      </c>
      <c r="B1095" s="1" t="str">
        <f>"CK20241030472"</f>
        <v>CK20241030472</v>
      </c>
      <c r="C1095" s="1" t="str">
        <f>"DD2024103036835"</f>
        <v>DD2024103036835</v>
      </c>
      <c r="D1095" s="1" t="str">
        <f>"CK2024103035365"</f>
        <v>CK2024103035365</v>
      </c>
      <c r="E1095" s="1" t="str">
        <f>"6935636167353964505"</f>
        <v>6935636167353964505</v>
      </c>
      <c r="F1095" s="1" t="str">
        <f t="shared" si="354"/>
        <v>花都四部-凤凰仓</v>
      </c>
      <c r="G1095" s="1" t="str">
        <f t="shared" si="350"/>
        <v>卡卡杜个人护理店（抖店）</v>
      </c>
      <c r="H1095" s="1" t="str">
        <f t="shared" si="355"/>
        <v>正常订单</v>
      </c>
      <c r="I1095" s="1" t="str">
        <f t="shared" si="356"/>
        <v>已发货</v>
      </c>
      <c r="J1095" s="1" t="str">
        <f t="shared" si="352"/>
        <v>3</v>
      </c>
      <c r="K1095" s="1">
        <v>2</v>
      </c>
      <c r="L1095" s="1" t="s">
        <v>36</v>
      </c>
      <c r="M1095" s="1" t="str">
        <f>"安徽省 马鞍山市 当涂县 "</f>
        <v xml:space="preserve">安徽省 马鞍山市 当涂县 </v>
      </c>
      <c r="N1095" s="1" t="str">
        <f t="shared" si="351"/>
        <v>凡华云仓-城南圆通-抖音</v>
      </c>
      <c r="O1095" s="5" t="s">
        <v>1133</v>
      </c>
      <c r="P1095" s="6">
        <v>0.35</v>
      </c>
      <c r="Q1095" s="11">
        <v>2.2999999999999998</v>
      </c>
      <c r="R1095" s="11"/>
      <c r="S1095" s="11"/>
      <c r="T1095" s="11"/>
      <c r="U1095" s="11">
        <f t="shared" si="357"/>
        <v>2.2999999999999998</v>
      </c>
      <c r="W1095">
        <v>2.5</v>
      </c>
      <c r="X1095" s="1" t="s">
        <v>36</v>
      </c>
    </row>
    <row r="1096" spans="1:24" x14ac:dyDescent="0.25">
      <c r="A1096" s="1" t="str">
        <f t="shared" si="353"/>
        <v>卡卡杜-凤凰仓</v>
      </c>
      <c r="B1096" s="1" t="str">
        <f>"CK20241030222"</f>
        <v>CK20241030222</v>
      </c>
      <c r="C1096" s="1" t="str">
        <f>"DD2024103036297"</f>
        <v>DD2024103036297</v>
      </c>
      <c r="D1096" s="1" t="str">
        <f>"CK2024103035364"</f>
        <v>CK2024103035364</v>
      </c>
      <c r="E1096" s="1" t="str">
        <f>"6935638212073362959"</f>
        <v>6935638212073362959</v>
      </c>
      <c r="F1096" s="1" t="str">
        <f t="shared" si="354"/>
        <v>花都四部-凤凰仓</v>
      </c>
      <c r="G1096" s="1" t="str">
        <f t="shared" si="350"/>
        <v>卡卡杜个人护理店（抖店）</v>
      </c>
      <c r="H1096" s="1" t="str">
        <f t="shared" si="355"/>
        <v>正常订单</v>
      </c>
      <c r="I1096" s="1" t="str">
        <f t="shared" si="356"/>
        <v>已发货</v>
      </c>
      <c r="J1096" s="1" t="str">
        <f t="shared" si="352"/>
        <v>3</v>
      </c>
      <c r="K1096" s="1">
        <v>2</v>
      </c>
      <c r="L1096" s="1" t="s">
        <v>32</v>
      </c>
      <c r="M1096" s="1" t="str">
        <f>"陕西省 西安市 碑林区 太乙路街道"</f>
        <v>陕西省 西安市 碑林区 太乙路街道</v>
      </c>
      <c r="N1096" s="1" t="str">
        <f t="shared" si="351"/>
        <v>凡华云仓-城南圆通-抖音</v>
      </c>
      <c r="O1096" s="5" t="s">
        <v>1134</v>
      </c>
      <c r="P1096" s="6">
        <v>0.25</v>
      </c>
      <c r="Q1096" s="11">
        <v>2</v>
      </c>
      <c r="R1096" s="11"/>
      <c r="S1096" s="11"/>
      <c r="T1096" s="11"/>
      <c r="U1096" s="11">
        <f t="shared" si="357"/>
        <v>2</v>
      </c>
      <c r="W1096">
        <v>2.2000000000000002</v>
      </c>
      <c r="X1096" s="1" t="s">
        <v>32</v>
      </c>
    </row>
    <row r="1097" spans="1:24" x14ac:dyDescent="0.25">
      <c r="A1097" s="1" t="str">
        <f t="shared" si="353"/>
        <v>卡卡杜-凤凰仓</v>
      </c>
      <c r="B1097" s="1" t="str">
        <f>"CK20241030470"</f>
        <v>CK20241030470</v>
      </c>
      <c r="C1097" s="1" t="str">
        <f>"DD2024103036834"</f>
        <v>DD2024103036834</v>
      </c>
      <c r="D1097" s="1" t="str">
        <f>"CK2024103035363"</f>
        <v>CK2024103035363</v>
      </c>
      <c r="E1097" s="1" t="str">
        <f>"6935638078220735590"</f>
        <v>6935638078220735590</v>
      </c>
      <c r="F1097" s="1" t="str">
        <f t="shared" si="354"/>
        <v>花都四部-凤凰仓</v>
      </c>
      <c r="G1097" s="1" t="str">
        <f t="shared" si="350"/>
        <v>卡卡杜个人护理店（抖店）</v>
      </c>
      <c r="H1097" s="1" t="str">
        <f t="shared" si="355"/>
        <v>正常订单</v>
      </c>
      <c r="I1097" s="1" t="str">
        <f t="shared" si="356"/>
        <v>已发货</v>
      </c>
      <c r="J1097" s="1" t="str">
        <f t="shared" si="352"/>
        <v>3</v>
      </c>
      <c r="K1097" s="1">
        <v>2</v>
      </c>
      <c r="L1097" s="1" t="s">
        <v>13</v>
      </c>
      <c r="M1097" s="1" t="str">
        <f>"江苏省 徐州市 邳州市 赵墩镇"</f>
        <v>江苏省 徐州市 邳州市 赵墩镇</v>
      </c>
      <c r="N1097" s="1" t="str">
        <f t="shared" si="351"/>
        <v>凡华云仓-城南圆通-抖音</v>
      </c>
      <c r="O1097" s="5" t="s">
        <v>1135</v>
      </c>
      <c r="P1097" s="6">
        <v>0.35</v>
      </c>
      <c r="Q1097" s="11">
        <v>2.2999999999999998</v>
      </c>
      <c r="R1097" s="11"/>
      <c r="S1097" s="11"/>
      <c r="T1097" s="11"/>
      <c r="U1097" s="11">
        <f t="shared" si="357"/>
        <v>2.2999999999999998</v>
      </c>
      <c r="W1097">
        <v>2.5</v>
      </c>
      <c r="X1097" s="1" t="s">
        <v>13</v>
      </c>
    </row>
    <row r="1098" spans="1:24" x14ac:dyDescent="0.25">
      <c r="A1098" s="1" t="str">
        <f t="shared" si="353"/>
        <v>卡卡杜-凤凰仓</v>
      </c>
      <c r="B1098" s="1" t="str">
        <f>"CK20241030283"</f>
        <v>CK20241030283</v>
      </c>
      <c r="C1098" s="1" t="str">
        <f>"DD2024103036362"</f>
        <v>DD2024103036362</v>
      </c>
      <c r="D1098" s="1" t="str">
        <f>"CK2024103035362"</f>
        <v>CK2024103035362</v>
      </c>
      <c r="E1098" s="1" t="str">
        <f>"6935640030293595609"</f>
        <v>6935640030293595609</v>
      </c>
      <c r="F1098" s="1" t="str">
        <f t="shared" si="354"/>
        <v>花都四部-凤凰仓</v>
      </c>
      <c r="G1098" s="1" t="str">
        <f t="shared" si="350"/>
        <v>卡卡杜个人护理店（抖店）</v>
      </c>
      <c r="H1098" s="1" t="str">
        <f t="shared" si="355"/>
        <v>正常订单</v>
      </c>
      <c r="I1098" s="1" t="str">
        <f t="shared" si="356"/>
        <v>已发货</v>
      </c>
      <c r="J1098" s="1" t="str">
        <f t="shared" si="352"/>
        <v>3</v>
      </c>
      <c r="K1098" s="1">
        <v>2</v>
      </c>
      <c r="L1098" s="1" t="s">
        <v>30</v>
      </c>
      <c r="M1098" s="1" t="str">
        <f>"山东省 聊城市 东昌府区 新区街道"</f>
        <v>山东省 聊城市 东昌府区 新区街道</v>
      </c>
      <c r="N1098" s="1" t="str">
        <f t="shared" si="351"/>
        <v>凡华云仓-城南圆通-抖音</v>
      </c>
      <c r="O1098" s="5" t="s">
        <v>1136</v>
      </c>
      <c r="P1098" s="6">
        <v>0.25</v>
      </c>
      <c r="Q1098" s="11">
        <v>2</v>
      </c>
      <c r="R1098" s="11"/>
      <c r="S1098" s="11"/>
      <c r="T1098" s="11"/>
      <c r="U1098" s="11">
        <f t="shared" si="357"/>
        <v>2</v>
      </c>
      <c r="W1098">
        <v>2.2000000000000002</v>
      </c>
      <c r="X1098" s="1" t="s">
        <v>30</v>
      </c>
    </row>
    <row r="1099" spans="1:24" x14ac:dyDescent="0.25">
      <c r="A1099" s="1" t="str">
        <f t="shared" si="353"/>
        <v>卡卡杜-凤凰仓</v>
      </c>
      <c r="B1099" s="1" t="str">
        <f>"CK20241030462"</f>
        <v>CK20241030462</v>
      </c>
      <c r="C1099" s="1" t="str">
        <f>"DD2024103036826"</f>
        <v>DD2024103036826</v>
      </c>
      <c r="D1099" s="1" t="str">
        <f>"CK2024103035361"</f>
        <v>CK2024103035361</v>
      </c>
      <c r="E1099" s="1" t="str">
        <f>"6935631534302238650"</f>
        <v>6935631534302238650</v>
      </c>
      <c r="F1099" s="1" t="str">
        <f t="shared" si="354"/>
        <v>花都四部-凤凰仓</v>
      </c>
      <c r="G1099" s="1" t="str">
        <f t="shared" si="350"/>
        <v>卡卡杜个人护理店（抖店）</v>
      </c>
      <c r="H1099" s="1" t="str">
        <f t="shared" si="355"/>
        <v>正常订单</v>
      </c>
      <c r="I1099" s="1" t="str">
        <f t="shared" si="356"/>
        <v>已发货</v>
      </c>
      <c r="J1099" s="1" t="str">
        <f t="shared" si="352"/>
        <v>3</v>
      </c>
      <c r="K1099" s="1">
        <v>2</v>
      </c>
      <c r="L1099" s="1" t="s">
        <v>13</v>
      </c>
      <c r="M1099" s="1" t="str">
        <f>"江苏省 宿迁市 沭阳县 南湖街道"</f>
        <v>江苏省 宿迁市 沭阳县 南湖街道</v>
      </c>
      <c r="N1099" s="1" t="str">
        <f t="shared" si="351"/>
        <v>凡华云仓-城南圆通-抖音</v>
      </c>
      <c r="O1099" s="5" t="s">
        <v>1137</v>
      </c>
      <c r="P1099" s="6">
        <v>0.35</v>
      </c>
      <c r="Q1099" s="11">
        <v>2.2999999999999998</v>
      </c>
      <c r="R1099" s="11"/>
      <c r="S1099" s="11"/>
      <c r="T1099" s="11"/>
      <c r="U1099" s="11">
        <f t="shared" si="357"/>
        <v>2.2999999999999998</v>
      </c>
      <c r="W1099">
        <v>2.5</v>
      </c>
      <c r="X1099" s="1" t="s">
        <v>13</v>
      </c>
    </row>
    <row r="1100" spans="1:24" x14ac:dyDescent="0.25">
      <c r="A1100" s="1" t="str">
        <f t="shared" si="353"/>
        <v>卡卡杜-凤凰仓</v>
      </c>
      <c r="B1100" s="1" t="str">
        <f>"CK2024103058"</f>
        <v>CK2024103058</v>
      </c>
      <c r="C1100" s="1" t="str">
        <f>"DD2024103035309"</f>
        <v>DD2024103035309</v>
      </c>
      <c r="D1100" s="1" t="str">
        <f>"CK2024103035360"</f>
        <v>CK2024103035360</v>
      </c>
      <c r="E1100" s="1" t="str">
        <f>"6935638098372203856"</f>
        <v>6935638098372203856</v>
      </c>
      <c r="F1100" s="1" t="str">
        <f t="shared" si="354"/>
        <v>花都四部-凤凰仓</v>
      </c>
      <c r="G1100" s="1" t="str">
        <f t="shared" si="350"/>
        <v>卡卡杜个人护理店（抖店）</v>
      </c>
      <c r="H1100" s="1" t="str">
        <f t="shared" si="355"/>
        <v>正常订单</v>
      </c>
      <c r="I1100" s="1" t="str">
        <f t="shared" si="356"/>
        <v>已发货</v>
      </c>
      <c r="J1100" s="1" t="str">
        <f t="shared" si="352"/>
        <v>3</v>
      </c>
      <c r="K1100" s="1">
        <v>2</v>
      </c>
      <c r="L1100" s="1" t="s">
        <v>13</v>
      </c>
      <c r="M1100" s="1" t="str">
        <f>"江苏省 徐州市 邳州市 东湖街道"</f>
        <v>江苏省 徐州市 邳州市 东湖街道</v>
      </c>
      <c r="N1100" s="1" t="str">
        <f t="shared" si="351"/>
        <v>凡华云仓-城南圆通-抖音</v>
      </c>
      <c r="O1100" s="5" t="s">
        <v>1138</v>
      </c>
      <c r="P1100" s="6">
        <v>0.35</v>
      </c>
      <c r="Q1100" s="11">
        <v>2.2999999999999998</v>
      </c>
      <c r="R1100" s="11"/>
      <c r="S1100" s="11"/>
      <c r="T1100" s="11"/>
      <c r="U1100" s="11">
        <f t="shared" si="357"/>
        <v>2.2999999999999998</v>
      </c>
      <c r="W1100">
        <v>2.5</v>
      </c>
      <c r="X1100" s="1" t="s">
        <v>13</v>
      </c>
    </row>
    <row r="1101" spans="1:24" x14ac:dyDescent="0.25">
      <c r="A1101" s="1" t="str">
        <f t="shared" si="353"/>
        <v>卡卡杜-凤凰仓</v>
      </c>
      <c r="B1101" s="1" t="str">
        <f>"CK20241030463"</f>
        <v>CK20241030463</v>
      </c>
      <c r="C1101" s="1" t="str">
        <f>"DD2024103036825"</f>
        <v>DD2024103036825</v>
      </c>
      <c r="D1101" s="1" t="str">
        <f>"CK2024103035359"</f>
        <v>CK2024103035359</v>
      </c>
      <c r="E1101" s="1" t="str">
        <f>"6935648912562263873"</f>
        <v>6935648912562263873</v>
      </c>
      <c r="F1101" s="1" t="str">
        <f t="shared" si="354"/>
        <v>花都四部-凤凰仓</v>
      </c>
      <c r="G1101" s="1" t="str">
        <f t="shared" si="350"/>
        <v>卡卡杜个人护理店（抖店）</v>
      </c>
      <c r="H1101" s="1" t="str">
        <f t="shared" si="355"/>
        <v>正常订单</v>
      </c>
      <c r="I1101" s="1" t="str">
        <f t="shared" si="356"/>
        <v>已发货</v>
      </c>
      <c r="J1101" s="1" t="str">
        <f t="shared" si="352"/>
        <v>3</v>
      </c>
      <c r="K1101" s="1">
        <v>2</v>
      </c>
      <c r="L1101" s="1" t="s">
        <v>109</v>
      </c>
      <c r="M1101" s="1" t="str">
        <f>"山西省 太原市 小店区 北营街道"</f>
        <v>山西省 太原市 小店区 北营街道</v>
      </c>
      <c r="N1101" s="1" t="str">
        <f t="shared" si="351"/>
        <v>凡华云仓-城南圆通-抖音</v>
      </c>
      <c r="O1101" s="5" t="s">
        <v>1139</v>
      </c>
      <c r="P1101" s="6">
        <v>0.35</v>
      </c>
      <c r="Q1101" s="11">
        <v>2.2999999999999998</v>
      </c>
      <c r="R1101" s="11"/>
      <c r="S1101" s="11"/>
      <c r="T1101" s="11"/>
      <c r="U1101" s="11">
        <f t="shared" si="357"/>
        <v>2.2999999999999998</v>
      </c>
      <c r="W1101">
        <v>2.5</v>
      </c>
      <c r="X1101" s="1" t="s">
        <v>109</v>
      </c>
    </row>
    <row r="1102" spans="1:24" x14ac:dyDescent="0.25">
      <c r="A1102" s="1" t="str">
        <f t="shared" si="353"/>
        <v>卡卡杜-凤凰仓</v>
      </c>
      <c r="B1102" s="1" t="str">
        <f>"CK20241030465"</f>
        <v>CK20241030465</v>
      </c>
      <c r="C1102" s="1" t="str">
        <f>"DD2024103036829"</f>
        <v>DD2024103036829</v>
      </c>
      <c r="D1102" s="1" t="str">
        <f>"CK2024103035358"</f>
        <v>CK2024103035358</v>
      </c>
      <c r="E1102" s="1" t="str">
        <f>"6935644345357178792"</f>
        <v>6935644345357178792</v>
      </c>
      <c r="F1102" s="1" t="str">
        <f t="shared" si="354"/>
        <v>花都四部-凤凰仓</v>
      </c>
      <c r="G1102" s="1" t="str">
        <f t="shared" si="350"/>
        <v>卡卡杜个人护理店（抖店）</v>
      </c>
      <c r="H1102" s="1" t="str">
        <f t="shared" si="355"/>
        <v>正常订单</v>
      </c>
      <c r="I1102" s="1" t="str">
        <f t="shared" si="356"/>
        <v>已发货</v>
      </c>
      <c r="J1102" s="1" t="str">
        <f t="shared" si="352"/>
        <v>3</v>
      </c>
      <c r="K1102" s="1">
        <v>2</v>
      </c>
      <c r="L1102" s="1" t="s">
        <v>80</v>
      </c>
      <c r="M1102" s="1" t="str">
        <f>"河南省 新乡市 长垣市 满村镇"</f>
        <v>河南省 新乡市 长垣市 满村镇</v>
      </c>
      <c r="N1102" s="1" t="str">
        <f t="shared" si="351"/>
        <v>凡华云仓-城南圆通-抖音</v>
      </c>
      <c r="O1102" s="5" t="s">
        <v>1140</v>
      </c>
      <c r="P1102" s="6">
        <v>0.35</v>
      </c>
      <c r="Q1102" s="11">
        <v>2.2999999999999998</v>
      </c>
      <c r="R1102" s="11"/>
      <c r="S1102" s="11"/>
      <c r="T1102" s="11"/>
      <c r="U1102" s="11">
        <f t="shared" si="357"/>
        <v>2.2999999999999998</v>
      </c>
      <c r="W1102">
        <v>2.5</v>
      </c>
      <c r="X1102" s="1" t="s">
        <v>80</v>
      </c>
    </row>
    <row r="1103" spans="1:24" x14ac:dyDescent="0.25">
      <c r="A1103" s="1" t="str">
        <f t="shared" si="353"/>
        <v>卡卡杜-凤凰仓</v>
      </c>
      <c r="B1103" s="1" t="str">
        <f>"CK20241030468"</f>
        <v>CK20241030468</v>
      </c>
      <c r="C1103" s="1" t="str">
        <f>"DD2024103036831"</f>
        <v>DD2024103036831</v>
      </c>
      <c r="D1103" s="1" t="str">
        <f>"CK2024103035357"</f>
        <v>CK2024103035357</v>
      </c>
      <c r="E1103" s="1" t="str">
        <f>"6935622367684596792"</f>
        <v>6935622367684596792</v>
      </c>
      <c r="F1103" s="1" t="str">
        <f t="shared" si="354"/>
        <v>花都四部-凤凰仓</v>
      </c>
      <c r="G1103" s="1" t="str">
        <f t="shared" si="350"/>
        <v>卡卡杜个人护理店（抖店）</v>
      </c>
      <c r="H1103" s="1" t="str">
        <f t="shared" si="355"/>
        <v>正常订单</v>
      </c>
      <c r="I1103" s="1" t="str">
        <f t="shared" si="356"/>
        <v>已发货</v>
      </c>
      <c r="J1103" s="1" t="str">
        <f t="shared" si="352"/>
        <v>3</v>
      </c>
      <c r="K1103" s="1">
        <v>2</v>
      </c>
      <c r="L1103" s="1" t="s">
        <v>13</v>
      </c>
      <c r="M1103" s="1" t="str">
        <f>"江苏省 宿迁市 泗洪县 青阳街道"</f>
        <v>江苏省 宿迁市 泗洪县 青阳街道</v>
      </c>
      <c r="N1103" s="1" t="str">
        <f t="shared" si="351"/>
        <v>凡华云仓-城南圆通-抖音</v>
      </c>
      <c r="O1103" s="5" t="s">
        <v>1141</v>
      </c>
      <c r="P1103" s="6">
        <v>0.35</v>
      </c>
      <c r="Q1103" s="11">
        <v>2.2999999999999998</v>
      </c>
      <c r="R1103" s="11"/>
      <c r="S1103" s="11"/>
      <c r="T1103" s="11"/>
      <c r="U1103" s="11">
        <f t="shared" si="357"/>
        <v>2.2999999999999998</v>
      </c>
      <c r="W1103">
        <v>2.5</v>
      </c>
      <c r="X1103" s="1" t="s">
        <v>13</v>
      </c>
    </row>
    <row r="1104" spans="1:24" x14ac:dyDescent="0.25">
      <c r="A1104" s="1" t="str">
        <f t="shared" si="353"/>
        <v>卡卡杜-凤凰仓</v>
      </c>
      <c r="B1104" s="1" t="str">
        <f>"CK20241030467"</f>
        <v>CK20241030467</v>
      </c>
      <c r="C1104" s="1" t="str">
        <f>"DD2024103036833"</f>
        <v>DD2024103036833</v>
      </c>
      <c r="D1104" s="1" t="str">
        <f>"CK2024103035356"</f>
        <v>CK2024103035356</v>
      </c>
      <c r="E1104" s="1" t="str">
        <f>"6935646451302602126"</f>
        <v>6935646451302602126</v>
      </c>
      <c r="F1104" s="1" t="str">
        <f t="shared" si="354"/>
        <v>花都四部-凤凰仓</v>
      </c>
      <c r="G1104" s="1" t="str">
        <f t="shared" si="350"/>
        <v>卡卡杜个人护理店（抖店）</v>
      </c>
      <c r="H1104" s="1" t="str">
        <f t="shared" si="355"/>
        <v>正常订单</v>
      </c>
      <c r="I1104" s="1" t="str">
        <f t="shared" si="356"/>
        <v>已发货</v>
      </c>
      <c r="J1104" s="1" t="str">
        <f t="shared" si="352"/>
        <v>3</v>
      </c>
      <c r="K1104" s="1">
        <v>2</v>
      </c>
      <c r="L1104" s="1" t="s">
        <v>32</v>
      </c>
      <c r="M1104" s="1" t="str">
        <f>"陕西省 榆林市 榆阳区 新明楼街道"</f>
        <v>陕西省 榆林市 榆阳区 新明楼街道</v>
      </c>
      <c r="N1104" s="1" t="str">
        <f t="shared" si="351"/>
        <v>凡华云仓-城南圆通-抖音</v>
      </c>
      <c r="O1104" s="5" t="s">
        <v>1142</v>
      </c>
      <c r="P1104" s="6">
        <v>0.35</v>
      </c>
      <c r="Q1104" s="11">
        <v>2.2999999999999998</v>
      </c>
      <c r="R1104" s="11"/>
      <c r="S1104" s="11"/>
      <c r="T1104" s="11"/>
      <c r="U1104" s="11">
        <f t="shared" si="357"/>
        <v>2.2999999999999998</v>
      </c>
      <c r="W1104">
        <v>2.5</v>
      </c>
      <c r="X1104" s="1" t="s">
        <v>32</v>
      </c>
    </row>
    <row r="1105" spans="1:24" x14ac:dyDescent="0.25">
      <c r="A1105" s="1" t="str">
        <f t="shared" si="353"/>
        <v>卡卡杜-凤凰仓</v>
      </c>
      <c r="B1105" s="1" t="str">
        <f>"CK20241030447"</f>
        <v>CK20241030447</v>
      </c>
      <c r="C1105" s="1" t="str">
        <f>"DD2024103036544"</f>
        <v>DD2024103036544</v>
      </c>
      <c r="D1105" s="1" t="str">
        <f>"CK2024103035355"</f>
        <v>CK2024103035355</v>
      </c>
      <c r="E1105" s="1" t="str">
        <f>"6935641867133916212"</f>
        <v>6935641867133916212</v>
      </c>
      <c r="F1105" s="1" t="str">
        <f t="shared" si="354"/>
        <v>花都四部-凤凰仓</v>
      </c>
      <c r="G1105" s="1" t="str">
        <f t="shared" si="350"/>
        <v>卡卡杜个人护理店（抖店）</v>
      </c>
      <c r="H1105" s="1" t="str">
        <f t="shared" si="355"/>
        <v>正常订单</v>
      </c>
      <c r="I1105" s="1" t="str">
        <f t="shared" si="356"/>
        <v>已发货</v>
      </c>
      <c r="J1105" s="1" t="str">
        <f>"5"</f>
        <v>5</v>
      </c>
      <c r="K1105" s="1">
        <v>2</v>
      </c>
      <c r="L1105" s="1" t="s">
        <v>20</v>
      </c>
      <c r="M1105" s="1" t="str">
        <f>"浙江省 温州市 鹿城区 南郊街道"</f>
        <v>浙江省 温州市 鹿城区 南郊街道</v>
      </c>
      <c r="N1105" s="1" t="str">
        <f t="shared" si="351"/>
        <v>凡华云仓-城南圆通-抖音</v>
      </c>
      <c r="O1105" s="5" t="s">
        <v>1143</v>
      </c>
      <c r="P1105" s="6">
        <v>0.59</v>
      </c>
      <c r="Q1105" s="11">
        <f>CEILING(P1105-0.5,0.1)*10*0.15+2.3</f>
        <v>2.4499999999999997</v>
      </c>
      <c r="R1105" s="11"/>
      <c r="S1105" s="11"/>
      <c r="T1105" s="11"/>
      <c r="U1105" s="11">
        <f t="shared" si="357"/>
        <v>2.4499999999999997</v>
      </c>
      <c r="V1105" t="s">
        <v>15</v>
      </c>
      <c r="W1105">
        <v>2.4500000000000002</v>
      </c>
      <c r="X1105" s="1" t="s">
        <v>20</v>
      </c>
    </row>
    <row r="1106" spans="1:24" x14ac:dyDescent="0.25">
      <c r="A1106" s="1" t="str">
        <f t="shared" si="353"/>
        <v>卡卡杜-凤凰仓</v>
      </c>
      <c r="B1106" s="1" t="str">
        <f>"CK20241030460"</f>
        <v>CK20241030460</v>
      </c>
      <c r="C1106" s="1" t="str">
        <f>"DD2024103036828"</f>
        <v>DD2024103036828</v>
      </c>
      <c r="D1106" s="1" t="str">
        <f>"CK2024103035354"</f>
        <v>CK2024103035354</v>
      </c>
      <c r="E1106" s="1" t="str">
        <f>"6935626758473389275"</f>
        <v>6935626758473389275</v>
      </c>
      <c r="F1106" s="1" t="str">
        <f t="shared" si="354"/>
        <v>花都四部-凤凰仓</v>
      </c>
      <c r="G1106" s="1" t="str">
        <f t="shared" si="350"/>
        <v>卡卡杜个人护理店（抖店）</v>
      </c>
      <c r="H1106" s="1" t="str">
        <f t="shared" si="355"/>
        <v>正常订单</v>
      </c>
      <c r="I1106" s="1" t="str">
        <f t="shared" si="356"/>
        <v>已发货</v>
      </c>
      <c r="J1106" s="1" t="str">
        <f t="shared" ref="J1106:J1114" si="358">"3"</f>
        <v>3</v>
      </c>
      <c r="K1106" s="1">
        <v>2</v>
      </c>
      <c r="L1106" s="1" t="s">
        <v>109</v>
      </c>
      <c r="M1106" s="1" t="str">
        <f>"山西省 临汾市 乡宁县 昌宁镇"</f>
        <v>山西省 临汾市 乡宁县 昌宁镇</v>
      </c>
      <c r="N1106" s="1" t="str">
        <f t="shared" si="351"/>
        <v>凡华云仓-城南圆通-抖音</v>
      </c>
      <c r="O1106" s="5" t="s">
        <v>1144</v>
      </c>
      <c r="P1106" s="6">
        <v>0.35</v>
      </c>
      <c r="Q1106" s="11">
        <v>2.2999999999999998</v>
      </c>
      <c r="R1106" s="11"/>
      <c r="S1106" s="11"/>
      <c r="T1106" s="11"/>
      <c r="U1106" s="11">
        <f t="shared" si="357"/>
        <v>2.2999999999999998</v>
      </c>
      <c r="W1106">
        <v>2.5</v>
      </c>
      <c r="X1106" s="1" t="s">
        <v>109</v>
      </c>
    </row>
    <row r="1107" spans="1:24" x14ac:dyDescent="0.25">
      <c r="A1107" s="1" t="str">
        <f t="shared" si="353"/>
        <v>卡卡杜-凤凰仓</v>
      </c>
      <c r="B1107" s="1" t="str">
        <f>"CK2024103056"</f>
        <v>CK2024103056</v>
      </c>
      <c r="C1107" s="1" t="str">
        <f>"DD2024103035307"</f>
        <v>DD2024103035307</v>
      </c>
      <c r="D1107" s="1" t="str">
        <f>"CK2024103035353"</f>
        <v>CK2024103035353</v>
      </c>
      <c r="E1107" s="1" t="str">
        <f>"6935622162125690554"</f>
        <v>6935622162125690554</v>
      </c>
      <c r="F1107" s="1" t="str">
        <f t="shared" si="354"/>
        <v>花都四部-凤凰仓</v>
      </c>
      <c r="G1107" s="1" t="str">
        <f t="shared" si="350"/>
        <v>卡卡杜个人护理店（抖店）</v>
      </c>
      <c r="H1107" s="1" t="str">
        <f t="shared" si="355"/>
        <v>正常订单</v>
      </c>
      <c r="I1107" s="1" t="str">
        <f t="shared" si="356"/>
        <v>已发货</v>
      </c>
      <c r="J1107" s="1" t="str">
        <f t="shared" si="358"/>
        <v>3</v>
      </c>
      <c r="K1107" s="1">
        <v>2</v>
      </c>
      <c r="L1107" s="1" t="s">
        <v>36</v>
      </c>
      <c r="M1107" s="1" t="str">
        <f>"安徽省 淮北市 杜集区 段园镇"</f>
        <v>安徽省 淮北市 杜集区 段园镇</v>
      </c>
      <c r="N1107" s="1" t="str">
        <f t="shared" si="351"/>
        <v>凡华云仓-城南圆通-抖音</v>
      </c>
      <c r="O1107" s="5" t="s">
        <v>1145</v>
      </c>
      <c r="P1107" s="6">
        <v>0.35</v>
      </c>
      <c r="Q1107" s="11">
        <v>2.2999999999999998</v>
      </c>
      <c r="R1107" s="11"/>
      <c r="S1107" s="11"/>
      <c r="T1107" s="11"/>
      <c r="U1107" s="11">
        <f t="shared" si="357"/>
        <v>2.2999999999999998</v>
      </c>
      <c r="W1107">
        <v>2.5</v>
      </c>
      <c r="X1107" s="1" t="s">
        <v>36</v>
      </c>
    </row>
    <row r="1108" spans="1:24" x14ac:dyDescent="0.25">
      <c r="A1108" s="1" t="str">
        <f t="shared" si="353"/>
        <v>卡卡杜-凤凰仓</v>
      </c>
      <c r="B1108" s="1" t="str">
        <f>"CK2024103047"</f>
        <v>CK2024103047</v>
      </c>
      <c r="C1108" s="1" t="str">
        <f>"DD2024103035298"</f>
        <v>DD2024103035298</v>
      </c>
      <c r="D1108" s="1" t="str">
        <f>"CK2024103035352"</f>
        <v>CK2024103035352</v>
      </c>
      <c r="E1108" s="1" t="str">
        <f>"6935617428448875578"</f>
        <v>6935617428448875578</v>
      </c>
      <c r="F1108" s="1" t="str">
        <f t="shared" si="354"/>
        <v>花都四部-凤凰仓</v>
      </c>
      <c r="G1108" s="1" t="str">
        <f t="shared" si="350"/>
        <v>卡卡杜个人护理店（抖店）</v>
      </c>
      <c r="H1108" s="1" t="str">
        <f t="shared" si="355"/>
        <v>正常订单</v>
      </c>
      <c r="I1108" s="1" t="str">
        <f t="shared" si="356"/>
        <v>已发货</v>
      </c>
      <c r="J1108" s="1" t="str">
        <f t="shared" si="358"/>
        <v>3</v>
      </c>
      <c r="K1108" s="1">
        <v>2</v>
      </c>
      <c r="L1108" s="1" t="s">
        <v>20</v>
      </c>
      <c r="M1108" s="1" t="str">
        <f>"浙江省 湖州市 长兴县 "</f>
        <v xml:space="preserve">浙江省 湖州市 长兴县 </v>
      </c>
      <c r="N1108" s="1" t="str">
        <f t="shared" si="351"/>
        <v>凡华云仓-城南圆通-抖音</v>
      </c>
      <c r="O1108" s="5" t="s">
        <v>1146</v>
      </c>
      <c r="P1108" s="6">
        <v>0.35</v>
      </c>
      <c r="Q1108" s="11">
        <v>2.2999999999999998</v>
      </c>
      <c r="R1108" s="11"/>
      <c r="S1108" s="11"/>
      <c r="T1108" s="11"/>
      <c r="U1108" s="11">
        <f t="shared" si="357"/>
        <v>2.2999999999999998</v>
      </c>
      <c r="W1108">
        <v>2.5</v>
      </c>
      <c r="X1108" s="1" t="s">
        <v>20</v>
      </c>
    </row>
    <row r="1109" spans="1:24" x14ac:dyDescent="0.25">
      <c r="A1109" s="1" t="str">
        <f t="shared" si="353"/>
        <v>卡卡杜-凤凰仓</v>
      </c>
      <c r="B1109" s="1" t="str">
        <f>"CK2024103054"</f>
        <v>CK2024103054</v>
      </c>
      <c r="C1109" s="1" t="str">
        <f>"DD2024103035305"</f>
        <v>DD2024103035305</v>
      </c>
      <c r="D1109" s="1" t="str">
        <f>"CK2024103035351"</f>
        <v>CK2024103035351</v>
      </c>
      <c r="E1109" s="1" t="str">
        <f>"6935610510577702541"</f>
        <v>6935610510577702541</v>
      </c>
      <c r="F1109" s="1" t="str">
        <f t="shared" si="354"/>
        <v>花都四部-凤凰仓</v>
      </c>
      <c r="G1109" s="1" t="str">
        <f t="shared" si="350"/>
        <v>卡卡杜个人护理店（抖店）</v>
      </c>
      <c r="H1109" s="1" t="str">
        <f t="shared" si="355"/>
        <v>正常订单</v>
      </c>
      <c r="I1109" s="1" t="str">
        <f t="shared" si="356"/>
        <v>已发货</v>
      </c>
      <c r="J1109" s="1" t="str">
        <f t="shared" si="358"/>
        <v>3</v>
      </c>
      <c r="K1109" s="1">
        <v>2</v>
      </c>
      <c r="L1109" s="1" t="s">
        <v>32</v>
      </c>
      <c r="M1109" s="1" t="str">
        <f>"陕西省 宝鸡市 凤县 留凤关镇"</f>
        <v>陕西省 宝鸡市 凤县 留凤关镇</v>
      </c>
      <c r="N1109" s="1" t="str">
        <f t="shared" si="351"/>
        <v>凡华云仓-城南圆通-抖音</v>
      </c>
      <c r="O1109" s="5" t="s">
        <v>1147</v>
      </c>
      <c r="P1109" s="6">
        <v>0.35</v>
      </c>
      <c r="Q1109" s="11">
        <v>2.2999999999999998</v>
      </c>
      <c r="R1109" s="11"/>
      <c r="S1109" s="11"/>
      <c r="T1109" s="11"/>
      <c r="U1109" s="11">
        <f t="shared" si="357"/>
        <v>2.2999999999999998</v>
      </c>
      <c r="W1109">
        <v>2.5</v>
      </c>
      <c r="X1109" s="1" t="s">
        <v>32</v>
      </c>
    </row>
    <row r="1110" spans="1:24" x14ac:dyDescent="0.25">
      <c r="A1110" s="1" t="str">
        <f t="shared" si="353"/>
        <v>卡卡杜-凤凰仓</v>
      </c>
      <c r="B1110" s="1" t="str">
        <f>"CK2024103045"</f>
        <v>CK2024103045</v>
      </c>
      <c r="C1110" s="1" t="str">
        <f>"DD2024103035296"</f>
        <v>DD2024103035296</v>
      </c>
      <c r="D1110" s="1" t="str">
        <f>"CK2024103035350"</f>
        <v>CK2024103035350</v>
      </c>
      <c r="E1110" s="1" t="str">
        <f>"6935628699630048643"</f>
        <v>6935628699630048643</v>
      </c>
      <c r="F1110" s="1" t="str">
        <f t="shared" si="354"/>
        <v>花都四部-凤凰仓</v>
      </c>
      <c r="G1110" s="1" t="str">
        <f t="shared" si="350"/>
        <v>卡卡杜个人护理店（抖店）</v>
      </c>
      <c r="H1110" s="1" t="str">
        <f t="shared" si="355"/>
        <v>正常订单</v>
      </c>
      <c r="I1110" s="1" t="str">
        <f t="shared" si="356"/>
        <v>已发货</v>
      </c>
      <c r="J1110" s="1" t="str">
        <f t="shared" si="358"/>
        <v>3</v>
      </c>
      <c r="K1110" s="1">
        <v>2</v>
      </c>
      <c r="L1110" s="1" t="s">
        <v>13</v>
      </c>
      <c r="M1110" s="1" t="str">
        <f>"江苏省 南通市 如东县 双甸镇"</f>
        <v>江苏省 南通市 如东县 双甸镇</v>
      </c>
      <c r="N1110" s="1" t="str">
        <f t="shared" si="351"/>
        <v>凡华云仓-城南圆通-抖音</v>
      </c>
      <c r="O1110" s="5" t="s">
        <v>1148</v>
      </c>
      <c r="P1110" s="6">
        <v>0.35</v>
      </c>
      <c r="Q1110" s="11">
        <v>2.2999999999999998</v>
      </c>
      <c r="R1110" s="11"/>
      <c r="S1110" s="11"/>
      <c r="T1110" s="11"/>
      <c r="U1110" s="11">
        <f t="shared" si="357"/>
        <v>2.2999999999999998</v>
      </c>
      <c r="W1110">
        <v>2.5</v>
      </c>
      <c r="X1110" s="1" t="s">
        <v>13</v>
      </c>
    </row>
    <row r="1111" spans="1:24" x14ac:dyDescent="0.25">
      <c r="A1111" s="1" t="str">
        <f t="shared" si="353"/>
        <v>卡卡杜-凤凰仓</v>
      </c>
      <c r="B1111" s="1" t="str">
        <f>"CK2024103049"</f>
        <v>CK2024103049</v>
      </c>
      <c r="C1111" s="1" t="str">
        <f>"DD2024103035301"</f>
        <v>DD2024103035301</v>
      </c>
      <c r="D1111" s="1" t="str">
        <f>"CK2024103035349"</f>
        <v>CK2024103035349</v>
      </c>
      <c r="E1111" s="1" t="str">
        <f>"6935619554810074764"</f>
        <v>6935619554810074764</v>
      </c>
      <c r="F1111" s="1" t="str">
        <f t="shared" si="354"/>
        <v>花都四部-凤凰仓</v>
      </c>
      <c r="G1111" s="1" t="str">
        <f t="shared" si="350"/>
        <v>卡卡杜个人护理店（抖店）</v>
      </c>
      <c r="H1111" s="1" t="str">
        <f t="shared" si="355"/>
        <v>正常订单</v>
      </c>
      <c r="I1111" s="1" t="str">
        <f t="shared" si="356"/>
        <v>已发货</v>
      </c>
      <c r="J1111" s="1" t="str">
        <f t="shared" si="358"/>
        <v>3</v>
      </c>
      <c r="K1111" s="1">
        <v>2</v>
      </c>
      <c r="L1111" s="1" t="s">
        <v>96</v>
      </c>
      <c r="M1111" s="1" t="str">
        <f>"广西壮族自治区 梧州市 藤县 "</f>
        <v xml:space="preserve">广西壮族自治区 梧州市 藤县 </v>
      </c>
      <c r="N1111" s="1" t="str">
        <f t="shared" si="351"/>
        <v>凡华云仓-城南圆通-抖音</v>
      </c>
      <c r="O1111" s="5" t="s">
        <v>1149</v>
      </c>
      <c r="P1111" s="6">
        <v>0.35</v>
      </c>
      <c r="Q1111" s="11">
        <v>2.2999999999999998</v>
      </c>
      <c r="R1111" s="11"/>
      <c r="S1111" s="11"/>
      <c r="T1111" s="11"/>
      <c r="U1111" s="11">
        <f t="shared" si="357"/>
        <v>2.2999999999999998</v>
      </c>
      <c r="W1111">
        <v>2.5</v>
      </c>
      <c r="X1111" s="1" t="s">
        <v>96</v>
      </c>
    </row>
    <row r="1112" spans="1:24" x14ac:dyDescent="0.25">
      <c r="A1112" s="1" t="str">
        <f t="shared" si="353"/>
        <v>卡卡杜-凤凰仓</v>
      </c>
      <c r="B1112" s="1" t="str">
        <f>"CK2024103043"</f>
        <v>CK2024103043</v>
      </c>
      <c r="C1112" s="1" t="str">
        <f>"DD2024103035294"</f>
        <v>DD2024103035294</v>
      </c>
      <c r="D1112" s="1" t="str">
        <f>"CK2024103035348"</f>
        <v>CK2024103035348</v>
      </c>
      <c r="E1112" s="1" t="str">
        <f>"6935619549123974792"</f>
        <v>6935619549123974792</v>
      </c>
      <c r="F1112" s="1" t="str">
        <f t="shared" si="354"/>
        <v>花都四部-凤凰仓</v>
      </c>
      <c r="G1112" s="1" t="str">
        <f t="shared" si="350"/>
        <v>卡卡杜个人护理店（抖店）</v>
      </c>
      <c r="H1112" s="1" t="str">
        <f t="shared" si="355"/>
        <v>正常订单</v>
      </c>
      <c r="I1112" s="1" t="str">
        <f t="shared" si="356"/>
        <v>已发货</v>
      </c>
      <c r="J1112" s="1" t="str">
        <f t="shared" si="358"/>
        <v>3</v>
      </c>
      <c r="K1112" s="1">
        <v>2</v>
      </c>
      <c r="L1112" s="1" t="s">
        <v>94</v>
      </c>
      <c r="M1112" s="1" t="str">
        <f>"湖南省 岳阳市 汨罗市 长乐镇"</f>
        <v>湖南省 岳阳市 汨罗市 长乐镇</v>
      </c>
      <c r="N1112" s="1" t="str">
        <f t="shared" si="351"/>
        <v>凡华云仓-城南圆通-抖音</v>
      </c>
      <c r="O1112" s="5" t="s">
        <v>1150</v>
      </c>
      <c r="P1112" s="6">
        <v>0.35</v>
      </c>
      <c r="Q1112" s="11">
        <v>2.2999999999999998</v>
      </c>
      <c r="R1112" s="11"/>
      <c r="S1112" s="11"/>
      <c r="T1112" s="11"/>
      <c r="U1112" s="11">
        <f t="shared" si="357"/>
        <v>2.2999999999999998</v>
      </c>
      <c r="W1112">
        <v>2.5</v>
      </c>
      <c r="X1112" s="1" t="s">
        <v>94</v>
      </c>
    </row>
    <row r="1113" spans="1:24" x14ac:dyDescent="0.25">
      <c r="A1113" s="1" t="str">
        <f t="shared" si="353"/>
        <v>卡卡杜-凤凰仓</v>
      </c>
      <c r="B1113" s="1" t="str">
        <f>"CK2024103053"</f>
        <v>CK2024103053</v>
      </c>
      <c r="C1113" s="1" t="str">
        <f>"DD2024103035303"</f>
        <v>DD2024103035303</v>
      </c>
      <c r="D1113" s="1" t="str">
        <f>"CK2024103035347"</f>
        <v>CK2024103035347</v>
      </c>
      <c r="E1113" s="1" t="str">
        <f>"6935637015831254226"</f>
        <v>6935637015831254226</v>
      </c>
      <c r="F1113" s="1" t="str">
        <f t="shared" si="354"/>
        <v>花都四部-凤凰仓</v>
      </c>
      <c r="G1113" s="1" t="str">
        <f t="shared" si="350"/>
        <v>卡卡杜个人护理店（抖店）</v>
      </c>
      <c r="H1113" s="1" t="str">
        <f t="shared" si="355"/>
        <v>正常订单</v>
      </c>
      <c r="I1113" s="1" t="str">
        <f t="shared" si="356"/>
        <v>已发货</v>
      </c>
      <c r="J1113" s="1" t="str">
        <f t="shared" si="358"/>
        <v>3</v>
      </c>
      <c r="K1113" s="1">
        <v>2</v>
      </c>
      <c r="L1113" s="1" t="s">
        <v>18</v>
      </c>
      <c r="M1113" s="1" t="str">
        <f>"广东省 汕头市 潮南区 司马浦镇"</f>
        <v>广东省 汕头市 潮南区 司马浦镇</v>
      </c>
      <c r="N1113" s="1" t="str">
        <f t="shared" si="351"/>
        <v>凡华云仓-城南圆通-抖音</v>
      </c>
      <c r="O1113" s="5" t="s">
        <v>1151</v>
      </c>
      <c r="P1113" s="6">
        <v>0.35</v>
      </c>
      <c r="Q1113" s="11">
        <v>2.2999999999999998</v>
      </c>
      <c r="R1113" s="11"/>
      <c r="S1113" s="11"/>
      <c r="T1113" s="11"/>
      <c r="U1113" s="11">
        <f t="shared" si="357"/>
        <v>2.2999999999999998</v>
      </c>
      <c r="W1113">
        <v>2.5</v>
      </c>
      <c r="X1113" s="1" t="s">
        <v>18</v>
      </c>
    </row>
    <row r="1114" spans="1:24" x14ac:dyDescent="0.25">
      <c r="A1114" s="1" t="str">
        <f t="shared" si="353"/>
        <v>卡卡杜-凤凰仓</v>
      </c>
      <c r="B1114" s="1" t="str">
        <f>"CK2024102911284"</f>
        <v>CK2024102911284</v>
      </c>
      <c r="C1114" s="1" t="str">
        <f>"DD2024102954304"</f>
        <v>DD2024102954304</v>
      </c>
      <c r="D1114" s="1" t="str">
        <f>"CK2024102950969"</f>
        <v>CK2024102950969</v>
      </c>
      <c r="E1114" s="1" t="str">
        <f>"kkd20241029ag003"</f>
        <v>kkd20241029ag003</v>
      </c>
      <c r="F1114" s="1" t="str">
        <f t="shared" si="354"/>
        <v>花都四部-凤凰仓</v>
      </c>
      <c r="G1114" s="1" t="str">
        <f>"卡卡杜-A G潮牌厂（拼多多）"</f>
        <v>卡卡杜-A G潮牌厂（拼多多）</v>
      </c>
      <c r="H1114" s="1" t="str">
        <f t="shared" si="355"/>
        <v>正常订单</v>
      </c>
      <c r="I1114" s="1" t="str">
        <f t="shared" si="356"/>
        <v>已发货</v>
      </c>
      <c r="J1114" s="1" t="str">
        <f t="shared" si="358"/>
        <v>3</v>
      </c>
      <c r="K1114" s="1">
        <v>2</v>
      </c>
      <c r="L1114" s="1" t="s">
        <v>80</v>
      </c>
      <c r="M1114" s="1" t="str">
        <f>"河南省 平顶山市 郏县 "</f>
        <v xml:space="preserve">河南省 平顶山市 郏县 </v>
      </c>
      <c r="N1114" s="1" t="str">
        <f>"凡华云仓-城南圆通-拼多多"</f>
        <v>凡华云仓-城南圆通-拼多多</v>
      </c>
      <c r="O1114" s="5" t="s">
        <v>1152</v>
      </c>
      <c r="P1114" s="6">
        <v>0.35</v>
      </c>
      <c r="Q1114" s="11">
        <v>2.2999999999999998</v>
      </c>
      <c r="R1114" s="11"/>
      <c r="S1114" s="11"/>
      <c r="T1114" s="11"/>
      <c r="U1114" s="11">
        <f t="shared" si="357"/>
        <v>2.2999999999999998</v>
      </c>
      <c r="W1114">
        <v>2.5</v>
      </c>
      <c r="X1114" s="1" t="s">
        <v>80</v>
      </c>
    </row>
    <row r="1115" spans="1:24" x14ac:dyDescent="0.25">
      <c r="A1115" s="1" t="str">
        <f t="shared" si="353"/>
        <v>卡卡杜-凤凰仓</v>
      </c>
      <c r="B1115" s="1" t="str">
        <f>"CK2024102911223"</f>
        <v>CK2024102911223</v>
      </c>
      <c r="C1115" s="1" t="str">
        <f>"DD2024102953950"</f>
        <v>DD2024102953950</v>
      </c>
      <c r="D1115" s="1" t="str">
        <f>"CK2024102950959"</f>
        <v>CK2024102950959</v>
      </c>
      <c r="E1115" s="1" t="str">
        <f>"2430302483603753"</f>
        <v>2430302483603753</v>
      </c>
      <c r="F1115" s="1" t="str">
        <f t="shared" si="354"/>
        <v>花都四部-凤凰仓</v>
      </c>
      <c r="G1115" s="1" t="str">
        <f>"卡卡杜佳旺专卖店（快手店）"</f>
        <v>卡卡杜佳旺专卖店（快手店）</v>
      </c>
      <c r="H1115" s="1" t="str">
        <f t="shared" si="355"/>
        <v>正常订单</v>
      </c>
      <c r="I1115" s="1" t="str">
        <f t="shared" si="356"/>
        <v>已发货</v>
      </c>
      <c r="J1115" s="1" t="str">
        <f>"5"</f>
        <v>5</v>
      </c>
      <c r="K1115" s="1">
        <v>2</v>
      </c>
      <c r="L1115" s="1" t="s">
        <v>187</v>
      </c>
      <c r="M1115" s="1" t="str">
        <f>"吉林省 通化市 二道江区 铁厂镇"</f>
        <v>吉林省 通化市 二道江区 铁厂镇</v>
      </c>
      <c r="N1115" s="1" t="str">
        <f>"凡华云仓-城南圆通-快手"</f>
        <v>凡华云仓-城南圆通-快手</v>
      </c>
      <c r="O1115" s="5" t="s">
        <v>1153</v>
      </c>
      <c r="P1115" s="6">
        <v>0.59</v>
      </c>
      <c r="Q1115" s="11">
        <f>CEILING(P1115-0.5,0.1)*10*0.15+2.3</f>
        <v>2.4499999999999997</v>
      </c>
      <c r="R1115" s="11"/>
      <c r="S1115" s="11"/>
      <c r="T1115" s="11"/>
      <c r="U1115" s="11">
        <f t="shared" si="357"/>
        <v>2.4499999999999997</v>
      </c>
      <c r="V1115" t="s">
        <v>15</v>
      </c>
      <c r="W1115">
        <v>2.4500000000000002</v>
      </c>
      <c r="X1115" s="1" t="s">
        <v>187</v>
      </c>
    </row>
    <row r="1116" spans="1:24" x14ac:dyDescent="0.25">
      <c r="A1116" s="1" t="str">
        <f t="shared" si="353"/>
        <v>卡卡杜-凤凰仓</v>
      </c>
      <c r="B1116" s="1" t="str">
        <f>"CK2024102911283"</f>
        <v>CK2024102911283</v>
      </c>
      <c r="C1116" s="1" t="str">
        <f>"DD2024102954177"</f>
        <v>DD2024102954177</v>
      </c>
      <c r="D1116" s="1" t="str">
        <f>"CK2024102950958"</f>
        <v>CK2024102950958</v>
      </c>
      <c r="E1116" s="1" t="str">
        <f>"6935626059160818874"</f>
        <v>6935626059160818874</v>
      </c>
      <c r="F1116" s="1" t="str">
        <f t="shared" si="354"/>
        <v>花都四部-凤凰仓</v>
      </c>
      <c r="G1116" s="1" t="str">
        <f t="shared" ref="G1116:G1120" si="359">"卡卡杜个人护理店（抖店）"</f>
        <v>卡卡杜个人护理店（抖店）</v>
      </c>
      <c r="H1116" s="1" t="str">
        <f t="shared" si="355"/>
        <v>正常订单</v>
      </c>
      <c r="I1116" s="1" t="str">
        <f t="shared" si="356"/>
        <v>已发货</v>
      </c>
      <c r="J1116" s="1" t="str">
        <f t="shared" ref="J1116:J1120" si="360">"3"</f>
        <v>3</v>
      </c>
      <c r="K1116" s="1">
        <v>2</v>
      </c>
      <c r="L1116" s="1" t="s">
        <v>94</v>
      </c>
      <c r="M1116" s="1" t="str">
        <f>"湖南省 常德市 武陵区 德山街道"</f>
        <v>湖南省 常德市 武陵区 德山街道</v>
      </c>
      <c r="N1116" s="1" t="str">
        <f t="shared" ref="N1116:N1120" si="361">"凡华云仓-城南圆通-抖音"</f>
        <v>凡华云仓-城南圆通-抖音</v>
      </c>
      <c r="O1116" s="5" t="s">
        <v>1154</v>
      </c>
      <c r="P1116" s="6">
        <v>0.35</v>
      </c>
      <c r="Q1116" s="11">
        <v>2.2999999999999998</v>
      </c>
      <c r="R1116" s="11"/>
      <c r="S1116" s="11"/>
      <c r="T1116" s="11"/>
      <c r="U1116" s="11">
        <f t="shared" si="357"/>
        <v>2.2999999999999998</v>
      </c>
      <c r="W1116">
        <v>2.5</v>
      </c>
      <c r="X1116" s="1" t="s">
        <v>94</v>
      </c>
    </row>
    <row r="1117" spans="1:24" x14ac:dyDescent="0.25">
      <c r="A1117" s="1" t="str">
        <f t="shared" si="353"/>
        <v>卡卡杜-凤凰仓</v>
      </c>
      <c r="B1117" s="1" t="str">
        <f>"CK2024102911219"</f>
        <v>CK2024102911219</v>
      </c>
      <c r="C1117" s="1" t="str">
        <f>"DD2024102953946"</f>
        <v>DD2024102953946</v>
      </c>
      <c r="D1117" s="1" t="str">
        <f>"CK2024102950957"</f>
        <v>CK2024102950957</v>
      </c>
      <c r="E1117" s="1" t="str">
        <f>"6935612741322806573"</f>
        <v>6935612741322806573</v>
      </c>
      <c r="F1117" s="1" t="str">
        <f t="shared" si="354"/>
        <v>花都四部-凤凰仓</v>
      </c>
      <c r="G1117" s="1" t="str">
        <f t="shared" si="359"/>
        <v>卡卡杜个人护理店（抖店）</v>
      </c>
      <c r="H1117" s="1" t="str">
        <f t="shared" si="355"/>
        <v>正常订单</v>
      </c>
      <c r="I1117" s="1" t="str">
        <f t="shared" si="356"/>
        <v>已发货</v>
      </c>
      <c r="J1117" s="1" t="str">
        <f t="shared" si="360"/>
        <v>3</v>
      </c>
      <c r="K1117" s="1">
        <v>2</v>
      </c>
      <c r="L1117" s="1" t="s">
        <v>27</v>
      </c>
      <c r="M1117" s="1" t="str">
        <f>"贵州省 铜仁市 沿河土家族自治县 团结街道"</f>
        <v>贵州省 铜仁市 沿河土家族自治县 团结街道</v>
      </c>
      <c r="N1117" s="1" t="str">
        <f t="shared" si="361"/>
        <v>凡华云仓-城南圆通-抖音</v>
      </c>
      <c r="O1117" s="5" t="s">
        <v>1155</v>
      </c>
      <c r="P1117" s="6">
        <v>0.35</v>
      </c>
      <c r="Q1117" s="11">
        <v>2.2999999999999998</v>
      </c>
      <c r="R1117" s="11"/>
      <c r="S1117" s="11"/>
      <c r="T1117" s="11"/>
      <c r="U1117" s="11">
        <f t="shared" si="357"/>
        <v>2.2999999999999998</v>
      </c>
      <c r="W1117">
        <v>2.5</v>
      </c>
      <c r="X1117" s="1" t="s">
        <v>27</v>
      </c>
    </row>
    <row r="1118" spans="1:24" x14ac:dyDescent="0.25">
      <c r="A1118" s="1" t="str">
        <f t="shared" si="353"/>
        <v>卡卡杜-凤凰仓</v>
      </c>
      <c r="B1118" s="1" t="str">
        <f>"CK2024102911220"</f>
        <v>CK2024102911220</v>
      </c>
      <c r="C1118" s="1" t="str">
        <f>"DD2024102953947"</f>
        <v>DD2024102953947</v>
      </c>
      <c r="D1118" s="1" t="str">
        <f>"CK2024102950956"</f>
        <v>CK2024102950956</v>
      </c>
      <c r="E1118" s="1" t="str">
        <f>"6935610307835271107"</f>
        <v>6935610307835271107</v>
      </c>
      <c r="F1118" s="1" t="str">
        <f t="shared" si="354"/>
        <v>花都四部-凤凰仓</v>
      </c>
      <c r="G1118" s="1" t="str">
        <f t="shared" si="359"/>
        <v>卡卡杜个人护理店（抖店）</v>
      </c>
      <c r="H1118" s="1" t="str">
        <f t="shared" si="355"/>
        <v>正常订单</v>
      </c>
      <c r="I1118" s="1" t="str">
        <f t="shared" si="356"/>
        <v>已发货</v>
      </c>
      <c r="J1118" s="1" t="str">
        <f t="shared" si="360"/>
        <v>3</v>
      </c>
      <c r="K1118" s="1">
        <v>2</v>
      </c>
      <c r="L1118" s="1" t="s">
        <v>80</v>
      </c>
      <c r="M1118" s="1" t="str">
        <f>"河南省 洛阳市 宜阳县 盐镇乡"</f>
        <v>河南省 洛阳市 宜阳县 盐镇乡</v>
      </c>
      <c r="N1118" s="1" t="str">
        <f t="shared" si="361"/>
        <v>凡华云仓-城南圆通-抖音</v>
      </c>
      <c r="O1118" s="5" t="s">
        <v>1156</v>
      </c>
      <c r="P1118" s="6">
        <v>0.35</v>
      </c>
      <c r="Q1118" s="11">
        <v>2.2999999999999998</v>
      </c>
      <c r="R1118" s="11"/>
      <c r="S1118" s="11"/>
      <c r="T1118" s="11"/>
      <c r="U1118" s="11">
        <f t="shared" si="357"/>
        <v>2.2999999999999998</v>
      </c>
      <c r="W1118">
        <v>2.5</v>
      </c>
      <c r="X1118" s="1" t="s">
        <v>80</v>
      </c>
    </row>
    <row r="1119" spans="1:24" x14ac:dyDescent="0.25">
      <c r="A1119" s="1" t="str">
        <f t="shared" si="353"/>
        <v>卡卡杜-凤凰仓</v>
      </c>
      <c r="B1119" s="1" t="str">
        <f>"CK2024102911221"</f>
        <v>CK2024102911221</v>
      </c>
      <c r="C1119" s="1" t="str">
        <f>"DD2024102953949"</f>
        <v>DD2024102953949</v>
      </c>
      <c r="D1119" s="1" t="str">
        <f>"CK2024102950955"</f>
        <v>CK2024102950955</v>
      </c>
      <c r="E1119" s="1" t="str">
        <f>"6935610164335219765"</f>
        <v>6935610164335219765</v>
      </c>
      <c r="F1119" s="1" t="str">
        <f t="shared" si="354"/>
        <v>花都四部-凤凰仓</v>
      </c>
      <c r="G1119" s="1" t="str">
        <f t="shared" si="359"/>
        <v>卡卡杜个人护理店（抖店）</v>
      </c>
      <c r="H1119" s="1" t="str">
        <f t="shared" si="355"/>
        <v>正常订单</v>
      </c>
      <c r="I1119" s="1" t="str">
        <f t="shared" si="356"/>
        <v>已发货</v>
      </c>
      <c r="J1119" s="1" t="str">
        <f t="shared" si="360"/>
        <v>3</v>
      </c>
      <c r="K1119" s="1">
        <v>2</v>
      </c>
      <c r="L1119" s="1" t="s">
        <v>36</v>
      </c>
      <c r="M1119" s="1" t="str">
        <f>"安徽省 安庆市 大观区 玉琳路街道"</f>
        <v>安徽省 安庆市 大观区 玉琳路街道</v>
      </c>
      <c r="N1119" s="1" t="str">
        <f t="shared" si="361"/>
        <v>凡华云仓-城南圆通-抖音</v>
      </c>
      <c r="O1119" s="5" t="s">
        <v>1157</v>
      </c>
      <c r="P1119" s="6">
        <v>0.35</v>
      </c>
      <c r="Q1119" s="11">
        <v>2.2999999999999998</v>
      </c>
      <c r="R1119" s="11"/>
      <c r="S1119" s="11"/>
      <c r="T1119" s="11"/>
      <c r="U1119" s="11">
        <f t="shared" si="357"/>
        <v>2.2999999999999998</v>
      </c>
      <c r="W1119">
        <v>2.5</v>
      </c>
      <c r="X1119" s="1" t="s">
        <v>36</v>
      </c>
    </row>
    <row r="1120" spans="1:24" x14ac:dyDescent="0.25">
      <c r="A1120" s="1" t="str">
        <f t="shared" si="353"/>
        <v>卡卡杜-凤凰仓</v>
      </c>
      <c r="B1120" s="1" t="str">
        <f>"CK2024102911222"</f>
        <v>CK2024102911222</v>
      </c>
      <c r="C1120" s="1" t="str">
        <f>"DD2024102953948"</f>
        <v>DD2024102953948</v>
      </c>
      <c r="D1120" s="1" t="str">
        <f>"CK2024102950954"</f>
        <v>CK2024102950954</v>
      </c>
      <c r="E1120" s="1" t="str">
        <f>"6935632344176072528"</f>
        <v>6935632344176072528</v>
      </c>
      <c r="F1120" s="1" t="str">
        <f t="shared" si="354"/>
        <v>花都四部-凤凰仓</v>
      </c>
      <c r="G1120" s="1" t="str">
        <f t="shared" si="359"/>
        <v>卡卡杜个人护理店（抖店）</v>
      </c>
      <c r="H1120" s="1" t="str">
        <f t="shared" si="355"/>
        <v>正常订单</v>
      </c>
      <c r="I1120" s="1" t="str">
        <f t="shared" si="356"/>
        <v>已发货</v>
      </c>
      <c r="J1120" s="1" t="str">
        <f t="shared" si="360"/>
        <v>3</v>
      </c>
      <c r="K1120" s="1">
        <v>2</v>
      </c>
      <c r="L1120" s="1" t="s">
        <v>47</v>
      </c>
      <c r="M1120" s="1" t="str">
        <f>"重庆 重庆市 沙坪坝区 渝碚路街道"</f>
        <v>重庆 重庆市 沙坪坝区 渝碚路街道</v>
      </c>
      <c r="N1120" s="1" t="str">
        <f t="shared" si="361"/>
        <v>凡华云仓-城南圆通-抖音</v>
      </c>
      <c r="O1120" s="5" t="s">
        <v>1158</v>
      </c>
      <c r="P1120" s="6">
        <v>0.35</v>
      </c>
      <c r="Q1120" s="11">
        <v>2.2999999999999998</v>
      </c>
      <c r="R1120" s="11"/>
      <c r="S1120" s="11"/>
      <c r="T1120" s="11"/>
      <c r="U1120" s="11">
        <f t="shared" si="357"/>
        <v>2.2999999999999998</v>
      </c>
      <c r="W1120">
        <v>2.5</v>
      </c>
      <c r="X1120" s="1" t="s">
        <v>47</v>
      </c>
    </row>
    <row r="1121" spans="1:24" x14ac:dyDescent="0.25">
      <c r="A1121" s="1" t="str">
        <f t="shared" si="353"/>
        <v>卡卡杜-凤凰仓</v>
      </c>
      <c r="B1121" s="1" t="str">
        <f>"CK2024102911056"</f>
        <v>CK2024102911056</v>
      </c>
      <c r="C1121" s="1" t="str">
        <f>"DD2024102951819"</f>
        <v>DD2024102951819</v>
      </c>
      <c r="D1121" s="1" t="str">
        <f>"CK2024102948573"</f>
        <v>CK2024102948573</v>
      </c>
      <c r="E1121" s="1" t="str">
        <f>"kkd20241029qx003"</f>
        <v>kkd20241029qx003</v>
      </c>
      <c r="F1121" s="1" t="str">
        <f t="shared" si="354"/>
        <v>花都四部-凤凰仓</v>
      </c>
      <c r="G1121" s="1" t="str">
        <f t="shared" ref="G1121:G1123" si="362">"卡卡杜（全欣）"</f>
        <v>卡卡杜（全欣）</v>
      </c>
      <c r="H1121" s="1" t="str">
        <f t="shared" si="355"/>
        <v>正常订单</v>
      </c>
      <c r="I1121" s="1" t="str">
        <f t="shared" si="356"/>
        <v>已发货</v>
      </c>
      <c r="J1121" s="1" t="str">
        <f>"5"</f>
        <v>5</v>
      </c>
      <c r="K1121" s="1">
        <v>2</v>
      </c>
      <c r="L1121" s="1" t="s">
        <v>13</v>
      </c>
      <c r="M1121" s="1" t="str">
        <f>"江苏省 南通市 启东市 "</f>
        <v xml:space="preserve">江苏省 南通市 启东市 </v>
      </c>
      <c r="N1121" s="1" t="str">
        <f t="shared" ref="N1121:N1123" si="363">"凡华云仓-城南圆通-淘宝"</f>
        <v>凡华云仓-城南圆通-淘宝</v>
      </c>
      <c r="O1121" s="5" t="s">
        <v>1159</v>
      </c>
      <c r="P1121" s="6">
        <v>0.59</v>
      </c>
      <c r="Q1121" s="11">
        <f>CEILING(P1121-0.5,0.1)*10*0.15+2.3</f>
        <v>2.4499999999999997</v>
      </c>
      <c r="R1121" s="11"/>
      <c r="S1121" s="11"/>
      <c r="T1121" s="11"/>
      <c r="U1121" s="11">
        <f t="shared" si="357"/>
        <v>2.4499999999999997</v>
      </c>
      <c r="V1121" t="s">
        <v>15</v>
      </c>
      <c r="W1121">
        <v>2.4500000000000002</v>
      </c>
      <c r="X1121" s="1" t="s">
        <v>13</v>
      </c>
    </row>
    <row r="1122" spans="1:24" x14ac:dyDescent="0.25">
      <c r="A1122" s="1" t="str">
        <f t="shared" si="353"/>
        <v>卡卡杜-凤凰仓</v>
      </c>
      <c r="B1122" s="1" t="str">
        <f>"CK2024102911066"</f>
        <v>CK2024102911066</v>
      </c>
      <c r="C1122" s="1" t="str">
        <f>"DD2024102951873"</f>
        <v>DD2024102951873</v>
      </c>
      <c r="D1122" s="1" t="str">
        <f>"CK2024102948572"</f>
        <v>CK2024102948572</v>
      </c>
      <c r="E1122" s="1" t="str">
        <f>"kkd20241029qx002"</f>
        <v>kkd20241029qx002</v>
      </c>
      <c r="F1122" s="1" t="str">
        <f t="shared" si="354"/>
        <v>花都四部-凤凰仓</v>
      </c>
      <c r="G1122" s="1" t="str">
        <f t="shared" si="362"/>
        <v>卡卡杜（全欣）</v>
      </c>
      <c r="H1122" s="1" t="str">
        <f t="shared" si="355"/>
        <v>正常订单</v>
      </c>
      <c r="I1122" s="1" t="str">
        <f t="shared" si="356"/>
        <v>已发货</v>
      </c>
      <c r="J1122" s="1" t="str">
        <f>"2"</f>
        <v>2</v>
      </c>
      <c r="K1122" s="1">
        <v>2</v>
      </c>
      <c r="L1122" s="1" t="s">
        <v>218</v>
      </c>
      <c r="M1122" s="1" t="str">
        <f>"天津 天津市 河东区 "</f>
        <v xml:space="preserve">天津 天津市 河东区 </v>
      </c>
      <c r="N1122" s="1" t="str">
        <f t="shared" si="363"/>
        <v>凡华云仓-城南圆通-淘宝</v>
      </c>
      <c r="O1122" s="5" t="s">
        <v>1160</v>
      </c>
      <c r="P1122" s="6">
        <v>0.17</v>
      </c>
      <c r="Q1122" s="11">
        <v>2</v>
      </c>
      <c r="R1122" s="11"/>
      <c r="S1122" s="11"/>
      <c r="T1122" s="11"/>
      <c r="U1122" s="11">
        <f t="shared" si="357"/>
        <v>2</v>
      </c>
      <c r="W1122">
        <v>2.2000000000000002</v>
      </c>
      <c r="X1122" s="1" t="s">
        <v>218</v>
      </c>
    </row>
    <row r="1123" spans="1:24" x14ac:dyDescent="0.25">
      <c r="A1123" s="1" t="str">
        <f t="shared" si="353"/>
        <v>卡卡杜-凤凰仓</v>
      </c>
      <c r="B1123" s="1" t="str">
        <f>"CK2024102911027"</f>
        <v>CK2024102911027</v>
      </c>
      <c r="C1123" s="1" t="str">
        <f>"DD2024102951789"</f>
        <v>DD2024102951789</v>
      </c>
      <c r="D1123" s="1" t="str">
        <f>"CK2024102948571"</f>
        <v>CK2024102948571</v>
      </c>
      <c r="E1123" s="1" t="str">
        <f>"kkd20241029QX001"</f>
        <v>kkd20241029QX001</v>
      </c>
      <c r="F1123" s="1" t="str">
        <f t="shared" si="354"/>
        <v>花都四部-凤凰仓</v>
      </c>
      <c r="G1123" s="1" t="str">
        <f t="shared" si="362"/>
        <v>卡卡杜（全欣）</v>
      </c>
      <c r="H1123" s="1" t="str">
        <f t="shared" si="355"/>
        <v>正常订单</v>
      </c>
      <c r="I1123" s="1" t="str">
        <f t="shared" si="356"/>
        <v>已发货</v>
      </c>
      <c r="J1123" s="1" t="str">
        <f t="shared" ref="J1123:J1126" si="364">"3"</f>
        <v>3</v>
      </c>
      <c r="K1123" s="1">
        <v>2</v>
      </c>
      <c r="L1123" s="1" t="s">
        <v>32</v>
      </c>
      <c r="M1123" s="1" t="str">
        <f>"陕西省 西安市 雁塔区 "</f>
        <v xml:space="preserve">陕西省 西安市 雁塔区 </v>
      </c>
      <c r="N1123" s="1" t="str">
        <f t="shared" si="363"/>
        <v>凡华云仓-城南圆通-淘宝</v>
      </c>
      <c r="O1123" s="5" t="s">
        <v>1161</v>
      </c>
      <c r="P1123" s="6">
        <v>0.24</v>
      </c>
      <c r="Q1123" s="11">
        <v>2</v>
      </c>
      <c r="R1123" s="11"/>
      <c r="S1123" s="11"/>
      <c r="T1123" s="11"/>
      <c r="U1123" s="11">
        <f t="shared" si="357"/>
        <v>2</v>
      </c>
      <c r="W1123">
        <v>2.2000000000000002</v>
      </c>
      <c r="X1123" s="1" t="s">
        <v>32</v>
      </c>
    </row>
    <row r="1124" spans="1:24" x14ac:dyDescent="0.25">
      <c r="A1124" s="1" t="str">
        <f t="shared" si="353"/>
        <v>卡卡杜-凤凰仓</v>
      </c>
      <c r="B1124" s="1" t="str">
        <f>"CK2024102911065"</f>
        <v>CK2024102911065</v>
      </c>
      <c r="C1124" s="1" t="str">
        <f>"DD2024102951872"</f>
        <v>DD2024102951872</v>
      </c>
      <c r="D1124" s="1" t="str">
        <f>"CK2024102948570"</f>
        <v>CK2024102948570</v>
      </c>
      <c r="E1124" s="1" t="str">
        <f>"6935612494815893432"</f>
        <v>6935612494815893432</v>
      </c>
      <c r="F1124" s="1" t="str">
        <f t="shared" si="354"/>
        <v>花都四部-凤凰仓</v>
      </c>
      <c r="G1124" s="1" t="str">
        <f t="shared" ref="G1124:G1137" si="365">"卡卡杜个人护理店（抖店）"</f>
        <v>卡卡杜个人护理店（抖店）</v>
      </c>
      <c r="H1124" s="1" t="str">
        <f t="shared" si="355"/>
        <v>正常订单</v>
      </c>
      <c r="I1124" s="1" t="str">
        <f t="shared" si="356"/>
        <v>已发货</v>
      </c>
      <c r="J1124" s="1" t="str">
        <f t="shared" si="364"/>
        <v>3</v>
      </c>
      <c r="K1124" s="1">
        <v>3</v>
      </c>
      <c r="L1124" s="1" t="s">
        <v>32</v>
      </c>
      <c r="M1124" s="1" t="str">
        <f>"陕西省 西安市 碑林区 太乙路街道"</f>
        <v>陕西省 西安市 碑林区 太乙路街道</v>
      </c>
      <c r="N1124" s="1" t="str">
        <f t="shared" ref="N1124:N1137" si="366">"凡华云仓-城南圆通-抖音"</f>
        <v>凡华云仓-城南圆通-抖音</v>
      </c>
      <c r="O1124" s="5" t="s">
        <v>1162</v>
      </c>
      <c r="P1124" s="6">
        <v>0.34</v>
      </c>
      <c r="Q1124" s="11">
        <v>2.2999999999999998</v>
      </c>
      <c r="R1124" s="11"/>
      <c r="S1124" s="11"/>
      <c r="T1124" s="11"/>
      <c r="U1124" s="11">
        <f t="shared" si="357"/>
        <v>2.2999999999999998</v>
      </c>
      <c r="W1124">
        <v>2.5</v>
      </c>
      <c r="X1124" s="1" t="s">
        <v>32</v>
      </c>
    </row>
    <row r="1125" spans="1:24" x14ac:dyDescent="0.25">
      <c r="A1125" s="1" t="str">
        <f t="shared" si="353"/>
        <v>卡卡杜-凤凰仓</v>
      </c>
      <c r="B1125" s="1" t="str">
        <f>"CK2024102911039"</f>
        <v>CK2024102911039</v>
      </c>
      <c r="C1125" s="1" t="str">
        <f>"DD2024102951801"</f>
        <v>DD2024102951801</v>
      </c>
      <c r="D1125" s="1" t="str">
        <f>"CK2024102948569"</f>
        <v>CK2024102948569</v>
      </c>
      <c r="E1125" s="1" t="str">
        <f>"6935623648039802439"</f>
        <v>6935623648039802439</v>
      </c>
      <c r="F1125" s="1" t="str">
        <f t="shared" si="354"/>
        <v>花都四部-凤凰仓</v>
      </c>
      <c r="G1125" s="1" t="str">
        <f t="shared" si="365"/>
        <v>卡卡杜个人护理店（抖店）</v>
      </c>
      <c r="H1125" s="1" t="str">
        <f t="shared" si="355"/>
        <v>正常订单</v>
      </c>
      <c r="I1125" s="1" t="str">
        <f t="shared" si="356"/>
        <v>已发货</v>
      </c>
      <c r="J1125" s="1" t="str">
        <f t="shared" si="364"/>
        <v>3</v>
      </c>
      <c r="K1125" s="1">
        <v>2</v>
      </c>
      <c r="L1125" s="1" t="s">
        <v>24</v>
      </c>
      <c r="M1125" s="1" t="str">
        <f>"福建省 漳州市 龙文区 蓝田街道"</f>
        <v>福建省 漳州市 龙文区 蓝田街道</v>
      </c>
      <c r="N1125" s="1" t="str">
        <f t="shared" si="366"/>
        <v>凡华云仓-城南圆通-抖音</v>
      </c>
      <c r="O1125" s="5" t="s">
        <v>1163</v>
      </c>
      <c r="P1125" s="6">
        <v>0.35</v>
      </c>
      <c r="Q1125" s="11">
        <v>2.2999999999999998</v>
      </c>
      <c r="R1125" s="11"/>
      <c r="S1125" s="11"/>
      <c r="T1125" s="11"/>
      <c r="U1125" s="11">
        <f t="shared" si="357"/>
        <v>2.2999999999999998</v>
      </c>
      <c r="W1125">
        <v>2.5</v>
      </c>
      <c r="X1125" s="1" t="s">
        <v>24</v>
      </c>
    </row>
    <row r="1126" spans="1:24" x14ac:dyDescent="0.25">
      <c r="A1126" s="1" t="str">
        <f t="shared" si="353"/>
        <v>卡卡杜-凤凰仓</v>
      </c>
      <c r="B1126" s="1" t="str">
        <f>"CK2024102911029"</f>
        <v>CK2024102911029</v>
      </c>
      <c r="C1126" s="1" t="str">
        <f>"DD2024102951790"</f>
        <v>DD2024102951790</v>
      </c>
      <c r="D1126" s="1" t="str">
        <f>"CK2024102948568"</f>
        <v>CK2024102948568</v>
      </c>
      <c r="E1126" s="1" t="str">
        <f>"6935612061178861541"</f>
        <v>6935612061178861541</v>
      </c>
      <c r="F1126" s="1" t="str">
        <f t="shared" si="354"/>
        <v>花都四部-凤凰仓</v>
      </c>
      <c r="G1126" s="1" t="str">
        <f t="shared" si="365"/>
        <v>卡卡杜个人护理店（抖店）</v>
      </c>
      <c r="H1126" s="1" t="str">
        <f t="shared" si="355"/>
        <v>正常订单</v>
      </c>
      <c r="I1126" s="1" t="str">
        <f t="shared" si="356"/>
        <v>已发货</v>
      </c>
      <c r="J1126" s="1" t="str">
        <f t="shared" si="364"/>
        <v>3</v>
      </c>
      <c r="K1126" s="1">
        <v>3</v>
      </c>
      <c r="L1126" s="1" t="s">
        <v>30</v>
      </c>
      <c r="M1126" s="1" t="str">
        <f>"山东省 枣庄市 滕州市 龙泉街道"</f>
        <v>山东省 枣庄市 滕州市 龙泉街道</v>
      </c>
      <c r="N1126" s="1" t="str">
        <f t="shared" si="366"/>
        <v>凡华云仓-城南圆通-抖音</v>
      </c>
      <c r="O1126" s="5" t="s">
        <v>1164</v>
      </c>
      <c r="P1126" s="6">
        <v>0.34</v>
      </c>
      <c r="Q1126" s="11">
        <v>2.2999999999999998</v>
      </c>
      <c r="R1126" s="11"/>
      <c r="S1126" s="11"/>
      <c r="T1126" s="11"/>
      <c r="U1126" s="11">
        <f t="shared" si="357"/>
        <v>2.2999999999999998</v>
      </c>
      <c r="W1126">
        <v>2.5</v>
      </c>
      <c r="X1126" s="1" t="s">
        <v>30</v>
      </c>
    </row>
    <row r="1127" spans="1:24" x14ac:dyDescent="0.25">
      <c r="A1127" s="1" t="str">
        <f t="shared" si="353"/>
        <v>卡卡杜-凤凰仓</v>
      </c>
      <c r="B1127" s="1" t="str">
        <f>"CK2024102911063"</f>
        <v>CK2024102911063</v>
      </c>
      <c r="C1127" s="1" t="str">
        <f>"DD2024102951826"</f>
        <v>DD2024102951826</v>
      </c>
      <c r="D1127" s="1" t="str">
        <f>"CK2024102948567"</f>
        <v>CK2024102948567</v>
      </c>
      <c r="E1127" s="1" t="str">
        <f>"6935634291393107738"</f>
        <v>6935634291393107738</v>
      </c>
      <c r="F1127" s="1" t="str">
        <f t="shared" si="354"/>
        <v>花都四部-凤凰仓</v>
      </c>
      <c r="G1127" s="1" t="str">
        <f t="shared" si="365"/>
        <v>卡卡杜个人护理店（抖店）</v>
      </c>
      <c r="H1127" s="1" t="str">
        <f t="shared" si="355"/>
        <v>正常订单</v>
      </c>
      <c r="I1127" s="1" t="str">
        <f t="shared" si="356"/>
        <v>已发货</v>
      </c>
      <c r="J1127" s="1" t="str">
        <f>"5"</f>
        <v>5</v>
      </c>
      <c r="K1127" s="1">
        <v>2</v>
      </c>
      <c r="L1127" s="1" t="s">
        <v>13</v>
      </c>
      <c r="M1127" s="1" t="str">
        <f>"江苏省 宿迁市 沭阳县 "</f>
        <v xml:space="preserve">江苏省 宿迁市 沭阳县 </v>
      </c>
      <c r="N1127" s="1" t="str">
        <f t="shared" si="366"/>
        <v>凡华云仓-城南圆通-抖音</v>
      </c>
      <c r="O1127" s="5" t="s">
        <v>1165</v>
      </c>
      <c r="P1127" s="6">
        <v>0.59</v>
      </c>
      <c r="Q1127" s="11">
        <f>CEILING(P1127-0.5,0.1)*10*0.15+2.3</f>
        <v>2.4499999999999997</v>
      </c>
      <c r="R1127" s="11"/>
      <c r="S1127" s="11"/>
      <c r="T1127" s="11"/>
      <c r="U1127" s="11">
        <f t="shared" si="357"/>
        <v>2.4499999999999997</v>
      </c>
      <c r="V1127" t="s">
        <v>15</v>
      </c>
      <c r="W1127">
        <v>2.4500000000000002</v>
      </c>
      <c r="X1127" s="1" t="s">
        <v>13</v>
      </c>
    </row>
    <row r="1128" spans="1:24" x14ac:dyDescent="0.25">
      <c r="A1128" s="1" t="str">
        <f t="shared" si="353"/>
        <v>卡卡杜-凤凰仓</v>
      </c>
      <c r="B1128" s="1" t="str">
        <f>"CK2024102911054"</f>
        <v>CK2024102911054</v>
      </c>
      <c r="C1128" s="1" t="str">
        <f>"DD2024102951817"</f>
        <v>DD2024102951817</v>
      </c>
      <c r="D1128" s="1" t="str">
        <f>"CK2024102948566"</f>
        <v>CK2024102948566</v>
      </c>
      <c r="E1128" s="1" t="str">
        <f>"6935614106569152441"</f>
        <v>6935614106569152441</v>
      </c>
      <c r="F1128" s="1" t="str">
        <f t="shared" si="354"/>
        <v>花都四部-凤凰仓</v>
      </c>
      <c r="G1128" s="1" t="str">
        <f t="shared" si="365"/>
        <v>卡卡杜个人护理店（抖店）</v>
      </c>
      <c r="H1128" s="1" t="str">
        <f t="shared" si="355"/>
        <v>正常订单</v>
      </c>
      <c r="I1128" s="1" t="str">
        <f t="shared" si="356"/>
        <v>已发货</v>
      </c>
      <c r="J1128" s="1" t="str">
        <f t="shared" ref="J1128:J1131" si="367">"3"</f>
        <v>3</v>
      </c>
      <c r="K1128" s="1">
        <v>2</v>
      </c>
      <c r="L1128" s="1" t="s">
        <v>13</v>
      </c>
      <c r="M1128" s="1" t="str">
        <f>"江苏省 连云港市 灌南县 "</f>
        <v xml:space="preserve">江苏省 连云港市 灌南县 </v>
      </c>
      <c r="N1128" s="1" t="str">
        <f t="shared" si="366"/>
        <v>凡华云仓-城南圆通-抖音</v>
      </c>
      <c r="O1128" s="5" t="s">
        <v>1166</v>
      </c>
      <c r="P1128" s="6">
        <v>0.35</v>
      </c>
      <c r="Q1128" s="11">
        <v>2.2999999999999998</v>
      </c>
      <c r="R1128" s="11"/>
      <c r="S1128" s="11"/>
      <c r="T1128" s="11"/>
      <c r="U1128" s="11">
        <f t="shared" si="357"/>
        <v>2.2999999999999998</v>
      </c>
      <c r="W1128">
        <v>2.5</v>
      </c>
      <c r="X1128" s="1" t="s">
        <v>13</v>
      </c>
    </row>
    <row r="1129" spans="1:24" x14ac:dyDescent="0.25">
      <c r="A1129" s="1" t="str">
        <f t="shared" si="353"/>
        <v>卡卡杜-凤凰仓</v>
      </c>
      <c r="B1129" s="1" t="str">
        <f>"CK2024102911047"</f>
        <v>CK2024102911047</v>
      </c>
      <c r="C1129" s="1" t="str">
        <f>"DD2024102951810"</f>
        <v>DD2024102951810</v>
      </c>
      <c r="D1129" s="1" t="str">
        <f>"CK2024102948565"</f>
        <v>CK2024102948565</v>
      </c>
      <c r="E1129" s="1" t="str">
        <f>"6935627414189250242"</f>
        <v>6935627414189250242</v>
      </c>
      <c r="F1129" s="1" t="str">
        <f t="shared" si="354"/>
        <v>花都四部-凤凰仓</v>
      </c>
      <c r="G1129" s="1" t="str">
        <f t="shared" si="365"/>
        <v>卡卡杜个人护理店（抖店）</v>
      </c>
      <c r="H1129" s="1" t="str">
        <f t="shared" si="355"/>
        <v>正常订单</v>
      </c>
      <c r="I1129" s="1" t="str">
        <f t="shared" si="356"/>
        <v>已发货</v>
      </c>
      <c r="J1129" s="1" t="str">
        <f t="shared" si="367"/>
        <v>3</v>
      </c>
      <c r="K1129" s="1">
        <v>2</v>
      </c>
      <c r="L1129" s="1" t="s">
        <v>47</v>
      </c>
      <c r="M1129" s="1" t="str">
        <f>"重庆 重庆市 江津区 珞璜镇"</f>
        <v>重庆 重庆市 江津区 珞璜镇</v>
      </c>
      <c r="N1129" s="1" t="str">
        <f t="shared" si="366"/>
        <v>凡华云仓-城南圆通-抖音</v>
      </c>
      <c r="O1129" s="5" t="s">
        <v>1167</v>
      </c>
      <c r="P1129" s="6">
        <v>0.35</v>
      </c>
      <c r="Q1129" s="11">
        <v>2.2999999999999998</v>
      </c>
      <c r="R1129" s="11"/>
      <c r="S1129" s="11"/>
      <c r="T1129" s="11"/>
      <c r="U1129" s="11">
        <f t="shared" si="357"/>
        <v>2.2999999999999998</v>
      </c>
      <c r="W1129">
        <v>2.5</v>
      </c>
      <c r="X1129" s="1" t="s">
        <v>47</v>
      </c>
    </row>
    <row r="1130" spans="1:24" x14ac:dyDescent="0.25">
      <c r="A1130" s="1" t="str">
        <f t="shared" si="353"/>
        <v>卡卡杜-凤凰仓</v>
      </c>
      <c r="B1130" s="1" t="str">
        <f>"CK2024102911041"</f>
        <v>CK2024102911041</v>
      </c>
      <c r="C1130" s="1" t="str">
        <f>"DD2024102951804"</f>
        <v>DD2024102951804</v>
      </c>
      <c r="D1130" s="1" t="str">
        <f>"CK2024102948564"</f>
        <v>CK2024102948564</v>
      </c>
      <c r="E1130" s="1" t="str">
        <f>"6935605349650273891"</f>
        <v>6935605349650273891</v>
      </c>
      <c r="F1130" s="1" t="str">
        <f t="shared" si="354"/>
        <v>花都四部-凤凰仓</v>
      </c>
      <c r="G1130" s="1" t="str">
        <f t="shared" si="365"/>
        <v>卡卡杜个人护理店（抖店）</v>
      </c>
      <c r="H1130" s="1" t="str">
        <f t="shared" si="355"/>
        <v>正常订单</v>
      </c>
      <c r="I1130" s="1" t="str">
        <f t="shared" si="356"/>
        <v>已发货</v>
      </c>
      <c r="J1130" s="1" t="str">
        <f t="shared" si="367"/>
        <v>3</v>
      </c>
      <c r="K1130" s="1">
        <v>2</v>
      </c>
      <c r="L1130" s="1" t="s">
        <v>22</v>
      </c>
      <c r="M1130" s="1" t="str">
        <f>"江西省 宜春市 高安市 八景镇"</f>
        <v>江西省 宜春市 高安市 八景镇</v>
      </c>
      <c r="N1130" s="1" t="str">
        <f t="shared" si="366"/>
        <v>凡华云仓-城南圆通-抖音</v>
      </c>
      <c r="O1130" s="5" t="s">
        <v>1168</v>
      </c>
      <c r="P1130" s="6">
        <v>0.35</v>
      </c>
      <c r="Q1130" s="11">
        <v>2.2999999999999998</v>
      </c>
      <c r="R1130" s="11"/>
      <c r="S1130" s="11"/>
      <c r="T1130" s="11"/>
      <c r="U1130" s="11">
        <f t="shared" si="357"/>
        <v>2.2999999999999998</v>
      </c>
      <c r="W1130">
        <v>2.5</v>
      </c>
      <c r="X1130" s="1" t="s">
        <v>22</v>
      </c>
    </row>
    <row r="1131" spans="1:24" x14ac:dyDescent="0.25">
      <c r="A1131" s="1" t="str">
        <f t="shared" si="353"/>
        <v>卡卡杜-凤凰仓</v>
      </c>
      <c r="B1131" s="1" t="str">
        <f>"CK2024102911051"</f>
        <v>CK2024102911051</v>
      </c>
      <c r="C1131" s="1" t="str">
        <f>"DD2024102951815"</f>
        <v>DD2024102951815</v>
      </c>
      <c r="D1131" s="1" t="str">
        <f>"CK2024102948563"</f>
        <v>CK2024102948563</v>
      </c>
      <c r="E1131" s="1" t="str">
        <f>"6935602887366415832"</f>
        <v>6935602887366415832</v>
      </c>
      <c r="F1131" s="1" t="str">
        <f t="shared" si="354"/>
        <v>花都四部-凤凰仓</v>
      </c>
      <c r="G1131" s="1" t="str">
        <f t="shared" si="365"/>
        <v>卡卡杜个人护理店（抖店）</v>
      </c>
      <c r="H1131" s="1" t="str">
        <f t="shared" si="355"/>
        <v>正常订单</v>
      </c>
      <c r="I1131" s="1" t="str">
        <f t="shared" si="356"/>
        <v>已发货</v>
      </c>
      <c r="J1131" s="1" t="str">
        <f t="shared" si="367"/>
        <v>3</v>
      </c>
      <c r="K1131" s="1">
        <v>2</v>
      </c>
      <c r="L1131" s="1" t="s">
        <v>13</v>
      </c>
      <c r="M1131" s="1" t="str">
        <f>"江苏省 徐州市 邳州市 运河街道"</f>
        <v>江苏省 徐州市 邳州市 运河街道</v>
      </c>
      <c r="N1131" s="1" t="str">
        <f t="shared" si="366"/>
        <v>凡华云仓-城南圆通-抖音</v>
      </c>
      <c r="O1131" s="5" t="s">
        <v>1169</v>
      </c>
      <c r="P1131" s="6">
        <v>0.35</v>
      </c>
      <c r="Q1131" s="11">
        <v>2.2999999999999998</v>
      </c>
      <c r="R1131" s="11"/>
      <c r="S1131" s="11"/>
      <c r="T1131" s="11"/>
      <c r="U1131" s="11">
        <f t="shared" si="357"/>
        <v>2.2999999999999998</v>
      </c>
      <c r="W1131">
        <v>2.5</v>
      </c>
      <c r="X1131" s="1" t="s">
        <v>13</v>
      </c>
    </row>
    <row r="1132" spans="1:24" x14ac:dyDescent="0.25">
      <c r="A1132" s="1" t="str">
        <f t="shared" si="353"/>
        <v>卡卡杜-凤凰仓</v>
      </c>
      <c r="B1132" s="1" t="str">
        <f>"CK2024102911059"</f>
        <v>CK2024102911059</v>
      </c>
      <c r="C1132" s="1" t="str">
        <f>"DD2024102951820"</f>
        <v>DD2024102951820</v>
      </c>
      <c r="D1132" s="1" t="str">
        <f>"CK2024102948562"</f>
        <v>CK2024102948562</v>
      </c>
      <c r="E1132" s="1" t="str">
        <f>"6935622696894928793"</f>
        <v>6935622696894928793</v>
      </c>
      <c r="F1132" s="1" t="str">
        <f t="shared" si="354"/>
        <v>花都四部-凤凰仓</v>
      </c>
      <c r="G1132" s="1" t="str">
        <f t="shared" si="365"/>
        <v>卡卡杜个人护理店（抖店）</v>
      </c>
      <c r="H1132" s="1" t="str">
        <f t="shared" si="355"/>
        <v>正常订单</v>
      </c>
      <c r="I1132" s="1" t="str">
        <f t="shared" si="356"/>
        <v>已发货</v>
      </c>
      <c r="J1132" s="1" t="str">
        <f>"5"</f>
        <v>5</v>
      </c>
      <c r="K1132" s="1">
        <v>2</v>
      </c>
      <c r="L1132" s="1" t="s">
        <v>13</v>
      </c>
      <c r="M1132" s="1" t="str">
        <f>"江苏省 徐州市 贾汪区 老矿街道"</f>
        <v>江苏省 徐州市 贾汪区 老矿街道</v>
      </c>
      <c r="N1132" s="1" t="str">
        <f t="shared" si="366"/>
        <v>凡华云仓-城南圆通-抖音</v>
      </c>
      <c r="O1132" s="5" t="s">
        <v>1170</v>
      </c>
      <c r="P1132" s="6">
        <v>0.59</v>
      </c>
      <c r="Q1132" s="11">
        <f>CEILING(P1132-0.5,0.1)*10*0.15+2.3</f>
        <v>2.4499999999999997</v>
      </c>
      <c r="R1132" s="11"/>
      <c r="S1132" s="11"/>
      <c r="T1132" s="11"/>
      <c r="U1132" s="11">
        <f t="shared" si="357"/>
        <v>2.4499999999999997</v>
      </c>
      <c r="V1132" t="s">
        <v>15</v>
      </c>
      <c r="W1132">
        <v>2.4500000000000002</v>
      </c>
      <c r="X1132" s="1" t="s">
        <v>13</v>
      </c>
    </row>
    <row r="1133" spans="1:24" x14ac:dyDescent="0.25">
      <c r="A1133" s="1" t="str">
        <f t="shared" si="353"/>
        <v>卡卡杜-凤凰仓</v>
      </c>
      <c r="B1133" s="1" t="str">
        <f>"CK2024102911043"</f>
        <v>CK2024102911043</v>
      </c>
      <c r="C1133" s="1" t="str">
        <f>"DD2024102951806"</f>
        <v>DD2024102951806</v>
      </c>
      <c r="D1133" s="1" t="str">
        <f>"CK2024102948561"</f>
        <v>CK2024102948561</v>
      </c>
      <c r="E1133" s="1" t="str">
        <f>"6935605291127609011"</f>
        <v>6935605291127609011</v>
      </c>
      <c r="F1133" s="1" t="str">
        <f t="shared" si="354"/>
        <v>花都四部-凤凰仓</v>
      </c>
      <c r="G1133" s="1" t="str">
        <f t="shared" si="365"/>
        <v>卡卡杜个人护理店（抖店）</v>
      </c>
      <c r="H1133" s="1" t="str">
        <f t="shared" si="355"/>
        <v>正常订单</v>
      </c>
      <c r="I1133" s="1" t="str">
        <f t="shared" si="356"/>
        <v>已发货</v>
      </c>
      <c r="J1133" s="1" t="str">
        <f t="shared" ref="J1133:J1138" si="368">"3"</f>
        <v>3</v>
      </c>
      <c r="K1133" s="1">
        <v>2</v>
      </c>
      <c r="L1133" s="1" t="s">
        <v>66</v>
      </c>
      <c r="M1133" s="1" t="str">
        <f>"内蒙古自治区 赤峰市 红山区 站前街道"</f>
        <v>内蒙古自治区 赤峰市 红山区 站前街道</v>
      </c>
      <c r="N1133" s="1" t="str">
        <f t="shared" si="366"/>
        <v>凡华云仓-城南圆通-抖音</v>
      </c>
      <c r="O1133" s="5" t="s">
        <v>1171</v>
      </c>
      <c r="P1133" s="6">
        <v>0.35</v>
      </c>
      <c r="Q1133" s="11">
        <v>2.2999999999999998</v>
      </c>
      <c r="R1133" s="11"/>
      <c r="S1133" s="11"/>
      <c r="T1133" s="11"/>
      <c r="U1133" s="11">
        <f t="shared" si="357"/>
        <v>2.2999999999999998</v>
      </c>
      <c r="W1133">
        <v>2.5</v>
      </c>
      <c r="X1133" s="1" t="s">
        <v>66</v>
      </c>
    </row>
    <row r="1134" spans="1:24" x14ac:dyDescent="0.25">
      <c r="A1134" s="1" t="str">
        <f t="shared" si="353"/>
        <v>卡卡杜-凤凰仓</v>
      </c>
      <c r="B1134" s="1" t="str">
        <f>"CK2024102911048"</f>
        <v>CK2024102911048</v>
      </c>
      <c r="C1134" s="1" t="str">
        <f>"DD2024102951811"</f>
        <v>DD2024102951811</v>
      </c>
      <c r="D1134" s="1" t="str">
        <f>"CK2024102948560"</f>
        <v>CK2024102948560</v>
      </c>
      <c r="E1134" s="1" t="str">
        <f>"6935614008464971617"</f>
        <v>6935614008464971617</v>
      </c>
      <c r="F1134" s="1" t="str">
        <f t="shared" si="354"/>
        <v>花都四部-凤凰仓</v>
      </c>
      <c r="G1134" s="1" t="str">
        <f t="shared" si="365"/>
        <v>卡卡杜个人护理店（抖店）</v>
      </c>
      <c r="H1134" s="1" t="str">
        <f t="shared" si="355"/>
        <v>正常订单</v>
      </c>
      <c r="I1134" s="1" t="str">
        <f t="shared" si="356"/>
        <v>已发货</v>
      </c>
      <c r="J1134" s="1" t="str">
        <f t="shared" si="368"/>
        <v>3</v>
      </c>
      <c r="K1134" s="1">
        <v>2</v>
      </c>
      <c r="L1134" s="1" t="s">
        <v>66</v>
      </c>
      <c r="M1134" s="1" t="str">
        <f>"内蒙古自治区 赤峰市 松山区 "</f>
        <v xml:space="preserve">内蒙古自治区 赤峰市 松山区 </v>
      </c>
      <c r="N1134" s="1" t="str">
        <f t="shared" si="366"/>
        <v>凡华云仓-城南圆通-抖音</v>
      </c>
      <c r="O1134" s="5" t="s">
        <v>1172</v>
      </c>
      <c r="P1134" s="6">
        <v>0.35</v>
      </c>
      <c r="Q1134" s="11">
        <v>2.2999999999999998</v>
      </c>
      <c r="R1134" s="11"/>
      <c r="S1134" s="11"/>
      <c r="T1134" s="11"/>
      <c r="U1134" s="11">
        <f t="shared" si="357"/>
        <v>2.2999999999999998</v>
      </c>
      <c r="W1134">
        <v>2.5</v>
      </c>
      <c r="X1134" s="1" t="s">
        <v>66</v>
      </c>
    </row>
    <row r="1135" spans="1:24" x14ac:dyDescent="0.25">
      <c r="A1135" s="1" t="str">
        <f t="shared" si="353"/>
        <v>卡卡杜-凤凰仓</v>
      </c>
      <c r="B1135" s="1" t="str">
        <f>"CK2024102911044"</f>
        <v>CK2024102911044</v>
      </c>
      <c r="C1135" s="1" t="str">
        <f>"DD2024102951808"</f>
        <v>DD2024102951808</v>
      </c>
      <c r="D1135" s="1" t="str">
        <f>"CK2024102948559"</f>
        <v>CK2024102948559</v>
      </c>
      <c r="E1135" s="1" t="str">
        <f>"6935611460257912431"</f>
        <v>6935611460257912431</v>
      </c>
      <c r="F1135" s="1" t="str">
        <f t="shared" si="354"/>
        <v>花都四部-凤凰仓</v>
      </c>
      <c r="G1135" s="1" t="str">
        <f t="shared" si="365"/>
        <v>卡卡杜个人护理店（抖店）</v>
      </c>
      <c r="H1135" s="1" t="str">
        <f t="shared" si="355"/>
        <v>正常订单</v>
      </c>
      <c r="I1135" s="1" t="str">
        <f t="shared" si="356"/>
        <v>已发货</v>
      </c>
      <c r="J1135" s="1" t="str">
        <f t="shared" si="368"/>
        <v>3</v>
      </c>
      <c r="K1135" s="1">
        <v>2</v>
      </c>
      <c r="L1135" s="1" t="s">
        <v>20</v>
      </c>
      <c r="M1135" s="1" t="str">
        <f>"浙江省 杭州市 西湖区 转塘街道"</f>
        <v>浙江省 杭州市 西湖区 转塘街道</v>
      </c>
      <c r="N1135" s="1" t="str">
        <f t="shared" si="366"/>
        <v>凡华云仓-城南圆通-抖音</v>
      </c>
      <c r="O1135" s="5" t="s">
        <v>1173</v>
      </c>
      <c r="P1135" s="6">
        <v>0.35</v>
      </c>
      <c r="Q1135" s="11">
        <v>2.2999999999999998</v>
      </c>
      <c r="R1135" s="11"/>
      <c r="S1135" s="11"/>
      <c r="T1135" s="11"/>
      <c r="U1135" s="11">
        <f t="shared" si="357"/>
        <v>2.2999999999999998</v>
      </c>
      <c r="W1135">
        <v>2.5</v>
      </c>
      <c r="X1135" s="1" t="s">
        <v>20</v>
      </c>
    </row>
    <row r="1136" spans="1:24" x14ac:dyDescent="0.25">
      <c r="A1136" s="1" t="str">
        <f t="shared" si="353"/>
        <v>卡卡杜-凤凰仓</v>
      </c>
      <c r="B1136" s="1" t="str">
        <f>"CK2024102911050"</f>
        <v>CK2024102911050</v>
      </c>
      <c r="C1136" s="1" t="str">
        <f>"DD2024102951812"</f>
        <v>DD2024102951812</v>
      </c>
      <c r="D1136" s="1" t="str">
        <f>"CK2024102948558"</f>
        <v>CK2024102948558</v>
      </c>
      <c r="E1136" s="1" t="str">
        <f>"6935620474091804595"</f>
        <v>6935620474091804595</v>
      </c>
      <c r="F1136" s="1" t="str">
        <f t="shared" si="354"/>
        <v>花都四部-凤凰仓</v>
      </c>
      <c r="G1136" s="1" t="str">
        <f t="shared" si="365"/>
        <v>卡卡杜个人护理店（抖店）</v>
      </c>
      <c r="H1136" s="1" t="str">
        <f t="shared" si="355"/>
        <v>正常订单</v>
      </c>
      <c r="I1136" s="1" t="str">
        <f t="shared" si="356"/>
        <v>已发货</v>
      </c>
      <c r="J1136" s="1" t="str">
        <f t="shared" si="368"/>
        <v>3</v>
      </c>
      <c r="K1136" s="1">
        <v>2</v>
      </c>
      <c r="L1136" s="1" t="s">
        <v>13</v>
      </c>
      <c r="M1136" s="1" t="str">
        <f>"江苏省 徐州市 丰县 凤城街道"</f>
        <v>江苏省 徐州市 丰县 凤城街道</v>
      </c>
      <c r="N1136" s="1" t="str">
        <f t="shared" si="366"/>
        <v>凡华云仓-城南圆通-抖音</v>
      </c>
      <c r="O1136" s="5" t="s">
        <v>1174</v>
      </c>
      <c r="P1136" s="6">
        <v>0.35</v>
      </c>
      <c r="Q1136" s="11">
        <v>2.2999999999999998</v>
      </c>
      <c r="R1136" s="11"/>
      <c r="S1136" s="11"/>
      <c r="T1136" s="11"/>
      <c r="U1136" s="11">
        <f t="shared" si="357"/>
        <v>2.2999999999999998</v>
      </c>
      <c r="W1136">
        <v>2.5</v>
      </c>
      <c r="X1136" s="1" t="s">
        <v>13</v>
      </c>
    </row>
    <row r="1137" spans="1:24" x14ac:dyDescent="0.25">
      <c r="A1137" s="1" t="str">
        <f t="shared" si="353"/>
        <v>卡卡杜-凤凰仓</v>
      </c>
      <c r="B1137" s="1" t="str">
        <f>"CK2024102911042"</f>
        <v>CK2024102911042</v>
      </c>
      <c r="C1137" s="1" t="str">
        <f>"DD2024102951805"</f>
        <v>DD2024102951805</v>
      </c>
      <c r="D1137" s="1" t="str">
        <f>"CK2024102948557"</f>
        <v>CK2024102948557</v>
      </c>
      <c r="E1137" s="1" t="str">
        <f>"6935600773107880965"</f>
        <v>6935600773107880965</v>
      </c>
      <c r="F1137" s="1" t="str">
        <f t="shared" si="354"/>
        <v>花都四部-凤凰仓</v>
      </c>
      <c r="G1137" s="1" t="str">
        <f t="shared" si="365"/>
        <v>卡卡杜个人护理店（抖店）</v>
      </c>
      <c r="H1137" s="1" t="str">
        <f t="shared" si="355"/>
        <v>正常订单</v>
      </c>
      <c r="I1137" s="1" t="str">
        <f t="shared" si="356"/>
        <v>已发货</v>
      </c>
      <c r="J1137" s="1" t="str">
        <f t="shared" si="368"/>
        <v>3</v>
      </c>
      <c r="K1137" s="1">
        <v>2</v>
      </c>
      <c r="L1137" s="1" t="s">
        <v>60</v>
      </c>
      <c r="M1137" s="1" t="str">
        <f>"云南省 文山壮族苗族自治州 文山市 马塘镇"</f>
        <v>云南省 文山壮族苗族自治州 文山市 马塘镇</v>
      </c>
      <c r="N1137" s="1" t="str">
        <f t="shared" si="366"/>
        <v>凡华云仓-城南圆通-抖音</v>
      </c>
      <c r="O1137" s="5" t="s">
        <v>1175</v>
      </c>
      <c r="P1137" s="6">
        <v>0.35</v>
      </c>
      <c r="Q1137" s="11">
        <v>2.2999999999999998</v>
      </c>
      <c r="R1137" s="11"/>
      <c r="S1137" s="11"/>
      <c r="T1137" s="11"/>
      <c r="U1137" s="11">
        <f t="shared" si="357"/>
        <v>2.2999999999999998</v>
      </c>
      <c r="W1137">
        <v>2.5</v>
      </c>
      <c r="X1137" s="1" t="s">
        <v>60</v>
      </c>
    </row>
    <row r="1138" spans="1:24" x14ac:dyDescent="0.25">
      <c r="A1138" s="1" t="str">
        <f t="shared" si="353"/>
        <v>卡卡杜-凤凰仓</v>
      </c>
      <c r="B1138" s="1" t="str">
        <f>"CK2024102911030"</f>
        <v>CK2024102911030</v>
      </c>
      <c r="C1138" s="1" t="str">
        <f>"DD2024102951791"</f>
        <v>DD2024102951791</v>
      </c>
      <c r="D1138" s="1" t="str">
        <f>"CK2024102948556"</f>
        <v>CK2024102948556</v>
      </c>
      <c r="E1138" s="1" t="str">
        <f>"3723644394101936129"</f>
        <v>3723644394101936129</v>
      </c>
      <c r="F1138" s="1" t="str">
        <f t="shared" si="354"/>
        <v>花都四部-凤凰仓</v>
      </c>
      <c r="G1138" s="1" t="str">
        <f t="shared" ref="G1138:G1142" si="369">"卡卡杜企业店（视频号）"</f>
        <v>卡卡杜企业店（视频号）</v>
      </c>
      <c r="H1138" s="1" t="str">
        <f t="shared" si="355"/>
        <v>正常订单</v>
      </c>
      <c r="I1138" s="1" t="str">
        <f t="shared" si="356"/>
        <v>已发货</v>
      </c>
      <c r="J1138" s="1" t="str">
        <f t="shared" si="368"/>
        <v>3</v>
      </c>
      <c r="K1138" s="1">
        <v>3</v>
      </c>
      <c r="L1138" s="1" t="s">
        <v>105</v>
      </c>
      <c r="M1138" s="1" t="str">
        <f>"北京 北京市 昌平区 "</f>
        <v xml:space="preserve">北京 北京市 昌平区 </v>
      </c>
      <c r="N1138" s="1" t="str">
        <f t="shared" ref="N1138:N1142" si="370">"凡华云仓-城南圆通-微信视频号"</f>
        <v>凡华云仓-城南圆通-微信视频号</v>
      </c>
      <c r="O1138" s="5" t="s">
        <v>1176</v>
      </c>
      <c r="P1138" s="6">
        <v>0.34</v>
      </c>
      <c r="Q1138" s="11">
        <v>2.2999999999999998</v>
      </c>
      <c r="R1138" s="11"/>
      <c r="S1138" s="11"/>
      <c r="T1138" s="11"/>
      <c r="U1138" s="11">
        <f t="shared" si="357"/>
        <v>2.2999999999999998</v>
      </c>
      <c r="W1138">
        <v>2.5</v>
      </c>
      <c r="X1138" s="1" t="s">
        <v>105</v>
      </c>
    </row>
    <row r="1139" spans="1:24" x14ac:dyDescent="0.25">
      <c r="A1139" s="1" t="str">
        <f t="shared" si="353"/>
        <v>卡卡杜-凤凰仓</v>
      </c>
      <c r="B1139" s="1" t="str">
        <f>"CK2024102911060"</f>
        <v>CK2024102911060</v>
      </c>
      <c r="C1139" s="1" t="str">
        <f>"DD2024102951822"</f>
        <v>DD2024102951822</v>
      </c>
      <c r="D1139" s="1" t="str">
        <f>"CK2024102948555"</f>
        <v>CK2024102948555</v>
      </c>
      <c r="E1139" s="1" t="str">
        <f>"3723644290234717184"</f>
        <v>3723644290234717184</v>
      </c>
      <c r="F1139" s="1" t="str">
        <f t="shared" si="354"/>
        <v>花都四部-凤凰仓</v>
      </c>
      <c r="G1139" s="1" t="str">
        <f t="shared" si="369"/>
        <v>卡卡杜企业店（视频号）</v>
      </c>
      <c r="H1139" s="1" t="str">
        <f t="shared" si="355"/>
        <v>正常订单</v>
      </c>
      <c r="I1139" s="1" t="str">
        <f t="shared" si="356"/>
        <v>已发货</v>
      </c>
      <c r="J1139" s="1" t="str">
        <f>"5"</f>
        <v>5</v>
      </c>
      <c r="K1139" s="1">
        <v>2</v>
      </c>
      <c r="L1139" s="1" t="s">
        <v>105</v>
      </c>
      <c r="M1139" s="1" t="str">
        <f>"北京 北京市 通州区 "</f>
        <v xml:space="preserve">北京 北京市 通州区 </v>
      </c>
      <c r="N1139" s="1" t="str">
        <f t="shared" si="370"/>
        <v>凡华云仓-城南圆通-微信视频号</v>
      </c>
      <c r="O1139" s="5" t="s">
        <v>1177</v>
      </c>
      <c r="P1139" s="6">
        <v>0.59</v>
      </c>
      <c r="Q1139" s="11">
        <f>CEILING(P1139-0.5,0.1)*10*0.15+2.3</f>
        <v>2.4499999999999997</v>
      </c>
      <c r="R1139" s="11"/>
      <c r="S1139" s="11"/>
      <c r="T1139" s="11"/>
      <c r="U1139" s="11">
        <f t="shared" si="357"/>
        <v>2.4499999999999997</v>
      </c>
      <c r="V1139" t="s">
        <v>15</v>
      </c>
      <c r="W1139">
        <v>2.4500000000000002</v>
      </c>
      <c r="X1139" s="1" t="s">
        <v>105</v>
      </c>
    </row>
    <row r="1140" spans="1:24" x14ac:dyDescent="0.25">
      <c r="A1140" s="1" t="str">
        <f t="shared" si="353"/>
        <v>卡卡杜-凤凰仓</v>
      </c>
      <c r="B1140" s="1" t="str">
        <f>"CK2024102911040"</f>
        <v>CK2024102911040</v>
      </c>
      <c r="C1140" s="1" t="str">
        <f>"DD2024102951803"</f>
        <v>DD2024102951803</v>
      </c>
      <c r="D1140" s="1" t="str">
        <f>"CK2024102948554"</f>
        <v>CK2024102948554</v>
      </c>
      <c r="E1140" s="1" t="str">
        <f>"3723643632766554112"</f>
        <v>3723643632766554112</v>
      </c>
      <c r="F1140" s="1" t="str">
        <f t="shared" si="354"/>
        <v>花都四部-凤凰仓</v>
      </c>
      <c r="G1140" s="1" t="str">
        <f t="shared" si="369"/>
        <v>卡卡杜企业店（视频号）</v>
      </c>
      <c r="H1140" s="1" t="str">
        <f t="shared" si="355"/>
        <v>正常订单</v>
      </c>
      <c r="I1140" s="1" t="str">
        <f t="shared" si="356"/>
        <v>已发货</v>
      </c>
      <c r="J1140" s="1" t="str">
        <f t="shared" ref="J1140:J1149" si="371">"3"</f>
        <v>3</v>
      </c>
      <c r="K1140" s="1">
        <v>3</v>
      </c>
      <c r="L1140" s="1" t="s">
        <v>92</v>
      </c>
      <c r="M1140" s="1" t="str">
        <f>"辽宁省 沈阳市 苏家屯区 "</f>
        <v xml:space="preserve">辽宁省 沈阳市 苏家屯区 </v>
      </c>
      <c r="N1140" s="1" t="str">
        <f t="shared" si="370"/>
        <v>凡华云仓-城南圆通-微信视频号</v>
      </c>
      <c r="O1140" s="5" t="s">
        <v>1178</v>
      </c>
      <c r="P1140" s="6">
        <v>0.34</v>
      </c>
      <c r="Q1140" s="11">
        <v>2.2999999999999998</v>
      </c>
      <c r="R1140" s="11"/>
      <c r="S1140" s="11"/>
      <c r="T1140" s="11"/>
      <c r="U1140" s="11">
        <f t="shared" si="357"/>
        <v>2.2999999999999998</v>
      </c>
      <c r="W1140">
        <v>2.5</v>
      </c>
      <c r="X1140" s="1" t="s">
        <v>92</v>
      </c>
    </row>
    <row r="1141" spans="1:24" x14ac:dyDescent="0.25">
      <c r="A1141" s="1" t="str">
        <f t="shared" si="353"/>
        <v>卡卡杜-凤凰仓</v>
      </c>
      <c r="B1141" s="1" t="str">
        <f>"CK2024102911036"</f>
        <v>CK2024102911036</v>
      </c>
      <c r="C1141" s="1" t="str">
        <f>"DD2024102951799"</f>
        <v>DD2024102951799</v>
      </c>
      <c r="D1141" s="1" t="str">
        <f>"CK2024102948553"</f>
        <v>CK2024102948553</v>
      </c>
      <c r="E1141" s="1" t="str">
        <f>"3723639861609893888"</f>
        <v>3723639861609893888</v>
      </c>
      <c r="F1141" s="1" t="str">
        <f t="shared" si="354"/>
        <v>花都四部-凤凰仓</v>
      </c>
      <c r="G1141" s="1" t="str">
        <f t="shared" si="369"/>
        <v>卡卡杜企业店（视频号）</v>
      </c>
      <c r="H1141" s="1" t="str">
        <f t="shared" si="355"/>
        <v>正常订单</v>
      </c>
      <c r="I1141" s="1" t="str">
        <f t="shared" si="356"/>
        <v>已发货</v>
      </c>
      <c r="J1141" s="1" t="str">
        <f t="shared" si="371"/>
        <v>3</v>
      </c>
      <c r="K1141" s="1">
        <v>3</v>
      </c>
      <c r="L1141" s="1" t="s">
        <v>74</v>
      </c>
      <c r="M1141" s="1" t="str">
        <f>"上海 上海市 浦东新区 "</f>
        <v xml:space="preserve">上海 上海市 浦东新区 </v>
      </c>
      <c r="N1141" s="1" t="str">
        <f t="shared" si="370"/>
        <v>凡华云仓-城南圆通-微信视频号</v>
      </c>
      <c r="O1141" s="5" t="s">
        <v>1179</v>
      </c>
      <c r="P1141" s="6">
        <v>0.34</v>
      </c>
      <c r="Q1141" s="11">
        <v>2.2999999999999998</v>
      </c>
      <c r="R1141" s="11"/>
      <c r="S1141" s="11"/>
      <c r="T1141" s="11"/>
      <c r="U1141" s="11">
        <f t="shared" si="357"/>
        <v>2.2999999999999998</v>
      </c>
      <c r="W1141">
        <v>2.5</v>
      </c>
      <c r="X1141" s="1" t="s">
        <v>74</v>
      </c>
    </row>
    <row r="1142" spans="1:24" x14ac:dyDescent="0.25">
      <c r="A1142" s="1" t="str">
        <f t="shared" si="353"/>
        <v>卡卡杜-凤凰仓</v>
      </c>
      <c r="B1142" s="1" t="str">
        <f>"CK2024102911055"</f>
        <v>CK2024102911055</v>
      </c>
      <c r="C1142" s="1" t="str">
        <f>"DD2024102951818"</f>
        <v>DD2024102951818</v>
      </c>
      <c r="D1142" s="1" t="str">
        <f>"CK2024102948552"</f>
        <v>CK2024102948552</v>
      </c>
      <c r="E1142" s="1" t="str">
        <f>"3723639569769172992"</f>
        <v>3723639569769172992</v>
      </c>
      <c r="F1142" s="1" t="str">
        <f t="shared" si="354"/>
        <v>花都四部-凤凰仓</v>
      </c>
      <c r="G1142" s="1" t="str">
        <f t="shared" si="369"/>
        <v>卡卡杜企业店（视频号）</v>
      </c>
      <c r="H1142" s="1" t="str">
        <f t="shared" si="355"/>
        <v>正常订单</v>
      </c>
      <c r="I1142" s="1" t="str">
        <f t="shared" si="356"/>
        <v>已发货</v>
      </c>
      <c r="J1142" s="1" t="str">
        <f t="shared" si="371"/>
        <v>3</v>
      </c>
      <c r="K1142" s="1">
        <v>3</v>
      </c>
      <c r="L1142" s="1" t="s">
        <v>96</v>
      </c>
      <c r="M1142" s="1" t="str">
        <f>"广西壮族自治区 贵港市 港北区 "</f>
        <v xml:space="preserve">广西壮族自治区 贵港市 港北区 </v>
      </c>
      <c r="N1142" s="1" t="str">
        <f t="shared" si="370"/>
        <v>凡华云仓-城南圆通-微信视频号</v>
      </c>
      <c r="O1142" s="5" t="s">
        <v>1180</v>
      </c>
      <c r="P1142" s="6">
        <v>0.34</v>
      </c>
      <c r="Q1142" s="11">
        <v>2.2999999999999998</v>
      </c>
      <c r="R1142" s="11"/>
      <c r="S1142" s="11"/>
      <c r="T1142" s="11"/>
      <c r="U1142" s="11">
        <f t="shared" si="357"/>
        <v>2.2999999999999998</v>
      </c>
      <c r="W1142">
        <v>2.5</v>
      </c>
      <c r="X1142" s="1" t="s">
        <v>96</v>
      </c>
    </row>
    <row r="1143" spans="1:24" x14ac:dyDescent="0.25">
      <c r="A1143" s="1" t="str">
        <f t="shared" si="353"/>
        <v>卡卡杜-凤凰仓</v>
      </c>
      <c r="B1143" s="1" t="str">
        <f>"CK2024102911033"</f>
        <v>CK2024102911033</v>
      </c>
      <c r="C1143" s="1" t="str">
        <f>"DD2024102951796"</f>
        <v>DD2024102951796</v>
      </c>
      <c r="D1143" s="1" t="str">
        <f>"CK2024102948551"</f>
        <v>CK2024102948551</v>
      </c>
      <c r="E1143" s="1" t="str">
        <f>"2430302482610544"</f>
        <v>2430302482610544</v>
      </c>
      <c r="F1143" s="1" t="str">
        <f t="shared" si="354"/>
        <v>花都四部-凤凰仓</v>
      </c>
      <c r="G1143" s="1" t="str">
        <f t="shared" ref="G1143:G1160" si="372">"卡卡杜佳旺专卖店（快手店）"</f>
        <v>卡卡杜佳旺专卖店（快手店）</v>
      </c>
      <c r="H1143" s="1" t="str">
        <f t="shared" si="355"/>
        <v>正常订单</v>
      </c>
      <c r="I1143" s="1" t="str">
        <f t="shared" si="356"/>
        <v>已发货</v>
      </c>
      <c r="J1143" s="1" t="str">
        <f t="shared" si="371"/>
        <v>3</v>
      </c>
      <c r="K1143" s="1">
        <v>2</v>
      </c>
      <c r="L1143" s="1" t="s">
        <v>94</v>
      </c>
      <c r="M1143" s="1" t="str">
        <f>"湖南省 邵阳市 大祥区 红旗路街道"</f>
        <v>湖南省 邵阳市 大祥区 红旗路街道</v>
      </c>
      <c r="N1143" s="1" t="str">
        <f t="shared" ref="N1143:N1160" si="373">"凡华云仓-城南圆通-快手"</f>
        <v>凡华云仓-城南圆通-快手</v>
      </c>
      <c r="O1143" s="5" t="s">
        <v>1181</v>
      </c>
      <c r="P1143" s="6">
        <v>0.35</v>
      </c>
      <c r="Q1143" s="11">
        <v>2.2999999999999998</v>
      </c>
      <c r="R1143" s="11"/>
      <c r="S1143" s="11"/>
      <c r="T1143" s="11"/>
      <c r="U1143" s="11">
        <f t="shared" si="357"/>
        <v>2.2999999999999998</v>
      </c>
      <c r="W1143">
        <v>2.5</v>
      </c>
      <c r="X1143" s="1" t="s">
        <v>94</v>
      </c>
    </row>
    <row r="1144" spans="1:24" x14ac:dyDescent="0.25">
      <c r="A1144" s="1" t="str">
        <f t="shared" si="353"/>
        <v>卡卡杜-凤凰仓</v>
      </c>
      <c r="B1144" s="1" t="str">
        <f>"CK2024102911034"</f>
        <v>CK2024102911034</v>
      </c>
      <c r="C1144" s="1" t="str">
        <f>"DD2024102951797"</f>
        <v>DD2024102951797</v>
      </c>
      <c r="D1144" s="1" t="str">
        <f>"CK2024102948550"</f>
        <v>CK2024102948550</v>
      </c>
      <c r="E1144" s="1" t="str">
        <f>"2430302484057347"</f>
        <v>2430302484057347</v>
      </c>
      <c r="F1144" s="1" t="str">
        <f t="shared" si="354"/>
        <v>花都四部-凤凰仓</v>
      </c>
      <c r="G1144" s="1" t="str">
        <f t="shared" si="372"/>
        <v>卡卡杜佳旺专卖店（快手店）</v>
      </c>
      <c r="H1144" s="1" t="str">
        <f t="shared" si="355"/>
        <v>正常订单</v>
      </c>
      <c r="I1144" s="1" t="str">
        <f t="shared" si="356"/>
        <v>已发货</v>
      </c>
      <c r="J1144" s="1" t="str">
        <f t="shared" si="371"/>
        <v>3</v>
      </c>
      <c r="K1144" s="1">
        <v>2</v>
      </c>
      <c r="L1144" s="1" t="s">
        <v>1099</v>
      </c>
      <c r="M1144" s="1" t="str">
        <f>"重庆市 重庆市 北碚区 歇马街道"</f>
        <v>重庆市 重庆市 北碚区 歇马街道</v>
      </c>
      <c r="N1144" s="1" t="str">
        <f t="shared" si="373"/>
        <v>凡华云仓-城南圆通-快手</v>
      </c>
      <c r="O1144" s="5" t="s">
        <v>1182</v>
      </c>
      <c r="P1144" s="6">
        <v>0.35</v>
      </c>
      <c r="Q1144" s="11">
        <v>2.2999999999999998</v>
      </c>
      <c r="R1144" s="11"/>
      <c r="S1144" s="11"/>
      <c r="T1144" s="11"/>
      <c r="U1144" s="11">
        <f t="shared" si="357"/>
        <v>2.2999999999999998</v>
      </c>
      <c r="W1144">
        <v>2.5</v>
      </c>
      <c r="X1144" s="1" t="s">
        <v>1099</v>
      </c>
    </row>
    <row r="1145" spans="1:24" x14ac:dyDescent="0.25">
      <c r="A1145" s="1" t="str">
        <f t="shared" si="353"/>
        <v>卡卡杜-凤凰仓</v>
      </c>
      <c r="B1145" s="1" t="str">
        <f>"CK2024102911025"</f>
        <v>CK2024102911025</v>
      </c>
      <c r="C1145" s="1" t="str">
        <f>"DD2024102951792"</f>
        <v>DD2024102951792</v>
      </c>
      <c r="D1145" s="1" t="str">
        <f>"CK2024102948549"</f>
        <v>CK2024102948549</v>
      </c>
      <c r="E1145" s="1" t="str">
        <f>"2430301928946985"</f>
        <v>2430301928946985</v>
      </c>
      <c r="F1145" s="1" t="str">
        <f t="shared" si="354"/>
        <v>花都四部-凤凰仓</v>
      </c>
      <c r="G1145" s="1" t="str">
        <f t="shared" si="372"/>
        <v>卡卡杜佳旺专卖店（快手店）</v>
      </c>
      <c r="H1145" s="1" t="str">
        <f t="shared" si="355"/>
        <v>正常订单</v>
      </c>
      <c r="I1145" s="1" t="str">
        <f t="shared" si="356"/>
        <v>已发货</v>
      </c>
      <c r="J1145" s="1" t="str">
        <f t="shared" si="371"/>
        <v>3</v>
      </c>
      <c r="K1145" s="1">
        <v>2</v>
      </c>
      <c r="L1145" s="1" t="s">
        <v>740</v>
      </c>
      <c r="M1145" s="1" t="str">
        <f>"宁夏回族自治区 银川市 兴庆区 大新镇"</f>
        <v>宁夏回族自治区 银川市 兴庆区 大新镇</v>
      </c>
      <c r="N1145" s="1" t="str">
        <f t="shared" si="373"/>
        <v>凡华云仓-城南圆通-快手</v>
      </c>
      <c r="O1145" s="5" t="s">
        <v>1183</v>
      </c>
      <c r="P1145" s="6">
        <v>0.35</v>
      </c>
      <c r="Q1145" s="11">
        <v>2.2999999999999998</v>
      </c>
      <c r="R1145" s="11"/>
      <c r="S1145" s="11"/>
      <c r="T1145" s="11"/>
      <c r="U1145" s="11">
        <f t="shared" si="357"/>
        <v>2.2999999999999998</v>
      </c>
      <c r="W1145">
        <v>2.5</v>
      </c>
      <c r="X1145" s="1" t="s">
        <v>740</v>
      </c>
    </row>
    <row r="1146" spans="1:24" x14ac:dyDescent="0.25">
      <c r="A1146" s="1" t="str">
        <f t="shared" si="353"/>
        <v>卡卡杜-凤凰仓</v>
      </c>
      <c r="B1146" s="1" t="str">
        <f>"CK2024102911049"</f>
        <v>CK2024102911049</v>
      </c>
      <c r="C1146" s="1" t="str">
        <f>"DD2024102951813"</f>
        <v>DD2024102951813</v>
      </c>
      <c r="D1146" s="1" t="str">
        <f>"CK2024102948548"</f>
        <v>CK2024102948548</v>
      </c>
      <c r="E1146" s="1" t="str">
        <f>"2430301601328444"</f>
        <v>2430301601328444</v>
      </c>
      <c r="F1146" s="1" t="str">
        <f t="shared" si="354"/>
        <v>花都四部-凤凰仓</v>
      </c>
      <c r="G1146" s="1" t="str">
        <f t="shared" si="372"/>
        <v>卡卡杜佳旺专卖店（快手店）</v>
      </c>
      <c r="H1146" s="1" t="str">
        <f t="shared" si="355"/>
        <v>正常订单</v>
      </c>
      <c r="I1146" s="1" t="str">
        <f t="shared" si="356"/>
        <v>已发货</v>
      </c>
      <c r="J1146" s="1" t="str">
        <f t="shared" si="371"/>
        <v>3</v>
      </c>
      <c r="K1146" s="1">
        <v>2</v>
      </c>
      <c r="L1146" s="1" t="s">
        <v>13</v>
      </c>
      <c r="M1146" s="1" t="str">
        <f>"江苏省 苏州市 吴中区 木渎镇"</f>
        <v>江苏省 苏州市 吴中区 木渎镇</v>
      </c>
      <c r="N1146" s="1" t="str">
        <f t="shared" si="373"/>
        <v>凡华云仓-城南圆通-快手</v>
      </c>
      <c r="O1146" s="5" t="s">
        <v>1184</v>
      </c>
      <c r="P1146" s="6">
        <v>0.35</v>
      </c>
      <c r="Q1146" s="11">
        <v>2.2999999999999998</v>
      </c>
      <c r="R1146" s="11"/>
      <c r="S1146" s="11"/>
      <c r="T1146" s="11"/>
      <c r="U1146" s="11">
        <f t="shared" si="357"/>
        <v>2.2999999999999998</v>
      </c>
      <c r="W1146">
        <v>2.5</v>
      </c>
      <c r="X1146" s="1" t="s">
        <v>13</v>
      </c>
    </row>
    <row r="1147" spans="1:24" x14ac:dyDescent="0.25">
      <c r="A1147" s="1" t="str">
        <f t="shared" si="353"/>
        <v>卡卡杜-凤凰仓</v>
      </c>
      <c r="B1147" s="1" t="str">
        <f>"CK2024102911037"</f>
        <v>CK2024102911037</v>
      </c>
      <c r="C1147" s="1" t="str">
        <f>"DD2024102951800"</f>
        <v>DD2024102951800</v>
      </c>
      <c r="D1147" s="1" t="str">
        <f>"CK2024102948547"</f>
        <v>CK2024102948547</v>
      </c>
      <c r="E1147" s="1" t="str">
        <f>"2430301926466918"</f>
        <v>2430301926466918</v>
      </c>
      <c r="F1147" s="1" t="str">
        <f t="shared" si="354"/>
        <v>花都四部-凤凰仓</v>
      </c>
      <c r="G1147" s="1" t="str">
        <f t="shared" si="372"/>
        <v>卡卡杜佳旺专卖店（快手店）</v>
      </c>
      <c r="H1147" s="1" t="str">
        <f t="shared" si="355"/>
        <v>正常订单</v>
      </c>
      <c r="I1147" s="1" t="str">
        <f t="shared" si="356"/>
        <v>已发货</v>
      </c>
      <c r="J1147" s="1" t="str">
        <f t="shared" si="371"/>
        <v>3</v>
      </c>
      <c r="K1147" s="1">
        <v>2</v>
      </c>
      <c r="L1147" s="1" t="s">
        <v>18</v>
      </c>
      <c r="M1147" s="1" t="str">
        <f>"广东省 深圳市 南山区 粤海街道"</f>
        <v>广东省 深圳市 南山区 粤海街道</v>
      </c>
      <c r="N1147" s="1" t="str">
        <f t="shared" si="373"/>
        <v>凡华云仓-城南圆通-快手</v>
      </c>
      <c r="O1147" s="5" t="s">
        <v>1185</v>
      </c>
      <c r="P1147" s="6">
        <v>0.35</v>
      </c>
      <c r="Q1147" s="11">
        <v>2.2999999999999998</v>
      </c>
      <c r="R1147" s="11"/>
      <c r="S1147" s="11"/>
      <c r="T1147" s="11"/>
      <c r="U1147" s="11">
        <f t="shared" si="357"/>
        <v>2.2999999999999998</v>
      </c>
      <c r="W1147">
        <v>2.5</v>
      </c>
      <c r="X1147" s="1" t="s">
        <v>18</v>
      </c>
    </row>
    <row r="1148" spans="1:24" x14ac:dyDescent="0.25">
      <c r="A1148" s="1" t="str">
        <f t="shared" si="353"/>
        <v>卡卡杜-凤凰仓</v>
      </c>
      <c r="B1148" s="1" t="str">
        <f>"CK2024102911045"</f>
        <v>CK2024102911045</v>
      </c>
      <c r="C1148" s="1" t="str">
        <f>"DD2024102951807"</f>
        <v>DD2024102951807</v>
      </c>
      <c r="D1148" s="1" t="str">
        <f>"CK2024102948546"</f>
        <v>CK2024102948546</v>
      </c>
      <c r="E1148" s="1" t="str">
        <f>"2430301608802885"</f>
        <v>2430301608802885</v>
      </c>
      <c r="F1148" s="1" t="str">
        <f t="shared" si="354"/>
        <v>花都四部-凤凰仓</v>
      </c>
      <c r="G1148" s="1" t="str">
        <f t="shared" si="372"/>
        <v>卡卡杜佳旺专卖店（快手店）</v>
      </c>
      <c r="H1148" s="1" t="str">
        <f t="shared" si="355"/>
        <v>正常订单</v>
      </c>
      <c r="I1148" s="1" t="str">
        <f t="shared" si="356"/>
        <v>已发货</v>
      </c>
      <c r="J1148" s="1" t="str">
        <f t="shared" si="371"/>
        <v>3</v>
      </c>
      <c r="K1148" s="1">
        <v>2</v>
      </c>
      <c r="L1148" s="1" t="s">
        <v>92</v>
      </c>
      <c r="M1148" s="1" t="str">
        <f>"辽宁省 营口市 鲅鱼圈区 熊岳镇"</f>
        <v>辽宁省 营口市 鲅鱼圈区 熊岳镇</v>
      </c>
      <c r="N1148" s="1" t="str">
        <f t="shared" si="373"/>
        <v>凡华云仓-城南圆通-快手</v>
      </c>
      <c r="O1148" s="5" t="s">
        <v>1186</v>
      </c>
      <c r="P1148" s="6">
        <v>0.35</v>
      </c>
      <c r="Q1148" s="11">
        <v>2.2999999999999998</v>
      </c>
      <c r="R1148" s="11"/>
      <c r="S1148" s="11"/>
      <c r="T1148" s="11"/>
      <c r="U1148" s="11">
        <f t="shared" si="357"/>
        <v>2.2999999999999998</v>
      </c>
      <c r="W1148">
        <v>2.5</v>
      </c>
      <c r="X1148" s="1" t="s">
        <v>92</v>
      </c>
    </row>
    <row r="1149" spans="1:24" x14ac:dyDescent="0.25">
      <c r="A1149" s="1" t="str">
        <f t="shared" si="353"/>
        <v>卡卡杜-凤凰仓</v>
      </c>
      <c r="B1149" s="1" t="str">
        <f>"CK2024102911031"</f>
        <v>CK2024102911031</v>
      </c>
      <c r="C1149" s="1" t="str">
        <f>"DD2024102951794"</f>
        <v>DD2024102951794</v>
      </c>
      <c r="D1149" s="1" t="str">
        <f>"CK2024102948545"</f>
        <v>CK2024102948545</v>
      </c>
      <c r="E1149" s="1" t="str">
        <f>"2430302401466083"</f>
        <v>2430302401466083</v>
      </c>
      <c r="F1149" s="1" t="str">
        <f t="shared" si="354"/>
        <v>花都四部-凤凰仓</v>
      </c>
      <c r="G1149" s="1" t="str">
        <f t="shared" si="372"/>
        <v>卡卡杜佳旺专卖店（快手店）</v>
      </c>
      <c r="H1149" s="1" t="str">
        <f t="shared" si="355"/>
        <v>正常订单</v>
      </c>
      <c r="I1149" s="1" t="str">
        <f t="shared" si="356"/>
        <v>已发货</v>
      </c>
      <c r="J1149" s="1" t="str">
        <f t="shared" si="371"/>
        <v>3</v>
      </c>
      <c r="K1149" s="1">
        <v>2</v>
      </c>
      <c r="L1149" s="1" t="s">
        <v>36</v>
      </c>
      <c r="M1149" s="1" t="str">
        <f>"安徽省 蚌埠市 淮上区 "</f>
        <v xml:space="preserve">安徽省 蚌埠市 淮上区 </v>
      </c>
      <c r="N1149" s="1" t="str">
        <f t="shared" si="373"/>
        <v>凡华云仓-城南圆通-快手</v>
      </c>
      <c r="O1149" s="5" t="s">
        <v>1187</v>
      </c>
      <c r="P1149" s="6">
        <v>0.35</v>
      </c>
      <c r="Q1149" s="11">
        <v>2.2999999999999998</v>
      </c>
      <c r="R1149" s="11"/>
      <c r="S1149" s="11"/>
      <c r="T1149" s="11"/>
      <c r="U1149" s="11">
        <f t="shared" si="357"/>
        <v>2.2999999999999998</v>
      </c>
      <c r="W1149">
        <v>2.5</v>
      </c>
      <c r="X1149" s="1" t="s">
        <v>36</v>
      </c>
    </row>
    <row r="1150" spans="1:24" x14ac:dyDescent="0.25">
      <c r="A1150" s="1" t="str">
        <f t="shared" si="353"/>
        <v>卡卡杜-凤凰仓</v>
      </c>
      <c r="B1150" s="1" t="str">
        <f>"CK2024102911061"</f>
        <v>CK2024102911061</v>
      </c>
      <c r="C1150" s="1" t="str">
        <f>"DD2024102951821"</f>
        <v>DD2024102951821</v>
      </c>
      <c r="D1150" s="1" t="str">
        <f>"CK2024102948544"</f>
        <v>CK2024102948544</v>
      </c>
      <c r="E1150" s="1" t="str">
        <f>"2430302242203341"</f>
        <v>2430302242203341</v>
      </c>
      <c r="F1150" s="1" t="str">
        <f t="shared" si="354"/>
        <v>花都四部-凤凰仓</v>
      </c>
      <c r="G1150" s="1" t="str">
        <f t="shared" si="372"/>
        <v>卡卡杜佳旺专卖店（快手店）</v>
      </c>
      <c r="H1150" s="1" t="str">
        <f t="shared" si="355"/>
        <v>正常订单</v>
      </c>
      <c r="I1150" s="1" t="str">
        <f t="shared" si="356"/>
        <v>已发货</v>
      </c>
      <c r="J1150" s="1" t="str">
        <f t="shared" ref="J1150:J1155" si="374">"5"</f>
        <v>5</v>
      </c>
      <c r="K1150" s="1">
        <v>2</v>
      </c>
      <c r="L1150" s="1" t="s">
        <v>18</v>
      </c>
      <c r="M1150" s="1" t="str">
        <f>"广东省 深圳市 龙华区 福城街道"</f>
        <v>广东省 深圳市 龙华区 福城街道</v>
      </c>
      <c r="N1150" s="1" t="str">
        <f t="shared" si="373"/>
        <v>凡华云仓-城南圆通-快手</v>
      </c>
      <c r="O1150" s="5" t="s">
        <v>1188</v>
      </c>
      <c r="P1150" s="6">
        <v>0.59</v>
      </c>
      <c r="Q1150" s="11">
        <f t="shared" ref="Q1150:Q1155" si="375">CEILING(P1150-0.5,0.1)*10*0.15+2.3</f>
        <v>2.4499999999999997</v>
      </c>
      <c r="R1150" s="11"/>
      <c r="S1150" s="11"/>
      <c r="T1150" s="11"/>
      <c r="U1150" s="11">
        <f t="shared" si="357"/>
        <v>2.4499999999999997</v>
      </c>
      <c r="V1150" t="s">
        <v>15</v>
      </c>
      <c r="W1150">
        <v>2.4500000000000002</v>
      </c>
      <c r="X1150" s="1" t="s">
        <v>18</v>
      </c>
    </row>
    <row r="1151" spans="1:24" x14ac:dyDescent="0.25">
      <c r="A1151" s="1" t="str">
        <f t="shared" si="353"/>
        <v>卡卡杜-凤凰仓</v>
      </c>
      <c r="B1151" s="1" t="str">
        <f>"CK2024102911053"</f>
        <v>CK2024102911053</v>
      </c>
      <c r="C1151" s="1" t="str">
        <f>"DD2024102951816"</f>
        <v>DD2024102951816</v>
      </c>
      <c r="D1151" s="1" t="str">
        <f>"CK2024102948543"</f>
        <v>CK2024102948543</v>
      </c>
      <c r="E1151" s="1" t="str">
        <f>"2430301761355662"</f>
        <v>2430301761355662</v>
      </c>
      <c r="F1151" s="1" t="str">
        <f t="shared" si="354"/>
        <v>花都四部-凤凰仓</v>
      </c>
      <c r="G1151" s="1" t="str">
        <f t="shared" si="372"/>
        <v>卡卡杜佳旺专卖店（快手店）</v>
      </c>
      <c r="H1151" s="1" t="str">
        <f t="shared" si="355"/>
        <v>正常订单</v>
      </c>
      <c r="I1151" s="1" t="str">
        <f t="shared" si="356"/>
        <v>已发货</v>
      </c>
      <c r="J1151" s="1" t="str">
        <f t="shared" ref="J1151:J1154" si="376">"3"</f>
        <v>3</v>
      </c>
      <c r="K1151" s="1">
        <v>3</v>
      </c>
      <c r="L1151" s="1" t="s">
        <v>1099</v>
      </c>
      <c r="M1151" s="1" t="str">
        <f>"重庆市 重庆市 渝北区 双凤桥街道"</f>
        <v>重庆市 重庆市 渝北区 双凤桥街道</v>
      </c>
      <c r="N1151" s="1" t="str">
        <f t="shared" si="373"/>
        <v>凡华云仓-城南圆通-快手</v>
      </c>
      <c r="O1151" s="5" t="s">
        <v>1189</v>
      </c>
      <c r="P1151" s="6">
        <v>0.34</v>
      </c>
      <c r="Q1151" s="11">
        <v>2.2999999999999998</v>
      </c>
      <c r="R1151" s="11"/>
      <c r="S1151" s="11"/>
      <c r="T1151" s="11"/>
      <c r="U1151" s="11">
        <f t="shared" si="357"/>
        <v>2.2999999999999998</v>
      </c>
      <c r="W1151">
        <v>2.5</v>
      </c>
      <c r="X1151" s="1" t="s">
        <v>1099</v>
      </c>
    </row>
    <row r="1152" spans="1:24" x14ac:dyDescent="0.25">
      <c r="A1152" s="1" t="str">
        <f t="shared" si="353"/>
        <v>卡卡杜-凤凰仓</v>
      </c>
      <c r="B1152" s="1" t="str">
        <f>"CK2024102911062"</f>
        <v>CK2024102911062</v>
      </c>
      <c r="C1152" s="1" t="str">
        <f>"DD2024102951825"</f>
        <v>DD2024102951825</v>
      </c>
      <c r="D1152" s="1" t="str">
        <f>"CK2024102948542"</f>
        <v>CK2024102948542</v>
      </c>
      <c r="E1152" s="1" t="str">
        <f>"2430301683075797"</f>
        <v>2430301683075797</v>
      </c>
      <c r="F1152" s="1" t="str">
        <f t="shared" si="354"/>
        <v>花都四部-凤凰仓</v>
      </c>
      <c r="G1152" s="1" t="str">
        <f t="shared" si="372"/>
        <v>卡卡杜佳旺专卖店（快手店）</v>
      </c>
      <c r="H1152" s="1" t="str">
        <f t="shared" si="355"/>
        <v>正常订单</v>
      </c>
      <c r="I1152" s="1" t="str">
        <f t="shared" si="356"/>
        <v>已发货</v>
      </c>
      <c r="J1152" s="1" t="str">
        <f t="shared" si="374"/>
        <v>5</v>
      </c>
      <c r="K1152" s="1">
        <v>2</v>
      </c>
      <c r="L1152" s="1" t="s">
        <v>36</v>
      </c>
      <c r="M1152" s="1" t="str">
        <f>"安徽省 安庆市 大观区 玉琳路街道"</f>
        <v>安徽省 安庆市 大观区 玉琳路街道</v>
      </c>
      <c r="N1152" s="1" t="str">
        <f t="shared" si="373"/>
        <v>凡华云仓-城南圆通-快手</v>
      </c>
      <c r="O1152" s="5" t="s">
        <v>1190</v>
      </c>
      <c r="P1152" s="6">
        <v>0.59</v>
      </c>
      <c r="Q1152" s="11">
        <f t="shared" si="375"/>
        <v>2.4499999999999997</v>
      </c>
      <c r="R1152" s="11"/>
      <c r="S1152" s="11"/>
      <c r="T1152" s="11"/>
      <c r="U1152" s="11">
        <f t="shared" si="357"/>
        <v>2.4499999999999997</v>
      </c>
      <c r="V1152" t="s">
        <v>15</v>
      </c>
      <c r="W1152">
        <v>2.4500000000000002</v>
      </c>
      <c r="X1152" s="1" t="s">
        <v>36</v>
      </c>
    </row>
    <row r="1153" spans="1:24" x14ac:dyDescent="0.25">
      <c r="A1153" s="1" t="str">
        <f t="shared" si="353"/>
        <v>卡卡杜-凤凰仓</v>
      </c>
      <c r="B1153" s="1" t="str">
        <f>"CK2024102911032"</f>
        <v>CK2024102911032</v>
      </c>
      <c r="C1153" s="1" t="str">
        <f>"DD2024102951795"</f>
        <v>DD2024102951795</v>
      </c>
      <c r="D1153" s="1" t="str">
        <f>"CK2024102948541"</f>
        <v>CK2024102948541</v>
      </c>
      <c r="E1153" s="1" t="str">
        <f>"2430302322947240"</f>
        <v>2430302322947240</v>
      </c>
      <c r="F1153" s="1" t="str">
        <f t="shared" si="354"/>
        <v>花都四部-凤凰仓</v>
      </c>
      <c r="G1153" s="1" t="str">
        <f t="shared" si="372"/>
        <v>卡卡杜佳旺专卖店（快手店）</v>
      </c>
      <c r="H1153" s="1" t="str">
        <f t="shared" si="355"/>
        <v>正常订单</v>
      </c>
      <c r="I1153" s="1" t="str">
        <f t="shared" si="356"/>
        <v>已发货</v>
      </c>
      <c r="J1153" s="1" t="str">
        <f t="shared" si="376"/>
        <v>3</v>
      </c>
      <c r="K1153" s="1">
        <v>2</v>
      </c>
      <c r="L1153" s="1" t="s">
        <v>94</v>
      </c>
      <c r="M1153" s="1" t="str">
        <f>"湖南省 长沙市 开福区 沙坪街道"</f>
        <v>湖南省 长沙市 开福区 沙坪街道</v>
      </c>
      <c r="N1153" s="1" t="str">
        <f t="shared" si="373"/>
        <v>凡华云仓-城南圆通-快手</v>
      </c>
      <c r="O1153" s="5" t="s">
        <v>1191</v>
      </c>
      <c r="P1153" s="6">
        <v>0.35</v>
      </c>
      <c r="Q1153" s="11">
        <v>2.2999999999999998</v>
      </c>
      <c r="R1153" s="11"/>
      <c r="S1153" s="11"/>
      <c r="T1153" s="11"/>
      <c r="U1153" s="11">
        <f t="shared" si="357"/>
        <v>2.2999999999999998</v>
      </c>
      <c r="W1153">
        <v>2.5</v>
      </c>
      <c r="X1153" s="1" t="s">
        <v>94</v>
      </c>
    </row>
    <row r="1154" spans="1:24" x14ac:dyDescent="0.25">
      <c r="A1154" s="1" t="str">
        <f t="shared" ref="A1154:A1217" si="377">"卡卡杜-凤凰仓"</f>
        <v>卡卡杜-凤凰仓</v>
      </c>
      <c r="B1154" s="1" t="str">
        <f>"CK2024102911038"</f>
        <v>CK2024102911038</v>
      </c>
      <c r="C1154" s="1" t="str">
        <f>"DD2024102951802"</f>
        <v>DD2024102951802</v>
      </c>
      <c r="D1154" s="1" t="str">
        <f>"CK2024102948540"</f>
        <v>CK2024102948540</v>
      </c>
      <c r="E1154" s="1" t="str">
        <f>"2430302242225734"</f>
        <v>2430302242225734</v>
      </c>
      <c r="F1154" s="1" t="str">
        <f t="shared" ref="F1154:F1217" si="378">"花都四部-凤凰仓"</f>
        <v>花都四部-凤凰仓</v>
      </c>
      <c r="G1154" s="1" t="str">
        <f t="shared" si="372"/>
        <v>卡卡杜佳旺专卖店（快手店）</v>
      </c>
      <c r="H1154" s="1" t="str">
        <f t="shared" ref="H1154:H1217" si="379">"正常订单"</f>
        <v>正常订单</v>
      </c>
      <c r="I1154" s="1" t="str">
        <f t="shared" ref="I1154:I1217" si="380">"已发货"</f>
        <v>已发货</v>
      </c>
      <c r="J1154" s="1" t="str">
        <f t="shared" si="376"/>
        <v>3</v>
      </c>
      <c r="K1154" s="1">
        <v>2</v>
      </c>
      <c r="L1154" s="1" t="s">
        <v>109</v>
      </c>
      <c r="M1154" s="1" t="str">
        <f>"山西省 运城市 永济市 城北街道"</f>
        <v>山西省 运城市 永济市 城北街道</v>
      </c>
      <c r="N1154" s="1" t="str">
        <f t="shared" si="373"/>
        <v>凡华云仓-城南圆通-快手</v>
      </c>
      <c r="O1154" s="5" t="s">
        <v>1192</v>
      </c>
      <c r="P1154" s="6">
        <v>0.35</v>
      </c>
      <c r="Q1154" s="11">
        <v>2.2999999999999998</v>
      </c>
      <c r="R1154" s="11"/>
      <c r="S1154" s="11"/>
      <c r="T1154" s="11"/>
      <c r="U1154" s="11">
        <f t="shared" si="357"/>
        <v>2.2999999999999998</v>
      </c>
      <c r="W1154">
        <v>2.5</v>
      </c>
      <c r="X1154" s="1" t="s">
        <v>109</v>
      </c>
    </row>
    <row r="1155" spans="1:24" x14ac:dyDescent="0.25">
      <c r="A1155" s="1" t="str">
        <f t="shared" si="377"/>
        <v>卡卡杜-凤凰仓</v>
      </c>
      <c r="B1155" s="1" t="str">
        <f>"CK2024102911057"</f>
        <v>CK2024102911057</v>
      </c>
      <c r="C1155" s="1" t="str">
        <f>"DD2024102951824"</f>
        <v>DD2024102951824</v>
      </c>
      <c r="D1155" s="1" t="str">
        <f>"CK2024102948539"</f>
        <v>CK2024102948539</v>
      </c>
      <c r="E1155" s="1" t="str">
        <f>"2430301601315211"</f>
        <v>2430301601315211</v>
      </c>
      <c r="F1155" s="1" t="str">
        <f t="shared" si="378"/>
        <v>花都四部-凤凰仓</v>
      </c>
      <c r="G1155" s="1" t="str">
        <f t="shared" si="372"/>
        <v>卡卡杜佳旺专卖店（快手店）</v>
      </c>
      <c r="H1155" s="1" t="str">
        <f t="shared" si="379"/>
        <v>正常订单</v>
      </c>
      <c r="I1155" s="1" t="str">
        <f t="shared" si="380"/>
        <v>已发货</v>
      </c>
      <c r="J1155" s="1" t="str">
        <f t="shared" si="374"/>
        <v>5</v>
      </c>
      <c r="K1155" s="1">
        <v>2</v>
      </c>
      <c r="L1155" s="1" t="s">
        <v>36</v>
      </c>
      <c r="M1155" s="1" t="str">
        <f>"安徽省 六安市 霍邱县 城关镇"</f>
        <v>安徽省 六安市 霍邱县 城关镇</v>
      </c>
      <c r="N1155" s="1" t="str">
        <f t="shared" si="373"/>
        <v>凡华云仓-城南圆通-快手</v>
      </c>
      <c r="O1155" s="5" t="s">
        <v>1193</v>
      </c>
      <c r="P1155" s="6">
        <v>0.59</v>
      </c>
      <c r="Q1155" s="11">
        <f t="shared" si="375"/>
        <v>2.4499999999999997</v>
      </c>
      <c r="R1155" s="11"/>
      <c r="S1155" s="11"/>
      <c r="T1155" s="11"/>
      <c r="U1155" s="11">
        <f t="shared" ref="U1155:U1218" si="381">T1155+S1155+R1155+Q1155</f>
        <v>2.4499999999999997</v>
      </c>
      <c r="V1155" t="s">
        <v>15</v>
      </c>
      <c r="W1155">
        <v>2.4500000000000002</v>
      </c>
      <c r="X1155" s="1" t="s">
        <v>36</v>
      </c>
    </row>
    <row r="1156" spans="1:24" x14ac:dyDescent="0.25">
      <c r="A1156" s="1" t="str">
        <f t="shared" si="377"/>
        <v>卡卡杜-凤凰仓</v>
      </c>
      <c r="B1156" s="1" t="str">
        <f>"CK2024102911052"</f>
        <v>CK2024102911052</v>
      </c>
      <c r="C1156" s="1" t="str">
        <f>"DD2024102951814"</f>
        <v>DD2024102951814</v>
      </c>
      <c r="D1156" s="1" t="str">
        <f>"CK2024102948538"</f>
        <v>CK2024102948538</v>
      </c>
      <c r="E1156" s="1" t="str">
        <f>"2430301840491658"</f>
        <v>2430301840491658</v>
      </c>
      <c r="F1156" s="1" t="str">
        <f t="shared" si="378"/>
        <v>花都四部-凤凰仓</v>
      </c>
      <c r="G1156" s="1" t="str">
        <f t="shared" si="372"/>
        <v>卡卡杜佳旺专卖店（快手店）</v>
      </c>
      <c r="H1156" s="1" t="str">
        <f t="shared" si="379"/>
        <v>正常订单</v>
      </c>
      <c r="I1156" s="1" t="str">
        <f t="shared" si="380"/>
        <v>已发货</v>
      </c>
      <c r="J1156" s="1" t="str">
        <f t="shared" ref="J1156:J1160" si="382">"3"</f>
        <v>3</v>
      </c>
      <c r="K1156" s="1">
        <v>2</v>
      </c>
      <c r="L1156" s="1" t="s">
        <v>36</v>
      </c>
      <c r="M1156" s="1" t="str">
        <f>"安徽省 合肥市 肥西县 严店乡"</f>
        <v>安徽省 合肥市 肥西县 严店乡</v>
      </c>
      <c r="N1156" s="1" t="str">
        <f t="shared" si="373"/>
        <v>凡华云仓-城南圆通-快手</v>
      </c>
      <c r="O1156" s="5" t="s">
        <v>1194</v>
      </c>
      <c r="P1156" s="6">
        <v>0.35</v>
      </c>
      <c r="Q1156" s="11">
        <v>2.2999999999999998</v>
      </c>
      <c r="R1156" s="11"/>
      <c r="S1156" s="11"/>
      <c r="T1156" s="11"/>
      <c r="U1156" s="11">
        <f t="shared" si="381"/>
        <v>2.2999999999999998</v>
      </c>
      <c r="W1156">
        <v>2.5</v>
      </c>
      <c r="X1156" s="1" t="s">
        <v>36</v>
      </c>
    </row>
    <row r="1157" spans="1:24" x14ac:dyDescent="0.25">
      <c r="A1157" s="1" t="str">
        <f t="shared" si="377"/>
        <v>卡卡杜-凤凰仓</v>
      </c>
      <c r="B1157" s="1" t="str">
        <f>"CK2024102911058"</f>
        <v>CK2024102911058</v>
      </c>
      <c r="C1157" s="1" t="str">
        <f>"DD2024102951823"</f>
        <v>DD2024102951823</v>
      </c>
      <c r="D1157" s="1" t="str">
        <f>"CK2024102948537"</f>
        <v>CK2024102948537</v>
      </c>
      <c r="E1157" s="1" t="str">
        <f>"2430301761170383"</f>
        <v>2430301761170383</v>
      </c>
      <c r="F1157" s="1" t="str">
        <f t="shared" si="378"/>
        <v>花都四部-凤凰仓</v>
      </c>
      <c r="G1157" s="1" t="str">
        <f t="shared" si="372"/>
        <v>卡卡杜佳旺专卖店（快手店）</v>
      </c>
      <c r="H1157" s="1" t="str">
        <f t="shared" si="379"/>
        <v>正常订单</v>
      </c>
      <c r="I1157" s="1" t="str">
        <f t="shared" si="380"/>
        <v>已发货</v>
      </c>
      <c r="J1157" s="1" t="str">
        <f>"5"</f>
        <v>5</v>
      </c>
      <c r="K1157" s="1">
        <v>2</v>
      </c>
      <c r="L1157" s="1" t="s">
        <v>18</v>
      </c>
      <c r="M1157" s="1" t="str">
        <f>"广东省 深圳市 宝安区 燕罗街道"</f>
        <v>广东省 深圳市 宝安区 燕罗街道</v>
      </c>
      <c r="N1157" s="1" t="str">
        <f t="shared" si="373"/>
        <v>凡华云仓-城南圆通-快手</v>
      </c>
      <c r="O1157" s="5" t="s">
        <v>1195</v>
      </c>
      <c r="P1157" s="6">
        <v>0.59</v>
      </c>
      <c r="Q1157" s="11">
        <f>CEILING(P1157-0.5,0.1)*10*0.15+2.3</f>
        <v>2.4499999999999997</v>
      </c>
      <c r="R1157" s="11"/>
      <c r="S1157" s="11"/>
      <c r="T1157" s="11"/>
      <c r="U1157" s="11">
        <f t="shared" si="381"/>
        <v>2.4499999999999997</v>
      </c>
      <c r="V1157" t="s">
        <v>15</v>
      </c>
      <c r="W1157">
        <v>2.4500000000000002</v>
      </c>
      <c r="X1157" s="1" t="s">
        <v>18</v>
      </c>
    </row>
    <row r="1158" spans="1:24" x14ac:dyDescent="0.25">
      <c r="A1158" s="1" t="str">
        <f t="shared" si="377"/>
        <v>卡卡杜-凤凰仓</v>
      </c>
      <c r="B1158" s="1" t="str">
        <f>"CK2024102911028"</f>
        <v>CK2024102911028</v>
      </c>
      <c r="C1158" s="1" t="str">
        <f>"DD2024102951793"</f>
        <v>DD2024102951793</v>
      </c>
      <c r="D1158" s="1" t="str">
        <f>"CK2024102948536"</f>
        <v>CK2024102948536</v>
      </c>
      <c r="E1158" s="1" t="str">
        <f>"2430301601275057"</f>
        <v>2430301601275057</v>
      </c>
      <c r="F1158" s="1" t="str">
        <f t="shared" si="378"/>
        <v>花都四部-凤凰仓</v>
      </c>
      <c r="G1158" s="1" t="str">
        <f t="shared" si="372"/>
        <v>卡卡杜佳旺专卖店（快手店）</v>
      </c>
      <c r="H1158" s="1" t="str">
        <f t="shared" si="379"/>
        <v>正常订单</v>
      </c>
      <c r="I1158" s="1" t="str">
        <f t="shared" si="380"/>
        <v>已发货</v>
      </c>
      <c r="J1158" s="1" t="str">
        <f t="shared" si="382"/>
        <v>3</v>
      </c>
      <c r="K1158" s="1">
        <v>2</v>
      </c>
      <c r="L1158" s="1" t="s">
        <v>41</v>
      </c>
      <c r="M1158" s="1" t="str">
        <f>"湖北省 孝感市 大悟县 城关镇"</f>
        <v>湖北省 孝感市 大悟县 城关镇</v>
      </c>
      <c r="N1158" s="1" t="str">
        <f t="shared" si="373"/>
        <v>凡华云仓-城南圆通-快手</v>
      </c>
      <c r="O1158" s="5" t="s">
        <v>1196</v>
      </c>
      <c r="P1158" s="6">
        <v>0.35</v>
      </c>
      <c r="Q1158" s="11">
        <v>2.2999999999999998</v>
      </c>
      <c r="R1158" s="11"/>
      <c r="S1158" s="11"/>
      <c r="T1158" s="11"/>
      <c r="U1158" s="11">
        <f t="shared" si="381"/>
        <v>2.2999999999999998</v>
      </c>
      <c r="W1158">
        <v>2.5</v>
      </c>
      <c r="X1158" s="1" t="s">
        <v>41</v>
      </c>
    </row>
    <row r="1159" spans="1:24" x14ac:dyDescent="0.25">
      <c r="A1159" s="1" t="str">
        <f t="shared" si="377"/>
        <v>卡卡杜-凤凰仓</v>
      </c>
      <c r="B1159" s="1" t="str">
        <f>"CK2024102911046"</f>
        <v>CK2024102911046</v>
      </c>
      <c r="C1159" s="1" t="str">
        <f>"DD2024102951809"</f>
        <v>DD2024102951809</v>
      </c>
      <c r="D1159" s="1" t="str">
        <f>"CK2024102948535"</f>
        <v>CK2024102948535</v>
      </c>
      <c r="E1159" s="1" t="str">
        <f>"2430302322794506"</f>
        <v>2430302322794506</v>
      </c>
      <c r="F1159" s="1" t="str">
        <f t="shared" si="378"/>
        <v>花都四部-凤凰仓</v>
      </c>
      <c r="G1159" s="1" t="str">
        <f t="shared" si="372"/>
        <v>卡卡杜佳旺专卖店（快手店）</v>
      </c>
      <c r="H1159" s="1" t="str">
        <f t="shared" si="379"/>
        <v>正常订单</v>
      </c>
      <c r="I1159" s="1" t="str">
        <f t="shared" si="380"/>
        <v>已发货</v>
      </c>
      <c r="J1159" s="1" t="str">
        <f t="shared" si="382"/>
        <v>3</v>
      </c>
      <c r="K1159" s="1">
        <v>2</v>
      </c>
      <c r="L1159" s="1" t="s">
        <v>92</v>
      </c>
      <c r="M1159" s="1" t="str">
        <f>"辽宁省 本溪市 溪湖区 石桥子街道"</f>
        <v>辽宁省 本溪市 溪湖区 石桥子街道</v>
      </c>
      <c r="N1159" s="1" t="str">
        <f t="shared" si="373"/>
        <v>凡华云仓-城南圆通-快手</v>
      </c>
      <c r="O1159" s="5" t="s">
        <v>1197</v>
      </c>
      <c r="P1159" s="6">
        <v>0.35</v>
      </c>
      <c r="Q1159" s="11">
        <v>2.2999999999999998</v>
      </c>
      <c r="R1159" s="11"/>
      <c r="S1159" s="11"/>
      <c r="T1159" s="11"/>
      <c r="U1159" s="11">
        <f t="shared" si="381"/>
        <v>2.2999999999999998</v>
      </c>
      <c r="W1159">
        <v>2.5</v>
      </c>
      <c r="X1159" s="1" t="s">
        <v>92</v>
      </c>
    </row>
    <row r="1160" spans="1:24" x14ac:dyDescent="0.25">
      <c r="A1160" s="1" t="str">
        <f t="shared" si="377"/>
        <v>卡卡杜-凤凰仓</v>
      </c>
      <c r="B1160" s="1" t="str">
        <f>"CK2024102911035"</f>
        <v>CK2024102911035</v>
      </c>
      <c r="C1160" s="1" t="str">
        <f>"DD2024102951798"</f>
        <v>DD2024102951798</v>
      </c>
      <c r="D1160" s="1" t="str">
        <f>"CK2024102948534"</f>
        <v>CK2024102948534</v>
      </c>
      <c r="E1160" s="1" t="str">
        <f>"2430301920435529"</f>
        <v>2430301920435529</v>
      </c>
      <c r="F1160" s="1" t="str">
        <f t="shared" si="378"/>
        <v>花都四部-凤凰仓</v>
      </c>
      <c r="G1160" s="1" t="str">
        <f t="shared" si="372"/>
        <v>卡卡杜佳旺专卖店（快手店）</v>
      </c>
      <c r="H1160" s="1" t="str">
        <f t="shared" si="379"/>
        <v>正常订单</v>
      </c>
      <c r="I1160" s="1" t="str">
        <f t="shared" si="380"/>
        <v>已发货</v>
      </c>
      <c r="J1160" s="1" t="str">
        <f t="shared" si="382"/>
        <v>3</v>
      </c>
      <c r="K1160" s="1">
        <v>2</v>
      </c>
      <c r="L1160" s="1" t="s">
        <v>161</v>
      </c>
      <c r="M1160" s="1" t="str">
        <f>"四川省 遂宁市 射洪市 太和街道"</f>
        <v>四川省 遂宁市 射洪市 太和街道</v>
      </c>
      <c r="N1160" s="1" t="str">
        <f t="shared" si="373"/>
        <v>凡华云仓-城南圆通-快手</v>
      </c>
      <c r="O1160" s="5" t="s">
        <v>1198</v>
      </c>
      <c r="P1160" s="6">
        <v>0.35</v>
      </c>
      <c r="Q1160" s="11">
        <v>2.2999999999999998</v>
      </c>
      <c r="R1160" s="11"/>
      <c r="S1160" s="11"/>
      <c r="T1160" s="11"/>
      <c r="U1160" s="11">
        <f t="shared" si="381"/>
        <v>2.2999999999999998</v>
      </c>
      <c r="W1160">
        <v>2.5</v>
      </c>
      <c r="X1160" s="1" t="s">
        <v>161</v>
      </c>
    </row>
    <row r="1161" spans="1:24" x14ac:dyDescent="0.25">
      <c r="A1161" s="1" t="str">
        <f t="shared" si="377"/>
        <v>卡卡杜-凤凰仓</v>
      </c>
      <c r="B1161" s="1" t="str">
        <f>"CK2024102911067"</f>
        <v>CK2024102911067</v>
      </c>
      <c r="C1161" s="1" t="str">
        <f>"DD2024102951874"</f>
        <v>DD2024102951874</v>
      </c>
      <c r="D1161" s="1" t="str">
        <f>"CK2024102948512"</f>
        <v>CK2024102948512</v>
      </c>
      <c r="E1161" s="1" t="str">
        <f>"3723560837982324224"</f>
        <v>3723560837982324224</v>
      </c>
      <c r="F1161" s="1" t="str">
        <f t="shared" si="378"/>
        <v>花都四部-凤凰仓</v>
      </c>
      <c r="G1161" s="1" t="str">
        <f>"卡卡杜企业店（视频号）"</f>
        <v>卡卡杜企业店（视频号）</v>
      </c>
      <c r="H1161" s="1" t="str">
        <f t="shared" si="379"/>
        <v>正常订单</v>
      </c>
      <c r="I1161" s="1" t="str">
        <f t="shared" si="380"/>
        <v>已发货</v>
      </c>
      <c r="J1161" s="1" t="str">
        <f>"2"</f>
        <v>2</v>
      </c>
      <c r="K1161" s="1">
        <v>2</v>
      </c>
      <c r="L1161" s="1" t="s">
        <v>18</v>
      </c>
      <c r="M1161" s="1" t="str">
        <f>"广东省 汕头市 龙湖区 "</f>
        <v xml:space="preserve">广东省 汕头市 龙湖区 </v>
      </c>
      <c r="N1161" s="1" t="str">
        <f>"凡华云仓-城南圆通-微信视频号"</f>
        <v>凡华云仓-城南圆通-微信视频号</v>
      </c>
      <c r="O1161" s="5" t="s">
        <v>1199</v>
      </c>
      <c r="P1161" s="6">
        <v>0.17</v>
      </c>
      <c r="Q1161" s="11">
        <v>2</v>
      </c>
      <c r="R1161" s="11"/>
      <c r="S1161" s="11"/>
      <c r="T1161" s="11"/>
      <c r="U1161" s="11">
        <f t="shared" si="381"/>
        <v>2</v>
      </c>
      <c r="W1161">
        <v>2.2000000000000002</v>
      </c>
      <c r="X1161" s="1" t="s">
        <v>18</v>
      </c>
    </row>
    <row r="1162" spans="1:24" x14ac:dyDescent="0.25">
      <c r="A1162" s="1" t="str">
        <f t="shared" si="377"/>
        <v>卡卡杜-凤凰仓</v>
      </c>
      <c r="B1162" s="1" t="str">
        <f>"CK202410299718"</f>
        <v>CK202410299718</v>
      </c>
      <c r="C1162" s="1" t="str">
        <f>"DD2024102949329"</f>
        <v>DD2024102949329</v>
      </c>
      <c r="D1162" s="1" t="str">
        <f>"CK2024102948325"</f>
        <v>CK2024102948325</v>
      </c>
      <c r="E1162" s="1" t="str">
        <f>"KKD20241029YP002"</f>
        <v>KKD20241029YP002</v>
      </c>
      <c r="F1162" s="1" t="str">
        <f t="shared" si="378"/>
        <v>花都四部-凤凰仓</v>
      </c>
      <c r="G1162" s="1" t="str">
        <f t="shared" ref="G1162:G1174" si="383">"卡卡杜全欣样品"</f>
        <v>卡卡杜全欣样品</v>
      </c>
      <c r="H1162" s="1" t="str">
        <f t="shared" si="379"/>
        <v>正常订单</v>
      </c>
      <c r="I1162" s="1" t="str">
        <f t="shared" si="380"/>
        <v>已发货</v>
      </c>
      <c r="J1162" s="1" t="str">
        <f t="shared" ref="J1162:J1164" si="384">"10"</f>
        <v>10</v>
      </c>
      <c r="K1162" s="1">
        <v>3</v>
      </c>
      <c r="L1162" s="1" t="s">
        <v>105</v>
      </c>
      <c r="M1162" s="1" t="str">
        <f>"北京 北京市 昌平区 "</f>
        <v xml:space="preserve">北京 北京市 昌平区 </v>
      </c>
      <c r="N1162" s="1" t="str">
        <f t="shared" ref="N1162:N1171" si="385">"凡华云仓-城南圆通-淘宝"</f>
        <v>凡华云仓-城南圆通-淘宝</v>
      </c>
      <c r="O1162" s="3" t="s">
        <v>1200</v>
      </c>
      <c r="P1162" s="6">
        <v>0.88</v>
      </c>
      <c r="Q1162" s="11">
        <f t="shared" ref="Q1162:Q1171" si="386">CEILING(P1162-0.5,0.1)*10*0.15+2.3</f>
        <v>2.9</v>
      </c>
      <c r="R1162" s="11"/>
      <c r="S1162" s="11"/>
      <c r="T1162" s="11"/>
      <c r="U1162" s="11">
        <f t="shared" si="381"/>
        <v>2.9</v>
      </c>
      <c r="V1162" t="s">
        <v>15</v>
      </c>
      <c r="W1162">
        <v>2.9</v>
      </c>
      <c r="X1162" s="1" t="s">
        <v>105</v>
      </c>
    </row>
    <row r="1163" spans="1:24" x14ac:dyDescent="0.25">
      <c r="A1163" s="1" t="str">
        <f t="shared" si="377"/>
        <v>卡卡杜-凤凰仓</v>
      </c>
      <c r="B1163" s="1" t="str">
        <f>"CK202410299717"</f>
        <v>CK202410299717</v>
      </c>
      <c r="C1163" s="1" t="str">
        <f>"DD2024102949330"</f>
        <v>DD2024102949330</v>
      </c>
      <c r="D1163" s="1" t="str">
        <f>"CK2024102948324"</f>
        <v>CK2024102948324</v>
      </c>
      <c r="E1163" s="1" t="str">
        <f>"KKD20241029YP001"</f>
        <v>KKD20241029YP001</v>
      </c>
      <c r="F1163" s="1" t="str">
        <f t="shared" si="378"/>
        <v>花都四部-凤凰仓</v>
      </c>
      <c r="G1163" s="1" t="str">
        <f t="shared" si="383"/>
        <v>卡卡杜全欣样品</v>
      </c>
      <c r="H1163" s="1" t="str">
        <f t="shared" si="379"/>
        <v>正常订单</v>
      </c>
      <c r="I1163" s="1" t="str">
        <f t="shared" si="380"/>
        <v>已发货</v>
      </c>
      <c r="J1163" s="1" t="str">
        <f t="shared" si="384"/>
        <v>10</v>
      </c>
      <c r="K1163" s="1">
        <v>7</v>
      </c>
      <c r="L1163" s="1" t="s">
        <v>13</v>
      </c>
      <c r="M1163" s="1" t="str">
        <f>"江苏省 南通市 崇川区 "</f>
        <v xml:space="preserve">江苏省 南通市 崇川区 </v>
      </c>
      <c r="N1163" s="1" t="str">
        <f t="shared" si="385"/>
        <v>凡华云仓-城南圆通-淘宝</v>
      </c>
      <c r="O1163" s="3" t="s">
        <v>1201</v>
      </c>
      <c r="P1163" s="6">
        <v>1.0900000000000001</v>
      </c>
      <c r="Q1163" s="11">
        <f t="shared" si="386"/>
        <v>3.2</v>
      </c>
      <c r="R1163" s="11">
        <f t="shared" ref="R1163:R1168" si="387">(K1163-3)*0.1</f>
        <v>0.4</v>
      </c>
      <c r="S1163" s="11">
        <v>0.15</v>
      </c>
      <c r="T1163" s="11"/>
      <c r="U1163" s="11">
        <f t="shared" si="381"/>
        <v>3.75</v>
      </c>
      <c r="V1163" t="s">
        <v>15</v>
      </c>
      <c r="W1163">
        <v>3.75</v>
      </c>
      <c r="X1163" s="1" t="s">
        <v>13</v>
      </c>
    </row>
    <row r="1164" spans="1:24" x14ac:dyDescent="0.25">
      <c r="A1164" s="1" t="str">
        <f t="shared" si="377"/>
        <v>卡卡杜-凤凰仓</v>
      </c>
      <c r="B1164" s="1" t="str">
        <f>"CK202410299721"</f>
        <v>CK202410299721</v>
      </c>
      <c r="C1164" s="1" t="str">
        <f>"DD2024102949331"</f>
        <v>DD2024102949331</v>
      </c>
      <c r="D1164" s="1" t="str">
        <f>"CK2024102948323"</f>
        <v>CK2024102948323</v>
      </c>
      <c r="E1164" s="1" t="str">
        <f>"KKD20241029YP005"</f>
        <v>KKD20241029YP005</v>
      </c>
      <c r="F1164" s="1" t="str">
        <f t="shared" si="378"/>
        <v>花都四部-凤凰仓</v>
      </c>
      <c r="G1164" s="1" t="str">
        <f t="shared" si="383"/>
        <v>卡卡杜全欣样品</v>
      </c>
      <c r="H1164" s="1" t="str">
        <f t="shared" si="379"/>
        <v>正常订单</v>
      </c>
      <c r="I1164" s="1" t="str">
        <f t="shared" si="380"/>
        <v>已发货</v>
      </c>
      <c r="J1164" s="1" t="str">
        <f t="shared" si="384"/>
        <v>10</v>
      </c>
      <c r="K1164" s="1">
        <v>7</v>
      </c>
      <c r="L1164" s="1" t="s">
        <v>18</v>
      </c>
      <c r="M1164" s="1" t="str">
        <f>"广东省 广州市 黄埔区 "</f>
        <v xml:space="preserve">广东省 广州市 黄埔区 </v>
      </c>
      <c r="N1164" s="1" t="str">
        <f t="shared" si="385"/>
        <v>凡华云仓-城南圆通-淘宝</v>
      </c>
      <c r="O1164" s="3" t="s">
        <v>1202</v>
      </c>
      <c r="P1164" s="6">
        <v>1.18</v>
      </c>
      <c r="Q1164" s="11">
        <f t="shared" si="386"/>
        <v>3.3499999999999996</v>
      </c>
      <c r="R1164" s="11">
        <f t="shared" si="387"/>
        <v>0.4</v>
      </c>
      <c r="S1164" s="11">
        <v>0.15</v>
      </c>
      <c r="T1164" s="11"/>
      <c r="U1164" s="11">
        <f t="shared" si="381"/>
        <v>3.8999999999999995</v>
      </c>
      <c r="V1164" t="s">
        <v>15</v>
      </c>
      <c r="W1164">
        <v>3.9</v>
      </c>
      <c r="X1164" s="1" t="s">
        <v>18</v>
      </c>
    </row>
    <row r="1165" spans="1:24" x14ac:dyDescent="0.25">
      <c r="A1165" s="1" t="str">
        <f t="shared" si="377"/>
        <v>卡卡杜-凤凰仓</v>
      </c>
      <c r="B1165" s="1" t="str">
        <f>"CK202410299722"</f>
        <v>CK202410299722</v>
      </c>
      <c r="C1165" s="1" t="str">
        <f>"DD2024102949332"</f>
        <v>DD2024102949332</v>
      </c>
      <c r="D1165" s="1" t="str">
        <f>"CK2024102948322"</f>
        <v>CK2024102948322</v>
      </c>
      <c r="E1165" s="1" t="str">
        <f>"KKD20241029YP006"</f>
        <v>KKD20241029YP006</v>
      </c>
      <c r="F1165" s="1" t="str">
        <f t="shared" si="378"/>
        <v>花都四部-凤凰仓</v>
      </c>
      <c r="G1165" s="1" t="str">
        <f t="shared" si="383"/>
        <v>卡卡杜全欣样品</v>
      </c>
      <c r="H1165" s="1" t="str">
        <f t="shared" si="379"/>
        <v>正常订单</v>
      </c>
      <c r="I1165" s="1" t="str">
        <f t="shared" si="380"/>
        <v>已发货</v>
      </c>
      <c r="J1165" s="1" t="str">
        <f>"13"</f>
        <v>13</v>
      </c>
      <c r="K1165" s="1">
        <v>10</v>
      </c>
      <c r="L1165" s="1" t="s">
        <v>18</v>
      </c>
      <c r="M1165" s="1" t="str">
        <f>"广东省 深圳市 宝安区 "</f>
        <v xml:space="preserve">广东省 深圳市 宝安区 </v>
      </c>
      <c r="N1165" s="1" t="str">
        <f t="shared" si="385"/>
        <v>凡华云仓-城南圆通-淘宝</v>
      </c>
      <c r="O1165" s="3" t="s">
        <v>1203</v>
      </c>
      <c r="P1165" s="6">
        <v>1.4</v>
      </c>
      <c r="Q1165" s="11">
        <f t="shared" si="386"/>
        <v>3.6499999999999995</v>
      </c>
      <c r="R1165" s="11">
        <f t="shared" si="387"/>
        <v>0.70000000000000007</v>
      </c>
      <c r="S1165" s="11">
        <v>0.15</v>
      </c>
      <c r="T1165" s="11"/>
      <c r="U1165" s="11">
        <f t="shared" si="381"/>
        <v>4.5</v>
      </c>
      <c r="V1165" t="s">
        <v>15</v>
      </c>
      <c r="W1165">
        <v>4.5</v>
      </c>
      <c r="X1165" s="1" t="s">
        <v>18</v>
      </c>
    </row>
    <row r="1166" spans="1:24" x14ac:dyDescent="0.25">
      <c r="A1166" s="1" t="str">
        <f t="shared" si="377"/>
        <v>卡卡杜-凤凰仓</v>
      </c>
      <c r="B1166" s="1" t="str">
        <f>"CK202410299720"</f>
        <v>CK202410299720</v>
      </c>
      <c r="C1166" s="1" t="str">
        <f>"DD2024102949334"</f>
        <v>DD2024102949334</v>
      </c>
      <c r="D1166" s="1" t="str">
        <f>"CK2024102948321"</f>
        <v>CK2024102948321</v>
      </c>
      <c r="E1166" s="1" t="str">
        <f>"KKD20241029YP004"</f>
        <v>KKD20241029YP004</v>
      </c>
      <c r="F1166" s="1" t="str">
        <f t="shared" si="378"/>
        <v>花都四部-凤凰仓</v>
      </c>
      <c r="G1166" s="1" t="str">
        <f t="shared" si="383"/>
        <v>卡卡杜全欣样品</v>
      </c>
      <c r="H1166" s="1" t="str">
        <f t="shared" si="379"/>
        <v>正常订单</v>
      </c>
      <c r="I1166" s="1" t="str">
        <f t="shared" si="380"/>
        <v>已发货</v>
      </c>
      <c r="J1166" s="1" t="str">
        <f>"10"</f>
        <v>10</v>
      </c>
      <c r="K1166" s="1">
        <v>7</v>
      </c>
      <c r="L1166" s="1" t="s">
        <v>18</v>
      </c>
      <c r="M1166" s="1" t="str">
        <f>"广东省 广州市 白云区 "</f>
        <v xml:space="preserve">广东省 广州市 白云区 </v>
      </c>
      <c r="N1166" s="1" t="str">
        <f t="shared" si="385"/>
        <v>凡华云仓-城南圆通-淘宝</v>
      </c>
      <c r="O1166" s="3" t="s">
        <v>1204</v>
      </c>
      <c r="P1166" s="6">
        <v>1.06</v>
      </c>
      <c r="Q1166" s="11">
        <f t="shared" si="386"/>
        <v>3.2</v>
      </c>
      <c r="R1166" s="11">
        <f t="shared" si="387"/>
        <v>0.4</v>
      </c>
      <c r="S1166" s="11">
        <v>0.15</v>
      </c>
      <c r="T1166" s="11"/>
      <c r="U1166" s="11">
        <f t="shared" si="381"/>
        <v>3.75</v>
      </c>
      <c r="V1166" t="s">
        <v>15</v>
      </c>
      <c r="W1166">
        <v>3.75</v>
      </c>
      <c r="X1166" s="1" t="s">
        <v>18</v>
      </c>
    </row>
    <row r="1167" spans="1:24" x14ac:dyDescent="0.25">
      <c r="A1167" s="1" t="str">
        <f t="shared" si="377"/>
        <v>卡卡杜-凤凰仓</v>
      </c>
      <c r="B1167" s="1" t="str">
        <f>"CK202410299724"</f>
        <v>CK202410299724</v>
      </c>
      <c r="C1167" s="1" t="str">
        <f>"DD2024102949335"</f>
        <v>DD2024102949335</v>
      </c>
      <c r="D1167" s="1" t="str">
        <f>"CK2024102948320"</f>
        <v>CK2024102948320</v>
      </c>
      <c r="E1167" s="1" t="str">
        <f>"KKD20241029YP008"</f>
        <v>KKD20241029YP008</v>
      </c>
      <c r="F1167" s="1" t="str">
        <f t="shared" si="378"/>
        <v>花都四部-凤凰仓</v>
      </c>
      <c r="G1167" s="1" t="str">
        <f t="shared" si="383"/>
        <v>卡卡杜全欣样品</v>
      </c>
      <c r="H1167" s="1" t="str">
        <f t="shared" si="379"/>
        <v>正常订单</v>
      </c>
      <c r="I1167" s="1" t="str">
        <f t="shared" si="380"/>
        <v>已发货</v>
      </c>
      <c r="J1167" s="1" t="str">
        <f>"10"</f>
        <v>10</v>
      </c>
      <c r="K1167" s="1">
        <v>7</v>
      </c>
      <c r="L1167" s="1" t="s">
        <v>30</v>
      </c>
      <c r="M1167" s="1" t="str">
        <f>"山东省 潍坊市 高密市 "</f>
        <v xml:space="preserve">山东省 潍坊市 高密市 </v>
      </c>
      <c r="N1167" s="1" t="str">
        <f t="shared" si="385"/>
        <v>凡华云仓-城南圆通-淘宝</v>
      </c>
      <c r="O1167" s="3" t="s">
        <v>1205</v>
      </c>
      <c r="P1167" s="6">
        <v>1.18</v>
      </c>
      <c r="Q1167" s="11">
        <f t="shared" si="386"/>
        <v>3.3499999999999996</v>
      </c>
      <c r="R1167" s="11">
        <f t="shared" si="387"/>
        <v>0.4</v>
      </c>
      <c r="S1167" s="11">
        <v>0.15</v>
      </c>
      <c r="T1167" s="11"/>
      <c r="U1167" s="11">
        <f t="shared" si="381"/>
        <v>3.8999999999999995</v>
      </c>
      <c r="V1167" t="s">
        <v>15</v>
      </c>
      <c r="W1167">
        <v>3.9</v>
      </c>
      <c r="X1167" s="1" t="s">
        <v>30</v>
      </c>
    </row>
    <row r="1168" spans="1:24" x14ac:dyDescent="0.25">
      <c r="A1168" s="1" t="str">
        <f t="shared" si="377"/>
        <v>卡卡杜-凤凰仓</v>
      </c>
      <c r="B1168" s="1" t="str">
        <f>"CK202410299723"</f>
        <v>CK202410299723</v>
      </c>
      <c r="C1168" s="1" t="str">
        <f>"DD2024102949336"</f>
        <v>DD2024102949336</v>
      </c>
      <c r="D1168" s="1" t="str">
        <f>"CK2024102948319"</f>
        <v>CK2024102948319</v>
      </c>
      <c r="E1168" s="1" t="str">
        <f>"KKD20241029YP007"</f>
        <v>KKD20241029YP007</v>
      </c>
      <c r="F1168" s="1" t="str">
        <f t="shared" si="378"/>
        <v>花都四部-凤凰仓</v>
      </c>
      <c r="G1168" s="1" t="str">
        <f t="shared" si="383"/>
        <v>卡卡杜全欣样品</v>
      </c>
      <c r="H1168" s="1" t="str">
        <f t="shared" si="379"/>
        <v>正常订单</v>
      </c>
      <c r="I1168" s="1" t="str">
        <f t="shared" si="380"/>
        <v>已发货</v>
      </c>
      <c r="J1168" s="1" t="str">
        <f t="shared" ref="J1168:J1172" si="388">"7"</f>
        <v>7</v>
      </c>
      <c r="K1168" s="1">
        <v>6</v>
      </c>
      <c r="L1168" s="1" t="s">
        <v>32</v>
      </c>
      <c r="M1168" s="1" t="str">
        <f>"陕西省 西安市 未央区 "</f>
        <v xml:space="preserve">陕西省 西安市 未央区 </v>
      </c>
      <c r="N1168" s="1" t="str">
        <f t="shared" si="385"/>
        <v>凡华云仓-城南圆通-淘宝</v>
      </c>
      <c r="O1168" s="3" t="s">
        <v>1206</v>
      </c>
      <c r="P1168" s="6">
        <v>1.08</v>
      </c>
      <c r="Q1168" s="11">
        <f t="shared" si="386"/>
        <v>3.2</v>
      </c>
      <c r="R1168" s="11">
        <f t="shared" si="387"/>
        <v>0.30000000000000004</v>
      </c>
      <c r="S1168" s="11">
        <v>0.15</v>
      </c>
      <c r="T1168" s="11"/>
      <c r="U1168" s="11">
        <f t="shared" si="381"/>
        <v>3.6500000000000004</v>
      </c>
      <c r="V1168" t="s">
        <v>15</v>
      </c>
      <c r="W1168">
        <v>3.65</v>
      </c>
      <c r="X1168" s="1" t="s">
        <v>32</v>
      </c>
    </row>
    <row r="1169" spans="1:24" x14ac:dyDescent="0.25">
      <c r="A1169" s="1" t="str">
        <f t="shared" si="377"/>
        <v>卡卡杜-凤凰仓</v>
      </c>
      <c r="B1169" s="1" t="str">
        <f>"CK202410299725"</f>
        <v>CK202410299725</v>
      </c>
      <c r="C1169" s="1" t="str">
        <f>"DD2024102949337"</f>
        <v>DD2024102949337</v>
      </c>
      <c r="D1169" s="1" t="str">
        <f>"CK2024102948318"</f>
        <v>CK2024102948318</v>
      </c>
      <c r="E1169" s="1" t="str">
        <f>"KKD20241029YP009"</f>
        <v>KKD20241029YP009</v>
      </c>
      <c r="F1169" s="1" t="str">
        <f t="shared" si="378"/>
        <v>花都四部-凤凰仓</v>
      </c>
      <c r="G1169" s="1" t="str">
        <f t="shared" si="383"/>
        <v>卡卡杜全欣样品</v>
      </c>
      <c r="H1169" s="1" t="str">
        <f t="shared" si="379"/>
        <v>正常订单</v>
      </c>
      <c r="I1169" s="1" t="str">
        <f t="shared" si="380"/>
        <v>已发货</v>
      </c>
      <c r="J1169" s="1" t="str">
        <f>"6"</f>
        <v>6</v>
      </c>
      <c r="K1169" s="1">
        <v>3</v>
      </c>
      <c r="L1169" s="1" t="s">
        <v>92</v>
      </c>
      <c r="M1169" s="1" t="str">
        <f>"辽宁省 沈阳市 铁西区 "</f>
        <v xml:space="preserve">辽宁省 沈阳市 铁西区 </v>
      </c>
      <c r="N1169" s="1" t="str">
        <f t="shared" si="385"/>
        <v>凡华云仓-城南圆通-淘宝</v>
      </c>
      <c r="O1169" s="3" t="s">
        <v>1207</v>
      </c>
      <c r="P1169" s="6">
        <v>0.94</v>
      </c>
      <c r="Q1169" s="11">
        <f t="shared" si="386"/>
        <v>3.05</v>
      </c>
      <c r="R1169" s="11"/>
      <c r="S1169" s="11">
        <v>0.15</v>
      </c>
      <c r="T1169" s="11"/>
      <c r="U1169" s="11">
        <f t="shared" si="381"/>
        <v>3.1999999999999997</v>
      </c>
      <c r="V1169" t="s">
        <v>15</v>
      </c>
      <c r="W1169">
        <v>3.2</v>
      </c>
      <c r="X1169" s="1" t="s">
        <v>92</v>
      </c>
    </row>
    <row r="1170" spans="1:24" x14ac:dyDescent="0.25">
      <c r="A1170" s="1" t="str">
        <f t="shared" si="377"/>
        <v>卡卡杜-凤凰仓</v>
      </c>
      <c r="B1170" s="1" t="str">
        <f>"CK202410299726"</f>
        <v>CK202410299726</v>
      </c>
      <c r="C1170" s="1" t="str">
        <f>"DD2024102949338"</f>
        <v>DD2024102949338</v>
      </c>
      <c r="D1170" s="1" t="str">
        <f>"CK2024102948317"</f>
        <v>CK2024102948317</v>
      </c>
      <c r="E1170" s="1" t="str">
        <f>"KKD20241029YP010"</f>
        <v>KKD20241029YP010</v>
      </c>
      <c r="F1170" s="1" t="str">
        <f t="shared" si="378"/>
        <v>花都四部-凤凰仓</v>
      </c>
      <c r="G1170" s="1" t="str">
        <f t="shared" si="383"/>
        <v>卡卡杜全欣样品</v>
      </c>
      <c r="H1170" s="1" t="str">
        <f t="shared" si="379"/>
        <v>正常订单</v>
      </c>
      <c r="I1170" s="1" t="str">
        <f t="shared" si="380"/>
        <v>已发货</v>
      </c>
      <c r="J1170" s="1" t="str">
        <f>"8"</f>
        <v>8</v>
      </c>
      <c r="K1170" s="1">
        <v>7</v>
      </c>
      <c r="L1170" s="1" t="s">
        <v>27</v>
      </c>
      <c r="M1170" s="1" t="str">
        <f>"贵州省 贵阳市 南明区 "</f>
        <v xml:space="preserve">贵州省 贵阳市 南明区 </v>
      </c>
      <c r="N1170" s="1" t="str">
        <f t="shared" si="385"/>
        <v>凡华云仓-城南圆通-淘宝</v>
      </c>
      <c r="O1170" s="3" t="s">
        <v>1208</v>
      </c>
      <c r="P1170" s="6">
        <v>0.97</v>
      </c>
      <c r="Q1170" s="11">
        <f t="shared" si="386"/>
        <v>3.05</v>
      </c>
      <c r="R1170" s="11">
        <f t="shared" ref="R1170:R1172" si="389">(K1170-3)*0.1</f>
        <v>0.4</v>
      </c>
      <c r="S1170" s="11">
        <v>0.15</v>
      </c>
      <c r="T1170" s="11"/>
      <c r="U1170" s="11">
        <f t="shared" si="381"/>
        <v>3.5999999999999996</v>
      </c>
      <c r="V1170" t="s">
        <v>15</v>
      </c>
      <c r="W1170">
        <v>3.6</v>
      </c>
      <c r="X1170" s="1" t="s">
        <v>27</v>
      </c>
    </row>
    <row r="1171" spans="1:24" x14ac:dyDescent="0.25">
      <c r="A1171" s="1" t="str">
        <f t="shared" si="377"/>
        <v>卡卡杜-凤凰仓</v>
      </c>
      <c r="B1171" s="1" t="str">
        <f>"CK202410299727"</f>
        <v>CK202410299727</v>
      </c>
      <c r="C1171" s="1" t="str">
        <f>"DD2024102949339"</f>
        <v>DD2024102949339</v>
      </c>
      <c r="D1171" s="1" t="str">
        <f>"CK2024102948316"</f>
        <v>CK2024102948316</v>
      </c>
      <c r="E1171" s="1" t="str">
        <f>"KKD20241029YP011"</f>
        <v>KKD20241029YP011</v>
      </c>
      <c r="F1171" s="1" t="str">
        <f t="shared" si="378"/>
        <v>花都四部-凤凰仓</v>
      </c>
      <c r="G1171" s="1" t="str">
        <f t="shared" si="383"/>
        <v>卡卡杜全欣样品</v>
      </c>
      <c r="H1171" s="1" t="str">
        <f t="shared" si="379"/>
        <v>正常订单</v>
      </c>
      <c r="I1171" s="1" t="str">
        <f t="shared" si="380"/>
        <v>已发货</v>
      </c>
      <c r="J1171" s="1" t="str">
        <f t="shared" si="388"/>
        <v>7</v>
      </c>
      <c r="K1171" s="1">
        <v>5</v>
      </c>
      <c r="L1171" s="1" t="s">
        <v>18</v>
      </c>
      <c r="M1171" s="1" t="str">
        <f>"广东省 阳江市 阳东区 "</f>
        <v xml:space="preserve">广东省 阳江市 阳东区 </v>
      </c>
      <c r="N1171" s="1" t="str">
        <f t="shared" si="385"/>
        <v>凡华云仓-城南圆通-淘宝</v>
      </c>
      <c r="O1171" s="3" t="s">
        <v>1209</v>
      </c>
      <c r="P1171" s="6">
        <v>0.85</v>
      </c>
      <c r="Q1171" s="11">
        <f t="shared" si="386"/>
        <v>2.9</v>
      </c>
      <c r="R1171" s="11">
        <f t="shared" si="389"/>
        <v>0.2</v>
      </c>
      <c r="S1171" s="11">
        <v>0.15</v>
      </c>
      <c r="T1171" s="11"/>
      <c r="U1171" s="11">
        <f t="shared" si="381"/>
        <v>3.25</v>
      </c>
      <c r="V1171" t="s">
        <v>15</v>
      </c>
      <c r="W1171">
        <v>3.25</v>
      </c>
      <c r="X1171" s="1" t="s">
        <v>18</v>
      </c>
    </row>
    <row r="1172" spans="1:24" x14ac:dyDescent="0.25">
      <c r="A1172" s="1" t="str">
        <f t="shared" si="377"/>
        <v>卡卡杜-凤凰仓</v>
      </c>
      <c r="B1172" s="1" t="str">
        <f>"CK202410299728"</f>
        <v>CK202410299728</v>
      </c>
      <c r="C1172" s="1" t="str">
        <f>"DD2024102949340"</f>
        <v>DD2024102949340</v>
      </c>
      <c r="D1172" s="1" t="str">
        <f>"CK2024102948315"</f>
        <v>CK2024102948315</v>
      </c>
      <c r="E1172" s="1" t="str">
        <f>"KKD20241029YP012"</f>
        <v>KKD20241029YP012</v>
      </c>
      <c r="F1172" s="1" t="str">
        <f t="shared" si="378"/>
        <v>花都四部-凤凰仓</v>
      </c>
      <c r="G1172" s="1" t="str">
        <f t="shared" si="383"/>
        <v>卡卡杜全欣样品</v>
      </c>
      <c r="H1172" s="1" t="str">
        <f t="shared" si="379"/>
        <v>正常订单</v>
      </c>
      <c r="I1172" s="1" t="str">
        <f t="shared" si="380"/>
        <v>已发货</v>
      </c>
      <c r="J1172" s="1" t="str">
        <f t="shared" si="388"/>
        <v>7</v>
      </c>
      <c r="K1172" s="1">
        <v>5</v>
      </c>
      <c r="L1172" s="1" t="s">
        <v>20</v>
      </c>
      <c r="M1172" s="1" t="str">
        <f>"浙江省 杭州市 上城区 "</f>
        <v xml:space="preserve">浙江省 杭州市 上城区 </v>
      </c>
      <c r="N1172" s="1" t="str">
        <f>"凡华云仓-竹料中通-菜鸟"</f>
        <v>凡华云仓-竹料中通-菜鸟</v>
      </c>
      <c r="O1172" s="3">
        <v>78848687910771</v>
      </c>
      <c r="P1172" s="6">
        <v>0.85</v>
      </c>
      <c r="Q1172" s="11">
        <f>CEILING(P1172-0.5,0.1)*10*0.15+2.6</f>
        <v>3.2</v>
      </c>
      <c r="R1172" s="11">
        <f t="shared" si="389"/>
        <v>0.2</v>
      </c>
      <c r="S1172" s="11">
        <v>0.15</v>
      </c>
      <c r="T1172" s="11"/>
      <c r="U1172" s="11">
        <f t="shared" si="381"/>
        <v>3.5500000000000003</v>
      </c>
      <c r="V1172" t="s">
        <v>15</v>
      </c>
      <c r="W1172">
        <v>3.55</v>
      </c>
      <c r="X1172" s="1" t="s">
        <v>20</v>
      </c>
    </row>
    <row r="1173" spans="1:24" x14ac:dyDescent="0.25">
      <c r="A1173" s="1" t="str">
        <f t="shared" si="377"/>
        <v>卡卡杜-凤凰仓</v>
      </c>
      <c r="B1173" s="1" t="str">
        <f>"CK2024102512313"</f>
        <v>CK2024102512313</v>
      </c>
      <c r="C1173" s="1" t="str">
        <f>"DD2024102591946"</f>
        <v>DD2024102591946</v>
      </c>
      <c r="D1173" s="1" t="str">
        <f>"CK2024102591168"</f>
        <v>CK2024102591168</v>
      </c>
      <c r="E1173" s="1" t="str">
        <f>"KKD20241025YP006"</f>
        <v>KKD20241025YP006</v>
      </c>
      <c r="F1173" s="1" t="str">
        <f t="shared" si="378"/>
        <v>花都四部-凤凰仓</v>
      </c>
      <c r="G1173" s="1" t="str">
        <f t="shared" si="383"/>
        <v>卡卡杜全欣样品</v>
      </c>
      <c r="H1173" s="1" t="str">
        <f t="shared" si="379"/>
        <v>正常订单</v>
      </c>
      <c r="I1173" s="1" t="str">
        <f t="shared" si="380"/>
        <v>已发货</v>
      </c>
      <c r="J1173" s="1" t="str">
        <f>"5"</f>
        <v>5</v>
      </c>
      <c r="K1173" s="1">
        <v>4</v>
      </c>
      <c r="L1173" s="1" t="s">
        <v>109</v>
      </c>
      <c r="M1173" s="1" t="str">
        <f>"山西省 运城市 盐湖区 "</f>
        <v xml:space="preserve">山西省 运城市 盐湖区 </v>
      </c>
      <c r="N1173" s="1" t="str">
        <f>"凡华云仓-城南圆通-淘宝"</f>
        <v>凡华云仓-城南圆通-淘宝</v>
      </c>
      <c r="O1173" s="3" t="s">
        <v>1210</v>
      </c>
      <c r="P1173" s="6">
        <v>0.46</v>
      </c>
      <c r="Q1173" s="11">
        <v>2.2999999999999998</v>
      </c>
      <c r="R1173" s="11"/>
      <c r="S1173" s="11">
        <v>0.15</v>
      </c>
      <c r="T1173" s="11"/>
      <c r="U1173" s="11">
        <f t="shared" si="381"/>
        <v>2.4499999999999997</v>
      </c>
      <c r="W1173">
        <v>2.65</v>
      </c>
      <c r="X1173" s="1" t="s">
        <v>109</v>
      </c>
    </row>
    <row r="1174" spans="1:24" x14ac:dyDescent="0.25">
      <c r="A1174" s="1" t="str">
        <f t="shared" si="377"/>
        <v>卡卡杜-凤凰仓</v>
      </c>
      <c r="B1174" s="1" t="str">
        <f>"CK202410299719"</f>
        <v>CK202410299719</v>
      </c>
      <c r="C1174" s="1" t="str">
        <f>"DD2024102949333"</f>
        <v>DD2024102949333</v>
      </c>
      <c r="D1174" s="1" t="str">
        <f>"CK2024102947338"</f>
        <v>CK2024102947338</v>
      </c>
      <c r="E1174" s="1" t="str">
        <f>"KKD20241029YP003"</f>
        <v>KKD20241029YP003</v>
      </c>
      <c r="F1174" s="1" t="str">
        <f t="shared" si="378"/>
        <v>花都四部-凤凰仓</v>
      </c>
      <c r="G1174" s="1" t="str">
        <f t="shared" si="383"/>
        <v>卡卡杜全欣样品</v>
      </c>
      <c r="H1174" s="1" t="str">
        <f t="shared" si="379"/>
        <v>正常订单</v>
      </c>
      <c r="I1174" s="1" t="str">
        <f t="shared" si="380"/>
        <v>已发货</v>
      </c>
      <c r="J1174" s="1" t="str">
        <f>"36"</f>
        <v>36</v>
      </c>
      <c r="K1174" s="1">
        <v>12</v>
      </c>
      <c r="L1174" s="1" t="s">
        <v>20</v>
      </c>
      <c r="M1174" s="1" t="str">
        <f>"浙江省 绍兴市 诸暨市 "</f>
        <v xml:space="preserve">浙江省 绍兴市 诸暨市 </v>
      </c>
      <c r="N1174" s="1" t="str">
        <f>"凡华云仓-城南圆通-淘宝"</f>
        <v>凡华云仓-城南圆通-淘宝</v>
      </c>
      <c r="O1174" s="3" t="s">
        <v>1211</v>
      </c>
      <c r="P1174" s="6">
        <v>5.5</v>
      </c>
      <c r="Q1174" s="11">
        <f>ROUNDUP(P1174,0)*VLOOKUP(L:L,'[1]3KG报价'!A:C,3,0)+VLOOKUP(L:L,'[1]3KG报价'!A:B,2,0)+0.8</f>
        <v>16.3</v>
      </c>
      <c r="R1174" s="11">
        <f>(K1174-3)*0.1</f>
        <v>0.9</v>
      </c>
      <c r="S1174" s="11"/>
      <c r="T1174" s="11"/>
      <c r="U1174" s="11">
        <f t="shared" si="381"/>
        <v>17.2</v>
      </c>
      <c r="V1174" t="s">
        <v>1212</v>
      </c>
      <c r="W1174">
        <v>17.2</v>
      </c>
      <c r="X1174" s="1" t="s">
        <v>20</v>
      </c>
    </row>
    <row r="1175" spans="1:24" x14ac:dyDescent="0.25">
      <c r="A1175" s="1" t="str">
        <f t="shared" si="377"/>
        <v>卡卡杜-凤凰仓</v>
      </c>
      <c r="B1175" s="1" t="str">
        <f>"CK20241029171"</f>
        <v>CK20241029171</v>
      </c>
      <c r="C1175" s="1" t="str">
        <f>"DD202410299768"</f>
        <v>DD202410299768</v>
      </c>
      <c r="D1175" s="1" t="str">
        <f>"CK2024102915454"</f>
        <v>CK2024102915454</v>
      </c>
      <c r="E1175" s="1" t="str">
        <f>"3723638751121773568"</f>
        <v>3723638751121773568</v>
      </c>
      <c r="F1175" s="1" t="str">
        <f t="shared" si="378"/>
        <v>花都四部-凤凰仓</v>
      </c>
      <c r="G1175" s="1" t="str">
        <f t="shared" ref="G1175:G1238" si="390">"卡卡杜企业店（视频号）"</f>
        <v>卡卡杜企业店（视频号）</v>
      </c>
      <c r="H1175" s="1" t="str">
        <f t="shared" si="379"/>
        <v>正常订单</v>
      </c>
      <c r="I1175" s="1" t="str">
        <f t="shared" si="380"/>
        <v>已发货</v>
      </c>
      <c r="J1175" s="1" t="str">
        <f t="shared" ref="J1175:J1179" si="391">"3"</f>
        <v>3</v>
      </c>
      <c r="K1175" s="1">
        <v>3</v>
      </c>
      <c r="L1175" s="1" t="s">
        <v>60</v>
      </c>
      <c r="M1175" s="1" t="str">
        <f>"云南省 昆明市 呈贡区 "</f>
        <v xml:space="preserve">云南省 昆明市 呈贡区 </v>
      </c>
      <c r="N1175" s="1" t="str">
        <f t="shared" ref="N1175:N1238" si="392">"凡华云仓-城南圆通-微信视频号"</f>
        <v>凡华云仓-城南圆通-微信视频号</v>
      </c>
      <c r="O1175" s="5" t="s">
        <v>1213</v>
      </c>
      <c r="P1175" s="6">
        <v>0.34</v>
      </c>
      <c r="Q1175" s="11">
        <v>2.2999999999999998</v>
      </c>
      <c r="R1175" s="11"/>
      <c r="S1175" s="11"/>
      <c r="T1175" s="11"/>
      <c r="U1175" s="11">
        <f t="shared" si="381"/>
        <v>2.2999999999999998</v>
      </c>
      <c r="W1175">
        <v>2.5</v>
      </c>
      <c r="X1175" s="1" t="s">
        <v>60</v>
      </c>
    </row>
    <row r="1176" spans="1:24" x14ac:dyDescent="0.25">
      <c r="A1176" s="1" t="str">
        <f t="shared" si="377"/>
        <v>卡卡杜-凤凰仓</v>
      </c>
      <c r="B1176" s="1" t="str">
        <f>"CK20241029185"</f>
        <v>CK20241029185</v>
      </c>
      <c r="C1176" s="1" t="str">
        <f>"DD202410299780"</f>
        <v>DD202410299780</v>
      </c>
      <c r="D1176" s="1" t="str">
        <f>"CK2024102915453"</f>
        <v>CK2024102915453</v>
      </c>
      <c r="E1176" s="1" t="str">
        <f>"3723630385993223168"</f>
        <v>3723630385993223168</v>
      </c>
      <c r="F1176" s="1" t="str">
        <f t="shared" si="378"/>
        <v>花都四部-凤凰仓</v>
      </c>
      <c r="G1176" s="1" t="str">
        <f t="shared" si="390"/>
        <v>卡卡杜企业店（视频号）</v>
      </c>
      <c r="H1176" s="1" t="str">
        <f t="shared" si="379"/>
        <v>正常订单</v>
      </c>
      <c r="I1176" s="1" t="str">
        <f t="shared" si="380"/>
        <v>已发货</v>
      </c>
      <c r="J1176" s="1" t="str">
        <f t="shared" si="391"/>
        <v>3</v>
      </c>
      <c r="K1176" s="1">
        <v>2</v>
      </c>
      <c r="L1176" s="1" t="s">
        <v>74</v>
      </c>
      <c r="M1176" s="1" t="str">
        <f>"上海 上海市 黄浦区 "</f>
        <v xml:space="preserve">上海 上海市 黄浦区 </v>
      </c>
      <c r="N1176" s="1" t="str">
        <f t="shared" si="392"/>
        <v>凡华云仓-城南圆通-微信视频号</v>
      </c>
      <c r="O1176" s="5" t="s">
        <v>1214</v>
      </c>
      <c r="P1176" s="6">
        <v>0.24</v>
      </c>
      <c r="Q1176" s="11">
        <v>2</v>
      </c>
      <c r="R1176" s="11"/>
      <c r="S1176" s="11"/>
      <c r="T1176" s="11"/>
      <c r="U1176" s="11">
        <f t="shared" si="381"/>
        <v>2</v>
      </c>
      <c r="W1176">
        <v>2.2000000000000002</v>
      </c>
      <c r="X1176" s="1" t="s">
        <v>74</v>
      </c>
    </row>
    <row r="1177" spans="1:24" x14ac:dyDescent="0.25">
      <c r="A1177" s="1" t="str">
        <f t="shared" si="377"/>
        <v>卡卡杜-凤凰仓</v>
      </c>
      <c r="B1177" s="1" t="str">
        <f>"CK20241029122"</f>
        <v>CK20241029122</v>
      </c>
      <c r="C1177" s="1" t="str">
        <f>"DD202410299503"</f>
        <v>DD202410299503</v>
      </c>
      <c r="D1177" s="1" t="str">
        <f>"CK2024102915452"</f>
        <v>CK2024102915452</v>
      </c>
      <c r="E1177" s="1" t="str">
        <f>"3723630397736225792"</f>
        <v>3723630397736225792</v>
      </c>
      <c r="F1177" s="1" t="str">
        <f t="shared" si="378"/>
        <v>花都四部-凤凰仓</v>
      </c>
      <c r="G1177" s="1" t="str">
        <f t="shared" si="390"/>
        <v>卡卡杜企业店（视频号）</v>
      </c>
      <c r="H1177" s="1" t="str">
        <f t="shared" si="379"/>
        <v>正常订单</v>
      </c>
      <c r="I1177" s="1" t="str">
        <f t="shared" si="380"/>
        <v>已发货</v>
      </c>
      <c r="J1177" s="1" t="str">
        <f t="shared" ref="J1177:J1180" si="393">"2"</f>
        <v>2</v>
      </c>
      <c r="K1177" s="1">
        <v>2</v>
      </c>
      <c r="L1177" s="1" t="s">
        <v>44</v>
      </c>
      <c r="M1177" s="1" t="str">
        <f>"海南省 省直辖县级行政区划 定安县 "</f>
        <v xml:space="preserve">海南省 省直辖县级行政区划 定安县 </v>
      </c>
      <c r="N1177" s="1" t="str">
        <f t="shared" si="392"/>
        <v>凡华云仓-城南圆通-微信视频号</v>
      </c>
      <c r="O1177" s="5" t="s">
        <v>1215</v>
      </c>
      <c r="P1177" s="6">
        <v>0.17</v>
      </c>
      <c r="Q1177" s="11">
        <v>2</v>
      </c>
      <c r="R1177" s="11"/>
      <c r="S1177" s="11"/>
      <c r="T1177" s="11"/>
      <c r="U1177" s="11">
        <f t="shared" si="381"/>
        <v>2</v>
      </c>
      <c r="W1177">
        <v>2.2000000000000002</v>
      </c>
      <c r="X1177" s="1" t="s">
        <v>44</v>
      </c>
    </row>
    <row r="1178" spans="1:24" x14ac:dyDescent="0.25">
      <c r="A1178" s="1" t="str">
        <f t="shared" si="377"/>
        <v>卡卡杜-凤凰仓</v>
      </c>
      <c r="B1178" s="1" t="str">
        <f>"CK20241029114"</f>
        <v>CK20241029114</v>
      </c>
      <c r="C1178" s="1" t="str">
        <f>"DD202410299497"</f>
        <v>DD202410299497</v>
      </c>
      <c r="D1178" s="1" t="str">
        <f>"CK2024102915451"</f>
        <v>CK2024102915451</v>
      </c>
      <c r="E1178" s="1" t="str">
        <f>"3723630269597880320"</f>
        <v>3723630269597880320</v>
      </c>
      <c r="F1178" s="1" t="str">
        <f t="shared" si="378"/>
        <v>花都四部-凤凰仓</v>
      </c>
      <c r="G1178" s="1" t="str">
        <f t="shared" si="390"/>
        <v>卡卡杜企业店（视频号）</v>
      </c>
      <c r="H1178" s="1" t="str">
        <f t="shared" si="379"/>
        <v>正常订单</v>
      </c>
      <c r="I1178" s="1" t="str">
        <f t="shared" si="380"/>
        <v>已发货</v>
      </c>
      <c r="J1178" s="1" t="str">
        <f t="shared" si="393"/>
        <v>2</v>
      </c>
      <c r="K1178" s="1">
        <v>2</v>
      </c>
      <c r="L1178" s="1" t="s">
        <v>740</v>
      </c>
      <c r="M1178" s="1" t="str">
        <f>"宁夏回族自治区 银川市 兴庆区 "</f>
        <v xml:space="preserve">宁夏回族自治区 银川市 兴庆区 </v>
      </c>
      <c r="N1178" s="1" t="str">
        <f t="shared" si="392"/>
        <v>凡华云仓-城南圆通-微信视频号</v>
      </c>
      <c r="O1178" s="5" t="s">
        <v>1216</v>
      </c>
      <c r="P1178" s="6">
        <v>0.17</v>
      </c>
      <c r="Q1178" s="11">
        <v>2</v>
      </c>
      <c r="R1178" s="11"/>
      <c r="S1178" s="11"/>
      <c r="T1178" s="11"/>
      <c r="U1178" s="11">
        <f t="shared" si="381"/>
        <v>2</v>
      </c>
      <c r="W1178">
        <v>2.2000000000000002</v>
      </c>
      <c r="X1178" s="1" t="s">
        <v>740</v>
      </c>
    </row>
    <row r="1179" spans="1:24" x14ac:dyDescent="0.25">
      <c r="A1179" s="1" t="str">
        <f t="shared" si="377"/>
        <v>卡卡杜-凤凰仓</v>
      </c>
      <c r="B1179" s="1" t="str">
        <f>"CK20241029186"</f>
        <v>CK20241029186</v>
      </c>
      <c r="C1179" s="1" t="str">
        <f>"DD202410299778"</f>
        <v>DD202410299778</v>
      </c>
      <c r="D1179" s="1" t="str">
        <f>"CK2024102915450"</f>
        <v>CK2024102915450</v>
      </c>
      <c r="E1179" s="1" t="str">
        <f>"3723630132812715008"</f>
        <v>3723630132812715008</v>
      </c>
      <c r="F1179" s="1" t="str">
        <f t="shared" si="378"/>
        <v>花都四部-凤凰仓</v>
      </c>
      <c r="G1179" s="1" t="str">
        <f t="shared" si="390"/>
        <v>卡卡杜企业店（视频号）</v>
      </c>
      <c r="H1179" s="1" t="str">
        <f t="shared" si="379"/>
        <v>正常订单</v>
      </c>
      <c r="I1179" s="1" t="str">
        <f t="shared" si="380"/>
        <v>已发货</v>
      </c>
      <c r="J1179" s="1" t="str">
        <f t="shared" si="391"/>
        <v>3</v>
      </c>
      <c r="K1179" s="1">
        <v>2</v>
      </c>
      <c r="L1179" s="1" t="s">
        <v>41</v>
      </c>
      <c r="M1179" s="1" t="str">
        <f>"湖北省 武汉市 江岸区 "</f>
        <v xml:space="preserve">湖北省 武汉市 江岸区 </v>
      </c>
      <c r="N1179" s="1" t="str">
        <f t="shared" si="392"/>
        <v>凡华云仓-城南圆通-微信视频号</v>
      </c>
      <c r="O1179" s="5" t="s">
        <v>1217</v>
      </c>
      <c r="P1179" s="6">
        <v>0.24</v>
      </c>
      <c r="Q1179" s="11">
        <v>2</v>
      </c>
      <c r="R1179" s="11"/>
      <c r="S1179" s="11"/>
      <c r="T1179" s="11"/>
      <c r="U1179" s="11">
        <f t="shared" si="381"/>
        <v>2</v>
      </c>
      <c r="W1179">
        <v>2.2000000000000002</v>
      </c>
      <c r="X1179" s="1" t="s">
        <v>41</v>
      </c>
    </row>
    <row r="1180" spans="1:24" x14ac:dyDescent="0.25">
      <c r="A1180" s="1" t="str">
        <f t="shared" si="377"/>
        <v>卡卡杜-凤凰仓</v>
      </c>
      <c r="B1180" s="1" t="str">
        <f>"CK20241029123"</f>
        <v>CK20241029123</v>
      </c>
      <c r="C1180" s="1" t="str">
        <f>"DD202410299504"</f>
        <v>DD202410299504</v>
      </c>
      <c r="D1180" s="1" t="str">
        <f>"CK2024102915449"</f>
        <v>CK2024102915449</v>
      </c>
      <c r="E1180" s="1" t="str">
        <f>"3723630130530485760"</f>
        <v>3723630130530485760</v>
      </c>
      <c r="F1180" s="1" t="str">
        <f t="shared" si="378"/>
        <v>花都四部-凤凰仓</v>
      </c>
      <c r="G1180" s="1" t="str">
        <f t="shared" si="390"/>
        <v>卡卡杜企业店（视频号）</v>
      </c>
      <c r="H1180" s="1" t="str">
        <f t="shared" si="379"/>
        <v>正常订单</v>
      </c>
      <c r="I1180" s="1" t="str">
        <f t="shared" si="380"/>
        <v>已发货</v>
      </c>
      <c r="J1180" s="1" t="str">
        <f t="shared" si="393"/>
        <v>2</v>
      </c>
      <c r="K1180" s="1">
        <v>2</v>
      </c>
      <c r="L1180" s="1" t="s">
        <v>32</v>
      </c>
      <c r="M1180" s="1" t="str">
        <f>"陕西省 西安市 雁塔区 "</f>
        <v xml:space="preserve">陕西省 西安市 雁塔区 </v>
      </c>
      <c r="N1180" s="1" t="str">
        <f t="shared" si="392"/>
        <v>凡华云仓-城南圆通-微信视频号</v>
      </c>
      <c r="O1180" s="5" t="s">
        <v>1218</v>
      </c>
      <c r="P1180" s="6">
        <v>0.17</v>
      </c>
      <c r="Q1180" s="11">
        <v>2</v>
      </c>
      <c r="R1180" s="11"/>
      <c r="S1180" s="11"/>
      <c r="T1180" s="11"/>
      <c r="U1180" s="11">
        <f t="shared" si="381"/>
        <v>2</v>
      </c>
      <c r="W1180">
        <v>2.2000000000000002</v>
      </c>
      <c r="X1180" s="1" t="s">
        <v>32</v>
      </c>
    </row>
    <row r="1181" spans="1:24" x14ac:dyDescent="0.25">
      <c r="A1181" s="1" t="str">
        <f t="shared" si="377"/>
        <v>卡卡杜-凤凰仓</v>
      </c>
      <c r="B1181" s="1" t="str">
        <f>"CK20241029187"</f>
        <v>CK20241029187</v>
      </c>
      <c r="C1181" s="1" t="str">
        <f>"DD202410299779"</f>
        <v>DD202410299779</v>
      </c>
      <c r="D1181" s="1" t="str">
        <f>"CK2024102915448"</f>
        <v>CK2024102915448</v>
      </c>
      <c r="E1181" s="1" t="str">
        <f>"3723630124405491200"</f>
        <v>3723630124405491200</v>
      </c>
      <c r="F1181" s="1" t="str">
        <f t="shared" si="378"/>
        <v>花都四部-凤凰仓</v>
      </c>
      <c r="G1181" s="1" t="str">
        <f t="shared" si="390"/>
        <v>卡卡杜企业店（视频号）</v>
      </c>
      <c r="H1181" s="1" t="str">
        <f t="shared" si="379"/>
        <v>正常订单</v>
      </c>
      <c r="I1181" s="1" t="str">
        <f t="shared" si="380"/>
        <v>已发货</v>
      </c>
      <c r="J1181" s="1" t="str">
        <f t="shared" ref="J1181:J1186" si="394">"3"</f>
        <v>3</v>
      </c>
      <c r="K1181" s="1">
        <v>2</v>
      </c>
      <c r="L1181" s="1" t="s">
        <v>105</v>
      </c>
      <c r="M1181" s="1" t="str">
        <f>"北京 北京市 西城区 "</f>
        <v xml:space="preserve">北京 北京市 西城区 </v>
      </c>
      <c r="N1181" s="1" t="str">
        <f t="shared" si="392"/>
        <v>凡华云仓-城南圆通-微信视频号</v>
      </c>
      <c r="O1181" s="5" t="s">
        <v>1219</v>
      </c>
      <c r="P1181" s="6">
        <v>0.24</v>
      </c>
      <c r="Q1181" s="11">
        <v>2</v>
      </c>
      <c r="R1181" s="11"/>
      <c r="S1181" s="11"/>
      <c r="T1181" s="11"/>
      <c r="U1181" s="11">
        <f t="shared" si="381"/>
        <v>2</v>
      </c>
      <c r="W1181">
        <v>2.2000000000000002</v>
      </c>
      <c r="X1181" s="1" t="s">
        <v>105</v>
      </c>
    </row>
    <row r="1182" spans="1:24" x14ac:dyDescent="0.25">
      <c r="A1182" s="1" t="str">
        <f t="shared" si="377"/>
        <v>卡卡杜-凤凰仓</v>
      </c>
      <c r="B1182" s="1" t="str">
        <f>"CK20241029188"</f>
        <v>CK20241029188</v>
      </c>
      <c r="C1182" s="1" t="str">
        <f>"DD202410299781"</f>
        <v>DD202410299781</v>
      </c>
      <c r="D1182" s="1" t="str">
        <f>"CK2024102915447"</f>
        <v>CK2024102915447</v>
      </c>
      <c r="E1182" s="1" t="str">
        <f>"3723630125536118016"</f>
        <v>3723630125536118016</v>
      </c>
      <c r="F1182" s="1" t="str">
        <f t="shared" si="378"/>
        <v>花都四部-凤凰仓</v>
      </c>
      <c r="G1182" s="1" t="str">
        <f t="shared" si="390"/>
        <v>卡卡杜企业店（视频号）</v>
      </c>
      <c r="H1182" s="1" t="str">
        <f t="shared" si="379"/>
        <v>正常订单</v>
      </c>
      <c r="I1182" s="1" t="str">
        <f t="shared" si="380"/>
        <v>已发货</v>
      </c>
      <c r="J1182" s="1" t="str">
        <f t="shared" si="394"/>
        <v>3</v>
      </c>
      <c r="K1182" s="1">
        <v>2</v>
      </c>
      <c r="L1182" s="1" t="s">
        <v>105</v>
      </c>
      <c r="M1182" s="1" t="str">
        <f>"北京 北京市 海淀区 "</f>
        <v xml:space="preserve">北京 北京市 海淀区 </v>
      </c>
      <c r="N1182" s="1" t="str">
        <f t="shared" si="392"/>
        <v>凡华云仓-城南圆通-微信视频号</v>
      </c>
      <c r="O1182" s="5" t="s">
        <v>1220</v>
      </c>
      <c r="P1182" s="6">
        <v>0.24</v>
      </c>
      <c r="Q1182" s="11">
        <v>2</v>
      </c>
      <c r="R1182" s="11"/>
      <c r="S1182" s="11"/>
      <c r="T1182" s="11"/>
      <c r="U1182" s="11">
        <f t="shared" si="381"/>
        <v>2</v>
      </c>
      <c r="W1182">
        <v>2.2000000000000002</v>
      </c>
      <c r="X1182" s="1" t="s">
        <v>105</v>
      </c>
    </row>
    <row r="1183" spans="1:24" x14ac:dyDescent="0.25">
      <c r="A1183" s="1" t="str">
        <f t="shared" si="377"/>
        <v>卡卡杜-凤凰仓</v>
      </c>
      <c r="B1183" s="1" t="str">
        <f>"CK20241029126"</f>
        <v>CK20241029126</v>
      </c>
      <c r="C1183" s="1" t="str">
        <f>"DD202410299508"</f>
        <v>DD202410299508</v>
      </c>
      <c r="D1183" s="1" t="str">
        <f>"CK2024102915446"</f>
        <v>CK2024102915446</v>
      </c>
      <c r="E1183" s="1" t="str">
        <f>"3723630118775428096"</f>
        <v>3723630118775428096</v>
      </c>
      <c r="F1183" s="1" t="str">
        <f t="shared" si="378"/>
        <v>花都四部-凤凰仓</v>
      </c>
      <c r="G1183" s="1" t="str">
        <f t="shared" si="390"/>
        <v>卡卡杜企业店（视频号）</v>
      </c>
      <c r="H1183" s="1" t="str">
        <f t="shared" si="379"/>
        <v>正常订单</v>
      </c>
      <c r="I1183" s="1" t="str">
        <f t="shared" si="380"/>
        <v>已发货</v>
      </c>
      <c r="J1183" s="1" t="str">
        <f t="shared" ref="J1183:J1188" si="395">"2"</f>
        <v>2</v>
      </c>
      <c r="K1183" s="1">
        <v>2</v>
      </c>
      <c r="L1183" s="1" t="s">
        <v>96</v>
      </c>
      <c r="M1183" s="1" t="str">
        <f>"广西壮族自治区 梧州市 龙圩区 "</f>
        <v xml:space="preserve">广西壮族自治区 梧州市 龙圩区 </v>
      </c>
      <c r="N1183" s="1" t="str">
        <f t="shared" si="392"/>
        <v>凡华云仓-城南圆通-微信视频号</v>
      </c>
      <c r="O1183" s="5" t="s">
        <v>1221</v>
      </c>
      <c r="P1183" s="6">
        <v>0.17</v>
      </c>
      <c r="Q1183" s="11">
        <v>2</v>
      </c>
      <c r="R1183" s="11"/>
      <c r="S1183" s="11"/>
      <c r="T1183" s="11"/>
      <c r="U1183" s="11">
        <f t="shared" si="381"/>
        <v>2</v>
      </c>
      <c r="W1183">
        <v>2.2000000000000002</v>
      </c>
      <c r="X1183" s="1" t="s">
        <v>96</v>
      </c>
    </row>
    <row r="1184" spans="1:24" x14ac:dyDescent="0.25">
      <c r="A1184" s="1" t="str">
        <f t="shared" si="377"/>
        <v>卡卡杜-凤凰仓</v>
      </c>
      <c r="B1184" s="1" t="str">
        <f>"CK20241029127"</f>
        <v>CK20241029127</v>
      </c>
      <c r="C1184" s="1" t="str">
        <f>"DD202410299510"</f>
        <v>DD202410299510</v>
      </c>
      <c r="D1184" s="1" t="str">
        <f>"CK2024102915445"</f>
        <v>CK2024102915445</v>
      </c>
      <c r="E1184" s="1" t="str">
        <f>"3723630115907308544"</f>
        <v>3723630115907308544</v>
      </c>
      <c r="F1184" s="1" t="str">
        <f t="shared" si="378"/>
        <v>花都四部-凤凰仓</v>
      </c>
      <c r="G1184" s="1" t="str">
        <f t="shared" si="390"/>
        <v>卡卡杜企业店（视频号）</v>
      </c>
      <c r="H1184" s="1" t="str">
        <f t="shared" si="379"/>
        <v>正常订单</v>
      </c>
      <c r="I1184" s="1" t="str">
        <f t="shared" si="380"/>
        <v>已发货</v>
      </c>
      <c r="J1184" s="1" t="str">
        <f t="shared" si="395"/>
        <v>2</v>
      </c>
      <c r="K1184" s="1">
        <v>2</v>
      </c>
      <c r="L1184" s="1" t="s">
        <v>27</v>
      </c>
      <c r="M1184" s="1" t="str">
        <f>"贵州省 贵阳市 南明区 "</f>
        <v xml:space="preserve">贵州省 贵阳市 南明区 </v>
      </c>
      <c r="N1184" s="1" t="str">
        <f t="shared" si="392"/>
        <v>凡华云仓-城南圆通-微信视频号</v>
      </c>
      <c r="O1184" s="5" t="s">
        <v>1222</v>
      </c>
      <c r="P1184" s="6">
        <v>0.17</v>
      </c>
      <c r="Q1184" s="11">
        <v>2</v>
      </c>
      <c r="R1184" s="11"/>
      <c r="S1184" s="11"/>
      <c r="T1184" s="11"/>
      <c r="U1184" s="11">
        <f t="shared" si="381"/>
        <v>2</v>
      </c>
      <c r="W1184">
        <v>2.2000000000000002</v>
      </c>
      <c r="X1184" s="1" t="s">
        <v>27</v>
      </c>
    </row>
    <row r="1185" spans="1:24" x14ac:dyDescent="0.25">
      <c r="A1185" s="1" t="str">
        <f t="shared" si="377"/>
        <v>卡卡杜-凤凰仓</v>
      </c>
      <c r="B1185" s="1" t="str">
        <f>"CK20241029189"</f>
        <v>CK20241029189</v>
      </c>
      <c r="C1185" s="1" t="str">
        <f>"DD202410299783"</f>
        <v>DD202410299783</v>
      </c>
      <c r="D1185" s="1" t="str">
        <f>"CK2024102915444"</f>
        <v>CK2024102915444</v>
      </c>
      <c r="E1185" s="1" t="str">
        <f>"3723630101066548736"</f>
        <v>3723630101066548736</v>
      </c>
      <c r="F1185" s="1" t="str">
        <f t="shared" si="378"/>
        <v>花都四部-凤凰仓</v>
      </c>
      <c r="G1185" s="1" t="str">
        <f t="shared" si="390"/>
        <v>卡卡杜企业店（视频号）</v>
      </c>
      <c r="H1185" s="1" t="str">
        <f t="shared" si="379"/>
        <v>正常订单</v>
      </c>
      <c r="I1185" s="1" t="str">
        <f t="shared" si="380"/>
        <v>已发货</v>
      </c>
      <c r="J1185" s="1" t="str">
        <f t="shared" si="394"/>
        <v>3</v>
      </c>
      <c r="K1185" s="1">
        <v>2</v>
      </c>
      <c r="L1185" s="1" t="s">
        <v>105</v>
      </c>
      <c r="M1185" s="1" t="str">
        <f>"北京 北京市 昌平区 "</f>
        <v xml:space="preserve">北京 北京市 昌平区 </v>
      </c>
      <c r="N1185" s="1" t="str">
        <f t="shared" si="392"/>
        <v>凡华云仓-城南圆通-微信视频号</v>
      </c>
      <c r="O1185" s="5" t="s">
        <v>1223</v>
      </c>
      <c r="P1185" s="6">
        <v>0.24</v>
      </c>
      <c r="Q1185" s="11">
        <v>2</v>
      </c>
      <c r="R1185" s="11"/>
      <c r="S1185" s="11"/>
      <c r="T1185" s="11"/>
      <c r="U1185" s="11">
        <f t="shared" si="381"/>
        <v>2</v>
      </c>
      <c r="W1185">
        <v>2.2000000000000002</v>
      </c>
      <c r="X1185" s="1" t="s">
        <v>105</v>
      </c>
    </row>
    <row r="1186" spans="1:24" x14ac:dyDescent="0.25">
      <c r="A1186" s="1" t="str">
        <f t="shared" si="377"/>
        <v>卡卡杜-凤凰仓</v>
      </c>
      <c r="B1186" s="1" t="str">
        <f>"CK20241029190"</f>
        <v>CK20241029190</v>
      </c>
      <c r="C1186" s="1" t="str">
        <f>"DD202410299782"</f>
        <v>DD202410299782</v>
      </c>
      <c r="D1186" s="1" t="str">
        <f>"CK2024102915443"</f>
        <v>CK2024102915443</v>
      </c>
      <c r="E1186" s="1" t="str">
        <f>"3723630109351351296"</f>
        <v>3723630109351351296</v>
      </c>
      <c r="F1186" s="1" t="str">
        <f t="shared" si="378"/>
        <v>花都四部-凤凰仓</v>
      </c>
      <c r="G1186" s="1" t="str">
        <f t="shared" si="390"/>
        <v>卡卡杜企业店（视频号）</v>
      </c>
      <c r="H1186" s="1" t="str">
        <f t="shared" si="379"/>
        <v>正常订单</v>
      </c>
      <c r="I1186" s="1" t="str">
        <f t="shared" si="380"/>
        <v>已发货</v>
      </c>
      <c r="J1186" s="1" t="str">
        <f t="shared" si="394"/>
        <v>3</v>
      </c>
      <c r="K1186" s="1">
        <v>2</v>
      </c>
      <c r="L1186" s="1" t="s">
        <v>109</v>
      </c>
      <c r="M1186" s="1" t="str">
        <f>"山西省 太原市 晋源区 "</f>
        <v xml:space="preserve">山西省 太原市 晋源区 </v>
      </c>
      <c r="N1186" s="1" t="str">
        <f t="shared" si="392"/>
        <v>凡华云仓-城南圆通-微信视频号</v>
      </c>
      <c r="O1186" s="5" t="s">
        <v>1224</v>
      </c>
      <c r="P1186" s="6">
        <v>0.24</v>
      </c>
      <c r="Q1186" s="11">
        <v>2</v>
      </c>
      <c r="R1186" s="11"/>
      <c r="S1186" s="11"/>
      <c r="T1186" s="11"/>
      <c r="U1186" s="11">
        <f t="shared" si="381"/>
        <v>2</v>
      </c>
      <c r="W1186">
        <v>2.2000000000000002</v>
      </c>
      <c r="X1186" s="1" t="s">
        <v>109</v>
      </c>
    </row>
    <row r="1187" spans="1:24" x14ac:dyDescent="0.25">
      <c r="A1187" s="1" t="str">
        <f t="shared" si="377"/>
        <v>卡卡杜-凤凰仓</v>
      </c>
      <c r="B1187" s="1" t="str">
        <f>"CK20241029129"</f>
        <v>CK20241029129</v>
      </c>
      <c r="C1187" s="1" t="str">
        <f>"DD202410299511"</f>
        <v>DD202410299511</v>
      </c>
      <c r="D1187" s="1" t="str">
        <f>"CK2024102915442"</f>
        <v>CK2024102915442</v>
      </c>
      <c r="E1187" s="1" t="str">
        <f>"3723630105737432064"</f>
        <v>3723630105737432064</v>
      </c>
      <c r="F1187" s="1" t="str">
        <f t="shared" si="378"/>
        <v>花都四部-凤凰仓</v>
      </c>
      <c r="G1187" s="1" t="str">
        <f t="shared" si="390"/>
        <v>卡卡杜企业店（视频号）</v>
      </c>
      <c r="H1187" s="1" t="str">
        <f t="shared" si="379"/>
        <v>正常订单</v>
      </c>
      <c r="I1187" s="1" t="str">
        <f t="shared" si="380"/>
        <v>已发货</v>
      </c>
      <c r="J1187" s="1" t="str">
        <f t="shared" si="395"/>
        <v>2</v>
      </c>
      <c r="K1187" s="1">
        <v>2</v>
      </c>
      <c r="L1187" s="1" t="s">
        <v>18</v>
      </c>
      <c r="M1187" s="1" t="str">
        <f>"广东省 深圳市 龙岗区 "</f>
        <v xml:space="preserve">广东省 深圳市 龙岗区 </v>
      </c>
      <c r="N1187" s="1" t="str">
        <f t="shared" si="392"/>
        <v>凡华云仓-城南圆通-微信视频号</v>
      </c>
      <c r="O1187" s="5" t="s">
        <v>1225</v>
      </c>
      <c r="P1187" s="6">
        <v>0.17</v>
      </c>
      <c r="Q1187" s="11">
        <v>2</v>
      </c>
      <c r="R1187" s="11"/>
      <c r="S1187" s="11"/>
      <c r="T1187" s="11"/>
      <c r="U1187" s="11">
        <f t="shared" si="381"/>
        <v>2</v>
      </c>
      <c r="W1187">
        <v>2.2000000000000002</v>
      </c>
      <c r="X1187" s="1" t="s">
        <v>18</v>
      </c>
    </row>
    <row r="1188" spans="1:24" x14ac:dyDescent="0.25">
      <c r="A1188" s="1" t="str">
        <f t="shared" si="377"/>
        <v>卡卡杜-凤凰仓</v>
      </c>
      <c r="B1188" s="1" t="str">
        <f>"CK20241029130"</f>
        <v>CK20241029130</v>
      </c>
      <c r="C1188" s="1" t="str">
        <f>"DD202410299512"</f>
        <v>DD202410299512</v>
      </c>
      <c r="D1188" s="1" t="str">
        <f>"CK2024102915441"</f>
        <v>CK2024102915441</v>
      </c>
      <c r="E1188" s="1" t="str">
        <f>"3723630104375070720"</f>
        <v>3723630104375070720</v>
      </c>
      <c r="F1188" s="1" t="str">
        <f t="shared" si="378"/>
        <v>花都四部-凤凰仓</v>
      </c>
      <c r="G1188" s="1" t="str">
        <f t="shared" si="390"/>
        <v>卡卡杜企业店（视频号）</v>
      </c>
      <c r="H1188" s="1" t="str">
        <f t="shared" si="379"/>
        <v>正常订单</v>
      </c>
      <c r="I1188" s="1" t="str">
        <f t="shared" si="380"/>
        <v>已发货</v>
      </c>
      <c r="J1188" s="1" t="str">
        <f t="shared" si="395"/>
        <v>2</v>
      </c>
      <c r="K1188" s="1">
        <v>2</v>
      </c>
      <c r="L1188" s="1" t="s">
        <v>18</v>
      </c>
      <c r="M1188" s="1" t="str">
        <f>"广东省 广州市 天河区 "</f>
        <v xml:space="preserve">广东省 广州市 天河区 </v>
      </c>
      <c r="N1188" s="1" t="str">
        <f t="shared" si="392"/>
        <v>凡华云仓-城南圆通-微信视频号</v>
      </c>
      <c r="O1188" s="5" t="s">
        <v>1226</v>
      </c>
      <c r="P1188" s="6">
        <v>0.17</v>
      </c>
      <c r="Q1188" s="11">
        <v>2</v>
      </c>
      <c r="R1188" s="11"/>
      <c r="S1188" s="11"/>
      <c r="T1188" s="11"/>
      <c r="U1188" s="11">
        <f t="shared" si="381"/>
        <v>2</v>
      </c>
      <c r="W1188">
        <v>2.2000000000000002</v>
      </c>
      <c r="X1188" s="1" t="s">
        <v>18</v>
      </c>
    </row>
    <row r="1189" spans="1:24" x14ac:dyDescent="0.25">
      <c r="A1189" s="1" t="str">
        <f t="shared" si="377"/>
        <v>卡卡杜-凤凰仓</v>
      </c>
      <c r="B1189" s="1" t="str">
        <f>"CK20241029191"</f>
        <v>CK20241029191</v>
      </c>
      <c r="C1189" s="1" t="str">
        <f>"DD202410299785"</f>
        <v>DD202410299785</v>
      </c>
      <c r="D1189" s="1" t="str">
        <f>"CK2024102915440"</f>
        <v>CK2024102915440</v>
      </c>
      <c r="E1189" s="1" t="str">
        <f>"3723630101482049536"</f>
        <v>3723630101482049536</v>
      </c>
      <c r="F1189" s="1" t="str">
        <f t="shared" si="378"/>
        <v>花都四部-凤凰仓</v>
      </c>
      <c r="G1189" s="1" t="str">
        <f t="shared" si="390"/>
        <v>卡卡杜企业店（视频号）</v>
      </c>
      <c r="H1189" s="1" t="str">
        <f t="shared" si="379"/>
        <v>正常订单</v>
      </c>
      <c r="I1189" s="1" t="str">
        <f t="shared" si="380"/>
        <v>已发货</v>
      </c>
      <c r="J1189" s="1" t="str">
        <f t="shared" ref="J1189:J1192" si="396">"3"</f>
        <v>3</v>
      </c>
      <c r="K1189" s="1">
        <v>2</v>
      </c>
      <c r="L1189" s="1" t="s">
        <v>24</v>
      </c>
      <c r="M1189" s="1" t="str">
        <f>"福建省 漳州市 东山县 "</f>
        <v xml:space="preserve">福建省 漳州市 东山县 </v>
      </c>
      <c r="N1189" s="1" t="str">
        <f t="shared" si="392"/>
        <v>凡华云仓-城南圆通-微信视频号</v>
      </c>
      <c r="O1189" s="5" t="s">
        <v>1227</v>
      </c>
      <c r="P1189" s="6">
        <v>0.24</v>
      </c>
      <c r="Q1189" s="11">
        <v>2</v>
      </c>
      <c r="R1189" s="11"/>
      <c r="S1189" s="11"/>
      <c r="T1189" s="11"/>
      <c r="U1189" s="11">
        <f t="shared" si="381"/>
        <v>2</v>
      </c>
      <c r="W1189">
        <v>2.2000000000000002</v>
      </c>
      <c r="X1189" s="1" t="s">
        <v>24</v>
      </c>
    </row>
    <row r="1190" spans="1:24" x14ac:dyDescent="0.25">
      <c r="A1190" s="1" t="str">
        <f t="shared" si="377"/>
        <v>卡卡杜-凤凰仓</v>
      </c>
      <c r="B1190" s="1" t="str">
        <f>"CK20241029193"</f>
        <v>CK20241029193</v>
      </c>
      <c r="C1190" s="1" t="str">
        <f>"DD202410299784"</f>
        <v>DD202410299784</v>
      </c>
      <c r="D1190" s="1" t="str">
        <f>"CK2024102915439"</f>
        <v>CK2024102915439</v>
      </c>
      <c r="E1190" s="1" t="str">
        <f>"3723630095386153984"</f>
        <v>3723630095386153984</v>
      </c>
      <c r="F1190" s="1" t="str">
        <f t="shared" si="378"/>
        <v>花都四部-凤凰仓</v>
      </c>
      <c r="G1190" s="1" t="str">
        <f t="shared" si="390"/>
        <v>卡卡杜企业店（视频号）</v>
      </c>
      <c r="H1190" s="1" t="str">
        <f t="shared" si="379"/>
        <v>正常订单</v>
      </c>
      <c r="I1190" s="1" t="str">
        <f t="shared" si="380"/>
        <v>已发货</v>
      </c>
      <c r="J1190" s="1" t="str">
        <f t="shared" si="396"/>
        <v>3</v>
      </c>
      <c r="K1190" s="1">
        <v>2</v>
      </c>
      <c r="L1190" s="1" t="s">
        <v>105</v>
      </c>
      <c r="M1190" s="1" t="str">
        <f>"北京 北京市 顺义区 "</f>
        <v xml:space="preserve">北京 北京市 顺义区 </v>
      </c>
      <c r="N1190" s="1" t="str">
        <f t="shared" si="392"/>
        <v>凡华云仓-城南圆通-微信视频号</v>
      </c>
      <c r="O1190" s="5" t="s">
        <v>1228</v>
      </c>
      <c r="P1190" s="6">
        <v>0.24</v>
      </c>
      <c r="Q1190" s="11">
        <v>2</v>
      </c>
      <c r="R1190" s="11"/>
      <c r="S1190" s="11"/>
      <c r="T1190" s="11"/>
      <c r="U1190" s="11">
        <f t="shared" si="381"/>
        <v>2</v>
      </c>
      <c r="W1190">
        <v>2.2000000000000002</v>
      </c>
      <c r="X1190" s="1" t="s">
        <v>105</v>
      </c>
    </row>
    <row r="1191" spans="1:24" x14ac:dyDescent="0.25">
      <c r="A1191" s="1" t="str">
        <f t="shared" si="377"/>
        <v>卡卡杜-凤凰仓</v>
      </c>
      <c r="B1191" s="1" t="str">
        <f>"CK20241029192"</f>
        <v>CK20241029192</v>
      </c>
      <c r="C1191" s="1" t="str">
        <f>"DD202410299786"</f>
        <v>DD202410299786</v>
      </c>
      <c r="D1191" s="1" t="str">
        <f>"CK2024102915438"</f>
        <v>CK2024102915438</v>
      </c>
      <c r="E1191" s="1" t="str">
        <f>"3723630096862283009"</f>
        <v>3723630096862283009</v>
      </c>
      <c r="F1191" s="1" t="str">
        <f t="shared" si="378"/>
        <v>花都四部-凤凰仓</v>
      </c>
      <c r="G1191" s="1" t="str">
        <f t="shared" si="390"/>
        <v>卡卡杜企业店（视频号）</v>
      </c>
      <c r="H1191" s="1" t="str">
        <f t="shared" si="379"/>
        <v>正常订单</v>
      </c>
      <c r="I1191" s="1" t="str">
        <f t="shared" si="380"/>
        <v>已发货</v>
      </c>
      <c r="J1191" s="1" t="str">
        <f t="shared" si="396"/>
        <v>3</v>
      </c>
      <c r="K1191" s="1">
        <v>2</v>
      </c>
      <c r="L1191" s="1" t="s">
        <v>32</v>
      </c>
      <c r="M1191" s="1" t="str">
        <f>"陕西省 西安市 未央区 "</f>
        <v xml:space="preserve">陕西省 西安市 未央区 </v>
      </c>
      <c r="N1191" s="1" t="str">
        <f t="shared" si="392"/>
        <v>凡华云仓-城南圆通-微信视频号</v>
      </c>
      <c r="O1191" s="5" t="s">
        <v>1229</v>
      </c>
      <c r="P1191" s="6">
        <v>0.24</v>
      </c>
      <c r="Q1191" s="11">
        <v>2</v>
      </c>
      <c r="R1191" s="11"/>
      <c r="S1191" s="11"/>
      <c r="T1191" s="11"/>
      <c r="U1191" s="11">
        <f t="shared" si="381"/>
        <v>2</v>
      </c>
      <c r="W1191">
        <v>2.2000000000000002</v>
      </c>
      <c r="X1191" s="1" t="s">
        <v>32</v>
      </c>
    </row>
    <row r="1192" spans="1:24" x14ac:dyDescent="0.25">
      <c r="A1192" s="1" t="str">
        <f t="shared" si="377"/>
        <v>卡卡杜-凤凰仓</v>
      </c>
      <c r="B1192" s="1" t="str">
        <f>"CK20241029194"</f>
        <v>CK20241029194</v>
      </c>
      <c r="C1192" s="1" t="str">
        <f>"DD202410299787"</f>
        <v>DD202410299787</v>
      </c>
      <c r="D1192" s="1" t="str">
        <f>"CK2024102915437"</f>
        <v>CK2024102915437</v>
      </c>
      <c r="E1192" s="1" t="str">
        <f>"3723630086784685056"</f>
        <v>3723630086784685056</v>
      </c>
      <c r="F1192" s="1" t="str">
        <f t="shared" si="378"/>
        <v>花都四部-凤凰仓</v>
      </c>
      <c r="G1192" s="1" t="str">
        <f t="shared" si="390"/>
        <v>卡卡杜企业店（视频号）</v>
      </c>
      <c r="H1192" s="1" t="str">
        <f t="shared" si="379"/>
        <v>正常订单</v>
      </c>
      <c r="I1192" s="1" t="str">
        <f t="shared" si="380"/>
        <v>已发货</v>
      </c>
      <c r="J1192" s="1" t="str">
        <f t="shared" si="396"/>
        <v>3</v>
      </c>
      <c r="K1192" s="1">
        <v>2</v>
      </c>
      <c r="L1192" s="1" t="s">
        <v>161</v>
      </c>
      <c r="M1192" s="1" t="str">
        <f>"四川省 成都市 青羊区 "</f>
        <v xml:space="preserve">四川省 成都市 青羊区 </v>
      </c>
      <c r="N1192" s="1" t="str">
        <f t="shared" si="392"/>
        <v>凡华云仓-城南圆通-微信视频号</v>
      </c>
      <c r="O1192" s="5" t="s">
        <v>1230</v>
      </c>
      <c r="P1192" s="6">
        <v>0.24</v>
      </c>
      <c r="Q1192" s="11">
        <v>2</v>
      </c>
      <c r="R1192" s="11"/>
      <c r="S1192" s="11"/>
      <c r="T1192" s="11"/>
      <c r="U1192" s="11">
        <f t="shared" si="381"/>
        <v>2</v>
      </c>
      <c r="W1192">
        <v>2.2000000000000002</v>
      </c>
      <c r="X1192" s="1" t="s">
        <v>161</v>
      </c>
    </row>
    <row r="1193" spans="1:24" x14ac:dyDescent="0.25">
      <c r="A1193" s="1" t="str">
        <f t="shared" si="377"/>
        <v>卡卡杜-凤凰仓</v>
      </c>
      <c r="B1193" s="1" t="str">
        <f>"CK20241029124"</f>
        <v>CK20241029124</v>
      </c>
      <c r="C1193" s="1" t="str">
        <f>"DD202410299506"</f>
        <v>DD202410299506</v>
      </c>
      <c r="D1193" s="1" t="str">
        <f>"CK2024102915436"</f>
        <v>CK2024102915436</v>
      </c>
      <c r="E1193" s="1" t="str">
        <f>"3723630091748904960"</f>
        <v>3723630091748904960</v>
      </c>
      <c r="F1193" s="1" t="str">
        <f t="shared" si="378"/>
        <v>花都四部-凤凰仓</v>
      </c>
      <c r="G1193" s="1" t="str">
        <f t="shared" si="390"/>
        <v>卡卡杜企业店（视频号）</v>
      </c>
      <c r="H1193" s="1" t="str">
        <f t="shared" si="379"/>
        <v>正常订单</v>
      </c>
      <c r="I1193" s="1" t="str">
        <f t="shared" si="380"/>
        <v>已发货</v>
      </c>
      <c r="J1193" s="1" t="str">
        <f>"2"</f>
        <v>2</v>
      </c>
      <c r="K1193" s="1">
        <v>2</v>
      </c>
      <c r="L1193" s="1" t="s">
        <v>22</v>
      </c>
      <c r="M1193" s="1" t="str">
        <f>"江西省 上饶市 鄱阳县 "</f>
        <v xml:space="preserve">江西省 上饶市 鄱阳县 </v>
      </c>
      <c r="N1193" s="1" t="str">
        <f t="shared" si="392"/>
        <v>凡华云仓-城南圆通-微信视频号</v>
      </c>
      <c r="O1193" s="5" t="s">
        <v>1231</v>
      </c>
      <c r="P1193" s="6">
        <v>0.17</v>
      </c>
      <c r="Q1193" s="11">
        <v>2</v>
      </c>
      <c r="R1193" s="11"/>
      <c r="S1193" s="11"/>
      <c r="T1193" s="11"/>
      <c r="U1193" s="11">
        <f t="shared" si="381"/>
        <v>2</v>
      </c>
      <c r="W1193">
        <v>2.2000000000000002</v>
      </c>
      <c r="X1193" s="1" t="s">
        <v>22</v>
      </c>
    </row>
    <row r="1194" spans="1:24" x14ac:dyDescent="0.25">
      <c r="A1194" s="1" t="str">
        <f t="shared" si="377"/>
        <v>卡卡杜-凤凰仓</v>
      </c>
      <c r="B1194" s="1" t="str">
        <f>"CK20241029112"</f>
        <v>CK20241029112</v>
      </c>
      <c r="C1194" s="1" t="str">
        <f>"DD202410299494"</f>
        <v>DD202410299494</v>
      </c>
      <c r="D1194" s="1" t="str">
        <f>"CK2024102915435"</f>
        <v>CK2024102915435</v>
      </c>
      <c r="E1194" s="1" t="str">
        <f>"3723630082500986369"</f>
        <v>3723630082500986369</v>
      </c>
      <c r="F1194" s="1" t="str">
        <f t="shared" si="378"/>
        <v>花都四部-凤凰仓</v>
      </c>
      <c r="G1194" s="1" t="str">
        <f t="shared" si="390"/>
        <v>卡卡杜企业店（视频号）</v>
      </c>
      <c r="H1194" s="1" t="str">
        <f t="shared" si="379"/>
        <v>正常订单</v>
      </c>
      <c r="I1194" s="1" t="str">
        <f t="shared" si="380"/>
        <v>已发货</v>
      </c>
      <c r="J1194" s="1" t="str">
        <f>"2"</f>
        <v>2</v>
      </c>
      <c r="K1194" s="1">
        <v>2</v>
      </c>
      <c r="L1194" s="1" t="s">
        <v>96</v>
      </c>
      <c r="M1194" s="1" t="str">
        <f>"广西壮族自治区 柳州市 城中区 "</f>
        <v xml:space="preserve">广西壮族自治区 柳州市 城中区 </v>
      </c>
      <c r="N1194" s="1" t="str">
        <f t="shared" si="392"/>
        <v>凡华云仓-城南圆通-微信视频号</v>
      </c>
      <c r="O1194" s="5" t="s">
        <v>1232</v>
      </c>
      <c r="P1194" s="6">
        <v>0.17</v>
      </c>
      <c r="Q1194" s="11">
        <v>2</v>
      </c>
      <c r="R1194" s="11"/>
      <c r="S1194" s="11"/>
      <c r="T1194" s="11"/>
      <c r="U1194" s="11">
        <f t="shared" si="381"/>
        <v>2</v>
      </c>
      <c r="W1194">
        <v>2.2000000000000002</v>
      </c>
      <c r="X1194" s="1" t="s">
        <v>96</v>
      </c>
    </row>
    <row r="1195" spans="1:24" x14ac:dyDescent="0.25">
      <c r="A1195" s="1" t="str">
        <f t="shared" si="377"/>
        <v>卡卡杜-凤凰仓</v>
      </c>
      <c r="B1195" s="1" t="str">
        <f>"CK20241029200"</f>
        <v>CK20241029200</v>
      </c>
      <c r="C1195" s="1" t="str">
        <f>"DD202410299793"</f>
        <v>DD202410299793</v>
      </c>
      <c r="D1195" s="1" t="str">
        <f>"CK2024102915434"</f>
        <v>CK2024102915434</v>
      </c>
      <c r="E1195" s="1" t="str">
        <f>"3723629883804224512"</f>
        <v>3723629883804224512</v>
      </c>
      <c r="F1195" s="1" t="str">
        <f t="shared" si="378"/>
        <v>花都四部-凤凰仓</v>
      </c>
      <c r="G1195" s="1" t="str">
        <f t="shared" si="390"/>
        <v>卡卡杜企业店（视频号）</v>
      </c>
      <c r="H1195" s="1" t="str">
        <f t="shared" si="379"/>
        <v>正常订单</v>
      </c>
      <c r="I1195" s="1" t="str">
        <f t="shared" si="380"/>
        <v>已发货</v>
      </c>
      <c r="J1195" s="1" t="str">
        <f t="shared" ref="J1195:J1201" si="397">"3"</f>
        <v>3</v>
      </c>
      <c r="K1195" s="1">
        <v>3</v>
      </c>
      <c r="L1195" s="1" t="s">
        <v>18</v>
      </c>
      <c r="M1195" s="1" t="str">
        <f>"广东省 深圳市 福田区 "</f>
        <v xml:space="preserve">广东省 深圳市 福田区 </v>
      </c>
      <c r="N1195" s="1" t="str">
        <f t="shared" si="392"/>
        <v>凡华云仓-城南圆通-微信视频号</v>
      </c>
      <c r="O1195" s="5" t="s">
        <v>1233</v>
      </c>
      <c r="P1195" s="6">
        <v>0.34</v>
      </c>
      <c r="Q1195" s="11">
        <v>2.2999999999999998</v>
      </c>
      <c r="R1195" s="11"/>
      <c r="S1195" s="11"/>
      <c r="T1195" s="11"/>
      <c r="U1195" s="11">
        <f t="shared" si="381"/>
        <v>2.2999999999999998</v>
      </c>
      <c r="W1195">
        <v>2.5</v>
      </c>
      <c r="X1195" s="1" t="s">
        <v>18</v>
      </c>
    </row>
    <row r="1196" spans="1:24" x14ac:dyDescent="0.25">
      <c r="A1196" s="1" t="str">
        <f t="shared" si="377"/>
        <v>卡卡杜-凤凰仓</v>
      </c>
      <c r="B1196" s="1" t="str">
        <f>"CK20241029199"</f>
        <v>CK20241029199</v>
      </c>
      <c r="C1196" s="1" t="str">
        <f>"DD202410299792"</f>
        <v>DD202410299792</v>
      </c>
      <c r="D1196" s="1" t="str">
        <f>"CK2024102915433"</f>
        <v>CK2024102915433</v>
      </c>
      <c r="E1196" s="1" t="str">
        <f>"3723629882915816704"</f>
        <v>3723629882915816704</v>
      </c>
      <c r="F1196" s="1" t="str">
        <f t="shared" si="378"/>
        <v>花都四部-凤凰仓</v>
      </c>
      <c r="G1196" s="1" t="str">
        <f t="shared" si="390"/>
        <v>卡卡杜企业店（视频号）</v>
      </c>
      <c r="H1196" s="1" t="str">
        <f t="shared" si="379"/>
        <v>正常订单</v>
      </c>
      <c r="I1196" s="1" t="str">
        <f t="shared" si="380"/>
        <v>已发货</v>
      </c>
      <c r="J1196" s="1" t="str">
        <f t="shared" si="397"/>
        <v>3</v>
      </c>
      <c r="K1196" s="1">
        <v>3</v>
      </c>
      <c r="L1196" s="1" t="s">
        <v>94</v>
      </c>
      <c r="M1196" s="1" t="str">
        <f>"湖南省 株洲市 天元区 "</f>
        <v xml:space="preserve">湖南省 株洲市 天元区 </v>
      </c>
      <c r="N1196" s="1" t="str">
        <f t="shared" si="392"/>
        <v>凡华云仓-城南圆通-微信视频号</v>
      </c>
      <c r="O1196" s="5" t="s">
        <v>1234</v>
      </c>
      <c r="P1196" s="6">
        <v>0.34</v>
      </c>
      <c r="Q1196" s="11">
        <v>2.2999999999999998</v>
      </c>
      <c r="R1196" s="11"/>
      <c r="S1196" s="11"/>
      <c r="T1196" s="11"/>
      <c r="U1196" s="11">
        <f t="shared" si="381"/>
        <v>2.2999999999999998</v>
      </c>
      <c r="W1196">
        <v>2.5</v>
      </c>
      <c r="X1196" s="1" t="s">
        <v>94</v>
      </c>
    </row>
    <row r="1197" spans="1:24" x14ac:dyDescent="0.25">
      <c r="A1197" s="1" t="str">
        <f t="shared" si="377"/>
        <v>卡卡杜-凤凰仓</v>
      </c>
      <c r="B1197" s="1" t="str">
        <f>"CK20241029198"</f>
        <v>CK20241029198</v>
      </c>
      <c r="C1197" s="1" t="str">
        <f>"DD202410299791"</f>
        <v>DD202410299791</v>
      </c>
      <c r="D1197" s="1" t="str">
        <f>"CK2024102915432"</f>
        <v>CK2024102915432</v>
      </c>
      <c r="E1197" s="1" t="str">
        <f>"3723629872971908352"</f>
        <v>3723629872971908352</v>
      </c>
      <c r="F1197" s="1" t="str">
        <f t="shared" si="378"/>
        <v>花都四部-凤凰仓</v>
      </c>
      <c r="G1197" s="1" t="str">
        <f t="shared" si="390"/>
        <v>卡卡杜企业店（视频号）</v>
      </c>
      <c r="H1197" s="1" t="str">
        <f t="shared" si="379"/>
        <v>正常订单</v>
      </c>
      <c r="I1197" s="1" t="str">
        <f t="shared" si="380"/>
        <v>已发货</v>
      </c>
      <c r="J1197" s="1" t="str">
        <f t="shared" si="397"/>
        <v>3</v>
      </c>
      <c r="K1197" s="1">
        <v>3</v>
      </c>
      <c r="L1197" s="1" t="s">
        <v>66</v>
      </c>
      <c r="M1197" s="1" t="str">
        <f>"内蒙古自治区 锡林郭勒盟 锡林浩特市 "</f>
        <v xml:space="preserve">内蒙古自治区 锡林郭勒盟 锡林浩特市 </v>
      </c>
      <c r="N1197" s="1" t="str">
        <f t="shared" si="392"/>
        <v>凡华云仓-城南圆通-微信视频号</v>
      </c>
      <c r="O1197" s="5" t="s">
        <v>1235</v>
      </c>
      <c r="P1197" s="6">
        <v>0.34</v>
      </c>
      <c r="Q1197" s="11">
        <v>2.2999999999999998</v>
      </c>
      <c r="R1197" s="11"/>
      <c r="S1197" s="11"/>
      <c r="T1197" s="11"/>
      <c r="U1197" s="11">
        <f t="shared" si="381"/>
        <v>2.2999999999999998</v>
      </c>
      <c r="W1197">
        <v>2.5</v>
      </c>
      <c r="X1197" s="1" t="s">
        <v>66</v>
      </c>
    </row>
    <row r="1198" spans="1:24" x14ac:dyDescent="0.25">
      <c r="A1198" s="1" t="str">
        <f t="shared" si="377"/>
        <v>卡卡杜-凤凰仓</v>
      </c>
      <c r="B1198" s="1" t="str">
        <f>"CK20241029197"</f>
        <v>CK20241029197</v>
      </c>
      <c r="C1198" s="1" t="str">
        <f>"DD202410299790"</f>
        <v>DD202410299790</v>
      </c>
      <c r="D1198" s="1" t="str">
        <f>"CK2024102915431"</f>
        <v>CK2024102915431</v>
      </c>
      <c r="E1198" s="1" t="str">
        <f>"3723629871056684544"</f>
        <v>3723629871056684544</v>
      </c>
      <c r="F1198" s="1" t="str">
        <f t="shared" si="378"/>
        <v>花都四部-凤凰仓</v>
      </c>
      <c r="G1198" s="1" t="str">
        <f t="shared" si="390"/>
        <v>卡卡杜企业店（视频号）</v>
      </c>
      <c r="H1198" s="1" t="str">
        <f t="shared" si="379"/>
        <v>正常订单</v>
      </c>
      <c r="I1198" s="1" t="str">
        <f t="shared" si="380"/>
        <v>已发货</v>
      </c>
      <c r="J1198" s="1" t="str">
        <f t="shared" si="397"/>
        <v>3</v>
      </c>
      <c r="K1198" s="1">
        <v>3</v>
      </c>
      <c r="L1198" s="1" t="s">
        <v>41</v>
      </c>
      <c r="M1198" s="1" t="str">
        <f>"湖北省 武汉市 东西湖区 "</f>
        <v xml:space="preserve">湖北省 武汉市 东西湖区 </v>
      </c>
      <c r="N1198" s="1" t="str">
        <f t="shared" si="392"/>
        <v>凡华云仓-城南圆通-微信视频号</v>
      </c>
      <c r="O1198" s="5" t="s">
        <v>1236</v>
      </c>
      <c r="P1198" s="6">
        <v>0.34</v>
      </c>
      <c r="Q1198" s="11">
        <v>2.2999999999999998</v>
      </c>
      <c r="R1198" s="11"/>
      <c r="S1198" s="11"/>
      <c r="T1198" s="11"/>
      <c r="U1198" s="11">
        <f t="shared" si="381"/>
        <v>2.2999999999999998</v>
      </c>
      <c r="W1198">
        <v>2.5</v>
      </c>
      <c r="X1198" s="1" t="s">
        <v>41</v>
      </c>
    </row>
    <row r="1199" spans="1:24" x14ac:dyDescent="0.25">
      <c r="A1199" s="1" t="str">
        <f t="shared" si="377"/>
        <v>卡卡杜-凤凰仓</v>
      </c>
      <c r="B1199" s="1" t="str">
        <f>"CK20241029196"</f>
        <v>CK20241029196</v>
      </c>
      <c r="C1199" s="1" t="str">
        <f>"DD202410299789"</f>
        <v>DD202410299789</v>
      </c>
      <c r="D1199" s="1" t="str">
        <f>"CK2024102915430"</f>
        <v>CK2024102915430</v>
      </c>
      <c r="E1199" s="1" t="str">
        <f>"3723629868153965568"</f>
        <v>3723629868153965568</v>
      </c>
      <c r="F1199" s="1" t="str">
        <f t="shared" si="378"/>
        <v>花都四部-凤凰仓</v>
      </c>
      <c r="G1199" s="1" t="str">
        <f t="shared" si="390"/>
        <v>卡卡杜企业店（视频号）</v>
      </c>
      <c r="H1199" s="1" t="str">
        <f t="shared" si="379"/>
        <v>正常订单</v>
      </c>
      <c r="I1199" s="1" t="str">
        <f t="shared" si="380"/>
        <v>已发货</v>
      </c>
      <c r="J1199" s="1" t="str">
        <f t="shared" si="397"/>
        <v>3</v>
      </c>
      <c r="K1199" s="1">
        <v>3</v>
      </c>
      <c r="L1199" s="1" t="s">
        <v>161</v>
      </c>
      <c r="M1199" s="1" t="str">
        <f>"四川省 阿坝藏族羌族自治州 松潘县 "</f>
        <v xml:space="preserve">四川省 阿坝藏族羌族自治州 松潘县 </v>
      </c>
      <c r="N1199" s="1" t="str">
        <f t="shared" si="392"/>
        <v>凡华云仓-城南圆通-微信视频号</v>
      </c>
      <c r="O1199" s="5" t="s">
        <v>1237</v>
      </c>
      <c r="P1199" s="6">
        <v>0.34</v>
      </c>
      <c r="Q1199" s="11">
        <v>2.2999999999999998</v>
      </c>
      <c r="R1199" s="11"/>
      <c r="S1199" s="11"/>
      <c r="T1199" s="11"/>
      <c r="U1199" s="11">
        <f t="shared" si="381"/>
        <v>2.2999999999999998</v>
      </c>
      <c r="W1199">
        <v>2.5</v>
      </c>
      <c r="X1199" s="1" t="s">
        <v>161</v>
      </c>
    </row>
    <row r="1200" spans="1:24" x14ac:dyDescent="0.25">
      <c r="A1200" s="1" t="str">
        <f t="shared" si="377"/>
        <v>卡卡杜-凤凰仓</v>
      </c>
      <c r="B1200" s="1" t="str">
        <f>"CK20241029195"</f>
        <v>CK20241029195</v>
      </c>
      <c r="C1200" s="1" t="str">
        <f>"DD202410299788"</f>
        <v>DD202410299788</v>
      </c>
      <c r="D1200" s="1" t="str">
        <f>"CK2024102915429"</f>
        <v>CK2024102915429</v>
      </c>
      <c r="E1200" s="1" t="str">
        <f>"3723629857745277952"</f>
        <v>3723629857745277952</v>
      </c>
      <c r="F1200" s="1" t="str">
        <f t="shared" si="378"/>
        <v>花都四部-凤凰仓</v>
      </c>
      <c r="G1200" s="1" t="str">
        <f t="shared" si="390"/>
        <v>卡卡杜企业店（视频号）</v>
      </c>
      <c r="H1200" s="1" t="str">
        <f t="shared" si="379"/>
        <v>正常订单</v>
      </c>
      <c r="I1200" s="1" t="str">
        <f t="shared" si="380"/>
        <v>已发货</v>
      </c>
      <c r="J1200" s="1" t="str">
        <f t="shared" si="397"/>
        <v>3</v>
      </c>
      <c r="K1200" s="1">
        <v>3</v>
      </c>
      <c r="L1200" s="1" t="s">
        <v>24</v>
      </c>
      <c r="M1200" s="1" t="str">
        <f>"福建省 厦门市 思明区 "</f>
        <v xml:space="preserve">福建省 厦门市 思明区 </v>
      </c>
      <c r="N1200" s="1" t="str">
        <f t="shared" si="392"/>
        <v>凡华云仓-城南圆通-微信视频号</v>
      </c>
      <c r="O1200" s="5" t="s">
        <v>1238</v>
      </c>
      <c r="P1200" s="6">
        <v>0.34</v>
      </c>
      <c r="Q1200" s="11">
        <v>2.2999999999999998</v>
      </c>
      <c r="R1200" s="11"/>
      <c r="S1200" s="11"/>
      <c r="T1200" s="11"/>
      <c r="U1200" s="11">
        <f t="shared" si="381"/>
        <v>2.2999999999999998</v>
      </c>
      <c r="W1200">
        <v>2.5</v>
      </c>
      <c r="X1200" s="1" t="s">
        <v>24</v>
      </c>
    </row>
    <row r="1201" spans="1:24" x14ac:dyDescent="0.25">
      <c r="A1201" s="1" t="str">
        <f t="shared" si="377"/>
        <v>卡卡杜-凤凰仓</v>
      </c>
      <c r="B1201" s="1" t="str">
        <f>"CK20241029203"</f>
        <v>CK20241029203</v>
      </c>
      <c r="C1201" s="1" t="str">
        <f>"DD202410299796"</f>
        <v>DD202410299796</v>
      </c>
      <c r="D1201" s="1" t="str">
        <f>"CK2024102915428"</f>
        <v>CK2024102915428</v>
      </c>
      <c r="E1201" s="1" t="str">
        <f>"3723629560549217280"</f>
        <v>3723629560549217280</v>
      </c>
      <c r="F1201" s="1" t="str">
        <f t="shared" si="378"/>
        <v>花都四部-凤凰仓</v>
      </c>
      <c r="G1201" s="1" t="str">
        <f t="shared" si="390"/>
        <v>卡卡杜企业店（视频号）</v>
      </c>
      <c r="H1201" s="1" t="str">
        <f t="shared" si="379"/>
        <v>正常订单</v>
      </c>
      <c r="I1201" s="1" t="str">
        <f t="shared" si="380"/>
        <v>已发货</v>
      </c>
      <c r="J1201" s="1" t="str">
        <f t="shared" si="397"/>
        <v>3</v>
      </c>
      <c r="K1201" s="1">
        <v>2</v>
      </c>
      <c r="L1201" s="1" t="s">
        <v>60</v>
      </c>
      <c r="M1201" s="1" t="str">
        <f>"云南省 大理白族自治州 大理市 "</f>
        <v xml:space="preserve">云南省 大理白族自治州 大理市 </v>
      </c>
      <c r="N1201" s="1" t="str">
        <f t="shared" si="392"/>
        <v>凡华云仓-城南圆通-微信视频号</v>
      </c>
      <c r="O1201" s="5" t="s">
        <v>1239</v>
      </c>
      <c r="P1201" s="6">
        <v>0.24</v>
      </c>
      <c r="Q1201" s="11">
        <v>2</v>
      </c>
      <c r="R1201" s="11"/>
      <c r="S1201" s="11"/>
      <c r="T1201" s="11"/>
      <c r="U1201" s="11">
        <f t="shared" si="381"/>
        <v>2</v>
      </c>
      <c r="W1201">
        <v>2.2000000000000002</v>
      </c>
      <c r="X1201" s="1" t="s">
        <v>60</v>
      </c>
    </row>
    <row r="1202" spans="1:24" x14ac:dyDescent="0.25">
      <c r="A1202" s="1" t="str">
        <f t="shared" si="377"/>
        <v>卡卡杜-凤凰仓</v>
      </c>
      <c r="B1202" s="1" t="str">
        <f>"CK2024102999"</f>
        <v>CK2024102999</v>
      </c>
      <c r="C1202" s="1" t="str">
        <f>"DD202410299481"</f>
        <v>DD202410299481</v>
      </c>
      <c r="D1202" s="1" t="str">
        <f>"CK2024102915427"</f>
        <v>CK2024102915427</v>
      </c>
      <c r="E1202" s="1" t="str">
        <f>"3723629435697890816"</f>
        <v>3723629435697890816</v>
      </c>
      <c r="F1202" s="1" t="str">
        <f t="shared" si="378"/>
        <v>花都四部-凤凰仓</v>
      </c>
      <c r="G1202" s="1" t="str">
        <f t="shared" si="390"/>
        <v>卡卡杜企业店（视频号）</v>
      </c>
      <c r="H1202" s="1" t="str">
        <f t="shared" si="379"/>
        <v>正常订单</v>
      </c>
      <c r="I1202" s="1" t="str">
        <f t="shared" si="380"/>
        <v>已发货</v>
      </c>
      <c r="J1202" s="1" t="str">
        <f t="shared" ref="J1202:J1206" si="398">"2"</f>
        <v>2</v>
      </c>
      <c r="K1202" s="1">
        <v>2</v>
      </c>
      <c r="L1202" s="1" t="s">
        <v>16</v>
      </c>
      <c r="M1202" s="1" t="str">
        <f>"河北省 唐山市 丰南区 "</f>
        <v xml:space="preserve">河北省 唐山市 丰南区 </v>
      </c>
      <c r="N1202" s="1" t="str">
        <f t="shared" si="392"/>
        <v>凡华云仓-城南圆通-微信视频号</v>
      </c>
      <c r="O1202" s="5" t="s">
        <v>1240</v>
      </c>
      <c r="P1202" s="6">
        <v>0.17</v>
      </c>
      <c r="Q1202" s="11">
        <v>2</v>
      </c>
      <c r="R1202" s="11"/>
      <c r="S1202" s="11"/>
      <c r="T1202" s="11"/>
      <c r="U1202" s="11">
        <f t="shared" si="381"/>
        <v>2</v>
      </c>
      <c r="W1202">
        <v>2.2000000000000002</v>
      </c>
      <c r="X1202" s="1" t="s">
        <v>16</v>
      </c>
    </row>
    <row r="1203" spans="1:24" x14ac:dyDescent="0.25">
      <c r="A1203" s="1" t="str">
        <f t="shared" si="377"/>
        <v>卡卡杜-凤凰仓</v>
      </c>
      <c r="B1203" s="1" t="str">
        <f>"CK20241029207"</f>
        <v>CK20241029207</v>
      </c>
      <c r="C1203" s="1" t="str">
        <f>"DD202410299799"</f>
        <v>DD202410299799</v>
      </c>
      <c r="D1203" s="1" t="str">
        <f>"CK2024102915426"</f>
        <v>CK2024102915426</v>
      </c>
      <c r="E1203" s="1" t="str">
        <f>"3723629429050444800"</f>
        <v>3723629429050444800</v>
      </c>
      <c r="F1203" s="1" t="str">
        <f t="shared" si="378"/>
        <v>花都四部-凤凰仓</v>
      </c>
      <c r="G1203" s="1" t="str">
        <f t="shared" si="390"/>
        <v>卡卡杜企业店（视频号）</v>
      </c>
      <c r="H1203" s="1" t="str">
        <f t="shared" si="379"/>
        <v>正常订单</v>
      </c>
      <c r="I1203" s="1" t="str">
        <f t="shared" si="380"/>
        <v>已发货</v>
      </c>
      <c r="J1203" s="1" t="str">
        <f t="shared" ref="J1203:J1208" si="399">"3"</f>
        <v>3</v>
      </c>
      <c r="K1203" s="1">
        <v>2</v>
      </c>
      <c r="L1203" s="1" t="s">
        <v>80</v>
      </c>
      <c r="M1203" s="1" t="str">
        <f>"河南省 郑州市 中原区 "</f>
        <v xml:space="preserve">河南省 郑州市 中原区 </v>
      </c>
      <c r="N1203" s="1" t="str">
        <f t="shared" si="392"/>
        <v>凡华云仓-城南圆通-微信视频号</v>
      </c>
      <c r="O1203" s="5" t="s">
        <v>1241</v>
      </c>
      <c r="P1203" s="6">
        <v>0.24</v>
      </c>
      <c r="Q1203" s="11">
        <v>2</v>
      </c>
      <c r="R1203" s="11"/>
      <c r="S1203" s="11"/>
      <c r="T1203" s="11"/>
      <c r="U1203" s="11">
        <f t="shared" si="381"/>
        <v>2</v>
      </c>
      <c r="W1203">
        <v>2.2000000000000002</v>
      </c>
      <c r="X1203" s="1" t="s">
        <v>80</v>
      </c>
    </row>
    <row r="1204" spans="1:24" x14ac:dyDescent="0.25">
      <c r="A1204" s="1" t="str">
        <f t="shared" si="377"/>
        <v>卡卡杜-凤凰仓</v>
      </c>
      <c r="B1204" s="1" t="str">
        <f>"CK20241029208"</f>
        <v>CK20241029208</v>
      </c>
      <c r="C1204" s="1" t="str">
        <f>"DD202410299800"</f>
        <v>DD202410299800</v>
      </c>
      <c r="D1204" s="1" t="str">
        <f>"CK2024102915425"</f>
        <v>CK2024102915425</v>
      </c>
      <c r="E1204" s="1" t="str">
        <f>"3723629427287264256"</f>
        <v>3723629427287264256</v>
      </c>
      <c r="F1204" s="1" t="str">
        <f t="shared" si="378"/>
        <v>花都四部-凤凰仓</v>
      </c>
      <c r="G1204" s="1" t="str">
        <f t="shared" si="390"/>
        <v>卡卡杜企业店（视频号）</v>
      </c>
      <c r="H1204" s="1" t="str">
        <f t="shared" si="379"/>
        <v>正常订单</v>
      </c>
      <c r="I1204" s="1" t="str">
        <f t="shared" si="380"/>
        <v>已发货</v>
      </c>
      <c r="J1204" s="1" t="str">
        <f t="shared" si="399"/>
        <v>3</v>
      </c>
      <c r="K1204" s="1">
        <v>2</v>
      </c>
      <c r="L1204" s="1" t="s">
        <v>74</v>
      </c>
      <c r="M1204" s="1" t="str">
        <f>"上海 上海市 浦东新区 "</f>
        <v xml:space="preserve">上海 上海市 浦东新区 </v>
      </c>
      <c r="N1204" s="1" t="str">
        <f t="shared" si="392"/>
        <v>凡华云仓-城南圆通-微信视频号</v>
      </c>
      <c r="O1204" s="5" t="s">
        <v>1242</v>
      </c>
      <c r="P1204" s="6">
        <v>0.24</v>
      </c>
      <c r="Q1204" s="11">
        <v>2</v>
      </c>
      <c r="R1204" s="11"/>
      <c r="S1204" s="11"/>
      <c r="T1204" s="11"/>
      <c r="U1204" s="11">
        <f t="shared" si="381"/>
        <v>2</v>
      </c>
      <c r="W1204">
        <v>2.2000000000000002</v>
      </c>
      <c r="X1204" s="1" t="s">
        <v>74</v>
      </c>
    </row>
    <row r="1205" spans="1:24" x14ac:dyDescent="0.25">
      <c r="A1205" s="1" t="str">
        <f t="shared" si="377"/>
        <v>卡卡杜-凤凰仓</v>
      </c>
      <c r="B1205" s="1" t="str">
        <f>"CK20241029101"</f>
        <v>CK20241029101</v>
      </c>
      <c r="C1205" s="1" t="str">
        <f>"DD202410299482"</f>
        <v>DD202410299482</v>
      </c>
      <c r="D1205" s="1" t="str">
        <f>"CK2024102915424"</f>
        <v>CK2024102915424</v>
      </c>
      <c r="E1205" s="1" t="str">
        <f>"3723629424294626560"</f>
        <v>3723629424294626560</v>
      </c>
      <c r="F1205" s="1" t="str">
        <f t="shared" si="378"/>
        <v>花都四部-凤凰仓</v>
      </c>
      <c r="G1205" s="1" t="str">
        <f t="shared" si="390"/>
        <v>卡卡杜企业店（视频号）</v>
      </c>
      <c r="H1205" s="1" t="str">
        <f t="shared" si="379"/>
        <v>正常订单</v>
      </c>
      <c r="I1205" s="1" t="str">
        <f t="shared" si="380"/>
        <v>已发货</v>
      </c>
      <c r="J1205" s="1" t="str">
        <f t="shared" si="398"/>
        <v>2</v>
      </c>
      <c r="K1205" s="1">
        <v>2</v>
      </c>
      <c r="L1205" s="1" t="s">
        <v>105</v>
      </c>
      <c r="M1205" s="1" t="str">
        <f>"北京 北京市 朝阳区 "</f>
        <v xml:space="preserve">北京 北京市 朝阳区 </v>
      </c>
      <c r="N1205" s="1" t="str">
        <f t="shared" si="392"/>
        <v>凡华云仓-城南圆通-微信视频号</v>
      </c>
      <c r="O1205" s="5" t="s">
        <v>1243</v>
      </c>
      <c r="P1205" s="6">
        <v>0.17</v>
      </c>
      <c r="Q1205" s="11">
        <v>2</v>
      </c>
      <c r="R1205" s="11"/>
      <c r="S1205" s="11"/>
      <c r="T1205" s="11"/>
      <c r="U1205" s="11">
        <f t="shared" si="381"/>
        <v>2</v>
      </c>
      <c r="W1205">
        <v>2.2000000000000002</v>
      </c>
      <c r="X1205" s="1" t="s">
        <v>105</v>
      </c>
    </row>
    <row r="1206" spans="1:24" x14ac:dyDescent="0.25">
      <c r="A1206" s="1" t="str">
        <f t="shared" si="377"/>
        <v>卡卡杜-凤凰仓</v>
      </c>
      <c r="B1206" s="1" t="str">
        <f>"CK20241029104"</f>
        <v>CK20241029104</v>
      </c>
      <c r="C1206" s="1" t="str">
        <f>"DD202410299485"</f>
        <v>DD202410299485</v>
      </c>
      <c r="D1206" s="1" t="str">
        <f>"CK2024102915423"</f>
        <v>CK2024102915423</v>
      </c>
      <c r="E1206" s="1" t="str">
        <f>"3723629425280026112"</f>
        <v>3723629425280026112</v>
      </c>
      <c r="F1206" s="1" t="str">
        <f t="shared" si="378"/>
        <v>花都四部-凤凰仓</v>
      </c>
      <c r="G1206" s="1" t="str">
        <f t="shared" si="390"/>
        <v>卡卡杜企业店（视频号）</v>
      </c>
      <c r="H1206" s="1" t="str">
        <f t="shared" si="379"/>
        <v>正常订单</v>
      </c>
      <c r="I1206" s="1" t="str">
        <f t="shared" si="380"/>
        <v>已发货</v>
      </c>
      <c r="J1206" s="1" t="str">
        <f t="shared" si="398"/>
        <v>2</v>
      </c>
      <c r="K1206" s="1">
        <v>2</v>
      </c>
      <c r="L1206" s="1" t="s">
        <v>16</v>
      </c>
      <c r="M1206" s="1" t="str">
        <f>"河北省 石家庄市 藁城区 "</f>
        <v xml:space="preserve">河北省 石家庄市 藁城区 </v>
      </c>
      <c r="N1206" s="1" t="str">
        <f t="shared" si="392"/>
        <v>凡华云仓-城南圆通-微信视频号</v>
      </c>
      <c r="O1206" s="5" t="s">
        <v>1244</v>
      </c>
      <c r="P1206" s="6">
        <v>0.17</v>
      </c>
      <c r="Q1206" s="11">
        <v>2</v>
      </c>
      <c r="R1206" s="11"/>
      <c r="S1206" s="11"/>
      <c r="T1206" s="11"/>
      <c r="U1206" s="11">
        <f t="shared" si="381"/>
        <v>2</v>
      </c>
      <c r="W1206">
        <v>2.2000000000000002</v>
      </c>
      <c r="X1206" s="1" t="s">
        <v>16</v>
      </c>
    </row>
    <row r="1207" spans="1:24" x14ac:dyDescent="0.25">
      <c r="A1207" s="1" t="str">
        <f t="shared" si="377"/>
        <v>卡卡杜-凤凰仓</v>
      </c>
      <c r="B1207" s="1" t="str">
        <f>"CK20241029212"</f>
        <v>CK20241029212</v>
      </c>
      <c r="C1207" s="1" t="str">
        <f>"DD202410299804"</f>
        <v>DD202410299804</v>
      </c>
      <c r="D1207" s="1" t="str">
        <f>"CK2024102915422"</f>
        <v>CK2024102915422</v>
      </c>
      <c r="E1207" s="1" t="str">
        <f>"3723629406741988608"</f>
        <v>3723629406741988608</v>
      </c>
      <c r="F1207" s="1" t="str">
        <f t="shared" si="378"/>
        <v>花都四部-凤凰仓</v>
      </c>
      <c r="G1207" s="1" t="str">
        <f t="shared" si="390"/>
        <v>卡卡杜企业店（视频号）</v>
      </c>
      <c r="H1207" s="1" t="str">
        <f t="shared" si="379"/>
        <v>正常订单</v>
      </c>
      <c r="I1207" s="1" t="str">
        <f t="shared" si="380"/>
        <v>已发货</v>
      </c>
      <c r="J1207" s="1" t="str">
        <f t="shared" si="399"/>
        <v>3</v>
      </c>
      <c r="K1207" s="1">
        <v>2</v>
      </c>
      <c r="L1207" s="1" t="s">
        <v>47</v>
      </c>
      <c r="M1207" s="1" t="str">
        <f>"重庆 重庆市 南岸区 "</f>
        <v xml:space="preserve">重庆 重庆市 南岸区 </v>
      </c>
      <c r="N1207" s="1" t="str">
        <f t="shared" si="392"/>
        <v>凡华云仓-城南圆通-微信视频号</v>
      </c>
      <c r="O1207" s="5" t="s">
        <v>1245</v>
      </c>
      <c r="P1207" s="6">
        <v>0.24</v>
      </c>
      <c r="Q1207" s="11">
        <v>2</v>
      </c>
      <c r="R1207" s="11"/>
      <c r="S1207" s="11"/>
      <c r="T1207" s="11"/>
      <c r="U1207" s="11">
        <f t="shared" si="381"/>
        <v>2</v>
      </c>
      <c r="W1207">
        <v>2.2000000000000002</v>
      </c>
      <c r="X1207" s="1" t="s">
        <v>47</v>
      </c>
    </row>
    <row r="1208" spans="1:24" x14ac:dyDescent="0.25">
      <c r="A1208" s="1" t="str">
        <f t="shared" si="377"/>
        <v>卡卡杜-凤凰仓</v>
      </c>
      <c r="B1208" s="1" t="str">
        <f>"CK20241029215"</f>
        <v>CK20241029215</v>
      </c>
      <c r="C1208" s="1" t="str">
        <f>"DD202410299808"</f>
        <v>DD202410299808</v>
      </c>
      <c r="D1208" s="1" t="str">
        <f>"CK2024102915421"</f>
        <v>CK2024102915421</v>
      </c>
      <c r="E1208" s="1" t="str">
        <f>"3723629403045235712"</f>
        <v>3723629403045235712</v>
      </c>
      <c r="F1208" s="1" t="str">
        <f t="shared" si="378"/>
        <v>花都四部-凤凰仓</v>
      </c>
      <c r="G1208" s="1" t="str">
        <f t="shared" si="390"/>
        <v>卡卡杜企业店（视频号）</v>
      </c>
      <c r="H1208" s="1" t="str">
        <f t="shared" si="379"/>
        <v>正常订单</v>
      </c>
      <c r="I1208" s="1" t="str">
        <f t="shared" si="380"/>
        <v>已发货</v>
      </c>
      <c r="J1208" s="1" t="str">
        <f t="shared" si="399"/>
        <v>3</v>
      </c>
      <c r="K1208" s="1">
        <v>2</v>
      </c>
      <c r="L1208" s="1" t="s">
        <v>109</v>
      </c>
      <c r="M1208" s="1" t="str">
        <f>"山西省 忻州市 忻府区 "</f>
        <v xml:space="preserve">山西省 忻州市 忻府区 </v>
      </c>
      <c r="N1208" s="1" t="str">
        <f t="shared" si="392"/>
        <v>凡华云仓-城南圆通-微信视频号</v>
      </c>
      <c r="O1208" s="5" t="s">
        <v>1246</v>
      </c>
      <c r="P1208" s="6">
        <v>0.24</v>
      </c>
      <c r="Q1208" s="11">
        <v>2</v>
      </c>
      <c r="R1208" s="11"/>
      <c r="S1208" s="11"/>
      <c r="T1208" s="11"/>
      <c r="U1208" s="11">
        <f t="shared" si="381"/>
        <v>2</v>
      </c>
      <c r="W1208">
        <v>2.2000000000000002</v>
      </c>
      <c r="X1208" s="1" t="s">
        <v>109</v>
      </c>
    </row>
    <row r="1209" spans="1:24" x14ac:dyDescent="0.25">
      <c r="A1209" s="1" t="str">
        <f t="shared" si="377"/>
        <v>卡卡杜-凤凰仓</v>
      </c>
      <c r="B1209" s="1" t="str">
        <f>"CK20241029109"</f>
        <v>CK20241029109</v>
      </c>
      <c r="C1209" s="1" t="str">
        <f>"DD202410299492"</f>
        <v>DD202410299492</v>
      </c>
      <c r="D1209" s="1" t="str">
        <f>"CK2024102915420"</f>
        <v>CK2024102915420</v>
      </c>
      <c r="E1209" s="1" t="str">
        <f>"3723629387766170880"</f>
        <v>3723629387766170880</v>
      </c>
      <c r="F1209" s="1" t="str">
        <f t="shared" si="378"/>
        <v>花都四部-凤凰仓</v>
      </c>
      <c r="G1209" s="1" t="str">
        <f t="shared" si="390"/>
        <v>卡卡杜企业店（视频号）</v>
      </c>
      <c r="H1209" s="1" t="str">
        <f t="shared" si="379"/>
        <v>正常订单</v>
      </c>
      <c r="I1209" s="1" t="str">
        <f t="shared" si="380"/>
        <v>已发货</v>
      </c>
      <c r="J1209" s="1" t="str">
        <f>"2"</f>
        <v>2</v>
      </c>
      <c r="K1209" s="1">
        <v>2</v>
      </c>
      <c r="L1209" s="1" t="s">
        <v>66</v>
      </c>
      <c r="M1209" s="1" t="str">
        <f>"内蒙古自治区 乌海市 海勃湾区 "</f>
        <v xml:space="preserve">内蒙古自治区 乌海市 海勃湾区 </v>
      </c>
      <c r="N1209" s="1" t="str">
        <f t="shared" si="392"/>
        <v>凡华云仓-城南圆通-微信视频号</v>
      </c>
      <c r="O1209" s="5" t="s">
        <v>1247</v>
      </c>
      <c r="P1209" s="6">
        <v>0.17</v>
      </c>
      <c r="Q1209" s="11">
        <v>2</v>
      </c>
      <c r="R1209" s="11"/>
      <c r="S1209" s="11"/>
      <c r="T1209" s="11"/>
      <c r="U1209" s="11">
        <f t="shared" si="381"/>
        <v>2</v>
      </c>
      <c r="W1209">
        <v>2.2000000000000002</v>
      </c>
      <c r="X1209" s="1" t="s">
        <v>66</v>
      </c>
    </row>
    <row r="1210" spans="1:24" x14ac:dyDescent="0.25">
      <c r="A1210" s="1" t="str">
        <f t="shared" si="377"/>
        <v>卡卡杜-凤凰仓</v>
      </c>
      <c r="B1210" s="1" t="str">
        <f>"CK20241029217"</f>
        <v>CK20241029217</v>
      </c>
      <c r="C1210" s="1" t="str">
        <f>"DD202410299809"</f>
        <v>DD202410299809</v>
      </c>
      <c r="D1210" s="1" t="str">
        <f>"CK2024102915419"</f>
        <v>CK2024102915419</v>
      </c>
      <c r="E1210" s="1" t="str">
        <f>"3723629381976720640"</f>
        <v>3723629381976720640</v>
      </c>
      <c r="F1210" s="1" t="str">
        <f t="shared" si="378"/>
        <v>花都四部-凤凰仓</v>
      </c>
      <c r="G1210" s="1" t="str">
        <f t="shared" si="390"/>
        <v>卡卡杜企业店（视频号）</v>
      </c>
      <c r="H1210" s="1" t="str">
        <f t="shared" si="379"/>
        <v>正常订单</v>
      </c>
      <c r="I1210" s="1" t="str">
        <f t="shared" si="380"/>
        <v>已发货</v>
      </c>
      <c r="J1210" s="1" t="str">
        <f t="shared" ref="J1210:J1215" si="400">"3"</f>
        <v>3</v>
      </c>
      <c r="K1210" s="1">
        <v>2</v>
      </c>
      <c r="L1210" s="1" t="s">
        <v>105</v>
      </c>
      <c r="M1210" s="1" t="str">
        <f>"北京 北京市 丰台区 "</f>
        <v xml:space="preserve">北京 北京市 丰台区 </v>
      </c>
      <c r="N1210" s="1" t="str">
        <f t="shared" si="392"/>
        <v>凡华云仓-城南圆通-微信视频号</v>
      </c>
      <c r="O1210" s="5" t="s">
        <v>1248</v>
      </c>
      <c r="P1210" s="6">
        <v>0.24</v>
      </c>
      <c r="Q1210" s="11">
        <v>2</v>
      </c>
      <c r="R1210" s="11"/>
      <c r="S1210" s="11"/>
      <c r="T1210" s="11"/>
      <c r="U1210" s="11">
        <f t="shared" si="381"/>
        <v>2</v>
      </c>
      <c r="W1210">
        <v>2.2000000000000002</v>
      </c>
      <c r="X1210" s="1" t="s">
        <v>105</v>
      </c>
    </row>
    <row r="1211" spans="1:24" x14ac:dyDescent="0.25">
      <c r="A1211" s="1" t="str">
        <f t="shared" si="377"/>
        <v>卡卡杜-凤凰仓</v>
      </c>
      <c r="B1211" s="1" t="str">
        <f>"CK20241029216"</f>
        <v>CK20241029216</v>
      </c>
      <c r="C1211" s="1" t="str">
        <f>"DD202410299806"</f>
        <v>DD202410299806</v>
      </c>
      <c r="D1211" s="1" t="str">
        <f>"CK2024102915418"</f>
        <v>CK2024102915418</v>
      </c>
      <c r="E1211" s="1" t="str">
        <f>"3723629386773695488"</f>
        <v>3723629386773695488</v>
      </c>
      <c r="F1211" s="1" t="str">
        <f t="shared" si="378"/>
        <v>花都四部-凤凰仓</v>
      </c>
      <c r="G1211" s="1" t="str">
        <f t="shared" si="390"/>
        <v>卡卡杜企业店（视频号）</v>
      </c>
      <c r="H1211" s="1" t="str">
        <f t="shared" si="379"/>
        <v>正常订单</v>
      </c>
      <c r="I1211" s="1" t="str">
        <f t="shared" si="380"/>
        <v>已发货</v>
      </c>
      <c r="J1211" s="1" t="str">
        <f t="shared" si="400"/>
        <v>3</v>
      </c>
      <c r="K1211" s="1">
        <v>2</v>
      </c>
      <c r="L1211" s="1" t="s">
        <v>74</v>
      </c>
      <c r="M1211" s="1" t="str">
        <f>"上海 上海市 杨浦区 "</f>
        <v xml:space="preserve">上海 上海市 杨浦区 </v>
      </c>
      <c r="N1211" s="1" t="str">
        <f t="shared" si="392"/>
        <v>凡华云仓-城南圆通-微信视频号</v>
      </c>
      <c r="O1211" s="5" t="s">
        <v>1249</v>
      </c>
      <c r="P1211" s="6">
        <v>0.24</v>
      </c>
      <c r="Q1211" s="11">
        <v>2</v>
      </c>
      <c r="R1211" s="11"/>
      <c r="S1211" s="11"/>
      <c r="T1211" s="11"/>
      <c r="U1211" s="11">
        <f t="shared" si="381"/>
        <v>2</v>
      </c>
      <c r="W1211">
        <v>2.2000000000000002</v>
      </c>
      <c r="X1211" s="1" t="s">
        <v>74</v>
      </c>
    </row>
    <row r="1212" spans="1:24" x14ac:dyDescent="0.25">
      <c r="A1212" s="1" t="str">
        <f t="shared" si="377"/>
        <v>卡卡杜-凤凰仓</v>
      </c>
      <c r="B1212" s="1" t="str">
        <f>"CK20241029133"</f>
        <v>CK20241029133</v>
      </c>
      <c r="C1212" s="1" t="str">
        <f>"DD202410299518"</f>
        <v>DD202410299518</v>
      </c>
      <c r="D1212" s="1" t="str">
        <f>"CK2024102915417"</f>
        <v>CK2024102915417</v>
      </c>
      <c r="E1212" s="1" t="str">
        <f>"3723629380975334401"</f>
        <v>3723629380975334401</v>
      </c>
      <c r="F1212" s="1" t="str">
        <f t="shared" si="378"/>
        <v>花都四部-凤凰仓</v>
      </c>
      <c r="G1212" s="1" t="str">
        <f t="shared" si="390"/>
        <v>卡卡杜企业店（视频号）</v>
      </c>
      <c r="H1212" s="1" t="str">
        <f t="shared" si="379"/>
        <v>正常订单</v>
      </c>
      <c r="I1212" s="1" t="str">
        <f t="shared" si="380"/>
        <v>已发货</v>
      </c>
      <c r="J1212" s="1" t="str">
        <f>"2"</f>
        <v>2</v>
      </c>
      <c r="K1212" s="1">
        <v>2</v>
      </c>
      <c r="L1212" s="1" t="s">
        <v>105</v>
      </c>
      <c r="M1212" s="1" t="str">
        <f>"北京 北京市 朝阳区 "</f>
        <v xml:space="preserve">北京 北京市 朝阳区 </v>
      </c>
      <c r="N1212" s="1" t="str">
        <f t="shared" si="392"/>
        <v>凡华云仓-城南圆通-微信视频号</v>
      </c>
      <c r="O1212" s="5" t="s">
        <v>1250</v>
      </c>
      <c r="P1212" s="6">
        <v>0.17</v>
      </c>
      <c r="Q1212" s="11">
        <v>2</v>
      </c>
      <c r="R1212" s="11"/>
      <c r="S1212" s="11"/>
      <c r="T1212" s="11"/>
      <c r="U1212" s="11">
        <f t="shared" si="381"/>
        <v>2</v>
      </c>
      <c r="W1212">
        <v>2.2000000000000002</v>
      </c>
      <c r="X1212" s="1" t="s">
        <v>105</v>
      </c>
    </row>
    <row r="1213" spans="1:24" x14ac:dyDescent="0.25">
      <c r="A1213" s="1" t="str">
        <f t="shared" si="377"/>
        <v>卡卡杜-凤凰仓</v>
      </c>
      <c r="B1213" s="1" t="str">
        <f>"CK20241029218"</f>
        <v>CK20241029218</v>
      </c>
      <c r="C1213" s="1" t="str">
        <f>"DD202410299810"</f>
        <v>DD202410299810</v>
      </c>
      <c r="D1213" s="1" t="str">
        <f>"CK2024102915416"</f>
        <v>CK2024102915416</v>
      </c>
      <c r="E1213" s="1" t="str">
        <f>"3723629381737122816"</f>
        <v>3723629381737122816</v>
      </c>
      <c r="F1213" s="1" t="str">
        <f t="shared" si="378"/>
        <v>花都四部-凤凰仓</v>
      </c>
      <c r="G1213" s="1" t="str">
        <f t="shared" si="390"/>
        <v>卡卡杜企业店（视频号）</v>
      </c>
      <c r="H1213" s="1" t="str">
        <f t="shared" si="379"/>
        <v>正常订单</v>
      </c>
      <c r="I1213" s="1" t="str">
        <f t="shared" si="380"/>
        <v>已发货</v>
      </c>
      <c r="J1213" s="1" t="str">
        <f t="shared" si="400"/>
        <v>3</v>
      </c>
      <c r="K1213" s="1">
        <v>2</v>
      </c>
      <c r="L1213" s="1" t="s">
        <v>41</v>
      </c>
      <c r="M1213" s="1" t="str">
        <f>"湖北省 武汉市 东西湖区 "</f>
        <v xml:space="preserve">湖北省 武汉市 东西湖区 </v>
      </c>
      <c r="N1213" s="1" t="str">
        <f t="shared" si="392"/>
        <v>凡华云仓-城南圆通-微信视频号</v>
      </c>
      <c r="O1213" s="5" t="s">
        <v>1251</v>
      </c>
      <c r="P1213" s="6">
        <v>0.24</v>
      </c>
      <c r="Q1213" s="11">
        <v>2</v>
      </c>
      <c r="R1213" s="11"/>
      <c r="S1213" s="11"/>
      <c r="T1213" s="11"/>
      <c r="U1213" s="11">
        <f t="shared" si="381"/>
        <v>2</v>
      </c>
      <c r="W1213">
        <v>2.2000000000000002</v>
      </c>
      <c r="X1213" s="1" t="s">
        <v>41</v>
      </c>
    </row>
    <row r="1214" spans="1:24" x14ac:dyDescent="0.25">
      <c r="A1214" s="1" t="str">
        <f t="shared" si="377"/>
        <v>卡卡杜-凤凰仓</v>
      </c>
      <c r="B1214" s="1" t="str">
        <f>"CK20241029223"</f>
        <v>CK20241029223</v>
      </c>
      <c r="C1214" s="1" t="str">
        <f>"DD202410299815"</f>
        <v>DD202410299815</v>
      </c>
      <c r="D1214" s="1" t="str">
        <f>"CK2024102915415"</f>
        <v>CK2024102915415</v>
      </c>
      <c r="E1214" s="1" t="str">
        <f>"3723629362608997888"</f>
        <v>3723629362608997888</v>
      </c>
      <c r="F1214" s="1" t="str">
        <f t="shared" si="378"/>
        <v>花都四部-凤凰仓</v>
      </c>
      <c r="G1214" s="1" t="str">
        <f t="shared" si="390"/>
        <v>卡卡杜企业店（视频号）</v>
      </c>
      <c r="H1214" s="1" t="str">
        <f t="shared" si="379"/>
        <v>正常订单</v>
      </c>
      <c r="I1214" s="1" t="str">
        <f t="shared" si="380"/>
        <v>已发货</v>
      </c>
      <c r="J1214" s="1" t="str">
        <f t="shared" si="400"/>
        <v>3</v>
      </c>
      <c r="K1214" s="1">
        <v>2</v>
      </c>
      <c r="L1214" s="1" t="s">
        <v>18</v>
      </c>
      <c r="M1214" s="1" t="str">
        <f>"广东省 广州市 黄埔区 "</f>
        <v xml:space="preserve">广东省 广州市 黄埔区 </v>
      </c>
      <c r="N1214" s="1" t="str">
        <f t="shared" si="392"/>
        <v>凡华云仓-城南圆通-微信视频号</v>
      </c>
      <c r="O1214" s="5" t="s">
        <v>1252</v>
      </c>
      <c r="P1214" s="6">
        <v>0.24</v>
      </c>
      <c r="Q1214" s="11">
        <v>2</v>
      </c>
      <c r="R1214" s="11"/>
      <c r="S1214" s="11"/>
      <c r="T1214" s="11"/>
      <c r="U1214" s="11">
        <f t="shared" si="381"/>
        <v>2</v>
      </c>
      <c r="W1214">
        <v>2.2000000000000002</v>
      </c>
      <c r="X1214" s="1" t="s">
        <v>18</v>
      </c>
    </row>
    <row r="1215" spans="1:24" x14ac:dyDescent="0.25">
      <c r="A1215" s="1" t="str">
        <f t="shared" si="377"/>
        <v>卡卡杜-凤凰仓</v>
      </c>
      <c r="B1215" s="1" t="str">
        <f>"CK20241029221"</f>
        <v>CK20241029221</v>
      </c>
      <c r="C1215" s="1" t="str">
        <f>"DD202410299814"</f>
        <v>DD202410299814</v>
      </c>
      <c r="D1215" s="1" t="str">
        <f>"CK2024102915414"</f>
        <v>CK2024102915414</v>
      </c>
      <c r="E1215" s="1" t="str">
        <f>"3723629362663001088"</f>
        <v>3723629362663001088</v>
      </c>
      <c r="F1215" s="1" t="str">
        <f t="shared" si="378"/>
        <v>花都四部-凤凰仓</v>
      </c>
      <c r="G1215" s="1" t="str">
        <f t="shared" si="390"/>
        <v>卡卡杜企业店（视频号）</v>
      </c>
      <c r="H1215" s="1" t="str">
        <f t="shared" si="379"/>
        <v>正常订单</v>
      </c>
      <c r="I1215" s="1" t="str">
        <f t="shared" si="380"/>
        <v>已发货</v>
      </c>
      <c r="J1215" s="1" t="str">
        <f t="shared" si="400"/>
        <v>3</v>
      </c>
      <c r="K1215" s="1">
        <v>2</v>
      </c>
      <c r="L1215" s="1" t="s">
        <v>36</v>
      </c>
      <c r="M1215" s="1" t="str">
        <f>"安徽省 合肥市 瑶海区 "</f>
        <v xml:space="preserve">安徽省 合肥市 瑶海区 </v>
      </c>
      <c r="N1215" s="1" t="str">
        <f t="shared" si="392"/>
        <v>凡华云仓-城南圆通-微信视频号</v>
      </c>
      <c r="O1215" s="5" t="s">
        <v>1253</v>
      </c>
      <c r="P1215" s="6">
        <v>0.24</v>
      </c>
      <c r="Q1215" s="11">
        <v>2</v>
      </c>
      <c r="R1215" s="11"/>
      <c r="S1215" s="11"/>
      <c r="T1215" s="11"/>
      <c r="U1215" s="11">
        <f t="shared" si="381"/>
        <v>2</v>
      </c>
      <c r="W1215">
        <v>2.2000000000000002</v>
      </c>
      <c r="X1215" s="1" t="s">
        <v>36</v>
      </c>
    </row>
    <row r="1216" spans="1:24" x14ac:dyDescent="0.25">
      <c r="A1216" s="1" t="str">
        <f t="shared" si="377"/>
        <v>卡卡杜-凤凰仓</v>
      </c>
      <c r="B1216" s="1" t="str">
        <f>"CK20241029153"</f>
        <v>CK20241029153</v>
      </c>
      <c r="C1216" s="1" t="str">
        <f>"DD202410299535"</f>
        <v>DD202410299535</v>
      </c>
      <c r="D1216" s="1" t="str">
        <f>"CK2024102915413"</f>
        <v>CK2024102915413</v>
      </c>
      <c r="E1216" s="1" t="str">
        <f>"3723629365368066048"</f>
        <v>3723629365368066048</v>
      </c>
      <c r="F1216" s="1" t="str">
        <f t="shared" si="378"/>
        <v>花都四部-凤凰仓</v>
      </c>
      <c r="G1216" s="1" t="str">
        <f t="shared" si="390"/>
        <v>卡卡杜企业店（视频号）</v>
      </c>
      <c r="H1216" s="1" t="str">
        <f t="shared" si="379"/>
        <v>正常订单</v>
      </c>
      <c r="I1216" s="1" t="str">
        <f t="shared" si="380"/>
        <v>已发货</v>
      </c>
      <c r="J1216" s="1" t="str">
        <f>"2"</f>
        <v>2</v>
      </c>
      <c r="K1216" s="1">
        <v>2</v>
      </c>
      <c r="L1216" s="1" t="s">
        <v>161</v>
      </c>
      <c r="M1216" s="1" t="str">
        <f>"四川省 成都市 双流区 "</f>
        <v xml:space="preserve">四川省 成都市 双流区 </v>
      </c>
      <c r="N1216" s="1" t="str">
        <f t="shared" si="392"/>
        <v>凡华云仓-城南圆通-微信视频号</v>
      </c>
      <c r="O1216" s="5" t="s">
        <v>1254</v>
      </c>
      <c r="P1216" s="6">
        <v>0.17</v>
      </c>
      <c r="Q1216" s="11">
        <v>2</v>
      </c>
      <c r="R1216" s="11"/>
      <c r="S1216" s="11"/>
      <c r="T1216" s="11"/>
      <c r="U1216" s="11">
        <f t="shared" si="381"/>
        <v>2</v>
      </c>
      <c r="W1216">
        <v>2.2000000000000002</v>
      </c>
      <c r="X1216" s="1" t="s">
        <v>161</v>
      </c>
    </row>
    <row r="1217" spans="1:24" x14ac:dyDescent="0.25">
      <c r="A1217" s="1" t="str">
        <f t="shared" si="377"/>
        <v>卡卡杜-凤凰仓</v>
      </c>
      <c r="B1217" s="1" t="str">
        <f>"CK20241029222"</f>
        <v>CK20241029222</v>
      </c>
      <c r="C1217" s="1" t="str">
        <f>"DD202410299813"</f>
        <v>DD202410299813</v>
      </c>
      <c r="D1217" s="1" t="str">
        <f>"CK2024102915412"</f>
        <v>CK2024102915412</v>
      </c>
      <c r="E1217" s="1" t="str">
        <f>"3723629361213608960"</f>
        <v>3723629361213608960</v>
      </c>
      <c r="F1217" s="1" t="str">
        <f t="shared" si="378"/>
        <v>花都四部-凤凰仓</v>
      </c>
      <c r="G1217" s="1" t="str">
        <f t="shared" si="390"/>
        <v>卡卡杜企业店（视频号）</v>
      </c>
      <c r="H1217" s="1" t="str">
        <f t="shared" si="379"/>
        <v>正常订单</v>
      </c>
      <c r="I1217" s="1" t="str">
        <f t="shared" si="380"/>
        <v>已发货</v>
      </c>
      <c r="J1217" s="1" t="str">
        <f t="shared" ref="J1217:J1223" si="401">"3"</f>
        <v>3</v>
      </c>
      <c r="K1217" s="1">
        <v>2</v>
      </c>
      <c r="L1217" s="1" t="s">
        <v>36</v>
      </c>
      <c r="M1217" s="1" t="str">
        <f>"安徽省 合肥市 蜀山区 "</f>
        <v xml:space="preserve">安徽省 合肥市 蜀山区 </v>
      </c>
      <c r="N1217" s="1" t="str">
        <f t="shared" si="392"/>
        <v>凡华云仓-城南圆通-微信视频号</v>
      </c>
      <c r="O1217" s="5" t="s">
        <v>1255</v>
      </c>
      <c r="P1217" s="6">
        <v>0.24</v>
      </c>
      <c r="Q1217" s="11">
        <v>2</v>
      </c>
      <c r="R1217" s="11"/>
      <c r="S1217" s="11"/>
      <c r="T1217" s="11"/>
      <c r="U1217" s="11">
        <f t="shared" si="381"/>
        <v>2</v>
      </c>
      <c r="W1217">
        <v>2.2000000000000002</v>
      </c>
      <c r="X1217" s="1" t="s">
        <v>36</v>
      </c>
    </row>
    <row r="1218" spans="1:24" x14ac:dyDescent="0.25">
      <c r="A1218" s="1" t="str">
        <f t="shared" ref="A1218:A1281" si="402">"卡卡杜-凤凰仓"</f>
        <v>卡卡杜-凤凰仓</v>
      </c>
      <c r="B1218" s="1" t="str">
        <f>"CK20241029157"</f>
        <v>CK20241029157</v>
      </c>
      <c r="C1218" s="1" t="str">
        <f>"DD202410299539"</f>
        <v>DD202410299539</v>
      </c>
      <c r="D1218" s="1" t="str">
        <f>"CK2024102915411"</f>
        <v>CK2024102915411</v>
      </c>
      <c r="E1218" s="1" t="str">
        <f>"3723629361485451264"</f>
        <v>3723629361485451264</v>
      </c>
      <c r="F1218" s="1" t="str">
        <f t="shared" ref="F1218:F1281" si="403">"花都四部-凤凰仓"</f>
        <v>花都四部-凤凰仓</v>
      </c>
      <c r="G1218" s="1" t="str">
        <f t="shared" si="390"/>
        <v>卡卡杜企业店（视频号）</v>
      </c>
      <c r="H1218" s="1" t="str">
        <f t="shared" ref="H1218:H1281" si="404">"正常订单"</f>
        <v>正常订单</v>
      </c>
      <c r="I1218" s="1" t="str">
        <f t="shared" ref="I1218:I1281" si="405">"已发货"</f>
        <v>已发货</v>
      </c>
      <c r="J1218" s="1" t="str">
        <f>"2"</f>
        <v>2</v>
      </c>
      <c r="K1218" s="1">
        <v>2</v>
      </c>
      <c r="L1218" s="1" t="s">
        <v>80</v>
      </c>
      <c r="M1218" s="1" t="str">
        <f>"河南省 郑州市 中原区 "</f>
        <v xml:space="preserve">河南省 郑州市 中原区 </v>
      </c>
      <c r="N1218" s="1" t="str">
        <f t="shared" si="392"/>
        <v>凡华云仓-城南圆通-微信视频号</v>
      </c>
      <c r="O1218" s="5" t="s">
        <v>1256</v>
      </c>
      <c r="P1218" s="6">
        <v>0.17</v>
      </c>
      <c r="Q1218" s="11">
        <v>2</v>
      </c>
      <c r="R1218" s="11"/>
      <c r="S1218" s="11"/>
      <c r="T1218" s="11"/>
      <c r="U1218" s="11">
        <f t="shared" si="381"/>
        <v>2</v>
      </c>
      <c r="W1218">
        <v>2.2000000000000002</v>
      </c>
      <c r="X1218" s="1" t="s">
        <v>80</v>
      </c>
    </row>
    <row r="1219" spans="1:24" x14ac:dyDescent="0.25">
      <c r="A1219" s="1" t="str">
        <f t="shared" si="402"/>
        <v>卡卡杜-凤凰仓</v>
      </c>
      <c r="B1219" s="1" t="str">
        <f>"CK20241029224"</f>
        <v>CK20241029224</v>
      </c>
      <c r="C1219" s="1" t="str">
        <f>"DD202410299816"</f>
        <v>DD202410299816</v>
      </c>
      <c r="D1219" s="1" t="str">
        <f>"CK2024102915410"</f>
        <v>CK2024102915410</v>
      </c>
      <c r="E1219" s="1" t="str">
        <f>"3723629358492026113"</f>
        <v>3723629358492026113</v>
      </c>
      <c r="F1219" s="1" t="str">
        <f t="shared" si="403"/>
        <v>花都四部-凤凰仓</v>
      </c>
      <c r="G1219" s="1" t="str">
        <f t="shared" si="390"/>
        <v>卡卡杜企业店（视频号）</v>
      </c>
      <c r="H1219" s="1" t="str">
        <f t="shared" si="404"/>
        <v>正常订单</v>
      </c>
      <c r="I1219" s="1" t="str">
        <f t="shared" si="405"/>
        <v>已发货</v>
      </c>
      <c r="J1219" s="1" t="str">
        <f t="shared" si="401"/>
        <v>3</v>
      </c>
      <c r="K1219" s="1">
        <v>2</v>
      </c>
      <c r="L1219" s="1" t="s">
        <v>74</v>
      </c>
      <c r="M1219" s="1" t="str">
        <f>"上海 上海市 宝山区 "</f>
        <v xml:space="preserve">上海 上海市 宝山区 </v>
      </c>
      <c r="N1219" s="1" t="str">
        <f t="shared" si="392"/>
        <v>凡华云仓-城南圆通-微信视频号</v>
      </c>
      <c r="O1219" s="5" t="s">
        <v>1257</v>
      </c>
      <c r="P1219" s="6">
        <v>0.24</v>
      </c>
      <c r="Q1219" s="11">
        <v>2</v>
      </c>
      <c r="R1219" s="11"/>
      <c r="S1219" s="11"/>
      <c r="T1219" s="11"/>
      <c r="U1219" s="11">
        <f t="shared" ref="U1219:U1282" si="406">T1219+S1219+R1219+Q1219</f>
        <v>2</v>
      </c>
      <c r="W1219">
        <v>2.2000000000000002</v>
      </c>
      <c r="X1219" s="1" t="s">
        <v>74</v>
      </c>
    </row>
    <row r="1220" spans="1:24" x14ac:dyDescent="0.25">
      <c r="A1220" s="1" t="str">
        <f t="shared" si="402"/>
        <v>卡卡杜-凤凰仓</v>
      </c>
      <c r="B1220" s="1" t="str">
        <f>"CK20241029161"</f>
        <v>CK20241029161</v>
      </c>
      <c r="C1220" s="1" t="str">
        <f>"DD202410299696"</f>
        <v>DD202410299696</v>
      </c>
      <c r="D1220" s="1" t="str">
        <f>"CK2024102915409"</f>
        <v>CK2024102915409</v>
      </c>
      <c r="E1220" s="1" t="str">
        <f>"3723629201344824576"</f>
        <v>3723629201344824576</v>
      </c>
      <c r="F1220" s="1" t="str">
        <f t="shared" si="403"/>
        <v>花都四部-凤凰仓</v>
      </c>
      <c r="G1220" s="1" t="str">
        <f t="shared" si="390"/>
        <v>卡卡杜企业店（视频号）</v>
      </c>
      <c r="H1220" s="1" t="str">
        <f t="shared" si="404"/>
        <v>正常订单</v>
      </c>
      <c r="I1220" s="1" t="str">
        <f t="shared" si="405"/>
        <v>已发货</v>
      </c>
      <c r="J1220" s="1" t="str">
        <f>"5"</f>
        <v>5</v>
      </c>
      <c r="K1220" s="1">
        <v>2</v>
      </c>
      <c r="L1220" s="1" t="s">
        <v>187</v>
      </c>
      <c r="M1220" s="1" t="str">
        <f>"吉林省 长春市 绿园区 "</f>
        <v xml:space="preserve">吉林省 长春市 绿园区 </v>
      </c>
      <c r="N1220" s="1" t="str">
        <f t="shared" si="392"/>
        <v>凡华云仓-城南圆通-微信视频号</v>
      </c>
      <c r="O1220" s="5" t="s">
        <v>1258</v>
      </c>
      <c r="P1220" s="6">
        <v>0.59</v>
      </c>
      <c r="Q1220" s="11">
        <f>CEILING(P1220-0.5,0.1)*10*0.15+2.3</f>
        <v>2.4499999999999997</v>
      </c>
      <c r="R1220" s="11"/>
      <c r="S1220" s="11"/>
      <c r="T1220" s="11"/>
      <c r="U1220" s="11">
        <f t="shared" si="406"/>
        <v>2.4499999999999997</v>
      </c>
      <c r="V1220" t="s">
        <v>15</v>
      </c>
      <c r="W1220">
        <v>2.4500000000000002</v>
      </c>
      <c r="X1220" s="1" t="s">
        <v>187</v>
      </c>
    </row>
    <row r="1221" spans="1:24" x14ac:dyDescent="0.25">
      <c r="A1221" s="1" t="str">
        <f t="shared" si="402"/>
        <v>卡卡杜-凤凰仓</v>
      </c>
      <c r="B1221" s="1" t="str">
        <f>"CK20241029233"</f>
        <v>CK20241029233</v>
      </c>
      <c r="C1221" s="1" t="str">
        <f>"DD202410299825"</f>
        <v>DD202410299825</v>
      </c>
      <c r="D1221" s="1" t="str">
        <f>"CK2024102915408"</f>
        <v>CK2024102915408</v>
      </c>
      <c r="E1221" s="1" t="str">
        <f>"3723629092562408448"</f>
        <v>3723629092562408448</v>
      </c>
      <c r="F1221" s="1" t="str">
        <f t="shared" si="403"/>
        <v>花都四部-凤凰仓</v>
      </c>
      <c r="G1221" s="1" t="str">
        <f t="shared" si="390"/>
        <v>卡卡杜企业店（视频号）</v>
      </c>
      <c r="H1221" s="1" t="str">
        <f t="shared" si="404"/>
        <v>正常订单</v>
      </c>
      <c r="I1221" s="1" t="str">
        <f t="shared" si="405"/>
        <v>已发货</v>
      </c>
      <c r="J1221" s="1" t="str">
        <f t="shared" si="401"/>
        <v>3</v>
      </c>
      <c r="K1221" s="1">
        <v>2</v>
      </c>
      <c r="L1221" s="1" t="s">
        <v>94</v>
      </c>
      <c r="M1221" s="1" t="str">
        <f>"湖南省 湘西土家族苗族自治州 吉首市 "</f>
        <v xml:space="preserve">湖南省 湘西土家族苗族自治州 吉首市 </v>
      </c>
      <c r="N1221" s="1" t="str">
        <f t="shared" si="392"/>
        <v>凡华云仓-城南圆通-微信视频号</v>
      </c>
      <c r="O1221" s="5" t="s">
        <v>1259</v>
      </c>
      <c r="P1221" s="6">
        <v>0.24</v>
      </c>
      <c r="Q1221" s="11">
        <v>2</v>
      </c>
      <c r="R1221" s="11"/>
      <c r="S1221" s="11"/>
      <c r="T1221" s="11"/>
      <c r="U1221" s="11">
        <f t="shared" si="406"/>
        <v>2</v>
      </c>
      <c r="W1221">
        <v>2.2000000000000002</v>
      </c>
      <c r="X1221" s="1" t="s">
        <v>94</v>
      </c>
    </row>
    <row r="1222" spans="1:24" x14ac:dyDescent="0.25">
      <c r="A1222" s="1" t="str">
        <f t="shared" si="402"/>
        <v>卡卡杜-凤凰仓</v>
      </c>
      <c r="B1222" s="1" t="str">
        <f>"CK20241029235"</f>
        <v>CK20241029235</v>
      </c>
      <c r="C1222" s="1" t="str">
        <f>"DD202410299827"</f>
        <v>DD202410299827</v>
      </c>
      <c r="D1222" s="1" t="str">
        <f>"CK2024102915407"</f>
        <v>CK2024102915407</v>
      </c>
      <c r="E1222" s="1" t="str">
        <f>"3723629068486578176"</f>
        <v>3723629068486578176</v>
      </c>
      <c r="F1222" s="1" t="str">
        <f t="shared" si="403"/>
        <v>花都四部-凤凰仓</v>
      </c>
      <c r="G1222" s="1" t="str">
        <f t="shared" si="390"/>
        <v>卡卡杜企业店（视频号）</v>
      </c>
      <c r="H1222" s="1" t="str">
        <f t="shared" si="404"/>
        <v>正常订单</v>
      </c>
      <c r="I1222" s="1" t="str">
        <f t="shared" si="405"/>
        <v>已发货</v>
      </c>
      <c r="J1222" s="1" t="str">
        <f t="shared" si="401"/>
        <v>3</v>
      </c>
      <c r="K1222" s="1">
        <v>2</v>
      </c>
      <c r="L1222" s="1" t="s">
        <v>18</v>
      </c>
      <c r="M1222" s="1" t="str">
        <f>"广东省 汕头市 龙湖区 "</f>
        <v xml:space="preserve">广东省 汕头市 龙湖区 </v>
      </c>
      <c r="N1222" s="1" t="str">
        <f t="shared" si="392"/>
        <v>凡华云仓-城南圆通-微信视频号</v>
      </c>
      <c r="O1222" s="5" t="s">
        <v>1260</v>
      </c>
      <c r="P1222" s="6">
        <v>0.24</v>
      </c>
      <c r="Q1222" s="11">
        <v>2</v>
      </c>
      <c r="R1222" s="11"/>
      <c r="S1222" s="11"/>
      <c r="T1222" s="11"/>
      <c r="U1222" s="11">
        <f t="shared" si="406"/>
        <v>2</v>
      </c>
      <c r="W1222">
        <v>2.2000000000000002</v>
      </c>
      <c r="X1222" s="1" t="s">
        <v>18</v>
      </c>
    </row>
    <row r="1223" spans="1:24" x14ac:dyDescent="0.25">
      <c r="A1223" s="1" t="str">
        <f t="shared" si="402"/>
        <v>卡卡杜-凤凰仓</v>
      </c>
      <c r="B1223" s="1" t="str">
        <f>"CK20241029236"</f>
        <v>CK20241029236</v>
      </c>
      <c r="C1223" s="1" t="str">
        <f>"DD202410299828"</f>
        <v>DD202410299828</v>
      </c>
      <c r="D1223" s="1" t="str">
        <f>"CK2024102915406"</f>
        <v>CK2024102915406</v>
      </c>
      <c r="E1223" s="1" t="str">
        <f>"3723628964178170880"</f>
        <v>3723628964178170880</v>
      </c>
      <c r="F1223" s="1" t="str">
        <f t="shared" si="403"/>
        <v>花都四部-凤凰仓</v>
      </c>
      <c r="G1223" s="1" t="str">
        <f t="shared" si="390"/>
        <v>卡卡杜企业店（视频号）</v>
      </c>
      <c r="H1223" s="1" t="str">
        <f t="shared" si="404"/>
        <v>正常订单</v>
      </c>
      <c r="I1223" s="1" t="str">
        <f t="shared" si="405"/>
        <v>已发货</v>
      </c>
      <c r="J1223" s="1" t="str">
        <f t="shared" si="401"/>
        <v>3</v>
      </c>
      <c r="K1223" s="1">
        <v>2</v>
      </c>
      <c r="L1223" s="1" t="s">
        <v>105</v>
      </c>
      <c r="M1223" s="1" t="str">
        <f>"北京 北京市 朝阳区 "</f>
        <v xml:space="preserve">北京 北京市 朝阳区 </v>
      </c>
      <c r="N1223" s="1" t="str">
        <f t="shared" si="392"/>
        <v>凡华云仓-城南圆通-微信视频号</v>
      </c>
      <c r="O1223" s="5" t="s">
        <v>1261</v>
      </c>
      <c r="P1223" s="6">
        <v>0.24</v>
      </c>
      <c r="Q1223" s="11">
        <v>2</v>
      </c>
      <c r="R1223" s="11"/>
      <c r="S1223" s="11"/>
      <c r="T1223" s="11"/>
      <c r="U1223" s="11">
        <f t="shared" si="406"/>
        <v>2</v>
      </c>
      <c r="W1223">
        <v>2.2000000000000002</v>
      </c>
      <c r="X1223" s="1" t="s">
        <v>105</v>
      </c>
    </row>
    <row r="1224" spans="1:24" x14ac:dyDescent="0.25">
      <c r="A1224" s="1" t="str">
        <f t="shared" si="402"/>
        <v>卡卡杜-凤凰仓</v>
      </c>
      <c r="B1224" s="1" t="str">
        <f>"CK20241029137"</f>
        <v>CK20241029137</v>
      </c>
      <c r="C1224" s="1" t="str">
        <f>"DD202410299519"</f>
        <v>DD202410299519</v>
      </c>
      <c r="D1224" s="1" t="str">
        <f>"CK2024102915405"</f>
        <v>CK2024102915405</v>
      </c>
      <c r="E1224" s="1" t="str">
        <f>"3723628946568384512"</f>
        <v>3723628946568384512</v>
      </c>
      <c r="F1224" s="1" t="str">
        <f t="shared" si="403"/>
        <v>花都四部-凤凰仓</v>
      </c>
      <c r="G1224" s="1" t="str">
        <f t="shared" si="390"/>
        <v>卡卡杜企业店（视频号）</v>
      </c>
      <c r="H1224" s="1" t="str">
        <f t="shared" si="404"/>
        <v>正常订单</v>
      </c>
      <c r="I1224" s="1" t="str">
        <f t="shared" si="405"/>
        <v>已发货</v>
      </c>
      <c r="J1224" s="1" t="str">
        <f t="shared" ref="J1224:J1232" si="407">"2"</f>
        <v>2</v>
      </c>
      <c r="K1224" s="1">
        <v>2</v>
      </c>
      <c r="L1224" s="1" t="s">
        <v>105</v>
      </c>
      <c r="M1224" s="1" t="str">
        <f>"北京 北京市 丰台区 "</f>
        <v xml:space="preserve">北京 北京市 丰台区 </v>
      </c>
      <c r="N1224" s="1" t="str">
        <f t="shared" si="392"/>
        <v>凡华云仓-城南圆通-微信视频号</v>
      </c>
      <c r="O1224" s="5" t="s">
        <v>1262</v>
      </c>
      <c r="P1224" s="6">
        <v>0.17</v>
      </c>
      <c r="Q1224" s="11">
        <v>2</v>
      </c>
      <c r="R1224" s="11"/>
      <c r="S1224" s="11"/>
      <c r="T1224" s="11"/>
      <c r="U1224" s="11">
        <f t="shared" si="406"/>
        <v>2</v>
      </c>
      <c r="W1224">
        <v>2.2000000000000002</v>
      </c>
      <c r="X1224" s="1" t="s">
        <v>105</v>
      </c>
    </row>
    <row r="1225" spans="1:24" x14ac:dyDescent="0.25">
      <c r="A1225" s="1" t="str">
        <f t="shared" si="402"/>
        <v>卡卡杜-凤凰仓</v>
      </c>
      <c r="B1225" s="1" t="str">
        <f>"CK20241029237"</f>
        <v>CK20241029237</v>
      </c>
      <c r="C1225" s="1" t="str">
        <f>"DD202410299831"</f>
        <v>DD202410299831</v>
      </c>
      <c r="D1225" s="1" t="str">
        <f>"CK2024102915404"</f>
        <v>CK2024102915404</v>
      </c>
      <c r="E1225" s="1" t="str">
        <f>"3723628923763166208"</f>
        <v>3723628923763166208</v>
      </c>
      <c r="F1225" s="1" t="str">
        <f t="shared" si="403"/>
        <v>花都四部-凤凰仓</v>
      </c>
      <c r="G1225" s="1" t="str">
        <f t="shared" si="390"/>
        <v>卡卡杜企业店（视频号）</v>
      </c>
      <c r="H1225" s="1" t="str">
        <f t="shared" si="404"/>
        <v>正常订单</v>
      </c>
      <c r="I1225" s="1" t="str">
        <f t="shared" si="405"/>
        <v>已发货</v>
      </c>
      <c r="J1225" s="1" t="str">
        <f t="shared" ref="J1225:J1228" si="408">"3"</f>
        <v>3</v>
      </c>
      <c r="K1225" s="1">
        <v>2</v>
      </c>
      <c r="L1225" s="1" t="s">
        <v>18</v>
      </c>
      <c r="M1225" s="1" t="str">
        <f>"广东省 广州市 海珠区 "</f>
        <v xml:space="preserve">广东省 广州市 海珠区 </v>
      </c>
      <c r="N1225" s="1" t="str">
        <f t="shared" si="392"/>
        <v>凡华云仓-城南圆通-微信视频号</v>
      </c>
      <c r="O1225" s="5" t="s">
        <v>1263</v>
      </c>
      <c r="P1225" s="6">
        <v>0.24</v>
      </c>
      <c r="Q1225" s="11">
        <v>2</v>
      </c>
      <c r="R1225" s="11"/>
      <c r="S1225" s="11"/>
      <c r="T1225" s="11"/>
      <c r="U1225" s="11">
        <f t="shared" si="406"/>
        <v>2</v>
      </c>
      <c r="W1225">
        <v>2.2000000000000002</v>
      </c>
      <c r="X1225" s="1" t="s">
        <v>18</v>
      </c>
    </row>
    <row r="1226" spans="1:24" x14ac:dyDescent="0.25">
      <c r="A1226" s="1" t="str">
        <f t="shared" si="402"/>
        <v>卡卡杜-凤凰仓</v>
      </c>
      <c r="B1226" s="1" t="str">
        <f>"CK20241029238"</f>
        <v>CK20241029238</v>
      </c>
      <c r="C1226" s="1" t="str">
        <f>"DD202410299829"</f>
        <v>DD202410299829</v>
      </c>
      <c r="D1226" s="1" t="str">
        <f>"CK2024102915403"</f>
        <v>CK2024102915403</v>
      </c>
      <c r="E1226" s="1" t="str">
        <f>"3723628911813858304"</f>
        <v>3723628911813858304</v>
      </c>
      <c r="F1226" s="1" t="str">
        <f t="shared" si="403"/>
        <v>花都四部-凤凰仓</v>
      </c>
      <c r="G1226" s="1" t="str">
        <f t="shared" si="390"/>
        <v>卡卡杜企业店（视频号）</v>
      </c>
      <c r="H1226" s="1" t="str">
        <f t="shared" si="404"/>
        <v>正常订单</v>
      </c>
      <c r="I1226" s="1" t="str">
        <f t="shared" si="405"/>
        <v>已发货</v>
      </c>
      <c r="J1226" s="1" t="str">
        <f t="shared" si="408"/>
        <v>3</v>
      </c>
      <c r="K1226" s="1">
        <v>2</v>
      </c>
      <c r="L1226" s="1" t="s">
        <v>66</v>
      </c>
      <c r="M1226" s="1" t="str">
        <f>"内蒙古自治区 呼和浩特市 赛罕区 "</f>
        <v xml:space="preserve">内蒙古自治区 呼和浩特市 赛罕区 </v>
      </c>
      <c r="N1226" s="1" t="str">
        <f t="shared" si="392"/>
        <v>凡华云仓-城南圆通-微信视频号</v>
      </c>
      <c r="O1226" s="5" t="s">
        <v>1264</v>
      </c>
      <c r="P1226" s="6">
        <v>0.24</v>
      </c>
      <c r="Q1226" s="11">
        <v>2</v>
      </c>
      <c r="R1226" s="11"/>
      <c r="S1226" s="11"/>
      <c r="T1226" s="11"/>
      <c r="U1226" s="11">
        <f t="shared" si="406"/>
        <v>2</v>
      </c>
      <c r="W1226">
        <v>2.2000000000000002</v>
      </c>
      <c r="X1226" s="1" t="s">
        <v>66</v>
      </c>
    </row>
    <row r="1227" spans="1:24" x14ac:dyDescent="0.25">
      <c r="A1227" s="1" t="str">
        <f t="shared" si="402"/>
        <v>卡卡杜-凤凰仓</v>
      </c>
      <c r="B1227" s="1" t="str">
        <f>"CK2024102926"</f>
        <v>CK2024102926</v>
      </c>
      <c r="C1227" s="1" t="str">
        <f>"DD202410299404"</f>
        <v>DD202410299404</v>
      </c>
      <c r="D1227" s="1" t="str">
        <f>"CK2024102915402"</f>
        <v>CK2024102915402</v>
      </c>
      <c r="E1227" s="1" t="str">
        <f>"3723628794010014720"</f>
        <v>3723628794010014720</v>
      </c>
      <c r="F1227" s="1" t="str">
        <f t="shared" si="403"/>
        <v>花都四部-凤凰仓</v>
      </c>
      <c r="G1227" s="1" t="str">
        <f t="shared" si="390"/>
        <v>卡卡杜企业店（视频号）</v>
      </c>
      <c r="H1227" s="1" t="str">
        <f t="shared" si="404"/>
        <v>正常订单</v>
      </c>
      <c r="I1227" s="1" t="str">
        <f t="shared" si="405"/>
        <v>已发货</v>
      </c>
      <c r="J1227" s="1" t="str">
        <f t="shared" si="407"/>
        <v>2</v>
      </c>
      <c r="K1227" s="1">
        <v>2</v>
      </c>
      <c r="L1227" s="1" t="s">
        <v>18</v>
      </c>
      <c r="M1227" s="1" t="str">
        <f>"广东省 深圳市 龙岗区 "</f>
        <v xml:space="preserve">广东省 深圳市 龙岗区 </v>
      </c>
      <c r="N1227" s="1" t="str">
        <f t="shared" si="392"/>
        <v>凡华云仓-城南圆通-微信视频号</v>
      </c>
      <c r="O1227" s="5" t="s">
        <v>1265</v>
      </c>
      <c r="P1227" s="6">
        <v>0.17</v>
      </c>
      <c r="Q1227" s="11">
        <v>2</v>
      </c>
      <c r="R1227" s="11"/>
      <c r="S1227" s="11"/>
      <c r="T1227" s="11"/>
      <c r="U1227" s="11">
        <f t="shared" si="406"/>
        <v>2</v>
      </c>
      <c r="W1227">
        <v>2.2000000000000002</v>
      </c>
      <c r="X1227" s="1" t="s">
        <v>18</v>
      </c>
    </row>
    <row r="1228" spans="1:24" x14ac:dyDescent="0.25">
      <c r="A1228" s="1" t="str">
        <f t="shared" si="402"/>
        <v>卡卡杜-凤凰仓</v>
      </c>
      <c r="B1228" s="1" t="str">
        <f>"CK20241029239"</f>
        <v>CK20241029239</v>
      </c>
      <c r="C1228" s="1" t="str">
        <f>"DD202410299830"</f>
        <v>DD202410299830</v>
      </c>
      <c r="D1228" s="1" t="str">
        <f>"CK2024102915401"</f>
        <v>CK2024102915401</v>
      </c>
      <c r="E1228" s="1" t="str">
        <f>"3723628892462387202"</f>
        <v>3723628892462387202</v>
      </c>
      <c r="F1228" s="1" t="str">
        <f t="shared" si="403"/>
        <v>花都四部-凤凰仓</v>
      </c>
      <c r="G1228" s="1" t="str">
        <f t="shared" si="390"/>
        <v>卡卡杜企业店（视频号）</v>
      </c>
      <c r="H1228" s="1" t="str">
        <f t="shared" si="404"/>
        <v>正常订单</v>
      </c>
      <c r="I1228" s="1" t="str">
        <f t="shared" si="405"/>
        <v>已发货</v>
      </c>
      <c r="J1228" s="1" t="str">
        <f t="shared" si="408"/>
        <v>3</v>
      </c>
      <c r="K1228" s="1">
        <v>2</v>
      </c>
      <c r="L1228" s="1" t="s">
        <v>105</v>
      </c>
      <c r="M1228" s="1" t="str">
        <f>"北京 北京市 海淀区 "</f>
        <v xml:space="preserve">北京 北京市 海淀区 </v>
      </c>
      <c r="N1228" s="1" t="str">
        <f t="shared" si="392"/>
        <v>凡华云仓-城南圆通-微信视频号</v>
      </c>
      <c r="O1228" s="5" t="s">
        <v>1266</v>
      </c>
      <c r="P1228" s="6">
        <v>0.24</v>
      </c>
      <c r="Q1228" s="11">
        <v>2</v>
      </c>
      <c r="R1228" s="11"/>
      <c r="S1228" s="11"/>
      <c r="T1228" s="11"/>
      <c r="U1228" s="11">
        <f t="shared" si="406"/>
        <v>2</v>
      </c>
      <c r="W1228">
        <v>2.2000000000000002</v>
      </c>
      <c r="X1228" s="1" t="s">
        <v>105</v>
      </c>
    </row>
    <row r="1229" spans="1:24" x14ac:dyDescent="0.25">
      <c r="A1229" s="1" t="str">
        <f t="shared" si="402"/>
        <v>卡卡杜-凤凰仓</v>
      </c>
      <c r="B1229" s="1" t="str">
        <f>"CK20241029139"</f>
        <v>CK20241029139</v>
      </c>
      <c r="C1229" s="1" t="str">
        <f>"DD202410299521"</f>
        <v>DD202410299521</v>
      </c>
      <c r="D1229" s="1" t="str">
        <f>"CK2024102915400"</f>
        <v>CK2024102915400</v>
      </c>
      <c r="E1229" s="1" t="str">
        <f>"3723628828032107776"</f>
        <v>3723628828032107776</v>
      </c>
      <c r="F1229" s="1" t="str">
        <f t="shared" si="403"/>
        <v>花都四部-凤凰仓</v>
      </c>
      <c r="G1229" s="1" t="str">
        <f t="shared" si="390"/>
        <v>卡卡杜企业店（视频号）</v>
      </c>
      <c r="H1229" s="1" t="str">
        <f t="shared" si="404"/>
        <v>正常订单</v>
      </c>
      <c r="I1229" s="1" t="str">
        <f t="shared" si="405"/>
        <v>已发货</v>
      </c>
      <c r="J1229" s="1" t="str">
        <f t="shared" si="407"/>
        <v>2</v>
      </c>
      <c r="K1229" s="1">
        <v>2</v>
      </c>
      <c r="L1229" s="1" t="s">
        <v>109</v>
      </c>
      <c r="M1229" s="1" t="str">
        <f>"山西省 太原市 杏花岭区 "</f>
        <v xml:space="preserve">山西省 太原市 杏花岭区 </v>
      </c>
      <c r="N1229" s="1" t="str">
        <f t="shared" si="392"/>
        <v>凡华云仓-城南圆通-微信视频号</v>
      </c>
      <c r="O1229" s="5" t="s">
        <v>1267</v>
      </c>
      <c r="P1229" s="6">
        <v>0.17</v>
      </c>
      <c r="Q1229" s="11">
        <v>2</v>
      </c>
      <c r="R1229" s="11"/>
      <c r="S1229" s="11"/>
      <c r="T1229" s="11"/>
      <c r="U1229" s="11">
        <f t="shared" si="406"/>
        <v>2</v>
      </c>
      <c r="W1229">
        <v>2.2000000000000002</v>
      </c>
      <c r="X1229" s="1" t="s">
        <v>109</v>
      </c>
    </row>
    <row r="1230" spans="1:24" x14ac:dyDescent="0.25">
      <c r="A1230" s="1" t="str">
        <f t="shared" si="402"/>
        <v>卡卡杜-凤凰仓</v>
      </c>
      <c r="B1230" s="1" t="str">
        <f>"CK2024102923"</f>
        <v>CK2024102923</v>
      </c>
      <c r="C1230" s="1" t="str">
        <f>"DD202410299394"</f>
        <v>DD202410299394</v>
      </c>
      <c r="D1230" s="1" t="str">
        <f>"CK2024102915399"</f>
        <v>CK2024102915399</v>
      </c>
      <c r="E1230" s="1" t="str">
        <f>"3723628779694327040"</f>
        <v>3723628779694327040</v>
      </c>
      <c r="F1230" s="1" t="str">
        <f t="shared" si="403"/>
        <v>花都四部-凤凰仓</v>
      </c>
      <c r="G1230" s="1" t="str">
        <f t="shared" si="390"/>
        <v>卡卡杜企业店（视频号）</v>
      </c>
      <c r="H1230" s="1" t="str">
        <f t="shared" si="404"/>
        <v>正常订单</v>
      </c>
      <c r="I1230" s="1" t="str">
        <f t="shared" si="405"/>
        <v>已发货</v>
      </c>
      <c r="J1230" s="1" t="str">
        <f t="shared" si="407"/>
        <v>2</v>
      </c>
      <c r="K1230" s="1">
        <v>2</v>
      </c>
      <c r="L1230" s="1" t="s">
        <v>161</v>
      </c>
      <c r="M1230" s="1" t="str">
        <f>"四川省 成都市 青羊区 "</f>
        <v xml:space="preserve">四川省 成都市 青羊区 </v>
      </c>
      <c r="N1230" s="1" t="str">
        <f t="shared" si="392"/>
        <v>凡华云仓-城南圆通-微信视频号</v>
      </c>
      <c r="O1230" s="5" t="s">
        <v>1268</v>
      </c>
      <c r="P1230" s="6">
        <v>0.17</v>
      </c>
      <c r="Q1230" s="11">
        <v>2</v>
      </c>
      <c r="R1230" s="11"/>
      <c r="S1230" s="11"/>
      <c r="T1230" s="11"/>
      <c r="U1230" s="11">
        <f t="shared" si="406"/>
        <v>2</v>
      </c>
      <c r="W1230">
        <v>2.2000000000000002</v>
      </c>
      <c r="X1230" s="1" t="s">
        <v>161</v>
      </c>
    </row>
    <row r="1231" spans="1:24" x14ac:dyDescent="0.25">
      <c r="A1231" s="1" t="str">
        <f t="shared" si="402"/>
        <v>卡卡杜-凤凰仓</v>
      </c>
      <c r="B1231" s="1" t="str">
        <f>"CK20241029149"</f>
        <v>CK20241029149</v>
      </c>
      <c r="C1231" s="1" t="str">
        <f>"DD202410299531"</f>
        <v>DD202410299531</v>
      </c>
      <c r="D1231" s="1" t="str">
        <f>"CK2024102915398"</f>
        <v>CK2024102915398</v>
      </c>
      <c r="E1231" s="1" t="str">
        <f>"3723628821963998720"</f>
        <v>3723628821963998720</v>
      </c>
      <c r="F1231" s="1" t="str">
        <f t="shared" si="403"/>
        <v>花都四部-凤凰仓</v>
      </c>
      <c r="G1231" s="1" t="str">
        <f t="shared" si="390"/>
        <v>卡卡杜企业店（视频号）</v>
      </c>
      <c r="H1231" s="1" t="str">
        <f t="shared" si="404"/>
        <v>正常订单</v>
      </c>
      <c r="I1231" s="1" t="str">
        <f t="shared" si="405"/>
        <v>已发货</v>
      </c>
      <c r="J1231" s="1" t="str">
        <f t="shared" si="407"/>
        <v>2</v>
      </c>
      <c r="K1231" s="1">
        <v>2</v>
      </c>
      <c r="L1231" s="1" t="s">
        <v>18</v>
      </c>
      <c r="M1231" s="1" t="str">
        <f>"广东省 广州市 天河区 "</f>
        <v xml:space="preserve">广东省 广州市 天河区 </v>
      </c>
      <c r="N1231" s="1" t="str">
        <f t="shared" si="392"/>
        <v>凡华云仓-城南圆通-微信视频号</v>
      </c>
      <c r="O1231" s="5" t="s">
        <v>1269</v>
      </c>
      <c r="P1231" s="6">
        <v>0.17</v>
      </c>
      <c r="Q1231" s="11">
        <v>2</v>
      </c>
      <c r="R1231" s="11"/>
      <c r="S1231" s="11"/>
      <c r="T1231" s="11"/>
      <c r="U1231" s="11">
        <f t="shared" si="406"/>
        <v>2</v>
      </c>
      <c r="W1231">
        <v>2.2000000000000002</v>
      </c>
      <c r="X1231" s="1" t="s">
        <v>18</v>
      </c>
    </row>
    <row r="1232" spans="1:24" x14ac:dyDescent="0.25">
      <c r="A1232" s="1" t="str">
        <f t="shared" si="402"/>
        <v>卡卡杜-凤凰仓</v>
      </c>
      <c r="B1232" s="1" t="str">
        <f>"CK20241029155"</f>
        <v>CK20241029155</v>
      </c>
      <c r="C1232" s="1" t="str">
        <f>"DD202410299537"</f>
        <v>DD202410299537</v>
      </c>
      <c r="D1232" s="1" t="str">
        <f>"CK2024102915397"</f>
        <v>CK2024102915397</v>
      </c>
      <c r="E1232" s="1" t="str">
        <f>"3723628826098535424"</f>
        <v>3723628826098535424</v>
      </c>
      <c r="F1232" s="1" t="str">
        <f t="shared" si="403"/>
        <v>花都四部-凤凰仓</v>
      </c>
      <c r="G1232" s="1" t="str">
        <f t="shared" si="390"/>
        <v>卡卡杜企业店（视频号）</v>
      </c>
      <c r="H1232" s="1" t="str">
        <f t="shared" si="404"/>
        <v>正常订单</v>
      </c>
      <c r="I1232" s="1" t="str">
        <f t="shared" si="405"/>
        <v>已发货</v>
      </c>
      <c r="J1232" s="1" t="str">
        <f t="shared" si="407"/>
        <v>2</v>
      </c>
      <c r="K1232" s="1">
        <v>2</v>
      </c>
      <c r="L1232" s="1" t="s">
        <v>18</v>
      </c>
      <c r="M1232" s="1" t="str">
        <f>"广东省 广州市 越秀区 "</f>
        <v xml:space="preserve">广东省 广州市 越秀区 </v>
      </c>
      <c r="N1232" s="1" t="str">
        <f t="shared" si="392"/>
        <v>凡华云仓-城南圆通-微信视频号</v>
      </c>
      <c r="O1232" s="5" t="s">
        <v>1270</v>
      </c>
      <c r="P1232" s="6">
        <v>0.17</v>
      </c>
      <c r="Q1232" s="11">
        <v>2</v>
      </c>
      <c r="R1232" s="11"/>
      <c r="S1232" s="11"/>
      <c r="T1232" s="11"/>
      <c r="U1232" s="11">
        <f t="shared" si="406"/>
        <v>2</v>
      </c>
      <c r="W1232">
        <v>2.2000000000000002</v>
      </c>
      <c r="X1232" s="1" t="s">
        <v>18</v>
      </c>
    </row>
    <row r="1233" spans="1:24" x14ac:dyDescent="0.25">
      <c r="A1233" s="1" t="str">
        <f t="shared" si="402"/>
        <v>卡卡杜-凤凰仓</v>
      </c>
      <c r="B1233" s="1" t="str">
        <f>"CK20241029240"</f>
        <v>CK20241029240</v>
      </c>
      <c r="C1233" s="1" t="str">
        <f>"DD202410299832"</f>
        <v>DD202410299832</v>
      </c>
      <c r="D1233" s="1" t="str">
        <f>"CK2024102915396"</f>
        <v>CK2024102915396</v>
      </c>
      <c r="E1233" s="1" t="str">
        <f>"3723628817552118784"</f>
        <v>3723628817552118784</v>
      </c>
      <c r="F1233" s="1" t="str">
        <f t="shared" si="403"/>
        <v>花都四部-凤凰仓</v>
      </c>
      <c r="G1233" s="1" t="str">
        <f t="shared" si="390"/>
        <v>卡卡杜企业店（视频号）</v>
      </c>
      <c r="H1233" s="1" t="str">
        <f t="shared" si="404"/>
        <v>正常订单</v>
      </c>
      <c r="I1233" s="1" t="str">
        <f t="shared" si="405"/>
        <v>已发货</v>
      </c>
      <c r="J1233" s="1" t="str">
        <f t="shared" ref="J1233:J1236" si="409">"3"</f>
        <v>3</v>
      </c>
      <c r="K1233" s="1">
        <v>2</v>
      </c>
      <c r="L1233" s="1" t="s">
        <v>96</v>
      </c>
      <c r="M1233" s="1" t="str">
        <f>"广西壮族自治区 南宁市 青秀区 "</f>
        <v xml:space="preserve">广西壮族自治区 南宁市 青秀区 </v>
      </c>
      <c r="N1233" s="1" t="str">
        <f t="shared" si="392"/>
        <v>凡华云仓-城南圆通-微信视频号</v>
      </c>
      <c r="O1233" s="5" t="s">
        <v>1271</v>
      </c>
      <c r="P1233" s="6">
        <v>0.24</v>
      </c>
      <c r="Q1233" s="11">
        <v>2</v>
      </c>
      <c r="R1233" s="11"/>
      <c r="S1233" s="11"/>
      <c r="T1233" s="11"/>
      <c r="U1233" s="11">
        <f t="shared" si="406"/>
        <v>2</v>
      </c>
      <c r="W1233">
        <v>2.2000000000000002</v>
      </c>
      <c r="X1233" s="1" t="s">
        <v>96</v>
      </c>
    </row>
    <row r="1234" spans="1:24" x14ac:dyDescent="0.25">
      <c r="A1234" s="1" t="str">
        <f t="shared" si="402"/>
        <v>卡卡杜-凤凰仓</v>
      </c>
      <c r="B1234" s="1" t="str">
        <f>"CK20241029242"</f>
        <v>CK20241029242</v>
      </c>
      <c r="C1234" s="1" t="str">
        <f>"DD202410299834"</f>
        <v>DD202410299834</v>
      </c>
      <c r="D1234" s="1" t="str">
        <f>"CK2024102915395"</f>
        <v>CK2024102915395</v>
      </c>
      <c r="E1234" s="1" t="str">
        <f>"3723628813553896448"</f>
        <v>3723628813553896448</v>
      </c>
      <c r="F1234" s="1" t="str">
        <f t="shared" si="403"/>
        <v>花都四部-凤凰仓</v>
      </c>
      <c r="G1234" s="1" t="str">
        <f t="shared" si="390"/>
        <v>卡卡杜企业店（视频号）</v>
      </c>
      <c r="H1234" s="1" t="str">
        <f t="shared" si="404"/>
        <v>正常订单</v>
      </c>
      <c r="I1234" s="1" t="str">
        <f t="shared" si="405"/>
        <v>已发货</v>
      </c>
      <c r="J1234" s="1" t="str">
        <f t="shared" si="409"/>
        <v>3</v>
      </c>
      <c r="K1234" s="1">
        <v>2</v>
      </c>
      <c r="L1234" s="1" t="s">
        <v>24</v>
      </c>
      <c r="M1234" s="1" t="str">
        <f>"福建省 厦门市 集美区 "</f>
        <v xml:space="preserve">福建省 厦门市 集美区 </v>
      </c>
      <c r="N1234" s="1" t="str">
        <f t="shared" si="392"/>
        <v>凡华云仓-城南圆通-微信视频号</v>
      </c>
      <c r="O1234" s="5" t="s">
        <v>1272</v>
      </c>
      <c r="P1234" s="6">
        <v>0.24</v>
      </c>
      <c r="Q1234" s="11">
        <v>2</v>
      </c>
      <c r="R1234" s="11"/>
      <c r="S1234" s="11"/>
      <c r="T1234" s="11"/>
      <c r="U1234" s="11">
        <f t="shared" si="406"/>
        <v>2</v>
      </c>
      <c r="W1234">
        <v>2.2000000000000002</v>
      </c>
      <c r="X1234" s="1" t="s">
        <v>24</v>
      </c>
    </row>
    <row r="1235" spans="1:24" x14ac:dyDescent="0.25">
      <c r="A1235" s="1" t="str">
        <f t="shared" si="402"/>
        <v>卡卡杜-凤凰仓</v>
      </c>
      <c r="B1235" s="1" t="str">
        <f>"CK20241029241"</f>
        <v>CK20241029241</v>
      </c>
      <c r="C1235" s="1" t="str">
        <f>"DD202410299833"</f>
        <v>DD202410299833</v>
      </c>
      <c r="D1235" s="1" t="str">
        <f>"CK2024102915394"</f>
        <v>CK2024102915394</v>
      </c>
      <c r="E1235" s="1" t="str">
        <f>"3723628816216753664"</f>
        <v>3723628816216753664</v>
      </c>
      <c r="F1235" s="1" t="str">
        <f t="shared" si="403"/>
        <v>花都四部-凤凰仓</v>
      </c>
      <c r="G1235" s="1" t="str">
        <f t="shared" si="390"/>
        <v>卡卡杜企业店（视频号）</v>
      </c>
      <c r="H1235" s="1" t="str">
        <f t="shared" si="404"/>
        <v>正常订单</v>
      </c>
      <c r="I1235" s="1" t="str">
        <f t="shared" si="405"/>
        <v>已发货</v>
      </c>
      <c r="J1235" s="1" t="str">
        <f t="shared" si="409"/>
        <v>3</v>
      </c>
      <c r="K1235" s="1">
        <v>2</v>
      </c>
      <c r="L1235" s="1" t="s">
        <v>47</v>
      </c>
      <c r="M1235" s="1" t="str">
        <f>"重庆 重庆市 九龙坡区 "</f>
        <v xml:space="preserve">重庆 重庆市 九龙坡区 </v>
      </c>
      <c r="N1235" s="1" t="str">
        <f t="shared" si="392"/>
        <v>凡华云仓-城南圆通-微信视频号</v>
      </c>
      <c r="O1235" s="5" t="s">
        <v>1273</v>
      </c>
      <c r="P1235" s="6">
        <v>0.24</v>
      </c>
      <c r="Q1235" s="11">
        <v>2</v>
      </c>
      <c r="R1235" s="11"/>
      <c r="S1235" s="11"/>
      <c r="T1235" s="11"/>
      <c r="U1235" s="11">
        <f t="shared" si="406"/>
        <v>2</v>
      </c>
      <c r="W1235">
        <v>2.2000000000000002</v>
      </c>
      <c r="X1235" s="1" t="s">
        <v>47</v>
      </c>
    </row>
    <row r="1236" spans="1:24" x14ac:dyDescent="0.25">
      <c r="A1236" s="1" t="str">
        <f t="shared" si="402"/>
        <v>卡卡杜-凤凰仓</v>
      </c>
      <c r="B1236" s="1" t="str">
        <f>"CK20241029243"</f>
        <v>CK20241029243</v>
      </c>
      <c r="C1236" s="1" t="str">
        <f>"DD202410299835"</f>
        <v>DD202410299835</v>
      </c>
      <c r="D1236" s="1" t="str">
        <f>"CK2024102915393"</f>
        <v>CK2024102915393</v>
      </c>
      <c r="E1236" s="1" t="str">
        <f>"3723628810176955648"</f>
        <v>3723628810176955648</v>
      </c>
      <c r="F1236" s="1" t="str">
        <f t="shared" si="403"/>
        <v>花都四部-凤凰仓</v>
      </c>
      <c r="G1236" s="1" t="str">
        <f t="shared" si="390"/>
        <v>卡卡杜企业店（视频号）</v>
      </c>
      <c r="H1236" s="1" t="str">
        <f t="shared" si="404"/>
        <v>正常订单</v>
      </c>
      <c r="I1236" s="1" t="str">
        <f t="shared" si="405"/>
        <v>已发货</v>
      </c>
      <c r="J1236" s="1" t="str">
        <f t="shared" si="409"/>
        <v>3</v>
      </c>
      <c r="K1236" s="1">
        <v>2</v>
      </c>
      <c r="L1236" s="1" t="s">
        <v>16</v>
      </c>
      <c r="M1236" s="1" t="str">
        <f>"河北省 石家庄市 正定县 "</f>
        <v xml:space="preserve">河北省 石家庄市 正定县 </v>
      </c>
      <c r="N1236" s="1" t="str">
        <f t="shared" si="392"/>
        <v>凡华云仓-城南圆通-微信视频号</v>
      </c>
      <c r="O1236" s="5" t="s">
        <v>1274</v>
      </c>
      <c r="P1236" s="6">
        <v>0.24</v>
      </c>
      <c r="Q1236" s="11">
        <v>2</v>
      </c>
      <c r="R1236" s="11"/>
      <c r="S1236" s="11"/>
      <c r="T1236" s="11"/>
      <c r="U1236" s="11">
        <f t="shared" si="406"/>
        <v>2</v>
      </c>
      <c r="W1236">
        <v>2.2000000000000002</v>
      </c>
      <c r="X1236" s="1" t="s">
        <v>16</v>
      </c>
    </row>
    <row r="1237" spans="1:24" x14ac:dyDescent="0.25">
      <c r="A1237" s="1" t="str">
        <f t="shared" si="402"/>
        <v>卡卡杜-凤凰仓</v>
      </c>
      <c r="B1237" s="1" t="str">
        <f>"CK2024102975"</f>
        <v>CK2024102975</v>
      </c>
      <c r="C1237" s="1" t="str">
        <f>"DD202410299459"</f>
        <v>DD202410299459</v>
      </c>
      <c r="D1237" s="1" t="str">
        <f>"CK2024102915392"</f>
        <v>CK2024102915392</v>
      </c>
      <c r="E1237" s="1" t="str">
        <f>"3723628800461112577"</f>
        <v>3723628800461112577</v>
      </c>
      <c r="F1237" s="1" t="str">
        <f t="shared" si="403"/>
        <v>花都四部-凤凰仓</v>
      </c>
      <c r="G1237" s="1" t="str">
        <f t="shared" si="390"/>
        <v>卡卡杜企业店（视频号）</v>
      </c>
      <c r="H1237" s="1" t="str">
        <f t="shared" si="404"/>
        <v>正常订单</v>
      </c>
      <c r="I1237" s="1" t="str">
        <f t="shared" si="405"/>
        <v>已发货</v>
      </c>
      <c r="J1237" s="1" t="str">
        <f t="shared" ref="J1237:J1239" si="410">"2"</f>
        <v>2</v>
      </c>
      <c r="K1237" s="1">
        <v>2</v>
      </c>
      <c r="L1237" s="1" t="s">
        <v>54</v>
      </c>
      <c r="M1237" s="1" t="str">
        <f>"黑龙江省 哈尔滨市 香坊区 "</f>
        <v xml:space="preserve">黑龙江省 哈尔滨市 香坊区 </v>
      </c>
      <c r="N1237" s="1" t="str">
        <f t="shared" si="392"/>
        <v>凡华云仓-城南圆通-微信视频号</v>
      </c>
      <c r="O1237" s="5" t="s">
        <v>1275</v>
      </c>
      <c r="P1237" s="6">
        <v>0.17</v>
      </c>
      <c r="Q1237" s="11">
        <v>2</v>
      </c>
      <c r="R1237" s="11"/>
      <c r="S1237" s="11"/>
      <c r="T1237" s="11"/>
      <c r="U1237" s="11">
        <f t="shared" si="406"/>
        <v>2</v>
      </c>
      <c r="W1237">
        <v>2.2000000000000002</v>
      </c>
      <c r="X1237" s="1" t="s">
        <v>54</v>
      </c>
    </row>
    <row r="1238" spans="1:24" x14ac:dyDescent="0.25">
      <c r="A1238" s="1" t="str">
        <f t="shared" si="402"/>
        <v>卡卡杜-凤凰仓</v>
      </c>
      <c r="B1238" s="1" t="str">
        <f>"CK20241029154"</f>
        <v>CK20241029154</v>
      </c>
      <c r="C1238" s="1" t="str">
        <f>"DD202410299536"</f>
        <v>DD202410299536</v>
      </c>
      <c r="D1238" s="1" t="str">
        <f>"CK2024102915391"</f>
        <v>CK2024102915391</v>
      </c>
      <c r="E1238" s="1" t="str">
        <f>"3723628801355026432"</f>
        <v>3723628801355026432</v>
      </c>
      <c r="F1238" s="1" t="str">
        <f t="shared" si="403"/>
        <v>花都四部-凤凰仓</v>
      </c>
      <c r="G1238" s="1" t="str">
        <f t="shared" si="390"/>
        <v>卡卡杜企业店（视频号）</v>
      </c>
      <c r="H1238" s="1" t="str">
        <f t="shared" si="404"/>
        <v>正常订单</v>
      </c>
      <c r="I1238" s="1" t="str">
        <f t="shared" si="405"/>
        <v>已发货</v>
      </c>
      <c r="J1238" s="1" t="str">
        <f t="shared" si="410"/>
        <v>2</v>
      </c>
      <c r="K1238" s="1">
        <v>2</v>
      </c>
      <c r="L1238" s="1" t="s">
        <v>13</v>
      </c>
      <c r="M1238" s="1" t="str">
        <f>"江苏省 苏州市 苏州工业园区 "</f>
        <v xml:space="preserve">江苏省 苏州市 苏州工业园区 </v>
      </c>
      <c r="N1238" s="1" t="str">
        <f t="shared" si="392"/>
        <v>凡华云仓-城南圆通-微信视频号</v>
      </c>
      <c r="O1238" s="5" t="s">
        <v>1276</v>
      </c>
      <c r="P1238" s="6">
        <v>0.17</v>
      </c>
      <c r="Q1238" s="11">
        <v>2</v>
      </c>
      <c r="R1238" s="11"/>
      <c r="S1238" s="11"/>
      <c r="T1238" s="11"/>
      <c r="U1238" s="11">
        <f t="shared" si="406"/>
        <v>2</v>
      </c>
      <c r="W1238">
        <v>2.2000000000000002</v>
      </c>
      <c r="X1238" s="1" t="s">
        <v>13</v>
      </c>
    </row>
    <row r="1239" spans="1:24" x14ac:dyDescent="0.25">
      <c r="A1239" s="1" t="str">
        <f t="shared" si="402"/>
        <v>卡卡杜-凤凰仓</v>
      </c>
      <c r="B1239" s="1" t="str">
        <f>"CK20241029152"</f>
        <v>CK20241029152</v>
      </c>
      <c r="C1239" s="1" t="str">
        <f>"DD202410299534"</f>
        <v>DD202410299534</v>
      </c>
      <c r="D1239" s="1" t="str">
        <f>"CK2024102915390"</f>
        <v>CK2024102915390</v>
      </c>
      <c r="E1239" s="1" t="str">
        <f>"3723628796470235136"</f>
        <v>3723628796470235136</v>
      </c>
      <c r="F1239" s="1" t="str">
        <f t="shared" si="403"/>
        <v>花都四部-凤凰仓</v>
      </c>
      <c r="G1239" s="1" t="str">
        <f t="shared" ref="G1239:G1302" si="411">"卡卡杜企业店（视频号）"</f>
        <v>卡卡杜企业店（视频号）</v>
      </c>
      <c r="H1239" s="1" t="str">
        <f t="shared" si="404"/>
        <v>正常订单</v>
      </c>
      <c r="I1239" s="1" t="str">
        <f t="shared" si="405"/>
        <v>已发货</v>
      </c>
      <c r="J1239" s="1" t="str">
        <f t="shared" si="410"/>
        <v>2</v>
      </c>
      <c r="K1239" s="1">
        <v>2</v>
      </c>
      <c r="L1239" s="1" t="s">
        <v>105</v>
      </c>
      <c r="M1239" s="1" t="str">
        <f>"北京 北京市 朝阳区 "</f>
        <v xml:space="preserve">北京 北京市 朝阳区 </v>
      </c>
      <c r="N1239" s="1" t="str">
        <f t="shared" ref="N1239:N1272" si="412">"凡华云仓-城南圆通-微信视频号"</f>
        <v>凡华云仓-城南圆通-微信视频号</v>
      </c>
      <c r="O1239" s="5" t="s">
        <v>1277</v>
      </c>
      <c r="P1239" s="6">
        <v>0.17</v>
      </c>
      <c r="Q1239" s="11">
        <v>2</v>
      </c>
      <c r="R1239" s="11"/>
      <c r="S1239" s="11"/>
      <c r="T1239" s="11"/>
      <c r="U1239" s="11">
        <f t="shared" si="406"/>
        <v>2</v>
      </c>
      <c r="W1239">
        <v>2.2000000000000002</v>
      </c>
      <c r="X1239" s="1" t="s">
        <v>105</v>
      </c>
    </row>
    <row r="1240" spans="1:24" x14ac:dyDescent="0.25">
      <c r="A1240" s="1" t="str">
        <f t="shared" si="402"/>
        <v>卡卡杜-凤凰仓</v>
      </c>
      <c r="B1240" s="1" t="str">
        <f>"CK20241029244"</f>
        <v>CK20241029244</v>
      </c>
      <c r="C1240" s="1" t="str">
        <f>"DD202410299836"</f>
        <v>DD202410299836</v>
      </c>
      <c r="D1240" s="1" t="str">
        <f>"CK2024102915389"</f>
        <v>CK2024102915389</v>
      </c>
      <c r="E1240" s="1" t="str">
        <f>"3723628801866994689"</f>
        <v>3723628801866994689</v>
      </c>
      <c r="F1240" s="1" t="str">
        <f t="shared" si="403"/>
        <v>花都四部-凤凰仓</v>
      </c>
      <c r="G1240" s="1" t="str">
        <f t="shared" si="411"/>
        <v>卡卡杜企业店（视频号）</v>
      </c>
      <c r="H1240" s="1" t="str">
        <f t="shared" si="404"/>
        <v>正常订单</v>
      </c>
      <c r="I1240" s="1" t="str">
        <f t="shared" si="405"/>
        <v>已发货</v>
      </c>
      <c r="J1240" s="1" t="str">
        <f t="shared" ref="J1240:J1243" si="413">"3"</f>
        <v>3</v>
      </c>
      <c r="K1240" s="1">
        <v>2</v>
      </c>
      <c r="L1240" s="1" t="s">
        <v>105</v>
      </c>
      <c r="M1240" s="1" t="str">
        <f>"北京 北京市 大兴区 "</f>
        <v xml:space="preserve">北京 北京市 大兴区 </v>
      </c>
      <c r="N1240" s="1" t="str">
        <f t="shared" si="412"/>
        <v>凡华云仓-城南圆通-微信视频号</v>
      </c>
      <c r="O1240" s="5" t="s">
        <v>1278</v>
      </c>
      <c r="P1240" s="6">
        <v>0.24</v>
      </c>
      <c r="Q1240" s="11">
        <v>2</v>
      </c>
      <c r="R1240" s="11"/>
      <c r="S1240" s="11"/>
      <c r="T1240" s="11"/>
      <c r="U1240" s="11">
        <f t="shared" si="406"/>
        <v>2</v>
      </c>
      <c r="W1240">
        <v>2.2000000000000002</v>
      </c>
      <c r="X1240" s="1" t="s">
        <v>105</v>
      </c>
    </row>
    <row r="1241" spans="1:24" x14ac:dyDescent="0.25">
      <c r="A1241" s="1" t="str">
        <f t="shared" si="402"/>
        <v>卡卡杜-凤凰仓</v>
      </c>
      <c r="B1241" s="1" t="str">
        <f>"CK20241029245"</f>
        <v>CK20241029245</v>
      </c>
      <c r="C1241" s="1" t="str">
        <f>"DD202410299838"</f>
        <v>DD202410299838</v>
      </c>
      <c r="D1241" s="1" t="str">
        <f>"CK2024102915388"</f>
        <v>CK2024102915388</v>
      </c>
      <c r="E1241" s="1" t="str">
        <f>"3723628800878449664"</f>
        <v>3723628800878449664</v>
      </c>
      <c r="F1241" s="1" t="str">
        <f t="shared" si="403"/>
        <v>花都四部-凤凰仓</v>
      </c>
      <c r="G1241" s="1" t="str">
        <f t="shared" si="411"/>
        <v>卡卡杜企业店（视频号）</v>
      </c>
      <c r="H1241" s="1" t="str">
        <f t="shared" si="404"/>
        <v>正常订单</v>
      </c>
      <c r="I1241" s="1" t="str">
        <f t="shared" si="405"/>
        <v>已发货</v>
      </c>
      <c r="J1241" s="1" t="str">
        <f t="shared" si="413"/>
        <v>3</v>
      </c>
      <c r="K1241" s="1">
        <v>2</v>
      </c>
      <c r="L1241" s="1" t="s">
        <v>24</v>
      </c>
      <c r="M1241" s="1" t="str">
        <f>"福建省 泉州市 南安市 "</f>
        <v xml:space="preserve">福建省 泉州市 南安市 </v>
      </c>
      <c r="N1241" s="1" t="str">
        <f t="shared" si="412"/>
        <v>凡华云仓-城南圆通-微信视频号</v>
      </c>
      <c r="O1241" s="5" t="s">
        <v>1279</v>
      </c>
      <c r="P1241" s="6">
        <v>0.24</v>
      </c>
      <c r="Q1241" s="11">
        <v>2</v>
      </c>
      <c r="R1241" s="11"/>
      <c r="S1241" s="11"/>
      <c r="T1241" s="11"/>
      <c r="U1241" s="11">
        <f t="shared" si="406"/>
        <v>2</v>
      </c>
      <c r="W1241">
        <v>2.2000000000000002</v>
      </c>
      <c r="X1241" s="1" t="s">
        <v>24</v>
      </c>
    </row>
    <row r="1242" spans="1:24" x14ac:dyDescent="0.25">
      <c r="A1242" s="1" t="str">
        <f t="shared" si="402"/>
        <v>卡卡杜-凤凰仓</v>
      </c>
      <c r="B1242" s="1" t="str">
        <f>"CK20241029246"</f>
        <v>CK20241029246</v>
      </c>
      <c r="C1242" s="1" t="str">
        <f>"DD202410299837"</f>
        <v>DD202410299837</v>
      </c>
      <c r="D1242" s="1" t="str">
        <f>"CK2024102915387"</f>
        <v>CK2024102915387</v>
      </c>
      <c r="E1242" s="1" t="str">
        <f>"3723628797987263488"</f>
        <v>3723628797987263488</v>
      </c>
      <c r="F1242" s="1" t="str">
        <f t="shared" si="403"/>
        <v>花都四部-凤凰仓</v>
      </c>
      <c r="G1242" s="1" t="str">
        <f t="shared" si="411"/>
        <v>卡卡杜企业店（视频号）</v>
      </c>
      <c r="H1242" s="1" t="str">
        <f t="shared" si="404"/>
        <v>正常订单</v>
      </c>
      <c r="I1242" s="1" t="str">
        <f t="shared" si="405"/>
        <v>已发货</v>
      </c>
      <c r="J1242" s="1" t="str">
        <f t="shared" si="413"/>
        <v>3</v>
      </c>
      <c r="K1242" s="1">
        <v>2</v>
      </c>
      <c r="L1242" s="1" t="s">
        <v>20</v>
      </c>
      <c r="M1242" s="1" t="str">
        <f>"浙江省 湖州市 长兴县 "</f>
        <v xml:space="preserve">浙江省 湖州市 长兴县 </v>
      </c>
      <c r="N1242" s="1" t="str">
        <f t="shared" si="412"/>
        <v>凡华云仓-城南圆通-微信视频号</v>
      </c>
      <c r="O1242" s="5" t="s">
        <v>1280</v>
      </c>
      <c r="P1242" s="6">
        <v>0.24</v>
      </c>
      <c r="Q1242" s="11">
        <v>2</v>
      </c>
      <c r="R1242" s="11"/>
      <c r="S1242" s="11"/>
      <c r="T1242" s="11"/>
      <c r="U1242" s="11">
        <f t="shared" si="406"/>
        <v>2</v>
      </c>
      <c r="W1242">
        <v>2.2000000000000002</v>
      </c>
      <c r="X1242" s="1" t="s">
        <v>20</v>
      </c>
    </row>
    <row r="1243" spans="1:24" x14ac:dyDescent="0.25">
      <c r="A1243" s="1" t="str">
        <f t="shared" si="402"/>
        <v>卡卡杜-凤凰仓</v>
      </c>
      <c r="B1243" s="1" t="str">
        <f>"CK20241029248"</f>
        <v>CK20241029248</v>
      </c>
      <c r="C1243" s="1" t="str">
        <f>"DD202410299840"</f>
        <v>DD202410299840</v>
      </c>
      <c r="D1243" s="1" t="str">
        <f>"CK2024102915386"</f>
        <v>CK2024102915386</v>
      </c>
      <c r="E1243" s="1" t="str">
        <f>"3723628791118828544"</f>
        <v>3723628791118828544</v>
      </c>
      <c r="F1243" s="1" t="str">
        <f t="shared" si="403"/>
        <v>花都四部-凤凰仓</v>
      </c>
      <c r="G1243" s="1" t="str">
        <f t="shared" si="411"/>
        <v>卡卡杜企业店（视频号）</v>
      </c>
      <c r="H1243" s="1" t="str">
        <f t="shared" si="404"/>
        <v>正常订单</v>
      </c>
      <c r="I1243" s="1" t="str">
        <f t="shared" si="405"/>
        <v>已发货</v>
      </c>
      <c r="J1243" s="1" t="str">
        <f t="shared" si="413"/>
        <v>3</v>
      </c>
      <c r="K1243" s="1">
        <v>2</v>
      </c>
      <c r="L1243" s="1" t="s">
        <v>105</v>
      </c>
      <c r="M1243" s="1" t="str">
        <f>"北京 北京市 丰台区 "</f>
        <v xml:space="preserve">北京 北京市 丰台区 </v>
      </c>
      <c r="N1243" s="1" t="str">
        <f t="shared" si="412"/>
        <v>凡华云仓-城南圆通-微信视频号</v>
      </c>
      <c r="O1243" s="5" t="s">
        <v>1281</v>
      </c>
      <c r="P1243" s="6">
        <v>0.24</v>
      </c>
      <c r="Q1243" s="11">
        <v>2</v>
      </c>
      <c r="R1243" s="11"/>
      <c r="S1243" s="11"/>
      <c r="T1243" s="11"/>
      <c r="U1243" s="11">
        <f t="shared" si="406"/>
        <v>2</v>
      </c>
      <c r="W1243">
        <v>2.2000000000000002</v>
      </c>
      <c r="X1243" s="1" t="s">
        <v>105</v>
      </c>
    </row>
    <row r="1244" spans="1:24" x14ac:dyDescent="0.25">
      <c r="A1244" s="1" t="str">
        <f t="shared" si="402"/>
        <v>卡卡杜-凤凰仓</v>
      </c>
      <c r="B1244" s="1" t="str">
        <f>"CK2024102930"</f>
        <v>CK2024102930</v>
      </c>
      <c r="C1244" s="1" t="str">
        <f>"DD202410299408"</f>
        <v>DD202410299408</v>
      </c>
      <c r="D1244" s="1" t="str">
        <f>"CK2024102915385"</f>
        <v>CK2024102915385</v>
      </c>
      <c r="E1244" s="1" t="str">
        <f>"3723628793584290816"</f>
        <v>3723628793584290816</v>
      </c>
      <c r="F1244" s="1" t="str">
        <f t="shared" si="403"/>
        <v>花都四部-凤凰仓</v>
      </c>
      <c r="G1244" s="1" t="str">
        <f t="shared" si="411"/>
        <v>卡卡杜企业店（视频号）</v>
      </c>
      <c r="H1244" s="1" t="str">
        <f t="shared" si="404"/>
        <v>正常订单</v>
      </c>
      <c r="I1244" s="1" t="str">
        <f t="shared" si="405"/>
        <v>已发货</v>
      </c>
      <c r="J1244" s="1" t="str">
        <f t="shared" ref="J1244:J1249" si="414">"2"</f>
        <v>2</v>
      </c>
      <c r="K1244" s="1">
        <v>2</v>
      </c>
      <c r="L1244" s="1" t="s">
        <v>105</v>
      </c>
      <c r="M1244" s="1" t="str">
        <f>"北京 北京市 西城区 "</f>
        <v xml:space="preserve">北京 北京市 西城区 </v>
      </c>
      <c r="N1244" s="1" t="str">
        <f t="shared" si="412"/>
        <v>凡华云仓-城南圆通-微信视频号</v>
      </c>
      <c r="O1244" s="5" t="s">
        <v>1282</v>
      </c>
      <c r="P1244" s="6">
        <v>0.17</v>
      </c>
      <c r="Q1244" s="11">
        <v>2</v>
      </c>
      <c r="R1244" s="11"/>
      <c r="S1244" s="11"/>
      <c r="T1244" s="11"/>
      <c r="U1244" s="11">
        <f t="shared" si="406"/>
        <v>2</v>
      </c>
      <c r="W1244">
        <v>2.2000000000000002</v>
      </c>
      <c r="X1244" s="1" t="s">
        <v>105</v>
      </c>
    </row>
    <row r="1245" spans="1:24" x14ac:dyDescent="0.25">
      <c r="A1245" s="1" t="str">
        <f t="shared" si="402"/>
        <v>卡卡杜-凤凰仓</v>
      </c>
      <c r="B1245" s="1" t="str">
        <f>"CK20241029250"</f>
        <v>CK20241029250</v>
      </c>
      <c r="C1245" s="1" t="str">
        <f>"DD202410299842"</f>
        <v>DD202410299842</v>
      </c>
      <c r="D1245" s="1" t="str">
        <f>"CK2024102915384"</f>
        <v>CK2024102915384</v>
      </c>
      <c r="E1245" s="1" t="str">
        <f>"3723628793224631296"</f>
        <v>3723628793224631296</v>
      </c>
      <c r="F1245" s="1" t="str">
        <f t="shared" si="403"/>
        <v>花都四部-凤凰仓</v>
      </c>
      <c r="G1245" s="1" t="str">
        <f t="shared" si="411"/>
        <v>卡卡杜企业店（视频号）</v>
      </c>
      <c r="H1245" s="1" t="str">
        <f t="shared" si="404"/>
        <v>正常订单</v>
      </c>
      <c r="I1245" s="1" t="str">
        <f t="shared" si="405"/>
        <v>已发货</v>
      </c>
      <c r="J1245" s="1" t="str">
        <f t="shared" ref="J1245:J1248" si="415">"3"</f>
        <v>3</v>
      </c>
      <c r="K1245" s="1">
        <v>2</v>
      </c>
      <c r="L1245" s="1" t="s">
        <v>13</v>
      </c>
      <c r="M1245" s="1" t="str">
        <f>"江苏省 苏州市 姑苏区 "</f>
        <v xml:space="preserve">江苏省 苏州市 姑苏区 </v>
      </c>
      <c r="N1245" s="1" t="str">
        <f t="shared" si="412"/>
        <v>凡华云仓-城南圆通-微信视频号</v>
      </c>
      <c r="O1245" s="5" t="s">
        <v>1283</v>
      </c>
      <c r="P1245" s="6">
        <v>0.24</v>
      </c>
      <c r="Q1245" s="11">
        <v>2</v>
      </c>
      <c r="R1245" s="11"/>
      <c r="S1245" s="11"/>
      <c r="T1245" s="11"/>
      <c r="U1245" s="11">
        <f t="shared" si="406"/>
        <v>2</v>
      </c>
      <c r="W1245">
        <v>2.2000000000000002</v>
      </c>
      <c r="X1245" s="1" t="s">
        <v>13</v>
      </c>
    </row>
    <row r="1246" spans="1:24" x14ac:dyDescent="0.25">
      <c r="A1246" s="1" t="str">
        <f t="shared" si="402"/>
        <v>卡卡杜-凤凰仓</v>
      </c>
      <c r="B1246" s="1" t="str">
        <f>"CK2024102929"</f>
        <v>CK2024102929</v>
      </c>
      <c r="C1246" s="1" t="str">
        <f>"DD202410299406"</f>
        <v>DD202410299406</v>
      </c>
      <c r="D1246" s="1" t="str">
        <f>"CK2024102915383"</f>
        <v>CK2024102915383</v>
      </c>
      <c r="E1246" s="1" t="str">
        <f>"3723628794498386944"</f>
        <v>3723628794498386944</v>
      </c>
      <c r="F1246" s="1" t="str">
        <f t="shared" si="403"/>
        <v>花都四部-凤凰仓</v>
      </c>
      <c r="G1246" s="1" t="str">
        <f t="shared" si="411"/>
        <v>卡卡杜企业店（视频号）</v>
      </c>
      <c r="H1246" s="1" t="str">
        <f t="shared" si="404"/>
        <v>正常订单</v>
      </c>
      <c r="I1246" s="1" t="str">
        <f t="shared" si="405"/>
        <v>已发货</v>
      </c>
      <c r="J1246" s="1" t="str">
        <f t="shared" si="414"/>
        <v>2</v>
      </c>
      <c r="K1246" s="1">
        <v>2</v>
      </c>
      <c r="L1246" s="1" t="s">
        <v>105</v>
      </c>
      <c r="M1246" s="1" t="str">
        <f>"北京 北京市 顺义区 "</f>
        <v xml:space="preserve">北京 北京市 顺义区 </v>
      </c>
      <c r="N1246" s="1" t="str">
        <f t="shared" si="412"/>
        <v>凡华云仓-城南圆通-微信视频号</v>
      </c>
      <c r="O1246" s="5" t="s">
        <v>1284</v>
      </c>
      <c r="P1246" s="6">
        <v>0.17</v>
      </c>
      <c r="Q1246" s="11">
        <v>2</v>
      </c>
      <c r="R1246" s="11"/>
      <c r="S1246" s="11"/>
      <c r="T1246" s="11"/>
      <c r="U1246" s="11">
        <f t="shared" si="406"/>
        <v>2</v>
      </c>
      <c r="W1246">
        <v>2.2000000000000002</v>
      </c>
      <c r="X1246" s="1" t="s">
        <v>105</v>
      </c>
    </row>
    <row r="1247" spans="1:24" x14ac:dyDescent="0.25">
      <c r="A1247" s="1" t="str">
        <f t="shared" si="402"/>
        <v>卡卡杜-凤凰仓</v>
      </c>
      <c r="B1247" s="1" t="str">
        <f>"CK20241029249"</f>
        <v>CK20241029249</v>
      </c>
      <c r="C1247" s="1" t="str">
        <f>"DD202410299841"</f>
        <v>DD202410299841</v>
      </c>
      <c r="D1247" s="1" t="str">
        <f>"CK2024102915382"</f>
        <v>CK2024102915382</v>
      </c>
      <c r="E1247" s="1" t="str">
        <f>"3723628792863130881"</f>
        <v>3723628792863130881</v>
      </c>
      <c r="F1247" s="1" t="str">
        <f t="shared" si="403"/>
        <v>花都四部-凤凰仓</v>
      </c>
      <c r="G1247" s="1" t="str">
        <f t="shared" si="411"/>
        <v>卡卡杜企业店（视频号）</v>
      </c>
      <c r="H1247" s="1" t="str">
        <f t="shared" si="404"/>
        <v>正常订单</v>
      </c>
      <c r="I1247" s="1" t="str">
        <f t="shared" si="405"/>
        <v>已发货</v>
      </c>
      <c r="J1247" s="1" t="str">
        <f t="shared" si="415"/>
        <v>3</v>
      </c>
      <c r="K1247" s="1">
        <v>2</v>
      </c>
      <c r="L1247" s="1" t="s">
        <v>22</v>
      </c>
      <c r="M1247" s="1" t="str">
        <f>"江西省 宜春市 袁州区 "</f>
        <v xml:space="preserve">江西省 宜春市 袁州区 </v>
      </c>
      <c r="N1247" s="1" t="str">
        <f t="shared" si="412"/>
        <v>凡华云仓-城南圆通-微信视频号</v>
      </c>
      <c r="O1247" s="5" t="s">
        <v>1285</v>
      </c>
      <c r="P1247" s="6">
        <v>0.24</v>
      </c>
      <c r="Q1247" s="11">
        <v>2</v>
      </c>
      <c r="R1247" s="11"/>
      <c r="S1247" s="11"/>
      <c r="T1247" s="11"/>
      <c r="U1247" s="11">
        <f t="shared" si="406"/>
        <v>2</v>
      </c>
      <c r="W1247">
        <v>2.2000000000000002</v>
      </c>
      <c r="X1247" s="1" t="s">
        <v>22</v>
      </c>
    </row>
    <row r="1248" spans="1:24" x14ac:dyDescent="0.25">
      <c r="A1248" s="1" t="str">
        <f t="shared" si="402"/>
        <v>卡卡杜-凤凰仓</v>
      </c>
      <c r="B1248" s="1" t="str">
        <f>"CK20241029247"</f>
        <v>CK20241029247</v>
      </c>
      <c r="C1248" s="1" t="str">
        <f>"DD202410299839"</f>
        <v>DD202410299839</v>
      </c>
      <c r="D1248" s="1" t="str">
        <f>"CK2024102915381"</f>
        <v>CK2024102915381</v>
      </c>
      <c r="E1248" s="1" t="str">
        <f>"3723628793210212353"</f>
        <v>3723628793210212353</v>
      </c>
      <c r="F1248" s="1" t="str">
        <f t="shared" si="403"/>
        <v>花都四部-凤凰仓</v>
      </c>
      <c r="G1248" s="1" t="str">
        <f t="shared" si="411"/>
        <v>卡卡杜企业店（视频号）</v>
      </c>
      <c r="H1248" s="1" t="str">
        <f t="shared" si="404"/>
        <v>正常订单</v>
      </c>
      <c r="I1248" s="1" t="str">
        <f t="shared" si="405"/>
        <v>已发货</v>
      </c>
      <c r="J1248" s="1" t="str">
        <f t="shared" si="415"/>
        <v>3</v>
      </c>
      <c r="K1248" s="1">
        <v>2</v>
      </c>
      <c r="L1248" s="1" t="s">
        <v>52</v>
      </c>
      <c r="M1248" s="1" t="str">
        <f>"甘肃省 平凉市 崆峒区 "</f>
        <v xml:space="preserve">甘肃省 平凉市 崆峒区 </v>
      </c>
      <c r="N1248" s="1" t="str">
        <f t="shared" si="412"/>
        <v>凡华云仓-城南圆通-微信视频号</v>
      </c>
      <c r="O1248" s="5" t="s">
        <v>1286</v>
      </c>
      <c r="P1248" s="6">
        <v>0.24</v>
      </c>
      <c r="Q1248" s="11">
        <v>2</v>
      </c>
      <c r="R1248" s="11"/>
      <c r="S1248" s="11"/>
      <c r="T1248" s="11"/>
      <c r="U1248" s="11">
        <f t="shared" si="406"/>
        <v>2</v>
      </c>
      <c r="W1248">
        <v>2.2000000000000002</v>
      </c>
      <c r="X1248" s="1" t="s">
        <v>52</v>
      </c>
    </row>
    <row r="1249" spans="1:24" x14ac:dyDescent="0.25">
      <c r="A1249" s="1" t="str">
        <f t="shared" si="402"/>
        <v>卡卡杜-凤凰仓</v>
      </c>
      <c r="B1249" s="1" t="str">
        <f>"CK2024102928"</f>
        <v>CK2024102928</v>
      </c>
      <c r="C1249" s="1" t="str">
        <f>"DD202410299405"</f>
        <v>DD202410299405</v>
      </c>
      <c r="D1249" s="1" t="str">
        <f>"CK2024102915380"</f>
        <v>CK2024102915380</v>
      </c>
      <c r="E1249" s="1" t="str">
        <f>"3723628796128137216"</f>
        <v>3723628796128137216</v>
      </c>
      <c r="F1249" s="1" t="str">
        <f t="shared" si="403"/>
        <v>花都四部-凤凰仓</v>
      </c>
      <c r="G1249" s="1" t="str">
        <f t="shared" si="411"/>
        <v>卡卡杜企业店（视频号）</v>
      </c>
      <c r="H1249" s="1" t="str">
        <f t="shared" si="404"/>
        <v>正常订单</v>
      </c>
      <c r="I1249" s="1" t="str">
        <f t="shared" si="405"/>
        <v>已发货</v>
      </c>
      <c r="J1249" s="1" t="str">
        <f t="shared" si="414"/>
        <v>2</v>
      </c>
      <c r="K1249" s="1">
        <v>2</v>
      </c>
      <c r="L1249" s="1" t="s">
        <v>30</v>
      </c>
      <c r="M1249" s="1" t="str">
        <f>"山东省 威海市 乳山市 "</f>
        <v xml:space="preserve">山东省 威海市 乳山市 </v>
      </c>
      <c r="N1249" s="1" t="str">
        <f t="shared" si="412"/>
        <v>凡华云仓-城南圆通-微信视频号</v>
      </c>
      <c r="O1249" s="5" t="s">
        <v>1287</v>
      </c>
      <c r="P1249" s="6">
        <v>0.17</v>
      </c>
      <c r="Q1249" s="11">
        <v>2</v>
      </c>
      <c r="R1249" s="11"/>
      <c r="S1249" s="11"/>
      <c r="T1249" s="11"/>
      <c r="U1249" s="11">
        <f t="shared" si="406"/>
        <v>2</v>
      </c>
      <c r="W1249">
        <v>2.2000000000000002</v>
      </c>
      <c r="X1249" s="1" t="s">
        <v>30</v>
      </c>
    </row>
    <row r="1250" spans="1:24" x14ac:dyDescent="0.25">
      <c r="A1250" s="1" t="str">
        <f t="shared" si="402"/>
        <v>卡卡杜-凤凰仓</v>
      </c>
      <c r="B1250" s="1" t="str">
        <f>"CK20241029251"</f>
        <v>CK20241029251</v>
      </c>
      <c r="C1250" s="1" t="str">
        <f>"DD202410299843"</f>
        <v>DD202410299843</v>
      </c>
      <c r="D1250" s="1" t="str">
        <f>"CK2024102915379"</f>
        <v>CK2024102915379</v>
      </c>
      <c r="E1250" s="1" t="str">
        <f>"3723628792900355584"</f>
        <v>3723628792900355584</v>
      </c>
      <c r="F1250" s="1" t="str">
        <f t="shared" si="403"/>
        <v>花都四部-凤凰仓</v>
      </c>
      <c r="G1250" s="1" t="str">
        <f t="shared" si="411"/>
        <v>卡卡杜企业店（视频号）</v>
      </c>
      <c r="H1250" s="1" t="str">
        <f t="shared" si="404"/>
        <v>正常订单</v>
      </c>
      <c r="I1250" s="1" t="str">
        <f t="shared" si="405"/>
        <v>已发货</v>
      </c>
      <c r="J1250" s="1" t="str">
        <f t="shared" ref="J1250:J1255" si="416">"3"</f>
        <v>3</v>
      </c>
      <c r="K1250" s="1">
        <v>2</v>
      </c>
      <c r="L1250" s="1" t="s">
        <v>24</v>
      </c>
      <c r="M1250" s="1" t="str">
        <f>"福建省 福州市 晋安区 "</f>
        <v xml:space="preserve">福建省 福州市 晋安区 </v>
      </c>
      <c r="N1250" s="1" t="str">
        <f t="shared" si="412"/>
        <v>凡华云仓-城南圆通-微信视频号</v>
      </c>
      <c r="O1250" s="5" t="s">
        <v>1288</v>
      </c>
      <c r="P1250" s="6">
        <v>0.24</v>
      </c>
      <c r="Q1250" s="11">
        <v>2</v>
      </c>
      <c r="R1250" s="11"/>
      <c r="S1250" s="11"/>
      <c r="T1250" s="11"/>
      <c r="U1250" s="11">
        <f t="shared" si="406"/>
        <v>2</v>
      </c>
      <c r="W1250">
        <v>2.2000000000000002</v>
      </c>
      <c r="X1250" s="1" t="s">
        <v>24</v>
      </c>
    </row>
    <row r="1251" spans="1:24" x14ac:dyDescent="0.25">
      <c r="A1251" s="1" t="str">
        <f t="shared" si="402"/>
        <v>卡卡杜-凤凰仓</v>
      </c>
      <c r="B1251" s="1" t="str">
        <f>"CK20241029252"</f>
        <v>CK20241029252</v>
      </c>
      <c r="C1251" s="1" t="str">
        <f>"DD202410299844"</f>
        <v>DD202410299844</v>
      </c>
      <c r="D1251" s="1" t="str">
        <f>"CK2024102915378"</f>
        <v>CK2024102915378</v>
      </c>
      <c r="E1251" s="1" t="str">
        <f>"3723628788729906432"</f>
        <v>3723628788729906432</v>
      </c>
      <c r="F1251" s="1" t="str">
        <f t="shared" si="403"/>
        <v>花都四部-凤凰仓</v>
      </c>
      <c r="G1251" s="1" t="str">
        <f t="shared" si="411"/>
        <v>卡卡杜企业店（视频号）</v>
      </c>
      <c r="H1251" s="1" t="str">
        <f t="shared" si="404"/>
        <v>正常订单</v>
      </c>
      <c r="I1251" s="1" t="str">
        <f t="shared" si="405"/>
        <v>已发货</v>
      </c>
      <c r="J1251" s="1" t="str">
        <f t="shared" si="416"/>
        <v>3</v>
      </c>
      <c r="K1251" s="1">
        <v>2</v>
      </c>
      <c r="L1251" s="1" t="s">
        <v>54</v>
      </c>
      <c r="M1251" s="1" t="str">
        <f>"黑龙江省 哈尔滨市 香坊区 "</f>
        <v xml:space="preserve">黑龙江省 哈尔滨市 香坊区 </v>
      </c>
      <c r="N1251" s="1" t="str">
        <f t="shared" si="412"/>
        <v>凡华云仓-城南圆通-微信视频号</v>
      </c>
      <c r="O1251" s="5" t="s">
        <v>1289</v>
      </c>
      <c r="P1251" s="6">
        <v>0.24</v>
      </c>
      <c r="Q1251" s="11">
        <v>2</v>
      </c>
      <c r="R1251" s="11"/>
      <c r="S1251" s="11"/>
      <c r="T1251" s="11"/>
      <c r="U1251" s="11">
        <f t="shared" si="406"/>
        <v>2</v>
      </c>
      <c r="W1251">
        <v>2.2000000000000002</v>
      </c>
      <c r="X1251" s="1" t="s">
        <v>54</v>
      </c>
    </row>
    <row r="1252" spans="1:24" x14ac:dyDescent="0.25">
      <c r="A1252" s="1" t="str">
        <f t="shared" si="402"/>
        <v>卡卡杜-凤凰仓</v>
      </c>
      <c r="B1252" s="1" t="str">
        <f>"CK2024102925"</f>
        <v>CK2024102925</v>
      </c>
      <c r="C1252" s="1" t="str">
        <f>"DD202410299400"</f>
        <v>DD202410299400</v>
      </c>
      <c r="D1252" s="1" t="str">
        <f>"CK2024102915377"</f>
        <v>CK2024102915377</v>
      </c>
      <c r="E1252" s="1" t="str">
        <f>"3723628785247323392"</f>
        <v>3723628785247323392</v>
      </c>
      <c r="F1252" s="1" t="str">
        <f t="shared" si="403"/>
        <v>花都四部-凤凰仓</v>
      </c>
      <c r="G1252" s="1" t="str">
        <f t="shared" si="411"/>
        <v>卡卡杜企业店（视频号）</v>
      </c>
      <c r="H1252" s="1" t="str">
        <f t="shared" si="404"/>
        <v>正常订单</v>
      </c>
      <c r="I1252" s="1" t="str">
        <f t="shared" si="405"/>
        <v>已发货</v>
      </c>
      <c r="J1252" s="1" t="str">
        <f t="shared" ref="J1252:J1260" si="417">"2"</f>
        <v>2</v>
      </c>
      <c r="K1252" s="1">
        <v>2</v>
      </c>
      <c r="L1252" s="1" t="s">
        <v>20</v>
      </c>
      <c r="M1252" s="1" t="str">
        <f>"浙江省 杭州市 萧山区 "</f>
        <v xml:space="preserve">浙江省 杭州市 萧山区 </v>
      </c>
      <c r="N1252" s="1" t="str">
        <f t="shared" si="412"/>
        <v>凡华云仓-城南圆通-微信视频号</v>
      </c>
      <c r="O1252" s="5" t="s">
        <v>1290</v>
      </c>
      <c r="P1252" s="6">
        <v>0.17</v>
      </c>
      <c r="Q1252" s="11">
        <v>2</v>
      </c>
      <c r="R1252" s="11"/>
      <c r="S1252" s="11"/>
      <c r="T1252" s="11"/>
      <c r="U1252" s="11">
        <f t="shared" si="406"/>
        <v>2</v>
      </c>
      <c r="W1252">
        <v>2.2000000000000002</v>
      </c>
      <c r="X1252" s="1" t="s">
        <v>20</v>
      </c>
    </row>
    <row r="1253" spans="1:24" x14ac:dyDescent="0.25">
      <c r="A1253" s="1" t="str">
        <f t="shared" si="402"/>
        <v>卡卡杜-凤凰仓</v>
      </c>
      <c r="B1253" s="1" t="str">
        <f>"CK2024102924"</f>
        <v>CK2024102924</v>
      </c>
      <c r="C1253" s="1" t="str">
        <f>"DD202410299397"</f>
        <v>DD202410299397</v>
      </c>
      <c r="D1253" s="1" t="str">
        <f>"CK2024102915376"</f>
        <v>CK2024102915376</v>
      </c>
      <c r="E1253" s="1" t="str">
        <f>"3723628779266246145"</f>
        <v>3723628779266246145</v>
      </c>
      <c r="F1253" s="1" t="str">
        <f t="shared" si="403"/>
        <v>花都四部-凤凰仓</v>
      </c>
      <c r="G1253" s="1" t="str">
        <f t="shared" si="411"/>
        <v>卡卡杜企业店（视频号）</v>
      </c>
      <c r="H1253" s="1" t="str">
        <f t="shared" si="404"/>
        <v>正常订单</v>
      </c>
      <c r="I1253" s="1" t="str">
        <f t="shared" si="405"/>
        <v>已发货</v>
      </c>
      <c r="J1253" s="1" t="str">
        <f t="shared" si="417"/>
        <v>2</v>
      </c>
      <c r="K1253" s="1">
        <v>2</v>
      </c>
      <c r="L1253" s="1" t="s">
        <v>105</v>
      </c>
      <c r="M1253" s="1" t="str">
        <f>"北京 北京市 朝阳区 "</f>
        <v xml:space="preserve">北京 北京市 朝阳区 </v>
      </c>
      <c r="N1253" s="1" t="str">
        <f t="shared" si="412"/>
        <v>凡华云仓-城南圆通-微信视频号</v>
      </c>
      <c r="O1253" s="5" t="s">
        <v>1291</v>
      </c>
      <c r="P1253" s="6">
        <v>0.17</v>
      </c>
      <c r="Q1253" s="11">
        <v>2</v>
      </c>
      <c r="R1253" s="11"/>
      <c r="S1253" s="11"/>
      <c r="T1253" s="11"/>
      <c r="U1253" s="11">
        <f t="shared" si="406"/>
        <v>2</v>
      </c>
      <c r="W1253">
        <v>2.2000000000000002</v>
      </c>
      <c r="X1253" s="1" t="s">
        <v>105</v>
      </c>
    </row>
    <row r="1254" spans="1:24" x14ac:dyDescent="0.25">
      <c r="A1254" s="1" t="str">
        <f t="shared" si="402"/>
        <v>卡卡杜-凤凰仓</v>
      </c>
      <c r="B1254" s="1" t="str">
        <f>"CK20241029254"</f>
        <v>CK20241029254</v>
      </c>
      <c r="C1254" s="1" t="str">
        <f>"DD202410299846"</f>
        <v>DD202410299846</v>
      </c>
      <c r="D1254" s="1" t="str">
        <f>"CK2024102915375"</f>
        <v>CK2024102915375</v>
      </c>
      <c r="E1254" s="1" t="str">
        <f>"3723628775168410880"</f>
        <v>3723628775168410880</v>
      </c>
      <c r="F1254" s="1" t="str">
        <f t="shared" si="403"/>
        <v>花都四部-凤凰仓</v>
      </c>
      <c r="G1254" s="1" t="str">
        <f t="shared" si="411"/>
        <v>卡卡杜企业店（视频号）</v>
      </c>
      <c r="H1254" s="1" t="str">
        <f t="shared" si="404"/>
        <v>正常订单</v>
      </c>
      <c r="I1254" s="1" t="str">
        <f t="shared" si="405"/>
        <v>已发货</v>
      </c>
      <c r="J1254" s="1" t="str">
        <f t="shared" si="416"/>
        <v>3</v>
      </c>
      <c r="K1254" s="1">
        <v>2</v>
      </c>
      <c r="L1254" s="1" t="s">
        <v>94</v>
      </c>
      <c r="M1254" s="1" t="str">
        <f>"湖南省 常德市 武陵区 "</f>
        <v xml:space="preserve">湖南省 常德市 武陵区 </v>
      </c>
      <c r="N1254" s="1" t="str">
        <f t="shared" si="412"/>
        <v>凡华云仓-城南圆通-微信视频号</v>
      </c>
      <c r="O1254" s="5" t="s">
        <v>1292</v>
      </c>
      <c r="P1254" s="6">
        <v>0.24</v>
      </c>
      <c r="Q1254" s="11">
        <v>2</v>
      </c>
      <c r="R1254" s="11"/>
      <c r="S1254" s="11"/>
      <c r="T1254" s="11"/>
      <c r="U1254" s="11">
        <f t="shared" si="406"/>
        <v>2</v>
      </c>
      <c r="W1254">
        <v>2.2000000000000002</v>
      </c>
      <c r="X1254" s="1" t="s">
        <v>94</v>
      </c>
    </row>
    <row r="1255" spans="1:24" x14ac:dyDescent="0.25">
      <c r="A1255" s="1" t="str">
        <f t="shared" si="402"/>
        <v>卡卡杜-凤凰仓</v>
      </c>
      <c r="B1255" s="1" t="str">
        <f>"CK20241029253"</f>
        <v>CK20241029253</v>
      </c>
      <c r="C1255" s="1" t="str">
        <f>"DD202410299845"</f>
        <v>DD202410299845</v>
      </c>
      <c r="D1255" s="1" t="str">
        <f>"CK2024102915374"</f>
        <v>CK2024102915374</v>
      </c>
      <c r="E1255" s="1" t="str">
        <f>"3723628779554870272"</f>
        <v>3723628779554870272</v>
      </c>
      <c r="F1255" s="1" t="str">
        <f t="shared" si="403"/>
        <v>花都四部-凤凰仓</v>
      </c>
      <c r="G1255" s="1" t="str">
        <f t="shared" si="411"/>
        <v>卡卡杜企业店（视频号）</v>
      </c>
      <c r="H1255" s="1" t="str">
        <f t="shared" si="404"/>
        <v>正常订单</v>
      </c>
      <c r="I1255" s="1" t="str">
        <f t="shared" si="405"/>
        <v>已发货</v>
      </c>
      <c r="J1255" s="1" t="str">
        <f t="shared" si="416"/>
        <v>3</v>
      </c>
      <c r="K1255" s="1">
        <v>2</v>
      </c>
      <c r="L1255" s="1" t="s">
        <v>161</v>
      </c>
      <c r="M1255" s="1" t="str">
        <f>"四川省 成都市 武侯区 "</f>
        <v xml:space="preserve">四川省 成都市 武侯区 </v>
      </c>
      <c r="N1255" s="1" t="str">
        <f t="shared" si="412"/>
        <v>凡华云仓-城南圆通-微信视频号</v>
      </c>
      <c r="O1255" s="5" t="s">
        <v>1293</v>
      </c>
      <c r="P1255" s="6">
        <v>0.24</v>
      </c>
      <c r="Q1255" s="11">
        <v>2</v>
      </c>
      <c r="R1255" s="11"/>
      <c r="S1255" s="11"/>
      <c r="T1255" s="11"/>
      <c r="U1255" s="11">
        <f t="shared" si="406"/>
        <v>2</v>
      </c>
      <c r="W1255">
        <v>2.2000000000000002</v>
      </c>
      <c r="X1255" s="1" t="s">
        <v>161</v>
      </c>
    </row>
    <row r="1256" spans="1:24" x14ac:dyDescent="0.25">
      <c r="A1256" s="1" t="str">
        <f t="shared" si="402"/>
        <v>卡卡杜-凤凰仓</v>
      </c>
      <c r="B1256" s="1" t="str">
        <f>"CK2024102932"</f>
        <v>CK2024102932</v>
      </c>
      <c r="C1256" s="1" t="str">
        <f>"DD202410299415"</f>
        <v>DD202410299415</v>
      </c>
      <c r="D1256" s="1" t="str">
        <f>"CK2024102915373"</f>
        <v>CK2024102915373</v>
      </c>
      <c r="E1256" s="1" t="str">
        <f>"3723628769222464513"</f>
        <v>3723628769222464513</v>
      </c>
      <c r="F1256" s="1" t="str">
        <f t="shared" si="403"/>
        <v>花都四部-凤凰仓</v>
      </c>
      <c r="G1256" s="1" t="str">
        <f t="shared" si="411"/>
        <v>卡卡杜企业店（视频号）</v>
      </c>
      <c r="H1256" s="1" t="str">
        <f t="shared" si="404"/>
        <v>正常订单</v>
      </c>
      <c r="I1256" s="1" t="str">
        <f t="shared" si="405"/>
        <v>已发货</v>
      </c>
      <c r="J1256" s="1" t="str">
        <f t="shared" si="417"/>
        <v>2</v>
      </c>
      <c r="K1256" s="1">
        <v>2</v>
      </c>
      <c r="L1256" s="1" t="s">
        <v>109</v>
      </c>
      <c r="M1256" s="1" t="str">
        <f>"山西省 忻州市 原平市 "</f>
        <v xml:space="preserve">山西省 忻州市 原平市 </v>
      </c>
      <c r="N1256" s="1" t="str">
        <f t="shared" si="412"/>
        <v>凡华云仓-城南圆通-微信视频号</v>
      </c>
      <c r="O1256" s="5" t="s">
        <v>1294</v>
      </c>
      <c r="P1256" s="6">
        <v>0.17</v>
      </c>
      <c r="Q1256" s="11">
        <v>2</v>
      </c>
      <c r="R1256" s="11"/>
      <c r="S1256" s="11"/>
      <c r="T1256" s="11"/>
      <c r="U1256" s="11">
        <f t="shared" si="406"/>
        <v>2</v>
      </c>
      <c r="W1256">
        <v>2.2000000000000002</v>
      </c>
      <c r="X1256" s="1" t="s">
        <v>109</v>
      </c>
    </row>
    <row r="1257" spans="1:24" x14ac:dyDescent="0.25">
      <c r="A1257" s="1" t="str">
        <f t="shared" si="402"/>
        <v>卡卡杜-凤凰仓</v>
      </c>
      <c r="B1257" s="1" t="str">
        <f>"CK2024102934"</f>
        <v>CK2024102934</v>
      </c>
      <c r="C1257" s="1" t="str">
        <f>"DD202410299416"</f>
        <v>DD202410299416</v>
      </c>
      <c r="D1257" s="1" t="str">
        <f>"CK2024102915372"</f>
        <v>CK2024102915372</v>
      </c>
      <c r="E1257" s="1" t="str">
        <f>"3723628775316000768"</f>
        <v>3723628775316000768</v>
      </c>
      <c r="F1257" s="1" t="str">
        <f t="shared" si="403"/>
        <v>花都四部-凤凰仓</v>
      </c>
      <c r="G1257" s="1" t="str">
        <f t="shared" si="411"/>
        <v>卡卡杜企业店（视频号）</v>
      </c>
      <c r="H1257" s="1" t="str">
        <f t="shared" si="404"/>
        <v>正常订单</v>
      </c>
      <c r="I1257" s="1" t="str">
        <f t="shared" si="405"/>
        <v>已发货</v>
      </c>
      <c r="J1257" s="1" t="str">
        <f t="shared" si="417"/>
        <v>2</v>
      </c>
      <c r="K1257" s="1">
        <v>2</v>
      </c>
      <c r="L1257" s="1" t="s">
        <v>94</v>
      </c>
      <c r="M1257" s="1" t="str">
        <f>"湖南省 长沙市 雨花区 "</f>
        <v xml:space="preserve">湖南省 长沙市 雨花区 </v>
      </c>
      <c r="N1257" s="1" t="str">
        <f t="shared" si="412"/>
        <v>凡华云仓-城南圆通-微信视频号</v>
      </c>
      <c r="O1257" s="5" t="s">
        <v>1295</v>
      </c>
      <c r="P1257" s="6">
        <v>0.17</v>
      </c>
      <c r="Q1257" s="11">
        <v>2</v>
      </c>
      <c r="R1257" s="11"/>
      <c r="S1257" s="11"/>
      <c r="T1257" s="11"/>
      <c r="U1257" s="11">
        <f t="shared" si="406"/>
        <v>2</v>
      </c>
      <c r="W1257">
        <v>2.2000000000000002</v>
      </c>
      <c r="X1257" s="1" t="s">
        <v>94</v>
      </c>
    </row>
    <row r="1258" spans="1:24" x14ac:dyDescent="0.25">
      <c r="A1258" s="1" t="str">
        <f t="shared" si="402"/>
        <v>卡卡杜-凤凰仓</v>
      </c>
      <c r="B1258" s="1" t="str">
        <f>"CK2024102942"</f>
        <v>CK2024102942</v>
      </c>
      <c r="C1258" s="1" t="str">
        <f>"DD202410299424"</f>
        <v>DD202410299424</v>
      </c>
      <c r="D1258" s="1" t="str">
        <f>"CK2024102915371"</f>
        <v>CK2024102915371</v>
      </c>
      <c r="E1258" s="1" t="str">
        <f>"3723628774467439616"</f>
        <v>3723628774467439616</v>
      </c>
      <c r="F1258" s="1" t="str">
        <f t="shared" si="403"/>
        <v>花都四部-凤凰仓</v>
      </c>
      <c r="G1258" s="1" t="str">
        <f t="shared" si="411"/>
        <v>卡卡杜企业店（视频号）</v>
      </c>
      <c r="H1258" s="1" t="str">
        <f t="shared" si="404"/>
        <v>正常订单</v>
      </c>
      <c r="I1258" s="1" t="str">
        <f t="shared" si="405"/>
        <v>已发货</v>
      </c>
      <c r="J1258" s="1" t="str">
        <f t="shared" si="417"/>
        <v>2</v>
      </c>
      <c r="K1258" s="1">
        <v>2</v>
      </c>
      <c r="L1258" s="1" t="s">
        <v>105</v>
      </c>
      <c r="M1258" s="1" t="str">
        <f>"北京 北京市 海淀区 "</f>
        <v xml:space="preserve">北京 北京市 海淀区 </v>
      </c>
      <c r="N1258" s="1" t="str">
        <f t="shared" si="412"/>
        <v>凡华云仓-城南圆通-微信视频号</v>
      </c>
      <c r="O1258" s="5" t="s">
        <v>1296</v>
      </c>
      <c r="P1258" s="6">
        <v>0.17</v>
      </c>
      <c r="Q1258" s="11">
        <v>2</v>
      </c>
      <c r="R1258" s="11"/>
      <c r="S1258" s="11"/>
      <c r="T1258" s="11"/>
      <c r="U1258" s="11">
        <f t="shared" si="406"/>
        <v>2</v>
      </c>
      <c r="W1258">
        <v>2.2000000000000002</v>
      </c>
      <c r="X1258" s="1" t="s">
        <v>105</v>
      </c>
    </row>
    <row r="1259" spans="1:24" x14ac:dyDescent="0.25">
      <c r="A1259" s="1" t="str">
        <f t="shared" si="402"/>
        <v>卡卡杜-凤凰仓</v>
      </c>
      <c r="B1259" s="1" t="str">
        <f>"CK2024102940"</f>
        <v>CK2024102940</v>
      </c>
      <c r="C1259" s="1" t="str">
        <f>"DD202410299422"</f>
        <v>DD202410299422</v>
      </c>
      <c r="D1259" s="1" t="str">
        <f>"CK2024102915370"</f>
        <v>CK2024102915370</v>
      </c>
      <c r="E1259" s="1" t="str">
        <f>"3723628773432757248"</f>
        <v>3723628773432757248</v>
      </c>
      <c r="F1259" s="1" t="str">
        <f t="shared" si="403"/>
        <v>花都四部-凤凰仓</v>
      </c>
      <c r="G1259" s="1" t="str">
        <f t="shared" si="411"/>
        <v>卡卡杜企业店（视频号）</v>
      </c>
      <c r="H1259" s="1" t="str">
        <f t="shared" si="404"/>
        <v>正常订单</v>
      </c>
      <c r="I1259" s="1" t="str">
        <f t="shared" si="405"/>
        <v>已发货</v>
      </c>
      <c r="J1259" s="1" t="str">
        <f t="shared" si="417"/>
        <v>2</v>
      </c>
      <c r="K1259" s="1">
        <v>2</v>
      </c>
      <c r="L1259" s="1" t="s">
        <v>18</v>
      </c>
      <c r="M1259" s="1" t="str">
        <f>"广东省 广州市 番禺区 "</f>
        <v xml:space="preserve">广东省 广州市 番禺区 </v>
      </c>
      <c r="N1259" s="1" t="str">
        <f t="shared" si="412"/>
        <v>凡华云仓-城南圆通-微信视频号</v>
      </c>
      <c r="O1259" s="5" t="s">
        <v>1297</v>
      </c>
      <c r="P1259" s="6">
        <v>0.17</v>
      </c>
      <c r="Q1259" s="11">
        <v>2</v>
      </c>
      <c r="R1259" s="11"/>
      <c r="S1259" s="11"/>
      <c r="T1259" s="11"/>
      <c r="U1259" s="11">
        <f t="shared" si="406"/>
        <v>2</v>
      </c>
      <c r="W1259">
        <v>2.2000000000000002</v>
      </c>
      <c r="X1259" s="1" t="s">
        <v>18</v>
      </c>
    </row>
    <row r="1260" spans="1:24" x14ac:dyDescent="0.25">
      <c r="A1260" s="1" t="str">
        <f t="shared" si="402"/>
        <v>卡卡杜-凤凰仓</v>
      </c>
      <c r="B1260" s="1" t="str">
        <f>"CK2024102941"</f>
        <v>CK2024102941</v>
      </c>
      <c r="C1260" s="1" t="str">
        <f>"DD202410299423"</f>
        <v>DD202410299423</v>
      </c>
      <c r="D1260" s="1" t="str">
        <f>"CK2024102915369"</f>
        <v>CK2024102915369</v>
      </c>
      <c r="E1260" s="1" t="str">
        <f>"3723628774761305088"</f>
        <v>3723628774761305088</v>
      </c>
      <c r="F1260" s="1" t="str">
        <f t="shared" si="403"/>
        <v>花都四部-凤凰仓</v>
      </c>
      <c r="G1260" s="1" t="str">
        <f t="shared" si="411"/>
        <v>卡卡杜企业店（视频号）</v>
      </c>
      <c r="H1260" s="1" t="str">
        <f t="shared" si="404"/>
        <v>正常订单</v>
      </c>
      <c r="I1260" s="1" t="str">
        <f t="shared" si="405"/>
        <v>已发货</v>
      </c>
      <c r="J1260" s="1" t="str">
        <f t="shared" si="417"/>
        <v>2</v>
      </c>
      <c r="K1260" s="1">
        <v>2</v>
      </c>
      <c r="L1260" s="1" t="s">
        <v>105</v>
      </c>
      <c r="M1260" s="1" t="str">
        <f>"北京 北京市 海淀区 "</f>
        <v xml:space="preserve">北京 北京市 海淀区 </v>
      </c>
      <c r="N1260" s="1" t="str">
        <f t="shared" si="412"/>
        <v>凡华云仓-城南圆通-微信视频号</v>
      </c>
      <c r="O1260" s="5" t="s">
        <v>1298</v>
      </c>
      <c r="P1260" s="6">
        <v>0.17</v>
      </c>
      <c r="Q1260" s="11">
        <v>2</v>
      </c>
      <c r="R1260" s="11"/>
      <c r="S1260" s="11"/>
      <c r="T1260" s="11"/>
      <c r="U1260" s="11">
        <f t="shared" si="406"/>
        <v>2</v>
      </c>
      <c r="W1260">
        <v>2.2000000000000002</v>
      </c>
      <c r="X1260" s="1" t="s">
        <v>105</v>
      </c>
    </row>
    <row r="1261" spans="1:24" x14ac:dyDescent="0.25">
      <c r="A1261" s="1" t="str">
        <f t="shared" si="402"/>
        <v>卡卡杜-凤凰仓</v>
      </c>
      <c r="B1261" s="1" t="str">
        <f>"CK20241029255"</f>
        <v>CK20241029255</v>
      </c>
      <c r="C1261" s="1" t="str">
        <f>"DD202410299847"</f>
        <v>DD202410299847</v>
      </c>
      <c r="D1261" s="1" t="str">
        <f>"CK2024102915368"</f>
        <v>CK2024102915368</v>
      </c>
      <c r="E1261" s="1" t="str">
        <f>"3723628771504951296"</f>
        <v>3723628771504951296</v>
      </c>
      <c r="F1261" s="1" t="str">
        <f t="shared" si="403"/>
        <v>花都四部-凤凰仓</v>
      </c>
      <c r="G1261" s="1" t="str">
        <f t="shared" si="411"/>
        <v>卡卡杜企业店（视频号）</v>
      </c>
      <c r="H1261" s="1" t="str">
        <f t="shared" si="404"/>
        <v>正常订单</v>
      </c>
      <c r="I1261" s="1" t="str">
        <f t="shared" si="405"/>
        <v>已发货</v>
      </c>
      <c r="J1261" s="1" t="str">
        <f t="shared" ref="J1261:J1267" si="418">"3"</f>
        <v>3</v>
      </c>
      <c r="K1261" s="1">
        <v>2</v>
      </c>
      <c r="L1261" s="1" t="s">
        <v>74</v>
      </c>
      <c r="M1261" s="1" t="str">
        <f>"上海 上海市 徐汇区 "</f>
        <v xml:space="preserve">上海 上海市 徐汇区 </v>
      </c>
      <c r="N1261" s="1" t="str">
        <f t="shared" si="412"/>
        <v>凡华云仓-城南圆通-微信视频号</v>
      </c>
      <c r="O1261" s="5" t="s">
        <v>1299</v>
      </c>
      <c r="P1261" s="6">
        <v>0.24</v>
      </c>
      <c r="Q1261" s="11">
        <v>2</v>
      </c>
      <c r="R1261" s="11"/>
      <c r="S1261" s="11"/>
      <c r="T1261" s="11"/>
      <c r="U1261" s="11">
        <f t="shared" si="406"/>
        <v>2</v>
      </c>
      <c r="W1261">
        <v>2.2000000000000002</v>
      </c>
      <c r="X1261" s="1" t="s">
        <v>74</v>
      </c>
    </row>
    <row r="1262" spans="1:24" x14ac:dyDescent="0.25">
      <c r="A1262" s="1" t="str">
        <f t="shared" si="402"/>
        <v>卡卡杜-凤凰仓</v>
      </c>
      <c r="B1262" s="1" t="str">
        <f>"CK2024102933"</f>
        <v>CK2024102933</v>
      </c>
      <c r="C1262" s="1" t="str">
        <f>"DD202410299414"</f>
        <v>DD202410299414</v>
      </c>
      <c r="D1262" s="1" t="str">
        <f>"CK2024102915367"</f>
        <v>CK2024102915367</v>
      </c>
      <c r="E1262" s="1" t="str">
        <f>"3723628768209539073"</f>
        <v>3723628768209539073</v>
      </c>
      <c r="F1262" s="1" t="str">
        <f t="shared" si="403"/>
        <v>花都四部-凤凰仓</v>
      </c>
      <c r="G1262" s="1" t="str">
        <f t="shared" si="411"/>
        <v>卡卡杜企业店（视频号）</v>
      </c>
      <c r="H1262" s="1" t="str">
        <f t="shared" si="404"/>
        <v>正常订单</v>
      </c>
      <c r="I1262" s="1" t="str">
        <f t="shared" si="405"/>
        <v>已发货</v>
      </c>
      <c r="J1262" s="1" t="str">
        <f t="shared" ref="J1262:J1264" si="419">"2"</f>
        <v>2</v>
      </c>
      <c r="K1262" s="1">
        <v>2</v>
      </c>
      <c r="L1262" s="1" t="s">
        <v>92</v>
      </c>
      <c r="M1262" s="1" t="str">
        <f>"辽宁省 大连市 金州区 "</f>
        <v xml:space="preserve">辽宁省 大连市 金州区 </v>
      </c>
      <c r="N1262" s="1" t="str">
        <f t="shared" si="412"/>
        <v>凡华云仓-城南圆通-微信视频号</v>
      </c>
      <c r="O1262" s="5" t="s">
        <v>1300</v>
      </c>
      <c r="P1262" s="6">
        <v>0.17</v>
      </c>
      <c r="Q1262" s="11">
        <v>2</v>
      </c>
      <c r="R1262" s="11"/>
      <c r="S1262" s="11"/>
      <c r="T1262" s="11"/>
      <c r="U1262" s="11">
        <f t="shared" si="406"/>
        <v>2</v>
      </c>
      <c r="W1262">
        <v>2.2000000000000002</v>
      </c>
      <c r="X1262" s="1" t="s">
        <v>92</v>
      </c>
    </row>
    <row r="1263" spans="1:24" x14ac:dyDescent="0.25">
      <c r="A1263" s="1" t="str">
        <f t="shared" si="402"/>
        <v>卡卡杜-凤凰仓</v>
      </c>
      <c r="B1263" s="1" t="str">
        <f>"CK2024102937"</f>
        <v>CK2024102937</v>
      </c>
      <c r="C1263" s="1" t="str">
        <f>"DD202410299419"</f>
        <v>DD202410299419</v>
      </c>
      <c r="D1263" s="1" t="str">
        <f>"CK2024102915366"</f>
        <v>CK2024102915366</v>
      </c>
      <c r="E1263" s="1" t="str">
        <f>"3723628766679404544"</f>
        <v>3723628766679404544</v>
      </c>
      <c r="F1263" s="1" t="str">
        <f t="shared" si="403"/>
        <v>花都四部-凤凰仓</v>
      </c>
      <c r="G1263" s="1" t="str">
        <f t="shared" si="411"/>
        <v>卡卡杜企业店（视频号）</v>
      </c>
      <c r="H1263" s="1" t="str">
        <f t="shared" si="404"/>
        <v>正常订单</v>
      </c>
      <c r="I1263" s="1" t="str">
        <f t="shared" si="405"/>
        <v>已发货</v>
      </c>
      <c r="J1263" s="1" t="str">
        <f t="shared" si="419"/>
        <v>2</v>
      </c>
      <c r="K1263" s="1">
        <v>2</v>
      </c>
      <c r="L1263" s="1" t="s">
        <v>218</v>
      </c>
      <c r="M1263" s="1" t="str">
        <f>"天津 天津市 南开区 "</f>
        <v xml:space="preserve">天津 天津市 南开区 </v>
      </c>
      <c r="N1263" s="1" t="str">
        <f t="shared" si="412"/>
        <v>凡华云仓-城南圆通-微信视频号</v>
      </c>
      <c r="O1263" s="5" t="s">
        <v>1301</v>
      </c>
      <c r="P1263" s="6">
        <v>0.17</v>
      </c>
      <c r="Q1263" s="11">
        <v>2</v>
      </c>
      <c r="R1263" s="11"/>
      <c r="S1263" s="11"/>
      <c r="T1263" s="11"/>
      <c r="U1263" s="11">
        <f t="shared" si="406"/>
        <v>2</v>
      </c>
      <c r="W1263">
        <v>2.2000000000000002</v>
      </c>
      <c r="X1263" s="1" t="s">
        <v>218</v>
      </c>
    </row>
    <row r="1264" spans="1:24" x14ac:dyDescent="0.25">
      <c r="A1264" s="1" t="str">
        <f t="shared" si="402"/>
        <v>卡卡杜-凤凰仓</v>
      </c>
      <c r="B1264" s="1" t="str">
        <f>"CK2024102935"</f>
        <v>CK2024102935</v>
      </c>
      <c r="C1264" s="1" t="str">
        <f>"DD202410299418"</f>
        <v>DD202410299418</v>
      </c>
      <c r="D1264" s="1" t="str">
        <f>"CK2024102915365"</f>
        <v>CK2024102915365</v>
      </c>
      <c r="E1264" s="1" t="str">
        <f>"3723628764748973312"</f>
        <v>3723628764748973312</v>
      </c>
      <c r="F1264" s="1" t="str">
        <f t="shared" si="403"/>
        <v>花都四部-凤凰仓</v>
      </c>
      <c r="G1264" s="1" t="str">
        <f t="shared" si="411"/>
        <v>卡卡杜企业店（视频号）</v>
      </c>
      <c r="H1264" s="1" t="str">
        <f t="shared" si="404"/>
        <v>正常订单</v>
      </c>
      <c r="I1264" s="1" t="str">
        <f t="shared" si="405"/>
        <v>已发货</v>
      </c>
      <c r="J1264" s="1" t="str">
        <f t="shared" si="419"/>
        <v>2</v>
      </c>
      <c r="K1264" s="1">
        <v>2</v>
      </c>
      <c r="L1264" s="1" t="s">
        <v>92</v>
      </c>
      <c r="M1264" s="1" t="str">
        <f>"辽宁省 沈阳市 皇姑区 "</f>
        <v xml:space="preserve">辽宁省 沈阳市 皇姑区 </v>
      </c>
      <c r="N1264" s="1" t="str">
        <f t="shared" si="412"/>
        <v>凡华云仓-城南圆通-微信视频号</v>
      </c>
      <c r="O1264" s="5" t="s">
        <v>1302</v>
      </c>
      <c r="P1264" s="6">
        <v>0.17</v>
      </c>
      <c r="Q1264" s="11">
        <v>2</v>
      </c>
      <c r="R1264" s="11"/>
      <c r="S1264" s="11"/>
      <c r="T1264" s="11"/>
      <c r="U1264" s="11">
        <f t="shared" si="406"/>
        <v>2</v>
      </c>
      <c r="W1264">
        <v>2.2000000000000002</v>
      </c>
      <c r="X1264" s="1" t="s">
        <v>92</v>
      </c>
    </row>
    <row r="1265" spans="1:24" x14ac:dyDescent="0.25">
      <c r="A1265" s="1" t="str">
        <f t="shared" si="402"/>
        <v>卡卡杜-凤凰仓</v>
      </c>
      <c r="B1265" s="1" t="str">
        <f>"CK20241029256"</f>
        <v>CK20241029256</v>
      </c>
      <c r="C1265" s="1" t="str">
        <f>"DD202410299849"</f>
        <v>DD202410299849</v>
      </c>
      <c r="D1265" s="1" t="str">
        <f>"CK2024102915364"</f>
        <v>CK2024102915364</v>
      </c>
      <c r="E1265" s="1" t="str">
        <f>"3723628764301497345"</f>
        <v>3723628764301497345</v>
      </c>
      <c r="F1265" s="1" t="str">
        <f t="shared" si="403"/>
        <v>花都四部-凤凰仓</v>
      </c>
      <c r="G1265" s="1" t="str">
        <f t="shared" si="411"/>
        <v>卡卡杜企业店（视频号）</v>
      </c>
      <c r="H1265" s="1" t="str">
        <f t="shared" si="404"/>
        <v>正常订单</v>
      </c>
      <c r="I1265" s="1" t="str">
        <f t="shared" si="405"/>
        <v>已发货</v>
      </c>
      <c r="J1265" s="1" t="str">
        <f t="shared" si="418"/>
        <v>3</v>
      </c>
      <c r="K1265" s="1">
        <v>2</v>
      </c>
      <c r="L1265" s="1" t="s">
        <v>18</v>
      </c>
      <c r="M1265" s="1" t="str">
        <f>"广东省 深圳市 龙岗区 "</f>
        <v xml:space="preserve">广东省 深圳市 龙岗区 </v>
      </c>
      <c r="N1265" s="1" t="str">
        <f t="shared" si="412"/>
        <v>凡华云仓-城南圆通-微信视频号</v>
      </c>
      <c r="O1265" s="5" t="s">
        <v>1303</v>
      </c>
      <c r="P1265" s="6">
        <v>0.24</v>
      </c>
      <c r="Q1265" s="11">
        <v>2</v>
      </c>
      <c r="R1265" s="11"/>
      <c r="S1265" s="11"/>
      <c r="T1265" s="11"/>
      <c r="U1265" s="11">
        <f t="shared" si="406"/>
        <v>2</v>
      </c>
      <c r="W1265">
        <v>2.2000000000000002</v>
      </c>
      <c r="X1265" s="1" t="s">
        <v>18</v>
      </c>
    </row>
    <row r="1266" spans="1:24" x14ac:dyDescent="0.25">
      <c r="A1266" s="1" t="str">
        <f t="shared" si="402"/>
        <v>卡卡杜-凤凰仓</v>
      </c>
      <c r="B1266" s="1" t="str">
        <f>"CK20241029257"</f>
        <v>CK20241029257</v>
      </c>
      <c r="C1266" s="1" t="str">
        <f>"DD202410299848"</f>
        <v>DD202410299848</v>
      </c>
      <c r="D1266" s="1" t="str">
        <f>"CK2024102915363"</f>
        <v>CK2024102915363</v>
      </c>
      <c r="E1266" s="1" t="str">
        <f>"3723628753226959873"</f>
        <v>3723628753226959873</v>
      </c>
      <c r="F1266" s="1" t="str">
        <f t="shared" si="403"/>
        <v>花都四部-凤凰仓</v>
      </c>
      <c r="G1266" s="1" t="str">
        <f t="shared" si="411"/>
        <v>卡卡杜企业店（视频号）</v>
      </c>
      <c r="H1266" s="1" t="str">
        <f t="shared" si="404"/>
        <v>正常订单</v>
      </c>
      <c r="I1266" s="1" t="str">
        <f t="shared" si="405"/>
        <v>已发货</v>
      </c>
      <c r="J1266" s="1" t="str">
        <f t="shared" si="418"/>
        <v>3</v>
      </c>
      <c r="K1266" s="1">
        <v>2</v>
      </c>
      <c r="L1266" s="1" t="s">
        <v>30</v>
      </c>
      <c r="M1266" s="1" t="str">
        <f>"山东省 日照市 东港区 "</f>
        <v xml:space="preserve">山东省 日照市 东港区 </v>
      </c>
      <c r="N1266" s="1" t="str">
        <f t="shared" si="412"/>
        <v>凡华云仓-城南圆通-微信视频号</v>
      </c>
      <c r="O1266" s="5" t="s">
        <v>1304</v>
      </c>
      <c r="P1266" s="6">
        <v>0.24</v>
      </c>
      <c r="Q1266" s="11">
        <v>2</v>
      </c>
      <c r="R1266" s="11"/>
      <c r="S1266" s="11"/>
      <c r="T1266" s="11"/>
      <c r="U1266" s="11">
        <f t="shared" si="406"/>
        <v>2</v>
      </c>
      <c r="W1266">
        <v>2.2000000000000002</v>
      </c>
      <c r="X1266" s="1" t="s">
        <v>30</v>
      </c>
    </row>
    <row r="1267" spans="1:24" x14ac:dyDescent="0.25">
      <c r="A1267" s="1" t="str">
        <f t="shared" si="402"/>
        <v>卡卡杜-凤凰仓</v>
      </c>
      <c r="B1267" s="1" t="str">
        <f>"CK20241029258"</f>
        <v>CK20241029258</v>
      </c>
      <c r="C1267" s="1" t="str">
        <f>"DD202410299850"</f>
        <v>DD202410299850</v>
      </c>
      <c r="D1267" s="1" t="str">
        <f>"CK2024102915362"</f>
        <v>CK2024102915362</v>
      </c>
      <c r="E1267" s="1" t="str">
        <f>"3723628693069104384"</f>
        <v>3723628693069104384</v>
      </c>
      <c r="F1267" s="1" t="str">
        <f t="shared" si="403"/>
        <v>花都四部-凤凰仓</v>
      </c>
      <c r="G1267" s="1" t="str">
        <f t="shared" si="411"/>
        <v>卡卡杜企业店（视频号）</v>
      </c>
      <c r="H1267" s="1" t="str">
        <f t="shared" si="404"/>
        <v>正常订单</v>
      </c>
      <c r="I1267" s="1" t="str">
        <f t="shared" si="405"/>
        <v>已发货</v>
      </c>
      <c r="J1267" s="1" t="str">
        <f t="shared" si="418"/>
        <v>3</v>
      </c>
      <c r="K1267" s="1">
        <v>2</v>
      </c>
      <c r="L1267" s="1" t="s">
        <v>187</v>
      </c>
      <c r="M1267" s="1" t="str">
        <f>"吉林省 长春市 长春经济技术开发区 "</f>
        <v xml:space="preserve">吉林省 长春市 长春经济技术开发区 </v>
      </c>
      <c r="N1267" s="1" t="str">
        <f t="shared" si="412"/>
        <v>凡华云仓-城南圆通-微信视频号</v>
      </c>
      <c r="O1267" s="5" t="s">
        <v>1305</v>
      </c>
      <c r="P1267" s="6">
        <v>0.24</v>
      </c>
      <c r="Q1267" s="11">
        <v>2</v>
      </c>
      <c r="R1267" s="11"/>
      <c r="S1267" s="11"/>
      <c r="T1267" s="11"/>
      <c r="U1267" s="11">
        <f t="shared" si="406"/>
        <v>2</v>
      </c>
      <c r="W1267">
        <v>2.2000000000000002</v>
      </c>
      <c r="X1267" s="1" t="s">
        <v>187</v>
      </c>
    </row>
    <row r="1268" spans="1:24" x14ac:dyDescent="0.25">
      <c r="A1268" s="1" t="str">
        <f t="shared" si="402"/>
        <v>卡卡杜-凤凰仓</v>
      </c>
      <c r="B1268" s="1" t="str">
        <f>"CK2024102917"</f>
        <v>CK2024102917</v>
      </c>
      <c r="C1268" s="1" t="str">
        <f>"DD202410299382"</f>
        <v>DD202410299382</v>
      </c>
      <c r="D1268" s="1" t="str">
        <f>"CK2024102915361"</f>
        <v>CK2024102915361</v>
      </c>
      <c r="E1268" s="1" t="str">
        <f>"3723628619491578880"</f>
        <v>3723628619491578880</v>
      </c>
      <c r="F1268" s="1" t="str">
        <f t="shared" si="403"/>
        <v>花都四部-凤凰仓</v>
      </c>
      <c r="G1268" s="1" t="str">
        <f t="shared" si="411"/>
        <v>卡卡杜企业店（视频号）</v>
      </c>
      <c r="H1268" s="1" t="str">
        <f t="shared" si="404"/>
        <v>正常订单</v>
      </c>
      <c r="I1268" s="1" t="str">
        <f t="shared" si="405"/>
        <v>已发货</v>
      </c>
      <c r="J1268" s="1" t="str">
        <f t="shared" ref="J1268:J1270" si="420">"2"</f>
        <v>2</v>
      </c>
      <c r="K1268" s="1">
        <v>2</v>
      </c>
      <c r="L1268" s="1" t="s">
        <v>92</v>
      </c>
      <c r="M1268" s="1" t="str">
        <f>"辽宁省 大连市 金州区 "</f>
        <v xml:space="preserve">辽宁省 大连市 金州区 </v>
      </c>
      <c r="N1268" s="1" t="str">
        <f t="shared" si="412"/>
        <v>凡华云仓-城南圆通-微信视频号</v>
      </c>
      <c r="O1268" s="5" t="s">
        <v>1306</v>
      </c>
      <c r="P1268" s="6">
        <v>0.17</v>
      </c>
      <c r="Q1268" s="11">
        <v>2</v>
      </c>
      <c r="R1268" s="11"/>
      <c r="S1268" s="11"/>
      <c r="T1268" s="11"/>
      <c r="U1268" s="11">
        <f t="shared" si="406"/>
        <v>2</v>
      </c>
      <c r="W1268">
        <v>2.2000000000000002</v>
      </c>
      <c r="X1268" s="1" t="s">
        <v>92</v>
      </c>
    </row>
    <row r="1269" spans="1:24" x14ac:dyDescent="0.25">
      <c r="A1269" s="1" t="str">
        <f t="shared" si="402"/>
        <v>卡卡杜-凤凰仓</v>
      </c>
      <c r="B1269" s="1" t="str">
        <f>"CK2024102902"</f>
        <v>CK2024102902</v>
      </c>
      <c r="C1269" s="1" t="str">
        <f>"DD202410299350"</f>
        <v>DD202410299350</v>
      </c>
      <c r="D1269" s="1" t="str">
        <f>"CK2024102915360"</f>
        <v>CK2024102915360</v>
      </c>
      <c r="E1269" s="1" t="str">
        <f>"3723628430351273984"</f>
        <v>3723628430351273984</v>
      </c>
      <c r="F1269" s="1" t="str">
        <f t="shared" si="403"/>
        <v>花都四部-凤凰仓</v>
      </c>
      <c r="G1269" s="1" t="str">
        <f t="shared" si="411"/>
        <v>卡卡杜企业店（视频号）</v>
      </c>
      <c r="H1269" s="1" t="str">
        <f t="shared" si="404"/>
        <v>正常订单</v>
      </c>
      <c r="I1269" s="1" t="str">
        <f t="shared" si="405"/>
        <v>已发货</v>
      </c>
      <c r="J1269" s="1" t="str">
        <f t="shared" si="420"/>
        <v>2</v>
      </c>
      <c r="K1269" s="1">
        <v>2</v>
      </c>
      <c r="L1269" s="1" t="s">
        <v>218</v>
      </c>
      <c r="M1269" s="1" t="str">
        <f>"天津 天津市 红桥区 "</f>
        <v xml:space="preserve">天津 天津市 红桥区 </v>
      </c>
      <c r="N1269" s="1" t="str">
        <f t="shared" si="412"/>
        <v>凡华云仓-城南圆通-微信视频号</v>
      </c>
      <c r="O1269" s="5" t="s">
        <v>1307</v>
      </c>
      <c r="P1269" s="6">
        <v>0.17</v>
      </c>
      <c r="Q1269" s="11">
        <v>2</v>
      </c>
      <c r="R1269" s="11"/>
      <c r="S1269" s="11"/>
      <c r="T1269" s="11"/>
      <c r="U1269" s="11">
        <f t="shared" si="406"/>
        <v>2</v>
      </c>
      <c r="W1269">
        <v>2.2000000000000002</v>
      </c>
      <c r="X1269" s="1" t="s">
        <v>218</v>
      </c>
    </row>
    <row r="1270" spans="1:24" x14ac:dyDescent="0.25">
      <c r="A1270" s="1" t="str">
        <f t="shared" si="402"/>
        <v>卡卡杜-凤凰仓</v>
      </c>
      <c r="B1270" s="1" t="str">
        <f>"CK2024102907"</f>
        <v>CK2024102907</v>
      </c>
      <c r="C1270" s="1" t="str">
        <f>"DD202410299365"</f>
        <v>DD202410299365</v>
      </c>
      <c r="D1270" s="1" t="str">
        <f>"CK2024102915359"</f>
        <v>CK2024102915359</v>
      </c>
      <c r="E1270" s="1" t="str">
        <f>"3723628397607390208"</f>
        <v>3723628397607390208</v>
      </c>
      <c r="F1270" s="1" t="str">
        <f t="shared" si="403"/>
        <v>花都四部-凤凰仓</v>
      </c>
      <c r="G1270" s="1" t="str">
        <f t="shared" si="411"/>
        <v>卡卡杜企业店（视频号）</v>
      </c>
      <c r="H1270" s="1" t="str">
        <f t="shared" si="404"/>
        <v>正常订单</v>
      </c>
      <c r="I1270" s="1" t="str">
        <f t="shared" si="405"/>
        <v>已发货</v>
      </c>
      <c r="J1270" s="1" t="str">
        <f t="shared" si="420"/>
        <v>2</v>
      </c>
      <c r="K1270" s="1">
        <v>2</v>
      </c>
      <c r="L1270" s="1" t="s">
        <v>92</v>
      </c>
      <c r="M1270" s="1" t="str">
        <f>"辽宁省 大连市 沙河口区 "</f>
        <v xml:space="preserve">辽宁省 大连市 沙河口区 </v>
      </c>
      <c r="N1270" s="1" t="str">
        <f t="shared" si="412"/>
        <v>凡华云仓-城南圆通-微信视频号</v>
      </c>
      <c r="O1270" s="5" t="s">
        <v>1308</v>
      </c>
      <c r="P1270" s="6">
        <v>0.17</v>
      </c>
      <c r="Q1270" s="11">
        <v>2</v>
      </c>
      <c r="R1270" s="11"/>
      <c r="S1270" s="11"/>
      <c r="T1270" s="11"/>
      <c r="U1270" s="11">
        <f t="shared" si="406"/>
        <v>2</v>
      </c>
      <c r="W1270">
        <v>2.2000000000000002</v>
      </c>
      <c r="X1270" s="1" t="s">
        <v>92</v>
      </c>
    </row>
    <row r="1271" spans="1:24" x14ac:dyDescent="0.25">
      <c r="A1271" s="1" t="str">
        <f t="shared" si="402"/>
        <v>卡卡杜-凤凰仓</v>
      </c>
      <c r="B1271" s="1" t="str">
        <f>"CK20241029263"</f>
        <v>CK20241029263</v>
      </c>
      <c r="C1271" s="1" t="str">
        <f>"DD202410299855"</f>
        <v>DD202410299855</v>
      </c>
      <c r="D1271" s="1" t="str">
        <f>"CK2024102915358"</f>
        <v>CK2024102915358</v>
      </c>
      <c r="E1271" s="1" t="str">
        <f>"3723628380047414272"</f>
        <v>3723628380047414272</v>
      </c>
      <c r="F1271" s="1" t="str">
        <f t="shared" si="403"/>
        <v>花都四部-凤凰仓</v>
      </c>
      <c r="G1271" s="1" t="str">
        <f t="shared" si="411"/>
        <v>卡卡杜企业店（视频号）</v>
      </c>
      <c r="H1271" s="1" t="str">
        <f t="shared" si="404"/>
        <v>正常订单</v>
      </c>
      <c r="I1271" s="1" t="str">
        <f t="shared" si="405"/>
        <v>已发货</v>
      </c>
      <c r="J1271" s="1" t="str">
        <f t="shared" ref="J1271:J1276" si="421">"3"</f>
        <v>3</v>
      </c>
      <c r="K1271" s="1">
        <v>2</v>
      </c>
      <c r="L1271" s="1" t="s">
        <v>218</v>
      </c>
      <c r="M1271" s="1" t="str">
        <f>"天津 天津市 河西区 "</f>
        <v xml:space="preserve">天津 天津市 河西区 </v>
      </c>
      <c r="N1271" s="1" t="str">
        <f t="shared" si="412"/>
        <v>凡华云仓-城南圆通-微信视频号</v>
      </c>
      <c r="O1271" s="5" t="s">
        <v>1309</v>
      </c>
      <c r="P1271" s="6">
        <v>0.24</v>
      </c>
      <c r="Q1271" s="11">
        <v>2</v>
      </c>
      <c r="R1271" s="11"/>
      <c r="S1271" s="11"/>
      <c r="T1271" s="11"/>
      <c r="U1271" s="11">
        <f t="shared" si="406"/>
        <v>2</v>
      </c>
      <c r="W1271">
        <v>2.2000000000000002</v>
      </c>
      <c r="X1271" s="1" t="s">
        <v>218</v>
      </c>
    </row>
    <row r="1272" spans="1:24" x14ac:dyDescent="0.25">
      <c r="A1272" s="1" t="str">
        <f t="shared" si="402"/>
        <v>卡卡杜-凤凰仓</v>
      </c>
      <c r="B1272" s="1" t="str">
        <f>"CK2024102904"</f>
        <v>CK2024102904</v>
      </c>
      <c r="C1272" s="1" t="str">
        <f>"DD202410299354"</f>
        <v>DD202410299354</v>
      </c>
      <c r="D1272" s="1" t="str">
        <f>"CK2024102915357"</f>
        <v>CK2024102915357</v>
      </c>
      <c r="E1272" s="1" t="str">
        <f>"3723628334538428416"</f>
        <v>3723628334538428416</v>
      </c>
      <c r="F1272" s="1" t="str">
        <f t="shared" si="403"/>
        <v>花都四部-凤凰仓</v>
      </c>
      <c r="G1272" s="1" t="str">
        <f t="shared" si="411"/>
        <v>卡卡杜企业店（视频号）</v>
      </c>
      <c r="H1272" s="1" t="str">
        <f t="shared" si="404"/>
        <v>正常订单</v>
      </c>
      <c r="I1272" s="1" t="str">
        <f t="shared" si="405"/>
        <v>已发货</v>
      </c>
      <c r="J1272" s="1" t="str">
        <f t="shared" ref="J1272:J1279" si="422">"2"</f>
        <v>2</v>
      </c>
      <c r="K1272" s="1">
        <v>2</v>
      </c>
      <c r="L1272" s="1" t="s">
        <v>22</v>
      </c>
      <c r="M1272" s="1" t="str">
        <f>"江西省 抚州市 临川区 "</f>
        <v xml:space="preserve">江西省 抚州市 临川区 </v>
      </c>
      <c r="N1272" s="1" t="str">
        <f t="shared" si="412"/>
        <v>凡华云仓-城南圆通-微信视频号</v>
      </c>
      <c r="O1272" s="5" t="s">
        <v>1310</v>
      </c>
      <c r="P1272" s="6">
        <v>0.17</v>
      </c>
      <c r="Q1272" s="11">
        <v>2</v>
      </c>
      <c r="R1272" s="11"/>
      <c r="S1272" s="11"/>
      <c r="T1272" s="11"/>
      <c r="U1272" s="11">
        <f t="shared" si="406"/>
        <v>2</v>
      </c>
      <c r="W1272">
        <v>2.2000000000000002</v>
      </c>
      <c r="X1272" s="1" t="s">
        <v>22</v>
      </c>
    </row>
    <row r="1273" spans="1:24" x14ac:dyDescent="0.25">
      <c r="A1273" s="1" t="str">
        <f t="shared" si="402"/>
        <v>卡卡杜-凤凰仓</v>
      </c>
      <c r="B1273" s="1" t="str">
        <f>"CK2024102906"</f>
        <v>CK2024102906</v>
      </c>
      <c r="C1273" s="1" t="str">
        <f>"DD202410299356"</f>
        <v>DD202410299356</v>
      </c>
      <c r="D1273" s="1" t="str">
        <f>"CK2024102915356"</f>
        <v>CK2024102915356</v>
      </c>
      <c r="E1273" s="1" t="str">
        <f>"3723628315818201088"</f>
        <v>3723628315818201088</v>
      </c>
      <c r="F1273" s="1" t="str">
        <f t="shared" si="403"/>
        <v>花都四部-凤凰仓</v>
      </c>
      <c r="G1273" s="1" t="str">
        <f t="shared" si="411"/>
        <v>卡卡杜企业店（视频号）</v>
      </c>
      <c r="H1273" s="1" t="str">
        <f t="shared" si="404"/>
        <v>正常订单</v>
      </c>
      <c r="I1273" s="1" t="str">
        <f t="shared" si="405"/>
        <v>已发货</v>
      </c>
      <c r="J1273" s="1" t="str">
        <f t="shared" si="422"/>
        <v>2</v>
      </c>
      <c r="K1273" s="1">
        <v>2</v>
      </c>
      <c r="L1273" s="1" t="s">
        <v>54</v>
      </c>
      <c r="M1273" s="1" t="str">
        <f>"黑龙江省 牡丹江市 西安区 "</f>
        <v xml:space="preserve">黑龙江省 牡丹江市 西安区 </v>
      </c>
      <c r="N1273" s="1" t="str">
        <f>"凡华云仓-竹料中通-微信视频号"</f>
        <v>凡华云仓-竹料中通-微信视频号</v>
      </c>
      <c r="O1273" s="5">
        <v>73613919955615</v>
      </c>
      <c r="P1273" s="6">
        <v>0.17</v>
      </c>
      <c r="Q1273" s="11">
        <v>2.2999999999999998</v>
      </c>
      <c r="R1273" s="11"/>
      <c r="S1273" s="11"/>
      <c r="T1273" s="11"/>
      <c r="U1273" s="11">
        <f t="shared" si="406"/>
        <v>2.2999999999999998</v>
      </c>
      <c r="W1273">
        <v>2.5</v>
      </c>
      <c r="X1273" s="1" t="s">
        <v>54</v>
      </c>
    </row>
    <row r="1274" spans="1:24" x14ac:dyDescent="0.25">
      <c r="A1274" s="1" t="str">
        <f t="shared" si="402"/>
        <v>卡卡杜-凤凰仓</v>
      </c>
      <c r="B1274" s="1" t="str">
        <f>"CK20241029265"</f>
        <v>CK20241029265</v>
      </c>
      <c r="C1274" s="1" t="str">
        <f>"DD202410299857"</f>
        <v>DD202410299857</v>
      </c>
      <c r="D1274" s="1" t="str">
        <f>"CK2024102915355"</f>
        <v>CK2024102915355</v>
      </c>
      <c r="E1274" s="1" t="str">
        <f>"3723628311689958400"</f>
        <v>3723628311689958400</v>
      </c>
      <c r="F1274" s="1" t="str">
        <f t="shared" si="403"/>
        <v>花都四部-凤凰仓</v>
      </c>
      <c r="G1274" s="1" t="str">
        <f t="shared" si="411"/>
        <v>卡卡杜企业店（视频号）</v>
      </c>
      <c r="H1274" s="1" t="str">
        <f t="shared" si="404"/>
        <v>正常订单</v>
      </c>
      <c r="I1274" s="1" t="str">
        <f t="shared" si="405"/>
        <v>已发货</v>
      </c>
      <c r="J1274" s="1" t="str">
        <f t="shared" si="421"/>
        <v>3</v>
      </c>
      <c r="K1274" s="1">
        <v>2</v>
      </c>
      <c r="L1274" s="1" t="s">
        <v>52</v>
      </c>
      <c r="M1274" s="1" t="str">
        <f>"甘肃省 庆阳市 西峰区 "</f>
        <v xml:space="preserve">甘肃省 庆阳市 西峰区 </v>
      </c>
      <c r="N1274" s="1" t="str">
        <f t="shared" ref="N1274:N1337" si="423">"凡华云仓-城南圆通-微信视频号"</f>
        <v>凡华云仓-城南圆通-微信视频号</v>
      </c>
      <c r="O1274" s="5" t="s">
        <v>1311</v>
      </c>
      <c r="P1274" s="6">
        <v>0.24</v>
      </c>
      <c r="Q1274" s="11">
        <v>2</v>
      </c>
      <c r="R1274" s="11"/>
      <c r="S1274" s="11"/>
      <c r="T1274" s="11"/>
      <c r="U1274" s="11">
        <f t="shared" si="406"/>
        <v>2</v>
      </c>
      <c r="W1274">
        <v>2.2000000000000002</v>
      </c>
      <c r="X1274" s="1" t="s">
        <v>52</v>
      </c>
    </row>
    <row r="1275" spans="1:24" x14ac:dyDescent="0.25">
      <c r="A1275" s="1" t="str">
        <f t="shared" si="402"/>
        <v>卡卡杜-凤凰仓</v>
      </c>
      <c r="B1275" s="1" t="str">
        <f>"CK20241029266"</f>
        <v>CK20241029266</v>
      </c>
      <c r="C1275" s="1" t="str">
        <f>"DD202410299858"</f>
        <v>DD202410299858</v>
      </c>
      <c r="D1275" s="1" t="str">
        <f>"CK2024102915354"</f>
        <v>CK2024102915354</v>
      </c>
      <c r="E1275" s="1" t="str">
        <f>"3723628309533033728"</f>
        <v>3723628309533033728</v>
      </c>
      <c r="F1275" s="1" t="str">
        <f t="shared" si="403"/>
        <v>花都四部-凤凰仓</v>
      </c>
      <c r="G1275" s="1" t="str">
        <f t="shared" si="411"/>
        <v>卡卡杜企业店（视频号）</v>
      </c>
      <c r="H1275" s="1" t="str">
        <f t="shared" si="404"/>
        <v>正常订单</v>
      </c>
      <c r="I1275" s="1" t="str">
        <f t="shared" si="405"/>
        <v>已发货</v>
      </c>
      <c r="J1275" s="1" t="str">
        <f t="shared" si="421"/>
        <v>3</v>
      </c>
      <c r="K1275" s="1">
        <v>2</v>
      </c>
      <c r="L1275" s="1" t="s">
        <v>92</v>
      </c>
      <c r="M1275" s="1" t="str">
        <f>"辽宁省 大连市 甘井子区 "</f>
        <v xml:space="preserve">辽宁省 大连市 甘井子区 </v>
      </c>
      <c r="N1275" s="1" t="str">
        <f t="shared" si="423"/>
        <v>凡华云仓-城南圆通-微信视频号</v>
      </c>
      <c r="O1275" s="5" t="s">
        <v>1312</v>
      </c>
      <c r="P1275" s="6">
        <v>0.24</v>
      </c>
      <c r="Q1275" s="11">
        <v>2</v>
      </c>
      <c r="R1275" s="11"/>
      <c r="S1275" s="11"/>
      <c r="T1275" s="11"/>
      <c r="U1275" s="11">
        <f t="shared" si="406"/>
        <v>2</v>
      </c>
      <c r="W1275">
        <v>2.2000000000000002</v>
      </c>
      <c r="X1275" s="1" t="s">
        <v>92</v>
      </c>
    </row>
    <row r="1276" spans="1:24" x14ac:dyDescent="0.25">
      <c r="A1276" s="1" t="str">
        <f t="shared" si="402"/>
        <v>卡卡杜-凤凰仓</v>
      </c>
      <c r="B1276" s="1" t="str">
        <f>"CK20241029270"</f>
        <v>CK20241029270</v>
      </c>
      <c r="C1276" s="1" t="str">
        <f>"DD202410299862"</f>
        <v>DD202410299862</v>
      </c>
      <c r="D1276" s="1" t="str">
        <f>"CK2024102915353"</f>
        <v>CK2024102915353</v>
      </c>
      <c r="E1276" s="1" t="str">
        <f>"3723628282805881856"</f>
        <v>3723628282805881856</v>
      </c>
      <c r="F1276" s="1" t="str">
        <f t="shared" si="403"/>
        <v>花都四部-凤凰仓</v>
      </c>
      <c r="G1276" s="1" t="str">
        <f t="shared" si="411"/>
        <v>卡卡杜企业店（视频号）</v>
      </c>
      <c r="H1276" s="1" t="str">
        <f t="shared" si="404"/>
        <v>正常订单</v>
      </c>
      <c r="I1276" s="1" t="str">
        <f t="shared" si="405"/>
        <v>已发货</v>
      </c>
      <c r="J1276" s="1" t="str">
        <f t="shared" si="421"/>
        <v>3</v>
      </c>
      <c r="K1276" s="1">
        <v>2</v>
      </c>
      <c r="L1276" s="1" t="s">
        <v>66</v>
      </c>
      <c r="M1276" s="1" t="str">
        <f>"内蒙古自治区 赤峰市 红山区 "</f>
        <v xml:space="preserve">内蒙古自治区 赤峰市 红山区 </v>
      </c>
      <c r="N1276" s="1" t="str">
        <f t="shared" si="423"/>
        <v>凡华云仓-城南圆通-微信视频号</v>
      </c>
      <c r="O1276" s="5" t="s">
        <v>1313</v>
      </c>
      <c r="P1276" s="6">
        <v>0.24</v>
      </c>
      <c r="Q1276" s="11">
        <v>2</v>
      </c>
      <c r="R1276" s="11"/>
      <c r="S1276" s="11"/>
      <c r="T1276" s="11"/>
      <c r="U1276" s="11">
        <f t="shared" si="406"/>
        <v>2</v>
      </c>
      <c r="W1276">
        <v>2.2000000000000002</v>
      </c>
      <c r="X1276" s="1" t="s">
        <v>66</v>
      </c>
    </row>
    <row r="1277" spans="1:24" x14ac:dyDescent="0.25">
      <c r="A1277" s="1" t="str">
        <f t="shared" si="402"/>
        <v>卡卡杜-凤凰仓</v>
      </c>
      <c r="B1277" s="1" t="str">
        <f>"CK2024102916"</f>
        <v>CK2024102916</v>
      </c>
      <c r="C1277" s="1" t="str">
        <f>"DD202410299379"</f>
        <v>DD202410299379</v>
      </c>
      <c r="D1277" s="1" t="str">
        <f>"CK2024102915352"</f>
        <v>CK2024102915352</v>
      </c>
      <c r="E1277" s="1" t="str">
        <f>"3723628304885748736"</f>
        <v>3723628304885748736</v>
      </c>
      <c r="F1277" s="1" t="str">
        <f t="shared" si="403"/>
        <v>花都四部-凤凰仓</v>
      </c>
      <c r="G1277" s="1" t="str">
        <f t="shared" si="411"/>
        <v>卡卡杜企业店（视频号）</v>
      </c>
      <c r="H1277" s="1" t="str">
        <f t="shared" si="404"/>
        <v>正常订单</v>
      </c>
      <c r="I1277" s="1" t="str">
        <f t="shared" si="405"/>
        <v>已发货</v>
      </c>
      <c r="J1277" s="1" t="str">
        <f t="shared" si="422"/>
        <v>2</v>
      </c>
      <c r="K1277" s="1">
        <v>2</v>
      </c>
      <c r="L1277" s="1" t="s">
        <v>13</v>
      </c>
      <c r="M1277" s="1" t="str">
        <f>"江苏省 无锡市 梁溪区 "</f>
        <v xml:space="preserve">江苏省 无锡市 梁溪区 </v>
      </c>
      <c r="N1277" s="1" t="str">
        <f t="shared" si="423"/>
        <v>凡华云仓-城南圆通-微信视频号</v>
      </c>
      <c r="O1277" s="5" t="s">
        <v>1314</v>
      </c>
      <c r="P1277" s="6">
        <v>0.17</v>
      </c>
      <c r="Q1277" s="11">
        <v>2</v>
      </c>
      <c r="R1277" s="11"/>
      <c r="S1277" s="11"/>
      <c r="T1277" s="11"/>
      <c r="U1277" s="11">
        <f t="shared" si="406"/>
        <v>2</v>
      </c>
      <c r="W1277">
        <v>2.2000000000000002</v>
      </c>
      <c r="X1277" s="1" t="s">
        <v>13</v>
      </c>
    </row>
    <row r="1278" spans="1:24" x14ac:dyDescent="0.25">
      <c r="A1278" s="1" t="str">
        <f t="shared" si="402"/>
        <v>卡卡杜-凤凰仓</v>
      </c>
      <c r="B1278" s="1" t="str">
        <f>"CK2024102913"</f>
        <v>CK2024102913</v>
      </c>
      <c r="C1278" s="1" t="str">
        <f>"DD202410299377"</f>
        <v>DD202410299377</v>
      </c>
      <c r="D1278" s="1" t="str">
        <f>"CK2024102915351"</f>
        <v>CK2024102915351</v>
      </c>
      <c r="E1278" s="1" t="str">
        <f>"3723628289496581377"</f>
        <v>3723628289496581377</v>
      </c>
      <c r="F1278" s="1" t="str">
        <f t="shared" si="403"/>
        <v>花都四部-凤凰仓</v>
      </c>
      <c r="G1278" s="1" t="str">
        <f t="shared" si="411"/>
        <v>卡卡杜企业店（视频号）</v>
      </c>
      <c r="H1278" s="1" t="str">
        <f t="shared" si="404"/>
        <v>正常订单</v>
      </c>
      <c r="I1278" s="1" t="str">
        <f t="shared" si="405"/>
        <v>已发货</v>
      </c>
      <c r="J1278" s="1" t="str">
        <f t="shared" si="422"/>
        <v>2</v>
      </c>
      <c r="K1278" s="1">
        <v>2</v>
      </c>
      <c r="L1278" s="1" t="s">
        <v>96</v>
      </c>
      <c r="M1278" s="1" t="str">
        <f>"广西壮族自治区 北海市 海城区 "</f>
        <v xml:space="preserve">广西壮族自治区 北海市 海城区 </v>
      </c>
      <c r="N1278" s="1" t="str">
        <f t="shared" si="423"/>
        <v>凡华云仓-城南圆通-微信视频号</v>
      </c>
      <c r="O1278" s="5" t="s">
        <v>1315</v>
      </c>
      <c r="P1278" s="6">
        <v>0.17</v>
      </c>
      <c r="Q1278" s="11">
        <v>2</v>
      </c>
      <c r="R1278" s="11"/>
      <c r="S1278" s="11"/>
      <c r="T1278" s="11"/>
      <c r="U1278" s="11">
        <f t="shared" si="406"/>
        <v>2</v>
      </c>
      <c r="W1278">
        <v>2.2000000000000002</v>
      </c>
      <c r="X1278" s="1" t="s">
        <v>96</v>
      </c>
    </row>
    <row r="1279" spans="1:24" x14ac:dyDescent="0.25">
      <c r="A1279" s="1" t="str">
        <f t="shared" si="402"/>
        <v>卡卡杜-凤凰仓</v>
      </c>
      <c r="B1279" s="1" t="str">
        <f>"CK2024102915"</f>
        <v>CK2024102915</v>
      </c>
      <c r="C1279" s="1" t="str">
        <f>"DD202410299380"</f>
        <v>DD202410299380</v>
      </c>
      <c r="D1279" s="1" t="str">
        <f>"CK2024102915350"</f>
        <v>CK2024102915350</v>
      </c>
      <c r="E1279" s="1" t="str">
        <f>"3723628291373798401"</f>
        <v>3723628291373798401</v>
      </c>
      <c r="F1279" s="1" t="str">
        <f t="shared" si="403"/>
        <v>花都四部-凤凰仓</v>
      </c>
      <c r="G1279" s="1" t="str">
        <f t="shared" si="411"/>
        <v>卡卡杜企业店（视频号）</v>
      </c>
      <c r="H1279" s="1" t="str">
        <f t="shared" si="404"/>
        <v>正常订单</v>
      </c>
      <c r="I1279" s="1" t="str">
        <f t="shared" si="405"/>
        <v>已发货</v>
      </c>
      <c r="J1279" s="1" t="str">
        <f t="shared" si="422"/>
        <v>2</v>
      </c>
      <c r="K1279" s="1">
        <v>2</v>
      </c>
      <c r="L1279" s="1" t="s">
        <v>18</v>
      </c>
      <c r="M1279" s="1" t="str">
        <f>"广东省 广州市 番禺区 "</f>
        <v xml:space="preserve">广东省 广州市 番禺区 </v>
      </c>
      <c r="N1279" s="1" t="str">
        <f t="shared" si="423"/>
        <v>凡华云仓-城南圆通-微信视频号</v>
      </c>
      <c r="O1279" s="5" t="s">
        <v>1316</v>
      </c>
      <c r="P1279" s="6">
        <v>0.17</v>
      </c>
      <c r="Q1279" s="11">
        <v>2</v>
      </c>
      <c r="R1279" s="11"/>
      <c r="S1279" s="11"/>
      <c r="T1279" s="11"/>
      <c r="U1279" s="11">
        <f t="shared" si="406"/>
        <v>2</v>
      </c>
      <c r="W1279">
        <v>2.2000000000000002</v>
      </c>
      <c r="X1279" s="1" t="s">
        <v>18</v>
      </c>
    </row>
    <row r="1280" spans="1:24" x14ac:dyDescent="0.25">
      <c r="A1280" s="1" t="str">
        <f t="shared" si="402"/>
        <v>卡卡杜-凤凰仓</v>
      </c>
      <c r="B1280" s="1" t="str">
        <f>"CK20241029268"</f>
        <v>CK20241029268</v>
      </c>
      <c r="C1280" s="1" t="str">
        <f>"DD202410299860"</f>
        <v>DD202410299860</v>
      </c>
      <c r="D1280" s="1" t="str">
        <f>"CK2024102915349"</f>
        <v>CK2024102915349</v>
      </c>
      <c r="E1280" s="1" t="str">
        <f>"3723628286133275648"</f>
        <v>3723628286133275648</v>
      </c>
      <c r="F1280" s="1" t="str">
        <f t="shared" si="403"/>
        <v>花都四部-凤凰仓</v>
      </c>
      <c r="G1280" s="1" t="str">
        <f t="shared" si="411"/>
        <v>卡卡杜企业店（视频号）</v>
      </c>
      <c r="H1280" s="1" t="str">
        <f t="shared" si="404"/>
        <v>正常订单</v>
      </c>
      <c r="I1280" s="1" t="str">
        <f t="shared" si="405"/>
        <v>已发货</v>
      </c>
      <c r="J1280" s="1" t="str">
        <f>"3"</f>
        <v>3</v>
      </c>
      <c r="K1280" s="1">
        <v>2</v>
      </c>
      <c r="L1280" s="1" t="s">
        <v>47</v>
      </c>
      <c r="M1280" s="1" t="str">
        <f>"重庆 重庆市 南岸区 "</f>
        <v xml:space="preserve">重庆 重庆市 南岸区 </v>
      </c>
      <c r="N1280" s="1" t="str">
        <f t="shared" si="423"/>
        <v>凡华云仓-城南圆通-微信视频号</v>
      </c>
      <c r="O1280" s="5" t="s">
        <v>1317</v>
      </c>
      <c r="P1280" s="6">
        <v>0.24</v>
      </c>
      <c r="Q1280" s="11">
        <v>2</v>
      </c>
      <c r="R1280" s="11"/>
      <c r="S1280" s="11"/>
      <c r="T1280" s="11"/>
      <c r="U1280" s="11">
        <f t="shared" si="406"/>
        <v>2</v>
      </c>
      <c r="W1280">
        <v>2.2000000000000002</v>
      </c>
      <c r="X1280" s="1" t="s">
        <v>47</v>
      </c>
    </row>
    <row r="1281" spans="1:24" x14ac:dyDescent="0.25">
      <c r="A1281" s="1" t="str">
        <f t="shared" si="402"/>
        <v>卡卡杜-凤凰仓</v>
      </c>
      <c r="B1281" s="1" t="str">
        <f>"CK2024102911"</f>
        <v>CK2024102911</v>
      </c>
      <c r="C1281" s="1" t="str">
        <f>"DD202410299369"</f>
        <v>DD202410299369</v>
      </c>
      <c r="D1281" s="1" t="str">
        <f>"CK2024102915348"</f>
        <v>CK2024102915348</v>
      </c>
      <c r="E1281" s="1" t="str">
        <f>"3723628282698403840"</f>
        <v>3723628282698403840</v>
      </c>
      <c r="F1281" s="1" t="str">
        <f t="shared" si="403"/>
        <v>花都四部-凤凰仓</v>
      </c>
      <c r="G1281" s="1" t="str">
        <f t="shared" si="411"/>
        <v>卡卡杜企业店（视频号）</v>
      </c>
      <c r="H1281" s="1" t="str">
        <f t="shared" si="404"/>
        <v>正常订单</v>
      </c>
      <c r="I1281" s="1" t="str">
        <f t="shared" si="405"/>
        <v>已发货</v>
      </c>
      <c r="J1281" s="1" t="str">
        <f t="shared" ref="J1281:J1287" si="424">"2"</f>
        <v>2</v>
      </c>
      <c r="K1281" s="1">
        <v>2</v>
      </c>
      <c r="L1281" s="1" t="s">
        <v>44</v>
      </c>
      <c r="M1281" s="1" t="str">
        <f>"海南省 三亚市 天涯区 "</f>
        <v xml:space="preserve">海南省 三亚市 天涯区 </v>
      </c>
      <c r="N1281" s="1" t="str">
        <f t="shared" si="423"/>
        <v>凡华云仓-城南圆通-微信视频号</v>
      </c>
      <c r="O1281" s="5" t="s">
        <v>1318</v>
      </c>
      <c r="P1281" s="6">
        <v>0.17</v>
      </c>
      <c r="Q1281" s="11">
        <v>2</v>
      </c>
      <c r="R1281" s="11"/>
      <c r="S1281" s="11"/>
      <c r="T1281" s="11"/>
      <c r="U1281" s="11">
        <f t="shared" si="406"/>
        <v>2</v>
      </c>
      <c r="W1281">
        <v>2.2000000000000002</v>
      </c>
      <c r="X1281" s="1" t="s">
        <v>44</v>
      </c>
    </row>
    <row r="1282" spans="1:24" x14ac:dyDescent="0.25">
      <c r="A1282" s="1" t="str">
        <f t="shared" ref="A1282:A1345" si="425">"卡卡杜-凤凰仓"</f>
        <v>卡卡杜-凤凰仓</v>
      </c>
      <c r="B1282" s="1" t="str">
        <f>"CK2024102912"</f>
        <v>CK2024102912</v>
      </c>
      <c r="C1282" s="1" t="str">
        <f>"DD202410299368"</f>
        <v>DD202410299368</v>
      </c>
      <c r="D1282" s="1" t="str">
        <f>"CK2024102915347"</f>
        <v>CK2024102915347</v>
      </c>
      <c r="E1282" s="1" t="str">
        <f>"3723628284538127872"</f>
        <v>3723628284538127872</v>
      </c>
      <c r="F1282" s="1" t="str">
        <f t="shared" ref="F1282:F1345" si="426">"花都四部-凤凰仓"</f>
        <v>花都四部-凤凰仓</v>
      </c>
      <c r="G1282" s="1" t="str">
        <f t="shared" si="411"/>
        <v>卡卡杜企业店（视频号）</v>
      </c>
      <c r="H1282" s="1" t="str">
        <f t="shared" ref="H1282:H1345" si="427">"正常订单"</f>
        <v>正常订单</v>
      </c>
      <c r="I1282" s="1" t="str">
        <f t="shared" ref="I1282:I1345" si="428">"已发货"</f>
        <v>已发货</v>
      </c>
      <c r="J1282" s="1" t="str">
        <f t="shared" si="424"/>
        <v>2</v>
      </c>
      <c r="K1282" s="1">
        <v>2</v>
      </c>
      <c r="L1282" s="1" t="s">
        <v>218</v>
      </c>
      <c r="M1282" s="1" t="str">
        <f>"天津 天津市 河东区 "</f>
        <v xml:space="preserve">天津 天津市 河东区 </v>
      </c>
      <c r="N1282" s="1" t="str">
        <f t="shared" si="423"/>
        <v>凡华云仓-城南圆通-微信视频号</v>
      </c>
      <c r="O1282" s="5" t="s">
        <v>1319</v>
      </c>
      <c r="P1282" s="6">
        <v>0.17</v>
      </c>
      <c r="Q1282" s="11">
        <v>2</v>
      </c>
      <c r="R1282" s="11"/>
      <c r="S1282" s="11"/>
      <c r="T1282" s="11"/>
      <c r="U1282" s="11">
        <f t="shared" si="406"/>
        <v>2</v>
      </c>
      <c r="W1282">
        <v>2.2000000000000002</v>
      </c>
      <c r="X1282" s="1" t="s">
        <v>218</v>
      </c>
    </row>
    <row r="1283" spans="1:24" x14ac:dyDescent="0.25">
      <c r="A1283" s="1" t="str">
        <f t="shared" si="425"/>
        <v>卡卡杜-凤凰仓</v>
      </c>
      <c r="B1283" s="1" t="str">
        <f>"CK20241029269"</f>
        <v>CK20241029269</v>
      </c>
      <c r="C1283" s="1" t="str">
        <f>"DD202410299861"</f>
        <v>DD202410299861</v>
      </c>
      <c r="D1283" s="1" t="str">
        <f>"CK2024102915346"</f>
        <v>CK2024102915346</v>
      </c>
      <c r="E1283" s="1" t="str">
        <f>"3723628283362412032"</f>
        <v>3723628283362412032</v>
      </c>
      <c r="F1283" s="1" t="str">
        <f t="shared" si="426"/>
        <v>花都四部-凤凰仓</v>
      </c>
      <c r="G1283" s="1" t="str">
        <f t="shared" si="411"/>
        <v>卡卡杜企业店（视频号）</v>
      </c>
      <c r="H1283" s="1" t="str">
        <f t="shared" si="427"/>
        <v>正常订单</v>
      </c>
      <c r="I1283" s="1" t="str">
        <f t="shared" si="428"/>
        <v>已发货</v>
      </c>
      <c r="J1283" s="1" t="str">
        <f>"3"</f>
        <v>3</v>
      </c>
      <c r="K1283" s="1">
        <v>2</v>
      </c>
      <c r="L1283" s="1" t="s">
        <v>80</v>
      </c>
      <c r="M1283" s="1" t="str">
        <f>"河南省 洛阳市 涧西区 "</f>
        <v xml:space="preserve">河南省 洛阳市 涧西区 </v>
      </c>
      <c r="N1283" s="1" t="str">
        <f t="shared" si="423"/>
        <v>凡华云仓-城南圆通-微信视频号</v>
      </c>
      <c r="O1283" s="5" t="s">
        <v>1320</v>
      </c>
      <c r="P1283" s="6">
        <v>0.24</v>
      </c>
      <c r="Q1283" s="11">
        <v>2</v>
      </c>
      <c r="R1283" s="11"/>
      <c r="S1283" s="11"/>
      <c r="T1283" s="11"/>
      <c r="U1283" s="11">
        <f t="shared" ref="U1283:U1346" si="429">T1283+S1283+R1283+Q1283</f>
        <v>2</v>
      </c>
      <c r="W1283">
        <v>2.2000000000000002</v>
      </c>
      <c r="X1283" s="1" t="s">
        <v>80</v>
      </c>
    </row>
    <row r="1284" spans="1:24" x14ac:dyDescent="0.25">
      <c r="A1284" s="1" t="str">
        <f t="shared" si="425"/>
        <v>卡卡杜-凤凰仓</v>
      </c>
      <c r="B1284" s="1" t="str">
        <f>"CK2024102943"</f>
        <v>CK2024102943</v>
      </c>
      <c r="C1284" s="1" t="str">
        <f>"DD202410299425"</f>
        <v>DD202410299425</v>
      </c>
      <c r="D1284" s="1" t="str">
        <f>"CK2024102915345"</f>
        <v>CK2024102915345</v>
      </c>
      <c r="E1284" s="1" t="str">
        <f>"3723628283918423040"</f>
        <v>3723628283918423040</v>
      </c>
      <c r="F1284" s="1" t="str">
        <f t="shared" si="426"/>
        <v>花都四部-凤凰仓</v>
      </c>
      <c r="G1284" s="1" t="str">
        <f t="shared" si="411"/>
        <v>卡卡杜企业店（视频号）</v>
      </c>
      <c r="H1284" s="1" t="str">
        <f t="shared" si="427"/>
        <v>正常订单</v>
      </c>
      <c r="I1284" s="1" t="str">
        <f t="shared" si="428"/>
        <v>已发货</v>
      </c>
      <c r="J1284" s="1" t="str">
        <f t="shared" si="424"/>
        <v>2</v>
      </c>
      <c r="K1284" s="1">
        <v>2</v>
      </c>
      <c r="L1284" s="1" t="s">
        <v>105</v>
      </c>
      <c r="M1284" s="1" t="str">
        <f>"北京 北京市 朝阳区 "</f>
        <v xml:space="preserve">北京 北京市 朝阳区 </v>
      </c>
      <c r="N1284" s="1" t="str">
        <f t="shared" si="423"/>
        <v>凡华云仓-城南圆通-微信视频号</v>
      </c>
      <c r="O1284" s="5" t="s">
        <v>1321</v>
      </c>
      <c r="P1284" s="6">
        <v>0.17</v>
      </c>
      <c r="Q1284" s="11">
        <v>2</v>
      </c>
      <c r="R1284" s="11"/>
      <c r="S1284" s="11"/>
      <c r="T1284" s="11"/>
      <c r="U1284" s="11">
        <f t="shared" si="429"/>
        <v>2</v>
      </c>
      <c r="W1284">
        <v>2.2000000000000002</v>
      </c>
      <c r="X1284" s="1" t="s">
        <v>105</v>
      </c>
    </row>
    <row r="1285" spans="1:24" x14ac:dyDescent="0.25">
      <c r="A1285" s="1" t="str">
        <f t="shared" si="425"/>
        <v>卡卡杜-凤凰仓</v>
      </c>
      <c r="B1285" s="1" t="str">
        <f>"CK2024102936"</f>
        <v>CK2024102936</v>
      </c>
      <c r="C1285" s="1" t="str">
        <f>"DD202410299417"</f>
        <v>DD202410299417</v>
      </c>
      <c r="D1285" s="1" t="str">
        <f>"CK2024102915344"</f>
        <v>CK2024102915344</v>
      </c>
      <c r="E1285" s="1" t="str">
        <f>"3723628279148973056"</f>
        <v>3723628279148973056</v>
      </c>
      <c r="F1285" s="1" t="str">
        <f t="shared" si="426"/>
        <v>花都四部-凤凰仓</v>
      </c>
      <c r="G1285" s="1" t="str">
        <f t="shared" si="411"/>
        <v>卡卡杜企业店（视频号）</v>
      </c>
      <c r="H1285" s="1" t="str">
        <f t="shared" si="427"/>
        <v>正常订单</v>
      </c>
      <c r="I1285" s="1" t="str">
        <f t="shared" si="428"/>
        <v>已发货</v>
      </c>
      <c r="J1285" s="1" t="str">
        <f t="shared" si="424"/>
        <v>2</v>
      </c>
      <c r="K1285" s="1">
        <v>2</v>
      </c>
      <c r="L1285" s="1" t="s">
        <v>18</v>
      </c>
      <c r="M1285" s="1" t="str">
        <f>"广东省 佛山市 禅城区 "</f>
        <v xml:space="preserve">广东省 佛山市 禅城区 </v>
      </c>
      <c r="N1285" s="1" t="str">
        <f t="shared" si="423"/>
        <v>凡华云仓-城南圆通-微信视频号</v>
      </c>
      <c r="O1285" s="5" t="s">
        <v>1322</v>
      </c>
      <c r="P1285" s="6">
        <v>0.17</v>
      </c>
      <c r="Q1285" s="11">
        <v>2</v>
      </c>
      <c r="R1285" s="11"/>
      <c r="S1285" s="11"/>
      <c r="T1285" s="11"/>
      <c r="U1285" s="11">
        <f t="shared" si="429"/>
        <v>2</v>
      </c>
      <c r="W1285">
        <v>2.2000000000000002</v>
      </c>
      <c r="X1285" s="1" t="s">
        <v>18</v>
      </c>
    </row>
    <row r="1286" spans="1:24" x14ac:dyDescent="0.25">
      <c r="A1286" s="1" t="str">
        <f t="shared" si="425"/>
        <v>卡卡杜-凤凰仓</v>
      </c>
      <c r="B1286" s="1" t="str">
        <f>"CK2024102968"</f>
        <v>CK2024102968</v>
      </c>
      <c r="C1286" s="1" t="str">
        <f>"DD202410299450"</f>
        <v>DD202410299450</v>
      </c>
      <c r="D1286" s="1" t="str">
        <f>"CK2024102915343"</f>
        <v>CK2024102915343</v>
      </c>
      <c r="E1286" s="1" t="str">
        <f>"3723628272276608000"</f>
        <v>3723628272276608000</v>
      </c>
      <c r="F1286" s="1" t="str">
        <f t="shared" si="426"/>
        <v>花都四部-凤凰仓</v>
      </c>
      <c r="G1286" s="1" t="str">
        <f t="shared" si="411"/>
        <v>卡卡杜企业店（视频号）</v>
      </c>
      <c r="H1286" s="1" t="str">
        <f t="shared" si="427"/>
        <v>正常订单</v>
      </c>
      <c r="I1286" s="1" t="str">
        <f t="shared" si="428"/>
        <v>已发货</v>
      </c>
      <c r="J1286" s="1" t="str">
        <f t="shared" si="424"/>
        <v>2</v>
      </c>
      <c r="K1286" s="1">
        <v>2</v>
      </c>
      <c r="L1286" s="1" t="s">
        <v>41</v>
      </c>
      <c r="M1286" s="1" t="str">
        <f>"湖北省 武汉市 青山区 "</f>
        <v xml:space="preserve">湖北省 武汉市 青山区 </v>
      </c>
      <c r="N1286" s="1" t="str">
        <f t="shared" si="423"/>
        <v>凡华云仓-城南圆通-微信视频号</v>
      </c>
      <c r="O1286" s="5" t="s">
        <v>1323</v>
      </c>
      <c r="P1286" s="6">
        <v>0.17</v>
      </c>
      <c r="Q1286" s="11">
        <v>2</v>
      </c>
      <c r="R1286" s="11"/>
      <c r="S1286" s="11"/>
      <c r="T1286" s="11"/>
      <c r="U1286" s="11">
        <f t="shared" si="429"/>
        <v>2</v>
      </c>
      <c r="W1286">
        <v>2.2000000000000002</v>
      </c>
      <c r="X1286" s="1" t="s">
        <v>41</v>
      </c>
    </row>
    <row r="1287" spans="1:24" x14ac:dyDescent="0.25">
      <c r="A1287" s="1" t="str">
        <f t="shared" si="425"/>
        <v>卡卡杜-凤凰仓</v>
      </c>
      <c r="B1287" s="1" t="str">
        <f>"CK2024102946"</f>
        <v>CK2024102946</v>
      </c>
      <c r="C1287" s="1" t="str">
        <f>"DD202410299428"</f>
        <v>DD202410299428</v>
      </c>
      <c r="D1287" s="1" t="str">
        <f>"CK2024102915342"</f>
        <v>CK2024102915342</v>
      </c>
      <c r="E1287" s="1" t="str">
        <f>"3723628272606384128"</f>
        <v>3723628272606384128</v>
      </c>
      <c r="F1287" s="1" t="str">
        <f t="shared" si="426"/>
        <v>花都四部-凤凰仓</v>
      </c>
      <c r="G1287" s="1" t="str">
        <f t="shared" si="411"/>
        <v>卡卡杜企业店（视频号）</v>
      </c>
      <c r="H1287" s="1" t="str">
        <f t="shared" si="427"/>
        <v>正常订单</v>
      </c>
      <c r="I1287" s="1" t="str">
        <f t="shared" si="428"/>
        <v>已发货</v>
      </c>
      <c r="J1287" s="1" t="str">
        <f t="shared" si="424"/>
        <v>2</v>
      </c>
      <c r="K1287" s="1">
        <v>2</v>
      </c>
      <c r="L1287" s="1" t="s">
        <v>74</v>
      </c>
      <c r="M1287" s="1" t="str">
        <f>"上海 上海市 静安区 "</f>
        <v xml:space="preserve">上海 上海市 静安区 </v>
      </c>
      <c r="N1287" s="1" t="str">
        <f t="shared" si="423"/>
        <v>凡华云仓-城南圆通-微信视频号</v>
      </c>
      <c r="O1287" s="5" t="s">
        <v>1324</v>
      </c>
      <c r="P1287" s="6">
        <v>0.17</v>
      </c>
      <c r="Q1287" s="11">
        <v>2</v>
      </c>
      <c r="R1287" s="11"/>
      <c r="S1287" s="11"/>
      <c r="T1287" s="11"/>
      <c r="U1287" s="11">
        <f t="shared" si="429"/>
        <v>2</v>
      </c>
      <c r="W1287">
        <v>2.2000000000000002</v>
      </c>
      <c r="X1287" s="1" t="s">
        <v>74</v>
      </c>
    </row>
    <row r="1288" spans="1:24" x14ac:dyDescent="0.25">
      <c r="A1288" s="1" t="str">
        <f t="shared" si="425"/>
        <v>卡卡杜-凤凰仓</v>
      </c>
      <c r="B1288" s="1" t="str">
        <f>"CK20241029271"</f>
        <v>CK20241029271</v>
      </c>
      <c r="C1288" s="1" t="str">
        <f>"DD202410299863"</f>
        <v>DD202410299863</v>
      </c>
      <c r="D1288" s="1" t="str">
        <f>"CK2024102915341"</f>
        <v>CK2024102915341</v>
      </c>
      <c r="E1288" s="1" t="str">
        <f>"3723628270092162048"</f>
        <v>3723628270092162048</v>
      </c>
      <c r="F1288" s="1" t="str">
        <f t="shared" si="426"/>
        <v>花都四部-凤凰仓</v>
      </c>
      <c r="G1288" s="1" t="str">
        <f t="shared" si="411"/>
        <v>卡卡杜企业店（视频号）</v>
      </c>
      <c r="H1288" s="1" t="str">
        <f t="shared" si="427"/>
        <v>正常订单</v>
      </c>
      <c r="I1288" s="1" t="str">
        <f t="shared" si="428"/>
        <v>已发货</v>
      </c>
      <c r="J1288" s="1" t="str">
        <f t="shared" ref="J1288:J1293" si="430">"3"</f>
        <v>3</v>
      </c>
      <c r="K1288" s="1">
        <v>2</v>
      </c>
      <c r="L1288" s="1" t="s">
        <v>52</v>
      </c>
      <c r="M1288" s="1" t="str">
        <f>"甘肃省 陇南市 康县 "</f>
        <v xml:space="preserve">甘肃省 陇南市 康县 </v>
      </c>
      <c r="N1288" s="1" t="str">
        <f t="shared" si="423"/>
        <v>凡华云仓-城南圆通-微信视频号</v>
      </c>
      <c r="O1288" s="5" t="s">
        <v>1325</v>
      </c>
      <c r="P1288" s="6">
        <v>0.24</v>
      </c>
      <c r="Q1288" s="11">
        <v>2</v>
      </c>
      <c r="R1288" s="11"/>
      <c r="S1288" s="11"/>
      <c r="T1288" s="11"/>
      <c r="U1288" s="11">
        <f t="shared" si="429"/>
        <v>2</v>
      </c>
      <c r="W1288">
        <v>2.2000000000000002</v>
      </c>
      <c r="X1288" s="1" t="s">
        <v>52</v>
      </c>
    </row>
    <row r="1289" spans="1:24" x14ac:dyDescent="0.25">
      <c r="A1289" s="1" t="str">
        <f t="shared" si="425"/>
        <v>卡卡杜-凤凰仓</v>
      </c>
      <c r="B1289" s="1" t="str">
        <f>"CK2024102977"</f>
        <v>CK2024102977</v>
      </c>
      <c r="C1289" s="1" t="str">
        <f>"DD202410299458"</f>
        <v>DD202410299458</v>
      </c>
      <c r="D1289" s="1" t="str">
        <f>"CK2024102915340"</f>
        <v>CK2024102915340</v>
      </c>
      <c r="E1289" s="1" t="str">
        <f>"3723628269876941824"</f>
        <v>3723628269876941824</v>
      </c>
      <c r="F1289" s="1" t="str">
        <f t="shared" si="426"/>
        <v>花都四部-凤凰仓</v>
      </c>
      <c r="G1289" s="1" t="str">
        <f t="shared" si="411"/>
        <v>卡卡杜企业店（视频号）</v>
      </c>
      <c r="H1289" s="1" t="str">
        <f t="shared" si="427"/>
        <v>正常订单</v>
      </c>
      <c r="I1289" s="1" t="str">
        <f t="shared" si="428"/>
        <v>已发货</v>
      </c>
      <c r="J1289" s="1" t="str">
        <f t="shared" ref="J1289:J1292" si="431">"2"</f>
        <v>2</v>
      </c>
      <c r="K1289" s="1">
        <v>2</v>
      </c>
      <c r="L1289" s="1" t="s">
        <v>105</v>
      </c>
      <c r="M1289" s="1" t="str">
        <f>"北京 北京市 西城区 "</f>
        <v xml:space="preserve">北京 北京市 西城区 </v>
      </c>
      <c r="N1289" s="1" t="str">
        <f t="shared" si="423"/>
        <v>凡华云仓-城南圆通-微信视频号</v>
      </c>
      <c r="O1289" s="5" t="s">
        <v>1326</v>
      </c>
      <c r="P1289" s="6">
        <v>0.17</v>
      </c>
      <c r="Q1289" s="11">
        <v>2</v>
      </c>
      <c r="R1289" s="11"/>
      <c r="S1289" s="11"/>
      <c r="T1289" s="11"/>
      <c r="U1289" s="11">
        <f t="shared" si="429"/>
        <v>2</v>
      </c>
      <c r="W1289">
        <v>2.2000000000000002</v>
      </c>
      <c r="X1289" s="1" t="s">
        <v>105</v>
      </c>
    </row>
    <row r="1290" spans="1:24" x14ac:dyDescent="0.25">
      <c r="A1290" s="1" t="str">
        <f t="shared" si="425"/>
        <v>卡卡杜-凤凰仓</v>
      </c>
      <c r="B1290" s="1" t="str">
        <f>"CK2024102976"</f>
        <v>CK2024102976</v>
      </c>
      <c r="C1290" s="1" t="str">
        <f>"DD202410299457"</f>
        <v>DD202410299457</v>
      </c>
      <c r="D1290" s="1" t="str">
        <f>"CK2024102915339"</f>
        <v>CK2024102915339</v>
      </c>
      <c r="E1290" s="1" t="str">
        <f>"3723628267486447104"</f>
        <v>3723628267486447104</v>
      </c>
      <c r="F1290" s="1" t="str">
        <f t="shared" si="426"/>
        <v>花都四部-凤凰仓</v>
      </c>
      <c r="G1290" s="1" t="str">
        <f t="shared" si="411"/>
        <v>卡卡杜企业店（视频号）</v>
      </c>
      <c r="H1290" s="1" t="str">
        <f t="shared" si="427"/>
        <v>正常订单</v>
      </c>
      <c r="I1290" s="1" t="str">
        <f t="shared" si="428"/>
        <v>已发货</v>
      </c>
      <c r="J1290" s="1" t="str">
        <f t="shared" si="431"/>
        <v>2</v>
      </c>
      <c r="K1290" s="1">
        <v>2</v>
      </c>
      <c r="L1290" s="1" t="s">
        <v>24</v>
      </c>
      <c r="M1290" s="1" t="str">
        <f>"福建省 福州市 连江县 "</f>
        <v xml:space="preserve">福建省 福州市 连江县 </v>
      </c>
      <c r="N1290" s="1" t="str">
        <f t="shared" si="423"/>
        <v>凡华云仓-城南圆通-微信视频号</v>
      </c>
      <c r="O1290" s="5" t="s">
        <v>1327</v>
      </c>
      <c r="P1290" s="6">
        <v>0.17</v>
      </c>
      <c r="Q1290" s="11">
        <v>2</v>
      </c>
      <c r="R1290" s="11"/>
      <c r="S1290" s="11"/>
      <c r="T1290" s="11"/>
      <c r="U1290" s="11">
        <f t="shared" si="429"/>
        <v>2</v>
      </c>
      <c r="W1290">
        <v>2.2000000000000002</v>
      </c>
      <c r="X1290" s="1" t="s">
        <v>24</v>
      </c>
    </row>
    <row r="1291" spans="1:24" x14ac:dyDescent="0.25">
      <c r="A1291" s="1" t="str">
        <f t="shared" si="425"/>
        <v>卡卡杜-凤凰仓</v>
      </c>
      <c r="B1291" s="1" t="str">
        <f>"CK20241029272"</f>
        <v>CK20241029272</v>
      </c>
      <c r="C1291" s="1" t="str">
        <f>"DD202410299864"</f>
        <v>DD202410299864</v>
      </c>
      <c r="D1291" s="1" t="str">
        <f>"CK2024102915338"</f>
        <v>CK2024102915338</v>
      </c>
      <c r="E1291" s="1" t="str">
        <f>"3723628268152819712"</f>
        <v>3723628268152819712</v>
      </c>
      <c r="F1291" s="1" t="str">
        <f t="shared" si="426"/>
        <v>花都四部-凤凰仓</v>
      </c>
      <c r="G1291" s="1" t="str">
        <f t="shared" si="411"/>
        <v>卡卡杜企业店（视频号）</v>
      </c>
      <c r="H1291" s="1" t="str">
        <f t="shared" si="427"/>
        <v>正常订单</v>
      </c>
      <c r="I1291" s="1" t="str">
        <f t="shared" si="428"/>
        <v>已发货</v>
      </c>
      <c r="J1291" s="1" t="str">
        <f t="shared" si="430"/>
        <v>3</v>
      </c>
      <c r="K1291" s="1">
        <v>2</v>
      </c>
      <c r="L1291" s="1" t="s">
        <v>13</v>
      </c>
      <c r="M1291" s="1" t="str">
        <f>"江苏省 南京市 江宁区 "</f>
        <v xml:space="preserve">江苏省 南京市 江宁区 </v>
      </c>
      <c r="N1291" s="1" t="str">
        <f t="shared" si="423"/>
        <v>凡华云仓-城南圆通-微信视频号</v>
      </c>
      <c r="O1291" s="5" t="s">
        <v>1328</v>
      </c>
      <c r="P1291" s="6">
        <v>0.24</v>
      </c>
      <c r="Q1291" s="11">
        <v>2</v>
      </c>
      <c r="R1291" s="11"/>
      <c r="S1291" s="11"/>
      <c r="T1291" s="11"/>
      <c r="U1291" s="11">
        <f t="shared" si="429"/>
        <v>2</v>
      </c>
      <c r="W1291">
        <v>2.2000000000000002</v>
      </c>
      <c r="X1291" s="1" t="s">
        <v>13</v>
      </c>
    </row>
    <row r="1292" spans="1:24" x14ac:dyDescent="0.25">
      <c r="A1292" s="1" t="str">
        <f t="shared" si="425"/>
        <v>卡卡杜-凤凰仓</v>
      </c>
      <c r="B1292" s="1" t="str">
        <f>"CK2024102973"</f>
        <v>CK2024102973</v>
      </c>
      <c r="C1292" s="1" t="str">
        <f>"DD202410299455"</f>
        <v>DD202410299455</v>
      </c>
      <c r="D1292" s="1" t="str">
        <f>"CK2024102915337"</f>
        <v>CK2024102915337</v>
      </c>
      <c r="E1292" s="1" t="str">
        <f>"3723628268173788672"</f>
        <v>3723628268173788672</v>
      </c>
      <c r="F1292" s="1" t="str">
        <f t="shared" si="426"/>
        <v>花都四部-凤凰仓</v>
      </c>
      <c r="G1292" s="1" t="str">
        <f t="shared" si="411"/>
        <v>卡卡杜企业店（视频号）</v>
      </c>
      <c r="H1292" s="1" t="str">
        <f t="shared" si="427"/>
        <v>正常订单</v>
      </c>
      <c r="I1292" s="1" t="str">
        <f t="shared" si="428"/>
        <v>已发货</v>
      </c>
      <c r="J1292" s="1" t="str">
        <f t="shared" si="431"/>
        <v>2</v>
      </c>
      <c r="K1292" s="1">
        <v>2</v>
      </c>
      <c r="L1292" s="1" t="s">
        <v>20</v>
      </c>
      <c r="M1292" s="1" t="str">
        <f>"浙江省 杭州市 临安区 "</f>
        <v xml:space="preserve">浙江省 杭州市 临安区 </v>
      </c>
      <c r="N1292" s="1" t="str">
        <f t="shared" si="423"/>
        <v>凡华云仓-城南圆通-微信视频号</v>
      </c>
      <c r="O1292" s="5" t="s">
        <v>1329</v>
      </c>
      <c r="P1292" s="6">
        <v>0.17</v>
      </c>
      <c r="Q1292" s="11">
        <v>2</v>
      </c>
      <c r="R1292" s="11"/>
      <c r="S1292" s="11"/>
      <c r="T1292" s="11"/>
      <c r="U1292" s="11">
        <f t="shared" si="429"/>
        <v>2</v>
      </c>
      <c r="W1292">
        <v>2.2000000000000002</v>
      </c>
      <c r="X1292" s="1" t="s">
        <v>20</v>
      </c>
    </row>
    <row r="1293" spans="1:24" x14ac:dyDescent="0.25">
      <c r="A1293" s="1" t="str">
        <f t="shared" si="425"/>
        <v>卡卡杜-凤凰仓</v>
      </c>
      <c r="B1293" s="1" t="str">
        <f>"CK20241029275"</f>
        <v>CK20241029275</v>
      </c>
      <c r="C1293" s="1" t="str">
        <f>"DD202410299868"</f>
        <v>DD202410299868</v>
      </c>
      <c r="D1293" s="1" t="str">
        <f>"CK2024102915336"</f>
        <v>CK2024102915336</v>
      </c>
      <c r="E1293" s="1" t="str">
        <f>"3723628261040589824"</f>
        <v>3723628261040589824</v>
      </c>
      <c r="F1293" s="1" t="str">
        <f t="shared" si="426"/>
        <v>花都四部-凤凰仓</v>
      </c>
      <c r="G1293" s="1" t="str">
        <f t="shared" si="411"/>
        <v>卡卡杜企业店（视频号）</v>
      </c>
      <c r="H1293" s="1" t="str">
        <f t="shared" si="427"/>
        <v>正常订单</v>
      </c>
      <c r="I1293" s="1" t="str">
        <f t="shared" si="428"/>
        <v>已发货</v>
      </c>
      <c r="J1293" s="1" t="str">
        <f t="shared" si="430"/>
        <v>3</v>
      </c>
      <c r="K1293" s="1">
        <v>2</v>
      </c>
      <c r="L1293" s="1" t="s">
        <v>105</v>
      </c>
      <c r="M1293" s="1" t="str">
        <f>"北京 北京市 昌平区 "</f>
        <v xml:space="preserve">北京 北京市 昌平区 </v>
      </c>
      <c r="N1293" s="1" t="str">
        <f t="shared" si="423"/>
        <v>凡华云仓-城南圆通-微信视频号</v>
      </c>
      <c r="O1293" s="5" t="s">
        <v>1330</v>
      </c>
      <c r="P1293" s="6">
        <v>0.24</v>
      </c>
      <c r="Q1293" s="11">
        <v>2</v>
      </c>
      <c r="R1293" s="11"/>
      <c r="S1293" s="11"/>
      <c r="T1293" s="11"/>
      <c r="U1293" s="11">
        <f t="shared" si="429"/>
        <v>2</v>
      </c>
      <c r="W1293">
        <v>2.2000000000000002</v>
      </c>
      <c r="X1293" s="1" t="s">
        <v>105</v>
      </c>
    </row>
    <row r="1294" spans="1:24" x14ac:dyDescent="0.25">
      <c r="A1294" s="1" t="str">
        <f t="shared" si="425"/>
        <v>卡卡杜-凤凰仓</v>
      </c>
      <c r="B1294" s="1" t="str">
        <f>"CK2024102969"</f>
        <v>CK2024102969</v>
      </c>
      <c r="C1294" s="1" t="str">
        <f>"DD202410299451"</f>
        <v>DD202410299451</v>
      </c>
      <c r="D1294" s="1" t="str">
        <f>"CK2024102915335"</f>
        <v>CK2024102915335</v>
      </c>
      <c r="E1294" s="1" t="str">
        <f>"3723628267343578368"</f>
        <v>3723628267343578368</v>
      </c>
      <c r="F1294" s="1" t="str">
        <f t="shared" si="426"/>
        <v>花都四部-凤凰仓</v>
      </c>
      <c r="G1294" s="1" t="str">
        <f t="shared" si="411"/>
        <v>卡卡杜企业店（视频号）</v>
      </c>
      <c r="H1294" s="1" t="str">
        <f t="shared" si="427"/>
        <v>正常订单</v>
      </c>
      <c r="I1294" s="1" t="str">
        <f t="shared" si="428"/>
        <v>已发货</v>
      </c>
      <c r="J1294" s="1" t="str">
        <f t="shared" ref="J1294:J1302" si="432">"2"</f>
        <v>2</v>
      </c>
      <c r="K1294" s="1">
        <v>2</v>
      </c>
      <c r="L1294" s="1" t="s">
        <v>74</v>
      </c>
      <c r="M1294" s="1" t="str">
        <f>"上海 上海市 浦东新区 "</f>
        <v xml:space="preserve">上海 上海市 浦东新区 </v>
      </c>
      <c r="N1294" s="1" t="str">
        <f t="shared" si="423"/>
        <v>凡华云仓-城南圆通-微信视频号</v>
      </c>
      <c r="O1294" s="5" t="s">
        <v>1331</v>
      </c>
      <c r="P1294" s="6">
        <v>0.17</v>
      </c>
      <c r="Q1294" s="11">
        <v>2</v>
      </c>
      <c r="R1294" s="11"/>
      <c r="S1294" s="11"/>
      <c r="T1294" s="11"/>
      <c r="U1294" s="11">
        <f t="shared" si="429"/>
        <v>2</v>
      </c>
      <c r="W1294">
        <v>2.2000000000000002</v>
      </c>
      <c r="X1294" s="1" t="s">
        <v>74</v>
      </c>
    </row>
    <row r="1295" spans="1:24" x14ac:dyDescent="0.25">
      <c r="A1295" s="1" t="str">
        <f t="shared" si="425"/>
        <v>卡卡杜-凤凰仓</v>
      </c>
      <c r="B1295" s="1" t="str">
        <f>"CK20241029273"</f>
        <v>CK20241029273</v>
      </c>
      <c r="C1295" s="1" t="str">
        <f>"DD202410299865"</f>
        <v>DD202410299865</v>
      </c>
      <c r="D1295" s="1" t="str">
        <f>"CK2024102915334"</f>
        <v>CK2024102915334</v>
      </c>
      <c r="E1295" s="1" t="str">
        <f>"3723628265680012544"</f>
        <v>3723628265680012544</v>
      </c>
      <c r="F1295" s="1" t="str">
        <f t="shared" si="426"/>
        <v>花都四部-凤凰仓</v>
      </c>
      <c r="G1295" s="1" t="str">
        <f t="shared" si="411"/>
        <v>卡卡杜企业店（视频号）</v>
      </c>
      <c r="H1295" s="1" t="str">
        <f t="shared" si="427"/>
        <v>正常订单</v>
      </c>
      <c r="I1295" s="1" t="str">
        <f t="shared" si="428"/>
        <v>已发货</v>
      </c>
      <c r="J1295" s="1" t="str">
        <f>"3"</f>
        <v>3</v>
      </c>
      <c r="K1295" s="1">
        <v>2</v>
      </c>
      <c r="L1295" s="1" t="s">
        <v>54</v>
      </c>
      <c r="M1295" s="1" t="str">
        <f>"黑龙江省 七台河市 勃利县 "</f>
        <v xml:space="preserve">黑龙江省 七台河市 勃利县 </v>
      </c>
      <c r="N1295" s="1" t="str">
        <f t="shared" si="423"/>
        <v>凡华云仓-城南圆通-微信视频号</v>
      </c>
      <c r="O1295" s="5" t="s">
        <v>1332</v>
      </c>
      <c r="P1295" s="6">
        <v>0.24</v>
      </c>
      <c r="Q1295" s="11">
        <v>2</v>
      </c>
      <c r="R1295" s="11"/>
      <c r="S1295" s="11"/>
      <c r="T1295" s="11"/>
      <c r="U1295" s="11">
        <f t="shared" si="429"/>
        <v>2</v>
      </c>
      <c r="W1295">
        <v>2.2000000000000002</v>
      </c>
      <c r="X1295" s="1" t="s">
        <v>54</v>
      </c>
    </row>
    <row r="1296" spans="1:24" x14ac:dyDescent="0.25">
      <c r="A1296" s="1" t="str">
        <f t="shared" si="425"/>
        <v>卡卡杜-凤凰仓</v>
      </c>
      <c r="B1296" s="1" t="str">
        <f>"CK20241029274"</f>
        <v>CK20241029274</v>
      </c>
      <c r="C1296" s="1" t="str">
        <f>"DD202410299866"</f>
        <v>DD202410299866</v>
      </c>
      <c r="D1296" s="1" t="str">
        <f>"CK2024102915333"</f>
        <v>CK2024102915333</v>
      </c>
      <c r="E1296" s="1" t="str">
        <f>"3723628262767330816"</f>
        <v>3723628262767330816</v>
      </c>
      <c r="F1296" s="1" t="str">
        <f t="shared" si="426"/>
        <v>花都四部-凤凰仓</v>
      </c>
      <c r="G1296" s="1" t="str">
        <f t="shared" si="411"/>
        <v>卡卡杜企业店（视频号）</v>
      </c>
      <c r="H1296" s="1" t="str">
        <f t="shared" si="427"/>
        <v>正常订单</v>
      </c>
      <c r="I1296" s="1" t="str">
        <f t="shared" si="428"/>
        <v>已发货</v>
      </c>
      <c r="J1296" s="1" t="str">
        <f>"3"</f>
        <v>3</v>
      </c>
      <c r="K1296" s="1">
        <v>2</v>
      </c>
      <c r="L1296" s="1" t="s">
        <v>16</v>
      </c>
      <c r="M1296" s="1" t="str">
        <f>"河北省 廊坊市 大厂回族自治县 "</f>
        <v xml:space="preserve">河北省 廊坊市 大厂回族自治县 </v>
      </c>
      <c r="N1296" s="1" t="str">
        <f t="shared" si="423"/>
        <v>凡华云仓-城南圆通-微信视频号</v>
      </c>
      <c r="O1296" s="5" t="s">
        <v>1333</v>
      </c>
      <c r="P1296" s="6">
        <v>0.24</v>
      </c>
      <c r="Q1296" s="11">
        <v>2</v>
      </c>
      <c r="R1296" s="11"/>
      <c r="S1296" s="11"/>
      <c r="T1296" s="11"/>
      <c r="U1296" s="11">
        <f t="shared" si="429"/>
        <v>2</v>
      </c>
      <c r="W1296">
        <v>2.2000000000000002</v>
      </c>
      <c r="X1296" s="1" t="s">
        <v>16</v>
      </c>
    </row>
    <row r="1297" spans="1:24" x14ac:dyDescent="0.25">
      <c r="A1297" s="1" t="str">
        <f t="shared" si="425"/>
        <v>卡卡杜-凤凰仓</v>
      </c>
      <c r="B1297" s="1" t="str">
        <f>"CK2024102978"</f>
        <v>CK2024102978</v>
      </c>
      <c r="C1297" s="1" t="str">
        <f>"DD202410299460"</f>
        <v>DD202410299460</v>
      </c>
      <c r="D1297" s="1" t="str">
        <f>"CK2024102915332"</f>
        <v>CK2024102915332</v>
      </c>
      <c r="E1297" s="1" t="str">
        <f>"3723628261229069824"</f>
        <v>3723628261229069824</v>
      </c>
      <c r="F1297" s="1" t="str">
        <f t="shared" si="426"/>
        <v>花都四部-凤凰仓</v>
      </c>
      <c r="G1297" s="1" t="str">
        <f t="shared" si="411"/>
        <v>卡卡杜企业店（视频号）</v>
      </c>
      <c r="H1297" s="1" t="str">
        <f t="shared" si="427"/>
        <v>正常订单</v>
      </c>
      <c r="I1297" s="1" t="str">
        <f t="shared" si="428"/>
        <v>已发货</v>
      </c>
      <c r="J1297" s="1" t="str">
        <f t="shared" si="432"/>
        <v>2</v>
      </c>
      <c r="K1297" s="1">
        <v>2</v>
      </c>
      <c r="L1297" s="1" t="s">
        <v>18</v>
      </c>
      <c r="M1297" s="1" t="str">
        <f>"广东省 深圳市 南山区 "</f>
        <v xml:space="preserve">广东省 深圳市 南山区 </v>
      </c>
      <c r="N1297" s="1" t="str">
        <f t="shared" si="423"/>
        <v>凡华云仓-城南圆通-微信视频号</v>
      </c>
      <c r="O1297" s="5" t="s">
        <v>1334</v>
      </c>
      <c r="P1297" s="6">
        <v>0.17</v>
      </c>
      <c r="Q1297" s="11">
        <v>2</v>
      </c>
      <c r="R1297" s="11"/>
      <c r="S1297" s="11"/>
      <c r="T1297" s="11"/>
      <c r="U1297" s="11">
        <f t="shared" si="429"/>
        <v>2</v>
      </c>
      <c r="W1297">
        <v>2.2000000000000002</v>
      </c>
      <c r="X1297" s="1" t="s">
        <v>18</v>
      </c>
    </row>
    <row r="1298" spans="1:24" x14ac:dyDescent="0.25">
      <c r="A1298" s="1" t="str">
        <f t="shared" si="425"/>
        <v>卡卡杜-凤凰仓</v>
      </c>
      <c r="B1298" s="1" t="str">
        <f>"CK2024102971"</f>
        <v>CK2024102971</v>
      </c>
      <c r="C1298" s="1" t="str">
        <f>"DD202410299453"</f>
        <v>DD202410299453</v>
      </c>
      <c r="D1298" s="1" t="str">
        <f>"CK2024102915331"</f>
        <v>CK2024102915331</v>
      </c>
      <c r="E1298" s="1" t="str">
        <f>"3723628258267368450"</f>
        <v>3723628258267368450</v>
      </c>
      <c r="F1298" s="1" t="str">
        <f t="shared" si="426"/>
        <v>花都四部-凤凰仓</v>
      </c>
      <c r="G1298" s="1" t="str">
        <f t="shared" si="411"/>
        <v>卡卡杜企业店（视频号）</v>
      </c>
      <c r="H1298" s="1" t="str">
        <f t="shared" si="427"/>
        <v>正常订单</v>
      </c>
      <c r="I1298" s="1" t="str">
        <f t="shared" si="428"/>
        <v>已发货</v>
      </c>
      <c r="J1298" s="1" t="str">
        <f t="shared" si="432"/>
        <v>2</v>
      </c>
      <c r="K1298" s="1">
        <v>2</v>
      </c>
      <c r="L1298" s="1" t="s">
        <v>27</v>
      </c>
      <c r="M1298" s="1" t="str">
        <f>"贵州省 安顺市 西秀区 "</f>
        <v xml:space="preserve">贵州省 安顺市 西秀区 </v>
      </c>
      <c r="N1298" s="1" t="str">
        <f t="shared" si="423"/>
        <v>凡华云仓-城南圆通-微信视频号</v>
      </c>
      <c r="O1298" s="5" t="s">
        <v>1335</v>
      </c>
      <c r="P1298" s="6">
        <v>0.17</v>
      </c>
      <c r="Q1298" s="11">
        <v>2</v>
      </c>
      <c r="R1298" s="11"/>
      <c r="S1298" s="11"/>
      <c r="T1298" s="11"/>
      <c r="U1298" s="11">
        <f t="shared" si="429"/>
        <v>2</v>
      </c>
      <c r="W1298">
        <v>2.2000000000000002</v>
      </c>
      <c r="X1298" s="1" t="s">
        <v>27</v>
      </c>
    </row>
    <row r="1299" spans="1:24" x14ac:dyDescent="0.25">
      <c r="A1299" s="1" t="str">
        <f t="shared" si="425"/>
        <v>卡卡杜-凤凰仓</v>
      </c>
      <c r="B1299" s="1" t="str">
        <f>"CK2024102974"</f>
        <v>CK2024102974</v>
      </c>
      <c r="C1299" s="1" t="str">
        <f>"DD202410299456"</f>
        <v>DD202410299456</v>
      </c>
      <c r="D1299" s="1" t="str">
        <f>"CK2024102915330"</f>
        <v>CK2024102915330</v>
      </c>
      <c r="E1299" s="1" t="str">
        <f>"3723628259335080960"</f>
        <v>3723628259335080960</v>
      </c>
      <c r="F1299" s="1" t="str">
        <f t="shared" si="426"/>
        <v>花都四部-凤凰仓</v>
      </c>
      <c r="G1299" s="1" t="str">
        <f t="shared" si="411"/>
        <v>卡卡杜企业店（视频号）</v>
      </c>
      <c r="H1299" s="1" t="str">
        <f t="shared" si="427"/>
        <v>正常订单</v>
      </c>
      <c r="I1299" s="1" t="str">
        <f t="shared" si="428"/>
        <v>已发货</v>
      </c>
      <c r="J1299" s="1" t="str">
        <f t="shared" si="432"/>
        <v>2</v>
      </c>
      <c r="K1299" s="1">
        <v>2</v>
      </c>
      <c r="L1299" s="1" t="s">
        <v>32</v>
      </c>
      <c r="M1299" s="1" t="str">
        <f>"陕西省 西安市 雁塔区 "</f>
        <v xml:space="preserve">陕西省 西安市 雁塔区 </v>
      </c>
      <c r="N1299" s="1" t="str">
        <f t="shared" si="423"/>
        <v>凡华云仓-城南圆通-微信视频号</v>
      </c>
      <c r="O1299" s="5" t="s">
        <v>1336</v>
      </c>
      <c r="P1299" s="6">
        <v>0.17</v>
      </c>
      <c r="Q1299" s="11">
        <v>2</v>
      </c>
      <c r="R1299" s="11"/>
      <c r="S1299" s="11"/>
      <c r="T1299" s="11"/>
      <c r="U1299" s="11">
        <f t="shared" si="429"/>
        <v>2</v>
      </c>
      <c r="W1299">
        <v>2.2000000000000002</v>
      </c>
      <c r="X1299" s="1" t="s">
        <v>32</v>
      </c>
    </row>
    <row r="1300" spans="1:24" x14ac:dyDescent="0.25">
      <c r="A1300" s="1" t="str">
        <f t="shared" si="425"/>
        <v>卡卡杜-凤凰仓</v>
      </c>
      <c r="B1300" s="1" t="str">
        <f>"CK2024102979"</f>
        <v>CK2024102979</v>
      </c>
      <c r="C1300" s="1" t="str">
        <f>"DD202410299461"</f>
        <v>DD202410299461</v>
      </c>
      <c r="D1300" s="1" t="str">
        <f>"CK2024102915329"</f>
        <v>CK2024102915329</v>
      </c>
      <c r="E1300" s="1" t="str">
        <f>"3723628259817950209"</f>
        <v>3723628259817950209</v>
      </c>
      <c r="F1300" s="1" t="str">
        <f t="shared" si="426"/>
        <v>花都四部-凤凰仓</v>
      </c>
      <c r="G1300" s="1" t="str">
        <f t="shared" si="411"/>
        <v>卡卡杜企业店（视频号）</v>
      </c>
      <c r="H1300" s="1" t="str">
        <f t="shared" si="427"/>
        <v>正常订单</v>
      </c>
      <c r="I1300" s="1" t="str">
        <f t="shared" si="428"/>
        <v>已发货</v>
      </c>
      <c r="J1300" s="1" t="str">
        <f t="shared" si="432"/>
        <v>2</v>
      </c>
      <c r="K1300" s="1">
        <v>2</v>
      </c>
      <c r="L1300" s="1" t="s">
        <v>1111</v>
      </c>
      <c r="M1300" s="1" t="str">
        <f>"青海省 西宁市 城中区 "</f>
        <v xml:space="preserve">青海省 西宁市 城中区 </v>
      </c>
      <c r="N1300" s="1" t="str">
        <f t="shared" si="423"/>
        <v>凡华云仓-城南圆通-微信视频号</v>
      </c>
      <c r="O1300" s="5" t="s">
        <v>1337</v>
      </c>
      <c r="P1300" s="6">
        <v>0.17</v>
      </c>
      <c r="Q1300" s="11">
        <v>2</v>
      </c>
      <c r="R1300" s="11"/>
      <c r="S1300" s="11"/>
      <c r="T1300" s="11"/>
      <c r="U1300" s="11">
        <f t="shared" si="429"/>
        <v>2</v>
      </c>
      <c r="W1300">
        <v>2.2000000000000002</v>
      </c>
      <c r="X1300" s="1" t="s">
        <v>1111</v>
      </c>
    </row>
    <row r="1301" spans="1:24" x14ac:dyDescent="0.25">
      <c r="A1301" s="1" t="str">
        <f t="shared" si="425"/>
        <v>卡卡杜-凤凰仓</v>
      </c>
      <c r="B1301" s="1" t="str">
        <f>"CK2024102986"</f>
        <v>CK2024102986</v>
      </c>
      <c r="C1301" s="1" t="str">
        <f>"DD202410299468"</f>
        <v>DD202410299468</v>
      </c>
      <c r="D1301" s="1" t="str">
        <f>"CK2024102915328"</f>
        <v>CK2024102915328</v>
      </c>
      <c r="E1301" s="1" t="str">
        <f>"3723628258711442432"</f>
        <v>3723628258711442432</v>
      </c>
      <c r="F1301" s="1" t="str">
        <f t="shared" si="426"/>
        <v>花都四部-凤凰仓</v>
      </c>
      <c r="G1301" s="1" t="str">
        <f t="shared" si="411"/>
        <v>卡卡杜企业店（视频号）</v>
      </c>
      <c r="H1301" s="1" t="str">
        <f t="shared" si="427"/>
        <v>正常订单</v>
      </c>
      <c r="I1301" s="1" t="str">
        <f t="shared" si="428"/>
        <v>已发货</v>
      </c>
      <c r="J1301" s="1" t="str">
        <f t="shared" si="432"/>
        <v>2</v>
      </c>
      <c r="K1301" s="1">
        <v>2</v>
      </c>
      <c r="L1301" s="1" t="s">
        <v>54</v>
      </c>
      <c r="M1301" s="1" t="str">
        <f>"黑龙江省 佳木斯市 富锦市 "</f>
        <v xml:space="preserve">黑龙江省 佳木斯市 富锦市 </v>
      </c>
      <c r="N1301" s="1" t="str">
        <f t="shared" si="423"/>
        <v>凡华云仓-城南圆通-微信视频号</v>
      </c>
      <c r="O1301" s="5" t="s">
        <v>1338</v>
      </c>
      <c r="P1301" s="6">
        <v>0.17</v>
      </c>
      <c r="Q1301" s="11">
        <v>2</v>
      </c>
      <c r="R1301" s="11"/>
      <c r="S1301" s="11"/>
      <c r="T1301" s="11"/>
      <c r="U1301" s="11">
        <f t="shared" si="429"/>
        <v>2</v>
      </c>
      <c r="W1301">
        <v>2.2000000000000002</v>
      </c>
      <c r="X1301" s="1" t="s">
        <v>54</v>
      </c>
    </row>
    <row r="1302" spans="1:24" x14ac:dyDescent="0.25">
      <c r="A1302" s="1" t="str">
        <f t="shared" si="425"/>
        <v>卡卡杜-凤凰仓</v>
      </c>
      <c r="B1302" s="1" t="str">
        <f>"CK2024102982"</f>
        <v>CK2024102982</v>
      </c>
      <c r="C1302" s="1" t="str">
        <f>"DD202410299462"</f>
        <v>DD202410299462</v>
      </c>
      <c r="D1302" s="1" t="str">
        <f>"CK2024102915327"</f>
        <v>CK2024102915327</v>
      </c>
      <c r="E1302" s="1" t="str">
        <f>"3723628255427036672"</f>
        <v>3723628255427036672</v>
      </c>
      <c r="F1302" s="1" t="str">
        <f t="shared" si="426"/>
        <v>花都四部-凤凰仓</v>
      </c>
      <c r="G1302" s="1" t="str">
        <f t="shared" si="411"/>
        <v>卡卡杜企业店（视频号）</v>
      </c>
      <c r="H1302" s="1" t="str">
        <f t="shared" si="427"/>
        <v>正常订单</v>
      </c>
      <c r="I1302" s="1" t="str">
        <f t="shared" si="428"/>
        <v>已发货</v>
      </c>
      <c r="J1302" s="1" t="str">
        <f t="shared" si="432"/>
        <v>2</v>
      </c>
      <c r="K1302" s="1">
        <v>2</v>
      </c>
      <c r="L1302" s="1" t="s">
        <v>30</v>
      </c>
      <c r="M1302" s="1" t="str">
        <f>"山东省 青岛市 李沧区 "</f>
        <v xml:space="preserve">山东省 青岛市 李沧区 </v>
      </c>
      <c r="N1302" s="1" t="str">
        <f t="shared" si="423"/>
        <v>凡华云仓-城南圆通-微信视频号</v>
      </c>
      <c r="O1302" s="5" t="s">
        <v>1339</v>
      </c>
      <c r="P1302" s="6">
        <v>0.17</v>
      </c>
      <c r="Q1302" s="11">
        <v>2</v>
      </c>
      <c r="R1302" s="11"/>
      <c r="S1302" s="11"/>
      <c r="T1302" s="11"/>
      <c r="U1302" s="11">
        <f t="shared" si="429"/>
        <v>2</v>
      </c>
      <c r="W1302">
        <v>2.2000000000000002</v>
      </c>
      <c r="X1302" s="1" t="s">
        <v>30</v>
      </c>
    </row>
    <row r="1303" spans="1:24" x14ac:dyDescent="0.25">
      <c r="A1303" s="1" t="str">
        <f t="shared" si="425"/>
        <v>卡卡杜-凤凰仓</v>
      </c>
      <c r="B1303" s="1" t="str">
        <f>"CK20241029276"</f>
        <v>CK20241029276</v>
      </c>
      <c r="C1303" s="1" t="str">
        <f>"DD202410299867"</f>
        <v>DD202410299867</v>
      </c>
      <c r="D1303" s="1" t="str">
        <f>"CK2024102915326"</f>
        <v>CK2024102915326</v>
      </c>
      <c r="E1303" s="1" t="str">
        <f>"3723628255737418752"</f>
        <v>3723628255737418752</v>
      </c>
      <c r="F1303" s="1" t="str">
        <f t="shared" si="426"/>
        <v>花都四部-凤凰仓</v>
      </c>
      <c r="G1303" s="1" t="str">
        <f t="shared" ref="G1303:G1366" si="433">"卡卡杜企业店（视频号）"</f>
        <v>卡卡杜企业店（视频号）</v>
      </c>
      <c r="H1303" s="1" t="str">
        <f t="shared" si="427"/>
        <v>正常订单</v>
      </c>
      <c r="I1303" s="1" t="str">
        <f t="shared" si="428"/>
        <v>已发货</v>
      </c>
      <c r="J1303" s="1" t="str">
        <f t="shared" ref="J1303:J1308" si="434">"3"</f>
        <v>3</v>
      </c>
      <c r="K1303" s="1">
        <v>2</v>
      </c>
      <c r="L1303" s="1" t="s">
        <v>92</v>
      </c>
      <c r="M1303" s="1" t="str">
        <f>"辽宁省 营口市 盖州市 "</f>
        <v xml:space="preserve">辽宁省 营口市 盖州市 </v>
      </c>
      <c r="N1303" s="1" t="str">
        <f t="shared" si="423"/>
        <v>凡华云仓-城南圆通-微信视频号</v>
      </c>
      <c r="O1303" s="5" t="s">
        <v>1340</v>
      </c>
      <c r="P1303" s="6">
        <v>0.24</v>
      </c>
      <c r="Q1303" s="11">
        <v>2</v>
      </c>
      <c r="R1303" s="11"/>
      <c r="S1303" s="11"/>
      <c r="T1303" s="11"/>
      <c r="U1303" s="11">
        <f t="shared" si="429"/>
        <v>2</v>
      </c>
      <c r="W1303">
        <v>2.2000000000000002</v>
      </c>
      <c r="X1303" s="1" t="s">
        <v>92</v>
      </c>
    </row>
    <row r="1304" spans="1:24" x14ac:dyDescent="0.25">
      <c r="A1304" s="1" t="str">
        <f t="shared" si="425"/>
        <v>卡卡杜-凤凰仓</v>
      </c>
      <c r="B1304" s="1" t="str">
        <f>"CK20241029280"</f>
        <v>CK20241029280</v>
      </c>
      <c r="C1304" s="1" t="str">
        <f>"DD202410299872"</f>
        <v>DD202410299872</v>
      </c>
      <c r="D1304" s="1" t="str">
        <f>"CK2024102915325"</f>
        <v>CK2024102915325</v>
      </c>
      <c r="E1304" s="1" t="str">
        <f>"3723628241280173312"</f>
        <v>3723628241280173312</v>
      </c>
      <c r="F1304" s="1" t="str">
        <f t="shared" si="426"/>
        <v>花都四部-凤凰仓</v>
      </c>
      <c r="G1304" s="1" t="str">
        <f t="shared" si="433"/>
        <v>卡卡杜企业店（视频号）</v>
      </c>
      <c r="H1304" s="1" t="str">
        <f t="shared" si="427"/>
        <v>正常订单</v>
      </c>
      <c r="I1304" s="1" t="str">
        <f t="shared" si="428"/>
        <v>已发货</v>
      </c>
      <c r="J1304" s="1" t="str">
        <f t="shared" si="434"/>
        <v>3</v>
      </c>
      <c r="K1304" s="1">
        <v>2</v>
      </c>
      <c r="L1304" s="1" t="s">
        <v>74</v>
      </c>
      <c r="M1304" s="1" t="str">
        <f>"上海 上海市 徐汇区 "</f>
        <v xml:space="preserve">上海 上海市 徐汇区 </v>
      </c>
      <c r="N1304" s="1" t="str">
        <f t="shared" si="423"/>
        <v>凡华云仓-城南圆通-微信视频号</v>
      </c>
      <c r="O1304" s="5" t="s">
        <v>1341</v>
      </c>
      <c r="P1304" s="6">
        <v>0.24</v>
      </c>
      <c r="Q1304" s="11">
        <v>2</v>
      </c>
      <c r="R1304" s="11"/>
      <c r="S1304" s="11"/>
      <c r="T1304" s="11"/>
      <c r="U1304" s="11">
        <f t="shared" si="429"/>
        <v>2</v>
      </c>
      <c r="W1304">
        <v>2.2000000000000002</v>
      </c>
      <c r="X1304" s="1" t="s">
        <v>74</v>
      </c>
    </row>
    <row r="1305" spans="1:24" x14ac:dyDescent="0.25">
      <c r="A1305" s="1" t="str">
        <f t="shared" si="425"/>
        <v>卡卡杜-凤凰仓</v>
      </c>
      <c r="B1305" s="1" t="str">
        <f>"CK2024102988"</f>
        <v>CK2024102988</v>
      </c>
      <c r="C1305" s="1" t="str">
        <f>"DD202410299470"</f>
        <v>DD202410299470</v>
      </c>
      <c r="D1305" s="1" t="str">
        <f>"CK2024102915324"</f>
        <v>CK2024102915324</v>
      </c>
      <c r="E1305" s="1" t="str">
        <f>"3723628249018139904"</f>
        <v>3723628249018139904</v>
      </c>
      <c r="F1305" s="1" t="str">
        <f t="shared" si="426"/>
        <v>花都四部-凤凰仓</v>
      </c>
      <c r="G1305" s="1" t="str">
        <f t="shared" si="433"/>
        <v>卡卡杜企业店（视频号）</v>
      </c>
      <c r="H1305" s="1" t="str">
        <f t="shared" si="427"/>
        <v>正常订单</v>
      </c>
      <c r="I1305" s="1" t="str">
        <f t="shared" si="428"/>
        <v>已发货</v>
      </c>
      <c r="J1305" s="1" t="str">
        <f t="shared" ref="J1305:J1307" si="435">"2"</f>
        <v>2</v>
      </c>
      <c r="K1305" s="1">
        <v>2</v>
      </c>
      <c r="L1305" s="1" t="s">
        <v>13</v>
      </c>
      <c r="M1305" s="1" t="str">
        <f>"江苏省 南京市 栖霞区 "</f>
        <v xml:space="preserve">江苏省 南京市 栖霞区 </v>
      </c>
      <c r="N1305" s="1" t="str">
        <f t="shared" si="423"/>
        <v>凡华云仓-城南圆通-微信视频号</v>
      </c>
      <c r="O1305" s="5" t="s">
        <v>1342</v>
      </c>
      <c r="P1305" s="6">
        <v>0.17</v>
      </c>
      <c r="Q1305" s="11">
        <v>2</v>
      </c>
      <c r="R1305" s="11"/>
      <c r="S1305" s="11"/>
      <c r="T1305" s="11"/>
      <c r="U1305" s="11">
        <f t="shared" si="429"/>
        <v>2</v>
      </c>
      <c r="W1305">
        <v>2.2000000000000002</v>
      </c>
      <c r="X1305" s="1" t="s">
        <v>13</v>
      </c>
    </row>
    <row r="1306" spans="1:24" x14ac:dyDescent="0.25">
      <c r="A1306" s="1" t="str">
        <f t="shared" si="425"/>
        <v>卡卡杜-凤凰仓</v>
      </c>
      <c r="B1306" s="1" t="str">
        <f>"CK2024102985"</f>
        <v>CK2024102985</v>
      </c>
      <c r="C1306" s="1" t="str">
        <f>"DD202410299467"</f>
        <v>DD202410299467</v>
      </c>
      <c r="D1306" s="1" t="str">
        <f>"CK2024102915323"</f>
        <v>CK2024102915323</v>
      </c>
      <c r="E1306" s="1" t="str">
        <f>"3723628245592966656"</f>
        <v>3723628245592966656</v>
      </c>
      <c r="F1306" s="1" t="str">
        <f t="shared" si="426"/>
        <v>花都四部-凤凰仓</v>
      </c>
      <c r="G1306" s="1" t="str">
        <f t="shared" si="433"/>
        <v>卡卡杜企业店（视频号）</v>
      </c>
      <c r="H1306" s="1" t="str">
        <f t="shared" si="427"/>
        <v>正常订单</v>
      </c>
      <c r="I1306" s="1" t="str">
        <f t="shared" si="428"/>
        <v>已发货</v>
      </c>
      <c r="J1306" s="1" t="str">
        <f t="shared" si="435"/>
        <v>2</v>
      </c>
      <c r="K1306" s="1">
        <v>2</v>
      </c>
      <c r="L1306" s="1" t="s">
        <v>94</v>
      </c>
      <c r="M1306" s="1" t="str">
        <f>"湖南省 长沙市 开福区 "</f>
        <v xml:space="preserve">湖南省 长沙市 开福区 </v>
      </c>
      <c r="N1306" s="1" t="str">
        <f t="shared" si="423"/>
        <v>凡华云仓-城南圆通-微信视频号</v>
      </c>
      <c r="O1306" s="5" t="s">
        <v>1343</v>
      </c>
      <c r="P1306" s="6">
        <v>0.17</v>
      </c>
      <c r="Q1306" s="11">
        <v>2</v>
      </c>
      <c r="R1306" s="11"/>
      <c r="S1306" s="11"/>
      <c r="T1306" s="11"/>
      <c r="U1306" s="11">
        <f t="shared" si="429"/>
        <v>2</v>
      </c>
      <c r="W1306">
        <v>2.2000000000000002</v>
      </c>
      <c r="X1306" s="1" t="s">
        <v>94</v>
      </c>
    </row>
    <row r="1307" spans="1:24" x14ac:dyDescent="0.25">
      <c r="A1307" s="1" t="str">
        <f t="shared" si="425"/>
        <v>卡卡杜-凤凰仓</v>
      </c>
      <c r="B1307" s="1" t="str">
        <f>"CK2024102987"</f>
        <v>CK2024102987</v>
      </c>
      <c r="C1307" s="1" t="str">
        <f>"DD202410299469"</f>
        <v>DD202410299469</v>
      </c>
      <c r="D1307" s="1" t="str">
        <f>"CK2024102915322"</f>
        <v>CK2024102915322</v>
      </c>
      <c r="E1307" s="1" t="str">
        <f>"3723628249539546112"</f>
        <v>3723628249539546112</v>
      </c>
      <c r="F1307" s="1" t="str">
        <f t="shared" si="426"/>
        <v>花都四部-凤凰仓</v>
      </c>
      <c r="G1307" s="1" t="str">
        <f t="shared" si="433"/>
        <v>卡卡杜企业店（视频号）</v>
      </c>
      <c r="H1307" s="1" t="str">
        <f t="shared" si="427"/>
        <v>正常订单</v>
      </c>
      <c r="I1307" s="1" t="str">
        <f t="shared" si="428"/>
        <v>已发货</v>
      </c>
      <c r="J1307" s="1" t="str">
        <f t="shared" si="435"/>
        <v>2</v>
      </c>
      <c r="K1307" s="1">
        <v>2</v>
      </c>
      <c r="L1307" s="1" t="s">
        <v>54</v>
      </c>
      <c r="M1307" s="1" t="str">
        <f>"黑龙江省 哈尔滨市 松北区 "</f>
        <v xml:space="preserve">黑龙江省 哈尔滨市 松北区 </v>
      </c>
      <c r="N1307" s="1" t="str">
        <f t="shared" si="423"/>
        <v>凡华云仓-城南圆通-微信视频号</v>
      </c>
      <c r="O1307" s="5" t="s">
        <v>1344</v>
      </c>
      <c r="P1307" s="6">
        <v>0.17</v>
      </c>
      <c r="Q1307" s="11">
        <v>2</v>
      </c>
      <c r="R1307" s="11"/>
      <c r="S1307" s="11"/>
      <c r="T1307" s="11"/>
      <c r="U1307" s="11">
        <f t="shared" si="429"/>
        <v>2</v>
      </c>
      <c r="W1307">
        <v>2.2000000000000002</v>
      </c>
      <c r="X1307" s="1" t="s">
        <v>54</v>
      </c>
    </row>
    <row r="1308" spans="1:24" x14ac:dyDescent="0.25">
      <c r="A1308" s="1" t="str">
        <f t="shared" si="425"/>
        <v>卡卡杜-凤凰仓</v>
      </c>
      <c r="B1308" s="1" t="str">
        <f>"CK20241029277"</f>
        <v>CK20241029277</v>
      </c>
      <c r="C1308" s="1" t="str">
        <f>"DD202410299869"</f>
        <v>DD202410299869</v>
      </c>
      <c r="D1308" s="1" t="str">
        <f>"CK2024102915321"</f>
        <v>CK2024102915321</v>
      </c>
      <c r="E1308" s="1" t="str">
        <f>"3723628248987996160"</f>
        <v>3723628248987996160</v>
      </c>
      <c r="F1308" s="1" t="str">
        <f t="shared" si="426"/>
        <v>花都四部-凤凰仓</v>
      </c>
      <c r="G1308" s="1" t="str">
        <f t="shared" si="433"/>
        <v>卡卡杜企业店（视频号）</v>
      </c>
      <c r="H1308" s="1" t="str">
        <f t="shared" si="427"/>
        <v>正常订单</v>
      </c>
      <c r="I1308" s="1" t="str">
        <f t="shared" si="428"/>
        <v>已发货</v>
      </c>
      <c r="J1308" s="1" t="str">
        <f t="shared" si="434"/>
        <v>3</v>
      </c>
      <c r="K1308" s="1">
        <v>2</v>
      </c>
      <c r="L1308" s="1" t="s">
        <v>105</v>
      </c>
      <c r="M1308" s="1" t="str">
        <f>"北京 北京市 朝阳区 "</f>
        <v xml:space="preserve">北京 北京市 朝阳区 </v>
      </c>
      <c r="N1308" s="1" t="str">
        <f t="shared" si="423"/>
        <v>凡华云仓-城南圆通-微信视频号</v>
      </c>
      <c r="O1308" s="5" t="s">
        <v>1345</v>
      </c>
      <c r="P1308" s="6">
        <v>0.24</v>
      </c>
      <c r="Q1308" s="11">
        <v>2</v>
      </c>
      <c r="R1308" s="11"/>
      <c r="S1308" s="11"/>
      <c r="T1308" s="11"/>
      <c r="U1308" s="11">
        <f t="shared" si="429"/>
        <v>2</v>
      </c>
      <c r="W1308">
        <v>2.2000000000000002</v>
      </c>
      <c r="X1308" s="1" t="s">
        <v>105</v>
      </c>
    </row>
    <row r="1309" spans="1:24" x14ac:dyDescent="0.25">
      <c r="A1309" s="1" t="str">
        <f t="shared" si="425"/>
        <v>卡卡杜-凤凰仓</v>
      </c>
      <c r="B1309" s="1" t="str">
        <f>"CK2024102984"</f>
        <v>CK2024102984</v>
      </c>
      <c r="C1309" s="1" t="str">
        <f>"DD202410299466"</f>
        <v>DD202410299466</v>
      </c>
      <c r="D1309" s="1" t="str">
        <f>"CK2024102915320"</f>
        <v>CK2024102915320</v>
      </c>
      <c r="E1309" s="1" t="str">
        <f>"3723628246552155136"</f>
        <v>3723628246552155136</v>
      </c>
      <c r="F1309" s="1" t="str">
        <f t="shared" si="426"/>
        <v>花都四部-凤凰仓</v>
      </c>
      <c r="G1309" s="1" t="str">
        <f t="shared" si="433"/>
        <v>卡卡杜企业店（视频号）</v>
      </c>
      <c r="H1309" s="1" t="str">
        <f t="shared" si="427"/>
        <v>正常订单</v>
      </c>
      <c r="I1309" s="1" t="str">
        <f t="shared" si="428"/>
        <v>已发货</v>
      </c>
      <c r="J1309" s="1" t="str">
        <f t="shared" ref="J1309:J1314" si="436">"2"</f>
        <v>2</v>
      </c>
      <c r="K1309" s="1">
        <v>2</v>
      </c>
      <c r="L1309" s="1" t="s">
        <v>109</v>
      </c>
      <c r="M1309" s="1" t="str">
        <f>"山西省 太原市 迎泽区 "</f>
        <v xml:space="preserve">山西省 太原市 迎泽区 </v>
      </c>
      <c r="N1309" s="1" t="str">
        <f t="shared" si="423"/>
        <v>凡华云仓-城南圆通-微信视频号</v>
      </c>
      <c r="O1309" s="5" t="s">
        <v>1346</v>
      </c>
      <c r="P1309" s="6">
        <v>0.17</v>
      </c>
      <c r="Q1309" s="11">
        <v>2</v>
      </c>
      <c r="R1309" s="11"/>
      <c r="S1309" s="11"/>
      <c r="T1309" s="11"/>
      <c r="U1309" s="11">
        <f t="shared" si="429"/>
        <v>2</v>
      </c>
      <c r="W1309">
        <v>2.2000000000000002</v>
      </c>
      <c r="X1309" s="1" t="s">
        <v>109</v>
      </c>
    </row>
    <row r="1310" spans="1:24" x14ac:dyDescent="0.25">
      <c r="A1310" s="1" t="str">
        <f t="shared" si="425"/>
        <v>卡卡杜-凤凰仓</v>
      </c>
      <c r="B1310" s="1" t="str">
        <f>"CK2024102967"</f>
        <v>CK2024102967</v>
      </c>
      <c r="C1310" s="1" t="str">
        <f>"DD202410299449"</f>
        <v>DD202410299449</v>
      </c>
      <c r="D1310" s="1" t="str">
        <f>"CK2024102915319"</f>
        <v>CK2024102915319</v>
      </c>
      <c r="E1310" s="1" t="str">
        <f>"3723628242556290560"</f>
        <v>3723628242556290560</v>
      </c>
      <c r="F1310" s="1" t="str">
        <f t="shared" si="426"/>
        <v>花都四部-凤凰仓</v>
      </c>
      <c r="G1310" s="1" t="str">
        <f t="shared" si="433"/>
        <v>卡卡杜企业店（视频号）</v>
      </c>
      <c r="H1310" s="1" t="str">
        <f t="shared" si="427"/>
        <v>正常订单</v>
      </c>
      <c r="I1310" s="1" t="str">
        <f t="shared" si="428"/>
        <v>已发货</v>
      </c>
      <c r="J1310" s="1" t="str">
        <f t="shared" si="436"/>
        <v>2</v>
      </c>
      <c r="K1310" s="1">
        <v>2</v>
      </c>
      <c r="L1310" s="1" t="s">
        <v>32</v>
      </c>
      <c r="M1310" s="1" t="str">
        <f>"陕西省 榆林市 米脂县 "</f>
        <v xml:space="preserve">陕西省 榆林市 米脂县 </v>
      </c>
      <c r="N1310" s="1" t="str">
        <f t="shared" si="423"/>
        <v>凡华云仓-城南圆通-微信视频号</v>
      </c>
      <c r="O1310" s="5" t="s">
        <v>1347</v>
      </c>
      <c r="P1310" s="6">
        <v>0.17</v>
      </c>
      <c r="Q1310" s="11">
        <v>2</v>
      </c>
      <c r="R1310" s="11"/>
      <c r="S1310" s="11"/>
      <c r="T1310" s="11"/>
      <c r="U1310" s="11">
        <f t="shared" si="429"/>
        <v>2</v>
      </c>
      <c r="W1310">
        <v>2.2000000000000002</v>
      </c>
      <c r="X1310" s="1" t="s">
        <v>32</v>
      </c>
    </row>
    <row r="1311" spans="1:24" x14ac:dyDescent="0.25">
      <c r="A1311" s="1" t="str">
        <f t="shared" si="425"/>
        <v>卡卡杜-凤凰仓</v>
      </c>
      <c r="B1311" s="1" t="str">
        <f>"CK20241029278"</f>
        <v>CK20241029278</v>
      </c>
      <c r="C1311" s="1" t="str">
        <f>"DD202410299870"</f>
        <v>DD202410299870</v>
      </c>
      <c r="D1311" s="1" t="str">
        <f>"CK2024102915318"</f>
        <v>CK2024102915318</v>
      </c>
      <c r="E1311" s="1" t="str">
        <f>"3723628247672296448"</f>
        <v>3723628247672296448</v>
      </c>
      <c r="F1311" s="1" t="str">
        <f t="shared" si="426"/>
        <v>花都四部-凤凰仓</v>
      </c>
      <c r="G1311" s="1" t="str">
        <f t="shared" si="433"/>
        <v>卡卡杜企业店（视频号）</v>
      </c>
      <c r="H1311" s="1" t="str">
        <f t="shared" si="427"/>
        <v>正常订单</v>
      </c>
      <c r="I1311" s="1" t="str">
        <f t="shared" si="428"/>
        <v>已发货</v>
      </c>
      <c r="J1311" s="1" t="str">
        <f t="shared" ref="J1311:J1315" si="437">"3"</f>
        <v>3</v>
      </c>
      <c r="K1311" s="1">
        <v>2</v>
      </c>
      <c r="L1311" s="1" t="s">
        <v>105</v>
      </c>
      <c r="M1311" s="1" t="str">
        <f>"北京 北京市 朝阳区 "</f>
        <v xml:space="preserve">北京 北京市 朝阳区 </v>
      </c>
      <c r="N1311" s="1" t="str">
        <f t="shared" si="423"/>
        <v>凡华云仓-城南圆通-微信视频号</v>
      </c>
      <c r="O1311" s="5" t="s">
        <v>1348</v>
      </c>
      <c r="P1311" s="6">
        <v>0.24</v>
      </c>
      <c r="Q1311" s="11">
        <v>2</v>
      </c>
      <c r="R1311" s="11"/>
      <c r="S1311" s="11"/>
      <c r="T1311" s="11"/>
      <c r="U1311" s="11">
        <f t="shared" si="429"/>
        <v>2</v>
      </c>
      <c r="W1311">
        <v>2.2000000000000002</v>
      </c>
      <c r="X1311" s="1" t="s">
        <v>105</v>
      </c>
    </row>
    <row r="1312" spans="1:24" x14ac:dyDescent="0.25">
      <c r="A1312" s="1" t="str">
        <f t="shared" si="425"/>
        <v>卡卡杜-凤凰仓</v>
      </c>
      <c r="B1312" s="1" t="str">
        <f>"CK20241029279"</f>
        <v>CK20241029279</v>
      </c>
      <c r="C1312" s="1" t="str">
        <f>"DD202410299871"</f>
        <v>DD202410299871</v>
      </c>
      <c r="D1312" s="1" t="str">
        <f>"CK2024102915317"</f>
        <v>CK2024102915317</v>
      </c>
      <c r="E1312" s="1" t="str">
        <f>"3723628237527321600"</f>
        <v>3723628237527321600</v>
      </c>
      <c r="F1312" s="1" t="str">
        <f t="shared" si="426"/>
        <v>花都四部-凤凰仓</v>
      </c>
      <c r="G1312" s="1" t="str">
        <f t="shared" si="433"/>
        <v>卡卡杜企业店（视频号）</v>
      </c>
      <c r="H1312" s="1" t="str">
        <f t="shared" si="427"/>
        <v>正常订单</v>
      </c>
      <c r="I1312" s="1" t="str">
        <f t="shared" si="428"/>
        <v>已发货</v>
      </c>
      <c r="J1312" s="1" t="str">
        <f t="shared" si="437"/>
        <v>3</v>
      </c>
      <c r="K1312" s="1">
        <v>2</v>
      </c>
      <c r="L1312" s="1" t="s">
        <v>54</v>
      </c>
      <c r="M1312" s="1" t="str">
        <f>"黑龙江省 哈尔滨市 道里区 "</f>
        <v xml:space="preserve">黑龙江省 哈尔滨市 道里区 </v>
      </c>
      <c r="N1312" s="1" t="str">
        <f t="shared" si="423"/>
        <v>凡华云仓-城南圆通-微信视频号</v>
      </c>
      <c r="O1312" s="5" t="s">
        <v>1349</v>
      </c>
      <c r="P1312" s="6">
        <v>0.24</v>
      </c>
      <c r="Q1312" s="11">
        <v>2</v>
      </c>
      <c r="R1312" s="11"/>
      <c r="S1312" s="11"/>
      <c r="T1312" s="11"/>
      <c r="U1312" s="11">
        <f t="shared" si="429"/>
        <v>2</v>
      </c>
      <c r="W1312">
        <v>2.2000000000000002</v>
      </c>
      <c r="X1312" s="1" t="s">
        <v>54</v>
      </c>
    </row>
    <row r="1313" spans="1:24" x14ac:dyDescent="0.25">
      <c r="A1313" s="1" t="str">
        <f t="shared" si="425"/>
        <v>卡卡杜-凤凰仓</v>
      </c>
      <c r="B1313" s="1" t="str">
        <f>"CK2024102908"</f>
        <v>CK2024102908</v>
      </c>
      <c r="C1313" s="1" t="str">
        <f>"DD202410299367"</f>
        <v>DD202410299367</v>
      </c>
      <c r="D1313" s="1" t="str">
        <f>"CK2024102915316"</f>
        <v>CK2024102915316</v>
      </c>
      <c r="E1313" s="1" t="str">
        <f>"3723628243311789313"</f>
        <v>3723628243311789313</v>
      </c>
      <c r="F1313" s="1" t="str">
        <f t="shared" si="426"/>
        <v>花都四部-凤凰仓</v>
      </c>
      <c r="G1313" s="1" t="str">
        <f t="shared" si="433"/>
        <v>卡卡杜企业店（视频号）</v>
      </c>
      <c r="H1313" s="1" t="str">
        <f t="shared" si="427"/>
        <v>正常订单</v>
      </c>
      <c r="I1313" s="1" t="str">
        <f t="shared" si="428"/>
        <v>已发货</v>
      </c>
      <c r="J1313" s="1" t="str">
        <f t="shared" si="436"/>
        <v>2</v>
      </c>
      <c r="K1313" s="1">
        <v>2</v>
      </c>
      <c r="L1313" s="1" t="s">
        <v>13</v>
      </c>
      <c r="M1313" s="1" t="str">
        <f>"江苏省 无锡市 锡山区 "</f>
        <v xml:space="preserve">江苏省 无锡市 锡山区 </v>
      </c>
      <c r="N1313" s="1" t="str">
        <f t="shared" si="423"/>
        <v>凡华云仓-城南圆通-微信视频号</v>
      </c>
      <c r="O1313" s="5" t="s">
        <v>1350</v>
      </c>
      <c r="P1313" s="6">
        <v>0.17</v>
      </c>
      <c r="Q1313" s="11">
        <v>2</v>
      </c>
      <c r="R1313" s="11"/>
      <c r="S1313" s="11"/>
      <c r="T1313" s="11"/>
      <c r="U1313" s="11">
        <f t="shared" si="429"/>
        <v>2</v>
      </c>
      <c r="W1313">
        <v>2.2000000000000002</v>
      </c>
      <c r="X1313" s="1" t="s">
        <v>13</v>
      </c>
    </row>
    <row r="1314" spans="1:24" x14ac:dyDescent="0.25">
      <c r="A1314" s="1" t="str">
        <f t="shared" si="425"/>
        <v>卡卡杜-凤凰仓</v>
      </c>
      <c r="B1314" s="1" t="str">
        <f>"CK2024102951"</f>
        <v>CK2024102951</v>
      </c>
      <c r="C1314" s="1" t="str">
        <f>"DD202410299433"</f>
        <v>DD202410299433</v>
      </c>
      <c r="D1314" s="1" t="str">
        <f>"CK2024102915315"</f>
        <v>CK2024102915315</v>
      </c>
      <c r="E1314" s="1" t="str">
        <f>"3723628234871540737"</f>
        <v>3723628234871540737</v>
      </c>
      <c r="F1314" s="1" t="str">
        <f t="shared" si="426"/>
        <v>花都四部-凤凰仓</v>
      </c>
      <c r="G1314" s="1" t="str">
        <f t="shared" si="433"/>
        <v>卡卡杜企业店（视频号）</v>
      </c>
      <c r="H1314" s="1" t="str">
        <f t="shared" si="427"/>
        <v>正常订单</v>
      </c>
      <c r="I1314" s="1" t="str">
        <f t="shared" si="428"/>
        <v>已发货</v>
      </c>
      <c r="J1314" s="1" t="str">
        <f t="shared" si="436"/>
        <v>2</v>
      </c>
      <c r="K1314" s="1">
        <v>2</v>
      </c>
      <c r="L1314" s="1" t="s">
        <v>41</v>
      </c>
      <c r="M1314" s="1" t="str">
        <f>"湖北省 武汉市 汉阳区 "</f>
        <v xml:space="preserve">湖北省 武汉市 汉阳区 </v>
      </c>
      <c r="N1314" s="1" t="str">
        <f t="shared" si="423"/>
        <v>凡华云仓-城南圆通-微信视频号</v>
      </c>
      <c r="O1314" s="5" t="s">
        <v>1351</v>
      </c>
      <c r="P1314" s="6">
        <v>0.17</v>
      </c>
      <c r="Q1314" s="11">
        <v>2</v>
      </c>
      <c r="R1314" s="11"/>
      <c r="S1314" s="11"/>
      <c r="T1314" s="11"/>
      <c r="U1314" s="11">
        <f t="shared" si="429"/>
        <v>2</v>
      </c>
      <c r="W1314">
        <v>2.2000000000000002</v>
      </c>
      <c r="X1314" s="1" t="s">
        <v>41</v>
      </c>
    </row>
    <row r="1315" spans="1:24" x14ac:dyDescent="0.25">
      <c r="A1315" s="1" t="str">
        <f t="shared" si="425"/>
        <v>卡卡杜-凤凰仓</v>
      </c>
      <c r="B1315" s="1" t="str">
        <f>"CK20241029281"</f>
        <v>CK20241029281</v>
      </c>
      <c r="C1315" s="1" t="str">
        <f>"DD202410299874"</f>
        <v>DD202410299874</v>
      </c>
      <c r="D1315" s="1" t="str">
        <f>"CK2024102915314"</f>
        <v>CK2024102915314</v>
      </c>
      <c r="E1315" s="1" t="str">
        <f>"3723628239650686208"</f>
        <v>3723628239650686208</v>
      </c>
      <c r="F1315" s="1" t="str">
        <f t="shared" si="426"/>
        <v>花都四部-凤凰仓</v>
      </c>
      <c r="G1315" s="1" t="str">
        <f t="shared" si="433"/>
        <v>卡卡杜企业店（视频号）</v>
      </c>
      <c r="H1315" s="1" t="str">
        <f t="shared" si="427"/>
        <v>正常订单</v>
      </c>
      <c r="I1315" s="1" t="str">
        <f t="shared" si="428"/>
        <v>已发货</v>
      </c>
      <c r="J1315" s="1" t="str">
        <f t="shared" si="437"/>
        <v>3</v>
      </c>
      <c r="K1315" s="1">
        <v>2</v>
      </c>
      <c r="L1315" s="1" t="s">
        <v>20</v>
      </c>
      <c r="M1315" s="1" t="str">
        <f>"浙江省 绍兴市 嵊州市 "</f>
        <v xml:space="preserve">浙江省 绍兴市 嵊州市 </v>
      </c>
      <c r="N1315" s="1" t="str">
        <f t="shared" si="423"/>
        <v>凡华云仓-城南圆通-微信视频号</v>
      </c>
      <c r="O1315" s="5" t="s">
        <v>1352</v>
      </c>
      <c r="P1315" s="6">
        <v>0.24</v>
      </c>
      <c r="Q1315" s="11">
        <v>2</v>
      </c>
      <c r="R1315" s="11"/>
      <c r="S1315" s="11"/>
      <c r="T1315" s="11"/>
      <c r="U1315" s="11">
        <f t="shared" si="429"/>
        <v>2</v>
      </c>
      <c r="W1315">
        <v>2.2000000000000002</v>
      </c>
      <c r="X1315" s="1" t="s">
        <v>20</v>
      </c>
    </row>
    <row r="1316" spans="1:24" x14ac:dyDescent="0.25">
      <c r="A1316" s="1" t="str">
        <f t="shared" si="425"/>
        <v>卡卡杜-凤凰仓</v>
      </c>
      <c r="B1316" s="1" t="str">
        <f>"CK2024102956"</f>
        <v>CK2024102956</v>
      </c>
      <c r="C1316" s="1" t="str">
        <f>"DD202410299438"</f>
        <v>DD202410299438</v>
      </c>
      <c r="D1316" s="1" t="str">
        <f>"CK2024102915313"</f>
        <v>CK2024102915313</v>
      </c>
      <c r="E1316" s="1" t="str">
        <f>"3723628243453088769"</f>
        <v>3723628243453088769</v>
      </c>
      <c r="F1316" s="1" t="str">
        <f t="shared" si="426"/>
        <v>花都四部-凤凰仓</v>
      </c>
      <c r="G1316" s="1" t="str">
        <f t="shared" si="433"/>
        <v>卡卡杜企业店（视频号）</v>
      </c>
      <c r="H1316" s="1" t="str">
        <f t="shared" si="427"/>
        <v>正常订单</v>
      </c>
      <c r="I1316" s="1" t="str">
        <f t="shared" si="428"/>
        <v>已发货</v>
      </c>
      <c r="J1316" s="1" t="str">
        <f t="shared" ref="J1316:J1319" si="438">"2"</f>
        <v>2</v>
      </c>
      <c r="K1316" s="1">
        <v>2</v>
      </c>
      <c r="L1316" s="1" t="s">
        <v>105</v>
      </c>
      <c r="M1316" s="1" t="str">
        <f>"北京 北京市 朝阳区 "</f>
        <v xml:space="preserve">北京 北京市 朝阳区 </v>
      </c>
      <c r="N1316" s="1" t="str">
        <f t="shared" si="423"/>
        <v>凡华云仓-城南圆通-微信视频号</v>
      </c>
      <c r="O1316" s="5" t="s">
        <v>1353</v>
      </c>
      <c r="P1316" s="6">
        <v>0.17</v>
      </c>
      <c r="Q1316" s="11">
        <v>2</v>
      </c>
      <c r="R1316" s="11"/>
      <c r="S1316" s="11"/>
      <c r="T1316" s="11"/>
      <c r="U1316" s="11">
        <f t="shared" si="429"/>
        <v>2</v>
      </c>
      <c r="W1316">
        <v>2.2000000000000002</v>
      </c>
      <c r="X1316" s="1" t="s">
        <v>105</v>
      </c>
    </row>
    <row r="1317" spans="1:24" x14ac:dyDescent="0.25">
      <c r="A1317" s="1" t="str">
        <f t="shared" si="425"/>
        <v>卡卡杜-凤凰仓</v>
      </c>
      <c r="B1317" s="1" t="str">
        <f>"CK20241029283"</f>
        <v>CK20241029283</v>
      </c>
      <c r="C1317" s="1" t="str">
        <f>"DD202410299877"</f>
        <v>DD202410299877</v>
      </c>
      <c r="D1317" s="1" t="str">
        <f>"CK2024102915312"</f>
        <v>CK2024102915312</v>
      </c>
      <c r="E1317" s="1" t="str">
        <f>"3723628240883287296"</f>
        <v>3723628240883287296</v>
      </c>
      <c r="F1317" s="1" t="str">
        <f t="shared" si="426"/>
        <v>花都四部-凤凰仓</v>
      </c>
      <c r="G1317" s="1" t="str">
        <f t="shared" si="433"/>
        <v>卡卡杜企业店（视频号）</v>
      </c>
      <c r="H1317" s="1" t="str">
        <f t="shared" si="427"/>
        <v>正常订单</v>
      </c>
      <c r="I1317" s="1" t="str">
        <f t="shared" si="428"/>
        <v>已发货</v>
      </c>
      <c r="J1317" s="1" t="str">
        <f>"3"</f>
        <v>3</v>
      </c>
      <c r="K1317" s="1">
        <v>2</v>
      </c>
      <c r="L1317" s="1" t="s">
        <v>80</v>
      </c>
      <c r="M1317" s="1" t="str">
        <f>"河南省 濮阳市 华龙区 "</f>
        <v xml:space="preserve">河南省 濮阳市 华龙区 </v>
      </c>
      <c r="N1317" s="1" t="str">
        <f t="shared" si="423"/>
        <v>凡华云仓-城南圆通-微信视频号</v>
      </c>
      <c r="O1317" s="5" t="s">
        <v>1354</v>
      </c>
      <c r="P1317" s="6">
        <v>0.24</v>
      </c>
      <c r="Q1317" s="11">
        <v>2</v>
      </c>
      <c r="R1317" s="11"/>
      <c r="S1317" s="11"/>
      <c r="T1317" s="11"/>
      <c r="U1317" s="11">
        <f t="shared" si="429"/>
        <v>2</v>
      </c>
      <c r="W1317">
        <v>2.2000000000000002</v>
      </c>
      <c r="X1317" s="1" t="s">
        <v>80</v>
      </c>
    </row>
    <row r="1318" spans="1:24" x14ac:dyDescent="0.25">
      <c r="A1318" s="1" t="str">
        <f t="shared" si="425"/>
        <v>卡卡杜-凤凰仓</v>
      </c>
      <c r="B1318" s="1" t="str">
        <f>"CK2024102952"</f>
        <v>CK2024102952</v>
      </c>
      <c r="C1318" s="1" t="str">
        <f>"DD202410299434"</f>
        <v>DD202410299434</v>
      </c>
      <c r="D1318" s="1" t="str">
        <f>"CK2024102915311"</f>
        <v>CK2024102915311</v>
      </c>
      <c r="E1318" s="1" t="str">
        <f>"3723628241926620416"</f>
        <v>3723628241926620416</v>
      </c>
      <c r="F1318" s="1" t="str">
        <f t="shared" si="426"/>
        <v>花都四部-凤凰仓</v>
      </c>
      <c r="G1318" s="1" t="str">
        <f t="shared" si="433"/>
        <v>卡卡杜企业店（视频号）</v>
      </c>
      <c r="H1318" s="1" t="str">
        <f t="shared" si="427"/>
        <v>正常订单</v>
      </c>
      <c r="I1318" s="1" t="str">
        <f t="shared" si="428"/>
        <v>已发货</v>
      </c>
      <c r="J1318" s="1" t="str">
        <f t="shared" si="438"/>
        <v>2</v>
      </c>
      <c r="K1318" s="1">
        <v>2</v>
      </c>
      <c r="L1318" s="1" t="s">
        <v>92</v>
      </c>
      <c r="M1318" s="1" t="str">
        <f>"辽宁省 大连市 沙河口区 "</f>
        <v xml:space="preserve">辽宁省 大连市 沙河口区 </v>
      </c>
      <c r="N1318" s="1" t="str">
        <f t="shared" si="423"/>
        <v>凡华云仓-城南圆通-微信视频号</v>
      </c>
      <c r="O1318" s="5" t="s">
        <v>1355</v>
      </c>
      <c r="P1318" s="6">
        <v>0.17</v>
      </c>
      <c r="Q1318" s="11">
        <v>2</v>
      </c>
      <c r="R1318" s="11"/>
      <c r="S1318" s="11"/>
      <c r="T1318" s="11"/>
      <c r="U1318" s="11">
        <f t="shared" si="429"/>
        <v>2</v>
      </c>
      <c r="W1318">
        <v>2.2000000000000002</v>
      </c>
      <c r="X1318" s="1" t="s">
        <v>92</v>
      </c>
    </row>
    <row r="1319" spans="1:24" x14ac:dyDescent="0.25">
      <c r="A1319" s="1" t="str">
        <f t="shared" si="425"/>
        <v>卡卡杜-凤凰仓</v>
      </c>
      <c r="B1319" s="1" t="str">
        <f>"CK2024102966"</f>
        <v>CK2024102966</v>
      </c>
      <c r="C1319" s="1" t="str">
        <f>"DD202410299448"</f>
        <v>DD202410299448</v>
      </c>
      <c r="D1319" s="1" t="str">
        <f>"CK2024102915310"</f>
        <v>CK2024102915310</v>
      </c>
      <c r="E1319" s="1" t="str">
        <f>"3723628242895246336"</f>
        <v>3723628242895246336</v>
      </c>
      <c r="F1319" s="1" t="str">
        <f t="shared" si="426"/>
        <v>花都四部-凤凰仓</v>
      </c>
      <c r="G1319" s="1" t="str">
        <f t="shared" si="433"/>
        <v>卡卡杜企业店（视频号）</v>
      </c>
      <c r="H1319" s="1" t="str">
        <f t="shared" si="427"/>
        <v>正常订单</v>
      </c>
      <c r="I1319" s="1" t="str">
        <f t="shared" si="428"/>
        <v>已发货</v>
      </c>
      <c r="J1319" s="1" t="str">
        <f t="shared" si="438"/>
        <v>2</v>
      </c>
      <c r="K1319" s="1">
        <v>2</v>
      </c>
      <c r="L1319" s="1" t="s">
        <v>218</v>
      </c>
      <c r="M1319" s="1" t="str">
        <f>"天津 天津市 河东区 "</f>
        <v xml:space="preserve">天津 天津市 河东区 </v>
      </c>
      <c r="N1319" s="1" t="str">
        <f t="shared" si="423"/>
        <v>凡华云仓-城南圆通-微信视频号</v>
      </c>
      <c r="O1319" s="5" t="s">
        <v>1356</v>
      </c>
      <c r="P1319" s="6">
        <v>0.17</v>
      </c>
      <c r="Q1319" s="11">
        <v>2</v>
      </c>
      <c r="R1319" s="11"/>
      <c r="S1319" s="11"/>
      <c r="T1319" s="11"/>
      <c r="U1319" s="11">
        <f t="shared" si="429"/>
        <v>2</v>
      </c>
      <c r="W1319">
        <v>2.2000000000000002</v>
      </c>
      <c r="X1319" s="1" t="s">
        <v>218</v>
      </c>
    </row>
    <row r="1320" spans="1:24" x14ac:dyDescent="0.25">
      <c r="A1320" s="1" t="str">
        <f t="shared" si="425"/>
        <v>卡卡杜-凤凰仓</v>
      </c>
      <c r="B1320" s="1" t="str">
        <f>"CK20241029282"</f>
        <v>CK20241029282</v>
      </c>
      <c r="C1320" s="1" t="str">
        <f>"DD202410299873"</f>
        <v>DD202410299873</v>
      </c>
      <c r="D1320" s="1" t="str">
        <f>"CK2024102915309"</f>
        <v>CK2024102915309</v>
      </c>
      <c r="E1320" s="1" t="str">
        <f>"3723628240928638209"</f>
        <v>3723628240928638209</v>
      </c>
      <c r="F1320" s="1" t="str">
        <f t="shared" si="426"/>
        <v>花都四部-凤凰仓</v>
      </c>
      <c r="G1320" s="1" t="str">
        <f t="shared" si="433"/>
        <v>卡卡杜企业店（视频号）</v>
      </c>
      <c r="H1320" s="1" t="str">
        <f t="shared" si="427"/>
        <v>正常订单</v>
      </c>
      <c r="I1320" s="1" t="str">
        <f t="shared" si="428"/>
        <v>已发货</v>
      </c>
      <c r="J1320" s="1" t="str">
        <f>"3"</f>
        <v>3</v>
      </c>
      <c r="K1320" s="1">
        <v>2</v>
      </c>
      <c r="L1320" s="1" t="s">
        <v>18</v>
      </c>
      <c r="M1320" s="1" t="str">
        <f>"广东省 深圳市 福田区 "</f>
        <v xml:space="preserve">广东省 深圳市 福田区 </v>
      </c>
      <c r="N1320" s="1" t="str">
        <f t="shared" si="423"/>
        <v>凡华云仓-城南圆通-微信视频号</v>
      </c>
      <c r="O1320" s="5" t="s">
        <v>1357</v>
      </c>
      <c r="P1320" s="6">
        <v>0.24</v>
      </c>
      <c r="Q1320" s="11">
        <v>2</v>
      </c>
      <c r="R1320" s="11"/>
      <c r="S1320" s="11"/>
      <c r="T1320" s="11"/>
      <c r="U1320" s="11">
        <f t="shared" si="429"/>
        <v>2</v>
      </c>
      <c r="W1320">
        <v>2.2000000000000002</v>
      </c>
      <c r="X1320" s="1" t="s">
        <v>18</v>
      </c>
    </row>
    <row r="1321" spans="1:24" x14ac:dyDescent="0.25">
      <c r="A1321" s="1" t="str">
        <f t="shared" si="425"/>
        <v>卡卡杜-凤凰仓</v>
      </c>
      <c r="B1321" s="1" t="str">
        <f>"CK2024102949"</f>
        <v>CK2024102949</v>
      </c>
      <c r="C1321" s="1" t="str">
        <f>"DD202410299431"</f>
        <v>DD202410299431</v>
      </c>
      <c r="D1321" s="1" t="str">
        <f>"CK2024102915308"</f>
        <v>CK2024102915308</v>
      </c>
      <c r="E1321" s="1" t="str">
        <f>"3723628240272233472"</f>
        <v>3723628240272233472</v>
      </c>
      <c r="F1321" s="1" t="str">
        <f t="shared" si="426"/>
        <v>花都四部-凤凰仓</v>
      </c>
      <c r="G1321" s="1" t="str">
        <f t="shared" si="433"/>
        <v>卡卡杜企业店（视频号）</v>
      </c>
      <c r="H1321" s="1" t="str">
        <f t="shared" si="427"/>
        <v>正常订单</v>
      </c>
      <c r="I1321" s="1" t="str">
        <f t="shared" si="428"/>
        <v>已发货</v>
      </c>
      <c r="J1321" s="1" t="str">
        <f t="shared" ref="J1321:J1336" si="439">"2"</f>
        <v>2</v>
      </c>
      <c r="K1321" s="1">
        <v>2</v>
      </c>
      <c r="L1321" s="1" t="s">
        <v>187</v>
      </c>
      <c r="M1321" s="1" t="str">
        <f>"吉林省 松原市 宁江区 "</f>
        <v xml:space="preserve">吉林省 松原市 宁江区 </v>
      </c>
      <c r="N1321" s="1" t="str">
        <f t="shared" si="423"/>
        <v>凡华云仓-城南圆通-微信视频号</v>
      </c>
      <c r="O1321" s="5" t="s">
        <v>1358</v>
      </c>
      <c r="P1321" s="6">
        <v>0.17</v>
      </c>
      <c r="Q1321" s="11">
        <v>2</v>
      </c>
      <c r="R1321" s="11"/>
      <c r="S1321" s="11"/>
      <c r="T1321" s="11"/>
      <c r="U1321" s="11">
        <f t="shared" si="429"/>
        <v>2</v>
      </c>
      <c r="W1321">
        <v>2.2000000000000002</v>
      </c>
      <c r="X1321" s="1" t="s">
        <v>187</v>
      </c>
    </row>
    <row r="1322" spans="1:24" x14ac:dyDescent="0.25">
      <c r="A1322" s="1" t="str">
        <f t="shared" si="425"/>
        <v>卡卡杜-凤凰仓</v>
      </c>
      <c r="B1322" s="1" t="str">
        <f>"CK2024102964"</f>
        <v>CK2024102964</v>
      </c>
      <c r="C1322" s="1" t="str">
        <f>"DD202410299445"</f>
        <v>DD202410299445</v>
      </c>
      <c r="D1322" s="1" t="str">
        <f>"CK2024102915307"</f>
        <v>CK2024102915307</v>
      </c>
      <c r="E1322" s="1" t="str">
        <f>"3723628236890572288"</f>
        <v>3723628236890572288</v>
      </c>
      <c r="F1322" s="1" t="str">
        <f t="shared" si="426"/>
        <v>花都四部-凤凰仓</v>
      </c>
      <c r="G1322" s="1" t="str">
        <f t="shared" si="433"/>
        <v>卡卡杜企业店（视频号）</v>
      </c>
      <c r="H1322" s="1" t="str">
        <f t="shared" si="427"/>
        <v>正常订单</v>
      </c>
      <c r="I1322" s="1" t="str">
        <f t="shared" si="428"/>
        <v>已发货</v>
      </c>
      <c r="J1322" s="1" t="str">
        <f t="shared" si="439"/>
        <v>2</v>
      </c>
      <c r="K1322" s="1">
        <v>2</v>
      </c>
      <c r="L1322" s="1" t="s">
        <v>18</v>
      </c>
      <c r="M1322" s="1" t="str">
        <f>"广东省 广州市 番禺区 "</f>
        <v xml:space="preserve">广东省 广州市 番禺区 </v>
      </c>
      <c r="N1322" s="1" t="str">
        <f t="shared" si="423"/>
        <v>凡华云仓-城南圆通-微信视频号</v>
      </c>
      <c r="O1322" s="5" t="s">
        <v>1359</v>
      </c>
      <c r="P1322" s="6">
        <v>0.17</v>
      </c>
      <c r="Q1322" s="11">
        <v>2</v>
      </c>
      <c r="R1322" s="11"/>
      <c r="S1322" s="11"/>
      <c r="T1322" s="11"/>
      <c r="U1322" s="11">
        <f t="shared" si="429"/>
        <v>2</v>
      </c>
      <c r="W1322">
        <v>2.2000000000000002</v>
      </c>
      <c r="X1322" s="1" t="s">
        <v>18</v>
      </c>
    </row>
    <row r="1323" spans="1:24" x14ac:dyDescent="0.25">
      <c r="A1323" s="1" t="str">
        <f t="shared" si="425"/>
        <v>卡卡杜-凤凰仓</v>
      </c>
      <c r="B1323" s="1" t="str">
        <f>"CK2024102945"</f>
        <v>CK2024102945</v>
      </c>
      <c r="C1323" s="1" t="str">
        <f>"DD202410299427"</f>
        <v>DD202410299427</v>
      </c>
      <c r="D1323" s="1" t="str">
        <f>"CK2024102915306"</f>
        <v>CK2024102915306</v>
      </c>
      <c r="E1323" s="1" t="str">
        <f>"3723628240347730944"</f>
        <v>3723628240347730944</v>
      </c>
      <c r="F1323" s="1" t="str">
        <f t="shared" si="426"/>
        <v>花都四部-凤凰仓</v>
      </c>
      <c r="G1323" s="1" t="str">
        <f t="shared" si="433"/>
        <v>卡卡杜企业店（视频号）</v>
      </c>
      <c r="H1323" s="1" t="str">
        <f t="shared" si="427"/>
        <v>正常订单</v>
      </c>
      <c r="I1323" s="1" t="str">
        <f t="shared" si="428"/>
        <v>已发货</v>
      </c>
      <c r="J1323" s="1" t="str">
        <f t="shared" si="439"/>
        <v>2</v>
      </c>
      <c r="K1323" s="1">
        <v>2</v>
      </c>
      <c r="L1323" s="1" t="s">
        <v>20</v>
      </c>
      <c r="M1323" s="1" t="str">
        <f>"浙江省 金华市 永康市 "</f>
        <v xml:space="preserve">浙江省 金华市 永康市 </v>
      </c>
      <c r="N1323" s="1" t="str">
        <f t="shared" si="423"/>
        <v>凡华云仓-城南圆通-微信视频号</v>
      </c>
      <c r="O1323" s="5" t="s">
        <v>1360</v>
      </c>
      <c r="P1323" s="6">
        <v>0.17</v>
      </c>
      <c r="Q1323" s="11">
        <v>2</v>
      </c>
      <c r="R1323" s="11"/>
      <c r="S1323" s="11"/>
      <c r="T1323" s="11"/>
      <c r="U1323" s="11">
        <f t="shared" si="429"/>
        <v>2</v>
      </c>
      <c r="W1323">
        <v>2.2000000000000002</v>
      </c>
      <c r="X1323" s="1" t="s">
        <v>20</v>
      </c>
    </row>
    <row r="1324" spans="1:24" x14ac:dyDescent="0.25">
      <c r="A1324" s="1" t="str">
        <f t="shared" si="425"/>
        <v>卡卡杜-凤凰仓</v>
      </c>
      <c r="B1324" s="1" t="str">
        <f>"CK2024102954"</f>
        <v>CK2024102954</v>
      </c>
      <c r="C1324" s="1" t="str">
        <f>"DD202410299436"</f>
        <v>DD202410299436</v>
      </c>
      <c r="D1324" s="1" t="str">
        <f>"CK2024102915305"</f>
        <v>CK2024102915305</v>
      </c>
      <c r="E1324" s="1" t="str">
        <f>"3723628240343798784"</f>
        <v>3723628240343798784</v>
      </c>
      <c r="F1324" s="1" t="str">
        <f t="shared" si="426"/>
        <v>花都四部-凤凰仓</v>
      </c>
      <c r="G1324" s="1" t="str">
        <f t="shared" si="433"/>
        <v>卡卡杜企业店（视频号）</v>
      </c>
      <c r="H1324" s="1" t="str">
        <f t="shared" si="427"/>
        <v>正常订单</v>
      </c>
      <c r="I1324" s="1" t="str">
        <f t="shared" si="428"/>
        <v>已发货</v>
      </c>
      <c r="J1324" s="1" t="str">
        <f t="shared" si="439"/>
        <v>2</v>
      </c>
      <c r="K1324" s="1">
        <v>2</v>
      </c>
      <c r="L1324" s="1" t="s">
        <v>13</v>
      </c>
      <c r="M1324" s="1" t="str">
        <f>"江苏省 苏州市 吴江区 "</f>
        <v xml:space="preserve">江苏省 苏州市 吴江区 </v>
      </c>
      <c r="N1324" s="1" t="str">
        <f t="shared" si="423"/>
        <v>凡华云仓-城南圆通-微信视频号</v>
      </c>
      <c r="O1324" s="5" t="s">
        <v>1361</v>
      </c>
      <c r="P1324" s="6">
        <v>0.17</v>
      </c>
      <c r="Q1324" s="11">
        <v>2</v>
      </c>
      <c r="R1324" s="11"/>
      <c r="S1324" s="11"/>
      <c r="T1324" s="11"/>
      <c r="U1324" s="11">
        <f t="shared" si="429"/>
        <v>2</v>
      </c>
      <c r="W1324">
        <v>2.2000000000000002</v>
      </c>
      <c r="X1324" s="1" t="s">
        <v>13</v>
      </c>
    </row>
    <row r="1325" spans="1:24" x14ac:dyDescent="0.25">
      <c r="A1325" s="1" t="str">
        <f t="shared" si="425"/>
        <v>卡卡杜-凤凰仓</v>
      </c>
      <c r="B1325" s="1" t="str">
        <f>"CK2024102948"</f>
        <v>CK2024102948</v>
      </c>
      <c r="C1325" s="1" t="str">
        <f>"DD202410299430"</f>
        <v>DD202410299430</v>
      </c>
      <c r="D1325" s="1" t="str">
        <f>"CK2024102915304"</f>
        <v>CK2024102915304</v>
      </c>
      <c r="E1325" s="1" t="str">
        <f>"3723628239424195584"</f>
        <v>3723628239424195584</v>
      </c>
      <c r="F1325" s="1" t="str">
        <f t="shared" si="426"/>
        <v>花都四部-凤凰仓</v>
      </c>
      <c r="G1325" s="1" t="str">
        <f t="shared" si="433"/>
        <v>卡卡杜企业店（视频号）</v>
      </c>
      <c r="H1325" s="1" t="str">
        <f t="shared" si="427"/>
        <v>正常订单</v>
      </c>
      <c r="I1325" s="1" t="str">
        <f t="shared" si="428"/>
        <v>已发货</v>
      </c>
      <c r="J1325" s="1" t="str">
        <f t="shared" si="439"/>
        <v>2</v>
      </c>
      <c r="K1325" s="1">
        <v>2</v>
      </c>
      <c r="L1325" s="1" t="s">
        <v>20</v>
      </c>
      <c r="M1325" s="1" t="str">
        <f>"浙江省 台州市 温岭市 "</f>
        <v xml:space="preserve">浙江省 台州市 温岭市 </v>
      </c>
      <c r="N1325" s="1" t="str">
        <f t="shared" si="423"/>
        <v>凡华云仓-城南圆通-微信视频号</v>
      </c>
      <c r="O1325" s="5" t="s">
        <v>1362</v>
      </c>
      <c r="P1325" s="6">
        <v>0.17</v>
      </c>
      <c r="Q1325" s="11">
        <v>2</v>
      </c>
      <c r="R1325" s="11"/>
      <c r="S1325" s="11"/>
      <c r="T1325" s="11"/>
      <c r="U1325" s="11">
        <f t="shared" si="429"/>
        <v>2</v>
      </c>
      <c r="W1325">
        <v>2.2000000000000002</v>
      </c>
      <c r="X1325" s="1" t="s">
        <v>20</v>
      </c>
    </row>
    <row r="1326" spans="1:24" x14ac:dyDescent="0.25">
      <c r="A1326" s="1" t="str">
        <f t="shared" si="425"/>
        <v>卡卡杜-凤凰仓</v>
      </c>
      <c r="B1326" s="1" t="str">
        <f>"CK2024102950"</f>
        <v>CK2024102950</v>
      </c>
      <c r="C1326" s="1" t="str">
        <f>"DD202410299432"</f>
        <v>DD202410299432</v>
      </c>
      <c r="D1326" s="1" t="str">
        <f>"CK2024102915303"</f>
        <v>CK2024102915303</v>
      </c>
      <c r="E1326" s="1" t="str">
        <f>"3723628239625520384"</f>
        <v>3723628239625520384</v>
      </c>
      <c r="F1326" s="1" t="str">
        <f t="shared" si="426"/>
        <v>花都四部-凤凰仓</v>
      </c>
      <c r="G1326" s="1" t="str">
        <f t="shared" si="433"/>
        <v>卡卡杜企业店（视频号）</v>
      </c>
      <c r="H1326" s="1" t="str">
        <f t="shared" si="427"/>
        <v>正常订单</v>
      </c>
      <c r="I1326" s="1" t="str">
        <f t="shared" si="428"/>
        <v>已发货</v>
      </c>
      <c r="J1326" s="1" t="str">
        <f t="shared" si="439"/>
        <v>2</v>
      </c>
      <c r="K1326" s="1">
        <v>2</v>
      </c>
      <c r="L1326" s="1" t="s">
        <v>13</v>
      </c>
      <c r="M1326" s="1" t="str">
        <f>"江苏省 盐城市 亭湖区 "</f>
        <v xml:space="preserve">江苏省 盐城市 亭湖区 </v>
      </c>
      <c r="N1326" s="1" t="str">
        <f t="shared" si="423"/>
        <v>凡华云仓-城南圆通-微信视频号</v>
      </c>
      <c r="O1326" s="5" t="s">
        <v>1363</v>
      </c>
      <c r="P1326" s="6">
        <v>0.17</v>
      </c>
      <c r="Q1326" s="11">
        <v>2</v>
      </c>
      <c r="R1326" s="11"/>
      <c r="S1326" s="11"/>
      <c r="T1326" s="11"/>
      <c r="U1326" s="11">
        <f t="shared" si="429"/>
        <v>2</v>
      </c>
      <c r="W1326">
        <v>2.2000000000000002</v>
      </c>
      <c r="X1326" s="1" t="s">
        <v>13</v>
      </c>
    </row>
    <row r="1327" spans="1:24" x14ac:dyDescent="0.25">
      <c r="A1327" s="1" t="str">
        <f t="shared" si="425"/>
        <v>卡卡杜-凤凰仓</v>
      </c>
      <c r="B1327" s="1" t="str">
        <f>"CK2024102955"</f>
        <v>CK2024102955</v>
      </c>
      <c r="C1327" s="1" t="str">
        <f>"DD202410299437"</f>
        <v>DD202410299437</v>
      </c>
      <c r="D1327" s="1" t="str">
        <f>"CK2024102915302"</f>
        <v>CK2024102915302</v>
      </c>
      <c r="E1327" s="1" t="str">
        <f>"3723628233857568769"</f>
        <v>3723628233857568769</v>
      </c>
      <c r="F1327" s="1" t="str">
        <f t="shared" si="426"/>
        <v>花都四部-凤凰仓</v>
      </c>
      <c r="G1327" s="1" t="str">
        <f t="shared" si="433"/>
        <v>卡卡杜企业店（视频号）</v>
      </c>
      <c r="H1327" s="1" t="str">
        <f t="shared" si="427"/>
        <v>正常订单</v>
      </c>
      <c r="I1327" s="1" t="str">
        <f t="shared" si="428"/>
        <v>已发货</v>
      </c>
      <c r="J1327" s="1" t="str">
        <f t="shared" si="439"/>
        <v>2</v>
      </c>
      <c r="K1327" s="1">
        <v>2</v>
      </c>
      <c r="L1327" s="1" t="s">
        <v>18</v>
      </c>
      <c r="M1327" s="1" t="str">
        <f>"广东省 深圳市 南山区 "</f>
        <v xml:space="preserve">广东省 深圳市 南山区 </v>
      </c>
      <c r="N1327" s="1" t="str">
        <f t="shared" si="423"/>
        <v>凡华云仓-城南圆通-微信视频号</v>
      </c>
      <c r="O1327" s="5" t="s">
        <v>1364</v>
      </c>
      <c r="P1327" s="6">
        <v>0.17</v>
      </c>
      <c r="Q1327" s="11">
        <v>2</v>
      </c>
      <c r="R1327" s="11"/>
      <c r="S1327" s="11"/>
      <c r="T1327" s="11"/>
      <c r="U1327" s="11">
        <f t="shared" si="429"/>
        <v>2</v>
      </c>
      <c r="W1327">
        <v>2.2000000000000002</v>
      </c>
      <c r="X1327" s="1" t="s">
        <v>18</v>
      </c>
    </row>
    <row r="1328" spans="1:24" x14ac:dyDescent="0.25">
      <c r="A1328" s="1" t="str">
        <f t="shared" si="425"/>
        <v>卡卡杜-凤凰仓</v>
      </c>
      <c r="B1328" s="1" t="str">
        <f>"CK2024102962"</f>
        <v>CK2024102962</v>
      </c>
      <c r="C1328" s="1" t="str">
        <f>"DD202410299447"</f>
        <v>DD202410299447</v>
      </c>
      <c r="D1328" s="1" t="str">
        <f>"CK2024102915301"</f>
        <v>CK2024102915301</v>
      </c>
      <c r="E1328" s="1" t="str">
        <f>"3723628237947538432"</f>
        <v>3723628237947538432</v>
      </c>
      <c r="F1328" s="1" t="str">
        <f t="shared" si="426"/>
        <v>花都四部-凤凰仓</v>
      </c>
      <c r="G1328" s="1" t="str">
        <f t="shared" si="433"/>
        <v>卡卡杜企业店（视频号）</v>
      </c>
      <c r="H1328" s="1" t="str">
        <f t="shared" si="427"/>
        <v>正常订单</v>
      </c>
      <c r="I1328" s="1" t="str">
        <f t="shared" si="428"/>
        <v>已发货</v>
      </c>
      <c r="J1328" s="1" t="str">
        <f t="shared" si="439"/>
        <v>2</v>
      </c>
      <c r="K1328" s="1">
        <v>2</v>
      </c>
      <c r="L1328" s="1" t="s">
        <v>105</v>
      </c>
      <c r="M1328" s="1" t="str">
        <f>"北京 北京市 丰台区 "</f>
        <v xml:space="preserve">北京 北京市 丰台区 </v>
      </c>
      <c r="N1328" s="1" t="str">
        <f t="shared" si="423"/>
        <v>凡华云仓-城南圆通-微信视频号</v>
      </c>
      <c r="O1328" s="5" t="s">
        <v>1365</v>
      </c>
      <c r="P1328" s="6">
        <v>0.17</v>
      </c>
      <c r="Q1328" s="11">
        <v>2</v>
      </c>
      <c r="R1328" s="11"/>
      <c r="S1328" s="11"/>
      <c r="T1328" s="11"/>
      <c r="U1328" s="11">
        <f t="shared" si="429"/>
        <v>2</v>
      </c>
      <c r="W1328">
        <v>2.2000000000000002</v>
      </c>
      <c r="X1328" s="1" t="s">
        <v>105</v>
      </c>
    </row>
    <row r="1329" spans="1:24" x14ac:dyDescent="0.25">
      <c r="A1329" s="1" t="str">
        <f t="shared" si="425"/>
        <v>卡卡杜-凤凰仓</v>
      </c>
      <c r="B1329" s="1" t="str">
        <f>"CK2024102958"</f>
        <v>CK2024102958</v>
      </c>
      <c r="C1329" s="1" t="str">
        <f>"DD202410299439"</f>
        <v>DD202410299439</v>
      </c>
      <c r="D1329" s="1" t="str">
        <f>"CK2024102915300"</f>
        <v>CK2024102915300</v>
      </c>
      <c r="E1329" s="1" t="str">
        <f>"3723628237423250432"</f>
        <v>3723628237423250432</v>
      </c>
      <c r="F1329" s="1" t="str">
        <f t="shared" si="426"/>
        <v>花都四部-凤凰仓</v>
      </c>
      <c r="G1329" s="1" t="str">
        <f t="shared" si="433"/>
        <v>卡卡杜企业店（视频号）</v>
      </c>
      <c r="H1329" s="1" t="str">
        <f t="shared" si="427"/>
        <v>正常订单</v>
      </c>
      <c r="I1329" s="1" t="str">
        <f t="shared" si="428"/>
        <v>已发货</v>
      </c>
      <c r="J1329" s="1" t="str">
        <f t="shared" si="439"/>
        <v>2</v>
      </c>
      <c r="K1329" s="1">
        <v>2</v>
      </c>
      <c r="L1329" s="1" t="s">
        <v>18</v>
      </c>
      <c r="M1329" s="1" t="str">
        <f>"广东省 深圳市 福田区 "</f>
        <v xml:space="preserve">广东省 深圳市 福田区 </v>
      </c>
      <c r="N1329" s="1" t="str">
        <f t="shared" si="423"/>
        <v>凡华云仓-城南圆通-微信视频号</v>
      </c>
      <c r="O1329" s="5" t="s">
        <v>1366</v>
      </c>
      <c r="P1329" s="6">
        <v>0.17</v>
      </c>
      <c r="Q1329" s="11">
        <v>2</v>
      </c>
      <c r="R1329" s="11"/>
      <c r="S1329" s="11"/>
      <c r="T1329" s="11"/>
      <c r="U1329" s="11">
        <f t="shared" si="429"/>
        <v>2</v>
      </c>
      <c r="W1329">
        <v>2.2000000000000002</v>
      </c>
      <c r="X1329" s="1" t="s">
        <v>18</v>
      </c>
    </row>
    <row r="1330" spans="1:24" x14ac:dyDescent="0.25">
      <c r="A1330" s="1" t="str">
        <f t="shared" si="425"/>
        <v>卡卡杜-凤凰仓</v>
      </c>
      <c r="B1330" s="1" t="str">
        <f>"CK2024102963"</f>
        <v>CK2024102963</v>
      </c>
      <c r="C1330" s="1" t="str">
        <f>"DD202410299444"</f>
        <v>DD202410299444</v>
      </c>
      <c r="D1330" s="1" t="str">
        <f>"CK2024102915299"</f>
        <v>CK2024102915299</v>
      </c>
      <c r="E1330" s="1" t="str">
        <f>"3723628232806106624"</f>
        <v>3723628232806106624</v>
      </c>
      <c r="F1330" s="1" t="str">
        <f t="shared" si="426"/>
        <v>花都四部-凤凰仓</v>
      </c>
      <c r="G1330" s="1" t="str">
        <f t="shared" si="433"/>
        <v>卡卡杜企业店（视频号）</v>
      </c>
      <c r="H1330" s="1" t="str">
        <f t="shared" si="427"/>
        <v>正常订单</v>
      </c>
      <c r="I1330" s="1" t="str">
        <f t="shared" si="428"/>
        <v>已发货</v>
      </c>
      <c r="J1330" s="1" t="str">
        <f t="shared" si="439"/>
        <v>2</v>
      </c>
      <c r="K1330" s="1">
        <v>2</v>
      </c>
      <c r="L1330" s="1" t="s">
        <v>18</v>
      </c>
      <c r="M1330" s="1" t="str">
        <f>"广东省 佛山市 禅城区 "</f>
        <v xml:space="preserve">广东省 佛山市 禅城区 </v>
      </c>
      <c r="N1330" s="1" t="str">
        <f t="shared" si="423"/>
        <v>凡华云仓-城南圆通-微信视频号</v>
      </c>
      <c r="O1330" s="5" t="s">
        <v>1367</v>
      </c>
      <c r="P1330" s="6">
        <v>0.17</v>
      </c>
      <c r="Q1330" s="11">
        <v>2</v>
      </c>
      <c r="R1330" s="11"/>
      <c r="S1330" s="11"/>
      <c r="T1330" s="11"/>
      <c r="U1330" s="11">
        <f t="shared" si="429"/>
        <v>2</v>
      </c>
      <c r="W1330">
        <v>2.2000000000000002</v>
      </c>
      <c r="X1330" s="1" t="s">
        <v>18</v>
      </c>
    </row>
    <row r="1331" spans="1:24" x14ac:dyDescent="0.25">
      <c r="A1331" s="1" t="str">
        <f t="shared" si="425"/>
        <v>卡卡杜-凤凰仓</v>
      </c>
      <c r="B1331" s="1" t="str">
        <f>"CK2024102965"</f>
        <v>CK2024102965</v>
      </c>
      <c r="C1331" s="1" t="str">
        <f>"DD202410299446"</f>
        <v>DD202410299446</v>
      </c>
      <c r="D1331" s="1" t="str">
        <f>"CK2024102915298"</f>
        <v>CK2024102915298</v>
      </c>
      <c r="E1331" s="1" t="str">
        <f>"3723628235900192000"</f>
        <v>3723628235900192000</v>
      </c>
      <c r="F1331" s="1" t="str">
        <f t="shared" si="426"/>
        <v>花都四部-凤凰仓</v>
      </c>
      <c r="G1331" s="1" t="str">
        <f t="shared" si="433"/>
        <v>卡卡杜企业店（视频号）</v>
      </c>
      <c r="H1331" s="1" t="str">
        <f t="shared" si="427"/>
        <v>正常订单</v>
      </c>
      <c r="I1331" s="1" t="str">
        <f t="shared" si="428"/>
        <v>已发货</v>
      </c>
      <c r="J1331" s="1" t="str">
        <f t="shared" si="439"/>
        <v>2</v>
      </c>
      <c r="K1331" s="1">
        <v>2</v>
      </c>
      <c r="L1331" s="1" t="s">
        <v>20</v>
      </c>
      <c r="M1331" s="1" t="str">
        <f>"浙江省 杭州市 临平区 "</f>
        <v xml:space="preserve">浙江省 杭州市 临平区 </v>
      </c>
      <c r="N1331" s="1" t="str">
        <f t="shared" si="423"/>
        <v>凡华云仓-城南圆通-微信视频号</v>
      </c>
      <c r="O1331" s="5" t="s">
        <v>1368</v>
      </c>
      <c r="P1331" s="6">
        <v>0.17</v>
      </c>
      <c r="Q1331" s="11">
        <v>2</v>
      </c>
      <c r="R1331" s="11"/>
      <c r="S1331" s="11"/>
      <c r="T1331" s="11"/>
      <c r="U1331" s="11">
        <f t="shared" si="429"/>
        <v>2</v>
      </c>
      <c r="W1331">
        <v>2.2000000000000002</v>
      </c>
      <c r="X1331" s="1" t="s">
        <v>20</v>
      </c>
    </row>
    <row r="1332" spans="1:24" x14ac:dyDescent="0.25">
      <c r="A1332" s="1" t="str">
        <f t="shared" si="425"/>
        <v>卡卡杜-凤凰仓</v>
      </c>
      <c r="B1332" s="1" t="str">
        <f>"CK2024102961"</f>
        <v>CK2024102961</v>
      </c>
      <c r="C1332" s="1" t="str">
        <f>"DD202410299443"</f>
        <v>DD202410299443</v>
      </c>
      <c r="D1332" s="1" t="str">
        <f>"CK2024102915297"</f>
        <v>CK2024102915297</v>
      </c>
      <c r="E1332" s="1" t="str">
        <f>"3723628236109647872"</f>
        <v>3723628236109647872</v>
      </c>
      <c r="F1332" s="1" t="str">
        <f t="shared" si="426"/>
        <v>花都四部-凤凰仓</v>
      </c>
      <c r="G1332" s="1" t="str">
        <f t="shared" si="433"/>
        <v>卡卡杜企业店（视频号）</v>
      </c>
      <c r="H1332" s="1" t="str">
        <f t="shared" si="427"/>
        <v>正常订单</v>
      </c>
      <c r="I1332" s="1" t="str">
        <f t="shared" si="428"/>
        <v>已发货</v>
      </c>
      <c r="J1332" s="1" t="str">
        <f t="shared" si="439"/>
        <v>2</v>
      </c>
      <c r="K1332" s="1">
        <v>2</v>
      </c>
      <c r="L1332" s="1" t="s">
        <v>18</v>
      </c>
      <c r="M1332" s="1" t="str">
        <f>"广东省 广州市 荔湾区 "</f>
        <v xml:space="preserve">广东省 广州市 荔湾区 </v>
      </c>
      <c r="N1332" s="1" t="str">
        <f t="shared" si="423"/>
        <v>凡华云仓-城南圆通-微信视频号</v>
      </c>
      <c r="O1332" s="5" t="s">
        <v>1369</v>
      </c>
      <c r="P1332" s="6">
        <v>0.17</v>
      </c>
      <c r="Q1332" s="11">
        <v>2</v>
      </c>
      <c r="R1332" s="11"/>
      <c r="S1332" s="11"/>
      <c r="T1332" s="11"/>
      <c r="U1332" s="11">
        <f t="shared" si="429"/>
        <v>2</v>
      </c>
      <c r="W1332">
        <v>2.2000000000000002</v>
      </c>
      <c r="X1332" s="1" t="s">
        <v>18</v>
      </c>
    </row>
    <row r="1333" spans="1:24" x14ac:dyDescent="0.25">
      <c r="A1333" s="1" t="str">
        <f t="shared" si="425"/>
        <v>卡卡杜-凤凰仓</v>
      </c>
      <c r="B1333" s="1" t="str">
        <f>"CK2024102957"</f>
        <v>CK2024102957</v>
      </c>
      <c r="C1333" s="1" t="str">
        <f>"DD202410299440"</f>
        <v>DD202410299440</v>
      </c>
      <c r="D1333" s="1" t="str">
        <f>"CK2024102915296"</f>
        <v>CK2024102915296</v>
      </c>
      <c r="E1333" s="1" t="str">
        <f>"3723628236158931968"</f>
        <v>3723628236158931968</v>
      </c>
      <c r="F1333" s="1" t="str">
        <f t="shared" si="426"/>
        <v>花都四部-凤凰仓</v>
      </c>
      <c r="G1333" s="1" t="str">
        <f t="shared" si="433"/>
        <v>卡卡杜企业店（视频号）</v>
      </c>
      <c r="H1333" s="1" t="str">
        <f t="shared" si="427"/>
        <v>正常订单</v>
      </c>
      <c r="I1333" s="1" t="str">
        <f t="shared" si="428"/>
        <v>已发货</v>
      </c>
      <c r="J1333" s="1" t="str">
        <f t="shared" si="439"/>
        <v>2</v>
      </c>
      <c r="K1333" s="1">
        <v>2</v>
      </c>
      <c r="L1333" s="1" t="s">
        <v>18</v>
      </c>
      <c r="M1333" s="1" t="str">
        <f>"广东省 惠州市 博罗县 "</f>
        <v xml:space="preserve">广东省 惠州市 博罗县 </v>
      </c>
      <c r="N1333" s="1" t="str">
        <f t="shared" si="423"/>
        <v>凡华云仓-城南圆通-微信视频号</v>
      </c>
      <c r="O1333" s="5" t="s">
        <v>1370</v>
      </c>
      <c r="P1333" s="6">
        <v>0.17</v>
      </c>
      <c r="Q1333" s="11">
        <v>2</v>
      </c>
      <c r="R1333" s="11"/>
      <c r="S1333" s="11"/>
      <c r="T1333" s="11"/>
      <c r="U1333" s="11">
        <f t="shared" si="429"/>
        <v>2</v>
      </c>
      <c r="W1333">
        <v>2.2000000000000002</v>
      </c>
      <c r="X1333" s="1" t="s">
        <v>18</v>
      </c>
    </row>
    <row r="1334" spans="1:24" x14ac:dyDescent="0.25">
      <c r="A1334" s="1" t="str">
        <f t="shared" si="425"/>
        <v>卡卡杜-凤凰仓</v>
      </c>
      <c r="B1334" s="1" t="str">
        <f>"CK2024102960"</f>
        <v>CK2024102960</v>
      </c>
      <c r="C1334" s="1" t="str">
        <f>"DD202410299442"</f>
        <v>DD202410299442</v>
      </c>
      <c r="D1334" s="1" t="str">
        <f>"CK2024102915295"</f>
        <v>CK2024102915295</v>
      </c>
      <c r="E1334" s="1" t="str">
        <f>"3723628235598992384"</f>
        <v>3723628235598992384</v>
      </c>
      <c r="F1334" s="1" t="str">
        <f t="shared" si="426"/>
        <v>花都四部-凤凰仓</v>
      </c>
      <c r="G1334" s="1" t="str">
        <f t="shared" si="433"/>
        <v>卡卡杜企业店（视频号）</v>
      </c>
      <c r="H1334" s="1" t="str">
        <f t="shared" si="427"/>
        <v>正常订单</v>
      </c>
      <c r="I1334" s="1" t="str">
        <f t="shared" si="428"/>
        <v>已发货</v>
      </c>
      <c r="J1334" s="1" t="str">
        <f t="shared" si="439"/>
        <v>2</v>
      </c>
      <c r="K1334" s="1">
        <v>2</v>
      </c>
      <c r="L1334" s="1" t="s">
        <v>22</v>
      </c>
      <c r="M1334" s="1" t="str">
        <f>"江西省 南昌市 南昌县 "</f>
        <v xml:space="preserve">江西省 南昌市 南昌县 </v>
      </c>
      <c r="N1334" s="1" t="str">
        <f t="shared" si="423"/>
        <v>凡华云仓-城南圆通-微信视频号</v>
      </c>
      <c r="O1334" s="5" t="s">
        <v>1371</v>
      </c>
      <c r="P1334" s="6">
        <v>0.17</v>
      </c>
      <c r="Q1334" s="11">
        <v>2</v>
      </c>
      <c r="R1334" s="11"/>
      <c r="S1334" s="11"/>
      <c r="T1334" s="11"/>
      <c r="U1334" s="11">
        <f t="shared" si="429"/>
        <v>2</v>
      </c>
      <c r="W1334">
        <v>2.2000000000000002</v>
      </c>
      <c r="X1334" s="1" t="s">
        <v>22</v>
      </c>
    </row>
    <row r="1335" spans="1:24" x14ac:dyDescent="0.25">
      <c r="A1335" s="1" t="str">
        <f t="shared" si="425"/>
        <v>卡卡杜-凤凰仓</v>
      </c>
      <c r="B1335" s="1" t="str">
        <f>"CK2024102990"</f>
        <v>CK2024102990</v>
      </c>
      <c r="C1335" s="1" t="str">
        <f>"DD202410299472"</f>
        <v>DD202410299472</v>
      </c>
      <c r="D1335" s="1" t="str">
        <f>"CK2024102915294"</f>
        <v>CK2024102915294</v>
      </c>
      <c r="E1335" s="1" t="str">
        <f>"3723628233185694721"</f>
        <v>3723628233185694721</v>
      </c>
      <c r="F1335" s="1" t="str">
        <f t="shared" si="426"/>
        <v>花都四部-凤凰仓</v>
      </c>
      <c r="G1335" s="1" t="str">
        <f t="shared" si="433"/>
        <v>卡卡杜企业店（视频号）</v>
      </c>
      <c r="H1335" s="1" t="str">
        <f t="shared" si="427"/>
        <v>正常订单</v>
      </c>
      <c r="I1335" s="1" t="str">
        <f t="shared" si="428"/>
        <v>已发货</v>
      </c>
      <c r="J1335" s="1" t="str">
        <f t="shared" si="439"/>
        <v>2</v>
      </c>
      <c r="K1335" s="1">
        <v>2</v>
      </c>
      <c r="L1335" s="1" t="s">
        <v>74</v>
      </c>
      <c r="M1335" s="1" t="str">
        <f>"上海 上海市 杨浦区 "</f>
        <v xml:space="preserve">上海 上海市 杨浦区 </v>
      </c>
      <c r="N1335" s="1" t="str">
        <f t="shared" si="423"/>
        <v>凡华云仓-城南圆通-微信视频号</v>
      </c>
      <c r="O1335" s="5" t="s">
        <v>1372</v>
      </c>
      <c r="P1335" s="6">
        <v>0.17</v>
      </c>
      <c r="Q1335" s="11">
        <v>2</v>
      </c>
      <c r="R1335" s="11"/>
      <c r="S1335" s="11"/>
      <c r="T1335" s="11"/>
      <c r="U1335" s="11">
        <f t="shared" si="429"/>
        <v>2</v>
      </c>
      <c r="W1335">
        <v>2.2000000000000002</v>
      </c>
      <c r="X1335" s="1" t="s">
        <v>74</v>
      </c>
    </row>
    <row r="1336" spans="1:24" x14ac:dyDescent="0.25">
      <c r="A1336" s="1" t="str">
        <f t="shared" si="425"/>
        <v>卡卡杜-凤凰仓</v>
      </c>
      <c r="B1336" s="1" t="str">
        <f>"CK2024102959"</f>
        <v>CK2024102959</v>
      </c>
      <c r="C1336" s="1" t="str">
        <f>"DD202410299441"</f>
        <v>DD202410299441</v>
      </c>
      <c r="D1336" s="1" t="str">
        <f>"CK2024102915293"</f>
        <v>CK2024102915293</v>
      </c>
      <c r="E1336" s="1" t="str">
        <f>"3723628234782937088"</f>
        <v>3723628234782937088</v>
      </c>
      <c r="F1336" s="1" t="str">
        <f t="shared" si="426"/>
        <v>花都四部-凤凰仓</v>
      </c>
      <c r="G1336" s="1" t="str">
        <f t="shared" si="433"/>
        <v>卡卡杜企业店（视频号）</v>
      </c>
      <c r="H1336" s="1" t="str">
        <f t="shared" si="427"/>
        <v>正常订单</v>
      </c>
      <c r="I1336" s="1" t="str">
        <f t="shared" si="428"/>
        <v>已发货</v>
      </c>
      <c r="J1336" s="1" t="str">
        <f t="shared" si="439"/>
        <v>2</v>
      </c>
      <c r="K1336" s="1">
        <v>2</v>
      </c>
      <c r="L1336" s="1" t="s">
        <v>13</v>
      </c>
      <c r="M1336" s="1" t="str">
        <f>"江苏省 南通市 启东市 "</f>
        <v xml:space="preserve">江苏省 南通市 启东市 </v>
      </c>
      <c r="N1336" s="1" t="str">
        <f t="shared" si="423"/>
        <v>凡华云仓-城南圆通-微信视频号</v>
      </c>
      <c r="O1336" s="5" t="s">
        <v>1373</v>
      </c>
      <c r="P1336" s="6">
        <v>0.17</v>
      </c>
      <c r="Q1336" s="11">
        <v>2</v>
      </c>
      <c r="R1336" s="11"/>
      <c r="S1336" s="11"/>
      <c r="T1336" s="11"/>
      <c r="U1336" s="11">
        <f t="shared" si="429"/>
        <v>2</v>
      </c>
      <c r="W1336">
        <v>2.2000000000000002</v>
      </c>
      <c r="X1336" s="1" t="s">
        <v>13</v>
      </c>
    </row>
    <row r="1337" spans="1:24" x14ac:dyDescent="0.25">
      <c r="A1337" s="1" t="str">
        <f t="shared" si="425"/>
        <v>卡卡杜-凤凰仓</v>
      </c>
      <c r="B1337" s="1" t="str">
        <f>"CK20241029284"</f>
        <v>CK20241029284</v>
      </c>
      <c r="C1337" s="1" t="str">
        <f>"DD202410299875"</f>
        <v>DD202410299875</v>
      </c>
      <c r="D1337" s="1" t="str">
        <f>"CK2024102915292"</f>
        <v>CK2024102915292</v>
      </c>
      <c r="E1337" s="1" t="str">
        <f>"3723628233006912512"</f>
        <v>3723628233006912512</v>
      </c>
      <c r="F1337" s="1" t="str">
        <f t="shared" si="426"/>
        <v>花都四部-凤凰仓</v>
      </c>
      <c r="G1337" s="1" t="str">
        <f t="shared" si="433"/>
        <v>卡卡杜企业店（视频号）</v>
      </c>
      <c r="H1337" s="1" t="str">
        <f t="shared" si="427"/>
        <v>正常订单</v>
      </c>
      <c r="I1337" s="1" t="str">
        <f t="shared" si="428"/>
        <v>已发货</v>
      </c>
      <c r="J1337" s="1" t="str">
        <f>"3"</f>
        <v>3</v>
      </c>
      <c r="K1337" s="1">
        <v>2</v>
      </c>
      <c r="L1337" s="1" t="s">
        <v>105</v>
      </c>
      <c r="M1337" s="1" t="str">
        <f>"北京 北京市 海淀区 "</f>
        <v xml:space="preserve">北京 北京市 海淀区 </v>
      </c>
      <c r="N1337" s="1" t="str">
        <f t="shared" si="423"/>
        <v>凡华云仓-城南圆通-微信视频号</v>
      </c>
      <c r="O1337" s="5" t="s">
        <v>1374</v>
      </c>
      <c r="P1337" s="6">
        <v>0.24</v>
      </c>
      <c r="Q1337" s="11">
        <v>2</v>
      </c>
      <c r="R1337" s="11"/>
      <c r="S1337" s="11"/>
      <c r="T1337" s="11"/>
      <c r="U1337" s="11">
        <f t="shared" si="429"/>
        <v>2</v>
      </c>
      <c r="W1337">
        <v>2.2000000000000002</v>
      </c>
      <c r="X1337" s="1" t="s">
        <v>105</v>
      </c>
    </row>
    <row r="1338" spans="1:24" x14ac:dyDescent="0.25">
      <c r="A1338" s="1" t="str">
        <f t="shared" si="425"/>
        <v>卡卡杜-凤凰仓</v>
      </c>
      <c r="B1338" s="1" t="str">
        <f>"CK20241029134"</f>
        <v>CK20241029134</v>
      </c>
      <c r="C1338" s="1" t="str">
        <f>"DD202410299515"</f>
        <v>DD202410299515</v>
      </c>
      <c r="D1338" s="1" t="str">
        <f>"CK2024102915291"</f>
        <v>CK2024102915291</v>
      </c>
      <c r="E1338" s="1" t="str">
        <f>"3723628229611885568"</f>
        <v>3723628229611885568</v>
      </c>
      <c r="F1338" s="1" t="str">
        <f t="shared" si="426"/>
        <v>花都四部-凤凰仓</v>
      </c>
      <c r="G1338" s="1" t="str">
        <f t="shared" si="433"/>
        <v>卡卡杜企业店（视频号）</v>
      </c>
      <c r="H1338" s="1" t="str">
        <f t="shared" si="427"/>
        <v>正常订单</v>
      </c>
      <c r="I1338" s="1" t="str">
        <f t="shared" si="428"/>
        <v>已发货</v>
      </c>
      <c r="J1338" s="1" t="str">
        <f t="shared" ref="J1338:J1342" si="440">"2"</f>
        <v>2</v>
      </c>
      <c r="K1338" s="1">
        <v>2</v>
      </c>
      <c r="L1338" s="1" t="s">
        <v>22</v>
      </c>
      <c r="M1338" s="1" t="str">
        <f>"江西省 九江市 浔阳区 "</f>
        <v xml:space="preserve">江西省 九江市 浔阳区 </v>
      </c>
      <c r="N1338" s="1" t="str">
        <f t="shared" ref="N1338:N1401" si="441">"凡华云仓-城南圆通-微信视频号"</f>
        <v>凡华云仓-城南圆通-微信视频号</v>
      </c>
      <c r="O1338" s="5" t="s">
        <v>1375</v>
      </c>
      <c r="P1338" s="6">
        <v>0.17</v>
      </c>
      <c r="Q1338" s="11">
        <v>2</v>
      </c>
      <c r="R1338" s="11"/>
      <c r="S1338" s="11"/>
      <c r="T1338" s="11"/>
      <c r="U1338" s="11">
        <f t="shared" si="429"/>
        <v>2</v>
      </c>
      <c r="W1338">
        <v>2.2000000000000002</v>
      </c>
      <c r="X1338" s="1" t="s">
        <v>22</v>
      </c>
    </row>
    <row r="1339" spans="1:24" x14ac:dyDescent="0.25">
      <c r="A1339" s="1" t="str">
        <f t="shared" si="425"/>
        <v>卡卡杜-凤凰仓</v>
      </c>
      <c r="B1339" s="1" t="str">
        <f>"CK20241029285"</f>
        <v>CK20241029285</v>
      </c>
      <c r="C1339" s="1" t="str">
        <f>"DD202410299876"</f>
        <v>DD202410299876</v>
      </c>
      <c r="D1339" s="1" t="str">
        <f>"CK2024102915290"</f>
        <v>CK2024102915290</v>
      </c>
      <c r="E1339" s="1" t="str">
        <f>"3723628230620874240"</f>
        <v>3723628230620874240</v>
      </c>
      <c r="F1339" s="1" t="str">
        <f t="shared" si="426"/>
        <v>花都四部-凤凰仓</v>
      </c>
      <c r="G1339" s="1" t="str">
        <f t="shared" si="433"/>
        <v>卡卡杜企业店（视频号）</v>
      </c>
      <c r="H1339" s="1" t="str">
        <f t="shared" si="427"/>
        <v>正常订单</v>
      </c>
      <c r="I1339" s="1" t="str">
        <f t="shared" si="428"/>
        <v>已发货</v>
      </c>
      <c r="J1339" s="1" t="str">
        <f>"3"</f>
        <v>3</v>
      </c>
      <c r="K1339" s="1">
        <v>2</v>
      </c>
      <c r="L1339" s="1" t="s">
        <v>80</v>
      </c>
      <c r="M1339" s="1" t="str">
        <f>"河南省 郑州市 金水区 "</f>
        <v xml:space="preserve">河南省 郑州市 金水区 </v>
      </c>
      <c r="N1339" s="1" t="str">
        <f t="shared" si="441"/>
        <v>凡华云仓-城南圆通-微信视频号</v>
      </c>
      <c r="O1339" s="5" t="s">
        <v>1376</v>
      </c>
      <c r="P1339" s="6">
        <v>0.24</v>
      </c>
      <c r="Q1339" s="11">
        <v>2</v>
      </c>
      <c r="R1339" s="11"/>
      <c r="S1339" s="11"/>
      <c r="T1339" s="11"/>
      <c r="U1339" s="11">
        <f t="shared" si="429"/>
        <v>2</v>
      </c>
      <c r="W1339">
        <v>2.2000000000000002</v>
      </c>
      <c r="X1339" s="1" t="s">
        <v>80</v>
      </c>
    </row>
    <row r="1340" spans="1:24" x14ac:dyDescent="0.25">
      <c r="A1340" s="1" t="str">
        <f t="shared" si="425"/>
        <v>卡卡杜-凤凰仓</v>
      </c>
      <c r="B1340" s="1" t="str">
        <f>"CK2024102947"</f>
        <v>CK2024102947</v>
      </c>
      <c r="C1340" s="1" t="str">
        <f>"DD202410299429"</f>
        <v>DD202410299429</v>
      </c>
      <c r="D1340" s="1" t="str">
        <f>"CK2024102915289"</f>
        <v>CK2024102915289</v>
      </c>
      <c r="E1340" s="1" t="str">
        <f>"3723628227922889728"</f>
        <v>3723628227922889728</v>
      </c>
      <c r="F1340" s="1" t="str">
        <f t="shared" si="426"/>
        <v>花都四部-凤凰仓</v>
      </c>
      <c r="G1340" s="1" t="str">
        <f t="shared" si="433"/>
        <v>卡卡杜企业店（视频号）</v>
      </c>
      <c r="H1340" s="1" t="str">
        <f t="shared" si="427"/>
        <v>正常订单</v>
      </c>
      <c r="I1340" s="1" t="str">
        <f t="shared" si="428"/>
        <v>已发货</v>
      </c>
      <c r="J1340" s="1" t="str">
        <f t="shared" si="440"/>
        <v>2</v>
      </c>
      <c r="K1340" s="1">
        <v>2</v>
      </c>
      <c r="L1340" s="1" t="s">
        <v>74</v>
      </c>
      <c r="M1340" s="1" t="str">
        <f>"上海 上海市 浦东新区 "</f>
        <v xml:space="preserve">上海 上海市 浦东新区 </v>
      </c>
      <c r="N1340" s="1" t="str">
        <f t="shared" si="441"/>
        <v>凡华云仓-城南圆通-微信视频号</v>
      </c>
      <c r="O1340" s="5" t="s">
        <v>1377</v>
      </c>
      <c r="P1340" s="6">
        <v>0.17</v>
      </c>
      <c r="Q1340" s="11">
        <v>2</v>
      </c>
      <c r="R1340" s="11"/>
      <c r="S1340" s="11"/>
      <c r="T1340" s="11"/>
      <c r="U1340" s="11">
        <f t="shared" si="429"/>
        <v>2</v>
      </c>
      <c r="W1340">
        <v>2.2000000000000002</v>
      </c>
      <c r="X1340" s="1" t="s">
        <v>74</v>
      </c>
    </row>
    <row r="1341" spans="1:24" x14ac:dyDescent="0.25">
      <c r="A1341" s="1" t="str">
        <f t="shared" si="425"/>
        <v>卡卡杜-凤凰仓</v>
      </c>
      <c r="B1341" s="1" t="str">
        <f>"CK2024102953"</f>
        <v>CK2024102953</v>
      </c>
      <c r="C1341" s="1" t="str">
        <f>"DD202410299435"</f>
        <v>DD202410299435</v>
      </c>
      <c r="D1341" s="1" t="str">
        <f>"CK2024102915288"</f>
        <v>CK2024102915288</v>
      </c>
      <c r="E1341" s="1" t="str">
        <f>"3723628221749661696"</f>
        <v>3723628221749661696</v>
      </c>
      <c r="F1341" s="1" t="str">
        <f t="shared" si="426"/>
        <v>花都四部-凤凰仓</v>
      </c>
      <c r="G1341" s="1" t="str">
        <f t="shared" si="433"/>
        <v>卡卡杜企业店（视频号）</v>
      </c>
      <c r="H1341" s="1" t="str">
        <f t="shared" si="427"/>
        <v>正常订单</v>
      </c>
      <c r="I1341" s="1" t="str">
        <f t="shared" si="428"/>
        <v>已发货</v>
      </c>
      <c r="J1341" s="1" t="str">
        <f t="shared" si="440"/>
        <v>2</v>
      </c>
      <c r="K1341" s="1">
        <v>2</v>
      </c>
      <c r="L1341" s="1" t="s">
        <v>109</v>
      </c>
      <c r="M1341" s="1" t="str">
        <f>"山西省 太原市 万柏林区 "</f>
        <v xml:space="preserve">山西省 太原市 万柏林区 </v>
      </c>
      <c r="N1341" s="1" t="str">
        <f t="shared" si="441"/>
        <v>凡华云仓-城南圆通-微信视频号</v>
      </c>
      <c r="O1341" s="5" t="s">
        <v>1378</v>
      </c>
      <c r="P1341" s="6">
        <v>0.17</v>
      </c>
      <c r="Q1341" s="11">
        <v>2</v>
      </c>
      <c r="R1341" s="11"/>
      <c r="S1341" s="11"/>
      <c r="T1341" s="11"/>
      <c r="U1341" s="11">
        <f t="shared" si="429"/>
        <v>2</v>
      </c>
      <c r="W1341">
        <v>2.2000000000000002</v>
      </c>
      <c r="X1341" s="1" t="s">
        <v>109</v>
      </c>
    </row>
    <row r="1342" spans="1:24" x14ac:dyDescent="0.25">
      <c r="A1342" s="1" t="str">
        <f t="shared" si="425"/>
        <v>卡卡杜-凤凰仓</v>
      </c>
      <c r="B1342" s="1" t="str">
        <f>"CK2024102989"</f>
        <v>CK2024102989</v>
      </c>
      <c r="C1342" s="1" t="str">
        <f>"DD202410299471"</f>
        <v>DD202410299471</v>
      </c>
      <c r="D1342" s="1" t="str">
        <f>"CK2024102915287"</f>
        <v>CK2024102915287</v>
      </c>
      <c r="E1342" s="1" t="str">
        <f>"3723628063455842304"</f>
        <v>3723628063455842304</v>
      </c>
      <c r="F1342" s="1" t="str">
        <f t="shared" si="426"/>
        <v>花都四部-凤凰仓</v>
      </c>
      <c r="G1342" s="1" t="str">
        <f t="shared" si="433"/>
        <v>卡卡杜企业店（视频号）</v>
      </c>
      <c r="H1342" s="1" t="str">
        <f t="shared" si="427"/>
        <v>正常订单</v>
      </c>
      <c r="I1342" s="1" t="str">
        <f t="shared" si="428"/>
        <v>已发货</v>
      </c>
      <c r="J1342" s="1" t="str">
        <f t="shared" si="440"/>
        <v>2</v>
      </c>
      <c r="K1342" s="1">
        <v>2</v>
      </c>
      <c r="L1342" s="1" t="s">
        <v>92</v>
      </c>
      <c r="M1342" s="1" t="str">
        <f>"辽宁省 沈阳市 皇姑区 "</f>
        <v xml:space="preserve">辽宁省 沈阳市 皇姑区 </v>
      </c>
      <c r="N1342" s="1" t="str">
        <f t="shared" si="441"/>
        <v>凡华云仓-城南圆通-微信视频号</v>
      </c>
      <c r="O1342" s="5" t="s">
        <v>1379</v>
      </c>
      <c r="P1342" s="6">
        <v>0.17</v>
      </c>
      <c r="Q1342" s="11">
        <v>2</v>
      </c>
      <c r="R1342" s="11"/>
      <c r="S1342" s="11"/>
      <c r="T1342" s="11"/>
      <c r="U1342" s="11">
        <f t="shared" si="429"/>
        <v>2</v>
      </c>
      <c r="W1342">
        <v>2.2000000000000002</v>
      </c>
      <c r="X1342" s="1" t="s">
        <v>92</v>
      </c>
    </row>
    <row r="1343" spans="1:24" x14ac:dyDescent="0.25">
      <c r="A1343" s="1" t="str">
        <f t="shared" si="425"/>
        <v>卡卡杜-凤凰仓</v>
      </c>
      <c r="B1343" s="1" t="str">
        <f>"CK20241029291"</f>
        <v>CK20241029291</v>
      </c>
      <c r="C1343" s="1" t="str">
        <f>"DD202410299882"</f>
        <v>DD202410299882</v>
      </c>
      <c r="D1343" s="1" t="str">
        <f>"CK2024102915286"</f>
        <v>CK2024102915286</v>
      </c>
      <c r="E1343" s="1" t="str">
        <f>"3723628054794342400"</f>
        <v>3723628054794342400</v>
      </c>
      <c r="F1343" s="1" t="str">
        <f t="shared" si="426"/>
        <v>花都四部-凤凰仓</v>
      </c>
      <c r="G1343" s="1" t="str">
        <f t="shared" si="433"/>
        <v>卡卡杜企业店（视频号）</v>
      </c>
      <c r="H1343" s="1" t="str">
        <f t="shared" si="427"/>
        <v>正常订单</v>
      </c>
      <c r="I1343" s="1" t="str">
        <f t="shared" si="428"/>
        <v>已发货</v>
      </c>
      <c r="J1343" s="1" t="str">
        <f t="shared" ref="J1343:J1347" si="442">"3"</f>
        <v>3</v>
      </c>
      <c r="K1343" s="1">
        <v>2</v>
      </c>
      <c r="L1343" s="1" t="s">
        <v>74</v>
      </c>
      <c r="M1343" s="1" t="str">
        <f>"上海 上海市 闵行区 "</f>
        <v xml:space="preserve">上海 上海市 闵行区 </v>
      </c>
      <c r="N1343" s="1" t="str">
        <f t="shared" si="441"/>
        <v>凡华云仓-城南圆通-微信视频号</v>
      </c>
      <c r="O1343" s="5" t="s">
        <v>1380</v>
      </c>
      <c r="P1343" s="6">
        <v>0.24</v>
      </c>
      <c r="Q1343" s="11">
        <v>2</v>
      </c>
      <c r="R1343" s="11"/>
      <c r="S1343" s="11"/>
      <c r="T1343" s="11"/>
      <c r="U1343" s="11">
        <f t="shared" si="429"/>
        <v>2</v>
      </c>
      <c r="W1343">
        <v>2.2000000000000002</v>
      </c>
      <c r="X1343" s="1" t="s">
        <v>74</v>
      </c>
    </row>
    <row r="1344" spans="1:24" x14ac:dyDescent="0.25">
      <c r="A1344" s="1" t="str">
        <f t="shared" si="425"/>
        <v>卡卡杜-凤凰仓</v>
      </c>
      <c r="B1344" s="1" t="str">
        <f>"CK2024102972"</f>
        <v>CK2024102972</v>
      </c>
      <c r="C1344" s="1" t="str">
        <f>"DD202410299454"</f>
        <v>DD202410299454</v>
      </c>
      <c r="D1344" s="1" t="str">
        <f>"CK2024102915285"</f>
        <v>CK2024102915285</v>
      </c>
      <c r="E1344" s="1" t="str">
        <f>"3723628005129326593"</f>
        <v>3723628005129326593</v>
      </c>
      <c r="F1344" s="1" t="str">
        <f t="shared" si="426"/>
        <v>花都四部-凤凰仓</v>
      </c>
      <c r="G1344" s="1" t="str">
        <f t="shared" si="433"/>
        <v>卡卡杜企业店（视频号）</v>
      </c>
      <c r="H1344" s="1" t="str">
        <f t="shared" si="427"/>
        <v>正常订单</v>
      </c>
      <c r="I1344" s="1" t="str">
        <f t="shared" si="428"/>
        <v>已发货</v>
      </c>
      <c r="J1344" s="1" t="str">
        <f t="shared" ref="J1344:J1349" si="443">"2"</f>
        <v>2</v>
      </c>
      <c r="K1344" s="1">
        <v>2</v>
      </c>
      <c r="L1344" s="1" t="s">
        <v>30</v>
      </c>
      <c r="M1344" s="1" t="str">
        <f>"山东省 青岛市 即墨区 "</f>
        <v xml:space="preserve">山东省 青岛市 即墨区 </v>
      </c>
      <c r="N1344" s="1" t="str">
        <f t="shared" si="441"/>
        <v>凡华云仓-城南圆通-微信视频号</v>
      </c>
      <c r="O1344" s="5" t="s">
        <v>1381</v>
      </c>
      <c r="P1344" s="6">
        <v>0.17</v>
      </c>
      <c r="Q1344" s="11">
        <v>2</v>
      </c>
      <c r="R1344" s="11"/>
      <c r="S1344" s="11"/>
      <c r="T1344" s="11"/>
      <c r="U1344" s="11">
        <f t="shared" si="429"/>
        <v>2</v>
      </c>
      <c r="W1344">
        <v>2.2000000000000002</v>
      </c>
      <c r="X1344" s="1" t="s">
        <v>30</v>
      </c>
    </row>
    <row r="1345" spans="1:24" x14ac:dyDescent="0.25">
      <c r="A1345" s="1" t="str">
        <f t="shared" si="425"/>
        <v>卡卡杜-凤凰仓</v>
      </c>
      <c r="B1345" s="1" t="str">
        <f>"CK20241029294"</f>
        <v>CK20241029294</v>
      </c>
      <c r="C1345" s="1" t="str">
        <f>"DD202410299884"</f>
        <v>DD202410299884</v>
      </c>
      <c r="D1345" s="1" t="str">
        <f>"CK2024102915284"</f>
        <v>CK2024102915284</v>
      </c>
      <c r="E1345" s="1" t="str">
        <f>"3723627934706700289"</f>
        <v>3723627934706700289</v>
      </c>
      <c r="F1345" s="1" t="str">
        <f t="shared" si="426"/>
        <v>花都四部-凤凰仓</v>
      </c>
      <c r="G1345" s="1" t="str">
        <f t="shared" si="433"/>
        <v>卡卡杜企业店（视频号）</v>
      </c>
      <c r="H1345" s="1" t="str">
        <f t="shared" si="427"/>
        <v>正常订单</v>
      </c>
      <c r="I1345" s="1" t="str">
        <f t="shared" si="428"/>
        <v>已发货</v>
      </c>
      <c r="J1345" s="1" t="str">
        <f t="shared" si="442"/>
        <v>3</v>
      </c>
      <c r="K1345" s="1">
        <v>3</v>
      </c>
      <c r="L1345" s="1" t="s">
        <v>66</v>
      </c>
      <c r="M1345" s="1" t="str">
        <f>"内蒙古自治区 赤峰市 红山区 "</f>
        <v xml:space="preserve">内蒙古自治区 赤峰市 红山区 </v>
      </c>
      <c r="N1345" s="1" t="str">
        <f t="shared" si="441"/>
        <v>凡华云仓-城南圆通-微信视频号</v>
      </c>
      <c r="O1345" s="5" t="s">
        <v>1382</v>
      </c>
      <c r="P1345" s="6">
        <v>0.34</v>
      </c>
      <c r="Q1345" s="11">
        <v>2.2999999999999998</v>
      </c>
      <c r="R1345" s="11"/>
      <c r="S1345" s="11"/>
      <c r="T1345" s="11"/>
      <c r="U1345" s="11">
        <f t="shared" si="429"/>
        <v>2.2999999999999998</v>
      </c>
      <c r="W1345">
        <v>2.5</v>
      </c>
      <c r="X1345" s="1" t="s">
        <v>66</v>
      </c>
    </row>
    <row r="1346" spans="1:24" x14ac:dyDescent="0.25">
      <c r="A1346" s="1" t="str">
        <f t="shared" ref="A1346:A1409" si="444">"卡卡杜-凤凰仓"</f>
        <v>卡卡杜-凤凰仓</v>
      </c>
      <c r="B1346" s="1" t="str">
        <f>"CK20241029295"</f>
        <v>CK20241029295</v>
      </c>
      <c r="C1346" s="1" t="str">
        <f>"DD202410299889"</f>
        <v>DD202410299889</v>
      </c>
      <c r="D1346" s="1" t="str">
        <f>"CK2024102915283"</f>
        <v>CK2024102915283</v>
      </c>
      <c r="E1346" s="1" t="str">
        <f>"3723627865959695872"</f>
        <v>3723627865959695872</v>
      </c>
      <c r="F1346" s="1" t="str">
        <f t="shared" ref="F1346:F1409" si="445">"花都四部-凤凰仓"</f>
        <v>花都四部-凤凰仓</v>
      </c>
      <c r="G1346" s="1" t="str">
        <f t="shared" si="433"/>
        <v>卡卡杜企业店（视频号）</v>
      </c>
      <c r="H1346" s="1" t="str">
        <f t="shared" ref="H1346:H1409" si="446">"正常订单"</f>
        <v>正常订单</v>
      </c>
      <c r="I1346" s="1" t="str">
        <f t="shared" ref="I1346:I1409" si="447">"已发货"</f>
        <v>已发货</v>
      </c>
      <c r="J1346" s="1" t="str">
        <f t="shared" si="442"/>
        <v>3</v>
      </c>
      <c r="K1346" s="1">
        <v>2</v>
      </c>
      <c r="L1346" s="1" t="s">
        <v>20</v>
      </c>
      <c r="M1346" s="1" t="str">
        <f>"浙江省 宁波市 奉化市 "</f>
        <v xml:space="preserve">浙江省 宁波市 奉化市 </v>
      </c>
      <c r="N1346" s="1" t="str">
        <f t="shared" si="441"/>
        <v>凡华云仓-城南圆通-微信视频号</v>
      </c>
      <c r="O1346" s="5" t="s">
        <v>1383</v>
      </c>
      <c r="P1346" s="6">
        <v>0.24</v>
      </c>
      <c r="Q1346" s="11">
        <v>2</v>
      </c>
      <c r="R1346" s="11"/>
      <c r="S1346" s="11"/>
      <c r="T1346" s="11"/>
      <c r="U1346" s="11">
        <f t="shared" si="429"/>
        <v>2</v>
      </c>
      <c r="W1346">
        <v>2.2000000000000002</v>
      </c>
      <c r="X1346" s="1" t="s">
        <v>20</v>
      </c>
    </row>
    <row r="1347" spans="1:24" x14ac:dyDescent="0.25">
      <c r="A1347" s="1" t="str">
        <f t="shared" si="444"/>
        <v>卡卡杜-凤凰仓</v>
      </c>
      <c r="B1347" s="1" t="str">
        <f>"CK20241029296"</f>
        <v>CK20241029296</v>
      </c>
      <c r="C1347" s="1" t="str">
        <f>"DD202410299888"</f>
        <v>DD202410299888</v>
      </c>
      <c r="D1347" s="1" t="str">
        <f>"CK2024102915282"</f>
        <v>CK2024102915282</v>
      </c>
      <c r="E1347" s="1" t="str">
        <f>"3723627879590659584"</f>
        <v>3723627879590659584</v>
      </c>
      <c r="F1347" s="1" t="str">
        <f t="shared" si="445"/>
        <v>花都四部-凤凰仓</v>
      </c>
      <c r="G1347" s="1" t="str">
        <f t="shared" si="433"/>
        <v>卡卡杜企业店（视频号）</v>
      </c>
      <c r="H1347" s="1" t="str">
        <f t="shared" si="446"/>
        <v>正常订单</v>
      </c>
      <c r="I1347" s="1" t="str">
        <f t="shared" si="447"/>
        <v>已发货</v>
      </c>
      <c r="J1347" s="1" t="str">
        <f t="shared" si="442"/>
        <v>3</v>
      </c>
      <c r="K1347" s="1">
        <v>2</v>
      </c>
      <c r="L1347" s="1" t="s">
        <v>20</v>
      </c>
      <c r="M1347" s="1" t="str">
        <f>"浙江省 台州市 天台县 "</f>
        <v xml:space="preserve">浙江省 台州市 天台县 </v>
      </c>
      <c r="N1347" s="1" t="str">
        <f t="shared" si="441"/>
        <v>凡华云仓-城南圆通-微信视频号</v>
      </c>
      <c r="O1347" s="5" t="s">
        <v>1384</v>
      </c>
      <c r="P1347" s="6">
        <v>0.24</v>
      </c>
      <c r="Q1347" s="11">
        <v>2</v>
      </c>
      <c r="R1347" s="11"/>
      <c r="S1347" s="11"/>
      <c r="T1347" s="11"/>
      <c r="U1347" s="11">
        <f t="shared" ref="U1347:U1410" si="448">T1347+S1347+R1347+Q1347</f>
        <v>2</v>
      </c>
      <c r="W1347">
        <v>2.2000000000000002</v>
      </c>
      <c r="X1347" s="1" t="s">
        <v>20</v>
      </c>
    </row>
    <row r="1348" spans="1:24" x14ac:dyDescent="0.25">
      <c r="A1348" s="1" t="str">
        <f t="shared" si="444"/>
        <v>卡卡杜-凤凰仓</v>
      </c>
      <c r="B1348" s="1" t="str">
        <f>"CK2024102914"</f>
        <v>CK2024102914</v>
      </c>
      <c r="C1348" s="1" t="str">
        <f>"DD202410299378"</f>
        <v>DD202410299378</v>
      </c>
      <c r="D1348" s="1" t="str">
        <f>"CK2024102915281"</f>
        <v>CK2024102915281</v>
      </c>
      <c r="E1348" s="1" t="str">
        <f>"3723627859666666752"</f>
        <v>3723627859666666752</v>
      </c>
      <c r="F1348" s="1" t="str">
        <f t="shared" si="445"/>
        <v>花都四部-凤凰仓</v>
      </c>
      <c r="G1348" s="1" t="str">
        <f t="shared" si="433"/>
        <v>卡卡杜企业店（视频号）</v>
      </c>
      <c r="H1348" s="1" t="str">
        <f t="shared" si="446"/>
        <v>正常订单</v>
      </c>
      <c r="I1348" s="1" t="str">
        <f t="shared" si="447"/>
        <v>已发货</v>
      </c>
      <c r="J1348" s="1" t="str">
        <f t="shared" si="443"/>
        <v>2</v>
      </c>
      <c r="K1348" s="1">
        <v>2</v>
      </c>
      <c r="L1348" s="1" t="s">
        <v>105</v>
      </c>
      <c r="M1348" s="1" t="str">
        <f>"北京 北京市 东城区 "</f>
        <v xml:space="preserve">北京 北京市 东城区 </v>
      </c>
      <c r="N1348" s="1" t="str">
        <f t="shared" si="441"/>
        <v>凡华云仓-城南圆通-微信视频号</v>
      </c>
      <c r="O1348" s="5" t="s">
        <v>1385</v>
      </c>
      <c r="P1348" s="6">
        <v>0.17</v>
      </c>
      <c r="Q1348" s="11">
        <v>2</v>
      </c>
      <c r="R1348" s="11"/>
      <c r="S1348" s="11"/>
      <c r="T1348" s="11"/>
      <c r="U1348" s="11">
        <f t="shared" si="448"/>
        <v>2</v>
      </c>
      <c r="W1348">
        <v>2.2000000000000002</v>
      </c>
      <c r="X1348" s="1" t="s">
        <v>105</v>
      </c>
    </row>
    <row r="1349" spans="1:24" x14ac:dyDescent="0.25">
      <c r="A1349" s="1" t="str">
        <f t="shared" si="444"/>
        <v>卡卡杜-凤凰仓</v>
      </c>
      <c r="B1349" s="1" t="str">
        <f>"CK2024102903"</f>
        <v>CK2024102903</v>
      </c>
      <c r="C1349" s="1" t="str">
        <f>"DD202410299349"</f>
        <v>DD202410299349</v>
      </c>
      <c r="D1349" s="1" t="str">
        <f>"CK2024102915280"</f>
        <v>CK2024102915280</v>
      </c>
      <c r="E1349" s="1" t="str">
        <f>"3723627850526495744"</f>
        <v>3723627850526495744</v>
      </c>
      <c r="F1349" s="1" t="str">
        <f t="shared" si="445"/>
        <v>花都四部-凤凰仓</v>
      </c>
      <c r="G1349" s="1" t="str">
        <f t="shared" si="433"/>
        <v>卡卡杜企业店（视频号）</v>
      </c>
      <c r="H1349" s="1" t="str">
        <f t="shared" si="446"/>
        <v>正常订单</v>
      </c>
      <c r="I1349" s="1" t="str">
        <f t="shared" si="447"/>
        <v>已发货</v>
      </c>
      <c r="J1349" s="1" t="str">
        <f t="shared" si="443"/>
        <v>2</v>
      </c>
      <c r="K1349" s="1">
        <v>2</v>
      </c>
      <c r="L1349" s="1" t="s">
        <v>47</v>
      </c>
      <c r="M1349" s="1" t="str">
        <f>"重庆 重庆市 渝北区 "</f>
        <v xml:space="preserve">重庆 重庆市 渝北区 </v>
      </c>
      <c r="N1349" s="1" t="str">
        <f t="shared" si="441"/>
        <v>凡华云仓-城南圆通-微信视频号</v>
      </c>
      <c r="O1349" s="5" t="s">
        <v>1386</v>
      </c>
      <c r="P1349" s="6">
        <v>0.17</v>
      </c>
      <c r="Q1349" s="11">
        <v>2</v>
      </c>
      <c r="R1349" s="11"/>
      <c r="S1349" s="11"/>
      <c r="T1349" s="11"/>
      <c r="U1349" s="11">
        <f t="shared" si="448"/>
        <v>2</v>
      </c>
      <c r="W1349">
        <v>2.2000000000000002</v>
      </c>
      <c r="X1349" s="1" t="s">
        <v>47</v>
      </c>
    </row>
    <row r="1350" spans="1:24" x14ac:dyDescent="0.25">
      <c r="A1350" s="1" t="str">
        <f t="shared" si="444"/>
        <v>卡卡杜-凤凰仓</v>
      </c>
      <c r="B1350" s="1" t="str">
        <f>"CK20241029297"</f>
        <v>CK20241029297</v>
      </c>
      <c r="C1350" s="1" t="str">
        <f>"DD202410299887"</f>
        <v>DD202410299887</v>
      </c>
      <c r="D1350" s="1" t="str">
        <f>"CK2024102915279"</f>
        <v>CK2024102915279</v>
      </c>
      <c r="E1350" s="1" t="str">
        <f>"3723627855519027200"</f>
        <v>3723627855519027200</v>
      </c>
      <c r="F1350" s="1" t="str">
        <f t="shared" si="445"/>
        <v>花都四部-凤凰仓</v>
      </c>
      <c r="G1350" s="1" t="str">
        <f t="shared" si="433"/>
        <v>卡卡杜企业店（视频号）</v>
      </c>
      <c r="H1350" s="1" t="str">
        <f t="shared" si="446"/>
        <v>正常订单</v>
      </c>
      <c r="I1350" s="1" t="str">
        <f t="shared" si="447"/>
        <v>已发货</v>
      </c>
      <c r="J1350" s="1" t="str">
        <f t="shared" ref="J1350:J1355" si="449">"3"</f>
        <v>3</v>
      </c>
      <c r="K1350" s="1">
        <v>2</v>
      </c>
      <c r="L1350" s="1" t="s">
        <v>105</v>
      </c>
      <c r="M1350" s="1" t="str">
        <f>"北京 北京市 海淀区 "</f>
        <v xml:space="preserve">北京 北京市 海淀区 </v>
      </c>
      <c r="N1350" s="1" t="str">
        <f t="shared" si="441"/>
        <v>凡华云仓-城南圆通-微信视频号</v>
      </c>
      <c r="O1350" s="5" t="s">
        <v>1387</v>
      </c>
      <c r="P1350" s="6">
        <v>0.24</v>
      </c>
      <c r="Q1350" s="11">
        <v>2</v>
      </c>
      <c r="R1350" s="11"/>
      <c r="S1350" s="11"/>
      <c r="T1350" s="11"/>
      <c r="U1350" s="11">
        <f t="shared" si="448"/>
        <v>2</v>
      </c>
      <c r="W1350">
        <v>2.2000000000000002</v>
      </c>
      <c r="X1350" s="1" t="s">
        <v>105</v>
      </c>
    </row>
    <row r="1351" spans="1:24" x14ac:dyDescent="0.25">
      <c r="A1351" s="1" t="str">
        <f t="shared" si="444"/>
        <v>卡卡杜-凤凰仓</v>
      </c>
      <c r="B1351" s="1" t="str">
        <f>"CK2024102920"</f>
        <v>CK2024102920</v>
      </c>
      <c r="C1351" s="1" t="str">
        <f>"DD202410299395"</f>
        <v>DD202410299395</v>
      </c>
      <c r="D1351" s="1" t="str">
        <f>"CK2024102915278"</f>
        <v>CK2024102915278</v>
      </c>
      <c r="E1351" s="1" t="str">
        <f>"3723627841673889280"</f>
        <v>3723627841673889280</v>
      </c>
      <c r="F1351" s="1" t="str">
        <f t="shared" si="445"/>
        <v>花都四部-凤凰仓</v>
      </c>
      <c r="G1351" s="1" t="str">
        <f t="shared" si="433"/>
        <v>卡卡杜企业店（视频号）</v>
      </c>
      <c r="H1351" s="1" t="str">
        <f t="shared" si="446"/>
        <v>正常订单</v>
      </c>
      <c r="I1351" s="1" t="str">
        <f t="shared" si="447"/>
        <v>已发货</v>
      </c>
      <c r="J1351" s="1" t="str">
        <f t="shared" ref="J1351:J1356" si="450">"2"</f>
        <v>2</v>
      </c>
      <c r="K1351" s="1">
        <v>2</v>
      </c>
      <c r="L1351" s="1" t="s">
        <v>16</v>
      </c>
      <c r="M1351" s="1" t="str">
        <f>"河北省 承德市 丰宁满族自治县 "</f>
        <v xml:space="preserve">河北省 承德市 丰宁满族自治县 </v>
      </c>
      <c r="N1351" s="1" t="str">
        <f t="shared" si="441"/>
        <v>凡华云仓-城南圆通-微信视频号</v>
      </c>
      <c r="O1351" s="5" t="s">
        <v>1388</v>
      </c>
      <c r="P1351" s="6">
        <v>0.17</v>
      </c>
      <c r="Q1351" s="11">
        <v>2</v>
      </c>
      <c r="R1351" s="11"/>
      <c r="S1351" s="11"/>
      <c r="T1351" s="11"/>
      <c r="U1351" s="11">
        <f t="shared" si="448"/>
        <v>2</v>
      </c>
      <c r="W1351">
        <v>2.2000000000000002</v>
      </c>
      <c r="X1351" s="1" t="s">
        <v>16</v>
      </c>
    </row>
    <row r="1352" spans="1:24" x14ac:dyDescent="0.25">
      <c r="A1352" s="1" t="str">
        <f t="shared" si="444"/>
        <v>卡卡杜-凤凰仓</v>
      </c>
      <c r="B1352" s="1" t="str">
        <f>"CK20241029299"</f>
        <v>CK20241029299</v>
      </c>
      <c r="C1352" s="1" t="str">
        <f>"DD202410299891"</f>
        <v>DD202410299891</v>
      </c>
      <c r="D1352" s="1" t="str">
        <f>"CK2024102915277"</f>
        <v>CK2024102915277</v>
      </c>
      <c r="E1352" s="1" t="str">
        <f>"3723627836825539585"</f>
        <v>3723627836825539585</v>
      </c>
      <c r="F1352" s="1" t="str">
        <f t="shared" si="445"/>
        <v>花都四部-凤凰仓</v>
      </c>
      <c r="G1352" s="1" t="str">
        <f t="shared" si="433"/>
        <v>卡卡杜企业店（视频号）</v>
      </c>
      <c r="H1352" s="1" t="str">
        <f t="shared" si="446"/>
        <v>正常订单</v>
      </c>
      <c r="I1352" s="1" t="str">
        <f t="shared" si="447"/>
        <v>已发货</v>
      </c>
      <c r="J1352" s="1" t="str">
        <f t="shared" si="449"/>
        <v>3</v>
      </c>
      <c r="K1352" s="1">
        <v>2</v>
      </c>
      <c r="L1352" s="1" t="s">
        <v>16</v>
      </c>
      <c r="M1352" s="1" t="str">
        <f>"河北省 石家庄市 行唐县 "</f>
        <v xml:space="preserve">河北省 石家庄市 行唐县 </v>
      </c>
      <c r="N1352" s="1" t="str">
        <f t="shared" si="441"/>
        <v>凡华云仓-城南圆通-微信视频号</v>
      </c>
      <c r="O1352" s="5" t="s">
        <v>1389</v>
      </c>
      <c r="P1352" s="6">
        <v>0.24</v>
      </c>
      <c r="Q1352" s="11">
        <v>2</v>
      </c>
      <c r="R1352" s="11"/>
      <c r="S1352" s="11"/>
      <c r="T1352" s="11"/>
      <c r="U1352" s="11">
        <f t="shared" si="448"/>
        <v>2</v>
      </c>
      <c r="W1352">
        <v>2.2000000000000002</v>
      </c>
      <c r="X1352" s="1" t="s">
        <v>16</v>
      </c>
    </row>
    <row r="1353" spans="1:24" x14ac:dyDescent="0.25">
      <c r="A1353" s="1" t="str">
        <f t="shared" si="444"/>
        <v>卡卡杜-凤凰仓</v>
      </c>
      <c r="B1353" s="1" t="str">
        <f>"CK2024102919"</f>
        <v>CK2024102919</v>
      </c>
      <c r="C1353" s="1" t="str">
        <f>"DD202410299388"</f>
        <v>DD202410299388</v>
      </c>
      <c r="D1353" s="1" t="str">
        <f>"CK2024102915276"</f>
        <v>CK2024102915276</v>
      </c>
      <c r="E1353" s="1" t="str">
        <f>"3723627835537098240"</f>
        <v>3723627835537098240</v>
      </c>
      <c r="F1353" s="1" t="str">
        <f t="shared" si="445"/>
        <v>花都四部-凤凰仓</v>
      </c>
      <c r="G1353" s="1" t="str">
        <f t="shared" si="433"/>
        <v>卡卡杜企业店（视频号）</v>
      </c>
      <c r="H1353" s="1" t="str">
        <f t="shared" si="446"/>
        <v>正常订单</v>
      </c>
      <c r="I1353" s="1" t="str">
        <f t="shared" si="447"/>
        <v>已发货</v>
      </c>
      <c r="J1353" s="1" t="str">
        <f t="shared" si="450"/>
        <v>2</v>
      </c>
      <c r="K1353" s="1">
        <v>2</v>
      </c>
      <c r="L1353" s="1" t="s">
        <v>92</v>
      </c>
      <c r="M1353" s="1" t="str">
        <f>"辽宁省 大连市 西岗区 "</f>
        <v xml:space="preserve">辽宁省 大连市 西岗区 </v>
      </c>
      <c r="N1353" s="1" t="str">
        <f t="shared" si="441"/>
        <v>凡华云仓-城南圆通-微信视频号</v>
      </c>
      <c r="O1353" s="5" t="s">
        <v>1390</v>
      </c>
      <c r="P1353" s="6">
        <v>0.17</v>
      </c>
      <c r="Q1353" s="11">
        <v>2</v>
      </c>
      <c r="R1353" s="11"/>
      <c r="S1353" s="11"/>
      <c r="T1353" s="11"/>
      <c r="U1353" s="11">
        <f t="shared" si="448"/>
        <v>2</v>
      </c>
      <c r="W1353">
        <v>2.2000000000000002</v>
      </c>
      <c r="X1353" s="1" t="s">
        <v>92</v>
      </c>
    </row>
    <row r="1354" spans="1:24" x14ac:dyDescent="0.25">
      <c r="A1354" s="1" t="str">
        <f t="shared" si="444"/>
        <v>卡卡杜-凤凰仓</v>
      </c>
      <c r="B1354" s="1" t="str">
        <f>"CK20241029303"</f>
        <v>CK20241029303</v>
      </c>
      <c r="C1354" s="1" t="str">
        <f>"DD202410299894"</f>
        <v>DD202410299894</v>
      </c>
      <c r="D1354" s="1" t="str">
        <f>"CK2024102915275"</f>
        <v>CK2024102915275</v>
      </c>
      <c r="E1354" s="1" t="str">
        <f>"3723627801805194752"</f>
        <v>3723627801805194752</v>
      </c>
      <c r="F1354" s="1" t="str">
        <f t="shared" si="445"/>
        <v>花都四部-凤凰仓</v>
      </c>
      <c r="G1354" s="1" t="str">
        <f t="shared" si="433"/>
        <v>卡卡杜企业店（视频号）</v>
      </c>
      <c r="H1354" s="1" t="str">
        <f t="shared" si="446"/>
        <v>正常订单</v>
      </c>
      <c r="I1354" s="1" t="str">
        <f t="shared" si="447"/>
        <v>已发货</v>
      </c>
      <c r="J1354" s="1" t="str">
        <f t="shared" si="449"/>
        <v>3</v>
      </c>
      <c r="K1354" s="1">
        <v>2</v>
      </c>
      <c r="L1354" s="1" t="s">
        <v>92</v>
      </c>
      <c r="M1354" s="1" t="str">
        <f>"辽宁省 沈阳市 铁西区 "</f>
        <v xml:space="preserve">辽宁省 沈阳市 铁西区 </v>
      </c>
      <c r="N1354" s="1" t="str">
        <f t="shared" si="441"/>
        <v>凡华云仓-城南圆通-微信视频号</v>
      </c>
      <c r="O1354" s="5" t="s">
        <v>1391</v>
      </c>
      <c r="P1354" s="6">
        <v>0.24</v>
      </c>
      <c r="Q1354" s="11">
        <v>2</v>
      </c>
      <c r="R1354" s="11"/>
      <c r="S1354" s="11"/>
      <c r="T1354" s="11"/>
      <c r="U1354" s="11">
        <f t="shared" si="448"/>
        <v>2</v>
      </c>
      <c r="W1354">
        <v>2.2000000000000002</v>
      </c>
      <c r="X1354" s="1" t="s">
        <v>92</v>
      </c>
    </row>
    <row r="1355" spans="1:24" x14ac:dyDescent="0.25">
      <c r="A1355" s="1" t="str">
        <f t="shared" si="444"/>
        <v>卡卡杜-凤凰仓</v>
      </c>
      <c r="B1355" s="1" t="str">
        <f>"CK20241029300"</f>
        <v>CK20241029300</v>
      </c>
      <c r="C1355" s="1" t="str">
        <f>"DD202410299892"</f>
        <v>DD202410299892</v>
      </c>
      <c r="D1355" s="1" t="str">
        <f>"CK2024102915274"</f>
        <v>CK2024102915274</v>
      </c>
      <c r="E1355" s="1" t="str">
        <f>"3723627821677023232"</f>
        <v>3723627821677023232</v>
      </c>
      <c r="F1355" s="1" t="str">
        <f t="shared" si="445"/>
        <v>花都四部-凤凰仓</v>
      </c>
      <c r="G1355" s="1" t="str">
        <f t="shared" si="433"/>
        <v>卡卡杜企业店（视频号）</v>
      </c>
      <c r="H1355" s="1" t="str">
        <f t="shared" si="446"/>
        <v>正常订单</v>
      </c>
      <c r="I1355" s="1" t="str">
        <f t="shared" si="447"/>
        <v>已发货</v>
      </c>
      <c r="J1355" s="1" t="str">
        <f t="shared" si="449"/>
        <v>3</v>
      </c>
      <c r="K1355" s="1">
        <v>2</v>
      </c>
      <c r="L1355" s="1" t="s">
        <v>20</v>
      </c>
      <c r="M1355" s="1" t="str">
        <f>"浙江省 杭州市 滨江区 "</f>
        <v xml:space="preserve">浙江省 杭州市 滨江区 </v>
      </c>
      <c r="N1355" s="1" t="str">
        <f t="shared" si="441"/>
        <v>凡华云仓-城南圆通-微信视频号</v>
      </c>
      <c r="O1355" s="5" t="s">
        <v>1392</v>
      </c>
      <c r="P1355" s="6">
        <v>0.24</v>
      </c>
      <c r="Q1355" s="11">
        <v>2</v>
      </c>
      <c r="R1355" s="11"/>
      <c r="S1355" s="11"/>
      <c r="T1355" s="11"/>
      <c r="U1355" s="11">
        <f t="shared" si="448"/>
        <v>2</v>
      </c>
      <c r="W1355">
        <v>2.2000000000000002</v>
      </c>
      <c r="X1355" s="1" t="s">
        <v>20</v>
      </c>
    </row>
    <row r="1356" spans="1:24" x14ac:dyDescent="0.25">
      <c r="A1356" s="1" t="str">
        <f t="shared" si="444"/>
        <v>卡卡杜-凤凰仓</v>
      </c>
      <c r="B1356" s="1" t="str">
        <f>"CK2024102927"</f>
        <v>CK2024102927</v>
      </c>
      <c r="C1356" s="1" t="str">
        <f>"DD202410299410"</f>
        <v>DD202410299410</v>
      </c>
      <c r="D1356" s="1" t="str">
        <f>"CK2024102915273"</f>
        <v>CK2024102915273</v>
      </c>
      <c r="E1356" s="1" t="str">
        <f>"3723627816195851520"</f>
        <v>3723627816195851520</v>
      </c>
      <c r="F1356" s="1" t="str">
        <f t="shared" si="445"/>
        <v>花都四部-凤凰仓</v>
      </c>
      <c r="G1356" s="1" t="str">
        <f t="shared" si="433"/>
        <v>卡卡杜企业店（视频号）</v>
      </c>
      <c r="H1356" s="1" t="str">
        <f t="shared" si="446"/>
        <v>正常订单</v>
      </c>
      <c r="I1356" s="1" t="str">
        <f t="shared" si="447"/>
        <v>已发货</v>
      </c>
      <c r="J1356" s="1" t="str">
        <f t="shared" si="450"/>
        <v>2</v>
      </c>
      <c r="K1356" s="1">
        <v>2</v>
      </c>
      <c r="L1356" s="1" t="s">
        <v>80</v>
      </c>
      <c r="M1356" s="1" t="str">
        <f>"河南省 新乡市 红旗区 "</f>
        <v xml:space="preserve">河南省 新乡市 红旗区 </v>
      </c>
      <c r="N1356" s="1" t="str">
        <f t="shared" si="441"/>
        <v>凡华云仓-城南圆通-微信视频号</v>
      </c>
      <c r="O1356" s="5" t="s">
        <v>1393</v>
      </c>
      <c r="P1356" s="6">
        <v>0.17</v>
      </c>
      <c r="Q1356" s="11">
        <v>2</v>
      </c>
      <c r="R1356" s="11"/>
      <c r="S1356" s="11"/>
      <c r="T1356" s="11"/>
      <c r="U1356" s="11">
        <f t="shared" si="448"/>
        <v>2</v>
      </c>
      <c r="W1356">
        <v>2.2000000000000002</v>
      </c>
      <c r="X1356" s="1" t="s">
        <v>80</v>
      </c>
    </row>
    <row r="1357" spans="1:24" x14ac:dyDescent="0.25">
      <c r="A1357" s="1" t="str">
        <f t="shared" si="444"/>
        <v>卡卡杜-凤凰仓</v>
      </c>
      <c r="B1357" s="1" t="str">
        <f>"CK20241029302"</f>
        <v>CK20241029302</v>
      </c>
      <c r="C1357" s="1" t="str">
        <f>"DD202410299895"</f>
        <v>DD202410299895</v>
      </c>
      <c r="D1357" s="1" t="str">
        <f>"CK2024102915272"</f>
        <v>CK2024102915272</v>
      </c>
      <c r="E1357" s="1" t="str">
        <f>"3723627807551131648"</f>
        <v>3723627807551131648</v>
      </c>
      <c r="F1357" s="1" t="str">
        <f t="shared" si="445"/>
        <v>花都四部-凤凰仓</v>
      </c>
      <c r="G1357" s="1" t="str">
        <f t="shared" si="433"/>
        <v>卡卡杜企业店（视频号）</v>
      </c>
      <c r="H1357" s="1" t="str">
        <f t="shared" si="446"/>
        <v>正常订单</v>
      </c>
      <c r="I1357" s="1" t="str">
        <f t="shared" si="447"/>
        <v>已发货</v>
      </c>
      <c r="J1357" s="1" t="str">
        <f t="shared" ref="J1357:J1361" si="451">"3"</f>
        <v>3</v>
      </c>
      <c r="K1357" s="1">
        <v>2</v>
      </c>
      <c r="L1357" s="1" t="s">
        <v>66</v>
      </c>
      <c r="M1357" s="1" t="str">
        <f>"内蒙古自治区 包头市 昆都仑区 "</f>
        <v xml:space="preserve">内蒙古自治区 包头市 昆都仑区 </v>
      </c>
      <c r="N1357" s="1" t="str">
        <f t="shared" si="441"/>
        <v>凡华云仓-城南圆通-微信视频号</v>
      </c>
      <c r="O1357" s="5" t="s">
        <v>1394</v>
      </c>
      <c r="P1357" s="6">
        <v>0.24</v>
      </c>
      <c r="Q1357" s="11">
        <v>2</v>
      </c>
      <c r="R1357" s="11"/>
      <c r="S1357" s="11"/>
      <c r="T1357" s="11"/>
      <c r="U1357" s="11">
        <f t="shared" si="448"/>
        <v>2</v>
      </c>
      <c r="W1357">
        <v>2.2000000000000002</v>
      </c>
      <c r="X1357" s="1" t="s">
        <v>66</v>
      </c>
    </row>
    <row r="1358" spans="1:24" x14ac:dyDescent="0.25">
      <c r="A1358" s="1" t="str">
        <f t="shared" si="444"/>
        <v>卡卡杜-凤凰仓</v>
      </c>
      <c r="B1358" s="1" t="str">
        <f>"CK2024102921"</f>
        <v>CK2024102921</v>
      </c>
      <c r="C1358" s="1" t="str">
        <f>"DD202410299393"</f>
        <v>DD202410299393</v>
      </c>
      <c r="D1358" s="1" t="str">
        <f>"CK2024102915271"</f>
        <v>CK2024102915271</v>
      </c>
      <c r="E1358" s="1" t="str">
        <f>"3723627795324734464"</f>
        <v>3723627795324734464</v>
      </c>
      <c r="F1358" s="1" t="str">
        <f t="shared" si="445"/>
        <v>花都四部-凤凰仓</v>
      </c>
      <c r="G1358" s="1" t="str">
        <f t="shared" si="433"/>
        <v>卡卡杜企业店（视频号）</v>
      </c>
      <c r="H1358" s="1" t="str">
        <f t="shared" si="446"/>
        <v>正常订单</v>
      </c>
      <c r="I1358" s="1" t="str">
        <f t="shared" si="447"/>
        <v>已发货</v>
      </c>
      <c r="J1358" s="1" t="str">
        <f t="shared" ref="J1358:J1364" si="452">"2"</f>
        <v>2</v>
      </c>
      <c r="K1358" s="1">
        <v>2</v>
      </c>
      <c r="L1358" s="1" t="s">
        <v>92</v>
      </c>
      <c r="M1358" s="1" t="str">
        <f>"辽宁省 锦州市 古塔区 "</f>
        <v xml:space="preserve">辽宁省 锦州市 古塔区 </v>
      </c>
      <c r="N1358" s="1" t="str">
        <f t="shared" si="441"/>
        <v>凡华云仓-城南圆通-微信视频号</v>
      </c>
      <c r="O1358" s="5" t="s">
        <v>1395</v>
      </c>
      <c r="P1358" s="6">
        <v>0.17</v>
      </c>
      <c r="Q1358" s="11">
        <v>2</v>
      </c>
      <c r="R1358" s="11"/>
      <c r="S1358" s="11"/>
      <c r="T1358" s="11"/>
      <c r="U1358" s="11">
        <f t="shared" si="448"/>
        <v>2</v>
      </c>
      <c r="W1358">
        <v>2.2000000000000002</v>
      </c>
      <c r="X1358" s="1" t="s">
        <v>92</v>
      </c>
    </row>
    <row r="1359" spans="1:24" x14ac:dyDescent="0.25">
      <c r="A1359" s="1" t="str">
        <f t="shared" si="444"/>
        <v>卡卡杜-凤凰仓</v>
      </c>
      <c r="B1359" s="1" t="str">
        <f>"CK20241029305"</f>
        <v>CK20241029305</v>
      </c>
      <c r="C1359" s="1" t="str">
        <f>"DD202410299897"</f>
        <v>DD202410299897</v>
      </c>
      <c r="D1359" s="1" t="str">
        <f>"CK2024102915270"</f>
        <v>CK2024102915270</v>
      </c>
      <c r="E1359" s="1" t="str">
        <f>"3723627782843798528"</f>
        <v>3723627782843798528</v>
      </c>
      <c r="F1359" s="1" t="str">
        <f t="shared" si="445"/>
        <v>花都四部-凤凰仓</v>
      </c>
      <c r="G1359" s="1" t="str">
        <f t="shared" si="433"/>
        <v>卡卡杜企业店（视频号）</v>
      </c>
      <c r="H1359" s="1" t="str">
        <f t="shared" si="446"/>
        <v>正常订单</v>
      </c>
      <c r="I1359" s="1" t="str">
        <f t="shared" si="447"/>
        <v>已发货</v>
      </c>
      <c r="J1359" s="1" t="str">
        <f t="shared" si="451"/>
        <v>3</v>
      </c>
      <c r="K1359" s="1">
        <v>2</v>
      </c>
      <c r="L1359" s="1" t="s">
        <v>74</v>
      </c>
      <c r="M1359" s="1" t="str">
        <f>"上海 上海市 普陀区 "</f>
        <v xml:space="preserve">上海 上海市 普陀区 </v>
      </c>
      <c r="N1359" s="1" t="str">
        <f t="shared" si="441"/>
        <v>凡华云仓-城南圆通-微信视频号</v>
      </c>
      <c r="O1359" s="5" t="s">
        <v>1396</v>
      </c>
      <c r="P1359" s="6">
        <v>0.24</v>
      </c>
      <c r="Q1359" s="11">
        <v>2</v>
      </c>
      <c r="R1359" s="11"/>
      <c r="S1359" s="11"/>
      <c r="T1359" s="11"/>
      <c r="U1359" s="11">
        <f t="shared" si="448"/>
        <v>2</v>
      </c>
      <c r="W1359">
        <v>2.2000000000000002</v>
      </c>
      <c r="X1359" s="1" t="s">
        <v>74</v>
      </c>
    </row>
    <row r="1360" spans="1:24" x14ac:dyDescent="0.25">
      <c r="A1360" s="1" t="str">
        <f t="shared" si="444"/>
        <v>卡卡杜-凤凰仓</v>
      </c>
      <c r="B1360" s="1" t="str">
        <f>"CK20241029304"</f>
        <v>CK20241029304</v>
      </c>
      <c r="C1360" s="1" t="str">
        <f>"DD202410299896"</f>
        <v>DD202410299896</v>
      </c>
      <c r="D1360" s="1" t="str">
        <f>"CK2024102915269"</f>
        <v>CK2024102915269</v>
      </c>
      <c r="E1360" s="1" t="str">
        <f>"3723627799931392000"</f>
        <v>3723627799931392000</v>
      </c>
      <c r="F1360" s="1" t="str">
        <f t="shared" si="445"/>
        <v>花都四部-凤凰仓</v>
      </c>
      <c r="G1360" s="1" t="str">
        <f t="shared" si="433"/>
        <v>卡卡杜企业店（视频号）</v>
      </c>
      <c r="H1360" s="1" t="str">
        <f t="shared" si="446"/>
        <v>正常订单</v>
      </c>
      <c r="I1360" s="1" t="str">
        <f t="shared" si="447"/>
        <v>已发货</v>
      </c>
      <c r="J1360" s="1" t="str">
        <f t="shared" si="451"/>
        <v>3</v>
      </c>
      <c r="K1360" s="1">
        <v>2</v>
      </c>
      <c r="L1360" s="1" t="s">
        <v>96</v>
      </c>
      <c r="M1360" s="1" t="str">
        <f>"广西壮族自治区 钦州市 钦北区 "</f>
        <v xml:space="preserve">广西壮族自治区 钦州市 钦北区 </v>
      </c>
      <c r="N1360" s="1" t="str">
        <f t="shared" si="441"/>
        <v>凡华云仓-城南圆通-微信视频号</v>
      </c>
      <c r="O1360" s="5" t="s">
        <v>1397</v>
      </c>
      <c r="P1360" s="6">
        <v>0.24</v>
      </c>
      <c r="Q1360" s="11">
        <v>2</v>
      </c>
      <c r="R1360" s="11"/>
      <c r="S1360" s="11"/>
      <c r="T1360" s="11"/>
      <c r="U1360" s="11">
        <f t="shared" si="448"/>
        <v>2</v>
      </c>
      <c r="W1360">
        <v>2.2000000000000002</v>
      </c>
      <c r="X1360" s="1" t="s">
        <v>96</v>
      </c>
    </row>
    <row r="1361" spans="1:24" x14ac:dyDescent="0.25">
      <c r="A1361" s="1" t="str">
        <f t="shared" si="444"/>
        <v>卡卡杜-凤凰仓</v>
      </c>
      <c r="B1361" s="1" t="str">
        <f>"CK20241029362"</f>
        <v>CK20241029362</v>
      </c>
      <c r="C1361" s="1" t="str">
        <f>"DD2024102910009"</f>
        <v>DD2024102910009</v>
      </c>
      <c r="D1361" s="1" t="str">
        <f>"CK2024102915268"</f>
        <v>CK2024102915268</v>
      </c>
      <c r="E1361" s="1" t="str">
        <f>"3723627785631433986"</f>
        <v>3723627785631433986</v>
      </c>
      <c r="F1361" s="1" t="str">
        <f t="shared" si="445"/>
        <v>花都四部-凤凰仓</v>
      </c>
      <c r="G1361" s="1" t="str">
        <f t="shared" si="433"/>
        <v>卡卡杜企业店（视频号）</v>
      </c>
      <c r="H1361" s="1" t="str">
        <f t="shared" si="446"/>
        <v>正常订单</v>
      </c>
      <c r="I1361" s="1" t="str">
        <f t="shared" si="447"/>
        <v>已发货</v>
      </c>
      <c r="J1361" s="1" t="str">
        <f t="shared" si="451"/>
        <v>3</v>
      </c>
      <c r="K1361" s="1">
        <v>2</v>
      </c>
      <c r="L1361" s="1" t="s">
        <v>105</v>
      </c>
      <c r="M1361" s="1" t="str">
        <f>"北京 北京市 昌平区 "</f>
        <v xml:space="preserve">北京 北京市 昌平区 </v>
      </c>
      <c r="N1361" s="1" t="str">
        <f t="shared" si="441"/>
        <v>凡华云仓-城南圆通-微信视频号</v>
      </c>
      <c r="O1361" s="5" t="s">
        <v>1398</v>
      </c>
      <c r="P1361" s="6">
        <v>0.24</v>
      </c>
      <c r="Q1361" s="11">
        <v>2</v>
      </c>
      <c r="R1361" s="11"/>
      <c r="S1361" s="11"/>
      <c r="T1361" s="11"/>
      <c r="U1361" s="11">
        <f t="shared" si="448"/>
        <v>2</v>
      </c>
      <c r="W1361">
        <v>2.2000000000000002</v>
      </c>
      <c r="X1361" s="1" t="s">
        <v>105</v>
      </c>
    </row>
    <row r="1362" spans="1:24" x14ac:dyDescent="0.25">
      <c r="A1362" s="1" t="str">
        <f t="shared" si="444"/>
        <v>卡卡杜-凤凰仓</v>
      </c>
      <c r="B1362" s="1" t="str">
        <f>"CK20241029146"</f>
        <v>CK20241029146</v>
      </c>
      <c r="C1362" s="1" t="str">
        <f>"DD202410299527"</f>
        <v>DD202410299527</v>
      </c>
      <c r="D1362" s="1" t="str">
        <f>"CK2024102915267"</f>
        <v>CK2024102915267</v>
      </c>
      <c r="E1362" s="1" t="str">
        <f>"3723627769858229760"</f>
        <v>3723627769858229760</v>
      </c>
      <c r="F1362" s="1" t="str">
        <f t="shared" si="445"/>
        <v>花都四部-凤凰仓</v>
      </c>
      <c r="G1362" s="1" t="str">
        <f t="shared" si="433"/>
        <v>卡卡杜企业店（视频号）</v>
      </c>
      <c r="H1362" s="1" t="str">
        <f t="shared" si="446"/>
        <v>正常订单</v>
      </c>
      <c r="I1362" s="1" t="str">
        <f t="shared" si="447"/>
        <v>已发货</v>
      </c>
      <c r="J1362" s="1" t="str">
        <f t="shared" si="452"/>
        <v>2</v>
      </c>
      <c r="K1362" s="1">
        <v>2</v>
      </c>
      <c r="L1362" s="1" t="s">
        <v>161</v>
      </c>
      <c r="M1362" s="1" t="str">
        <f>"四川省 成都市 青羊区 "</f>
        <v xml:space="preserve">四川省 成都市 青羊区 </v>
      </c>
      <c r="N1362" s="1" t="str">
        <f t="shared" si="441"/>
        <v>凡华云仓-城南圆通-微信视频号</v>
      </c>
      <c r="O1362" s="5" t="s">
        <v>1399</v>
      </c>
      <c r="P1362" s="6">
        <v>0.17</v>
      </c>
      <c r="Q1362" s="11">
        <v>2</v>
      </c>
      <c r="R1362" s="11"/>
      <c r="S1362" s="11"/>
      <c r="T1362" s="11"/>
      <c r="U1362" s="11">
        <f t="shared" si="448"/>
        <v>2</v>
      </c>
      <c r="W1362">
        <v>2.2000000000000002</v>
      </c>
      <c r="X1362" s="1" t="s">
        <v>161</v>
      </c>
    </row>
    <row r="1363" spans="1:24" x14ac:dyDescent="0.25">
      <c r="A1363" s="1" t="str">
        <f t="shared" si="444"/>
        <v>卡卡杜-凤凰仓</v>
      </c>
      <c r="B1363" s="1" t="str">
        <f>"CK20241029160"</f>
        <v>CK20241029160</v>
      </c>
      <c r="C1363" s="1" t="str">
        <f>"DD202410299544"</f>
        <v>DD202410299544</v>
      </c>
      <c r="D1363" s="1" t="str">
        <f>"CK2024102915266"</f>
        <v>CK2024102915266</v>
      </c>
      <c r="E1363" s="1" t="str">
        <f>"3723627775206757376"</f>
        <v>3723627775206757376</v>
      </c>
      <c r="F1363" s="1" t="str">
        <f t="shared" si="445"/>
        <v>花都四部-凤凰仓</v>
      </c>
      <c r="G1363" s="1" t="str">
        <f t="shared" si="433"/>
        <v>卡卡杜企业店（视频号）</v>
      </c>
      <c r="H1363" s="1" t="str">
        <f t="shared" si="446"/>
        <v>正常订单</v>
      </c>
      <c r="I1363" s="1" t="str">
        <f t="shared" si="447"/>
        <v>已发货</v>
      </c>
      <c r="J1363" s="1" t="str">
        <f t="shared" si="452"/>
        <v>2</v>
      </c>
      <c r="K1363" s="1">
        <v>2</v>
      </c>
      <c r="L1363" s="1" t="s">
        <v>20</v>
      </c>
      <c r="M1363" s="1" t="str">
        <f>"浙江省 杭州市 滨江区 "</f>
        <v xml:space="preserve">浙江省 杭州市 滨江区 </v>
      </c>
      <c r="N1363" s="1" t="str">
        <f t="shared" si="441"/>
        <v>凡华云仓-城南圆通-微信视频号</v>
      </c>
      <c r="O1363" s="5" t="s">
        <v>1400</v>
      </c>
      <c r="P1363" s="6">
        <v>0.17</v>
      </c>
      <c r="Q1363" s="11">
        <v>2</v>
      </c>
      <c r="R1363" s="11"/>
      <c r="S1363" s="11"/>
      <c r="T1363" s="11"/>
      <c r="U1363" s="11">
        <f t="shared" si="448"/>
        <v>2</v>
      </c>
      <c r="W1363">
        <v>2.2000000000000002</v>
      </c>
      <c r="X1363" s="1" t="s">
        <v>20</v>
      </c>
    </row>
    <row r="1364" spans="1:24" x14ac:dyDescent="0.25">
      <c r="A1364" s="1" t="str">
        <f t="shared" si="444"/>
        <v>卡卡杜-凤凰仓</v>
      </c>
      <c r="B1364" s="1" t="str">
        <f>"CK2024102991"</f>
        <v>CK2024102991</v>
      </c>
      <c r="C1364" s="1" t="str">
        <f>"DD202410299473"</f>
        <v>DD202410299473</v>
      </c>
      <c r="D1364" s="1" t="str">
        <f>"CK2024102915265"</f>
        <v>CK2024102915265</v>
      </c>
      <c r="E1364" s="1" t="str">
        <f>"3723627782001264128"</f>
        <v>3723627782001264128</v>
      </c>
      <c r="F1364" s="1" t="str">
        <f t="shared" si="445"/>
        <v>花都四部-凤凰仓</v>
      </c>
      <c r="G1364" s="1" t="str">
        <f t="shared" si="433"/>
        <v>卡卡杜企业店（视频号）</v>
      </c>
      <c r="H1364" s="1" t="str">
        <f t="shared" si="446"/>
        <v>正常订单</v>
      </c>
      <c r="I1364" s="1" t="str">
        <f t="shared" si="447"/>
        <v>已发货</v>
      </c>
      <c r="J1364" s="1" t="str">
        <f t="shared" si="452"/>
        <v>2</v>
      </c>
      <c r="K1364" s="1">
        <v>2</v>
      </c>
      <c r="L1364" s="1" t="s">
        <v>92</v>
      </c>
      <c r="M1364" s="1" t="str">
        <f>"辽宁省 沈阳市 于洪区 "</f>
        <v xml:space="preserve">辽宁省 沈阳市 于洪区 </v>
      </c>
      <c r="N1364" s="1" t="str">
        <f t="shared" si="441"/>
        <v>凡华云仓-城南圆通-微信视频号</v>
      </c>
      <c r="O1364" s="5" t="s">
        <v>1401</v>
      </c>
      <c r="P1364" s="6">
        <v>0.17</v>
      </c>
      <c r="Q1364" s="11">
        <v>2</v>
      </c>
      <c r="R1364" s="11"/>
      <c r="S1364" s="11"/>
      <c r="T1364" s="11"/>
      <c r="U1364" s="11">
        <f t="shared" si="448"/>
        <v>2</v>
      </c>
      <c r="W1364">
        <v>2.2000000000000002</v>
      </c>
      <c r="X1364" s="1" t="s">
        <v>92</v>
      </c>
    </row>
    <row r="1365" spans="1:24" x14ac:dyDescent="0.25">
      <c r="A1365" s="1" t="str">
        <f t="shared" si="444"/>
        <v>卡卡杜-凤凰仓</v>
      </c>
      <c r="B1365" s="1" t="str">
        <f>"CK20241029306"</f>
        <v>CK20241029306</v>
      </c>
      <c r="C1365" s="1" t="str">
        <f>"DD202410299898"</f>
        <v>DD202410299898</v>
      </c>
      <c r="D1365" s="1" t="str">
        <f>"CK2024102915264"</f>
        <v>CK2024102915264</v>
      </c>
      <c r="E1365" s="1" t="str">
        <f>"3723627780881387520"</f>
        <v>3723627780881387520</v>
      </c>
      <c r="F1365" s="1" t="str">
        <f t="shared" si="445"/>
        <v>花都四部-凤凰仓</v>
      </c>
      <c r="G1365" s="1" t="str">
        <f t="shared" si="433"/>
        <v>卡卡杜企业店（视频号）</v>
      </c>
      <c r="H1365" s="1" t="str">
        <f t="shared" si="446"/>
        <v>正常订单</v>
      </c>
      <c r="I1365" s="1" t="str">
        <f t="shared" si="447"/>
        <v>已发货</v>
      </c>
      <c r="J1365" s="1" t="str">
        <f>"3"</f>
        <v>3</v>
      </c>
      <c r="K1365" s="1">
        <v>2</v>
      </c>
      <c r="L1365" s="1" t="s">
        <v>105</v>
      </c>
      <c r="M1365" s="1" t="str">
        <f>"北京 北京市 昌平区 "</f>
        <v xml:space="preserve">北京 北京市 昌平区 </v>
      </c>
      <c r="N1365" s="1" t="str">
        <f t="shared" si="441"/>
        <v>凡华云仓-城南圆通-微信视频号</v>
      </c>
      <c r="O1365" s="5" t="s">
        <v>1402</v>
      </c>
      <c r="P1365" s="6">
        <v>0.24</v>
      </c>
      <c r="Q1365" s="11">
        <v>2</v>
      </c>
      <c r="R1365" s="11"/>
      <c r="S1365" s="11"/>
      <c r="T1365" s="11"/>
      <c r="U1365" s="11">
        <f t="shared" si="448"/>
        <v>2</v>
      </c>
      <c r="W1365">
        <v>2.2000000000000002</v>
      </c>
      <c r="X1365" s="1" t="s">
        <v>105</v>
      </c>
    </row>
    <row r="1366" spans="1:24" x14ac:dyDescent="0.25">
      <c r="A1366" s="1" t="str">
        <f t="shared" si="444"/>
        <v>卡卡杜-凤凰仓</v>
      </c>
      <c r="B1366" s="1" t="str">
        <f>"CK2024102993"</f>
        <v>CK2024102993</v>
      </c>
      <c r="C1366" s="1" t="str">
        <f>"DD202410299475"</f>
        <v>DD202410299475</v>
      </c>
      <c r="D1366" s="1" t="str">
        <f>"CK2024102915263"</f>
        <v>CK2024102915263</v>
      </c>
      <c r="E1366" s="1" t="str">
        <f>"3723627777343489280"</f>
        <v>3723627777343489280</v>
      </c>
      <c r="F1366" s="1" t="str">
        <f t="shared" si="445"/>
        <v>花都四部-凤凰仓</v>
      </c>
      <c r="G1366" s="1" t="str">
        <f t="shared" si="433"/>
        <v>卡卡杜企业店（视频号）</v>
      </c>
      <c r="H1366" s="1" t="str">
        <f t="shared" si="446"/>
        <v>正常订单</v>
      </c>
      <c r="I1366" s="1" t="str">
        <f t="shared" si="447"/>
        <v>已发货</v>
      </c>
      <c r="J1366" s="1" t="str">
        <f t="shared" ref="J1366:J1370" si="453">"2"</f>
        <v>2</v>
      </c>
      <c r="K1366" s="1">
        <v>2</v>
      </c>
      <c r="L1366" s="1" t="s">
        <v>36</v>
      </c>
      <c r="M1366" s="1" t="str">
        <f>"安徽省 六安市 裕安区 "</f>
        <v xml:space="preserve">安徽省 六安市 裕安区 </v>
      </c>
      <c r="N1366" s="1" t="str">
        <f t="shared" si="441"/>
        <v>凡华云仓-城南圆通-微信视频号</v>
      </c>
      <c r="O1366" s="5" t="s">
        <v>1403</v>
      </c>
      <c r="P1366" s="6">
        <v>0.17</v>
      </c>
      <c r="Q1366" s="11">
        <v>2</v>
      </c>
      <c r="R1366" s="11"/>
      <c r="S1366" s="11"/>
      <c r="T1366" s="11"/>
      <c r="U1366" s="11">
        <f t="shared" si="448"/>
        <v>2</v>
      </c>
      <c r="W1366">
        <v>2.2000000000000002</v>
      </c>
      <c r="X1366" s="1" t="s">
        <v>36</v>
      </c>
    </row>
    <row r="1367" spans="1:24" x14ac:dyDescent="0.25">
      <c r="A1367" s="1" t="str">
        <f t="shared" si="444"/>
        <v>卡卡杜-凤凰仓</v>
      </c>
      <c r="B1367" s="1" t="str">
        <f>"CK20241029106"</f>
        <v>CK20241029106</v>
      </c>
      <c r="C1367" s="1" t="str">
        <f>"DD202410299488"</f>
        <v>DD202410299488</v>
      </c>
      <c r="D1367" s="1" t="str">
        <f>"CK2024102915262"</f>
        <v>CK2024102915262</v>
      </c>
      <c r="E1367" s="1" t="str">
        <f>"3723627757256707072"</f>
        <v>3723627757256707072</v>
      </c>
      <c r="F1367" s="1" t="str">
        <f t="shared" si="445"/>
        <v>花都四部-凤凰仓</v>
      </c>
      <c r="G1367" s="1" t="str">
        <f t="shared" ref="G1367:G1430" si="454">"卡卡杜企业店（视频号）"</f>
        <v>卡卡杜企业店（视频号）</v>
      </c>
      <c r="H1367" s="1" t="str">
        <f t="shared" si="446"/>
        <v>正常订单</v>
      </c>
      <c r="I1367" s="1" t="str">
        <f t="shared" si="447"/>
        <v>已发货</v>
      </c>
      <c r="J1367" s="1" t="str">
        <f t="shared" si="453"/>
        <v>2</v>
      </c>
      <c r="K1367" s="1">
        <v>2</v>
      </c>
      <c r="L1367" s="1" t="s">
        <v>66</v>
      </c>
      <c r="M1367" s="1" t="str">
        <f>"内蒙古自治区 呼伦贝尔市 海拉尔区 "</f>
        <v xml:space="preserve">内蒙古自治区 呼伦贝尔市 海拉尔区 </v>
      </c>
      <c r="N1367" s="1" t="str">
        <f t="shared" si="441"/>
        <v>凡华云仓-城南圆通-微信视频号</v>
      </c>
      <c r="O1367" s="5" t="s">
        <v>1404</v>
      </c>
      <c r="P1367" s="6">
        <v>0.17</v>
      </c>
      <c r="Q1367" s="11">
        <v>2</v>
      </c>
      <c r="R1367" s="11"/>
      <c r="S1367" s="11"/>
      <c r="T1367" s="11"/>
      <c r="U1367" s="11">
        <f t="shared" si="448"/>
        <v>2</v>
      </c>
      <c r="W1367">
        <v>2.2000000000000002</v>
      </c>
      <c r="X1367" s="1" t="s">
        <v>66</v>
      </c>
    </row>
    <row r="1368" spans="1:24" x14ac:dyDescent="0.25">
      <c r="A1368" s="1" t="str">
        <f t="shared" si="444"/>
        <v>卡卡杜-凤凰仓</v>
      </c>
      <c r="B1368" s="1" t="str">
        <f>"CK20241029308"</f>
        <v>CK20241029308</v>
      </c>
      <c r="C1368" s="1" t="str">
        <f>"DD202410299899"</f>
        <v>DD202410299899</v>
      </c>
      <c r="D1368" s="1" t="str">
        <f>"CK2024102915261"</f>
        <v>CK2024102915261</v>
      </c>
      <c r="E1368" s="1" t="str">
        <f>"3723627771789972480"</f>
        <v>3723627771789972480</v>
      </c>
      <c r="F1368" s="1" t="str">
        <f t="shared" si="445"/>
        <v>花都四部-凤凰仓</v>
      </c>
      <c r="G1368" s="1" t="str">
        <f t="shared" si="454"/>
        <v>卡卡杜企业店（视频号）</v>
      </c>
      <c r="H1368" s="1" t="str">
        <f t="shared" si="446"/>
        <v>正常订单</v>
      </c>
      <c r="I1368" s="1" t="str">
        <f t="shared" si="447"/>
        <v>已发货</v>
      </c>
      <c r="J1368" s="1" t="str">
        <f>"3"</f>
        <v>3</v>
      </c>
      <c r="K1368" s="1">
        <v>2</v>
      </c>
      <c r="L1368" s="1" t="s">
        <v>18</v>
      </c>
      <c r="M1368" s="1" t="str">
        <f>"广东省 广州市 番禺区 "</f>
        <v xml:space="preserve">广东省 广州市 番禺区 </v>
      </c>
      <c r="N1368" s="1" t="str">
        <f t="shared" si="441"/>
        <v>凡华云仓-城南圆通-微信视频号</v>
      </c>
      <c r="O1368" s="5" t="s">
        <v>1405</v>
      </c>
      <c r="P1368" s="6">
        <v>0.24</v>
      </c>
      <c r="Q1368" s="11">
        <v>2</v>
      </c>
      <c r="R1368" s="11"/>
      <c r="S1368" s="11"/>
      <c r="T1368" s="11"/>
      <c r="U1368" s="11">
        <f t="shared" si="448"/>
        <v>2</v>
      </c>
      <c r="W1368">
        <v>2.2000000000000002</v>
      </c>
      <c r="X1368" s="1" t="s">
        <v>18</v>
      </c>
    </row>
    <row r="1369" spans="1:24" x14ac:dyDescent="0.25">
      <c r="A1369" s="1" t="str">
        <f t="shared" si="444"/>
        <v>卡卡杜-凤凰仓</v>
      </c>
      <c r="B1369" s="1" t="str">
        <f>"CK20241029140"</f>
        <v>CK20241029140</v>
      </c>
      <c r="C1369" s="1" t="str">
        <f>"DD202410299522"</f>
        <v>DD202410299522</v>
      </c>
      <c r="D1369" s="1" t="str">
        <f>"CK2024102915260"</f>
        <v>CK2024102915260</v>
      </c>
      <c r="E1369" s="1" t="str">
        <f>"3723627772366161152"</f>
        <v>3723627772366161152</v>
      </c>
      <c r="F1369" s="1" t="str">
        <f t="shared" si="445"/>
        <v>花都四部-凤凰仓</v>
      </c>
      <c r="G1369" s="1" t="str">
        <f t="shared" si="454"/>
        <v>卡卡杜企业店（视频号）</v>
      </c>
      <c r="H1369" s="1" t="str">
        <f t="shared" si="446"/>
        <v>正常订单</v>
      </c>
      <c r="I1369" s="1" t="str">
        <f t="shared" si="447"/>
        <v>已发货</v>
      </c>
      <c r="J1369" s="1" t="str">
        <f t="shared" si="453"/>
        <v>2</v>
      </c>
      <c r="K1369" s="1">
        <v>2</v>
      </c>
      <c r="L1369" s="1" t="s">
        <v>105</v>
      </c>
      <c r="M1369" s="1" t="str">
        <f>"北京 北京市 海淀区 "</f>
        <v xml:space="preserve">北京 北京市 海淀区 </v>
      </c>
      <c r="N1369" s="1" t="str">
        <f t="shared" si="441"/>
        <v>凡华云仓-城南圆通-微信视频号</v>
      </c>
      <c r="O1369" s="5" t="s">
        <v>1406</v>
      </c>
      <c r="P1369" s="6">
        <v>0.17</v>
      </c>
      <c r="Q1369" s="11">
        <v>2</v>
      </c>
      <c r="R1369" s="11"/>
      <c r="S1369" s="11"/>
      <c r="T1369" s="11"/>
      <c r="U1369" s="11">
        <f t="shared" si="448"/>
        <v>2</v>
      </c>
      <c r="W1369">
        <v>2.2000000000000002</v>
      </c>
      <c r="X1369" s="1" t="s">
        <v>105</v>
      </c>
    </row>
    <row r="1370" spans="1:24" x14ac:dyDescent="0.25">
      <c r="A1370" s="1" t="str">
        <f t="shared" si="444"/>
        <v>卡卡杜-凤凰仓</v>
      </c>
      <c r="B1370" s="1" t="str">
        <f>"CK20241029156"</f>
        <v>CK20241029156</v>
      </c>
      <c r="C1370" s="1" t="str">
        <f>"DD202410299538"</f>
        <v>DD202410299538</v>
      </c>
      <c r="D1370" s="1" t="str">
        <f>"CK2024102915259"</f>
        <v>CK2024102915259</v>
      </c>
      <c r="E1370" s="1" t="str">
        <f>"3723627771309458688"</f>
        <v>3723627771309458688</v>
      </c>
      <c r="F1370" s="1" t="str">
        <f t="shared" si="445"/>
        <v>花都四部-凤凰仓</v>
      </c>
      <c r="G1370" s="1" t="str">
        <f t="shared" si="454"/>
        <v>卡卡杜企业店（视频号）</v>
      </c>
      <c r="H1370" s="1" t="str">
        <f t="shared" si="446"/>
        <v>正常订单</v>
      </c>
      <c r="I1370" s="1" t="str">
        <f t="shared" si="447"/>
        <v>已发货</v>
      </c>
      <c r="J1370" s="1" t="str">
        <f t="shared" si="453"/>
        <v>2</v>
      </c>
      <c r="K1370" s="1">
        <v>2</v>
      </c>
      <c r="L1370" s="1" t="s">
        <v>47</v>
      </c>
      <c r="M1370" s="1" t="str">
        <f>"重庆 重庆市 九龙坡区 "</f>
        <v xml:space="preserve">重庆 重庆市 九龙坡区 </v>
      </c>
      <c r="N1370" s="1" t="str">
        <f t="shared" si="441"/>
        <v>凡华云仓-城南圆通-微信视频号</v>
      </c>
      <c r="O1370" s="5" t="s">
        <v>1407</v>
      </c>
      <c r="P1370" s="6">
        <v>0.17</v>
      </c>
      <c r="Q1370" s="11">
        <v>2</v>
      </c>
      <c r="R1370" s="11"/>
      <c r="S1370" s="11"/>
      <c r="T1370" s="11"/>
      <c r="U1370" s="11">
        <f t="shared" si="448"/>
        <v>2</v>
      </c>
      <c r="W1370">
        <v>2.2000000000000002</v>
      </c>
      <c r="X1370" s="1" t="s">
        <v>47</v>
      </c>
    </row>
    <row r="1371" spans="1:24" x14ac:dyDescent="0.25">
      <c r="A1371" s="1" t="str">
        <f t="shared" si="444"/>
        <v>卡卡杜-凤凰仓</v>
      </c>
      <c r="B1371" s="1" t="str">
        <f>"CK20241029309"</f>
        <v>CK20241029309</v>
      </c>
      <c r="C1371" s="1" t="str">
        <f>"DD202410299901"</f>
        <v>DD202410299901</v>
      </c>
      <c r="D1371" s="1" t="str">
        <f>"CK2024102915258"</f>
        <v>CK2024102915258</v>
      </c>
      <c r="E1371" s="1" t="str">
        <f>"3723627772927151104"</f>
        <v>3723627772927151104</v>
      </c>
      <c r="F1371" s="1" t="str">
        <f t="shared" si="445"/>
        <v>花都四部-凤凰仓</v>
      </c>
      <c r="G1371" s="1" t="str">
        <f t="shared" si="454"/>
        <v>卡卡杜企业店（视频号）</v>
      </c>
      <c r="H1371" s="1" t="str">
        <f t="shared" si="446"/>
        <v>正常订单</v>
      </c>
      <c r="I1371" s="1" t="str">
        <f t="shared" si="447"/>
        <v>已发货</v>
      </c>
      <c r="J1371" s="1" t="str">
        <f t="shared" ref="J1371:J1377" si="455">"3"</f>
        <v>3</v>
      </c>
      <c r="K1371" s="1">
        <v>2</v>
      </c>
      <c r="L1371" s="1" t="s">
        <v>105</v>
      </c>
      <c r="M1371" s="1" t="str">
        <f>"北京 北京市 房山区 "</f>
        <v xml:space="preserve">北京 北京市 房山区 </v>
      </c>
      <c r="N1371" s="1" t="str">
        <f t="shared" si="441"/>
        <v>凡华云仓-城南圆通-微信视频号</v>
      </c>
      <c r="O1371" s="5" t="s">
        <v>1408</v>
      </c>
      <c r="P1371" s="6">
        <v>0.24</v>
      </c>
      <c r="Q1371" s="11">
        <v>2</v>
      </c>
      <c r="R1371" s="11"/>
      <c r="S1371" s="11"/>
      <c r="T1371" s="11"/>
      <c r="U1371" s="11">
        <f t="shared" si="448"/>
        <v>2</v>
      </c>
      <c r="W1371">
        <v>2.2000000000000002</v>
      </c>
      <c r="X1371" s="1" t="s">
        <v>105</v>
      </c>
    </row>
    <row r="1372" spans="1:24" x14ac:dyDescent="0.25">
      <c r="A1372" s="1" t="str">
        <f t="shared" si="444"/>
        <v>卡卡杜-凤凰仓</v>
      </c>
      <c r="B1372" s="1" t="str">
        <f>"CK20241029135"</f>
        <v>CK20241029135</v>
      </c>
      <c r="C1372" s="1" t="str">
        <f>"DD202410299516"</f>
        <v>DD202410299516</v>
      </c>
      <c r="D1372" s="1" t="str">
        <f>"CK2024102915257"</f>
        <v>CK2024102915257</v>
      </c>
      <c r="E1372" s="1" t="str">
        <f>"3723627769779062016"</f>
        <v>3723627769779062016</v>
      </c>
      <c r="F1372" s="1" t="str">
        <f t="shared" si="445"/>
        <v>花都四部-凤凰仓</v>
      </c>
      <c r="G1372" s="1" t="str">
        <f t="shared" si="454"/>
        <v>卡卡杜企业店（视频号）</v>
      </c>
      <c r="H1372" s="1" t="str">
        <f t="shared" si="446"/>
        <v>正常订单</v>
      </c>
      <c r="I1372" s="1" t="str">
        <f t="shared" si="447"/>
        <v>已发货</v>
      </c>
      <c r="J1372" s="1" t="str">
        <f>"2"</f>
        <v>2</v>
      </c>
      <c r="K1372" s="1">
        <v>2</v>
      </c>
      <c r="L1372" s="1" t="s">
        <v>182</v>
      </c>
      <c r="M1372" s="1" t="str">
        <f>"新疆维吾尔自治区 伊犁哈萨克自治州 伊宁市 "</f>
        <v xml:space="preserve">新疆维吾尔自治区 伊犁哈萨克自治州 伊宁市 </v>
      </c>
      <c r="N1372" s="1" t="str">
        <f t="shared" si="441"/>
        <v>凡华云仓-城南圆通-微信视频号</v>
      </c>
      <c r="O1372" s="5" t="s">
        <v>1409</v>
      </c>
      <c r="P1372" s="6">
        <v>0.17</v>
      </c>
      <c r="Q1372" s="11">
        <v>17</v>
      </c>
      <c r="R1372" s="11"/>
      <c r="S1372" s="11"/>
      <c r="T1372" s="11"/>
      <c r="U1372" s="11">
        <f t="shared" si="448"/>
        <v>17</v>
      </c>
      <c r="W1372">
        <v>17</v>
      </c>
      <c r="X1372" s="1" t="s">
        <v>182</v>
      </c>
    </row>
    <row r="1373" spans="1:24" x14ac:dyDescent="0.25">
      <c r="A1373" s="1" t="str">
        <f t="shared" si="444"/>
        <v>卡卡杜-凤凰仓</v>
      </c>
      <c r="B1373" s="1" t="str">
        <f>"CK20241029136"</f>
        <v>CK20241029136</v>
      </c>
      <c r="C1373" s="1" t="str">
        <f>"DD202410299517"</f>
        <v>DD202410299517</v>
      </c>
      <c r="D1373" s="1" t="str">
        <f>"CK2024102915256"</f>
        <v>CK2024102915256</v>
      </c>
      <c r="E1373" s="1" t="str">
        <f>"3723627771457832448"</f>
        <v>3723627771457832448</v>
      </c>
      <c r="F1373" s="1" t="str">
        <f t="shared" si="445"/>
        <v>花都四部-凤凰仓</v>
      </c>
      <c r="G1373" s="1" t="str">
        <f t="shared" si="454"/>
        <v>卡卡杜企业店（视频号）</v>
      </c>
      <c r="H1373" s="1" t="str">
        <f t="shared" si="446"/>
        <v>正常订单</v>
      </c>
      <c r="I1373" s="1" t="str">
        <f t="shared" si="447"/>
        <v>已发货</v>
      </c>
      <c r="J1373" s="1" t="str">
        <f>"2"</f>
        <v>2</v>
      </c>
      <c r="K1373" s="1">
        <v>2</v>
      </c>
      <c r="L1373" s="1" t="s">
        <v>105</v>
      </c>
      <c r="M1373" s="1" t="str">
        <f>"北京 北京市 西城区 "</f>
        <v xml:space="preserve">北京 北京市 西城区 </v>
      </c>
      <c r="N1373" s="1" t="str">
        <f t="shared" si="441"/>
        <v>凡华云仓-城南圆通-微信视频号</v>
      </c>
      <c r="O1373" s="5" t="s">
        <v>1410</v>
      </c>
      <c r="P1373" s="6">
        <v>0.17</v>
      </c>
      <c r="Q1373" s="11">
        <v>2</v>
      </c>
      <c r="R1373" s="11"/>
      <c r="S1373" s="11"/>
      <c r="T1373" s="11"/>
      <c r="U1373" s="11">
        <f t="shared" si="448"/>
        <v>2</v>
      </c>
      <c r="W1373">
        <v>2.2000000000000002</v>
      </c>
      <c r="X1373" s="1" t="s">
        <v>105</v>
      </c>
    </row>
    <row r="1374" spans="1:24" x14ac:dyDescent="0.25">
      <c r="A1374" s="1" t="str">
        <f t="shared" si="444"/>
        <v>卡卡杜-凤凰仓</v>
      </c>
      <c r="B1374" s="1" t="str">
        <f>"CK20241029316"</f>
        <v>CK20241029316</v>
      </c>
      <c r="C1374" s="1" t="str">
        <f>"DD202410299908"</f>
        <v>DD202410299908</v>
      </c>
      <c r="D1374" s="1" t="str">
        <f>"CK2024102915255"</f>
        <v>CK2024102915255</v>
      </c>
      <c r="E1374" s="1" t="str">
        <f>"3723627754819292160"</f>
        <v>3723627754819292160</v>
      </c>
      <c r="F1374" s="1" t="str">
        <f t="shared" si="445"/>
        <v>花都四部-凤凰仓</v>
      </c>
      <c r="G1374" s="1" t="str">
        <f t="shared" si="454"/>
        <v>卡卡杜企业店（视频号）</v>
      </c>
      <c r="H1374" s="1" t="str">
        <f t="shared" si="446"/>
        <v>正常订单</v>
      </c>
      <c r="I1374" s="1" t="str">
        <f t="shared" si="447"/>
        <v>已发货</v>
      </c>
      <c r="J1374" s="1" t="str">
        <f t="shared" si="455"/>
        <v>3</v>
      </c>
      <c r="K1374" s="1">
        <v>2</v>
      </c>
      <c r="L1374" s="1" t="s">
        <v>105</v>
      </c>
      <c r="M1374" s="1" t="str">
        <f>"北京 北京市 昌平区 "</f>
        <v xml:space="preserve">北京 北京市 昌平区 </v>
      </c>
      <c r="N1374" s="1" t="str">
        <f t="shared" si="441"/>
        <v>凡华云仓-城南圆通-微信视频号</v>
      </c>
      <c r="O1374" s="5" t="s">
        <v>1411</v>
      </c>
      <c r="P1374" s="6">
        <v>0.24</v>
      </c>
      <c r="Q1374" s="11">
        <v>2</v>
      </c>
      <c r="R1374" s="11"/>
      <c r="S1374" s="11"/>
      <c r="T1374" s="11"/>
      <c r="U1374" s="11">
        <f t="shared" si="448"/>
        <v>2</v>
      </c>
      <c r="W1374">
        <v>2.2000000000000002</v>
      </c>
      <c r="X1374" s="1" t="s">
        <v>105</v>
      </c>
    </row>
    <row r="1375" spans="1:24" x14ac:dyDescent="0.25">
      <c r="A1375" s="1" t="str">
        <f t="shared" si="444"/>
        <v>卡卡杜-凤凰仓</v>
      </c>
      <c r="B1375" s="1" t="str">
        <f>"CK20241029310"</f>
        <v>CK20241029310</v>
      </c>
      <c r="C1375" s="1" t="str">
        <f>"DD202410299902"</f>
        <v>DD202410299902</v>
      </c>
      <c r="D1375" s="1" t="str">
        <f>"CK2024102915254"</f>
        <v>CK2024102915254</v>
      </c>
      <c r="E1375" s="1" t="str">
        <f>"3723627770872992768"</f>
        <v>3723627770872992768</v>
      </c>
      <c r="F1375" s="1" t="str">
        <f t="shared" si="445"/>
        <v>花都四部-凤凰仓</v>
      </c>
      <c r="G1375" s="1" t="str">
        <f t="shared" si="454"/>
        <v>卡卡杜企业店（视频号）</v>
      </c>
      <c r="H1375" s="1" t="str">
        <f t="shared" si="446"/>
        <v>正常订单</v>
      </c>
      <c r="I1375" s="1" t="str">
        <f t="shared" si="447"/>
        <v>已发货</v>
      </c>
      <c r="J1375" s="1" t="str">
        <f t="shared" si="455"/>
        <v>3</v>
      </c>
      <c r="K1375" s="1">
        <v>2</v>
      </c>
      <c r="L1375" s="1" t="s">
        <v>18</v>
      </c>
      <c r="M1375" s="1" t="str">
        <f>"广东省 广州市 海珠区 "</f>
        <v xml:space="preserve">广东省 广州市 海珠区 </v>
      </c>
      <c r="N1375" s="1" t="str">
        <f t="shared" si="441"/>
        <v>凡华云仓-城南圆通-微信视频号</v>
      </c>
      <c r="O1375" s="5" t="s">
        <v>1412</v>
      </c>
      <c r="P1375" s="6">
        <v>0.24</v>
      </c>
      <c r="Q1375" s="11">
        <v>2</v>
      </c>
      <c r="R1375" s="11"/>
      <c r="S1375" s="11"/>
      <c r="T1375" s="11"/>
      <c r="U1375" s="11">
        <f t="shared" si="448"/>
        <v>2</v>
      </c>
      <c r="W1375">
        <v>2.2000000000000002</v>
      </c>
      <c r="X1375" s="1" t="s">
        <v>18</v>
      </c>
    </row>
    <row r="1376" spans="1:24" x14ac:dyDescent="0.25">
      <c r="A1376" s="1" t="str">
        <f t="shared" si="444"/>
        <v>卡卡杜-凤凰仓</v>
      </c>
      <c r="B1376" s="1" t="str">
        <f>"CK20241029313"</f>
        <v>CK20241029313</v>
      </c>
      <c r="C1376" s="1" t="str">
        <f>"DD202410299906"</f>
        <v>DD202410299906</v>
      </c>
      <c r="D1376" s="1" t="str">
        <f>"CK2024102915253"</f>
        <v>CK2024102915253</v>
      </c>
      <c r="E1376" s="1" t="str">
        <f>"3723627756522178048"</f>
        <v>3723627756522178048</v>
      </c>
      <c r="F1376" s="1" t="str">
        <f t="shared" si="445"/>
        <v>花都四部-凤凰仓</v>
      </c>
      <c r="G1376" s="1" t="str">
        <f t="shared" si="454"/>
        <v>卡卡杜企业店（视频号）</v>
      </c>
      <c r="H1376" s="1" t="str">
        <f t="shared" si="446"/>
        <v>正常订单</v>
      </c>
      <c r="I1376" s="1" t="str">
        <f t="shared" si="447"/>
        <v>已发货</v>
      </c>
      <c r="J1376" s="1" t="str">
        <f t="shared" si="455"/>
        <v>3</v>
      </c>
      <c r="K1376" s="1">
        <v>2</v>
      </c>
      <c r="L1376" s="1" t="s">
        <v>36</v>
      </c>
      <c r="M1376" s="1" t="str">
        <f>"安徽省 合肥市 蜀山区 "</f>
        <v xml:space="preserve">安徽省 合肥市 蜀山区 </v>
      </c>
      <c r="N1376" s="1" t="str">
        <f t="shared" si="441"/>
        <v>凡华云仓-城南圆通-微信视频号</v>
      </c>
      <c r="O1376" s="5" t="s">
        <v>1413</v>
      </c>
      <c r="P1376" s="6">
        <v>0.24</v>
      </c>
      <c r="Q1376" s="11">
        <v>2</v>
      </c>
      <c r="R1376" s="11"/>
      <c r="S1376" s="11"/>
      <c r="T1376" s="11"/>
      <c r="U1376" s="11">
        <f t="shared" si="448"/>
        <v>2</v>
      </c>
      <c r="W1376">
        <v>2.2000000000000002</v>
      </c>
      <c r="X1376" s="1" t="s">
        <v>36</v>
      </c>
    </row>
    <row r="1377" spans="1:24" x14ac:dyDescent="0.25">
      <c r="A1377" s="1" t="str">
        <f t="shared" si="444"/>
        <v>卡卡杜-凤凰仓</v>
      </c>
      <c r="B1377" s="1" t="str">
        <f>"CK20241029311"</f>
        <v>CK20241029311</v>
      </c>
      <c r="C1377" s="1" t="str">
        <f>"DD202410299903"</f>
        <v>DD202410299903</v>
      </c>
      <c r="D1377" s="1" t="str">
        <f>"CK2024102915252"</f>
        <v>CK2024102915252</v>
      </c>
      <c r="E1377" s="1" t="str">
        <f>"3723627769824675328"</f>
        <v>3723627769824675328</v>
      </c>
      <c r="F1377" s="1" t="str">
        <f t="shared" si="445"/>
        <v>花都四部-凤凰仓</v>
      </c>
      <c r="G1377" s="1" t="str">
        <f t="shared" si="454"/>
        <v>卡卡杜企业店（视频号）</v>
      </c>
      <c r="H1377" s="1" t="str">
        <f t="shared" si="446"/>
        <v>正常订单</v>
      </c>
      <c r="I1377" s="1" t="str">
        <f t="shared" si="447"/>
        <v>已发货</v>
      </c>
      <c r="J1377" s="1" t="str">
        <f t="shared" si="455"/>
        <v>3</v>
      </c>
      <c r="K1377" s="1">
        <v>2</v>
      </c>
      <c r="L1377" s="1" t="s">
        <v>74</v>
      </c>
      <c r="M1377" s="1" t="str">
        <f>"上海 上海市 青浦区 "</f>
        <v xml:space="preserve">上海 上海市 青浦区 </v>
      </c>
      <c r="N1377" s="1" t="str">
        <f t="shared" si="441"/>
        <v>凡华云仓-城南圆通-微信视频号</v>
      </c>
      <c r="O1377" s="5" t="s">
        <v>1414</v>
      </c>
      <c r="P1377" s="6">
        <v>0.24</v>
      </c>
      <c r="Q1377" s="11">
        <v>2</v>
      </c>
      <c r="R1377" s="11"/>
      <c r="S1377" s="11"/>
      <c r="T1377" s="11"/>
      <c r="U1377" s="11">
        <f t="shared" si="448"/>
        <v>2</v>
      </c>
      <c r="W1377">
        <v>2.2000000000000002</v>
      </c>
      <c r="X1377" s="1" t="s">
        <v>74</v>
      </c>
    </row>
    <row r="1378" spans="1:24" x14ac:dyDescent="0.25">
      <c r="A1378" s="1" t="str">
        <f t="shared" si="444"/>
        <v>卡卡杜-凤凰仓</v>
      </c>
      <c r="B1378" s="1" t="str">
        <f>"CK20241029145"</f>
        <v>CK20241029145</v>
      </c>
      <c r="C1378" s="1" t="str">
        <f>"DD202410299528"</f>
        <v>DD202410299528</v>
      </c>
      <c r="D1378" s="1" t="str">
        <f>"CK2024102915251"</f>
        <v>CK2024102915251</v>
      </c>
      <c r="E1378" s="1" t="str">
        <f>"3723627767049094400"</f>
        <v>3723627767049094400</v>
      </c>
      <c r="F1378" s="1" t="str">
        <f t="shared" si="445"/>
        <v>花都四部-凤凰仓</v>
      </c>
      <c r="G1378" s="1" t="str">
        <f t="shared" si="454"/>
        <v>卡卡杜企业店（视频号）</v>
      </c>
      <c r="H1378" s="1" t="str">
        <f t="shared" si="446"/>
        <v>正常订单</v>
      </c>
      <c r="I1378" s="1" t="str">
        <f t="shared" si="447"/>
        <v>已发货</v>
      </c>
      <c r="J1378" s="1" t="str">
        <f t="shared" ref="J1378:J1381" si="456">"2"</f>
        <v>2</v>
      </c>
      <c r="K1378" s="1">
        <v>2</v>
      </c>
      <c r="L1378" s="1" t="s">
        <v>20</v>
      </c>
      <c r="M1378" s="1" t="str">
        <f>"浙江省 杭州市 临安市 "</f>
        <v xml:space="preserve">浙江省 杭州市 临安市 </v>
      </c>
      <c r="N1378" s="1" t="str">
        <f t="shared" si="441"/>
        <v>凡华云仓-城南圆通-微信视频号</v>
      </c>
      <c r="O1378" s="5" t="s">
        <v>1415</v>
      </c>
      <c r="P1378" s="6">
        <v>0.17</v>
      </c>
      <c r="Q1378" s="11">
        <v>2</v>
      </c>
      <c r="R1378" s="11"/>
      <c r="S1378" s="11"/>
      <c r="T1378" s="11"/>
      <c r="U1378" s="11">
        <f t="shared" si="448"/>
        <v>2</v>
      </c>
      <c r="W1378">
        <v>2.2000000000000002</v>
      </c>
      <c r="X1378" s="1" t="s">
        <v>20</v>
      </c>
    </row>
    <row r="1379" spans="1:24" x14ac:dyDescent="0.25">
      <c r="A1379" s="1" t="str">
        <f t="shared" si="444"/>
        <v>卡卡杜-凤凰仓</v>
      </c>
      <c r="B1379" s="1" t="str">
        <f>"CK20241029148"</f>
        <v>CK20241029148</v>
      </c>
      <c r="C1379" s="1" t="str">
        <f>"DD202410299530"</f>
        <v>DD202410299530</v>
      </c>
      <c r="D1379" s="1" t="str">
        <f>"CK2024102915250"</f>
        <v>CK2024102915250</v>
      </c>
      <c r="E1379" s="1" t="str">
        <f>"3723627766463204352"</f>
        <v>3723627766463204352</v>
      </c>
      <c r="F1379" s="1" t="str">
        <f t="shared" si="445"/>
        <v>花都四部-凤凰仓</v>
      </c>
      <c r="G1379" s="1" t="str">
        <f t="shared" si="454"/>
        <v>卡卡杜企业店（视频号）</v>
      </c>
      <c r="H1379" s="1" t="str">
        <f t="shared" si="446"/>
        <v>正常订单</v>
      </c>
      <c r="I1379" s="1" t="str">
        <f t="shared" si="447"/>
        <v>已发货</v>
      </c>
      <c r="J1379" s="1" t="str">
        <f t="shared" si="456"/>
        <v>2</v>
      </c>
      <c r="K1379" s="1">
        <v>2</v>
      </c>
      <c r="L1379" s="1" t="s">
        <v>105</v>
      </c>
      <c r="M1379" s="1" t="str">
        <f>"北京 北京市 丰台区 "</f>
        <v xml:space="preserve">北京 北京市 丰台区 </v>
      </c>
      <c r="N1379" s="1" t="str">
        <f t="shared" si="441"/>
        <v>凡华云仓-城南圆通-微信视频号</v>
      </c>
      <c r="O1379" s="5" t="s">
        <v>1416</v>
      </c>
      <c r="P1379" s="6">
        <v>0.17</v>
      </c>
      <c r="Q1379" s="11">
        <v>2</v>
      </c>
      <c r="R1379" s="11"/>
      <c r="S1379" s="11"/>
      <c r="T1379" s="11"/>
      <c r="U1379" s="11">
        <f t="shared" si="448"/>
        <v>2</v>
      </c>
      <c r="W1379">
        <v>2.2000000000000002</v>
      </c>
      <c r="X1379" s="1" t="s">
        <v>105</v>
      </c>
    </row>
    <row r="1380" spans="1:24" x14ac:dyDescent="0.25">
      <c r="A1380" s="1" t="str">
        <f t="shared" si="444"/>
        <v>卡卡杜-凤凰仓</v>
      </c>
      <c r="B1380" s="1" t="str">
        <f>"CK20241029150"</f>
        <v>CK20241029150</v>
      </c>
      <c r="C1380" s="1" t="str">
        <f>"DD202410299532"</f>
        <v>DD202410299532</v>
      </c>
      <c r="D1380" s="1" t="str">
        <f>"CK2024102915249"</f>
        <v>CK2024102915249</v>
      </c>
      <c r="E1380" s="1" t="str">
        <f>"3723627764935431168"</f>
        <v>3723627764935431168</v>
      </c>
      <c r="F1380" s="1" t="str">
        <f t="shared" si="445"/>
        <v>花都四部-凤凰仓</v>
      </c>
      <c r="G1380" s="1" t="str">
        <f t="shared" si="454"/>
        <v>卡卡杜企业店（视频号）</v>
      </c>
      <c r="H1380" s="1" t="str">
        <f t="shared" si="446"/>
        <v>正常订单</v>
      </c>
      <c r="I1380" s="1" t="str">
        <f t="shared" si="447"/>
        <v>已发货</v>
      </c>
      <c r="J1380" s="1" t="str">
        <f t="shared" si="456"/>
        <v>2</v>
      </c>
      <c r="K1380" s="1">
        <v>2</v>
      </c>
      <c r="L1380" s="1" t="s">
        <v>16</v>
      </c>
      <c r="M1380" s="1" t="str">
        <f>"河北省 唐山市 路北区 "</f>
        <v xml:space="preserve">河北省 唐山市 路北区 </v>
      </c>
      <c r="N1380" s="1" t="str">
        <f t="shared" si="441"/>
        <v>凡华云仓-城南圆通-微信视频号</v>
      </c>
      <c r="O1380" s="5" t="s">
        <v>1417</v>
      </c>
      <c r="P1380" s="6">
        <v>0.17</v>
      </c>
      <c r="Q1380" s="11">
        <v>2</v>
      </c>
      <c r="R1380" s="11"/>
      <c r="S1380" s="11"/>
      <c r="T1380" s="11"/>
      <c r="U1380" s="11">
        <f t="shared" si="448"/>
        <v>2</v>
      </c>
      <c r="W1380">
        <v>2.2000000000000002</v>
      </c>
      <c r="X1380" s="1" t="s">
        <v>16</v>
      </c>
    </row>
    <row r="1381" spans="1:24" x14ac:dyDescent="0.25">
      <c r="A1381" s="1" t="str">
        <f t="shared" si="444"/>
        <v>卡卡杜-凤凰仓</v>
      </c>
      <c r="B1381" s="1" t="str">
        <f>"CK2024102992"</f>
        <v>CK2024102992</v>
      </c>
      <c r="C1381" s="1" t="str">
        <f>"DD202410299474"</f>
        <v>DD202410299474</v>
      </c>
      <c r="D1381" s="1" t="str">
        <f>"CK2024102915248"</f>
        <v>CK2024102915248</v>
      </c>
      <c r="E1381" s="1" t="str">
        <f>"3723627756567266817"</f>
        <v>3723627756567266817</v>
      </c>
      <c r="F1381" s="1" t="str">
        <f t="shared" si="445"/>
        <v>花都四部-凤凰仓</v>
      </c>
      <c r="G1381" s="1" t="str">
        <f t="shared" si="454"/>
        <v>卡卡杜企业店（视频号）</v>
      </c>
      <c r="H1381" s="1" t="str">
        <f t="shared" si="446"/>
        <v>正常订单</v>
      </c>
      <c r="I1381" s="1" t="str">
        <f t="shared" si="447"/>
        <v>已发货</v>
      </c>
      <c r="J1381" s="1" t="str">
        <f t="shared" si="456"/>
        <v>2</v>
      </c>
      <c r="K1381" s="1">
        <v>2</v>
      </c>
      <c r="L1381" s="1" t="s">
        <v>105</v>
      </c>
      <c r="M1381" s="1" t="str">
        <f>"北京 北京市 朝阳区 "</f>
        <v xml:space="preserve">北京 北京市 朝阳区 </v>
      </c>
      <c r="N1381" s="1" t="str">
        <f t="shared" si="441"/>
        <v>凡华云仓-城南圆通-微信视频号</v>
      </c>
      <c r="O1381" s="5" t="s">
        <v>1418</v>
      </c>
      <c r="P1381" s="6">
        <v>0.17</v>
      </c>
      <c r="Q1381" s="11">
        <v>2</v>
      </c>
      <c r="R1381" s="11"/>
      <c r="S1381" s="11"/>
      <c r="T1381" s="11"/>
      <c r="U1381" s="11">
        <f t="shared" si="448"/>
        <v>2</v>
      </c>
      <c r="W1381">
        <v>2.2000000000000002</v>
      </c>
      <c r="X1381" s="1" t="s">
        <v>105</v>
      </c>
    </row>
    <row r="1382" spans="1:24" x14ac:dyDescent="0.25">
      <c r="A1382" s="1" t="str">
        <f t="shared" si="444"/>
        <v>卡卡杜-凤凰仓</v>
      </c>
      <c r="B1382" s="1" t="str">
        <f>"CK20241029312"</f>
        <v>CK20241029312</v>
      </c>
      <c r="C1382" s="1" t="str">
        <f>"DD202410299904"</f>
        <v>DD202410299904</v>
      </c>
      <c r="D1382" s="1" t="str">
        <f>"CK2024102915247"</f>
        <v>CK2024102915247</v>
      </c>
      <c r="E1382" s="1" t="str">
        <f>"3723627762403119104"</f>
        <v>3723627762403119104</v>
      </c>
      <c r="F1382" s="1" t="str">
        <f t="shared" si="445"/>
        <v>花都四部-凤凰仓</v>
      </c>
      <c r="G1382" s="1" t="str">
        <f t="shared" si="454"/>
        <v>卡卡杜企业店（视频号）</v>
      </c>
      <c r="H1382" s="1" t="str">
        <f t="shared" si="446"/>
        <v>正常订单</v>
      </c>
      <c r="I1382" s="1" t="str">
        <f t="shared" si="447"/>
        <v>已发货</v>
      </c>
      <c r="J1382" s="1" t="str">
        <f t="shared" ref="J1382:J1385" si="457">"3"</f>
        <v>3</v>
      </c>
      <c r="K1382" s="1">
        <v>2</v>
      </c>
      <c r="L1382" s="1" t="s">
        <v>105</v>
      </c>
      <c r="M1382" s="1" t="str">
        <f>"北京 北京市 朝阳区 "</f>
        <v xml:space="preserve">北京 北京市 朝阳区 </v>
      </c>
      <c r="N1382" s="1" t="str">
        <f t="shared" si="441"/>
        <v>凡华云仓-城南圆通-微信视频号</v>
      </c>
      <c r="O1382" s="5" t="s">
        <v>1419</v>
      </c>
      <c r="P1382" s="6">
        <v>0.24</v>
      </c>
      <c r="Q1382" s="11">
        <v>2</v>
      </c>
      <c r="R1382" s="11"/>
      <c r="S1382" s="11"/>
      <c r="T1382" s="11"/>
      <c r="U1382" s="11">
        <f t="shared" si="448"/>
        <v>2</v>
      </c>
      <c r="W1382">
        <v>2.2000000000000002</v>
      </c>
      <c r="X1382" s="1" t="s">
        <v>105</v>
      </c>
    </row>
    <row r="1383" spans="1:24" x14ac:dyDescent="0.25">
      <c r="A1383" s="1" t="str">
        <f t="shared" si="444"/>
        <v>卡卡杜-凤凰仓</v>
      </c>
      <c r="B1383" s="1" t="str">
        <f>"CK20241029113"</f>
        <v>CK20241029113</v>
      </c>
      <c r="C1383" s="1" t="str">
        <f>"DD202410299495"</f>
        <v>DD202410299495</v>
      </c>
      <c r="D1383" s="1" t="str">
        <f>"CK2024102915246"</f>
        <v>CK2024102915246</v>
      </c>
      <c r="E1383" s="1" t="str">
        <f>"3723627760359179520"</f>
        <v>3723627760359179520</v>
      </c>
      <c r="F1383" s="1" t="str">
        <f t="shared" si="445"/>
        <v>花都四部-凤凰仓</v>
      </c>
      <c r="G1383" s="1" t="str">
        <f t="shared" si="454"/>
        <v>卡卡杜企业店（视频号）</v>
      </c>
      <c r="H1383" s="1" t="str">
        <f t="shared" si="446"/>
        <v>正常订单</v>
      </c>
      <c r="I1383" s="1" t="str">
        <f t="shared" si="447"/>
        <v>已发货</v>
      </c>
      <c r="J1383" s="1" t="str">
        <f t="shared" ref="J1383:J1390" si="458">"2"</f>
        <v>2</v>
      </c>
      <c r="K1383" s="1">
        <v>2</v>
      </c>
      <c r="L1383" s="1" t="s">
        <v>66</v>
      </c>
      <c r="M1383" s="1" t="str">
        <f>"内蒙古自治区 包头市 九原区 "</f>
        <v xml:space="preserve">内蒙古自治区 包头市 九原区 </v>
      </c>
      <c r="N1383" s="1" t="str">
        <f t="shared" si="441"/>
        <v>凡华云仓-城南圆通-微信视频号</v>
      </c>
      <c r="O1383" s="5" t="s">
        <v>1420</v>
      </c>
      <c r="P1383" s="6">
        <v>0.17</v>
      </c>
      <c r="Q1383" s="11">
        <v>2</v>
      </c>
      <c r="R1383" s="11"/>
      <c r="S1383" s="11"/>
      <c r="T1383" s="11"/>
      <c r="U1383" s="11">
        <f t="shared" si="448"/>
        <v>2</v>
      </c>
      <c r="W1383">
        <v>2.2000000000000002</v>
      </c>
      <c r="X1383" s="1" t="s">
        <v>66</v>
      </c>
    </row>
    <row r="1384" spans="1:24" x14ac:dyDescent="0.25">
      <c r="A1384" s="1" t="str">
        <f t="shared" si="444"/>
        <v>卡卡杜-凤凰仓</v>
      </c>
      <c r="B1384" s="1" t="str">
        <f>"CK20241029315"</f>
        <v>CK20241029315</v>
      </c>
      <c r="C1384" s="1" t="str">
        <f>"DD202410299907"</f>
        <v>DD202410299907</v>
      </c>
      <c r="D1384" s="1" t="str">
        <f>"CK2024102915245"</f>
        <v>CK2024102915245</v>
      </c>
      <c r="E1384" s="1" t="str">
        <f>"3723627756537646080"</f>
        <v>3723627756537646080</v>
      </c>
      <c r="F1384" s="1" t="str">
        <f t="shared" si="445"/>
        <v>花都四部-凤凰仓</v>
      </c>
      <c r="G1384" s="1" t="str">
        <f t="shared" si="454"/>
        <v>卡卡杜企业店（视频号）</v>
      </c>
      <c r="H1384" s="1" t="str">
        <f t="shared" si="446"/>
        <v>正常订单</v>
      </c>
      <c r="I1384" s="1" t="str">
        <f t="shared" si="447"/>
        <v>已发货</v>
      </c>
      <c r="J1384" s="1" t="str">
        <f t="shared" si="457"/>
        <v>3</v>
      </c>
      <c r="K1384" s="1">
        <v>2</v>
      </c>
      <c r="L1384" s="1" t="s">
        <v>54</v>
      </c>
      <c r="M1384" s="1" t="str">
        <f>"黑龙江省 大庆市 让胡路区 "</f>
        <v xml:space="preserve">黑龙江省 大庆市 让胡路区 </v>
      </c>
      <c r="N1384" s="1" t="str">
        <f t="shared" si="441"/>
        <v>凡华云仓-城南圆通-微信视频号</v>
      </c>
      <c r="O1384" s="5" t="s">
        <v>1421</v>
      </c>
      <c r="P1384" s="6">
        <v>0.24</v>
      </c>
      <c r="Q1384" s="11">
        <v>2</v>
      </c>
      <c r="R1384" s="11"/>
      <c r="S1384" s="11"/>
      <c r="T1384" s="11"/>
      <c r="U1384" s="11">
        <f t="shared" si="448"/>
        <v>2</v>
      </c>
      <c r="W1384">
        <v>2.2000000000000002</v>
      </c>
      <c r="X1384" s="1" t="s">
        <v>54</v>
      </c>
    </row>
    <row r="1385" spans="1:24" x14ac:dyDescent="0.25">
      <c r="A1385" s="1" t="str">
        <f t="shared" si="444"/>
        <v>卡卡杜-凤凰仓</v>
      </c>
      <c r="B1385" s="1" t="str">
        <f>"CK20241029314"</f>
        <v>CK20241029314</v>
      </c>
      <c r="C1385" s="1" t="str">
        <f>"DD202410299905"</f>
        <v>DD202410299905</v>
      </c>
      <c r="D1385" s="1" t="str">
        <f>"CK2024102915244"</f>
        <v>CK2024102915244</v>
      </c>
      <c r="E1385" s="1" t="str">
        <f>"3723627760377794560"</f>
        <v>3723627760377794560</v>
      </c>
      <c r="F1385" s="1" t="str">
        <f t="shared" si="445"/>
        <v>花都四部-凤凰仓</v>
      </c>
      <c r="G1385" s="1" t="str">
        <f t="shared" si="454"/>
        <v>卡卡杜企业店（视频号）</v>
      </c>
      <c r="H1385" s="1" t="str">
        <f t="shared" si="446"/>
        <v>正常订单</v>
      </c>
      <c r="I1385" s="1" t="str">
        <f t="shared" si="447"/>
        <v>已发货</v>
      </c>
      <c r="J1385" s="1" t="str">
        <f t="shared" si="457"/>
        <v>3</v>
      </c>
      <c r="K1385" s="1">
        <v>2</v>
      </c>
      <c r="L1385" s="1" t="s">
        <v>18</v>
      </c>
      <c r="M1385" s="1" t="str">
        <f>"广东省 深圳市 坪山区 "</f>
        <v xml:space="preserve">广东省 深圳市 坪山区 </v>
      </c>
      <c r="N1385" s="1" t="str">
        <f t="shared" si="441"/>
        <v>凡华云仓-城南圆通-微信视频号</v>
      </c>
      <c r="O1385" s="5" t="s">
        <v>1422</v>
      </c>
      <c r="P1385" s="6">
        <v>0.24</v>
      </c>
      <c r="Q1385" s="11">
        <v>2</v>
      </c>
      <c r="R1385" s="11"/>
      <c r="S1385" s="11"/>
      <c r="T1385" s="11"/>
      <c r="U1385" s="11">
        <f t="shared" si="448"/>
        <v>2</v>
      </c>
      <c r="W1385">
        <v>2.2000000000000002</v>
      </c>
      <c r="X1385" s="1" t="s">
        <v>18</v>
      </c>
    </row>
    <row r="1386" spans="1:24" x14ac:dyDescent="0.25">
      <c r="A1386" s="1" t="str">
        <f t="shared" si="444"/>
        <v>卡卡杜-凤凰仓</v>
      </c>
      <c r="B1386" s="1" t="str">
        <f>"CK20241029110"</f>
        <v>CK20241029110</v>
      </c>
      <c r="C1386" s="1" t="str">
        <f>"DD202410299491"</f>
        <v>DD202410299491</v>
      </c>
      <c r="D1386" s="1" t="str">
        <f>"CK2024102915243"</f>
        <v>CK2024102915243</v>
      </c>
      <c r="E1386" s="1" t="str">
        <f>"3723627760373597441"</f>
        <v>3723627760373597441</v>
      </c>
      <c r="F1386" s="1" t="str">
        <f t="shared" si="445"/>
        <v>花都四部-凤凰仓</v>
      </c>
      <c r="G1386" s="1" t="str">
        <f t="shared" si="454"/>
        <v>卡卡杜企业店（视频号）</v>
      </c>
      <c r="H1386" s="1" t="str">
        <f t="shared" si="446"/>
        <v>正常订单</v>
      </c>
      <c r="I1386" s="1" t="str">
        <f t="shared" si="447"/>
        <v>已发货</v>
      </c>
      <c r="J1386" s="1" t="str">
        <f t="shared" si="458"/>
        <v>2</v>
      </c>
      <c r="K1386" s="1">
        <v>2</v>
      </c>
      <c r="L1386" s="1" t="s">
        <v>47</v>
      </c>
      <c r="M1386" s="1" t="str">
        <f>"重庆 重庆市 璧山区 "</f>
        <v xml:space="preserve">重庆 重庆市 璧山区 </v>
      </c>
      <c r="N1386" s="1" t="str">
        <f t="shared" si="441"/>
        <v>凡华云仓-城南圆通-微信视频号</v>
      </c>
      <c r="O1386" s="5" t="s">
        <v>1423</v>
      </c>
      <c r="P1386" s="6">
        <v>0.17</v>
      </c>
      <c r="Q1386" s="11">
        <v>2</v>
      </c>
      <c r="R1386" s="11"/>
      <c r="S1386" s="11"/>
      <c r="T1386" s="11"/>
      <c r="U1386" s="11">
        <f t="shared" si="448"/>
        <v>2</v>
      </c>
      <c r="W1386">
        <v>2.2000000000000002</v>
      </c>
      <c r="X1386" s="1" t="s">
        <v>47</v>
      </c>
    </row>
    <row r="1387" spans="1:24" x14ac:dyDescent="0.25">
      <c r="A1387" s="1" t="str">
        <f t="shared" si="444"/>
        <v>卡卡杜-凤凰仓</v>
      </c>
      <c r="B1387" s="1" t="str">
        <f>"CK2024102994"</f>
        <v>CK2024102994</v>
      </c>
      <c r="C1387" s="1" t="str">
        <f>"DD202410299476"</f>
        <v>DD202410299476</v>
      </c>
      <c r="D1387" s="1" t="str">
        <f>"CK2024102915242"</f>
        <v>CK2024102915242</v>
      </c>
      <c r="E1387" s="1" t="str">
        <f>"3723627753461648384"</f>
        <v>3723627753461648384</v>
      </c>
      <c r="F1387" s="1" t="str">
        <f t="shared" si="445"/>
        <v>花都四部-凤凰仓</v>
      </c>
      <c r="G1387" s="1" t="str">
        <f t="shared" si="454"/>
        <v>卡卡杜企业店（视频号）</v>
      </c>
      <c r="H1387" s="1" t="str">
        <f t="shared" si="446"/>
        <v>正常订单</v>
      </c>
      <c r="I1387" s="1" t="str">
        <f t="shared" si="447"/>
        <v>已发货</v>
      </c>
      <c r="J1387" s="1" t="str">
        <f t="shared" si="458"/>
        <v>2</v>
      </c>
      <c r="K1387" s="1">
        <v>2</v>
      </c>
      <c r="L1387" s="1" t="s">
        <v>13</v>
      </c>
      <c r="M1387" s="1" t="str">
        <f>"江苏省 无锡市 宜兴市 "</f>
        <v xml:space="preserve">江苏省 无锡市 宜兴市 </v>
      </c>
      <c r="N1387" s="1" t="str">
        <f t="shared" si="441"/>
        <v>凡华云仓-城南圆通-微信视频号</v>
      </c>
      <c r="O1387" s="5" t="s">
        <v>1424</v>
      </c>
      <c r="P1387" s="6">
        <v>0.17</v>
      </c>
      <c r="Q1387" s="11">
        <v>2</v>
      </c>
      <c r="R1387" s="11"/>
      <c r="S1387" s="11"/>
      <c r="T1387" s="11"/>
      <c r="U1387" s="11">
        <f t="shared" si="448"/>
        <v>2</v>
      </c>
      <c r="W1387">
        <v>2.2000000000000002</v>
      </c>
      <c r="X1387" s="1" t="s">
        <v>13</v>
      </c>
    </row>
    <row r="1388" spans="1:24" x14ac:dyDescent="0.25">
      <c r="A1388" s="1" t="str">
        <f t="shared" si="444"/>
        <v>卡卡杜-凤凰仓</v>
      </c>
      <c r="B1388" s="1" t="str">
        <f>"CK2024102997"</f>
        <v>CK2024102997</v>
      </c>
      <c r="C1388" s="1" t="str">
        <f>"DD202410299478"</f>
        <v>DD202410299478</v>
      </c>
      <c r="D1388" s="1" t="str">
        <f>"CK2024102915241"</f>
        <v>CK2024102915241</v>
      </c>
      <c r="E1388" s="1" t="str">
        <f>"3723627753532163328"</f>
        <v>3723627753532163328</v>
      </c>
      <c r="F1388" s="1" t="str">
        <f t="shared" si="445"/>
        <v>花都四部-凤凰仓</v>
      </c>
      <c r="G1388" s="1" t="str">
        <f t="shared" si="454"/>
        <v>卡卡杜企业店（视频号）</v>
      </c>
      <c r="H1388" s="1" t="str">
        <f t="shared" si="446"/>
        <v>正常订单</v>
      </c>
      <c r="I1388" s="1" t="str">
        <f t="shared" si="447"/>
        <v>已发货</v>
      </c>
      <c r="J1388" s="1" t="str">
        <f t="shared" si="458"/>
        <v>2</v>
      </c>
      <c r="K1388" s="1">
        <v>2</v>
      </c>
      <c r="L1388" s="1" t="s">
        <v>105</v>
      </c>
      <c r="M1388" s="1" t="str">
        <f>"北京 北京市 东城区 "</f>
        <v xml:space="preserve">北京 北京市 东城区 </v>
      </c>
      <c r="N1388" s="1" t="str">
        <f t="shared" si="441"/>
        <v>凡华云仓-城南圆通-微信视频号</v>
      </c>
      <c r="O1388" s="5" t="s">
        <v>1425</v>
      </c>
      <c r="P1388" s="6">
        <v>0.17</v>
      </c>
      <c r="Q1388" s="11">
        <v>2</v>
      </c>
      <c r="R1388" s="11"/>
      <c r="S1388" s="11"/>
      <c r="T1388" s="11"/>
      <c r="U1388" s="11">
        <f t="shared" si="448"/>
        <v>2</v>
      </c>
      <c r="W1388">
        <v>2.2000000000000002</v>
      </c>
      <c r="X1388" s="1" t="s">
        <v>105</v>
      </c>
    </row>
    <row r="1389" spans="1:24" x14ac:dyDescent="0.25">
      <c r="A1389" s="1" t="str">
        <f t="shared" si="444"/>
        <v>卡卡杜-凤凰仓</v>
      </c>
      <c r="B1389" s="1" t="str">
        <f>"CK20241029100"</f>
        <v>CK20241029100</v>
      </c>
      <c r="C1389" s="1" t="str">
        <f>"DD202410299483"</f>
        <v>DD202410299483</v>
      </c>
      <c r="D1389" s="1" t="str">
        <f>"CK2024102915240"</f>
        <v>CK2024102915240</v>
      </c>
      <c r="E1389" s="1" t="str">
        <f>"3723627756878169600"</f>
        <v>3723627756878169600</v>
      </c>
      <c r="F1389" s="1" t="str">
        <f t="shared" si="445"/>
        <v>花都四部-凤凰仓</v>
      </c>
      <c r="G1389" s="1" t="str">
        <f t="shared" si="454"/>
        <v>卡卡杜企业店（视频号）</v>
      </c>
      <c r="H1389" s="1" t="str">
        <f t="shared" si="446"/>
        <v>正常订单</v>
      </c>
      <c r="I1389" s="1" t="str">
        <f t="shared" si="447"/>
        <v>已发货</v>
      </c>
      <c r="J1389" s="1" t="str">
        <f t="shared" si="458"/>
        <v>2</v>
      </c>
      <c r="K1389" s="1">
        <v>2</v>
      </c>
      <c r="L1389" s="1" t="s">
        <v>105</v>
      </c>
      <c r="M1389" s="1" t="str">
        <f>"北京 北京市 海淀区 "</f>
        <v xml:space="preserve">北京 北京市 海淀区 </v>
      </c>
      <c r="N1389" s="1" t="str">
        <f t="shared" si="441"/>
        <v>凡华云仓-城南圆通-微信视频号</v>
      </c>
      <c r="O1389" s="5" t="s">
        <v>1426</v>
      </c>
      <c r="P1389" s="6">
        <v>0.17</v>
      </c>
      <c r="Q1389" s="11">
        <v>2</v>
      </c>
      <c r="R1389" s="11"/>
      <c r="S1389" s="11"/>
      <c r="T1389" s="11"/>
      <c r="U1389" s="11">
        <f t="shared" si="448"/>
        <v>2</v>
      </c>
      <c r="W1389">
        <v>2.2000000000000002</v>
      </c>
      <c r="X1389" s="1" t="s">
        <v>105</v>
      </c>
    </row>
    <row r="1390" spans="1:24" x14ac:dyDescent="0.25">
      <c r="A1390" s="1" t="str">
        <f t="shared" si="444"/>
        <v>卡卡杜-凤凰仓</v>
      </c>
      <c r="B1390" s="1" t="str">
        <f>"CK20241029107"</f>
        <v>CK20241029107</v>
      </c>
      <c r="C1390" s="1" t="str">
        <f>"DD202410299489"</f>
        <v>DD202410299489</v>
      </c>
      <c r="D1390" s="1" t="str">
        <f>"CK2024102915239"</f>
        <v>CK2024102915239</v>
      </c>
      <c r="E1390" s="1" t="str">
        <f>"3723627756643288320"</f>
        <v>3723627756643288320</v>
      </c>
      <c r="F1390" s="1" t="str">
        <f t="shared" si="445"/>
        <v>花都四部-凤凰仓</v>
      </c>
      <c r="G1390" s="1" t="str">
        <f t="shared" si="454"/>
        <v>卡卡杜企业店（视频号）</v>
      </c>
      <c r="H1390" s="1" t="str">
        <f t="shared" si="446"/>
        <v>正常订单</v>
      </c>
      <c r="I1390" s="1" t="str">
        <f t="shared" si="447"/>
        <v>已发货</v>
      </c>
      <c r="J1390" s="1" t="str">
        <f t="shared" si="458"/>
        <v>2</v>
      </c>
      <c r="K1390" s="1">
        <v>2</v>
      </c>
      <c r="L1390" s="1" t="s">
        <v>16</v>
      </c>
      <c r="M1390" s="1" t="str">
        <f>"河北省 石家庄市 晋州市 "</f>
        <v xml:space="preserve">河北省 石家庄市 晋州市 </v>
      </c>
      <c r="N1390" s="1" t="str">
        <f t="shared" si="441"/>
        <v>凡华云仓-城南圆通-微信视频号</v>
      </c>
      <c r="O1390" s="5" t="s">
        <v>1427</v>
      </c>
      <c r="P1390" s="6">
        <v>0.17</v>
      </c>
      <c r="Q1390" s="11">
        <v>2</v>
      </c>
      <c r="R1390" s="11"/>
      <c r="S1390" s="11"/>
      <c r="T1390" s="11"/>
      <c r="U1390" s="11">
        <f t="shared" si="448"/>
        <v>2</v>
      </c>
      <c r="W1390">
        <v>2.2000000000000002</v>
      </c>
      <c r="X1390" s="1" t="s">
        <v>16</v>
      </c>
    </row>
    <row r="1391" spans="1:24" x14ac:dyDescent="0.25">
      <c r="A1391" s="1" t="str">
        <f t="shared" si="444"/>
        <v>卡卡杜-凤凰仓</v>
      </c>
      <c r="B1391" s="1" t="str">
        <f>"CK20241029363"</f>
        <v>CK20241029363</v>
      </c>
      <c r="C1391" s="1" t="str">
        <f>"DD2024102910008"</f>
        <v>DD2024102910008</v>
      </c>
      <c r="D1391" s="1" t="str">
        <f>"CK2024102915238"</f>
        <v>CK2024102915238</v>
      </c>
      <c r="E1391" s="1" t="str">
        <f>"3723627756822070528"</f>
        <v>3723627756822070528</v>
      </c>
      <c r="F1391" s="1" t="str">
        <f t="shared" si="445"/>
        <v>花都四部-凤凰仓</v>
      </c>
      <c r="G1391" s="1" t="str">
        <f t="shared" si="454"/>
        <v>卡卡杜企业店（视频号）</v>
      </c>
      <c r="H1391" s="1" t="str">
        <f t="shared" si="446"/>
        <v>正常订单</v>
      </c>
      <c r="I1391" s="1" t="str">
        <f t="shared" si="447"/>
        <v>已发货</v>
      </c>
      <c r="J1391" s="1" t="str">
        <f>"3"</f>
        <v>3</v>
      </c>
      <c r="K1391" s="1">
        <v>2</v>
      </c>
      <c r="L1391" s="1" t="s">
        <v>105</v>
      </c>
      <c r="M1391" s="1" t="str">
        <f>"北京 北京市 昌平区 "</f>
        <v xml:space="preserve">北京 北京市 昌平区 </v>
      </c>
      <c r="N1391" s="1" t="str">
        <f t="shared" si="441"/>
        <v>凡华云仓-城南圆通-微信视频号</v>
      </c>
      <c r="O1391" s="5" t="s">
        <v>1428</v>
      </c>
      <c r="P1391" s="6">
        <v>0.24</v>
      </c>
      <c r="Q1391" s="11">
        <v>2</v>
      </c>
      <c r="R1391" s="11"/>
      <c r="S1391" s="11"/>
      <c r="T1391" s="11"/>
      <c r="U1391" s="11">
        <f t="shared" si="448"/>
        <v>2</v>
      </c>
      <c r="W1391">
        <v>2.2000000000000002</v>
      </c>
      <c r="X1391" s="1" t="s">
        <v>105</v>
      </c>
    </row>
    <row r="1392" spans="1:24" x14ac:dyDescent="0.25">
      <c r="A1392" s="1" t="str">
        <f t="shared" si="444"/>
        <v>卡卡杜-凤凰仓</v>
      </c>
      <c r="B1392" s="1" t="str">
        <f>"CK2024102996"</f>
        <v>CK2024102996</v>
      </c>
      <c r="C1392" s="1" t="str">
        <f>"DD202410299479"</f>
        <v>DD202410299479</v>
      </c>
      <c r="D1392" s="1" t="str">
        <f>"CK2024102915237"</f>
        <v>CK2024102915237</v>
      </c>
      <c r="E1392" s="1" t="str">
        <f>"3723627755885430016"</f>
        <v>3723627755885430016</v>
      </c>
      <c r="F1392" s="1" t="str">
        <f t="shared" si="445"/>
        <v>花都四部-凤凰仓</v>
      </c>
      <c r="G1392" s="1" t="str">
        <f t="shared" si="454"/>
        <v>卡卡杜企业店（视频号）</v>
      </c>
      <c r="H1392" s="1" t="str">
        <f t="shared" si="446"/>
        <v>正常订单</v>
      </c>
      <c r="I1392" s="1" t="str">
        <f t="shared" si="447"/>
        <v>已发货</v>
      </c>
      <c r="J1392" s="1" t="str">
        <f t="shared" ref="J1392:J1396" si="459">"2"</f>
        <v>2</v>
      </c>
      <c r="K1392" s="1">
        <v>2</v>
      </c>
      <c r="L1392" s="1" t="s">
        <v>74</v>
      </c>
      <c r="M1392" s="1" t="str">
        <f>"上海 上海市 虹口区 "</f>
        <v xml:space="preserve">上海 上海市 虹口区 </v>
      </c>
      <c r="N1392" s="1" t="str">
        <f t="shared" si="441"/>
        <v>凡华云仓-城南圆通-微信视频号</v>
      </c>
      <c r="O1392" s="5" t="s">
        <v>1429</v>
      </c>
      <c r="P1392" s="6">
        <v>0.17</v>
      </c>
      <c r="Q1392" s="11">
        <v>2</v>
      </c>
      <c r="R1392" s="11"/>
      <c r="S1392" s="11"/>
      <c r="T1392" s="11"/>
      <c r="U1392" s="11">
        <f t="shared" si="448"/>
        <v>2</v>
      </c>
      <c r="W1392">
        <v>2.2000000000000002</v>
      </c>
      <c r="X1392" s="1" t="s">
        <v>74</v>
      </c>
    </row>
    <row r="1393" spans="1:24" x14ac:dyDescent="0.25">
      <c r="A1393" s="1" t="str">
        <f t="shared" si="444"/>
        <v>卡卡杜-凤凰仓</v>
      </c>
      <c r="B1393" s="1" t="str">
        <f>"CK20241029317"</f>
        <v>CK20241029317</v>
      </c>
      <c r="C1393" s="1" t="str">
        <f>"DD202410299909"</f>
        <v>DD202410299909</v>
      </c>
      <c r="D1393" s="1" t="str">
        <f>"CK2024102915236"</f>
        <v>CK2024102915236</v>
      </c>
      <c r="E1393" s="1" t="str">
        <f>"3723627753111948289"</f>
        <v>3723627753111948289</v>
      </c>
      <c r="F1393" s="1" t="str">
        <f t="shared" si="445"/>
        <v>花都四部-凤凰仓</v>
      </c>
      <c r="G1393" s="1" t="str">
        <f t="shared" si="454"/>
        <v>卡卡杜企业店（视频号）</v>
      </c>
      <c r="H1393" s="1" t="str">
        <f t="shared" si="446"/>
        <v>正常订单</v>
      </c>
      <c r="I1393" s="1" t="str">
        <f t="shared" si="447"/>
        <v>已发货</v>
      </c>
      <c r="J1393" s="1" t="str">
        <f>"3"</f>
        <v>3</v>
      </c>
      <c r="K1393" s="1">
        <v>2</v>
      </c>
      <c r="L1393" s="1" t="s">
        <v>94</v>
      </c>
      <c r="M1393" s="1" t="str">
        <f>"湖南省 长沙市 开福区 "</f>
        <v xml:space="preserve">湖南省 长沙市 开福区 </v>
      </c>
      <c r="N1393" s="1" t="str">
        <f t="shared" si="441"/>
        <v>凡华云仓-城南圆通-微信视频号</v>
      </c>
      <c r="O1393" s="5" t="s">
        <v>1430</v>
      </c>
      <c r="P1393" s="6">
        <v>0.24</v>
      </c>
      <c r="Q1393" s="11">
        <v>2</v>
      </c>
      <c r="R1393" s="11"/>
      <c r="S1393" s="11"/>
      <c r="T1393" s="11"/>
      <c r="U1393" s="11">
        <f t="shared" si="448"/>
        <v>2</v>
      </c>
      <c r="W1393">
        <v>2.2000000000000002</v>
      </c>
      <c r="X1393" s="1" t="s">
        <v>94</v>
      </c>
    </row>
    <row r="1394" spans="1:24" x14ac:dyDescent="0.25">
      <c r="A1394" s="1" t="str">
        <f t="shared" si="444"/>
        <v>卡卡杜-凤凰仓</v>
      </c>
      <c r="B1394" s="1" t="str">
        <f>"CK2024102995"</f>
        <v>CK2024102995</v>
      </c>
      <c r="C1394" s="1" t="str">
        <f>"DD202410299477"</f>
        <v>DD202410299477</v>
      </c>
      <c r="D1394" s="1" t="str">
        <f>"CK2024102915235"</f>
        <v>CK2024102915235</v>
      </c>
      <c r="E1394" s="1" t="str">
        <f>"3723627753477378048"</f>
        <v>3723627753477378048</v>
      </c>
      <c r="F1394" s="1" t="str">
        <f t="shared" si="445"/>
        <v>花都四部-凤凰仓</v>
      </c>
      <c r="G1394" s="1" t="str">
        <f t="shared" si="454"/>
        <v>卡卡杜企业店（视频号）</v>
      </c>
      <c r="H1394" s="1" t="str">
        <f t="shared" si="446"/>
        <v>正常订单</v>
      </c>
      <c r="I1394" s="1" t="str">
        <f t="shared" si="447"/>
        <v>已发货</v>
      </c>
      <c r="J1394" s="1" t="str">
        <f t="shared" si="459"/>
        <v>2</v>
      </c>
      <c r="K1394" s="1">
        <v>2</v>
      </c>
      <c r="L1394" s="1" t="s">
        <v>80</v>
      </c>
      <c r="M1394" s="1" t="str">
        <f>"河南省 三门峡市 湖滨区 "</f>
        <v xml:space="preserve">河南省 三门峡市 湖滨区 </v>
      </c>
      <c r="N1394" s="1" t="str">
        <f t="shared" si="441"/>
        <v>凡华云仓-城南圆通-微信视频号</v>
      </c>
      <c r="O1394" s="5" t="s">
        <v>1431</v>
      </c>
      <c r="P1394" s="6">
        <v>0.17</v>
      </c>
      <c r="Q1394" s="11">
        <v>2</v>
      </c>
      <c r="R1394" s="11"/>
      <c r="S1394" s="11"/>
      <c r="T1394" s="11"/>
      <c r="U1394" s="11">
        <f t="shared" si="448"/>
        <v>2</v>
      </c>
      <c r="W1394">
        <v>2.2000000000000002</v>
      </c>
      <c r="X1394" s="1" t="s">
        <v>80</v>
      </c>
    </row>
    <row r="1395" spans="1:24" x14ac:dyDescent="0.25">
      <c r="A1395" s="1" t="str">
        <f t="shared" si="444"/>
        <v>卡卡杜-凤凰仓</v>
      </c>
      <c r="B1395" s="1" t="str">
        <f>"CK20241029131"</f>
        <v>CK20241029131</v>
      </c>
      <c r="C1395" s="1" t="str">
        <f>"DD202410299513"</f>
        <v>DD202410299513</v>
      </c>
      <c r="D1395" s="1" t="str">
        <f>"CK2024102915234"</f>
        <v>CK2024102915234</v>
      </c>
      <c r="E1395" s="1" t="str">
        <f>"3723627749217011200"</f>
        <v>3723627749217011200</v>
      </c>
      <c r="F1395" s="1" t="str">
        <f t="shared" si="445"/>
        <v>花都四部-凤凰仓</v>
      </c>
      <c r="G1395" s="1" t="str">
        <f t="shared" si="454"/>
        <v>卡卡杜企业店（视频号）</v>
      </c>
      <c r="H1395" s="1" t="str">
        <f t="shared" si="446"/>
        <v>正常订单</v>
      </c>
      <c r="I1395" s="1" t="str">
        <f t="shared" si="447"/>
        <v>已发货</v>
      </c>
      <c r="J1395" s="1" t="str">
        <f t="shared" si="459"/>
        <v>2</v>
      </c>
      <c r="K1395" s="1">
        <v>2</v>
      </c>
      <c r="L1395" s="1" t="s">
        <v>18</v>
      </c>
      <c r="M1395" s="1" t="str">
        <f>"广东省 惠州市 惠阳区 "</f>
        <v xml:space="preserve">广东省 惠州市 惠阳区 </v>
      </c>
      <c r="N1395" s="1" t="str">
        <f t="shared" si="441"/>
        <v>凡华云仓-城南圆通-微信视频号</v>
      </c>
      <c r="O1395" s="5" t="s">
        <v>1432</v>
      </c>
      <c r="P1395" s="6">
        <v>0.17</v>
      </c>
      <c r="Q1395" s="11">
        <v>2</v>
      </c>
      <c r="R1395" s="11"/>
      <c r="S1395" s="11"/>
      <c r="T1395" s="11"/>
      <c r="U1395" s="11">
        <f t="shared" si="448"/>
        <v>2</v>
      </c>
      <c r="W1395">
        <v>2.2000000000000002</v>
      </c>
      <c r="X1395" s="1" t="s">
        <v>18</v>
      </c>
    </row>
    <row r="1396" spans="1:24" x14ac:dyDescent="0.25">
      <c r="A1396" s="1" t="str">
        <f t="shared" si="444"/>
        <v>卡卡杜-凤凰仓</v>
      </c>
      <c r="B1396" s="1" t="str">
        <f>"CK20241029111"</f>
        <v>CK20241029111</v>
      </c>
      <c r="C1396" s="1" t="str">
        <f>"DD202410299493"</f>
        <v>DD202410299493</v>
      </c>
      <c r="D1396" s="1" t="str">
        <f>"CK2024102915233"</f>
        <v>CK2024102915233</v>
      </c>
      <c r="E1396" s="1" t="str">
        <f>"3723627752466811904"</f>
        <v>3723627752466811904</v>
      </c>
      <c r="F1396" s="1" t="str">
        <f t="shared" si="445"/>
        <v>花都四部-凤凰仓</v>
      </c>
      <c r="G1396" s="1" t="str">
        <f t="shared" si="454"/>
        <v>卡卡杜企业店（视频号）</v>
      </c>
      <c r="H1396" s="1" t="str">
        <f t="shared" si="446"/>
        <v>正常订单</v>
      </c>
      <c r="I1396" s="1" t="str">
        <f t="shared" si="447"/>
        <v>已发货</v>
      </c>
      <c r="J1396" s="1" t="str">
        <f t="shared" si="459"/>
        <v>2</v>
      </c>
      <c r="K1396" s="1">
        <v>2</v>
      </c>
      <c r="L1396" s="1" t="s">
        <v>36</v>
      </c>
      <c r="M1396" s="1" t="str">
        <f>"安徽省 芜湖市 镜湖区 "</f>
        <v xml:space="preserve">安徽省 芜湖市 镜湖区 </v>
      </c>
      <c r="N1396" s="1" t="str">
        <f t="shared" si="441"/>
        <v>凡华云仓-城南圆通-微信视频号</v>
      </c>
      <c r="O1396" s="5" t="s">
        <v>1433</v>
      </c>
      <c r="P1396" s="6">
        <v>0.17</v>
      </c>
      <c r="Q1396" s="11">
        <v>2</v>
      </c>
      <c r="R1396" s="11"/>
      <c r="S1396" s="11"/>
      <c r="T1396" s="11"/>
      <c r="U1396" s="11">
        <f t="shared" si="448"/>
        <v>2</v>
      </c>
      <c r="W1396">
        <v>2.2000000000000002</v>
      </c>
      <c r="X1396" s="1" t="s">
        <v>36</v>
      </c>
    </row>
    <row r="1397" spans="1:24" x14ac:dyDescent="0.25">
      <c r="A1397" s="1" t="str">
        <f t="shared" si="444"/>
        <v>卡卡杜-凤凰仓</v>
      </c>
      <c r="B1397" s="1" t="str">
        <f>"CK20241029318"</f>
        <v>CK20241029318</v>
      </c>
      <c r="C1397" s="1" t="str">
        <f>"DD202410299910"</f>
        <v>DD202410299910</v>
      </c>
      <c r="D1397" s="1" t="str">
        <f>"CK2024102915232"</f>
        <v>CK2024102915232</v>
      </c>
      <c r="E1397" s="1" t="str">
        <f>"3723627752261293058"</f>
        <v>3723627752261293058</v>
      </c>
      <c r="F1397" s="1" t="str">
        <f t="shared" si="445"/>
        <v>花都四部-凤凰仓</v>
      </c>
      <c r="G1397" s="1" t="str">
        <f t="shared" si="454"/>
        <v>卡卡杜企业店（视频号）</v>
      </c>
      <c r="H1397" s="1" t="str">
        <f t="shared" si="446"/>
        <v>正常订单</v>
      </c>
      <c r="I1397" s="1" t="str">
        <f t="shared" si="447"/>
        <v>已发货</v>
      </c>
      <c r="J1397" s="1" t="str">
        <f>"3"</f>
        <v>3</v>
      </c>
      <c r="K1397" s="1">
        <v>2</v>
      </c>
      <c r="L1397" s="1" t="s">
        <v>20</v>
      </c>
      <c r="M1397" s="1" t="str">
        <f>"浙江省 杭州市 萧山区 "</f>
        <v xml:space="preserve">浙江省 杭州市 萧山区 </v>
      </c>
      <c r="N1397" s="1" t="str">
        <f t="shared" si="441"/>
        <v>凡华云仓-城南圆通-微信视频号</v>
      </c>
      <c r="O1397" s="5" t="s">
        <v>1434</v>
      </c>
      <c r="P1397" s="6">
        <v>0.24</v>
      </c>
      <c r="Q1397" s="11">
        <v>2</v>
      </c>
      <c r="R1397" s="11"/>
      <c r="S1397" s="11"/>
      <c r="T1397" s="11"/>
      <c r="U1397" s="11">
        <f t="shared" si="448"/>
        <v>2</v>
      </c>
      <c r="W1397">
        <v>2.2000000000000002</v>
      </c>
      <c r="X1397" s="1" t="s">
        <v>20</v>
      </c>
    </row>
    <row r="1398" spans="1:24" x14ac:dyDescent="0.25">
      <c r="A1398" s="1" t="str">
        <f t="shared" si="444"/>
        <v>卡卡杜-凤凰仓</v>
      </c>
      <c r="B1398" s="1" t="str">
        <f>"CK20241029132"</f>
        <v>CK20241029132</v>
      </c>
      <c r="C1398" s="1" t="str">
        <f>"DD202410299514"</f>
        <v>DD202410299514</v>
      </c>
      <c r="D1398" s="1" t="str">
        <f>"CK2024102915231"</f>
        <v>CK2024102915231</v>
      </c>
      <c r="E1398" s="1" t="str">
        <f>"3723627748169225217"</f>
        <v>3723627748169225217</v>
      </c>
      <c r="F1398" s="1" t="str">
        <f t="shared" si="445"/>
        <v>花都四部-凤凰仓</v>
      </c>
      <c r="G1398" s="1" t="str">
        <f t="shared" si="454"/>
        <v>卡卡杜企业店（视频号）</v>
      </c>
      <c r="H1398" s="1" t="str">
        <f t="shared" si="446"/>
        <v>正常订单</v>
      </c>
      <c r="I1398" s="1" t="str">
        <f t="shared" si="447"/>
        <v>已发货</v>
      </c>
      <c r="J1398" s="1" t="str">
        <f t="shared" ref="J1398:J1400" si="460">"2"</f>
        <v>2</v>
      </c>
      <c r="K1398" s="1">
        <v>2</v>
      </c>
      <c r="L1398" s="1" t="s">
        <v>161</v>
      </c>
      <c r="M1398" s="1" t="str">
        <f>"四川省 成都市 青羊区 "</f>
        <v xml:space="preserve">四川省 成都市 青羊区 </v>
      </c>
      <c r="N1398" s="1" t="str">
        <f t="shared" si="441"/>
        <v>凡华云仓-城南圆通-微信视频号</v>
      </c>
      <c r="O1398" s="5" t="s">
        <v>1435</v>
      </c>
      <c r="P1398" s="6">
        <v>0.17</v>
      </c>
      <c r="Q1398" s="11">
        <v>2</v>
      </c>
      <c r="R1398" s="11"/>
      <c r="S1398" s="11"/>
      <c r="T1398" s="11"/>
      <c r="U1398" s="11">
        <f t="shared" si="448"/>
        <v>2</v>
      </c>
      <c r="W1398">
        <v>2.2000000000000002</v>
      </c>
      <c r="X1398" s="1" t="s">
        <v>161</v>
      </c>
    </row>
    <row r="1399" spans="1:24" x14ac:dyDescent="0.25">
      <c r="A1399" s="1" t="str">
        <f t="shared" si="444"/>
        <v>卡卡杜-凤凰仓</v>
      </c>
      <c r="B1399" s="1" t="str">
        <f>"CK20241029115"</f>
        <v>CK20241029115</v>
      </c>
      <c r="C1399" s="1" t="str">
        <f>"DD202410299496"</f>
        <v>DD202410299496</v>
      </c>
      <c r="D1399" s="1" t="str">
        <f>"CK2024102915230"</f>
        <v>CK2024102915230</v>
      </c>
      <c r="E1399" s="1" t="str">
        <f>"3723627750572299264"</f>
        <v>3723627750572299264</v>
      </c>
      <c r="F1399" s="1" t="str">
        <f t="shared" si="445"/>
        <v>花都四部-凤凰仓</v>
      </c>
      <c r="G1399" s="1" t="str">
        <f t="shared" si="454"/>
        <v>卡卡杜企业店（视频号）</v>
      </c>
      <c r="H1399" s="1" t="str">
        <f t="shared" si="446"/>
        <v>正常订单</v>
      </c>
      <c r="I1399" s="1" t="str">
        <f t="shared" si="447"/>
        <v>已发货</v>
      </c>
      <c r="J1399" s="1" t="str">
        <f t="shared" si="460"/>
        <v>2</v>
      </c>
      <c r="K1399" s="1">
        <v>2</v>
      </c>
      <c r="L1399" s="1" t="s">
        <v>80</v>
      </c>
      <c r="M1399" s="1" t="str">
        <f>"河南省 开封市 龙亭区 "</f>
        <v xml:space="preserve">河南省 开封市 龙亭区 </v>
      </c>
      <c r="N1399" s="1" t="str">
        <f t="shared" si="441"/>
        <v>凡华云仓-城南圆通-微信视频号</v>
      </c>
      <c r="O1399" s="5" t="s">
        <v>1436</v>
      </c>
      <c r="P1399" s="6">
        <v>0.17</v>
      </c>
      <c r="Q1399" s="11">
        <v>2</v>
      </c>
      <c r="R1399" s="11"/>
      <c r="S1399" s="11"/>
      <c r="T1399" s="11"/>
      <c r="U1399" s="11">
        <f t="shared" si="448"/>
        <v>2</v>
      </c>
      <c r="W1399">
        <v>2.2000000000000002</v>
      </c>
      <c r="X1399" s="1" t="s">
        <v>80</v>
      </c>
    </row>
    <row r="1400" spans="1:24" x14ac:dyDescent="0.25">
      <c r="A1400" s="1" t="str">
        <f t="shared" si="444"/>
        <v>卡卡杜-凤凰仓</v>
      </c>
      <c r="B1400" s="1" t="str">
        <f>"CK20241029102"</f>
        <v>CK20241029102</v>
      </c>
      <c r="C1400" s="1" t="str">
        <f>"DD202410299484"</f>
        <v>DD202410299484</v>
      </c>
      <c r="D1400" s="1" t="str">
        <f>"CK2024102915229"</f>
        <v>CK2024102915229</v>
      </c>
      <c r="E1400" s="1" t="str">
        <f>"3723627751329633281"</f>
        <v>3723627751329633281</v>
      </c>
      <c r="F1400" s="1" t="str">
        <f t="shared" si="445"/>
        <v>花都四部-凤凰仓</v>
      </c>
      <c r="G1400" s="1" t="str">
        <f t="shared" si="454"/>
        <v>卡卡杜企业店（视频号）</v>
      </c>
      <c r="H1400" s="1" t="str">
        <f t="shared" si="446"/>
        <v>正常订单</v>
      </c>
      <c r="I1400" s="1" t="str">
        <f t="shared" si="447"/>
        <v>已发货</v>
      </c>
      <c r="J1400" s="1" t="str">
        <f t="shared" si="460"/>
        <v>2</v>
      </c>
      <c r="K1400" s="1">
        <v>2</v>
      </c>
      <c r="L1400" s="1" t="s">
        <v>92</v>
      </c>
      <c r="M1400" s="1" t="str">
        <f>"辽宁省 沈阳市 于洪区 "</f>
        <v xml:space="preserve">辽宁省 沈阳市 于洪区 </v>
      </c>
      <c r="N1400" s="1" t="str">
        <f t="shared" si="441"/>
        <v>凡华云仓-城南圆通-微信视频号</v>
      </c>
      <c r="O1400" s="5" t="s">
        <v>1437</v>
      </c>
      <c r="P1400" s="6">
        <v>0.17</v>
      </c>
      <c r="Q1400" s="11">
        <v>2</v>
      </c>
      <c r="R1400" s="11"/>
      <c r="S1400" s="11"/>
      <c r="T1400" s="11"/>
      <c r="U1400" s="11">
        <f t="shared" si="448"/>
        <v>2</v>
      </c>
      <c r="W1400">
        <v>2.2000000000000002</v>
      </c>
      <c r="X1400" s="1" t="s">
        <v>92</v>
      </c>
    </row>
    <row r="1401" spans="1:24" x14ac:dyDescent="0.25">
      <c r="A1401" s="1" t="str">
        <f t="shared" si="444"/>
        <v>卡卡杜-凤凰仓</v>
      </c>
      <c r="B1401" s="1" t="str">
        <f>"CK20241029319"</f>
        <v>CK20241029319</v>
      </c>
      <c r="C1401" s="1" t="str">
        <f>"DD202410299911"</f>
        <v>DD202410299911</v>
      </c>
      <c r="D1401" s="1" t="str">
        <f>"CK2024102915228"</f>
        <v>CK2024102915228</v>
      </c>
      <c r="E1401" s="1" t="str">
        <f>"3723627749749166081"</f>
        <v>3723627749749166081</v>
      </c>
      <c r="F1401" s="1" t="str">
        <f t="shared" si="445"/>
        <v>花都四部-凤凰仓</v>
      </c>
      <c r="G1401" s="1" t="str">
        <f t="shared" si="454"/>
        <v>卡卡杜企业店（视频号）</v>
      </c>
      <c r="H1401" s="1" t="str">
        <f t="shared" si="446"/>
        <v>正常订单</v>
      </c>
      <c r="I1401" s="1" t="str">
        <f t="shared" si="447"/>
        <v>已发货</v>
      </c>
      <c r="J1401" s="1" t="str">
        <f t="shared" ref="J1401:J1407" si="461">"3"</f>
        <v>3</v>
      </c>
      <c r="K1401" s="1">
        <v>2</v>
      </c>
      <c r="L1401" s="1" t="s">
        <v>66</v>
      </c>
      <c r="M1401" s="1" t="str">
        <f>"内蒙古自治区 赤峰市 松山区 "</f>
        <v xml:space="preserve">内蒙古自治区 赤峰市 松山区 </v>
      </c>
      <c r="N1401" s="1" t="str">
        <f t="shared" si="441"/>
        <v>凡华云仓-城南圆通-微信视频号</v>
      </c>
      <c r="O1401" s="5" t="s">
        <v>1438</v>
      </c>
      <c r="P1401" s="6">
        <v>0.24</v>
      </c>
      <c r="Q1401" s="11">
        <v>2</v>
      </c>
      <c r="R1401" s="11"/>
      <c r="S1401" s="11"/>
      <c r="T1401" s="11"/>
      <c r="U1401" s="11">
        <f t="shared" si="448"/>
        <v>2</v>
      </c>
      <c r="W1401">
        <v>2.2000000000000002</v>
      </c>
      <c r="X1401" s="1" t="s">
        <v>66</v>
      </c>
    </row>
    <row r="1402" spans="1:24" x14ac:dyDescent="0.25">
      <c r="A1402" s="1" t="str">
        <f t="shared" si="444"/>
        <v>卡卡杜-凤凰仓</v>
      </c>
      <c r="B1402" s="1" t="str">
        <f>"CK20241029128"</f>
        <v>CK20241029128</v>
      </c>
      <c r="C1402" s="1" t="str">
        <f>"DD202410299509"</f>
        <v>DD202410299509</v>
      </c>
      <c r="D1402" s="1" t="str">
        <f>"CK2024102915227"</f>
        <v>CK2024102915227</v>
      </c>
      <c r="E1402" s="1" t="str">
        <f>"3723627749203641600"</f>
        <v>3723627749203641600</v>
      </c>
      <c r="F1402" s="1" t="str">
        <f t="shared" si="445"/>
        <v>花都四部-凤凰仓</v>
      </c>
      <c r="G1402" s="1" t="str">
        <f t="shared" si="454"/>
        <v>卡卡杜企业店（视频号）</v>
      </c>
      <c r="H1402" s="1" t="str">
        <f t="shared" si="446"/>
        <v>正常订单</v>
      </c>
      <c r="I1402" s="1" t="str">
        <f t="shared" si="447"/>
        <v>已发货</v>
      </c>
      <c r="J1402" s="1" t="str">
        <f>"2"</f>
        <v>2</v>
      </c>
      <c r="K1402" s="1">
        <v>2</v>
      </c>
      <c r="L1402" s="1" t="s">
        <v>105</v>
      </c>
      <c r="M1402" s="1" t="str">
        <f>"北京 北京市 朝阳区 "</f>
        <v xml:space="preserve">北京 北京市 朝阳区 </v>
      </c>
      <c r="N1402" s="1" t="str">
        <f t="shared" ref="N1402:N1457" si="462">"凡华云仓-城南圆通-微信视频号"</f>
        <v>凡华云仓-城南圆通-微信视频号</v>
      </c>
      <c r="O1402" s="5" t="s">
        <v>1439</v>
      </c>
      <c r="P1402" s="6">
        <v>0.17</v>
      </c>
      <c r="Q1402" s="11">
        <v>2</v>
      </c>
      <c r="R1402" s="11"/>
      <c r="S1402" s="11"/>
      <c r="T1402" s="11"/>
      <c r="U1402" s="11">
        <f t="shared" si="448"/>
        <v>2</v>
      </c>
      <c r="W1402">
        <v>2.2000000000000002</v>
      </c>
      <c r="X1402" s="1" t="s">
        <v>105</v>
      </c>
    </row>
    <row r="1403" spans="1:24" x14ac:dyDescent="0.25">
      <c r="A1403" s="1" t="str">
        <f t="shared" si="444"/>
        <v>卡卡杜-凤凰仓</v>
      </c>
      <c r="B1403" s="1" t="str">
        <f>"CK20241029320"</f>
        <v>CK20241029320</v>
      </c>
      <c r="C1403" s="1" t="str">
        <f>"DD202410299912"</f>
        <v>DD202410299912</v>
      </c>
      <c r="D1403" s="1" t="str">
        <f>"CK2024102915226"</f>
        <v>CK2024102915226</v>
      </c>
      <c r="E1403" s="1" t="str">
        <f>"3723627748809643008"</f>
        <v>3723627748809643008</v>
      </c>
      <c r="F1403" s="1" t="str">
        <f t="shared" si="445"/>
        <v>花都四部-凤凰仓</v>
      </c>
      <c r="G1403" s="1" t="str">
        <f t="shared" si="454"/>
        <v>卡卡杜企业店（视频号）</v>
      </c>
      <c r="H1403" s="1" t="str">
        <f t="shared" si="446"/>
        <v>正常订单</v>
      </c>
      <c r="I1403" s="1" t="str">
        <f t="shared" si="447"/>
        <v>已发货</v>
      </c>
      <c r="J1403" s="1" t="str">
        <f t="shared" si="461"/>
        <v>3</v>
      </c>
      <c r="K1403" s="1">
        <v>2</v>
      </c>
      <c r="L1403" s="1" t="s">
        <v>105</v>
      </c>
      <c r="M1403" s="1" t="str">
        <f>"北京 北京市 海淀区 "</f>
        <v xml:space="preserve">北京 北京市 海淀区 </v>
      </c>
      <c r="N1403" s="1" t="str">
        <f t="shared" si="462"/>
        <v>凡华云仓-城南圆通-微信视频号</v>
      </c>
      <c r="O1403" s="5" t="s">
        <v>1440</v>
      </c>
      <c r="P1403" s="6">
        <v>0.24</v>
      </c>
      <c r="Q1403" s="11">
        <v>2</v>
      </c>
      <c r="R1403" s="11"/>
      <c r="S1403" s="11"/>
      <c r="T1403" s="11"/>
      <c r="U1403" s="11">
        <f t="shared" si="448"/>
        <v>2</v>
      </c>
      <c r="W1403">
        <v>2.2000000000000002</v>
      </c>
      <c r="X1403" s="1" t="s">
        <v>105</v>
      </c>
    </row>
    <row r="1404" spans="1:24" x14ac:dyDescent="0.25">
      <c r="A1404" s="1" t="str">
        <f t="shared" si="444"/>
        <v>卡卡杜-凤凰仓</v>
      </c>
      <c r="B1404" s="1" t="str">
        <f>"CK20241029125"</f>
        <v>CK20241029125</v>
      </c>
      <c r="C1404" s="1" t="str">
        <f>"DD202410299507"</f>
        <v>DD202410299507</v>
      </c>
      <c r="D1404" s="1" t="str">
        <f>"CK2024102915225"</f>
        <v>CK2024102915225</v>
      </c>
      <c r="E1404" s="1" t="str">
        <f>"3723627747909964800"</f>
        <v>3723627747909964800</v>
      </c>
      <c r="F1404" s="1" t="str">
        <f t="shared" si="445"/>
        <v>花都四部-凤凰仓</v>
      </c>
      <c r="G1404" s="1" t="str">
        <f t="shared" si="454"/>
        <v>卡卡杜企业店（视频号）</v>
      </c>
      <c r="H1404" s="1" t="str">
        <f t="shared" si="446"/>
        <v>正常订单</v>
      </c>
      <c r="I1404" s="1" t="str">
        <f t="shared" si="447"/>
        <v>已发货</v>
      </c>
      <c r="J1404" s="1" t="str">
        <f>"2"</f>
        <v>2</v>
      </c>
      <c r="K1404" s="1">
        <v>2</v>
      </c>
      <c r="L1404" s="1" t="s">
        <v>18</v>
      </c>
      <c r="M1404" s="1" t="str">
        <f>"广东省 广州市 番禺区 "</f>
        <v xml:space="preserve">广东省 广州市 番禺区 </v>
      </c>
      <c r="N1404" s="1" t="str">
        <f t="shared" si="462"/>
        <v>凡华云仓-城南圆通-微信视频号</v>
      </c>
      <c r="O1404" s="5" t="s">
        <v>1441</v>
      </c>
      <c r="P1404" s="6">
        <v>0.17</v>
      </c>
      <c r="Q1404" s="11">
        <v>2</v>
      </c>
      <c r="R1404" s="11"/>
      <c r="S1404" s="11"/>
      <c r="T1404" s="11"/>
      <c r="U1404" s="11">
        <f t="shared" si="448"/>
        <v>2</v>
      </c>
      <c r="W1404">
        <v>2.2000000000000002</v>
      </c>
      <c r="X1404" s="1" t="s">
        <v>18</v>
      </c>
    </row>
    <row r="1405" spans="1:24" x14ac:dyDescent="0.25">
      <c r="A1405" s="1" t="str">
        <f t="shared" si="444"/>
        <v>卡卡杜-凤凰仓</v>
      </c>
      <c r="B1405" s="1" t="str">
        <f>"CK20241029321"</f>
        <v>CK20241029321</v>
      </c>
      <c r="C1405" s="1" t="str">
        <f>"DD202410299913"</f>
        <v>DD202410299913</v>
      </c>
      <c r="D1405" s="1" t="str">
        <f>"CK2024102915224"</f>
        <v>CK2024102915224</v>
      </c>
      <c r="E1405" s="1" t="str">
        <f>"3723627746183742720"</f>
        <v>3723627746183742720</v>
      </c>
      <c r="F1405" s="1" t="str">
        <f t="shared" si="445"/>
        <v>花都四部-凤凰仓</v>
      </c>
      <c r="G1405" s="1" t="str">
        <f t="shared" si="454"/>
        <v>卡卡杜企业店（视频号）</v>
      </c>
      <c r="H1405" s="1" t="str">
        <f t="shared" si="446"/>
        <v>正常订单</v>
      </c>
      <c r="I1405" s="1" t="str">
        <f t="shared" si="447"/>
        <v>已发货</v>
      </c>
      <c r="J1405" s="1" t="str">
        <f t="shared" si="461"/>
        <v>3</v>
      </c>
      <c r="K1405" s="1">
        <v>2</v>
      </c>
      <c r="L1405" s="1" t="s">
        <v>105</v>
      </c>
      <c r="M1405" s="1" t="str">
        <f>"北京 北京市 大兴区 "</f>
        <v xml:space="preserve">北京 北京市 大兴区 </v>
      </c>
      <c r="N1405" s="1" t="str">
        <f t="shared" si="462"/>
        <v>凡华云仓-城南圆通-微信视频号</v>
      </c>
      <c r="O1405" s="5" t="s">
        <v>1442</v>
      </c>
      <c r="P1405" s="6">
        <v>0.24</v>
      </c>
      <c r="Q1405" s="11">
        <v>2</v>
      </c>
      <c r="R1405" s="11"/>
      <c r="S1405" s="11"/>
      <c r="T1405" s="11"/>
      <c r="U1405" s="11">
        <f t="shared" si="448"/>
        <v>2</v>
      </c>
      <c r="W1405">
        <v>2.2000000000000002</v>
      </c>
      <c r="X1405" s="1" t="s">
        <v>105</v>
      </c>
    </row>
    <row r="1406" spans="1:24" x14ac:dyDescent="0.25">
      <c r="A1406" s="1" t="str">
        <f t="shared" si="444"/>
        <v>卡卡杜-凤凰仓</v>
      </c>
      <c r="B1406" s="1" t="str">
        <f>"CK20241029322"</f>
        <v>CK20241029322</v>
      </c>
      <c r="C1406" s="1" t="str">
        <f>"DD202410299914"</f>
        <v>DD202410299914</v>
      </c>
      <c r="D1406" s="1" t="str">
        <f>"CK2024102915223"</f>
        <v>CK2024102915223</v>
      </c>
      <c r="E1406" s="1" t="str">
        <f>"3723627743513282048"</f>
        <v>3723627743513282048</v>
      </c>
      <c r="F1406" s="1" t="str">
        <f t="shared" si="445"/>
        <v>花都四部-凤凰仓</v>
      </c>
      <c r="G1406" s="1" t="str">
        <f t="shared" si="454"/>
        <v>卡卡杜企业店（视频号）</v>
      </c>
      <c r="H1406" s="1" t="str">
        <f t="shared" si="446"/>
        <v>正常订单</v>
      </c>
      <c r="I1406" s="1" t="str">
        <f t="shared" si="447"/>
        <v>已发货</v>
      </c>
      <c r="J1406" s="1" t="str">
        <f t="shared" si="461"/>
        <v>3</v>
      </c>
      <c r="K1406" s="1">
        <v>2</v>
      </c>
      <c r="L1406" s="1" t="s">
        <v>18</v>
      </c>
      <c r="M1406" s="1" t="str">
        <f>"广东省 惠州市 惠城区 "</f>
        <v xml:space="preserve">广东省 惠州市 惠城区 </v>
      </c>
      <c r="N1406" s="1" t="str">
        <f t="shared" si="462"/>
        <v>凡华云仓-城南圆通-微信视频号</v>
      </c>
      <c r="O1406" s="5" t="s">
        <v>1443</v>
      </c>
      <c r="P1406" s="6">
        <v>0.24</v>
      </c>
      <c r="Q1406" s="11">
        <v>2</v>
      </c>
      <c r="R1406" s="11"/>
      <c r="S1406" s="11"/>
      <c r="T1406" s="11"/>
      <c r="U1406" s="11">
        <f t="shared" si="448"/>
        <v>2</v>
      </c>
      <c r="W1406">
        <v>2.2000000000000002</v>
      </c>
      <c r="X1406" s="1" t="s">
        <v>18</v>
      </c>
    </row>
    <row r="1407" spans="1:24" x14ac:dyDescent="0.25">
      <c r="A1407" s="1" t="str">
        <f t="shared" si="444"/>
        <v>卡卡杜-凤凰仓</v>
      </c>
      <c r="B1407" s="1" t="str">
        <f>"CK20241029323"</f>
        <v>CK20241029323</v>
      </c>
      <c r="C1407" s="1" t="str">
        <f>"DD202410299916"</f>
        <v>DD202410299916</v>
      </c>
      <c r="D1407" s="1" t="str">
        <f>"CK2024102915222"</f>
        <v>CK2024102915222</v>
      </c>
      <c r="E1407" s="1" t="str">
        <f>"3723627744682181888"</f>
        <v>3723627744682181888</v>
      </c>
      <c r="F1407" s="1" t="str">
        <f t="shared" si="445"/>
        <v>花都四部-凤凰仓</v>
      </c>
      <c r="G1407" s="1" t="str">
        <f t="shared" si="454"/>
        <v>卡卡杜企业店（视频号）</v>
      </c>
      <c r="H1407" s="1" t="str">
        <f t="shared" si="446"/>
        <v>正常订单</v>
      </c>
      <c r="I1407" s="1" t="str">
        <f t="shared" si="447"/>
        <v>已发货</v>
      </c>
      <c r="J1407" s="1" t="str">
        <f t="shared" si="461"/>
        <v>3</v>
      </c>
      <c r="K1407" s="1">
        <v>2</v>
      </c>
      <c r="L1407" s="1" t="s">
        <v>105</v>
      </c>
      <c r="M1407" s="1" t="str">
        <f>"北京 北京市 昌平区 "</f>
        <v xml:space="preserve">北京 北京市 昌平区 </v>
      </c>
      <c r="N1407" s="1" t="str">
        <f t="shared" si="462"/>
        <v>凡华云仓-城南圆通-微信视频号</v>
      </c>
      <c r="O1407" s="5" t="s">
        <v>1444</v>
      </c>
      <c r="P1407" s="6">
        <v>0.24</v>
      </c>
      <c r="Q1407" s="11">
        <v>2</v>
      </c>
      <c r="R1407" s="11"/>
      <c r="S1407" s="11"/>
      <c r="T1407" s="11"/>
      <c r="U1407" s="11">
        <f t="shared" si="448"/>
        <v>2</v>
      </c>
      <c r="W1407">
        <v>2.2000000000000002</v>
      </c>
      <c r="X1407" s="1" t="s">
        <v>105</v>
      </c>
    </row>
    <row r="1408" spans="1:24" x14ac:dyDescent="0.25">
      <c r="A1408" s="1" t="str">
        <f t="shared" si="444"/>
        <v>卡卡杜-凤凰仓</v>
      </c>
      <c r="B1408" s="1" t="str">
        <f>"CK20241029121"</f>
        <v>CK20241029121</v>
      </c>
      <c r="C1408" s="1" t="str">
        <f>"DD202410299505"</f>
        <v>DD202410299505</v>
      </c>
      <c r="D1408" s="1" t="str">
        <f>"CK2024102915221"</f>
        <v>CK2024102915221</v>
      </c>
      <c r="E1408" s="1" t="str">
        <f>"3723627735115236864"</f>
        <v>3723627735115236864</v>
      </c>
      <c r="F1408" s="1" t="str">
        <f t="shared" si="445"/>
        <v>花都四部-凤凰仓</v>
      </c>
      <c r="G1408" s="1" t="str">
        <f t="shared" si="454"/>
        <v>卡卡杜企业店（视频号）</v>
      </c>
      <c r="H1408" s="1" t="str">
        <f t="shared" si="446"/>
        <v>正常订单</v>
      </c>
      <c r="I1408" s="1" t="str">
        <f t="shared" si="447"/>
        <v>已发货</v>
      </c>
      <c r="J1408" s="1" t="str">
        <f t="shared" ref="J1408:J1414" si="463">"2"</f>
        <v>2</v>
      </c>
      <c r="K1408" s="1">
        <v>2</v>
      </c>
      <c r="L1408" s="1" t="s">
        <v>105</v>
      </c>
      <c r="M1408" s="1" t="str">
        <f>"北京 北京市 朝阳区 "</f>
        <v xml:space="preserve">北京 北京市 朝阳区 </v>
      </c>
      <c r="N1408" s="1" t="str">
        <f t="shared" si="462"/>
        <v>凡华云仓-城南圆通-微信视频号</v>
      </c>
      <c r="O1408" s="5" t="s">
        <v>1445</v>
      </c>
      <c r="P1408" s="6">
        <v>0.17</v>
      </c>
      <c r="Q1408" s="11">
        <v>2</v>
      </c>
      <c r="R1408" s="11"/>
      <c r="S1408" s="11"/>
      <c r="T1408" s="11"/>
      <c r="U1408" s="11">
        <f t="shared" si="448"/>
        <v>2</v>
      </c>
      <c r="W1408">
        <v>2.2000000000000002</v>
      </c>
      <c r="X1408" s="1" t="s">
        <v>105</v>
      </c>
    </row>
    <row r="1409" spans="1:24" x14ac:dyDescent="0.25">
      <c r="A1409" s="1" t="str">
        <f t="shared" si="444"/>
        <v>卡卡杜-凤凰仓</v>
      </c>
      <c r="B1409" s="1" t="str">
        <f>"CK20241029325"</f>
        <v>CK20241029325</v>
      </c>
      <c r="C1409" s="1" t="str">
        <f>"DD202410299917"</f>
        <v>DD202410299917</v>
      </c>
      <c r="D1409" s="1" t="str">
        <f>"CK2024102915220"</f>
        <v>CK2024102915220</v>
      </c>
      <c r="E1409" s="1" t="str">
        <f>"3723627510959311873"</f>
        <v>3723627510959311873</v>
      </c>
      <c r="F1409" s="1" t="str">
        <f t="shared" si="445"/>
        <v>花都四部-凤凰仓</v>
      </c>
      <c r="G1409" s="1" t="str">
        <f t="shared" si="454"/>
        <v>卡卡杜企业店（视频号）</v>
      </c>
      <c r="H1409" s="1" t="str">
        <f t="shared" si="446"/>
        <v>正常订单</v>
      </c>
      <c r="I1409" s="1" t="str">
        <f t="shared" si="447"/>
        <v>已发货</v>
      </c>
      <c r="J1409" s="1" t="str">
        <f t="shared" ref="J1409:J1411" si="464">"3"</f>
        <v>3</v>
      </c>
      <c r="K1409" s="1">
        <v>3</v>
      </c>
      <c r="L1409" s="1" t="s">
        <v>74</v>
      </c>
      <c r="M1409" s="1" t="str">
        <f>"上海 上海市 奉贤区 "</f>
        <v xml:space="preserve">上海 上海市 奉贤区 </v>
      </c>
      <c r="N1409" s="1" t="str">
        <f t="shared" si="462"/>
        <v>凡华云仓-城南圆通-微信视频号</v>
      </c>
      <c r="O1409" s="5" t="s">
        <v>1446</v>
      </c>
      <c r="P1409" s="6">
        <v>0.34</v>
      </c>
      <c r="Q1409" s="11">
        <v>2.2999999999999998</v>
      </c>
      <c r="R1409" s="11"/>
      <c r="S1409" s="11"/>
      <c r="T1409" s="11"/>
      <c r="U1409" s="11">
        <f t="shared" si="448"/>
        <v>2.2999999999999998</v>
      </c>
      <c r="W1409">
        <v>2.5</v>
      </c>
      <c r="X1409" s="1" t="s">
        <v>74</v>
      </c>
    </row>
    <row r="1410" spans="1:24" x14ac:dyDescent="0.25">
      <c r="A1410" s="1" t="str">
        <f t="shared" ref="A1410:A1473" si="465">"卡卡杜-凤凰仓"</f>
        <v>卡卡杜-凤凰仓</v>
      </c>
      <c r="B1410" s="1" t="str">
        <f>"CK20241029327"</f>
        <v>CK20241029327</v>
      </c>
      <c r="C1410" s="1" t="str">
        <f>"DD202410299919"</f>
        <v>DD202410299919</v>
      </c>
      <c r="D1410" s="1" t="str">
        <f>"CK2024102915219"</f>
        <v>CK2024102915219</v>
      </c>
      <c r="E1410" s="1" t="str">
        <f>"3723627405171623424"</f>
        <v>3723627405171623424</v>
      </c>
      <c r="F1410" s="1" t="str">
        <f t="shared" ref="F1410:F1473" si="466">"花都四部-凤凰仓"</f>
        <v>花都四部-凤凰仓</v>
      </c>
      <c r="G1410" s="1" t="str">
        <f t="shared" si="454"/>
        <v>卡卡杜企业店（视频号）</v>
      </c>
      <c r="H1410" s="1" t="str">
        <f t="shared" ref="H1410:H1473" si="467">"正常订单"</f>
        <v>正常订单</v>
      </c>
      <c r="I1410" s="1" t="str">
        <f t="shared" ref="I1410:I1473" si="468">"已发货"</f>
        <v>已发货</v>
      </c>
      <c r="J1410" s="1" t="str">
        <f t="shared" si="464"/>
        <v>3</v>
      </c>
      <c r="K1410" s="1">
        <v>2</v>
      </c>
      <c r="L1410" s="1" t="s">
        <v>96</v>
      </c>
      <c r="M1410" s="1" t="str">
        <f>"广西壮族自治区 桂林市 叠彩区 "</f>
        <v xml:space="preserve">广西壮族自治区 桂林市 叠彩区 </v>
      </c>
      <c r="N1410" s="1" t="str">
        <f t="shared" si="462"/>
        <v>凡华云仓-城南圆通-微信视频号</v>
      </c>
      <c r="O1410" s="5" t="s">
        <v>1447</v>
      </c>
      <c r="P1410" s="6">
        <v>0.24</v>
      </c>
      <c r="Q1410" s="11">
        <v>2</v>
      </c>
      <c r="R1410" s="11"/>
      <c r="S1410" s="11"/>
      <c r="T1410" s="11"/>
      <c r="U1410" s="11">
        <f t="shared" si="448"/>
        <v>2</v>
      </c>
      <c r="W1410">
        <v>2.2000000000000002</v>
      </c>
      <c r="X1410" s="1" t="s">
        <v>96</v>
      </c>
    </row>
    <row r="1411" spans="1:24" x14ac:dyDescent="0.25">
      <c r="A1411" s="1" t="str">
        <f t="shared" si="465"/>
        <v>卡卡杜-凤凰仓</v>
      </c>
      <c r="B1411" s="1" t="str">
        <f>"CK20241029328"</f>
        <v>CK20241029328</v>
      </c>
      <c r="C1411" s="1" t="str">
        <f>"DD202410299920"</f>
        <v>DD202410299920</v>
      </c>
      <c r="D1411" s="1" t="str">
        <f>"CK2024102915218"</f>
        <v>CK2024102915218</v>
      </c>
      <c r="E1411" s="1" t="str">
        <f>"3723627405146721280"</f>
        <v>3723627405146721280</v>
      </c>
      <c r="F1411" s="1" t="str">
        <f t="shared" si="466"/>
        <v>花都四部-凤凰仓</v>
      </c>
      <c r="G1411" s="1" t="str">
        <f t="shared" si="454"/>
        <v>卡卡杜企业店（视频号）</v>
      </c>
      <c r="H1411" s="1" t="str">
        <f t="shared" si="467"/>
        <v>正常订单</v>
      </c>
      <c r="I1411" s="1" t="str">
        <f t="shared" si="468"/>
        <v>已发货</v>
      </c>
      <c r="J1411" s="1" t="str">
        <f t="shared" si="464"/>
        <v>3</v>
      </c>
      <c r="K1411" s="1">
        <v>2</v>
      </c>
      <c r="L1411" s="1" t="s">
        <v>105</v>
      </c>
      <c r="M1411" s="1" t="str">
        <f>"北京 北京市 西城区 "</f>
        <v xml:space="preserve">北京 北京市 西城区 </v>
      </c>
      <c r="N1411" s="1" t="str">
        <f t="shared" si="462"/>
        <v>凡华云仓-城南圆通-微信视频号</v>
      </c>
      <c r="O1411" s="5" t="s">
        <v>1448</v>
      </c>
      <c r="P1411" s="6">
        <v>0.24</v>
      </c>
      <c r="Q1411" s="11">
        <v>2</v>
      </c>
      <c r="R1411" s="11"/>
      <c r="S1411" s="11"/>
      <c r="T1411" s="11"/>
      <c r="U1411" s="11">
        <f t="shared" ref="U1411:U1474" si="469">T1411+S1411+R1411+Q1411</f>
        <v>2</v>
      </c>
      <c r="W1411">
        <v>2.2000000000000002</v>
      </c>
      <c r="X1411" s="1" t="s">
        <v>105</v>
      </c>
    </row>
    <row r="1412" spans="1:24" x14ac:dyDescent="0.25">
      <c r="A1412" s="1" t="str">
        <f t="shared" si="465"/>
        <v>卡卡杜-凤凰仓</v>
      </c>
      <c r="B1412" s="1" t="str">
        <f>"CK20241029158"</f>
        <v>CK20241029158</v>
      </c>
      <c r="C1412" s="1" t="str">
        <f>"DD202410299541"</f>
        <v>DD202410299541</v>
      </c>
      <c r="D1412" s="1" t="str">
        <f>"CK2024102915217"</f>
        <v>CK2024102915217</v>
      </c>
      <c r="E1412" s="1" t="str">
        <f>"3723627271401374976"</f>
        <v>3723627271401374976</v>
      </c>
      <c r="F1412" s="1" t="str">
        <f t="shared" si="466"/>
        <v>花都四部-凤凰仓</v>
      </c>
      <c r="G1412" s="1" t="str">
        <f t="shared" si="454"/>
        <v>卡卡杜企业店（视频号）</v>
      </c>
      <c r="H1412" s="1" t="str">
        <f t="shared" si="467"/>
        <v>正常订单</v>
      </c>
      <c r="I1412" s="1" t="str">
        <f t="shared" si="468"/>
        <v>已发货</v>
      </c>
      <c r="J1412" s="1" t="str">
        <f t="shared" si="463"/>
        <v>2</v>
      </c>
      <c r="K1412" s="1">
        <v>2</v>
      </c>
      <c r="L1412" s="1" t="s">
        <v>92</v>
      </c>
      <c r="M1412" s="1" t="str">
        <f>"辽宁省 营口市 盖州市 "</f>
        <v xml:space="preserve">辽宁省 营口市 盖州市 </v>
      </c>
      <c r="N1412" s="1" t="str">
        <f t="shared" si="462"/>
        <v>凡华云仓-城南圆通-微信视频号</v>
      </c>
      <c r="O1412" s="5" t="s">
        <v>1449</v>
      </c>
      <c r="P1412" s="6">
        <v>0.17</v>
      </c>
      <c r="Q1412" s="11">
        <v>2</v>
      </c>
      <c r="R1412" s="11"/>
      <c r="S1412" s="11"/>
      <c r="T1412" s="11"/>
      <c r="U1412" s="11">
        <f t="shared" si="469"/>
        <v>2</v>
      </c>
      <c r="W1412">
        <v>2.2000000000000002</v>
      </c>
      <c r="X1412" s="1" t="s">
        <v>92</v>
      </c>
    </row>
    <row r="1413" spans="1:24" x14ac:dyDescent="0.25">
      <c r="A1413" s="1" t="str">
        <f t="shared" si="465"/>
        <v>卡卡杜-凤凰仓</v>
      </c>
      <c r="B1413" s="1" t="str">
        <f>"CK20241029118"</f>
        <v>CK20241029118</v>
      </c>
      <c r="C1413" s="1" t="str">
        <f>"DD202410299500"</f>
        <v>DD202410299500</v>
      </c>
      <c r="D1413" s="1" t="str">
        <f>"CK2024102915216"</f>
        <v>CK2024102915216</v>
      </c>
      <c r="E1413" s="1" t="str">
        <f>"3723627304920419328"</f>
        <v>3723627304920419328</v>
      </c>
      <c r="F1413" s="1" t="str">
        <f t="shared" si="466"/>
        <v>花都四部-凤凰仓</v>
      </c>
      <c r="G1413" s="1" t="str">
        <f t="shared" si="454"/>
        <v>卡卡杜企业店（视频号）</v>
      </c>
      <c r="H1413" s="1" t="str">
        <f t="shared" si="467"/>
        <v>正常订单</v>
      </c>
      <c r="I1413" s="1" t="str">
        <f t="shared" si="468"/>
        <v>已发货</v>
      </c>
      <c r="J1413" s="1" t="str">
        <f t="shared" si="463"/>
        <v>2</v>
      </c>
      <c r="K1413" s="1">
        <v>2</v>
      </c>
      <c r="L1413" s="1" t="s">
        <v>74</v>
      </c>
      <c r="M1413" s="1" t="str">
        <f>"上海 上海市 浦东新区 "</f>
        <v xml:space="preserve">上海 上海市 浦东新区 </v>
      </c>
      <c r="N1413" s="1" t="str">
        <f t="shared" si="462"/>
        <v>凡华云仓-城南圆通-微信视频号</v>
      </c>
      <c r="O1413" s="5" t="s">
        <v>1450</v>
      </c>
      <c r="P1413" s="6">
        <v>0.17</v>
      </c>
      <c r="Q1413" s="11">
        <v>2</v>
      </c>
      <c r="R1413" s="11"/>
      <c r="S1413" s="11"/>
      <c r="T1413" s="11"/>
      <c r="U1413" s="11">
        <f t="shared" si="469"/>
        <v>2</v>
      </c>
      <c r="W1413">
        <v>2.2000000000000002</v>
      </c>
      <c r="X1413" s="1" t="s">
        <v>74</v>
      </c>
    </row>
    <row r="1414" spans="1:24" x14ac:dyDescent="0.25">
      <c r="A1414" s="1" t="str">
        <f t="shared" si="465"/>
        <v>卡卡杜-凤凰仓</v>
      </c>
      <c r="B1414" s="1" t="str">
        <f>"CK20241029116"</f>
        <v>CK20241029116</v>
      </c>
      <c r="C1414" s="1" t="str">
        <f>"DD202410299498"</f>
        <v>DD202410299498</v>
      </c>
      <c r="D1414" s="1" t="str">
        <f>"CK2024102915215"</f>
        <v>CK2024102915215</v>
      </c>
      <c r="E1414" s="1" t="str">
        <f>"3723627286731559936"</f>
        <v>3723627286731559936</v>
      </c>
      <c r="F1414" s="1" t="str">
        <f t="shared" si="466"/>
        <v>花都四部-凤凰仓</v>
      </c>
      <c r="G1414" s="1" t="str">
        <f t="shared" si="454"/>
        <v>卡卡杜企业店（视频号）</v>
      </c>
      <c r="H1414" s="1" t="str">
        <f t="shared" si="467"/>
        <v>正常订单</v>
      </c>
      <c r="I1414" s="1" t="str">
        <f t="shared" si="468"/>
        <v>已发货</v>
      </c>
      <c r="J1414" s="1" t="str">
        <f t="shared" si="463"/>
        <v>2</v>
      </c>
      <c r="K1414" s="1">
        <v>2</v>
      </c>
      <c r="L1414" s="1" t="s">
        <v>187</v>
      </c>
      <c r="M1414" s="1" t="str">
        <f>"吉林省 长春市 南关区 "</f>
        <v xml:space="preserve">吉林省 长春市 南关区 </v>
      </c>
      <c r="N1414" s="1" t="str">
        <f t="shared" si="462"/>
        <v>凡华云仓-城南圆通-微信视频号</v>
      </c>
      <c r="O1414" s="5" t="s">
        <v>1451</v>
      </c>
      <c r="P1414" s="6">
        <v>0.17</v>
      </c>
      <c r="Q1414" s="11">
        <v>2</v>
      </c>
      <c r="R1414" s="11"/>
      <c r="S1414" s="11"/>
      <c r="T1414" s="11"/>
      <c r="U1414" s="11">
        <f t="shared" si="469"/>
        <v>2</v>
      </c>
      <c r="W1414">
        <v>2.2000000000000002</v>
      </c>
      <c r="X1414" s="1" t="s">
        <v>187</v>
      </c>
    </row>
    <row r="1415" spans="1:24" x14ac:dyDescent="0.25">
      <c r="A1415" s="1" t="str">
        <f t="shared" si="465"/>
        <v>卡卡杜-凤凰仓</v>
      </c>
      <c r="B1415" s="1" t="str">
        <f>"CK20241029330"</f>
        <v>CK20241029330</v>
      </c>
      <c r="C1415" s="1" t="str">
        <f>"DD202410299922"</f>
        <v>DD202410299922</v>
      </c>
      <c r="D1415" s="1" t="str">
        <f>"CK2024102915214"</f>
        <v>CK2024102915214</v>
      </c>
      <c r="E1415" s="1" t="str">
        <f>"3723627278225769728"</f>
        <v>3723627278225769728</v>
      </c>
      <c r="F1415" s="1" t="str">
        <f t="shared" si="466"/>
        <v>花都四部-凤凰仓</v>
      </c>
      <c r="G1415" s="1" t="str">
        <f t="shared" si="454"/>
        <v>卡卡杜企业店（视频号）</v>
      </c>
      <c r="H1415" s="1" t="str">
        <f t="shared" si="467"/>
        <v>正常订单</v>
      </c>
      <c r="I1415" s="1" t="str">
        <f t="shared" si="468"/>
        <v>已发货</v>
      </c>
      <c r="J1415" s="1" t="str">
        <f>"3"</f>
        <v>3</v>
      </c>
      <c r="K1415" s="1">
        <v>2</v>
      </c>
      <c r="L1415" s="1" t="s">
        <v>105</v>
      </c>
      <c r="M1415" s="1" t="str">
        <f>"北京 北京市 海淀区 "</f>
        <v xml:space="preserve">北京 北京市 海淀区 </v>
      </c>
      <c r="N1415" s="1" t="str">
        <f t="shared" si="462"/>
        <v>凡华云仓-城南圆通-微信视频号</v>
      </c>
      <c r="O1415" s="5" t="s">
        <v>1452</v>
      </c>
      <c r="P1415" s="6">
        <v>0.24</v>
      </c>
      <c r="Q1415" s="11">
        <v>2</v>
      </c>
      <c r="R1415" s="11"/>
      <c r="S1415" s="11"/>
      <c r="T1415" s="11"/>
      <c r="U1415" s="11">
        <f t="shared" si="469"/>
        <v>2</v>
      </c>
      <c r="W1415">
        <v>2.2000000000000002</v>
      </c>
      <c r="X1415" s="1" t="s">
        <v>105</v>
      </c>
    </row>
    <row r="1416" spans="1:24" x14ac:dyDescent="0.25">
      <c r="A1416" s="1" t="str">
        <f t="shared" si="465"/>
        <v>卡卡杜-凤凰仓</v>
      </c>
      <c r="B1416" s="1" t="str">
        <f>"CK20241029119"</f>
        <v>CK20241029119</v>
      </c>
      <c r="C1416" s="1" t="str">
        <f>"DD202410299501"</f>
        <v>DD202410299501</v>
      </c>
      <c r="D1416" s="1" t="str">
        <f>"CK2024102915213"</f>
        <v>CK2024102915213</v>
      </c>
      <c r="E1416" s="1" t="str">
        <f>"3723627274180625664"</f>
        <v>3723627274180625664</v>
      </c>
      <c r="F1416" s="1" t="str">
        <f t="shared" si="466"/>
        <v>花都四部-凤凰仓</v>
      </c>
      <c r="G1416" s="1" t="str">
        <f t="shared" si="454"/>
        <v>卡卡杜企业店（视频号）</v>
      </c>
      <c r="H1416" s="1" t="str">
        <f t="shared" si="467"/>
        <v>正常订单</v>
      </c>
      <c r="I1416" s="1" t="str">
        <f t="shared" si="468"/>
        <v>已发货</v>
      </c>
      <c r="J1416" s="1" t="str">
        <f t="shared" ref="J1416:J1418" si="470">"2"</f>
        <v>2</v>
      </c>
      <c r="K1416" s="1">
        <v>2</v>
      </c>
      <c r="L1416" s="1" t="s">
        <v>218</v>
      </c>
      <c r="M1416" s="1" t="str">
        <f>"天津 天津市 东丽区 "</f>
        <v xml:space="preserve">天津 天津市 东丽区 </v>
      </c>
      <c r="N1416" s="1" t="str">
        <f t="shared" si="462"/>
        <v>凡华云仓-城南圆通-微信视频号</v>
      </c>
      <c r="O1416" s="5" t="s">
        <v>1453</v>
      </c>
      <c r="P1416" s="6">
        <v>0.17</v>
      </c>
      <c r="Q1416" s="11">
        <v>2</v>
      </c>
      <c r="R1416" s="11"/>
      <c r="S1416" s="11"/>
      <c r="T1416" s="11"/>
      <c r="U1416" s="11">
        <f t="shared" si="469"/>
        <v>2</v>
      </c>
      <c r="W1416">
        <v>2.2000000000000002</v>
      </c>
      <c r="X1416" s="1" t="s">
        <v>218</v>
      </c>
    </row>
    <row r="1417" spans="1:24" x14ac:dyDescent="0.25">
      <c r="A1417" s="1" t="str">
        <f t="shared" si="465"/>
        <v>卡卡杜-凤凰仓</v>
      </c>
      <c r="B1417" s="1" t="str">
        <f>"CK20241029117"</f>
        <v>CK20241029117</v>
      </c>
      <c r="C1417" s="1" t="str">
        <f>"DD202410299499"</f>
        <v>DD202410299499</v>
      </c>
      <c r="D1417" s="1" t="str">
        <f>"CK2024102915212"</f>
        <v>CK2024102915212</v>
      </c>
      <c r="E1417" s="1" t="str">
        <f>"3723627278314640384"</f>
        <v>3723627278314640384</v>
      </c>
      <c r="F1417" s="1" t="str">
        <f t="shared" si="466"/>
        <v>花都四部-凤凰仓</v>
      </c>
      <c r="G1417" s="1" t="str">
        <f t="shared" si="454"/>
        <v>卡卡杜企业店（视频号）</v>
      </c>
      <c r="H1417" s="1" t="str">
        <f t="shared" si="467"/>
        <v>正常订单</v>
      </c>
      <c r="I1417" s="1" t="str">
        <f t="shared" si="468"/>
        <v>已发货</v>
      </c>
      <c r="J1417" s="1" t="str">
        <f t="shared" si="470"/>
        <v>2</v>
      </c>
      <c r="K1417" s="1">
        <v>2</v>
      </c>
      <c r="L1417" s="1" t="s">
        <v>41</v>
      </c>
      <c r="M1417" s="1" t="str">
        <f>"湖北省 襄阳市 樊城区 "</f>
        <v xml:space="preserve">湖北省 襄阳市 樊城区 </v>
      </c>
      <c r="N1417" s="1" t="str">
        <f t="shared" si="462"/>
        <v>凡华云仓-城南圆通-微信视频号</v>
      </c>
      <c r="O1417" s="5" t="s">
        <v>1454</v>
      </c>
      <c r="P1417" s="6">
        <v>0.17</v>
      </c>
      <c r="Q1417" s="11">
        <v>2</v>
      </c>
      <c r="R1417" s="11"/>
      <c r="S1417" s="11"/>
      <c r="T1417" s="11"/>
      <c r="U1417" s="11">
        <f t="shared" si="469"/>
        <v>2</v>
      </c>
      <c r="W1417">
        <v>2.2000000000000002</v>
      </c>
      <c r="X1417" s="1" t="s">
        <v>41</v>
      </c>
    </row>
    <row r="1418" spans="1:24" x14ac:dyDescent="0.25">
      <c r="A1418" s="1" t="str">
        <f t="shared" si="465"/>
        <v>卡卡杜-凤凰仓</v>
      </c>
      <c r="B1418" s="1" t="str">
        <f>"CK2024102909"</f>
        <v>CK2024102909</v>
      </c>
      <c r="C1418" s="1" t="str">
        <f>"DD202410299370"</f>
        <v>DD202410299370</v>
      </c>
      <c r="D1418" s="1" t="str">
        <f>"CK2024102915211"</f>
        <v>CK2024102915211</v>
      </c>
      <c r="E1418" s="1" t="str">
        <f>"3723627279635055872"</f>
        <v>3723627279635055872</v>
      </c>
      <c r="F1418" s="1" t="str">
        <f t="shared" si="466"/>
        <v>花都四部-凤凰仓</v>
      </c>
      <c r="G1418" s="1" t="str">
        <f t="shared" si="454"/>
        <v>卡卡杜企业店（视频号）</v>
      </c>
      <c r="H1418" s="1" t="str">
        <f t="shared" si="467"/>
        <v>正常订单</v>
      </c>
      <c r="I1418" s="1" t="str">
        <f t="shared" si="468"/>
        <v>已发货</v>
      </c>
      <c r="J1418" s="1" t="str">
        <f t="shared" si="470"/>
        <v>2</v>
      </c>
      <c r="K1418" s="1">
        <v>2</v>
      </c>
      <c r="L1418" s="1" t="s">
        <v>105</v>
      </c>
      <c r="M1418" s="1" t="str">
        <f>"北京 北京市 朝阳区 "</f>
        <v xml:space="preserve">北京 北京市 朝阳区 </v>
      </c>
      <c r="N1418" s="1" t="str">
        <f t="shared" si="462"/>
        <v>凡华云仓-城南圆通-微信视频号</v>
      </c>
      <c r="O1418" s="5" t="s">
        <v>1455</v>
      </c>
      <c r="P1418" s="6">
        <v>0.17</v>
      </c>
      <c r="Q1418" s="11">
        <v>2</v>
      </c>
      <c r="R1418" s="11"/>
      <c r="S1418" s="11"/>
      <c r="T1418" s="11"/>
      <c r="U1418" s="11">
        <f t="shared" si="469"/>
        <v>2</v>
      </c>
      <c r="W1418">
        <v>2.2000000000000002</v>
      </c>
      <c r="X1418" s="1" t="s">
        <v>105</v>
      </c>
    </row>
    <row r="1419" spans="1:24" x14ac:dyDescent="0.25">
      <c r="A1419" s="1" t="str">
        <f t="shared" si="465"/>
        <v>卡卡杜-凤凰仓</v>
      </c>
      <c r="B1419" s="1" t="str">
        <f>"CK20241029331"</f>
        <v>CK20241029331</v>
      </c>
      <c r="C1419" s="1" t="str">
        <f>"DD202410299923"</f>
        <v>DD202410299923</v>
      </c>
      <c r="D1419" s="1" t="str">
        <f>"CK2024102915210"</f>
        <v>CK2024102915210</v>
      </c>
      <c r="E1419" s="1" t="str">
        <f>"3723627273517925889"</f>
        <v>3723627273517925889</v>
      </c>
      <c r="F1419" s="1" t="str">
        <f t="shared" si="466"/>
        <v>花都四部-凤凰仓</v>
      </c>
      <c r="G1419" s="1" t="str">
        <f t="shared" si="454"/>
        <v>卡卡杜企业店（视频号）</v>
      </c>
      <c r="H1419" s="1" t="str">
        <f t="shared" si="467"/>
        <v>正常订单</v>
      </c>
      <c r="I1419" s="1" t="str">
        <f t="shared" si="468"/>
        <v>已发货</v>
      </c>
      <c r="J1419" s="1" t="str">
        <f>"3"</f>
        <v>3</v>
      </c>
      <c r="K1419" s="1">
        <v>2</v>
      </c>
      <c r="L1419" s="1" t="s">
        <v>16</v>
      </c>
      <c r="M1419" s="1" t="str">
        <f>"河北省 唐山市 路南区 "</f>
        <v xml:space="preserve">河北省 唐山市 路南区 </v>
      </c>
      <c r="N1419" s="1" t="str">
        <f t="shared" si="462"/>
        <v>凡华云仓-城南圆通-微信视频号</v>
      </c>
      <c r="O1419" s="5" t="s">
        <v>1456</v>
      </c>
      <c r="P1419" s="6">
        <v>0.24</v>
      </c>
      <c r="Q1419" s="11">
        <v>2</v>
      </c>
      <c r="R1419" s="11"/>
      <c r="S1419" s="11"/>
      <c r="T1419" s="11"/>
      <c r="U1419" s="11">
        <f t="shared" si="469"/>
        <v>2</v>
      </c>
      <c r="W1419">
        <v>2.2000000000000002</v>
      </c>
      <c r="X1419" s="1" t="s">
        <v>16</v>
      </c>
    </row>
    <row r="1420" spans="1:24" x14ac:dyDescent="0.25">
      <c r="A1420" s="1" t="str">
        <f t="shared" si="465"/>
        <v>卡卡杜-凤凰仓</v>
      </c>
      <c r="B1420" s="1" t="str">
        <f>"CK20241029120"</f>
        <v>CK20241029120</v>
      </c>
      <c r="C1420" s="1" t="str">
        <f>"DD202410299502"</f>
        <v>DD202410299502</v>
      </c>
      <c r="D1420" s="1" t="str">
        <f>"CK2024102915209"</f>
        <v>CK2024102915209</v>
      </c>
      <c r="E1420" s="1" t="str">
        <f>"3723627272997049344"</f>
        <v>3723627272997049344</v>
      </c>
      <c r="F1420" s="1" t="str">
        <f t="shared" si="466"/>
        <v>花都四部-凤凰仓</v>
      </c>
      <c r="G1420" s="1" t="str">
        <f t="shared" si="454"/>
        <v>卡卡杜企业店（视频号）</v>
      </c>
      <c r="H1420" s="1" t="str">
        <f t="shared" si="467"/>
        <v>正常订单</v>
      </c>
      <c r="I1420" s="1" t="str">
        <f t="shared" si="468"/>
        <v>已发货</v>
      </c>
      <c r="J1420" s="1" t="str">
        <f t="shared" ref="J1420:J1423" si="471">"2"</f>
        <v>2</v>
      </c>
      <c r="K1420" s="1">
        <v>2</v>
      </c>
      <c r="L1420" s="1" t="s">
        <v>13</v>
      </c>
      <c r="M1420" s="1" t="str">
        <f>"江苏省 镇江市 京口区 "</f>
        <v xml:space="preserve">江苏省 镇江市 京口区 </v>
      </c>
      <c r="N1420" s="1" t="str">
        <f t="shared" si="462"/>
        <v>凡华云仓-城南圆通-微信视频号</v>
      </c>
      <c r="O1420" s="5" t="s">
        <v>1457</v>
      </c>
      <c r="P1420" s="6">
        <v>0.17</v>
      </c>
      <c r="Q1420" s="11">
        <v>2</v>
      </c>
      <c r="R1420" s="11"/>
      <c r="S1420" s="11"/>
      <c r="T1420" s="11"/>
      <c r="U1420" s="11">
        <f t="shared" si="469"/>
        <v>2</v>
      </c>
      <c r="W1420">
        <v>2.2000000000000002</v>
      </c>
      <c r="X1420" s="1" t="s">
        <v>13</v>
      </c>
    </row>
    <row r="1421" spans="1:24" x14ac:dyDescent="0.25">
      <c r="A1421" s="1" t="str">
        <f t="shared" si="465"/>
        <v>卡卡杜-凤凰仓</v>
      </c>
      <c r="B1421" s="1" t="str">
        <f>"CK2024102983"</f>
        <v>CK2024102983</v>
      </c>
      <c r="C1421" s="1" t="str">
        <f>"DD202410299465"</f>
        <v>DD202410299465</v>
      </c>
      <c r="D1421" s="1" t="str">
        <f>"CK2024102915208"</f>
        <v>CK2024102915208</v>
      </c>
      <c r="E1421" s="1" t="str">
        <f>"3723627255057221120"</f>
        <v>3723627255057221120</v>
      </c>
      <c r="F1421" s="1" t="str">
        <f t="shared" si="466"/>
        <v>花都四部-凤凰仓</v>
      </c>
      <c r="G1421" s="1" t="str">
        <f t="shared" si="454"/>
        <v>卡卡杜企业店（视频号）</v>
      </c>
      <c r="H1421" s="1" t="str">
        <f t="shared" si="467"/>
        <v>正常订单</v>
      </c>
      <c r="I1421" s="1" t="str">
        <f t="shared" si="468"/>
        <v>已发货</v>
      </c>
      <c r="J1421" s="1" t="str">
        <f t="shared" si="471"/>
        <v>2</v>
      </c>
      <c r="K1421" s="1">
        <v>2</v>
      </c>
      <c r="L1421" s="1" t="s">
        <v>96</v>
      </c>
      <c r="M1421" s="1" t="str">
        <f>"广西壮族自治区 南宁市 青秀区 "</f>
        <v xml:space="preserve">广西壮族自治区 南宁市 青秀区 </v>
      </c>
      <c r="N1421" s="1" t="str">
        <f t="shared" si="462"/>
        <v>凡华云仓-城南圆通-微信视频号</v>
      </c>
      <c r="O1421" s="5" t="s">
        <v>1458</v>
      </c>
      <c r="P1421" s="6">
        <v>0.17</v>
      </c>
      <c r="Q1421" s="11">
        <v>2</v>
      </c>
      <c r="R1421" s="11"/>
      <c r="S1421" s="11"/>
      <c r="T1421" s="11"/>
      <c r="U1421" s="11">
        <f t="shared" si="469"/>
        <v>2</v>
      </c>
      <c r="W1421">
        <v>2.2000000000000002</v>
      </c>
      <c r="X1421" s="1" t="s">
        <v>96</v>
      </c>
    </row>
    <row r="1422" spans="1:24" x14ac:dyDescent="0.25">
      <c r="A1422" s="1" t="str">
        <f t="shared" si="465"/>
        <v>卡卡杜-凤凰仓</v>
      </c>
      <c r="B1422" s="1" t="str">
        <f>"CK2024102931"</f>
        <v>CK2024102931</v>
      </c>
      <c r="C1422" s="1" t="str">
        <f>"DD202410299412"</f>
        <v>DD202410299412</v>
      </c>
      <c r="D1422" s="1" t="str">
        <f>"CK2024102915207"</f>
        <v>CK2024102915207</v>
      </c>
      <c r="E1422" s="1" t="str">
        <f>"3723627270364337153"</f>
        <v>3723627270364337153</v>
      </c>
      <c r="F1422" s="1" t="str">
        <f t="shared" si="466"/>
        <v>花都四部-凤凰仓</v>
      </c>
      <c r="G1422" s="1" t="str">
        <f t="shared" si="454"/>
        <v>卡卡杜企业店（视频号）</v>
      </c>
      <c r="H1422" s="1" t="str">
        <f t="shared" si="467"/>
        <v>正常订单</v>
      </c>
      <c r="I1422" s="1" t="str">
        <f t="shared" si="468"/>
        <v>已发货</v>
      </c>
      <c r="J1422" s="1" t="str">
        <f t="shared" si="471"/>
        <v>2</v>
      </c>
      <c r="K1422" s="1">
        <v>2</v>
      </c>
      <c r="L1422" s="1" t="s">
        <v>80</v>
      </c>
      <c r="M1422" s="1" t="str">
        <f>"河南省 郑州市 二七区 "</f>
        <v xml:space="preserve">河南省 郑州市 二七区 </v>
      </c>
      <c r="N1422" s="1" t="str">
        <f t="shared" si="462"/>
        <v>凡华云仓-城南圆通-微信视频号</v>
      </c>
      <c r="O1422" s="5" t="s">
        <v>1459</v>
      </c>
      <c r="P1422" s="6">
        <v>0.17</v>
      </c>
      <c r="Q1422" s="11">
        <v>2</v>
      </c>
      <c r="R1422" s="11"/>
      <c r="S1422" s="11"/>
      <c r="T1422" s="11"/>
      <c r="U1422" s="11">
        <f t="shared" si="469"/>
        <v>2</v>
      </c>
      <c r="W1422">
        <v>2.2000000000000002</v>
      </c>
      <c r="X1422" s="1" t="s">
        <v>80</v>
      </c>
    </row>
    <row r="1423" spans="1:24" x14ac:dyDescent="0.25">
      <c r="A1423" s="1" t="str">
        <f t="shared" si="465"/>
        <v>卡卡杜-凤凰仓</v>
      </c>
      <c r="B1423" s="1" t="str">
        <f>"CK2024102922"</f>
        <v>CK2024102922</v>
      </c>
      <c r="C1423" s="1" t="str">
        <f>"DD202410299392"</f>
        <v>DD202410299392</v>
      </c>
      <c r="D1423" s="1" t="str">
        <f>"CK2024102915206"</f>
        <v>CK2024102915206</v>
      </c>
      <c r="E1423" s="1" t="str">
        <f>"3723627267771208704"</f>
        <v>3723627267771208704</v>
      </c>
      <c r="F1423" s="1" t="str">
        <f t="shared" si="466"/>
        <v>花都四部-凤凰仓</v>
      </c>
      <c r="G1423" s="1" t="str">
        <f t="shared" si="454"/>
        <v>卡卡杜企业店（视频号）</v>
      </c>
      <c r="H1423" s="1" t="str">
        <f t="shared" si="467"/>
        <v>正常订单</v>
      </c>
      <c r="I1423" s="1" t="str">
        <f t="shared" si="468"/>
        <v>已发货</v>
      </c>
      <c r="J1423" s="1" t="str">
        <f t="shared" si="471"/>
        <v>2</v>
      </c>
      <c r="K1423" s="1">
        <v>2</v>
      </c>
      <c r="L1423" s="1" t="s">
        <v>218</v>
      </c>
      <c r="M1423" s="1" t="str">
        <f>"天津 天津市 东丽区 "</f>
        <v xml:space="preserve">天津 天津市 东丽区 </v>
      </c>
      <c r="N1423" s="1" t="str">
        <f t="shared" si="462"/>
        <v>凡华云仓-城南圆通-微信视频号</v>
      </c>
      <c r="O1423" s="5" t="s">
        <v>1460</v>
      </c>
      <c r="P1423" s="6">
        <v>0.17</v>
      </c>
      <c r="Q1423" s="11">
        <v>2</v>
      </c>
      <c r="R1423" s="11"/>
      <c r="S1423" s="11"/>
      <c r="T1423" s="11"/>
      <c r="U1423" s="11">
        <f t="shared" si="469"/>
        <v>2</v>
      </c>
      <c r="W1423">
        <v>2.2000000000000002</v>
      </c>
      <c r="X1423" s="1" t="s">
        <v>218</v>
      </c>
    </row>
    <row r="1424" spans="1:24" x14ac:dyDescent="0.25">
      <c r="A1424" s="1" t="str">
        <f t="shared" si="465"/>
        <v>卡卡杜-凤凰仓</v>
      </c>
      <c r="B1424" s="1" t="str">
        <f>"CK20241029333"</f>
        <v>CK20241029333</v>
      </c>
      <c r="C1424" s="1" t="str">
        <f>"DD202410299925"</f>
        <v>DD202410299925</v>
      </c>
      <c r="D1424" s="1" t="str">
        <f>"CK2024102915205"</f>
        <v>CK2024102915205</v>
      </c>
      <c r="E1424" s="1" t="str">
        <f>"3723627263616224256"</f>
        <v>3723627263616224256</v>
      </c>
      <c r="F1424" s="1" t="str">
        <f t="shared" si="466"/>
        <v>花都四部-凤凰仓</v>
      </c>
      <c r="G1424" s="1" t="str">
        <f t="shared" si="454"/>
        <v>卡卡杜企业店（视频号）</v>
      </c>
      <c r="H1424" s="1" t="str">
        <f t="shared" si="467"/>
        <v>正常订单</v>
      </c>
      <c r="I1424" s="1" t="str">
        <f t="shared" si="468"/>
        <v>已发货</v>
      </c>
      <c r="J1424" s="1" t="str">
        <f t="shared" ref="J1424:J1426" si="472">"3"</f>
        <v>3</v>
      </c>
      <c r="K1424" s="1">
        <v>2</v>
      </c>
      <c r="L1424" s="1" t="s">
        <v>18</v>
      </c>
      <c r="M1424" s="1" t="str">
        <f>"广东省 广州市 天河区 "</f>
        <v xml:space="preserve">广东省 广州市 天河区 </v>
      </c>
      <c r="N1424" s="1" t="str">
        <f t="shared" si="462"/>
        <v>凡华云仓-城南圆通-微信视频号</v>
      </c>
      <c r="O1424" s="5" t="s">
        <v>1461</v>
      </c>
      <c r="P1424" s="6">
        <v>0.24</v>
      </c>
      <c r="Q1424" s="11">
        <v>2</v>
      </c>
      <c r="R1424" s="11"/>
      <c r="S1424" s="11"/>
      <c r="T1424" s="11"/>
      <c r="U1424" s="11">
        <f t="shared" si="469"/>
        <v>2</v>
      </c>
      <c r="W1424">
        <v>2.2000000000000002</v>
      </c>
      <c r="X1424" s="1" t="s">
        <v>18</v>
      </c>
    </row>
    <row r="1425" spans="1:24" x14ac:dyDescent="0.25">
      <c r="A1425" s="1" t="str">
        <f t="shared" si="465"/>
        <v>卡卡杜-凤凰仓</v>
      </c>
      <c r="B1425" s="1" t="str">
        <f>"CK20241029332"</f>
        <v>CK20241029332</v>
      </c>
      <c r="C1425" s="1" t="str">
        <f>"DD202410299924"</f>
        <v>DD202410299924</v>
      </c>
      <c r="D1425" s="1" t="str">
        <f>"CK2024102915204"</f>
        <v>CK2024102915204</v>
      </c>
      <c r="E1425" s="1" t="str">
        <f>"3723627267854044160"</f>
        <v>3723627267854044160</v>
      </c>
      <c r="F1425" s="1" t="str">
        <f t="shared" si="466"/>
        <v>花都四部-凤凰仓</v>
      </c>
      <c r="G1425" s="1" t="str">
        <f t="shared" si="454"/>
        <v>卡卡杜企业店（视频号）</v>
      </c>
      <c r="H1425" s="1" t="str">
        <f t="shared" si="467"/>
        <v>正常订单</v>
      </c>
      <c r="I1425" s="1" t="str">
        <f t="shared" si="468"/>
        <v>已发货</v>
      </c>
      <c r="J1425" s="1" t="str">
        <f t="shared" si="472"/>
        <v>3</v>
      </c>
      <c r="K1425" s="1">
        <v>2</v>
      </c>
      <c r="L1425" s="1" t="s">
        <v>18</v>
      </c>
      <c r="M1425" s="1" t="str">
        <f>"广东省 广州市 白云区 "</f>
        <v xml:space="preserve">广东省 广州市 白云区 </v>
      </c>
      <c r="N1425" s="1" t="str">
        <f t="shared" si="462"/>
        <v>凡华云仓-城南圆通-微信视频号</v>
      </c>
      <c r="O1425" s="5" t="s">
        <v>1462</v>
      </c>
      <c r="P1425" s="6">
        <v>0.24</v>
      </c>
      <c r="Q1425" s="11">
        <v>2</v>
      </c>
      <c r="R1425" s="11"/>
      <c r="S1425" s="11"/>
      <c r="T1425" s="11"/>
      <c r="U1425" s="11">
        <f t="shared" si="469"/>
        <v>2</v>
      </c>
      <c r="W1425">
        <v>2.2000000000000002</v>
      </c>
      <c r="X1425" s="1" t="s">
        <v>18</v>
      </c>
    </row>
    <row r="1426" spans="1:24" x14ac:dyDescent="0.25">
      <c r="A1426" s="1" t="str">
        <f t="shared" si="465"/>
        <v>卡卡杜-凤凰仓</v>
      </c>
      <c r="B1426" s="1" t="str">
        <f>"CK20241029334"</f>
        <v>CK20241029334</v>
      </c>
      <c r="C1426" s="1" t="str">
        <f>"DD202410299926"</f>
        <v>DD202410299926</v>
      </c>
      <c r="D1426" s="1" t="str">
        <f>"CK2024102915203"</f>
        <v>CK2024102915203</v>
      </c>
      <c r="E1426" s="1" t="str">
        <f>"3723627264099355650"</f>
        <v>3723627264099355650</v>
      </c>
      <c r="F1426" s="1" t="str">
        <f t="shared" si="466"/>
        <v>花都四部-凤凰仓</v>
      </c>
      <c r="G1426" s="1" t="str">
        <f t="shared" si="454"/>
        <v>卡卡杜企业店（视频号）</v>
      </c>
      <c r="H1426" s="1" t="str">
        <f t="shared" si="467"/>
        <v>正常订单</v>
      </c>
      <c r="I1426" s="1" t="str">
        <f t="shared" si="468"/>
        <v>已发货</v>
      </c>
      <c r="J1426" s="1" t="str">
        <f t="shared" si="472"/>
        <v>3</v>
      </c>
      <c r="K1426" s="1">
        <v>2</v>
      </c>
      <c r="L1426" s="1" t="s">
        <v>105</v>
      </c>
      <c r="M1426" s="1" t="str">
        <f>"北京 北京市 大兴区 "</f>
        <v xml:space="preserve">北京 北京市 大兴区 </v>
      </c>
      <c r="N1426" s="1" t="str">
        <f t="shared" si="462"/>
        <v>凡华云仓-城南圆通-微信视频号</v>
      </c>
      <c r="O1426" s="5" t="s">
        <v>1463</v>
      </c>
      <c r="P1426" s="6">
        <v>0.24</v>
      </c>
      <c r="Q1426" s="11">
        <v>2</v>
      </c>
      <c r="R1426" s="11"/>
      <c r="S1426" s="11"/>
      <c r="T1426" s="11"/>
      <c r="U1426" s="11">
        <f t="shared" si="469"/>
        <v>2</v>
      </c>
      <c r="W1426">
        <v>2.2000000000000002</v>
      </c>
      <c r="X1426" s="1" t="s">
        <v>105</v>
      </c>
    </row>
    <row r="1427" spans="1:24" x14ac:dyDescent="0.25">
      <c r="A1427" s="1" t="str">
        <f t="shared" si="465"/>
        <v>卡卡杜-凤凰仓</v>
      </c>
      <c r="B1427" s="1" t="str">
        <f>"CK2024102944"</f>
        <v>CK2024102944</v>
      </c>
      <c r="C1427" s="1" t="str">
        <f>"DD202410299426"</f>
        <v>DD202410299426</v>
      </c>
      <c r="D1427" s="1" t="str">
        <f>"CK2024102915202"</f>
        <v>CK2024102915202</v>
      </c>
      <c r="E1427" s="1" t="str">
        <f>"3723627265521225728"</f>
        <v>3723627265521225728</v>
      </c>
      <c r="F1427" s="1" t="str">
        <f t="shared" si="466"/>
        <v>花都四部-凤凰仓</v>
      </c>
      <c r="G1427" s="1" t="str">
        <f t="shared" si="454"/>
        <v>卡卡杜企业店（视频号）</v>
      </c>
      <c r="H1427" s="1" t="str">
        <f t="shared" si="467"/>
        <v>正常订单</v>
      </c>
      <c r="I1427" s="1" t="str">
        <f t="shared" si="468"/>
        <v>已发货</v>
      </c>
      <c r="J1427" s="1" t="str">
        <f t="shared" ref="J1427:J1431" si="473">"2"</f>
        <v>2</v>
      </c>
      <c r="K1427" s="1">
        <v>2</v>
      </c>
      <c r="L1427" s="1" t="s">
        <v>16</v>
      </c>
      <c r="M1427" s="1" t="str">
        <f>"河北省 廊坊市 香河县 "</f>
        <v xml:space="preserve">河北省 廊坊市 香河县 </v>
      </c>
      <c r="N1427" s="1" t="str">
        <f t="shared" si="462"/>
        <v>凡华云仓-城南圆通-微信视频号</v>
      </c>
      <c r="O1427" s="5" t="s">
        <v>1464</v>
      </c>
      <c r="P1427" s="6">
        <v>0.17</v>
      </c>
      <c r="Q1427" s="11">
        <v>2</v>
      </c>
      <c r="R1427" s="11"/>
      <c r="S1427" s="11"/>
      <c r="T1427" s="11"/>
      <c r="U1427" s="11">
        <f t="shared" si="469"/>
        <v>2</v>
      </c>
      <c r="W1427">
        <v>2.2000000000000002</v>
      </c>
      <c r="X1427" s="1" t="s">
        <v>16</v>
      </c>
    </row>
    <row r="1428" spans="1:24" x14ac:dyDescent="0.25">
      <c r="A1428" s="1" t="str">
        <f t="shared" si="465"/>
        <v>卡卡杜-凤凰仓</v>
      </c>
      <c r="B1428" s="1" t="str">
        <f>"CK20241029336"</f>
        <v>CK20241029336</v>
      </c>
      <c r="C1428" s="1" t="str">
        <f>"DD202410299927"</f>
        <v>DD202410299927</v>
      </c>
      <c r="D1428" s="1" t="str">
        <f>"CK2024102915201"</f>
        <v>CK2024102915201</v>
      </c>
      <c r="E1428" s="1" t="str">
        <f>"3723627257525569024"</f>
        <v>3723627257525569024</v>
      </c>
      <c r="F1428" s="1" t="str">
        <f t="shared" si="466"/>
        <v>花都四部-凤凰仓</v>
      </c>
      <c r="G1428" s="1" t="str">
        <f t="shared" si="454"/>
        <v>卡卡杜企业店（视频号）</v>
      </c>
      <c r="H1428" s="1" t="str">
        <f t="shared" si="467"/>
        <v>正常订单</v>
      </c>
      <c r="I1428" s="1" t="str">
        <f t="shared" si="468"/>
        <v>已发货</v>
      </c>
      <c r="J1428" s="1" t="str">
        <f>"3"</f>
        <v>3</v>
      </c>
      <c r="K1428" s="1">
        <v>2</v>
      </c>
      <c r="L1428" s="1" t="s">
        <v>16</v>
      </c>
      <c r="M1428" s="1" t="str">
        <f>"河北省 石家庄市 新华区 "</f>
        <v xml:space="preserve">河北省 石家庄市 新华区 </v>
      </c>
      <c r="N1428" s="1" t="str">
        <f t="shared" si="462"/>
        <v>凡华云仓-城南圆通-微信视频号</v>
      </c>
      <c r="O1428" s="5" t="s">
        <v>1465</v>
      </c>
      <c r="P1428" s="6">
        <v>0.24</v>
      </c>
      <c r="Q1428" s="11">
        <v>2</v>
      </c>
      <c r="R1428" s="11"/>
      <c r="S1428" s="11"/>
      <c r="T1428" s="11"/>
      <c r="U1428" s="11">
        <f t="shared" si="469"/>
        <v>2</v>
      </c>
      <c r="W1428">
        <v>2.2000000000000002</v>
      </c>
      <c r="X1428" s="1" t="s">
        <v>16</v>
      </c>
    </row>
    <row r="1429" spans="1:24" x14ac:dyDescent="0.25">
      <c r="A1429" s="1" t="str">
        <f t="shared" si="465"/>
        <v>卡卡杜-凤凰仓</v>
      </c>
      <c r="B1429" s="1" t="str">
        <f>"CK2024102970"</f>
        <v>CK2024102970</v>
      </c>
      <c r="C1429" s="1" t="str">
        <f>"DD202410299452"</f>
        <v>DD202410299452</v>
      </c>
      <c r="D1429" s="1" t="str">
        <f>"CK2024102915200"</f>
        <v>CK2024102915200</v>
      </c>
      <c r="E1429" s="1" t="str">
        <f>"3723627260928723968"</f>
        <v>3723627260928723968</v>
      </c>
      <c r="F1429" s="1" t="str">
        <f t="shared" si="466"/>
        <v>花都四部-凤凰仓</v>
      </c>
      <c r="G1429" s="1" t="str">
        <f t="shared" si="454"/>
        <v>卡卡杜企业店（视频号）</v>
      </c>
      <c r="H1429" s="1" t="str">
        <f t="shared" si="467"/>
        <v>正常订单</v>
      </c>
      <c r="I1429" s="1" t="str">
        <f t="shared" si="468"/>
        <v>已发货</v>
      </c>
      <c r="J1429" s="1" t="str">
        <f t="shared" si="473"/>
        <v>2</v>
      </c>
      <c r="K1429" s="1">
        <v>2</v>
      </c>
      <c r="L1429" s="1" t="s">
        <v>92</v>
      </c>
      <c r="M1429" s="1" t="str">
        <f>"辽宁省 大连市 沙河口区 "</f>
        <v xml:space="preserve">辽宁省 大连市 沙河口区 </v>
      </c>
      <c r="N1429" s="1" t="str">
        <f t="shared" si="462"/>
        <v>凡华云仓-城南圆通-微信视频号</v>
      </c>
      <c r="O1429" s="5" t="s">
        <v>1466</v>
      </c>
      <c r="P1429" s="6">
        <v>0.17</v>
      </c>
      <c r="Q1429" s="11">
        <v>2</v>
      </c>
      <c r="R1429" s="11"/>
      <c r="S1429" s="11"/>
      <c r="T1429" s="11"/>
      <c r="U1429" s="11">
        <f t="shared" si="469"/>
        <v>2</v>
      </c>
      <c r="W1429">
        <v>2.2000000000000002</v>
      </c>
      <c r="X1429" s="1" t="s">
        <v>92</v>
      </c>
    </row>
    <row r="1430" spans="1:24" x14ac:dyDescent="0.25">
      <c r="A1430" s="1" t="str">
        <f t="shared" si="465"/>
        <v>卡卡杜-凤凰仓</v>
      </c>
      <c r="B1430" s="1" t="str">
        <f>"CK2024102981"</f>
        <v>CK2024102981</v>
      </c>
      <c r="C1430" s="1" t="str">
        <f>"DD202410299463"</f>
        <v>DD202410299463</v>
      </c>
      <c r="D1430" s="1" t="str">
        <f>"CK2024102915199"</f>
        <v>CK2024102915199</v>
      </c>
      <c r="E1430" s="1" t="str">
        <f>"3723627259860487169"</f>
        <v>3723627259860487169</v>
      </c>
      <c r="F1430" s="1" t="str">
        <f t="shared" si="466"/>
        <v>花都四部-凤凰仓</v>
      </c>
      <c r="G1430" s="1" t="str">
        <f t="shared" si="454"/>
        <v>卡卡杜企业店（视频号）</v>
      </c>
      <c r="H1430" s="1" t="str">
        <f t="shared" si="467"/>
        <v>正常订单</v>
      </c>
      <c r="I1430" s="1" t="str">
        <f t="shared" si="468"/>
        <v>已发货</v>
      </c>
      <c r="J1430" s="1" t="str">
        <f t="shared" si="473"/>
        <v>2</v>
      </c>
      <c r="K1430" s="1">
        <v>2</v>
      </c>
      <c r="L1430" s="1" t="s">
        <v>105</v>
      </c>
      <c r="M1430" s="1" t="str">
        <f>"北京 北京市 丰台区 "</f>
        <v xml:space="preserve">北京 北京市 丰台区 </v>
      </c>
      <c r="N1430" s="1" t="str">
        <f t="shared" si="462"/>
        <v>凡华云仓-城南圆通-微信视频号</v>
      </c>
      <c r="O1430" s="5" t="s">
        <v>1467</v>
      </c>
      <c r="P1430" s="6">
        <v>0.17</v>
      </c>
      <c r="Q1430" s="11">
        <v>2</v>
      </c>
      <c r="R1430" s="11"/>
      <c r="S1430" s="11"/>
      <c r="T1430" s="11"/>
      <c r="U1430" s="11">
        <f t="shared" si="469"/>
        <v>2</v>
      </c>
      <c r="W1430">
        <v>2.2000000000000002</v>
      </c>
      <c r="X1430" s="1" t="s">
        <v>105</v>
      </c>
    </row>
    <row r="1431" spans="1:24" x14ac:dyDescent="0.25">
      <c r="A1431" s="1" t="str">
        <f t="shared" si="465"/>
        <v>卡卡杜-凤凰仓</v>
      </c>
      <c r="B1431" s="1" t="str">
        <f>"CK2024102980"</f>
        <v>CK2024102980</v>
      </c>
      <c r="C1431" s="1" t="str">
        <f>"DD202410299464"</f>
        <v>DD202410299464</v>
      </c>
      <c r="D1431" s="1" t="str">
        <f>"CK2024102915198"</f>
        <v>CK2024102915198</v>
      </c>
      <c r="E1431" s="1" t="str">
        <f>"3723627260634075136"</f>
        <v>3723627260634075136</v>
      </c>
      <c r="F1431" s="1" t="str">
        <f t="shared" si="466"/>
        <v>花都四部-凤凰仓</v>
      </c>
      <c r="G1431" s="1" t="str">
        <f t="shared" ref="G1431:G1457" si="474">"卡卡杜企业店（视频号）"</f>
        <v>卡卡杜企业店（视频号）</v>
      </c>
      <c r="H1431" s="1" t="str">
        <f t="shared" si="467"/>
        <v>正常订单</v>
      </c>
      <c r="I1431" s="1" t="str">
        <f t="shared" si="468"/>
        <v>已发货</v>
      </c>
      <c r="J1431" s="1" t="str">
        <f t="shared" si="473"/>
        <v>2</v>
      </c>
      <c r="K1431" s="1">
        <v>2</v>
      </c>
      <c r="L1431" s="1" t="s">
        <v>13</v>
      </c>
      <c r="M1431" s="1" t="str">
        <f>"江苏省 苏州市 昆山市 "</f>
        <v xml:space="preserve">江苏省 苏州市 昆山市 </v>
      </c>
      <c r="N1431" s="1" t="str">
        <f t="shared" si="462"/>
        <v>凡华云仓-城南圆通-微信视频号</v>
      </c>
      <c r="O1431" s="5" t="s">
        <v>1468</v>
      </c>
      <c r="P1431" s="6">
        <v>0.17</v>
      </c>
      <c r="Q1431" s="11">
        <v>2</v>
      </c>
      <c r="R1431" s="11"/>
      <c r="S1431" s="11"/>
      <c r="T1431" s="11"/>
      <c r="U1431" s="11">
        <f t="shared" si="469"/>
        <v>2</v>
      </c>
      <c r="W1431">
        <v>2.2000000000000002</v>
      </c>
      <c r="X1431" s="1" t="s">
        <v>13</v>
      </c>
    </row>
    <row r="1432" spans="1:24" x14ac:dyDescent="0.25">
      <c r="A1432" s="1" t="str">
        <f t="shared" si="465"/>
        <v>卡卡杜-凤凰仓</v>
      </c>
      <c r="B1432" s="1" t="str">
        <f>"CK20241029335"</f>
        <v>CK20241029335</v>
      </c>
      <c r="C1432" s="1" t="str">
        <f>"DD202410299928"</f>
        <v>DD202410299928</v>
      </c>
      <c r="D1432" s="1" t="str">
        <f>"CK2024102915197"</f>
        <v>CK2024102915197</v>
      </c>
      <c r="E1432" s="1" t="str">
        <f>"3723627260360131840"</f>
        <v>3723627260360131840</v>
      </c>
      <c r="F1432" s="1" t="str">
        <f t="shared" si="466"/>
        <v>花都四部-凤凰仓</v>
      </c>
      <c r="G1432" s="1" t="str">
        <f t="shared" si="474"/>
        <v>卡卡杜企业店（视频号）</v>
      </c>
      <c r="H1432" s="1" t="str">
        <f t="shared" si="467"/>
        <v>正常订单</v>
      </c>
      <c r="I1432" s="1" t="str">
        <f t="shared" si="468"/>
        <v>已发货</v>
      </c>
      <c r="J1432" s="1" t="str">
        <f>"3"</f>
        <v>3</v>
      </c>
      <c r="K1432" s="1">
        <v>2</v>
      </c>
      <c r="L1432" s="1" t="s">
        <v>105</v>
      </c>
      <c r="M1432" s="1" t="str">
        <f>"北京 北京市 朝阳区 "</f>
        <v xml:space="preserve">北京 北京市 朝阳区 </v>
      </c>
      <c r="N1432" s="1" t="str">
        <f t="shared" si="462"/>
        <v>凡华云仓-城南圆通-微信视频号</v>
      </c>
      <c r="O1432" s="5" t="s">
        <v>1469</v>
      </c>
      <c r="P1432" s="6">
        <v>0.24</v>
      </c>
      <c r="Q1432" s="11">
        <v>2</v>
      </c>
      <c r="R1432" s="11"/>
      <c r="S1432" s="11"/>
      <c r="T1432" s="11"/>
      <c r="U1432" s="11">
        <f t="shared" si="469"/>
        <v>2</v>
      </c>
      <c r="W1432">
        <v>2.2000000000000002</v>
      </c>
      <c r="X1432" s="1" t="s">
        <v>105</v>
      </c>
    </row>
    <row r="1433" spans="1:24" x14ac:dyDescent="0.25">
      <c r="A1433" s="1" t="str">
        <f t="shared" si="465"/>
        <v>卡卡杜-凤凰仓</v>
      </c>
      <c r="B1433" s="1" t="str">
        <f>"CK2024102901"</f>
        <v>CK2024102901</v>
      </c>
      <c r="C1433" s="1" t="str">
        <f>"DD202410299355"</f>
        <v>DD202410299355</v>
      </c>
      <c r="D1433" s="1" t="str">
        <f>"CK2024102915196"</f>
        <v>CK2024102915196</v>
      </c>
      <c r="E1433" s="1" t="str">
        <f>"3723627258471650304"</f>
        <v>3723627258471650304</v>
      </c>
      <c r="F1433" s="1" t="str">
        <f t="shared" si="466"/>
        <v>花都四部-凤凰仓</v>
      </c>
      <c r="G1433" s="1" t="str">
        <f t="shared" si="474"/>
        <v>卡卡杜企业店（视频号）</v>
      </c>
      <c r="H1433" s="1" t="str">
        <f t="shared" si="467"/>
        <v>正常订单</v>
      </c>
      <c r="I1433" s="1" t="str">
        <f t="shared" si="468"/>
        <v>已发货</v>
      </c>
      <c r="J1433" s="1" t="str">
        <f t="shared" ref="J1433:J1440" si="475">"2"</f>
        <v>2</v>
      </c>
      <c r="K1433" s="1">
        <v>2</v>
      </c>
      <c r="L1433" s="1" t="s">
        <v>18</v>
      </c>
      <c r="M1433" s="1" t="str">
        <f>"广东省 广州市 海珠区 "</f>
        <v xml:space="preserve">广东省 广州市 海珠区 </v>
      </c>
      <c r="N1433" s="1" t="str">
        <f t="shared" si="462"/>
        <v>凡华云仓-城南圆通-微信视频号</v>
      </c>
      <c r="O1433" s="5" t="s">
        <v>1470</v>
      </c>
      <c r="P1433" s="6">
        <v>0.17</v>
      </c>
      <c r="Q1433" s="11">
        <v>2</v>
      </c>
      <c r="R1433" s="11"/>
      <c r="S1433" s="11"/>
      <c r="T1433" s="11"/>
      <c r="U1433" s="11">
        <f t="shared" si="469"/>
        <v>2</v>
      </c>
      <c r="W1433">
        <v>2.2000000000000002</v>
      </c>
      <c r="X1433" s="1" t="s">
        <v>18</v>
      </c>
    </row>
    <row r="1434" spans="1:24" x14ac:dyDescent="0.25">
      <c r="A1434" s="1" t="str">
        <f t="shared" si="465"/>
        <v>卡卡杜-凤凰仓</v>
      </c>
      <c r="B1434" s="1" t="str">
        <f>"CK2024102910"</f>
        <v>CK2024102910</v>
      </c>
      <c r="C1434" s="1" t="str">
        <f>"DD202410299366"</f>
        <v>DD202410299366</v>
      </c>
      <c r="D1434" s="1" t="str">
        <f>"CK2024102915195"</f>
        <v>CK2024102915195</v>
      </c>
      <c r="E1434" s="1" t="str">
        <f>"3723627260364591104"</f>
        <v>3723627260364591104</v>
      </c>
      <c r="F1434" s="1" t="str">
        <f t="shared" si="466"/>
        <v>花都四部-凤凰仓</v>
      </c>
      <c r="G1434" s="1" t="str">
        <f t="shared" si="474"/>
        <v>卡卡杜企业店（视频号）</v>
      </c>
      <c r="H1434" s="1" t="str">
        <f t="shared" si="467"/>
        <v>正常订单</v>
      </c>
      <c r="I1434" s="1" t="str">
        <f t="shared" si="468"/>
        <v>已发货</v>
      </c>
      <c r="J1434" s="1" t="str">
        <f t="shared" si="475"/>
        <v>2</v>
      </c>
      <c r="K1434" s="1">
        <v>2</v>
      </c>
      <c r="L1434" s="1" t="s">
        <v>105</v>
      </c>
      <c r="M1434" s="1" t="str">
        <f>"北京 北京市 昌平区 "</f>
        <v xml:space="preserve">北京 北京市 昌平区 </v>
      </c>
      <c r="N1434" s="1" t="str">
        <f t="shared" si="462"/>
        <v>凡华云仓-城南圆通-微信视频号</v>
      </c>
      <c r="O1434" s="5" t="s">
        <v>1471</v>
      </c>
      <c r="P1434" s="6">
        <v>0.17</v>
      </c>
      <c r="Q1434" s="11">
        <v>2</v>
      </c>
      <c r="R1434" s="11"/>
      <c r="S1434" s="11"/>
      <c r="T1434" s="11"/>
      <c r="U1434" s="11">
        <f t="shared" si="469"/>
        <v>2</v>
      </c>
      <c r="W1434">
        <v>2.2000000000000002</v>
      </c>
      <c r="X1434" s="1" t="s">
        <v>105</v>
      </c>
    </row>
    <row r="1435" spans="1:24" x14ac:dyDescent="0.25">
      <c r="A1435" s="1" t="str">
        <f t="shared" si="465"/>
        <v>卡卡杜-凤凰仓</v>
      </c>
      <c r="B1435" s="1" t="str">
        <f>"CK2024102905"</f>
        <v>CK2024102905</v>
      </c>
      <c r="C1435" s="1" t="str">
        <f>"DD202410299351"</f>
        <v>DD202410299351</v>
      </c>
      <c r="D1435" s="1" t="str">
        <f>"CK2024102915194"</f>
        <v>CK2024102915194</v>
      </c>
      <c r="E1435" s="1" t="str">
        <f>"3723627259431617792"</f>
        <v>3723627259431617792</v>
      </c>
      <c r="F1435" s="1" t="str">
        <f t="shared" si="466"/>
        <v>花都四部-凤凰仓</v>
      </c>
      <c r="G1435" s="1" t="str">
        <f t="shared" si="474"/>
        <v>卡卡杜企业店（视频号）</v>
      </c>
      <c r="H1435" s="1" t="str">
        <f t="shared" si="467"/>
        <v>正常订单</v>
      </c>
      <c r="I1435" s="1" t="str">
        <f t="shared" si="468"/>
        <v>已发货</v>
      </c>
      <c r="J1435" s="1" t="str">
        <f t="shared" si="475"/>
        <v>2</v>
      </c>
      <c r="K1435" s="1">
        <v>2</v>
      </c>
      <c r="L1435" s="1" t="s">
        <v>18</v>
      </c>
      <c r="M1435" s="1" t="str">
        <f>"广东省 深圳市 南山区 "</f>
        <v xml:space="preserve">广东省 深圳市 南山区 </v>
      </c>
      <c r="N1435" s="1" t="str">
        <f t="shared" si="462"/>
        <v>凡华云仓-城南圆通-微信视频号</v>
      </c>
      <c r="O1435" s="5" t="s">
        <v>1472</v>
      </c>
      <c r="P1435" s="6">
        <v>0.17</v>
      </c>
      <c r="Q1435" s="11">
        <v>2</v>
      </c>
      <c r="R1435" s="11"/>
      <c r="S1435" s="11"/>
      <c r="T1435" s="11"/>
      <c r="U1435" s="11">
        <f t="shared" si="469"/>
        <v>2</v>
      </c>
      <c r="W1435">
        <v>2.2000000000000002</v>
      </c>
      <c r="X1435" s="1" t="s">
        <v>18</v>
      </c>
    </row>
    <row r="1436" spans="1:24" x14ac:dyDescent="0.25">
      <c r="A1436" s="1" t="str">
        <f t="shared" si="465"/>
        <v>卡卡杜-凤凰仓</v>
      </c>
      <c r="B1436" s="1" t="str">
        <f>"CK2024102918"</f>
        <v>CK2024102918</v>
      </c>
      <c r="C1436" s="1" t="str">
        <f>"DD202410299384"</f>
        <v>DD202410299384</v>
      </c>
      <c r="D1436" s="1" t="str">
        <f>"CK2024102915193"</f>
        <v>CK2024102915193</v>
      </c>
      <c r="E1436" s="1" t="str">
        <f>"3723627251653809152"</f>
        <v>3723627251653809152</v>
      </c>
      <c r="F1436" s="1" t="str">
        <f t="shared" si="466"/>
        <v>花都四部-凤凰仓</v>
      </c>
      <c r="G1436" s="1" t="str">
        <f t="shared" si="474"/>
        <v>卡卡杜企业店（视频号）</v>
      </c>
      <c r="H1436" s="1" t="str">
        <f t="shared" si="467"/>
        <v>正常订单</v>
      </c>
      <c r="I1436" s="1" t="str">
        <f t="shared" si="468"/>
        <v>已发货</v>
      </c>
      <c r="J1436" s="1" t="str">
        <f t="shared" si="475"/>
        <v>2</v>
      </c>
      <c r="K1436" s="1">
        <v>2</v>
      </c>
      <c r="L1436" s="1" t="s">
        <v>36</v>
      </c>
      <c r="M1436" s="1" t="str">
        <f>"安徽省 宿州市 萧县 "</f>
        <v xml:space="preserve">安徽省 宿州市 萧县 </v>
      </c>
      <c r="N1436" s="1" t="str">
        <f t="shared" si="462"/>
        <v>凡华云仓-城南圆通-微信视频号</v>
      </c>
      <c r="O1436" s="5" t="s">
        <v>1473</v>
      </c>
      <c r="P1436" s="6">
        <v>0.17</v>
      </c>
      <c r="Q1436" s="11">
        <v>2</v>
      </c>
      <c r="R1436" s="11"/>
      <c r="S1436" s="11"/>
      <c r="T1436" s="11"/>
      <c r="U1436" s="11">
        <f t="shared" si="469"/>
        <v>2</v>
      </c>
      <c r="W1436">
        <v>2.2000000000000002</v>
      </c>
      <c r="X1436" s="1" t="s">
        <v>36</v>
      </c>
    </row>
    <row r="1437" spans="1:24" x14ac:dyDescent="0.25">
      <c r="A1437" s="1" t="str">
        <f t="shared" si="465"/>
        <v>卡卡杜-凤凰仓</v>
      </c>
      <c r="B1437" s="1" t="str">
        <f>"CK20241029159"</f>
        <v>CK20241029159</v>
      </c>
      <c r="C1437" s="1" t="str">
        <f>"DD202410299540"</f>
        <v>DD202410299540</v>
      </c>
      <c r="D1437" s="1" t="str">
        <f>"CK2024102915192"</f>
        <v>CK2024102915192</v>
      </c>
      <c r="E1437" s="1" t="str">
        <f>"3723627256551181312"</f>
        <v>3723627256551181312</v>
      </c>
      <c r="F1437" s="1" t="str">
        <f t="shared" si="466"/>
        <v>花都四部-凤凰仓</v>
      </c>
      <c r="G1437" s="1" t="str">
        <f t="shared" si="474"/>
        <v>卡卡杜企业店（视频号）</v>
      </c>
      <c r="H1437" s="1" t="str">
        <f t="shared" si="467"/>
        <v>正常订单</v>
      </c>
      <c r="I1437" s="1" t="str">
        <f t="shared" si="468"/>
        <v>已发货</v>
      </c>
      <c r="J1437" s="1" t="str">
        <f t="shared" si="475"/>
        <v>2</v>
      </c>
      <c r="K1437" s="1">
        <v>2</v>
      </c>
      <c r="L1437" s="1" t="s">
        <v>105</v>
      </c>
      <c r="M1437" s="1" t="str">
        <f>"北京 北京市 门头沟区 "</f>
        <v xml:space="preserve">北京 北京市 门头沟区 </v>
      </c>
      <c r="N1437" s="1" t="str">
        <f t="shared" si="462"/>
        <v>凡华云仓-城南圆通-微信视频号</v>
      </c>
      <c r="O1437" s="5" t="s">
        <v>1474</v>
      </c>
      <c r="P1437" s="6">
        <v>0.17</v>
      </c>
      <c r="Q1437" s="11">
        <v>2</v>
      </c>
      <c r="R1437" s="11"/>
      <c r="S1437" s="11"/>
      <c r="T1437" s="11"/>
      <c r="U1437" s="11">
        <f t="shared" si="469"/>
        <v>2</v>
      </c>
      <c r="W1437">
        <v>2.2000000000000002</v>
      </c>
      <c r="X1437" s="1" t="s">
        <v>105</v>
      </c>
    </row>
    <row r="1438" spans="1:24" x14ac:dyDescent="0.25">
      <c r="A1438" s="1" t="str">
        <f t="shared" si="465"/>
        <v>卡卡杜-凤凰仓</v>
      </c>
      <c r="B1438" s="1" t="str">
        <f>"CK2024102939"</f>
        <v>CK2024102939</v>
      </c>
      <c r="C1438" s="1" t="str">
        <f>"DD202410299421"</f>
        <v>DD202410299421</v>
      </c>
      <c r="D1438" s="1" t="str">
        <f>"CK2024102915191"</f>
        <v>CK2024102915191</v>
      </c>
      <c r="E1438" s="1" t="str">
        <f>"3723627256802053120"</f>
        <v>3723627256802053120</v>
      </c>
      <c r="F1438" s="1" t="str">
        <f t="shared" si="466"/>
        <v>花都四部-凤凰仓</v>
      </c>
      <c r="G1438" s="1" t="str">
        <f t="shared" si="474"/>
        <v>卡卡杜企业店（视频号）</v>
      </c>
      <c r="H1438" s="1" t="str">
        <f t="shared" si="467"/>
        <v>正常订单</v>
      </c>
      <c r="I1438" s="1" t="str">
        <f t="shared" si="468"/>
        <v>已发货</v>
      </c>
      <c r="J1438" s="1" t="str">
        <f t="shared" si="475"/>
        <v>2</v>
      </c>
      <c r="K1438" s="1">
        <v>2</v>
      </c>
      <c r="L1438" s="1" t="s">
        <v>16</v>
      </c>
      <c r="M1438" s="1" t="str">
        <f>"河北省 廊坊市 香河县 "</f>
        <v xml:space="preserve">河北省 廊坊市 香河县 </v>
      </c>
      <c r="N1438" s="1" t="str">
        <f t="shared" si="462"/>
        <v>凡华云仓-城南圆通-微信视频号</v>
      </c>
      <c r="O1438" s="5" t="s">
        <v>1475</v>
      </c>
      <c r="P1438" s="6">
        <v>0.17</v>
      </c>
      <c r="Q1438" s="11">
        <v>2</v>
      </c>
      <c r="R1438" s="11"/>
      <c r="S1438" s="11"/>
      <c r="T1438" s="11"/>
      <c r="U1438" s="11">
        <f t="shared" si="469"/>
        <v>2</v>
      </c>
      <c r="W1438">
        <v>2.2000000000000002</v>
      </c>
      <c r="X1438" s="1" t="s">
        <v>16</v>
      </c>
    </row>
    <row r="1439" spans="1:24" x14ac:dyDescent="0.25">
      <c r="A1439" s="1" t="str">
        <f t="shared" si="465"/>
        <v>卡卡杜-凤凰仓</v>
      </c>
      <c r="B1439" s="1" t="str">
        <f>"CK20241029141"</f>
        <v>CK20241029141</v>
      </c>
      <c r="C1439" s="1" t="str">
        <f>"DD202410299523"</f>
        <v>DD202410299523</v>
      </c>
      <c r="D1439" s="1" t="str">
        <f>"CK2024102915190"</f>
        <v>CK2024102915190</v>
      </c>
      <c r="E1439" s="1" t="str">
        <f>"3723627254640940033"</f>
        <v>3723627254640940033</v>
      </c>
      <c r="F1439" s="1" t="str">
        <f t="shared" si="466"/>
        <v>花都四部-凤凰仓</v>
      </c>
      <c r="G1439" s="1" t="str">
        <f t="shared" si="474"/>
        <v>卡卡杜企业店（视频号）</v>
      </c>
      <c r="H1439" s="1" t="str">
        <f t="shared" si="467"/>
        <v>正常订单</v>
      </c>
      <c r="I1439" s="1" t="str">
        <f t="shared" si="468"/>
        <v>已发货</v>
      </c>
      <c r="J1439" s="1" t="str">
        <f t="shared" si="475"/>
        <v>2</v>
      </c>
      <c r="K1439" s="1">
        <v>2</v>
      </c>
      <c r="L1439" s="1" t="s">
        <v>218</v>
      </c>
      <c r="M1439" s="1" t="str">
        <f>"天津 天津市 河西区 "</f>
        <v xml:space="preserve">天津 天津市 河西区 </v>
      </c>
      <c r="N1439" s="1" t="str">
        <f t="shared" si="462"/>
        <v>凡华云仓-城南圆通-微信视频号</v>
      </c>
      <c r="O1439" s="5" t="s">
        <v>1476</v>
      </c>
      <c r="P1439" s="6">
        <v>0.17</v>
      </c>
      <c r="Q1439" s="11">
        <v>2</v>
      </c>
      <c r="R1439" s="11"/>
      <c r="S1439" s="11"/>
      <c r="T1439" s="11"/>
      <c r="U1439" s="11">
        <f t="shared" si="469"/>
        <v>2</v>
      </c>
      <c r="W1439">
        <v>2.2000000000000002</v>
      </c>
      <c r="X1439" s="1" t="s">
        <v>218</v>
      </c>
    </row>
    <row r="1440" spans="1:24" x14ac:dyDescent="0.25">
      <c r="A1440" s="1" t="str">
        <f t="shared" si="465"/>
        <v>卡卡杜-凤凰仓</v>
      </c>
      <c r="B1440" s="1" t="str">
        <f>"CK20241029143"</f>
        <v>CK20241029143</v>
      </c>
      <c r="C1440" s="1" t="str">
        <f>"DD202410299525"</f>
        <v>DD202410299525</v>
      </c>
      <c r="D1440" s="1" t="str">
        <f>"CK2024102915189"</f>
        <v>CK2024102915189</v>
      </c>
      <c r="E1440" s="1" t="str">
        <f>"3723627252435518720"</f>
        <v>3723627252435518720</v>
      </c>
      <c r="F1440" s="1" t="str">
        <f t="shared" si="466"/>
        <v>花都四部-凤凰仓</v>
      </c>
      <c r="G1440" s="1" t="str">
        <f t="shared" si="474"/>
        <v>卡卡杜企业店（视频号）</v>
      </c>
      <c r="H1440" s="1" t="str">
        <f t="shared" si="467"/>
        <v>正常订单</v>
      </c>
      <c r="I1440" s="1" t="str">
        <f t="shared" si="468"/>
        <v>已发货</v>
      </c>
      <c r="J1440" s="1" t="str">
        <f t="shared" si="475"/>
        <v>2</v>
      </c>
      <c r="K1440" s="1">
        <v>2</v>
      </c>
      <c r="L1440" s="1" t="s">
        <v>109</v>
      </c>
      <c r="M1440" s="1" t="str">
        <f>"山西省 太原市 杏花岭区 "</f>
        <v xml:space="preserve">山西省 太原市 杏花岭区 </v>
      </c>
      <c r="N1440" s="1" t="str">
        <f t="shared" si="462"/>
        <v>凡华云仓-城南圆通-微信视频号</v>
      </c>
      <c r="O1440" s="5" t="s">
        <v>1477</v>
      </c>
      <c r="P1440" s="6">
        <v>0.17</v>
      </c>
      <c r="Q1440" s="11">
        <v>2</v>
      </c>
      <c r="R1440" s="11"/>
      <c r="S1440" s="11"/>
      <c r="T1440" s="11"/>
      <c r="U1440" s="11">
        <f t="shared" si="469"/>
        <v>2</v>
      </c>
      <c r="W1440">
        <v>2.2000000000000002</v>
      </c>
      <c r="X1440" s="1" t="s">
        <v>109</v>
      </c>
    </row>
    <row r="1441" spans="1:24" x14ac:dyDescent="0.25">
      <c r="A1441" s="1" t="str">
        <f t="shared" si="465"/>
        <v>卡卡杜-凤凰仓</v>
      </c>
      <c r="B1441" s="1" t="str">
        <f>"CK20241029169"</f>
        <v>CK20241029169</v>
      </c>
      <c r="C1441" s="1" t="str">
        <f>"DD202410299705"</f>
        <v>DD202410299705</v>
      </c>
      <c r="D1441" s="1" t="str">
        <f>"CK2024102915188"</f>
        <v>CK2024102915188</v>
      </c>
      <c r="E1441" s="1" t="str">
        <f>"3723627255617946880"</f>
        <v>3723627255617946880</v>
      </c>
      <c r="F1441" s="1" t="str">
        <f t="shared" si="466"/>
        <v>花都四部-凤凰仓</v>
      </c>
      <c r="G1441" s="1" t="str">
        <f t="shared" si="474"/>
        <v>卡卡杜企业店（视频号）</v>
      </c>
      <c r="H1441" s="1" t="str">
        <f t="shared" si="467"/>
        <v>正常订单</v>
      </c>
      <c r="I1441" s="1" t="str">
        <f t="shared" si="468"/>
        <v>已发货</v>
      </c>
      <c r="J1441" s="1" t="str">
        <f>"4"</f>
        <v>4</v>
      </c>
      <c r="K1441" s="1">
        <v>4</v>
      </c>
      <c r="L1441" s="1" t="s">
        <v>18</v>
      </c>
      <c r="M1441" s="1" t="str">
        <f>"广东省 东莞市 塘厦镇 "</f>
        <v xml:space="preserve">广东省 东莞市 塘厦镇 </v>
      </c>
      <c r="N1441" s="1" t="str">
        <f t="shared" si="462"/>
        <v>凡华云仓-城南圆通-微信视频号</v>
      </c>
      <c r="O1441" s="5" t="s">
        <v>1478</v>
      </c>
      <c r="P1441" s="7">
        <v>0.4</v>
      </c>
      <c r="Q1441" s="11">
        <v>2.2999999999999998</v>
      </c>
      <c r="R1441" s="11"/>
      <c r="S1441" s="11"/>
      <c r="T1441" s="11"/>
      <c r="U1441" s="11">
        <f t="shared" si="469"/>
        <v>2.2999999999999998</v>
      </c>
      <c r="W1441">
        <v>2.5</v>
      </c>
      <c r="X1441" s="1" t="s">
        <v>18</v>
      </c>
    </row>
    <row r="1442" spans="1:24" x14ac:dyDescent="0.25">
      <c r="A1442" s="1" t="str">
        <f t="shared" si="465"/>
        <v>卡卡杜-凤凰仓</v>
      </c>
      <c r="B1442" s="1" t="str">
        <f>"CK20241029337"</f>
        <v>CK20241029337</v>
      </c>
      <c r="C1442" s="1" t="str">
        <f>"DD202410299929"</f>
        <v>DD202410299929</v>
      </c>
      <c r="D1442" s="1" t="str">
        <f>"CK2024102915187"</f>
        <v>CK2024102915187</v>
      </c>
      <c r="E1442" s="1" t="str">
        <f>"3723627255203237888"</f>
        <v>3723627255203237888</v>
      </c>
      <c r="F1442" s="1" t="str">
        <f t="shared" si="466"/>
        <v>花都四部-凤凰仓</v>
      </c>
      <c r="G1442" s="1" t="str">
        <f t="shared" si="474"/>
        <v>卡卡杜企业店（视频号）</v>
      </c>
      <c r="H1442" s="1" t="str">
        <f t="shared" si="467"/>
        <v>正常订单</v>
      </c>
      <c r="I1442" s="1" t="str">
        <f t="shared" si="468"/>
        <v>已发货</v>
      </c>
      <c r="J1442" s="1" t="str">
        <f>"3"</f>
        <v>3</v>
      </c>
      <c r="K1442" s="1">
        <v>2</v>
      </c>
      <c r="L1442" s="1" t="s">
        <v>80</v>
      </c>
      <c r="M1442" s="1" t="str">
        <f>"河南省 驻马店市 驿城区 "</f>
        <v xml:space="preserve">河南省 驻马店市 驿城区 </v>
      </c>
      <c r="N1442" s="1" t="str">
        <f t="shared" si="462"/>
        <v>凡华云仓-城南圆通-微信视频号</v>
      </c>
      <c r="O1442" s="5" t="s">
        <v>1479</v>
      </c>
      <c r="P1442" s="6">
        <v>0.24</v>
      </c>
      <c r="Q1442" s="11">
        <v>2</v>
      </c>
      <c r="R1442" s="11"/>
      <c r="S1442" s="11"/>
      <c r="T1442" s="11"/>
      <c r="U1442" s="11">
        <f t="shared" si="469"/>
        <v>2</v>
      </c>
      <c r="W1442">
        <v>2.2000000000000002</v>
      </c>
      <c r="X1442" s="1" t="s">
        <v>80</v>
      </c>
    </row>
    <row r="1443" spans="1:24" x14ac:dyDescent="0.25">
      <c r="A1443" s="1" t="str">
        <f t="shared" si="465"/>
        <v>卡卡杜-凤凰仓</v>
      </c>
      <c r="B1443" s="1" t="str">
        <f>"CK20241029338"</f>
        <v>CK20241029338</v>
      </c>
      <c r="C1443" s="1" t="str">
        <f>"DD202410299930"</f>
        <v>DD202410299930</v>
      </c>
      <c r="D1443" s="1" t="str">
        <f>"CK2024102915186"</f>
        <v>CK2024102915186</v>
      </c>
      <c r="E1443" s="1" t="str">
        <f>"3723627248335324416"</f>
        <v>3723627248335324416</v>
      </c>
      <c r="F1443" s="1" t="str">
        <f t="shared" si="466"/>
        <v>花都四部-凤凰仓</v>
      </c>
      <c r="G1443" s="1" t="str">
        <f t="shared" si="474"/>
        <v>卡卡杜企业店（视频号）</v>
      </c>
      <c r="H1443" s="1" t="str">
        <f t="shared" si="467"/>
        <v>正常订单</v>
      </c>
      <c r="I1443" s="1" t="str">
        <f t="shared" si="468"/>
        <v>已发货</v>
      </c>
      <c r="J1443" s="1" t="str">
        <f>"3"</f>
        <v>3</v>
      </c>
      <c r="K1443" s="1">
        <v>2</v>
      </c>
      <c r="L1443" s="1" t="s">
        <v>30</v>
      </c>
      <c r="M1443" s="1" t="str">
        <f>"山东省 聊城市 茌平区 "</f>
        <v xml:space="preserve">山东省 聊城市 茌平区 </v>
      </c>
      <c r="N1443" s="1" t="str">
        <f t="shared" si="462"/>
        <v>凡华云仓-城南圆通-微信视频号</v>
      </c>
      <c r="O1443" s="5" t="s">
        <v>1480</v>
      </c>
      <c r="P1443" s="6">
        <v>0.24</v>
      </c>
      <c r="Q1443" s="11">
        <v>2</v>
      </c>
      <c r="R1443" s="11"/>
      <c r="S1443" s="11"/>
      <c r="T1443" s="11"/>
      <c r="U1443" s="11">
        <f t="shared" si="469"/>
        <v>2</v>
      </c>
      <c r="W1443">
        <v>2.2000000000000002</v>
      </c>
      <c r="X1443" s="1" t="s">
        <v>30</v>
      </c>
    </row>
    <row r="1444" spans="1:24" x14ac:dyDescent="0.25">
      <c r="A1444" s="1" t="str">
        <f t="shared" si="465"/>
        <v>卡卡杜-凤凰仓</v>
      </c>
      <c r="B1444" s="1" t="str">
        <f>"CK20241029138"</f>
        <v>CK20241029138</v>
      </c>
      <c r="C1444" s="1" t="str">
        <f>"DD202410299520"</f>
        <v>DD202410299520</v>
      </c>
      <c r="D1444" s="1" t="str">
        <f>"CK2024102915185"</f>
        <v>CK2024102915185</v>
      </c>
      <c r="E1444" s="1" t="str">
        <f>"3723627254629405696"</f>
        <v>3723627254629405696</v>
      </c>
      <c r="F1444" s="1" t="str">
        <f t="shared" si="466"/>
        <v>花都四部-凤凰仓</v>
      </c>
      <c r="G1444" s="1" t="str">
        <f t="shared" si="474"/>
        <v>卡卡杜企业店（视频号）</v>
      </c>
      <c r="H1444" s="1" t="str">
        <f t="shared" si="467"/>
        <v>正常订单</v>
      </c>
      <c r="I1444" s="1" t="str">
        <f t="shared" si="468"/>
        <v>已发货</v>
      </c>
      <c r="J1444" s="1" t="str">
        <f t="shared" ref="J1444:J1447" si="476">"2"</f>
        <v>2</v>
      </c>
      <c r="K1444" s="1">
        <v>2</v>
      </c>
      <c r="L1444" s="1" t="s">
        <v>96</v>
      </c>
      <c r="M1444" s="1" t="str">
        <f>"广西壮族自治区 北海市 海城区 "</f>
        <v xml:space="preserve">广西壮族自治区 北海市 海城区 </v>
      </c>
      <c r="N1444" s="1" t="str">
        <f t="shared" si="462"/>
        <v>凡华云仓-城南圆通-微信视频号</v>
      </c>
      <c r="O1444" s="5" t="s">
        <v>1481</v>
      </c>
      <c r="P1444" s="6">
        <v>0.17</v>
      </c>
      <c r="Q1444" s="11">
        <v>2</v>
      </c>
      <c r="R1444" s="11"/>
      <c r="S1444" s="11"/>
      <c r="T1444" s="11"/>
      <c r="U1444" s="11">
        <f t="shared" si="469"/>
        <v>2</v>
      </c>
      <c r="W1444">
        <v>2.2000000000000002</v>
      </c>
      <c r="X1444" s="1" t="s">
        <v>96</v>
      </c>
    </row>
    <row r="1445" spans="1:24" x14ac:dyDescent="0.25">
      <c r="A1445" s="1" t="str">
        <f t="shared" si="465"/>
        <v>卡卡杜-凤凰仓</v>
      </c>
      <c r="B1445" s="1" t="str">
        <f>"CK20241029147"</f>
        <v>CK20241029147</v>
      </c>
      <c r="C1445" s="1" t="str">
        <f>"DD202410299529"</f>
        <v>DD202410299529</v>
      </c>
      <c r="D1445" s="1" t="str">
        <f>"CK2024102915184"</f>
        <v>CK2024102915184</v>
      </c>
      <c r="E1445" s="1" t="str">
        <f>"3723627252884049922"</f>
        <v>3723627252884049922</v>
      </c>
      <c r="F1445" s="1" t="str">
        <f t="shared" si="466"/>
        <v>花都四部-凤凰仓</v>
      </c>
      <c r="G1445" s="1" t="str">
        <f t="shared" si="474"/>
        <v>卡卡杜企业店（视频号）</v>
      </c>
      <c r="H1445" s="1" t="str">
        <f t="shared" si="467"/>
        <v>正常订单</v>
      </c>
      <c r="I1445" s="1" t="str">
        <f t="shared" si="468"/>
        <v>已发货</v>
      </c>
      <c r="J1445" s="1" t="str">
        <f t="shared" si="476"/>
        <v>2</v>
      </c>
      <c r="K1445" s="1">
        <v>2</v>
      </c>
      <c r="L1445" s="1" t="s">
        <v>92</v>
      </c>
      <c r="M1445" s="1" t="str">
        <f>"辽宁省 丹东市 凤城市 "</f>
        <v xml:space="preserve">辽宁省 丹东市 凤城市 </v>
      </c>
      <c r="N1445" s="1" t="str">
        <f t="shared" si="462"/>
        <v>凡华云仓-城南圆通-微信视频号</v>
      </c>
      <c r="O1445" s="5" t="s">
        <v>1482</v>
      </c>
      <c r="P1445" s="6">
        <v>0.17</v>
      </c>
      <c r="Q1445" s="11">
        <v>2</v>
      </c>
      <c r="R1445" s="11"/>
      <c r="S1445" s="11"/>
      <c r="T1445" s="11"/>
      <c r="U1445" s="11">
        <f t="shared" si="469"/>
        <v>2</v>
      </c>
      <c r="W1445">
        <v>2.2000000000000002</v>
      </c>
      <c r="X1445" s="1" t="s">
        <v>92</v>
      </c>
    </row>
    <row r="1446" spans="1:24" x14ac:dyDescent="0.25">
      <c r="A1446" s="1" t="str">
        <f t="shared" si="465"/>
        <v>卡卡杜-凤凰仓</v>
      </c>
      <c r="B1446" s="1" t="str">
        <f>"CK20241029142"</f>
        <v>CK20241029142</v>
      </c>
      <c r="C1446" s="1" t="str">
        <f>"DD202410299524"</f>
        <v>DD202410299524</v>
      </c>
      <c r="D1446" s="1" t="str">
        <f>"CK2024102915183"</f>
        <v>CK2024102915183</v>
      </c>
      <c r="E1446" s="1" t="str">
        <f>"3723627253776124928"</f>
        <v>3723627253776124928</v>
      </c>
      <c r="F1446" s="1" t="str">
        <f t="shared" si="466"/>
        <v>花都四部-凤凰仓</v>
      </c>
      <c r="G1446" s="1" t="str">
        <f t="shared" si="474"/>
        <v>卡卡杜企业店（视频号）</v>
      </c>
      <c r="H1446" s="1" t="str">
        <f t="shared" si="467"/>
        <v>正常订单</v>
      </c>
      <c r="I1446" s="1" t="str">
        <f t="shared" si="468"/>
        <v>已发货</v>
      </c>
      <c r="J1446" s="1" t="str">
        <f t="shared" si="476"/>
        <v>2</v>
      </c>
      <c r="K1446" s="1">
        <v>2</v>
      </c>
      <c r="L1446" s="1" t="s">
        <v>105</v>
      </c>
      <c r="M1446" s="1" t="str">
        <f>"北京 北京市 东城区 "</f>
        <v xml:space="preserve">北京 北京市 东城区 </v>
      </c>
      <c r="N1446" s="1" t="str">
        <f t="shared" si="462"/>
        <v>凡华云仓-城南圆通-微信视频号</v>
      </c>
      <c r="O1446" s="5" t="s">
        <v>1483</v>
      </c>
      <c r="P1446" s="6">
        <v>0.17</v>
      </c>
      <c r="Q1446" s="11">
        <v>2</v>
      </c>
      <c r="R1446" s="11"/>
      <c r="S1446" s="11"/>
      <c r="T1446" s="11"/>
      <c r="U1446" s="11">
        <f t="shared" si="469"/>
        <v>2</v>
      </c>
      <c r="W1446">
        <v>2.2000000000000002</v>
      </c>
      <c r="X1446" s="1" t="s">
        <v>105</v>
      </c>
    </row>
    <row r="1447" spans="1:24" x14ac:dyDescent="0.25">
      <c r="A1447" s="1" t="str">
        <f t="shared" si="465"/>
        <v>卡卡杜-凤凰仓</v>
      </c>
      <c r="B1447" s="1" t="str">
        <f>"CK20241029151"</f>
        <v>CK20241029151</v>
      </c>
      <c r="C1447" s="1" t="str">
        <f>"DD202410299533"</f>
        <v>DD202410299533</v>
      </c>
      <c r="D1447" s="1" t="str">
        <f>"CK2024102915182"</f>
        <v>CK2024102915182</v>
      </c>
      <c r="E1447" s="1" t="str">
        <f>"3723627252879069184"</f>
        <v>3723627252879069184</v>
      </c>
      <c r="F1447" s="1" t="str">
        <f t="shared" si="466"/>
        <v>花都四部-凤凰仓</v>
      </c>
      <c r="G1447" s="1" t="str">
        <f t="shared" si="474"/>
        <v>卡卡杜企业店（视频号）</v>
      </c>
      <c r="H1447" s="1" t="str">
        <f t="shared" si="467"/>
        <v>正常订单</v>
      </c>
      <c r="I1447" s="1" t="str">
        <f t="shared" si="468"/>
        <v>已发货</v>
      </c>
      <c r="J1447" s="1" t="str">
        <f t="shared" si="476"/>
        <v>2</v>
      </c>
      <c r="K1447" s="1">
        <v>2</v>
      </c>
      <c r="L1447" s="1" t="s">
        <v>13</v>
      </c>
      <c r="M1447" s="1" t="str">
        <f>"江苏省 苏州市 吴江区 "</f>
        <v xml:space="preserve">江苏省 苏州市 吴江区 </v>
      </c>
      <c r="N1447" s="1" t="str">
        <f t="shared" si="462"/>
        <v>凡华云仓-城南圆通-微信视频号</v>
      </c>
      <c r="O1447" s="5" t="s">
        <v>1484</v>
      </c>
      <c r="P1447" s="6">
        <v>0.17</v>
      </c>
      <c r="Q1447" s="11">
        <v>2</v>
      </c>
      <c r="R1447" s="11"/>
      <c r="S1447" s="11"/>
      <c r="T1447" s="11"/>
      <c r="U1447" s="11">
        <f t="shared" si="469"/>
        <v>2</v>
      </c>
      <c r="W1447">
        <v>2.2000000000000002</v>
      </c>
      <c r="X1447" s="1" t="s">
        <v>13</v>
      </c>
    </row>
    <row r="1448" spans="1:24" x14ac:dyDescent="0.25">
      <c r="A1448" s="1" t="str">
        <f t="shared" si="465"/>
        <v>卡卡杜-凤凰仓</v>
      </c>
      <c r="B1448" s="1" t="str">
        <f>"CK20241029339"</f>
        <v>CK20241029339</v>
      </c>
      <c r="C1448" s="1" t="str">
        <f>"DD202410299931"</f>
        <v>DD202410299931</v>
      </c>
      <c r="D1448" s="1" t="str">
        <f>"CK2024102915181"</f>
        <v>CK2024102915181</v>
      </c>
      <c r="E1448" s="1" t="str">
        <f>"3723627252151092480"</f>
        <v>3723627252151092480</v>
      </c>
      <c r="F1448" s="1" t="str">
        <f t="shared" si="466"/>
        <v>花都四部-凤凰仓</v>
      </c>
      <c r="G1448" s="1" t="str">
        <f t="shared" si="474"/>
        <v>卡卡杜企业店（视频号）</v>
      </c>
      <c r="H1448" s="1" t="str">
        <f t="shared" si="467"/>
        <v>正常订单</v>
      </c>
      <c r="I1448" s="1" t="str">
        <f t="shared" si="468"/>
        <v>已发货</v>
      </c>
      <c r="J1448" s="1" t="str">
        <f t="shared" ref="J1448:J1453" si="477">"3"</f>
        <v>3</v>
      </c>
      <c r="K1448" s="1">
        <v>2</v>
      </c>
      <c r="L1448" s="1" t="s">
        <v>105</v>
      </c>
      <c r="M1448" s="1" t="str">
        <f>"北京 北京市 大兴区 "</f>
        <v xml:space="preserve">北京 北京市 大兴区 </v>
      </c>
      <c r="N1448" s="1" t="str">
        <f t="shared" si="462"/>
        <v>凡华云仓-城南圆通-微信视频号</v>
      </c>
      <c r="O1448" s="5" t="s">
        <v>1485</v>
      </c>
      <c r="P1448" s="6">
        <v>0.24</v>
      </c>
      <c r="Q1448" s="11">
        <v>2</v>
      </c>
      <c r="R1448" s="11"/>
      <c r="S1448" s="11"/>
      <c r="T1448" s="11"/>
      <c r="U1448" s="11">
        <f t="shared" si="469"/>
        <v>2</v>
      </c>
      <c r="W1448">
        <v>2.2000000000000002</v>
      </c>
      <c r="X1448" s="1" t="s">
        <v>105</v>
      </c>
    </row>
    <row r="1449" spans="1:24" x14ac:dyDescent="0.25">
      <c r="A1449" s="1" t="str">
        <f t="shared" si="465"/>
        <v>卡卡杜-凤凰仓</v>
      </c>
      <c r="B1449" s="1" t="str">
        <f>"CK20241029144"</f>
        <v>CK20241029144</v>
      </c>
      <c r="C1449" s="1" t="str">
        <f>"DD202410299526"</f>
        <v>DD202410299526</v>
      </c>
      <c r="D1449" s="1" t="str">
        <f>"CK2024102915180"</f>
        <v>CK2024102915180</v>
      </c>
      <c r="E1449" s="1" t="str">
        <f>"3723627252855735552"</f>
        <v>3723627252855735552</v>
      </c>
      <c r="F1449" s="1" t="str">
        <f t="shared" si="466"/>
        <v>花都四部-凤凰仓</v>
      </c>
      <c r="G1449" s="1" t="str">
        <f t="shared" si="474"/>
        <v>卡卡杜企业店（视频号）</v>
      </c>
      <c r="H1449" s="1" t="str">
        <f t="shared" si="467"/>
        <v>正常订单</v>
      </c>
      <c r="I1449" s="1" t="str">
        <f t="shared" si="468"/>
        <v>已发货</v>
      </c>
      <c r="J1449" s="1" t="str">
        <f t="shared" ref="J1449:J1452" si="478">"2"</f>
        <v>2</v>
      </c>
      <c r="K1449" s="1">
        <v>2</v>
      </c>
      <c r="L1449" s="1" t="s">
        <v>74</v>
      </c>
      <c r="M1449" s="1" t="str">
        <f>"上海 上海市 徐汇区 "</f>
        <v xml:space="preserve">上海 上海市 徐汇区 </v>
      </c>
      <c r="N1449" s="1" t="str">
        <f t="shared" si="462"/>
        <v>凡华云仓-城南圆通-微信视频号</v>
      </c>
      <c r="O1449" s="5" t="s">
        <v>1486</v>
      </c>
      <c r="P1449" s="6">
        <v>0.17</v>
      </c>
      <c r="Q1449" s="11">
        <v>2</v>
      </c>
      <c r="R1449" s="11"/>
      <c r="S1449" s="11"/>
      <c r="T1449" s="11"/>
      <c r="U1449" s="11">
        <f t="shared" si="469"/>
        <v>2</v>
      </c>
      <c r="W1449">
        <v>2.2000000000000002</v>
      </c>
      <c r="X1449" s="1" t="s">
        <v>74</v>
      </c>
    </row>
    <row r="1450" spans="1:24" x14ac:dyDescent="0.25">
      <c r="A1450" s="1" t="str">
        <f t="shared" si="465"/>
        <v>卡卡杜-凤凰仓</v>
      </c>
      <c r="B1450" s="1" t="str">
        <f>"CK20241029340"</f>
        <v>CK20241029340</v>
      </c>
      <c r="C1450" s="1" t="str">
        <f>"DD202410299932"</f>
        <v>DD202410299932</v>
      </c>
      <c r="D1450" s="1" t="str">
        <f>"CK2024102915179"</f>
        <v>CK2024102915179</v>
      </c>
      <c r="E1450" s="1" t="str">
        <f>"3723627251456410880"</f>
        <v>3723627251456410880</v>
      </c>
      <c r="F1450" s="1" t="str">
        <f t="shared" si="466"/>
        <v>花都四部-凤凰仓</v>
      </c>
      <c r="G1450" s="1" t="str">
        <f t="shared" si="474"/>
        <v>卡卡杜企业店（视频号）</v>
      </c>
      <c r="H1450" s="1" t="str">
        <f t="shared" si="467"/>
        <v>正常订单</v>
      </c>
      <c r="I1450" s="1" t="str">
        <f t="shared" si="468"/>
        <v>已发货</v>
      </c>
      <c r="J1450" s="1" t="str">
        <f t="shared" si="477"/>
        <v>3</v>
      </c>
      <c r="K1450" s="1">
        <v>2</v>
      </c>
      <c r="L1450" s="1" t="s">
        <v>30</v>
      </c>
      <c r="M1450" s="1" t="str">
        <f>"山东省 青岛市 即墨区 "</f>
        <v xml:space="preserve">山东省 青岛市 即墨区 </v>
      </c>
      <c r="N1450" s="1" t="str">
        <f t="shared" si="462"/>
        <v>凡华云仓-城南圆通-微信视频号</v>
      </c>
      <c r="O1450" s="5" t="s">
        <v>1487</v>
      </c>
      <c r="P1450" s="6">
        <v>0.24</v>
      </c>
      <c r="Q1450" s="11">
        <v>2</v>
      </c>
      <c r="R1450" s="11"/>
      <c r="S1450" s="11"/>
      <c r="T1450" s="11"/>
      <c r="U1450" s="11">
        <f t="shared" si="469"/>
        <v>2</v>
      </c>
      <c r="W1450">
        <v>2.2000000000000002</v>
      </c>
      <c r="X1450" s="1" t="s">
        <v>30</v>
      </c>
    </row>
    <row r="1451" spans="1:24" x14ac:dyDescent="0.25">
      <c r="A1451" s="1" t="str">
        <f t="shared" si="465"/>
        <v>卡卡杜-凤凰仓</v>
      </c>
      <c r="B1451" s="1" t="str">
        <f>"CK20241029108"</f>
        <v>CK20241029108</v>
      </c>
      <c r="C1451" s="1" t="str">
        <f>"DD202410299490"</f>
        <v>DD202410299490</v>
      </c>
      <c r="D1451" s="1" t="str">
        <f>"CK2024102915178"</f>
        <v>CK2024102915178</v>
      </c>
      <c r="E1451" s="1" t="str">
        <f>"3723627249897180161"</f>
        <v>3723627249897180161</v>
      </c>
      <c r="F1451" s="1" t="str">
        <f t="shared" si="466"/>
        <v>花都四部-凤凰仓</v>
      </c>
      <c r="G1451" s="1" t="str">
        <f t="shared" si="474"/>
        <v>卡卡杜企业店（视频号）</v>
      </c>
      <c r="H1451" s="1" t="str">
        <f t="shared" si="467"/>
        <v>正常订单</v>
      </c>
      <c r="I1451" s="1" t="str">
        <f t="shared" si="468"/>
        <v>已发货</v>
      </c>
      <c r="J1451" s="1" t="str">
        <f t="shared" si="478"/>
        <v>2</v>
      </c>
      <c r="K1451" s="1">
        <v>2</v>
      </c>
      <c r="L1451" s="1" t="s">
        <v>18</v>
      </c>
      <c r="M1451" s="1" t="str">
        <f>"广东省 惠州市 博罗县 "</f>
        <v xml:space="preserve">广东省 惠州市 博罗县 </v>
      </c>
      <c r="N1451" s="1" t="str">
        <f t="shared" si="462"/>
        <v>凡华云仓-城南圆通-微信视频号</v>
      </c>
      <c r="O1451" s="5" t="s">
        <v>1488</v>
      </c>
      <c r="P1451" s="6">
        <v>0.17</v>
      </c>
      <c r="Q1451" s="11">
        <v>2</v>
      </c>
      <c r="R1451" s="11"/>
      <c r="S1451" s="11"/>
      <c r="T1451" s="11"/>
      <c r="U1451" s="11">
        <f t="shared" si="469"/>
        <v>2</v>
      </c>
      <c r="W1451">
        <v>2.2000000000000002</v>
      </c>
      <c r="X1451" s="1" t="s">
        <v>18</v>
      </c>
    </row>
    <row r="1452" spans="1:24" x14ac:dyDescent="0.25">
      <c r="A1452" s="1" t="str">
        <f t="shared" si="465"/>
        <v>卡卡杜-凤凰仓</v>
      </c>
      <c r="B1452" s="1" t="str">
        <f>"CK20241029105"</f>
        <v>CK20241029105</v>
      </c>
      <c r="C1452" s="1" t="str">
        <f>"DD202410299487"</f>
        <v>DD202410299487</v>
      </c>
      <c r="D1452" s="1" t="str">
        <f>"CK2024102915177"</f>
        <v>CK2024102915177</v>
      </c>
      <c r="E1452" s="1" t="str">
        <f>"3723627250511647744"</f>
        <v>3723627250511647744</v>
      </c>
      <c r="F1452" s="1" t="str">
        <f t="shared" si="466"/>
        <v>花都四部-凤凰仓</v>
      </c>
      <c r="G1452" s="1" t="str">
        <f t="shared" si="474"/>
        <v>卡卡杜企业店（视频号）</v>
      </c>
      <c r="H1452" s="1" t="str">
        <f t="shared" si="467"/>
        <v>正常订单</v>
      </c>
      <c r="I1452" s="1" t="str">
        <f t="shared" si="468"/>
        <v>已发货</v>
      </c>
      <c r="J1452" s="1" t="str">
        <f t="shared" si="478"/>
        <v>2</v>
      </c>
      <c r="K1452" s="1">
        <v>2</v>
      </c>
      <c r="L1452" s="1" t="s">
        <v>92</v>
      </c>
      <c r="M1452" s="1" t="str">
        <f>"辽宁省 大连市 长海县 "</f>
        <v xml:space="preserve">辽宁省 大连市 长海县 </v>
      </c>
      <c r="N1452" s="1" t="str">
        <f t="shared" si="462"/>
        <v>凡华云仓-城南圆通-微信视频号</v>
      </c>
      <c r="O1452" s="5" t="s">
        <v>1489</v>
      </c>
      <c r="P1452" s="6">
        <v>0.17</v>
      </c>
      <c r="Q1452" s="11">
        <v>2</v>
      </c>
      <c r="R1452" s="11"/>
      <c r="S1452" s="11"/>
      <c r="T1452" s="11"/>
      <c r="U1452" s="11">
        <f t="shared" si="469"/>
        <v>2</v>
      </c>
      <c r="W1452">
        <v>2.2000000000000002</v>
      </c>
      <c r="X1452" s="1" t="s">
        <v>92</v>
      </c>
    </row>
    <row r="1453" spans="1:24" x14ac:dyDescent="0.25">
      <c r="A1453" s="1" t="str">
        <f t="shared" si="465"/>
        <v>卡卡杜-凤凰仓</v>
      </c>
      <c r="B1453" s="1" t="str">
        <f>"CK20241029341"</f>
        <v>CK20241029341</v>
      </c>
      <c r="C1453" s="1" t="str">
        <f>"DD202410299933"</f>
        <v>DD202410299933</v>
      </c>
      <c r="D1453" s="1" t="str">
        <f>"CK2024102915176"</f>
        <v>CK2024102915176</v>
      </c>
      <c r="E1453" s="1" t="str">
        <f>"3723627249870702081"</f>
        <v>3723627249870702081</v>
      </c>
      <c r="F1453" s="1" t="str">
        <f t="shared" si="466"/>
        <v>花都四部-凤凰仓</v>
      </c>
      <c r="G1453" s="1" t="str">
        <f t="shared" si="474"/>
        <v>卡卡杜企业店（视频号）</v>
      </c>
      <c r="H1453" s="1" t="str">
        <f t="shared" si="467"/>
        <v>正常订单</v>
      </c>
      <c r="I1453" s="1" t="str">
        <f t="shared" si="468"/>
        <v>已发货</v>
      </c>
      <c r="J1453" s="1" t="str">
        <f t="shared" si="477"/>
        <v>3</v>
      </c>
      <c r="K1453" s="1">
        <v>2</v>
      </c>
      <c r="L1453" s="1" t="s">
        <v>105</v>
      </c>
      <c r="M1453" s="1" t="str">
        <f>"北京 北京市 海淀区 "</f>
        <v xml:space="preserve">北京 北京市 海淀区 </v>
      </c>
      <c r="N1453" s="1" t="str">
        <f t="shared" si="462"/>
        <v>凡华云仓-城南圆通-微信视频号</v>
      </c>
      <c r="O1453" s="5" t="s">
        <v>1490</v>
      </c>
      <c r="P1453" s="6">
        <v>0.24</v>
      </c>
      <c r="Q1453" s="11">
        <v>2</v>
      </c>
      <c r="R1453" s="11"/>
      <c r="S1453" s="11"/>
      <c r="T1453" s="11"/>
      <c r="U1453" s="11">
        <f t="shared" si="469"/>
        <v>2</v>
      </c>
      <c r="W1453">
        <v>2.2000000000000002</v>
      </c>
      <c r="X1453" s="1" t="s">
        <v>105</v>
      </c>
    </row>
    <row r="1454" spans="1:24" x14ac:dyDescent="0.25">
      <c r="A1454" s="1" t="str">
        <f t="shared" si="465"/>
        <v>卡卡杜-凤凰仓</v>
      </c>
      <c r="B1454" s="1" t="str">
        <f>"CK20241029103"</f>
        <v>CK20241029103</v>
      </c>
      <c r="C1454" s="1" t="str">
        <f>"DD202410299486"</f>
        <v>DD202410299486</v>
      </c>
      <c r="D1454" s="1" t="str">
        <f>"CK2024102915175"</f>
        <v>CK2024102915175</v>
      </c>
      <c r="E1454" s="1" t="str">
        <f>"3723627249107078144"</f>
        <v>3723627249107078144</v>
      </c>
      <c r="F1454" s="1" t="str">
        <f t="shared" si="466"/>
        <v>花都四部-凤凰仓</v>
      </c>
      <c r="G1454" s="1" t="str">
        <f t="shared" si="474"/>
        <v>卡卡杜企业店（视频号）</v>
      </c>
      <c r="H1454" s="1" t="str">
        <f t="shared" si="467"/>
        <v>正常订单</v>
      </c>
      <c r="I1454" s="1" t="str">
        <f t="shared" si="468"/>
        <v>已发货</v>
      </c>
      <c r="J1454" s="1" t="str">
        <f>"2"</f>
        <v>2</v>
      </c>
      <c r="K1454" s="1">
        <v>2</v>
      </c>
      <c r="L1454" s="1" t="s">
        <v>105</v>
      </c>
      <c r="M1454" s="1" t="str">
        <f>"北京 北京市 东城区 "</f>
        <v xml:space="preserve">北京 北京市 东城区 </v>
      </c>
      <c r="N1454" s="1" t="str">
        <f t="shared" si="462"/>
        <v>凡华云仓-城南圆通-微信视频号</v>
      </c>
      <c r="O1454" s="5" t="s">
        <v>1491</v>
      </c>
      <c r="P1454" s="6">
        <v>0.17</v>
      </c>
      <c r="Q1454" s="11">
        <v>2</v>
      </c>
      <c r="R1454" s="11"/>
      <c r="S1454" s="11"/>
      <c r="T1454" s="11"/>
      <c r="U1454" s="11">
        <f t="shared" si="469"/>
        <v>2</v>
      </c>
      <c r="W1454">
        <v>2.2000000000000002</v>
      </c>
      <c r="X1454" s="1" t="s">
        <v>105</v>
      </c>
    </row>
    <row r="1455" spans="1:24" x14ac:dyDescent="0.25">
      <c r="A1455" s="1" t="str">
        <f t="shared" si="465"/>
        <v>卡卡杜-凤凰仓</v>
      </c>
      <c r="B1455" s="1" t="str">
        <f>"CK2024102998"</f>
        <v>CK2024102998</v>
      </c>
      <c r="C1455" s="1" t="str">
        <f>"DD202410299480"</f>
        <v>DD202410299480</v>
      </c>
      <c r="D1455" s="1" t="str">
        <f>"CK2024102915174"</f>
        <v>CK2024102915174</v>
      </c>
      <c r="E1455" s="1" t="str">
        <f>"3723627244758111232"</f>
        <v>3723627244758111232</v>
      </c>
      <c r="F1455" s="1" t="str">
        <f t="shared" si="466"/>
        <v>花都四部-凤凰仓</v>
      </c>
      <c r="G1455" s="1" t="str">
        <f t="shared" si="474"/>
        <v>卡卡杜企业店（视频号）</v>
      </c>
      <c r="H1455" s="1" t="str">
        <f t="shared" si="467"/>
        <v>正常订单</v>
      </c>
      <c r="I1455" s="1" t="str">
        <f t="shared" si="468"/>
        <v>已发货</v>
      </c>
      <c r="J1455" s="1" t="str">
        <f>"2"</f>
        <v>2</v>
      </c>
      <c r="K1455" s="1">
        <v>2</v>
      </c>
      <c r="L1455" s="1" t="s">
        <v>66</v>
      </c>
      <c r="M1455" s="1" t="str">
        <f>"内蒙古自治区 呼和浩特市 赛罕区 "</f>
        <v xml:space="preserve">内蒙古自治区 呼和浩特市 赛罕区 </v>
      </c>
      <c r="N1455" s="1" t="str">
        <f t="shared" si="462"/>
        <v>凡华云仓-城南圆通-微信视频号</v>
      </c>
      <c r="O1455" s="5" t="s">
        <v>1492</v>
      </c>
      <c r="P1455" s="6">
        <v>0.17</v>
      </c>
      <c r="Q1455" s="11">
        <v>2</v>
      </c>
      <c r="R1455" s="11"/>
      <c r="S1455" s="11"/>
      <c r="T1455" s="11"/>
      <c r="U1455" s="11">
        <f t="shared" si="469"/>
        <v>2</v>
      </c>
      <c r="W1455">
        <v>2.2000000000000002</v>
      </c>
      <c r="X1455" s="1" t="s">
        <v>66</v>
      </c>
    </row>
    <row r="1456" spans="1:24" x14ac:dyDescent="0.25">
      <c r="A1456" s="1" t="str">
        <f t="shared" si="465"/>
        <v>卡卡杜-凤凰仓</v>
      </c>
      <c r="B1456" s="1" t="str">
        <f>"CK20241029342"</f>
        <v>CK20241029342</v>
      </c>
      <c r="C1456" s="1" t="str">
        <f>"DD202410299934"</f>
        <v>DD202410299934</v>
      </c>
      <c r="D1456" s="1" t="str">
        <f>"CK2024102915173"</f>
        <v>CK2024102915173</v>
      </c>
      <c r="E1456" s="1" t="str">
        <f>"3723627245170462720"</f>
        <v>3723627245170462720</v>
      </c>
      <c r="F1456" s="1" t="str">
        <f t="shared" si="466"/>
        <v>花都四部-凤凰仓</v>
      </c>
      <c r="G1456" s="1" t="str">
        <f t="shared" si="474"/>
        <v>卡卡杜企业店（视频号）</v>
      </c>
      <c r="H1456" s="1" t="str">
        <f t="shared" si="467"/>
        <v>正常订单</v>
      </c>
      <c r="I1456" s="1" t="str">
        <f t="shared" si="468"/>
        <v>已发货</v>
      </c>
      <c r="J1456" s="1" t="str">
        <f t="shared" ref="J1456:J1460" si="479">"3"</f>
        <v>3</v>
      </c>
      <c r="K1456" s="1">
        <v>2</v>
      </c>
      <c r="L1456" s="1" t="s">
        <v>60</v>
      </c>
      <c r="M1456" s="1" t="str">
        <f>"云南省 昆明市 官渡区 "</f>
        <v xml:space="preserve">云南省 昆明市 官渡区 </v>
      </c>
      <c r="N1456" s="1" t="str">
        <f t="shared" si="462"/>
        <v>凡华云仓-城南圆通-微信视频号</v>
      </c>
      <c r="O1456" s="5" t="s">
        <v>1493</v>
      </c>
      <c r="P1456" s="6">
        <v>0.24</v>
      </c>
      <c r="Q1456" s="11">
        <v>2</v>
      </c>
      <c r="R1456" s="11"/>
      <c r="S1456" s="11"/>
      <c r="T1456" s="11"/>
      <c r="U1456" s="11">
        <f t="shared" si="469"/>
        <v>2</v>
      </c>
      <c r="W1456">
        <v>2.2000000000000002</v>
      </c>
      <c r="X1456" s="1" t="s">
        <v>60</v>
      </c>
    </row>
    <row r="1457" spans="1:24" x14ac:dyDescent="0.25">
      <c r="A1457" s="1" t="str">
        <f t="shared" si="465"/>
        <v>卡卡杜-凤凰仓</v>
      </c>
      <c r="B1457" s="1" t="str">
        <f>"CK20241029165"</f>
        <v>CK20241029165</v>
      </c>
      <c r="C1457" s="1" t="str">
        <f>"DD202410299694"</f>
        <v>DD202410299694</v>
      </c>
      <c r="D1457" s="1" t="str">
        <f>"CK2024102915172"</f>
        <v>CK2024102915172</v>
      </c>
      <c r="E1457" s="1" t="str">
        <f>"3723627202904200192"</f>
        <v>3723627202904200192</v>
      </c>
      <c r="F1457" s="1" t="str">
        <f t="shared" si="466"/>
        <v>花都四部-凤凰仓</v>
      </c>
      <c r="G1457" s="1" t="str">
        <f t="shared" si="474"/>
        <v>卡卡杜企业店（视频号）</v>
      </c>
      <c r="H1457" s="1" t="str">
        <f t="shared" si="467"/>
        <v>正常订单</v>
      </c>
      <c r="I1457" s="1" t="str">
        <f t="shared" si="468"/>
        <v>已发货</v>
      </c>
      <c r="J1457" s="1" t="str">
        <f>"5"</f>
        <v>5</v>
      </c>
      <c r="K1457" s="1">
        <v>2</v>
      </c>
      <c r="L1457" s="1" t="s">
        <v>41</v>
      </c>
      <c r="M1457" s="1" t="str">
        <f>"湖北省 武汉市 硚口区 "</f>
        <v xml:space="preserve">湖北省 武汉市 硚口区 </v>
      </c>
      <c r="N1457" s="1" t="str">
        <f t="shared" si="462"/>
        <v>凡华云仓-城南圆通-微信视频号</v>
      </c>
      <c r="O1457" s="5" t="s">
        <v>1494</v>
      </c>
      <c r="P1457" s="6">
        <v>0.59</v>
      </c>
      <c r="Q1457" s="11">
        <f>CEILING(P1457-0.5,0.1)*10*0.15+2.3</f>
        <v>2.4499999999999997</v>
      </c>
      <c r="R1457" s="11"/>
      <c r="S1457" s="11"/>
      <c r="T1457" s="11"/>
      <c r="U1457" s="11">
        <f t="shared" si="469"/>
        <v>2.4499999999999997</v>
      </c>
      <c r="V1457" t="s">
        <v>15</v>
      </c>
      <c r="W1457">
        <v>2.4500000000000002</v>
      </c>
      <c r="X1457" s="1" t="s">
        <v>41</v>
      </c>
    </row>
    <row r="1458" spans="1:24" x14ac:dyDescent="0.25">
      <c r="A1458" s="1" t="str">
        <f t="shared" si="465"/>
        <v>卡卡杜-凤凰仓</v>
      </c>
      <c r="B1458" s="1" t="str">
        <f>"CK202410295244"</f>
        <v>CK202410295244</v>
      </c>
      <c r="C1458" s="1" t="str">
        <f>"DD2024102911835"</f>
        <v>DD2024102911835</v>
      </c>
      <c r="D1458" s="1" t="str">
        <f>"CK2024102915171"</f>
        <v>CK2024102915171</v>
      </c>
      <c r="E1458" s="1" t="str">
        <f>"2430302241274223"</f>
        <v>2430302241274223</v>
      </c>
      <c r="F1458" s="1" t="str">
        <f t="shared" si="466"/>
        <v>花都四部-凤凰仓</v>
      </c>
      <c r="G1458" s="1" t="str">
        <f t="shared" ref="G1458:G1489" si="480">"卡卡杜佳旺专卖店（快手店）"</f>
        <v>卡卡杜佳旺专卖店（快手店）</v>
      </c>
      <c r="H1458" s="1" t="str">
        <f t="shared" si="467"/>
        <v>正常订单</v>
      </c>
      <c r="I1458" s="1" t="str">
        <f t="shared" si="468"/>
        <v>已发货</v>
      </c>
      <c r="J1458" s="1" t="str">
        <f t="shared" si="479"/>
        <v>3</v>
      </c>
      <c r="K1458" s="1">
        <v>2</v>
      </c>
      <c r="L1458" s="1" t="s">
        <v>1495</v>
      </c>
      <c r="M1458" s="1" t="str">
        <f>"天津市 天津市 津南区 咸水沽镇"</f>
        <v>天津市 天津市 津南区 咸水沽镇</v>
      </c>
      <c r="N1458" s="1" t="str">
        <f t="shared" ref="N1458:N1489" si="481">"凡华云仓-城南圆通-快手"</f>
        <v>凡华云仓-城南圆通-快手</v>
      </c>
      <c r="O1458" s="5" t="s">
        <v>1496</v>
      </c>
      <c r="P1458" s="6">
        <v>0.35</v>
      </c>
      <c r="Q1458" s="11">
        <v>2.2999999999999998</v>
      </c>
      <c r="R1458" s="11"/>
      <c r="S1458" s="11"/>
      <c r="T1458" s="11"/>
      <c r="U1458" s="11">
        <f t="shared" si="469"/>
        <v>2.2999999999999998</v>
      </c>
      <c r="W1458">
        <v>2.5</v>
      </c>
      <c r="X1458" s="1" t="s">
        <v>1495</v>
      </c>
    </row>
    <row r="1459" spans="1:24" x14ac:dyDescent="0.25">
      <c r="A1459" s="1" t="str">
        <f t="shared" si="465"/>
        <v>卡卡杜-凤凰仓</v>
      </c>
      <c r="B1459" s="1" t="str">
        <f>"CK202410295245"</f>
        <v>CK202410295245</v>
      </c>
      <c r="C1459" s="1" t="str">
        <f>"DD2024102911834"</f>
        <v>DD2024102911834</v>
      </c>
      <c r="D1459" s="1" t="str">
        <f>"CK2024102915170"</f>
        <v>CK2024102915170</v>
      </c>
      <c r="E1459" s="1" t="str">
        <f>"2430302161129629"</f>
        <v>2430302161129629</v>
      </c>
      <c r="F1459" s="1" t="str">
        <f t="shared" si="466"/>
        <v>花都四部-凤凰仓</v>
      </c>
      <c r="G1459" s="1" t="str">
        <f t="shared" si="480"/>
        <v>卡卡杜佳旺专卖店（快手店）</v>
      </c>
      <c r="H1459" s="1" t="str">
        <f t="shared" si="467"/>
        <v>正常订单</v>
      </c>
      <c r="I1459" s="1" t="str">
        <f t="shared" si="468"/>
        <v>已发货</v>
      </c>
      <c r="J1459" s="1" t="str">
        <f t="shared" si="479"/>
        <v>3</v>
      </c>
      <c r="K1459" s="1">
        <v>2</v>
      </c>
      <c r="L1459" s="1" t="s">
        <v>92</v>
      </c>
      <c r="M1459" s="1" t="str">
        <f>"辽宁省 朝阳市 双塔区 双塔街道"</f>
        <v>辽宁省 朝阳市 双塔区 双塔街道</v>
      </c>
      <c r="N1459" s="1" t="str">
        <f t="shared" si="481"/>
        <v>凡华云仓-城南圆通-快手</v>
      </c>
      <c r="O1459" s="5" t="s">
        <v>1497</v>
      </c>
      <c r="P1459" s="6">
        <v>0.35</v>
      </c>
      <c r="Q1459" s="11">
        <v>2.2999999999999998</v>
      </c>
      <c r="R1459" s="11"/>
      <c r="S1459" s="11"/>
      <c r="T1459" s="11"/>
      <c r="U1459" s="11">
        <f t="shared" si="469"/>
        <v>2.2999999999999998</v>
      </c>
      <c r="W1459">
        <v>2.5</v>
      </c>
      <c r="X1459" s="1" t="s">
        <v>92</v>
      </c>
    </row>
    <row r="1460" spans="1:24" x14ac:dyDescent="0.25">
      <c r="A1460" s="1" t="str">
        <f t="shared" si="465"/>
        <v>卡卡杜-凤凰仓</v>
      </c>
      <c r="B1460" s="1" t="str">
        <f>"CK20241029170"</f>
        <v>CK20241029170</v>
      </c>
      <c r="C1460" s="1" t="str">
        <f>"DD202410299763"</f>
        <v>DD202410299763</v>
      </c>
      <c r="D1460" s="1" t="str">
        <f>"CK2024102915169"</f>
        <v>CK2024102915169</v>
      </c>
      <c r="E1460" s="1" t="str">
        <f>"2430301682043234"</f>
        <v>2430301682043234</v>
      </c>
      <c r="F1460" s="1" t="str">
        <f t="shared" si="466"/>
        <v>花都四部-凤凰仓</v>
      </c>
      <c r="G1460" s="1" t="str">
        <f t="shared" si="480"/>
        <v>卡卡杜佳旺专卖店（快手店）</v>
      </c>
      <c r="H1460" s="1" t="str">
        <f t="shared" si="467"/>
        <v>正常订单</v>
      </c>
      <c r="I1460" s="1" t="str">
        <f t="shared" si="468"/>
        <v>已发货</v>
      </c>
      <c r="J1460" s="1" t="str">
        <f t="shared" si="479"/>
        <v>3</v>
      </c>
      <c r="K1460" s="1">
        <v>2</v>
      </c>
      <c r="L1460" s="1" t="s">
        <v>66</v>
      </c>
      <c r="M1460" s="1" t="str">
        <f>"内蒙古自治区 通辽市 科尔沁左翼后旗 金宝屯镇"</f>
        <v>内蒙古自治区 通辽市 科尔沁左翼后旗 金宝屯镇</v>
      </c>
      <c r="N1460" s="1" t="str">
        <f t="shared" si="481"/>
        <v>凡华云仓-城南圆通-快手</v>
      </c>
      <c r="O1460" s="5" t="s">
        <v>1498</v>
      </c>
      <c r="P1460" s="6">
        <v>0.35</v>
      </c>
      <c r="Q1460" s="11">
        <v>2.2999999999999998</v>
      </c>
      <c r="R1460" s="11"/>
      <c r="S1460" s="11"/>
      <c r="T1460" s="11"/>
      <c r="U1460" s="11">
        <f t="shared" si="469"/>
        <v>2.2999999999999998</v>
      </c>
      <c r="W1460">
        <v>2.5</v>
      </c>
      <c r="X1460" s="1" t="s">
        <v>66</v>
      </c>
    </row>
    <row r="1461" spans="1:24" x14ac:dyDescent="0.25">
      <c r="A1461" s="1" t="str">
        <f t="shared" si="465"/>
        <v>卡卡杜-凤凰仓</v>
      </c>
      <c r="B1461" s="1" t="str">
        <f>"CK20241029168"</f>
        <v>CK20241029168</v>
      </c>
      <c r="C1461" s="1" t="str">
        <f>"DD202410299703"</f>
        <v>DD202410299703</v>
      </c>
      <c r="D1461" s="1" t="str">
        <f>"CK2024102915168"</f>
        <v>CK2024102915168</v>
      </c>
      <c r="E1461" s="1" t="str">
        <f>"2430301680347332"</f>
        <v>2430301680347332</v>
      </c>
      <c r="F1461" s="1" t="str">
        <f t="shared" si="466"/>
        <v>花都四部-凤凰仓</v>
      </c>
      <c r="G1461" s="1" t="str">
        <f t="shared" si="480"/>
        <v>卡卡杜佳旺专卖店（快手店）</v>
      </c>
      <c r="H1461" s="1" t="str">
        <f t="shared" si="467"/>
        <v>正常订单</v>
      </c>
      <c r="I1461" s="1" t="str">
        <f t="shared" si="468"/>
        <v>已发货</v>
      </c>
      <c r="J1461" s="1" t="str">
        <f>"5"</f>
        <v>5</v>
      </c>
      <c r="K1461" s="1">
        <v>2</v>
      </c>
      <c r="L1461" s="1" t="s">
        <v>710</v>
      </c>
      <c r="M1461" s="1" t="str">
        <f>"上海市 上海市 浦东新区 川沙新镇"</f>
        <v>上海市 上海市 浦东新区 川沙新镇</v>
      </c>
      <c r="N1461" s="1" t="str">
        <f t="shared" si="481"/>
        <v>凡华云仓-城南圆通-快手</v>
      </c>
      <c r="O1461" s="5" t="s">
        <v>1499</v>
      </c>
      <c r="P1461" s="6">
        <v>0.59</v>
      </c>
      <c r="Q1461" s="11">
        <f>CEILING(P1461-0.5,0.1)*10*0.15+2.3</f>
        <v>2.4499999999999997</v>
      </c>
      <c r="R1461" s="11"/>
      <c r="S1461" s="11"/>
      <c r="T1461" s="11"/>
      <c r="U1461" s="11">
        <f t="shared" si="469"/>
        <v>2.4499999999999997</v>
      </c>
      <c r="V1461" t="s">
        <v>15</v>
      </c>
      <c r="W1461">
        <v>2.4500000000000002</v>
      </c>
      <c r="X1461" s="1" t="s">
        <v>710</v>
      </c>
    </row>
    <row r="1462" spans="1:24" x14ac:dyDescent="0.25">
      <c r="A1462" s="1" t="str">
        <f t="shared" si="465"/>
        <v>卡卡杜-凤凰仓</v>
      </c>
      <c r="B1462" s="1" t="str">
        <f>"CK20241029174"</f>
        <v>CK20241029174</v>
      </c>
      <c r="C1462" s="1" t="str">
        <f>"DD202410299764"</f>
        <v>DD202410299764</v>
      </c>
      <c r="D1462" s="1" t="str">
        <f>"CK2024102915167"</f>
        <v>CK2024102915167</v>
      </c>
      <c r="E1462" s="1" t="str">
        <f>"2430301681810436"</f>
        <v>2430301681810436</v>
      </c>
      <c r="F1462" s="1" t="str">
        <f t="shared" si="466"/>
        <v>花都四部-凤凰仓</v>
      </c>
      <c r="G1462" s="1" t="str">
        <f t="shared" si="480"/>
        <v>卡卡杜佳旺专卖店（快手店）</v>
      </c>
      <c r="H1462" s="1" t="str">
        <f t="shared" si="467"/>
        <v>正常订单</v>
      </c>
      <c r="I1462" s="1" t="str">
        <f t="shared" si="468"/>
        <v>已发货</v>
      </c>
      <c r="J1462" s="1" t="str">
        <f t="shared" ref="J1462:J1472" si="482">"3"</f>
        <v>3</v>
      </c>
      <c r="K1462" s="1">
        <v>2</v>
      </c>
      <c r="L1462" s="1" t="s">
        <v>30</v>
      </c>
      <c r="M1462" s="1" t="str">
        <f>"山东省 泰安市 岱岳区 北集坡街道"</f>
        <v>山东省 泰安市 岱岳区 北集坡街道</v>
      </c>
      <c r="N1462" s="1" t="str">
        <f t="shared" si="481"/>
        <v>凡华云仓-城南圆通-快手</v>
      </c>
      <c r="O1462" s="5" t="s">
        <v>1500</v>
      </c>
      <c r="P1462" s="6">
        <v>0.35</v>
      </c>
      <c r="Q1462" s="11">
        <v>2.2999999999999998</v>
      </c>
      <c r="R1462" s="11"/>
      <c r="S1462" s="11"/>
      <c r="T1462" s="11"/>
      <c r="U1462" s="11">
        <f t="shared" si="469"/>
        <v>2.2999999999999998</v>
      </c>
      <c r="W1462">
        <v>2.5</v>
      </c>
      <c r="X1462" s="1" t="s">
        <v>30</v>
      </c>
    </row>
    <row r="1463" spans="1:24" x14ac:dyDescent="0.25">
      <c r="A1463" s="1" t="str">
        <f t="shared" si="465"/>
        <v>卡卡杜-凤凰仓</v>
      </c>
      <c r="B1463" s="1" t="str">
        <f>"CK20241029177"</f>
        <v>CK20241029177</v>
      </c>
      <c r="C1463" s="1" t="str">
        <f>"DD202410299769"</f>
        <v>DD202410299769</v>
      </c>
      <c r="D1463" s="1" t="str">
        <f>"CK2024102915166"</f>
        <v>CK2024102915166</v>
      </c>
      <c r="E1463" s="1" t="str">
        <f>"2430302162537743"</f>
        <v>2430302162537743</v>
      </c>
      <c r="F1463" s="1" t="str">
        <f t="shared" si="466"/>
        <v>花都四部-凤凰仓</v>
      </c>
      <c r="G1463" s="1" t="str">
        <f t="shared" si="480"/>
        <v>卡卡杜佳旺专卖店（快手店）</v>
      </c>
      <c r="H1463" s="1" t="str">
        <f t="shared" si="467"/>
        <v>正常订单</v>
      </c>
      <c r="I1463" s="1" t="str">
        <f t="shared" si="468"/>
        <v>已发货</v>
      </c>
      <c r="J1463" s="1" t="str">
        <f t="shared" si="482"/>
        <v>3</v>
      </c>
      <c r="K1463" s="1">
        <v>2</v>
      </c>
      <c r="L1463" s="1" t="s">
        <v>30</v>
      </c>
      <c r="M1463" s="1" t="str">
        <f>"山东省 青岛市 即墨区 通济街道"</f>
        <v>山东省 青岛市 即墨区 通济街道</v>
      </c>
      <c r="N1463" s="1" t="str">
        <f t="shared" si="481"/>
        <v>凡华云仓-城南圆通-快手</v>
      </c>
      <c r="O1463" s="5" t="s">
        <v>1501</v>
      </c>
      <c r="P1463" s="6">
        <v>0.35</v>
      </c>
      <c r="Q1463" s="11">
        <v>2.2999999999999998</v>
      </c>
      <c r="R1463" s="11"/>
      <c r="S1463" s="11"/>
      <c r="T1463" s="11"/>
      <c r="U1463" s="11">
        <f t="shared" si="469"/>
        <v>2.2999999999999998</v>
      </c>
      <c r="W1463">
        <v>2.5</v>
      </c>
      <c r="X1463" s="1" t="s">
        <v>30</v>
      </c>
    </row>
    <row r="1464" spans="1:24" x14ac:dyDescent="0.25">
      <c r="A1464" s="1" t="str">
        <f t="shared" si="465"/>
        <v>卡卡杜-凤凰仓</v>
      </c>
      <c r="B1464" s="1" t="str">
        <f>"CK20241029178"</f>
        <v>CK20241029178</v>
      </c>
      <c r="C1464" s="1" t="str">
        <f>"DD202410299771"</f>
        <v>DD202410299771</v>
      </c>
      <c r="D1464" s="1" t="str">
        <f>"CK2024102915165"</f>
        <v>CK2024102915165</v>
      </c>
      <c r="E1464" s="1" t="str">
        <f>"2430301604192651"</f>
        <v>2430301604192651</v>
      </c>
      <c r="F1464" s="1" t="str">
        <f t="shared" si="466"/>
        <v>花都四部-凤凰仓</v>
      </c>
      <c r="G1464" s="1" t="str">
        <f t="shared" si="480"/>
        <v>卡卡杜佳旺专卖店（快手店）</v>
      </c>
      <c r="H1464" s="1" t="str">
        <f t="shared" si="467"/>
        <v>正常订单</v>
      </c>
      <c r="I1464" s="1" t="str">
        <f t="shared" si="468"/>
        <v>已发货</v>
      </c>
      <c r="J1464" s="1" t="str">
        <f t="shared" si="482"/>
        <v>3</v>
      </c>
      <c r="K1464" s="1">
        <v>2</v>
      </c>
      <c r="L1464" s="1" t="s">
        <v>80</v>
      </c>
      <c r="M1464" s="1" t="str">
        <f>"河南省 焦作市 博爱县 清化镇街道"</f>
        <v>河南省 焦作市 博爱县 清化镇街道</v>
      </c>
      <c r="N1464" s="1" t="str">
        <f t="shared" si="481"/>
        <v>凡华云仓-城南圆通-快手</v>
      </c>
      <c r="O1464" s="5" t="s">
        <v>1502</v>
      </c>
      <c r="P1464" s="6">
        <v>0.35</v>
      </c>
      <c r="Q1464" s="11">
        <v>2.2999999999999998</v>
      </c>
      <c r="R1464" s="11"/>
      <c r="S1464" s="11"/>
      <c r="T1464" s="11"/>
      <c r="U1464" s="11">
        <f t="shared" si="469"/>
        <v>2.2999999999999998</v>
      </c>
      <c r="W1464">
        <v>2.5</v>
      </c>
      <c r="X1464" s="1" t="s">
        <v>80</v>
      </c>
    </row>
    <row r="1465" spans="1:24" x14ac:dyDescent="0.25">
      <c r="A1465" s="1" t="str">
        <f t="shared" si="465"/>
        <v>卡卡杜-凤凰仓</v>
      </c>
      <c r="B1465" s="1" t="str">
        <f>"CK20241029179"</f>
        <v>CK20241029179</v>
      </c>
      <c r="C1465" s="1" t="str">
        <f>"DD202410299772"</f>
        <v>DD202410299772</v>
      </c>
      <c r="D1465" s="1" t="str">
        <f>"CK2024102915164"</f>
        <v>CK2024102915164</v>
      </c>
      <c r="E1465" s="1" t="str">
        <f>"2430301604129132"</f>
        <v>2430301604129132</v>
      </c>
      <c r="F1465" s="1" t="str">
        <f t="shared" si="466"/>
        <v>花都四部-凤凰仓</v>
      </c>
      <c r="G1465" s="1" t="str">
        <f t="shared" si="480"/>
        <v>卡卡杜佳旺专卖店（快手店）</v>
      </c>
      <c r="H1465" s="1" t="str">
        <f t="shared" si="467"/>
        <v>正常订单</v>
      </c>
      <c r="I1465" s="1" t="str">
        <f t="shared" si="468"/>
        <v>已发货</v>
      </c>
      <c r="J1465" s="1" t="str">
        <f t="shared" si="482"/>
        <v>3</v>
      </c>
      <c r="K1465" s="1">
        <v>2</v>
      </c>
      <c r="L1465" s="1" t="s">
        <v>30</v>
      </c>
      <c r="M1465" s="1" t="str">
        <f>"山东省 青岛市 崂山区 王哥庄街道"</f>
        <v>山东省 青岛市 崂山区 王哥庄街道</v>
      </c>
      <c r="N1465" s="1" t="str">
        <f t="shared" si="481"/>
        <v>凡华云仓-城南圆通-快手</v>
      </c>
      <c r="O1465" s="5" t="s">
        <v>1503</v>
      </c>
      <c r="P1465" s="6">
        <v>0.35</v>
      </c>
      <c r="Q1465" s="11">
        <v>2.2999999999999998</v>
      </c>
      <c r="R1465" s="11"/>
      <c r="S1465" s="11"/>
      <c r="T1465" s="11"/>
      <c r="U1465" s="11">
        <f t="shared" si="469"/>
        <v>2.2999999999999998</v>
      </c>
      <c r="W1465">
        <v>2.5</v>
      </c>
      <c r="X1465" s="1" t="s">
        <v>30</v>
      </c>
    </row>
    <row r="1466" spans="1:24" x14ac:dyDescent="0.25">
      <c r="A1466" s="1" t="str">
        <f t="shared" si="465"/>
        <v>卡卡杜-凤凰仓</v>
      </c>
      <c r="B1466" s="1" t="str">
        <f>"CK20241029180"</f>
        <v>CK20241029180</v>
      </c>
      <c r="C1466" s="1" t="str">
        <f>"DD202410299774"</f>
        <v>DD202410299774</v>
      </c>
      <c r="D1466" s="1" t="str">
        <f>"CK2024102915163"</f>
        <v>CK2024102915163</v>
      </c>
      <c r="E1466" s="1" t="str">
        <f>"2430302480987986"</f>
        <v>2430302480987986</v>
      </c>
      <c r="F1466" s="1" t="str">
        <f t="shared" si="466"/>
        <v>花都四部-凤凰仓</v>
      </c>
      <c r="G1466" s="1" t="str">
        <f t="shared" si="480"/>
        <v>卡卡杜佳旺专卖店（快手店）</v>
      </c>
      <c r="H1466" s="1" t="str">
        <f t="shared" si="467"/>
        <v>正常订单</v>
      </c>
      <c r="I1466" s="1" t="str">
        <f t="shared" si="468"/>
        <v>已发货</v>
      </c>
      <c r="J1466" s="1" t="str">
        <f t="shared" si="482"/>
        <v>3</v>
      </c>
      <c r="K1466" s="1">
        <v>3</v>
      </c>
      <c r="L1466" s="1" t="s">
        <v>13</v>
      </c>
      <c r="M1466" s="1" t="str">
        <f>"江苏省 无锡市 锡山区 "</f>
        <v xml:space="preserve">江苏省 无锡市 锡山区 </v>
      </c>
      <c r="N1466" s="1" t="str">
        <f t="shared" si="481"/>
        <v>凡华云仓-城南圆通-快手</v>
      </c>
      <c r="O1466" s="5" t="s">
        <v>1504</v>
      </c>
      <c r="P1466" s="6">
        <v>0.34</v>
      </c>
      <c r="Q1466" s="11">
        <v>2.2999999999999998</v>
      </c>
      <c r="R1466" s="11"/>
      <c r="S1466" s="11"/>
      <c r="T1466" s="11"/>
      <c r="U1466" s="11">
        <f t="shared" si="469"/>
        <v>2.2999999999999998</v>
      </c>
      <c r="W1466">
        <v>2.5</v>
      </c>
      <c r="X1466" s="1" t="s">
        <v>13</v>
      </c>
    </row>
    <row r="1467" spans="1:24" x14ac:dyDescent="0.25">
      <c r="A1467" s="1" t="str">
        <f t="shared" si="465"/>
        <v>卡卡杜-凤凰仓</v>
      </c>
      <c r="B1467" s="1" t="str">
        <f>"CK20241029181"</f>
        <v>CK20241029181</v>
      </c>
      <c r="C1467" s="1" t="str">
        <f>"DD202410299773"</f>
        <v>DD202410299773</v>
      </c>
      <c r="D1467" s="1" t="str">
        <f>"CK2024102915162"</f>
        <v>CK2024102915162</v>
      </c>
      <c r="E1467" s="1" t="str">
        <f>"2430301760888765"</f>
        <v>2430301760888765</v>
      </c>
      <c r="F1467" s="1" t="str">
        <f t="shared" si="466"/>
        <v>花都四部-凤凰仓</v>
      </c>
      <c r="G1467" s="1" t="str">
        <f t="shared" si="480"/>
        <v>卡卡杜佳旺专卖店（快手店）</v>
      </c>
      <c r="H1467" s="1" t="str">
        <f t="shared" si="467"/>
        <v>正常订单</v>
      </c>
      <c r="I1467" s="1" t="str">
        <f t="shared" si="468"/>
        <v>已发货</v>
      </c>
      <c r="J1467" s="1" t="str">
        <f t="shared" si="482"/>
        <v>3</v>
      </c>
      <c r="K1467" s="1">
        <v>2</v>
      </c>
      <c r="L1467" s="1" t="s">
        <v>161</v>
      </c>
      <c r="M1467" s="1" t="str">
        <f>"四川省 成都市 郫都区 合作街道"</f>
        <v>四川省 成都市 郫都区 合作街道</v>
      </c>
      <c r="N1467" s="1" t="str">
        <f t="shared" si="481"/>
        <v>凡华云仓-城南圆通-快手</v>
      </c>
      <c r="O1467" s="5" t="s">
        <v>1505</v>
      </c>
      <c r="P1467" s="6">
        <v>0.35</v>
      </c>
      <c r="Q1467" s="11">
        <v>2.2999999999999998</v>
      </c>
      <c r="R1467" s="11"/>
      <c r="S1467" s="11"/>
      <c r="T1467" s="11"/>
      <c r="U1467" s="11">
        <f t="shared" si="469"/>
        <v>2.2999999999999998</v>
      </c>
      <c r="W1467">
        <v>2.5</v>
      </c>
      <c r="X1467" s="1" t="s">
        <v>161</v>
      </c>
    </row>
    <row r="1468" spans="1:24" x14ac:dyDescent="0.25">
      <c r="A1468" s="1" t="str">
        <f t="shared" si="465"/>
        <v>卡卡杜-凤凰仓</v>
      </c>
      <c r="B1468" s="1" t="str">
        <f>"CK20241029182"</f>
        <v>CK20241029182</v>
      </c>
      <c r="C1468" s="1" t="str">
        <f>"DD202410299775"</f>
        <v>DD202410299775</v>
      </c>
      <c r="D1468" s="1" t="str">
        <f>"CK2024102915161"</f>
        <v>CK2024102915161</v>
      </c>
      <c r="E1468" s="1" t="str">
        <f>"2430302320891588"</f>
        <v>2430302320891588</v>
      </c>
      <c r="F1468" s="1" t="str">
        <f t="shared" si="466"/>
        <v>花都四部-凤凰仓</v>
      </c>
      <c r="G1468" s="1" t="str">
        <f t="shared" si="480"/>
        <v>卡卡杜佳旺专卖店（快手店）</v>
      </c>
      <c r="H1468" s="1" t="str">
        <f t="shared" si="467"/>
        <v>正常订单</v>
      </c>
      <c r="I1468" s="1" t="str">
        <f t="shared" si="468"/>
        <v>已发货</v>
      </c>
      <c r="J1468" s="1" t="str">
        <f t="shared" si="482"/>
        <v>3</v>
      </c>
      <c r="K1468" s="1">
        <v>2</v>
      </c>
      <c r="L1468" s="1" t="s">
        <v>18</v>
      </c>
      <c r="M1468" s="1" t="str">
        <f>"广东省 深圳市 龙华区 福城街道"</f>
        <v>广东省 深圳市 龙华区 福城街道</v>
      </c>
      <c r="N1468" s="1" t="str">
        <f t="shared" si="481"/>
        <v>凡华云仓-城南圆通-快手</v>
      </c>
      <c r="O1468" s="5" t="s">
        <v>1506</v>
      </c>
      <c r="P1468" s="6">
        <v>0.35</v>
      </c>
      <c r="Q1468" s="11">
        <v>2.2999999999999998</v>
      </c>
      <c r="R1468" s="11"/>
      <c r="S1468" s="11"/>
      <c r="T1468" s="11"/>
      <c r="U1468" s="11">
        <f t="shared" si="469"/>
        <v>2.2999999999999998</v>
      </c>
      <c r="W1468">
        <v>2.5</v>
      </c>
      <c r="X1468" s="1" t="s">
        <v>18</v>
      </c>
    </row>
    <row r="1469" spans="1:24" x14ac:dyDescent="0.25">
      <c r="A1469" s="1" t="str">
        <f t="shared" si="465"/>
        <v>卡卡杜-凤凰仓</v>
      </c>
      <c r="B1469" s="1" t="str">
        <f>"CK20241029183"</f>
        <v>CK20241029183</v>
      </c>
      <c r="C1469" s="1" t="str">
        <f>"DD202410299777"</f>
        <v>DD202410299777</v>
      </c>
      <c r="D1469" s="1" t="str">
        <f>"CK2024102915160"</f>
        <v>CK2024102915160</v>
      </c>
      <c r="E1469" s="1" t="str">
        <f>"2430302322426706"</f>
        <v>2430302322426706</v>
      </c>
      <c r="F1469" s="1" t="str">
        <f t="shared" si="466"/>
        <v>花都四部-凤凰仓</v>
      </c>
      <c r="G1469" s="1" t="str">
        <f t="shared" si="480"/>
        <v>卡卡杜佳旺专卖店（快手店）</v>
      </c>
      <c r="H1469" s="1" t="str">
        <f t="shared" si="467"/>
        <v>正常订单</v>
      </c>
      <c r="I1469" s="1" t="str">
        <f t="shared" si="468"/>
        <v>已发货</v>
      </c>
      <c r="J1469" s="1" t="str">
        <f t="shared" si="482"/>
        <v>3</v>
      </c>
      <c r="K1469" s="1">
        <v>3</v>
      </c>
      <c r="L1469" s="1" t="s">
        <v>18</v>
      </c>
      <c r="M1469" s="1" t="str">
        <f>"广东省 中山市 小榄镇 小榄镇"</f>
        <v>广东省 中山市 小榄镇 小榄镇</v>
      </c>
      <c r="N1469" s="1" t="str">
        <f t="shared" si="481"/>
        <v>凡华云仓-城南圆通-快手</v>
      </c>
      <c r="O1469" s="5" t="s">
        <v>1507</v>
      </c>
      <c r="P1469" s="6">
        <v>0.34</v>
      </c>
      <c r="Q1469" s="11">
        <v>2.2999999999999998</v>
      </c>
      <c r="R1469" s="11"/>
      <c r="S1469" s="11"/>
      <c r="T1469" s="11"/>
      <c r="U1469" s="11">
        <f t="shared" si="469"/>
        <v>2.2999999999999998</v>
      </c>
      <c r="W1469">
        <v>2.5</v>
      </c>
      <c r="X1469" s="1" t="s">
        <v>18</v>
      </c>
    </row>
    <row r="1470" spans="1:24" x14ac:dyDescent="0.25">
      <c r="A1470" s="1" t="str">
        <f t="shared" si="465"/>
        <v>卡卡杜-凤凰仓</v>
      </c>
      <c r="B1470" s="1" t="str">
        <f>"CK20241029184"</f>
        <v>CK20241029184</v>
      </c>
      <c r="C1470" s="1" t="str">
        <f>"DD202410299776"</f>
        <v>DD202410299776</v>
      </c>
      <c r="D1470" s="1" t="str">
        <f>"CK2024102915159"</f>
        <v>CK2024102915159</v>
      </c>
      <c r="E1470" s="1" t="str">
        <f>"2430302000825380"</f>
        <v>2430302000825380</v>
      </c>
      <c r="F1470" s="1" t="str">
        <f t="shared" si="466"/>
        <v>花都四部-凤凰仓</v>
      </c>
      <c r="G1470" s="1" t="str">
        <f t="shared" si="480"/>
        <v>卡卡杜佳旺专卖店（快手店）</v>
      </c>
      <c r="H1470" s="1" t="str">
        <f t="shared" si="467"/>
        <v>正常订单</v>
      </c>
      <c r="I1470" s="1" t="str">
        <f t="shared" si="468"/>
        <v>已发货</v>
      </c>
      <c r="J1470" s="1" t="str">
        <f t="shared" si="482"/>
        <v>3</v>
      </c>
      <c r="K1470" s="1">
        <v>2</v>
      </c>
      <c r="L1470" s="1" t="s">
        <v>30</v>
      </c>
      <c r="M1470" s="1" t="str">
        <f>"山东省 威海市 环翠区 张村镇"</f>
        <v>山东省 威海市 环翠区 张村镇</v>
      </c>
      <c r="N1470" s="1" t="str">
        <f t="shared" si="481"/>
        <v>凡华云仓-城南圆通-快手</v>
      </c>
      <c r="O1470" s="5" t="s">
        <v>1508</v>
      </c>
      <c r="P1470" s="6">
        <v>0.35</v>
      </c>
      <c r="Q1470" s="11">
        <v>2.2999999999999998</v>
      </c>
      <c r="R1470" s="11"/>
      <c r="S1470" s="11"/>
      <c r="T1470" s="11"/>
      <c r="U1470" s="11">
        <f t="shared" si="469"/>
        <v>2.2999999999999998</v>
      </c>
      <c r="W1470">
        <v>2.5</v>
      </c>
      <c r="X1470" s="1" t="s">
        <v>30</v>
      </c>
    </row>
    <row r="1471" spans="1:24" x14ac:dyDescent="0.25">
      <c r="A1471" s="1" t="str">
        <f t="shared" si="465"/>
        <v>卡卡杜-凤凰仓</v>
      </c>
      <c r="B1471" s="1" t="str">
        <f>"CK20241029201"</f>
        <v>CK20241029201</v>
      </c>
      <c r="C1471" s="1" t="str">
        <f>"DD202410299794"</f>
        <v>DD202410299794</v>
      </c>
      <c r="D1471" s="1" t="str">
        <f>"CK2024102915158"</f>
        <v>CK2024102915158</v>
      </c>
      <c r="E1471" s="1" t="str">
        <f>"2430202090387711"</f>
        <v>2430202090387711</v>
      </c>
      <c r="F1471" s="1" t="str">
        <f t="shared" si="466"/>
        <v>花都四部-凤凰仓</v>
      </c>
      <c r="G1471" s="1" t="str">
        <f t="shared" si="480"/>
        <v>卡卡杜佳旺专卖店（快手店）</v>
      </c>
      <c r="H1471" s="1" t="str">
        <f t="shared" si="467"/>
        <v>正常订单</v>
      </c>
      <c r="I1471" s="1" t="str">
        <f t="shared" si="468"/>
        <v>已发货</v>
      </c>
      <c r="J1471" s="1" t="str">
        <f t="shared" si="482"/>
        <v>3</v>
      </c>
      <c r="K1471" s="1">
        <v>2</v>
      </c>
      <c r="L1471" s="1" t="s">
        <v>32</v>
      </c>
      <c r="M1471" s="1" t="str">
        <f>"陕西省 渭南市 富平县 城关街道"</f>
        <v>陕西省 渭南市 富平县 城关街道</v>
      </c>
      <c r="N1471" s="1" t="str">
        <f t="shared" si="481"/>
        <v>凡华云仓-城南圆通-快手</v>
      </c>
      <c r="O1471" s="5" t="s">
        <v>1509</v>
      </c>
      <c r="P1471" s="6">
        <v>0.35</v>
      </c>
      <c r="Q1471" s="11">
        <v>2.2999999999999998</v>
      </c>
      <c r="R1471" s="11"/>
      <c r="S1471" s="11"/>
      <c r="T1471" s="11"/>
      <c r="U1471" s="11">
        <f t="shared" si="469"/>
        <v>2.2999999999999998</v>
      </c>
      <c r="W1471">
        <v>2.5</v>
      </c>
      <c r="X1471" s="1" t="s">
        <v>32</v>
      </c>
    </row>
    <row r="1472" spans="1:24" x14ac:dyDescent="0.25">
      <c r="A1472" s="1" t="str">
        <f t="shared" si="465"/>
        <v>卡卡杜-凤凰仓</v>
      </c>
      <c r="B1472" s="1" t="str">
        <f>"CK20241029202"</f>
        <v>CK20241029202</v>
      </c>
      <c r="C1472" s="1" t="str">
        <f>"DD202410299795"</f>
        <v>DD202410299795</v>
      </c>
      <c r="D1472" s="1" t="str">
        <f>"CK2024102915157"</f>
        <v>CK2024102915157</v>
      </c>
      <c r="E1472" s="1" t="str">
        <f>"2430202415530507"</f>
        <v>2430202415530507</v>
      </c>
      <c r="F1472" s="1" t="str">
        <f t="shared" si="466"/>
        <v>花都四部-凤凰仓</v>
      </c>
      <c r="G1472" s="1" t="str">
        <f t="shared" si="480"/>
        <v>卡卡杜佳旺专卖店（快手店）</v>
      </c>
      <c r="H1472" s="1" t="str">
        <f t="shared" si="467"/>
        <v>正常订单</v>
      </c>
      <c r="I1472" s="1" t="str">
        <f t="shared" si="468"/>
        <v>已发货</v>
      </c>
      <c r="J1472" s="1" t="str">
        <f t="shared" si="482"/>
        <v>3</v>
      </c>
      <c r="K1472" s="1">
        <v>2</v>
      </c>
      <c r="L1472" s="1" t="s">
        <v>18</v>
      </c>
      <c r="M1472" s="1" t="str">
        <f>"广东省 广州市 白云区 棠景街道"</f>
        <v>广东省 广州市 白云区 棠景街道</v>
      </c>
      <c r="N1472" s="1" t="str">
        <f t="shared" si="481"/>
        <v>凡华云仓-城南圆通-快手</v>
      </c>
      <c r="O1472" s="5" t="s">
        <v>1510</v>
      </c>
      <c r="P1472" s="6">
        <v>0.35</v>
      </c>
      <c r="Q1472" s="11">
        <v>2.2999999999999998</v>
      </c>
      <c r="R1472" s="11"/>
      <c r="S1472" s="11"/>
      <c r="T1472" s="11"/>
      <c r="U1472" s="11">
        <f t="shared" si="469"/>
        <v>2.2999999999999998</v>
      </c>
      <c r="W1472">
        <v>2.5</v>
      </c>
      <c r="X1472" s="1" t="s">
        <v>18</v>
      </c>
    </row>
    <row r="1473" spans="1:24" x14ac:dyDescent="0.25">
      <c r="A1473" s="1" t="str">
        <f t="shared" si="465"/>
        <v>卡卡杜-凤凰仓</v>
      </c>
      <c r="B1473" s="1" t="str">
        <f>"CK20241029163"</f>
        <v>CK20241029163</v>
      </c>
      <c r="C1473" s="1" t="str">
        <f>"DD202410299695"</f>
        <v>DD202410299695</v>
      </c>
      <c r="D1473" s="1" t="str">
        <f>"CK2024102915156"</f>
        <v>CK2024102915156</v>
      </c>
      <c r="E1473" s="1" t="str">
        <f>"2430201611194996"</f>
        <v>2430201611194996</v>
      </c>
      <c r="F1473" s="1" t="str">
        <f t="shared" si="466"/>
        <v>花都四部-凤凰仓</v>
      </c>
      <c r="G1473" s="1" t="str">
        <f t="shared" si="480"/>
        <v>卡卡杜佳旺专卖店（快手店）</v>
      </c>
      <c r="H1473" s="1" t="str">
        <f t="shared" si="467"/>
        <v>正常订单</v>
      </c>
      <c r="I1473" s="1" t="str">
        <f t="shared" si="468"/>
        <v>已发货</v>
      </c>
      <c r="J1473" s="1" t="str">
        <f>"5"</f>
        <v>5</v>
      </c>
      <c r="K1473" s="1">
        <v>2</v>
      </c>
      <c r="L1473" s="1" t="s">
        <v>24</v>
      </c>
      <c r="M1473" s="1" t="str">
        <f>"福建省 厦门市 思明区 中华街道"</f>
        <v>福建省 厦门市 思明区 中华街道</v>
      </c>
      <c r="N1473" s="1" t="str">
        <f t="shared" si="481"/>
        <v>凡华云仓-城南圆通-快手</v>
      </c>
      <c r="O1473" s="5" t="s">
        <v>1511</v>
      </c>
      <c r="P1473" s="6">
        <v>0.59</v>
      </c>
      <c r="Q1473" s="11">
        <f>CEILING(P1473-0.5,0.1)*10*0.15+2.3</f>
        <v>2.4499999999999997</v>
      </c>
      <c r="R1473" s="11"/>
      <c r="S1473" s="11"/>
      <c r="T1473" s="11"/>
      <c r="U1473" s="11">
        <f t="shared" si="469"/>
        <v>2.4499999999999997</v>
      </c>
      <c r="V1473" t="s">
        <v>15</v>
      </c>
      <c r="W1473">
        <v>2.4500000000000002</v>
      </c>
      <c r="X1473" s="1" t="s">
        <v>24</v>
      </c>
    </row>
    <row r="1474" spans="1:24" x14ac:dyDescent="0.25">
      <c r="A1474" s="1" t="str">
        <f t="shared" ref="A1474:A1537" si="483">"卡卡杜-凤凰仓"</f>
        <v>卡卡杜-凤凰仓</v>
      </c>
      <c r="B1474" s="1" t="str">
        <f>"CK20241029286"</f>
        <v>CK20241029286</v>
      </c>
      <c r="C1474" s="1" t="str">
        <f>"DD202410299879"</f>
        <v>DD202410299879</v>
      </c>
      <c r="D1474" s="1" t="str">
        <f>"CK2024102915155"</f>
        <v>CK2024102915155</v>
      </c>
      <c r="E1474" s="1" t="str">
        <f>"2430202248456906"</f>
        <v>2430202248456906</v>
      </c>
      <c r="F1474" s="1" t="str">
        <f t="shared" ref="F1474:F1537" si="484">"花都四部-凤凰仓"</f>
        <v>花都四部-凤凰仓</v>
      </c>
      <c r="G1474" s="1" t="str">
        <f t="shared" si="480"/>
        <v>卡卡杜佳旺专卖店（快手店）</v>
      </c>
      <c r="H1474" s="1" t="str">
        <f t="shared" ref="H1474:H1537" si="485">"正常订单"</f>
        <v>正常订单</v>
      </c>
      <c r="I1474" s="1" t="str">
        <f t="shared" ref="I1474:I1537" si="486">"已发货"</f>
        <v>已发货</v>
      </c>
      <c r="J1474" s="1" t="str">
        <f t="shared" ref="J1474:J1476" si="487">"3"</f>
        <v>3</v>
      </c>
      <c r="K1474" s="1">
        <v>2</v>
      </c>
      <c r="L1474" s="1" t="s">
        <v>13</v>
      </c>
      <c r="M1474" s="1" t="str">
        <f>"江苏省 南通市 通州区 张芝山镇"</f>
        <v>江苏省 南通市 通州区 张芝山镇</v>
      </c>
      <c r="N1474" s="1" t="str">
        <f t="shared" si="481"/>
        <v>凡华云仓-城南圆通-快手</v>
      </c>
      <c r="O1474" s="5" t="s">
        <v>1512</v>
      </c>
      <c r="P1474" s="6">
        <v>0.35</v>
      </c>
      <c r="Q1474" s="11">
        <v>2.2999999999999998</v>
      </c>
      <c r="R1474" s="11"/>
      <c r="S1474" s="11"/>
      <c r="T1474" s="11"/>
      <c r="U1474" s="11">
        <f t="shared" si="469"/>
        <v>2.2999999999999998</v>
      </c>
      <c r="W1474">
        <v>2.5</v>
      </c>
      <c r="X1474" s="1" t="s">
        <v>13</v>
      </c>
    </row>
    <row r="1475" spans="1:24" x14ac:dyDescent="0.25">
      <c r="A1475" s="1" t="str">
        <f t="shared" si="483"/>
        <v>卡卡杜-凤凰仓</v>
      </c>
      <c r="B1475" s="1" t="str">
        <f>"CK20241029298"</f>
        <v>CK20241029298</v>
      </c>
      <c r="C1475" s="1" t="str">
        <f>"DD202410299890"</f>
        <v>DD202410299890</v>
      </c>
      <c r="D1475" s="1" t="str">
        <f>"CK2024102915154"</f>
        <v>CK2024102915154</v>
      </c>
      <c r="E1475" s="1" t="str">
        <f>"2430202490417833"</f>
        <v>2430202490417833</v>
      </c>
      <c r="F1475" s="1" t="str">
        <f t="shared" si="484"/>
        <v>花都四部-凤凰仓</v>
      </c>
      <c r="G1475" s="1" t="str">
        <f t="shared" si="480"/>
        <v>卡卡杜佳旺专卖店（快手店）</v>
      </c>
      <c r="H1475" s="1" t="str">
        <f t="shared" si="485"/>
        <v>正常订单</v>
      </c>
      <c r="I1475" s="1" t="str">
        <f t="shared" si="486"/>
        <v>已发货</v>
      </c>
      <c r="J1475" s="1" t="str">
        <f t="shared" si="487"/>
        <v>3</v>
      </c>
      <c r="K1475" s="1">
        <v>3</v>
      </c>
      <c r="L1475" s="1" t="s">
        <v>136</v>
      </c>
      <c r="M1475" s="1" t="str">
        <f>"北京市 北京市 大兴区 亦庄地区"</f>
        <v>北京市 北京市 大兴区 亦庄地区</v>
      </c>
      <c r="N1475" s="1" t="str">
        <f t="shared" si="481"/>
        <v>凡华云仓-城南圆通-快手</v>
      </c>
      <c r="O1475" s="5" t="s">
        <v>1513</v>
      </c>
      <c r="P1475" s="6">
        <v>0.34</v>
      </c>
      <c r="Q1475" s="11">
        <v>2.2999999999999998</v>
      </c>
      <c r="R1475" s="11"/>
      <c r="S1475" s="11"/>
      <c r="T1475" s="11"/>
      <c r="U1475" s="11">
        <f t="shared" ref="U1475:U1538" si="488">T1475+S1475+R1475+Q1475</f>
        <v>2.2999999999999998</v>
      </c>
      <c r="W1475">
        <v>2.5</v>
      </c>
      <c r="X1475" s="1" t="s">
        <v>136</v>
      </c>
    </row>
    <row r="1476" spans="1:24" x14ac:dyDescent="0.25">
      <c r="A1476" s="1" t="str">
        <f t="shared" si="483"/>
        <v>卡卡杜-凤凰仓</v>
      </c>
      <c r="B1476" s="1" t="str">
        <f>"CK20241029301"</f>
        <v>CK20241029301</v>
      </c>
      <c r="C1476" s="1" t="str">
        <f>"DD202410299893"</f>
        <v>DD202410299893</v>
      </c>
      <c r="D1476" s="1" t="str">
        <f>"CK2024102915153"</f>
        <v>CK2024102915153</v>
      </c>
      <c r="E1476" s="1" t="str">
        <f>"2430202413219118"</f>
        <v>2430202413219118</v>
      </c>
      <c r="F1476" s="1" t="str">
        <f t="shared" si="484"/>
        <v>花都四部-凤凰仓</v>
      </c>
      <c r="G1476" s="1" t="str">
        <f t="shared" si="480"/>
        <v>卡卡杜佳旺专卖店（快手店）</v>
      </c>
      <c r="H1476" s="1" t="str">
        <f t="shared" si="485"/>
        <v>正常订单</v>
      </c>
      <c r="I1476" s="1" t="str">
        <f t="shared" si="486"/>
        <v>已发货</v>
      </c>
      <c r="J1476" s="1" t="str">
        <f t="shared" si="487"/>
        <v>3</v>
      </c>
      <c r="K1476" s="1">
        <v>2</v>
      </c>
      <c r="L1476" s="1" t="s">
        <v>80</v>
      </c>
      <c r="M1476" s="1" t="str">
        <f>"河南省 平顶山市 汝州市 钟楼街道"</f>
        <v>河南省 平顶山市 汝州市 钟楼街道</v>
      </c>
      <c r="N1476" s="1" t="str">
        <f t="shared" si="481"/>
        <v>凡华云仓-城南圆通-快手</v>
      </c>
      <c r="O1476" s="5" t="s">
        <v>1514</v>
      </c>
      <c r="P1476" s="6">
        <v>0.35</v>
      </c>
      <c r="Q1476" s="11">
        <v>2.2999999999999998</v>
      </c>
      <c r="R1476" s="11"/>
      <c r="S1476" s="11"/>
      <c r="T1476" s="11"/>
      <c r="U1476" s="11">
        <f t="shared" si="488"/>
        <v>2.2999999999999998</v>
      </c>
      <c r="W1476">
        <v>2.5</v>
      </c>
      <c r="X1476" s="1" t="s">
        <v>80</v>
      </c>
    </row>
    <row r="1477" spans="1:24" x14ac:dyDescent="0.25">
      <c r="A1477" s="1" t="str">
        <f t="shared" si="483"/>
        <v>卡卡杜-凤凰仓</v>
      </c>
      <c r="B1477" s="1" t="str">
        <f>"CK20241029167"</f>
        <v>CK20241029167</v>
      </c>
      <c r="C1477" s="1" t="str">
        <f>"DD202410299704"</f>
        <v>DD202410299704</v>
      </c>
      <c r="D1477" s="1" t="str">
        <f>"CK2024102915152"</f>
        <v>CK2024102915152</v>
      </c>
      <c r="E1477" s="1" t="str">
        <f>"2430202009843475"</f>
        <v>2430202009843475</v>
      </c>
      <c r="F1477" s="1" t="str">
        <f t="shared" si="484"/>
        <v>花都四部-凤凰仓</v>
      </c>
      <c r="G1477" s="1" t="str">
        <f t="shared" si="480"/>
        <v>卡卡杜佳旺专卖店（快手店）</v>
      </c>
      <c r="H1477" s="1" t="str">
        <f t="shared" si="485"/>
        <v>正常订单</v>
      </c>
      <c r="I1477" s="1" t="str">
        <f t="shared" si="486"/>
        <v>已发货</v>
      </c>
      <c r="J1477" s="1" t="str">
        <f>"5"</f>
        <v>5</v>
      </c>
      <c r="K1477" s="1">
        <v>2</v>
      </c>
      <c r="L1477" s="1" t="s">
        <v>27</v>
      </c>
      <c r="M1477" s="1" t="str">
        <f>"贵州省 六盘水市 钟山区 荷泉街道"</f>
        <v>贵州省 六盘水市 钟山区 荷泉街道</v>
      </c>
      <c r="N1477" s="1" t="str">
        <f t="shared" si="481"/>
        <v>凡华云仓-城南圆通-快手</v>
      </c>
      <c r="O1477" s="5" t="s">
        <v>1515</v>
      </c>
      <c r="P1477" s="6">
        <v>0.59</v>
      </c>
      <c r="Q1477" s="11">
        <f>CEILING(P1477-0.5,0.1)*10*0.15+2.3</f>
        <v>2.4499999999999997</v>
      </c>
      <c r="R1477" s="11"/>
      <c r="S1477" s="11"/>
      <c r="T1477" s="11"/>
      <c r="U1477" s="11">
        <f t="shared" si="488"/>
        <v>2.4499999999999997</v>
      </c>
      <c r="V1477" t="s">
        <v>15</v>
      </c>
      <c r="W1477">
        <v>2.4500000000000002</v>
      </c>
      <c r="X1477" s="1" t="s">
        <v>27</v>
      </c>
    </row>
    <row r="1478" spans="1:24" x14ac:dyDescent="0.25">
      <c r="A1478" s="1" t="str">
        <f t="shared" si="483"/>
        <v>卡卡杜-凤凰仓</v>
      </c>
      <c r="B1478" s="1" t="str">
        <f>"CK20241029343"</f>
        <v>CK20241029343</v>
      </c>
      <c r="C1478" s="1" t="str">
        <f>"DD202410299935"</f>
        <v>DD202410299935</v>
      </c>
      <c r="D1478" s="1" t="str">
        <f>"CK2024102915151"</f>
        <v>CK2024102915151</v>
      </c>
      <c r="E1478" s="1" t="str">
        <f>"2430201928986948"</f>
        <v>2430201928986948</v>
      </c>
      <c r="F1478" s="1" t="str">
        <f t="shared" si="484"/>
        <v>花都四部-凤凰仓</v>
      </c>
      <c r="G1478" s="1" t="str">
        <f t="shared" si="480"/>
        <v>卡卡杜佳旺专卖店（快手店）</v>
      </c>
      <c r="H1478" s="1" t="str">
        <f t="shared" si="485"/>
        <v>正常订单</v>
      </c>
      <c r="I1478" s="1" t="str">
        <f t="shared" si="486"/>
        <v>已发货</v>
      </c>
      <c r="J1478" s="1" t="str">
        <f t="shared" ref="J1478:J1484" si="489">"3"</f>
        <v>3</v>
      </c>
      <c r="K1478" s="1">
        <v>2</v>
      </c>
      <c r="L1478" s="1" t="s">
        <v>13</v>
      </c>
      <c r="M1478" s="1" t="str">
        <f>"江苏省 淮安市 淮安区 淮城街道"</f>
        <v>江苏省 淮安市 淮安区 淮城街道</v>
      </c>
      <c r="N1478" s="1" t="str">
        <f t="shared" si="481"/>
        <v>凡华云仓-城南圆通-快手</v>
      </c>
      <c r="O1478" s="5" t="s">
        <v>1516</v>
      </c>
      <c r="P1478" s="6">
        <v>0.35</v>
      </c>
      <c r="Q1478" s="11">
        <v>2.2999999999999998</v>
      </c>
      <c r="R1478" s="11"/>
      <c r="S1478" s="11"/>
      <c r="T1478" s="11"/>
      <c r="U1478" s="11">
        <f t="shared" si="488"/>
        <v>2.2999999999999998</v>
      </c>
      <c r="W1478">
        <v>2.5</v>
      </c>
      <c r="X1478" s="1" t="s">
        <v>13</v>
      </c>
    </row>
    <row r="1479" spans="1:24" x14ac:dyDescent="0.25">
      <c r="A1479" s="1" t="str">
        <f t="shared" si="483"/>
        <v>卡卡杜-凤凰仓</v>
      </c>
      <c r="B1479" s="1" t="str">
        <f>"CK20241029344"</f>
        <v>CK20241029344</v>
      </c>
      <c r="C1479" s="1" t="str">
        <f>"DD202410299936"</f>
        <v>DD202410299936</v>
      </c>
      <c r="D1479" s="1" t="str">
        <f>"CK2024102915150"</f>
        <v>CK2024102915150</v>
      </c>
      <c r="E1479" s="1" t="str">
        <f>"2430202411145713"</f>
        <v>2430202411145713</v>
      </c>
      <c r="F1479" s="1" t="str">
        <f t="shared" si="484"/>
        <v>花都四部-凤凰仓</v>
      </c>
      <c r="G1479" s="1" t="str">
        <f t="shared" si="480"/>
        <v>卡卡杜佳旺专卖店（快手店）</v>
      </c>
      <c r="H1479" s="1" t="str">
        <f t="shared" si="485"/>
        <v>正常订单</v>
      </c>
      <c r="I1479" s="1" t="str">
        <f t="shared" si="486"/>
        <v>已发货</v>
      </c>
      <c r="J1479" s="1" t="str">
        <f t="shared" si="489"/>
        <v>3</v>
      </c>
      <c r="K1479" s="1">
        <v>2</v>
      </c>
      <c r="L1479" s="1" t="s">
        <v>32</v>
      </c>
      <c r="M1479" s="1" t="str">
        <f>"陕西省 咸阳市 秦都区 钓台街道"</f>
        <v>陕西省 咸阳市 秦都区 钓台街道</v>
      </c>
      <c r="N1479" s="1" t="str">
        <f t="shared" si="481"/>
        <v>凡华云仓-城南圆通-快手</v>
      </c>
      <c r="O1479" s="5" t="s">
        <v>1517</v>
      </c>
      <c r="P1479" s="6">
        <v>0.35</v>
      </c>
      <c r="Q1479" s="11">
        <v>2.2999999999999998</v>
      </c>
      <c r="R1479" s="11"/>
      <c r="S1479" s="11"/>
      <c r="T1479" s="11"/>
      <c r="U1479" s="11">
        <f t="shared" si="488"/>
        <v>2.2999999999999998</v>
      </c>
      <c r="W1479">
        <v>2.5</v>
      </c>
      <c r="X1479" s="1" t="s">
        <v>32</v>
      </c>
    </row>
    <row r="1480" spans="1:24" x14ac:dyDescent="0.25">
      <c r="A1480" s="1" t="str">
        <f t="shared" si="483"/>
        <v>卡卡杜-凤凰仓</v>
      </c>
      <c r="B1480" s="1" t="str">
        <f>"CK20241029346"</f>
        <v>CK20241029346</v>
      </c>
      <c r="C1480" s="1" t="str">
        <f>"DD202410299938"</f>
        <v>DD202410299938</v>
      </c>
      <c r="D1480" s="1" t="str">
        <f>"CK2024102915149"</f>
        <v>CK2024102915149</v>
      </c>
      <c r="E1480" s="1" t="str">
        <f>"2430202332761642"</f>
        <v>2430202332761642</v>
      </c>
      <c r="F1480" s="1" t="str">
        <f t="shared" si="484"/>
        <v>花都四部-凤凰仓</v>
      </c>
      <c r="G1480" s="1" t="str">
        <f t="shared" si="480"/>
        <v>卡卡杜佳旺专卖店（快手店）</v>
      </c>
      <c r="H1480" s="1" t="str">
        <f t="shared" si="485"/>
        <v>正常订单</v>
      </c>
      <c r="I1480" s="1" t="str">
        <f t="shared" si="486"/>
        <v>已发货</v>
      </c>
      <c r="J1480" s="1" t="str">
        <f t="shared" si="489"/>
        <v>3</v>
      </c>
      <c r="K1480" s="1">
        <v>2</v>
      </c>
      <c r="L1480" s="1" t="s">
        <v>20</v>
      </c>
      <c r="M1480" s="1" t="str">
        <f>"浙江省 杭州市 萧山区 衙前镇"</f>
        <v>浙江省 杭州市 萧山区 衙前镇</v>
      </c>
      <c r="N1480" s="1" t="str">
        <f t="shared" si="481"/>
        <v>凡华云仓-城南圆通-快手</v>
      </c>
      <c r="O1480" s="5" t="s">
        <v>1518</v>
      </c>
      <c r="P1480" s="6">
        <v>0.35</v>
      </c>
      <c r="Q1480" s="11">
        <v>2.2999999999999998</v>
      </c>
      <c r="R1480" s="11"/>
      <c r="S1480" s="11"/>
      <c r="T1480" s="11"/>
      <c r="U1480" s="11">
        <f t="shared" si="488"/>
        <v>2.2999999999999998</v>
      </c>
      <c r="W1480">
        <v>2.5</v>
      </c>
      <c r="X1480" s="1" t="s">
        <v>20</v>
      </c>
    </row>
    <row r="1481" spans="1:24" x14ac:dyDescent="0.25">
      <c r="A1481" s="1" t="str">
        <f t="shared" si="483"/>
        <v>卡卡杜-凤凰仓</v>
      </c>
      <c r="B1481" s="1" t="str">
        <f>"CK20241029347"</f>
        <v>CK20241029347</v>
      </c>
      <c r="C1481" s="1" t="str">
        <f>"DD202410299939"</f>
        <v>DD202410299939</v>
      </c>
      <c r="D1481" s="1" t="str">
        <f>"CK2024102915148"</f>
        <v>CK2024102915148</v>
      </c>
      <c r="E1481" s="1" t="str">
        <f>"2430202484571965"</f>
        <v>2430202484571965</v>
      </c>
      <c r="F1481" s="1" t="str">
        <f t="shared" si="484"/>
        <v>花都四部-凤凰仓</v>
      </c>
      <c r="G1481" s="1" t="str">
        <f t="shared" si="480"/>
        <v>卡卡杜佳旺专卖店（快手店）</v>
      </c>
      <c r="H1481" s="1" t="str">
        <f t="shared" si="485"/>
        <v>正常订单</v>
      </c>
      <c r="I1481" s="1" t="str">
        <f t="shared" si="486"/>
        <v>已发货</v>
      </c>
      <c r="J1481" s="1" t="str">
        <f t="shared" si="489"/>
        <v>3</v>
      </c>
      <c r="K1481" s="1">
        <v>2</v>
      </c>
      <c r="L1481" s="1" t="s">
        <v>13</v>
      </c>
      <c r="M1481" s="1" t="str">
        <f>"江苏省 苏州市 常熟市 辛庄镇"</f>
        <v>江苏省 苏州市 常熟市 辛庄镇</v>
      </c>
      <c r="N1481" s="1" t="str">
        <f t="shared" si="481"/>
        <v>凡华云仓-城南圆通-快手</v>
      </c>
      <c r="O1481" s="5" t="s">
        <v>1519</v>
      </c>
      <c r="P1481" s="6">
        <v>0.35</v>
      </c>
      <c r="Q1481" s="11">
        <v>2.2999999999999998</v>
      </c>
      <c r="R1481" s="11"/>
      <c r="S1481" s="11"/>
      <c r="T1481" s="11"/>
      <c r="U1481" s="11">
        <f t="shared" si="488"/>
        <v>2.2999999999999998</v>
      </c>
      <c r="W1481">
        <v>2.5</v>
      </c>
      <c r="X1481" s="1" t="s">
        <v>13</v>
      </c>
    </row>
    <row r="1482" spans="1:24" x14ac:dyDescent="0.25">
      <c r="A1482" s="1" t="str">
        <f t="shared" si="483"/>
        <v>卡卡杜-凤凰仓</v>
      </c>
      <c r="B1482" s="1" t="str">
        <f>"CK20241029350"</f>
        <v>CK20241029350</v>
      </c>
      <c r="C1482" s="1" t="str">
        <f>"DD202410299941"</f>
        <v>DD202410299941</v>
      </c>
      <c r="D1482" s="1" t="str">
        <f>"CK2024102915147"</f>
        <v>CK2024102915147</v>
      </c>
      <c r="E1482" s="1" t="str">
        <f>"2430202247912498"</f>
        <v>2430202247912498</v>
      </c>
      <c r="F1482" s="1" t="str">
        <f t="shared" si="484"/>
        <v>花都四部-凤凰仓</v>
      </c>
      <c r="G1482" s="1" t="str">
        <f t="shared" si="480"/>
        <v>卡卡杜佳旺专卖店（快手店）</v>
      </c>
      <c r="H1482" s="1" t="str">
        <f t="shared" si="485"/>
        <v>正常订单</v>
      </c>
      <c r="I1482" s="1" t="str">
        <f t="shared" si="486"/>
        <v>已发货</v>
      </c>
      <c r="J1482" s="1" t="str">
        <f t="shared" si="489"/>
        <v>3</v>
      </c>
      <c r="K1482" s="1">
        <v>2</v>
      </c>
      <c r="L1482" s="1" t="s">
        <v>161</v>
      </c>
      <c r="M1482" s="1" t="str">
        <f>"四川省 泸州市 龙马潭区 罗汉街道"</f>
        <v>四川省 泸州市 龙马潭区 罗汉街道</v>
      </c>
      <c r="N1482" s="1" t="str">
        <f t="shared" si="481"/>
        <v>凡华云仓-城南圆通-快手</v>
      </c>
      <c r="O1482" s="5" t="s">
        <v>1520</v>
      </c>
      <c r="P1482" s="6">
        <v>0.35</v>
      </c>
      <c r="Q1482" s="11">
        <v>2.2999999999999998</v>
      </c>
      <c r="R1482" s="11"/>
      <c r="S1482" s="11"/>
      <c r="T1482" s="11"/>
      <c r="U1482" s="11">
        <f t="shared" si="488"/>
        <v>2.2999999999999998</v>
      </c>
      <c r="W1482">
        <v>2.5</v>
      </c>
      <c r="X1482" s="1" t="s">
        <v>161</v>
      </c>
    </row>
    <row r="1483" spans="1:24" x14ac:dyDescent="0.25">
      <c r="A1483" s="1" t="str">
        <f t="shared" si="483"/>
        <v>卡卡杜-凤凰仓</v>
      </c>
      <c r="B1483" s="1" t="str">
        <f>"CK20241029352"</f>
        <v>CK20241029352</v>
      </c>
      <c r="C1483" s="1" t="str">
        <f>"DD202410299944"</f>
        <v>DD202410299944</v>
      </c>
      <c r="D1483" s="1" t="str">
        <f>"CK2024102915146"</f>
        <v>CK2024102915146</v>
      </c>
      <c r="E1483" s="1" t="str">
        <f>"2430202411008548"</f>
        <v>2430202411008548</v>
      </c>
      <c r="F1483" s="1" t="str">
        <f t="shared" si="484"/>
        <v>花都四部-凤凰仓</v>
      </c>
      <c r="G1483" s="1" t="str">
        <f t="shared" si="480"/>
        <v>卡卡杜佳旺专卖店（快手店）</v>
      </c>
      <c r="H1483" s="1" t="str">
        <f t="shared" si="485"/>
        <v>正常订单</v>
      </c>
      <c r="I1483" s="1" t="str">
        <f t="shared" si="486"/>
        <v>已发货</v>
      </c>
      <c r="J1483" s="1" t="str">
        <f t="shared" si="489"/>
        <v>3</v>
      </c>
      <c r="K1483" s="1">
        <v>2</v>
      </c>
      <c r="L1483" s="1" t="s">
        <v>18</v>
      </c>
      <c r="M1483" s="1" t="str">
        <f>"广东省 深圳市 南山区 沙河街道"</f>
        <v>广东省 深圳市 南山区 沙河街道</v>
      </c>
      <c r="N1483" s="1" t="str">
        <f t="shared" si="481"/>
        <v>凡华云仓-城南圆通-快手</v>
      </c>
      <c r="O1483" s="5" t="s">
        <v>1521</v>
      </c>
      <c r="P1483" s="6">
        <v>0.35</v>
      </c>
      <c r="Q1483" s="11">
        <v>2.2999999999999998</v>
      </c>
      <c r="R1483" s="11"/>
      <c r="S1483" s="11"/>
      <c r="T1483" s="11"/>
      <c r="U1483" s="11">
        <f t="shared" si="488"/>
        <v>2.2999999999999998</v>
      </c>
      <c r="W1483">
        <v>2.5</v>
      </c>
      <c r="X1483" s="1" t="s">
        <v>18</v>
      </c>
    </row>
    <row r="1484" spans="1:24" x14ac:dyDescent="0.25">
      <c r="A1484" s="1" t="str">
        <f t="shared" si="483"/>
        <v>卡卡杜-凤凰仓</v>
      </c>
      <c r="B1484" s="1" t="str">
        <f>"CK20241029353"</f>
        <v>CK20241029353</v>
      </c>
      <c r="C1484" s="1" t="str">
        <f>"DD202410299945"</f>
        <v>DD202410299945</v>
      </c>
      <c r="D1484" s="1" t="str">
        <f>"CK2024102915145"</f>
        <v>CK2024102915145</v>
      </c>
      <c r="E1484" s="1" t="str">
        <f>"2430201848992799"</f>
        <v>2430201848992799</v>
      </c>
      <c r="F1484" s="1" t="str">
        <f t="shared" si="484"/>
        <v>花都四部-凤凰仓</v>
      </c>
      <c r="G1484" s="1" t="str">
        <f t="shared" si="480"/>
        <v>卡卡杜佳旺专卖店（快手店）</v>
      </c>
      <c r="H1484" s="1" t="str">
        <f t="shared" si="485"/>
        <v>正常订单</v>
      </c>
      <c r="I1484" s="1" t="str">
        <f t="shared" si="486"/>
        <v>已发货</v>
      </c>
      <c r="J1484" s="1" t="str">
        <f t="shared" si="489"/>
        <v>3</v>
      </c>
      <c r="K1484" s="1">
        <v>3</v>
      </c>
      <c r="L1484" s="1" t="s">
        <v>13</v>
      </c>
      <c r="M1484" s="1" t="str">
        <f>"江苏省 苏州市 姑苏区 吴门桥街道"</f>
        <v>江苏省 苏州市 姑苏区 吴门桥街道</v>
      </c>
      <c r="N1484" s="1" t="str">
        <f t="shared" si="481"/>
        <v>凡华云仓-城南圆通-快手</v>
      </c>
      <c r="O1484" s="5" t="s">
        <v>1522</v>
      </c>
      <c r="P1484" s="6">
        <v>0.34</v>
      </c>
      <c r="Q1484" s="11">
        <v>2.2999999999999998</v>
      </c>
      <c r="R1484" s="11"/>
      <c r="S1484" s="11"/>
      <c r="T1484" s="11"/>
      <c r="U1484" s="11">
        <f t="shared" si="488"/>
        <v>2.2999999999999998</v>
      </c>
      <c r="W1484">
        <v>2.5</v>
      </c>
      <c r="X1484" s="1" t="s">
        <v>13</v>
      </c>
    </row>
    <row r="1485" spans="1:24" x14ac:dyDescent="0.25">
      <c r="A1485" s="1" t="str">
        <f t="shared" si="483"/>
        <v>卡卡杜-凤凰仓</v>
      </c>
      <c r="B1485" s="1" t="str">
        <f>"CK20241029364"</f>
        <v>CK20241029364</v>
      </c>
      <c r="C1485" s="1" t="str">
        <f>"DD2024102910062"</f>
        <v>DD2024102910062</v>
      </c>
      <c r="D1485" s="1" t="str">
        <f>"CK2024102915144"</f>
        <v>CK2024102915144</v>
      </c>
      <c r="E1485" s="1" t="str">
        <f>"2430202163930020"</f>
        <v>2430202163930020</v>
      </c>
      <c r="F1485" s="1" t="str">
        <f t="shared" si="484"/>
        <v>花都四部-凤凰仓</v>
      </c>
      <c r="G1485" s="1" t="str">
        <f t="shared" si="480"/>
        <v>卡卡杜佳旺专卖店（快手店）</v>
      </c>
      <c r="H1485" s="1" t="str">
        <f t="shared" si="485"/>
        <v>正常订单</v>
      </c>
      <c r="I1485" s="1" t="str">
        <f t="shared" si="486"/>
        <v>已发货</v>
      </c>
      <c r="J1485" s="1" t="str">
        <f>"8"</f>
        <v>8</v>
      </c>
      <c r="K1485" s="1">
        <v>1</v>
      </c>
      <c r="L1485" s="1" t="s">
        <v>80</v>
      </c>
      <c r="M1485" s="1" t="str">
        <f>"河南省 焦作市 解放区 七百间街道"</f>
        <v>河南省 焦作市 解放区 七百间街道</v>
      </c>
      <c r="N1485" s="1" t="str">
        <f t="shared" si="481"/>
        <v>凡华云仓-城南圆通-快手</v>
      </c>
      <c r="O1485" s="5" t="s">
        <v>1523</v>
      </c>
      <c r="P1485" s="6">
        <v>1.1200000000000001</v>
      </c>
      <c r="Q1485" s="11">
        <f>CEILING(P1485-0.5,0.1)*10*0.15+2.3</f>
        <v>3.3499999999999996</v>
      </c>
      <c r="R1485" s="11"/>
      <c r="S1485" s="11"/>
      <c r="T1485" s="11"/>
      <c r="U1485" s="11">
        <f t="shared" si="488"/>
        <v>3.3499999999999996</v>
      </c>
      <c r="V1485" t="s">
        <v>15</v>
      </c>
      <c r="W1485">
        <v>3.35</v>
      </c>
      <c r="X1485" s="1" t="s">
        <v>80</v>
      </c>
    </row>
    <row r="1486" spans="1:24" x14ac:dyDescent="0.25">
      <c r="A1486" s="1" t="str">
        <f t="shared" si="483"/>
        <v>卡卡杜-凤凰仓</v>
      </c>
      <c r="B1486" s="1" t="str">
        <f>"CK20241029166"</f>
        <v>CK20241029166</v>
      </c>
      <c r="C1486" s="1" t="str">
        <f>"DD202410299692"</f>
        <v>DD202410299692</v>
      </c>
      <c r="D1486" s="1" t="str">
        <f>"CK2024102915143"</f>
        <v>CK2024102915143</v>
      </c>
      <c r="E1486" s="1" t="str">
        <f>"2430202165506432"</f>
        <v>2430202165506432</v>
      </c>
      <c r="F1486" s="1" t="str">
        <f t="shared" si="484"/>
        <v>花都四部-凤凰仓</v>
      </c>
      <c r="G1486" s="1" t="str">
        <f t="shared" si="480"/>
        <v>卡卡杜佳旺专卖店（快手店）</v>
      </c>
      <c r="H1486" s="1" t="str">
        <f t="shared" si="485"/>
        <v>正常订单</v>
      </c>
      <c r="I1486" s="1" t="str">
        <f t="shared" si="486"/>
        <v>已发货</v>
      </c>
      <c r="J1486" s="1" t="str">
        <f>"5"</f>
        <v>5</v>
      </c>
      <c r="K1486" s="1">
        <v>2</v>
      </c>
      <c r="L1486" s="1" t="s">
        <v>54</v>
      </c>
      <c r="M1486" s="1" t="str">
        <f>"黑龙江省 牡丹江市 东宁市 东宁镇"</f>
        <v>黑龙江省 牡丹江市 东宁市 东宁镇</v>
      </c>
      <c r="N1486" s="1" t="str">
        <f t="shared" si="481"/>
        <v>凡华云仓-城南圆通-快手</v>
      </c>
      <c r="O1486" s="5" t="s">
        <v>1524</v>
      </c>
      <c r="P1486" s="6">
        <v>0.59</v>
      </c>
      <c r="Q1486" s="11">
        <f>CEILING(P1486-0.5,0.1)*10*0.15+2.3</f>
        <v>2.4499999999999997</v>
      </c>
      <c r="R1486" s="11"/>
      <c r="S1486" s="11"/>
      <c r="T1486" s="11"/>
      <c r="U1486" s="11">
        <f t="shared" si="488"/>
        <v>2.4499999999999997</v>
      </c>
      <c r="V1486" t="s">
        <v>15</v>
      </c>
      <c r="W1486">
        <v>2.4500000000000002</v>
      </c>
      <c r="X1486" s="1" t="s">
        <v>54</v>
      </c>
    </row>
    <row r="1487" spans="1:24" x14ac:dyDescent="0.25">
      <c r="A1487" s="1" t="str">
        <f t="shared" si="483"/>
        <v>卡卡杜-凤凰仓</v>
      </c>
      <c r="B1487" s="1" t="str">
        <f>"CK20241029355"</f>
        <v>CK20241029355</v>
      </c>
      <c r="C1487" s="1" t="str">
        <f>"DD202410299946"</f>
        <v>DD202410299946</v>
      </c>
      <c r="D1487" s="1" t="str">
        <f>"CK2024102915142"</f>
        <v>CK2024102915142</v>
      </c>
      <c r="E1487" s="1" t="str">
        <f>"2430202166818102"</f>
        <v>2430202166818102</v>
      </c>
      <c r="F1487" s="1" t="str">
        <f t="shared" si="484"/>
        <v>花都四部-凤凰仓</v>
      </c>
      <c r="G1487" s="1" t="str">
        <f t="shared" si="480"/>
        <v>卡卡杜佳旺专卖店（快手店）</v>
      </c>
      <c r="H1487" s="1" t="str">
        <f t="shared" si="485"/>
        <v>正常订单</v>
      </c>
      <c r="I1487" s="1" t="str">
        <f t="shared" si="486"/>
        <v>已发货</v>
      </c>
      <c r="J1487" s="1" t="str">
        <f t="shared" ref="J1487:J1493" si="490">"3"</f>
        <v>3</v>
      </c>
      <c r="K1487" s="1">
        <v>2</v>
      </c>
      <c r="L1487" s="1" t="s">
        <v>16</v>
      </c>
      <c r="M1487" s="1" t="str">
        <f>"河北省 秦皇岛市 青龙满族自治县 马圈子镇"</f>
        <v>河北省 秦皇岛市 青龙满族自治县 马圈子镇</v>
      </c>
      <c r="N1487" s="1" t="str">
        <f t="shared" si="481"/>
        <v>凡华云仓-城南圆通-快手</v>
      </c>
      <c r="O1487" s="5" t="s">
        <v>1525</v>
      </c>
      <c r="P1487" s="6">
        <v>0.35</v>
      </c>
      <c r="Q1487" s="11">
        <v>2.2999999999999998</v>
      </c>
      <c r="R1487" s="11"/>
      <c r="S1487" s="11"/>
      <c r="T1487" s="11"/>
      <c r="U1487" s="11">
        <f t="shared" si="488"/>
        <v>2.2999999999999998</v>
      </c>
      <c r="W1487">
        <v>2.5</v>
      </c>
      <c r="X1487" s="1" t="s">
        <v>16</v>
      </c>
    </row>
    <row r="1488" spans="1:24" x14ac:dyDescent="0.25">
      <c r="A1488" s="1" t="str">
        <f t="shared" si="483"/>
        <v>卡卡杜-凤凰仓</v>
      </c>
      <c r="B1488" s="1" t="str">
        <f>"CK20241029356"</f>
        <v>CK20241029356</v>
      </c>
      <c r="C1488" s="1" t="str">
        <f>"DD202410299948"</f>
        <v>DD202410299948</v>
      </c>
      <c r="D1488" s="1" t="str">
        <f>"CK2024102915141"</f>
        <v>CK2024102915141</v>
      </c>
      <c r="E1488" s="1" t="str">
        <f>"2430202007058734"</f>
        <v>2430202007058734</v>
      </c>
      <c r="F1488" s="1" t="str">
        <f t="shared" si="484"/>
        <v>花都四部-凤凰仓</v>
      </c>
      <c r="G1488" s="1" t="str">
        <f t="shared" si="480"/>
        <v>卡卡杜佳旺专卖店（快手店）</v>
      </c>
      <c r="H1488" s="1" t="str">
        <f t="shared" si="485"/>
        <v>正常订单</v>
      </c>
      <c r="I1488" s="1" t="str">
        <f t="shared" si="486"/>
        <v>已发货</v>
      </c>
      <c r="J1488" s="1" t="str">
        <f t="shared" si="490"/>
        <v>3</v>
      </c>
      <c r="K1488" s="1">
        <v>2</v>
      </c>
      <c r="L1488" s="1" t="s">
        <v>109</v>
      </c>
      <c r="M1488" s="1" t="str">
        <f>"山西省 运城市 永济市 栲栳镇"</f>
        <v>山西省 运城市 永济市 栲栳镇</v>
      </c>
      <c r="N1488" s="1" t="str">
        <f t="shared" si="481"/>
        <v>凡华云仓-城南圆通-快手</v>
      </c>
      <c r="O1488" s="5" t="s">
        <v>1526</v>
      </c>
      <c r="P1488" s="6">
        <v>0.35</v>
      </c>
      <c r="Q1488" s="11">
        <v>2.2999999999999998</v>
      </c>
      <c r="R1488" s="11"/>
      <c r="S1488" s="11"/>
      <c r="T1488" s="11"/>
      <c r="U1488" s="11">
        <f t="shared" si="488"/>
        <v>2.2999999999999998</v>
      </c>
      <c r="W1488">
        <v>2.5</v>
      </c>
      <c r="X1488" s="1" t="s">
        <v>109</v>
      </c>
    </row>
    <row r="1489" spans="1:24" x14ac:dyDescent="0.25">
      <c r="A1489" s="1" t="str">
        <f t="shared" si="483"/>
        <v>卡卡杜-凤凰仓</v>
      </c>
      <c r="B1489" s="1" t="str">
        <f>"CK20241029359"</f>
        <v>CK20241029359</v>
      </c>
      <c r="C1489" s="1" t="str">
        <f>"DD202410299951"</f>
        <v>DD202410299951</v>
      </c>
      <c r="D1489" s="1" t="str">
        <f>"CK2024102915140"</f>
        <v>CK2024102915140</v>
      </c>
      <c r="E1489" s="1" t="str">
        <f>"2430201770985097"</f>
        <v>2430201770985097</v>
      </c>
      <c r="F1489" s="1" t="str">
        <f t="shared" si="484"/>
        <v>花都四部-凤凰仓</v>
      </c>
      <c r="G1489" s="1" t="str">
        <f t="shared" si="480"/>
        <v>卡卡杜佳旺专卖店（快手店）</v>
      </c>
      <c r="H1489" s="1" t="str">
        <f t="shared" si="485"/>
        <v>正常订单</v>
      </c>
      <c r="I1489" s="1" t="str">
        <f t="shared" si="486"/>
        <v>已发货</v>
      </c>
      <c r="J1489" s="1" t="str">
        <f t="shared" si="490"/>
        <v>3</v>
      </c>
      <c r="K1489" s="1">
        <v>2</v>
      </c>
      <c r="L1489" s="1" t="s">
        <v>161</v>
      </c>
      <c r="M1489" s="1" t="str">
        <f>"四川省 成都市 成华区 跳蹬河街道"</f>
        <v>四川省 成都市 成华区 跳蹬河街道</v>
      </c>
      <c r="N1489" s="1" t="str">
        <f t="shared" si="481"/>
        <v>凡华云仓-城南圆通-快手</v>
      </c>
      <c r="O1489" s="5" t="s">
        <v>1527</v>
      </c>
      <c r="P1489" s="6">
        <v>0.35</v>
      </c>
      <c r="Q1489" s="11">
        <v>2.2999999999999998</v>
      </c>
      <c r="R1489" s="11"/>
      <c r="S1489" s="11"/>
      <c r="T1489" s="11"/>
      <c r="U1489" s="11">
        <f t="shared" si="488"/>
        <v>2.2999999999999998</v>
      </c>
      <c r="W1489">
        <v>2.5</v>
      </c>
      <c r="X1489" s="1" t="s">
        <v>161</v>
      </c>
    </row>
    <row r="1490" spans="1:24" x14ac:dyDescent="0.25">
      <c r="A1490" s="1" t="str">
        <f t="shared" si="483"/>
        <v>卡卡杜-凤凰仓</v>
      </c>
      <c r="B1490" s="1" t="str">
        <f>"CK20241029172"</f>
        <v>CK20241029172</v>
      </c>
      <c r="C1490" s="1" t="str">
        <f>"DD202410299767"</f>
        <v>DD202410299767</v>
      </c>
      <c r="D1490" s="1" t="str">
        <f>"CK2024102915134"</f>
        <v>CK2024102915134</v>
      </c>
      <c r="E1490" s="1" t="str">
        <f>"6935600476697007920"</f>
        <v>6935600476697007920</v>
      </c>
      <c r="F1490" s="1" t="str">
        <f t="shared" si="484"/>
        <v>花都四部-凤凰仓</v>
      </c>
      <c r="G1490" s="1" t="str">
        <f t="shared" ref="G1490:G1540" si="491">"卡卡杜个人护理店（抖店）"</f>
        <v>卡卡杜个人护理店（抖店）</v>
      </c>
      <c r="H1490" s="1" t="str">
        <f t="shared" si="485"/>
        <v>正常订单</v>
      </c>
      <c r="I1490" s="1" t="str">
        <f t="shared" si="486"/>
        <v>已发货</v>
      </c>
      <c r="J1490" s="1" t="str">
        <f t="shared" si="490"/>
        <v>3</v>
      </c>
      <c r="K1490" s="1">
        <v>2</v>
      </c>
      <c r="L1490" s="1" t="s">
        <v>66</v>
      </c>
      <c r="M1490" s="1" t="str">
        <f>"内蒙古自治区 锡林郭勒盟 锡林浩特市 楚古兰街道"</f>
        <v>内蒙古自治区 锡林郭勒盟 锡林浩特市 楚古兰街道</v>
      </c>
      <c r="N1490" s="1" t="str">
        <f t="shared" ref="N1490:N1540" si="492">"凡华云仓-城南圆通-抖音"</f>
        <v>凡华云仓-城南圆通-抖音</v>
      </c>
      <c r="O1490" s="5" t="s">
        <v>1528</v>
      </c>
      <c r="P1490" s="6">
        <v>0.35</v>
      </c>
      <c r="Q1490" s="11">
        <v>2.2999999999999998</v>
      </c>
      <c r="R1490" s="11"/>
      <c r="S1490" s="11"/>
      <c r="T1490" s="11"/>
      <c r="U1490" s="11">
        <f t="shared" si="488"/>
        <v>2.2999999999999998</v>
      </c>
      <c r="W1490">
        <v>2.5</v>
      </c>
      <c r="X1490" s="1" t="s">
        <v>66</v>
      </c>
    </row>
    <row r="1491" spans="1:24" x14ac:dyDescent="0.25">
      <c r="A1491" s="1" t="str">
        <f t="shared" si="483"/>
        <v>卡卡杜-凤凰仓</v>
      </c>
      <c r="B1491" s="1" t="str">
        <f>"CK20241029173"</f>
        <v>CK20241029173</v>
      </c>
      <c r="C1491" s="1" t="str">
        <f>"DD202410299766"</f>
        <v>DD202410299766</v>
      </c>
      <c r="D1491" s="1" t="str">
        <f>"CK2024102915133"</f>
        <v>CK2024102915133</v>
      </c>
      <c r="E1491" s="1" t="str">
        <f>"6935589255240029634"</f>
        <v>6935589255240029634</v>
      </c>
      <c r="F1491" s="1" t="str">
        <f t="shared" si="484"/>
        <v>花都四部-凤凰仓</v>
      </c>
      <c r="G1491" s="1" t="str">
        <f t="shared" si="491"/>
        <v>卡卡杜个人护理店（抖店）</v>
      </c>
      <c r="H1491" s="1" t="str">
        <f t="shared" si="485"/>
        <v>正常订单</v>
      </c>
      <c r="I1491" s="1" t="str">
        <f t="shared" si="486"/>
        <v>已发货</v>
      </c>
      <c r="J1491" s="1" t="str">
        <f t="shared" si="490"/>
        <v>3</v>
      </c>
      <c r="K1491" s="1">
        <v>3</v>
      </c>
      <c r="L1491" s="1" t="s">
        <v>66</v>
      </c>
      <c r="M1491" s="1" t="str">
        <f>"内蒙古自治区 呼伦贝尔市 牙克石市 红旗街道"</f>
        <v>内蒙古自治区 呼伦贝尔市 牙克石市 红旗街道</v>
      </c>
      <c r="N1491" s="1" t="str">
        <f t="shared" si="492"/>
        <v>凡华云仓-城南圆通-抖音</v>
      </c>
      <c r="O1491" s="5" t="s">
        <v>1529</v>
      </c>
      <c r="P1491" s="6">
        <v>0.34</v>
      </c>
      <c r="Q1491" s="11">
        <v>2.2999999999999998</v>
      </c>
      <c r="R1491" s="11"/>
      <c r="S1491" s="11"/>
      <c r="T1491" s="11"/>
      <c r="U1491" s="11">
        <f t="shared" si="488"/>
        <v>2.2999999999999998</v>
      </c>
      <c r="W1491">
        <v>2.5</v>
      </c>
      <c r="X1491" s="1" t="s">
        <v>66</v>
      </c>
    </row>
    <row r="1492" spans="1:24" x14ac:dyDescent="0.25">
      <c r="A1492" s="1" t="str">
        <f t="shared" si="483"/>
        <v>卡卡杜-凤凰仓</v>
      </c>
      <c r="B1492" s="1" t="str">
        <f>"CK20241029175"</f>
        <v>CK20241029175</v>
      </c>
      <c r="C1492" s="1" t="str">
        <f>"DD202410299765"</f>
        <v>DD202410299765</v>
      </c>
      <c r="D1492" s="1" t="str">
        <f>"CK2024102915132"</f>
        <v>CK2024102915132</v>
      </c>
      <c r="E1492" s="1" t="str">
        <f>"6935617874896491599"</f>
        <v>6935617874896491599</v>
      </c>
      <c r="F1492" s="1" t="str">
        <f t="shared" si="484"/>
        <v>花都四部-凤凰仓</v>
      </c>
      <c r="G1492" s="1" t="str">
        <f t="shared" si="491"/>
        <v>卡卡杜个人护理店（抖店）</v>
      </c>
      <c r="H1492" s="1" t="str">
        <f t="shared" si="485"/>
        <v>正常订单</v>
      </c>
      <c r="I1492" s="1" t="str">
        <f t="shared" si="486"/>
        <v>已发货</v>
      </c>
      <c r="J1492" s="1" t="str">
        <f t="shared" si="490"/>
        <v>3</v>
      </c>
      <c r="K1492" s="1">
        <v>2</v>
      </c>
      <c r="L1492" s="1" t="s">
        <v>20</v>
      </c>
      <c r="M1492" s="1" t="str">
        <f>"浙江省 丽水市 龙泉市 剑池街道"</f>
        <v>浙江省 丽水市 龙泉市 剑池街道</v>
      </c>
      <c r="N1492" s="1" t="str">
        <f t="shared" si="492"/>
        <v>凡华云仓-城南圆通-抖音</v>
      </c>
      <c r="O1492" s="5" t="s">
        <v>1530</v>
      </c>
      <c r="P1492" s="6">
        <v>0.35</v>
      </c>
      <c r="Q1492" s="11">
        <v>2.2999999999999998</v>
      </c>
      <c r="R1492" s="11"/>
      <c r="S1492" s="11"/>
      <c r="T1492" s="11"/>
      <c r="U1492" s="11">
        <f t="shared" si="488"/>
        <v>2.2999999999999998</v>
      </c>
      <c r="W1492">
        <v>2.5</v>
      </c>
      <c r="X1492" s="1" t="s">
        <v>20</v>
      </c>
    </row>
    <row r="1493" spans="1:24" x14ac:dyDescent="0.25">
      <c r="A1493" s="1" t="str">
        <f t="shared" si="483"/>
        <v>卡卡杜-凤凰仓</v>
      </c>
      <c r="B1493" s="1" t="str">
        <f>"CK20241029176"</f>
        <v>CK20241029176</v>
      </c>
      <c r="C1493" s="1" t="str">
        <f>"DD202410299770"</f>
        <v>DD202410299770</v>
      </c>
      <c r="D1493" s="1" t="str">
        <f>"CK2024102915131"</f>
        <v>CK2024102915131</v>
      </c>
      <c r="E1493" s="1" t="str">
        <f>"6935591468003039122"</f>
        <v>6935591468003039122</v>
      </c>
      <c r="F1493" s="1" t="str">
        <f t="shared" si="484"/>
        <v>花都四部-凤凰仓</v>
      </c>
      <c r="G1493" s="1" t="str">
        <f t="shared" si="491"/>
        <v>卡卡杜个人护理店（抖店）</v>
      </c>
      <c r="H1493" s="1" t="str">
        <f t="shared" si="485"/>
        <v>正常订单</v>
      </c>
      <c r="I1493" s="1" t="str">
        <f t="shared" si="486"/>
        <v>已发货</v>
      </c>
      <c r="J1493" s="1" t="str">
        <f t="shared" si="490"/>
        <v>3</v>
      </c>
      <c r="K1493" s="1">
        <v>2</v>
      </c>
      <c r="L1493" s="1" t="s">
        <v>20</v>
      </c>
      <c r="M1493" s="1" t="str">
        <f>"浙江省 杭州市 江干区 丁兰街道"</f>
        <v>浙江省 杭州市 江干区 丁兰街道</v>
      </c>
      <c r="N1493" s="1" t="str">
        <f t="shared" si="492"/>
        <v>凡华云仓-城南圆通-抖音</v>
      </c>
      <c r="O1493" s="5" t="s">
        <v>1531</v>
      </c>
      <c r="P1493" s="6">
        <v>0.35</v>
      </c>
      <c r="Q1493" s="11">
        <v>2.2999999999999998</v>
      </c>
      <c r="R1493" s="11"/>
      <c r="S1493" s="11"/>
      <c r="T1493" s="11"/>
      <c r="U1493" s="11">
        <f t="shared" si="488"/>
        <v>2.2999999999999998</v>
      </c>
      <c r="W1493">
        <v>2.5</v>
      </c>
      <c r="X1493" s="1" t="s">
        <v>20</v>
      </c>
    </row>
    <row r="1494" spans="1:24" x14ac:dyDescent="0.25">
      <c r="A1494" s="1" t="str">
        <f t="shared" si="483"/>
        <v>卡卡杜-凤凰仓</v>
      </c>
      <c r="B1494" s="1" t="str">
        <f>"CK20241029164"</f>
        <v>CK20241029164</v>
      </c>
      <c r="C1494" s="1" t="str">
        <f>"DD202410299697"</f>
        <v>DD202410299697</v>
      </c>
      <c r="D1494" s="1" t="str">
        <f>"CK2024102915130"</f>
        <v>CK2024102915130</v>
      </c>
      <c r="E1494" s="1" t="str">
        <f>"6935606375854904488"</f>
        <v>6935606375854904488</v>
      </c>
      <c r="F1494" s="1" t="str">
        <f t="shared" si="484"/>
        <v>花都四部-凤凰仓</v>
      </c>
      <c r="G1494" s="1" t="str">
        <f t="shared" si="491"/>
        <v>卡卡杜个人护理店（抖店）</v>
      </c>
      <c r="H1494" s="1" t="str">
        <f t="shared" si="485"/>
        <v>正常订单</v>
      </c>
      <c r="I1494" s="1" t="str">
        <f t="shared" si="486"/>
        <v>已发货</v>
      </c>
      <c r="J1494" s="1" t="str">
        <f>"5"</f>
        <v>5</v>
      </c>
      <c r="K1494" s="1">
        <v>2</v>
      </c>
      <c r="L1494" s="1" t="s">
        <v>36</v>
      </c>
      <c r="M1494" s="1" t="str">
        <f>"安徽省 芜湖市 弋江区 南瑞街道"</f>
        <v>安徽省 芜湖市 弋江区 南瑞街道</v>
      </c>
      <c r="N1494" s="1" t="str">
        <f t="shared" si="492"/>
        <v>凡华云仓-城南圆通-抖音</v>
      </c>
      <c r="O1494" s="5" t="s">
        <v>1532</v>
      </c>
      <c r="P1494" s="6">
        <v>0.59</v>
      </c>
      <c r="Q1494" s="11">
        <f>CEILING(P1494-0.5,0.1)*10*0.15+2.3</f>
        <v>2.4499999999999997</v>
      </c>
      <c r="R1494" s="11"/>
      <c r="S1494" s="11"/>
      <c r="T1494" s="11"/>
      <c r="U1494" s="11">
        <f t="shared" si="488"/>
        <v>2.4499999999999997</v>
      </c>
      <c r="V1494" t="s">
        <v>15</v>
      </c>
      <c r="W1494">
        <v>2.4500000000000002</v>
      </c>
      <c r="X1494" s="1" t="s">
        <v>36</v>
      </c>
    </row>
    <row r="1495" spans="1:24" x14ac:dyDescent="0.25">
      <c r="A1495" s="1" t="str">
        <f t="shared" si="483"/>
        <v>卡卡杜-凤凰仓</v>
      </c>
      <c r="B1495" s="1" t="str">
        <f>"CK20241029205"</f>
        <v>CK20241029205</v>
      </c>
      <c r="C1495" s="1" t="str">
        <f>"DD202410299797"</f>
        <v>DD202410299797</v>
      </c>
      <c r="D1495" s="1" t="str">
        <f>"CK2024102915129"</f>
        <v>CK2024102915129</v>
      </c>
      <c r="E1495" s="1" t="str">
        <f>"6935591191314568969"</f>
        <v>6935591191314568969</v>
      </c>
      <c r="F1495" s="1" t="str">
        <f t="shared" si="484"/>
        <v>花都四部-凤凰仓</v>
      </c>
      <c r="G1495" s="1" t="str">
        <f t="shared" si="491"/>
        <v>卡卡杜个人护理店（抖店）</v>
      </c>
      <c r="H1495" s="1" t="str">
        <f t="shared" si="485"/>
        <v>正常订单</v>
      </c>
      <c r="I1495" s="1" t="str">
        <f t="shared" si="486"/>
        <v>已发货</v>
      </c>
      <c r="J1495" s="1" t="str">
        <f t="shared" ref="J1495:J1529" si="493">"3"</f>
        <v>3</v>
      </c>
      <c r="K1495" s="1">
        <v>2</v>
      </c>
      <c r="L1495" s="1" t="s">
        <v>13</v>
      </c>
      <c r="M1495" s="1" t="str">
        <f>"江苏省 宿迁市 泗洪县 青阳街道"</f>
        <v>江苏省 宿迁市 泗洪县 青阳街道</v>
      </c>
      <c r="N1495" s="1" t="str">
        <f t="shared" si="492"/>
        <v>凡华云仓-城南圆通-抖音</v>
      </c>
      <c r="O1495" s="5" t="s">
        <v>1533</v>
      </c>
      <c r="P1495" s="6">
        <v>0.35</v>
      </c>
      <c r="Q1495" s="11">
        <v>2.2999999999999998</v>
      </c>
      <c r="R1495" s="11"/>
      <c r="S1495" s="11"/>
      <c r="T1495" s="11"/>
      <c r="U1495" s="11">
        <f t="shared" si="488"/>
        <v>2.2999999999999998</v>
      </c>
      <c r="W1495">
        <v>2.5</v>
      </c>
      <c r="X1495" s="1" t="s">
        <v>13</v>
      </c>
    </row>
    <row r="1496" spans="1:24" x14ac:dyDescent="0.25">
      <c r="A1496" s="1" t="str">
        <f t="shared" si="483"/>
        <v>卡卡杜-凤凰仓</v>
      </c>
      <c r="B1496" s="1" t="str">
        <f>"CK20241029206"</f>
        <v>CK20241029206</v>
      </c>
      <c r="C1496" s="1" t="str">
        <f>"DD202410299798"</f>
        <v>DD202410299798</v>
      </c>
      <c r="D1496" s="1" t="str">
        <f>"CK2024102915128"</f>
        <v>CK2024102915128</v>
      </c>
      <c r="E1496" s="1" t="str">
        <f>"6935579925470844104"</f>
        <v>6935579925470844104</v>
      </c>
      <c r="F1496" s="1" t="str">
        <f t="shared" si="484"/>
        <v>花都四部-凤凰仓</v>
      </c>
      <c r="G1496" s="1" t="str">
        <f t="shared" si="491"/>
        <v>卡卡杜个人护理店（抖店）</v>
      </c>
      <c r="H1496" s="1" t="str">
        <f t="shared" si="485"/>
        <v>正常订单</v>
      </c>
      <c r="I1496" s="1" t="str">
        <f t="shared" si="486"/>
        <v>已发货</v>
      </c>
      <c r="J1496" s="1" t="str">
        <f t="shared" si="493"/>
        <v>3</v>
      </c>
      <c r="K1496" s="1">
        <v>2</v>
      </c>
      <c r="L1496" s="1" t="s">
        <v>36</v>
      </c>
      <c r="M1496" s="1" t="str">
        <f>"安徽省 亳州市 利辛县 阚疃镇"</f>
        <v>安徽省 亳州市 利辛县 阚疃镇</v>
      </c>
      <c r="N1496" s="1" t="str">
        <f t="shared" si="492"/>
        <v>凡华云仓-城南圆通-抖音</v>
      </c>
      <c r="O1496" s="5" t="s">
        <v>1534</v>
      </c>
      <c r="P1496" s="6">
        <v>0.35</v>
      </c>
      <c r="Q1496" s="11">
        <v>2.2999999999999998</v>
      </c>
      <c r="R1496" s="11"/>
      <c r="S1496" s="11"/>
      <c r="T1496" s="11"/>
      <c r="U1496" s="11">
        <f t="shared" si="488"/>
        <v>2.2999999999999998</v>
      </c>
      <c r="W1496">
        <v>2.5</v>
      </c>
      <c r="X1496" s="1" t="s">
        <v>36</v>
      </c>
    </row>
    <row r="1497" spans="1:24" x14ac:dyDescent="0.25">
      <c r="A1497" s="1" t="str">
        <f t="shared" si="483"/>
        <v>卡卡杜-凤凰仓</v>
      </c>
      <c r="B1497" s="1" t="str">
        <f>"CK20241029209"</f>
        <v>CK20241029209</v>
      </c>
      <c r="C1497" s="1" t="str">
        <f>"DD202410299801"</f>
        <v>DD202410299801</v>
      </c>
      <c r="D1497" s="1" t="str">
        <f>"CK2024102915127"</f>
        <v>CK2024102915127</v>
      </c>
      <c r="E1497" s="1" t="str">
        <f>"6935601906945627558"</f>
        <v>6935601906945627558</v>
      </c>
      <c r="F1497" s="1" t="str">
        <f t="shared" si="484"/>
        <v>花都四部-凤凰仓</v>
      </c>
      <c r="G1497" s="1" t="str">
        <f t="shared" si="491"/>
        <v>卡卡杜个人护理店（抖店）</v>
      </c>
      <c r="H1497" s="1" t="str">
        <f t="shared" si="485"/>
        <v>正常订单</v>
      </c>
      <c r="I1497" s="1" t="str">
        <f t="shared" si="486"/>
        <v>已发货</v>
      </c>
      <c r="J1497" s="1" t="str">
        <f t="shared" si="493"/>
        <v>3</v>
      </c>
      <c r="K1497" s="1">
        <v>2</v>
      </c>
      <c r="L1497" s="1" t="s">
        <v>52</v>
      </c>
      <c r="M1497" s="1" t="str">
        <f>"甘肃省 酒泉市 敦煌市 转渠口镇"</f>
        <v>甘肃省 酒泉市 敦煌市 转渠口镇</v>
      </c>
      <c r="N1497" s="1" t="str">
        <f t="shared" si="492"/>
        <v>凡华云仓-城南圆通-抖音</v>
      </c>
      <c r="O1497" s="5" t="s">
        <v>1535</v>
      </c>
      <c r="P1497" s="6">
        <v>0.35</v>
      </c>
      <c r="Q1497" s="11">
        <v>2.2999999999999998</v>
      </c>
      <c r="R1497" s="11"/>
      <c r="S1497" s="11"/>
      <c r="T1497" s="11"/>
      <c r="U1497" s="11">
        <f t="shared" si="488"/>
        <v>2.2999999999999998</v>
      </c>
      <c r="W1497">
        <v>2.5</v>
      </c>
      <c r="X1497" s="1" t="s">
        <v>52</v>
      </c>
    </row>
    <row r="1498" spans="1:24" x14ac:dyDescent="0.25">
      <c r="A1498" s="1" t="str">
        <f t="shared" si="483"/>
        <v>卡卡杜-凤凰仓</v>
      </c>
      <c r="B1498" s="1" t="str">
        <f>"CK20241029210"</f>
        <v>CK20241029210</v>
      </c>
      <c r="C1498" s="1" t="str">
        <f>"DD202410299803"</f>
        <v>DD202410299803</v>
      </c>
      <c r="D1498" s="1" t="str">
        <f>"CK2024102915126"</f>
        <v>CK2024102915126</v>
      </c>
      <c r="E1498" s="1" t="str">
        <f>"6935579884584834621"</f>
        <v>6935579884584834621</v>
      </c>
      <c r="F1498" s="1" t="str">
        <f t="shared" si="484"/>
        <v>花都四部-凤凰仓</v>
      </c>
      <c r="G1498" s="1" t="str">
        <f t="shared" si="491"/>
        <v>卡卡杜个人护理店（抖店）</v>
      </c>
      <c r="H1498" s="1" t="str">
        <f t="shared" si="485"/>
        <v>正常订单</v>
      </c>
      <c r="I1498" s="1" t="str">
        <f t="shared" si="486"/>
        <v>已发货</v>
      </c>
      <c r="J1498" s="1" t="str">
        <f t="shared" si="493"/>
        <v>3</v>
      </c>
      <c r="K1498" s="1">
        <v>2</v>
      </c>
      <c r="L1498" s="1" t="s">
        <v>30</v>
      </c>
      <c r="M1498" s="1" t="str">
        <f>"山东省 济宁市 鱼台县 唐马镇"</f>
        <v>山东省 济宁市 鱼台县 唐马镇</v>
      </c>
      <c r="N1498" s="1" t="str">
        <f t="shared" si="492"/>
        <v>凡华云仓-城南圆通-抖音</v>
      </c>
      <c r="O1498" s="5" t="s">
        <v>1536</v>
      </c>
      <c r="P1498" s="6">
        <v>0.35</v>
      </c>
      <c r="Q1498" s="11">
        <v>2.2999999999999998</v>
      </c>
      <c r="R1498" s="11"/>
      <c r="S1498" s="11"/>
      <c r="T1498" s="11"/>
      <c r="U1498" s="11">
        <f t="shared" si="488"/>
        <v>2.2999999999999998</v>
      </c>
      <c r="W1498">
        <v>2.5</v>
      </c>
      <c r="X1498" s="1" t="s">
        <v>30</v>
      </c>
    </row>
    <row r="1499" spans="1:24" x14ac:dyDescent="0.25">
      <c r="A1499" s="1" t="str">
        <f t="shared" si="483"/>
        <v>卡卡杜-凤凰仓</v>
      </c>
      <c r="B1499" s="1" t="str">
        <f>"CK20241029211"</f>
        <v>CK20241029211</v>
      </c>
      <c r="C1499" s="1" t="str">
        <f>"DD202410299802"</f>
        <v>DD202410299802</v>
      </c>
      <c r="D1499" s="1" t="str">
        <f>"CK2024102915125"</f>
        <v>CK2024102915125</v>
      </c>
      <c r="E1499" s="1" t="str">
        <f>"6935586638421563198"</f>
        <v>6935586638421563198</v>
      </c>
      <c r="F1499" s="1" t="str">
        <f t="shared" si="484"/>
        <v>花都四部-凤凰仓</v>
      </c>
      <c r="G1499" s="1" t="str">
        <f t="shared" si="491"/>
        <v>卡卡杜个人护理店（抖店）</v>
      </c>
      <c r="H1499" s="1" t="str">
        <f t="shared" si="485"/>
        <v>正常订单</v>
      </c>
      <c r="I1499" s="1" t="str">
        <f t="shared" si="486"/>
        <v>已发货</v>
      </c>
      <c r="J1499" s="1" t="str">
        <f t="shared" si="493"/>
        <v>3</v>
      </c>
      <c r="K1499" s="1">
        <v>2</v>
      </c>
      <c r="L1499" s="1" t="s">
        <v>30</v>
      </c>
      <c r="M1499" s="1" t="str">
        <f>"山东省 滨州市 滨城区 市中街道"</f>
        <v>山东省 滨州市 滨城区 市中街道</v>
      </c>
      <c r="N1499" s="1" t="str">
        <f t="shared" si="492"/>
        <v>凡华云仓-城南圆通-抖音</v>
      </c>
      <c r="O1499" s="5" t="s">
        <v>1537</v>
      </c>
      <c r="P1499" s="6">
        <v>0.35</v>
      </c>
      <c r="Q1499" s="11">
        <v>2.2999999999999998</v>
      </c>
      <c r="R1499" s="11"/>
      <c r="S1499" s="11"/>
      <c r="T1499" s="11"/>
      <c r="U1499" s="11">
        <f t="shared" si="488"/>
        <v>2.2999999999999998</v>
      </c>
      <c r="W1499">
        <v>2.5</v>
      </c>
      <c r="X1499" s="1" t="s">
        <v>30</v>
      </c>
    </row>
    <row r="1500" spans="1:24" x14ac:dyDescent="0.25">
      <c r="A1500" s="1" t="str">
        <f t="shared" si="483"/>
        <v>卡卡杜-凤凰仓</v>
      </c>
      <c r="B1500" s="1" t="str">
        <f>"CK20241029213"</f>
        <v>CK20241029213</v>
      </c>
      <c r="C1500" s="1" t="str">
        <f>"DD202410299805"</f>
        <v>DD202410299805</v>
      </c>
      <c r="D1500" s="1" t="str">
        <f>"CK2024102915124"</f>
        <v>CK2024102915124</v>
      </c>
      <c r="E1500" s="1" t="str">
        <f>"6935608533228328169"</f>
        <v>6935608533228328169</v>
      </c>
      <c r="F1500" s="1" t="str">
        <f t="shared" si="484"/>
        <v>花都四部-凤凰仓</v>
      </c>
      <c r="G1500" s="1" t="str">
        <f t="shared" si="491"/>
        <v>卡卡杜个人护理店（抖店）</v>
      </c>
      <c r="H1500" s="1" t="str">
        <f t="shared" si="485"/>
        <v>正常订单</v>
      </c>
      <c r="I1500" s="1" t="str">
        <f t="shared" si="486"/>
        <v>已发货</v>
      </c>
      <c r="J1500" s="1" t="str">
        <f t="shared" si="493"/>
        <v>3</v>
      </c>
      <c r="K1500" s="1">
        <v>2</v>
      </c>
      <c r="L1500" s="1" t="s">
        <v>13</v>
      </c>
      <c r="M1500" s="1" t="str">
        <f>"江苏省 徐州市 邳州市 运河街道"</f>
        <v>江苏省 徐州市 邳州市 运河街道</v>
      </c>
      <c r="N1500" s="1" t="str">
        <f t="shared" si="492"/>
        <v>凡华云仓-城南圆通-抖音</v>
      </c>
      <c r="O1500" s="5" t="s">
        <v>1538</v>
      </c>
      <c r="P1500" s="6">
        <v>0.35</v>
      </c>
      <c r="Q1500" s="11">
        <v>2.2999999999999998</v>
      </c>
      <c r="R1500" s="11"/>
      <c r="S1500" s="11"/>
      <c r="T1500" s="11"/>
      <c r="U1500" s="11">
        <f t="shared" si="488"/>
        <v>2.2999999999999998</v>
      </c>
      <c r="W1500">
        <v>2.5</v>
      </c>
      <c r="X1500" s="1" t="s">
        <v>13</v>
      </c>
    </row>
    <row r="1501" spans="1:24" x14ac:dyDescent="0.25">
      <c r="A1501" s="1" t="str">
        <f t="shared" si="483"/>
        <v>卡卡杜-凤凰仓</v>
      </c>
      <c r="B1501" s="1" t="str">
        <f>"CK20241029214"</f>
        <v>CK20241029214</v>
      </c>
      <c r="C1501" s="1" t="str">
        <f>"DD202410299807"</f>
        <v>DD202410299807</v>
      </c>
      <c r="D1501" s="1" t="str">
        <f>"CK2024102915123"</f>
        <v>CK2024102915123</v>
      </c>
      <c r="E1501" s="1" t="str">
        <f>"6935588951951611670"</f>
        <v>6935588951951611670</v>
      </c>
      <c r="F1501" s="1" t="str">
        <f t="shared" si="484"/>
        <v>花都四部-凤凰仓</v>
      </c>
      <c r="G1501" s="1" t="str">
        <f t="shared" si="491"/>
        <v>卡卡杜个人护理店（抖店）</v>
      </c>
      <c r="H1501" s="1" t="str">
        <f t="shared" si="485"/>
        <v>正常订单</v>
      </c>
      <c r="I1501" s="1" t="str">
        <f t="shared" si="486"/>
        <v>已发货</v>
      </c>
      <c r="J1501" s="1" t="str">
        <f t="shared" si="493"/>
        <v>3</v>
      </c>
      <c r="K1501" s="1">
        <v>2</v>
      </c>
      <c r="L1501" s="1" t="s">
        <v>36</v>
      </c>
      <c r="M1501" s="1" t="str">
        <f>"安徽省 淮南市 田家庵区 朝阳街道"</f>
        <v>安徽省 淮南市 田家庵区 朝阳街道</v>
      </c>
      <c r="N1501" s="1" t="str">
        <f t="shared" si="492"/>
        <v>凡华云仓-城南圆通-抖音</v>
      </c>
      <c r="O1501" s="5" t="s">
        <v>1539</v>
      </c>
      <c r="P1501" s="6">
        <v>0.35</v>
      </c>
      <c r="Q1501" s="11">
        <v>2.2999999999999998</v>
      </c>
      <c r="R1501" s="11"/>
      <c r="S1501" s="11"/>
      <c r="T1501" s="11"/>
      <c r="U1501" s="11">
        <f t="shared" si="488"/>
        <v>2.2999999999999998</v>
      </c>
      <c r="W1501">
        <v>2.5</v>
      </c>
      <c r="X1501" s="1" t="s">
        <v>36</v>
      </c>
    </row>
    <row r="1502" spans="1:24" x14ac:dyDescent="0.25">
      <c r="A1502" s="1" t="str">
        <f t="shared" si="483"/>
        <v>卡卡杜-凤凰仓</v>
      </c>
      <c r="B1502" s="1" t="str">
        <f>"CK20241029219"</f>
        <v>CK20241029219</v>
      </c>
      <c r="C1502" s="1" t="str">
        <f>"DD202410299811"</f>
        <v>DD202410299811</v>
      </c>
      <c r="D1502" s="1" t="str">
        <f>"CK2024102915122"</f>
        <v>CK2024102915122</v>
      </c>
      <c r="E1502" s="1" t="str">
        <f>"6935608477576270962"</f>
        <v>6935608477576270962</v>
      </c>
      <c r="F1502" s="1" t="str">
        <f t="shared" si="484"/>
        <v>花都四部-凤凰仓</v>
      </c>
      <c r="G1502" s="1" t="str">
        <f t="shared" si="491"/>
        <v>卡卡杜个人护理店（抖店）</v>
      </c>
      <c r="H1502" s="1" t="str">
        <f t="shared" si="485"/>
        <v>正常订单</v>
      </c>
      <c r="I1502" s="1" t="str">
        <f t="shared" si="486"/>
        <v>已发货</v>
      </c>
      <c r="J1502" s="1" t="str">
        <f t="shared" si="493"/>
        <v>3</v>
      </c>
      <c r="K1502" s="1">
        <v>2</v>
      </c>
      <c r="L1502" s="1" t="s">
        <v>80</v>
      </c>
      <c r="M1502" s="1" t="str">
        <f>"河南省 郑州市 管城回族区 城东路街道"</f>
        <v>河南省 郑州市 管城回族区 城东路街道</v>
      </c>
      <c r="N1502" s="1" t="str">
        <f t="shared" si="492"/>
        <v>凡华云仓-城南圆通-抖音</v>
      </c>
      <c r="O1502" s="5" t="s">
        <v>1540</v>
      </c>
      <c r="P1502" s="6">
        <v>0.35</v>
      </c>
      <c r="Q1502" s="11">
        <v>2.2999999999999998</v>
      </c>
      <c r="R1502" s="11"/>
      <c r="S1502" s="11"/>
      <c r="T1502" s="11"/>
      <c r="U1502" s="11">
        <f t="shared" si="488"/>
        <v>2.2999999999999998</v>
      </c>
      <c r="W1502">
        <v>2.5</v>
      </c>
      <c r="X1502" s="1" t="s">
        <v>80</v>
      </c>
    </row>
    <row r="1503" spans="1:24" x14ac:dyDescent="0.25">
      <c r="A1503" s="1" t="str">
        <f t="shared" si="483"/>
        <v>卡卡杜-凤凰仓</v>
      </c>
      <c r="B1503" s="1" t="str">
        <f>"CK20241029220"</f>
        <v>CK20241029220</v>
      </c>
      <c r="C1503" s="1" t="str">
        <f>"DD202410299812"</f>
        <v>DD202410299812</v>
      </c>
      <c r="D1503" s="1" t="str">
        <f>"CK2024102915121"</f>
        <v>CK2024102915121</v>
      </c>
      <c r="E1503" s="1" t="str">
        <f>"6935588699260327259"</f>
        <v>6935588699260327259</v>
      </c>
      <c r="F1503" s="1" t="str">
        <f t="shared" si="484"/>
        <v>花都四部-凤凰仓</v>
      </c>
      <c r="G1503" s="1" t="str">
        <f t="shared" si="491"/>
        <v>卡卡杜个人护理店（抖店）</v>
      </c>
      <c r="H1503" s="1" t="str">
        <f t="shared" si="485"/>
        <v>正常订单</v>
      </c>
      <c r="I1503" s="1" t="str">
        <f t="shared" si="486"/>
        <v>已发货</v>
      </c>
      <c r="J1503" s="1" t="str">
        <f t="shared" si="493"/>
        <v>3</v>
      </c>
      <c r="K1503" s="1">
        <v>2</v>
      </c>
      <c r="L1503" s="1" t="s">
        <v>18</v>
      </c>
      <c r="M1503" s="1" t="str">
        <f>"广东省 潮州市 潮安区 庵埠镇"</f>
        <v>广东省 潮州市 潮安区 庵埠镇</v>
      </c>
      <c r="N1503" s="1" t="str">
        <f t="shared" si="492"/>
        <v>凡华云仓-城南圆通-抖音</v>
      </c>
      <c r="O1503" s="5" t="s">
        <v>1541</v>
      </c>
      <c r="P1503" s="6">
        <v>0.35</v>
      </c>
      <c r="Q1503" s="11">
        <v>2.2999999999999998</v>
      </c>
      <c r="R1503" s="11"/>
      <c r="S1503" s="11"/>
      <c r="T1503" s="11"/>
      <c r="U1503" s="11">
        <f t="shared" si="488"/>
        <v>2.2999999999999998</v>
      </c>
      <c r="W1503">
        <v>2.5</v>
      </c>
      <c r="X1503" s="1" t="s">
        <v>18</v>
      </c>
    </row>
    <row r="1504" spans="1:24" x14ac:dyDescent="0.25">
      <c r="A1504" s="1" t="str">
        <f t="shared" si="483"/>
        <v>卡卡杜-凤凰仓</v>
      </c>
      <c r="B1504" s="1" t="str">
        <f>"CK20241029225"</f>
        <v>CK20241029225</v>
      </c>
      <c r="C1504" s="1" t="str">
        <f>"DD202410299817"</f>
        <v>DD202410299817</v>
      </c>
      <c r="D1504" s="1" t="str">
        <f>"CK2024102915120"</f>
        <v>CK2024102915120</v>
      </c>
      <c r="E1504" s="1" t="str">
        <f>"6935591124255708653"</f>
        <v>6935591124255708653</v>
      </c>
      <c r="F1504" s="1" t="str">
        <f t="shared" si="484"/>
        <v>花都四部-凤凰仓</v>
      </c>
      <c r="G1504" s="1" t="str">
        <f t="shared" si="491"/>
        <v>卡卡杜个人护理店（抖店）</v>
      </c>
      <c r="H1504" s="1" t="str">
        <f t="shared" si="485"/>
        <v>正常订单</v>
      </c>
      <c r="I1504" s="1" t="str">
        <f t="shared" si="486"/>
        <v>已发货</v>
      </c>
      <c r="J1504" s="1" t="str">
        <f t="shared" si="493"/>
        <v>3</v>
      </c>
      <c r="K1504" s="1">
        <v>2</v>
      </c>
      <c r="L1504" s="1" t="s">
        <v>13</v>
      </c>
      <c r="M1504" s="1" t="str">
        <f>"江苏省 徐州市 邳州市 东湖街道"</f>
        <v>江苏省 徐州市 邳州市 东湖街道</v>
      </c>
      <c r="N1504" s="1" t="str">
        <f t="shared" si="492"/>
        <v>凡华云仓-城南圆通-抖音</v>
      </c>
      <c r="O1504" s="5" t="s">
        <v>1542</v>
      </c>
      <c r="P1504" s="6">
        <v>0.35</v>
      </c>
      <c r="Q1504" s="11">
        <v>2.2999999999999998</v>
      </c>
      <c r="R1504" s="11"/>
      <c r="S1504" s="11"/>
      <c r="T1504" s="11"/>
      <c r="U1504" s="11">
        <f t="shared" si="488"/>
        <v>2.2999999999999998</v>
      </c>
      <c r="W1504">
        <v>2.5</v>
      </c>
      <c r="X1504" s="1" t="s">
        <v>13</v>
      </c>
    </row>
    <row r="1505" spans="1:24" x14ac:dyDescent="0.25">
      <c r="A1505" s="1" t="str">
        <f t="shared" si="483"/>
        <v>卡卡杜-凤凰仓</v>
      </c>
      <c r="B1505" s="1" t="str">
        <f>"CK20241029226"</f>
        <v>CK20241029226</v>
      </c>
      <c r="C1505" s="1" t="str">
        <f>"DD202410299818"</f>
        <v>DD202410299818</v>
      </c>
      <c r="D1505" s="1" t="str">
        <f>"CK2024102915119"</f>
        <v>CK2024102915119</v>
      </c>
      <c r="E1505" s="1" t="str">
        <f>"6935593383882856361"</f>
        <v>6935593383882856361</v>
      </c>
      <c r="F1505" s="1" t="str">
        <f t="shared" si="484"/>
        <v>花都四部-凤凰仓</v>
      </c>
      <c r="G1505" s="1" t="str">
        <f t="shared" si="491"/>
        <v>卡卡杜个人护理店（抖店）</v>
      </c>
      <c r="H1505" s="1" t="str">
        <f t="shared" si="485"/>
        <v>正常订单</v>
      </c>
      <c r="I1505" s="1" t="str">
        <f t="shared" si="486"/>
        <v>已发货</v>
      </c>
      <c r="J1505" s="1" t="str">
        <f t="shared" si="493"/>
        <v>3</v>
      </c>
      <c r="K1505" s="1">
        <v>2</v>
      </c>
      <c r="L1505" s="1" t="s">
        <v>13</v>
      </c>
      <c r="M1505" s="1" t="str">
        <f>"江苏省 南京市 六合区 大厂街道"</f>
        <v>江苏省 南京市 六合区 大厂街道</v>
      </c>
      <c r="N1505" s="1" t="str">
        <f t="shared" si="492"/>
        <v>凡华云仓-城南圆通-抖音</v>
      </c>
      <c r="O1505" s="5" t="s">
        <v>1543</v>
      </c>
      <c r="P1505" s="6">
        <v>0.35</v>
      </c>
      <c r="Q1505" s="11">
        <v>2.2999999999999998</v>
      </c>
      <c r="R1505" s="11"/>
      <c r="S1505" s="11"/>
      <c r="T1505" s="11"/>
      <c r="U1505" s="11">
        <f t="shared" si="488"/>
        <v>2.2999999999999998</v>
      </c>
      <c r="W1505">
        <v>2.5</v>
      </c>
      <c r="X1505" s="1" t="s">
        <v>13</v>
      </c>
    </row>
    <row r="1506" spans="1:24" x14ac:dyDescent="0.25">
      <c r="A1506" s="1" t="str">
        <f t="shared" si="483"/>
        <v>卡卡杜-凤凰仓</v>
      </c>
      <c r="B1506" s="1" t="str">
        <f>"CK20241029227"</f>
        <v>CK20241029227</v>
      </c>
      <c r="C1506" s="1" t="str">
        <f>"DD202410299819"</f>
        <v>DD202410299819</v>
      </c>
      <c r="D1506" s="1" t="str">
        <f>"CK2024102915118"</f>
        <v>CK2024102915118</v>
      </c>
      <c r="E1506" s="1" t="str">
        <f>"6935582316476372632"</f>
        <v>6935582316476372632</v>
      </c>
      <c r="F1506" s="1" t="str">
        <f t="shared" si="484"/>
        <v>花都四部-凤凰仓</v>
      </c>
      <c r="G1506" s="1" t="str">
        <f t="shared" si="491"/>
        <v>卡卡杜个人护理店（抖店）</v>
      </c>
      <c r="H1506" s="1" t="str">
        <f t="shared" si="485"/>
        <v>正常订单</v>
      </c>
      <c r="I1506" s="1" t="str">
        <f t="shared" si="486"/>
        <v>已发货</v>
      </c>
      <c r="J1506" s="1" t="str">
        <f t="shared" si="493"/>
        <v>3</v>
      </c>
      <c r="K1506" s="1">
        <v>2</v>
      </c>
      <c r="L1506" s="1" t="s">
        <v>13</v>
      </c>
      <c r="M1506" s="1" t="str">
        <f>"江苏省 南京市 浦口区 江浦街道"</f>
        <v>江苏省 南京市 浦口区 江浦街道</v>
      </c>
      <c r="N1506" s="1" t="str">
        <f t="shared" si="492"/>
        <v>凡华云仓-城南圆通-抖音</v>
      </c>
      <c r="O1506" s="5" t="s">
        <v>1544</v>
      </c>
      <c r="P1506" s="6">
        <v>0.35</v>
      </c>
      <c r="Q1506" s="11">
        <v>2.2999999999999998</v>
      </c>
      <c r="R1506" s="11"/>
      <c r="S1506" s="11"/>
      <c r="T1506" s="11"/>
      <c r="U1506" s="11">
        <f t="shared" si="488"/>
        <v>2.2999999999999998</v>
      </c>
      <c r="W1506">
        <v>2.5</v>
      </c>
      <c r="X1506" s="1" t="s">
        <v>13</v>
      </c>
    </row>
    <row r="1507" spans="1:24" x14ac:dyDescent="0.25">
      <c r="A1507" s="1" t="str">
        <f t="shared" si="483"/>
        <v>卡卡杜-凤凰仓</v>
      </c>
      <c r="B1507" s="1" t="str">
        <f>"CK20241029228"</f>
        <v>CK20241029228</v>
      </c>
      <c r="C1507" s="1" t="str">
        <f>"DD202410299820"</f>
        <v>DD202410299820</v>
      </c>
      <c r="D1507" s="1" t="str">
        <f>"CK2024102915117"</f>
        <v>CK2024102915117</v>
      </c>
      <c r="E1507" s="1" t="str">
        <f>"6935613224505382461"</f>
        <v>6935613224505382461</v>
      </c>
      <c r="F1507" s="1" t="str">
        <f t="shared" si="484"/>
        <v>花都四部-凤凰仓</v>
      </c>
      <c r="G1507" s="1" t="str">
        <f t="shared" si="491"/>
        <v>卡卡杜个人护理店（抖店）</v>
      </c>
      <c r="H1507" s="1" t="str">
        <f t="shared" si="485"/>
        <v>正常订单</v>
      </c>
      <c r="I1507" s="1" t="str">
        <f t="shared" si="486"/>
        <v>已发货</v>
      </c>
      <c r="J1507" s="1" t="str">
        <f t="shared" si="493"/>
        <v>3</v>
      </c>
      <c r="K1507" s="1">
        <v>2</v>
      </c>
      <c r="L1507" s="1" t="s">
        <v>13</v>
      </c>
      <c r="M1507" s="1" t="str">
        <f>"江苏省 徐州市 邳州市 运河街道"</f>
        <v>江苏省 徐州市 邳州市 运河街道</v>
      </c>
      <c r="N1507" s="1" t="str">
        <f t="shared" si="492"/>
        <v>凡华云仓-城南圆通-抖音</v>
      </c>
      <c r="O1507" s="5" t="s">
        <v>1545</v>
      </c>
      <c r="P1507" s="6">
        <v>0.35</v>
      </c>
      <c r="Q1507" s="11">
        <v>2.2999999999999998</v>
      </c>
      <c r="R1507" s="11"/>
      <c r="S1507" s="11"/>
      <c r="T1507" s="11"/>
      <c r="U1507" s="11">
        <f t="shared" si="488"/>
        <v>2.2999999999999998</v>
      </c>
      <c r="W1507">
        <v>2.5</v>
      </c>
      <c r="X1507" s="1" t="s">
        <v>13</v>
      </c>
    </row>
    <row r="1508" spans="1:24" x14ac:dyDescent="0.25">
      <c r="A1508" s="1" t="str">
        <f t="shared" si="483"/>
        <v>卡卡杜-凤凰仓</v>
      </c>
      <c r="B1508" s="1" t="str">
        <f>"CK20241029229"</f>
        <v>CK20241029229</v>
      </c>
      <c r="C1508" s="1" t="str">
        <f>"DD202410299821"</f>
        <v>DD202410299821</v>
      </c>
      <c r="D1508" s="1" t="str">
        <f>"CK2024102915116"</f>
        <v>CK2024102915116</v>
      </c>
      <c r="E1508" s="1" t="str">
        <f>"6935608513488558014"</f>
        <v>6935608513488558014</v>
      </c>
      <c r="F1508" s="1" t="str">
        <f t="shared" si="484"/>
        <v>花都四部-凤凰仓</v>
      </c>
      <c r="G1508" s="1" t="str">
        <f t="shared" si="491"/>
        <v>卡卡杜个人护理店（抖店）</v>
      </c>
      <c r="H1508" s="1" t="str">
        <f t="shared" si="485"/>
        <v>正常订单</v>
      </c>
      <c r="I1508" s="1" t="str">
        <f t="shared" si="486"/>
        <v>已发货</v>
      </c>
      <c r="J1508" s="1" t="str">
        <f t="shared" si="493"/>
        <v>3</v>
      </c>
      <c r="K1508" s="1">
        <v>2</v>
      </c>
      <c r="L1508" s="1" t="s">
        <v>36</v>
      </c>
      <c r="M1508" s="1" t="str">
        <f>"安徽省 合肥市 蜀山区 五里墩街道"</f>
        <v>安徽省 合肥市 蜀山区 五里墩街道</v>
      </c>
      <c r="N1508" s="1" t="str">
        <f t="shared" si="492"/>
        <v>凡华云仓-城南圆通-抖音</v>
      </c>
      <c r="O1508" s="5" t="s">
        <v>1546</v>
      </c>
      <c r="P1508" s="6">
        <v>0.35</v>
      </c>
      <c r="Q1508" s="11">
        <v>2.2999999999999998</v>
      </c>
      <c r="R1508" s="11"/>
      <c r="S1508" s="11"/>
      <c r="T1508" s="11"/>
      <c r="U1508" s="11">
        <f t="shared" si="488"/>
        <v>2.2999999999999998</v>
      </c>
      <c r="W1508">
        <v>2.5</v>
      </c>
      <c r="X1508" s="1" t="s">
        <v>36</v>
      </c>
    </row>
    <row r="1509" spans="1:24" x14ac:dyDescent="0.25">
      <c r="A1509" s="1" t="str">
        <f t="shared" si="483"/>
        <v>卡卡杜-凤凰仓</v>
      </c>
      <c r="B1509" s="1" t="str">
        <f>"CK20241029230"</f>
        <v>CK20241029230</v>
      </c>
      <c r="C1509" s="1" t="str">
        <f>"DD202410299822"</f>
        <v>DD202410299822</v>
      </c>
      <c r="D1509" s="1" t="str">
        <f>"CK2024102915115"</f>
        <v>CK2024102915115</v>
      </c>
      <c r="E1509" s="1" t="str">
        <f>"6935591075531658827"</f>
        <v>6935591075531658827</v>
      </c>
      <c r="F1509" s="1" t="str">
        <f t="shared" si="484"/>
        <v>花都四部-凤凰仓</v>
      </c>
      <c r="G1509" s="1" t="str">
        <f t="shared" si="491"/>
        <v>卡卡杜个人护理店（抖店）</v>
      </c>
      <c r="H1509" s="1" t="str">
        <f t="shared" si="485"/>
        <v>正常订单</v>
      </c>
      <c r="I1509" s="1" t="str">
        <f t="shared" si="486"/>
        <v>已发货</v>
      </c>
      <c r="J1509" s="1" t="str">
        <f t="shared" si="493"/>
        <v>3</v>
      </c>
      <c r="K1509" s="1">
        <v>2</v>
      </c>
      <c r="L1509" s="1" t="s">
        <v>13</v>
      </c>
      <c r="M1509" s="1" t="str">
        <f>"江苏省 徐州市 沛县 沛城街道"</f>
        <v>江苏省 徐州市 沛县 沛城街道</v>
      </c>
      <c r="N1509" s="1" t="str">
        <f t="shared" si="492"/>
        <v>凡华云仓-城南圆通-抖音</v>
      </c>
      <c r="O1509" s="5" t="s">
        <v>1547</v>
      </c>
      <c r="P1509" s="6">
        <v>0.35</v>
      </c>
      <c r="Q1509" s="11">
        <v>2.2999999999999998</v>
      </c>
      <c r="R1509" s="11"/>
      <c r="S1509" s="11"/>
      <c r="T1509" s="11"/>
      <c r="U1509" s="11">
        <f t="shared" si="488"/>
        <v>2.2999999999999998</v>
      </c>
      <c r="W1509">
        <v>2.5</v>
      </c>
      <c r="X1509" s="1" t="s">
        <v>13</v>
      </c>
    </row>
    <row r="1510" spans="1:24" x14ac:dyDescent="0.25">
      <c r="A1510" s="1" t="str">
        <f t="shared" si="483"/>
        <v>卡卡杜-凤凰仓</v>
      </c>
      <c r="B1510" s="1" t="str">
        <f>"CK20241029231"</f>
        <v>CK20241029231</v>
      </c>
      <c r="C1510" s="1" t="str">
        <f>"DD202410299823"</f>
        <v>DD202410299823</v>
      </c>
      <c r="D1510" s="1" t="str">
        <f>"CK2024102915114"</f>
        <v>CK2024102915114</v>
      </c>
      <c r="E1510" s="1" t="str">
        <f>"6935599972555167238"</f>
        <v>6935599972555167238</v>
      </c>
      <c r="F1510" s="1" t="str">
        <f t="shared" si="484"/>
        <v>花都四部-凤凰仓</v>
      </c>
      <c r="G1510" s="1" t="str">
        <f t="shared" si="491"/>
        <v>卡卡杜个人护理店（抖店）</v>
      </c>
      <c r="H1510" s="1" t="str">
        <f t="shared" si="485"/>
        <v>正常订单</v>
      </c>
      <c r="I1510" s="1" t="str">
        <f t="shared" si="486"/>
        <v>已发货</v>
      </c>
      <c r="J1510" s="1" t="str">
        <f t="shared" si="493"/>
        <v>3</v>
      </c>
      <c r="K1510" s="1">
        <v>2</v>
      </c>
      <c r="L1510" s="1" t="s">
        <v>13</v>
      </c>
      <c r="M1510" s="1" t="str">
        <f>"江苏省 宿迁市 泗阳县 众兴街道"</f>
        <v>江苏省 宿迁市 泗阳县 众兴街道</v>
      </c>
      <c r="N1510" s="1" t="str">
        <f t="shared" si="492"/>
        <v>凡华云仓-城南圆通-抖音</v>
      </c>
      <c r="O1510" s="5" t="s">
        <v>1548</v>
      </c>
      <c r="P1510" s="6">
        <v>0.35</v>
      </c>
      <c r="Q1510" s="11">
        <v>2.2999999999999998</v>
      </c>
      <c r="R1510" s="11"/>
      <c r="S1510" s="11"/>
      <c r="T1510" s="11"/>
      <c r="U1510" s="11">
        <f t="shared" si="488"/>
        <v>2.2999999999999998</v>
      </c>
      <c r="W1510">
        <v>2.5</v>
      </c>
      <c r="X1510" s="1" t="s">
        <v>13</v>
      </c>
    </row>
    <row r="1511" spans="1:24" x14ac:dyDescent="0.25">
      <c r="A1511" s="1" t="str">
        <f t="shared" si="483"/>
        <v>卡卡杜-凤凰仓</v>
      </c>
      <c r="B1511" s="1" t="str">
        <f>"CK20241029232"</f>
        <v>CK20241029232</v>
      </c>
      <c r="C1511" s="1" t="str">
        <f>"DD202410299824"</f>
        <v>DD202410299824</v>
      </c>
      <c r="D1511" s="1" t="str">
        <f>"CK2024102915113"</f>
        <v>CK2024102915113</v>
      </c>
      <c r="E1511" s="1" t="str">
        <f>"6935597670857577626"</f>
        <v>6935597670857577626</v>
      </c>
      <c r="F1511" s="1" t="str">
        <f t="shared" si="484"/>
        <v>花都四部-凤凰仓</v>
      </c>
      <c r="G1511" s="1" t="str">
        <f t="shared" si="491"/>
        <v>卡卡杜个人护理店（抖店）</v>
      </c>
      <c r="H1511" s="1" t="str">
        <f t="shared" si="485"/>
        <v>正常订单</v>
      </c>
      <c r="I1511" s="1" t="str">
        <f t="shared" si="486"/>
        <v>已发货</v>
      </c>
      <c r="J1511" s="1" t="str">
        <f t="shared" si="493"/>
        <v>3</v>
      </c>
      <c r="K1511" s="1">
        <v>2</v>
      </c>
      <c r="L1511" s="1" t="s">
        <v>94</v>
      </c>
      <c r="M1511" s="1" t="str">
        <f>"湖南省 株洲市 天元区 嵩山路街道"</f>
        <v>湖南省 株洲市 天元区 嵩山路街道</v>
      </c>
      <c r="N1511" s="1" t="str">
        <f t="shared" si="492"/>
        <v>凡华云仓-城南圆通-抖音</v>
      </c>
      <c r="O1511" s="5" t="s">
        <v>1549</v>
      </c>
      <c r="P1511" s="6">
        <v>0.35</v>
      </c>
      <c r="Q1511" s="11">
        <v>2.2999999999999998</v>
      </c>
      <c r="R1511" s="11"/>
      <c r="S1511" s="11"/>
      <c r="T1511" s="11"/>
      <c r="U1511" s="11">
        <f t="shared" si="488"/>
        <v>2.2999999999999998</v>
      </c>
      <c r="W1511">
        <v>2.5</v>
      </c>
      <c r="X1511" s="1" t="s">
        <v>94</v>
      </c>
    </row>
    <row r="1512" spans="1:24" x14ac:dyDescent="0.25">
      <c r="A1512" s="1" t="str">
        <f t="shared" si="483"/>
        <v>卡卡杜-凤凰仓</v>
      </c>
      <c r="B1512" s="1" t="str">
        <f>"CK20241029234"</f>
        <v>CK20241029234</v>
      </c>
      <c r="C1512" s="1" t="str">
        <f>"DD202410299826"</f>
        <v>DD202410299826</v>
      </c>
      <c r="D1512" s="1" t="str">
        <f>"CK2024102915112"</f>
        <v>CK2024102915112</v>
      </c>
      <c r="E1512" s="1" t="str">
        <f>"6935604434530145588"</f>
        <v>6935604434530145588</v>
      </c>
      <c r="F1512" s="1" t="str">
        <f t="shared" si="484"/>
        <v>花都四部-凤凰仓</v>
      </c>
      <c r="G1512" s="1" t="str">
        <f t="shared" si="491"/>
        <v>卡卡杜个人护理店（抖店）</v>
      </c>
      <c r="H1512" s="1" t="str">
        <f t="shared" si="485"/>
        <v>正常订单</v>
      </c>
      <c r="I1512" s="1" t="str">
        <f t="shared" si="486"/>
        <v>已发货</v>
      </c>
      <c r="J1512" s="1" t="str">
        <f t="shared" si="493"/>
        <v>3</v>
      </c>
      <c r="K1512" s="1">
        <v>2</v>
      </c>
      <c r="L1512" s="1" t="s">
        <v>36</v>
      </c>
      <c r="M1512" s="1" t="str">
        <f>"安徽省 淮北市 濉溪县 孙町镇"</f>
        <v>安徽省 淮北市 濉溪县 孙町镇</v>
      </c>
      <c r="N1512" s="1" t="str">
        <f t="shared" si="492"/>
        <v>凡华云仓-城南圆通-抖音</v>
      </c>
      <c r="O1512" s="5" t="s">
        <v>1550</v>
      </c>
      <c r="P1512" s="6">
        <v>0.35</v>
      </c>
      <c r="Q1512" s="11">
        <v>2.2999999999999998</v>
      </c>
      <c r="R1512" s="11"/>
      <c r="S1512" s="11"/>
      <c r="T1512" s="11"/>
      <c r="U1512" s="11">
        <f t="shared" si="488"/>
        <v>2.2999999999999998</v>
      </c>
      <c r="W1512">
        <v>2.5</v>
      </c>
      <c r="X1512" s="1" t="s">
        <v>36</v>
      </c>
    </row>
    <row r="1513" spans="1:24" x14ac:dyDescent="0.25">
      <c r="A1513" s="1" t="str">
        <f t="shared" si="483"/>
        <v>卡卡杜-凤凰仓</v>
      </c>
      <c r="B1513" s="1" t="str">
        <f>"CK20241029259"</f>
        <v>CK20241029259</v>
      </c>
      <c r="C1513" s="1" t="str">
        <f>"DD202410299851"</f>
        <v>DD202410299851</v>
      </c>
      <c r="D1513" s="1" t="str">
        <f>"CK2024102915111"</f>
        <v>CK2024102915111</v>
      </c>
      <c r="E1513" s="1" t="str">
        <f>"6935599831195653590"</f>
        <v>6935599831195653590</v>
      </c>
      <c r="F1513" s="1" t="str">
        <f t="shared" si="484"/>
        <v>花都四部-凤凰仓</v>
      </c>
      <c r="G1513" s="1" t="str">
        <f t="shared" si="491"/>
        <v>卡卡杜个人护理店（抖店）</v>
      </c>
      <c r="H1513" s="1" t="str">
        <f t="shared" si="485"/>
        <v>正常订单</v>
      </c>
      <c r="I1513" s="1" t="str">
        <f t="shared" si="486"/>
        <v>已发货</v>
      </c>
      <c r="J1513" s="1" t="str">
        <f t="shared" si="493"/>
        <v>3</v>
      </c>
      <c r="K1513" s="1">
        <v>2</v>
      </c>
      <c r="L1513" s="1" t="s">
        <v>36</v>
      </c>
      <c r="M1513" s="1" t="str">
        <f>"安徽省 淮南市 谢家集区 谢家集街道"</f>
        <v>安徽省 淮南市 谢家集区 谢家集街道</v>
      </c>
      <c r="N1513" s="1" t="str">
        <f t="shared" si="492"/>
        <v>凡华云仓-城南圆通-抖音</v>
      </c>
      <c r="O1513" s="5" t="s">
        <v>1551</v>
      </c>
      <c r="P1513" s="6">
        <v>0.35</v>
      </c>
      <c r="Q1513" s="11">
        <v>2.2999999999999998</v>
      </c>
      <c r="R1513" s="11"/>
      <c r="S1513" s="11"/>
      <c r="T1513" s="11"/>
      <c r="U1513" s="11">
        <f t="shared" si="488"/>
        <v>2.2999999999999998</v>
      </c>
      <c r="W1513">
        <v>2.5</v>
      </c>
      <c r="X1513" s="1" t="s">
        <v>36</v>
      </c>
    </row>
    <row r="1514" spans="1:24" x14ac:dyDescent="0.25">
      <c r="A1514" s="1" t="str">
        <f t="shared" si="483"/>
        <v>卡卡杜-凤凰仓</v>
      </c>
      <c r="B1514" s="1" t="str">
        <f>"CK20241029260"</f>
        <v>CK20241029260</v>
      </c>
      <c r="C1514" s="1" t="str">
        <f>"DD202410299852"</f>
        <v>DD202410299852</v>
      </c>
      <c r="D1514" s="1" t="str">
        <f>"CK2024102915110"</f>
        <v>CK2024102915110</v>
      </c>
      <c r="E1514" s="1" t="str">
        <f>"6935597415858247528"</f>
        <v>6935597415858247528</v>
      </c>
      <c r="F1514" s="1" t="str">
        <f t="shared" si="484"/>
        <v>花都四部-凤凰仓</v>
      </c>
      <c r="G1514" s="1" t="str">
        <f t="shared" si="491"/>
        <v>卡卡杜个人护理店（抖店）</v>
      </c>
      <c r="H1514" s="1" t="str">
        <f t="shared" si="485"/>
        <v>正常订单</v>
      </c>
      <c r="I1514" s="1" t="str">
        <f t="shared" si="486"/>
        <v>已发货</v>
      </c>
      <c r="J1514" s="1" t="str">
        <f t="shared" si="493"/>
        <v>3</v>
      </c>
      <c r="K1514" s="1">
        <v>2</v>
      </c>
      <c r="L1514" s="1" t="s">
        <v>27</v>
      </c>
      <c r="M1514" s="1" t="str">
        <f>"贵州省 黔西南布依族苗族自治州 贞丰县 小屯镇"</f>
        <v>贵州省 黔西南布依族苗族自治州 贞丰县 小屯镇</v>
      </c>
      <c r="N1514" s="1" t="str">
        <f t="shared" si="492"/>
        <v>凡华云仓-城南圆通-抖音</v>
      </c>
      <c r="O1514" s="5" t="s">
        <v>1552</v>
      </c>
      <c r="P1514" s="6">
        <v>0.35</v>
      </c>
      <c r="Q1514" s="11">
        <v>2.2999999999999998</v>
      </c>
      <c r="R1514" s="11"/>
      <c r="S1514" s="11"/>
      <c r="T1514" s="11"/>
      <c r="U1514" s="11">
        <f t="shared" si="488"/>
        <v>2.2999999999999998</v>
      </c>
      <c r="W1514">
        <v>2.5</v>
      </c>
      <c r="X1514" s="1" t="s">
        <v>27</v>
      </c>
    </row>
    <row r="1515" spans="1:24" x14ac:dyDescent="0.25">
      <c r="A1515" s="1" t="str">
        <f t="shared" si="483"/>
        <v>卡卡杜-凤凰仓</v>
      </c>
      <c r="B1515" s="1" t="str">
        <f>"CK20241029261"</f>
        <v>CK20241029261</v>
      </c>
      <c r="C1515" s="1" t="str">
        <f>"DD202410299854"</f>
        <v>DD202410299854</v>
      </c>
      <c r="D1515" s="1" t="str">
        <f>"CK2024102915109"</f>
        <v>CK2024102915109</v>
      </c>
      <c r="E1515" s="1" t="str">
        <f>"6935577531730237387"</f>
        <v>6935577531730237387</v>
      </c>
      <c r="F1515" s="1" t="str">
        <f t="shared" si="484"/>
        <v>花都四部-凤凰仓</v>
      </c>
      <c r="G1515" s="1" t="str">
        <f t="shared" si="491"/>
        <v>卡卡杜个人护理店（抖店）</v>
      </c>
      <c r="H1515" s="1" t="str">
        <f t="shared" si="485"/>
        <v>正常订单</v>
      </c>
      <c r="I1515" s="1" t="str">
        <f t="shared" si="486"/>
        <v>已发货</v>
      </c>
      <c r="J1515" s="1" t="str">
        <f t="shared" si="493"/>
        <v>3</v>
      </c>
      <c r="K1515" s="1">
        <v>2</v>
      </c>
      <c r="L1515" s="1" t="s">
        <v>13</v>
      </c>
      <c r="M1515" s="1" t="str">
        <f>"江苏省 常州市 武进区 雪堰镇"</f>
        <v>江苏省 常州市 武进区 雪堰镇</v>
      </c>
      <c r="N1515" s="1" t="str">
        <f t="shared" si="492"/>
        <v>凡华云仓-城南圆通-抖音</v>
      </c>
      <c r="O1515" s="5" t="s">
        <v>1553</v>
      </c>
      <c r="P1515" s="6">
        <v>0.35</v>
      </c>
      <c r="Q1515" s="11">
        <v>2.2999999999999998</v>
      </c>
      <c r="R1515" s="11"/>
      <c r="S1515" s="11"/>
      <c r="T1515" s="11"/>
      <c r="U1515" s="11">
        <f t="shared" si="488"/>
        <v>2.2999999999999998</v>
      </c>
      <c r="W1515">
        <v>2.5</v>
      </c>
      <c r="X1515" s="1" t="s">
        <v>13</v>
      </c>
    </row>
    <row r="1516" spans="1:24" x14ac:dyDescent="0.25">
      <c r="A1516" s="1" t="str">
        <f t="shared" si="483"/>
        <v>卡卡杜-凤凰仓</v>
      </c>
      <c r="B1516" s="1" t="str">
        <f>"CK20241029262"</f>
        <v>CK20241029262</v>
      </c>
      <c r="C1516" s="1" t="str">
        <f>"DD202410299853"</f>
        <v>DD202410299853</v>
      </c>
      <c r="D1516" s="1" t="str">
        <f>"CK2024102915108"</f>
        <v>CK2024102915108</v>
      </c>
      <c r="E1516" s="1" t="str">
        <f>"6935608332628137269"</f>
        <v>6935608332628137269</v>
      </c>
      <c r="F1516" s="1" t="str">
        <f t="shared" si="484"/>
        <v>花都四部-凤凰仓</v>
      </c>
      <c r="G1516" s="1" t="str">
        <f t="shared" si="491"/>
        <v>卡卡杜个人护理店（抖店）</v>
      </c>
      <c r="H1516" s="1" t="str">
        <f t="shared" si="485"/>
        <v>正常订单</v>
      </c>
      <c r="I1516" s="1" t="str">
        <f t="shared" si="486"/>
        <v>已发货</v>
      </c>
      <c r="J1516" s="1" t="str">
        <f t="shared" si="493"/>
        <v>3</v>
      </c>
      <c r="K1516" s="1">
        <v>2</v>
      </c>
      <c r="L1516" s="1" t="s">
        <v>47</v>
      </c>
      <c r="M1516" s="1" t="str">
        <f>"重庆 重庆市 大足区 棠香街道"</f>
        <v>重庆 重庆市 大足区 棠香街道</v>
      </c>
      <c r="N1516" s="1" t="str">
        <f t="shared" si="492"/>
        <v>凡华云仓-城南圆通-抖音</v>
      </c>
      <c r="O1516" s="5" t="s">
        <v>1554</v>
      </c>
      <c r="P1516" s="6">
        <v>0.35</v>
      </c>
      <c r="Q1516" s="11">
        <v>2.2999999999999998</v>
      </c>
      <c r="R1516" s="11"/>
      <c r="S1516" s="11"/>
      <c r="T1516" s="11"/>
      <c r="U1516" s="11">
        <f t="shared" si="488"/>
        <v>2.2999999999999998</v>
      </c>
      <c r="W1516">
        <v>2.5</v>
      </c>
      <c r="X1516" s="1" t="s">
        <v>47</v>
      </c>
    </row>
    <row r="1517" spans="1:24" x14ac:dyDescent="0.25">
      <c r="A1517" s="1" t="str">
        <f t="shared" si="483"/>
        <v>卡卡杜-凤凰仓</v>
      </c>
      <c r="B1517" s="1" t="str">
        <f>"CK20241029264"</f>
        <v>CK20241029264</v>
      </c>
      <c r="C1517" s="1" t="str">
        <f>"DD202410299856"</f>
        <v>DD202410299856</v>
      </c>
      <c r="D1517" s="1" t="str">
        <f>"CK2024102915107"</f>
        <v>CK2024102915107</v>
      </c>
      <c r="E1517" s="1" t="str">
        <f>"6935575215520552400"</f>
        <v>6935575215520552400</v>
      </c>
      <c r="F1517" s="1" t="str">
        <f t="shared" si="484"/>
        <v>花都四部-凤凰仓</v>
      </c>
      <c r="G1517" s="1" t="str">
        <f t="shared" si="491"/>
        <v>卡卡杜个人护理店（抖店）</v>
      </c>
      <c r="H1517" s="1" t="str">
        <f t="shared" si="485"/>
        <v>正常订单</v>
      </c>
      <c r="I1517" s="1" t="str">
        <f t="shared" si="486"/>
        <v>已发货</v>
      </c>
      <c r="J1517" s="1" t="str">
        <f t="shared" si="493"/>
        <v>3</v>
      </c>
      <c r="K1517" s="1">
        <v>2</v>
      </c>
      <c r="L1517" s="1" t="s">
        <v>13</v>
      </c>
      <c r="M1517" s="1" t="str">
        <f>"江苏省 徐州市 邳州市 运河街道"</f>
        <v>江苏省 徐州市 邳州市 运河街道</v>
      </c>
      <c r="N1517" s="1" t="str">
        <f t="shared" si="492"/>
        <v>凡华云仓-城南圆通-抖音</v>
      </c>
      <c r="O1517" s="5" t="s">
        <v>1555</v>
      </c>
      <c r="P1517" s="6">
        <v>0.35</v>
      </c>
      <c r="Q1517" s="11">
        <v>2.2999999999999998</v>
      </c>
      <c r="R1517" s="11"/>
      <c r="S1517" s="11"/>
      <c r="T1517" s="11"/>
      <c r="U1517" s="11">
        <f t="shared" si="488"/>
        <v>2.2999999999999998</v>
      </c>
      <c r="W1517">
        <v>2.5</v>
      </c>
      <c r="X1517" s="1" t="s">
        <v>13</v>
      </c>
    </row>
    <row r="1518" spans="1:24" x14ac:dyDescent="0.25">
      <c r="A1518" s="1" t="str">
        <f t="shared" si="483"/>
        <v>卡卡杜-凤凰仓</v>
      </c>
      <c r="B1518" s="1" t="str">
        <f>"CK20241029267"</f>
        <v>CK20241029267</v>
      </c>
      <c r="C1518" s="1" t="str">
        <f>"DD202410299859"</f>
        <v>DD202410299859</v>
      </c>
      <c r="D1518" s="1" t="str">
        <f>"CK2024102915106"</f>
        <v>CK2024102915106</v>
      </c>
      <c r="E1518" s="1" t="str">
        <f>"6935606160285767624"</f>
        <v>6935606160285767624</v>
      </c>
      <c r="F1518" s="1" t="str">
        <f t="shared" si="484"/>
        <v>花都四部-凤凰仓</v>
      </c>
      <c r="G1518" s="1" t="str">
        <f t="shared" si="491"/>
        <v>卡卡杜个人护理店（抖店）</v>
      </c>
      <c r="H1518" s="1" t="str">
        <f t="shared" si="485"/>
        <v>正常订单</v>
      </c>
      <c r="I1518" s="1" t="str">
        <f t="shared" si="486"/>
        <v>已发货</v>
      </c>
      <c r="J1518" s="1" t="str">
        <f t="shared" si="493"/>
        <v>3</v>
      </c>
      <c r="K1518" s="1">
        <v>2</v>
      </c>
      <c r="L1518" s="1" t="s">
        <v>30</v>
      </c>
      <c r="M1518" s="1" t="str">
        <f>"山东省 济南市 长清区 万德街道"</f>
        <v>山东省 济南市 长清区 万德街道</v>
      </c>
      <c r="N1518" s="1" t="str">
        <f t="shared" si="492"/>
        <v>凡华云仓-城南圆通-抖音</v>
      </c>
      <c r="O1518" s="5" t="s">
        <v>1556</v>
      </c>
      <c r="P1518" s="6">
        <v>0.35</v>
      </c>
      <c r="Q1518" s="11">
        <v>2.2999999999999998</v>
      </c>
      <c r="R1518" s="11"/>
      <c r="S1518" s="11"/>
      <c r="T1518" s="11"/>
      <c r="U1518" s="11">
        <f t="shared" si="488"/>
        <v>2.2999999999999998</v>
      </c>
      <c r="W1518">
        <v>2.5</v>
      </c>
      <c r="X1518" s="1" t="s">
        <v>30</v>
      </c>
    </row>
    <row r="1519" spans="1:24" x14ac:dyDescent="0.25">
      <c r="A1519" s="1" t="str">
        <f t="shared" si="483"/>
        <v>卡卡杜-凤凰仓</v>
      </c>
      <c r="B1519" s="1" t="str">
        <f>"CK20241029287"</f>
        <v>CK20241029287</v>
      </c>
      <c r="C1519" s="1" t="str">
        <f>"DD202410299878"</f>
        <v>DD202410299878</v>
      </c>
      <c r="D1519" s="1" t="str">
        <f>"CK2024102915105"</f>
        <v>CK2024102915105</v>
      </c>
      <c r="E1519" s="1" t="str">
        <f>"6918023899160608092"</f>
        <v>6918023899160608092</v>
      </c>
      <c r="F1519" s="1" t="str">
        <f t="shared" si="484"/>
        <v>花都四部-凤凰仓</v>
      </c>
      <c r="G1519" s="1" t="str">
        <f t="shared" si="491"/>
        <v>卡卡杜个人护理店（抖店）</v>
      </c>
      <c r="H1519" s="1" t="str">
        <f t="shared" si="485"/>
        <v>正常订单</v>
      </c>
      <c r="I1519" s="1" t="str">
        <f t="shared" si="486"/>
        <v>已发货</v>
      </c>
      <c r="J1519" s="1" t="str">
        <f t="shared" si="493"/>
        <v>3</v>
      </c>
      <c r="K1519" s="1">
        <v>2</v>
      </c>
      <c r="L1519" s="1" t="s">
        <v>13</v>
      </c>
      <c r="M1519" s="1" t="str">
        <f>"江苏省 南通市 如皋市 城南街道"</f>
        <v>江苏省 南通市 如皋市 城南街道</v>
      </c>
      <c r="N1519" s="1" t="str">
        <f t="shared" si="492"/>
        <v>凡华云仓-城南圆通-抖音</v>
      </c>
      <c r="O1519" s="5" t="s">
        <v>1557</v>
      </c>
      <c r="P1519" s="6">
        <v>0.35</v>
      </c>
      <c r="Q1519" s="11">
        <v>2.2999999999999998</v>
      </c>
      <c r="R1519" s="11"/>
      <c r="S1519" s="11"/>
      <c r="T1519" s="11"/>
      <c r="U1519" s="11">
        <f t="shared" si="488"/>
        <v>2.2999999999999998</v>
      </c>
      <c r="W1519">
        <v>2.5</v>
      </c>
      <c r="X1519" s="1" t="s">
        <v>13</v>
      </c>
    </row>
    <row r="1520" spans="1:24" x14ac:dyDescent="0.25">
      <c r="A1520" s="1" t="str">
        <f t="shared" si="483"/>
        <v>卡卡杜-凤凰仓</v>
      </c>
      <c r="B1520" s="1" t="str">
        <f>"CK20241029288"</f>
        <v>CK20241029288</v>
      </c>
      <c r="C1520" s="1" t="str">
        <f>"DD202410299880"</f>
        <v>DD202410299880</v>
      </c>
      <c r="D1520" s="1" t="str">
        <f>"CK2024102915104"</f>
        <v>CK2024102915104</v>
      </c>
      <c r="E1520" s="1" t="str">
        <f>"6935606197078071200"</f>
        <v>6935606197078071200</v>
      </c>
      <c r="F1520" s="1" t="str">
        <f t="shared" si="484"/>
        <v>花都四部-凤凰仓</v>
      </c>
      <c r="G1520" s="1" t="str">
        <f t="shared" si="491"/>
        <v>卡卡杜个人护理店（抖店）</v>
      </c>
      <c r="H1520" s="1" t="str">
        <f t="shared" si="485"/>
        <v>正常订单</v>
      </c>
      <c r="I1520" s="1" t="str">
        <f t="shared" si="486"/>
        <v>已发货</v>
      </c>
      <c r="J1520" s="1" t="str">
        <f t="shared" si="493"/>
        <v>3</v>
      </c>
      <c r="K1520" s="1">
        <v>2</v>
      </c>
      <c r="L1520" s="1" t="s">
        <v>96</v>
      </c>
      <c r="M1520" s="1" t="str">
        <f>"广西壮族自治区 贵港市 平南县 平南街道"</f>
        <v>广西壮族自治区 贵港市 平南县 平南街道</v>
      </c>
      <c r="N1520" s="1" t="str">
        <f t="shared" si="492"/>
        <v>凡华云仓-城南圆通-抖音</v>
      </c>
      <c r="O1520" s="5" t="s">
        <v>1558</v>
      </c>
      <c r="P1520" s="6">
        <v>0.35</v>
      </c>
      <c r="Q1520" s="11">
        <v>2.2999999999999998</v>
      </c>
      <c r="R1520" s="11"/>
      <c r="S1520" s="11"/>
      <c r="T1520" s="11"/>
      <c r="U1520" s="11">
        <f t="shared" si="488"/>
        <v>2.2999999999999998</v>
      </c>
      <c r="W1520">
        <v>2.5</v>
      </c>
      <c r="X1520" s="1" t="s">
        <v>96</v>
      </c>
    </row>
    <row r="1521" spans="1:24" x14ac:dyDescent="0.25">
      <c r="A1521" s="1" t="str">
        <f t="shared" si="483"/>
        <v>卡卡杜-凤凰仓</v>
      </c>
      <c r="B1521" s="1" t="str">
        <f>"CK20241029289"</f>
        <v>CK20241029289</v>
      </c>
      <c r="C1521" s="1" t="str">
        <f>"DD202410299881"</f>
        <v>DD202410299881</v>
      </c>
      <c r="D1521" s="1" t="str">
        <f>"CK2024102915103"</f>
        <v>CK2024102915103</v>
      </c>
      <c r="E1521" s="1" t="str">
        <f>"6935582063233209921"</f>
        <v>6935582063233209921</v>
      </c>
      <c r="F1521" s="1" t="str">
        <f t="shared" si="484"/>
        <v>花都四部-凤凰仓</v>
      </c>
      <c r="G1521" s="1" t="str">
        <f t="shared" si="491"/>
        <v>卡卡杜个人护理店（抖店）</v>
      </c>
      <c r="H1521" s="1" t="str">
        <f t="shared" si="485"/>
        <v>正常订单</v>
      </c>
      <c r="I1521" s="1" t="str">
        <f t="shared" si="486"/>
        <v>已发货</v>
      </c>
      <c r="J1521" s="1" t="str">
        <f t="shared" si="493"/>
        <v>3</v>
      </c>
      <c r="K1521" s="1">
        <v>2</v>
      </c>
      <c r="L1521" s="1" t="s">
        <v>20</v>
      </c>
      <c r="M1521" s="1" t="str">
        <f>"浙江省 金华市 义乌市 义亭镇"</f>
        <v>浙江省 金华市 义乌市 义亭镇</v>
      </c>
      <c r="N1521" s="1" t="str">
        <f t="shared" si="492"/>
        <v>凡华云仓-城南圆通-抖音</v>
      </c>
      <c r="O1521" s="5" t="s">
        <v>1559</v>
      </c>
      <c r="P1521" s="6">
        <v>0.35</v>
      </c>
      <c r="Q1521" s="11">
        <v>2.2999999999999998</v>
      </c>
      <c r="R1521" s="11"/>
      <c r="S1521" s="11"/>
      <c r="T1521" s="11"/>
      <c r="U1521" s="11">
        <f t="shared" si="488"/>
        <v>2.2999999999999998</v>
      </c>
      <c r="W1521">
        <v>2.5</v>
      </c>
      <c r="X1521" s="1" t="s">
        <v>20</v>
      </c>
    </row>
    <row r="1522" spans="1:24" x14ac:dyDescent="0.25">
      <c r="A1522" s="1" t="str">
        <f t="shared" si="483"/>
        <v>卡卡杜-凤凰仓</v>
      </c>
      <c r="B1522" s="1" t="str">
        <f>"CK20241029290"</f>
        <v>CK20241029290</v>
      </c>
      <c r="C1522" s="1" t="str">
        <f>"DD202410299883"</f>
        <v>DD202410299883</v>
      </c>
      <c r="D1522" s="1" t="str">
        <f>"CK2024102915102"</f>
        <v>CK2024102915102</v>
      </c>
      <c r="E1522" s="1" t="str">
        <f>"6935579518017672973"</f>
        <v>6935579518017672973</v>
      </c>
      <c r="F1522" s="1" t="str">
        <f t="shared" si="484"/>
        <v>花都四部-凤凰仓</v>
      </c>
      <c r="G1522" s="1" t="str">
        <f t="shared" si="491"/>
        <v>卡卡杜个人护理店（抖店）</v>
      </c>
      <c r="H1522" s="1" t="str">
        <f t="shared" si="485"/>
        <v>正常订单</v>
      </c>
      <c r="I1522" s="1" t="str">
        <f t="shared" si="486"/>
        <v>已发货</v>
      </c>
      <c r="J1522" s="1" t="str">
        <f t="shared" si="493"/>
        <v>3</v>
      </c>
      <c r="K1522" s="1">
        <v>2</v>
      </c>
      <c r="L1522" s="1" t="s">
        <v>94</v>
      </c>
      <c r="M1522" s="1" t="str">
        <f>"湖南省 长沙市 宁乡市 横市镇"</f>
        <v>湖南省 长沙市 宁乡市 横市镇</v>
      </c>
      <c r="N1522" s="1" t="str">
        <f t="shared" si="492"/>
        <v>凡华云仓-城南圆通-抖音</v>
      </c>
      <c r="O1522" s="5" t="s">
        <v>1560</v>
      </c>
      <c r="P1522" s="6">
        <v>0.35</v>
      </c>
      <c r="Q1522" s="11">
        <v>2.2999999999999998</v>
      </c>
      <c r="R1522" s="11"/>
      <c r="S1522" s="11"/>
      <c r="T1522" s="11"/>
      <c r="U1522" s="11">
        <f t="shared" si="488"/>
        <v>2.2999999999999998</v>
      </c>
      <c r="W1522">
        <v>2.5</v>
      </c>
      <c r="X1522" s="1" t="s">
        <v>94</v>
      </c>
    </row>
    <row r="1523" spans="1:24" x14ac:dyDescent="0.25">
      <c r="A1523" s="1" t="str">
        <f t="shared" si="483"/>
        <v>卡卡杜-凤凰仓</v>
      </c>
      <c r="B1523" s="1" t="str">
        <f>"CK20241029292"</f>
        <v>CK20241029292</v>
      </c>
      <c r="C1523" s="1" t="str">
        <f>"DD202410299886"</f>
        <v>DD202410299886</v>
      </c>
      <c r="D1523" s="1" t="str">
        <f>"CK2024102915101"</f>
        <v>CK2024102915101</v>
      </c>
      <c r="E1523" s="1" t="str">
        <f>"6935593066363623264"</f>
        <v>6935593066363623264</v>
      </c>
      <c r="F1523" s="1" t="str">
        <f t="shared" si="484"/>
        <v>花都四部-凤凰仓</v>
      </c>
      <c r="G1523" s="1" t="str">
        <f t="shared" si="491"/>
        <v>卡卡杜个人护理店（抖店）</v>
      </c>
      <c r="H1523" s="1" t="str">
        <f t="shared" si="485"/>
        <v>正常订单</v>
      </c>
      <c r="I1523" s="1" t="str">
        <f t="shared" si="486"/>
        <v>已发货</v>
      </c>
      <c r="J1523" s="1" t="str">
        <f t="shared" si="493"/>
        <v>3</v>
      </c>
      <c r="K1523" s="1">
        <v>2</v>
      </c>
      <c r="L1523" s="1" t="s">
        <v>13</v>
      </c>
      <c r="M1523" s="1" t="str">
        <f>"江苏省 徐州市 新沂市 北沟街道"</f>
        <v>江苏省 徐州市 新沂市 北沟街道</v>
      </c>
      <c r="N1523" s="1" t="str">
        <f t="shared" si="492"/>
        <v>凡华云仓-城南圆通-抖音</v>
      </c>
      <c r="O1523" s="5" t="s">
        <v>1561</v>
      </c>
      <c r="P1523" s="6">
        <v>0.35</v>
      </c>
      <c r="Q1523" s="11">
        <v>2.2999999999999998</v>
      </c>
      <c r="R1523" s="11"/>
      <c r="S1523" s="11"/>
      <c r="T1523" s="11"/>
      <c r="U1523" s="11">
        <f t="shared" si="488"/>
        <v>2.2999999999999998</v>
      </c>
      <c r="W1523">
        <v>2.5</v>
      </c>
      <c r="X1523" s="1" t="s">
        <v>13</v>
      </c>
    </row>
    <row r="1524" spans="1:24" x14ac:dyDescent="0.25">
      <c r="A1524" s="1" t="str">
        <f t="shared" si="483"/>
        <v>卡卡杜-凤凰仓</v>
      </c>
      <c r="B1524" s="1" t="str">
        <f>"CK20241029293"</f>
        <v>CK20241029293</v>
      </c>
      <c r="C1524" s="1" t="str">
        <f>"DD202410299885"</f>
        <v>DD202410299885</v>
      </c>
      <c r="D1524" s="1" t="str">
        <f>"CK2024102915100"</f>
        <v>CK2024102915100</v>
      </c>
      <c r="E1524" s="1" t="str">
        <f>"6935588621719901600"</f>
        <v>6935588621719901600</v>
      </c>
      <c r="F1524" s="1" t="str">
        <f t="shared" si="484"/>
        <v>花都四部-凤凰仓</v>
      </c>
      <c r="G1524" s="1" t="str">
        <f t="shared" si="491"/>
        <v>卡卡杜个人护理店（抖店）</v>
      </c>
      <c r="H1524" s="1" t="str">
        <f t="shared" si="485"/>
        <v>正常订单</v>
      </c>
      <c r="I1524" s="1" t="str">
        <f t="shared" si="486"/>
        <v>已发货</v>
      </c>
      <c r="J1524" s="1" t="str">
        <f t="shared" si="493"/>
        <v>3</v>
      </c>
      <c r="K1524" s="1">
        <v>2</v>
      </c>
      <c r="L1524" s="1" t="s">
        <v>30</v>
      </c>
      <c r="M1524" s="1" t="str">
        <f>"山东省 临沂市 沂水县 沂城街道"</f>
        <v>山东省 临沂市 沂水县 沂城街道</v>
      </c>
      <c r="N1524" s="1" t="str">
        <f t="shared" si="492"/>
        <v>凡华云仓-城南圆通-抖音</v>
      </c>
      <c r="O1524" s="5" t="s">
        <v>1562</v>
      </c>
      <c r="P1524" s="6">
        <v>0.35</v>
      </c>
      <c r="Q1524" s="11">
        <v>2.2999999999999998</v>
      </c>
      <c r="R1524" s="11"/>
      <c r="S1524" s="11"/>
      <c r="T1524" s="11"/>
      <c r="U1524" s="11">
        <f t="shared" si="488"/>
        <v>2.2999999999999998</v>
      </c>
      <c r="W1524">
        <v>2.5</v>
      </c>
      <c r="X1524" s="1" t="s">
        <v>30</v>
      </c>
    </row>
    <row r="1525" spans="1:24" x14ac:dyDescent="0.25">
      <c r="A1525" s="1" t="str">
        <f t="shared" si="483"/>
        <v>卡卡杜-凤凰仓</v>
      </c>
      <c r="B1525" s="1" t="str">
        <f>"CK20241029307"</f>
        <v>CK20241029307</v>
      </c>
      <c r="C1525" s="1" t="str">
        <f>"DD202410299900"</f>
        <v>DD202410299900</v>
      </c>
      <c r="D1525" s="1" t="str">
        <f>"CK2024102915099"</f>
        <v>CK2024102915099</v>
      </c>
      <c r="E1525" s="1" t="str">
        <f>"6935582014334899322"</f>
        <v>6935582014334899322</v>
      </c>
      <c r="F1525" s="1" t="str">
        <f t="shared" si="484"/>
        <v>花都四部-凤凰仓</v>
      </c>
      <c r="G1525" s="1" t="str">
        <f t="shared" si="491"/>
        <v>卡卡杜个人护理店（抖店）</v>
      </c>
      <c r="H1525" s="1" t="str">
        <f t="shared" si="485"/>
        <v>正常订单</v>
      </c>
      <c r="I1525" s="1" t="str">
        <f t="shared" si="486"/>
        <v>已发货</v>
      </c>
      <c r="J1525" s="1" t="str">
        <f t="shared" si="493"/>
        <v>3</v>
      </c>
      <c r="K1525" s="1">
        <v>2</v>
      </c>
      <c r="L1525" s="1" t="s">
        <v>13</v>
      </c>
      <c r="M1525" s="1" t="str">
        <f>"江苏省 南京市 江宁区 汤山街道"</f>
        <v>江苏省 南京市 江宁区 汤山街道</v>
      </c>
      <c r="N1525" s="1" t="str">
        <f t="shared" si="492"/>
        <v>凡华云仓-城南圆通-抖音</v>
      </c>
      <c r="O1525" s="5" t="s">
        <v>1563</v>
      </c>
      <c r="P1525" s="6">
        <v>0.35</v>
      </c>
      <c r="Q1525" s="11">
        <v>2.2999999999999998</v>
      </c>
      <c r="R1525" s="11"/>
      <c r="S1525" s="11"/>
      <c r="T1525" s="11"/>
      <c r="U1525" s="11">
        <f t="shared" si="488"/>
        <v>2.2999999999999998</v>
      </c>
      <c r="W1525">
        <v>2.5</v>
      </c>
      <c r="X1525" s="1" t="s">
        <v>13</v>
      </c>
    </row>
    <row r="1526" spans="1:24" x14ac:dyDescent="0.25">
      <c r="A1526" s="1" t="str">
        <f t="shared" si="483"/>
        <v>卡卡杜-凤凰仓</v>
      </c>
      <c r="B1526" s="1" t="str">
        <f>"CK20241029324"</f>
        <v>CK20241029324</v>
      </c>
      <c r="C1526" s="1" t="str">
        <f>"DD202410299915"</f>
        <v>DD202410299915</v>
      </c>
      <c r="D1526" s="1" t="str">
        <f>"CK2024102915098"</f>
        <v>CK2024102915098</v>
      </c>
      <c r="E1526" s="1" t="str">
        <f>"6935592979859445198"</f>
        <v>6935592979859445198</v>
      </c>
      <c r="F1526" s="1" t="str">
        <f t="shared" si="484"/>
        <v>花都四部-凤凰仓</v>
      </c>
      <c r="G1526" s="1" t="str">
        <f t="shared" si="491"/>
        <v>卡卡杜个人护理店（抖店）</v>
      </c>
      <c r="H1526" s="1" t="str">
        <f t="shared" si="485"/>
        <v>正常订单</v>
      </c>
      <c r="I1526" s="1" t="str">
        <f t="shared" si="486"/>
        <v>已发货</v>
      </c>
      <c r="J1526" s="1" t="str">
        <f t="shared" si="493"/>
        <v>3</v>
      </c>
      <c r="K1526" s="1">
        <v>2</v>
      </c>
      <c r="L1526" s="1" t="s">
        <v>41</v>
      </c>
      <c r="M1526" s="1" t="str">
        <f>"湖北省 武汉市 新洲区 邾城街道"</f>
        <v>湖北省 武汉市 新洲区 邾城街道</v>
      </c>
      <c r="N1526" s="1" t="str">
        <f t="shared" si="492"/>
        <v>凡华云仓-城南圆通-抖音</v>
      </c>
      <c r="O1526" s="5" t="s">
        <v>1564</v>
      </c>
      <c r="P1526" s="6">
        <v>0.35</v>
      </c>
      <c r="Q1526" s="11">
        <v>2.2999999999999998</v>
      </c>
      <c r="R1526" s="11"/>
      <c r="S1526" s="11"/>
      <c r="T1526" s="11"/>
      <c r="U1526" s="11">
        <f t="shared" si="488"/>
        <v>2.2999999999999998</v>
      </c>
      <c r="W1526">
        <v>2.5</v>
      </c>
      <c r="X1526" s="1" t="s">
        <v>41</v>
      </c>
    </row>
    <row r="1527" spans="1:24" x14ac:dyDescent="0.25">
      <c r="A1527" s="1" t="str">
        <f t="shared" si="483"/>
        <v>卡卡杜-凤凰仓</v>
      </c>
      <c r="B1527" s="1" t="str">
        <f>"CK20241029326"</f>
        <v>CK20241029326</v>
      </c>
      <c r="C1527" s="1" t="str">
        <f>"DD202410299918"</f>
        <v>DD202410299918</v>
      </c>
      <c r="D1527" s="1" t="str">
        <f>"CK2024102915097"</f>
        <v>CK2024102915097</v>
      </c>
      <c r="E1527" s="1" t="str">
        <f>"6935595341596464161"</f>
        <v>6935595341596464161</v>
      </c>
      <c r="F1527" s="1" t="str">
        <f t="shared" si="484"/>
        <v>花都四部-凤凰仓</v>
      </c>
      <c r="G1527" s="1" t="str">
        <f t="shared" si="491"/>
        <v>卡卡杜个人护理店（抖店）</v>
      </c>
      <c r="H1527" s="1" t="str">
        <f t="shared" si="485"/>
        <v>正常订单</v>
      </c>
      <c r="I1527" s="1" t="str">
        <f t="shared" si="486"/>
        <v>已发货</v>
      </c>
      <c r="J1527" s="1" t="str">
        <f t="shared" si="493"/>
        <v>3</v>
      </c>
      <c r="K1527" s="1">
        <v>2</v>
      </c>
      <c r="L1527" s="1" t="s">
        <v>13</v>
      </c>
      <c r="M1527" s="1" t="str">
        <f>"江苏省 无锡市 宜兴市 丁蜀镇"</f>
        <v>江苏省 无锡市 宜兴市 丁蜀镇</v>
      </c>
      <c r="N1527" s="1" t="str">
        <f t="shared" si="492"/>
        <v>凡华云仓-城南圆通-抖音</v>
      </c>
      <c r="O1527" s="5" t="s">
        <v>1565</v>
      </c>
      <c r="P1527" s="6">
        <v>0.35</v>
      </c>
      <c r="Q1527" s="11">
        <v>2.2999999999999998</v>
      </c>
      <c r="R1527" s="11"/>
      <c r="S1527" s="11"/>
      <c r="T1527" s="11"/>
      <c r="U1527" s="11">
        <f t="shared" si="488"/>
        <v>2.2999999999999998</v>
      </c>
      <c r="W1527">
        <v>2.5</v>
      </c>
      <c r="X1527" s="1" t="s">
        <v>13</v>
      </c>
    </row>
    <row r="1528" spans="1:24" x14ac:dyDescent="0.25">
      <c r="A1528" s="1" t="str">
        <f t="shared" si="483"/>
        <v>卡卡杜-凤凰仓</v>
      </c>
      <c r="B1528" s="1" t="str">
        <f>"CK20241029329"</f>
        <v>CK20241029329</v>
      </c>
      <c r="C1528" s="1" t="str">
        <f>"DD202410299921"</f>
        <v>DD202410299921</v>
      </c>
      <c r="D1528" s="1" t="str">
        <f>"CK2024102915096"</f>
        <v>CK2024102915096</v>
      </c>
      <c r="E1528" s="1" t="str">
        <f>"6935581808765703465"</f>
        <v>6935581808765703465</v>
      </c>
      <c r="F1528" s="1" t="str">
        <f t="shared" si="484"/>
        <v>花都四部-凤凰仓</v>
      </c>
      <c r="G1528" s="1" t="str">
        <f t="shared" si="491"/>
        <v>卡卡杜个人护理店（抖店）</v>
      </c>
      <c r="H1528" s="1" t="str">
        <f t="shared" si="485"/>
        <v>正常订单</v>
      </c>
      <c r="I1528" s="1" t="str">
        <f t="shared" si="486"/>
        <v>已发货</v>
      </c>
      <c r="J1528" s="1" t="str">
        <f t="shared" si="493"/>
        <v>3</v>
      </c>
      <c r="K1528" s="1">
        <v>2</v>
      </c>
      <c r="L1528" s="1" t="s">
        <v>41</v>
      </c>
      <c r="M1528" s="1" t="str">
        <f>"湖北省 武汉市 东西湖区 金银湖街道"</f>
        <v>湖北省 武汉市 东西湖区 金银湖街道</v>
      </c>
      <c r="N1528" s="1" t="str">
        <f t="shared" si="492"/>
        <v>凡华云仓-城南圆通-抖音</v>
      </c>
      <c r="O1528" s="5" t="s">
        <v>1566</v>
      </c>
      <c r="P1528" s="6">
        <v>0.35</v>
      </c>
      <c r="Q1528" s="11">
        <v>2.2999999999999998</v>
      </c>
      <c r="R1528" s="11"/>
      <c r="S1528" s="11"/>
      <c r="T1528" s="11"/>
      <c r="U1528" s="11">
        <f t="shared" si="488"/>
        <v>2.2999999999999998</v>
      </c>
      <c r="W1528">
        <v>2.5</v>
      </c>
      <c r="X1528" s="1" t="s">
        <v>41</v>
      </c>
    </row>
    <row r="1529" spans="1:24" x14ac:dyDescent="0.25">
      <c r="A1529" s="1" t="str">
        <f t="shared" si="483"/>
        <v>卡卡杜-凤凰仓</v>
      </c>
      <c r="B1529" s="1" t="str">
        <f>"CK20241029345"</f>
        <v>CK20241029345</v>
      </c>
      <c r="C1529" s="1" t="str">
        <f>"DD202410299937"</f>
        <v>DD202410299937</v>
      </c>
      <c r="D1529" s="1" t="str">
        <f>"CK2024102915095"</f>
        <v>CK2024102915095</v>
      </c>
      <c r="E1529" s="1" t="str">
        <f>"6935579502783501869"</f>
        <v>6935579502783501869</v>
      </c>
      <c r="F1529" s="1" t="str">
        <f t="shared" si="484"/>
        <v>花都四部-凤凰仓</v>
      </c>
      <c r="G1529" s="1" t="str">
        <f t="shared" si="491"/>
        <v>卡卡杜个人护理店（抖店）</v>
      </c>
      <c r="H1529" s="1" t="str">
        <f t="shared" si="485"/>
        <v>正常订单</v>
      </c>
      <c r="I1529" s="1" t="str">
        <f t="shared" si="486"/>
        <v>已发货</v>
      </c>
      <c r="J1529" s="1" t="str">
        <f t="shared" si="493"/>
        <v>3</v>
      </c>
      <c r="K1529" s="1">
        <v>2</v>
      </c>
      <c r="L1529" s="1" t="s">
        <v>13</v>
      </c>
      <c r="M1529" s="1" t="str">
        <f>"江苏省 南京市 浦口区 江浦街道"</f>
        <v>江苏省 南京市 浦口区 江浦街道</v>
      </c>
      <c r="N1529" s="1" t="str">
        <f t="shared" si="492"/>
        <v>凡华云仓-城南圆通-抖音</v>
      </c>
      <c r="O1529" s="5" t="s">
        <v>1567</v>
      </c>
      <c r="P1529" s="6">
        <v>0.35</v>
      </c>
      <c r="Q1529" s="11">
        <v>2.2999999999999998</v>
      </c>
      <c r="R1529" s="11"/>
      <c r="S1529" s="11"/>
      <c r="T1529" s="11"/>
      <c r="U1529" s="11">
        <f t="shared" si="488"/>
        <v>2.2999999999999998</v>
      </c>
      <c r="W1529">
        <v>2.5</v>
      </c>
      <c r="X1529" s="1" t="s">
        <v>13</v>
      </c>
    </row>
    <row r="1530" spans="1:24" x14ac:dyDescent="0.25">
      <c r="A1530" s="1" t="str">
        <f t="shared" si="483"/>
        <v>卡卡杜-凤凰仓</v>
      </c>
      <c r="B1530" s="1" t="str">
        <f>"CK20241029512"</f>
        <v>CK20241029512</v>
      </c>
      <c r="C1530" s="1" t="str">
        <f>"DD2024102911177"</f>
        <v>DD2024102911177</v>
      </c>
      <c r="D1530" s="1" t="str">
        <f>"CK2024102915094"</f>
        <v>CK2024102915094</v>
      </c>
      <c r="E1530" s="1" t="str">
        <f>"6935603937194088386"</f>
        <v>6935603937194088386</v>
      </c>
      <c r="F1530" s="1" t="str">
        <f t="shared" si="484"/>
        <v>花都四部-凤凰仓</v>
      </c>
      <c r="G1530" s="1" t="str">
        <f t="shared" si="491"/>
        <v>卡卡杜个人护理店（抖店）</v>
      </c>
      <c r="H1530" s="1" t="str">
        <f t="shared" si="485"/>
        <v>正常订单</v>
      </c>
      <c r="I1530" s="1" t="str">
        <f t="shared" si="486"/>
        <v>已发货</v>
      </c>
      <c r="J1530" s="1" t="str">
        <f>"5"</f>
        <v>5</v>
      </c>
      <c r="K1530" s="1">
        <v>2</v>
      </c>
      <c r="L1530" s="1" t="s">
        <v>20</v>
      </c>
      <c r="M1530" s="1" t="str">
        <f>"浙江省 台州市 黄岩区 高桥街道"</f>
        <v>浙江省 台州市 黄岩区 高桥街道</v>
      </c>
      <c r="N1530" s="1" t="str">
        <f t="shared" si="492"/>
        <v>凡华云仓-城南圆通-抖音</v>
      </c>
      <c r="O1530" s="5" t="s">
        <v>1568</v>
      </c>
      <c r="P1530" s="6">
        <v>0.59</v>
      </c>
      <c r="Q1530" s="11">
        <f>CEILING(P1530-0.5,0.1)*10*0.15+2.3</f>
        <v>2.4499999999999997</v>
      </c>
      <c r="R1530" s="11"/>
      <c r="S1530" s="11"/>
      <c r="T1530" s="11"/>
      <c r="U1530" s="11">
        <f t="shared" si="488"/>
        <v>2.4499999999999997</v>
      </c>
      <c r="V1530" t="s">
        <v>15</v>
      </c>
      <c r="W1530">
        <v>2.4500000000000002</v>
      </c>
      <c r="X1530" s="1" t="s">
        <v>20</v>
      </c>
    </row>
    <row r="1531" spans="1:24" x14ac:dyDescent="0.25">
      <c r="A1531" s="1" t="str">
        <f t="shared" si="483"/>
        <v>卡卡杜-凤凰仓</v>
      </c>
      <c r="B1531" s="1" t="str">
        <f>"CK20241029348"</f>
        <v>CK20241029348</v>
      </c>
      <c r="C1531" s="1" t="str">
        <f>"DD202410299940"</f>
        <v>DD202410299940</v>
      </c>
      <c r="D1531" s="1" t="str">
        <f>"CK2024102915093"</f>
        <v>CK2024102915093</v>
      </c>
      <c r="E1531" s="1" t="str">
        <f>"6935599502306907936"</f>
        <v>6935599502306907936</v>
      </c>
      <c r="F1531" s="1" t="str">
        <f t="shared" si="484"/>
        <v>花都四部-凤凰仓</v>
      </c>
      <c r="G1531" s="1" t="str">
        <f t="shared" si="491"/>
        <v>卡卡杜个人护理店（抖店）</v>
      </c>
      <c r="H1531" s="1" t="str">
        <f t="shared" si="485"/>
        <v>正常订单</v>
      </c>
      <c r="I1531" s="1" t="str">
        <f t="shared" si="486"/>
        <v>已发货</v>
      </c>
      <c r="J1531" s="1" t="str">
        <f t="shared" ref="J1531:J1537" si="494">"3"</f>
        <v>3</v>
      </c>
      <c r="K1531" s="1">
        <v>2</v>
      </c>
      <c r="L1531" s="1" t="s">
        <v>80</v>
      </c>
      <c r="M1531" s="1" t="str">
        <f>"河南省 济源市 济源市 克井镇"</f>
        <v>河南省 济源市 济源市 克井镇</v>
      </c>
      <c r="N1531" s="1" t="str">
        <f t="shared" si="492"/>
        <v>凡华云仓-城南圆通-抖音</v>
      </c>
      <c r="O1531" s="5" t="s">
        <v>1569</v>
      </c>
      <c r="P1531" s="6">
        <v>0.35</v>
      </c>
      <c r="Q1531" s="11">
        <v>2.2999999999999998</v>
      </c>
      <c r="R1531" s="11"/>
      <c r="S1531" s="11"/>
      <c r="T1531" s="11"/>
      <c r="U1531" s="11">
        <f t="shared" si="488"/>
        <v>2.2999999999999998</v>
      </c>
      <c r="W1531">
        <v>2.5</v>
      </c>
      <c r="X1531" s="1" t="s">
        <v>80</v>
      </c>
    </row>
    <row r="1532" spans="1:24" x14ac:dyDescent="0.25">
      <c r="A1532" s="1" t="str">
        <f t="shared" si="483"/>
        <v>卡卡杜-凤凰仓</v>
      </c>
      <c r="B1532" s="1" t="str">
        <f>"CK20241029349"</f>
        <v>CK20241029349</v>
      </c>
      <c r="C1532" s="1" t="str">
        <f>"DD202410299942"</f>
        <v>DD202410299942</v>
      </c>
      <c r="D1532" s="1" t="str">
        <f>"CK2024102915092"</f>
        <v>CK2024102915092</v>
      </c>
      <c r="E1532" s="1" t="str">
        <f>"6935601361449326317"</f>
        <v>6935601361449326317</v>
      </c>
      <c r="F1532" s="1" t="str">
        <f t="shared" si="484"/>
        <v>花都四部-凤凰仓</v>
      </c>
      <c r="G1532" s="1" t="str">
        <f t="shared" si="491"/>
        <v>卡卡杜个人护理店（抖店）</v>
      </c>
      <c r="H1532" s="1" t="str">
        <f t="shared" si="485"/>
        <v>正常订单</v>
      </c>
      <c r="I1532" s="1" t="str">
        <f t="shared" si="486"/>
        <v>已发货</v>
      </c>
      <c r="J1532" s="1" t="str">
        <f t="shared" si="494"/>
        <v>3</v>
      </c>
      <c r="K1532" s="1">
        <v>2</v>
      </c>
      <c r="L1532" s="1" t="s">
        <v>13</v>
      </c>
      <c r="M1532" s="1" t="str">
        <f>"江苏省 南京市 浦口区 泰山街道"</f>
        <v>江苏省 南京市 浦口区 泰山街道</v>
      </c>
      <c r="N1532" s="1" t="str">
        <f t="shared" si="492"/>
        <v>凡华云仓-城南圆通-抖音</v>
      </c>
      <c r="O1532" s="5" t="s">
        <v>1570</v>
      </c>
      <c r="P1532" s="6">
        <v>0.35</v>
      </c>
      <c r="Q1532" s="11">
        <v>2.2999999999999998</v>
      </c>
      <c r="R1532" s="11"/>
      <c r="S1532" s="11"/>
      <c r="T1532" s="11"/>
      <c r="U1532" s="11">
        <f t="shared" si="488"/>
        <v>2.2999999999999998</v>
      </c>
      <c r="W1532">
        <v>2.5</v>
      </c>
      <c r="X1532" s="1" t="s">
        <v>13</v>
      </c>
    </row>
    <row r="1533" spans="1:24" x14ac:dyDescent="0.25">
      <c r="A1533" s="1" t="str">
        <f t="shared" si="483"/>
        <v>卡卡杜-凤凰仓</v>
      </c>
      <c r="B1533" s="1" t="str">
        <f>"CK20241029162"</f>
        <v>CK20241029162</v>
      </c>
      <c r="C1533" s="1" t="str">
        <f>"DD202410299693"</f>
        <v>DD202410299693</v>
      </c>
      <c r="D1533" s="1" t="str">
        <f>"CK2024102915091"</f>
        <v>CK2024102915091</v>
      </c>
      <c r="E1533" s="1" t="str">
        <f>"6935601363208902186"</f>
        <v>6935601363208902186</v>
      </c>
      <c r="F1533" s="1" t="str">
        <f t="shared" si="484"/>
        <v>花都四部-凤凰仓</v>
      </c>
      <c r="G1533" s="1" t="str">
        <f t="shared" si="491"/>
        <v>卡卡杜个人护理店（抖店）</v>
      </c>
      <c r="H1533" s="1" t="str">
        <f t="shared" si="485"/>
        <v>正常订单</v>
      </c>
      <c r="I1533" s="1" t="str">
        <f t="shared" si="486"/>
        <v>已发货</v>
      </c>
      <c r="J1533" s="1" t="str">
        <f>"5"</f>
        <v>5</v>
      </c>
      <c r="K1533" s="1">
        <v>2</v>
      </c>
      <c r="L1533" s="1" t="s">
        <v>13</v>
      </c>
      <c r="M1533" s="1" t="str">
        <f>"江苏省 无锡市 新吴区 鸿山街道"</f>
        <v>江苏省 无锡市 新吴区 鸿山街道</v>
      </c>
      <c r="N1533" s="1" t="str">
        <f t="shared" si="492"/>
        <v>凡华云仓-城南圆通-抖音</v>
      </c>
      <c r="O1533" s="5" t="s">
        <v>1571</v>
      </c>
      <c r="P1533" s="6">
        <v>0.59</v>
      </c>
      <c r="Q1533" s="11">
        <f>CEILING(P1533-0.5,0.1)*10*0.15+2.3</f>
        <v>2.4499999999999997</v>
      </c>
      <c r="R1533" s="11"/>
      <c r="S1533" s="11"/>
      <c r="T1533" s="11"/>
      <c r="U1533" s="11">
        <f t="shared" si="488"/>
        <v>2.4499999999999997</v>
      </c>
      <c r="V1533" t="s">
        <v>15</v>
      </c>
      <c r="W1533">
        <v>2.4500000000000002</v>
      </c>
      <c r="X1533" s="1" t="s">
        <v>13</v>
      </c>
    </row>
    <row r="1534" spans="1:24" x14ac:dyDescent="0.25">
      <c r="A1534" s="1" t="str">
        <f t="shared" si="483"/>
        <v>卡卡杜-凤凰仓</v>
      </c>
      <c r="B1534" s="1" t="str">
        <f>"CK20241029351"</f>
        <v>CK20241029351</v>
      </c>
      <c r="C1534" s="1" t="str">
        <f>"DD202410299943"</f>
        <v>DD202410299943</v>
      </c>
      <c r="D1534" s="1" t="str">
        <f>"CK2024102915090"</f>
        <v>CK2024102915090</v>
      </c>
      <c r="E1534" s="1" t="str">
        <f>"6935581627914720372"</f>
        <v>6935581627914720372</v>
      </c>
      <c r="F1534" s="1" t="str">
        <f t="shared" si="484"/>
        <v>花都四部-凤凰仓</v>
      </c>
      <c r="G1534" s="1" t="str">
        <f t="shared" si="491"/>
        <v>卡卡杜个人护理店（抖店）</v>
      </c>
      <c r="H1534" s="1" t="str">
        <f t="shared" si="485"/>
        <v>正常订单</v>
      </c>
      <c r="I1534" s="1" t="str">
        <f t="shared" si="486"/>
        <v>已发货</v>
      </c>
      <c r="J1534" s="1" t="str">
        <f t="shared" si="494"/>
        <v>3</v>
      </c>
      <c r="K1534" s="1">
        <v>2</v>
      </c>
      <c r="L1534" s="1" t="s">
        <v>24</v>
      </c>
      <c r="M1534" s="1" t="str">
        <f>"福建省 龙岩市 长汀县 汀州镇"</f>
        <v>福建省 龙岩市 长汀县 汀州镇</v>
      </c>
      <c r="N1534" s="1" t="str">
        <f t="shared" si="492"/>
        <v>凡华云仓-城南圆通-抖音</v>
      </c>
      <c r="O1534" s="5" t="s">
        <v>1572</v>
      </c>
      <c r="P1534" s="6">
        <v>0.35</v>
      </c>
      <c r="Q1534" s="11">
        <v>2.2999999999999998</v>
      </c>
      <c r="R1534" s="11"/>
      <c r="S1534" s="11"/>
      <c r="T1534" s="11"/>
      <c r="U1534" s="11">
        <f t="shared" si="488"/>
        <v>2.2999999999999998</v>
      </c>
      <c r="W1534">
        <v>2.5</v>
      </c>
      <c r="X1534" s="1" t="s">
        <v>24</v>
      </c>
    </row>
    <row r="1535" spans="1:24" x14ac:dyDescent="0.25">
      <c r="A1535" s="1" t="str">
        <f t="shared" si="483"/>
        <v>卡卡杜-凤凰仓</v>
      </c>
      <c r="B1535" s="1" t="str">
        <f>"CK20241029354"</f>
        <v>CK20241029354</v>
      </c>
      <c r="C1535" s="1" t="str">
        <f>"DD202410299947"</f>
        <v>DD202410299947</v>
      </c>
      <c r="D1535" s="1" t="str">
        <f>"CK2024102915089"</f>
        <v>CK2024102915089</v>
      </c>
      <c r="E1535" s="1" t="str">
        <f>"6935576937112015933"</f>
        <v>6935576937112015933</v>
      </c>
      <c r="F1535" s="1" t="str">
        <f t="shared" si="484"/>
        <v>花都四部-凤凰仓</v>
      </c>
      <c r="G1535" s="1" t="str">
        <f t="shared" si="491"/>
        <v>卡卡杜个人护理店（抖店）</v>
      </c>
      <c r="H1535" s="1" t="str">
        <f t="shared" si="485"/>
        <v>正常订单</v>
      </c>
      <c r="I1535" s="1" t="str">
        <f t="shared" si="486"/>
        <v>已发货</v>
      </c>
      <c r="J1535" s="1" t="str">
        <f t="shared" si="494"/>
        <v>3</v>
      </c>
      <c r="K1535" s="1">
        <v>2</v>
      </c>
      <c r="L1535" s="1" t="s">
        <v>20</v>
      </c>
      <c r="M1535" s="1" t="str">
        <f>"浙江省 衢州市 龙游县 "</f>
        <v xml:space="preserve">浙江省 衢州市 龙游县 </v>
      </c>
      <c r="N1535" s="1" t="str">
        <f t="shared" si="492"/>
        <v>凡华云仓-城南圆通-抖音</v>
      </c>
      <c r="O1535" s="5" t="s">
        <v>1573</v>
      </c>
      <c r="P1535" s="6">
        <v>0.35</v>
      </c>
      <c r="Q1535" s="11">
        <v>2.2999999999999998</v>
      </c>
      <c r="R1535" s="11"/>
      <c r="S1535" s="11"/>
      <c r="T1535" s="11"/>
      <c r="U1535" s="11">
        <f t="shared" si="488"/>
        <v>2.2999999999999998</v>
      </c>
      <c r="W1535">
        <v>2.5</v>
      </c>
      <c r="X1535" s="1" t="s">
        <v>20</v>
      </c>
    </row>
    <row r="1536" spans="1:24" x14ac:dyDescent="0.25">
      <c r="A1536" s="1" t="str">
        <f t="shared" si="483"/>
        <v>卡卡杜-凤凰仓</v>
      </c>
      <c r="B1536" s="1" t="str">
        <f>"CK20241029357"</f>
        <v>CK20241029357</v>
      </c>
      <c r="C1536" s="1" t="str">
        <f>"DD202410299949"</f>
        <v>DD202410299949</v>
      </c>
      <c r="D1536" s="1" t="str">
        <f>"CK2024102915088"</f>
        <v>CK2024102915088</v>
      </c>
      <c r="E1536" s="1" t="str">
        <f>"6935599188457691061"</f>
        <v>6935599188457691061</v>
      </c>
      <c r="F1536" s="1" t="str">
        <f t="shared" si="484"/>
        <v>花都四部-凤凰仓</v>
      </c>
      <c r="G1536" s="1" t="str">
        <f t="shared" si="491"/>
        <v>卡卡杜个人护理店（抖店）</v>
      </c>
      <c r="H1536" s="1" t="str">
        <f t="shared" si="485"/>
        <v>正常订单</v>
      </c>
      <c r="I1536" s="1" t="str">
        <f t="shared" si="486"/>
        <v>已发货</v>
      </c>
      <c r="J1536" s="1" t="str">
        <f t="shared" si="494"/>
        <v>3</v>
      </c>
      <c r="K1536" s="1">
        <v>2</v>
      </c>
      <c r="L1536" s="1" t="s">
        <v>36</v>
      </c>
      <c r="M1536" s="1" t="str">
        <f>"安徽省 合肥市 包河区 烟墩街道"</f>
        <v>安徽省 合肥市 包河区 烟墩街道</v>
      </c>
      <c r="N1536" s="1" t="str">
        <f t="shared" si="492"/>
        <v>凡华云仓-城南圆通-抖音</v>
      </c>
      <c r="O1536" s="5" t="s">
        <v>1574</v>
      </c>
      <c r="P1536" s="6">
        <v>0.35</v>
      </c>
      <c r="Q1536" s="11">
        <v>2.2999999999999998</v>
      </c>
      <c r="R1536" s="11"/>
      <c r="S1536" s="11"/>
      <c r="T1536" s="11"/>
      <c r="U1536" s="11">
        <f t="shared" si="488"/>
        <v>2.2999999999999998</v>
      </c>
      <c r="W1536">
        <v>2.5</v>
      </c>
      <c r="X1536" s="1" t="s">
        <v>36</v>
      </c>
    </row>
    <row r="1537" spans="1:24" x14ac:dyDescent="0.25">
      <c r="A1537" s="1" t="str">
        <f t="shared" si="483"/>
        <v>卡卡杜-凤凰仓</v>
      </c>
      <c r="B1537" s="1" t="str">
        <f>"CK20241029358"</f>
        <v>CK20241029358</v>
      </c>
      <c r="C1537" s="1" t="str">
        <f>"DD202410299950"</f>
        <v>DD202410299950</v>
      </c>
      <c r="D1537" s="1" t="str">
        <f>"CK2024102915087"</f>
        <v>CK2024102915087</v>
      </c>
      <c r="E1537" s="1" t="str">
        <f>"6935579096704554146"</f>
        <v>6935579096704554146</v>
      </c>
      <c r="F1537" s="1" t="str">
        <f t="shared" si="484"/>
        <v>花都四部-凤凰仓</v>
      </c>
      <c r="G1537" s="1" t="str">
        <f t="shared" si="491"/>
        <v>卡卡杜个人护理店（抖店）</v>
      </c>
      <c r="H1537" s="1" t="str">
        <f t="shared" si="485"/>
        <v>正常订单</v>
      </c>
      <c r="I1537" s="1" t="str">
        <f t="shared" si="486"/>
        <v>已发货</v>
      </c>
      <c r="J1537" s="1" t="str">
        <f t="shared" si="494"/>
        <v>3</v>
      </c>
      <c r="K1537" s="1">
        <v>3</v>
      </c>
      <c r="L1537" s="1" t="s">
        <v>20</v>
      </c>
      <c r="M1537" s="1" t="str">
        <f>"浙江省 杭州市 西湖区 古荡街道"</f>
        <v>浙江省 杭州市 西湖区 古荡街道</v>
      </c>
      <c r="N1537" s="1" t="str">
        <f t="shared" si="492"/>
        <v>凡华云仓-城南圆通-抖音</v>
      </c>
      <c r="O1537" s="5" t="s">
        <v>1575</v>
      </c>
      <c r="P1537" s="6">
        <v>0.34</v>
      </c>
      <c r="Q1537" s="11">
        <v>2.2999999999999998</v>
      </c>
      <c r="R1537" s="11"/>
      <c r="S1537" s="11"/>
      <c r="T1537" s="11"/>
      <c r="U1537" s="11">
        <f t="shared" si="488"/>
        <v>2.2999999999999998</v>
      </c>
      <c r="W1537">
        <v>2.5</v>
      </c>
      <c r="X1537" s="1" t="s">
        <v>20</v>
      </c>
    </row>
    <row r="1538" spans="1:24" x14ac:dyDescent="0.25">
      <c r="A1538" s="1" t="str">
        <f t="shared" ref="A1538:A1601" si="495">"卡卡杜-凤凰仓"</f>
        <v>卡卡杜-凤凰仓</v>
      </c>
      <c r="B1538" s="1" t="str">
        <f>"CK20241029365"</f>
        <v>CK20241029365</v>
      </c>
      <c r="C1538" s="1" t="str">
        <f>"DD2024102910061"</f>
        <v>DD2024102910061</v>
      </c>
      <c r="D1538" s="1" t="str">
        <f>"CK2024102915086"</f>
        <v>CK2024102915086</v>
      </c>
      <c r="E1538" s="1" t="str">
        <f>"6935578972525565670"</f>
        <v>6935578972525565670</v>
      </c>
      <c r="F1538" s="1" t="str">
        <f t="shared" ref="F1538:F1601" si="496">"花都四部-凤凰仓"</f>
        <v>花都四部-凤凰仓</v>
      </c>
      <c r="G1538" s="1" t="str">
        <f t="shared" si="491"/>
        <v>卡卡杜个人护理店（抖店）</v>
      </c>
      <c r="H1538" s="1" t="str">
        <f t="shared" ref="H1538:H1601" si="497">"正常订单"</f>
        <v>正常订单</v>
      </c>
      <c r="I1538" s="1" t="str">
        <f t="shared" ref="I1538:I1601" si="498">"已发货"</f>
        <v>已发货</v>
      </c>
      <c r="J1538" s="1" t="str">
        <f>"8"</f>
        <v>8</v>
      </c>
      <c r="K1538" s="1">
        <v>1</v>
      </c>
      <c r="L1538" s="1" t="s">
        <v>60</v>
      </c>
      <c r="M1538" s="1" t="str">
        <f>"云南省 昆明市 嵩明县 嵩阳街道"</f>
        <v>云南省 昆明市 嵩明县 嵩阳街道</v>
      </c>
      <c r="N1538" s="1" t="str">
        <f t="shared" si="492"/>
        <v>凡华云仓-城南圆通-抖音</v>
      </c>
      <c r="O1538" s="5" t="s">
        <v>1576</v>
      </c>
      <c r="P1538" s="6">
        <v>1.1200000000000001</v>
      </c>
      <c r="Q1538" s="11">
        <f>CEILING(P1538-0.5,0.1)*10*0.15+2.3</f>
        <v>3.3499999999999996</v>
      </c>
      <c r="R1538" s="11"/>
      <c r="S1538" s="11"/>
      <c r="T1538" s="11"/>
      <c r="U1538" s="11">
        <f t="shared" si="488"/>
        <v>3.3499999999999996</v>
      </c>
      <c r="V1538" t="s">
        <v>15</v>
      </c>
      <c r="W1538">
        <v>3.35</v>
      </c>
      <c r="X1538" s="1" t="s">
        <v>60</v>
      </c>
    </row>
    <row r="1539" spans="1:24" x14ac:dyDescent="0.25">
      <c r="A1539" s="1" t="str">
        <f t="shared" si="495"/>
        <v>卡卡杜-凤凰仓</v>
      </c>
      <c r="B1539" s="1" t="str">
        <f>"CK20241029360"</f>
        <v>CK20241029360</v>
      </c>
      <c r="C1539" s="1" t="str">
        <f>"DD202410299952"</f>
        <v>DD202410299952</v>
      </c>
      <c r="D1539" s="1" t="str">
        <f>"CK2024102915085"</f>
        <v>CK2024102915085</v>
      </c>
      <c r="E1539" s="1" t="str">
        <f>"6935574509027660959"</f>
        <v>6935574509027660959</v>
      </c>
      <c r="F1539" s="1" t="str">
        <f t="shared" si="496"/>
        <v>花都四部-凤凰仓</v>
      </c>
      <c r="G1539" s="1" t="str">
        <f t="shared" si="491"/>
        <v>卡卡杜个人护理店（抖店）</v>
      </c>
      <c r="H1539" s="1" t="str">
        <f t="shared" si="497"/>
        <v>正常订单</v>
      </c>
      <c r="I1539" s="1" t="str">
        <f t="shared" si="498"/>
        <v>已发货</v>
      </c>
      <c r="J1539" s="1" t="str">
        <f t="shared" ref="J1539:J1543" si="499">"3"</f>
        <v>3</v>
      </c>
      <c r="K1539" s="1">
        <v>2</v>
      </c>
      <c r="L1539" s="1" t="s">
        <v>96</v>
      </c>
      <c r="M1539" s="1" t="str">
        <f>"广西壮族自治区 贵港市 港北区 港城街道"</f>
        <v>广西壮族自治区 贵港市 港北区 港城街道</v>
      </c>
      <c r="N1539" s="1" t="str">
        <f t="shared" si="492"/>
        <v>凡华云仓-城南圆通-抖音</v>
      </c>
      <c r="O1539" s="5" t="s">
        <v>1577</v>
      </c>
      <c r="P1539" s="6">
        <v>0.35</v>
      </c>
      <c r="Q1539" s="11">
        <v>2.2999999999999998</v>
      </c>
      <c r="R1539" s="11"/>
      <c r="S1539" s="11"/>
      <c r="T1539" s="11"/>
      <c r="U1539" s="11">
        <f t="shared" ref="U1539:U1602" si="500">T1539+S1539+R1539+Q1539</f>
        <v>2.2999999999999998</v>
      </c>
      <c r="W1539">
        <v>2.5</v>
      </c>
      <c r="X1539" s="1" t="s">
        <v>96</v>
      </c>
    </row>
    <row r="1540" spans="1:24" x14ac:dyDescent="0.25">
      <c r="A1540" s="1" t="str">
        <f t="shared" si="495"/>
        <v>卡卡杜-凤凰仓</v>
      </c>
      <c r="B1540" s="1" t="str">
        <f>"CK20241029361"</f>
        <v>CK20241029361</v>
      </c>
      <c r="C1540" s="1" t="str">
        <f>"DD202410299953"</f>
        <v>DD202410299953</v>
      </c>
      <c r="D1540" s="1" t="str">
        <f>"CK2024102915084"</f>
        <v>CK2024102915084</v>
      </c>
      <c r="E1540" s="1" t="str">
        <f>"6935594850525189469"</f>
        <v>6935594850525189469</v>
      </c>
      <c r="F1540" s="1" t="str">
        <f t="shared" si="496"/>
        <v>花都四部-凤凰仓</v>
      </c>
      <c r="G1540" s="1" t="str">
        <f t="shared" si="491"/>
        <v>卡卡杜个人护理店（抖店）</v>
      </c>
      <c r="H1540" s="1" t="str">
        <f t="shared" si="497"/>
        <v>正常订单</v>
      </c>
      <c r="I1540" s="1" t="str">
        <f t="shared" si="498"/>
        <v>已发货</v>
      </c>
      <c r="J1540" s="1" t="str">
        <f t="shared" si="499"/>
        <v>3</v>
      </c>
      <c r="K1540" s="1">
        <v>2</v>
      </c>
      <c r="L1540" s="1" t="s">
        <v>80</v>
      </c>
      <c r="M1540" s="1" t="str">
        <f>"河南省 郑州市 登封市 少林街道"</f>
        <v>河南省 郑州市 登封市 少林街道</v>
      </c>
      <c r="N1540" s="1" t="str">
        <f t="shared" si="492"/>
        <v>凡华云仓-城南圆通-抖音</v>
      </c>
      <c r="O1540" s="5" t="s">
        <v>1578</v>
      </c>
      <c r="P1540" s="6">
        <v>0.35</v>
      </c>
      <c r="Q1540" s="11">
        <v>2.2999999999999998</v>
      </c>
      <c r="R1540" s="11"/>
      <c r="S1540" s="11"/>
      <c r="T1540" s="11"/>
      <c r="U1540" s="11">
        <f t="shared" si="500"/>
        <v>2.2999999999999998</v>
      </c>
      <c r="W1540">
        <v>2.5</v>
      </c>
      <c r="X1540" s="1" t="s">
        <v>80</v>
      </c>
    </row>
    <row r="1541" spans="1:24" x14ac:dyDescent="0.25">
      <c r="A1541" s="1" t="str">
        <f t="shared" si="495"/>
        <v>卡卡杜-凤凰仓</v>
      </c>
      <c r="B1541" s="1" t="str">
        <f>"CK2024102813234"</f>
        <v>CK2024102813234</v>
      </c>
      <c r="C1541" s="1" t="str">
        <f>"DD20241028100144"</f>
        <v>DD20241028100144</v>
      </c>
      <c r="D1541" s="1" t="str">
        <f>"CK2024102889269"</f>
        <v>CK2024102889269</v>
      </c>
      <c r="E1541" s="1" t="str">
        <f>"KKD20241028YP007"</f>
        <v>KKD20241028YP007</v>
      </c>
      <c r="F1541" s="1" t="str">
        <f t="shared" si="496"/>
        <v>花都四部-凤凰仓</v>
      </c>
      <c r="G1541" s="1" t="str">
        <f>"卡卡杜全欣样品"</f>
        <v>卡卡杜全欣样品</v>
      </c>
      <c r="H1541" s="1" t="str">
        <f t="shared" si="497"/>
        <v>正常订单</v>
      </c>
      <c r="I1541" s="1" t="str">
        <f t="shared" si="498"/>
        <v>已发货</v>
      </c>
      <c r="J1541" s="1" t="str">
        <f>"22"</f>
        <v>22</v>
      </c>
      <c r="K1541" s="1">
        <v>14</v>
      </c>
      <c r="L1541" s="1" t="s">
        <v>24</v>
      </c>
      <c r="M1541" s="1" t="str">
        <f>"福建省 厦门市 集美区 "</f>
        <v xml:space="preserve">福建省 厦门市 集美区 </v>
      </c>
      <c r="N1541" s="1" t="str">
        <f>"凡华云仓-城南圆通-淘宝"</f>
        <v>凡华云仓-城南圆通-淘宝</v>
      </c>
      <c r="O1541" s="3" t="s">
        <v>1579</v>
      </c>
      <c r="P1541" s="6">
        <v>3.05</v>
      </c>
      <c r="Q1541" s="11">
        <f>ROUNDUP(P1541,0)*VLOOKUP(L:L,'[1]3KG报价'!A:C,3,0)+VLOOKUP(L:L,'[1]3KG报价'!A:B,2,0)+0.8</f>
        <v>12.3</v>
      </c>
      <c r="R1541" s="11">
        <f>(K1541-3)*0.1</f>
        <v>1.1000000000000001</v>
      </c>
      <c r="S1541" s="11">
        <v>0.15</v>
      </c>
      <c r="T1541" s="11"/>
      <c r="U1541" s="11">
        <f t="shared" si="500"/>
        <v>13.55</v>
      </c>
      <c r="V1541" t="s">
        <v>1212</v>
      </c>
      <c r="W1541">
        <v>13.55</v>
      </c>
      <c r="X1541" s="1" t="s">
        <v>24</v>
      </c>
    </row>
    <row r="1542" spans="1:24" x14ac:dyDescent="0.25">
      <c r="A1542" s="1" t="str">
        <f t="shared" si="495"/>
        <v>卡卡杜-凤凰仓</v>
      </c>
      <c r="B1542" s="1" t="str">
        <f>"CK2024102813229"</f>
        <v>CK2024102813229</v>
      </c>
      <c r="C1542" s="1" t="str">
        <f>"DD2024102899746"</f>
        <v>DD2024102899746</v>
      </c>
      <c r="D1542" s="1" t="str">
        <f>"CK2024102889267"</f>
        <v>CK2024102889267</v>
      </c>
      <c r="E1542" s="1" t="str">
        <f>"2430202406184038"</f>
        <v>2430202406184038</v>
      </c>
      <c r="F1542" s="1" t="str">
        <f t="shared" si="496"/>
        <v>花都四部-凤凰仓</v>
      </c>
      <c r="G1542" s="1" t="str">
        <f>"卡卡杜佳旺专卖店（快手店）"</f>
        <v>卡卡杜佳旺专卖店（快手店）</v>
      </c>
      <c r="H1542" s="1" t="str">
        <f t="shared" si="497"/>
        <v>正常订单</v>
      </c>
      <c r="I1542" s="1" t="str">
        <f t="shared" si="498"/>
        <v>已发货</v>
      </c>
      <c r="J1542" s="1" t="str">
        <f t="shared" si="499"/>
        <v>3</v>
      </c>
      <c r="K1542" s="1">
        <v>3</v>
      </c>
      <c r="L1542" s="1" t="s">
        <v>710</v>
      </c>
      <c r="M1542" s="1" t="str">
        <f>"上海市 上海市 杨浦区 控江路街道"</f>
        <v>上海市 上海市 杨浦区 控江路街道</v>
      </c>
      <c r="N1542" s="1" t="str">
        <f>"凡华云仓-城南圆通-快手"</f>
        <v>凡华云仓-城南圆通-快手</v>
      </c>
      <c r="O1542" s="5" t="s">
        <v>1580</v>
      </c>
      <c r="P1542" s="6">
        <v>0.34</v>
      </c>
      <c r="Q1542" s="11">
        <v>2.2999999999999998</v>
      </c>
      <c r="R1542" s="11"/>
      <c r="S1542" s="11"/>
      <c r="T1542" s="11"/>
      <c r="U1542" s="11">
        <f t="shared" si="500"/>
        <v>2.2999999999999998</v>
      </c>
      <c r="W1542">
        <v>2.5</v>
      </c>
      <c r="X1542" s="1" t="s">
        <v>710</v>
      </c>
    </row>
    <row r="1543" spans="1:24" x14ac:dyDescent="0.25">
      <c r="A1543" s="1" t="str">
        <f t="shared" si="495"/>
        <v>卡卡杜-凤凰仓</v>
      </c>
      <c r="B1543" s="1" t="str">
        <f>"CK2024102813231"</f>
        <v>CK2024102813231</v>
      </c>
      <c r="C1543" s="1" t="str">
        <f>"DD2024102899748"</f>
        <v>DD2024102899748</v>
      </c>
      <c r="D1543" s="1" t="str">
        <f>"CK2024102889266"</f>
        <v>CK2024102889266</v>
      </c>
      <c r="E1543" s="1" t="str">
        <f>"2430201770083084"</f>
        <v>2430201770083084</v>
      </c>
      <c r="F1543" s="1" t="str">
        <f t="shared" si="496"/>
        <v>花都四部-凤凰仓</v>
      </c>
      <c r="G1543" s="1" t="str">
        <f>"卡卡杜佳旺专卖店（快手店）"</f>
        <v>卡卡杜佳旺专卖店（快手店）</v>
      </c>
      <c r="H1543" s="1" t="str">
        <f t="shared" si="497"/>
        <v>正常订单</v>
      </c>
      <c r="I1543" s="1" t="str">
        <f t="shared" si="498"/>
        <v>已发货</v>
      </c>
      <c r="J1543" s="1" t="str">
        <f t="shared" si="499"/>
        <v>3</v>
      </c>
      <c r="K1543" s="1">
        <v>2</v>
      </c>
      <c r="L1543" s="1" t="s">
        <v>24</v>
      </c>
      <c r="M1543" s="1" t="str">
        <f>"福建省 厦门市 湖里区 湖里街道"</f>
        <v>福建省 厦门市 湖里区 湖里街道</v>
      </c>
      <c r="N1543" s="1" t="str">
        <f>"凡华云仓-城南圆通-快手"</f>
        <v>凡华云仓-城南圆通-快手</v>
      </c>
      <c r="O1543" s="5" t="s">
        <v>1581</v>
      </c>
      <c r="P1543" s="6">
        <v>0.35</v>
      </c>
      <c r="Q1543" s="11">
        <v>2.2999999999999998</v>
      </c>
      <c r="R1543" s="11"/>
      <c r="S1543" s="11"/>
      <c r="T1543" s="11"/>
      <c r="U1543" s="11">
        <f t="shared" si="500"/>
        <v>2.2999999999999998</v>
      </c>
      <c r="W1543">
        <v>2.5</v>
      </c>
      <c r="X1543" s="1" t="s">
        <v>24</v>
      </c>
    </row>
    <row r="1544" spans="1:24" x14ac:dyDescent="0.25">
      <c r="A1544" s="1" t="str">
        <f t="shared" si="495"/>
        <v>卡卡杜-凤凰仓</v>
      </c>
      <c r="B1544" s="1" t="str">
        <f>"CK2024102813230"</f>
        <v>CK2024102813230</v>
      </c>
      <c r="C1544" s="1" t="str">
        <f>"DD2024102899747"</f>
        <v>DD2024102899747</v>
      </c>
      <c r="D1544" s="1" t="str">
        <f>"CK2024102889265"</f>
        <v>CK2024102889265</v>
      </c>
      <c r="E1544" s="1" t="str">
        <f>"6935576703414768716"</f>
        <v>6935576703414768716</v>
      </c>
      <c r="F1544" s="1" t="str">
        <f t="shared" si="496"/>
        <v>花都四部-凤凰仓</v>
      </c>
      <c r="G1544" s="1" t="str">
        <f>"卡卡杜个人护理店（抖店）"</f>
        <v>卡卡杜个人护理店（抖店）</v>
      </c>
      <c r="H1544" s="1" t="str">
        <f t="shared" si="497"/>
        <v>正常订单</v>
      </c>
      <c r="I1544" s="1" t="str">
        <f t="shared" si="498"/>
        <v>已发货</v>
      </c>
      <c r="J1544" s="1" t="str">
        <f>"5"</f>
        <v>5</v>
      </c>
      <c r="K1544" s="1">
        <v>2</v>
      </c>
      <c r="L1544" s="1" t="s">
        <v>30</v>
      </c>
      <c r="M1544" s="1" t="str">
        <f>"山东省 枣庄市 滕州市 "</f>
        <v xml:space="preserve">山东省 枣庄市 滕州市 </v>
      </c>
      <c r="N1544" s="1" t="str">
        <f>"凡华云仓-城南圆通-抖音"</f>
        <v>凡华云仓-城南圆通-抖音</v>
      </c>
      <c r="O1544" s="5" t="s">
        <v>1582</v>
      </c>
      <c r="P1544" s="6">
        <v>0.59</v>
      </c>
      <c r="Q1544" s="11">
        <f t="shared" ref="Q1544:Q1552" si="501">CEILING(P1544-0.5,0.1)*10*0.15+2.3</f>
        <v>2.4499999999999997</v>
      </c>
      <c r="R1544" s="11"/>
      <c r="S1544" s="11"/>
      <c r="T1544" s="11"/>
      <c r="U1544" s="11">
        <f t="shared" si="500"/>
        <v>2.4499999999999997</v>
      </c>
      <c r="V1544" t="s">
        <v>15</v>
      </c>
      <c r="W1544">
        <v>2.4500000000000002</v>
      </c>
      <c r="X1544" s="1" t="s">
        <v>30</v>
      </c>
    </row>
    <row r="1545" spans="1:24" x14ac:dyDescent="0.25">
      <c r="A1545" s="1" t="str">
        <f t="shared" si="495"/>
        <v>卡卡杜-凤凰仓</v>
      </c>
      <c r="B1545" s="1" t="str">
        <f>"CK2024102813232"</f>
        <v>CK2024102813232</v>
      </c>
      <c r="C1545" s="1" t="str">
        <f>"DD2024102899749"</f>
        <v>DD2024102899749</v>
      </c>
      <c r="D1545" s="1" t="str">
        <f>"CK2024102889264"</f>
        <v>CK2024102889264</v>
      </c>
      <c r="E1545" s="1" t="str">
        <f>"6935583664393622695"</f>
        <v>6935583664393622695</v>
      </c>
      <c r="F1545" s="1" t="str">
        <f t="shared" si="496"/>
        <v>花都四部-凤凰仓</v>
      </c>
      <c r="G1545" s="1" t="str">
        <f>"卡卡杜个人护理店（抖店）"</f>
        <v>卡卡杜个人护理店（抖店）</v>
      </c>
      <c r="H1545" s="1" t="str">
        <f t="shared" si="497"/>
        <v>正常订单</v>
      </c>
      <c r="I1545" s="1" t="str">
        <f t="shared" si="498"/>
        <v>已发货</v>
      </c>
      <c r="J1545" s="1" t="str">
        <f>"3"</f>
        <v>3</v>
      </c>
      <c r="K1545" s="1">
        <v>2</v>
      </c>
      <c r="L1545" s="1" t="s">
        <v>109</v>
      </c>
      <c r="M1545" s="1" t="str">
        <f>"山西省 太原市 小店区 小店街道"</f>
        <v>山西省 太原市 小店区 小店街道</v>
      </c>
      <c r="N1545" s="1" t="str">
        <f>"凡华云仓-城南圆通-抖音"</f>
        <v>凡华云仓-城南圆通-抖音</v>
      </c>
      <c r="O1545" s="5" t="s">
        <v>1583</v>
      </c>
      <c r="P1545" s="6">
        <v>0.35</v>
      </c>
      <c r="Q1545" s="11">
        <v>2.2999999999999998</v>
      </c>
      <c r="R1545" s="11"/>
      <c r="S1545" s="11"/>
      <c r="T1545" s="11"/>
      <c r="U1545" s="11">
        <f t="shared" si="500"/>
        <v>2.2999999999999998</v>
      </c>
      <c r="W1545">
        <v>2.5</v>
      </c>
      <c r="X1545" s="1" t="s">
        <v>109</v>
      </c>
    </row>
    <row r="1546" spans="1:24" x14ac:dyDescent="0.25">
      <c r="A1546" s="1" t="str">
        <f t="shared" si="495"/>
        <v>卡卡杜-凤凰仓</v>
      </c>
      <c r="B1546" s="1" t="str">
        <f>"CK2024102813032"</f>
        <v>CK2024102813032</v>
      </c>
      <c r="C1546" s="1" t="str">
        <f>"DD2024102893735"</f>
        <v>DD2024102893735</v>
      </c>
      <c r="D1546" s="1" t="str">
        <f>"CK2024102882871"</f>
        <v>CK2024102882871</v>
      </c>
      <c r="E1546" s="1" t="str">
        <f>"kkd20241028YP008"</f>
        <v>kkd20241028YP008</v>
      </c>
      <c r="F1546" s="1" t="str">
        <f t="shared" si="496"/>
        <v>花都四部-凤凰仓</v>
      </c>
      <c r="G1546" s="1" t="str">
        <f t="shared" ref="G1546:G1551" si="502">"卡卡杜全欣样品"</f>
        <v>卡卡杜全欣样品</v>
      </c>
      <c r="H1546" s="1" t="str">
        <f t="shared" si="497"/>
        <v>正常订单</v>
      </c>
      <c r="I1546" s="1" t="str">
        <f t="shared" si="498"/>
        <v>已发货</v>
      </c>
      <c r="J1546" s="1" t="str">
        <f>"10"</f>
        <v>10</v>
      </c>
      <c r="K1546" s="1">
        <v>7</v>
      </c>
      <c r="L1546" s="1" t="s">
        <v>18</v>
      </c>
      <c r="M1546" s="1" t="str">
        <f>"广东省 韶关市 曲江区 "</f>
        <v xml:space="preserve">广东省 韶关市 曲江区 </v>
      </c>
      <c r="N1546" s="1" t="str">
        <f t="shared" ref="N1546:N1551" si="503">"凡华云仓-城南圆通-淘宝"</f>
        <v>凡华云仓-城南圆通-淘宝</v>
      </c>
      <c r="O1546" s="3" t="s">
        <v>1584</v>
      </c>
      <c r="P1546" s="6">
        <v>1.28</v>
      </c>
      <c r="Q1546" s="11">
        <f t="shared" si="501"/>
        <v>3.5</v>
      </c>
      <c r="R1546" s="11">
        <f t="shared" ref="R1546:R1551" si="504">(K1546-3)*0.1</f>
        <v>0.4</v>
      </c>
      <c r="S1546" s="11">
        <v>0.15</v>
      </c>
      <c r="T1546" s="11"/>
      <c r="U1546" s="11">
        <f t="shared" si="500"/>
        <v>4.05</v>
      </c>
      <c r="V1546" t="s">
        <v>15</v>
      </c>
      <c r="W1546">
        <v>4.05</v>
      </c>
      <c r="X1546" s="1" t="s">
        <v>18</v>
      </c>
    </row>
    <row r="1547" spans="1:24" x14ac:dyDescent="0.25">
      <c r="A1547" s="1" t="str">
        <f t="shared" si="495"/>
        <v>卡卡杜-凤凰仓</v>
      </c>
      <c r="B1547" s="1" t="str">
        <f>"CK2024102813033"</f>
        <v>CK2024102813033</v>
      </c>
      <c r="C1547" s="1" t="str">
        <f>"DD2024102893734"</f>
        <v>DD2024102893734</v>
      </c>
      <c r="D1547" s="1" t="str">
        <f>"CK2024102882870"</f>
        <v>CK2024102882870</v>
      </c>
      <c r="E1547" s="1" t="str">
        <f>"KKD20241028YP005-1"</f>
        <v>KKD20241028YP005-1</v>
      </c>
      <c r="F1547" s="1" t="str">
        <f t="shared" si="496"/>
        <v>花都四部-凤凰仓</v>
      </c>
      <c r="G1547" s="1" t="str">
        <f t="shared" si="502"/>
        <v>卡卡杜全欣样品</v>
      </c>
      <c r="H1547" s="1" t="str">
        <f t="shared" si="497"/>
        <v>正常订单</v>
      </c>
      <c r="I1547" s="1" t="str">
        <f t="shared" si="498"/>
        <v>已发货</v>
      </c>
      <c r="J1547" s="1" t="str">
        <f>"8"</f>
        <v>8</v>
      </c>
      <c r="K1547" s="1">
        <v>5</v>
      </c>
      <c r="L1547" s="1" t="s">
        <v>92</v>
      </c>
      <c r="M1547" s="1" t="str">
        <f>"辽宁省 抚顺市 望花区 "</f>
        <v xml:space="preserve">辽宁省 抚顺市 望花区 </v>
      </c>
      <c r="N1547" s="1" t="str">
        <f t="shared" si="503"/>
        <v>凡华云仓-城南圆通-淘宝</v>
      </c>
      <c r="O1547" s="3" t="s">
        <v>1585</v>
      </c>
      <c r="P1547" s="6">
        <v>1.05</v>
      </c>
      <c r="Q1547" s="11">
        <f t="shared" si="501"/>
        <v>3.2</v>
      </c>
      <c r="R1547" s="11">
        <f t="shared" si="504"/>
        <v>0.2</v>
      </c>
      <c r="S1547" s="11">
        <v>0.15</v>
      </c>
      <c r="T1547" s="11"/>
      <c r="U1547" s="11">
        <f t="shared" si="500"/>
        <v>3.5500000000000003</v>
      </c>
      <c r="V1547" t="s">
        <v>15</v>
      </c>
      <c r="W1547">
        <v>3.55</v>
      </c>
      <c r="X1547" s="1" t="s">
        <v>92</v>
      </c>
    </row>
    <row r="1548" spans="1:24" x14ac:dyDescent="0.25">
      <c r="A1548" s="1" t="str">
        <f t="shared" si="495"/>
        <v>卡卡杜-凤凰仓</v>
      </c>
      <c r="B1548" s="1" t="str">
        <f>"CK2024102813034"</f>
        <v>CK2024102813034</v>
      </c>
      <c r="C1548" s="1" t="str">
        <f>"DD2024102893739"</f>
        <v>DD2024102893739</v>
      </c>
      <c r="D1548" s="1" t="str">
        <f>"CK2024102882869"</f>
        <v>CK2024102882869</v>
      </c>
      <c r="E1548" s="1" t="str">
        <f>"KKD20241028YP002-1"</f>
        <v>KKD20241028YP002-1</v>
      </c>
      <c r="F1548" s="1" t="str">
        <f t="shared" si="496"/>
        <v>花都四部-凤凰仓</v>
      </c>
      <c r="G1548" s="1" t="str">
        <f t="shared" si="502"/>
        <v>卡卡杜全欣样品</v>
      </c>
      <c r="H1548" s="1" t="str">
        <f t="shared" si="497"/>
        <v>正常订单</v>
      </c>
      <c r="I1548" s="1" t="str">
        <f t="shared" si="498"/>
        <v>已发货</v>
      </c>
      <c r="J1548" s="1" t="str">
        <f>"15"</f>
        <v>15</v>
      </c>
      <c r="K1548" s="1">
        <v>10</v>
      </c>
      <c r="L1548" s="1" t="s">
        <v>22</v>
      </c>
      <c r="M1548" s="1" t="str">
        <f>"江西省 九江市 浔阳区 "</f>
        <v xml:space="preserve">江西省 九江市 浔阳区 </v>
      </c>
      <c r="N1548" s="1" t="str">
        <f t="shared" si="503"/>
        <v>凡华云仓-城南圆通-淘宝</v>
      </c>
      <c r="O1548" s="3" t="s">
        <v>1586</v>
      </c>
      <c r="P1548" s="6">
        <v>1.62</v>
      </c>
      <c r="Q1548" s="11">
        <f t="shared" si="501"/>
        <v>4.0999999999999996</v>
      </c>
      <c r="R1548" s="11">
        <f t="shared" si="504"/>
        <v>0.70000000000000007</v>
      </c>
      <c r="S1548" s="11">
        <v>0.15</v>
      </c>
      <c r="T1548" s="11"/>
      <c r="U1548" s="11">
        <f t="shared" si="500"/>
        <v>4.9499999999999993</v>
      </c>
      <c r="V1548" t="s">
        <v>15</v>
      </c>
      <c r="W1548">
        <v>4.95</v>
      </c>
      <c r="X1548" s="1" t="s">
        <v>22</v>
      </c>
    </row>
    <row r="1549" spans="1:24" x14ac:dyDescent="0.25">
      <c r="A1549" s="1" t="str">
        <f t="shared" si="495"/>
        <v>卡卡杜-凤凰仓</v>
      </c>
      <c r="B1549" s="1" t="str">
        <f>"CK2024102813035"</f>
        <v>CK2024102813035</v>
      </c>
      <c r="C1549" s="1" t="str">
        <f>"DD2024102893737"</f>
        <v>DD2024102893737</v>
      </c>
      <c r="D1549" s="1" t="str">
        <f>"CK2024102882868"</f>
        <v>CK2024102882868</v>
      </c>
      <c r="E1549" s="1" t="str">
        <f>"KKD20241028YP006"</f>
        <v>KKD20241028YP006</v>
      </c>
      <c r="F1549" s="1" t="str">
        <f t="shared" si="496"/>
        <v>花都四部-凤凰仓</v>
      </c>
      <c r="G1549" s="1" t="str">
        <f t="shared" si="502"/>
        <v>卡卡杜全欣样品</v>
      </c>
      <c r="H1549" s="1" t="str">
        <f t="shared" si="497"/>
        <v>正常订单</v>
      </c>
      <c r="I1549" s="1" t="str">
        <f t="shared" si="498"/>
        <v>已发货</v>
      </c>
      <c r="J1549" s="1" t="str">
        <f>"7"</f>
        <v>7</v>
      </c>
      <c r="K1549" s="1">
        <v>5</v>
      </c>
      <c r="L1549" s="1" t="s">
        <v>18</v>
      </c>
      <c r="M1549" s="1" t="str">
        <f>"广东省 佛山市 三水区 "</f>
        <v xml:space="preserve">广东省 佛山市 三水区 </v>
      </c>
      <c r="N1549" s="1" t="str">
        <f t="shared" si="503"/>
        <v>凡华云仓-城南圆通-淘宝</v>
      </c>
      <c r="O1549" s="3" t="s">
        <v>1587</v>
      </c>
      <c r="P1549" s="6">
        <v>0.8</v>
      </c>
      <c r="Q1549" s="11">
        <f t="shared" si="501"/>
        <v>2.75</v>
      </c>
      <c r="R1549" s="11">
        <f t="shared" si="504"/>
        <v>0.2</v>
      </c>
      <c r="S1549" s="11">
        <v>0.15</v>
      </c>
      <c r="T1549" s="11"/>
      <c r="U1549" s="11">
        <f t="shared" si="500"/>
        <v>3.1</v>
      </c>
      <c r="V1549" t="s">
        <v>15</v>
      </c>
      <c r="W1549">
        <v>3.1</v>
      </c>
      <c r="X1549" s="1" t="s">
        <v>18</v>
      </c>
    </row>
    <row r="1550" spans="1:24" x14ac:dyDescent="0.25">
      <c r="A1550" s="1" t="str">
        <f t="shared" si="495"/>
        <v>卡卡杜-凤凰仓</v>
      </c>
      <c r="B1550" s="1" t="str">
        <f>"CK2024102813036"</f>
        <v>CK2024102813036</v>
      </c>
      <c r="C1550" s="1" t="str">
        <f>"DD2024102893740"</f>
        <v>DD2024102893740</v>
      </c>
      <c r="D1550" s="1" t="str">
        <f>"CK2024102882867"</f>
        <v>CK2024102882867</v>
      </c>
      <c r="E1550" s="1" t="str">
        <f>"KKD20241028YP004"</f>
        <v>KKD20241028YP004</v>
      </c>
      <c r="F1550" s="1" t="str">
        <f t="shared" si="496"/>
        <v>花都四部-凤凰仓</v>
      </c>
      <c r="G1550" s="1" t="str">
        <f t="shared" si="502"/>
        <v>卡卡杜全欣样品</v>
      </c>
      <c r="H1550" s="1" t="str">
        <f t="shared" si="497"/>
        <v>正常订单</v>
      </c>
      <c r="I1550" s="1" t="str">
        <f t="shared" si="498"/>
        <v>已发货</v>
      </c>
      <c r="J1550" s="1" t="str">
        <f>"15"</f>
        <v>15</v>
      </c>
      <c r="K1550" s="1">
        <v>10</v>
      </c>
      <c r="L1550" s="1" t="s">
        <v>94</v>
      </c>
      <c r="M1550" s="1" t="str">
        <f>"湖南省 益阳市 赫山区 "</f>
        <v xml:space="preserve">湖南省 益阳市 赫山区 </v>
      </c>
      <c r="N1550" s="1" t="str">
        <f t="shared" si="503"/>
        <v>凡华云仓-城南圆通-淘宝</v>
      </c>
      <c r="O1550" s="3" t="s">
        <v>1588</v>
      </c>
      <c r="P1550" s="6">
        <v>1.62</v>
      </c>
      <c r="Q1550" s="11">
        <f t="shared" si="501"/>
        <v>4.0999999999999996</v>
      </c>
      <c r="R1550" s="11">
        <f t="shared" si="504"/>
        <v>0.70000000000000007</v>
      </c>
      <c r="S1550" s="11">
        <v>0.15</v>
      </c>
      <c r="T1550" s="11"/>
      <c r="U1550" s="11">
        <f t="shared" si="500"/>
        <v>4.9499999999999993</v>
      </c>
      <c r="V1550" t="s">
        <v>15</v>
      </c>
      <c r="W1550">
        <v>4.95</v>
      </c>
      <c r="X1550" s="1" t="s">
        <v>94</v>
      </c>
    </row>
    <row r="1551" spans="1:24" x14ac:dyDescent="0.25">
      <c r="A1551" s="1" t="str">
        <f t="shared" si="495"/>
        <v>卡卡杜-凤凰仓</v>
      </c>
      <c r="B1551" s="1" t="str">
        <f>"CK2024102813037"</f>
        <v>CK2024102813037</v>
      </c>
      <c r="C1551" s="1" t="str">
        <f>"DD2024102893741"</f>
        <v>DD2024102893741</v>
      </c>
      <c r="D1551" s="1" t="str">
        <f>"CK2024102882866"</f>
        <v>CK2024102882866</v>
      </c>
      <c r="E1551" s="1" t="str">
        <f>"KKD20241028YP003"</f>
        <v>KKD20241028YP003</v>
      </c>
      <c r="F1551" s="1" t="str">
        <f t="shared" si="496"/>
        <v>花都四部-凤凰仓</v>
      </c>
      <c r="G1551" s="1" t="str">
        <f t="shared" si="502"/>
        <v>卡卡杜全欣样品</v>
      </c>
      <c r="H1551" s="1" t="str">
        <f t="shared" si="497"/>
        <v>正常订单</v>
      </c>
      <c r="I1551" s="1" t="str">
        <f t="shared" si="498"/>
        <v>已发货</v>
      </c>
      <c r="J1551" s="1" t="str">
        <f>"7"</f>
        <v>7</v>
      </c>
      <c r="K1551" s="1">
        <v>6</v>
      </c>
      <c r="L1551" s="1" t="s">
        <v>74</v>
      </c>
      <c r="M1551" s="1" t="str">
        <f>"上海 上海市 宝山区 "</f>
        <v xml:space="preserve">上海 上海市 宝山区 </v>
      </c>
      <c r="N1551" s="1" t="str">
        <f t="shared" si="503"/>
        <v>凡华云仓-城南圆通-淘宝</v>
      </c>
      <c r="O1551" s="3" t="s">
        <v>1589</v>
      </c>
      <c r="P1551" s="6">
        <v>1.08</v>
      </c>
      <c r="Q1551" s="11">
        <f t="shared" si="501"/>
        <v>3.2</v>
      </c>
      <c r="R1551" s="11">
        <f t="shared" si="504"/>
        <v>0.30000000000000004</v>
      </c>
      <c r="S1551" s="11">
        <v>0.15</v>
      </c>
      <c r="T1551" s="11"/>
      <c r="U1551" s="11">
        <f t="shared" si="500"/>
        <v>3.6500000000000004</v>
      </c>
      <c r="V1551" t="s">
        <v>15</v>
      </c>
      <c r="W1551">
        <v>3.65</v>
      </c>
      <c r="X1551" s="1" t="s">
        <v>74</v>
      </c>
    </row>
    <row r="1552" spans="1:24" x14ac:dyDescent="0.25">
      <c r="A1552" s="1" t="str">
        <f t="shared" si="495"/>
        <v>卡卡杜-凤凰仓</v>
      </c>
      <c r="B1552" s="1" t="str">
        <f>"CK2024102812942"</f>
        <v>CK2024102812942</v>
      </c>
      <c r="C1552" s="1" t="str">
        <f>"DD2024102893617"</f>
        <v>DD2024102893617</v>
      </c>
      <c r="D1552" s="1" t="str">
        <f>"CK2024102882865"</f>
        <v>CK2024102882865</v>
      </c>
      <c r="E1552" s="1" t="str">
        <f>"3723622501678188032"</f>
        <v>3723622501678188032</v>
      </c>
      <c r="F1552" s="1" t="str">
        <f t="shared" si="496"/>
        <v>花都四部-凤凰仓</v>
      </c>
      <c r="G1552" s="1" t="str">
        <f t="shared" ref="G1552:G1559" si="505">"卡卡杜企业店（视频号）"</f>
        <v>卡卡杜企业店（视频号）</v>
      </c>
      <c r="H1552" s="1" t="str">
        <f t="shared" si="497"/>
        <v>正常订单</v>
      </c>
      <c r="I1552" s="1" t="str">
        <f t="shared" si="498"/>
        <v>已发货</v>
      </c>
      <c r="J1552" s="1" t="str">
        <f t="shared" ref="J1552:J1555" si="506">"5"</f>
        <v>5</v>
      </c>
      <c r="K1552" s="1">
        <v>2</v>
      </c>
      <c r="L1552" s="1" t="s">
        <v>36</v>
      </c>
      <c r="M1552" s="1" t="str">
        <f>"安徽省 安庆市 迎江区 "</f>
        <v xml:space="preserve">安徽省 安庆市 迎江区 </v>
      </c>
      <c r="N1552" s="1" t="str">
        <f t="shared" ref="N1552:N1559" si="507">"凡华云仓-城南圆通-微信视频号"</f>
        <v>凡华云仓-城南圆通-微信视频号</v>
      </c>
      <c r="O1552" s="5" t="s">
        <v>1590</v>
      </c>
      <c r="P1552" s="6">
        <v>0.59</v>
      </c>
      <c r="Q1552" s="11">
        <f t="shared" si="501"/>
        <v>2.4499999999999997</v>
      </c>
      <c r="R1552" s="11"/>
      <c r="S1552" s="11"/>
      <c r="T1552" s="11"/>
      <c r="U1552" s="11">
        <f t="shared" si="500"/>
        <v>2.4499999999999997</v>
      </c>
      <c r="V1552" t="s">
        <v>15</v>
      </c>
      <c r="W1552">
        <v>2.4500000000000002</v>
      </c>
      <c r="X1552" s="1" t="s">
        <v>36</v>
      </c>
    </row>
    <row r="1553" spans="1:24" x14ac:dyDescent="0.25">
      <c r="A1553" s="1" t="str">
        <f t="shared" si="495"/>
        <v>卡卡杜-凤凰仓</v>
      </c>
      <c r="B1553" s="1" t="str">
        <f>"CK2024102812994"</f>
        <v>CK2024102812994</v>
      </c>
      <c r="C1553" s="1" t="str">
        <f>"DD2024102893697"</f>
        <v>DD2024102893697</v>
      </c>
      <c r="D1553" s="1" t="str">
        <f>"CK2024102882864"</f>
        <v>CK2024102882864</v>
      </c>
      <c r="E1553" s="1" t="str">
        <f>"3723620779667624960"</f>
        <v>3723620779667624960</v>
      </c>
      <c r="F1553" s="1" t="str">
        <f t="shared" si="496"/>
        <v>花都四部-凤凰仓</v>
      </c>
      <c r="G1553" s="1" t="str">
        <f t="shared" si="505"/>
        <v>卡卡杜企业店（视频号）</v>
      </c>
      <c r="H1553" s="1" t="str">
        <f t="shared" si="497"/>
        <v>正常订单</v>
      </c>
      <c r="I1553" s="1" t="str">
        <f t="shared" si="498"/>
        <v>已发货</v>
      </c>
      <c r="J1553" s="1" t="str">
        <f>"3"</f>
        <v>3</v>
      </c>
      <c r="K1553" s="1">
        <v>3</v>
      </c>
      <c r="L1553" s="1" t="s">
        <v>20</v>
      </c>
      <c r="M1553" s="1" t="str">
        <f>"浙江省 绍兴市 诸暨市 "</f>
        <v xml:space="preserve">浙江省 绍兴市 诸暨市 </v>
      </c>
      <c r="N1553" s="1" t="str">
        <f t="shared" si="507"/>
        <v>凡华云仓-城南圆通-微信视频号</v>
      </c>
      <c r="O1553" s="5" t="s">
        <v>1591</v>
      </c>
      <c r="P1553" s="6">
        <v>0.34</v>
      </c>
      <c r="Q1553" s="11">
        <v>2.2999999999999998</v>
      </c>
      <c r="R1553" s="11"/>
      <c r="S1553" s="11"/>
      <c r="T1553" s="11"/>
      <c r="U1553" s="11">
        <f t="shared" si="500"/>
        <v>2.2999999999999998</v>
      </c>
      <c r="W1553">
        <v>2.5</v>
      </c>
      <c r="X1553" s="1" t="s">
        <v>20</v>
      </c>
    </row>
    <row r="1554" spans="1:24" x14ac:dyDescent="0.25">
      <c r="A1554" s="1" t="str">
        <f t="shared" si="495"/>
        <v>卡卡杜-凤凰仓</v>
      </c>
      <c r="B1554" s="1" t="str">
        <f>"CK2024102812950"</f>
        <v>CK2024102812950</v>
      </c>
      <c r="C1554" s="1" t="str">
        <f>"DD2024102893627"</f>
        <v>DD2024102893627</v>
      </c>
      <c r="D1554" s="1" t="str">
        <f>"CK2024102882863"</f>
        <v>CK2024102882863</v>
      </c>
      <c r="E1554" s="1" t="str">
        <f>"3723620690671307776"</f>
        <v>3723620690671307776</v>
      </c>
      <c r="F1554" s="1" t="str">
        <f t="shared" si="496"/>
        <v>花都四部-凤凰仓</v>
      </c>
      <c r="G1554" s="1" t="str">
        <f t="shared" si="505"/>
        <v>卡卡杜企业店（视频号）</v>
      </c>
      <c r="H1554" s="1" t="str">
        <f t="shared" si="497"/>
        <v>正常订单</v>
      </c>
      <c r="I1554" s="1" t="str">
        <f t="shared" si="498"/>
        <v>已发货</v>
      </c>
      <c r="J1554" s="1" t="str">
        <f t="shared" si="506"/>
        <v>5</v>
      </c>
      <c r="K1554" s="1">
        <v>2</v>
      </c>
      <c r="L1554" s="1" t="s">
        <v>13</v>
      </c>
      <c r="M1554" s="1" t="str">
        <f>"江苏省 无锡市 梁溪区 "</f>
        <v xml:space="preserve">江苏省 无锡市 梁溪区 </v>
      </c>
      <c r="N1554" s="1" t="str">
        <f t="shared" si="507"/>
        <v>凡华云仓-城南圆通-微信视频号</v>
      </c>
      <c r="O1554" s="5" t="s">
        <v>1592</v>
      </c>
      <c r="P1554" s="6">
        <v>0.59</v>
      </c>
      <c r="Q1554" s="11">
        <f>CEILING(P1554-0.5,0.1)*10*0.15+2.3</f>
        <v>2.4499999999999997</v>
      </c>
      <c r="R1554" s="11"/>
      <c r="S1554" s="11"/>
      <c r="T1554" s="11"/>
      <c r="U1554" s="11">
        <f t="shared" si="500"/>
        <v>2.4499999999999997</v>
      </c>
      <c r="V1554" t="s">
        <v>15</v>
      </c>
      <c r="W1554">
        <v>2.4500000000000002</v>
      </c>
      <c r="X1554" s="1" t="s">
        <v>13</v>
      </c>
    </row>
    <row r="1555" spans="1:24" x14ac:dyDescent="0.25">
      <c r="A1555" s="1" t="str">
        <f t="shared" si="495"/>
        <v>卡卡杜-凤凰仓</v>
      </c>
      <c r="B1555" s="1" t="str">
        <f>"CK2024102812951"</f>
        <v>CK2024102812951</v>
      </c>
      <c r="C1555" s="1" t="str">
        <f>"DD2024102893629"</f>
        <v>DD2024102893629</v>
      </c>
      <c r="D1555" s="1" t="str">
        <f>"CK2024102882862"</f>
        <v>CK2024102882862</v>
      </c>
      <c r="E1555" s="1" t="str">
        <f>"3723620248531109120"</f>
        <v>3723620248531109120</v>
      </c>
      <c r="F1555" s="1" t="str">
        <f t="shared" si="496"/>
        <v>花都四部-凤凰仓</v>
      </c>
      <c r="G1555" s="1" t="str">
        <f t="shared" si="505"/>
        <v>卡卡杜企业店（视频号）</v>
      </c>
      <c r="H1555" s="1" t="str">
        <f t="shared" si="497"/>
        <v>正常订单</v>
      </c>
      <c r="I1555" s="1" t="str">
        <f t="shared" si="498"/>
        <v>已发货</v>
      </c>
      <c r="J1555" s="1" t="str">
        <f t="shared" si="506"/>
        <v>5</v>
      </c>
      <c r="K1555" s="1">
        <v>3</v>
      </c>
      <c r="L1555" s="1" t="s">
        <v>18</v>
      </c>
      <c r="M1555" s="1" t="str">
        <f>"广东省 广州市 天河区 "</f>
        <v xml:space="preserve">广东省 广州市 天河区 </v>
      </c>
      <c r="N1555" s="1" t="str">
        <f t="shared" si="507"/>
        <v>凡华云仓-城南圆通-微信视频号</v>
      </c>
      <c r="O1555" s="5" t="s">
        <v>1593</v>
      </c>
      <c r="P1555" s="6">
        <v>0.56000000000000005</v>
      </c>
      <c r="Q1555" s="11">
        <f>CEILING(P1555-0.5,0.1)*10*0.15+2.3</f>
        <v>2.4499999999999997</v>
      </c>
      <c r="R1555" s="11"/>
      <c r="S1555" s="11"/>
      <c r="T1555" s="11"/>
      <c r="U1555" s="11">
        <f t="shared" si="500"/>
        <v>2.4499999999999997</v>
      </c>
      <c r="V1555" t="s">
        <v>15</v>
      </c>
      <c r="W1555">
        <v>2.4500000000000002</v>
      </c>
      <c r="X1555" s="1" t="s">
        <v>18</v>
      </c>
    </row>
    <row r="1556" spans="1:24" x14ac:dyDescent="0.25">
      <c r="A1556" s="1" t="str">
        <f t="shared" si="495"/>
        <v>卡卡杜-凤凰仓</v>
      </c>
      <c r="B1556" s="1" t="str">
        <f>"CK2024102813030"</f>
        <v>CK2024102813030</v>
      </c>
      <c r="C1556" s="1" t="str">
        <f>"DD2024102893736"</f>
        <v>DD2024102893736</v>
      </c>
      <c r="D1556" s="1" t="str">
        <f>"CK2024102882861"</f>
        <v>CK2024102882861</v>
      </c>
      <c r="E1556" s="1" t="str">
        <f>"3723619314621877248"</f>
        <v>3723619314621877248</v>
      </c>
      <c r="F1556" s="1" t="str">
        <f t="shared" si="496"/>
        <v>花都四部-凤凰仓</v>
      </c>
      <c r="G1556" s="1" t="str">
        <f t="shared" si="505"/>
        <v>卡卡杜企业店（视频号）</v>
      </c>
      <c r="H1556" s="1" t="str">
        <f t="shared" si="497"/>
        <v>正常订单</v>
      </c>
      <c r="I1556" s="1" t="str">
        <f t="shared" si="498"/>
        <v>已发货</v>
      </c>
      <c r="J1556" s="1" t="str">
        <f>"2"</f>
        <v>2</v>
      </c>
      <c r="K1556" s="1">
        <v>2</v>
      </c>
      <c r="L1556" s="1" t="s">
        <v>105</v>
      </c>
      <c r="M1556" s="1" t="str">
        <f>"北京 北京市 通州区 "</f>
        <v xml:space="preserve">北京 北京市 通州区 </v>
      </c>
      <c r="N1556" s="1" t="str">
        <f t="shared" si="507"/>
        <v>凡华云仓-城南圆通-微信视频号</v>
      </c>
      <c r="O1556" s="5" t="s">
        <v>1594</v>
      </c>
      <c r="P1556" s="6">
        <v>0.17</v>
      </c>
      <c r="Q1556" s="11">
        <v>2</v>
      </c>
      <c r="R1556" s="11"/>
      <c r="S1556" s="11"/>
      <c r="T1556" s="11"/>
      <c r="U1556" s="11">
        <f t="shared" si="500"/>
        <v>2</v>
      </c>
      <c r="W1556">
        <v>2.2000000000000002</v>
      </c>
      <c r="X1556" s="1" t="s">
        <v>105</v>
      </c>
    </row>
    <row r="1557" spans="1:24" x14ac:dyDescent="0.25">
      <c r="A1557" s="1" t="str">
        <f t="shared" si="495"/>
        <v>卡卡杜-凤凰仓</v>
      </c>
      <c r="B1557" s="1" t="str">
        <f>"CK2024102813031"</f>
        <v>CK2024102813031</v>
      </c>
      <c r="C1557" s="1" t="str">
        <f>"DD2024102893738"</f>
        <v>DD2024102893738</v>
      </c>
      <c r="D1557" s="1" t="str">
        <f>"CK2024102882860"</f>
        <v>CK2024102882860</v>
      </c>
      <c r="E1557" s="1" t="str">
        <f>"3723619295686955008"</f>
        <v>3723619295686955008</v>
      </c>
      <c r="F1557" s="1" t="str">
        <f t="shared" si="496"/>
        <v>花都四部-凤凰仓</v>
      </c>
      <c r="G1557" s="1" t="str">
        <f t="shared" si="505"/>
        <v>卡卡杜企业店（视频号）</v>
      </c>
      <c r="H1557" s="1" t="str">
        <f t="shared" si="497"/>
        <v>正常订单</v>
      </c>
      <c r="I1557" s="1" t="str">
        <f t="shared" si="498"/>
        <v>已发货</v>
      </c>
      <c r="J1557" s="1" t="str">
        <f>"2"</f>
        <v>2</v>
      </c>
      <c r="K1557" s="1">
        <v>2</v>
      </c>
      <c r="L1557" s="1" t="s">
        <v>105</v>
      </c>
      <c r="M1557" s="1" t="str">
        <f>"北京 北京市 海淀区 "</f>
        <v xml:space="preserve">北京 北京市 海淀区 </v>
      </c>
      <c r="N1557" s="1" t="str">
        <f t="shared" si="507"/>
        <v>凡华云仓-城南圆通-微信视频号</v>
      </c>
      <c r="O1557" s="5" t="s">
        <v>1595</v>
      </c>
      <c r="P1557" s="6">
        <v>0.17</v>
      </c>
      <c r="Q1557" s="11">
        <v>2</v>
      </c>
      <c r="R1557" s="11"/>
      <c r="S1557" s="11"/>
      <c r="T1557" s="11"/>
      <c r="U1557" s="11">
        <f t="shared" si="500"/>
        <v>2</v>
      </c>
      <c r="W1557">
        <v>2.2000000000000002</v>
      </c>
      <c r="X1557" s="1" t="s">
        <v>105</v>
      </c>
    </row>
    <row r="1558" spans="1:24" x14ac:dyDescent="0.25">
      <c r="A1558" s="1" t="str">
        <f t="shared" si="495"/>
        <v>卡卡杜-凤凰仓</v>
      </c>
      <c r="B1558" s="1" t="str">
        <f>"CK2024102813002"</f>
        <v>CK2024102813002</v>
      </c>
      <c r="C1558" s="1" t="str">
        <f>"DD2024102893704"</f>
        <v>DD2024102893704</v>
      </c>
      <c r="D1558" s="1" t="str">
        <f>"CK2024102882859"</f>
        <v>CK2024102882859</v>
      </c>
      <c r="E1558" s="1" t="str">
        <f>"3723619237827839232"</f>
        <v>3723619237827839232</v>
      </c>
      <c r="F1558" s="1" t="str">
        <f t="shared" si="496"/>
        <v>花都四部-凤凰仓</v>
      </c>
      <c r="G1558" s="1" t="str">
        <f t="shared" si="505"/>
        <v>卡卡杜企业店（视频号）</v>
      </c>
      <c r="H1558" s="1" t="str">
        <f t="shared" si="497"/>
        <v>正常订单</v>
      </c>
      <c r="I1558" s="1" t="str">
        <f t="shared" si="498"/>
        <v>已发货</v>
      </c>
      <c r="J1558" s="1" t="str">
        <f t="shared" ref="J1558:J1583" si="508">"3"</f>
        <v>3</v>
      </c>
      <c r="K1558" s="1">
        <v>2</v>
      </c>
      <c r="L1558" s="1" t="s">
        <v>24</v>
      </c>
      <c r="M1558" s="1" t="str">
        <f>"福建省 莆田市 城厢区 "</f>
        <v xml:space="preserve">福建省 莆田市 城厢区 </v>
      </c>
      <c r="N1558" s="1" t="str">
        <f t="shared" si="507"/>
        <v>凡华云仓-城南圆通-微信视频号</v>
      </c>
      <c r="O1558" s="5" t="s">
        <v>1596</v>
      </c>
      <c r="P1558" s="6">
        <v>0.35</v>
      </c>
      <c r="Q1558" s="11">
        <v>2.2999999999999998</v>
      </c>
      <c r="R1558" s="11"/>
      <c r="S1558" s="11"/>
      <c r="T1558" s="11"/>
      <c r="U1558" s="11">
        <f t="shared" si="500"/>
        <v>2.2999999999999998</v>
      </c>
      <c r="W1558">
        <v>2.5</v>
      </c>
      <c r="X1558" s="1" t="s">
        <v>24</v>
      </c>
    </row>
    <row r="1559" spans="1:24" x14ac:dyDescent="0.25">
      <c r="A1559" s="1" t="str">
        <f t="shared" si="495"/>
        <v>卡卡杜-凤凰仓</v>
      </c>
      <c r="B1559" s="1" t="str">
        <f>"CK2024102813003"</f>
        <v>CK2024102813003</v>
      </c>
      <c r="C1559" s="1" t="str">
        <f>"DD2024102893705"</f>
        <v>DD2024102893705</v>
      </c>
      <c r="D1559" s="1" t="str">
        <f>"CK2024102882858"</f>
        <v>CK2024102882858</v>
      </c>
      <c r="E1559" s="1" t="str">
        <f>"3723619185039379456"</f>
        <v>3723619185039379456</v>
      </c>
      <c r="F1559" s="1" t="str">
        <f t="shared" si="496"/>
        <v>花都四部-凤凰仓</v>
      </c>
      <c r="G1559" s="1" t="str">
        <f t="shared" si="505"/>
        <v>卡卡杜企业店（视频号）</v>
      </c>
      <c r="H1559" s="1" t="str">
        <f t="shared" si="497"/>
        <v>正常订单</v>
      </c>
      <c r="I1559" s="1" t="str">
        <f t="shared" si="498"/>
        <v>已发货</v>
      </c>
      <c r="J1559" s="1" t="str">
        <f t="shared" si="508"/>
        <v>3</v>
      </c>
      <c r="K1559" s="1">
        <v>3</v>
      </c>
      <c r="L1559" s="1" t="s">
        <v>74</v>
      </c>
      <c r="M1559" s="1" t="str">
        <f>"上海 上海市 嘉定区 "</f>
        <v xml:space="preserve">上海 上海市 嘉定区 </v>
      </c>
      <c r="N1559" s="1" t="str">
        <f t="shared" si="507"/>
        <v>凡华云仓-城南圆通-微信视频号</v>
      </c>
      <c r="O1559" s="5" t="s">
        <v>1597</v>
      </c>
      <c r="P1559" s="6">
        <v>0.34</v>
      </c>
      <c r="Q1559" s="11">
        <v>2.2999999999999998</v>
      </c>
      <c r="R1559" s="11"/>
      <c r="S1559" s="11"/>
      <c r="T1559" s="11"/>
      <c r="U1559" s="11">
        <f t="shared" si="500"/>
        <v>2.2999999999999998</v>
      </c>
      <c r="W1559">
        <v>2.5</v>
      </c>
      <c r="X1559" s="1" t="s">
        <v>74</v>
      </c>
    </row>
    <row r="1560" spans="1:24" x14ac:dyDescent="0.25">
      <c r="A1560" s="1" t="str">
        <f t="shared" si="495"/>
        <v>卡卡杜-凤凰仓</v>
      </c>
      <c r="B1560" s="1" t="str">
        <f>"CK2024102812943"</f>
        <v>CK2024102812943</v>
      </c>
      <c r="C1560" s="1" t="str">
        <f>"DD2024102893618"</f>
        <v>DD2024102893618</v>
      </c>
      <c r="D1560" s="1" t="str">
        <f>"CK2024102882845"</f>
        <v>CK2024102882845</v>
      </c>
      <c r="E1560" s="1" t="str">
        <f>"6935592281071622056"</f>
        <v>6935592281071622056</v>
      </c>
      <c r="F1560" s="1" t="str">
        <f t="shared" si="496"/>
        <v>花都四部-凤凰仓</v>
      </c>
      <c r="G1560" s="1" t="str">
        <f t="shared" ref="G1560:G1603" si="509">"卡卡杜个人护理店（抖店）"</f>
        <v>卡卡杜个人护理店（抖店）</v>
      </c>
      <c r="H1560" s="1" t="str">
        <f t="shared" si="497"/>
        <v>正常订单</v>
      </c>
      <c r="I1560" s="1" t="str">
        <f t="shared" si="498"/>
        <v>已发货</v>
      </c>
      <c r="J1560" s="1" t="str">
        <f>"5"</f>
        <v>5</v>
      </c>
      <c r="K1560" s="1">
        <v>2</v>
      </c>
      <c r="L1560" s="1" t="s">
        <v>13</v>
      </c>
      <c r="M1560" s="1" t="str">
        <f>"江苏省 盐城市 盐都区 龙冈镇"</f>
        <v>江苏省 盐城市 盐都区 龙冈镇</v>
      </c>
      <c r="N1560" s="1" t="str">
        <f t="shared" ref="N1560:N1603" si="510">"凡华云仓-城南圆通-抖音"</f>
        <v>凡华云仓-城南圆通-抖音</v>
      </c>
      <c r="O1560" s="5" t="s">
        <v>1598</v>
      </c>
      <c r="P1560" s="6">
        <v>0.59</v>
      </c>
      <c r="Q1560" s="11">
        <f>CEILING(P1560-0.5,0.1)*10*0.15+2.3</f>
        <v>2.4499999999999997</v>
      </c>
      <c r="R1560" s="11"/>
      <c r="S1560" s="11"/>
      <c r="T1560" s="11"/>
      <c r="U1560" s="11">
        <f t="shared" si="500"/>
        <v>2.4499999999999997</v>
      </c>
      <c r="V1560" t="s">
        <v>15</v>
      </c>
      <c r="W1560">
        <v>2.4500000000000002</v>
      </c>
      <c r="X1560" s="1" t="s">
        <v>13</v>
      </c>
    </row>
    <row r="1561" spans="1:24" x14ac:dyDescent="0.25">
      <c r="A1561" s="1" t="str">
        <f t="shared" si="495"/>
        <v>卡卡杜-凤凰仓</v>
      </c>
      <c r="B1561" s="1" t="str">
        <f>"CK2024102812945"</f>
        <v>CK2024102812945</v>
      </c>
      <c r="C1561" s="1" t="str">
        <f>"DD2024102893619"</f>
        <v>DD2024102893619</v>
      </c>
      <c r="D1561" s="1" t="str">
        <f>"CK2024102882844"</f>
        <v>CK2024102882844</v>
      </c>
      <c r="E1561" s="1" t="str">
        <f>"6935596531828134919"</f>
        <v>6935596531828134919</v>
      </c>
      <c r="F1561" s="1" t="str">
        <f t="shared" si="496"/>
        <v>花都四部-凤凰仓</v>
      </c>
      <c r="G1561" s="1" t="str">
        <f t="shared" si="509"/>
        <v>卡卡杜个人护理店（抖店）</v>
      </c>
      <c r="H1561" s="1" t="str">
        <f t="shared" si="497"/>
        <v>正常订单</v>
      </c>
      <c r="I1561" s="1" t="str">
        <f t="shared" si="498"/>
        <v>已发货</v>
      </c>
      <c r="J1561" s="1" t="str">
        <f>"5"</f>
        <v>5</v>
      </c>
      <c r="K1561" s="1">
        <v>2</v>
      </c>
      <c r="L1561" s="1" t="s">
        <v>13</v>
      </c>
      <c r="M1561" s="1" t="str">
        <f>"江苏省 无锡市 宜兴市 宜城街道"</f>
        <v>江苏省 无锡市 宜兴市 宜城街道</v>
      </c>
      <c r="N1561" s="1" t="str">
        <f t="shared" si="510"/>
        <v>凡华云仓-城南圆通-抖音</v>
      </c>
      <c r="O1561" s="5" t="s">
        <v>1599</v>
      </c>
      <c r="P1561" s="6">
        <v>0.59</v>
      </c>
      <c r="Q1561" s="11">
        <f>CEILING(P1561-0.5,0.1)*10*0.15+2.3</f>
        <v>2.4499999999999997</v>
      </c>
      <c r="R1561" s="11"/>
      <c r="S1561" s="11"/>
      <c r="T1561" s="11"/>
      <c r="U1561" s="11">
        <f t="shared" si="500"/>
        <v>2.4499999999999997</v>
      </c>
      <c r="V1561" t="s">
        <v>15</v>
      </c>
      <c r="W1561">
        <v>2.4500000000000002</v>
      </c>
      <c r="X1561" s="1" t="s">
        <v>13</v>
      </c>
    </row>
    <row r="1562" spans="1:24" x14ac:dyDescent="0.25">
      <c r="A1562" s="1" t="str">
        <f t="shared" si="495"/>
        <v>卡卡杜-凤凰仓</v>
      </c>
      <c r="B1562" s="1" t="str">
        <f>"CK2024102812963"</f>
        <v>CK2024102812963</v>
      </c>
      <c r="C1562" s="1" t="str">
        <f>"DD2024102893665"</f>
        <v>DD2024102893665</v>
      </c>
      <c r="D1562" s="1" t="str">
        <f>"CK2024102882843"</f>
        <v>CK2024102882843</v>
      </c>
      <c r="E1562" s="1" t="str">
        <f>"6935585465521476631"</f>
        <v>6935585465521476631</v>
      </c>
      <c r="F1562" s="1" t="str">
        <f t="shared" si="496"/>
        <v>花都四部-凤凰仓</v>
      </c>
      <c r="G1562" s="1" t="str">
        <f t="shared" si="509"/>
        <v>卡卡杜个人护理店（抖店）</v>
      </c>
      <c r="H1562" s="1" t="str">
        <f t="shared" si="497"/>
        <v>正常订单</v>
      </c>
      <c r="I1562" s="1" t="str">
        <f t="shared" si="498"/>
        <v>已发货</v>
      </c>
      <c r="J1562" s="1" t="str">
        <f t="shared" si="508"/>
        <v>3</v>
      </c>
      <c r="K1562" s="1">
        <v>2</v>
      </c>
      <c r="L1562" s="1" t="s">
        <v>13</v>
      </c>
      <c r="M1562" s="1" t="str">
        <f>"江苏省 镇江市 丹阳市 丹阳经济技术开发区"</f>
        <v>江苏省 镇江市 丹阳市 丹阳经济技术开发区</v>
      </c>
      <c r="N1562" s="1" t="str">
        <f t="shared" si="510"/>
        <v>凡华云仓-城南圆通-抖音</v>
      </c>
      <c r="O1562" s="5" t="s">
        <v>1600</v>
      </c>
      <c r="P1562" s="6">
        <v>0.35</v>
      </c>
      <c r="Q1562" s="11">
        <v>2.2999999999999998</v>
      </c>
      <c r="R1562" s="11"/>
      <c r="S1562" s="11"/>
      <c r="T1562" s="11"/>
      <c r="U1562" s="11">
        <f t="shared" si="500"/>
        <v>2.2999999999999998</v>
      </c>
      <c r="W1562">
        <v>2.5</v>
      </c>
      <c r="X1562" s="1" t="s">
        <v>13</v>
      </c>
    </row>
    <row r="1563" spans="1:24" x14ac:dyDescent="0.25">
      <c r="A1563" s="1" t="str">
        <f t="shared" si="495"/>
        <v>卡卡杜-凤凰仓</v>
      </c>
      <c r="B1563" s="1" t="str">
        <f>"CK2024102812964"</f>
        <v>CK2024102812964</v>
      </c>
      <c r="C1563" s="1" t="str">
        <f>"DD2024102893666"</f>
        <v>DD2024102893666</v>
      </c>
      <c r="D1563" s="1" t="str">
        <f>"CK2024102882842"</f>
        <v>CK2024102882842</v>
      </c>
      <c r="E1563" s="1" t="str">
        <f>"6935578813209580771"</f>
        <v>6935578813209580771</v>
      </c>
      <c r="F1563" s="1" t="str">
        <f t="shared" si="496"/>
        <v>花都四部-凤凰仓</v>
      </c>
      <c r="G1563" s="1" t="str">
        <f t="shared" si="509"/>
        <v>卡卡杜个人护理店（抖店）</v>
      </c>
      <c r="H1563" s="1" t="str">
        <f t="shared" si="497"/>
        <v>正常订单</v>
      </c>
      <c r="I1563" s="1" t="str">
        <f t="shared" si="498"/>
        <v>已发货</v>
      </c>
      <c r="J1563" s="1" t="str">
        <f t="shared" si="508"/>
        <v>3</v>
      </c>
      <c r="K1563" s="1">
        <v>2</v>
      </c>
      <c r="L1563" s="1" t="s">
        <v>105</v>
      </c>
      <c r="M1563" s="1" t="str">
        <f>"北京 北京市 西城区 白纸坊街道"</f>
        <v>北京 北京市 西城区 白纸坊街道</v>
      </c>
      <c r="N1563" s="1" t="str">
        <f t="shared" si="510"/>
        <v>凡华云仓-城南圆通-抖音</v>
      </c>
      <c r="O1563" s="5" t="s">
        <v>1601</v>
      </c>
      <c r="P1563" s="6">
        <v>0.35</v>
      </c>
      <c r="Q1563" s="11">
        <v>2.2999999999999998</v>
      </c>
      <c r="R1563" s="11"/>
      <c r="S1563" s="11"/>
      <c r="T1563" s="11"/>
      <c r="U1563" s="11">
        <f t="shared" si="500"/>
        <v>2.2999999999999998</v>
      </c>
      <c r="W1563">
        <v>2.5</v>
      </c>
      <c r="X1563" s="1" t="s">
        <v>105</v>
      </c>
    </row>
    <row r="1564" spans="1:24" x14ac:dyDescent="0.25">
      <c r="A1564" s="1" t="str">
        <f t="shared" si="495"/>
        <v>卡卡杜-凤凰仓</v>
      </c>
      <c r="B1564" s="1" t="str">
        <f>"CK2024102812966"</f>
        <v>CK2024102812966</v>
      </c>
      <c r="C1564" s="1" t="str">
        <f>"DD2024102893667"</f>
        <v>DD2024102893667</v>
      </c>
      <c r="D1564" s="1" t="str">
        <f>"CK2024102882841"</f>
        <v>CK2024102882841</v>
      </c>
      <c r="E1564" s="1" t="str">
        <f>"6935570145665423110"</f>
        <v>6935570145665423110</v>
      </c>
      <c r="F1564" s="1" t="str">
        <f t="shared" si="496"/>
        <v>花都四部-凤凰仓</v>
      </c>
      <c r="G1564" s="1" t="str">
        <f t="shared" si="509"/>
        <v>卡卡杜个人护理店（抖店）</v>
      </c>
      <c r="H1564" s="1" t="str">
        <f t="shared" si="497"/>
        <v>正常订单</v>
      </c>
      <c r="I1564" s="1" t="str">
        <f t="shared" si="498"/>
        <v>已发货</v>
      </c>
      <c r="J1564" s="1" t="str">
        <f t="shared" si="508"/>
        <v>3</v>
      </c>
      <c r="K1564" s="1">
        <v>2</v>
      </c>
      <c r="L1564" s="1" t="s">
        <v>13</v>
      </c>
      <c r="M1564" s="1" t="str">
        <f>"江苏省 南京市 江宁区 东山街道"</f>
        <v>江苏省 南京市 江宁区 东山街道</v>
      </c>
      <c r="N1564" s="1" t="str">
        <f t="shared" si="510"/>
        <v>凡华云仓-城南圆通-抖音</v>
      </c>
      <c r="O1564" s="5" t="s">
        <v>1602</v>
      </c>
      <c r="P1564" s="6">
        <v>0.35</v>
      </c>
      <c r="Q1564" s="11">
        <v>2.2999999999999998</v>
      </c>
      <c r="R1564" s="11"/>
      <c r="S1564" s="11"/>
      <c r="T1564" s="11"/>
      <c r="U1564" s="11">
        <f t="shared" si="500"/>
        <v>2.2999999999999998</v>
      </c>
      <c r="W1564">
        <v>2.5</v>
      </c>
      <c r="X1564" s="1" t="s">
        <v>13</v>
      </c>
    </row>
    <row r="1565" spans="1:24" x14ac:dyDescent="0.25">
      <c r="A1565" s="1" t="str">
        <f t="shared" si="495"/>
        <v>卡卡杜-凤凰仓</v>
      </c>
      <c r="B1565" s="1" t="str">
        <f>"CK2024102812965"</f>
        <v>CK2024102812965</v>
      </c>
      <c r="C1565" s="1" t="str">
        <f>"DD2024102893668"</f>
        <v>DD2024102893668</v>
      </c>
      <c r="D1565" s="1" t="str">
        <f>"CK2024102882840"</f>
        <v>CK2024102882840</v>
      </c>
      <c r="E1565" s="1" t="str">
        <f>"6935585406923052822"</f>
        <v>6935585406923052822</v>
      </c>
      <c r="F1565" s="1" t="str">
        <f t="shared" si="496"/>
        <v>花都四部-凤凰仓</v>
      </c>
      <c r="G1565" s="1" t="str">
        <f t="shared" si="509"/>
        <v>卡卡杜个人护理店（抖店）</v>
      </c>
      <c r="H1565" s="1" t="str">
        <f t="shared" si="497"/>
        <v>正常订单</v>
      </c>
      <c r="I1565" s="1" t="str">
        <f t="shared" si="498"/>
        <v>已发货</v>
      </c>
      <c r="J1565" s="1" t="str">
        <f t="shared" si="508"/>
        <v>3</v>
      </c>
      <c r="K1565" s="1">
        <v>2</v>
      </c>
      <c r="L1565" s="1" t="s">
        <v>13</v>
      </c>
      <c r="M1565" s="1" t="str">
        <f>"江苏省 扬州市 邗江区 "</f>
        <v xml:space="preserve">江苏省 扬州市 邗江区 </v>
      </c>
      <c r="N1565" s="1" t="str">
        <f t="shared" si="510"/>
        <v>凡华云仓-城南圆通-抖音</v>
      </c>
      <c r="O1565" s="5" t="s">
        <v>1603</v>
      </c>
      <c r="P1565" s="6">
        <v>0.35</v>
      </c>
      <c r="Q1565" s="11">
        <v>2.2999999999999998</v>
      </c>
      <c r="R1565" s="11"/>
      <c r="S1565" s="11"/>
      <c r="T1565" s="11"/>
      <c r="U1565" s="11">
        <f t="shared" si="500"/>
        <v>2.2999999999999998</v>
      </c>
      <c r="W1565">
        <v>2.5</v>
      </c>
      <c r="X1565" s="1" t="s">
        <v>13</v>
      </c>
    </row>
    <row r="1566" spans="1:24" x14ac:dyDescent="0.25">
      <c r="A1566" s="1" t="str">
        <f t="shared" si="495"/>
        <v>卡卡杜-凤凰仓</v>
      </c>
      <c r="B1566" s="1" t="str">
        <f>"CK2024102812967"</f>
        <v>CK2024102812967</v>
      </c>
      <c r="C1566" s="1" t="str">
        <f>"DD2024102893669"</f>
        <v>DD2024102893669</v>
      </c>
      <c r="D1566" s="1" t="str">
        <f>"CK2024102882839"</f>
        <v>CK2024102882839</v>
      </c>
      <c r="E1566" s="1" t="str">
        <f>"6935585475006109248"</f>
        <v>6935585475006109248</v>
      </c>
      <c r="F1566" s="1" t="str">
        <f t="shared" si="496"/>
        <v>花都四部-凤凰仓</v>
      </c>
      <c r="G1566" s="1" t="str">
        <f t="shared" si="509"/>
        <v>卡卡杜个人护理店（抖店）</v>
      </c>
      <c r="H1566" s="1" t="str">
        <f t="shared" si="497"/>
        <v>正常订单</v>
      </c>
      <c r="I1566" s="1" t="str">
        <f t="shared" si="498"/>
        <v>已发货</v>
      </c>
      <c r="J1566" s="1" t="str">
        <f t="shared" si="508"/>
        <v>3</v>
      </c>
      <c r="K1566" s="1">
        <v>2</v>
      </c>
      <c r="L1566" s="1" t="s">
        <v>13</v>
      </c>
      <c r="M1566" s="1" t="str">
        <f>"江苏省 南京市 浦口区 顶山街道"</f>
        <v>江苏省 南京市 浦口区 顶山街道</v>
      </c>
      <c r="N1566" s="1" t="str">
        <f t="shared" si="510"/>
        <v>凡华云仓-城南圆通-抖音</v>
      </c>
      <c r="O1566" s="5" t="s">
        <v>1604</v>
      </c>
      <c r="P1566" s="6">
        <v>0.35</v>
      </c>
      <c r="Q1566" s="11">
        <v>2.2999999999999998</v>
      </c>
      <c r="R1566" s="11"/>
      <c r="S1566" s="11"/>
      <c r="T1566" s="11"/>
      <c r="U1566" s="11">
        <f t="shared" si="500"/>
        <v>2.2999999999999998</v>
      </c>
      <c r="W1566">
        <v>2.5</v>
      </c>
      <c r="X1566" s="1" t="s">
        <v>13</v>
      </c>
    </row>
    <row r="1567" spans="1:24" x14ac:dyDescent="0.25">
      <c r="A1567" s="1" t="str">
        <f t="shared" si="495"/>
        <v>卡卡杜-凤凰仓</v>
      </c>
      <c r="B1567" s="1" t="str">
        <f>"CK2024102812968"</f>
        <v>CK2024102812968</v>
      </c>
      <c r="C1567" s="1" t="str">
        <f>"DD2024102893670"</f>
        <v>DD2024102893670</v>
      </c>
      <c r="D1567" s="1" t="str">
        <f>"CK2024102882838"</f>
        <v>CK2024102882838</v>
      </c>
      <c r="E1567" s="1" t="str">
        <f>"6935581184755635682"</f>
        <v>6935581184755635682</v>
      </c>
      <c r="F1567" s="1" t="str">
        <f t="shared" si="496"/>
        <v>花都四部-凤凰仓</v>
      </c>
      <c r="G1567" s="1" t="str">
        <f t="shared" si="509"/>
        <v>卡卡杜个人护理店（抖店）</v>
      </c>
      <c r="H1567" s="1" t="str">
        <f t="shared" si="497"/>
        <v>正常订单</v>
      </c>
      <c r="I1567" s="1" t="str">
        <f t="shared" si="498"/>
        <v>已发货</v>
      </c>
      <c r="J1567" s="1" t="str">
        <f t="shared" si="508"/>
        <v>3</v>
      </c>
      <c r="K1567" s="1">
        <v>2</v>
      </c>
      <c r="L1567" s="1" t="s">
        <v>13</v>
      </c>
      <c r="M1567" s="1" t="str">
        <f>"江苏省 宿迁市 泗洪县 石集乡"</f>
        <v>江苏省 宿迁市 泗洪县 石集乡</v>
      </c>
      <c r="N1567" s="1" t="str">
        <f t="shared" si="510"/>
        <v>凡华云仓-城南圆通-抖音</v>
      </c>
      <c r="O1567" s="5" t="s">
        <v>1605</v>
      </c>
      <c r="P1567" s="6">
        <v>0.35</v>
      </c>
      <c r="Q1567" s="11">
        <v>2.2999999999999998</v>
      </c>
      <c r="R1567" s="11"/>
      <c r="S1567" s="11"/>
      <c r="T1567" s="11"/>
      <c r="U1567" s="11">
        <f t="shared" si="500"/>
        <v>2.2999999999999998</v>
      </c>
      <c r="W1567">
        <v>2.5</v>
      </c>
      <c r="X1567" s="1" t="s">
        <v>13</v>
      </c>
    </row>
    <row r="1568" spans="1:24" x14ac:dyDescent="0.25">
      <c r="A1568" s="1" t="str">
        <f t="shared" si="495"/>
        <v>卡卡杜-凤凰仓</v>
      </c>
      <c r="B1568" s="1" t="str">
        <f>"CK2024102812969"</f>
        <v>CK2024102812969</v>
      </c>
      <c r="C1568" s="1" t="str">
        <f>"DD2024102893673"</f>
        <v>DD2024102893673</v>
      </c>
      <c r="D1568" s="1" t="str">
        <f>"CK2024102882837"</f>
        <v>CK2024102882837</v>
      </c>
      <c r="E1568" s="1" t="str">
        <f>"6935567564902766412"</f>
        <v>6935567564902766412</v>
      </c>
      <c r="F1568" s="1" t="str">
        <f t="shared" si="496"/>
        <v>花都四部-凤凰仓</v>
      </c>
      <c r="G1568" s="1" t="str">
        <f t="shared" si="509"/>
        <v>卡卡杜个人护理店（抖店）</v>
      </c>
      <c r="H1568" s="1" t="str">
        <f t="shared" si="497"/>
        <v>正常订单</v>
      </c>
      <c r="I1568" s="1" t="str">
        <f t="shared" si="498"/>
        <v>已发货</v>
      </c>
      <c r="J1568" s="1" t="str">
        <f t="shared" si="508"/>
        <v>3</v>
      </c>
      <c r="K1568" s="1">
        <v>2</v>
      </c>
      <c r="L1568" s="1" t="s">
        <v>20</v>
      </c>
      <c r="M1568" s="1" t="str">
        <f>"浙江省 绍兴市 诸暨市 大唐街道"</f>
        <v>浙江省 绍兴市 诸暨市 大唐街道</v>
      </c>
      <c r="N1568" s="1" t="str">
        <f t="shared" si="510"/>
        <v>凡华云仓-城南圆通-抖音</v>
      </c>
      <c r="O1568" s="5" t="s">
        <v>1606</v>
      </c>
      <c r="P1568" s="6">
        <v>0.35</v>
      </c>
      <c r="Q1568" s="11">
        <v>2.2999999999999998</v>
      </c>
      <c r="R1568" s="11"/>
      <c r="S1568" s="11"/>
      <c r="T1568" s="11"/>
      <c r="U1568" s="11">
        <f t="shared" si="500"/>
        <v>2.2999999999999998</v>
      </c>
      <c r="W1568">
        <v>2.5</v>
      </c>
      <c r="X1568" s="1" t="s">
        <v>20</v>
      </c>
    </row>
    <row r="1569" spans="1:24" x14ac:dyDescent="0.25">
      <c r="A1569" s="1" t="str">
        <f t="shared" si="495"/>
        <v>卡卡杜-凤凰仓</v>
      </c>
      <c r="B1569" s="1" t="str">
        <f>"CK2024102812970"</f>
        <v>CK2024102812970</v>
      </c>
      <c r="C1569" s="1" t="str">
        <f>"DD2024102893672"</f>
        <v>DD2024102893672</v>
      </c>
      <c r="D1569" s="1" t="str">
        <f>"CK2024102882836"</f>
        <v>CK2024102882836</v>
      </c>
      <c r="E1569" s="1" t="str">
        <f>"6935594646349747819"</f>
        <v>6935594646349747819</v>
      </c>
      <c r="F1569" s="1" t="str">
        <f t="shared" si="496"/>
        <v>花都四部-凤凰仓</v>
      </c>
      <c r="G1569" s="1" t="str">
        <f t="shared" si="509"/>
        <v>卡卡杜个人护理店（抖店）</v>
      </c>
      <c r="H1569" s="1" t="str">
        <f t="shared" si="497"/>
        <v>正常订单</v>
      </c>
      <c r="I1569" s="1" t="str">
        <f t="shared" si="498"/>
        <v>已发货</v>
      </c>
      <c r="J1569" s="1" t="str">
        <f t="shared" si="508"/>
        <v>3</v>
      </c>
      <c r="K1569" s="1">
        <v>3</v>
      </c>
      <c r="L1569" s="1" t="s">
        <v>80</v>
      </c>
      <c r="M1569" s="1" t="str">
        <f>"河南省 驻马店市 平舆县 清河街道"</f>
        <v>河南省 驻马店市 平舆县 清河街道</v>
      </c>
      <c r="N1569" s="1" t="str">
        <f t="shared" si="510"/>
        <v>凡华云仓-城南圆通-抖音</v>
      </c>
      <c r="O1569" s="5" t="s">
        <v>1607</v>
      </c>
      <c r="P1569" s="6">
        <v>0.34</v>
      </c>
      <c r="Q1569" s="11">
        <v>2.2999999999999998</v>
      </c>
      <c r="R1569" s="11"/>
      <c r="S1569" s="11"/>
      <c r="T1569" s="11"/>
      <c r="U1569" s="11">
        <f t="shared" si="500"/>
        <v>2.2999999999999998</v>
      </c>
      <c r="W1569">
        <v>2.5</v>
      </c>
      <c r="X1569" s="1" t="s">
        <v>80</v>
      </c>
    </row>
    <row r="1570" spans="1:24" x14ac:dyDescent="0.25">
      <c r="A1570" s="1" t="str">
        <f t="shared" si="495"/>
        <v>卡卡杜-凤凰仓</v>
      </c>
      <c r="B1570" s="1" t="str">
        <f>"CK2024102812971"</f>
        <v>CK2024102812971</v>
      </c>
      <c r="C1570" s="1" t="str">
        <f>"DD2024102893671"</f>
        <v>DD2024102893671</v>
      </c>
      <c r="D1570" s="1" t="str">
        <f>"CK2024102882835"</f>
        <v>CK2024102882835</v>
      </c>
      <c r="E1570" s="1" t="str">
        <f>"6935583740201735953"</f>
        <v>6935583740201735953</v>
      </c>
      <c r="F1570" s="1" t="str">
        <f t="shared" si="496"/>
        <v>花都四部-凤凰仓</v>
      </c>
      <c r="G1570" s="1" t="str">
        <f t="shared" si="509"/>
        <v>卡卡杜个人护理店（抖店）</v>
      </c>
      <c r="H1570" s="1" t="str">
        <f t="shared" si="497"/>
        <v>正常订单</v>
      </c>
      <c r="I1570" s="1" t="str">
        <f t="shared" si="498"/>
        <v>已发货</v>
      </c>
      <c r="J1570" s="1" t="str">
        <f t="shared" si="508"/>
        <v>3</v>
      </c>
      <c r="K1570" s="1">
        <v>2</v>
      </c>
      <c r="L1570" s="1" t="s">
        <v>20</v>
      </c>
      <c r="M1570" s="1" t="str">
        <f>"浙江省 金华市 义乌市 城西街道"</f>
        <v>浙江省 金华市 义乌市 城西街道</v>
      </c>
      <c r="N1570" s="1" t="str">
        <f t="shared" si="510"/>
        <v>凡华云仓-城南圆通-抖音</v>
      </c>
      <c r="O1570" s="5" t="s">
        <v>1608</v>
      </c>
      <c r="P1570" s="6">
        <v>0.35</v>
      </c>
      <c r="Q1570" s="11">
        <v>2.2999999999999998</v>
      </c>
      <c r="R1570" s="11"/>
      <c r="S1570" s="11"/>
      <c r="T1570" s="11"/>
      <c r="U1570" s="11">
        <f t="shared" si="500"/>
        <v>2.2999999999999998</v>
      </c>
      <c r="W1570">
        <v>2.5</v>
      </c>
      <c r="X1570" s="1" t="s">
        <v>20</v>
      </c>
    </row>
    <row r="1571" spans="1:24" x14ac:dyDescent="0.25">
      <c r="A1571" s="1" t="str">
        <f t="shared" si="495"/>
        <v>卡卡杜-凤凰仓</v>
      </c>
      <c r="B1571" s="1" t="str">
        <f>"CK2024102812972"</f>
        <v>CK2024102812972</v>
      </c>
      <c r="C1571" s="1" t="str">
        <f>"DD2024102893674"</f>
        <v>DD2024102893674</v>
      </c>
      <c r="D1571" s="1" t="str">
        <f>"CK2024102882834"</f>
        <v>CK2024102882834</v>
      </c>
      <c r="E1571" s="1" t="str">
        <f>"6935565693101872369"</f>
        <v>6935565693101872369</v>
      </c>
      <c r="F1571" s="1" t="str">
        <f t="shared" si="496"/>
        <v>花都四部-凤凰仓</v>
      </c>
      <c r="G1571" s="1" t="str">
        <f t="shared" si="509"/>
        <v>卡卡杜个人护理店（抖店）</v>
      </c>
      <c r="H1571" s="1" t="str">
        <f t="shared" si="497"/>
        <v>正常订单</v>
      </c>
      <c r="I1571" s="1" t="str">
        <f t="shared" si="498"/>
        <v>已发货</v>
      </c>
      <c r="J1571" s="1" t="str">
        <f t="shared" si="508"/>
        <v>3</v>
      </c>
      <c r="K1571" s="1">
        <v>2</v>
      </c>
      <c r="L1571" s="1" t="s">
        <v>13</v>
      </c>
      <c r="M1571" s="1" t="str">
        <f>"江苏省 南京市 江宁区 汤山街道"</f>
        <v>江苏省 南京市 江宁区 汤山街道</v>
      </c>
      <c r="N1571" s="1" t="str">
        <f t="shared" si="510"/>
        <v>凡华云仓-城南圆通-抖音</v>
      </c>
      <c r="O1571" s="5" t="s">
        <v>1609</v>
      </c>
      <c r="P1571" s="6">
        <v>0.35</v>
      </c>
      <c r="Q1571" s="11">
        <v>2.2999999999999998</v>
      </c>
      <c r="R1571" s="11"/>
      <c r="S1571" s="11"/>
      <c r="T1571" s="11"/>
      <c r="U1571" s="11">
        <f t="shared" si="500"/>
        <v>2.2999999999999998</v>
      </c>
      <c r="W1571">
        <v>2.5</v>
      </c>
      <c r="X1571" s="1" t="s">
        <v>13</v>
      </c>
    </row>
    <row r="1572" spans="1:24" x14ac:dyDescent="0.25">
      <c r="A1572" s="1" t="str">
        <f t="shared" si="495"/>
        <v>卡卡杜-凤凰仓</v>
      </c>
      <c r="B1572" s="1" t="str">
        <f>"CK2024102812973"</f>
        <v>CK2024102812973</v>
      </c>
      <c r="C1572" s="1" t="str">
        <f>"DD2024102893675"</f>
        <v>DD2024102893675</v>
      </c>
      <c r="D1572" s="1" t="str">
        <f>"CK2024102882833"</f>
        <v>CK2024102882833</v>
      </c>
      <c r="E1572" s="1" t="str">
        <f>"6935572150384334203"</f>
        <v>6935572150384334203</v>
      </c>
      <c r="F1572" s="1" t="str">
        <f t="shared" si="496"/>
        <v>花都四部-凤凰仓</v>
      </c>
      <c r="G1572" s="1" t="str">
        <f t="shared" si="509"/>
        <v>卡卡杜个人护理店（抖店）</v>
      </c>
      <c r="H1572" s="1" t="str">
        <f t="shared" si="497"/>
        <v>正常订单</v>
      </c>
      <c r="I1572" s="1" t="str">
        <f t="shared" si="498"/>
        <v>已发货</v>
      </c>
      <c r="J1572" s="1" t="str">
        <f t="shared" si="508"/>
        <v>3</v>
      </c>
      <c r="K1572" s="1">
        <v>2</v>
      </c>
      <c r="L1572" s="1" t="s">
        <v>66</v>
      </c>
      <c r="M1572" s="1" t="str">
        <f>"内蒙古自治区 包头市 青山区 乌素图街道"</f>
        <v>内蒙古自治区 包头市 青山区 乌素图街道</v>
      </c>
      <c r="N1572" s="1" t="str">
        <f t="shared" si="510"/>
        <v>凡华云仓-城南圆通-抖音</v>
      </c>
      <c r="O1572" s="5" t="s">
        <v>1610</v>
      </c>
      <c r="P1572" s="6">
        <v>0.35</v>
      </c>
      <c r="Q1572" s="11">
        <v>2.2999999999999998</v>
      </c>
      <c r="R1572" s="11"/>
      <c r="S1572" s="11"/>
      <c r="T1572" s="11"/>
      <c r="U1572" s="11">
        <f t="shared" si="500"/>
        <v>2.2999999999999998</v>
      </c>
      <c r="W1572">
        <v>2.5</v>
      </c>
      <c r="X1572" s="1" t="s">
        <v>66</v>
      </c>
    </row>
    <row r="1573" spans="1:24" x14ac:dyDescent="0.25">
      <c r="A1573" s="1" t="str">
        <f t="shared" si="495"/>
        <v>卡卡杜-凤凰仓</v>
      </c>
      <c r="B1573" s="1" t="str">
        <f>"CK2024102812974"</f>
        <v>CK2024102812974</v>
      </c>
      <c r="C1573" s="1" t="str">
        <f>"DD2024102893676"</f>
        <v>DD2024102893676</v>
      </c>
      <c r="D1573" s="1" t="str">
        <f>"CK2024102882832"</f>
        <v>CK2024102882832</v>
      </c>
      <c r="E1573" s="1" t="str">
        <f>"6935587773592508197"</f>
        <v>6935587773592508197</v>
      </c>
      <c r="F1573" s="1" t="str">
        <f t="shared" si="496"/>
        <v>花都四部-凤凰仓</v>
      </c>
      <c r="G1573" s="1" t="str">
        <f t="shared" si="509"/>
        <v>卡卡杜个人护理店（抖店）</v>
      </c>
      <c r="H1573" s="1" t="str">
        <f t="shared" si="497"/>
        <v>正常订单</v>
      </c>
      <c r="I1573" s="1" t="str">
        <f t="shared" si="498"/>
        <v>已发货</v>
      </c>
      <c r="J1573" s="1" t="str">
        <f t="shared" si="508"/>
        <v>3</v>
      </c>
      <c r="K1573" s="1">
        <v>2</v>
      </c>
      <c r="L1573" s="1" t="s">
        <v>41</v>
      </c>
      <c r="M1573" s="1" t="str">
        <f>"湖北省 武汉市 东西湖区 径河街道"</f>
        <v>湖北省 武汉市 东西湖区 径河街道</v>
      </c>
      <c r="N1573" s="1" t="str">
        <f t="shared" si="510"/>
        <v>凡华云仓-城南圆通-抖音</v>
      </c>
      <c r="O1573" s="5" t="s">
        <v>1611</v>
      </c>
      <c r="P1573" s="6">
        <v>0.35</v>
      </c>
      <c r="Q1573" s="11">
        <v>2.2999999999999998</v>
      </c>
      <c r="R1573" s="11"/>
      <c r="S1573" s="11"/>
      <c r="T1573" s="11"/>
      <c r="U1573" s="11">
        <f t="shared" si="500"/>
        <v>2.2999999999999998</v>
      </c>
      <c r="W1573">
        <v>2.5</v>
      </c>
      <c r="X1573" s="1" t="s">
        <v>41</v>
      </c>
    </row>
    <row r="1574" spans="1:24" x14ac:dyDescent="0.25">
      <c r="A1574" s="1" t="str">
        <f t="shared" si="495"/>
        <v>卡卡杜-凤凰仓</v>
      </c>
      <c r="B1574" s="1" t="str">
        <f>"CK2024102812975"</f>
        <v>CK2024102812975</v>
      </c>
      <c r="C1574" s="1" t="str">
        <f>"DD2024102893678"</f>
        <v>DD2024102893678</v>
      </c>
      <c r="D1574" s="1" t="str">
        <f>"CK2024102882831"</f>
        <v>CK2024102882831</v>
      </c>
      <c r="E1574" s="1" t="str">
        <f>"6935567782516037148"</f>
        <v>6935567782516037148</v>
      </c>
      <c r="F1574" s="1" t="str">
        <f t="shared" si="496"/>
        <v>花都四部-凤凰仓</v>
      </c>
      <c r="G1574" s="1" t="str">
        <f t="shared" si="509"/>
        <v>卡卡杜个人护理店（抖店）</v>
      </c>
      <c r="H1574" s="1" t="str">
        <f t="shared" si="497"/>
        <v>正常订单</v>
      </c>
      <c r="I1574" s="1" t="str">
        <f t="shared" si="498"/>
        <v>已发货</v>
      </c>
      <c r="J1574" s="1" t="str">
        <f t="shared" si="508"/>
        <v>3</v>
      </c>
      <c r="K1574" s="1">
        <v>2</v>
      </c>
      <c r="L1574" s="1" t="s">
        <v>13</v>
      </c>
      <c r="M1574" s="1" t="str">
        <f>"江苏省 南京市 江宁区 江宁街道"</f>
        <v>江苏省 南京市 江宁区 江宁街道</v>
      </c>
      <c r="N1574" s="1" t="str">
        <f t="shared" si="510"/>
        <v>凡华云仓-城南圆通-抖音</v>
      </c>
      <c r="O1574" s="5" t="s">
        <v>1612</v>
      </c>
      <c r="P1574" s="6">
        <v>0.35</v>
      </c>
      <c r="Q1574" s="11">
        <v>2.2999999999999998</v>
      </c>
      <c r="R1574" s="11"/>
      <c r="S1574" s="11"/>
      <c r="T1574" s="11"/>
      <c r="U1574" s="11">
        <f t="shared" si="500"/>
        <v>2.2999999999999998</v>
      </c>
      <c r="W1574">
        <v>2.5</v>
      </c>
      <c r="X1574" s="1" t="s">
        <v>13</v>
      </c>
    </row>
    <row r="1575" spans="1:24" x14ac:dyDescent="0.25">
      <c r="A1575" s="1" t="str">
        <f t="shared" si="495"/>
        <v>卡卡杜-凤凰仓</v>
      </c>
      <c r="B1575" s="1" t="str">
        <f>"CK2024102812976"</f>
        <v>CK2024102812976</v>
      </c>
      <c r="C1575" s="1" t="str">
        <f>"DD2024102893677"</f>
        <v>DD2024102893677</v>
      </c>
      <c r="D1575" s="1" t="str">
        <f>"CK2024102882830"</f>
        <v>CK2024102882830</v>
      </c>
      <c r="E1575" s="1" t="str">
        <f>"6935594630103438842"</f>
        <v>6935594630103438842</v>
      </c>
      <c r="F1575" s="1" t="str">
        <f t="shared" si="496"/>
        <v>花都四部-凤凰仓</v>
      </c>
      <c r="G1575" s="1" t="str">
        <f t="shared" si="509"/>
        <v>卡卡杜个人护理店（抖店）</v>
      </c>
      <c r="H1575" s="1" t="str">
        <f t="shared" si="497"/>
        <v>正常订单</v>
      </c>
      <c r="I1575" s="1" t="str">
        <f t="shared" si="498"/>
        <v>已发货</v>
      </c>
      <c r="J1575" s="1" t="str">
        <f t="shared" si="508"/>
        <v>3</v>
      </c>
      <c r="K1575" s="1">
        <v>2</v>
      </c>
      <c r="L1575" s="1" t="s">
        <v>20</v>
      </c>
      <c r="M1575" s="1" t="str">
        <f>"浙江省 衢州市 龙游县 模环乡"</f>
        <v>浙江省 衢州市 龙游县 模环乡</v>
      </c>
      <c r="N1575" s="1" t="str">
        <f t="shared" si="510"/>
        <v>凡华云仓-城南圆通-抖音</v>
      </c>
      <c r="O1575" s="5" t="s">
        <v>1613</v>
      </c>
      <c r="P1575" s="6">
        <v>0.35</v>
      </c>
      <c r="Q1575" s="11">
        <v>2.2999999999999998</v>
      </c>
      <c r="R1575" s="11"/>
      <c r="S1575" s="11"/>
      <c r="T1575" s="11"/>
      <c r="U1575" s="11">
        <f t="shared" si="500"/>
        <v>2.2999999999999998</v>
      </c>
      <c r="W1575">
        <v>2.5</v>
      </c>
      <c r="X1575" s="1" t="s">
        <v>20</v>
      </c>
    </row>
    <row r="1576" spans="1:24" x14ac:dyDescent="0.25">
      <c r="A1576" s="1" t="str">
        <f t="shared" si="495"/>
        <v>卡卡杜-凤凰仓</v>
      </c>
      <c r="B1576" s="1" t="str">
        <f>"CK2024102812977"</f>
        <v>CK2024102812977</v>
      </c>
      <c r="C1576" s="1" t="str">
        <f>"DD2024102893679"</f>
        <v>DD2024102893679</v>
      </c>
      <c r="D1576" s="1" t="str">
        <f>"CK2024102882829"</f>
        <v>CK2024102882829</v>
      </c>
      <c r="E1576" s="1" t="str">
        <f>"6935589895483234000"</f>
        <v>6935589895483234000</v>
      </c>
      <c r="F1576" s="1" t="str">
        <f t="shared" si="496"/>
        <v>花都四部-凤凰仓</v>
      </c>
      <c r="G1576" s="1" t="str">
        <f t="shared" si="509"/>
        <v>卡卡杜个人护理店（抖店）</v>
      </c>
      <c r="H1576" s="1" t="str">
        <f t="shared" si="497"/>
        <v>正常订单</v>
      </c>
      <c r="I1576" s="1" t="str">
        <f t="shared" si="498"/>
        <v>已发货</v>
      </c>
      <c r="J1576" s="1" t="str">
        <f t="shared" si="508"/>
        <v>3</v>
      </c>
      <c r="K1576" s="1">
        <v>2</v>
      </c>
      <c r="L1576" s="1" t="s">
        <v>74</v>
      </c>
      <c r="M1576" s="1" t="str">
        <f>"上海 上海市 闵行区 浦江镇"</f>
        <v>上海 上海市 闵行区 浦江镇</v>
      </c>
      <c r="N1576" s="1" t="str">
        <f t="shared" si="510"/>
        <v>凡华云仓-城南圆通-抖音</v>
      </c>
      <c r="O1576" s="5" t="s">
        <v>1614</v>
      </c>
      <c r="P1576" s="6">
        <v>0.35</v>
      </c>
      <c r="Q1576" s="11">
        <v>2.2999999999999998</v>
      </c>
      <c r="R1576" s="11"/>
      <c r="S1576" s="11"/>
      <c r="T1576" s="11"/>
      <c r="U1576" s="11">
        <f t="shared" si="500"/>
        <v>2.2999999999999998</v>
      </c>
      <c r="W1576">
        <v>2.5</v>
      </c>
      <c r="X1576" s="1" t="s">
        <v>74</v>
      </c>
    </row>
    <row r="1577" spans="1:24" x14ac:dyDescent="0.25">
      <c r="A1577" s="1" t="str">
        <f t="shared" si="495"/>
        <v>卡卡杜-凤凰仓</v>
      </c>
      <c r="B1577" s="1" t="str">
        <f>"CK2024102812978"</f>
        <v>CK2024102812978</v>
      </c>
      <c r="C1577" s="1" t="str">
        <f>"DD2024102893680"</f>
        <v>DD2024102893680</v>
      </c>
      <c r="D1577" s="1" t="str">
        <f>"CK2024102882828"</f>
        <v>CK2024102882828</v>
      </c>
      <c r="E1577" s="1" t="str">
        <f>"6935565743588972409"</f>
        <v>6935565743588972409</v>
      </c>
      <c r="F1577" s="1" t="str">
        <f t="shared" si="496"/>
        <v>花都四部-凤凰仓</v>
      </c>
      <c r="G1577" s="1" t="str">
        <f t="shared" si="509"/>
        <v>卡卡杜个人护理店（抖店）</v>
      </c>
      <c r="H1577" s="1" t="str">
        <f t="shared" si="497"/>
        <v>正常订单</v>
      </c>
      <c r="I1577" s="1" t="str">
        <f t="shared" si="498"/>
        <v>已发货</v>
      </c>
      <c r="J1577" s="1" t="str">
        <f t="shared" si="508"/>
        <v>3</v>
      </c>
      <c r="K1577" s="1">
        <v>2</v>
      </c>
      <c r="L1577" s="1" t="s">
        <v>74</v>
      </c>
      <c r="M1577" s="1" t="str">
        <f>"上海 上海市 金山区 金山卫镇"</f>
        <v>上海 上海市 金山区 金山卫镇</v>
      </c>
      <c r="N1577" s="1" t="str">
        <f t="shared" si="510"/>
        <v>凡华云仓-城南圆通-抖音</v>
      </c>
      <c r="O1577" s="5" t="s">
        <v>1615</v>
      </c>
      <c r="P1577" s="6">
        <v>0.35</v>
      </c>
      <c r="Q1577" s="11">
        <v>2.2999999999999998</v>
      </c>
      <c r="R1577" s="11"/>
      <c r="S1577" s="11"/>
      <c r="T1577" s="11"/>
      <c r="U1577" s="11">
        <f t="shared" si="500"/>
        <v>2.2999999999999998</v>
      </c>
      <c r="W1577">
        <v>2.5</v>
      </c>
      <c r="X1577" s="1" t="s">
        <v>74</v>
      </c>
    </row>
    <row r="1578" spans="1:24" x14ac:dyDescent="0.25">
      <c r="A1578" s="1" t="str">
        <f t="shared" si="495"/>
        <v>卡卡杜-凤凰仓</v>
      </c>
      <c r="B1578" s="1" t="str">
        <f>"CK2024102812979"</f>
        <v>CK2024102812979</v>
      </c>
      <c r="C1578" s="1" t="str">
        <f>"DD2024102893681"</f>
        <v>DD2024102893681</v>
      </c>
      <c r="D1578" s="1" t="str">
        <f>"CK2024102882827"</f>
        <v>CK2024102882827</v>
      </c>
      <c r="E1578" s="1" t="str">
        <f>"6935572240592213695"</f>
        <v>6935572240592213695</v>
      </c>
      <c r="F1578" s="1" t="str">
        <f t="shared" si="496"/>
        <v>花都四部-凤凰仓</v>
      </c>
      <c r="G1578" s="1" t="str">
        <f t="shared" si="509"/>
        <v>卡卡杜个人护理店（抖店）</v>
      </c>
      <c r="H1578" s="1" t="str">
        <f t="shared" si="497"/>
        <v>正常订单</v>
      </c>
      <c r="I1578" s="1" t="str">
        <f t="shared" si="498"/>
        <v>已发货</v>
      </c>
      <c r="J1578" s="1" t="str">
        <f t="shared" si="508"/>
        <v>3</v>
      </c>
      <c r="K1578" s="1">
        <v>2</v>
      </c>
      <c r="L1578" s="1" t="s">
        <v>13</v>
      </c>
      <c r="M1578" s="1" t="str">
        <f>"江苏省 常州市 武进区 遥观镇"</f>
        <v>江苏省 常州市 武进区 遥观镇</v>
      </c>
      <c r="N1578" s="1" t="str">
        <f t="shared" si="510"/>
        <v>凡华云仓-城南圆通-抖音</v>
      </c>
      <c r="O1578" s="5" t="s">
        <v>1616</v>
      </c>
      <c r="P1578" s="6">
        <v>0.35</v>
      </c>
      <c r="Q1578" s="11">
        <v>2.2999999999999998</v>
      </c>
      <c r="R1578" s="11"/>
      <c r="S1578" s="11"/>
      <c r="T1578" s="11"/>
      <c r="U1578" s="11">
        <f t="shared" si="500"/>
        <v>2.2999999999999998</v>
      </c>
      <c r="W1578">
        <v>2.5</v>
      </c>
      <c r="X1578" s="1" t="s">
        <v>13</v>
      </c>
    </row>
    <row r="1579" spans="1:24" x14ac:dyDescent="0.25">
      <c r="A1579" s="1" t="str">
        <f t="shared" si="495"/>
        <v>卡卡杜-凤凰仓</v>
      </c>
      <c r="B1579" s="1" t="str">
        <f>"CK2024102812980"</f>
        <v>CK2024102812980</v>
      </c>
      <c r="C1579" s="1" t="str">
        <f>"DD2024102893683"</f>
        <v>DD2024102893683</v>
      </c>
      <c r="D1579" s="1" t="str">
        <f>"CK2024102882826"</f>
        <v>CK2024102882826</v>
      </c>
      <c r="E1579" s="1" t="str">
        <f>"6935589843061577135"</f>
        <v>6935589843061577135</v>
      </c>
      <c r="F1579" s="1" t="str">
        <f t="shared" si="496"/>
        <v>花都四部-凤凰仓</v>
      </c>
      <c r="G1579" s="1" t="str">
        <f t="shared" si="509"/>
        <v>卡卡杜个人护理店（抖店）</v>
      </c>
      <c r="H1579" s="1" t="str">
        <f t="shared" si="497"/>
        <v>正常订单</v>
      </c>
      <c r="I1579" s="1" t="str">
        <f t="shared" si="498"/>
        <v>已发货</v>
      </c>
      <c r="J1579" s="1" t="str">
        <f t="shared" si="508"/>
        <v>3</v>
      </c>
      <c r="K1579" s="1">
        <v>2</v>
      </c>
      <c r="L1579" s="1" t="s">
        <v>13</v>
      </c>
      <c r="M1579" s="1" t="str">
        <f>"江苏省 盐城市 盐都区 尚庄镇"</f>
        <v>江苏省 盐城市 盐都区 尚庄镇</v>
      </c>
      <c r="N1579" s="1" t="str">
        <f t="shared" si="510"/>
        <v>凡华云仓-城南圆通-抖音</v>
      </c>
      <c r="O1579" s="5" t="s">
        <v>1617</v>
      </c>
      <c r="P1579" s="6">
        <v>0.35</v>
      </c>
      <c r="Q1579" s="11">
        <v>2.2999999999999998</v>
      </c>
      <c r="R1579" s="11"/>
      <c r="S1579" s="11"/>
      <c r="T1579" s="11"/>
      <c r="U1579" s="11">
        <f t="shared" si="500"/>
        <v>2.2999999999999998</v>
      </c>
      <c r="W1579">
        <v>2.5</v>
      </c>
      <c r="X1579" s="1" t="s">
        <v>13</v>
      </c>
    </row>
    <row r="1580" spans="1:24" x14ac:dyDescent="0.25">
      <c r="A1580" s="1" t="str">
        <f t="shared" si="495"/>
        <v>卡卡杜-凤凰仓</v>
      </c>
      <c r="B1580" s="1" t="str">
        <f>"CK2024102812981"</f>
        <v>CK2024102812981</v>
      </c>
      <c r="C1580" s="1" t="str">
        <f>"DD2024102893682"</f>
        <v>DD2024102893682</v>
      </c>
      <c r="D1580" s="1" t="str">
        <f>"CK2024102882825"</f>
        <v>CK2024102882825</v>
      </c>
      <c r="E1580" s="1" t="str">
        <f>"6935567751453283726"</f>
        <v>6935567751453283726</v>
      </c>
      <c r="F1580" s="1" t="str">
        <f t="shared" si="496"/>
        <v>花都四部-凤凰仓</v>
      </c>
      <c r="G1580" s="1" t="str">
        <f t="shared" si="509"/>
        <v>卡卡杜个人护理店（抖店）</v>
      </c>
      <c r="H1580" s="1" t="str">
        <f t="shared" si="497"/>
        <v>正常订单</v>
      </c>
      <c r="I1580" s="1" t="str">
        <f t="shared" si="498"/>
        <v>已发货</v>
      </c>
      <c r="J1580" s="1" t="str">
        <f t="shared" si="508"/>
        <v>3</v>
      </c>
      <c r="K1580" s="1">
        <v>2</v>
      </c>
      <c r="L1580" s="1" t="s">
        <v>20</v>
      </c>
      <c r="M1580" s="1" t="str">
        <f>"浙江省 台州市 温岭市 太平街道"</f>
        <v>浙江省 台州市 温岭市 太平街道</v>
      </c>
      <c r="N1580" s="1" t="str">
        <f t="shared" si="510"/>
        <v>凡华云仓-城南圆通-抖音</v>
      </c>
      <c r="O1580" s="5" t="s">
        <v>1618</v>
      </c>
      <c r="P1580" s="6">
        <v>0.35</v>
      </c>
      <c r="Q1580" s="11">
        <v>2.2999999999999998</v>
      </c>
      <c r="R1580" s="11"/>
      <c r="S1580" s="11"/>
      <c r="T1580" s="11"/>
      <c r="U1580" s="11">
        <f t="shared" si="500"/>
        <v>2.2999999999999998</v>
      </c>
      <c r="W1580">
        <v>2.5</v>
      </c>
      <c r="X1580" s="1" t="s">
        <v>20</v>
      </c>
    </row>
    <row r="1581" spans="1:24" x14ac:dyDescent="0.25">
      <c r="A1581" s="1" t="str">
        <f t="shared" si="495"/>
        <v>卡卡杜-凤凰仓</v>
      </c>
      <c r="B1581" s="1" t="str">
        <f>"CK2024102812982"</f>
        <v>CK2024102812982</v>
      </c>
      <c r="C1581" s="1" t="str">
        <f>"DD2024102893684"</f>
        <v>DD2024102893684</v>
      </c>
      <c r="D1581" s="1" t="str">
        <f>"CK2024102882824"</f>
        <v>CK2024102882824</v>
      </c>
      <c r="E1581" s="1" t="str">
        <f>"6935567763287971743"</f>
        <v>6935567763287971743</v>
      </c>
      <c r="F1581" s="1" t="str">
        <f t="shared" si="496"/>
        <v>花都四部-凤凰仓</v>
      </c>
      <c r="G1581" s="1" t="str">
        <f t="shared" si="509"/>
        <v>卡卡杜个人护理店（抖店）</v>
      </c>
      <c r="H1581" s="1" t="str">
        <f t="shared" si="497"/>
        <v>正常订单</v>
      </c>
      <c r="I1581" s="1" t="str">
        <f t="shared" si="498"/>
        <v>已发货</v>
      </c>
      <c r="J1581" s="1" t="str">
        <f t="shared" si="508"/>
        <v>3</v>
      </c>
      <c r="K1581" s="1">
        <v>2</v>
      </c>
      <c r="L1581" s="1" t="s">
        <v>16</v>
      </c>
      <c r="M1581" s="1" t="str">
        <f>"河北省 保定市 涿州市 桃园街道"</f>
        <v>河北省 保定市 涿州市 桃园街道</v>
      </c>
      <c r="N1581" s="1" t="str">
        <f t="shared" si="510"/>
        <v>凡华云仓-城南圆通-抖音</v>
      </c>
      <c r="O1581" s="5" t="s">
        <v>1619</v>
      </c>
      <c r="P1581" s="6">
        <v>0.35</v>
      </c>
      <c r="Q1581" s="11">
        <v>2.2999999999999998</v>
      </c>
      <c r="R1581" s="11"/>
      <c r="S1581" s="11"/>
      <c r="T1581" s="11"/>
      <c r="U1581" s="11">
        <f t="shared" si="500"/>
        <v>2.2999999999999998</v>
      </c>
      <c r="W1581">
        <v>2.5</v>
      </c>
      <c r="X1581" s="1" t="s">
        <v>16</v>
      </c>
    </row>
    <row r="1582" spans="1:24" x14ac:dyDescent="0.25">
      <c r="A1582" s="1" t="str">
        <f t="shared" si="495"/>
        <v>卡卡杜-凤凰仓</v>
      </c>
      <c r="B1582" s="1" t="str">
        <f>"CK2024102812983"</f>
        <v>CK2024102812983</v>
      </c>
      <c r="C1582" s="1" t="str">
        <f>"DD2024102893686"</f>
        <v>DD2024102893686</v>
      </c>
      <c r="D1582" s="1" t="str">
        <f>"CK2024102882823"</f>
        <v>CK2024102882823</v>
      </c>
      <c r="E1582" s="1" t="str">
        <f>"6935594583858747176"</f>
        <v>6935594583858747176</v>
      </c>
      <c r="F1582" s="1" t="str">
        <f t="shared" si="496"/>
        <v>花都四部-凤凰仓</v>
      </c>
      <c r="G1582" s="1" t="str">
        <f t="shared" si="509"/>
        <v>卡卡杜个人护理店（抖店）</v>
      </c>
      <c r="H1582" s="1" t="str">
        <f t="shared" si="497"/>
        <v>正常订单</v>
      </c>
      <c r="I1582" s="1" t="str">
        <f t="shared" si="498"/>
        <v>已发货</v>
      </c>
      <c r="J1582" s="1" t="str">
        <f t="shared" si="508"/>
        <v>3</v>
      </c>
      <c r="K1582" s="1">
        <v>2</v>
      </c>
      <c r="L1582" s="1" t="s">
        <v>36</v>
      </c>
      <c r="M1582" s="1" t="str">
        <f>"安徽省 马鞍山市 含山县 环峰镇"</f>
        <v>安徽省 马鞍山市 含山县 环峰镇</v>
      </c>
      <c r="N1582" s="1" t="str">
        <f t="shared" si="510"/>
        <v>凡华云仓-城南圆通-抖音</v>
      </c>
      <c r="O1582" s="5" t="s">
        <v>1620</v>
      </c>
      <c r="P1582" s="6">
        <v>0.35</v>
      </c>
      <c r="Q1582" s="11">
        <v>2.2999999999999998</v>
      </c>
      <c r="R1582" s="11"/>
      <c r="S1582" s="11"/>
      <c r="T1582" s="11"/>
      <c r="U1582" s="11">
        <f t="shared" si="500"/>
        <v>2.2999999999999998</v>
      </c>
      <c r="W1582">
        <v>2.5</v>
      </c>
      <c r="X1582" s="1" t="s">
        <v>36</v>
      </c>
    </row>
    <row r="1583" spans="1:24" x14ac:dyDescent="0.25">
      <c r="A1583" s="1" t="str">
        <f t="shared" si="495"/>
        <v>卡卡杜-凤凰仓</v>
      </c>
      <c r="B1583" s="1" t="str">
        <f>"CK2024102812985"</f>
        <v>CK2024102812985</v>
      </c>
      <c r="C1583" s="1" t="str">
        <f>"DD2024102893687"</f>
        <v>DD2024102893687</v>
      </c>
      <c r="D1583" s="1" t="str">
        <f>"CK2024102882822"</f>
        <v>CK2024102882822</v>
      </c>
      <c r="E1583" s="1" t="str">
        <f>"6935583574596327130"</f>
        <v>6935583574596327130</v>
      </c>
      <c r="F1583" s="1" t="str">
        <f t="shared" si="496"/>
        <v>花都四部-凤凰仓</v>
      </c>
      <c r="G1583" s="1" t="str">
        <f t="shared" si="509"/>
        <v>卡卡杜个人护理店（抖店）</v>
      </c>
      <c r="H1583" s="1" t="str">
        <f t="shared" si="497"/>
        <v>正常订单</v>
      </c>
      <c r="I1583" s="1" t="str">
        <f t="shared" si="498"/>
        <v>已发货</v>
      </c>
      <c r="J1583" s="1" t="str">
        <f t="shared" si="508"/>
        <v>3</v>
      </c>
      <c r="K1583" s="1">
        <v>2</v>
      </c>
      <c r="L1583" s="1" t="s">
        <v>16</v>
      </c>
      <c r="M1583" s="1" t="str">
        <f>"河北省 保定市 高碑店市 "</f>
        <v xml:space="preserve">河北省 保定市 高碑店市 </v>
      </c>
      <c r="N1583" s="1" t="str">
        <f t="shared" si="510"/>
        <v>凡华云仓-城南圆通-抖音</v>
      </c>
      <c r="O1583" s="5" t="s">
        <v>1621</v>
      </c>
      <c r="P1583" s="6">
        <v>0.35</v>
      </c>
      <c r="Q1583" s="11">
        <v>2.2999999999999998</v>
      </c>
      <c r="R1583" s="11"/>
      <c r="S1583" s="11"/>
      <c r="T1583" s="11"/>
      <c r="U1583" s="11">
        <f t="shared" si="500"/>
        <v>2.2999999999999998</v>
      </c>
      <c r="W1583">
        <v>2.5</v>
      </c>
      <c r="X1583" s="1" t="s">
        <v>16</v>
      </c>
    </row>
    <row r="1584" spans="1:24" x14ac:dyDescent="0.25">
      <c r="A1584" s="1" t="str">
        <f t="shared" si="495"/>
        <v>卡卡杜-凤凰仓</v>
      </c>
      <c r="B1584" s="1" t="str">
        <f>"CK2024102812946"</f>
        <v>CK2024102812946</v>
      </c>
      <c r="C1584" s="1" t="str">
        <f>"DD2024102893620"</f>
        <v>DD2024102893620</v>
      </c>
      <c r="D1584" s="1" t="str">
        <f>"CK2024102882821"</f>
        <v>CK2024102882821</v>
      </c>
      <c r="E1584" s="1" t="str">
        <f>"6935567746183992879"</f>
        <v>6935567746183992879</v>
      </c>
      <c r="F1584" s="1" t="str">
        <f t="shared" si="496"/>
        <v>花都四部-凤凰仓</v>
      </c>
      <c r="G1584" s="1" t="str">
        <f t="shared" si="509"/>
        <v>卡卡杜个人护理店（抖店）</v>
      </c>
      <c r="H1584" s="1" t="str">
        <f t="shared" si="497"/>
        <v>正常订单</v>
      </c>
      <c r="I1584" s="1" t="str">
        <f t="shared" si="498"/>
        <v>已发货</v>
      </c>
      <c r="J1584" s="1" t="str">
        <f t="shared" ref="J1584:J1589" si="511">"5"</f>
        <v>5</v>
      </c>
      <c r="K1584" s="1">
        <v>2</v>
      </c>
      <c r="L1584" s="1" t="s">
        <v>41</v>
      </c>
      <c r="M1584" s="1" t="str">
        <f>"湖北省 武汉市 黄陂区 盘龙城经济开发区"</f>
        <v>湖北省 武汉市 黄陂区 盘龙城经济开发区</v>
      </c>
      <c r="N1584" s="1" t="str">
        <f t="shared" si="510"/>
        <v>凡华云仓-城南圆通-抖音</v>
      </c>
      <c r="O1584" s="5" t="s">
        <v>1622</v>
      </c>
      <c r="P1584" s="6">
        <v>0.59</v>
      </c>
      <c r="Q1584" s="11">
        <f t="shared" ref="Q1584:Q1589" si="512">CEILING(P1584-0.5,0.1)*10*0.15+2.3</f>
        <v>2.4499999999999997</v>
      </c>
      <c r="R1584" s="11"/>
      <c r="S1584" s="11"/>
      <c r="T1584" s="11"/>
      <c r="U1584" s="11">
        <f t="shared" si="500"/>
        <v>2.4499999999999997</v>
      </c>
      <c r="V1584" t="s">
        <v>15</v>
      </c>
      <c r="W1584">
        <v>2.4500000000000002</v>
      </c>
      <c r="X1584" s="1" t="s">
        <v>41</v>
      </c>
    </row>
    <row r="1585" spans="1:24" x14ac:dyDescent="0.25">
      <c r="A1585" s="1" t="str">
        <f t="shared" si="495"/>
        <v>卡卡杜-凤凰仓</v>
      </c>
      <c r="B1585" s="1" t="str">
        <f>"CK2024102812987"</f>
        <v>CK2024102812987</v>
      </c>
      <c r="C1585" s="1" t="str">
        <f>"DD2024102893688"</f>
        <v>DD2024102893688</v>
      </c>
      <c r="D1585" s="1" t="str">
        <f>"CK2024102882820"</f>
        <v>CK2024102882820</v>
      </c>
      <c r="E1585" s="1" t="str">
        <f>"6935587740193330715"</f>
        <v>6935587740193330715</v>
      </c>
      <c r="F1585" s="1" t="str">
        <f t="shared" si="496"/>
        <v>花都四部-凤凰仓</v>
      </c>
      <c r="G1585" s="1" t="str">
        <f t="shared" si="509"/>
        <v>卡卡杜个人护理店（抖店）</v>
      </c>
      <c r="H1585" s="1" t="str">
        <f t="shared" si="497"/>
        <v>正常订单</v>
      </c>
      <c r="I1585" s="1" t="str">
        <f t="shared" si="498"/>
        <v>已发货</v>
      </c>
      <c r="J1585" s="1" t="str">
        <f t="shared" ref="J1585:J1588" si="513">"3"</f>
        <v>3</v>
      </c>
      <c r="K1585" s="1">
        <v>2</v>
      </c>
      <c r="L1585" s="1" t="s">
        <v>13</v>
      </c>
      <c r="M1585" s="1" t="str">
        <f>"江苏省 连云港市 灌云县 侍庄街道"</f>
        <v>江苏省 连云港市 灌云县 侍庄街道</v>
      </c>
      <c r="N1585" s="1" t="str">
        <f t="shared" si="510"/>
        <v>凡华云仓-城南圆通-抖音</v>
      </c>
      <c r="O1585" s="5" t="s">
        <v>1623</v>
      </c>
      <c r="P1585" s="6">
        <v>0.35</v>
      </c>
      <c r="Q1585" s="11">
        <v>2.2999999999999998</v>
      </c>
      <c r="R1585" s="11"/>
      <c r="S1585" s="11"/>
      <c r="T1585" s="11"/>
      <c r="U1585" s="11">
        <f t="shared" si="500"/>
        <v>2.2999999999999998</v>
      </c>
      <c r="W1585">
        <v>2.5</v>
      </c>
      <c r="X1585" s="1" t="s">
        <v>13</v>
      </c>
    </row>
    <row r="1586" spans="1:24" x14ac:dyDescent="0.25">
      <c r="A1586" s="1" t="str">
        <f t="shared" si="495"/>
        <v>卡卡杜-凤凰仓</v>
      </c>
      <c r="B1586" s="1" t="str">
        <f>"CK2024102812947"</f>
        <v>CK2024102812947</v>
      </c>
      <c r="C1586" s="1" t="str">
        <f>"DD2024102893623"</f>
        <v>DD2024102893623</v>
      </c>
      <c r="D1586" s="1" t="str">
        <f>"CK2024102882819"</f>
        <v>CK2024102882819</v>
      </c>
      <c r="E1586" s="1" t="str">
        <f>"6935594449388377937"</f>
        <v>6935594449388377937</v>
      </c>
      <c r="F1586" s="1" t="str">
        <f t="shared" si="496"/>
        <v>花都四部-凤凰仓</v>
      </c>
      <c r="G1586" s="1" t="str">
        <f t="shared" si="509"/>
        <v>卡卡杜个人护理店（抖店）</v>
      </c>
      <c r="H1586" s="1" t="str">
        <f t="shared" si="497"/>
        <v>正常订单</v>
      </c>
      <c r="I1586" s="1" t="str">
        <f t="shared" si="498"/>
        <v>已发货</v>
      </c>
      <c r="J1586" s="1" t="str">
        <f t="shared" si="511"/>
        <v>5</v>
      </c>
      <c r="K1586" s="1">
        <v>2</v>
      </c>
      <c r="L1586" s="1" t="s">
        <v>13</v>
      </c>
      <c r="M1586" s="1" t="str">
        <f>"江苏省 盐城市 阜宁县 东沟镇"</f>
        <v>江苏省 盐城市 阜宁县 东沟镇</v>
      </c>
      <c r="N1586" s="1" t="str">
        <f t="shared" si="510"/>
        <v>凡华云仓-城南圆通-抖音</v>
      </c>
      <c r="O1586" s="5" t="s">
        <v>1624</v>
      </c>
      <c r="P1586" s="6">
        <v>0.59</v>
      </c>
      <c r="Q1586" s="11">
        <f t="shared" si="512"/>
        <v>2.4499999999999997</v>
      </c>
      <c r="R1586" s="11"/>
      <c r="S1586" s="11"/>
      <c r="T1586" s="11"/>
      <c r="U1586" s="11">
        <f t="shared" si="500"/>
        <v>2.4499999999999997</v>
      </c>
      <c r="V1586" t="s">
        <v>15</v>
      </c>
      <c r="W1586">
        <v>2.4500000000000002</v>
      </c>
      <c r="X1586" s="1" t="s">
        <v>13</v>
      </c>
    </row>
    <row r="1587" spans="1:24" x14ac:dyDescent="0.25">
      <c r="A1587" s="1" t="str">
        <f t="shared" si="495"/>
        <v>卡卡杜-凤凰仓</v>
      </c>
      <c r="B1587" s="1" t="str">
        <f>"CK2024102812988"</f>
        <v>CK2024102812988</v>
      </c>
      <c r="C1587" s="1" t="str">
        <f>"DD2024102893690"</f>
        <v>DD2024102893690</v>
      </c>
      <c r="D1587" s="1" t="str">
        <f>"CK2024102882818"</f>
        <v>CK2024102882818</v>
      </c>
      <c r="E1587" s="1" t="str">
        <f>"6935572045816927259"</f>
        <v>6935572045816927259</v>
      </c>
      <c r="F1587" s="1" t="str">
        <f t="shared" si="496"/>
        <v>花都四部-凤凰仓</v>
      </c>
      <c r="G1587" s="1" t="str">
        <f t="shared" si="509"/>
        <v>卡卡杜个人护理店（抖店）</v>
      </c>
      <c r="H1587" s="1" t="str">
        <f t="shared" si="497"/>
        <v>正常订单</v>
      </c>
      <c r="I1587" s="1" t="str">
        <f t="shared" si="498"/>
        <v>已发货</v>
      </c>
      <c r="J1587" s="1" t="str">
        <f t="shared" si="513"/>
        <v>3</v>
      </c>
      <c r="K1587" s="1">
        <v>2</v>
      </c>
      <c r="L1587" s="1" t="s">
        <v>30</v>
      </c>
      <c r="M1587" s="1" t="str">
        <f>"山东省 滨州市 博兴县 兴福镇"</f>
        <v>山东省 滨州市 博兴县 兴福镇</v>
      </c>
      <c r="N1587" s="1" t="str">
        <f t="shared" si="510"/>
        <v>凡华云仓-城南圆通-抖音</v>
      </c>
      <c r="O1587" s="5" t="s">
        <v>1625</v>
      </c>
      <c r="P1587" s="6">
        <v>0.35</v>
      </c>
      <c r="Q1587" s="11">
        <v>2.2999999999999998</v>
      </c>
      <c r="R1587" s="11"/>
      <c r="S1587" s="11"/>
      <c r="T1587" s="11"/>
      <c r="U1587" s="11">
        <f t="shared" si="500"/>
        <v>2.2999999999999998</v>
      </c>
      <c r="W1587">
        <v>2.5</v>
      </c>
      <c r="X1587" s="1" t="s">
        <v>30</v>
      </c>
    </row>
    <row r="1588" spans="1:24" x14ac:dyDescent="0.25">
      <c r="A1588" s="1" t="str">
        <f t="shared" si="495"/>
        <v>卡卡杜-凤凰仓</v>
      </c>
      <c r="B1588" s="1" t="str">
        <f>"CK2024102812990"</f>
        <v>CK2024102812990</v>
      </c>
      <c r="C1588" s="1" t="str">
        <f>"DD2024102893692"</f>
        <v>DD2024102893692</v>
      </c>
      <c r="D1588" s="1" t="str">
        <f>"CK2024102882817"</f>
        <v>CK2024102882817</v>
      </c>
      <c r="E1588" s="1" t="str">
        <f>"6935591954777576952"</f>
        <v>6935591954777576952</v>
      </c>
      <c r="F1588" s="1" t="str">
        <f t="shared" si="496"/>
        <v>花都四部-凤凰仓</v>
      </c>
      <c r="G1588" s="1" t="str">
        <f t="shared" si="509"/>
        <v>卡卡杜个人护理店（抖店）</v>
      </c>
      <c r="H1588" s="1" t="str">
        <f t="shared" si="497"/>
        <v>正常订单</v>
      </c>
      <c r="I1588" s="1" t="str">
        <f t="shared" si="498"/>
        <v>已发货</v>
      </c>
      <c r="J1588" s="1" t="str">
        <f t="shared" si="513"/>
        <v>3</v>
      </c>
      <c r="K1588" s="1">
        <v>2</v>
      </c>
      <c r="L1588" s="1" t="s">
        <v>96</v>
      </c>
      <c r="M1588" s="1" t="str">
        <f>"广西壮族自治区 梧州市 万秀区 "</f>
        <v xml:space="preserve">广西壮族自治区 梧州市 万秀区 </v>
      </c>
      <c r="N1588" s="1" t="str">
        <f t="shared" si="510"/>
        <v>凡华云仓-城南圆通-抖音</v>
      </c>
      <c r="O1588" s="5" t="s">
        <v>1626</v>
      </c>
      <c r="P1588" s="6">
        <v>0.35</v>
      </c>
      <c r="Q1588" s="11">
        <v>2.2999999999999998</v>
      </c>
      <c r="R1588" s="11"/>
      <c r="S1588" s="11"/>
      <c r="T1588" s="11"/>
      <c r="U1588" s="11">
        <f t="shared" si="500"/>
        <v>2.2999999999999998</v>
      </c>
      <c r="W1588">
        <v>2.5</v>
      </c>
      <c r="X1588" s="1" t="s">
        <v>96</v>
      </c>
    </row>
    <row r="1589" spans="1:24" x14ac:dyDescent="0.25">
      <c r="A1589" s="1" t="str">
        <f t="shared" si="495"/>
        <v>卡卡杜-凤凰仓</v>
      </c>
      <c r="B1589" s="1" t="str">
        <f>"CK2024102812949"</f>
        <v>CK2024102812949</v>
      </c>
      <c r="C1589" s="1" t="str">
        <f>"DD2024102893622"</f>
        <v>DD2024102893622</v>
      </c>
      <c r="D1589" s="1" t="str">
        <f>"CK2024102882816"</f>
        <v>CK2024102882816</v>
      </c>
      <c r="E1589" s="1" t="str">
        <f>"6935592160252008214"</f>
        <v>6935592160252008214</v>
      </c>
      <c r="F1589" s="1" t="str">
        <f t="shared" si="496"/>
        <v>花都四部-凤凰仓</v>
      </c>
      <c r="G1589" s="1" t="str">
        <f t="shared" si="509"/>
        <v>卡卡杜个人护理店（抖店）</v>
      </c>
      <c r="H1589" s="1" t="str">
        <f t="shared" si="497"/>
        <v>正常订单</v>
      </c>
      <c r="I1589" s="1" t="str">
        <f t="shared" si="498"/>
        <v>已发货</v>
      </c>
      <c r="J1589" s="1" t="str">
        <f t="shared" si="511"/>
        <v>5</v>
      </c>
      <c r="K1589" s="1">
        <v>2</v>
      </c>
      <c r="L1589" s="1" t="s">
        <v>32</v>
      </c>
      <c r="M1589" s="1" t="str">
        <f>"陕西省 延安市 洛川县 凤栖街道"</f>
        <v>陕西省 延安市 洛川县 凤栖街道</v>
      </c>
      <c r="N1589" s="1" t="str">
        <f t="shared" si="510"/>
        <v>凡华云仓-城南圆通-抖音</v>
      </c>
      <c r="O1589" s="5" t="s">
        <v>1627</v>
      </c>
      <c r="P1589" s="6">
        <v>0.59</v>
      </c>
      <c r="Q1589" s="11">
        <f t="shared" si="512"/>
        <v>2.4499999999999997</v>
      </c>
      <c r="R1589" s="11"/>
      <c r="S1589" s="11"/>
      <c r="T1589" s="11"/>
      <c r="U1589" s="11">
        <f t="shared" si="500"/>
        <v>2.4499999999999997</v>
      </c>
      <c r="V1589" t="s">
        <v>15</v>
      </c>
      <c r="W1589">
        <v>2.4500000000000002</v>
      </c>
      <c r="X1589" s="1" t="s">
        <v>32</v>
      </c>
    </row>
    <row r="1590" spans="1:24" x14ac:dyDescent="0.25">
      <c r="A1590" s="1" t="str">
        <f t="shared" si="495"/>
        <v>卡卡杜-凤凰仓</v>
      </c>
      <c r="B1590" s="1" t="str">
        <f>"CK2024102812991"</f>
        <v>CK2024102812991</v>
      </c>
      <c r="C1590" s="1" t="str">
        <f>"DD2024102893693"</f>
        <v>DD2024102893693</v>
      </c>
      <c r="D1590" s="1" t="str">
        <f>"CK2024102882815"</f>
        <v>CK2024102882815</v>
      </c>
      <c r="E1590" s="1" t="str">
        <f>"6935587624972260676"</f>
        <v>6935587624972260676</v>
      </c>
      <c r="F1590" s="1" t="str">
        <f t="shared" si="496"/>
        <v>花都四部-凤凰仓</v>
      </c>
      <c r="G1590" s="1" t="str">
        <f t="shared" si="509"/>
        <v>卡卡杜个人护理店（抖店）</v>
      </c>
      <c r="H1590" s="1" t="str">
        <f t="shared" si="497"/>
        <v>正常订单</v>
      </c>
      <c r="I1590" s="1" t="str">
        <f t="shared" si="498"/>
        <v>已发货</v>
      </c>
      <c r="J1590" s="1" t="str">
        <f t="shared" ref="J1590:J1592" si="514">"3"</f>
        <v>3</v>
      </c>
      <c r="K1590" s="1">
        <v>2</v>
      </c>
      <c r="L1590" s="1" t="s">
        <v>105</v>
      </c>
      <c r="M1590" s="1" t="str">
        <f>"北京 北京市 丰台区 新村街道"</f>
        <v>北京 北京市 丰台区 新村街道</v>
      </c>
      <c r="N1590" s="1" t="str">
        <f t="shared" si="510"/>
        <v>凡华云仓-城南圆通-抖音</v>
      </c>
      <c r="O1590" s="5" t="s">
        <v>1628</v>
      </c>
      <c r="P1590" s="6">
        <v>0.35</v>
      </c>
      <c r="Q1590" s="11">
        <v>2.2999999999999998</v>
      </c>
      <c r="R1590" s="11"/>
      <c r="S1590" s="11"/>
      <c r="T1590" s="11"/>
      <c r="U1590" s="11">
        <f t="shared" si="500"/>
        <v>2.2999999999999998</v>
      </c>
      <c r="W1590">
        <v>2.5</v>
      </c>
      <c r="X1590" s="1" t="s">
        <v>105</v>
      </c>
    </row>
    <row r="1591" spans="1:24" x14ac:dyDescent="0.25">
      <c r="A1591" s="1" t="str">
        <f t="shared" si="495"/>
        <v>卡卡杜-凤凰仓</v>
      </c>
      <c r="B1591" s="1" t="str">
        <f>"CK2024102812992"</f>
        <v>CK2024102812992</v>
      </c>
      <c r="C1591" s="1" t="str">
        <f>"DD2024102893695"</f>
        <v>DD2024102893695</v>
      </c>
      <c r="D1591" s="1" t="str">
        <f>"CK2024102882814"</f>
        <v>CK2024102882814</v>
      </c>
      <c r="E1591" s="1" t="str">
        <f>"6935578689065785080"</f>
        <v>6935578689065785080</v>
      </c>
      <c r="F1591" s="1" t="str">
        <f t="shared" si="496"/>
        <v>花都四部-凤凰仓</v>
      </c>
      <c r="G1591" s="1" t="str">
        <f t="shared" si="509"/>
        <v>卡卡杜个人护理店（抖店）</v>
      </c>
      <c r="H1591" s="1" t="str">
        <f t="shared" si="497"/>
        <v>正常订单</v>
      </c>
      <c r="I1591" s="1" t="str">
        <f t="shared" si="498"/>
        <v>已发货</v>
      </c>
      <c r="J1591" s="1" t="str">
        <f t="shared" si="514"/>
        <v>3</v>
      </c>
      <c r="K1591" s="1">
        <v>2</v>
      </c>
      <c r="L1591" s="1" t="s">
        <v>13</v>
      </c>
      <c r="M1591" s="1" t="str">
        <f>"江苏省 南京市 栖霞区 栖霞街道"</f>
        <v>江苏省 南京市 栖霞区 栖霞街道</v>
      </c>
      <c r="N1591" s="1" t="str">
        <f t="shared" si="510"/>
        <v>凡华云仓-城南圆通-抖音</v>
      </c>
      <c r="O1591" s="5" t="s">
        <v>1629</v>
      </c>
      <c r="P1591" s="6">
        <v>0.35</v>
      </c>
      <c r="Q1591" s="11">
        <v>2.2999999999999998</v>
      </c>
      <c r="R1591" s="11"/>
      <c r="S1591" s="11"/>
      <c r="T1591" s="11"/>
      <c r="U1591" s="11">
        <f t="shared" si="500"/>
        <v>2.2999999999999998</v>
      </c>
      <c r="W1591">
        <v>2.5</v>
      </c>
      <c r="X1591" s="1" t="s">
        <v>13</v>
      </c>
    </row>
    <row r="1592" spans="1:24" x14ac:dyDescent="0.25">
      <c r="A1592" s="1" t="str">
        <f t="shared" si="495"/>
        <v>卡卡杜-凤凰仓</v>
      </c>
      <c r="B1592" s="1" t="str">
        <f>"CK2024102812993"</f>
        <v>CK2024102812993</v>
      </c>
      <c r="C1592" s="1" t="str">
        <f>"DD2024102893694"</f>
        <v>DD2024102893694</v>
      </c>
      <c r="D1592" s="1" t="str">
        <f>"CK2024102882813"</f>
        <v>CK2024102882813</v>
      </c>
      <c r="E1592" s="1" t="str">
        <f>"6935565650331505698"</f>
        <v>6935565650331505698</v>
      </c>
      <c r="F1592" s="1" t="str">
        <f t="shared" si="496"/>
        <v>花都四部-凤凰仓</v>
      </c>
      <c r="G1592" s="1" t="str">
        <f t="shared" si="509"/>
        <v>卡卡杜个人护理店（抖店）</v>
      </c>
      <c r="H1592" s="1" t="str">
        <f t="shared" si="497"/>
        <v>正常订单</v>
      </c>
      <c r="I1592" s="1" t="str">
        <f t="shared" si="498"/>
        <v>已发货</v>
      </c>
      <c r="J1592" s="1" t="str">
        <f t="shared" si="514"/>
        <v>3</v>
      </c>
      <c r="K1592" s="1">
        <v>2</v>
      </c>
      <c r="L1592" s="1" t="s">
        <v>30</v>
      </c>
      <c r="M1592" s="1" t="str">
        <f>"山东省 济宁市 任城区 观音阁街道"</f>
        <v>山东省 济宁市 任城区 观音阁街道</v>
      </c>
      <c r="N1592" s="1" t="str">
        <f t="shared" si="510"/>
        <v>凡华云仓-城南圆通-抖音</v>
      </c>
      <c r="O1592" s="5" t="s">
        <v>1630</v>
      </c>
      <c r="P1592" s="6">
        <v>0.35</v>
      </c>
      <c r="Q1592" s="11">
        <v>2.2999999999999998</v>
      </c>
      <c r="R1592" s="11"/>
      <c r="S1592" s="11"/>
      <c r="T1592" s="11"/>
      <c r="U1592" s="11">
        <f t="shared" si="500"/>
        <v>2.2999999999999998</v>
      </c>
      <c r="W1592">
        <v>2.5</v>
      </c>
      <c r="X1592" s="1" t="s">
        <v>30</v>
      </c>
    </row>
    <row r="1593" spans="1:24" x14ac:dyDescent="0.25">
      <c r="A1593" s="1" t="str">
        <f t="shared" si="495"/>
        <v>卡卡杜-凤凰仓</v>
      </c>
      <c r="B1593" s="1" t="str">
        <f>"CK2024102812952"</f>
        <v>CK2024102812952</v>
      </c>
      <c r="C1593" s="1" t="str">
        <f>"DD2024102893624"</f>
        <v>DD2024102893624</v>
      </c>
      <c r="D1593" s="1" t="str">
        <f>"CK2024102882812"</f>
        <v>CK2024102882812</v>
      </c>
      <c r="E1593" s="1" t="str">
        <f>"6935580963642611035"</f>
        <v>6935580963642611035</v>
      </c>
      <c r="F1593" s="1" t="str">
        <f t="shared" si="496"/>
        <v>花都四部-凤凰仓</v>
      </c>
      <c r="G1593" s="1" t="str">
        <f t="shared" si="509"/>
        <v>卡卡杜个人护理店（抖店）</v>
      </c>
      <c r="H1593" s="1" t="str">
        <f t="shared" si="497"/>
        <v>正常订单</v>
      </c>
      <c r="I1593" s="1" t="str">
        <f t="shared" si="498"/>
        <v>已发货</v>
      </c>
      <c r="J1593" s="1" t="str">
        <f t="shared" ref="J1593:J1597" si="515">"5"</f>
        <v>5</v>
      </c>
      <c r="K1593" s="1">
        <v>2</v>
      </c>
      <c r="L1593" s="1" t="s">
        <v>20</v>
      </c>
      <c r="M1593" s="1" t="str">
        <f>"浙江省 宁波市 鄞州区 福明街道"</f>
        <v>浙江省 宁波市 鄞州区 福明街道</v>
      </c>
      <c r="N1593" s="1" t="str">
        <f t="shared" si="510"/>
        <v>凡华云仓-城南圆通-抖音</v>
      </c>
      <c r="O1593" s="5" t="s">
        <v>1631</v>
      </c>
      <c r="P1593" s="6">
        <v>0.59</v>
      </c>
      <c r="Q1593" s="11">
        <f t="shared" ref="Q1593:Q1597" si="516">CEILING(P1593-0.5,0.1)*10*0.15+2.3</f>
        <v>2.4499999999999997</v>
      </c>
      <c r="R1593" s="11"/>
      <c r="S1593" s="11"/>
      <c r="T1593" s="11"/>
      <c r="U1593" s="11">
        <f t="shared" si="500"/>
        <v>2.4499999999999997</v>
      </c>
      <c r="V1593" t="s">
        <v>15</v>
      </c>
      <c r="W1593">
        <v>2.4500000000000002</v>
      </c>
      <c r="X1593" s="1" t="s">
        <v>20</v>
      </c>
    </row>
    <row r="1594" spans="1:24" x14ac:dyDescent="0.25">
      <c r="A1594" s="1" t="str">
        <f t="shared" si="495"/>
        <v>卡卡杜-凤凰仓</v>
      </c>
      <c r="B1594" s="1" t="str">
        <f>"CK2024102813000"</f>
        <v>CK2024102813000</v>
      </c>
      <c r="C1594" s="1" t="str">
        <f>"DD2024102893702"</f>
        <v>DD2024102893702</v>
      </c>
      <c r="D1594" s="1" t="str">
        <f>"CK2024102882811"</f>
        <v>CK2024102882811</v>
      </c>
      <c r="E1594" s="1" t="str">
        <f>"6935563141579740954"</f>
        <v>6935563141579740954</v>
      </c>
      <c r="F1594" s="1" t="str">
        <f t="shared" si="496"/>
        <v>花都四部-凤凰仓</v>
      </c>
      <c r="G1594" s="1" t="str">
        <f t="shared" si="509"/>
        <v>卡卡杜个人护理店（抖店）</v>
      </c>
      <c r="H1594" s="1" t="str">
        <f t="shared" si="497"/>
        <v>正常订单</v>
      </c>
      <c r="I1594" s="1" t="str">
        <f t="shared" si="498"/>
        <v>已发货</v>
      </c>
      <c r="J1594" s="1" t="str">
        <f t="shared" ref="J1594:J1603" si="517">"3"</f>
        <v>3</v>
      </c>
      <c r="K1594" s="1">
        <v>3</v>
      </c>
      <c r="L1594" s="1" t="s">
        <v>18</v>
      </c>
      <c r="M1594" s="1" t="str">
        <f>"广东省 清远市 英德市 沙口镇"</f>
        <v>广东省 清远市 英德市 沙口镇</v>
      </c>
      <c r="N1594" s="1" t="str">
        <f t="shared" si="510"/>
        <v>凡华云仓-城南圆通-抖音</v>
      </c>
      <c r="O1594" s="5" t="s">
        <v>1632</v>
      </c>
      <c r="P1594" s="6">
        <v>0.34</v>
      </c>
      <c r="Q1594" s="11">
        <v>2.2999999999999998</v>
      </c>
      <c r="R1594" s="11"/>
      <c r="S1594" s="11"/>
      <c r="T1594" s="11"/>
      <c r="U1594" s="11">
        <f t="shared" si="500"/>
        <v>2.2999999999999998</v>
      </c>
      <c r="W1594">
        <v>2.5</v>
      </c>
      <c r="X1594" s="1" t="s">
        <v>18</v>
      </c>
    </row>
    <row r="1595" spans="1:24" x14ac:dyDescent="0.25">
      <c r="A1595" s="1" t="str">
        <f t="shared" si="495"/>
        <v>卡卡杜-凤凰仓</v>
      </c>
      <c r="B1595" s="1" t="str">
        <f>"CK2024102813005"</f>
        <v>CK2024102813005</v>
      </c>
      <c r="C1595" s="1" t="str">
        <f>"DD2024102893706"</f>
        <v>DD2024102893706</v>
      </c>
      <c r="D1595" s="1" t="str">
        <f>"CK2024102882810"</f>
        <v>CK2024102882810</v>
      </c>
      <c r="E1595" s="1" t="str">
        <f>"6935578338968867955"</f>
        <v>6935578338968867955</v>
      </c>
      <c r="F1595" s="1" t="str">
        <f t="shared" si="496"/>
        <v>花都四部-凤凰仓</v>
      </c>
      <c r="G1595" s="1" t="str">
        <f t="shared" si="509"/>
        <v>卡卡杜个人护理店（抖店）</v>
      </c>
      <c r="H1595" s="1" t="str">
        <f t="shared" si="497"/>
        <v>正常订单</v>
      </c>
      <c r="I1595" s="1" t="str">
        <f t="shared" si="498"/>
        <v>已发货</v>
      </c>
      <c r="J1595" s="1" t="str">
        <f t="shared" si="517"/>
        <v>3</v>
      </c>
      <c r="K1595" s="1">
        <v>2</v>
      </c>
      <c r="L1595" s="1" t="s">
        <v>20</v>
      </c>
      <c r="M1595" s="1" t="str">
        <f>"浙江省 绍兴市 上虞区 "</f>
        <v xml:space="preserve">浙江省 绍兴市 上虞区 </v>
      </c>
      <c r="N1595" s="1" t="str">
        <f t="shared" si="510"/>
        <v>凡华云仓-城南圆通-抖音</v>
      </c>
      <c r="O1595" s="5" t="s">
        <v>1633</v>
      </c>
      <c r="P1595" s="6">
        <v>0.35</v>
      </c>
      <c r="Q1595" s="11">
        <v>2.2999999999999998</v>
      </c>
      <c r="R1595" s="11"/>
      <c r="S1595" s="11"/>
      <c r="T1595" s="11"/>
      <c r="U1595" s="11">
        <f t="shared" si="500"/>
        <v>2.2999999999999998</v>
      </c>
      <c r="W1595">
        <v>2.5</v>
      </c>
      <c r="X1595" s="1" t="s">
        <v>20</v>
      </c>
    </row>
    <row r="1596" spans="1:24" x14ac:dyDescent="0.25">
      <c r="A1596" s="1" t="str">
        <f t="shared" si="495"/>
        <v>卡卡杜-凤凰仓</v>
      </c>
      <c r="B1596" s="1" t="str">
        <f>"CK2024102812955"</f>
        <v>CK2024102812955</v>
      </c>
      <c r="C1596" s="1" t="str">
        <f>"DD2024102893630"</f>
        <v>DD2024102893630</v>
      </c>
      <c r="D1596" s="1" t="str">
        <f>"CK2024102882809"</f>
        <v>CK2024102882809</v>
      </c>
      <c r="E1596" s="1" t="str">
        <f>"6918023808864386562"</f>
        <v>6918023808864386562</v>
      </c>
      <c r="F1596" s="1" t="str">
        <f t="shared" si="496"/>
        <v>花都四部-凤凰仓</v>
      </c>
      <c r="G1596" s="1" t="str">
        <f t="shared" si="509"/>
        <v>卡卡杜个人护理店（抖店）</v>
      </c>
      <c r="H1596" s="1" t="str">
        <f t="shared" si="497"/>
        <v>正常订单</v>
      </c>
      <c r="I1596" s="1" t="str">
        <f t="shared" si="498"/>
        <v>已发货</v>
      </c>
      <c r="J1596" s="1" t="str">
        <f t="shared" si="515"/>
        <v>5</v>
      </c>
      <c r="K1596" s="1">
        <v>2</v>
      </c>
      <c r="L1596" s="1" t="s">
        <v>66</v>
      </c>
      <c r="M1596" s="1" t="str">
        <f>"内蒙古自治区 包头市 九原区 麻池镇"</f>
        <v>内蒙古自治区 包头市 九原区 麻池镇</v>
      </c>
      <c r="N1596" s="1" t="str">
        <f t="shared" si="510"/>
        <v>凡华云仓-城南圆通-抖音</v>
      </c>
      <c r="O1596" s="5" t="s">
        <v>1634</v>
      </c>
      <c r="P1596" s="6">
        <v>0.59</v>
      </c>
      <c r="Q1596" s="11">
        <f t="shared" si="516"/>
        <v>2.4499999999999997</v>
      </c>
      <c r="R1596" s="11"/>
      <c r="S1596" s="11"/>
      <c r="T1596" s="11"/>
      <c r="U1596" s="11">
        <f t="shared" si="500"/>
        <v>2.4499999999999997</v>
      </c>
      <c r="V1596" t="s">
        <v>15</v>
      </c>
      <c r="W1596">
        <v>2.4500000000000002</v>
      </c>
      <c r="X1596" s="1" t="s">
        <v>66</v>
      </c>
    </row>
    <row r="1597" spans="1:24" x14ac:dyDescent="0.25">
      <c r="A1597" s="1" t="str">
        <f t="shared" si="495"/>
        <v>卡卡杜-凤凰仓</v>
      </c>
      <c r="B1597" s="1" t="str">
        <f>"CK2024102812961"</f>
        <v>CK2024102812961</v>
      </c>
      <c r="C1597" s="1" t="str">
        <f>"DD2024102893664"</f>
        <v>DD2024102893664</v>
      </c>
      <c r="D1597" s="1" t="str">
        <f>"CK2024102882808"</f>
        <v>CK2024102882808</v>
      </c>
      <c r="E1597" s="1" t="str">
        <f>"6935584974298616954"</f>
        <v>6935584974298616954</v>
      </c>
      <c r="F1597" s="1" t="str">
        <f t="shared" si="496"/>
        <v>花都四部-凤凰仓</v>
      </c>
      <c r="G1597" s="1" t="str">
        <f t="shared" si="509"/>
        <v>卡卡杜个人护理店（抖店）</v>
      </c>
      <c r="H1597" s="1" t="str">
        <f t="shared" si="497"/>
        <v>正常订单</v>
      </c>
      <c r="I1597" s="1" t="str">
        <f t="shared" si="498"/>
        <v>已发货</v>
      </c>
      <c r="J1597" s="1" t="str">
        <f t="shared" si="515"/>
        <v>5</v>
      </c>
      <c r="K1597" s="1">
        <v>3</v>
      </c>
      <c r="L1597" s="1" t="s">
        <v>96</v>
      </c>
      <c r="M1597" s="1" t="str">
        <f>"广西壮族自治区 梧州市 蒙山县 蒙山镇"</f>
        <v>广西壮族自治区 梧州市 蒙山县 蒙山镇</v>
      </c>
      <c r="N1597" s="1" t="str">
        <f t="shared" si="510"/>
        <v>凡华云仓-城南圆通-抖音</v>
      </c>
      <c r="O1597" s="5" t="s">
        <v>1635</v>
      </c>
      <c r="P1597" s="6">
        <v>0.55000000000000004</v>
      </c>
      <c r="Q1597" s="11">
        <f t="shared" si="516"/>
        <v>2.4499999999999997</v>
      </c>
      <c r="R1597" s="11"/>
      <c r="S1597" s="11"/>
      <c r="T1597" s="11"/>
      <c r="U1597" s="11">
        <f t="shared" si="500"/>
        <v>2.4499999999999997</v>
      </c>
      <c r="V1597" t="s">
        <v>15</v>
      </c>
      <c r="W1597">
        <v>2.4500000000000002</v>
      </c>
      <c r="X1597" s="1" t="s">
        <v>96</v>
      </c>
    </row>
    <row r="1598" spans="1:24" x14ac:dyDescent="0.25">
      <c r="A1598" s="1" t="str">
        <f t="shared" si="495"/>
        <v>卡卡杜-凤凰仓</v>
      </c>
      <c r="B1598" s="1" t="str">
        <f>"CK2024102813010"</f>
        <v>CK2024102813010</v>
      </c>
      <c r="C1598" s="1" t="str">
        <f>"DD2024102893711"</f>
        <v>DD2024102893711</v>
      </c>
      <c r="D1598" s="1" t="str">
        <f>"CK2024102882807"</f>
        <v>CK2024102882807</v>
      </c>
      <c r="E1598" s="1" t="str">
        <f>"6935566933406520871"</f>
        <v>6935566933406520871</v>
      </c>
      <c r="F1598" s="1" t="str">
        <f t="shared" si="496"/>
        <v>花都四部-凤凰仓</v>
      </c>
      <c r="G1598" s="1" t="str">
        <f t="shared" si="509"/>
        <v>卡卡杜个人护理店（抖店）</v>
      </c>
      <c r="H1598" s="1" t="str">
        <f t="shared" si="497"/>
        <v>正常订单</v>
      </c>
      <c r="I1598" s="1" t="str">
        <f t="shared" si="498"/>
        <v>已发货</v>
      </c>
      <c r="J1598" s="1" t="str">
        <f t="shared" si="517"/>
        <v>3</v>
      </c>
      <c r="K1598" s="1">
        <v>3</v>
      </c>
      <c r="L1598" s="1" t="s">
        <v>22</v>
      </c>
      <c r="M1598" s="1" t="str">
        <f>"江西省 南昌市 青山湖区 塘山镇"</f>
        <v>江西省 南昌市 青山湖区 塘山镇</v>
      </c>
      <c r="N1598" s="1" t="str">
        <f t="shared" si="510"/>
        <v>凡华云仓-城南圆通-抖音</v>
      </c>
      <c r="O1598" s="5" t="s">
        <v>1636</v>
      </c>
      <c r="P1598" s="6">
        <v>0.34</v>
      </c>
      <c r="Q1598" s="11">
        <v>2.2999999999999998</v>
      </c>
      <c r="R1598" s="11"/>
      <c r="S1598" s="11"/>
      <c r="T1598" s="11"/>
      <c r="U1598" s="11">
        <f t="shared" si="500"/>
        <v>2.2999999999999998</v>
      </c>
      <c r="W1598">
        <v>2.5</v>
      </c>
      <c r="X1598" s="1" t="s">
        <v>22</v>
      </c>
    </row>
    <row r="1599" spans="1:24" x14ac:dyDescent="0.25">
      <c r="A1599" s="1" t="str">
        <f t="shared" si="495"/>
        <v>卡卡杜-凤凰仓</v>
      </c>
      <c r="B1599" s="1" t="str">
        <f>"CK2024102813011"</f>
        <v>CK2024102813011</v>
      </c>
      <c r="C1599" s="1" t="str">
        <f>"DD2024102893712"</f>
        <v>DD2024102893712</v>
      </c>
      <c r="D1599" s="1" t="str">
        <f>"CK2024102882806"</f>
        <v>CK2024102882806</v>
      </c>
      <c r="E1599" s="1" t="str">
        <f>"6935580538983879875"</f>
        <v>6935580538983879875</v>
      </c>
      <c r="F1599" s="1" t="str">
        <f t="shared" si="496"/>
        <v>花都四部-凤凰仓</v>
      </c>
      <c r="G1599" s="1" t="str">
        <f t="shared" si="509"/>
        <v>卡卡杜个人护理店（抖店）</v>
      </c>
      <c r="H1599" s="1" t="str">
        <f t="shared" si="497"/>
        <v>正常订单</v>
      </c>
      <c r="I1599" s="1" t="str">
        <f t="shared" si="498"/>
        <v>已发货</v>
      </c>
      <c r="J1599" s="1" t="str">
        <f t="shared" si="517"/>
        <v>3</v>
      </c>
      <c r="K1599" s="1">
        <v>2</v>
      </c>
      <c r="L1599" s="1" t="s">
        <v>47</v>
      </c>
      <c r="M1599" s="1" t="str">
        <f>"重庆 重庆市 合川区 合阳城街道"</f>
        <v>重庆 重庆市 合川区 合阳城街道</v>
      </c>
      <c r="N1599" s="1" t="str">
        <f t="shared" si="510"/>
        <v>凡华云仓-城南圆通-抖音</v>
      </c>
      <c r="O1599" s="5" t="s">
        <v>1637</v>
      </c>
      <c r="P1599" s="6">
        <v>0.35</v>
      </c>
      <c r="Q1599" s="11">
        <v>2.2999999999999998</v>
      </c>
      <c r="R1599" s="11"/>
      <c r="S1599" s="11"/>
      <c r="T1599" s="11"/>
      <c r="U1599" s="11">
        <f t="shared" si="500"/>
        <v>2.2999999999999998</v>
      </c>
      <c r="W1599">
        <v>2.5</v>
      </c>
      <c r="X1599" s="1" t="s">
        <v>47</v>
      </c>
    </row>
    <row r="1600" spans="1:24" x14ac:dyDescent="0.25">
      <c r="A1600" s="1" t="str">
        <f t="shared" si="495"/>
        <v>卡卡杜-凤凰仓</v>
      </c>
      <c r="B1600" s="1" t="str">
        <f>"CK2024102813012"</f>
        <v>CK2024102813012</v>
      </c>
      <c r="C1600" s="1" t="str">
        <f>"DD2024102893713"</f>
        <v>DD2024102893713</v>
      </c>
      <c r="D1600" s="1" t="str">
        <f>"CK2024102882805"</f>
        <v>CK2024102882805</v>
      </c>
      <c r="E1600" s="1" t="str">
        <f>"6935558609049688018"</f>
        <v>6935558609049688018</v>
      </c>
      <c r="F1600" s="1" t="str">
        <f t="shared" si="496"/>
        <v>花都四部-凤凰仓</v>
      </c>
      <c r="G1600" s="1" t="str">
        <f t="shared" si="509"/>
        <v>卡卡杜个人护理店（抖店）</v>
      </c>
      <c r="H1600" s="1" t="str">
        <f t="shared" si="497"/>
        <v>正常订单</v>
      </c>
      <c r="I1600" s="1" t="str">
        <f t="shared" si="498"/>
        <v>已发货</v>
      </c>
      <c r="J1600" s="1" t="str">
        <f t="shared" si="517"/>
        <v>3</v>
      </c>
      <c r="K1600" s="1">
        <v>2</v>
      </c>
      <c r="L1600" s="1" t="s">
        <v>47</v>
      </c>
      <c r="M1600" s="1" t="str">
        <f>"重庆 重庆市 云阳县 沙市镇"</f>
        <v>重庆 重庆市 云阳县 沙市镇</v>
      </c>
      <c r="N1600" s="1" t="str">
        <f t="shared" si="510"/>
        <v>凡华云仓-城南圆通-抖音</v>
      </c>
      <c r="O1600" s="5" t="s">
        <v>1638</v>
      </c>
      <c r="P1600" s="6">
        <v>0.35</v>
      </c>
      <c r="Q1600" s="11">
        <v>2.2999999999999998</v>
      </c>
      <c r="R1600" s="11"/>
      <c r="S1600" s="11"/>
      <c r="T1600" s="11"/>
      <c r="U1600" s="11">
        <f t="shared" si="500"/>
        <v>2.2999999999999998</v>
      </c>
      <c r="W1600">
        <v>2.5</v>
      </c>
      <c r="X1600" s="1" t="s">
        <v>47</v>
      </c>
    </row>
    <row r="1601" spans="1:24" x14ac:dyDescent="0.25">
      <c r="A1601" s="1" t="str">
        <f t="shared" si="495"/>
        <v>卡卡杜-凤凰仓</v>
      </c>
      <c r="B1601" s="1" t="str">
        <f>"CK2024102813015"</f>
        <v>CK2024102813015</v>
      </c>
      <c r="C1601" s="1" t="str">
        <f>"DD2024102893718"</f>
        <v>DD2024102893718</v>
      </c>
      <c r="D1601" s="1" t="str">
        <f>"CK2024102882804"</f>
        <v>CK2024102882804</v>
      </c>
      <c r="E1601" s="1" t="str">
        <f>"6935556141548705080"</f>
        <v>6935556141548705080</v>
      </c>
      <c r="F1601" s="1" t="str">
        <f t="shared" si="496"/>
        <v>花都四部-凤凰仓</v>
      </c>
      <c r="G1601" s="1" t="str">
        <f t="shared" si="509"/>
        <v>卡卡杜个人护理店（抖店）</v>
      </c>
      <c r="H1601" s="1" t="str">
        <f t="shared" si="497"/>
        <v>正常订单</v>
      </c>
      <c r="I1601" s="1" t="str">
        <f t="shared" si="498"/>
        <v>已发货</v>
      </c>
      <c r="J1601" s="1" t="str">
        <f t="shared" si="517"/>
        <v>3</v>
      </c>
      <c r="K1601" s="1">
        <v>2</v>
      </c>
      <c r="L1601" s="1" t="s">
        <v>60</v>
      </c>
      <c r="M1601" s="1" t="str">
        <f>"云南省 昆明市 嵩明县 牛栏江镇"</f>
        <v>云南省 昆明市 嵩明县 牛栏江镇</v>
      </c>
      <c r="N1601" s="1" t="str">
        <f t="shared" si="510"/>
        <v>凡华云仓-城南圆通-抖音</v>
      </c>
      <c r="O1601" s="5" t="s">
        <v>1639</v>
      </c>
      <c r="P1601" s="6">
        <v>0.35</v>
      </c>
      <c r="Q1601" s="11">
        <v>2.2999999999999998</v>
      </c>
      <c r="R1601" s="11"/>
      <c r="S1601" s="11"/>
      <c r="T1601" s="11"/>
      <c r="U1601" s="11">
        <f t="shared" si="500"/>
        <v>2.2999999999999998</v>
      </c>
      <c r="W1601">
        <v>2.5</v>
      </c>
      <c r="X1601" s="1" t="s">
        <v>60</v>
      </c>
    </row>
    <row r="1602" spans="1:24" x14ac:dyDescent="0.25">
      <c r="A1602" s="1" t="str">
        <f t="shared" ref="A1602:A1665" si="518">"卡卡杜-凤凰仓"</f>
        <v>卡卡杜-凤凰仓</v>
      </c>
      <c r="B1602" s="1" t="str">
        <f>"CK2024102813016"</f>
        <v>CK2024102813016</v>
      </c>
      <c r="C1602" s="1" t="str">
        <f>"DD2024102893716"</f>
        <v>DD2024102893716</v>
      </c>
      <c r="D1602" s="1" t="str">
        <f>"CK2024102882803"</f>
        <v>CK2024102882803</v>
      </c>
      <c r="E1602" s="1" t="str">
        <f>"6935582876934477731"</f>
        <v>6935582876934477731</v>
      </c>
      <c r="F1602" s="1" t="str">
        <f t="shared" ref="F1602:F1665" si="519">"花都四部-凤凰仓"</f>
        <v>花都四部-凤凰仓</v>
      </c>
      <c r="G1602" s="1" t="str">
        <f t="shared" si="509"/>
        <v>卡卡杜个人护理店（抖店）</v>
      </c>
      <c r="H1602" s="1" t="str">
        <f t="shared" ref="H1602:H1665" si="520">"正常订单"</f>
        <v>正常订单</v>
      </c>
      <c r="I1602" s="1" t="str">
        <f t="shared" ref="I1602:I1665" si="521">"已发货"</f>
        <v>已发货</v>
      </c>
      <c r="J1602" s="1" t="str">
        <f t="shared" si="517"/>
        <v>3</v>
      </c>
      <c r="K1602" s="1">
        <v>2</v>
      </c>
      <c r="L1602" s="1" t="s">
        <v>41</v>
      </c>
      <c r="M1602" s="1" t="str">
        <f>"湖北省 恩施土家族苗族自治州 巴东县 "</f>
        <v xml:space="preserve">湖北省 恩施土家族苗族自治州 巴东县 </v>
      </c>
      <c r="N1602" s="1" t="str">
        <f t="shared" si="510"/>
        <v>凡华云仓-城南圆通-抖音</v>
      </c>
      <c r="O1602" s="5" t="s">
        <v>1640</v>
      </c>
      <c r="P1602" s="6">
        <v>0.35</v>
      </c>
      <c r="Q1602" s="11">
        <v>2.2999999999999998</v>
      </c>
      <c r="R1602" s="11"/>
      <c r="S1602" s="11"/>
      <c r="T1602" s="11"/>
      <c r="U1602" s="11">
        <f t="shared" si="500"/>
        <v>2.2999999999999998</v>
      </c>
      <c r="W1602">
        <v>2.5</v>
      </c>
      <c r="X1602" s="1" t="s">
        <v>41</v>
      </c>
    </row>
    <row r="1603" spans="1:24" x14ac:dyDescent="0.25">
      <c r="A1603" s="1" t="str">
        <f t="shared" si="518"/>
        <v>卡卡杜-凤凰仓</v>
      </c>
      <c r="B1603" s="1" t="str">
        <f>"CK2024102813017"</f>
        <v>CK2024102813017</v>
      </c>
      <c r="C1603" s="1" t="str">
        <f>"DD2024102893717"</f>
        <v>DD2024102893717</v>
      </c>
      <c r="D1603" s="1" t="str">
        <f>"CK2024102882802"</f>
        <v>CK2024102882802</v>
      </c>
      <c r="E1603" s="1" t="str">
        <f>"6935577986753500504"</f>
        <v>6935577986753500504</v>
      </c>
      <c r="F1603" s="1" t="str">
        <f t="shared" si="519"/>
        <v>花都四部-凤凰仓</v>
      </c>
      <c r="G1603" s="1" t="str">
        <f t="shared" si="509"/>
        <v>卡卡杜个人护理店（抖店）</v>
      </c>
      <c r="H1603" s="1" t="str">
        <f t="shared" si="520"/>
        <v>正常订单</v>
      </c>
      <c r="I1603" s="1" t="str">
        <f t="shared" si="521"/>
        <v>已发货</v>
      </c>
      <c r="J1603" s="1" t="str">
        <f t="shared" si="517"/>
        <v>3</v>
      </c>
      <c r="K1603" s="1">
        <v>2</v>
      </c>
      <c r="L1603" s="1" t="s">
        <v>24</v>
      </c>
      <c r="M1603" s="1" t="str">
        <f>"福建省 泉州市 丰泽区 东海街道"</f>
        <v>福建省 泉州市 丰泽区 东海街道</v>
      </c>
      <c r="N1603" s="1" t="str">
        <f t="shared" si="510"/>
        <v>凡华云仓-城南圆通-抖音</v>
      </c>
      <c r="O1603" s="5" t="s">
        <v>1641</v>
      </c>
      <c r="P1603" s="6">
        <v>0.35</v>
      </c>
      <c r="Q1603" s="11">
        <v>2.2999999999999998</v>
      </c>
      <c r="R1603" s="11"/>
      <c r="S1603" s="11"/>
      <c r="T1603" s="11"/>
      <c r="U1603" s="11">
        <f t="shared" ref="U1603:U1666" si="522">T1603+S1603+R1603+Q1603</f>
        <v>2.2999999999999998</v>
      </c>
      <c r="W1603">
        <v>2.5</v>
      </c>
      <c r="X1603" s="1" t="s">
        <v>24</v>
      </c>
    </row>
    <row r="1604" spans="1:24" x14ac:dyDescent="0.25">
      <c r="A1604" s="1" t="str">
        <f t="shared" si="518"/>
        <v>卡卡杜-凤凰仓</v>
      </c>
      <c r="B1604" s="1" t="str">
        <f>"CK2024102812944"</f>
        <v>CK2024102812944</v>
      </c>
      <c r="C1604" s="1" t="str">
        <f>"DD2024102893621"</f>
        <v>DD2024102893621</v>
      </c>
      <c r="D1604" s="1" t="str">
        <f>"CK2024102882801"</f>
        <v>CK2024102882801</v>
      </c>
      <c r="E1604" s="1" t="str">
        <f>"2430201604400170"</f>
        <v>2430201604400170</v>
      </c>
      <c r="F1604" s="1" t="str">
        <f t="shared" si="519"/>
        <v>花都四部-凤凰仓</v>
      </c>
      <c r="G1604" s="1" t="str">
        <f t="shared" ref="G1604:G1626" si="523">"卡卡杜佳旺专卖店（快手店）"</f>
        <v>卡卡杜佳旺专卖店（快手店）</v>
      </c>
      <c r="H1604" s="1" t="str">
        <f t="shared" si="520"/>
        <v>正常订单</v>
      </c>
      <c r="I1604" s="1" t="str">
        <f t="shared" si="521"/>
        <v>已发货</v>
      </c>
      <c r="J1604" s="1" t="str">
        <f>"5"</f>
        <v>5</v>
      </c>
      <c r="K1604" s="1">
        <v>2</v>
      </c>
      <c r="L1604" s="1" t="s">
        <v>20</v>
      </c>
      <c r="M1604" s="1" t="str">
        <f>"浙江省 杭州市 西湖区 三墩镇"</f>
        <v>浙江省 杭州市 西湖区 三墩镇</v>
      </c>
      <c r="N1604" s="1" t="str">
        <f t="shared" ref="N1604:N1626" si="524">"凡华云仓-城南圆通-快手"</f>
        <v>凡华云仓-城南圆通-快手</v>
      </c>
      <c r="O1604" s="5" t="s">
        <v>1642</v>
      </c>
      <c r="P1604" s="6">
        <v>0.59</v>
      </c>
      <c r="Q1604" s="11">
        <f>CEILING(P1604-0.5,0.1)*10*0.15+2.3</f>
        <v>2.4499999999999997</v>
      </c>
      <c r="R1604" s="11"/>
      <c r="S1604" s="11"/>
      <c r="T1604" s="11"/>
      <c r="U1604" s="11">
        <f t="shared" si="522"/>
        <v>2.4499999999999997</v>
      </c>
      <c r="V1604" t="s">
        <v>15</v>
      </c>
      <c r="W1604">
        <v>2.4500000000000002</v>
      </c>
      <c r="X1604" s="1" t="s">
        <v>20</v>
      </c>
    </row>
    <row r="1605" spans="1:24" x14ac:dyDescent="0.25">
      <c r="A1605" s="1" t="str">
        <f t="shared" si="518"/>
        <v>卡卡杜-凤凰仓</v>
      </c>
      <c r="B1605" s="1" t="str">
        <f>"CK2024102812984"</f>
        <v>CK2024102812984</v>
      </c>
      <c r="C1605" s="1" t="str">
        <f>"DD2024102893685"</f>
        <v>DD2024102893685</v>
      </c>
      <c r="D1605" s="1" t="str">
        <f>"CK2024102882800"</f>
        <v>CK2024102882800</v>
      </c>
      <c r="E1605" s="1" t="str">
        <f>"2430202002675446"</f>
        <v>2430202002675446</v>
      </c>
      <c r="F1605" s="1" t="str">
        <f t="shared" si="519"/>
        <v>花都四部-凤凰仓</v>
      </c>
      <c r="G1605" s="1" t="str">
        <f t="shared" si="523"/>
        <v>卡卡杜佳旺专卖店（快手店）</v>
      </c>
      <c r="H1605" s="1" t="str">
        <f t="shared" si="520"/>
        <v>正常订单</v>
      </c>
      <c r="I1605" s="1" t="str">
        <f t="shared" si="521"/>
        <v>已发货</v>
      </c>
      <c r="J1605" s="1" t="str">
        <f t="shared" ref="J1605:J1607" si="525">"3"</f>
        <v>3</v>
      </c>
      <c r="K1605" s="1">
        <v>2</v>
      </c>
      <c r="L1605" s="1" t="s">
        <v>136</v>
      </c>
      <c r="M1605" s="1" t="str">
        <f>"北京市 北京市 昌平区 北七家镇"</f>
        <v>北京市 北京市 昌平区 北七家镇</v>
      </c>
      <c r="N1605" s="1" t="str">
        <f t="shared" si="524"/>
        <v>凡华云仓-城南圆通-快手</v>
      </c>
      <c r="O1605" s="5" t="s">
        <v>1643</v>
      </c>
      <c r="P1605" s="6">
        <v>0.35</v>
      </c>
      <c r="Q1605" s="11">
        <v>2.2999999999999998</v>
      </c>
      <c r="R1605" s="11"/>
      <c r="S1605" s="11"/>
      <c r="T1605" s="11"/>
      <c r="U1605" s="11">
        <f t="shared" si="522"/>
        <v>2.2999999999999998</v>
      </c>
      <c r="W1605">
        <v>2.5</v>
      </c>
      <c r="X1605" s="1" t="s">
        <v>136</v>
      </c>
    </row>
    <row r="1606" spans="1:24" x14ac:dyDescent="0.25">
      <c r="A1606" s="1" t="str">
        <f t="shared" si="518"/>
        <v>卡卡杜-凤凰仓</v>
      </c>
      <c r="B1606" s="1" t="str">
        <f>"CK2024102812986"</f>
        <v>CK2024102812986</v>
      </c>
      <c r="C1606" s="1" t="str">
        <f>"DD2024102893689"</f>
        <v>DD2024102893689</v>
      </c>
      <c r="D1606" s="1" t="str">
        <f>"CK2024102882799"</f>
        <v>CK2024102882799</v>
      </c>
      <c r="E1606" s="1" t="str">
        <f>"2430202413048904"</f>
        <v>2430202413048904</v>
      </c>
      <c r="F1606" s="1" t="str">
        <f t="shared" si="519"/>
        <v>花都四部-凤凰仓</v>
      </c>
      <c r="G1606" s="1" t="str">
        <f t="shared" si="523"/>
        <v>卡卡杜佳旺专卖店（快手店）</v>
      </c>
      <c r="H1606" s="1" t="str">
        <f t="shared" si="520"/>
        <v>正常订单</v>
      </c>
      <c r="I1606" s="1" t="str">
        <f t="shared" si="521"/>
        <v>已发货</v>
      </c>
      <c r="J1606" s="1" t="str">
        <f t="shared" si="525"/>
        <v>3</v>
      </c>
      <c r="K1606" s="1">
        <v>3</v>
      </c>
      <c r="L1606" s="1" t="s">
        <v>161</v>
      </c>
      <c r="M1606" s="1" t="str">
        <f>"四川省 成都市 青羊区 西御河街道"</f>
        <v>四川省 成都市 青羊区 西御河街道</v>
      </c>
      <c r="N1606" s="1" t="str">
        <f t="shared" si="524"/>
        <v>凡华云仓-城南圆通-快手</v>
      </c>
      <c r="O1606" s="5" t="s">
        <v>1644</v>
      </c>
      <c r="P1606" s="6">
        <v>0.34</v>
      </c>
      <c r="Q1606" s="11">
        <v>2.2999999999999998</v>
      </c>
      <c r="R1606" s="11"/>
      <c r="S1606" s="11"/>
      <c r="T1606" s="11"/>
      <c r="U1606" s="11">
        <f t="shared" si="522"/>
        <v>2.2999999999999998</v>
      </c>
      <c r="W1606">
        <v>2.5</v>
      </c>
      <c r="X1606" s="1" t="s">
        <v>161</v>
      </c>
    </row>
    <row r="1607" spans="1:24" x14ac:dyDescent="0.25">
      <c r="A1607" s="1" t="str">
        <f t="shared" si="518"/>
        <v>卡卡杜-凤凰仓</v>
      </c>
      <c r="B1607" s="1" t="str">
        <f>"CK2024102812989"</f>
        <v>CK2024102812989</v>
      </c>
      <c r="C1607" s="1" t="str">
        <f>"DD2024102893691"</f>
        <v>DD2024102893691</v>
      </c>
      <c r="D1607" s="1" t="str">
        <f>"CK2024102882798"</f>
        <v>CK2024102882798</v>
      </c>
      <c r="E1607" s="1" t="str">
        <f>"2430202403345893"</f>
        <v>2430202403345893</v>
      </c>
      <c r="F1607" s="1" t="str">
        <f t="shared" si="519"/>
        <v>花都四部-凤凰仓</v>
      </c>
      <c r="G1607" s="1" t="str">
        <f t="shared" si="523"/>
        <v>卡卡杜佳旺专卖店（快手店）</v>
      </c>
      <c r="H1607" s="1" t="str">
        <f t="shared" si="520"/>
        <v>正常订单</v>
      </c>
      <c r="I1607" s="1" t="str">
        <f t="shared" si="521"/>
        <v>已发货</v>
      </c>
      <c r="J1607" s="1" t="str">
        <f t="shared" si="525"/>
        <v>3</v>
      </c>
      <c r="K1607" s="1">
        <v>2</v>
      </c>
      <c r="L1607" s="1" t="s">
        <v>109</v>
      </c>
      <c r="M1607" s="1" t="str">
        <f>"山西省 长治市 上党区 "</f>
        <v xml:space="preserve">山西省 长治市 上党区 </v>
      </c>
      <c r="N1607" s="1" t="str">
        <f t="shared" si="524"/>
        <v>凡华云仓-城南圆通-快手</v>
      </c>
      <c r="O1607" s="5" t="s">
        <v>1645</v>
      </c>
      <c r="P1607" s="6">
        <v>0.35</v>
      </c>
      <c r="Q1607" s="11">
        <v>2.2999999999999998</v>
      </c>
      <c r="R1607" s="11"/>
      <c r="S1607" s="11"/>
      <c r="T1607" s="11"/>
      <c r="U1607" s="11">
        <f t="shared" si="522"/>
        <v>2.2999999999999998</v>
      </c>
      <c r="W1607">
        <v>2.5</v>
      </c>
      <c r="X1607" s="1" t="s">
        <v>109</v>
      </c>
    </row>
    <row r="1608" spans="1:24" x14ac:dyDescent="0.25">
      <c r="A1608" s="1" t="str">
        <f t="shared" si="518"/>
        <v>卡卡杜-凤凰仓</v>
      </c>
      <c r="B1608" s="1" t="str">
        <f>"CK2024102812948"</f>
        <v>CK2024102812948</v>
      </c>
      <c r="C1608" s="1" t="str">
        <f>"DD2024102893625"</f>
        <v>DD2024102893625</v>
      </c>
      <c r="D1608" s="1" t="str">
        <f>"CK2024102882797"</f>
        <v>CK2024102882797</v>
      </c>
      <c r="E1608" s="1" t="str">
        <f>"2430202002490996"</f>
        <v>2430202002490996</v>
      </c>
      <c r="F1608" s="1" t="str">
        <f t="shared" si="519"/>
        <v>花都四部-凤凰仓</v>
      </c>
      <c r="G1608" s="1" t="str">
        <f t="shared" si="523"/>
        <v>卡卡杜佳旺专卖店（快手店）</v>
      </c>
      <c r="H1608" s="1" t="str">
        <f t="shared" si="520"/>
        <v>正常订单</v>
      </c>
      <c r="I1608" s="1" t="str">
        <f t="shared" si="521"/>
        <v>已发货</v>
      </c>
      <c r="J1608" s="1" t="str">
        <f>"5"</f>
        <v>5</v>
      </c>
      <c r="K1608" s="1">
        <v>2</v>
      </c>
      <c r="L1608" s="1" t="s">
        <v>13</v>
      </c>
      <c r="M1608" s="1" t="str">
        <f>"江苏省 宿迁市 沭阳县 十字街道"</f>
        <v>江苏省 宿迁市 沭阳县 十字街道</v>
      </c>
      <c r="N1608" s="1" t="str">
        <f t="shared" si="524"/>
        <v>凡华云仓-城南圆通-快手</v>
      </c>
      <c r="O1608" s="5" t="s">
        <v>1646</v>
      </c>
      <c r="P1608" s="6">
        <v>0.59</v>
      </c>
      <c r="Q1608" s="11">
        <f>CEILING(P1608-0.5,0.1)*10*0.15+2.3</f>
        <v>2.4499999999999997</v>
      </c>
      <c r="R1608" s="11"/>
      <c r="S1608" s="11"/>
      <c r="T1608" s="11"/>
      <c r="U1608" s="11">
        <f t="shared" si="522"/>
        <v>2.4499999999999997</v>
      </c>
      <c r="V1608" t="s">
        <v>15</v>
      </c>
      <c r="W1608">
        <v>2.4500000000000002</v>
      </c>
      <c r="X1608" s="1" t="s">
        <v>13</v>
      </c>
    </row>
    <row r="1609" spans="1:24" x14ac:dyDescent="0.25">
      <c r="A1609" s="1" t="str">
        <f t="shared" si="518"/>
        <v>卡卡杜-凤凰仓</v>
      </c>
      <c r="B1609" s="1" t="str">
        <f>"CK2024102812995"</f>
        <v>CK2024102812995</v>
      </c>
      <c r="C1609" s="1" t="str">
        <f>"DD2024102893696"</f>
        <v>DD2024102893696</v>
      </c>
      <c r="D1609" s="1" t="str">
        <f>"CK2024102882796"</f>
        <v>CK2024102882796</v>
      </c>
      <c r="E1609" s="1" t="str">
        <f>"2430202325048612"</f>
        <v>2430202325048612</v>
      </c>
      <c r="F1609" s="1" t="str">
        <f t="shared" si="519"/>
        <v>花都四部-凤凰仓</v>
      </c>
      <c r="G1609" s="1" t="str">
        <f t="shared" si="523"/>
        <v>卡卡杜佳旺专卖店（快手店）</v>
      </c>
      <c r="H1609" s="1" t="str">
        <f t="shared" si="520"/>
        <v>正常订单</v>
      </c>
      <c r="I1609" s="1" t="str">
        <f t="shared" si="521"/>
        <v>已发货</v>
      </c>
      <c r="J1609" s="1" t="str">
        <f t="shared" ref="J1609:J1613" si="526">"3"</f>
        <v>3</v>
      </c>
      <c r="K1609" s="1">
        <v>2</v>
      </c>
      <c r="L1609" s="1" t="s">
        <v>36</v>
      </c>
      <c r="M1609" s="1" t="str">
        <f>"安徽省 合肥市 肥西县 "</f>
        <v xml:space="preserve">安徽省 合肥市 肥西县 </v>
      </c>
      <c r="N1609" s="1" t="str">
        <f t="shared" si="524"/>
        <v>凡华云仓-城南圆通-快手</v>
      </c>
      <c r="O1609" s="5" t="s">
        <v>1647</v>
      </c>
      <c r="P1609" s="6">
        <v>0.35</v>
      </c>
      <c r="Q1609" s="11">
        <v>2.2999999999999998</v>
      </c>
      <c r="R1609" s="11"/>
      <c r="S1609" s="11"/>
      <c r="T1609" s="11"/>
      <c r="U1609" s="11">
        <f t="shared" si="522"/>
        <v>2.2999999999999998</v>
      </c>
      <c r="W1609">
        <v>2.5</v>
      </c>
      <c r="X1609" s="1" t="s">
        <v>36</v>
      </c>
    </row>
    <row r="1610" spans="1:24" x14ac:dyDescent="0.25">
      <c r="A1610" s="1" t="str">
        <f t="shared" si="518"/>
        <v>卡卡杜-凤凰仓</v>
      </c>
      <c r="B1610" s="1" t="str">
        <f>"CK2024102812996"</f>
        <v>CK2024102812996</v>
      </c>
      <c r="C1610" s="1" t="str">
        <f>"DD2024102893698"</f>
        <v>DD2024102893698</v>
      </c>
      <c r="D1610" s="1" t="str">
        <f>"CK2024102882795"</f>
        <v>CK2024102882795</v>
      </c>
      <c r="E1610" s="1" t="str">
        <f>"2430201606417481"</f>
        <v>2430201606417481</v>
      </c>
      <c r="F1610" s="1" t="str">
        <f t="shared" si="519"/>
        <v>花都四部-凤凰仓</v>
      </c>
      <c r="G1610" s="1" t="str">
        <f t="shared" si="523"/>
        <v>卡卡杜佳旺专卖店（快手店）</v>
      </c>
      <c r="H1610" s="1" t="str">
        <f t="shared" si="520"/>
        <v>正常订单</v>
      </c>
      <c r="I1610" s="1" t="str">
        <f t="shared" si="521"/>
        <v>已发货</v>
      </c>
      <c r="J1610" s="1" t="str">
        <f t="shared" si="526"/>
        <v>3</v>
      </c>
      <c r="K1610" s="1">
        <v>2</v>
      </c>
      <c r="L1610" s="1" t="s">
        <v>60</v>
      </c>
      <c r="M1610" s="1" t="str">
        <f>"云南省 昆明市 官渡区 金马街道"</f>
        <v>云南省 昆明市 官渡区 金马街道</v>
      </c>
      <c r="N1610" s="1" t="str">
        <f t="shared" si="524"/>
        <v>凡华云仓-城南圆通-快手</v>
      </c>
      <c r="O1610" s="5" t="s">
        <v>1648</v>
      </c>
      <c r="P1610" s="6">
        <v>0.35</v>
      </c>
      <c r="Q1610" s="11">
        <v>2.2999999999999998</v>
      </c>
      <c r="R1610" s="11"/>
      <c r="S1610" s="11"/>
      <c r="T1610" s="11"/>
      <c r="U1610" s="11">
        <f t="shared" si="522"/>
        <v>2.2999999999999998</v>
      </c>
      <c r="W1610">
        <v>2.5</v>
      </c>
      <c r="X1610" s="1" t="s">
        <v>60</v>
      </c>
    </row>
    <row r="1611" spans="1:24" x14ac:dyDescent="0.25">
      <c r="A1611" s="1" t="str">
        <f t="shared" si="518"/>
        <v>卡卡杜-凤凰仓</v>
      </c>
      <c r="B1611" s="1" t="str">
        <f>"CK2024102812997"</f>
        <v>CK2024102812997</v>
      </c>
      <c r="C1611" s="1" t="str">
        <f>"DD2024102893699"</f>
        <v>DD2024102893699</v>
      </c>
      <c r="D1611" s="1" t="str">
        <f>"CK2024102882794"</f>
        <v>CK2024102882794</v>
      </c>
      <c r="E1611" s="1" t="str">
        <f>"2430202004041205"</f>
        <v>2430202004041205</v>
      </c>
      <c r="F1611" s="1" t="str">
        <f t="shared" si="519"/>
        <v>花都四部-凤凰仓</v>
      </c>
      <c r="G1611" s="1" t="str">
        <f t="shared" si="523"/>
        <v>卡卡杜佳旺专卖店（快手店）</v>
      </c>
      <c r="H1611" s="1" t="str">
        <f t="shared" si="520"/>
        <v>正常订单</v>
      </c>
      <c r="I1611" s="1" t="str">
        <f t="shared" si="521"/>
        <v>已发货</v>
      </c>
      <c r="J1611" s="1" t="str">
        <f t="shared" si="526"/>
        <v>3</v>
      </c>
      <c r="K1611" s="1">
        <v>2</v>
      </c>
      <c r="L1611" s="1" t="s">
        <v>18</v>
      </c>
      <c r="M1611" s="1" t="str">
        <f>"广东省 东莞市 长安镇 长安镇"</f>
        <v>广东省 东莞市 长安镇 长安镇</v>
      </c>
      <c r="N1611" s="1" t="str">
        <f t="shared" si="524"/>
        <v>凡华云仓-城南圆通-快手</v>
      </c>
      <c r="O1611" s="5" t="s">
        <v>1649</v>
      </c>
      <c r="P1611" s="6">
        <v>0.35</v>
      </c>
      <c r="Q1611" s="11">
        <v>2.2999999999999998</v>
      </c>
      <c r="R1611" s="11"/>
      <c r="S1611" s="11"/>
      <c r="T1611" s="11"/>
      <c r="U1611" s="11">
        <f t="shared" si="522"/>
        <v>2.2999999999999998</v>
      </c>
      <c r="W1611">
        <v>2.5</v>
      </c>
      <c r="X1611" s="1" t="s">
        <v>18</v>
      </c>
    </row>
    <row r="1612" spans="1:24" x14ac:dyDescent="0.25">
      <c r="A1612" s="1" t="str">
        <f t="shared" si="518"/>
        <v>卡卡杜-凤凰仓</v>
      </c>
      <c r="B1612" s="1" t="str">
        <f>"CK2024102812998"</f>
        <v>CK2024102812998</v>
      </c>
      <c r="C1612" s="1" t="str">
        <f>"DD2024102893701"</f>
        <v>DD2024102893701</v>
      </c>
      <c r="D1612" s="1" t="str">
        <f>"CK2024102882793"</f>
        <v>CK2024102882793</v>
      </c>
      <c r="E1612" s="1" t="str">
        <f>"2430202082208662"</f>
        <v>2430202082208662</v>
      </c>
      <c r="F1612" s="1" t="str">
        <f t="shared" si="519"/>
        <v>花都四部-凤凰仓</v>
      </c>
      <c r="G1612" s="1" t="str">
        <f t="shared" si="523"/>
        <v>卡卡杜佳旺专卖店（快手店）</v>
      </c>
      <c r="H1612" s="1" t="str">
        <f t="shared" si="520"/>
        <v>正常订单</v>
      </c>
      <c r="I1612" s="1" t="str">
        <f t="shared" si="521"/>
        <v>已发货</v>
      </c>
      <c r="J1612" s="1" t="str">
        <f t="shared" si="526"/>
        <v>3</v>
      </c>
      <c r="K1612" s="1">
        <v>2</v>
      </c>
      <c r="L1612" s="1" t="s">
        <v>18</v>
      </c>
      <c r="M1612" s="1" t="str">
        <f>"广东省 珠海市 香洲区 南屏镇"</f>
        <v>广东省 珠海市 香洲区 南屏镇</v>
      </c>
      <c r="N1612" s="1" t="str">
        <f t="shared" si="524"/>
        <v>凡华云仓-城南圆通-快手</v>
      </c>
      <c r="O1612" s="5" t="s">
        <v>1650</v>
      </c>
      <c r="P1612" s="6">
        <v>0.35</v>
      </c>
      <c r="Q1612" s="11">
        <v>2.2999999999999998</v>
      </c>
      <c r="R1612" s="11"/>
      <c r="S1612" s="11"/>
      <c r="T1612" s="11"/>
      <c r="U1612" s="11">
        <f t="shared" si="522"/>
        <v>2.2999999999999998</v>
      </c>
      <c r="W1612">
        <v>2.5</v>
      </c>
      <c r="X1612" s="1" t="s">
        <v>18</v>
      </c>
    </row>
    <row r="1613" spans="1:24" x14ac:dyDescent="0.25">
      <c r="A1613" s="1" t="str">
        <f t="shared" si="518"/>
        <v>卡卡杜-凤凰仓</v>
      </c>
      <c r="B1613" s="1" t="str">
        <f>"CK2024102812999"</f>
        <v>CK2024102812999</v>
      </c>
      <c r="C1613" s="1" t="str">
        <f>"DD2024102893703"</f>
        <v>DD2024102893703</v>
      </c>
      <c r="D1613" s="1" t="str">
        <f>"CK2024102882792"</f>
        <v>CK2024102882792</v>
      </c>
      <c r="E1613" s="1" t="str">
        <f>"2430201688114733"</f>
        <v>2430201688114733</v>
      </c>
      <c r="F1613" s="1" t="str">
        <f t="shared" si="519"/>
        <v>花都四部-凤凰仓</v>
      </c>
      <c r="G1613" s="1" t="str">
        <f t="shared" si="523"/>
        <v>卡卡杜佳旺专卖店（快手店）</v>
      </c>
      <c r="H1613" s="1" t="str">
        <f t="shared" si="520"/>
        <v>正常订单</v>
      </c>
      <c r="I1613" s="1" t="str">
        <f t="shared" si="521"/>
        <v>已发货</v>
      </c>
      <c r="J1613" s="1" t="str">
        <f t="shared" si="526"/>
        <v>3</v>
      </c>
      <c r="K1613" s="1">
        <v>2</v>
      </c>
      <c r="L1613" s="1" t="s">
        <v>13</v>
      </c>
      <c r="M1613" s="1" t="str">
        <f>"江苏省 常州市 钟楼区 五星街道"</f>
        <v>江苏省 常州市 钟楼区 五星街道</v>
      </c>
      <c r="N1613" s="1" t="str">
        <f t="shared" si="524"/>
        <v>凡华云仓-城南圆通-快手</v>
      </c>
      <c r="O1613" s="5" t="s">
        <v>1651</v>
      </c>
      <c r="P1613" s="6">
        <v>0.35</v>
      </c>
      <c r="Q1613" s="11">
        <v>2.2999999999999998</v>
      </c>
      <c r="R1613" s="11"/>
      <c r="S1613" s="11"/>
      <c r="T1613" s="11"/>
      <c r="U1613" s="11">
        <f t="shared" si="522"/>
        <v>2.2999999999999998</v>
      </c>
      <c r="W1613">
        <v>2.5</v>
      </c>
      <c r="X1613" s="1" t="s">
        <v>13</v>
      </c>
    </row>
    <row r="1614" spans="1:24" x14ac:dyDescent="0.25">
      <c r="A1614" s="1" t="str">
        <f t="shared" si="518"/>
        <v>卡卡杜-凤凰仓</v>
      </c>
      <c r="B1614" s="1" t="str">
        <f>"CK2024102812953"</f>
        <v>CK2024102812953</v>
      </c>
      <c r="C1614" s="1" t="str">
        <f>"DD2024102893626"</f>
        <v>DD2024102893626</v>
      </c>
      <c r="D1614" s="1" t="str">
        <f>"CK2024102882791"</f>
        <v>CK2024102882791</v>
      </c>
      <c r="E1614" s="1" t="str">
        <f>"2430202324872495"</f>
        <v>2430202324872495</v>
      </c>
      <c r="F1614" s="1" t="str">
        <f t="shared" si="519"/>
        <v>花都四部-凤凰仓</v>
      </c>
      <c r="G1614" s="1" t="str">
        <f t="shared" si="523"/>
        <v>卡卡杜佳旺专卖店（快手店）</v>
      </c>
      <c r="H1614" s="1" t="str">
        <f t="shared" si="520"/>
        <v>正常订单</v>
      </c>
      <c r="I1614" s="1" t="str">
        <f t="shared" si="521"/>
        <v>已发货</v>
      </c>
      <c r="J1614" s="1" t="str">
        <f t="shared" ref="J1614:J1619" si="527">"5"</f>
        <v>5</v>
      </c>
      <c r="K1614" s="1">
        <v>2</v>
      </c>
      <c r="L1614" s="1" t="s">
        <v>18</v>
      </c>
      <c r="M1614" s="1" t="str">
        <f>"广东省 深圳市 龙岗区 宝龙街道"</f>
        <v>广东省 深圳市 龙岗区 宝龙街道</v>
      </c>
      <c r="N1614" s="1" t="str">
        <f t="shared" si="524"/>
        <v>凡华云仓-城南圆通-快手</v>
      </c>
      <c r="O1614" s="5" t="s">
        <v>1652</v>
      </c>
      <c r="P1614" s="6">
        <v>0.59</v>
      </c>
      <c r="Q1614" s="11">
        <f t="shared" ref="Q1614:Q1619" si="528">CEILING(P1614-0.5,0.1)*10*0.15+2.3</f>
        <v>2.4499999999999997</v>
      </c>
      <c r="R1614" s="11"/>
      <c r="S1614" s="11"/>
      <c r="T1614" s="11"/>
      <c r="U1614" s="11">
        <f t="shared" si="522"/>
        <v>2.4499999999999997</v>
      </c>
      <c r="V1614" t="s">
        <v>15</v>
      </c>
      <c r="W1614">
        <v>2.4500000000000002</v>
      </c>
      <c r="X1614" s="1" t="s">
        <v>18</v>
      </c>
    </row>
    <row r="1615" spans="1:24" x14ac:dyDescent="0.25">
      <c r="A1615" s="1" t="str">
        <f t="shared" si="518"/>
        <v>卡卡杜-凤凰仓</v>
      </c>
      <c r="B1615" s="1" t="str">
        <f>"CK2024102813001"</f>
        <v>CK2024102813001</v>
      </c>
      <c r="C1615" s="1" t="str">
        <f>"DD2024102893700"</f>
        <v>DD2024102893700</v>
      </c>
      <c r="D1615" s="1" t="str">
        <f>"CK2024102882790"</f>
        <v>CK2024102882790</v>
      </c>
      <c r="E1615" s="1" t="str">
        <f>"2430202243027311"</f>
        <v>2430202243027311</v>
      </c>
      <c r="F1615" s="1" t="str">
        <f t="shared" si="519"/>
        <v>花都四部-凤凰仓</v>
      </c>
      <c r="G1615" s="1" t="str">
        <f t="shared" si="523"/>
        <v>卡卡杜佳旺专卖店（快手店）</v>
      </c>
      <c r="H1615" s="1" t="str">
        <f t="shared" si="520"/>
        <v>正常订单</v>
      </c>
      <c r="I1615" s="1" t="str">
        <f t="shared" si="521"/>
        <v>已发货</v>
      </c>
      <c r="J1615" s="1" t="str">
        <f t="shared" ref="J1615:J1618" si="529">"3"</f>
        <v>3</v>
      </c>
      <c r="K1615" s="1">
        <v>2</v>
      </c>
      <c r="L1615" s="1" t="s">
        <v>92</v>
      </c>
      <c r="M1615" s="1" t="str">
        <f>"辽宁省 大连市 瓦房店市 铁东街道"</f>
        <v>辽宁省 大连市 瓦房店市 铁东街道</v>
      </c>
      <c r="N1615" s="1" t="str">
        <f t="shared" si="524"/>
        <v>凡华云仓-城南圆通-快手</v>
      </c>
      <c r="O1615" s="5" t="s">
        <v>1653</v>
      </c>
      <c r="P1615" s="6">
        <v>0.35</v>
      </c>
      <c r="Q1615" s="11">
        <v>2.2999999999999998</v>
      </c>
      <c r="R1615" s="11"/>
      <c r="S1615" s="11"/>
      <c r="T1615" s="11"/>
      <c r="U1615" s="11">
        <f t="shared" si="522"/>
        <v>2.2999999999999998</v>
      </c>
      <c r="W1615">
        <v>2.5</v>
      </c>
      <c r="X1615" s="1" t="s">
        <v>92</v>
      </c>
    </row>
    <row r="1616" spans="1:24" x14ac:dyDescent="0.25">
      <c r="A1616" s="1" t="str">
        <f t="shared" si="518"/>
        <v>卡卡杜-凤凰仓</v>
      </c>
      <c r="B1616" s="1" t="str">
        <f>"CK2024102812954"</f>
        <v>CK2024102812954</v>
      </c>
      <c r="C1616" s="1" t="str">
        <f>"DD2024102893628"</f>
        <v>DD2024102893628</v>
      </c>
      <c r="D1616" s="1" t="str">
        <f>"CK2024102882789"</f>
        <v>CK2024102882789</v>
      </c>
      <c r="E1616" s="1" t="str">
        <f>"2430201923809850"</f>
        <v>2430201923809850</v>
      </c>
      <c r="F1616" s="1" t="str">
        <f t="shared" si="519"/>
        <v>花都四部-凤凰仓</v>
      </c>
      <c r="G1616" s="1" t="str">
        <f t="shared" si="523"/>
        <v>卡卡杜佳旺专卖店（快手店）</v>
      </c>
      <c r="H1616" s="1" t="str">
        <f t="shared" si="520"/>
        <v>正常订单</v>
      </c>
      <c r="I1616" s="1" t="str">
        <f t="shared" si="521"/>
        <v>已发货</v>
      </c>
      <c r="J1616" s="1" t="str">
        <f t="shared" si="527"/>
        <v>5</v>
      </c>
      <c r="K1616" s="1">
        <v>2</v>
      </c>
      <c r="L1616" s="1" t="s">
        <v>94</v>
      </c>
      <c r="M1616" s="1" t="str">
        <f>"湖南省 长沙市 岳麓区 观沙岭街道"</f>
        <v>湖南省 长沙市 岳麓区 观沙岭街道</v>
      </c>
      <c r="N1616" s="1" t="str">
        <f t="shared" si="524"/>
        <v>凡华云仓-城南圆通-快手</v>
      </c>
      <c r="O1616" s="5" t="s">
        <v>1654</v>
      </c>
      <c r="P1616" s="6">
        <v>0.59</v>
      </c>
      <c r="Q1616" s="11">
        <f t="shared" si="528"/>
        <v>2.4499999999999997</v>
      </c>
      <c r="R1616" s="11"/>
      <c r="S1616" s="11"/>
      <c r="T1616" s="11"/>
      <c r="U1616" s="11">
        <f t="shared" si="522"/>
        <v>2.4499999999999997</v>
      </c>
      <c r="V1616" t="s">
        <v>15</v>
      </c>
      <c r="W1616">
        <v>2.4500000000000002</v>
      </c>
      <c r="X1616" s="1" t="s">
        <v>94</v>
      </c>
    </row>
    <row r="1617" spans="1:24" x14ac:dyDescent="0.25">
      <c r="A1617" s="1" t="str">
        <f t="shared" si="518"/>
        <v>卡卡杜-凤凰仓</v>
      </c>
      <c r="B1617" s="1" t="str">
        <f>"CK2024102813006"</f>
        <v>CK2024102813006</v>
      </c>
      <c r="C1617" s="1" t="str">
        <f>"DD2024102893708"</f>
        <v>DD2024102893708</v>
      </c>
      <c r="D1617" s="1" t="str">
        <f>"CK2024102882788"</f>
        <v>CK2024102882788</v>
      </c>
      <c r="E1617" s="1" t="str">
        <f>"2430202240723327"</f>
        <v>2430202240723327</v>
      </c>
      <c r="F1617" s="1" t="str">
        <f t="shared" si="519"/>
        <v>花都四部-凤凰仓</v>
      </c>
      <c r="G1617" s="1" t="str">
        <f t="shared" si="523"/>
        <v>卡卡杜佳旺专卖店（快手店）</v>
      </c>
      <c r="H1617" s="1" t="str">
        <f t="shared" si="520"/>
        <v>正常订单</v>
      </c>
      <c r="I1617" s="1" t="str">
        <f t="shared" si="521"/>
        <v>已发货</v>
      </c>
      <c r="J1617" s="1" t="str">
        <f t="shared" si="529"/>
        <v>3</v>
      </c>
      <c r="K1617" s="1">
        <v>2</v>
      </c>
      <c r="L1617" s="1" t="s">
        <v>20</v>
      </c>
      <c r="M1617" s="1" t="str">
        <f>"浙江省 丽水市 缙云县 壶镇镇"</f>
        <v>浙江省 丽水市 缙云县 壶镇镇</v>
      </c>
      <c r="N1617" s="1" t="str">
        <f t="shared" si="524"/>
        <v>凡华云仓-城南圆通-快手</v>
      </c>
      <c r="O1617" s="5" t="s">
        <v>1655</v>
      </c>
      <c r="P1617" s="6">
        <v>0.35</v>
      </c>
      <c r="Q1617" s="11">
        <v>2.2999999999999998</v>
      </c>
      <c r="R1617" s="11"/>
      <c r="S1617" s="11"/>
      <c r="T1617" s="11"/>
      <c r="U1617" s="11">
        <f t="shared" si="522"/>
        <v>2.2999999999999998</v>
      </c>
      <c r="W1617">
        <v>2.5</v>
      </c>
      <c r="X1617" s="1" t="s">
        <v>20</v>
      </c>
    </row>
    <row r="1618" spans="1:24" x14ac:dyDescent="0.25">
      <c r="A1618" s="1" t="str">
        <f t="shared" si="518"/>
        <v>卡卡杜-凤凰仓</v>
      </c>
      <c r="B1618" s="1" t="str">
        <f>"CK2024102813007"</f>
        <v>CK2024102813007</v>
      </c>
      <c r="C1618" s="1" t="str">
        <f>"DD2024102893707"</f>
        <v>DD2024102893707</v>
      </c>
      <c r="D1618" s="1" t="str">
        <f>"CK2024102882787"</f>
        <v>CK2024102882787</v>
      </c>
      <c r="E1618" s="1" t="str">
        <f>"2430202324090595"</f>
        <v>2430202324090595</v>
      </c>
      <c r="F1618" s="1" t="str">
        <f t="shared" si="519"/>
        <v>花都四部-凤凰仓</v>
      </c>
      <c r="G1618" s="1" t="str">
        <f t="shared" si="523"/>
        <v>卡卡杜佳旺专卖店（快手店）</v>
      </c>
      <c r="H1618" s="1" t="str">
        <f t="shared" si="520"/>
        <v>正常订单</v>
      </c>
      <c r="I1618" s="1" t="str">
        <f t="shared" si="521"/>
        <v>已发货</v>
      </c>
      <c r="J1618" s="1" t="str">
        <f t="shared" si="529"/>
        <v>3</v>
      </c>
      <c r="K1618" s="1">
        <v>2</v>
      </c>
      <c r="L1618" s="1" t="s">
        <v>24</v>
      </c>
      <c r="M1618" s="1" t="str">
        <f>"福建省 龙岩市 新罗区 西陂街道"</f>
        <v>福建省 龙岩市 新罗区 西陂街道</v>
      </c>
      <c r="N1618" s="1" t="str">
        <f t="shared" si="524"/>
        <v>凡华云仓-城南圆通-快手</v>
      </c>
      <c r="O1618" s="5" t="s">
        <v>1656</v>
      </c>
      <c r="P1618" s="6">
        <v>0.35</v>
      </c>
      <c r="Q1618" s="11">
        <v>2.2999999999999998</v>
      </c>
      <c r="R1618" s="11"/>
      <c r="S1618" s="11"/>
      <c r="T1618" s="11"/>
      <c r="U1618" s="11">
        <f t="shared" si="522"/>
        <v>2.2999999999999998</v>
      </c>
      <c r="W1618">
        <v>2.5</v>
      </c>
      <c r="X1618" s="1" t="s">
        <v>24</v>
      </c>
    </row>
    <row r="1619" spans="1:24" x14ac:dyDescent="0.25">
      <c r="A1619" s="1" t="str">
        <f t="shared" si="518"/>
        <v>卡卡杜-凤凰仓</v>
      </c>
      <c r="B1619" s="1" t="str">
        <f>"CK2024102812956"</f>
        <v>CK2024102812956</v>
      </c>
      <c r="C1619" s="1" t="str">
        <f>"DD2024102893631"</f>
        <v>DD2024102893631</v>
      </c>
      <c r="D1619" s="1" t="str">
        <f>"CK2024102882786"</f>
        <v>CK2024102882786</v>
      </c>
      <c r="E1619" s="1" t="str">
        <f>"2430202082306589"</f>
        <v>2430202082306589</v>
      </c>
      <c r="F1619" s="1" t="str">
        <f t="shared" si="519"/>
        <v>花都四部-凤凰仓</v>
      </c>
      <c r="G1619" s="1" t="str">
        <f t="shared" si="523"/>
        <v>卡卡杜佳旺专卖店（快手店）</v>
      </c>
      <c r="H1619" s="1" t="str">
        <f t="shared" si="520"/>
        <v>正常订单</v>
      </c>
      <c r="I1619" s="1" t="str">
        <f t="shared" si="521"/>
        <v>已发货</v>
      </c>
      <c r="J1619" s="1" t="str">
        <f t="shared" si="527"/>
        <v>5</v>
      </c>
      <c r="K1619" s="1">
        <v>2</v>
      </c>
      <c r="L1619" s="1" t="s">
        <v>94</v>
      </c>
      <c r="M1619" s="1" t="str">
        <f>"湖南省 娄底市 娄星区 乐坪街道"</f>
        <v>湖南省 娄底市 娄星区 乐坪街道</v>
      </c>
      <c r="N1619" s="1" t="str">
        <f t="shared" si="524"/>
        <v>凡华云仓-城南圆通-快手</v>
      </c>
      <c r="O1619" s="5" t="s">
        <v>1657</v>
      </c>
      <c r="P1619" s="6">
        <v>0.59</v>
      </c>
      <c r="Q1619" s="11">
        <f t="shared" si="528"/>
        <v>2.4499999999999997</v>
      </c>
      <c r="R1619" s="11"/>
      <c r="S1619" s="11"/>
      <c r="T1619" s="11"/>
      <c r="U1619" s="11">
        <f t="shared" si="522"/>
        <v>2.4499999999999997</v>
      </c>
      <c r="V1619" t="s">
        <v>15</v>
      </c>
      <c r="W1619">
        <v>2.4500000000000002</v>
      </c>
      <c r="X1619" s="1" t="s">
        <v>94</v>
      </c>
    </row>
    <row r="1620" spans="1:24" x14ac:dyDescent="0.25">
      <c r="A1620" s="1" t="str">
        <f t="shared" si="518"/>
        <v>卡卡杜-凤凰仓</v>
      </c>
      <c r="B1620" s="1" t="str">
        <f>"CK2024102813008"</f>
        <v>CK2024102813008</v>
      </c>
      <c r="C1620" s="1" t="str">
        <f>"DD2024102893709"</f>
        <v>DD2024102893709</v>
      </c>
      <c r="D1620" s="1" t="str">
        <f>"CK2024102882785"</f>
        <v>CK2024102882785</v>
      </c>
      <c r="E1620" s="1" t="str">
        <f>"2430202404584001"</f>
        <v>2430202404584001</v>
      </c>
      <c r="F1620" s="1" t="str">
        <f t="shared" si="519"/>
        <v>花都四部-凤凰仓</v>
      </c>
      <c r="G1620" s="1" t="str">
        <f t="shared" si="523"/>
        <v>卡卡杜佳旺专卖店（快手店）</v>
      </c>
      <c r="H1620" s="1" t="str">
        <f t="shared" si="520"/>
        <v>正常订单</v>
      </c>
      <c r="I1620" s="1" t="str">
        <f t="shared" si="521"/>
        <v>已发货</v>
      </c>
      <c r="J1620" s="1" t="str">
        <f t="shared" ref="J1620:J1624" si="530">"3"</f>
        <v>3</v>
      </c>
      <c r="K1620" s="1">
        <v>2</v>
      </c>
      <c r="L1620" s="1" t="s">
        <v>16</v>
      </c>
      <c r="M1620" s="1" t="str">
        <f>"河北省 沧州市 肃宁县 窝北镇"</f>
        <v>河北省 沧州市 肃宁县 窝北镇</v>
      </c>
      <c r="N1620" s="1" t="str">
        <f t="shared" si="524"/>
        <v>凡华云仓-城南圆通-快手</v>
      </c>
      <c r="O1620" s="5" t="s">
        <v>1658</v>
      </c>
      <c r="P1620" s="6">
        <v>0.35</v>
      </c>
      <c r="Q1620" s="11">
        <v>2.2999999999999998</v>
      </c>
      <c r="R1620" s="11"/>
      <c r="S1620" s="11"/>
      <c r="T1620" s="11"/>
      <c r="U1620" s="11">
        <f t="shared" si="522"/>
        <v>2.2999999999999998</v>
      </c>
      <c r="W1620">
        <v>2.5</v>
      </c>
      <c r="X1620" s="1" t="s">
        <v>16</v>
      </c>
    </row>
    <row r="1621" spans="1:24" x14ac:dyDescent="0.25">
      <c r="A1621" s="1" t="str">
        <f t="shared" si="518"/>
        <v>卡卡杜-凤凰仓</v>
      </c>
      <c r="B1621" s="1" t="str">
        <f>"CK2024102813009"</f>
        <v>CK2024102813009</v>
      </c>
      <c r="C1621" s="1" t="str">
        <f>"DD2024102893710"</f>
        <v>DD2024102893710</v>
      </c>
      <c r="D1621" s="1" t="str">
        <f>"CK2024102882784"</f>
        <v>CK2024102882784</v>
      </c>
      <c r="E1621" s="1" t="str">
        <f>"2430201849304501"</f>
        <v>2430201849304501</v>
      </c>
      <c r="F1621" s="1" t="str">
        <f t="shared" si="519"/>
        <v>花都四部-凤凰仓</v>
      </c>
      <c r="G1621" s="1" t="str">
        <f t="shared" si="523"/>
        <v>卡卡杜佳旺专卖店（快手店）</v>
      </c>
      <c r="H1621" s="1" t="str">
        <f t="shared" si="520"/>
        <v>正常订单</v>
      </c>
      <c r="I1621" s="1" t="str">
        <f t="shared" si="521"/>
        <v>已发货</v>
      </c>
      <c r="J1621" s="1" t="str">
        <f t="shared" si="530"/>
        <v>3</v>
      </c>
      <c r="K1621" s="1">
        <v>2</v>
      </c>
      <c r="L1621" s="1" t="s">
        <v>32</v>
      </c>
      <c r="M1621" s="1" t="str">
        <f>"陕西省 宝鸡市 扶风县 城关街道"</f>
        <v>陕西省 宝鸡市 扶风县 城关街道</v>
      </c>
      <c r="N1621" s="1" t="str">
        <f t="shared" si="524"/>
        <v>凡华云仓-城南圆通-快手</v>
      </c>
      <c r="O1621" s="5" t="s">
        <v>1659</v>
      </c>
      <c r="P1621" s="6">
        <v>0.35</v>
      </c>
      <c r="Q1621" s="11">
        <v>2.2999999999999998</v>
      </c>
      <c r="R1621" s="11"/>
      <c r="S1621" s="11"/>
      <c r="T1621" s="11"/>
      <c r="U1621" s="11">
        <f t="shared" si="522"/>
        <v>2.2999999999999998</v>
      </c>
      <c r="W1621">
        <v>2.5</v>
      </c>
      <c r="X1621" s="1" t="s">
        <v>32</v>
      </c>
    </row>
    <row r="1622" spans="1:24" x14ac:dyDescent="0.25">
      <c r="A1622" s="1" t="str">
        <f t="shared" si="518"/>
        <v>卡卡杜-凤凰仓</v>
      </c>
      <c r="B1622" s="1" t="str">
        <f>"CK2024102812957"</f>
        <v>CK2024102812957</v>
      </c>
      <c r="C1622" s="1" t="str">
        <f>"DD2024102893633"</f>
        <v>DD2024102893633</v>
      </c>
      <c r="D1622" s="1" t="str">
        <f>"CK2024102882783"</f>
        <v>CK2024102882783</v>
      </c>
      <c r="E1622" s="1" t="str">
        <f>"2430202162234112"</f>
        <v>2430202162234112</v>
      </c>
      <c r="F1622" s="1" t="str">
        <f t="shared" si="519"/>
        <v>花都四部-凤凰仓</v>
      </c>
      <c r="G1622" s="1" t="str">
        <f t="shared" si="523"/>
        <v>卡卡杜佳旺专卖店（快手店）</v>
      </c>
      <c r="H1622" s="1" t="str">
        <f t="shared" si="520"/>
        <v>正常订单</v>
      </c>
      <c r="I1622" s="1" t="str">
        <f t="shared" si="521"/>
        <v>已发货</v>
      </c>
      <c r="J1622" s="1" t="str">
        <f t="shared" ref="J1622:J1626" si="531">"5"</f>
        <v>5</v>
      </c>
      <c r="K1622" s="1">
        <v>2</v>
      </c>
      <c r="L1622" s="1" t="s">
        <v>13</v>
      </c>
      <c r="M1622" s="1" t="str">
        <f>"江苏省 扬州市 邗江区 双桥街道"</f>
        <v>江苏省 扬州市 邗江区 双桥街道</v>
      </c>
      <c r="N1622" s="1" t="str">
        <f t="shared" si="524"/>
        <v>凡华云仓-城南圆通-快手</v>
      </c>
      <c r="O1622" s="5" t="s">
        <v>1660</v>
      </c>
      <c r="P1622" s="6">
        <v>0.59</v>
      </c>
      <c r="Q1622" s="11">
        <f t="shared" ref="Q1622:Q1626" si="532">CEILING(P1622-0.5,0.1)*10*0.15+2.3</f>
        <v>2.4499999999999997</v>
      </c>
      <c r="R1622" s="11"/>
      <c r="S1622" s="11"/>
      <c r="T1622" s="11"/>
      <c r="U1622" s="11">
        <f t="shared" si="522"/>
        <v>2.4499999999999997</v>
      </c>
      <c r="V1622" t="s">
        <v>15</v>
      </c>
      <c r="W1622">
        <v>2.4500000000000002</v>
      </c>
      <c r="X1622" s="1" t="s">
        <v>13</v>
      </c>
    </row>
    <row r="1623" spans="1:24" x14ac:dyDescent="0.25">
      <c r="A1623" s="1" t="str">
        <f t="shared" si="518"/>
        <v>卡卡杜-凤凰仓</v>
      </c>
      <c r="B1623" s="1" t="str">
        <f>"CK2024102813013"</f>
        <v>CK2024102813013</v>
      </c>
      <c r="C1623" s="1" t="str">
        <f>"DD2024102893715"</f>
        <v>DD2024102893715</v>
      </c>
      <c r="D1623" s="1" t="str">
        <f>"CK2024102882782"</f>
        <v>CK2024102882782</v>
      </c>
      <c r="E1623" s="1" t="str">
        <f>"2430202324512205"</f>
        <v>2430202324512205</v>
      </c>
      <c r="F1623" s="1" t="str">
        <f t="shared" si="519"/>
        <v>花都四部-凤凰仓</v>
      </c>
      <c r="G1623" s="1" t="str">
        <f t="shared" si="523"/>
        <v>卡卡杜佳旺专卖店（快手店）</v>
      </c>
      <c r="H1623" s="1" t="str">
        <f t="shared" si="520"/>
        <v>正常订单</v>
      </c>
      <c r="I1623" s="1" t="str">
        <f t="shared" si="521"/>
        <v>已发货</v>
      </c>
      <c r="J1623" s="1" t="str">
        <f t="shared" si="530"/>
        <v>3</v>
      </c>
      <c r="K1623" s="1">
        <v>2</v>
      </c>
      <c r="L1623" s="1" t="s">
        <v>187</v>
      </c>
      <c r="M1623" s="1" t="str">
        <f>"吉林省 长春市 公主岭市 范家屯镇"</f>
        <v>吉林省 长春市 公主岭市 范家屯镇</v>
      </c>
      <c r="N1623" s="1" t="str">
        <f t="shared" si="524"/>
        <v>凡华云仓-城南圆通-快手</v>
      </c>
      <c r="O1623" s="5" t="s">
        <v>1661</v>
      </c>
      <c r="P1623" s="6">
        <v>0.35</v>
      </c>
      <c r="Q1623" s="11">
        <v>2.2999999999999998</v>
      </c>
      <c r="R1623" s="11"/>
      <c r="S1623" s="11"/>
      <c r="T1623" s="11"/>
      <c r="U1623" s="11">
        <f t="shared" si="522"/>
        <v>2.2999999999999998</v>
      </c>
      <c r="W1623">
        <v>2.5</v>
      </c>
      <c r="X1623" s="1" t="s">
        <v>187</v>
      </c>
    </row>
    <row r="1624" spans="1:24" x14ac:dyDescent="0.25">
      <c r="A1624" s="1" t="str">
        <f t="shared" si="518"/>
        <v>卡卡杜-凤凰仓</v>
      </c>
      <c r="B1624" s="1" t="str">
        <f>"CK2024102813014"</f>
        <v>CK2024102813014</v>
      </c>
      <c r="C1624" s="1" t="str">
        <f>"DD2024102893714"</f>
        <v>DD2024102893714</v>
      </c>
      <c r="D1624" s="1" t="str">
        <f>"CK2024102882781"</f>
        <v>CK2024102882781</v>
      </c>
      <c r="E1624" s="1" t="str">
        <f>"2430202322202659"</f>
        <v>2430202322202659</v>
      </c>
      <c r="F1624" s="1" t="str">
        <f t="shared" si="519"/>
        <v>花都四部-凤凰仓</v>
      </c>
      <c r="G1624" s="1" t="str">
        <f t="shared" si="523"/>
        <v>卡卡杜佳旺专卖店（快手店）</v>
      </c>
      <c r="H1624" s="1" t="str">
        <f t="shared" si="520"/>
        <v>正常订单</v>
      </c>
      <c r="I1624" s="1" t="str">
        <f t="shared" si="521"/>
        <v>已发货</v>
      </c>
      <c r="J1624" s="1" t="str">
        <f t="shared" si="530"/>
        <v>3</v>
      </c>
      <c r="K1624" s="1">
        <v>2</v>
      </c>
      <c r="L1624" s="1" t="s">
        <v>66</v>
      </c>
      <c r="M1624" s="1" t="str">
        <f>"内蒙古自治区 呼和浩特市 赛罕区 昭乌达路街道"</f>
        <v>内蒙古自治区 呼和浩特市 赛罕区 昭乌达路街道</v>
      </c>
      <c r="N1624" s="1" t="str">
        <f t="shared" si="524"/>
        <v>凡华云仓-城南圆通-快手</v>
      </c>
      <c r="O1624" s="5" t="s">
        <v>1662</v>
      </c>
      <c r="P1624" s="6">
        <v>0.35</v>
      </c>
      <c r="Q1624" s="11">
        <v>2.2999999999999998</v>
      </c>
      <c r="R1624" s="11"/>
      <c r="S1624" s="11"/>
      <c r="T1624" s="11"/>
      <c r="U1624" s="11">
        <f t="shared" si="522"/>
        <v>2.2999999999999998</v>
      </c>
      <c r="W1624">
        <v>2.5</v>
      </c>
      <c r="X1624" s="1" t="s">
        <v>66</v>
      </c>
    </row>
    <row r="1625" spans="1:24" x14ac:dyDescent="0.25">
      <c r="A1625" s="1" t="str">
        <f t="shared" si="518"/>
        <v>卡卡杜-凤凰仓</v>
      </c>
      <c r="B1625" s="1" t="str">
        <f>"CK2024102812958"</f>
        <v>CK2024102812958</v>
      </c>
      <c r="C1625" s="1" t="str">
        <f>"DD2024102893634"</f>
        <v>DD2024102893634</v>
      </c>
      <c r="D1625" s="1" t="str">
        <f>"CK2024102882780"</f>
        <v>CK2024102882780</v>
      </c>
      <c r="E1625" s="1" t="str">
        <f>"2430202404465346"</f>
        <v>2430202404465346</v>
      </c>
      <c r="F1625" s="1" t="str">
        <f t="shared" si="519"/>
        <v>花都四部-凤凰仓</v>
      </c>
      <c r="G1625" s="1" t="str">
        <f t="shared" si="523"/>
        <v>卡卡杜佳旺专卖店（快手店）</v>
      </c>
      <c r="H1625" s="1" t="str">
        <f t="shared" si="520"/>
        <v>正常订单</v>
      </c>
      <c r="I1625" s="1" t="str">
        <f t="shared" si="521"/>
        <v>已发货</v>
      </c>
      <c r="J1625" s="1" t="str">
        <f t="shared" si="531"/>
        <v>5</v>
      </c>
      <c r="K1625" s="1">
        <v>2</v>
      </c>
      <c r="L1625" s="1" t="s">
        <v>41</v>
      </c>
      <c r="M1625" s="1" t="str">
        <f>"湖北省 襄阳市 樊城区 牛首镇"</f>
        <v>湖北省 襄阳市 樊城区 牛首镇</v>
      </c>
      <c r="N1625" s="1" t="str">
        <f t="shared" si="524"/>
        <v>凡华云仓-城南圆通-快手</v>
      </c>
      <c r="O1625" s="5" t="s">
        <v>1663</v>
      </c>
      <c r="P1625" s="6">
        <v>0.59</v>
      </c>
      <c r="Q1625" s="11">
        <f t="shared" si="532"/>
        <v>2.4499999999999997</v>
      </c>
      <c r="R1625" s="11"/>
      <c r="S1625" s="11"/>
      <c r="T1625" s="11"/>
      <c r="U1625" s="11">
        <f t="shared" si="522"/>
        <v>2.4499999999999997</v>
      </c>
      <c r="V1625" t="s">
        <v>15</v>
      </c>
      <c r="W1625">
        <v>2.4500000000000002</v>
      </c>
      <c r="X1625" s="1" t="s">
        <v>41</v>
      </c>
    </row>
    <row r="1626" spans="1:24" x14ac:dyDescent="0.25">
      <c r="A1626" s="1" t="str">
        <f t="shared" si="518"/>
        <v>卡卡杜-凤凰仓</v>
      </c>
      <c r="B1626" s="1" t="str">
        <f>"CK2024102812959"</f>
        <v>CK2024102812959</v>
      </c>
      <c r="C1626" s="1" t="str">
        <f>"DD2024102893632"</f>
        <v>DD2024102893632</v>
      </c>
      <c r="D1626" s="1" t="str">
        <f>"CK2024102882779"</f>
        <v>CK2024102882779</v>
      </c>
      <c r="E1626" s="1" t="str">
        <f>"2430201922137434"</f>
        <v>2430201922137434</v>
      </c>
      <c r="F1626" s="1" t="str">
        <f t="shared" si="519"/>
        <v>花都四部-凤凰仓</v>
      </c>
      <c r="G1626" s="1" t="str">
        <f t="shared" si="523"/>
        <v>卡卡杜佳旺专卖店（快手店）</v>
      </c>
      <c r="H1626" s="1" t="str">
        <f t="shared" si="520"/>
        <v>正常订单</v>
      </c>
      <c r="I1626" s="1" t="str">
        <f t="shared" si="521"/>
        <v>已发货</v>
      </c>
      <c r="J1626" s="1" t="str">
        <f t="shared" si="531"/>
        <v>5</v>
      </c>
      <c r="K1626" s="1">
        <v>2</v>
      </c>
      <c r="L1626" s="1" t="s">
        <v>41</v>
      </c>
      <c r="M1626" s="1" t="str">
        <f>"湖北省 武汉市 江夏区 纸坊街道"</f>
        <v>湖北省 武汉市 江夏区 纸坊街道</v>
      </c>
      <c r="N1626" s="1" t="str">
        <f t="shared" si="524"/>
        <v>凡华云仓-城南圆通-快手</v>
      </c>
      <c r="O1626" s="5" t="s">
        <v>1664</v>
      </c>
      <c r="P1626" s="6">
        <v>0.59</v>
      </c>
      <c r="Q1626" s="11">
        <f t="shared" si="532"/>
        <v>2.4499999999999997</v>
      </c>
      <c r="R1626" s="11"/>
      <c r="S1626" s="11"/>
      <c r="T1626" s="11"/>
      <c r="U1626" s="11">
        <f t="shared" si="522"/>
        <v>2.4499999999999997</v>
      </c>
      <c r="V1626" t="s">
        <v>15</v>
      </c>
      <c r="W1626">
        <v>2.4500000000000002</v>
      </c>
      <c r="X1626" s="1" t="s">
        <v>41</v>
      </c>
    </row>
    <row r="1627" spans="1:24" x14ac:dyDescent="0.25">
      <c r="A1627" s="1" t="str">
        <f t="shared" si="518"/>
        <v>卡卡杜-凤凰仓</v>
      </c>
      <c r="B1627" s="1" t="str">
        <f>"CK202410289577"</f>
        <v>CK202410289577</v>
      </c>
      <c r="C1627" s="1" t="str">
        <f>"DD2024102889210"</f>
        <v>DD2024102889210</v>
      </c>
      <c r="D1627" s="1" t="str">
        <f>"CK2024102878684"</f>
        <v>CK2024102878684</v>
      </c>
      <c r="E1627" s="1" t="str">
        <f>"3723548873768176640"</f>
        <v>3723548873768176640</v>
      </c>
      <c r="F1627" s="1" t="str">
        <f t="shared" si="519"/>
        <v>花都四部-凤凰仓</v>
      </c>
      <c r="G1627" s="1" t="str">
        <f>"RO橙心外贸供应链 （视频号）"</f>
        <v>RO橙心外贸供应链 （视频号）</v>
      </c>
      <c r="H1627" s="1" t="str">
        <f t="shared" si="520"/>
        <v>正常订单</v>
      </c>
      <c r="I1627" s="1" t="str">
        <f t="shared" si="521"/>
        <v>已发货</v>
      </c>
      <c r="J1627" s="1" t="str">
        <f>"3"</f>
        <v>3</v>
      </c>
      <c r="K1627" s="1">
        <v>3</v>
      </c>
      <c r="L1627" s="1" t="s">
        <v>20</v>
      </c>
      <c r="M1627" s="1" t="str">
        <f>"浙江省 杭州市 富阳区 "</f>
        <v xml:space="preserve">浙江省 杭州市 富阳区 </v>
      </c>
      <c r="N1627" s="1" t="str">
        <f t="shared" ref="N1627:N1693" si="533">"凡华云仓-城南圆通-微信视频号"</f>
        <v>凡华云仓-城南圆通-微信视频号</v>
      </c>
      <c r="O1627" s="5" t="s">
        <v>1665</v>
      </c>
      <c r="P1627" s="6">
        <v>0.34</v>
      </c>
      <c r="Q1627" s="11">
        <v>2.2999999999999998</v>
      </c>
      <c r="R1627" s="11"/>
      <c r="S1627" s="11"/>
      <c r="T1627" s="11"/>
      <c r="U1627" s="11">
        <f t="shared" si="522"/>
        <v>2.2999999999999998</v>
      </c>
      <c r="W1627">
        <v>2.5</v>
      </c>
      <c r="X1627" s="1" t="s">
        <v>20</v>
      </c>
    </row>
    <row r="1628" spans="1:24" x14ac:dyDescent="0.25">
      <c r="A1628" s="1" t="str">
        <f t="shared" si="518"/>
        <v>卡卡杜-凤凰仓</v>
      </c>
      <c r="B1628" s="1" t="str">
        <f>"CK202410289573"</f>
        <v>CK202410289573</v>
      </c>
      <c r="C1628" s="1" t="str">
        <f>"DD2024102847120"</f>
        <v>DD2024102847120</v>
      </c>
      <c r="D1628" s="1" t="str">
        <f>"CK2024102845817"</f>
        <v>CK2024102845817</v>
      </c>
      <c r="E1628" s="1" t="str">
        <f>"kkd20241028QX003"</f>
        <v>kkd20241028QX003</v>
      </c>
      <c r="F1628" s="1" t="str">
        <f t="shared" si="519"/>
        <v>花都四部-凤凰仓</v>
      </c>
      <c r="G1628" s="1" t="str">
        <f t="shared" ref="G1628:G1630" si="534">"卡卡杜（全欣）"</f>
        <v>卡卡杜（全欣）</v>
      </c>
      <c r="H1628" s="1" t="str">
        <f t="shared" si="520"/>
        <v>正常订单</v>
      </c>
      <c r="I1628" s="1" t="str">
        <f t="shared" si="521"/>
        <v>已发货</v>
      </c>
      <c r="J1628" s="1" t="str">
        <f t="shared" ref="J1628:J1630" si="535">"5"</f>
        <v>5</v>
      </c>
      <c r="K1628" s="1">
        <v>2</v>
      </c>
      <c r="L1628" s="1" t="s">
        <v>36</v>
      </c>
      <c r="M1628" s="1" t="str">
        <f>"安徽省 六安市 裕安区 "</f>
        <v xml:space="preserve">安徽省 六安市 裕安区 </v>
      </c>
      <c r="N1628" s="1" t="str">
        <f t="shared" ref="N1628:N1630" si="536">"凡华云仓-城南圆通-拼多多"</f>
        <v>凡华云仓-城南圆通-拼多多</v>
      </c>
      <c r="O1628" s="5" t="s">
        <v>1666</v>
      </c>
      <c r="P1628" s="6">
        <v>0.59</v>
      </c>
      <c r="Q1628" s="11">
        <f t="shared" ref="Q1628:Q1630" si="537">CEILING(P1628-0.5,0.1)*10*0.15+2.3</f>
        <v>2.4499999999999997</v>
      </c>
      <c r="R1628" s="11"/>
      <c r="S1628" s="11"/>
      <c r="T1628" s="11"/>
      <c r="U1628" s="11">
        <f t="shared" si="522"/>
        <v>2.4499999999999997</v>
      </c>
      <c r="V1628" t="s">
        <v>15</v>
      </c>
      <c r="W1628">
        <v>2.4500000000000002</v>
      </c>
      <c r="X1628" s="1" t="s">
        <v>36</v>
      </c>
    </row>
    <row r="1629" spans="1:24" x14ac:dyDescent="0.25">
      <c r="A1629" s="1" t="str">
        <f t="shared" si="518"/>
        <v>卡卡杜-凤凰仓</v>
      </c>
      <c r="B1629" s="1" t="str">
        <f>"CK202410289574"</f>
        <v>CK202410289574</v>
      </c>
      <c r="C1629" s="1" t="str">
        <f>"DD2024102847122"</f>
        <v>DD2024102847122</v>
      </c>
      <c r="D1629" s="1" t="str">
        <f>"CK2024102845816"</f>
        <v>CK2024102845816</v>
      </c>
      <c r="E1629" s="1" t="str">
        <f>"kkd20241028Qx002"</f>
        <v>kkd20241028Qx002</v>
      </c>
      <c r="F1629" s="1" t="str">
        <f t="shared" si="519"/>
        <v>花都四部-凤凰仓</v>
      </c>
      <c r="G1629" s="1" t="str">
        <f t="shared" si="534"/>
        <v>卡卡杜（全欣）</v>
      </c>
      <c r="H1629" s="1" t="str">
        <f t="shared" si="520"/>
        <v>正常订单</v>
      </c>
      <c r="I1629" s="1" t="str">
        <f t="shared" si="521"/>
        <v>已发货</v>
      </c>
      <c r="J1629" s="1" t="str">
        <f t="shared" si="535"/>
        <v>5</v>
      </c>
      <c r="K1629" s="1">
        <v>2</v>
      </c>
      <c r="L1629" s="1" t="s">
        <v>47</v>
      </c>
      <c r="M1629" s="1" t="str">
        <f>"重庆 重庆市 沙坪坝区 "</f>
        <v xml:space="preserve">重庆 重庆市 沙坪坝区 </v>
      </c>
      <c r="N1629" s="1" t="str">
        <f t="shared" si="536"/>
        <v>凡华云仓-城南圆通-拼多多</v>
      </c>
      <c r="O1629" s="5" t="s">
        <v>1667</v>
      </c>
      <c r="P1629" s="6">
        <v>0.59</v>
      </c>
      <c r="Q1629" s="11">
        <f t="shared" si="537"/>
        <v>2.4499999999999997</v>
      </c>
      <c r="R1629" s="11"/>
      <c r="S1629" s="11"/>
      <c r="T1629" s="11"/>
      <c r="U1629" s="11">
        <f t="shared" si="522"/>
        <v>2.4499999999999997</v>
      </c>
      <c r="V1629" t="s">
        <v>15</v>
      </c>
      <c r="W1629">
        <v>2.4500000000000002</v>
      </c>
      <c r="X1629" s="1" t="s">
        <v>47</v>
      </c>
    </row>
    <row r="1630" spans="1:24" x14ac:dyDescent="0.25">
      <c r="A1630" s="1" t="str">
        <f t="shared" si="518"/>
        <v>卡卡杜-凤凰仓</v>
      </c>
      <c r="B1630" s="1" t="str">
        <f>"CK202410289575"</f>
        <v>CK202410289575</v>
      </c>
      <c r="C1630" s="1" t="str">
        <f>"DD2024102847121"</f>
        <v>DD2024102847121</v>
      </c>
      <c r="D1630" s="1" t="str">
        <f>"CK2024102845814"</f>
        <v>CK2024102845814</v>
      </c>
      <c r="E1630" s="1" t="str">
        <f>"KKD20241028QX001"</f>
        <v>KKD20241028QX001</v>
      </c>
      <c r="F1630" s="1" t="str">
        <f t="shared" si="519"/>
        <v>花都四部-凤凰仓</v>
      </c>
      <c r="G1630" s="1" t="str">
        <f t="shared" si="534"/>
        <v>卡卡杜（全欣）</v>
      </c>
      <c r="H1630" s="1" t="str">
        <f t="shared" si="520"/>
        <v>正常订单</v>
      </c>
      <c r="I1630" s="1" t="str">
        <f t="shared" si="521"/>
        <v>已发货</v>
      </c>
      <c r="J1630" s="1" t="str">
        <f t="shared" si="535"/>
        <v>5</v>
      </c>
      <c r="K1630" s="1">
        <v>2</v>
      </c>
      <c r="L1630" s="1" t="s">
        <v>32</v>
      </c>
      <c r="M1630" s="1" t="str">
        <f>"陕西省 咸阳市 渭城区 "</f>
        <v xml:space="preserve">陕西省 咸阳市 渭城区 </v>
      </c>
      <c r="N1630" s="1" t="str">
        <f t="shared" si="536"/>
        <v>凡华云仓-城南圆通-拼多多</v>
      </c>
      <c r="O1630" s="5" t="s">
        <v>1668</v>
      </c>
      <c r="P1630" s="6">
        <v>0.59</v>
      </c>
      <c r="Q1630" s="11">
        <f t="shared" si="537"/>
        <v>2.4499999999999997</v>
      </c>
      <c r="R1630" s="11"/>
      <c r="S1630" s="11"/>
      <c r="T1630" s="11"/>
      <c r="U1630" s="11">
        <f t="shared" si="522"/>
        <v>2.4499999999999997</v>
      </c>
      <c r="V1630" t="s">
        <v>15</v>
      </c>
      <c r="W1630">
        <v>2.4500000000000002</v>
      </c>
      <c r="X1630" s="1" t="s">
        <v>32</v>
      </c>
    </row>
    <row r="1631" spans="1:24" x14ac:dyDescent="0.25">
      <c r="A1631" s="1" t="str">
        <f t="shared" si="518"/>
        <v>卡卡杜-凤凰仓</v>
      </c>
      <c r="B1631" s="1" t="str">
        <f>"CK20241028606"</f>
        <v>CK20241028606</v>
      </c>
      <c r="C1631" s="1" t="str">
        <f>"DD2024102820171"</f>
        <v>DD2024102820171</v>
      </c>
      <c r="D1631" s="1" t="str">
        <f>"CK202410289882"</f>
        <v>CK202410289882</v>
      </c>
      <c r="E1631" s="1" t="str">
        <f>"3723605075689342464"</f>
        <v>3723605075689342464</v>
      </c>
      <c r="F1631" s="1" t="str">
        <f t="shared" si="519"/>
        <v>花都四部-凤凰仓</v>
      </c>
      <c r="G1631" s="1" t="str">
        <f t="shared" ref="G1631:G1694" si="538">"卡卡杜企业店（视频号）"</f>
        <v>卡卡杜企业店（视频号）</v>
      </c>
      <c r="H1631" s="1" t="str">
        <f t="shared" si="520"/>
        <v>正常订单</v>
      </c>
      <c r="I1631" s="1" t="str">
        <f t="shared" si="521"/>
        <v>已发货</v>
      </c>
      <c r="J1631" s="1" t="str">
        <f>"7"</f>
        <v>7</v>
      </c>
      <c r="K1631" s="1">
        <v>2</v>
      </c>
      <c r="L1631" s="1" t="s">
        <v>74</v>
      </c>
      <c r="M1631" s="1" t="str">
        <f>"上海 上海市 长宁区 "</f>
        <v xml:space="preserve">上海 上海市 长宁区 </v>
      </c>
      <c r="N1631" s="1" t="str">
        <f t="shared" si="533"/>
        <v>凡华云仓-城南圆通-微信视频号</v>
      </c>
      <c r="O1631" s="5" t="s">
        <v>1669</v>
      </c>
      <c r="P1631" s="6">
        <v>0.5</v>
      </c>
      <c r="Q1631" s="11">
        <v>2.2999999999999998</v>
      </c>
      <c r="R1631" s="11"/>
      <c r="S1631" s="11"/>
      <c r="T1631" s="11"/>
      <c r="U1631" s="11">
        <f t="shared" si="522"/>
        <v>2.2999999999999998</v>
      </c>
      <c r="W1631">
        <v>2.5</v>
      </c>
      <c r="X1631" s="1" t="s">
        <v>74</v>
      </c>
    </row>
    <row r="1632" spans="1:24" x14ac:dyDescent="0.25">
      <c r="A1632" s="1" t="str">
        <f t="shared" si="518"/>
        <v>卡卡杜-凤凰仓</v>
      </c>
      <c r="B1632" s="1" t="str">
        <f>"CK20241028605"</f>
        <v>CK20241028605</v>
      </c>
      <c r="C1632" s="1" t="str">
        <f>"DD2024102820140"</f>
        <v>DD2024102820140</v>
      </c>
      <c r="D1632" s="1" t="str">
        <f>"CK202410289842"</f>
        <v>CK202410289842</v>
      </c>
      <c r="E1632" s="1" t="str">
        <f>"3723605089887585536"</f>
        <v>3723605089887585536</v>
      </c>
      <c r="F1632" s="1" t="str">
        <f t="shared" si="519"/>
        <v>花都四部-凤凰仓</v>
      </c>
      <c r="G1632" s="1" t="str">
        <f t="shared" si="538"/>
        <v>卡卡杜企业店（视频号）</v>
      </c>
      <c r="H1632" s="1" t="str">
        <f t="shared" si="520"/>
        <v>正常订单</v>
      </c>
      <c r="I1632" s="1" t="str">
        <f t="shared" si="521"/>
        <v>已发货</v>
      </c>
      <c r="J1632" s="1" t="str">
        <f t="shared" ref="J1632:J1695" si="539">"2"</f>
        <v>2</v>
      </c>
      <c r="K1632" s="1">
        <v>2</v>
      </c>
      <c r="L1632" s="1" t="s">
        <v>105</v>
      </c>
      <c r="M1632" s="1" t="str">
        <f>"北京 北京市 海淀区 "</f>
        <v xml:space="preserve">北京 北京市 海淀区 </v>
      </c>
      <c r="N1632" s="1" t="str">
        <f t="shared" si="533"/>
        <v>凡华云仓-城南圆通-微信视频号</v>
      </c>
      <c r="O1632" s="5" t="s">
        <v>1670</v>
      </c>
      <c r="P1632" s="6">
        <v>0.17</v>
      </c>
      <c r="Q1632" s="11">
        <v>2</v>
      </c>
      <c r="R1632" s="11"/>
      <c r="S1632" s="11"/>
      <c r="T1632" s="11"/>
      <c r="U1632" s="11">
        <f t="shared" si="522"/>
        <v>2</v>
      </c>
      <c r="W1632">
        <v>2.2000000000000002</v>
      </c>
      <c r="X1632" s="1" t="s">
        <v>105</v>
      </c>
    </row>
    <row r="1633" spans="1:24" x14ac:dyDescent="0.25">
      <c r="A1633" s="1" t="str">
        <f t="shared" si="518"/>
        <v>卡卡杜-凤凰仓</v>
      </c>
      <c r="B1633" s="1" t="str">
        <f>"CK20241028604"</f>
        <v>CK20241028604</v>
      </c>
      <c r="C1633" s="1" t="str">
        <f>"DD2024102820139"</f>
        <v>DD2024102820139</v>
      </c>
      <c r="D1633" s="1" t="str">
        <f>"CK202410289841"</f>
        <v>CK202410289841</v>
      </c>
      <c r="E1633" s="1" t="str">
        <f>"3723605572381181184"</f>
        <v>3723605572381181184</v>
      </c>
      <c r="F1633" s="1" t="str">
        <f t="shared" si="519"/>
        <v>花都四部-凤凰仓</v>
      </c>
      <c r="G1633" s="1" t="str">
        <f t="shared" si="538"/>
        <v>卡卡杜企业店（视频号）</v>
      </c>
      <c r="H1633" s="1" t="str">
        <f t="shared" si="520"/>
        <v>正常订单</v>
      </c>
      <c r="I1633" s="1" t="str">
        <f t="shared" si="521"/>
        <v>已发货</v>
      </c>
      <c r="J1633" s="1" t="str">
        <f t="shared" si="539"/>
        <v>2</v>
      </c>
      <c r="K1633" s="1">
        <v>2</v>
      </c>
      <c r="L1633" s="1" t="s">
        <v>105</v>
      </c>
      <c r="M1633" s="1" t="str">
        <f>"北京 北京市 海淀区 "</f>
        <v xml:space="preserve">北京 北京市 海淀区 </v>
      </c>
      <c r="N1633" s="1" t="str">
        <f t="shared" si="533"/>
        <v>凡华云仓-城南圆通-微信视频号</v>
      </c>
      <c r="O1633" s="5" t="s">
        <v>1671</v>
      </c>
      <c r="P1633" s="6">
        <v>0.17</v>
      </c>
      <c r="Q1633" s="11">
        <v>2</v>
      </c>
      <c r="R1633" s="11"/>
      <c r="S1633" s="11"/>
      <c r="T1633" s="11"/>
      <c r="U1633" s="11">
        <f t="shared" si="522"/>
        <v>2</v>
      </c>
      <c r="W1633">
        <v>2.2000000000000002</v>
      </c>
      <c r="X1633" s="1" t="s">
        <v>105</v>
      </c>
    </row>
    <row r="1634" spans="1:24" x14ac:dyDescent="0.25">
      <c r="A1634" s="1" t="str">
        <f t="shared" si="518"/>
        <v>卡卡杜-凤凰仓</v>
      </c>
      <c r="B1634" s="1" t="str">
        <f>"CK20241028603"</f>
        <v>CK20241028603</v>
      </c>
      <c r="C1634" s="1" t="str">
        <f>"DD2024102820138"</f>
        <v>DD2024102820138</v>
      </c>
      <c r="D1634" s="1" t="str">
        <f>"CK202410289840"</f>
        <v>CK202410289840</v>
      </c>
      <c r="E1634" s="1" t="str">
        <f>"3723604558450659328"</f>
        <v>3723604558450659328</v>
      </c>
      <c r="F1634" s="1" t="str">
        <f t="shared" si="519"/>
        <v>花都四部-凤凰仓</v>
      </c>
      <c r="G1634" s="1" t="str">
        <f t="shared" si="538"/>
        <v>卡卡杜企业店（视频号）</v>
      </c>
      <c r="H1634" s="1" t="str">
        <f t="shared" si="520"/>
        <v>正常订单</v>
      </c>
      <c r="I1634" s="1" t="str">
        <f t="shared" si="521"/>
        <v>已发货</v>
      </c>
      <c r="J1634" s="1" t="str">
        <f t="shared" si="539"/>
        <v>2</v>
      </c>
      <c r="K1634" s="1">
        <v>2</v>
      </c>
      <c r="L1634" s="1" t="s">
        <v>13</v>
      </c>
      <c r="M1634" s="1" t="str">
        <f>"江苏省 南京市 栖霞区 "</f>
        <v xml:space="preserve">江苏省 南京市 栖霞区 </v>
      </c>
      <c r="N1634" s="1" t="str">
        <f t="shared" si="533"/>
        <v>凡华云仓-城南圆通-微信视频号</v>
      </c>
      <c r="O1634" s="5" t="s">
        <v>1672</v>
      </c>
      <c r="P1634" s="6">
        <v>0.17</v>
      </c>
      <c r="Q1634" s="11">
        <v>2</v>
      </c>
      <c r="R1634" s="11"/>
      <c r="S1634" s="11"/>
      <c r="T1634" s="11"/>
      <c r="U1634" s="11">
        <f t="shared" si="522"/>
        <v>2</v>
      </c>
      <c r="W1634">
        <v>2.2000000000000002</v>
      </c>
      <c r="X1634" s="1" t="s">
        <v>13</v>
      </c>
    </row>
    <row r="1635" spans="1:24" x14ac:dyDescent="0.25">
      <c r="A1635" s="1" t="str">
        <f t="shared" si="518"/>
        <v>卡卡杜-凤凰仓</v>
      </c>
      <c r="B1635" s="1" t="str">
        <f>"CK20241028601"</f>
        <v>CK20241028601</v>
      </c>
      <c r="C1635" s="1" t="str">
        <f>"DD2024102820137"</f>
        <v>DD2024102820137</v>
      </c>
      <c r="D1635" s="1" t="str">
        <f>"CK202410289839"</f>
        <v>CK202410289839</v>
      </c>
      <c r="E1635" s="1" t="str">
        <f>"3723604567451895040"</f>
        <v>3723604567451895040</v>
      </c>
      <c r="F1635" s="1" t="str">
        <f t="shared" si="519"/>
        <v>花都四部-凤凰仓</v>
      </c>
      <c r="G1635" s="1" t="str">
        <f t="shared" si="538"/>
        <v>卡卡杜企业店（视频号）</v>
      </c>
      <c r="H1635" s="1" t="str">
        <f t="shared" si="520"/>
        <v>正常订单</v>
      </c>
      <c r="I1635" s="1" t="str">
        <f t="shared" si="521"/>
        <v>已发货</v>
      </c>
      <c r="J1635" s="1" t="str">
        <f t="shared" si="539"/>
        <v>2</v>
      </c>
      <c r="K1635" s="1">
        <v>2</v>
      </c>
      <c r="L1635" s="1" t="s">
        <v>92</v>
      </c>
      <c r="M1635" s="1" t="str">
        <f>"辽宁省 抚顺市 新抚区 "</f>
        <v xml:space="preserve">辽宁省 抚顺市 新抚区 </v>
      </c>
      <c r="N1635" s="1" t="str">
        <f t="shared" si="533"/>
        <v>凡华云仓-城南圆通-微信视频号</v>
      </c>
      <c r="O1635" s="5" t="s">
        <v>1673</v>
      </c>
      <c r="P1635" s="6">
        <v>0.17</v>
      </c>
      <c r="Q1635" s="11">
        <v>2</v>
      </c>
      <c r="R1635" s="11"/>
      <c r="S1635" s="11"/>
      <c r="T1635" s="11"/>
      <c r="U1635" s="11">
        <f t="shared" si="522"/>
        <v>2</v>
      </c>
      <c r="W1635">
        <v>2.2000000000000002</v>
      </c>
      <c r="X1635" s="1" t="s">
        <v>92</v>
      </c>
    </row>
    <row r="1636" spans="1:24" x14ac:dyDescent="0.25">
      <c r="A1636" s="1" t="str">
        <f t="shared" si="518"/>
        <v>卡卡杜-凤凰仓</v>
      </c>
      <c r="B1636" s="1" t="str">
        <f>"CK20241028600"</f>
        <v>CK20241028600</v>
      </c>
      <c r="C1636" s="1" t="str">
        <f>"DD2024102820136"</f>
        <v>DD2024102820136</v>
      </c>
      <c r="D1636" s="1" t="str">
        <f>"CK202410289838"</f>
        <v>CK202410289838</v>
      </c>
      <c r="E1636" s="1" t="str">
        <f>"3723604563409637376"</f>
        <v>3723604563409637376</v>
      </c>
      <c r="F1636" s="1" t="str">
        <f t="shared" si="519"/>
        <v>花都四部-凤凰仓</v>
      </c>
      <c r="G1636" s="1" t="str">
        <f t="shared" si="538"/>
        <v>卡卡杜企业店（视频号）</v>
      </c>
      <c r="H1636" s="1" t="str">
        <f t="shared" si="520"/>
        <v>正常订单</v>
      </c>
      <c r="I1636" s="1" t="str">
        <f t="shared" si="521"/>
        <v>已发货</v>
      </c>
      <c r="J1636" s="1" t="str">
        <f t="shared" si="539"/>
        <v>2</v>
      </c>
      <c r="K1636" s="1">
        <v>2</v>
      </c>
      <c r="L1636" s="1" t="s">
        <v>92</v>
      </c>
      <c r="M1636" s="1" t="str">
        <f>"辽宁省 大连市 金州区 "</f>
        <v xml:space="preserve">辽宁省 大连市 金州区 </v>
      </c>
      <c r="N1636" s="1" t="str">
        <f t="shared" si="533"/>
        <v>凡华云仓-城南圆通-微信视频号</v>
      </c>
      <c r="O1636" s="5" t="s">
        <v>1674</v>
      </c>
      <c r="P1636" s="6">
        <v>0.17</v>
      </c>
      <c r="Q1636" s="11">
        <v>2</v>
      </c>
      <c r="R1636" s="11"/>
      <c r="S1636" s="11"/>
      <c r="T1636" s="11"/>
      <c r="U1636" s="11">
        <f t="shared" si="522"/>
        <v>2</v>
      </c>
      <c r="W1636">
        <v>2.2000000000000002</v>
      </c>
      <c r="X1636" s="1" t="s">
        <v>92</v>
      </c>
    </row>
    <row r="1637" spans="1:24" x14ac:dyDescent="0.25">
      <c r="A1637" s="1" t="str">
        <f t="shared" si="518"/>
        <v>卡卡杜-凤凰仓</v>
      </c>
      <c r="B1637" s="1" t="str">
        <f>"CK20241028602"</f>
        <v>CK20241028602</v>
      </c>
      <c r="C1637" s="1" t="str">
        <f>"DD2024102820135"</f>
        <v>DD2024102820135</v>
      </c>
      <c r="D1637" s="1" t="str">
        <f>"CK202410289837"</f>
        <v>CK202410289837</v>
      </c>
      <c r="E1637" s="1" t="str">
        <f>"3723604567162753024"</f>
        <v>3723604567162753024</v>
      </c>
      <c r="F1637" s="1" t="str">
        <f t="shared" si="519"/>
        <v>花都四部-凤凰仓</v>
      </c>
      <c r="G1637" s="1" t="str">
        <f t="shared" si="538"/>
        <v>卡卡杜企业店（视频号）</v>
      </c>
      <c r="H1637" s="1" t="str">
        <f t="shared" si="520"/>
        <v>正常订单</v>
      </c>
      <c r="I1637" s="1" t="str">
        <f t="shared" si="521"/>
        <v>已发货</v>
      </c>
      <c r="J1637" s="1" t="str">
        <f t="shared" si="539"/>
        <v>2</v>
      </c>
      <c r="K1637" s="1">
        <v>2</v>
      </c>
      <c r="L1637" s="1" t="s">
        <v>92</v>
      </c>
      <c r="M1637" s="1" t="str">
        <f>"辽宁省 营口市 西市区 "</f>
        <v xml:space="preserve">辽宁省 营口市 西市区 </v>
      </c>
      <c r="N1637" s="1" t="str">
        <f t="shared" si="533"/>
        <v>凡华云仓-城南圆通-微信视频号</v>
      </c>
      <c r="O1637" s="5" t="s">
        <v>1675</v>
      </c>
      <c r="P1637" s="6">
        <v>0.17</v>
      </c>
      <c r="Q1637" s="11">
        <v>2</v>
      </c>
      <c r="R1637" s="11"/>
      <c r="S1637" s="11"/>
      <c r="T1637" s="11"/>
      <c r="U1637" s="11">
        <f t="shared" si="522"/>
        <v>2</v>
      </c>
      <c r="W1637">
        <v>2.2000000000000002</v>
      </c>
      <c r="X1637" s="1" t="s">
        <v>92</v>
      </c>
    </row>
    <row r="1638" spans="1:24" x14ac:dyDescent="0.25">
      <c r="A1638" s="1" t="str">
        <f t="shared" si="518"/>
        <v>卡卡杜-凤凰仓</v>
      </c>
      <c r="B1638" s="1" t="str">
        <f>"CK20241028597"</f>
        <v>CK20241028597</v>
      </c>
      <c r="C1638" s="1" t="str">
        <f>"DD2024102820134"</f>
        <v>DD2024102820134</v>
      </c>
      <c r="D1638" s="1" t="str">
        <f>"CK202410289836"</f>
        <v>CK202410289836</v>
      </c>
      <c r="E1638" s="1" t="str">
        <f>"3723604570346751232"</f>
        <v>3723604570346751232</v>
      </c>
      <c r="F1638" s="1" t="str">
        <f t="shared" si="519"/>
        <v>花都四部-凤凰仓</v>
      </c>
      <c r="G1638" s="1" t="str">
        <f t="shared" si="538"/>
        <v>卡卡杜企业店（视频号）</v>
      </c>
      <c r="H1638" s="1" t="str">
        <f t="shared" si="520"/>
        <v>正常订单</v>
      </c>
      <c r="I1638" s="1" t="str">
        <f t="shared" si="521"/>
        <v>已发货</v>
      </c>
      <c r="J1638" s="1" t="str">
        <f t="shared" si="539"/>
        <v>2</v>
      </c>
      <c r="K1638" s="1">
        <v>2</v>
      </c>
      <c r="L1638" s="1" t="s">
        <v>92</v>
      </c>
      <c r="M1638" s="1" t="str">
        <f>"辽宁省 鞍山市 铁东区 "</f>
        <v xml:space="preserve">辽宁省 鞍山市 铁东区 </v>
      </c>
      <c r="N1638" s="1" t="str">
        <f t="shared" si="533"/>
        <v>凡华云仓-城南圆通-微信视频号</v>
      </c>
      <c r="O1638" s="5" t="s">
        <v>1676</v>
      </c>
      <c r="P1638" s="6">
        <v>0.17</v>
      </c>
      <c r="Q1638" s="11">
        <v>2</v>
      </c>
      <c r="R1638" s="11"/>
      <c r="S1638" s="11"/>
      <c r="T1638" s="11"/>
      <c r="U1638" s="11">
        <f t="shared" si="522"/>
        <v>2</v>
      </c>
      <c r="W1638">
        <v>2.2000000000000002</v>
      </c>
      <c r="X1638" s="1" t="s">
        <v>92</v>
      </c>
    </row>
    <row r="1639" spans="1:24" x14ac:dyDescent="0.25">
      <c r="A1639" s="1" t="str">
        <f t="shared" si="518"/>
        <v>卡卡杜-凤凰仓</v>
      </c>
      <c r="B1639" s="1" t="str">
        <f>"CK20241028599"</f>
        <v>CK20241028599</v>
      </c>
      <c r="C1639" s="1" t="str">
        <f>"DD2024102820133"</f>
        <v>DD2024102820133</v>
      </c>
      <c r="D1639" s="1" t="str">
        <f>"CK202410289835"</f>
        <v>CK202410289835</v>
      </c>
      <c r="E1639" s="1" t="str">
        <f>"3723604569862833408"</f>
        <v>3723604569862833408</v>
      </c>
      <c r="F1639" s="1" t="str">
        <f t="shared" si="519"/>
        <v>花都四部-凤凰仓</v>
      </c>
      <c r="G1639" s="1" t="str">
        <f t="shared" si="538"/>
        <v>卡卡杜企业店（视频号）</v>
      </c>
      <c r="H1639" s="1" t="str">
        <f t="shared" si="520"/>
        <v>正常订单</v>
      </c>
      <c r="I1639" s="1" t="str">
        <f t="shared" si="521"/>
        <v>已发货</v>
      </c>
      <c r="J1639" s="1" t="str">
        <f t="shared" si="539"/>
        <v>2</v>
      </c>
      <c r="K1639" s="1">
        <v>2</v>
      </c>
      <c r="L1639" s="1" t="s">
        <v>30</v>
      </c>
      <c r="M1639" s="1" t="str">
        <f>"山东省 青岛市 黄岛区 "</f>
        <v xml:space="preserve">山东省 青岛市 黄岛区 </v>
      </c>
      <c r="N1639" s="1" t="str">
        <f t="shared" si="533"/>
        <v>凡华云仓-城南圆通-微信视频号</v>
      </c>
      <c r="O1639" s="5" t="s">
        <v>1677</v>
      </c>
      <c r="P1639" s="6">
        <v>0.17</v>
      </c>
      <c r="Q1639" s="11">
        <v>2</v>
      </c>
      <c r="R1639" s="11"/>
      <c r="S1639" s="11"/>
      <c r="T1639" s="11"/>
      <c r="U1639" s="11">
        <f t="shared" si="522"/>
        <v>2</v>
      </c>
      <c r="W1639">
        <v>2.2000000000000002</v>
      </c>
      <c r="X1639" s="1" t="s">
        <v>30</v>
      </c>
    </row>
    <row r="1640" spans="1:24" x14ac:dyDescent="0.25">
      <c r="A1640" s="1" t="str">
        <f t="shared" si="518"/>
        <v>卡卡杜-凤凰仓</v>
      </c>
      <c r="B1640" s="1" t="str">
        <f>"CK20241028598"</f>
        <v>CK20241028598</v>
      </c>
      <c r="C1640" s="1" t="str">
        <f>"DD2024102820132"</f>
        <v>DD2024102820132</v>
      </c>
      <c r="D1640" s="1" t="str">
        <f>"CK202410289834"</f>
        <v>CK202410289834</v>
      </c>
      <c r="E1640" s="1" t="str">
        <f>"3723604570020910080"</f>
        <v>3723604570020910080</v>
      </c>
      <c r="F1640" s="1" t="str">
        <f t="shared" si="519"/>
        <v>花都四部-凤凰仓</v>
      </c>
      <c r="G1640" s="1" t="str">
        <f t="shared" si="538"/>
        <v>卡卡杜企业店（视频号）</v>
      </c>
      <c r="H1640" s="1" t="str">
        <f t="shared" si="520"/>
        <v>正常订单</v>
      </c>
      <c r="I1640" s="1" t="str">
        <f t="shared" si="521"/>
        <v>已发货</v>
      </c>
      <c r="J1640" s="1" t="str">
        <f t="shared" si="539"/>
        <v>2</v>
      </c>
      <c r="K1640" s="1">
        <v>2</v>
      </c>
      <c r="L1640" s="1" t="s">
        <v>52</v>
      </c>
      <c r="M1640" s="1" t="str">
        <f>"甘肃省 定西市 安定区 "</f>
        <v xml:space="preserve">甘肃省 定西市 安定区 </v>
      </c>
      <c r="N1640" s="1" t="str">
        <f t="shared" si="533"/>
        <v>凡华云仓-城南圆通-微信视频号</v>
      </c>
      <c r="O1640" s="5" t="s">
        <v>1678</v>
      </c>
      <c r="P1640" s="6">
        <v>0.17</v>
      </c>
      <c r="Q1640" s="11">
        <v>2</v>
      </c>
      <c r="R1640" s="11"/>
      <c r="S1640" s="11"/>
      <c r="T1640" s="11"/>
      <c r="U1640" s="11">
        <f t="shared" si="522"/>
        <v>2</v>
      </c>
      <c r="W1640">
        <v>2.2000000000000002</v>
      </c>
      <c r="X1640" s="1" t="s">
        <v>52</v>
      </c>
    </row>
    <row r="1641" spans="1:24" x14ac:dyDescent="0.25">
      <c r="A1641" s="1" t="str">
        <f t="shared" si="518"/>
        <v>卡卡杜-凤凰仓</v>
      </c>
      <c r="B1641" s="1" t="str">
        <f>"CK20241028595"</f>
        <v>CK20241028595</v>
      </c>
      <c r="C1641" s="1" t="str">
        <f>"DD2024102820131"</f>
        <v>DD2024102820131</v>
      </c>
      <c r="D1641" s="1" t="str">
        <f>"CK202410289833"</f>
        <v>CK202410289833</v>
      </c>
      <c r="E1641" s="1" t="str">
        <f>"3723604570758055424"</f>
        <v>3723604570758055424</v>
      </c>
      <c r="F1641" s="1" t="str">
        <f t="shared" si="519"/>
        <v>花都四部-凤凰仓</v>
      </c>
      <c r="G1641" s="1" t="str">
        <f t="shared" si="538"/>
        <v>卡卡杜企业店（视频号）</v>
      </c>
      <c r="H1641" s="1" t="str">
        <f t="shared" si="520"/>
        <v>正常订单</v>
      </c>
      <c r="I1641" s="1" t="str">
        <f t="shared" si="521"/>
        <v>已发货</v>
      </c>
      <c r="J1641" s="1" t="str">
        <f t="shared" si="539"/>
        <v>2</v>
      </c>
      <c r="K1641" s="1">
        <v>2</v>
      </c>
      <c r="L1641" s="1" t="s">
        <v>13</v>
      </c>
      <c r="M1641" s="1" t="str">
        <f>"江苏省 苏州市 吴中区 "</f>
        <v xml:space="preserve">江苏省 苏州市 吴中区 </v>
      </c>
      <c r="N1641" s="1" t="str">
        <f t="shared" si="533"/>
        <v>凡华云仓-城南圆通-微信视频号</v>
      </c>
      <c r="O1641" s="5" t="s">
        <v>1679</v>
      </c>
      <c r="P1641" s="6">
        <v>0.17</v>
      </c>
      <c r="Q1641" s="11">
        <v>2</v>
      </c>
      <c r="R1641" s="11"/>
      <c r="S1641" s="11"/>
      <c r="T1641" s="11"/>
      <c r="U1641" s="11">
        <f t="shared" si="522"/>
        <v>2</v>
      </c>
      <c r="W1641">
        <v>2.2000000000000002</v>
      </c>
      <c r="X1641" s="1" t="s">
        <v>13</v>
      </c>
    </row>
    <row r="1642" spans="1:24" x14ac:dyDescent="0.25">
      <c r="A1642" s="1" t="str">
        <f t="shared" si="518"/>
        <v>卡卡杜-凤凰仓</v>
      </c>
      <c r="B1642" s="1" t="str">
        <f>"CK20241028596"</f>
        <v>CK20241028596</v>
      </c>
      <c r="C1642" s="1" t="str">
        <f>"DD2024102820130"</f>
        <v>DD2024102820130</v>
      </c>
      <c r="D1642" s="1" t="str">
        <f>"CK202410289832"</f>
        <v>CK202410289832</v>
      </c>
      <c r="E1642" s="1" t="str">
        <f>"3723604570338362880"</f>
        <v>3723604570338362880</v>
      </c>
      <c r="F1642" s="1" t="str">
        <f t="shared" si="519"/>
        <v>花都四部-凤凰仓</v>
      </c>
      <c r="G1642" s="1" t="str">
        <f t="shared" si="538"/>
        <v>卡卡杜企业店（视频号）</v>
      </c>
      <c r="H1642" s="1" t="str">
        <f t="shared" si="520"/>
        <v>正常订单</v>
      </c>
      <c r="I1642" s="1" t="str">
        <f t="shared" si="521"/>
        <v>已发货</v>
      </c>
      <c r="J1642" s="1" t="str">
        <f t="shared" si="539"/>
        <v>2</v>
      </c>
      <c r="K1642" s="1">
        <v>2</v>
      </c>
      <c r="L1642" s="1" t="s">
        <v>18</v>
      </c>
      <c r="M1642" s="1" t="str">
        <f>"广东省 惠州市 博罗县 "</f>
        <v xml:space="preserve">广东省 惠州市 博罗县 </v>
      </c>
      <c r="N1642" s="1" t="str">
        <f t="shared" si="533"/>
        <v>凡华云仓-城南圆通-微信视频号</v>
      </c>
      <c r="O1642" s="5" t="s">
        <v>1680</v>
      </c>
      <c r="P1642" s="6">
        <v>0.17</v>
      </c>
      <c r="Q1642" s="11">
        <v>2</v>
      </c>
      <c r="R1642" s="11"/>
      <c r="S1642" s="11"/>
      <c r="T1642" s="11"/>
      <c r="U1642" s="11">
        <f t="shared" si="522"/>
        <v>2</v>
      </c>
      <c r="W1642">
        <v>2.2000000000000002</v>
      </c>
      <c r="X1642" s="1" t="s">
        <v>18</v>
      </c>
    </row>
    <row r="1643" spans="1:24" x14ac:dyDescent="0.25">
      <c r="A1643" s="1" t="str">
        <f t="shared" si="518"/>
        <v>卡卡杜-凤凰仓</v>
      </c>
      <c r="B1643" s="1" t="str">
        <f>"CK20241028593"</f>
        <v>CK20241028593</v>
      </c>
      <c r="C1643" s="1" t="str">
        <f>"DD2024102820129"</f>
        <v>DD2024102820129</v>
      </c>
      <c r="D1643" s="1" t="str">
        <f>"CK202410289831"</f>
        <v>CK202410289831</v>
      </c>
      <c r="E1643" s="1" t="str">
        <f>"3723604570631703552"</f>
        <v>3723604570631703552</v>
      </c>
      <c r="F1643" s="1" t="str">
        <f t="shared" si="519"/>
        <v>花都四部-凤凰仓</v>
      </c>
      <c r="G1643" s="1" t="str">
        <f t="shared" si="538"/>
        <v>卡卡杜企业店（视频号）</v>
      </c>
      <c r="H1643" s="1" t="str">
        <f t="shared" si="520"/>
        <v>正常订单</v>
      </c>
      <c r="I1643" s="1" t="str">
        <f t="shared" si="521"/>
        <v>已发货</v>
      </c>
      <c r="J1643" s="1" t="str">
        <f t="shared" si="539"/>
        <v>2</v>
      </c>
      <c r="K1643" s="1">
        <v>2</v>
      </c>
      <c r="L1643" s="1" t="s">
        <v>218</v>
      </c>
      <c r="M1643" s="1" t="str">
        <f>"天津 天津市 河东区 "</f>
        <v xml:space="preserve">天津 天津市 河东区 </v>
      </c>
      <c r="N1643" s="1" t="str">
        <f t="shared" si="533"/>
        <v>凡华云仓-城南圆通-微信视频号</v>
      </c>
      <c r="O1643" s="5" t="s">
        <v>1681</v>
      </c>
      <c r="P1643" s="6">
        <v>0.17</v>
      </c>
      <c r="Q1643" s="11">
        <v>2</v>
      </c>
      <c r="R1643" s="11"/>
      <c r="S1643" s="11"/>
      <c r="T1643" s="11"/>
      <c r="U1643" s="11">
        <f t="shared" si="522"/>
        <v>2</v>
      </c>
      <c r="W1643">
        <v>2.2000000000000002</v>
      </c>
      <c r="X1643" s="1" t="s">
        <v>218</v>
      </c>
    </row>
    <row r="1644" spans="1:24" x14ac:dyDescent="0.25">
      <c r="A1644" s="1" t="str">
        <f t="shared" si="518"/>
        <v>卡卡杜-凤凰仓</v>
      </c>
      <c r="B1644" s="1" t="str">
        <f>"CK20241028594"</f>
        <v>CK20241028594</v>
      </c>
      <c r="C1644" s="1" t="str">
        <f>"DD2024102820128"</f>
        <v>DD2024102820128</v>
      </c>
      <c r="D1644" s="1" t="str">
        <f>"CK202410289830"</f>
        <v>CK202410289830</v>
      </c>
      <c r="E1644" s="1" t="str">
        <f>"3723604569090557440"</f>
        <v>3723604569090557440</v>
      </c>
      <c r="F1644" s="1" t="str">
        <f t="shared" si="519"/>
        <v>花都四部-凤凰仓</v>
      </c>
      <c r="G1644" s="1" t="str">
        <f t="shared" si="538"/>
        <v>卡卡杜企业店（视频号）</v>
      </c>
      <c r="H1644" s="1" t="str">
        <f t="shared" si="520"/>
        <v>正常订单</v>
      </c>
      <c r="I1644" s="1" t="str">
        <f t="shared" si="521"/>
        <v>已发货</v>
      </c>
      <c r="J1644" s="1" t="str">
        <f t="shared" si="539"/>
        <v>2</v>
      </c>
      <c r="K1644" s="1">
        <v>2</v>
      </c>
      <c r="L1644" s="1" t="s">
        <v>60</v>
      </c>
      <c r="M1644" s="1" t="str">
        <f>"云南省 红河哈尼族彝族自治州 开远市 "</f>
        <v xml:space="preserve">云南省 红河哈尼族彝族自治州 开远市 </v>
      </c>
      <c r="N1644" s="1" t="str">
        <f t="shared" si="533"/>
        <v>凡华云仓-城南圆通-微信视频号</v>
      </c>
      <c r="O1644" s="5" t="s">
        <v>1682</v>
      </c>
      <c r="P1644" s="6">
        <v>0.17</v>
      </c>
      <c r="Q1644" s="11">
        <v>2</v>
      </c>
      <c r="R1644" s="11"/>
      <c r="S1644" s="11"/>
      <c r="T1644" s="11"/>
      <c r="U1644" s="11">
        <f t="shared" si="522"/>
        <v>2</v>
      </c>
      <c r="W1644">
        <v>2.2000000000000002</v>
      </c>
      <c r="X1644" s="1" t="s">
        <v>60</v>
      </c>
    </row>
    <row r="1645" spans="1:24" x14ac:dyDescent="0.25">
      <c r="A1645" s="1" t="str">
        <f t="shared" si="518"/>
        <v>卡卡杜-凤凰仓</v>
      </c>
      <c r="B1645" s="1" t="str">
        <f>"CK20241028592"</f>
        <v>CK20241028592</v>
      </c>
      <c r="C1645" s="1" t="str">
        <f>"DD2024102820127"</f>
        <v>DD2024102820127</v>
      </c>
      <c r="D1645" s="1" t="str">
        <f>"CK202410289829"</f>
        <v>CK202410289829</v>
      </c>
      <c r="E1645" s="1" t="str">
        <f>"3723604570347539456"</f>
        <v>3723604570347539456</v>
      </c>
      <c r="F1645" s="1" t="str">
        <f t="shared" si="519"/>
        <v>花都四部-凤凰仓</v>
      </c>
      <c r="G1645" s="1" t="str">
        <f t="shared" si="538"/>
        <v>卡卡杜企业店（视频号）</v>
      </c>
      <c r="H1645" s="1" t="str">
        <f t="shared" si="520"/>
        <v>正常订单</v>
      </c>
      <c r="I1645" s="1" t="str">
        <f t="shared" si="521"/>
        <v>已发货</v>
      </c>
      <c r="J1645" s="1" t="str">
        <f t="shared" si="539"/>
        <v>2</v>
      </c>
      <c r="K1645" s="1">
        <v>2</v>
      </c>
      <c r="L1645" s="1" t="s">
        <v>187</v>
      </c>
      <c r="M1645" s="1" t="str">
        <f>"吉林省 长春市 公主岭市 "</f>
        <v xml:space="preserve">吉林省 长春市 公主岭市 </v>
      </c>
      <c r="N1645" s="1" t="str">
        <f t="shared" si="533"/>
        <v>凡华云仓-城南圆通-微信视频号</v>
      </c>
      <c r="O1645" s="5" t="s">
        <v>1683</v>
      </c>
      <c r="P1645" s="6">
        <v>0.17</v>
      </c>
      <c r="Q1645" s="11">
        <v>2</v>
      </c>
      <c r="R1645" s="11"/>
      <c r="S1645" s="11"/>
      <c r="T1645" s="11"/>
      <c r="U1645" s="11">
        <f t="shared" si="522"/>
        <v>2</v>
      </c>
      <c r="W1645">
        <v>2.2000000000000002</v>
      </c>
      <c r="X1645" s="1" t="s">
        <v>187</v>
      </c>
    </row>
    <row r="1646" spans="1:24" x14ac:dyDescent="0.25">
      <c r="A1646" s="1" t="str">
        <f t="shared" si="518"/>
        <v>卡卡杜-凤凰仓</v>
      </c>
      <c r="B1646" s="1" t="str">
        <f>"CK20241028590"</f>
        <v>CK20241028590</v>
      </c>
      <c r="C1646" s="1" t="str">
        <f>"DD2024102820126"</f>
        <v>DD2024102820126</v>
      </c>
      <c r="D1646" s="1" t="str">
        <f>"CK202410289828"</f>
        <v>CK202410289828</v>
      </c>
      <c r="E1646" s="1" t="str">
        <f>"3723604575584652288"</f>
        <v>3723604575584652288</v>
      </c>
      <c r="F1646" s="1" t="str">
        <f t="shared" si="519"/>
        <v>花都四部-凤凰仓</v>
      </c>
      <c r="G1646" s="1" t="str">
        <f t="shared" si="538"/>
        <v>卡卡杜企业店（视频号）</v>
      </c>
      <c r="H1646" s="1" t="str">
        <f t="shared" si="520"/>
        <v>正常订单</v>
      </c>
      <c r="I1646" s="1" t="str">
        <f t="shared" si="521"/>
        <v>已发货</v>
      </c>
      <c r="J1646" s="1" t="str">
        <f t="shared" si="539"/>
        <v>2</v>
      </c>
      <c r="K1646" s="1">
        <v>2</v>
      </c>
      <c r="L1646" s="1" t="s">
        <v>161</v>
      </c>
      <c r="M1646" s="1" t="str">
        <f>"四川省 成都市 青羊区 "</f>
        <v xml:space="preserve">四川省 成都市 青羊区 </v>
      </c>
      <c r="N1646" s="1" t="str">
        <f t="shared" si="533"/>
        <v>凡华云仓-城南圆通-微信视频号</v>
      </c>
      <c r="O1646" s="5" t="s">
        <v>1684</v>
      </c>
      <c r="P1646" s="6">
        <v>0.17</v>
      </c>
      <c r="Q1646" s="11">
        <v>2</v>
      </c>
      <c r="R1646" s="11"/>
      <c r="S1646" s="11"/>
      <c r="T1646" s="11"/>
      <c r="U1646" s="11">
        <f t="shared" si="522"/>
        <v>2</v>
      </c>
      <c r="W1646">
        <v>2.2000000000000002</v>
      </c>
      <c r="X1646" s="1" t="s">
        <v>161</v>
      </c>
    </row>
    <row r="1647" spans="1:24" x14ac:dyDescent="0.25">
      <c r="A1647" s="1" t="str">
        <f t="shared" si="518"/>
        <v>卡卡杜-凤凰仓</v>
      </c>
      <c r="B1647" s="1" t="str">
        <f>"CK20241028587"</f>
        <v>CK20241028587</v>
      </c>
      <c r="C1647" s="1" t="str">
        <f>"DD2024102820125"</f>
        <v>DD2024102820125</v>
      </c>
      <c r="D1647" s="1" t="str">
        <f>"CK202410289827"</f>
        <v>CK202410289827</v>
      </c>
      <c r="E1647" s="1" t="str">
        <f>"3723604580939469824"</f>
        <v>3723604580939469824</v>
      </c>
      <c r="F1647" s="1" t="str">
        <f t="shared" si="519"/>
        <v>花都四部-凤凰仓</v>
      </c>
      <c r="G1647" s="1" t="str">
        <f t="shared" si="538"/>
        <v>卡卡杜企业店（视频号）</v>
      </c>
      <c r="H1647" s="1" t="str">
        <f t="shared" si="520"/>
        <v>正常订单</v>
      </c>
      <c r="I1647" s="1" t="str">
        <f t="shared" si="521"/>
        <v>已发货</v>
      </c>
      <c r="J1647" s="1" t="str">
        <f t="shared" si="539"/>
        <v>2</v>
      </c>
      <c r="K1647" s="1">
        <v>2</v>
      </c>
      <c r="L1647" s="1" t="s">
        <v>20</v>
      </c>
      <c r="M1647" s="1" t="str">
        <f>"浙江省 衢州市 柯城区 "</f>
        <v xml:space="preserve">浙江省 衢州市 柯城区 </v>
      </c>
      <c r="N1647" s="1" t="str">
        <f t="shared" si="533"/>
        <v>凡华云仓-城南圆通-微信视频号</v>
      </c>
      <c r="O1647" s="5" t="s">
        <v>1685</v>
      </c>
      <c r="P1647" s="6">
        <v>0.17</v>
      </c>
      <c r="Q1647" s="11">
        <v>2</v>
      </c>
      <c r="R1647" s="11"/>
      <c r="S1647" s="11"/>
      <c r="T1647" s="11"/>
      <c r="U1647" s="11">
        <f t="shared" si="522"/>
        <v>2</v>
      </c>
      <c r="W1647">
        <v>2.2000000000000002</v>
      </c>
      <c r="X1647" s="1" t="s">
        <v>20</v>
      </c>
    </row>
    <row r="1648" spans="1:24" x14ac:dyDescent="0.25">
      <c r="A1648" s="1" t="str">
        <f t="shared" si="518"/>
        <v>卡卡杜-凤凰仓</v>
      </c>
      <c r="B1648" s="1" t="str">
        <f>"CK20241028591"</f>
        <v>CK20241028591</v>
      </c>
      <c r="C1648" s="1" t="str">
        <f>"DD2024102820124"</f>
        <v>DD2024102820124</v>
      </c>
      <c r="D1648" s="1" t="str">
        <f>"CK202410289826"</f>
        <v>CK202410289826</v>
      </c>
      <c r="E1648" s="1" t="str">
        <f>"3723604574489676800"</f>
        <v>3723604574489676800</v>
      </c>
      <c r="F1648" s="1" t="str">
        <f t="shared" si="519"/>
        <v>花都四部-凤凰仓</v>
      </c>
      <c r="G1648" s="1" t="str">
        <f t="shared" si="538"/>
        <v>卡卡杜企业店（视频号）</v>
      </c>
      <c r="H1648" s="1" t="str">
        <f t="shared" si="520"/>
        <v>正常订单</v>
      </c>
      <c r="I1648" s="1" t="str">
        <f t="shared" si="521"/>
        <v>已发货</v>
      </c>
      <c r="J1648" s="1" t="str">
        <f t="shared" si="539"/>
        <v>2</v>
      </c>
      <c r="K1648" s="1">
        <v>2</v>
      </c>
      <c r="L1648" s="1" t="s">
        <v>92</v>
      </c>
      <c r="M1648" s="1" t="str">
        <f>"辽宁省 大连市 金州区 "</f>
        <v xml:space="preserve">辽宁省 大连市 金州区 </v>
      </c>
      <c r="N1648" s="1" t="str">
        <f t="shared" si="533"/>
        <v>凡华云仓-城南圆通-微信视频号</v>
      </c>
      <c r="O1648" s="5" t="s">
        <v>1686</v>
      </c>
      <c r="P1648" s="6">
        <v>0.17</v>
      </c>
      <c r="Q1648" s="11">
        <v>2</v>
      </c>
      <c r="R1648" s="11"/>
      <c r="S1648" s="11"/>
      <c r="T1648" s="11"/>
      <c r="U1648" s="11">
        <f t="shared" si="522"/>
        <v>2</v>
      </c>
      <c r="W1648">
        <v>2.2000000000000002</v>
      </c>
      <c r="X1648" s="1" t="s">
        <v>92</v>
      </c>
    </row>
    <row r="1649" spans="1:24" x14ac:dyDescent="0.25">
      <c r="A1649" s="1" t="str">
        <f t="shared" si="518"/>
        <v>卡卡杜-凤凰仓</v>
      </c>
      <c r="B1649" s="1" t="str">
        <f>"CK20241028586"</f>
        <v>CK20241028586</v>
      </c>
      <c r="C1649" s="1" t="str">
        <f>"DD2024102820123"</f>
        <v>DD2024102820123</v>
      </c>
      <c r="D1649" s="1" t="str">
        <f>"CK202410289825"</f>
        <v>CK202410289825</v>
      </c>
      <c r="E1649" s="1" t="str">
        <f>"3723604588077384960"</f>
        <v>3723604588077384960</v>
      </c>
      <c r="F1649" s="1" t="str">
        <f t="shared" si="519"/>
        <v>花都四部-凤凰仓</v>
      </c>
      <c r="G1649" s="1" t="str">
        <f t="shared" si="538"/>
        <v>卡卡杜企业店（视频号）</v>
      </c>
      <c r="H1649" s="1" t="str">
        <f t="shared" si="520"/>
        <v>正常订单</v>
      </c>
      <c r="I1649" s="1" t="str">
        <f t="shared" si="521"/>
        <v>已发货</v>
      </c>
      <c r="J1649" s="1" t="str">
        <f t="shared" si="539"/>
        <v>2</v>
      </c>
      <c r="K1649" s="1">
        <v>2</v>
      </c>
      <c r="L1649" s="1" t="s">
        <v>105</v>
      </c>
      <c r="M1649" s="1" t="str">
        <f>"北京 北京市 石景山区 "</f>
        <v xml:space="preserve">北京 北京市 石景山区 </v>
      </c>
      <c r="N1649" s="1" t="str">
        <f t="shared" si="533"/>
        <v>凡华云仓-城南圆通-微信视频号</v>
      </c>
      <c r="O1649" s="5" t="s">
        <v>1687</v>
      </c>
      <c r="P1649" s="6">
        <v>0.17</v>
      </c>
      <c r="Q1649" s="11">
        <v>2</v>
      </c>
      <c r="R1649" s="11"/>
      <c r="S1649" s="11"/>
      <c r="T1649" s="11"/>
      <c r="U1649" s="11">
        <f t="shared" si="522"/>
        <v>2</v>
      </c>
      <c r="W1649">
        <v>2.2000000000000002</v>
      </c>
      <c r="X1649" s="1" t="s">
        <v>105</v>
      </c>
    </row>
    <row r="1650" spans="1:24" x14ac:dyDescent="0.25">
      <c r="A1650" s="1" t="str">
        <f t="shared" si="518"/>
        <v>卡卡杜-凤凰仓</v>
      </c>
      <c r="B1650" s="1" t="str">
        <f>"CK20241028589"</f>
        <v>CK20241028589</v>
      </c>
      <c r="C1650" s="1" t="str">
        <f>"DD2024102820122"</f>
        <v>DD2024102820122</v>
      </c>
      <c r="D1650" s="1" t="str">
        <f>"CK202410289824"</f>
        <v>CK202410289824</v>
      </c>
      <c r="E1650" s="1" t="str">
        <f>"3723604575999626240"</f>
        <v>3723604575999626240</v>
      </c>
      <c r="F1650" s="1" t="str">
        <f t="shared" si="519"/>
        <v>花都四部-凤凰仓</v>
      </c>
      <c r="G1650" s="1" t="str">
        <f t="shared" si="538"/>
        <v>卡卡杜企业店（视频号）</v>
      </c>
      <c r="H1650" s="1" t="str">
        <f t="shared" si="520"/>
        <v>正常订单</v>
      </c>
      <c r="I1650" s="1" t="str">
        <f t="shared" si="521"/>
        <v>已发货</v>
      </c>
      <c r="J1650" s="1" t="str">
        <f t="shared" si="539"/>
        <v>2</v>
      </c>
      <c r="K1650" s="1">
        <v>2</v>
      </c>
      <c r="L1650" s="1" t="s">
        <v>20</v>
      </c>
      <c r="M1650" s="1" t="str">
        <f>"浙江省 杭州市 江干区 "</f>
        <v xml:space="preserve">浙江省 杭州市 江干区 </v>
      </c>
      <c r="N1650" s="1" t="str">
        <f t="shared" si="533"/>
        <v>凡华云仓-城南圆通-微信视频号</v>
      </c>
      <c r="O1650" s="5" t="s">
        <v>1688</v>
      </c>
      <c r="P1650" s="6">
        <v>0.17</v>
      </c>
      <c r="Q1650" s="11">
        <v>2</v>
      </c>
      <c r="R1650" s="11"/>
      <c r="S1650" s="11"/>
      <c r="T1650" s="11"/>
      <c r="U1650" s="11">
        <f t="shared" si="522"/>
        <v>2</v>
      </c>
      <c r="W1650">
        <v>2.2000000000000002</v>
      </c>
      <c r="X1650" s="1" t="s">
        <v>20</v>
      </c>
    </row>
    <row r="1651" spans="1:24" x14ac:dyDescent="0.25">
      <c r="A1651" s="1" t="str">
        <f t="shared" si="518"/>
        <v>卡卡杜-凤凰仓</v>
      </c>
      <c r="B1651" s="1" t="str">
        <f>"CK20241028588"</f>
        <v>CK20241028588</v>
      </c>
      <c r="C1651" s="1" t="str">
        <f>"DD2024102820121"</f>
        <v>DD2024102820121</v>
      </c>
      <c r="D1651" s="1" t="str">
        <f>"CK202410289823"</f>
        <v>CK202410289823</v>
      </c>
      <c r="E1651" s="1" t="str">
        <f>"3723604578621591552"</f>
        <v>3723604578621591552</v>
      </c>
      <c r="F1651" s="1" t="str">
        <f t="shared" si="519"/>
        <v>花都四部-凤凰仓</v>
      </c>
      <c r="G1651" s="1" t="str">
        <f t="shared" si="538"/>
        <v>卡卡杜企业店（视频号）</v>
      </c>
      <c r="H1651" s="1" t="str">
        <f t="shared" si="520"/>
        <v>正常订单</v>
      </c>
      <c r="I1651" s="1" t="str">
        <f t="shared" si="521"/>
        <v>已发货</v>
      </c>
      <c r="J1651" s="1" t="str">
        <f t="shared" si="539"/>
        <v>2</v>
      </c>
      <c r="K1651" s="1">
        <v>2</v>
      </c>
      <c r="L1651" s="1" t="s">
        <v>105</v>
      </c>
      <c r="M1651" s="1" t="str">
        <f>"北京 北京市 东城区 "</f>
        <v xml:space="preserve">北京 北京市 东城区 </v>
      </c>
      <c r="N1651" s="1" t="str">
        <f t="shared" si="533"/>
        <v>凡华云仓-城南圆通-微信视频号</v>
      </c>
      <c r="O1651" s="5" t="s">
        <v>1689</v>
      </c>
      <c r="P1651" s="6">
        <v>0.17</v>
      </c>
      <c r="Q1651" s="11">
        <v>2</v>
      </c>
      <c r="R1651" s="11"/>
      <c r="S1651" s="11"/>
      <c r="T1651" s="11"/>
      <c r="U1651" s="11">
        <f t="shared" si="522"/>
        <v>2</v>
      </c>
      <c r="W1651">
        <v>2.2000000000000002</v>
      </c>
      <c r="X1651" s="1" t="s">
        <v>105</v>
      </c>
    </row>
    <row r="1652" spans="1:24" x14ac:dyDescent="0.25">
      <c r="A1652" s="1" t="str">
        <f t="shared" si="518"/>
        <v>卡卡杜-凤凰仓</v>
      </c>
      <c r="B1652" s="1" t="str">
        <f>"CK20241028585"</f>
        <v>CK20241028585</v>
      </c>
      <c r="C1652" s="1" t="str">
        <f>"DD2024102820120"</f>
        <v>DD2024102820120</v>
      </c>
      <c r="D1652" s="1" t="str">
        <f>"CK202410289822"</f>
        <v>CK202410289822</v>
      </c>
      <c r="E1652" s="1" t="str">
        <f>"3723604597415478529"</f>
        <v>3723604597415478529</v>
      </c>
      <c r="F1652" s="1" t="str">
        <f t="shared" si="519"/>
        <v>花都四部-凤凰仓</v>
      </c>
      <c r="G1652" s="1" t="str">
        <f t="shared" si="538"/>
        <v>卡卡杜企业店（视频号）</v>
      </c>
      <c r="H1652" s="1" t="str">
        <f t="shared" si="520"/>
        <v>正常订单</v>
      </c>
      <c r="I1652" s="1" t="str">
        <f t="shared" si="521"/>
        <v>已发货</v>
      </c>
      <c r="J1652" s="1" t="str">
        <f t="shared" si="539"/>
        <v>2</v>
      </c>
      <c r="K1652" s="1">
        <v>2</v>
      </c>
      <c r="L1652" s="1" t="s">
        <v>13</v>
      </c>
      <c r="M1652" s="1" t="str">
        <f>"江苏省 无锡市 江阴市 "</f>
        <v xml:space="preserve">江苏省 无锡市 江阴市 </v>
      </c>
      <c r="N1652" s="1" t="str">
        <f t="shared" si="533"/>
        <v>凡华云仓-城南圆通-微信视频号</v>
      </c>
      <c r="O1652" s="5" t="s">
        <v>1690</v>
      </c>
      <c r="P1652" s="6">
        <v>0.17</v>
      </c>
      <c r="Q1652" s="11">
        <v>2</v>
      </c>
      <c r="R1652" s="11"/>
      <c r="S1652" s="11"/>
      <c r="T1652" s="11"/>
      <c r="U1652" s="11">
        <f t="shared" si="522"/>
        <v>2</v>
      </c>
      <c r="W1652">
        <v>2.2000000000000002</v>
      </c>
      <c r="X1652" s="1" t="s">
        <v>13</v>
      </c>
    </row>
    <row r="1653" spans="1:24" x14ac:dyDescent="0.25">
      <c r="A1653" s="1" t="str">
        <f t="shared" si="518"/>
        <v>卡卡杜-凤凰仓</v>
      </c>
      <c r="B1653" s="1" t="str">
        <f>"CK20241028584"</f>
        <v>CK20241028584</v>
      </c>
      <c r="C1653" s="1" t="str">
        <f>"DD2024102820119"</f>
        <v>DD2024102820119</v>
      </c>
      <c r="D1653" s="1" t="str">
        <f>"CK202410289821"</f>
        <v>CK202410289821</v>
      </c>
      <c r="E1653" s="1" t="str">
        <f>"3723604729236948480"</f>
        <v>3723604729236948480</v>
      </c>
      <c r="F1653" s="1" t="str">
        <f t="shared" si="519"/>
        <v>花都四部-凤凰仓</v>
      </c>
      <c r="G1653" s="1" t="str">
        <f t="shared" si="538"/>
        <v>卡卡杜企业店（视频号）</v>
      </c>
      <c r="H1653" s="1" t="str">
        <f t="shared" si="520"/>
        <v>正常订单</v>
      </c>
      <c r="I1653" s="1" t="str">
        <f t="shared" si="521"/>
        <v>已发货</v>
      </c>
      <c r="J1653" s="1" t="str">
        <f t="shared" si="539"/>
        <v>2</v>
      </c>
      <c r="K1653" s="1">
        <v>2</v>
      </c>
      <c r="L1653" s="1" t="s">
        <v>24</v>
      </c>
      <c r="M1653" s="1" t="str">
        <f>"福建省 漳州市 龙海区 "</f>
        <v xml:space="preserve">福建省 漳州市 龙海区 </v>
      </c>
      <c r="N1653" s="1" t="str">
        <f t="shared" si="533"/>
        <v>凡华云仓-城南圆通-微信视频号</v>
      </c>
      <c r="O1653" s="5" t="s">
        <v>1691</v>
      </c>
      <c r="P1653" s="6">
        <v>0.17</v>
      </c>
      <c r="Q1653" s="11">
        <v>2</v>
      </c>
      <c r="R1653" s="11"/>
      <c r="S1653" s="11"/>
      <c r="T1653" s="11"/>
      <c r="U1653" s="11">
        <f t="shared" si="522"/>
        <v>2</v>
      </c>
      <c r="W1653">
        <v>2.2000000000000002</v>
      </c>
      <c r="X1653" s="1" t="s">
        <v>24</v>
      </c>
    </row>
    <row r="1654" spans="1:24" x14ac:dyDescent="0.25">
      <c r="A1654" s="1" t="str">
        <f t="shared" si="518"/>
        <v>卡卡杜-凤凰仓</v>
      </c>
      <c r="B1654" s="1" t="str">
        <f>"CK20241028583"</f>
        <v>CK20241028583</v>
      </c>
      <c r="C1654" s="1" t="str">
        <f>"DD2024102820118"</f>
        <v>DD2024102820118</v>
      </c>
      <c r="D1654" s="1" t="str">
        <f>"CK202410289820"</f>
        <v>CK202410289820</v>
      </c>
      <c r="E1654" s="1" t="str">
        <f>"3723605033208123392"</f>
        <v>3723605033208123392</v>
      </c>
      <c r="F1654" s="1" t="str">
        <f t="shared" si="519"/>
        <v>花都四部-凤凰仓</v>
      </c>
      <c r="G1654" s="1" t="str">
        <f t="shared" si="538"/>
        <v>卡卡杜企业店（视频号）</v>
      </c>
      <c r="H1654" s="1" t="str">
        <f t="shared" si="520"/>
        <v>正常订单</v>
      </c>
      <c r="I1654" s="1" t="str">
        <f t="shared" si="521"/>
        <v>已发货</v>
      </c>
      <c r="J1654" s="1" t="str">
        <f t="shared" si="539"/>
        <v>2</v>
      </c>
      <c r="K1654" s="1">
        <v>2</v>
      </c>
      <c r="L1654" s="1" t="s">
        <v>18</v>
      </c>
      <c r="M1654" s="1" t="str">
        <f>"广东省 广州市 增城区 "</f>
        <v xml:space="preserve">广东省 广州市 增城区 </v>
      </c>
      <c r="N1654" s="1" t="str">
        <f t="shared" si="533"/>
        <v>凡华云仓-城南圆通-微信视频号</v>
      </c>
      <c r="O1654" s="5" t="s">
        <v>1692</v>
      </c>
      <c r="P1654" s="6">
        <v>0.17</v>
      </c>
      <c r="Q1654" s="11">
        <v>2</v>
      </c>
      <c r="R1654" s="11"/>
      <c r="S1654" s="11"/>
      <c r="T1654" s="11"/>
      <c r="U1654" s="11">
        <f t="shared" si="522"/>
        <v>2</v>
      </c>
      <c r="W1654">
        <v>2.2000000000000002</v>
      </c>
      <c r="X1654" s="1" t="s">
        <v>18</v>
      </c>
    </row>
    <row r="1655" spans="1:24" x14ac:dyDescent="0.25">
      <c r="A1655" s="1" t="str">
        <f t="shared" si="518"/>
        <v>卡卡杜-凤凰仓</v>
      </c>
      <c r="B1655" s="1" t="str">
        <f>"CK20241028581"</f>
        <v>CK20241028581</v>
      </c>
      <c r="C1655" s="1" t="str">
        <f>"DD2024102820117"</f>
        <v>DD2024102820117</v>
      </c>
      <c r="D1655" s="1" t="str">
        <f>"CK202410289819"</f>
        <v>CK202410289819</v>
      </c>
      <c r="E1655" s="1" t="str">
        <f>"3723605076660849664"</f>
        <v>3723605076660849664</v>
      </c>
      <c r="F1655" s="1" t="str">
        <f t="shared" si="519"/>
        <v>花都四部-凤凰仓</v>
      </c>
      <c r="G1655" s="1" t="str">
        <f t="shared" si="538"/>
        <v>卡卡杜企业店（视频号）</v>
      </c>
      <c r="H1655" s="1" t="str">
        <f t="shared" si="520"/>
        <v>正常订单</v>
      </c>
      <c r="I1655" s="1" t="str">
        <f t="shared" si="521"/>
        <v>已发货</v>
      </c>
      <c r="J1655" s="1" t="str">
        <f t="shared" si="539"/>
        <v>2</v>
      </c>
      <c r="K1655" s="1">
        <v>2</v>
      </c>
      <c r="L1655" s="1" t="s">
        <v>105</v>
      </c>
      <c r="M1655" s="1" t="str">
        <f>"北京 北京市 丰台区 "</f>
        <v xml:space="preserve">北京 北京市 丰台区 </v>
      </c>
      <c r="N1655" s="1" t="str">
        <f t="shared" si="533"/>
        <v>凡华云仓-城南圆通-微信视频号</v>
      </c>
      <c r="O1655" s="5" t="s">
        <v>1693</v>
      </c>
      <c r="P1655" s="6">
        <v>0.17</v>
      </c>
      <c r="Q1655" s="11">
        <v>2</v>
      </c>
      <c r="R1655" s="11"/>
      <c r="S1655" s="11"/>
      <c r="T1655" s="11"/>
      <c r="U1655" s="11">
        <f t="shared" si="522"/>
        <v>2</v>
      </c>
      <c r="W1655">
        <v>2.2000000000000002</v>
      </c>
      <c r="X1655" s="1" t="s">
        <v>105</v>
      </c>
    </row>
    <row r="1656" spans="1:24" x14ac:dyDescent="0.25">
      <c r="A1656" s="1" t="str">
        <f t="shared" si="518"/>
        <v>卡卡杜-凤凰仓</v>
      </c>
      <c r="B1656" s="1" t="str">
        <f>"CK20241028582"</f>
        <v>CK20241028582</v>
      </c>
      <c r="C1656" s="1" t="str">
        <f>"DD2024102820116"</f>
        <v>DD2024102820116</v>
      </c>
      <c r="D1656" s="1" t="str">
        <f>"CK202410289818"</f>
        <v>CK202410289818</v>
      </c>
      <c r="E1656" s="1" t="str">
        <f>"3723605073760227328"</f>
        <v>3723605073760227328</v>
      </c>
      <c r="F1656" s="1" t="str">
        <f t="shared" si="519"/>
        <v>花都四部-凤凰仓</v>
      </c>
      <c r="G1656" s="1" t="str">
        <f t="shared" si="538"/>
        <v>卡卡杜企业店（视频号）</v>
      </c>
      <c r="H1656" s="1" t="str">
        <f t="shared" si="520"/>
        <v>正常订单</v>
      </c>
      <c r="I1656" s="1" t="str">
        <f t="shared" si="521"/>
        <v>已发货</v>
      </c>
      <c r="J1656" s="1" t="str">
        <f t="shared" si="539"/>
        <v>2</v>
      </c>
      <c r="K1656" s="1">
        <v>2</v>
      </c>
      <c r="L1656" s="1" t="s">
        <v>60</v>
      </c>
      <c r="M1656" s="1" t="str">
        <f>"云南省 昆明市 盘龙区 "</f>
        <v xml:space="preserve">云南省 昆明市 盘龙区 </v>
      </c>
      <c r="N1656" s="1" t="str">
        <f t="shared" si="533"/>
        <v>凡华云仓-城南圆通-微信视频号</v>
      </c>
      <c r="O1656" s="5" t="s">
        <v>1694</v>
      </c>
      <c r="P1656" s="6">
        <v>0.17</v>
      </c>
      <c r="Q1656" s="11">
        <v>2</v>
      </c>
      <c r="R1656" s="11"/>
      <c r="S1656" s="11"/>
      <c r="T1656" s="11"/>
      <c r="U1656" s="11">
        <f t="shared" si="522"/>
        <v>2</v>
      </c>
      <c r="W1656">
        <v>2.2000000000000002</v>
      </c>
      <c r="X1656" s="1" t="s">
        <v>60</v>
      </c>
    </row>
    <row r="1657" spans="1:24" x14ac:dyDescent="0.25">
      <c r="A1657" s="1" t="str">
        <f t="shared" si="518"/>
        <v>卡卡杜-凤凰仓</v>
      </c>
      <c r="B1657" s="1" t="str">
        <f>"CK20241028580"</f>
        <v>CK20241028580</v>
      </c>
      <c r="C1657" s="1" t="str">
        <f>"DD2024102820115"</f>
        <v>DD2024102820115</v>
      </c>
      <c r="D1657" s="1" t="str">
        <f>"CK202410289817"</f>
        <v>CK202410289817</v>
      </c>
      <c r="E1657" s="1" t="str">
        <f>"3723605074500784128"</f>
        <v>3723605074500784128</v>
      </c>
      <c r="F1657" s="1" t="str">
        <f t="shared" si="519"/>
        <v>花都四部-凤凰仓</v>
      </c>
      <c r="G1657" s="1" t="str">
        <f t="shared" si="538"/>
        <v>卡卡杜企业店（视频号）</v>
      </c>
      <c r="H1657" s="1" t="str">
        <f t="shared" si="520"/>
        <v>正常订单</v>
      </c>
      <c r="I1657" s="1" t="str">
        <f t="shared" si="521"/>
        <v>已发货</v>
      </c>
      <c r="J1657" s="1" t="str">
        <f t="shared" si="539"/>
        <v>2</v>
      </c>
      <c r="K1657" s="1">
        <v>2</v>
      </c>
      <c r="L1657" s="1" t="s">
        <v>74</v>
      </c>
      <c r="M1657" s="1" t="str">
        <f>"上海 上海市 宝山区 "</f>
        <v xml:space="preserve">上海 上海市 宝山区 </v>
      </c>
      <c r="N1657" s="1" t="str">
        <f t="shared" si="533"/>
        <v>凡华云仓-城南圆通-微信视频号</v>
      </c>
      <c r="O1657" s="5" t="s">
        <v>1695</v>
      </c>
      <c r="P1657" s="6">
        <v>0.17</v>
      </c>
      <c r="Q1657" s="11">
        <v>2</v>
      </c>
      <c r="R1657" s="11"/>
      <c r="S1657" s="11"/>
      <c r="T1657" s="11"/>
      <c r="U1657" s="11">
        <f t="shared" si="522"/>
        <v>2</v>
      </c>
      <c r="W1657">
        <v>2.2000000000000002</v>
      </c>
      <c r="X1657" s="1" t="s">
        <v>74</v>
      </c>
    </row>
    <row r="1658" spans="1:24" x14ac:dyDescent="0.25">
      <c r="A1658" s="1" t="str">
        <f t="shared" si="518"/>
        <v>卡卡杜-凤凰仓</v>
      </c>
      <c r="B1658" s="1" t="str">
        <f>"CK20241028579"</f>
        <v>CK20241028579</v>
      </c>
      <c r="C1658" s="1" t="str">
        <f>"DD2024102820114"</f>
        <v>DD2024102820114</v>
      </c>
      <c r="D1658" s="1" t="str">
        <f>"CK202410289816"</f>
        <v>CK202410289816</v>
      </c>
      <c r="E1658" s="1" t="str">
        <f>"3723605074301027840"</f>
        <v>3723605074301027840</v>
      </c>
      <c r="F1658" s="1" t="str">
        <f t="shared" si="519"/>
        <v>花都四部-凤凰仓</v>
      </c>
      <c r="G1658" s="1" t="str">
        <f t="shared" si="538"/>
        <v>卡卡杜企业店（视频号）</v>
      </c>
      <c r="H1658" s="1" t="str">
        <f t="shared" si="520"/>
        <v>正常订单</v>
      </c>
      <c r="I1658" s="1" t="str">
        <f t="shared" si="521"/>
        <v>已发货</v>
      </c>
      <c r="J1658" s="1" t="str">
        <f t="shared" si="539"/>
        <v>2</v>
      </c>
      <c r="K1658" s="1">
        <v>2</v>
      </c>
      <c r="L1658" s="1" t="s">
        <v>18</v>
      </c>
      <c r="M1658" s="1" t="str">
        <f>"广东省 深圳市 福田区 "</f>
        <v xml:space="preserve">广东省 深圳市 福田区 </v>
      </c>
      <c r="N1658" s="1" t="str">
        <f t="shared" si="533"/>
        <v>凡华云仓-城南圆通-微信视频号</v>
      </c>
      <c r="O1658" s="5" t="s">
        <v>1696</v>
      </c>
      <c r="P1658" s="6">
        <v>0.17</v>
      </c>
      <c r="Q1658" s="11">
        <v>2</v>
      </c>
      <c r="R1658" s="11"/>
      <c r="S1658" s="11"/>
      <c r="T1658" s="11"/>
      <c r="U1658" s="11">
        <f t="shared" si="522"/>
        <v>2</v>
      </c>
      <c r="W1658">
        <v>2.2000000000000002</v>
      </c>
      <c r="X1658" s="1" t="s">
        <v>18</v>
      </c>
    </row>
    <row r="1659" spans="1:24" x14ac:dyDescent="0.25">
      <c r="A1659" s="1" t="str">
        <f t="shared" si="518"/>
        <v>卡卡杜-凤凰仓</v>
      </c>
      <c r="B1659" s="1" t="str">
        <f>"CK20241028577"</f>
        <v>CK20241028577</v>
      </c>
      <c r="C1659" s="1" t="str">
        <f>"DD2024102820113"</f>
        <v>DD2024102820113</v>
      </c>
      <c r="D1659" s="1" t="str">
        <f>"CK202410289815"</f>
        <v>CK202410289815</v>
      </c>
      <c r="E1659" s="1" t="str">
        <f>"3723605080442276864"</f>
        <v>3723605080442276864</v>
      </c>
      <c r="F1659" s="1" t="str">
        <f t="shared" si="519"/>
        <v>花都四部-凤凰仓</v>
      </c>
      <c r="G1659" s="1" t="str">
        <f t="shared" si="538"/>
        <v>卡卡杜企业店（视频号）</v>
      </c>
      <c r="H1659" s="1" t="str">
        <f t="shared" si="520"/>
        <v>正常订单</v>
      </c>
      <c r="I1659" s="1" t="str">
        <f t="shared" si="521"/>
        <v>已发货</v>
      </c>
      <c r="J1659" s="1" t="str">
        <f t="shared" si="539"/>
        <v>2</v>
      </c>
      <c r="K1659" s="1">
        <v>2</v>
      </c>
      <c r="L1659" s="1" t="s">
        <v>161</v>
      </c>
      <c r="M1659" s="1" t="str">
        <f>"四川省 成都市 成华区 "</f>
        <v xml:space="preserve">四川省 成都市 成华区 </v>
      </c>
      <c r="N1659" s="1" t="str">
        <f t="shared" si="533"/>
        <v>凡华云仓-城南圆通-微信视频号</v>
      </c>
      <c r="O1659" s="5" t="s">
        <v>1697</v>
      </c>
      <c r="P1659" s="6">
        <v>0.17</v>
      </c>
      <c r="Q1659" s="11">
        <v>2</v>
      </c>
      <c r="R1659" s="11"/>
      <c r="S1659" s="11"/>
      <c r="T1659" s="11"/>
      <c r="U1659" s="11">
        <f t="shared" si="522"/>
        <v>2</v>
      </c>
      <c r="W1659">
        <v>2.2000000000000002</v>
      </c>
      <c r="X1659" s="1" t="s">
        <v>161</v>
      </c>
    </row>
    <row r="1660" spans="1:24" x14ac:dyDescent="0.25">
      <c r="A1660" s="1" t="str">
        <f t="shared" si="518"/>
        <v>卡卡杜-凤凰仓</v>
      </c>
      <c r="B1660" s="1" t="str">
        <f>"CK20241028578"</f>
        <v>CK20241028578</v>
      </c>
      <c r="C1660" s="1" t="str">
        <f>"DD2024102820112"</f>
        <v>DD2024102820112</v>
      </c>
      <c r="D1660" s="1" t="str">
        <f>"CK202410289814"</f>
        <v>CK202410289814</v>
      </c>
      <c r="E1660" s="1" t="str">
        <f>"3723605079269968896"</f>
        <v>3723605079269968896</v>
      </c>
      <c r="F1660" s="1" t="str">
        <f t="shared" si="519"/>
        <v>花都四部-凤凰仓</v>
      </c>
      <c r="G1660" s="1" t="str">
        <f t="shared" si="538"/>
        <v>卡卡杜企业店（视频号）</v>
      </c>
      <c r="H1660" s="1" t="str">
        <f t="shared" si="520"/>
        <v>正常订单</v>
      </c>
      <c r="I1660" s="1" t="str">
        <f t="shared" si="521"/>
        <v>已发货</v>
      </c>
      <c r="J1660" s="1" t="str">
        <f t="shared" si="539"/>
        <v>2</v>
      </c>
      <c r="K1660" s="1">
        <v>2</v>
      </c>
      <c r="L1660" s="1" t="s">
        <v>18</v>
      </c>
      <c r="M1660" s="1" t="str">
        <f>"广东省 佛山市 顺德区 "</f>
        <v xml:space="preserve">广东省 佛山市 顺德区 </v>
      </c>
      <c r="N1660" s="1" t="str">
        <f t="shared" si="533"/>
        <v>凡华云仓-城南圆通-微信视频号</v>
      </c>
      <c r="O1660" s="5" t="s">
        <v>1698</v>
      </c>
      <c r="P1660" s="6">
        <v>0.17</v>
      </c>
      <c r="Q1660" s="11">
        <v>2</v>
      </c>
      <c r="R1660" s="11"/>
      <c r="S1660" s="11"/>
      <c r="T1660" s="11"/>
      <c r="U1660" s="11">
        <f t="shared" si="522"/>
        <v>2</v>
      </c>
      <c r="W1660">
        <v>2.2000000000000002</v>
      </c>
      <c r="X1660" s="1" t="s">
        <v>18</v>
      </c>
    </row>
    <row r="1661" spans="1:24" x14ac:dyDescent="0.25">
      <c r="A1661" s="1" t="str">
        <f t="shared" si="518"/>
        <v>卡卡杜-凤凰仓</v>
      </c>
      <c r="B1661" s="1" t="str">
        <f>"CK20241028575"</f>
        <v>CK20241028575</v>
      </c>
      <c r="C1661" s="1" t="str">
        <f>"DD2024102820111"</f>
        <v>DD2024102820111</v>
      </c>
      <c r="D1661" s="1" t="str">
        <f>"CK202410289813"</f>
        <v>CK202410289813</v>
      </c>
      <c r="E1661" s="1" t="str">
        <f>"3723605081752733185"</f>
        <v>3723605081752733185</v>
      </c>
      <c r="F1661" s="1" t="str">
        <f t="shared" si="519"/>
        <v>花都四部-凤凰仓</v>
      </c>
      <c r="G1661" s="1" t="str">
        <f t="shared" si="538"/>
        <v>卡卡杜企业店（视频号）</v>
      </c>
      <c r="H1661" s="1" t="str">
        <f t="shared" si="520"/>
        <v>正常订单</v>
      </c>
      <c r="I1661" s="1" t="str">
        <f t="shared" si="521"/>
        <v>已发货</v>
      </c>
      <c r="J1661" s="1" t="str">
        <f t="shared" si="539"/>
        <v>2</v>
      </c>
      <c r="K1661" s="1">
        <v>2</v>
      </c>
      <c r="L1661" s="1" t="s">
        <v>20</v>
      </c>
      <c r="M1661" s="1" t="str">
        <f>"浙江省 宁波市 鄞州区 "</f>
        <v xml:space="preserve">浙江省 宁波市 鄞州区 </v>
      </c>
      <c r="N1661" s="1" t="str">
        <f t="shared" si="533"/>
        <v>凡华云仓-城南圆通-微信视频号</v>
      </c>
      <c r="O1661" s="5" t="s">
        <v>1699</v>
      </c>
      <c r="P1661" s="6">
        <v>0.17</v>
      </c>
      <c r="Q1661" s="11">
        <v>2</v>
      </c>
      <c r="R1661" s="11"/>
      <c r="S1661" s="11"/>
      <c r="T1661" s="11"/>
      <c r="U1661" s="11">
        <f t="shared" si="522"/>
        <v>2</v>
      </c>
      <c r="W1661">
        <v>2.2000000000000002</v>
      </c>
      <c r="X1661" s="1" t="s">
        <v>20</v>
      </c>
    </row>
    <row r="1662" spans="1:24" x14ac:dyDescent="0.25">
      <c r="A1662" s="1" t="str">
        <f t="shared" si="518"/>
        <v>卡卡杜-凤凰仓</v>
      </c>
      <c r="B1662" s="1" t="str">
        <f>"CK20241028574"</f>
        <v>CK20241028574</v>
      </c>
      <c r="C1662" s="1" t="str">
        <f>"DD2024102820110"</f>
        <v>DD2024102820110</v>
      </c>
      <c r="D1662" s="1" t="str">
        <f>"CK202410289812"</f>
        <v>CK202410289812</v>
      </c>
      <c r="E1662" s="1" t="str">
        <f>"3723605081641321986"</f>
        <v>3723605081641321986</v>
      </c>
      <c r="F1662" s="1" t="str">
        <f t="shared" si="519"/>
        <v>花都四部-凤凰仓</v>
      </c>
      <c r="G1662" s="1" t="str">
        <f t="shared" si="538"/>
        <v>卡卡杜企业店（视频号）</v>
      </c>
      <c r="H1662" s="1" t="str">
        <f t="shared" si="520"/>
        <v>正常订单</v>
      </c>
      <c r="I1662" s="1" t="str">
        <f t="shared" si="521"/>
        <v>已发货</v>
      </c>
      <c r="J1662" s="1" t="str">
        <f t="shared" si="539"/>
        <v>2</v>
      </c>
      <c r="K1662" s="1">
        <v>2</v>
      </c>
      <c r="L1662" s="1" t="s">
        <v>105</v>
      </c>
      <c r="M1662" s="1" t="str">
        <f>"北京 北京市 东城区 "</f>
        <v xml:space="preserve">北京 北京市 东城区 </v>
      </c>
      <c r="N1662" s="1" t="str">
        <f t="shared" si="533"/>
        <v>凡华云仓-城南圆通-微信视频号</v>
      </c>
      <c r="O1662" s="5" t="s">
        <v>1700</v>
      </c>
      <c r="P1662" s="6">
        <v>0.17</v>
      </c>
      <c r="Q1662" s="11">
        <v>2</v>
      </c>
      <c r="R1662" s="11"/>
      <c r="S1662" s="11"/>
      <c r="T1662" s="11"/>
      <c r="U1662" s="11">
        <f t="shared" si="522"/>
        <v>2</v>
      </c>
      <c r="W1662">
        <v>2.2000000000000002</v>
      </c>
      <c r="X1662" s="1" t="s">
        <v>105</v>
      </c>
    </row>
    <row r="1663" spans="1:24" x14ac:dyDescent="0.25">
      <c r="A1663" s="1" t="str">
        <f t="shared" si="518"/>
        <v>卡卡杜-凤凰仓</v>
      </c>
      <c r="B1663" s="1" t="str">
        <f>"CK20241028576"</f>
        <v>CK20241028576</v>
      </c>
      <c r="C1663" s="1" t="str">
        <f>"DD2024102820109"</f>
        <v>DD2024102820109</v>
      </c>
      <c r="D1663" s="1" t="str">
        <f>"CK202410289811"</f>
        <v>CK202410289811</v>
      </c>
      <c r="E1663" s="1" t="str">
        <f>"3723605080585407488"</f>
        <v>3723605080585407488</v>
      </c>
      <c r="F1663" s="1" t="str">
        <f t="shared" si="519"/>
        <v>花都四部-凤凰仓</v>
      </c>
      <c r="G1663" s="1" t="str">
        <f t="shared" si="538"/>
        <v>卡卡杜企业店（视频号）</v>
      </c>
      <c r="H1663" s="1" t="str">
        <f t="shared" si="520"/>
        <v>正常订单</v>
      </c>
      <c r="I1663" s="1" t="str">
        <f t="shared" si="521"/>
        <v>已发货</v>
      </c>
      <c r="J1663" s="1" t="str">
        <f t="shared" si="539"/>
        <v>2</v>
      </c>
      <c r="K1663" s="1">
        <v>2</v>
      </c>
      <c r="L1663" s="1" t="s">
        <v>30</v>
      </c>
      <c r="M1663" s="1" t="str">
        <f>"山东省 日照市 东港区 "</f>
        <v xml:space="preserve">山东省 日照市 东港区 </v>
      </c>
      <c r="N1663" s="1" t="str">
        <f t="shared" si="533"/>
        <v>凡华云仓-城南圆通-微信视频号</v>
      </c>
      <c r="O1663" s="5" t="s">
        <v>1701</v>
      </c>
      <c r="P1663" s="6">
        <v>0.17</v>
      </c>
      <c r="Q1663" s="11">
        <v>2</v>
      </c>
      <c r="R1663" s="11"/>
      <c r="S1663" s="11"/>
      <c r="T1663" s="11"/>
      <c r="U1663" s="11">
        <f t="shared" si="522"/>
        <v>2</v>
      </c>
      <c r="W1663">
        <v>2.2000000000000002</v>
      </c>
      <c r="X1663" s="1" t="s">
        <v>30</v>
      </c>
    </row>
    <row r="1664" spans="1:24" x14ac:dyDescent="0.25">
      <c r="A1664" s="1" t="str">
        <f t="shared" si="518"/>
        <v>卡卡杜-凤凰仓</v>
      </c>
      <c r="B1664" s="1" t="str">
        <f>"CK20241028573"</f>
        <v>CK20241028573</v>
      </c>
      <c r="C1664" s="1" t="str">
        <f>"DD2024102820108"</f>
        <v>DD2024102820108</v>
      </c>
      <c r="D1664" s="1" t="str">
        <f>"CK202410289810"</f>
        <v>CK202410289810</v>
      </c>
      <c r="E1664" s="1" t="str">
        <f>"3723605078040774144"</f>
        <v>3723605078040774144</v>
      </c>
      <c r="F1664" s="1" t="str">
        <f t="shared" si="519"/>
        <v>花都四部-凤凰仓</v>
      </c>
      <c r="G1664" s="1" t="str">
        <f t="shared" si="538"/>
        <v>卡卡杜企业店（视频号）</v>
      </c>
      <c r="H1664" s="1" t="str">
        <f t="shared" si="520"/>
        <v>正常订单</v>
      </c>
      <c r="I1664" s="1" t="str">
        <f t="shared" si="521"/>
        <v>已发货</v>
      </c>
      <c r="J1664" s="1" t="str">
        <f t="shared" si="539"/>
        <v>2</v>
      </c>
      <c r="K1664" s="1">
        <v>2</v>
      </c>
      <c r="L1664" s="1" t="s">
        <v>13</v>
      </c>
      <c r="M1664" s="1" t="str">
        <f>"江苏省 苏州市 姑苏区 "</f>
        <v xml:space="preserve">江苏省 苏州市 姑苏区 </v>
      </c>
      <c r="N1664" s="1" t="str">
        <f t="shared" si="533"/>
        <v>凡华云仓-城南圆通-微信视频号</v>
      </c>
      <c r="O1664" s="5" t="s">
        <v>1702</v>
      </c>
      <c r="P1664" s="6">
        <v>0.17</v>
      </c>
      <c r="Q1664" s="11">
        <v>2</v>
      </c>
      <c r="R1664" s="11"/>
      <c r="S1664" s="11"/>
      <c r="T1664" s="11"/>
      <c r="U1664" s="11">
        <f t="shared" si="522"/>
        <v>2</v>
      </c>
      <c r="W1664">
        <v>2.2000000000000002</v>
      </c>
      <c r="X1664" s="1" t="s">
        <v>13</v>
      </c>
    </row>
    <row r="1665" spans="1:24" x14ac:dyDescent="0.25">
      <c r="A1665" s="1" t="str">
        <f t="shared" si="518"/>
        <v>卡卡杜-凤凰仓</v>
      </c>
      <c r="B1665" s="1" t="str">
        <f>"CK20241028572"</f>
        <v>CK20241028572</v>
      </c>
      <c r="C1665" s="1" t="str">
        <f>"DD2024102820107"</f>
        <v>DD2024102820107</v>
      </c>
      <c r="D1665" s="1" t="str">
        <f>"CK202410289809"</f>
        <v>CK202410289809</v>
      </c>
      <c r="E1665" s="1" t="str">
        <f>"3723605083432289792"</f>
        <v>3723605083432289792</v>
      </c>
      <c r="F1665" s="1" t="str">
        <f t="shared" si="519"/>
        <v>花都四部-凤凰仓</v>
      </c>
      <c r="G1665" s="1" t="str">
        <f t="shared" si="538"/>
        <v>卡卡杜企业店（视频号）</v>
      </c>
      <c r="H1665" s="1" t="str">
        <f t="shared" si="520"/>
        <v>正常订单</v>
      </c>
      <c r="I1665" s="1" t="str">
        <f t="shared" si="521"/>
        <v>已发货</v>
      </c>
      <c r="J1665" s="1" t="str">
        <f t="shared" si="539"/>
        <v>2</v>
      </c>
      <c r="K1665" s="1">
        <v>2</v>
      </c>
      <c r="L1665" s="1" t="s">
        <v>54</v>
      </c>
      <c r="M1665" s="1" t="str">
        <f>"黑龙江省 哈尔滨市 南岗区 "</f>
        <v xml:space="preserve">黑龙江省 哈尔滨市 南岗区 </v>
      </c>
      <c r="N1665" s="1" t="str">
        <f t="shared" si="533"/>
        <v>凡华云仓-城南圆通-微信视频号</v>
      </c>
      <c r="O1665" s="5" t="s">
        <v>1703</v>
      </c>
      <c r="P1665" s="6">
        <v>0.17</v>
      </c>
      <c r="Q1665" s="11">
        <v>2</v>
      </c>
      <c r="R1665" s="11"/>
      <c r="S1665" s="11"/>
      <c r="T1665" s="11"/>
      <c r="U1665" s="11">
        <f t="shared" si="522"/>
        <v>2</v>
      </c>
      <c r="W1665">
        <v>2.2000000000000002</v>
      </c>
      <c r="X1665" s="1" t="s">
        <v>54</v>
      </c>
    </row>
    <row r="1666" spans="1:24" x14ac:dyDescent="0.25">
      <c r="A1666" s="1" t="str">
        <f t="shared" ref="A1666:A1729" si="540">"卡卡杜-凤凰仓"</f>
        <v>卡卡杜-凤凰仓</v>
      </c>
      <c r="B1666" s="1" t="str">
        <f>"CK20241028571"</f>
        <v>CK20241028571</v>
      </c>
      <c r="C1666" s="1" t="str">
        <f>"DD2024102820106"</f>
        <v>DD2024102820106</v>
      </c>
      <c r="D1666" s="1" t="str">
        <f>"CK202410289808"</f>
        <v>CK202410289808</v>
      </c>
      <c r="E1666" s="1" t="str">
        <f>"3723605084684293120"</f>
        <v>3723605084684293120</v>
      </c>
      <c r="F1666" s="1" t="str">
        <f t="shared" ref="F1666:F1729" si="541">"花都四部-凤凰仓"</f>
        <v>花都四部-凤凰仓</v>
      </c>
      <c r="G1666" s="1" t="str">
        <f t="shared" si="538"/>
        <v>卡卡杜企业店（视频号）</v>
      </c>
      <c r="H1666" s="1" t="str">
        <f t="shared" ref="H1666:H1729" si="542">"正常订单"</f>
        <v>正常订单</v>
      </c>
      <c r="I1666" s="1" t="str">
        <f t="shared" ref="I1666:I1729" si="543">"已发货"</f>
        <v>已发货</v>
      </c>
      <c r="J1666" s="1" t="str">
        <f t="shared" si="539"/>
        <v>2</v>
      </c>
      <c r="K1666" s="1">
        <v>2</v>
      </c>
      <c r="L1666" s="1" t="s">
        <v>13</v>
      </c>
      <c r="M1666" s="1" t="str">
        <f>"江苏省 南京市 鼓楼区 "</f>
        <v xml:space="preserve">江苏省 南京市 鼓楼区 </v>
      </c>
      <c r="N1666" s="1" t="str">
        <f t="shared" si="533"/>
        <v>凡华云仓-城南圆通-微信视频号</v>
      </c>
      <c r="O1666" s="5" t="s">
        <v>1704</v>
      </c>
      <c r="P1666" s="6">
        <v>0.17</v>
      </c>
      <c r="Q1666" s="11">
        <v>2</v>
      </c>
      <c r="R1666" s="11"/>
      <c r="S1666" s="11"/>
      <c r="T1666" s="11"/>
      <c r="U1666" s="11">
        <f t="shared" si="522"/>
        <v>2</v>
      </c>
      <c r="W1666">
        <v>2.2000000000000002</v>
      </c>
      <c r="X1666" s="1" t="s">
        <v>13</v>
      </c>
    </row>
    <row r="1667" spans="1:24" x14ac:dyDescent="0.25">
      <c r="A1667" s="1" t="str">
        <f t="shared" si="540"/>
        <v>卡卡杜-凤凰仓</v>
      </c>
      <c r="B1667" s="1" t="str">
        <f>"CK20241028569"</f>
        <v>CK20241028569</v>
      </c>
      <c r="C1667" s="1" t="str">
        <f>"DD2024102820105"</f>
        <v>DD2024102820105</v>
      </c>
      <c r="D1667" s="1" t="str">
        <f>"CK202410289807"</f>
        <v>CK202410289807</v>
      </c>
      <c r="E1667" s="1" t="str">
        <f>"3723605086500688896"</f>
        <v>3723605086500688896</v>
      </c>
      <c r="F1667" s="1" t="str">
        <f t="shared" si="541"/>
        <v>花都四部-凤凰仓</v>
      </c>
      <c r="G1667" s="1" t="str">
        <f t="shared" si="538"/>
        <v>卡卡杜企业店（视频号）</v>
      </c>
      <c r="H1667" s="1" t="str">
        <f t="shared" si="542"/>
        <v>正常订单</v>
      </c>
      <c r="I1667" s="1" t="str">
        <f t="shared" si="543"/>
        <v>已发货</v>
      </c>
      <c r="J1667" s="1" t="str">
        <f t="shared" si="539"/>
        <v>2</v>
      </c>
      <c r="K1667" s="1">
        <v>2</v>
      </c>
      <c r="L1667" s="1" t="s">
        <v>54</v>
      </c>
      <c r="M1667" s="1" t="str">
        <f>"黑龙江省 哈尔滨市 平房区 "</f>
        <v xml:space="preserve">黑龙江省 哈尔滨市 平房区 </v>
      </c>
      <c r="N1667" s="1" t="str">
        <f t="shared" si="533"/>
        <v>凡华云仓-城南圆通-微信视频号</v>
      </c>
      <c r="O1667" s="5" t="s">
        <v>1705</v>
      </c>
      <c r="P1667" s="6">
        <v>0.17</v>
      </c>
      <c r="Q1667" s="11">
        <v>2</v>
      </c>
      <c r="R1667" s="11"/>
      <c r="S1667" s="11"/>
      <c r="T1667" s="11"/>
      <c r="U1667" s="11">
        <f t="shared" ref="U1667:U1730" si="544">T1667+S1667+R1667+Q1667</f>
        <v>2</v>
      </c>
      <c r="W1667">
        <v>2.2000000000000002</v>
      </c>
      <c r="X1667" s="1" t="s">
        <v>54</v>
      </c>
    </row>
    <row r="1668" spans="1:24" x14ac:dyDescent="0.25">
      <c r="A1668" s="1" t="str">
        <f t="shared" si="540"/>
        <v>卡卡杜-凤凰仓</v>
      </c>
      <c r="B1668" s="1" t="str">
        <f>"CK20241028570"</f>
        <v>CK20241028570</v>
      </c>
      <c r="C1668" s="1" t="str">
        <f>"DD2024102820104"</f>
        <v>DD2024102820104</v>
      </c>
      <c r="D1668" s="1" t="str">
        <f>"CK202410289806"</f>
        <v>CK202410289806</v>
      </c>
      <c r="E1668" s="1" t="str">
        <f>"3723605085070689792"</f>
        <v>3723605085070689792</v>
      </c>
      <c r="F1668" s="1" t="str">
        <f t="shared" si="541"/>
        <v>花都四部-凤凰仓</v>
      </c>
      <c r="G1668" s="1" t="str">
        <f t="shared" si="538"/>
        <v>卡卡杜企业店（视频号）</v>
      </c>
      <c r="H1668" s="1" t="str">
        <f t="shared" si="542"/>
        <v>正常订单</v>
      </c>
      <c r="I1668" s="1" t="str">
        <f t="shared" si="543"/>
        <v>已发货</v>
      </c>
      <c r="J1668" s="1" t="str">
        <f t="shared" si="539"/>
        <v>2</v>
      </c>
      <c r="K1668" s="1">
        <v>2</v>
      </c>
      <c r="L1668" s="1" t="s">
        <v>74</v>
      </c>
      <c r="M1668" s="1" t="str">
        <f>"上海 上海市 虹口区 "</f>
        <v xml:space="preserve">上海 上海市 虹口区 </v>
      </c>
      <c r="N1668" s="1" t="str">
        <f t="shared" si="533"/>
        <v>凡华云仓-城南圆通-微信视频号</v>
      </c>
      <c r="O1668" s="5" t="s">
        <v>1706</v>
      </c>
      <c r="P1668" s="6">
        <v>0.17</v>
      </c>
      <c r="Q1668" s="11">
        <v>2</v>
      </c>
      <c r="R1668" s="11"/>
      <c r="S1668" s="11"/>
      <c r="T1668" s="11"/>
      <c r="U1668" s="11">
        <f t="shared" si="544"/>
        <v>2</v>
      </c>
      <c r="W1668">
        <v>2.2000000000000002</v>
      </c>
      <c r="X1668" s="1" t="s">
        <v>74</v>
      </c>
    </row>
    <row r="1669" spans="1:24" x14ac:dyDescent="0.25">
      <c r="A1669" s="1" t="str">
        <f t="shared" si="540"/>
        <v>卡卡杜-凤凰仓</v>
      </c>
      <c r="B1669" s="1" t="str">
        <f>"CK20241028567"</f>
        <v>CK20241028567</v>
      </c>
      <c r="C1669" s="1" t="str">
        <f>"DD2024102820103"</f>
        <v>DD2024102820103</v>
      </c>
      <c r="D1669" s="1" t="str">
        <f>"CK202410289805"</f>
        <v>CK202410289805</v>
      </c>
      <c r="E1669" s="1" t="str">
        <f>"3723605086943710208"</f>
        <v>3723605086943710208</v>
      </c>
      <c r="F1669" s="1" t="str">
        <f t="shared" si="541"/>
        <v>花都四部-凤凰仓</v>
      </c>
      <c r="G1669" s="1" t="str">
        <f t="shared" si="538"/>
        <v>卡卡杜企业店（视频号）</v>
      </c>
      <c r="H1669" s="1" t="str">
        <f t="shared" si="542"/>
        <v>正常订单</v>
      </c>
      <c r="I1669" s="1" t="str">
        <f t="shared" si="543"/>
        <v>已发货</v>
      </c>
      <c r="J1669" s="1" t="str">
        <f t="shared" si="539"/>
        <v>2</v>
      </c>
      <c r="K1669" s="1">
        <v>2</v>
      </c>
      <c r="L1669" s="1" t="s">
        <v>105</v>
      </c>
      <c r="M1669" s="1" t="str">
        <f>"北京 北京市 西城区 "</f>
        <v xml:space="preserve">北京 北京市 西城区 </v>
      </c>
      <c r="N1669" s="1" t="str">
        <f t="shared" si="533"/>
        <v>凡华云仓-城南圆通-微信视频号</v>
      </c>
      <c r="O1669" s="5" t="s">
        <v>1707</v>
      </c>
      <c r="P1669" s="6">
        <v>0.17</v>
      </c>
      <c r="Q1669" s="11">
        <v>2</v>
      </c>
      <c r="R1669" s="11"/>
      <c r="S1669" s="11"/>
      <c r="T1669" s="11"/>
      <c r="U1669" s="11">
        <f t="shared" si="544"/>
        <v>2</v>
      </c>
      <c r="W1669">
        <v>2.2000000000000002</v>
      </c>
      <c r="X1669" s="1" t="s">
        <v>105</v>
      </c>
    </row>
    <row r="1670" spans="1:24" x14ac:dyDescent="0.25">
      <c r="A1670" s="1" t="str">
        <f t="shared" si="540"/>
        <v>卡卡杜-凤凰仓</v>
      </c>
      <c r="B1670" s="1" t="str">
        <f>"CK20241028568"</f>
        <v>CK20241028568</v>
      </c>
      <c r="C1670" s="1" t="str">
        <f>"DD2024102820102"</f>
        <v>DD2024102820102</v>
      </c>
      <c r="D1670" s="1" t="str">
        <f>"CK202410289804"</f>
        <v>CK202410289804</v>
      </c>
      <c r="E1670" s="1" t="str">
        <f>"3723605087051714560"</f>
        <v>3723605087051714560</v>
      </c>
      <c r="F1670" s="1" t="str">
        <f t="shared" si="541"/>
        <v>花都四部-凤凰仓</v>
      </c>
      <c r="G1670" s="1" t="str">
        <f t="shared" si="538"/>
        <v>卡卡杜企业店（视频号）</v>
      </c>
      <c r="H1670" s="1" t="str">
        <f t="shared" si="542"/>
        <v>正常订单</v>
      </c>
      <c r="I1670" s="1" t="str">
        <f t="shared" si="543"/>
        <v>已发货</v>
      </c>
      <c r="J1670" s="1" t="str">
        <f t="shared" si="539"/>
        <v>2</v>
      </c>
      <c r="K1670" s="1">
        <v>2</v>
      </c>
      <c r="L1670" s="1" t="s">
        <v>16</v>
      </c>
      <c r="M1670" s="1" t="str">
        <f>"河北省 石家庄市 井陉县 "</f>
        <v xml:space="preserve">河北省 石家庄市 井陉县 </v>
      </c>
      <c r="N1670" s="1" t="str">
        <f t="shared" si="533"/>
        <v>凡华云仓-城南圆通-微信视频号</v>
      </c>
      <c r="O1670" s="5" t="s">
        <v>1708</v>
      </c>
      <c r="P1670" s="6">
        <v>0.17</v>
      </c>
      <c r="Q1670" s="11">
        <v>2</v>
      </c>
      <c r="R1670" s="11"/>
      <c r="S1670" s="11"/>
      <c r="T1670" s="11"/>
      <c r="U1670" s="11">
        <f t="shared" si="544"/>
        <v>2</v>
      </c>
      <c r="W1670">
        <v>2.2000000000000002</v>
      </c>
      <c r="X1670" s="1" t="s">
        <v>16</v>
      </c>
    </row>
    <row r="1671" spans="1:24" x14ac:dyDescent="0.25">
      <c r="A1671" s="1" t="str">
        <f t="shared" si="540"/>
        <v>卡卡杜-凤凰仓</v>
      </c>
      <c r="B1671" s="1" t="str">
        <f>"CK20241028565"</f>
        <v>CK20241028565</v>
      </c>
      <c r="C1671" s="1" t="str">
        <f>"DD2024102820101"</f>
        <v>DD2024102820101</v>
      </c>
      <c r="D1671" s="1" t="str">
        <f>"CK202410289803"</f>
        <v>CK202410289803</v>
      </c>
      <c r="E1671" s="1" t="str">
        <f>"3723605087216862720"</f>
        <v>3723605087216862720</v>
      </c>
      <c r="F1671" s="1" t="str">
        <f t="shared" si="541"/>
        <v>花都四部-凤凰仓</v>
      </c>
      <c r="G1671" s="1" t="str">
        <f t="shared" si="538"/>
        <v>卡卡杜企业店（视频号）</v>
      </c>
      <c r="H1671" s="1" t="str">
        <f t="shared" si="542"/>
        <v>正常订单</v>
      </c>
      <c r="I1671" s="1" t="str">
        <f t="shared" si="543"/>
        <v>已发货</v>
      </c>
      <c r="J1671" s="1" t="str">
        <f t="shared" si="539"/>
        <v>2</v>
      </c>
      <c r="K1671" s="1">
        <v>2</v>
      </c>
      <c r="L1671" s="1" t="s">
        <v>13</v>
      </c>
      <c r="M1671" s="1" t="str">
        <f>"江苏省 南京市 秦淮区 "</f>
        <v xml:space="preserve">江苏省 南京市 秦淮区 </v>
      </c>
      <c r="N1671" s="1" t="str">
        <f t="shared" si="533"/>
        <v>凡华云仓-城南圆通-微信视频号</v>
      </c>
      <c r="O1671" s="5" t="s">
        <v>1709</v>
      </c>
      <c r="P1671" s="6">
        <v>0.17</v>
      </c>
      <c r="Q1671" s="11">
        <v>2</v>
      </c>
      <c r="R1671" s="11"/>
      <c r="S1671" s="11"/>
      <c r="T1671" s="11"/>
      <c r="U1671" s="11">
        <f t="shared" si="544"/>
        <v>2</v>
      </c>
      <c r="W1671">
        <v>2.2000000000000002</v>
      </c>
      <c r="X1671" s="1" t="s">
        <v>13</v>
      </c>
    </row>
    <row r="1672" spans="1:24" x14ac:dyDescent="0.25">
      <c r="A1672" s="1" t="str">
        <f t="shared" si="540"/>
        <v>卡卡杜-凤凰仓</v>
      </c>
      <c r="B1672" s="1" t="str">
        <f>"CK20241028566"</f>
        <v>CK20241028566</v>
      </c>
      <c r="C1672" s="1" t="str">
        <f>"DD2024102820100"</f>
        <v>DD2024102820100</v>
      </c>
      <c r="D1672" s="1" t="str">
        <f>"CK202410289802"</f>
        <v>CK202410289802</v>
      </c>
      <c r="E1672" s="1" t="str">
        <f>"3723605086215738368"</f>
        <v>3723605086215738368</v>
      </c>
      <c r="F1672" s="1" t="str">
        <f t="shared" si="541"/>
        <v>花都四部-凤凰仓</v>
      </c>
      <c r="G1672" s="1" t="str">
        <f t="shared" si="538"/>
        <v>卡卡杜企业店（视频号）</v>
      </c>
      <c r="H1672" s="1" t="str">
        <f t="shared" si="542"/>
        <v>正常订单</v>
      </c>
      <c r="I1672" s="1" t="str">
        <f t="shared" si="543"/>
        <v>已发货</v>
      </c>
      <c r="J1672" s="1" t="str">
        <f t="shared" si="539"/>
        <v>2</v>
      </c>
      <c r="K1672" s="1">
        <v>2</v>
      </c>
      <c r="L1672" s="1" t="s">
        <v>218</v>
      </c>
      <c r="M1672" s="1" t="str">
        <f>"天津 天津市 南开区 "</f>
        <v xml:space="preserve">天津 天津市 南开区 </v>
      </c>
      <c r="N1672" s="1" t="str">
        <f t="shared" si="533"/>
        <v>凡华云仓-城南圆通-微信视频号</v>
      </c>
      <c r="O1672" s="5" t="s">
        <v>1710</v>
      </c>
      <c r="P1672" s="6">
        <v>0.17</v>
      </c>
      <c r="Q1672" s="11">
        <v>2</v>
      </c>
      <c r="R1672" s="11"/>
      <c r="S1672" s="11"/>
      <c r="T1672" s="11"/>
      <c r="U1672" s="11">
        <f t="shared" si="544"/>
        <v>2</v>
      </c>
      <c r="W1672">
        <v>2.2000000000000002</v>
      </c>
      <c r="X1672" s="1" t="s">
        <v>218</v>
      </c>
    </row>
    <row r="1673" spans="1:24" x14ac:dyDescent="0.25">
      <c r="A1673" s="1" t="str">
        <f t="shared" si="540"/>
        <v>卡卡杜-凤凰仓</v>
      </c>
      <c r="B1673" s="1" t="str">
        <f>"CK20241028564"</f>
        <v>CK20241028564</v>
      </c>
      <c r="C1673" s="1" t="str">
        <f>"DD2024102820099"</f>
        <v>DD2024102820099</v>
      </c>
      <c r="D1673" s="1" t="str">
        <f>"CK202410289801"</f>
        <v>CK202410289801</v>
      </c>
      <c r="E1673" s="1" t="str">
        <f>"3723605087136388096"</f>
        <v>3723605087136388096</v>
      </c>
      <c r="F1673" s="1" t="str">
        <f t="shared" si="541"/>
        <v>花都四部-凤凰仓</v>
      </c>
      <c r="G1673" s="1" t="str">
        <f t="shared" si="538"/>
        <v>卡卡杜企业店（视频号）</v>
      </c>
      <c r="H1673" s="1" t="str">
        <f t="shared" si="542"/>
        <v>正常订单</v>
      </c>
      <c r="I1673" s="1" t="str">
        <f t="shared" si="543"/>
        <v>已发货</v>
      </c>
      <c r="J1673" s="1" t="str">
        <f t="shared" si="539"/>
        <v>2</v>
      </c>
      <c r="K1673" s="1">
        <v>2</v>
      </c>
      <c r="L1673" s="1" t="s">
        <v>24</v>
      </c>
      <c r="M1673" s="1" t="str">
        <f>"福建省 宁德市 蕉城区 "</f>
        <v xml:space="preserve">福建省 宁德市 蕉城区 </v>
      </c>
      <c r="N1673" s="1" t="str">
        <f t="shared" si="533"/>
        <v>凡华云仓-城南圆通-微信视频号</v>
      </c>
      <c r="O1673" s="5" t="s">
        <v>1711</v>
      </c>
      <c r="P1673" s="6">
        <v>0.17</v>
      </c>
      <c r="Q1673" s="11">
        <v>2</v>
      </c>
      <c r="R1673" s="11"/>
      <c r="S1673" s="11"/>
      <c r="T1673" s="11"/>
      <c r="U1673" s="11">
        <f t="shared" si="544"/>
        <v>2</v>
      </c>
      <c r="W1673">
        <v>2.2000000000000002</v>
      </c>
      <c r="X1673" s="1" t="s">
        <v>24</v>
      </c>
    </row>
    <row r="1674" spans="1:24" x14ac:dyDescent="0.25">
      <c r="A1674" s="1" t="str">
        <f t="shared" si="540"/>
        <v>卡卡杜-凤凰仓</v>
      </c>
      <c r="B1674" s="1" t="str">
        <f>"CK20241028563"</f>
        <v>CK20241028563</v>
      </c>
      <c r="C1674" s="1" t="str">
        <f>"DD2024102820098"</f>
        <v>DD2024102820098</v>
      </c>
      <c r="D1674" s="1" t="str">
        <f>"CK202410289800"</f>
        <v>CK202410289800</v>
      </c>
      <c r="E1674" s="1" t="str">
        <f>"3723605087329060096"</f>
        <v>3723605087329060096</v>
      </c>
      <c r="F1674" s="1" t="str">
        <f t="shared" si="541"/>
        <v>花都四部-凤凰仓</v>
      </c>
      <c r="G1674" s="1" t="str">
        <f t="shared" si="538"/>
        <v>卡卡杜企业店（视频号）</v>
      </c>
      <c r="H1674" s="1" t="str">
        <f t="shared" si="542"/>
        <v>正常订单</v>
      </c>
      <c r="I1674" s="1" t="str">
        <f t="shared" si="543"/>
        <v>已发货</v>
      </c>
      <c r="J1674" s="1" t="str">
        <f t="shared" si="539"/>
        <v>2</v>
      </c>
      <c r="K1674" s="1">
        <v>2</v>
      </c>
      <c r="L1674" s="1" t="s">
        <v>27</v>
      </c>
      <c r="M1674" s="1" t="str">
        <f>"贵州省 贵阳市 云岩区 "</f>
        <v xml:space="preserve">贵州省 贵阳市 云岩区 </v>
      </c>
      <c r="N1674" s="1" t="str">
        <f t="shared" si="533"/>
        <v>凡华云仓-城南圆通-微信视频号</v>
      </c>
      <c r="O1674" s="5" t="s">
        <v>1712</v>
      </c>
      <c r="P1674" s="6">
        <v>0.17</v>
      </c>
      <c r="Q1674" s="11">
        <v>2</v>
      </c>
      <c r="R1674" s="11"/>
      <c r="S1674" s="11"/>
      <c r="T1674" s="11"/>
      <c r="U1674" s="11">
        <f t="shared" si="544"/>
        <v>2</v>
      </c>
      <c r="W1674">
        <v>2.2000000000000002</v>
      </c>
      <c r="X1674" s="1" t="s">
        <v>27</v>
      </c>
    </row>
    <row r="1675" spans="1:24" x14ac:dyDescent="0.25">
      <c r="A1675" s="1" t="str">
        <f t="shared" si="540"/>
        <v>卡卡杜-凤凰仓</v>
      </c>
      <c r="B1675" s="1" t="str">
        <f>"CK20241028562"</f>
        <v>CK20241028562</v>
      </c>
      <c r="C1675" s="1" t="str">
        <f>"DD2024102820097"</f>
        <v>DD2024102820097</v>
      </c>
      <c r="D1675" s="1" t="str">
        <f>"CK202410289799"</f>
        <v>CK202410289799</v>
      </c>
      <c r="E1675" s="1" t="str">
        <f>"3723605086624417025"</f>
        <v>3723605086624417025</v>
      </c>
      <c r="F1675" s="1" t="str">
        <f t="shared" si="541"/>
        <v>花都四部-凤凰仓</v>
      </c>
      <c r="G1675" s="1" t="str">
        <f t="shared" si="538"/>
        <v>卡卡杜企业店（视频号）</v>
      </c>
      <c r="H1675" s="1" t="str">
        <f t="shared" si="542"/>
        <v>正常订单</v>
      </c>
      <c r="I1675" s="1" t="str">
        <f t="shared" si="543"/>
        <v>已发货</v>
      </c>
      <c r="J1675" s="1" t="str">
        <f t="shared" si="539"/>
        <v>2</v>
      </c>
      <c r="K1675" s="1">
        <v>2</v>
      </c>
      <c r="L1675" s="1" t="s">
        <v>36</v>
      </c>
      <c r="M1675" s="1" t="str">
        <f>"安徽省 马鞍山市 花山区 "</f>
        <v xml:space="preserve">安徽省 马鞍山市 花山区 </v>
      </c>
      <c r="N1675" s="1" t="str">
        <f t="shared" si="533"/>
        <v>凡华云仓-城南圆通-微信视频号</v>
      </c>
      <c r="O1675" s="5" t="s">
        <v>1713</v>
      </c>
      <c r="P1675" s="6">
        <v>0.17</v>
      </c>
      <c r="Q1675" s="11">
        <v>2</v>
      </c>
      <c r="R1675" s="11"/>
      <c r="S1675" s="11"/>
      <c r="T1675" s="11"/>
      <c r="U1675" s="11">
        <f t="shared" si="544"/>
        <v>2</v>
      </c>
      <c r="W1675">
        <v>2.2000000000000002</v>
      </c>
      <c r="X1675" s="1" t="s">
        <v>36</v>
      </c>
    </row>
    <row r="1676" spans="1:24" x14ac:dyDescent="0.25">
      <c r="A1676" s="1" t="str">
        <f t="shared" si="540"/>
        <v>卡卡杜-凤凰仓</v>
      </c>
      <c r="B1676" s="1" t="str">
        <f>"CK20241028561"</f>
        <v>CK20241028561</v>
      </c>
      <c r="C1676" s="1" t="str">
        <f>"DD2024102820096"</f>
        <v>DD2024102820096</v>
      </c>
      <c r="D1676" s="1" t="str">
        <f>"CK202410289798"</f>
        <v>CK202410289798</v>
      </c>
      <c r="E1676" s="1" t="str">
        <f>"3723605088128338944"</f>
        <v>3723605088128338944</v>
      </c>
      <c r="F1676" s="1" t="str">
        <f t="shared" si="541"/>
        <v>花都四部-凤凰仓</v>
      </c>
      <c r="G1676" s="1" t="str">
        <f t="shared" si="538"/>
        <v>卡卡杜企业店（视频号）</v>
      </c>
      <c r="H1676" s="1" t="str">
        <f t="shared" si="542"/>
        <v>正常订单</v>
      </c>
      <c r="I1676" s="1" t="str">
        <f t="shared" si="543"/>
        <v>已发货</v>
      </c>
      <c r="J1676" s="1" t="str">
        <f t="shared" si="539"/>
        <v>2</v>
      </c>
      <c r="K1676" s="1">
        <v>2</v>
      </c>
      <c r="L1676" s="1" t="s">
        <v>41</v>
      </c>
      <c r="M1676" s="1" t="str">
        <f>"湖北省 武汉市 硚口区 "</f>
        <v xml:space="preserve">湖北省 武汉市 硚口区 </v>
      </c>
      <c r="N1676" s="1" t="str">
        <f t="shared" si="533"/>
        <v>凡华云仓-城南圆通-微信视频号</v>
      </c>
      <c r="O1676" s="5" t="s">
        <v>1714</v>
      </c>
      <c r="P1676" s="6">
        <v>0.17</v>
      </c>
      <c r="Q1676" s="11">
        <v>2</v>
      </c>
      <c r="R1676" s="11"/>
      <c r="S1676" s="11"/>
      <c r="T1676" s="11"/>
      <c r="U1676" s="11">
        <f t="shared" si="544"/>
        <v>2</v>
      </c>
      <c r="W1676">
        <v>2.2000000000000002</v>
      </c>
      <c r="X1676" s="1" t="s">
        <v>41</v>
      </c>
    </row>
    <row r="1677" spans="1:24" x14ac:dyDescent="0.25">
      <c r="A1677" s="1" t="str">
        <f t="shared" si="540"/>
        <v>卡卡杜-凤凰仓</v>
      </c>
      <c r="B1677" s="1" t="str">
        <f>"CK20241028560"</f>
        <v>CK20241028560</v>
      </c>
      <c r="C1677" s="1" t="str">
        <f>"DD2024102820095"</f>
        <v>DD2024102820095</v>
      </c>
      <c r="D1677" s="1" t="str">
        <f>"CK202410289797"</f>
        <v>CK202410289797</v>
      </c>
      <c r="E1677" s="1" t="str">
        <f>"3723605087992546816"</f>
        <v>3723605087992546816</v>
      </c>
      <c r="F1677" s="1" t="str">
        <f t="shared" si="541"/>
        <v>花都四部-凤凰仓</v>
      </c>
      <c r="G1677" s="1" t="str">
        <f t="shared" si="538"/>
        <v>卡卡杜企业店（视频号）</v>
      </c>
      <c r="H1677" s="1" t="str">
        <f t="shared" si="542"/>
        <v>正常订单</v>
      </c>
      <c r="I1677" s="1" t="str">
        <f t="shared" si="543"/>
        <v>已发货</v>
      </c>
      <c r="J1677" s="1" t="str">
        <f t="shared" si="539"/>
        <v>2</v>
      </c>
      <c r="K1677" s="1">
        <v>2</v>
      </c>
      <c r="L1677" s="1" t="s">
        <v>80</v>
      </c>
      <c r="M1677" s="1" t="str">
        <f>"河南省 平顶山市 新华区 "</f>
        <v xml:space="preserve">河南省 平顶山市 新华区 </v>
      </c>
      <c r="N1677" s="1" t="str">
        <f t="shared" si="533"/>
        <v>凡华云仓-城南圆通-微信视频号</v>
      </c>
      <c r="O1677" s="5" t="s">
        <v>1715</v>
      </c>
      <c r="P1677" s="6">
        <v>0.17</v>
      </c>
      <c r="Q1677" s="11">
        <v>2</v>
      </c>
      <c r="R1677" s="11"/>
      <c r="S1677" s="11"/>
      <c r="T1677" s="11"/>
      <c r="U1677" s="11">
        <f t="shared" si="544"/>
        <v>2</v>
      </c>
      <c r="W1677">
        <v>2.2000000000000002</v>
      </c>
      <c r="X1677" s="1" t="s">
        <v>80</v>
      </c>
    </row>
    <row r="1678" spans="1:24" x14ac:dyDescent="0.25">
      <c r="A1678" s="1" t="str">
        <f t="shared" si="540"/>
        <v>卡卡杜-凤凰仓</v>
      </c>
      <c r="B1678" s="1" t="str">
        <f>"CK20241028559"</f>
        <v>CK20241028559</v>
      </c>
      <c r="C1678" s="1" t="str">
        <f>"DD2024102820094"</f>
        <v>DD2024102820094</v>
      </c>
      <c r="D1678" s="1" t="str">
        <f>"CK202410289796"</f>
        <v>CK202410289796</v>
      </c>
      <c r="E1678" s="1" t="str">
        <f>"3723605088604656640"</f>
        <v>3723605088604656640</v>
      </c>
      <c r="F1678" s="1" t="str">
        <f t="shared" si="541"/>
        <v>花都四部-凤凰仓</v>
      </c>
      <c r="G1678" s="1" t="str">
        <f t="shared" si="538"/>
        <v>卡卡杜企业店（视频号）</v>
      </c>
      <c r="H1678" s="1" t="str">
        <f t="shared" si="542"/>
        <v>正常订单</v>
      </c>
      <c r="I1678" s="1" t="str">
        <f t="shared" si="543"/>
        <v>已发货</v>
      </c>
      <c r="J1678" s="1" t="str">
        <f t="shared" si="539"/>
        <v>2</v>
      </c>
      <c r="K1678" s="1">
        <v>2</v>
      </c>
      <c r="L1678" s="1" t="s">
        <v>105</v>
      </c>
      <c r="M1678" s="1" t="str">
        <f>"北京 北京市 丰台区 "</f>
        <v xml:space="preserve">北京 北京市 丰台区 </v>
      </c>
      <c r="N1678" s="1" t="str">
        <f t="shared" si="533"/>
        <v>凡华云仓-城南圆通-微信视频号</v>
      </c>
      <c r="O1678" s="5" t="s">
        <v>1716</v>
      </c>
      <c r="P1678" s="6">
        <v>0.17</v>
      </c>
      <c r="Q1678" s="11">
        <v>2</v>
      </c>
      <c r="R1678" s="11"/>
      <c r="S1678" s="11"/>
      <c r="T1678" s="11"/>
      <c r="U1678" s="11">
        <f t="shared" si="544"/>
        <v>2</v>
      </c>
      <c r="W1678">
        <v>2.2000000000000002</v>
      </c>
      <c r="X1678" s="1" t="s">
        <v>105</v>
      </c>
    </row>
    <row r="1679" spans="1:24" x14ac:dyDescent="0.25">
      <c r="A1679" s="1" t="str">
        <f t="shared" si="540"/>
        <v>卡卡杜-凤凰仓</v>
      </c>
      <c r="B1679" s="1" t="str">
        <f>"CK20241028554"</f>
        <v>CK20241028554</v>
      </c>
      <c r="C1679" s="1" t="str">
        <f>"DD2024102820093"</f>
        <v>DD2024102820093</v>
      </c>
      <c r="D1679" s="1" t="str">
        <f>"CK202410289795"</f>
        <v>CK202410289795</v>
      </c>
      <c r="E1679" s="1" t="str">
        <f>"3723605089873429760"</f>
        <v>3723605089873429760</v>
      </c>
      <c r="F1679" s="1" t="str">
        <f t="shared" si="541"/>
        <v>花都四部-凤凰仓</v>
      </c>
      <c r="G1679" s="1" t="str">
        <f t="shared" si="538"/>
        <v>卡卡杜企业店（视频号）</v>
      </c>
      <c r="H1679" s="1" t="str">
        <f t="shared" si="542"/>
        <v>正常订单</v>
      </c>
      <c r="I1679" s="1" t="str">
        <f t="shared" si="543"/>
        <v>已发货</v>
      </c>
      <c r="J1679" s="1" t="str">
        <f t="shared" si="539"/>
        <v>2</v>
      </c>
      <c r="K1679" s="1">
        <v>2</v>
      </c>
      <c r="L1679" s="1" t="s">
        <v>13</v>
      </c>
      <c r="M1679" s="1" t="str">
        <f>"江苏省 宿迁市 宿城区 "</f>
        <v xml:space="preserve">江苏省 宿迁市 宿城区 </v>
      </c>
      <c r="N1679" s="1" t="str">
        <f t="shared" si="533"/>
        <v>凡华云仓-城南圆通-微信视频号</v>
      </c>
      <c r="O1679" s="5" t="s">
        <v>1717</v>
      </c>
      <c r="P1679" s="6">
        <v>0.17</v>
      </c>
      <c r="Q1679" s="11">
        <v>2</v>
      </c>
      <c r="R1679" s="11"/>
      <c r="S1679" s="11"/>
      <c r="T1679" s="11"/>
      <c r="U1679" s="11">
        <f t="shared" si="544"/>
        <v>2</v>
      </c>
      <c r="W1679">
        <v>2.2000000000000002</v>
      </c>
      <c r="X1679" s="1" t="s">
        <v>13</v>
      </c>
    </row>
    <row r="1680" spans="1:24" x14ac:dyDescent="0.25">
      <c r="A1680" s="1" t="str">
        <f t="shared" si="540"/>
        <v>卡卡杜-凤凰仓</v>
      </c>
      <c r="B1680" s="1" t="str">
        <f>"CK20241028558"</f>
        <v>CK20241028558</v>
      </c>
      <c r="C1680" s="1" t="str">
        <f>"DD2024102820092"</f>
        <v>DD2024102820092</v>
      </c>
      <c r="D1680" s="1" t="str">
        <f>"CK202410289794"</f>
        <v>CK202410289794</v>
      </c>
      <c r="E1680" s="1" t="str">
        <f>"3723605086507502592"</f>
        <v>3723605086507502592</v>
      </c>
      <c r="F1680" s="1" t="str">
        <f t="shared" si="541"/>
        <v>花都四部-凤凰仓</v>
      </c>
      <c r="G1680" s="1" t="str">
        <f t="shared" si="538"/>
        <v>卡卡杜企业店（视频号）</v>
      </c>
      <c r="H1680" s="1" t="str">
        <f t="shared" si="542"/>
        <v>正常订单</v>
      </c>
      <c r="I1680" s="1" t="str">
        <f t="shared" si="543"/>
        <v>已发货</v>
      </c>
      <c r="J1680" s="1" t="str">
        <f t="shared" si="539"/>
        <v>2</v>
      </c>
      <c r="K1680" s="1">
        <v>2</v>
      </c>
      <c r="L1680" s="1" t="s">
        <v>1111</v>
      </c>
      <c r="M1680" s="1" t="str">
        <f>"青海省 西宁市 城西区 "</f>
        <v xml:space="preserve">青海省 西宁市 城西区 </v>
      </c>
      <c r="N1680" s="1" t="str">
        <f t="shared" si="533"/>
        <v>凡华云仓-城南圆通-微信视频号</v>
      </c>
      <c r="O1680" s="5" t="s">
        <v>1718</v>
      </c>
      <c r="P1680" s="6">
        <v>0.17</v>
      </c>
      <c r="Q1680" s="11">
        <v>2</v>
      </c>
      <c r="R1680" s="11"/>
      <c r="S1680" s="11"/>
      <c r="T1680" s="11"/>
      <c r="U1680" s="11">
        <f t="shared" si="544"/>
        <v>2</v>
      </c>
      <c r="W1680">
        <v>2.2000000000000002</v>
      </c>
      <c r="X1680" s="1" t="s">
        <v>1111</v>
      </c>
    </row>
    <row r="1681" spans="1:24" x14ac:dyDescent="0.25">
      <c r="A1681" s="1" t="str">
        <f t="shared" si="540"/>
        <v>卡卡杜-凤凰仓</v>
      </c>
      <c r="B1681" s="1" t="str">
        <f>"CK20241028557"</f>
        <v>CK20241028557</v>
      </c>
      <c r="C1681" s="1" t="str">
        <f>"DD2024102820091"</f>
        <v>DD2024102820091</v>
      </c>
      <c r="D1681" s="1" t="str">
        <f>"CK202410289793"</f>
        <v>CK202410289793</v>
      </c>
      <c r="E1681" s="1" t="str">
        <f>"3723605089158825216"</f>
        <v>3723605089158825216</v>
      </c>
      <c r="F1681" s="1" t="str">
        <f t="shared" si="541"/>
        <v>花都四部-凤凰仓</v>
      </c>
      <c r="G1681" s="1" t="str">
        <f t="shared" si="538"/>
        <v>卡卡杜企业店（视频号）</v>
      </c>
      <c r="H1681" s="1" t="str">
        <f t="shared" si="542"/>
        <v>正常订单</v>
      </c>
      <c r="I1681" s="1" t="str">
        <f t="shared" si="543"/>
        <v>已发货</v>
      </c>
      <c r="J1681" s="1" t="str">
        <f t="shared" si="539"/>
        <v>2</v>
      </c>
      <c r="K1681" s="1">
        <v>2</v>
      </c>
      <c r="L1681" s="1" t="s">
        <v>47</v>
      </c>
      <c r="M1681" s="1" t="str">
        <f>"重庆 重庆市 重庆市 "</f>
        <v xml:space="preserve">重庆 重庆市 重庆市 </v>
      </c>
      <c r="N1681" s="1" t="str">
        <f t="shared" si="533"/>
        <v>凡华云仓-城南圆通-微信视频号</v>
      </c>
      <c r="O1681" s="5" t="s">
        <v>1719</v>
      </c>
      <c r="P1681" s="6">
        <v>0.17</v>
      </c>
      <c r="Q1681" s="11">
        <v>2</v>
      </c>
      <c r="R1681" s="11"/>
      <c r="S1681" s="11"/>
      <c r="T1681" s="11"/>
      <c r="U1681" s="11">
        <f t="shared" si="544"/>
        <v>2</v>
      </c>
      <c r="W1681">
        <v>2.2000000000000002</v>
      </c>
      <c r="X1681" s="1" t="s">
        <v>47</v>
      </c>
    </row>
    <row r="1682" spans="1:24" x14ac:dyDescent="0.25">
      <c r="A1682" s="1" t="str">
        <f t="shared" si="540"/>
        <v>卡卡杜-凤凰仓</v>
      </c>
      <c r="B1682" s="1" t="str">
        <f>"CK20241028553"</f>
        <v>CK20241028553</v>
      </c>
      <c r="C1682" s="1" t="str">
        <f>"DD2024102820090"</f>
        <v>DD2024102820090</v>
      </c>
      <c r="D1682" s="1" t="str">
        <f>"CK202410289792"</f>
        <v>CK202410289792</v>
      </c>
      <c r="E1682" s="1" t="str">
        <f>"3723605089998476288"</f>
        <v>3723605089998476288</v>
      </c>
      <c r="F1682" s="1" t="str">
        <f t="shared" si="541"/>
        <v>花都四部-凤凰仓</v>
      </c>
      <c r="G1682" s="1" t="str">
        <f t="shared" si="538"/>
        <v>卡卡杜企业店（视频号）</v>
      </c>
      <c r="H1682" s="1" t="str">
        <f t="shared" si="542"/>
        <v>正常订单</v>
      </c>
      <c r="I1682" s="1" t="str">
        <f t="shared" si="543"/>
        <v>已发货</v>
      </c>
      <c r="J1682" s="1" t="str">
        <f t="shared" si="539"/>
        <v>2</v>
      </c>
      <c r="K1682" s="1">
        <v>2</v>
      </c>
      <c r="L1682" s="1" t="s">
        <v>92</v>
      </c>
      <c r="M1682" s="1" t="str">
        <f>"辽宁省 盘锦市 兴隆台区 "</f>
        <v xml:space="preserve">辽宁省 盘锦市 兴隆台区 </v>
      </c>
      <c r="N1682" s="1" t="str">
        <f t="shared" si="533"/>
        <v>凡华云仓-城南圆通-微信视频号</v>
      </c>
      <c r="O1682" s="5" t="s">
        <v>1720</v>
      </c>
      <c r="P1682" s="6">
        <v>0.17</v>
      </c>
      <c r="Q1682" s="11">
        <v>2</v>
      </c>
      <c r="R1682" s="11"/>
      <c r="S1682" s="11"/>
      <c r="T1682" s="11"/>
      <c r="U1682" s="11">
        <f t="shared" si="544"/>
        <v>2</v>
      </c>
      <c r="W1682">
        <v>2.2000000000000002</v>
      </c>
      <c r="X1682" s="1" t="s">
        <v>92</v>
      </c>
    </row>
    <row r="1683" spans="1:24" x14ac:dyDescent="0.25">
      <c r="A1683" s="1" t="str">
        <f t="shared" si="540"/>
        <v>卡卡杜-凤凰仓</v>
      </c>
      <c r="B1683" s="1" t="str">
        <f>"CK20241028555"</f>
        <v>CK20241028555</v>
      </c>
      <c r="C1683" s="1" t="str">
        <f>"DD2024102820089"</f>
        <v>DD2024102820089</v>
      </c>
      <c r="D1683" s="1" t="str">
        <f>"CK202410289791"</f>
        <v>CK202410289791</v>
      </c>
      <c r="E1683" s="1" t="str">
        <f>"3723605089368278528"</f>
        <v>3723605089368278528</v>
      </c>
      <c r="F1683" s="1" t="str">
        <f t="shared" si="541"/>
        <v>花都四部-凤凰仓</v>
      </c>
      <c r="G1683" s="1" t="str">
        <f t="shared" si="538"/>
        <v>卡卡杜企业店（视频号）</v>
      </c>
      <c r="H1683" s="1" t="str">
        <f t="shared" si="542"/>
        <v>正常订单</v>
      </c>
      <c r="I1683" s="1" t="str">
        <f t="shared" si="543"/>
        <v>已发货</v>
      </c>
      <c r="J1683" s="1" t="str">
        <f t="shared" si="539"/>
        <v>2</v>
      </c>
      <c r="K1683" s="1">
        <v>2</v>
      </c>
      <c r="L1683" s="1" t="s">
        <v>60</v>
      </c>
      <c r="M1683" s="1" t="str">
        <f>"云南省 西双版纳傣族自治州 景洪市 "</f>
        <v xml:space="preserve">云南省 西双版纳傣族自治州 景洪市 </v>
      </c>
      <c r="N1683" s="1" t="str">
        <f t="shared" si="533"/>
        <v>凡华云仓-城南圆通-微信视频号</v>
      </c>
      <c r="O1683" s="5" t="s">
        <v>1721</v>
      </c>
      <c r="P1683" s="6">
        <v>0.17</v>
      </c>
      <c r="Q1683" s="11">
        <v>2</v>
      </c>
      <c r="R1683" s="11"/>
      <c r="S1683" s="11"/>
      <c r="T1683" s="11"/>
      <c r="U1683" s="11">
        <f t="shared" si="544"/>
        <v>2</v>
      </c>
      <c r="W1683">
        <v>2.2000000000000002</v>
      </c>
      <c r="X1683" s="1" t="s">
        <v>60</v>
      </c>
    </row>
    <row r="1684" spans="1:24" x14ac:dyDescent="0.25">
      <c r="A1684" s="1" t="str">
        <f t="shared" si="540"/>
        <v>卡卡杜-凤凰仓</v>
      </c>
      <c r="B1684" s="1" t="str">
        <f>"CK20241028556"</f>
        <v>CK20241028556</v>
      </c>
      <c r="C1684" s="1" t="str">
        <f>"DD2024102820088"</f>
        <v>DD2024102820088</v>
      </c>
      <c r="D1684" s="1" t="str">
        <f>"CK202410289790"</f>
        <v>CK202410289790</v>
      </c>
      <c r="E1684" s="1" t="str">
        <f>"3723605089170884096"</f>
        <v>3723605089170884096</v>
      </c>
      <c r="F1684" s="1" t="str">
        <f t="shared" si="541"/>
        <v>花都四部-凤凰仓</v>
      </c>
      <c r="G1684" s="1" t="str">
        <f t="shared" si="538"/>
        <v>卡卡杜企业店（视频号）</v>
      </c>
      <c r="H1684" s="1" t="str">
        <f t="shared" si="542"/>
        <v>正常订单</v>
      </c>
      <c r="I1684" s="1" t="str">
        <f t="shared" si="543"/>
        <v>已发货</v>
      </c>
      <c r="J1684" s="1" t="str">
        <f t="shared" si="539"/>
        <v>2</v>
      </c>
      <c r="K1684" s="1">
        <v>2</v>
      </c>
      <c r="L1684" s="1" t="s">
        <v>92</v>
      </c>
      <c r="M1684" s="1" t="str">
        <f>"辽宁省 沈阳市 沈北新区 "</f>
        <v xml:space="preserve">辽宁省 沈阳市 沈北新区 </v>
      </c>
      <c r="N1684" s="1" t="str">
        <f t="shared" si="533"/>
        <v>凡华云仓-城南圆通-微信视频号</v>
      </c>
      <c r="O1684" s="5" t="s">
        <v>1722</v>
      </c>
      <c r="P1684" s="6">
        <v>0.17</v>
      </c>
      <c r="Q1684" s="11">
        <v>2</v>
      </c>
      <c r="R1684" s="11"/>
      <c r="S1684" s="11"/>
      <c r="T1684" s="11"/>
      <c r="U1684" s="11">
        <f t="shared" si="544"/>
        <v>2</v>
      </c>
      <c r="W1684">
        <v>2.2000000000000002</v>
      </c>
      <c r="X1684" s="1" t="s">
        <v>92</v>
      </c>
    </row>
    <row r="1685" spans="1:24" x14ac:dyDescent="0.25">
      <c r="A1685" s="1" t="str">
        <f t="shared" si="540"/>
        <v>卡卡杜-凤凰仓</v>
      </c>
      <c r="B1685" s="1" t="str">
        <f>"CK20241028549"</f>
        <v>CK20241028549</v>
      </c>
      <c r="C1685" s="1" t="str">
        <f>"DD2024102820087"</f>
        <v>DD2024102820087</v>
      </c>
      <c r="D1685" s="1" t="str">
        <f>"CK202410289789"</f>
        <v>CK202410289789</v>
      </c>
      <c r="E1685" s="1" t="str">
        <f>"3723605093685791744"</f>
        <v>3723605093685791744</v>
      </c>
      <c r="F1685" s="1" t="str">
        <f t="shared" si="541"/>
        <v>花都四部-凤凰仓</v>
      </c>
      <c r="G1685" s="1" t="str">
        <f t="shared" si="538"/>
        <v>卡卡杜企业店（视频号）</v>
      </c>
      <c r="H1685" s="1" t="str">
        <f t="shared" si="542"/>
        <v>正常订单</v>
      </c>
      <c r="I1685" s="1" t="str">
        <f t="shared" si="543"/>
        <v>已发货</v>
      </c>
      <c r="J1685" s="1" t="str">
        <f t="shared" si="539"/>
        <v>2</v>
      </c>
      <c r="K1685" s="1">
        <v>2</v>
      </c>
      <c r="L1685" s="1" t="s">
        <v>52</v>
      </c>
      <c r="M1685" s="1" t="str">
        <f>"甘肃省 兰州市 榆中县 "</f>
        <v xml:space="preserve">甘肃省 兰州市 榆中县 </v>
      </c>
      <c r="N1685" s="1" t="str">
        <f t="shared" si="533"/>
        <v>凡华云仓-城南圆通-微信视频号</v>
      </c>
      <c r="O1685" s="5" t="s">
        <v>1723</v>
      </c>
      <c r="P1685" s="6">
        <v>0.17</v>
      </c>
      <c r="Q1685" s="11">
        <v>2</v>
      </c>
      <c r="R1685" s="11"/>
      <c r="S1685" s="11"/>
      <c r="T1685" s="11"/>
      <c r="U1685" s="11">
        <f t="shared" si="544"/>
        <v>2</v>
      </c>
      <c r="W1685">
        <v>2.2000000000000002</v>
      </c>
      <c r="X1685" s="1" t="s">
        <v>52</v>
      </c>
    </row>
    <row r="1686" spans="1:24" x14ac:dyDescent="0.25">
      <c r="A1686" s="1" t="str">
        <f t="shared" si="540"/>
        <v>卡卡杜-凤凰仓</v>
      </c>
      <c r="B1686" s="1" t="str">
        <f>"CK20241028552"</f>
        <v>CK20241028552</v>
      </c>
      <c r="C1686" s="1" t="str">
        <f>"DD2024102820086"</f>
        <v>DD2024102820086</v>
      </c>
      <c r="D1686" s="1" t="str">
        <f>"CK202410289788"</f>
        <v>CK202410289788</v>
      </c>
      <c r="E1686" s="1" t="str">
        <f>"3723605090648068096"</f>
        <v>3723605090648068096</v>
      </c>
      <c r="F1686" s="1" t="str">
        <f t="shared" si="541"/>
        <v>花都四部-凤凰仓</v>
      </c>
      <c r="G1686" s="1" t="str">
        <f t="shared" si="538"/>
        <v>卡卡杜企业店（视频号）</v>
      </c>
      <c r="H1686" s="1" t="str">
        <f t="shared" si="542"/>
        <v>正常订单</v>
      </c>
      <c r="I1686" s="1" t="str">
        <f t="shared" si="543"/>
        <v>已发货</v>
      </c>
      <c r="J1686" s="1" t="str">
        <f t="shared" si="539"/>
        <v>2</v>
      </c>
      <c r="K1686" s="1">
        <v>2</v>
      </c>
      <c r="L1686" s="1" t="s">
        <v>13</v>
      </c>
      <c r="M1686" s="1" t="str">
        <f>"江苏省 南通市 崇川区 "</f>
        <v xml:space="preserve">江苏省 南通市 崇川区 </v>
      </c>
      <c r="N1686" s="1" t="str">
        <f t="shared" si="533"/>
        <v>凡华云仓-城南圆通-微信视频号</v>
      </c>
      <c r="O1686" s="5" t="s">
        <v>1724</v>
      </c>
      <c r="P1686" s="6">
        <v>0.17</v>
      </c>
      <c r="Q1686" s="11">
        <v>2</v>
      </c>
      <c r="R1686" s="11"/>
      <c r="S1686" s="11"/>
      <c r="T1686" s="11"/>
      <c r="U1686" s="11">
        <f t="shared" si="544"/>
        <v>2</v>
      </c>
      <c r="W1686">
        <v>2.2000000000000002</v>
      </c>
      <c r="X1686" s="1" t="s">
        <v>13</v>
      </c>
    </row>
    <row r="1687" spans="1:24" x14ac:dyDescent="0.25">
      <c r="A1687" s="1" t="str">
        <f t="shared" si="540"/>
        <v>卡卡杜-凤凰仓</v>
      </c>
      <c r="B1687" s="1" t="str">
        <f>"CK20241028550"</f>
        <v>CK20241028550</v>
      </c>
      <c r="C1687" s="1" t="str">
        <f>"DD2024102820085"</f>
        <v>DD2024102820085</v>
      </c>
      <c r="D1687" s="1" t="str">
        <f>"CK202410289787"</f>
        <v>CK202410289787</v>
      </c>
      <c r="E1687" s="1" t="str">
        <f>"3723605092964897792"</f>
        <v>3723605092964897792</v>
      </c>
      <c r="F1687" s="1" t="str">
        <f t="shared" si="541"/>
        <v>花都四部-凤凰仓</v>
      </c>
      <c r="G1687" s="1" t="str">
        <f t="shared" si="538"/>
        <v>卡卡杜企业店（视频号）</v>
      </c>
      <c r="H1687" s="1" t="str">
        <f t="shared" si="542"/>
        <v>正常订单</v>
      </c>
      <c r="I1687" s="1" t="str">
        <f t="shared" si="543"/>
        <v>已发货</v>
      </c>
      <c r="J1687" s="1" t="str">
        <f t="shared" si="539"/>
        <v>2</v>
      </c>
      <c r="K1687" s="1">
        <v>2</v>
      </c>
      <c r="L1687" s="1" t="s">
        <v>105</v>
      </c>
      <c r="M1687" s="1" t="str">
        <f>"北京 北京市 朝阳区 "</f>
        <v xml:space="preserve">北京 北京市 朝阳区 </v>
      </c>
      <c r="N1687" s="1" t="str">
        <f t="shared" si="533"/>
        <v>凡华云仓-城南圆通-微信视频号</v>
      </c>
      <c r="O1687" s="5" t="s">
        <v>1725</v>
      </c>
      <c r="P1687" s="6">
        <v>0.17</v>
      </c>
      <c r="Q1687" s="11">
        <v>2</v>
      </c>
      <c r="R1687" s="11"/>
      <c r="S1687" s="11"/>
      <c r="T1687" s="11"/>
      <c r="U1687" s="11">
        <f t="shared" si="544"/>
        <v>2</v>
      </c>
      <c r="W1687">
        <v>2.2000000000000002</v>
      </c>
      <c r="X1687" s="1" t="s">
        <v>105</v>
      </c>
    </row>
    <row r="1688" spans="1:24" x14ac:dyDescent="0.25">
      <c r="A1688" s="1" t="str">
        <f t="shared" si="540"/>
        <v>卡卡杜-凤凰仓</v>
      </c>
      <c r="B1688" s="1" t="str">
        <f>"CK20241028551"</f>
        <v>CK20241028551</v>
      </c>
      <c r="C1688" s="1" t="str">
        <f>"DD2024102820084"</f>
        <v>DD2024102820084</v>
      </c>
      <c r="D1688" s="1" t="str">
        <f>"CK202410289786"</f>
        <v>CK202410289786</v>
      </c>
      <c r="E1688" s="1" t="str">
        <f>"3723605091759031552"</f>
        <v>3723605091759031552</v>
      </c>
      <c r="F1688" s="1" t="str">
        <f t="shared" si="541"/>
        <v>花都四部-凤凰仓</v>
      </c>
      <c r="G1688" s="1" t="str">
        <f t="shared" si="538"/>
        <v>卡卡杜企业店（视频号）</v>
      </c>
      <c r="H1688" s="1" t="str">
        <f t="shared" si="542"/>
        <v>正常订单</v>
      </c>
      <c r="I1688" s="1" t="str">
        <f t="shared" si="543"/>
        <v>已发货</v>
      </c>
      <c r="J1688" s="1" t="str">
        <f t="shared" si="539"/>
        <v>2</v>
      </c>
      <c r="K1688" s="1">
        <v>2</v>
      </c>
      <c r="L1688" s="1" t="s">
        <v>74</v>
      </c>
      <c r="M1688" s="1" t="str">
        <f>"上海 上海市 松江区 "</f>
        <v xml:space="preserve">上海 上海市 松江区 </v>
      </c>
      <c r="N1688" s="1" t="str">
        <f t="shared" si="533"/>
        <v>凡华云仓-城南圆通-微信视频号</v>
      </c>
      <c r="O1688" s="5" t="s">
        <v>1726</v>
      </c>
      <c r="P1688" s="6">
        <v>0.17</v>
      </c>
      <c r="Q1688" s="11">
        <v>2</v>
      </c>
      <c r="R1688" s="11"/>
      <c r="S1688" s="11"/>
      <c r="T1688" s="11"/>
      <c r="U1688" s="11">
        <f t="shared" si="544"/>
        <v>2</v>
      </c>
      <c r="W1688">
        <v>2.2000000000000002</v>
      </c>
      <c r="X1688" s="1" t="s">
        <v>74</v>
      </c>
    </row>
    <row r="1689" spans="1:24" x14ac:dyDescent="0.25">
      <c r="A1689" s="1" t="str">
        <f t="shared" si="540"/>
        <v>卡卡杜-凤凰仓</v>
      </c>
      <c r="B1689" s="1" t="str">
        <f>"CK20241028548"</f>
        <v>CK20241028548</v>
      </c>
      <c r="C1689" s="1" t="str">
        <f>"DD2024102820083"</f>
        <v>DD2024102820083</v>
      </c>
      <c r="D1689" s="1" t="str">
        <f>"CK202410289785"</f>
        <v>CK202410289785</v>
      </c>
      <c r="E1689" s="1" t="str">
        <f>"3723605091825357824"</f>
        <v>3723605091825357824</v>
      </c>
      <c r="F1689" s="1" t="str">
        <f t="shared" si="541"/>
        <v>花都四部-凤凰仓</v>
      </c>
      <c r="G1689" s="1" t="str">
        <f t="shared" si="538"/>
        <v>卡卡杜企业店（视频号）</v>
      </c>
      <c r="H1689" s="1" t="str">
        <f t="shared" si="542"/>
        <v>正常订单</v>
      </c>
      <c r="I1689" s="1" t="str">
        <f t="shared" si="543"/>
        <v>已发货</v>
      </c>
      <c r="J1689" s="1" t="str">
        <f t="shared" si="539"/>
        <v>2</v>
      </c>
      <c r="K1689" s="1">
        <v>2</v>
      </c>
      <c r="L1689" s="1" t="s">
        <v>105</v>
      </c>
      <c r="M1689" s="1" t="str">
        <f>"北京 北京市 房山区 "</f>
        <v xml:space="preserve">北京 北京市 房山区 </v>
      </c>
      <c r="N1689" s="1" t="str">
        <f t="shared" si="533"/>
        <v>凡华云仓-城南圆通-微信视频号</v>
      </c>
      <c r="O1689" s="5" t="s">
        <v>1727</v>
      </c>
      <c r="P1689" s="6">
        <v>0.17</v>
      </c>
      <c r="Q1689" s="11">
        <v>2</v>
      </c>
      <c r="R1689" s="11"/>
      <c r="S1689" s="11"/>
      <c r="T1689" s="11"/>
      <c r="U1689" s="11">
        <f t="shared" si="544"/>
        <v>2</v>
      </c>
      <c r="W1689">
        <v>2.2000000000000002</v>
      </c>
      <c r="X1689" s="1" t="s">
        <v>105</v>
      </c>
    </row>
    <row r="1690" spans="1:24" x14ac:dyDescent="0.25">
      <c r="A1690" s="1" t="str">
        <f t="shared" si="540"/>
        <v>卡卡杜-凤凰仓</v>
      </c>
      <c r="B1690" s="1" t="str">
        <f>"CK20241028547"</f>
        <v>CK20241028547</v>
      </c>
      <c r="C1690" s="1" t="str">
        <f>"DD2024102820082"</f>
        <v>DD2024102820082</v>
      </c>
      <c r="D1690" s="1" t="str">
        <f>"CK202410289784"</f>
        <v>CK202410289784</v>
      </c>
      <c r="E1690" s="1" t="str">
        <f>"3723605094374183936"</f>
        <v>3723605094374183936</v>
      </c>
      <c r="F1690" s="1" t="str">
        <f t="shared" si="541"/>
        <v>花都四部-凤凰仓</v>
      </c>
      <c r="G1690" s="1" t="str">
        <f t="shared" si="538"/>
        <v>卡卡杜企业店（视频号）</v>
      </c>
      <c r="H1690" s="1" t="str">
        <f t="shared" si="542"/>
        <v>正常订单</v>
      </c>
      <c r="I1690" s="1" t="str">
        <f t="shared" si="543"/>
        <v>已发货</v>
      </c>
      <c r="J1690" s="1" t="str">
        <f t="shared" si="539"/>
        <v>2</v>
      </c>
      <c r="K1690" s="1">
        <v>2</v>
      </c>
      <c r="L1690" s="1" t="s">
        <v>187</v>
      </c>
      <c r="M1690" s="1" t="str">
        <f>"吉林省 延边朝鲜族自治州 延吉市 "</f>
        <v xml:space="preserve">吉林省 延边朝鲜族自治州 延吉市 </v>
      </c>
      <c r="N1690" s="1" t="str">
        <f t="shared" si="533"/>
        <v>凡华云仓-城南圆通-微信视频号</v>
      </c>
      <c r="O1690" s="5" t="s">
        <v>1728</v>
      </c>
      <c r="P1690" s="6">
        <v>0.17</v>
      </c>
      <c r="Q1690" s="11">
        <v>2</v>
      </c>
      <c r="R1690" s="11"/>
      <c r="S1690" s="11"/>
      <c r="T1690" s="11"/>
      <c r="U1690" s="11">
        <f t="shared" si="544"/>
        <v>2</v>
      </c>
      <c r="W1690">
        <v>2.2000000000000002</v>
      </c>
      <c r="X1690" s="1" t="s">
        <v>187</v>
      </c>
    </row>
    <row r="1691" spans="1:24" x14ac:dyDescent="0.25">
      <c r="A1691" s="1" t="str">
        <f t="shared" si="540"/>
        <v>卡卡杜-凤凰仓</v>
      </c>
      <c r="B1691" s="1" t="str">
        <f>"CK20241028546"</f>
        <v>CK20241028546</v>
      </c>
      <c r="C1691" s="1" t="str">
        <f>"DD2024102820081"</f>
        <v>DD2024102820081</v>
      </c>
      <c r="D1691" s="1" t="str">
        <f>"CK202410289783"</f>
        <v>CK202410289783</v>
      </c>
      <c r="E1691" s="1" t="str">
        <f>"3723605096471594240"</f>
        <v>3723605096471594240</v>
      </c>
      <c r="F1691" s="1" t="str">
        <f t="shared" si="541"/>
        <v>花都四部-凤凰仓</v>
      </c>
      <c r="G1691" s="1" t="str">
        <f t="shared" si="538"/>
        <v>卡卡杜企业店（视频号）</v>
      </c>
      <c r="H1691" s="1" t="str">
        <f t="shared" si="542"/>
        <v>正常订单</v>
      </c>
      <c r="I1691" s="1" t="str">
        <f t="shared" si="543"/>
        <v>已发货</v>
      </c>
      <c r="J1691" s="1" t="str">
        <f t="shared" si="539"/>
        <v>2</v>
      </c>
      <c r="K1691" s="1">
        <v>2</v>
      </c>
      <c r="L1691" s="1" t="s">
        <v>54</v>
      </c>
      <c r="M1691" s="1" t="str">
        <f>"黑龙江省 哈尔滨市 南岗区 "</f>
        <v xml:space="preserve">黑龙江省 哈尔滨市 南岗区 </v>
      </c>
      <c r="N1691" s="1" t="str">
        <f t="shared" si="533"/>
        <v>凡华云仓-城南圆通-微信视频号</v>
      </c>
      <c r="O1691" s="5" t="s">
        <v>1729</v>
      </c>
      <c r="P1691" s="6">
        <v>0.17</v>
      </c>
      <c r="Q1691" s="11">
        <v>2</v>
      </c>
      <c r="R1691" s="11"/>
      <c r="S1691" s="11"/>
      <c r="T1691" s="11"/>
      <c r="U1691" s="11">
        <f t="shared" si="544"/>
        <v>2</v>
      </c>
      <c r="W1691">
        <v>2.2000000000000002</v>
      </c>
      <c r="X1691" s="1" t="s">
        <v>54</v>
      </c>
    </row>
    <row r="1692" spans="1:24" x14ac:dyDescent="0.25">
      <c r="A1692" s="1" t="str">
        <f t="shared" si="540"/>
        <v>卡卡杜-凤凰仓</v>
      </c>
      <c r="B1692" s="1" t="str">
        <f>"CK20241028545"</f>
        <v>CK20241028545</v>
      </c>
      <c r="C1692" s="1" t="str">
        <f>"DD2024102820080"</f>
        <v>DD2024102820080</v>
      </c>
      <c r="D1692" s="1" t="str">
        <f>"CK202410289782"</f>
        <v>CK202410289782</v>
      </c>
      <c r="E1692" s="1" t="str">
        <f>"3723605094869110784"</f>
        <v>3723605094869110784</v>
      </c>
      <c r="F1692" s="1" t="str">
        <f t="shared" si="541"/>
        <v>花都四部-凤凰仓</v>
      </c>
      <c r="G1692" s="1" t="str">
        <f t="shared" si="538"/>
        <v>卡卡杜企业店（视频号）</v>
      </c>
      <c r="H1692" s="1" t="str">
        <f t="shared" si="542"/>
        <v>正常订单</v>
      </c>
      <c r="I1692" s="1" t="str">
        <f t="shared" si="543"/>
        <v>已发货</v>
      </c>
      <c r="J1692" s="1" t="str">
        <f t="shared" si="539"/>
        <v>2</v>
      </c>
      <c r="K1692" s="1">
        <v>2</v>
      </c>
      <c r="L1692" s="1" t="s">
        <v>60</v>
      </c>
      <c r="M1692" s="1" t="str">
        <f>"云南省 普洱市 思茅区 "</f>
        <v xml:space="preserve">云南省 普洱市 思茅区 </v>
      </c>
      <c r="N1692" s="1" t="str">
        <f t="shared" si="533"/>
        <v>凡华云仓-城南圆通-微信视频号</v>
      </c>
      <c r="O1692" s="5" t="s">
        <v>1730</v>
      </c>
      <c r="P1692" s="6">
        <v>0.17</v>
      </c>
      <c r="Q1692" s="11">
        <v>2</v>
      </c>
      <c r="R1692" s="11"/>
      <c r="S1692" s="11"/>
      <c r="T1692" s="11"/>
      <c r="U1692" s="11">
        <f t="shared" si="544"/>
        <v>2</v>
      </c>
      <c r="W1692">
        <v>2.2000000000000002</v>
      </c>
      <c r="X1692" s="1" t="s">
        <v>60</v>
      </c>
    </row>
    <row r="1693" spans="1:24" x14ac:dyDescent="0.25">
      <c r="A1693" s="1" t="str">
        <f t="shared" si="540"/>
        <v>卡卡杜-凤凰仓</v>
      </c>
      <c r="B1693" s="1" t="str">
        <f>"CK20241028544"</f>
        <v>CK20241028544</v>
      </c>
      <c r="C1693" s="1" t="str">
        <f>"DD2024102820079"</f>
        <v>DD2024102820079</v>
      </c>
      <c r="D1693" s="1" t="str">
        <f>"CK202410289781"</f>
        <v>CK202410289781</v>
      </c>
      <c r="E1693" s="1" t="str">
        <f>"3723605096193462272"</f>
        <v>3723605096193462272</v>
      </c>
      <c r="F1693" s="1" t="str">
        <f t="shared" si="541"/>
        <v>花都四部-凤凰仓</v>
      </c>
      <c r="G1693" s="1" t="str">
        <f t="shared" si="538"/>
        <v>卡卡杜企业店（视频号）</v>
      </c>
      <c r="H1693" s="1" t="str">
        <f t="shared" si="542"/>
        <v>正常订单</v>
      </c>
      <c r="I1693" s="1" t="str">
        <f t="shared" si="543"/>
        <v>已发货</v>
      </c>
      <c r="J1693" s="1" t="str">
        <f t="shared" si="539"/>
        <v>2</v>
      </c>
      <c r="K1693" s="1">
        <v>2</v>
      </c>
      <c r="L1693" s="1" t="s">
        <v>13</v>
      </c>
      <c r="M1693" s="1" t="str">
        <f>"江苏省 苏州市 昆山市 "</f>
        <v xml:space="preserve">江苏省 苏州市 昆山市 </v>
      </c>
      <c r="N1693" s="1" t="str">
        <f t="shared" si="533"/>
        <v>凡华云仓-城南圆通-微信视频号</v>
      </c>
      <c r="O1693" s="5" t="s">
        <v>1731</v>
      </c>
      <c r="P1693" s="6">
        <v>0.17</v>
      </c>
      <c r="Q1693" s="11">
        <v>2</v>
      </c>
      <c r="R1693" s="11"/>
      <c r="S1693" s="11"/>
      <c r="T1693" s="11"/>
      <c r="U1693" s="11">
        <f t="shared" si="544"/>
        <v>2</v>
      </c>
      <c r="W1693">
        <v>2.2000000000000002</v>
      </c>
      <c r="X1693" s="1" t="s">
        <v>13</v>
      </c>
    </row>
    <row r="1694" spans="1:24" x14ac:dyDescent="0.25">
      <c r="A1694" s="1" t="str">
        <f t="shared" si="540"/>
        <v>卡卡杜-凤凰仓</v>
      </c>
      <c r="B1694" s="1" t="str">
        <f>"CK20241028543"</f>
        <v>CK20241028543</v>
      </c>
      <c r="C1694" s="1" t="str">
        <f>"DD2024102820078"</f>
        <v>DD2024102820078</v>
      </c>
      <c r="D1694" s="1" t="str">
        <f>"CK202410289780"</f>
        <v>CK202410289780</v>
      </c>
      <c r="E1694" s="1" t="str">
        <f>"3723605098581856256"</f>
        <v>3723605098581856256</v>
      </c>
      <c r="F1694" s="1" t="str">
        <f t="shared" si="541"/>
        <v>花都四部-凤凰仓</v>
      </c>
      <c r="G1694" s="1" t="str">
        <f t="shared" si="538"/>
        <v>卡卡杜企业店（视频号）</v>
      </c>
      <c r="H1694" s="1" t="str">
        <f t="shared" si="542"/>
        <v>正常订单</v>
      </c>
      <c r="I1694" s="1" t="str">
        <f t="shared" si="543"/>
        <v>已发货</v>
      </c>
      <c r="J1694" s="1" t="str">
        <f t="shared" si="539"/>
        <v>2</v>
      </c>
      <c r="K1694" s="1">
        <v>2</v>
      </c>
      <c r="L1694" s="1" t="s">
        <v>187</v>
      </c>
      <c r="M1694" s="1" t="str">
        <f>"吉林省 延边朝鲜族自治州 延吉市 "</f>
        <v xml:space="preserve">吉林省 延边朝鲜族自治州 延吉市 </v>
      </c>
      <c r="N1694" s="1" t="str">
        <f t="shared" ref="N1694:N1757" si="545">"凡华云仓-城南圆通-微信视频号"</f>
        <v>凡华云仓-城南圆通-微信视频号</v>
      </c>
      <c r="O1694" s="5" t="s">
        <v>1732</v>
      </c>
      <c r="P1694" s="6">
        <v>0.17</v>
      </c>
      <c r="Q1694" s="11">
        <v>2</v>
      </c>
      <c r="R1694" s="11"/>
      <c r="S1694" s="11"/>
      <c r="T1694" s="11"/>
      <c r="U1694" s="11">
        <f t="shared" si="544"/>
        <v>2</v>
      </c>
      <c r="W1694">
        <v>2.2000000000000002</v>
      </c>
      <c r="X1694" s="1" t="s">
        <v>187</v>
      </c>
    </row>
    <row r="1695" spans="1:24" x14ac:dyDescent="0.25">
      <c r="A1695" s="1" t="str">
        <f t="shared" si="540"/>
        <v>卡卡杜-凤凰仓</v>
      </c>
      <c r="B1695" s="1" t="str">
        <f>"CK20241028542"</f>
        <v>CK20241028542</v>
      </c>
      <c r="C1695" s="1" t="str">
        <f>"DD2024102820077"</f>
        <v>DD2024102820077</v>
      </c>
      <c r="D1695" s="1" t="str">
        <f>"CK202410289779"</f>
        <v>CK202410289779</v>
      </c>
      <c r="E1695" s="1" t="str">
        <f>"3723605097599341569"</f>
        <v>3723605097599341569</v>
      </c>
      <c r="F1695" s="1" t="str">
        <f t="shared" si="541"/>
        <v>花都四部-凤凰仓</v>
      </c>
      <c r="G1695" s="1" t="str">
        <f t="shared" ref="G1695:G1758" si="546">"卡卡杜企业店（视频号）"</f>
        <v>卡卡杜企业店（视频号）</v>
      </c>
      <c r="H1695" s="1" t="str">
        <f t="shared" si="542"/>
        <v>正常订单</v>
      </c>
      <c r="I1695" s="1" t="str">
        <f t="shared" si="543"/>
        <v>已发货</v>
      </c>
      <c r="J1695" s="1" t="str">
        <f t="shared" si="539"/>
        <v>2</v>
      </c>
      <c r="K1695" s="1">
        <v>2</v>
      </c>
      <c r="L1695" s="1" t="s">
        <v>18</v>
      </c>
      <c r="M1695" s="1" t="str">
        <f>"广东省 深圳市 龙华区 "</f>
        <v xml:space="preserve">广东省 深圳市 龙华区 </v>
      </c>
      <c r="N1695" s="1" t="str">
        <f t="shared" si="545"/>
        <v>凡华云仓-城南圆通-微信视频号</v>
      </c>
      <c r="O1695" s="5" t="s">
        <v>1733</v>
      </c>
      <c r="P1695" s="6">
        <v>0.17</v>
      </c>
      <c r="Q1695" s="11">
        <v>2</v>
      </c>
      <c r="R1695" s="11"/>
      <c r="S1695" s="11"/>
      <c r="T1695" s="11"/>
      <c r="U1695" s="11">
        <f t="shared" si="544"/>
        <v>2</v>
      </c>
      <c r="W1695">
        <v>2.2000000000000002</v>
      </c>
      <c r="X1695" s="1" t="s">
        <v>18</v>
      </c>
    </row>
    <row r="1696" spans="1:24" x14ac:dyDescent="0.25">
      <c r="A1696" s="1" t="str">
        <f t="shared" si="540"/>
        <v>卡卡杜-凤凰仓</v>
      </c>
      <c r="B1696" s="1" t="str">
        <f>"CK20241028541"</f>
        <v>CK20241028541</v>
      </c>
      <c r="C1696" s="1" t="str">
        <f>"DD2024102820076"</f>
        <v>DD2024102820076</v>
      </c>
      <c r="D1696" s="1" t="str">
        <f>"CK202410289778"</f>
        <v>CK202410289778</v>
      </c>
      <c r="E1696" s="1" t="str">
        <f>"3723605101490865664"</f>
        <v>3723605101490865664</v>
      </c>
      <c r="F1696" s="1" t="str">
        <f t="shared" si="541"/>
        <v>花都四部-凤凰仓</v>
      </c>
      <c r="G1696" s="1" t="str">
        <f t="shared" si="546"/>
        <v>卡卡杜企业店（视频号）</v>
      </c>
      <c r="H1696" s="1" t="str">
        <f t="shared" si="542"/>
        <v>正常订单</v>
      </c>
      <c r="I1696" s="1" t="str">
        <f t="shared" si="543"/>
        <v>已发货</v>
      </c>
      <c r="J1696" s="1" t="str">
        <f t="shared" ref="J1696:J1759" si="547">"2"</f>
        <v>2</v>
      </c>
      <c r="K1696" s="1">
        <v>2</v>
      </c>
      <c r="L1696" s="1" t="s">
        <v>44</v>
      </c>
      <c r="M1696" s="1" t="str">
        <f>"海南省 省直辖县级行政区划 乐东黎族自治县 "</f>
        <v xml:space="preserve">海南省 省直辖县级行政区划 乐东黎族自治县 </v>
      </c>
      <c r="N1696" s="1" t="str">
        <f t="shared" si="545"/>
        <v>凡华云仓-城南圆通-微信视频号</v>
      </c>
      <c r="O1696" s="5" t="s">
        <v>1734</v>
      </c>
      <c r="P1696" s="6">
        <v>0.17</v>
      </c>
      <c r="Q1696" s="11">
        <v>2</v>
      </c>
      <c r="R1696" s="11"/>
      <c r="S1696" s="11"/>
      <c r="T1696" s="11"/>
      <c r="U1696" s="11">
        <f t="shared" si="544"/>
        <v>2</v>
      </c>
      <c r="W1696">
        <v>2.2000000000000002</v>
      </c>
      <c r="X1696" s="1" t="s">
        <v>44</v>
      </c>
    </row>
    <row r="1697" spans="1:24" x14ac:dyDescent="0.25">
      <c r="A1697" s="1" t="str">
        <f t="shared" si="540"/>
        <v>卡卡杜-凤凰仓</v>
      </c>
      <c r="B1697" s="1" t="str">
        <f>"CK20241028539"</f>
        <v>CK20241028539</v>
      </c>
      <c r="C1697" s="1" t="str">
        <f>"DD2024102820075"</f>
        <v>DD2024102820075</v>
      </c>
      <c r="D1697" s="1" t="str">
        <f>"CK202410289777"</f>
        <v>CK202410289777</v>
      </c>
      <c r="E1697" s="1" t="str">
        <f>"3723605117718627585"</f>
        <v>3723605117718627585</v>
      </c>
      <c r="F1697" s="1" t="str">
        <f t="shared" si="541"/>
        <v>花都四部-凤凰仓</v>
      </c>
      <c r="G1697" s="1" t="str">
        <f t="shared" si="546"/>
        <v>卡卡杜企业店（视频号）</v>
      </c>
      <c r="H1697" s="1" t="str">
        <f t="shared" si="542"/>
        <v>正常订单</v>
      </c>
      <c r="I1697" s="1" t="str">
        <f t="shared" si="543"/>
        <v>已发货</v>
      </c>
      <c r="J1697" s="1" t="str">
        <f t="shared" si="547"/>
        <v>2</v>
      </c>
      <c r="K1697" s="1">
        <v>2</v>
      </c>
      <c r="L1697" s="1" t="s">
        <v>54</v>
      </c>
      <c r="M1697" s="1" t="str">
        <f>"黑龙江省 哈尔滨市 松北区 "</f>
        <v xml:space="preserve">黑龙江省 哈尔滨市 松北区 </v>
      </c>
      <c r="N1697" s="1" t="str">
        <f t="shared" si="545"/>
        <v>凡华云仓-城南圆通-微信视频号</v>
      </c>
      <c r="O1697" s="5" t="s">
        <v>1735</v>
      </c>
      <c r="P1697" s="6">
        <v>0.17</v>
      </c>
      <c r="Q1697" s="11">
        <v>2</v>
      </c>
      <c r="R1697" s="11"/>
      <c r="S1697" s="11"/>
      <c r="T1697" s="11"/>
      <c r="U1697" s="11">
        <f t="shared" si="544"/>
        <v>2</v>
      </c>
      <c r="W1697">
        <v>2.2000000000000002</v>
      </c>
      <c r="X1697" s="1" t="s">
        <v>54</v>
      </c>
    </row>
    <row r="1698" spans="1:24" x14ac:dyDescent="0.25">
      <c r="A1698" s="1" t="str">
        <f t="shared" si="540"/>
        <v>卡卡杜-凤凰仓</v>
      </c>
      <c r="B1698" s="1" t="str">
        <f>"CK20241028540"</f>
        <v>CK20241028540</v>
      </c>
      <c r="C1698" s="1" t="str">
        <f>"DD2024102820074"</f>
        <v>DD2024102820074</v>
      </c>
      <c r="D1698" s="1" t="str">
        <f>"CK202410289776"</f>
        <v>CK202410289776</v>
      </c>
      <c r="E1698" s="1" t="str">
        <f>"3723605100088395009"</f>
        <v>3723605100088395009</v>
      </c>
      <c r="F1698" s="1" t="str">
        <f t="shared" si="541"/>
        <v>花都四部-凤凰仓</v>
      </c>
      <c r="G1698" s="1" t="str">
        <f t="shared" si="546"/>
        <v>卡卡杜企业店（视频号）</v>
      </c>
      <c r="H1698" s="1" t="str">
        <f t="shared" si="542"/>
        <v>正常订单</v>
      </c>
      <c r="I1698" s="1" t="str">
        <f t="shared" si="543"/>
        <v>已发货</v>
      </c>
      <c r="J1698" s="1" t="str">
        <f t="shared" si="547"/>
        <v>2</v>
      </c>
      <c r="K1698" s="1">
        <v>2</v>
      </c>
      <c r="L1698" s="1" t="s">
        <v>36</v>
      </c>
      <c r="M1698" s="1" t="str">
        <f>"安徽省 阜阳市 颍州区 "</f>
        <v xml:space="preserve">安徽省 阜阳市 颍州区 </v>
      </c>
      <c r="N1698" s="1" t="str">
        <f t="shared" si="545"/>
        <v>凡华云仓-城南圆通-微信视频号</v>
      </c>
      <c r="O1698" s="5" t="s">
        <v>1736</v>
      </c>
      <c r="P1698" s="6">
        <v>0.17</v>
      </c>
      <c r="Q1698" s="11">
        <v>2</v>
      </c>
      <c r="R1698" s="11"/>
      <c r="S1698" s="11"/>
      <c r="T1698" s="11"/>
      <c r="U1698" s="11">
        <f t="shared" si="544"/>
        <v>2</v>
      </c>
      <c r="W1698">
        <v>2.2000000000000002</v>
      </c>
      <c r="X1698" s="1" t="s">
        <v>36</v>
      </c>
    </row>
    <row r="1699" spans="1:24" x14ac:dyDescent="0.25">
      <c r="A1699" s="1" t="str">
        <f t="shared" si="540"/>
        <v>卡卡杜-凤凰仓</v>
      </c>
      <c r="B1699" s="1" t="str">
        <f>"CK20241028538"</f>
        <v>CK20241028538</v>
      </c>
      <c r="C1699" s="1" t="str">
        <f>"DD2024102820073"</f>
        <v>DD2024102820073</v>
      </c>
      <c r="D1699" s="1" t="str">
        <f>"CK202410289775"</f>
        <v>CK202410289775</v>
      </c>
      <c r="E1699" s="1" t="str">
        <f>"3723605146031493121"</f>
        <v>3723605146031493121</v>
      </c>
      <c r="F1699" s="1" t="str">
        <f t="shared" si="541"/>
        <v>花都四部-凤凰仓</v>
      </c>
      <c r="G1699" s="1" t="str">
        <f t="shared" si="546"/>
        <v>卡卡杜企业店（视频号）</v>
      </c>
      <c r="H1699" s="1" t="str">
        <f t="shared" si="542"/>
        <v>正常订单</v>
      </c>
      <c r="I1699" s="1" t="str">
        <f t="shared" si="543"/>
        <v>已发货</v>
      </c>
      <c r="J1699" s="1" t="str">
        <f t="shared" si="547"/>
        <v>2</v>
      </c>
      <c r="K1699" s="1">
        <v>2</v>
      </c>
      <c r="L1699" s="1" t="s">
        <v>105</v>
      </c>
      <c r="M1699" s="1" t="str">
        <f>"北京 北京市 通州区 "</f>
        <v xml:space="preserve">北京 北京市 通州区 </v>
      </c>
      <c r="N1699" s="1" t="str">
        <f t="shared" si="545"/>
        <v>凡华云仓-城南圆通-微信视频号</v>
      </c>
      <c r="O1699" s="5" t="s">
        <v>1737</v>
      </c>
      <c r="P1699" s="6">
        <v>0.17</v>
      </c>
      <c r="Q1699" s="11">
        <v>2</v>
      </c>
      <c r="R1699" s="11"/>
      <c r="S1699" s="11"/>
      <c r="T1699" s="11"/>
      <c r="U1699" s="11">
        <f t="shared" si="544"/>
        <v>2</v>
      </c>
      <c r="W1699">
        <v>2.2000000000000002</v>
      </c>
      <c r="X1699" s="1" t="s">
        <v>105</v>
      </c>
    </row>
    <row r="1700" spans="1:24" x14ac:dyDescent="0.25">
      <c r="A1700" s="1" t="str">
        <f t="shared" si="540"/>
        <v>卡卡杜-凤凰仓</v>
      </c>
      <c r="B1700" s="1" t="str">
        <f>"CK20241028536"</f>
        <v>CK20241028536</v>
      </c>
      <c r="C1700" s="1" t="str">
        <f>"DD2024102820072"</f>
        <v>DD2024102820072</v>
      </c>
      <c r="D1700" s="1" t="str">
        <f>"CK202410289774"</f>
        <v>CK202410289774</v>
      </c>
      <c r="E1700" s="1" t="str">
        <f>"3723605156669821952"</f>
        <v>3723605156669821952</v>
      </c>
      <c r="F1700" s="1" t="str">
        <f t="shared" si="541"/>
        <v>花都四部-凤凰仓</v>
      </c>
      <c r="G1700" s="1" t="str">
        <f t="shared" si="546"/>
        <v>卡卡杜企业店（视频号）</v>
      </c>
      <c r="H1700" s="1" t="str">
        <f t="shared" si="542"/>
        <v>正常订单</v>
      </c>
      <c r="I1700" s="1" t="str">
        <f t="shared" si="543"/>
        <v>已发货</v>
      </c>
      <c r="J1700" s="1" t="str">
        <f t="shared" si="547"/>
        <v>2</v>
      </c>
      <c r="K1700" s="1">
        <v>2</v>
      </c>
      <c r="L1700" s="1" t="s">
        <v>22</v>
      </c>
      <c r="M1700" s="1" t="str">
        <f>"江西省 赣州市 章贡区 "</f>
        <v xml:space="preserve">江西省 赣州市 章贡区 </v>
      </c>
      <c r="N1700" s="1" t="str">
        <f t="shared" si="545"/>
        <v>凡华云仓-城南圆通-微信视频号</v>
      </c>
      <c r="O1700" s="5" t="s">
        <v>1738</v>
      </c>
      <c r="P1700" s="6">
        <v>0.17</v>
      </c>
      <c r="Q1700" s="11">
        <v>2</v>
      </c>
      <c r="R1700" s="11"/>
      <c r="S1700" s="11"/>
      <c r="T1700" s="11"/>
      <c r="U1700" s="11">
        <f t="shared" si="544"/>
        <v>2</v>
      </c>
      <c r="W1700">
        <v>2.2000000000000002</v>
      </c>
      <c r="X1700" s="1" t="s">
        <v>22</v>
      </c>
    </row>
    <row r="1701" spans="1:24" x14ac:dyDescent="0.25">
      <c r="A1701" s="1" t="str">
        <f t="shared" si="540"/>
        <v>卡卡杜-凤凰仓</v>
      </c>
      <c r="B1701" s="1" t="str">
        <f>"CK20241028537"</f>
        <v>CK20241028537</v>
      </c>
      <c r="C1701" s="1" t="str">
        <f>"DD2024102820071"</f>
        <v>DD2024102820071</v>
      </c>
      <c r="D1701" s="1" t="str">
        <f>"CK202410289773"</f>
        <v>CK202410289773</v>
      </c>
      <c r="E1701" s="1" t="str">
        <f>"3723605148152497408"</f>
        <v>3723605148152497408</v>
      </c>
      <c r="F1701" s="1" t="str">
        <f t="shared" si="541"/>
        <v>花都四部-凤凰仓</v>
      </c>
      <c r="G1701" s="1" t="str">
        <f t="shared" si="546"/>
        <v>卡卡杜企业店（视频号）</v>
      </c>
      <c r="H1701" s="1" t="str">
        <f t="shared" si="542"/>
        <v>正常订单</v>
      </c>
      <c r="I1701" s="1" t="str">
        <f t="shared" si="543"/>
        <v>已发货</v>
      </c>
      <c r="J1701" s="1" t="str">
        <f t="shared" si="547"/>
        <v>2</v>
      </c>
      <c r="K1701" s="1">
        <v>2</v>
      </c>
      <c r="L1701" s="1" t="s">
        <v>74</v>
      </c>
      <c r="M1701" s="1" t="str">
        <f>"上海 上海市 徐汇区 "</f>
        <v xml:space="preserve">上海 上海市 徐汇区 </v>
      </c>
      <c r="N1701" s="1" t="str">
        <f t="shared" si="545"/>
        <v>凡华云仓-城南圆通-微信视频号</v>
      </c>
      <c r="O1701" s="5" t="s">
        <v>1739</v>
      </c>
      <c r="P1701" s="6">
        <v>0.17</v>
      </c>
      <c r="Q1701" s="11">
        <v>2</v>
      </c>
      <c r="R1701" s="11"/>
      <c r="S1701" s="11"/>
      <c r="T1701" s="11"/>
      <c r="U1701" s="11">
        <f t="shared" si="544"/>
        <v>2</v>
      </c>
      <c r="W1701">
        <v>2.2000000000000002</v>
      </c>
      <c r="X1701" s="1" t="s">
        <v>74</v>
      </c>
    </row>
    <row r="1702" spans="1:24" x14ac:dyDescent="0.25">
      <c r="A1702" s="1" t="str">
        <f t="shared" si="540"/>
        <v>卡卡杜-凤凰仓</v>
      </c>
      <c r="B1702" s="1" t="str">
        <f>"CK20241028535"</f>
        <v>CK20241028535</v>
      </c>
      <c r="C1702" s="1" t="str">
        <f>"DD2024102820070"</f>
        <v>DD2024102820070</v>
      </c>
      <c r="D1702" s="1" t="str">
        <f>"CK202410289772"</f>
        <v>CK202410289772</v>
      </c>
      <c r="E1702" s="1" t="str">
        <f>"3723605155744714752"</f>
        <v>3723605155744714752</v>
      </c>
      <c r="F1702" s="1" t="str">
        <f t="shared" si="541"/>
        <v>花都四部-凤凰仓</v>
      </c>
      <c r="G1702" s="1" t="str">
        <f t="shared" si="546"/>
        <v>卡卡杜企业店（视频号）</v>
      </c>
      <c r="H1702" s="1" t="str">
        <f t="shared" si="542"/>
        <v>正常订单</v>
      </c>
      <c r="I1702" s="1" t="str">
        <f t="shared" si="543"/>
        <v>已发货</v>
      </c>
      <c r="J1702" s="1" t="str">
        <f t="shared" si="547"/>
        <v>2</v>
      </c>
      <c r="K1702" s="1">
        <v>2</v>
      </c>
      <c r="L1702" s="1" t="s">
        <v>52</v>
      </c>
      <c r="M1702" s="1" t="str">
        <f>"甘肃省 兰州市 七里河区 "</f>
        <v xml:space="preserve">甘肃省 兰州市 七里河区 </v>
      </c>
      <c r="N1702" s="1" t="str">
        <f t="shared" si="545"/>
        <v>凡华云仓-城南圆通-微信视频号</v>
      </c>
      <c r="O1702" s="5" t="s">
        <v>1740</v>
      </c>
      <c r="P1702" s="6">
        <v>0.17</v>
      </c>
      <c r="Q1702" s="11">
        <v>2</v>
      </c>
      <c r="R1702" s="11"/>
      <c r="S1702" s="11"/>
      <c r="T1702" s="11"/>
      <c r="U1702" s="11">
        <f t="shared" si="544"/>
        <v>2</v>
      </c>
      <c r="W1702">
        <v>2.2000000000000002</v>
      </c>
      <c r="X1702" s="1" t="s">
        <v>52</v>
      </c>
    </row>
    <row r="1703" spans="1:24" x14ac:dyDescent="0.25">
      <c r="A1703" s="1" t="str">
        <f t="shared" si="540"/>
        <v>卡卡杜-凤凰仓</v>
      </c>
      <c r="B1703" s="1" t="str">
        <f>"CK20241028534"</f>
        <v>CK20241028534</v>
      </c>
      <c r="C1703" s="1" t="str">
        <f>"DD2024102820069"</f>
        <v>DD2024102820069</v>
      </c>
      <c r="D1703" s="1" t="str">
        <f>"CK202410289771"</f>
        <v>CK202410289771</v>
      </c>
      <c r="E1703" s="1" t="str">
        <f>"3723605541913760768"</f>
        <v>3723605541913760768</v>
      </c>
      <c r="F1703" s="1" t="str">
        <f t="shared" si="541"/>
        <v>花都四部-凤凰仓</v>
      </c>
      <c r="G1703" s="1" t="str">
        <f t="shared" si="546"/>
        <v>卡卡杜企业店（视频号）</v>
      </c>
      <c r="H1703" s="1" t="str">
        <f t="shared" si="542"/>
        <v>正常订单</v>
      </c>
      <c r="I1703" s="1" t="str">
        <f t="shared" si="543"/>
        <v>已发货</v>
      </c>
      <c r="J1703" s="1" t="str">
        <f t="shared" si="547"/>
        <v>2</v>
      </c>
      <c r="K1703" s="1">
        <v>2</v>
      </c>
      <c r="L1703" s="1" t="s">
        <v>47</v>
      </c>
      <c r="M1703" s="1" t="str">
        <f>"重庆 重庆市 渝北区 "</f>
        <v xml:space="preserve">重庆 重庆市 渝北区 </v>
      </c>
      <c r="N1703" s="1" t="str">
        <f t="shared" si="545"/>
        <v>凡华云仓-城南圆通-微信视频号</v>
      </c>
      <c r="O1703" s="5" t="s">
        <v>1741</v>
      </c>
      <c r="P1703" s="6">
        <v>0.17</v>
      </c>
      <c r="Q1703" s="11">
        <v>2</v>
      </c>
      <c r="R1703" s="11"/>
      <c r="S1703" s="11"/>
      <c r="T1703" s="11"/>
      <c r="U1703" s="11">
        <f t="shared" si="544"/>
        <v>2</v>
      </c>
      <c r="W1703">
        <v>2.2000000000000002</v>
      </c>
      <c r="X1703" s="1" t="s">
        <v>47</v>
      </c>
    </row>
    <row r="1704" spans="1:24" x14ac:dyDescent="0.25">
      <c r="A1704" s="1" t="str">
        <f t="shared" si="540"/>
        <v>卡卡杜-凤凰仓</v>
      </c>
      <c r="B1704" s="1" t="str">
        <f>"CK20241028533"</f>
        <v>CK20241028533</v>
      </c>
      <c r="C1704" s="1" t="str">
        <f>"DD2024102820068"</f>
        <v>DD2024102820068</v>
      </c>
      <c r="D1704" s="1" t="str">
        <f>"CK202410289770"</f>
        <v>CK202410289770</v>
      </c>
      <c r="E1704" s="1" t="str">
        <f>"3723605546533261312"</f>
        <v>3723605546533261312</v>
      </c>
      <c r="F1704" s="1" t="str">
        <f t="shared" si="541"/>
        <v>花都四部-凤凰仓</v>
      </c>
      <c r="G1704" s="1" t="str">
        <f t="shared" si="546"/>
        <v>卡卡杜企业店（视频号）</v>
      </c>
      <c r="H1704" s="1" t="str">
        <f t="shared" si="542"/>
        <v>正常订单</v>
      </c>
      <c r="I1704" s="1" t="str">
        <f t="shared" si="543"/>
        <v>已发货</v>
      </c>
      <c r="J1704" s="1" t="str">
        <f t="shared" si="547"/>
        <v>2</v>
      </c>
      <c r="K1704" s="1">
        <v>2</v>
      </c>
      <c r="L1704" s="1" t="s">
        <v>36</v>
      </c>
      <c r="M1704" s="1" t="str">
        <f>"安徽省 合肥市 肥西县 "</f>
        <v xml:space="preserve">安徽省 合肥市 肥西县 </v>
      </c>
      <c r="N1704" s="1" t="str">
        <f t="shared" si="545"/>
        <v>凡华云仓-城南圆通-微信视频号</v>
      </c>
      <c r="O1704" s="5" t="s">
        <v>1742</v>
      </c>
      <c r="P1704" s="6">
        <v>0.17</v>
      </c>
      <c r="Q1704" s="11">
        <v>2</v>
      </c>
      <c r="R1704" s="11"/>
      <c r="S1704" s="11"/>
      <c r="T1704" s="11"/>
      <c r="U1704" s="11">
        <f t="shared" si="544"/>
        <v>2</v>
      </c>
      <c r="W1704">
        <v>2.2000000000000002</v>
      </c>
      <c r="X1704" s="1" t="s">
        <v>36</v>
      </c>
    </row>
    <row r="1705" spans="1:24" x14ac:dyDescent="0.25">
      <c r="A1705" s="1" t="str">
        <f t="shared" si="540"/>
        <v>卡卡杜-凤凰仓</v>
      </c>
      <c r="B1705" s="1" t="str">
        <f>"CK20241028531"</f>
        <v>CK20241028531</v>
      </c>
      <c r="C1705" s="1" t="str">
        <f>"DD2024102820067"</f>
        <v>DD2024102820067</v>
      </c>
      <c r="D1705" s="1" t="str">
        <f>"CK202410289769"</f>
        <v>CK202410289769</v>
      </c>
      <c r="E1705" s="1" t="str">
        <f>"3723605550422689024"</f>
        <v>3723605550422689024</v>
      </c>
      <c r="F1705" s="1" t="str">
        <f t="shared" si="541"/>
        <v>花都四部-凤凰仓</v>
      </c>
      <c r="G1705" s="1" t="str">
        <f t="shared" si="546"/>
        <v>卡卡杜企业店（视频号）</v>
      </c>
      <c r="H1705" s="1" t="str">
        <f t="shared" si="542"/>
        <v>正常订单</v>
      </c>
      <c r="I1705" s="1" t="str">
        <f t="shared" si="543"/>
        <v>已发货</v>
      </c>
      <c r="J1705" s="1" t="str">
        <f t="shared" si="547"/>
        <v>2</v>
      </c>
      <c r="K1705" s="1">
        <v>2</v>
      </c>
      <c r="L1705" s="1" t="s">
        <v>105</v>
      </c>
      <c r="M1705" s="1" t="str">
        <f>"北京 北京市 丰台区 "</f>
        <v xml:space="preserve">北京 北京市 丰台区 </v>
      </c>
      <c r="N1705" s="1" t="str">
        <f t="shared" si="545"/>
        <v>凡华云仓-城南圆通-微信视频号</v>
      </c>
      <c r="O1705" s="5" t="s">
        <v>1743</v>
      </c>
      <c r="P1705" s="6">
        <v>0.17</v>
      </c>
      <c r="Q1705" s="11">
        <v>2</v>
      </c>
      <c r="R1705" s="11"/>
      <c r="S1705" s="11"/>
      <c r="T1705" s="11"/>
      <c r="U1705" s="11">
        <f t="shared" si="544"/>
        <v>2</v>
      </c>
      <c r="W1705">
        <v>2.2000000000000002</v>
      </c>
      <c r="X1705" s="1" t="s">
        <v>105</v>
      </c>
    </row>
    <row r="1706" spans="1:24" x14ac:dyDescent="0.25">
      <c r="A1706" s="1" t="str">
        <f t="shared" si="540"/>
        <v>卡卡杜-凤凰仓</v>
      </c>
      <c r="B1706" s="1" t="str">
        <f>"CK20241028530"</f>
        <v>CK20241028530</v>
      </c>
      <c r="C1706" s="1" t="str">
        <f>"DD2024102820066"</f>
        <v>DD2024102820066</v>
      </c>
      <c r="D1706" s="1" t="str">
        <f>"CK202410289768"</f>
        <v>CK202410289768</v>
      </c>
      <c r="E1706" s="1" t="str">
        <f>"3723605553324624897"</f>
        <v>3723605553324624897</v>
      </c>
      <c r="F1706" s="1" t="str">
        <f t="shared" si="541"/>
        <v>花都四部-凤凰仓</v>
      </c>
      <c r="G1706" s="1" t="str">
        <f t="shared" si="546"/>
        <v>卡卡杜企业店（视频号）</v>
      </c>
      <c r="H1706" s="1" t="str">
        <f t="shared" si="542"/>
        <v>正常订单</v>
      </c>
      <c r="I1706" s="1" t="str">
        <f t="shared" si="543"/>
        <v>已发货</v>
      </c>
      <c r="J1706" s="1" t="str">
        <f t="shared" si="547"/>
        <v>2</v>
      </c>
      <c r="K1706" s="1">
        <v>2</v>
      </c>
      <c r="L1706" s="1" t="s">
        <v>105</v>
      </c>
      <c r="M1706" s="1" t="str">
        <f>"北京 北京市 朝阳区 "</f>
        <v xml:space="preserve">北京 北京市 朝阳区 </v>
      </c>
      <c r="N1706" s="1" t="str">
        <f t="shared" si="545"/>
        <v>凡华云仓-城南圆通-微信视频号</v>
      </c>
      <c r="O1706" s="5" t="s">
        <v>1744</v>
      </c>
      <c r="P1706" s="6">
        <v>0.17</v>
      </c>
      <c r="Q1706" s="11">
        <v>2</v>
      </c>
      <c r="R1706" s="11"/>
      <c r="S1706" s="11"/>
      <c r="T1706" s="11"/>
      <c r="U1706" s="11">
        <f t="shared" si="544"/>
        <v>2</v>
      </c>
      <c r="W1706">
        <v>2.2000000000000002</v>
      </c>
      <c r="X1706" s="1" t="s">
        <v>105</v>
      </c>
    </row>
    <row r="1707" spans="1:24" x14ac:dyDescent="0.25">
      <c r="A1707" s="1" t="str">
        <f t="shared" si="540"/>
        <v>卡卡杜-凤凰仓</v>
      </c>
      <c r="B1707" s="1" t="str">
        <f>"CK20241028532"</f>
        <v>CK20241028532</v>
      </c>
      <c r="C1707" s="1" t="str">
        <f>"DD2024102820065"</f>
        <v>DD2024102820065</v>
      </c>
      <c r="D1707" s="1" t="str">
        <f>"CK202410289767"</f>
        <v>CK202410289767</v>
      </c>
      <c r="E1707" s="1" t="str">
        <f>"3723605548493309440"</f>
        <v>3723605548493309440</v>
      </c>
      <c r="F1707" s="1" t="str">
        <f t="shared" si="541"/>
        <v>花都四部-凤凰仓</v>
      </c>
      <c r="G1707" s="1" t="str">
        <f t="shared" si="546"/>
        <v>卡卡杜企业店（视频号）</v>
      </c>
      <c r="H1707" s="1" t="str">
        <f t="shared" si="542"/>
        <v>正常订单</v>
      </c>
      <c r="I1707" s="1" t="str">
        <f t="shared" si="543"/>
        <v>已发货</v>
      </c>
      <c r="J1707" s="1" t="str">
        <f t="shared" si="547"/>
        <v>2</v>
      </c>
      <c r="K1707" s="1">
        <v>2</v>
      </c>
      <c r="L1707" s="1" t="s">
        <v>24</v>
      </c>
      <c r="M1707" s="1" t="str">
        <f>"福建省 厦门市 思明区 "</f>
        <v xml:space="preserve">福建省 厦门市 思明区 </v>
      </c>
      <c r="N1707" s="1" t="str">
        <f t="shared" si="545"/>
        <v>凡华云仓-城南圆通-微信视频号</v>
      </c>
      <c r="O1707" s="5" t="s">
        <v>1745</v>
      </c>
      <c r="P1707" s="6">
        <v>0.17</v>
      </c>
      <c r="Q1707" s="11">
        <v>2</v>
      </c>
      <c r="R1707" s="11"/>
      <c r="S1707" s="11"/>
      <c r="T1707" s="11"/>
      <c r="U1707" s="11">
        <f t="shared" si="544"/>
        <v>2</v>
      </c>
      <c r="W1707">
        <v>2.2000000000000002</v>
      </c>
      <c r="X1707" s="1" t="s">
        <v>24</v>
      </c>
    </row>
    <row r="1708" spans="1:24" x14ac:dyDescent="0.25">
      <c r="A1708" s="1" t="str">
        <f t="shared" si="540"/>
        <v>卡卡杜-凤凰仓</v>
      </c>
      <c r="B1708" s="1" t="str">
        <f>"CK20241028529"</f>
        <v>CK20241028529</v>
      </c>
      <c r="C1708" s="1" t="str">
        <f>"DD2024102820064"</f>
        <v>DD2024102820064</v>
      </c>
      <c r="D1708" s="1" t="str">
        <f>"CK202410289766"</f>
        <v>CK202410289766</v>
      </c>
      <c r="E1708" s="1" t="str">
        <f>"3723605552542126080"</f>
        <v>3723605552542126080</v>
      </c>
      <c r="F1708" s="1" t="str">
        <f t="shared" si="541"/>
        <v>花都四部-凤凰仓</v>
      </c>
      <c r="G1708" s="1" t="str">
        <f t="shared" si="546"/>
        <v>卡卡杜企业店（视频号）</v>
      </c>
      <c r="H1708" s="1" t="str">
        <f t="shared" si="542"/>
        <v>正常订单</v>
      </c>
      <c r="I1708" s="1" t="str">
        <f t="shared" si="543"/>
        <v>已发货</v>
      </c>
      <c r="J1708" s="1" t="str">
        <f t="shared" si="547"/>
        <v>2</v>
      </c>
      <c r="K1708" s="1">
        <v>2</v>
      </c>
      <c r="L1708" s="1" t="s">
        <v>16</v>
      </c>
      <c r="M1708" s="1" t="str">
        <f>"河北省 唐山市 迁西县 "</f>
        <v xml:space="preserve">河北省 唐山市 迁西县 </v>
      </c>
      <c r="N1708" s="1" t="str">
        <f t="shared" si="545"/>
        <v>凡华云仓-城南圆通-微信视频号</v>
      </c>
      <c r="O1708" s="5" t="s">
        <v>1746</v>
      </c>
      <c r="P1708" s="6">
        <v>0.17</v>
      </c>
      <c r="Q1708" s="11">
        <v>2</v>
      </c>
      <c r="R1708" s="11"/>
      <c r="S1708" s="11"/>
      <c r="T1708" s="11"/>
      <c r="U1708" s="11">
        <f t="shared" si="544"/>
        <v>2</v>
      </c>
      <c r="W1708">
        <v>2.2000000000000002</v>
      </c>
      <c r="X1708" s="1" t="s">
        <v>16</v>
      </c>
    </row>
    <row r="1709" spans="1:24" x14ac:dyDescent="0.25">
      <c r="A1709" s="1" t="str">
        <f t="shared" si="540"/>
        <v>卡卡杜-凤凰仓</v>
      </c>
      <c r="B1709" s="1" t="str">
        <f>"CK20241028527"</f>
        <v>CK20241028527</v>
      </c>
      <c r="C1709" s="1" t="str">
        <f>"DD2024102820063"</f>
        <v>DD2024102820063</v>
      </c>
      <c r="D1709" s="1" t="str">
        <f>"CK202410289765"</f>
        <v>CK202410289765</v>
      </c>
      <c r="E1709" s="1" t="str">
        <f>"3723605553888758784"</f>
        <v>3723605553888758784</v>
      </c>
      <c r="F1709" s="1" t="str">
        <f t="shared" si="541"/>
        <v>花都四部-凤凰仓</v>
      </c>
      <c r="G1709" s="1" t="str">
        <f t="shared" si="546"/>
        <v>卡卡杜企业店（视频号）</v>
      </c>
      <c r="H1709" s="1" t="str">
        <f t="shared" si="542"/>
        <v>正常订单</v>
      </c>
      <c r="I1709" s="1" t="str">
        <f t="shared" si="543"/>
        <v>已发货</v>
      </c>
      <c r="J1709" s="1" t="str">
        <f t="shared" si="547"/>
        <v>2</v>
      </c>
      <c r="K1709" s="1">
        <v>2</v>
      </c>
      <c r="L1709" s="1" t="s">
        <v>92</v>
      </c>
      <c r="M1709" s="1" t="str">
        <f>"辽宁省 辽阳市 白塔区 "</f>
        <v xml:space="preserve">辽宁省 辽阳市 白塔区 </v>
      </c>
      <c r="N1709" s="1" t="str">
        <f t="shared" si="545"/>
        <v>凡华云仓-城南圆通-微信视频号</v>
      </c>
      <c r="O1709" s="5" t="s">
        <v>1747</v>
      </c>
      <c r="P1709" s="6">
        <v>0.17</v>
      </c>
      <c r="Q1709" s="11">
        <v>2</v>
      </c>
      <c r="R1709" s="11"/>
      <c r="S1709" s="11"/>
      <c r="T1709" s="11"/>
      <c r="U1709" s="11">
        <f t="shared" si="544"/>
        <v>2</v>
      </c>
      <c r="W1709">
        <v>2.2000000000000002</v>
      </c>
      <c r="X1709" s="1" t="s">
        <v>92</v>
      </c>
    </row>
    <row r="1710" spans="1:24" x14ac:dyDescent="0.25">
      <c r="A1710" s="1" t="str">
        <f t="shared" si="540"/>
        <v>卡卡杜-凤凰仓</v>
      </c>
      <c r="B1710" s="1" t="str">
        <f>"CK20241028528"</f>
        <v>CK20241028528</v>
      </c>
      <c r="C1710" s="1" t="str">
        <f>"DD2024102820062"</f>
        <v>DD2024102820062</v>
      </c>
      <c r="D1710" s="1" t="str">
        <f>"CK202410289764"</f>
        <v>CK202410289764</v>
      </c>
      <c r="E1710" s="1" t="str">
        <f>"3723605553792812288"</f>
        <v>3723605553792812288</v>
      </c>
      <c r="F1710" s="1" t="str">
        <f t="shared" si="541"/>
        <v>花都四部-凤凰仓</v>
      </c>
      <c r="G1710" s="1" t="str">
        <f t="shared" si="546"/>
        <v>卡卡杜企业店（视频号）</v>
      </c>
      <c r="H1710" s="1" t="str">
        <f t="shared" si="542"/>
        <v>正常订单</v>
      </c>
      <c r="I1710" s="1" t="str">
        <f t="shared" si="543"/>
        <v>已发货</v>
      </c>
      <c r="J1710" s="1" t="str">
        <f t="shared" si="547"/>
        <v>2</v>
      </c>
      <c r="K1710" s="1">
        <v>2</v>
      </c>
      <c r="L1710" s="1" t="s">
        <v>94</v>
      </c>
      <c r="M1710" s="1" t="str">
        <f>"湖南省 长沙市 岳麓区 "</f>
        <v xml:space="preserve">湖南省 长沙市 岳麓区 </v>
      </c>
      <c r="N1710" s="1" t="str">
        <f t="shared" si="545"/>
        <v>凡华云仓-城南圆通-微信视频号</v>
      </c>
      <c r="O1710" s="5" t="s">
        <v>1748</v>
      </c>
      <c r="P1710" s="6">
        <v>0.17</v>
      </c>
      <c r="Q1710" s="11">
        <v>2</v>
      </c>
      <c r="R1710" s="11"/>
      <c r="S1710" s="11"/>
      <c r="T1710" s="11"/>
      <c r="U1710" s="11">
        <f t="shared" si="544"/>
        <v>2</v>
      </c>
      <c r="W1710">
        <v>2.2000000000000002</v>
      </c>
      <c r="X1710" s="1" t="s">
        <v>94</v>
      </c>
    </row>
    <row r="1711" spans="1:24" x14ac:dyDescent="0.25">
      <c r="A1711" s="1" t="str">
        <f t="shared" si="540"/>
        <v>卡卡杜-凤凰仓</v>
      </c>
      <c r="B1711" s="1" t="str">
        <f>"CK20241028526"</f>
        <v>CK20241028526</v>
      </c>
      <c r="C1711" s="1" t="str">
        <f>"DD2024102820061"</f>
        <v>DD2024102820061</v>
      </c>
      <c r="D1711" s="1" t="str">
        <f>"CK202410289763"</f>
        <v>CK202410289763</v>
      </c>
      <c r="E1711" s="1" t="str">
        <f>"3723605559688694784"</f>
        <v>3723605559688694784</v>
      </c>
      <c r="F1711" s="1" t="str">
        <f t="shared" si="541"/>
        <v>花都四部-凤凰仓</v>
      </c>
      <c r="G1711" s="1" t="str">
        <f t="shared" si="546"/>
        <v>卡卡杜企业店（视频号）</v>
      </c>
      <c r="H1711" s="1" t="str">
        <f t="shared" si="542"/>
        <v>正常订单</v>
      </c>
      <c r="I1711" s="1" t="str">
        <f t="shared" si="543"/>
        <v>已发货</v>
      </c>
      <c r="J1711" s="1" t="str">
        <f t="shared" si="547"/>
        <v>2</v>
      </c>
      <c r="K1711" s="1">
        <v>2</v>
      </c>
      <c r="L1711" s="1" t="s">
        <v>187</v>
      </c>
      <c r="M1711" s="1" t="str">
        <f>"吉林省 松原市 宁江区 "</f>
        <v xml:space="preserve">吉林省 松原市 宁江区 </v>
      </c>
      <c r="N1711" s="1" t="str">
        <f t="shared" si="545"/>
        <v>凡华云仓-城南圆通-微信视频号</v>
      </c>
      <c r="O1711" s="5" t="s">
        <v>1749</v>
      </c>
      <c r="P1711" s="6">
        <v>0.17</v>
      </c>
      <c r="Q1711" s="11">
        <v>2</v>
      </c>
      <c r="R1711" s="11"/>
      <c r="S1711" s="11"/>
      <c r="T1711" s="11"/>
      <c r="U1711" s="11">
        <f t="shared" si="544"/>
        <v>2</v>
      </c>
      <c r="W1711">
        <v>2.2000000000000002</v>
      </c>
      <c r="X1711" s="1" t="s">
        <v>187</v>
      </c>
    </row>
    <row r="1712" spans="1:24" x14ac:dyDescent="0.25">
      <c r="A1712" s="1" t="str">
        <f t="shared" si="540"/>
        <v>卡卡杜-凤凰仓</v>
      </c>
      <c r="B1712" s="1" t="str">
        <f>"CK20241028525"</f>
        <v>CK20241028525</v>
      </c>
      <c r="C1712" s="1" t="str">
        <f>"DD2024102820060"</f>
        <v>DD2024102820060</v>
      </c>
      <c r="D1712" s="1" t="str">
        <f>"CK202410289762"</f>
        <v>CK202410289762</v>
      </c>
      <c r="E1712" s="1" t="str">
        <f>"3723605560272491520"</f>
        <v>3723605560272491520</v>
      </c>
      <c r="F1712" s="1" t="str">
        <f t="shared" si="541"/>
        <v>花都四部-凤凰仓</v>
      </c>
      <c r="G1712" s="1" t="str">
        <f t="shared" si="546"/>
        <v>卡卡杜企业店（视频号）</v>
      </c>
      <c r="H1712" s="1" t="str">
        <f t="shared" si="542"/>
        <v>正常订单</v>
      </c>
      <c r="I1712" s="1" t="str">
        <f t="shared" si="543"/>
        <v>已发货</v>
      </c>
      <c r="J1712" s="1" t="str">
        <f t="shared" si="547"/>
        <v>2</v>
      </c>
      <c r="K1712" s="1">
        <v>2</v>
      </c>
      <c r="L1712" s="1" t="s">
        <v>105</v>
      </c>
      <c r="M1712" s="1" t="str">
        <f>"北京 北京市 大兴区 "</f>
        <v xml:space="preserve">北京 北京市 大兴区 </v>
      </c>
      <c r="N1712" s="1" t="str">
        <f t="shared" si="545"/>
        <v>凡华云仓-城南圆通-微信视频号</v>
      </c>
      <c r="O1712" s="5" t="s">
        <v>1750</v>
      </c>
      <c r="P1712" s="6">
        <v>0.17</v>
      </c>
      <c r="Q1712" s="11">
        <v>2</v>
      </c>
      <c r="R1712" s="11"/>
      <c r="S1712" s="11"/>
      <c r="T1712" s="11"/>
      <c r="U1712" s="11">
        <f t="shared" si="544"/>
        <v>2</v>
      </c>
      <c r="W1712">
        <v>2.2000000000000002</v>
      </c>
      <c r="X1712" s="1" t="s">
        <v>105</v>
      </c>
    </row>
    <row r="1713" spans="1:24" x14ac:dyDescent="0.25">
      <c r="A1713" s="1" t="str">
        <f t="shared" si="540"/>
        <v>卡卡杜-凤凰仓</v>
      </c>
      <c r="B1713" s="1" t="str">
        <f>"CK20241028524"</f>
        <v>CK20241028524</v>
      </c>
      <c r="C1713" s="1" t="str">
        <f>"DD2024102820059"</f>
        <v>DD2024102820059</v>
      </c>
      <c r="D1713" s="1" t="str">
        <f>"CK202410289761"</f>
        <v>CK202410289761</v>
      </c>
      <c r="E1713" s="1" t="str">
        <f>"3723605558620194048"</f>
        <v>3723605558620194048</v>
      </c>
      <c r="F1713" s="1" t="str">
        <f t="shared" si="541"/>
        <v>花都四部-凤凰仓</v>
      </c>
      <c r="G1713" s="1" t="str">
        <f t="shared" si="546"/>
        <v>卡卡杜企业店（视频号）</v>
      </c>
      <c r="H1713" s="1" t="str">
        <f t="shared" si="542"/>
        <v>正常订单</v>
      </c>
      <c r="I1713" s="1" t="str">
        <f t="shared" si="543"/>
        <v>已发货</v>
      </c>
      <c r="J1713" s="1" t="str">
        <f t="shared" si="547"/>
        <v>2</v>
      </c>
      <c r="K1713" s="1">
        <v>2</v>
      </c>
      <c r="L1713" s="1" t="s">
        <v>16</v>
      </c>
      <c r="M1713" s="1" t="str">
        <f>"河北省 保定市 莲池区 "</f>
        <v xml:space="preserve">河北省 保定市 莲池区 </v>
      </c>
      <c r="N1713" s="1" t="str">
        <f t="shared" si="545"/>
        <v>凡华云仓-城南圆通-微信视频号</v>
      </c>
      <c r="O1713" s="5" t="s">
        <v>1751</v>
      </c>
      <c r="P1713" s="6">
        <v>0.17</v>
      </c>
      <c r="Q1713" s="11">
        <v>2</v>
      </c>
      <c r="R1713" s="11"/>
      <c r="S1713" s="11"/>
      <c r="T1713" s="11"/>
      <c r="U1713" s="11">
        <f t="shared" si="544"/>
        <v>2</v>
      </c>
      <c r="W1713">
        <v>2.2000000000000002</v>
      </c>
      <c r="X1713" s="1" t="s">
        <v>16</v>
      </c>
    </row>
    <row r="1714" spans="1:24" x14ac:dyDescent="0.25">
      <c r="A1714" s="1" t="str">
        <f t="shared" si="540"/>
        <v>卡卡杜-凤凰仓</v>
      </c>
      <c r="B1714" s="1" t="str">
        <f>"CK20241028523"</f>
        <v>CK20241028523</v>
      </c>
      <c r="C1714" s="1" t="str">
        <f>"DD2024102820058"</f>
        <v>DD2024102820058</v>
      </c>
      <c r="D1714" s="1" t="str">
        <f>"CK202410289760"</f>
        <v>CK202410289760</v>
      </c>
      <c r="E1714" s="1" t="str">
        <f>"3723605562566513664"</f>
        <v>3723605562566513664</v>
      </c>
      <c r="F1714" s="1" t="str">
        <f t="shared" si="541"/>
        <v>花都四部-凤凰仓</v>
      </c>
      <c r="G1714" s="1" t="str">
        <f t="shared" si="546"/>
        <v>卡卡杜企业店（视频号）</v>
      </c>
      <c r="H1714" s="1" t="str">
        <f t="shared" si="542"/>
        <v>正常订单</v>
      </c>
      <c r="I1714" s="1" t="str">
        <f t="shared" si="543"/>
        <v>已发货</v>
      </c>
      <c r="J1714" s="1" t="str">
        <f t="shared" si="547"/>
        <v>2</v>
      </c>
      <c r="K1714" s="1">
        <v>2</v>
      </c>
      <c r="L1714" s="1" t="s">
        <v>92</v>
      </c>
      <c r="M1714" s="1" t="str">
        <f>"辽宁省 锦州市 太和区 "</f>
        <v xml:space="preserve">辽宁省 锦州市 太和区 </v>
      </c>
      <c r="N1714" s="1" t="str">
        <f t="shared" si="545"/>
        <v>凡华云仓-城南圆通-微信视频号</v>
      </c>
      <c r="O1714" s="5" t="s">
        <v>1752</v>
      </c>
      <c r="P1714" s="6">
        <v>0.17</v>
      </c>
      <c r="Q1714" s="11">
        <v>2</v>
      </c>
      <c r="R1714" s="11"/>
      <c r="S1714" s="11"/>
      <c r="T1714" s="11"/>
      <c r="U1714" s="11">
        <f t="shared" si="544"/>
        <v>2</v>
      </c>
      <c r="W1714">
        <v>2.2000000000000002</v>
      </c>
      <c r="X1714" s="1" t="s">
        <v>92</v>
      </c>
    </row>
    <row r="1715" spans="1:24" x14ac:dyDescent="0.25">
      <c r="A1715" s="1" t="str">
        <f t="shared" si="540"/>
        <v>卡卡杜-凤凰仓</v>
      </c>
      <c r="B1715" s="1" t="str">
        <f>"CK20241028522"</f>
        <v>CK20241028522</v>
      </c>
      <c r="C1715" s="1" t="str">
        <f>"DD2024102820057"</f>
        <v>DD2024102820057</v>
      </c>
      <c r="D1715" s="1" t="str">
        <f>"CK202410289759"</f>
        <v>CK202410289759</v>
      </c>
      <c r="E1715" s="1" t="str">
        <f>"3723605563671187457"</f>
        <v>3723605563671187457</v>
      </c>
      <c r="F1715" s="1" t="str">
        <f t="shared" si="541"/>
        <v>花都四部-凤凰仓</v>
      </c>
      <c r="G1715" s="1" t="str">
        <f t="shared" si="546"/>
        <v>卡卡杜企业店（视频号）</v>
      </c>
      <c r="H1715" s="1" t="str">
        <f t="shared" si="542"/>
        <v>正常订单</v>
      </c>
      <c r="I1715" s="1" t="str">
        <f t="shared" si="543"/>
        <v>已发货</v>
      </c>
      <c r="J1715" s="1" t="str">
        <f t="shared" si="547"/>
        <v>2</v>
      </c>
      <c r="K1715" s="1">
        <v>2</v>
      </c>
      <c r="L1715" s="1" t="s">
        <v>13</v>
      </c>
      <c r="M1715" s="1" t="str">
        <f>"江苏省 盐城市 盐都区 "</f>
        <v xml:space="preserve">江苏省 盐城市 盐都区 </v>
      </c>
      <c r="N1715" s="1" t="str">
        <f t="shared" si="545"/>
        <v>凡华云仓-城南圆通-微信视频号</v>
      </c>
      <c r="O1715" s="5" t="s">
        <v>1753</v>
      </c>
      <c r="P1715" s="6">
        <v>0.17</v>
      </c>
      <c r="Q1715" s="11">
        <v>2</v>
      </c>
      <c r="R1715" s="11"/>
      <c r="S1715" s="11"/>
      <c r="T1715" s="11"/>
      <c r="U1715" s="11">
        <f t="shared" si="544"/>
        <v>2</v>
      </c>
      <c r="W1715">
        <v>2.2000000000000002</v>
      </c>
      <c r="X1715" s="1" t="s">
        <v>13</v>
      </c>
    </row>
    <row r="1716" spans="1:24" x14ac:dyDescent="0.25">
      <c r="A1716" s="1" t="str">
        <f t="shared" si="540"/>
        <v>卡卡杜-凤凰仓</v>
      </c>
      <c r="B1716" s="1" t="str">
        <f>"CK20241028520"</f>
        <v>CK20241028520</v>
      </c>
      <c r="C1716" s="1" t="str">
        <f>"DD2024102820056"</f>
        <v>DD2024102820056</v>
      </c>
      <c r="D1716" s="1" t="str">
        <f>"CK202410289758"</f>
        <v>CK202410289758</v>
      </c>
      <c r="E1716" s="1" t="str">
        <f>"3723605564231648512"</f>
        <v>3723605564231648512</v>
      </c>
      <c r="F1716" s="1" t="str">
        <f t="shared" si="541"/>
        <v>花都四部-凤凰仓</v>
      </c>
      <c r="G1716" s="1" t="str">
        <f t="shared" si="546"/>
        <v>卡卡杜企业店（视频号）</v>
      </c>
      <c r="H1716" s="1" t="str">
        <f t="shared" si="542"/>
        <v>正常订单</v>
      </c>
      <c r="I1716" s="1" t="str">
        <f t="shared" si="543"/>
        <v>已发货</v>
      </c>
      <c r="J1716" s="1" t="str">
        <f t="shared" si="547"/>
        <v>2</v>
      </c>
      <c r="K1716" s="1">
        <v>2</v>
      </c>
      <c r="L1716" s="1" t="s">
        <v>54</v>
      </c>
      <c r="M1716" s="1" t="str">
        <f>"黑龙江省 哈尔滨市 香坊区 "</f>
        <v xml:space="preserve">黑龙江省 哈尔滨市 香坊区 </v>
      </c>
      <c r="N1716" s="1" t="str">
        <f t="shared" si="545"/>
        <v>凡华云仓-城南圆通-微信视频号</v>
      </c>
      <c r="O1716" s="5" t="s">
        <v>1754</v>
      </c>
      <c r="P1716" s="6">
        <v>0.17</v>
      </c>
      <c r="Q1716" s="11">
        <v>2</v>
      </c>
      <c r="R1716" s="11"/>
      <c r="S1716" s="11"/>
      <c r="T1716" s="11"/>
      <c r="U1716" s="11">
        <f t="shared" si="544"/>
        <v>2</v>
      </c>
      <c r="W1716">
        <v>2.2000000000000002</v>
      </c>
      <c r="X1716" s="1" t="s">
        <v>54</v>
      </c>
    </row>
    <row r="1717" spans="1:24" x14ac:dyDescent="0.25">
      <c r="A1717" s="1" t="str">
        <f t="shared" si="540"/>
        <v>卡卡杜-凤凰仓</v>
      </c>
      <c r="B1717" s="1" t="str">
        <f>"CK20241028521"</f>
        <v>CK20241028521</v>
      </c>
      <c r="C1717" s="1" t="str">
        <f>"DD2024102820055"</f>
        <v>DD2024102820055</v>
      </c>
      <c r="D1717" s="1" t="str">
        <f>"CK202410289757"</f>
        <v>CK202410289757</v>
      </c>
      <c r="E1717" s="1" t="str">
        <f>"3723605564089569281"</f>
        <v>3723605564089569281</v>
      </c>
      <c r="F1717" s="1" t="str">
        <f t="shared" si="541"/>
        <v>花都四部-凤凰仓</v>
      </c>
      <c r="G1717" s="1" t="str">
        <f t="shared" si="546"/>
        <v>卡卡杜企业店（视频号）</v>
      </c>
      <c r="H1717" s="1" t="str">
        <f t="shared" si="542"/>
        <v>正常订单</v>
      </c>
      <c r="I1717" s="1" t="str">
        <f t="shared" si="543"/>
        <v>已发货</v>
      </c>
      <c r="J1717" s="1" t="str">
        <f t="shared" si="547"/>
        <v>2</v>
      </c>
      <c r="K1717" s="1">
        <v>2</v>
      </c>
      <c r="L1717" s="1" t="s">
        <v>105</v>
      </c>
      <c r="M1717" s="1" t="str">
        <f>"北京 北京市 东城区 "</f>
        <v xml:space="preserve">北京 北京市 东城区 </v>
      </c>
      <c r="N1717" s="1" t="str">
        <f t="shared" si="545"/>
        <v>凡华云仓-城南圆通-微信视频号</v>
      </c>
      <c r="O1717" s="5" t="s">
        <v>1755</v>
      </c>
      <c r="P1717" s="6">
        <v>0.17</v>
      </c>
      <c r="Q1717" s="11">
        <v>2</v>
      </c>
      <c r="R1717" s="11"/>
      <c r="S1717" s="11"/>
      <c r="T1717" s="11"/>
      <c r="U1717" s="11">
        <f t="shared" si="544"/>
        <v>2</v>
      </c>
      <c r="W1717">
        <v>2.2000000000000002</v>
      </c>
      <c r="X1717" s="1" t="s">
        <v>105</v>
      </c>
    </row>
    <row r="1718" spans="1:24" x14ac:dyDescent="0.25">
      <c r="A1718" s="1" t="str">
        <f t="shared" si="540"/>
        <v>卡卡杜-凤凰仓</v>
      </c>
      <c r="B1718" s="1" t="str">
        <f>"CK20241028519"</f>
        <v>CK20241028519</v>
      </c>
      <c r="C1718" s="1" t="str">
        <f>"DD2024102820054"</f>
        <v>DD2024102820054</v>
      </c>
      <c r="D1718" s="1" t="str">
        <f>"CK202410289756"</f>
        <v>CK202410289756</v>
      </c>
      <c r="E1718" s="1" t="str">
        <f>"3723605563764510722"</f>
        <v>3723605563764510722</v>
      </c>
      <c r="F1718" s="1" t="str">
        <f t="shared" si="541"/>
        <v>花都四部-凤凰仓</v>
      </c>
      <c r="G1718" s="1" t="str">
        <f t="shared" si="546"/>
        <v>卡卡杜企业店（视频号）</v>
      </c>
      <c r="H1718" s="1" t="str">
        <f t="shared" si="542"/>
        <v>正常订单</v>
      </c>
      <c r="I1718" s="1" t="str">
        <f t="shared" si="543"/>
        <v>已发货</v>
      </c>
      <c r="J1718" s="1" t="str">
        <f t="shared" si="547"/>
        <v>2</v>
      </c>
      <c r="K1718" s="1">
        <v>2</v>
      </c>
      <c r="L1718" s="1" t="s">
        <v>13</v>
      </c>
      <c r="M1718" s="1" t="str">
        <f>"江苏省 南通市 海安市 "</f>
        <v xml:space="preserve">江苏省 南通市 海安市 </v>
      </c>
      <c r="N1718" s="1" t="str">
        <f t="shared" si="545"/>
        <v>凡华云仓-城南圆通-微信视频号</v>
      </c>
      <c r="O1718" s="5" t="s">
        <v>1756</v>
      </c>
      <c r="P1718" s="6">
        <v>0.17</v>
      </c>
      <c r="Q1718" s="11">
        <v>2</v>
      </c>
      <c r="R1718" s="11"/>
      <c r="S1718" s="11"/>
      <c r="T1718" s="11"/>
      <c r="U1718" s="11">
        <f t="shared" si="544"/>
        <v>2</v>
      </c>
      <c r="W1718">
        <v>2.2000000000000002</v>
      </c>
      <c r="X1718" s="1" t="s">
        <v>13</v>
      </c>
    </row>
    <row r="1719" spans="1:24" x14ac:dyDescent="0.25">
      <c r="A1719" s="1" t="str">
        <f t="shared" si="540"/>
        <v>卡卡杜-凤凰仓</v>
      </c>
      <c r="B1719" s="1" t="str">
        <f>"CK20241028518"</f>
        <v>CK20241028518</v>
      </c>
      <c r="C1719" s="1" t="str">
        <f>"DD2024102820053"</f>
        <v>DD2024102820053</v>
      </c>
      <c r="D1719" s="1" t="str">
        <f>"CK202410289755"</f>
        <v>CK202410289755</v>
      </c>
      <c r="E1719" s="1" t="str">
        <f>"3723605562940327424"</f>
        <v>3723605562940327424</v>
      </c>
      <c r="F1719" s="1" t="str">
        <f t="shared" si="541"/>
        <v>花都四部-凤凰仓</v>
      </c>
      <c r="G1719" s="1" t="str">
        <f t="shared" si="546"/>
        <v>卡卡杜企业店（视频号）</v>
      </c>
      <c r="H1719" s="1" t="str">
        <f t="shared" si="542"/>
        <v>正常订单</v>
      </c>
      <c r="I1719" s="1" t="str">
        <f t="shared" si="543"/>
        <v>已发货</v>
      </c>
      <c r="J1719" s="1" t="str">
        <f t="shared" si="547"/>
        <v>2</v>
      </c>
      <c r="K1719" s="1">
        <v>2</v>
      </c>
      <c r="L1719" s="1" t="s">
        <v>54</v>
      </c>
      <c r="M1719" s="1" t="str">
        <f>"黑龙江省 佳木斯市 富锦市 "</f>
        <v xml:space="preserve">黑龙江省 佳木斯市 富锦市 </v>
      </c>
      <c r="N1719" s="1" t="str">
        <f t="shared" si="545"/>
        <v>凡华云仓-城南圆通-微信视频号</v>
      </c>
      <c r="O1719" s="5" t="s">
        <v>1757</v>
      </c>
      <c r="P1719" s="6">
        <v>0.17</v>
      </c>
      <c r="Q1719" s="11">
        <v>2</v>
      </c>
      <c r="R1719" s="11"/>
      <c r="S1719" s="11"/>
      <c r="T1719" s="11"/>
      <c r="U1719" s="11">
        <f t="shared" si="544"/>
        <v>2</v>
      </c>
      <c r="W1719">
        <v>2.2000000000000002</v>
      </c>
      <c r="X1719" s="1" t="s">
        <v>54</v>
      </c>
    </row>
    <row r="1720" spans="1:24" x14ac:dyDescent="0.25">
      <c r="A1720" s="1" t="str">
        <f t="shared" si="540"/>
        <v>卡卡杜-凤凰仓</v>
      </c>
      <c r="B1720" s="1" t="str">
        <f>"CK20241028517"</f>
        <v>CK20241028517</v>
      </c>
      <c r="C1720" s="1" t="str">
        <f>"DD2024102820052"</f>
        <v>DD2024102820052</v>
      </c>
      <c r="D1720" s="1" t="str">
        <f>"CK202410289754"</f>
        <v>CK202410289754</v>
      </c>
      <c r="E1720" s="1" t="str">
        <f>"3723605564298497024"</f>
        <v>3723605564298497024</v>
      </c>
      <c r="F1720" s="1" t="str">
        <f t="shared" si="541"/>
        <v>花都四部-凤凰仓</v>
      </c>
      <c r="G1720" s="1" t="str">
        <f t="shared" si="546"/>
        <v>卡卡杜企业店（视频号）</v>
      </c>
      <c r="H1720" s="1" t="str">
        <f t="shared" si="542"/>
        <v>正常订单</v>
      </c>
      <c r="I1720" s="1" t="str">
        <f t="shared" si="543"/>
        <v>已发货</v>
      </c>
      <c r="J1720" s="1" t="str">
        <f t="shared" si="547"/>
        <v>2</v>
      </c>
      <c r="K1720" s="1">
        <v>2</v>
      </c>
      <c r="L1720" s="1" t="s">
        <v>32</v>
      </c>
      <c r="M1720" s="1" t="str">
        <f>"陕西省 西安市 未央区 "</f>
        <v xml:space="preserve">陕西省 西安市 未央区 </v>
      </c>
      <c r="N1720" s="1" t="str">
        <f t="shared" si="545"/>
        <v>凡华云仓-城南圆通-微信视频号</v>
      </c>
      <c r="O1720" s="5" t="s">
        <v>1758</v>
      </c>
      <c r="P1720" s="6">
        <v>0.17</v>
      </c>
      <c r="Q1720" s="11">
        <v>2</v>
      </c>
      <c r="R1720" s="11"/>
      <c r="S1720" s="11"/>
      <c r="T1720" s="11"/>
      <c r="U1720" s="11">
        <f t="shared" si="544"/>
        <v>2</v>
      </c>
      <c r="W1720">
        <v>2.2000000000000002</v>
      </c>
      <c r="X1720" s="1" t="s">
        <v>32</v>
      </c>
    </row>
    <row r="1721" spans="1:24" x14ac:dyDescent="0.25">
      <c r="A1721" s="1" t="str">
        <f t="shared" si="540"/>
        <v>卡卡杜-凤凰仓</v>
      </c>
      <c r="B1721" s="1" t="str">
        <f>"CK20241028516"</f>
        <v>CK20241028516</v>
      </c>
      <c r="C1721" s="1" t="str">
        <f>"DD2024102820051"</f>
        <v>DD2024102820051</v>
      </c>
      <c r="D1721" s="1" t="str">
        <f>"CK202410289753"</f>
        <v>CK202410289753</v>
      </c>
      <c r="E1721" s="1" t="str">
        <f>"3723605566417667328"</f>
        <v>3723605566417667328</v>
      </c>
      <c r="F1721" s="1" t="str">
        <f t="shared" si="541"/>
        <v>花都四部-凤凰仓</v>
      </c>
      <c r="G1721" s="1" t="str">
        <f t="shared" si="546"/>
        <v>卡卡杜企业店（视频号）</v>
      </c>
      <c r="H1721" s="1" t="str">
        <f t="shared" si="542"/>
        <v>正常订单</v>
      </c>
      <c r="I1721" s="1" t="str">
        <f t="shared" si="543"/>
        <v>已发货</v>
      </c>
      <c r="J1721" s="1" t="str">
        <f t="shared" si="547"/>
        <v>2</v>
      </c>
      <c r="K1721" s="1">
        <v>2</v>
      </c>
      <c r="L1721" s="1" t="s">
        <v>105</v>
      </c>
      <c r="M1721" s="1" t="str">
        <f>"北京 北京市 丰台区 "</f>
        <v xml:space="preserve">北京 北京市 丰台区 </v>
      </c>
      <c r="N1721" s="1" t="str">
        <f t="shared" si="545"/>
        <v>凡华云仓-城南圆通-微信视频号</v>
      </c>
      <c r="O1721" s="5" t="s">
        <v>1759</v>
      </c>
      <c r="P1721" s="6">
        <v>0.17</v>
      </c>
      <c r="Q1721" s="11">
        <v>2</v>
      </c>
      <c r="R1721" s="11"/>
      <c r="S1721" s="11"/>
      <c r="T1721" s="11"/>
      <c r="U1721" s="11">
        <f t="shared" si="544"/>
        <v>2</v>
      </c>
      <c r="W1721">
        <v>2.2000000000000002</v>
      </c>
      <c r="X1721" s="1" t="s">
        <v>105</v>
      </c>
    </row>
    <row r="1722" spans="1:24" x14ac:dyDescent="0.25">
      <c r="A1722" s="1" t="str">
        <f t="shared" si="540"/>
        <v>卡卡杜-凤凰仓</v>
      </c>
      <c r="B1722" s="1" t="str">
        <f>"CK20241028512"</f>
        <v>CK20241028512</v>
      </c>
      <c r="C1722" s="1" t="str">
        <f>"DD2024102820050"</f>
        <v>DD2024102820050</v>
      </c>
      <c r="D1722" s="1" t="str">
        <f>"CK202410289752"</f>
        <v>CK202410289752</v>
      </c>
      <c r="E1722" s="1" t="str">
        <f>"3723605568234849536"</f>
        <v>3723605568234849536</v>
      </c>
      <c r="F1722" s="1" t="str">
        <f t="shared" si="541"/>
        <v>花都四部-凤凰仓</v>
      </c>
      <c r="G1722" s="1" t="str">
        <f t="shared" si="546"/>
        <v>卡卡杜企业店（视频号）</v>
      </c>
      <c r="H1722" s="1" t="str">
        <f t="shared" si="542"/>
        <v>正常订单</v>
      </c>
      <c r="I1722" s="1" t="str">
        <f t="shared" si="543"/>
        <v>已发货</v>
      </c>
      <c r="J1722" s="1" t="str">
        <f t="shared" si="547"/>
        <v>2</v>
      </c>
      <c r="K1722" s="1">
        <v>2</v>
      </c>
      <c r="L1722" s="1" t="s">
        <v>105</v>
      </c>
      <c r="M1722" s="1" t="str">
        <f>"北京 北京市 海淀区 "</f>
        <v xml:space="preserve">北京 北京市 海淀区 </v>
      </c>
      <c r="N1722" s="1" t="str">
        <f t="shared" si="545"/>
        <v>凡华云仓-城南圆通-微信视频号</v>
      </c>
      <c r="O1722" s="5" t="s">
        <v>1760</v>
      </c>
      <c r="P1722" s="6">
        <v>0.17</v>
      </c>
      <c r="Q1722" s="11">
        <v>2</v>
      </c>
      <c r="R1722" s="11"/>
      <c r="S1722" s="11"/>
      <c r="T1722" s="11"/>
      <c r="U1722" s="11">
        <f t="shared" si="544"/>
        <v>2</v>
      </c>
      <c r="W1722">
        <v>2.2000000000000002</v>
      </c>
      <c r="X1722" s="1" t="s">
        <v>105</v>
      </c>
    </row>
    <row r="1723" spans="1:24" x14ac:dyDescent="0.25">
      <c r="A1723" s="1" t="str">
        <f t="shared" si="540"/>
        <v>卡卡杜-凤凰仓</v>
      </c>
      <c r="B1723" s="1" t="str">
        <f>"CK20241028514"</f>
        <v>CK20241028514</v>
      </c>
      <c r="C1723" s="1" t="str">
        <f>"DD2024102820049"</f>
        <v>DD2024102820049</v>
      </c>
      <c r="D1723" s="1" t="str">
        <f>"CK202410289751"</f>
        <v>CK202410289751</v>
      </c>
      <c r="E1723" s="1" t="str">
        <f>"3723605567131751425"</f>
        <v>3723605567131751425</v>
      </c>
      <c r="F1723" s="1" t="str">
        <f t="shared" si="541"/>
        <v>花都四部-凤凰仓</v>
      </c>
      <c r="G1723" s="1" t="str">
        <f t="shared" si="546"/>
        <v>卡卡杜企业店（视频号）</v>
      </c>
      <c r="H1723" s="1" t="str">
        <f t="shared" si="542"/>
        <v>正常订单</v>
      </c>
      <c r="I1723" s="1" t="str">
        <f t="shared" si="543"/>
        <v>已发货</v>
      </c>
      <c r="J1723" s="1" t="str">
        <f t="shared" si="547"/>
        <v>2</v>
      </c>
      <c r="K1723" s="1">
        <v>2</v>
      </c>
      <c r="L1723" s="1" t="s">
        <v>105</v>
      </c>
      <c r="M1723" s="1" t="str">
        <f>"北京 北京市 西城区 "</f>
        <v xml:space="preserve">北京 北京市 西城区 </v>
      </c>
      <c r="N1723" s="1" t="str">
        <f t="shared" si="545"/>
        <v>凡华云仓-城南圆通-微信视频号</v>
      </c>
      <c r="O1723" s="5" t="s">
        <v>1761</v>
      </c>
      <c r="P1723" s="6">
        <v>0.17</v>
      </c>
      <c r="Q1723" s="11">
        <v>2</v>
      </c>
      <c r="R1723" s="11"/>
      <c r="S1723" s="11"/>
      <c r="T1723" s="11"/>
      <c r="U1723" s="11">
        <f t="shared" si="544"/>
        <v>2</v>
      </c>
      <c r="W1723">
        <v>2.2000000000000002</v>
      </c>
      <c r="X1723" s="1" t="s">
        <v>105</v>
      </c>
    </row>
    <row r="1724" spans="1:24" x14ac:dyDescent="0.25">
      <c r="A1724" s="1" t="str">
        <f t="shared" si="540"/>
        <v>卡卡杜-凤凰仓</v>
      </c>
      <c r="B1724" s="1" t="str">
        <f>"CK20241028515"</f>
        <v>CK20241028515</v>
      </c>
      <c r="C1724" s="1" t="str">
        <f>"DD2024102820048"</f>
        <v>DD2024102820048</v>
      </c>
      <c r="D1724" s="1" t="str">
        <f>"CK202410289750"</f>
        <v>CK202410289750</v>
      </c>
      <c r="E1724" s="1" t="str">
        <f>"3723605567700341760"</f>
        <v>3723605567700341760</v>
      </c>
      <c r="F1724" s="1" t="str">
        <f t="shared" si="541"/>
        <v>花都四部-凤凰仓</v>
      </c>
      <c r="G1724" s="1" t="str">
        <f t="shared" si="546"/>
        <v>卡卡杜企业店（视频号）</v>
      </c>
      <c r="H1724" s="1" t="str">
        <f t="shared" si="542"/>
        <v>正常订单</v>
      </c>
      <c r="I1724" s="1" t="str">
        <f t="shared" si="543"/>
        <v>已发货</v>
      </c>
      <c r="J1724" s="1" t="str">
        <f t="shared" si="547"/>
        <v>2</v>
      </c>
      <c r="K1724" s="1">
        <v>2</v>
      </c>
      <c r="L1724" s="1" t="s">
        <v>105</v>
      </c>
      <c r="M1724" s="1" t="str">
        <f>"北京 北京市 丰台区 "</f>
        <v xml:space="preserve">北京 北京市 丰台区 </v>
      </c>
      <c r="N1724" s="1" t="str">
        <f t="shared" si="545"/>
        <v>凡华云仓-城南圆通-微信视频号</v>
      </c>
      <c r="O1724" s="5" t="s">
        <v>1762</v>
      </c>
      <c r="P1724" s="6">
        <v>0.17</v>
      </c>
      <c r="Q1724" s="11">
        <v>2</v>
      </c>
      <c r="R1724" s="11"/>
      <c r="S1724" s="11"/>
      <c r="T1724" s="11"/>
      <c r="U1724" s="11">
        <f t="shared" si="544"/>
        <v>2</v>
      </c>
      <c r="W1724">
        <v>2.2000000000000002</v>
      </c>
      <c r="X1724" s="1" t="s">
        <v>105</v>
      </c>
    </row>
    <row r="1725" spans="1:24" x14ac:dyDescent="0.25">
      <c r="A1725" s="1" t="str">
        <f t="shared" si="540"/>
        <v>卡卡杜-凤凰仓</v>
      </c>
      <c r="B1725" s="1" t="str">
        <f>"CK20241028513"</f>
        <v>CK20241028513</v>
      </c>
      <c r="C1725" s="1" t="str">
        <f>"DD2024102820047"</f>
        <v>DD2024102820047</v>
      </c>
      <c r="D1725" s="1" t="str">
        <f>"CK202410289749"</f>
        <v>CK202410289749</v>
      </c>
      <c r="E1725" s="1" t="str">
        <f>"3723605567913724928"</f>
        <v>3723605567913724928</v>
      </c>
      <c r="F1725" s="1" t="str">
        <f t="shared" si="541"/>
        <v>花都四部-凤凰仓</v>
      </c>
      <c r="G1725" s="1" t="str">
        <f t="shared" si="546"/>
        <v>卡卡杜企业店（视频号）</v>
      </c>
      <c r="H1725" s="1" t="str">
        <f t="shared" si="542"/>
        <v>正常订单</v>
      </c>
      <c r="I1725" s="1" t="str">
        <f t="shared" si="543"/>
        <v>已发货</v>
      </c>
      <c r="J1725" s="1" t="str">
        <f t="shared" si="547"/>
        <v>2</v>
      </c>
      <c r="K1725" s="1">
        <v>2</v>
      </c>
      <c r="L1725" s="1" t="s">
        <v>105</v>
      </c>
      <c r="M1725" s="1" t="str">
        <f>"北京 北京市 平谷区 "</f>
        <v xml:space="preserve">北京 北京市 平谷区 </v>
      </c>
      <c r="N1725" s="1" t="str">
        <f t="shared" si="545"/>
        <v>凡华云仓-城南圆通-微信视频号</v>
      </c>
      <c r="O1725" s="5" t="s">
        <v>1763</v>
      </c>
      <c r="P1725" s="6">
        <v>0.17</v>
      </c>
      <c r="Q1725" s="11">
        <v>2</v>
      </c>
      <c r="R1725" s="11"/>
      <c r="S1725" s="11"/>
      <c r="T1725" s="11"/>
      <c r="U1725" s="11">
        <f t="shared" si="544"/>
        <v>2</v>
      </c>
      <c r="W1725">
        <v>2.2000000000000002</v>
      </c>
      <c r="X1725" s="1" t="s">
        <v>105</v>
      </c>
    </row>
    <row r="1726" spans="1:24" x14ac:dyDescent="0.25">
      <c r="A1726" s="1" t="str">
        <f t="shared" si="540"/>
        <v>卡卡杜-凤凰仓</v>
      </c>
      <c r="B1726" s="1" t="str">
        <f>"CK20241028511"</f>
        <v>CK20241028511</v>
      </c>
      <c r="C1726" s="1" t="str">
        <f>"DD2024102820046"</f>
        <v>DD2024102820046</v>
      </c>
      <c r="D1726" s="1" t="str">
        <f>"CK202410289748"</f>
        <v>CK202410289748</v>
      </c>
      <c r="E1726" s="1" t="str">
        <f>"3723605567209608192"</f>
        <v>3723605567209608192</v>
      </c>
      <c r="F1726" s="1" t="str">
        <f t="shared" si="541"/>
        <v>花都四部-凤凰仓</v>
      </c>
      <c r="G1726" s="1" t="str">
        <f t="shared" si="546"/>
        <v>卡卡杜企业店（视频号）</v>
      </c>
      <c r="H1726" s="1" t="str">
        <f t="shared" si="542"/>
        <v>正常订单</v>
      </c>
      <c r="I1726" s="1" t="str">
        <f t="shared" si="543"/>
        <v>已发货</v>
      </c>
      <c r="J1726" s="1" t="str">
        <f t="shared" si="547"/>
        <v>2</v>
      </c>
      <c r="K1726" s="1">
        <v>2</v>
      </c>
      <c r="L1726" s="1" t="s">
        <v>66</v>
      </c>
      <c r="M1726" s="1" t="str">
        <f>"内蒙古自治区 阿拉善盟 阿拉善左旗 "</f>
        <v xml:space="preserve">内蒙古自治区 阿拉善盟 阿拉善左旗 </v>
      </c>
      <c r="N1726" s="1" t="str">
        <f t="shared" si="545"/>
        <v>凡华云仓-城南圆通-微信视频号</v>
      </c>
      <c r="O1726" s="5" t="s">
        <v>1764</v>
      </c>
      <c r="P1726" s="6">
        <v>0.17</v>
      </c>
      <c r="Q1726" s="11">
        <v>2</v>
      </c>
      <c r="R1726" s="11"/>
      <c r="S1726" s="11"/>
      <c r="T1726" s="11"/>
      <c r="U1726" s="11">
        <f t="shared" si="544"/>
        <v>2</v>
      </c>
      <c r="W1726">
        <v>2.2000000000000002</v>
      </c>
      <c r="X1726" s="1" t="s">
        <v>66</v>
      </c>
    </row>
    <row r="1727" spans="1:24" x14ac:dyDescent="0.25">
      <c r="A1727" s="1" t="str">
        <f t="shared" si="540"/>
        <v>卡卡杜-凤凰仓</v>
      </c>
      <c r="B1727" s="1" t="str">
        <f>"CK20241028510"</f>
        <v>CK20241028510</v>
      </c>
      <c r="C1727" s="1" t="str">
        <f>"DD2024102820045"</f>
        <v>DD2024102820045</v>
      </c>
      <c r="D1727" s="1" t="str">
        <f>"CK202410289747"</f>
        <v>CK202410289747</v>
      </c>
      <c r="E1727" s="1" t="str">
        <f>"3723605566888477953"</f>
        <v>3723605566888477953</v>
      </c>
      <c r="F1727" s="1" t="str">
        <f t="shared" si="541"/>
        <v>花都四部-凤凰仓</v>
      </c>
      <c r="G1727" s="1" t="str">
        <f t="shared" si="546"/>
        <v>卡卡杜企业店（视频号）</v>
      </c>
      <c r="H1727" s="1" t="str">
        <f t="shared" si="542"/>
        <v>正常订单</v>
      </c>
      <c r="I1727" s="1" t="str">
        <f t="shared" si="543"/>
        <v>已发货</v>
      </c>
      <c r="J1727" s="1" t="str">
        <f t="shared" si="547"/>
        <v>2</v>
      </c>
      <c r="K1727" s="1">
        <v>2</v>
      </c>
      <c r="L1727" s="1" t="s">
        <v>218</v>
      </c>
      <c r="M1727" s="1" t="str">
        <f>"天津 天津市 河西区 "</f>
        <v xml:space="preserve">天津 天津市 河西区 </v>
      </c>
      <c r="N1727" s="1" t="str">
        <f t="shared" si="545"/>
        <v>凡华云仓-城南圆通-微信视频号</v>
      </c>
      <c r="O1727" s="5" t="s">
        <v>1765</v>
      </c>
      <c r="P1727" s="6">
        <v>0.17</v>
      </c>
      <c r="Q1727" s="11">
        <v>2</v>
      </c>
      <c r="R1727" s="11"/>
      <c r="S1727" s="11"/>
      <c r="T1727" s="11"/>
      <c r="U1727" s="11">
        <f t="shared" si="544"/>
        <v>2</v>
      </c>
      <c r="W1727">
        <v>2.2000000000000002</v>
      </c>
      <c r="X1727" s="1" t="s">
        <v>218</v>
      </c>
    </row>
    <row r="1728" spans="1:24" x14ac:dyDescent="0.25">
      <c r="A1728" s="1" t="str">
        <f t="shared" si="540"/>
        <v>卡卡杜-凤凰仓</v>
      </c>
      <c r="B1728" s="1" t="str">
        <f>"CK20241028509"</f>
        <v>CK20241028509</v>
      </c>
      <c r="C1728" s="1" t="str">
        <f>"DD2024102820044"</f>
        <v>DD2024102820044</v>
      </c>
      <c r="D1728" s="1" t="str">
        <f>"CK202410289746"</f>
        <v>CK202410289746</v>
      </c>
      <c r="E1728" s="1" t="str">
        <f>"3723605565712240640"</f>
        <v>3723605565712240640</v>
      </c>
      <c r="F1728" s="1" t="str">
        <f t="shared" si="541"/>
        <v>花都四部-凤凰仓</v>
      </c>
      <c r="G1728" s="1" t="str">
        <f t="shared" si="546"/>
        <v>卡卡杜企业店（视频号）</v>
      </c>
      <c r="H1728" s="1" t="str">
        <f t="shared" si="542"/>
        <v>正常订单</v>
      </c>
      <c r="I1728" s="1" t="str">
        <f t="shared" si="543"/>
        <v>已发货</v>
      </c>
      <c r="J1728" s="1" t="str">
        <f t="shared" si="547"/>
        <v>2</v>
      </c>
      <c r="K1728" s="1">
        <v>2</v>
      </c>
      <c r="L1728" s="1" t="s">
        <v>16</v>
      </c>
      <c r="M1728" s="1" t="str">
        <f>"河北省 唐山市 路北区 "</f>
        <v xml:space="preserve">河北省 唐山市 路北区 </v>
      </c>
      <c r="N1728" s="1" t="str">
        <f t="shared" si="545"/>
        <v>凡华云仓-城南圆通-微信视频号</v>
      </c>
      <c r="O1728" s="5" t="s">
        <v>1766</v>
      </c>
      <c r="P1728" s="6">
        <v>0.17</v>
      </c>
      <c r="Q1728" s="11">
        <v>2</v>
      </c>
      <c r="R1728" s="11"/>
      <c r="S1728" s="11"/>
      <c r="T1728" s="11"/>
      <c r="U1728" s="11">
        <f t="shared" si="544"/>
        <v>2</v>
      </c>
      <c r="W1728">
        <v>2.2000000000000002</v>
      </c>
      <c r="X1728" s="1" t="s">
        <v>16</v>
      </c>
    </row>
    <row r="1729" spans="1:24" x14ac:dyDescent="0.25">
      <c r="A1729" s="1" t="str">
        <f t="shared" si="540"/>
        <v>卡卡杜-凤凰仓</v>
      </c>
      <c r="B1729" s="1" t="str">
        <f>"CK20241028508"</f>
        <v>CK20241028508</v>
      </c>
      <c r="C1729" s="1" t="str">
        <f>"DD2024102820043"</f>
        <v>DD2024102820043</v>
      </c>
      <c r="D1729" s="1" t="str">
        <f>"CK202410289745"</f>
        <v>CK202410289745</v>
      </c>
      <c r="E1729" s="1" t="str">
        <f>"3723605568556238080"</f>
        <v>3723605568556238080</v>
      </c>
      <c r="F1729" s="1" t="str">
        <f t="shared" si="541"/>
        <v>花都四部-凤凰仓</v>
      </c>
      <c r="G1729" s="1" t="str">
        <f t="shared" si="546"/>
        <v>卡卡杜企业店（视频号）</v>
      </c>
      <c r="H1729" s="1" t="str">
        <f t="shared" si="542"/>
        <v>正常订单</v>
      </c>
      <c r="I1729" s="1" t="str">
        <f t="shared" si="543"/>
        <v>已发货</v>
      </c>
      <c r="J1729" s="1" t="str">
        <f t="shared" si="547"/>
        <v>2</v>
      </c>
      <c r="K1729" s="1">
        <v>2</v>
      </c>
      <c r="L1729" s="1" t="s">
        <v>54</v>
      </c>
      <c r="M1729" s="1" t="str">
        <f>"黑龙江省 哈尔滨市 道里区 "</f>
        <v xml:space="preserve">黑龙江省 哈尔滨市 道里区 </v>
      </c>
      <c r="N1729" s="1" t="str">
        <f t="shared" si="545"/>
        <v>凡华云仓-城南圆通-微信视频号</v>
      </c>
      <c r="O1729" s="5" t="s">
        <v>1767</v>
      </c>
      <c r="P1729" s="6">
        <v>0.17</v>
      </c>
      <c r="Q1729" s="11">
        <v>2</v>
      </c>
      <c r="R1729" s="11"/>
      <c r="S1729" s="11"/>
      <c r="T1729" s="11"/>
      <c r="U1729" s="11">
        <f t="shared" si="544"/>
        <v>2</v>
      </c>
      <c r="W1729">
        <v>2.2000000000000002</v>
      </c>
      <c r="X1729" s="1" t="s">
        <v>54</v>
      </c>
    </row>
    <row r="1730" spans="1:24" x14ac:dyDescent="0.25">
      <c r="A1730" s="1" t="str">
        <f t="shared" ref="A1730:A1793" si="548">"卡卡杜-凤凰仓"</f>
        <v>卡卡杜-凤凰仓</v>
      </c>
      <c r="B1730" s="1" t="str">
        <f>"CK20241028507"</f>
        <v>CK20241028507</v>
      </c>
      <c r="C1730" s="1" t="str">
        <f>"DD2024102820042"</f>
        <v>DD2024102820042</v>
      </c>
      <c r="D1730" s="1" t="str">
        <f>"CK202410289744"</f>
        <v>CK202410289744</v>
      </c>
      <c r="E1730" s="1" t="str">
        <f>"3723605567947801857"</f>
        <v>3723605567947801857</v>
      </c>
      <c r="F1730" s="1" t="str">
        <f t="shared" ref="F1730:F1793" si="549">"花都四部-凤凰仓"</f>
        <v>花都四部-凤凰仓</v>
      </c>
      <c r="G1730" s="1" t="str">
        <f t="shared" si="546"/>
        <v>卡卡杜企业店（视频号）</v>
      </c>
      <c r="H1730" s="1" t="str">
        <f t="shared" ref="H1730:H1793" si="550">"正常订单"</f>
        <v>正常订单</v>
      </c>
      <c r="I1730" s="1" t="str">
        <f t="shared" ref="I1730:I1793" si="551">"已发货"</f>
        <v>已发货</v>
      </c>
      <c r="J1730" s="1" t="str">
        <f t="shared" si="547"/>
        <v>2</v>
      </c>
      <c r="K1730" s="1">
        <v>2</v>
      </c>
      <c r="L1730" s="1" t="s">
        <v>41</v>
      </c>
      <c r="M1730" s="1" t="str">
        <f>"湖北省 荆州市 沙市区 "</f>
        <v xml:space="preserve">湖北省 荆州市 沙市区 </v>
      </c>
      <c r="N1730" s="1" t="str">
        <f t="shared" si="545"/>
        <v>凡华云仓-城南圆通-微信视频号</v>
      </c>
      <c r="O1730" s="5" t="s">
        <v>1768</v>
      </c>
      <c r="P1730" s="6">
        <v>0.17</v>
      </c>
      <c r="Q1730" s="11">
        <v>2</v>
      </c>
      <c r="R1730" s="11"/>
      <c r="S1730" s="11"/>
      <c r="T1730" s="11"/>
      <c r="U1730" s="11">
        <f t="shared" si="544"/>
        <v>2</v>
      </c>
      <c r="W1730">
        <v>2.2000000000000002</v>
      </c>
      <c r="X1730" s="1" t="s">
        <v>41</v>
      </c>
    </row>
    <row r="1731" spans="1:24" x14ac:dyDescent="0.25">
      <c r="A1731" s="1" t="str">
        <f t="shared" si="548"/>
        <v>卡卡杜-凤凰仓</v>
      </c>
      <c r="B1731" s="1" t="str">
        <f>"CK20241028505"</f>
        <v>CK20241028505</v>
      </c>
      <c r="C1731" s="1" t="str">
        <f>"DD2024102820041"</f>
        <v>DD2024102820041</v>
      </c>
      <c r="D1731" s="1" t="str">
        <f>"CK202410289743"</f>
        <v>CK202410289743</v>
      </c>
      <c r="E1731" s="1" t="str">
        <f>"3723605569854113280"</f>
        <v>3723605569854113280</v>
      </c>
      <c r="F1731" s="1" t="str">
        <f t="shared" si="549"/>
        <v>花都四部-凤凰仓</v>
      </c>
      <c r="G1731" s="1" t="str">
        <f t="shared" si="546"/>
        <v>卡卡杜企业店（视频号）</v>
      </c>
      <c r="H1731" s="1" t="str">
        <f t="shared" si="550"/>
        <v>正常订单</v>
      </c>
      <c r="I1731" s="1" t="str">
        <f t="shared" si="551"/>
        <v>已发货</v>
      </c>
      <c r="J1731" s="1" t="str">
        <f t="shared" si="547"/>
        <v>2</v>
      </c>
      <c r="K1731" s="1">
        <v>2</v>
      </c>
      <c r="L1731" s="1" t="s">
        <v>36</v>
      </c>
      <c r="M1731" s="1" t="str">
        <f>"安徽省 合肥市 包河区 "</f>
        <v xml:space="preserve">安徽省 合肥市 包河区 </v>
      </c>
      <c r="N1731" s="1" t="str">
        <f t="shared" si="545"/>
        <v>凡华云仓-城南圆通-微信视频号</v>
      </c>
      <c r="O1731" s="5" t="s">
        <v>1769</v>
      </c>
      <c r="P1731" s="6">
        <v>0.17</v>
      </c>
      <c r="Q1731" s="11">
        <v>2</v>
      </c>
      <c r="R1731" s="11"/>
      <c r="S1731" s="11"/>
      <c r="T1731" s="11"/>
      <c r="U1731" s="11">
        <f t="shared" ref="U1731:U1794" si="552">T1731+S1731+R1731+Q1731</f>
        <v>2</v>
      </c>
      <c r="W1731">
        <v>2.2000000000000002</v>
      </c>
      <c r="X1731" s="1" t="s">
        <v>36</v>
      </c>
    </row>
    <row r="1732" spans="1:24" x14ac:dyDescent="0.25">
      <c r="A1732" s="1" t="str">
        <f t="shared" si="548"/>
        <v>卡卡杜-凤凰仓</v>
      </c>
      <c r="B1732" s="1" t="str">
        <f>"CK20241028506"</f>
        <v>CK20241028506</v>
      </c>
      <c r="C1732" s="1" t="str">
        <f>"DD2024102820040"</f>
        <v>DD2024102820040</v>
      </c>
      <c r="D1732" s="1" t="str">
        <f>"CK202410289742"</f>
        <v>CK202410289742</v>
      </c>
      <c r="E1732" s="1" t="str">
        <f>"3723605568711427585"</f>
        <v>3723605568711427585</v>
      </c>
      <c r="F1732" s="1" t="str">
        <f t="shared" si="549"/>
        <v>花都四部-凤凰仓</v>
      </c>
      <c r="G1732" s="1" t="str">
        <f t="shared" si="546"/>
        <v>卡卡杜企业店（视频号）</v>
      </c>
      <c r="H1732" s="1" t="str">
        <f t="shared" si="550"/>
        <v>正常订单</v>
      </c>
      <c r="I1732" s="1" t="str">
        <f t="shared" si="551"/>
        <v>已发货</v>
      </c>
      <c r="J1732" s="1" t="str">
        <f t="shared" si="547"/>
        <v>2</v>
      </c>
      <c r="K1732" s="1">
        <v>2</v>
      </c>
      <c r="L1732" s="1" t="s">
        <v>18</v>
      </c>
      <c r="M1732" s="1" t="str">
        <f>"广东省 广州市 越秀区 "</f>
        <v xml:space="preserve">广东省 广州市 越秀区 </v>
      </c>
      <c r="N1732" s="1" t="str">
        <f t="shared" si="545"/>
        <v>凡华云仓-城南圆通-微信视频号</v>
      </c>
      <c r="O1732" s="5" t="s">
        <v>1770</v>
      </c>
      <c r="P1732" s="6">
        <v>0.17</v>
      </c>
      <c r="Q1732" s="11">
        <v>2</v>
      </c>
      <c r="R1732" s="11"/>
      <c r="S1732" s="11"/>
      <c r="T1732" s="11"/>
      <c r="U1732" s="11">
        <f t="shared" si="552"/>
        <v>2</v>
      </c>
      <c r="W1732">
        <v>2.2000000000000002</v>
      </c>
      <c r="X1732" s="1" t="s">
        <v>18</v>
      </c>
    </row>
    <row r="1733" spans="1:24" x14ac:dyDescent="0.25">
      <c r="A1733" s="1" t="str">
        <f t="shared" si="548"/>
        <v>卡卡杜-凤凰仓</v>
      </c>
      <c r="B1733" s="1" t="str">
        <f>"CK20241028504"</f>
        <v>CK20241028504</v>
      </c>
      <c r="C1733" s="1" t="str">
        <f>"DD2024102820039"</f>
        <v>DD2024102820039</v>
      </c>
      <c r="D1733" s="1" t="str">
        <f>"CK202410289741"</f>
        <v>CK202410289741</v>
      </c>
      <c r="E1733" s="1" t="str">
        <f>"3723605571132853248"</f>
        <v>3723605571132853248</v>
      </c>
      <c r="F1733" s="1" t="str">
        <f t="shared" si="549"/>
        <v>花都四部-凤凰仓</v>
      </c>
      <c r="G1733" s="1" t="str">
        <f t="shared" si="546"/>
        <v>卡卡杜企业店（视频号）</v>
      </c>
      <c r="H1733" s="1" t="str">
        <f t="shared" si="550"/>
        <v>正常订单</v>
      </c>
      <c r="I1733" s="1" t="str">
        <f t="shared" si="551"/>
        <v>已发货</v>
      </c>
      <c r="J1733" s="1" t="str">
        <f t="shared" si="547"/>
        <v>2</v>
      </c>
      <c r="K1733" s="1">
        <v>2</v>
      </c>
      <c r="L1733" s="1" t="s">
        <v>105</v>
      </c>
      <c r="M1733" s="1" t="str">
        <f>"北京 北京市 丰台区 "</f>
        <v xml:space="preserve">北京 北京市 丰台区 </v>
      </c>
      <c r="N1733" s="1" t="str">
        <f t="shared" si="545"/>
        <v>凡华云仓-城南圆通-微信视频号</v>
      </c>
      <c r="O1733" s="5" t="s">
        <v>1771</v>
      </c>
      <c r="P1733" s="6">
        <v>0.17</v>
      </c>
      <c r="Q1733" s="11">
        <v>2</v>
      </c>
      <c r="R1733" s="11"/>
      <c r="S1733" s="11"/>
      <c r="T1733" s="11"/>
      <c r="U1733" s="11">
        <f t="shared" si="552"/>
        <v>2</v>
      </c>
      <c r="W1733">
        <v>2.2000000000000002</v>
      </c>
      <c r="X1733" s="1" t="s">
        <v>105</v>
      </c>
    </row>
    <row r="1734" spans="1:24" x14ac:dyDescent="0.25">
      <c r="A1734" s="1" t="str">
        <f t="shared" si="548"/>
        <v>卡卡杜-凤凰仓</v>
      </c>
      <c r="B1734" s="1" t="str">
        <f>"CK20241028503"</f>
        <v>CK20241028503</v>
      </c>
      <c r="C1734" s="1" t="str">
        <f>"DD2024102820038"</f>
        <v>DD2024102820038</v>
      </c>
      <c r="D1734" s="1" t="str">
        <f>"CK202410289740"</f>
        <v>CK202410289740</v>
      </c>
      <c r="E1734" s="1" t="str">
        <f>"3723605571959394304"</f>
        <v>3723605571959394304</v>
      </c>
      <c r="F1734" s="1" t="str">
        <f t="shared" si="549"/>
        <v>花都四部-凤凰仓</v>
      </c>
      <c r="G1734" s="1" t="str">
        <f t="shared" si="546"/>
        <v>卡卡杜企业店（视频号）</v>
      </c>
      <c r="H1734" s="1" t="str">
        <f t="shared" si="550"/>
        <v>正常订单</v>
      </c>
      <c r="I1734" s="1" t="str">
        <f t="shared" si="551"/>
        <v>已发货</v>
      </c>
      <c r="J1734" s="1" t="str">
        <f t="shared" si="547"/>
        <v>2</v>
      </c>
      <c r="K1734" s="1">
        <v>2</v>
      </c>
      <c r="L1734" s="1" t="s">
        <v>105</v>
      </c>
      <c r="M1734" s="1" t="str">
        <f>"北京 北京市 朝阳区 "</f>
        <v xml:space="preserve">北京 北京市 朝阳区 </v>
      </c>
      <c r="N1734" s="1" t="str">
        <f t="shared" si="545"/>
        <v>凡华云仓-城南圆通-微信视频号</v>
      </c>
      <c r="O1734" s="5" t="s">
        <v>1772</v>
      </c>
      <c r="P1734" s="6">
        <v>0.17</v>
      </c>
      <c r="Q1734" s="11">
        <v>2</v>
      </c>
      <c r="R1734" s="11"/>
      <c r="S1734" s="11"/>
      <c r="T1734" s="11"/>
      <c r="U1734" s="11">
        <f t="shared" si="552"/>
        <v>2</v>
      </c>
      <c r="W1734">
        <v>2.2000000000000002</v>
      </c>
      <c r="X1734" s="1" t="s">
        <v>105</v>
      </c>
    </row>
    <row r="1735" spans="1:24" x14ac:dyDescent="0.25">
      <c r="A1735" s="1" t="str">
        <f t="shared" si="548"/>
        <v>卡卡杜-凤凰仓</v>
      </c>
      <c r="B1735" s="1" t="str">
        <f>"CK20241028501"</f>
        <v>CK20241028501</v>
      </c>
      <c r="C1735" s="1" t="str">
        <f>"DD2024102820037"</f>
        <v>DD2024102820037</v>
      </c>
      <c r="D1735" s="1" t="str">
        <f>"CK202410289739"</f>
        <v>CK202410289739</v>
      </c>
      <c r="E1735" s="1" t="str">
        <f>"3723605573144282624"</f>
        <v>3723605573144282624</v>
      </c>
      <c r="F1735" s="1" t="str">
        <f t="shared" si="549"/>
        <v>花都四部-凤凰仓</v>
      </c>
      <c r="G1735" s="1" t="str">
        <f t="shared" si="546"/>
        <v>卡卡杜企业店（视频号）</v>
      </c>
      <c r="H1735" s="1" t="str">
        <f t="shared" si="550"/>
        <v>正常订单</v>
      </c>
      <c r="I1735" s="1" t="str">
        <f t="shared" si="551"/>
        <v>已发货</v>
      </c>
      <c r="J1735" s="1" t="str">
        <f t="shared" si="547"/>
        <v>2</v>
      </c>
      <c r="K1735" s="1">
        <v>2</v>
      </c>
      <c r="L1735" s="1" t="s">
        <v>66</v>
      </c>
      <c r="M1735" s="1" t="str">
        <f>"内蒙古自治区 包头市 昆都仑区 "</f>
        <v xml:space="preserve">内蒙古自治区 包头市 昆都仑区 </v>
      </c>
      <c r="N1735" s="1" t="str">
        <f t="shared" si="545"/>
        <v>凡华云仓-城南圆通-微信视频号</v>
      </c>
      <c r="O1735" s="5" t="s">
        <v>1773</v>
      </c>
      <c r="P1735" s="6">
        <v>0.17</v>
      </c>
      <c r="Q1735" s="11">
        <v>2</v>
      </c>
      <c r="R1735" s="11"/>
      <c r="S1735" s="11"/>
      <c r="T1735" s="11"/>
      <c r="U1735" s="11">
        <f t="shared" si="552"/>
        <v>2</v>
      </c>
      <c r="W1735">
        <v>2.2000000000000002</v>
      </c>
      <c r="X1735" s="1" t="s">
        <v>66</v>
      </c>
    </row>
    <row r="1736" spans="1:24" x14ac:dyDescent="0.25">
      <c r="A1736" s="1" t="str">
        <f t="shared" si="548"/>
        <v>卡卡杜-凤凰仓</v>
      </c>
      <c r="B1736" s="1" t="str">
        <f>"CK20241028502"</f>
        <v>CK20241028502</v>
      </c>
      <c r="C1736" s="1" t="str">
        <f>"DD2024102820036"</f>
        <v>DD2024102820036</v>
      </c>
      <c r="D1736" s="1" t="str">
        <f>"CK202410289738"</f>
        <v>CK202410289738</v>
      </c>
      <c r="E1736" s="1" t="str">
        <f>"3723605573298951168"</f>
        <v>3723605573298951168</v>
      </c>
      <c r="F1736" s="1" t="str">
        <f t="shared" si="549"/>
        <v>花都四部-凤凰仓</v>
      </c>
      <c r="G1736" s="1" t="str">
        <f t="shared" si="546"/>
        <v>卡卡杜企业店（视频号）</v>
      </c>
      <c r="H1736" s="1" t="str">
        <f t="shared" si="550"/>
        <v>正常订单</v>
      </c>
      <c r="I1736" s="1" t="str">
        <f t="shared" si="551"/>
        <v>已发货</v>
      </c>
      <c r="J1736" s="1" t="str">
        <f t="shared" si="547"/>
        <v>2</v>
      </c>
      <c r="K1736" s="1">
        <v>2</v>
      </c>
      <c r="L1736" s="1" t="s">
        <v>20</v>
      </c>
      <c r="M1736" s="1" t="str">
        <f>"浙江省 宁波市 海曙区 "</f>
        <v xml:space="preserve">浙江省 宁波市 海曙区 </v>
      </c>
      <c r="N1736" s="1" t="str">
        <f t="shared" si="545"/>
        <v>凡华云仓-城南圆通-微信视频号</v>
      </c>
      <c r="O1736" s="5" t="s">
        <v>1774</v>
      </c>
      <c r="P1736" s="6">
        <v>0.17</v>
      </c>
      <c r="Q1736" s="11">
        <v>2</v>
      </c>
      <c r="R1736" s="11"/>
      <c r="S1736" s="11"/>
      <c r="T1736" s="11"/>
      <c r="U1736" s="11">
        <f t="shared" si="552"/>
        <v>2</v>
      </c>
      <c r="W1736">
        <v>2.2000000000000002</v>
      </c>
      <c r="X1736" s="1" t="s">
        <v>20</v>
      </c>
    </row>
    <row r="1737" spans="1:24" x14ac:dyDescent="0.25">
      <c r="A1737" s="1" t="str">
        <f t="shared" si="548"/>
        <v>卡卡杜-凤凰仓</v>
      </c>
      <c r="B1737" s="1" t="str">
        <f>"CK20241028499"</f>
        <v>CK20241028499</v>
      </c>
      <c r="C1737" s="1" t="str">
        <f>"DD2024102820035"</f>
        <v>DD2024102820035</v>
      </c>
      <c r="D1737" s="1" t="str">
        <f>"CK202410289737"</f>
        <v>CK202410289737</v>
      </c>
      <c r="E1737" s="1" t="str">
        <f>"3723605573093954560"</f>
        <v>3723605573093954560</v>
      </c>
      <c r="F1737" s="1" t="str">
        <f t="shared" si="549"/>
        <v>花都四部-凤凰仓</v>
      </c>
      <c r="G1737" s="1" t="str">
        <f t="shared" si="546"/>
        <v>卡卡杜企业店（视频号）</v>
      </c>
      <c r="H1737" s="1" t="str">
        <f t="shared" si="550"/>
        <v>正常订单</v>
      </c>
      <c r="I1737" s="1" t="str">
        <f t="shared" si="551"/>
        <v>已发货</v>
      </c>
      <c r="J1737" s="1" t="str">
        <f t="shared" si="547"/>
        <v>2</v>
      </c>
      <c r="K1737" s="1">
        <v>2</v>
      </c>
      <c r="L1737" s="1" t="s">
        <v>54</v>
      </c>
      <c r="M1737" s="1" t="str">
        <f>"黑龙江省 哈尔滨市 南岗区 "</f>
        <v xml:space="preserve">黑龙江省 哈尔滨市 南岗区 </v>
      </c>
      <c r="N1737" s="1" t="str">
        <f t="shared" si="545"/>
        <v>凡华云仓-城南圆通-微信视频号</v>
      </c>
      <c r="O1737" s="5" t="s">
        <v>1775</v>
      </c>
      <c r="P1737" s="6">
        <v>0.17</v>
      </c>
      <c r="Q1737" s="11">
        <v>2</v>
      </c>
      <c r="R1737" s="11"/>
      <c r="S1737" s="11"/>
      <c r="T1737" s="11"/>
      <c r="U1737" s="11">
        <f t="shared" si="552"/>
        <v>2</v>
      </c>
      <c r="W1737">
        <v>2.2000000000000002</v>
      </c>
      <c r="X1737" s="1" t="s">
        <v>54</v>
      </c>
    </row>
    <row r="1738" spans="1:24" x14ac:dyDescent="0.25">
      <c r="A1738" s="1" t="str">
        <f t="shared" si="548"/>
        <v>卡卡杜-凤凰仓</v>
      </c>
      <c r="B1738" s="1" t="str">
        <f>"CK20241028500"</f>
        <v>CK20241028500</v>
      </c>
      <c r="C1738" s="1" t="str">
        <f>"DD2024102820034"</f>
        <v>DD2024102820034</v>
      </c>
      <c r="D1738" s="1" t="str">
        <f>"CK202410289736"</f>
        <v>CK202410289736</v>
      </c>
      <c r="E1738" s="1" t="str">
        <f>"3723605567764301313"</f>
        <v>3723605567764301313</v>
      </c>
      <c r="F1738" s="1" t="str">
        <f t="shared" si="549"/>
        <v>花都四部-凤凰仓</v>
      </c>
      <c r="G1738" s="1" t="str">
        <f t="shared" si="546"/>
        <v>卡卡杜企业店（视频号）</v>
      </c>
      <c r="H1738" s="1" t="str">
        <f t="shared" si="550"/>
        <v>正常订单</v>
      </c>
      <c r="I1738" s="1" t="str">
        <f t="shared" si="551"/>
        <v>已发货</v>
      </c>
      <c r="J1738" s="1" t="str">
        <f t="shared" si="547"/>
        <v>2</v>
      </c>
      <c r="K1738" s="1">
        <v>2</v>
      </c>
      <c r="L1738" s="1" t="s">
        <v>92</v>
      </c>
      <c r="M1738" s="1" t="str">
        <f>"辽宁省 盘锦市 盘山县 "</f>
        <v xml:space="preserve">辽宁省 盘锦市 盘山县 </v>
      </c>
      <c r="N1738" s="1" t="str">
        <f t="shared" si="545"/>
        <v>凡华云仓-城南圆通-微信视频号</v>
      </c>
      <c r="O1738" s="5" t="s">
        <v>1776</v>
      </c>
      <c r="P1738" s="6">
        <v>0.17</v>
      </c>
      <c r="Q1738" s="11">
        <v>2</v>
      </c>
      <c r="R1738" s="11"/>
      <c r="S1738" s="11"/>
      <c r="T1738" s="11"/>
      <c r="U1738" s="11">
        <f t="shared" si="552"/>
        <v>2</v>
      </c>
      <c r="W1738">
        <v>2.2000000000000002</v>
      </c>
      <c r="X1738" s="1" t="s">
        <v>92</v>
      </c>
    </row>
    <row r="1739" spans="1:24" x14ac:dyDescent="0.25">
      <c r="A1739" s="1" t="str">
        <f t="shared" si="548"/>
        <v>卡卡杜-凤凰仓</v>
      </c>
      <c r="B1739" s="1" t="str">
        <f>"CK20241028498"</f>
        <v>CK20241028498</v>
      </c>
      <c r="C1739" s="1" t="str">
        <f>"DD2024102820033"</f>
        <v>DD2024102820033</v>
      </c>
      <c r="D1739" s="1" t="str">
        <f>"CK202410289735"</f>
        <v>CK202410289735</v>
      </c>
      <c r="E1739" s="1" t="str">
        <f>"3723605572789603329"</f>
        <v>3723605572789603329</v>
      </c>
      <c r="F1739" s="1" t="str">
        <f t="shared" si="549"/>
        <v>花都四部-凤凰仓</v>
      </c>
      <c r="G1739" s="1" t="str">
        <f t="shared" si="546"/>
        <v>卡卡杜企业店（视频号）</v>
      </c>
      <c r="H1739" s="1" t="str">
        <f t="shared" si="550"/>
        <v>正常订单</v>
      </c>
      <c r="I1739" s="1" t="str">
        <f t="shared" si="551"/>
        <v>已发货</v>
      </c>
      <c r="J1739" s="1" t="str">
        <f t="shared" si="547"/>
        <v>2</v>
      </c>
      <c r="K1739" s="1">
        <v>2</v>
      </c>
      <c r="L1739" s="1" t="s">
        <v>41</v>
      </c>
      <c r="M1739" s="1" t="str">
        <f>"湖北省 襄阳市 老河口市 "</f>
        <v xml:space="preserve">湖北省 襄阳市 老河口市 </v>
      </c>
      <c r="N1739" s="1" t="str">
        <f t="shared" si="545"/>
        <v>凡华云仓-城南圆通-微信视频号</v>
      </c>
      <c r="O1739" s="5" t="s">
        <v>1777</v>
      </c>
      <c r="P1739" s="6">
        <v>0.17</v>
      </c>
      <c r="Q1739" s="11">
        <v>2</v>
      </c>
      <c r="R1739" s="11"/>
      <c r="S1739" s="11"/>
      <c r="T1739" s="11"/>
      <c r="U1739" s="11">
        <f t="shared" si="552"/>
        <v>2</v>
      </c>
      <c r="W1739">
        <v>2.2000000000000002</v>
      </c>
      <c r="X1739" s="1" t="s">
        <v>41</v>
      </c>
    </row>
    <row r="1740" spans="1:24" x14ac:dyDescent="0.25">
      <c r="A1740" s="1" t="str">
        <f t="shared" si="548"/>
        <v>卡卡杜-凤凰仓</v>
      </c>
      <c r="B1740" s="1" t="str">
        <f>"CK20241028497"</f>
        <v>CK20241028497</v>
      </c>
      <c r="C1740" s="1" t="str">
        <f>"DD2024102820032"</f>
        <v>DD2024102820032</v>
      </c>
      <c r="D1740" s="1" t="str">
        <f>"CK202410289734"</f>
        <v>CK202410289734</v>
      </c>
      <c r="E1740" s="1" t="str">
        <f>"3723605572366763520"</f>
        <v>3723605572366763520</v>
      </c>
      <c r="F1740" s="1" t="str">
        <f t="shared" si="549"/>
        <v>花都四部-凤凰仓</v>
      </c>
      <c r="G1740" s="1" t="str">
        <f t="shared" si="546"/>
        <v>卡卡杜企业店（视频号）</v>
      </c>
      <c r="H1740" s="1" t="str">
        <f t="shared" si="550"/>
        <v>正常订单</v>
      </c>
      <c r="I1740" s="1" t="str">
        <f t="shared" si="551"/>
        <v>已发货</v>
      </c>
      <c r="J1740" s="1" t="str">
        <f t="shared" si="547"/>
        <v>2</v>
      </c>
      <c r="K1740" s="1">
        <v>2</v>
      </c>
      <c r="L1740" s="1" t="s">
        <v>54</v>
      </c>
      <c r="M1740" s="1" t="str">
        <f>"黑龙江省 佳木斯市 郊区 "</f>
        <v xml:space="preserve">黑龙江省 佳木斯市 郊区 </v>
      </c>
      <c r="N1740" s="1" t="str">
        <f t="shared" si="545"/>
        <v>凡华云仓-城南圆通-微信视频号</v>
      </c>
      <c r="O1740" s="5" t="s">
        <v>1778</v>
      </c>
      <c r="P1740" s="6">
        <v>0.17</v>
      </c>
      <c r="Q1740" s="11">
        <v>2</v>
      </c>
      <c r="R1740" s="11"/>
      <c r="S1740" s="11"/>
      <c r="T1740" s="11"/>
      <c r="U1740" s="11">
        <f t="shared" si="552"/>
        <v>2</v>
      </c>
      <c r="W1740">
        <v>2.2000000000000002</v>
      </c>
      <c r="X1740" s="1" t="s">
        <v>54</v>
      </c>
    </row>
    <row r="1741" spans="1:24" x14ac:dyDescent="0.25">
      <c r="A1741" s="1" t="str">
        <f t="shared" si="548"/>
        <v>卡卡杜-凤凰仓</v>
      </c>
      <c r="B1741" s="1" t="str">
        <f>"CK20241028496"</f>
        <v>CK20241028496</v>
      </c>
      <c r="C1741" s="1" t="str">
        <f>"DD2024102820031"</f>
        <v>DD2024102820031</v>
      </c>
      <c r="D1741" s="1" t="str">
        <f>"CK202410289733"</f>
        <v>CK202410289733</v>
      </c>
      <c r="E1741" s="1" t="str">
        <f>"3723605575617351680"</f>
        <v>3723605575617351680</v>
      </c>
      <c r="F1741" s="1" t="str">
        <f t="shared" si="549"/>
        <v>花都四部-凤凰仓</v>
      </c>
      <c r="G1741" s="1" t="str">
        <f t="shared" si="546"/>
        <v>卡卡杜企业店（视频号）</v>
      </c>
      <c r="H1741" s="1" t="str">
        <f t="shared" si="550"/>
        <v>正常订单</v>
      </c>
      <c r="I1741" s="1" t="str">
        <f t="shared" si="551"/>
        <v>已发货</v>
      </c>
      <c r="J1741" s="1" t="str">
        <f t="shared" si="547"/>
        <v>2</v>
      </c>
      <c r="K1741" s="1">
        <v>2</v>
      </c>
      <c r="L1741" s="1" t="s">
        <v>32</v>
      </c>
      <c r="M1741" s="1" t="str">
        <f>"陕西省 西安市 新城区 "</f>
        <v xml:space="preserve">陕西省 西安市 新城区 </v>
      </c>
      <c r="N1741" s="1" t="str">
        <f t="shared" si="545"/>
        <v>凡华云仓-城南圆通-微信视频号</v>
      </c>
      <c r="O1741" s="5" t="s">
        <v>1779</v>
      </c>
      <c r="P1741" s="6">
        <v>0.17</v>
      </c>
      <c r="Q1741" s="11">
        <v>2</v>
      </c>
      <c r="R1741" s="11"/>
      <c r="S1741" s="11"/>
      <c r="T1741" s="11"/>
      <c r="U1741" s="11">
        <f t="shared" si="552"/>
        <v>2</v>
      </c>
      <c r="W1741">
        <v>2.2000000000000002</v>
      </c>
      <c r="X1741" s="1" t="s">
        <v>32</v>
      </c>
    </row>
    <row r="1742" spans="1:24" x14ac:dyDescent="0.25">
      <c r="A1742" s="1" t="str">
        <f t="shared" si="548"/>
        <v>卡卡杜-凤凰仓</v>
      </c>
      <c r="B1742" s="1" t="str">
        <f>"CK20241028495"</f>
        <v>CK20241028495</v>
      </c>
      <c r="C1742" s="1" t="str">
        <f>"DD2024102820030"</f>
        <v>DD2024102820030</v>
      </c>
      <c r="D1742" s="1" t="str">
        <f>"CK202410289732"</f>
        <v>CK202410289732</v>
      </c>
      <c r="E1742" s="1" t="str">
        <f>"3723605575538181632"</f>
        <v>3723605575538181632</v>
      </c>
      <c r="F1742" s="1" t="str">
        <f t="shared" si="549"/>
        <v>花都四部-凤凰仓</v>
      </c>
      <c r="G1742" s="1" t="str">
        <f t="shared" si="546"/>
        <v>卡卡杜企业店（视频号）</v>
      </c>
      <c r="H1742" s="1" t="str">
        <f t="shared" si="550"/>
        <v>正常订单</v>
      </c>
      <c r="I1742" s="1" t="str">
        <f t="shared" si="551"/>
        <v>已发货</v>
      </c>
      <c r="J1742" s="1" t="str">
        <f t="shared" si="547"/>
        <v>2</v>
      </c>
      <c r="K1742" s="1">
        <v>2</v>
      </c>
      <c r="L1742" s="1" t="s">
        <v>18</v>
      </c>
      <c r="M1742" s="1" t="str">
        <f>"广东省 佛山市 南海区 "</f>
        <v xml:space="preserve">广东省 佛山市 南海区 </v>
      </c>
      <c r="N1742" s="1" t="str">
        <f t="shared" si="545"/>
        <v>凡华云仓-城南圆通-微信视频号</v>
      </c>
      <c r="O1742" s="5" t="s">
        <v>1780</v>
      </c>
      <c r="P1742" s="6">
        <v>0.17</v>
      </c>
      <c r="Q1742" s="11">
        <v>2</v>
      </c>
      <c r="R1742" s="11"/>
      <c r="S1742" s="11"/>
      <c r="T1742" s="11"/>
      <c r="U1742" s="11">
        <f t="shared" si="552"/>
        <v>2</v>
      </c>
      <c r="W1742">
        <v>2.2000000000000002</v>
      </c>
      <c r="X1742" s="1" t="s">
        <v>18</v>
      </c>
    </row>
    <row r="1743" spans="1:24" x14ac:dyDescent="0.25">
      <c r="A1743" s="1" t="str">
        <f t="shared" si="548"/>
        <v>卡卡杜-凤凰仓</v>
      </c>
      <c r="B1743" s="1" t="str">
        <f>"CK20241028494"</f>
        <v>CK20241028494</v>
      </c>
      <c r="C1743" s="1" t="str">
        <f>"DD2024102820029"</f>
        <v>DD2024102820029</v>
      </c>
      <c r="D1743" s="1" t="str">
        <f>"CK202410289731"</f>
        <v>CK202410289731</v>
      </c>
      <c r="E1743" s="1" t="str">
        <f>"3723605576015286272"</f>
        <v>3723605576015286272</v>
      </c>
      <c r="F1743" s="1" t="str">
        <f t="shared" si="549"/>
        <v>花都四部-凤凰仓</v>
      </c>
      <c r="G1743" s="1" t="str">
        <f t="shared" si="546"/>
        <v>卡卡杜企业店（视频号）</v>
      </c>
      <c r="H1743" s="1" t="str">
        <f t="shared" si="550"/>
        <v>正常订单</v>
      </c>
      <c r="I1743" s="1" t="str">
        <f t="shared" si="551"/>
        <v>已发货</v>
      </c>
      <c r="J1743" s="1" t="str">
        <f t="shared" si="547"/>
        <v>2</v>
      </c>
      <c r="K1743" s="1">
        <v>2</v>
      </c>
      <c r="L1743" s="1" t="s">
        <v>187</v>
      </c>
      <c r="M1743" s="1" t="str">
        <f>"吉林省 长春市 南关区 "</f>
        <v xml:space="preserve">吉林省 长春市 南关区 </v>
      </c>
      <c r="N1743" s="1" t="str">
        <f t="shared" si="545"/>
        <v>凡华云仓-城南圆通-微信视频号</v>
      </c>
      <c r="O1743" s="5" t="s">
        <v>1781</v>
      </c>
      <c r="P1743" s="6">
        <v>0.17</v>
      </c>
      <c r="Q1743" s="11">
        <v>2</v>
      </c>
      <c r="R1743" s="11"/>
      <c r="S1743" s="11"/>
      <c r="T1743" s="11"/>
      <c r="U1743" s="11">
        <f t="shared" si="552"/>
        <v>2</v>
      </c>
      <c r="W1743">
        <v>2.2000000000000002</v>
      </c>
      <c r="X1743" s="1" t="s">
        <v>187</v>
      </c>
    </row>
    <row r="1744" spans="1:24" x14ac:dyDescent="0.25">
      <c r="A1744" s="1" t="str">
        <f t="shared" si="548"/>
        <v>卡卡杜-凤凰仓</v>
      </c>
      <c r="B1744" s="1" t="str">
        <f>"CK20241028493"</f>
        <v>CK20241028493</v>
      </c>
      <c r="C1744" s="1" t="str">
        <f>"DD2024102820028"</f>
        <v>DD2024102820028</v>
      </c>
      <c r="D1744" s="1" t="str">
        <f>"CK202410289730"</f>
        <v>CK202410289730</v>
      </c>
      <c r="E1744" s="1" t="str">
        <f>"3723605576059585792"</f>
        <v>3723605576059585792</v>
      </c>
      <c r="F1744" s="1" t="str">
        <f t="shared" si="549"/>
        <v>花都四部-凤凰仓</v>
      </c>
      <c r="G1744" s="1" t="str">
        <f t="shared" si="546"/>
        <v>卡卡杜企业店（视频号）</v>
      </c>
      <c r="H1744" s="1" t="str">
        <f t="shared" si="550"/>
        <v>正常订单</v>
      </c>
      <c r="I1744" s="1" t="str">
        <f t="shared" si="551"/>
        <v>已发货</v>
      </c>
      <c r="J1744" s="1" t="str">
        <f t="shared" si="547"/>
        <v>2</v>
      </c>
      <c r="K1744" s="1">
        <v>2</v>
      </c>
      <c r="L1744" s="1" t="s">
        <v>16</v>
      </c>
      <c r="M1744" s="1" t="str">
        <f>"河北省 秦皇岛市 山海关区 "</f>
        <v xml:space="preserve">河北省 秦皇岛市 山海关区 </v>
      </c>
      <c r="N1744" s="1" t="str">
        <f t="shared" si="545"/>
        <v>凡华云仓-城南圆通-微信视频号</v>
      </c>
      <c r="O1744" s="5" t="s">
        <v>1782</v>
      </c>
      <c r="P1744" s="6">
        <v>0.17</v>
      </c>
      <c r="Q1744" s="11">
        <v>2</v>
      </c>
      <c r="R1744" s="11"/>
      <c r="S1744" s="11"/>
      <c r="T1744" s="11"/>
      <c r="U1744" s="11">
        <f t="shared" si="552"/>
        <v>2</v>
      </c>
      <c r="W1744">
        <v>2.2000000000000002</v>
      </c>
      <c r="X1744" s="1" t="s">
        <v>16</v>
      </c>
    </row>
    <row r="1745" spans="1:24" x14ac:dyDescent="0.25">
      <c r="A1745" s="1" t="str">
        <f t="shared" si="548"/>
        <v>卡卡杜-凤凰仓</v>
      </c>
      <c r="B1745" s="1" t="str">
        <f>"CK20241028492"</f>
        <v>CK20241028492</v>
      </c>
      <c r="C1745" s="1" t="str">
        <f>"DD2024102820027"</f>
        <v>DD2024102820027</v>
      </c>
      <c r="D1745" s="1" t="str">
        <f>"CK202410289729"</f>
        <v>CK202410289729</v>
      </c>
      <c r="E1745" s="1" t="str">
        <f>"3723605577587102720"</f>
        <v>3723605577587102720</v>
      </c>
      <c r="F1745" s="1" t="str">
        <f t="shared" si="549"/>
        <v>花都四部-凤凰仓</v>
      </c>
      <c r="G1745" s="1" t="str">
        <f t="shared" si="546"/>
        <v>卡卡杜企业店（视频号）</v>
      </c>
      <c r="H1745" s="1" t="str">
        <f t="shared" si="550"/>
        <v>正常订单</v>
      </c>
      <c r="I1745" s="1" t="str">
        <f t="shared" si="551"/>
        <v>已发货</v>
      </c>
      <c r="J1745" s="1" t="str">
        <f t="shared" si="547"/>
        <v>2</v>
      </c>
      <c r="K1745" s="1">
        <v>2</v>
      </c>
      <c r="L1745" s="1" t="s">
        <v>32</v>
      </c>
      <c r="M1745" s="1" t="str">
        <f>"陕西省 汉中市 勉县 "</f>
        <v xml:space="preserve">陕西省 汉中市 勉县 </v>
      </c>
      <c r="N1745" s="1" t="str">
        <f t="shared" si="545"/>
        <v>凡华云仓-城南圆通-微信视频号</v>
      </c>
      <c r="O1745" s="5" t="s">
        <v>1783</v>
      </c>
      <c r="P1745" s="6">
        <v>0.17</v>
      </c>
      <c r="Q1745" s="11">
        <v>2</v>
      </c>
      <c r="R1745" s="11"/>
      <c r="S1745" s="11"/>
      <c r="T1745" s="11"/>
      <c r="U1745" s="11">
        <f t="shared" si="552"/>
        <v>2</v>
      </c>
      <c r="W1745">
        <v>2.2000000000000002</v>
      </c>
      <c r="X1745" s="1" t="s">
        <v>32</v>
      </c>
    </row>
    <row r="1746" spans="1:24" x14ac:dyDescent="0.25">
      <c r="A1746" s="1" t="str">
        <f t="shared" si="548"/>
        <v>卡卡杜-凤凰仓</v>
      </c>
      <c r="B1746" s="1" t="str">
        <f>"CK20241028491"</f>
        <v>CK20241028491</v>
      </c>
      <c r="C1746" s="1" t="str">
        <f>"DD2024102820026"</f>
        <v>DD2024102820026</v>
      </c>
      <c r="D1746" s="1" t="str">
        <f>"CK202410289728"</f>
        <v>CK202410289728</v>
      </c>
      <c r="E1746" s="1" t="str">
        <f>"3723605580545657856"</f>
        <v>3723605580545657856</v>
      </c>
      <c r="F1746" s="1" t="str">
        <f t="shared" si="549"/>
        <v>花都四部-凤凰仓</v>
      </c>
      <c r="G1746" s="1" t="str">
        <f t="shared" si="546"/>
        <v>卡卡杜企业店（视频号）</v>
      </c>
      <c r="H1746" s="1" t="str">
        <f t="shared" si="550"/>
        <v>正常订单</v>
      </c>
      <c r="I1746" s="1" t="str">
        <f t="shared" si="551"/>
        <v>已发货</v>
      </c>
      <c r="J1746" s="1" t="str">
        <f t="shared" si="547"/>
        <v>2</v>
      </c>
      <c r="K1746" s="1">
        <v>2</v>
      </c>
      <c r="L1746" s="1" t="s">
        <v>54</v>
      </c>
      <c r="M1746" s="1" t="str">
        <f>"黑龙江省 哈尔滨市 香坊区 "</f>
        <v xml:space="preserve">黑龙江省 哈尔滨市 香坊区 </v>
      </c>
      <c r="N1746" s="1" t="str">
        <f t="shared" si="545"/>
        <v>凡华云仓-城南圆通-微信视频号</v>
      </c>
      <c r="O1746" s="5" t="s">
        <v>1784</v>
      </c>
      <c r="P1746" s="6">
        <v>0.17</v>
      </c>
      <c r="Q1746" s="11">
        <v>2</v>
      </c>
      <c r="R1746" s="11"/>
      <c r="S1746" s="11"/>
      <c r="T1746" s="11"/>
      <c r="U1746" s="11">
        <f t="shared" si="552"/>
        <v>2</v>
      </c>
      <c r="W1746">
        <v>2.2000000000000002</v>
      </c>
      <c r="X1746" s="1" t="s">
        <v>54</v>
      </c>
    </row>
    <row r="1747" spans="1:24" x14ac:dyDescent="0.25">
      <c r="A1747" s="1" t="str">
        <f t="shared" si="548"/>
        <v>卡卡杜-凤凰仓</v>
      </c>
      <c r="B1747" s="1" t="str">
        <f>"CK20241028490"</f>
        <v>CK20241028490</v>
      </c>
      <c r="C1747" s="1" t="str">
        <f>"DD2024102820025"</f>
        <v>DD2024102820025</v>
      </c>
      <c r="D1747" s="1" t="str">
        <f>"CK202410289727"</f>
        <v>CK202410289727</v>
      </c>
      <c r="E1747" s="1" t="str">
        <f>"3723605584466547712"</f>
        <v>3723605584466547712</v>
      </c>
      <c r="F1747" s="1" t="str">
        <f t="shared" si="549"/>
        <v>花都四部-凤凰仓</v>
      </c>
      <c r="G1747" s="1" t="str">
        <f t="shared" si="546"/>
        <v>卡卡杜企业店（视频号）</v>
      </c>
      <c r="H1747" s="1" t="str">
        <f t="shared" si="550"/>
        <v>正常订单</v>
      </c>
      <c r="I1747" s="1" t="str">
        <f t="shared" si="551"/>
        <v>已发货</v>
      </c>
      <c r="J1747" s="1" t="str">
        <f t="shared" si="547"/>
        <v>2</v>
      </c>
      <c r="K1747" s="1">
        <v>2</v>
      </c>
      <c r="L1747" s="1" t="s">
        <v>74</v>
      </c>
      <c r="M1747" s="1" t="str">
        <f>"上海 上海市 闵行区 "</f>
        <v xml:space="preserve">上海 上海市 闵行区 </v>
      </c>
      <c r="N1747" s="1" t="str">
        <f t="shared" si="545"/>
        <v>凡华云仓-城南圆通-微信视频号</v>
      </c>
      <c r="O1747" s="5" t="s">
        <v>1785</v>
      </c>
      <c r="P1747" s="6">
        <v>0.17</v>
      </c>
      <c r="Q1747" s="11">
        <v>2</v>
      </c>
      <c r="R1747" s="11"/>
      <c r="S1747" s="11"/>
      <c r="T1747" s="11"/>
      <c r="U1747" s="11">
        <f t="shared" si="552"/>
        <v>2</v>
      </c>
      <c r="W1747">
        <v>2.2000000000000002</v>
      </c>
      <c r="X1747" s="1" t="s">
        <v>74</v>
      </c>
    </row>
    <row r="1748" spans="1:24" x14ac:dyDescent="0.25">
      <c r="A1748" s="1" t="str">
        <f t="shared" si="548"/>
        <v>卡卡杜-凤凰仓</v>
      </c>
      <c r="B1748" s="1" t="str">
        <f>"CK20241028488"</f>
        <v>CK20241028488</v>
      </c>
      <c r="C1748" s="1" t="str">
        <f>"DD2024102820024"</f>
        <v>DD2024102820024</v>
      </c>
      <c r="D1748" s="1" t="str">
        <f>"CK202410289726"</f>
        <v>CK202410289726</v>
      </c>
      <c r="E1748" s="1" t="str">
        <f>"3723605584426173696"</f>
        <v>3723605584426173696</v>
      </c>
      <c r="F1748" s="1" t="str">
        <f t="shared" si="549"/>
        <v>花都四部-凤凰仓</v>
      </c>
      <c r="G1748" s="1" t="str">
        <f t="shared" si="546"/>
        <v>卡卡杜企业店（视频号）</v>
      </c>
      <c r="H1748" s="1" t="str">
        <f t="shared" si="550"/>
        <v>正常订单</v>
      </c>
      <c r="I1748" s="1" t="str">
        <f t="shared" si="551"/>
        <v>已发货</v>
      </c>
      <c r="J1748" s="1" t="str">
        <f t="shared" si="547"/>
        <v>2</v>
      </c>
      <c r="K1748" s="1">
        <v>2</v>
      </c>
      <c r="L1748" s="1" t="s">
        <v>66</v>
      </c>
      <c r="M1748" s="1" t="str">
        <f>"内蒙古自治区 乌兰察布市 集宁区 "</f>
        <v xml:space="preserve">内蒙古自治区 乌兰察布市 集宁区 </v>
      </c>
      <c r="N1748" s="1" t="str">
        <f t="shared" si="545"/>
        <v>凡华云仓-城南圆通-微信视频号</v>
      </c>
      <c r="O1748" s="5" t="s">
        <v>1786</v>
      </c>
      <c r="P1748" s="6">
        <v>0.17</v>
      </c>
      <c r="Q1748" s="11">
        <v>2</v>
      </c>
      <c r="R1748" s="11"/>
      <c r="S1748" s="11"/>
      <c r="T1748" s="11"/>
      <c r="U1748" s="11">
        <f t="shared" si="552"/>
        <v>2</v>
      </c>
      <c r="W1748">
        <v>2.2000000000000002</v>
      </c>
      <c r="X1748" s="1" t="s">
        <v>66</v>
      </c>
    </row>
    <row r="1749" spans="1:24" x14ac:dyDescent="0.25">
      <c r="A1749" s="1" t="str">
        <f t="shared" si="548"/>
        <v>卡卡杜-凤凰仓</v>
      </c>
      <c r="B1749" s="1" t="str">
        <f>"CK20241028489"</f>
        <v>CK20241028489</v>
      </c>
      <c r="C1749" s="1" t="str">
        <f>"DD2024102820023"</f>
        <v>DD2024102820023</v>
      </c>
      <c r="D1749" s="1" t="str">
        <f>"CK202410289725"</f>
        <v>CK202410289725</v>
      </c>
      <c r="E1749" s="1" t="str">
        <f>"3723605585293874176"</f>
        <v>3723605585293874176</v>
      </c>
      <c r="F1749" s="1" t="str">
        <f t="shared" si="549"/>
        <v>花都四部-凤凰仓</v>
      </c>
      <c r="G1749" s="1" t="str">
        <f t="shared" si="546"/>
        <v>卡卡杜企业店（视频号）</v>
      </c>
      <c r="H1749" s="1" t="str">
        <f t="shared" si="550"/>
        <v>正常订单</v>
      </c>
      <c r="I1749" s="1" t="str">
        <f t="shared" si="551"/>
        <v>已发货</v>
      </c>
      <c r="J1749" s="1" t="str">
        <f t="shared" si="547"/>
        <v>2</v>
      </c>
      <c r="K1749" s="1">
        <v>2</v>
      </c>
      <c r="L1749" s="1" t="s">
        <v>74</v>
      </c>
      <c r="M1749" s="1" t="str">
        <f>"上海 上海市 奉贤区 "</f>
        <v xml:space="preserve">上海 上海市 奉贤区 </v>
      </c>
      <c r="N1749" s="1" t="str">
        <f t="shared" si="545"/>
        <v>凡华云仓-城南圆通-微信视频号</v>
      </c>
      <c r="O1749" s="5" t="s">
        <v>1787</v>
      </c>
      <c r="P1749" s="6">
        <v>0.17</v>
      </c>
      <c r="Q1749" s="11">
        <v>2</v>
      </c>
      <c r="R1749" s="11"/>
      <c r="S1749" s="11"/>
      <c r="T1749" s="11"/>
      <c r="U1749" s="11">
        <f t="shared" si="552"/>
        <v>2</v>
      </c>
      <c r="W1749">
        <v>2.2000000000000002</v>
      </c>
      <c r="X1749" s="1" t="s">
        <v>74</v>
      </c>
    </row>
    <row r="1750" spans="1:24" x14ac:dyDescent="0.25">
      <c r="A1750" s="1" t="str">
        <f t="shared" si="548"/>
        <v>卡卡杜-凤凰仓</v>
      </c>
      <c r="B1750" s="1" t="str">
        <f>"CK20241028487"</f>
        <v>CK20241028487</v>
      </c>
      <c r="C1750" s="1" t="str">
        <f>"DD2024102820022"</f>
        <v>DD2024102820022</v>
      </c>
      <c r="D1750" s="1" t="str">
        <f>"CK202410289724"</f>
        <v>CK202410289724</v>
      </c>
      <c r="E1750" s="1" t="str">
        <f>"3723605588680248320"</f>
        <v>3723605588680248320</v>
      </c>
      <c r="F1750" s="1" t="str">
        <f t="shared" si="549"/>
        <v>花都四部-凤凰仓</v>
      </c>
      <c r="G1750" s="1" t="str">
        <f t="shared" si="546"/>
        <v>卡卡杜企业店（视频号）</v>
      </c>
      <c r="H1750" s="1" t="str">
        <f t="shared" si="550"/>
        <v>正常订单</v>
      </c>
      <c r="I1750" s="1" t="str">
        <f t="shared" si="551"/>
        <v>已发货</v>
      </c>
      <c r="J1750" s="1" t="str">
        <f t="shared" si="547"/>
        <v>2</v>
      </c>
      <c r="K1750" s="1">
        <v>2</v>
      </c>
      <c r="L1750" s="1" t="s">
        <v>92</v>
      </c>
      <c r="M1750" s="1" t="str">
        <f>"辽宁省 大连市 甘井子区 "</f>
        <v xml:space="preserve">辽宁省 大连市 甘井子区 </v>
      </c>
      <c r="N1750" s="1" t="str">
        <f t="shared" si="545"/>
        <v>凡华云仓-城南圆通-微信视频号</v>
      </c>
      <c r="O1750" s="5" t="s">
        <v>1788</v>
      </c>
      <c r="P1750" s="6">
        <v>0.17</v>
      </c>
      <c r="Q1750" s="11">
        <v>2</v>
      </c>
      <c r="R1750" s="11"/>
      <c r="S1750" s="11"/>
      <c r="T1750" s="11"/>
      <c r="U1750" s="11">
        <f t="shared" si="552"/>
        <v>2</v>
      </c>
      <c r="W1750">
        <v>2.2000000000000002</v>
      </c>
      <c r="X1750" s="1" t="s">
        <v>92</v>
      </c>
    </row>
    <row r="1751" spans="1:24" x14ac:dyDescent="0.25">
      <c r="A1751" s="1" t="str">
        <f t="shared" si="548"/>
        <v>卡卡杜-凤凰仓</v>
      </c>
      <c r="B1751" s="1" t="str">
        <f>"CK20241028486"</f>
        <v>CK20241028486</v>
      </c>
      <c r="C1751" s="1" t="str">
        <f>"DD2024102820021"</f>
        <v>DD2024102820021</v>
      </c>
      <c r="D1751" s="1" t="str">
        <f>"CK202410289723"</f>
        <v>CK202410289723</v>
      </c>
      <c r="E1751" s="1" t="str">
        <f>"3723605589385415680"</f>
        <v>3723605589385415680</v>
      </c>
      <c r="F1751" s="1" t="str">
        <f t="shared" si="549"/>
        <v>花都四部-凤凰仓</v>
      </c>
      <c r="G1751" s="1" t="str">
        <f t="shared" si="546"/>
        <v>卡卡杜企业店（视频号）</v>
      </c>
      <c r="H1751" s="1" t="str">
        <f t="shared" si="550"/>
        <v>正常订单</v>
      </c>
      <c r="I1751" s="1" t="str">
        <f t="shared" si="551"/>
        <v>已发货</v>
      </c>
      <c r="J1751" s="1" t="str">
        <f t="shared" si="547"/>
        <v>2</v>
      </c>
      <c r="K1751" s="1">
        <v>2</v>
      </c>
      <c r="L1751" s="1" t="s">
        <v>13</v>
      </c>
      <c r="M1751" s="1" t="str">
        <f>"江苏省 常州市 天宁区 "</f>
        <v xml:space="preserve">江苏省 常州市 天宁区 </v>
      </c>
      <c r="N1751" s="1" t="str">
        <f t="shared" si="545"/>
        <v>凡华云仓-城南圆通-微信视频号</v>
      </c>
      <c r="O1751" s="5" t="s">
        <v>1789</v>
      </c>
      <c r="P1751" s="6">
        <v>0.17</v>
      </c>
      <c r="Q1751" s="11">
        <v>2</v>
      </c>
      <c r="R1751" s="11"/>
      <c r="S1751" s="11"/>
      <c r="T1751" s="11"/>
      <c r="U1751" s="11">
        <f t="shared" si="552"/>
        <v>2</v>
      </c>
      <c r="W1751">
        <v>2.2000000000000002</v>
      </c>
      <c r="X1751" s="1" t="s">
        <v>13</v>
      </c>
    </row>
    <row r="1752" spans="1:24" x14ac:dyDescent="0.25">
      <c r="A1752" s="1" t="str">
        <f t="shared" si="548"/>
        <v>卡卡杜-凤凰仓</v>
      </c>
      <c r="B1752" s="1" t="str">
        <f>"CK20241028485"</f>
        <v>CK20241028485</v>
      </c>
      <c r="C1752" s="1" t="str">
        <f>"DD2024102820020"</f>
        <v>DD2024102820020</v>
      </c>
      <c r="D1752" s="1" t="str">
        <f>"CK202410289722"</f>
        <v>CK202410289722</v>
      </c>
      <c r="E1752" s="1" t="str">
        <f>"3723605595477644288"</f>
        <v>3723605595477644288</v>
      </c>
      <c r="F1752" s="1" t="str">
        <f t="shared" si="549"/>
        <v>花都四部-凤凰仓</v>
      </c>
      <c r="G1752" s="1" t="str">
        <f t="shared" si="546"/>
        <v>卡卡杜企业店（视频号）</v>
      </c>
      <c r="H1752" s="1" t="str">
        <f t="shared" si="550"/>
        <v>正常订单</v>
      </c>
      <c r="I1752" s="1" t="str">
        <f t="shared" si="551"/>
        <v>已发货</v>
      </c>
      <c r="J1752" s="1" t="str">
        <f t="shared" si="547"/>
        <v>2</v>
      </c>
      <c r="K1752" s="1">
        <v>2</v>
      </c>
      <c r="L1752" s="1" t="s">
        <v>20</v>
      </c>
      <c r="M1752" s="1" t="str">
        <f>"浙江省 绍兴市 诸暨市 "</f>
        <v xml:space="preserve">浙江省 绍兴市 诸暨市 </v>
      </c>
      <c r="N1752" s="1" t="str">
        <f t="shared" si="545"/>
        <v>凡华云仓-城南圆通-微信视频号</v>
      </c>
      <c r="O1752" s="5" t="s">
        <v>1790</v>
      </c>
      <c r="P1752" s="6">
        <v>0.17</v>
      </c>
      <c r="Q1752" s="11">
        <v>2</v>
      </c>
      <c r="R1752" s="11"/>
      <c r="S1752" s="11"/>
      <c r="T1752" s="11"/>
      <c r="U1752" s="11">
        <f t="shared" si="552"/>
        <v>2</v>
      </c>
      <c r="W1752">
        <v>2.2000000000000002</v>
      </c>
      <c r="X1752" s="1" t="s">
        <v>20</v>
      </c>
    </row>
    <row r="1753" spans="1:24" x14ac:dyDescent="0.25">
      <c r="A1753" s="1" t="str">
        <f t="shared" si="548"/>
        <v>卡卡杜-凤凰仓</v>
      </c>
      <c r="B1753" s="1" t="str">
        <f>"CK20241028484"</f>
        <v>CK20241028484</v>
      </c>
      <c r="C1753" s="1" t="str">
        <f>"DD2024102820019"</f>
        <v>DD2024102820019</v>
      </c>
      <c r="D1753" s="1" t="str">
        <f>"CK202410289721"</f>
        <v>CK202410289721</v>
      </c>
      <c r="E1753" s="1" t="str">
        <f>"3723605598539486208"</f>
        <v>3723605598539486208</v>
      </c>
      <c r="F1753" s="1" t="str">
        <f t="shared" si="549"/>
        <v>花都四部-凤凰仓</v>
      </c>
      <c r="G1753" s="1" t="str">
        <f t="shared" si="546"/>
        <v>卡卡杜企业店（视频号）</v>
      </c>
      <c r="H1753" s="1" t="str">
        <f t="shared" si="550"/>
        <v>正常订单</v>
      </c>
      <c r="I1753" s="1" t="str">
        <f t="shared" si="551"/>
        <v>已发货</v>
      </c>
      <c r="J1753" s="1" t="str">
        <f t="shared" si="547"/>
        <v>2</v>
      </c>
      <c r="K1753" s="1">
        <v>2</v>
      </c>
      <c r="L1753" s="1" t="s">
        <v>66</v>
      </c>
      <c r="M1753" s="1" t="str">
        <f>"内蒙古自治区 锡林郭勒盟 锡林浩特市 "</f>
        <v xml:space="preserve">内蒙古自治区 锡林郭勒盟 锡林浩特市 </v>
      </c>
      <c r="N1753" s="1" t="str">
        <f t="shared" si="545"/>
        <v>凡华云仓-城南圆通-微信视频号</v>
      </c>
      <c r="O1753" s="5" t="s">
        <v>1791</v>
      </c>
      <c r="P1753" s="6">
        <v>0.17</v>
      </c>
      <c r="Q1753" s="11">
        <v>2</v>
      </c>
      <c r="R1753" s="11"/>
      <c r="S1753" s="11"/>
      <c r="T1753" s="11"/>
      <c r="U1753" s="11">
        <f t="shared" si="552"/>
        <v>2</v>
      </c>
      <c r="W1753">
        <v>2.2000000000000002</v>
      </c>
      <c r="X1753" s="1" t="s">
        <v>66</v>
      </c>
    </row>
    <row r="1754" spans="1:24" x14ac:dyDescent="0.25">
      <c r="A1754" s="1" t="str">
        <f t="shared" si="548"/>
        <v>卡卡杜-凤凰仓</v>
      </c>
      <c r="B1754" s="1" t="str">
        <f>"CK20241028482"</f>
        <v>CK20241028482</v>
      </c>
      <c r="C1754" s="1" t="str">
        <f>"DD2024102820018"</f>
        <v>DD2024102820018</v>
      </c>
      <c r="D1754" s="1" t="str">
        <f>"CK202410289720"</f>
        <v>CK202410289720</v>
      </c>
      <c r="E1754" s="1" t="str">
        <f>"3723605598101440000"</f>
        <v>3723605598101440000</v>
      </c>
      <c r="F1754" s="1" t="str">
        <f t="shared" si="549"/>
        <v>花都四部-凤凰仓</v>
      </c>
      <c r="G1754" s="1" t="str">
        <f t="shared" si="546"/>
        <v>卡卡杜企业店（视频号）</v>
      </c>
      <c r="H1754" s="1" t="str">
        <f t="shared" si="550"/>
        <v>正常订单</v>
      </c>
      <c r="I1754" s="1" t="str">
        <f t="shared" si="551"/>
        <v>已发货</v>
      </c>
      <c r="J1754" s="1" t="str">
        <f t="shared" si="547"/>
        <v>2</v>
      </c>
      <c r="K1754" s="1">
        <v>2</v>
      </c>
      <c r="L1754" s="1" t="s">
        <v>18</v>
      </c>
      <c r="M1754" s="1" t="str">
        <f>"广东省 东莞市 大朗镇 "</f>
        <v xml:space="preserve">广东省 东莞市 大朗镇 </v>
      </c>
      <c r="N1754" s="1" t="str">
        <f t="shared" si="545"/>
        <v>凡华云仓-城南圆通-微信视频号</v>
      </c>
      <c r="O1754" s="5" t="s">
        <v>1792</v>
      </c>
      <c r="P1754" s="6">
        <v>0.17</v>
      </c>
      <c r="Q1754" s="11">
        <v>2</v>
      </c>
      <c r="R1754" s="11"/>
      <c r="S1754" s="11"/>
      <c r="T1754" s="11"/>
      <c r="U1754" s="11">
        <f t="shared" si="552"/>
        <v>2</v>
      </c>
      <c r="W1754">
        <v>2.2000000000000002</v>
      </c>
      <c r="X1754" s="1" t="s">
        <v>18</v>
      </c>
    </row>
    <row r="1755" spans="1:24" x14ac:dyDescent="0.25">
      <c r="A1755" s="1" t="str">
        <f t="shared" si="548"/>
        <v>卡卡杜-凤凰仓</v>
      </c>
      <c r="B1755" s="1" t="str">
        <f>"CK20241028483"</f>
        <v>CK20241028483</v>
      </c>
      <c r="C1755" s="1" t="str">
        <f>"DD2024102820017"</f>
        <v>DD2024102820017</v>
      </c>
      <c r="D1755" s="1" t="str">
        <f>"CK202410289719"</f>
        <v>CK202410289719</v>
      </c>
      <c r="E1755" s="1" t="str">
        <f>"3723605585250358273"</f>
        <v>3723605585250358273</v>
      </c>
      <c r="F1755" s="1" t="str">
        <f t="shared" si="549"/>
        <v>花都四部-凤凰仓</v>
      </c>
      <c r="G1755" s="1" t="str">
        <f t="shared" si="546"/>
        <v>卡卡杜企业店（视频号）</v>
      </c>
      <c r="H1755" s="1" t="str">
        <f t="shared" si="550"/>
        <v>正常订单</v>
      </c>
      <c r="I1755" s="1" t="str">
        <f t="shared" si="551"/>
        <v>已发货</v>
      </c>
      <c r="J1755" s="1" t="str">
        <f t="shared" si="547"/>
        <v>2</v>
      </c>
      <c r="K1755" s="1">
        <v>2</v>
      </c>
      <c r="L1755" s="1" t="s">
        <v>16</v>
      </c>
      <c r="M1755" s="1" t="str">
        <f>"河北省 石家庄市 辛集市 "</f>
        <v xml:space="preserve">河北省 石家庄市 辛集市 </v>
      </c>
      <c r="N1755" s="1" t="str">
        <f t="shared" si="545"/>
        <v>凡华云仓-城南圆通-微信视频号</v>
      </c>
      <c r="O1755" s="5" t="s">
        <v>1793</v>
      </c>
      <c r="P1755" s="6">
        <v>0.17</v>
      </c>
      <c r="Q1755" s="11">
        <v>2</v>
      </c>
      <c r="R1755" s="11"/>
      <c r="S1755" s="11"/>
      <c r="T1755" s="11"/>
      <c r="U1755" s="11">
        <f t="shared" si="552"/>
        <v>2</v>
      </c>
      <c r="W1755">
        <v>2.2000000000000002</v>
      </c>
      <c r="X1755" s="1" t="s">
        <v>16</v>
      </c>
    </row>
    <row r="1756" spans="1:24" x14ac:dyDescent="0.25">
      <c r="A1756" s="1" t="str">
        <f t="shared" si="548"/>
        <v>卡卡杜-凤凰仓</v>
      </c>
      <c r="B1756" s="1" t="str">
        <f>"CK20241028481"</f>
        <v>CK20241028481</v>
      </c>
      <c r="C1756" s="1" t="str">
        <f>"DD2024102820016"</f>
        <v>DD2024102820016</v>
      </c>
      <c r="D1756" s="1" t="str">
        <f>"CK202410289718"</f>
        <v>CK202410289718</v>
      </c>
      <c r="E1756" s="1" t="str">
        <f>"3723605602421050368"</f>
        <v>3723605602421050368</v>
      </c>
      <c r="F1756" s="1" t="str">
        <f t="shared" si="549"/>
        <v>花都四部-凤凰仓</v>
      </c>
      <c r="G1756" s="1" t="str">
        <f t="shared" si="546"/>
        <v>卡卡杜企业店（视频号）</v>
      </c>
      <c r="H1756" s="1" t="str">
        <f t="shared" si="550"/>
        <v>正常订单</v>
      </c>
      <c r="I1756" s="1" t="str">
        <f t="shared" si="551"/>
        <v>已发货</v>
      </c>
      <c r="J1756" s="1" t="str">
        <f t="shared" si="547"/>
        <v>2</v>
      </c>
      <c r="K1756" s="1">
        <v>2</v>
      </c>
      <c r="L1756" s="1" t="s">
        <v>105</v>
      </c>
      <c r="M1756" s="1" t="str">
        <f>"北京 北京市 朝阳区 "</f>
        <v xml:space="preserve">北京 北京市 朝阳区 </v>
      </c>
      <c r="N1756" s="1" t="str">
        <f t="shared" si="545"/>
        <v>凡华云仓-城南圆通-微信视频号</v>
      </c>
      <c r="O1756" s="5" t="s">
        <v>1794</v>
      </c>
      <c r="P1756" s="6">
        <v>0.17</v>
      </c>
      <c r="Q1756" s="11">
        <v>2</v>
      </c>
      <c r="R1756" s="11"/>
      <c r="S1756" s="11"/>
      <c r="T1756" s="11"/>
      <c r="U1756" s="11">
        <f t="shared" si="552"/>
        <v>2</v>
      </c>
      <c r="W1756">
        <v>2.2000000000000002</v>
      </c>
      <c r="X1756" s="1" t="s">
        <v>105</v>
      </c>
    </row>
    <row r="1757" spans="1:24" x14ac:dyDescent="0.25">
      <c r="A1757" s="1" t="str">
        <f t="shared" si="548"/>
        <v>卡卡杜-凤凰仓</v>
      </c>
      <c r="B1757" s="1" t="str">
        <f>"CK20241028480"</f>
        <v>CK20241028480</v>
      </c>
      <c r="C1757" s="1" t="str">
        <f>"DD2024102820015"</f>
        <v>DD2024102820015</v>
      </c>
      <c r="D1757" s="1" t="str">
        <f>"CK202410289717"</f>
        <v>CK202410289717</v>
      </c>
      <c r="E1757" s="1" t="str">
        <f>"3723605603588113920"</f>
        <v>3723605603588113920</v>
      </c>
      <c r="F1757" s="1" t="str">
        <f t="shared" si="549"/>
        <v>花都四部-凤凰仓</v>
      </c>
      <c r="G1757" s="1" t="str">
        <f t="shared" si="546"/>
        <v>卡卡杜企业店（视频号）</v>
      </c>
      <c r="H1757" s="1" t="str">
        <f t="shared" si="550"/>
        <v>正常订单</v>
      </c>
      <c r="I1757" s="1" t="str">
        <f t="shared" si="551"/>
        <v>已发货</v>
      </c>
      <c r="J1757" s="1" t="str">
        <f t="shared" si="547"/>
        <v>2</v>
      </c>
      <c r="K1757" s="1">
        <v>2</v>
      </c>
      <c r="L1757" s="1" t="s">
        <v>74</v>
      </c>
      <c r="M1757" s="1" t="str">
        <f>"上海 上海市 静安区 "</f>
        <v xml:space="preserve">上海 上海市 静安区 </v>
      </c>
      <c r="N1757" s="1" t="str">
        <f t="shared" si="545"/>
        <v>凡华云仓-城南圆通-微信视频号</v>
      </c>
      <c r="O1757" s="5" t="s">
        <v>1795</v>
      </c>
      <c r="P1757" s="6">
        <v>0.17</v>
      </c>
      <c r="Q1757" s="11">
        <v>2</v>
      </c>
      <c r="R1757" s="11"/>
      <c r="S1757" s="11"/>
      <c r="T1757" s="11"/>
      <c r="U1757" s="11">
        <f t="shared" si="552"/>
        <v>2</v>
      </c>
      <c r="W1757">
        <v>2.2000000000000002</v>
      </c>
      <c r="X1757" s="1" t="s">
        <v>74</v>
      </c>
    </row>
    <row r="1758" spans="1:24" x14ac:dyDescent="0.25">
      <c r="A1758" s="1" t="str">
        <f t="shared" si="548"/>
        <v>卡卡杜-凤凰仓</v>
      </c>
      <c r="B1758" s="1" t="str">
        <f>"CK20241028479"</f>
        <v>CK20241028479</v>
      </c>
      <c r="C1758" s="1" t="str">
        <f>"DD2024102820014"</f>
        <v>DD2024102820014</v>
      </c>
      <c r="D1758" s="1" t="str">
        <f>"CK202410289716"</f>
        <v>CK202410289716</v>
      </c>
      <c r="E1758" s="1" t="str">
        <f>"3723605601998474240"</f>
        <v>3723605601998474240</v>
      </c>
      <c r="F1758" s="1" t="str">
        <f t="shared" si="549"/>
        <v>花都四部-凤凰仓</v>
      </c>
      <c r="G1758" s="1" t="str">
        <f t="shared" si="546"/>
        <v>卡卡杜企业店（视频号）</v>
      </c>
      <c r="H1758" s="1" t="str">
        <f t="shared" si="550"/>
        <v>正常订单</v>
      </c>
      <c r="I1758" s="1" t="str">
        <f t="shared" si="551"/>
        <v>已发货</v>
      </c>
      <c r="J1758" s="1" t="str">
        <f t="shared" si="547"/>
        <v>2</v>
      </c>
      <c r="K1758" s="1">
        <v>2</v>
      </c>
      <c r="L1758" s="1" t="s">
        <v>105</v>
      </c>
      <c r="M1758" s="1" t="str">
        <f>"北京 北京市 大兴区 "</f>
        <v xml:space="preserve">北京 北京市 大兴区 </v>
      </c>
      <c r="N1758" s="1" t="str">
        <f t="shared" ref="N1758:N1767" si="553">"凡华云仓-城南圆通-微信视频号"</f>
        <v>凡华云仓-城南圆通-微信视频号</v>
      </c>
      <c r="O1758" s="5" t="s">
        <v>1796</v>
      </c>
      <c r="P1758" s="6">
        <v>0.17</v>
      </c>
      <c r="Q1758" s="11">
        <v>2</v>
      </c>
      <c r="R1758" s="11"/>
      <c r="S1758" s="11"/>
      <c r="T1758" s="11"/>
      <c r="U1758" s="11">
        <f t="shared" si="552"/>
        <v>2</v>
      </c>
      <c r="W1758">
        <v>2.2000000000000002</v>
      </c>
      <c r="X1758" s="1" t="s">
        <v>105</v>
      </c>
    </row>
    <row r="1759" spans="1:24" x14ac:dyDescent="0.25">
      <c r="A1759" s="1" t="str">
        <f t="shared" si="548"/>
        <v>卡卡杜-凤凰仓</v>
      </c>
      <c r="B1759" s="1" t="str">
        <f>"CK20241028478"</f>
        <v>CK20241028478</v>
      </c>
      <c r="C1759" s="1" t="str">
        <f>"DD2024102820013"</f>
        <v>DD2024102820013</v>
      </c>
      <c r="D1759" s="1" t="str">
        <f>"CK202410289715"</f>
        <v>CK202410289715</v>
      </c>
      <c r="E1759" s="1" t="str">
        <f>"3723605607796052992"</f>
        <v>3723605607796052992</v>
      </c>
      <c r="F1759" s="1" t="str">
        <f t="shared" si="549"/>
        <v>花都四部-凤凰仓</v>
      </c>
      <c r="G1759" s="1" t="str">
        <f t="shared" ref="G1759:G1822" si="554">"卡卡杜企业店（视频号）"</f>
        <v>卡卡杜企业店（视频号）</v>
      </c>
      <c r="H1759" s="1" t="str">
        <f t="shared" si="550"/>
        <v>正常订单</v>
      </c>
      <c r="I1759" s="1" t="str">
        <f t="shared" si="551"/>
        <v>已发货</v>
      </c>
      <c r="J1759" s="1" t="str">
        <f t="shared" si="547"/>
        <v>2</v>
      </c>
      <c r="K1759" s="1">
        <v>2</v>
      </c>
      <c r="L1759" s="1" t="s">
        <v>187</v>
      </c>
      <c r="M1759" s="1" t="str">
        <f>"吉林省 长春市 二道区 "</f>
        <v xml:space="preserve">吉林省 长春市 二道区 </v>
      </c>
      <c r="N1759" s="1" t="str">
        <f t="shared" si="553"/>
        <v>凡华云仓-城南圆通-微信视频号</v>
      </c>
      <c r="O1759" s="5" t="s">
        <v>1797</v>
      </c>
      <c r="P1759" s="6">
        <v>0.17</v>
      </c>
      <c r="Q1759" s="11">
        <v>2</v>
      </c>
      <c r="R1759" s="11"/>
      <c r="S1759" s="11"/>
      <c r="T1759" s="11"/>
      <c r="U1759" s="11">
        <f t="shared" si="552"/>
        <v>2</v>
      </c>
      <c r="W1759">
        <v>2.2000000000000002</v>
      </c>
      <c r="X1759" s="1" t="s">
        <v>187</v>
      </c>
    </row>
    <row r="1760" spans="1:24" x14ac:dyDescent="0.25">
      <c r="A1760" s="1" t="str">
        <f t="shared" si="548"/>
        <v>卡卡杜-凤凰仓</v>
      </c>
      <c r="B1760" s="1" t="str">
        <f>"CK20241028476"</f>
        <v>CK20241028476</v>
      </c>
      <c r="C1760" s="1" t="str">
        <f>"DD2024102820012"</f>
        <v>DD2024102820012</v>
      </c>
      <c r="D1760" s="1" t="str">
        <f>"CK202410289714"</f>
        <v>CK202410289714</v>
      </c>
      <c r="E1760" s="1" t="str">
        <f>"3723605613825099265"</f>
        <v>3723605613825099265</v>
      </c>
      <c r="F1760" s="1" t="str">
        <f t="shared" si="549"/>
        <v>花都四部-凤凰仓</v>
      </c>
      <c r="G1760" s="1" t="str">
        <f t="shared" si="554"/>
        <v>卡卡杜企业店（视频号）</v>
      </c>
      <c r="H1760" s="1" t="str">
        <f t="shared" si="550"/>
        <v>正常订单</v>
      </c>
      <c r="I1760" s="1" t="str">
        <f t="shared" si="551"/>
        <v>已发货</v>
      </c>
      <c r="J1760" s="1" t="str">
        <f t="shared" ref="J1760:J1823" si="555">"2"</f>
        <v>2</v>
      </c>
      <c r="K1760" s="1">
        <v>2</v>
      </c>
      <c r="L1760" s="1" t="s">
        <v>105</v>
      </c>
      <c r="M1760" s="1" t="str">
        <f>"北京 北京市 海淀区 "</f>
        <v xml:space="preserve">北京 北京市 海淀区 </v>
      </c>
      <c r="N1760" s="1" t="str">
        <f t="shared" si="553"/>
        <v>凡华云仓-城南圆通-微信视频号</v>
      </c>
      <c r="O1760" s="5" t="s">
        <v>1798</v>
      </c>
      <c r="P1760" s="6">
        <v>0.17</v>
      </c>
      <c r="Q1760" s="11">
        <v>2</v>
      </c>
      <c r="R1760" s="11"/>
      <c r="S1760" s="11"/>
      <c r="T1760" s="11"/>
      <c r="U1760" s="11">
        <f t="shared" si="552"/>
        <v>2</v>
      </c>
      <c r="W1760">
        <v>2.2000000000000002</v>
      </c>
      <c r="X1760" s="1" t="s">
        <v>105</v>
      </c>
    </row>
    <row r="1761" spans="1:24" x14ac:dyDescent="0.25">
      <c r="A1761" s="1" t="str">
        <f t="shared" si="548"/>
        <v>卡卡杜-凤凰仓</v>
      </c>
      <c r="B1761" s="1" t="str">
        <f>"CK20241028477"</f>
        <v>CK20241028477</v>
      </c>
      <c r="C1761" s="1" t="str">
        <f>"DD2024102820011"</f>
        <v>DD2024102820011</v>
      </c>
      <c r="D1761" s="1" t="str">
        <f>"CK202410289713"</f>
        <v>CK202410289713</v>
      </c>
      <c r="E1761" s="1" t="str">
        <f>"3723605612634443776"</f>
        <v>3723605612634443776</v>
      </c>
      <c r="F1761" s="1" t="str">
        <f t="shared" si="549"/>
        <v>花都四部-凤凰仓</v>
      </c>
      <c r="G1761" s="1" t="str">
        <f t="shared" si="554"/>
        <v>卡卡杜企业店（视频号）</v>
      </c>
      <c r="H1761" s="1" t="str">
        <f t="shared" si="550"/>
        <v>正常订单</v>
      </c>
      <c r="I1761" s="1" t="str">
        <f t="shared" si="551"/>
        <v>已发货</v>
      </c>
      <c r="J1761" s="1" t="str">
        <f t="shared" si="555"/>
        <v>2</v>
      </c>
      <c r="K1761" s="1">
        <v>2</v>
      </c>
      <c r="L1761" s="1" t="s">
        <v>92</v>
      </c>
      <c r="M1761" s="1" t="str">
        <f>"辽宁省 大连市 瓦房店市 "</f>
        <v xml:space="preserve">辽宁省 大连市 瓦房店市 </v>
      </c>
      <c r="N1761" s="1" t="str">
        <f t="shared" si="553"/>
        <v>凡华云仓-城南圆通-微信视频号</v>
      </c>
      <c r="O1761" s="5" t="s">
        <v>1799</v>
      </c>
      <c r="P1761" s="6">
        <v>0.17</v>
      </c>
      <c r="Q1761" s="11">
        <v>2</v>
      </c>
      <c r="R1761" s="11"/>
      <c r="S1761" s="11"/>
      <c r="T1761" s="11"/>
      <c r="U1761" s="11">
        <f t="shared" si="552"/>
        <v>2</v>
      </c>
      <c r="W1761">
        <v>2.2000000000000002</v>
      </c>
      <c r="X1761" s="1" t="s">
        <v>92</v>
      </c>
    </row>
    <row r="1762" spans="1:24" x14ac:dyDescent="0.25">
      <c r="A1762" s="1" t="str">
        <f t="shared" si="548"/>
        <v>卡卡杜-凤凰仓</v>
      </c>
      <c r="B1762" s="1" t="str">
        <f>"CK20241028475"</f>
        <v>CK20241028475</v>
      </c>
      <c r="C1762" s="1" t="str">
        <f>"DD2024102820010"</f>
        <v>DD2024102820010</v>
      </c>
      <c r="D1762" s="1" t="str">
        <f>"CK202410289712"</f>
        <v>CK202410289712</v>
      </c>
      <c r="E1762" s="1" t="str">
        <f>"3723605620007240960"</f>
        <v>3723605620007240960</v>
      </c>
      <c r="F1762" s="1" t="str">
        <f t="shared" si="549"/>
        <v>花都四部-凤凰仓</v>
      </c>
      <c r="G1762" s="1" t="str">
        <f t="shared" si="554"/>
        <v>卡卡杜企业店（视频号）</v>
      </c>
      <c r="H1762" s="1" t="str">
        <f t="shared" si="550"/>
        <v>正常订单</v>
      </c>
      <c r="I1762" s="1" t="str">
        <f t="shared" si="551"/>
        <v>已发货</v>
      </c>
      <c r="J1762" s="1" t="str">
        <f t="shared" si="555"/>
        <v>2</v>
      </c>
      <c r="K1762" s="1">
        <v>2</v>
      </c>
      <c r="L1762" s="1" t="s">
        <v>80</v>
      </c>
      <c r="M1762" s="1" t="str">
        <f>"河南省 洛阳市 西工区 "</f>
        <v xml:space="preserve">河南省 洛阳市 西工区 </v>
      </c>
      <c r="N1762" s="1" t="str">
        <f t="shared" si="553"/>
        <v>凡华云仓-城南圆通-微信视频号</v>
      </c>
      <c r="O1762" s="5" t="s">
        <v>1800</v>
      </c>
      <c r="P1762" s="6">
        <v>0.17</v>
      </c>
      <c r="Q1762" s="11">
        <v>2</v>
      </c>
      <c r="R1762" s="11"/>
      <c r="S1762" s="11"/>
      <c r="T1762" s="11"/>
      <c r="U1762" s="11">
        <f t="shared" si="552"/>
        <v>2</v>
      </c>
      <c r="W1762">
        <v>2.2000000000000002</v>
      </c>
      <c r="X1762" s="1" t="s">
        <v>80</v>
      </c>
    </row>
    <row r="1763" spans="1:24" x14ac:dyDescent="0.25">
      <c r="A1763" s="1" t="str">
        <f t="shared" si="548"/>
        <v>卡卡杜-凤凰仓</v>
      </c>
      <c r="B1763" s="1" t="str">
        <f>"CK20241028474"</f>
        <v>CK20241028474</v>
      </c>
      <c r="C1763" s="1" t="str">
        <f>"DD2024102820009"</f>
        <v>DD2024102820009</v>
      </c>
      <c r="D1763" s="1" t="str">
        <f>"CK202410289711"</f>
        <v>CK202410289711</v>
      </c>
      <c r="E1763" s="1" t="str">
        <f>"3723605624482563584"</f>
        <v>3723605624482563584</v>
      </c>
      <c r="F1763" s="1" t="str">
        <f t="shared" si="549"/>
        <v>花都四部-凤凰仓</v>
      </c>
      <c r="G1763" s="1" t="str">
        <f t="shared" si="554"/>
        <v>卡卡杜企业店（视频号）</v>
      </c>
      <c r="H1763" s="1" t="str">
        <f t="shared" si="550"/>
        <v>正常订单</v>
      </c>
      <c r="I1763" s="1" t="str">
        <f t="shared" si="551"/>
        <v>已发货</v>
      </c>
      <c r="J1763" s="1" t="str">
        <f t="shared" si="555"/>
        <v>2</v>
      </c>
      <c r="K1763" s="1">
        <v>2</v>
      </c>
      <c r="L1763" s="1" t="s">
        <v>66</v>
      </c>
      <c r="M1763" s="1" t="str">
        <f>"内蒙古自治区 呼和浩特市 赛罕区 "</f>
        <v xml:space="preserve">内蒙古自治区 呼和浩特市 赛罕区 </v>
      </c>
      <c r="N1763" s="1" t="str">
        <f t="shared" si="553"/>
        <v>凡华云仓-城南圆通-微信视频号</v>
      </c>
      <c r="O1763" s="5" t="s">
        <v>1801</v>
      </c>
      <c r="P1763" s="6">
        <v>0.17</v>
      </c>
      <c r="Q1763" s="11">
        <v>2</v>
      </c>
      <c r="R1763" s="11"/>
      <c r="S1763" s="11"/>
      <c r="T1763" s="11"/>
      <c r="U1763" s="11">
        <f t="shared" si="552"/>
        <v>2</v>
      </c>
      <c r="W1763">
        <v>2.2000000000000002</v>
      </c>
      <c r="X1763" s="1" t="s">
        <v>66</v>
      </c>
    </row>
    <row r="1764" spans="1:24" x14ac:dyDescent="0.25">
      <c r="A1764" s="1" t="str">
        <f t="shared" si="548"/>
        <v>卡卡杜-凤凰仓</v>
      </c>
      <c r="B1764" s="1" t="str">
        <f>"CK20241028473"</f>
        <v>CK20241028473</v>
      </c>
      <c r="C1764" s="1" t="str">
        <f>"DD2024102820008"</f>
        <v>DD2024102820008</v>
      </c>
      <c r="D1764" s="1" t="str">
        <f>"CK202410289710"</f>
        <v>CK202410289710</v>
      </c>
      <c r="E1764" s="1" t="str">
        <f>"3723605626303415808"</f>
        <v>3723605626303415808</v>
      </c>
      <c r="F1764" s="1" t="str">
        <f t="shared" si="549"/>
        <v>花都四部-凤凰仓</v>
      </c>
      <c r="G1764" s="1" t="str">
        <f t="shared" si="554"/>
        <v>卡卡杜企业店（视频号）</v>
      </c>
      <c r="H1764" s="1" t="str">
        <f t="shared" si="550"/>
        <v>正常订单</v>
      </c>
      <c r="I1764" s="1" t="str">
        <f t="shared" si="551"/>
        <v>已发货</v>
      </c>
      <c r="J1764" s="1" t="str">
        <f t="shared" si="555"/>
        <v>2</v>
      </c>
      <c r="K1764" s="1">
        <v>2</v>
      </c>
      <c r="L1764" s="1" t="s">
        <v>13</v>
      </c>
      <c r="M1764" s="1" t="str">
        <f>"江苏省 常州市 钟楼区 "</f>
        <v xml:space="preserve">江苏省 常州市 钟楼区 </v>
      </c>
      <c r="N1764" s="1" t="str">
        <f t="shared" si="553"/>
        <v>凡华云仓-城南圆通-微信视频号</v>
      </c>
      <c r="O1764" s="5" t="s">
        <v>1802</v>
      </c>
      <c r="P1764" s="6">
        <v>0.17</v>
      </c>
      <c r="Q1764" s="11">
        <v>2</v>
      </c>
      <c r="R1764" s="11"/>
      <c r="S1764" s="11"/>
      <c r="T1764" s="11"/>
      <c r="U1764" s="11">
        <f t="shared" si="552"/>
        <v>2</v>
      </c>
      <c r="W1764">
        <v>2.2000000000000002</v>
      </c>
      <c r="X1764" s="1" t="s">
        <v>13</v>
      </c>
    </row>
    <row r="1765" spans="1:24" x14ac:dyDescent="0.25">
      <c r="A1765" s="1" t="str">
        <f t="shared" si="548"/>
        <v>卡卡杜-凤凰仓</v>
      </c>
      <c r="B1765" s="1" t="str">
        <f>"CK20241028471"</f>
        <v>CK20241028471</v>
      </c>
      <c r="C1765" s="1" t="str">
        <f>"DD2024102820007"</f>
        <v>DD2024102820007</v>
      </c>
      <c r="D1765" s="1" t="str">
        <f>"CK202410289709"</f>
        <v>CK202410289709</v>
      </c>
      <c r="E1765" s="1" t="str">
        <f>"3723605666257046528"</f>
        <v>3723605666257046528</v>
      </c>
      <c r="F1765" s="1" t="str">
        <f t="shared" si="549"/>
        <v>花都四部-凤凰仓</v>
      </c>
      <c r="G1765" s="1" t="str">
        <f t="shared" si="554"/>
        <v>卡卡杜企业店（视频号）</v>
      </c>
      <c r="H1765" s="1" t="str">
        <f t="shared" si="550"/>
        <v>正常订单</v>
      </c>
      <c r="I1765" s="1" t="str">
        <f t="shared" si="551"/>
        <v>已发货</v>
      </c>
      <c r="J1765" s="1" t="str">
        <f t="shared" si="555"/>
        <v>2</v>
      </c>
      <c r="K1765" s="1">
        <v>2</v>
      </c>
      <c r="L1765" s="1" t="s">
        <v>44</v>
      </c>
      <c r="M1765" s="1" t="str">
        <f>"海南省 省直辖县级行政区划 琼中黎族苗族自治县 "</f>
        <v xml:space="preserve">海南省 省直辖县级行政区划 琼中黎族苗族自治县 </v>
      </c>
      <c r="N1765" s="1" t="str">
        <f t="shared" si="553"/>
        <v>凡华云仓-城南圆通-微信视频号</v>
      </c>
      <c r="O1765" s="5" t="s">
        <v>1803</v>
      </c>
      <c r="P1765" s="6">
        <v>0.17</v>
      </c>
      <c r="Q1765" s="11">
        <v>2</v>
      </c>
      <c r="R1765" s="11"/>
      <c r="S1765" s="11"/>
      <c r="T1765" s="11"/>
      <c r="U1765" s="11">
        <f t="shared" si="552"/>
        <v>2</v>
      </c>
      <c r="W1765">
        <v>2.2000000000000002</v>
      </c>
      <c r="X1765" s="1" t="s">
        <v>44</v>
      </c>
    </row>
    <row r="1766" spans="1:24" x14ac:dyDescent="0.25">
      <c r="A1766" s="1" t="str">
        <f t="shared" si="548"/>
        <v>卡卡杜-凤凰仓</v>
      </c>
      <c r="B1766" s="1" t="str">
        <f>"CK20241028470"</f>
        <v>CK20241028470</v>
      </c>
      <c r="C1766" s="1" t="str">
        <f>"DD2024102820006"</f>
        <v>DD2024102820006</v>
      </c>
      <c r="D1766" s="1" t="str">
        <f>"CK202410289708"</f>
        <v>CK202410289708</v>
      </c>
      <c r="E1766" s="1" t="str">
        <f>"3723605731018673152"</f>
        <v>3723605731018673152</v>
      </c>
      <c r="F1766" s="1" t="str">
        <f t="shared" si="549"/>
        <v>花都四部-凤凰仓</v>
      </c>
      <c r="G1766" s="1" t="str">
        <f t="shared" si="554"/>
        <v>卡卡杜企业店（视频号）</v>
      </c>
      <c r="H1766" s="1" t="str">
        <f t="shared" si="550"/>
        <v>正常订单</v>
      </c>
      <c r="I1766" s="1" t="str">
        <f t="shared" si="551"/>
        <v>已发货</v>
      </c>
      <c r="J1766" s="1" t="str">
        <f t="shared" si="555"/>
        <v>2</v>
      </c>
      <c r="K1766" s="1">
        <v>2</v>
      </c>
      <c r="L1766" s="1" t="s">
        <v>187</v>
      </c>
      <c r="M1766" s="1" t="str">
        <f>"吉林省 长春市 绿园区 "</f>
        <v xml:space="preserve">吉林省 长春市 绿园区 </v>
      </c>
      <c r="N1766" s="1" t="str">
        <f t="shared" si="553"/>
        <v>凡华云仓-城南圆通-微信视频号</v>
      </c>
      <c r="O1766" s="5" t="s">
        <v>1804</v>
      </c>
      <c r="P1766" s="6">
        <v>0.17</v>
      </c>
      <c r="Q1766" s="11">
        <v>2</v>
      </c>
      <c r="R1766" s="11"/>
      <c r="S1766" s="11"/>
      <c r="T1766" s="11"/>
      <c r="U1766" s="11">
        <f t="shared" si="552"/>
        <v>2</v>
      </c>
      <c r="W1766">
        <v>2.2000000000000002</v>
      </c>
      <c r="X1766" s="1" t="s">
        <v>187</v>
      </c>
    </row>
    <row r="1767" spans="1:24" x14ac:dyDescent="0.25">
      <c r="A1767" s="1" t="str">
        <f t="shared" si="548"/>
        <v>卡卡杜-凤凰仓</v>
      </c>
      <c r="B1767" s="1" t="str">
        <f>"CK20241028472"</f>
        <v>CK20241028472</v>
      </c>
      <c r="C1767" s="1" t="str">
        <f>"DD2024102820005"</f>
        <v>DD2024102820005</v>
      </c>
      <c r="D1767" s="1" t="str">
        <f>"CK202410289707"</f>
        <v>CK202410289707</v>
      </c>
      <c r="E1767" s="1" t="str">
        <f>"3723605639159743744"</f>
        <v>3723605639159743744</v>
      </c>
      <c r="F1767" s="1" t="str">
        <f t="shared" si="549"/>
        <v>花都四部-凤凰仓</v>
      </c>
      <c r="G1767" s="1" t="str">
        <f t="shared" si="554"/>
        <v>卡卡杜企业店（视频号）</v>
      </c>
      <c r="H1767" s="1" t="str">
        <f t="shared" si="550"/>
        <v>正常订单</v>
      </c>
      <c r="I1767" s="1" t="str">
        <f t="shared" si="551"/>
        <v>已发货</v>
      </c>
      <c r="J1767" s="1" t="str">
        <f t="shared" si="555"/>
        <v>2</v>
      </c>
      <c r="K1767" s="1">
        <v>2</v>
      </c>
      <c r="L1767" s="1" t="s">
        <v>18</v>
      </c>
      <c r="M1767" s="1" t="str">
        <f>"广东省 汕头市 龙湖区 "</f>
        <v xml:space="preserve">广东省 汕头市 龙湖区 </v>
      </c>
      <c r="N1767" s="1" t="str">
        <f t="shared" si="553"/>
        <v>凡华云仓-城南圆通-微信视频号</v>
      </c>
      <c r="O1767" s="5" t="s">
        <v>1805</v>
      </c>
      <c r="P1767" s="6">
        <v>0.17</v>
      </c>
      <c r="Q1767" s="11">
        <v>2</v>
      </c>
      <c r="R1767" s="11"/>
      <c r="S1767" s="11"/>
      <c r="T1767" s="11"/>
      <c r="U1767" s="11">
        <f t="shared" si="552"/>
        <v>2</v>
      </c>
      <c r="W1767">
        <v>2.2000000000000002</v>
      </c>
      <c r="X1767" s="1" t="s">
        <v>18</v>
      </c>
    </row>
    <row r="1768" spans="1:24" x14ac:dyDescent="0.25">
      <c r="A1768" s="1" t="str">
        <f t="shared" si="548"/>
        <v>卡卡杜-凤凰仓</v>
      </c>
      <c r="B1768" s="1" t="str">
        <f>"CK20241028469"</f>
        <v>CK20241028469</v>
      </c>
      <c r="C1768" s="1" t="str">
        <f>"DD2024102820004"</f>
        <v>DD2024102820004</v>
      </c>
      <c r="D1768" s="1" t="str">
        <f>"CK202410289706"</f>
        <v>CK202410289706</v>
      </c>
      <c r="E1768" s="1" t="str">
        <f>"3723605777178821888"</f>
        <v>3723605777178821888</v>
      </c>
      <c r="F1768" s="1" t="str">
        <f t="shared" si="549"/>
        <v>花都四部-凤凰仓</v>
      </c>
      <c r="G1768" s="1" t="str">
        <f t="shared" si="554"/>
        <v>卡卡杜企业店（视频号）</v>
      </c>
      <c r="H1768" s="1" t="str">
        <f t="shared" si="550"/>
        <v>正常订单</v>
      </c>
      <c r="I1768" s="1" t="str">
        <f t="shared" si="551"/>
        <v>已发货</v>
      </c>
      <c r="J1768" s="1" t="str">
        <f t="shared" si="555"/>
        <v>2</v>
      </c>
      <c r="K1768" s="1">
        <v>2</v>
      </c>
      <c r="L1768" s="1" t="s">
        <v>161</v>
      </c>
      <c r="M1768" s="1" t="str">
        <f>"四川省 成都市 彭州市 "</f>
        <v xml:space="preserve">四川省 成都市 彭州市 </v>
      </c>
      <c r="N1768" s="1" t="str">
        <f>"凡华云仓-竹料中通-微信视频号"</f>
        <v>凡华云仓-竹料中通-微信视频号</v>
      </c>
      <c r="O1768" s="5">
        <v>73613903506850</v>
      </c>
      <c r="P1768" s="6">
        <v>0.17</v>
      </c>
      <c r="Q1768" s="11">
        <v>2.2999999999999998</v>
      </c>
      <c r="R1768" s="11"/>
      <c r="S1768" s="11"/>
      <c r="T1768" s="11"/>
      <c r="U1768" s="11">
        <f t="shared" si="552"/>
        <v>2.2999999999999998</v>
      </c>
      <c r="W1768">
        <v>2.5</v>
      </c>
      <c r="X1768" s="1" t="s">
        <v>161</v>
      </c>
    </row>
    <row r="1769" spans="1:24" x14ac:dyDescent="0.25">
      <c r="A1769" s="1" t="str">
        <f t="shared" si="548"/>
        <v>卡卡杜-凤凰仓</v>
      </c>
      <c r="B1769" s="1" t="str">
        <f>"CK20241028468"</f>
        <v>CK20241028468</v>
      </c>
      <c r="C1769" s="1" t="str">
        <f>"DD2024102820003"</f>
        <v>DD2024102820003</v>
      </c>
      <c r="D1769" s="1" t="str">
        <f>"CK202410289705"</f>
        <v>CK202410289705</v>
      </c>
      <c r="E1769" s="1" t="str">
        <f>"3723605806828094976"</f>
        <v>3723605806828094976</v>
      </c>
      <c r="F1769" s="1" t="str">
        <f t="shared" si="549"/>
        <v>花都四部-凤凰仓</v>
      </c>
      <c r="G1769" s="1" t="str">
        <f t="shared" si="554"/>
        <v>卡卡杜企业店（视频号）</v>
      </c>
      <c r="H1769" s="1" t="str">
        <f t="shared" si="550"/>
        <v>正常订单</v>
      </c>
      <c r="I1769" s="1" t="str">
        <f t="shared" si="551"/>
        <v>已发货</v>
      </c>
      <c r="J1769" s="1" t="str">
        <f t="shared" si="555"/>
        <v>2</v>
      </c>
      <c r="K1769" s="1">
        <v>2</v>
      </c>
      <c r="L1769" s="1" t="s">
        <v>92</v>
      </c>
      <c r="M1769" s="1" t="str">
        <f>"辽宁省 沈阳市 沈河区 "</f>
        <v xml:space="preserve">辽宁省 沈阳市 沈河区 </v>
      </c>
      <c r="N1769" s="1" t="str">
        <f t="shared" ref="N1769:N1832" si="556">"凡华云仓-城南圆通-微信视频号"</f>
        <v>凡华云仓-城南圆通-微信视频号</v>
      </c>
      <c r="O1769" s="5" t="s">
        <v>1806</v>
      </c>
      <c r="P1769" s="6">
        <v>0.17</v>
      </c>
      <c r="Q1769" s="11">
        <v>2</v>
      </c>
      <c r="R1769" s="11"/>
      <c r="S1769" s="11"/>
      <c r="T1769" s="11"/>
      <c r="U1769" s="11">
        <f t="shared" si="552"/>
        <v>2</v>
      </c>
      <c r="W1769">
        <v>2.2000000000000002</v>
      </c>
      <c r="X1769" s="1" t="s">
        <v>92</v>
      </c>
    </row>
    <row r="1770" spans="1:24" x14ac:dyDescent="0.25">
      <c r="A1770" s="1" t="str">
        <f t="shared" si="548"/>
        <v>卡卡杜-凤凰仓</v>
      </c>
      <c r="B1770" s="1" t="str">
        <f>"CK20241028467"</f>
        <v>CK20241028467</v>
      </c>
      <c r="C1770" s="1" t="str">
        <f>"DD2024102820002"</f>
        <v>DD2024102820002</v>
      </c>
      <c r="D1770" s="1" t="str">
        <f>"CK202410289704"</f>
        <v>CK202410289704</v>
      </c>
      <c r="E1770" s="1" t="str">
        <f>"3723605843346591744"</f>
        <v>3723605843346591744</v>
      </c>
      <c r="F1770" s="1" t="str">
        <f t="shared" si="549"/>
        <v>花都四部-凤凰仓</v>
      </c>
      <c r="G1770" s="1" t="str">
        <f t="shared" si="554"/>
        <v>卡卡杜企业店（视频号）</v>
      </c>
      <c r="H1770" s="1" t="str">
        <f t="shared" si="550"/>
        <v>正常订单</v>
      </c>
      <c r="I1770" s="1" t="str">
        <f t="shared" si="551"/>
        <v>已发货</v>
      </c>
      <c r="J1770" s="1" t="str">
        <f t="shared" si="555"/>
        <v>2</v>
      </c>
      <c r="K1770" s="1">
        <v>2</v>
      </c>
      <c r="L1770" s="1" t="s">
        <v>105</v>
      </c>
      <c r="M1770" s="1" t="str">
        <f>"北京 北京市 朝阳区 "</f>
        <v xml:space="preserve">北京 北京市 朝阳区 </v>
      </c>
      <c r="N1770" s="1" t="str">
        <f t="shared" si="556"/>
        <v>凡华云仓-城南圆通-微信视频号</v>
      </c>
      <c r="O1770" s="5" t="s">
        <v>1807</v>
      </c>
      <c r="P1770" s="6">
        <v>0.17</v>
      </c>
      <c r="Q1770" s="11">
        <v>2</v>
      </c>
      <c r="R1770" s="11"/>
      <c r="S1770" s="11"/>
      <c r="T1770" s="11"/>
      <c r="U1770" s="11">
        <f t="shared" si="552"/>
        <v>2</v>
      </c>
      <c r="W1770">
        <v>2.2000000000000002</v>
      </c>
      <c r="X1770" s="1" t="s">
        <v>105</v>
      </c>
    </row>
    <row r="1771" spans="1:24" x14ac:dyDescent="0.25">
      <c r="A1771" s="1" t="str">
        <f t="shared" si="548"/>
        <v>卡卡杜-凤凰仓</v>
      </c>
      <c r="B1771" s="1" t="str">
        <f>"CK20241028466"</f>
        <v>CK20241028466</v>
      </c>
      <c r="C1771" s="1" t="str">
        <f>"DD2024102820001"</f>
        <v>DD2024102820001</v>
      </c>
      <c r="D1771" s="1" t="str">
        <f>"CK202410289703"</f>
        <v>CK202410289703</v>
      </c>
      <c r="E1771" s="1" t="str">
        <f>"3723605883315422464"</f>
        <v>3723605883315422464</v>
      </c>
      <c r="F1771" s="1" t="str">
        <f t="shared" si="549"/>
        <v>花都四部-凤凰仓</v>
      </c>
      <c r="G1771" s="1" t="str">
        <f t="shared" si="554"/>
        <v>卡卡杜企业店（视频号）</v>
      </c>
      <c r="H1771" s="1" t="str">
        <f t="shared" si="550"/>
        <v>正常订单</v>
      </c>
      <c r="I1771" s="1" t="str">
        <f t="shared" si="551"/>
        <v>已发货</v>
      </c>
      <c r="J1771" s="1" t="str">
        <f t="shared" si="555"/>
        <v>2</v>
      </c>
      <c r="K1771" s="1">
        <v>2</v>
      </c>
      <c r="L1771" s="1" t="s">
        <v>13</v>
      </c>
      <c r="M1771" s="1" t="str">
        <f>"江苏省 苏州市 昆山市 "</f>
        <v xml:space="preserve">江苏省 苏州市 昆山市 </v>
      </c>
      <c r="N1771" s="1" t="str">
        <f t="shared" si="556"/>
        <v>凡华云仓-城南圆通-微信视频号</v>
      </c>
      <c r="O1771" s="5" t="s">
        <v>1808</v>
      </c>
      <c r="P1771" s="6">
        <v>0.17</v>
      </c>
      <c r="Q1771" s="11">
        <v>2</v>
      </c>
      <c r="R1771" s="11"/>
      <c r="S1771" s="11"/>
      <c r="T1771" s="11"/>
      <c r="U1771" s="11">
        <f t="shared" si="552"/>
        <v>2</v>
      </c>
      <c r="W1771">
        <v>2.2000000000000002</v>
      </c>
      <c r="X1771" s="1" t="s">
        <v>13</v>
      </c>
    </row>
    <row r="1772" spans="1:24" x14ac:dyDescent="0.25">
      <c r="A1772" s="1" t="str">
        <f t="shared" si="548"/>
        <v>卡卡杜-凤凰仓</v>
      </c>
      <c r="B1772" s="1" t="str">
        <f>"CK20241028465"</f>
        <v>CK20241028465</v>
      </c>
      <c r="C1772" s="1" t="str">
        <f>"DD2024102820000"</f>
        <v>DD2024102820000</v>
      </c>
      <c r="D1772" s="1" t="str">
        <f>"CK202410289702"</f>
        <v>CK202410289702</v>
      </c>
      <c r="E1772" s="1" t="str">
        <f>"3723606040090121216"</f>
        <v>3723606040090121216</v>
      </c>
      <c r="F1772" s="1" t="str">
        <f t="shared" si="549"/>
        <v>花都四部-凤凰仓</v>
      </c>
      <c r="G1772" s="1" t="str">
        <f t="shared" si="554"/>
        <v>卡卡杜企业店（视频号）</v>
      </c>
      <c r="H1772" s="1" t="str">
        <f t="shared" si="550"/>
        <v>正常订单</v>
      </c>
      <c r="I1772" s="1" t="str">
        <f t="shared" si="551"/>
        <v>已发货</v>
      </c>
      <c r="J1772" s="1" t="str">
        <f t="shared" si="555"/>
        <v>2</v>
      </c>
      <c r="K1772" s="1">
        <v>2</v>
      </c>
      <c r="L1772" s="1" t="s">
        <v>66</v>
      </c>
      <c r="M1772" s="1" t="str">
        <f>"内蒙古自治区 呼和浩特市 赛罕区 "</f>
        <v xml:space="preserve">内蒙古自治区 呼和浩特市 赛罕区 </v>
      </c>
      <c r="N1772" s="1" t="str">
        <f t="shared" si="556"/>
        <v>凡华云仓-城南圆通-微信视频号</v>
      </c>
      <c r="O1772" s="5" t="s">
        <v>1809</v>
      </c>
      <c r="P1772" s="6">
        <v>0.17</v>
      </c>
      <c r="Q1772" s="11">
        <v>2</v>
      </c>
      <c r="R1772" s="11"/>
      <c r="S1772" s="11"/>
      <c r="T1772" s="11"/>
      <c r="U1772" s="11">
        <f t="shared" si="552"/>
        <v>2</v>
      </c>
      <c r="W1772">
        <v>2.2000000000000002</v>
      </c>
      <c r="X1772" s="1" t="s">
        <v>66</v>
      </c>
    </row>
    <row r="1773" spans="1:24" x14ac:dyDescent="0.25">
      <c r="A1773" s="1" t="str">
        <f t="shared" si="548"/>
        <v>卡卡杜-凤凰仓</v>
      </c>
      <c r="B1773" s="1" t="str">
        <f>"CK20241028464"</f>
        <v>CK20241028464</v>
      </c>
      <c r="C1773" s="1" t="str">
        <f>"DD2024102819999"</f>
        <v>DD2024102819999</v>
      </c>
      <c r="D1773" s="1" t="str">
        <f>"CK202410289701"</f>
        <v>CK202410289701</v>
      </c>
      <c r="E1773" s="1" t="str">
        <f>"3723606041226776576"</f>
        <v>3723606041226776576</v>
      </c>
      <c r="F1773" s="1" t="str">
        <f t="shared" si="549"/>
        <v>花都四部-凤凰仓</v>
      </c>
      <c r="G1773" s="1" t="str">
        <f t="shared" si="554"/>
        <v>卡卡杜企业店（视频号）</v>
      </c>
      <c r="H1773" s="1" t="str">
        <f t="shared" si="550"/>
        <v>正常订单</v>
      </c>
      <c r="I1773" s="1" t="str">
        <f t="shared" si="551"/>
        <v>已发货</v>
      </c>
      <c r="J1773" s="1" t="str">
        <f t="shared" si="555"/>
        <v>2</v>
      </c>
      <c r="K1773" s="1">
        <v>2</v>
      </c>
      <c r="L1773" s="1" t="s">
        <v>96</v>
      </c>
      <c r="M1773" s="1" t="str">
        <f>"广西壮族自治区 南宁市 青秀区 "</f>
        <v xml:space="preserve">广西壮族自治区 南宁市 青秀区 </v>
      </c>
      <c r="N1773" s="1" t="str">
        <f t="shared" si="556"/>
        <v>凡华云仓-城南圆通-微信视频号</v>
      </c>
      <c r="O1773" s="5" t="s">
        <v>1810</v>
      </c>
      <c r="P1773" s="6">
        <v>0.17</v>
      </c>
      <c r="Q1773" s="11">
        <v>2</v>
      </c>
      <c r="R1773" s="11"/>
      <c r="S1773" s="11"/>
      <c r="T1773" s="11"/>
      <c r="U1773" s="11">
        <f t="shared" si="552"/>
        <v>2</v>
      </c>
      <c r="W1773">
        <v>2.2000000000000002</v>
      </c>
      <c r="X1773" s="1" t="s">
        <v>96</v>
      </c>
    </row>
    <row r="1774" spans="1:24" x14ac:dyDescent="0.25">
      <c r="A1774" s="1" t="str">
        <f t="shared" si="548"/>
        <v>卡卡杜-凤凰仓</v>
      </c>
      <c r="B1774" s="1" t="str">
        <f>"CK20241028463"</f>
        <v>CK20241028463</v>
      </c>
      <c r="C1774" s="1" t="str">
        <f>"DD2024102819998"</f>
        <v>DD2024102819998</v>
      </c>
      <c r="D1774" s="1" t="str">
        <f>"CK202410289700"</f>
        <v>CK202410289700</v>
      </c>
      <c r="E1774" s="1" t="str">
        <f>"3723606043434291200"</f>
        <v>3723606043434291200</v>
      </c>
      <c r="F1774" s="1" t="str">
        <f t="shared" si="549"/>
        <v>花都四部-凤凰仓</v>
      </c>
      <c r="G1774" s="1" t="str">
        <f t="shared" si="554"/>
        <v>卡卡杜企业店（视频号）</v>
      </c>
      <c r="H1774" s="1" t="str">
        <f t="shared" si="550"/>
        <v>正常订单</v>
      </c>
      <c r="I1774" s="1" t="str">
        <f t="shared" si="551"/>
        <v>已发货</v>
      </c>
      <c r="J1774" s="1" t="str">
        <f t="shared" si="555"/>
        <v>2</v>
      </c>
      <c r="K1774" s="1">
        <v>2</v>
      </c>
      <c r="L1774" s="1" t="s">
        <v>18</v>
      </c>
      <c r="M1774" s="1" t="str">
        <f>"广东省 广州市 天河区 "</f>
        <v xml:space="preserve">广东省 广州市 天河区 </v>
      </c>
      <c r="N1774" s="1" t="str">
        <f t="shared" si="556"/>
        <v>凡华云仓-城南圆通-微信视频号</v>
      </c>
      <c r="O1774" s="5" t="s">
        <v>1811</v>
      </c>
      <c r="P1774" s="6">
        <v>0.17</v>
      </c>
      <c r="Q1774" s="11">
        <v>2</v>
      </c>
      <c r="R1774" s="11"/>
      <c r="S1774" s="11"/>
      <c r="T1774" s="11"/>
      <c r="U1774" s="11">
        <f t="shared" si="552"/>
        <v>2</v>
      </c>
      <c r="W1774">
        <v>2.2000000000000002</v>
      </c>
      <c r="X1774" s="1" t="s">
        <v>18</v>
      </c>
    </row>
    <row r="1775" spans="1:24" x14ac:dyDescent="0.25">
      <c r="A1775" s="1" t="str">
        <f t="shared" si="548"/>
        <v>卡卡杜-凤凰仓</v>
      </c>
      <c r="B1775" s="1" t="str">
        <f>"CK20241028462"</f>
        <v>CK20241028462</v>
      </c>
      <c r="C1775" s="1" t="str">
        <f>"DD2024102819997"</f>
        <v>DD2024102819997</v>
      </c>
      <c r="D1775" s="1" t="str">
        <f>"CK202410289699"</f>
        <v>CK202410289699</v>
      </c>
      <c r="E1775" s="1" t="str">
        <f>"3723606047086742528"</f>
        <v>3723606047086742528</v>
      </c>
      <c r="F1775" s="1" t="str">
        <f t="shared" si="549"/>
        <v>花都四部-凤凰仓</v>
      </c>
      <c r="G1775" s="1" t="str">
        <f t="shared" si="554"/>
        <v>卡卡杜企业店（视频号）</v>
      </c>
      <c r="H1775" s="1" t="str">
        <f t="shared" si="550"/>
        <v>正常订单</v>
      </c>
      <c r="I1775" s="1" t="str">
        <f t="shared" si="551"/>
        <v>已发货</v>
      </c>
      <c r="J1775" s="1" t="str">
        <f t="shared" si="555"/>
        <v>2</v>
      </c>
      <c r="K1775" s="1">
        <v>2</v>
      </c>
      <c r="L1775" s="1" t="s">
        <v>18</v>
      </c>
      <c r="M1775" s="1" t="str">
        <f>"广东省 广州市 越秀区 "</f>
        <v xml:space="preserve">广东省 广州市 越秀区 </v>
      </c>
      <c r="N1775" s="1" t="str">
        <f t="shared" si="556"/>
        <v>凡华云仓-城南圆通-微信视频号</v>
      </c>
      <c r="O1775" s="5" t="s">
        <v>1812</v>
      </c>
      <c r="P1775" s="6">
        <v>0.17</v>
      </c>
      <c r="Q1775" s="11">
        <v>2</v>
      </c>
      <c r="R1775" s="11"/>
      <c r="S1775" s="11"/>
      <c r="T1775" s="11"/>
      <c r="U1775" s="11">
        <f t="shared" si="552"/>
        <v>2</v>
      </c>
      <c r="W1775">
        <v>2.2000000000000002</v>
      </c>
      <c r="X1775" s="1" t="s">
        <v>18</v>
      </c>
    </row>
    <row r="1776" spans="1:24" x14ac:dyDescent="0.25">
      <c r="A1776" s="1" t="str">
        <f t="shared" si="548"/>
        <v>卡卡杜-凤凰仓</v>
      </c>
      <c r="B1776" s="1" t="str">
        <f>"CK20241028461"</f>
        <v>CK20241028461</v>
      </c>
      <c r="C1776" s="1" t="str">
        <f>"DD2024102819996"</f>
        <v>DD2024102819996</v>
      </c>
      <c r="D1776" s="1" t="str">
        <f>"CK202410289698"</f>
        <v>CK202410289698</v>
      </c>
      <c r="E1776" s="1" t="str">
        <f>"3723606048184079360"</f>
        <v>3723606048184079360</v>
      </c>
      <c r="F1776" s="1" t="str">
        <f t="shared" si="549"/>
        <v>花都四部-凤凰仓</v>
      </c>
      <c r="G1776" s="1" t="str">
        <f t="shared" si="554"/>
        <v>卡卡杜企业店（视频号）</v>
      </c>
      <c r="H1776" s="1" t="str">
        <f t="shared" si="550"/>
        <v>正常订单</v>
      </c>
      <c r="I1776" s="1" t="str">
        <f t="shared" si="551"/>
        <v>已发货</v>
      </c>
      <c r="J1776" s="1" t="str">
        <f t="shared" si="555"/>
        <v>2</v>
      </c>
      <c r="K1776" s="1">
        <v>2</v>
      </c>
      <c r="L1776" s="1" t="s">
        <v>161</v>
      </c>
      <c r="M1776" s="1" t="str">
        <f>"四川省 南充市 高坪区 "</f>
        <v xml:space="preserve">四川省 南充市 高坪区 </v>
      </c>
      <c r="N1776" s="1" t="str">
        <f t="shared" si="556"/>
        <v>凡华云仓-城南圆通-微信视频号</v>
      </c>
      <c r="O1776" s="5" t="s">
        <v>1813</v>
      </c>
      <c r="P1776" s="6">
        <v>0.17</v>
      </c>
      <c r="Q1776" s="11">
        <v>2</v>
      </c>
      <c r="R1776" s="11"/>
      <c r="S1776" s="11"/>
      <c r="T1776" s="11"/>
      <c r="U1776" s="11">
        <f t="shared" si="552"/>
        <v>2</v>
      </c>
      <c r="W1776">
        <v>2.2000000000000002</v>
      </c>
      <c r="X1776" s="1" t="s">
        <v>161</v>
      </c>
    </row>
    <row r="1777" spans="1:24" x14ac:dyDescent="0.25">
      <c r="A1777" s="1" t="str">
        <f t="shared" si="548"/>
        <v>卡卡杜-凤凰仓</v>
      </c>
      <c r="B1777" s="1" t="str">
        <f>"CK20241028460"</f>
        <v>CK20241028460</v>
      </c>
      <c r="C1777" s="1" t="str">
        <f>"DD2024102819995"</f>
        <v>DD2024102819995</v>
      </c>
      <c r="D1777" s="1" t="str">
        <f>"CK202410289697"</f>
        <v>CK202410289697</v>
      </c>
      <c r="E1777" s="1" t="str">
        <f>"3723606048897893888"</f>
        <v>3723606048897893888</v>
      </c>
      <c r="F1777" s="1" t="str">
        <f t="shared" si="549"/>
        <v>花都四部-凤凰仓</v>
      </c>
      <c r="G1777" s="1" t="str">
        <f t="shared" si="554"/>
        <v>卡卡杜企业店（视频号）</v>
      </c>
      <c r="H1777" s="1" t="str">
        <f t="shared" si="550"/>
        <v>正常订单</v>
      </c>
      <c r="I1777" s="1" t="str">
        <f t="shared" si="551"/>
        <v>已发货</v>
      </c>
      <c r="J1777" s="1" t="str">
        <f t="shared" si="555"/>
        <v>2</v>
      </c>
      <c r="K1777" s="1">
        <v>2</v>
      </c>
      <c r="L1777" s="1" t="s">
        <v>92</v>
      </c>
      <c r="M1777" s="1" t="str">
        <f>"辽宁省 沈阳市 铁西区 "</f>
        <v xml:space="preserve">辽宁省 沈阳市 铁西区 </v>
      </c>
      <c r="N1777" s="1" t="str">
        <f t="shared" si="556"/>
        <v>凡华云仓-城南圆通-微信视频号</v>
      </c>
      <c r="O1777" s="5" t="s">
        <v>1814</v>
      </c>
      <c r="P1777" s="6">
        <v>0.17</v>
      </c>
      <c r="Q1777" s="11">
        <v>2</v>
      </c>
      <c r="R1777" s="11"/>
      <c r="S1777" s="11"/>
      <c r="T1777" s="11"/>
      <c r="U1777" s="11">
        <f t="shared" si="552"/>
        <v>2</v>
      </c>
      <c r="W1777">
        <v>2.2000000000000002</v>
      </c>
      <c r="X1777" s="1" t="s">
        <v>92</v>
      </c>
    </row>
    <row r="1778" spans="1:24" x14ac:dyDescent="0.25">
      <c r="A1778" s="1" t="str">
        <f t="shared" si="548"/>
        <v>卡卡杜-凤凰仓</v>
      </c>
      <c r="B1778" s="1" t="str">
        <f>"CK20241028459"</f>
        <v>CK20241028459</v>
      </c>
      <c r="C1778" s="1" t="str">
        <f>"DD2024102819994"</f>
        <v>DD2024102819994</v>
      </c>
      <c r="D1778" s="1" t="str">
        <f>"CK202410289695"</f>
        <v>CK202410289695</v>
      </c>
      <c r="E1778" s="1" t="str">
        <f>"3723606049093979136"</f>
        <v>3723606049093979136</v>
      </c>
      <c r="F1778" s="1" t="str">
        <f t="shared" si="549"/>
        <v>花都四部-凤凰仓</v>
      </c>
      <c r="G1778" s="1" t="str">
        <f t="shared" si="554"/>
        <v>卡卡杜企业店（视频号）</v>
      </c>
      <c r="H1778" s="1" t="str">
        <f t="shared" si="550"/>
        <v>正常订单</v>
      </c>
      <c r="I1778" s="1" t="str">
        <f t="shared" si="551"/>
        <v>已发货</v>
      </c>
      <c r="J1778" s="1" t="str">
        <f t="shared" si="555"/>
        <v>2</v>
      </c>
      <c r="K1778" s="1">
        <v>2</v>
      </c>
      <c r="L1778" s="1" t="s">
        <v>105</v>
      </c>
      <c r="M1778" s="1" t="str">
        <f>"北京 北京市 海淀区 "</f>
        <v xml:space="preserve">北京 北京市 海淀区 </v>
      </c>
      <c r="N1778" s="1" t="str">
        <f t="shared" si="556"/>
        <v>凡华云仓-城南圆通-微信视频号</v>
      </c>
      <c r="O1778" s="5" t="s">
        <v>1815</v>
      </c>
      <c r="P1778" s="6">
        <v>0.17</v>
      </c>
      <c r="Q1778" s="11">
        <v>2</v>
      </c>
      <c r="R1778" s="11"/>
      <c r="S1778" s="11"/>
      <c r="T1778" s="11"/>
      <c r="U1778" s="11">
        <f t="shared" si="552"/>
        <v>2</v>
      </c>
      <c r="W1778">
        <v>2.2000000000000002</v>
      </c>
      <c r="X1778" s="1" t="s">
        <v>105</v>
      </c>
    </row>
    <row r="1779" spans="1:24" x14ac:dyDescent="0.25">
      <c r="A1779" s="1" t="str">
        <f t="shared" si="548"/>
        <v>卡卡杜-凤凰仓</v>
      </c>
      <c r="B1779" s="1" t="str">
        <f>"CK20241028458"</f>
        <v>CK20241028458</v>
      </c>
      <c r="C1779" s="1" t="str">
        <f>"DD2024102819993"</f>
        <v>DD2024102819993</v>
      </c>
      <c r="D1779" s="1" t="str">
        <f>"CK202410289694"</f>
        <v>CK202410289694</v>
      </c>
      <c r="E1779" s="1" t="str">
        <f>"3723606049615385600"</f>
        <v>3723606049615385600</v>
      </c>
      <c r="F1779" s="1" t="str">
        <f t="shared" si="549"/>
        <v>花都四部-凤凰仓</v>
      </c>
      <c r="G1779" s="1" t="str">
        <f t="shared" si="554"/>
        <v>卡卡杜企业店（视频号）</v>
      </c>
      <c r="H1779" s="1" t="str">
        <f t="shared" si="550"/>
        <v>正常订单</v>
      </c>
      <c r="I1779" s="1" t="str">
        <f t="shared" si="551"/>
        <v>已发货</v>
      </c>
      <c r="J1779" s="1" t="str">
        <f t="shared" si="555"/>
        <v>2</v>
      </c>
      <c r="K1779" s="1">
        <v>2</v>
      </c>
      <c r="L1779" s="1" t="s">
        <v>18</v>
      </c>
      <c r="M1779" s="1" t="str">
        <f>"广东省 广州市 天河区 "</f>
        <v xml:space="preserve">广东省 广州市 天河区 </v>
      </c>
      <c r="N1779" s="1" t="str">
        <f t="shared" si="556"/>
        <v>凡华云仓-城南圆通-微信视频号</v>
      </c>
      <c r="O1779" s="5" t="s">
        <v>1816</v>
      </c>
      <c r="P1779" s="6">
        <v>0.17</v>
      </c>
      <c r="Q1779" s="11">
        <v>2</v>
      </c>
      <c r="R1779" s="11"/>
      <c r="S1779" s="11"/>
      <c r="T1779" s="11"/>
      <c r="U1779" s="11">
        <f t="shared" si="552"/>
        <v>2</v>
      </c>
      <c r="W1779">
        <v>2.2000000000000002</v>
      </c>
      <c r="X1779" s="1" t="s">
        <v>18</v>
      </c>
    </row>
    <row r="1780" spans="1:24" x14ac:dyDescent="0.25">
      <c r="A1780" s="1" t="str">
        <f t="shared" si="548"/>
        <v>卡卡杜-凤凰仓</v>
      </c>
      <c r="B1780" s="1" t="str">
        <f>"CK20241028457"</f>
        <v>CK20241028457</v>
      </c>
      <c r="C1780" s="1" t="str">
        <f>"DD2024102819992"</f>
        <v>DD2024102819992</v>
      </c>
      <c r="D1780" s="1" t="str">
        <f>"CK202410289693"</f>
        <v>CK202410289693</v>
      </c>
      <c r="E1780" s="1" t="str">
        <f>"3723606049448396288"</f>
        <v>3723606049448396288</v>
      </c>
      <c r="F1780" s="1" t="str">
        <f t="shared" si="549"/>
        <v>花都四部-凤凰仓</v>
      </c>
      <c r="G1780" s="1" t="str">
        <f t="shared" si="554"/>
        <v>卡卡杜企业店（视频号）</v>
      </c>
      <c r="H1780" s="1" t="str">
        <f t="shared" si="550"/>
        <v>正常订单</v>
      </c>
      <c r="I1780" s="1" t="str">
        <f t="shared" si="551"/>
        <v>已发货</v>
      </c>
      <c r="J1780" s="1" t="str">
        <f t="shared" si="555"/>
        <v>2</v>
      </c>
      <c r="K1780" s="1">
        <v>2</v>
      </c>
      <c r="L1780" s="1" t="s">
        <v>20</v>
      </c>
      <c r="M1780" s="1" t="str">
        <f>"浙江省 衢州市 柯城区 "</f>
        <v xml:space="preserve">浙江省 衢州市 柯城区 </v>
      </c>
      <c r="N1780" s="1" t="str">
        <f t="shared" si="556"/>
        <v>凡华云仓-城南圆通-微信视频号</v>
      </c>
      <c r="O1780" s="5" t="s">
        <v>1817</v>
      </c>
      <c r="P1780" s="6">
        <v>0.17</v>
      </c>
      <c r="Q1780" s="11">
        <v>2</v>
      </c>
      <c r="R1780" s="11"/>
      <c r="S1780" s="11"/>
      <c r="T1780" s="11"/>
      <c r="U1780" s="11">
        <f t="shared" si="552"/>
        <v>2</v>
      </c>
      <c r="W1780">
        <v>2.2000000000000002</v>
      </c>
      <c r="X1780" s="1" t="s">
        <v>20</v>
      </c>
    </row>
    <row r="1781" spans="1:24" x14ac:dyDescent="0.25">
      <c r="A1781" s="1" t="str">
        <f t="shared" si="548"/>
        <v>卡卡杜-凤凰仓</v>
      </c>
      <c r="B1781" s="1" t="str">
        <f>"CK20241028456"</f>
        <v>CK20241028456</v>
      </c>
      <c r="C1781" s="1" t="str">
        <f>"DD2024102819991"</f>
        <v>DD2024102819991</v>
      </c>
      <c r="D1781" s="1" t="str">
        <f>"CK202410289692"</f>
        <v>CK202410289692</v>
      </c>
      <c r="E1781" s="1" t="str">
        <f>"3723606048150261760"</f>
        <v>3723606048150261760</v>
      </c>
      <c r="F1781" s="1" t="str">
        <f t="shared" si="549"/>
        <v>花都四部-凤凰仓</v>
      </c>
      <c r="G1781" s="1" t="str">
        <f t="shared" si="554"/>
        <v>卡卡杜企业店（视频号）</v>
      </c>
      <c r="H1781" s="1" t="str">
        <f t="shared" si="550"/>
        <v>正常订单</v>
      </c>
      <c r="I1781" s="1" t="str">
        <f t="shared" si="551"/>
        <v>已发货</v>
      </c>
      <c r="J1781" s="1" t="str">
        <f t="shared" si="555"/>
        <v>2</v>
      </c>
      <c r="K1781" s="1">
        <v>2</v>
      </c>
      <c r="L1781" s="1" t="s">
        <v>18</v>
      </c>
      <c r="M1781" s="1" t="str">
        <f>"广东省 江门市 蓬江区 "</f>
        <v xml:space="preserve">广东省 江门市 蓬江区 </v>
      </c>
      <c r="N1781" s="1" t="str">
        <f t="shared" si="556"/>
        <v>凡华云仓-城南圆通-微信视频号</v>
      </c>
      <c r="O1781" s="5" t="s">
        <v>1818</v>
      </c>
      <c r="P1781" s="6">
        <v>0.17</v>
      </c>
      <c r="Q1781" s="11">
        <v>2</v>
      </c>
      <c r="R1781" s="11"/>
      <c r="S1781" s="11"/>
      <c r="T1781" s="11"/>
      <c r="U1781" s="11">
        <f t="shared" si="552"/>
        <v>2</v>
      </c>
      <c r="W1781">
        <v>2.2000000000000002</v>
      </c>
      <c r="X1781" s="1" t="s">
        <v>18</v>
      </c>
    </row>
    <row r="1782" spans="1:24" x14ac:dyDescent="0.25">
      <c r="A1782" s="1" t="str">
        <f t="shared" si="548"/>
        <v>卡卡杜-凤凰仓</v>
      </c>
      <c r="B1782" s="1" t="str">
        <f>"CK20241028455"</f>
        <v>CK20241028455</v>
      </c>
      <c r="C1782" s="1" t="str">
        <f>"DD2024102819990"</f>
        <v>DD2024102819990</v>
      </c>
      <c r="D1782" s="1" t="str">
        <f>"CK202410289691"</f>
        <v>CK202410289691</v>
      </c>
      <c r="E1782" s="1" t="str">
        <f>"3723606046002775296"</f>
        <v>3723606046002775296</v>
      </c>
      <c r="F1782" s="1" t="str">
        <f t="shared" si="549"/>
        <v>花都四部-凤凰仓</v>
      </c>
      <c r="G1782" s="1" t="str">
        <f t="shared" si="554"/>
        <v>卡卡杜企业店（视频号）</v>
      </c>
      <c r="H1782" s="1" t="str">
        <f t="shared" si="550"/>
        <v>正常订单</v>
      </c>
      <c r="I1782" s="1" t="str">
        <f t="shared" si="551"/>
        <v>已发货</v>
      </c>
      <c r="J1782" s="1" t="str">
        <f t="shared" si="555"/>
        <v>2</v>
      </c>
      <c r="K1782" s="1">
        <v>2</v>
      </c>
      <c r="L1782" s="1" t="s">
        <v>32</v>
      </c>
      <c r="M1782" s="1" t="str">
        <f>"陕西省 西安市 雁塔区 "</f>
        <v xml:space="preserve">陕西省 西安市 雁塔区 </v>
      </c>
      <c r="N1782" s="1" t="str">
        <f t="shared" si="556"/>
        <v>凡华云仓-城南圆通-微信视频号</v>
      </c>
      <c r="O1782" s="5" t="s">
        <v>1819</v>
      </c>
      <c r="P1782" s="6">
        <v>0.17</v>
      </c>
      <c r="Q1782" s="11">
        <v>2</v>
      </c>
      <c r="R1782" s="11"/>
      <c r="S1782" s="11"/>
      <c r="T1782" s="11"/>
      <c r="U1782" s="11">
        <f t="shared" si="552"/>
        <v>2</v>
      </c>
      <c r="W1782">
        <v>2.2000000000000002</v>
      </c>
      <c r="X1782" s="1" t="s">
        <v>32</v>
      </c>
    </row>
    <row r="1783" spans="1:24" x14ac:dyDescent="0.25">
      <c r="A1783" s="1" t="str">
        <f t="shared" si="548"/>
        <v>卡卡杜-凤凰仓</v>
      </c>
      <c r="B1783" s="1" t="str">
        <f>"CK20241028453"</f>
        <v>CK20241028453</v>
      </c>
      <c r="C1783" s="1" t="str">
        <f>"DD2024102819989"</f>
        <v>DD2024102819989</v>
      </c>
      <c r="D1783" s="1" t="str">
        <f>"CK202410289690"</f>
        <v>CK202410289690</v>
      </c>
      <c r="E1783" s="1" t="str">
        <f>"3723606051561801216"</f>
        <v>3723606051561801216</v>
      </c>
      <c r="F1783" s="1" t="str">
        <f t="shared" si="549"/>
        <v>花都四部-凤凰仓</v>
      </c>
      <c r="G1783" s="1" t="str">
        <f t="shared" si="554"/>
        <v>卡卡杜企业店（视频号）</v>
      </c>
      <c r="H1783" s="1" t="str">
        <f t="shared" si="550"/>
        <v>正常订单</v>
      </c>
      <c r="I1783" s="1" t="str">
        <f t="shared" si="551"/>
        <v>已发货</v>
      </c>
      <c r="J1783" s="1" t="str">
        <f t="shared" si="555"/>
        <v>2</v>
      </c>
      <c r="K1783" s="1">
        <v>2</v>
      </c>
      <c r="L1783" s="1" t="s">
        <v>18</v>
      </c>
      <c r="M1783" s="1" t="str">
        <f>"广东省 汕头市 金平区 "</f>
        <v xml:space="preserve">广东省 汕头市 金平区 </v>
      </c>
      <c r="N1783" s="1" t="str">
        <f t="shared" si="556"/>
        <v>凡华云仓-城南圆通-微信视频号</v>
      </c>
      <c r="O1783" s="5" t="s">
        <v>1820</v>
      </c>
      <c r="P1783" s="6">
        <v>0.17</v>
      </c>
      <c r="Q1783" s="11">
        <v>2</v>
      </c>
      <c r="R1783" s="11"/>
      <c r="S1783" s="11"/>
      <c r="T1783" s="11"/>
      <c r="U1783" s="11">
        <f t="shared" si="552"/>
        <v>2</v>
      </c>
      <c r="W1783">
        <v>2.2000000000000002</v>
      </c>
      <c r="X1783" s="1" t="s">
        <v>18</v>
      </c>
    </row>
    <row r="1784" spans="1:24" x14ac:dyDescent="0.25">
      <c r="A1784" s="1" t="str">
        <f t="shared" si="548"/>
        <v>卡卡杜-凤凰仓</v>
      </c>
      <c r="B1784" s="1" t="str">
        <f>"CK20241028454"</f>
        <v>CK20241028454</v>
      </c>
      <c r="C1784" s="1" t="str">
        <f>"DD2024102819988"</f>
        <v>DD2024102819988</v>
      </c>
      <c r="D1784" s="1" t="str">
        <f>"CK202410289689"</f>
        <v>CK202410289689</v>
      </c>
      <c r="E1784" s="1" t="str">
        <f>"3723606051842032896"</f>
        <v>3723606051842032896</v>
      </c>
      <c r="F1784" s="1" t="str">
        <f t="shared" si="549"/>
        <v>花都四部-凤凰仓</v>
      </c>
      <c r="G1784" s="1" t="str">
        <f t="shared" si="554"/>
        <v>卡卡杜企业店（视频号）</v>
      </c>
      <c r="H1784" s="1" t="str">
        <f t="shared" si="550"/>
        <v>正常订单</v>
      </c>
      <c r="I1784" s="1" t="str">
        <f t="shared" si="551"/>
        <v>已发货</v>
      </c>
      <c r="J1784" s="1" t="str">
        <f t="shared" si="555"/>
        <v>2</v>
      </c>
      <c r="K1784" s="1">
        <v>2</v>
      </c>
      <c r="L1784" s="1" t="s">
        <v>161</v>
      </c>
      <c r="M1784" s="1" t="str">
        <f>"四川省 成都市 金牛区 "</f>
        <v xml:space="preserve">四川省 成都市 金牛区 </v>
      </c>
      <c r="N1784" s="1" t="str">
        <f t="shared" si="556"/>
        <v>凡华云仓-城南圆通-微信视频号</v>
      </c>
      <c r="O1784" s="5" t="s">
        <v>1821</v>
      </c>
      <c r="P1784" s="6">
        <v>0.17</v>
      </c>
      <c r="Q1784" s="11">
        <v>2</v>
      </c>
      <c r="R1784" s="11"/>
      <c r="S1784" s="11"/>
      <c r="T1784" s="11"/>
      <c r="U1784" s="11">
        <f t="shared" si="552"/>
        <v>2</v>
      </c>
      <c r="W1784">
        <v>2.2000000000000002</v>
      </c>
      <c r="X1784" s="1" t="s">
        <v>161</v>
      </c>
    </row>
    <row r="1785" spans="1:24" x14ac:dyDescent="0.25">
      <c r="A1785" s="1" t="str">
        <f t="shared" si="548"/>
        <v>卡卡杜-凤凰仓</v>
      </c>
      <c r="B1785" s="1" t="str">
        <f>"CK20241028452"</f>
        <v>CK20241028452</v>
      </c>
      <c r="C1785" s="1" t="str">
        <f>"DD2024102819987"</f>
        <v>DD2024102819987</v>
      </c>
      <c r="D1785" s="1" t="str">
        <f>"CK202410289688"</f>
        <v>CK202410289688</v>
      </c>
      <c r="E1785" s="1" t="str">
        <f>"3723606052500538624"</f>
        <v>3723606052500538624</v>
      </c>
      <c r="F1785" s="1" t="str">
        <f t="shared" si="549"/>
        <v>花都四部-凤凰仓</v>
      </c>
      <c r="G1785" s="1" t="str">
        <f t="shared" si="554"/>
        <v>卡卡杜企业店（视频号）</v>
      </c>
      <c r="H1785" s="1" t="str">
        <f t="shared" si="550"/>
        <v>正常订单</v>
      </c>
      <c r="I1785" s="1" t="str">
        <f t="shared" si="551"/>
        <v>已发货</v>
      </c>
      <c r="J1785" s="1" t="str">
        <f t="shared" si="555"/>
        <v>2</v>
      </c>
      <c r="K1785" s="1">
        <v>2</v>
      </c>
      <c r="L1785" s="1" t="s">
        <v>96</v>
      </c>
      <c r="M1785" s="1" t="str">
        <f>"广西壮族自治区 南宁市 青秀区 "</f>
        <v xml:space="preserve">广西壮族自治区 南宁市 青秀区 </v>
      </c>
      <c r="N1785" s="1" t="str">
        <f t="shared" si="556"/>
        <v>凡华云仓-城南圆通-微信视频号</v>
      </c>
      <c r="O1785" s="5" t="s">
        <v>1822</v>
      </c>
      <c r="P1785" s="6">
        <v>0.17</v>
      </c>
      <c r="Q1785" s="11">
        <v>2</v>
      </c>
      <c r="R1785" s="11"/>
      <c r="S1785" s="11"/>
      <c r="T1785" s="11"/>
      <c r="U1785" s="11">
        <f t="shared" si="552"/>
        <v>2</v>
      </c>
      <c r="W1785">
        <v>2.2000000000000002</v>
      </c>
      <c r="X1785" s="1" t="s">
        <v>96</v>
      </c>
    </row>
    <row r="1786" spans="1:24" x14ac:dyDescent="0.25">
      <c r="A1786" s="1" t="str">
        <f t="shared" si="548"/>
        <v>卡卡杜-凤凰仓</v>
      </c>
      <c r="B1786" s="1" t="str">
        <f>"CK20241028451"</f>
        <v>CK20241028451</v>
      </c>
      <c r="C1786" s="1" t="str">
        <f>"DD2024102819986"</f>
        <v>DD2024102819986</v>
      </c>
      <c r="D1786" s="1" t="str">
        <f>"CK202410289687"</f>
        <v>CK202410289687</v>
      </c>
      <c r="E1786" s="1" t="str">
        <f>"3723606051281309696"</f>
        <v>3723606051281309696</v>
      </c>
      <c r="F1786" s="1" t="str">
        <f t="shared" si="549"/>
        <v>花都四部-凤凰仓</v>
      </c>
      <c r="G1786" s="1" t="str">
        <f t="shared" si="554"/>
        <v>卡卡杜企业店（视频号）</v>
      </c>
      <c r="H1786" s="1" t="str">
        <f t="shared" si="550"/>
        <v>正常订单</v>
      </c>
      <c r="I1786" s="1" t="str">
        <f t="shared" si="551"/>
        <v>已发货</v>
      </c>
      <c r="J1786" s="1" t="str">
        <f t="shared" si="555"/>
        <v>2</v>
      </c>
      <c r="K1786" s="1">
        <v>2</v>
      </c>
      <c r="L1786" s="1" t="s">
        <v>187</v>
      </c>
      <c r="M1786" s="1" t="str">
        <f>"吉林省 长春市 朝阳区 "</f>
        <v xml:space="preserve">吉林省 长春市 朝阳区 </v>
      </c>
      <c r="N1786" s="1" t="str">
        <f t="shared" si="556"/>
        <v>凡华云仓-城南圆通-微信视频号</v>
      </c>
      <c r="O1786" s="5" t="s">
        <v>1823</v>
      </c>
      <c r="P1786" s="6">
        <v>0.17</v>
      </c>
      <c r="Q1786" s="11">
        <v>2</v>
      </c>
      <c r="R1786" s="11"/>
      <c r="S1786" s="11"/>
      <c r="T1786" s="11"/>
      <c r="U1786" s="11">
        <f t="shared" si="552"/>
        <v>2</v>
      </c>
      <c r="W1786">
        <v>2.2000000000000002</v>
      </c>
      <c r="X1786" s="1" t="s">
        <v>187</v>
      </c>
    </row>
    <row r="1787" spans="1:24" x14ac:dyDescent="0.25">
      <c r="A1787" s="1" t="str">
        <f t="shared" si="548"/>
        <v>卡卡杜-凤凰仓</v>
      </c>
      <c r="B1787" s="1" t="str">
        <f>"CK20241028450"</f>
        <v>CK20241028450</v>
      </c>
      <c r="C1787" s="1" t="str">
        <f>"DD2024102819985"</f>
        <v>DD2024102819985</v>
      </c>
      <c r="D1787" s="1" t="str">
        <f>"CK202410289686"</f>
        <v>CK202410289686</v>
      </c>
      <c r="E1787" s="1" t="str">
        <f>"3723606054340792320"</f>
        <v>3723606054340792320</v>
      </c>
      <c r="F1787" s="1" t="str">
        <f t="shared" si="549"/>
        <v>花都四部-凤凰仓</v>
      </c>
      <c r="G1787" s="1" t="str">
        <f t="shared" si="554"/>
        <v>卡卡杜企业店（视频号）</v>
      </c>
      <c r="H1787" s="1" t="str">
        <f t="shared" si="550"/>
        <v>正常订单</v>
      </c>
      <c r="I1787" s="1" t="str">
        <f t="shared" si="551"/>
        <v>已发货</v>
      </c>
      <c r="J1787" s="1" t="str">
        <f t="shared" si="555"/>
        <v>2</v>
      </c>
      <c r="K1787" s="1">
        <v>2</v>
      </c>
      <c r="L1787" s="1" t="s">
        <v>16</v>
      </c>
      <c r="M1787" s="1" t="str">
        <f>"河北省 石家庄市 桥西区 "</f>
        <v xml:space="preserve">河北省 石家庄市 桥西区 </v>
      </c>
      <c r="N1787" s="1" t="str">
        <f t="shared" si="556"/>
        <v>凡华云仓-城南圆通-微信视频号</v>
      </c>
      <c r="O1787" s="5" t="s">
        <v>1824</v>
      </c>
      <c r="P1787" s="6">
        <v>0.17</v>
      </c>
      <c r="Q1787" s="11">
        <v>2</v>
      </c>
      <c r="R1787" s="11"/>
      <c r="S1787" s="11"/>
      <c r="T1787" s="11"/>
      <c r="U1787" s="11">
        <f t="shared" si="552"/>
        <v>2</v>
      </c>
      <c r="W1787">
        <v>2.2000000000000002</v>
      </c>
      <c r="X1787" s="1" t="s">
        <v>16</v>
      </c>
    </row>
    <row r="1788" spans="1:24" x14ac:dyDescent="0.25">
      <c r="A1788" s="1" t="str">
        <f t="shared" si="548"/>
        <v>卡卡杜-凤凰仓</v>
      </c>
      <c r="B1788" s="1" t="str">
        <f>"CK20241028449"</f>
        <v>CK20241028449</v>
      </c>
      <c r="C1788" s="1" t="str">
        <f>"DD2024102819984"</f>
        <v>DD2024102819984</v>
      </c>
      <c r="D1788" s="1" t="str">
        <f>"CK202410289685"</f>
        <v>CK202410289685</v>
      </c>
      <c r="E1788" s="1" t="str">
        <f>"3723606054960501760"</f>
        <v>3723606054960501760</v>
      </c>
      <c r="F1788" s="1" t="str">
        <f t="shared" si="549"/>
        <v>花都四部-凤凰仓</v>
      </c>
      <c r="G1788" s="1" t="str">
        <f t="shared" si="554"/>
        <v>卡卡杜企业店（视频号）</v>
      </c>
      <c r="H1788" s="1" t="str">
        <f t="shared" si="550"/>
        <v>正常订单</v>
      </c>
      <c r="I1788" s="1" t="str">
        <f t="shared" si="551"/>
        <v>已发货</v>
      </c>
      <c r="J1788" s="1" t="str">
        <f t="shared" si="555"/>
        <v>2</v>
      </c>
      <c r="K1788" s="1">
        <v>2</v>
      </c>
      <c r="L1788" s="1" t="s">
        <v>20</v>
      </c>
      <c r="M1788" s="1" t="str">
        <f>"浙江省 温州市 瓯海区 "</f>
        <v xml:space="preserve">浙江省 温州市 瓯海区 </v>
      </c>
      <c r="N1788" s="1" t="str">
        <f t="shared" si="556"/>
        <v>凡华云仓-城南圆通-微信视频号</v>
      </c>
      <c r="O1788" s="5" t="s">
        <v>1825</v>
      </c>
      <c r="P1788" s="6">
        <v>0.17</v>
      </c>
      <c r="Q1788" s="11">
        <v>2</v>
      </c>
      <c r="R1788" s="11"/>
      <c r="S1788" s="11"/>
      <c r="T1788" s="11"/>
      <c r="U1788" s="11">
        <f t="shared" si="552"/>
        <v>2</v>
      </c>
      <c r="W1788">
        <v>2.2000000000000002</v>
      </c>
      <c r="X1788" s="1" t="s">
        <v>20</v>
      </c>
    </row>
    <row r="1789" spans="1:24" x14ac:dyDescent="0.25">
      <c r="A1789" s="1" t="str">
        <f t="shared" si="548"/>
        <v>卡卡杜-凤凰仓</v>
      </c>
      <c r="B1789" s="1" t="str">
        <f>"CK20241028448"</f>
        <v>CK20241028448</v>
      </c>
      <c r="C1789" s="1" t="str">
        <f>"DD2024102819983"</f>
        <v>DD2024102819983</v>
      </c>
      <c r="D1789" s="1" t="str">
        <f>"CK202410289684"</f>
        <v>CK202410289684</v>
      </c>
      <c r="E1789" s="1" t="str">
        <f>"3723606056528384000"</f>
        <v>3723606056528384000</v>
      </c>
      <c r="F1789" s="1" t="str">
        <f t="shared" si="549"/>
        <v>花都四部-凤凰仓</v>
      </c>
      <c r="G1789" s="1" t="str">
        <f t="shared" si="554"/>
        <v>卡卡杜企业店（视频号）</v>
      </c>
      <c r="H1789" s="1" t="str">
        <f t="shared" si="550"/>
        <v>正常订单</v>
      </c>
      <c r="I1789" s="1" t="str">
        <f t="shared" si="551"/>
        <v>已发货</v>
      </c>
      <c r="J1789" s="1" t="str">
        <f t="shared" si="555"/>
        <v>2</v>
      </c>
      <c r="K1789" s="1">
        <v>2</v>
      </c>
      <c r="L1789" s="1" t="s">
        <v>13</v>
      </c>
      <c r="M1789" s="1" t="str">
        <f>"江苏省 南京市 秦淮区 "</f>
        <v xml:space="preserve">江苏省 南京市 秦淮区 </v>
      </c>
      <c r="N1789" s="1" t="str">
        <f t="shared" si="556"/>
        <v>凡华云仓-城南圆通-微信视频号</v>
      </c>
      <c r="O1789" s="5" t="s">
        <v>1826</v>
      </c>
      <c r="P1789" s="6">
        <v>0.17</v>
      </c>
      <c r="Q1789" s="11">
        <v>2</v>
      </c>
      <c r="R1789" s="11"/>
      <c r="S1789" s="11"/>
      <c r="T1789" s="11"/>
      <c r="U1789" s="11">
        <f t="shared" si="552"/>
        <v>2</v>
      </c>
      <c r="W1789">
        <v>2.2000000000000002</v>
      </c>
      <c r="X1789" s="1" t="s">
        <v>13</v>
      </c>
    </row>
    <row r="1790" spans="1:24" x14ac:dyDescent="0.25">
      <c r="A1790" s="1" t="str">
        <f t="shared" si="548"/>
        <v>卡卡杜-凤凰仓</v>
      </c>
      <c r="B1790" s="1" t="str">
        <f>"CK20241028447"</f>
        <v>CK20241028447</v>
      </c>
      <c r="C1790" s="1" t="str">
        <f>"DD2024102819982"</f>
        <v>DD2024102819982</v>
      </c>
      <c r="D1790" s="1" t="str">
        <f>"CK202410289683"</f>
        <v>CK202410289683</v>
      </c>
      <c r="E1790" s="1" t="str">
        <f>"3723606055108871680"</f>
        <v>3723606055108871680</v>
      </c>
      <c r="F1790" s="1" t="str">
        <f t="shared" si="549"/>
        <v>花都四部-凤凰仓</v>
      </c>
      <c r="G1790" s="1" t="str">
        <f t="shared" si="554"/>
        <v>卡卡杜企业店（视频号）</v>
      </c>
      <c r="H1790" s="1" t="str">
        <f t="shared" si="550"/>
        <v>正常订单</v>
      </c>
      <c r="I1790" s="1" t="str">
        <f t="shared" si="551"/>
        <v>已发货</v>
      </c>
      <c r="J1790" s="1" t="str">
        <f t="shared" si="555"/>
        <v>2</v>
      </c>
      <c r="K1790" s="1">
        <v>2</v>
      </c>
      <c r="L1790" s="1" t="s">
        <v>16</v>
      </c>
      <c r="M1790" s="1" t="str">
        <f>"河北省 廊坊市 大厂回族自治县 "</f>
        <v xml:space="preserve">河北省 廊坊市 大厂回族自治县 </v>
      </c>
      <c r="N1790" s="1" t="str">
        <f t="shared" si="556"/>
        <v>凡华云仓-城南圆通-微信视频号</v>
      </c>
      <c r="O1790" s="5" t="s">
        <v>1827</v>
      </c>
      <c r="P1790" s="6">
        <v>0.17</v>
      </c>
      <c r="Q1790" s="11">
        <v>2</v>
      </c>
      <c r="R1790" s="11"/>
      <c r="S1790" s="11"/>
      <c r="T1790" s="11"/>
      <c r="U1790" s="11">
        <f t="shared" si="552"/>
        <v>2</v>
      </c>
      <c r="W1790">
        <v>2.2000000000000002</v>
      </c>
      <c r="X1790" s="1" t="s">
        <v>16</v>
      </c>
    </row>
    <row r="1791" spans="1:24" x14ac:dyDescent="0.25">
      <c r="A1791" s="1" t="str">
        <f t="shared" si="548"/>
        <v>卡卡杜-凤凰仓</v>
      </c>
      <c r="B1791" s="1" t="str">
        <f>"CK20241028446"</f>
        <v>CK20241028446</v>
      </c>
      <c r="C1791" s="1" t="str">
        <f>"DD2024102819981"</f>
        <v>DD2024102819981</v>
      </c>
      <c r="D1791" s="1" t="str">
        <f>"CK202410289682"</f>
        <v>CK202410289682</v>
      </c>
      <c r="E1791" s="1" t="str">
        <f>"3723606054251660544"</f>
        <v>3723606054251660544</v>
      </c>
      <c r="F1791" s="1" t="str">
        <f t="shared" si="549"/>
        <v>花都四部-凤凰仓</v>
      </c>
      <c r="G1791" s="1" t="str">
        <f t="shared" si="554"/>
        <v>卡卡杜企业店（视频号）</v>
      </c>
      <c r="H1791" s="1" t="str">
        <f t="shared" si="550"/>
        <v>正常订单</v>
      </c>
      <c r="I1791" s="1" t="str">
        <f t="shared" si="551"/>
        <v>已发货</v>
      </c>
      <c r="J1791" s="1" t="str">
        <f t="shared" si="555"/>
        <v>2</v>
      </c>
      <c r="K1791" s="1">
        <v>2</v>
      </c>
      <c r="L1791" s="1" t="s">
        <v>20</v>
      </c>
      <c r="M1791" s="1" t="str">
        <f>"浙江省 嘉兴市 南湖区 "</f>
        <v xml:space="preserve">浙江省 嘉兴市 南湖区 </v>
      </c>
      <c r="N1791" s="1" t="str">
        <f t="shared" si="556"/>
        <v>凡华云仓-城南圆通-微信视频号</v>
      </c>
      <c r="O1791" s="5" t="s">
        <v>1828</v>
      </c>
      <c r="P1791" s="6">
        <v>0.17</v>
      </c>
      <c r="Q1791" s="11">
        <v>2</v>
      </c>
      <c r="R1791" s="11"/>
      <c r="S1791" s="11"/>
      <c r="T1791" s="11"/>
      <c r="U1791" s="11">
        <f t="shared" si="552"/>
        <v>2</v>
      </c>
      <c r="W1791">
        <v>2.2000000000000002</v>
      </c>
      <c r="X1791" s="1" t="s">
        <v>20</v>
      </c>
    </row>
    <row r="1792" spans="1:24" x14ac:dyDescent="0.25">
      <c r="A1792" s="1" t="str">
        <f t="shared" si="548"/>
        <v>卡卡杜-凤凰仓</v>
      </c>
      <c r="B1792" s="1" t="str">
        <f>"CK20241028445"</f>
        <v>CK20241028445</v>
      </c>
      <c r="C1792" s="1" t="str">
        <f>"DD2024102819980"</f>
        <v>DD2024102819980</v>
      </c>
      <c r="D1792" s="1" t="str">
        <f>"CK202410289681"</f>
        <v>CK202410289681</v>
      </c>
      <c r="E1792" s="1" t="str">
        <f>"3723606052023960832"</f>
        <v>3723606052023960832</v>
      </c>
      <c r="F1792" s="1" t="str">
        <f t="shared" si="549"/>
        <v>花都四部-凤凰仓</v>
      </c>
      <c r="G1792" s="1" t="str">
        <f t="shared" si="554"/>
        <v>卡卡杜企业店（视频号）</v>
      </c>
      <c r="H1792" s="1" t="str">
        <f t="shared" si="550"/>
        <v>正常订单</v>
      </c>
      <c r="I1792" s="1" t="str">
        <f t="shared" si="551"/>
        <v>已发货</v>
      </c>
      <c r="J1792" s="1" t="str">
        <f t="shared" si="555"/>
        <v>2</v>
      </c>
      <c r="K1792" s="1">
        <v>2</v>
      </c>
      <c r="L1792" s="1" t="s">
        <v>92</v>
      </c>
      <c r="M1792" s="1" t="str">
        <f>"辽宁省 沈阳市 铁西区 "</f>
        <v xml:space="preserve">辽宁省 沈阳市 铁西区 </v>
      </c>
      <c r="N1792" s="1" t="str">
        <f t="shared" si="556"/>
        <v>凡华云仓-城南圆通-微信视频号</v>
      </c>
      <c r="O1792" s="5" t="s">
        <v>1829</v>
      </c>
      <c r="P1792" s="6">
        <v>0.17</v>
      </c>
      <c r="Q1792" s="11">
        <v>2</v>
      </c>
      <c r="R1792" s="11"/>
      <c r="S1792" s="11"/>
      <c r="T1792" s="11"/>
      <c r="U1792" s="11">
        <f t="shared" si="552"/>
        <v>2</v>
      </c>
      <c r="W1792">
        <v>2.2000000000000002</v>
      </c>
      <c r="X1792" s="1" t="s">
        <v>92</v>
      </c>
    </row>
    <row r="1793" spans="1:24" x14ac:dyDescent="0.25">
      <c r="A1793" s="1" t="str">
        <f t="shared" si="548"/>
        <v>卡卡杜-凤凰仓</v>
      </c>
      <c r="B1793" s="1" t="str">
        <f>"CK20241028444"</f>
        <v>CK20241028444</v>
      </c>
      <c r="C1793" s="1" t="str">
        <f>"DD2024102819979"</f>
        <v>DD2024102819979</v>
      </c>
      <c r="D1793" s="1" t="str">
        <f>"CK202410289680"</f>
        <v>CK202410289680</v>
      </c>
      <c r="E1793" s="1" t="str">
        <f>"3723606061792232704"</f>
        <v>3723606061792232704</v>
      </c>
      <c r="F1793" s="1" t="str">
        <f t="shared" si="549"/>
        <v>花都四部-凤凰仓</v>
      </c>
      <c r="G1793" s="1" t="str">
        <f t="shared" si="554"/>
        <v>卡卡杜企业店（视频号）</v>
      </c>
      <c r="H1793" s="1" t="str">
        <f t="shared" si="550"/>
        <v>正常订单</v>
      </c>
      <c r="I1793" s="1" t="str">
        <f t="shared" si="551"/>
        <v>已发货</v>
      </c>
      <c r="J1793" s="1" t="str">
        <f t="shared" si="555"/>
        <v>2</v>
      </c>
      <c r="K1793" s="1">
        <v>2</v>
      </c>
      <c r="L1793" s="1" t="s">
        <v>74</v>
      </c>
      <c r="M1793" s="1" t="str">
        <f>"上海 上海市 青浦区 "</f>
        <v xml:space="preserve">上海 上海市 青浦区 </v>
      </c>
      <c r="N1793" s="1" t="str">
        <f t="shared" si="556"/>
        <v>凡华云仓-城南圆通-微信视频号</v>
      </c>
      <c r="O1793" s="5" t="s">
        <v>1830</v>
      </c>
      <c r="P1793" s="6">
        <v>0.17</v>
      </c>
      <c r="Q1793" s="11">
        <v>2</v>
      </c>
      <c r="R1793" s="11"/>
      <c r="S1793" s="11"/>
      <c r="T1793" s="11"/>
      <c r="U1793" s="11">
        <f t="shared" si="552"/>
        <v>2</v>
      </c>
      <c r="W1793">
        <v>2.2000000000000002</v>
      </c>
      <c r="X1793" s="1" t="s">
        <v>74</v>
      </c>
    </row>
    <row r="1794" spans="1:24" x14ac:dyDescent="0.25">
      <c r="A1794" s="1" t="str">
        <f t="shared" ref="A1794:A1857" si="557">"卡卡杜-凤凰仓"</f>
        <v>卡卡杜-凤凰仓</v>
      </c>
      <c r="B1794" s="1" t="str">
        <f>"CK20241028443"</f>
        <v>CK20241028443</v>
      </c>
      <c r="C1794" s="1" t="str">
        <f>"DD2024102819978"</f>
        <v>DD2024102819978</v>
      </c>
      <c r="D1794" s="1" t="str">
        <f>"CK202410289679"</f>
        <v>CK202410289679</v>
      </c>
      <c r="E1794" s="1" t="str">
        <f>"3723606063895680000"</f>
        <v>3723606063895680000</v>
      </c>
      <c r="F1794" s="1" t="str">
        <f t="shared" ref="F1794:F1857" si="558">"花都四部-凤凰仓"</f>
        <v>花都四部-凤凰仓</v>
      </c>
      <c r="G1794" s="1" t="str">
        <f t="shared" si="554"/>
        <v>卡卡杜企业店（视频号）</v>
      </c>
      <c r="H1794" s="1" t="str">
        <f t="shared" ref="H1794:H1857" si="559">"正常订单"</f>
        <v>正常订单</v>
      </c>
      <c r="I1794" s="1" t="str">
        <f t="shared" ref="I1794:I1857" si="560">"已发货"</f>
        <v>已发货</v>
      </c>
      <c r="J1794" s="1" t="str">
        <f t="shared" si="555"/>
        <v>2</v>
      </c>
      <c r="K1794" s="1">
        <v>2</v>
      </c>
      <c r="L1794" s="1" t="s">
        <v>105</v>
      </c>
      <c r="M1794" s="1" t="str">
        <f>"北京 北京市 门头沟区 "</f>
        <v xml:space="preserve">北京 北京市 门头沟区 </v>
      </c>
      <c r="N1794" s="1" t="str">
        <f t="shared" si="556"/>
        <v>凡华云仓-城南圆通-微信视频号</v>
      </c>
      <c r="O1794" s="5" t="s">
        <v>1831</v>
      </c>
      <c r="P1794" s="6">
        <v>0.17</v>
      </c>
      <c r="Q1794" s="11">
        <v>2</v>
      </c>
      <c r="R1794" s="11"/>
      <c r="S1794" s="11"/>
      <c r="T1794" s="11"/>
      <c r="U1794" s="11">
        <f t="shared" si="552"/>
        <v>2</v>
      </c>
      <c r="W1794">
        <v>2.2000000000000002</v>
      </c>
      <c r="X1794" s="1" t="s">
        <v>105</v>
      </c>
    </row>
    <row r="1795" spans="1:24" x14ac:dyDescent="0.25">
      <c r="A1795" s="1" t="str">
        <f t="shared" si="557"/>
        <v>卡卡杜-凤凰仓</v>
      </c>
      <c r="B1795" s="1" t="str">
        <f>"CK20241028441"</f>
        <v>CK20241028441</v>
      </c>
      <c r="C1795" s="1" t="str">
        <f>"DD2024102819977"</f>
        <v>DD2024102819977</v>
      </c>
      <c r="D1795" s="1" t="str">
        <f>"CK202410289678"</f>
        <v>CK202410289678</v>
      </c>
      <c r="E1795" s="1" t="str">
        <f>"3723606066364288000"</f>
        <v>3723606066364288000</v>
      </c>
      <c r="F1795" s="1" t="str">
        <f t="shared" si="558"/>
        <v>花都四部-凤凰仓</v>
      </c>
      <c r="G1795" s="1" t="str">
        <f t="shared" si="554"/>
        <v>卡卡杜企业店（视频号）</v>
      </c>
      <c r="H1795" s="1" t="str">
        <f t="shared" si="559"/>
        <v>正常订单</v>
      </c>
      <c r="I1795" s="1" t="str">
        <f t="shared" si="560"/>
        <v>已发货</v>
      </c>
      <c r="J1795" s="1" t="str">
        <f t="shared" si="555"/>
        <v>2</v>
      </c>
      <c r="K1795" s="1">
        <v>2</v>
      </c>
      <c r="L1795" s="1" t="s">
        <v>54</v>
      </c>
      <c r="M1795" s="1" t="str">
        <f>"黑龙江省 哈尔滨市 南岗区 "</f>
        <v xml:space="preserve">黑龙江省 哈尔滨市 南岗区 </v>
      </c>
      <c r="N1795" s="1" t="str">
        <f t="shared" si="556"/>
        <v>凡华云仓-城南圆通-微信视频号</v>
      </c>
      <c r="O1795" s="5" t="s">
        <v>1832</v>
      </c>
      <c r="P1795" s="6">
        <v>0.17</v>
      </c>
      <c r="Q1795" s="11">
        <v>2</v>
      </c>
      <c r="R1795" s="11"/>
      <c r="S1795" s="11"/>
      <c r="T1795" s="11"/>
      <c r="U1795" s="11">
        <f t="shared" ref="U1795:U1858" si="561">T1795+S1795+R1795+Q1795</f>
        <v>2</v>
      </c>
      <c r="W1795">
        <v>2.2000000000000002</v>
      </c>
      <c r="X1795" s="1" t="s">
        <v>54</v>
      </c>
    </row>
    <row r="1796" spans="1:24" x14ac:dyDescent="0.25">
      <c r="A1796" s="1" t="str">
        <f t="shared" si="557"/>
        <v>卡卡杜-凤凰仓</v>
      </c>
      <c r="B1796" s="1" t="str">
        <f>"CK20241028442"</f>
        <v>CK20241028442</v>
      </c>
      <c r="C1796" s="1" t="str">
        <f>"DD2024102819976"</f>
        <v>DD2024102819976</v>
      </c>
      <c r="D1796" s="1" t="str">
        <f>"CK202410289677"</f>
        <v>CK202410289677</v>
      </c>
      <c r="E1796" s="1" t="str">
        <f>"3723606065080042752"</f>
        <v>3723606065080042752</v>
      </c>
      <c r="F1796" s="1" t="str">
        <f t="shared" si="558"/>
        <v>花都四部-凤凰仓</v>
      </c>
      <c r="G1796" s="1" t="str">
        <f t="shared" si="554"/>
        <v>卡卡杜企业店（视频号）</v>
      </c>
      <c r="H1796" s="1" t="str">
        <f t="shared" si="559"/>
        <v>正常订单</v>
      </c>
      <c r="I1796" s="1" t="str">
        <f t="shared" si="560"/>
        <v>已发货</v>
      </c>
      <c r="J1796" s="1" t="str">
        <f t="shared" si="555"/>
        <v>2</v>
      </c>
      <c r="K1796" s="1">
        <v>2</v>
      </c>
      <c r="L1796" s="1" t="s">
        <v>187</v>
      </c>
      <c r="M1796" s="1" t="str">
        <f>"吉林省 长春市 公主岭市 "</f>
        <v xml:space="preserve">吉林省 长春市 公主岭市 </v>
      </c>
      <c r="N1796" s="1" t="str">
        <f t="shared" si="556"/>
        <v>凡华云仓-城南圆通-微信视频号</v>
      </c>
      <c r="O1796" s="5" t="s">
        <v>1833</v>
      </c>
      <c r="P1796" s="6">
        <v>0.17</v>
      </c>
      <c r="Q1796" s="11">
        <v>2</v>
      </c>
      <c r="R1796" s="11"/>
      <c r="S1796" s="11"/>
      <c r="T1796" s="11"/>
      <c r="U1796" s="11">
        <f t="shared" si="561"/>
        <v>2</v>
      </c>
      <c r="W1796">
        <v>2.2000000000000002</v>
      </c>
      <c r="X1796" s="1" t="s">
        <v>187</v>
      </c>
    </row>
    <row r="1797" spans="1:24" x14ac:dyDescent="0.25">
      <c r="A1797" s="1" t="str">
        <f t="shared" si="557"/>
        <v>卡卡杜-凤凰仓</v>
      </c>
      <c r="B1797" s="1" t="str">
        <f>"CK20241028440"</f>
        <v>CK20241028440</v>
      </c>
      <c r="C1797" s="1" t="str">
        <f>"DD2024102819975"</f>
        <v>DD2024102819975</v>
      </c>
      <c r="D1797" s="1" t="str">
        <f>"CK202410289676"</f>
        <v>CK202410289676</v>
      </c>
      <c r="E1797" s="1" t="str">
        <f>"3723606066364810497"</f>
        <v>3723606066364810497</v>
      </c>
      <c r="F1797" s="1" t="str">
        <f t="shared" si="558"/>
        <v>花都四部-凤凰仓</v>
      </c>
      <c r="G1797" s="1" t="str">
        <f t="shared" si="554"/>
        <v>卡卡杜企业店（视频号）</v>
      </c>
      <c r="H1797" s="1" t="str">
        <f t="shared" si="559"/>
        <v>正常订单</v>
      </c>
      <c r="I1797" s="1" t="str">
        <f t="shared" si="560"/>
        <v>已发货</v>
      </c>
      <c r="J1797" s="1" t="str">
        <f t="shared" si="555"/>
        <v>2</v>
      </c>
      <c r="K1797" s="1">
        <v>2</v>
      </c>
      <c r="L1797" s="1" t="s">
        <v>30</v>
      </c>
      <c r="M1797" s="1" t="str">
        <f>"山东省 青岛市 市北区 "</f>
        <v xml:space="preserve">山东省 青岛市 市北区 </v>
      </c>
      <c r="N1797" s="1" t="str">
        <f t="shared" si="556"/>
        <v>凡华云仓-城南圆通-微信视频号</v>
      </c>
      <c r="O1797" s="5" t="s">
        <v>1834</v>
      </c>
      <c r="P1797" s="6">
        <v>0.17</v>
      </c>
      <c r="Q1797" s="11">
        <v>2</v>
      </c>
      <c r="R1797" s="11"/>
      <c r="S1797" s="11"/>
      <c r="T1797" s="11"/>
      <c r="U1797" s="11">
        <f t="shared" si="561"/>
        <v>2</v>
      </c>
      <c r="W1797">
        <v>2.2000000000000002</v>
      </c>
      <c r="X1797" s="1" t="s">
        <v>30</v>
      </c>
    </row>
    <row r="1798" spans="1:24" x14ac:dyDescent="0.25">
      <c r="A1798" s="1" t="str">
        <f t="shared" si="557"/>
        <v>卡卡杜-凤凰仓</v>
      </c>
      <c r="B1798" s="1" t="str">
        <f>"CK20241028439"</f>
        <v>CK20241028439</v>
      </c>
      <c r="C1798" s="1" t="str">
        <f>"DD2024102819974"</f>
        <v>DD2024102819974</v>
      </c>
      <c r="D1798" s="1" t="str">
        <f>"CK202410289675"</f>
        <v>CK202410289675</v>
      </c>
      <c r="E1798" s="1" t="str">
        <f>"3723606058754770432"</f>
        <v>3723606058754770432</v>
      </c>
      <c r="F1798" s="1" t="str">
        <f t="shared" si="558"/>
        <v>花都四部-凤凰仓</v>
      </c>
      <c r="G1798" s="1" t="str">
        <f t="shared" si="554"/>
        <v>卡卡杜企业店（视频号）</v>
      </c>
      <c r="H1798" s="1" t="str">
        <f t="shared" si="559"/>
        <v>正常订单</v>
      </c>
      <c r="I1798" s="1" t="str">
        <f t="shared" si="560"/>
        <v>已发货</v>
      </c>
      <c r="J1798" s="1" t="str">
        <f t="shared" si="555"/>
        <v>2</v>
      </c>
      <c r="K1798" s="1">
        <v>2</v>
      </c>
      <c r="L1798" s="1" t="s">
        <v>74</v>
      </c>
      <c r="M1798" s="1" t="str">
        <f>"上海 上海市 普陀区 "</f>
        <v xml:space="preserve">上海 上海市 普陀区 </v>
      </c>
      <c r="N1798" s="1" t="str">
        <f t="shared" si="556"/>
        <v>凡华云仓-城南圆通-微信视频号</v>
      </c>
      <c r="O1798" s="5" t="s">
        <v>1835</v>
      </c>
      <c r="P1798" s="6">
        <v>0.17</v>
      </c>
      <c r="Q1798" s="11">
        <v>2</v>
      </c>
      <c r="R1798" s="11"/>
      <c r="S1798" s="11"/>
      <c r="T1798" s="11"/>
      <c r="U1798" s="11">
        <f t="shared" si="561"/>
        <v>2</v>
      </c>
      <c r="W1798">
        <v>2.2000000000000002</v>
      </c>
      <c r="X1798" s="1" t="s">
        <v>74</v>
      </c>
    </row>
    <row r="1799" spans="1:24" x14ac:dyDescent="0.25">
      <c r="A1799" s="1" t="str">
        <f t="shared" si="557"/>
        <v>卡卡杜-凤凰仓</v>
      </c>
      <c r="B1799" s="1" t="str">
        <f>"CK20241028438"</f>
        <v>CK20241028438</v>
      </c>
      <c r="C1799" s="1" t="str">
        <f>"DD2024102819973"</f>
        <v>DD2024102819973</v>
      </c>
      <c r="D1799" s="1" t="str">
        <f>"CK202410289674"</f>
        <v>CK202410289674</v>
      </c>
      <c r="E1799" s="1" t="str">
        <f>"3723606060711675392"</f>
        <v>3723606060711675392</v>
      </c>
      <c r="F1799" s="1" t="str">
        <f t="shared" si="558"/>
        <v>花都四部-凤凰仓</v>
      </c>
      <c r="G1799" s="1" t="str">
        <f t="shared" si="554"/>
        <v>卡卡杜企业店（视频号）</v>
      </c>
      <c r="H1799" s="1" t="str">
        <f t="shared" si="559"/>
        <v>正常订单</v>
      </c>
      <c r="I1799" s="1" t="str">
        <f t="shared" si="560"/>
        <v>已发货</v>
      </c>
      <c r="J1799" s="1" t="str">
        <f t="shared" si="555"/>
        <v>2</v>
      </c>
      <c r="K1799" s="1">
        <v>2</v>
      </c>
      <c r="L1799" s="1" t="s">
        <v>66</v>
      </c>
      <c r="M1799" s="1" t="str">
        <f>"内蒙古自治区 通辽市 科尔沁区 "</f>
        <v xml:space="preserve">内蒙古自治区 通辽市 科尔沁区 </v>
      </c>
      <c r="N1799" s="1" t="str">
        <f t="shared" si="556"/>
        <v>凡华云仓-城南圆通-微信视频号</v>
      </c>
      <c r="O1799" s="5" t="s">
        <v>1836</v>
      </c>
      <c r="P1799" s="6">
        <v>0.17</v>
      </c>
      <c r="Q1799" s="11">
        <v>2</v>
      </c>
      <c r="R1799" s="11"/>
      <c r="S1799" s="11"/>
      <c r="T1799" s="11"/>
      <c r="U1799" s="11">
        <f t="shared" si="561"/>
        <v>2</v>
      </c>
      <c r="W1799">
        <v>2.2000000000000002</v>
      </c>
      <c r="X1799" s="1" t="s">
        <v>66</v>
      </c>
    </row>
    <row r="1800" spans="1:24" x14ac:dyDescent="0.25">
      <c r="A1800" s="1" t="str">
        <f t="shared" si="557"/>
        <v>卡卡杜-凤凰仓</v>
      </c>
      <c r="B1800" s="1" t="str">
        <f>"CK20241028434"</f>
        <v>CK20241028434</v>
      </c>
      <c r="C1800" s="1" t="str">
        <f>"DD2024102819972"</f>
        <v>DD2024102819972</v>
      </c>
      <c r="D1800" s="1" t="str">
        <f>"CK202410289673"</f>
        <v>CK202410289673</v>
      </c>
      <c r="E1800" s="1" t="str">
        <f>"3723606068381746688"</f>
        <v>3723606068381746688</v>
      </c>
      <c r="F1800" s="1" t="str">
        <f t="shared" si="558"/>
        <v>花都四部-凤凰仓</v>
      </c>
      <c r="G1800" s="1" t="str">
        <f t="shared" si="554"/>
        <v>卡卡杜企业店（视频号）</v>
      </c>
      <c r="H1800" s="1" t="str">
        <f t="shared" si="559"/>
        <v>正常订单</v>
      </c>
      <c r="I1800" s="1" t="str">
        <f t="shared" si="560"/>
        <v>已发货</v>
      </c>
      <c r="J1800" s="1" t="str">
        <f t="shared" si="555"/>
        <v>2</v>
      </c>
      <c r="K1800" s="1">
        <v>2</v>
      </c>
      <c r="L1800" s="1" t="s">
        <v>18</v>
      </c>
      <c r="M1800" s="1" t="str">
        <f>"广东省 东莞市 东莞市 "</f>
        <v xml:space="preserve">广东省 东莞市 东莞市 </v>
      </c>
      <c r="N1800" s="1" t="str">
        <f t="shared" si="556"/>
        <v>凡华云仓-城南圆通-微信视频号</v>
      </c>
      <c r="O1800" s="5" t="s">
        <v>1837</v>
      </c>
      <c r="P1800" s="6">
        <v>0.17</v>
      </c>
      <c r="Q1800" s="11">
        <v>2</v>
      </c>
      <c r="R1800" s="11"/>
      <c r="S1800" s="11"/>
      <c r="T1800" s="11"/>
      <c r="U1800" s="11">
        <f t="shared" si="561"/>
        <v>2</v>
      </c>
      <c r="W1800">
        <v>2.2000000000000002</v>
      </c>
      <c r="X1800" s="1" t="s">
        <v>18</v>
      </c>
    </row>
    <row r="1801" spans="1:24" x14ac:dyDescent="0.25">
      <c r="A1801" s="1" t="str">
        <f t="shared" si="557"/>
        <v>卡卡杜-凤凰仓</v>
      </c>
      <c r="B1801" s="1" t="str">
        <f>"CK20241028435"</f>
        <v>CK20241028435</v>
      </c>
      <c r="C1801" s="1" t="str">
        <f>"DD2024102819971"</f>
        <v>DD2024102819971</v>
      </c>
      <c r="D1801" s="1" t="str">
        <f>"CK202410289672"</f>
        <v>CK202410289672</v>
      </c>
      <c r="E1801" s="1" t="str">
        <f>"3723606068554499584"</f>
        <v>3723606068554499584</v>
      </c>
      <c r="F1801" s="1" t="str">
        <f t="shared" si="558"/>
        <v>花都四部-凤凰仓</v>
      </c>
      <c r="G1801" s="1" t="str">
        <f t="shared" si="554"/>
        <v>卡卡杜企业店（视频号）</v>
      </c>
      <c r="H1801" s="1" t="str">
        <f t="shared" si="559"/>
        <v>正常订单</v>
      </c>
      <c r="I1801" s="1" t="str">
        <f t="shared" si="560"/>
        <v>已发货</v>
      </c>
      <c r="J1801" s="1" t="str">
        <f t="shared" si="555"/>
        <v>2</v>
      </c>
      <c r="K1801" s="1">
        <v>2</v>
      </c>
      <c r="L1801" s="1" t="s">
        <v>20</v>
      </c>
      <c r="M1801" s="1" t="str">
        <f>"浙江省 杭州市 余杭区 "</f>
        <v xml:space="preserve">浙江省 杭州市 余杭区 </v>
      </c>
      <c r="N1801" s="1" t="str">
        <f t="shared" si="556"/>
        <v>凡华云仓-城南圆通-微信视频号</v>
      </c>
      <c r="O1801" s="5" t="s">
        <v>1838</v>
      </c>
      <c r="P1801" s="6">
        <v>0.17</v>
      </c>
      <c r="Q1801" s="11">
        <v>2</v>
      </c>
      <c r="R1801" s="11"/>
      <c r="S1801" s="11"/>
      <c r="T1801" s="11"/>
      <c r="U1801" s="11">
        <f t="shared" si="561"/>
        <v>2</v>
      </c>
      <c r="W1801">
        <v>2.2000000000000002</v>
      </c>
      <c r="X1801" s="1" t="s">
        <v>20</v>
      </c>
    </row>
    <row r="1802" spans="1:24" x14ac:dyDescent="0.25">
      <c r="A1802" s="1" t="str">
        <f t="shared" si="557"/>
        <v>卡卡杜-凤凰仓</v>
      </c>
      <c r="B1802" s="1" t="str">
        <f>"CK20241028433"</f>
        <v>CK20241028433</v>
      </c>
      <c r="C1802" s="1" t="str">
        <f>"DD2024102819970"</f>
        <v>DD2024102819970</v>
      </c>
      <c r="D1802" s="1" t="str">
        <f>"CK202410289671"</f>
        <v>CK202410289671</v>
      </c>
      <c r="E1802" s="1" t="str">
        <f>"3723606068842859520"</f>
        <v>3723606068842859520</v>
      </c>
      <c r="F1802" s="1" t="str">
        <f t="shared" si="558"/>
        <v>花都四部-凤凰仓</v>
      </c>
      <c r="G1802" s="1" t="str">
        <f t="shared" si="554"/>
        <v>卡卡杜企业店（视频号）</v>
      </c>
      <c r="H1802" s="1" t="str">
        <f t="shared" si="559"/>
        <v>正常订单</v>
      </c>
      <c r="I1802" s="1" t="str">
        <f t="shared" si="560"/>
        <v>已发货</v>
      </c>
      <c r="J1802" s="1" t="str">
        <f t="shared" si="555"/>
        <v>2</v>
      </c>
      <c r="K1802" s="1">
        <v>2</v>
      </c>
      <c r="L1802" s="1" t="s">
        <v>109</v>
      </c>
      <c r="M1802" s="1" t="str">
        <f>"山西省 太原市 尖草坪区 "</f>
        <v xml:space="preserve">山西省 太原市 尖草坪区 </v>
      </c>
      <c r="N1802" s="1" t="str">
        <f t="shared" si="556"/>
        <v>凡华云仓-城南圆通-微信视频号</v>
      </c>
      <c r="O1802" s="5" t="s">
        <v>1839</v>
      </c>
      <c r="P1802" s="6">
        <v>0.17</v>
      </c>
      <c r="Q1802" s="11">
        <v>2</v>
      </c>
      <c r="R1802" s="11"/>
      <c r="S1802" s="11"/>
      <c r="T1802" s="11"/>
      <c r="U1802" s="11">
        <f t="shared" si="561"/>
        <v>2</v>
      </c>
      <c r="W1802">
        <v>2.2000000000000002</v>
      </c>
      <c r="X1802" s="1" t="s">
        <v>109</v>
      </c>
    </row>
    <row r="1803" spans="1:24" x14ac:dyDescent="0.25">
      <c r="A1803" s="1" t="str">
        <f t="shared" si="557"/>
        <v>卡卡杜-凤凰仓</v>
      </c>
      <c r="B1803" s="1" t="str">
        <f>"CK20241028437"</f>
        <v>CK20241028437</v>
      </c>
      <c r="C1803" s="1" t="str">
        <f>"DD2024102819969"</f>
        <v>DD2024102819969</v>
      </c>
      <c r="D1803" s="1" t="str">
        <f>"CK202410289670"</f>
        <v>CK202410289670</v>
      </c>
      <c r="E1803" s="1" t="str">
        <f>"3723606067093046528"</f>
        <v>3723606067093046528</v>
      </c>
      <c r="F1803" s="1" t="str">
        <f t="shared" si="558"/>
        <v>花都四部-凤凰仓</v>
      </c>
      <c r="G1803" s="1" t="str">
        <f t="shared" si="554"/>
        <v>卡卡杜企业店（视频号）</v>
      </c>
      <c r="H1803" s="1" t="str">
        <f t="shared" si="559"/>
        <v>正常订单</v>
      </c>
      <c r="I1803" s="1" t="str">
        <f t="shared" si="560"/>
        <v>已发货</v>
      </c>
      <c r="J1803" s="1" t="str">
        <f t="shared" si="555"/>
        <v>2</v>
      </c>
      <c r="K1803" s="1">
        <v>2</v>
      </c>
      <c r="L1803" s="1" t="s">
        <v>66</v>
      </c>
      <c r="M1803" s="1" t="str">
        <f>"内蒙古自治区 包头市 包头稀土高新技术产业开发区 "</f>
        <v xml:space="preserve">内蒙古自治区 包头市 包头稀土高新技术产业开发区 </v>
      </c>
      <c r="N1803" s="1" t="str">
        <f t="shared" si="556"/>
        <v>凡华云仓-城南圆通-微信视频号</v>
      </c>
      <c r="O1803" s="5" t="s">
        <v>1840</v>
      </c>
      <c r="P1803" s="6">
        <v>0.17</v>
      </c>
      <c r="Q1803" s="11">
        <v>2</v>
      </c>
      <c r="R1803" s="11"/>
      <c r="S1803" s="11"/>
      <c r="T1803" s="11"/>
      <c r="U1803" s="11">
        <f t="shared" si="561"/>
        <v>2</v>
      </c>
      <c r="W1803">
        <v>2.2000000000000002</v>
      </c>
      <c r="X1803" s="1" t="s">
        <v>66</v>
      </c>
    </row>
    <row r="1804" spans="1:24" x14ac:dyDescent="0.25">
      <c r="A1804" s="1" t="str">
        <f t="shared" si="557"/>
        <v>卡卡杜-凤凰仓</v>
      </c>
      <c r="B1804" s="1" t="str">
        <f>"CK20241028436"</f>
        <v>CK20241028436</v>
      </c>
      <c r="C1804" s="1" t="str">
        <f>"DD2024102819968"</f>
        <v>DD2024102819968</v>
      </c>
      <c r="D1804" s="1" t="str">
        <f>"CK202410289669"</f>
        <v>CK202410289669</v>
      </c>
      <c r="E1804" s="1" t="str">
        <f>"3723606067798216704"</f>
        <v>3723606067798216704</v>
      </c>
      <c r="F1804" s="1" t="str">
        <f t="shared" si="558"/>
        <v>花都四部-凤凰仓</v>
      </c>
      <c r="G1804" s="1" t="str">
        <f t="shared" si="554"/>
        <v>卡卡杜企业店（视频号）</v>
      </c>
      <c r="H1804" s="1" t="str">
        <f t="shared" si="559"/>
        <v>正常订单</v>
      </c>
      <c r="I1804" s="1" t="str">
        <f t="shared" si="560"/>
        <v>已发货</v>
      </c>
      <c r="J1804" s="1" t="str">
        <f t="shared" si="555"/>
        <v>2</v>
      </c>
      <c r="K1804" s="1">
        <v>2</v>
      </c>
      <c r="L1804" s="1" t="s">
        <v>13</v>
      </c>
      <c r="M1804" s="1" t="str">
        <f>"江苏省 扬州市 邗江区 "</f>
        <v xml:space="preserve">江苏省 扬州市 邗江区 </v>
      </c>
      <c r="N1804" s="1" t="str">
        <f t="shared" si="556"/>
        <v>凡华云仓-城南圆通-微信视频号</v>
      </c>
      <c r="O1804" s="5" t="s">
        <v>1841</v>
      </c>
      <c r="P1804" s="6">
        <v>0.17</v>
      </c>
      <c r="Q1804" s="11">
        <v>2</v>
      </c>
      <c r="R1804" s="11"/>
      <c r="S1804" s="11"/>
      <c r="T1804" s="11"/>
      <c r="U1804" s="11">
        <f t="shared" si="561"/>
        <v>2</v>
      </c>
      <c r="W1804">
        <v>2.2000000000000002</v>
      </c>
      <c r="X1804" s="1" t="s">
        <v>13</v>
      </c>
    </row>
    <row r="1805" spans="1:24" x14ac:dyDescent="0.25">
      <c r="A1805" s="1" t="str">
        <f t="shared" si="557"/>
        <v>卡卡杜-凤凰仓</v>
      </c>
      <c r="B1805" s="1" t="str">
        <f>"CK20241028432"</f>
        <v>CK20241028432</v>
      </c>
      <c r="C1805" s="1" t="str">
        <f>"DD2024102819967"</f>
        <v>DD2024102819967</v>
      </c>
      <c r="D1805" s="1" t="str">
        <f>"CK202410289668"</f>
        <v>CK202410289668</v>
      </c>
      <c r="E1805" s="1" t="str">
        <f>"3723606071857777666"</f>
        <v>3723606071857777666</v>
      </c>
      <c r="F1805" s="1" t="str">
        <f t="shared" si="558"/>
        <v>花都四部-凤凰仓</v>
      </c>
      <c r="G1805" s="1" t="str">
        <f t="shared" si="554"/>
        <v>卡卡杜企业店（视频号）</v>
      </c>
      <c r="H1805" s="1" t="str">
        <f t="shared" si="559"/>
        <v>正常订单</v>
      </c>
      <c r="I1805" s="1" t="str">
        <f t="shared" si="560"/>
        <v>已发货</v>
      </c>
      <c r="J1805" s="1" t="str">
        <f t="shared" si="555"/>
        <v>2</v>
      </c>
      <c r="K1805" s="1">
        <v>2</v>
      </c>
      <c r="L1805" s="1" t="s">
        <v>13</v>
      </c>
      <c r="M1805" s="1" t="str">
        <f>"江苏省 徐州市 泉山区 "</f>
        <v xml:space="preserve">江苏省 徐州市 泉山区 </v>
      </c>
      <c r="N1805" s="1" t="str">
        <f t="shared" si="556"/>
        <v>凡华云仓-城南圆通-微信视频号</v>
      </c>
      <c r="O1805" s="5" t="s">
        <v>1842</v>
      </c>
      <c r="P1805" s="6">
        <v>0.17</v>
      </c>
      <c r="Q1805" s="11">
        <v>2</v>
      </c>
      <c r="R1805" s="11"/>
      <c r="S1805" s="11"/>
      <c r="T1805" s="11"/>
      <c r="U1805" s="11">
        <f t="shared" si="561"/>
        <v>2</v>
      </c>
      <c r="W1805">
        <v>2.2000000000000002</v>
      </c>
      <c r="X1805" s="1" t="s">
        <v>13</v>
      </c>
    </row>
    <row r="1806" spans="1:24" x14ac:dyDescent="0.25">
      <c r="A1806" s="1" t="str">
        <f t="shared" si="557"/>
        <v>卡卡杜-凤凰仓</v>
      </c>
      <c r="B1806" s="1" t="str">
        <f>"CK20241028431"</f>
        <v>CK20241028431</v>
      </c>
      <c r="C1806" s="1" t="str">
        <f>"DD2024102819964"</f>
        <v>DD2024102819964</v>
      </c>
      <c r="D1806" s="1" t="str">
        <f>"CK202410289650"</f>
        <v>CK202410289650</v>
      </c>
      <c r="E1806" s="1" t="str">
        <f>"3723606071275555840"</f>
        <v>3723606071275555840</v>
      </c>
      <c r="F1806" s="1" t="str">
        <f t="shared" si="558"/>
        <v>花都四部-凤凰仓</v>
      </c>
      <c r="G1806" s="1" t="str">
        <f t="shared" si="554"/>
        <v>卡卡杜企业店（视频号）</v>
      </c>
      <c r="H1806" s="1" t="str">
        <f t="shared" si="559"/>
        <v>正常订单</v>
      </c>
      <c r="I1806" s="1" t="str">
        <f t="shared" si="560"/>
        <v>已发货</v>
      </c>
      <c r="J1806" s="1" t="str">
        <f t="shared" si="555"/>
        <v>2</v>
      </c>
      <c r="K1806" s="1">
        <v>2</v>
      </c>
      <c r="L1806" s="1" t="s">
        <v>47</v>
      </c>
      <c r="M1806" s="1" t="str">
        <f>"重庆 重庆市 渝中区 "</f>
        <v xml:space="preserve">重庆 重庆市 渝中区 </v>
      </c>
      <c r="N1806" s="1" t="str">
        <f t="shared" si="556"/>
        <v>凡华云仓-城南圆通-微信视频号</v>
      </c>
      <c r="O1806" s="5" t="s">
        <v>1843</v>
      </c>
      <c r="P1806" s="6">
        <v>0.17</v>
      </c>
      <c r="Q1806" s="11">
        <v>2</v>
      </c>
      <c r="R1806" s="11"/>
      <c r="S1806" s="11"/>
      <c r="T1806" s="11"/>
      <c r="U1806" s="11">
        <f t="shared" si="561"/>
        <v>2</v>
      </c>
      <c r="W1806">
        <v>2.2000000000000002</v>
      </c>
      <c r="X1806" s="1" t="s">
        <v>47</v>
      </c>
    </row>
    <row r="1807" spans="1:24" x14ac:dyDescent="0.25">
      <c r="A1807" s="1" t="str">
        <f t="shared" si="557"/>
        <v>卡卡杜-凤凰仓</v>
      </c>
      <c r="B1807" s="1" t="str">
        <f>"CK20241028430"</f>
        <v>CK20241028430</v>
      </c>
      <c r="C1807" s="1" t="str">
        <f>"DD2024102819963"</f>
        <v>DD2024102819963</v>
      </c>
      <c r="D1807" s="1" t="str">
        <f>"CK202410289649"</f>
        <v>CK202410289649</v>
      </c>
      <c r="E1807" s="1" t="str">
        <f>"3723606073845613824"</f>
        <v>3723606073845613824</v>
      </c>
      <c r="F1807" s="1" t="str">
        <f t="shared" si="558"/>
        <v>花都四部-凤凰仓</v>
      </c>
      <c r="G1807" s="1" t="str">
        <f t="shared" si="554"/>
        <v>卡卡杜企业店（视频号）</v>
      </c>
      <c r="H1807" s="1" t="str">
        <f t="shared" si="559"/>
        <v>正常订单</v>
      </c>
      <c r="I1807" s="1" t="str">
        <f t="shared" si="560"/>
        <v>已发货</v>
      </c>
      <c r="J1807" s="1" t="str">
        <f t="shared" si="555"/>
        <v>2</v>
      </c>
      <c r="K1807" s="1">
        <v>2</v>
      </c>
      <c r="L1807" s="1" t="s">
        <v>218</v>
      </c>
      <c r="M1807" s="1" t="str">
        <f>"天津 天津市 南开区 "</f>
        <v xml:space="preserve">天津 天津市 南开区 </v>
      </c>
      <c r="N1807" s="1" t="str">
        <f t="shared" si="556"/>
        <v>凡华云仓-城南圆通-微信视频号</v>
      </c>
      <c r="O1807" s="5" t="s">
        <v>1844</v>
      </c>
      <c r="P1807" s="6">
        <v>0.17</v>
      </c>
      <c r="Q1807" s="11">
        <v>2</v>
      </c>
      <c r="R1807" s="11"/>
      <c r="S1807" s="11"/>
      <c r="T1807" s="11"/>
      <c r="U1807" s="11">
        <f t="shared" si="561"/>
        <v>2</v>
      </c>
      <c r="W1807">
        <v>2.2000000000000002</v>
      </c>
      <c r="X1807" s="1" t="s">
        <v>218</v>
      </c>
    </row>
    <row r="1808" spans="1:24" x14ac:dyDescent="0.25">
      <c r="A1808" s="1" t="str">
        <f t="shared" si="557"/>
        <v>卡卡杜-凤凰仓</v>
      </c>
      <c r="B1808" s="1" t="str">
        <f>"CK20241028429"</f>
        <v>CK20241028429</v>
      </c>
      <c r="C1808" s="1" t="str">
        <f>"DD2024102819962"</f>
        <v>DD2024102819962</v>
      </c>
      <c r="D1808" s="1" t="str">
        <f>"CK202410289648"</f>
        <v>CK202410289648</v>
      </c>
      <c r="E1808" s="1" t="str">
        <f>"3723606074087048448"</f>
        <v>3723606074087048448</v>
      </c>
      <c r="F1808" s="1" t="str">
        <f t="shared" si="558"/>
        <v>花都四部-凤凰仓</v>
      </c>
      <c r="G1808" s="1" t="str">
        <f t="shared" si="554"/>
        <v>卡卡杜企业店（视频号）</v>
      </c>
      <c r="H1808" s="1" t="str">
        <f t="shared" si="559"/>
        <v>正常订单</v>
      </c>
      <c r="I1808" s="1" t="str">
        <f t="shared" si="560"/>
        <v>已发货</v>
      </c>
      <c r="J1808" s="1" t="str">
        <f t="shared" si="555"/>
        <v>2</v>
      </c>
      <c r="K1808" s="1">
        <v>2</v>
      </c>
      <c r="L1808" s="1" t="s">
        <v>161</v>
      </c>
      <c r="M1808" s="1" t="str">
        <f>"四川省 乐山市 市中区 "</f>
        <v xml:space="preserve">四川省 乐山市 市中区 </v>
      </c>
      <c r="N1808" s="1" t="str">
        <f t="shared" si="556"/>
        <v>凡华云仓-城南圆通-微信视频号</v>
      </c>
      <c r="O1808" s="5" t="s">
        <v>1845</v>
      </c>
      <c r="P1808" s="6">
        <v>0.17</v>
      </c>
      <c r="Q1808" s="11">
        <v>2</v>
      </c>
      <c r="R1808" s="11"/>
      <c r="S1808" s="11"/>
      <c r="T1808" s="11"/>
      <c r="U1808" s="11">
        <f t="shared" si="561"/>
        <v>2</v>
      </c>
      <c r="W1808">
        <v>2.2000000000000002</v>
      </c>
      <c r="X1808" s="1" t="s">
        <v>161</v>
      </c>
    </row>
    <row r="1809" spans="1:24" x14ac:dyDescent="0.25">
      <c r="A1809" s="1" t="str">
        <f t="shared" si="557"/>
        <v>卡卡杜-凤凰仓</v>
      </c>
      <c r="B1809" s="1" t="str">
        <f>"CK20241028428"</f>
        <v>CK20241028428</v>
      </c>
      <c r="C1809" s="1" t="str">
        <f>"DD2024102819961"</f>
        <v>DD2024102819961</v>
      </c>
      <c r="D1809" s="1" t="str">
        <f>"CK202410289647"</f>
        <v>CK202410289647</v>
      </c>
      <c r="E1809" s="1" t="str">
        <f>"3723606065317022720"</f>
        <v>3723606065317022720</v>
      </c>
      <c r="F1809" s="1" t="str">
        <f t="shared" si="558"/>
        <v>花都四部-凤凰仓</v>
      </c>
      <c r="G1809" s="1" t="str">
        <f t="shared" si="554"/>
        <v>卡卡杜企业店（视频号）</v>
      </c>
      <c r="H1809" s="1" t="str">
        <f t="shared" si="559"/>
        <v>正常订单</v>
      </c>
      <c r="I1809" s="1" t="str">
        <f t="shared" si="560"/>
        <v>已发货</v>
      </c>
      <c r="J1809" s="1" t="str">
        <f t="shared" si="555"/>
        <v>2</v>
      </c>
      <c r="K1809" s="1">
        <v>2</v>
      </c>
      <c r="L1809" s="1" t="s">
        <v>24</v>
      </c>
      <c r="M1809" s="1" t="str">
        <f>"福建省 福州市 晋安区 "</f>
        <v xml:space="preserve">福建省 福州市 晋安区 </v>
      </c>
      <c r="N1809" s="1" t="str">
        <f t="shared" si="556"/>
        <v>凡华云仓-城南圆通-微信视频号</v>
      </c>
      <c r="O1809" s="5" t="s">
        <v>1846</v>
      </c>
      <c r="P1809" s="6">
        <v>0.17</v>
      </c>
      <c r="Q1809" s="11">
        <v>2</v>
      </c>
      <c r="R1809" s="11"/>
      <c r="S1809" s="11"/>
      <c r="T1809" s="11"/>
      <c r="U1809" s="11">
        <f t="shared" si="561"/>
        <v>2</v>
      </c>
      <c r="W1809">
        <v>2.2000000000000002</v>
      </c>
      <c r="X1809" s="1" t="s">
        <v>24</v>
      </c>
    </row>
    <row r="1810" spans="1:24" x14ac:dyDescent="0.25">
      <c r="A1810" s="1" t="str">
        <f t="shared" si="557"/>
        <v>卡卡杜-凤凰仓</v>
      </c>
      <c r="B1810" s="1" t="str">
        <f>"CK20241028427"</f>
        <v>CK20241028427</v>
      </c>
      <c r="C1810" s="1" t="str">
        <f>"DD2024102819960"</f>
        <v>DD2024102819960</v>
      </c>
      <c r="D1810" s="1" t="str">
        <f>"CK202410289646"</f>
        <v>CK202410289646</v>
      </c>
      <c r="E1810" s="1" t="str">
        <f>"3723606125354288641"</f>
        <v>3723606125354288641</v>
      </c>
      <c r="F1810" s="1" t="str">
        <f t="shared" si="558"/>
        <v>花都四部-凤凰仓</v>
      </c>
      <c r="G1810" s="1" t="str">
        <f t="shared" si="554"/>
        <v>卡卡杜企业店（视频号）</v>
      </c>
      <c r="H1810" s="1" t="str">
        <f t="shared" si="559"/>
        <v>正常订单</v>
      </c>
      <c r="I1810" s="1" t="str">
        <f t="shared" si="560"/>
        <v>已发货</v>
      </c>
      <c r="J1810" s="1" t="str">
        <f t="shared" si="555"/>
        <v>2</v>
      </c>
      <c r="K1810" s="1">
        <v>2</v>
      </c>
      <c r="L1810" s="1" t="s">
        <v>105</v>
      </c>
      <c r="M1810" s="1" t="str">
        <f>"北京 北京市 海淀区 "</f>
        <v xml:space="preserve">北京 北京市 海淀区 </v>
      </c>
      <c r="N1810" s="1" t="str">
        <f t="shared" si="556"/>
        <v>凡华云仓-城南圆通-微信视频号</v>
      </c>
      <c r="O1810" s="5" t="s">
        <v>1847</v>
      </c>
      <c r="P1810" s="6">
        <v>0.17</v>
      </c>
      <c r="Q1810" s="11">
        <v>2</v>
      </c>
      <c r="R1810" s="11"/>
      <c r="S1810" s="11"/>
      <c r="T1810" s="11"/>
      <c r="U1810" s="11">
        <f t="shared" si="561"/>
        <v>2</v>
      </c>
      <c r="W1810">
        <v>2.2000000000000002</v>
      </c>
      <c r="X1810" s="1" t="s">
        <v>105</v>
      </c>
    </row>
    <row r="1811" spans="1:24" x14ac:dyDescent="0.25">
      <c r="A1811" s="1" t="str">
        <f t="shared" si="557"/>
        <v>卡卡杜-凤凰仓</v>
      </c>
      <c r="B1811" s="1" t="str">
        <f>"CK20241028426"</f>
        <v>CK20241028426</v>
      </c>
      <c r="C1811" s="1" t="str">
        <f>"DD2024102819959"</f>
        <v>DD2024102819959</v>
      </c>
      <c r="D1811" s="1" t="str">
        <f>"CK202410289645"</f>
        <v>CK202410289645</v>
      </c>
      <c r="E1811" s="1" t="str">
        <f>"3723606597557683456"</f>
        <v>3723606597557683456</v>
      </c>
      <c r="F1811" s="1" t="str">
        <f t="shared" si="558"/>
        <v>花都四部-凤凰仓</v>
      </c>
      <c r="G1811" s="1" t="str">
        <f t="shared" si="554"/>
        <v>卡卡杜企业店（视频号）</v>
      </c>
      <c r="H1811" s="1" t="str">
        <f t="shared" si="559"/>
        <v>正常订单</v>
      </c>
      <c r="I1811" s="1" t="str">
        <f t="shared" si="560"/>
        <v>已发货</v>
      </c>
      <c r="J1811" s="1" t="str">
        <f t="shared" si="555"/>
        <v>2</v>
      </c>
      <c r="K1811" s="1">
        <v>2</v>
      </c>
      <c r="L1811" s="1" t="s">
        <v>161</v>
      </c>
      <c r="M1811" s="1" t="str">
        <f>"四川省 成都市 简阳市 "</f>
        <v xml:space="preserve">四川省 成都市 简阳市 </v>
      </c>
      <c r="N1811" s="1" t="str">
        <f t="shared" si="556"/>
        <v>凡华云仓-城南圆通-微信视频号</v>
      </c>
      <c r="O1811" s="5" t="s">
        <v>1848</v>
      </c>
      <c r="P1811" s="6">
        <v>0.17</v>
      </c>
      <c r="Q1811" s="11">
        <v>2</v>
      </c>
      <c r="R1811" s="11"/>
      <c r="S1811" s="11"/>
      <c r="T1811" s="11"/>
      <c r="U1811" s="11">
        <f t="shared" si="561"/>
        <v>2</v>
      </c>
      <c r="W1811">
        <v>2.2000000000000002</v>
      </c>
      <c r="X1811" s="1" t="s">
        <v>161</v>
      </c>
    </row>
    <row r="1812" spans="1:24" x14ac:dyDescent="0.25">
      <c r="A1812" s="1" t="str">
        <f t="shared" si="557"/>
        <v>卡卡杜-凤凰仓</v>
      </c>
      <c r="B1812" s="1" t="str">
        <f>"CK20241028425"</f>
        <v>CK20241028425</v>
      </c>
      <c r="C1812" s="1" t="str">
        <f>"DD2024102819958"</f>
        <v>DD2024102819958</v>
      </c>
      <c r="D1812" s="1" t="str">
        <f>"CK202410289644"</f>
        <v>CK202410289644</v>
      </c>
      <c r="E1812" s="1" t="str">
        <f>"3723606609682892288"</f>
        <v>3723606609682892288</v>
      </c>
      <c r="F1812" s="1" t="str">
        <f t="shared" si="558"/>
        <v>花都四部-凤凰仓</v>
      </c>
      <c r="G1812" s="1" t="str">
        <f t="shared" si="554"/>
        <v>卡卡杜企业店（视频号）</v>
      </c>
      <c r="H1812" s="1" t="str">
        <f t="shared" si="559"/>
        <v>正常订单</v>
      </c>
      <c r="I1812" s="1" t="str">
        <f t="shared" si="560"/>
        <v>已发货</v>
      </c>
      <c r="J1812" s="1" t="str">
        <f t="shared" si="555"/>
        <v>2</v>
      </c>
      <c r="K1812" s="1">
        <v>2</v>
      </c>
      <c r="L1812" s="1" t="s">
        <v>16</v>
      </c>
      <c r="M1812" s="1" t="str">
        <f>"河北省 廊坊市 固安县 "</f>
        <v xml:space="preserve">河北省 廊坊市 固安县 </v>
      </c>
      <c r="N1812" s="1" t="str">
        <f t="shared" si="556"/>
        <v>凡华云仓-城南圆通-微信视频号</v>
      </c>
      <c r="O1812" s="5" t="s">
        <v>1849</v>
      </c>
      <c r="P1812" s="6">
        <v>0.17</v>
      </c>
      <c r="Q1812" s="11">
        <v>2</v>
      </c>
      <c r="R1812" s="11"/>
      <c r="S1812" s="11"/>
      <c r="T1812" s="11"/>
      <c r="U1812" s="11">
        <f t="shared" si="561"/>
        <v>2</v>
      </c>
      <c r="W1812">
        <v>2.2000000000000002</v>
      </c>
      <c r="X1812" s="1" t="s">
        <v>16</v>
      </c>
    </row>
    <row r="1813" spans="1:24" x14ac:dyDescent="0.25">
      <c r="A1813" s="1" t="str">
        <f t="shared" si="557"/>
        <v>卡卡杜-凤凰仓</v>
      </c>
      <c r="B1813" s="1" t="str">
        <f>"CK20241028424"</f>
        <v>CK20241028424</v>
      </c>
      <c r="C1813" s="1" t="str">
        <f>"DD2024102819957"</f>
        <v>DD2024102819957</v>
      </c>
      <c r="D1813" s="1" t="str">
        <f>"CK202410289643"</f>
        <v>CK202410289643</v>
      </c>
      <c r="E1813" s="1" t="str">
        <f>"3723606610868573184"</f>
        <v>3723606610868573184</v>
      </c>
      <c r="F1813" s="1" t="str">
        <f t="shared" si="558"/>
        <v>花都四部-凤凰仓</v>
      </c>
      <c r="G1813" s="1" t="str">
        <f t="shared" si="554"/>
        <v>卡卡杜企业店（视频号）</v>
      </c>
      <c r="H1813" s="1" t="str">
        <f t="shared" si="559"/>
        <v>正常订单</v>
      </c>
      <c r="I1813" s="1" t="str">
        <f t="shared" si="560"/>
        <v>已发货</v>
      </c>
      <c r="J1813" s="1" t="str">
        <f t="shared" si="555"/>
        <v>2</v>
      </c>
      <c r="K1813" s="1">
        <v>2</v>
      </c>
      <c r="L1813" s="1" t="s">
        <v>20</v>
      </c>
      <c r="M1813" s="1" t="str">
        <f>"浙江省 嘉兴市 秀洲区 "</f>
        <v xml:space="preserve">浙江省 嘉兴市 秀洲区 </v>
      </c>
      <c r="N1813" s="1" t="str">
        <f t="shared" si="556"/>
        <v>凡华云仓-城南圆通-微信视频号</v>
      </c>
      <c r="O1813" s="5" t="s">
        <v>1850</v>
      </c>
      <c r="P1813" s="6">
        <v>0.17</v>
      </c>
      <c r="Q1813" s="11">
        <v>2</v>
      </c>
      <c r="R1813" s="11"/>
      <c r="S1813" s="11"/>
      <c r="T1813" s="11"/>
      <c r="U1813" s="11">
        <f t="shared" si="561"/>
        <v>2</v>
      </c>
      <c r="W1813">
        <v>2.2000000000000002</v>
      </c>
      <c r="X1813" s="1" t="s">
        <v>20</v>
      </c>
    </row>
    <row r="1814" spans="1:24" x14ac:dyDescent="0.25">
      <c r="A1814" s="1" t="str">
        <f t="shared" si="557"/>
        <v>卡卡杜-凤凰仓</v>
      </c>
      <c r="B1814" s="1" t="str">
        <f>"CK20241028422"</f>
        <v>CK20241028422</v>
      </c>
      <c r="C1814" s="1" t="str">
        <f>"DD2024102819956"</f>
        <v>DD2024102819956</v>
      </c>
      <c r="D1814" s="1" t="str">
        <f>"CK202410289642"</f>
        <v>CK202410289642</v>
      </c>
      <c r="E1814" s="1" t="str">
        <f>"3723606617966119937"</f>
        <v>3723606617966119937</v>
      </c>
      <c r="F1814" s="1" t="str">
        <f t="shared" si="558"/>
        <v>花都四部-凤凰仓</v>
      </c>
      <c r="G1814" s="1" t="str">
        <f t="shared" si="554"/>
        <v>卡卡杜企业店（视频号）</v>
      </c>
      <c r="H1814" s="1" t="str">
        <f t="shared" si="559"/>
        <v>正常订单</v>
      </c>
      <c r="I1814" s="1" t="str">
        <f t="shared" si="560"/>
        <v>已发货</v>
      </c>
      <c r="J1814" s="1" t="str">
        <f t="shared" si="555"/>
        <v>2</v>
      </c>
      <c r="K1814" s="1">
        <v>2</v>
      </c>
      <c r="L1814" s="1" t="s">
        <v>92</v>
      </c>
      <c r="M1814" s="1" t="str">
        <f>"辽宁省 大连市 中山区 "</f>
        <v xml:space="preserve">辽宁省 大连市 中山区 </v>
      </c>
      <c r="N1814" s="1" t="str">
        <f t="shared" si="556"/>
        <v>凡华云仓-城南圆通-微信视频号</v>
      </c>
      <c r="O1814" s="5" t="s">
        <v>1851</v>
      </c>
      <c r="P1814" s="6">
        <v>0.17</v>
      </c>
      <c r="Q1814" s="11">
        <v>2</v>
      </c>
      <c r="R1814" s="11"/>
      <c r="S1814" s="11"/>
      <c r="T1814" s="11"/>
      <c r="U1814" s="11">
        <f t="shared" si="561"/>
        <v>2</v>
      </c>
      <c r="W1814">
        <v>2.2000000000000002</v>
      </c>
      <c r="X1814" s="1" t="s">
        <v>92</v>
      </c>
    </row>
    <row r="1815" spans="1:24" x14ac:dyDescent="0.25">
      <c r="A1815" s="1" t="str">
        <f t="shared" si="557"/>
        <v>卡卡杜-凤凰仓</v>
      </c>
      <c r="B1815" s="1" t="str">
        <f>"CK20241028423"</f>
        <v>CK20241028423</v>
      </c>
      <c r="C1815" s="1" t="str">
        <f>"DD2024102819955"</f>
        <v>DD2024102819955</v>
      </c>
      <c r="D1815" s="1" t="str">
        <f>"CK202410289641"</f>
        <v>CK202410289641</v>
      </c>
      <c r="E1815" s="1" t="str">
        <f>"3723606615737897984"</f>
        <v>3723606615737897984</v>
      </c>
      <c r="F1815" s="1" t="str">
        <f t="shared" si="558"/>
        <v>花都四部-凤凰仓</v>
      </c>
      <c r="G1815" s="1" t="str">
        <f t="shared" si="554"/>
        <v>卡卡杜企业店（视频号）</v>
      </c>
      <c r="H1815" s="1" t="str">
        <f t="shared" si="559"/>
        <v>正常订单</v>
      </c>
      <c r="I1815" s="1" t="str">
        <f t="shared" si="560"/>
        <v>已发货</v>
      </c>
      <c r="J1815" s="1" t="str">
        <f t="shared" si="555"/>
        <v>2</v>
      </c>
      <c r="K1815" s="1">
        <v>2</v>
      </c>
      <c r="L1815" s="1" t="s">
        <v>13</v>
      </c>
      <c r="M1815" s="1" t="str">
        <f>"江苏省 南京市 秦淮区 "</f>
        <v xml:space="preserve">江苏省 南京市 秦淮区 </v>
      </c>
      <c r="N1815" s="1" t="str">
        <f t="shared" si="556"/>
        <v>凡华云仓-城南圆通-微信视频号</v>
      </c>
      <c r="O1815" s="5" t="s">
        <v>1852</v>
      </c>
      <c r="P1815" s="6">
        <v>0.17</v>
      </c>
      <c r="Q1815" s="11">
        <v>2</v>
      </c>
      <c r="R1815" s="11"/>
      <c r="S1815" s="11"/>
      <c r="T1815" s="11"/>
      <c r="U1815" s="11">
        <f t="shared" si="561"/>
        <v>2</v>
      </c>
      <c r="W1815">
        <v>2.2000000000000002</v>
      </c>
      <c r="X1815" s="1" t="s">
        <v>13</v>
      </c>
    </row>
    <row r="1816" spans="1:24" x14ac:dyDescent="0.25">
      <c r="A1816" s="1" t="str">
        <f t="shared" si="557"/>
        <v>卡卡杜-凤凰仓</v>
      </c>
      <c r="B1816" s="1" t="str">
        <f>"CK20241028421"</f>
        <v>CK20241028421</v>
      </c>
      <c r="C1816" s="1" t="str">
        <f>"DD2024102819954"</f>
        <v>DD2024102819954</v>
      </c>
      <c r="D1816" s="1" t="str">
        <f>"CK202410289640"</f>
        <v>CK202410289640</v>
      </c>
      <c r="E1816" s="1" t="str">
        <f>"3723606618188419072"</f>
        <v>3723606618188419072</v>
      </c>
      <c r="F1816" s="1" t="str">
        <f t="shared" si="558"/>
        <v>花都四部-凤凰仓</v>
      </c>
      <c r="G1816" s="1" t="str">
        <f t="shared" si="554"/>
        <v>卡卡杜企业店（视频号）</v>
      </c>
      <c r="H1816" s="1" t="str">
        <f t="shared" si="559"/>
        <v>正常订单</v>
      </c>
      <c r="I1816" s="1" t="str">
        <f t="shared" si="560"/>
        <v>已发货</v>
      </c>
      <c r="J1816" s="1" t="str">
        <f t="shared" si="555"/>
        <v>2</v>
      </c>
      <c r="K1816" s="1">
        <v>2</v>
      </c>
      <c r="L1816" s="1" t="s">
        <v>105</v>
      </c>
      <c r="M1816" s="1" t="str">
        <f>"北京 北京市 昌平区 "</f>
        <v xml:space="preserve">北京 北京市 昌平区 </v>
      </c>
      <c r="N1816" s="1" t="str">
        <f t="shared" si="556"/>
        <v>凡华云仓-城南圆通-微信视频号</v>
      </c>
      <c r="O1816" s="5" t="s">
        <v>1853</v>
      </c>
      <c r="P1816" s="6">
        <v>0.17</v>
      </c>
      <c r="Q1816" s="11">
        <v>2</v>
      </c>
      <c r="R1816" s="11"/>
      <c r="S1816" s="11"/>
      <c r="T1816" s="11"/>
      <c r="U1816" s="11">
        <f t="shared" si="561"/>
        <v>2</v>
      </c>
      <c r="W1816">
        <v>2.2000000000000002</v>
      </c>
      <c r="X1816" s="1" t="s">
        <v>105</v>
      </c>
    </row>
    <row r="1817" spans="1:24" x14ac:dyDescent="0.25">
      <c r="A1817" s="1" t="str">
        <f t="shared" si="557"/>
        <v>卡卡杜-凤凰仓</v>
      </c>
      <c r="B1817" s="1" t="str">
        <f>"CK20241028419"</f>
        <v>CK20241028419</v>
      </c>
      <c r="C1817" s="1" t="str">
        <f>"DD2024102819953"</f>
        <v>DD2024102819953</v>
      </c>
      <c r="D1817" s="1" t="str">
        <f>"CK202410289639"</f>
        <v>CK202410289639</v>
      </c>
      <c r="E1817" s="1" t="str">
        <f>"3723606617989448960"</f>
        <v>3723606617989448960</v>
      </c>
      <c r="F1817" s="1" t="str">
        <f t="shared" si="558"/>
        <v>花都四部-凤凰仓</v>
      </c>
      <c r="G1817" s="1" t="str">
        <f t="shared" si="554"/>
        <v>卡卡杜企业店（视频号）</v>
      </c>
      <c r="H1817" s="1" t="str">
        <f t="shared" si="559"/>
        <v>正常订单</v>
      </c>
      <c r="I1817" s="1" t="str">
        <f t="shared" si="560"/>
        <v>已发货</v>
      </c>
      <c r="J1817" s="1" t="str">
        <f t="shared" si="555"/>
        <v>2</v>
      </c>
      <c r="K1817" s="1">
        <v>2</v>
      </c>
      <c r="L1817" s="1" t="s">
        <v>24</v>
      </c>
      <c r="M1817" s="1" t="str">
        <f>"福建省 三明市 三元区 "</f>
        <v xml:space="preserve">福建省 三明市 三元区 </v>
      </c>
      <c r="N1817" s="1" t="str">
        <f t="shared" si="556"/>
        <v>凡华云仓-城南圆通-微信视频号</v>
      </c>
      <c r="O1817" s="5" t="s">
        <v>1854</v>
      </c>
      <c r="P1817" s="6">
        <v>0.17</v>
      </c>
      <c r="Q1817" s="11">
        <v>2</v>
      </c>
      <c r="R1817" s="11"/>
      <c r="S1817" s="11"/>
      <c r="T1817" s="11"/>
      <c r="U1817" s="11">
        <f t="shared" si="561"/>
        <v>2</v>
      </c>
      <c r="W1817">
        <v>2.2000000000000002</v>
      </c>
      <c r="X1817" s="1" t="s">
        <v>24</v>
      </c>
    </row>
    <row r="1818" spans="1:24" x14ac:dyDescent="0.25">
      <c r="A1818" s="1" t="str">
        <f t="shared" si="557"/>
        <v>卡卡杜-凤凰仓</v>
      </c>
      <c r="B1818" s="1" t="str">
        <f>"CK20241028418"</f>
        <v>CK20241028418</v>
      </c>
      <c r="C1818" s="1" t="str">
        <f>"DD2024102819952"</f>
        <v>DD2024102819952</v>
      </c>
      <c r="D1818" s="1" t="str">
        <f>"CK202410289638"</f>
        <v>CK202410289638</v>
      </c>
      <c r="E1818" s="1" t="str">
        <f>"3723606620022900224"</f>
        <v>3723606620022900224</v>
      </c>
      <c r="F1818" s="1" t="str">
        <f t="shared" si="558"/>
        <v>花都四部-凤凰仓</v>
      </c>
      <c r="G1818" s="1" t="str">
        <f t="shared" si="554"/>
        <v>卡卡杜企业店（视频号）</v>
      </c>
      <c r="H1818" s="1" t="str">
        <f t="shared" si="559"/>
        <v>正常订单</v>
      </c>
      <c r="I1818" s="1" t="str">
        <f t="shared" si="560"/>
        <v>已发货</v>
      </c>
      <c r="J1818" s="1" t="str">
        <f t="shared" si="555"/>
        <v>2</v>
      </c>
      <c r="K1818" s="1">
        <v>2</v>
      </c>
      <c r="L1818" s="1" t="s">
        <v>74</v>
      </c>
      <c r="M1818" s="1" t="str">
        <f>"上海 上海市 松江区 "</f>
        <v xml:space="preserve">上海 上海市 松江区 </v>
      </c>
      <c r="N1818" s="1" t="str">
        <f t="shared" si="556"/>
        <v>凡华云仓-城南圆通-微信视频号</v>
      </c>
      <c r="O1818" s="5" t="s">
        <v>1855</v>
      </c>
      <c r="P1818" s="6">
        <v>0.17</v>
      </c>
      <c r="Q1818" s="11">
        <v>2</v>
      </c>
      <c r="R1818" s="11"/>
      <c r="S1818" s="11"/>
      <c r="T1818" s="11"/>
      <c r="U1818" s="11">
        <f t="shared" si="561"/>
        <v>2</v>
      </c>
      <c r="W1818">
        <v>2.2000000000000002</v>
      </c>
      <c r="X1818" s="1" t="s">
        <v>74</v>
      </c>
    </row>
    <row r="1819" spans="1:24" x14ac:dyDescent="0.25">
      <c r="A1819" s="1" t="str">
        <f t="shared" si="557"/>
        <v>卡卡杜-凤凰仓</v>
      </c>
      <c r="B1819" s="1" t="str">
        <f>"CK20241028420"</f>
        <v>CK20241028420</v>
      </c>
      <c r="C1819" s="1" t="str">
        <f>"DD2024102819951"</f>
        <v>DD2024102819951</v>
      </c>
      <c r="D1819" s="1" t="str">
        <f>"CK202410289637"</f>
        <v>CK202410289637</v>
      </c>
      <c r="E1819" s="1" t="str">
        <f>"3723606618306118912"</f>
        <v>3723606618306118912</v>
      </c>
      <c r="F1819" s="1" t="str">
        <f t="shared" si="558"/>
        <v>花都四部-凤凰仓</v>
      </c>
      <c r="G1819" s="1" t="str">
        <f t="shared" si="554"/>
        <v>卡卡杜企业店（视频号）</v>
      </c>
      <c r="H1819" s="1" t="str">
        <f t="shared" si="559"/>
        <v>正常订单</v>
      </c>
      <c r="I1819" s="1" t="str">
        <f t="shared" si="560"/>
        <v>已发货</v>
      </c>
      <c r="J1819" s="1" t="str">
        <f t="shared" si="555"/>
        <v>2</v>
      </c>
      <c r="K1819" s="1">
        <v>2</v>
      </c>
      <c r="L1819" s="1" t="s">
        <v>105</v>
      </c>
      <c r="M1819" s="1" t="str">
        <f>"北京 北京市 朝阳区 "</f>
        <v xml:space="preserve">北京 北京市 朝阳区 </v>
      </c>
      <c r="N1819" s="1" t="str">
        <f t="shared" si="556"/>
        <v>凡华云仓-城南圆通-微信视频号</v>
      </c>
      <c r="O1819" s="5" t="s">
        <v>1856</v>
      </c>
      <c r="P1819" s="6">
        <v>0.17</v>
      </c>
      <c r="Q1819" s="11">
        <v>2</v>
      </c>
      <c r="R1819" s="11"/>
      <c r="S1819" s="11"/>
      <c r="T1819" s="11"/>
      <c r="U1819" s="11">
        <f t="shared" si="561"/>
        <v>2</v>
      </c>
      <c r="W1819">
        <v>2.2000000000000002</v>
      </c>
      <c r="X1819" s="1" t="s">
        <v>105</v>
      </c>
    </row>
    <row r="1820" spans="1:24" x14ac:dyDescent="0.25">
      <c r="A1820" s="1" t="str">
        <f t="shared" si="557"/>
        <v>卡卡杜-凤凰仓</v>
      </c>
      <c r="B1820" s="1" t="str">
        <f>"CK20241028417"</f>
        <v>CK20241028417</v>
      </c>
      <c r="C1820" s="1" t="str">
        <f>"DD2024102819950"</f>
        <v>DD2024102819950</v>
      </c>
      <c r="D1820" s="1" t="str">
        <f>"CK202410289636"</f>
        <v>CK202410289636</v>
      </c>
      <c r="E1820" s="1" t="str">
        <f>"3723606616369400834"</f>
        <v>3723606616369400834</v>
      </c>
      <c r="F1820" s="1" t="str">
        <f t="shared" si="558"/>
        <v>花都四部-凤凰仓</v>
      </c>
      <c r="G1820" s="1" t="str">
        <f t="shared" si="554"/>
        <v>卡卡杜企业店（视频号）</v>
      </c>
      <c r="H1820" s="1" t="str">
        <f t="shared" si="559"/>
        <v>正常订单</v>
      </c>
      <c r="I1820" s="1" t="str">
        <f t="shared" si="560"/>
        <v>已发货</v>
      </c>
      <c r="J1820" s="1" t="str">
        <f t="shared" si="555"/>
        <v>2</v>
      </c>
      <c r="K1820" s="1">
        <v>2</v>
      </c>
      <c r="L1820" s="1" t="s">
        <v>41</v>
      </c>
      <c r="M1820" s="1" t="str">
        <f>"湖北省 武汉市 黄陂区 "</f>
        <v xml:space="preserve">湖北省 武汉市 黄陂区 </v>
      </c>
      <c r="N1820" s="1" t="str">
        <f t="shared" si="556"/>
        <v>凡华云仓-城南圆通-微信视频号</v>
      </c>
      <c r="O1820" s="5" t="s">
        <v>1857</v>
      </c>
      <c r="P1820" s="6">
        <v>0.17</v>
      </c>
      <c r="Q1820" s="11">
        <v>2</v>
      </c>
      <c r="R1820" s="11"/>
      <c r="S1820" s="11"/>
      <c r="T1820" s="11"/>
      <c r="U1820" s="11">
        <f t="shared" si="561"/>
        <v>2</v>
      </c>
      <c r="W1820">
        <v>2.2000000000000002</v>
      </c>
      <c r="X1820" s="1" t="s">
        <v>41</v>
      </c>
    </row>
    <row r="1821" spans="1:24" x14ac:dyDescent="0.25">
      <c r="A1821" s="1" t="str">
        <f t="shared" si="557"/>
        <v>卡卡杜-凤凰仓</v>
      </c>
      <c r="B1821" s="1" t="str">
        <f>"CK20241028416"</f>
        <v>CK20241028416</v>
      </c>
      <c r="C1821" s="1" t="str">
        <f>"DD2024102819949"</f>
        <v>DD2024102819949</v>
      </c>
      <c r="D1821" s="1" t="str">
        <f>"CK202410289635"</f>
        <v>CK202410289635</v>
      </c>
      <c r="E1821" s="1" t="str">
        <f>"3723606620078998786"</f>
        <v>3723606620078998786</v>
      </c>
      <c r="F1821" s="1" t="str">
        <f t="shared" si="558"/>
        <v>花都四部-凤凰仓</v>
      </c>
      <c r="G1821" s="1" t="str">
        <f t="shared" si="554"/>
        <v>卡卡杜企业店（视频号）</v>
      </c>
      <c r="H1821" s="1" t="str">
        <f t="shared" si="559"/>
        <v>正常订单</v>
      </c>
      <c r="I1821" s="1" t="str">
        <f t="shared" si="560"/>
        <v>已发货</v>
      </c>
      <c r="J1821" s="1" t="str">
        <f t="shared" si="555"/>
        <v>2</v>
      </c>
      <c r="K1821" s="1">
        <v>2</v>
      </c>
      <c r="L1821" s="1" t="s">
        <v>30</v>
      </c>
      <c r="M1821" s="1" t="str">
        <f>"山东省 济南市 历下区 "</f>
        <v xml:space="preserve">山东省 济南市 历下区 </v>
      </c>
      <c r="N1821" s="1" t="str">
        <f t="shared" si="556"/>
        <v>凡华云仓-城南圆通-微信视频号</v>
      </c>
      <c r="O1821" s="5" t="s">
        <v>1858</v>
      </c>
      <c r="P1821" s="6">
        <v>0.17</v>
      </c>
      <c r="Q1821" s="11">
        <v>2</v>
      </c>
      <c r="R1821" s="11"/>
      <c r="S1821" s="11"/>
      <c r="T1821" s="11"/>
      <c r="U1821" s="11">
        <f t="shared" si="561"/>
        <v>2</v>
      </c>
      <c r="W1821">
        <v>2.2000000000000002</v>
      </c>
      <c r="X1821" s="1" t="s">
        <v>30</v>
      </c>
    </row>
    <row r="1822" spans="1:24" x14ac:dyDescent="0.25">
      <c r="A1822" s="1" t="str">
        <f t="shared" si="557"/>
        <v>卡卡杜-凤凰仓</v>
      </c>
      <c r="B1822" s="1" t="str">
        <f>"CK20241028415"</f>
        <v>CK20241028415</v>
      </c>
      <c r="C1822" s="1" t="str">
        <f>"DD2024102819948"</f>
        <v>DD2024102819948</v>
      </c>
      <c r="D1822" s="1" t="str">
        <f>"CK202410289634"</f>
        <v>CK202410289634</v>
      </c>
      <c r="E1822" s="1" t="str">
        <f>"3723606620364738560"</f>
        <v>3723606620364738560</v>
      </c>
      <c r="F1822" s="1" t="str">
        <f t="shared" si="558"/>
        <v>花都四部-凤凰仓</v>
      </c>
      <c r="G1822" s="1" t="str">
        <f t="shared" si="554"/>
        <v>卡卡杜企业店（视频号）</v>
      </c>
      <c r="H1822" s="1" t="str">
        <f t="shared" si="559"/>
        <v>正常订单</v>
      </c>
      <c r="I1822" s="1" t="str">
        <f t="shared" si="560"/>
        <v>已发货</v>
      </c>
      <c r="J1822" s="1" t="str">
        <f t="shared" si="555"/>
        <v>2</v>
      </c>
      <c r="K1822" s="1">
        <v>2</v>
      </c>
      <c r="L1822" s="1" t="s">
        <v>105</v>
      </c>
      <c r="M1822" s="1" t="str">
        <f>"北京 北京市 朝阳区 "</f>
        <v xml:space="preserve">北京 北京市 朝阳区 </v>
      </c>
      <c r="N1822" s="1" t="str">
        <f t="shared" si="556"/>
        <v>凡华云仓-城南圆通-微信视频号</v>
      </c>
      <c r="O1822" s="5" t="s">
        <v>1859</v>
      </c>
      <c r="P1822" s="6">
        <v>0.17</v>
      </c>
      <c r="Q1822" s="11">
        <v>2</v>
      </c>
      <c r="R1822" s="11"/>
      <c r="S1822" s="11"/>
      <c r="T1822" s="11"/>
      <c r="U1822" s="11">
        <f t="shared" si="561"/>
        <v>2</v>
      </c>
      <c r="W1822">
        <v>2.2000000000000002</v>
      </c>
      <c r="X1822" s="1" t="s">
        <v>105</v>
      </c>
    </row>
    <row r="1823" spans="1:24" x14ac:dyDescent="0.25">
      <c r="A1823" s="1" t="str">
        <f t="shared" si="557"/>
        <v>卡卡杜-凤凰仓</v>
      </c>
      <c r="B1823" s="1" t="str">
        <f>"CK20241028414"</f>
        <v>CK20241028414</v>
      </c>
      <c r="C1823" s="1" t="str">
        <f>"DD2024102819947"</f>
        <v>DD2024102819947</v>
      </c>
      <c r="D1823" s="1" t="str">
        <f>"CK202410289633"</f>
        <v>CK202410289633</v>
      </c>
      <c r="E1823" s="1" t="str">
        <f>"3723606620146373632"</f>
        <v>3723606620146373632</v>
      </c>
      <c r="F1823" s="1" t="str">
        <f t="shared" si="558"/>
        <v>花都四部-凤凰仓</v>
      </c>
      <c r="G1823" s="1" t="str">
        <f t="shared" ref="G1823:G1886" si="562">"卡卡杜企业店（视频号）"</f>
        <v>卡卡杜企业店（视频号）</v>
      </c>
      <c r="H1823" s="1" t="str">
        <f t="shared" si="559"/>
        <v>正常订单</v>
      </c>
      <c r="I1823" s="1" t="str">
        <f t="shared" si="560"/>
        <v>已发货</v>
      </c>
      <c r="J1823" s="1" t="str">
        <f t="shared" si="555"/>
        <v>2</v>
      </c>
      <c r="K1823" s="1">
        <v>2</v>
      </c>
      <c r="L1823" s="1" t="s">
        <v>80</v>
      </c>
      <c r="M1823" s="1" t="str">
        <f>"河南省 安阳市 北关区 "</f>
        <v xml:space="preserve">河南省 安阳市 北关区 </v>
      </c>
      <c r="N1823" s="1" t="str">
        <f t="shared" si="556"/>
        <v>凡华云仓-城南圆通-微信视频号</v>
      </c>
      <c r="O1823" s="5" t="s">
        <v>1860</v>
      </c>
      <c r="P1823" s="6">
        <v>0.17</v>
      </c>
      <c r="Q1823" s="11">
        <v>2</v>
      </c>
      <c r="R1823" s="11"/>
      <c r="S1823" s="11"/>
      <c r="T1823" s="11"/>
      <c r="U1823" s="11">
        <f t="shared" si="561"/>
        <v>2</v>
      </c>
      <c r="W1823">
        <v>2.2000000000000002</v>
      </c>
      <c r="X1823" s="1" t="s">
        <v>80</v>
      </c>
    </row>
    <row r="1824" spans="1:24" x14ac:dyDescent="0.25">
      <c r="A1824" s="1" t="str">
        <f t="shared" si="557"/>
        <v>卡卡杜-凤凰仓</v>
      </c>
      <c r="B1824" s="1" t="str">
        <f>"CK20241028413"</f>
        <v>CK20241028413</v>
      </c>
      <c r="C1824" s="1" t="str">
        <f>"DD2024102819946"</f>
        <v>DD2024102819946</v>
      </c>
      <c r="D1824" s="1" t="str">
        <f>"CK202410289632"</f>
        <v>CK202410289632</v>
      </c>
      <c r="E1824" s="1" t="str">
        <f>"3723606618349636609"</f>
        <v>3723606618349636609</v>
      </c>
      <c r="F1824" s="1" t="str">
        <f t="shared" si="558"/>
        <v>花都四部-凤凰仓</v>
      </c>
      <c r="G1824" s="1" t="str">
        <f t="shared" si="562"/>
        <v>卡卡杜企业店（视频号）</v>
      </c>
      <c r="H1824" s="1" t="str">
        <f t="shared" si="559"/>
        <v>正常订单</v>
      </c>
      <c r="I1824" s="1" t="str">
        <f t="shared" si="560"/>
        <v>已发货</v>
      </c>
      <c r="J1824" s="1" t="str">
        <f t="shared" ref="J1824:J1887" si="563">"2"</f>
        <v>2</v>
      </c>
      <c r="K1824" s="1">
        <v>2</v>
      </c>
      <c r="L1824" s="1" t="s">
        <v>52</v>
      </c>
      <c r="M1824" s="1" t="str">
        <f>"甘肃省 兰州市 城关区 "</f>
        <v xml:space="preserve">甘肃省 兰州市 城关区 </v>
      </c>
      <c r="N1824" s="1" t="str">
        <f t="shared" si="556"/>
        <v>凡华云仓-城南圆通-微信视频号</v>
      </c>
      <c r="O1824" s="5" t="s">
        <v>1861</v>
      </c>
      <c r="P1824" s="6">
        <v>0.17</v>
      </c>
      <c r="Q1824" s="11">
        <v>2</v>
      </c>
      <c r="R1824" s="11"/>
      <c r="S1824" s="11"/>
      <c r="T1824" s="11"/>
      <c r="U1824" s="11">
        <f t="shared" si="561"/>
        <v>2</v>
      </c>
      <c r="W1824">
        <v>2.2000000000000002</v>
      </c>
      <c r="X1824" s="1" t="s">
        <v>52</v>
      </c>
    </row>
    <row r="1825" spans="1:24" x14ac:dyDescent="0.25">
      <c r="A1825" s="1" t="str">
        <f t="shared" si="557"/>
        <v>卡卡杜-凤凰仓</v>
      </c>
      <c r="B1825" s="1" t="str">
        <f>"CK20241028412"</f>
        <v>CK20241028412</v>
      </c>
      <c r="C1825" s="1" t="str">
        <f>"DD2024102819945"</f>
        <v>DD2024102819945</v>
      </c>
      <c r="D1825" s="1" t="str">
        <f>"CK202410289631"</f>
        <v>CK202410289631</v>
      </c>
      <c r="E1825" s="1" t="str">
        <f>"3723606620714961920"</f>
        <v>3723606620714961920</v>
      </c>
      <c r="F1825" s="1" t="str">
        <f t="shared" si="558"/>
        <v>花都四部-凤凰仓</v>
      </c>
      <c r="G1825" s="1" t="str">
        <f t="shared" si="562"/>
        <v>卡卡杜企业店（视频号）</v>
      </c>
      <c r="H1825" s="1" t="str">
        <f t="shared" si="559"/>
        <v>正常订单</v>
      </c>
      <c r="I1825" s="1" t="str">
        <f t="shared" si="560"/>
        <v>已发货</v>
      </c>
      <c r="J1825" s="1" t="str">
        <f t="shared" si="563"/>
        <v>2</v>
      </c>
      <c r="K1825" s="1">
        <v>2</v>
      </c>
      <c r="L1825" s="1" t="s">
        <v>66</v>
      </c>
      <c r="M1825" s="1" t="str">
        <f>"内蒙古自治区 包头市 东河区 "</f>
        <v xml:space="preserve">内蒙古自治区 包头市 东河区 </v>
      </c>
      <c r="N1825" s="1" t="str">
        <f t="shared" si="556"/>
        <v>凡华云仓-城南圆通-微信视频号</v>
      </c>
      <c r="O1825" s="5" t="s">
        <v>1862</v>
      </c>
      <c r="P1825" s="6">
        <v>0.17</v>
      </c>
      <c r="Q1825" s="11">
        <v>2</v>
      </c>
      <c r="R1825" s="11"/>
      <c r="S1825" s="11"/>
      <c r="T1825" s="11"/>
      <c r="U1825" s="11">
        <f t="shared" si="561"/>
        <v>2</v>
      </c>
      <c r="W1825">
        <v>2.2000000000000002</v>
      </c>
      <c r="X1825" s="1" t="s">
        <v>66</v>
      </c>
    </row>
    <row r="1826" spans="1:24" x14ac:dyDescent="0.25">
      <c r="A1826" s="1" t="str">
        <f t="shared" si="557"/>
        <v>卡卡杜-凤凰仓</v>
      </c>
      <c r="B1826" s="1" t="str">
        <f>"CK20241028411"</f>
        <v>CK20241028411</v>
      </c>
      <c r="C1826" s="1" t="str">
        <f>"DD2024102819944"</f>
        <v>DD2024102819944</v>
      </c>
      <c r="D1826" s="1" t="str">
        <f>"CK202410289630"</f>
        <v>CK202410289630</v>
      </c>
      <c r="E1826" s="1" t="str">
        <f>"3723606621189703168"</f>
        <v>3723606621189703168</v>
      </c>
      <c r="F1826" s="1" t="str">
        <f t="shared" si="558"/>
        <v>花都四部-凤凰仓</v>
      </c>
      <c r="G1826" s="1" t="str">
        <f t="shared" si="562"/>
        <v>卡卡杜企业店（视频号）</v>
      </c>
      <c r="H1826" s="1" t="str">
        <f t="shared" si="559"/>
        <v>正常订单</v>
      </c>
      <c r="I1826" s="1" t="str">
        <f t="shared" si="560"/>
        <v>已发货</v>
      </c>
      <c r="J1826" s="1" t="str">
        <f t="shared" si="563"/>
        <v>2</v>
      </c>
      <c r="K1826" s="1">
        <v>2</v>
      </c>
      <c r="L1826" s="1" t="s">
        <v>16</v>
      </c>
      <c r="M1826" s="1" t="str">
        <f>"河北省 张家口市 怀来县 "</f>
        <v xml:space="preserve">河北省 张家口市 怀来县 </v>
      </c>
      <c r="N1826" s="1" t="str">
        <f t="shared" si="556"/>
        <v>凡华云仓-城南圆通-微信视频号</v>
      </c>
      <c r="O1826" s="5" t="s">
        <v>1863</v>
      </c>
      <c r="P1826" s="6">
        <v>0.17</v>
      </c>
      <c r="Q1826" s="11">
        <v>2</v>
      </c>
      <c r="R1826" s="11"/>
      <c r="S1826" s="11"/>
      <c r="T1826" s="11"/>
      <c r="U1826" s="11">
        <f t="shared" si="561"/>
        <v>2</v>
      </c>
      <c r="W1826">
        <v>2.2000000000000002</v>
      </c>
      <c r="X1826" s="1" t="s">
        <v>16</v>
      </c>
    </row>
    <row r="1827" spans="1:24" x14ac:dyDescent="0.25">
      <c r="A1827" s="1" t="str">
        <f t="shared" si="557"/>
        <v>卡卡杜-凤凰仓</v>
      </c>
      <c r="B1827" s="1" t="str">
        <f>"CK20241028410"</f>
        <v>CK20241028410</v>
      </c>
      <c r="C1827" s="1" t="str">
        <f>"DD2024102819943"</f>
        <v>DD2024102819943</v>
      </c>
      <c r="D1827" s="1" t="str">
        <f>"CK202410289629"</f>
        <v>CK202410289629</v>
      </c>
      <c r="E1827" s="1" t="str">
        <f>"3723606620917335552"</f>
        <v>3723606620917335552</v>
      </c>
      <c r="F1827" s="1" t="str">
        <f t="shared" si="558"/>
        <v>花都四部-凤凰仓</v>
      </c>
      <c r="G1827" s="1" t="str">
        <f t="shared" si="562"/>
        <v>卡卡杜企业店（视频号）</v>
      </c>
      <c r="H1827" s="1" t="str">
        <f t="shared" si="559"/>
        <v>正常订单</v>
      </c>
      <c r="I1827" s="1" t="str">
        <f t="shared" si="560"/>
        <v>已发货</v>
      </c>
      <c r="J1827" s="1" t="str">
        <f t="shared" si="563"/>
        <v>2</v>
      </c>
      <c r="K1827" s="1">
        <v>2</v>
      </c>
      <c r="L1827" s="1" t="s">
        <v>30</v>
      </c>
      <c r="M1827" s="1" t="str">
        <f>"山东省 济南市 历城区 "</f>
        <v xml:space="preserve">山东省 济南市 历城区 </v>
      </c>
      <c r="N1827" s="1" t="str">
        <f t="shared" si="556"/>
        <v>凡华云仓-城南圆通-微信视频号</v>
      </c>
      <c r="O1827" s="5" t="s">
        <v>1864</v>
      </c>
      <c r="P1827" s="6">
        <v>0.17</v>
      </c>
      <c r="Q1827" s="11">
        <v>2</v>
      </c>
      <c r="R1827" s="11"/>
      <c r="S1827" s="11"/>
      <c r="T1827" s="11"/>
      <c r="U1827" s="11">
        <f t="shared" si="561"/>
        <v>2</v>
      </c>
      <c r="W1827">
        <v>2.2000000000000002</v>
      </c>
      <c r="X1827" s="1" t="s">
        <v>30</v>
      </c>
    </row>
    <row r="1828" spans="1:24" x14ac:dyDescent="0.25">
      <c r="A1828" s="1" t="str">
        <f t="shared" si="557"/>
        <v>卡卡杜-凤凰仓</v>
      </c>
      <c r="B1828" s="1" t="str">
        <f>"CK20241028409"</f>
        <v>CK20241028409</v>
      </c>
      <c r="C1828" s="1" t="str">
        <f>"DD2024102819942"</f>
        <v>DD2024102819942</v>
      </c>
      <c r="D1828" s="1" t="str">
        <f>"CK202410289628"</f>
        <v>CK202410289628</v>
      </c>
      <c r="E1828" s="1" t="str">
        <f>"3723606621258388480"</f>
        <v>3723606621258388480</v>
      </c>
      <c r="F1828" s="1" t="str">
        <f t="shared" si="558"/>
        <v>花都四部-凤凰仓</v>
      </c>
      <c r="G1828" s="1" t="str">
        <f t="shared" si="562"/>
        <v>卡卡杜企业店（视频号）</v>
      </c>
      <c r="H1828" s="1" t="str">
        <f t="shared" si="559"/>
        <v>正常订单</v>
      </c>
      <c r="I1828" s="1" t="str">
        <f t="shared" si="560"/>
        <v>已发货</v>
      </c>
      <c r="J1828" s="1" t="str">
        <f t="shared" si="563"/>
        <v>2</v>
      </c>
      <c r="K1828" s="1">
        <v>2</v>
      </c>
      <c r="L1828" s="1" t="s">
        <v>66</v>
      </c>
      <c r="M1828" s="1" t="str">
        <f>"内蒙古自治区 鄂尔多斯市 东胜区 "</f>
        <v xml:space="preserve">内蒙古自治区 鄂尔多斯市 东胜区 </v>
      </c>
      <c r="N1828" s="1" t="str">
        <f t="shared" si="556"/>
        <v>凡华云仓-城南圆通-微信视频号</v>
      </c>
      <c r="O1828" s="5" t="s">
        <v>1865</v>
      </c>
      <c r="P1828" s="6">
        <v>0.17</v>
      </c>
      <c r="Q1828" s="11">
        <v>2</v>
      </c>
      <c r="R1828" s="11"/>
      <c r="S1828" s="11"/>
      <c r="T1828" s="11"/>
      <c r="U1828" s="11">
        <f t="shared" si="561"/>
        <v>2</v>
      </c>
      <c r="W1828">
        <v>2.2000000000000002</v>
      </c>
      <c r="X1828" s="1" t="s">
        <v>66</v>
      </c>
    </row>
    <row r="1829" spans="1:24" x14ac:dyDescent="0.25">
      <c r="A1829" s="1" t="str">
        <f t="shared" si="557"/>
        <v>卡卡杜-凤凰仓</v>
      </c>
      <c r="B1829" s="1" t="str">
        <f>"CK20241028408"</f>
        <v>CK20241028408</v>
      </c>
      <c r="C1829" s="1" t="str">
        <f>"DD2024102819941"</f>
        <v>DD2024102819941</v>
      </c>
      <c r="D1829" s="1" t="str">
        <f>"CK202410289627"</f>
        <v>CK202410289627</v>
      </c>
      <c r="E1829" s="1" t="str">
        <f>"3723606609907027968"</f>
        <v>3723606609907027968</v>
      </c>
      <c r="F1829" s="1" t="str">
        <f t="shared" si="558"/>
        <v>花都四部-凤凰仓</v>
      </c>
      <c r="G1829" s="1" t="str">
        <f t="shared" si="562"/>
        <v>卡卡杜企业店（视频号）</v>
      </c>
      <c r="H1829" s="1" t="str">
        <f t="shared" si="559"/>
        <v>正常订单</v>
      </c>
      <c r="I1829" s="1" t="str">
        <f t="shared" si="560"/>
        <v>已发货</v>
      </c>
      <c r="J1829" s="1" t="str">
        <f t="shared" si="563"/>
        <v>2</v>
      </c>
      <c r="K1829" s="1">
        <v>2</v>
      </c>
      <c r="L1829" s="1" t="s">
        <v>18</v>
      </c>
      <c r="M1829" s="1" t="str">
        <f>"广东省 珠海市 香洲区 "</f>
        <v xml:space="preserve">广东省 珠海市 香洲区 </v>
      </c>
      <c r="N1829" s="1" t="str">
        <f t="shared" si="556"/>
        <v>凡华云仓-城南圆通-微信视频号</v>
      </c>
      <c r="O1829" s="5" t="s">
        <v>1866</v>
      </c>
      <c r="P1829" s="6">
        <v>0.17</v>
      </c>
      <c r="Q1829" s="11">
        <v>2</v>
      </c>
      <c r="R1829" s="11"/>
      <c r="S1829" s="11"/>
      <c r="T1829" s="11"/>
      <c r="U1829" s="11">
        <f t="shared" si="561"/>
        <v>2</v>
      </c>
      <c r="W1829">
        <v>2.2000000000000002</v>
      </c>
      <c r="X1829" s="1" t="s">
        <v>18</v>
      </c>
    </row>
    <row r="1830" spans="1:24" x14ac:dyDescent="0.25">
      <c r="A1830" s="1" t="str">
        <f t="shared" si="557"/>
        <v>卡卡杜-凤凰仓</v>
      </c>
      <c r="B1830" s="1" t="str">
        <f>"CK20241028407"</f>
        <v>CK20241028407</v>
      </c>
      <c r="C1830" s="1" t="str">
        <f>"DD2024102819940"</f>
        <v>DD2024102819940</v>
      </c>
      <c r="D1830" s="1" t="str">
        <f>"CK202410289626"</f>
        <v>CK202410289626</v>
      </c>
      <c r="E1830" s="1" t="str">
        <f>"3723606622058189824"</f>
        <v>3723606622058189824</v>
      </c>
      <c r="F1830" s="1" t="str">
        <f t="shared" si="558"/>
        <v>花都四部-凤凰仓</v>
      </c>
      <c r="G1830" s="1" t="str">
        <f t="shared" si="562"/>
        <v>卡卡杜企业店（视频号）</v>
      </c>
      <c r="H1830" s="1" t="str">
        <f t="shared" si="559"/>
        <v>正常订单</v>
      </c>
      <c r="I1830" s="1" t="str">
        <f t="shared" si="560"/>
        <v>已发货</v>
      </c>
      <c r="J1830" s="1" t="str">
        <f t="shared" si="563"/>
        <v>2</v>
      </c>
      <c r="K1830" s="1">
        <v>2</v>
      </c>
      <c r="L1830" s="1" t="s">
        <v>27</v>
      </c>
      <c r="M1830" s="1" t="str">
        <f>"贵州省 铜仁市 碧江区 "</f>
        <v xml:space="preserve">贵州省 铜仁市 碧江区 </v>
      </c>
      <c r="N1830" s="1" t="str">
        <f t="shared" si="556"/>
        <v>凡华云仓-城南圆通-微信视频号</v>
      </c>
      <c r="O1830" s="5" t="s">
        <v>1867</v>
      </c>
      <c r="P1830" s="6">
        <v>0.17</v>
      </c>
      <c r="Q1830" s="11">
        <v>2</v>
      </c>
      <c r="R1830" s="11"/>
      <c r="S1830" s="11"/>
      <c r="T1830" s="11"/>
      <c r="U1830" s="11">
        <f t="shared" si="561"/>
        <v>2</v>
      </c>
      <c r="W1830">
        <v>2.2000000000000002</v>
      </c>
      <c r="X1830" s="1" t="s">
        <v>27</v>
      </c>
    </row>
    <row r="1831" spans="1:24" x14ac:dyDescent="0.25">
      <c r="A1831" s="1" t="str">
        <f t="shared" si="557"/>
        <v>卡卡杜-凤凰仓</v>
      </c>
      <c r="B1831" s="1" t="str">
        <f>"CK20241028406"</f>
        <v>CK20241028406</v>
      </c>
      <c r="C1831" s="1" t="str">
        <f>"DD2024102819939"</f>
        <v>DD2024102819939</v>
      </c>
      <c r="D1831" s="1" t="str">
        <f>"CK202410289625"</f>
        <v>CK202410289625</v>
      </c>
      <c r="E1831" s="1" t="str">
        <f>"3723606621887795200"</f>
        <v>3723606621887795200</v>
      </c>
      <c r="F1831" s="1" t="str">
        <f t="shared" si="558"/>
        <v>花都四部-凤凰仓</v>
      </c>
      <c r="G1831" s="1" t="str">
        <f t="shared" si="562"/>
        <v>卡卡杜企业店（视频号）</v>
      </c>
      <c r="H1831" s="1" t="str">
        <f t="shared" si="559"/>
        <v>正常订单</v>
      </c>
      <c r="I1831" s="1" t="str">
        <f t="shared" si="560"/>
        <v>已发货</v>
      </c>
      <c r="J1831" s="1" t="str">
        <f t="shared" si="563"/>
        <v>2</v>
      </c>
      <c r="K1831" s="1">
        <v>2</v>
      </c>
      <c r="L1831" s="1" t="s">
        <v>18</v>
      </c>
      <c r="M1831" s="1" t="str">
        <f>"广东省 广州市 花都区 "</f>
        <v xml:space="preserve">广东省 广州市 花都区 </v>
      </c>
      <c r="N1831" s="1" t="str">
        <f t="shared" si="556"/>
        <v>凡华云仓-城南圆通-微信视频号</v>
      </c>
      <c r="O1831" s="5" t="s">
        <v>1868</v>
      </c>
      <c r="P1831" s="6">
        <v>0.17</v>
      </c>
      <c r="Q1831" s="11">
        <v>2</v>
      </c>
      <c r="R1831" s="11"/>
      <c r="S1831" s="11"/>
      <c r="T1831" s="11"/>
      <c r="U1831" s="11">
        <f t="shared" si="561"/>
        <v>2</v>
      </c>
      <c r="W1831">
        <v>2.2000000000000002</v>
      </c>
      <c r="X1831" s="1" t="s">
        <v>18</v>
      </c>
    </row>
    <row r="1832" spans="1:24" x14ac:dyDescent="0.25">
      <c r="A1832" s="1" t="str">
        <f t="shared" si="557"/>
        <v>卡卡杜-凤凰仓</v>
      </c>
      <c r="B1832" s="1" t="str">
        <f>"CK20241028405"</f>
        <v>CK20241028405</v>
      </c>
      <c r="C1832" s="1" t="str">
        <f>"DD2024102819938"</f>
        <v>DD2024102819938</v>
      </c>
      <c r="D1832" s="1" t="str">
        <f>"CK202410289624"</f>
        <v>CK202410289624</v>
      </c>
      <c r="E1832" s="1" t="str">
        <f>"3723606624863389184"</f>
        <v>3723606624863389184</v>
      </c>
      <c r="F1832" s="1" t="str">
        <f t="shared" si="558"/>
        <v>花都四部-凤凰仓</v>
      </c>
      <c r="G1832" s="1" t="str">
        <f t="shared" si="562"/>
        <v>卡卡杜企业店（视频号）</v>
      </c>
      <c r="H1832" s="1" t="str">
        <f t="shared" si="559"/>
        <v>正常订单</v>
      </c>
      <c r="I1832" s="1" t="str">
        <f t="shared" si="560"/>
        <v>已发货</v>
      </c>
      <c r="J1832" s="1" t="str">
        <f t="shared" si="563"/>
        <v>2</v>
      </c>
      <c r="K1832" s="1">
        <v>2</v>
      </c>
      <c r="L1832" s="1" t="s">
        <v>20</v>
      </c>
      <c r="M1832" s="1" t="str">
        <f>"浙江省 宁波市 江东区 "</f>
        <v xml:space="preserve">浙江省 宁波市 江东区 </v>
      </c>
      <c r="N1832" s="1" t="str">
        <f t="shared" si="556"/>
        <v>凡华云仓-城南圆通-微信视频号</v>
      </c>
      <c r="O1832" s="5" t="s">
        <v>1869</v>
      </c>
      <c r="P1832" s="6">
        <v>0.17</v>
      </c>
      <c r="Q1832" s="11">
        <v>2</v>
      </c>
      <c r="R1832" s="11"/>
      <c r="S1832" s="11"/>
      <c r="T1832" s="11"/>
      <c r="U1832" s="11">
        <f t="shared" si="561"/>
        <v>2</v>
      </c>
      <c r="W1832">
        <v>2.2000000000000002</v>
      </c>
      <c r="X1832" s="1" t="s">
        <v>20</v>
      </c>
    </row>
    <row r="1833" spans="1:24" x14ac:dyDescent="0.25">
      <c r="A1833" s="1" t="str">
        <f t="shared" si="557"/>
        <v>卡卡杜-凤凰仓</v>
      </c>
      <c r="B1833" s="1" t="str">
        <f>"CK20241028404"</f>
        <v>CK20241028404</v>
      </c>
      <c r="C1833" s="1" t="str">
        <f>"DD2024102819937"</f>
        <v>DD2024102819937</v>
      </c>
      <c r="D1833" s="1" t="str">
        <f>"CK202410289623"</f>
        <v>CK202410289623</v>
      </c>
      <c r="E1833" s="1" t="str">
        <f>"3723606623990449664"</f>
        <v>3723606623990449664</v>
      </c>
      <c r="F1833" s="1" t="str">
        <f t="shared" si="558"/>
        <v>花都四部-凤凰仓</v>
      </c>
      <c r="G1833" s="1" t="str">
        <f t="shared" si="562"/>
        <v>卡卡杜企业店（视频号）</v>
      </c>
      <c r="H1833" s="1" t="str">
        <f t="shared" si="559"/>
        <v>正常订单</v>
      </c>
      <c r="I1833" s="1" t="str">
        <f t="shared" si="560"/>
        <v>已发货</v>
      </c>
      <c r="J1833" s="1" t="str">
        <f t="shared" si="563"/>
        <v>2</v>
      </c>
      <c r="K1833" s="1">
        <v>2</v>
      </c>
      <c r="L1833" s="1" t="s">
        <v>187</v>
      </c>
      <c r="M1833" s="1" t="str">
        <f>"吉林省 吉林市 丰满区 "</f>
        <v xml:space="preserve">吉林省 吉林市 丰满区 </v>
      </c>
      <c r="N1833" s="1" t="str">
        <f t="shared" ref="N1833:N1896" si="564">"凡华云仓-城南圆通-微信视频号"</f>
        <v>凡华云仓-城南圆通-微信视频号</v>
      </c>
      <c r="O1833" s="5" t="s">
        <v>1870</v>
      </c>
      <c r="P1833" s="6">
        <v>0.17</v>
      </c>
      <c r="Q1833" s="11">
        <v>2</v>
      </c>
      <c r="R1833" s="11"/>
      <c r="S1833" s="11"/>
      <c r="T1833" s="11"/>
      <c r="U1833" s="11">
        <f t="shared" si="561"/>
        <v>2</v>
      </c>
      <c r="W1833">
        <v>2.2000000000000002</v>
      </c>
      <c r="X1833" s="1" t="s">
        <v>187</v>
      </c>
    </row>
    <row r="1834" spans="1:24" x14ac:dyDescent="0.25">
      <c r="A1834" s="1" t="str">
        <f t="shared" si="557"/>
        <v>卡卡杜-凤凰仓</v>
      </c>
      <c r="B1834" s="1" t="str">
        <f>"CK20241028403"</f>
        <v>CK20241028403</v>
      </c>
      <c r="C1834" s="1" t="str">
        <f>"DD2024102819936"</f>
        <v>DD2024102819936</v>
      </c>
      <c r="D1834" s="1" t="str">
        <f>"CK202410289622"</f>
        <v>CK202410289622</v>
      </c>
      <c r="E1834" s="1" t="str">
        <f>"3723606625751010304"</f>
        <v>3723606625751010304</v>
      </c>
      <c r="F1834" s="1" t="str">
        <f t="shared" si="558"/>
        <v>花都四部-凤凰仓</v>
      </c>
      <c r="G1834" s="1" t="str">
        <f t="shared" si="562"/>
        <v>卡卡杜企业店（视频号）</v>
      </c>
      <c r="H1834" s="1" t="str">
        <f t="shared" si="559"/>
        <v>正常订单</v>
      </c>
      <c r="I1834" s="1" t="str">
        <f t="shared" si="560"/>
        <v>已发货</v>
      </c>
      <c r="J1834" s="1" t="str">
        <f t="shared" si="563"/>
        <v>2</v>
      </c>
      <c r="K1834" s="1">
        <v>2</v>
      </c>
      <c r="L1834" s="1" t="s">
        <v>74</v>
      </c>
      <c r="M1834" s="1" t="str">
        <f>"上海 上海市 徐汇区 "</f>
        <v xml:space="preserve">上海 上海市 徐汇区 </v>
      </c>
      <c r="N1834" s="1" t="str">
        <f t="shared" si="564"/>
        <v>凡华云仓-城南圆通-微信视频号</v>
      </c>
      <c r="O1834" s="5" t="s">
        <v>1871</v>
      </c>
      <c r="P1834" s="6">
        <v>0.17</v>
      </c>
      <c r="Q1834" s="11">
        <v>2</v>
      </c>
      <c r="R1834" s="11"/>
      <c r="S1834" s="11"/>
      <c r="T1834" s="11"/>
      <c r="U1834" s="11">
        <f t="shared" si="561"/>
        <v>2</v>
      </c>
      <c r="W1834">
        <v>2.2000000000000002</v>
      </c>
      <c r="X1834" s="1" t="s">
        <v>74</v>
      </c>
    </row>
    <row r="1835" spans="1:24" x14ac:dyDescent="0.25">
      <c r="A1835" s="1" t="str">
        <f t="shared" si="557"/>
        <v>卡卡杜-凤凰仓</v>
      </c>
      <c r="B1835" s="1" t="str">
        <f>"CK20241028402"</f>
        <v>CK20241028402</v>
      </c>
      <c r="C1835" s="1" t="str">
        <f>"DD2024102819935"</f>
        <v>DD2024102819935</v>
      </c>
      <c r="D1835" s="1" t="str">
        <f>"CK202410289621"</f>
        <v>CK202410289621</v>
      </c>
      <c r="E1835" s="1" t="str">
        <f>"3723606625700676865"</f>
        <v>3723606625700676865</v>
      </c>
      <c r="F1835" s="1" t="str">
        <f t="shared" si="558"/>
        <v>花都四部-凤凰仓</v>
      </c>
      <c r="G1835" s="1" t="str">
        <f t="shared" si="562"/>
        <v>卡卡杜企业店（视频号）</v>
      </c>
      <c r="H1835" s="1" t="str">
        <f t="shared" si="559"/>
        <v>正常订单</v>
      </c>
      <c r="I1835" s="1" t="str">
        <f t="shared" si="560"/>
        <v>已发货</v>
      </c>
      <c r="J1835" s="1" t="str">
        <f t="shared" si="563"/>
        <v>2</v>
      </c>
      <c r="K1835" s="1">
        <v>2</v>
      </c>
      <c r="L1835" s="1" t="s">
        <v>80</v>
      </c>
      <c r="M1835" s="1" t="str">
        <f>"河南省 漯河市 郾城区 "</f>
        <v xml:space="preserve">河南省 漯河市 郾城区 </v>
      </c>
      <c r="N1835" s="1" t="str">
        <f t="shared" si="564"/>
        <v>凡华云仓-城南圆通-微信视频号</v>
      </c>
      <c r="O1835" s="5" t="s">
        <v>1872</v>
      </c>
      <c r="P1835" s="6">
        <v>0.17</v>
      </c>
      <c r="Q1835" s="11">
        <v>2</v>
      </c>
      <c r="R1835" s="11"/>
      <c r="S1835" s="11"/>
      <c r="T1835" s="11"/>
      <c r="U1835" s="11">
        <f t="shared" si="561"/>
        <v>2</v>
      </c>
      <c r="W1835">
        <v>2.2000000000000002</v>
      </c>
      <c r="X1835" s="1" t="s">
        <v>80</v>
      </c>
    </row>
    <row r="1836" spans="1:24" x14ac:dyDescent="0.25">
      <c r="A1836" s="1" t="str">
        <f t="shared" si="557"/>
        <v>卡卡杜-凤凰仓</v>
      </c>
      <c r="B1836" s="1" t="str">
        <f>"CK20241028400"</f>
        <v>CK20241028400</v>
      </c>
      <c r="C1836" s="1" t="str">
        <f>"DD2024102819934"</f>
        <v>DD2024102819934</v>
      </c>
      <c r="D1836" s="1" t="str">
        <f>"CK202410289620"</f>
        <v>CK202410289620</v>
      </c>
      <c r="E1836" s="1" t="str">
        <f>"3723606625774077184"</f>
        <v>3723606625774077184</v>
      </c>
      <c r="F1836" s="1" t="str">
        <f t="shared" si="558"/>
        <v>花都四部-凤凰仓</v>
      </c>
      <c r="G1836" s="1" t="str">
        <f t="shared" si="562"/>
        <v>卡卡杜企业店（视频号）</v>
      </c>
      <c r="H1836" s="1" t="str">
        <f t="shared" si="559"/>
        <v>正常订单</v>
      </c>
      <c r="I1836" s="1" t="str">
        <f t="shared" si="560"/>
        <v>已发货</v>
      </c>
      <c r="J1836" s="1" t="str">
        <f t="shared" si="563"/>
        <v>2</v>
      </c>
      <c r="K1836" s="1">
        <v>2</v>
      </c>
      <c r="L1836" s="1" t="s">
        <v>187</v>
      </c>
      <c r="M1836" s="1" t="str">
        <f>"吉林省 长春市 朝阳区 "</f>
        <v xml:space="preserve">吉林省 长春市 朝阳区 </v>
      </c>
      <c r="N1836" s="1" t="str">
        <f t="shared" si="564"/>
        <v>凡华云仓-城南圆通-微信视频号</v>
      </c>
      <c r="O1836" s="5" t="s">
        <v>1873</v>
      </c>
      <c r="P1836" s="6">
        <v>0.17</v>
      </c>
      <c r="Q1836" s="11">
        <v>2</v>
      </c>
      <c r="R1836" s="11"/>
      <c r="S1836" s="11"/>
      <c r="T1836" s="11"/>
      <c r="U1836" s="11">
        <f t="shared" si="561"/>
        <v>2</v>
      </c>
      <c r="W1836">
        <v>2.2000000000000002</v>
      </c>
      <c r="X1836" s="1" t="s">
        <v>187</v>
      </c>
    </row>
    <row r="1837" spans="1:24" x14ac:dyDescent="0.25">
      <c r="A1837" s="1" t="str">
        <f t="shared" si="557"/>
        <v>卡卡杜-凤凰仓</v>
      </c>
      <c r="B1837" s="1" t="str">
        <f>"CK20241028401"</f>
        <v>CK20241028401</v>
      </c>
      <c r="C1837" s="1" t="str">
        <f>"DD2024102819933"</f>
        <v>DD2024102819933</v>
      </c>
      <c r="D1837" s="1" t="str">
        <f>"CK202410289619"</f>
        <v>CK202410289619</v>
      </c>
      <c r="E1837" s="1" t="str">
        <f>"3723606625375620096"</f>
        <v>3723606625375620096</v>
      </c>
      <c r="F1837" s="1" t="str">
        <f t="shared" si="558"/>
        <v>花都四部-凤凰仓</v>
      </c>
      <c r="G1837" s="1" t="str">
        <f t="shared" si="562"/>
        <v>卡卡杜企业店（视频号）</v>
      </c>
      <c r="H1837" s="1" t="str">
        <f t="shared" si="559"/>
        <v>正常订单</v>
      </c>
      <c r="I1837" s="1" t="str">
        <f t="shared" si="560"/>
        <v>已发货</v>
      </c>
      <c r="J1837" s="1" t="str">
        <f t="shared" si="563"/>
        <v>2</v>
      </c>
      <c r="K1837" s="1">
        <v>2</v>
      </c>
      <c r="L1837" s="1" t="s">
        <v>41</v>
      </c>
      <c r="M1837" s="1" t="str">
        <f>"湖北省 武汉市 江汉区 "</f>
        <v xml:space="preserve">湖北省 武汉市 江汉区 </v>
      </c>
      <c r="N1837" s="1" t="str">
        <f t="shared" si="564"/>
        <v>凡华云仓-城南圆通-微信视频号</v>
      </c>
      <c r="O1837" s="5" t="s">
        <v>1874</v>
      </c>
      <c r="P1837" s="6">
        <v>0.17</v>
      </c>
      <c r="Q1837" s="11">
        <v>2</v>
      </c>
      <c r="R1837" s="11"/>
      <c r="S1837" s="11"/>
      <c r="T1837" s="11"/>
      <c r="U1837" s="11">
        <f t="shared" si="561"/>
        <v>2</v>
      </c>
      <c r="W1837">
        <v>2.2000000000000002</v>
      </c>
      <c r="X1837" s="1" t="s">
        <v>41</v>
      </c>
    </row>
    <row r="1838" spans="1:24" x14ac:dyDescent="0.25">
      <c r="A1838" s="1" t="str">
        <f t="shared" si="557"/>
        <v>卡卡杜-凤凰仓</v>
      </c>
      <c r="B1838" s="1" t="str">
        <f>"CK20241028399"</f>
        <v>CK20241028399</v>
      </c>
      <c r="C1838" s="1" t="str">
        <f>"DD2024102819932"</f>
        <v>DD2024102819932</v>
      </c>
      <c r="D1838" s="1" t="str">
        <f>"CK202410289618"</f>
        <v>CK202410289618</v>
      </c>
      <c r="E1838" s="1" t="str">
        <f>"3723606629423645952"</f>
        <v>3723606629423645952</v>
      </c>
      <c r="F1838" s="1" t="str">
        <f t="shared" si="558"/>
        <v>花都四部-凤凰仓</v>
      </c>
      <c r="G1838" s="1" t="str">
        <f t="shared" si="562"/>
        <v>卡卡杜企业店（视频号）</v>
      </c>
      <c r="H1838" s="1" t="str">
        <f t="shared" si="559"/>
        <v>正常订单</v>
      </c>
      <c r="I1838" s="1" t="str">
        <f t="shared" si="560"/>
        <v>已发货</v>
      </c>
      <c r="J1838" s="1" t="str">
        <f t="shared" si="563"/>
        <v>2</v>
      </c>
      <c r="K1838" s="1">
        <v>2</v>
      </c>
      <c r="L1838" s="1" t="s">
        <v>54</v>
      </c>
      <c r="M1838" s="1" t="str">
        <f>"黑龙江省 哈尔滨市 呼兰区 "</f>
        <v xml:space="preserve">黑龙江省 哈尔滨市 呼兰区 </v>
      </c>
      <c r="N1838" s="1" t="str">
        <f t="shared" si="564"/>
        <v>凡华云仓-城南圆通-微信视频号</v>
      </c>
      <c r="O1838" s="5" t="s">
        <v>1875</v>
      </c>
      <c r="P1838" s="6">
        <v>0.17</v>
      </c>
      <c r="Q1838" s="11">
        <v>2</v>
      </c>
      <c r="R1838" s="11"/>
      <c r="S1838" s="11"/>
      <c r="T1838" s="11"/>
      <c r="U1838" s="11">
        <f t="shared" si="561"/>
        <v>2</v>
      </c>
      <c r="W1838">
        <v>2.2000000000000002</v>
      </c>
      <c r="X1838" s="1" t="s">
        <v>54</v>
      </c>
    </row>
    <row r="1839" spans="1:24" x14ac:dyDescent="0.25">
      <c r="A1839" s="1" t="str">
        <f t="shared" si="557"/>
        <v>卡卡杜-凤凰仓</v>
      </c>
      <c r="B1839" s="1" t="str">
        <f>"CK20241028398"</f>
        <v>CK20241028398</v>
      </c>
      <c r="C1839" s="1" t="str">
        <f>"DD2024102819931"</f>
        <v>DD2024102819931</v>
      </c>
      <c r="D1839" s="1" t="str">
        <f>"CK202410289617"</f>
        <v>CK202410289617</v>
      </c>
      <c r="E1839" s="1" t="str">
        <f>"3723606628639837184"</f>
        <v>3723606628639837184</v>
      </c>
      <c r="F1839" s="1" t="str">
        <f t="shared" si="558"/>
        <v>花都四部-凤凰仓</v>
      </c>
      <c r="G1839" s="1" t="str">
        <f t="shared" si="562"/>
        <v>卡卡杜企业店（视频号）</v>
      </c>
      <c r="H1839" s="1" t="str">
        <f t="shared" si="559"/>
        <v>正常订单</v>
      </c>
      <c r="I1839" s="1" t="str">
        <f t="shared" si="560"/>
        <v>已发货</v>
      </c>
      <c r="J1839" s="1" t="str">
        <f t="shared" si="563"/>
        <v>2</v>
      </c>
      <c r="K1839" s="1">
        <v>2</v>
      </c>
      <c r="L1839" s="1" t="s">
        <v>74</v>
      </c>
      <c r="M1839" s="1" t="str">
        <f>"上海 上海市 奉贤区 "</f>
        <v xml:space="preserve">上海 上海市 奉贤区 </v>
      </c>
      <c r="N1839" s="1" t="str">
        <f t="shared" si="564"/>
        <v>凡华云仓-城南圆通-微信视频号</v>
      </c>
      <c r="O1839" s="5" t="s">
        <v>1876</v>
      </c>
      <c r="P1839" s="6">
        <v>0.17</v>
      </c>
      <c r="Q1839" s="11">
        <v>2</v>
      </c>
      <c r="R1839" s="11"/>
      <c r="S1839" s="11"/>
      <c r="T1839" s="11"/>
      <c r="U1839" s="11">
        <f t="shared" si="561"/>
        <v>2</v>
      </c>
      <c r="W1839">
        <v>2.2000000000000002</v>
      </c>
      <c r="X1839" s="1" t="s">
        <v>74</v>
      </c>
    </row>
    <row r="1840" spans="1:24" x14ac:dyDescent="0.25">
      <c r="A1840" s="1" t="str">
        <f t="shared" si="557"/>
        <v>卡卡杜-凤凰仓</v>
      </c>
      <c r="B1840" s="1" t="str">
        <f>"CK20241028397"</f>
        <v>CK20241028397</v>
      </c>
      <c r="C1840" s="1" t="str">
        <f>"DD2024102819930"</f>
        <v>DD2024102819930</v>
      </c>
      <c r="D1840" s="1" t="str">
        <f>"CK202410289616"</f>
        <v>CK202410289616</v>
      </c>
      <c r="E1840" s="1" t="str">
        <f>"3723606630573147648"</f>
        <v>3723606630573147648</v>
      </c>
      <c r="F1840" s="1" t="str">
        <f t="shared" si="558"/>
        <v>花都四部-凤凰仓</v>
      </c>
      <c r="G1840" s="1" t="str">
        <f t="shared" si="562"/>
        <v>卡卡杜企业店（视频号）</v>
      </c>
      <c r="H1840" s="1" t="str">
        <f t="shared" si="559"/>
        <v>正常订单</v>
      </c>
      <c r="I1840" s="1" t="str">
        <f t="shared" si="560"/>
        <v>已发货</v>
      </c>
      <c r="J1840" s="1" t="str">
        <f t="shared" si="563"/>
        <v>2</v>
      </c>
      <c r="K1840" s="1">
        <v>2</v>
      </c>
      <c r="L1840" s="1" t="s">
        <v>105</v>
      </c>
      <c r="M1840" s="1" t="str">
        <f>"北京 北京市 丰台区 "</f>
        <v xml:space="preserve">北京 北京市 丰台区 </v>
      </c>
      <c r="N1840" s="1" t="str">
        <f t="shared" si="564"/>
        <v>凡华云仓-城南圆通-微信视频号</v>
      </c>
      <c r="O1840" s="5" t="s">
        <v>1877</v>
      </c>
      <c r="P1840" s="6">
        <v>0.17</v>
      </c>
      <c r="Q1840" s="11">
        <v>2</v>
      </c>
      <c r="R1840" s="11"/>
      <c r="S1840" s="11"/>
      <c r="T1840" s="11"/>
      <c r="U1840" s="11">
        <f t="shared" si="561"/>
        <v>2</v>
      </c>
      <c r="W1840">
        <v>2.2000000000000002</v>
      </c>
      <c r="X1840" s="1" t="s">
        <v>105</v>
      </c>
    </row>
    <row r="1841" spans="1:24" x14ac:dyDescent="0.25">
      <c r="A1841" s="1" t="str">
        <f t="shared" si="557"/>
        <v>卡卡杜-凤凰仓</v>
      </c>
      <c r="B1841" s="1" t="str">
        <f>"CK20241028395"</f>
        <v>CK20241028395</v>
      </c>
      <c r="C1841" s="1" t="str">
        <f>"DD2024102819929"</f>
        <v>DD2024102819929</v>
      </c>
      <c r="D1841" s="1" t="str">
        <f>"CK202410289615"</f>
        <v>CK202410289615</v>
      </c>
      <c r="E1841" s="1" t="str">
        <f>"3723606642815273984"</f>
        <v>3723606642815273984</v>
      </c>
      <c r="F1841" s="1" t="str">
        <f t="shared" si="558"/>
        <v>花都四部-凤凰仓</v>
      </c>
      <c r="G1841" s="1" t="str">
        <f t="shared" si="562"/>
        <v>卡卡杜企业店（视频号）</v>
      </c>
      <c r="H1841" s="1" t="str">
        <f t="shared" si="559"/>
        <v>正常订单</v>
      </c>
      <c r="I1841" s="1" t="str">
        <f t="shared" si="560"/>
        <v>已发货</v>
      </c>
      <c r="J1841" s="1" t="str">
        <f t="shared" si="563"/>
        <v>2</v>
      </c>
      <c r="K1841" s="1">
        <v>2</v>
      </c>
      <c r="L1841" s="1" t="s">
        <v>30</v>
      </c>
      <c r="M1841" s="1" t="str">
        <f>"山东省 烟台市 蓬莱市 "</f>
        <v xml:space="preserve">山东省 烟台市 蓬莱市 </v>
      </c>
      <c r="N1841" s="1" t="str">
        <f t="shared" si="564"/>
        <v>凡华云仓-城南圆通-微信视频号</v>
      </c>
      <c r="O1841" s="5" t="s">
        <v>1878</v>
      </c>
      <c r="P1841" s="6">
        <v>0.17</v>
      </c>
      <c r="Q1841" s="11">
        <v>2</v>
      </c>
      <c r="R1841" s="11"/>
      <c r="S1841" s="11"/>
      <c r="T1841" s="11"/>
      <c r="U1841" s="11">
        <f t="shared" si="561"/>
        <v>2</v>
      </c>
      <c r="W1841">
        <v>2.2000000000000002</v>
      </c>
      <c r="X1841" s="1" t="s">
        <v>30</v>
      </c>
    </row>
    <row r="1842" spans="1:24" x14ac:dyDescent="0.25">
      <c r="A1842" s="1" t="str">
        <f t="shared" si="557"/>
        <v>卡卡杜-凤凰仓</v>
      </c>
      <c r="B1842" s="1" t="str">
        <f>"CK20241028394"</f>
        <v>CK20241028394</v>
      </c>
      <c r="C1842" s="1" t="str">
        <f>"DD2024102819928"</f>
        <v>DD2024102819928</v>
      </c>
      <c r="D1842" s="1" t="str">
        <f>"CK202410289614"</f>
        <v>CK202410289614</v>
      </c>
      <c r="E1842" s="1" t="str">
        <f>"3723606646524085760"</f>
        <v>3723606646524085760</v>
      </c>
      <c r="F1842" s="1" t="str">
        <f t="shared" si="558"/>
        <v>花都四部-凤凰仓</v>
      </c>
      <c r="G1842" s="1" t="str">
        <f t="shared" si="562"/>
        <v>卡卡杜企业店（视频号）</v>
      </c>
      <c r="H1842" s="1" t="str">
        <f t="shared" si="559"/>
        <v>正常订单</v>
      </c>
      <c r="I1842" s="1" t="str">
        <f t="shared" si="560"/>
        <v>已发货</v>
      </c>
      <c r="J1842" s="1" t="str">
        <f t="shared" si="563"/>
        <v>2</v>
      </c>
      <c r="K1842" s="1">
        <v>2</v>
      </c>
      <c r="L1842" s="1" t="s">
        <v>92</v>
      </c>
      <c r="M1842" s="1" t="str">
        <f>"辽宁省 阜新市 彰武县 "</f>
        <v xml:space="preserve">辽宁省 阜新市 彰武县 </v>
      </c>
      <c r="N1842" s="1" t="str">
        <f t="shared" si="564"/>
        <v>凡华云仓-城南圆通-微信视频号</v>
      </c>
      <c r="O1842" s="5" t="s">
        <v>1879</v>
      </c>
      <c r="P1842" s="6">
        <v>0.17</v>
      </c>
      <c r="Q1842" s="11">
        <v>2</v>
      </c>
      <c r="R1842" s="11"/>
      <c r="S1842" s="11"/>
      <c r="T1842" s="11"/>
      <c r="U1842" s="11">
        <f t="shared" si="561"/>
        <v>2</v>
      </c>
      <c r="W1842">
        <v>2.2000000000000002</v>
      </c>
      <c r="X1842" s="1" t="s">
        <v>92</v>
      </c>
    </row>
    <row r="1843" spans="1:24" x14ac:dyDescent="0.25">
      <c r="A1843" s="1" t="str">
        <f t="shared" si="557"/>
        <v>卡卡杜-凤凰仓</v>
      </c>
      <c r="B1843" s="1" t="str">
        <f>"CK20241028396"</f>
        <v>CK20241028396</v>
      </c>
      <c r="C1843" s="1" t="str">
        <f>"DD2024102819927"</f>
        <v>DD2024102819927</v>
      </c>
      <c r="D1843" s="1" t="str">
        <f>"CK202410289613"</f>
        <v>CK202410289613</v>
      </c>
      <c r="E1843" s="1" t="str">
        <f>"3723606635681809664"</f>
        <v>3723606635681809664</v>
      </c>
      <c r="F1843" s="1" t="str">
        <f t="shared" si="558"/>
        <v>花都四部-凤凰仓</v>
      </c>
      <c r="G1843" s="1" t="str">
        <f t="shared" si="562"/>
        <v>卡卡杜企业店（视频号）</v>
      </c>
      <c r="H1843" s="1" t="str">
        <f t="shared" si="559"/>
        <v>正常订单</v>
      </c>
      <c r="I1843" s="1" t="str">
        <f t="shared" si="560"/>
        <v>已发货</v>
      </c>
      <c r="J1843" s="1" t="str">
        <f t="shared" si="563"/>
        <v>2</v>
      </c>
      <c r="K1843" s="1">
        <v>2</v>
      </c>
      <c r="L1843" s="1" t="s">
        <v>218</v>
      </c>
      <c r="M1843" s="1" t="str">
        <f>"天津 天津市 南开区 "</f>
        <v xml:space="preserve">天津 天津市 南开区 </v>
      </c>
      <c r="N1843" s="1" t="str">
        <f t="shared" si="564"/>
        <v>凡华云仓-城南圆通-微信视频号</v>
      </c>
      <c r="O1843" s="5" t="s">
        <v>1880</v>
      </c>
      <c r="P1843" s="6">
        <v>0.17</v>
      </c>
      <c r="Q1843" s="11">
        <v>2</v>
      </c>
      <c r="R1843" s="11"/>
      <c r="S1843" s="11"/>
      <c r="T1843" s="11"/>
      <c r="U1843" s="11">
        <f t="shared" si="561"/>
        <v>2</v>
      </c>
      <c r="W1843">
        <v>2.2000000000000002</v>
      </c>
      <c r="X1843" s="1" t="s">
        <v>218</v>
      </c>
    </row>
    <row r="1844" spans="1:24" x14ac:dyDescent="0.25">
      <c r="A1844" s="1" t="str">
        <f t="shared" si="557"/>
        <v>卡卡杜-凤凰仓</v>
      </c>
      <c r="B1844" s="1" t="str">
        <f>"CK20241028393"</f>
        <v>CK20241028393</v>
      </c>
      <c r="C1844" s="1" t="str">
        <f>"DD2024102819926"</f>
        <v>DD2024102819926</v>
      </c>
      <c r="D1844" s="1" t="str">
        <f>"CK202410289612"</f>
        <v>CK202410289612</v>
      </c>
      <c r="E1844" s="1" t="str">
        <f>"3723606647627712000"</f>
        <v>3723606647627712000</v>
      </c>
      <c r="F1844" s="1" t="str">
        <f t="shared" si="558"/>
        <v>花都四部-凤凰仓</v>
      </c>
      <c r="G1844" s="1" t="str">
        <f t="shared" si="562"/>
        <v>卡卡杜企业店（视频号）</v>
      </c>
      <c r="H1844" s="1" t="str">
        <f t="shared" si="559"/>
        <v>正常订单</v>
      </c>
      <c r="I1844" s="1" t="str">
        <f t="shared" si="560"/>
        <v>已发货</v>
      </c>
      <c r="J1844" s="1" t="str">
        <f t="shared" si="563"/>
        <v>2</v>
      </c>
      <c r="K1844" s="1">
        <v>2</v>
      </c>
      <c r="L1844" s="1" t="s">
        <v>18</v>
      </c>
      <c r="M1844" s="1" t="str">
        <f>"广东省 惠州市 惠阳区 "</f>
        <v xml:space="preserve">广东省 惠州市 惠阳区 </v>
      </c>
      <c r="N1844" s="1" t="str">
        <f t="shared" si="564"/>
        <v>凡华云仓-城南圆通-微信视频号</v>
      </c>
      <c r="O1844" s="5" t="s">
        <v>1881</v>
      </c>
      <c r="P1844" s="6">
        <v>0.17</v>
      </c>
      <c r="Q1844" s="11">
        <v>2</v>
      </c>
      <c r="R1844" s="11"/>
      <c r="S1844" s="11"/>
      <c r="T1844" s="11"/>
      <c r="U1844" s="11">
        <f t="shared" si="561"/>
        <v>2</v>
      </c>
      <c r="W1844">
        <v>2.2000000000000002</v>
      </c>
      <c r="X1844" s="1" t="s">
        <v>18</v>
      </c>
    </row>
    <row r="1845" spans="1:24" x14ac:dyDescent="0.25">
      <c r="A1845" s="1" t="str">
        <f t="shared" si="557"/>
        <v>卡卡杜-凤凰仓</v>
      </c>
      <c r="B1845" s="1" t="str">
        <f>"CK20241028392"</f>
        <v>CK20241028392</v>
      </c>
      <c r="C1845" s="1" t="str">
        <f>"DD2024102819925"</f>
        <v>DD2024102819925</v>
      </c>
      <c r="D1845" s="1" t="str">
        <f>"CK202410289611"</f>
        <v>CK202410289611</v>
      </c>
      <c r="E1845" s="1" t="str">
        <f>"3723606651865534464"</f>
        <v>3723606651865534464</v>
      </c>
      <c r="F1845" s="1" t="str">
        <f t="shared" si="558"/>
        <v>花都四部-凤凰仓</v>
      </c>
      <c r="G1845" s="1" t="str">
        <f t="shared" si="562"/>
        <v>卡卡杜企业店（视频号）</v>
      </c>
      <c r="H1845" s="1" t="str">
        <f t="shared" si="559"/>
        <v>正常订单</v>
      </c>
      <c r="I1845" s="1" t="str">
        <f t="shared" si="560"/>
        <v>已发货</v>
      </c>
      <c r="J1845" s="1" t="str">
        <f t="shared" si="563"/>
        <v>2</v>
      </c>
      <c r="K1845" s="1">
        <v>2</v>
      </c>
      <c r="L1845" s="1" t="s">
        <v>13</v>
      </c>
      <c r="M1845" s="1" t="str">
        <f>"江苏省 常州市 天宁区 "</f>
        <v xml:space="preserve">江苏省 常州市 天宁区 </v>
      </c>
      <c r="N1845" s="1" t="str">
        <f t="shared" si="564"/>
        <v>凡华云仓-城南圆通-微信视频号</v>
      </c>
      <c r="O1845" s="5" t="s">
        <v>1882</v>
      </c>
      <c r="P1845" s="6">
        <v>0.17</v>
      </c>
      <c r="Q1845" s="11">
        <v>2</v>
      </c>
      <c r="R1845" s="11"/>
      <c r="S1845" s="11"/>
      <c r="T1845" s="11"/>
      <c r="U1845" s="11">
        <f t="shared" si="561"/>
        <v>2</v>
      </c>
      <c r="W1845">
        <v>2.2000000000000002</v>
      </c>
      <c r="X1845" s="1" t="s">
        <v>13</v>
      </c>
    </row>
    <row r="1846" spans="1:24" x14ac:dyDescent="0.25">
      <c r="A1846" s="1" t="str">
        <f t="shared" si="557"/>
        <v>卡卡杜-凤凰仓</v>
      </c>
      <c r="B1846" s="1" t="str">
        <f>"CK20241028391"</f>
        <v>CK20241028391</v>
      </c>
      <c r="C1846" s="1" t="str">
        <f>"DD2024102819924"</f>
        <v>DD2024102819924</v>
      </c>
      <c r="D1846" s="1" t="str">
        <f>"CK202410289610"</f>
        <v>CK202410289610</v>
      </c>
      <c r="E1846" s="1" t="str">
        <f>"3723606658509049856"</f>
        <v>3723606658509049856</v>
      </c>
      <c r="F1846" s="1" t="str">
        <f t="shared" si="558"/>
        <v>花都四部-凤凰仓</v>
      </c>
      <c r="G1846" s="1" t="str">
        <f t="shared" si="562"/>
        <v>卡卡杜企业店（视频号）</v>
      </c>
      <c r="H1846" s="1" t="str">
        <f t="shared" si="559"/>
        <v>正常订单</v>
      </c>
      <c r="I1846" s="1" t="str">
        <f t="shared" si="560"/>
        <v>已发货</v>
      </c>
      <c r="J1846" s="1" t="str">
        <f t="shared" si="563"/>
        <v>2</v>
      </c>
      <c r="K1846" s="1">
        <v>2</v>
      </c>
      <c r="L1846" s="1" t="s">
        <v>105</v>
      </c>
      <c r="M1846" s="1" t="str">
        <f>"北京 北京市 西城区 "</f>
        <v xml:space="preserve">北京 北京市 西城区 </v>
      </c>
      <c r="N1846" s="1" t="str">
        <f t="shared" si="564"/>
        <v>凡华云仓-城南圆通-微信视频号</v>
      </c>
      <c r="O1846" s="5" t="s">
        <v>1883</v>
      </c>
      <c r="P1846" s="6">
        <v>0.17</v>
      </c>
      <c r="Q1846" s="11">
        <v>2</v>
      </c>
      <c r="R1846" s="11"/>
      <c r="S1846" s="11"/>
      <c r="T1846" s="11"/>
      <c r="U1846" s="11">
        <f t="shared" si="561"/>
        <v>2</v>
      </c>
      <c r="W1846">
        <v>2.2000000000000002</v>
      </c>
      <c r="X1846" s="1" t="s">
        <v>105</v>
      </c>
    </row>
    <row r="1847" spans="1:24" x14ac:dyDescent="0.25">
      <c r="A1847" s="1" t="str">
        <f t="shared" si="557"/>
        <v>卡卡杜-凤凰仓</v>
      </c>
      <c r="B1847" s="1" t="str">
        <f>"CK20241028390"</f>
        <v>CK20241028390</v>
      </c>
      <c r="C1847" s="1" t="str">
        <f>"DD2024102819923"</f>
        <v>DD2024102819923</v>
      </c>
      <c r="D1847" s="1" t="str">
        <f>"CK202410289609"</f>
        <v>CK202410289609</v>
      </c>
      <c r="E1847" s="1" t="str">
        <f>"3723606679373874688"</f>
        <v>3723606679373874688</v>
      </c>
      <c r="F1847" s="1" t="str">
        <f t="shared" si="558"/>
        <v>花都四部-凤凰仓</v>
      </c>
      <c r="G1847" s="1" t="str">
        <f t="shared" si="562"/>
        <v>卡卡杜企业店（视频号）</v>
      </c>
      <c r="H1847" s="1" t="str">
        <f t="shared" si="559"/>
        <v>正常订单</v>
      </c>
      <c r="I1847" s="1" t="str">
        <f t="shared" si="560"/>
        <v>已发货</v>
      </c>
      <c r="J1847" s="1" t="str">
        <f t="shared" si="563"/>
        <v>2</v>
      </c>
      <c r="K1847" s="1">
        <v>2</v>
      </c>
      <c r="L1847" s="1" t="s">
        <v>105</v>
      </c>
      <c r="M1847" s="1" t="str">
        <f>"北京 北京市 大兴区 "</f>
        <v xml:space="preserve">北京 北京市 大兴区 </v>
      </c>
      <c r="N1847" s="1" t="str">
        <f t="shared" si="564"/>
        <v>凡华云仓-城南圆通-微信视频号</v>
      </c>
      <c r="O1847" s="5" t="s">
        <v>1884</v>
      </c>
      <c r="P1847" s="6">
        <v>0.17</v>
      </c>
      <c r="Q1847" s="11">
        <v>2</v>
      </c>
      <c r="R1847" s="11"/>
      <c r="S1847" s="11"/>
      <c r="T1847" s="11"/>
      <c r="U1847" s="11">
        <f t="shared" si="561"/>
        <v>2</v>
      </c>
      <c r="W1847">
        <v>2.2000000000000002</v>
      </c>
      <c r="X1847" s="1" t="s">
        <v>105</v>
      </c>
    </row>
    <row r="1848" spans="1:24" x14ac:dyDescent="0.25">
      <c r="A1848" s="1" t="str">
        <f t="shared" si="557"/>
        <v>卡卡杜-凤凰仓</v>
      </c>
      <c r="B1848" s="1" t="str">
        <f>"CK20241028389"</f>
        <v>CK20241028389</v>
      </c>
      <c r="C1848" s="1" t="str">
        <f>"DD2024102819922"</f>
        <v>DD2024102819922</v>
      </c>
      <c r="D1848" s="1" t="str">
        <f>"CK202410289608"</f>
        <v>CK202410289608</v>
      </c>
      <c r="E1848" s="1" t="str">
        <f>"3723606679998041088"</f>
        <v>3723606679998041088</v>
      </c>
      <c r="F1848" s="1" t="str">
        <f t="shared" si="558"/>
        <v>花都四部-凤凰仓</v>
      </c>
      <c r="G1848" s="1" t="str">
        <f t="shared" si="562"/>
        <v>卡卡杜企业店（视频号）</v>
      </c>
      <c r="H1848" s="1" t="str">
        <f t="shared" si="559"/>
        <v>正常订单</v>
      </c>
      <c r="I1848" s="1" t="str">
        <f t="shared" si="560"/>
        <v>已发货</v>
      </c>
      <c r="J1848" s="1" t="str">
        <f t="shared" si="563"/>
        <v>2</v>
      </c>
      <c r="K1848" s="1">
        <v>2</v>
      </c>
      <c r="L1848" s="1" t="s">
        <v>92</v>
      </c>
      <c r="M1848" s="1" t="str">
        <f>"辽宁省 沈阳市 苏家屯区 "</f>
        <v xml:space="preserve">辽宁省 沈阳市 苏家屯区 </v>
      </c>
      <c r="N1848" s="1" t="str">
        <f t="shared" si="564"/>
        <v>凡华云仓-城南圆通-微信视频号</v>
      </c>
      <c r="O1848" s="5" t="s">
        <v>1885</v>
      </c>
      <c r="P1848" s="6">
        <v>0.17</v>
      </c>
      <c r="Q1848" s="11">
        <v>2</v>
      </c>
      <c r="R1848" s="11"/>
      <c r="S1848" s="11"/>
      <c r="T1848" s="11"/>
      <c r="U1848" s="11">
        <f t="shared" si="561"/>
        <v>2</v>
      </c>
      <c r="W1848">
        <v>2.2000000000000002</v>
      </c>
      <c r="X1848" s="1" t="s">
        <v>92</v>
      </c>
    </row>
    <row r="1849" spans="1:24" x14ac:dyDescent="0.25">
      <c r="A1849" s="1" t="str">
        <f t="shared" si="557"/>
        <v>卡卡杜-凤凰仓</v>
      </c>
      <c r="B1849" s="1" t="str">
        <f>"CK20241028388"</f>
        <v>CK20241028388</v>
      </c>
      <c r="C1849" s="1" t="str">
        <f>"DD2024102819921"</f>
        <v>DD2024102819921</v>
      </c>
      <c r="D1849" s="1" t="str">
        <f>"CK202410289607"</f>
        <v>CK202410289607</v>
      </c>
      <c r="E1849" s="1" t="str">
        <f>"3723606684290385408"</f>
        <v>3723606684290385408</v>
      </c>
      <c r="F1849" s="1" t="str">
        <f t="shared" si="558"/>
        <v>花都四部-凤凰仓</v>
      </c>
      <c r="G1849" s="1" t="str">
        <f t="shared" si="562"/>
        <v>卡卡杜企业店（视频号）</v>
      </c>
      <c r="H1849" s="1" t="str">
        <f t="shared" si="559"/>
        <v>正常订单</v>
      </c>
      <c r="I1849" s="1" t="str">
        <f t="shared" si="560"/>
        <v>已发货</v>
      </c>
      <c r="J1849" s="1" t="str">
        <f t="shared" si="563"/>
        <v>2</v>
      </c>
      <c r="K1849" s="1">
        <v>2</v>
      </c>
      <c r="L1849" s="1" t="s">
        <v>16</v>
      </c>
      <c r="M1849" s="1" t="str">
        <f>"河北省 唐山市 路北区 "</f>
        <v xml:space="preserve">河北省 唐山市 路北区 </v>
      </c>
      <c r="N1849" s="1" t="str">
        <f t="shared" si="564"/>
        <v>凡华云仓-城南圆通-微信视频号</v>
      </c>
      <c r="O1849" s="5" t="s">
        <v>1886</v>
      </c>
      <c r="P1849" s="6">
        <v>0.17</v>
      </c>
      <c r="Q1849" s="11">
        <v>2</v>
      </c>
      <c r="R1849" s="11"/>
      <c r="S1849" s="11"/>
      <c r="T1849" s="11"/>
      <c r="U1849" s="11">
        <f t="shared" si="561"/>
        <v>2</v>
      </c>
      <c r="W1849">
        <v>2.2000000000000002</v>
      </c>
      <c r="X1849" s="1" t="s">
        <v>16</v>
      </c>
    </row>
    <row r="1850" spans="1:24" x14ac:dyDescent="0.25">
      <c r="A1850" s="1" t="str">
        <f t="shared" si="557"/>
        <v>卡卡杜-凤凰仓</v>
      </c>
      <c r="B1850" s="1" t="str">
        <f>"CK20241028386"</f>
        <v>CK20241028386</v>
      </c>
      <c r="C1850" s="1" t="str">
        <f>"DD2024102819920"</f>
        <v>DD2024102819920</v>
      </c>
      <c r="D1850" s="1" t="str">
        <f>"CK202410289606"</f>
        <v>CK202410289606</v>
      </c>
      <c r="E1850" s="1" t="str">
        <f>"3723606695059785216"</f>
        <v>3723606695059785216</v>
      </c>
      <c r="F1850" s="1" t="str">
        <f t="shared" si="558"/>
        <v>花都四部-凤凰仓</v>
      </c>
      <c r="G1850" s="1" t="str">
        <f t="shared" si="562"/>
        <v>卡卡杜企业店（视频号）</v>
      </c>
      <c r="H1850" s="1" t="str">
        <f t="shared" si="559"/>
        <v>正常订单</v>
      </c>
      <c r="I1850" s="1" t="str">
        <f t="shared" si="560"/>
        <v>已发货</v>
      </c>
      <c r="J1850" s="1" t="str">
        <f t="shared" si="563"/>
        <v>2</v>
      </c>
      <c r="K1850" s="1">
        <v>2</v>
      </c>
      <c r="L1850" s="1" t="s">
        <v>13</v>
      </c>
      <c r="M1850" s="1" t="str">
        <f>"江苏省 南京市 鼓楼区 "</f>
        <v xml:space="preserve">江苏省 南京市 鼓楼区 </v>
      </c>
      <c r="N1850" s="1" t="str">
        <f t="shared" si="564"/>
        <v>凡华云仓-城南圆通-微信视频号</v>
      </c>
      <c r="O1850" s="5" t="s">
        <v>1887</v>
      </c>
      <c r="P1850" s="6">
        <v>0.17</v>
      </c>
      <c r="Q1850" s="11">
        <v>2</v>
      </c>
      <c r="R1850" s="11"/>
      <c r="S1850" s="11"/>
      <c r="T1850" s="11"/>
      <c r="U1850" s="11">
        <f t="shared" si="561"/>
        <v>2</v>
      </c>
      <c r="W1850">
        <v>2.2000000000000002</v>
      </c>
      <c r="X1850" s="1" t="s">
        <v>13</v>
      </c>
    </row>
    <row r="1851" spans="1:24" x14ac:dyDescent="0.25">
      <c r="A1851" s="1" t="str">
        <f t="shared" si="557"/>
        <v>卡卡杜-凤凰仓</v>
      </c>
      <c r="B1851" s="1" t="str">
        <f>"CK20241028387"</f>
        <v>CK20241028387</v>
      </c>
      <c r="C1851" s="1" t="str">
        <f>"DD2024102819919"</f>
        <v>DD2024102819919</v>
      </c>
      <c r="D1851" s="1" t="str">
        <f>"CK202410289605"</f>
        <v>CK202410289605</v>
      </c>
      <c r="E1851" s="1" t="str">
        <f>"3723606682450134528"</f>
        <v>3723606682450134528</v>
      </c>
      <c r="F1851" s="1" t="str">
        <f t="shared" si="558"/>
        <v>花都四部-凤凰仓</v>
      </c>
      <c r="G1851" s="1" t="str">
        <f t="shared" si="562"/>
        <v>卡卡杜企业店（视频号）</v>
      </c>
      <c r="H1851" s="1" t="str">
        <f t="shared" si="559"/>
        <v>正常订单</v>
      </c>
      <c r="I1851" s="1" t="str">
        <f t="shared" si="560"/>
        <v>已发货</v>
      </c>
      <c r="J1851" s="1" t="str">
        <f t="shared" si="563"/>
        <v>2</v>
      </c>
      <c r="K1851" s="1">
        <v>2</v>
      </c>
      <c r="L1851" s="1" t="s">
        <v>74</v>
      </c>
      <c r="M1851" s="1" t="str">
        <f>"上海 上海市 青浦区 "</f>
        <v xml:space="preserve">上海 上海市 青浦区 </v>
      </c>
      <c r="N1851" s="1" t="str">
        <f t="shared" si="564"/>
        <v>凡华云仓-城南圆通-微信视频号</v>
      </c>
      <c r="O1851" s="5" t="s">
        <v>1888</v>
      </c>
      <c r="P1851" s="6">
        <v>0.17</v>
      </c>
      <c r="Q1851" s="11">
        <v>2</v>
      </c>
      <c r="R1851" s="11"/>
      <c r="S1851" s="11"/>
      <c r="T1851" s="11"/>
      <c r="U1851" s="11">
        <f t="shared" si="561"/>
        <v>2</v>
      </c>
      <c r="W1851">
        <v>2.2000000000000002</v>
      </c>
      <c r="X1851" s="1" t="s">
        <v>74</v>
      </c>
    </row>
    <row r="1852" spans="1:24" x14ac:dyDescent="0.25">
      <c r="A1852" s="1" t="str">
        <f t="shared" si="557"/>
        <v>卡卡杜-凤凰仓</v>
      </c>
      <c r="B1852" s="1" t="str">
        <f>"CK20241028385"</f>
        <v>CK20241028385</v>
      </c>
      <c r="C1852" s="1" t="str">
        <f>"DD2024102819918"</f>
        <v>DD2024102819918</v>
      </c>
      <c r="D1852" s="1" t="str">
        <f>"CK202410289604"</f>
        <v>CK202410289604</v>
      </c>
      <c r="E1852" s="1" t="str">
        <f>"3723606712816372736"</f>
        <v>3723606712816372736</v>
      </c>
      <c r="F1852" s="1" t="str">
        <f t="shared" si="558"/>
        <v>花都四部-凤凰仓</v>
      </c>
      <c r="G1852" s="1" t="str">
        <f t="shared" si="562"/>
        <v>卡卡杜企业店（视频号）</v>
      </c>
      <c r="H1852" s="1" t="str">
        <f t="shared" si="559"/>
        <v>正常订单</v>
      </c>
      <c r="I1852" s="1" t="str">
        <f t="shared" si="560"/>
        <v>已发货</v>
      </c>
      <c r="J1852" s="1" t="str">
        <f t="shared" si="563"/>
        <v>2</v>
      </c>
      <c r="K1852" s="1">
        <v>2</v>
      </c>
      <c r="L1852" s="1" t="s">
        <v>30</v>
      </c>
      <c r="M1852" s="1" t="str">
        <f>"山东省 滨州市 滨城区 "</f>
        <v xml:space="preserve">山东省 滨州市 滨城区 </v>
      </c>
      <c r="N1852" s="1" t="str">
        <f t="shared" si="564"/>
        <v>凡华云仓-城南圆通-微信视频号</v>
      </c>
      <c r="O1852" s="5" t="s">
        <v>1889</v>
      </c>
      <c r="P1852" s="6">
        <v>0.17</v>
      </c>
      <c r="Q1852" s="11">
        <v>2</v>
      </c>
      <c r="R1852" s="11"/>
      <c r="S1852" s="11"/>
      <c r="T1852" s="11"/>
      <c r="U1852" s="11">
        <f t="shared" si="561"/>
        <v>2</v>
      </c>
      <c r="W1852">
        <v>2.2000000000000002</v>
      </c>
      <c r="X1852" s="1" t="s">
        <v>30</v>
      </c>
    </row>
    <row r="1853" spans="1:24" x14ac:dyDescent="0.25">
      <c r="A1853" s="1" t="str">
        <f t="shared" si="557"/>
        <v>卡卡杜-凤凰仓</v>
      </c>
      <c r="B1853" s="1" t="str">
        <f>"CK20241028384"</f>
        <v>CK20241028384</v>
      </c>
      <c r="C1853" s="1" t="str">
        <f>"DD2024102819917"</f>
        <v>DD2024102819917</v>
      </c>
      <c r="D1853" s="1" t="str">
        <f>"CK202410289603"</f>
        <v>CK202410289603</v>
      </c>
      <c r="E1853" s="1" t="str">
        <f>"3723606779660471296"</f>
        <v>3723606779660471296</v>
      </c>
      <c r="F1853" s="1" t="str">
        <f t="shared" si="558"/>
        <v>花都四部-凤凰仓</v>
      </c>
      <c r="G1853" s="1" t="str">
        <f t="shared" si="562"/>
        <v>卡卡杜企业店（视频号）</v>
      </c>
      <c r="H1853" s="1" t="str">
        <f t="shared" si="559"/>
        <v>正常订单</v>
      </c>
      <c r="I1853" s="1" t="str">
        <f t="shared" si="560"/>
        <v>已发货</v>
      </c>
      <c r="J1853" s="1" t="str">
        <f t="shared" si="563"/>
        <v>2</v>
      </c>
      <c r="K1853" s="1">
        <v>2</v>
      </c>
      <c r="L1853" s="1" t="s">
        <v>218</v>
      </c>
      <c r="M1853" s="1" t="str">
        <f>"天津 天津市 南开区 "</f>
        <v xml:space="preserve">天津 天津市 南开区 </v>
      </c>
      <c r="N1853" s="1" t="str">
        <f t="shared" si="564"/>
        <v>凡华云仓-城南圆通-微信视频号</v>
      </c>
      <c r="O1853" s="5" t="s">
        <v>1890</v>
      </c>
      <c r="P1853" s="6">
        <v>0.17</v>
      </c>
      <c r="Q1853" s="11">
        <v>2</v>
      </c>
      <c r="R1853" s="11"/>
      <c r="S1853" s="11"/>
      <c r="T1853" s="11"/>
      <c r="U1853" s="11">
        <f t="shared" si="561"/>
        <v>2</v>
      </c>
      <c r="W1853">
        <v>2.2000000000000002</v>
      </c>
      <c r="X1853" s="1" t="s">
        <v>218</v>
      </c>
    </row>
    <row r="1854" spans="1:24" x14ac:dyDescent="0.25">
      <c r="A1854" s="1" t="str">
        <f t="shared" si="557"/>
        <v>卡卡杜-凤凰仓</v>
      </c>
      <c r="B1854" s="1" t="str">
        <f>"CK20241028383"</f>
        <v>CK20241028383</v>
      </c>
      <c r="C1854" s="1" t="str">
        <f>"DD2024102819916"</f>
        <v>DD2024102819916</v>
      </c>
      <c r="D1854" s="1" t="str">
        <f>"CK202410289602"</f>
        <v>CK202410289602</v>
      </c>
      <c r="E1854" s="1" t="str">
        <f>"3723606803504566273"</f>
        <v>3723606803504566273</v>
      </c>
      <c r="F1854" s="1" t="str">
        <f t="shared" si="558"/>
        <v>花都四部-凤凰仓</v>
      </c>
      <c r="G1854" s="1" t="str">
        <f t="shared" si="562"/>
        <v>卡卡杜企业店（视频号）</v>
      </c>
      <c r="H1854" s="1" t="str">
        <f t="shared" si="559"/>
        <v>正常订单</v>
      </c>
      <c r="I1854" s="1" t="str">
        <f t="shared" si="560"/>
        <v>已发货</v>
      </c>
      <c r="J1854" s="1" t="str">
        <f t="shared" si="563"/>
        <v>2</v>
      </c>
      <c r="K1854" s="1">
        <v>2</v>
      </c>
      <c r="L1854" s="1" t="s">
        <v>54</v>
      </c>
      <c r="M1854" s="1" t="str">
        <f>"黑龙江省 哈尔滨市 松北区 "</f>
        <v xml:space="preserve">黑龙江省 哈尔滨市 松北区 </v>
      </c>
      <c r="N1854" s="1" t="str">
        <f t="shared" si="564"/>
        <v>凡华云仓-城南圆通-微信视频号</v>
      </c>
      <c r="O1854" s="5" t="s">
        <v>1891</v>
      </c>
      <c r="P1854" s="6">
        <v>0.17</v>
      </c>
      <c r="Q1854" s="11">
        <v>2</v>
      </c>
      <c r="R1854" s="11"/>
      <c r="S1854" s="11"/>
      <c r="T1854" s="11"/>
      <c r="U1854" s="11">
        <f t="shared" si="561"/>
        <v>2</v>
      </c>
      <c r="W1854">
        <v>2.2000000000000002</v>
      </c>
      <c r="X1854" s="1" t="s">
        <v>54</v>
      </c>
    </row>
    <row r="1855" spans="1:24" x14ac:dyDescent="0.25">
      <c r="A1855" s="1" t="str">
        <f t="shared" si="557"/>
        <v>卡卡杜-凤凰仓</v>
      </c>
      <c r="B1855" s="1" t="str">
        <f>"CK20241028382"</f>
        <v>CK20241028382</v>
      </c>
      <c r="C1855" s="1" t="str">
        <f>"DD2024102819915"</f>
        <v>DD2024102819915</v>
      </c>
      <c r="D1855" s="1" t="str">
        <f>"CK202410289601"</f>
        <v>CK202410289601</v>
      </c>
      <c r="E1855" s="1" t="str">
        <f>"3723606949404476928"</f>
        <v>3723606949404476928</v>
      </c>
      <c r="F1855" s="1" t="str">
        <f t="shared" si="558"/>
        <v>花都四部-凤凰仓</v>
      </c>
      <c r="G1855" s="1" t="str">
        <f t="shared" si="562"/>
        <v>卡卡杜企业店（视频号）</v>
      </c>
      <c r="H1855" s="1" t="str">
        <f t="shared" si="559"/>
        <v>正常订单</v>
      </c>
      <c r="I1855" s="1" t="str">
        <f t="shared" si="560"/>
        <v>已发货</v>
      </c>
      <c r="J1855" s="1" t="str">
        <f t="shared" si="563"/>
        <v>2</v>
      </c>
      <c r="K1855" s="1">
        <v>2</v>
      </c>
      <c r="L1855" s="1" t="s">
        <v>1111</v>
      </c>
      <c r="M1855" s="1" t="str">
        <f>"青海省 西宁市 城北区 "</f>
        <v xml:space="preserve">青海省 西宁市 城北区 </v>
      </c>
      <c r="N1855" s="1" t="str">
        <f t="shared" si="564"/>
        <v>凡华云仓-城南圆通-微信视频号</v>
      </c>
      <c r="O1855" s="5" t="s">
        <v>1892</v>
      </c>
      <c r="P1855" s="6">
        <v>0.17</v>
      </c>
      <c r="Q1855" s="11">
        <v>2</v>
      </c>
      <c r="R1855" s="11"/>
      <c r="S1855" s="11"/>
      <c r="T1855" s="11"/>
      <c r="U1855" s="11">
        <f t="shared" si="561"/>
        <v>2</v>
      </c>
      <c r="W1855">
        <v>2.2000000000000002</v>
      </c>
      <c r="X1855" s="1" t="s">
        <v>1111</v>
      </c>
    </row>
    <row r="1856" spans="1:24" x14ac:dyDescent="0.25">
      <c r="A1856" s="1" t="str">
        <f t="shared" si="557"/>
        <v>卡卡杜-凤凰仓</v>
      </c>
      <c r="B1856" s="1" t="str">
        <f>"CK20241028381"</f>
        <v>CK20241028381</v>
      </c>
      <c r="C1856" s="1" t="str">
        <f>"DD2024102819914"</f>
        <v>DD2024102819914</v>
      </c>
      <c r="D1856" s="1" t="str">
        <f>"CK202410289600"</f>
        <v>CK202410289600</v>
      </c>
      <c r="E1856" s="1" t="str">
        <f>"3723607076973972480"</f>
        <v>3723607076973972480</v>
      </c>
      <c r="F1856" s="1" t="str">
        <f t="shared" si="558"/>
        <v>花都四部-凤凰仓</v>
      </c>
      <c r="G1856" s="1" t="str">
        <f t="shared" si="562"/>
        <v>卡卡杜企业店（视频号）</v>
      </c>
      <c r="H1856" s="1" t="str">
        <f t="shared" si="559"/>
        <v>正常订单</v>
      </c>
      <c r="I1856" s="1" t="str">
        <f t="shared" si="560"/>
        <v>已发货</v>
      </c>
      <c r="J1856" s="1" t="str">
        <f t="shared" si="563"/>
        <v>2</v>
      </c>
      <c r="K1856" s="1">
        <v>2</v>
      </c>
      <c r="L1856" s="1" t="s">
        <v>32</v>
      </c>
      <c r="M1856" s="1" t="str">
        <f>"陕西省 汉中市 汉台区 "</f>
        <v xml:space="preserve">陕西省 汉中市 汉台区 </v>
      </c>
      <c r="N1856" s="1" t="str">
        <f t="shared" si="564"/>
        <v>凡华云仓-城南圆通-微信视频号</v>
      </c>
      <c r="O1856" s="5" t="s">
        <v>1893</v>
      </c>
      <c r="P1856" s="6">
        <v>0.17</v>
      </c>
      <c r="Q1856" s="11">
        <v>2</v>
      </c>
      <c r="R1856" s="11"/>
      <c r="S1856" s="11"/>
      <c r="T1856" s="11"/>
      <c r="U1856" s="11">
        <f t="shared" si="561"/>
        <v>2</v>
      </c>
      <c r="W1856">
        <v>2.2000000000000002</v>
      </c>
      <c r="X1856" s="1" t="s">
        <v>32</v>
      </c>
    </row>
    <row r="1857" spans="1:24" x14ac:dyDescent="0.25">
      <c r="A1857" s="1" t="str">
        <f t="shared" si="557"/>
        <v>卡卡杜-凤凰仓</v>
      </c>
      <c r="B1857" s="1" t="str">
        <f>"CK20241028380"</f>
        <v>CK20241028380</v>
      </c>
      <c r="C1857" s="1" t="str">
        <f>"DD2024102819913"</f>
        <v>DD2024102819913</v>
      </c>
      <c r="D1857" s="1" t="str">
        <f>"CK202410289599"</f>
        <v>CK202410289599</v>
      </c>
      <c r="E1857" s="1" t="str">
        <f>"3723607080820675584"</f>
        <v>3723607080820675584</v>
      </c>
      <c r="F1857" s="1" t="str">
        <f t="shared" si="558"/>
        <v>花都四部-凤凰仓</v>
      </c>
      <c r="G1857" s="1" t="str">
        <f t="shared" si="562"/>
        <v>卡卡杜企业店（视频号）</v>
      </c>
      <c r="H1857" s="1" t="str">
        <f t="shared" si="559"/>
        <v>正常订单</v>
      </c>
      <c r="I1857" s="1" t="str">
        <f t="shared" si="560"/>
        <v>已发货</v>
      </c>
      <c r="J1857" s="1" t="str">
        <f t="shared" si="563"/>
        <v>2</v>
      </c>
      <c r="K1857" s="1">
        <v>2</v>
      </c>
      <c r="L1857" s="1" t="s">
        <v>74</v>
      </c>
      <c r="M1857" s="1" t="str">
        <f>"上海 上海市 长宁区 "</f>
        <v xml:space="preserve">上海 上海市 长宁区 </v>
      </c>
      <c r="N1857" s="1" t="str">
        <f t="shared" si="564"/>
        <v>凡华云仓-城南圆通-微信视频号</v>
      </c>
      <c r="O1857" s="5" t="s">
        <v>1894</v>
      </c>
      <c r="P1857" s="6">
        <v>0.17</v>
      </c>
      <c r="Q1857" s="11">
        <v>2</v>
      </c>
      <c r="R1857" s="11"/>
      <c r="S1857" s="11"/>
      <c r="T1857" s="11"/>
      <c r="U1857" s="11">
        <f t="shared" si="561"/>
        <v>2</v>
      </c>
      <c r="W1857">
        <v>2.2000000000000002</v>
      </c>
      <c r="X1857" s="1" t="s">
        <v>74</v>
      </c>
    </row>
    <row r="1858" spans="1:24" x14ac:dyDescent="0.25">
      <c r="A1858" s="1" t="str">
        <f t="shared" ref="A1858:A1921" si="565">"卡卡杜-凤凰仓"</f>
        <v>卡卡杜-凤凰仓</v>
      </c>
      <c r="B1858" s="1" t="str">
        <f>"CK20241028379"</f>
        <v>CK20241028379</v>
      </c>
      <c r="C1858" s="1" t="str">
        <f>"DD2024102819912"</f>
        <v>DD2024102819912</v>
      </c>
      <c r="D1858" s="1" t="str">
        <f>"CK202410289598"</f>
        <v>CK202410289598</v>
      </c>
      <c r="E1858" s="1" t="str">
        <f>"3723607081729787393"</f>
        <v>3723607081729787393</v>
      </c>
      <c r="F1858" s="1" t="str">
        <f t="shared" ref="F1858:F1921" si="566">"花都四部-凤凰仓"</f>
        <v>花都四部-凤凰仓</v>
      </c>
      <c r="G1858" s="1" t="str">
        <f t="shared" si="562"/>
        <v>卡卡杜企业店（视频号）</v>
      </c>
      <c r="H1858" s="1" t="str">
        <f t="shared" ref="H1858:H1921" si="567">"正常订单"</f>
        <v>正常订单</v>
      </c>
      <c r="I1858" s="1" t="str">
        <f t="shared" ref="I1858:I1921" si="568">"已发货"</f>
        <v>已发货</v>
      </c>
      <c r="J1858" s="1" t="str">
        <f t="shared" si="563"/>
        <v>2</v>
      </c>
      <c r="K1858" s="1">
        <v>2</v>
      </c>
      <c r="L1858" s="1" t="s">
        <v>161</v>
      </c>
      <c r="M1858" s="1" t="str">
        <f>"四川省 成都市 龙泉驿区 "</f>
        <v xml:space="preserve">四川省 成都市 龙泉驿区 </v>
      </c>
      <c r="N1858" s="1" t="str">
        <f t="shared" si="564"/>
        <v>凡华云仓-城南圆通-微信视频号</v>
      </c>
      <c r="O1858" s="5" t="s">
        <v>1895</v>
      </c>
      <c r="P1858" s="6">
        <v>0.17</v>
      </c>
      <c r="Q1858" s="11">
        <v>2</v>
      </c>
      <c r="R1858" s="11"/>
      <c r="S1858" s="11"/>
      <c r="T1858" s="11"/>
      <c r="U1858" s="11">
        <f t="shared" si="561"/>
        <v>2</v>
      </c>
      <c r="W1858">
        <v>2.2000000000000002</v>
      </c>
      <c r="X1858" s="1" t="s">
        <v>161</v>
      </c>
    </row>
    <row r="1859" spans="1:24" x14ac:dyDescent="0.25">
      <c r="A1859" s="1" t="str">
        <f t="shared" si="565"/>
        <v>卡卡杜-凤凰仓</v>
      </c>
      <c r="B1859" s="1" t="str">
        <f>"CK20241028378"</f>
        <v>CK20241028378</v>
      </c>
      <c r="C1859" s="1" t="str">
        <f>"DD2024102819911"</f>
        <v>DD2024102819911</v>
      </c>
      <c r="D1859" s="1" t="str">
        <f>"CK202410289597"</f>
        <v>CK202410289597</v>
      </c>
      <c r="E1859" s="1" t="str">
        <f>"3723607080110788608"</f>
        <v>3723607080110788608</v>
      </c>
      <c r="F1859" s="1" t="str">
        <f t="shared" si="566"/>
        <v>花都四部-凤凰仓</v>
      </c>
      <c r="G1859" s="1" t="str">
        <f t="shared" si="562"/>
        <v>卡卡杜企业店（视频号）</v>
      </c>
      <c r="H1859" s="1" t="str">
        <f t="shared" si="567"/>
        <v>正常订单</v>
      </c>
      <c r="I1859" s="1" t="str">
        <f t="shared" si="568"/>
        <v>已发货</v>
      </c>
      <c r="J1859" s="1" t="str">
        <f t="shared" si="563"/>
        <v>2</v>
      </c>
      <c r="K1859" s="1">
        <v>2</v>
      </c>
      <c r="L1859" s="1" t="s">
        <v>16</v>
      </c>
      <c r="M1859" s="1" t="str">
        <f>"河北省 石家庄市 裕华区 "</f>
        <v xml:space="preserve">河北省 石家庄市 裕华区 </v>
      </c>
      <c r="N1859" s="1" t="str">
        <f t="shared" si="564"/>
        <v>凡华云仓-城南圆通-微信视频号</v>
      </c>
      <c r="O1859" s="5" t="s">
        <v>1896</v>
      </c>
      <c r="P1859" s="6">
        <v>0.17</v>
      </c>
      <c r="Q1859" s="11">
        <v>2</v>
      </c>
      <c r="R1859" s="11"/>
      <c r="S1859" s="11"/>
      <c r="T1859" s="11"/>
      <c r="U1859" s="11">
        <f t="shared" ref="U1859:U1922" si="569">T1859+S1859+R1859+Q1859</f>
        <v>2</v>
      </c>
      <c r="W1859">
        <v>2.2000000000000002</v>
      </c>
      <c r="X1859" s="1" t="s">
        <v>16</v>
      </c>
    </row>
    <row r="1860" spans="1:24" x14ac:dyDescent="0.25">
      <c r="A1860" s="1" t="str">
        <f t="shared" si="565"/>
        <v>卡卡杜-凤凰仓</v>
      </c>
      <c r="B1860" s="1" t="str">
        <f>"CK20241028377"</f>
        <v>CK20241028377</v>
      </c>
      <c r="C1860" s="1" t="str">
        <f>"DD2024102819910"</f>
        <v>DD2024102819910</v>
      </c>
      <c r="D1860" s="1" t="str">
        <f>"CK202410289596"</f>
        <v>CK202410289596</v>
      </c>
      <c r="E1860" s="1" t="str">
        <f>"3723607083669652736"</f>
        <v>3723607083669652736</v>
      </c>
      <c r="F1860" s="1" t="str">
        <f t="shared" si="566"/>
        <v>花都四部-凤凰仓</v>
      </c>
      <c r="G1860" s="1" t="str">
        <f t="shared" si="562"/>
        <v>卡卡杜企业店（视频号）</v>
      </c>
      <c r="H1860" s="1" t="str">
        <f t="shared" si="567"/>
        <v>正常订单</v>
      </c>
      <c r="I1860" s="1" t="str">
        <f t="shared" si="568"/>
        <v>已发货</v>
      </c>
      <c r="J1860" s="1" t="str">
        <f t="shared" si="563"/>
        <v>2</v>
      </c>
      <c r="K1860" s="1">
        <v>2</v>
      </c>
      <c r="L1860" s="1" t="s">
        <v>105</v>
      </c>
      <c r="M1860" s="1" t="str">
        <f>"北京 北京市 丰台区 "</f>
        <v xml:space="preserve">北京 北京市 丰台区 </v>
      </c>
      <c r="N1860" s="1" t="str">
        <f t="shared" si="564"/>
        <v>凡华云仓-城南圆通-微信视频号</v>
      </c>
      <c r="O1860" s="5" t="s">
        <v>1897</v>
      </c>
      <c r="P1860" s="6">
        <v>0.17</v>
      </c>
      <c r="Q1860" s="11">
        <v>2</v>
      </c>
      <c r="R1860" s="11"/>
      <c r="S1860" s="11"/>
      <c r="T1860" s="11"/>
      <c r="U1860" s="11">
        <f t="shared" si="569"/>
        <v>2</v>
      </c>
      <c r="W1860">
        <v>2.2000000000000002</v>
      </c>
      <c r="X1860" s="1" t="s">
        <v>105</v>
      </c>
    </row>
    <row r="1861" spans="1:24" x14ac:dyDescent="0.25">
      <c r="A1861" s="1" t="str">
        <f t="shared" si="565"/>
        <v>卡卡杜-凤凰仓</v>
      </c>
      <c r="B1861" s="1" t="str">
        <f>"CK20241028376"</f>
        <v>CK20241028376</v>
      </c>
      <c r="C1861" s="1" t="str">
        <f>"DD2024102819909"</f>
        <v>DD2024102819909</v>
      </c>
      <c r="D1861" s="1" t="str">
        <f>"CK202410289595"</f>
        <v>CK202410289595</v>
      </c>
      <c r="E1861" s="1" t="str">
        <f>"3723607083578164480"</f>
        <v>3723607083578164480</v>
      </c>
      <c r="F1861" s="1" t="str">
        <f t="shared" si="566"/>
        <v>花都四部-凤凰仓</v>
      </c>
      <c r="G1861" s="1" t="str">
        <f t="shared" si="562"/>
        <v>卡卡杜企业店（视频号）</v>
      </c>
      <c r="H1861" s="1" t="str">
        <f t="shared" si="567"/>
        <v>正常订单</v>
      </c>
      <c r="I1861" s="1" t="str">
        <f t="shared" si="568"/>
        <v>已发货</v>
      </c>
      <c r="J1861" s="1" t="str">
        <f t="shared" si="563"/>
        <v>2</v>
      </c>
      <c r="K1861" s="1">
        <v>2</v>
      </c>
      <c r="L1861" s="1" t="s">
        <v>30</v>
      </c>
      <c r="M1861" s="1" t="str">
        <f>"山东省 青岛市 李沧区 "</f>
        <v xml:space="preserve">山东省 青岛市 李沧区 </v>
      </c>
      <c r="N1861" s="1" t="str">
        <f t="shared" si="564"/>
        <v>凡华云仓-城南圆通-微信视频号</v>
      </c>
      <c r="O1861" s="5" t="s">
        <v>1898</v>
      </c>
      <c r="P1861" s="6">
        <v>0.17</v>
      </c>
      <c r="Q1861" s="11">
        <v>2</v>
      </c>
      <c r="R1861" s="11"/>
      <c r="S1861" s="11"/>
      <c r="T1861" s="11"/>
      <c r="U1861" s="11">
        <f t="shared" si="569"/>
        <v>2</v>
      </c>
      <c r="W1861">
        <v>2.2000000000000002</v>
      </c>
      <c r="X1861" s="1" t="s">
        <v>30</v>
      </c>
    </row>
    <row r="1862" spans="1:24" x14ac:dyDescent="0.25">
      <c r="A1862" s="1" t="str">
        <f t="shared" si="565"/>
        <v>卡卡杜-凤凰仓</v>
      </c>
      <c r="B1862" s="1" t="str">
        <f>"CK20241028375"</f>
        <v>CK20241028375</v>
      </c>
      <c r="C1862" s="1" t="str">
        <f>"DD2024102819908"</f>
        <v>DD2024102819908</v>
      </c>
      <c r="D1862" s="1" t="str">
        <f>"CK202410289594"</f>
        <v>CK202410289594</v>
      </c>
      <c r="E1862" s="1" t="str">
        <f>"3723607085516983297"</f>
        <v>3723607085516983297</v>
      </c>
      <c r="F1862" s="1" t="str">
        <f t="shared" si="566"/>
        <v>花都四部-凤凰仓</v>
      </c>
      <c r="G1862" s="1" t="str">
        <f t="shared" si="562"/>
        <v>卡卡杜企业店（视频号）</v>
      </c>
      <c r="H1862" s="1" t="str">
        <f t="shared" si="567"/>
        <v>正常订单</v>
      </c>
      <c r="I1862" s="1" t="str">
        <f t="shared" si="568"/>
        <v>已发货</v>
      </c>
      <c r="J1862" s="1" t="str">
        <f t="shared" si="563"/>
        <v>2</v>
      </c>
      <c r="K1862" s="1">
        <v>2</v>
      </c>
      <c r="L1862" s="1" t="s">
        <v>30</v>
      </c>
      <c r="M1862" s="1" t="str">
        <f>"山东省 青岛市 市北区 "</f>
        <v xml:space="preserve">山东省 青岛市 市北区 </v>
      </c>
      <c r="N1862" s="1" t="str">
        <f t="shared" si="564"/>
        <v>凡华云仓-城南圆通-微信视频号</v>
      </c>
      <c r="O1862" s="5" t="s">
        <v>1899</v>
      </c>
      <c r="P1862" s="6">
        <v>0.17</v>
      </c>
      <c r="Q1862" s="11">
        <v>2</v>
      </c>
      <c r="R1862" s="11"/>
      <c r="S1862" s="11"/>
      <c r="T1862" s="11"/>
      <c r="U1862" s="11">
        <f t="shared" si="569"/>
        <v>2</v>
      </c>
      <c r="W1862">
        <v>2.2000000000000002</v>
      </c>
      <c r="X1862" s="1" t="s">
        <v>30</v>
      </c>
    </row>
    <row r="1863" spans="1:24" x14ac:dyDescent="0.25">
      <c r="A1863" s="1" t="str">
        <f t="shared" si="565"/>
        <v>卡卡杜-凤凰仓</v>
      </c>
      <c r="B1863" s="1" t="str">
        <f>"CK20241028374"</f>
        <v>CK20241028374</v>
      </c>
      <c r="C1863" s="1" t="str">
        <f>"DD2024102819907"</f>
        <v>DD2024102819907</v>
      </c>
      <c r="D1863" s="1" t="str">
        <f>"CK202410289593"</f>
        <v>CK202410289593</v>
      </c>
      <c r="E1863" s="1" t="str">
        <f>"3723607087344390144"</f>
        <v>3723607087344390144</v>
      </c>
      <c r="F1863" s="1" t="str">
        <f t="shared" si="566"/>
        <v>花都四部-凤凰仓</v>
      </c>
      <c r="G1863" s="1" t="str">
        <f t="shared" si="562"/>
        <v>卡卡杜企业店（视频号）</v>
      </c>
      <c r="H1863" s="1" t="str">
        <f t="shared" si="567"/>
        <v>正常订单</v>
      </c>
      <c r="I1863" s="1" t="str">
        <f t="shared" si="568"/>
        <v>已发货</v>
      </c>
      <c r="J1863" s="1" t="str">
        <f t="shared" si="563"/>
        <v>2</v>
      </c>
      <c r="K1863" s="1">
        <v>2</v>
      </c>
      <c r="L1863" s="1" t="s">
        <v>109</v>
      </c>
      <c r="M1863" s="1" t="str">
        <f>"山西省 太原市 万柏林区 "</f>
        <v xml:space="preserve">山西省 太原市 万柏林区 </v>
      </c>
      <c r="N1863" s="1" t="str">
        <f t="shared" si="564"/>
        <v>凡华云仓-城南圆通-微信视频号</v>
      </c>
      <c r="O1863" s="5" t="s">
        <v>1900</v>
      </c>
      <c r="P1863" s="6">
        <v>0.17</v>
      </c>
      <c r="Q1863" s="11">
        <v>2</v>
      </c>
      <c r="R1863" s="11"/>
      <c r="S1863" s="11"/>
      <c r="T1863" s="11"/>
      <c r="U1863" s="11">
        <f t="shared" si="569"/>
        <v>2</v>
      </c>
      <c r="W1863">
        <v>2.2000000000000002</v>
      </c>
      <c r="X1863" s="1" t="s">
        <v>109</v>
      </c>
    </row>
    <row r="1864" spans="1:24" x14ac:dyDescent="0.25">
      <c r="A1864" s="1" t="str">
        <f t="shared" si="565"/>
        <v>卡卡杜-凤凰仓</v>
      </c>
      <c r="B1864" s="1" t="str">
        <f>"CK20241028373"</f>
        <v>CK20241028373</v>
      </c>
      <c r="C1864" s="1" t="str">
        <f>"DD2024102819906"</f>
        <v>DD2024102819906</v>
      </c>
      <c r="D1864" s="1" t="str">
        <f>"CK202410289592"</f>
        <v>CK202410289592</v>
      </c>
      <c r="E1864" s="1" t="str">
        <f>"3723607089551118336"</f>
        <v>3723607089551118336</v>
      </c>
      <c r="F1864" s="1" t="str">
        <f t="shared" si="566"/>
        <v>花都四部-凤凰仓</v>
      </c>
      <c r="G1864" s="1" t="str">
        <f t="shared" si="562"/>
        <v>卡卡杜企业店（视频号）</v>
      </c>
      <c r="H1864" s="1" t="str">
        <f t="shared" si="567"/>
        <v>正常订单</v>
      </c>
      <c r="I1864" s="1" t="str">
        <f t="shared" si="568"/>
        <v>已发货</v>
      </c>
      <c r="J1864" s="1" t="str">
        <f t="shared" si="563"/>
        <v>2</v>
      </c>
      <c r="K1864" s="1">
        <v>2</v>
      </c>
      <c r="L1864" s="1" t="s">
        <v>94</v>
      </c>
      <c r="M1864" s="1" t="str">
        <f>"湖南省 长沙市 岳麓区 "</f>
        <v xml:space="preserve">湖南省 长沙市 岳麓区 </v>
      </c>
      <c r="N1864" s="1" t="str">
        <f t="shared" si="564"/>
        <v>凡华云仓-城南圆通-微信视频号</v>
      </c>
      <c r="O1864" s="5" t="s">
        <v>1901</v>
      </c>
      <c r="P1864" s="6">
        <v>0.17</v>
      </c>
      <c r="Q1864" s="11">
        <v>2</v>
      </c>
      <c r="R1864" s="11"/>
      <c r="S1864" s="11"/>
      <c r="T1864" s="11"/>
      <c r="U1864" s="11">
        <f t="shared" si="569"/>
        <v>2</v>
      </c>
      <c r="W1864">
        <v>2.2000000000000002</v>
      </c>
      <c r="X1864" s="1" t="s">
        <v>94</v>
      </c>
    </row>
    <row r="1865" spans="1:24" x14ac:dyDescent="0.25">
      <c r="A1865" s="1" t="str">
        <f t="shared" si="565"/>
        <v>卡卡杜-凤凰仓</v>
      </c>
      <c r="B1865" s="1" t="str">
        <f>"CK20241028372"</f>
        <v>CK20241028372</v>
      </c>
      <c r="C1865" s="1" t="str">
        <f>"DD2024102819905"</f>
        <v>DD2024102819905</v>
      </c>
      <c r="D1865" s="1" t="str">
        <f>"CK202410289591"</f>
        <v>CK202410289591</v>
      </c>
      <c r="E1865" s="1" t="str">
        <f>"3723607087545979905"</f>
        <v>3723607087545979905</v>
      </c>
      <c r="F1865" s="1" t="str">
        <f t="shared" si="566"/>
        <v>花都四部-凤凰仓</v>
      </c>
      <c r="G1865" s="1" t="str">
        <f t="shared" si="562"/>
        <v>卡卡杜企业店（视频号）</v>
      </c>
      <c r="H1865" s="1" t="str">
        <f t="shared" si="567"/>
        <v>正常订单</v>
      </c>
      <c r="I1865" s="1" t="str">
        <f t="shared" si="568"/>
        <v>已发货</v>
      </c>
      <c r="J1865" s="1" t="str">
        <f t="shared" si="563"/>
        <v>2</v>
      </c>
      <c r="K1865" s="1">
        <v>2</v>
      </c>
      <c r="L1865" s="1" t="s">
        <v>80</v>
      </c>
      <c r="M1865" s="1" t="str">
        <f>"河南省 许昌市 魏都区 "</f>
        <v xml:space="preserve">河南省 许昌市 魏都区 </v>
      </c>
      <c r="N1865" s="1" t="str">
        <f t="shared" si="564"/>
        <v>凡华云仓-城南圆通-微信视频号</v>
      </c>
      <c r="O1865" s="5" t="s">
        <v>1902</v>
      </c>
      <c r="P1865" s="6">
        <v>0.17</v>
      </c>
      <c r="Q1865" s="11">
        <v>2</v>
      </c>
      <c r="R1865" s="11"/>
      <c r="S1865" s="11"/>
      <c r="T1865" s="11"/>
      <c r="U1865" s="11">
        <f t="shared" si="569"/>
        <v>2</v>
      </c>
      <c r="W1865">
        <v>2.2000000000000002</v>
      </c>
      <c r="X1865" s="1" t="s">
        <v>80</v>
      </c>
    </row>
    <row r="1866" spans="1:24" x14ac:dyDescent="0.25">
      <c r="A1866" s="1" t="str">
        <f t="shared" si="565"/>
        <v>卡卡杜-凤凰仓</v>
      </c>
      <c r="B1866" s="1" t="str">
        <f>"CK20241028371"</f>
        <v>CK20241028371</v>
      </c>
      <c r="C1866" s="1" t="str">
        <f>"DD2024102819904"</f>
        <v>DD2024102819904</v>
      </c>
      <c r="D1866" s="1" t="str">
        <f>"CK202410289590"</f>
        <v>CK202410289590</v>
      </c>
      <c r="E1866" s="1" t="str">
        <f>"3723607090657104897"</f>
        <v>3723607090657104897</v>
      </c>
      <c r="F1866" s="1" t="str">
        <f t="shared" si="566"/>
        <v>花都四部-凤凰仓</v>
      </c>
      <c r="G1866" s="1" t="str">
        <f t="shared" si="562"/>
        <v>卡卡杜企业店（视频号）</v>
      </c>
      <c r="H1866" s="1" t="str">
        <f t="shared" si="567"/>
        <v>正常订单</v>
      </c>
      <c r="I1866" s="1" t="str">
        <f t="shared" si="568"/>
        <v>已发货</v>
      </c>
      <c r="J1866" s="1" t="str">
        <f t="shared" si="563"/>
        <v>2</v>
      </c>
      <c r="K1866" s="1">
        <v>2</v>
      </c>
      <c r="L1866" s="1" t="s">
        <v>74</v>
      </c>
      <c r="M1866" s="1" t="str">
        <f>"上海 上海市 浦东新区 "</f>
        <v xml:space="preserve">上海 上海市 浦东新区 </v>
      </c>
      <c r="N1866" s="1" t="str">
        <f t="shared" si="564"/>
        <v>凡华云仓-城南圆通-微信视频号</v>
      </c>
      <c r="O1866" s="5" t="s">
        <v>1903</v>
      </c>
      <c r="P1866" s="6">
        <v>0.17</v>
      </c>
      <c r="Q1866" s="11">
        <v>2</v>
      </c>
      <c r="R1866" s="11"/>
      <c r="S1866" s="11"/>
      <c r="T1866" s="11"/>
      <c r="U1866" s="11">
        <f t="shared" si="569"/>
        <v>2</v>
      </c>
      <c r="W1866">
        <v>2.2000000000000002</v>
      </c>
      <c r="X1866" s="1" t="s">
        <v>74</v>
      </c>
    </row>
    <row r="1867" spans="1:24" x14ac:dyDescent="0.25">
      <c r="A1867" s="1" t="str">
        <f t="shared" si="565"/>
        <v>卡卡杜-凤凰仓</v>
      </c>
      <c r="B1867" s="1" t="str">
        <f>"CK20241028363"</f>
        <v>CK20241028363</v>
      </c>
      <c r="C1867" s="1" t="str">
        <f>"DD2024102819903"</f>
        <v>DD2024102819903</v>
      </c>
      <c r="D1867" s="1" t="str">
        <f>"CK202410289589"</f>
        <v>CK202410289589</v>
      </c>
      <c r="E1867" s="1" t="str">
        <f>"3723607115821356032"</f>
        <v>3723607115821356032</v>
      </c>
      <c r="F1867" s="1" t="str">
        <f t="shared" si="566"/>
        <v>花都四部-凤凰仓</v>
      </c>
      <c r="G1867" s="1" t="str">
        <f t="shared" si="562"/>
        <v>卡卡杜企业店（视频号）</v>
      </c>
      <c r="H1867" s="1" t="str">
        <f t="shared" si="567"/>
        <v>正常订单</v>
      </c>
      <c r="I1867" s="1" t="str">
        <f t="shared" si="568"/>
        <v>已发货</v>
      </c>
      <c r="J1867" s="1" t="str">
        <f t="shared" si="563"/>
        <v>2</v>
      </c>
      <c r="K1867" s="1">
        <v>2</v>
      </c>
      <c r="L1867" s="1" t="s">
        <v>109</v>
      </c>
      <c r="M1867" s="1" t="str">
        <f>"山西省 晋中市 榆次区 "</f>
        <v xml:space="preserve">山西省 晋中市 榆次区 </v>
      </c>
      <c r="N1867" s="1" t="str">
        <f t="shared" si="564"/>
        <v>凡华云仓-城南圆通-微信视频号</v>
      </c>
      <c r="O1867" s="5" t="s">
        <v>1904</v>
      </c>
      <c r="P1867" s="6">
        <v>0.17</v>
      </c>
      <c r="Q1867" s="11">
        <v>2</v>
      </c>
      <c r="R1867" s="11"/>
      <c r="S1867" s="11"/>
      <c r="T1867" s="11"/>
      <c r="U1867" s="11">
        <f t="shared" si="569"/>
        <v>2</v>
      </c>
      <c r="W1867">
        <v>2.2000000000000002</v>
      </c>
      <c r="X1867" s="1" t="s">
        <v>109</v>
      </c>
    </row>
    <row r="1868" spans="1:24" x14ac:dyDescent="0.25">
      <c r="A1868" s="1" t="str">
        <f t="shared" si="565"/>
        <v>卡卡杜-凤凰仓</v>
      </c>
      <c r="B1868" s="1" t="str">
        <f>"CK20241028370"</f>
        <v>CK20241028370</v>
      </c>
      <c r="C1868" s="1" t="str">
        <f>"DD2024102819902"</f>
        <v>DD2024102819902</v>
      </c>
      <c r="D1868" s="1" t="str">
        <f>"CK202410289588"</f>
        <v>CK202410289588</v>
      </c>
      <c r="E1868" s="1" t="str">
        <f>"3723607095847814400"</f>
        <v>3723607095847814400</v>
      </c>
      <c r="F1868" s="1" t="str">
        <f t="shared" si="566"/>
        <v>花都四部-凤凰仓</v>
      </c>
      <c r="G1868" s="1" t="str">
        <f t="shared" si="562"/>
        <v>卡卡杜企业店（视频号）</v>
      </c>
      <c r="H1868" s="1" t="str">
        <f t="shared" si="567"/>
        <v>正常订单</v>
      </c>
      <c r="I1868" s="1" t="str">
        <f t="shared" si="568"/>
        <v>已发货</v>
      </c>
      <c r="J1868" s="1" t="str">
        <f t="shared" si="563"/>
        <v>2</v>
      </c>
      <c r="K1868" s="1">
        <v>2</v>
      </c>
      <c r="L1868" s="1" t="s">
        <v>18</v>
      </c>
      <c r="M1868" s="1" t="str">
        <f>"广东省 广州市 花都区 "</f>
        <v xml:space="preserve">广东省 广州市 花都区 </v>
      </c>
      <c r="N1868" s="1" t="str">
        <f t="shared" si="564"/>
        <v>凡华云仓-城南圆通-微信视频号</v>
      </c>
      <c r="O1868" s="5" t="s">
        <v>1905</v>
      </c>
      <c r="P1868" s="6">
        <v>0.17</v>
      </c>
      <c r="Q1868" s="11">
        <v>2</v>
      </c>
      <c r="R1868" s="11"/>
      <c r="S1868" s="11"/>
      <c r="T1868" s="11"/>
      <c r="U1868" s="11">
        <f t="shared" si="569"/>
        <v>2</v>
      </c>
      <c r="W1868">
        <v>2.2000000000000002</v>
      </c>
      <c r="X1868" s="1" t="s">
        <v>18</v>
      </c>
    </row>
    <row r="1869" spans="1:24" x14ac:dyDescent="0.25">
      <c r="A1869" s="1" t="str">
        <f t="shared" si="565"/>
        <v>卡卡杜-凤凰仓</v>
      </c>
      <c r="B1869" s="1" t="str">
        <f>"CK20241028369"</f>
        <v>CK20241028369</v>
      </c>
      <c r="C1869" s="1" t="str">
        <f>"DD2024102819901"</f>
        <v>DD2024102819901</v>
      </c>
      <c r="D1869" s="1" t="str">
        <f>"CK202410289587"</f>
        <v>CK202410289587</v>
      </c>
      <c r="E1869" s="1" t="str">
        <f>"3723607097139398144"</f>
        <v>3723607097139398144</v>
      </c>
      <c r="F1869" s="1" t="str">
        <f t="shared" si="566"/>
        <v>花都四部-凤凰仓</v>
      </c>
      <c r="G1869" s="1" t="str">
        <f t="shared" si="562"/>
        <v>卡卡杜企业店（视频号）</v>
      </c>
      <c r="H1869" s="1" t="str">
        <f t="shared" si="567"/>
        <v>正常订单</v>
      </c>
      <c r="I1869" s="1" t="str">
        <f t="shared" si="568"/>
        <v>已发货</v>
      </c>
      <c r="J1869" s="1" t="str">
        <f t="shared" si="563"/>
        <v>2</v>
      </c>
      <c r="K1869" s="1">
        <v>2</v>
      </c>
      <c r="L1869" s="1" t="s">
        <v>94</v>
      </c>
      <c r="M1869" s="1" t="str">
        <f>"湖南省 长沙市 雨花区 "</f>
        <v xml:space="preserve">湖南省 长沙市 雨花区 </v>
      </c>
      <c r="N1869" s="1" t="str">
        <f t="shared" si="564"/>
        <v>凡华云仓-城南圆通-微信视频号</v>
      </c>
      <c r="O1869" s="5" t="s">
        <v>1906</v>
      </c>
      <c r="P1869" s="6">
        <v>0.17</v>
      </c>
      <c r="Q1869" s="11">
        <v>2</v>
      </c>
      <c r="R1869" s="11"/>
      <c r="S1869" s="11"/>
      <c r="T1869" s="11"/>
      <c r="U1869" s="11">
        <f t="shared" si="569"/>
        <v>2</v>
      </c>
      <c r="W1869">
        <v>2.2000000000000002</v>
      </c>
      <c r="X1869" s="1" t="s">
        <v>94</v>
      </c>
    </row>
    <row r="1870" spans="1:24" x14ac:dyDescent="0.25">
      <c r="A1870" s="1" t="str">
        <f t="shared" si="565"/>
        <v>卡卡杜-凤凰仓</v>
      </c>
      <c r="B1870" s="1" t="str">
        <f>"CK20241028366"</f>
        <v>CK20241028366</v>
      </c>
      <c r="C1870" s="1" t="str">
        <f>"DD2024102819900"</f>
        <v>DD2024102819900</v>
      </c>
      <c r="D1870" s="1" t="str">
        <f>"CK202410289586"</f>
        <v>CK202410289586</v>
      </c>
      <c r="E1870" s="1" t="str">
        <f>"3723607108757622784"</f>
        <v>3723607108757622784</v>
      </c>
      <c r="F1870" s="1" t="str">
        <f t="shared" si="566"/>
        <v>花都四部-凤凰仓</v>
      </c>
      <c r="G1870" s="1" t="str">
        <f t="shared" si="562"/>
        <v>卡卡杜企业店（视频号）</v>
      </c>
      <c r="H1870" s="1" t="str">
        <f t="shared" si="567"/>
        <v>正常订单</v>
      </c>
      <c r="I1870" s="1" t="str">
        <f t="shared" si="568"/>
        <v>已发货</v>
      </c>
      <c r="J1870" s="1" t="str">
        <f t="shared" si="563"/>
        <v>2</v>
      </c>
      <c r="K1870" s="1">
        <v>2</v>
      </c>
      <c r="L1870" s="1" t="s">
        <v>18</v>
      </c>
      <c r="M1870" s="1" t="str">
        <f>"广东省 肇庆市 四会市 "</f>
        <v xml:space="preserve">广东省 肇庆市 四会市 </v>
      </c>
      <c r="N1870" s="1" t="str">
        <f t="shared" si="564"/>
        <v>凡华云仓-城南圆通-微信视频号</v>
      </c>
      <c r="O1870" s="5" t="s">
        <v>1907</v>
      </c>
      <c r="P1870" s="6">
        <v>0.17</v>
      </c>
      <c r="Q1870" s="11">
        <v>2</v>
      </c>
      <c r="R1870" s="11"/>
      <c r="S1870" s="11"/>
      <c r="T1870" s="11"/>
      <c r="U1870" s="11">
        <f t="shared" si="569"/>
        <v>2</v>
      </c>
      <c r="W1870">
        <v>2.2000000000000002</v>
      </c>
      <c r="X1870" s="1" t="s">
        <v>18</v>
      </c>
    </row>
    <row r="1871" spans="1:24" x14ac:dyDescent="0.25">
      <c r="A1871" s="1" t="str">
        <f t="shared" si="565"/>
        <v>卡卡杜-凤凰仓</v>
      </c>
      <c r="B1871" s="1" t="str">
        <f>"CK20241028368"</f>
        <v>CK20241028368</v>
      </c>
      <c r="C1871" s="1" t="str">
        <f>"DD2024102819899"</f>
        <v>DD2024102819899</v>
      </c>
      <c r="D1871" s="1" t="str">
        <f>"CK202410289585"</f>
        <v>CK202410289585</v>
      </c>
      <c r="E1871" s="1" t="str">
        <f>"3723607103016145920"</f>
        <v>3723607103016145920</v>
      </c>
      <c r="F1871" s="1" t="str">
        <f t="shared" si="566"/>
        <v>花都四部-凤凰仓</v>
      </c>
      <c r="G1871" s="1" t="str">
        <f t="shared" si="562"/>
        <v>卡卡杜企业店（视频号）</v>
      </c>
      <c r="H1871" s="1" t="str">
        <f t="shared" si="567"/>
        <v>正常订单</v>
      </c>
      <c r="I1871" s="1" t="str">
        <f t="shared" si="568"/>
        <v>已发货</v>
      </c>
      <c r="J1871" s="1" t="str">
        <f t="shared" si="563"/>
        <v>2</v>
      </c>
      <c r="K1871" s="1">
        <v>2</v>
      </c>
      <c r="L1871" s="1" t="s">
        <v>105</v>
      </c>
      <c r="M1871" s="1" t="str">
        <f>"北京 北京市 大兴区 "</f>
        <v xml:space="preserve">北京 北京市 大兴区 </v>
      </c>
      <c r="N1871" s="1" t="str">
        <f t="shared" si="564"/>
        <v>凡华云仓-城南圆通-微信视频号</v>
      </c>
      <c r="O1871" s="5" t="s">
        <v>1908</v>
      </c>
      <c r="P1871" s="6">
        <v>0.17</v>
      </c>
      <c r="Q1871" s="11">
        <v>2</v>
      </c>
      <c r="R1871" s="11"/>
      <c r="S1871" s="11"/>
      <c r="T1871" s="11"/>
      <c r="U1871" s="11">
        <f t="shared" si="569"/>
        <v>2</v>
      </c>
      <c r="W1871">
        <v>2.2000000000000002</v>
      </c>
      <c r="X1871" s="1" t="s">
        <v>105</v>
      </c>
    </row>
    <row r="1872" spans="1:24" x14ac:dyDescent="0.25">
      <c r="A1872" s="1" t="str">
        <f t="shared" si="565"/>
        <v>卡卡杜-凤凰仓</v>
      </c>
      <c r="B1872" s="1" t="str">
        <f>"CK20241028367"</f>
        <v>CK20241028367</v>
      </c>
      <c r="C1872" s="1" t="str">
        <f>"DD2024102819898"</f>
        <v>DD2024102819898</v>
      </c>
      <c r="D1872" s="1" t="str">
        <f>"CK202410289584"</f>
        <v>CK202410289584</v>
      </c>
      <c r="E1872" s="1" t="str">
        <f>"3723607105474793472"</f>
        <v>3723607105474793472</v>
      </c>
      <c r="F1872" s="1" t="str">
        <f t="shared" si="566"/>
        <v>花都四部-凤凰仓</v>
      </c>
      <c r="G1872" s="1" t="str">
        <f t="shared" si="562"/>
        <v>卡卡杜企业店（视频号）</v>
      </c>
      <c r="H1872" s="1" t="str">
        <f t="shared" si="567"/>
        <v>正常订单</v>
      </c>
      <c r="I1872" s="1" t="str">
        <f t="shared" si="568"/>
        <v>已发货</v>
      </c>
      <c r="J1872" s="1" t="str">
        <f t="shared" si="563"/>
        <v>2</v>
      </c>
      <c r="K1872" s="1">
        <v>2</v>
      </c>
      <c r="L1872" s="1" t="s">
        <v>30</v>
      </c>
      <c r="M1872" s="1" t="str">
        <f>"山东省 青岛市 市北区 "</f>
        <v xml:space="preserve">山东省 青岛市 市北区 </v>
      </c>
      <c r="N1872" s="1" t="str">
        <f t="shared" si="564"/>
        <v>凡华云仓-城南圆通-微信视频号</v>
      </c>
      <c r="O1872" s="5" t="s">
        <v>1909</v>
      </c>
      <c r="P1872" s="6">
        <v>0.17</v>
      </c>
      <c r="Q1872" s="11">
        <v>2</v>
      </c>
      <c r="R1872" s="11"/>
      <c r="S1872" s="11"/>
      <c r="T1872" s="11"/>
      <c r="U1872" s="11">
        <f t="shared" si="569"/>
        <v>2</v>
      </c>
      <c r="W1872">
        <v>2.2000000000000002</v>
      </c>
      <c r="X1872" s="1" t="s">
        <v>30</v>
      </c>
    </row>
    <row r="1873" spans="1:24" x14ac:dyDescent="0.25">
      <c r="A1873" s="1" t="str">
        <f t="shared" si="565"/>
        <v>卡卡杜-凤凰仓</v>
      </c>
      <c r="B1873" s="1" t="str">
        <f>"CK20241028365"</f>
        <v>CK20241028365</v>
      </c>
      <c r="C1873" s="1" t="str">
        <f>"DD2024102819897"</f>
        <v>DD2024102819897</v>
      </c>
      <c r="D1873" s="1" t="str">
        <f>"CK202410289583"</f>
        <v>CK202410289583</v>
      </c>
      <c r="E1873" s="1" t="str">
        <f>"3723607108174352384"</f>
        <v>3723607108174352384</v>
      </c>
      <c r="F1873" s="1" t="str">
        <f t="shared" si="566"/>
        <v>花都四部-凤凰仓</v>
      </c>
      <c r="G1873" s="1" t="str">
        <f t="shared" si="562"/>
        <v>卡卡杜企业店（视频号）</v>
      </c>
      <c r="H1873" s="1" t="str">
        <f t="shared" si="567"/>
        <v>正常订单</v>
      </c>
      <c r="I1873" s="1" t="str">
        <f t="shared" si="568"/>
        <v>已发货</v>
      </c>
      <c r="J1873" s="1" t="str">
        <f t="shared" si="563"/>
        <v>2</v>
      </c>
      <c r="K1873" s="1">
        <v>2</v>
      </c>
      <c r="L1873" s="1" t="s">
        <v>105</v>
      </c>
      <c r="M1873" s="1" t="str">
        <f>"北京 北京市 朝阳区 "</f>
        <v xml:space="preserve">北京 北京市 朝阳区 </v>
      </c>
      <c r="N1873" s="1" t="str">
        <f t="shared" si="564"/>
        <v>凡华云仓-城南圆通-微信视频号</v>
      </c>
      <c r="O1873" s="5" t="s">
        <v>1910</v>
      </c>
      <c r="P1873" s="6">
        <v>0.17</v>
      </c>
      <c r="Q1873" s="11">
        <v>2</v>
      </c>
      <c r="R1873" s="11"/>
      <c r="S1873" s="11"/>
      <c r="T1873" s="11"/>
      <c r="U1873" s="11">
        <f t="shared" si="569"/>
        <v>2</v>
      </c>
      <c r="W1873">
        <v>2.2000000000000002</v>
      </c>
      <c r="X1873" s="1" t="s">
        <v>105</v>
      </c>
    </row>
    <row r="1874" spans="1:24" x14ac:dyDescent="0.25">
      <c r="A1874" s="1" t="str">
        <f t="shared" si="565"/>
        <v>卡卡杜-凤凰仓</v>
      </c>
      <c r="B1874" s="1" t="str">
        <f>"CK20241028364"</f>
        <v>CK20241028364</v>
      </c>
      <c r="C1874" s="1" t="str">
        <f>"DD2024102819896"</f>
        <v>DD2024102819896</v>
      </c>
      <c r="D1874" s="1" t="str">
        <f>"CK202410289582"</f>
        <v>CK202410289582</v>
      </c>
      <c r="E1874" s="1" t="str">
        <f>"3723607116676992000"</f>
        <v>3723607116676992000</v>
      </c>
      <c r="F1874" s="1" t="str">
        <f t="shared" si="566"/>
        <v>花都四部-凤凰仓</v>
      </c>
      <c r="G1874" s="1" t="str">
        <f t="shared" si="562"/>
        <v>卡卡杜企业店（视频号）</v>
      </c>
      <c r="H1874" s="1" t="str">
        <f t="shared" si="567"/>
        <v>正常订单</v>
      </c>
      <c r="I1874" s="1" t="str">
        <f t="shared" si="568"/>
        <v>已发货</v>
      </c>
      <c r="J1874" s="1" t="str">
        <f t="shared" si="563"/>
        <v>2</v>
      </c>
      <c r="K1874" s="1">
        <v>2</v>
      </c>
      <c r="L1874" s="1" t="s">
        <v>74</v>
      </c>
      <c r="M1874" s="1" t="str">
        <f>"上海 上海市 嘉定区 "</f>
        <v xml:space="preserve">上海 上海市 嘉定区 </v>
      </c>
      <c r="N1874" s="1" t="str">
        <f t="shared" si="564"/>
        <v>凡华云仓-城南圆通-微信视频号</v>
      </c>
      <c r="O1874" s="5" t="s">
        <v>1911</v>
      </c>
      <c r="P1874" s="6">
        <v>0.17</v>
      </c>
      <c r="Q1874" s="11">
        <v>2</v>
      </c>
      <c r="R1874" s="11"/>
      <c r="S1874" s="11"/>
      <c r="T1874" s="11"/>
      <c r="U1874" s="11">
        <f t="shared" si="569"/>
        <v>2</v>
      </c>
      <c r="W1874">
        <v>2.2000000000000002</v>
      </c>
      <c r="X1874" s="1" t="s">
        <v>74</v>
      </c>
    </row>
    <row r="1875" spans="1:24" x14ac:dyDescent="0.25">
      <c r="A1875" s="1" t="str">
        <f t="shared" si="565"/>
        <v>卡卡杜-凤凰仓</v>
      </c>
      <c r="B1875" s="1" t="str">
        <f>"CK20241028362"</f>
        <v>CK20241028362</v>
      </c>
      <c r="C1875" s="1" t="str">
        <f>"DD2024102819895"</f>
        <v>DD2024102819895</v>
      </c>
      <c r="D1875" s="1" t="str">
        <f>"CK202410289581"</f>
        <v>CK202410289581</v>
      </c>
      <c r="E1875" s="1" t="str">
        <f>"3723607119814591744"</f>
        <v>3723607119814591744</v>
      </c>
      <c r="F1875" s="1" t="str">
        <f t="shared" si="566"/>
        <v>花都四部-凤凰仓</v>
      </c>
      <c r="G1875" s="1" t="str">
        <f t="shared" si="562"/>
        <v>卡卡杜企业店（视频号）</v>
      </c>
      <c r="H1875" s="1" t="str">
        <f t="shared" si="567"/>
        <v>正常订单</v>
      </c>
      <c r="I1875" s="1" t="str">
        <f t="shared" si="568"/>
        <v>已发货</v>
      </c>
      <c r="J1875" s="1" t="str">
        <f t="shared" si="563"/>
        <v>2</v>
      </c>
      <c r="K1875" s="1">
        <v>2</v>
      </c>
      <c r="L1875" s="1" t="s">
        <v>105</v>
      </c>
      <c r="M1875" s="1" t="str">
        <f>"北京 北京市 朝阳区 "</f>
        <v xml:space="preserve">北京 北京市 朝阳区 </v>
      </c>
      <c r="N1875" s="1" t="str">
        <f t="shared" si="564"/>
        <v>凡华云仓-城南圆通-微信视频号</v>
      </c>
      <c r="O1875" s="5" t="s">
        <v>1912</v>
      </c>
      <c r="P1875" s="6">
        <v>0.17</v>
      </c>
      <c r="Q1875" s="11">
        <v>2</v>
      </c>
      <c r="R1875" s="11"/>
      <c r="S1875" s="11"/>
      <c r="T1875" s="11"/>
      <c r="U1875" s="11">
        <f t="shared" si="569"/>
        <v>2</v>
      </c>
      <c r="W1875">
        <v>2.2000000000000002</v>
      </c>
      <c r="X1875" s="1" t="s">
        <v>105</v>
      </c>
    </row>
    <row r="1876" spans="1:24" x14ac:dyDescent="0.25">
      <c r="A1876" s="1" t="str">
        <f t="shared" si="565"/>
        <v>卡卡杜-凤凰仓</v>
      </c>
      <c r="B1876" s="1" t="str">
        <f>"CK20241028361"</f>
        <v>CK20241028361</v>
      </c>
      <c r="C1876" s="1" t="str">
        <f>"DD2024102819894"</f>
        <v>DD2024102819894</v>
      </c>
      <c r="D1876" s="1" t="str">
        <f>"CK202410289580"</f>
        <v>CK202410289580</v>
      </c>
      <c r="E1876" s="1" t="str">
        <f>"3723607120461042688"</f>
        <v>3723607120461042688</v>
      </c>
      <c r="F1876" s="1" t="str">
        <f t="shared" si="566"/>
        <v>花都四部-凤凰仓</v>
      </c>
      <c r="G1876" s="1" t="str">
        <f t="shared" si="562"/>
        <v>卡卡杜企业店（视频号）</v>
      </c>
      <c r="H1876" s="1" t="str">
        <f t="shared" si="567"/>
        <v>正常订单</v>
      </c>
      <c r="I1876" s="1" t="str">
        <f t="shared" si="568"/>
        <v>已发货</v>
      </c>
      <c r="J1876" s="1" t="str">
        <f t="shared" si="563"/>
        <v>2</v>
      </c>
      <c r="K1876" s="1">
        <v>2</v>
      </c>
      <c r="L1876" s="1" t="s">
        <v>105</v>
      </c>
      <c r="M1876" s="1" t="str">
        <f>"北京 北京市 大兴区 "</f>
        <v xml:space="preserve">北京 北京市 大兴区 </v>
      </c>
      <c r="N1876" s="1" t="str">
        <f t="shared" si="564"/>
        <v>凡华云仓-城南圆通-微信视频号</v>
      </c>
      <c r="O1876" s="5" t="s">
        <v>1913</v>
      </c>
      <c r="P1876" s="6">
        <v>0.17</v>
      </c>
      <c r="Q1876" s="11">
        <v>2</v>
      </c>
      <c r="R1876" s="11"/>
      <c r="S1876" s="11"/>
      <c r="T1876" s="11"/>
      <c r="U1876" s="11">
        <f t="shared" si="569"/>
        <v>2</v>
      </c>
      <c r="W1876">
        <v>2.2000000000000002</v>
      </c>
      <c r="X1876" s="1" t="s">
        <v>105</v>
      </c>
    </row>
    <row r="1877" spans="1:24" x14ac:dyDescent="0.25">
      <c r="A1877" s="1" t="str">
        <f t="shared" si="565"/>
        <v>卡卡杜-凤凰仓</v>
      </c>
      <c r="B1877" s="1" t="str">
        <f>"CK20241028360"</f>
        <v>CK20241028360</v>
      </c>
      <c r="C1877" s="1" t="str">
        <f>"DD2024102819893"</f>
        <v>DD2024102819893</v>
      </c>
      <c r="D1877" s="1" t="str">
        <f>"CK202410289579"</f>
        <v>CK202410289579</v>
      </c>
      <c r="E1877" s="1" t="str">
        <f>"3723607129752733184"</f>
        <v>3723607129752733184</v>
      </c>
      <c r="F1877" s="1" t="str">
        <f t="shared" si="566"/>
        <v>花都四部-凤凰仓</v>
      </c>
      <c r="G1877" s="1" t="str">
        <f t="shared" si="562"/>
        <v>卡卡杜企业店（视频号）</v>
      </c>
      <c r="H1877" s="1" t="str">
        <f t="shared" si="567"/>
        <v>正常订单</v>
      </c>
      <c r="I1877" s="1" t="str">
        <f t="shared" si="568"/>
        <v>已发货</v>
      </c>
      <c r="J1877" s="1" t="str">
        <f t="shared" si="563"/>
        <v>2</v>
      </c>
      <c r="K1877" s="1">
        <v>2</v>
      </c>
      <c r="L1877" s="1" t="s">
        <v>161</v>
      </c>
      <c r="M1877" s="1" t="str">
        <f>"四川省 广元市 利州区 "</f>
        <v xml:space="preserve">四川省 广元市 利州区 </v>
      </c>
      <c r="N1877" s="1" t="str">
        <f t="shared" si="564"/>
        <v>凡华云仓-城南圆通-微信视频号</v>
      </c>
      <c r="O1877" s="5" t="s">
        <v>1914</v>
      </c>
      <c r="P1877" s="6">
        <v>0.17</v>
      </c>
      <c r="Q1877" s="11">
        <v>2</v>
      </c>
      <c r="R1877" s="11"/>
      <c r="S1877" s="11"/>
      <c r="T1877" s="11"/>
      <c r="U1877" s="11">
        <f t="shared" si="569"/>
        <v>2</v>
      </c>
      <c r="W1877">
        <v>2.2000000000000002</v>
      </c>
      <c r="X1877" s="1" t="s">
        <v>161</v>
      </c>
    </row>
    <row r="1878" spans="1:24" x14ac:dyDescent="0.25">
      <c r="A1878" s="1" t="str">
        <f t="shared" si="565"/>
        <v>卡卡杜-凤凰仓</v>
      </c>
      <c r="B1878" s="1" t="str">
        <f>"CK20241028357"</f>
        <v>CK20241028357</v>
      </c>
      <c r="C1878" s="1" t="str">
        <f>"DD2024102819892"</f>
        <v>DD2024102819892</v>
      </c>
      <c r="D1878" s="1" t="str">
        <f>"CK202410289578"</f>
        <v>CK202410289578</v>
      </c>
      <c r="E1878" s="1" t="str">
        <f>"3723607139372634112"</f>
        <v>3723607139372634112</v>
      </c>
      <c r="F1878" s="1" t="str">
        <f t="shared" si="566"/>
        <v>花都四部-凤凰仓</v>
      </c>
      <c r="G1878" s="1" t="str">
        <f t="shared" si="562"/>
        <v>卡卡杜企业店（视频号）</v>
      </c>
      <c r="H1878" s="1" t="str">
        <f t="shared" si="567"/>
        <v>正常订单</v>
      </c>
      <c r="I1878" s="1" t="str">
        <f t="shared" si="568"/>
        <v>已发货</v>
      </c>
      <c r="J1878" s="1" t="str">
        <f t="shared" si="563"/>
        <v>2</v>
      </c>
      <c r="K1878" s="1">
        <v>2</v>
      </c>
      <c r="L1878" s="1" t="s">
        <v>13</v>
      </c>
      <c r="M1878" s="1" t="str">
        <f>"江苏省 南京市 栖霞区 "</f>
        <v xml:space="preserve">江苏省 南京市 栖霞区 </v>
      </c>
      <c r="N1878" s="1" t="str">
        <f t="shared" si="564"/>
        <v>凡华云仓-城南圆通-微信视频号</v>
      </c>
      <c r="O1878" s="5" t="s">
        <v>1915</v>
      </c>
      <c r="P1878" s="6">
        <v>0.17</v>
      </c>
      <c r="Q1878" s="11">
        <v>2</v>
      </c>
      <c r="R1878" s="11"/>
      <c r="S1878" s="11"/>
      <c r="T1878" s="11"/>
      <c r="U1878" s="11">
        <f t="shared" si="569"/>
        <v>2</v>
      </c>
      <c r="W1878">
        <v>2.2000000000000002</v>
      </c>
      <c r="X1878" s="1" t="s">
        <v>13</v>
      </c>
    </row>
    <row r="1879" spans="1:24" x14ac:dyDescent="0.25">
      <c r="A1879" s="1" t="str">
        <f t="shared" si="565"/>
        <v>卡卡杜-凤凰仓</v>
      </c>
      <c r="B1879" s="1" t="str">
        <f>"CK20241028358"</f>
        <v>CK20241028358</v>
      </c>
      <c r="C1879" s="1" t="str">
        <f>"DD2024102819891"</f>
        <v>DD2024102819891</v>
      </c>
      <c r="D1879" s="1" t="str">
        <f>"CK202410289577"</f>
        <v>CK202410289577</v>
      </c>
      <c r="E1879" s="1" t="str">
        <f>"3723607137743930624"</f>
        <v>3723607137743930624</v>
      </c>
      <c r="F1879" s="1" t="str">
        <f t="shared" si="566"/>
        <v>花都四部-凤凰仓</v>
      </c>
      <c r="G1879" s="1" t="str">
        <f t="shared" si="562"/>
        <v>卡卡杜企业店（视频号）</v>
      </c>
      <c r="H1879" s="1" t="str">
        <f t="shared" si="567"/>
        <v>正常订单</v>
      </c>
      <c r="I1879" s="1" t="str">
        <f t="shared" si="568"/>
        <v>已发货</v>
      </c>
      <c r="J1879" s="1" t="str">
        <f t="shared" si="563"/>
        <v>2</v>
      </c>
      <c r="K1879" s="1">
        <v>2</v>
      </c>
      <c r="L1879" s="1" t="s">
        <v>740</v>
      </c>
      <c r="M1879" s="1" t="str">
        <f>"宁夏回族自治区 银川市 金凤区 "</f>
        <v xml:space="preserve">宁夏回族自治区 银川市 金凤区 </v>
      </c>
      <c r="N1879" s="1" t="str">
        <f t="shared" si="564"/>
        <v>凡华云仓-城南圆通-微信视频号</v>
      </c>
      <c r="O1879" s="5" t="s">
        <v>1916</v>
      </c>
      <c r="P1879" s="6">
        <v>0.17</v>
      </c>
      <c r="Q1879" s="11">
        <v>2</v>
      </c>
      <c r="R1879" s="11"/>
      <c r="S1879" s="11"/>
      <c r="T1879" s="11"/>
      <c r="U1879" s="11">
        <f t="shared" si="569"/>
        <v>2</v>
      </c>
      <c r="W1879">
        <v>2.2000000000000002</v>
      </c>
      <c r="X1879" s="1" t="s">
        <v>740</v>
      </c>
    </row>
    <row r="1880" spans="1:24" x14ac:dyDescent="0.25">
      <c r="A1880" s="1" t="str">
        <f t="shared" si="565"/>
        <v>卡卡杜-凤凰仓</v>
      </c>
      <c r="B1880" s="1" t="str">
        <f>"CK20241028359"</f>
        <v>CK20241028359</v>
      </c>
      <c r="C1880" s="1" t="str">
        <f>"DD2024102819890"</f>
        <v>DD2024102819890</v>
      </c>
      <c r="D1880" s="1" t="str">
        <f>"CK202410289576"</f>
        <v>CK202410289576</v>
      </c>
      <c r="E1880" s="1" t="str">
        <f>"3723607133022721025"</f>
        <v>3723607133022721025</v>
      </c>
      <c r="F1880" s="1" t="str">
        <f t="shared" si="566"/>
        <v>花都四部-凤凰仓</v>
      </c>
      <c r="G1880" s="1" t="str">
        <f t="shared" si="562"/>
        <v>卡卡杜企业店（视频号）</v>
      </c>
      <c r="H1880" s="1" t="str">
        <f t="shared" si="567"/>
        <v>正常订单</v>
      </c>
      <c r="I1880" s="1" t="str">
        <f t="shared" si="568"/>
        <v>已发货</v>
      </c>
      <c r="J1880" s="1" t="str">
        <f t="shared" si="563"/>
        <v>2</v>
      </c>
      <c r="K1880" s="1">
        <v>2</v>
      </c>
      <c r="L1880" s="1" t="s">
        <v>18</v>
      </c>
      <c r="M1880" s="1" t="str">
        <f>"广东省 汕头市 金平区 "</f>
        <v xml:space="preserve">广东省 汕头市 金平区 </v>
      </c>
      <c r="N1880" s="1" t="str">
        <f t="shared" si="564"/>
        <v>凡华云仓-城南圆通-微信视频号</v>
      </c>
      <c r="O1880" s="5" t="s">
        <v>1917</v>
      </c>
      <c r="P1880" s="6">
        <v>0.17</v>
      </c>
      <c r="Q1880" s="11">
        <v>2</v>
      </c>
      <c r="R1880" s="11"/>
      <c r="S1880" s="11"/>
      <c r="T1880" s="11"/>
      <c r="U1880" s="11">
        <f t="shared" si="569"/>
        <v>2</v>
      </c>
      <c r="W1880">
        <v>2.2000000000000002</v>
      </c>
      <c r="X1880" s="1" t="s">
        <v>18</v>
      </c>
    </row>
    <row r="1881" spans="1:24" x14ac:dyDescent="0.25">
      <c r="A1881" s="1" t="str">
        <f t="shared" si="565"/>
        <v>卡卡杜-凤凰仓</v>
      </c>
      <c r="B1881" s="1" t="str">
        <f>"CK20241028356"</f>
        <v>CK20241028356</v>
      </c>
      <c r="C1881" s="1" t="str">
        <f>"DD2024102819889"</f>
        <v>DD2024102819889</v>
      </c>
      <c r="D1881" s="1" t="str">
        <f>"CK202410289575"</f>
        <v>CK202410289575</v>
      </c>
      <c r="E1881" s="1" t="str">
        <f>"3723607140412294400"</f>
        <v>3723607140412294400</v>
      </c>
      <c r="F1881" s="1" t="str">
        <f t="shared" si="566"/>
        <v>花都四部-凤凰仓</v>
      </c>
      <c r="G1881" s="1" t="str">
        <f t="shared" si="562"/>
        <v>卡卡杜企业店（视频号）</v>
      </c>
      <c r="H1881" s="1" t="str">
        <f t="shared" si="567"/>
        <v>正常订单</v>
      </c>
      <c r="I1881" s="1" t="str">
        <f t="shared" si="568"/>
        <v>已发货</v>
      </c>
      <c r="J1881" s="1" t="str">
        <f t="shared" si="563"/>
        <v>2</v>
      </c>
      <c r="K1881" s="1">
        <v>2</v>
      </c>
      <c r="L1881" s="1" t="s">
        <v>30</v>
      </c>
      <c r="M1881" s="1" t="str">
        <f>"山东省 烟台市 蓬莱区 "</f>
        <v xml:space="preserve">山东省 烟台市 蓬莱区 </v>
      </c>
      <c r="N1881" s="1" t="str">
        <f t="shared" si="564"/>
        <v>凡华云仓-城南圆通-微信视频号</v>
      </c>
      <c r="O1881" s="5" t="s">
        <v>1918</v>
      </c>
      <c r="P1881" s="6">
        <v>0.17</v>
      </c>
      <c r="Q1881" s="11">
        <v>2</v>
      </c>
      <c r="R1881" s="11"/>
      <c r="S1881" s="11"/>
      <c r="T1881" s="11"/>
      <c r="U1881" s="11">
        <f t="shared" si="569"/>
        <v>2</v>
      </c>
      <c r="W1881">
        <v>2.2000000000000002</v>
      </c>
      <c r="X1881" s="1" t="s">
        <v>30</v>
      </c>
    </row>
    <row r="1882" spans="1:24" x14ac:dyDescent="0.25">
      <c r="A1882" s="1" t="str">
        <f t="shared" si="565"/>
        <v>卡卡杜-凤凰仓</v>
      </c>
      <c r="B1882" s="1" t="str">
        <f>"CK20241028355"</f>
        <v>CK20241028355</v>
      </c>
      <c r="C1882" s="1" t="str">
        <f>"DD2024102819888"</f>
        <v>DD2024102819888</v>
      </c>
      <c r="D1882" s="1" t="str">
        <f>"CK202410289574"</f>
        <v>CK202410289574</v>
      </c>
      <c r="E1882" s="1" t="str">
        <f>"3723607141088625920"</f>
        <v>3723607141088625920</v>
      </c>
      <c r="F1882" s="1" t="str">
        <f t="shared" si="566"/>
        <v>花都四部-凤凰仓</v>
      </c>
      <c r="G1882" s="1" t="str">
        <f t="shared" si="562"/>
        <v>卡卡杜企业店（视频号）</v>
      </c>
      <c r="H1882" s="1" t="str">
        <f t="shared" si="567"/>
        <v>正常订单</v>
      </c>
      <c r="I1882" s="1" t="str">
        <f t="shared" si="568"/>
        <v>已发货</v>
      </c>
      <c r="J1882" s="1" t="str">
        <f t="shared" si="563"/>
        <v>2</v>
      </c>
      <c r="K1882" s="1">
        <v>2</v>
      </c>
      <c r="L1882" s="1" t="s">
        <v>30</v>
      </c>
      <c r="M1882" s="1" t="str">
        <f>"山东省 潍坊市 潍城区 "</f>
        <v xml:space="preserve">山东省 潍坊市 潍城区 </v>
      </c>
      <c r="N1882" s="1" t="str">
        <f t="shared" si="564"/>
        <v>凡华云仓-城南圆通-微信视频号</v>
      </c>
      <c r="O1882" s="5" t="s">
        <v>1919</v>
      </c>
      <c r="P1882" s="6">
        <v>0.17</v>
      </c>
      <c r="Q1882" s="11">
        <v>2</v>
      </c>
      <c r="R1882" s="11"/>
      <c r="S1882" s="11"/>
      <c r="T1882" s="11"/>
      <c r="U1882" s="11">
        <f t="shared" si="569"/>
        <v>2</v>
      </c>
      <c r="W1882">
        <v>2.2000000000000002</v>
      </c>
      <c r="X1882" s="1" t="s">
        <v>30</v>
      </c>
    </row>
    <row r="1883" spans="1:24" x14ac:dyDescent="0.25">
      <c r="A1883" s="1" t="str">
        <f t="shared" si="565"/>
        <v>卡卡杜-凤凰仓</v>
      </c>
      <c r="B1883" s="1" t="str">
        <f>"CK20241028354"</f>
        <v>CK20241028354</v>
      </c>
      <c r="C1883" s="1" t="str">
        <f>"DD2024102819887"</f>
        <v>DD2024102819887</v>
      </c>
      <c r="D1883" s="1" t="str">
        <f>"CK202410289573"</f>
        <v>CK202410289573</v>
      </c>
      <c r="E1883" s="1" t="str">
        <f>"3723607142998083073"</f>
        <v>3723607142998083073</v>
      </c>
      <c r="F1883" s="1" t="str">
        <f t="shared" si="566"/>
        <v>花都四部-凤凰仓</v>
      </c>
      <c r="G1883" s="1" t="str">
        <f t="shared" si="562"/>
        <v>卡卡杜企业店（视频号）</v>
      </c>
      <c r="H1883" s="1" t="str">
        <f t="shared" si="567"/>
        <v>正常订单</v>
      </c>
      <c r="I1883" s="1" t="str">
        <f t="shared" si="568"/>
        <v>已发货</v>
      </c>
      <c r="J1883" s="1" t="str">
        <f t="shared" si="563"/>
        <v>2</v>
      </c>
      <c r="K1883" s="1">
        <v>2</v>
      </c>
      <c r="L1883" s="1" t="s">
        <v>218</v>
      </c>
      <c r="M1883" s="1" t="str">
        <f>"天津 天津市 西青区 "</f>
        <v xml:space="preserve">天津 天津市 西青区 </v>
      </c>
      <c r="N1883" s="1" t="str">
        <f t="shared" si="564"/>
        <v>凡华云仓-城南圆通-微信视频号</v>
      </c>
      <c r="O1883" s="5" t="s">
        <v>1920</v>
      </c>
      <c r="P1883" s="6">
        <v>0.17</v>
      </c>
      <c r="Q1883" s="11">
        <v>2</v>
      </c>
      <c r="R1883" s="11"/>
      <c r="S1883" s="11"/>
      <c r="T1883" s="11"/>
      <c r="U1883" s="11">
        <f t="shared" si="569"/>
        <v>2</v>
      </c>
      <c r="W1883">
        <v>2.2000000000000002</v>
      </c>
      <c r="X1883" s="1" t="s">
        <v>218</v>
      </c>
    </row>
    <row r="1884" spans="1:24" x14ac:dyDescent="0.25">
      <c r="A1884" s="1" t="str">
        <f t="shared" si="565"/>
        <v>卡卡杜-凤凰仓</v>
      </c>
      <c r="B1884" s="1" t="str">
        <f>"CK20241028353"</f>
        <v>CK20241028353</v>
      </c>
      <c r="C1884" s="1" t="str">
        <f>"DD2024102819886"</f>
        <v>DD2024102819886</v>
      </c>
      <c r="D1884" s="1" t="str">
        <f>"CK202410289572"</f>
        <v>CK202410289572</v>
      </c>
      <c r="E1884" s="1" t="str">
        <f>"3723607144197915904"</f>
        <v>3723607144197915904</v>
      </c>
      <c r="F1884" s="1" t="str">
        <f t="shared" si="566"/>
        <v>花都四部-凤凰仓</v>
      </c>
      <c r="G1884" s="1" t="str">
        <f t="shared" si="562"/>
        <v>卡卡杜企业店（视频号）</v>
      </c>
      <c r="H1884" s="1" t="str">
        <f t="shared" si="567"/>
        <v>正常订单</v>
      </c>
      <c r="I1884" s="1" t="str">
        <f t="shared" si="568"/>
        <v>已发货</v>
      </c>
      <c r="J1884" s="1" t="str">
        <f t="shared" si="563"/>
        <v>2</v>
      </c>
      <c r="K1884" s="1">
        <v>2</v>
      </c>
      <c r="L1884" s="1" t="s">
        <v>105</v>
      </c>
      <c r="M1884" s="1" t="str">
        <f>"北京 北京市 石景山区 "</f>
        <v xml:space="preserve">北京 北京市 石景山区 </v>
      </c>
      <c r="N1884" s="1" t="str">
        <f t="shared" si="564"/>
        <v>凡华云仓-城南圆通-微信视频号</v>
      </c>
      <c r="O1884" s="5" t="s">
        <v>1921</v>
      </c>
      <c r="P1884" s="6">
        <v>0.17</v>
      </c>
      <c r="Q1884" s="11">
        <v>2</v>
      </c>
      <c r="R1884" s="11"/>
      <c r="S1884" s="11"/>
      <c r="T1884" s="11"/>
      <c r="U1884" s="11">
        <f t="shared" si="569"/>
        <v>2</v>
      </c>
      <c r="W1884">
        <v>2.2000000000000002</v>
      </c>
      <c r="X1884" s="1" t="s">
        <v>105</v>
      </c>
    </row>
    <row r="1885" spans="1:24" x14ac:dyDescent="0.25">
      <c r="A1885" s="1" t="str">
        <f t="shared" si="565"/>
        <v>卡卡杜-凤凰仓</v>
      </c>
      <c r="B1885" s="1" t="str">
        <f>"CK20241028350"</f>
        <v>CK20241028350</v>
      </c>
      <c r="C1885" s="1" t="str">
        <f>"DD2024102819885"</f>
        <v>DD2024102819885</v>
      </c>
      <c r="D1885" s="1" t="str">
        <f>"CK202410289571"</f>
        <v>CK202410289571</v>
      </c>
      <c r="E1885" s="1" t="str">
        <f>"3723607147784836096"</f>
        <v>3723607147784836096</v>
      </c>
      <c r="F1885" s="1" t="str">
        <f t="shared" si="566"/>
        <v>花都四部-凤凰仓</v>
      </c>
      <c r="G1885" s="1" t="str">
        <f t="shared" si="562"/>
        <v>卡卡杜企业店（视频号）</v>
      </c>
      <c r="H1885" s="1" t="str">
        <f t="shared" si="567"/>
        <v>正常订单</v>
      </c>
      <c r="I1885" s="1" t="str">
        <f t="shared" si="568"/>
        <v>已发货</v>
      </c>
      <c r="J1885" s="1" t="str">
        <f t="shared" si="563"/>
        <v>2</v>
      </c>
      <c r="K1885" s="1">
        <v>2</v>
      </c>
      <c r="L1885" s="1" t="s">
        <v>105</v>
      </c>
      <c r="M1885" s="1" t="str">
        <f>"北京 北京市 西城区 "</f>
        <v xml:space="preserve">北京 北京市 西城区 </v>
      </c>
      <c r="N1885" s="1" t="str">
        <f t="shared" si="564"/>
        <v>凡华云仓-城南圆通-微信视频号</v>
      </c>
      <c r="O1885" s="5" t="s">
        <v>1922</v>
      </c>
      <c r="P1885" s="6">
        <v>0.17</v>
      </c>
      <c r="Q1885" s="11">
        <v>2</v>
      </c>
      <c r="R1885" s="11"/>
      <c r="S1885" s="11"/>
      <c r="T1885" s="11"/>
      <c r="U1885" s="11">
        <f t="shared" si="569"/>
        <v>2</v>
      </c>
      <c r="W1885">
        <v>2.2000000000000002</v>
      </c>
      <c r="X1885" s="1" t="s">
        <v>105</v>
      </c>
    </row>
    <row r="1886" spans="1:24" x14ac:dyDescent="0.25">
      <c r="A1886" s="1" t="str">
        <f t="shared" si="565"/>
        <v>卡卡杜-凤凰仓</v>
      </c>
      <c r="B1886" s="1" t="str">
        <f>"CK20241028351"</f>
        <v>CK20241028351</v>
      </c>
      <c r="C1886" s="1" t="str">
        <f>"DD2024102819884"</f>
        <v>DD2024102819884</v>
      </c>
      <c r="D1886" s="1" t="str">
        <f>"CK202410289570"</f>
        <v>CK202410289570</v>
      </c>
      <c r="E1886" s="1" t="str">
        <f>"3723607145786250241"</f>
        <v>3723607145786250241</v>
      </c>
      <c r="F1886" s="1" t="str">
        <f t="shared" si="566"/>
        <v>花都四部-凤凰仓</v>
      </c>
      <c r="G1886" s="1" t="str">
        <f t="shared" si="562"/>
        <v>卡卡杜企业店（视频号）</v>
      </c>
      <c r="H1886" s="1" t="str">
        <f t="shared" si="567"/>
        <v>正常订单</v>
      </c>
      <c r="I1886" s="1" t="str">
        <f t="shared" si="568"/>
        <v>已发货</v>
      </c>
      <c r="J1886" s="1" t="str">
        <f t="shared" si="563"/>
        <v>2</v>
      </c>
      <c r="K1886" s="1">
        <v>2</v>
      </c>
      <c r="L1886" s="1" t="s">
        <v>54</v>
      </c>
      <c r="M1886" s="1" t="str">
        <f>"黑龙江省 哈尔滨市 香坊区 "</f>
        <v xml:space="preserve">黑龙江省 哈尔滨市 香坊区 </v>
      </c>
      <c r="N1886" s="1" t="str">
        <f t="shared" si="564"/>
        <v>凡华云仓-城南圆通-微信视频号</v>
      </c>
      <c r="O1886" s="5" t="s">
        <v>1923</v>
      </c>
      <c r="P1886" s="6">
        <v>0.17</v>
      </c>
      <c r="Q1886" s="11">
        <v>2</v>
      </c>
      <c r="R1886" s="11"/>
      <c r="S1886" s="11"/>
      <c r="T1886" s="11"/>
      <c r="U1886" s="11">
        <f t="shared" si="569"/>
        <v>2</v>
      </c>
      <c r="W1886">
        <v>2.2000000000000002</v>
      </c>
      <c r="X1886" s="1" t="s">
        <v>54</v>
      </c>
    </row>
    <row r="1887" spans="1:24" x14ac:dyDescent="0.25">
      <c r="A1887" s="1" t="str">
        <f t="shared" si="565"/>
        <v>卡卡杜-凤凰仓</v>
      </c>
      <c r="B1887" s="1" t="str">
        <f>"CK20241028352"</f>
        <v>CK20241028352</v>
      </c>
      <c r="C1887" s="1" t="str">
        <f>"DD2024102819883"</f>
        <v>DD2024102819883</v>
      </c>
      <c r="D1887" s="1" t="str">
        <f>"CK202410289569"</f>
        <v>CK202410289569</v>
      </c>
      <c r="E1887" s="1" t="str">
        <f>"3723607144602669056"</f>
        <v>3723607144602669056</v>
      </c>
      <c r="F1887" s="1" t="str">
        <f t="shared" si="566"/>
        <v>花都四部-凤凰仓</v>
      </c>
      <c r="G1887" s="1" t="str">
        <f t="shared" ref="G1887:G1950" si="570">"卡卡杜企业店（视频号）"</f>
        <v>卡卡杜企业店（视频号）</v>
      </c>
      <c r="H1887" s="1" t="str">
        <f t="shared" si="567"/>
        <v>正常订单</v>
      </c>
      <c r="I1887" s="1" t="str">
        <f t="shared" si="568"/>
        <v>已发货</v>
      </c>
      <c r="J1887" s="1" t="str">
        <f t="shared" si="563"/>
        <v>2</v>
      </c>
      <c r="K1887" s="1">
        <v>2</v>
      </c>
      <c r="L1887" s="1" t="s">
        <v>80</v>
      </c>
      <c r="M1887" s="1" t="str">
        <f>"河南省 郑州市 中原区 "</f>
        <v xml:space="preserve">河南省 郑州市 中原区 </v>
      </c>
      <c r="N1887" s="1" t="str">
        <f t="shared" si="564"/>
        <v>凡华云仓-城南圆通-微信视频号</v>
      </c>
      <c r="O1887" s="5" t="s">
        <v>1924</v>
      </c>
      <c r="P1887" s="6">
        <v>0.17</v>
      </c>
      <c r="Q1887" s="11">
        <v>2</v>
      </c>
      <c r="R1887" s="11"/>
      <c r="S1887" s="11"/>
      <c r="T1887" s="11"/>
      <c r="U1887" s="11">
        <f t="shared" si="569"/>
        <v>2</v>
      </c>
      <c r="W1887">
        <v>2.2000000000000002</v>
      </c>
      <c r="X1887" s="1" t="s">
        <v>80</v>
      </c>
    </row>
    <row r="1888" spans="1:24" x14ac:dyDescent="0.25">
      <c r="A1888" s="1" t="str">
        <f t="shared" si="565"/>
        <v>卡卡杜-凤凰仓</v>
      </c>
      <c r="B1888" s="1" t="str">
        <f>"CK20241028349"</f>
        <v>CK20241028349</v>
      </c>
      <c r="C1888" s="1" t="str">
        <f>"DD2024102819882"</f>
        <v>DD2024102819882</v>
      </c>
      <c r="D1888" s="1" t="str">
        <f>"CK202410289568"</f>
        <v>CK202410289568</v>
      </c>
      <c r="E1888" s="1" t="str">
        <f>"3723607146329674752"</f>
        <v>3723607146329674752</v>
      </c>
      <c r="F1888" s="1" t="str">
        <f t="shared" si="566"/>
        <v>花都四部-凤凰仓</v>
      </c>
      <c r="G1888" s="1" t="str">
        <f t="shared" si="570"/>
        <v>卡卡杜企业店（视频号）</v>
      </c>
      <c r="H1888" s="1" t="str">
        <f t="shared" si="567"/>
        <v>正常订单</v>
      </c>
      <c r="I1888" s="1" t="str">
        <f t="shared" si="568"/>
        <v>已发货</v>
      </c>
      <c r="J1888" s="1" t="str">
        <f t="shared" ref="J1888:J1906" si="571">"2"</f>
        <v>2</v>
      </c>
      <c r="K1888" s="1">
        <v>2</v>
      </c>
      <c r="L1888" s="1" t="s">
        <v>74</v>
      </c>
      <c r="M1888" s="1" t="str">
        <f>"上海 上海市 杨浦区 "</f>
        <v xml:space="preserve">上海 上海市 杨浦区 </v>
      </c>
      <c r="N1888" s="1" t="str">
        <f t="shared" si="564"/>
        <v>凡华云仓-城南圆通-微信视频号</v>
      </c>
      <c r="O1888" s="5" t="s">
        <v>1925</v>
      </c>
      <c r="P1888" s="6">
        <v>0.17</v>
      </c>
      <c r="Q1888" s="11">
        <v>2</v>
      </c>
      <c r="R1888" s="11"/>
      <c r="S1888" s="11"/>
      <c r="T1888" s="11"/>
      <c r="U1888" s="11">
        <f t="shared" si="569"/>
        <v>2</v>
      </c>
      <c r="W1888">
        <v>2.2000000000000002</v>
      </c>
      <c r="X1888" s="1" t="s">
        <v>74</v>
      </c>
    </row>
    <row r="1889" spans="1:24" x14ac:dyDescent="0.25">
      <c r="A1889" s="1" t="str">
        <f t="shared" si="565"/>
        <v>卡卡杜-凤凰仓</v>
      </c>
      <c r="B1889" s="1" t="str">
        <f>"CK20241028348"</f>
        <v>CK20241028348</v>
      </c>
      <c r="C1889" s="1" t="str">
        <f>"DD2024102819881"</f>
        <v>DD2024102819881</v>
      </c>
      <c r="D1889" s="1" t="str">
        <f>"CK202410289567"</f>
        <v>CK202410289567</v>
      </c>
      <c r="E1889" s="1" t="str">
        <f>"3723607200671073536"</f>
        <v>3723607200671073536</v>
      </c>
      <c r="F1889" s="1" t="str">
        <f t="shared" si="566"/>
        <v>花都四部-凤凰仓</v>
      </c>
      <c r="G1889" s="1" t="str">
        <f t="shared" si="570"/>
        <v>卡卡杜企业店（视频号）</v>
      </c>
      <c r="H1889" s="1" t="str">
        <f t="shared" si="567"/>
        <v>正常订单</v>
      </c>
      <c r="I1889" s="1" t="str">
        <f t="shared" si="568"/>
        <v>已发货</v>
      </c>
      <c r="J1889" s="1" t="str">
        <f t="shared" si="571"/>
        <v>2</v>
      </c>
      <c r="K1889" s="1">
        <v>2</v>
      </c>
      <c r="L1889" s="1" t="s">
        <v>105</v>
      </c>
      <c r="M1889" s="1" t="str">
        <f>"北京 北京市 大兴区 "</f>
        <v xml:space="preserve">北京 北京市 大兴区 </v>
      </c>
      <c r="N1889" s="1" t="str">
        <f t="shared" si="564"/>
        <v>凡华云仓-城南圆通-微信视频号</v>
      </c>
      <c r="O1889" s="5" t="s">
        <v>1926</v>
      </c>
      <c r="P1889" s="6">
        <v>0.17</v>
      </c>
      <c r="Q1889" s="11">
        <v>2</v>
      </c>
      <c r="R1889" s="11"/>
      <c r="S1889" s="11"/>
      <c r="T1889" s="11"/>
      <c r="U1889" s="11">
        <f t="shared" si="569"/>
        <v>2</v>
      </c>
      <c r="W1889">
        <v>2.2000000000000002</v>
      </c>
      <c r="X1889" s="1" t="s">
        <v>105</v>
      </c>
    </row>
    <row r="1890" spans="1:24" x14ac:dyDescent="0.25">
      <c r="A1890" s="1" t="str">
        <f t="shared" si="565"/>
        <v>卡卡杜-凤凰仓</v>
      </c>
      <c r="B1890" s="1" t="str">
        <f>"CK20241028344"</f>
        <v>CK20241028344</v>
      </c>
      <c r="C1890" s="1" t="str">
        <f>"DD2024102819880"</f>
        <v>DD2024102819880</v>
      </c>
      <c r="D1890" s="1" t="str">
        <f>"CK202410289566"</f>
        <v>CK202410289566</v>
      </c>
      <c r="E1890" s="1" t="str">
        <f>"3723607611911832832"</f>
        <v>3723607611911832832</v>
      </c>
      <c r="F1890" s="1" t="str">
        <f t="shared" si="566"/>
        <v>花都四部-凤凰仓</v>
      </c>
      <c r="G1890" s="1" t="str">
        <f t="shared" si="570"/>
        <v>卡卡杜企业店（视频号）</v>
      </c>
      <c r="H1890" s="1" t="str">
        <f t="shared" si="567"/>
        <v>正常订单</v>
      </c>
      <c r="I1890" s="1" t="str">
        <f t="shared" si="568"/>
        <v>已发货</v>
      </c>
      <c r="J1890" s="1" t="str">
        <f t="shared" si="571"/>
        <v>2</v>
      </c>
      <c r="K1890" s="1">
        <v>2</v>
      </c>
      <c r="L1890" s="1" t="s">
        <v>27</v>
      </c>
      <c r="M1890" s="1" t="str">
        <f>"贵州省 贵阳市 云岩区 "</f>
        <v xml:space="preserve">贵州省 贵阳市 云岩区 </v>
      </c>
      <c r="N1890" s="1" t="str">
        <f t="shared" si="564"/>
        <v>凡华云仓-城南圆通-微信视频号</v>
      </c>
      <c r="O1890" s="5" t="s">
        <v>1927</v>
      </c>
      <c r="P1890" s="6">
        <v>0.17</v>
      </c>
      <c r="Q1890" s="11">
        <v>2</v>
      </c>
      <c r="R1890" s="11"/>
      <c r="S1890" s="11"/>
      <c r="T1890" s="11"/>
      <c r="U1890" s="11">
        <f t="shared" si="569"/>
        <v>2</v>
      </c>
      <c r="W1890">
        <v>2.2000000000000002</v>
      </c>
      <c r="X1890" s="1" t="s">
        <v>27</v>
      </c>
    </row>
    <row r="1891" spans="1:24" x14ac:dyDescent="0.25">
      <c r="A1891" s="1" t="str">
        <f t="shared" si="565"/>
        <v>卡卡杜-凤凰仓</v>
      </c>
      <c r="B1891" s="1" t="str">
        <f>"CK20241028346"</f>
        <v>CK20241028346</v>
      </c>
      <c r="C1891" s="1" t="str">
        <f>"DD2024102819879"</f>
        <v>DD2024102819879</v>
      </c>
      <c r="D1891" s="1" t="str">
        <f>"CK202410289565"</f>
        <v>CK202410289565</v>
      </c>
      <c r="E1891" s="1" t="str">
        <f>"3723607609279644929"</f>
        <v>3723607609279644929</v>
      </c>
      <c r="F1891" s="1" t="str">
        <f t="shared" si="566"/>
        <v>花都四部-凤凰仓</v>
      </c>
      <c r="G1891" s="1" t="str">
        <f t="shared" si="570"/>
        <v>卡卡杜企业店（视频号）</v>
      </c>
      <c r="H1891" s="1" t="str">
        <f t="shared" si="567"/>
        <v>正常订单</v>
      </c>
      <c r="I1891" s="1" t="str">
        <f t="shared" si="568"/>
        <v>已发货</v>
      </c>
      <c r="J1891" s="1" t="str">
        <f t="shared" si="571"/>
        <v>2</v>
      </c>
      <c r="K1891" s="1">
        <v>2</v>
      </c>
      <c r="L1891" s="1" t="s">
        <v>161</v>
      </c>
      <c r="M1891" s="1" t="str">
        <f>"四川省 成都市 武侯区 "</f>
        <v xml:space="preserve">四川省 成都市 武侯区 </v>
      </c>
      <c r="N1891" s="1" t="str">
        <f t="shared" si="564"/>
        <v>凡华云仓-城南圆通-微信视频号</v>
      </c>
      <c r="O1891" s="5" t="s">
        <v>1928</v>
      </c>
      <c r="P1891" s="6">
        <v>0.17</v>
      </c>
      <c r="Q1891" s="11">
        <v>2</v>
      </c>
      <c r="R1891" s="11"/>
      <c r="S1891" s="11"/>
      <c r="T1891" s="11"/>
      <c r="U1891" s="11">
        <f t="shared" si="569"/>
        <v>2</v>
      </c>
      <c r="W1891">
        <v>2.2000000000000002</v>
      </c>
      <c r="X1891" s="1" t="s">
        <v>161</v>
      </c>
    </row>
    <row r="1892" spans="1:24" x14ac:dyDescent="0.25">
      <c r="A1892" s="1" t="str">
        <f t="shared" si="565"/>
        <v>卡卡杜-凤凰仓</v>
      </c>
      <c r="B1892" s="1" t="str">
        <f>"CK20241028347"</f>
        <v>CK20241028347</v>
      </c>
      <c r="C1892" s="1" t="str">
        <f>"DD2024102819878"</f>
        <v>DD2024102819878</v>
      </c>
      <c r="D1892" s="1" t="str">
        <f>"CK202410289564"</f>
        <v>CK202410289564</v>
      </c>
      <c r="E1892" s="1" t="str">
        <f>"3723607384286958592"</f>
        <v>3723607384286958592</v>
      </c>
      <c r="F1892" s="1" t="str">
        <f t="shared" si="566"/>
        <v>花都四部-凤凰仓</v>
      </c>
      <c r="G1892" s="1" t="str">
        <f t="shared" si="570"/>
        <v>卡卡杜企业店（视频号）</v>
      </c>
      <c r="H1892" s="1" t="str">
        <f t="shared" si="567"/>
        <v>正常订单</v>
      </c>
      <c r="I1892" s="1" t="str">
        <f t="shared" si="568"/>
        <v>已发货</v>
      </c>
      <c r="J1892" s="1" t="str">
        <f t="shared" si="571"/>
        <v>2</v>
      </c>
      <c r="K1892" s="1">
        <v>2</v>
      </c>
      <c r="L1892" s="1" t="s">
        <v>105</v>
      </c>
      <c r="M1892" s="1" t="str">
        <f>"北京 北京市 朝阳区 "</f>
        <v xml:space="preserve">北京 北京市 朝阳区 </v>
      </c>
      <c r="N1892" s="1" t="str">
        <f t="shared" si="564"/>
        <v>凡华云仓-城南圆通-微信视频号</v>
      </c>
      <c r="O1892" s="5" t="s">
        <v>1929</v>
      </c>
      <c r="P1892" s="6">
        <v>0.17</v>
      </c>
      <c r="Q1892" s="11">
        <v>2</v>
      </c>
      <c r="R1892" s="11"/>
      <c r="S1892" s="11"/>
      <c r="T1892" s="11"/>
      <c r="U1892" s="11">
        <f t="shared" si="569"/>
        <v>2</v>
      </c>
      <c r="W1892">
        <v>2.2000000000000002</v>
      </c>
      <c r="X1892" s="1" t="s">
        <v>105</v>
      </c>
    </row>
    <row r="1893" spans="1:24" x14ac:dyDescent="0.25">
      <c r="A1893" s="1" t="str">
        <f t="shared" si="565"/>
        <v>卡卡杜-凤凰仓</v>
      </c>
      <c r="B1893" s="1" t="str">
        <f>"CK20241028345"</f>
        <v>CK20241028345</v>
      </c>
      <c r="C1893" s="1" t="str">
        <f>"DD2024102819877"</f>
        <v>DD2024102819877</v>
      </c>
      <c r="D1893" s="1" t="str">
        <f>"CK202410289563"</f>
        <v>CK202410289563</v>
      </c>
      <c r="E1893" s="1" t="str">
        <f>"3723607611615087616"</f>
        <v>3723607611615087616</v>
      </c>
      <c r="F1893" s="1" t="str">
        <f t="shared" si="566"/>
        <v>花都四部-凤凰仓</v>
      </c>
      <c r="G1893" s="1" t="str">
        <f t="shared" si="570"/>
        <v>卡卡杜企业店（视频号）</v>
      </c>
      <c r="H1893" s="1" t="str">
        <f t="shared" si="567"/>
        <v>正常订单</v>
      </c>
      <c r="I1893" s="1" t="str">
        <f t="shared" si="568"/>
        <v>已发货</v>
      </c>
      <c r="J1893" s="1" t="str">
        <f t="shared" si="571"/>
        <v>2</v>
      </c>
      <c r="K1893" s="1">
        <v>2</v>
      </c>
      <c r="L1893" s="1" t="s">
        <v>41</v>
      </c>
      <c r="M1893" s="1" t="str">
        <f>"湖北省 武汉市 江汉区 "</f>
        <v xml:space="preserve">湖北省 武汉市 江汉区 </v>
      </c>
      <c r="N1893" s="1" t="str">
        <f t="shared" si="564"/>
        <v>凡华云仓-城南圆通-微信视频号</v>
      </c>
      <c r="O1893" s="5" t="s">
        <v>1930</v>
      </c>
      <c r="P1893" s="6">
        <v>0.17</v>
      </c>
      <c r="Q1893" s="11">
        <v>2</v>
      </c>
      <c r="R1893" s="11"/>
      <c r="S1893" s="11"/>
      <c r="T1893" s="11"/>
      <c r="U1893" s="11">
        <f t="shared" si="569"/>
        <v>2</v>
      </c>
      <c r="W1893">
        <v>2.2000000000000002</v>
      </c>
      <c r="X1893" s="1" t="s">
        <v>41</v>
      </c>
    </row>
    <row r="1894" spans="1:24" x14ac:dyDescent="0.25">
      <c r="A1894" s="1" t="str">
        <f t="shared" si="565"/>
        <v>卡卡杜-凤凰仓</v>
      </c>
      <c r="B1894" s="1" t="str">
        <f>"CK20241028342"</f>
        <v>CK20241028342</v>
      </c>
      <c r="C1894" s="1" t="str">
        <f>"DD2024102819876"</f>
        <v>DD2024102819876</v>
      </c>
      <c r="D1894" s="1" t="str">
        <f>"CK202410289562"</f>
        <v>CK202410289562</v>
      </c>
      <c r="E1894" s="1" t="str">
        <f>"3723607612911653888"</f>
        <v>3723607612911653888</v>
      </c>
      <c r="F1894" s="1" t="str">
        <f t="shared" si="566"/>
        <v>花都四部-凤凰仓</v>
      </c>
      <c r="G1894" s="1" t="str">
        <f t="shared" si="570"/>
        <v>卡卡杜企业店（视频号）</v>
      </c>
      <c r="H1894" s="1" t="str">
        <f t="shared" si="567"/>
        <v>正常订单</v>
      </c>
      <c r="I1894" s="1" t="str">
        <f t="shared" si="568"/>
        <v>已发货</v>
      </c>
      <c r="J1894" s="1" t="str">
        <f t="shared" si="571"/>
        <v>2</v>
      </c>
      <c r="K1894" s="1">
        <v>2</v>
      </c>
      <c r="L1894" s="1" t="s">
        <v>109</v>
      </c>
      <c r="M1894" s="1" t="str">
        <f>"山西省 大同市 平城区 "</f>
        <v xml:space="preserve">山西省 大同市 平城区 </v>
      </c>
      <c r="N1894" s="1" t="str">
        <f t="shared" si="564"/>
        <v>凡华云仓-城南圆通-微信视频号</v>
      </c>
      <c r="O1894" s="5" t="s">
        <v>1931</v>
      </c>
      <c r="P1894" s="6">
        <v>0.17</v>
      </c>
      <c r="Q1894" s="11">
        <v>2</v>
      </c>
      <c r="R1894" s="11"/>
      <c r="S1894" s="11"/>
      <c r="T1894" s="11"/>
      <c r="U1894" s="11">
        <f t="shared" si="569"/>
        <v>2</v>
      </c>
      <c r="W1894">
        <v>2.2000000000000002</v>
      </c>
      <c r="X1894" s="1" t="s">
        <v>109</v>
      </c>
    </row>
    <row r="1895" spans="1:24" x14ac:dyDescent="0.25">
      <c r="A1895" s="1" t="str">
        <f t="shared" si="565"/>
        <v>卡卡杜-凤凰仓</v>
      </c>
      <c r="B1895" s="1" t="str">
        <f>"CK20241028340"</f>
        <v>CK20241028340</v>
      </c>
      <c r="C1895" s="1" t="str">
        <f>"DD2024102819875"</f>
        <v>DD2024102819875</v>
      </c>
      <c r="D1895" s="1" t="str">
        <f>"CK202410289561"</f>
        <v>CK202410289561</v>
      </c>
      <c r="E1895" s="1" t="str">
        <f>"3723607613851962368"</f>
        <v>3723607613851962368</v>
      </c>
      <c r="F1895" s="1" t="str">
        <f t="shared" si="566"/>
        <v>花都四部-凤凰仓</v>
      </c>
      <c r="G1895" s="1" t="str">
        <f t="shared" si="570"/>
        <v>卡卡杜企业店（视频号）</v>
      </c>
      <c r="H1895" s="1" t="str">
        <f t="shared" si="567"/>
        <v>正常订单</v>
      </c>
      <c r="I1895" s="1" t="str">
        <f t="shared" si="568"/>
        <v>已发货</v>
      </c>
      <c r="J1895" s="1" t="str">
        <f t="shared" si="571"/>
        <v>2</v>
      </c>
      <c r="K1895" s="1">
        <v>2</v>
      </c>
      <c r="L1895" s="1" t="s">
        <v>105</v>
      </c>
      <c r="M1895" s="1" t="str">
        <f>"北京 北京市 丰台区 "</f>
        <v xml:space="preserve">北京 北京市 丰台区 </v>
      </c>
      <c r="N1895" s="1" t="str">
        <f t="shared" si="564"/>
        <v>凡华云仓-城南圆通-微信视频号</v>
      </c>
      <c r="O1895" s="5" t="s">
        <v>1932</v>
      </c>
      <c r="P1895" s="6">
        <v>0.17</v>
      </c>
      <c r="Q1895" s="11">
        <v>2</v>
      </c>
      <c r="R1895" s="11"/>
      <c r="S1895" s="11"/>
      <c r="T1895" s="11"/>
      <c r="U1895" s="11">
        <f t="shared" si="569"/>
        <v>2</v>
      </c>
      <c r="W1895">
        <v>2.2000000000000002</v>
      </c>
      <c r="X1895" s="1" t="s">
        <v>105</v>
      </c>
    </row>
    <row r="1896" spans="1:24" x14ac:dyDescent="0.25">
      <c r="A1896" s="1" t="str">
        <f t="shared" si="565"/>
        <v>卡卡杜-凤凰仓</v>
      </c>
      <c r="B1896" s="1" t="str">
        <f>"CK20241028343"</f>
        <v>CK20241028343</v>
      </c>
      <c r="C1896" s="1" t="str">
        <f>"DD2024102819874"</f>
        <v>DD2024102819874</v>
      </c>
      <c r="D1896" s="1" t="str">
        <f>"CK202410289560"</f>
        <v>CK202410289560</v>
      </c>
      <c r="E1896" s="1" t="str">
        <f>"3723607611967669760"</f>
        <v>3723607611967669760</v>
      </c>
      <c r="F1896" s="1" t="str">
        <f t="shared" si="566"/>
        <v>花都四部-凤凰仓</v>
      </c>
      <c r="G1896" s="1" t="str">
        <f t="shared" si="570"/>
        <v>卡卡杜企业店（视频号）</v>
      </c>
      <c r="H1896" s="1" t="str">
        <f t="shared" si="567"/>
        <v>正常订单</v>
      </c>
      <c r="I1896" s="1" t="str">
        <f t="shared" si="568"/>
        <v>已发货</v>
      </c>
      <c r="J1896" s="1" t="str">
        <f t="shared" si="571"/>
        <v>2</v>
      </c>
      <c r="K1896" s="1">
        <v>2</v>
      </c>
      <c r="L1896" s="1" t="s">
        <v>54</v>
      </c>
      <c r="M1896" s="1" t="str">
        <f>"黑龙江省 大庆市 让胡路区 "</f>
        <v xml:space="preserve">黑龙江省 大庆市 让胡路区 </v>
      </c>
      <c r="N1896" s="1" t="str">
        <f t="shared" si="564"/>
        <v>凡华云仓-城南圆通-微信视频号</v>
      </c>
      <c r="O1896" s="5" t="s">
        <v>1933</v>
      </c>
      <c r="P1896" s="6">
        <v>0.17</v>
      </c>
      <c r="Q1896" s="11">
        <v>2</v>
      </c>
      <c r="R1896" s="11"/>
      <c r="S1896" s="11"/>
      <c r="T1896" s="11"/>
      <c r="U1896" s="11">
        <f t="shared" si="569"/>
        <v>2</v>
      </c>
      <c r="W1896">
        <v>2.2000000000000002</v>
      </c>
      <c r="X1896" s="1" t="s">
        <v>54</v>
      </c>
    </row>
    <row r="1897" spans="1:24" x14ac:dyDescent="0.25">
      <c r="A1897" s="1" t="str">
        <f t="shared" si="565"/>
        <v>卡卡杜-凤凰仓</v>
      </c>
      <c r="B1897" s="1" t="str">
        <f>"CK20241028339"</f>
        <v>CK20241028339</v>
      </c>
      <c r="C1897" s="1" t="str">
        <f>"DD2024102819873"</f>
        <v>DD2024102819873</v>
      </c>
      <c r="D1897" s="1" t="str">
        <f>"CK202410289559"</f>
        <v>CK202410289559</v>
      </c>
      <c r="E1897" s="1" t="str">
        <f>"3723607617466141696"</f>
        <v>3723607617466141696</v>
      </c>
      <c r="F1897" s="1" t="str">
        <f t="shared" si="566"/>
        <v>花都四部-凤凰仓</v>
      </c>
      <c r="G1897" s="1" t="str">
        <f t="shared" si="570"/>
        <v>卡卡杜企业店（视频号）</v>
      </c>
      <c r="H1897" s="1" t="str">
        <f t="shared" si="567"/>
        <v>正常订单</v>
      </c>
      <c r="I1897" s="1" t="str">
        <f t="shared" si="568"/>
        <v>已发货</v>
      </c>
      <c r="J1897" s="1" t="str">
        <f t="shared" si="571"/>
        <v>2</v>
      </c>
      <c r="K1897" s="1">
        <v>2</v>
      </c>
      <c r="L1897" s="1" t="s">
        <v>161</v>
      </c>
      <c r="M1897" s="1" t="str">
        <f>"四川省 成都市 双流区 "</f>
        <v xml:space="preserve">四川省 成都市 双流区 </v>
      </c>
      <c r="N1897" s="1" t="str">
        <f t="shared" ref="N1897:N1950" si="572">"凡华云仓-城南圆通-微信视频号"</f>
        <v>凡华云仓-城南圆通-微信视频号</v>
      </c>
      <c r="O1897" s="5" t="s">
        <v>1934</v>
      </c>
      <c r="P1897" s="6">
        <v>0.17</v>
      </c>
      <c r="Q1897" s="11">
        <v>2</v>
      </c>
      <c r="R1897" s="11"/>
      <c r="S1897" s="11"/>
      <c r="T1897" s="11"/>
      <c r="U1897" s="11">
        <f t="shared" si="569"/>
        <v>2</v>
      </c>
      <c r="W1897">
        <v>2.2000000000000002</v>
      </c>
      <c r="X1897" s="1" t="s">
        <v>161</v>
      </c>
    </row>
    <row r="1898" spans="1:24" x14ac:dyDescent="0.25">
      <c r="A1898" s="1" t="str">
        <f t="shared" si="565"/>
        <v>卡卡杜-凤凰仓</v>
      </c>
      <c r="B1898" s="1" t="str">
        <f>"CK20241028341"</f>
        <v>CK20241028341</v>
      </c>
      <c r="C1898" s="1" t="str">
        <f>"DD2024102819872"</f>
        <v>DD2024102819872</v>
      </c>
      <c r="D1898" s="1" t="str">
        <f>"CK202410289558"</f>
        <v>CK202410289558</v>
      </c>
      <c r="E1898" s="1" t="str">
        <f>"3723607615971396608"</f>
        <v>3723607615971396608</v>
      </c>
      <c r="F1898" s="1" t="str">
        <f t="shared" si="566"/>
        <v>花都四部-凤凰仓</v>
      </c>
      <c r="G1898" s="1" t="str">
        <f t="shared" si="570"/>
        <v>卡卡杜企业店（视频号）</v>
      </c>
      <c r="H1898" s="1" t="str">
        <f t="shared" si="567"/>
        <v>正常订单</v>
      </c>
      <c r="I1898" s="1" t="str">
        <f t="shared" si="568"/>
        <v>已发货</v>
      </c>
      <c r="J1898" s="1" t="str">
        <f t="shared" si="571"/>
        <v>2</v>
      </c>
      <c r="K1898" s="1">
        <v>2</v>
      </c>
      <c r="L1898" s="1" t="s">
        <v>105</v>
      </c>
      <c r="M1898" s="1" t="str">
        <f>"北京 北京市 西城区 "</f>
        <v xml:space="preserve">北京 北京市 西城区 </v>
      </c>
      <c r="N1898" s="1" t="str">
        <f t="shared" si="572"/>
        <v>凡华云仓-城南圆通-微信视频号</v>
      </c>
      <c r="O1898" s="5" t="s">
        <v>1935</v>
      </c>
      <c r="P1898" s="6">
        <v>0.17</v>
      </c>
      <c r="Q1898" s="11">
        <v>2</v>
      </c>
      <c r="R1898" s="11"/>
      <c r="S1898" s="11"/>
      <c r="T1898" s="11"/>
      <c r="U1898" s="11">
        <f t="shared" si="569"/>
        <v>2</v>
      </c>
      <c r="W1898">
        <v>2.2000000000000002</v>
      </c>
      <c r="X1898" s="1" t="s">
        <v>105</v>
      </c>
    </row>
    <row r="1899" spans="1:24" x14ac:dyDescent="0.25">
      <c r="A1899" s="1" t="str">
        <f t="shared" si="565"/>
        <v>卡卡杜-凤凰仓</v>
      </c>
      <c r="B1899" s="1" t="str">
        <f>"CK20241028338"</f>
        <v>CK20241028338</v>
      </c>
      <c r="C1899" s="1" t="str">
        <f>"DD2024102819871"</f>
        <v>DD2024102819871</v>
      </c>
      <c r="D1899" s="1" t="str">
        <f>"CK202410289557"</f>
        <v>CK202410289557</v>
      </c>
      <c r="E1899" s="1" t="str">
        <f>"3723607615466767616"</f>
        <v>3723607615466767616</v>
      </c>
      <c r="F1899" s="1" t="str">
        <f t="shared" si="566"/>
        <v>花都四部-凤凰仓</v>
      </c>
      <c r="G1899" s="1" t="str">
        <f t="shared" si="570"/>
        <v>卡卡杜企业店（视频号）</v>
      </c>
      <c r="H1899" s="1" t="str">
        <f t="shared" si="567"/>
        <v>正常订单</v>
      </c>
      <c r="I1899" s="1" t="str">
        <f t="shared" si="568"/>
        <v>已发货</v>
      </c>
      <c r="J1899" s="1" t="str">
        <f t="shared" si="571"/>
        <v>2</v>
      </c>
      <c r="K1899" s="1">
        <v>2</v>
      </c>
      <c r="L1899" s="1" t="s">
        <v>30</v>
      </c>
      <c r="M1899" s="1" t="str">
        <f>"山东省 青岛市 市北区 "</f>
        <v xml:space="preserve">山东省 青岛市 市北区 </v>
      </c>
      <c r="N1899" s="1" t="str">
        <f t="shared" si="572"/>
        <v>凡华云仓-城南圆通-微信视频号</v>
      </c>
      <c r="O1899" s="5" t="s">
        <v>1936</v>
      </c>
      <c r="P1899" s="6">
        <v>0.17</v>
      </c>
      <c r="Q1899" s="11">
        <v>2</v>
      </c>
      <c r="R1899" s="11"/>
      <c r="S1899" s="11"/>
      <c r="T1899" s="11"/>
      <c r="U1899" s="11">
        <f t="shared" si="569"/>
        <v>2</v>
      </c>
      <c r="W1899">
        <v>2.2000000000000002</v>
      </c>
      <c r="X1899" s="1" t="s">
        <v>30</v>
      </c>
    </row>
    <row r="1900" spans="1:24" x14ac:dyDescent="0.25">
      <c r="A1900" s="1" t="str">
        <f t="shared" si="565"/>
        <v>卡卡杜-凤凰仓</v>
      </c>
      <c r="B1900" s="1" t="str">
        <f>"CK20241028337"</f>
        <v>CK20241028337</v>
      </c>
      <c r="C1900" s="1" t="str">
        <f>"DD2024102819870"</f>
        <v>DD2024102819870</v>
      </c>
      <c r="D1900" s="1" t="str">
        <f>"CK202410289556"</f>
        <v>CK202410289556</v>
      </c>
      <c r="E1900" s="1" t="str">
        <f>"3723607618036568064"</f>
        <v>3723607618036568064</v>
      </c>
      <c r="F1900" s="1" t="str">
        <f t="shared" si="566"/>
        <v>花都四部-凤凰仓</v>
      </c>
      <c r="G1900" s="1" t="str">
        <f t="shared" si="570"/>
        <v>卡卡杜企业店（视频号）</v>
      </c>
      <c r="H1900" s="1" t="str">
        <f t="shared" si="567"/>
        <v>正常订单</v>
      </c>
      <c r="I1900" s="1" t="str">
        <f t="shared" si="568"/>
        <v>已发货</v>
      </c>
      <c r="J1900" s="1" t="str">
        <f t="shared" si="571"/>
        <v>2</v>
      </c>
      <c r="K1900" s="1">
        <v>2</v>
      </c>
      <c r="L1900" s="1" t="s">
        <v>18</v>
      </c>
      <c r="M1900" s="1" t="str">
        <f>"广东省 广州市 海珠区 "</f>
        <v xml:space="preserve">广东省 广州市 海珠区 </v>
      </c>
      <c r="N1900" s="1" t="str">
        <f t="shared" si="572"/>
        <v>凡华云仓-城南圆通-微信视频号</v>
      </c>
      <c r="O1900" s="5" t="s">
        <v>1937</v>
      </c>
      <c r="P1900" s="6">
        <v>0.17</v>
      </c>
      <c r="Q1900" s="11">
        <v>2</v>
      </c>
      <c r="R1900" s="11"/>
      <c r="S1900" s="11"/>
      <c r="T1900" s="11"/>
      <c r="U1900" s="11">
        <f t="shared" si="569"/>
        <v>2</v>
      </c>
      <c r="W1900">
        <v>2.2000000000000002</v>
      </c>
      <c r="X1900" s="1" t="s">
        <v>18</v>
      </c>
    </row>
    <row r="1901" spans="1:24" x14ac:dyDescent="0.25">
      <c r="A1901" s="1" t="str">
        <f t="shared" si="565"/>
        <v>卡卡杜-凤凰仓</v>
      </c>
      <c r="B1901" s="1" t="str">
        <f>"CK20241028334"</f>
        <v>CK20241028334</v>
      </c>
      <c r="C1901" s="1" t="str">
        <f>"DD2024102819869"</f>
        <v>DD2024102819869</v>
      </c>
      <c r="D1901" s="1" t="str">
        <f>"CK202410289555"</f>
        <v>CK202410289555</v>
      </c>
      <c r="E1901" s="1" t="str">
        <f>"3723607619450311680"</f>
        <v>3723607619450311680</v>
      </c>
      <c r="F1901" s="1" t="str">
        <f t="shared" si="566"/>
        <v>花都四部-凤凰仓</v>
      </c>
      <c r="G1901" s="1" t="str">
        <f t="shared" si="570"/>
        <v>卡卡杜企业店（视频号）</v>
      </c>
      <c r="H1901" s="1" t="str">
        <f t="shared" si="567"/>
        <v>正常订单</v>
      </c>
      <c r="I1901" s="1" t="str">
        <f t="shared" si="568"/>
        <v>已发货</v>
      </c>
      <c r="J1901" s="1" t="str">
        <f t="shared" si="571"/>
        <v>2</v>
      </c>
      <c r="K1901" s="1">
        <v>2</v>
      </c>
      <c r="L1901" s="1" t="s">
        <v>30</v>
      </c>
      <c r="M1901" s="1" t="str">
        <f>"山东省 青岛市 市南区 "</f>
        <v xml:space="preserve">山东省 青岛市 市南区 </v>
      </c>
      <c r="N1901" s="1" t="str">
        <f t="shared" si="572"/>
        <v>凡华云仓-城南圆通-微信视频号</v>
      </c>
      <c r="O1901" s="5" t="s">
        <v>1938</v>
      </c>
      <c r="P1901" s="6">
        <v>0.17</v>
      </c>
      <c r="Q1901" s="11">
        <v>2</v>
      </c>
      <c r="R1901" s="11"/>
      <c r="S1901" s="11"/>
      <c r="T1901" s="11"/>
      <c r="U1901" s="11">
        <f t="shared" si="569"/>
        <v>2</v>
      </c>
      <c r="W1901">
        <v>2.2000000000000002</v>
      </c>
      <c r="X1901" s="1" t="s">
        <v>30</v>
      </c>
    </row>
    <row r="1902" spans="1:24" x14ac:dyDescent="0.25">
      <c r="A1902" s="1" t="str">
        <f t="shared" si="565"/>
        <v>卡卡杜-凤凰仓</v>
      </c>
      <c r="B1902" s="1" t="str">
        <f>"CK20241028331"</f>
        <v>CK20241028331</v>
      </c>
      <c r="C1902" s="1" t="str">
        <f>"DD2024102819868"</f>
        <v>DD2024102819868</v>
      </c>
      <c r="D1902" s="1" t="str">
        <f>"CK202410289554"</f>
        <v>CK202410289554</v>
      </c>
      <c r="E1902" s="1" t="str">
        <f>"3723607638357969920"</f>
        <v>3723607638357969920</v>
      </c>
      <c r="F1902" s="1" t="str">
        <f t="shared" si="566"/>
        <v>花都四部-凤凰仓</v>
      </c>
      <c r="G1902" s="1" t="str">
        <f t="shared" si="570"/>
        <v>卡卡杜企业店（视频号）</v>
      </c>
      <c r="H1902" s="1" t="str">
        <f t="shared" si="567"/>
        <v>正常订单</v>
      </c>
      <c r="I1902" s="1" t="str">
        <f t="shared" si="568"/>
        <v>已发货</v>
      </c>
      <c r="J1902" s="1" t="str">
        <f t="shared" si="571"/>
        <v>2</v>
      </c>
      <c r="K1902" s="1">
        <v>2</v>
      </c>
      <c r="L1902" s="1" t="s">
        <v>187</v>
      </c>
      <c r="M1902" s="1" t="str">
        <f>"吉林省 延边朝鲜族自治州 图们市 "</f>
        <v xml:space="preserve">吉林省 延边朝鲜族自治州 图们市 </v>
      </c>
      <c r="N1902" s="1" t="str">
        <f t="shared" si="572"/>
        <v>凡华云仓-城南圆通-微信视频号</v>
      </c>
      <c r="O1902" s="5" t="s">
        <v>1939</v>
      </c>
      <c r="P1902" s="6">
        <v>0.17</v>
      </c>
      <c r="Q1902" s="11">
        <v>2</v>
      </c>
      <c r="R1902" s="11"/>
      <c r="S1902" s="11"/>
      <c r="T1902" s="11"/>
      <c r="U1902" s="11">
        <f t="shared" si="569"/>
        <v>2</v>
      </c>
      <c r="W1902">
        <v>2.2000000000000002</v>
      </c>
      <c r="X1902" s="1" t="s">
        <v>187</v>
      </c>
    </row>
    <row r="1903" spans="1:24" x14ac:dyDescent="0.25">
      <c r="A1903" s="1" t="str">
        <f t="shared" si="565"/>
        <v>卡卡杜-凤凰仓</v>
      </c>
      <c r="B1903" s="1" t="str">
        <f>"CK20241028333"</f>
        <v>CK20241028333</v>
      </c>
      <c r="C1903" s="1" t="str">
        <f>"DD2024102819867"</f>
        <v>DD2024102819867</v>
      </c>
      <c r="D1903" s="1" t="str">
        <f>"CK202410289553"</f>
        <v>CK202410289553</v>
      </c>
      <c r="E1903" s="1" t="str">
        <f>"3723607628847908352"</f>
        <v>3723607628847908352</v>
      </c>
      <c r="F1903" s="1" t="str">
        <f t="shared" si="566"/>
        <v>花都四部-凤凰仓</v>
      </c>
      <c r="G1903" s="1" t="str">
        <f t="shared" si="570"/>
        <v>卡卡杜企业店（视频号）</v>
      </c>
      <c r="H1903" s="1" t="str">
        <f t="shared" si="567"/>
        <v>正常订单</v>
      </c>
      <c r="I1903" s="1" t="str">
        <f t="shared" si="568"/>
        <v>已发货</v>
      </c>
      <c r="J1903" s="1" t="str">
        <f t="shared" si="571"/>
        <v>2</v>
      </c>
      <c r="K1903" s="1">
        <v>2</v>
      </c>
      <c r="L1903" s="1" t="s">
        <v>109</v>
      </c>
      <c r="M1903" s="1" t="str">
        <f>"山西省 晋中市 介休市 "</f>
        <v xml:space="preserve">山西省 晋中市 介休市 </v>
      </c>
      <c r="N1903" s="1" t="str">
        <f t="shared" si="572"/>
        <v>凡华云仓-城南圆通-微信视频号</v>
      </c>
      <c r="O1903" s="5" t="s">
        <v>1940</v>
      </c>
      <c r="P1903" s="6">
        <v>0.17</v>
      </c>
      <c r="Q1903" s="11">
        <v>2</v>
      </c>
      <c r="R1903" s="11"/>
      <c r="S1903" s="11"/>
      <c r="T1903" s="11"/>
      <c r="U1903" s="11">
        <f t="shared" si="569"/>
        <v>2</v>
      </c>
      <c r="W1903">
        <v>2.2000000000000002</v>
      </c>
      <c r="X1903" s="1" t="s">
        <v>109</v>
      </c>
    </row>
    <row r="1904" spans="1:24" x14ac:dyDescent="0.25">
      <c r="A1904" s="1" t="str">
        <f t="shared" si="565"/>
        <v>卡卡杜-凤凰仓</v>
      </c>
      <c r="B1904" s="1" t="str">
        <f>"CK20241028335"</f>
        <v>CK20241028335</v>
      </c>
      <c r="C1904" s="1" t="str">
        <f>"DD2024102819866"</f>
        <v>DD2024102819866</v>
      </c>
      <c r="D1904" s="1" t="str">
        <f>"CK202410289552"</f>
        <v>CK202410289552</v>
      </c>
      <c r="E1904" s="1" t="str">
        <f>"3723607616837518848"</f>
        <v>3723607616837518848</v>
      </c>
      <c r="F1904" s="1" t="str">
        <f t="shared" si="566"/>
        <v>花都四部-凤凰仓</v>
      </c>
      <c r="G1904" s="1" t="str">
        <f t="shared" si="570"/>
        <v>卡卡杜企业店（视频号）</v>
      </c>
      <c r="H1904" s="1" t="str">
        <f t="shared" si="567"/>
        <v>正常订单</v>
      </c>
      <c r="I1904" s="1" t="str">
        <f t="shared" si="568"/>
        <v>已发货</v>
      </c>
      <c r="J1904" s="1" t="str">
        <f t="shared" si="571"/>
        <v>2</v>
      </c>
      <c r="K1904" s="1">
        <v>2</v>
      </c>
      <c r="L1904" s="1" t="s">
        <v>80</v>
      </c>
      <c r="M1904" s="1" t="str">
        <f>"河南省 商丘市 睢阳区 "</f>
        <v xml:space="preserve">河南省 商丘市 睢阳区 </v>
      </c>
      <c r="N1904" s="1" t="str">
        <f t="shared" si="572"/>
        <v>凡华云仓-城南圆通-微信视频号</v>
      </c>
      <c r="O1904" s="5" t="s">
        <v>1941</v>
      </c>
      <c r="P1904" s="6">
        <v>0.17</v>
      </c>
      <c r="Q1904" s="11">
        <v>2</v>
      </c>
      <c r="R1904" s="11"/>
      <c r="S1904" s="11"/>
      <c r="T1904" s="11"/>
      <c r="U1904" s="11">
        <f t="shared" si="569"/>
        <v>2</v>
      </c>
      <c r="W1904">
        <v>2.2000000000000002</v>
      </c>
      <c r="X1904" s="1" t="s">
        <v>80</v>
      </c>
    </row>
    <row r="1905" spans="1:24" x14ac:dyDescent="0.25">
      <c r="A1905" s="1" t="str">
        <f t="shared" si="565"/>
        <v>卡卡杜-凤凰仓</v>
      </c>
      <c r="B1905" s="1" t="str">
        <f>"CK20241028332"</f>
        <v>CK20241028332</v>
      </c>
      <c r="C1905" s="1" t="str">
        <f>"DD2024102819865"</f>
        <v>DD2024102819865</v>
      </c>
      <c r="D1905" s="1" t="str">
        <f>"CK202410289551"</f>
        <v>CK202410289551</v>
      </c>
      <c r="E1905" s="1" t="str">
        <f>"3723607632760673280"</f>
        <v>3723607632760673280</v>
      </c>
      <c r="F1905" s="1" t="str">
        <f t="shared" si="566"/>
        <v>花都四部-凤凰仓</v>
      </c>
      <c r="G1905" s="1" t="str">
        <f t="shared" si="570"/>
        <v>卡卡杜企业店（视频号）</v>
      </c>
      <c r="H1905" s="1" t="str">
        <f t="shared" si="567"/>
        <v>正常订单</v>
      </c>
      <c r="I1905" s="1" t="str">
        <f t="shared" si="568"/>
        <v>已发货</v>
      </c>
      <c r="J1905" s="1" t="str">
        <f t="shared" si="571"/>
        <v>2</v>
      </c>
      <c r="K1905" s="1">
        <v>2</v>
      </c>
      <c r="L1905" s="1" t="s">
        <v>52</v>
      </c>
      <c r="M1905" s="1" t="str">
        <f>"甘肃省 兰州市 七里河区 "</f>
        <v xml:space="preserve">甘肃省 兰州市 七里河区 </v>
      </c>
      <c r="N1905" s="1" t="str">
        <f t="shared" si="572"/>
        <v>凡华云仓-城南圆通-微信视频号</v>
      </c>
      <c r="O1905" s="5" t="s">
        <v>1942</v>
      </c>
      <c r="P1905" s="6">
        <v>0.17</v>
      </c>
      <c r="Q1905" s="11">
        <v>2</v>
      </c>
      <c r="R1905" s="11"/>
      <c r="S1905" s="11"/>
      <c r="T1905" s="11"/>
      <c r="U1905" s="11">
        <f t="shared" si="569"/>
        <v>2</v>
      </c>
      <c r="W1905">
        <v>2.2000000000000002</v>
      </c>
      <c r="X1905" s="1" t="s">
        <v>52</v>
      </c>
    </row>
    <row r="1906" spans="1:24" x14ac:dyDescent="0.25">
      <c r="A1906" s="1" t="str">
        <f t="shared" si="565"/>
        <v>卡卡杜-凤凰仓</v>
      </c>
      <c r="B1906" s="1" t="str">
        <f>"CK20241028336"</f>
        <v>CK20241028336</v>
      </c>
      <c r="C1906" s="1" t="str">
        <f>"DD2024102819864"</f>
        <v>DD2024102819864</v>
      </c>
      <c r="D1906" s="1" t="str">
        <f>"CK202410289550"</f>
        <v>CK202410289550</v>
      </c>
      <c r="E1906" s="1" t="str">
        <f>"3723607615980047360"</f>
        <v>3723607615980047360</v>
      </c>
      <c r="F1906" s="1" t="str">
        <f t="shared" si="566"/>
        <v>花都四部-凤凰仓</v>
      </c>
      <c r="G1906" s="1" t="str">
        <f t="shared" si="570"/>
        <v>卡卡杜企业店（视频号）</v>
      </c>
      <c r="H1906" s="1" t="str">
        <f t="shared" si="567"/>
        <v>正常订单</v>
      </c>
      <c r="I1906" s="1" t="str">
        <f t="shared" si="568"/>
        <v>已发货</v>
      </c>
      <c r="J1906" s="1" t="str">
        <f t="shared" si="571"/>
        <v>2</v>
      </c>
      <c r="K1906" s="1">
        <v>2</v>
      </c>
      <c r="L1906" s="1" t="s">
        <v>105</v>
      </c>
      <c r="M1906" s="1" t="str">
        <f>"北京 北京市 朝阳区 "</f>
        <v xml:space="preserve">北京 北京市 朝阳区 </v>
      </c>
      <c r="N1906" s="1" t="str">
        <f t="shared" si="572"/>
        <v>凡华云仓-城南圆通-微信视频号</v>
      </c>
      <c r="O1906" s="5" t="s">
        <v>1943</v>
      </c>
      <c r="P1906" s="6">
        <v>0.17</v>
      </c>
      <c r="Q1906" s="11">
        <v>2</v>
      </c>
      <c r="R1906" s="11"/>
      <c r="S1906" s="11"/>
      <c r="T1906" s="11"/>
      <c r="U1906" s="11">
        <f t="shared" si="569"/>
        <v>2</v>
      </c>
      <c r="W1906">
        <v>2.2000000000000002</v>
      </c>
      <c r="X1906" s="1" t="s">
        <v>105</v>
      </c>
    </row>
    <row r="1907" spans="1:24" x14ac:dyDescent="0.25">
      <c r="A1907" s="1" t="str">
        <f t="shared" si="565"/>
        <v>卡卡杜-凤凰仓</v>
      </c>
      <c r="B1907" s="1" t="str">
        <f>"CK20241028330"</f>
        <v>CK20241028330</v>
      </c>
      <c r="C1907" s="1" t="str">
        <f>"DD2024102819832"</f>
        <v>DD2024102819832</v>
      </c>
      <c r="D1907" s="1" t="str">
        <f>"CK202410289530"</f>
        <v>CK202410289530</v>
      </c>
      <c r="E1907" s="1" t="str">
        <f>"3723605083382483968"</f>
        <v>3723605083382483968</v>
      </c>
      <c r="F1907" s="1" t="str">
        <f t="shared" si="566"/>
        <v>花都四部-凤凰仓</v>
      </c>
      <c r="G1907" s="1" t="str">
        <f t="shared" si="570"/>
        <v>卡卡杜企业店（视频号）</v>
      </c>
      <c r="H1907" s="1" t="str">
        <f t="shared" si="567"/>
        <v>正常订单</v>
      </c>
      <c r="I1907" s="1" t="str">
        <f t="shared" si="568"/>
        <v>已发货</v>
      </c>
      <c r="J1907" s="1" t="str">
        <f t="shared" ref="J1907:J1965" si="573">"5"</f>
        <v>5</v>
      </c>
      <c r="K1907" s="1">
        <v>2</v>
      </c>
      <c r="L1907" s="1" t="s">
        <v>105</v>
      </c>
      <c r="M1907" s="1" t="str">
        <f>"北京 北京市 石景山区 "</f>
        <v xml:space="preserve">北京 北京市 石景山区 </v>
      </c>
      <c r="N1907" s="1" t="str">
        <f t="shared" si="572"/>
        <v>凡华云仓-城南圆通-微信视频号</v>
      </c>
      <c r="O1907" s="5" t="s">
        <v>1944</v>
      </c>
      <c r="P1907" s="6">
        <v>0.35</v>
      </c>
      <c r="Q1907" s="11">
        <v>2.2999999999999998</v>
      </c>
      <c r="R1907" s="11"/>
      <c r="S1907" s="11"/>
      <c r="T1907" s="11"/>
      <c r="U1907" s="11">
        <f t="shared" si="569"/>
        <v>2.2999999999999998</v>
      </c>
      <c r="W1907">
        <v>2.5</v>
      </c>
      <c r="X1907" s="1" t="s">
        <v>105</v>
      </c>
    </row>
    <row r="1908" spans="1:24" x14ac:dyDescent="0.25">
      <c r="A1908" s="1" t="str">
        <f t="shared" si="565"/>
        <v>卡卡杜-凤凰仓</v>
      </c>
      <c r="B1908" s="1" t="str">
        <f>"CK20241028329"</f>
        <v>CK20241028329</v>
      </c>
      <c r="C1908" s="1" t="str">
        <f>"DD2024102819795"</f>
        <v>DD2024102819795</v>
      </c>
      <c r="D1908" s="1" t="str">
        <f>"CK202410289484"</f>
        <v>CK202410289484</v>
      </c>
      <c r="E1908" s="1" t="str">
        <f>"3723607591707346176"</f>
        <v>3723607591707346176</v>
      </c>
      <c r="F1908" s="1" t="str">
        <f t="shared" si="566"/>
        <v>花都四部-凤凰仓</v>
      </c>
      <c r="G1908" s="1" t="str">
        <f t="shared" si="570"/>
        <v>卡卡杜企业店（视频号）</v>
      </c>
      <c r="H1908" s="1" t="str">
        <f t="shared" si="567"/>
        <v>正常订单</v>
      </c>
      <c r="I1908" s="1" t="str">
        <f t="shared" si="568"/>
        <v>已发货</v>
      </c>
      <c r="J1908" s="1" t="str">
        <f t="shared" si="573"/>
        <v>5</v>
      </c>
      <c r="K1908" s="1">
        <v>3</v>
      </c>
      <c r="L1908" s="1" t="s">
        <v>24</v>
      </c>
      <c r="M1908" s="1" t="str">
        <f>"福建省 福州市 晋安区 "</f>
        <v xml:space="preserve">福建省 福州市 晋安区 </v>
      </c>
      <c r="N1908" s="1" t="str">
        <f t="shared" si="572"/>
        <v>凡华云仓-城南圆通-微信视频号</v>
      </c>
      <c r="O1908" s="5" t="s">
        <v>1945</v>
      </c>
      <c r="P1908" s="6">
        <v>0.56000000000000005</v>
      </c>
      <c r="Q1908" s="11">
        <f t="shared" ref="Q1908:Q1921" si="574">CEILING(P1908-0.5,0.1)*10*0.15+2.3</f>
        <v>2.4499999999999997</v>
      </c>
      <c r="R1908" s="11"/>
      <c r="S1908" s="11"/>
      <c r="T1908" s="11"/>
      <c r="U1908" s="11">
        <f t="shared" si="569"/>
        <v>2.4499999999999997</v>
      </c>
      <c r="V1908" t="s">
        <v>15</v>
      </c>
      <c r="W1908">
        <v>2.4500000000000002</v>
      </c>
      <c r="X1908" s="1" t="s">
        <v>24</v>
      </c>
    </row>
    <row r="1909" spans="1:24" x14ac:dyDescent="0.25">
      <c r="A1909" s="1" t="str">
        <f t="shared" si="565"/>
        <v>卡卡杜-凤凰仓</v>
      </c>
      <c r="B1909" s="1" t="str">
        <f>"CK20241028328"</f>
        <v>CK20241028328</v>
      </c>
      <c r="C1909" s="1" t="str">
        <f>"DD2024102819794"</f>
        <v>DD2024102819794</v>
      </c>
      <c r="D1909" s="1" t="str">
        <f>"CK202410289483"</f>
        <v>CK202410289483</v>
      </c>
      <c r="E1909" s="1" t="str">
        <f>"3723607584174380032"</f>
        <v>3723607584174380032</v>
      </c>
      <c r="F1909" s="1" t="str">
        <f t="shared" si="566"/>
        <v>花都四部-凤凰仓</v>
      </c>
      <c r="G1909" s="1" t="str">
        <f t="shared" si="570"/>
        <v>卡卡杜企业店（视频号）</v>
      </c>
      <c r="H1909" s="1" t="str">
        <f t="shared" si="567"/>
        <v>正常订单</v>
      </c>
      <c r="I1909" s="1" t="str">
        <f t="shared" si="568"/>
        <v>已发货</v>
      </c>
      <c r="J1909" s="1" t="str">
        <f t="shared" si="573"/>
        <v>5</v>
      </c>
      <c r="K1909" s="1">
        <v>3</v>
      </c>
      <c r="L1909" s="1" t="s">
        <v>18</v>
      </c>
      <c r="M1909" s="1" t="str">
        <f>"广东省 中山市 南朗街道 "</f>
        <v xml:space="preserve">广东省 中山市 南朗街道 </v>
      </c>
      <c r="N1909" s="1" t="str">
        <f t="shared" si="572"/>
        <v>凡华云仓-城南圆通-微信视频号</v>
      </c>
      <c r="O1909" s="5" t="s">
        <v>1946</v>
      </c>
      <c r="P1909" s="6">
        <v>0.56000000000000005</v>
      </c>
      <c r="Q1909" s="11">
        <f t="shared" si="574"/>
        <v>2.4499999999999997</v>
      </c>
      <c r="R1909" s="11"/>
      <c r="S1909" s="11"/>
      <c r="T1909" s="11"/>
      <c r="U1909" s="11">
        <f t="shared" si="569"/>
        <v>2.4499999999999997</v>
      </c>
      <c r="V1909" t="s">
        <v>15</v>
      </c>
      <c r="W1909">
        <v>2.4500000000000002</v>
      </c>
      <c r="X1909" s="1" t="s">
        <v>18</v>
      </c>
    </row>
    <row r="1910" spans="1:24" x14ac:dyDescent="0.25">
      <c r="A1910" s="1" t="str">
        <f t="shared" si="565"/>
        <v>卡卡杜-凤凰仓</v>
      </c>
      <c r="B1910" s="1" t="str">
        <f>"CK20241028327"</f>
        <v>CK20241028327</v>
      </c>
      <c r="C1910" s="1" t="str">
        <f>"DD2024102819793"</f>
        <v>DD2024102819793</v>
      </c>
      <c r="D1910" s="1" t="str">
        <f>"CK202410289482"</f>
        <v>CK202410289482</v>
      </c>
      <c r="E1910" s="1" t="str">
        <f>"3723607623143392769"</f>
        <v>3723607623143392769</v>
      </c>
      <c r="F1910" s="1" t="str">
        <f t="shared" si="566"/>
        <v>花都四部-凤凰仓</v>
      </c>
      <c r="G1910" s="1" t="str">
        <f t="shared" si="570"/>
        <v>卡卡杜企业店（视频号）</v>
      </c>
      <c r="H1910" s="1" t="str">
        <f t="shared" si="567"/>
        <v>正常订单</v>
      </c>
      <c r="I1910" s="1" t="str">
        <f t="shared" si="568"/>
        <v>已发货</v>
      </c>
      <c r="J1910" s="1" t="str">
        <f t="shared" si="573"/>
        <v>5</v>
      </c>
      <c r="K1910" s="1">
        <v>3</v>
      </c>
      <c r="L1910" s="1" t="s">
        <v>105</v>
      </c>
      <c r="M1910" s="1" t="str">
        <f>"北京 北京市 丰台区 "</f>
        <v xml:space="preserve">北京 北京市 丰台区 </v>
      </c>
      <c r="N1910" s="1" t="str">
        <f t="shared" si="572"/>
        <v>凡华云仓-城南圆通-微信视频号</v>
      </c>
      <c r="O1910" s="5" t="s">
        <v>1947</v>
      </c>
      <c r="P1910" s="6">
        <v>0.56000000000000005</v>
      </c>
      <c r="Q1910" s="11">
        <f t="shared" si="574"/>
        <v>2.4499999999999997</v>
      </c>
      <c r="R1910" s="11"/>
      <c r="S1910" s="11"/>
      <c r="T1910" s="11"/>
      <c r="U1910" s="11">
        <f t="shared" si="569"/>
        <v>2.4499999999999997</v>
      </c>
      <c r="V1910" t="s">
        <v>15</v>
      </c>
      <c r="W1910">
        <v>2.4500000000000002</v>
      </c>
      <c r="X1910" s="1" t="s">
        <v>105</v>
      </c>
    </row>
    <row r="1911" spans="1:24" x14ac:dyDescent="0.25">
      <c r="A1911" s="1" t="str">
        <f t="shared" si="565"/>
        <v>卡卡杜-凤凰仓</v>
      </c>
      <c r="B1911" s="1" t="str">
        <f>"CK20241028326"</f>
        <v>CK20241028326</v>
      </c>
      <c r="C1911" s="1" t="str">
        <f>"DD2024102819792"</f>
        <v>DD2024102819792</v>
      </c>
      <c r="D1911" s="1" t="str">
        <f>"CK202410289481"</f>
        <v>CK202410289481</v>
      </c>
      <c r="E1911" s="1" t="str">
        <f>"3723605927613564161"</f>
        <v>3723605927613564161</v>
      </c>
      <c r="F1911" s="1" t="str">
        <f t="shared" si="566"/>
        <v>花都四部-凤凰仓</v>
      </c>
      <c r="G1911" s="1" t="str">
        <f t="shared" si="570"/>
        <v>卡卡杜企业店（视频号）</v>
      </c>
      <c r="H1911" s="1" t="str">
        <f t="shared" si="567"/>
        <v>正常订单</v>
      </c>
      <c r="I1911" s="1" t="str">
        <f t="shared" si="568"/>
        <v>已发货</v>
      </c>
      <c r="J1911" s="1" t="str">
        <f t="shared" si="573"/>
        <v>5</v>
      </c>
      <c r="K1911" s="1">
        <v>3</v>
      </c>
      <c r="L1911" s="1" t="s">
        <v>44</v>
      </c>
      <c r="M1911" s="1" t="str">
        <f>"海南省 海口市 秀英区 "</f>
        <v xml:space="preserve">海南省 海口市 秀英区 </v>
      </c>
      <c r="N1911" s="1" t="str">
        <f t="shared" si="572"/>
        <v>凡华云仓-城南圆通-微信视频号</v>
      </c>
      <c r="O1911" s="5" t="s">
        <v>1948</v>
      </c>
      <c r="P1911" s="6">
        <v>0.56000000000000005</v>
      </c>
      <c r="Q1911" s="11">
        <f t="shared" si="574"/>
        <v>2.4499999999999997</v>
      </c>
      <c r="R1911" s="11"/>
      <c r="S1911" s="11"/>
      <c r="T1911" s="11"/>
      <c r="U1911" s="11">
        <f t="shared" si="569"/>
        <v>2.4499999999999997</v>
      </c>
      <c r="V1911" t="s">
        <v>15</v>
      </c>
      <c r="W1911">
        <v>2.4500000000000002</v>
      </c>
      <c r="X1911" s="1" t="s">
        <v>44</v>
      </c>
    </row>
    <row r="1912" spans="1:24" x14ac:dyDescent="0.25">
      <c r="A1912" s="1" t="str">
        <f t="shared" si="565"/>
        <v>卡卡杜-凤凰仓</v>
      </c>
      <c r="B1912" s="1" t="str">
        <f>"CK20241028325"</f>
        <v>CK20241028325</v>
      </c>
      <c r="C1912" s="1" t="str">
        <f>"DD2024102819791"</f>
        <v>DD2024102819791</v>
      </c>
      <c r="D1912" s="1" t="str">
        <f>"CK202410289480"</f>
        <v>CK202410289480</v>
      </c>
      <c r="E1912" s="1" t="str">
        <f>"3723606988666309632"</f>
        <v>3723606988666309632</v>
      </c>
      <c r="F1912" s="1" t="str">
        <f t="shared" si="566"/>
        <v>花都四部-凤凰仓</v>
      </c>
      <c r="G1912" s="1" t="str">
        <f t="shared" si="570"/>
        <v>卡卡杜企业店（视频号）</v>
      </c>
      <c r="H1912" s="1" t="str">
        <f t="shared" si="567"/>
        <v>正常订单</v>
      </c>
      <c r="I1912" s="1" t="str">
        <f t="shared" si="568"/>
        <v>已发货</v>
      </c>
      <c r="J1912" s="1" t="str">
        <f t="shared" si="573"/>
        <v>5</v>
      </c>
      <c r="K1912" s="1">
        <v>3</v>
      </c>
      <c r="L1912" s="1" t="s">
        <v>161</v>
      </c>
      <c r="M1912" s="1" t="str">
        <f>"四川省 成都市 双流区 "</f>
        <v xml:space="preserve">四川省 成都市 双流区 </v>
      </c>
      <c r="N1912" s="1" t="str">
        <f t="shared" si="572"/>
        <v>凡华云仓-城南圆通-微信视频号</v>
      </c>
      <c r="O1912" s="5" t="s">
        <v>1949</v>
      </c>
      <c r="P1912" s="6">
        <v>0.56000000000000005</v>
      </c>
      <c r="Q1912" s="11">
        <f t="shared" si="574"/>
        <v>2.4499999999999997</v>
      </c>
      <c r="R1912" s="11"/>
      <c r="S1912" s="11"/>
      <c r="T1912" s="11"/>
      <c r="U1912" s="11">
        <f t="shared" si="569"/>
        <v>2.4499999999999997</v>
      </c>
      <c r="V1912" t="s">
        <v>15</v>
      </c>
      <c r="W1912">
        <v>2.4500000000000002</v>
      </c>
      <c r="X1912" s="1" t="s">
        <v>161</v>
      </c>
    </row>
    <row r="1913" spans="1:24" x14ac:dyDescent="0.25">
      <c r="A1913" s="1" t="str">
        <f t="shared" si="565"/>
        <v>卡卡杜-凤凰仓</v>
      </c>
      <c r="B1913" s="1" t="str">
        <f>"CK20241028324"</f>
        <v>CK20241028324</v>
      </c>
      <c r="C1913" s="1" t="str">
        <f>"DD2024102819790"</f>
        <v>DD2024102819790</v>
      </c>
      <c r="D1913" s="1" t="str">
        <f>"CK202410289479"</f>
        <v>CK202410289479</v>
      </c>
      <c r="E1913" s="1" t="str">
        <f>"3723605946326191104"</f>
        <v>3723605946326191104</v>
      </c>
      <c r="F1913" s="1" t="str">
        <f t="shared" si="566"/>
        <v>花都四部-凤凰仓</v>
      </c>
      <c r="G1913" s="1" t="str">
        <f t="shared" si="570"/>
        <v>卡卡杜企业店（视频号）</v>
      </c>
      <c r="H1913" s="1" t="str">
        <f t="shared" si="567"/>
        <v>正常订单</v>
      </c>
      <c r="I1913" s="1" t="str">
        <f t="shared" si="568"/>
        <v>已发货</v>
      </c>
      <c r="J1913" s="1" t="str">
        <f t="shared" si="573"/>
        <v>5</v>
      </c>
      <c r="K1913" s="1">
        <v>3</v>
      </c>
      <c r="L1913" s="1" t="s">
        <v>105</v>
      </c>
      <c r="M1913" s="1" t="str">
        <f>"北京 北京市 海淀区 "</f>
        <v xml:space="preserve">北京 北京市 海淀区 </v>
      </c>
      <c r="N1913" s="1" t="str">
        <f t="shared" si="572"/>
        <v>凡华云仓-城南圆通-微信视频号</v>
      </c>
      <c r="O1913" s="5" t="s">
        <v>1950</v>
      </c>
      <c r="P1913" s="6">
        <v>0.56000000000000005</v>
      </c>
      <c r="Q1913" s="11">
        <f t="shared" si="574"/>
        <v>2.4499999999999997</v>
      </c>
      <c r="R1913" s="11"/>
      <c r="S1913" s="11"/>
      <c r="T1913" s="11"/>
      <c r="U1913" s="11">
        <f t="shared" si="569"/>
        <v>2.4499999999999997</v>
      </c>
      <c r="V1913" t="s">
        <v>15</v>
      </c>
      <c r="W1913">
        <v>2.4500000000000002</v>
      </c>
      <c r="X1913" s="1" t="s">
        <v>105</v>
      </c>
    </row>
    <row r="1914" spans="1:24" x14ac:dyDescent="0.25">
      <c r="A1914" s="1" t="str">
        <f t="shared" si="565"/>
        <v>卡卡杜-凤凰仓</v>
      </c>
      <c r="B1914" s="1" t="str">
        <f>"CK20241028322"</f>
        <v>CK20241028322</v>
      </c>
      <c r="C1914" s="1" t="str">
        <f>"DD2024102819789"</f>
        <v>DD2024102819789</v>
      </c>
      <c r="D1914" s="1" t="str">
        <f>"CK202410289478"</f>
        <v>CK202410289478</v>
      </c>
      <c r="E1914" s="1" t="str">
        <f>"3723605928660308993"</f>
        <v>3723605928660308993</v>
      </c>
      <c r="F1914" s="1" t="str">
        <f t="shared" si="566"/>
        <v>花都四部-凤凰仓</v>
      </c>
      <c r="G1914" s="1" t="str">
        <f t="shared" si="570"/>
        <v>卡卡杜企业店（视频号）</v>
      </c>
      <c r="H1914" s="1" t="str">
        <f t="shared" si="567"/>
        <v>正常订单</v>
      </c>
      <c r="I1914" s="1" t="str">
        <f t="shared" si="568"/>
        <v>已发货</v>
      </c>
      <c r="J1914" s="1" t="str">
        <f t="shared" si="573"/>
        <v>5</v>
      </c>
      <c r="K1914" s="1">
        <v>3</v>
      </c>
      <c r="L1914" s="1" t="s">
        <v>105</v>
      </c>
      <c r="M1914" s="1" t="str">
        <f>"北京 北京市 朝阳区 "</f>
        <v xml:space="preserve">北京 北京市 朝阳区 </v>
      </c>
      <c r="N1914" s="1" t="str">
        <f t="shared" si="572"/>
        <v>凡华云仓-城南圆通-微信视频号</v>
      </c>
      <c r="O1914" s="5" t="s">
        <v>1951</v>
      </c>
      <c r="P1914" s="6">
        <v>0.56000000000000005</v>
      </c>
      <c r="Q1914" s="11">
        <f t="shared" si="574"/>
        <v>2.4499999999999997</v>
      </c>
      <c r="R1914" s="11"/>
      <c r="S1914" s="11"/>
      <c r="T1914" s="11"/>
      <c r="U1914" s="11">
        <f t="shared" si="569"/>
        <v>2.4499999999999997</v>
      </c>
      <c r="V1914" t="s">
        <v>15</v>
      </c>
      <c r="W1914">
        <v>2.4500000000000002</v>
      </c>
      <c r="X1914" s="1" t="s">
        <v>105</v>
      </c>
    </row>
    <row r="1915" spans="1:24" x14ac:dyDescent="0.25">
      <c r="A1915" s="1" t="str">
        <f t="shared" si="565"/>
        <v>卡卡杜-凤凰仓</v>
      </c>
      <c r="B1915" s="1" t="str">
        <f>"CK20241028323"</f>
        <v>CK20241028323</v>
      </c>
      <c r="C1915" s="1" t="str">
        <f>"DD2024102819788"</f>
        <v>DD2024102819788</v>
      </c>
      <c r="D1915" s="1" t="str">
        <f>"CK202410289477"</f>
        <v>CK202410289477</v>
      </c>
      <c r="E1915" s="1" t="str">
        <f>"3723605929182761985"</f>
        <v>3723605929182761985</v>
      </c>
      <c r="F1915" s="1" t="str">
        <f t="shared" si="566"/>
        <v>花都四部-凤凰仓</v>
      </c>
      <c r="G1915" s="1" t="str">
        <f t="shared" si="570"/>
        <v>卡卡杜企业店（视频号）</v>
      </c>
      <c r="H1915" s="1" t="str">
        <f t="shared" si="567"/>
        <v>正常订单</v>
      </c>
      <c r="I1915" s="1" t="str">
        <f t="shared" si="568"/>
        <v>已发货</v>
      </c>
      <c r="J1915" s="1" t="str">
        <f t="shared" si="573"/>
        <v>5</v>
      </c>
      <c r="K1915" s="1">
        <v>3</v>
      </c>
      <c r="L1915" s="1" t="s">
        <v>30</v>
      </c>
      <c r="M1915" s="1" t="str">
        <f>"山东省 泰安市 泰山区 "</f>
        <v xml:space="preserve">山东省 泰安市 泰山区 </v>
      </c>
      <c r="N1915" s="1" t="str">
        <f t="shared" si="572"/>
        <v>凡华云仓-城南圆通-微信视频号</v>
      </c>
      <c r="O1915" s="5" t="s">
        <v>1952</v>
      </c>
      <c r="P1915" s="6">
        <v>0.56000000000000005</v>
      </c>
      <c r="Q1915" s="11">
        <f t="shared" si="574"/>
        <v>2.4499999999999997</v>
      </c>
      <c r="R1915" s="11"/>
      <c r="S1915" s="11"/>
      <c r="T1915" s="11"/>
      <c r="U1915" s="11">
        <f t="shared" si="569"/>
        <v>2.4499999999999997</v>
      </c>
      <c r="V1915" t="s">
        <v>15</v>
      </c>
      <c r="W1915">
        <v>2.4500000000000002</v>
      </c>
      <c r="X1915" s="1" t="s">
        <v>30</v>
      </c>
    </row>
    <row r="1916" spans="1:24" x14ac:dyDescent="0.25">
      <c r="A1916" s="1" t="str">
        <f t="shared" si="565"/>
        <v>卡卡杜-凤凰仓</v>
      </c>
      <c r="B1916" s="1" t="str">
        <f>"CK20241028321"</f>
        <v>CK20241028321</v>
      </c>
      <c r="C1916" s="1" t="str">
        <f>"DD2024102819787"</f>
        <v>DD2024102819787</v>
      </c>
      <c r="D1916" s="1" t="str">
        <f>"CK202410289476"</f>
        <v>CK202410289476</v>
      </c>
      <c r="E1916" s="1" t="str">
        <f>"3723605919274767360"</f>
        <v>3723605919274767360</v>
      </c>
      <c r="F1916" s="1" t="str">
        <f t="shared" si="566"/>
        <v>花都四部-凤凰仓</v>
      </c>
      <c r="G1916" s="1" t="str">
        <f t="shared" si="570"/>
        <v>卡卡杜企业店（视频号）</v>
      </c>
      <c r="H1916" s="1" t="str">
        <f t="shared" si="567"/>
        <v>正常订单</v>
      </c>
      <c r="I1916" s="1" t="str">
        <f t="shared" si="568"/>
        <v>已发货</v>
      </c>
      <c r="J1916" s="1" t="str">
        <f t="shared" si="573"/>
        <v>5</v>
      </c>
      <c r="K1916" s="1">
        <v>3</v>
      </c>
      <c r="L1916" s="1" t="s">
        <v>47</v>
      </c>
      <c r="M1916" s="1" t="str">
        <f>"重庆 重庆市 南岸区 "</f>
        <v xml:space="preserve">重庆 重庆市 南岸区 </v>
      </c>
      <c r="N1916" s="1" t="str">
        <f t="shared" si="572"/>
        <v>凡华云仓-城南圆通-微信视频号</v>
      </c>
      <c r="O1916" s="5" t="s">
        <v>1953</v>
      </c>
      <c r="P1916" s="6">
        <v>0.56000000000000005</v>
      </c>
      <c r="Q1916" s="11">
        <f t="shared" si="574"/>
        <v>2.4499999999999997</v>
      </c>
      <c r="R1916" s="11"/>
      <c r="S1916" s="11"/>
      <c r="T1916" s="11"/>
      <c r="U1916" s="11">
        <f t="shared" si="569"/>
        <v>2.4499999999999997</v>
      </c>
      <c r="V1916" t="s">
        <v>15</v>
      </c>
      <c r="W1916">
        <v>2.4500000000000002</v>
      </c>
      <c r="X1916" s="1" t="s">
        <v>47</v>
      </c>
    </row>
    <row r="1917" spans="1:24" x14ac:dyDescent="0.25">
      <c r="A1917" s="1" t="str">
        <f t="shared" si="565"/>
        <v>卡卡杜-凤凰仓</v>
      </c>
      <c r="B1917" s="1" t="str">
        <f>"CK20241028320"</f>
        <v>CK20241028320</v>
      </c>
      <c r="C1917" s="1" t="str">
        <f>"DD2024102819786"</f>
        <v>DD2024102819786</v>
      </c>
      <c r="D1917" s="1" t="str">
        <f>"CK202410289475"</f>
        <v>CK202410289475</v>
      </c>
      <c r="E1917" s="1" t="str">
        <f>"3723605911455794688"</f>
        <v>3723605911455794688</v>
      </c>
      <c r="F1917" s="1" t="str">
        <f t="shared" si="566"/>
        <v>花都四部-凤凰仓</v>
      </c>
      <c r="G1917" s="1" t="str">
        <f t="shared" si="570"/>
        <v>卡卡杜企业店（视频号）</v>
      </c>
      <c r="H1917" s="1" t="str">
        <f t="shared" si="567"/>
        <v>正常订单</v>
      </c>
      <c r="I1917" s="1" t="str">
        <f t="shared" si="568"/>
        <v>已发货</v>
      </c>
      <c r="J1917" s="1" t="str">
        <f t="shared" si="573"/>
        <v>5</v>
      </c>
      <c r="K1917" s="1">
        <v>3</v>
      </c>
      <c r="L1917" s="1" t="s">
        <v>74</v>
      </c>
      <c r="M1917" s="1" t="str">
        <f>"上海 上海市 嘉定区 "</f>
        <v xml:space="preserve">上海 上海市 嘉定区 </v>
      </c>
      <c r="N1917" s="1" t="str">
        <f t="shared" si="572"/>
        <v>凡华云仓-城南圆通-微信视频号</v>
      </c>
      <c r="O1917" s="5" t="s">
        <v>1954</v>
      </c>
      <c r="P1917" s="6">
        <v>0.56000000000000005</v>
      </c>
      <c r="Q1917" s="11">
        <f t="shared" si="574"/>
        <v>2.4499999999999997</v>
      </c>
      <c r="R1917" s="11"/>
      <c r="S1917" s="11"/>
      <c r="T1917" s="11"/>
      <c r="U1917" s="11">
        <f t="shared" si="569"/>
        <v>2.4499999999999997</v>
      </c>
      <c r="V1917" t="s">
        <v>15</v>
      </c>
      <c r="W1917">
        <v>2.4500000000000002</v>
      </c>
      <c r="X1917" s="1" t="s">
        <v>74</v>
      </c>
    </row>
    <row r="1918" spans="1:24" x14ac:dyDescent="0.25">
      <c r="A1918" s="1" t="str">
        <f t="shared" si="565"/>
        <v>卡卡杜-凤凰仓</v>
      </c>
      <c r="B1918" s="1" t="str">
        <f>"CK20241028319"</f>
        <v>CK20241028319</v>
      </c>
      <c r="C1918" s="1" t="str">
        <f>"DD2024102819785"</f>
        <v>DD2024102819785</v>
      </c>
      <c r="D1918" s="1" t="str">
        <f>"CK202410289474"</f>
        <v>CK202410289474</v>
      </c>
      <c r="E1918" s="1" t="str">
        <f>"3723605910274835968"</f>
        <v>3723605910274835968</v>
      </c>
      <c r="F1918" s="1" t="str">
        <f t="shared" si="566"/>
        <v>花都四部-凤凰仓</v>
      </c>
      <c r="G1918" s="1" t="str">
        <f t="shared" si="570"/>
        <v>卡卡杜企业店（视频号）</v>
      </c>
      <c r="H1918" s="1" t="str">
        <f t="shared" si="567"/>
        <v>正常订单</v>
      </c>
      <c r="I1918" s="1" t="str">
        <f t="shared" si="568"/>
        <v>已发货</v>
      </c>
      <c r="J1918" s="1" t="str">
        <f t="shared" si="573"/>
        <v>5</v>
      </c>
      <c r="K1918" s="1">
        <v>3</v>
      </c>
      <c r="L1918" s="1" t="s">
        <v>18</v>
      </c>
      <c r="M1918" s="1" t="str">
        <f>"广东省 广州市 花都区 "</f>
        <v xml:space="preserve">广东省 广州市 花都区 </v>
      </c>
      <c r="N1918" s="1" t="str">
        <f t="shared" si="572"/>
        <v>凡华云仓-城南圆通-微信视频号</v>
      </c>
      <c r="O1918" s="5" t="s">
        <v>1955</v>
      </c>
      <c r="P1918" s="6">
        <v>0.56000000000000005</v>
      </c>
      <c r="Q1918" s="11">
        <f t="shared" si="574"/>
        <v>2.4499999999999997</v>
      </c>
      <c r="R1918" s="11"/>
      <c r="S1918" s="11"/>
      <c r="T1918" s="11"/>
      <c r="U1918" s="11">
        <f t="shared" si="569"/>
        <v>2.4499999999999997</v>
      </c>
      <c r="V1918" t="s">
        <v>15</v>
      </c>
      <c r="W1918">
        <v>2.4500000000000002</v>
      </c>
      <c r="X1918" s="1" t="s">
        <v>18</v>
      </c>
    </row>
    <row r="1919" spans="1:24" x14ac:dyDescent="0.25">
      <c r="A1919" s="1" t="str">
        <f t="shared" si="565"/>
        <v>卡卡杜-凤凰仓</v>
      </c>
      <c r="B1919" s="1" t="str">
        <f>"CK20241028318"</f>
        <v>CK20241028318</v>
      </c>
      <c r="C1919" s="1" t="str">
        <f>"DD2024102819784"</f>
        <v>DD2024102819784</v>
      </c>
      <c r="D1919" s="1" t="str">
        <f>"CK202410289473"</f>
        <v>CK202410289473</v>
      </c>
      <c r="E1919" s="1" t="str">
        <f>"3723605898990585344"</f>
        <v>3723605898990585344</v>
      </c>
      <c r="F1919" s="1" t="str">
        <f t="shared" si="566"/>
        <v>花都四部-凤凰仓</v>
      </c>
      <c r="G1919" s="1" t="str">
        <f t="shared" si="570"/>
        <v>卡卡杜企业店（视频号）</v>
      </c>
      <c r="H1919" s="1" t="str">
        <f t="shared" si="567"/>
        <v>正常订单</v>
      </c>
      <c r="I1919" s="1" t="str">
        <f t="shared" si="568"/>
        <v>已发货</v>
      </c>
      <c r="J1919" s="1" t="str">
        <f t="shared" si="573"/>
        <v>5</v>
      </c>
      <c r="K1919" s="1">
        <v>3</v>
      </c>
      <c r="L1919" s="1" t="s">
        <v>18</v>
      </c>
      <c r="M1919" s="1" t="str">
        <f>"广东省 广州市 海珠区 "</f>
        <v xml:space="preserve">广东省 广州市 海珠区 </v>
      </c>
      <c r="N1919" s="1" t="str">
        <f t="shared" si="572"/>
        <v>凡华云仓-城南圆通-微信视频号</v>
      </c>
      <c r="O1919" s="5" t="s">
        <v>1956</v>
      </c>
      <c r="P1919" s="6">
        <v>0.56000000000000005</v>
      </c>
      <c r="Q1919" s="11">
        <f t="shared" si="574"/>
        <v>2.4499999999999997</v>
      </c>
      <c r="R1919" s="11"/>
      <c r="S1919" s="11"/>
      <c r="T1919" s="11"/>
      <c r="U1919" s="11">
        <f t="shared" si="569"/>
        <v>2.4499999999999997</v>
      </c>
      <c r="V1919" t="s">
        <v>15</v>
      </c>
      <c r="W1919">
        <v>2.4500000000000002</v>
      </c>
      <c r="X1919" s="1" t="s">
        <v>18</v>
      </c>
    </row>
    <row r="1920" spans="1:24" x14ac:dyDescent="0.25">
      <c r="A1920" s="1" t="str">
        <f t="shared" si="565"/>
        <v>卡卡杜-凤凰仓</v>
      </c>
      <c r="B1920" s="1" t="str">
        <f>"CK20241028317"</f>
        <v>CK20241028317</v>
      </c>
      <c r="C1920" s="1" t="str">
        <f>"DD2024102819783"</f>
        <v>DD2024102819783</v>
      </c>
      <c r="D1920" s="1" t="str">
        <f>"CK202410289472"</f>
        <v>CK202410289472</v>
      </c>
      <c r="E1920" s="1" t="str">
        <f>"3723605945771494400"</f>
        <v>3723605945771494400</v>
      </c>
      <c r="F1920" s="1" t="str">
        <f t="shared" si="566"/>
        <v>花都四部-凤凰仓</v>
      </c>
      <c r="G1920" s="1" t="str">
        <f t="shared" si="570"/>
        <v>卡卡杜企业店（视频号）</v>
      </c>
      <c r="H1920" s="1" t="str">
        <f t="shared" si="567"/>
        <v>正常订单</v>
      </c>
      <c r="I1920" s="1" t="str">
        <f t="shared" si="568"/>
        <v>已发货</v>
      </c>
      <c r="J1920" s="1" t="str">
        <f t="shared" si="573"/>
        <v>5</v>
      </c>
      <c r="K1920" s="1">
        <v>3</v>
      </c>
      <c r="L1920" s="1" t="s">
        <v>66</v>
      </c>
      <c r="M1920" s="1" t="str">
        <f>"内蒙古自治区 乌兰察布市 集宁区 "</f>
        <v xml:space="preserve">内蒙古自治区 乌兰察布市 集宁区 </v>
      </c>
      <c r="N1920" s="1" t="str">
        <f t="shared" si="572"/>
        <v>凡华云仓-城南圆通-微信视频号</v>
      </c>
      <c r="O1920" s="5" t="s">
        <v>1957</v>
      </c>
      <c r="P1920" s="6">
        <v>0.56000000000000005</v>
      </c>
      <c r="Q1920" s="11">
        <f t="shared" si="574"/>
        <v>2.4499999999999997</v>
      </c>
      <c r="R1920" s="11"/>
      <c r="S1920" s="11"/>
      <c r="T1920" s="11"/>
      <c r="U1920" s="11">
        <f t="shared" si="569"/>
        <v>2.4499999999999997</v>
      </c>
      <c r="V1920" t="s">
        <v>15</v>
      </c>
      <c r="W1920">
        <v>2.4500000000000002</v>
      </c>
      <c r="X1920" s="1" t="s">
        <v>66</v>
      </c>
    </row>
    <row r="1921" spans="1:24" x14ac:dyDescent="0.25">
      <c r="A1921" s="1" t="str">
        <f t="shared" si="565"/>
        <v>卡卡杜-凤凰仓</v>
      </c>
      <c r="B1921" s="1" t="str">
        <f>"CK20241028316"</f>
        <v>CK20241028316</v>
      </c>
      <c r="C1921" s="1" t="str">
        <f>"DD2024102819782"</f>
        <v>DD2024102819782</v>
      </c>
      <c r="D1921" s="1" t="str">
        <f>"CK202410289471"</f>
        <v>CK202410289471</v>
      </c>
      <c r="E1921" s="1" t="str">
        <f>"3723605899827348992"</f>
        <v>3723605899827348992</v>
      </c>
      <c r="F1921" s="1" t="str">
        <f t="shared" si="566"/>
        <v>花都四部-凤凰仓</v>
      </c>
      <c r="G1921" s="1" t="str">
        <f t="shared" si="570"/>
        <v>卡卡杜企业店（视频号）</v>
      </c>
      <c r="H1921" s="1" t="str">
        <f t="shared" si="567"/>
        <v>正常订单</v>
      </c>
      <c r="I1921" s="1" t="str">
        <f t="shared" si="568"/>
        <v>已发货</v>
      </c>
      <c r="J1921" s="1" t="str">
        <f t="shared" si="573"/>
        <v>5</v>
      </c>
      <c r="K1921" s="1">
        <v>3</v>
      </c>
      <c r="L1921" s="1" t="s">
        <v>16</v>
      </c>
      <c r="M1921" s="1" t="str">
        <f>"河北省 唐山市 迁安市 "</f>
        <v xml:space="preserve">河北省 唐山市 迁安市 </v>
      </c>
      <c r="N1921" s="1" t="str">
        <f t="shared" si="572"/>
        <v>凡华云仓-城南圆通-微信视频号</v>
      </c>
      <c r="O1921" s="5" t="s">
        <v>1958</v>
      </c>
      <c r="P1921" s="6">
        <v>0.56000000000000005</v>
      </c>
      <c r="Q1921" s="11">
        <f t="shared" si="574"/>
        <v>2.4499999999999997</v>
      </c>
      <c r="R1921" s="11"/>
      <c r="S1921" s="11"/>
      <c r="T1921" s="11"/>
      <c r="U1921" s="11">
        <f t="shared" si="569"/>
        <v>2.4499999999999997</v>
      </c>
      <c r="V1921" t="s">
        <v>15</v>
      </c>
      <c r="W1921">
        <v>2.4500000000000002</v>
      </c>
      <c r="X1921" s="1" t="s">
        <v>16</v>
      </c>
    </row>
    <row r="1922" spans="1:24" x14ac:dyDescent="0.25">
      <c r="A1922" s="1" t="str">
        <f t="shared" ref="A1922:A1985" si="575">"卡卡杜-凤凰仓"</f>
        <v>卡卡杜-凤凰仓</v>
      </c>
      <c r="B1922" s="1" t="str">
        <f>"CK20241028315"</f>
        <v>CK20241028315</v>
      </c>
      <c r="C1922" s="1" t="str">
        <f>"DD2024102819781"</f>
        <v>DD2024102819781</v>
      </c>
      <c r="D1922" s="1" t="str">
        <f>"CK202410289470"</f>
        <v>CK202410289470</v>
      </c>
      <c r="E1922" s="1" t="str">
        <f>"3723605242748732672"</f>
        <v>3723605242748732672</v>
      </c>
      <c r="F1922" s="1" t="str">
        <f t="shared" ref="F1922:F1985" si="576">"花都四部-凤凰仓"</f>
        <v>花都四部-凤凰仓</v>
      </c>
      <c r="G1922" s="1" t="str">
        <f t="shared" si="570"/>
        <v>卡卡杜企业店（视频号）</v>
      </c>
      <c r="H1922" s="1" t="str">
        <f t="shared" ref="H1922:H1985" si="577">"正常订单"</f>
        <v>正常订单</v>
      </c>
      <c r="I1922" s="1" t="str">
        <f t="shared" ref="I1922:I1985" si="578">"已发货"</f>
        <v>已发货</v>
      </c>
      <c r="J1922" s="1" t="str">
        <f t="shared" si="573"/>
        <v>5</v>
      </c>
      <c r="K1922" s="1">
        <v>3</v>
      </c>
      <c r="L1922" s="1" t="s">
        <v>182</v>
      </c>
      <c r="M1922" s="1" t="str">
        <f>"新疆维吾尔自治区 乌鲁木齐市 新市区 "</f>
        <v xml:space="preserve">新疆维吾尔自治区 乌鲁木齐市 新市区 </v>
      </c>
      <c r="N1922" s="1" t="str">
        <f t="shared" si="572"/>
        <v>凡华云仓-城南圆通-微信视频号</v>
      </c>
      <c r="O1922" s="5" t="s">
        <v>1959</v>
      </c>
      <c r="P1922" s="6">
        <v>0.56000000000000005</v>
      </c>
      <c r="Q1922" s="11">
        <f>CEILING(P1922-0.5,0.1)*10*2+17</f>
        <v>19</v>
      </c>
      <c r="R1922" s="11"/>
      <c r="S1922" s="11"/>
      <c r="T1922" s="11"/>
      <c r="U1922" s="11">
        <f t="shared" si="569"/>
        <v>19</v>
      </c>
      <c r="W1922">
        <v>19</v>
      </c>
      <c r="X1922" s="1" t="s">
        <v>182</v>
      </c>
    </row>
    <row r="1923" spans="1:24" x14ac:dyDescent="0.25">
      <c r="A1923" s="1" t="str">
        <f t="shared" si="575"/>
        <v>卡卡杜-凤凰仓</v>
      </c>
      <c r="B1923" s="1" t="str">
        <f>"CK20241028314"</f>
        <v>CK20241028314</v>
      </c>
      <c r="C1923" s="1" t="str">
        <f>"DD2024102819780"</f>
        <v>DD2024102819780</v>
      </c>
      <c r="D1923" s="1" t="str">
        <f>"CK202410289469"</f>
        <v>CK202410289469</v>
      </c>
      <c r="E1923" s="1" t="str">
        <f>"3723604988652818432"</f>
        <v>3723604988652818432</v>
      </c>
      <c r="F1923" s="1" t="str">
        <f t="shared" si="576"/>
        <v>花都四部-凤凰仓</v>
      </c>
      <c r="G1923" s="1" t="str">
        <f t="shared" si="570"/>
        <v>卡卡杜企业店（视频号）</v>
      </c>
      <c r="H1923" s="1" t="str">
        <f t="shared" si="577"/>
        <v>正常订单</v>
      </c>
      <c r="I1923" s="1" t="str">
        <f t="shared" si="578"/>
        <v>已发货</v>
      </c>
      <c r="J1923" s="1" t="str">
        <f t="shared" si="573"/>
        <v>5</v>
      </c>
      <c r="K1923" s="1">
        <v>3</v>
      </c>
      <c r="L1923" s="1" t="s">
        <v>30</v>
      </c>
      <c r="M1923" s="1" t="str">
        <f>"山东省 东营市 东营区 "</f>
        <v xml:space="preserve">山东省 东营市 东营区 </v>
      </c>
      <c r="N1923" s="1" t="str">
        <f t="shared" si="572"/>
        <v>凡华云仓-城南圆通-微信视频号</v>
      </c>
      <c r="O1923" s="5" t="s">
        <v>1960</v>
      </c>
      <c r="P1923" s="6">
        <v>0.56000000000000005</v>
      </c>
      <c r="Q1923" s="11">
        <f t="shared" ref="Q1923:Q1965" si="579">CEILING(P1923-0.5,0.1)*10*0.15+2.3</f>
        <v>2.4499999999999997</v>
      </c>
      <c r="R1923" s="11"/>
      <c r="S1923" s="11"/>
      <c r="T1923" s="11"/>
      <c r="U1923" s="11">
        <f t="shared" ref="U1923:U1986" si="580">T1923+S1923+R1923+Q1923</f>
        <v>2.4499999999999997</v>
      </c>
      <c r="V1923" t="s">
        <v>15</v>
      </c>
      <c r="W1923">
        <v>2.4500000000000002</v>
      </c>
      <c r="X1923" s="1" t="s">
        <v>30</v>
      </c>
    </row>
    <row r="1924" spans="1:24" x14ac:dyDescent="0.25">
      <c r="A1924" s="1" t="str">
        <f t="shared" si="575"/>
        <v>卡卡杜-凤凰仓</v>
      </c>
      <c r="B1924" s="1" t="str">
        <f>"CK20241028313"</f>
        <v>CK20241028313</v>
      </c>
      <c r="C1924" s="1" t="str">
        <f>"DD2024102819779"</f>
        <v>DD2024102819779</v>
      </c>
      <c r="D1924" s="1" t="str">
        <f>"CK202410289468"</f>
        <v>CK202410289468</v>
      </c>
      <c r="E1924" s="1" t="str">
        <f>"3723604836457516032"</f>
        <v>3723604836457516032</v>
      </c>
      <c r="F1924" s="1" t="str">
        <f t="shared" si="576"/>
        <v>花都四部-凤凰仓</v>
      </c>
      <c r="G1924" s="1" t="str">
        <f t="shared" si="570"/>
        <v>卡卡杜企业店（视频号）</v>
      </c>
      <c r="H1924" s="1" t="str">
        <f t="shared" si="577"/>
        <v>正常订单</v>
      </c>
      <c r="I1924" s="1" t="str">
        <f t="shared" si="578"/>
        <v>已发货</v>
      </c>
      <c r="J1924" s="1" t="str">
        <f t="shared" si="573"/>
        <v>5</v>
      </c>
      <c r="K1924" s="1">
        <v>3</v>
      </c>
      <c r="L1924" s="1" t="s">
        <v>105</v>
      </c>
      <c r="M1924" s="1" t="str">
        <f>"北京 北京市 海淀区 "</f>
        <v xml:space="preserve">北京 北京市 海淀区 </v>
      </c>
      <c r="N1924" s="1" t="str">
        <f t="shared" si="572"/>
        <v>凡华云仓-城南圆通-微信视频号</v>
      </c>
      <c r="O1924" s="5" t="s">
        <v>1961</v>
      </c>
      <c r="P1924" s="6">
        <v>0.56000000000000005</v>
      </c>
      <c r="Q1924" s="11">
        <f t="shared" si="579"/>
        <v>2.4499999999999997</v>
      </c>
      <c r="R1924" s="11"/>
      <c r="S1924" s="11"/>
      <c r="T1924" s="11"/>
      <c r="U1924" s="11">
        <f t="shared" si="580"/>
        <v>2.4499999999999997</v>
      </c>
      <c r="V1924" t="s">
        <v>15</v>
      </c>
      <c r="W1924">
        <v>2.4500000000000002</v>
      </c>
      <c r="X1924" s="1" t="s">
        <v>105</v>
      </c>
    </row>
    <row r="1925" spans="1:24" x14ac:dyDescent="0.25">
      <c r="A1925" s="1" t="str">
        <f t="shared" si="575"/>
        <v>卡卡杜-凤凰仓</v>
      </c>
      <c r="B1925" s="1" t="str">
        <f>"CK20241028312"</f>
        <v>CK20241028312</v>
      </c>
      <c r="C1925" s="1" t="str">
        <f>"DD2024102819778"</f>
        <v>DD2024102819778</v>
      </c>
      <c r="D1925" s="1" t="str">
        <f>"CK202410289467"</f>
        <v>CK202410289467</v>
      </c>
      <c r="E1925" s="1" t="str">
        <f>"3723604792193189376"</f>
        <v>3723604792193189376</v>
      </c>
      <c r="F1925" s="1" t="str">
        <f t="shared" si="576"/>
        <v>花都四部-凤凰仓</v>
      </c>
      <c r="G1925" s="1" t="str">
        <f t="shared" si="570"/>
        <v>卡卡杜企业店（视频号）</v>
      </c>
      <c r="H1925" s="1" t="str">
        <f t="shared" si="577"/>
        <v>正常订单</v>
      </c>
      <c r="I1925" s="1" t="str">
        <f t="shared" si="578"/>
        <v>已发货</v>
      </c>
      <c r="J1925" s="1" t="str">
        <f t="shared" si="573"/>
        <v>5</v>
      </c>
      <c r="K1925" s="1">
        <v>3</v>
      </c>
      <c r="L1925" s="1" t="s">
        <v>66</v>
      </c>
      <c r="M1925" s="1" t="str">
        <f>"内蒙古自治区 赤峰市 松山区 "</f>
        <v xml:space="preserve">内蒙古自治区 赤峰市 松山区 </v>
      </c>
      <c r="N1925" s="1" t="str">
        <f t="shared" si="572"/>
        <v>凡华云仓-城南圆通-微信视频号</v>
      </c>
      <c r="O1925" s="5" t="s">
        <v>1962</v>
      </c>
      <c r="P1925" s="6">
        <v>0.56000000000000005</v>
      </c>
      <c r="Q1925" s="11">
        <f t="shared" si="579"/>
        <v>2.4499999999999997</v>
      </c>
      <c r="R1925" s="11"/>
      <c r="S1925" s="11"/>
      <c r="T1925" s="11"/>
      <c r="U1925" s="11">
        <f t="shared" si="580"/>
        <v>2.4499999999999997</v>
      </c>
      <c r="V1925" t="s">
        <v>15</v>
      </c>
      <c r="W1925">
        <v>2.4500000000000002</v>
      </c>
      <c r="X1925" s="1" t="s">
        <v>66</v>
      </c>
    </row>
    <row r="1926" spans="1:24" x14ac:dyDescent="0.25">
      <c r="A1926" s="1" t="str">
        <f t="shared" si="575"/>
        <v>卡卡杜-凤凰仓</v>
      </c>
      <c r="B1926" s="1" t="str">
        <f>"CK20241028311"</f>
        <v>CK20241028311</v>
      </c>
      <c r="C1926" s="1" t="str">
        <f>"DD2024102819776"</f>
        <v>DD2024102819776</v>
      </c>
      <c r="D1926" s="1" t="str">
        <f>"CK202410289466"</f>
        <v>CK202410289466</v>
      </c>
      <c r="E1926" s="1" t="str">
        <f>"3723604789646984449"</f>
        <v>3723604789646984449</v>
      </c>
      <c r="F1926" s="1" t="str">
        <f t="shared" si="576"/>
        <v>花都四部-凤凰仓</v>
      </c>
      <c r="G1926" s="1" t="str">
        <f t="shared" si="570"/>
        <v>卡卡杜企业店（视频号）</v>
      </c>
      <c r="H1926" s="1" t="str">
        <f t="shared" si="577"/>
        <v>正常订单</v>
      </c>
      <c r="I1926" s="1" t="str">
        <f t="shared" si="578"/>
        <v>已发货</v>
      </c>
      <c r="J1926" s="1" t="str">
        <f t="shared" si="573"/>
        <v>5</v>
      </c>
      <c r="K1926" s="1">
        <v>3</v>
      </c>
      <c r="L1926" s="1" t="s">
        <v>105</v>
      </c>
      <c r="M1926" s="1" t="str">
        <f>"北京 北京市 通州区 "</f>
        <v xml:space="preserve">北京 北京市 通州区 </v>
      </c>
      <c r="N1926" s="1" t="str">
        <f t="shared" si="572"/>
        <v>凡华云仓-城南圆通-微信视频号</v>
      </c>
      <c r="O1926" s="5" t="s">
        <v>1963</v>
      </c>
      <c r="P1926" s="6">
        <v>0.56000000000000005</v>
      </c>
      <c r="Q1926" s="11">
        <f t="shared" si="579"/>
        <v>2.4499999999999997</v>
      </c>
      <c r="R1926" s="11"/>
      <c r="S1926" s="11"/>
      <c r="T1926" s="11"/>
      <c r="U1926" s="11">
        <f t="shared" si="580"/>
        <v>2.4499999999999997</v>
      </c>
      <c r="V1926" t="s">
        <v>15</v>
      </c>
      <c r="W1926">
        <v>2.4500000000000002</v>
      </c>
      <c r="X1926" s="1" t="s">
        <v>105</v>
      </c>
    </row>
    <row r="1927" spans="1:24" x14ac:dyDescent="0.25">
      <c r="A1927" s="1" t="str">
        <f t="shared" si="575"/>
        <v>卡卡杜-凤凰仓</v>
      </c>
      <c r="B1927" s="1" t="str">
        <f>"CK20241028310"</f>
        <v>CK20241028310</v>
      </c>
      <c r="C1927" s="1" t="str">
        <f>"DD2024102819774"</f>
        <v>DD2024102819774</v>
      </c>
      <c r="D1927" s="1" t="str">
        <f>"CK202410289465"</f>
        <v>CK202410289465</v>
      </c>
      <c r="E1927" s="1" t="str">
        <f>"3723604786846764032"</f>
        <v>3723604786846764032</v>
      </c>
      <c r="F1927" s="1" t="str">
        <f t="shared" si="576"/>
        <v>花都四部-凤凰仓</v>
      </c>
      <c r="G1927" s="1" t="str">
        <f t="shared" si="570"/>
        <v>卡卡杜企业店（视频号）</v>
      </c>
      <c r="H1927" s="1" t="str">
        <f t="shared" si="577"/>
        <v>正常订单</v>
      </c>
      <c r="I1927" s="1" t="str">
        <f t="shared" si="578"/>
        <v>已发货</v>
      </c>
      <c r="J1927" s="1" t="str">
        <f t="shared" si="573"/>
        <v>5</v>
      </c>
      <c r="K1927" s="1">
        <v>3</v>
      </c>
      <c r="L1927" s="1" t="s">
        <v>60</v>
      </c>
      <c r="M1927" s="1" t="str">
        <f>"云南省 红河哈尼族彝族自治州 蒙自市 "</f>
        <v xml:space="preserve">云南省 红河哈尼族彝族自治州 蒙自市 </v>
      </c>
      <c r="N1927" s="1" t="str">
        <f t="shared" si="572"/>
        <v>凡华云仓-城南圆通-微信视频号</v>
      </c>
      <c r="O1927" s="5" t="s">
        <v>1964</v>
      </c>
      <c r="P1927" s="6">
        <v>0.56000000000000005</v>
      </c>
      <c r="Q1927" s="11">
        <f t="shared" si="579"/>
        <v>2.4499999999999997</v>
      </c>
      <c r="R1927" s="11"/>
      <c r="S1927" s="11"/>
      <c r="T1927" s="11"/>
      <c r="U1927" s="11">
        <f t="shared" si="580"/>
        <v>2.4499999999999997</v>
      </c>
      <c r="V1927" t="s">
        <v>15</v>
      </c>
      <c r="W1927">
        <v>2.4500000000000002</v>
      </c>
      <c r="X1927" s="1" t="s">
        <v>60</v>
      </c>
    </row>
    <row r="1928" spans="1:24" x14ac:dyDescent="0.25">
      <c r="A1928" s="1" t="str">
        <f t="shared" si="575"/>
        <v>卡卡杜-凤凰仓</v>
      </c>
      <c r="B1928" s="1" t="str">
        <f>"CK20241028309"</f>
        <v>CK20241028309</v>
      </c>
      <c r="C1928" s="1" t="str">
        <f>"DD2024102819773"</f>
        <v>DD2024102819773</v>
      </c>
      <c r="D1928" s="1" t="str">
        <f>"CK202410289464"</f>
        <v>CK202410289464</v>
      </c>
      <c r="E1928" s="1" t="str">
        <f>"3723614202918471168"</f>
        <v>3723614202918471168</v>
      </c>
      <c r="F1928" s="1" t="str">
        <f t="shared" si="576"/>
        <v>花都四部-凤凰仓</v>
      </c>
      <c r="G1928" s="1" t="str">
        <f t="shared" si="570"/>
        <v>卡卡杜企业店（视频号）</v>
      </c>
      <c r="H1928" s="1" t="str">
        <f t="shared" si="577"/>
        <v>正常订单</v>
      </c>
      <c r="I1928" s="1" t="str">
        <f t="shared" si="578"/>
        <v>已发货</v>
      </c>
      <c r="J1928" s="1" t="str">
        <f t="shared" si="573"/>
        <v>5</v>
      </c>
      <c r="K1928" s="1">
        <v>3</v>
      </c>
      <c r="L1928" s="1" t="s">
        <v>18</v>
      </c>
      <c r="M1928" s="1" t="str">
        <f>"广东省 深圳市 罗湖区 "</f>
        <v xml:space="preserve">广东省 深圳市 罗湖区 </v>
      </c>
      <c r="N1928" s="1" t="str">
        <f t="shared" si="572"/>
        <v>凡华云仓-城南圆通-微信视频号</v>
      </c>
      <c r="O1928" s="5" t="s">
        <v>1965</v>
      </c>
      <c r="P1928" s="6">
        <v>0.56000000000000005</v>
      </c>
      <c r="Q1928" s="11">
        <f t="shared" si="579"/>
        <v>2.4499999999999997</v>
      </c>
      <c r="R1928" s="11"/>
      <c r="S1928" s="11"/>
      <c r="T1928" s="11"/>
      <c r="U1928" s="11">
        <f t="shared" si="580"/>
        <v>2.4499999999999997</v>
      </c>
      <c r="V1928" t="s">
        <v>15</v>
      </c>
      <c r="W1928">
        <v>2.4500000000000002</v>
      </c>
      <c r="X1928" s="1" t="s">
        <v>18</v>
      </c>
    </row>
    <row r="1929" spans="1:24" x14ac:dyDescent="0.25">
      <c r="A1929" s="1" t="str">
        <f t="shared" si="575"/>
        <v>卡卡杜-凤凰仓</v>
      </c>
      <c r="B1929" s="1" t="str">
        <f>"CK20241028308"</f>
        <v>CK20241028308</v>
      </c>
      <c r="C1929" s="1" t="str">
        <f>"DD2024102819772"</f>
        <v>DD2024102819772</v>
      </c>
      <c r="D1929" s="1" t="str">
        <f>"CK202410289463"</f>
        <v>CK202410289463</v>
      </c>
      <c r="E1929" s="1" t="str">
        <f>"3723606992858517504"</f>
        <v>3723606992858517504</v>
      </c>
      <c r="F1929" s="1" t="str">
        <f t="shared" si="576"/>
        <v>花都四部-凤凰仓</v>
      </c>
      <c r="G1929" s="1" t="str">
        <f t="shared" si="570"/>
        <v>卡卡杜企业店（视频号）</v>
      </c>
      <c r="H1929" s="1" t="str">
        <f t="shared" si="577"/>
        <v>正常订单</v>
      </c>
      <c r="I1929" s="1" t="str">
        <f t="shared" si="578"/>
        <v>已发货</v>
      </c>
      <c r="J1929" s="1" t="str">
        <f t="shared" si="573"/>
        <v>5</v>
      </c>
      <c r="K1929" s="1">
        <v>3</v>
      </c>
      <c r="L1929" s="1" t="s">
        <v>24</v>
      </c>
      <c r="M1929" s="1" t="str">
        <f>"福建省 福州市 台江区 "</f>
        <v xml:space="preserve">福建省 福州市 台江区 </v>
      </c>
      <c r="N1929" s="1" t="str">
        <f t="shared" si="572"/>
        <v>凡华云仓-城南圆通-微信视频号</v>
      </c>
      <c r="O1929" s="5" t="s">
        <v>1966</v>
      </c>
      <c r="P1929" s="6">
        <v>0.56000000000000005</v>
      </c>
      <c r="Q1929" s="11">
        <f t="shared" si="579"/>
        <v>2.4499999999999997</v>
      </c>
      <c r="R1929" s="11"/>
      <c r="S1929" s="11"/>
      <c r="T1929" s="11"/>
      <c r="U1929" s="11">
        <f t="shared" si="580"/>
        <v>2.4499999999999997</v>
      </c>
      <c r="V1929" t="s">
        <v>15</v>
      </c>
      <c r="W1929">
        <v>2.4500000000000002</v>
      </c>
      <c r="X1929" s="1" t="s">
        <v>24</v>
      </c>
    </row>
    <row r="1930" spans="1:24" x14ac:dyDescent="0.25">
      <c r="A1930" s="1" t="str">
        <f t="shared" si="575"/>
        <v>卡卡杜-凤凰仓</v>
      </c>
      <c r="B1930" s="1" t="str">
        <f>"CK20241028307"</f>
        <v>CK20241028307</v>
      </c>
      <c r="C1930" s="1" t="str">
        <f>"DD2024102819770"</f>
        <v>DD2024102819770</v>
      </c>
      <c r="D1930" s="1" t="str">
        <f>"CK202410289462"</f>
        <v>CK202410289462</v>
      </c>
      <c r="E1930" s="1" t="str">
        <f>"3723605898309798912"</f>
        <v>3723605898309798912</v>
      </c>
      <c r="F1930" s="1" t="str">
        <f t="shared" si="576"/>
        <v>花都四部-凤凰仓</v>
      </c>
      <c r="G1930" s="1" t="str">
        <f t="shared" si="570"/>
        <v>卡卡杜企业店（视频号）</v>
      </c>
      <c r="H1930" s="1" t="str">
        <f t="shared" si="577"/>
        <v>正常订单</v>
      </c>
      <c r="I1930" s="1" t="str">
        <f t="shared" si="578"/>
        <v>已发货</v>
      </c>
      <c r="J1930" s="1" t="str">
        <f t="shared" si="573"/>
        <v>5</v>
      </c>
      <c r="K1930" s="1">
        <v>3</v>
      </c>
      <c r="L1930" s="1" t="s">
        <v>74</v>
      </c>
      <c r="M1930" s="1" t="str">
        <f>"上海 上海市 宝山区 "</f>
        <v xml:space="preserve">上海 上海市 宝山区 </v>
      </c>
      <c r="N1930" s="1" t="str">
        <f t="shared" si="572"/>
        <v>凡华云仓-城南圆通-微信视频号</v>
      </c>
      <c r="O1930" s="5" t="s">
        <v>1967</v>
      </c>
      <c r="P1930" s="6">
        <v>0.56000000000000005</v>
      </c>
      <c r="Q1930" s="11">
        <f t="shared" si="579"/>
        <v>2.4499999999999997</v>
      </c>
      <c r="R1930" s="11"/>
      <c r="S1930" s="11"/>
      <c r="T1930" s="11"/>
      <c r="U1930" s="11">
        <f t="shared" si="580"/>
        <v>2.4499999999999997</v>
      </c>
      <c r="V1930" t="s">
        <v>15</v>
      </c>
      <c r="W1930">
        <v>2.4500000000000002</v>
      </c>
      <c r="X1930" s="1" t="s">
        <v>74</v>
      </c>
    </row>
    <row r="1931" spans="1:24" x14ac:dyDescent="0.25">
      <c r="A1931" s="1" t="str">
        <f t="shared" si="575"/>
        <v>卡卡杜-凤凰仓</v>
      </c>
      <c r="B1931" s="1" t="str">
        <f>"CK20241028305"</f>
        <v>CK20241028305</v>
      </c>
      <c r="C1931" s="1" t="str">
        <f>"DD2024102819769"</f>
        <v>DD2024102819769</v>
      </c>
      <c r="D1931" s="1" t="str">
        <f>"CK202410289461"</f>
        <v>CK202410289461</v>
      </c>
      <c r="E1931" s="1" t="str">
        <f>"3723605946020533248"</f>
        <v>3723605946020533248</v>
      </c>
      <c r="F1931" s="1" t="str">
        <f t="shared" si="576"/>
        <v>花都四部-凤凰仓</v>
      </c>
      <c r="G1931" s="1" t="str">
        <f t="shared" si="570"/>
        <v>卡卡杜企业店（视频号）</v>
      </c>
      <c r="H1931" s="1" t="str">
        <f t="shared" si="577"/>
        <v>正常订单</v>
      </c>
      <c r="I1931" s="1" t="str">
        <f t="shared" si="578"/>
        <v>已发货</v>
      </c>
      <c r="J1931" s="1" t="str">
        <f t="shared" si="573"/>
        <v>5</v>
      </c>
      <c r="K1931" s="1">
        <v>3</v>
      </c>
      <c r="L1931" s="1" t="s">
        <v>187</v>
      </c>
      <c r="M1931" s="1" t="str">
        <f>"吉林省 吉林市 丰满区 "</f>
        <v xml:space="preserve">吉林省 吉林市 丰满区 </v>
      </c>
      <c r="N1931" s="1" t="str">
        <f t="shared" si="572"/>
        <v>凡华云仓-城南圆通-微信视频号</v>
      </c>
      <c r="O1931" s="5" t="s">
        <v>1968</v>
      </c>
      <c r="P1931" s="6">
        <v>0.56000000000000005</v>
      </c>
      <c r="Q1931" s="11">
        <f t="shared" si="579"/>
        <v>2.4499999999999997</v>
      </c>
      <c r="R1931" s="11"/>
      <c r="S1931" s="11"/>
      <c r="T1931" s="11"/>
      <c r="U1931" s="11">
        <f t="shared" si="580"/>
        <v>2.4499999999999997</v>
      </c>
      <c r="V1931" t="s">
        <v>15</v>
      </c>
      <c r="W1931">
        <v>2.4500000000000002</v>
      </c>
      <c r="X1931" s="1" t="s">
        <v>187</v>
      </c>
    </row>
    <row r="1932" spans="1:24" x14ac:dyDescent="0.25">
      <c r="A1932" s="1" t="str">
        <f t="shared" si="575"/>
        <v>卡卡杜-凤凰仓</v>
      </c>
      <c r="B1932" s="1" t="str">
        <f>"CK20241028306"</f>
        <v>CK20241028306</v>
      </c>
      <c r="C1932" s="1" t="str">
        <f>"DD2024102819767"</f>
        <v>DD2024102819767</v>
      </c>
      <c r="D1932" s="1" t="str">
        <f>"CK202410289460"</f>
        <v>CK202410289460</v>
      </c>
      <c r="E1932" s="1" t="str">
        <f>"3723606025276362752"</f>
        <v>3723606025276362752</v>
      </c>
      <c r="F1932" s="1" t="str">
        <f t="shared" si="576"/>
        <v>花都四部-凤凰仓</v>
      </c>
      <c r="G1932" s="1" t="str">
        <f t="shared" si="570"/>
        <v>卡卡杜企业店（视频号）</v>
      </c>
      <c r="H1932" s="1" t="str">
        <f t="shared" si="577"/>
        <v>正常订单</v>
      </c>
      <c r="I1932" s="1" t="str">
        <f t="shared" si="578"/>
        <v>已发货</v>
      </c>
      <c r="J1932" s="1" t="str">
        <f t="shared" si="573"/>
        <v>5</v>
      </c>
      <c r="K1932" s="1">
        <v>3</v>
      </c>
      <c r="L1932" s="1" t="s">
        <v>16</v>
      </c>
      <c r="M1932" s="1" t="str">
        <f>"河北省 张家口市 万全区 "</f>
        <v xml:space="preserve">河北省 张家口市 万全区 </v>
      </c>
      <c r="N1932" s="1" t="str">
        <f t="shared" si="572"/>
        <v>凡华云仓-城南圆通-微信视频号</v>
      </c>
      <c r="O1932" s="5" t="s">
        <v>1969</v>
      </c>
      <c r="P1932" s="6">
        <v>0.56000000000000005</v>
      </c>
      <c r="Q1932" s="11">
        <f t="shared" si="579"/>
        <v>2.4499999999999997</v>
      </c>
      <c r="R1932" s="11"/>
      <c r="S1932" s="11"/>
      <c r="T1932" s="11"/>
      <c r="U1932" s="11">
        <f t="shared" si="580"/>
        <v>2.4499999999999997</v>
      </c>
      <c r="V1932" t="s">
        <v>15</v>
      </c>
      <c r="W1932">
        <v>2.4500000000000002</v>
      </c>
      <c r="X1932" s="1" t="s">
        <v>16</v>
      </c>
    </row>
    <row r="1933" spans="1:24" x14ac:dyDescent="0.25">
      <c r="A1933" s="1" t="str">
        <f t="shared" si="575"/>
        <v>卡卡杜-凤凰仓</v>
      </c>
      <c r="B1933" s="1" t="str">
        <f>"CK20241028304"</f>
        <v>CK20241028304</v>
      </c>
      <c r="C1933" s="1" t="str">
        <f>"DD2024102819766"</f>
        <v>DD2024102819766</v>
      </c>
      <c r="D1933" s="1" t="str">
        <f>"CK202410289459"</f>
        <v>CK202410289459</v>
      </c>
      <c r="E1933" s="1" t="str">
        <f>"3723606024288604160"</f>
        <v>3723606024288604160</v>
      </c>
      <c r="F1933" s="1" t="str">
        <f t="shared" si="576"/>
        <v>花都四部-凤凰仓</v>
      </c>
      <c r="G1933" s="1" t="str">
        <f t="shared" si="570"/>
        <v>卡卡杜企业店（视频号）</v>
      </c>
      <c r="H1933" s="1" t="str">
        <f t="shared" si="577"/>
        <v>正常订单</v>
      </c>
      <c r="I1933" s="1" t="str">
        <f t="shared" si="578"/>
        <v>已发货</v>
      </c>
      <c r="J1933" s="1" t="str">
        <f t="shared" si="573"/>
        <v>5</v>
      </c>
      <c r="K1933" s="1">
        <v>3</v>
      </c>
      <c r="L1933" s="1" t="s">
        <v>218</v>
      </c>
      <c r="M1933" s="1" t="str">
        <f>"天津 天津市 北辰区 "</f>
        <v xml:space="preserve">天津 天津市 北辰区 </v>
      </c>
      <c r="N1933" s="1" t="str">
        <f t="shared" si="572"/>
        <v>凡华云仓-城南圆通-微信视频号</v>
      </c>
      <c r="O1933" s="5" t="s">
        <v>1970</v>
      </c>
      <c r="P1933" s="6">
        <v>0.56000000000000005</v>
      </c>
      <c r="Q1933" s="11">
        <f t="shared" si="579"/>
        <v>2.4499999999999997</v>
      </c>
      <c r="R1933" s="11"/>
      <c r="S1933" s="11"/>
      <c r="T1933" s="11"/>
      <c r="U1933" s="11">
        <f t="shared" si="580"/>
        <v>2.4499999999999997</v>
      </c>
      <c r="V1933" t="s">
        <v>15</v>
      </c>
      <c r="W1933">
        <v>2.4500000000000002</v>
      </c>
      <c r="X1933" s="1" t="s">
        <v>218</v>
      </c>
    </row>
    <row r="1934" spans="1:24" x14ac:dyDescent="0.25">
      <c r="A1934" s="1" t="str">
        <f t="shared" si="575"/>
        <v>卡卡杜-凤凰仓</v>
      </c>
      <c r="B1934" s="1" t="str">
        <f>"CK20241028303"</f>
        <v>CK20241028303</v>
      </c>
      <c r="C1934" s="1" t="str">
        <f>"DD2024102819765"</f>
        <v>DD2024102819765</v>
      </c>
      <c r="D1934" s="1" t="str">
        <f>"CK202410289458"</f>
        <v>CK202410289458</v>
      </c>
      <c r="E1934" s="1" t="str">
        <f>"3723606964482999808"</f>
        <v>3723606964482999808</v>
      </c>
      <c r="F1934" s="1" t="str">
        <f t="shared" si="576"/>
        <v>花都四部-凤凰仓</v>
      </c>
      <c r="G1934" s="1" t="str">
        <f t="shared" si="570"/>
        <v>卡卡杜企业店（视频号）</v>
      </c>
      <c r="H1934" s="1" t="str">
        <f t="shared" si="577"/>
        <v>正常订单</v>
      </c>
      <c r="I1934" s="1" t="str">
        <f t="shared" si="578"/>
        <v>已发货</v>
      </c>
      <c r="J1934" s="1" t="str">
        <f t="shared" si="573"/>
        <v>5</v>
      </c>
      <c r="K1934" s="1">
        <v>3</v>
      </c>
      <c r="L1934" s="1" t="s">
        <v>60</v>
      </c>
      <c r="M1934" s="1" t="str">
        <f>"云南省 西双版纳傣族自治州 景洪市 "</f>
        <v xml:space="preserve">云南省 西双版纳傣族自治州 景洪市 </v>
      </c>
      <c r="N1934" s="1" t="str">
        <f t="shared" si="572"/>
        <v>凡华云仓-城南圆通-微信视频号</v>
      </c>
      <c r="O1934" s="5" t="s">
        <v>1971</v>
      </c>
      <c r="P1934" s="6">
        <v>0.56000000000000005</v>
      </c>
      <c r="Q1934" s="11">
        <f t="shared" si="579"/>
        <v>2.4499999999999997</v>
      </c>
      <c r="R1934" s="11"/>
      <c r="S1934" s="11"/>
      <c r="T1934" s="11"/>
      <c r="U1934" s="11">
        <f t="shared" si="580"/>
        <v>2.4499999999999997</v>
      </c>
      <c r="V1934" t="s">
        <v>15</v>
      </c>
      <c r="W1934">
        <v>2.4500000000000002</v>
      </c>
      <c r="X1934" s="1" t="s">
        <v>60</v>
      </c>
    </row>
    <row r="1935" spans="1:24" x14ac:dyDescent="0.25">
      <c r="A1935" s="1" t="str">
        <f t="shared" si="575"/>
        <v>卡卡杜-凤凰仓</v>
      </c>
      <c r="B1935" s="1" t="str">
        <f>"CK20241028302"</f>
        <v>CK20241028302</v>
      </c>
      <c r="C1935" s="1" t="str">
        <f>"DD2024102819764"</f>
        <v>DD2024102819764</v>
      </c>
      <c r="D1935" s="1" t="str">
        <f>"CK202410289457"</f>
        <v>CK202410289457</v>
      </c>
      <c r="E1935" s="1" t="str">
        <f>"3723606949042197504"</f>
        <v>3723606949042197504</v>
      </c>
      <c r="F1935" s="1" t="str">
        <f t="shared" si="576"/>
        <v>花都四部-凤凰仓</v>
      </c>
      <c r="G1935" s="1" t="str">
        <f t="shared" si="570"/>
        <v>卡卡杜企业店（视频号）</v>
      </c>
      <c r="H1935" s="1" t="str">
        <f t="shared" si="577"/>
        <v>正常订单</v>
      </c>
      <c r="I1935" s="1" t="str">
        <f t="shared" si="578"/>
        <v>已发货</v>
      </c>
      <c r="J1935" s="1" t="str">
        <f t="shared" si="573"/>
        <v>5</v>
      </c>
      <c r="K1935" s="1">
        <v>3</v>
      </c>
      <c r="L1935" s="1" t="s">
        <v>20</v>
      </c>
      <c r="M1935" s="1" t="str">
        <f>"浙江省 嘉兴市 嘉善县 "</f>
        <v xml:space="preserve">浙江省 嘉兴市 嘉善县 </v>
      </c>
      <c r="N1935" s="1" t="str">
        <f t="shared" si="572"/>
        <v>凡华云仓-城南圆通-微信视频号</v>
      </c>
      <c r="O1935" s="5" t="s">
        <v>1972</v>
      </c>
      <c r="P1935" s="6">
        <v>0.56000000000000005</v>
      </c>
      <c r="Q1935" s="11">
        <f t="shared" si="579"/>
        <v>2.4499999999999997</v>
      </c>
      <c r="R1935" s="11"/>
      <c r="S1935" s="11"/>
      <c r="T1935" s="11"/>
      <c r="U1935" s="11">
        <f t="shared" si="580"/>
        <v>2.4499999999999997</v>
      </c>
      <c r="V1935" t="s">
        <v>15</v>
      </c>
      <c r="W1935">
        <v>2.4500000000000002</v>
      </c>
      <c r="X1935" s="1" t="s">
        <v>20</v>
      </c>
    </row>
    <row r="1936" spans="1:24" x14ac:dyDescent="0.25">
      <c r="A1936" s="1" t="str">
        <f t="shared" si="575"/>
        <v>卡卡杜-凤凰仓</v>
      </c>
      <c r="B1936" s="1" t="str">
        <f>"CK20241028301"</f>
        <v>CK20241028301</v>
      </c>
      <c r="C1936" s="1" t="str">
        <f>"DD2024102819759"</f>
        <v>DD2024102819759</v>
      </c>
      <c r="D1936" s="1" t="str">
        <f>"CK202410289455"</f>
        <v>CK202410289455</v>
      </c>
      <c r="E1936" s="1" t="str">
        <f>"3723606926152041728"</f>
        <v>3723606926152041728</v>
      </c>
      <c r="F1936" s="1" t="str">
        <f t="shared" si="576"/>
        <v>花都四部-凤凰仓</v>
      </c>
      <c r="G1936" s="1" t="str">
        <f t="shared" si="570"/>
        <v>卡卡杜企业店（视频号）</v>
      </c>
      <c r="H1936" s="1" t="str">
        <f t="shared" si="577"/>
        <v>正常订单</v>
      </c>
      <c r="I1936" s="1" t="str">
        <f t="shared" si="578"/>
        <v>已发货</v>
      </c>
      <c r="J1936" s="1" t="str">
        <f t="shared" si="573"/>
        <v>5</v>
      </c>
      <c r="K1936" s="1">
        <v>3</v>
      </c>
      <c r="L1936" s="1" t="s">
        <v>24</v>
      </c>
      <c r="M1936" s="1" t="str">
        <f>"福建省 泉州市 丰泽区 "</f>
        <v xml:space="preserve">福建省 泉州市 丰泽区 </v>
      </c>
      <c r="N1936" s="1" t="str">
        <f t="shared" si="572"/>
        <v>凡华云仓-城南圆通-微信视频号</v>
      </c>
      <c r="O1936" s="5" t="s">
        <v>1973</v>
      </c>
      <c r="P1936" s="6">
        <v>0.56000000000000005</v>
      </c>
      <c r="Q1936" s="11">
        <f t="shared" si="579"/>
        <v>2.4499999999999997</v>
      </c>
      <c r="R1936" s="11"/>
      <c r="S1936" s="11"/>
      <c r="T1936" s="11"/>
      <c r="U1936" s="11">
        <f t="shared" si="580"/>
        <v>2.4499999999999997</v>
      </c>
      <c r="V1936" t="s">
        <v>15</v>
      </c>
      <c r="W1936">
        <v>2.4500000000000002</v>
      </c>
      <c r="X1936" s="1" t="s">
        <v>24</v>
      </c>
    </row>
    <row r="1937" spans="1:24" x14ac:dyDescent="0.25">
      <c r="A1937" s="1" t="str">
        <f t="shared" si="575"/>
        <v>卡卡杜-凤凰仓</v>
      </c>
      <c r="B1937" s="1" t="str">
        <f>"CK20241028300"</f>
        <v>CK20241028300</v>
      </c>
      <c r="C1937" s="1" t="str">
        <f>"DD2024102819758"</f>
        <v>DD2024102819758</v>
      </c>
      <c r="D1937" s="1" t="str">
        <f>"CK202410289454"</f>
        <v>CK202410289454</v>
      </c>
      <c r="E1937" s="1" t="str">
        <f>"3723606934359247872"</f>
        <v>3723606934359247872</v>
      </c>
      <c r="F1937" s="1" t="str">
        <f t="shared" si="576"/>
        <v>花都四部-凤凰仓</v>
      </c>
      <c r="G1937" s="1" t="str">
        <f t="shared" si="570"/>
        <v>卡卡杜企业店（视频号）</v>
      </c>
      <c r="H1937" s="1" t="str">
        <f t="shared" si="577"/>
        <v>正常订单</v>
      </c>
      <c r="I1937" s="1" t="str">
        <f t="shared" si="578"/>
        <v>已发货</v>
      </c>
      <c r="J1937" s="1" t="str">
        <f t="shared" si="573"/>
        <v>5</v>
      </c>
      <c r="K1937" s="1">
        <v>3</v>
      </c>
      <c r="L1937" s="1" t="s">
        <v>92</v>
      </c>
      <c r="M1937" s="1" t="str">
        <f>"辽宁省 沈阳市 于洪区 "</f>
        <v xml:space="preserve">辽宁省 沈阳市 于洪区 </v>
      </c>
      <c r="N1937" s="1" t="str">
        <f t="shared" si="572"/>
        <v>凡华云仓-城南圆通-微信视频号</v>
      </c>
      <c r="O1937" s="5" t="s">
        <v>1974</v>
      </c>
      <c r="P1937" s="6">
        <v>0.56000000000000005</v>
      </c>
      <c r="Q1937" s="11">
        <f t="shared" si="579"/>
        <v>2.4499999999999997</v>
      </c>
      <c r="R1937" s="11"/>
      <c r="S1937" s="11"/>
      <c r="T1937" s="11"/>
      <c r="U1937" s="11">
        <f t="shared" si="580"/>
        <v>2.4499999999999997</v>
      </c>
      <c r="V1937" t="s">
        <v>15</v>
      </c>
      <c r="W1937">
        <v>2.4500000000000002</v>
      </c>
      <c r="X1937" s="1" t="s">
        <v>92</v>
      </c>
    </row>
    <row r="1938" spans="1:24" x14ac:dyDescent="0.25">
      <c r="A1938" s="1" t="str">
        <f t="shared" si="575"/>
        <v>卡卡杜-凤凰仓</v>
      </c>
      <c r="B1938" s="1" t="str">
        <f>"CK20241028299"</f>
        <v>CK20241028299</v>
      </c>
      <c r="C1938" s="1" t="str">
        <f>"DD2024102819757"</f>
        <v>DD2024102819757</v>
      </c>
      <c r="D1938" s="1" t="str">
        <f>"CK202410289453"</f>
        <v>CK202410289453</v>
      </c>
      <c r="E1938" s="1" t="str">
        <f>"3723606931988415744"</f>
        <v>3723606931988415744</v>
      </c>
      <c r="F1938" s="1" t="str">
        <f t="shared" si="576"/>
        <v>花都四部-凤凰仓</v>
      </c>
      <c r="G1938" s="1" t="str">
        <f t="shared" si="570"/>
        <v>卡卡杜企业店（视频号）</v>
      </c>
      <c r="H1938" s="1" t="str">
        <f t="shared" si="577"/>
        <v>正常订单</v>
      </c>
      <c r="I1938" s="1" t="str">
        <f t="shared" si="578"/>
        <v>已发货</v>
      </c>
      <c r="J1938" s="1" t="str">
        <f t="shared" si="573"/>
        <v>5</v>
      </c>
      <c r="K1938" s="1">
        <v>3</v>
      </c>
      <c r="L1938" s="1" t="s">
        <v>30</v>
      </c>
      <c r="M1938" s="1" t="str">
        <f>"山东省 泰安市 泰山区 "</f>
        <v xml:space="preserve">山东省 泰安市 泰山区 </v>
      </c>
      <c r="N1938" s="1" t="str">
        <f t="shared" si="572"/>
        <v>凡华云仓-城南圆通-微信视频号</v>
      </c>
      <c r="O1938" s="5" t="s">
        <v>1975</v>
      </c>
      <c r="P1938" s="6">
        <v>0.56000000000000005</v>
      </c>
      <c r="Q1938" s="11">
        <f t="shared" si="579"/>
        <v>2.4499999999999997</v>
      </c>
      <c r="R1938" s="11"/>
      <c r="S1938" s="11"/>
      <c r="T1938" s="11"/>
      <c r="U1938" s="11">
        <f t="shared" si="580"/>
        <v>2.4499999999999997</v>
      </c>
      <c r="V1938" t="s">
        <v>15</v>
      </c>
      <c r="W1938">
        <v>2.4500000000000002</v>
      </c>
      <c r="X1938" s="1" t="s">
        <v>30</v>
      </c>
    </row>
    <row r="1939" spans="1:24" x14ac:dyDescent="0.25">
      <c r="A1939" s="1" t="str">
        <f t="shared" si="575"/>
        <v>卡卡杜-凤凰仓</v>
      </c>
      <c r="B1939" s="1" t="str">
        <f>"CK20241028297"</f>
        <v>CK20241028297</v>
      </c>
      <c r="C1939" s="1" t="str">
        <f>"DD2024102819755"</f>
        <v>DD2024102819755</v>
      </c>
      <c r="D1939" s="1" t="str">
        <f>"CK202410289452"</f>
        <v>CK202410289452</v>
      </c>
      <c r="E1939" s="1" t="str">
        <f>"3723606024274447360"</f>
        <v>3723606024274447360</v>
      </c>
      <c r="F1939" s="1" t="str">
        <f t="shared" si="576"/>
        <v>花都四部-凤凰仓</v>
      </c>
      <c r="G1939" s="1" t="str">
        <f t="shared" si="570"/>
        <v>卡卡杜企业店（视频号）</v>
      </c>
      <c r="H1939" s="1" t="str">
        <f t="shared" si="577"/>
        <v>正常订单</v>
      </c>
      <c r="I1939" s="1" t="str">
        <f t="shared" si="578"/>
        <v>已发货</v>
      </c>
      <c r="J1939" s="1" t="str">
        <f t="shared" si="573"/>
        <v>5</v>
      </c>
      <c r="K1939" s="1">
        <v>3</v>
      </c>
      <c r="L1939" s="1" t="s">
        <v>30</v>
      </c>
      <c r="M1939" s="1" t="str">
        <f>"山东省 济南市 市中区 "</f>
        <v xml:space="preserve">山东省 济南市 市中区 </v>
      </c>
      <c r="N1939" s="1" t="str">
        <f t="shared" si="572"/>
        <v>凡华云仓-城南圆通-微信视频号</v>
      </c>
      <c r="O1939" s="5" t="s">
        <v>1976</v>
      </c>
      <c r="P1939" s="6">
        <v>0.56000000000000005</v>
      </c>
      <c r="Q1939" s="11">
        <f t="shared" si="579"/>
        <v>2.4499999999999997</v>
      </c>
      <c r="R1939" s="11"/>
      <c r="S1939" s="11"/>
      <c r="T1939" s="11"/>
      <c r="U1939" s="11">
        <f t="shared" si="580"/>
        <v>2.4499999999999997</v>
      </c>
      <c r="V1939" t="s">
        <v>15</v>
      </c>
      <c r="W1939">
        <v>2.4500000000000002</v>
      </c>
      <c r="X1939" s="1" t="s">
        <v>30</v>
      </c>
    </row>
    <row r="1940" spans="1:24" x14ac:dyDescent="0.25">
      <c r="A1940" s="1" t="str">
        <f t="shared" si="575"/>
        <v>卡卡杜-凤凰仓</v>
      </c>
      <c r="B1940" s="1" t="str">
        <f>"CK20241028298"</f>
        <v>CK20241028298</v>
      </c>
      <c r="C1940" s="1" t="str">
        <f>"DD2024102819753"</f>
        <v>DD2024102819753</v>
      </c>
      <c r="D1940" s="1" t="str">
        <f>"CK202410289450"</f>
        <v>CK202410289450</v>
      </c>
      <c r="E1940" s="1" t="str">
        <f>"3723606930903405568"</f>
        <v>3723606930903405568</v>
      </c>
      <c r="F1940" s="1" t="str">
        <f t="shared" si="576"/>
        <v>花都四部-凤凰仓</v>
      </c>
      <c r="G1940" s="1" t="str">
        <f t="shared" si="570"/>
        <v>卡卡杜企业店（视频号）</v>
      </c>
      <c r="H1940" s="1" t="str">
        <f t="shared" si="577"/>
        <v>正常订单</v>
      </c>
      <c r="I1940" s="1" t="str">
        <f t="shared" si="578"/>
        <v>已发货</v>
      </c>
      <c r="J1940" s="1" t="str">
        <f t="shared" si="573"/>
        <v>5</v>
      </c>
      <c r="K1940" s="1">
        <v>3</v>
      </c>
      <c r="L1940" s="1" t="s">
        <v>80</v>
      </c>
      <c r="M1940" s="1" t="str">
        <f>"河南省 郑州市 中原区 "</f>
        <v xml:space="preserve">河南省 郑州市 中原区 </v>
      </c>
      <c r="N1940" s="1" t="str">
        <f t="shared" si="572"/>
        <v>凡华云仓-城南圆通-微信视频号</v>
      </c>
      <c r="O1940" s="5" t="s">
        <v>1977</v>
      </c>
      <c r="P1940" s="6">
        <v>0.56000000000000005</v>
      </c>
      <c r="Q1940" s="11">
        <f t="shared" si="579"/>
        <v>2.4499999999999997</v>
      </c>
      <c r="R1940" s="11"/>
      <c r="S1940" s="11"/>
      <c r="T1940" s="11"/>
      <c r="U1940" s="11">
        <f t="shared" si="580"/>
        <v>2.4499999999999997</v>
      </c>
      <c r="V1940" t="s">
        <v>15</v>
      </c>
      <c r="W1940">
        <v>2.4500000000000002</v>
      </c>
      <c r="X1940" s="1" t="s">
        <v>80</v>
      </c>
    </row>
    <row r="1941" spans="1:24" x14ac:dyDescent="0.25">
      <c r="A1941" s="1" t="str">
        <f t="shared" si="575"/>
        <v>卡卡杜-凤凰仓</v>
      </c>
      <c r="B1941" s="1" t="str">
        <f>"CK20241028296"</f>
        <v>CK20241028296</v>
      </c>
      <c r="C1941" s="1" t="str">
        <f>"DD2024102819752"</f>
        <v>DD2024102819752</v>
      </c>
      <c r="D1941" s="1" t="str">
        <f>"CK202410289449"</f>
        <v>CK202410289449</v>
      </c>
      <c r="E1941" s="1" t="str">
        <f>"3723606978922941440"</f>
        <v>3723606978922941440</v>
      </c>
      <c r="F1941" s="1" t="str">
        <f t="shared" si="576"/>
        <v>花都四部-凤凰仓</v>
      </c>
      <c r="G1941" s="1" t="str">
        <f t="shared" si="570"/>
        <v>卡卡杜企业店（视频号）</v>
      </c>
      <c r="H1941" s="1" t="str">
        <f t="shared" si="577"/>
        <v>正常订单</v>
      </c>
      <c r="I1941" s="1" t="str">
        <f t="shared" si="578"/>
        <v>已发货</v>
      </c>
      <c r="J1941" s="1" t="str">
        <f t="shared" si="573"/>
        <v>5</v>
      </c>
      <c r="K1941" s="1">
        <v>3</v>
      </c>
      <c r="L1941" s="1" t="s">
        <v>54</v>
      </c>
      <c r="M1941" s="1" t="str">
        <f>"黑龙江省 哈尔滨市 道里区 "</f>
        <v xml:space="preserve">黑龙江省 哈尔滨市 道里区 </v>
      </c>
      <c r="N1941" s="1" t="str">
        <f t="shared" si="572"/>
        <v>凡华云仓-城南圆通-微信视频号</v>
      </c>
      <c r="O1941" s="5" t="s">
        <v>1978</v>
      </c>
      <c r="P1941" s="6">
        <v>0.56000000000000005</v>
      </c>
      <c r="Q1941" s="11">
        <f t="shared" si="579"/>
        <v>2.4499999999999997</v>
      </c>
      <c r="R1941" s="11"/>
      <c r="S1941" s="11"/>
      <c r="T1941" s="11"/>
      <c r="U1941" s="11">
        <f t="shared" si="580"/>
        <v>2.4499999999999997</v>
      </c>
      <c r="V1941" t="s">
        <v>15</v>
      </c>
      <c r="W1941">
        <v>2.4500000000000002</v>
      </c>
      <c r="X1941" s="1" t="s">
        <v>54</v>
      </c>
    </row>
    <row r="1942" spans="1:24" x14ac:dyDescent="0.25">
      <c r="A1942" s="1" t="str">
        <f t="shared" si="575"/>
        <v>卡卡杜-凤凰仓</v>
      </c>
      <c r="B1942" s="1" t="str">
        <f>"CK20241028295"</f>
        <v>CK20241028295</v>
      </c>
      <c r="C1942" s="1" t="str">
        <f>"DD2024102819749"</f>
        <v>DD2024102819749</v>
      </c>
      <c r="D1942" s="1" t="str">
        <f>"CK202410289447"</f>
        <v>CK202410289447</v>
      </c>
      <c r="E1942" s="1" t="str">
        <f>"3723606931925763328"</f>
        <v>3723606931925763328</v>
      </c>
      <c r="F1942" s="1" t="str">
        <f t="shared" si="576"/>
        <v>花都四部-凤凰仓</v>
      </c>
      <c r="G1942" s="1" t="str">
        <f t="shared" si="570"/>
        <v>卡卡杜企业店（视频号）</v>
      </c>
      <c r="H1942" s="1" t="str">
        <f t="shared" si="577"/>
        <v>正常订单</v>
      </c>
      <c r="I1942" s="1" t="str">
        <f t="shared" si="578"/>
        <v>已发货</v>
      </c>
      <c r="J1942" s="1" t="str">
        <f t="shared" si="573"/>
        <v>5</v>
      </c>
      <c r="K1942" s="1">
        <v>3</v>
      </c>
      <c r="L1942" s="1" t="s">
        <v>74</v>
      </c>
      <c r="M1942" s="1" t="str">
        <f>"上海 上海市 浦东新区 "</f>
        <v xml:space="preserve">上海 上海市 浦东新区 </v>
      </c>
      <c r="N1942" s="1" t="str">
        <f t="shared" si="572"/>
        <v>凡华云仓-城南圆通-微信视频号</v>
      </c>
      <c r="O1942" s="5" t="s">
        <v>1979</v>
      </c>
      <c r="P1942" s="6">
        <v>0.56000000000000005</v>
      </c>
      <c r="Q1942" s="11">
        <f t="shared" si="579"/>
        <v>2.4499999999999997</v>
      </c>
      <c r="R1942" s="11"/>
      <c r="S1942" s="11"/>
      <c r="T1942" s="11"/>
      <c r="U1942" s="11">
        <f t="shared" si="580"/>
        <v>2.4499999999999997</v>
      </c>
      <c r="V1942" t="s">
        <v>15</v>
      </c>
      <c r="W1942">
        <v>2.4500000000000002</v>
      </c>
      <c r="X1942" s="1" t="s">
        <v>74</v>
      </c>
    </row>
    <row r="1943" spans="1:24" x14ac:dyDescent="0.25">
      <c r="A1943" s="1" t="str">
        <f t="shared" si="575"/>
        <v>卡卡杜-凤凰仓</v>
      </c>
      <c r="B1943" s="1" t="str">
        <f>"CK20241028293"</f>
        <v>CK20241028293</v>
      </c>
      <c r="C1943" s="1" t="str">
        <f>"DD2024102819747"</f>
        <v>DD2024102819747</v>
      </c>
      <c r="D1943" s="1" t="str">
        <f>"CK202410289446"</f>
        <v>CK202410289446</v>
      </c>
      <c r="E1943" s="1" t="str">
        <f>"3723606085848404992"</f>
        <v>3723606085848404992</v>
      </c>
      <c r="F1943" s="1" t="str">
        <f t="shared" si="576"/>
        <v>花都四部-凤凰仓</v>
      </c>
      <c r="G1943" s="1" t="str">
        <f t="shared" si="570"/>
        <v>卡卡杜企业店（视频号）</v>
      </c>
      <c r="H1943" s="1" t="str">
        <f t="shared" si="577"/>
        <v>正常订单</v>
      </c>
      <c r="I1943" s="1" t="str">
        <f t="shared" si="578"/>
        <v>已发货</v>
      </c>
      <c r="J1943" s="1" t="str">
        <f t="shared" si="573"/>
        <v>5</v>
      </c>
      <c r="K1943" s="1">
        <v>3</v>
      </c>
      <c r="L1943" s="1" t="s">
        <v>94</v>
      </c>
      <c r="M1943" s="1" t="str">
        <f>"湖南省 长沙市 岳麓区 "</f>
        <v xml:space="preserve">湖南省 长沙市 岳麓区 </v>
      </c>
      <c r="N1943" s="1" t="str">
        <f t="shared" si="572"/>
        <v>凡华云仓-城南圆通-微信视频号</v>
      </c>
      <c r="O1943" s="5" t="s">
        <v>1980</v>
      </c>
      <c r="P1943" s="6">
        <v>0.56000000000000005</v>
      </c>
      <c r="Q1943" s="11">
        <f t="shared" si="579"/>
        <v>2.4499999999999997</v>
      </c>
      <c r="R1943" s="11"/>
      <c r="S1943" s="11"/>
      <c r="T1943" s="11"/>
      <c r="U1943" s="11">
        <f t="shared" si="580"/>
        <v>2.4499999999999997</v>
      </c>
      <c r="V1943" t="s">
        <v>15</v>
      </c>
      <c r="W1943">
        <v>2.4500000000000002</v>
      </c>
      <c r="X1943" s="1" t="s">
        <v>94</v>
      </c>
    </row>
    <row r="1944" spans="1:24" x14ac:dyDescent="0.25">
      <c r="A1944" s="1" t="str">
        <f t="shared" si="575"/>
        <v>卡卡杜-凤凰仓</v>
      </c>
      <c r="B1944" s="1" t="str">
        <f>"CK20241028294"</f>
        <v>CK20241028294</v>
      </c>
      <c r="C1944" s="1" t="str">
        <f>"DD2024102819745"</f>
        <v>DD2024102819745</v>
      </c>
      <c r="D1944" s="1" t="str">
        <f>"CK202410289444"</f>
        <v>CK202410289444</v>
      </c>
      <c r="E1944" s="1" t="str">
        <f>"3723606903604512001"</f>
        <v>3723606903604512001</v>
      </c>
      <c r="F1944" s="1" t="str">
        <f t="shared" si="576"/>
        <v>花都四部-凤凰仓</v>
      </c>
      <c r="G1944" s="1" t="str">
        <f t="shared" si="570"/>
        <v>卡卡杜企业店（视频号）</v>
      </c>
      <c r="H1944" s="1" t="str">
        <f t="shared" si="577"/>
        <v>正常订单</v>
      </c>
      <c r="I1944" s="1" t="str">
        <f t="shared" si="578"/>
        <v>已发货</v>
      </c>
      <c r="J1944" s="1" t="str">
        <f t="shared" si="573"/>
        <v>5</v>
      </c>
      <c r="K1944" s="1">
        <v>3</v>
      </c>
      <c r="L1944" s="1" t="s">
        <v>30</v>
      </c>
      <c r="M1944" s="1" t="str">
        <f>"山东省 青岛市 崂山区 "</f>
        <v xml:space="preserve">山东省 青岛市 崂山区 </v>
      </c>
      <c r="N1944" s="1" t="str">
        <f t="shared" si="572"/>
        <v>凡华云仓-城南圆通-微信视频号</v>
      </c>
      <c r="O1944" s="5" t="s">
        <v>1981</v>
      </c>
      <c r="P1944" s="6">
        <v>0.56000000000000005</v>
      </c>
      <c r="Q1944" s="11">
        <f t="shared" si="579"/>
        <v>2.4499999999999997</v>
      </c>
      <c r="R1944" s="11"/>
      <c r="S1944" s="11"/>
      <c r="T1944" s="11"/>
      <c r="U1944" s="11">
        <f t="shared" si="580"/>
        <v>2.4499999999999997</v>
      </c>
      <c r="V1944" t="s">
        <v>15</v>
      </c>
      <c r="W1944">
        <v>2.4500000000000002</v>
      </c>
      <c r="X1944" s="1" t="s">
        <v>30</v>
      </c>
    </row>
    <row r="1945" spans="1:24" x14ac:dyDescent="0.25">
      <c r="A1945" s="1" t="str">
        <f t="shared" si="575"/>
        <v>卡卡杜-凤凰仓</v>
      </c>
      <c r="B1945" s="1" t="str">
        <f>"CK20241028291"</f>
        <v>CK20241028291</v>
      </c>
      <c r="C1945" s="1" t="str">
        <f>"DD2024102819744"</f>
        <v>DD2024102819744</v>
      </c>
      <c r="D1945" s="1" t="str">
        <f>"CK202410289443"</f>
        <v>CK202410289443</v>
      </c>
      <c r="E1945" s="1" t="str">
        <f>"3723606032467232000"</f>
        <v>3723606032467232000</v>
      </c>
      <c r="F1945" s="1" t="str">
        <f t="shared" si="576"/>
        <v>花都四部-凤凰仓</v>
      </c>
      <c r="G1945" s="1" t="str">
        <f t="shared" si="570"/>
        <v>卡卡杜企业店（视频号）</v>
      </c>
      <c r="H1945" s="1" t="str">
        <f t="shared" si="577"/>
        <v>正常订单</v>
      </c>
      <c r="I1945" s="1" t="str">
        <f t="shared" si="578"/>
        <v>已发货</v>
      </c>
      <c r="J1945" s="1" t="str">
        <f t="shared" si="573"/>
        <v>5</v>
      </c>
      <c r="K1945" s="1">
        <v>3</v>
      </c>
      <c r="L1945" s="1" t="s">
        <v>94</v>
      </c>
      <c r="M1945" s="1" t="str">
        <f>"湖南省 常德市 武陵区 "</f>
        <v xml:space="preserve">湖南省 常德市 武陵区 </v>
      </c>
      <c r="N1945" s="1" t="str">
        <f t="shared" si="572"/>
        <v>凡华云仓-城南圆通-微信视频号</v>
      </c>
      <c r="O1945" s="5" t="s">
        <v>1982</v>
      </c>
      <c r="P1945" s="6">
        <v>0.56000000000000005</v>
      </c>
      <c r="Q1945" s="11">
        <f t="shared" si="579"/>
        <v>2.4499999999999997</v>
      </c>
      <c r="R1945" s="11"/>
      <c r="S1945" s="11"/>
      <c r="T1945" s="11"/>
      <c r="U1945" s="11">
        <f t="shared" si="580"/>
        <v>2.4499999999999997</v>
      </c>
      <c r="V1945" t="s">
        <v>15</v>
      </c>
      <c r="W1945">
        <v>2.4500000000000002</v>
      </c>
      <c r="X1945" s="1" t="s">
        <v>94</v>
      </c>
    </row>
    <row r="1946" spans="1:24" x14ac:dyDescent="0.25">
      <c r="A1946" s="1" t="str">
        <f t="shared" si="575"/>
        <v>卡卡杜-凤凰仓</v>
      </c>
      <c r="B1946" s="1" t="str">
        <f>"CK20241028292"</f>
        <v>CK20241028292</v>
      </c>
      <c r="C1946" s="1" t="str">
        <f>"DD2024102819743"</f>
        <v>DD2024102819743</v>
      </c>
      <c r="D1946" s="1" t="str">
        <f>"CK202410289442"</f>
        <v>CK202410289442</v>
      </c>
      <c r="E1946" s="1" t="str">
        <f>"3723606030408090880"</f>
        <v>3723606030408090880</v>
      </c>
      <c r="F1946" s="1" t="str">
        <f t="shared" si="576"/>
        <v>花都四部-凤凰仓</v>
      </c>
      <c r="G1946" s="1" t="str">
        <f t="shared" si="570"/>
        <v>卡卡杜企业店（视频号）</v>
      </c>
      <c r="H1946" s="1" t="str">
        <f t="shared" si="577"/>
        <v>正常订单</v>
      </c>
      <c r="I1946" s="1" t="str">
        <f t="shared" si="578"/>
        <v>已发货</v>
      </c>
      <c r="J1946" s="1" t="str">
        <f t="shared" si="573"/>
        <v>5</v>
      </c>
      <c r="K1946" s="1">
        <v>3</v>
      </c>
      <c r="L1946" s="1" t="s">
        <v>105</v>
      </c>
      <c r="M1946" s="1" t="str">
        <f>"北京 北京市 海淀区 "</f>
        <v xml:space="preserve">北京 北京市 海淀区 </v>
      </c>
      <c r="N1946" s="1" t="str">
        <f t="shared" si="572"/>
        <v>凡华云仓-城南圆通-微信视频号</v>
      </c>
      <c r="O1946" s="5" t="s">
        <v>1983</v>
      </c>
      <c r="P1946" s="6">
        <v>0.56000000000000005</v>
      </c>
      <c r="Q1946" s="11">
        <f t="shared" si="579"/>
        <v>2.4499999999999997</v>
      </c>
      <c r="R1946" s="11"/>
      <c r="S1946" s="11"/>
      <c r="T1946" s="11"/>
      <c r="U1946" s="11">
        <f t="shared" si="580"/>
        <v>2.4499999999999997</v>
      </c>
      <c r="V1946" t="s">
        <v>15</v>
      </c>
      <c r="W1946">
        <v>2.4500000000000002</v>
      </c>
      <c r="X1946" s="1" t="s">
        <v>105</v>
      </c>
    </row>
    <row r="1947" spans="1:24" x14ac:dyDescent="0.25">
      <c r="A1947" s="1" t="str">
        <f t="shared" si="575"/>
        <v>卡卡杜-凤凰仓</v>
      </c>
      <c r="B1947" s="1" t="str">
        <f>"CK20241028290"</f>
        <v>CK20241028290</v>
      </c>
      <c r="C1947" s="1" t="str">
        <f>"DD2024102819742"</f>
        <v>DD2024102819742</v>
      </c>
      <c r="D1947" s="1" t="str">
        <f>"CK202410289441"</f>
        <v>CK202410289441</v>
      </c>
      <c r="E1947" s="1" t="str">
        <f>"3723606045202451456"</f>
        <v>3723606045202451456</v>
      </c>
      <c r="F1947" s="1" t="str">
        <f t="shared" si="576"/>
        <v>花都四部-凤凰仓</v>
      </c>
      <c r="G1947" s="1" t="str">
        <f t="shared" si="570"/>
        <v>卡卡杜企业店（视频号）</v>
      </c>
      <c r="H1947" s="1" t="str">
        <f t="shared" si="577"/>
        <v>正常订单</v>
      </c>
      <c r="I1947" s="1" t="str">
        <f t="shared" si="578"/>
        <v>已发货</v>
      </c>
      <c r="J1947" s="1" t="str">
        <f t="shared" si="573"/>
        <v>5</v>
      </c>
      <c r="K1947" s="1">
        <v>3</v>
      </c>
      <c r="L1947" s="1" t="s">
        <v>161</v>
      </c>
      <c r="M1947" s="1" t="str">
        <f>"四川省 成都市 青羊区 "</f>
        <v xml:space="preserve">四川省 成都市 青羊区 </v>
      </c>
      <c r="N1947" s="1" t="str">
        <f t="shared" si="572"/>
        <v>凡华云仓-城南圆通-微信视频号</v>
      </c>
      <c r="O1947" s="5" t="s">
        <v>1984</v>
      </c>
      <c r="P1947" s="6">
        <v>0.56000000000000005</v>
      </c>
      <c r="Q1947" s="11">
        <f t="shared" si="579"/>
        <v>2.4499999999999997</v>
      </c>
      <c r="R1947" s="11"/>
      <c r="S1947" s="11"/>
      <c r="T1947" s="11"/>
      <c r="U1947" s="11">
        <f t="shared" si="580"/>
        <v>2.4499999999999997</v>
      </c>
      <c r="V1947" t="s">
        <v>15</v>
      </c>
      <c r="W1947">
        <v>2.4500000000000002</v>
      </c>
      <c r="X1947" s="1" t="s">
        <v>161</v>
      </c>
    </row>
    <row r="1948" spans="1:24" x14ac:dyDescent="0.25">
      <c r="A1948" s="1" t="str">
        <f t="shared" si="575"/>
        <v>卡卡杜-凤凰仓</v>
      </c>
      <c r="B1948" s="1" t="str">
        <f>"CK20241028289"</f>
        <v>CK20241028289</v>
      </c>
      <c r="C1948" s="1" t="str">
        <f>"DD2024102819739"</f>
        <v>DD2024102819739</v>
      </c>
      <c r="D1948" s="1" t="str">
        <f>"CK202410289440"</f>
        <v>CK202410289440</v>
      </c>
      <c r="E1948" s="1" t="str">
        <f>"3723606029459132416"</f>
        <v>3723606029459132416</v>
      </c>
      <c r="F1948" s="1" t="str">
        <f t="shared" si="576"/>
        <v>花都四部-凤凰仓</v>
      </c>
      <c r="G1948" s="1" t="str">
        <f t="shared" si="570"/>
        <v>卡卡杜企业店（视频号）</v>
      </c>
      <c r="H1948" s="1" t="str">
        <f t="shared" si="577"/>
        <v>正常订单</v>
      </c>
      <c r="I1948" s="1" t="str">
        <f t="shared" si="578"/>
        <v>已发货</v>
      </c>
      <c r="J1948" s="1" t="str">
        <f t="shared" si="573"/>
        <v>5</v>
      </c>
      <c r="K1948" s="1">
        <v>3</v>
      </c>
      <c r="L1948" s="1" t="s">
        <v>16</v>
      </c>
      <c r="M1948" s="1" t="str">
        <f>"河北省 廊坊市 固安县 "</f>
        <v xml:space="preserve">河北省 廊坊市 固安县 </v>
      </c>
      <c r="N1948" s="1" t="str">
        <f t="shared" si="572"/>
        <v>凡华云仓-城南圆通-微信视频号</v>
      </c>
      <c r="O1948" s="5" t="s">
        <v>1985</v>
      </c>
      <c r="P1948" s="6">
        <v>0.56000000000000005</v>
      </c>
      <c r="Q1948" s="11">
        <f t="shared" si="579"/>
        <v>2.4499999999999997</v>
      </c>
      <c r="R1948" s="11"/>
      <c r="S1948" s="11"/>
      <c r="T1948" s="11"/>
      <c r="U1948" s="11">
        <f t="shared" si="580"/>
        <v>2.4499999999999997</v>
      </c>
      <c r="V1948" t="s">
        <v>15</v>
      </c>
      <c r="W1948">
        <v>2.4500000000000002</v>
      </c>
      <c r="X1948" s="1" t="s">
        <v>16</v>
      </c>
    </row>
    <row r="1949" spans="1:24" x14ac:dyDescent="0.25">
      <c r="A1949" s="1" t="str">
        <f t="shared" si="575"/>
        <v>卡卡杜-凤凰仓</v>
      </c>
      <c r="B1949" s="1" t="str">
        <f>"CK20241028288"</f>
        <v>CK20241028288</v>
      </c>
      <c r="C1949" s="1" t="str">
        <f>"DD2024102819735"</f>
        <v>DD2024102819735</v>
      </c>
      <c r="D1949" s="1" t="str">
        <f>"CK202410289439"</f>
        <v>CK202410289439</v>
      </c>
      <c r="E1949" s="1" t="str">
        <f>"3723606028272141568"</f>
        <v>3723606028272141568</v>
      </c>
      <c r="F1949" s="1" t="str">
        <f t="shared" si="576"/>
        <v>花都四部-凤凰仓</v>
      </c>
      <c r="G1949" s="1" t="str">
        <f t="shared" si="570"/>
        <v>卡卡杜企业店（视频号）</v>
      </c>
      <c r="H1949" s="1" t="str">
        <f t="shared" si="577"/>
        <v>正常订单</v>
      </c>
      <c r="I1949" s="1" t="str">
        <f t="shared" si="578"/>
        <v>已发货</v>
      </c>
      <c r="J1949" s="1" t="str">
        <f t="shared" si="573"/>
        <v>5</v>
      </c>
      <c r="K1949" s="1">
        <v>3</v>
      </c>
      <c r="L1949" s="1" t="s">
        <v>105</v>
      </c>
      <c r="M1949" s="1" t="str">
        <f>"北京 北京市 朝阳区 "</f>
        <v xml:space="preserve">北京 北京市 朝阳区 </v>
      </c>
      <c r="N1949" s="1" t="str">
        <f t="shared" si="572"/>
        <v>凡华云仓-城南圆通-微信视频号</v>
      </c>
      <c r="O1949" s="5" t="s">
        <v>1986</v>
      </c>
      <c r="P1949" s="6">
        <v>0.56000000000000005</v>
      </c>
      <c r="Q1949" s="11">
        <f t="shared" si="579"/>
        <v>2.4499999999999997</v>
      </c>
      <c r="R1949" s="11"/>
      <c r="S1949" s="11"/>
      <c r="T1949" s="11"/>
      <c r="U1949" s="11">
        <f t="shared" si="580"/>
        <v>2.4499999999999997</v>
      </c>
      <c r="V1949" t="s">
        <v>15</v>
      </c>
      <c r="W1949">
        <v>2.4500000000000002</v>
      </c>
      <c r="X1949" s="1" t="s">
        <v>105</v>
      </c>
    </row>
    <row r="1950" spans="1:24" x14ac:dyDescent="0.25">
      <c r="A1950" s="1" t="str">
        <f t="shared" si="575"/>
        <v>卡卡杜-凤凰仓</v>
      </c>
      <c r="B1950" s="1" t="str">
        <f>"CK20241028287"</f>
        <v>CK20241028287</v>
      </c>
      <c r="C1950" s="1" t="str">
        <f>"DD2024102819733"</f>
        <v>DD2024102819733</v>
      </c>
      <c r="D1950" s="1" t="str">
        <f>"CK202410289438"</f>
        <v>CK202410289438</v>
      </c>
      <c r="E1950" s="1" t="str">
        <f>"3723606930569171968"</f>
        <v>3723606930569171968</v>
      </c>
      <c r="F1950" s="1" t="str">
        <f t="shared" si="576"/>
        <v>花都四部-凤凰仓</v>
      </c>
      <c r="G1950" s="1" t="str">
        <f t="shared" si="570"/>
        <v>卡卡杜企业店（视频号）</v>
      </c>
      <c r="H1950" s="1" t="str">
        <f t="shared" si="577"/>
        <v>正常订单</v>
      </c>
      <c r="I1950" s="1" t="str">
        <f t="shared" si="578"/>
        <v>已发货</v>
      </c>
      <c r="J1950" s="1" t="str">
        <f t="shared" si="573"/>
        <v>5</v>
      </c>
      <c r="K1950" s="1">
        <v>3</v>
      </c>
      <c r="L1950" s="1" t="s">
        <v>109</v>
      </c>
      <c r="M1950" s="1" t="str">
        <f>"山西省 太原市 小店区 "</f>
        <v xml:space="preserve">山西省 太原市 小店区 </v>
      </c>
      <c r="N1950" s="1" t="str">
        <f t="shared" si="572"/>
        <v>凡华云仓-城南圆通-微信视频号</v>
      </c>
      <c r="O1950" s="5" t="s">
        <v>1987</v>
      </c>
      <c r="P1950" s="6">
        <v>0.56000000000000005</v>
      </c>
      <c r="Q1950" s="11">
        <f t="shared" si="579"/>
        <v>2.4499999999999997</v>
      </c>
      <c r="R1950" s="11"/>
      <c r="S1950" s="11"/>
      <c r="T1950" s="11"/>
      <c r="U1950" s="11">
        <f t="shared" si="580"/>
        <v>2.4499999999999997</v>
      </c>
      <c r="V1950" t="s">
        <v>15</v>
      </c>
      <c r="W1950">
        <v>2.4500000000000002</v>
      </c>
      <c r="X1950" s="1" t="s">
        <v>109</v>
      </c>
    </row>
    <row r="1951" spans="1:24" x14ac:dyDescent="0.25">
      <c r="A1951" s="1" t="str">
        <f t="shared" si="575"/>
        <v>卡卡杜-凤凰仓</v>
      </c>
      <c r="B1951" s="1" t="str">
        <f>"CK20241028286"</f>
        <v>CK20241028286</v>
      </c>
      <c r="C1951" s="1" t="str">
        <f>"DD2024102819732"</f>
        <v>DD2024102819732</v>
      </c>
      <c r="D1951" s="1" t="str">
        <f>"CK202410289437"</f>
        <v>CK202410289437</v>
      </c>
      <c r="E1951" s="1" t="str">
        <f>"6935553699596146239"</f>
        <v>6935553699596146239</v>
      </c>
      <c r="F1951" s="1" t="str">
        <f t="shared" si="576"/>
        <v>花都四部-凤凰仓</v>
      </c>
      <c r="G1951" s="1" t="str">
        <f>"卡卡杜个人护理店（抖店）"</f>
        <v>卡卡杜个人护理店（抖店）</v>
      </c>
      <c r="H1951" s="1" t="str">
        <f t="shared" si="577"/>
        <v>正常订单</v>
      </c>
      <c r="I1951" s="1" t="str">
        <f t="shared" si="578"/>
        <v>已发货</v>
      </c>
      <c r="J1951" s="1" t="str">
        <f t="shared" si="573"/>
        <v>5</v>
      </c>
      <c r="K1951" s="1">
        <v>2</v>
      </c>
      <c r="L1951" s="1" t="s">
        <v>94</v>
      </c>
      <c r="M1951" s="1" t="str">
        <f>"湖南省 益阳市 资阳区 长春镇"</f>
        <v>湖南省 益阳市 资阳区 长春镇</v>
      </c>
      <c r="N1951" s="1" t="str">
        <f>"凡华云仓-城南圆通-抖音"</f>
        <v>凡华云仓-城南圆通-抖音</v>
      </c>
      <c r="O1951" s="5" t="s">
        <v>1988</v>
      </c>
      <c r="P1951" s="6">
        <v>0.59</v>
      </c>
      <c r="Q1951" s="11">
        <f t="shared" si="579"/>
        <v>2.4499999999999997</v>
      </c>
      <c r="R1951" s="11"/>
      <c r="S1951" s="11"/>
      <c r="T1951" s="11"/>
      <c r="U1951" s="11">
        <f t="shared" si="580"/>
        <v>2.4499999999999997</v>
      </c>
      <c r="V1951" t="s">
        <v>15</v>
      </c>
      <c r="W1951">
        <v>2.4500000000000002</v>
      </c>
      <c r="X1951" s="1" t="s">
        <v>94</v>
      </c>
    </row>
    <row r="1952" spans="1:24" x14ac:dyDescent="0.25">
      <c r="A1952" s="1" t="str">
        <f t="shared" si="575"/>
        <v>卡卡杜-凤凰仓</v>
      </c>
      <c r="B1952" s="1" t="str">
        <f>"CK20241028285"</f>
        <v>CK20241028285</v>
      </c>
      <c r="C1952" s="1" t="str">
        <f>"DD2024102819731"</f>
        <v>DD2024102819731</v>
      </c>
      <c r="D1952" s="1" t="str">
        <f>"CK202410289436"</f>
        <v>CK202410289436</v>
      </c>
      <c r="E1952" s="1" t="str">
        <f>"2430202486488879"</f>
        <v>2430202486488879</v>
      </c>
      <c r="F1952" s="1" t="str">
        <f t="shared" si="576"/>
        <v>花都四部-凤凰仓</v>
      </c>
      <c r="G1952" s="1" t="str">
        <f t="shared" ref="G1952:G1958" si="581">"卡卡杜佳旺专卖店（快手店）"</f>
        <v>卡卡杜佳旺专卖店（快手店）</v>
      </c>
      <c r="H1952" s="1" t="str">
        <f t="shared" si="577"/>
        <v>正常订单</v>
      </c>
      <c r="I1952" s="1" t="str">
        <f t="shared" si="578"/>
        <v>已发货</v>
      </c>
      <c r="J1952" s="1" t="str">
        <f t="shared" si="573"/>
        <v>5</v>
      </c>
      <c r="K1952" s="1">
        <v>2</v>
      </c>
      <c r="L1952" s="1" t="s">
        <v>30</v>
      </c>
      <c r="M1952" s="1" t="str">
        <f>"山东省 威海市 荣成市 "</f>
        <v xml:space="preserve">山东省 威海市 荣成市 </v>
      </c>
      <c r="N1952" s="1" t="str">
        <f t="shared" ref="N1952:N1958" si="582">"凡华云仓-城南圆通-快手"</f>
        <v>凡华云仓-城南圆通-快手</v>
      </c>
      <c r="O1952" s="5" t="s">
        <v>1989</v>
      </c>
      <c r="P1952" s="6">
        <v>0.59</v>
      </c>
      <c r="Q1952" s="11">
        <f t="shared" si="579"/>
        <v>2.4499999999999997</v>
      </c>
      <c r="R1952" s="11"/>
      <c r="S1952" s="11"/>
      <c r="T1952" s="11"/>
      <c r="U1952" s="11">
        <f t="shared" si="580"/>
        <v>2.4499999999999997</v>
      </c>
      <c r="V1952" t="s">
        <v>15</v>
      </c>
      <c r="W1952">
        <v>2.4500000000000002</v>
      </c>
      <c r="X1952" s="1" t="s">
        <v>30</v>
      </c>
    </row>
    <row r="1953" spans="1:24" x14ac:dyDescent="0.25">
      <c r="A1953" s="1" t="str">
        <f t="shared" si="575"/>
        <v>卡卡杜-凤凰仓</v>
      </c>
      <c r="B1953" s="1" t="str">
        <f>"CK20241028284"</f>
        <v>CK20241028284</v>
      </c>
      <c r="C1953" s="1" t="str">
        <f>"DD2024102819730"</f>
        <v>DD2024102819730</v>
      </c>
      <c r="D1953" s="1" t="str">
        <f>"CK202410289435"</f>
        <v>CK202410289435</v>
      </c>
      <c r="E1953" s="1" t="str">
        <f>"2430202402640644"</f>
        <v>2430202402640644</v>
      </c>
      <c r="F1953" s="1" t="str">
        <f t="shared" si="576"/>
        <v>花都四部-凤凰仓</v>
      </c>
      <c r="G1953" s="1" t="str">
        <f t="shared" si="581"/>
        <v>卡卡杜佳旺专卖店（快手店）</v>
      </c>
      <c r="H1953" s="1" t="str">
        <f t="shared" si="577"/>
        <v>正常订单</v>
      </c>
      <c r="I1953" s="1" t="str">
        <f t="shared" si="578"/>
        <v>已发货</v>
      </c>
      <c r="J1953" s="1" t="str">
        <f t="shared" si="573"/>
        <v>5</v>
      </c>
      <c r="K1953" s="1">
        <v>2</v>
      </c>
      <c r="L1953" s="1" t="s">
        <v>16</v>
      </c>
      <c r="M1953" s="1" t="str">
        <f>"河北省 唐山市 开平区 郑庄子镇"</f>
        <v>河北省 唐山市 开平区 郑庄子镇</v>
      </c>
      <c r="N1953" s="1" t="str">
        <f t="shared" si="582"/>
        <v>凡华云仓-城南圆通-快手</v>
      </c>
      <c r="O1953" s="5" t="s">
        <v>1990</v>
      </c>
      <c r="P1953" s="6">
        <v>0.59</v>
      </c>
      <c r="Q1953" s="11">
        <f t="shared" si="579"/>
        <v>2.4499999999999997</v>
      </c>
      <c r="R1953" s="11"/>
      <c r="S1953" s="11"/>
      <c r="T1953" s="11"/>
      <c r="U1953" s="11">
        <f t="shared" si="580"/>
        <v>2.4499999999999997</v>
      </c>
      <c r="V1953" t="s">
        <v>15</v>
      </c>
      <c r="W1953">
        <v>2.4500000000000002</v>
      </c>
      <c r="X1953" s="1" t="s">
        <v>16</v>
      </c>
    </row>
    <row r="1954" spans="1:24" x14ac:dyDescent="0.25">
      <c r="A1954" s="1" t="str">
        <f t="shared" si="575"/>
        <v>卡卡杜-凤凰仓</v>
      </c>
      <c r="B1954" s="1" t="str">
        <f>"CK20241028283"</f>
        <v>CK20241028283</v>
      </c>
      <c r="C1954" s="1" t="str">
        <f>"DD2024102819728"</f>
        <v>DD2024102819728</v>
      </c>
      <c r="D1954" s="1" t="str">
        <f>"CK202410289434"</f>
        <v>CK202410289434</v>
      </c>
      <c r="E1954" s="1" t="str">
        <f>"2430202405737091"</f>
        <v>2430202405737091</v>
      </c>
      <c r="F1954" s="1" t="str">
        <f t="shared" si="576"/>
        <v>花都四部-凤凰仓</v>
      </c>
      <c r="G1954" s="1" t="str">
        <f t="shared" si="581"/>
        <v>卡卡杜佳旺专卖店（快手店）</v>
      </c>
      <c r="H1954" s="1" t="str">
        <f t="shared" si="577"/>
        <v>正常订单</v>
      </c>
      <c r="I1954" s="1" t="str">
        <f t="shared" si="578"/>
        <v>已发货</v>
      </c>
      <c r="J1954" s="1" t="str">
        <f t="shared" si="573"/>
        <v>5</v>
      </c>
      <c r="K1954" s="1">
        <v>2</v>
      </c>
      <c r="L1954" s="1" t="s">
        <v>36</v>
      </c>
      <c r="M1954" s="1" t="str">
        <f>"安徽省 安庆市 桐城市 "</f>
        <v xml:space="preserve">安徽省 安庆市 桐城市 </v>
      </c>
      <c r="N1954" s="1" t="str">
        <f t="shared" si="582"/>
        <v>凡华云仓-城南圆通-快手</v>
      </c>
      <c r="O1954" s="5" t="s">
        <v>1991</v>
      </c>
      <c r="P1954" s="6">
        <v>0.59</v>
      </c>
      <c r="Q1954" s="11">
        <f t="shared" si="579"/>
        <v>2.4499999999999997</v>
      </c>
      <c r="R1954" s="11"/>
      <c r="S1954" s="11"/>
      <c r="T1954" s="11"/>
      <c r="U1954" s="11">
        <f t="shared" si="580"/>
        <v>2.4499999999999997</v>
      </c>
      <c r="V1954" t="s">
        <v>15</v>
      </c>
      <c r="W1954">
        <v>2.4500000000000002</v>
      </c>
      <c r="X1954" s="1" t="s">
        <v>36</v>
      </c>
    </row>
    <row r="1955" spans="1:24" x14ac:dyDescent="0.25">
      <c r="A1955" s="1" t="str">
        <f t="shared" si="575"/>
        <v>卡卡杜-凤凰仓</v>
      </c>
      <c r="B1955" s="1" t="str">
        <f>"CK20241028278"</f>
        <v>CK20241028278</v>
      </c>
      <c r="C1955" s="1" t="str">
        <f>"DD2024102819726"</f>
        <v>DD2024102819726</v>
      </c>
      <c r="D1955" s="1" t="str">
        <f>"CK202410289433"</f>
        <v>CK202410289433</v>
      </c>
      <c r="E1955" s="1" t="str">
        <f>"2430102250336923"</f>
        <v>2430102250336923</v>
      </c>
      <c r="F1955" s="1" t="str">
        <f t="shared" si="576"/>
        <v>花都四部-凤凰仓</v>
      </c>
      <c r="G1955" s="1" t="str">
        <f t="shared" si="581"/>
        <v>卡卡杜佳旺专卖店（快手店）</v>
      </c>
      <c r="H1955" s="1" t="str">
        <f t="shared" si="577"/>
        <v>正常订单</v>
      </c>
      <c r="I1955" s="1" t="str">
        <f t="shared" si="578"/>
        <v>已发货</v>
      </c>
      <c r="J1955" s="1" t="str">
        <f t="shared" si="573"/>
        <v>5</v>
      </c>
      <c r="K1955" s="1">
        <v>2</v>
      </c>
      <c r="L1955" s="1" t="s">
        <v>136</v>
      </c>
      <c r="M1955" s="1" t="str">
        <f>"北京市 北京市 东城区 北新桥街道"</f>
        <v>北京市 北京市 东城区 北新桥街道</v>
      </c>
      <c r="N1955" s="1" t="str">
        <f t="shared" si="582"/>
        <v>凡华云仓-城南圆通-快手</v>
      </c>
      <c r="O1955" s="5" t="s">
        <v>1992</v>
      </c>
      <c r="P1955" s="6">
        <v>0.59</v>
      </c>
      <c r="Q1955" s="11">
        <f t="shared" si="579"/>
        <v>2.4499999999999997</v>
      </c>
      <c r="R1955" s="11"/>
      <c r="S1955" s="11"/>
      <c r="T1955" s="11"/>
      <c r="U1955" s="11">
        <f t="shared" si="580"/>
        <v>2.4499999999999997</v>
      </c>
      <c r="V1955" t="s">
        <v>15</v>
      </c>
      <c r="W1955">
        <v>2.4500000000000002</v>
      </c>
      <c r="X1955" s="1" t="s">
        <v>136</v>
      </c>
    </row>
    <row r="1956" spans="1:24" x14ac:dyDescent="0.25">
      <c r="A1956" s="1" t="str">
        <f t="shared" si="575"/>
        <v>卡卡杜-凤凰仓</v>
      </c>
      <c r="B1956" s="1" t="str">
        <f>"CK20241028282"</f>
        <v>CK20241028282</v>
      </c>
      <c r="C1956" s="1" t="str">
        <f>"DD2024102819722"</f>
        <v>DD2024102819722</v>
      </c>
      <c r="D1956" s="1" t="str">
        <f>"CK202410289432"</f>
        <v>CK202410289432</v>
      </c>
      <c r="E1956" s="1" t="str">
        <f>"2430101693369096"</f>
        <v>2430101693369096</v>
      </c>
      <c r="F1956" s="1" t="str">
        <f t="shared" si="576"/>
        <v>花都四部-凤凰仓</v>
      </c>
      <c r="G1956" s="1" t="str">
        <f t="shared" si="581"/>
        <v>卡卡杜佳旺专卖店（快手店）</v>
      </c>
      <c r="H1956" s="1" t="str">
        <f t="shared" si="577"/>
        <v>正常订单</v>
      </c>
      <c r="I1956" s="1" t="str">
        <f t="shared" si="578"/>
        <v>已发货</v>
      </c>
      <c r="J1956" s="1" t="str">
        <f t="shared" si="573"/>
        <v>5</v>
      </c>
      <c r="K1956" s="1">
        <v>2</v>
      </c>
      <c r="L1956" s="1" t="s">
        <v>24</v>
      </c>
      <c r="M1956" s="1" t="str">
        <f>"福建省 三明市 大田县 太华镇"</f>
        <v>福建省 三明市 大田县 太华镇</v>
      </c>
      <c r="N1956" s="1" t="str">
        <f t="shared" si="582"/>
        <v>凡华云仓-城南圆通-快手</v>
      </c>
      <c r="O1956" s="5" t="s">
        <v>1993</v>
      </c>
      <c r="P1956" s="6">
        <v>0.59</v>
      </c>
      <c r="Q1956" s="11">
        <f t="shared" si="579"/>
        <v>2.4499999999999997</v>
      </c>
      <c r="R1956" s="11"/>
      <c r="S1956" s="11"/>
      <c r="T1956" s="11"/>
      <c r="U1956" s="11">
        <f t="shared" si="580"/>
        <v>2.4499999999999997</v>
      </c>
      <c r="V1956" t="s">
        <v>15</v>
      </c>
      <c r="W1956">
        <v>2.4500000000000002</v>
      </c>
      <c r="X1956" s="1" t="s">
        <v>24</v>
      </c>
    </row>
    <row r="1957" spans="1:24" x14ac:dyDescent="0.25">
      <c r="A1957" s="1" t="str">
        <f t="shared" si="575"/>
        <v>卡卡杜-凤凰仓</v>
      </c>
      <c r="B1957" s="1" t="str">
        <f>"CK20241028279"</f>
        <v>CK20241028279</v>
      </c>
      <c r="C1957" s="1" t="str">
        <f>"DD2024102819721"</f>
        <v>DD2024102819721</v>
      </c>
      <c r="D1957" s="1" t="str">
        <f>"CK202410289431"</f>
        <v>CK202410289431</v>
      </c>
      <c r="E1957" s="1" t="str">
        <f>"2430101770280698"</f>
        <v>2430101770280698</v>
      </c>
      <c r="F1957" s="1" t="str">
        <f t="shared" si="576"/>
        <v>花都四部-凤凰仓</v>
      </c>
      <c r="G1957" s="1" t="str">
        <f t="shared" si="581"/>
        <v>卡卡杜佳旺专卖店（快手店）</v>
      </c>
      <c r="H1957" s="1" t="str">
        <f t="shared" si="577"/>
        <v>正常订单</v>
      </c>
      <c r="I1957" s="1" t="str">
        <f t="shared" si="578"/>
        <v>已发货</v>
      </c>
      <c r="J1957" s="1" t="str">
        <f t="shared" si="573"/>
        <v>5</v>
      </c>
      <c r="K1957" s="1">
        <v>2</v>
      </c>
      <c r="L1957" s="1" t="s">
        <v>187</v>
      </c>
      <c r="M1957" s="1" t="str">
        <f>"吉林省 通化市 东昌区 光明街道"</f>
        <v>吉林省 通化市 东昌区 光明街道</v>
      </c>
      <c r="N1957" s="1" t="str">
        <f t="shared" si="582"/>
        <v>凡华云仓-城南圆通-快手</v>
      </c>
      <c r="O1957" s="5" t="s">
        <v>1994</v>
      </c>
      <c r="P1957" s="6">
        <v>0.59</v>
      </c>
      <c r="Q1957" s="11">
        <f t="shared" si="579"/>
        <v>2.4499999999999997</v>
      </c>
      <c r="R1957" s="11"/>
      <c r="S1957" s="11"/>
      <c r="T1957" s="11"/>
      <c r="U1957" s="11">
        <f t="shared" si="580"/>
        <v>2.4499999999999997</v>
      </c>
      <c r="V1957" t="s">
        <v>15</v>
      </c>
      <c r="W1957">
        <v>2.4500000000000002</v>
      </c>
      <c r="X1957" s="1" t="s">
        <v>187</v>
      </c>
    </row>
    <row r="1958" spans="1:24" x14ac:dyDescent="0.25">
      <c r="A1958" s="1" t="str">
        <f t="shared" si="575"/>
        <v>卡卡杜-凤凰仓</v>
      </c>
      <c r="B1958" s="1" t="str">
        <f>"CK20241028280"</f>
        <v>CK20241028280</v>
      </c>
      <c r="C1958" s="1" t="str">
        <f>"DD2024102819720"</f>
        <v>DD2024102819720</v>
      </c>
      <c r="D1958" s="1" t="str">
        <f>"CK202410289430"</f>
        <v>CK202410289430</v>
      </c>
      <c r="E1958" s="1" t="str">
        <f>"2430102413850395"</f>
        <v>2430102413850395</v>
      </c>
      <c r="F1958" s="1" t="str">
        <f t="shared" si="576"/>
        <v>花都四部-凤凰仓</v>
      </c>
      <c r="G1958" s="1" t="str">
        <f t="shared" si="581"/>
        <v>卡卡杜佳旺专卖店（快手店）</v>
      </c>
      <c r="H1958" s="1" t="str">
        <f t="shared" si="577"/>
        <v>正常订单</v>
      </c>
      <c r="I1958" s="1" t="str">
        <f t="shared" si="578"/>
        <v>已发货</v>
      </c>
      <c r="J1958" s="1" t="str">
        <f t="shared" si="573"/>
        <v>5</v>
      </c>
      <c r="K1958" s="1">
        <v>2</v>
      </c>
      <c r="L1958" s="1" t="s">
        <v>20</v>
      </c>
      <c r="M1958" s="1" t="str">
        <f>"浙江省 杭州市 上城区 彭埠街道"</f>
        <v>浙江省 杭州市 上城区 彭埠街道</v>
      </c>
      <c r="N1958" s="1" t="str">
        <f t="shared" si="582"/>
        <v>凡华云仓-城南圆通-快手</v>
      </c>
      <c r="O1958" s="5" t="s">
        <v>1995</v>
      </c>
      <c r="P1958" s="6">
        <v>0.59</v>
      </c>
      <c r="Q1958" s="11">
        <f t="shared" si="579"/>
        <v>2.4499999999999997</v>
      </c>
      <c r="R1958" s="11"/>
      <c r="S1958" s="11"/>
      <c r="T1958" s="11"/>
      <c r="U1958" s="11">
        <f t="shared" si="580"/>
        <v>2.4499999999999997</v>
      </c>
      <c r="V1958" t="s">
        <v>15</v>
      </c>
      <c r="W1958">
        <v>2.4500000000000002</v>
      </c>
      <c r="X1958" s="1" t="s">
        <v>20</v>
      </c>
    </row>
    <row r="1959" spans="1:24" x14ac:dyDescent="0.25">
      <c r="A1959" s="1" t="str">
        <f t="shared" si="575"/>
        <v>卡卡杜-凤凰仓</v>
      </c>
      <c r="B1959" s="1" t="str">
        <f>"CK20241028281"</f>
        <v>CK20241028281</v>
      </c>
      <c r="C1959" s="1" t="str">
        <f>"DD2024102819719"</f>
        <v>DD2024102819719</v>
      </c>
      <c r="D1959" s="1" t="str">
        <f>"CK202410289429"</f>
        <v>CK202410289429</v>
      </c>
      <c r="E1959" s="1" t="str">
        <f>"3723606372627124224"</f>
        <v>3723606372627124224</v>
      </c>
      <c r="F1959" s="1" t="str">
        <f t="shared" si="576"/>
        <v>花都四部-凤凰仓</v>
      </c>
      <c r="G1959" s="1" t="str">
        <f>"卡卡杜企业店（视频号）"</f>
        <v>卡卡杜企业店（视频号）</v>
      </c>
      <c r="H1959" s="1" t="str">
        <f t="shared" si="577"/>
        <v>正常订单</v>
      </c>
      <c r="I1959" s="1" t="str">
        <f t="shared" si="578"/>
        <v>已发货</v>
      </c>
      <c r="J1959" s="1" t="str">
        <f t="shared" si="573"/>
        <v>5</v>
      </c>
      <c r="K1959" s="1">
        <v>2</v>
      </c>
      <c r="L1959" s="1" t="s">
        <v>161</v>
      </c>
      <c r="M1959" s="1" t="str">
        <f>"四川省 眉山市 仁寿县 "</f>
        <v xml:space="preserve">四川省 眉山市 仁寿县 </v>
      </c>
      <c r="N1959" s="1" t="str">
        <f>"凡华云仓-城南圆通-微信视频号"</f>
        <v>凡华云仓-城南圆通-微信视频号</v>
      </c>
      <c r="O1959" s="5" t="s">
        <v>1996</v>
      </c>
      <c r="P1959" s="6">
        <v>0.59</v>
      </c>
      <c r="Q1959" s="11">
        <f t="shared" si="579"/>
        <v>2.4499999999999997</v>
      </c>
      <c r="R1959" s="11"/>
      <c r="S1959" s="11"/>
      <c r="T1959" s="11"/>
      <c r="U1959" s="11">
        <f t="shared" si="580"/>
        <v>2.4499999999999997</v>
      </c>
      <c r="V1959" t="s">
        <v>15</v>
      </c>
      <c r="W1959">
        <v>2.4500000000000002</v>
      </c>
      <c r="X1959" s="1" t="s">
        <v>161</v>
      </c>
    </row>
    <row r="1960" spans="1:24" x14ac:dyDescent="0.25">
      <c r="A1960" s="1" t="str">
        <f t="shared" si="575"/>
        <v>卡卡杜-凤凰仓</v>
      </c>
      <c r="B1960" s="1" t="str">
        <f>"CK20241028274"</f>
        <v>CK20241028274</v>
      </c>
      <c r="C1960" s="1" t="str">
        <f>"DD2024102819718"</f>
        <v>DD2024102819718</v>
      </c>
      <c r="D1960" s="1" t="str">
        <f>"CK202410289428"</f>
        <v>CK202410289428</v>
      </c>
      <c r="E1960" s="1" t="str">
        <f>"2430102335611988"</f>
        <v>2430102335611988</v>
      </c>
      <c r="F1960" s="1" t="str">
        <f t="shared" si="576"/>
        <v>花都四部-凤凰仓</v>
      </c>
      <c r="G1960" s="1" t="str">
        <f t="shared" ref="G1960:G1965" si="583">"卡卡杜佳旺专卖店（快手店）"</f>
        <v>卡卡杜佳旺专卖店（快手店）</v>
      </c>
      <c r="H1960" s="1" t="str">
        <f t="shared" si="577"/>
        <v>正常订单</v>
      </c>
      <c r="I1960" s="1" t="str">
        <f t="shared" si="578"/>
        <v>已发货</v>
      </c>
      <c r="J1960" s="1" t="str">
        <f t="shared" si="573"/>
        <v>5</v>
      </c>
      <c r="K1960" s="1">
        <v>2</v>
      </c>
      <c r="L1960" s="1" t="s">
        <v>18</v>
      </c>
      <c r="M1960" s="1" t="str">
        <f>"广东省 深圳市 宝安区 沙井街道"</f>
        <v>广东省 深圳市 宝安区 沙井街道</v>
      </c>
      <c r="N1960" s="1" t="str">
        <f t="shared" ref="N1960:N1965" si="584">"凡华云仓-城南圆通-快手"</f>
        <v>凡华云仓-城南圆通-快手</v>
      </c>
      <c r="O1960" s="5" t="s">
        <v>1997</v>
      </c>
      <c r="P1960" s="6">
        <v>0.59</v>
      </c>
      <c r="Q1960" s="11">
        <f t="shared" si="579"/>
        <v>2.4499999999999997</v>
      </c>
      <c r="R1960" s="11"/>
      <c r="S1960" s="11"/>
      <c r="T1960" s="11"/>
      <c r="U1960" s="11">
        <f t="shared" si="580"/>
        <v>2.4499999999999997</v>
      </c>
      <c r="V1960" t="s">
        <v>15</v>
      </c>
      <c r="W1960">
        <v>2.4500000000000002</v>
      </c>
      <c r="X1960" s="1" t="s">
        <v>18</v>
      </c>
    </row>
    <row r="1961" spans="1:24" x14ac:dyDescent="0.25">
      <c r="A1961" s="1" t="str">
        <f t="shared" si="575"/>
        <v>卡卡杜-凤凰仓</v>
      </c>
      <c r="B1961" s="1" t="str">
        <f>"CK20241028273"</f>
        <v>CK20241028273</v>
      </c>
      <c r="C1961" s="1" t="str">
        <f>"DD2024102819715"</f>
        <v>DD2024102819715</v>
      </c>
      <c r="D1961" s="1" t="str">
        <f>"CK202410289426"</f>
        <v>CK202410289426</v>
      </c>
      <c r="E1961" s="1" t="str">
        <f>"2430202002745923"</f>
        <v>2430202002745923</v>
      </c>
      <c r="F1961" s="1" t="str">
        <f t="shared" si="576"/>
        <v>花都四部-凤凰仓</v>
      </c>
      <c r="G1961" s="1" t="str">
        <f t="shared" si="583"/>
        <v>卡卡杜佳旺专卖店（快手店）</v>
      </c>
      <c r="H1961" s="1" t="str">
        <f t="shared" si="577"/>
        <v>正常订单</v>
      </c>
      <c r="I1961" s="1" t="str">
        <f t="shared" si="578"/>
        <v>已发货</v>
      </c>
      <c r="J1961" s="1" t="str">
        <f t="shared" si="573"/>
        <v>5</v>
      </c>
      <c r="K1961" s="1">
        <v>2</v>
      </c>
      <c r="L1961" s="1" t="s">
        <v>92</v>
      </c>
      <c r="M1961" s="1" t="str">
        <f>"辽宁省 抚顺市 顺城区 将军堡街道"</f>
        <v>辽宁省 抚顺市 顺城区 将军堡街道</v>
      </c>
      <c r="N1961" s="1" t="str">
        <f t="shared" si="584"/>
        <v>凡华云仓-城南圆通-快手</v>
      </c>
      <c r="O1961" s="5" t="s">
        <v>1998</v>
      </c>
      <c r="P1961" s="6">
        <v>0.59</v>
      </c>
      <c r="Q1961" s="11">
        <f t="shared" si="579"/>
        <v>2.4499999999999997</v>
      </c>
      <c r="R1961" s="11"/>
      <c r="S1961" s="11"/>
      <c r="T1961" s="11"/>
      <c r="U1961" s="11">
        <f t="shared" si="580"/>
        <v>2.4499999999999997</v>
      </c>
      <c r="V1961" t="s">
        <v>15</v>
      </c>
      <c r="W1961">
        <v>2.4500000000000002</v>
      </c>
      <c r="X1961" s="1" t="s">
        <v>92</v>
      </c>
    </row>
    <row r="1962" spans="1:24" x14ac:dyDescent="0.25">
      <c r="A1962" s="1" t="str">
        <f t="shared" si="575"/>
        <v>卡卡杜-凤凰仓</v>
      </c>
      <c r="B1962" s="1" t="str">
        <f>"CK20241028272"</f>
        <v>CK20241028272</v>
      </c>
      <c r="C1962" s="1" t="str">
        <f>"DD2024102819714"</f>
        <v>DD2024102819714</v>
      </c>
      <c r="D1962" s="1" t="str">
        <f>"CK202410289425"</f>
        <v>CK202410289425</v>
      </c>
      <c r="E1962" s="1" t="str">
        <f>"2430201762049419"</f>
        <v>2430201762049419</v>
      </c>
      <c r="F1962" s="1" t="str">
        <f t="shared" si="576"/>
        <v>花都四部-凤凰仓</v>
      </c>
      <c r="G1962" s="1" t="str">
        <f t="shared" si="583"/>
        <v>卡卡杜佳旺专卖店（快手店）</v>
      </c>
      <c r="H1962" s="1" t="str">
        <f t="shared" si="577"/>
        <v>正常订单</v>
      </c>
      <c r="I1962" s="1" t="str">
        <f t="shared" si="578"/>
        <v>已发货</v>
      </c>
      <c r="J1962" s="1" t="str">
        <f t="shared" si="573"/>
        <v>5</v>
      </c>
      <c r="K1962" s="1">
        <v>2</v>
      </c>
      <c r="L1962" s="1" t="s">
        <v>52</v>
      </c>
      <c r="M1962" s="1" t="str">
        <f>"甘肃省 定西市 安定区 凤翔镇"</f>
        <v>甘肃省 定西市 安定区 凤翔镇</v>
      </c>
      <c r="N1962" s="1" t="str">
        <f t="shared" si="584"/>
        <v>凡华云仓-城南圆通-快手</v>
      </c>
      <c r="O1962" s="5" t="s">
        <v>1999</v>
      </c>
      <c r="P1962" s="6">
        <v>0.59</v>
      </c>
      <c r="Q1962" s="11">
        <f t="shared" si="579"/>
        <v>2.4499999999999997</v>
      </c>
      <c r="R1962" s="11"/>
      <c r="S1962" s="11"/>
      <c r="T1962" s="11"/>
      <c r="U1962" s="11">
        <f t="shared" si="580"/>
        <v>2.4499999999999997</v>
      </c>
      <c r="V1962" t="s">
        <v>15</v>
      </c>
      <c r="W1962">
        <v>2.4500000000000002</v>
      </c>
      <c r="X1962" s="1" t="s">
        <v>52</v>
      </c>
    </row>
    <row r="1963" spans="1:24" x14ac:dyDescent="0.25">
      <c r="A1963" s="1" t="str">
        <f t="shared" si="575"/>
        <v>卡卡杜-凤凰仓</v>
      </c>
      <c r="B1963" s="1" t="str">
        <f>"CK20241028276"</f>
        <v>CK20241028276</v>
      </c>
      <c r="C1963" s="1" t="str">
        <f>"DD2024102819713"</f>
        <v>DD2024102819713</v>
      </c>
      <c r="D1963" s="1" t="str">
        <f>"CK202410289424"</f>
        <v>CK202410289424</v>
      </c>
      <c r="E1963" s="1" t="str">
        <f>"2430101860328870"</f>
        <v>2430101860328870</v>
      </c>
      <c r="F1963" s="1" t="str">
        <f t="shared" si="576"/>
        <v>花都四部-凤凰仓</v>
      </c>
      <c r="G1963" s="1" t="str">
        <f t="shared" si="583"/>
        <v>卡卡杜佳旺专卖店（快手店）</v>
      </c>
      <c r="H1963" s="1" t="str">
        <f t="shared" si="577"/>
        <v>正常订单</v>
      </c>
      <c r="I1963" s="1" t="str">
        <f t="shared" si="578"/>
        <v>已发货</v>
      </c>
      <c r="J1963" s="1" t="str">
        <f t="shared" si="573"/>
        <v>5</v>
      </c>
      <c r="K1963" s="1">
        <v>2</v>
      </c>
      <c r="L1963" s="1" t="s">
        <v>13</v>
      </c>
      <c r="M1963" s="1" t="str">
        <f>"江苏省 扬州市 高邮市 经济开发区（马棚街道）"</f>
        <v>江苏省 扬州市 高邮市 经济开发区（马棚街道）</v>
      </c>
      <c r="N1963" s="1" t="str">
        <f t="shared" si="584"/>
        <v>凡华云仓-城南圆通-快手</v>
      </c>
      <c r="O1963" s="5" t="s">
        <v>2000</v>
      </c>
      <c r="P1963" s="6">
        <v>0.59</v>
      </c>
      <c r="Q1963" s="11">
        <f t="shared" si="579"/>
        <v>2.4499999999999997</v>
      </c>
      <c r="R1963" s="11"/>
      <c r="S1963" s="11"/>
      <c r="T1963" s="11"/>
      <c r="U1963" s="11">
        <f t="shared" si="580"/>
        <v>2.4499999999999997</v>
      </c>
      <c r="V1963" t="s">
        <v>15</v>
      </c>
      <c r="W1963">
        <v>2.4500000000000002</v>
      </c>
      <c r="X1963" s="1" t="s">
        <v>13</v>
      </c>
    </row>
    <row r="1964" spans="1:24" x14ac:dyDescent="0.25">
      <c r="A1964" s="1" t="str">
        <f t="shared" si="575"/>
        <v>卡卡杜-凤凰仓</v>
      </c>
      <c r="B1964" s="1" t="str">
        <f>"CK20241028275"</f>
        <v>CK20241028275</v>
      </c>
      <c r="C1964" s="1" t="str">
        <f>"DD2024102819712"</f>
        <v>DD2024102819712</v>
      </c>
      <c r="D1964" s="1" t="str">
        <f>"CK202410289423"</f>
        <v>CK202410289423</v>
      </c>
      <c r="E1964" s="1" t="str">
        <f>"2430102418795759"</f>
        <v>2430102418795759</v>
      </c>
      <c r="F1964" s="1" t="str">
        <f t="shared" si="576"/>
        <v>花都四部-凤凰仓</v>
      </c>
      <c r="G1964" s="1" t="str">
        <f t="shared" si="583"/>
        <v>卡卡杜佳旺专卖店（快手店）</v>
      </c>
      <c r="H1964" s="1" t="str">
        <f t="shared" si="577"/>
        <v>正常订单</v>
      </c>
      <c r="I1964" s="1" t="str">
        <f t="shared" si="578"/>
        <v>已发货</v>
      </c>
      <c r="J1964" s="1" t="str">
        <f t="shared" si="573"/>
        <v>5</v>
      </c>
      <c r="K1964" s="1">
        <v>2</v>
      </c>
      <c r="L1964" s="1" t="s">
        <v>16</v>
      </c>
      <c r="M1964" s="1" t="str">
        <f>"河北省 保定市 竞秀区 "</f>
        <v xml:space="preserve">河北省 保定市 竞秀区 </v>
      </c>
      <c r="N1964" s="1" t="str">
        <f t="shared" si="584"/>
        <v>凡华云仓-城南圆通-快手</v>
      </c>
      <c r="O1964" s="5" t="s">
        <v>2001</v>
      </c>
      <c r="P1964" s="6">
        <v>0.59</v>
      </c>
      <c r="Q1964" s="11">
        <f t="shared" si="579"/>
        <v>2.4499999999999997</v>
      </c>
      <c r="R1964" s="11"/>
      <c r="S1964" s="11"/>
      <c r="T1964" s="11"/>
      <c r="U1964" s="11">
        <f t="shared" si="580"/>
        <v>2.4499999999999997</v>
      </c>
      <c r="V1964" t="s">
        <v>15</v>
      </c>
      <c r="W1964">
        <v>2.4500000000000002</v>
      </c>
      <c r="X1964" s="1" t="s">
        <v>16</v>
      </c>
    </row>
    <row r="1965" spans="1:24" x14ac:dyDescent="0.25">
      <c r="A1965" s="1" t="str">
        <f t="shared" si="575"/>
        <v>卡卡杜-凤凰仓</v>
      </c>
      <c r="B1965" s="1" t="str">
        <f>"CK20241028277"</f>
        <v>CK20241028277</v>
      </c>
      <c r="C1965" s="1" t="str">
        <f>"DD2024102819711"</f>
        <v>DD2024102819711</v>
      </c>
      <c r="D1965" s="1" t="str">
        <f>"CK202410289422"</f>
        <v>CK202410289422</v>
      </c>
      <c r="E1965" s="1" t="str">
        <f>"2430201763210619"</f>
        <v>2430201763210619</v>
      </c>
      <c r="F1965" s="1" t="str">
        <f t="shared" si="576"/>
        <v>花都四部-凤凰仓</v>
      </c>
      <c r="G1965" s="1" t="str">
        <f t="shared" si="583"/>
        <v>卡卡杜佳旺专卖店（快手店）</v>
      </c>
      <c r="H1965" s="1" t="str">
        <f t="shared" si="577"/>
        <v>正常订单</v>
      </c>
      <c r="I1965" s="1" t="str">
        <f t="shared" si="578"/>
        <v>已发货</v>
      </c>
      <c r="J1965" s="1" t="str">
        <f t="shared" si="573"/>
        <v>5</v>
      </c>
      <c r="K1965" s="1">
        <v>2</v>
      </c>
      <c r="L1965" s="1" t="s">
        <v>66</v>
      </c>
      <c r="M1965" s="1" t="str">
        <f>"内蒙古自治区 乌海市 海勃湾区 "</f>
        <v xml:space="preserve">内蒙古自治区 乌海市 海勃湾区 </v>
      </c>
      <c r="N1965" s="1" t="str">
        <f t="shared" si="584"/>
        <v>凡华云仓-城南圆通-快手</v>
      </c>
      <c r="O1965" s="5" t="s">
        <v>2002</v>
      </c>
      <c r="P1965" s="6">
        <v>0.59</v>
      </c>
      <c r="Q1965" s="11">
        <f t="shared" si="579"/>
        <v>2.4499999999999997</v>
      </c>
      <c r="R1965" s="11"/>
      <c r="S1965" s="11"/>
      <c r="T1965" s="11"/>
      <c r="U1965" s="11">
        <f t="shared" si="580"/>
        <v>2.4499999999999997</v>
      </c>
      <c r="V1965" t="s">
        <v>15</v>
      </c>
      <c r="W1965">
        <v>2.4500000000000002</v>
      </c>
      <c r="X1965" s="1" t="s">
        <v>66</v>
      </c>
    </row>
    <row r="1966" spans="1:24" x14ac:dyDescent="0.25">
      <c r="A1966" s="1" t="str">
        <f t="shared" si="575"/>
        <v>卡卡杜-凤凰仓</v>
      </c>
      <c r="B1966" s="1" t="str">
        <f>"CK20241028265"</f>
        <v>CK20241028265</v>
      </c>
      <c r="C1966" s="1" t="str">
        <f>"DD2024102819674"</f>
        <v>DD2024102819674</v>
      </c>
      <c r="D1966" s="1" t="str">
        <f>"CK202410289385"</f>
        <v>CK202410289385</v>
      </c>
      <c r="E1966" s="1" t="str">
        <f>"3723607072932760576"</f>
        <v>3723607072932760576</v>
      </c>
      <c r="F1966" s="1" t="str">
        <f t="shared" si="576"/>
        <v>花都四部-凤凰仓</v>
      </c>
      <c r="G1966" s="1" t="str">
        <f t="shared" ref="G1966:G1971" si="585">"卡卡杜企业店（视频号）"</f>
        <v>卡卡杜企业店（视频号）</v>
      </c>
      <c r="H1966" s="1" t="str">
        <f t="shared" si="577"/>
        <v>正常订单</v>
      </c>
      <c r="I1966" s="1" t="str">
        <f t="shared" si="578"/>
        <v>已发货</v>
      </c>
      <c r="J1966" s="1" t="str">
        <f t="shared" ref="J1966:J2029" si="586">"3"</f>
        <v>3</v>
      </c>
      <c r="K1966" s="1">
        <v>2</v>
      </c>
      <c r="L1966" s="1" t="s">
        <v>74</v>
      </c>
      <c r="M1966" s="1" t="str">
        <f>"上海 上海市 浦东新区 "</f>
        <v xml:space="preserve">上海 上海市 浦东新区 </v>
      </c>
      <c r="N1966" s="1" t="str">
        <f t="shared" ref="N1966:N1971" si="587">"凡华云仓-城南圆通-微信视频号"</f>
        <v>凡华云仓-城南圆通-微信视频号</v>
      </c>
      <c r="O1966" s="5" t="s">
        <v>2003</v>
      </c>
      <c r="P1966" s="6">
        <v>0.24</v>
      </c>
      <c r="Q1966" s="11">
        <v>2</v>
      </c>
      <c r="R1966" s="11"/>
      <c r="S1966" s="11"/>
      <c r="T1966" s="11"/>
      <c r="U1966" s="11">
        <f t="shared" si="580"/>
        <v>2</v>
      </c>
      <c r="W1966">
        <v>2.2000000000000002</v>
      </c>
      <c r="X1966" s="1" t="s">
        <v>74</v>
      </c>
    </row>
    <row r="1967" spans="1:24" x14ac:dyDescent="0.25">
      <c r="A1967" s="1" t="str">
        <f t="shared" si="575"/>
        <v>卡卡杜-凤凰仓</v>
      </c>
      <c r="B1967" s="1" t="str">
        <f>"CK20241028266"</f>
        <v>CK20241028266</v>
      </c>
      <c r="C1967" s="1" t="str">
        <f>"DD2024102819673"</f>
        <v>DD2024102819673</v>
      </c>
      <c r="D1967" s="1" t="str">
        <f>"CK202410289384"</f>
        <v>CK202410289384</v>
      </c>
      <c r="E1967" s="1" t="str">
        <f>"3723606595758064896"</f>
        <v>3723606595758064896</v>
      </c>
      <c r="F1967" s="1" t="str">
        <f t="shared" si="576"/>
        <v>花都四部-凤凰仓</v>
      </c>
      <c r="G1967" s="1" t="str">
        <f t="shared" si="585"/>
        <v>卡卡杜企业店（视频号）</v>
      </c>
      <c r="H1967" s="1" t="str">
        <f t="shared" si="577"/>
        <v>正常订单</v>
      </c>
      <c r="I1967" s="1" t="str">
        <f t="shared" si="578"/>
        <v>已发货</v>
      </c>
      <c r="J1967" s="1" t="str">
        <f t="shared" si="586"/>
        <v>3</v>
      </c>
      <c r="K1967" s="1">
        <v>2</v>
      </c>
      <c r="L1967" s="1" t="s">
        <v>74</v>
      </c>
      <c r="M1967" s="1" t="str">
        <f>"上海 上海市 浦东新区 "</f>
        <v xml:space="preserve">上海 上海市 浦东新区 </v>
      </c>
      <c r="N1967" s="1" t="str">
        <f t="shared" si="587"/>
        <v>凡华云仓-城南圆通-微信视频号</v>
      </c>
      <c r="O1967" s="5" t="s">
        <v>2004</v>
      </c>
      <c r="P1967" s="6">
        <v>0.24</v>
      </c>
      <c r="Q1967" s="11">
        <v>2</v>
      </c>
      <c r="R1967" s="11"/>
      <c r="S1967" s="11"/>
      <c r="T1967" s="11"/>
      <c r="U1967" s="11">
        <f t="shared" si="580"/>
        <v>2</v>
      </c>
      <c r="W1967">
        <v>2.2000000000000002</v>
      </c>
      <c r="X1967" s="1" t="s">
        <v>74</v>
      </c>
    </row>
    <row r="1968" spans="1:24" x14ac:dyDescent="0.25">
      <c r="A1968" s="1" t="str">
        <f t="shared" si="575"/>
        <v>卡卡杜-凤凰仓</v>
      </c>
      <c r="B1968" s="1" t="str">
        <f>"CK20241028264"</f>
        <v>CK20241028264</v>
      </c>
      <c r="C1968" s="1" t="str">
        <f>"DD2024102819670"</f>
        <v>DD2024102819670</v>
      </c>
      <c r="D1968" s="1" t="str">
        <f>"CK202410289357"</f>
        <v>CK202410289357</v>
      </c>
      <c r="E1968" s="1" t="str">
        <f>"6935543461494854686"</f>
        <v>6935543461494854686</v>
      </c>
      <c r="F1968" s="1" t="str">
        <f t="shared" si="576"/>
        <v>花都四部-凤凰仓</v>
      </c>
      <c r="G1968" s="1" t="str">
        <f t="shared" ref="G1968:G1970" si="588">"卡卡杜个人护理店（抖店）"</f>
        <v>卡卡杜个人护理店（抖店）</v>
      </c>
      <c r="H1968" s="1" t="str">
        <f t="shared" si="577"/>
        <v>正常订单</v>
      </c>
      <c r="I1968" s="1" t="str">
        <f t="shared" si="578"/>
        <v>已发货</v>
      </c>
      <c r="J1968" s="1" t="str">
        <f t="shared" si="586"/>
        <v>3</v>
      </c>
      <c r="K1968" s="1">
        <v>2</v>
      </c>
      <c r="L1968" s="1" t="s">
        <v>32</v>
      </c>
      <c r="M1968" s="1" t="str">
        <f>"陕西省 榆林市 榆阳区 补浪河乡"</f>
        <v>陕西省 榆林市 榆阳区 补浪河乡</v>
      </c>
      <c r="N1968" s="1" t="str">
        <f t="shared" ref="N1968:N1970" si="589">"凡华云仓-城南圆通-抖音"</f>
        <v>凡华云仓-城南圆通-抖音</v>
      </c>
      <c r="O1968" s="5" t="s">
        <v>2005</v>
      </c>
      <c r="P1968" s="6">
        <v>0.35</v>
      </c>
      <c r="Q1968" s="11">
        <v>2.2999999999999998</v>
      </c>
      <c r="R1968" s="11"/>
      <c r="S1968" s="11"/>
      <c r="T1968" s="11"/>
      <c r="U1968" s="11">
        <f t="shared" si="580"/>
        <v>2.2999999999999998</v>
      </c>
      <c r="W1968">
        <v>2.5</v>
      </c>
      <c r="X1968" s="1" t="s">
        <v>32</v>
      </c>
    </row>
    <row r="1969" spans="1:24" x14ac:dyDescent="0.25">
      <c r="A1969" s="1" t="str">
        <f t="shared" si="575"/>
        <v>卡卡杜-凤凰仓</v>
      </c>
      <c r="B1969" s="1" t="str">
        <f>"CK20241028262"</f>
        <v>CK20241028262</v>
      </c>
      <c r="C1969" s="1" t="str">
        <f>"DD2024102819669"</f>
        <v>DD2024102819669</v>
      </c>
      <c r="D1969" s="1" t="str">
        <f>"CK202410289356"</f>
        <v>CK202410289356</v>
      </c>
      <c r="E1969" s="1" t="str">
        <f>"6935548004309276274"</f>
        <v>6935548004309276274</v>
      </c>
      <c r="F1969" s="1" t="str">
        <f t="shared" si="576"/>
        <v>花都四部-凤凰仓</v>
      </c>
      <c r="G1969" s="1" t="str">
        <f t="shared" si="588"/>
        <v>卡卡杜个人护理店（抖店）</v>
      </c>
      <c r="H1969" s="1" t="str">
        <f t="shared" si="577"/>
        <v>正常订单</v>
      </c>
      <c r="I1969" s="1" t="str">
        <f t="shared" si="578"/>
        <v>已发货</v>
      </c>
      <c r="J1969" s="1" t="str">
        <f t="shared" si="586"/>
        <v>3</v>
      </c>
      <c r="K1969" s="1">
        <v>2</v>
      </c>
      <c r="L1969" s="1" t="s">
        <v>20</v>
      </c>
      <c r="M1969" s="1" t="str">
        <f>"浙江省 台州市 玉环市 坎门街道"</f>
        <v>浙江省 台州市 玉环市 坎门街道</v>
      </c>
      <c r="N1969" s="1" t="str">
        <f t="shared" si="589"/>
        <v>凡华云仓-城南圆通-抖音</v>
      </c>
      <c r="O1969" s="5" t="s">
        <v>2006</v>
      </c>
      <c r="P1969" s="6">
        <v>0.35</v>
      </c>
      <c r="Q1969" s="11">
        <v>2.2999999999999998</v>
      </c>
      <c r="R1969" s="11"/>
      <c r="S1969" s="11"/>
      <c r="T1969" s="11"/>
      <c r="U1969" s="11">
        <f t="shared" si="580"/>
        <v>2.2999999999999998</v>
      </c>
      <c r="W1969">
        <v>2.5</v>
      </c>
      <c r="X1969" s="1" t="s">
        <v>20</v>
      </c>
    </row>
    <row r="1970" spans="1:24" x14ac:dyDescent="0.25">
      <c r="A1970" s="1" t="str">
        <f t="shared" si="575"/>
        <v>卡卡杜-凤凰仓</v>
      </c>
      <c r="B1970" s="1" t="str">
        <f>"CK20241028263"</f>
        <v>CK20241028263</v>
      </c>
      <c r="C1970" s="1" t="str">
        <f>"DD2024102819668"</f>
        <v>DD2024102819668</v>
      </c>
      <c r="D1970" s="1" t="str">
        <f>"CK202410289355"</f>
        <v>CK202410289355</v>
      </c>
      <c r="E1970" s="1" t="str">
        <f>"6935543377511389141"</f>
        <v>6935543377511389141</v>
      </c>
      <c r="F1970" s="1" t="str">
        <f t="shared" si="576"/>
        <v>花都四部-凤凰仓</v>
      </c>
      <c r="G1970" s="1" t="str">
        <f t="shared" si="588"/>
        <v>卡卡杜个人护理店（抖店）</v>
      </c>
      <c r="H1970" s="1" t="str">
        <f t="shared" si="577"/>
        <v>正常订单</v>
      </c>
      <c r="I1970" s="1" t="str">
        <f t="shared" si="578"/>
        <v>已发货</v>
      </c>
      <c r="J1970" s="1" t="str">
        <f t="shared" si="586"/>
        <v>3</v>
      </c>
      <c r="K1970" s="1">
        <v>2</v>
      </c>
      <c r="L1970" s="1" t="s">
        <v>18</v>
      </c>
      <c r="M1970" s="1" t="str">
        <f>"广东省 东莞市 东莞市 企石镇"</f>
        <v>广东省 东莞市 东莞市 企石镇</v>
      </c>
      <c r="N1970" s="1" t="str">
        <f t="shared" si="589"/>
        <v>凡华云仓-城南圆通-抖音</v>
      </c>
      <c r="O1970" s="5" t="s">
        <v>2007</v>
      </c>
      <c r="P1970" s="6">
        <v>0.35</v>
      </c>
      <c r="Q1970" s="11">
        <v>2.2999999999999998</v>
      </c>
      <c r="R1970" s="11"/>
      <c r="S1970" s="11"/>
      <c r="T1970" s="11"/>
      <c r="U1970" s="11">
        <f t="shared" si="580"/>
        <v>2.2999999999999998</v>
      </c>
      <c r="W1970">
        <v>2.5</v>
      </c>
      <c r="X1970" s="1" t="s">
        <v>18</v>
      </c>
    </row>
    <row r="1971" spans="1:24" x14ac:dyDescent="0.25">
      <c r="A1971" s="1" t="str">
        <f t="shared" si="575"/>
        <v>卡卡杜-凤凰仓</v>
      </c>
      <c r="B1971" s="1" t="str">
        <f>"CK20241028261"</f>
        <v>CK20241028261</v>
      </c>
      <c r="C1971" s="1" t="str">
        <f>"DD2024102819667"</f>
        <v>DD2024102819667</v>
      </c>
      <c r="D1971" s="1" t="str">
        <f>"CK202410289354"</f>
        <v>CK202410289354</v>
      </c>
      <c r="E1971" s="1" t="str">
        <f>"3723601335202222080"</f>
        <v>3723601335202222080</v>
      </c>
      <c r="F1971" s="1" t="str">
        <f t="shared" si="576"/>
        <v>花都四部-凤凰仓</v>
      </c>
      <c r="G1971" s="1" t="str">
        <f t="shared" si="585"/>
        <v>卡卡杜企业店（视频号）</v>
      </c>
      <c r="H1971" s="1" t="str">
        <f t="shared" si="577"/>
        <v>正常订单</v>
      </c>
      <c r="I1971" s="1" t="str">
        <f t="shared" si="578"/>
        <v>已发货</v>
      </c>
      <c r="J1971" s="1" t="str">
        <f t="shared" si="586"/>
        <v>3</v>
      </c>
      <c r="K1971" s="1">
        <v>2</v>
      </c>
      <c r="L1971" s="1" t="s">
        <v>92</v>
      </c>
      <c r="M1971" s="1" t="str">
        <f>"辽宁省 大连市 甘井子区 "</f>
        <v xml:space="preserve">辽宁省 大连市 甘井子区 </v>
      </c>
      <c r="N1971" s="1" t="str">
        <f t="shared" si="587"/>
        <v>凡华云仓-城南圆通-微信视频号</v>
      </c>
      <c r="O1971" s="5" t="s">
        <v>2008</v>
      </c>
      <c r="P1971" s="6">
        <v>0.35</v>
      </c>
      <c r="Q1971" s="11">
        <v>2.2999999999999998</v>
      </c>
      <c r="R1971" s="11"/>
      <c r="S1971" s="11"/>
      <c r="T1971" s="11"/>
      <c r="U1971" s="11">
        <f t="shared" si="580"/>
        <v>2.2999999999999998</v>
      </c>
      <c r="W1971">
        <v>2.5</v>
      </c>
      <c r="X1971" s="1" t="s">
        <v>92</v>
      </c>
    </row>
    <row r="1972" spans="1:24" x14ac:dyDescent="0.25">
      <c r="A1972" s="1" t="str">
        <f t="shared" si="575"/>
        <v>卡卡杜-凤凰仓</v>
      </c>
      <c r="B1972" s="1" t="str">
        <f>"CK20241028260"</f>
        <v>CK20241028260</v>
      </c>
      <c r="C1972" s="1" t="str">
        <f>"DD2024102819666"</f>
        <v>DD2024102819666</v>
      </c>
      <c r="D1972" s="1" t="str">
        <f>"CK202410289353"</f>
        <v>CK202410289353</v>
      </c>
      <c r="E1972" s="1" t="str">
        <f>"2430102007618588"</f>
        <v>2430102007618588</v>
      </c>
      <c r="F1972" s="1" t="str">
        <f t="shared" si="576"/>
        <v>花都四部-凤凰仓</v>
      </c>
      <c r="G1972" s="1" t="str">
        <f t="shared" ref="G1972:G1982" si="590">"卡卡杜佳旺专卖店（快手店）"</f>
        <v>卡卡杜佳旺专卖店（快手店）</v>
      </c>
      <c r="H1972" s="1" t="str">
        <f t="shared" si="577"/>
        <v>正常订单</v>
      </c>
      <c r="I1972" s="1" t="str">
        <f t="shared" si="578"/>
        <v>已发货</v>
      </c>
      <c r="J1972" s="1" t="str">
        <f t="shared" si="586"/>
        <v>3</v>
      </c>
      <c r="K1972" s="1">
        <v>2</v>
      </c>
      <c r="L1972" s="1" t="s">
        <v>80</v>
      </c>
      <c r="M1972" s="1" t="str">
        <f>"河南省 郑州市 惠济区 迎宾路街道"</f>
        <v>河南省 郑州市 惠济区 迎宾路街道</v>
      </c>
      <c r="N1972" s="1" t="str">
        <f t="shared" ref="N1972:N1982" si="591">"凡华云仓-城南圆通-快手"</f>
        <v>凡华云仓-城南圆通-快手</v>
      </c>
      <c r="O1972" s="5" t="s">
        <v>2009</v>
      </c>
      <c r="P1972" s="6">
        <v>0.35</v>
      </c>
      <c r="Q1972" s="11">
        <v>2.2999999999999998</v>
      </c>
      <c r="R1972" s="11"/>
      <c r="S1972" s="11"/>
      <c r="T1972" s="11"/>
      <c r="U1972" s="11">
        <f t="shared" si="580"/>
        <v>2.2999999999999998</v>
      </c>
      <c r="W1972">
        <v>2.5</v>
      </c>
      <c r="X1972" s="1" t="s">
        <v>80</v>
      </c>
    </row>
    <row r="1973" spans="1:24" x14ac:dyDescent="0.25">
      <c r="A1973" s="1" t="str">
        <f t="shared" si="575"/>
        <v>卡卡杜-凤凰仓</v>
      </c>
      <c r="B1973" s="1" t="str">
        <f>"CK20241028259"</f>
        <v>CK20241028259</v>
      </c>
      <c r="C1973" s="1" t="str">
        <f>"DD2024102819665"</f>
        <v>DD2024102819665</v>
      </c>
      <c r="D1973" s="1" t="str">
        <f>"CK202410289352"</f>
        <v>CK202410289352</v>
      </c>
      <c r="E1973" s="1" t="str">
        <f>"6935549833121306170"</f>
        <v>6935549833121306170</v>
      </c>
      <c r="F1973" s="1" t="str">
        <f t="shared" si="576"/>
        <v>花都四部-凤凰仓</v>
      </c>
      <c r="G1973" s="1" t="str">
        <f t="shared" ref="G1973:G1975" si="592">"卡卡杜个人护理店（抖店）"</f>
        <v>卡卡杜个人护理店（抖店）</v>
      </c>
      <c r="H1973" s="1" t="str">
        <f t="shared" si="577"/>
        <v>正常订单</v>
      </c>
      <c r="I1973" s="1" t="str">
        <f t="shared" si="578"/>
        <v>已发货</v>
      </c>
      <c r="J1973" s="1" t="str">
        <f t="shared" si="586"/>
        <v>3</v>
      </c>
      <c r="K1973" s="1">
        <v>2</v>
      </c>
      <c r="L1973" s="1" t="s">
        <v>13</v>
      </c>
      <c r="M1973" s="1" t="str">
        <f>"江苏省 徐州市 邳州市 陈楼镇"</f>
        <v>江苏省 徐州市 邳州市 陈楼镇</v>
      </c>
      <c r="N1973" s="1" t="str">
        <f t="shared" ref="N1973:N1975" si="593">"凡华云仓-城南圆通-抖音"</f>
        <v>凡华云仓-城南圆通-抖音</v>
      </c>
      <c r="O1973" s="5" t="s">
        <v>2010</v>
      </c>
      <c r="P1973" s="6">
        <v>0.35</v>
      </c>
      <c r="Q1973" s="11">
        <v>2.2999999999999998</v>
      </c>
      <c r="R1973" s="11"/>
      <c r="S1973" s="11"/>
      <c r="T1973" s="11"/>
      <c r="U1973" s="11">
        <f t="shared" si="580"/>
        <v>2.2999999999999998</v>
      </c>
      <c r="W1973">
        <v>2.5</v>
      </c>
      <c r="X1973" s="1" t="s">
        <v>13</v>
      </c>
    </row>
    <row r="1974" spans="1:24" x14ac:dyDescent="0.25">
      <c r="A1974" s="1" t="str">
        <f t="shared" si="575"/>
        <v>卡卡杜-凤凰仓</v>
      </c>
      <c r="B1974" s="1" t="str">
        <f>"CK20241028258"</f>
        <v>CK20241028258</v>
      </c>
      <c r="C1974" s="1" t="str">
        <f>"DD2024102819664"</f>
        <v>DD2024102819664</v>
      </c>
      <c r="D1974" s="1" t="str">
        <f>"CK202410289351"</f>
        <v>CK202410289351</v>
      </c>
      <c r="E1974" s="1" t="str">
        <f>"6935534543284213266"</f>
        <v>6935534543284213266</v>
      </c>
      <c r="F1974" s="1" t="str">
        <f t="shared" si="576"/>
        <v>花都四部-凤凰仓</v>
      </c>
      <c r="G1974" s="1" t="str">
        <f t="shared" si="592"/>
        <v>卡卡杜个人护理店（抖店）</v>
      </c>
      <c r="H1974" s="1" t="str">
        <f t="shared" si="577"/>
        <v>正常订单</v>
      </c>
      <c r="I1974" s="1" t="str">
        <f t="shared" si="578"/>
        <v>已发货</v>
      </c>
      <c r="J1974" s="1" t="str">
        <f t="shared" si="586"/>
        <v>3</v>
      </c>
      <c r="K1974" s="1">
        <v>2</v>
      </c>
      <c r="L1974" s="1" t="s">
        <v>13</v>
      </c>
      <c r="M1974" s="1" t="str">
        <f>"江苏省 南京市 栖霞区 燕子矶街道"</f>
        <v>江苏省 南京市 栖霞区 燕子矶街道</v>
      </c>
      <c r="N1974" s="1" t="str">
        <f t="shared" si="593"/>
        <v>凡华云仓-城南圆通-抖音</v>
      </c>
      <c r="O1974" s="5" t="s">
        <v>2011</v>
      </c>
      <c r="P1974" s="6">
        <v>0.35</v>
      </c>
      <c r="Q1974" s="11">
        <v>2.2999999999999998</v>
      </c>
      <c r="R1974" s="11"/>
      <c r="S1974" s="11"/>
      <c r="T1974" s="11"/>
      <c r="U1974" s="11">
        <f t="shared" si="580"/>
        <v>2.2999999999999998</v>
      </c>
      <c r="W1974">
        <v>2.5</v>
      </c>
      <c r="X1974" s="1" t="s">
        <v>13</v>
      </c>
    </row>
    <row r="1975" spans="1:24" x14ac:dyDescent="0.25">
      <c r="A1975" s="1" t="str">
        <f t="shared" si="575"/>
        <v>卡卡杜-凤凰仓</v>
      </c>
      <c r="B1975" s="1" t="str">
        <f>"CK20241028257"</f>
        <v>CK20241028257</v>
      </c>
      <c r="C1975" s="1" t="str">
        <f>"DD2024102819663"</f>
        <v>DD2024102819663</v>
      </c>
      <c r="D1975" s="1" t="str">
        <f>"CK202410289350"</f>
        <v>CK202410289350</v>
      </c>
      <c r="E1975" s="1" t="str">
        <f>"6935541173707806263"</f>
        <v>6935541173707806263</v>
      </c>
      <c r="F1975" s="1" t="str">
        <f t="shared" si="576"/>
        <v>花都四部-凤凰仓</v>
      </c>
      <c r="G1975" s="1" t="str">
        <f t="shared" si="592"/>
        <v>卡卡杜个人护理店（抖店）</v>
      </c>
      <c r="H1975" s="1" t="str">
        <f t="shared" si="577"/>
        <v>正常订单</v>
      </c>
      <c r="I1975" s="1" t="str">
        <f t="shared" si="578"/>
        <v>已发货</v>
      </c>
      <c r="J1975" s="1" t="str">
        <f t="shared" si="586"/>
        <v>3</v>
      </c>
      <c r="K1975" s="1">
        <v>2</v>
      </c>
      <c r="L1975" s="1" t="s">
        <v>20</v>
      </c>
      <c r="M1975" s="1" t="str">
        <f>"浙江省 嘉兴市 海宁市 海洲街道"</f>
        <v>浙江省 嘉兴市 海宁市 海洲街道</v>
      </c>
      <c r="N1975" s="1" t="str">
        <f t="shared" si="593"/>
        <v>凡华云仓-城南圆通-抖音</v>
      </c>
      <c r="O1975" s="5" t="s">
        <v>2012</v>
      </c>
      <c r="P1975" s="6">
        <v>0.35</v>
      </c>
      <c r="Q1975" s="11">
        <v>2.2999999999999998</v>
      </c>
      <c r="R1975" s="11"/>
      <c r="S1975" s="11"/>
      <c r="T1975" s="11"/>
      <c r="U1975" s="11">
        <f t="shared" si="580"/>
        <v>2.2999999999999998</v>
      </c>
      <c r="W1975">
        <v>2.5</v>
      </c>
      <c r="X1975" s="1" t="s">
        <v>20</v>
      </c>
    </row>
    <row r="1976" spans="1:24" x14ac:dyDescent="0.25">
      <c r="A1976" s="1" t="str">
        <f t="shared" si="575"/>
        <v>卡卡杜-凤凰仓</v>
      </c>
      <c r="B1976" s="1" t="str">
        <f>"CK20241028256"</f>
        <v>CK20241028256</v>
      </c>
      <c r="C1976" s="1" t="str">
        <f>"DD2024102819662"</f>
        <v>DD2024102819662</v>
      </c>
      <c r="D1976" s="1" t="str">
        <f>"CK202410289349"</f>
        <v>CK202410289349</v>
      </c>
      <c r="E1976" s="1" t="str">
        <f>"2430101851723561"</f>
        <v>2430101851723561</v>
      </c>
      <c r="F1976" s="1" t="str">
        <f t="shared" si="576"/>
        <v>花都四部-凤凰仓</v>
      </c>
      <c r="G1976" s="1" t="str">
        <f t="shared" si="590"/>
        <v>卡卡杜佳旺专卖店（快手店）</v>
      </c>
      <c r="H1976" s="1" t="str">
        <f t="shared" si="577"/>
        <v>正常订单</v>
      </c>
      <c r="I1976" s="1" t="str">
        <f t="shared" si="578"/>
        <v>已发货</v>
      </c>
      <c r="J1976" s="1" t="str">
        <f t="shared" si="586"/>
        <v>3</v>
      </c>
      <c r="K1976" s="1">
        <v>2</v>
      </c>
      <c r="L1976" s="1" t="s">
        <v>20</v>
      </c>
      <c r="M1976" s="1" t="str">
        <f>"浙江省 温州市 瑞安市 塘下镇"</f>
        <v>浙江省 温州市 瑞安市 塘下镇</v>
      </c>
      <c r="N1976" s="1" t="str">
        <f t="shared" si="591"/>
        <v>凡华云仓-城南圆通-快手</v>
      </c>
      <c r="O1976" s="5" t="s">
        <v>2013</v>
      </c>
      <c r="P1976" s="6">
        <v>0.35</v>
      </c>
      <c r="Q1976" s="11">
        <v>2.2999999999999998</v>
      </c>
      <c r="R1976" s="11"/>
      <c r="S1976" s="11"/>
      <c r="T1976" s="11"/>
      <c r="U1976" s="11">
        <f t="shared" si="580"/>
        <v>2.2999999999999998</v>
      </c>
      <c r="W1976">
        <v>2.5</v>
      </c>
      <c r="X1976" s="1" t="s">
        <v>20</v>
      </c>
    </row>
    <row r="1977" spans="1:24" x14ac:dyDescent="0.25">
      <c r="A1977" s="1" t="str">
        <f t="shared" si="575"/>
        <v>卡卡杜-凤凰仓</v>
      </c>
      <c r="B1977" s="1" t="str">
        <f>"CK20241028255"</f>
        <v>CK20241028255</v>
      </c>
      <c r="C1977" s="1" t="str">
        <f>"DD2024102819661"</f>
        <v>DD2024102819661</v>
      </c>
      <c r="D1977" s="1" t="str">
        <f>"CK202410289348"</f>
        <v>CK202410289348</v>
      </c>
      <c r="E1977" s="1" t="str">
        <f>"2430101612120284"</f>
        <v>2430101612120284</v>
      </c>
      <c r="F1977" s="1" t="str">
        <f t="shared" si="576"/>
        <v>花都四部-凤凰仓</v>
      </c>
      <c r="G1977" s="1" t="str">
        <f t="shared" si="590"/>
        <v>卡卡杜佳旺专卖店（快手店）</v>
      </c>
      <c r="H1977" s="1" t="str">
        <f t="shared" si="577"/>
        <v>正常订单</v>
      </c>
      <c r="I1977" s="1" t="str">
        <f t="shared" si="578"/>
        <v>已发货</v>
      </c>
      <c r="J1977" s="1" t="str">
        <f t="shared" si="586"/>
        <v>3</v>
      </c>
      <c r="K1977" s="1">
        <v>2</v>
      </c>
      <c r="L1977" s="1" t="s">
        <v>16</v>
      </c>
      <c r="M1977" s="1" t="str">
        <f>"河北省 廊坊市 文安县 新镇镇"</f>
        <v>河北省 廊坊市 文安县 新镇镇</v>
      </c>
      <c r="N1977" s="1" t="str">
        <f t="shared" si="591"/>
        <v>凡华云仓-城南圆通-快手</v>
      </c>
      <c r="O1977" s="5" t="s">
        <v>2014</v>
      </c>
      <c r="P1977" s="6">
        <v>0.35</v>
      </c>
      <c r="Q1977" s="11">
        <v>2.2999999999999998</v>
      </c>
      <c r="R1977" s="11"/>
      <c r="S1977" s="11"/>
      <c r="T1977" s="11"/>
      <c r="U1977" s="11">
        <f t="shared" si="580"/>
        <v>2.2999999999999998</v>
      </c>
      <c r="W1977">
        <v>2.5</v>
      </c>
      <c r="X1977" s="1" t="s">
        <v>16</v>
      </c>
    </row>
    <row r="1978" spans="1:24" x14ac:dyDescent="0.25">
      <c r="A1978" s="1" t="str">
        <f t="shared" si="575"/>
        <v>卡卡杜-凤凰仓</v>
      </c>
      <c r="B1978" s="1" t="str">
        <f>"CK20241028254"</f>
        <v>CK20241028254</v>
      </c>
      <c r="C1978" s="1" t="str">
        <f>"DD2024102819660"</f>
        <v>DD2024102819660</v>
      </c>
      <c r="D1978" s="1" t="str">
        <f>"CK202410289347"</f>
        <v>CK202410289347</v>
      </c>
      <c r="E1978" s="1" t="str">
        <f>"2430102333281514"</f>
        <v>2430102333281514</v>
      </c>
      <c r="F1978" s="1" t="str">
        <f t="shared" si="576"/>
        <v>花都四部-凤凰仓</v>
      </c>
      <c r="G1978" s="1" t="str">
        <f t="shared" si="590"/>
        <v>卡卡杜佳旺专卖店（快手店）</v>
      </c>
      <c r="H1978" s="1" t="str">
        <f t="shared" si="577"/>
        <v>正常订单</v>
      </c>
      <c r="I1978" s="1" t="str">
        <f t="shared" si="578"/>
        <v>已发货</v>
      </c>
      <c r="J1978" s="1" t="str">
        <f t="shared" si="586"/>
        <v>3</v>
      </c>
      <c r="K1978" s="1">
        <v>2</v>
      </c>
      <c r="L1978" s="1" t="s">
        <v>52</v>
      </c>
      <c r="M1978" s="1" t="str">
        <f>"甘肃省 兰州市 城关区 东岗街道"</f>
        <v>甘肃省 兰州市 城关区 东岗街道</v>
      </c>
      <c r="N1978" s="1" t="str">
        <f t="shared" si="591"/>
        <v>凡华云仓-城南圆通-快手</v>
      </c>
      <c r="O1978" s="5" t="s">
        <v>2015</v>
      </c>
      <c r="P1978" s="6">
        <v>0.35</v>
      </c>
      <c r="Q1978" s="11">
        <v>2.2999999999999998</v>
      </c>
      <c r="R1978" s="11"/>
      <c r="S1978" s="11"/>
      <c r="T1978" s="11"/>
      <c r="U1978" s="11">
        <f t="shared" si="580"/>
        <v>2.2999999999999998</v>
      </c>
      <c r="W1978">
        <v>2.5</v>
      </c>
      <c r="X1978" s="1" t="s">
        <v>52</v>
      </c>
    </row>
    <row r="1979" spans="1:24" x14ac:dyDescent="0.25">
      <c r="A1979" s="1" t="str">
        <f t="shared" si="575"/>
        <v>卡卡杜-凤凰仓</v>
      </c>
      <c r="B1979" s="1" t="str">
        <f>"CK20241028252"</f>
        <v>CK20241028252</v>
      </c>
      <c r="C1979" s="1" t="str">
        <f>"DD2024102819659"</f>
        <v>DD2024102819659</v>
      </c>
      <c r="D1979" s="1" t="str">
        <f>"CK202410289346"</f>
        <v>CK202410289346</v>
      </c>
      <c r="E1979" s="1" t="str">
        <f>"2430102330057472"</f>
        <v>2430102330057472</v>
      </c>
      <c r="F1979" s="1" t="str">
        <f t="shared" si="576"/>
        <v>花都四部-凤凰仓</v>
      </c>
      <c r="G1979" s="1" t="str">
        <f t="shared" si="590"/>
        <v>卡卡杜佳旺专卖店（快手店）</v>
      </c>
      <c r="H1979" s="1" t="str">
        <f t="shared" si="577"/>
        <v>正常订单</v>
      </c>
      <c r="I1979" s="1" t="str">
        <f t="shared" si="578"/>
        <v>已发货</v>
      </c>
      <c r="J1979" s="1" t="str">
        <f t="shared" si="586"/>
        <v>3</v>
      </c>
      <c r="K1979" s="1">
        <v>2</v>
      </c>
      <c r="L1979" s="1" t="s">
        <v>18</v>
      </c>
      <c r="M1979" s="1" t="str">
        <f>"广东省 惠州市 惠阳区 淡水街道"</f>
        <v>广东省 惠州市 惠阳区 淡水街道</v>
      </c>
      <c r="N1979" s="1" t="str">
        <f t="shared" si="591"/>
        <v>凡华云仓-城南圆通-快手</v>
      </c>
      <c r="O1979" s="5" t="s">
        <v>2016</v>
      </c>
      <c r="P1979" s="6">
        <v>0.35</v>
      </c>
      <c r="Q1979" s="11">
        <v>2.2999999999999998</v>
      </c>
      <c r="R1979" s="11"/>
      <c r="S1979" s="11"/>
      <c r="T1979" s="11"/>
      <c r="U1979" s="11">
        <f t="shared" si="580"/>
        <v>2.2999999999999998</v>
      </c>
      <c r="W1979">
        <v>2.5</v>
      </c>
      <c r="X1979" s="1" t="s">
        <v>18</v>
      </c>
    </row>
    <row r="1980" spans="1:24" x14ac:dyDescent="0.25">
      <c r="A1980" s="1" t="str">
        <f t="shared" si="575"/>
        <v>卡卡杜-凤凰仓</v>
      </c>
      <c r="B1980" s="1" t="str">
        <f>"CK20241028250"</f>
        <v>CK20241028250</v>
      </c>
      <c r="C1980" s="1" t="str">
        <f>"DD2024102819658"</f>
        <v>DD2024102819658</v>
      </c>
      <c r="D1980" s="1" t="str">
        <f>"CK202410289345"</f>
        <v>CK202410289345</v>
      </c>
      <c r="E1980" s="1" t="str">
        <f>"2430101769803079"</f>
        <v>2430101769803079</v>
      </c>
      <c r="F1980" s="1" t="str">
        <f t="shared" si="576"/>
        <v>花都四部-凤凰仓</v>
      </c>
      <c r="G1980" s="1" t="str">
        <f t="shared" si="590"/>
        <v>卡卡杜佳旺专卖店（快手店）</v>
      </c>
      <c r="H1980" s="1" t="str">
        <f t="shared" si="577"/>
        <v>正常订单</v>
      </c>
      <c r="I1980" s="1" t="str">
        <f t="shared" si="578"/>
        <v>已发货</v>
      </c>
      <c r="J1980" s="1" t="str">
        <f t="shared" si="586"/>
        <v>3</v>
      </c>
      <c r="K1980" s="1">
        <v>2</v>
      </c>
      <c r="L1980" s="1" t="s">
        <v>740</v>
      </c>
      <c r="M1980" s="1" t="str">
        <f>"宁夏回族自治区 固原市 原州区 三营镇"</f>
        <v>宁夏回族自治区 固原市 原州区 三营镇</v>
      </c>
      <c r="N1980" s="1" t="str">
        <f t="shared" si="591"/>
        <v>凡华云仓-城南圆通-快手</v>
      </c>
      <c r="O1980" s="5" t="s">
        <v>2017</v>
      </c>
      <c r="P1980" s="6">
        <v>0.35</v>
      </c>
      <c r="Q1980" s="11">
        <v>2.2999999999999998</v>
      </c>
      <c r="R1980" s="11"/>
      <c r="S1980" s="11"/>
      <c r="T1980" s="11"/>
      <c r="U1980" s="11">
        <f t="shared" si="580"/>
        <v>2.2999999999999998</v>
      </c>
      <c r="W1980">
        <v>2.5</v>
      </c>
      <c r="X1980" s="1" t="s">
        <v>740</v>
      </c>
    </row>
    <row r="1981" spans="1:24" x14ac:dyDescent="0.25">
      <c r="A1981" s="1" t="str">
        <f t="shared" si="575"/>
        <v>卡卡杜-凤凰仓</v>
      </c>
      <c r="B1981" s="1" t="str">
        <f>"CK20241028253"</f>
        <v>CK20241028253</v>
      </c>
      <c r="C1981" s="1" t="str">
        <f>"DD2024102819657"</f>
        <v>DD2024102819657</v>
      </c>
      <c r="D1981" s="1" t="str">
        <f>"CK202410289344"</f>
        <v>CK202410289344</v>
      </c>
      <c r="E1981" s="1" t="str">
        <f>"2430102010883302"</f>
        <v>2430102010883302</v>
      </c>
      <c r="F1981" s="1" t="str">
        <f t="shared" si="576"/>
        <v>花都四部-凤凰仓</v>
      </c>
      <c r="G1981" s="1" t="str">
        <f t="shared" si="590"/>
        <v>卡卡杜佳旺专卖店（快手店）</v>
      </c>
      <c r="H1981" s="1" t="str">
        <f t="shared" si="577"/>
        <v>正常订单</v>
      </c>
      <c r="I1981" s="1" t="str">
        <f t="shared" si="578"/>
        <v>已发货</v>
      </c>
      <c r="J1981" s="1" t="str">
        <f t="shared" si="586"/>
        <v>3</v>
      </c>
      <c r="K1981" s="1">
        <v>2</v>
      </c>
      <c r="L1981" s="1" t="s">
        <v>30</v>
      </c>
      <c r="M1981" s="1" t="str">
        <f>"山东省 青岛市 黄岛区 灵山卫街道"</f>
        <v>山东省 青岛市 黄岛区 灵山卫街道</v>
      </c>
      <c r="N1981" s="1" t="str">
        <f t="shared" si="591"/>
        <v>凡华云仓-城南圆通-快手</v>
      </c>
      <c r="O1981" s="5" t="s">
        <v>2018</v>
      </c>
      <c r="P1981" s="6">
        <v>0.35</v>
      </c>
      <c r="Q1981" s="11">
        <v>2.2999999999999998</v>
      </c>
      <c r="R1981" s="11"/>
      <c r="S1981" s="11"/>
      <c r="T1981" s="11"/>
      <c r="U1981" s="11">
        <f t="shared" si="580"/>
        <v>2.2999999999999998</v>
      </c>
      <c r="W1981">
        <v>2.5</v>
      </c>
      <c r="X1981" s="1" t="s">
        <v>30</v>
      </c>
    </row>
    <row r="1982" spans="1:24" x14ac:dyDescent="0.25">
      <c r="A1982" s="1" t="str">
        <f t="shared" si="575"/>
        <v>卡卡杜-凤凰仓</v>
      </c>
      <c r="B1982" s="1" t="str">
        <f>"CK20241028251"</f>
        <v>CK20241028251</v>
      </c>
      <c r="C1982" s="1" t="str">
        <f>"DD2024102819656"</f>
        <v>DD2024102819656</v>
      </c>
      <c r="D1982" s="1" t="str">
        <f>"CK202410289343"</f>
        <v>CK202410289343</v>
      </c>
      <c r="E1982" s="1" t="str">
        <f>"2430102491507905"</f>
        <v>2430102491507905</v>
      </c>
      <c r="F1982" s="1" t="str">
        <f t="shared" si="576"/>
        <v>花都四部-凤凰仓</v>
      </c>
      <c r="G1982" s="1" t="str">
        <f t="shared" si="590"/>
        <v>卡卡杜佳旺专卖店（快手店）</v>
      </c>
      <c r="H1982" s="1" t="str">
        <f t="shared" si="577"/>
        <v>正常订单</v>
      </c>
      <c r="I1982" s="1" t="str">
        <f t="shared" si="578"/>
        <v>已发货</v>
      </c>
      <c r="J1982" s="1" t="str">
        <f t="shared" si="586"/>
        <v>3</v>
      </c>
      <c r="K1982" s="1">
        <v>2</v>
      </c>
      <c r="L1982" s="1" t="s">
        <v>136</v>
      </c>
      <c r="M1982" s="1" t="str">
        <f>"北京市 北京市 昌平区 北七家镇"</f>
        <v>北京市 北京市 昌平区 北七家镇</v>
      </c>
      <c r="N1982" s="1" t="str">
        <f t="shared" si="591"/>
        <v>凡华云仓-城南圆通-快手</v>
      </c>
      <c r="O1982" s="5" t="s">
        <v>2019</v>
      </c>
      <c r="P1982" s="6">
        <v>0.35</v>
      </c>
      <c r="Q1982" s="11">
        <v>2.2999999999999998</v>
      </c>
      <c r="R1982" s="11"/>
      <c r="S1982" s="11"/>
      <c r="T1982" s="11"/>
      <c r="U1982" s="11">
        <f t="shared" si="580"/>
        <v>2.2999999999999998</v>
      </c>
      <c r="W1982">
        <v>2.5</v>
      </c>
      <c r="X1982" s="1" t="s">
        <v>136</v>
      </c>
    </row>
    <row r="1983" spans="1:24" x14ac:dyDescent="0.25">
      <c r="A1983" s="1" t="str">
        <f t="shared" si="575"/>
        <v>卡卡杜-凤凰仓</v>
      </c>
      <c r="B1983" s="1" t="str">
        <f>"CK20241028249"</f>
        <v>CK20241028249</v>
      </c>
      <c r="C1983" s="1" t="str">
        <f>"DD2024102819655"</f>
        <v>DD2024102819655</v>
      </c>
      <c r="D1983" s="1" t="str">
        <f>"CK202410289342"</f>
        <v>CK202410289342</v>
      </c>
      <c r="E1983" s="1" t="str">
        <f>"6935546105452762476"</f>
        <v>6935546105452762476</v>
      </c>
      <c r="F1983" s="1" t="str">
        <f t="shared" si="576"/>
        <v>花都四部-凤凰仓</v>
      </c>
      <c r="G1983" s="1" t="str">
        <f t="shared" ref="G1983:G1987" si="594">"卡卡杜个人护理店（抖店）"</f>
        <v>卡卡杜个人护理店（抖店）</v>
      </c>
      <c r="H1983" s="1" t="str">
        <f t="shared" si="577"/>
        <v>正常订单</v>
      </c>
      <c r="I1983" s="1" t="str">
        <f t="shared" si="578"/>
        <v>已发货</v>
      </c>
      <c r="J1983" s="1" t="str">
        <f t="shared" si="586"/>
        <v>3</v>
      </c>
      <c r="K1983" s="1">
        <v>2</v>
      </c>
      <c r="L1983" s="1" t="s">
        <v>96</v>
      </c>
      <c r="M1983" s="1" t="str">
        <f>"广西壮族自治区 玉林市 博白县 永安镇"</f>
        <v>广西壮族自治区 玉林市 博白县 永安镇</v>
      </c>
      <c r="N1983" s="1" t="str">
        <f t="shared" ref="N1983:N1987" si="595">"凡华云仓-城南圆通-抖音"</f>
        <v>凡华云仓-城南圆通-抖音</v>
      </c>
      <c r="O1983" s="5" t="s">
        <v>2020</v>
      </c>
      <c r="P1983" s="6">
        <v>0.35</v>
      </c>
      <c r="Q1983" s="11">
        <v>2.2999999999999998</v>
      </c>
      <c r="R1983" s="11"/>
      <c r="S1983" s="11"/>
      <c r="T1983" s="11"/>
      <c r="U1983" s="11">
        <f t="shared" si="580"/>
        <v>2.2999999999999998</v>
      </c>
      <c r="W1983">
        <v>2.5</v>
      </c>
      <c r="X1983" s="1" t="s">
        <v>96</v>
      </c>
    </row>
    <row r="1984" spans="1:24" x14ac:dyDescent="0.25">
      <c r="A1984" s="1" t="str">
        <f t="shared" si="575"/>
        <v>卡卡杜-凤凰仓</v>
      </c>
      <c r="B1984" s="1" t="str">
        <f>"CK20241028248"</f>
        <v>CK20241028248</v>
      </c>
      <c r="C1984" s="1" t="str">
        <f>"DD2024102819654"</f>
        <v>DD2024102819654</v>
      </c>
      <c r="D1984" s="1" t="str">
        <f>"CK202410289341"</f>
        <v>CK202410289341</v>
      </c>
      <c r="E1984" s="1" t="str">
        <f>"6935541344591287701"</f>
        <v>6935541344591287701</v>
      </c>
      <c r="F1984" s="1" t="str">
        <f t="shared" si="576"/>
        <v>花都四部-凤凰仓</v>
      </c>
      <c r="G1984" s="1" t="str">
        <f t="shared" si="594"/>
        <v>卡卡杜个人护理店（抖店）</v>
      </c>
      <c r="H1984" s="1" t="str">
        <f t="shared" si="577"/>
        <v>正常订单</v>
      </c>
      <c r="I1984" s="1" t="str">
        <f t="shared" si="578"/>
        <v>已发货</v>
      </c>
      <c r="J1984" s="1" t="str">
        <f t="shared" si="586"/>
        <v>3</v>
      </c>
      <c r="K1984" s="1">
        <v>2</v>
      </c>
      <c r="L1984" s="1" t="s">
        <v>60</v>
      </c>
      <c r="M1984" s="1" t="str">
        <f>"云南省 西双版纳傣族自治州 景洪市 勐罕镇"</f>
        <v>云南省 西双版纳傣族自治州 景洪市 勐罕镇</v>
      </c>
      <c r="N1984" s="1" t="str">
        <f t="shared" si="595"/>
        <v>凡华云仓-城南圆通-抖音</v>
      </c>
      <c r="O1984" s="5" t="s">
        <v>2021</v>
      </c>
      <c r="P1984" s="6">
        <v>0.35</v>
      </c>
      <c r="Q1984" s="11">
        <v>2.2999999999999998</v>
      </c>
      <c r="R1984" s="11"/>
      <c r="S1984" s="11"/>
      <c r="T1984" s="11"/>
      <c r="U1984" s="11">
        <f t="shared" si="580"/>
        <v>2.2999999999999998</v>
      </c>
      <c r="W1984">
        <v>2.5</v>
      </c>
      <c r="X1984" s="1" t="s">
        <v>60</v>
      </c>
    </row>
    <row r="1985" spans="1:24" x14ac:dyDescent="0.25">
      <c r="A1985" s="1" t="str">
        <f t="shared" si="575"/>
        <v>卡卡杜-凤凰仓</v>
      </c>
      <c r="B1985" s="1" t="str">
        <f>"CK20241028247"</f>
        <v>CK20241028247</v>
      </c>
      <c r="C1985" s="1" t="str">
        <f>"DD2024102819653"</f>
        <v>DD2024102819653</v>
      </c>
      <c r="D1985" s="1" t="str">
        <f>"CK202410289340"</f>
        <v>CK202410289340</v>
      </c>
      <c r="E1985" s="1" t="str">
        <f>"6935559403172074730"</f>
        <v>6935559403172074730</v>
      </c>
      <c r="F1985" s="1" t="str">
        <f t="shared" si="576"/>
        <v>花都四部-凤凰仓</v>
      </c>
      <c r="G1985" s="1" t="str">
        <f t="shared" si="594"/>
        <v>卡卡杜个人护理店（抖店）</v>
      </c>
      <c r="H1985" s="1" t="str">
        <f t="shared" si="577"/>
        <v>正常订单</v>
      </c>
      <c r="I1985" s="1" t="str">
        <f t="shared" si="578"/>
        <v>已发货</v>
      </c>
      <c r="J1985" s="1" t="str">
        <f t="shared" si="586"/>
        <v>3</v>
      </c>
      <c r="K1985" s="1">
        <v>2</v>
      </c>
      <c r="L1985" s="1" t="s">
        <v>94</v>
      </c>
      <c r="M1985" s="1" t="str">
        <f>"湖南省 怀化市 辰溪县 辰阳镇"</f>
        <v>湖南省 怀化市 辰溪县 辰阳镇</v>
      </c>
      <c r="N1985" s="1" t="str">
        <f t="shared" si="595"/>
        <v>凡华云仓-城南圆通-抖音</v>
      </c>
      <c r="O1985" s="5" t="s">
        <v>2022</v>
      </c>
      <c r="P1985" s="6">
        <v>0.35</v>
      </c>
      <c r="Q1985" s="11">
        <v>2.2999999999999998</v>
      </c>
      <c r="R1985" s="11"/>
      <c r="S1985" s="11"/>
      <c r="T1985" s="11"/>
      <c r="U1985" s="11">
        <f t="shared" si="580"/>
        <v>2.2999999999999998</v>
      </c>
      <c r="W1985">
        <v>2.5</v>
      </c>
      <c r="X1985" s="1" t="s">
        <v>94</v>
      </c>
    </row>
    <row r="1986" spans="1:24" x14ac:dyDescent="0.25">
      <c r="A1986" s="1" t="str">
        <f t="shared" ref="A1986:A2047" si="596">"卡卡杜-凤凰仓"</f>
        <v>卡卡杜-凤凰仓</v>
      </c>
      <c r="B1986" s="1" t="str">
        <f>"CK20241028246"</f>
        <v>CK20241028246</v>
      </c>
      <c r="C1986" s="1" t="str">
        <f>"DD2024102819652"</f>
        <v>DD2024102819652</v>
      </c>
      <c r="D1986" s="1" t="str">
        <f>"CK202410289339"</f>
        <v>CK202410289339</v>
      </c>
      <c r="E1986" s="1" t="str">
        <f>"6935539318093714552"</f>
        <v>6935539318093714552</v>
      </c>
      <c r="F1986" s="1" t="str">
        <f t="shared" ref="F1986:F2047" si="597">"花都四部-凤凰仓"</f>
        <v>花都四部-凤凰仓</v>
      </c>
      <c r="G1986" s="1" t="str">
        <f t="shared" si="594"/>
        <v>卡卡杜个人护理店（抖店）</v>
      </c>
      <c r="H1986" s="1" t="str">
        <f t="shared" ref="H1986:H2047" si="598">"正常订单"</f>
        <v>正常订单</v>
      </c>
      <c r="I1986" s="1" t="str">
        <f t="shared" ref="I1986:I2047" si="599">"已发货"</f>
        <v>已发货</v>
      </c>
      <c r="J1986" s="1" t="str">
        <f t="shared" si="586"/>
        <v>3</v>
      </c>
      <c r="K1986" s="1">
        <v>2</v>
      </c>
      <c r="L1986" s="1" t="s">
        <v>22</v>
      </c>
      <c r="M1986" s="1" t="str">
        <f>"江西省 南昌市 西湖区 丁公路街道"</f>
        <v>江西省 南昌市 西湖区 丁公路街道</v>
      </c>
      <c r="N1986" s="1" t="str">
        <f t="shared" si="595"/>
        <v>凡华云仓-城南圆通-抖音</v>
      </c>
      <c r="O1986" s="5" t="s">
        <v>2023</v>
      </c>
      <c r="P1986" s="6">
        <v>0.35</v>
      </c>
      <c r="Q1986" s="11">
        <v>2.2999999999999998</v>
      </c>
      <c r="R1986" s="11"/>
      <c r="S1986" s="11"/>
      <c r="T1986" s="11"/>
      <c r="U1986" s="11">
        <f t="shared" si="580"/>
        <v>2.2999999999999998</v>
      </c>
      <c r="W1986">
        <v>2.5</v>
      </c>
      <c r="X1986" s="1" t="s">
        <v>22</v>
      </c>
    </row>
    <row r="1987" spans="1:24" x14ac:dyDescent="0.25">
      <c r="A1987" s="1" t="str">
        <f t="shared" si="596"/>
        <v>卡卡杜-凤凰仓</v>
      </c>
      <c r="B1987" s="1" t="str">
        <f>"CK20241028244"</f>
        <v>CK20241028244</v>
      </c>
      <c r="C1987" s="1" t="str">
        <f>"DD2024102819651"</f>
        <v>DD2024102819651</v>
      </c>
      <c r="D1987" s="1" t="str">
        <f>"CK202410289338"</f>
        <v>CK202410289338</v>
      </c>
      <c r="E1987" s="1" t="str">
        <f>"6935563716489713260"</f>
        <v>6935563716489713260</v>
      </c>
      <c r="F1987" s="1" t="str">
        <f t="shared" si="597"/>
        <v>花都四部-凤凰仓</v>
      </c>
      <c r="G1987" s="1" t="str">
        <f t="shared" si="594"/>
        <v>卡卡杜个人护理店（抖店）</v>
      </c>
      <c r="H1987" s="1" t="str">
        <f t="shared" si="598"/>
        <v>正常订单</v>
      </c>
      <c r="I1987" s="1" t="str">
        <f t="shared" si="599"/>
        <v>已发货</v>
      </c>
      <c r="J1987" s="1" t="str">
        <f t="shared" si="586"/>
        <v>3</v>
      </c>
      <c r="K1987" s="1">
        <v>2</v>
      </c>
      <c r="L1987" s="1" t="s">
        <v>13</v>
      </c>
      <c r="M1987" s="1" t="str">
        <f>"江苏省 南京市 浦口区 江浦街道"</f>
        <v>江苏省 南京市 浦口区 江浦街道</v>
      </c>
      <c r="N1987" s="1" t="str">
        <f t="shared" si="595"/>
        <v>凡华云仓-城南圆通-抖音</v>
      </c>
      <c r="O1987" s="5" t="s">
        <v>2024</v>
      </c>
      <c r="P1987" s="6">
        <v>0.35</v>
      </c>
      <c r="Q1987" s="11">
        <v>2.2999999999999998</v>
      </c>
      <c r="R1987" s="11"/>
      <c r="S1987" s="11"/>
      <c r="T1987" s="11"/>
      <c r="U1987" s="11">
        <f t="shared" ref="U1987:U2050" si="600">T1987+S1987+R1987+Q1987</f>
        <v>2.2999999999999998</v>
      </c>
      <c r="W1987">
        <v>2.5</v>
      </c>
      <c r="X1987" s="1" t="s">
        <v>13</v>
      </c>
    </row>
    <row r="1988" spans="1:24" x14ac:dyDescent="0.25">
      <c r="A1988" s="1" t="str">
        <f t="shared" si="596"/>
        <v>卡卡杜-凤凰仓</v>
      </c>
      <c r="B1988" s="1" t="str">
        <f>"CK20241028245"</f>
        <v>CK20241028245</v>
      </c>
      <c r="C1988" s="1" t="str">
        <f>"DD2024102819650"</f>
        <v>DD2024102819650</v>
      </c>
      <c r="D1988" s="1" t="str">
        <f>"CK202410289337"</f>
        <v>CK202410289337</v>
      </c>
      <c r="E1988" s="1" t="str">
        <f>"2430102252994335"</f>
        <v>2430102252994335</v>
      </c>
      <c r="F1988" s="1" t="str">
        <f t="shared" si="597"/>
        <v>花都四部-凤凰仓</v>
      </c>
      <c r="G1988" s="1" t="str">
        <f>"卡卡杜佳旺专卖店（快手店）"</f>
        <v>卡卡杜佳旺专卖店（快手店）</v>
      </c>
      <c r="H1988" s="1" t="str">
        <f t="shared" si="598"/>
        <v>正常订单</v>
      </c>
      <c r="I1988" s="1" t="str">
        <f t="shared" si="599"/>
        <v>已发货</v>
      </c>
      <c r="J1988" s="1" t="str">
        <f t="shared" si="586"/>
        <v>3</v>
      </c>
      <c r="K1988" s="1">
        <v>2</v>
      </c>
      <c r="L1988" s="1" t="s">
        <v>41</v>
      </c>
      <c r="M1988" s="1" t="str">
        <f>"湖北省 武汉市 洪山区 关东街道"</f>
        <v>湖北省 武汉市 洪山区 关东街道</v>
      </c>
      <c r="N1988" s="1" t="str">
        <f>"凡华云仓-城南圆通-快手"</f>
        <v>凡华云仓-城南圆通-快手</v>
      </c>
      <c r="O1988" s="5" t="s">
        <v>2025</v>
      </c>
      <c r="P1988" s="6">
        <v>0.35</v>
      </c>
      <c r="Q1988" s="11">
        <v>2.2999999999999998</v>
      </c>
      <c r="R1988" s="11"/>
      <c r="S1988" s="11"/>
      <c r="T1988" s="11"/>
      <c r="U1988" s="11">
        <f t="shared" si="600"/>
        <v>2.2999999999999998</v>
      </c>
      <c r="W1988">
        <v>2.5</v>
      </c>
      <c r="X1988" s="1" t="s">
        <v>41</v>
      </c>
    </row>
    <row r="1989" spans="1:24" x14ac:dyDescent="0.25">
      <c r="A1989" s="1" t="str">
        <f t="shared" si="596"/>
        <v>卡卡杜-凤凰仓</v>
      </c>
      <c r="B1989" s="1" t="str">
        <f>"CK20241028243"</f>
        <v>CK20241028243</v>
      </c>
      <c r="C1989" s="1" t="str">
        <f>"DD2024102819649"</f>
        <v>DD2024102819649</v>
      </c>
      <c r="D1989" s="1" t="str">
        <f>"CK202410289336"</f>
        <v>CK202410289336</v>
      </c>
      <c r="E1989" s="1" t="str">
        <f>"2430101935296127"</f>
        <v>2430101935296127</v>
      </c>
      <c r="F1989" s="1" t="str">
        <f t="shared" si="597"/>
        <v>花都四部-凤凰仓</v>
      </c>
      <c r="G1989" s="1" t="str">
        <f>"卡卡杜佳旺专卖店（快手店）"</f>
        <v>卡卡杜佳旺专卖店（快手店）</v>
      </c>
      <c r="H1989" s="1" t="str">
        <f t="shared" si="598"/>
        <v>正常订单</v>
      </c>
      <c r="I1989" s="1" t="str">
        <f t="shared" si="599"/>
        <v>已发货</v>
      </c>
      <c r="J1989" s="1" t="str">
        <f t="shared" si="586"/>
        <v>3</v>
      </c>
      <c r="K1989" s="1">
        <v>2</v>
      </c>
      <c r="L1989" s="1" t="s">
        <v>18</v>
      </c>
      <c r="M1989" s="1" t="str">
        <f>"广东省 深圳市 龙华区 龙华街道"</f>
        <v>广东省 深圳市 龙华区 龙华街道</v>
      </c>
      <c r="N1989" s="1" t="str">
        <f>"凡华云仓-城南圆通-快手"</f>
        <v>凡华云仓-城南圆通-快手</v>
      </c>
      <c r="O1989" s="5" t="s">
        <v>2026</v>
      </c>
      <c r="P1989" s="6">
        <v>0.35</v>
      </c>
      <c r="Q1989" s="11">
        <v>2.2999999999999998</v>
      </c>
      <c r="R1989" s="11"/>
      <c r="S1989" s="11"/>
      <c r="T1989" s="11"/>
      <c r="U1989" s="11">
        <f t="shared" si="600"/>
        <v>2.2999999999999998</v>
      </c>
      <c r="W1989">
        <v>2.5</v>
      </c>
      <c r="X1989" s="1" t="s">
        <v>18</v>
      </c>
    </row>
    <row r="1990" spans="1:24" x14ac:dyDescent="0.25">
      <c r="A1990" s="1" t="str">
        <f t="shared" si="596"/>
        <v>卡卡杜-凤凰仓</v>
      </c>
      <c r="B1990" s="1" t="str">
        <f>"CK20241028242"</f>
        <v>CK20241028242</v>
      </c>
      <c r="C1990" s="1" t="str">
        <f>"DD2024102819648"</f>
        <v>DD2024102819648</v>
      </c>
      <c r="D1990" s="1" t="str">
        <f>"CK202410289335"</f>
        <v>CK202410289335</v>
      </c>
      <c r="E1990" s="1" t="str">
        <f>"3723604572755330304"</f>
        <v>3723604572755330304</v>
      </c>
      <c r="F1990" s="1" t="str">
        <f t="shared" si="597"/>
        <v>花都四部-凤凰仓</v>
      </c>
      <c r="G1990" s="1" t="str">
        <f t="shared" ref="G1990:G1995" si="601">"卡卡杜企业店（视频号）"</f>
        <v>卡卡杜企业店（视频号）</v>
      </c>
      <c r="H1990" s="1" t="str">
        <f t="shared" si="598"/>
        <v>正常订单</v>
      </c>
      <c r="I1990" s="1" t="str">
        <f t="shared" si="599"/>
        <v>已发货</v>
      </c>
      <c r="J1990" s="1" t="str">
        <f t="shared" si="586"/>
        <v>3</v>
      </c>
      <c r="K1990" s="1">
        <v>2</v>
      </c>
      <c r="L1990" s="1" t="s">
        <v>105</v>
      </c>
      <c r="M1990" s="1" t="str">
        <f>"北京 北京市 大兴区 "</f>
        <v xml:space="preserve">北京 北京市 大兴区 </v>
      </c>
      <c r="N1990" s="1" t="str">
        <f t="shared" ref="N1990:N1995" si="602">"凡华云仓-城南圆通-微信视频号"</f>
        <v>凡华云仓-城南圆通-微信视频号</v>
      </c>
      <c r="O1990" s="5" t="s">
        <v>2027</v>
      </c>
      <c r="P1990" s="6">
        <v>0.24</v>
      </c>
      <c r="Q1990" s="11">
        <v>2</v>
      </c>
      <c r="R1990" s="11"/>
      <c r="S1990" s="11"/>
      <c r="T1990" s="11"/>
      <c r="U1990" s="11">
        <f t="shared" si="600"/>
        <v>2</v>
      </c>
      <c r="W1990">
        <v>2.2000000000000002</v>
      </c>
      <c r="X1990" s="1" t="s">
        <v>105</v>
      </c>
    </row>
    <row r="1991" spans="1:24" x14ac:dyDescent="0.25">
      <c r="A1991" s="1" t="str">
        <f t="shared" si="596"/>
        <v>卡卡杜-凤凰仓</v>
      </c>
      <c r="B1991" s="1" t="str">
        <f>"CK20241028241"</f>
        <v>CK20241028241</v>
      </c>
      <c r="C1991" s="1" t="str">
        <f>"DD2024102819647"</f>
        <v>DD2024102819647</v>
      </c>
      <c r="D1991" s="1" t="str">
        <f>"CK202410289334"</f>
        <v>CK202410289334</v>
      </c>
      <c r="E1991" s="1" t="str">
        <f>"3723604577419658496"</f>
        <v>3723604577419658496</v>
      </c>
      <c r="F1991" s="1" t="str">
        <f t="shared" si="597"/>
        <v>花都四部-凤凰仓</v>
      </c>
      <c r="G1991" s="1" t="str">
        <f t="shared" si="601"/>
        <v>卡卡杜企业店（视频号）</v>
      </c>
      <c r="H1991" s="1" t="str">
        <f t="shared" si="598"/>
        <v>正常订单</v>
      </c>
      <c r="I1991" s="1" t="str">
        <f t="shared" si="599"/>
        <v>已发货</v>
      </c>
      <c r="J1991" s="1" t="str">
        <f t="shared" si="586"/>
        <v>3</v>
      </c>
      <c r="K1991" s="1">
        <v>2</v>
      </c>
      <c r="L1991" s="1" t="s">
        <v>92</v>
      </c>
      <c r="M1991" s="1" t="str">
        <f>"辽宁省 沈阳市 于洪区 "</f>
        <v xml:space="preserve">辽宁省 沈阳市 于洪区 </v>
      </c>
      <c r="N1991" s="1" t="str">
        <f t="shared" si="602"/>
        <v>凡华云仓-城南圆通-微信视频号</v>
      </c>
      <c r="O1991" s="5" t="s">
        <v>2028</v>
      </c>
      <c r="P1991" s="6">
        <v>0.24</v>
      </c>
      <c r="Q1991" s="11">
        <v>2</v>
      </c>
      <c r="R1991" s="11"/>
      <c r="S1991" s="11"/>
      <c r="T1991" s="11"/>
      <c r="U1991" s="11">
        <f t="shared" si="600"/>
        <v>2</v>
      </c>
      <c r="W1991">
        <v>2.2000000000000002</v>
      </c>
      <c r="X1991" s="1" t="s">
        <v>92</v>
      </c>
    </row>
    <row r="1992" spans="1:24" x14ac:dyDescent="0.25">
      <c r="A1992" s="1" t="str">
        <f t="shared" si="596"/>
        <v>卡卡杜-凤凰仓</v>
      </c>
      <c r="B1992" s="1" t="str">
        <f>"CK20241028240"</f>
        <v>CK20241028240</v>
      </c>
      <c r="C1992" s="1" t="str">
        <f>"DD2024102819646"</f>
        <v>DD2024102819646</v>
      </c>
      <c r="D1992" s="1" t="str">
        <f>"CK202410289333"</f>
        <v>CK202410289333</v>
      </c>
      <c r="E1992" s="1" t="str">
        <f>"3723604587584818176"</f>
        <v>3723604587584818176</v>
      </c>
      <c r="F1992" s="1" t="str">
        <f t="shared" si="597"/>
        <v>花都四部-凤凰仓</v>
      </c>
      <c r="G1992" s="1" t="str">
        <f t="shared" si="601"/>
        <v>卡卡杜企业店（视频号）</v>
      </c>
      <c r="H1992" s="1" t="str">
        <f t="shared" si="598"/>
        <v>正常订单</v>
      </c>
      <c r="I1992" s="1" t="str">
        <f t="shared" si="599"/>
        <v>已发货</v>
      </c>
      <c r="J1992" s="1" t="str">
        <f t="shared" si="586"/>
        <v>3</v>
      </c>
      <c r="K1992" s="1">
        <v>2</v>
      </c>
      <c r="L1992" s="1" t="s">
        <v>47</v>
      </c>
      <c r="M1992" s="1" t="str">
        <f>"重庆 重庆市 江北区 "</f>
        <v xml:space="preserve">重庆 重庆市 江北区 </v>
      </c>
      <c r="N1992" s="1" t="str">
        <f t="shared" si="602"/>
        <v>凡华云仓-城南圆通-微信视频号</v>
      </c>
      <c r="O1992" s="5" t="s">
        <v>2029</v>
      </c>
      <c r="P1992" s="6">
        <v>0.24</v>
      </c>
      <c r="Q1992" s="11">
        <v>2</v>
      </c>
      <c r="R1992" s="11"/>
      <c r="S1992" s="11"/>
      <c r="T1992" s="11"/>
      <c r="U1992" s="11">
        <f t="shared" si="600"/>
        <v>2</v>
      </c>
      <c r="W1992">
        <v>2.2000000000000002</v>
      </c>
      <c r="X1992" s="1" t="s">
        <v>47</v>
      </c>
    </row>
    <row r="1993" spans="1:24" x14ac:dyDescent="0.25">
      <c r="A1993" s="1" t="str">
        <f t="shared" si="596"/>
        <v>卡卡杜-凤凰仓</v>
      </c>
      <c r="B1993" s="1" t="str">
        <f>"CK20241028238"</f>
        <v>CK20241028238</v>
      </c>
      <c r="C1993" s="1" t="str">
        <f>"DD2024102819645"</f>
        <v>DD2024102819645</v>
      </c>
      <c r="D1993" s="1" t="str">
        <f>"CK202410289332"</f>
        <v>CK202410289332</v>
      </c>
      <c r="E1993" s="1" t="str">
        <f>"3723604785751004161"</f>
        <v>3723604785751004161</v>
      </c>
      <c r="F1993" s="1" t="str">
        <f t="shared" si="597"/>
        <v>花都四部-凤凰仓</v>
      </c>
      <c r="G1993" s="1" t="str">
        <f t="shared" si="601"/>
        <v>卡卡杜企业店（视频号）</v>
      </c>
      <c r="H1993" s="1" t="str">
        <f t="shared" si="598"/>
        <v>正常订单</v>
      </c>
      <c r="I1993" s="1" t="str">
        <f t="shared" si="599"/>
        <v>已发货</v>
      </c>
      <c r="J1993" s="1" t="str">
        <f t="shared" si="586"/>
        <v>3</v>
      </c>
      <c r="K1993" s="1">
        <v>3</v>
      </c>
      <c r="L1993" s="1" t="s">
        <v>13</v>
      </c>
      <c r="M1993" s="1" t="str">
        <f>"江苏省 南京市 鼓楼区 "</f>
        <v xml:space="preserve">江苏省 南京市 鼓楼区 </v>
      </c>
      <c r="N1993" s="1" t="str">
        <f t="shared" si="602"/>
        <v>凡华云仓-城南圆通-微信视频号</v>
      </c>
      <c r="O1993" s="5" t="s">
        <v>2030</v>
      </c>
      <c r="P1993" s="6">
        <v>0.34</v>
      </c>
      <c r="Q1993" s="11">
        <v>2.2999999999999998</v>
      </c>
      <c r="R1993" s="11"/>
      <c r="S1993" s="11"/>
      <c r="T1993" s="11"/>
      <c r="U1993" s="11">
        <f t="shared" si="600"/>
        <v>2.2999999999999998</v>
      </c>
      <c r="W1993">
        <v>2.5</v>
      </c>
      <c r="X1993" s="1" t="s">
        <v>13</v>
      </c>
    </row>
    <row r="1994" spans="1:24" x14ac:dyDescent="0.25">
      <c r="A1994" s="1" t="str">
        <f t="shared" si="596"/>
        <v>卡卡杜-凤凰仓</v>
      </c>
      <c r="B1994" s="1" t="str">
        <f>"CK20241028239"</f>
        <v>CK20241028239</v>
      </c>
      <c r="C1994" s="1" t="str">
        <f>"DD2024102819644"</f>
        <v>DD2024102819644</v>
      </c>
      <c r="D1994" s="1" t="str">
        <f>"CK202410289331"</f>
        <v>CK202410289331</v>
      </c>
      <c r="E1994" s="1" t="str">
        <f>"3723604601631280129"</f>
        <v>3723604601631280129</v>
      </c>
      <c r="F1994" s="1" t="str">
        <f t="shared" si="597"/>
        <v>花都四部-凤凰仓</v>
      </c>
      <c r="G1994" s="1" t="str">
        <f t="shared" si="601"/>
        <v>卡卡杜企业店（视频号）</v>
      </c>
      <c r="H1994" s="1" t="str">
        <f t="shared" si="598"/>
        <v>正常订单</v>
      </c>
      <c r="I1994" s="1" t="str">
        <f t="shared" si="599"/>
        <v>已发货</v>
      </c>
      <c r="J1994" s="1" t="str">
        <f t="shared" si="586"/>
        <v>3</v>
      </c>
      <c r="K1994" s="1">
        <v>2</v>
      </c>
      <c r="L1994" s="1" t="s">
        <v>740</v>
      </c>
      <c r="M1994" s="1" t="str">
        <f>"宁夏回族自治区 吴忠市 利通区 "</f>
        <v xml:space="preserve">宁夏回族自治区 吴忠市 利通区 </v>
      </c>
      <c r="N1994" s="1" t="str">
        <f t="shared" si="602"/>
        <v>凡华云仓-城南圆通-微信视频号</v>
      </c>
      <c r="O1994" s="5" t="s">
        <v>2031</v>
      </c>
      <c r="P1994" s="6">
        <v>0.24</v>
      </c>
      <c r="Q1994" s="11">
        <v>2</v>
      </c>
      <c r="R1994" s="11"/>
      <c r="S1994" s="11"/>
      <c r="T1994" s="11"/>
      <c r="U1994" s="11">
        <f t="shared" si="600"/>
        <v>2</v>
      </c>
      <c r="W1994">
        <v>2.2000000000000002</v>
      </c>
      <c r="X1994" s="1" t="s">
        <v>740</v>
      </c>
    </row>
    <row r="1995" spans="1:24" x14ac:dyDescent="0.25">
      <c r="A1995" s="1" t="str">
        <f t="shared" si="596"/>
        <v>卡卡杜-凤凰仓</v>
      </c>
      <c r="B1995" s="1" t="str">
        <f>"CK20241028237"</f>
        <v>CK20241028237</v>
      </c>
      <c r="C1995" s="1" t="str">
        <f>"DD2024102819643"</f>
        <v>DD2024102819643</v>
      </c>
      <c r="D1995" s="1" t="str">
        <f>"CK202410289330"</f>
        <v>CK202410289330</v>
      </c>
      <c r="E1995" s="1" t="str">
        <f>"3723604786795644160"</f>
        <v>3723604786795644160</v>
      </c>
      <c r="F1995" s="1" t="str">
        <f t="shared" si="597"/>
        <v>花都四部-凤凰仓</v>
      </c>
      <c r="G1995" s="1" t="str">
        <f t="shared" si="601"/>
        <v>卡卡杜企业店（视频号）</v>
      </c>
      <c r="H1995" s="1" t="str">
        <f t="shared" si="598"/>
        <v>正常订单</v>
      </c>
      <c r="I1995" s="1" t="str">
        <f t="shared" si="599"/>
        <v>已发货</v>
      </c>
      <c r="J1995" s="1" t="str">
        <f t="shared" si="586"/>
        <v>3</v>
      </c>
      <c r="K1995" s="1">
        <v>3</v>
      </c>
      <c r="L1995" s="1" t="s">
        <v>66</v>
      </c>
      <c r="M1995" s="1" t="str">
        <f>"内蒙古自治区 鄂尔多斯市 康巴什区 "</f>
        <v xml:space="preserve">内蒙古自治区 鄂尔多斯市 康巴什区 </v>
      </c>
      <c r="N1995" s="1" t="str">
        <f t="shared" si="602"/>
        <v>凡华云仓-城南圆通-微信视频号</v>
      </c>
      <c r="O1995" s="5" t="s">
        <v>2032</v>
      </c>
      <c r="P1995" s="6">
        <v>0.34</v>
      </c>
      <c r="Q1995" s="11">
        <v>2.2999999999999998</v>
      </c>
      <c r="R1995" s="11"/>
      <c r="S1995" s="11"/>
      <c r="T1995" s="11"/>
      <c r="U1995" s="11">
        <f t="shared" si="600"/>
        <v>2.2999999999999998</v>
      </c>
      <c r="W1995">
        <v>2.5</v>
      </c>
      <c r="X1995" s="1" t="s">
        <v>66</v>
      </c>
    </row>
    <row r="1996" spans="1:24" x14ac:dyDescent="0.25">
      <c r="A1996" s="1" t="str">
        <f t="shared" si="596"/>
        <v>卡卡杜-凤凰仓</v>
      </c>
      <c r="B1996" s="1" t="str">
        <f>"CK20241028236"</f>
        <v>CK20241028236</v>
      </c>
      <c r="C1996" s="1" t="str">
        <f>"DD2024102819642"</f>
        <v>DD2024102819642</v>
      </c>
      <c r="D1996" s="1" t="str">
        <f>"CK202410289329"</f>
        <v>CK202410289329</v>
      </c>
      <c r="E1996" s="1" t="str">
        <f>"6935548675098809354"</f>
        <v>6935548675098809354</v>
      </c>
      <c r="F1996" s="1" t="str">
        <f t="shared" si="597"/>
        <v>花都四部-凤凰仓</v>
      </c>
      <c r="G1996" s="1" t="str">
        <f>"卡卡杜个人护理店（抖店）"</f>
        <v>卡卡杜个人护理店（抖店）</v>
      </c>
      <c r="H1996" s="1" t="str">
        <f t="shared" si="598"/>
        <v>正常订单</v>
      </c>
      <c r="I1996" s="1" t="str">
        <f t="shared" si="599"/>
        <v>已发货</v>
      </c>
      <c r="J1996" s="1" t="str">
        <f t="shared" si="586"/>
        <v>3</v>
      </c>
      <c r="K1996" s="1">
        <v>2</v>
      </c>
      <c r="L1996" s="1" t="s">
        <v>13</v>
      </c>
      <c r="M1996" s="1" t="str">
        <f>"江苏省 无锡市 江阴市 月城镇"</f>
        <v>江苏省 无锡市 江阴市 月城镇</v>
      </c>
      <c r="N1996" s="1" t="str">
        <f>"凡华云仓-竹料中通-抖音"</f>
        <v>凡华云仓-竹料中通-抖音</v>
      </c>
      <c r="O1996" s="5">
        <v>76435681949168</v>
      </c>
      <c r="P1996" s="6">
        <v>0.35</v>
      </c>
      <c r="Q1996" s="11">
        <v>2.6</v>
      </c>
      <c r="R1996" s="11"/>
      <c r="S1996" s="11"/>
      <c r="T1996" s="11"/>
      <c r="U1996" s="11">
        <f t="shared" si="600"/>
        <v>2.6</v>
      </c>
      <c r="W1996">
        <v>2.6</v>
      </c>
      <c r="X1996" s="1" t="s">
        <v>13</v>
      </c>
    </row>
    <row r="1997" spans="1:24" x14ac:dyDescent="0.25">
      <c r="A1997" s="1" t="str">
        <f t="shared" si="596"/>
        <v>卡卡杜-凤凰仓</v>
      </c>
      <c r="B1997" s="1" t="str">
        <f>"CK20241028235"</f>
        <v>CK20241028235</v>
      </c>
      <c r="C1997" s="1" t="str">
        <f>"DD2024102819641"</f>
        <v>DD2024102819641</v>
      </c>
      <c r="D1997" s="1" t="str">
        <f>"CK202410289328"</f>
        <v>CK202410289328</v>
      </c>
      <c r="E1997" s="1" t="str">
        <f>"3723604794140394752"</f>
        <v>3723604794140394752</v>
      </c>
      <c r="F1997" s="1" t="str">
        <f t="shared" si="597"/>
        <v>花都四部-凤凰仓</v>
      </c>
      <c r="G1997" s="1" t="str">
        <f t="shared" ref="G1997:G2007" si="603">"卡卡杜企业店（视频号）"</f>
        <v>卡卡杜企业店（视频号）</v>
      </c>
      <c r="H1997" s="1" t="str">
        <f t="shared" si="598"/>
        <v>正常订单</v>
      </c>
      <c r="I1997" s="1" t="str">
        <f t="shared" si="599"/>
        <v>已发货</v>
      </c>
      <c r="J1997" s="1" t="str">
        <f t="shared" si="586"/>
        <v>3</v>
      </c>
      <c r="K1997" s="1">
        <v>3</v>
      </c>
      <c r="L1997" s="1" t="s">
        <v>18</v>
      </c>
      <c r="M1997" s="1" t="str">
        <f>"广东省 广州市 白云区 "</f>
        <v xml:space="preserve">广东省 广州市 白云区 </v>
      </c>
      <c r="N1997" s="1" t="str">
        <f t="shared" ref="N1997:N2007" si="604">"凡华云仓-城南圆通-微信视频号"</f>
        <v>凡华云仓-城南圆通-微信视频号</v>
      </c>
      <c r="O1997" s="5" t="s">
        <v>2033</v>
      </c>
      <c r="P1997" s="6">
        <v>0.34</v>
      </c>
      <c r="Q1997" s="11">
        <v>2.2999999999999998</v>
      </c>
      <c r="R1997" s="11"/>
      <c r="S1997" s="11"/>
      <c r="T1997" s="11"/>
      <c r="U1997" s="11">
        <f t="shared" si="600"/>
        <v>2.2999999999999998</v>
      </c>
      <c r="W1997">
        <v>2.5</v>
      </c>
      <c r="X1997" s="1" t="s">
        <v>18</v>
      </c>
    </row>
    <row r="1998" spans="1:24" x14ac:dyDescent="0.25">
      <c r="A1998" s="1" t="str">
        <f t="shared" si="596"/>
        <v>卡卡杜-凤凰仓</v>
      </c>
      <c r="B1998" s="1" t="str">
        <f>"CK20241028233"</f>
        <v>CK20241028233</v>
      </c>
      <c r="C1998" s="1" t="str">
        <f>"DD2024102819640"</f>
        <v>DD2024102819640</v>
      </c>
      <c r="D1998" s="1" t="str">
        <f>"CK202410289327"</f>
        <v>CK202410289327</v>
      </c>
      <c r="E1998" s="1" t="str">
        <f>"2430102171963304"</f>
        <v>2430102171963304</v>
      </c>
      <c r="F1998" s="1" t="str">
        <f t="shared" si="597"/>
        <v>花都四部-凤凰仓</v>
      </c>
      <c r="G1998" s="1" t="str">
        <f>"卡卡杜佳旺专卖店（快手店）"</f>
        <v>卡卡杜佳旺专卖店（快手店）</v>
      </c>
      <c r="H1998" s="1" t="str">
        <f t="shared" si="598"/>
        <v>正常订单</v>
      </c>
      <c r="I1998" s="1" t="str">
        <f t="shared" si="599"/>
        <v>已发货</v>
      </c>
      <c r="J1998" s="1" t="str">
        <f t="shared" si="586"/>
        <v>3</v>
      </c>
      <c r="K1998" s="1">
        <v>2</v>
      </c>
      <c r="L1998" s="1" t="s">
        <v>32</v>
      </c>
      <c r="M1998" s="1" t="str">
        <f>"陕西省 咸阳市 渭城区 周陵街道"</f>
        <v>陕西省 咸阳市 渭城区 周陵街道</v>
      </c>
      <c r="N1998" s="1" t="str">
        <f>"凡华云仓-城南圆通-快手"</f>
        <v>凡华云仓-城南圆通-快手</v>
      </c>
      <c r="O1998" s="5" t="s">
        <v>2034</v>
      </c>
      <c r="P1998" s="6">
        <v>0.35</v>
      </c>
      <c r="Q1998" s="11">
        <v>2.2999999999999998</v>
      </c>
      <c r="R1998" s="11"/>
      <c r="S1998" s="11"/>
      <c r="T1998" s="11"/>
      <c r="U1998" s="11">
        <f t="shared" si="600"/>
        <v>2.2999999999999998</v>
      </c>
      <c r="W1998">
        <v>2.5</v>
      </c>
      <c r="X1998" s="1" t="s">
        <v>32</v>
      </c>
    </row>
    <row r="1999" spans="1:24" x14ac:dyDescent="0.25">
      <c r="A1999" s="1" t="str">
        <f t="shared" si="596"/>
        <v>卡卡杜-凤凰仓</v>
      </c>
      <c r="B1999" s="1" t="str">
        <f>"CK20241028234"</f>
        <v>CK20241028234</v>
      </c>
      <c r="C1999" s="1" t="str">
        <f>"DD2024102819639"</f>
        <v>DD2024102819639</v>
      </c>
      <c r="D1999" s="1" t="str">
        <f>"CK202410289326"</f>
        <v>CK202410289326</v>
      </c>
      <c r="E1999" s="1" t="str">
        <f>"3723604812181931521"</f>
        <v>3723604812181931521</v>
      </c>
      <c r="F1999" s="1" t="str">
        <f t="shared" si="597"/>
        <v>花都四部-凤凰仓</v>
      </c>
      <c r="G1999" s="1" t="str">
        <f t="shared" si="603"/>
        <v>卡卡杜企业店（视频号）</v>
      </c>
      <c r="H1999" s="1" t="str">
        <f t="shared" si="598"/>
        <v>正常订单</v>
      </c>
      <c r="I1999" s="1" t="str">
        <f t="shared" si="599"/>
        <v>已发货</v>
      </c>
      <c r="J1999" s="1" t="str">
        <f t="shared" si="586"/>
        <v>3</v>
      </c>
      <c r="K1999" s="1">
        <v>3</v>
      </c>
      <c r="L1999" s="1" t="s">
        <v>105</v>
      </c>
      <c r="M1999" s="1" t="str">
        <f>"北京 北京市 海淀区 "</f>
        <v xml:space="preserve">北京 北京市 海淀区 </v>
      </c>
      <c r="N1999" s="1" t="str">
        <f t="shared" si="604"/>
        <v>凡华云仓-城南圆通-微信视频号</v>
      </c>
      <c r="O1999" s="5" t="s">
        <v>2035</v>
      </c>
      <c r="P1999" s="6">
        <v>0.34</v>
      </c>
      <c r="Q1999" s="11">
        <v>2.2999999999999998</v>
      </c>
      <c r="R1999" s="11"/>
      <c r="S1999" s="11"/>
      <c r="T1999" s="11"/>
      <c r="U1999" s="11">
        <f t="shared" si="600"/>
        <v>2.2999999999999998</v>
      </c>
      <c r="W1999">
        <v>2.5</v>
      </c>
      <c r="X1999" s="1" t="s">
        <v>105</v>
      </c>
    </row>
    <row r="2000" spans="1:24" x14ac:dyDescent="0.25">
      <c r="A2000" s="1" t="str">
        <f t="shared" si="596"/>
        <v>卡卡杜-凤凰仓</v>
      </c>
      <c r="B2000" s="1" t="str">
        <f>"CK20241028232"</f>
        <v>CK20241028232</v>
      </c>
      <c r="C2000" s="1" t="str">
        <f>"DD2024102819638"</f>
        <v>DD2024102819638</v>
      </c>
      <c r="D2000" s="1" t="str">
        <f>"CK202410289325"</f>
        <v>CK202410289325</v>
      </c>
      <c r="E2000" s="1" t="str">
        <f>"3723604812611325952"</f>
        <v>3723604812611325952</v>
      </c>
      <c r="F2000" s="1" t="str">
        <f t="shared" si="597"/>
        <v>花都四部-凤凰仓</v>
      </c>
      <c r="G2000" s="1" t="str">
        <f t="shared" si="603"/>
        <v>卡卡杜企业店（视频号）</v>
      </c>
      <c r="H2000" s="1" t="str">
        <f t="shared" si="598"/>
        <v>正常订单</v>
      </c>
      <c r="I2000" s="1" t="str">
        <f t="shared" si="599"/>
        <v>已发货</v>
      </c>
      <c r="J2000" s="1" t="str">
        <f t="shared" si="586"/>
        <v>3</v>
      </c>
      <c r="K2000" s="1">
        <v>3</v>
      </c>
      <c r="L2000" s="1" t="s">
        <v>74</v>
      </c>
      <c r="M2000" s="1" t="str">
        <f>"上海 上海市 长宁区 "</f>
        <v xml:space="preserve">上海 上海市 长宁区 </v>
      </c>
      <c r="N2000" s="1" t="str">
        <f t="shared" si="604"/>
        <v>凡华云仓-城南圆通-微信视频号</v>
      </c>
      <c r="O2000" s="5" t="s">
        <v>2036</v>
      </c>
      <c r="P2000" s="6">
        <v>0.34</v>
      </c>
      <c r="Q2000" s="11">
        <v>2.2999999999999998</v>
      </c>
      <c r="R2000" s="11"/>
      <c r="S2000" s="11"/>
      <c r="T2000" s="11"/>
      <c r="U2000" s="11">
        <f t="shared" si="600"/>
        <v>2.2999999999999998</v>
      </c>
      <c r="W2000">
        <v>2.5</v>
      </c>
      <c r="X2000" s="1" t="s">
        <v>74</v>
      </c>
    </row>
    <row r="2001" spans="1:24" x14ac:dyDescent="0.25">
      <c r="A2001" s="1" t="str">
        <f t="shared" si="596"/>
        <v>卡卡杜-凤凰仓</v>
      </c>
      <c r="B2001" s="1" t="str">
        <f>"CK20241028231"</f>
        <v>CK20241028231</v>
      </c>
      <c r="C2001" s="1" t="str">
        <f>"DD2024102819637"</f>
        <v>DD2024102819637</v>
      </c>
      <c r="D2001" s="1" t="str">
        <f>"CK202410289324"</f>
        <v>CK202410289324</v>
      </c>
      <c r="E2001" s="1" t="str">
        <f>"3723604820377077248"</f>
        <v>3723604820377077248</v>
      </c>
      <c r="F2001" s="1" t="str">
        <f t="shared" si="597"/>
        <v>花都四部-凤凰仓</v>
      </c>
      <c r="G2001" s="1" t="str">
        <f t="shared" si="603"/>
        <v>卡卡杜企业店（视频号）</v>
      </c>
      <c r="H2001" s="1" t="str">
        <f t="shared" si="598"/>
        <v>正常订单</v>
      </c>
      <c r="I2001" s="1" t="str">
        <f t="shared" si="599"/>
        <v>已发货</v>
      </c>
      <c r="J2001" s="1" t="str">
        <f t="shared" si="586"/>
        <v>3</v>
      </c>
      <c r="K2001" s="1">
        <v>3</v>
      </c>
      <c r="L2001" s="1" t="s">
        <v>18</v>
      </c>
      <c r="M2001" s="1" t="str">
        <f>"广东省 深圳市 福田区 "</f>
        <v xml:space="preserve">广东省 深圳市 福田区 </v>
      </c>
      <c r="N2001" s="1" t="str">
        <f t="shared" si="604"/>
        <v>凡华云仓-城南圆通-微信视频号</v>
      </c>
      <c r="O2001" s="5" t="s">
        <v>2037</v>
      </c>
      <c r="P2001" s="6">
        <v>0.34</v>
      </c>
      <c r="Q2001" s="11">
        <v>2.2999999999999998</v>
      </c>
      <c r="R2001" s="11"/>
      <c r="S2001" s="11"/>
      <c r="T2001" s="11"/>
      <c r="U2001" s="11">
        <f t="shared" si="600"/>
        <v>2.2999999999999998</v>
      </c>
      <c r="W2001">
        <v>2.5</v>
      </c>
      <c r="X2001" s="1" t="s">
        <v>18</v>
      </c>
    </row>
    <row r="2002" spans="1:24" x14ac:dyDescent="0.25">
      <c r="A2002" s="1" t="str">
        <f t="shared" si="596"/>
        <v>卡卡杜-凤凰仓</v>
      </c>
      <c r="B2002" s="1" t="str">
        <f>"CK20241028229"</f>
        <v>CK20241028229</v>
      </c>
      <c r="C2002" s="1" t="str">
        <f>"DD2024102819636"</f>
        <v>DD2024102819636</v>
      </c>
      <c r="D2002" s="1" t="str">
        <f>"CK202410289323"</f>
        <v>CK202410289323</v>
      </c>
      <c r="E2002" s="1" t="str">
        <f>"3723604825894423552"</f>
        <v>3723604825894423552</v>
      </c>
      <c r="F2002" s="1" t="str">
        <f t="shared" si="597"/>
        <v>花都四部-凤凰仓</v>
      </c>
      <c r="G2002" s="1" t="str">
        <f t="shared" si="603"/>
        <v>卡卡杜企业店（视频号）</v>
      </c>
      <c r="H2002" s="1" t="str">
        <f t="shared" si="598"/>
        <v>正常订单</v>
      </c>
      <c r="I2002" s="1" t="str">
        <f t="shared" si="599"/>
        <v>已发货</v>
      </c>
      <c r="J2002" s="1" t="str">
        <f t="shared" si="586"/>
        <v>3</v>
      </c>
      <c r="K2002" s="1">
        <v>3</v>
      </c>
      <c r="L2002" s="1" t="s">
        <v>41</v>
      </c>
      <c r="M2002" s="1" t="str">
        <f>"湖北省 武汉市 汉阳区 "</f>
        <v xml:space="preserve">湖北省 武汉市 汉阳区 </v>
      </c>
      <c r="N2002" s="1" t="str">
        <f t="shared" si="604"/>
        <v>凡华云仓-城南圆通-微信视频号</v>
      </c>
      <c r="O2002" s="5" t="s">
        <v>2038</v>
      </c>
      <c r="P2002" s="6">
        <v>0.34</v>
      </c>
      <c r="Q2002" s="11">
        <v>2.2999999999999998</v>
      </c>
      <c r="R2002" s="11"/>
      <c r="S2002" s="11"/>
      <c r="T2002" s="11"/>
      <c r="U2002" s="11">
        <f t="shared" si="600"/>
        <v>2.2999999999999998</v>
      </c>
      <c r="W2002">
        <v>2.5</v>
      </c>
      <c r="X2002" s="1" t="s">
        <v>41</v>
      </c>
    </row>
    <row r="2003" spans="1:24" x14ac:dyDescent="0.25">
      <c r="A2003" s="1" t="str">
        <f t="shared" si="596"/>
        <v>卡卡杜-凤凰仓</v>
      </c>
      <c r="B2003" s="1" t="str">
        <f>"CK20241028228"</f>
        <v>CK20241028228</v>
      </c>
      <c r="C2003" s="1" t="str">
        <f>"DD2024102819635"</f>
        <v>DD2024102819635</v>
      </c>
      <c r="D2003" s="1" t="str">
        <f>"CK202410289322"</f>
        <v>CK202410289322</v>
      </c>
      <c r="E2003" s="1" t="str">
        <f>"3723604839515687936"</f>
        <v>3723604839515687936</v>
      </c>
      <c r="F2003" s="1" t="str">
        <f t="shared" si="597"/>
        <v>花都四部-凤凰仓</v>
      </c>
      <c r="G2003" s="1" t="str">
        <f t="shared" si="603"/>
        <v>卡卡杜企业店（视频号）</v>
      </c>
      <c r="H2003" s="1" t="str">
        <f t="shared" si="598"/>
        <v>正常订单</v>
      </c>
      <c r="I2003" s="1" t="str">
        <f t="shared" si="599"/>
        <v>已发货</v>
      </c>
      <c r="J2003" s="1" t="str">
        <f t="shared" si="586"/>
        <v>3</v>
      </c>
      <c r="K2003" s="1">
        <v>3</v>
      </c>
      <c r="L2003" s="1" t="s">
        <v>30</v>
      </c>
      <c r="M2003" s="1" t="str">
        <f>"山东省 济南市 平阴县 "</f>
        <v xml:space="preserve">山东省 济南市 平阴县 </v>
      </c>
      <c r="N2003" s="1" t="str">
        <f t="shared" si="604"/>
        <v>凡华云仓-城南圆通-微信视频号</v>
      </c>
      <c r="O2003" s="5" t="s">
        <v>2039</v>
      </c>
      <c r="P2003" s="6">
        <v>0.34</v>
      </c>
      <c r="Q2003" s="11">
        <v>2.2999999999999998</v>
      </c>
      <c r="R2003" s="11"/>
      <c r="S2003" s="11"/>
      <c r="T2003" s="11"/>
      <c r="U2003" s="11">
        <f t="shared" si="600"/>
        <v>2.2999999999999998</v>
      </c>
      <c r="W2003">
        <v>2.5</v>
      </c>
      <c r="X2003" s="1" t="s">
        <v>30</v>
      </c>
    </row>
    <row r="2004" spans="1:24" x14ac:dyDescent="0.25">
      <c r="A2004" s="1" t="str">
        <f t="shared" si="596"/>
        <v>卡卡杜-凤凰仓</v>
      </c>
      <c r="B2004" s="1" t="str">
        <f>"CK20241028230"</f>
        <v>CK20241028230</v>
      </c>
      <c r="C2004" s="1" t="str">
        <f>"DD2024102819634"</f>
        <v>DD2024102819634</v>
      </c>
      <c r="D2004" s="1" t="str">
        <f>"CK202410289321"</f>
        <v>CK202410289321</v>
      </c>
      <c r="E2004" s="1" t="str">
        <f>"3723604825821547520"</f>
        <v>3723604825821547520</v>
      </c>
      <c r="F2004" s="1" t="str">
        <f t="shared" si="597"/>
        <v>花都四部-凤凰仓</v>
      </c>
      <c r="G2004" s="1" t="str">
        <f t="shared" si="603"/>
        <v>卡卡杜企业店（视频号）</v>
      </c>
      <c r="H2004" s="1" t="str">
        <f t="shared" si="598"/>
        <v>正常订单</v>
      </c>
      <c r="I2004" s="1" t="str">
        <f t="shared" si="599"/>
        <v>已发货</v>
      </c>
      <c r="J2004" s="1" t="str">
        <f t="shared" si="586"/>
        <v>3</v>
      </c>
      <c r="K2004" s="1">
        <v>3</v>
      </c>
      <c r="L2004" s="1" t="s">
        <v>52</v>
      </c>
      <c r="M2004" s="1" t="str">
        <f>"甘肃省 兰州市 安宁区 "</f>
        <v xml:space="preserve">甘肃省 兰州市 安宁区 </v>
      </c>
      <c r="N2004" s="1" t="str">
        <f t="shared" si="604"/>
        <v>凡华云仓-城南圆通-微信视频号</v>
      </c>
      <c r="O2004" s="5" t="s">
        <v>2040</v>
      </c>
      <c r="P2004" s="6">
        <v>0.34</v>
      </c>
      <c r="Q2004" s="11">
        <v>2.2999999999999998</v>
      </c>
      <c r="R2004" s="11"/>
      <c r="S2004" s="11"/>
      <c r="T2004" s="11"/>
      <c r="U2004" s="11">
        <f t="shared" si="600"/>
        <v>2.2999999999999998</v>
      </c>
      <c r="W2004">
        <v>2.5</v>
      </c>
      <c r="X2004" s="1" t="s">
        <v>52</v>
      </c>
    </row>
    <row r="2005" spans="1:24" x14ac:dyDescent="0.25">
      <c r="A2005" s="1" t="str">
        <f t="shared" si="596"/>
        <v>卡卡杜-凤凰仓</v>
      </c>
      <c r="B2005" s="1" t="str">
        <f>"CK20241028227"</f>
        <v>CK20241028227</v>
      </c>
      <c r="C2005" s="1" t="str">
        <f>"DD2024102819633"</f>
        <v>DD2024102819633</v>
      </c>
      <c r="D2005" s="1" t="str">
        <f>"CK202410289320"</f>
        <v>CK202410289320</v>
      </c>
      <c r="E2005" s="1" t="str">
        <f>"3723604850787617792"</f>
        <v>3723604850787617792</v>
      </c>
      <c r="F2005" s="1" t="str">
        <f t="shared" si="597"/>
        <v>花都四部-凤凰仓</v>
      </c>
      <c r="G2005" s="1" t="str">
        <f t="shared" si="603"/>
        <v>卡卡杜企业店（视频号）</v>
      </c>
      <c r="H2005" s="1" t="str">
        <f t="shared" si="598"/>
        <v>正常订单</v>
      </c>
      <c r="I2005" s="1" t="str">
        <f t="shared" si="599"/>
        <v>已发货</v>
      </c>
      <c r="J2005" s="1" t="str">
        <f t="shared" si="586"/>
        <v>3</v>
      </c>
      <c r="K2005" s="1">
        <v>3</v>
      </c>
      <c r="L2005" s="1" t="s">
        <v>74</v>
      </c>
      <c r="M2005" s="1" t="str">
        <f>"上海 上海市 浦东新区 "</f>
        <v xml:space="preserve">上海 上海市 浦东新区 </v>
      </c>
      <c r="N2005" s="1" t="str">
        <f t="shared" si="604"/>
        <v>凡华云仓-城南圆通-微信视频号</v>
      </c>
      <c r="O2005" s="5" t="s">
        <v>2041</v>
      </c>
      <c r="P2005" s="6">
        <v>0.34</v>
      </c>
      <c r="Q2005" s="11">
        <v>2.2999999999999998</v>
      </c>
      <c r="R2005" s="11"/>
      <c r="S2005" s="11"/>
      <c r="T2005" s="11"/>
      <c r="U2005" s="11">
        <f t="shared" si="600"/>
        <v>2.2999999999999998</v>
      </c>
      <c r="W2005">
        <v>2.5</v>
      </c>
      <c r="X2005" s="1" t="s">
        <v>74</v>
      </c>
    </row>
    <row r="2006" spans="1:24" x14ac:dyDescent="0.25">
      <c r="A2006" s="1" t="str">
        <f t="shared" si="596"/>
        <v>卡卡杜-凤凰仓</v>
      </c>
      <c r="B2006" s="1" t="str">
        <f>"CK20241028226"</f>
        <v>CK20241028226</v>
      </c>
      <c r="C2006" s="1" t="str">
        <f>"DD2024102819632"</f>
        <v>DD2024102819632</v>
      </c>
      <c r="D2006" s="1" t="str">
        <f>"CK202410289319"</f>
        <v>CK202410289319</v>
      </c>
      <c r="E2006" s="1" t="str">
        <f>"3723604857895653377"</f>
        <v>3723604857895653377</v>
      </c>
      <c r="F2006" s="1" t="str">
        <f t="shared" si="597"/>
        <v>花都四部-凤凰仓</v>
      </c>
      <c r="G2006" s="1" t="str">
        <f t="shared" si="603"/>
        <v>卡卡杜企业店（视频号）</v>
      </c>
      <c r="H2006" s="1" t="str">
        <f t="shared" si="598"/>
        <v>正常订单</v>
      </c>
      <c r="I2006" s="1" t="str">
        <f t="shared" si="599"/>
        <v>已发货</v>
      </c>
      <c r="J2006" s="1" t="str">
        <f t="shared" si="586"/>
        <v>3</v>
      </c>
      <c r="K2006" s="1">
        <v>3</v>
      </c>
      <c r="L2006" s="1" t="s">
        <v>54</v>
      </c>
      <c r="M2006" s="1" t="str">
        <f>"黑龙江省 哈尔滨市 香坊区 "</f>
        <v xml:space="preserve">黑龙江省 哈尔滨市 香坊区 </v>
      </c>
      <c r="N2006" s="1" t="str">
        <f t="shared" si="604"/>
        <v>凡华云仓-城南圆通-微信视频号</v>
      </c>
      <c r="O2006" s="5" t="s">
        <v>2042</v>
      </c>
      <c r="P2006" s="6">
        <v>0.34</v>
      </c>
      <c r="Q2006" s="11">
        <v>2.2999999999999998</v>
      </c>
      <c r="R2006" s="11"/>
      <c r="S2006" s="11"/>
      <c r="T2006" s="11"/>
      <c r="U2006" s="11">
        <f t="shared" si="600"/>
        <v>2.2999999999999998</v>
      </c>
      <c r="W2006">
        <v>2.5</v>
      </c>
      <c r="X2006" s="1" t="s">
        <v>54</v>
      </c>
    </row>
    <row r="2007" spans="1:24" x14ac:dyDescent="0.25">
      <c r="A2007" s="1" t="str">
        <f t="shared" si="596"/>
        <v>卡卡杜-凤凰仓</v>
      </c>
      <c r="B2007" s="1" t="str">
        <f>"CK20241028225"</f>
        <v>CK20241028225</v>
      </c>
      <c r="C2007" s="1" t="str">
        <f>"DD2024102819631"</f>
        <v>DD2024102819631</v>
      </c>
      <c r="D2007" s="1" t="str">
        <f>"CK202410289318"</f>
        <v>CK202410289318</v>
      </c>
      <c r="E2007" s="1" t="str">
        <f>"3723604862324052992"</f>
        <v>3723604862324052992</v>
      </c>
      <c r="F2007" s="1" t="str">
        <f t="shared" si="597"/>
        <v>花都四部-凤凰仓</v>
      </c>
      <c r="G2007" s="1" t="str">
        <f t="shared" si="603"/>
        <v>卡卡杜企业店（视频号）</v>
      </c>
      <c r="H2007" s="1" t="str">
        <f t="shared" si="598"/>
        <v>正常订单</v>
      </c>
      <c r="I2007" s="1" t="str">
        <f t="shared" si="599"/>
        <v>已发货</v>
      </c>
      <c r="J2007" s="1" t="str">
        <f t="shared" si="586"/>
        <v>3</v>
      </c>
      <c r="K2007" s="1">
        <v>3</v>
      </c>
      <c r="L2007" s="1" t="s">
        <v>161</v>
      </c>
      <c r="M2007" s="1" t="str">
        <f>"四川省 成都市 郫都区 "</f>
        <v xml:space="preserve">四川省 成都市 郫都区 </v>
      </c>
      <c r="N2007" s="1" t="str">
        <f t="shared" si="604"/>
        <v>凡华云仓-城南圆通-微信视频号</v>
      </c>
      <c r="O2007" s="5" t="s">
        <v>2043</v>
      </c>
      <c r="P2007" s="6">
        <v>0.34</v>
      </c>
      <c r="Q2007" s="11">
        <v>2.2999999999999998</v>
      </c>
      <c r="R2007" s="11"/>
      <c r="S2007" s="11"/>
      <c r="T2007" s="11"/>
      <c r="U2007" s="11">
        <f t="shared" si="600"/>
        <v>2.2999999999999998</v>
      </c>
      <c r="W2007">
        <v>2.5</v>
      </c>
      <c r="X2007" s="1" t="s">
        <v>161</v>
      </c>
    </row>
    <row r="2008" spans="1:24" x14ac:dyDescent="0.25">
      <c r="A2008" s="1" t="str">
        <f t="shared" si="596"/>
        <v>卡卡杜-凤凰仓</v>
      </c>
      <c r="B2008" s="1" t="str">
        <f>"CK20241028222"</f>
        <v>CK20241028222</v>
      </c>
      <c r="C2008" s="1" t="str">
        <f>"DD2024102819630"</f>
        <v>DD2024102819630</v>
      </c>
      <c r="D2008" s="1" t="str">
        <f>"CK202410289317"</f>
        <v>CK202410289317</v>
      </c>
      <c r="E2008" s="1" t="str">
        <f>"6935543977718715979"</f>
        <v>6935543977718715979</v>
      </c>
      <c r="F2008" s="1" t="str">
        <f t="shared" si="597"/>
        <v>花都四部-凤凰仓</v>
      </c>
      <c r="G2008" s="1" t="str">
        <f>"卡卡杜个人护理店（抖店）"</f>
        <v>卡卡杜个人护理店（抖店）</v>
      </c>
      <c r="H2008" s="1" t="str">
        <f t="shared" si="598"/>
        <v>正常订单</v>
      </c>
      <c r="I2008" s="1" t="str">
        <f t="shared" si="599"/>
        <v>已发货</v>
      </c>
      <c r="J2008" s="1" t="str">
        <f t="shared" si="586"/>
        <v>3</v>
      </c>
      <c r="K2008" s="1">
        <v>2</v>
      </c>
      <c r="L2008" s="1" t="s">
        <v>20</v>
      </c>
      <c r="M2008" s="1" t="str">
        <f>"浙江省 杭州市 上城区 丁兰街道"</f>
        <v>浙江省 杭州市 上城区 丁兰街道</v>
      </c>
      <c r="N2008" s="1" t="str">
        <f>"凡华云仓-城南圆通-抖音"</f>
        <v>凡华云仓-城南圆通-抖音</v>
      </c>
      <c r="O2008" s="5" t="s">
        <v>2044</v>
      </c>
      <c r="P2008" s="6">
        <v>0.35</v>
      </c>
      <c r="Q2008" s="11">
        <v>2.2999999999999998</v>
      </c>
      <c r="R2008" s="11"/>
      <c r="S2008" s="11"/>
      <c r="T2008" s="11"/>
      <c r="U2008" s="11">
        <f t="shared" si="600"/>
        <v>2.2999999999999998</v>
      </c>
      <c r="W2008">
        <v>2.5</v>
      </c>
      <c r="X2008" s="1" t="s">
        <v>20</v>
      </c>
    </row>
    <row r="2009" spans="1:24" x14ac:dyDescent="0.25">
      <c r="A2009" s="1" t="str">
        <f t="shared" si="596"/>
        <v>卡卡杜-凤凰仓</v>
      </c>
      <c r="B2009" s="1" t="str">
        <f>"CK20241028221"</f>
        <v>CK20241028221</v>
      </c>
      <c r="C2009" s="1" t="str">
        <f>"DD2024102819629"</f>
        <v>DD2024102819629</v>
      </c>
      <c r="D2009" s="1" t="str">
        <f>"CK202410289316"</f>
        <v>CK202410289316</v>
      </c>
      <c r="E2009" s="1" t="str">
        <f>"3723604931014693888"</f>
        <v>3723604931014693888</v>
      </c>
      <c r="F2009" s="1" t="str">
        <f t="shared" si="597"/>
        <v>花都四部-凤凰仓</v>
      </c>
      <c r="G2009" s="1" t="str">
        <f t="shared" ref="G2009:G2011" si="605">"卡卡杜企业店（视频号）"</f>
        <v>卡卡杜企业店（视频号）</v>
      </c>
      <c r="H2009" s="1" t="str">
        <f t="shared" si="598"/>
        <v>正常订单</v>
      </c>
      <c r="I2009" s="1" t="str">
        <f t="shared" si="599"/>
        <v>已发货</v>
      </c>
      <c r="J2009" s="1" t="str">
        <f t="shared" si="586"/>
        <v>3</v>
      </c>
      <c r="K2009" s="1">
        <v>3</v>
      </c>
      <c r="L2009" s="1" t="s">
        <v>161</v>
      </c>
      <c r="M2009" s="1" t="str">
        <f>"四川省 成都市 新都区 "</f>
        <v xml:space="preserve">四川省 成都市 新都区 </v>
      </c>
      <c r="N2009" s="1" t="str">
        <f t="shared" ref="N2009:N2011" si="606">"凡华云仓-城南圆通-微信视频号"</f>
        <v>凡华云仓-城南圆通-微信视频号</v>
      </c>
      <c r="O2009" s="5" t="s">
        <v>2045</v>
      </c>
      <c r="P2009" s="6">
        <v>0.34</v>
      </c>
      <c r="Q2009" s="11">
        <v>2.2999999999999998</v>
      </c>
      <c r="R2009" s="11"/>
      <c r="S2009" s="11"/>
      <c r="T2009" s="11"/>
      <c r="U2009" s="11">
        <f t="shared" si="600"/>
        <v>2.2999999999999998</v>
      </c>
      <c r="W2009">
        <v>2.5</v>
      </c>
      <c r="X2009" s="1" t="s">
        <v>161</v>
      </c>
    </row>
    <row r="2010" spans="1:24" x14ac:dyDescent="0.25">
      <c r="A2010" s="1" t="str">
        <f t="shared" si="596"/>
        <v>卡卡杜-凤凰仓</v>
      </c>
      <c r="B2010" s="1" t="str">
        <f>"CK20241028224"</f>
        <v>CK20241028224</v>
      </c>
      <c r="C2010" s="1" t="str">
        <f>"DD2024102819628"</f>
        <v>DD2024102819628</v>
      </c>
      <c r="D2010" s="1" t="str">
        <f>"CK202410289315"</f>
        <v>CK202410289315</v>
      </c>
      <c r="E2010" s="1" t="str">
        <f>"3723604874084881409"</f>
        <v>3723604874084881409</v>
      </c>
      <c r="F2010" s="1" t="str">
        <f t="shared" si="597"/>
        <v>花都四部-凤凰仓</v>
      </c>
      <c r="G2010" s="1" t="str">
        <f t="shared" si="605"/>
        <v>卡卡杜企业店（视频号）</v>
      </c>
      <c r="H2010" s="1" t="str">
        <f t="shared" si="598"/>
        <v>正常订单</v>
      </c>
      <c r="I2010" s="1" t="str">
        <f t="shared" si="599"/>
        <v>已发货</v>
      </c>
      <c r="J2010" s="1" t="str">
        <f t="shared" si="586"/>
        <v>3</v>
      </c>
      <c r="K2010" s="1">
        <v>3</v>
      </c>
      <c r="L2010" s="1" t="s">
        <v>161</v>
      </c>
      <c r="M2010" s="1" t="str">
        <f>"四川省 成都市 武侯区 "</f>
        <v xml:space="preserve">四川省 成都市 武侯区 </v>
      </c>
      <c r="N2010" s="1" t="str">
        <f t="shared" si="606"/>
        <v>凡华云仓-城南圆通-微信视频号</v>
      </c>
      <c r="O2010" s="5" t="s">
        <v>2046</v>
      </c>
      <c r="P2010" s="6">
        <v>0.34</v>
      </c>
      <c r="Q2010" s="11">
        <v>2.2999999999999998</v>
      </c>
      <c r="R2010" s="11"/>
      <c r="S2010" s="11"/>
      <c r="T2010" s="11"/>
      <c r="U2010" s="11">
        <f t="shared" si="600"/>
        <v>2.2999999999999998</v>
      </c>
      <c r="W2010">
        <v>2.5</v>
      </c>
      <c r="X2010" s="1" t="s">
        <v>161</v>
      </c>
    </row>
    <row r="2011" spans="1:24" x14ac:dyDescent="0.25">
      <c r="A2011" s="1" t="str">
        <f t="shared" si="596"/>
        <v>卡卡杜-凤凰仓</v>
      </c>
      <c r="B2011" s="1" t="str">
        <f>"CK20241028223"</f>
        <v>CK20241028223</v>
      </c>
      <c r="C2011" s="1" t="str">
        <f>"DD2024102819627"</f>
        <v>DD2024102819627</v>
      </c>
      <c r="D2011" s="1" t="str">
        <f>"CK202410289314"</f>
        <v>CK202410289314</v>
      </c>
      <c r="E2011" s="1" t="str">
        <f>"3723604893014823936"</f>
        <v>3723604893014823936</v>
      </c>
      <c r="F2011" s="1" t="str">
        <f t="shared" si="597"/>
        <v>花都四部-凤凰仓</v>
      </c>
      <c r="G2011" s="1" t="str">
        <f t="shared" si="605"/>
        <v>卡卡杜企业店（视频号）</v>
      </c>
      <c r="H2011" s="1" t="str">
        <f t="shared" si="598"/>
        <v>正常订单</v>
      </c>
      <c r="I2011" s="1" t="str">
        <f t="shared" si="599"/>
        <v>已发货</v>
      </c>
      <c r="J2011" s="1" t="str">
        <f t="shared" si="586"/>
        <v>3</v>
      </c>
      <c r="K2011" s="1">
        <v>3</v>
      </c>
      <c r="L2011" s="1" t="s">
        <v>18</v>
      </c>
      <c r="M2011" s="1" t="str">
        <f>"广东省 广州市 番禺区 "</f>
        <v xml:space="preserve">广东省 广州市 番禺区 </v>
      </c>
      <c r="N2011" s="1" t="str">
        <f t="shared" si="606"/>
        <v>凡华云仓-城南圆通-微信视频号</v>
      </c>
      <c r="O2011" s="5" t="s">
        <v>2047</v>
      </c>
      <c r="P2011" s="6">
        <v>0.34</v>
      </c>
      <c r="Q2011" s="11">
        <v>2.2999999999999998</v>
      </c>
      <c r="R2011" s="11"/>
      <c r="S2011" s="11"/>
      <c r="T2011" s="11"/>
      <c r="U2011" s="11">
        <f t="shared" si="600"/>
        <v>2.2999999999999998</v>
      </c>
      <c r="W2011">
        <v>2.5</v>
      </c>
      <c r="X2011" s="1" t="s">
        <v>18</v>
      </c>
    </row>
    <row r="2012" spans="1:24" x14ac:dyDescent="0.25">
      <c r="A2012" s="1" t="str">
        <f t="shared" si="596"/>
        <v>卡卡杜-凤凰仓</v>
      </c>
      <c r="B2012" s="1" t="str">
        <f>"CK20241028220"</f>
        <v>CK20241028220</v>
      </c>
      <c r="C2012" s="1" t="str">
        <f>"DD2024102819626"</f>
        <v>DD2024102819626</v>
      </c>
      <c r="D2012" s="1" t="str">
        <f>"CK202410289313"</f>
        <v>CK202410289313</v>
      </c>
      <c r="E2012" s="1" t="str">
        <f>"6935552952533128768"</f>
        <v>6935552952533128768</v>
      </c>
      <c r="F2012" s="1" t="str">
        <f t="shared" si="597"/>
        <v>花都四部-凤凰仓</v>
      </c>
      <c r="G2012" s="1" t="str">
        <f>"卡卡杜个人护理店（抖店）"</f>
        <v>卡卡杜个人护理店（抖店）</v>
      </c>
      <c r="H2012" s="1" t="str">
        <f t="shared" si="598"/>
        <v>正常订单</v>
      </c>
      <c r="I2012" s="1" t="str">
        <f t="shared" si="599"/>
        <v>已发货</v>
      </c>
      <c r="J2012" s="1" t="str">
        <f t="shared" si="586"/>
        <v>3</v>
      </c>
      <c r="K2012" s="1">
        <v>2</v>
      </c>
      <c r="L2012" s="1" t="s">
        <v>30</v>
      </c>
      <c r="M2012" s="1" t="str">
        <f>"山东省 青岛市 胶州市 中云街道"</f>
        <v>山东省 青岛市 胶州市 中云街道</v>
      </c>
      <c r="N2012" s="1" t="str">
        <f>"凡华云仓-城南圆通-抖音"</f>
        <v>凡华云仓-城南圆通-抖音</v>
      </c>
      <c r="O2012" s="5" t="s">
        <v>2048</v>
      </c>
      <c r="P2012" s="6">
        <v>0.35</v>
      </c>
      <c r="Q2012" s="11">
        <v>2.2999999999999998</v>
      </c>
      <c r="R2012" s="11"/>
      <c r="S2012" s="11"/>
      <c r="T2012" s="11"/>
      <c r="U2012" s="11">
        <f t="shared" si="600"/>
        <v>2.2999999999999998</v>
      </c>
      <c r="W2012">
        <v>2.5</v>
      </c>
      <c r="X2012" s="1" t="s">
        <v>30</v>
      </c>
    </row>
    <row r="2013" spans="1:24" x14ac:dyDescent="0.25">
      <c r="A2013" s="1" t="str">
        <f t="shared" si="596"/>
        <v>卡卡杜-凤凰仓</v>
      </c>
      <c r="B2013" s="1" t="str">
        <f>"CK20241028219"</f>
        <v>CK20241028219</v>
      </c>
      <c r="C2013" s="1" t="str">
        <f>"DD2024102819625"</f>
        <v>DD2024102819625</v>
      </c>
      <c r="D2013" s="1" t="str">
        <f>"CK202410289312"</f>
        <v>CK202410289312</v>
      </c>
      <c r="E2013" s="1" t="str">
        <f>"3723605010837541888"</f>
        <v>3723605010837541888</v>
      </c>
      <c r="F2013" s="1" t="str">
        <f t="shared" si="597"/>
        <v>花都四部-凤凰仓</v>
      </c>
      <c r="G2013" s="1" t="str">
        <f t="shared" ref="G2013:G2027" si="607">"卡卡杜企业店（视频号）"</f>
        <v>卡卡杜企业店（视频号）</v>
      </c>
      <c r="H2013" s="1" t="str">
        <f t="shared" si="598"/>
        <v>正常订单</v>
      </c>
      <c r="I2013" s="1" t="str">
        <f t="shared" si="599"/>
        <v>已发货</v>
      </c>
      <c r="J2013" s="1" t="str">
        <f t="shared" si="586"/>
        <v>3</v>
      </c>
      <c r="K2013" s="1">
        <v>3</v>
      </c>
      <c r="L2013" s="1" t="s">
        <v>54</v>
      </c>
      <c r="M2013" s="1" t="str">
        <f>"黑龙江省 哈尔滨市 南岗区 "</f>
        <v xml:space="preserve">黑龙江省 哈尔滨市 南岗区 </v>
      </c>
      <c r="N2013" s="1" t="str">
        <f t="shared" ref="N2013:N2027" si="608">"凡华云仓-城南圆通-微信视频号"</f>
        <v>凡华云仓-城南圆通-微信视频号</v>
      </c>
      <c r="O2013" s="5" t="s">
        <v>2049</v>
      </c>
      <c r="P2013" s="6">
        <v>0.34</v>
      </c>
      <c r="Q2013" s="11">
        <v>2.2999999999999998</v>
      </c>
      <c r="R2013" s="11"/>
      <c r="S2013" s="11"/>
      <c r="T2013" s="11"/>
      <c r="U2013" s="11">
        <f t="shared" si="600"/>
        <v>2.2999999999999998</v>
      </c>
      <c r="W2013">
        <v>2.5</v>
      </c>
      <c r="X2013" s="1" t="s">
        <v>54</v>
      </c>
    </row>
    <row r="2014" spans="1:24" x14ac:dyDescent="0.25">
      <c r="A2014" s="1" t="str">
        <f t="shared" si="596"/>
        <v>卡卡杜-凤凰仓</v>
      </c>
      <c r="B2014" s="1" t="str">
        <f>"CK20241028218"</f>
        <v>CK20241028218</v>
      </c>
      <c r="C2014" s="1" t="str">
        <f>"DD2024102819624"</f>
        <v>DD2024102819624</v>
      </c>
      <c r="D2014" s="1" t="str">
        <f>"CK202410289311"</f>
        <v>CK202410289311</v>
      </c>
      <c r="E2014" s="1" t="str">
        <f>"6935539573421511736"</f>
        <v>6935539573421511736</v>
      </c>
      <c r="F2014" s="1" t="str">
        <f t="shared" si="597"/>
        <v>花都四部-凤凰仓</v>
      </c>
      <c r="G2014" s="1" t="str">
        <f>"卡卡杜个人护理店（抖店）"</f>
        <v>卡卡杜个人护理店（抖店）</v>
      </c>
      <c r="H2014" s="1" t="str">
        <f t="shared" si="598"/>
        <v>正常订单</v>
      </c>
      <c r="I2014" s="1" t="str">
        <f t="shared" si="599"/>
        <v>已发货</v>
      </c>
      <c r="J2014" s="1" t="str">
        <f t="shared" si="586"/>
        <v>3</v>
      </c>
      <c r="K2014" s="1">
        <v>2</v>
      </c>
      <c r="L2014" s="1" t="s">
        <v>36</v>
      </c>
      <c r="M2014" s="1" t="str">
        <f>"安徽省 六安市 金寨县 梅山镇"</f>
        <v>安徽省 六安市 金寨县 梅山镇</v>
      </c>
      <c r="N2014" s="1" t="str">
        <f>"凡华云仓-城南圆通-抖音"</f>
        <v>凡华云仓-城南圆通-抖音</v>
      </c>
      <c r="O2014" s="5" t="s">
        <v>2050</v>
      </c>
      <c r="P2014" s="6">
        <v>0.35</v>
      </c>
      <c r="Q2014" s="11">
        <v>2.2999999999999998</v>
      </c>
      <c r="R2014" s="11"/>
      <c r="S2014" s="11"/>
      <c r="T2014" s="11"/>
      <c r="U2014" s="11">
        <f t="shared" si="600"/>
        <v>2.2999999999999998</v>
      </c>
      <c r="W2014">
        <v>2.5</v>
      </c>
      <c r="X2014" s="1" t="s">
        <v>36</v>
      </c>
    </row>
    <row r="2015" spans="1:24" x14ac:dyDescent="0.25">
      <c r="A2015" s="1" t="str">
        <f t="shared" si="596"/>
        <v>卡卡杜-凤凰仓</v>
      </c>
      <c r="B2015" s="1" t="str">
        <f>"CK20241028217"</f>
        <v>CK20241028217</v>
      </c>
      <c r="C2015" s="1" t="str">
        <f>"DD2024102819623"</f>
        <v>DD2024102819623</v>
      </c>
      <c r="D2015" s="1" t="str">
        <f>"CK202410289310"</f>
        <v>CK202410289310</v>
      </c>
      <c r="E2015" s="1" t="str">
        <f>"3723605073560996865"</f>
        <v>3723605073560996865</v>
      </c>
      <c r="F2015" s="1" t="str">
        <f t="shared" si="597"/>
        <v>花都四部-凤凰仓</v>
      </c>
      <c r="G2015" s="1" t="str">
        <f t="shared" si="607"/>
        <v>卡卡杜企业店（视频号）</v>
      </c>
      <c r="H2015" s="1" t="str">
        <f t="shared" si="598"/>
        <v>正常订单</v>
      </c>
      <c r="I2015" s="1" t="str">
        <f t="shared" si="599"/>
        <v>已发货</v>
      </c>
      <c r="J2015" s="1" t="str">
        <f t="shared" si="586"/>
        <v>3</v>
      </c>
      <c r="K2015" s="1">
        <v>2</v>
      </c>
      <c r="L2015" s="1" t="s">
        <v>30</v>
      </c>
      <c r="M2015" s="1" t="str">
        <f>"山东省 潍坊市 坊子区 "</f>
        <v xml:space="preserve">山东省 潍坊市 坊子区 </v>
      </c>
      <c r="N2015" s="1" t="str">
        <f t="shared" si="608"/>
        <v>凡华云仓-城南圆通-微信视频号</v>
      </c>
      <c r="O2015" s="5" t="s">
        <v>2051</v>
      </c>
      <c r="P2015" s="6">
        <v>0.24</v>
      </c>
      <c r="Q2015" s="11">
        <v>2</v>
      </c>
      <c r="R2015" s="11"/>
      <c r="S2015" s="11"/>
      <c r="T2015" s="11"/>
      <c r="U2015" s="11">
        <f t="shared" si="600"/>
        <v>2</v>
      </c>
      <c r="W2015">
        <v>2.2000000000000002</v>
      </c>
      <c r="X2015" s="1" t="s">
        <v>30</v>
      </c>
    </row>
    <row r="2016" spans="1:24" x14ac:dyDescent="0.25">
      <c r="A2016" s="1" t="str">
        <f t="shared" si="596"/>
        <v>卡卡杜-凤凰仓</v>
      </c>
      <c r="B2016" s="1" t="str">
        <f>"CK20241028216"</f>
        <v>CK20241028216</v>
      </c>
      <c r="C2016" s="1" t="str">
        <f>"DD2024102819622"</f>
        <v>DD2024102819622</v>
      </c>
      <c r="D2016" s="1" t="str">
        <f>"CK202410289309"</f>
        <v>CK202410289309</v>
      </c>
      <c r="E2016" s="1" t="str">
        <f>"3723605077267449088"</f>
        <v>3723605077267449088</v>
      </c>
      <c r="F2016" s="1" t="str">
        <f t="shared" si="597"/>
        <v>花都四部-凤凰仓</v>
      </c>
      <c r="G2016" s="1" t="str">
        <f t="shared" si="607"/>
        <v>卡卡杜企业店（视频号）</v>
      </c>
      <c r="H2016" s="1" t="str">
        <f t="shared" si="598"/>
        <v>正常订单</v>
      </c>
      <c r="I2016" s="1" t="str">
        <f t="shared" si="599"/>
        <v>已发货</v>
      </c>
      <c r="J2016" s="1" t="str">
        <f t="shared" si="586"/>
        <v>3</v>
      </c>
      <c r="K2016" s="1">
        <v>2</v>
      </c>
      <c r="L2016" s="1" t="s">
        <v>13</v>
      </c>
      <c r="M2016" s="1" t="str">
        <f>"江苏省 无锡市 惠山区 "</f>
        <v xml:space="preserve">江苏省 无锡市 惠山区 </v>
      </c>
      <c r="N2016" s="1" t="str">
        <f t="shared" si="608"/>
        <v>凡华云仓-城南圆通-微信视频号</v>
      </c>
      <c r="O2016" s="5" t="s">
        <v>2052</v>
      </c>
      <c r="P2016" s="6">
        <v>0.24</v>
      </c>
      <c r="Q2016" s="11">
        <v>2</v>
      </c>
      <c r="R2016" s="11"/>
      <c r="S2016" s="11"/>
      <c r="T2016" s="11"/>
      <c r="U2016" s="11">
        <f t="shared" si="600"/>
        <v>2</v>
      </c>
      <c r="W2016">
        <v>2.2000000000000002</v>
      </c>
      <c r="X2016" s="1" t="s">
        <v>13</v>
      </c>
    </row>
    <row r="2017" spans="1:24" x14ac:dyDescent="0.25">
      <c r="A2017" s="1" t="str">
        <f t="shared" si="596"/>
        <v>卡卡杜-凤凰仓</v>
      </c>
      <c r="B2017" s="1" t="str">
        <f>"CK20241028215"</f>
        <v>CK20241028215</v>
      </c>
      <c r="C2017" s="1" t="str">
        <f>"DD2024102819621"</f>
        <v>DD2024102819621</v>
      </c>
      <c r="D2017" s="1" t="str">
        <f>"CK202410289308"</f>
        <v>CK202410289308</v>
      </c>
      <c r="E2017" s="1" t="str">
        <f>"3723605078697970688"</f>
        <v>3723605078697970688</v>
      </c>
      <c r="F2017" s="1" t="str">
        <f t="shared" si="597"/>
        <v>花都四部-凤凰仓</v>
      </c>
      <c r="G2017" s="1" t="str">
        <f t="shared" si="607"/>
        <v>卡卡杜企业店（视频号）</v>
      </c>
      <c r="H2017" s="1" t="str">
        <f t="shared" si="598"/>
        <v>正常订单</v>
      </c>
      <c r="I2017" s="1" t="str">
        <f t="shared" si="599"/>
        <v>已发货</v>
      </c>
      <c r="J2017" s="1" t="str">
        <f t="shared" si="586"/>
        <v>3</v>
      </c>
      <c r="K2017" s="1">
        <v>2</v>
      </c>
      <c r="L2017" s="1" t="s">
        <v>92</v>
      </c>
      <c r="M2017" s="1" t="str">
        <f>"辽宁省 葫芦岛市 龙港区 "</f>
        <v xml:space="preserve">辽宁省 葫芦岛市 龙港区 </v>
      </c>
      <c r="N2017" s="1" t="str">
        <f t="shared" si="608"/>
        <v>凡华云仓-城南圆通-微信视频号</v>
      </c>
      <c r="O2017" s="5" t="s">
        <v>2053</v>
      </c>
      <c r="P2017" s="6">
        <v>0.24</v>
      </c>
      <c r="Q2017" s="11">
        <v>2</v>
      </c>
      <c r="R2017" s="11"/>
      <c r="S2017" s="11"/>
      <c r="T2017" s="11"/>
      <c r="U2017" s="11">
        <f t="shared" si="600"/>
        <v>2</v>
      </c>
      <c r="W2017">
        <v>2.2000000000000002</v>
      </c>
      <c r="X2017" s="1" t="s">
        <v>92</v>
      </c>
    </row>
    <row r="2018" spans="1:24" x14ac:dyDescent="0.25">
      <c r="A2018" s="1" t="str">
        <f t="shared" si="596"/>
        <v>卡卡杜-凤凰仓</v>
      </c>
      <c r="B2018" s="1" t="str">
        <f>"CK20241028214"</f>
        <v>CK20241028214</v>
      </c>
      <c r="C2018" s="1" t="str">
        <f>"DD2024102819620"</f>
        <v>DD2024102819620</v>
      </c>
      <c r="D2018" s="1" t="str">
        <f>"CK202410289307"</f>
        <v>CK202410289307</v>
      </c>
      <c r="E2018" s="1" t="str">
        <f>"3723605078722612224"</f>
        <v>3723605078722612224</v>
      </c>
      <c r="F2018" s="1" t="str">
        <f t="shared" si="597"/>
        <v>花都四部-凤凰仓</v>
      </c>
      <c r="G2018" s="1" t="str">
        <f t="shared" si="607"/>
        <v>卡卡杜企业店（视频号）</v>
      </c>
      <c r="H2018" s="1" t="str">
        <f t="shared" si="598"/>
        <v>正常订单</v>
      </c>
      <c r="I2018" s="1" t="str">
        <f t="shared" si="599"/>
        <v>已发货</v>
      </c>
      <c r="J2018" s="1" t="str">
        <f t="shared" si="586"/>
        <v>3</v>
      </c>
      <c r="K2018" s="1">
        <v>2</v>
      </c>
      <c r="L2018" s="1" t="s">
        <v>109</v>
      </c>
      <c r="M2018" s="1" t="str">
        <f>"山西省 晋中市 灵石县 "</f>
        <v xml:space="preserve">山西省 晋中市 灵石县 </v>
      </c>
      <c r="N2018" s="1" t="str">
        <f t="shared" si="608"/>
        <v>凡华云仓-城南圆通-微信视频号</v>
      </c>
      <c r="O2018" s="5" t="s">
        <v>2054</v>
      </c>
      <c r="P2018" s="6">
        <v>0.24</v>
      </c>
      <c r="Q2018" s="11">
        <v>2</v>
      </c>
      <c r="R2018" s="11"/>
      <c r="S2018" s="11"/>
      <c r="T2018" s="11"/>
      <c r="U2018" s="11">
        <f t="shared" si="600"/>
        <v>2</v>
      </c>
      <c r="W2018">
        <v>2.2000000000000002</v>
      </c>
      <c r="X2018" s="1" t="s">
        <v>109</v>
      </c>
    </row>
    <row r="2019" spans="1:24" x14ac:dyDescent="0.25">
      <c r="A2019" s="1" t="str">
        <f t="shared" si="596"/>
        <v>卡卡杜-凤凰仓</v>
      </c>
      <c r="B2019" s="1" t="str">
        <f>"CK20241028213"</f>
        <v>CK20241028213</v>
      </c>
      <c r="C2019" s="1" t="str">
        <f>"DD2024102819619"</f>
        <v>DD2024102819619</v>
      </c>
      <c r="D2019" s="1" t="str">
        <f>"CK202410289306"</f>
        <v>CK202410289306</v>
      </c>
      <c r="E2019" s="1" t="str">
        <f>"3723605080300193025"</f>
        <v>3723605080300193025</v>
      </c>
      <c r="F2019" s="1" t="str">
        <f t="shared" si="597"/>
        <v>花都四部-凤凰仓</v>
      </c>
      <c r="G2019" s="1" t="str">
        <f t="shared" si="607"/>
        <v>卡卡杜企业店（视频号）</v>
      </c>
      <c r="H2019" s="1" t="str">
        <f t="shared" si="598"/>
        <v>正常订单</v>
      </c>
      <c r="I2019" s="1" t="str">
        <f t="shared" si="599"/>
        <v>已发货</v>
      </c>
      <c r="J2019" s="1" t="str">
        <f t="shared" si="586"/>
        <v>3</v>
      </c>
      <c r="K2019" s="1">
        <v>2</v>
      </c>
      <c r="L2019" s="1" t="s">
        <v>105</v>
      </c>
      <c r="M2019" s="1" t="str">
        <f>"北京 北京市 朝阳区 "</f>
        <v xml:space="preserve">北京 北京市 朝阳区 </v>
      </c>
      <c r="N2019" s="1" t="str">
        <f t="shared" si="608"/>
        <v>凡华云仓-城南圆通-微信视频号</v>
      </c>
      <c r="O2019" s="5" t="s">
        <v>2055</v>
      </c>
      <c r="P2019" s="6">
        <v>0.24</v>
      </c>
      <c r="Q2019" s="11">
        <v>2</v>
      </c>
      <c r="R2019" s="11"/>
      <c r="S2019" s="11"/>
      <c r="T2019" s="11"/>
      <c r="U2019" s="11">
        <f t="shared" si="600"/>
        <v>2</v>
      </c>
      <c r="W2019">
        <v>2.2000000000000002</v>
      </c>
      <c r="X2019" s="1" t="s">
        <v>105</v>
      </c>
    </row>
    <row r="2020" spans="1:24" x14ac:dyDescent="0.25">
      <c r="A2020" s="1" t="str">
        <f t="shared" si="596"/>
        <v>卡卡杜-凤凰仓</v>
      </c>
      <c r="B2020" s="1" t="str">
        <f>"CK20241028212"</f>
        <v>CK20241028212</v>
      </c>
      <c r="C2020" s="1" t="str">
        <f>"DD2024102819618"</f>
        <v>DD2024102819618</v>
      </c>
      <c r="D2020" s="1" t="str">
        <f>"CK202410289305"</f>
        <v>CK202410289305</v>
      </c>
      <c r="E2020" s="1" t="str">
        <f>"3723605084944860672"</f>
        <v>3723605084944860672</v>
      </c>
      <c r="F2020" s="1" t="str">
        <f t="shared" si="597"/>
        <v>花都四部-凤凰仓</v>
      </c>
      <c r="G2020" s="1" t="str">
        <f t="shared" si="607"/>
        <v>卡卡杜企业店（视频号）</v>
      </c>
      <c r="H2020" s="1" t="str">
        <f t="shared" si="598"/>
        <v>正常订单</v>
      </c>
      <c r="I2020" s="1" t="str">
        <f t="shared" si="599"/>
        <v>已发货</v>
      </c>
      <c r="J2020" s="1" t="str">
        <f t="shared" si="586"/>
        <v>3</v>
      </c>
      <c r="K2020" s="1">
        <v>2</v>
      </c>
      <c r="L2020" s="1" t="s">
        <v>80</v>
      </c>
      <c r="M2020" s="1" t="str">
        <f>"河南省 郑州市 金水区 "</f>
        <v xml:space="preserve">河南省 郑州市 金水区 </v>
      </c>
      <c r="N2020" s="1" t="str">
        <f t="shared" si="608"/>
        <v>凡华云仓-城南圆通-微信视频号</v>
      </c>
      <c r="O2020" s="5" t="s">
        <v>2056</v>
      </c>
      <c r="P2020" s="6">
        <v>0.24</v>
      </c>
      <c r="Q2020" s="11">
        <v>2</v>
      </c>
      <c r="R2020" s="11"/>
      <c r="S2020" s="11"/>
      <c r="T2020" s="11"/>
      <c r="U2020" s="11">
        <f t="shared" si="600"/>
        <v>2</v>
      </c>
      <c r="W2020">
        <v>2.2000000000000002</v>
      </c>
      <c r="X2020" s="1" t="s">
        <v>80</v>
      </c>
    </row>
    <row r="2021" spans="1:24" x14ac:dyDescent="0.25">
      <c r="A2021" s="1" t="str">
        <f t="shared" si="596"/>
        <v>卡卡杜-凤凰仓</v>
      </c>
      <c r="B2021" s="1" t="str">
        <f>"CK20241028211"</f>
        <v>CK20241028211</v>
      </c>
      <c r="C2021" s="1" t="str">
        <f>"DD2024102819617"</f>
        <v>DD2024102819617</v>
      </c>
      <c r="D2021" s="1" t="str">
        <f>"CK202410289304"</f>
        <v>CK202410289304</v>
      </c>
      <c r="E2021" s="1" t="str">
        <f>"3723605085108440065"</f>
        <v>3723605085108440065</v>
      </c>
      <c r="F2021" s="1" t="str">
        <f t="shared" si="597"/>
        <v>花都四部-凤凰仓</v>
      </c>
      <c r="G2021" s="1" t="str">
        <f t="shared" si="607"/>
        <v>卡卡杜企业店（视频号）</v>
      </c>
      <c r="H2021" s="1" t="str">
        <f t="shared" si="598"/>
        <v>正常订单</v>
      </c>
      <c r="I2021" s="1" t="str">
        <f t="shared" si="599"/>
        <v>已发货</v>
      </c>
      <c r="J2021" s="1" t="str">
        <f t="shared" si="586"/>
        <v>3</v>
      </c>
      <c r="K2021" s="1">
        <v>2</v>
      </c>
      <c r="L2021" s="1" t="s">
        <v>161</v>
      </c>
      <c r="M2021" s="1" t="str">
        <f>"四川省 成都市 双流区 "</f>
        <v xml:space="preserve">四川省 成都市 双流区 </v>
      </c>
      <c r="N2021" s="1" t="str">
        <f t="shared" si="608"/>
        <v>凡华云仓-城南圆通-微信视频号</v>
      </c>
      <c r="O2021" s="5" t="s">
        <v>2057</v>
      </c>
      <c r="P2021" s="6">
        <v>0.24</v>
      </c>
      <c r="Q2021" s="11">
        <v>2</v>
      </c>
      <c r="R2021" s="11"/>
      <c r="S2021" s="11"/>
      <c r="T2021" s="11"/>
      <c r="U2021" s="11">
        <f t="shared" si="600"/>
        <v>2</v>
      </c>
      <c r="W2021">
        <v>2.2000000000000002</v>
      </c>
      <c r="X2021" s="1" t="s">
        <v>161</v>
      </c>
    </row>
    <row r="2022" spans="1:24" x14ac:dyDescent="0.25">
      <c r="A2022" s="1" t="str">
        <f t="shared" si="596"/>
        <v>卡卡杜-凤凰仓</v>
      </c>
      <c r="B2022" s="1" t="str">
        <f>"CK20241028210"</f>
        <v>CK20241028210</v>
      </c>
      <c r="C2022" s="1" t="str">
        <f>"DD2024102819616"</f>
        <v>DD2024102819616</v>
      </c>
      <c r="D2022" s="1" t="str">
        <f>"CK202410289303"</f>
        <v>CK202410289303</v>
      </c>
      <c r="E2022" s="1" t="str">
        <f>"3723605086697558016"</f>
        <v>3723605086697558016</v>
      </c>
      <c r="F2022" s="1" t="str">
        <f t="shared" si="597"/>
        <v>花都四部-凤凰仓</v>
      </c>
      <c r="G2022" s="1" t="str">
        <f t="shared" si="607"/>
        <v>卡卡杜企业店（视频号）</v>
      </c>
      <c r="H2022" s="1" t="str">
        <f t="shared" si="598"/>
        <v>正常订单</v>
      </c>
      <c r="I2022" s="1" t="str">
        <f t="shared" si="599"/>
        <v>已发货</v>
      </c>
      <c r="J2022" s="1" t="str">
        <f t="shared" si="586"/>
        <v>3</v>
      </c>
      <c r="K2022" s="1">
        <v>2</v>
      </c>
      <c r="L2022" s="1" t="s">
        <v>105</v>
      </c>
      <c r="M2022" s="1" t="str">
        <f>"北京 北京市 海淀区 "</f>
        <v xml:space="preserve">北京 北京市 海淀区 </v>
      </c>
      <c r="N2022" s="1" t="str">
        <f t="shared" si="608"/>
        <v>凡华云仓-城南圆通-微信视频号</v>
      </c>
      <c r="O2022" s="5" t="s">
        <v>2058</v>
      </c>
      <c r="P2022" s="6">
        <v>0.24</v>
      </c>
      <c r="Q2022" s="11">
        <v>2</v>
      </c>
      <c r="R2022" s="11"/>
      <c r="S2022" s="11"/>
      <c r="T2022" s="11"/>
      <c r="U2022" s="11">
        <f t="shared" si="600"/>
        <v>2</v>
      </c>
      <c r="W2022">
        <v>2.2000000000000002</v>
      </c>
      <c r="X2022" s="1" t="s">
        <v>105</v>
      </c>
    </row>
    <row r="2023" spans="1:24" x14ac:dyDescent="0.25">
      <c r="A2023" s="1" t="str">
        <f t="shared" si="596"/>
        <v>卡卡杜-凤凰仓</v>
      </c>
      <c r="B2023" s="1" t="str">
        <f>"CK20241028208"</f>
        <v>CK20241028208</v>
      </c>
      <c r="C2023" s="1" t="str">
        <f>"DD2024102819615"</f>
        <v>DD2024102819615</v>
      </c>
      <c r="D2023" s="1" t="str">
        <f>"CK202410289302"</f>
        <v>CK202410289302</v>
      </c>
      <c r="E2023" s="1" t="str">
        <f>"3723605089496207360"</f>
        <v>3723605089496207360</v>
      </c>
      <c r="F2023" s="1" t="str">
        <f t="shared" si="597"/>
        <v>花都四部-凤凰仓</v>
      </c>
      <c r="G2023" s="1" t="str">
        <f t="shared" si="607"/>
        <v>卡卡杜企业店（视频号）</v>
      </c>
      <c r="H2023" s="1" t="str">
        <f t="shared" si="598"/>
        <v>正常订单</v>
      </c>
      <c r="I2023" s="1" t="str">
        <f t="shared" si="599"/>
        <v>已发货</v>
      </c>
      <c r="J2023" s="1" t="str">
        <f t="shared" si="586"/>
        <v>3</v>
      </c>
      <c r="K2023" s="1">
        <v>2</v>
      </c>
      <c r="L2023" s="1" t="s">
        <v>92</v>
      </c>
      <c r="M2023" s="1" t="str">
        <f>"辽宁省 鞍山市 海城市 "</f>
        <v xml:space="preserve">辽宁省 鞍山市 海城市 </v>
      </c>
      <c r="N2023" s="1" t="str">
        <f t="shared" si="608"/>
        <v>凡华云仓-城南圆通-微信视频号</v>
      </c>
      <c r="O2023" s="5" t="s">
        <v>2059</v>
      </c>
      <c r="P2023" s="6">
        <v>0.24</v>
      </c>
      <c r="Q2023" s="11">
        <v>2</v>
      </c>
      <c r="R2023" s="11"/>
      <c r="S2023" s="11"/>
      <c r="T2023" s="11"/>
      <c r="U2023" s="11">
        <f t="shared" si="600"/>
        <v>2</v>
      </c>
      <c r="W2023">
        <v>2.2000000000000002</v>
      </c>
      <c r="X2023" s="1" t="s">
        <v>92</v>
      </c>
    </row>
    <row r="2024" spans="1:24" x14ac:dyDescent="0.25">
      <c r="A2024" s="1" t="str">
        <f t="shared" si="596"/>
        <v>卡卡杜-凤凰仓</v>
      </c>
      <c r="B2024" s="1" t="str">
        <f>"CK20241028209"</f>
        <v>CK20241028209</v>
      </c>
      <c r="C2024" s="1" t="str">
        <f>"DD2024102819614"</f>
        <v>DD2024102819614</v>
      </c>
      <c r="D2024" s="1" t="str">
        <f>"CK202410289301"</f>
        <v>CK202410289301</v>
      </c>
      <c r="E2024" s="1" t="str">
        <f>"3723605086312728064"</f>
        <v>3723605086312728064</v>
      </c>
      <c r="F2024" s="1" t="str">
        <f t="shared" si="597"/>
        <v>花都四部-凤凰仓</v>
      </c>
      <c r="G2024" s="1" t="str">
        <f t="shared" si="607"/>
        <v>卡卡杜企业店（视频号）</v>
      </c>
      <c r="H2024" s="1" t="str">
        <f t="shared" si="598"/>
        <v>正常订单</v>
      </c>
      <c r="I2024" s="1" t="str">
        <f t="shared" si="599"/>
        <v>已发货</v>
      </c>
      <c r="J2024" s="1" t="str">
        <f t="shared" si="586"/>
        <v>3</v>
      </c>
      <c r="K2024" s="1">
        <v>2</v>
      </c>
      <c r="L2024" s="1" t="s">
        <v>20</v>
      </c>
      <c r="M2024" s="1" t="str">
        <f>"浙江省 杭州市 萧山区 "</f>
        <v xml:space="preserve">浙江省 杭州市 萧山区 </v>
      </c>
      <c r="N2024" s="1" t="str">
        <f t="shared" si="608"/>
        <v>凡华云仓-城南圆通-微信视频号</v>
      </c>
      <c r="O2024" s="5" t="s">
        <v>2060</v>
      </c>
      <c r="P2024" s="6">
        <v>0.24</v>
      </c>
      <c r="Q2024" s="11">
        <v>2</v>
      </c>
      <c r="R2024" s="11"/>
      <c r="S2024" s="11"/>
      <c r="T2024" s="11"/>
      <c r="U2024" s="11">
        <f t="shared" si="600"/>
        <v>2</v>
      </c>
      <c r="W2024">
        <v>2.2000000000000002</v>
      </c>
      <c r="X2024" s="1" t="s">
        <v>20</v>
      </c>
    </row>
    <row r="2025" spans="1:24" x14ac:dyDescent="0.25">
      <c r="A2025" s="1" t="str">
        <f t="shared" si="596"/>
        <v>卡卡杜-凤凰仓</v>
      </c>
      <c r="B2025" s="1" t="str">
        <f>"CK20241028207"</f>
        <v>CK20241028207</v>
      </c>
      <c r="C2025" s="1" t="str">
        <f>"DD2024102819613"</f>
        <v>DD2024102819613</v>
      </c>
      <c r="D2025" s="1" t="str">
        <f>"CK202410289300"</f>
        <v>CK202410289300</v>
      </c>
      <c r="E2025" s="1" t="str">
        <f>"3723605089922976768"</f>
        <v>3723605089922976768</v>
      </c>
      <c r="F2025" s="1" t="str">
        <f t="shared" si="597"/>
        <v>花都四部-凤凰仓</v>
      </c>
      <c r="G2025" s="1" t="str">
        <f t="shared" si="607"/>
        <v>卡卡杜企业店（视频号）</v>
      </c>
      <c r="H2025" s="1" t="str">
        <f t="shared" si="598"/>
        <v>正常订单</v>
      </c>
      <c r="I2025" s="1" t="str">
        <f t="shared" si="599"/>
        <v>已发货</v>
      </c>
      <c r="J2025" s="1" t="str">
        <f t="shared" si="586"/>
        <v>3</v>
      </c>
      <c r="K2025" s="1">
        <v>2</v>
      </c>
      <c r="L2025" s="1" t="s">
        <v>105</v>
      </c>
      <c r="M2025" s="1" t="str">
        <f>"北京 北京市 通州区 "</f>
        <v xml:space="preserve">北京 北京市 通州区 </v>
      </c>
      <c r="N2025" s="1" t="str">
        <f t="shared" si="608"/>
        <v>凡华云仓-城南圆通-微信视频号</v>
      </c>
      <c r="O2025" s="5" t="s">
        <v>2061</v>
      </c>
      <c r="P2025" s="6">
        <v>0.24</v>
      </c>
      <c r="Q2025" s="11">
        <v>2</v>
      </c>
      <c r="R2025" s="11"/>
      <c r="S2025" s="11"/>
      <c r="T2025" s="11"/>
      <c r="U2025" s="11">
        <f t="shared" si="600"/>
        <v>2</v>
      </c>
      <c r="W2025">
        <v>2.2000000000000002</v>
      </c>
      <c r="X2025" s="1" t="s">
        <v>105</v>
      </c>
    </row>
    <row r="2026" spans="1:24" x14ac:dyDescent="0.25">
      <c r="A2026" s="1" t="str">
        <f t="shared" si="596"/>
        <v>卡卡杜-凤凰仓</v>
      </c>
      <c r="B2026" s="1" t="str">
        <f>"CK20241028206"</f>
        <v>CK20241028206</v>
      </c>
      <c r="C2026" s="1" t="str">
        <f>"DD2024102819612"</f>
        <v>DD2024102819612</v>
      </c>
      <c r="D2026" s="1" t="str">
        <f>"CK202410289299"</f>
        <v>CK202410289299</v>
      </c>
      <c r="E2026" s="1" t="str">
        <f>"3723605091700839424"</f>
        <v>3723605091700839424</v>
      </c>
      <c r="F2026" s="1" t="str">
        <f t="shared" si="597"/>
        <v>花都四部-凤凰仓</v>
      </c>
      <c r="G2026" s="1" t="str">
        <f t="shared" si="607"/>
        <v>卡卡杜企业店（视频号）</v>
      </c>
      <c r="H2026" s="1" t="str">
        <f t="shared" si="598"/>
        <v>正常订单</v>
      </c>
      <c r="I2026" s="1" t="str">
        <f t="shared" si="599"/>
        <v>已发货</v>
      </c>
      <c r="J2026" s="1" t="str">
        <f t="shared" si="586"/>
        <v>3</v>
      </c>
      <c r="K2026" s="1">
        <v>2</v>
      </c>
      <c r="L2026" s="1" t="s">
        <v>18</v>
      </c>
      <c r="M2026" s="1" t="str">
        <f>"广东省 惠州市 惠城区 "</f>
        <v xml:space="preserve">广东省 惠州市 惠城区 </v>
      </c>
      <c r="N2026" s="1" t="str">
        <f t="shared" si="608"/>
        <v>凡华云仓-城南圆通-微信视频号</v>
      </c>
      <c r="O2026" s="5" t="s">
        <v>2062</v>
      </c>
      <c r="P2026" s="6">
        <v>0.24</v>
      </c>
      <c r="Q2026" s="11">
        <v>2</v>
      </c>
      <c r="R2026" s="11"/>
      <c r="S2026" s="11"/>
      <c r="T2026" s="11"/>
      <c r="U2026" s="11">
        <f t="shared" si="600"/>
        <v>2</v>
      </c>
      <c r="W2026">
        <v>2.2000000000000002</v>
      </c>
      <c r="X2026" s="1" t="s">
        <v>18</v>
      </c>
    </row>
    <row r="2027" spans="1:24" x14ac:dyDescent="0.25">
      <c r="A2027" s="1" t="str">
        <f t="shared" si="596"/>
        <v>卡卡杜-凤凰仓</v>
      </c>
      <c r="B2027" s="1" t="str">
        <f>"CK20241028205"</f>
        <v>CK20241028205</v>
      </c>
      <c r="C2027" s="1" t="str">
        <f>"DD2024102819611"</f>
        <v>DD2024102819611</v>
      </c>
      <c r="D2027" s="1" t="str">
        <f>"CK202410289298"</f>
        <v>CK202410289298</v>
      </c>
      <c r="E2027" s="1" t="str">
        <f>"3723605094108104192"</f>
        <v>3723605094108104192</v>
      </c>
      <c r="F2027" s="1" t="str">
        <f t="shared" si="597"/>
        <v>花都四部-凤凰仓</v>
      </c>
      <c r="G2027" s="1" t="str">
        <f t="shared" si="607"/>
        <v>卡卡杜企业店（视频号）</v>
      </c>
      <c r="H2027" s="1" t="str">
        <f t="shared" si="598"/>
        <v>正常订单</v>
      </c>
      <c r="I2027" s="1" t="str">
        <f t="shared" si="599"/>
        <v>已发货</v>
      </c>
      <c r="J2027" s="1" t="str">
        <f t="shared" si="586"/>
        <v>3</v>
      </c>
      <c r="K2027" s="1">
        <v>2</v>
      </c>
      <c r="L2027" s="1" t="s">
        <v>24</v>
      </c>
      <c r="M2027" s="1" t="str">
        <f>"福建省 厦门市 思明区 "</f>
        <v xml:space="preserve">福建省 厦门市 思明区 </v>
      </c>
      <c r="N2027" s="1" t="str">
        <f t="shared" si="608"/>
        <v>凡华云仓-城南圆通-微信视频号</v>
      </c>
      <c r="O2027" s="5" t="s">
        <v>2063</v>
      </c>
      <c r="P2027" s="6">
        <v>0.24</v>
      </c>
      <c r="Q2027" s="11">
        <v>2</v>
      </c>
      <c r="R2027" s="11"/>
      <c r="S2027" s="11"/>
      <c r="T2027" s="11"/>
      <c r="U2027" s="11">
        <f t="shared" si="600"/>
        <v>2</v>
      </c>
      <c r="W2027">
        <v>2.2000000000000002</v>
      </c>
      <c r="X2027" s="1" t="s">
        <v>24</v>
      </c>
    </row>
    <row r="2028" spans="1:24" x14ac:dyDescent="0.25">
      <c r="A2028" s="1" t="str">
        <f t="shared" si="596"/>
        <v>卡卡杜-凤凰仓</v>
      </c>
      <c r="B2028" s="1" t="str">
        <f>"CK20241028204"</f>
        <v>CK20241028204</v>
      </c>
      <c r="C2028" s="1" t="str">
        <f>"DD2024102819610"</f>
        <v>DD2024102819610</v>
      </c>
      <c r="D2028" s="1" t="str">
        <f>"CK202410289297"</f>
        <v>CK202410289297</v>
      </c>
      <c r="E2028" s="1" t="str">
        <f>"6935555178623800552"</f>
        <v>6935555178623800552</v>
      </c>
      <c r="F2028" s="1" t="str">
        <f t="shared" si="597"/>
        <v>花都四部-凤凰仓</v>
      </c>
      <c r="G2028" s="1" t="str">
        <f>"卡卡杜个人护理店（抖店）"</f>
        <v>卡卡杜个人护理店（抖店）</v>
      </c>
      <c r="H2028" s="1" t="str">
        <f t="shared" si="598"/>
        <v>正常订单</v>
      </c>
      <c r="I2028" s="1" t="str">
        <f t="shared" si="599"/>
        <v>已发货</v>
      </c>
      <c r="J2028" s="1" t="str">
        <f t="shared" si="586"/>
        <v>3</v>
      </c>
      <c r="K2028" s="1">
        <v>2</v>
      </c>
      <c r="L2028" s="1" t="s">
        <v>16</v>
      </c>
      <c r="M2028" s="1" t="str">
        <f>"河北省 石家庄市 长安区 谈固街道"</f>
        <v>河北省 石家庄市 长安区 谈固街道</v>
      </c>
      <c r="N2028" s="1" t="str">
        <f>"凡华云仓-城南圆通-抖音"</f>
        <v>凡华云仓-城南圆通-抖音</v>
      </c>
      <c r="O2028" s="5" t="s">
        <v>2064</v>
      </c>
      <c r="P2028" s="6">
        <v>0.35</v>
      </c>
      <c r="Q2028" s="11">
        <v>2.2999999999999998</v>
      </c>
      <c r="R2028" s="11"/>
      <c r="S2028" s="11"/>
      <c r="T2028" s="11"/>
      <c r="U2028" s="11">
        <f t="shared" si="600"/>
        <v>2.2999999999999998</v>
      </c>
      <c r="W2028">
        <v>2.5</v>
      </c>
      <c r="X2028" s="1" t="s">
        <v>16</v>
      </c>
    </row>
    <row r="2029" spans="1:24" x14ac:dyDescent="0.25">
      <c r="A2029" s="1" t="str">
        <f t="shared" si="596"/>
        <v>卡卡杜-凤凰仓</v>
      </c>
      <c r="B2029" s="1" t="str">
        <f>"CK20241028203"</f>
        <v>CK20241028203</v>
      </c>
      <c r="C2029" s="1" t="str">
        <f>"DD2024102819609"</f>
        <v>DD2024102819609</v>
      </c>
      <c r="D2029" s="1" t="str">
        <f>"CK202410289296"</f>
        <v>CK202410289296</v>
      </c>
      <c r="E2029" s="1" t="str">
        <f>"3723605127456493568"</f>
        <v>3723605127456493568</v>
      </c>
      <c r="F2029" s="1" t="str">
        <f t="shared" si="597"/>
        <v>花都四部-凤凰仓</v>
      </c>
      <c r="G2029" s="1" t="str">
        <f t="shared" ref="G2029:G2035" si="609">"卡卡杜企业店（视频号）"</f>
        <v>卡卡杜企业店（视频号）</v>
      </c>
      <c r="H2029" s="1" t="str">
        <f t="shared" si="598"/>
        <v>正常订单</v>
      </c>
      <c r="I2029" s="1" t="str">
        <f t="shared" si="599"/>
        <v>已发货</v>
      </c>
      <c r="J2029" s="1" t="str">
        <f t="shared" si="586"/>
        <v>3</v>
      </c>
      <c r="K2029" s="1">
        <v>2</v>
      </c>
      <c r="L2029" s="1" t="s">
        <v>74</v>
      </c>
      <c r="M2029" s="1" t="str">
        <f>"上海 上海市 浦东新区 "</f>
        <v xml:space="preserve">上海 上海市 浦东新区 </v>
      </c>
      <c r="N2029" s="1" t="str">
        <f t="shared" ref="N2029:N2035" si="610">"凡华云仓-城南圆通-微信视频号"</f>
        <v>凡华云仓-城南圆通-微信视频号</v>
      </c>
      <c r="O2029" s="5" t="s">
        <v>2065</v>
      </c>
      <c r="P2029" s="6">
        <v>0.24</v>
      </c>
      <c r="Q2029" s="11">
        <v>2</v>
      </c>
      <c r="R2029" s="11"/>
      <c r="S2029" s="11"/>
      <c r="T2029" s="11"/>
      <c r="U2029" s="11">
        <f t="shared" si="600"/>
        <v>2</v>
      </c>
      <c r="W2029">
        <v>2.2000000000000002</v>
      </c>
      <c r="X2029" s="1" t="s">
        <v>74</v>
      </c>
    </row>
    <row r="2030" spans="1:24" x14ac:dyDescent="0.25">
      <c r="A2030" s="1" t="str">
        <f t="shared" si="596"/>
        <v>卡卡杜-凤凰仓</v>
      </c>
      <c r="B2030" s="1" t="str">
        <f>"CK20241028202"</f>
        <v>CK20241028202</v>
      </c>
      <c r="C2030" s="1" t="str">
        <f>"DD2024102819608"</f>
        <v>DD2024102819608</v>
      </c>
      <c r="D2030" s="1" t="str">
        <f>"CK202410289295"</f>
        <v>CK202410289295</v>
      </c>
      <c r="E2030" s="1" t="str">
        <f>"3723605133803785216"</f>
        <v>3723605133803785216</v>
      </c>
      <c r="F2030" s="1" t="str">
        <f t="shared" si="597"/>
        <v>花都四部-凤凰仓</v>
      </c>
      <c r="G2030" s="1" t="str">
        <f t="shared" si="609"/>
        <v>卡卡杜企业店（视频号）</v>
      </c>
      <c r="H2030" s="1" t="str">
        <f t="shared" si="598"/>
        <v>正常订单</v>
      </c>
      <c r="I2030" s="1" t="str">
        <f t="shared" si="599"/>
        <v>已发货</v>
      </c>
      <c r="J2030" s="1" t="str">
        <f t="shared" ref="J2030:J2093" si="611">"3"</f>
        <v>3</v>
      </c>
      <c r="K2030" s="1">
        <v>2</v>
      </c>
      <c r="L2030" s="1" t="s">
        <v>94</v>
      </c>
      <c r="M2030" s="1" t="str">
        <f>"湖南省 长沙市 天心区 "</f>
        <v xml:space="preserve">湖南省 长沙市 天心区 </v>
      </c>
      <c r="N2030" s="1" t="str">
        <f t="shared" si="610"/>
        <v>凡华云仓-城南圆通-微信视频号</v>
      </c>
      <c r="O2030" s="5" t="s">
        <v>2066</v>
      </c>
      <c r="P2030" s="6">
        <v>0.24</v>
      </c>
      <c r="Q2030" s="11">
        <v>2</v>
      </c>
      <c r="R2030" s="11"/>
      <c r="S2030" s="11"/>
      <c r="T2030" s="11"/>
      <c r="U2030" s="11">
        <f t="shared" si="600"/>
        <v>2</v>
      </c>
      <c r="W2030">
        <v>2.2000000000000002</v>
      </c>
      <c r="X2030" s="1" t="s">
        <v>94</v>
      </c>
    </row>
    <row r="2031" spans="1:24" x14ac:dyDescent="0.25">
      <c r="A2031" s="1" t="str">
        <f t="shared" si="596"/>
        <v>卡卡杜-凤凰仓</v>
      </c>
      <c r="B2031" s="1" t="str">
        <f>"CK20241028201"</f>
        <v>CK20241028201</v>
      </c>
      <c r="C2031" s="1" t="str">
        <f>"DD2024102819607"</f>
        <v>DD2024102819607</v>
      </c>
      <c r="D2031" s="1" t="str">
        <f>"CK202410289294"</f>
        <v>CK202410289294</v>
      </c>
      <c r="E2031" s="1" t="str">
        <f>"3723605136021525504"</f>
        <v>3723605136021525504</v>
      </c>
      <c r="F2031" s="1" t="str">
        <f t="shared" si="597"/>
        <v>花都四部-凤凰仓</v>
      </c>
      <c r="G2031" s="1" t="str">
        <f t="shared" si="609"/>
        <v>卡卡杜企业店（视频号）</v>
      </c>
      <c r="H2031" s="1" t="str">
        <f t="shared" si="598"/>
        <v>正常订单</v>
      </c>
      <c r="I2031" s="1" t="str">
        <f t="shared" si="599"/>
        <v>已发货</v>
      </c>
      <c r="J2031" s="1" t="str">
        <f t="shared" si="611"/>
        <v>3</v>
      </c>
      <c r="K2031" s="1">
        <v>2</v>
      </c>
      <c r="L2031" s="1" t="s">
        <v>30</v>
      </c>
      <c r="M2031" s="1" t="str">
        <f>"山东省 青岛市 黄岛区 "</f>
        <v xml:space="preserve">山东省 青岛市 黄岛区 </v>
      </c>
      <c r="N2031" s="1" t="str">
        <f t="shared" si="610"/>
        <v>凡华云仓-城南圆通-微信视频号</v>
      </c>
      <c r="O2031" s="5" t="s">
        <v>2067</v>
      </c>
      <c r="P2031" s="6">
        <v>0.24</v>
      </c>
      <c r="Q2031" s="11">
        <v>2</v>
      </c>
      <c r="R2031" s="11"/>
      <c r="S2031" s="11"/>
      <c r="T2031" s="11"/>
      <c r="U2031" s="11">
        <f t="shared" si="600"/>
        <v>2</v>
      </c>
      <c r="W2031">
        <v>2.2000000000000002</v>
      </c>
      <c r="X2031" s="1" t="s">
        <v>30</v>
      </c>
    </row>
    <row r="2032" spans="1:24" x14ac:dyDescent="0.25">
      <c r="A2032" s="1" t="str">
        <f t="shared" si="596"/>
        <v>卡卡杜-凤凰仓</v>
      </c>
      <c r="B2032" s="1" t="str">
        <f>"CK20241028200"</f>
        <v>CK20241028200</v>
      </c>
      <c r="C2032" s="1" t="str">
        <f>"DD2024102819606"</f>
        <v>DD2024102819606</v>
      </c>
      <c r="D2032" s="1" t="str">
        <f>"CK202410289293"</f>
        <v>CK202410289293</v>
      </c>
      <c r="E2032" s="1" t="str">
        <f>"3723605113950832128"</f>
        <v>3723605113950832128</v>
      </c>
      <c r="F2032" s="1" t="str">
        <f t="shared" si="597"/>
        <v>花都四部-凤凰仓</v>
      </c>
      <c r="G2032" s="1" t="str">
        <f t="shared" si="609"/>
        <v>卡卡杜企业店（视频号）</v>
      </c>
      <c r="H2032" s="1" t="str">
        <f t="shared" si="598"/>
        <v>正常订单</v>
      </c>
      <c r="I2032" s="1" t="str">
        <f t="shared" si="599"/>
        <v>已发货</v>
      </c>
      <c r="J2032" s="1" t="str">
        <f t="shared" si="611"/>
        <v>3</v>
      </c>
      <c r="K2032" s="1">
        <v>2</v>
      </c>
      <c r="L2032" s="1" t="s">
        <v>74</v>
      </c>
      <c r="M2032" s="1" t="str">
        <f>"上海 上海市 长宁区 "</f>
        <v xml:space="preserve">上海 上海市 长宁区 </v>
      </c>
      <c r="N2032" s="1" t="str">
        <f t="shared" si="610"/>
        <v>凡华云仓-城南圆通-微信视频号</v>
      </c>
      <c r="O2032" s="5" t="s">
        <v>2068</v>
      </c>
      <c r="P2032" s="6">
        <v>0.24</v>
      </c>
      <c r="Q2032" s="11">
        <v>2</v>
      </c>
      <c r="R2032" s="11"/>
      <c r="S2032" s="11"/>
      <c r="T2032" s="11"/>
      <c r="U2032" s="11">
        <f t="shared" si="600"/>
        <v>2</v>
      </c>
      <c r="W2032">
        <v>2.2000000000000002</v>
      </c>
      <c r="X2032" s="1" t="s">
        <v>74</v>
      </c>
    </row>
    <row r="2033" spans="1:24" x14ac:dyDescent="0.25">
      <c r="A2033" s="1" t="str">
        <f t="shared" si="596"/>
        <v>卡卡杜-凤凰仓</v>
      </c>
      <c r="B2033" s="1" t="str">
        <f>"CK20241028199"</f>
        <v>CK20241028199</v>
      </c>
      <c r="C2033" s="1" t="str">
        <f>"DD2024102819605"</f>
        <v>DD2024102819605</v>
      </c>
      <c r="D2033" s="1" t="str">
        <f>"CK202410289292"</f>
        <v>CK202410289292</v>
      </c>
      <c r="E2033" s="1" t="str">
        <f>"3723605151950967808"</f>
        <v>3723605151950967808</v>
      </c>
      <c r="F2033" s="1" t="str">
        <f t="shared" si="597"/>
        <v>花都四部-凤凰仓</v>
      </c>
      <c r="G2033" s="1" t="str">
        <f t="shared" si="609"/>
        <v>卡卡杜企业店（视频号）</v>
      </c>
      <c r="H2033" s="1" t="str">
        <f t="shared" si="598"/>
        <v>正常订单</v>
      </c>
      <c r="I2033" s="1" t="str">
        <f t="shared" si="599"/>
        <v>已发货</v>
      </c>
      <c r="J2033" s="1" t="str">
        <f t="shared" si="611"/>
        <v>3</v>
      </c>
      <c r="K2033" s="1">
        <v>2</v>
      </c>
      <c r="L2033" s="1" t="s">
        <v>16</v>
      </c>
      <c r="M2033" s="1" t="str">
        <f>"河北省 廊坊市 广阳区 "</f>
        <v xml:space="preserve">河北省 廊坊市 广阳区 </v>
      </c>
      <c r="N2033" s="1" t="str">
        <f t="shared" si="610"/>
        <v>凡华云仓-城南圆通-微信视频号</v>
      </c>
      <c r="O2033" s="5" t="s">
        <v>2069</v>
      </c>
      <c r="P2033" s="6">
        <v>0.24</v>
      </c>
      <c r="Q2033" s="11">
        <v>2</v>
      </c>
      <c r="R2033" s="11"/>
      <c r="S2033" s="11"/>
      <c r="T2033" s="11"/>
      <c r="U2033" s="11">
        <f t="shared" si="600"/>
        <v>2</v>
      </c>
      <c r="W2033">
        <v>2.2000000000000002</v>
      </c>
      <c r="X2033" s="1" t="s">
        <v>16</v>
      </c>
    </row>
    <row r="2034" spans="1:24" x14ac:dyDescent="0.25">
      <c r="A2034" s="1" t="str">
        <f t="shared" si="596"/>
        <v>卡卡杜-凤凰仓</v>
      </c>
      <c r="B2034" s="1" t="str">
        <f>"CK20241028198"</f>
        <v>CK20241028198</v>
      </c>
      <c r="C2034" s="1" t="str">
        <f>"DD2024102819604"</f>
        <v>DD2024102819604</v>
      </c>
      <c r="D2034" s="1" t="str">
        <f>"CK202410289291"</f>
        <v>CK202410289291</v>
      </c>
      <c r="E2034" s="1" t="str">
        <f>"3723605160560035328"</f>
        <v>3723605160560035328</v>
      </c>
      <c r="F2034" s="1" t="str">
        <f t="shared" si="597"/>
        <v>花都四部-凤凰仓</v>
      </c>
      <c r="G2034" s="1" t="str">
        <f t="shared" si="609"/>
        <v>卡卡杜企业店（视频号）</v>
      </c>
      <c r="H2034" s="1" t="str">
        <f t="shared" si="598"/>
        <v>正常订单</v>
      </c>
      <c r="I2034" s="1" t="str">
        <f t="shared" si="599"/>
        <v>已发货</v>
      </c>
      <c r="J2034" s="1" t="str">
        <f t="shared" si="611"/>
        <v>3</v>
      </c>
      <c r="K2034" s="1">
        <v>2</v>
      </c>
      <c r="L2034" s="1" t="s">
        <v>18</v>
      </c>
      <c r="M2034" s="1" t="str">
        <f>"广东省 深圳市 罗湖区 "</f>
        <v xml:space="preserve">广东省 深圳市 罗湖区 </v>
      </c>
      <c r="N2034" s="1" t="str">
        <f t="shared" si="610"/>
        <v>凡华云仓-城南圆通-微信视频号</v>
      </c>
      <c r="O2034" s="5" t="s">
        <v>2070</v>
      </c>
      <c r="P2034" s="6">
        <v>0.24</v>
      </c>
      <c r="Q2034" s="11">
        <v>2</v>
      </c>
      <c r="R2034" s="11"/>
      <c r="S2034" s="11"/>
      <c r="T2034" s="11"/>
      <c r="U2034" s="11">
        <f t="shared" si="600"/>
        <v>2</v>
      </c>
      <c r="W2034">
        <v>2.2000000000000002</v>
      </c>
      <c r="X2034" s="1" t="s">
        <v>18</v>
      </c>
    </row>
    <row r="2035" spans="1:24" x14ac:dyDescent="0.25">
      <c r="A2035" s="1" t="str">
        <f t="shared" si="596"/>
        <v>卡卡杜-凤凰仓</v>
      </c>
      <c r="B2035" s="1" t="str">
        <f>"CK20241028196"</f>
        <v>CK20241028196</v>
      </c>
      <c r="C2035" s="1" t="str">
        <f>"DD2024102819603"</f>
        <v>DD2024102819603</v>
      </c>
      <c r="D2035" s="1" t="str">
        <f>"CK202410289290"</f>
        <v>CK202410289290</v>
      </c>
      <c r="E2035" s="1" t="str">
        <f>"3723605462369568256"</f>
        <v>3723605462369568256</v>
      </c>
      <c r="F2035" s="1" t="str">
        <f t="shared" si="597"/>
        <v>花都四部-凤凰仓</v>
      </c>
      <c r="G2035" s="1" t="str">
        <f t="shared" si="609"/>
        <v>卡卡杜企业店（视频号）</v>
      </c>
      <c r="H2035" s="1" t="str">
        <f t="shared" si="598"/>
        <v>正常订单</v>
      </c>
      <c r="I2035" s="1" t="str">
        <f t="shared" si="599"/>
        <v>已发货</v>
      </c>
      <c r="J2035" s="1" t="str">
        <f t="shared" si="611"/>
        <v>3</v>
      </c>
      <c r="K2035" s="1">
        <v>2</v>
      </c>
      <c r="L2035" s="1" t="s">
        <v>182</v>
      </c>
      <c r="M2035" s="1" t="str">
        <f>"新疆维吾尔自治区 克拉玛依市 克拉玛依区 "</f>
        <v xml:space="preserve">新疆维吾尔自治区 克拉玛依市 克拉玛依区 </v>
      </c>
      <c r="N2035" s="1" t="str">
        <f t="shared" si="610"/>
        <v>凡华云仓-城南圆通-微信视频号</v>
      </c>
      <c r="O2035" s="5" t="s">
        <v>2071</v>
      </c>
      <c r="P2035" s="6">
        <v>0.24</v>
      </c>
      <c r="Q2035" s="11">
        <v>17</v>
      </c>
      <c r="R2035" s="11"/>
      <c r="S2035" s="11"/>
      <c r="T2035" s="11"/>
      <c r="U2035" s="11">
        <f t="shared" si="600"/>
        <v>17</v>
      </c>
      <c r="W2035">
        <v>17</v>
      </c>
      <c r="X2035" s="1" t="s">
        <v>182</v>
      </c>
    </row>
    <row r="2036" spans="1:24" x14ac:dyDescent="0.25">
      <c r="A2036" s="1" t="str">
        <f t="shared" si="596"/>
        <v>卡卡杜-凤凰仓</v>
      </c>
      <c r="B2036" s="1" t="str">
        <f>"CK20241028197"</f>
        <v>CK20241028197</v>
      </c>
      <c r="C2036" s="1" t="str">
        <f>"DD2024102819602"</f>
        <v>DD2024102819602</v>
      </c>
      <c r="D2036" s="1" t="str">
        <f>"CK202410289289"</f>
        <v>CK202410289289</v>
      </c>
      <c r="E2036" s="1" t="str">
        <f>"6935544152314090863"</f>
        <v>6935544152314090863</v>
      </c>
      <c r="F2036" s="1" t="str">
        <f t="shared" si="597"/>
        <v>花都四部-凤凰仓</v>
      </c>
      <c r="G2036" s="1" t="str">
        <f>"卡卡杜个人护理店（抖店）"</f>
        <v>卡卡杜个人护理店（抖店）</v>
      </c>
      <c r="H2036" s="1" t="str">
        <f t="shared" si="598"/>
        <v>正常订单</v>
      </c>
      <c r="I2036" s="1" t="str">
        <f t="shared" si="599"/>
        <v>已发货</v>
      </c>
      <c r="J2036" s="1" t="str">
        <f t="shared" si="611"/>
        <v>3</v>
      </c>
      <c r="K2036" s="1">
        <v>2</v>
      </c>
      <c r="L2036" s="1" t="s">
        <v>13</v>
      </c>
      <c r="M2036" s="1" t="str">
        <f>"江苏省 常州市 金坛区 尧塘街道"</f>
        <v>江苏省 常州市 金坛区 尧塘街道</v>
      </c>
      <c r="N2036" s="1" t="str">
        <f>"凡华云仓-城南圆通-抖音"</f>
        <v>凡华云仓-城南圆通-抖音</v>
      </c>
      <c r="O2036" s="5" t="s">
        <v>2072</v>
      </c>
      <c r="P2036" s="6">
        <v>0.35</v>
      </c>
      <c r="Q2036" s="11">
        <v>2.2999999999999998</v>
      </c>
      <c r="R2036" s="11"/>
      <c r="S2036" s="11"/>
      <c r="T2036" s="11"/>
      <c r="U2036" s="11">
        <f t="shared" si="600"/>
        <v>2.2999999999999998</v>
      </c>
      <c r="W2036">
        <v>2.5</v>
      </c>
      <c r="X2036" s="1" t="s">
        <v>13</v>
      </c>
    </row>
    <row r="2037" spans="1:24" x14ac:dyDescent="0.25">
      <c r="A2037" s="1" t="str">
        <f t="shared" si="596"/>
        <v>卡卡杜-凤凰仓</v>
      </c>
      <c r="B2037" s="1" t="str">
        <f>"CK20241028195"</f>
        <v>CK20241028195</v>
      </c>
      <c r="C2037" s="1" t="str">
        <f>"DD2024102819601"</f>
        <v>DD2024102819601</v>
      </c>
      <c r="D2037" s="1" t="str">
        <f>"CK202410289288"</f>
        <v>CK202410289288</v>
      </c>
      <c r="E2037" s="1" t="str">
        <f>"6935559811546616833"</f>
        <v>6935559811546616833</v>
      </c>
      <c r="F2037" s="1" t="str">
        <f t="shared" si="597"/>
        <v>花都四部-凤凰仓</v>
      </c>
      <c r="G2037" s="1" t="str">
        <f>"卡卡杜个人护理店（抖店）"</f>
        <v>卡卡杜个人护理店（抖店）</v>
      </c>
      <c r="H2037" s="1" t="str">
        <f t="shared" si="598"/>
        <v>正常订单</v>
      </c>
      <c r="I2037" s="1" t="str">
        <f t="shared" si="599"/>
        <v>已发货</v>
      </c>
      <c r="J2037" s="1" t="str">
        <f t="shared" si="611"/>
        <v>3</v>
      </c>
      <c r="K2037" s="1">
        <v>2</v>
      </c>
      <c r="L2037" s="1" t="s">
        <v>30</v>
      </c>
      <c r="M2037" s="1" t="str">
        <f>"山东省 济南市 历下区 "</f>
        <v xml:space="preserve">山东省 济南市 历下区 </v>
      </c>
      <c r="N2037" s="1" t="str">
        <f>"凡华云仓-城南圆通-抖音"</f>
        <v>凡华云仓-城南圆通-抖音</v>
      </c>
      <c r="O2037" s="5" t="s">
        <v>2073</v>
      </c>
      <c r="P2037" s="6">
        <v>0.35</v>
      </c>
      <c r="Q2037" s="11">
        <v>2.2999999999999998</v>
      </c>
      <c r="R2037" s="11"/>
      <c r="S2037" s="11"/>
      <c r="T2037" s="11"/>
      <c r="U2037" s="11">
        <f t="shared" si="600"/>
        <v>2.2999999999999998</v>
      </c>
      <c r="W2037">
        <v>2.5</v>
      </c>
      <c r="X2037" s="1" t="s">
        <v>30</v>
      </c>
    </row>
    <row r="2038" spans="1:24" x14ac:dyDescent="0.25">
      <c r="A2038" s="1" t="str">
        <f t="shared" si="596"/>
        <v>卡卡杜-凤凰仓</v>
      </c>
      <c r="B2038" s="1" t="str">
        <f>"CK20241028194"</f>
        <v>CK20241028194</v>
      </c>
      <c r="C2038" s="1" t="str">
        <f>"DD2024102819600"</f>
        <v>DD2024102819600</v>
      </c>
      <c r="D2038" s="1" t="str">
        <f>"CK202410289287"</f>
        <v>CK202410289287</v>
      </c>
      <c r="E2038" s="1" t="str">
        <f>"3723605541582669312"</f>
        <v>3723605541582669312</v>
      </c>
      <c r="F2038" s="1" t="str">
        <f t="shared" si="597"/>
        <v>花都四部-凤凰仓</v>
      </c>
      <c r="G2038" s="1" t="str">
        <f t="shared" ref="G2038:G2052" si="612">"卡卡杜企业店（视频号）"</f>
        <v>卡卡杜企业店（视频号）</v>
      </c>
      <c r="H2038" s="1" t="str">
        <f t="shared" si="598"/>
        <v>正常订单</v>
      </c>
      <c r="I2038" s="1" t="str">
        <f t="shared" si="599"/>
        <v>已发货</v>
      </c>
      <c r="J2038" s="1" t="str">
        <f t="shared" si="611"/>
        <v>3</v>
      </c>
      <c r="K2038" s="1">
        <v>2</v>
      </c>
      <c r="L2038" s="1" t="s">
        <v>18</v>
      </c>
      <c r="M2038" s="1" t="str">
        <f>"广东省 汕头市 潮南区 "</f>
        <v xml:space="preserve">广东省 汕头市 潮南区 </v>
      </c>
      <c r="N2038" s="1" t="str">
        <f t="shared" ref="N2038:N2052" si="613">"凡华云仓-城南圆通-微信视频号"</f>
        <v>凡华云仓-城南圆通-微信视频号</v>
      </c>
      <c r="O2038" s="5" t="s">
        <v>2074</v>
      </c>
      <c r="P2038" s="6">
        <v>0.24</v>
      </c>
      <c r="Q2038" s="11">
        <v>2</v>
      </c>
      <c r="R2038" s="11"/>
      <c r="S2038" s="11"/>
      <c r="T2038" s="11"/>
      <c r="U2038" s="11">
        <f t="shared" si="600"/>
        <v>2</v>
      </c>
      <c r="W2038">
        <v>2.2000000000000002</v>
      </c>
      <c r="X2038" s="1" t="s">
        <v>18</v>
      </c>
    </row>
    <row r="2039" spans="1:24" x14ac:dyDescent="0.25">
      <c r="A2039" s="1" t="str">
        <f t="shared" si="596"/>
        <v>卡卡杜-凤凰仓</v>
      </c>
      <c r="B2039" s="1" t="str">
        <f>"CK20241028193"</f>
        <v>CK20241028193</v>
      </c>
      <c r="C2039" s="1" t="str">
        <f>"DD2024102819599"</f>
        <v>DD2024102819599</v>
      </c>
      <c r="D2039" s="1" t="str">
        <f>"CK202410289286"</f>
        <v>CK202410289286</v>
      </c>
      <c r="E2039" s="1" t="str">
        <f>"3723605543376522240"</f>
        <v>3723605543376522240</v>
      </c>
      <c r="F2039" s="1" t="str">
        <f t="shared" si="597"/>
        <v>花都四部-凤凰仓</v>
      </c>
      <c r="G2039" s="1" t="str">
        <f t="shared" si="612"/>
        <v>卡卡杜企业店（视频号）</v>
      </c>
      <c r="H2039" s="1" t="str">
        <f t="shared" si="598"/>
        <v>正常订单</v>
      </c>
      <c r="I2039" s="1" t="str">
        <f t="shared" si="599"/>
        <v>已发货</v>
      </c>
      <c r="J2039" s="1" t="str">
        <f t="shared" si="611"/>
        <v>3</v>
      </c>
      <c r="K2039" s="1">
        <v>2</v>
      </c>
      <c r="L2039" s="1" t="s">
        <v>94</v>
      </c>
      <c r="M2039" s="1" t="str">
        <f>"湖南省 长沙市 天心区 "</f>
        <v xml:space="preserve">湖南省 长沙市 天心区 </v>
      </c>
      <c r="N2039" s="1" t="str">
        <f t="shared" si="613"/>
        <v>凡华云仓-城南圆通-微信视频号</v>
      </c>
      <c r="O2039" s="5" t="s">
        <v>2075</v>
      </c>
      <c r="P2039" s="6">
        <v>0.24</v>
      </c>
      <c r="Q2039" s="11">
        <v>2</v>
      </c>
      <c r="R2039" s="11"/>
      <c r="S2039" s="11"/>
      <c r="T2039" s="11"/>
      <c r="U2039" s="11">
        <f t="shared" si="600"/>
        <v>2</v>
      </c>
      <c r="W2039">
        <v>2.2000000000000002</v>
      </c>
      <c r="X2039" s="1" t="s">
        <v>94</v>
      </c>
    </row>
    <row r="2040" spans="1:24" x14ac:dyDescent="0.25">
      <c r="A2040" s="1" t="str">
        <f t="shared" si="596"/>
        <v>卡卡杜-凤凰仓</v>
      </c>
      <c r="B2040" s="1" t="str">
        <f>"CK20241028190"</f>
        <v>CK20241028190</v>
      </c>
      <c r="C2040" s="1" t="str">
        <f>"DD2024102819598"</f>
        <v>DD2024102819598</v>
      </c>
      <c r="D2040" s="1" t="str">
        <f>"CK202410289285"</f>
        <v>CK202410289285</v>
      </c>
      <c r="E2040" s="1" t="str">
        <f>"3723605553723608065"</f>
        <v>3723605553723608065</v>
      </c>
      <c r="F2040" s="1" t="str">
        <f t="shared" si="597"/>
        <v>花都四部-凤凰仓</v>
      </c>
      <c r="G2040" s="1" t="str">
        <f t="shared" si="612"/>
        <v>卡卡杜企业店（视频号）</v>
      </c>
      <c r="H2040" s="1" t="str">
        <f t="shared" si="598"/>
        <v>正常订单</v>
      </c>
      <c r="I2040" s="1" t="str">
        <f t="shared" si="599"/>
        <v>已发货</v>
      </c>
      <c r="J2040" s="1" t="str">
        <f t="shared" si="611"/>
        <v>3</v>
      </c>
      <c r="K2040" s="1">
        <v>2</v>
      </c>
      <c r="L2040" s="1" t="s">
        <v>105</v>
      </c>
      <c r="M2040" s="1" t="str">
        <f>"北京 北京市 西城区 "</f>
        <v xml:space="preserve">北京 北京市 西城区 </v>
      </c>
      <c r="N2040" s="1" t="str">
        <f t="shared" si="613"/>
        <v>凡华云仓-城南圆通-微信视频号</v>
      </c>
      <c r="O2040" s="5" t="s">
        <v>2076</v>
      </c>
      <c r="P2040" s="6">
        <v>0.24</v>
      </c>
      <c r="Q2040" s="11">
        <v>2</v>
      </c>
      <c r="R2040" s="11"/>
      <c r="S2040" s="11"/>
      <c r="T2040" s="11"/>
      <c r="U2040" s="11">
        <f t="shared" si="600"/>
        <v>2</v>
      </c>
      <c r="W2040">
        <v>2.2000000000000002</v>
      </c>
      <c r="X2040" s="1" t="s">
        <v>105</v>
      </c>
    </row>
    <row r="2041" spans="1:24" x14ac:dyDescent="0.25">
      <c r="A2041" s="1" t="str">
        <f t="shared" si="596"/>
        <v>卡卡杜-凤凰仓</v>
      </c>
      <c r="B2041" s="1" t="str">
        <f>"CK20241028191"</f>
        <v>CK20241028191</v>
      </c>
      <c r="C2041" s="1" t="str">
        <f>"DD2024102819597"</f>
        <v>DD2024102819597</v>
      </c>
      <c r="D2041" s="1" t="str">
        <f>"CK202410289284"</f>
        <v>CK202410289284</v>
      </c>
      <c r="E2041" s="1" t="str">
        <f>"3723605550153991424"</f>
        <v>3723605550153991424</v>
      </c>
      <c r="F2041" s="1" t="str">
        <f t="shared" si="597"/>
        <v>花都四部-凤凰仓</v>
      </c>
      <c r="G2041" s="1" t="str">
        <f t="shared" si="612"/>
        <v>卡卡杜企业店（视频号）</v>
      </c>
      <c r="H2041" s="1" t="str">
        <f t="shared" si="598"/>
        <v>正常订单</v>
      </c>
      <c r="I2041" s="1" t="str">
        <f t="shared" si="599"/>
        <v>已发货</v>
      </c>
      <c r="J2041" s="1" t="str">
        <f t="shared" si="611"/>
        <v>3</v>
      </c>
      <c r="K2041" s="1">
        <v>2</v>
      </c>
      <c r="L2041" s="1" t="s">
        <v>80</v>
      </c>
      <c r="M2041" s="1" t="str">
        <f>"河南省 郑州市 金水区 "</f>
        <v xml:space="preserve">河南省 郑州市 金水区 </v>
      </c>
      <c r="N2041" s="1" t="str">
        <f t="shared" si="613"/>
        <v>凡华云仓-城南圆通-微信视频号</v>
      </c>
      <c r="O2041" s="5" t="s">
        <v>2077</v>
      </c>
      <c r="P2041" s="6">
        <v>0.24</v>
      </c>
      <c r="Q2041" s="11">
        <v>2</v>
      </c>
      <c r="R2041" s="11"/>
      <c r="S2041" s="11"/>
      <c r="T2041" s="11"/>
      <c r="U2041" s="11">
        <f t="shared" si="600"/>
        <v>2</v>
      </c>
      <c r="W2041">
        <v>2.2000000000000002</v>
      </c>
      <c r="X2041" s="1" t="s">
        <v>80</v>
      </c>
    </row>
    <row r="2042" spans="1:24" x14ac:dyDescent="0.25">
      <c r="A2042" s="1" t="str">
        <f t="shared" si="596"/>
        <v>卡卡杜-凤凰仓</v>
      </c>
      <c r="B2042" s="1" t="str">
        <f>"CK20241028192"</f>
        <v>CK20241028192</v>
      </c>
      <c r="C2042" s="1" t="str">
        <f>"DD2024102819596"</f>
        <v>DD2024102819596</v>
      </c>
      <c r="D2042" s="1" t="str">
        <f>"CK202410289283"</f>
        <v>CK202410289283</v>
      </c>
      <c r="E2042" s="1" t="str">
        <f>"3723605546025223680"</f>
        <v>3723605546025223680</v>
      </c>
      <c r="F2042" s="1" t="str">
        <f t="shared" si="597"/>
        <v>花都四部-凤凰仓</v>
      </c>
      <c r="G2042" s="1" t="str">
        <f t="shared" si="612"/>
        <v>卡卡杜企业店（视频号）</v>
      </c>
      <c r="H2042" s="1" t="str">
        <f t="shared" si="598"/>
        <v>正常订单</v>
      </c>
      <c r="I2042" s="1" t="str">
        <f t="shared" si="599"/>
        <v>已发货</v>
      </c>
      <c r="J2042" s="1" t="str">
        <f t="shared" si="611"/>
        <v>3</v>
      </c>
      <c r="K2042" s="1">
        <v>2</v>
      </c>
      <c r="L2042" s="1" t="s">
        <v>105</v>
      </c>
      <c r="M2042" s="1" t="str">
        <f>"北京 北京市 东城区 "</f>
        <v xml:space="preserve">北京 北京市 东城区 </v>
      </c>
      <c r="N2042" s="1" t="str">
        <f t="shared" si="613"/>
        <v>凡华云仓-城南圆通-微信视频号</v>
      </c>
      <c r="O2042" s="5" t="s">
        <v>2078</v>
      </c>
      <c r="P2042" s="6">
        <v>0.24</v>
      </c>
      <c r="Q2042" s="11">
        <v>2</v>
      </c>
      <c r="R2042" s="11"/>
      <c r="S2042" s="11"/>
      <c r="T2042" s="11"/>
      <c r="U2042" s="11">
        <f t="shared" si="600"/>
        <v>2</v>
      </c>
      <c r="W2042">
        <v>2.2000000000000002</v>
      </c>
      <c r="X2042" s="1" t="s">
        <v>105</v>
      </c>
    </row>
    <row r="2043" spans="1:24" x14ac:dyDescent="0.25">
      <c r="A2043" s="1" t="str">
        <f t="shared" si="596"/>
        <v>卡卡杜-凤凰仓</v>
      </c>
      <c r="B2043" s="1" t="str">
        <f>"CK20241028189"</f>
        <v>CK20241028189</v>
      </c>
      <c r="C2043" s="1" t="str">
        <f>"DD2024102819595"</f>
        <v>DD2024102819595</v>
      </c>
      <c r="D2043" s="1" t="str">
        <f>"CK202410289282"</f>
        <v>CK202410289282</v>
      </c>
      <c r="E2043" s="1" t="str">
        <f>"3723605551977991169"</f>
        <v>3723605551977991169</v>
      </c>
      <c r="F2043" s="1" t="str">
        <f t="shared" si="597"/>
        <v>花都四部-凤凰仓</v>
      </c>
      <c r="G2043" s="1" t="str">
        <f t="shared" si="612"/>
        <v>卡卡杜企业店（视频号）</v>
      </c>
      <c r="H2043" s="1" t="str">
        <f t="shared" si="598"/>
        <v>正常订单</v>
      </c>
      <c r="I2043" s="1" t="str">
        <f t="shared" si="599"/>
        <v>已发货</v>
      </c>
      <c r="J2043" s="1" t="str">
        <f t="shared" si="611"/>
        <v>3</v>
      </c>
      <c r="K2043" s="1">
        <v>2</v>
      </c>
      <c r="L2043" s="1" t="s">
        <v>96</v>
      </c>
      <c r="M2043" s="1" t="str">
        <f>"广西壮族自治区 桂林市 临桂区 "</f>
        <v xml:space="preserve">广西壮族自治区 桂林市 临桂区 </v>
      </c>
      <c r="N2043" s="1" t="str">
        <f t="shared" si="613"/>
        <v>凡华云仓-城南圆通-微信视频号</v>
      </c>
      <c r="O2043" s="5" t="s">
        <v>2079</v>
      </c>
      <c r="P2043" s="6">
        <v>0.24</v>
      </c>
      <c r="Q2043" s="11">
        <v>2</v>
      </c>
      <c r="R2043" s="11"/>
      <c r="S2043" s="11"/>
      <c r="T2043" s="11"/>
      <c r="U2043" s="11">
        <f t="shared" si="600"/>
        <v>2</v>
      </c>
      <c r="W2043">
        <v>2.2000000000000002</v>
      </c>
      <c r="X2043" s="1" t="s">
        <v>96</v>
      </c>
    </row>
    <row r="2044" spans="1:24" x14ac:dyDescent="0.25">
      <c r="A2044" s="1" t="str">
        <f t="shared" si="596"/>
        <v>卡卡杜-凤凰仓</v>
      </c>
      <c r="B2044" s="1" t="str">
        <f>"CK20241028188"</f>
        <v>CK20241028188</v>
      </c>
      <c r="C2044" s="1" t="str">
        <f>"DD2024102819594"</f>
        <v>DD2024102819594</v>
      </c>
      <c r="D2044" s="1" t="str">
        <f>"CK202410289281"</f>
        <v>CK202410289281</v>
      </c>
      <c r="E2044" s="1" t="str">
        <f>"3723605553379149312"</f>
        <v>3723605553379149312</v>
      </c>
      <c r="F2044" s="1" t="str">
        <f t="shared" si="597"/>
        <v>花都四部-凤凰仓</v>
      </c>
      <c r="G2044" s="1" t="str">
        <f t="shared" si="612"/>
        <v>卡卡杜企业店（视频号）</v>
      </c>
      <c r="H2044" s="1" t="str">
        <f t="shared" si="598"/>
        <v>正常订单</v>
      </c>
      <c r="I2044" s="1" t="str">
        <f t="shared" si="599"/>
        <v>已发货</v>
      </c>
      <c r="J2044" s="1" t="str">
        <f t="shared" si="611"/>
        <v>3</v>
      </c>
      <c r="K2044" s="1">
        <v>2</v>
      </c>
      <c r="L2044" s="1" t="s">
        <v>66</v>
      </c>
      <c r="M2044" s="1" t="str">
        <f>"内蒙古自治区 通辽市 科尔沁区 "</f>
        <v xml:space="preserve">内蒙古自治区 通辽市 科尔沁区 </v>
      </c>
      <c r="N2044" s="1" t="str">
        <f t="shared" si="613"/>
        <v>凡华云仓-城南圆通-微信视频号</v>
      </c>
      <c r="O2044" s="5" t="s">
        <v>2080</v>
      </c>
      <c r="P2044" s="6">
        <v>0.24</v>
      </c>
      <c r="Q2044" s="11">
        <v>2</v>
      </c>
      <c r="R2044" s="11"/>
      <c r="S2044" s="11"/>
      <c r="T2044" s="11"/>
      <c r="U2044" s="11">
        <f t="shared" si="600"/>
        <v>2</v>
      </c>
      <c r="W2044">
        <v>2.2000000000000002</v>
      </c>
      <c r="X2044" s="1" t="s">
        <v>66</v>
      </c>
    </row>
    <row r="2045" spans="1:24" x14ac:dyDescent="0.25">
      <c r="A2045" s="1" t="str">
        <f t="shared" si="596"/>
        <v>卡卡杜-凤凰仓</v>
      </c>
      <c r="B2045" s="1" t="str">
        <f>"CK20241028187"</f>
        <v>CK20241028187</v>
      </c>
      <c r="C2045" s="1" t="str">
        <f>"DD2024102819593"</f>
        <v>DD2024102819593</v>
      </c>
      <c r="D2045" s="1" t="str">
        <f>"CK202410289280"</f>
        <v>CK202410289280</v>
      </c>
      <c r="E2045" s="1" t="str">
        <f>"3723605553946956800"</f>
        <v>3723605553946956800</v>
      </c>
      <c r="F2045" s="1" t="str">
        <f t="shared" si="597"/>
        <v>花都四部-凤凰仓</v>
      </c>
      <c r="G2045" s="1" t="str">
        <f t="shared" si="612"/>
        <v>卡卡杜企业店（视频号）</v>
      </c>
      <c r="H2045" s="1" t="str">
        <f t="shared" si="598"/>
        <v>正常订单</v>
      </c>
      <c r="I2045" s="1" t="str">
        <f t="shared" si="599"/>
        <v>已发货</v>
      </c>
      <c r="J2045" s="1" t="str">
        <f t="shared" si="611"/>
        <v>3</v>
      </c>
      <c r="K2045" s="1">
        <v>2</v>
      </c>
      <c r="L2045" s="1" t="s">
        <v>30</v>
      </c>
      <c r="M2045" s="1" t="str">
        <f>"山东省 青岛市 黄岛区 "</f>
        <v xml:space="preserve">山东省 青岛市 黄岛区 </v>
      </c>
      <c r="N2045" s="1" t="str">
        <f t="shared" si="613"/>
        <v>凡华云仓-城南圆通-微信视频号</v>
      </c>
      <c r="O2045" s="5" t="s">
        <v>2081</v>
      </c>
      <c r="P2045" s="6">
        <v>0.24</v>
      </c>
      <c r="Q2045" s="11">
        <v>2</v>
      </c>
      <c r="R2045" s="11"/>
      <c r="S2045" s="11"/>
      <c r="T2045" s="11"/>
      <c r="U2045" s="11">
        <f t="shared" si="600"/>
        <v>2</v>
      </c>
      <c r="W2045">
        <v>2.2000000000000002</v>
      </c>
      <c r="X2045" s="1" t="s">
        <v>30</v>
      </c>
    </row>
    <row r="2046" spans="1:24" x14ac:dyDescent="0.25">
      <c r="A2046" s="1" t="str">
        <f t="shared" si="596"/>
        <v>卡卡杜-凤凰仓</v>
      </c>
      <c r="B2046" s="1" t="str">
        <f>"CK20241028183"</f>
        <v>CK20241028183</v>
      </c>
      <c r="C2046" s="1" t="str">
        <f>"DD2024102819592"</f>
        <v>DD2024102819592</v>
      </c>
      <c r="D2046" s="1" t="str">
        <f>"CK202410289279"</f>
        <v>CK202410289279</v>
      </c>
      <c r="E2046" s="1" t="str">
        <f>"3723605563902920192"</f>
        <v>3723605563902920192</v>
      </c>
      <c r="F2046" s="1" t="str">
        <f t="shared" si="597"/>
        <v>花都四部-凤凰仓</v>
      </c>
      <c r="G2046" s="1" t="str">
        <f t="shared" si="612"/>
        <v>卡卡杜企业店（视频号）</v>
      </c>
      <c r="H2046" s="1" t="str">
        <f t="shared" si="598"/>
        <v>正常订单</v>
      </c>
      <c r="I2046" s="1" t="str">
        <f t="shared" si="599"/>
        <v>已发货</v>
      </c>
      <c r="J2046" s="1" t="str">
        <f t="shared" si="611"/>
        <v>3</v>
      </c>
      <c r="K2046" s="1">
        <v>2</v>
      </c>
      <c r="L2046" s="1" t="s">
        <v>74</v>
      </c>
      <c r="M2046" s="1" t="str">
        <f>"上海 上海市 普陀区 "</f>
        <v xml:space="preserve">上海 上海市 普陀区 </v>
      </c>
      <c r="N2046" s="1" t="str">
        <f t="shared" si="613"/>
        <v>凡华云仓-城南圆通-微信视频号</v>
      </c>
      <c r="O2046" s="5" t="s">
        <v>2082</v>
      </c>
      <c r="P2046" s="6">
        <v>0.24</v>
      </c>
      <c r="Q2046" s="11">
        <v>2</v>
      </c>
      <c r="R2046" s="11"/>
      <c r="S2046" s="11"/>
      <c r="T2046" s="11"/>
      <c r="U2046" s="11">
        <f t="shared" si="600"/>
        <v>2</v>
      </c>
      <c r="W2046">
        <v>2.2000000000000002</v>
      </c>
      <c r="X2046" s="1" t="s">
        <v>74</v>
      </c>
    </row>
    <row r="2047" spans="1:24" x14ac:dyDescent="0.25">
      <c r="A2047" s="1" t="str">
        <f t="shared" si="596"/>
        <v>卡卡杜-凤凰仓</v>
      </c>
      <c r="B2047" s="1" t="str">
        <f>"CK20241028186"</f>
        <v>CK20241028186</v>
      </c>
      <c r="C2047" s="1" t="str">
        <f>"DD2024102819591"</f>
        <v>DD2024102819591</v>
      </c>
      <c r="D2047" s="1" t="str">
        <f>"CK202410289278"</f>
        <v>CK202410289278</v>
      </c>
      <c r="E2047" s="1" t="str">
        <f>"3723605555748671488"</f>
        <v>3723605555748671488</v>
      </c>
      <c r="F2047" s="1" t="str">
        <f t="shared" si="597"/>
        <v>花都四部-凤凰仓</v>
      </c>
      <c r="G2047" s="1" t="str">
        <f t="shared" si="612"/>
        <v>卡卡杜企业店（视频号）</v>
      </c>
      <c r="H2047" s="1" t="str">
        <f t="shared" si="598"/>
        <v>正常订单</v>
      </c>
      <c r="I2047" s="1" t="str">
        <f t="shared" si="599"/>
        <v>已发货</v>
      </c>
      <c r="J2047" s="1" t="str">
        <f t="shared" si="611"/>
        <v>3</v>
      </c>
      <c r="K2047" s="1">
        <v>2</v>
      </c>
      <c r="L2047" s="1" t="s">
        <v>54</v>
      </c>
      <c r="M2047" s="1" t="str">
        <f>"黑龙江省 哈尔滨市 香坊区 "</f>
        <v xml:space="preserve">黑龙江省 哈尔滨市 香坊区 </v>
      </c>
      <c r="N2047" s="1" t="str">
        <f t="shared" si="613"/>
        <v>凡华云仓-城南圆通-微信视频号</v>
      </c>
      <c r="O2047" s="5" t="s">
        <v>2083</v>
      </c>
      <c r="P2047" s="6">
        <v>0.24</v>
      </c>
      <c r="Q2047" s="11">
        <v>2</v>
      </c>
      <c r="R2047" s="11"/>
      <c r="S2047" s="11"/>
      <c r="T2047" s="11"/>
      <c r="U2047" s="11">
        <f t="shared" si="600"/>
        <v>2</v>
      </c>
      <c r="W2047">
        <v>2.2000000000000002</v>
      </c>
      <c r="X2047" s="1" t="s">
        <v>54</v>
      </c>
    </row>
    <row r="2048" spans="1:24" x14ac:dyDescent="0.25">
      <c r="A2048" s="1" t="str">
        <f>"卡卡杜-凤凰仓"</f>
        <v>卡卡杜-凤凰仓</v>
      </c>
      <c r="B2048" s="1" t="str">
        <f>"CK20241028185"</f>
        <v>CK20241028185</v>
      </c>
      <c r="C2048" s="1" t="str">
        <f>"DD2024102819590"</f>
        <v>DD2024102819590</v>
      </c>
      <c r="D2048" s="1" t="str">
        <f>"CK202410289277"</f>
        <v>CK202410289277</v>
      </c>
      <c r="E2048" s="1" t="str">
        <f>"3723605559482648064"</f>
        <v>3723605559482648064</v>
      </c>
      <c r="F2048" s="1" t="str">
        <f>"花都四部-凤凰仓"</f>
        <v>花都四部-凤凰仓</v>
      </c>
      <c r="G2048" s="1" t="str">
        <f t="shared" si="612"/>
        <v>卡卡杜企业店（视频号）</v>
      </c>
      <c r="H2048" s="1" t="str">
        <f>"正常订单"</f>
        <v>正常订单</v>
      </c>
      <c r="I2048" s="1" t="str">
        <f>"已发货"</f>
        <v>已发货</v>
      </c>
      <c r="J2048" s="1" t="str">
        <f t="shared" si="611"/>
        <v>3</v>
      </c>
      <c r="K2048" s="1">
        <v>2</v>
      </c>
      <c r="L2048" s="1" t="s">
        <v>30</v>
      </c>
      <c r="M2048" s="1" t="str">
        <f>"山东省 德州市 德城区 "</f>
        <v xml:space="preserve">山东省 德州市 德城区 </v>
      </c>
      <c r="N2048" s="1" t="str">
        <f t="shared" si="613"/>
        <v>凡华云仓-城南圆通-微信视频号</v>
      </c>
      <c r="O2048" s="5" t="s">
        <v>2084</v>
      </c>
      <c r="P2048" s="6">
        <v>0.24</v>
      </c>
      <c r="Q2048" s="11">
        <v>2</v>
      </c>
      <c r="R2048" s="11"/>
      <c r="S2048" s="11"/>
      <c r="T2048" s="11"/>
      <c r="U2048" s="11">
        <f t="shared" si="600"/>
        <v>2</v>
      </c>
      <c r="W2048">
        <v>2.2000000000000002</v>
      </c>
      <c r="X2048" s="1" t="s">
        <v>30</v>
      </c>
    </row>
    <row r="2049" spans="1:24" x14ac:dyDescent="0.25">
      <c r="A2049" s="1" t="str">
        <f>"卡卡杜-凤凰仓"</f>
        <v>卡卡杜-凤凰仓</v>
      </c>
      <c r="B2049" s="1" t="str">
        <f>"CK20241028184"</f>
        <v>CK20241028184</v>
      </c>
      <c r="C2049" s="1" t="str">
        <f>"DD2024102819589"</f>
        <v>DD2024102819589</v>
      </c>
      <c r="D2049" s="1" t="str">
        <f>"CK202410289276"</f>
        <v>CK202410289276</v>
      </c>
      <c r="E2049" s="1" t="str">
        <f>"3723605562653803778"</f>
        <v>3723605562653803778</v>
      </c>
      <c r="F2049" s="1" t="str">
        <f>"花都四部-凤凰仓"</f>
        <v>花都四部-凤凰仓</v>
      </c>
      <c r="G2049" s="1" t="str">
        <f t="shared" si="612"/>
        <v>卡卡杜企业店（视频号）</v>
      </c>
      <c r="H2049" s="1" t="str">
        <f>"正常订单"</f>
        <v>正常订单</v>
      </c>
      <c r="I2049" s="1" t="str">
        <f>"已发货"</f>
        <v>已发货</v>
      </c>
      <c r="J2049" s="1" t="str">
        <f t="shared" si="611"/>
        <v>3</v>
      </c>
      <c r="K2049" s="1">
        <v>2</v>
      </c>
      <c r="L2049" s="1" t="s">
        <v>30</v>
      </c>
      <c r="M2049" s="1" t="str">
        <f>"山东省 济南市 历城区 "</f>
        <v xml:space="preserve">山东省 济南市 历城区 </v>
      </c>
      <c r="N2049" s="1" t="str">
        <f t="shared" si="613"/>
        <v>凡华云仓-城南圆通-微信视频号</v>
      </c>
      <c r="O2049" s="5" t="s">
        <v>2085</v>
      </c>
      <c r="P2049" s="6">
        <v>0.24</v>
      </c>
      <c r="Q2049" s="11">
        <v>2</v>
      </c>
      <c r="R2049" s="11"/>
      <c r="S2049" s="11"/>
      <c r="T2049" s="11"/>
      <c r="U2049" s="11">
        <f t="shared" si="600"/>
        <v>2</v>
      </c>
      <c r="W2049">
        <v>2.2000000000000002</v>
      </c>
      <c r="X2049" s="1" t="s">
        <v>30</v>
      </c>
    </row>
    <row r="2050" spans="1:24" x14ac:dyDescent="0.25">
      <c r="A2050" s="1" t="str">
        <f>"卡卡杜-凤凰仓"</f>
        <v>卡卡杜-凤凰仓</v>
      </c>
      <c r="B2050" s="1" t="str">
        <f>"CK20241028182"</f>
        <v>CK20241028182</v>
      </c>
      <c r="C2050" s="1" t="str">
        <f>"DD2024102819588"</f>
        <v>DD2024102819588</v>
      </c>
      <c r="D2050" s="1" t="str">
        <f>"CK202410289275"</f>
        <v>CK202410289275</v>
      </c>
      <c r="E2050" s="1" t="str">
        <f>"3723605563909735680"</f>
        <v>3723605563909735680</v>
      </c>
      <c r="F2050" s="1" t="str">
        <f>"花都四部-凤凰仓"</f>
        <v>花都四部-凤凰仓</v>
      </c>
      <c r="G2050" s="1" t="str">
        <f t="shared" si="612"/>
        <v>卡卡杜企业店（视频号）</v>
      </c>
      <c r="H2050" s="1" t="str">
        <f>"正常订单"</f>
        <v>正常订单</v>
      </c>
      <c r="I2050" s="1" t="str">
        <f>"已发货"</f>
        <v>已发货</v>
      </c>
      <c r="J2050" s="1" t="str">
        <f t="shared" si="611"/>
        <v>3</v>
      </c>
      <c r="K2050" s="1">
        <v>2</v>
      </c>
      <c r="L2050" s="1" t="s">
        <v>182</v>
      </c>
      <c r="M2050" s="1" t="str">
        <f>"新疆维吾尔自治区 阿勒泰地区 福海县 "</f>
        <v xml:space="preserve">新疆维吾尔自治区 阿勒泰地区 福海县 </v>
      </c>
      <c r="N2050" s="1" t="str">
        <f t="shared" si="613"/>
        <v>凡华云仓-城南圆通-微信视频号</v>
      </c>
      <c r="O2050" s="5" t="s">
        <v>2086</v>
      </c>
      <c r="P2050" s="6">
        <v>0.24</v>
      </c>
      <c r="Q2050" s="11">
        <v>17</v>
      </c>
      <c r="R2050" s="11"/>
      <c r="S2050" s="11"/>
      <c r="T2050" s="11"/>
      <c r="U2050" s="11">
        <f t="shared" si="600"/>
        <v>17</v>
      </c>
      <c r="W2050">
        <v>17</v>
      </c>
      <c r="X2050" s="1" t="s">
        <v>182</v>
      </c>
    </row>
    <row r="2051" spans="1:24" x14ac:dyDescent="0.25">
      <c r="A2051" s="1" t="str">
        <f>"卡卡杜-凤凰仓"</f>
        <v>卡卡杜-凤凰仓</v>
      </c>
      <c r="B2051" s="1" t="str">
        <f>"CK20241028181"</f>
        <v>CK20241028181</v>
      </c>
      <c r="C2051" s="1" t="str">
        <f>"DD2024102819587"</f>
        <v>DD2024102819587</v>
      </c>
      <c r="D2051" s="1" t="str">
        <f>"CK202410289274"</f>
        <v>CK202410289274</v>
      </c>
      <c r="E2051" s="1" t="str">
        <f>"3723605564642428160"</f>
        <v>3723605564642428160</v>
      </c>
      <c r="F2051" s="1" t="str">
        <f>"花都四部-凤凰仓"</f>
        <v>花都四部-凤凰仓</v>
      </c>
      <c r="G2051" s="1" t="str">
        <f t="shared" si="612"/>
        <v>卡卡杜企业店（视频号）</v>
      </c>
      <c r="H2051" s="1" t="str">
        <f>"正常订单"</f>
        <v>正常订单</v>
      </c>
      <c r="I2051" s="1" t="str">
        <f>"已发货"</f>
        <v>已发货</v>
      </c>
      <c r="J2051" s="1" t="str">
        <f t="shared" si="611"/>
        <v>3</v>
      </c>
      <c r="K2051" s="1">
        <v>2</v>
      </c>
      <c r="L2051" s="1" t="s">
        <v>105</v>
      </c>
      <c r="M2051" s="1" t="str">
        <f>"北京 北京市 朝阳区 "</f>
        <v xml:space="preserve">北京 北京市 朝阳区 </v>
      </c>
      <c r="N2051" s="1" t="str">
        <f t="shared" si="613"/>
        <v>凡华云仓-城南圆通-微信视频号</v>
      </c>
      <c r="O2051" s="5" t="s">
        <v>2087</v>
      </c>
      <c r="P2051" s="6">
        <v>0.24</v>
      </c>
      <c r="Q2051" s="11">
        <v>2</v>
      </c>
      <c r="R2051" s="11"/>
      <c r="S2051" s="11"/>
      <c r="T2051" s="11"/>
      <c r="U2051" s="11">
        <f t="shared" ref="U2051:U2114" si="614">T2051+S2051+R2051+Q2051</f>
        <v>2</v>
      </c>
      <c r="W2051">
        <v>2.2000000000000002</v>
      </c>
      <c r="X2051" s="1" t="s">
        <v>105</v>
      </c>
    </row>
    <row r="2052" spans="1:24" x14ac:dyDescent="0.25">
      <c r="A2052" s="1" t="str">
        <f>"卡卡杜-凤凰仓"</f>
        <v>卡卡杜-凤凰仓</v>
      </c>
      <c r="B2052" s="1" t="str">
        <f>"CK20241028179"</f>
        <v>CK20241028179</v>
      </c>
      <c r="C2052" s="1" t="str">
        <f>"DD2024102819586"</f>
        <v>DD2024102819586</v>
      </c>
      <c r="D2052" s="1" t="str">
        <f>"CK202410289273"</f>
        <v>CK202410289273</v>
      </c>
      <c r="E2052" s="1" t="str">
        <f>"3723605571081473024"</f>
        <v>3723605571081473024</v>
      </c>
      <c r="F2052" s="1" t="str">
        <f>"花都四部-凤凰仓"</f>
        <v>花都四部-凤凰仓</v>
      </c>
      <c r="G2052" s="1" t="str">
        <f t="shared" si="612"/>
        <v>卡卡杜企业店（视频号）</v>
      </c>
      <c r="H2052" s="1" t="str">
        <f>"正常订单"</f>
        <v>正常订单</v>
      </c>
      <c r="I2052" s="1" t="str">
        <f>"已发货"</f>
        <v>已发货</v>
      </c>
      <c r="J2052" s="1" t="str">
        <f t="shared" si="611"/>
        <v>3</v>
      </c>
      <c r="K2052" s="1">
        <v>2</v>
      </c>
      <c r="L2052" s="1" t="s">
        <v>105</v>
      </c>
      <c r="M2052" s="1" t="str">
        <f>"北京 北京市 东城区 "</f>
        <v xml:space="preserve">北京 北京市 东城区 </v>
      </c>
      <c r="N2052" s="1" t="str">
        <f t="shared" si="613"/>
        <v>凡华云仓-城南圆通-微信视频号</v>
      </c>
      <c r="O2052" s="5" t="s">
        <v>2088</v>
      </c>
      <c r="P2052" s="6">
        <v>0.24</v>
      </c>
      <c r="Q2052" s="11">
        <v>2</v>
      </c>
      <c r="R2052" s="11"/>
      <c r="S2052" s="11"/>
      <c r="T2052" s="11"/>
      <c r="U2052" s="11">
        <f t="shared" si="614"/>
        <v>2</v>
      </c>
      <c r="W2052">
        <v>2.2000000000000002</v>
      </c>
      <c r="X2052" s="1" t="s">
        <v>105</v>
      </c>
    </row>
    <row r="2053" spans="1:24" x14ac:dyDescent="0.25">
      <c r="A2053" s="1" t="str">
        <f t="shared" ref="A2053:A2116" si="615">"卡卡杜-凤凰仓"</f>
        <v>卡卡杜-凤凰仓</v>
      </c>
      <c r="B2053" s="1" t="str">
        <f>"CK20241028177"</f>
        <v>CK20241028177</v>
      </c>
      <c r="C2053" s="1" t="str">
        <f>"DD2024102819584"</f>
        <v>DD2024102819584</v>
      </c>
      <c r="D2053" s="1" t="str">
        <f>"CK202410289271"</f>
        <v>CK202410289271</v>
      </c>
      <c r="E2053" s="1" t="str">
        <f>"2430102415059898"</f>
        <v>2430102415059898</v>
      </c>
      <c r="F2053" s="1" t="str">
        <f t="shared" ref="F2053:F2116" si="616">"花都四部-凤凰仓"</f>
        <v>花都四部-凤凰仓</v>
      </c>
      <c r="G2053" s="1" t="str">
        <f>"卡卡杜佳旺专卖店（快手店）"</f>
        <v>卡卡杜佳旺专卖店（快手店）</v>
      </c>
      <c r="H2053" s="1" t="str">
        <f t="shared" ref="H2053:H2116" si="617">"正常订单"</f>
        <v>正常订单</v>
      </c>
      <c r="I2053" s="1" t="str">
        <f t="shared" ref="I2053:I2116" si="618">"已发货"</f>
        <v>已发货</v>
      </c>
      <c r="J2053" s="1" t="str">
        <f t="shared" si="611"/>
        <v>3</v>
      </c>
      <c r="K2053" s="1">
        <v>2</v>
      </c>
      <c r="L2053" s="1" t="s">
        <v>18</v>
      </c>
      <c r="M2053" s="1" t="str">
        <f>"广东省 深圳市 光明区 马田街道"</f>
        <v>广东省 深圳市 光明区 马田街道</v>
      </c>
      <c r="N2053" s="1" t="str">
        <f>"凡华云仓-城南圆通-快手"</f>
        <v>凡华云仓-城南圆通-快手</v>
      </c>
      <c r="O2053" s="5" t="s">
        <v>2089</v>
      </c>
      <c r="P2053" s="6">
        <v>0.35</v>
      </c>
      <c r="Q2053" s="11">
        <v>2.2999999999999998</v>
      </c>
      <c r="R2053" s="11"/>
      <c r="S2053" s="11"/>
      <c r="T2053" s="11"/>
      <c r="U2053" s="11">
        <f t="shared" si="614"/>
        <v>2.2999999999999998</v>
      </c>
      <c r="W2053">
        <v>2.5</v>
      </c>
      <c r="X2053" s="1" t="s">
        <v>18</v>
      </c>
    </row>
    <row r="2054" spans="1:24" x14ac:dyDescent="0.25">
      <c r="A2054" s="1" t="str">
        <f t="shared" si="615"/>
        <v>卡卡杜-凤凰仓</v>
      </c>
      <c r="B2054" s="1" t="str">
        <f>"CK20241028178"</f>
        <v>CK20241028178</v>
      </c>
      <c r="C2054" s="1" t="str">
        <f>"DD2024102819583"</f>
        <v>DD2024102819583</v>
      </c>
      <c r="D2054" s="1" t="str">
        <f>"CK202410289270"</f>
        <v>CK202410289270</v>
      </c>
      <c r="E2054" s="1" t="str">
        <f>"3723605582258245633"</f>
        <v>3723605582258245633</v>
      </c>
      <c r="F2054" s="1" t="str">
        <f t="shared" si="616"/>
        <v>花都四部-凤凰仓</v>
      </c>
      <c r="G2054" s="1" t="str">
        <f t="shared" ref="G2054:G2059" si="619">"卡卡杜企业店（视频号）"</f>
        <v>卡卡杜企业店（视频号）</v>
      </c>
      <c r="H2054" s="1" t="str">
        <f t="shared" si="617"/>
        <v>正常订单</v>
      </c>
      <c r="I2054" s="1" t="str">
        <f t="shared" si="618"/>
        <v>已发货</v>
      </c>
      <c r="J2054" s="1" t="str">
        <f t="shared" si="611"/>
        <v>3</v>
      </c>
      <c r="K2054" s="1">
        <v>2</v>
      </c>
      <c r="L2054" s="1" t="s">
        <v>74</v>
      </c>
      <c r="M2054" s="1" t="str">
        <f>"上海 上海市 徐汇区 "</f>
        <v xml:space="preserve">上海 上海市 徐汇区 </v>
      </c>
      <c r="N2054" s="1" t="str">
        <f t="shared" ref="N2054:N2059" si="620">"凡华云仓-城南圆通-微信视频号"</f>
        <v>凡华云仓-城南圆通-微信视频号</v>
      </c>
      <c r="O2054" s="5" t="s">
        <v>2090</v>
      </c>
      <c r="P2054" s="6">
        <v>0.24</v>
      </c>
      <c r="Q2054" s="11">
        <v>2</v>
      </c>
      <c r="R2054" s="11"/>
      <c r="S2054" s="11"/>
      <c r="T2054" s="11"/>
      <c r="U2054" s="11">
        <f t="shared" si="614"/>
        <v>2</v>
      </c>
      <c r="W2054">
        <v>2.2000000000000002</v>
      </c>
      <c r="X2054" s="1" t="s">
        <v>74</v>
      </c>
    </row>
    <row r="2055" spans="1:24" x14ac:dyDescent="0.25">
      <c r="A2055" s="1" t="str">
        <f t="shared" si="615"/>
        <v>卡卡杜-凤凰仓</v>
      </c>
      <c r="B2055" s="1" t="str">
        <f>"CK20241028176"</f>
        <v>CK20241028176</v>
      </c>
      <c r="C2055" s="1" t="str">
        <f>"DD2024102819582"</f>
        <v>DD2024102819582</v>
      </c>
      <c r="D2055" s="1" t="str">
        <f>"CK202410289269"</f>
        <v>CK202410289269</v>
      </c>
      <c r="E2055" s="1" t="str">
        <f>"3723605586804081920"</f>
        <v>3723605586804081920</v>
      </c>
      <c r="F2055" s="1" t="str">
        <f t="shared" si="616"/>
        <v>花都四部-凤凰仓</v>
      </c>
      <c r="G2055" s="1" t="str">
        <f t="shared" si="619"/>
        <v>卡卡杜企业店（视频号）</v>
      </c>
      <c r="H2055" s="1" t="str">
        <f t="shared" si="617"/>
        <v>正常订单</v>
      </c>
      <c r="I2055" s="1" t="str">
        <f t="shared" si="618"/>
        <v>已发货</v>
      </c>
      <c r="J2055" s="1" t="str">
        <f t="shared" si="611"/>
        <v>3</v>
      </c>
      <c r="K2055" s="1">
        <v>2</v>
      </c>
      <c r="L2055" s="1" t="s">
        <v>24</v>
      </c>
      <c r="M2055" s="1" t="str">
        <f>"福建省 福州市 仓山区 "</f>
        <v xml:space="preserve">福建省 福州市 仓山区 </v>
      </c>
      <c r="N2055" s="1" t="str">
        <f t="shared" si="620"/>
        <v>凡华云仓-城南圆通-微信视频号</v>
      </c>
      <c r="O2055" s="5" t="s">
        <v>2091</v>
      </c>
      <c r="P2055" s="6">
        <v>0.24</v>
      </c>
      <c r="Q2055" s="11">
        <v>2</v>
      </c>
      <c r="R2055" s="11"/>
      <c r="S2055" s="11"/>
      <c r="T2055" s="11"/>
      <c r="U2055" s="11">
        <f t="shared" si="614"/>
        <v>2</v>
      </c>
      <c r="W2055">
        <v>2.2000000000000002</v>
      </c>
      <c r="X2055" s="1" t="s">
        <v>24</v>
      </c>
    </row>
    <row r="2056" spans="1:24" x14ac:dyDescent="0.25">
      <c r="A2056" s="1" t="str">
        <f t="shared" si="615"/>
        <v>卡卡杜-凤凰仓</v>
      </c>
      <c r="B2056" s="1" t="str">
        <f>"CK20241028175"</f>
        <v>CK20241028175</v>
      </c>
      <c r="C2056" s="1" t="str">
        <f>"DD2024102819581"</f>
        <v>DD2024102819581</v>
      </c>
      <c r="D2056" s="1" t="str">
        <f>"CK202410289268"</f>
        <v>CK202410289268</v>
      </c>
      <c r="E2056" s="1" t="str">
        <f>"3723605596851540992"</f>
        <v>3723605596851540992</v>
      </c>
      <c r="F2056" s="1" t="str">
        <f t="shared" si="616"/>
        <v>花都四部-凤凰仓</v>
      </c>
      <c r="G2056" s="1" t="str">
        <f t="shared" si="619"/>
        <v>卡卡杜企业店（视频号）</v>
      </c>
      <c r="H2056" s="1" t="str">
        <f t="shared" si="617"/>
        <v>正常订单</v>
      </c>
      <c r="I2056" s="1" t="str">
        <f t="shared" si="618"/>
        <v>已发货</v>
      </c>
      <c r="J2056" s="1" t="str">
        <f t="shared" si="611"/>
        <v>3</v>
      </c>
      <c r="K2056" s="1">
        <v>2</v>
      </c>
      <c r="L2056" s="1" t="s">
        <v>13</v>
      </c>
      <c r="M2056" s="1" t="str">
        <f>"江苏省 连云港市 东海县 "</f>
        <v xml:space="preserve">江苏省 连云港市 东海县 </v>
      </c>
      <c r="N2056" s="1" t="str">
        <f t="shared" si="620"/>
        <v>凡华云仓-城南圆通-微信视频号</v>
      </c>
      <c r="O2056" s="5" t="s">
        <v>2092</v>
      </c>
      <c r="P2056" s="6">
        <v>0.24</v>
      </c>
      <c r="Q2056" s="11">
        <v>2</v>
      </c>
      <c r="R2056" s="11"/>
      <c r="S2056" s="11"/>
      <c r="T2056" s="11"/>
      <c r="U2056" s="11">
        <f t="shared" si="614"/>
        <v>2</v>
      </c>
      <c r="W2056">
        <v>2.2000000000000002</v>
      </c>
      <c r="X2056" s="1" t="s">
        <v>13</v>
      </c>
    </row>
    <row r="2057" spans="1:24" x14ac:dyDescent="0.25">
      <c r="A2057" s="1" t="str">
        <f t="shared" si="615"/>
        <v>卡卡杜-凤凰仓</v>
      </c>
      <c r="B2057" s="1" t="str">
        <f>"CK20241028174"</f>
        <v>CK20241028174</v>
      </c>
      <c r="C2057" s="1" t="str">
        <f>"DD2024102819580"</f>
        <v>DD2024102819580</v>
      </c>
      <c r="D2057" s="1" t="str">
        <f>"CK202410289267"</f>
        <v>CK202410289267</v>
      </c>
      <c r="E2057" s="1" t="str">
        <f>"3723605614630405632"</f>
        <v>3723605614630405632</v>
      </c>
      <c r="F2057" s="1" t="str">
        <f t="shared" si="616"/>
        <v>花都四部-凤凰仓</v>
      </c>
      <c r="G2057" s="1" t="str">
        <f t="shared" si="619"/>
        <v>卡卡杜企业店（视频号）</v>
      </c>
      <c r="H2057" s="1" t="str">
        <f t="shared" si="617"/>
        <v>正常订单</v>
      </c>
      <c r="I2057" s="1" t="str">
        <f t="shared" si="618"/>
        <v>已发货</v>
      </c>
      <c r="J2057" s="1" t="str">
        <f t="shared" si="611"/>
        <v>3</v>
      </c>
      <c r="K2057" s="1">
        <v>2</v>
      </c>
      <c r="L2057" s="1" t="s">
        <v>22</v>
      </c>
      <c r="M2057" s="1" t="str">
        <f>"江西省 南昌市 红谷滩区 "</f>
        <v xml:space="preserve">江西省 南昌市 红谷滩区 </v>
      </c>
      <c r="N2057" s="1" t="str">
        <f t="shared" si="620"/>
        <v>凡华云仓-城南圆通-微信视频号</v>
      </c>
      <c r="O2057" s="5" t="s">
        <v>2093</v>
      </c>
      <c r="P2057" s="6">
        <v>0.24</v>
      </c>
      <c r="Q2057" s="11">
        <v>2</v>
      </c>
      <c r="R2057" s="11"/>
      <c r="S2057" s="11"/>
      <c r="T2057" s="11"/>
      <c r="U2057" s="11">
        <f t="shared" si="614"/>
        <v>2</v>
      </c>
      <c r="W2057">
        <v>2.2000000000000002</v>
      </c>
      <c r="X2057" s="1" t="s">
        <v>22</v>
      </c>
    </row>
    <row r="2058" spans="1:24" x14ac:dyDescent="0.25">
      <c r="A2058" s="1" t="str">
        <f t="shared" si="615"/>
        <v>卡卡杜-凤凰仓</v>
      </c>
      <c r="B2058" s="1" t="str">
        <f>"CK20241028173"</f>
        <v>CK20241028173</v>
      </c>
      <c r="C2058" s="1" t="str">
        <f>"DD2024102819579"</f>
        <v>DD2024102819579</v>
      </c>
      <c r="D2058" s="1" t="str">
        <f>"CK202410289266"</f>
        <v>CK202410289266</v>
      </c>
      <c r="E2058" s="1" t="str">
        <f>"3723605621820491265"</f>
        <v>3723605621820491265</v>
      </c>
      <c r="F2058" s="1" t="str">
        <f t="shared" si="616"/>
        <v>花都四部-凤凰仓</v>
      </c>
      <c r="G2058" s="1" t="str">
        <f t="shared" si="619"/>
        <v>卡卡杜企业店（视频号）</v>
      </c>
      <c r="H2058" s="1" t="str">
        <f t="shared" si="617"/>
        <v>正常订单</v>
      </c>
      <c r="I2058" s="1" t="str">
        <f t="shared" si="618"/>
        <v>已发货</v>
      </c>
      <c r="J2058" s="1" t="str">
        <f t="shared" si="611"/>
        <v>3</v>
      </c>
      <c r="K2058" s="1">
        <v>2</v>
      </c>
      <c r="L2058" s="1" t="s">
        <v>74</v>
      </c>
      <c r="M2058" s="1" t="str">
        <f>"上海 上海市 普陀区 "</f>
        <v xml:space="preserve">上海 上海市 普陀区 </v>
      </c>
      <c r="N2058" s="1" t="str">
        <f t="shared" si="620"/>
        <v>凡华云仓-城南圆通-微信视频号</v>
      </c>
      <c r="O2058" s="5" t="s">
        <v>2094</v>
      </c>
      <c r="P2058" s="6">
        <v>0.24</v>
      </c>
      <c r="Q2058" s="11">
        <v>2</v>
      </c>
      <c r="R2058" s="11"/>
      <c r="S2058" s="11"/>
      <c r="T2058" s="11"/>
      <c r="U2058" s="11">
        <f t="shared" si="614"/>
        <v>2</v>
      </c>
      <c r="W2058">
        <v>2.2000000000000002</v>
      </c>
      <c r="X2058" s="1" t="s">
        <v>74</v>
      </c>
    </row>
    <row r="2059" spans="1:24" x14ac:dyDescent="0.25">
      <c r="A2059" s="1" t="str">
        <f t="shared" si="615"/>
        <v>卡卡杜-凤凰仓</v>
      </c>
      <c r="B2059" s="1" t="str">
        <f>"CK20241028172"</f>
        <v>CK20241028172</v>
      </c>
      <c r="C2059" s="1" t="str">
        <f>"DD2024102819578"</f>
        <v>DD2024102819578</v>
      </c>
      <c r="D2059" s="1" t="str">
        <f>"CK202410289265"</f>
        <v>CK202410289265</v>
      </c>
      <c r="E2059" s="1" t="str">
        <f>"3723605714562057728"</f>
        <v>3723605714562057728</v>
      </c>
      <c r="F2059" s="1" t="str">
        <f t="shared" si="616"/>
        <v>花都四部-凤凰仓</v>
      </c>
      <c r="G2059" s="1" t="str">
        <f t="shared" si="619"/>
        <v>卡卡杜企业店（视频号）</v>
      </c>
      <c r="H2059" s="1" t="str">
        <f t="shared" si="617"/>
        <v>正常订单</v>
      </c>
      <c r="I2059" s="1" t="str">
        <f t="shared" si="618"/>
        <v>已发货</v>
      </c>
      <c r="J2059" s="1" t="str">
        <f t="shared" si="611"/>
        <v>3</v>
      </c>
      <c r="K2059" s="1">
        <v>2</v>
      </c>
      <c r="L2059" s="1" t="s">
        <v>74</v>
      </c>
      <c r="M2059" s="1" t="str">
        <f>"上海 上海市 闵行区 "</f>
        <v xml:space="preserve">上海 上海市 闵行区 </v>
      </c>
      <c r="N2059" s="1" t="str">
        <f t="shared" si="620"/>
        <v>凡华云仓-城南圆通-微信视频号</v>
      </c>
      <c r="O2059" s="5" t="s">
        <v>2095</v>
      </c>
      <c r="P2059" s="6">
        <v>0.24</v>
      </c>
      <c r="Q2059" s="11">
        <v>2</v>
      </c>
      <c r="R2059" s="11"/>
      <c r="S2059" s="11"/>
      <c r="T2059" s="11"/>
      <c r="U2059" s="11">
        <f t="shared" si="614"/>
        <v>2</v>
      </c>
      <c r="W2059">
        <v>2.2000000000000002</v>
      </c>
      <c r="X2059" s="1" t="s">
        <v>74</v>
      </c>
    </row>
    <row r="2060" spans="1:24" x14ac:dyDescent="0.25">
      <c r="A2060" s="1" t="str">
        <f t="shared" si="615"/>
        <v>卡卡杜-凤凰仓</v>
      </c>
      <c r="B2060" s="1" t="str">
        <f>"CK20241028171"</f>
        <v>CK20241028171</v>
      </c>
      <c r="C2060" s="1" t="str">
        <f>"DD2024102819577"</f>
        <v>DD2024102819577</v>
      </c>
      <c r="D2060" s="1" t="str">
        <f>"CK202410289264"</f>
        <v>CK202410289264</v>
      </c>
      <c r="E2060" s="1" t="str">
        <f>"6935559866081154355"</f>
        <v>6935559866081154355</v>
      </c>
      <c r="F2060" s="1" t="str">
        <f t="shared" si="616"/>
        <v>花都四部-凤凰仓</v>
      </c>
      <c r="G2060" s="1" t="str">
        <f>"卡卡杜个人护理店（抖店）"</f>
        <v>卡卡杜个人护理店（抖店）</v>
      </c>
      <c r="H2060" s="1" t="str">
        <f t="shared" si="617"/>
        <v>正常订单</v>
      </c>
      <c r="I2060" s="1" t="str">
        <f t="shared" si="618"/>
        <v>已发货</v>
      </c>
      <c r="J2060" s="1" t="str">
        <f t="shared" si="611"/>
        <v>3</v>
      </c>
      <c r="K2060" s="1">
        <v>2</v>
      </c>
      <c r="L2060" s="1" t="s">
        <v>32</v>
      </c>
      <c r="M2060" s="1" t="str">
        <f>"陕西省 榆林市 榆阳区 驼峰路街道"</f>
        <v>陕西省 榆林市 榆阳区 驼峰路街道</v>
      </c>
      <c r="N2060" s="1" t="str">
        <f>"凡华云仓-城南圆通-抖音"</f>
        <v>凡华云仓-城南圆通-抖音</v>
      </c>
      <c r="O2060" s="5" t="s">
        <v>2096</v>
      </c>
      <c r="P2060" s="6">
        <v>0.35</v>
      </c>
      <c r="Q2060" s="11">
        <v>2.2999999999999998</v>
      </c>
      <c r="R2060" s="11"/>
      <c r="S2060" s="11"/>
      <c r="T2060" s="11"/>
      <c r="U2060" s="11">
        <f t="shared" si="614"/>
        <v>2.2999999999999998</v>
      </c>
      <c r="W2060">
        <v>2.5</v>
      </c>
      <c r="X2060" s="1" t="s">
        <v>32</v>
      </c>
    </row>
    <row r="2061" spans="1:24" x14ac:dyDescent="0.25">
      <c r="A2061" s="1" t="str">
        <f t="shared" si="615"/>
        <v>卡卡杜-凤凰仓</v>
      </c>
      <c r="B2061" s="1" t="str">
        <f>"CK20241028170"</f>
        <v>CK20241028170</v>
      </c>
      <c r="C2061" s="1" t="str">
        <f>"DD2024102819576"</f>
        <v>DD2024102819576</v>
      </c>
      <c r="D2061" s="1" t="str">
        <f>"CK202410289263"</f>
        <v>CK202410289263</v>
      </c>
      <c r="E2061" s="1" t="str">
        <f>"3723605857314934785"</f>
        <v>3723605857314934785</v>
      </c>
      <c r="F2061" s="1" t="str">
        <f t="shared" si="616"/>
        <v>花都四部-凤凰仓</v>
      </c>
      <c r="G2061" s="1" t="str">
        <f t="shared" ref="G2061:G2077" si="621">"卡卡杜企业店（视频号）"</f>
        <v>卡卡杜企业店（视频号）</v>
      </c>
      <c r="H2061" s="1" t="str">
        <f t="shared" si="617"/>
        <v>正常订单</v>
      </c>
      <c r="I2061" s="1" t="str">
        <f t="shared" si="618"/>
        <v>已发货</v>
      </c>
      <c r="J2061" s="1" t="str">
        <f t="shared" si="611"/>
        <v>3</v>
      </c>
      <c r="K2061" s="1">
        <v>2</v>
      </c>
      <c r="L2061" s="1" t="s">
        <v>80</v>
      </c>
      <c r="M2061" s="1" t="str">
        <f>"河南省 郑州市 金水区 "</f>
        <v xml:space="preserve">河南省 郑州市 金水区 </v>
      </c>
      <c r="N2061" s="1" t="str">
        <f t="shared" ref="N2061:N2077" si="622">"凡华云仓-城南圆通-微信视频号"</f>
        <v>凡华云仓-城南圆通-微信视频号</v>
      </c>
      <c r="O2061" s="5" t="s">
        <v>2097</v>
      </c>
      <c r="P2061" s="6">
        <v>0.24</v>
      </c>
      <c r="Q2061" s="11">
        <v>2</v>
      </c>
      <c r="R2061" s="11"/>
      <c r="S2061" s="11"/>
      <c r="T2061" s="11"/>
      <c r="U2061" s="11">
        <f t="shared" si="614"/>
        <v>2</v>
      </c>
      <c r="W2061">
        <v>2.2000000000000002</v>
      </c>
      <c r="X2061" s="1" t="s">
        <v>80</v>
      </c>
    </row>
    <row r="2062" spans="1:24" x14ac:dyDescent="0.25">
      <c r="A2062" s="1" t="str">
        <f t="shared" si="615"/>
        <v>卡卡杜-凤凰仓</v>
      </c>
      <c r="B2062" s="1" t="str">
        <f>"CK20241028169"</f>
        <v>CK20241028169</v>
      </c>
      <c r="C2062" s="1" t="str">
        <f>"DD2024102819575"</f>
        <v>DD2024102819575</v>
      </c>
      <c r="D2062" s="1" t="str">
        <f>"CK202410289262"</f>
        <v>CK202410289262</v>
      </c>
      <c r="E2062" s="1" t="str">
        <f>"6935541834695185676"</f>
        <v>6935541834695185676</v>
      </c>
      <c r="F2062" s="1" t="str">
        <f t="shared" si="616"/>
        <v>花都四部-凤凰仓</v>
      </c>
      <c r="G2062" s="1" t="str">
        <f>"卡卡杜个人护理店（抖店）"</f>
        <v>卡卡杜个人护理店（抖店）</v>
      </c>
      <c r="H2062" s="1" t="str">
        <f t="shared" si="617"/>
        <v>正常订单</v>
      </c>
      <c r="I2062" s="1" t="str">
        <f t="shared" si="618"/>
        <v>已发货</v>
      </c>
      <c r="J2062" s="1" t="str">
        <f t="shared" si="611"/>
        <v>3</v>
      </c>
      <c r="K2062" s="1">
        <v>2</v>
      </c>
      <c r="L2062" s="1" t="s">
        <v>13</v>
      </c>
      <c r="M2062" s="1" t="str">
        <f>"江苏省 南通市 启东市 汇龙镇"</f>
        <v>江苏省 南通市 启东市 汇龙镇</v>
      </c>
      <c r="N2062" s="1" t="str">
        <f>"凡华云仓-城南圆通-抖音"</f>
        <v>凡华云仓-城南圆通-抖音</v>
      </c>
      <c r="O2062" s="5" t="s">
        <v>2098</v>
      </c>
      <c r="P2062" s="6">
        <v>0.35</v>
      </c>
      <c r="Q2062" s="11">
        <v>2.2999999999999998</v>
      </c>
      <c r="R2062" s="11"/>
      <c r="S2062" s="11"/>
      <c r="T2062" s="11"/>
      <c r="U2062" s="11">
        <f t="shared" si="614"/>
        <v>2.2999999999999998</v>
      </c>
      <c r="W2062">
        <v>2.5</v>
      </c>
      <c r="X2062" s="1" t="s">
        <v>13</v>
      </c>
    </row>
    <row r="2063" spans="1:24" x14ac:dyDescent="0.25">
      <c r="A2063" s="1" t="str">
        <f t="shared" si="615"/>
        <v>卡卡杜-凤凰仓</v>
      </c>
      <c r="B2063" s="1" t="str">
        <f>"CK20241028167"</f>
        <v>CK20241028167</v>
      </c>
      <c r="C2063" s="1" t="str">
        <f>"DD2024102819574"</f>
        <v>DD2024102819574</v>
      </c>
      <c r="D2063" s="1" t="str">
        <f>"CK202410289261"</f>
        <v>CK202410289261</v>
      </c>
      <c r="E2063" s="1" t="str">
        <f>"3723605890812216832"</f>
        <v>3723605890812216832</v>
      </c>
      <c r="F2063" s="1" t="str">
        <f t="shared" si="616"/>
        <v>花都四部-凤凰仓</v>
      </c>
      <c r="G2063" s="1" t="str">
        <f t="shared" si="621"/>
        <v>卡卡杜企业店（视频号）</v>
      </c>
      <c r="H2063" s="1" t="str">
        <f t="shared" si="617"/>
        <v>正常订单</v>
      </c>
      <c r="I2063" s="1" t="str">
        <f t="shared" si="618"/>
        <v>已发货</v>
      </c>
      <c r="J2063" s="1" t="str">
        <f t="shared" si="611"/>
        <v>3</v>
      </c>
      <c r="K2063" s="1">
        <v>3</v>
      </c>
      <c r="L2063" s="1" t="s">
        <v>36</v>
      </c>
      <c r="M2063" s="1" t="str">
        <f>"安徽省 合肥市 包河区 "</f>
        <v xml:space="preserve">安徽省 合肥市 包河区 </v>
      </c>
      <c r="N2063" s="1" t="str">
        <f t="shared" si="622"/>
        <v>凡华云仓-城南圆通-微信视频号</v>
      </c>
      <c r="O2063" s="5" t="s">
        <v>2099</v>
      </c>
      <c r="P2063" s="6">
        <v>0.34</v>
      </c>
      <c r="Q2063" s="11">
        <v>2.2999999999999998</v>
      </c>
      <c r="R2063" s="11"/>
      <c r="S2063" s="11"/>
      <c r="T2063" s="11"/>
      <c r="U2063" s="11">
        <f t="shared" si="614"/>
        <v>2.2999999999999998</v>
      </c>
      <c r="W2063">
        <v>2.5</v>
      </c>
      <c r="X2063" s="1" t="s">
        <v>36</v>
      </c>
    </row>
    <row r="2064" spans="1:24" x14ac:dyDescent="0.25">
      <c r="A2064" s="1" t="str">
        <f t="shared" si="615"/>
        <v>卡卡杜-凤凰仓</v>
      </c>
      <c r="B2064" s="1" t="str">
        <f>"CK20241028168"</f>
        <v>CK20241028168</v>
      </c>
      <c r="C2064" s="1" t="str">
        <f>"DD2024102819573"</f>
        <v>DD2024102819573</v>
      </c>
      <c r="D2064" s="1" t="str">
        <f>"CK202410289260"</f>
        <v>CK202410289260</v>
      </c>
      <c r="E2064" s="1" t="str">
        <f>"3723605886457218560"</f>
        <v>3723605886457218560</v>
      </c>
      <c r="F2064" s="1" t="str">
        <f t="shared" si="616"/>
        <v>花都四部-凤凰仓</v>
      </c>
      <c r="G2064" s="1" t="str">
        <f t="shared" si="621"/>
        <v>卡卡杜企业店（视频号）</v>
      </c>
      <c r="H2064" s="1" t="str">
        <f t="shared" si="617"/>
        <v>正常订单</v>
      </c>
      <c r="I2064" s="1" t="str">
        <f t="shared" si="618"/>
        <v>已发货</v>
      </c>
      <c r="J2064" s="1" t="str">
        <f t="shared" si="611"/>
        <v>3</v>
      </c>
      <c r="K2064" s="1">
        <v>3</v>
      </c>
      <c r="L2064" s="1" t="s">
        <v>24</v>
      </c>
      <c r="M2064" s="1" t="str">
        <f>"福建省 厦门市 思明区 "</f>
        <v xml:space="preserve">福建省 厦门市 思明区 </v>
      </c>
      <c r="N2064" s="1" t="str">
        <f t="shared" si="622"/>
        <v>凡华云仓-城南圆通-微信视频号</v>
      </c>
      <c r="O2064" s="5" t="s">
        <v>2100</v>
      </c>
      <c r="P2064" s="6">
        <v>0.34</v>
      </c>
      <c r="Q2064" s="11">
        <v>2.2999999999999998</v>
      </c>
      <c r="R2064" s="11"/>
      <c r="S2064" s="11"/>
      <c r="T2064" s="11"/>
      <c r="U2064" s="11">
        <f t="shared" si="614"/>
        <v>2.2999999999999998</v>
      </c>
      <c r="W2064">
        <v>2.5</v>
      </c>
      <c r="X2064" s="1" t="s">
        <v>24</v>
      </c>
    </row>
    <row r="2065" spans="1:24" x14ac:dyDescent="0.25">
      <c r="A2065" s="1" t="str">
        <f t="shared" si="615"/>
        <v>卡卡杜-凤凰仓</v>
      </c>
      <c r="B2065" s="1" t="str">
        <f>"CK20241028166"</f>
        <v>CK20241028166</v>
      </c>
      <c r="C2065" s="1" t="str">
        <f>"DD2024102819572"</f>
        <v>DD2024102819572</v>
      </c>
      <c r="D2065" s="1" t="str">
        <f>"CK202410289259"</f>
        <v>CK202410289259</v>
      </c>
      <c r="E2065" s="1" t="str">
        <f>"3723605890122257409"</f>
        <v>3723605890122257409</v>
      </c>
      <c r="F2065" s="1" t="str">
        <f t="shared" si="616"/>
        <v>花都四部-凤凰仓</v>
      </c>
      <c r="G2065" s="1" t="str">
        <f t="shared" si="621"/>
        <v>卡卡杜企业店（视频号）</v>
      </c>
      <c r="H2065" s="1" t="str">
        <f t="shared" si="617"/>
        <v>正常订单</v>
      </c>
      <c r="I2065" s="1" t="str">
        <f t="shared" si="618"/>
        <v>已发货</v>
      </c>
      <c r="J2065" s="1" t="str">
        <f t="shared" si="611"/>
        <v>3</v>
      </c>
      <c r="K2065" s="1">
        <v>3</v>
      </c>
      <c r="L2065" s="1" t="s">
        <v>66</v>
      </c>
      <c r="M2065" s="1" t="str">
        <f>"内蒙古自治区 鄂尔多斯市 东胜区 "</f>
        <v xml:space="preserve">内蒙古自治区 鄂尔多斯市 东胜区 </v>
      </c>
      <c r="N2065" s="1" t="str">
        <f t="shared" si="622"/>
        <v>凡华云仓-城南圆通-微信视频号</v>
      </c>
      <c r="O2065" s="5" t="s">
        <v>2101</v>
      </c>
      <c r="P2065" s="6">
        <v>0.34</v>
      </c>
      <c r="Q2065" s="11">
        <v>2.2999999999999998</v>
      </c>
      <c r="R2065" s="11"/>
      <c r="S2065" s="11"/>
      <c r="T2065" s="11"/>
      <c r="U2065" s="11">
        <f t="shared" si="614"/>
        <v>2.2999999999999998</v>
      </c>
      <c r="W2065">
        <v>2.5</v>
      </c>
      <c r="X2065" s="1" t="s">
        <v>66</v>
      </c>
    </row>
    <row r="2066" spans="1:24" x14ac:dyDescent="0.25">
      <c r="A2066" s="1" t="str">
        <f t="shared" si="615"/>
        <v>卡卡杜-凤凰仓</v>
      </c>
      <c r="B2066" s="1" t="str">
        <f>"CK20241028165"</f>
        <v>CK20241028165</v>
      </c>
      <c r="C2066" s="1" t="str">
        <f>"DD2024102819571"</f>
        <v>DD2024102819571</v>
      </c>
      <c r="D2066" s="1" t="str">
        <f>"CK202410289258"</f>
        <v>CK202410289258</v>
      </c>
      <c r="E2066" s="1" t="str">
        <f>"3723605890293697537"</f>
        <v>3723605890293697537</v>
      </c>
      <c r="F2066" s="1" t="str">
        <f t="shared" si="616"/>
        <v>花都四部-凤凰仓</v>
      </c>
      <c r="G2066" s="1" t="str">
        <f t="shared" si="621"/>
        <v>卡卡杜企业店（视频号）</v>
      </c>
      <c r="H2066" s="1" t="str">
        <f t="shared" si="617"/>
        <v>正常订单</v>
      </c>
      <c r="I2066" s="1" t="str">
        <f t="shared" si="618"/>
        <v>已发货</v>
      </c>
      <c r="J2066" s="1" t="str">
        <f t="shared" si="611"/>
        <v>3</v>
      </c>
      <c r="K2066" s="1">
        <v>3</v>
      </c>
      <c r="L2066" s="1" t="s">
        <v>187</v>
      </c>
      <c r="M2066" s="1" t="str">
        <f>"吉林省 吉林市 丰满区 "</f>
        <v xml:space="preserve">吉林省 吉林市 丰满区 </v>
      </c>
      <c r="N2066" s="1" t="str">
        <f t="shared" si="622"/>
        <v>凡华云仓-城南圆通-微信视频号</v>
      </c>
      <c r="O2066" s="5" t="s">
        <v>2102</v>
      </c>
      <c r="P2066" s="6">
        <v>0.34</v>
      </c>
      <c r="Q2066" s="11">
        <v>2.2999999999999998</v>
      </c>
      <c r="R2066" s="11"/>
      <c r="S2066" s="11"/>
      <c r="T2066" s="11"/>
      <c r="U2066" s="11">
        <f t="shared" si="614"/>
        <v>2.2999999999999998</v>
      </c>
      <c r="W2066">
        <v>2.5</v>
      </c>
      <c r="X2066" s="1" t="s">
        <v>187</v>
      </c>
    </row>
    <row r="2067" spans="1:24" x14ac:dyDescent="0.25">
      <c r="A2067" s="1" t="str">
        <f t="shared" si="615"/>
        <v>卡卡杜-凤凰仓</v>
      </c>
      <c r="B2067" s="1" t="str">
        <f>"CK20241028164"</f>
        <v>CK20241028164</v>
      </c>
      <c r="C2067" s="1" t="str">
        <f>"DD2024102819570"</f>
        <v>DD2024102819570</v>
      </c>
      <c r="D2067" s="1" t="str">
        <f>"CK202410289257"</f>
        <v>CK202410289257</v>
      </c>
      <c r="E2067" s="1" t="str">
        <f>"3723605892164883456"</f>
        <v>3723605892164883456</v>
      </c>
      <c r="F2067" s="1" t="str">
        <f t="shared" si="616"/>
        <v>花都四部-凤凰仓</v>
      </c>
      <c r="G2067" s="1" t="str">
        <f t="shared" si="621"/>
        <v>卡卡杜企业店（视频号）</v>
      </c>
      <c r="H2067" s="1" t="str">
        <f t="shared" si="617"/>
        <v>正常订单</v>
      </c>
      <c r="I2067" s="1" t="str">
        <f t="shared" si="618"/>
        <v>已发货</v>
      </c>
      <c r="J2067" s="1" t="str">
        <f t="shared" si="611"/>
        <v>3</v>
      </c>
      <c r="K2067" s="1">
        <v>3</v>
      </c>
      <c r="L2067" s="1" t="s">
        <v>47</v>
      </c>
      <c r="M2067" s="1" t="str">
        <f>"重庆 重庆市 沙坪坝区 "</f>
        <v xml:space="preserve">重庆 重庆市 沙坪坝区 </v>
      </c>
      <c r="N2067" s="1" t="str">
        <f t="shared" si="622"/>
        <v>凡华云仓-城南圆通-微信视频号</v>
      </c>
      <c r="O2067" s="5" t="s">
        <v>2103</v>
      </c>
      <c r="P2067" s="6">
        <v>0.34</v>
      </c>
      <c r="Q2067" s="11">
        <v>2.2999999999999998</v>
      </c>
      <c r="R2067" s="11"/>
      <c r="S2067" s="11"/>
      <c r="T2067" s="11"/>
      <c r="U2067" s="11">
        <f t="shared" si="614"/>
        <v>2.2999999999999998</v>
      </c>
      <c r="W2067">
        <v>2.5</v>
      </c>
      <c r="X2067" s="1" t="s">
        <v>47</v>
      </c>
    </row>
    <row r="2068" spans="1:24" x14ac:dyDescent="0.25">
      <c r="A2068" s="1" t="str">
        <f t="shared" si="615"/>
        <v>卡卡杜-凤凰仓</v>
      </c>
      <c r="B2068" s="1" t="str">
        <f>"CK20241028163"</f>
        <v>CK20241028163</v>
      </c>
      <c r="C2068" s="1" t="str">
        <f>"DD2024102819569"</f>
        <v>DD2024102819569</v>
      </c>
      <c r="D2068" s="1" t="str">
        <f>"CK202410289256"</f>
        <v>CK202410289256</v>
      </c>
      <c r="E2068" s="1" t="str">
        <f>"3723605892728227073"</f>
        <v>3723605892728227073</v>
      </c>
      <c r="F2068" s="1" t="str">
        <f t="shared" si="616"/>
        <v>花都四部-凤凰仓</v>
      </c>
      <c r="G2068" s="1" t="str">
        <f t="shared" si="621"/>
        <v>卡卡杜企业店（视频号）</v>
      </c>
      <c r="H2068" s="1" t="str">
        <f t="shared" si="617"/>
        <v>正常订单</v>
      </c>
      <c r="I2068" s="1" t="str">
        <f t="shared" si="618"/>
        <v>已发货</v>
      </c>
      <c r="J2068" s="1" t="str">
        <f t="shared" si="611"/>
        <v>3</v>
      </c>
      <c r="K2068" s="1">
        <v>3</v>
      </c>
      <c r="L2068" s="1" t="s">
        <v>20</v>
      </c>
      <c r="M2068" s="1" t="str">
        <f>"浙江省 杭州市 江干区 "</f>
        <v xml:space="preserve">浙江省 杭州市 江干区 </v>
      </c>
      <c r="N2068" s="1" t="str">
        <f t="shared" si="622"/>
        <v>凡华云仓-城南圆通-微信视频号</v>
      </c>
      <c r="O2068" s="5" t="s">
        <v>2104</v>
      </c>
      <c r="P2068" s="6">
        <v>0.34</v>
      </c>
      <c r="Q2068" s="11">
        <v>2.2999999999999998</v>
      </c>
      <c r="R2068" s="11"/>
      <c r="S2068" s="11"/>
      <c r="T2068" s="11"/>
      <c r="U2068" s="11">
        <f t="shared" si="614"/>
        <v>2.2999999999999998</v>
      </c>
      <c r="W2068">
        <v>2.5</v>
      </c>
      <c r="X2068" s="1" t="s">
        <v>20</v>
      </c>
    </row>
    <row r="2069" spans="1:24" x14ac:dyDescent="0.25">
      <c r="A2069" s="1" t="str">
        <f t="shared" si="615"/>
        <v>卡卡杜-凤凰仓</v>
      </c>
      <c r="B2069" s="1" t="str">
        <f>"CK20241028162"</f>
        <v>CK20241028162</v>
      </c>
      <c r="C2069" s="1" t="str">
        <f>"DD2024102819568"</f>
        <v>DD2024102819568</v>
      </c>
      <c r="D2069" s="1" t="str">
        <f>"CK202410289255"</f>
        <v>CK202410289255</v>
      </c>
      <c r="E2069" s="1" t="str">
        <f>"3723605893767369729"</f>
        <v>3723605893767369729</v>
      </c>
      <c r="F2069" s="1" t="str">
        <f t="shared" si="616"/>
        <v>花都四部-凤凰仓</v>
      </c>
      <c r="G2069" s="1" t="str">
        <f t="shared" si="621"/>
        <v>卡卡杜企业店（视频号）</v>
      </c>
      <c r="H2069" s="1" t="str">
        <f t="shared" si="617"/>
        <v>正常订单</v>
      </c>
      <c r="I2069" s="1" t="str">
        <f t="shared" si="618"/>
        <v>已发货</v>
      </c>
      <c r="J2069" s="1" t="str">
        <f t="shared" si="611"/>
        <v>3</v>
      </c>
      <c r="K2069" s="1">
        <v>3</v>
      </c>
      <c r="L2069" s="1" t="s">
        <v>96</v>
      </c>
      <c r="M2069" s="1" t="str">
        <f>"广西壮族自治区 南宁市 青秀区 "</f>
        <v xml:space="preserve">广西壮族自治区 南宁市 青秀区 </v>
      </c>
      <c r="N2069" s="1" t="str">
        <f t="shared" si="622"/>
        <v>凡华云仓-城南圆通-微信视频号</v>
      </c>
      <c r="O2069" s="5" t="s">
        <v>2105</v>
      </c>
      <c r="P2069" s="6">
        <v>0.34</v>
      </c>
      <c r="Q2069" s="11">
        <v>2.2999999999999998</v>
      </c>
      <c r="R2069" s="11"/>
      <c r="S2069" s="11"/>
      <c r="T2069" s="11"/>
      <c r="U2069" s="11">
        <f t="shared" si="614"/>
        <v>2.2999999999999998</v>
      </c>
      <c r="W2069">
        <v>2.5</v>
      </c>
      <c r="X2069" s="1" t="s">
        <v>96</v>
      </c>
    </row>
    <row r="2070" spans="1:24" x14ac:dyDescent="0.25">
      <c r="A2070" s="1" t="str">
        <f t="shared" si="615"/>
        <v>卡卡杜-凤凰仓</v>
      </c>
      <c r="B2070" s="1" t="str">
        <f>"CK20241028159"</f>
        <v>CK20241028159</v>
      </c>
      <c r="C2070" s="1" t="str">
        <f>"DD2024102819567"</f>
        <v>DD2024102819567</v>
      </c>
      <c r="D2070" s="1" t="str">
        <f>"CK202410289254"</f>
        <v>CK202410289254</v>
      </c>
      <c r="E2070" s="1" t="str">
        <f>"3723605896955563008"</f>
        <v>3723605896955563008</v>
      </c>
      <c r="F2070" s="1" t="str">
        <f t="shared" si="616"/>
        <v>花都四部-凤凰仓</v>
      </c>
      <c r="G2070" s="1" t="str">
        <f t="shared" si="621"/>
        <v>卡卡杜企业店（视频号）</v>
      </c>
      <c r="H2070" s="1" t="str">
        <f t="shared" si="617"/>
        <v>正常订单</v>
      </c>
      <c r="I2070" s="1" t="str">
        <f t="shared" si="618"/>
        <v>已发货</v>
      </c>
      <c r="J2070" s="1" t="str">
        <f t="shared" si="611"/>
        <v>3</v>
      </c>
      <c r="K2070" s="1">
        <v>3</v>
      </c>
      <c r="L2070" s="1" t="s">
        <v>20</v>
      </c>
      <c r="M2070" s="1" t="str">
        <f>"浙江省 宁波市 余姚市 "</f>
        <v xml:space="preserve">浙江省 宁波市 余姚市 </v>
      </c>
      <c r="N2070" s="1" t="str">
        <f t="shared" si="622"/>
        <v>凡华云仓-城南圆通-微信视频号</v>
      </c>
      <c r="O2070" s="5" t="s">
        <v>2106</v>
      </c>
      <c r="P2070" s="6">
        <v>0.34</v>
      </c>
      <c r="Q2070" s="11">
        <v>2.2999999999999998</v>
      </c>
      <c r="R2070" s="11"/>
      <c r="S2070" s="11"/>
      <c r="T2070" s="11"/>
      <c r="U2070" s="11">
        <f t="shared" si="614"/>
        <v>2.2999999999999998</v>
      </c>
      <c r="W2070">
        <v>2.5</v>
      </c>
      <c r="X2070" s="1" t="s">
        <v>20</v>
      </c>
    </row>
    <row r="2071" spans="1:24" x14ac:dyDescent="0.25">
      <c r="A2071" s="1" t="str">
        <f t="shared" si="615"/>
        <v>卡卡杜-凤凰仓</v>
      </c>
      <c r="B2071" s="1" t="str">
        <f>"CK20241028160"</f>
        <v>CK20241028160</v>
      </c>
      <c r="C2071" s="1" t="str">
        <f>"DD2024102819566"</f>
        <v>DD2024102819566</v>
      </c>
      <c r="D2071" s="1" t="str">
        <f>"CK202410289253"</f>
        <v>CK202410289253</v>
      </c>
      <c r="E2071" s="1" t="str">
        <f>"3723605894604915968"</f>
        <v>3723605894604915968</v>
      </c>
      <c r="F2071" s="1" t="str">
        <f t="shared" si="616"/>
        <v>花都四部-凤凰仓</v>
      </c>
      <c r="G2071" s="1" t="str">
        <f t="shared" si="621"/>
        <v>卡卡杜企业店（视频号）</v>
      </c>
      <c r="H2071" s="1" t="str">
        <f t="shared" si="617"/>
        <v>正常订单</v>
      </c>
      <c r="I2071" s="1" t="str">
        <f t="shared" si="618"/>
        <v>已发货</v>
      </c>
      <c r="J2071" s="1" t="str">
        <f t="shared" si="611"/>
        <v>3</v>
      </c>
      <c r="K2071" s="1">
        <v>3</v>
      </c>
      <c r="L2071" s="1" t="s">
        <v>60</v>
      </c>
      <c r="M2071" s="1" t="str">
        <f>"云南省 昆明市 五华区 "</f>
        <v xml:space="preserve">云南省 昆明市 五华区 </v>
      </c>
      <c r="N2071" s="1" t="str">
        <f t="shared" si="622"/>
        <v>凡华云仓-城南圆通-微信视频号</v>
      </c>
      <c r="O2071" s="5" t="s">
        <v>2107</v>
      </c>
      <c r="P2071" s="6">
        <v>0.34</v>
      </c>
      <c r="Q2071" s="11">
        <v>2.2999999999999998</v>
      </c>
      <c r="R2071" s="11"/>
      <c r="S2071" s="11"/>
      <c r="T2071" s="11"/>
      <c r="U2071" s="11">
        <f t="shared" si="614"/>
        <v>2.2999999999999998</v>
      </c>
      <c r="W2071">
        <v>2.5</v>
      </c>
      <c r="X2071" s="1" t="s">
        <v>60</v>
      </c>
    </row>
    <row r="2072" spans="1:24" x14ac:dyDescent="0.25">
      <c r="A2072" s="1" t="str">
        <f t="shared" si="615"/>
        <v>卡卡杜-凤凰仓</v>
      </c>
      <c r="B2072" s="1" t="str">
        <f>"CK20241028161"</f>
        <v>CK20241028161</v>
      </c>
      <c r="C2072" s="1" t="str">
        <f>"DD2024102819565"</f>
        <v>DD2024102819565</v>
      </c>
      <c r="D2072" s="1" t="str">
        <f>"CK202410289252"</f>
        <v>CK202410289252</v>
      </c>
      <c r="E2072" s="1" t="str">
        <f>"3723605894587092992"</f>
        <v>3723605894587092992</v>
      </c>
      <c r="F2072" s="1" t="str">
        <f t="shared" si="616"/>
        <v>花都四部-凤凰仓</v>
      </c>
      <c r="G2072" s="1" t="str">
        <f t="shared" si="621"/>
        <v>卡卡杜企业店（视频号）</v>
      </c>
      <c r="H2072" s="1" t="str">
        <f t="shared" si="617"/>
        <v>正常订单</v>
      </c>
      <c r="I2072" s="1" t="str">
        <f t="shared" si="618"/>
        <v>已发货</v>
      </c>
      <c r="J2072" s="1" t="str">
        <f t="shared" si="611"/>
        <v>3</v>
      </c>
      <c r="K2072" s="1">
        <v>3</v>
      </c>
      <c r="L2072" s="1" t="s">
        <v>94</v>
      </c>
      <c r="M2072" s="1" t="str">
        <f>"湖南省 长沙市 雨花区 "</f>
        <v xml:space="preserve">湖南省 长沙市 雨花区 </v>
      </c>
      <c r="N2072" s="1" t="str">
        <f t="shared" si="622"/>
        <v>凡华云仓-城南圆通-微信视频号</v>
      </c>
      <c r="O2072" s="5" t="s">
        <v>2108</v>
      </c>
      <c r="P2072" s="6">
        <v>0.34</v>
      </c>
      <c r="Q2072" s="11">
        <v>2.2999999999999998</v>
      </c>
      <c r="R2072" s="11"/>
      <c r="S2072" s="11"/>
      <c r="T2072" s="11"/>
      <c r="U2072" s="11">
        <f t="shared" si="614"/>
        <v>2.2999999999999998</v>
      </c>
      <c r="W2072">
        <v>2.5</v>
      </c>
      <c r="X2072" s="1" t="s">
        <v>94</v>
      </c>
    </row>
    <row r="2073" spans="1:24" x14ac:dyDescent="0.25">
      <c r="A2073" s="1" t="str">
        <f t="shared" si="615"/>
        <v>卡卡杜-凤凰仓</v>
      </c>
      <c r="B2073" s="1" t="str">
        <f>"CK20241028158"</f>
        <v>CK20241028158</v>
      </c>
      <c r="C2073" s="1" t="str">
        <f>"DD2024102819564"</f>
        <v>DD2024102819564</v>
      </c>
      <c r="D2073" s="1" t="str">
        <f>"CK202410289251"</f>
        <v>CK202410289251</v>
      </c>
      <c r="E2073" s="1" t="str">
        <f>"3723605903263536129"</f>
        <v>3723605903263536129</v>
      </c>
      <c r="F2073" s="1" t="str">
        <f t="shared" si="616"/>
        <v>花都四部-凤凰仓</v>
      </c>
      <c r="G2073" s="1" t="str">
        <f t="shared" si="621"/>
        <v>卡卡杜企业店（视频号）</v>
      </c>
      <c r="H2073" s="1" t="str">
        <f t="shared" si="617"/>
        <v>正常订单</v>
      </c>
      <c r="I2073" s="1" t="str">
        <f t="shared" si="618"/>
        <v>已发货</v>
      </c>
      <c r="J2073" s="1" t="str">
        <f t="shared" si="611"/>
        <v>3</v>
      </c>
      <c r="K2073" s="1">
        <v>3</v>
      </c>
      <c r="L2073" s="1" t="s">
        <v>13</v>
      </c>
      <c r="M2073" s="1" t="str">
        <f>"江苏省 徐州市 泉山区 "</f>
        <v xml:space="preserve">江苏省 徐州市 泉山区 </v>
      </c>
      <c r="N2073" s="1" t="str">
        <f t="shared" si="622"/>
        <v>凡华云仓-城南圆通-微信视频号</v>
      </c>
      <c r="O2073" s="5" t="s">
        <v>2109</v>
      </c>
      <c r="P2073" s="6">
        <v>0.34</v>
      </c>
      <c r="Q2073" s="11">
        <v>2.2999999999999998</v>
      </c>
      <c r="R2073" s="11"/>
      <c r="S2073" s="11"/>
      <c r="T2073" s="11"/>
      <c r="U2073" s="11">
        <f t="shared" si="614"/>
        <v>2.2999999999999998</v>
      </c>
      <c r="W2073">
        <v>2.5</v>
      </c>
      <c r="X2073" s="1" t="s">
        <v>13</v>
      </c>
    </row>
    <row r="2074" spans="1:24" x14ac:dyDescent="0.25">
      <c r="A2074" s="1" t="str">
        <f t="shared" si="615"/>
        <v>卡卡杜-凤凰仓</v>
      </c>
      <c r="B2074" s="1" t="str">
        <f>"CK20241028157"</f>
        <v>CK20241028157</v>
      </c>
      <c r="C2074" s="1" t="str">
        <f>"DD2024102819563"</f>
        <v>DD2024102819563</v>
      </c>
      <c r="D2074" s="1" t="str">
        <f>"CK202410289250"</f>
        <v>CK202410289250</v>
      </c>
      <c r="E2074" s="1" t="str">
        <f>"3723605905441424896"</f>
        <v>3723605905441424896</v>
      </c>
      <c r="F2074" s="1" t="str">
        <f t="shared" si="616"/>
        <v>花都四部-凤凰仓</v>
      </c>
      <c r="G2074" s="1" t="str">
        <f t="shared" si="621"/>
        <v>卡卡杜企业店（视频号）</v>
      </c>
      <c r="H2074" s="1" t="str">
        <f t="shared" si="617"/>
        <v>正常订单</v>
      </c>
      <c r="I2074" s="1" t="str">
        <f t="shared" si="618"/>
        <v>已发货</v>
      </c>
      <c r="J2074" s="1" t="str">
        <f t="shared" si="611"/>
        <v>3</v>
      </c>
      <c r="K2074" s="1">
        <v>3</v>
      </c>
      <c r="L2074" s="1" t="s">
        <v>94</v>
      </c>
      <c r="M2074" s="1" t="str">
        <f>"湖南省 长沙市 浏阳市 "</f>
        <v xml:space="preserve">湖南省 长沙市 浏阳市 </v>
      </c>
      <c r="N2074" s="1" t="str">
        <f t="shared" si="622"/>
        <v>凡华云仓-城南圆通-微信视频号</v>
      </c>
      <c r="O2074" s="5" t="s">
        <v>2110</v>
      </c>
      <c r="P2074" s="6">
        <v>0.34</v>
      </c>
      <c r="Q2074" s="11">
        <v>2.2999999999999998</v>
      </c>
      <c r="R2074" s="11"/>
      <c r="S2074" s="11"/>
      <c r="T2074" s="11"/>
      <c r="U2074" s="11">
        <f t="shared" si="614"/>
        <v>2.2999999999999998</v>
      </c>
      <c r="W2074">
        <v>2.5</v>
      </c>
      <c r="X2074" s="1" t="s">
        <v>94</v>
      </c>
    </row>
    <row r="2075" spans="1:24" x14ac:dyDescent="0.25">
      <c r="A2075" s="1" t="str">
        <f t="shared" si="615"/>
        <v>卡卡杜-凤凰仓</v>
      </c>
      <c r="B2075" s="1" t="str">
        <f>"CK20241028156"</f>
        <v>CK20241028156</v>
      </c>
      <c r="C2075" s="1" t="str">
        <f>"DD2024102819562"</f>
        <v>DD2024102819562</v>
      </c>
      <c r="D2075" s="1" t="str">
        <f>"CK202410289249"</f>
        <v>CK202410289249</v>
      </c>
      <c r="E2075" s="1" t="str">
        <f>"3723605918016472576"</f>
        <v>3723605918016472576</v>
      </c>
      <c r="F2075" s="1" t="str">
        <f t="shared" si="616"/>
        <v>花都四部-凤凰仓</v>
      </c>
      <c r="G2075" s="1" t="str">
        <f t="shared" si="621"/>
        <v>卡卡杜企业店（视频号）</v>
      </c>
      <c r="H2075" s="1" t="str">
        <f t="shared" si="617"/>
        <v>正常订单</v>
      </c>
      <c r="I2075" s="1" t="str">
        <f t="shared" si="618"/>
        <v>已发货</v>
      </c>
      <c r="J2075" s="1" t="str">
        <f t="shared" si="611"/>
        <v>3</v>
      </c>
      <c r="K2075" s="1">
        <v>3</v>
      </c>
      <c r="L2075" s="1" t="s">
        <v>74</v>
      </c>
      <c r="M2075" s="1" t="str">
        <f>"上海 上海市 闵行区 "</f>
        <v xml:space="preserve">上海 上海市 闵行区 </v>
      </c>
      <c r="N2075" s="1" t="str">
        <f t="shared" si="622"/>
        <v>凡华云仓-城南圆通-微信视频号</v>
      </c>
      <c r="O2075" s="5" t="s">
        <v>2111</v>
      </c>
      <c r="P2075" s="6">
        <v>0.34</v>
      </c>
      <c r="Q2075" s="11">
        <v>2.2999999999999998</v>
      </c>
      <c r="R2075" s="11"/>
      <c r="S2075" s="11"/>
      <c r="T2075" s="11"/>
      <c r="U2075" s="11">
        <f t="shared" si="614"/>
        <v>2.2999999999999998</v>
      </c>
      <c r="W2075">
        <v>2.5</v>
      </c>
      <c r="X2075" s="1" t="s">
        <v>74</v>
      </c>
    </row>
    <row r="2076" spans="1:24" x14ac:dyDescent="0.25">
      <c r="A2076" s="1" t="str">
        <f t="shared" si="615"/>
        <v>卡卡杜-凤凰仓</v>
      </c>
      <c r="B2076" s="1" t="str">
        <f>"CK20241028154"</f>
        <v>CK20241028154</v>
      </c>
      <c r="C2076" s="1" t="str">
        <f>"DD2024102819561"</f>
        <v>DD2024102819561</v>
      </c>
      <c r="D2076" s="1" t="str">
        <f>"CK202410289248"</f>
        <v>CK202410289248</v>
      </c>
      <c r="E2076" s="1" t="str">
        <f>"3723605919836278784"</f>
        <v>3723605919836278784</v>
      </c>
      <c r="F2076" s="1" t="str">
        <f t="shared" si="616"/>
        <v>花都四部-凤凰仓</v>
      </c>
      <c r="G2076" s="1" t="str">
        <f t="shared" si="621"/>
        <v>卡卡杜企业店（视频号）</v>
      </c>
      <c r="H2076" s="1" t="str">
        <f t="shared" si="617"/>
        <v>正常订单</v>
      </c>
      <c r="I2076" s="1" t="str">
        <f t="shared" si="618"/>
        <v>已发货</v>
      </c>
      <c r="J2076" s="1" t="str">
        <f t="shared" si="611"/>
        <v>3</v>
      </c>
      <c r="K2076" s="1">
        <v>3</v>
      </c>
      <c r="L2076" s="1" t="s">
        <v>13</v>
      </c>
      <c r="M2076" s="1" t="str">
        <f>"江苏省 泰州市 兴化市 "</f>
        <v xml:space="preserve">江苏省 泰州市 兴化市 </v>
      </c>
      <c r="N2076" s="1" t="str">
        <f t="shared" si="622"/>
        <v>凡华云仓-城南圆通-微信视频号</v>
      </c>
      <c r="O2076" s="5" t="s">
        <v>2112</v>
      </c>
      <c r="P2076" s="6">
        <v>0.34</v>
      </c>
      <c r="Q2076" s="11">
        <v>2.2999999999999998</v>
      </c>
      <c r="R2076" s="11"/>
      <c r="S2076" s="11"/>
      <c r="T2076" s="11"/>
      <c r="U2076" s="11">
        <f t="shared" si="614"/>
        <v>2.2999999999999998</v>
      </c>
      <c r="W2076">
        <v>2.5</v>
      </c>
      <c r="X2076" s="1" t="s">
        <v>13</v>
      </c>
    </row>
    <row r="2077" spans="1:24" x14ac:dyDescent="0.25">
      <c r="A2077" s="1" t="str">
        <f t="shared" si="615"/>
        <v>卡卡杜-凤凰仓</v>
      </c>
      <c r="B2077" s="1" t="str">
        <f>"CK20241028155"</f>
        <v>CK20241028155</v>
      </c>
      <c r="C2077" s="1" t="str">
        <f>"DD2024102819560"</f>
        <v>DD2024102819560</v>
      </c>
      <c r="D2077" s="1" t="str">
        <f>"CK202410289247"</f>
        <v>CK202410289247</v>
      </c>
      <c r="E2077" s="1" t="str">
        <f>"3723605919710972928"</f>
        <v>3723605919710972928</v>
      </c>
      <c r="F2077" s="1" t="str">
        <f t="shared" si="616"/>
        <v>花都四部-凤凰仓</v>
      </c>
      <c r="G2077" s="1" t="str">
        <f t="shared" si="621"/>
        <v>卡卡杜企业店（视频号）</v>
      </c>
      <c r="H2077" s="1" t="str">
        <f t="shared" si="617"/>
        <v>正常订单</v>
      </c>
      <c r="I2077" s="1" t="str">
        <f t="shared" si="618"/>
        <v>已发货</v>
      </c>
      <c r="J2077" s="1" t="str">
        <f t="shared" si="611"/>
        <v>3</v>
      </c>
      <c r="K2077" s="1">
        <v>3</v>
      </c>
      <c r="L2077" s="1" t="s">
        <v>94</v>
      </c>
      <c r="M2077" s="1" t="str">
        <f>"湖南省 长沙市 岳麓区 "</f>
        <v xml:space="preserve">湖南省 长沙市 岳麓区 </v>
      </c>
      <c r="N2077" s="1" t="str">
        <f t="shared" si="622"/>
        <v>凡华云仓-城南圆通-微信视频号</v>
      </c>
      <c r="O2077" s="5" t="s">
        <v>2113</v>
      </c>
      <c r="P2077" s="6">
        <v>0.34</v>
      </c>
      <c r="Q2077" s="11">
        <v>2.2999999999999998</v>
      </c>
      <c r="R2077" s="11"/>
      <c r="S2077" s="11"/>
      <c r="T2077" s="11"/>
      <c r="U2077" s="11">
        <f t="shared" si="614"/>
        <v>2.2999999999999998</v>
      </c>
      <c r="W2077">
        <v>2.5</v>
      </c>
      <c r="X2077" s="1" t="s">
        <v>94</v>
      </c>
    </row>
    <row r="2078" spans="1:24" x14ac:dyDescent="0.25">
      <c r="A2078" s="1" t="str">
        <f t="shared" si="615"/>
        <v>卡卡杜-凤凰仓</v>
      </c>
      <c r="B2078" s="1" t="str">
        <f>"CK20241028153"</f>
        <v>CK20241028153</v>
      </c>
      <c r="C2078" s="1" t="str">
        <f>"DD2024102819559"</f>
        <v>DD2024102819559</v>
      </c>
      <c r="D2078" s="1" t="str">
        <f>"CK202410289246"</f>
        <v>CK202410289246</v>
      </c>
      <c r="E2078" s="1" t="str">
        <f>"2430102491689536"</f>
        <v>2430102491689536</v>
      </c>
      <c r="F2078" s="1" t="str">
        <f t="shared" si="616"/>
        <v>花都四部-凤凰仓</v>
      </c>
      <c r="G2078" s="1" t="str">
        <f>"卡卡杜佳旺专卖店（快手店）"</f>
        <v>卡卡杜佳旺专卖店（快手店）</v>
      </c>
      <c r="H2078" s="1" t="str">
        <f t="shared" si="617"/>
        <v>正常订单</v>
      </c>
      <c r="I2078" s="1" t="str">
        <f t="shared" si="618"/>
        <v>已发货</v>
      </c>
      <c r="J2078" s="1" t="str">
        <f t="shared" si="611"/>
        <v>3</v>
      </c>
      <c r="K2078" s="1">
        <v>2</v>
      </c>
      <c r="L2078" s="1" t="s">
        <v>18</v>
      </c>
      <c r="M2078" s="1" t="str">
        <f>"广东省 深圳市 龙岗区 坂田街道"</f>
        <v>广东省 深圳市 龙岗区 坂田街道</v>
      </c>
      <c r="N2078" s="1" t="str">
        <f>"凡华云仓-城南圆通-快手"</f>
        <v>凡华云仓-城南圆通-快手</v>
      </c>
      <c r="O2078" s="5" t="s">
        <v>2114</v>
      </c>
      <c r="P2078" s="6">
        <v>0.35</v>
      </c>
      <c r="Q2078" s="11">
        <v>2.2999999999999998</v>
      </c>
      <c r="R2078" s="11"/>
      <c r="S2078" s="11"/>
      <c r="T2078" s="11"/>
      <c r="U2078" s="11">
        <f t="shared" si="614"/>
        <v>2.2999999999999998</v>
      </c>
      <c r="W2078">
        <v>2.5</v>
      </c>
      <c r="X2078" s="1" t="s">
        <v>18</v>
      </c>
    </row>
    <row r="2079" spans="1:24" x14ac:dyDescent="0.25">
      <c r="A2079" s="1" t="str">
        <f t="shared" si="615"/>
        <v>卡卡杜-凤凰仓</v>
      </c>
      <c r="B2079" s="1" t="str">
        <f>"CK20241028152"</f>
        <v>CK20241028152</v>
      </c>
      <c r="C2079" s="1" t="str">
        <f>"DD2024102819558"</f>
        <v>DD2024102819558</v>
      </c>
      <c r="D2079" s="1" t="str">
        <f>"CK202410289245"</f>
        <v>CK202410289245</v>
      </c>
      <c r="E2079" s="1" t="str">
        <f>"3723605925514052864"</f>
        <v>3723605925514052864</v>
      </c>
      <c r="F2079" s="1" t="str">
        <f t="shared" si="616"/>
        <v>花都四部-凤凰仓</v>
      </c>
      <c r="G2079" s="1" t="str">
        <f t="shared" ref="G2079:G2086" si="623">"卡卡杜企业店（视频号）"</f>
        <v>卡卡杜企业店（视频号）</v>
      </c>
      <c r="H2079" s="1" t="str">
        <f t="shared" si="617"/>
        <v>正常订单</v>
      </c>
      <c r="I2079" s="1" t="str">
        <f t="shared" si="618"/>
        <v>已发货</v>
      </c>
      <c r="J2079" s="1" t="str">
        <f t="shared" si="611"/>
        <v>3</v>
      </c>
      <c r="K2079" s="1">
        <v>3</v>
      </c>
      <c r="L2079" s="1" t="s">
        <v>187</v>
      </c>
      <c r="M2079" s="1" t="str">
        <f>"吉林省 通化市 梅河口市 "</f>
        <v xml:space="preserve">吉林省 通化市 梅河口市 </v>
      </c>
      <c r="N2079" s="1" t="str">
        <f t="shared" ref="N2079:N2086" si="624">"凡华云仓-城南圆通-微信视频号"</f>
        <v>凡华云仓-城南圆通-微信视频号</v>
      </c>
      <c r="O2079" s="5" t="s">
        <v>2115</v>
      </c>
      <c r="P2079" s="6">
        <v>0.34</v>
      </c>
      <c r="Q2079" s="11">
        <v>2.2999999999999998</v>
      </c>
      <c r="R2079" s="11"/>
      <c r="S2079" s="11"/>
      <c r="T2079" s="11"/>
      <c r="U2079" s="11">
        <f t="shared" si="614"/>
        <v>2.2999999999999998</v>
      </c>
      <c r="W2079">
        <v>2.5</v>
      </c>
      <c r="X2079" s="1" t="s">
        <v>187</v>
      </c>
    </row>
    <row r="2080" spans="1:24" x14ac:dyDescent="0.25">
      <c r="A2080" s="1" t="str">
        <f t="shared" si="615"/>
        <v>卡卡杜-凤凰仓</v>
      </c>
      <c r="B2080" s="1" t="str">
        <f>"CK20241028151"</f>
        <v>CK20241028151</v>
      </c>
      <c r="C2080" s="1" t="str">
        <f>"DD2024102819557"</f>
        <v>DD2024102819557</v>
      </c>
      <c r="D2080" s="1" t="str">
        <f>"CK202410289244"</f>
        <v>CK202410289244</v>
      </c>
      <c r="E2080" s="1" t="str">
        <f>"3723605925041146880"</f>
        <v>3723605925041146880</v>
      </c>
      <c r="F2080" s="1" t="str">
        <f t="shared" si="616"/>
        <v>花都四部-凤凰仓</v>
      </c>
      <c r="G2080" s="1" t="str">
        <f t="shared" si="623"/>
        <v>卡卡杜企业店（视频号）</v>
      </c>
      <c r="H2080" s="1" t="str">
        <f t="shared" si="617"/>
        <v>正常订单</v>
      </c>
      <c r="I2080" s="1" t="str">
        <f t="shared" si="618"/>
        <v>已发货</v>
      </c>
      <c r="J2080" s="1" t="str">
        <f t="shared" si="611"/>
        <v>3</v>
      </c>
      <c r="K2080" s="1">
        <v>3</v>
      </c>
      <c r="L2080" s="1" t="s">
        <v>16</v>
      </c>
      <c r="M2080" s="1" t="str">
        <f>"河北省 保定市 竞秀区 "</f>
        <v xml:space="preserve">河北省 保定市 竞秀区 </v>
      </c>
      <c r="N2080" s="1" t="str">
        <f t="shared" si="624"/>
        <v>凡华云仓-城南圆通-微信视频号</v>
      </c>
      <c r="O2080" s="5" t="s">
        <v>2116</v>
      </c>
      <c r="P2080" s="6">
        <v>0.34</v>
      </c>
      <c r="Q2080" s="11">
        <v>2.2999999999999998</v>
      </c>
      <c r="R2080" s="11"/>
      <c r="S2080" s="11"/>
      <c r="T2080" s="11"/>
      <c r="U2080" s="11">
        <f t="shared" si="614"/>
        <v>2.2999999999999998</v>
      </c>
      <c r="W2080">
        <v>2.5</v>
      </c>
      <c r="X2080" s="1" t="s">
        <v>16</v>
      </c>
    </row>
    <row r="2081" spans="1:24" x14ac:dyDescent="0.25">
      <c r="A2081" s="1" t="str">
        <f t="shared" si="615"/>
        <v>卡卡杜-凤凰仓</v>
      </c>
      <c r="B2081" s="1" t="str">
        <f>"CK20241028150"</f>
        <v>CK20241028150</v>
      </c>
      <c r="C2081" s="1" t="str">
        <f>"DD2024102819556"</f>
        <v>DD2024102819556</v>
      </c>
      <c r="D2081" s="1" t="str">
        <f>"CK202410289243"</f>
        <v>CK202410289243</v>
      </c>
      <c r="E2081" s="1" t="str">
        <f>"3723605939783337472"</f>
        <v>3723605939783337472</v>
      </c>
      <c r="F2081" s="1" t="str">
        <f t="shared" si="616"/>
        <v>花都四部-凤凰仓</v>
      </c>
      <c r="G2081" s="1" t="str">
        <f t="shared" si="623"/>
        <v>卡卡杜企业店（视频号）</v>
      </c>
      <c r="H2081" s="1" t="str">
        <f t="shared" si="617"/>
        <v>正常订单</v>
      </c>
      <c r="I2081" s="1" t="str">
        <f t="shared" si="618"/>
        <v>已发货</v>
      </c>
      <c r="J2081" s="1" t="str">
        <f t="shared" si="611"/>
        <v>3</v>
      </c>
      <c r="K2081" s="1">
        <v>3</v>
      </c>
      <c r="L2081" s="1" t="s">
        <v>161</v>
      </c>
      <c r="M2081" s="1" t="str">
        <f>"四川省 南充市 阆中市 "</f>
        <v xml:space="preserve">四川省 南充市 阆中市 </v>
      </c>
      <c r="N2081" s="1" t="str">
        <f t="shared" si="624"/>
        <v>凡华云仓-城南圆通-微信视频号</v>
      </c>
      <c r="O2081" s="5" t="s">
        <v>2117</v>
      </c>
      <c r="P2081" s="6">
        <v>0.34</v>
      </c>
      <c r="Q2081" s="11">
        <v>2.2999999999999998</v>
      </c>
      <c r="R2081" s="11"/>
      <c r="S2081" s="11"/>
      <c r="T2081" s="11"/>
      <c r="U2081" s="11">
        <f t="shared" si="614"/>
        <v>2.2999999999999998</v>
      </c>
      <c r="W2081">
        <v>2.5</v>
      </c>
      <c r="X2081" s="1" t="s">
        <v>161</v>
      </c>
    </row>
    <row r="2082" spans="1:24" x14ac:dyDescent="0.25">
      <c r="A2082" s="1" t="str">
        <f t="shared" si="615"/>
        <v>卡卡杜-凤凰仓</v>
      </c>
      <c r="B2082" s="1" t="str">
        <f>"CK20241028147"</f>
        <v>CK20241028147</v>
      </c>
      <c r="C2082" s="1" t="str">
        <f>"DD2024102819555"</f>
        <v>DD2024102819555</v>
      </c>
      <c r="D2082" s="1" t="str">
        <f>"CK202410289242"</f>
        <v>CK202410289242</v>
      </c>
      <c r="E2082" s="1" t="str">
        <f>"3723605947791053824"</f>
        <v>3723605947791053824</v>
      </c>
      <c r="F2082" s="1" t="str">
        <f t="shared" si="616"/>
        <v>花都四部-凤凰仓</v>
      </c>
      <c r="G2082" s="1" t="str">
        <f t="shared" si="623"/>
        <v>卡卡杜企业店（视频号）</v>
      </c>
      <c r="H2082" s="1" t="str">
        <f t="shared" si="617"/>
        <v>正常订单</v>
      </c>
      <c r="I2082" s="1" t="str">
        <f t="shared" si="618"/>
        <v>已发货</v>
      </c>
      <c r="J2082" s="1" t="str">
        <f t="shared" si="611"/>
        <v>3</v>
      </c>
      <c r="K2082" s="1">
        <v>3</v>
      </c>
      <c r="L2082" s="1" t="s">
        <v>80</v>
      </c>
      <c r="M2082" s="1" t="str">
        <f>"河南省 漯河市 郾城区 "</f>
        <v xml:space="preserve">河南省 漯河市 郾城区 </v>
      </c>
      <c r="N2082" s="1" t="str">
        <f t="shared" si="624"/>
        <v>凡华云仓-城南圆通-微信视频号</v>
      </c>
      <c r="O2082" s="5" t="s">
        <v>2118</v>
      </c>
      <c r="P2082" s="6">
        <v>0.34</v>
      </c>
      <c r="Q2082" s="11">
        <v>2.2999999999999998</v>
      </c>
      <c r="R2082" s="11"/>
      <c r="S2082" s="11"/>
      <c r="T2082" s="11"/>
      <c r="U2082" s="11">
        <f t="shared" si="614"/>
        <v>2.2999999999999998</v>
      </c>
      <c r="W2082">
        <v>2.5</v>
      </c>
      <c r="X2082" s="1" t="s">
        <v>80</v>
      </c>
    </row>
    <row r="2083" spans="1:24" x14ac:dyDescent="0.25">
      <c r="A2083" s="1" t="str">
        <f t="shared" si="615"/>
        <v>卡卡杜-凤凰仓</v>
      </c>
      <c r="B2083" s="1" t="str">
        <f>"CK20241028149"</f>
        <v>CK20241028149</v>
      </c>
      <c r="C2083" s="1" t="str">
        <f>"DD2024102819554"</f>
        <v>DD2024102819554</v>
      </c>
      <c r="D2083" s="1" t="str">
        <f>"CK202410289241"</f>
        <v>CK202410289241</v>
      </c>
      <c r="E2083" s="1" t="str">
        <f>"3723605948646166528"</f>
        <v>3723605948646166528</v>
      </c>
      <c r="F2083" s="1" t="str">
        <f t="shared" si="616"/>
        <v>花都四部-凤凰仓</v>
      </c>
      <c r="G2083" s="1" t="str">
        <f t="shared" si="623"/>
        <v>卡卡杜企业店（视频号）</v>
      </c>
      <c r="H2083" s="1" t="str">
        <f t="shared" si="617"/>
        <v>正常订单</v>
      </c>
      <c r="I2083" s="1" t="str">
        <f t="shared" si="618"/>
        <v>已发货</v>
      </c>
      <c r="J2083" s="1" t="str">
        <f t="shared" si="611"/>
        <v>3</v>
      </c>
      <c r="K2083" s="1">
        <v>2</v>
      </c>
      <c r="L2083" s="1" t="s">
        <v>32</v>
      </c>
      <c r="M2083" s="1" t="str">
        <f>"陕西省 西安市 长安区 "</f>
        <v xml:space="preserve">陕西省 西安市 长安区 </v>
      </c>
      <c r="N2083" s="1" t="str">
        <f t="shared" si="624"/>
        <v>凡华云仓-城南圆通-微信视频号</v>
      </c>
      <c r="O2083" s="5" t="s">
        <v>2119</v>
      </c>
      <c r="P2083" s="6">
        <v>0.24</v>
      </c>
      <c r="Q2083" s="11">
        <v>2</v>
      </c>
      <c r="R2083" s="11"/>
      <c r="S2083" s="11"/>
      <c r="T2083" s="11"/>
      <c r="U2083" s="11">
        <f t="shared" si="614"/>
        <v>2</v>
      </c>
      <c r="W2083">
        <v>2.2000000000000002</v>
      </c>
      <c r="X2083" s="1" t="s">
        <v>32</v>
      </c>
    </row>
    <row r="2084" spans="1:24" x14ac:dyDescent="0.25">
      <c r="A2084" s="1" t="str">
        <f t="shared" si="615"/>
        <v>卡卡杜-凤凰仓</v>
      </c>
      <c r="B2084" s="1" t="str">
        <f>"CK20241028148"</f>
        <v>CK20241028148</v>
      </c>
      <c r="C2084" s="1" t="str">
        <f>"DD2024102819553"</f>
        <v>DD2024102819553</v>
      </c>
      <c r="D2084" s="1" t="str">
        <f>"CK202410289240"</f>
        <v>CK202410289240</v>
      </c>
      <c r="E2084" s="1" t="str">
        <f>"3723605963641588736"</f>
        <v>3723605963641588736</v>
      </c>
      <c r="F2084" s="1" t="str">
        <f t="shared" si="616"/>
        <v>花都四部-凤凰仓</v>
      </c>
      <c r="G2084" s="1" t="str">
        <f t="shared" si="623"/>
        <v>卡卡杜企业店（视频号）</v>
      </c>
      <c r="H2084" s="1" t="str">
        <f t="shared" si="617"/>
        <v>正常订单</v>
      </c>
      <c r="I2084" s="1" t="str">
        <f t="shared" si="618"/>
        <v>已发货</v>
      </c>
      <c r="J2084" s="1" t="str">
        <f t="shared" si="611"/>
        <v>3</v>
      </c>
      <c r="K2084" s="1">
        <v>3</v>
      </c>
      <c r="L2084" s="1" t="s">
        <v>80</v>
      </c>
      <c r="M2084" s="1" t="str">
        <f>"河南省 新乡市 新乡县 "</f>
        <v xml:space="preserve">河南省 新乡市 新乡县 </v>
      </c>
      <c r="N2084" s="1" t="str">
        <f t="shared" si="624"/>
        <v>凡华云仓-城南圆通-微信视频号</v>
      </c>
      <c r="O2084" s="5" t="s">
        <v>2120</v>
      </c>
      <c r="P2084" s="6">
        <v>0.34</v>
      </c>
      <c r="Q2084" s="11">
        <v>2.2999999999999998</v>
      </c>
      <c r="R2084" s="11"/>
      <c r="S2084" s="11"/>
      <c r="T2084" s="11"/>
      <c r="U2084" s="11">
        <f t="shared" si="614"/>
        <v>2.2999999999999998</v>
      </c>
      <c r="W2084">
        <v>2.5</v>
      </c>
      <c r="X2084" s="1" t="s">
        <v>80</v>
      </c>
    </row>
    <row r="2085" spans="1:24" x14ac:dyDescent="0.25">
      <c r="A2085" s="1" t="str">
        <f t="shared" si="615"/>
        <v>卡卡杜-凤凰仓</v>
      </c>
      <c r="B2085" s="1" t="str">
        <f>"CK20241028146"</f>
        <v>CK20241028146</v>
      </c>
      <c r="C2085" s="1" t="str">
        <f>"DD2024102819552"</f>
        <v>DD2024102819552</v>
      </c>
      <c r="D2085" s="1" t="str">
        <f>"CK202410289239"</f>
        <v>CK202410289239</v>
      </c>
      <c r="E2085" s="1" t="str">
        <f>"3723605976413244416"</f>
        <v>3723605976413244416</v>
      </c>
      <c r="F2085" s="1" t="str">
        <f t="shared" si="616"/>
        <v>花都四部-凤凰仓</v>
      </c>
      <c r="G2085" s="1" t="str">
        <f t="shared" si="623"/>
        <v>卡卡杜企业店（视频号）</v>
      </c>
      <c r="H2085" s="1" t="str">
        <f t="shared" si="617"/>
        <v>正常订单</v>
      </c>
      <c r="I2085" s="1" t="str">
        <f t="shared" si="618"/>
        <v>已发货</v>
      </c>
      <c r="J2085" s="1" t="str">
        <f t="shared" si="611"/>
        <v>3</v>
      </c>
      <c r="K2085" s="1">
        <v>3</v>
      </c>
      <c r="L2085" s="1" t="s">
        <v>109</v>
      </c>
      <c r="M2085" s="1" t="str">
        <f>"山西省 大同市 平城区 "</f>
        <v xml:space="preserve">山西省 大同市 平城区 </v>
      </c>
      <c r="N2085" s="1" t="str">
        <f t="shared" si="624"/>
        <v>凡华云仓-城南圆通-微信视频号</v>
      </c>
      <c r="O2085" s="5" t="s">
        <v>2121</v>
      </c>
      <c r="P2085" s="6">
        <v>0.34</v>
      </c>
      <c r="Q2085" s="11">
        <v>2.2999999999999998</v>
      </c>
      <c r="R2085" s="11"/>
      <c r="S2085" s="11"/>
      <c r="T2085" s="11"/>
      <c r="U2085" s="11">
        <f t="shared" si="614"/>
        <v>2.2999999999999998</v>
      </c>
      <c r="W2085">
        <v>2.5</v>
      </c>
      <c r="X2085" s="1" t="s">
        <v>109</v>
      </c>
    </row>
    <row r="2086" spans="1:24" x14ac:dyDescent="0.25">
      <c r="A2086" s="1" t="str">
        <f t="shared" si="615"/>
        <v>卡卡杜-凤凰仓</v>
      </c>
      <c r="B2086" s="1" t="str">
        <f>"CK20241028145"</f>
        <v>CK20241028145</v>
      </c>
      <c r="C2086" s="1" t="str">
        <f>"DD2024102819551"</f>
        <v>DD2024102819551</v>
      </c>
      <c r="D2086" s="1" t="str">
        <f>"CK202410289238"</f>
        <v>CK202410289238</v>
      </c>
      <c r="E2086" s="1" t="str">
        <f>"3723606018570195968"</f>
        <v>3723606018570195968</v>
      </c>
      <c r="F2086" s="1" t="str">
        <f t="shared" si="616"/>
        <v>花都四部-凤凰仓</v>
      </c>
      <c r="G2086" s="1" t="str">
        <f t="shared" si="623"/>
        <v>卡卡杜企业店（视频号）</v>
      </c>
      <c r="H2086" s="1" t="str">
        <f t="shared" si="617"/>
        <v>正常订单</v>
      </c>
      <c r="I2086" s="1" t="str">
        <f t="shared" si="618"/>
        <v>已发货</v>
      </c>
      <c r="J2086" s="1" t="str">
        <f t="shared" si="611"/>
        <v>3</v>
      </c>
      <c r="K2086" s="1">
        <v>3</v>
      </c>
      <c r="L2086" s="1" t="s">
        <v>105</v>
      </c>
      <c r="M2086" s="1" t="str">
        <f>"北京 北京市 西城区 "</f>
        <v xml:space="preserve">北京 北京市 西城区 </v>
      </c>
      <c r="N2086" s="1" t="str">
        <f t="shared" si="624"/>
        <v>凡华云仓-城南圆通-微信视频号</v>
      </c>
      <c r="O2086" s="5" t="s">
        <v>2122</v>
      </c>
      <c r="P2086" s="6">
        <v>0.34</v>
      </c>
      <c r="Q2086" s="11">
        <v>2.2999999999999998</v>
      </c>
      <c r="R2086" s="11"/>
      <c r="S2086" s="11"/>
      <c r="T2086" s="11"/>
      <c r="U2086" s="11">
        <f t="shared" si="614"/>
        <v>2.2999999999999998</v>
      </c>
      <c r="W2086">
        <v>2.5</v>
      </c>
      <c r="X2086" s="1" t="s">
        <v>105</v>
      </c>
    </row>
    <row r="2087" spans="1:24" x14ac:dyDescent="0.25">
      <c r="A2087" s="1" t="str">
        <f t="shared" si="615"/>
        <v>卡卡杜-凤凰仓</v>
      </c>
      <c r="B2087" s="1" t="str">
        <f>"CK20241028144"</f>
        <v>CK20241028144</v>
      </c>
      <c r="C2087" s="1" t="str">
        <f>"DD2024102819550"</f>
        <v>DD2024102819550</v>
      </c>
      <c r="D2087" s="1" t="str">
        <f>"CK202410289237"</f>
        <v>CK202410289237</v>
      </c>
      <c r="E2087" s="1" t="str">
        <f>"2430102493314827"</f>
        <v>2430102493314827</v>
      </c>
      <c r="F2087" s="1" t="str">
        <f t="shared" si="616"/>
        <v>花都四部-凤凰仓</v>
      </c>
      <c r="G2087" s="1" t="str">
        <f>"卡卡杜佳旺专卖店（快手店）"</f>
        <v>卡卡杜佳旺专卖店（快手店）</v>
      </c>
      <c r="H2087" s="1" t="str">
        <f t="shared" si="617"/>
        <v>正常订单</v>
      </c>
      <c r="I2087" s="1" t="str">
        <f t="shared" si="618"/>
        <v>已发货</v>
      </c>
      <c r="J2087" s="1" t="str">
        <f t="shared" si="611"/>
        <v>3</v>
      </c>
      <c r="K2087" s="1">
        <v>2</v>
      </c>
      <c r="L2087" s="1" t="s">
        <v>18</v>
      </c>
      <c r="M2087" s="1" t="str">
        <f>"广东省 中山市 横栏镇 横栏镇"</f>
        <v>广东省 中山市 横栏镇 横栏镇</v>
      </c>
      <c r="N2087" s="1" t="str">
        <f>"凡华云仓-城南圆通-快手"</f>
        <v>凡华云仓-城南圆通-快手</v>
      </c>
      <c r="O2087" s="5" t="s">
        <v>2123</v>
      </c>
      <c r="P2087" s="6">
        <v>0.35</v>
      </c>
      <c r="Q2087" s="11">
        <v>2.2999999999999998</v>
      </c>
      <c r="R2087" s="11"/>
      <c r="S2087" s="11"/>
      <c r="T2087" s="11"/>
      <c r="U2087" s="11">
        <f t="shared" si="614"/>
        <v>2.2999999999999998</v>
      </c>
      <c r="W2087">
        <v>2.5</v>
      </c>
      <c r="X2087" s="1" t="s">
        <v>18</v>
      </c>
    </row>
    <row r="2088" spans="1:24" x14ac:dyDescent="0.25">
      <c r="A2088" s="1" t="str">
        <f t="shared" si="615"/>
        <v>卡卡杜-凤凰仓</v>
      </c>
      <c r="B2088" s="1" t="str">
        <f>"CK20241028143"</f>
        <v>CK20241028143</v>
      </c>
      <c r="C2088" s="1" t="str">
        <f>"DD2024102819549"</f>
        <v>DD2024102819549</v>
      </c>
      <c r="D2088" s="1" t="str">
        <f>"CK202410289236"</f>
        <v>CK202410289236</v>
      </c>
      <c r="E2088" s="1" t="str">
        <f>"3723606026350104576"</f>
        <v>3723606026350104576</v>
      </c>
      <c r="F2088" s="1" t="str">
        <f t="shared" si="616"/>
        <v>花都四部-凤凰仓</v>
      </c>
      <c r="G2088" s="1" t="str">
        <f t="shared" ref="G2088:G2108" si="625">"卡卡杜企业店（视频号）"</f>
        <v>卡卡杜企业店（视频号）</v>
      </c>
      <c r="H2088" s="1" t="str">
        <f t="shared" si="617"/>
        <v>正常订单</v>
      </c>
      <c r="I2088" s="1" t="str">
        <f t="shared" si="618"/>
        <v>已发货</v>
      </c>
      <c r="J2088" s="1" t="str">
        <f t="shared" si="611"/>
        <v>3</v>
      </c>
      <c r="K2088" s="1">
        <v>3</v>
      </c>
      <c r="L2088" s="1" t="s">
        <v>18</v>
      </c>
      <c r="M2088" s="1" t="str">
        <f>"广东省 广州市 白云区 "</f>
        <v xml:space="preserve">广东省 广州市 白云区 </v>
      </c>
      <c r="N2088" s="1" t="str">
        <f t="shared" ref="N2088:N2108" si="626">"凡华云仓-城南圆通-微信视频号"</f>
        <v>凡华云仓-城南圆通-微信视频号</v>
      </c>
      <c r="O2088" s="5" t="s">
        <v>2124</v>
      </c>
      <c r="P2088" s="6">
        <v>0.34</v>
      </c>
      <c r="Q2088" s="11">
        <v>2.2999999999999998</v>
      </c>
      <c r="R2088" s="11"/>
      <c r="S2088" s="11"/>
      <c r="T2088" s="11"/>
      <c r="U2088" s="11">
        <f t="shared" si="614"/>
        <v>2.2999999999999998</v>
      </c>
      <c r="W2088">
        <v>2.5</v>
      </c>
      <c r="X2088" s="1" t="s">
        <v>18</v>
      </c>
    </row>
    <row r="2089" spans="1:24" x14ac:dyDescent="0.25">
      <c r="A2089" s="1" t="str">
        <f t="shared" si="615"/>
        <v>卡卡杜-凤凰仓</v>
      </c>
      <c r="B2089" s="1" t="str">
        <f>"CK20241028141"</f>
        <v>CK20241028141</v>
      </c>
      <c r="C2089" s="1" t="str">
        <f>"DD2024102819548"</f>
        <v>DD2024102819548</v>
      </c>
      <c r="D2089" s="1" t="str">
        <f>"CK202410289235"</f>
        <v>CK202410289235</v>
      </c>
      <c r="E2089" s="1" t="str">
        <f>"3723606036973225472"</f>
        <v>3723606036973225472</v>
      </c>
      <c r="F2089" s="1" t="str">
        <f t="shared" si="616"/>
        <v>花都四部-凤凰仓</v>
      </c>
      <c r="G2089" s="1" t="str">
        <f t="shared" si="625"/>
        <v>卡卡杜企业店（视频号）</v>
      </c>
      <c r="H2089" s="1" t="str">
        <f t="shared" si="617"/>
        <v>正常订单</v>
      </c>
      <c r="I2089" s="1" t="str">
        <f t="shared" si="618"/>
        <v>已发货</v>
      </c>
      <c r="J2089" s="1" t="str">
        <f t="shared" si="611"/>
        <v>3</v>
      </c>
      <c r="K2089" s="1">
        <v>3</v>
      </c>
      <c r="L2089" s="1" t="s">
        <v>47</v>
      </c>
      <c r="M2089" s="1" t="str">
        <f>"重庆 重庆市 渝北区 "</f>
        <v xml:space="preserve">重庆 重庆市 渝北区 </v>
      </c>
      <c r="N2089" s="1" t="str">
        <f t="shared" si="626"/>
        <v>凡华云仓-城南圆通-微信视频号</v>
      </c>
      <c r="O2089" s="5" t="s">
        <v>2125</v>
      </c>
      <c r="P2089" s="6">
        <v>0.34</v>
      </c>
      <c r="Q2089" s="11">
        <v>2.2999999999999998</v>
      </c>
      <c r="R2089" s="11"/>
      <c r="S2089" s="11"/>
      <c r="T2089" s="11"/>
      <c r="U2089" s="11">
        <f t="shared" si="614"/>
        <v>2.2999999999999998</v>
      </c>
      <c r="W2089">
        <v>2.5</v>
      </c>
      <c r="X2089" s="1" t="s">
        <v>47</v>
      </c>
    </row>
    <row r="2090" spans="1:24" x14ac:dyDescent="0.25">
      <c r="A2090" s="1" t="str">
        <f t="shared" si="615"/>
        <v>卡卡杜-凤凰仓</v>
      </c>
      <c r="B2090" s="1" t="str">
        <f>"CK20241028142"</f>
        <v>CK20241028142</v>
      </c>
      <c r="C2090" s="1" t="str">
        <f>"DD2024102819547"</f>
        <v>DD2024102819547</v>
      </c>
      <c r="D2090" s="1" t="str">
        <f>"CK202410289234"</f>
        <v>CK202410289234</v>
      </c>
      <c r="E2090" s="1" t="str">
        <f>"3723606035920717056"</f>
        <v>3723606035920717056</v>
      </c>
      <c r="F2090" s="1" t="str">
        <f t="shared" si="616"/>
        <v>花都四部-凤凰仓</v>
      </c>
      <c r="G2090" s="1" t="str">
        <f t="shared" si="625"/>
        <v>卡卡杜企业店（视频号）</v>
      </c>
      <c r="H2090" s="1" t="str">
        <f t="shared" si="617"/>
        <v>正常订单</v>
      </c>
      <c r="I2090" s="1" t="str">
        <f t="shared" si="618"/>
        <v>已发货</v>
      </c>
      <c r="J2090" s="1" t="str">
        <f t="shared" si="611"/>
        <v>3</v>
      </c>
      <c r="K2090" s="1">
        <v>3</v>
      </c>
      <c r="L2090" s="1" t="s">
        <v>30</v>
      </c>
      <c r="M2090" s="1" t="str">
        <f>"山东省 济南市 天桥区 "</f>
        <v xml:space="preserve">山东省 济南市 天桥区 </v>
      </c>
      <c r="N2090" s="1" t="str">
        <f t="shared" si="626"/>
        <v>凡华云仓-城南圆通-微信视频号</v>
      </c>
      <c r="O2090" s="5" t="s">
        <v>2126</v>
      </c>
      <c r="P2090" s="6">
        <v>0.34</v>
      </c>
      <c r="Q2090" s="11">
        <v>2.2999999999999998</v>
      </c>
      <c r="R2090" s="11"/>
      <c r="S2090" s="11"/>
      <c r="T2090" s="11"/>
      <c r="U2090" s="11">
        <f t="shared" si="614"/>
        <v>2.2999999999999998</v>
      </c>
      <c r="W2090">
        <v>2.5</v>
      </c>
      <c r="X2090" s="1" t="s">
        <v>30</v>
      </c>
    </row>
    <row r="2091" spans="1:24" x14ac:dyDescent="0.25">
      <c r="A2091" s="1" t="str">
        <f t="shared" si="615"/>
        <v>卡卡杜-凤凰仓</v>
      </c>
      <c r="B2091" s="1" t="str">
        <f>"CK20241028140"</f>
        <v>CK20241028140</v>
      </c>
      <c r="C2091" s="1" t="str">
        <f>"DD2024102819546"</f>
        <v>DD2024102819546</v>
      </c>
      <c r="D2091" s="1" t="str">
        <f>"CK202410289233"</f>
        <v>CK202410289233</v>
      </c>
      <c r="E2091" s="1" t="str">
        <f>"3723606041380393984"</f>
        <v>3723606041380393984</v>
      </c>
      <c r="F2091" s="1" t="str">
        <f t="shared" si="616"/>
        <v>花都四部-凤凰仓</v>
      </c>
      <c r="G2091" s="1" t="str">
        <f t="shared" si="625"/>
        <v>卡卡杜企业店（视频号）</v>
      </c>
      <c r="H2091" s="1" t="str">
        <f t="shared" si="617"/>
        <v>正常订单</v>
      </c>
      <c r="I2091" s="1" t="str">
        <f t="shared" si="618"/>
        <v>已发货</v>
      </c>
      <c r="J2091" s="1" t="str">
        <f t="shared" si="611"/>
        <v>3</v>
      </c>
      <c r="K2091" s="1">
        <v>3</v>
      </c>
      <c r="L2091" s="1" t="s">
        <v>105</v>
      </c>
      <c r="M2091" s="1" t="str">
        <f>"北京 北京市 昌平区 "</f>
        <v xml:space="preserve">北京 北京市 昌平区 </v>
      </c>
      <c r="N2091" s="1" t="str">
        <f t="shared" si="626"/>
        <v>凡华云仓-城南圆通-微信视频号</v>
      </c>
      <c r="O2091" s="5" t="s">
        <v>2127</v>
      </c>
      <c r="P2091" s="6">
        <v>0.34</v>
      </c>
      <c r="Q2091" s="11">
        <v>2.2999999999999998</v>
      </c>
      <c r="R2091" s="11"/>
      <c r="S2091" s="11"/>
      <c r="T2091" s="11"/>
      <c r="U2091" s="11">
        <f t="shared" si="614"/>
        <v>2.2999999999999998</v>
      </c>
      <c r="W2091">
        <v>2.5</v>
      </c>
      <c r="X2091" s="1" t="s">
        <v>105</v>
      </c>
    </row>
    <row r="2092" spans="1:24" x14ac:dyDescent="0.25">
      <c r="A2092" s="1" t="str">
        <f t="shared" si="615"/>
        <v>卡卡杜-凤凰仓</v>
      </c>
      <c r="B2092" s="1" t="str">
        <f>"CK20241028139"</f>
        <v>CK20241028139</v>
      </c>
      <c r="C2092" s="1" t="str">
        <f>"DD2024102819545"</f>
        <v>DD2024102819545</v>
      </c>
      <c r="D2092" s="1" t="str">
        <f>"CK202410289232"</f>
        <v>CK202410289232</v>
      </c>
      <c r="E2092" s="1" t="str">
        <f>"3723606041602428928"</f>
        <v>3723606041602428928</v>
      </c>
      <c r="F2092" s="1" t="str">
        <f t="shared" si="616"/>
        <v>花都四部-凤凰仓</v>
      </c>
      <c r="G2092" s="1" t="str">
        <f t="shared" si="625"/>
        <v>卡卡杜企业店（视频号）</v>
      </c>
      <c r="H2092" s="1" t="str">
        <f t="shared" si="617"/>
        <v>正常订单</v>
      </c>
      <c r="I2092" s="1" t="str">
        <f t="shared" si="618"/>
        <v>已发货</v>
      </c>
      <c r="J2092" s="1" t="str">
        <f t="shared" si="611"/>
        <v>3</v>
      </c>
      <c r="K2092" s="1">
        <v>2</v>
      </c>
      <c r="L2092" s="1" t="s">
        <v>80</v>
      </c>
      <c r="M2092" s="1" t="str">
        <f>"河南省 郑州市 二七区 "</f>
        <v xml:space="preserve">河南省 郑州市 二七区 </v>
      </c>
      <c r="N2092" s="1" t="str">
        <f t="shared" si="626"/>
        <v>凡华云仓-城南圆通-微信视频号</v>
      </c>
      <c r="O2092" s="5" t="s">
        <v>2128</v>
      </c>
      <c r="P2092" s="6">
        <v>0.24</v>
      </c>
      <c r="Q2092" s="11">
        <v>2</v>
      </c>
      <c r="R2092" s="11"/>
      <c r="S2092" s="11"/>
      <c r="T2092" s="11"/>
      <c r="U2092" s="11">
        <f t="shared" si="614"/>
        <v>2</v>
      </c>
      <c r="W2092">
        <v>2.2000000000000002</v>
      </c>
      <c r="X2092" s="1" t="s">
        <v>80</v>
      </c>
    </row>
    <row r="2093" spans="1:24" x14ac:dyDescent="0.25">
      <c r="A2093" s="1" t="str">
        <f t="shared" si="615"/>
        <v>卡卡杜-凤凰仓</v>
      </c>
      <c r="B2093" s="1" t="str">
        <f>"CK20241028138"</f>
        <v>CK20241028138</v>
      </c>
      <c r="C2093" s="1" t="str">
        <f>"DD2024102819544"</f>
        <v>DD2024102819544</v>
      </c>
      <c r="D2093" s="1" t="str">
        <f>"CK202410289231"</f>
        <v>CK202410289231</v>
      </c>
      <c r="E2093" s="1" t="str">
        <f>"3723606048055627776"</f>
        <v>3723606048055627776</v>
      </c>
      <c r="F2093" s="1" t="str">
        <f t="shared" si="616"/>
        <v>花都四部-凤凰仓</v>
      </c>
      <c r="G2093" s="1" t="str">
        <f t="shared" si="625"/>
        <v>卡卡杜企业店（视频号）</v>
      </c>
      <c r="H2093" s="1" t="str">
        <f t="shared" si="617"/>
        <v>正常订单</v>
      </c>
      <c r="I2093" s="1" t="str">
        <f t="shared" si="618"/>
        <v>已发货</v>
      </c>
      <c r="J2093" s="1" t="str">
        <f t="shared" si="611"/>
        <v>3</v>
      </c>
      <c r="K2093" s="1">
        <v>2</v>
      </c>
      <c r="L2093" s="1" t="s">
        <v>18</v>
      </c>
      <c r="M2093" s="1" t="str">
        <f>"广东省 惠州市 惠东县 "</f>
        <v xml:space="preserve">广东省 惠州市 惠东县 </v>
      </c>
      <c r="N2093" s="1" t="str">
        <f t="shared" si="626"/>
        <v>凡华云仓-城南圆通-微信视频号</v>
      </c>
      <c r="O2093" s="5" t="s">
        <v>2129</v>
      </c>
      <c r="P2093" s="6">
        <v>0.24</v>
      </c>
      <c r="Q2093" s="11">
        <v>2</v>
      </c>
      <c r="R2093" s="11"/>
      <c r="S2093" s="11"/>
      <c r="T2093" s="11"/>
      <c r="U2093" s="11">
        <f t="shared" si="614"/>
        <v>2</v>
      </c>
      <c r="W2093">
        <v>2.2000000000000002</v>
      </c>
      <c r="X2093" s="1" t="s">
        <v>18</v>
      </c>
    </row>
    <row r="2094" spans="1:24" x14ac:dyDescent="0.25">
      <c r="A2094" s="1" t="str">
        <f t="shared" si="615"/>
        <v>卡卡杜-凤凰仓</v>
      </c>
      <c r="B2094" s="1" t="str">
        <f>"CK20241028136"</f>
        <v>CK20241028136</v>
      </c>
      <c r="C2094" s="1" t="str">
        <f>"DD2024102819543"</f>
        <v>DD2024102819543</v>
      </c>
      <c r="D2094" s="1" t="str">
        <f>"CK202410289230"</f>
        <v>CK202410289230</v>
      </c>
      <c r="E2094" s="1" t="str">
        <f>"3723606049553518592"</f>
        <v>3723606049553518592</v>
      </c>
      <c r="F2094" s="1" t="str">
        <f t="shared" si="616"/>
        <v>花都四部-凤凰仓</v>
      </c>
      <c r="G2094" s="1" t="str">
        <f t="shared" si="625"/>
        <v>卡卡杜企业店（视频号）</v>
      </c>
      <c r="H2094" s="1" t="str">
        <f t="shared" si="617"/>
        <v>正常订单</v>
      </c>
      <c r="I2094" s="1" t="str">
        <f t="shared" si="618"/>
        <v>已发货</v>
      </c>
      <c r="J2094" s="1" t="str">
        <f t="shared" ref="J2094:J2157" si="627">"3"</f>
        <v>3</v>
      </c>
      <c r="K2094" s="1">
        <v>2</v>
      </c>
      <c r="L2094" s="1" t="s">
        <v>47</v>
      </c>
      <c r="M2094" s="1" t="str">
        <f>"重庆 重庆市 渝中区 "</f>
        <v xml:space="preserve">重庆 重庆市 渝中区 </v>
      </c>
      <c r="N2094" s="1" t="str">
        <f t="shared" si="626"/>
        <v>凡华云仓-城南圆通-微信视频号</v>
      </c>
      <c r="O2094" s="5" t="s">
        <v>2130</v>
      </c>
      <c r="P2094" s="6">
        <v>0.24</v>
      </c>
      <c r="Q2094" s="11">
        <v>2</v>
      </c>
      <c r="R2094" s="11"/>
      <c r="S2094" s="11"/>
      <c r="T2094" s="11"/>
      <c r="U2094" s="11">
        <f t="shared" si="614"/>
        <v>2</v>
      </c>
      <c r="W2094">
        <v>2.2000000000000002</v>
      </c>
      <c r="X2094" s="1" t="s">
        <v>47</v>
      </c>
    </row>
    <row r="2095" spans="1:24" x14ac:dyDescent="0.25">
      <c r="A2095" s="1" t="str">
        <f t="shared" si="615"/>
        <v>卡卡杜-凤凰仓</v>
      </c>
      <c r="B2095" s="1" t="str">
        <f>"CK20241028137"</f>
        <v>CK20241028137</v>
      </c>
      <c r="C2095" s="1" t="str">
        <f>"DD2024102819542"</f>
        <v>DD2024102819542</v>
      </c>
      <c r="D2095" s="1" t="str">
        <f>"CK202410289229"</f>
        <v>CK202410289229</v>
      </c>
      <c r="E2095" s="1" t="str">
        <f>"3723606048642306048"</f>
        <v>3723606048642306048</v>
      </c>
      <c r="F2095" s="1" t="str">
        <f t="shared" si="616"/>
        <v>花都四部-凤凰仓</v>
      </c>
      <c r="G2095" s="1" t="str">
        <f t="shared" si="625"/>
        <v>卡卡杜企业店（视频号）</v>
      </c>
      <c r="H2095" s="1" t="str">
        <f t="shared" si="617"/>
        <v>正常订单</v>
      </c>
      <c r="I2095" s="1" t="str">
        <f t="shared" si="618"/>
        <v>已发货</v>
      </c>
      <c r="J2095" s="1" t="str">
        <f t="shared" si="627"/>
        <v>3</v>
      </c>
      <c r="K2095" s="1">
        <v>2</v>
      </c>
      <c r="L2095" s="1" t="s">
        <v>60</v>
      </c>
      <c r="M2095" s="1" t="str">
        <f>"云南省 昆明市 盘龙区 "</f>
        <v xml:space="preserve">云南省 昆明市 盘龙区 </v>
      </c>
      <c r="N2095" s="1" t="str">
        <f t="shared" si="626"/>
        <v>凡华云仓-城南圆通-微信视频号</v>
      </c>
      <c r="O2095" s="5" t="s">
        <v>2131</v>
      </c>
      <c r="P2095" s="6">
        <v>0.24</v>
      </c>
      <c r="Q2095" s="11">
        <v>2</v>
      </c>
      <c r="R2095" s="11"/>
      <c r="S2095" s="11"/>
      <c r="T2095" s="11"/>
      <c r="U2095" s="11">
        <f t="shared" si="614"/>
        <v>2</v>
      </c>
      <c r="W2095">
        <v>2.2000000000000002</v>
      </c>
      <c r="X2095" s="1" t="s">
        <v>60</v>
      </c>
    </row>
    <row r="2096" spans="1:24" x14ac:dyDescent="0.25">
      <c r="A2096" s="1" t="str">
        <f t="shared" si="615"/>
        <v>卡卡杜-凤凰仓</v>
      </c>
      <c r="B2096" s="1" t="str">
        <f>"CK20241028135"</f>
        <v>CK20241028135</v>
      </c>
      <c r="C2096" s="1" t="str">
        <f>"DD2024102819541"</f>
        <v>DD2024102819541</v>
      </c>
      <c r="D2096" s="1" t="str">
        <f>"CK202410289228"</f>
        <v>CK202410289228</v>
      </c>
      <c r="E2096" s="1" t="str">
        <f>"3723606046727079168"</f>
        <v>3723606046727079168</v>
      </c>
      <c r="F2096" s="1" t="str">
        <f t="shared" si="616"/>
        <v>花都四部-凤凰仓</v>
      </c>
      <c r="G2096" s="1" t="str">
        <f t="shared" si="625"/>
        <v>卡卡杜企业店（视频号）</v>
      </c>
      <c r="H2096" s="1" t="str">
        <f t="shared" si="617"/>
        <v>正常订单</v>
      </c>
      <c r="I2096" s="1" t="str">
        <f t="shared" si="618"/>
        <v>已发货</v>
      </c>
      <c r="J2096" s="1" t="str">
        <f t="shared" si="627"/>
        <v>3</v>
      </c>
      <c r="K2096" s="1">
        <v>2</v>
      </c>
      <c r="L2096" s="1" t="s">
        <v>36</v>
      </c>
      <c r="M2096" s="1" t="str">
        <f>"安徽省 合肥市 瑶海区 "</f>
        <v xml:space="preserve">安徽省 合肥市 瑶海区 </v>
      </c>
      <c r="N2096" s="1" t="str">
        <f t="shared" si="626"/>
        <v>凡华云仓-城南圆通-微信视频号</v>
      </c>
      <c r="O2096" s="5" t="s">
        <v>2132</v>
      </c>
      <c r="P2096" s="6">
        <v>0.24</v>
      </c>
      <c r="Q2096" s="11">
        <v>2</v>
      </c>
      <c r="R2096" s="11"/>
      <c r="S2096" s="11"/>
      <c r="T2096" s="11"/>
      <c r="U2096" s="11">
        <f t="shared" si="614"/>
        <v>2</v>
      </c>
      <c r="W2096">
        <v>2.2000000000000002</v>
      </c>
      <c r="X2096" s="1" t="s">
        <v>36</v>
      </c>
    </row>
    <row r="2097" spans="1:24" x14ac:dyDescent="0.25">
      <c r="A2097" s="1" t="str">
        <f t="shared" si="615"/>
        <v>卡卡杜-凤凰仓</v>
      </c>
      <c r="B2097" s="1" t="str">
        <f>"CK20241028134"</f>
        <v>CK20241028134</v>
      </c>
      <c r="C2097" s="1" t="str">
        <f>"DD2024102819540"</f>
        <v>DD2024102819540</v>
      </c>
      <c r="D2097" s="1" t="str">
        <f>"CK202410289227"</f>
        <v>CK202410289227</v>
      </c>
      <c r="E2097" s="1" t="str">
        <f>"3723606052298166272"</f>
        <v>3723606052298166272</v>
      </c>
      <c r="F2097" s="1" t="str">
        <f t="shared" si="616"/>
        <v>花都四部-凤凰仓</v>
      </c>
      <c r="G2097" s="1" t="str">
        <f t="shared" si="625"/>
        <v>卡卡杜企业店（视频号）</v>
      </c>
      <c r="H2097" s="1" t="str">
        <f t="shared" si="617"/>
        <v>正常订单</v>
      </c>
      <c r="I2097" s="1" t="str">
        <f t="shared" si="618"/>
        <v>已发货</v>
      </c>
      <c r="J2097" s="1" t="str">
        <f t="shared" si="627"/>
        <v>3</v>
      </c>
      <c r="K2097" s="1">
        <v>2</v>
      </c>
      <c r="L2097" s="1" t="s">
        <v>161</v>
      </c>
      <c r="M2097" s="1" t="str">
        <f>"四川省 成都市 彭州市 "</f>
        <v xml:space="preserve">四川省 成都市 彭州市 </v>
      </c>
      <c r="N2097" s="1" t="str">
        <f t="shared" si="626"/>
        <v>凡华云仓-城南圆通-微信视频号</v>
      </c>
      <c r="O2097" s="5" t="s">
        <v>2133</v>
      </c>
      <c r="P2097" s="6">
        <v>0.24</v>
      </c>
      <c r="Q2097" s="11">
        <v>2</v>
      </c>
      <c r="R2097" s="11"/>
      <c r="S2097" s="11"/>
      <c r="T2097" s="11"/>
      <c r="U2097" s="11">
        <f t="shared" si="614"/>
        <v>2</v>
      </c>
      <c r="W2097">
        <v>2.2000000000000002</v>
      </c>
      <c r="X2097" s="1" t="s">
        <v>161</v>
      </c>
    </row>
    <row r="2098" spans="1:24" x14ac:dyDescent="0.25">
      <c r="A2098" s="1" t="str">
        <f t="shared" si="615"/>
        <v>卡卡杜-凤凰仓</v>
      </c>
      <c r="B2098" s="1" t="str">
        <f>"CK20241028133"</f>
        <v>CK20241028133</v>
      </c>
      <c r="C2098" s="1" t="str">
        <f>"DD2024102819539"</f>
        <v>DD2024102819539</v>
      </c>
      <c r="D2098" s="1" t="str">
        <f>"CK202410289226"</f>
        <v>CK202410289226</v>
      </c>
      <c r="E2098" s="1" t="str">
        <f>"3723606054091232257"</f>
        <v>3723606054091232257</v>
      </c>
      <c r="F2098" s="1" t="str">
        <f t="shared" si="616"/>
        <v>花都四部-凤凰仓</v>
      </c>
      <c r="G2098" s="1" t="str">
        <f t="shared" si="625"/>
        <v>卡卡杜企业店（视频号）</v>
      </c>
      <c r="H2098" s="1" t="str">
        <f t="shared" si="617"/>
        <v>正常订单</v>
      </c>
      <c r="I2098" s="1" t="str">
        <f t="shared" si="618"/>
        <v>已发货</v>
      </c>
      <c r="J2098" s="1" t="str">
        <f t="shared" si="627"/>
        <v>3</v>
      </c>
      <c r="K2098" s="1">
        <v>3</v>
      </c>
      <c r="L2098" s="1" t="s">
        <v>96</v>
      </c>
      <c r="M2098" s="1" t="str">
        <f>"广西壮族自治区 桂林市 秀峰区 "</f>
        <v xml:space="preserve">广西壮族自治区 桂林市 秀峰区 </v>
      </c>
      <c r="N2098" s="1" t="str">
        <f t="shared" si="626"/>
        <v>凡华云仓-城南圆通-微信视频号</v>
      </c>
      <c r="O2098" s="5" t="s">
        <v>2134</v>
      </c>
      <c r="P2098" s="6">
        <v>0.34</v>
      </c>
      <c r="Q2098" s="11">
        <v>2.2999999999999998</v>
      </c>
      <c r="R2098" s="11"/>
      <c r="S2098" s="11"/>
      <c r="T2098" s="11"/>
      <c r="U2098" s="11">
        <f t="shared" si="614"/>
        <v>2.2999999999999998</v>
      </c>
      <c r="W2098">
        <v>2.5</v>
      </c>
      <c r="X2098" s="1" t="s">
        <v>96</v>
      </c>
    </row>
    <row r="2099" spans="1:24" x14ac:dyDescent="0.25">
      <c r="A2099" s="1" t="str">
        <f t="shared" si="615"/>
        <v>卡卡杜-凤凰仓</v>
      </c>
      <c r="B2099" s="1" t="str">
        <f>"CK20241028130"</f>
        <v>CK20241028130</v>
      </c>
      <c r="C2099" s="1" t="str">
        <f>"DD2024102819538"</f>
        <v>DD2024102819538</v>
      </c>
      <c r="D2099" s="1" t="str">
        <f>"CK202410289225"</f>
        <v>CK202410289225</v>
      </c>
      <c r="E2099" s="1" t="str">
        <f>"3723606065927558144"</f>
        <v>3723606065927558144</v>
      </c>
      <c r="F2099" s="1" t="str">
        <f t="shared" si="616"/>
        <v>花都四部-凤凰仓</v>
      </c>
      <c r="G2099" s="1" t="str">
        <f t="shared" si="625"/>
        <v>卡卡杜企业店（视频号）</v>
      </c>
      <c r="H2099" s="1" t="str">
        <f t="shared" si="617"/>
        <v>正常订单</v>
      </c>
      <c r="I2099" s="1" t="str">
        <f t="shared" si="618"/>
        <v>已发货</v>
      </c>
      <c r="J2099" s="1" t="str">
        <f t="shared" si="627"/>
        <v>3</v>
      </c>
      <c r="K2099" s="1">
        <v>2</v>
      </c>
      <c r="L2099" s="1" t="s">
        <v>109</v>
      </c>
      <c r="M2099" s="1" t="str">
        <f>"山西省 临汾市 尧都区 "</f>
        <v xml:space="preserve">山西省 临汾市 尧都区 </v>
      </c>
      <c r="N2099" s="1" t="str">
        <f t="shared" si="626"/>
        <v>凡华云仓-城南圆通-微信视频号</v>
      </c>
      <c r="O2099" s="5" t="s">
        <v>2135</v>
      </c>
      <c r="P2099" s="6">
        <v>0.24</v>
      </c>
      <c r="Q2099" s="11">
        <v>2</v>
      </c>
      <c r="R2099" s="11"/>
      <c r="S2099" s="11"/>
      <c r="T2099" s="11"/>
      <c r="U2099" s="11">
        <f t="shared" si="614"/>
        <v>2</v>
      </c>
      <c r="W2099">
        <v>2.2000000000000002</v>
      </c>
      <c r="X2099" s="1" t="s">
        <v>109</v>
      </c>
    </row>
    <row r="2100" spans="1:24" x14ac:dyDescent="0.25">
      <c r="A2100" s="1" t="str">
        <f t="shared" si="615"/>
        <v>卡卡杜-凤凰仓</v>
      </c>
      <c r="B2100" s="1" t="str">
        <f>"CK20241028131"</f>
        <v>CK20241028131</v>
      </c>
      <c r="C2100" s="1" t="str">
        <f>"DD2024102819537"</f>
        <v>DD2024102819537</v>
      </c>
      <c r="D2100" s="1" t="str">
        <f>"CK202410289224"</f>
        <v>CK202410289224</v>
      </c>
      <c r="E2100" s="1" t="str">
        <f>"3723606063550436352"</f>
        <v>3723606063550436352</v>
      </c>
      <c r="F2100" s="1" t="str">
        <f t="shared" si="616"/>
        <v>花都四部-凤凰仓</v>
      </c>
      <c r="G2100" s="1" t="str">
        <f t="shared" si="625"/>
        <v>卡卡杜企业店（视频号）</v>
      </c>
      <c r="H2100" s="1" t="str">
        <f t="shared" si="617"/>
        <v>正常订单</v>
      </c>
      <c r="I2100" s="1" t="str">
        <f t="shared" si="618"/>
        <v>已发货</v>
      </c>
      <c r="J2100" s="1" t="str">
        <f t="shared" si="627"/>
        <v>3</v>
      </c>
      <c r="K2100" s="1">
        <v>2</v>
      </c>
      <c r="L2100" s="1" t="s">
        <v>92</v>
      </c>
      <c r="M2100" s="1" t="str">
        <f>"辽宁省 大连市 庄河市 "</f>
        <v xml:space="preserve">辽宁省 大连市 庄河市 </v>
      </c>
      <c r="N2100" s="1" t="str">
        <f t="shared" si="626"/>
        <v>凡华云仓-城南圆通-微信视频号</v>
      </c>
      <c r="O2100" s="5" t="s">
        <v>2136</v>
      </c>
      <c r="P2100" s="6">
        <v>0.24</v>
      </c>
      <c r="Q2100" s="11">
        <v>2</v>
      </c>
      <c r="R2100" s="11"/>
      <c r="S2100" s="11"/>
      <c r="T2100" s="11"/>
      <c r="U2100" s="11">
        <f t="shared" si="614"/>
        <v>2</v>
      </c>
      <c r="W2100">
        <v>2.2000000000000002</v>
      </c>
      <c r="X2100" s="1" t="s">
        <v>92</v>
      </c>
    </row>
    <row r="2101" spans="1:24" x14ac:dyDescent="0.25">
      <c r="A2101" s="1" t="str">
        <f t="shared" si="615"/>
        <v>卡卡杜-凤凰仓</v>
      </c>
      <c r="B2101" s="1" t="str">
        <f>"CK20241028132"</f>
        <v>CK20241028132</v>
      </c>
      <c r="C2101" s="1" t="str">
        <f>"DD2024102819536"</f>
        <v>DD2024102819536</v>
      </c>
      <c r="D2101" s="1" t="str">
        <f>"CK202410289223"</f>
        <v>CK202410289223</v>
      </c>
      <c r="E2101" s="1" t="str">
        <f>"3723606059331226624"</f>
        <v>3723606059331226624</v>
      </c>
      <c r="F2101" s="1" t="str">
        <f t="shared" si="616"/>
        <v>花都四部-凤凰仓</v>
      </c>
      <c r="G2101" s="1" t="str">
        <f t="shared" si="625"/>
        <v>卡卡杜企业店（视频号）</v>
      </c>
      <c r="H2101" s="1" t="str">
        <f t="shared" si="617"/>
        <v>正常订单</v>
      </c>
      <c r="I2101" s="1" t="str">
        <f t="shared" si="618"/>
        <v>已发货</v>
      </c>
      <c r="J2101" s="1" t="str">
        <f t="shared" si="627"/>
        <v>3</v>
      </c>
      <c r="K2101" s="1">
        <v>3</v>
      </c>
      <c r="L2101" s="1" t="s">
        <v>13</v>
      </c>
      <c r="M2101" s="1" t="str">
        <f>"江苏省 常州市 武进区 "</f>
        <v xml:space="preserve">江苏省 常州市 武进区 </v>
      </c>
      <c r="N2101" s="1" t="str">
        <f t="shared" si="626"/>
        <v>凡华云仓-城南圆通-微信视频号</v>
      </c>
      <c r="O2101" s="5" t="s">
        <v>2137</v>
      </c>
      <c r="P2101" s="6">
        <v>0.34</v>
      </c>
      <c r="Q2101" s="11">
        <v>2.2999999999999998</v>
      </c>
      <c r="R2101" s="11"/>
      <c r="S2101" s="11"/>
      <c r="T2101" s="11"/>
      <c r="U2101" s="11">
        <f t="shared" si="614"/>
        <v>2.2999999999999998</v>
      </c>
      <c r="W2101">
        <v>2.5</v>
      </c>
      <c r="X2101" s="1" t="s">
        <v>13</v>
      </c>
    </row>
    <row r="2102" spans="1:24" x14ac:dyDescent="0.25">
      <c r="A2102" s="1" t="str">
        <f t="shared" si="615"/>
        <v>卡卡杜-凤凰仓</v>
      </c>
      <c r="B2102" s="1" t="str">
        <f>"CK20241028129"</f>
        <v>CK20241028129</v>
      </c>
      <c r="C2102" s="1" t="str">
        <f>"DD2024102819535"</f>
        <v>DD2024102819535</v>
      </c>
      <c r="D2102" s="1" t="str">
        <f>"CK202410289222"</f>
        <v>CK202410289222</v>
      </c>
      <c r="E2102" s="1" t="str">
        <f>"3723606051508850688"</f>
        <v>3723606051508850688</v>
      </c>
      <c r="F2102" s="1" t="str">
        <f t="shared" si="616"/>
        <v>花都四部-凤凰仓</v>
      </c>
      <c r="G2102" s="1" t="str">
        <f t="shared" si="625"/>
        <v>卡卡杜企业店（视频号）</v>
      </c>
      <c r="H2102" s="1" t="str">
        <f t="shared" si="617"/>
        <v>正常订单</v>
      </c>
      <c r="I2102" s="1" t="str">
        <f t="shared" si="618"/>
        <v>已发货</v>
      </c>
      <c r="J2102" s="1" t="str">
        <f t="shared" si="627"/>
        <v>3</v>
      </c>
      <c r="K2102" s="1">
        <v>3</v>
      </c>
      <c r="L2102" s="1" t="s">
        <v>18</v>
      </c>
      <c r="M2102" s="1" t="str">
        <f>"广东省 广州市 白云区 "</f>
        <v xml:space="preserve">广东省 广州市 白云区 </v>
      </c>
      <c r="N2102" s="1" t="str">
        <f t="shared" si="626"/>
        <v>凡华云仓-城南圆通-微信视频号</v>
      </c>
      <c r="O2102" s="5" t="s">
        <v>2138</v>
      </c>
      <c r="P2102" s="6">
        <v>0.34</v>
      </c>
      <c r="Q2102" s="11">
        <v>2.2999999999999998</v>
      </c>
      <c r="R2102" s="11"/>
      <c r="S2102" s="11"/>
      <c r="T2102" s="11"/>
      <c r="U2102" s="11">
        <f t="shared" si="614"/>
        <v>2.2999999999999998</v>
      </c>
      <c r="W2102">
        <v>2.5</v>
      </c>
      <c r="X2102" s="1" t="s">
        <v>18</v>
      </c>
    </row>
    <row r="2103" spans="1:24" x14ac:dyDescent="0.25">
      <c r="A2103" s="1" t="str">
        <f t="shared" si="615"/>
        <v>卡卡杜-凤凰仓</v>
      </c>
      <c r="B2103" s="1" t="str">
        <f>"CK20241028128"</f>
        <v>CK20241028128</v>
      </c>
      <c r="C2103" s="1" t="str">
        <f>"DD2024102819534"</f>
        <v>DD2024102819534</v>
      </c>
      <c r="D2103" s="1" t="str">
        <f>"CK202410289221"</f>
        <v>CK202410289221</v>
      </c>
      <c r="E2103" s="1" t="str">
        <f>"3723606069729428992"</f>
        <v>3723606069729428992</v>
      </c>
      <c r="F2103" s="1" t="str">
        <f t="shared" si="616"/>
        <v>花都四部-凤凰仓</v>
      </c>
      <c r="G2103" s="1" t="str">
        <f t="shared" si="625"/>
        <v>卡卡杜企业店（视频号）</v>
      </c>
      <c r="H2103" s="1" t="str">
        <f t="shared" si="617"/>
        <v>正常订单</v>
      </c>
      <c r="I2103" s="1" t="str">
        <f t="shared" si="618"/>
        <v>已发货</v>
      </c>
      <c r="J2103" s="1" t="str">
        <f t="shared" si="627"/>
        <v>3</v>
      </c>
      <c r="K2103" s="1">
        <v>2</v>
      </c>
      <c r="L2103" s="1" t="s">
        <v>92</v>
      </c>
      <c r="M2103" s="1" t="str">
        <f>"辽宁省 沈阳市 大东区 "</f>
        <v xml:space="preserve">辽宁省 沈阳市 大东区 </v>
      </c>
      <c r="N2103" s="1" t="str">
        <f t="shared" si="626"/>
        <v>凡华云仓-城南圆通-微信视频号</v>
      </c>
      <c r="O2103" s="5" t="s">
        <v>2139</v>
      </c>
      <c r="P2103" s="6">
        <v>0.24</v>
      </c>
      <c r="Q2103" s="11">
        <v>2</v>
      </c>
      <c r="R2103" s="11"/>
      <c r="S2103" s="11"/>
      <c r="T2103" s="11"/>
      <c r="U2103" s="11">
        <f t="shared" si="614"/>
        <v>2</v>
      </c>
      <c r="W2103">
        <v>2.2000000000000002</v>
      </c>
      <c r="X2103" s="1" t="s">
        <v>92</v>
      </c>
    </row>
    <row r="2104" spans="1:24" x14ac:dyDescent="0.25">
      <c r="A2104" s="1" t="str">
        <f t="shared" si="615"/>
        <v>卡卡杜-凤凰仓</v>
      </c>
      <c r="B2104" s="1" t="str">
        <f>"CK20241028127"</f>
        <v>CK20241028127</v>
      </c>
      <c r="C2104" s="1" t="str">
        <f>"DD2024102819533"</f>
        <v>DD2024102819533</v>
      </c>
      <c r="D2104" s="1" t="str">
        <f>"CK202410289220"</f>
        <v>CK202410289220</v>
      </c>
      <c r="E2104" s="1" t="str">
        <f>"3723606070175862784"</f>
        <v>3723606070175862784</v>
      </c>
      <c r="F2104" s="1" t="str">
        <f t="shared" si="616"/>
        <v>花都四部-凤凰仓</v>
      </c>
      <c r="G2104" s="1" t="str">
        <f t="shared" si="625"/>
        <v>卡卡杜企业店（视频号）</v>
      </c>
      <c r="H2104" s="1" t="str">
        <f t="shared" si="617"/>
        <v>正常订单</v>
      </c>
      <c r="I2104" s="1" t="str">
        <f t="shared" si="618"/>
        <v>已发货</v>
      </c>
      <c r="J2104" s="1" t="str">
        <f t="shared" si="627"/>
        <v>3</v>
      </c>
      <c r="K2104" s="1">
        <v>2</v>
      </c>
      <c r="L2104" s="1" t="s">
        <v>30</v>
      </c>
      <c r="M2104" s="1" t="str">
        <f>"山东省 滨州市 滨城区 "</f>
        <v xml:space="preserve">山东省 滨州市 滨城区 </v>
      </c>
      <c r="N2104" s="1" t="str">
        <f t="shared" si="626"/>
        <v>凡华云仓-城南圆通-微信视频号</v>
      </c>
      <c r="O2104" s="5" t="s">
        <v>2140</v>
      </c>
      <c r="P2104" s="6">
        <v>0.24</v>
      </c>
      <c r="Q2104" s="11">
        <v>2</v>
      </c>
      <c r="R2104" s="11"/>
      <c r="S2104" s="11"/>
      <c r="T2104" s="11"/>
      <c r="U2104" s="11">
        <f t="shared" si="614"/>
        <v>2</v>
      </c>
      <c r="W2104">
        <v>2.2000000000000002</v>
      </c>
      <c r="X2104" s="1" t="s">
        <v>30</v>
      </c>
    </row>
    <row r="2105" spans="1:24" x14ac:dyDescent="0.25">
      <c r="A2105" s="1" t="str">
        <f t="shared" si="615"/>
        <v>卡卡杜-凤凰仓</v>
      </c>
      <c r="B2105" s="1" t="str">
        <f>"CK20241028126"</f>
        <v>CK20241028126</v>
      </c>
      <c r="C2105" s="1" t="str">
        <f>"DD2024102819532"</f>
        <v>DD2024102819532</v>
      </c>
      <c r="D2105" s="1" t="str">
        <f>"CK202410289219"</f>
        <v>CK202410289219</v>
      </c>
      <c r="E2105" s="1" t="str">
        <f>"3723606071216313344"</f>
        <v>3723606071216313344</v>
      </c>
      <c r="F2105" s="1" t="str">
        <f t="shared" si="616"/>
        <v>花都四部-凤凰仓</v>
      </c>
      <c r="G2105" s="1" t="str">
        <f t="shared" si="625"/>
        <v>卡卡杜企业店（视频号）</v>
      </c>
      <c r="H2105" s="1" t="str">
        <f t="shared" si="617"/>
        <v>正常订单</v>
      </c>
      <c r="I2105" s="1" t="str">
        <f t="shared" si="618"/>
        <v>已发货</v>
      </c>
      <c r="J2105" s="1" t="str">
        <f t="shared" si="627"/>
        <v>3</v>
      </c>
      <c r="K2105" s="1">
        <v>2</v>
      </c>
      <c r="L2105" s="1" t="s">
        <v>92</v>
      </c>
      <c r="M2105" s="1" t="str">
        <f>"辽宁省 沈阳市 皇姑区 "</f>
        <v xml:space="preserve">辽宁省 沈阳市 皇姑区 </v>
      </c>
      <c r="N2105" s="1" t="str">
        <f t="shared" si="626"/>
        <v>凡华云仓-城南圆通-微信视频号</v>
      </c>
      <c r="O2105" s="5" t="s">
        <v>2141</v>
      </c>
      <c r="P2105" s="6">
        <v>0.24</v>
      </c>
      <c r="Q2105" s="11">
        <v>2</v>
      </c>
      <c r="R2105" s="11"/>
      <c r="S2105" s="11"/>
      <c r="T2105" s="11"/>
      <c r="U2105" s="11">
        <f t="shared" si="614"/>
        <v>2</v>
      </c>
      <c r="W2105">
        <v>2.2000000000000002</v>
      </c>
      <c r="X2105" s="1" t="s">
        <v>92</v>
      </c>
    </row>
    <row r="2106" spans="1:24" x14ac:dyDescent="0.25">
      <c r="A2106" s="1" t="str">
        <f t="shared" si="615"/>
        <v>卡卡杜-凤凰仓</v>
      </c>
      <c r="B2106" s="1" t="str">
        <f>"CK20241028124"</f>
        <v>CK20241028124</v>
      </c>
      <c r="C2106" s="1" t="str">
        <f>"DD2024102819531"</f>
        <v>DD2024102819531</v>
      </c>
      <c r="D2106" s="1" t="str">
        <f>"CK202410289218"</f>
        <v>CK202410289218</v>
      </c>
      <c r="E2106" s="1" t="str">
        <f>"3723606073200215552"</f>
        <v>3723606073200215552</v>
      </c>
      <c r="F2106" s="1" t="str">
        <f t="shared" si="616"/>
        <v>花都四部-凤凰仓</v>
      </c>
      <c r="G2106" s="1" t="str">
        <f t="shared" si="625"/>
        <v>卡卡杜企业店（视频号）</v>
      </c>
      <c r="H2106" s="1" t="str">
        <f t="shared" si="617"/>
        <v>正常订单</v>
      </c>
      <c r="I2106" s="1" t="str">
        <f t="shared" si="618"/>
        <v>已发货</v>
      </c>
      <c r="J2106" s="1" t="str">
        <f t="shared" si="627"/>
        <v>3</v>
      </c>
      <c r="K2106" s="1">
        <v>2</v>
      </c>
      <c r="L2106" s="1" t="s">
        <v>92</v>
      </c>
      <c r="M2106" s="1" t="str">
        <f>"辽宁省 锦州市 古塔区 "</f>
        <v xml:space="preserve">辽宁省 锦州市 古塔区 </v>
      </c>
      <c r="N2106" s="1" t="str">
        <f t="shared" si="626"/>
        <v>凡华云仓-城南圆通-微信视频号</v>
      </c>
      <c r="O2106" s="5" t="s">
        <v>2142</v>
      </c>
      <c r="P2106" s="6">
        <v>0.24</v>
      </c>
      <c r="Q2106" s="11">
        <v>2</v>
      </c>
      <c r="R2106" s="11"/>
      <c r="S2106" s="11"/>
      <c r="T2106" s="11"/>
      <c r="U2106" s="11">
        <f t="shared" si="614"/>
        <v>2</v>
      </c>
      <c r="W2106">
        <v>2.2000000000000002</v>
      </c>
      <c r="X2106" s="1" t="s">
        <v>92</v>
      </c>
    </row>
    <row r="2107" spans="1:24" x14ac:dyDescent="0.25">
      <c r="A2107" s="1" t="str">
        <f t="shared" si="615"/>
        <v>卡卡杜-凤凰仓</v>
      </c>
      <c r="B2107" s="1" t="str">
        <f>"CK20241028125"</f>
        <v>CK20241028125</v>
      </c>
      <c r="C2107" s="1" t="str">
        <f>"DD2024102819530"</f>
        <v>DD2024102819530</v>
      </c>
      <c r="D2107" s="1" t="str">
        <f>"CK202410289217"</f>
        <v>CK202410289217</v>
      </c>
      <c r="E2107" s="1" t="str">
        <f>"3723606072264889344"</f>
        <v>3723606072264889344</v>
      </c>
      <c r="F2107" s="1" t="str">
        <f t="shared" si="616"/>
        <v>花都四部-凤凰仓</v>
      </c>
      <c r="G2107" s="1" t="str">
        <f t="shared" si="625"/>
        <v>卡卡杜企业店（视频号）</v>
      </c>
      <c r="H2107" s="1" t="str">
        <f t="shared" si="617"/>
        <v>正常订单</v>
      </c>
      <c r="I2107" s="1" t="str">
        <f t="shared" si="618"/>
        <v>已发货</v>
      </c>
      <c r="J2107" s="1" t="str">
        <f t="shared" si="627"/>
        <v>3</v>
      </c>
      <c r="K2107" s="1">
        <v>2</v>
      </c>
      <c r="L2107" s="1" t="s">
        <v>16</v>
      </c>
      <c r="M2107" s="1" t="str">
        <f>"河北省 廊坊市 安次区 "</f>
        <v xml:space="preserve">河北省 廊坊市 安次区 </v>
      </c>
      <c r="N2107" s="1" t="str">
        <f t="shared" si="626"/>
        <v>凡华云仓-城南圆通-微信视频号</v>
      </c>
      <c r="O2107" s="5" t="s">
        <v>2143</v>
      </c>
      <c r="P2107" s="6">
        <v>0.24</v>
      </c>
      <c r="Q2107" s="11">
        <v>2</v>
      </c>
      <c r="R2107" s="11"/>
      <c r="S2107" s="11"/>
      <c r="T2107" s="11"/>
      <c r="U2107" s="11">
        <f t="shared" si="614"/>
        <v>2</v>
      </c>
      <c r="W2107">
        <v>2.2000000000000002</v>
      </c>
      <c r="X2107" s="1" t="s">
        <v>16</v>
      </c>
    </row>
    <row r="2108" spans="1:24" x14ac:dyDescent="0.25">
      <c r="A2108" s="1" t="str">
        <f t="shared" si="615"/>
        <v>卡卡杜-凤凰仓</v>
      </c>
      <c r="B2108" s="1" t="str">
        <f>"CK20241028123"</f>
        <v>CK20241028123</v>
      </c>
      <c r="C2108" s="1" t="str">
        <f>"DD2024102819529"</f>
        <v>DD2024102819529</v>
      </c>
      <c r="D2108" s="1" t="str">
        <f>"CK202410289216"</f>
        <v>CK202410289216</v>
      </c>
      <c r="E2108" s="1" t="str">
        <f>"3723606077514319104"</f>
        <v>3723606077514319104</v>
      </c>
      <c r="F2108" s="1" t="str">
        <f t="shared" si="616"/>
        <v>花都四部-凤凰仓</v>
      </c>
      <c r="G2108" s="1" t="str">
        <f t="shared" si="625"/>
        <v>卡卡杜企业店（视频号）</v>
      </c>
      <c r="H2108" s="1" t="str">
        <f t="shared" si="617"/>
        <v>正常订单</v>
      </c>
      <c r="I2108" s="1" t="str">
        <f t="shared" si="618"/>
        <v>已发货</v>
      </c>
      <c r="J2108" s="1" t="str">
        <f t="shared" si="627"/>
        <v>3</v>
      </c>
      <c r="K2108" s="1">
        <v>2</v>
      </c>
      <c r="L2108" s="1" t="s">
        <v>94</v>
      </c>
      <c r="M2108" s="1" t="str">
        <f>"湖南省 长沙市 开福区 "</f>
        <v xml:space="preserve">湖南省 长沙市 开福区 </v>
      </c>
      <c r="N2108" s="1" t="str">
        <f t="shared" si="626"/>
        <v>凡华云仓-城南圆通-微信视频号</v>
      </c>
      <c r="O2108" s="5" t="s">
        <v>2144</v>
      </c>
      <c r="P2108" s="6">
        <v>0.24</v>
      </c>
      <c r="Q2108" s="11">
        <v>2</v>
      </c>
      <c r="R2108" s="11"/>
      <c r="S2108" s="11"/>
      <c r="T2108" s="11"/>
      <c r="U2108" s="11">
        <f t="shared" si="614"/>
        <v>2</v>
      </c>
      <c r="W2108">
        <v>2.2000000000000002</v>
      </c>
      <c r="X2108" s="1" t="s">
        <v>94</v>
      </c>
    </row>
    <row r="2109" spans="1:24" x14ac:dyDescent="0.25">
      <c r="A2109" s="1" t="str">
        <f t="shared" si="615"/>
        <v>卡卡杜-凤凰仓</v>
      </c>
      <c r="B2109" s="1" t="str">
        <f>"CK20241028122"</f>
        <v>CK20241028122</v>
      </c>
      <c r="C2109" s="1" t="str">
        <f>"DD2024102819528"</f>
        <v>DD2024102819528</v>
      </c>
      <c r="D2109" s="1" t="str">
        <f>"CK202410289215"</f>
        <v>CK202410289215</v>
      </c>
      <c r="E2109" s="1" t="str">
        <f>"6935561842410985206"</f>
        <v>6935561842410985206</v>
      </c>
      <c r="F2109" s="1" t="str">
        <f t="shared" si="616"/>
        <v>花都四部-凤凰仓</v>
      </c>
      <c r="G2109" s="1" t="str">
        <f>"卡卡杜个人护理店（抖店）"</f>
        <v>卡卡杜个人护理店（抖店）</v>
      </c>
      <c r="H2109" s="1" t="str">
        <f t="shared" si="617"/>
        <v>正常订单</v>
      </c>
      <c r="I2109" s="1" t="str">
        <f t="shared" si="618"/>
        <v>已发货</v>
      </c>
      <c r="J2109" s="1" t="str">
        <f t="shared" si="627"/>
        <v>3</v>
      </c>
      <c r="K2109" s="1">
        <v>2</v>
      </c>
      <c r="L2109" s="1" t="s">
        <v>66</v>
      </c>
      <c r="M2109" s="1" t="str">
        <f>"内蒙古自治区 巴彦淖尔市 乌拉特前旗 乌拉山镇"</f>
        <v>内蒙古自治区 巴彦淖尔市 乌拉特前旗 乌拉山镇</v>
      </c>
      <c r="N2109" s="1" t="str">
        <f>"凡华云仓-城南圆通-抖音"</f>
        <v>凡华云仓-城南圆通-抖音</v>
      </c>
      <c r="O2109" s="5" t="s">
        <v>2145</v>
      </c>
      <c r="P2109" s="6">
        <v>0.35</v>
      </c>
      <c r="Q2109" s="11">
        <v>2.2999999999999998</v>
      </c>
      <c r="R2109" s="11"/>
      <c r="S2109" s="11"/>
      <c r="T2109" s="11"/>
      <c r="U2109" s="11">
        <f t="shared" si="614"/>
        <v>2.2999999999999998</v>
      </c>
      <c r="W2109">
        <v>2.5</v>
      </c>
      <c r="X2109" s="1" t="s">
        <v>66</v>
      </c>
    </row>
    <row r="2110" spans="1:24" x14ac:dyDescent="0.25">
      <c r="A2110" s="1" t="str">
        <f t="shared" si="615"/>
        <v>卡卡杜-凤凰仓</v>
      </c>
      <c r="B2110" s="1" t="str">
        <f>"CK20241028121"</f>
        <v>CK20241028121</v>
      </c>
      <c r="C2110" s="1" t="str">
        <f>"DD2024102819527"</f>
        <v>DD2024102819527</v>
      </c>
      <c r="D2110" s="1" t="str">
        <f>"CK202410289214"</f>
        <v>CK202410289214</v>
      </c>
      <c r="E2110" s="1" t="str">
        <f>"3723606098604590338"</f>
        <v>3723606098604590338</v>
      </c>
      <c r="F2110" s="1" t="str">
        <f t="shared" si="616"/>
        <v>花都四部-凤凰仓</v>
      </c>
      <c r="G2110" s="1" t="str">
        <f t="shared" ref="G2110:G2113" si="628">"卡卡杜企业店（视频号）"</f>
        <v>卡卡杜企业店（视频号）</v>
      </c>
      <c r="H2110" s="1" t="str">
        <f t="shared" si="617"/>
        <v>正常订单</v>
      </c>
      <c r="I2110" s="1" t="str">
        <f t="shared" si="618"/>
        <v>已发货</v>
      </c>
      <c r="J2110" s="1" t="str">
        <f t="shared" si="627"/>
        <v>3</v>
      </c>
      <c r="K2110" s="1">
        <v>3</v>
      </c>
      <c r="L2110" s="1" t="s">
        <v>32</v>
      </c>
      <c r="M2110" s="1" t="str">
        <f>"陕西省 西安市 雁塔区 "</f>
        <v xml:space="preserve">陕西省 西安市 雁塔区 </v>
      </c>
      <c r="N2110" s="1" t="str">
        <f t="shared" ref="N2110:N2113" si="629">"凡华云仓-城南圆通-微信视频号"</f>
        <v>凡华云仓-城南圆通-微信视频号</v>
      </c>
      <c r="O2110" s="5" t="s">
        <v>2146</v>
      </c>
      <c r="P2110" s="6">
        <v>0.34</v>
      </c>
      <c r="Q2110" s="11">
        <v>2.2999999999999998</v>
      </c>
      <c r="R2110" s="11"/>
      <c r="S2110" s="11"/>
      <c r="T2110" s="11"/>
      <c r="U2110" s="11">
        <f t="shared" si="614"/>
        <v>2.2999999999999998</v>
      </c>
      <c r="W2110">
        <v>2.5</v>
      </c>
      <c r="X2110" s="1" t="s">
        <v>32</v>
      </c>
    </row>
    <row r="2111" spans="1:24" x14ac:dyDescent="0.25">
      <c r="A2111" s="1" t="str">
        <f t="shared" si="615"/>
        <v>卡卡杜-凤凰仓</v>
      </c>
      <c r="B2111" s="1" t="str">
        <f>"CK20241028120"</f>
        <v>CK20241028120</v>
      </c>
      <c r="C2111" s="1" t="str">
        <f>"DD2024102819526"</f>
        <v>DD2024102819526</v>
      </c>
      <c r="D2111" s="1" t="str">
        <f>"CK202410289213"</f>
        <v>CK202410289213</v>
      </c>
      <c r="E2111" s="1" t="str">
        <f>"2430101609259616"</f>
        <v>2430101609259616</v>
      </c>
      <c r="F2111" s="1" t="str">
        <f t="shared" si="616"/>
        <v>花都四部-凤凰仓</v>
      </c>
      <c r="G2111" s="1" t="str">
        <f>"卡卡杜佳旺专卖店（快手店）"</f>
        <v>卡卡杜佳旺专卖店（快手店）</v>
      </c>
      <c r="H2111" s="1" t="str">
        <f t="shared" si="617"/>
        <v>正常订单</v>
      </c>
      <c r="I2111" s="1" t="str">
        <f t="shared" si="618"/>
        <v>已发货</v>
      </c>
      <c r="J2111" s="1" t="str">
        <f t="shared" si="627"/>
        <v>3</v>
      </c>
      <c r="K2111" s="1">
        <v>2</v>
      </c>
      <c r="L2111" s="1" t="s">
        <v>710</v>
      </c>
      <c r="M2111" s="1" t="str">
        <f>"上海市 上海市 徐汇区 天平路街道"</f>
        <v>上海市 上海市 徐汇区 天平路街道</v>
      </c>
      <c r="N2111" s="1" t="str">
        <f>"凡华云仓-城南圆通-快手"</f>
        <v>凡华云仓-城南圆通-快手</v>
      </c>
      <c r="O2111" s="5" t="s">
        <v>2147</v>
      </c>
      <c r="P2111" s="6">
        <v>0.35</v>
      </c>
      <c r="Q2111" s="11">
        <v>2.2999999999999998</v>
      </c>
      <c r="R2111" s="11"/>
      <c r="S2111" s="11"/>
      <c r="T2111" s="11"/>
      <c r="U2111" s="11">
        <f t="shared" si="614"/>
        <v>2.2999999999999998</v>
      </c>
      <c r="W2111">
        <v>2.5</v>
      </c>
      <c r="X2111" s="1" t="s">
        <v>710</v>
      </c>
    </row>
    <row r="2112" spans="1:24" x14ac:dyDescent="0.25">
      <c r="A2112" s="1" t="str">
        <f t="shared" si="615"/>
        <v>卡卡杜-凤凰仓</v>
      </c>
      <c r="B2112" s="1" t="str">
        <f>"CK20241028119"</f>
        <v>CK20241028119</v>
      </c>
      <c r="C2112" s="1" t="str">
        <f>"DD2024102819525"</f>
        <v>DD2024102819525</v>
      </c>
      <c r="D2112" s="1" t="str">
        <f>"CK202410289212"</f>
        <v>CK202410289212</v>
      </c>
      <c r="E2112" s="1" t="str">
        <f>"3723606115301066240"</f>
        <v>3723606115301066240</v>
      </c>
      <c r="F2112" s="1" t="str">
        <f t="shared" si="616"/>
        <v>花都四部-凤凰仓</v>
      </c>
      <c r="G2112" s="1" t="str">
        <f t="shared" si="628"/>
        <v>卡卡杜企业店（视频号）</v>
      </c>
      <c r="H2112" s="1" t="str">
        <f t="shared" si="617"/>
        <v>正常订单</v>
      </c>
      <c r="I2112" s="1" t="str">
        <f t="shared" si="618"/>
        <v>已发货</v>
      </c>
      <c r="J2112" s="1" t="str">
        <f t="shared" si="627"/>
        <v>3</v>
      </c>
      <c r="K2112" s="1">
        <v>3</v>
      </c>
      <c r="L2112" s="1" t="s">
        <v>105</v>
      </c>
      <c r="M2112" s="1" t="str">
        <f>"北京 北京市 丰台区 "</f>
        <v xml:space="preserve">北京 北京市 丰台区 </v>
      </c>
      <c r="N2112" s="1" t="str">
        <f t="shared" si="629"/>
        <v>凡华云仓-城南圆通-微信视频号</v>
      </c>
      <c r="O2112" s="5" t="s">
        <v>2148</v>
      </c>
      <c r="P2112" s="6">
        <v>0.34</v>
      </c>
      <c r="Q2112" s="11">
        <v>2.2999999999999998</v>
      </c>
      <c r="R2112" s="11"/>
      <c r="S2112" s="11"/>
      <c r="T2112" s="11"/>
      <c r="U2112" s="11">
        <f t="shared" si="614"/>
        <v>2.2999999999999998</v>
      </c>
      <c r="W2112">
        <v>2.5</v>
      </c>
      <c r="X2112" s="1" t="s">
        <v>105</v>
      </c>
    </row>
    <row r="2113" spans="1:24" x14ac:dyDescent="0.25">
      <c r="A2113" s="1" t="str">
        <f t="shared" si="615"/>
        <v>卡卡杜-凤凰仓</v>
      </c>
      <c r="B2113" s="1" t="str">
        <f>"CK20241028118"</f>
        <v>CK20241028118</v>
      </c>
      <c r="C2113" s="1" t="str">
        <f>"DD2024102819524"</f>
        <v>DD2024102819524</v>
      </c>
      <c r="D2113" s="1" t="str">
        <f>"CK202410289211"</f>
        <v>CK202410289211</v>
      </c>
      <c r="E2113" s="1" t="str">
        <f>"3723606121502086144"</f>
        <v>3723606121502086144</v>
      </c>
      <c r="F2113" s="1" t="str">
        <f t="shared" si="616"/>
        <v>花都四部-凤凰仓</v>
      </c>
      <c r="G2113" s="1" t="str">
        <f t="shared" si="628"/>
        <v>卡卡杜企业店（视频号）</v>
      </c>
      <c r="H2113" s="1" t="str">
        <f t="shared" si="617"/>
        <v>正常订单</v>
      </c>
      <c r="I2113" s="1" t="str">
        <f t="shared" si="618"/>
        <v>已发货</v>
      </c>
      <c r="J2113" s="1" t="str">
        <f t="shared" si="627"/>
        <v>3</v>
      </c>
      <c r="K2113" s="1">
        <v>2</v>
      </c>
      <c r="L2113" s="1" t="s">
        <v>105</v>
      </c>
      <c r="M2113" s="1" t="str">
        <f>"北京 北京市 大兴区 "</f>
        <v xml:space="preserve">北京 北京市 大兴区 </v>
      </c>
      <c r="N2113" s="1" t="str">
        <f t="shared" si="629"/>
        <v>凡华云仓-城南圆通-微信视频号</v>
      </c>
      <c r="O2113" s="5" t="s">
        <v>2149</v>
      </c>
      <c r="P2113" s="6">
        <v>0.24</v>
      </c>
      <c r="Q2113" s="11">
        <v>2</v>
      </c>
      <c r="R2113" s="11"/>
      <c r="S2113" s="11"/>
      <c r="T2113" s="11"/>
      <c r="U2113" s="11">
        <f t="shared" si="614"/>
        <v>2</v>
      </c>
      <c r="W2113">
        <v>2.2000000000000002</v>
      </c>
      <c r="X2113" s="1" t="s">
        <v>105</v>
      </c>
    </row>
    <row r="2114" spans="1:24" x14ac:dyDescent="0.25">
      <c r="A2114" s="1" t="str">
        <f t="shared" si="615"/>
        <v>卡卡杜-凤凰仓</v>
      </c>
      <c r="B2114" s="1" t="str">
        <f>"CK20241028117"</f>
        <v>CK20241028117</v>
      </c>
      <c r="C2114" s="1" t="str">
        <f>"DD2024102819523"</f>
        <v>DD2024102819523</v>
      </c>
      <c r="D2114" s="1" t="str">
        <f>"CK202410289210"</f>
        <v>CK202410289210</v>
      </c>
      <c r="E2114" s="1" t="str">
        <f>"6935541908106449942"</f>
        <v>6935541908106449942</v>
      </c>
      <c r="F2114" s="1" t="str">
        <f t="shared" si="616"/>
        <v>花都四部-凤凰仓</v>
      </c>
      <c r="G2114" s="1" t="str">
        <f t="shared" ref="G2114:G2117" si="630">"卡卡杜个人护理店（抖店）"</f>
        <v>卡卡杜个人护理店（抖店）</v>
      </c>
      <c r="H2114" s="1" t="str">
        <f t="shared" si="617"/>
        <v>正常订单</v>
      </c>
      <c r="I2114" s="1" t="str">
        <f t="shared" si="618"/>
        <v>已发货</v>
      </c>
      <c r="J2114" s="1" t="str">
        <f t="shared" si="627"/>
        <v>3</v>
      </c>
      <c r="K2114" s="1">
        <v>2</v>
      </c>
      <c r="L2114" s="1" t="s">
        <v>13</v>
      </c>
      <c r="M2114" s="1" t="str">
        <f>"江苏省 苏州市 吴中区 "</f>
        <v xml:space="preserve">江苏省 苏州市 吴中区 </v>
      </c>
      <c r="N2114" s="1" t="str">
        <f t="shared" ref="N2114:N2117" si="631">"凡华云仓-城南圆通-抖音"</f>
        <v>凡华云仓-城南圆通-抖音</v>
      </c>
      <c r="O2114" s="5" t="s">
        <v>2150</v>
      </c>
      <c r="P2114" s="6">
        <v>0.35</v>
      </c>
      <c r="Q2114" s="11">
        <v>2.2999999999999998</v>
      </c>
      <c r="R2114" s="11"/>
      <c r="S2114" s="11"/>
      <c r="T2114" s="11"/>
      <c r="U2114" s="11">
        <f t="shared" si="614"/>
        <v>2.2999999999999998</v>
      </c>
      <c r="W2114">
        <v>2.5</v>
      </c>
      <c r="X2114" s="1" t="s">
        <v>13</v>
      </c>
    </row>
    <row r="2115" spans="1:24" x14ac:dyDescent="0.25">
      <c r="A2115" s="1" t="str">
        <f t="shared" si="615"/>
        <v>卡卡杜-凤凰仓</v>
      </c>
      <c r="B2115" s="1" t="str">
        <f>"CK20241028116"</f>
        <v>CK20241028116</v>
      </c>
      <c r="C2115" s="1" t="str">
        <f>"DD2024102819522"</f>
        <v>DD2024102819522</v>
      </c>
      <c r="D2115" s="1" t="str">
        <f>"CK202410289209"</f>
        <v>CK202410289209</v>
      </c>
      <c r="E2115" s="1" t="str">
        <f>"2430102494523376"</f>
        <v>2430102494523376</v>
      </c>
      <c r="F2115" s="1" t="str">
        <f t="shared" si="616"/>
        <v>花都四部-凤凰仓</v>
      </c>
      <c r="G2115" s="1" t="str">
        <f>"卡卡杜佳旺专卖店（快手店）"</f>
        <v>卡卡杜佳旺专卖店（快手店）</v>
      </c>
      <c r="H2115" s="1" t="str">
        <f t="shared" si="617"/>
        <v>正常订单</v>
      </c>
      <c r="I2115" s="1" t="str">
        <f t="shared" si="618"/>
        <v>已发货</v>
      </c>
      <c r="J2115" s="1" t="str">
        <f t="shared" si="627"/>
        <v>3</v>
      </c>
      <c r="K2115" s="1">
        <v>2</v>
      </c>
      <c r="L2115" s="1" t="s">
        <v>161</v>
      </c>
      <c r="M2115" s="1" t="str">
        <f>"四川省 成都市 崇州市 崇阳街道"</f>
        <v>四川省 成都市 崇州市 崇阳街道</v>
      </c>
      <c r="N2115" s="1" t="str">
        <f>"凡华云仓-城南圆通-快手"</f>
        <v>凡华云仓-城南圆通-快手</v>
      </c>
      <c r="O2115" s="5" t="s">
        <v>2151</v>
      </c>
      <c r="P2115" s="6">
        <v>0.35</v>
      </c>
      <c r="Q2115" s="11">
        <v>2.2999999999999998</v>
      </c>
      <c r="R2115" s="11"/>
      <c r="S2115" s="11"/>
      <c r="T2115" s="11"/>
      <c r="U2115" s="11">
        <f t="shared" ref="U2115:U2178" si="632">T2115+S2115+R2115+Q2115</f>
        <v>2.2999999999999998</v>
      </c>
      <c r="W2115">
        <v>2.5</v>
      </c>
      <c r="X2115" s="1" t="s">
        <v>161</v>
      </c>
    </row>
    <row r="2116" spans="1:24" x14ac:dyDescent="0.25">
      <c r="A2116" s="1" t="str">
        <f t="shared" si="615"/>
        <v>卡卡杜-凤凰仓</v>
      </c>
      <c r="B2116" s="1" t="str">
        <f>"CK20241028115"</f>
        <v>CK20241028115</v>
      </c>
      <c r="C2116" s="1" t="str">
        <f>"DD2024102819521"</f>
        <v>DD2024102819521</v>
      </c>
      <c r="D2116" s="1" t="str">
        <f>"CK202410289208"</f>
        <v>CK202410289208</v>
      </c>
      <c r="E2116" s="1" t="str">
        <f>"6935550850581795879"</f>
        <v>6935550850581795879</v>
      </c>
      <c r="F2116" s="1" t="str">
        <f t="shared" si="616"/>
        <v>花都四部-凤凰仓</v>
      </c>
      <c r="G2116" s="1" t="str">
        <f t="shared" si="630"/>
        <v>卡卡杜个人护理店（抖店）</v>
      </c>
      <c r="H2116" s="1" t="str">
        <f t="shared" si="617"/>
        <v>正常订单</v>
      </c>
      <c r="I2116" s="1" t="str">
        <f t="shared" si="618"/>
        <v>已发货</v>
      </c>
      <c r="J2116" s="1" t="str">
        <f t="shared" si="627"/>
        <v>3</v>
      </c>
      <c r="K2116" s="1">
        <v>2</v>
      </c>
      <c r="L2116" s="1" t="s">
        <v>18</v>
      </c>
      <c r="M2116" s="1" t="str">
        <f>"广东省 广州市 番禺区 石碁镇"</f>
        <v>广东省 广州市 番禺区 石碁镇</v>
      </c>
      <c r="N2116" s="1" t="str">
        <f t="shared" si="631"/>
        <v>凡华云仓-城南圆通-抖音</v>
      </c>
      <c r="O2116" s="5" t="s">
        <v>2152</v>
      </c>
      <c r="P2116" s="6">
        <v>0.35</v>
      </c>
      <c r="Q2116" s="11">
        <v>2.2999999999999998</v>
      </c>
      <c r="R2116" s="11"/>
      <c r="S2116" s="11"/>
      <c r="T2116" s="11"/>
      <c r="U2116" s="11">
        <f t="shared" si="632"/>
        <v>2.2999999999999998</v>
      </c>
      <c r="W2116">
        <v>2.5</v>
      </c>
      <c r="X2116" s="1" t="s">
        <v>18</v>
      </c>
    </row>
    <row r="2117" spans="1:24" x14ac:dyDescent="0.25">
      <c r="A2117" s="1" t="str">
        <f t="shared" ref="A2117:A2180" si="633">"卡卡杜-凤凰仓"</f>
        <v>卡卡杜-凤凰仓</v>
      </c>
      <c r="B2117" s="1" t="str">
        <f>"CK20241028114"</f>
        <v>CK20241028114</v>
      </c>
      <c r="C2117" s="1" t="str">
        <f>"DD2024102819520"</f>
        <v>DD2024102819520</v>
      </c>
      <c r="D2117" s="1" t="str">
        <f>"CK202410289207"</f>
        <v>CK202410289207</v>
      </c>
      <c r="E2117" s="1" t="str">
        <f>"6935549130953790898"</f>
        <v>6935549130953790898</v>
      </c>
      <c r="F2117" s="1" t="str">
        <f t="shared" ref="F2117:F2180" si="634">"花都四部-凤凰仓"</f>
        <v>花都四部-凤凰仓</v>
      </c>
      <c r="G2117" s="1" t="str">
        <f t="shared" si="630"/>
        <v>卡卡杜个人护理店（抖店）</v>
      </c>
      <c r="H2117" s="1" t="str">
        <f t="shared" ref="H2117:H2180" si="635">"正常订单"</f>
        <v>正常订单</v>
      </c>
      <c r="I2117" s="1" t="str">
        <f t="shared" ref="I2117:I2180" si="636">"已发货"</f>
        <v>已发货</v>
      </c>
      <c r="J2117" s="1" t="str">
        <f t="shared" si="627"/>
        <v>3</v>
      </c>
      <c r="K2117" s="1">
        <v>2</v>
      </c>
      <c r="L2117" s="1" t="s">
        <v>161</v>
      </c>
      <c r="M2117" s="1" t="str">
        <f>"四川省 眉山市 仁寿县 普宁街道"</f>
        <v>四川省 眉山市 仁寿县 普宁街道</v>
      </c>
      <c r="N2117" s="1" t="str">
        <f t="shared" si="631"/>
        <v>凡华云仓-城南圆通-抖音</v>
      </c>
      <c r="O2117" s="5" t="s">
        <v>2153</v>
      </c>
      <c r="P2117" s="6">
        <v>0.35</v>
      </c>
      <c r="Q2117" s="11">
        <v>2.2999999999999998</v>
      </c>
      <c r="R2117" s="11"/>
      <c r="S2117" s="11"/>
      <c r="T2117" s="11"/>
      <c r="U2117" s="11">
        <f t="shared" si="632"/>
        <v>2.2999999999999998</v>
      </c>
      <c r="W2117">
        <v>2.5</v>
      </c>
      <c r="X2117" s="1" t="s">
        <v>161</v>
      </c>
    </row>
    <row r="2118" spans="1:24" x14ac:dyDescent="0.25">
      <c r="A2118" s="1" t="str">
        <f t="shared" si="633"/>
        <v>卡卡杜-凤凰仓</v>
      </c>
      <c r="B2118" s="1" t="str">
        <f>"CK20241028112"</f>
        <v>CK20241028112</v>
      </c>
      <c r="C2118" s="1" t="str">
        <f>"DD2024102819519"</f>
        <v>DD2024102819519</v>
      </c>
      <c r="D2118" s="1" t="str">
        <f>"CK202410289206"</f>
        <v>CK202410289206</v>
      </c>
      <c r="E2118" s="1" t="str">
        <f>"3723606475874895360"</f>
        <v>3723606475874895360</v>
      </c>
      <c r="F2118" s="1" t="str">
        <f t="shared" si="634"/>
        <v>花都四部-凤凰仓</v>
      </c>
      <c r="G2118" s="1" t="str">
        <f t="shared" ref="G2118:G2154" si="637">"卡卡杜企业店（视频号）"</f>
        <v>卡卡杜企业店（视频号）</v>
      </c>
      <c r="H2118" s="1" t="str">
        <f t="shared" si="635"/>
        <v>正常订单</v>
      </c>
      <c r="I2118" s="1" t="str">
        <f t="shared" si="636"/>
        <v>已发货</v>
      </c>
      <c r="J2118" s="1" t="str">
        <f t="shared" si="627"/>
        <v>3</v>
      </c>
      <c r="K2118" s="1">
        <v>2</v>
      </c>
      <c r="L2118" s="1" t="s">
        <v>32</v>
      </c>
      <c r="M2118" s="1" t="str">
        <f>"陕西省 西安市 高陵区 "</f>
        <v xml:space="preserve">陕西省 西安市 高陵区 </v>
      </c>
      <c r="N2118" s="1" t="str">
        <f t="shared" ref="N2118:N2154" si="638">"凡华云仓-城南圆通-微信视频号"</f>
        <v>凡华云仓-城南圆通-微信视频号</v>
      </c>
      <c r="O2118" s="5" t="s">
        <v>2154</v>
      </c>
      <c r="P2118" s="6">
        <v>0.24</v>
      </c>
      <c r="Q2118" s="11">
        <v>2</v>
      </c>
      <c r="R2118" s="11"/>
      <c r="S2118" s="11"/>
      <c r="T2118" s="11"/>
      <c r="U2118" s="11">
        <f t="shared" si="632"/>
        <v>2</v>
      </c>
      <c r="W2118">
        <v>2.2000000000000002</v>
      </c>
      <c r="X2118" s="1" t="s">
        <v>32</v>
      </c>
    </row>
    <row r="2119" spans="1:24" x14ac:dyDescent="0.25">
      <c r="A2119" s="1" t="str">
        <f t="shared" si="633"/>
        <v>卡卡杜-凤凰仓</v>
      </c>
      <c r="B2119" s="1" t="str">
        <f>"CK20241028113"</f>
        <v>CK20241028113</v>
      </c>
      <c r="C2119" s="1" t="str">
        <f>"DD2024102819518"</f>
        <v>DD2024102819518</v>
      </c>
      <c r="D2119" s="1" t="str">
        <f>"CK202410289205"</f>
        <v>CK202410289205</v>
      </c>
      <c r="E2119" s="1" t="str">
        <f>"6935559956458444215"</f>
        <v>6935559956458444215</v>
      </c>
      <c r="F2119" s="1" t="str">
        <f t="shared" si="634"/>
        <v>花都四部-凤凰仓</v>
      </c>
      <c r="G2119" s="1" t="str">
        <f>"卡卡杜个人护理店（抖店）"</f>
        <v>卡卡杜个人护理店（抖店）</v>
      </c>
      <c r="H2119" s="1" t="str">
        <f t="shared" si="635"/>
        <v>正常订单</v>
      </c>
      <c r="I2119" s="1" t="str">
        <f t="shared" si="636"/>
        <v>已发货</v>
      </c>
      <c r="J2119" s="1" t="str">
        <f t="shared" si="627"/>
        <v>3</v>
      </c>
      <c r="K2119" s="1">
        <v>2</v>
      </c>
      <c r="L2119" s="1" t="s">
        <v>109</v>
      </c>
      <c r="M2119" s="1" t="str">
        <f>"山西省 太原市 万柏林区 兴华街道"</f>
        <v>山西省 太原市 万柏林区 兴华街道</v>
      </c>
      <c r="N2119" s="1" t="str">
        <f>"凡华云仓-城南圆通-抖音"</f>
        <v>凡华云仓-城南圆通-抖音</v>
      </c>
      <c r="O2119" s="5" t="s">
        <v>2155</v>
      </c>
      <c r="P2119" s="6">
        <v>0.35</v>
      </c>
      <c r="Q2119" s="11">
        <v>2.2999999999999998</v>
      </c>
      <c r="R2119" s="11"/>
      <c r="S2119" s="11"/>
      <c r="T2119" s="11"/>
      <c r="U2119" s="11">
        <f t="shared" si="632"/>
        <v>2.2999999999999998</v>
      </c>
      <c r="W2119">
        <v>2.5</v>
      </c>
      <c r="X2119" s="1" t="s">
        <v>109</v>
      </c>
    </row>
    <row r="2120" spans="1:24" x14ac:dyDescent="0.25">
      <c r="A2120" s="1" t="str">
        <f t="shared" si="633"/>
        <v>卡卡杜-凤凰仓</v>
      </c>
      <c r="B2120" s="1" t="str">
        <f>"CK20241028111"</f>
        <v>CK20241028111</v>
      </c>
      <c r="C2120" s="1" t="str">
        <f>"DD2024102819517"</f>
        <v>DD2024102819517</v>
      </c>
      <c r="D2120" s="1" t="str">
        <f>"CK202410289204"</f>
        <v>CK202410289204</v>
      </c>
      <c r="E2120" s="1" t="str">
        <f>"2430102331658762"</f>
        <v>2430102331658762</v>
      </c>
      <c r="F2120" s="1" t="str">
        <f t="shared" si="634"/>
        <v>花都四部-凤凰仓</v>
      </c>
      <c r="G2120" s="1" t="str">
        <f>"卡卡杜佳旺专卖店（快手店）"</f>
        <v>卡卡杜佳旺专卖店（快手店）</v>
      </c>
      <c r="H2120" s="1" t="str">
        <f t="shared" si="635"/>
        <v>正常订单</v>
      </c>
      <c r="I2120" s="1" t="str">
        <f t="shared" si="636"/>
        <v>已发货</v>
      </c>
      <c r="J2120" s="1" t="str">
        <f t="shared" si="627"/>
        <v>3</v>
      </c>
      <c r="K2120" s="1">
        <v>2</v>
      </c>
      <c r="L2120" s="1" t="s">
        <v>52</v>
      </c>
      <c r="M2120" s="1" t="str">
        <f>"甘肃省 平凉市 崆峒区 东关街道"</f>
        <v>甘肃省 平凉市 崆峒区 东关街道</v>
      </c>
      <c r="N2120" s="1" t="str">
        <f>"凡华云仓-城南圆通-快手"</f>
        <v>凡华云仓-城南圆通-快手</v>
      </c>
      <c r="O2120" s="5" t="s">
        <v>2156</v>
      </c>
      <c r="P2120" s="6">
        <v>0.35</v>
      </c>
      <c r="Q2120" s="11">
        <v>2.2999999999999998</v>
      </c>
      <c r="R2120" s="11"/>
      <c r="S2120" s="11"/>
      <c r="T2120" s="11"/>
      <c r="U2120" s="11">
        <f t="shared" si="632"/>
        <v>2.2999999999999998</v>
      </c>
      <c r="W2120">
        <v>2.5</v>
      </c>
      <c r="X2120" s="1" t="s">
        <v>52</v>
      </c>
    </row>
    <row r="2121" spans="1:24" x14ac:dyDescent="0.25">
      <c r="A2121" s="1" t="str">
        <f t="shared" si="633"/>
        <v>卡卡杜-凤凰仓</v>
      </c>
      <c r="B2121" s="1" t="str">
        <f>"CK20241028110"</f>
        <v>CK20241028110</v>
      </c>
      <c r="C2121" s="1" t="str">
        <f>"DD2024102819516"</f>
        <v>DD2024102819516</v>
      </c>
      <c r="D2121" s="1" t="str">
        <f>"CK202410289203"</f>
        <v>CK202410289203</v>
      </c>
      <c r="E2121" s="1" t="str">
        <f>"6935555508979111080"</f>
        <v>6935555508979111080</v>
      </c>
      <c r="F2121" s="1" t="str">
        <f t="shared" si="634"/>
        <v>花都四部-凤凰仓</v>
      </c>
      <c r="G2121" s="1" t="str">
        <f>"卡卡杜个人护理店（抖店）"</f>
        <v>卡卡杜个人护理店（抖店）</v>
      </c>
      <c r="H2121" s="1" t="str">
        <f t="shared" si="635"/>
        <v>正常订单</v>
      </c>
      <c r="I2121" s="1" t="str">
        <f t="shared" si="636"/>
        <v>已发货</v>
      </c>
      <c r="J2121" s="1" t="str">
        <f t="shared" si="627"/>
        <v>3</v>
      </c>
      <c r="K2121" s="1">
        <v>2</v>
      </c>
      <c r="L2121" s="1" t="s">
        <v>161</v>
      </c>
      <c r="M2121" s="1" t="str">
        <f>"四川省 遂宁市 射洪市 "</f>
        <v xml:space="preserve">四川省 遂宁市 射洪市 </v>
      </c>
      <c r="N2121" s="1" t="str">
        <f>"凡华云仓-城南圆通-抖音"</f>
        <v>凡华云仓-城南圆通-抖音</v>
      </c>
      <c r="O2121" s="5" t="s">
        <v>2157</v>
      </c>
      <c r="P2121" s="6">
        <v>0.35</v>
      </c>
      <c r="Q2121" s="11">
        <v>2.2999999999999998</v>
      </c>
      <c r="R2121" s="11"/>
      <c r="S2121" s="11"/>
      <c r="T2121" s="11"/>
      <c r="U2121" s="11">
        <f t="shared" si="632"/>
        <v>2.2999999999999998</v>
      </c>
      <c r="W2121">
        <v>2.5</v>
      </c>
      <c r="X2121" s="1" t="s">
        <v>161</v>
      </c>
    </row>
    <row r="2122" spans="1:24" x14ac:dyDescent="0.25">
      <c r="A2122" s="1" t="str">
        <f t="shared" si="633"/>
        <v>卡卡杜-凤凰仓</v>
      </c>
      <c r="B2122" s="1" t="str">
        <f>"CK20241028109"</f>
        <v>CK20241028109</v>
      </c>
      <c r="C2122" s="1" t="str">
        <f>"DD2024102819515"</f>
        <v>DD2024102819515</v>
      </c>
      <c r="D2122" s="1" t="str">
        <f>"CK202410289202"</f>
        <v>CK202410289202</v>
      </c>
      <c r="E2122" s="1" t="str">
        <f>"3723606607726513154"</f>
        <v>3723606607726513154</v>
      </c>
      <c r="F2122" s="1" t="str">
        <f t="shared" si="634"/>
        <v>花都四部-凤凰仓</v>
      </c>
      <c r="G2122" s="1" t="str">
        <f t="shared" si="637"/>
        <v>卡卡杜企业店（视频号）</v>
      </c>
      <c r="H2122" s="1" t="str">
        <f t="shared" si="635"/>
        <v>正常订单</v>
      </c>
      <c r="I2122" s="1" t="str">
        <f t="shared" si="636"/>
        <v>已发货</v>
      </c>
      <c r="J2122" s="1" t="str">
        <f t="shared" si="627"/>
        <v>3</v>
      </c>
      <c r="K2122" s="1">
        <v>2</v>
      </c>
      <c r="L2122" s="1" t="s">
        <v>41</v>
      </c>
      <c r="M2122" s="1" t="str">
        <f>"湖北省 武汉市 江汉区 "</f>
        <v xml:space="preserve">湖北省 武汉市 江汉区 </v>
      </c>
      <c r="N2122" s="1" t="str">
        <f t="shared" si="638"/>
        <v>凡华云仓-城南圆通-微信视频号</v>
      </c>
      <c r="O2122" s="5" t="s">
        <v>2158</v>
      </c>
      <c r="P2122" s="6">
        <v>0.24</v>
      </c>
      <c r="Q2122" s="11">
        <v>2</v>
      </c>
      <c r="R2122" s="11"/>
      <c r="S2122" s="11"/>
      <c r="T2122" s="11"/>
      <c r="U2122" s="11">
        <f t="shared" si="632"/>
        <v>2</v>
      </c>
      <c r="W2122">
        <v>2.2000000000000002</v>
      </c>
      <c r="X2122" s="1" t="s">
        <v>41</v>
      </c>
    </row>
    <row r="2123" spans="1:24" x14ac:dyDescent="0.25">
      <c r="A2123" s="1" t="str">
        <f t="shared" si="633"/>
        <v>卡卡杜-凤凰仓</v>
      </c>
      <c r="B2123" s="1" t="str">
        <f>"CK20241028107"</f>
        <v>CK20241028107</v>
      </c>
      <c r="C2123" s="1" t="str">
        <f>"DD2024102819514"</f>
        <v>DD2024102819514</v>
      </c>
      <c r="D2123" s="1" t="str">
        <f>"CK202410289201"</f>
        <v>CK202410289201</v>
      </c>
      <c r="E2123" s="1" t="str">
        <f>"3723606610868571136"</f>
        <v>3723606610868571136</v>
      </c>
      <c r="F2123" s="1" t="str">
        <f t="shared" si="634"/>
        <v>花都四部-凤凰仓</v>
      </c>
      <c r="G2123" s="1" t="str">
        <f t="shared" si="637"/>
        <v>卡卡杜企业店（视频号）</v>
      </c>
      <c r="H2123" s="1" t="str">
        <f t="shared" si="635"/>
        <v>正常订单</v>
      </c>
      <c r="I2123" s="1" t="str">
        <f t="shared" si="636"/>
        <v>已发货</v>
      </c>
      <c r="J2123" s="1" t="str">
        <f t="shared" si="627"/>
        <v>3</v>
      </c>
      <c r="K2123" s="1">
        <v>2</v>
      </c>
      <c r="L2123" s="1" t="s">
        <v>92</v>
      </c>
      <c r="M2123" s="1" t="str">
        <f>"辽宁省 阜新市 细河区 "</f>
        <v xml:space="preserve">辽宁省 阜新市 细河区 </v>
      </c>
      <c r="N2123" s="1" t="str">
        <f t="shared" si="638"/>
        <v>凡华云仓-城南圆通-微信视频号</v>
      </c>
      <c r="O2123" s="5" t="s">
        <v>2159</v>
      </c>
      <c r="P2123" s="6">
        <v>0.24</v>
      </c>
      <c r="Q2123" s="11">
        <v>2</v>
      </c>
      <c r="R2123" s="11"/>
      <c r="S2123" s="11"/>
      <c r="T2123" s="11"/>
      <c r="U2123" s="11">
        <f t="shared" si="632"/>
        <v>2</v>
      </c>
      <c r="W2123">
        <v>2.2000000000000002</v>
      </c>
      <c r="X2123" s="1" t="s">
        <v>92</v>
      </c>
    </row>
    <row r="2124" spans="1:24" x14ac:dyDescent="0.25">
      <c r="A2124" s="1" t="str">
        <f t="shared" si="633"/>
        <v>卡卡杜-凤凰仓</v>
      </c>
      <c r="B2124" s="1" t="str">
        <f>"CK20241028108"</f>
        <v>CK20241028108</v>
      </c>
      <c r="C2124" s="1" t="str">
        <f>"DD2024102819513"</f>
        <v>DD2024102819513</v>
      </c>
      <c r="D2124" s="1" t="str">
        <f>"CK202410289200"</f>
        <v>CK202410289200</v>
      </c>
      <c r="E2124" s="1" t="str">
        <f>"3723606610469324288"</f>
        <v>3723606610469324288</v>
      </c>
      <c r="F2124" s="1" t="str">
        <f t="shared" si="634"/>
        <v>花都四部-凤凰仓</v>
      </c>
      <c r="G2124" s="1" t="str">
        <f t="shared" si="637"/>
        <v>卡卡杜企业店（视频号）</v>
      </c>
      <c r="H2124" s="1" t="str">
        <f t="shared" si="635"/>
        <v>正常订单</v>
      </c>
      <c r="I2124" s="1" t="str">
        <f t="shared" si="636"/>
        <v>已发货</v>
      </c>
      <c r="J2124" s="1" t="str">
        <f t="shared" si="627"/>
        <v>3</v>
      </c>
      <c r="K2124" s="1">
        <v>2</v>
      </c>
      <c r="L2124" s="1" t="s">
        <v>52</v>
      </c>
      <c r="M2124" s="1" t="str">
        <f>"甘肃省 兰州市 安宁区 "</f>
        <v xml:space="preserve">甘肃省 兰州市 安宁区 </v>
      </c>
      <c r="N2124" s="1" t="str">
        <f t="shared" si="638"/>
        <v>凡华云仓-城南圆通-微信视频号</v>
      </c>
      <c r="O2124" s="5" t="s">
        <v>2160</v>
      </c>
      <c r="P2124" s="6">
        <v>0.24</v>
      </c>
      <c r="Q2124" s="11">
        <v>2</v>
      </c>
      <c r="R2124" s="11"/>
      <c r="S2124" s="11"/>
      <c r="T2124" s="11"/>
      <c r="U2124" s="11">
        <f t="shared" si="632"/>
        <v>2</v>
      </c>
      <c r="W2124">
        <v>2.2000000000000002</v>
      </c>
      <c r="X2124" s="1" t="s">
        <v>52</v>
      </c>
    </row>
    <row r="2125" spans="1:24" x14ac:dyDescent="0.25">
      <c r="A2125" s="1" t="str">
        <f t="shared" si="633"/>
        <v>卡卡杜-凤凰仓</v>
      </c>
      <c r="B2125" s="1" t="str">
        <f>"CK20241028105"</f>
        <v>CK20241028105</v>
      </c>
      <c r="C2125" s="1" t="str">
        <f>"DD2024102819512"</f>
        <v>DD2024102819512</v>
      </c>
      <c r="D2125" s="1" t="str">
        <f>"CK202410289199"</f>
        <v>CK202410289199</v>
      </c>
      <c r="E2125" s="1" t="str">
        <f>"3723606611899585536"</f>
        <v>3723606611899585536</v>
      </c>
      <c r="F2125" s="1" t="str">
        <f t="shared" si="634"/>
        <v>花都四部-凤凰仓</v>
      </c>
      <c r="G2125" s="1" t="str">
        <f t="shared" si="637"/>
        <v>卡卡杜企业店（视频号）</v>
      </c>
      <c r="H2125" s="1" t="str">
        <f t="shared" si="635"/>
        <v>正常订单</v>
      </c>
      <c r="I2125" s="1" t="str">
        <f t="shared" si="636"/>
        <v>已发货</v>
      </c>
      <c r="J2125" s="1" t="str">
        <f t="shared" si="627"/>
        <v>3</v>
      </c>
      <c r="K2125" s="1">
        <v>2</v>
      </c>
      <c r="L2125" s="1" t="s">
        <v>105</v>
      </c>
      <c r="M2125" s="1" t="str">
        <f>"北京 北京市 朝阳区 "</f>
        <v xml:space="preserve">北京 北京市 朝阳区 </v>
      </c>
      <c r="N2125" s="1" t="str">
        <f t="shared" si="638"/>
        <v>凡华云仓-城南圆通-微信视频号</v>
      </c>
      <c r="O2125" s="5" t="s">
        <v>2161</v>
      </c>
      <c r="P2125" s="6">
        <v>0.24</v>
      </c>
      <c r="Q2125" s="11">
        <v>2</v>
      </c>
      <c r="R2125" s="11"/>
      <c r="S2125" s="11"/>
      <c r="T2125" s="11"/>
      <c r="U2125" s="11">
        <f t="shared" si="632"/>
        <v>2</v>
      </c>
      <c r="W2125">
        <v>2.2000000000000002</v>
      </c>
      <c r="X2125" s="1" t="s">
        <v>105</v>
      </c>
    </row>
    <row r="2126" spans="1:24" x14ac:dyDescent="0.25">
      <c r="A2126" s="1" t="str">
        <f t="shared" si="633"/>
        <v>卡卡杜-凤凰仓</v>
      </c>
      <c r="B2126" s="1" t="str">
        <f>"CK20241028106"</f>
        <v>CK20241028106</v>
      </c>
      <c r="C2126" s="1" t="str">
        <f>"DD2024102819511"</f>
        <v>DD2024102819511</v>
      </c>
      <c r="D2126" s="1" t="str">
        <f>"CK202410289198"</f>
        <v>CK202410289198</v>
      </c>
      <c r="E2126" s="1" t="str">
        <f>"3723606608273347584"</f>
        <v>3723606608273347584</v>
      </c>
      <c r="F2126" s="1" t="str">
        <f t="shared" si="634"/>
        <v>花都四部-凤凰仓</v>
      </c>
      <c r="G2126" s="1" t="str">
        <f t="shared" si="637"/>
        <v>卡卡杜企业店（视频号）</v>
      </c>
      <c r="H2126" s="1" t="str">
        <f t="shared" si="635"/>
        <v>正常订单</v>
      </c>
      <c r="I2126" s="1" t="str">
        <f t="shared" si="636"/>
        <v>已发货</v>
      </c>
      <c r="J2126" s="1" t="str">
        <f t="shared" si="627"/>
        <v>3</v>
      </c>
      <c r="K2126" s="1">
        <v>2</v>
      </c>
      <c r="L2126" s="1" t="s">
        <v>20</v>
      </c>
      <c r="M2126" s="1" t="str">
        <f>"浙江省 嘉兴市 平湖市 "</f>
        <v xml:space="preserve">浙江省 嘉兴市 平湖市 </v>
      </c>
      <c r="N2126" s="1" t="str">
        <f t="shared" si="638"/>
        <v>凡华云仓-城南圆通-微信视频号</v>
      </c>
      <c r="O2126" s="5" t="s">
        <v>2162</v>
      </c>
      <c r="P2126" s="6">
        <v>0.24</v>
      </c>
      <c r="Q2126" s="11">
        <v>2</v>
      </c>
      <c r="R2126" s="11"/>
      <c r="S2126" s="11"/>
      <c r="T2126" s="11"/>
      <c r="U2126" s="11">
        <f t="shared" si="632"/>
        <v>2</v>
      </c>
      <c r="W2126">
        <v>2.2000000000000002</v>
      </c>
      <c r="X2126" s="1" t="s">
        <v>20</v>
      </c>
    </row>
    <row r="2127" spans="1:24" x14ac:dyDescent="0.25">
      <c r="A2127" s="1" t="str">
        <f t="shared" si="633"/>
        <v>卡卡杜-凤凰仓</v>
      </c>
      <c r="B2127" s="1" t="str">
        <f>"CK20241028104"</f>
        <v>CK20241028104</v>
      </c>
      <c r="C2127" s="1" t="str">
        <f>"DD2024102819510"</f>
        <v>DD2024102819510</v>
      </c>
      <c r="D2127" s="1" t="str">
        <f>"CK202410289197"</f>
        <v>CK202410289197</v>
      </c>
      <c r="E2127" s="1" t="str">
        <f>"3723606611319196672"</f>
        <v>3723606611319196672</v>
      </c>
      <c r="F2127" s="1" t="str">
        <f t="shared" si="634"/>
        <v>花都四部-凤凰仓</v>
      </c>
      <c r="G2127" s="1" t="str">
        <f t="shared" si="637"/>
        <v>卡卡杜企业店（视频号）</v>
      </c>
      <c r="H2127" s="1" t="str">
        <f t="shared" si="635"/>
        <v>正常订单</v>
      </c>
      <c r="I2127" s="1" t="str">
        <f t="shared" si="636"/>
        <v>已发货</v>
      </c>
      <c r="J2127" s="1" t="str">
        <f t="shared" si="627"/>
        <v>3</v>
      </c>
      <c r="K2127" s="1">
        <v>2</v>
      </c>
      <c r="L2127" s="1" t="s">
        <v>13</v>
      </c>
      <c r="M2127" s="1" t="str">
        <f>"江苏省 南京市 雨花台区 "</f>
        <v xml:space="preserve">江苏省 南京市 雨花台区 </v>
      </c>
      <c r="N2127" s="1" t="str">
        <f t="shared" si="638"/>
        <v>凡华云仓-城南圆通-微信视频号</v>
      </c>
      <c r="O2127" s="5" t="s">
        <v>2163</v>
      </c>
      <c r="P2127" s="6">
        <v>0.24</v>
      </c>
      <c r="Q2127" s="11">
        <v>2</v>
      </c>
      <c r="R2127" s="11"/>
      <c r="S2127" s="11"/>
      <c r="T2127" s="11"/>
      <c r="U2127" s="11">
        <f t="shared" si="632"/>
        <v>2</v>
      </c>
      <c r="W2127">
        <v>2.2000000000000002</v>
      </c>
      <c r="X2127" s="1" t="s">
        <v>13</v>
      </c>
    </row>
    <row r="2128" spans="1:24" x14ac:dyDescent="0.25">
      <c r="A2128" s="1" t="str">
        <f t="shared" si="633"/>
        <v>卡卡杜-凤凰仓</v>
      </c>
      <c r="B2128" s="1" t="str">
        <f>"CK20241028103"</f>
        <v>CK20241028103</v>
      </c>
      <c r="C2128" s="1" t="str">
        <f>"DD2024102819509"</f>
        <v>DD2024102819509</v>
      </c>
      <c r="D2128" s="1" t="str">
        <f>"CK202410289196"</f>
        <v>CK202410289196</v>
      </c>
      <c r="E2128" s="1" t="str">
        <f>"3723606611954634753"</f>
        <v>3723606611954634753</v>
      </c>
      <c r="F2128" s="1" t="str">
        <f t="shared" si="634"/>
        <v>花都四部-凤凰仓</v>
      </c>
      <c r="G2128" s="1" t="str">
        <f t="shared" si="637"/>
        <v>卡卡杜企业店（视频号）</v>
      </c>
      <c r="H2128" s="1" t="str">
        <f t="shared" si="635"/>
        <v>正常订单</v>
      </c>
      <c r="I2128" s="1" t="str">
        <f t="shared" si="636"/>
        <v>已发货</v>
      </c>
      <c r="J2128" s="1" t="str">
        <f t="shared" si="627"/>
        <v>3</v>
      </c>
      <c r="K2128" s="1">
        <v>2</v>
      </c>
      <c r="L2128" s="1" t="s">
        <v>105</v>
      </c>
      <c r="M2128" s="1" t="str">
        <f>"北京 北京市 丰台区 "</f>
        <v xml:space="preserve">北京 北京市 丰台区 </v>
      </c>
      <c r="N2128" s="1" t="str">
        <f t="shared" si="638"/>
        <v>凡华云仓-城南圆通-微信视频号</v>
      </c>
      <c r="O2128" s="5" t="s">
        <v>2164</v>
      </c>
      <c r="P2128" s="6">
        <v>0.24</v>
      </c>
      <c r="Q2128" s="11">
        <v>2</v>
      </c>
      <c r="R2128" s="11"/>
      <c r="S2128" s="11"/>
      <c r="T2128" s="11"/>
      <c r="U2128" s="11">
        <f t="shared" si="632"/>
        <v>2</v>
      </c>
      <c r="W2128">
        <v>2.2000000000000002</v>
      </c>
      <c r="X2128" s="1" t="s">
        <v>105</v>
      </c>
    </row>
    <row r="2129" spans="1:24" x14ac:dyDescent="0.25">
      <c r="A2129" s="1" t="str">
        <f t="shared" si="633"/>
        <v>卡卡杜-凤凰仓</v>
      </c>
      <c r="B2129" s="1" t="str">
        <f>"CK20241028102"</f>
        <v>CK20241028102</v>
      </c>
      <c r="C2129" s="1" t="str">
        <f>"DD2024102819508"</f>
        <v>DD2024102819508</v>
      </c>
      <c r="D2129" s="1" t="str">
        <f>"CK202410289195"</f>
        <v>CK202410289195</v>
      </c>
      <c r="E2129" s="1" t="str">
        <f>"3723606614589179392"</f>
        <v>3723606614589179392</v>
      </c>
      <c r="F2129" s="1" t="str">
        <f t="shared" si="634"/>
        <v>花都四部-凤凰仓</v>
      </c>
      <c r="G2129" s="1" t="str">
        <f t="shared" si="637"/>
        <v>卡卡杜企业店（视频号）</v>
      </c>
      <c r="H2129" s="1" t="str">
        <f t="shared" si="635"/>
        <v>正常订单</v>
      </c>
      <c r="I2129" s="1" t="str">
        <f t="shared" si="636"/>
        <v>已发货</v>
      </c>
      <c r="J2129" s="1" t="str">
        <f t="shared" si="627"/>
        <v>3</v>
      </c>
      <c r="K2129" s="1">
        <v>2</v>
      </c>
      <c r="L2129" s="1" t="s">
        <v>92</v>
      </c>
      <c r="M2129" s="1" t="str">
        <f>"辽宁省 沈阳市 沈北新区 "</f>
        <v xml:space="preserve">辽宁省 沈阳市 沈北新区 </v>
      </c>
      <c r="N2129" s="1" t="str">
        <f t="shared" si="638"/>
        <v>凡华云仓-城南圆通-微信视频号</v>
      </c>
      <c r="O2129" s="5" t="s">
        <v>2165</v>
      </c>
      <c r="P2129" s="6">
        <v>0.24</v>
      </c>
      <c r="Q2129" s="11">
        <v>2</v>
      </c>
      <c r="R2129" s="11"/>
      <c r="S2129" s="11"/>
      <c r="T2129" s="11"/>
      <c r="U2129" s="11">
        <f t="shared" si="632"/>
        <v>2</v>
      </c>
      <c r="W2129">
        <v>2.2000000000000002</v>
      </c>
      <c r="X2129" s="1" t="s">
        <v>92</v>
      </c>
    </row>
    <row r="2130" spans="1:24" x14ac:dyDescent="0.25">
      <c r="A2130" s="1" t="str">
        <f t="shared" si="633"/>
        <v>卡卡杜-凤凰仓</v>
      </c>
      <c r="B2130" s="1" t="str">
        <f>"CK20241028101"</f>
        <v>CK20241028101</v>
      </c>
      <c r="C2130" s="1" t="str">
        <f>"DD2024102819507"</f>
        <v>DD2024102819507</v>
      </c>
      <c r="D2130" s="1" t="str">
        <f>"CK202410289194"</f>
        <v>CK202410289194</v>
      </c>
      <c r="E2130" s="1" t="str">
        <f>"3723606612601345024"</f>
        <v>3723606612601345024</v>
      </c>
      <c r="F2130" s="1" t="str">
        <f t="shared" si="634"/>
        <v>花都四部-凤凰仓</v>
      </c>
      <c r="G2130" s="1" t="str">
        <f t="shared" si="637"/>
        <v>卡卡杜企业店（视频号）</v>
      </c>
      <c r="H2130" s="1" t="str">
        <f t="shared" si="635"/>
        <v>正常订单</v>
      </c>
      <c r="I2130" s="1" t="str">
        <f t="shared" si="636"/>
        <v>已发货</v>
      </c>
      <c r="J2130" s="1" t="str">
        <f t="shared" si="627"/>
        <v>3</v>
      </c>
      <c r="K2130" s="1">
        <v>2</v>
      </c>
      <c r="L2130" s="1" t="s">
        <v>66</v>
      </c>
      <c r="M2130" s="1" t="str">
        <f>"内蒙古自治区 呼伦贝尔市 海拉尔区 "</f>
        <v xml:space="preserve">内蒙古自治区 呼伦贝尔市 海拉尔区 </v>
      </c>
      <c r="N2130" s="1" t="str">
        <f t="shared" si="638"/>
        <v>凡华云仓-城南圆通-微信视频号</v>
      </c>
      <c r="O2130" s="5" t="s">
        <v>2166</v>
      </c>
      <c r="P2130" s="6">
        <v>0.24</v>
      </c>
      <c r="Q2130" s="11">
        <v>2</v>
      </c>
      <c r="R2130" s="11"/>
      <c r="S2130" s="11"/>
      <c r="T2130" s="11"/>
      <c r="U2130" s="11">
        <f t="shared" si="632"/>
        <v>2</v>
      </c>
      <c r="W2130">
        <v>2.2000000000000002</v>
      </c>
      <c r="X2130" s="1" t="s">
        <v>66</v>
      </c>
    </row>
    <row r="2131" spans="1:24" x14ac:dyDescent="0.25">
      <c r="A2131" s="1" t="str">
        <f t="shared" si="633"/>
        <v>卡卡杜-凤凰仓</v>
      </c>
      <c r="B2131" s="1" t="str">
        <f>"CK20241028100"</f>
        <v>CK20241028100</v>
      </c>
      <c r="C2131" s="1" t="str">
        <f>"DD2024102819506"</f>
        <v>DD2024102819506</v>
      </c>
      <c r="D2131" s="1" t="str">
        <f>"CK202410289193"</f>
        <v>CK202410289193</v>
      </c>
      <c r="E2131" s="1" t="str">
        <f>"3723606615312434688"</f>
        <v>3723606615312434688</v>
      </c>
      <c r="F2131" s="1" t="str">
        <f t="shared" si="634"/>
        <v>花都四部-凤凰仓</v>
      </c>
      <c r="G2131" s="1" t="str">
        <f t="shared" si="637"/>
        <v>卡卡杜企业店（视频号）</v>
      </c>
      <c r="H2131" s="1" t="str">
        <f t="shared" si="635"/>
        <v>正常订单</v>
      </c>
      <c r="I2131" s="1" t="str">
        <f t="shared" si="636"/>
        <v>已发货</v>
      </c>
      <c r="J2131" s="1" t="str">
        <f t="shared" si="627"/>
        <v>3</v>
      </c>
      <c r="K2131" s="1">
        <v>2</v>
      </c>
      <c r="L2131" s="1" t="s">
        <v>105</v>
      </c>
      <c r="M2131" s="1" t="str">
        <f>"北京 北京市 西城区 "</f>
        <v xml:space="preserve">北京 北京市 西城区 </v>
      </c>
      <c r="N2131" s="1" t="str">
        <f t="shared" si="638"/>
        <v>凡华云仓-城南圆通-微信视频号</v>
      </c>
      <c r="O2131" s="5" t="s">
        <v>2167</v>
      </c>
      <c r="P2131" s="6">
        <v>0.24</v>
      </c>
      <c r="Q2131" s="11">
        <v>2</v>
      </c>
      <c r="R2131" s="11"/>
      <c r="S2131" s="11"/>
      <c r="T2131" s="11"/>
      <c r="U2131" s="11">
        <f t="shared" si="632"/>
        <v>2</v>
      </c>
      <c r="W2131">
        <v>2.2000000000000002</v>
      </c>
      <c r="X2131" s="1" t="s">
        <v>105</v>
      </c>
    </row>
    <row r="2132" spans="1:24" x14ac:dyDescent="0.25">
      <c r="A2132" s="1" t="str">
        <f t="shared" si="633"/>
        <v>卡卡杜-凤凰仓</v>
      </c>
      <c r="B2132" s="1" t="str">
        <f>"CK2024102899"</f>
        <v>CK2024102899</v>
      </c>
      <c r="C2132" s="1" t="str">
        <f>"DD2024102819505"</f>
        <v>DD2024102819505</v>
      </c>
      <c r="D2132" s="1" t="str">
        <f>"CK202410289192"</f>
        <v>CK202410289192</v>
      </c>
      <c r="E2132" s="1" t="str">
        <f>"3723606617812503552"</f>
        <v>3723606617812503552</v>
      </c>
      <c r="F2132" s="1" t="str">
        <f t="shared" si="634"/>
        <v>花都四部-凤凰仓</v>
      </c>
      <c r="G2132" s="1" t="str">
        <f t="shared" si="637"/>
        <v>卡卡杜企业店（视频号）</v>
      </c>
      <c r="H2132" s="1" t="str">
        <f t="shared" si="635"/>
        <v>正常订单</v>
      </c>
      <c r="I2132" s="1" t="str">
        <f t="shared" si="636"/>
        <v>已发货</v>
      </c>
      <c r="J2132" s="1" t="str">
        <f t="shared" si="627"/>
        <v>3</v>
      </c>
      <c r="K2132" s="1">
        <v>2</v>
      </c>
      <c r="L2132" s="1" t="s">
        <v>32</v>
      </c>
      <c r="M2132" s="1" t="str">
        <f>"陕西省 西安市 长安区 "</f>
        <v xml:space="preserve">陕西省 西安市 长安区 </v>
      </c>
      <c r="N2132" s="1" t="str">
        <f t="shared" si="638"/>
        <v>凡华云仓-城南圆通-微信视频号</v>
      </c>
      <c r="O2132" s="5" t="s">
        <v>2168</v>
      </c>
      <c r="P2132" s="6">
        <v>0.24</v>
      </c>
      <c r="Q2132" s="11">
        <v>2</v>
      </c>
      <c r="R2132" s="11"/>
      <c r="S2132" s="11"/>
      <c r="T2132" s="11"/>
      <c r="U2132" s="11">
        <f t="shared" si="632"/>
        <v>2</v>
      </c>
      <c r="W2132">
        <v>2.2000000000000002</v>
      </c>
      <c r="X2132" s="1" t="s">
        <v>32</v>
      </c>
    </row>
    <row r="2133" spans="1:24" x14ac:dyDescent="0.25">
      <c r="A2133" s="1" t="str">
        <f t="shared" si="633"/>
        <v>卡卡杜-凤凰仓</v>
      </c>
      <c r="B2133" s="1" t="str">
        <f>"CK2024102898"</f>
        <v>CK2024102898</v>
      </c>
      <c r="C2133" s="1" t="str">
        <f>"DD2024102819504"</f>
        <v>DD2024102819504</v>
      </c>
      <c r="D2133" s="1" t="str">
        <f>"CK202410289191"</f>
        <v>CK202410289191</v>
      </c>
      <c r="E2133" s="1" t="str">
        <f>"3723606617234736384"</f>
        <v>3723606617234736384</v>
      </c>
      <c r="F2133" s="1" t="str">
        <f t="shared" si="634"/>
        <v>花都四部-凤凰仓</v>
      </c>
      <c r="G2133" s="1" t="str">
        <f t="shared" si="637"/>
        <v>卡卡杜企业店（视频号）</v>
      </c>
      <c r="H2133" s="1" t="str">
        <f t="shared" si="635"/>
        <v>正常订单</v>
      </c>
      <c r="I2133" s="1" t="str">
        <f t="shared" si="636"/>
        <v>已发货</v>
      </c>
      <c r="J2133" s="1" t="str">
        <f t="shared" si="627"/>
        <v>3</v>
      </c>
      <c r="K2133" s="1">
        <v>2</v>
      </c>
      <c r="L2133" s="1" t="s">
        <v>52</v>
      </c>
      <c r="M2133" s="1" t="str">
        <f>"甘肃省 兰州市 城关区 "</f>
        <v xml:space="preserve">甘肃省 兰州市 城关区 </v>
      </c>
      <c r="N2133" s="1" t="str">
        <f t="shared" si="638"/>
        <v>凡华云仓-城南圆通-微信视频号</v>
      </c>
      <c r="O2133" s="5" t="s">
        <v>2169</v>
      </c>
      <c r="P2133" s="6">
        <v>0.24</v>
      </c>
      <c r="Q2133" s="11">
        <v>2</v>
      </c>
      <c r="R2133" s="11"/>
      <c r="S2133" s="11"/>
      <c r="T2133" s="11"/>
      <c r="U2133" s="11">
        <f t="shared" si="632"/>
        <v>2</v>
      </c>
      <c r="W2133">
        <v>2.2000000000000002</v>
      </c>
      <c r="X2133" s="1" t="s">
        <v>52</v>
      </c>
    </row>
    <row r="2134" spans="1:24" x14ac:dyDescent="0.25">
      <c r="A2134" s="1" t="str">
        <f t="shared" si="633"/>
        <v>卡卡杜-凤凰仓</v>
      </c>
      <c r="B2134" s="1" t="str">
        <f>"CK2024102897"</f>
        <v>CK2024102897</v>
      </c>
      <c r="C2134" s="1" t="str">
        <f>"DD2024102819503"</f>
        <v>DD2024102819503</v>
      </c>
      <c r="D2134" s="1" t="str">
        <f>"CK202410289190"</f>
        <v>CK202410289190</v>
      </c>
      <c r="E2134" s="1" t="str">
        <f>"3723606617451267584"</f>
        <v>3723606617451267584</v>
      </c>
      <c r="F2134" s="1" t="str">
        <f t="shared" si="634"/>
        <v>花都四部-凤凰仓</v>
      </c>
      <c r="G2134" s="1" t="str">
        <f t="shared" si="637"/>
        <v>卡卡杜企业店（视频号）</v>
      </c>
      <c r="H2134" s="1" t="str">
        <f t="shared" si="635"/>
        <v>正常订单</v>
      </c>
      <c r="I2134" s="1" t="str">
        <f t="shared" si="636"/>
        <v>已发货</v>
      </c>
      <c r="J2134" s="1" t="str">
        <f t="shared" si="627"/>
        <v>3</v>
      </c>
      <c r="K2134" s="1">
        <v>2</v>
      </c>
      <c r="L2134" s="1" t="s">
        <v>32</v>
      </c>
      <c r="M2134" s="1" t="str">
        <f>"陕西省 西安市 未央区 "</f>
        <v xml:space="preserve">陕西省 西安市 未央区 </v>
      </c>
      <c r="N2134" s="1" t="str">
        <f t="shared" si="638"/>
        <v>凡华云仓-城南圆通-微信视频号</v>
      </c>
      <c r="O2134" s="5" t="s">
        <v>2170</v>
      </c>
      <c r="P2134" s="6">
        <v>0.24</v>
      </c>
      <c r="Q2134" s="11">
        <v>2</v>
      </c>
      <c r="R2134" s="11"/>
      <c r="S2134" s="11"/>
      <c r="T2134" s="11"/>
      <c r="U2134" s="11">
        <f t="shared" si="632"/>
        <v>2</v>
      </c>
      <c r="W2134">
        <v>2.2000000000000002</v>
      </c>
      <c r="X2134" s="1" t="s">
        <v>32</v>
      </c>
    </row>
    <row r="2135" spans="1:24" x14ac:dyDescent="0.25">
      <c r="A2135" s="1" t="str">
        <f t="shared" si="633"/>
        <v>卡卡杜-凤凰仓</v>
      </c>
      <c r="B2135" s="1" t="str">
        <f>"CK2024102895"</f>
        <v>CK2024102895</v>
      </c>
      <c r="C2135" s="1" t="str">
        <f>"DD2024102819502"</f>
        <v>DD2024102819502</v>
      </c>
      <c r="D2135" s="1" t="str">
        <f>"CK202410289189"</f>
        <v>CK202410289189</v>
      </c>
      <c r="E2135" s="1" t="str">
        <f>"3723606621961195521"</f>
        <v>3723606621961195521</v>
      </c>
      <c r="F2135" s="1" t="str">
        <f t="shared" si="634"/>
        <v>花都四部-凤凰仓</v>
      </c>
      <c r="G2135" s="1" t="str">
        <f t="shared" si="637"/>
        <v>卡卡杜企业店（视频号）</v>
      </c>
      <c r="H2135" s="1" t="str">
        <f t="shared" si="635"/>
        <v>正常订单</v>
      </c>
      <c r="I2135" s="1" t="str">
        <f t="shared" si="636"/>
        <v>已发货</v>
      </c>
      <c r="J2135" s="1" t="str">
        <f t="shared" si="627"/>
        <v>3</v>
      </c>
      <c r="K2135" s="1">
        <v>2</v>
      </c>
      <c r="L2135" s="1" t="s">
        <v>74</v>
      </c>
      <c r="M2135" s="1" t="str">
        <f>"上海 上海市 浦东新区 "</f>
        <v xml:space="preserve">上海 上海市 浦东新区 </v>
      </c>
      <c r="N2135" s="1" t="str">
        <f t="shared" si="638"/>
        <v>凡华云仓-城南圆通-微信视频号</v>
      </c>
      <c r="O2135" s="5" t="s">
        <v>2171</v>
      </c>
      <c r="P2135" s="6">
        <v>0.24</v>
      </c>
      <c r="Q2135" s="11">
        <v>2</v>
      </c>
      <c r="R2135" s="11"/>
      <c r="S2135" s="11"/>
      <c r="T2135" s="11"/>
      <c r="U2135" s="11">
        <f t="shared" si="632"/>
        <v>2</v>
      </c>
      <c r="W2135">
        <v>2.2000000000000002</v>
      </c>
      <c r="X2135" s="1" t="s">
        <v>74</v>
      </c>
    </row>
    <row r="2136" spans="1:24" x14ac:dyDescent="0.25">
      <c r="A2136" s="1" t="str">
        <f t="shared" si="633"/>
        <v>卡卡杜-凤凰仓</v>
      </c>
      <c r="B2136" s="1" t="str">
        <f>"CK2024102894"</f>
        <v>CK2024102894</v>
      </c>
      <c r="C2136" s="1" t="str">
        <f>"DD2024102819501"</f>
        <v>DD2024102819501</v>
      </c>
      <c r="D2136" s="1" t="str">
        <f>"CK202410289188"</f>
        <v>CK202410289188</v>
      </c>
      <c r="E2136" s="1" t="str">
        <f>"3723606622286255104"</f>
        <v>3723606622286255104</v>
      </c>
      <c r="F2136" s="1" t="str">
        <f t="shared" si="634"/>
        <v>花都四部-凤凰仓</v>
      </c>
      <c r="G2136" s="1" t="str">
        <f t="shared" si="637"/>
        <v>卡卡杜企业店（视频号）</v>
      </c>
      <c r="H2136" s="1" t="str">
        <f t="shared" si="635"/>
        <v>正常订单</v>
      </c>
      <c r="I2136" s="1" t="str">
        <f t="shared" si="636"/>
        <v>已发货</v>
      </c>
      <c r="J2136" s="1" t="str">
        <f t="shared" si="627"/>
        <v>3</v>
      </c>
      <c r="K2136" s="1">
        <v>2</v>
      </c>
      <c r="L2136" s="1" t="s">
        <v>32</v>
      </c>
      <c r="M2136" s="1" t="str">
        <f>"陕西省 宝鸡市 渭滨区 "</f>
        <v xml:space="preserve">陕西省 宝鸡市 渭滨区 </v>
      </c>
      <c r="N2136" s="1" t="str">
        <f t="shared" si="638"/>
        <v>凡华云仓-城南圆通-微信视频号</v>
      </c>
      <c r="O2136" s="5" t="s">
        <v>2172</v>
      </c>
      <c r="P2136" s="6">
        <v>0.24</v>
      </c>
      <c r="Q2136" s="11">
        <v>2</v>
      </c>
      <c r="R2136" s="11"/>
      <c r="S2136" s="11"/>
      <c r="T2136" s="11"/>
      <c r="U2136" s="11">
        <f t="shared" si="632"/>
        <v>2</v>
      </c>
      <c r="W2136">
        <v>2.2000000000000002</v>
      </c>
      <c r="X2136" s="1" t="s">
        <v>32</v>
      </c>
    </row>
    <row r="2137" spans="1:24" x14ac:dyDescent="0.25">
      <c r="A2137" s="1" t="str">
        <f t="shared" si="633"/>
        <v>卡卡杜-凤凰仓</v>
      </c>
      <c r="B2137" s="1" t="str">
        <f>"CK2024102893"</f>
        <v>CK2024102893</v>
      </c>
      <c r="C2137" s="1" t="str">
        <f>"DD2024102819500"</f>
        <v>DD2024102819500</v>
      </c>
      <c r="D2137" s="1" t="str">
        <f>"CK202410289187"</f>
        <v>CK202410289187</v>
      </c>
      <c r="E2137" s="1" t="str">
        <f>"3723606623445452288"</f>
        <v>3723606623445452288</v>
      </c>
      <c r="F2137" s="1" t="str">
        <f t="shared" si="634"/>
        <v>花都四部-凤凰仓</v>
      </c>
      <c r="G2137" s="1" t="str">
        <f t="shared" si="637"/>
        <v>卡卡杜企业店（视频号）</v>
      </c>
      <c r="H2137" s="1" t="str">
        <f t="shared" si="635"/>
        <v>正常订单</v>
      </c>
      <c r="I2137" s="1" t="str">
        <f t="shared" si="636"/>
        <v>已发货</v>
      </c>
      <c r="J2137" s="1" t="str">
        <f t="shared" si="627"/>
        <v>3</v>
      </c>
      <c r="K2137" s="1">
        <v>2</v>
      </c>
      <c r="L2137" s="1" t="s">
        <v>41</v>
      </c>
      <c r="M2137" s="1" t="str">
        <f>"湖北省 黄石市 黄石港区 "</f>
        <v xml:space="preserve">湖北省 黄石市 黄石港区 </v>
      </c>
      <c r="N2137" s="1" t="str">
        <f t="shared" si="638"/>
        <v>凡华云仓-城南圆通-微信视频号</v>
      </c>
      <c r="O2137" s="5" t="s">
        <v>2173</v>
      </c>
      <c r="P2137" s="6">
        <v>0.24</v>
      </c>
      <c r="Q2137" s="11">
        <v>2</v>
      </c>
      <c r="R2137" s="11"/>
      <c r="S2137" s="11"/>
      <c r="T2137" s="11"/>
      <c r="U2137" s="11">
        <f t="shared" si="632"/>
        <v>2</v>
      </c>
      <c r="W2137">
        <v>2.2000000000000002</v>
      </c>
      <c r="X2137" s="1" t="s">
        <v>41</v>
      </c>
    </row>
    <row r="2138" spans="1:24" x14ac:dyDescent="0.25">
      <c r="A2138" s="1" t="str">
        <f t="shared" si="633"/>
        <v>卡卡杜-凤凰仓</v>
      </c>
      <c r="B2138" s="1" t="str">
        <f>"CK2024102896"</f>
        <v>CK2024102896</v>
      </c>
      <c r="C2138" s="1" t="str">
        <f>"DD2024102819499"</f>
        <v>DD2024102819499</v>
      </c>
      <c r="D2138" s="1" t="str">
        <f>"CK202410289186"</f>
        <v>CK202410289186</v>
      </c>
      <c r="E2138" s="1" t="str">
        <f>"3723606621292725760"</f>
        <v>3723606621292725760</v>
      </c>
      <c r="F2138" s="1" t="str">
        <f t="shared" si="634"/>
        <v>花都四部-凤凰仓</v>
      </c>
      <c r="G2138" s="1" t="str">
        <f t="shared" si="637"/>
        <v>卡卡杜企业店（视频号）</v>
      </c>
      <c r="H2138" s="1" t="str">
        <f t="shared" si="635"/>
        <v>正常订单</v>
      </c>
      <c r="I2138" s="1" t="str">
        <f t="shared" si="636"/>
        <v>已发货</v>
      </c>
      <c r="J2138" s="1" t="str">
        <f t="shared" si="627"/>
        <v>3</v>
      </c>
      <c r="K2138" s="1">
        <v>2</v>
      </c>
      <c r="L2138" s="1" t="s">
        <v>74</v>
      </c>
      <c r="M2138" s="1" t="str">
        <f>"上海 上海市 浦东新区 "</f>
        <v xml:space="preserve">上海 上海市 浦东新区 </v>
      </c>
      <c r="N2138" s="1" t="str">
        <f t="shared" si="638"/>
        <v>凡华云仓-城南圆通-微信视频号</v>
      </c>
      <c r="O2138" s="5" t="s">
        <v>2174</v>
      </c>
      <c r="P2138" s="6">
        <v>0.24</v>
      </c>
      <c r="Q2138" s="11">
        <v>2</v>
      </c>
      <c r="R2138" s="11"/>
      <c r="S2138" s="11"/>
      <c r="T2138" s="11"/>
      <c r="U2138" s="11">
        <f t="shared" si="632"/>
        <v>2</v>
      </c>
      <c r="W2138">
        <v>2.2000000000000002</v>
      </c>
      <c r="X2138" s="1" t="s">
        <v>74</v>
      </c>
    </row>
    <row r="2139" spans="1:24" x14ac:dyDescent="0.25">
      <c r="A2139" s="1" t="str">
        <f t="shared" si="633"/>
        <v>卡卡杜-凤凰仓</v>
      </c>
      <c r="B2139" s="1" t="str">
        <f>"CK2024102892"</f>
        <v>CK2024102892</v>
      </c>
      <c r="C2139" s="1" t="str">
        <f>"DD2024102819498"</f>
        <v>DD2024102819498</v>
      </c>
      <c r="D2139" s="1" t="str">
        <f>"CK202410289185"</f>
        <v>CK202410289185</v>
      </c>
      <c r="E2139" s="1" t="str">
        <f>"3723606623651501056"</f>
        <v>3723606623651501056</v>
      </c>
      <c r="F2139" s="1" t="str">
        <f t="shared" si="634"/>
        <v>花都四部-凤凰仓</v>
      </c>
      <c r="G2139" s="1" t="str">
        <f t="shared" si="637"/>
        <v>卡卡杜企业店（视频号）</v>
      </c>
      <c r="H2139" s="1" t="str">
        <f t="shared" si="635"/>
        <v>正常订单</v>
      </c>
      <c r="I2139" s="1" t="str">
        <f t="shared" si="636"/>
        <v>已发货</v>
      </c>
      <c r="J2139" s="1" t="str">
        <f t="shared" si="627"/>
        <v>3</v>
      </c>
      <c r="K2139" s="1">
        <v>2</v>
      </c>
      <c r="L2139" s="1" t="s">
        <v>96</v>
      </c>
      <c r="M2139" s="1" t="str">
        <f>"广西壮族自治区 南宁市 青秀区 "</f>
        <v xml:space="preserve">广西壮族自治区 南宁市 青秀区 </v>
      </c>
      <c r="N2139" s="1" t="str">
        <f t="shared" si="638"/>
        <v>凡华云仓-城南圆通-微信视频号</v>
      </c>
      <c r="O2139" s="5" t="s">
        <v>2175</v>
      </c>
      <c r="P2139" s="6">
        <v>0.24</v>
      </c>
      <c r="Q2139" s="11">
        <v>2</v>
      </c>
      <c r="R2139" s="11"/>
      <c r="S2139" s="11"/>
      <c r="T2139" s="11"/>
      <c r="U2139" s="11">
        <f t="shared" si="632"/>
        <v>2</v>
      </c>
      <c r="W2139">
        <v>2.2000000000000002</v>
      </c>
      <c r="X2139" s="1" t="s">
        <v>96</v>
      </c>
    </row>
    <row r="2140" spans="1:24" x14ac:dyDescent="0.25">
      <c r="A2140" s="1" t="str">
        <f t="shared" si="633"/>
        <v>卡卡杜-凤凰仓</v>
      </c>
      <c r="B2140" s="1" t="str">
        <f>"CK2024102891"</f>
        <v>CK2024102891</v>
      </c>
      <c r="C2140" s="1" t="str">
        <f>"DD2024102819497"</f>
        <v>DD2024102819497</v>
      </c>
      <c r="D2140" s="1" t="str">
        <f>"CK202410289184"</f>
        <v>CK202410289184</v>
      </c>
      <c r="E2140" s="1" t="str">
        <f>"3723606619415515136"</f>
        <v>3723606619415515136</v>
      </c>
      <c r="F2140" s="1" t="str">
        <f t="shared" si="634"/>
        <v>花都四部-凤凰仓</v>
      </c>
      <c r="G2140" s="1" t="str">
        <f t="shared" si="637"/>
        <v>卡卡杜企业店（视频号）</v>
      </c>
      <c r="H2140" s="1" t="str">
        <f t="shared" si="635"/>
        <v>正常订单</v>
      </c>
      <c r="I2140" s="1" t="str">
        <f t="shared" si="636"/>
        <v>已发货</v>
      </c>
      <c r="J2140" s="1" t="str">
        <f t="shared" si="627"/>
        <v>3</v>
      </c>
      <c r="K2140" s="1">
        <v>2</v>
      </c>
      <c r="L2140" s="1" t="s">
        <v>54</v>
      </c>
      <c r="M2140" s="1" t="str">
        <f>"黑龙江省 佳木斯市 富锦市 "</f>
        <v xml:space="preserve">黑龙江省 佳木斯市 富锦市 </v>
      </c>
      <c r="N2140" s="1" t="str">
        <f t="shared" si="638"/>
        <v>凡华云仓-城南圆通-微信视频号</v>
      </c>
      <c r="O2140" s="5" t="s">
        <v>2176</v>
      </c>
      <c r="P2140" s="6">
        <v>0.24</v>
      </c>
      <c r="Q2140" s="11">
        <v>2</v>
      </c>
      <c r="R2140" s="11"/>
      <c r="S2140" s="11"/>
      <c r="T2140" s="11"/>
      <c r="U2140" s="11">
        <f t="shared" si="632"/>
        <v>2</v>
      </c>
      <c r="W2140">
        <v>2.2000000000000002</v>
      </c>
      <c r="X2140" s="1" t="s">
        <v>54</v>
      </c>
    </row>
    <row r="2141" spans="1:24" x14ac:dyDescent="0.25">
      <c r="A2141" s="1" t="str">
        <f t="shared" si="633"/>
        <v>卡卡杜-凤凰仓</v>
      </c>
      <c r="B2141" s="1" t="str">
        <f>"CK2024102890"</f>
        <v>CK2024102890</v>
      </c>
      <c r="C2141" s="1" t="str">
        <f>"DD2024102819496"</f>
        <v>DD2024102819496</v>
      </c>
      <c r="D2141" s="1" t="str">
        <f>"CK202410289183"</f>
        <v>CK202410289183</v>
      </c>
      <c r="E2141" s="1" t="str">
        <f>"3723606625828341248"</f>
        <v>3723606625828341248</v>
      </c>
      <c r="F2141" s="1" t="str">
        <f t="shared" si="634"/>
        <v>花都四部-凤凰仓</v>
      </c>
      <c r="G2141" s="1" t="str">
        <f t="shared" si="637"/>
        <v>卡卡杜企业店（视频号）</v>
      </c>
      <c r="H2141" s="1" t="str">
        <f t="shared" si="635"/>
        <v>正常订单</v>
      </c>
      <c r="I2141" s="1" t="str">
        <f t="shared" si="636"/>
        <v>已发货</v>
      </c>
      <c r="J2141" s="1" t="str">
        <f t="shared" si="627"/>
        <v>3</v>
      </c>
      <c r="K2141" s="1">
        <v>2</v>
      </c>
      <c r="L2141" s="1" t="s">
        <v>105</v>
      </c>
      <c r="M2141" s="1" t="str">
        <f>"北京 北京市 丰台区 "</f>
        <v xml:space="preserve">北京 北京市 丰台区 </v>
      </c>
      <c r="N2141" s="1" t="str">
        <f t="shared" si="638"/>
        <v>凡华云仓-城南圆通-微信视频号</v>
      </c>
      <c r="O2141" s="5" t="s">
        <v>2177</v>
      </c>
      <c r="P2141" s="6">
        <v>0.24</v>
      </c>
      <c r="Q2141" s="11">
        <v>2</v>
      </c>
      <c r="R2141" s="11"/>
      <c r="S2141" s="11"/>
      <c r="T2141" s="11"/>
      <c r="U2141" s="11">
        <f t="shared" si="632"/>
        <v>2</v>
      </c>
      <c r="W2141">
        <v>2.2000000000000002</v>
      </c>
      <c r="X2141" s="1" t="s">
        <v>105</v>
      </c>
    </row>
    <row r="2142" spans="1:24" x14ac:dyDescent="0.25">
      <c r="A2142" s="1" t="str">
        <f t="shared" si="633"/>
        <v>卡卡杜-凤凰仓</v>
      </c>
      <c r="B2142" s="1" t="str">
        <f>"CK2024102889"</f>
        <v>CK2024102889</v>
      </c>
      <c r="C2142" s="1" t="str">
        <f>"DD2024102819495"</f>
        <v>DD2024102819495</v>
      </c>
      <c r="D2142" s="1" t="str">
        <f>"CK202410289182"</f>
        <v>CK202410289182</v>
      </c>
      <c r="E2142" s="1" t="str">
        <f>"3723606628296426752"</f>
        <v>3723606628296426752</v>
      </c>
      <c r="F2142" s="1" t="str">
        <f t="shared" si="634"/>
        <v>花都四部-凤凰仓</v>
      </c>
      <c r="G2142" s="1" t="str">
        <f t="shared" si="637"/>
        <v>卡卡杜企业店（视频号）</v>
      </c>
      <c r="H2142" s="1" t="str">
        <f t="shared" si="635"/>
        <v>正常订单</v>
      </c>
      <c r="I2142" s="1" t="str">
        <f t="shared" si="636"/>
        <v>已发货</v>
      </c>
      <c r="J2142" s="1" t="str">
        <f t="shared" si="627"/>
        <v>3</v>
      </c>
      <c r="K2142" s="1">
        <v>2</v>
      </c>
      <c r="L2142" s="1" t="s">
        <v>30</v>
      </c>
      <c r="M2142" s="1" t="str">
        <f>"山东省 烟台市 烟台经济技术开发区 "</f>
        <v xml:space="preserve">山东省 烟台市 烟台经济技术开发区 </v>
      </c>
      <c r="N2142" s="1" t="str">
        <f t="shared" si="638"/>
        <v>凡华云仓-城南圆通-微信视频号</v>
      </c>
      <c r="O2142" s="5" t="s">
        <v>2178</v>
      </c>
      <c r="P2142" s="6">
        <v>0.24</v>
      </c>
      <c r="Q2142" s="11">
        <v>2</v>
      </c>
      <c r="R2142" s="11"/>
      <c r="S2142" s="11"/>
      <c r="T2142" s="11"/>
      <c r="U2142" s="11">
        <f t="shared" si="632"/>
        <v>2</v>
      </c>
      <c r="W2142">
        <v>2.2000000000000002</v>
      </c>
      <c r="X2142" s="1" t="s">
        <v>30</v>
      </c>
    </row>
    <row r="2143" spans="1:24" x14ac:dyDescent="0.25">
      <c r="A2143" s="1" t="str">
        <f t="shared" si="633"/>
        <v>卡卡杜-凤凰仓</v>
      </c>
      <c r="B2143" s="1" t="str">
        <f>"CK2024102885"</f>
        <v>CK2024102885</v>
      </c>
      <c r="C2143" s="1" t="str">
        <f>"DD2024102819494"</f>
        <v>DD2024102819494</v>
      </c>
      <c r="D2143" s="1" t="str">
        <f>"CK202410289181"</f>
        <v>CK202410289181</v>
      </c>
      <c r="E2143" s="1" t="str">
        <f>"3723606640662283776"</f>
        <v>3723606640662283776</v>
      </c>
      <c r="F2143" s="1" t="str">
        <f t="shared" si="634"/>
        <v>花都四部-凤凰仓</v>
      </c>
      <c r="G2143" s="1" t="str">
        <f t="shared" si="637"/>
        <v>卡卡杜企业店（视频号）</v>
      </c>
      <c r="H2143" s="1" t="str">
        <f t="shared" si="635"/>
        <v>正常订单</v>
      </c>
      <c r="I2143" s="1" t="str">
        <f t="shared" si="636"/>
        <v>已发货</v>
      </c>
      <c r="J2143" s="1" t="str">
        <f t="shared" si="627"/>
        <v>3</v>
      </c>
      <c r="K2143" s="1">
        <v>2</v>
      </c>
      <c r="L2143" s="1" t="s">
        <v>105</v>
      </c>
      <c r="M2143" s="1" t="str">
        <f>"北京 北京市 西城区 "</f>
        <v xml:space="preserve">北京 北京市 西城区 </v>
      </c>
      <c r="N2143" s="1" t="str">
        <f t="shared" si="638"/>
        <v>凡华云仓-城南圆通-微信视频号</v>
      </c>
      <c r="O2143" s="5" t="s">
        <v>2179</v>
      </c>
      <c r="P2143" s="6">
        <v>0.24</v>
      </c>
      <c r="Q2143" s="11">
        <v>2</v>
      </c>
      <c r="R2143" s="11"/>
      <c r="S2143" s="11"/>
      <c r="T2143" s="11"/>
      <c r="U2143" s="11">
        <f t="shared" si="632"/>
        <v>2</v>
      </c>
      <c r="W2143">
        <v>2.2000000000000002</v>
      </c>
      <c r="X2143" s="1" t="s">
        <v>105</v>
      </c>
    </row>
    <row r="2144" spans="1:24" x14ac:dyDescent="0.25">
      <c r="A2144" s="1" t="str">
        <f t="shared" si="633"/>
        <v>卡卡杜-凤凰仓</v>
      </c>
      <c r="B2144" s="1" t="str">
        <f>"CK2024102886"</f>
        <v>CK2024102886</v>
      </c>
      <c r="C2144" s="1" t="str">
        <f>"DD2024102819493"</f>
        <v>DD2024102819493</v>
      </c>
      <c r="D2144" s="1" t="str">
        <f>"CK202410289180"</f>
        <v>CK202410289180</v>
      </c>
      <c r="E2144" s="1" t="str">
        <f>"3723606639451440384"</f>
        <v>3723606639451440384</v>
      </c>
      <c r="F2144" s="1" t="str">
        <f t="shared" si="634"/>
        <v>花都四部-凤凰仓</v>
      </c>
      <c r="G2144" s="1" t="str">
        <f t="shared" si="637"/>
        <v>卡卡杜企业店（视频号）</v>
      </c>
      <c r="H2144" s="1" t="str">
        <f t="shared" si="635"/>
        <v>正常订单</v>
      </c>
      <c r="I2144" s="1" t="str">
        <f t="shared" si="636"/>
        <v>已发货</v>
      </c>
      <c r="J2144" s="1" t="str">
        <f t="shared" si="627"/>
        <v>3</v>
      </c>
      <c r="K2144" s="1">
        <v>2</v>
      </c>
      <c r="L2144" s="1" t="s">
        <v>161</v>
      </c>
      <c r="M2144" s="1" t="str">
        <f>"四川省 乐山市 夹江县 "</f>
        <v xml:space="preserve">四川省 乐山市 夹江县 </v>
      </c>
      <c r="N2144" s="1" t="str">
        <f t="shared" si="638"/>
        <v>凡华云仓-城南圆通-微信视频号</v>
      </c>
      <c r="O2144" s="5" t="s">
        <v>2180</v>
      </c>
      <c r="P2144" s="6">
        <v>0.24</v>
      </c>
      <c r="Q2144" s="11">
        <v>2</v>
      </c>
      <c r="R2144" s="11"/>
      <c r="S2144" s="11"/>
      <c r="T2144" s="11"/>
      <c r="U2144" s="11">
        <f t="shared" si="632"/>
        <v>2</v>
      </c>
      <c r="W2144">
        <v>2.2000000000000002</v>
      </c>
      <c r="X2144" s="1" t="s">
        <v>161</v>
      </c>
    </row>
    <row r="2145" spans="1:24" x14ac:dyDescent="0.25">
      <c r="A2145" s="1" t="str">
        <f t="shared" si="633"/>
        <v>卡卡杜-凤凰仓</v>
      </c>
      <c r="B2145" s="1" t="str">
        <f>"CK2024102888"</f>
        <v>CK2024102888</v>
      </c>
      <c r="C2145" s="1" t="str">
        <f>"DD2024102819492"</f>
        <v>DD2024102819492</v>
      </c>
      <c r="D2145" s="1" t="str">
        <f>"CK202410289179"</f>
        <v>CK202410289179</v>
      </c>
      <c r="E2145" s="1" t="str">
        <f>"3723606626650162688"</f>
        <v>3723606626650162688</v>
      </c>
      <c r="F2145" s="1" t="str">
        <f t="shared" si="634"/>
        <v>花都四部-凤凰仓</v>
      </c>
      <c r="G2145" s="1" t="str">
        <f t="shared" si="637"/>
        <v>卡卡杜企业店（视频号）</v>
      </c>
      <c r="H2145" s="1" t="str">
        <f t="shared" si="635"/>
        <v>正常订单</v>
      </c>
      <c r="I2145" s="1" t="str">
        <f t="shared" si="636"/>
        <v>已发货</v>
      </c>
      <c r="J2145" s="1" t="str">
        <f t="shared" si="627"/>
        <v>3</v>
      </c>
      <c r="K2145" s="1">
        <v>2</v>
      </c>
      <c r="L2145" s="1" t="s">
        <v>74</v>
      </c>
      <c r="M2145" s="1" t="str">
        <f>"上海 上海市 浦东新区 "</f>
        <v xml:space="preserve">上海 上海市 浦东新区 </v>
      </c>
      <c r="N2145" s="1" t="str">
        <f t="shared" si="638"/>
        <v>凡华云仓-城南圆通-微信视频号</v>
      </c>
      <c r="O2145" s="5" t="s">
        <v>2181</v>
      </c>
      <c r="P2145" s="6">
        <v>0.24</v>
      </c>
      <c r="Q2145" s="11">
        <v>2</v>
      </c>
      <c r="R2145" s="11"/>
      <c r="S2145" s="11"/>
      <c r="T2145" s="11"/>
      <c r="U2145" s="11">
        <f t="shared" si="632"/>
        <v>2</v>
      </c>
      <c r="W2145">
        <v>2.2000000000000002</v>
      </c>
      <c r="X2145" s="1" t="s">
        <v>74</v>
      </c>
    </row>
    <row r="2146" spans="1:24" x14ac:dyDescent="0.25">
      <c r="A2146" s="1" t="str">
        <f t="shared" si="633"/>
        <v>卡卡杜-凤凰仓</v>
      </c>
      <c r="B2146" s="1" t="str">
        <f>"CK2024102887"</f>
        <v>CK2024102887</v>
      </c>
      <c r="C2146" s="1" t="str">
        <f>"DD2024102819491"</f>
        <v>DD2024102819491</v>
      </c>
      <c r="D2146" s="1" t="str">
        <f>"CK202410289178"</f>
        <v>CK202410289178</v>
      </c>
      <c r="E2146" s="1" t="str">
        <f>"3723606634618557440"</f>
        <v>3723606634618557440</v>
      </c>
      <c r="F2146" s="1" t="str">
        <f t="shared" si="634"/>
        <v>花都四部-凤凰仓</v>
      </c>
      <c r="G2146" s="1" t="str">
        <f t="shared" si="637"/>
        <v>卡卡杜企业店（视频号）</v>
      </c>
      <c r="H2146" s="1" t="str">
        <f t="shared" si="635"/>
        <v>正常订单</v>
      </c>
      <c r="I2146" s="1" t="str">
        <f t="shared" si="636"/>
        <v>已发货</v>
      </c>
      <c r="J2146" s="1" t="str">
        <f t="shared" si="627"/>
        <v>3</v>
      </c>
      <c r="K2146" s="1">
        <v>2</v>
      </c>
      <c r="L2146" s="1" t="s">
        <v>105</v>
      </c>
      <c r="M2146" s="1" t="str">
        <f>"北京 北京市 朝阳区 "</f>
        <v xml:space="preserve">北京 北京市 朝阳区 </v>
      </c>
      <c r="N2146" s="1" t="str">
        <f t="shared" si="638"/>
        <v>凡华云仓-城南圆通-微信视频号</v>
      </c>
      <c r="O2146" s="5" t="s">
        <v>2182</v>
      </c>
      <c r="P2146" s="6">
        <v>0.24</v>
      </c>
      <c r="Q2146" s="11">
        <v>2</v>
      </c>
      <c r="R2146" s="11"/>
      <c r="S2146" s="11"/>
      <c r="T2146" s="11"/>
      <c r="U2146" s="11">
        <f t="shared" si="632"/>
        <v>2</v>
      </c>
      <c r="W2146">
        <v>2.2000000000000002</v>
      </c>
      <c r="X2146" s="1" t="s">
        <v>105</v>
      </c>
    </row>
    <row r="2147" spans="1:24" x14ac:dyDescent="0.25">
      <c r="A2147" s="1" t="str">
        <f t="shared" si="633"/>
        <v>卡卡杜-凤凰仓</v>
      </c>
      <c r="B2147" s="1" t="str">
        <f>"CK2024102884"</f>
        <v>CK2024102884</v>
      </c>
      <c r="C2147" s="1" t="str">
        <f>"DD2024102819490"</f>
        <v>DD2024102819490</v>
      </c>
      <c r="D2147" s="1" t="str">
        <f>"CK202410289177"</f>
        <v>CK202410289177</v>
      </c>
      <c r="E2147" s="1" t="str">
        <f>"3723606648737629440"</f>
        <v>3723606648737629440</v>
      </c>
      <c r="F2147" s="1" t="str">
        <f t="shared" si="634"/>
        <v>花都四部-凤凰仓</v>
      </c>
      <c r="G2147" s="1" t="str">
        <f t="shared" si="637"/>
        <v>卡卡杜企业店（视频号）</v>
      </c>
      <c r="H2147" s="1" t="str">
        <f t="shared" si="635"/>
        <v>正常订单</v>
      </c>
      <c r="I2147" s="1" t="str">
        <f t="shared" si="636"/>
        <v>已发货</v>
      </c>
      <c r="J2147" s="1" t="str">
        <f t="shared" si="627"/>
        <v>3</v>
      </c>
      <c r="K2147" s="1">
        <v>2</v>
      </c>
      <c r="L2147" s="1" t="s">
        <v>18</v>
      </c>
      <c r="M2147" s="1" t="str">
        <f>"广东省 汕头市 澄海区 "</f>
        <v xml:space="preserve">广东省 汕头市 澄海区 </v>
      </c>
      <c r="N2147" s="1" t="str">
        <f t="shared" si="638"/>
        <v>凡华云仓-城南圆通-微信视频号</v>
      </c>
      <c r="O2147" s="5" t="s">
        <v>2183</v>
      </c>
      <c r="P2147" s="6">
        <v>0.24</v>
      </c>
      <c r="Q2147" s="11">
        <v>2</v>
      </c>
      <c r="R2147" s="11"/>
      <c r="S2147" s="11"/>
      <c r="T2147" s="11"/>
      <c r="U2147" s="11">
        <f t="shared" si="632"/>
        <v>2</v>
      </c>
      <c r="W2147">
        <v>2.2000000000000002</v>
      </c>
      <c r="X2147" s="1" t="s">
        <v>18</v>
      </c>
    </row>
    <row r="2148" spans="1:24" x14ac:dyDescent="0.25">
      <c r="A2148" s="1" t="str">
        <f t="shared" si="633"/>
        <v>卡卡杜-凤凰仓</v>
      </c>
      <c r="B2148" s="1" t="str">
        <f>"CK2024102883"</f>
        <v>CK2024102883</v>
      </c>
      <c r="C2148" s="1" t="str">
        <f>"DD2024102819489"</f>
        <v>DD2024102819489</v>
      </c>
      <c r="D2148" s="1" t="str">
        <f>"CK202410289176"</f>
        <v>CK202410289176</v>
      </c>
      <c r="E2148" s="1" t="str">
        <f>"3723606654301113344"</f>
        <v>3723606654301113344</v>
      </c>
      <c r="F2148" s="1" t="str">
        <f t="shared" si="634"/>
        <v>花都四部-凤凰仓</v>
      </c>
      <c r="G2148" s="1" t="str">
        <f t="shared" si="637"/>
        <v>卡卡杜企业店（视频号）</v>
      </c>
      <c r="H2148" s="1" t="str">
        <f t="shared" si="635"/>
        <v>正常订单</v>
      </c>
      <c r="I2148" s="1" t="str">
        <f t="shared" si="636"/>
        <v>已发货</v>
      </c>
      <c r="J2148" s="1" t="str">
        <f t="shared" si="627"/>
        <v>3</v>
      </c>
      <c r="K2148" s="1">
        <v>2</v>
      </c>
      <c r="L2148" s="1" t="s">
        <v>74</v>
      </c>
      <c r="M2148" s="1" t="str">
        <f>"上海 上海市 杨浦区 "</f>
        <v xml:space="preserve">上海 上海市 杨浦区 </v>
      </c>
      <c r="N2148" s="1" t="str">
        <f t="shared" si="638"/>
        <v>凡华云仓-城南圆通-微信视频号</v>
      </c>
      <c r="O2148" s="5" t="s">
        <v>2184</v>
      </c>
      <c r="P2148" s="6">
        <v>0.24</v>
      </c>
      <c r="Q2148" s="11">
        <v>2</v>
      </c>
      <c r="R2148" s="11"/>
      <c r="S2148" s="11"/>
      <c r="T2148" s="11"/>
      <c r="U2148" s="11">
        <f t="shared" si="632"/>
        <v>2</v>
      </c>
      <c r="W2148">
        <v>2.2000000000000002</v>
      </c>
      <c r="X2148" s="1" t="s">
        <v>74</v>
      </c>
    </row>
    <row r="2149" spans="1:24" x14ac:dyDescent="0.25">
      <c r="A2149" s="1" t="str">
        <f t="shared" si="633"/>
        <v>卡卡杜-凤凰仓</v>
      </c>
      <c r="B2149" s="1" t="str">
        <f>"CK2024102882"</f>
        <v>CK2024102882</v>
      </c>
      <c r="C2149" s="1" t="str">
        <f>"DD2024102819488"</f>
        <v>DD2024102819488</v>
      </c>
      <c r="D2149" s="1" t="str">
        <f>"CK202410289175"</f>
        <v>CK202410289175</v>
      </c>
      <c r="E2149" s="1" t="str">
        <f>"3723606672626550016"</f>
        <v>3723606672626550016</v>
      </c>
      <c r="F2149" s="1" t="str">
        <f t="shared" si="634"/>
        <v>花都四部-凤凰仓</v>
      </c>
      <c r="G2149" s="1" t="str">
        <f t="shared" si="637"/>
        <v>卡卡杜企业店（视频号）</v>
      </c>
      <c r="H2149" s="1" t="str">
        <f t="shared" si="635"/>
        <v>正常订单</v>
      </c>
      <c r="I2149" s="1" t="str">
        <f t="shared" si="636"/>
        <v>已发货</v>
      </c>
      <c r="J2149" s="1" t="str">
        <f t="shared" si="627"/>
        <v>3</v>
      </c>
      <c r="K2149" s="1">
        <v>2</v>
      </c>
      <c r="L2149" s="1" t="s">
        <v>161</v>
      </c>
      <c r="M2149" s="1" t="str">
        <f>"四川省 成都市 武侯区 "</f>
        <v xml:space="preserve">四川省 成都市 武侯区 </v>
      </c>
      <c r="N2149" s="1" t="str">
        <f t="shared" si="638"/>
        <v>凡华云仓-城南圆通-微信视频号</v>
      </c>
      <c r="O2149" s="5" t="s">
        <v>2185</v>
      </c>
      <c r="P2149" s="6">
        <v>0.24</v>
      </c>
      <c r="Q2149" s="11">
        <v>2</v>
      </c>
      <c r="R2149" s="11"/>
      <c r="S2149" s="11"/>
      <c r="T2149" s="11"/>
      <c r="U2149" s="11">
        <f t="shared" si="632"/>
        <v>2</v>
      </c>
      <c r="W2149">
        <v>2.2000000000000002</v>
      </c>
      <c r="X2149" s="1" t="s">
        <v>161</v>
      </c>
    </row>
    <row r="2150" spans="1:24" x14ac:dyDescent="0.25">
      <c r="A2150" s="1" t="str">
        <f t="shared" si="633"/>
        <v>卡卡杜-凤凰仓</v>
      </c>
      <c r="B2150" s="1" t="str">
        <f>"CK2024102881"</f>
        <v>CK2024102881</v>
      </c>
      <c r="C2150" s="1" t="str">
        <f>"DD2024102819487"</f>
        <v>DD2024102819487</v>
      </c>
      <c r="D2150" s="1" t="str">
        <f>"CK202410289174"</f>
        <v>CK202410289174</v>
      </c>
      <c r="E2150" s="1" t="str">
        <f>"3723606690351416576"</f>
        <v>3723606690351416576</v>
      </c>
      <c r="F2150" s="1" t="str">
        <f t="shared" si="634"/>
        <v>花都四部-凤凰仓</v>
      </c>
      <c r="G2150" s="1" t="str">
        <f t="shared" si="637"/>
        <v>卡卡杜企业店（视频号）</v>
      </c>
      <c r="H2150" s="1" t="str">
        <f t="shared" si="635"/>
        <v>正常订单</v>
      </c>
      <c r="I2150" s="1" t="str">
        <f t="shared" si="636"/>
        <v>已发货</v>
      </c>
      <c r="J2150" s="1" t="str">
        <f t="shared" si="627"/>
        <v>3</v>
      </c>
      <c r="K2150" s="1">
        <v>2</v>
      </c>
      <c r="L2150" s="1" t="s">
        <v>92</v>
      </c>
      <c r="M2150" s="1" t="str">
        <f>"辽宁省 沈阳市 浑南区 "</f>
        <v xml:space="preserve">辽宁省 沈阳市 浑南区 </v>
      </c>
      <c r="N2150" s="1" t="str">
        <f t="shared" si="638"/>
        <v>凡华云仓-城南圆通-微信视频号</v>
      </c>
      <c r="O2150" s="5" t="s">
        <v>2186</v>
      </c>
      <c r="P2150" s="6">
        <v>0.24</v>
      </c>
      <c r="Q2150" s="11">
        <v>2</v>
      </c>
      <c r="R2150" s="11"/>
      <c r="S2150" s="11"/>
      <c r="T2150" s="11"/>
      <c r="U2150" s="11">
        <f t="shared" si="632"/>
        <v>2</v>
      </c>
      <c r="W2150">
        <v>2.2000000000000002</v>
      </c>
      <c r="X2150" s="1" t="s">
        <v>92</v>
      </c>
    </row>
    <row r="2151" spans="1:24" x14ac:dyDescent="0.25">
      <c r="A2151" s="1" t="str">
        <f t="shared" si="633"/>
        <v>卡卡杜-凤凰仓</v>
      </c>
      <c r="B2151" s="1" t="str">
        <f>"CK2024102880"</f>
        <v>CK2024102880</v>
      </c>
      <c r="C2151" s="1" t="str">
        <f>"DD2024102819486"</f>
        <v>DD2024102819486</v>
      </c>
      <c r="D2151" s="1" t="str">
        <f>"CK202410289173"</f>
        <v>CK202410289173</v>
      </c>
      <c r="E2151" s="1" t="str">
        <f>"3723606656178850816"</f>
        <v>3723606656178850816</v>
      </c>
      <c r="F2151" s="1" t="str">
        <f t="shared" si="634"/>
        <v>花都四部-凤凰仓</v>
      </c>
      <c r="G2151" s="1" t="str">
        <f t="shared" si="637"/>
        <v>卡卡杜企业店（视频号）</v>
      </c>
      <c r="H2151" s="1" t="str">
        <f t="shared" si="635"/>
        <v>正常订单</v>
      </c>
      <c r="I2151" s="1" t="str">
        <f t="shared" si="636"/>
        <v>已发货</v>
      </c>
      <c r="J2151" s="1" t="str">
        <f t="shared" si="627"/>
        <v>3</v>
      </c>
      <c r="K2151" s="1">
        <v>2</v>
      </c>
      <c r="L2151" s="1" t="s">
        <v>105</v>
      </c>
      <c r="M2151" s="1" t="str">
        <f>"北京 北京市 海淀区 "</f>
        <v xml:space="preserve">北京 北京市 海淀区 </v>
      </c>
      <c r="N2151" s="1" t="str">
        <f t="shared" si="638"/>
        <v>凡华云仓-城南圆通-微信视频号</v>
      </c>
      <c r="O2151" s="5" t="s">
        <v>2187</v>
      </c>
      <c r="P2151" s="6">
        <v>0.24</v>
      </c>
      <c r="Q2151" s="11">
        <v>2</v>
      </c>
      <c r="R2151" s="11"/>
      <c r="S2151" s="11"/>
      <c r="T2151" s="11"/>
      <c r="U2151" s="11">
        <f t="shared" si="632"/>
        <v>2</v>
      </c>
      <c r="W2151">
        <v>2.2000000000000002</v>
      </c>
      <c r="X2151" s="1" t="s">
        <v>105</v>
      </c>
    </row>
    <row r="2152" spans="1:24" x14ac:dyDescent="0.25">
      <c r="A2152" s="1" t="str">
        <f t="shared" si="633"/>
        <v>卡卡杜-凤凰仓</v>
      </c>
      <c r="B2152" s="1" t="str">
        <f>"CK2024102879"</f>
        <v>CK2024102879</v>
      </c>
      <c r="C2152" s="1" t="str">
        <f>"DD2024102819485"</f>
        <v>DD2024102819485</v>
      </c>
      <c r="D2152" s="1" t="str">
        <f>"CK202410289172"</f>
        <v>CK202410289172</v>
      </c>
      <c r="E2152" s="1" t="str">
        <f>"3723606698380104704"</f>
        <v>3723606698380104704</v>
      </c>
      <c r="F2152" s="1" t="str">
        <f t="shared" si="634"/>
        <v>花都四部-凤凰仓</v>
      </c>
      <c r="G2152" s="1" t="str">
        <f t="shared" si="637"/>
        <v>卡卡杜企业店（视频号）</v>
      </c>
      <c r="H2152" s="1" t="str">
        <f t="shared" si="635"/>
        <v>正常订单</v>
      </c>
      <c r="I2152" s="1" t="str">
        <f t="shared" si="636"/>
        <v>已发货</v>
      </c>
      <c r="J2152" s="1" t="str">
        <f t="shared" si="627"/>
        <v>3</v>
      </c>
      <c r="K2152" s="1">
        <v>2</v>
      </c>
      <c r="L2152" s="1" t="s">
        <v>187</v>
      </c>
      <c r="M2152" s="1" t="str">
        <f>"吉林省 长春市 南关区 "</f>
        <v xml:space="preserve">吉林省 长春市 南关区 </v>
      </c>
      <c r="N2152" s="1" t="str">
        <f t="shared" si="638"/>
        <v>凡华云仓-城南圆通-微信视频号</v>
      </c>
      <c r="O2152" s="5" t="s">
        <v>2188</v>
      </c>
      <c r="P2152" s="6">
        <v>0.24</v>
      </c>
      <c r="Q2152" s="11">
        <v>2</v>
      </c>
      <c r="R2152" s="11"/>
      <c r="S2152" s="11"/>
      <c r="T2152" s="11"/>
      <c r="U2152" s="11">
        <f t="shared" si="632"/>
        <v>2</v>
      </c>
      <c r="W2152">
        <v>2.2000000000000002</v>
      </c>
      <c r="X2152" s="1" t="s">
        <v>187</v>
      </c>
    </row>
    <row r="2153" spans="1:24" x14ac:dyDescent="0.25">
      <c r="A2153" s="1" t="str">
        <f t="shared" si="633"/>
        <v>卡卡杜-凤凰仓</v>
      </c>
      <c r="B2153" s="1" t="str">
        <f>"CK2024102878"</f>
        <v>CK2024102878</v>
      </c>
      <c r="C2153" s="1" t="str">
        <f>"DD2024102819484"</f>
        <v>DD2024102819484</v>
      </c>
      <c r="D2153" s="1" t="str">
        <f>"CK202410289171"</f>
        <v>CK202410289171</v>
      </c>
      <c r="E2153" s="1" t="str">
        <f>"3723606705902585089"</f>
        <v>3723606705902585089</v>
      </c>
      <c r="F2153" s="1" t="str">
        <f t="shared" si="634"/>
        <v>花都四部-凤凰仓</v>
      </c>
      <c r="G2153" s="1" t="str">
        <f t="shared" si="637"/>
        <v>卡卡杜企业店（视频号）</v>
      </c>
      <c r="H2153" s="1" t="str">
        <f t="shared" si="635"/>
        <v>正常订单</v>
      </c>
      <c r="I2153" s="1" t="str">
        <f t="shared" si="636"/>
        <v>已发货</v>
      </c>
      <c r="J2153" s="1" t="str">
        <f t="shared" si="627"/>
        <v>3</v>
      </c>
      <c r="K2153" s="1">
        <v>2</v>
      </c>
      <c r="L2153" s="1" t="s">
        <v>105</v>
      </c>
      <c r="M2153" s="1" t="str">
        <f>"北京 北京市 西城区 "</f>
        <v xml:space="preserve">北京 北京市 西城区 </v>
      </c>
      <c r="N2153" s="1" t="str">
        <f t="shared" si="638"/>
        <v>凡华云仓-城南圆通-微信视频号</v>
      </c>
      <c r="O2153" s="5" t="s">
        <v>2189</v>
      </c>
      <c r="P2153" s="6">
        <v>0.24</v>
      </c>
      <c r="Q2153" s="11">
        <v>2</v>
      </c>
      <c r="R2153" s="11"/>
      <c r="S2153" s="11"/>
      <c r="T2153" s="11"/>
      <c r="U2153" s="11">
        <f t="shared" si="632"/>
        <v>2</v>
      </c>
      <c r="W2153">
        <v>2.2000000000000002</v>
      </c>
      <c r="X2153" s="1" t="s">
        <v>105</v>
      </c>
    </row>
    <row r="2154" spans="1:24" x14ac:dyDescent="0.25">
      <c r="A2154" s="1" t="str">
        <f t="shared" si="633"/>
        <v>卡卡杜-凤凰仓</v>
      </c>
      <c r="B2154" s="1" t="str">
        <f>"CK2024102877"</f>
        <v>CK2024102877</v>
      </c>
      <c r="C2154" s="1" t="str">
        <f>"DD2024102819483"</f>
        <v>DD2024102819483</v>
      </c>
      <c r="D2154" s="1" t="str">
        <f>"CK202410289170"</f>
        <v>CK202410289170</v>
      </c>
      <c r="E2154" s="1" t="str">
        <f>"3723606696921009152"</f>
        <v>3723606696921009152</v>
      </c>
      <c r="F2154" s="1" t="str">
        <f t="shared" si="634"/>
        <v>花都四部-凤凰仓</v>
      </c>
      <c r="G2154" s="1" t="str">
        <f t="shared" si="637"/>
        <v>卡卡杜企业店（视频号）</v>
      </c>
      <c r="H2154" s="1" t="str">
        <f t="shared" si="635"/>
        <v>正常订单</v>
      </c>
      <c r="I2154" s="1" t="str">
        <f t="shared" si="636"/>
        <v>已发货</v>
      </c>
      <c r="J2154" s="1" t="str">
        <f t="shared" si="627"/>
        <v>3</v>
      </c>
      <c r="K2154" s="1">
        <v>2</v>
      </c>
      <c r="L2154" s="1" t="s">
        <v>92</v>
      </c>
      <c r="M2154" s="1" t="str">
        <f>"辽宁省 沈阳市 和平区 "</f>
        <v xml:space="preserve">辽宁省 沈阳市 和平区 </v>
      </c>
      <c r="N2154" s="1" t="str">
        <f t="shared" si="638"/>
        <v>凡华云仓-城南圆通-微信视频号</v>
      </c>
      <c r="O2154" s="5" t="s">
        <v>2190</v>
      </c>
      <c r="P2154" s="6">
        <v>0.24</v>
      </c>
      <c r="Q2154" s="11">
        <v>2</v>
      </c>
      <c r="R2154" s="11"/>
      <c r="S2154" s="11"/>
      <c r="T2154" s="11"/>
      <c r="U2154" s="11">
        <f t="shared" si="632"/>
        <v>2</v>
      </c>
      <c r="W2154">
        <v>2.2000000000000002</v>
      </c>
      <c r="X2154" s="1" t="s">
        <v>92</v>
      </c>
    </row>
    <row r="2155" spans="1:24" x14ac:dyDescent="0.25">
      <c r="A2155" s="1" t="str">
        <f t="shared" si="633"/>
        <v>卡卡杜-凤凰仓</v>
      </c>
      <c r="B2155" s="1" t="str">
        <f>"CK2024102876"</f>
        <v>CK2024102876</v>
      </c>
      <c r="C2155" s="1" t="str">
        <f>"DD2024102819482"</f>
        <v>DD2024102819482</v>
      </c>
      <c r="D2155" s="1" t="str">
        <f>"CK202410289169"</f>
        <v>CK202410289169</v>
      </c>
      <c r="E2155" s="1" t="str">
        <f>"2430102010170636"</f>
        <v>2430102010170636</v>
      </c>
      <c r="F2155" s="1" t="str">
        <f t="shared" si="634"/>
        <v>花都四部-凤凰仓</v>
      </c>
      <c r="G2155" s="1" t="str">
        <f t="shared" ref="G2155:G2158" si="639">"卡卡杜佳旺专卖店（快手店）"</f>
        <v>卡卡杜佳旺专卖店（快手店）</v>
      </c>
      <c r="H2155" s="1" t="str">
        <f t="shared" si="635"/>
        <v>正常订单</v>
      </c>
      <c r="I2155" s="1" t="str">
        <f t="shared" si="636"/>
        <v>已发货</v>
      </c>
      <c r="J2155" s="1" t="str">
        <f t="shared" si="627"/>
        <v>3</v>
      </c>
      <c r="K2155" s="1">
        <v>2</v>
      </c>
      <c r="L2155" s="1" t="s">
        <v>1495</v>
      </c>
      <c r="M2155" s="1" t="str">
        <f>"天津市 天津市 北辰区 天穆镇"</f>
        <v>天津市 天津市 北辰区 天穆镇</v>
      </c>
      <c r="N2155" s="1" t="str">
        <f t="shared" ref="N2155:N2158" si="640">"凡华云仓-城南圆通-快手"</f>
        <v>凡华云仓-城南圆通-快手</v>
      </c>
      <c r="O2155" s="5" t="s">
        <v>2191</v>
      </c>
      <c r="P2155" s="6">
        <v>0.35</v>
      </c>
      <c r="Q2155" s="11">
        <v>2.2999999999999998</v>
      </c>
      <c r="R2155" s="11"/>
      <c r="S2155" s="11"/>
      <c r="T2155" s="11"/>
      <c r="U2155" s="11">
        <f t="shared" si="632"/>
        <v>2.2999999999999998</v>
      </c>
      <c r="W2155">
        <v>2.5</v>
      </c>
      <c r="X2155" s="1" t="s">
        <v>1495</v>
      </c>
    </row>
    <row r="2156" spans="1:24" x14ac:dyDescent="0.25">
      <c r="A2156" s="1" t="str">
        <f t="shared" si="633"/>
        <v>卡卡杜-凤凰仓</v>
      </c>
      <c r="B2156" s="1" t="str">
        <f>"CK2024102875"</f>
        <v>CK2024102875</v>
      </c>
      <c r="C2156" s="1" t="str">
        <f>"DD2024102819481"</f>
        <v>DD2024102819481</v>
      </c>
      <c r="D2156" s="1" t="str">
        <f>"CK202410289168"</f>
        <v>CK202410289168</v>
      </c>
      <c r="E2156" s="1" t="str">
        <f>"3723606805081887744"</f>
        <v>3723606805081887744</v>
      </c>
      <c r="F2156" s="1" t="str">
        <f t="shared" si="634"/>
        <v>花都四部-凤凰仓</v>
      </c>
      <c r="G2156" s="1" t="str">
        <f>"卡卡杜企业店（视频号）"</f>
        <v>卡卡杜企业店（视频号）</v>
      </c>
      <c r="H2156" s="1" t="str">
        <f t="shared" si="635"/>
        <v>正常订单</v>
      </c>
      <c r="I2156" s="1" t="str">
        <f t="shared" si="636"/>
        <v>已发货</v>
      </c>
      <c r="J2156" s="1" t="str">
        <f t="shared" si="627"/>
        <v>3</v>
      </c>
      <c r="K2156" s="1">
        <v>2</v>
      </c>
      <c r="L2156" s="1" t="s">
        <v>74</v>
      </c>
      <c r="M2156" s="1" t="str">
        <f>"上海 上海市 黄浦区 "</f>
        <v xml:space="preserve">上海 上海市 黄浦区 </v>
      </c>
      <c r="N2156" s="1" t="str">
        <f>"凡华云仓-城南圆通-微信视频号"</f>
        <v>凡华云仓-城南圆通-微信视频号</v>
      </c>
      <c r="O2156" s="5" t="s">
        <v>2192</v>
      </c>
      <c r="P2156" s="6">
        <v>0.24</v>
      </c>
      <c r="Q2156" s="11">
        <v>2</v>
      </c>
      <c r="R2156" s="11"/>
      <c r="S2156" s="11"/>
      <c r="T2156" s="11"/>
      <c r="U2156" s="11">
        <f t="shared" si="632"/>
        <v>2</v>
      </c>
      <c r="W2156">
        <v>2.2000000000000002</v>
      </c>
      <c r="X2156" s="1" t="s">
        <v>74</v>
      </c>
    </row>
    <row r="2157" spans="1:24" x14ac:dyDescent="0.25">
      <c r="A2157" s="1" t="str">
        <f t="shared" si="633"/>
        <v>卡卡杜-凤凰仓</v>
      </c>
      <c r="B2157" s="1" t="str">
        <f>"CK2024102874"</f>
        <v>CK2024102874</v>
      </c>
      <c r="C2157" s="1" t="str">
        <f>"DD2024102819480"</f>
        <v>DD2024102819480</v>
      </c>
      <c r="D2157" s="1" t="str">
        <f>"CK202410289167"</f>
        <v>CK202410289167</v>
      </c>
      <c r="E2157" s="1" t="str">
        <f>"2430102253945247"</f>
        <v>2430102253945247</v>
      </c>
      <c r="F2157" s="1" t="str">
        <f t="shared" si="634"/>
        <v>花都四部-凤凰仓</v>
      </c>
      <c r="G2157" s="1" t="str">
        <f t="shared" si="639"/>
        <v>卡卡杜佳旺专卖店（快手店）</v>
      </c>
      <c r="H2157" s="1" t="str">
        <f t="shared" si="635"/>
        <v>正常订单</v>
      </c>
      <c r="I2157" s="1" t="str">
        <f t="shared" si="636"/>
        <v>已发货</v>
      </c>
      <c r="J2157" s="1" t="str">
        <f t="shared" si="627"/>
        <v>3</v>
      </c>
      <c r="K2157" s="1">
        <v>2</v>
      </c>
      <c r="L2157" s="1" t="s">
        <v>30</v>
      </c>
      <c r="M2157" s="1" t="str">
        <f>"山东省 济南市 长清区 平安街道"</f>
        <v>山东省 济南市 长清区 平安街道</v>
      </c>
      <c r="N2157" s="1" t="str">
        <f t="shared" si="640"/>
        <v>凡华云仓-城南圆通-快手</v>
      </c>
      <c r="O2157" s="5" t="s">
        <v>2193</v>
      </c>
      <c r="P2157" s="6">
        <v>0.35</v>
      </c>
      <c r="Q2157" s="11">
        <v>2.2999999999999998</v>
      </c>
      <c r="R2157" s="11"/>
      <c r="S2157" s="11"/>
      <c r="T2157" s="11"/>
      <c r="U2157" s="11">
        <f t="shared" si="632"/>
        <v>2.2999999999999998</v>
      </c>
      <c r="W2157">
        <v>2.5</v>
      </c>
      <c r="X2157" s="1" t="s">
        <v>30</v>
      </c>
    </row>
    <row r="2158" spans="1:24" x14ac:dyDescent="0.25">
      <c r="A2158" s="1" t="str">
        <f t="shared" si="633"/>
        <v>卡卡杜-凤凰仓</v>
      </c>
      <c r="B2158" s="1" t="str">
        <f>"CK2024102873"</f>
        <v>CK2024102873</v>
      </c>
      <c r="C2158" s="1" t="str">
        <f>"DD2024102819479"</f>
        <v>DD2024102819479</v>
      </c>
      <c r="D2158" s="1" t="str">
        <f>"CK202410289166"</f>
        <v>CK202410289166</v>
      </c>
      <c r="E2158" s="1" t="str">
        <f>"2430101854875149"</f>
        <v>2430101854875149</v>
      </c>
      <c r="F2158" s="1" t="str">
        <f t="shared" si="634"/>
        <v>花都四部-凤凰仓</v>
      </c>
      <c r="G2158" s="1" t="str">
        <f t="shared" si="639"/>
        <v>卡卡杜佳旺专卖店（快手店）</v>
      </c>
      <c r="H2158" s="1" t="str">
        <f t="shared" si="635"/>
        <v>正常订单</v>
      </c>
      <c r="I2158" s="1" t="str">
        <f t="shared" si="636"/>
        <v>已发货</v>
      </c>
      <c r="J2158" s="1" t="str">
        <f t="shared" ref="J2158:J2221" si="641">"3"</f>
        <v>3</v>
      </c>
      <c r="K2158" s="1">
        <v>2</v>
      </c>
      <c r="L2158" s="1" t="s">
        <v>30</v>
      </c>
      <c r="M2158" s="1" t="str">
        <f>"山东省 济南市 莱芜区 羊里街道"</f>
        <v>山东省 济南市 莱芜区 羊里街道</v>
      </c>
      <c r="N2158" s="1" t="str">
        <f t="shared" si="640"/>
        <v>凡华云仓-城南圆通-快手</v>
      </c>
      <c r="O2158" s="5" t="s">
        <v>2194</v>
      </c>
      <c r="P2158" s="6">
        <v>0.35</v>
      </c>
      <c r="Q2158" s="11">
        <v>2.2999999999999998</v>
      </c>
      <c r="R2158" s="11"/>
      <c r="S2158" s="11"/>
      <c r="T2158" s="11"/>
      <c r="U2158" s="11">
        <f t="shared" si="632"/>
        <v>2.2999999999999998</v>
      </c>
      <c r="W2158">
        <v>2.5</v>
      </c>
      <c r="X2158" s="1" t="s">
        <v>30</v>
      </c>
    </row>
    <row r="2159" spans="1:24" x14ac:dyDescent="0.25">
      <c r="A2159" s="1" t="str">
        <f t="shared" si="633"/>
        <v>卡卡杜-凤凰仓</v>
      </c>
      <c r="B2159" s="1" t="str">
        <f>"CK2024102872"</f>
        <v>CK2024102872</v>
      </c>
      <c r="C2159" s="1" t="str">
        <f>"DD2024102819478"</f>
        <v>DD2024102819478</v>
      </c>
      <c r="D2159" s="1" t="str">
        <f>"CK202410289165"</f>
        <v>CK202410289165</v>
      </c>
      <c r="E2159" s="1" t="str">
        <f>"6935553227523822934"</f>
        <v>6935553227523822934</v>
      </c>
      <c r="F2159" s="1" t="str">
        <f t="shared" si="634"/>
        <v>花都四部-凤凰仓</v>
      </c>
      <c r="G2159" s="1" t="str">
        <f>"卡卡杜个人护理店（抖店）"</f>
        <v>卡卡杜个人护理店（抖店）</v>
      </c>
      <c r="H2159" s="1" t="str">
        <f t="shared" si="635"/>
        <v>正常订单</v>
      </c>
      <c r="I2159" s="1" t="str">
        <f t="shared" si="636"/>
        <v>已发货</v>
      </c>
      <c r="J2159" s="1" t="str">
        <f t="shared" si="641"/>
        <v>3</v>
      </c>
      <c r="K2159" s="1">
        <v>2</v>
      </c>
      <c r="L2159" s="1" t="s">
        <v>60</v>
      </c>
      <c r="M2159" s="1" t="str">
        <f>"云南省 临沧市 临翔区 凤翔街道"</f>
        <v>云南省 临沧市 临翔区 凤翔街道</v>
      </c>
      <c r="N2159" s="1" t="str">
        <f>"凡华云仓-城南圆通-抖音"</f>
        <v>凡华云仓-城南圆通-抖音</v>
      </c>
      <c r="O2159" s="5" t="s">
        <v>2195</v>
      </c>
      <c r="P2159" s="6">
        <v>0.35</v>
      </c>
      <c r="Q2159" s="11">
        <v>2.2999999999999998</v>
      </c>
      <c r="R2159" s="11"/>
      <c r="S2159" s="11"/>
      <c r="T2159" s="11"/>
      <c r="U2159" s="11">
        <f t="shared" si="632"/>
        <v>2.2999999999999998</v>
      </c>
      <c r="W2159">
        <v>2.5</v>
      </c>
      <c r="X2159" s="1" t="s">
        <v>60</v>
      </c>
    </row>
    <row r="2160" spans="1:24" x14ac:dyDescent="0.25">
      <c r="A2160" s="1" t="str">
        <f t="shared" si="633"/>
        <v>卡卡杜-凤凰仓</v>
      </c>
      <c r="B2160" s="1" t="str">
        <f>"CK2024102871"</f>
        <v>CK2024102871</v>
      </c>
      <c r="C2160" s="1" t="str">
        <f>"DD2024102819477"</f>
        <v>DD2024102819477</v>
      </c>
      <c r="D2160" s="1" t="str">
        <f>"CK202410289164"</f>
        <v>CK202410289164</v>
      </c>
      <c r="E2160" s="1" t="str">
        <f>"3723606929183737089"</f>
        <v>3723606929183737089</v>
      </c>
      <c r="F2160" s="1" t="str">
        <f t="shared" si="634"/>
        <v>花都四部-凤凰仓</v>
      </c>
      <c r="G2160" s="1" t="str">
        <f t="shared" ref="G2160:G2166" si="642">"卡卡杜企业店（视频号）"</f>
        <v>卡卡杜企业店（视频号）</v>
      </c>
      <c r="H2160" s="1" t="str">
        <f t="shared" si="635"/>
        <v>正常订单</v>
      </c>
      <c r="I2160" s="1" t="str">
        <f t="shared" si="636"/>
        <v>已发货</v>
      </c>
      <c r="J2160" s="1" t="str">
        <f t="shared" si="641"/>
        <v>3</v>
      </c>
      <c r="K2160" s="1">
        <v>3</v>
      </c>
      <c r="L2160" s="1" t="s">
        <v>30</v>
      </c>
      <c r="M2160" s="1" t="str">
        <f>"山东省 菏泽市 牡丹区 "</f>
        <v xml:space="preserve">山东省 菏泽市 牡丹区 </v>
      </c>
      <c r="N2160" s="1" t="str">
        <f t="shared" ref="N2160:N2166" si="643">"凡华云仓-城南圆通-微信视频号"</f>
        <v>凡华云仓-城南圆通-微信视频号</v>
      </c>
      <c r="O2160" s="5" t="s">
        <v>2196</v>
      </c>
      <c r="P2160" s="6">
        <v>0.34</v>
      </c>
      <c r="Q2160" s="11">
        <v>2.2999999999999998</v>
      </c>
      <c r="R2160" s="11"/>
      <c r="S2160" s="11"/>
      <c r="T2160" s="11"/>
      <c r="U2160" s="11">
        <f t="shared" si="632"/>
        <v>2.2999999999999998</v>
      </c>
      <c r="W2160">
        <v>2.5</v>
      </c>
      <c r="X2160" s="1" t="s">
        <v>30</v>
      </c>
    </row>
    <row r="2161" spans="1:24" x14ac:dyDescent="0.25">
      <c r="A2161" s="1" t="str">
        <f t="shared" si="633"/>
        <v>卡卡杜-凤凰仓</v>
      </c>
      <c r="B2161" s="1" t="str">
        <f>"CK2024102870"</f>
        <v>CK2024102870</v>
      </c>
      <c r="C2161" s="1" t="str">
        <f>"DD2024102819476"</f>
        <v>DD2024102819476</v>
      </c>
      <c r="D2161" s="1" t="str">
        <f>"CK202410289163"</f>
        <v>CK202410289163</v>
      </c>
      <c r="E2161" s="1" t="str">
        <f>"2430102490257002"</f>
        <v>2430102490257002</v>
      </c>
      <c r="F2161" s="1" t="str">
        <f t="shared" si="634"/>
        <v>花都四部-凤凰仓</v>
      </c>
      <c r="G2161" s="1" t="str">
        <f>"卡卡杜佳旺专卖店（快手店）"</f>
        <v>卡卡杜佳旺专卖店（快手店）</v>
      </c>
      <c r="H2161" s="1" t="str">
        <f t="shared" si="635"/>
        <v>正常订单</v>
      </c>
      <c r="I2161" s="1" t="str">
        <f t="shared" si="636"/>
        <v>已发货</v>
      </c>
      <c r="J2161" s="1" t="str">
        <f t="shared" si="641"/>
        <v>3</v>
      </c>
      <c r="K2161" s="1">
        <v>2</v>
      </c>
      <c r="L2161" s="1" t="s">
        <v>161</v>
      </c>
      <c r="M2161" s="1" t="str">
        <f>"四川省 成都市 郫都区 合作街道"</f>
        <v>四川省 成都市 郫都区 合作街道</v>
      </c>
      <c r="N2161" s="1" t="str">
        <f>"凡华云仓-城南圆通-快手"</f>
        <v>凡华云仓-城南圆通-快手</v>
      </c>
      <c r="O2161" s="5" t="s">
        <v>2197</v>
      </c>
      <c r="P2161" s="6">
        <v>0.35</v>
      </c>
      <c r="Q2161" s="11">
        <v>2.2999999999999998</v>
      </c>
      <c r="R2161" s="11"/>
      <c r="S2161" s="11"/>
      <c r="T2161" s="11"/>
      <c r="U2161" s="11">
        <f t="shared" si="632"/>
        <v>2.2999999999999998</v>
      </c>
      <c r="W2161">
        <v>2.5</v>
      </c>
      <c r="X2161" s="1" t="s">
        <v>161</v>
      </c>
    </row>
    <row r="2162" spans="1:24" x14ac:dyDescent="0.25">
      <c r="A2162" s="1" t="str">
        <f t="shared" si="633"/>
        <v>卡卡杜-凤凰仓</v>
      </c>
      <c r="B2162" s="1" t="str">
        <f>"CK2024102869"</f>
        <v>CK2024102869</v>
      </c>
      <c r="C2162" s="1" t="str">
        <f>"DD2024102819475"</f>
        <v>DD2024102819475</v>
      </c>
      <c r="D2162" s="1" t="str">
        <f>"CK202410289162"</f>
        <v>CK202410289162</v>
      </c>
      <c r="E2162" s="1" t="str">
        <f>"3723606944991544576"</f>
        <v>3723606944991544576</v>
      </c>
      <c r="F2162" s="1" t="str">
        <f t="shared" si="634"/>
        <v>花都四部-凤凰仓</v>
      </c>
      <c r="G2162" s="1" t="str">
        <f t="shared" si="642"/>
        <v>卡卡杜企业店（视频号）</v>
      </c>
      <c r="H2162" s="1" t="str">
        <f t="shared" si="635"/>
        <v>正常订单</v>
      </c>
      <c r="I2162" s="1" t="str">
        <f t="shared" si="636"/>
        <v>已发货</v>
      </c>
      <c r="J2162" s="1" t="str">
        <f t="shared" si="641"/>
        <v>3</v>
      </c>
      <c r="K2162" s="1">
        <v>3</v>
      </c>
      <c r="L2162" s="1" t="s">
        <v>66</v>
      </c>
      <c r="M2162" s="1" t="str">
        <f>"内蒙古自治区 呼伦贝尔市 海拉尔区 "</f>
        <v xml:space="preserve">内蒙古自治区 呼伦贝尔市 海拉尔区 </v>
      </c>
      <c r="N2162" s="1" t="str">
        <f t="shared" si="643"/>
        <v>凡华云仓-城南圆通-微信视频号</v>
      </c>
      <c r="O2162" s="5" t="s">
        <v>2198</v>
      </c>
      <c r="P2162" s="6">
        <v>0.34</v>
      </c>
      <c r="Q2162" s="11">
        <v>2.2999999999999998</v>
      </c>
      <c r="R2162" s="11"/>
      <c r="S2162" s="11"/>
      <c r="T2162" s="11"/>
      <c r="U2162" s="11">
        <f t="shared" si="632"/>
        <v>2.2999999999999998</v>
      </c>
      <c r="W2162">
        <v>2.5</v>
      </c>
      <c r="X2162" s="1" t="s">
        <v>66</v>
      </c>
    </row>
    <row r="2163" spans="1:24" x14ac:dyDescent="0.25">
      <c r="A2163" s="1" t="str">
        <f t="shared" si="633"/>
        <v>卡卡杜-凤凰仓</v>
      </c>
      <c r="B2163" s="1" t="str">
        <f>"CK2024102867"</f>
        <v>CK2024102867</v>
      </c>
      <c r="C2163" s="1" t="str">
        <f>"DD2024102819474"</f>
        <v>DD2024102819474</v>
      </c>
      <c r="D2163" s="1" t="str">
        <f>"CK202410289161"</f>
        <v>CK202410289161</v>
      </c>
      <c r="E2163" s="1" t="str">
        <f>"3723606946367538688"</f>
        <v>3723606946367538688</v>
      </c>
      <c r="F2163" s="1" t="str">
        <f t="shared" si="634"/>
        <v>花都四部-凤凰仓</v>
      </c>
      <c r="G2163" s="1" t="str">
        <f t="shared" si="642"/>
        <v>卡卡杜企业店（视频号）</v>
      </c>
      <c r="H2163" s="1" t="str">
        <f t="shared" si="635"/>
        <v>正常订单</v>
      </c>
      <c r="I2163" s="1" t="str">
        <f t="shared" si="636"/>
        <v>已发货</v>
      </c>
      <c r="J2163" s="1" t="str">
        <f t="shared" si="641"/>
        <v>3</v>
      </c>
      <c r="K2163" s="1">
        <v>3</v>
      </c>
      <c r="L2163" s="1" t="s">
        <v>24</v>
      </c>
      <c r="M2163" s="1" t="str">
        <f>"福建省 漳州市 芗城区 "</f>
        <v xml:space="preserve">福建省 漳州市 芗城区 </v>
      </c>
      <c r="N2163" s="1" t="str">
        <f t="shared" si="643"/>
        <v>凡华云仓-城南圆通-微信视频号</v>
      </c>
      <c r="O2163" s="5" t="s">
        <v>2199</v>
      </c>
      <c r="P2163" s="6">
        <v>0.34</v>
      </c>
      <c r="Q2163" s="11">
        <v>2.2999999999999998</v>
      </c>
      <c r="R2163" s="11"/>
      <c r="S2163" s="11"/>
      <c r="T2163" s="11"/>
      <c r="U2163" s="11">
        <f t="shared" si="632"/>
        <v>2.2999999999999998</v>
      </c>
      <c r="W2163">
        <v>2.5</v>
      </c>
      <c r="X2163" s="1" t="s">
        <v>24</v>
      </c>
    </row>
    <row r="2164" spans="1:24" x14ac:dyDescent="0.25">
      <c r="A2164" s="1" t="str">
        <f t="shared" si="633"/>
        <v>卡卡杜-凤凰仓</v>
      </c>
      <c r="B2164" s="1" t="str">
        <f>"CK2024102868"</f>
        <v>CK2024102868</v>
      </c>
      <c r="C2164" s="1" t="str">
        <f>"DD2024102819473"</f>
        <v>DD2024102819473</v>
      </c>
      <c r="D2164" s="1" t="str">
        <f>"CK202410289160"</f>
        <v>CK202410289160</v>
      </c>
      <c r="E2164" s="1" t="str">
        <f>"3723606946295713792"</f>
        <v>3723606946295713792</v>
      </c>
      <c r="F2164" s="1" t="str">
        <f t="shared" si="634"/>
        <v>花都四部-凤凰仓</v>
      </c>
      <c r="G2164" s="1" t="str">
        <f t="shared" si="642"/>
        <v>卡卡杜企业店（视频号）</v>
      </c>
      <c r="H2164" s="1" t="str">
        <f t="shared" si="635"/>
        <v>正常订单</v>
      </c>
      <c r="I2164" s="1" t="str">
        <f t="shared" si="636"/>
        <v>已发货</v>
      </c>
      <c r="J2164" s="1" t="str">
        <f t="shared" si="641"/>
        <v>3</v>
      </c>
      <c r="K2164" s="1">
        <v>3</v>
      </c>
      <c r="L2164" s="1" t="s">
        <v>16</v>
      </c>
      <c r="M2164" s="1" t="str">
        <f>"河北省 沧州市 运河区 "</f>
        <v xml:space="preserve">河北省 沧州市 运河区 </v>
      </c>
      <c r="N2164" s="1" t="str">
        <f t="shared" si="643"/>
        <v>凡华云仓-城南圆通-微信视频号</v>
      </c>
      <c r="O2164" s="5" t="s">
        <v>2200</v>
      </c>
      <c r="P2164" s="6">
        <v>0.34</v>
      </c>
      <c r="Q2164" s="11">
        <v>2.2999999999999998</v>
      </c>
      <c r="R2164" s="11"/>
      <c r="S2164" s="11"/>
      <c r="T2164" s="11"/>
      <c r="U2164" s="11">
        <f t="shared" si="632"/>
        <v>2.2999999999999998</v>
      </c>
      <c r="W2164">
        <v>2.5</v>
      </c>
      <c r="X2164" s="1" t="s">
        <v>16</v>
      </c>
    </row>
    <row r="2165" spans="1:24" x14ac:dyDescent="0.25">
      <c r="A2165" s="1" t="str">
        <f t="shared" si="633"/>
        <v>卡卡杜-凤凰仓</v>
      </c>
      <c r="B2165" s="1" t="str">
        <f>"CK2024102866"</f>
        <v>CK2024102866</v>
      </c>
      <c r="C2165" s="1" t="str">
        <f>"DD2024102819472"</f>
        <v>DD2024102819472</v>
      </c>
      <c r="D2165" s="1" t="str">
        <f>"CK202410289159"</f>
        <v>CK202410289159</v>
      </c>
      <c r="E2165" s="1" t="str">
        <f>"3723607000486118656"</f>
        <v>3723607000486118656</v>
      </c>
      <c r="F2165" s="1" t="str">
        <f t="shared" si="634"/>
        <v>花都四部-凤凰仓</v>
      </c>
      <c r="G2165" s="1" t="str">
        <f t="shared" si="642"/>
        <v>卡卡杜企业店（视频号）</v>
      </c>
      <c r="H2165" s="1" t="str">
        <f t="shared" si="635"/>
        <v>正常订单</v>
      </c>
      <c r="I2165" s="1" t="str">
        <f t="shared" si="636"/>
        <v>已发货</v>
      </c>
      <c r="J2165" s="1" t="str">
        <f t="shared" si="641"/>
        <v>3</v>
      </c>
      <c r="K2165" s="1">
        <v>3</v>
      </c>
      <c r="L2165" s="1" t="s">
        <v>24</v>
      </c>
      <c r="M2165" s="1" t="str">
        <f>"福建省 宁德市 古田县 "</f>
        <v xml:space="preserve">福建省 宁德市 古田县 </v>
      </c>
      <c r="N2165" s="1" t="str">
        <f t="shared" si="643"/>
        <v>凡华云仓-城南圆通-微信视频号</v>
      </c>
      <c r="O2165" s="5" t="s">
        <v>2201</v>
      </c>
      <c r="P2165" s="6">
        <v>0.34</v>
      </c>
      <c r="Q2165" s="11">
        <v>2.2999999999999998</v>
      </c>
      <c r="R2165" s="11"/>
      <c r="S2165" s="11"/>
      <c r="T2165" s="11"/>
      <c r="U2165" s="11">
        <f t="shared" si="632"/>
        <v>2.2999999999999998</v>
      </c>
      <c r="W2165">
        <v>2.5</v>
      </c>
      <c r="X2165" s="1" t="s">
        <v>24</v>
      </c>
    </row>
    <row r="2166" spans="1:24" x14ac:dyDescent="0.25">
      <c r="A2166" s="1" t="str">
        <f t="shared" si="633"/>
        <v>卡卡杜-凤凰仓</v>
      </c>
      <c r="B2166" s="1" t="str">
        <f>"CK2024102865"</f>
        <v>CK2024102865</v>
      </c>
      <c r="C2166" s="1" t="str">
        <f>"DD2024102819471"</f>
        <v>DD2024102819471</v>
      </c>
      <c r="D2166" s="1" t="str">
        <f>"CK202410289158"</f>
        <v>CK202410289158</v>
      </c>
      <c r="E2166" s="1" t="str">
        <f>"3723607005347580928"</f>
        <v>3723607005347580928</v>
      </c>
      <c r="F2166" s="1" t="str">
        <f t="shared" si="634"/>
        <v>花都四部-凤凰仓</v>
      </c>
      <c r="G2166" s="1" t="str">
        <f t="shared" si="642"/>
        <v>卡卡杜企业店（视频号）</v>
      </c>
      <c r="H2166" s="1" t="str">
        <f t="shared" si="635"/>
        <v>正常订单</v>
      </c>
      <c r="I2166" s="1" t="str">
        <f t="shared" si="636"/>
        <v>已发货</v>
      </c>
      <c r="J2166" s="1" t="str">
        <f t="shared" si="641"/>
        <v>3</v>
      </c>
      <c r="K2166" s="1">
        <v>2</v>
      </c>
      <c r="L2166" s="1" t="s">
        <v>109</v>
      </c>
      <c r="M2166" s="1" t="str">
        <f>"山西省 太原市 迎泽区 "</f>
        <v xml:space="preserve">山西省 太原市 迎泽区 </v>
      </c>
      <c r="N2166" s="1" t="str">
        <f t="shared" si="643"/>
        <v>凡华云仓-城南圆通-微信视频号</v>
      </c>
      <c r="O2166" s="5" t="s">
        <v>2202</v>
      </c>
      <c r="P2166" s="6">
        <v>0.24</v>
      </c>
      <c r="Q2166" s="11">
        <v>2</v>
      </c>
      <c r="R2166" s="11"/>
      <c r="S2166" s="11"/>
      <c r="T2166" s="11"/>
      <c r="U2166" s="11">
        <f t="shared" si="632"/>
        <v>2</v>
      </c>
      <c r="W2166">
        <v>2.2000000000000002</v>
      </c>
      <c r="X2166" s="1" t="s">
        <v>109</v>
      </c>
    </row>
    <row r="2167" spans="1:24" x14ac:dyDescent="0.25">
      <c r="A2167" s="1" t="str">
        <f t="shared" si="633"/>
        <v>卡卡杜-凤凰仓</v>
      </c>
      <c r="B2167" s="1" t="str">
        <f>"CK2024102864"</f>
        <v>CK2024102864</v>
      </c>
      <c r="C2167" s="1" t="str">
        <f>"DD2024102819470"</f>
        <v>DD2024102819470</v>
      </c>
      <c r="D2167" s="1" t="str">
        <f>"CK202410289157"</f>
        <v>CK202410289157</v>
      </c>
      <c r="E2167" s="1" t="str">
        <f>"6935568716901455215"</f>
        <v>6935568716901455215</v>
      </c>
      <c r="F2167" s="1" t="str">
        <f t="shared" si="634"/>
        <v>花都四部-凤凰仓</v>
      </c>
      <c r="G2167" s="1" t="str">
        <f>"卡卡杜个人护理店（抖店）"</f>
        <v>卡卡杜个人护理店（抖店）</v>
      </c>
      <c r="H2167" s="1" t="str">
        <f t="shared" si="635"/>
        <v>正常订单</v>
      </c>
      <c r="I2167" s="1" t="str">
        <f t="shared" si="636"/>
        <v>已发货</v>
      </c>
      <c r="J2167" s="1" t="str">
        <f t="shared" si="641"/>
        <v>3</v>
      </c>
      <c r="K2167" s="1">
        <v>2</v>
      </c>
      <c r="L2167" s="1" t="s">
        <v>27</v>
      </c>
      <c r="M2167" s="1" t="str">
        <f>"贵州省 铜仁市 松桃苗族自治县 蓼皋街道"</f>
        <v>贵州省 铜仁市 松桃苗族自治县 蓼皋街道</v>
      </c>
      <c r="N2167" s="1" t="str">
        <f>"凡华云仓-城南圆通-抖音"</f>
        <v>凡华云仓-城南圆通-抖音</v>
      </c>
      <c r="O2167" s="5" t="s">
        <v>2203</v>
      </c>
      <c r="P2167" s="6">
        <v>0.35</v>
      </c>
      <c r="Q2167" s="11">
        <v>2.2999999999999998</v>
      </c>
      <c r="R2167" s="11"/>
      <c r="S2167" s="11"/>
      <c r="T2167" s="11"/>
      <c r="U2167" s="11">
        <f t="shared" si="632"/>
        <v>2.2999999999999998</v>
      </c>
      <c r="W2167">
        <v>2.5</v>
      </c>
      <c r="X2167" s="1" t="s">
        <v>27</v>
      </c>
    </row>
    <row r="2168" spans="1:24" x14ac:dyDescent="0.25">
      <c r="A2168" s="1" t="str">
        <f t="shared" si="633"/>
        <v>卡卡杜-凤凰仓</v>
      </c>
      <c r="B2168" s="1" t="str">
        <f>"CK2024102862"</f>
        <v>CK2024102862</v>
      </c>
      <c r="C2168" s="1" t="str">
        <f>"DD2024102819469"</f>
        <v>DD2024102819469</v>
      </c>
      <c r="D2168" s="1" t="str">
        <f>"CK202410289156"</f>
        <v>CK202410289156</v>
      </c>
      <c r="E2168" s="1" t="str">
        <f>"3723607072488428544"</f>
        <v>3723607072488428544</v>
      </c>
      <c r="F2168" s="1" t="str">
        <f t="shared" si="634"/>
        <v>花都四部-凤凰仓</v>
      </c>
      <c r="G2168" s="1" t="str">
        <f t="shared" ref="G2168:G2174" si="644">"卡卡杜企业店（视频号）"</f>
        <v>卡卡杜企业店（视频号）</v>
      </c>
      <c r="H2168" s="1" t="str">
        <f t="shared" si="635"/>
        <v>正常订单</v>
      </c>
      <c r="I2168" s="1" t="str">
        <f t="shared" si="636"/>
        <v>已发货</v>
      </c>
      <c r="J2168" s="1" t="str">
        <f t="shared" si="641"/>
        <v>3</v>
      </c>
      <c r="K2168" s="1">
        <v>2</v>
      </c>
      <c r="L2168" s="1" t="s">
        <v>105</v>
      </c>
      <c r="M2168" s="1" t="str">
        <f>"北京 北京市 海淀区 "</f>
        <v xml:space="preserve">北京 北京市 海淀区 </v>
      </c>
      <c r="N2168" s="1" t="str">
        <f t="shared" ref="N2168:N2174" si="645">"凡华云仓-城南圆通-微信视频号"</f>
        <v>凡华云仓-城南圆通-微信视频号</v>
      </c>
      <c r="O2168" s="5" t="s">
        <v>2204</v>
      </c>
      <c r="P2168" s="6">
        <v>0.24</v>
      </c>
      <c r="Q2168" s="11">
        <v>2</v>
      </c>
      <c r="R2168" s="11"/>
      <c r="S2168" s="11"/>
      <c r="T2168" s="11"/>
      <c r="U2168" s="11">
        <f t="shared" si="632"/>
        <v>2</v>
      </c>
      <c r="W2168">
        <v>2.2000000000000002</v>
      </c>
      <c r="X2168" s="1" t="s">
        <v>105</v>
      </c>
    </row>
    <row r="2169" spans="1:24" x14ac:dyDescent="0.25">
      <c r="A2169" s="1" t="str">
        <f t="shared" si="633"/>
        <v>卡卡杜-凤凰仓</v>
      </c>
      <c r="B2169" s="1" t="str">
        <f>"CK2024102863"</f>
        <v>CK2024102863</v>
      </c>
      <c r="C2169" s="1" t="str">
        <f>"DD2024102819468"</f>
        <v>DD2024102819468</v>
      </c>
      <c r="D2169" s="1" t="str">
        <f>"CK202410289155"</f>
        <v>CK202410289155</v>
      </c>
      <c r="E2169" s="1" t="str">
        <f>"6935544487854085647"</f>
        <v>6935544487854085647</v>
      </c>
      <c r="F2169" s="1" t="str">
        <f t="shared" si="634"/>
        <v>花都四部-凤凰仓</v>
      </c>
      <c r="G2169" s="1" t="str">
        <f>"卡卡杜个人护理店（抖店）"</f>
        <v>卡卡杜个人护理店（抖店）</v>
      </c>
      <c r="H2169" s="1" t="str">
        <f t="shared" si="635"/>
        <v>正常订单</v>
      </c>
      <c r="I2169" s="1" t="str">
        <f t="shared" si="636"/>
        <v>已发货</v>
      </c>
      <c r="J2169" s="1" t="str">
        <f t="shared" si="641"/>
        <v>3</v>
      </c>
      <c r="K2169" s="1">
        <v>2</v>
      </c>
      <c r="L2169" s="1" t="s">
        <v>60</v>
      </c>
      <c r="M2169" s="1" t="str">
        <f>"云南省 昆明市 盘龙区 龙泉街道"</f>
        <v>云南省 昆明市 盘龙区 龙泉街道</v>
      </c>
      <c r="N2169" s="1" t="str">
        <f>"凡华云仓-城南圆通-抖音"</f>
        <v>凡华云仓-城南圆通-抖音</v>
      </c>
      <c r="O2169" s="5" t="s">
        <v>2205</v>
      </c>
      <c r="P2169" s="6">
        <v>0.35</v>
      </c>
      <c r="Q2169" s="11">
        <v>2.2999999999999998</v>
      </c>
      <c r="R2169" s="11"/>
      <c r="S2169" s="11"/>
      <c r="T2169" s="11"/>
      <c r="U2169" s="11">
        <f t="shared" si="632"/>
        <v>2.2999999999999998</v>
      </c>
      <c r="W2169">
        <v>2.5</v>
      </c>
      <c r="X2169" s="1" t="s">
        <v>60</v>
      </c>
    </row>
    <row r="2170" spans="1:24" x14ac:dyDescent="0.25">
      <c r="A2170" s="1" t="str">
        <f t="shared" si="633"/>
        <v>卡卡杜-凤凰仓</v>
      </c>
      <c r="B2170" s="1" t="str">
        <f>"CK2024102861"</f>
        <v>CK2024102861</v>
      </c>
      <c r="C2170" s="1" t="str">
        <f>"DD2024102819467"</f>
        <v>DD2024102819467</v>
      </c>
      <c r="D2170" s="1" t="str">
        <f>"CK202410289154"</f>
        <v>CK202410289154</v>
      </c>
      <c r="E2170" s="1" t="str">
        <f>"3723607077333632256"</f>
        <v>3723607077333632256</v>
      </c>
      <c r="F2170" s="1" t="str">
        <f t="shared" si="634"/>
        <v>花都四部-凤凰仓</v>
      </c>
      <c r="G2170" s="1" t="str">
        <f t="shared" si="644"/>
        <v>卡卡杜企业店（视频号）</v>
      </c>
      <c r="H2170" s="1" t="str">
        <f t="shared" si="635"/>
        <v>正常订单</v>
      </c>
      <c r="I2170" s="1" t="str">
        <f t="shared" si="636"/>
        <v>已发货</v>
      </c>
      <c r="J2170" s="1" t="str">
        <f t="shared" si="641"/>
        <v>3</v>
      </c>
      <c r="K2170" s="1">
        <v>2</v>
      </c>
      <c r="L2170" s="1" t="s">
        <v>66</v>
      </c>
      <c r="M2170" s="1" t="str">
        <f>"内蒙古自治区 鄂尔多斯市 伊金霍洛旗 "</f>
        <v xml:space="preserve">内蒙古自治区 鄂尔多斯市 伊金霍洛旗 </v>
      </c>
      <c r="N2170" s="1" t="str">
        <f t="shared" si="645"/>
        <v>凡华云仓-城南圆通-微信视频号</v>
      </c>
      <c r="O2170" s="5" t="s">
        <v>2206</v>
      </c>
      <c r="P2170" s="6">
        <v>0.24</v>
      </c>
      <c r="Q2170" s="11">
        <v>2</v>
      </c>
      <c r="R2170" s="11"/>
      <c r="S2170" s="11"/>
      <c r="T2170" s="11"/>
      <c r="U2170" s="11">
        <f t="shared" si="632"/>
        <v>2</v>
      </c>
      <c r="W2170">
        <v>2.2000000000000002</v>
      </c>
      <c r="X2170" s="1" t="s">
        <v>66</v>
      </c>
    </row>
    <row r="2171" spans="1:24" x14ac:dyDescent="0.25">
      <c r="A2171" s="1" t="str">
        <f t="shared" si="633"/>
        <v>卡卡杜-凤凰仓</v>
      </c>
      <c r="B2171" s="1" t="str">
        <f>"CK2024102859"</f>
        <v>CK2024102859</v>
      </c>
      <c r="C2171" s="1" t="str">
        <f>"DD2024102819466"</f>
        <v>DD2024102819466</v>
      </c>
      <c r="D2171" s="1" t="str">
        <f>"CK202410289153"</f>
        <v>CK202410289153</v>
      </c>
      <c r="E2171" s="1" t="str">
        <f>"3723607096532274177"</f>
        <v>3723607096532274177</v>
      </c>
      <c r="F2171" s="1" t="str">
        <f t="shared" si="634"/>
        <v>花都四部-凤凰仓</v>
      </c>
      <c r="G2171" s="1" t="str">
        <f t="shared" si="644"/>
        <v>卡卡杜企业店（视频号）</v>
      </c>
      <c r="H2171" s="1" t="str">
        <f t="shared" si="635"/>
        <v>正常订单</v>
      </c>
      <c r="I2171" s="1" t="str">
        <f t="shared" si="636"/>
        <v>已发货</v>
      </c>
      <c r="J2171" s="1" t="str">
        <f t="shared" si="641"/>
        <v>3</v>
      </c>
      <c r="K2171" s="1">
        <v>2</v>
      </c>
      <c r="L2171" s="1" t="s">
        <v>182</v>
      </c>
      <c r="M2171" s="1" t="str">
        <f>"新疆维吾尔自治区 自治区直辖县级行政区划 五家渠市 "</f>
        <v xml:space="preserve">新疆维吾尔自治区 自治区直辖县级行政区划 五家渠市 </v>
      </c>
      <c r="N2171" s="1" t="str">
        <f t="shared" si="645"/>
        <v>凡华云仓-城南圆通-微信视频号</v>
      </c>
      <c r="O2171" s="5" t="s">
        <v>2207</v>
      </c>
      <c r="P2171" s="6">
        <v>0.24</v>
      </c>
      <c r="Q2171" s="11">
        <v>17</v>
      </c>
      <c r="R2171" s="11"/>
      <c r="S2171" s="11"/>
      <c r="T2171" s="11"/>
      <c r="U2171" s="11">
        <f t="shared" si="632"/>
        <v>17</v>
      </c>
      <c r="W2171">
        <v>17</v>
      </c>
      <c r="X2171" s="1" t="s">
        <v>182</v>
      </c>
    </row>
    <row r="2172" spans="1:24" x14ac:dyDescent="0.25">
      <c r="A2172" s="1" t="str">
        <f t="shared" si="633"/>
        <v>卡卡杜-凤凰仓</v>
      </c>
      <c r="B2172" s="1" t="str">
        <f>"CK2024102860"</f>
        <v>CK2024102860</v>
      </c>
      <c r="C2172" s="1" t="str">
        <f>"DD2024102819465"</f>
        <v>DD2024102819465</v>
      </c>
      <c r="D2172" s="1" t="str">
        <f>"CK202410289152"</f>
        <v>CK202410289152</v>
      </c>
      <c r="E2172" s="1" t="str">
        <f>"3723607080423264256"</f>
        <v>3723607080423264256</v>
      </c>
      <c r="F2172" s="1" t="str">
        <f t="shared" si="634"/>
        <v>花都四部-凤凰仓</v>
      </c>
      <c r="G2172" s="1" t="str">
        <f t="shared" si="644"/>
        <v>卡卡杜企业店（视频号）</v>
      </c>
      <c r="H2172" s="1" t="str">
        <f t="shared" si="635"/>
        <v>正常订单</v>
      </c>
      <c r="I2172" s="1" t="str">
        <f t="shared" si="636"/>
        <v>已发货</v>
      </c>
      <c r="J2172" s="1" t="str">
        <f t="shared" si="641"/>
        <v>3</v>
      </c>
      <c r="K2172" s="1">
        <v>2</v>
      </c>
      <c r="L2172" s="1" t="s">
        <v>16</v>
      </c>
      <c r="M2172" s="1" t="str">
        <f>"河北省 廊坊市 安次区 "</f>
        <v xml:space="preserve">河北省 廊坊市 安次区 </v>
      </c>
      <c r="N2172" s="1" t="str">
        <f t="shared" si="645"/>
        <v>凡华云仓-城南圆通-微信视频号</v>
      </c>
      <c r="O2172" s="5" t="s">
        <v>2208</v>
      </c>
      <c r="P2172" s="6">
        <v>0.24</v>
      </c>
      <c r="Q2172" s="11">
        <v>2</v>
      </c>
      <c r="R2172" s="11"/>
      <c r="S2172" s="11"/>
      <c r="T2172" s="11"/>
      <c r="U2172" s="11">
        <f t="shared" si="632"/>
        <v>2</v>
      </c>
      <c r="W2172">
        <v>2.2000000000000002</v>
      </c>
      <c r="X2172" s="1" t="s">
        <v>16</v>
      </c>
    </row>
    <row r="2173" spans="1:24" x14ac:dyDescent="0.25">
      <c r="A2173" s="1" t="str">
        <f t="shared" si="633"/>
        <v>卡卡杜-凤凰仓</v>
      </c>
      <c r="B2173" s="1" t="str">
        <f>"CK2024102858"</f>
        <v>CK2024102858</v>
      </c>
      <c r="C2173" s="1" t="str">
        <f>"DD2024102819464"</f>
        <v>DD2024102819464</v>
      </c>
      <c r="D2173" s="1" t="str">
        <f>"CK202410289151"</f>
        <v>CK202410289151</v>
      </c>
      <c r="E2173" s="1" t="str">
        <f>"3723607100003323905"</f>
        <v>3723607100003323905</v>
      </c>
      <c r="F2173" s="1" t="str">
        <f t="shared" si="634"/>
        <v>花都四部-凤凰仓</v>
      </c>
      <c r="G2173" s="1" t="str">
        <f t="shared" si="644"/>
        <v>卡卡杜企业店（视频号）</v>
      </c>
      <c r="H2173" s="1" t="str">
        <f t="shared" si="635"/>
        <v>正常订单</v>
      </c>
      <c r="I2173" s="1" t="str">
        <f t="shared" si="636"/>
        <v>已发货</v>
      </c>
      <c r="J2173" s="1" t="str">
        <f t="shared" si="641"/>
        <v>3</v>
      </c>
      <c r="K2173" s="1">
        <v>2</v>
      </c>
      <c r="L2173" s="1" t="s">
        <v>36</v>
      </c>
      <c r="M2173" s="1" t="str">
        <f>"安徽省 芜湖市 镜湖区 "</f>
        <v xml:space="preserve">安徽省 芜湖市 镜湖区 </v>
      </c>
      <c r="N2173" s="1" t="str">
        <f t="shared" si="645"/>
        <v>凡华云仓-城南圆通-微信视频号</v>
      </c>
      <c r="O2173" s="5" t="s">
        <v>2209</v>
      </c>
      <c r="P2173" s="6">
        <v>0.24</v>
      </c>
      <c r="Q2173" s="11">
        <v>2</v>
      </c>
      <c r="R2173" s="11"/>
      <c r="S2173" s="11"/>
      <c r="T2173" s="11"/>
      <c r="U2173" s="11">
        <f t="shared" si="632"/>
        <v>2</v>
      </c>
      <c r="W2173">
        <v>2.2000000000000002</v>
      </c>
      <c r="X2173" s="1" t="s">
        <v>36</v>
      </c>
    </row>
    <row r="2174" spans="1:24" x14ac:dyDescent="0.25">
      <c r="A2174" s="1" t="str">
        <f t="shared" si="633"/>
        <v>卡卡杜-凤凰仓</v>
      </c>
      <c r="B2174" s="1" t="str">
        <f>"CK2024102857"</f>
        <v>CK2024102857</v>
      </c>
      <c r="C2174" s="1" t="str">
        <f>"DD2024102819463"</f>
        <v>DD2024102819463</v>
      </c>
      <c r="D2174" s="1" t="str">
        <f>"CK202410289150"</f>
        <v>CK202410289150</v>
      </c>
      <c r="E2174" s="1" t="str">
        <f>"3723607109560570880"</f>
        <v>3723607109560570880</v>
      </c>
      <c r="F2174" s="1" t="str">
        <f t="shared" si="634"/>
        <v>花都四部-凤凰仓</v>
      </c>
      <c r="G2174" s="1" t="str">
        <f t="shared" si="644"/>
        <v>卡卡杜企业店（视频号）</v>
      </c>
      <c r="H2174" s="1" t="str">
        <f t="shared" si="635"/>
        <v>正常订单</v>
      </c>
      <c r="I2174" s="1" t="str">
        <f t="shared" si="636"/>
        <v>已发货</v>
      </c>
      <c r="J2174" s="1" t="str">
        <f t="shared" si="641"/>
        <v>3</v>
      </c>
      <c r="K2174" s="1">
        <v>2</v>
      </c>
      <c r="L2174" s="1" t="s">
        <v>13</v>
      </c>
      <c r="M2174" s="1" t="str">
        <f>"江苏省 苏州市 吴中区 "</f>
        <v xml:space="preserve">江苏省 苏州市 吴中区 </v>
      </c>
      <c r="N2174" s="1" t="str">
        <f t="shared" si="645"/>
        <v>凡华云仓-城南圆通-微信视频号</v>
      </c>
      <c r="O2174" s="5" t="s">
        <v>2210</v>
      </c>
      <c r="P2174" s="6">
        <v>0.24</v>
      </c>
      <c r="Q2174" s="11">
        <v>2</v>
      </c>
      <c r="R2174" s="11"/>
      <c r="S2174" s="11"/>
      <c r="T2174" s="11"/>
      <c r="U2174" s="11">
        <f t="shared" si="632"/>
        <v>2</v>
      </c>
      <c r="W2174">
        <v>2.2000000000000002</v>
      </c>
      <c r="X2174" s="1" t="s">
        <v>13</v>
      </c>
    </row>
    <row r="2175" spans="1:24" x14ac:dyDescent="0.25">
      <c r="A2175" s="1" t="str">
        <f t="shared" si="633"/>
        <v>卡卡杜-凤凰仓</v>
      </c>
      <c r="B2175" s="1" t="str">
        <f>"CK2024102856"</f>
        <v>CK2024102856</v>
      </c>
      <c r="C2175" s="1" t="str">
        <f>"DD2024102819462"</f>
        <v>DD2024102819462</v>
      </c>
      <c r="D2175" s="1" t="str">
        <f>"CK202410289149"</f>
        <v>CK202410289149</v>
      </c>
      <c r="E2175" s="1" t="str">
        <f>"6935572995485210093"</f>
        <v>6935572995485210093</v>
      </c>
      <c r="F2175" s="1" t="str">
        <f t="shared" si="634"/>
        <v>花都四部-凤凰仓</v>
      </c>
      <c r="G2175" s="1" t="str">
        <f>"卡卡杜个人护理店（抖店）"</f>
        <v>卡卡杜个人护理店（抖店）</v>
      </c>
      <c r="H2175" s="1" t="str">
        <f t="shared" si="635"/>
        <v>正常订单</v>
      </c>
      <c r="I2175" s="1" t="str">
        <f t="shared" si="636"/>
        <v>已发货</v>
      </c>
      <c r="J2175" s="1" t="str">
        <f t="shared" si="641"/>
        <v>3</v>
      </c>
      <c r="K2175" s="1">
        <v>2</v>
      </c>
      <c r="L2175" s="1" t="s">
        <v>41</v>
      </c>
      <c r="M2175" s="1" t="str">
        <f>"湖北省 随州市 曾都区 "</f>
        <v xml:space="preserve">湖北省 随州市 曾都区 </v>
      </c>
      <c r="N2175" s="1" t="str">
        <f>"凡华云仓-城南圆通-抖音"</f>
        <v>凡华云仓-城南圆通-抖音</v>
      </c>
      <c r="O2175" s="5" t="s">
        <v>2211</v>
      </c>
      <c r="P2175" s="6">
        <v>0.35</v>
      </c>
      <c r="Q2175" s="11">
        <v>2.2999999999999998</v>
      </c>
      <c r="R2175" s="11"/>
      <c r="S2175" s="11"/>
      <c r="T2175" s="11"/>
      <c r="U2175" s="11">
        <f t="shared" si="632"/>
        <v>2.2999999999999998</v>
      </c>
      <c r="W2175">
        <v>2.5</v>
      </c>
      <c r="X2175" s="1" t="s">
        <v>41</v>
      </c>
    </row>
    <row r="2176" spans="1:24" x14ac:dyDescent="0.25">
      <c r="A2176" s="1" t="str">
        <f t="shared" si="633"/>
        <v>卡卡杜-凤凰仓</v>
      </c>
      <c r="B2176" s="1" t="str">
        <f>"CK2024102855"</f>
        <v>CK2024102855</v>
      </c>
      <c r="C2176" s="1" t="str">
        <f>"DD2024102819461"</f>
        <v>DD2024102819461</v>
      </c>
      <c r="D2176" s="1" t="str">
        <f>"CK202410289148"</f>
        <v>CK202410289148</v>
      </c>
      <c r="E2176" s="1" t="str">
        <f>"3723607130196022272"</f>
        <v>3723607130196022272</v>
      </c>
      <c r="F2176" s="1" t="str">
        <f t="shared" si="634"/>
        <v>花都四部-凤凰仓</v>
      </c>
      <c r="G2176" s="1" t="str">
        <f t="shared" ref="G2176:G2189" si="646">"卡卡杜企业店（视频号）"</f>
        <v>卡卡杜企业店（视频号）</v>
      </c>
      <c r="H2176" s="1" t="str">
        <f t="shared" si="635"/>
        <v>正常订单</v>
      </c>
      <c r="I2176" s="1" t="str">
        <f t="shared" si="636"/>
        <v>已发货</v>
      </c>
      <c r="J2176" s="1" t="str">
        <f t="shared" si="641"/>
        <v>3</v>
      </c>
      <c r="K2176" s="1">
        <v>2</v>
      </c>
      <c r="L2176" s="1" t="s">
        <v>52</v>
      </c>
      <c r="M2176" s="1" t="str">
        <f>"甘肃省 天水市 麦积区 "</f>
        <v xml:space="preserve">甘肃省 天水市 麦积区 </v>
      </c>
      <c r="N2176" s="1" t="str">
        <f t="shared" ref="N2176:N2189" si="647">"凡华云仓-城南圆通-微信视频号"</f>
        <v>凡华云仓-城南圆通-微信视频号</v>
      </c>
      <c r="O2176" s="5" t="s">
        <v>2212</v>
      </c>
      <c r="P2176" s="6">
        <v>0.24</v>
      </c>
      <c r="Q2176" s="11">
        <v>2</v>
      </c>
      <c r="R2176" s="11"/>
      <c r="S2176" s="11"/>
      <c r="T2176" s="11"/>
      <c r="U2176" s="11">
        <f t="shared" si="632"/>
        <v>2</v>
      </c>
      <c r="W2176">
        <v>2.2000000000000002</v>
      </c>
      <c r="X2176" s="1" t="s">
        <v>52</v>
      </c>
    </row>
    <row r="2177" spans="1:24" x14ac:dyDescent="0.25">
      <c r="A2177" s="1" t="str">
        <f t="shared" si="633"/>
        <v>卡卡杜-凤凰仓</v>
      </c>
      <c r="B2177" s="1" t="str">
        <f>"CK2024102854"</f>
        <v>CK2024102854</v>
      </c>
      <c r="C2177" s="1" t="str">
        <f>"DD2024102819460"</f>
        <v>DD2024102819460</v>
      </c>
      <c r="D2177" s="1" t="str">
        <f>"CK202410289147"</f>
        <v>CK202410289147</v>
      </c>
      <c r="E2177" s="1" t="str">
        <f>"3723607137571703808"</f>
        <v>3723607137571703808</v>
      </c>
      <c r="F2177" s="1" t="str">
        <f t="shared" si="634"/>
        <v>花都四部-凤凰仓</v>
      </c>
      <c r="G2177" s="1" t="str">
        <f t="shared" si="646"/>
        <v>卡卡杜企业店（视频号）</v>
      </c>
      <c r="H2177" s="1" t="str">
        <f t="shared" si="635"/>
        <v>正常订单</v>
      </c>
      <c r="I2177" s="1" t="str">
        <f t="shared" si="636"/>
        <v>已发货</v>
      </c>
      <c r="J2177" s="1" t="str">
        <f t="shared" si="641"/>
        <v>3</v>
      </c>
      <c r="K2177" s="1">
        <v>2</v>
      </c>
      <c r="L2177" s="1" t="s">
        <v>105</v>
      </c>
      <c r="M2177" s="1" t="str">
        <f>"北京 北京市 海淀区 "</f>
        <v xml:space="preserve">北京 北京市 海淀区 </v>
      </c>
      <c r="N2177" s="1" t="str">
        <f t="shared" si="647"/>
        <v>凡华云仓-城南圆通-微信视频号</v>
      </c>
      <c r="O2177" s="5" t="s">
        <v>2213</v>
      </c>
      <c r="P2177" s="6">
        <v>0.24</v>
      </c>
      <c r="Q2177" s="11">
        <v>2</v>
      </c>
      <c r="R2177" s="11"/>
      <c r="S2177" s="11"/>
      <c r="T2177" s="11"/>
      <c r="U2177" s="11">
        <f t="shared" si="632"/>
        <v>2</v>
      </c>
      <c r="W2177">
        <v>2.2000000000000002</v>
      </c>
      <c r="X2177" s="1" t="s">
        <v>105</v>
      </c>
    </row>
    <row r="2178" spans="1:24" x14ac:dyDescent="0.25">
      <c r="A2178" s="1" t="str">
        <f t="shared" si="633"/>
        <v>卡卡杜-凤凰仓</v>
      </c>
      <c r="B2178" s="1" t="str">
        <f>"CK2024102853"</f>
        <v>CK2024102853</v>
      </c>
      <c r="C2178" s="1" t="str">
        <f>"DD2024102819459"</f>
        <v>DD2024102819459</v>
      </c>
      <c r="D2178" s="1" t="str">
        <f>"CK202410289146"</f>
        <v>CK202410289146</v>
      </c>
      <c r="E2178" s="1" t="str">
        <f>"3723607146900620800"</f>
        <v>3723607146900620800</v>
      </c>
      <c r="F2178" s="1" t="str">
        <f t="shared" si="634"/>
        <v>花都四部-凤凰仓</v>
      </c>
      <c r="G2178" s="1" t="str">
        <f t="shared" si="646"/>
        <v>卡卡杜企业店（视频号）</v>
      </c>
      <c r="H2178" s="1" t="str">
        <f t="shared" si="635"/>
        <v>正常订单</v>
      </c>
      <c r="I2178" s="1" t="str">
        <f t="shared" si="636"/>
        <v>已发货</v>
      </c>
      <c r="J2178" s="1" t="str">
        <f t="shared" si="641"/>
        <v>3</v>
      </c>
      <c r="K2178" s="1">
        <v>2</v>
      </c>
      <c r="L2178" s="1" t="s">
        <v>52</v>
      </c>
      <c r="M2178" s="1" t="str">
        <f>"甘肃省 兰州市 七里河区 "</f>
        <v xml:space="preserve">甘肃省 兰州市 七里河区 </v>
      </c>
      <c r="N2178" s="1" t="str">
        <f t="shared" si="647"/>
        <v>凡华云仓-城南圆通-微信视频号</v>
      </c>
      <c r="O2178" s="5" t="s">
        <v>2214</v>
      </c>
      <c r="P2178" s="6">
        <v>0.24</v>
      </c>
      <c r="Q2178" s="11">
        <v>2</v>
      </c>
      <c r="R2178" s="11"/>
      <c r="S2178" s="11"/>
      <c r="T2178" s="11"/>
      <c r="U2178" s="11">
        <f t="shared" si="632"/>
        <v>2</v>
      </c>
      <c r="W2178">
        <v>2.2000000000000002</v>
      </c>
      <c r="X2178" s="1" t="s">
        <v>52</v>
      </c>
    </row>
    <row r="2179" spans="1:24" x14ac:dyDescent="0.25">
      <c r="A2179" s="1" t="str">
        <f t="shared" si="633"/>
        <v>卡卡杜-凤凰仓</v>
      </c>
      <c r="B2179" s="1" t="str">
        <f>"CK2024102852"</f>
        <v>CK2024102852</v>
      </c>
      <c r="C2179" s="1" t="str">
        <f>"DD2024102819458"</f>
        <v>DD2024102819458</v>
      </c>
      <c r="D2179" s="1" t="str">
        <f>"CK202410289145"</f>
        <v>CK202410289145</v>
      </c>
      <c r="E2179" s="1" t="str">
        <f>"3723607153204921600"</f>
        <v>3723607153204921600</v>
      </c>
      <c r="F2179" s="1" t="str">
        <f t="shared" si="634"/>
        <v>花都四部-凤凰仓</v>
      </c>
      <c r="G2179" s="1" t="str">
        <f t="shared" si="646"/>
        <v>卡卡杜企业店（视频号）</v>
      </c>
      <c r="H2179" s="1" t="str">
        <f t="shared" si="635"/>
        <v>正常订单</v>
      </c>
      <c r="I2179" s="1" t="str">
        <f t="shared" si="636"/>
        <v>已发货</v>
      </c>
      <c r="J2179" s="1" t="str">
        <f t="shared" si="641"/>
        <v>3</v>
      </c>
      <c r="K2179" s="1">
        <v>2</v>
      </c>
      <c r="L2179" s="1" t="s">
        <v>24</v>
      </c>
      <c r="M2179" s="1" t="str">
        <f>"福建省 漳州市 龙海区 "</f>
        <v xml:space="preserve">福建省 漳州市 龙海区 </v>
      </c>
      <c r="N2179" s="1" t="str">
        <f t="shared" si="647"/>
        <v>凡华云仓-城南圆通-微信视频号</v>
      </c>
      <c r="O2179" s="5" t="s">
        <v>2215</v>
      </c>
      <c r="P2179" s="6">
        <v>0.24</v>
      </c>
      <c r="Q2179" s="11">
        <v>2</v>
      </c>
      <c r="R2179" s="11"/>
      <c r="S2179" s="11"/>
      <c r="T2179" s="11"/>
      <c r="U2179" s="11">
        <f t="shared" ref="U2179:U2242" si="648">T2179+S2179+R2179+Q2179</f>
        <v>2</v>
      </c>
      <c r="W2179">
        <v>2.2000000000000002</v>
      </c>
      <c r="X2179" s="1" t="s">
        <v>24</v>
      </c>
    </row>
    <row r="2180" spans="1:24" x14ac:dyDescent="0.25">
      <c r="A2180" s="1" t="str">
        <f t="shared" si="633"/>
        <v>卡卡杜-凤凰仓</v>
      </c>
      <c r="B2180" s="1" t="str">
        <f>"CK2024102851"</f>
        <v>CK2024102851</v>
      </c>
      <c r="C2180" s="1" t="str">
        <f>"DD2024102819457"</f>
        <v>DD2024102819457</v>
      </c>
      <c r="D2180" s="1" t="str">
        <f>"CK202410289144"</f>
        <v>CK202410289144</v>
      </c>
      <c r="E2180" s="1" t="str">
        <f>"3723607540812615680"</f>
        <v>3723607540812615680</v>
      </c>
      <c r="F2180" s="1" t="str">
        <f t="shared" si="634"/>
        <v>花都四部-凤凰仓</v>
      </c>
      <c r="G2180" s="1" t="str">
        <f t="shared" si="646"/>
        <v>卡卡杜企业店（视频号）</v>
      </c>
      <c r="H2180" s="1" t="str">
        <f t="shared" si="635"/>
        <v>正常订单</v>
      </c>
      <c r="I2180" s="1" t="str">
        <f t="shared" si="636"/>
        <v>已发货</v>
      </c>
      <c r="J2180" s="1" t="str">
        <f t="shared" si="641"/>
        <v>3</v>
      </c>
      <c r="K2180" s="1">
        <v>3</v>
      </c>
      <c r="L2180" s="1" t="s">
        <v>74</v>
      </c>
      <c r="M2180" s="1" t="str">
        <f>"上海 上海市 虹口区 "</f>
        <v xml:space="preserve">上海 上海市 虹口区 </v>
      </c>
      <c r="N2180" s="1" t="str">
        <f t="shared" si="647"/>
        <v>凡华云仓-城南圆通-微信视频号</v>
      </c>
      <c r="O2180" s="5" t="s">
        <v>2216</v>
      </c>
      <c r="P2180" s="6">
        <v>0.34</v>
      </c>
      <c r="Q2180" s="11">
        <v>2.2999999999999998</v>
      </c>
      <c r="R2180" s="11"/>
      <c r="S2180" s="11"/>
      <c r="T2180" s="11"/>
      <c r="U2180" s="11">
        <f t="shared" si="648"/>
        <v>2.2999999999999998</v>
      </c>
      <c r="W2180">
        <v>2.5</v>
      </c>
      <c r="X2180" s="1" t="s">
        <v>74</v>
      </c>
    </row>
    <row r="2181" spans="1:24" x14ac:dyDescent="0.25">
      <c r="A2181" s="1" t="str">
        <f t="shared" ref="A2181:A2244" si="649">"卡卡杜-凤凰仓"</f>
        <v>卡卡杜-凤凰仓</v>
      </c>
      <c r="B2181" s="1" t="str">
        <f>"CK2024102850"</f>
        <v>CK2024102850</v>
      </c>
      <c r="C2181" s="1" t="str">
        <f>"DD2024102819456"</f>
        <v>DD2024102819456</v>
      </c>
      <c r="D2181" s="1" t="str">
        <f>"CK202410289143"</f>
        <v>CK202410289143</v>
      </c>
      <c r="E2181" s="1" t="str">
        <f>"3723607540039553024"</f>
        <v>3723607540039553024</v>
      </c>
      <c r="F2181" s="1" t="str">
        <f t="shared" ref="F2181:F2244" si="650">"花都四部-凤凰仓"</f>
        <v>花都四部-凤凰仓</v>
      </c>
      <c r="G2181" s="1" t="str">
        <f t="shared" si="646"/>
        <v>卡卡杜企业店（视频号）</v>
      </c>
      <c r="H2181" s="1" t="str">
        <f t="shared" ref="H2181:H2244" si="651">"正常订单"</f>
        <v>正常订单</v>
      </c>
      <c r="I2181" s="1" t="str">
        <f t="shared" ref="I2181:I2244" si="652">"已发货"</f>
        <v>已发货</v>
      </c>
      <c r="J2181" s="1" t="str">
        <f t="shared" si="641"/>
        <v>3</v>
      </c>
      <c r="K2181" s="1">
        <v>3</v>
      </c>
      <c r="L2181" s="1" t="s">
        <v>105</v>
      </c>
      <c r="M2181" s="1" t="str">
        <f>"北京 北京市 通州区 "</f>
        <v xml:space="preserve">北京 北京市 通州区 </v>
      </c>
      <c r="N2181" s="1" t="str">
        <f t="shared" si="647"/>
        <v>凡华云仓-城南圆通-微信视频号</v>
      </c>
      <c r="O2181" s="5" t="s">
        <v>2217</v>
      </c>
      <c r="P2181" s="6">
        <v>0.34</v>
      </c>
      <c r="Q2181" s="11">
        <v>2.2999999999999998</v>
      </c>
      <c r="R2181" s="11"/>
      <c r="S2181" s="11"/>
      <c r="T2181" s="11"/>
      <c r="U2181" s="11">
        <f t="shared" si="648"/>
        <v>2.2999999999999998</v>
      </c>
      <c r="W2181">
        <v>2.5</v>
      </c>
      <c r="X2181" s="1" t="s">
        <v>105</v>
      </c>
    </row>
    <row r="2182" spans="1:24" x14ac:dyDescent="0.25">
      <c r="A2182" s="1" t="str">
        <f t="shared" si="649"/>
        <v>卡卡杜-凤凰仓</v>
      </c>
      <c r="B2182" s="1" t="str">
        <f>"CK2024102849"</f>
        <v>CK2024102849</v>
      </c>
      <c r="C2182" s="1" t="str">
        <f>"DD2024102819455"</f>
        <v>DD2024102819455</v>
      </c>
      <c r="D2182" s="1" t="str">
        <f>"CK202410289142"</f>
        <v>CK202410289142</v>
      </c>
      <c r="E2182" s="1" t="str">
        <f>"3723607585415630848"</f>
        <v>3723607585415630848</v>
      </c>
      <c r="F2182" s="1" t="str">
        <f t="shared" si="650"/>
        <v>花都四部-凤凰仓</v>
      </c>
      <c r="G2182" s="1" t="str">
        <f t="shared" si="646"/>
        <v>卡卡杜企业店（视频号）</v>
      </c>
      <c r="H2182" s="1" t="str">
        <f t="shared" si="651"/>
        <v>正常订单</v>
      </c>
      <c r="I2182" s="1" t="str">
        <f t="shared" si="652"/>
        <v>已发货</v>
      </c>
      <c r="J2182" s="1" t="str">
        <f t="shared" si="641"/>
        <v>3</v>
      </c>
      <c r="K2182" s="1">
        <v>3</v>
      </c>
      <c r="L2182" s="1" t="s">
        <v>18</v>
      </c>
      <c r="M2182" s="1" t="str">
        <f>"广东省 广州市 天河区 "</f>
        <v xml:space="preserve">广东省 广州市 天河区 </v>
      </c>
      <c r="N2182" s="1" t="str">
        <f t="shared" si="647"/>
        <v>凡华云仓-城南圆通-微信视频号</v>
      </c>
      <c r="O2182" s="5" t="s">
        <v>2218</v>
      </c>
      <c r="P2182" s="6">
        <v>0.34</v>
      </c>
      <c r="Q2182" s="11">
        <v>2.2999999999999998</v>
      </c>
      <c r="R2182" s="11"/>
      <c r="S2182" s="11"/>
      <c r="T2182" s="11"/>
      <c r="U2182" s="11">
        <f t="shared" si="648"/>
        <v>2.2999999999999998</v>
      </c>
      <c r="W2182">
        <v>2.5</v>
      </c>
      <c r="X2182" s="1" t="s">
        <v>18</v>
      </c>
    </row>
    <row r="2183" spans="1:24" x14ac:dyDescent="0.25">
      <c r="A2183" s="1" t="str">
        <f t="shared" si="649"/>
        <v>卡卡杜-凤凰仓</v>
      </c>
      <c r="B2183" s="1" t="str">
        <f>"CK2024102848"</f>
        <v>CK2024102848</v>
      </c>
      <c r="C2183" s="1" t="str">
        <f>"DD2024102819454"</f>
        <v>DD2024102819454</v>
      </c>
      <c r="D2183" s="1" t="str">
        <f>"CK202410289141"</f>
        <v>CK202410289141</v>
      </c>
      <c r="E2183" s="1" t="str">
        <f>"3723607596315575552"</f>
        <v>3723607596315575552</v>
      </c>
      <c r="F2183" s="1" t="str">
        <f t="shared" si="650"/>
        <v>花都四部-凤凰仓</v>
      </c>
      <c r="G2183" s="1" t="str">
        <f t="shared" si="646"/>
        <v>卡卡杜企业店（视频号）</v>
      </c>
      <c r="H2183" s="1" t="str">
        <f t="shared" si="651"/>
        <v>正常订单</v>
      </c>
      <c r="I2183" s="1" t="str">
        <f t="shared" si="652"/>
        <v>已发货</v>
      </c>
      <c r="J2183" s="1" t="str">
        <f t="shared" si="641"/>
        <v>3</v>
      </c>
      <c r="K2183" s="1">
        <v>2</v>
      </c>
      <c r="L2183" s="1" t="s">
        <v>105</v>
      </c>
      <c r="M2183" s="1" t="str">
        <f>"北京 北京市 朝阳区 "</f>
        <v xml:space="preserve">北京 北京市 朝阳区 </v>
      </c>
      <c r="N2183" s="1" t="str">
        <f t="shared" si="647"/>
        <v>凡华云仓-城南圆通-微信视频号</v>
      </c>
      <c r="O2183" s="5" t="s">
        <v>2219</v>
      </c>
      <c r="P2183" s="6">
        <v>0.24</v>
      </c>
      <c r="Q2183" s="11">
        <v>2</v>
      </c>
      <c r="R2183" s="11"/>
      <c r="S2183" s="11"/>
      <c r="T2183" s="11"/>
      <c r="U2183" s="11">
        <f t="shared" si="648"/>
        <v>2</v>
      </c>
      <c r="W2183">
        <v>2.2000000000000002</v>
      </c>
      <c r="X2183" s="1" t="s">
        <v>105</v>
      </c>
    </row>
    <row r="2184" spans="1:24" x14ac:dyDescent="0.25">
      <c r="A2184" s="1" t="str">
        <f t="shared" si="649"/>
        <v>卡卡杜-凤凰仓</v>
      </c>
      <c r="B2184" s="1" t="str">
        <f>"CK2024102847"</f>
        <v>CK2024102847</v>
      </c>
      <c r="C2184" s="1" t="str">
        <f>"DD2024102819453"</f>
        <v>DD2024102819453</v>
      </c>
      <c r="D2184" s="1" t="str">
        <f>"CK202410289140"</f>
        <v>CK202410289140</v>
      </c>
      <c r="E2184" s="1" t="str">
        <f>"3723607598255443968"</f>
        <v>3723607598255443968</v>
      </c>
      <c r="F2184" s="1" t="str">
        <f t="shared" si="650"/>
        <v>花都四部-凤凰仓</v>
      </c>
      <c r="G2184" s="1" t="str">
        <f t="shared" si="646"/>
        <v>卡卡杜企业店（视频号）</v>
      </c>
      <c r="H2184" s="1" t="str">
        <f t="shared" si="651"/>
        <v>正常订单</v>
      </c>
      <c r="I2184" s="1" t="str">
        <f t="shared" si="652"/>
        <v>已发货</v>
      </c>
      <c r="J2184" s="1" t="str">
        <f t="shared" si="641"/>
        <v>3</v>
      </c>
      <c r="K2184" s="1">
        <v>3</v>
      </c>
      <c r="L2184" s="1" t="s">
        <v>161</v>
      </c>
      <c r="M2184" s="1" t="str">
        <f>"四川省 成都市 青羊区 "</f>
        <v xml:space="preserve">四川省 成都市 青羊区 </v>
      </c>
      <c r="N2184" s="1" t="str">
        <f t="shared" si="647"/>
        <v>凡华云仓-城南圆通-微信视频号</v>
      </c>
      <c r="O2184" s="5" t="s">
        <v>2220</v>
      </c>
      <c r="P2184" s="6">
        <v>0.34</v>
      </c>
      <c r="Q2184" s="11">
        <v>2.2999999999999998</v>
      </c>
      <c r="R2184" s="11"/>
      <c r="S2184" s="11"/>
      <c r="T2184" s="11"/>
      <c r="U2184" s="11">
        <f t="shared" si="648"/>
        <v>2.2999999999999998</v>
      </c>
      <c r="W2184">
        <v>2.5</v>
      </c>
      <c r="X2184" s="1" t="s">
        <v>161</v>
      </c>
    </row>
    <row r="2185" spans="1:24" x14ac:dyDescent="0.25">
      <c r="A2185" s="1" t="str">
        <f t="shared" si="649"/>
        <v>卡卡杜-凤凰仓</v>
      </c>
      <c r="B2185" s="1" t="str">
        <f>"CK2024102846"</f>
        <v>CK2024102846</v>
      </c>
      <c r="C2185" s="1" t="str">
        <f>"DD2024102819452"</f>
        <v>DD2024102819452</v>
      </c>
      <c r="D2185" s="1" t="str">
        <f>"CK202410289139"</f>
        <v>CK202410289139</v>
      </c>
      <c r="E2185" s="1" t="str">
        <f>"3723607604454622464"</f>
        <v>3723607604454622464</v>
      </c>
      <c r="F2185" s="1" t="str">
        <f t="shared" si="650"/>
        <v>花都四部-凤凰仓</v>
      </c>
      <c r="G2185" s="1" t="str">
        <f t="shared" si="646"/>
        <v>卡卡杜企业店（视频号）</v>
      </c>
      <c r="H2185" s="1" t="str">
        <f t="shared" si="651"/>
        <v>正常订单</v>
      </c>
      <c r="I2185" s="1" t="str">
        <f t="shared" si="652"/>
        <v>已发货</v>
      </c>
      <c r="J2185" s="1" t="str">
        <f t="shared" si="641"/>
        <v>3</v>
      </c>
      <c r="K2185" s="1">
        <v>3</v>
      </c>
      <c r="L2185" s="1" t="s">
        <v>105</v>
      </c>
      <c r="M2185" s="1" t="str">
        <f>"北京 北京市 大兴区 "</f>
        <v xml:space="preserve">北京 北京市 大兴区 </v>
      </c>
      <c r="N2185" s="1" t="str">
        <f t="shared" si="647"/>
        <v>凡华云仓-城南圆通-微信视频号</v>
      </c>
      <c r="O2185" s="5" t="s">
        <v>2221</v>
      </c>
      <c r="P2185" s="6">
        <v>0.34</v>
      </c>
      <c r="Q2185" s="11">
        <v>2.2999999999999998</v>
      </c>
      <c r="R2185" s="11"/>
      <c r="S2185" s="11"/>
      <c r="T2185" s="11"/>
      <c r="U2185" s="11">
        <f t="shared" si="648"/>
        <v>2.2999999999999998</v>
      </c>
      <c r="W2185">
        <v>2.5</v>
      </c>
      <c r="X2185" s="1" t="s">
        <v>105</v>
      </c>
    </row>
    <row r="2186" spans="1:24" x14ac:dyDescent="0.25">
      <c r="A2186" s="1" t="str">
        <f t="shared" si="649"/>
        <v>卡卡杜-凤凰仓</v>
      </c>
      <c r="B2186" s="1" t="str">
        <f>"CK2024102845"</f>
        <v>CK2024102845</v>
      </c>
      <c r="C2186" s="1" t="str">
        <f>"DD2024102819451"</f>
        <v>DD2024102819451</v>
      </c>
      <c r="D2186" s="1" t="str">
        <f>"CK202410289138"</f>
        <v>CK202410289138</v>
      </c>
      <c r="E2186" s="1" t="str">
        <f>"3723607609596315136"</f>
        <v>3723607609596315136</v>
      </c>
      <c r="F2186" s="1" t="str">
        <f t="shared" si="650"/>
        <v>花都四部-凤凰仓</v>
      </c>
      <c r="G2186" s="1" t="str">
        <f t="shared" si="646"/>
        <v>卡卡杜企业店（视频号）</v>
      </c>
      <c r="H2186" s="1" t="str">
        <f t="shared" si="651"/>
        <v>正常订单</v>
      </c>
      <c r="I2186" s="1" t="str">
        <f t="shared" si="652"/>
        <v>已发货</v>
      </c>
      <c r="J2186" s="1" t="str">
        <f t="shared" si="641"/>
        <v>3</v>
      </c>
      <c r="K2186" s="1">
        <v>2</v>
      </c>
      <c r="L2186" s="1" t="s">
        <v>161</v>
      </c>
      <c r="M2186" s="1" t="str">
        <f>"四川省 成都市 成华区 "</f>
        <v xml:space="preserve">四川省 成都市 成华区 </v>
      </c>
      <c r="N2186" s="1" t="str">
        <f t="shared" si="647"/>
        <v>凡华云仓-城南圆通-微信视频号</v>
      </c>
      <c r="O2186" s="5" t="s">
        <v>2222</v>
      </c>
      <c r="P2186" s="6">
        <v>0.24</v>
      </c>
      <c r="Q2186" s="11">
        <v>2</v>
      </c>
      <c r="R2186" s="11"/>
      <c r="S2186" s="11"/>
      <c r="T2186" s="11"/>
      <c r="U2186" s="11">
        <f t="shared" si="648"/>
        <v>2</v>
      </c>
      <c r="W2186">
        <v>2.2000000000000002</v>
      </c>
      <c r="X2186" s="1" t="s">
        <v>161</v>
      </c>
    </row>
    <row r="2187" spans="1:24" x14ac:dyDescent="0.25">
      <c r="A2187" s="1" t="str">
        <f t="shared" si="649"/>
        <v>卡卡杜-凤凰仓</v>
      </c>
      <c r="B2187" s="1" t="str">
        <f>"CK2024102844"</f>
        <v>CK2024102844</v>
      </c>
      <c r="C2187" s="1" t="str">
        <f>"DD2024102819450"</f>
        <v>DD2024102819450</v>
      </c>
      <c r="D2187" s="1" t="str">
        <f>"CK202410289137"</f>
        <v>CK202410289137</v>
      </c>
      <c r="E2187" s="1" t="str">
        <f>"3723607610445926400"</f>
        <v>3723607610445926400</v>
      </c>
      <c r="F2187" s="1" t="str">
        <f t="shared" si="650"/>
        <v>花都四部-凤凰仓</v>
      </c>
      <c r="G2187" s="1" t="str">
        <f t="shared" si="646"/>
        <v>卡卡杜企业店（视频号）</v>
      </c>
      <c r="H2187" s="1" t="str">
        <f t="shared" si="651"/>
        <v>正常订单</v>
      </c>
      <c r="I2187" s="1" t="str">
        <f t="shared" si="652"/>
        <v>已发货</v>
      </c>
      <c r="J2187" s="1" t="str">
        <f t="shared" si="641"/>
        <v>3</v>
      </c>
      <c r="K2187" s="1">
        <v>3</v>
      </c>
      <c r="L2187" s="1" t="s">
        <v>18</v>
      </c>
      <c r="M2187" s="1" t="str">
        <f>"广东省 东莞市 东莞市 "</f>
        <v xml:space="preserve">广东省 东莞市 东莞市 </v>
      </c>
      <c r="N2187" s="1" t="str">
        <f t="shared" si="647"/>
        <v>凡华云仓-城南圆通-微信视频号</v>
      </c>
      <c r="O2187" s="5" t="s">
        <v>2223</v>
      </c>
      <c r="P2187" s="6">
        <v>0.34</v>
      </c>
      <c r="Q2187" s="11">
        <v>2.2999999999999998</v>
      </c>
      <c r="R2187" s="11"/>
      <c r="S2187" s="11"/>
      <c r="T2187" s="11"/>
      <c r="U2187" s="11">
        <f t="shared" si="648"/>
        <v>2.2999999999999998</v>
      </c>
      <c r="W2187">
        <v>2.5</v>
      </c>
      <c r="X2187" s="1" t="s">
        <v>18</v>
      </c>
    </row>
    <row r="2188" spans="1:24" x14ac:dyDescent="0.25">
      <c r="A2188" s="1" t="str">
        <f t="shared" si="649"/>
        <v>卡卡杜-凤凰仓</v>
      </c>
      <c r="B2188" s="1" t="str">
        <f>"CK2024102843"</f>
        <v>CK2024102843</v>
      </c>
      <c r="C2188" s="1" t="str">
        <f>"DD2024102819449"</f>
        <v>DD2024102819449</v>
      </c>
      <c r="D2188" s="1" t="str">
        <f>"CK202410289136"</f>
        <v>CK202410289136</v>
      </c>
      <c r="E2188" s="1" t="str">
        <f>"3723607611261981696"</f>
        <v>3723607611261981696</v>
      </c>
      <c r="F2188" s="1" t="str">
        <f t="shared" si="650"/>
        <v>花都四部-凤凰仓</v>
      </c>
      <c r="G2188" s="1" t="str">
        <f t="shared" si="646"/>
        <v>卡卡杜企业店（视频号）</v>
      </c>
      <c r="H2188" s="1" t="str">
        <f t="shared" si="651"/>
        <v>正常订单</v>
      </c>
      <c r="I2188" s="1" t="str">
        <f t="shared" si="652"/>
        <v>已发货</v>
      </c>
      <c r="J2188" s="1" t="str">
        <f t="shared" si="641"/>
        <v>3</v>
      </c>
      <c r="K2188" s="1">
        <v>3</v>
      </c>
      <c r="L2188" s="1" t="s">
        <v>60</v>
      </c>
      <c r="M2188" s="1" t="str">
        <f>"云南省 丽江市 古城区 "</f>
        <v xml:space="preserve">云南省 丽江市 古城区 </v>
      </c>
      <c r="N2188" s="1" t="str">
        <f t="shared" si="647"/>
        <v>凡华云仓-城南圆通-微信视频号</v>
      </c>
      <c r="O2188" s="5" t="s">
        <v>2224</v>
      </c>
      <c r="P2188" s="6">
        <v>0.34</v>
      </c>
      <c r="Q2188" s="11">
        <v>2.2999999999999998</v>
      </c>
      <c r="R2188" s="11"/>
      <c r="S2188" s="11"/>
      <c r="T2188" s="11"/>
      <c r="U2188" s="11">
        <f t="shared" si="648"/>
        <v>2.2999999999999998</v>
      </c>
      <c r="W2188">
        <v>2.5</v>
      </c>
      <c r="X2188" s="1" t="s">
        <v>60</v>
      </c>
    </row>
    <row r="2189" spans="1:24" x14ac:dyDescent="0.25">
      <c r="A2189" s="1" t="str">
        <f t="shared" si="649"/>
        <v>卡卡杜-凤凰仓</v>
      </c>
      <c r="B2189" s="1" t="str">
        <f>"CK2024102842"</f>
        <v>CK2024102842</v>
      </c>
      <c r="C2189" s="1" t="str">
        <f>"DD2024102819448"</f>
        <v>DD2024102819448</v>
      </c>
      <c r="D2189" s="1" t="str">
        <f>"CK202410289135"</f>
        <v>CK202410289135</v>
      </c>
      <c r="E2189" s="1" t="str">
        <f>"3723607609601036288"</f>
        <v>3723607609601036288</v>
      </c>
      <c r="F2189" s="1" t="str">
        <f t="shared" si="650"/>
        <v>花都四部-凤凰仓</v>
      </c>
      <c r="G2189" s="1" t="str">
        <f t="shared" si="646"/>
        <v>卡卡杜企业店（视频号）</v>
      </c>
      <c r="H2189" s="1" t="str">
        <f t="shared" si="651"/>
        <v>正常订单</v>
      </c>
      <c r="I2189" s="1" t="str">
        <f t="shared" si="652"/>
        <v>已发货</v>
      </c>
      <c r="J2189" s="1" t="str">
        <f t="shared" si="641"/>
        <v>3</v>
      </c>
      <c r="K2189" s="1">
        <v>2</v>
      </c>
      <c r="L2189" s="1" t="s">
        <v>13</v>
      </c>
      <c r="M2189" s="1" t="str">
        <f>"江苏省 南京市 浦口区 "</f>
        <v xml:space="preserve">江苏省 南京市 浦口区 </v>
      </c>
      <c r="N2189" s="1" t="str">
        <f t="shared" si="647"/>
        <v>凡华云仓-城南圆通-微信视频号</v>
      </c>
      <c r="O2189" s="5" t="s">
        <v>2225</v>
      </c>
      <c r="P2189" s="6">
        <v>0.24</v>
      </c>
      <c r="Q2189" s="11">
        <v>2</v>
      </c>
      <c r="R2189" s="11"/>
      <c r="S2189" s="11"/>
      <c r="T2189" s="11"/>
      <c r="U2189" s="11">
        <f t="shared" si="648"/>
        <v>2</v>
      </c>
      <c r="W2189">
        <v>2.2000000000000002</v>
      </c>
      <c r="X2189" s="1" t="s">
        <v>13</v>
      </c>
    </row>
    <row r="2190" spans="1:24" x14ac:dyDescent="0.25">
      <c r="A2190" s="1" t="str">
        <f t="shared" si="649"/>
        <v>卡卡杜-凤凰仓</v>
      </c>
      <c r="B2190" s="1" t="str">
        <f>"CK2024102840"</f>
        <v>CK2024102840</v>
      </c>
      <c r="C2190" s="1" t="str">
        <f>"DD2024102819447"</f>
        <v>DD2024102819447</v>
      </c>
      <c r="D2190" s="1" t="str">
        <f>"CK202410289134"</f>
        <v>CK202410289134</v>
      </c>
      <c r="E2190" s="1" t="str">
        <f>"2430202160832672"</f>
        <v>2430202160832672</v>
      </c>
      <c r="F2190" s="1" t="str">
        <f t="shared" si="650"/>
        <v>花都四部-凤凰仓</v>
      </c>
      <c r="G2190" s="1" t="str">
        <f>"卡卡杜佳旺专卖店（快手店）"</f>
        <v>卡卡杜佳旺专卖店（快手店）</v>
      </c>
      <c r="H2190" s="1" t="str">
        <f t="shared" si="651"/>
        <v>正常订单</v>
      </c>
      <c r="I2190" s="1" t="str">
        <f t="shared" si="652"/>
        <v>已发货</v>
      </c>
      <c r="J2190" s="1" t="str">
        <f t="shared" si="641"/>
        <v>3</v>
      </c>
      <c r="K2190" s="1">
        <v>2</v>
      </c>
      <c r="L2190" s="1" t="s">
        <v>710</v>
      </c>
      <c r="M2190" s="1" t="str">
        <f>"上海市 上海市 浦东新区 花木街道"</f>
        <v>上海市 上海市 浦东新区 花木街道</v>
      </c>
      <c r="N2190" s="1" t="str">
        <f>"凡华云仓-城南圆通-快手"</f>
        <v>凡华云仓-城南圆通-快手</v>
      </c>
      <c r="O2190" s="5" t="s">
        <v>2226</v>
      </c>
      <c r="P2190" s="6">
        <v>0.35</v>
      </c>
      <c r="Q2190" s="11">
        <v>2.2999999999999998</v>
      </c>
      <c r="R2190" s="11"/>
      <c r="S2190" s="11"/>
      <c r="T2190" s="11"/>
      <c r="U2190" s="11">
        <f t="shared" si="648"/>
        <v>2.2999999999999998</v>
      </c>
      <c r="W2190">
        <v>2.5</v>
      </c>
      <c r="X2190" s="1" t="s">
        <v>710</v>
      </c>
    </row>
    <row r="2191" spans="1:24" x14ac:dyDescent="0.25">
      <c r="A2191" s="1" t="str">
        <f t="shared" si="649"/>
        <v>卡卡杜-凤凰仓</v>
      </c>
      <c r="B2191" s="1" t="str">
        <f>"CK2024102841"</f>
        <v>CK2024102841</v>
      </c>
      <c r="C2191" s="1" t="str">
        <f>"DD2024102819446"</f>
        <v>DD2024102819446</v>
      </c>
      <c r="D2191" s="1" t="str">
        <f>"CK202410289133"</f>
        <v>CK202410289133</v>
      </c>
      <c r="E2191" s="1" t="str">
        <f>"3723607614492119040"</f>
        <v>3723607614492119040</v>
      </c>
      <c r="F2191" s="1" t="str">
        <f t="shared" si="650"/>
        <v>花都四部-凤凰仓</v>
      </c>
      <c r="G2191" s="1" t="str">
        <f t="shared" ref="G2191:G2201" si="653">"卡卡杜企业店（视频号）"</f>
        <v>卡卡杜企业店（视频号）</v>
      </c>
      <c r="H2191" s="1" t="str">
        <f t="shared" si="651"/>
        <v>正常订单</v>
      </c>
      <c r="I2191" s="1" t="str">
        <f t="shared" si="652"/>
        <v>已发货</v>
      </c>
      <c r="J2191" s="1" t="str">
        <f t="shared" si="641"/>
        <v>3</v>
      </c>
      <c r="K2191" s="1">
        <v>3</v>
      </c>
      <c r="L2191" s="1" t="s">
        <v>18</v>
      </c>
      <c r="M2191" s="1" t="str">
        <f>"广东省 深圳市 罗湖区 "</f>
        <v xml:space="preserve">广东省 深圳市 罗湖区 </v>
      </c>
      <c r="N2191" s="1" t="str">
        <f t="shared" ref="N2191:N2201" si="654">"凡华云仓-城南圆通-微信视频号"</f>
        <v>凡华云仓-城南圆通-微信视频号</v>
      </c>
      <c r="O2191" s="5" t="s">
        <v>2227</v>
      </c>
      <c r="P2191" s="6">
        <v>0.34</v>
      </c>
      <c r="Q2191" s="11">
        <v>2.2999999999999998</v>
      </c>
      <c r="R2191" s="11"/>
      <c r="S2191" s="11"/>
      <c r="T2191" s="11"/>
      <c r="U2191" s="11">
        <f t="shared" si="648"/>
        <v>2.2999999999999998</v>
      </c>
      <c r="W2191">
        <v>2.5</v>
      </c>
      <c r="X2191" s="1" t="s">
        <v>18</v>
      </c>
    </row>
    <row r="2192" spans="1:24" x14ac:dyDescent="0.25">
      <c r="A2192" s="1" t="str">
        <f t="shared" si="649"/>
        <v>卡卡杜-凤凰仓</v>
      </c>
      <c r="B2192" s="1" t="str">
        <f>"CK2024102837"</f>
        <v>CK2024102837</v>
      </c>
      <c r="C2192" s="1" t="str">
        <f>"DD2024102819444"</f>
        <v>DD2024102819444</v>
      </c>
      <c r="D2192" s="1" t="str">
        <f>"CK202410289131"</f>
        <v>CK202410289131</v>
      </c>
      <c r="E2192" s="1" t="str">
        <f>"3723607616861638656"</f>
        <v>3723607616861638656</v>
      </c>
      <c r="F2192" s="1" t="str">
        <f t="shared" si="650"/>
        <v>花都四部-凤凰仓</v>
      </c>
      <c r="G2192" s="1" t="str">
        <f t="shared" si="653"/>
        <v>卡卡杜企业店（视频号）</v>
      </c>
      <c r="H2192" s="1" t="str">
        <f t="shared" si="651"/>
        <v>正常订单</v>
      </c>
      <c r="I2192" s="1" t="str">
        <f t="shared" si="652"/>
        <v>已发货</v>
      </c>
      <c r="J2192" s="1" t="str">
        <f t="shared" si="641"/>
        <v>3</v>
      </c>
      <c r="K2192" s="1">
        <v>2</v>
      </c>
      <c r="L2192" s="1" t="s">
        <v>105</v>
      </c>
      <c r="M2192" s="1" t="str">
        <f>"北京 北京市 昌平区 "</f>
        <v xml:space="preserve">北京 北京市 昌平区 </v>
      </c>
      <c r="N2192" s="1" t="str">
        <f t="shared" si="654"/>
        <v>凡华云仓-城南圆通-微信视频号</v>
      </c>
      <c r="O2192" s="5" t="s">
        <v>2228</v>
      </c>
      <c r="P2192" s="6">
        <v>0.24</v>
      </c>
      <c r="Q2192" s="11">
        <v>2</v>
      </c>
      <c r="R2192" s="11"/>
      <c r="S2192" s="11"/>
      <c r="T2192" s="11"/>
      <c r="U2192" s="11">
        <f t="shared" si="648"/>
        <v>2</v>
      </c>
      <c r="W2192">
        <v>2.2000000000000002</v>
      </c>
      <c r="X2192" s="1" t="s">
        <v>105</v>
      </c>
    </row>
    <row r="2193" spans="1:24" x14ac:dyDescent="0.25">
      <c r="A2193" s="1" t="str">
        <f t="shared" si="649"/>
        <v>卡卡杜-凤凰仓</v>
      </c>
      <c r="B2193" s="1" t="str">
        <f>"CK2024102839"</f>
        <v>CK2024102839</v>
      </c>
      <c r="C2193" s="1" t="str">
        <f>"DD2024102819442"</f>
        <v>DD2024102819442</v>
      </c>
      <c r="D2193" s="1" t="str">
        <f>"CK202410289129"</f>
        <v>CK202410289129</v>
      </c>
      <c r="E2193" s="1" t="str">
        <f>"3723607616589008896"</f>
        <v>3723607616589008896</v>
      </c>
      <c r="F2193" s="1" t="str">
        <f t="shared" si="650"/>
        <v>花都四部-凤凰仓</v>
      </c>
      <c r="G2193" s="1" t="str">
        <f t="shared" si="653"/>
        <v>卡卡杜企业店（视频号）</v>
      </c>
      <c r="H2193" s="1" t="str">
        <f t="shared" si="651"/>
        <v>正常订单</v>
      </c>
      <c r="I2193" s="1" t="str">
        <f t="shared" si="652"/>
        <v>已发货</v>
      </c>
      <c r="J2193" s="1" t="str">
        <f t="shared" si="641"/>
        <v>3</v>
      </c>
      <c r="K2193" s="1">
        <v>2</v>
      </c>
      <c r="L2193" s="1" t="s">
        <v>52</v>
      </c>
      <c r="M2193" s="1" t="str">
        <f>"甘肃省 兰州市 七里河区 "</f>
        <v xml:space="preserve">甘肃省 兰州市 七里河区 </v>
      </c>
      <c r="N2193" s="1" t="str">
        <f t="shared" si="654"/>
        <v>凡华云仓-城南圆通-微信视频号</v>
      </c>
      <c r="O2193" s="5" t="s">
        <v>2229</v>
      </c>
      <c r="P2193" s="6">
        <v>0.24</v>
      </c>
      <c r="Q2193" s="11">
        <v>2</v>
      </c>
      <c r="R2193" s="11"/>
      <c r="S2193" s="11"/>
      <c r="T2193" s="11"/>
      <c r="U2193" s="11">
        <f t="shared" si="648"/>
        <v>2</v>
      </c>
      <c r="W2193">
        <v>2.2000000000000002</v>
      </c>
      <c r="X2193" s="1" t="s">
        <v>52</v>
      </c>
    </row>
    <row r="2194" spans="1:24" x14ac:dyDescent="0.25">
      <c r="A2194" s="1" t="str">
        <f t="shared" si="649"/>
        <v>卡卡杜-凤凰仓</v>
      </c>
      <c r="B2194" s="1" t="str">
        <f>"CK2024102838"</f>
        <v>CK2024102838</v>
      </c>
      <c r="C2194" s="1" t="str">
        <f>"DD2024102819441"</f>
        <v>DD2024102819441</v>
      </c>
      <c r="D2194" s="1" t="str">
        <f>"CK202410289128"</f>
        <v>CK202410289128</v>
      </c>
      <c r="E2194" s="1" t="str">
        <f>"3723607618867824128"</f>
        <v>3723607618867824128</v>
      </c>
      <c r="F2194" s="1" t="str">
        <f t="shared" si="650"/>
        <v>花都四部-凤凰仓</v>
      </c>
      <c r="G2194" s="1" t="str">
        <f t="shared" si="653"/>
        <v>卡卡杜企业店（视频号）</v>
      </c>
      <c r="H2194" s="1" t="str">
        <f t="shared" si="651"/>
        <v>正常订单</v>
      </c>
      <c r="I2194" s="1" t="str">
        <f t="shared" si="652"/>
        <v>已发货</v>
      </c>
      <c r="J2194" s="1" t="str">
        <f t="shared" si="641"/>
        <v>3</v>
      </c>
      <c r="K2194" s="1">
        <v>3</v>
      </c>
      <c r="L2194" s="1" t="s">
        <v>36</v>
      </c>
      <c r="M2194" s="1" t="str">
        <f>"安徽省 蚌埠市 龙子湖区 "</f>
        <v xml:space="preserve">安徽省 蚌埠市 龙子湖区 </v>
      </c>
      <c r="N2194" s="1" t="str">
        <f t="shared" si="654"/>
        <v>凡华云仓-城南圆通-微信视频号</v>
      </c>
      <c r="O2194" s="5" t="s">
        <v>2230</v>
      </c>
      <c r="P2194" s="6">
        <v>0.34</v>
      </c>
      <c r="Q2194" s="11">
        <v>2.2999999999999998</v>
      </c>
      <c r="R2194" s="11"/>
      <c r="S2194" s="11"/>
      <c r="T2194" s="11"/>
      <c r="U2194" s="11">
        <f t="shared" si="648"/>
        <v>2.2999999999999998</v>
      </c>
      <c r="W2194">
        <v>2.5</v>
      </c>
      <c r="X2194" s="1" t="s">
        <v>36</v>
      </c>
    </row>
    <row r="2195" spans="1:24" x14ac:dyDescent="0.25">
      <c r="A2195" s="1" t="str">
        <f t="shared" si="649"/>
        <v>卡卡杜-凤凰仓</v>
      </c>
      <c r="B2195" s="1" t="str">
        <f>"CK2024102836"</f>
        <v>CK2024102836</v>
      </c>
      <c r="C2195" s="1" t="str">
        <f>"DD2024102819437"</f>
        <v>DD2024102819437</v>
      </c>
      <c r="D2195" s="1" t="str">
        <f>"CK202410289124"</f>
        <v>CK202410289124</v>
      </c>
      <c r="E2195" s="1" t="str">
        <f>"3723607622543346688"</f>
        <v>3723607622543346688</v>
      </c>
      <c r="F2195" s="1" t="str">
        <f t="shared" si="650"/>
        <v>花都四部-凤凰仓</v>
      </c>
      <c r="G2195" s="1" t="str">
        <f t="shared" si="653"/>
        <v>卡卡杜企业店（视频号）</v>
      </c>
      <c r="H2195" s="1" t="str">
        <f t="shared" si="651"/>
        <v>正常订单</v>
      </c>
      <c r="I2195" s="1" t="str">
        <f t="shared" si="652"/>
        <v>已发货</v>
      </c>
      <c r="J2195" s="1" t="str">
        <f t="shared" si="641"/>
        <v>3</v>
      </c>
      <c r="K2195" s="1">
        <v>3</v>
      </c>
      <c r="L2195" s="1" t="s">
        <v>105</v>
      </c>
      <c r="M2195" s="1" t="str">
        <f>"北京 北京市 顺义区 "</f>
        <v xml:space="preserve">北京 北京市 顺义区 </v>
      </c>
      <c r="N2195" s="1" t="str">
        <f t="shared" si="654"/>
        <v>凡华云仓-城南圆通-微信视频号</v>
      </c>
      <c r="O2195" s="5" t="s">
        <v>2231</v>
      </c>
      <c r="P2195" s="6">
        <v>0.34</v>
      </c>
      <c r="Q2195" s="11">
        <v>2.2999999999999998</v>
      </c>
      <c r="R2195" s="11"/>
      <c r="S2195" s="11"/>
      <c r="T2195" s="11"/>
      <c r="U2195" s="11">
        <f t="shared" si="648"/>
        <v>2.2999999999999998</v>
      </c>
      <c r="W2195">
        <v>2.5</v>
      </c>
      <c r="X2195" s="1" t="s">
        <v>105</v>
      </c>
    </row>
    <row r="2196" spans="1:24" x14ac:dyDescent="0.25">
      <c r="A2196" s="1" t="str">
        <f t="shared" si="649"/>
        <v>卡卡杜-凤凰仓</v>
      </c>
      <c r="B2196" s="1" t="str">
        <f>"CK2024102834"</f>
        <v>CK2024102834</v>
      </c>
      <c r="C2196" s="1" t="str">
        <f>"DD2024102819436"</f>
        <v>DD2024102819436</v>
      </c>
      <c r="D2196" s="1" t="str">
        <f>"CK202410289123"</f>
        <v>CK202410289123</v>
      </c>
      <c r="E2196" s="1" t="str">
        <f>"3723607645515026432"</f>
        <v>3723607645515026432</v>
      </c>
      <c r="F2196" s="1" t="str">
        <f t="shared" si="650"/>
        <v>花都四部-凤凰仓</v>
      </c>
      <c r="G2196" s="1" t="str">
        <f t="shared" si="653"/>
        <v>卡卡杜企业店（视频号）</v>
      </c>
      <c r="H2196" s="1" t="str">
        <f t="shared" si="651"/>
        <v>正常订单</v>
      </c>
      <c r="I2196" s="1" t="str">
        <f t="shared" si="652"/>
        <v>已发货</v>
      </c>
      <c r="J2196" s="1" t="str">
        <f t="shared" si="641"/>
        <v>3</v>
      </c>
      <c r="K2196" s="1">
        <v>2</v>
      </c>
      <c r="L2196" s="1" t="s">
        <v>74</v>
      </c>
      <c r="M2196" s="1" t="str">
        <f>"上海 上海市 杨浦区 "</f>
        <v xml:space="preserve">上海 上海市 杨浦区 </v>
      </c>
      <c r="N2196" s="1" t="str">
        <f t="shared" si="654"/>
        <v>凡华云仓-城南圆通-微信视频号</v>
      </c>
      <c r="O2196" s="5" t="s">
        <v>2232</v>
      </c>
      <c r="P2196" s="6">
        <v>0.24</v>
      </c>
      <c r="Q2196" s="11">
        <v>2</v>
      </c>
      <c r="R2196" s="11"/>
      <c r="S2196" s="11"/>
      <c r="T2196" s="11"/>
      <c r="U2196" s="11">
        <f t="shared" si="648"/>
        <v>2</v>
      </c>
      <c r="W2196">
        <v>2.2000000000000002</v>
      </c>
      <c r="X2196" s="1" t="s">
        <v>74</v>
      </c>
    </row>
    <row r="2197" spans="1:24" x14ac:dyDescent="0.25">
      <c r="A2197" s="1" t="str">
        <f t="shared" si="649"/>
        <v>卡卡杜-凤凰仓</v>
      </c>
      <c r="B2197" s="1" t="str">
        <f>"CK2024102835"</f>
        <v>CK2024102835</v>
      </c>
      <c r="C2197" s="1" t="str">
        <f>"DD2024102819435"</f>
        <v>DD2024102819435</v>
      </c>
      <c r="D2197" s="1" t="str">
        <f>"CK202410289122"</f>
        <v>CK202410289122</v>
      </c>
      <c r="E2197" s="1" t="str">
        <f>"3723607639591357440"</f>
        <v>3723607639591357440</v>
      </c>
      <c r="F2197" s="1" t="str">
        <f t="shared" si="650"/>
        <v>花都四部-凤凰仓</v>
      </c>
      <c r="G2197" s="1" t="str">
        <f t="shared" si="653"/>
        <v>卡卡杜企业店（视频号）</v>
      </c>
      <c r="H2197" s="1" t="str">
        <f t="shared" si="651"/>
        <v>正常订单</v>
      </c>
      <c r="I2197" s="1" t="str">
        <f t="shared" si="652"/>
        <v>已发货</v>
      </c>
      <c r="J2197" s="1" t="str">
        <f t="shared" si="641"/>
        <v>3</v>
      </c>
      <c r="K2197" s="1">
        <v>3</v>
      </c>
      <c r="L2197" s="1" t="s">
        <v>36</v>
      </c>
      <c r="M2197" s="1" t="str">
        <f>"安徽省 合肥市 蜀山区 "</f>
        <v xml:space="preserve">安徽省 合肥市 蜀山区 </v>
      </c>
      <c r="N2197" s="1" t="str">
        <f t="shared" si="654"/>
        <v>凡华云仓-城南圆通-微信视频号</v>
      </c>
      <c r="O2197" s="5" t="s">
        <v>2233</v>
      </c>
      <c r="P2197" s="6">
        <v>0.34</v>
      </c>
      <c r="Q2197" s="11">
        <v>2.2999999999999998</v>
      </c>
      <c r="R2197" s="11"/>
      <c r="S2197" s="11"/>
      <c r="T2197" s="11"/>
      <c r="U2197" s="11">
        <f t="shared" si="648"/>
        <v>2.2999999999999998</v>
      </c>
      <c r="W2197">
        <v>2.5</v>
      </c>
      <c r="X2197" s="1" t="s">
        <v>36</v>
      </c>
    </row>
    <row r="2198" spans="1:24" x14ac:dyDescent="0.25">
      <c r="A2198" s="1" t="str">
        <f t="shared" si="649"/>
        <v>卡卡杜-凤凰仓</v>
      </c>
      <c r="B2198" s="1" t="str">
        <f>"CK2024102832"</f>
        <v>CK2024102832</v>
      </c>
      <c r="C2198" s="1" t="str">
        <f>"DD2024102819434"</f>
        <v>DD2024102819434</v>
      </c>
      <c r="D2198" s="1" t="str">
        <f>"CK202410289121"</f>
        <v>CK202410289121</v>
      </c>
      <c r="E2198" s="1" t="str">
        <f>"3723607679671077888"</f>
        <v>3723607679671077888</v>
      </c>
      <c r="F2198" s="1" t="str">
        <f t="shared" si="650"/>
        <v>花都四部-凤凰仓</v>
      </c>
      <c r="G2198" s="1" t="str">
        <f t="shared" si="653"/>
        <v>卡卡杜企业店（视频号）</v>
      </c>
      <c r="H2198" s="1" t="str">
        <f t="shared" si="651"/>
        <v>正常订单</v>
      </c>
      <c r="I2198" s="1" t="str">
        <f t="shared" si="652"/>
        <v>已发货</v>
      </c>
      <c r="J2198" s="1" t="str">
        <f t="shared" si="641"/>
        <v>3</v>
      </c>
      <c r="K2198" s="1">
        <v>2</v>
      </c>
      <c r="L2198" s="1" t="s">
        <v>18</v>
      </c>
      <c r="M2198" s="1" t="str">
        <f>"广东省 梅州市 梅江区 "</f>
        <v xml:space="preserve">广东省 梅州市 梅江区 </v>
      </c>
      <c r="N2198" s="1" t="str">
        <f t="shared" si="654"/>
        <v>凡华云仓-城南圆通-微信视频号</v>
      </c>
      <c r="O2198" s="5" t="s">
        <v>2234</v>
      </c>
      <c r="P2198" s="6">
        <v>0.24</v>
      </c>
      <c r="Q2198" s="11">
        <v>2</v>
      </c>
      <c r="R2198" s="11"/>
      <c r="S2198" s="11"/>
      <c r="T2198" s="11"/>
      <c r="U2198" s="11">
        <f t="shared" si="648"/>
        <v>2</v>
      </c>
      <c r="W2198">
        <v>2.2000000000000002</v>
      </c>
      <c r="X2198" s="1" t="s">
        <v>18</v>
      </c>
    </row>
    <row r="2199" spans="1:24" x14ac:dyDescent="0.25">
      <c r="A2199" s="1" t="str">
        <f t="shared" si="649"/>
        <v>卡卡杜-凤凰仓</v>
      </c>
      <c r="B2199" s="1" t="str">
        <f>"CK2024102833"</f>
        <v>CK2024102833</v>
      </c>
      <c r="C2199" s="1" t="str">
        <f>"DD2024102819433"</f>
        <v>DD2024102819433</v>
      </c>
      <c r="D2199" s="1" t="str">
        <f>"CK202410289120"</f>
        <v>CK202410289120</v>
      </c>
      <c r="E2199" s="1" t="str">
        <f>"3723607653579887616"</f>
        <v>3723607653579887616</v>
      </c>
      <c r="F2199" s="1" t="str">
        <f t="shared" si="650"/>
        <v>花都四部-凤凰仓</v>
      </c>
      <c r="G2199" s="1" t="str">
        <f t="shared" si="653"/>
        <v>卡卡杜企业店（视频号）</v>
      </c>
      <c r="H2199" s="1" t="str">
        <f t="shared" si="651"/>
        <v>正常订单</v>
      </c>
      <c r="I2199" s="1" t="str">
        <f t="shared" si="652"/>
        <v>已发货</v>
      </c>
      <c r="J2199" s="1" t="str">
        <f t="shared" si="641"/>
        <v>3</v>
      </c>
      <c r="K2199" s="1">
        <v>2</v>
      </c>
      <c r="L2199" s="1" t="s">
        <v>13</v>
      </c>
      <c r="M2199" s="1" t="str">
        <f>"江苏省 南京市 建邺区 "</f>
        <v xml:space="preserve">江苏省 南京市 建邺区 </v>
      </c>
      <c r="N2199" s="1" t="str">
        <f t="shared" si="654"/>
        <v>凡华云仓-城南圆通-微信视频号</v>
      </c>
      <c r="O2199" s="5" t="s">
        <v>2235</v>
      </c>
      <c r="P2199" s="6">
        <v>0.24</v>
      </c>
      <c r="Q2199" s="11">
        <v>2</v>
      </c>
      <c r="R2199" s="11"/>
      <c r="S2199" s="11"/>
      <c r="T2199" s="11"/>
      <c r="U2199" s="11">
        <f t="shared" si="648"/>
        <v>2</v>
      </c>
      <c r="W2199">
        <v>2.2000000000000002</v>
      </c>
      <c r="X2199" s="1" t="s">
        <v>13</v>
      </c>
    </row>
    <row r="2200" spans="1:24" x14ac:dyDescent="0.25">
      <c r="A2200" s="1" t="str">
        <f t="shared" si="649"/>
        <v>卡卡杜-凤凰仓</v>
      </c>
      <c r="B2200" s="1" t="str">
        <f>"CK2024102831"</f>
        <v>CK2024102831</v>
      </c>
      <c r="C2200" s="1" t="str">
        <f>"DD2024102819431"</f>
        <v>DD2024102819431</v>
      </c>
      <c r="D2200" s="1" t="str">
        <f>"CK202410289118"</f>
        <v>CK202410289118</v>
      </c>
      <c r="E2200" s="1" t="str">
        <f>"3723607724858672384"</f>
        <v>3723607724858672384</v>
      </c>
      <c r="F2200" s="1" t="str">
        <f t="shared" si="650"/>
        <v>花都四部-凤凰仓</v>
      </c>
      <c r="G2200" s="1" t="str">
        <f t="shared" si="653"/>
        <v>卡卡杜企业店（视频号）</v>
      </c>
      <c r="H2200" s="1" t="str">
        <f t="shared" si="651"/>
        <v>正常订单</v>
      </c>
      <c r="I2200" s="1" t="str">
        <f t="shared" si="652"/>
        <v>已发货</v>
      </c>
      <c r="J2200" s="1" t="str">
        <f t="shared" si="641"/>
        <v>3</v>
      </c>
      <c r="K2200" s="1">
        <v>2</v>
      </c>
      <c r="L2200" s="1" t="s">
        <v>30</v>
      </c>
      <c r="M2200" s="1" t="str">
        <f>"山东省 青岛市 李沧区 "</f>
        <v xml:space="preserve">山东省 青岛市 李沧区 </v>
      </c>
      <c r="N2200" s="1" t="str">
        <f t="shared" si="654"/>
        <v>凡华云仓-城南圆通-微信视频号</v>
      </c>
      <c r="O2200" s="5" t="s">
        <v>2236</v>
      </c>
      <c r="P2200" s="6">
        <v>0.24</v>
      </c>
      <c r="Q2200" s="11">
        <v>2</v>
      </c>
      <c r="R2200" s="11"/>
      <c r="S2200" s="11"/>
      <c r="T2200" s="11"/>
      <c r="U2200" s="11">
        <f t="shared" si="648"/>
        <v>2</v>
      </c>
      <c r="W2200">
        <v>2.2000000000000002</v>
      </c>
      <c r="X2200" s="1" t="s">
        <v>30</v>
      </c>
    </row>
    <row r="2201" spans="1:24" x14ac:dyDescent="0.25">
      <c r="A2201" s="1" t="str">
        <f t="shared" si="649"/>
        <v>卡卡杜-凤凰仓</v>
      </c>
      <c r="B2201" s="1" t="str">
        <f>"CK2024102830"</f>
        <v>CK2024102830</v>
      </c>
      <c r="C2201" s="1" t="str">
        <f>"DD2024102819429"</f>
        <v>DD2024102819429</v>
      </c>
      <c r="D2201" s="1" t="str">
        <f>"CK202410289116"</f>
        <v>CK202410289116</v>
      </c>
      <c r="E2201" s="1" t="str">
        <f>"3723607732582224896"</f>
        <v>3723607732582224896</v>
      </c>
      <c r="F2201" s="1" t="str">
        <f t="shared" si="650"/>
        <v>花都四部-凤凰仓</v>
      </c>
      <c r="G2201" s="1" t="str">
        <f t="shared" si="653"/>
        <v>卡卡杜企业店（视频号）</v>
      </c>
      <c r="H2201" s="1" t="str">
        <f t="shared" si="651"/>
        <v>正常订单</v>
      </c>
      <c r="I2201" s="1" t="str">
        <f t="shared" si="652"/>
        <v>已发货</v>
      </c>
      <c r="J2201" s="1" t="str">
        <f t="shared" si="641"/>
        <v>3</v>
      </c>
      <c r="K2201" s="1">
        <v>2</v>
      </c>
      <c r="L2201" s="1" t="s">
        <v>30</v>
      </c>
      <c r="M2201" s="1" t="str">
        <f>"山东省 青岛市 城阳区 "</f>
        <v xml:space="preserve">山东省 青岛市 城阳区 </v>
      </c>
      <c r="N2201" s="1" t="str">
        <f t="shared" si="654"/>
        <v>凡华云仓-城南圆通-微信视频号</v>
      </c>
      <c r="O2201" s="5" t="s">
        <v>2237</v>
      </c>
      <c r="P2201" s="6">
        <v>0.24</v>
      </c>
      <c r="Q2201" s="11">
        <v>2</v>
      </c>
      <c r="R2201" s="11"/>
      <c r="S2201" s="11"/>
      <c r="T2201" s="11"/>
      <c r="U2201" s="11">
        <f t="shared" si="648"/>
        <v>2</v>
      </c>
      <c r="W2201">
        <v>2.2000000000000002</v>
      </c>
      <c r="X2201" s="1" t="s">
        <v>30</v>
      </c>
    </row>
    <row r="2202" spans="1:24" x14ac:dyDescent="0.25">
      <c r="A2202" s="1" t="str">
        <f t="shared" si="649"/>
        <v>卡卡杜-凤凰仓</v>
      </c>
      <c r="B2202" s="1" t="str">
        <f>"CK2024102828"</f>
        <v>CK2024102828</v>
      </c>
      <c r="C2202" s="1" t="str">
        <f>"DD2024102819428"</f>
        <v>DD2024102819428</v>
      </c>
      <c r="D2202" s="1" t="str">
        <f>"CK202410289115"</f>
        <v>CK202410289115</v>
      </c>
      <c r="E2202" s="1" t="str">
        <f>"2430202161635873"</f>
        <v>2430202161635873</v>
      </c>
      <c r="F2202" s="1" t="str">
        <f t="shared" si="650"/>
        <v>花都四部-凤凰仓</v>
      </c>
      <c r="G2202" s="1" t="str">
        <f t="shared" ref="G2202:G2206" si="655">"卡卡杜佳旺专卖店（快手店）"</f>
        <v>卡卡杜佳旺专卖店（快手店）</v>
      </c>
      <c r="H2202" s="1" t="str">
        <f t="shared" si="651"/>
        <v>正常订单</v>
      </c>
      <c r="I2202" s="1" t="str">
        <f t="shared" si="652"/>
        <v>已发货</v>
      </c>
      <c r="J2202" s="1" t="str">
        <f t="shared" si="641"/>
        <v>3</v>
      </c>
      <c r="K2202" s="1">
        <v>2</v>
      </c>
      <c r="L2202" s="1" t="s">
        <v>60</v>
      </c>
      <c r="M2202" s="1" t="str">
        <f>"云南省 昆明市 呈贡区 洛羊街道"</f>
        <v>云南省 昆明市 呈贡区 洛羊街道</v>
      </c>
      <c r="N2202" s="1" t="str">
        <f t="shared" ref="N2202:N2206" si="656">"凡华云仓-城南圆通-快手"</f>
        <v>凡华云仓-城南圆通-快手</v>
      </c>
      <c r="O2202" s="5" t="s">
        <v>2238</v>
      </c>
      <c r="P2202" s="6">
        <v>0.35</v>
      </c>
      <c r="Q2202" s="11">
        <v>2.2999999999999998</v>
      </c>
      <c r="R2202" s="11"/>
      <c r="S2202" s="11"/>
      <c r="T2202" s="11"/>
      <c r="U2202" s="11">
        <f t="shared" si="648"/>
        <v>2.2999999999999998</v>
      </c>
      <c r="W2202">
        <v>2.5</v>
      </c>
      <c r="X2202" s="1" t="s">
        <v>60</v>
      </c>
    </row>
    <row r="2203" spans="1:24" x14ac:dyDescent="0.25">
      <c r="A2203" s="1" t="str">
        <f t="shared" si="649"/>
        <v>卡卡杜-凤凰仓</v>
      </c>
      <c r="B2203" s="1" t="str">
        <f>"CK2024102829"</f>
        <v>CK2024102829</v>
      </c>
      <c r="C2203" s="1" t="str">
        <f>"DD2024102819427"</f>
        <v>DD2024102819427</v>
      </c>
      <c r="D2203" s="1" t="str">
        <f>"CK202410289114"</f>
        <v>CK202410289114</v>
      </c>
      <c r="E2203" s="1" t="str">
        <f>"2430202482425039"</f>
        <v>2430202482425039</v>
      </c>
      <c r="F2203" s="1" t="str">
        <f t="shared" si="650"/>
        <v>花都四部-凤凰仓</v>
      </c>
      <c r="G2203" s="1" t="str">
        <f t="shared" si="655"/>
        <v>卡卡杜佳旺专卖店（快手店）</v>
      </c>
      <c r="H2203" s="1" t="str">
        <f t="shared" si="651"/>
        <v>正常订单</v>
      </c>
      <c r="I2203" s="1" t="str">
        <f t="shared" si="652"/>
        <v>已发货</v>
      </c>
      <c r="J2203" s="1" t="str">
        <f t="shared" si="641"/>
        <v>3</v>
      </c>
      <c r="K2203" s="1">
        <v>2</v>
      </c>
      <c r="L2203" s="1" t="s">
        <v>18</v>
      </c>
      <c r="M2203" s="1" t="str">
        <f>"广东省 广州市 增城区 朱村街道"</f>
        <v>广东省 广州市 增城区 朱村街道</v>
      </c>
      <c r="N2203" s="1" t="str">
        <f t="shared" si="656"/>
        <v>凡华云仓-城南圆通-快手</v>
      </c>
      <c r="O2203" s="5" t="s">
        <v>2239</v>
      </c>
      <c r="P2203" s="6">
        <v>0.35</v>
      </c>
      <c r="Q2203" s="11">
        <v>2.2999999999999998</v>
      </c>
      <c r="R2203" s="11"/>
      <c r="S2203" s="11"/>
      <c r="T2203" s="11"/>
      <c r="U2203" s="11">
        <f t="shared" si="648"/>
        <v>2.2999999999999998</v>
      </c>
      <c r="W2203">
        <v>2.5</v>
      </c>
      <c r="X2203" s="1" t="s">
        <v>18</v>
      </c>
    </row>
    <row r="2204" spans="1:24" x14ac:dyDescent="0.25">
      <c r="A2204" s="1" t="str">
        <f t="shared" si="649"/>
        <v>卡卡杜-凤凰仓</v>
      </c>
      <c r="B2204" s="1" t="str">
        <f>"CK2024102826"</f>
        <v>CK2024102826</v>
      </c>
      <c r="C2204" s="1" t="str">
        <f>"DD2024102819423"</f>
        <v>DD2024102819423</v>
      </c>
      <c r="D2204" s="1" t="str">
        <f>"CK202410289110"</f>
        <v>CK202410289110</v>
      </c>
      <c r="E2204" s="1" t="str">
        <f>"3723607945977664512"</f>
        <v>3723607945977664512</v>
      </c>
      <c r="F2204" s="1" t="str">
        <f t="shared" si="650"/>
        <v>花都四部-凤凰仓</v>
      </c>
      <c r="G2204" s="1" t="str">
        <f>"卡卡杜企业店（视频号）"</f>
        <v>卡卡杜企业店（视频号）</v>
      </c>
      <c r="H2204" s="1" t="str">
        <f t="shared" si="651"/>
        <v>正常订单</v>
      </c>
      <c r="I2204" s="1" t="str">
        <f t="shared" si="652"/>
        <v>已发货</v>
      </c>
      <c r="J2204" s="1" t="str">
        <f t="shared" si="641"/>
        <v>3</v>
      </c>
      <c r="K2204" s="1">
        <v>2</v>
      </c>
      <c r="L2204" s="1" t="s">
        <v>41</v>
      </c>
      <c r="M2204" s="1" t="str">
        <f>"湖北省 武汉市 硚口区 "</f>
        <v xml:space="preserve">湖北省 武汉市 硚口区 </v>
      </c>
      <c r="N2204" s="1" t="str">
        <f>"凡华云仓-城南圆通-微信视频号"</f>
        <v>凡华云仓-城南圆通-微信视频号</v>
      </c>
      <c r="O2204" s="5" t="s">
        <v>2240</v>
      </c>
      <c r="P2204" s="6">
        <v>0.24</v>
      </c>
      <c r="Q2204" s="11">
        <v>2</v>
      </c>
      <c r="R2204" s="11"/>
      <c r="S2204" s="11"/>
      <c r="T2204" s="11"/>
      <c r="U2204" s="11">
        <f t="shared" si="648"/>
        <v>2</v>
      </c>
      <c r="W2204">
        <v>2.2000000000000002</v>
      </c>
      <c r="X2204" s="1" t="s">
        <v>41</v>
      </c>
    </row>
    <row r="2205" spans="1:24" x14ac:dyDescent="0.25">
      <c r="A2205" s="1" t="str">
        <f t="shared" si="649"/>
        <v>卡卡杜-凤凰仓</v>
      </c>
      <c r="B2205" s="1" t="str">
        <f>"CK2024102825"</f>
        <v>CK2024102825</v>
      </c>
      <c r="C2205" s="1" t="str">
        <f>"DD2024102819422"</f>
        <v>DD2024102819422</v>
      </c>
      <c r="D2205" s="1" t="str">
        <f>"CK202410289109"</f>
        <v>CK202410289109</v>
      </c>
      <c r="E2205" s="1" t="str">
        <f>"3723608001557957632"</f>
        <v>3723608001557957632</v>
      </c>
      <c r="F2205" s="1" t="str">
        <f t="shared" si="650"/>
        <v>花都四部-凤凰仓</v>
      </c>
      <c r="G2205" s="1" t="str">
        <f>"卡卡杜企业店（视频号）"</f>
        <v>卡卡杜企业店（视频号）</v>
      </c>
      <c r="H2205" s="1" t="str">
        <f t="shared" si="651"/>
        <v>正常订单</v>
      </c>
      <c r="I2205" s="1" t="str">
        <f t="shared" si="652"/>
        <v>已发货</v>
      </c>
      <c r="J2205" s="1" t="str">
        <f t="shared" si="641"/>
        <v>3</v>
      </c>
      <c r="K2205" s="1">
        <v>3</v>
      </c>
      <c r="L2205" s="1" t="s">
        <v>20</v>
      </c>
      <c r="M2205" s="1" t="str">
        <f>"浙江省 嘉兴市 海宁市 "</f>
        <v xml:space="preserve">浙江省 嘉兴市 海宁市 </v>
      </c>
      <c r="N2205" s="1" t="str">
        <f>"凡华云仓-城南圆通-微信视频号"</f>
        <v>凡华云仓-城南圆通-微信视频号</v>
      </c>
      <c r="O2205" s="5" t="s">
        <v>2241</v>
      </c>
      <c r="P2205" s="6">
        <v>0.34</v>
      </c>
      <c r="Q2205" s="11">
        <v>2.2999999999999998</v>
      </c>
      <c r="R2205" s="11"/>
      <c r="S2205" s="11"/>
      <c r="T2205" s="11"/>
      <c r="U2205" s="11">
        <f t="shared" si="648"/>
        <v>2.2999999999999998</v>
      </c>
      <c r="W2205">
        <v>2.5</v>
      </c>
      <c r="X2205" s="1" t="s">
        <v>20</v>
      </c>
    </row>
    <row r="2206" spans="1:24" x14ac:dyDescent="0.25">
      <c r="A2206" s="1" t="str">
        <f t="shared" si="649"/>
        <v>卡卡杜-凤凰仓</v>
      </c>
      <c r="B2206" s="1" t="str">
        <f>"CK2024102823"</f>
        <v>CK2024102823</v>
      </c>
      <c r="C2206" s="1" t="str">
        <f>"DD2024102819418"</f>
        <v>DD2024102819418</v>
      </c>
      <c r="D2206" s="1" t="str">
        <f>"CK202410289105"</f>
        <v>CK202410289105</v>
      </c>
      <c r="E2206" s="1" t="str">
        <f>"2430202322473681"</f>
        <v>2430202322473681</v>
      </c>
      <c r="F2206" s="1" t="str">
        <f t="shared" si="650"/>
        <v>花都四部-凤凰仓</v>
      </c>
      <c r="G2206" s="1" t="str">
        <f t="shared" si="655"/>
        <v>卡卡杜佳旺专卖店（快手店）</v>
      </c>
      <c r="H2206" s="1" t="str">
        <f t="shared" si="651"/>
        <v>正常订单</v>
      </c>
      <c r="I2206" s="1" t="str">
        <f t="shared" si="652"/>
        <v>已发货</v>
      </c>
      <c r="J2206" s="1" t="str">
        <f t="shared" si="641"/>
        <v>3</v>
      </c>
      <c r="K2206" s="1">
        <v>2</v>
      </c>
      <c r="L2206" s="1" t="s">
        <v>13</v>
      </c>
      <c r="M2206" s="1" t="str">
        <f>"江苏省 南京市 栖霞区 燕子矶街道"</f>
        <v>江苏省 南京市 栖霞区 燕子矶街道</v>
      </c>
      <c r="N2206" s="1" t="str">
        <f t="shared" si="656"/>
        <v>凡华云仓-城南圆通-快手</v>
      </c>
      <c r="O2206" s="5" t="s">
        <v>2242</v>
      </c>
      <c r="P2206" s="6">
        <v>0.35</v>
      </c>
      <c r="Q2206" s="11">
        <v>2.2999999999999998</v>
      </c>
      <c r="R2206" s="11"/>
      <c r="S2206" s="11"/>
      <c r="T2206" s="11"/>
      <c r="U2206" s="11">
        <f t="shared" si="648"/>
        <v>2.2999999999999998</v>
      </c>
      <c r="W2206">
        <v>2.5</v>
      </c>
      <c r="X2206" s="1" t="s">
        <v>13</v>
      </c>
    </row>
    <row r="2207" spans="1:24" x14ac:dyDescent="0.25">
      <c r="A2207" s="1" t="str">
        <f t="shared" si="649"/>
        <v>卡卡杜-凤凰仓</v>
      </c>
      <c r="B2207" s="1" t="str">
        <f>"CK2024102824"</f>
        <v>CK2024102824</v>
      </c>
      <c r="C2207" s="1" t="str">
        <f>"DD2024102819416"</f>
        <v>DD2024102819416</v>
      </c>
      <c r="D2207" s="1" t="str">
        <f>"CK202410289103"</f>
        <v>CK202410289103</v>
      </c>
      <c r="E2207" s="1" t="str">
        <f>"6935582385324299334"</f>
        <v>6935582385324299334</v>
      </c>
      <c r="F2207" s="1" t="str">
        <f t="shared" si="650"/>
        <v>花都四部-凤凰仓</v>
      </c>
      <c r="G2207" s="1" t="str">
        <f>"卡卡杜个人护理店（抖店）"</f>
        <v>卡卡杜个人护理店（抖店）</v>
      </c>
      <c r="H2207" s="1" t="str">
        <f t="shared" si="651"/>
        <v>正常订单</v>
      </c>
      <c r="I2207" s="1" t="str">
        <f t="shared" si="652"/>
        <v>已发货</v>
      </c>
      <c r="J2207" s="1" t="str">
        <f t="shared" si="641"/>
        <v>3</v>
      </c>
      <c r="K2207" s="1">
        <v>2</v>
      </c>
      <c r="L2207" s="1" t="s">
        <v>740</v>
      </c>
      <c r="M2207" s="1" t="str">
        <f>"宁夏回族自治区 石嘴山市 惠农区 南街街道"</f>
        <v>宁夏回族自治区 石嘴山市 惠农区 南街街道</v>
      </c>
      <c r="N2207" s="1" t="str">
        <f>"凡华云仓-城南圆通-抖音"</f>
        <v>凡华云仓-城南圆通-抖音</v>
      </c>
      <c r="O2207" s="5" t="s">
        <v>2243</v>
      </c>
      <c r="P2207" s="6">
        <v>0.35</v>
      </c>
      <c r="Q2207" s="11">
        <v>2.2999999999999998</v>
      </c>
      <c r="R2207" s="11"/>
      <c r="S2207" s="11"/>
      <c r="T2207" s="11"/>
      <c r="U2207" s="11">
        <f t="shared" si="648"/>
        <v>2.2999999999999998</v>
      </c>
      <c r="W2207">
        <v>2.5</v>
      </c>
      <c r="X2207" s="1" t="s">
        <v>740</v>
      </c>
    </row>
    <row r="2208" spans="1:24" x14ac:dyDescent="0.25">
      <c r="A2208" s="1" t="str">
        <f t="shared" si="649"/>
        <v>卡卡杜-凤凰仓</v>
      </c>
      <c r="B2208" s="1" t="str">
        <f>"CK2024102821"</f>
        <v>CK2024102821</v>
      </c>
      <c r="C2208" s="1" t="str">
        <f>"DD2024102819415"</f>
        <v>DD2024102819415</v>
      </c>
      <c r="D2208" s="1" t="str">
        <f>"CK202410289102"</f>
        <v>CK202410289102</v>
      </c>
      <c r="E2208" s="1" t="str">
        <f>"6935575291561908167"</f>
        <v>6935575291561908167</v>
      </c>
      <c r="F2208" s="1" t="str">
        <f t="shared" si="650"/>
        <v>花都四部-凤凰仓</v>
      </c>
      <c r="G2208" s="1" t="str">
        <f>"卡卡杜个人护理店（抖店）"</f>
        <v>卡卡杜个人护理店（抖店）</v>
      </c>
      <c r="H2208" s="1" t="str">
        <f t="shared" si="651"/>
        <v>正常订单</v>
      </c>
      <c r="I2208" s="1" t="str">
        <f t="shared" si="652"/>
        <v>已发货</v>
      </c>
      <c r="J2208" s="1" t="str">
        <f t="shared" si="641"/>
        <v>3</v>
      </c>
      <c r="K2208" s="1">
        <v>2</v>
      </c>
      <c r="L2208" s="1" t="s">
        <v>13</v>
      </c>
      <c r="M2208" s="1" t="str">
        <f>"江苏省 镇江市 丹徒区 谷阳镇"</f>
        <v>江苏省 镇江市 丹徒区 谷阳镇</v>
      </c>
      <c r="N2208" s="1" t="str">
        <f>"凡华云仓-城南圆通-抖音"</f>
        <v>凡华云仓-城南圆通-抖音</v>
      </c>
      <c r="O2208" s="5" t="s">
        <v>2244</v>
      </c>
      <c r="P2208" s="6">
        <v>0.35</v>
      </c>
      <c r="Q2208" s="11">
        <v>2.2999999999999998</v>
      </c>
      <c r="R2208" s="11"/>
      <c r="S2208" s="11"/>
      <c r="T2208" s="11"/>
      <c r="U2208" s="11">
        <f t="shared" si="648"/>
        <v>2.2999999999999998</v>
      </c>
      <c r="W2208">
        <v>2.5</v>
      </c>
      <c r="X2208" s="1" t="s">
        <v>13</v>
      </c>
    </row>
    <row r="2209" spans="1:24" x14ac:dyDescent="0.25">
      <c r="A2209" s="1" t="str">
        <f t="shared" si="649"/>
        <v>卡卡杜-凤凰仓</v>
      </c>
      <c r="B2209" s="1" t="str">
        <f>"CK2024102822"</f>
        <v>CK2024102822</v>
      </c>
      <c r="C2209" s="1" t="str">
        <f>"DD2024102819414"</f>
        <v>DD2024102819414</v>
      </c>
      <c r="D2209" s="1" t="str">
        <f>"CK202410289101"</f>
        <v>CK202410289101</v>
      </c>
      <c r="E2209" s="1" t="str">
        <f>"2430201760880130"</f>
        <v>2430201760880130</v>
      </c>
      <c r="F2209" s="1" t="str">
        <f t="shared" si="650"/>
        <v>花都四部-凤凰仓</v>
      </c>
      <c r="G2209" s="1" t="str">
        <f>"卡卡杜佳旺专卖店（快手店）"</f>
        <v>卡卡杜佳旺专卖店（快手店）</v>
      </c>
      <c r="H2209" s="1" t="str">
        <f t="shared" si="651"/>
        <v>正常订单</v>
      </c>
      <c r="I2209" s="1" t="str">
        <f t="shared" si="652"/>
        <v>已发货</v>
      </c>
      <c r="J2209" s="1" t="str">
        <f t="shared" si="641"/>
        <v>3</v>
      </c>
      <c r="K2209" s="1">
        <v>2</v>
      </c>
      <c r="L2209" s="1" t="s">
        <v>136</v>
      </c>
      <c r="M2209" s="1" t="str">
        <f>"北京市 北京市 朝阳区 望京街道"</f>
        <v>北京市 北京市 朝阳区 望京街道</v>
      </c>
      <c r="N2209" s="1" t="str">
        <f>"凡华云仓-城南圆通-快手"</f>
        <v>凡华云仓-城南圆通-快手</v>
      </c>
      <c r="O2209" s="5" t="s">
        <v>2245</v>
      </c>
      <c r="P2209" s="6">
        <v>0.35</v>
      </c>
      <c r="Q2209" s="11">
        <v>2.2999999999999998</v>
      </c>
      <c r="R2209" s="11"/>
      <c r="S2209" s="11"/>
      <c r="T2209" s="11"/>
      <c r="U2209" s="11">
        <f t="shared" si="648"/>
        <v>2.2999999999999998</v>
      </c>
      <c r="W2209">
        <v>2.5</v>
      </c>
      <c r="X2209" s="1" t="s">
        <v>136</v>
      </c>
    </row>
    <row r="2210" spans="1:24" x14ac:dyDescent="0.25">
      <c r="A2210" s="1" t="str">
        <f t="shared" si="649"/>
        <v>卡卡杜-凤凰仓</v>
      </c>
      <c r="B2210" s="1" t="str">
        <f>"CK2024102819"</f>
        <v>CK2024102819</v>
      </c>
      <c r="C2210" s="1" t="str">
        <f>"DD2024102819413"</f>
        <v>DD2024102819413</v>
      </c>
      <c r="D2210" s="1" t="str">
        <f>"CK202410289100"</f>
        <v>CK202410289100</v>
      </c>
      <c r="E2210" s="1" t="str">
        <f>"3723609005217678592"</f>
        <v>3723609005217678592</v>
      </c>
      <c r="F2210" s="1" t="str">
        <f t="shared" si="650"/>
        <v>花都四部-凤凰仓</v>
      </c>
      <c r="G2210" s="1" t="str">
        <f t="shared" ref="G2210:G2212" si="657">"卡卡杜企业店（视频号）"</f>
        <v>卡卡杜企业店（视频号）</v>
      </c>
      <c r="H2210" s="1" t="str">
        <f t="shared" si="651"/>
        <v>正常订单</v>
      </c>
      <c r="I2210" s="1" t="str">
        <f t="shared" si="652"/>
        <v>已发货</v>
      </c>
      <c r="J2210" s="1" t="str">
        <f t="shared" si="641"/>
        <v>3</v>
      </c>
      <c r="K2210" s="1">
        <v>3</v>
      </c>
      <c r="L2210" s="1" t="s">
        <v>80</v>
      </c>
      <c r="M2210" s="1" t="str">
        <f>"河南省 洛阳市 涧西区 "</f>
        <v xml:space="preserve">河南省 洛阳市 涧西区 </v>
      </c>
      <c r="N2210" s="1" t="str">
        <f t="shared" ref="N2210:N2212" si="658">"凡华云仓-城南圆通-微信视频号"</f>
        <v>凡华云仓-城南圆通-微信视频号</v>
      </c>
      <c r="O2210" s="5" t="s">
        <v>2246</v>
      </c>
      <c r="P2210" s="6">
        <v>0.34</v>
      </c>
      <c r="Q2210" s="11">
        <v>2.2999999999999998</v>
      </c>
      <c r="R2210" s="11"/>
      <c r="S2210" s="11"/>
      <c r="T2210" s="11"/>
      <c r="U2210" s="11">
        <f t="shared" si="648"/>
        <v>2.2999999999999998</v>
      </c>
      <c r="W2210">
        <v>2.5</v>
      </c>
      <c r="X2210" s="1" t="s">
        <v>80</v>
      </c>
    </row>
    <row r="2211" spans="1:24" x14ac:dyDescent="0.25">
      <c r="A2211" s="1" t="str">
        <f t="shared" si="649"/>
        <v>卡卡杜-凤凰仓</v>
      </c>
      <c r="B2211" s="1" t="str">
        <f>"CK2024102820"</f>
        <v>CK2024102820</v>
      </c>
      <c r="C2211" s="1" t="str">
        <f>"DD2024102819412"</f>
        <v>DD2024102819412</v>
      </c>
      <c r="D2211" s="1" t="str">
        <f>"CK202410289098"</f>
        <v>CK202410289098</v>
      </c>
      <c r="E2211" s="1" t="str">
        <f>"3723608796306476033"</f>
        <v>3723608796306476033</v>
      </c>
      <c r="F2211" s="1" t="str">
        <f t="shared" si="650"/>
        <v>花都四部-凤凰仓</v>
      </c>
      <c r="G2211" s="1" t="str">
        <f t="shared" si="657"/>
        <v>卡卡杜企业店（视频号）</v>
      </c>
      <c r="H2211" s="1" t="str">
        <f t="shared" si="651"/>
        <v>正常订单</v>
      </c>
      <c r="I2211" s="1" t="str">
        <f t="shared" si="652"/>
        <v>已发货</v>
      </c>
      <c r="J2211" s="1" t="str">
        <f t="shared" si="641"/>
        <v>3</v>
      </c>
      <c r="K2211" s="1">
        <v>2</v>
      </c>
      <c r="L2211" s="1" t="s">
        <v>74</v>
      </c>
      <c r="M2211" s="1" t="str">
        <f>"上海 上海市 金山区 "</f>
        <v xml:space="preserve">上海 上海市 金山区 </v>
      </c>
      <c r="N2211" s="1" t="str">
        <f t="shared" si="658"/>
        <v>凡华云仓-城南圆通-微信视频号</v>
      </c>
      <c r="O2211" s="5" t="s">
        <v>2247</v>
      </c>
      <c r="P2211" s="6">
        <v>0.35</v>
      </c>
      <c r="Q2211" s="11">
        <v>2.2999999999999998</v>
      </c>
      <c r="R2211" s="11"/>
      <c r="S2211" s="11"/>
      <c r="T2211" s="11"/>
      <c r="U2211" s="11">
        <f t="shared" si="648"/>
        <v>2.2999999999999998</v>
      </c>
      <c r="W2211">
        <v>2.5</v>
      </c>
      <c r="X2211" s="1" t="s">
        <v>74</v>
      </c>
    </row>
    <row r="2212" spans="1:24" x14ac:dyDescent="0.25">
      <c r="A2212" s="1" t="str">
        <f t="shared" si="649"/>
        <v>卡卡杜-凤凰仓</v>
      </c>
      <c r="B2212" s="1" t="str">
        <f>"CK2024102816"</f>
        <v>CK2024102816</v>
      </c>
      <c r="C2212" s="1" t="str">
        <f>"DD2024102819409"</f>
        <v>DD2024102819409</v>
      </c>
      <c r="D2212" s="1" t="str">
        <f>"CK202410289095"</f>
        <v>CK202410289095</v>
      </c>
      <c r="E2212" s="1" t="str">
        <f>"3723613228534729728"</f>
        <v>3723613228534729728</v>
      </c>
      <c r="F2212" s="1" t="str">
        <f t="shared" si="650"/>
        <v>花都四部-凤凰仓</v>
      </c>
      <c r="G2212" s="1" t="str">
        <f t="shared" si="657"/>
        <v>卡卡杜企业店（视频号）</v>
      </c>
      <c r="H2212" s="1" t="str">
        <f t="shared" si="651"/>
        <v>正常订单</v>
      </c>
      <c r="I2212" s="1" t="str">
        <f t="shared" si="652"/>
        <v>已发货</v>
      </c>
      <c r="J2212" s="1" t="str">
        <f t="shared" si="641"/>
        <v>3</v>
      </c>
      <c r="K2212" s="1">
        <v>2</v>
      </c>
      <c r="L2212" s="1" t="s">
        <v>74</v>
      </c>
      <c r="M2212" s="1" t="str">
        <f>"上海 上海市 徐汇区 "</f>
        <v xml:space="preserve">上海 上海市 徐汇区 </v>
      </c>
      <c r="N2212" s="1" t="str">
        <f t="shared" si="658"/>
        <v>凡华云仓-城南圆通-微信视频号</v>
      </c>
      <c r="O2212" s="5" t="s">
        <v>2248</v>
      </c>
      <c r="P2212" s="6">
        <v>0.24</v>
      </c>
      <c r="Q2212" s="11">
        <v>2</v>
      </c>
      <c r="R2212" s="11"/>
      <c r="S2212" s="11"/>
      <c r="T2212" s="11"/>
      <c r="U2212" s="11">
        <f t="shared" si="648"/>
        <v>2</v>
      </c>
      <c r="W2212">
        <v>2.2000000000000002</v>
      </c>
      <c r="X2212" s="1" t="s">
        <v>74</v>
      </c>
    </row>
    <row r="2213" spans="1:24" x14ac:dyDescent="0.25">
      <c r="A2213" s="1" t="str">
        <f t="shared" si="649"/>
        <v>卡卡杜-凤凰仓</v>
      </c>
      <c r="B2213" s="1" t="str">
        <f>"CK2024102817"</f>
        <v>CK2024102817</v>
      </c>
      <c r="C2213" s="1" t="str">
        <f>"DD2024102819408"</f>
        <v>DD2024102819408</v>
      </c>
      <c r="D2213" s="1" t="str">
        <f>"CK202410289094"</f>
        <v>CK202410289094</v>
      </c>
      <c r="E2213" s="1" t="str">
        <f>"2430201764136691"</f>
        <v>2430201764136691</v>
      </c>
      <c r="F2213" s="1" t="str">
        <f t="shared" si="650"/>
        <v>花都四部-凤凰仓</v>
      </c>
      <c r="G2213" s="1" t="str">
        <f>"卡卡杜佳旺专卖店（快手店）"</f>
        <v>卡卡杜佳旺专卖店（快手店）</v>
      </c>
      <c r="H2213" s="1" t="str">
        <f t="shared" si="651"/>
        <v>正常订单</v>
      </c>
      <c r="I2213" s="1" t="str">
        <f t="shared" si="652"/>
        <v>已发货</v>
      </c>
      <c r="J2213" s="1" t="str">
        <f t="shared" si="641"/>
        <v>3</v>
      </c>
      <c r="K2213" s="1">
        <v>2</v>
      </c>
      <c r="L2213" s="1" t="s">
        <v>30</v>
      </c>
      <c r="M2213" s="1" t="str">
        <f>"山东省 青岛市 黄岛区 泊里镇"</f>
        <v>山东省 青岛市 黄岛区 泊里镇</v>
      </c>
      <c r="N2213" s="1" t="str">
        <f>"凡华云仓-城南圆通-快手"</f>
        <v>凡华云仓-城南圆通-快手</v>
      </c>
      <c r="O2213" s="5" t="s">
        <v>2249</v>
      </c>
      <c r="P2213" s="6">
        <v>0.35</v>
      </c>
      <c r="Q2213" s="11">
        <v>2.2999999999999998</v>
      </c>
      <c r="R2213" s="11"/>
      <c r="S2213" s="11"/>
      <c r="T2213" s="11"/>
      <c r="U2213" s="11">
        <f t="shared" si="648"/>
        <v>2.2999999999999998</v>
      </c>
      <c r="W2213">
        <v>2.5</v>
      </c>
      <c r="X2213" s="1" t="s">
        <v>30</v>
      </c>
    </row>
    <row r="2214" spans="1:24" x14ac:dyDescent="0.25">
      <c r="A2214" s="1" t="str">
        <f t="shared" si="649"/>
        <v>卡卡杜-凤凰仓</v>
      </c>
      <c r="B2214" s="1" t="str">
        <f>"CK2024102818"</f>
        <v>CK2024102818</v>
      </c>
      <c r="C2214" s="1" t="str">
        <f>"DD2024102819406"</f>
        <v>DD2024102819406</v>
      </c>
      <c r="D2214" s="1" t="str">
        <f>"CK202410289092"</f>
        <v>CK202410289092</v>
      </c>
      <c r="E2214" s="1" t="str">
        <f>"6935566706085598437"</f>
        <v>6935566706085598437</v>
      </c>
      <c r="F2214" s="1" t="str">
        <f t="shared" si="650"/>
        <v>花都四部-凤凰仓</v>
      </c>
      <c r="G2214" s="1" t="str">
        <f t="shared" ref="G2214:G2217" si="659">"卡卡杜个人护理店（抖店）"</f>
        <v>卡卡杜个人护理店（抖店）</v>
      </c>
      <c r="H2214" s="1" t="str">
        <f t="shared" si="651"/>
        <v>正常订单</v>
      </c>
      <c r="I2214" s="1" t="str">
        <f t="shared" si="652"/>
        <v>已发货</v>
      </c>
      <c r="J2214" s="1" t="str">
        <f t="shared" si="641"/>
        <v>3</v>
      </c>
      <c r="K2214" s="1">
        <v>2</v>
      </c>
      <c r="L2214" s="1" t="s">
        <v>13</v>
      </c>
      <c r="M2214" s="1" t="str">
        <f>"江苏省 徐州市 鼓楼区 大黄山街道"</f>
        <v>江苏省 徐州市 鼓楼区 大黄山街道</v>
      </c>
      <c r="N2214" s="1" t="str">
        <f t="shared" ref="N2214:N2217" si="660">"凡华云仓-城南圆通-抖音"</f>
        <v>凡华云仓-城南圆通-抖音</v>
      </c>
      <c r="O2214" s="5" t="s">
        <v>2250</v>
      </c>
      <c r="P2214" s="6">
        <v>0.35</v>
      </c>
      <c r="Q2214" s="11">
        <v>2.2999999999999998</v>
      </c>
      <c r="R2214" s="11"/>
      <c r="S2214" s="11"/>
      <c r="T2214" s="11"/>
      <c r="U2214" s="11">
        <f t="shared" si="648"/>
        <v>2.2999999999999998</v>
      </c>
      <c r="W2214">
        <v>2.5</v>
      </c>
      <c r="X2214" s="1" t="s">
        <v>13</v>
      </c>
    </row>
    <row r="2215" spans="1:24" x14ac:dyDescent="0.25">
      <c r="A2215" s="1" t="str">
        <f t="shared" si="649"/>
        <v>卡卡杜-凤凰仓</v>
      </c>
      <c r="B2215" s="1" t="str">
        <f>"CK2024102815"</f>
        <v>CK2024102815</v>
      </c>
      <c r="C2215" s="1" t="str">
        <f>"DD2024102819405"</f>
        <v>DD2024102819405</v>
      </c>
      <c r="D2215" s="1" t="str">
        <f>"CK202410289091"</f>
        <v>CK202410289091</v>
      </c>
      <c r="E2215" s="1" t="str">
        <f>"6935553600387094466"</f>
        <v>6935553600387094466</v>
      </c>
      <c r="F2215" s="1" t="str">
        <f t="shared" si="650"/>
        <v>花都四部-凤凰仓</v>
      </c>
      <c r="G2215" s="1" t="str">
        <f t="shared" si="659"/>
        <v>卡卡杜个人护理店（抖店）</v>
      </c>
      <c r="H2215" s="1" t="str">
        <f t="shared" si="651"/>
        <v>正常订单</v>
      </c>
      <c r="I2215" s="1" t="str">
        <f t="shared" si="652"/>
        <v>已发货</v>
      </c>
      <c r="J2215" s="1" t="str">
        <f t="shared" si="641"/>
        <v>3</v>
      </c>
      <c r="K2215" s="1">
        <v>2</v>
      </c>
      <c r="L2215" s="1" t="s">
        <v>41</v>
      </c>
      <c r="M2215" s="1" t="str">
        <f>"湖北省 黄石市 大冶市 保安镇"</f>
        <v>湖北省 黄石市 大冶市 保安镇</v>
      </c>
      <c r="N2215" s="1" t="str">
        <f t="shared" si="660"/>
        <v>凡华云仓-城南圆通-抖音</v>
      </c>
      <c r="O2215" s="5" t="s">
        <v>2251</v>
      </c>
      <c r="P2215" s="6">
        <v>0.35</v>
      </c>
      <c r="Q2215" s="11">
        <v>2.2999999999999998</v>
      </c>
      <c r="R2215" s="11"/>
      <c r="S2215" s="11"/>
      <c r="T2215" s="11"/>
      <c r="U2215" s="11">
        <f t="shared" si="648"/>
        <v>2.2999999999999998</v>
      </c>
      <c r="W2215">
        <v>2.5</v>
      </c>
      <c r="X2215" s="1" t="s">
        <v>41</v>
      </c>
    </row>
    <row r="2216" spans="1:24" x14ac:dyDescent="0.25">
      <c r="A2216" s="1" t="str">
        <f t="shared" si="649"/>
        <v>卡卡杜-凤凰仓</v>
      </c>
      <c r="B2216" s="1" t="str">
        <f>"CK2024102814"</f>
        <v>CK2024102814</v>
      </c>
      <c r="C2216" s="1" t="str">
        <f>"DD2024102819403"</f>
        <v>DD2024102819403</v>
      </c>
      <c r="D2216" s="1" t="str">
        <f>"CK202410289089"</f>
        <v>CK202410289089</v>
      </c>
      <c r="E2216" s="1" t="str">
        <f>"6935573352579733095"</f>
        <v>6935573352579733095</v>
      </c>
      <c r="F2216" s="1" t="str">
        <f t="shared" si="650"/>
        <v>花都四部-凤凰仓</v>
      </c>
      <c r="G2216" s="1" t="str">
        <f t="shared" si="659"/>
        <v>卡卡杜个人护理店（抖店）</v>
      </c>
      <c r="H2216" s="1" t="str">
        <f t="shared" si="651"/>
        <v>正常订单</v>
      </c>
      <c r="I2216" s="1" t="str">
        <f t="shared" si="652"/>
        <v>已发货</v>
      </c>
      <c r="J2216" s="1" t="str">
        <f t="shared" si="641"/>
        <v>3</v>
      </c>
      <c r="K2216" s="1">
        <v>2</v>
      </c>
      <c r="L2216" s="1" t="s">
        <v>22</v>
      </c>
      <c r="M2216" s="1" t="str">
        <f>"江西省 抚州市 南城县 建昌镇"</f>
        <v>江西省 抚州市 南城县 建昌镇</v>
      </c>
      <c r="N2216" s="1" t="str">
        <f t="shared" si="660"/>
        <v>凡华云仓-城南圆通-抖音</v>
      </c>
      <c r="O2216" s="5" t="s">
        <v>2252</v>
      </c>
      <c r="P2216" s="6">
        <v>0.35</v>
      </c>
      <c r="Q2216" s="11">
        <v>2.2999999999999998</v>
      </c>
      <c r="R2216" s="11"/>
      <c r="S2216" s="11"/>
      <c r="T2216" s="11"/>
      <c r="U2216" s="11">
        <f t="shared" si="648"/>
        <v>2.2999999999999998</v>
      </c>
      <c r="W2216">
        <v>2.5</v>
      </c>
      <c r="X2216" s="1" t="s">
        <v>22</v>
      </c>
    </row>
    <row r="2217" spans="1:24" x14ac:dyDescent="0.25">
      <c r="A2217" s="1" t="str">
        <f t="shared" si="649"/>
        <v>卡卡杜-凤凰仓</v>
      </c>
      <c r="B2217" s="1" t="str">
        <f>"CK2024102813"</f>
        <v>CK2024102813</v>
      </c>
      <c r="C2217" s="1" t="str">
        <f>"DD2024102819402"</f>
        <v>DD2024102819402</v>
      </c>
      <c r="D2217" s="1" t="str">
        <f>"CK202410289088"</f>
        <v>CK202410289088</v>
      </c>
      <c r="E2217" s="1" t="str">
        <f>"6935551298762773512"</f>
        <v>6935551298762773512</v>
      </c>
      <c r="F2217" s="1" t="str">
        <f t="shared" si="650"/>
        <v>花都四部-凤凰仓</v>
      </c>
      <c r="G2217" s="1" t="str">
        <f t="shared" si="659"/>
        <v>卡卡杜个人护理店（抖店）</v>
      </c>
      <c r="H2217" s="1" t="str">
        <f t="shared" si="651"/>
        <v>正常订单</v>
      </c>
      <c r="I2217" s="1" t="str">
        <f t="shared" si="652"/>
        <v>已发货</v>
      </c>
      <c r="J2217" s="1" t="str">
        <f t="shared" si="641"/>
        <v>3</v>
      </c>
      <c r="K2217" s="1">
        <v>2</v>
      </c>
      <c r="L2217" s="1" t="s">
        <v>18</v>
      </c>
      <c r="M2217" s="1" t="str">
        <f>"广东省 广州市 花都区 狮岭镇"</f>
        <v>广东省 广州市 花都区 狮岭镇</v>
      </c>
      <c r="N2217" s="1" t="str">
        <f t="shared" si="660"/>
        <v>凡华云仓-城南圆通-抖音</v>
      </c>
      <c r="O2217" s="5" t="s">
        <v>2253</v>
      </c>
      <c r="P2217" s="6">
        <v>0.35</v>
      </c>
      <c r="Q2217" s="11">
        <v>2.2999999999999998</v>
      </c>
      <c r="R2217" s="11"/>
      <c r="S2217" s="11"/>
      <c r="T2217" s="11"/>
      <c r="U2217" s="11">
        <f t="shared" si="648"/>
        <v>2.2999999999999998</v>
      </c>
      <c r="W2217">
        <v>2.5</v>
      </c>
      <c r="X2217" s="1" t="s">
        <v>18</v>
      </c>
    </row>
    <row r="2218" spans="1:24" x14ac:dyDescent="0.25">
      <c r="A2218" s="1" t="str">
        <f t="shared" si="649"/>
        <v>卡卡杜-凤凰仓</v>
      </c>
      <c r="B2218" s="1" t="str">
        <f>"CK2024102809"</f>
        <v>CK2024102809</v>
      </c>
      <c r="C2218" s="1" t="str">
        <f>"DD2024102819398"</f>
        <v>DD2024102819398</v>
      </c>
      <c r="D2218" s="1" t="str">
        <f>"CK202410289084"</f>
        <v>CK202410289084</v>
      </c>
      <c r="E2218" s="1" t="str">
        <f>"2430202162770626"</f>
        <v>2430202162770626</v>
      </c>
      <c r="F2218" s="1" t="str">
        <f t="shared" si="650"/>
        <v>花都四部-凤凰仓</v>
      </c>
      <c r="G2218" s="1" t="str">
        <f t="shared" ref="G2218:G2221" si="661">"卡卡杜佳旺专卖店（快手店）"</f>
        <v>卡卡杜佳旺专卖店（快手店）</v>
      </c>
      <c r="H2218" s="1" t="str">
        <f t="shared" si="651"/>
        <v>正常订单</v>
      </c>
      <c r="I2218" s="1" t="str">
        <f t="shared" si="652"/>
        <v>已发货</v>
      </c>
      <c r="J2218" s="1" t="str">
        <f t="shared" si="641"/>
        <v>3</v>
      </c>
      <c r="K2218" s="1">
        <v>2</v>
      </c>
      <c r="L2218" s="1" t="s">
        <v>18</v>
      </c>
      <c r="M2218" s="1" t="str">
        <f>"广东省 深圳市 宝安区 燕罗街道"</f>
        <v>广东省 深圳市 宝安区 燕罗街道</v>
      </c>
      <c r="N2218" s="1" t="str">
        <f t="shared" ref="N2218:N2221" si="662">"凡华云仓-城南圆通-快手"</f>
        <v>凡华云仓-城南圆通-快手</v>
      </c>
      <c r="O2218" s="5" t="s">
        <v>2254</v>
      </c>
      <c r="P2218" s="6">
        <v>0.35</v>
      </c>
      <c r="Q2218" s="11">
        <v>2.2999999999999998</v>
      </c>
      <c r="R2218" s="11"/>
      <c r="S2218" s="11"/>
      <c r="T2218" s="11"/>
      <c r="U2218" s="11">
        <f t="shared" si="648"/>
        <v>2.2999999999999998</v>
      </c>
      <c r="W2218">
        <v>2.5</v>
      </c>
      <c r="X2218" s="1" t="s">
        <v>18</v>
      </c>
    </row>
    <row r="2219" spans="1:24" x14ac:dyDescent="0.25">
      <c r="A2219" s="1" t="str">
        <f t="shared" si="649"/>
        <v>卡卡杜-凤凰仓</v>
      </c>
      <c r="B2219" s="1" t="str">
        <f>"CK2024102812"</f>
        <v>CK2024102812</v>
      </c>
      <c r="C2219" s="1" t="str">
        <f>"DD2024102819397"</f>
        <v>DD2024102819397</v>
      </c>
      <c r="D2219" s="1" t="str">
        <f>"CK202410289083"</f>
        <v>CK202410289083</v>
      </c>
      <c r="E2219" s="1" t="str">
        <f>"2430201923539874"</f>
        <v>2430201923539874</v>
      </c>
      <c r="F2219" s="1" t="str">
        <f t="shared" si="650"/>
        <v>花都四部-凤凰仓</v>
      </c>
      <c r="G2219" s="1" t="str">
        <f t="shared" si="661"/>
        <v>卡卡杜佳旺专卖店（快手店）</v>
      </c>
      <c r="H2219" s="1" t="str">
        <f t="shared" si="651"/>
        <v>正常订单</v>
      </c>
      <c r="I2219" s="1" t="str">
        <f t="shared" si="652"/>
        <v>已发货</v>
      </c>
      <c r="J2219" s="1" t="str">
        <f t="shared" si="641"/>
        <v>3</v>
      </c>
      <c r="K2219" s="1">
        <v>2</v>
      </c>
      <c r="L2219" s="1" t="s">
        <v>32</v>
      </c>
      <c r="M2219" s="1" t="str">
        <f>"陕西省 咸阳市 礼泉县 烟霞镇"</f>
        <v>陕西省 咸阳市 礼泉县 烟霞镇</v>
      </c>
      <c r="N2219" s="1" t="str">
        <f t="shared" si="662"/>
        <v>凡华云仓-城南圆通-快手</v>
      </c>
      <c r="O2219" s="5" t="s">
        <v>2255</v>
      </c>
      <c r="P2219" s="6">
        <v>0.35</v>
      </c>
      <c r="Q2219" s="11">
        <v>2.2999999999999998</v>
      </c>
      <c r="R2219" s="11"/>
      <c r="S2219" s="11"/>
      <c r="T2219" s="11"/>
      <c r="U2219" s="11">
        <f t="shared" si="648"/>
        <v>2.2999999999999998</v>
      </c>
      <c r="W2219">
        <v>2.5</v>
      </c>
      <c r="X2219" s="1" t="s">
        <v>32</v>
      </c>
    </row>
    <row r="2220" spans="1:24" x14ac:dyDescent="0.25">
      <c r="A2220" s="1" t="str">
        <f t="shared" si="649"/>
        <v>卡卡杜-凤凰仓</v>
      </c>
      <c r="B2220" s="1" t="str">
        <f>"CK2024102811"</f>
        <v>CK2024102811</v>
      </c>
      <c r="C2220" s="1" t="str">
        <f>"DD2024102819396"</f>
        <v>DD2024102819396</v>
      </c>
      <c r="D2220" s="1" t="str">
        <f>"CK202410289082"</f>
        <v>CK202410289082</v>
      </c>
      <c r="E2220" s="1" t="str">
        <f>"2430202401857809"</f>
        <v>2430202401857809</v>
      </c>
      <c r="F2220" s="1" t="str">
        <f t="shared" si="650"/>
        <v>花都四部-凤凰仓</v>
      </c>
      <c r="G2220" s="1" t="str">
        <f t="shared" si="661"/>
        <v>卡卡杜佳旺专卖店（快手店）</v>
      </c>
      <c r="H2220" s="1" t="str">
        <f t="shared" si="651"/>
        <v>正常订单</v>
      </c>
      <c r="I2220" s="1" t="str">
        <f t="shared" si="652"/>
        <v>已发货</v>
      </c>
      <c r="J2220" s="1" t="str">
        <f t="shared" si="641"/>
        <v>3</v>
      </c>
      <c r="K2220" s="1">
        <v>2</v>
      </c>
      <c r="L2220" s="1" t="s">
        <v>24</v>
      </c>
      <c r="M2220" s="1" t="str">
        <f>"福建省 三明市 永安市 燕南街道"</f>
        <v>福建省 三明市 永安市 燕南街道</v>
      </c>
      <c r="N2220" s="1" t="str">
        <f t="shared" si="662"/>
        <v>凡华云仓-城南圆通-快手</v>
      </c>
      <c r="O2220" s="5" t="s">
        <v>2256</v>
      </c>
      <c r="P2220" s="6">
        <v>0.35</v>
      </c>
      <c r="Q2220" s="11">
        <v>2.2999999999999998</v>
      </c>
      <c r="R2220" s="11"/>
      <c r="S2220" s="11"/>
      <c r="T2220" s="11"/>
      <c r="U2220" s="11">
        <f t="shared" si="648"/>
        <v>2.2999999999999998</v>
      </c>
      <c r="W2220">
        <v>2.5</v>
      </c>
      <c r="X2220" s="1" t="s">
        <v>24</v>
      </c>
    </row>
    <row r="2221" spans="1:24" x14ac:dyDescent="0.25">
      <c r="A2221" s="1" t="str">
        <f t="shared" si="649"/>
        <v>卡卡杜-凤凰仓</v>
      </c>
      <c r="B2221" s="1" t="str">
        <f>"CK2024102808"</f>
        <v>CK2024102808</v>
      </c>
      <c r="C2221" s="1" t="str">
        <f>"DD2024102819395"</f>
        <v>DD2024102819395</v>
      </c>
      <c r="D2221" s="1" t="str">
        <f>"CK202410289081"</f>
        <v>CK202410289081</v>
      </c>
      <c r="E2221" s="1" t="str">
        <f>"2430202243617137"</f>
        <v>2430202243617137</v>
      </c>
      <c r="F2221" s="1" t="str">
        <f t="shared" si="650"/>
        <v>花都四部-凤凰仓</v>
      </c>
      <c r="G2221" s="1" t="str">
        <f t="shared" si="661"/>
        <v>卡卡杜佳旺专卖店（快手店）</v>
      </c>
      <c r="H2221" s="1" t="str">
        <f t="shared" si="651"/>
        <v>正常订单</v>
      </c>
      <c r="I2221" s="1" t="str">
        <f t="shared" si="652"/>
        <v>已发货</v>
      </c>
      <c r="J2221" s="1" t="str">
        <f t="shared" si="641"/>
        <v>3</v>
      </c>
      <c r="K2221" s="1">
        <v>2</v>
      </c>
      <c r="L2221" s="1" t="s">
        <v>54</v>
      </c>
      <c r="M2221" s="1" t="str">
        <f>"黑龙江省 绥化市 北林区 北辰街道"</f>
        <v>黑龙江省 绥化市 北林区 北辰街道</v>
      </c>
      <c r="N2221" s="1" t="str">
        <f t="shared" si="662"/>
        <v>凡华云仓-城南圆通-快手</v>
      </c>
      <c r="O2221" s="5" t="s">
        <v>2257</v>
      </c>
      <c r="P2221" s="6">
        <v>0.35</v>
      </c>
      <c r="Q2221" s="11">
        <v>2.2999999999999998</v>
      </c>
      <c r="R2221" s="11"/>
      <c r="S2221" s="11"/>
      <c r="T2221" s="11"/>
      <c r="U2221" s="11">
        <f t="shared" si="648"/>
        <v>2.2999999999999998</v>
      </c>
      <c r="W2221">
        <v>2.5</v>
      </c>
      <c r="X2221" s="1" t="s">
        <v>54</v>
      </c>
    </row>
    <row r="2222" spans="1:24" x14ac:dyDescent="0.25">
      <c r="A2222" s="1" t="str">
        <f t="shared" si="649"/>
        <v>卡卡杜-凤凰仓</v>
      </c>
      <c r="B2222" s="1" t="str">
        <f>"CK2024102810"</f>
        <v>CK2024102810</v>
      </c>
      <c r="C2222" s="1" t="str">
        <f>"DD2024102819394"</f>
        <v>DD2024102819394</v>
      </c>
      <c r="D2222" s="1" t="str">
        <f>"CK202410289080"</f>
        <v>CK202410289080</v>
      </c>
      <c r="E2222" s="1" t="str">
        <f>"6935566921687176198"</f>
        <v>6935566921687176198</v>
      </c>
      <c r="F2222" s="1" t="str">
        <f t="shared" si="650"/>
        <v>花都四部-凤凰仓</v>
      </c>
      <c r="G2222" s="1" t="str">
        <f>"卡卡杜个人护理店（抖店）"</f>
        <v>卡卡杜个人护理店（抖店）</v>
      </c>
      <c r="H2222" s="1" t="str">
        <f t="shared" si="651"/>
        <v>正常订单</v>
      </c>
      <c r="I2222" s="1" t="str">
        <f t="shared" si="652"/>
        <v>已发货</v>
      </c>
      <c r="J2222" s="1" t="str">
        <f t="shared" ref="J2222:J2229" si="663">"3"</f>
        <v>3</v>
      </c>
      <c r="K2222" s="1">
        <v>2</v>
      </c>
      <c r="L2222" s="1" t="s">
        <v>24</v>
      </c>
      <c r="M2222" s="1" t="str">
        <f>"福建省 南平市 邵武市 昭阳街道"</f>
        <v>福建省 南平市 邵武市 昭阳街道</v>
      </c>
      <c r="N2222" s="1" t="str">
        <f>"凡华云仓-城南圆通-抖音"</f>
        <v>凡华云仓-城南圆通-抖音</v>
      </c>
      <c r="O2222" s="5" t="s">
        <v>2258</v>
      </c>
      <c r="P2222" s="6">
        <v>0.35</v>
      </c>
      <c r="Q2222" s="11">
        <v>2.2999999999999998</v>
      </c>
      <c r="R2222" s="11"/>
      <c r="S2222" s="11"/>
      <c r="T2222" s="11"/>
      <c r="U2222" s="11">
        <f t="shared" si="648"/>
        <v>2.2999999999999998</v>
      </c>
      <c r="W2222">
        <v>2.5</v>
      </c>
      <c r="X2222" s="1" t="s">
        <v>24</v>
      </c>
    </row>
    <row r="2223" spans="1:24" x14ac:dyDescent="0.25">
      <c r="A2223" s="1" t="str">
        <f t="shared" si="649"/>
        <v>卡卡杜-凤凰仓</v>
      </c>
      <c r="B2223" s="1" t="str">
        <f>"CK2024102807"</f>
        <v>CK2024102807</v>
      </c>
      <c r="C2223" s="1" t="str">
        <f>"DD2024102819393"</f>
        <v>DD2024102819393</v>
      </c>
      <c r="D2223" s="1" t="str">
        <f>"CK202410289079"</f>
        <v>CK202410289079</v>
      </c>
      <c r="E2223" s="1" t="str">
        <f>"3723615619137277952"</f>
        <v>3723615619137277952</v>
      </c>
      <c r="F2223" s="1" t="str">
        <f t="shared" si="650"/>
        <v>花都四部-凤凰仓</v>
      </c>
      <c r="G2223" s="1" t="str">
        <f>"卡卡杜企业店（视频号）"</f>
        <v>卡卡杜企业店（视频号）</v>
      </c>
      <c r="H2223" s="1" t="str">
        <f t="shared" si="651"/>
        <v>正常订单</v>
      </c>
      <c r="I2223" s="1" t="str">
        <f t="shared" si="652"/>
        <v>已发货</v>
      </c>
      <c r="J2223" s="1" t="str">
        <f t="shared" si="663"/>
        <v>3</v>
      </c>
      <c r="K2223" s="1">
        <v>2</v>
      </c>
      <c r="L2223" s="1" t="s">
        <v>16</v>
      </c>
      <c r="M2223" s="1" t="str">
        <f>"河北省 廊坊市 三河市 "</f>
        <v xml:space="preserve">河北省 廊坊市 三河市 </v>
      </c>
      <c r="N2223" s="1" t="str">
        <f>"凡华云仓-城南圆通-微信视频号"</f>
        <v>凡华云仓-城南圆通-微信视频号</v>
      </c>
      <c r="O2223" s="5" t="s">
        <v>2259</v>
      </c>
      <c r="P2223" s="6">
        <v>0.35</v>
      </c>
      <c r="Q2223" s="11">
        <v>2.2999999999999998</v>
      </c>
      <c r="R2223" s="11"/>
      <c r="S2223" s="11"/>
      <c r="T2223" s="11"/>
      <c r="U2223" s="11">
        <f t="shared" si="648"/>
        <v>2.2999999999999998</v>
      </c>
      <c r="W2223">
        <v>2.5</v>
      </c>
      <c r="X2223" s="1" t="s">
        <v>16</v>
      </c>
    </row>
    <row r="2224" spans="1:24" x14ac:dyDescent="0.25">
      <c r="A2224" s="1" t="str">
        <f t="shared" si="649"/>
        <v>卡卡杜-凤凰仓</v>
      </c>
      <c r="B2224" s="1" t="str">
        <f>"CK2024102802"</f>
        <v>CK2024102802</v>
      </c>
      <c r="C2224" s="1" t="str">
        <f>"DD2024102819388"</f>
        <v>DD2024102819388</v>
      </c>
      <c r="D2224" s="1" t="str">
        <f>"CK202410289074"</f>
        <v>CK202410289074</v>
      </c>
      <c r="E2224" s="1" t="str">
        <f>"2430202321960155"</f>
        <v>2430202321960155</v>
      </c>
      <c r="F2224" s="1" t="str">
        <f t="shared" si="650"/>
        <v>花都四部-凤凰仓</v>
      </c>
      <c r="G2224" s="1" t="str">
        <f t="shared" ref="G2224:G2227" si="664">"卡卡杜佳旺专卖店（快手店）"</f>
        <v>卡卡杜佳旺专卖店（快手店）</v>
      </c>
      <c r="H2224" s="1" t="str">
        <f t="shared" si="651"/>
        <v>正常订单</v>
      </c>
      <c r="I2224" s="1" t="str">
        <f t="shared" si="652"/>
        <v>已发货</v>
      </c>
      <c r="J2224" s="1" t="str">
        <f t="shared" si="663"/>
        <v>3</v>
      </c>
      <c r="K2224" s="1">
        <v>2</v>
      </c>
      <c r="L2224" s="1" t="s">
        <v>20</v>
      </c>
      <c r="M2224" s="1" t="str">
        <f>"浙江省 温州市 瑞安市 陶山镇"</f>
        <v>浙江省 温州市 瑞安市 陶山镇</v>
      </c>
      <c r="N2224" s="1" t="str">
        <f t="shared" ref="N2224:N2227" si="665">"凡华云仓-城南圆通-快手"</f>
        <v>凡华云仓-城南圆通-快手</v>
      </c>
      <c r="O2224" s="5" t="s">
        <v>2260</v>
      </c>
      <c r="P2224" s="6">
        <v>0.35</v>
      </c>
      <c r="Q2224" s="11">
        <v>2.2999999999999998</v>
      </c>
      <c r="R2224" s="11"/>
      <c r="S2224" s="11"/>
      <c r="T2224" s="11"/>
      <c r="U2224" s="11">
        <f t="shared" si="648"/>
        <v>2.2999999999999998</v>
      </c>
      <c r="W2224">
        <v>2.5</v>
      </c>
      <c r="X2224" s="1" t="s">
        <v>20</v>
      </c>
    </row>
    <row r="2225" spans="1:24" x14ac:dyDescent="0.25">
      <c r="A2225" s="1" t="str">
        <f t="shared" si="649"/>
        <v>卡卡杜-凤凰仓</v>
      </c>
      <c r="B2225" s="1" t="str">
        <f>"CK2024102805"</f>
        <v>CK2024102805</v>
      </c>
      <c r="C2225" s="1" t="str">
        <f>"DD2024102819387"</f>
        <v>DD2024102819387</v>
      </c>
      <c r="D2225" s="1" t="str">
        <f>"CK202410289073"</f>
        <v>CK202410289073</v>
      </c>
      <c r="E2225" s="1" t="str">
        <f>"2430202320347237"</f>
        <v>2430202320347237</v>
      </c>
      <c r="F2225" s="1" t="str">
        <f t="shared" si="650"/>
        <v>花都四部-凤凰仓</v>
      </c>
      <c r="G2225" s="1" t="str">
        <f t="shared" si="664"/>
        <v>卡卡杜佳旺专卖店（快手店）</v>
      </c>
      <c r="H2225" s="1" t="str">
        <f t="shared" si="651"/>
        <v>正常订单</v>
      </c>
      <c r="I2225" s="1" t="str">
        <f t="shared" si="652"/>
        <v>已发货</v>
      </c>
      <c r="J2225" s="1" t="str">
        <f t="shared" si="663"/>
        <v>3</v>
      </c>
      <c r="K2225" s="1">
        <v>2</v>
      </c>
      <c r="L2225" s="1" t="s">
        <v>92</v>
      </c>
      <c r="M2225" s="1" t="str">
        <f>"辽宁省 大连市 金州区 湾里街道"</f>
        <v>辽宁省 大连市 金州区 湾里街道</v>
      </c>
      <c r="N2225" s="1" t="str">
        <f t="shared" si="665"/>
        <v>凡华云仓-城南圆通-快手</v>
      </c>
      <c r="O2225" s="5" t="s">
        <v>2261</v>
      </c>
      <c r="P2225" s="6">
        <v>0.35</v>
      </c>
      <c r="Q2225" s="11">
        <v>2.2999999999999998</v>
      </c>
      <c r="R2225" s="11"/>
      <c r="S2225" s="11"/>
      <c r="T2225" s="11"/>
      <c r="U2225" s="11">
        <f t="shared" si="648"/>
        <v>2.2999999999999998</v>
      </c>
      <c r="W2225">
        <v>2.5</v>
      </c>
      <c r="X2225" s="1" t="s">
        <v>92</v>
      </c>
    </row>
    <row r="2226" spans="1:24" x14ac:dyDescent="0.25">
      <c r="A2226" s="1" t="str">
        <f t="shared" si="649"/>
        <v>卡卡杜-凤凰仓</v>
      </c>
      <c r="B2226" s="1" t="str">
        <f>"CK2024102801"</f>
        <v>CK2024102801</v>
      </c>
      <c r="C2226" s="1" t="str">
        <f>"DD2024102819386"</f>
        <v>DD2024102819386</v>
      </c>
      <c r="D2226" s="1" t="str">
        <f>"CK202410289072"</f>
        <v>CK202410289072</v>
      </c>
      <c r="E2226" s="1" t="str">
        <f>"2430202483576984"</f>
        <v>2430202483576984</v>
      </c>
      <c r="F2226" s="1" t="str">
        <f t="shared" si="650"/>
        <v>花都四部-凤凰仓</v>
      </c>
      <c r="G2226" s="1" t="str">
        <f t="shared" si="664"/>
        <v>卡卡杜佳旺专卖店（快手店）</v>
      </c>
      <c r="H2226" s="1" t="str">
        <f t="shared" si="651"/>
        <v>正常订单</v>
      </c>
      <c r="I2226" s="1" t="str">
        <f t="shared" si="652"/>
        <v>已发货</v>
      </c>
      <c r="J2226" s="1" t="str">
        <f t="shared" si="663"/>
        <v>3</v>
      </c>
      <c r="K2226" s="1">
        <v>2</v>
      </c>
      <c r="L2226" s="1" t="s">
        <v>13</v>
      </c>
      <c r="M2226" s="1" t="str">
        <f>"江苏省 无锡市 江阴市 徐霞客镇"</f>
        <v>江苏省 无锡市 江阴市 徐霞客镇</v>
      </c>
      <c r="N2226" s="1" t="str">
        <f t="shared" si="665"/>
        <v>凡华云仓-城南圆通-快手</v>
      </c>
      <c r="O2226" s="5" t="s">
        <v>2262</v>
      </c>
      <c r="P2226" s="6">
        <v>0.35</v>
      </c>
      <c r="Q2226" s="11">
        <v>2.2999999999999998</v>
      </c>
      <c r="R2226" s="11"/>
      <c r="S2226" s="11"/>
      <c r="T2226" s="11"/>
      <c r="U2226" s="11">
        <f t="shared" si="648"/>
        <v>2.2999999999999998</v>
      </c>
      <c r="W2226">
        <v>2.5</v>
      </c>
      <c r="X2226" s="1" t="s">
        <v>13</v>
      </c>
    </row>
    <row r="2227" spans="1:24" x14ac:dyDescent="0.25">
      <c r="A2227" s="1" t="str">
        <f t="shared" si="649"/>
        <v>卡卡杜-凤凰仓</v>
      </c>
      <c r="B2227" s="1" t="str">
        <f>"CK2024102803"</f>
        <v>CK2024102803</v>
      </c>
      <c r="C2227" s="1" t="str">
        <f>"DD2024102819385"</f>
        <v>DD2024102819385</v>
      </c>
      <c r="D2227" s="1" t="str">
        <f>"CK202410289071"</f>
        <v>CK202410289071</v>
      </c>
      <c r="E2227" s="1" t="str">
        <f>"2430202402011536"</f>
        <v>2430202402011536</v>
      </c>
      <c r="F2227" s="1" t="str">
        <f t="shared" si="650"/>
        <v>花都四部-凤凰仓</v>
      </c>
      <c r="G2227" s="1" t="str">
        <f t="shared" si="664"/>
        <v>卡卡杜佳旺专卖店（快手店）</v>
      </c>
      <c r="H2227" s="1" t="str">
        <f t="shared" si="651"/>
        <v>正常订单</v>
      </c>
      <c r="I2227" s="1" t="str">
        <f t="shared" si="652"/>
        <v>已发货</v>
      </c>
      <c r="J2227" s="1" t="str">
        <f t="shared" si="663"/>
        <v>3</v>
      </c>
      <c r="K2227" s="1">
        <v>2</v>
      </c>
      <c r="L2227" s="1" t="s">
        <v>710</v>
      </c>
      <c r="M2227" s="1" t="str">
        <f>"上海市 上海市 长宁区 华阳路街道"</f>
        <v>上海市 上海市 长宁区 华阳路街道</v>
      </c>
      <c r="N2227" s="1" t="str">
        <f t="shared" si="665"/>
        <v>凡华云仓-城南圆通-快手</v>
      </c>
      <c r="O2227" s="5" t="s">
        <v>2263</v>
      </c>
      <c r="P2227" s="6">
        <v>0.35</v>
      </c>
      <c r="Q2227" s="11">
        <v>2.2999999999999998</v>
      </c>
      <c r="R2227" s="11"/>
      <c r="S2227" s="11"/>
      <c r="T2227" s="11"/>
      <c r="U2227" s="11">
        <f t="shared" si="648"/>
        <v>2.2999999999999998</v>
      </c>
      <c r="W2227">
        <v>2.5</v>
      </c>
      <c r="X2227" s="1" t="s">
        <v>710</v>
      </c>
    </row>
    <row r="2228" spans="1:24" x14ac:dyDescent="0.25">
      <c r="A2228" s="1" t="str">
        <f t="shared" si="649"/>
        <v>卡卡杜-凤凰仓</v>
      </c>
      <c r="B2228" s="1" t="str">
        <f>"CK2024102806"</f>
        <v>CK2024102806</v>
      </c>
      <c r="C2228" s="1" t="str">
        <f>"DD2024102819384"</f>
        <v>DD2024102819384</v>
      </c>
      <c r="D2228" s="1" t="str">
        <f>"CK202410289070"</f>
        <v>CK202410289070</v>
      </c>
      <c r="E2228" s="1" t="str">
        <f>"6935553836363749141"</f>
        <v>6935553836363749141</v>
      </c>
      <c r="F2228" s="1" t="str">
        <f t="shared" si="650"/>
        <v>花都四部-凤凰仓</v>
      </c>
      <c r="G2228" s="1" t="str">
        <f>"卡卡杜个人护理店（抖店）"</f>
        <v>卡卡杜个人护理店（抖店）</v>
      </c>
      <c r="H2228" s="1" t="str">
        <f t="shared" si="651"/>
        <v>正常订单</v>
      </c>
      <c r="I2228" s="1" t="str">
        <f t="shared" si="652"/>
        <v>已发货</v>
      </c>
      <c r="J2228" s="1" t="str">
        <f t="shared" si="663"/>
        <v>3</v>
      </c>
      <c r="K2228" s="1">
        <v>2</v>
      </c>
      <c r="L2228" s="1" t="s">
        <v>18</v>
      </c>
      <c r="M2228" s="1" t="str">
        <f>"广东省 广州市 增城区 新塘镇"</f>
        <v>广东省 广州市 增城区 新塘镇</v>
      </c>
      <c r="N2228" s="1" t="str">
        <f>"凡华云仓-城南圆通-抖音"</f>
        <v>凡华云仓-城南圆通-抖音</v>
      </c>
      <c r="O2228" s="5" t="s">
        <v>2264</v>
      </c>
      <c r="P2228" s="6">
        <v>0.35</v>
      </c>
      <c r="Q2228" s="11">
        <v>2.2999999999999998</v>
      </c>
      <c r="R2228" s="11"/>
      <c r="S2228" s="11"/>
      <c r="T2228" s="11"/>
      <c r="U2228" s="11">
        <f t="shared" si="648"/>
        <v>2.2999999999999998</v>
      </c>
      <c r="W2228">
        <v>2.5</v>
      </c>
      <c r="X2228" s="1" t="s">
        <v>18</v>
      </c>
    </row>
    <row r="2229" spans="1:24" x14ac:dyDescent="0.25">
      <c r="A2229" s="1" t="str">
        <f t="shared" si="649"/>
        <v>卡卡杜-凤凰仓</v>
      </c>
      <c r="B2229" s="1" t="str">
        <f>"CK2024102804"</f>
        <v>CK2024102804</v>
      </c>
      <c r="C2229" s="1" t="str">
        <f>"DD2024102819383"</f>
        <v>DD2024102819383</v>
      </c>
      <c r="D2229" s="1" t="str">
        <f>"CK202410289069"</f>
        <v>CK202410289069</v>
      </c>
      <c r="E2229" s="1" t="str">
        <f>"2430201603570566"</f>
        <v>2430201603570566</v>
      </c>
      <c r="F2229" s="1" t="str">
        <f t="shared" si="650"/>
        <v>花都四部-凤凰仓</v>
      </c>
      <c r="G2229" s="1" t="str">
        <f>"卡卡杜佳旺专卖店（快手店）"</f>
        <v>卡卡杜佳旺专卖店（快手店）</v>
      </c>
      <c r="H2229" s="1" t="str">
        <f t="shared" si="651"/>
        <v>正常订单</v>
      </c>
      <c r="I2229" s="1" t="str">
        <f t="shared" si="652"/>
        <v>已发货</v>
      </c>
      <c r="J2229" s="1" t="str">
        <f t="shared" si="663"/>
        <v>3</v>
      </c>
      <c r="K2229" s="1">
        <v>2</v>
      </c>
      <c r="L2229" s="1" t="s">
        <v>161</v>
      </c>
      <c r="M2229" s="1" t="str">
        <f>"四川省 成都市 双流区 怡心街道"</f>
        <v>四川省 成都市 双流区 怡心街道</v>
      </c>
      <c r="N2229" s="1" t="str">
        <f>"凡华云仓-城南圆通-快手"</f>
        <v>凡华云仓-城南圆通-快手</v>
      </c>
      <c r="O2229" s="5" t="s">
        <v>2265</v>
      </c>
      <c r="P2229" s="6">
        <v>0.35</v>
      </c>
      <c r="Q2229" s="11">
        <v>2.2999999999999998</v>
      </c>
      <c r="R2229" s="11"/>
      <c r="S2229" s="11"/>
      <c r="T2229" s="11"/>
      <c r="U2229" s="11">
        <f t="shared" si="648"/>
        <v>2.2999999999999998</v>
      </c>
      <c r="W2229">
        <v>2.5</v>
      </c>
      <c r="X2229" s="1" t="s">
        <v>161</v>
      </c>
    </row>
    <row r="2230" spans="1:24" x14ac:dyDescent="0.25">
      <c r="A2230" s="1" t="str">
        <f t="shared" si="649"/>
        <v>卡卡杜-凤凰仓</v>
      </c>
      <c r="B2230" s="1" t="str">
        <f>"CK2024102719501"</f>
        <v>CK2024102719501</v>
      </c>
      <c r="C2230" s="1" t="str">
        <f>"DD20241027101742"</f>
        <v>DD20241027101742</v>
      </c>
      <c r="D2230" s="1" t="str">
        <f>"CK2024102784342"</f>
        <v>CK2024102784342</v>
      </c>
      <c r="E2230" s="1" t="str">
        <f>"KKD20241027YP002"</f>
        <v>KKD20241027YP002</v>
      </c>
      <c r="F2230" s="1" t="str">
        <f t="shared" si="650"/>
        <v>花都四部-凤凰仓</v>
      </c>
      <c r="G2230" s="1" t="str">
        <f>"卡卡杜全欣样品"</f>
        <v>卡卡杜全欣样品</v>
      </c>
      <c r="H2230" s="1" t="str">
        <f t="shared" si="651"/>
        <v>正常订单</v>
      </c>
      <c r="I2230" s="1" t="str">
        <f t="shared" si="652"/>
        <v>已发货</v>
      </c>
      <c r="J2230" s="1" t="str">
        <f>"8"</f>
        <v>8</v>
      </c>
      <c r="K2230" s="1">
        <v>7</v>
      </c>
      <c r="L2230" s="1" t="s">
        <v>94</v>
      </c>
      <c r="M2230" s="1" t="str">
        <f>"湖南省 郴州市 汝城县 "</f>
        <v xml:space="preserve">湖南省 郴州市 汝城县 </v>
      </c>
      <c r="N2230" s="1" t="str">
        <f>"凡华云仓-城南圆通-淘宝"</f>
        <v>凡华云仓-城南圆通-淘宝</v>
      </c>
      <c r="O2230" s="3" t="s">
        <v>2266</v>
      </c>
      <c r="P2230" s="6">
        <v>0.97</v>
      </c>
      <c r="Q2230" s="11">
        <f t="shared" ref="Q2230:Q2235" si="666">CEILING(P2230-0.5,0.1)*10*0.15+2.3</f>
        <v>3.05</v>
      </c>
      <c r="R2230" s="11">
        <f>(K2230-3)*0.1</f>
        <v>0.4</v>
      </c>
      <c r="S2230" s="11">
        <v>0.15</v>
      </c>
      <c r="T2230" s="11"/>
      <c r="U2230" s="11">
        <f t="shared" si="648"/>
        <v>3.5999999999999996</v>
      </c>
      <c r="V2230" t="s">
        <v>15</v>
      </c>
      <c r="W2230">
        <v>3.6</v>
      </c>
      <c r="X2230" s="1" t="s">
        <v>94</v>
      </c>
    </row>
    <row r="2231" spans="1:24" x14ac:dyDescent="0.25">
      <c r="A2231" s="1" t="str">
        <f t="shared" si="649"/>
        <v>卡卡杜-凤凰仓</v>
      </c>
      <c r="B2231" s="1" t="str">
        <f>"CK2024102719502"</f>
        <v>CK2024102719502</v>
      </c>
      <c r="C2231" s="1" t="str">
        <f>"DD20241027101741"</f>
        <v>DD20241027101741</v>
      </c>
      <c r="D2231" s="1" t="str">
        <f>"CK2024102784341"</f>
        <v>CK2024102784341</v>
      </c>
      <c r="E2231" s="1" t="str">
        <f>"KKD20241027YP001"</f>
        <v>KKD20241027YP001</v>
      </c>
      <c r="F2231" s="1" t="str">
        <f t="shared" si="650"/>
        <v>花都四部-凤凰仓</v>
      </c>
      <c r="G2231" s="1" t="str">
        <f>"卡卡杜全欣样品"</f>
        <v>卡卡杜全欣样品</v>
      </c>
      <c r="H2231" s="1" t="str">
        <f t="shared" si="651"/>
        <v>正常订单</v>
      </c>
      <c r="I2231" s="1" t="str">
        <f t="shared" si="652"/>
        <v>已发货</v>
      </c>
      <c r="J2231" s="1" t="str">
        <f>"10"</f>
        <v>10</v>
      </c>
      <c r="K2231" s="1">
        <v>7</v>
      </c>
      <c r="L2231" s="1" t="s">
        <v>30</v>
      </c>
      <c r="M2231" s="1" t="str">
        <f>"山东省 临沂市 兰山区 "</f>
        <v xml:space="preserve">山东省 临沂市 兰山区 </v>
      </c>
      <c r="N2231" s="1" t="str">
        <f>"凡华云仓-城南圆通-淘宝"</f>
        <v>凡华云仓-城南圆通-淘宝</v>
      </c>
      <c r="O2231" s="3" t="s">
        <v>2267</v>
      </c>
      <c r="P2231" s="6">
        <v>1.18</v>
      </c>
      <c r="Q2231" s="11">
        <f t="shared" si="666"/>
        <v>3.3499999999999996</v>
      </c>
      <c r="R2231" s="11">
        <f>(K2231-3)*0.1</f>
        <v>0.4</v>
      </c>
      <c r="S2231" s="11">
        <v>0.15</v>
      </c>
      <c r="T2231" s="11"/>
      <c r="U2231" s="11">
        <f t="shared" si="648"/>
        <v>3.8999999999999995</v>
      </c>
      <c r="V2231" t="s">
        <v>15</v>
      </c>
      <c r="W2231">
        <v>3.9</v>
      </c>
      <c r="X2231" s="1" t="s">
        <v>30</v>
      </c>
    </row>
    <row r="2232" spans="1:24" x14ac:dyDescent="0.25">
      <c r="A2232" s="1" t="str">
        <f t="shared" si="649"/>
        <v>卡卡杜-凤凰仓</v>
      </c>
      <c r="B2232" s="1" t="str">
        <f>"CK2024102719500"</f>
        <v>CK2024102719500</v>
      </c>
      <c r="C2232" s="1" t="str">
        <f>"DD20241027100561"</f>
        <v>DD20241027100561</v>
      </c>
      <c r="D2232" s="1" t="str">
        <f>"CK2024102782630"</f>
        <v>CK2024102782630</v>
      </c>
      <c r="E2232" s="1" t="str">
        <f>"3723599702214183936"</f>
        <v>3723599702214183936</v>
      </c>
      <c r="F2232" s="1" t="str">
        <f t="shared" si="650"/>
        <v>花都四部-凤凰仓</v>
      </c>
      <c r="G2232" s="1" t="str">
        <f>"卡卡杜企业店（视频号）"</f>
        <v>卡卡杜企业店（视频号）</v>
      </c>
      <c r="H2232" s="1" t="str">
        <f t="shared" si="651"/>
        <v>正常订单</v>
      </c>
      <c r="I2232" s="1" t="str">
        <f t="shared" si="652"/>
        <v>已发货</v>
      </c>
      <c r="J2232" s="1" t="str">
        <f t="shared" ref="J2232:J2234" si="667">"3"</f>
        <v>3</v>
      </c>
      <c r="K2232" s="1">
        <v>3</v>
      </c>
      <c r="L2232" s="1" t="s">
        <v>105</v>
      </c>
      <c r="M2232" s="1" t="str">
        <f>"北京 北京市 海淀区 "</f>
        <v xml:space="preserve">北京 北京市 海淀区 </v>
      </c>
      <c r="N2232" s="1" t="str">
        <f>"凡华云仓-城南圆通-微信视频号"</f>
        <v>凡华云仓-城南圆通-微信视频号</v>
      </c>
      <c r="O2232" s="5" t="s">
        <v>2268</v>
      </c>
      <c r="P2232" s="6">
        <v>0.34</v>
      </c>
      <c r="Q2232" s="11">
        <v>2.2999999999999998</v>
      </c>
      <c r="R2232" s="11"/>
      <c r="S2232" s="11"/>
      <c r="T2232" s="11"/>
      <c r="U2232" s="11">
        <f t="shared" si="648"/>
        <v>2.2999999999999998</v>
      </c>
      <c r="W2232">
        <v>2.5</v>
      </c>
      <c r="X2232" s="1" t="s">
        <v>105</v>
      </c>
    </row>
    <row r="2233" spans="1:24" x14ac:dyDescent="0.25">
      <c r="A2233" s="1" t="str">
        <f t="shared" si="649"/>
        <v>卡卡杜-凤凰仓</v>
      </c>
      <c r="B2233" s="1" t="str">
        <f>"CK2024102719499"</f>
        <v>CK2024102719499</v>
      </c>
      <c r="C2233" s="1" t="str">
        <f>"DD20241027100560"</f>
        <v>DD20241027100560</v>
      </c>
      <c r="D2233" s="1" t="str">
        <f>"CK2024102782629"</f>
        <v>CK2024102782629</v>
      </c>
      <c r="E2233" s="1" t="str">
        <f>"6935529819554321822"</f>
        <v>6935529819554321822</v>
      </c>
      <c r="F2233" s="1" t="str">
        <f t="shared" si="650"/>
        <v>花都四部-凤凰仓</v>
      </c>
      <c r="G2233" s="1" t="str">
        <f>"卡卡杜个人护理店（抖店）"</f>
        <v>卡卡杜个人护理店（抖店）</v>
      </c>
      <c r="H2233" s="1" t="str">
        <f t="shared" si="651"/>
        <v>正常订单</v>
      </c>
      <c r="I2233" s="1" t="str">
        <f t="shared" si="652"/>
        <v>已发货</v>
      </c>
      <c r="J2233" s="1" t="str">
        <f t="shared" si="667"/>
        <v>3</v>
      </c>
      <c r="K2233" s="1">
        <v>2</v>
      </c>
      <c r="L2233" s="1" t="s">
        <v>80</v>
      </c>
      <c r="M2233" s="1" t="str">
        <f>"河南省 洛阳市 老城区 道北路街道"</f>
        <v>河南省 洛阳市 老城区 道北路街道</v>
      </c>
      <c r="N2233" s="1" t="str">
        <f>"凡华云仓-城南圆通-抖音"</f>
        <v>凡华云仓-城南圆通-抖音</v>
      </c>
      <c r="O2233" s="5" t="s">
        <v>2269</v>
      </c>
      <c r="P2233" s="6">
        <v>0.35</v>
      </c>
      <c r="Q2233" s="11">
        <v>2.2999999999999998</v>
      </c>
      <c r="R2233" s="11"/>
      <c r="S2233" s="11"/>
      <c r="T2233" s="11"/>
      <c r="U2233" s="11">
        <f t="shared" si="648"/>
        <v>2.2999999999999998</v>
      </c>
      <c r="W2233">
        <v>2.5</v>
      </c>
      <c r="X2233" s="1" t="s">
        <v>80</v>
      </c>
    </row>
    <row r="2234" spans="1:24" x14ac:dyDescent="0.25">
      <c r="A2234" s="1" t="str">
        <f t="shared" si="649"/>
        <v>卡卡杜-凤凰仓</v>
      </c>
      <c r="B2234" s="1" t="str">
        <f>"CK2024102719498"</f>
        <v>CK2024102719498</v>
      </c>
      <c r="C2234" s="1" t="str">
        <f>"DD20241027100559"</f>
        <v>DD20241027100559</v>
      </c>
      <c r="D2234" s="1" t="str">
        <f>"CK2024102782628"</f>
        <v>CK2024102782628</v>
      </c>
      <c r="E2234" s="1" t="str">
        <f>"2430102089075548"</f>
        <v>2430102089075548</v>
      </c>
      <c r="F2234" s="1" t="str">
        <f t="shared" si="650"/>
        <v>花都四部-凤凰仓</v>
      </c>
      <c r="G2234" s="1" t="str">
        <f t="shared" ref="G2234:G2236" si="668">"卡卡杜佳旺专卖店（快手店）"</f>
        <v>卡卡杜佳旺专卖店（快手店）</v>
      </c>
      <c r="H2234" s="1" t="str">
        <f t="shared" si="651"/>
        <v>正常订单</v>
      </c>
      <c r="I2234" s="1" t="str">
        <f t="shared" si="652"/>
        <v>已发货</v>
      </c>
      <c r="J2234" s="1" t="str">
        <f t="shared" si="667"/>
        <v>3</v>
      </c>
      <c r="K2234" s="1">
        <v>2</v>
      </c>
      <c r="L2234" s="1" t="s">
        <v>54</v>
      </c>
      <c r="M2234" s="1" t="str">
        <f>"黑龙江省 绥化市 青冈县 青冈镇"</f>
        <v>黑龙江省 绥化市 青冈县 青冈镇</v>
      </c>
      <c r="N2234" s="1" t="str">
        <f t="shared" ref="N2234:N2236" si="669">"凡华云仓-城南圆通-快手"</f>
        <v>凡华云仓-城南圆通-快手</v>
      </c>
      <c r="O2234" s="5" t="s">
        <v>2270</v>
      </c>
      <c r="P2234" s="6">
        <v>0.35</v>
      </c>
      <c r="Q2234" s="11">
        <v>2.2999999999999998</v>
      </c>
      <c r="R2234" s="11"/>
      <c r="S2234" s="11"/>
      <c r="T2234" s="11"/>
      <c r="U2234" s="11">
        <f t="shared" si="648"/>
        <v>2.2999999999999998</v>
      </c>
      <c r="W2234">
        <v>2.5</v>
      </c>
      <c r="X2234" s="1" t="s">
        <v>54</v>
      </c>
    </row>
    <row r="2235" spans="1:24" x14ac:dyDescent="0.25">
      <c r="A2235" s="1" t="str">
        <f t="shared" si="649"/>
        <v>卡卡杜-凤凰仓</v>
      </c>
      <c r="B2235" s="1" t="str">
        <f>"CK2024102719497"</f>
        <v>CK2024102719497</v>
      </c>
      <c r="C2235" s="1" t="str">
        <f>"DD20241027100558"</f>
        <v>DD20241027100558</v>
      </c>
      <c r="D2235" s="1" t="str">
        <f>"CK2024102782627"</f>
        <v>CK2024102782627</v>
      </c>
      <c r="E2235" s="1" t="str">
        <f>"2430102169937676"</f>
        <v>2430102169937676</v>
      </c>
      <c r="F2235" s="1" t="str">
        <f t="shared" si="650"/>
        <v>花都四部-凤凰仓</v>
      </c>
      <c r="G2235" s="1" t="str">
        <f t="shared" si="668"/>
        <v>卡卡杜佳旺专卖店（快手店）</v>
      </c>
      <c r="H2235" s="1" t="str">
        <f t="shared" si="651"/>
        <v>正常订单</v>
      </c>
      <c r="I2235" s="1" t="str">
        <f t="shared" si="652"/>
        <v>已发货</v>
      </c>
      <c r="J2235" s="1" t="str">
        <f t="shared" ref="J2235:J2240" si="670">"5"</f>
        <v>5</v>
      </c>
      <c r="K2235" s="1">
        <v>2</v>
      </c>
      <c r="L2235" s="1" t="s">
        <v>710</v>
      </c>
      <c r="M2235" s="1" t="str">
        <f>"上海市 上海市 长宁区 周家桥街道"</f>
        <v>上海市 上海市 长宁区 周家桥街道</v>
      </c>
      <c r="N2235" s="1" t="str">
        <f t="shared" si="669"/>
        <v>凡华云仓-城南圆通-快手</v>
      </c>
      <c r="O2235" s="5" t="s">
        <v>2271</v>
      </c>
      <c r="P2235" s="6">
        <v>0.59</v>
      </c>
      <c r="Q2235" s="11">
        <f t="shared" si="666"/>
        <v>2.4499999999999997</v>
      </c>
      <c r="R2235" s="11"/>
      <c r="S2235" s="11"/>
      <c r="T2235" s="11"/>
      <c r="U2235" s="11">
        <f t="shared" si="648"/>
        <v>2.4499999999999997</v>
      </c>
      <c r="V2235" t="s">
        <v>15</v>
      </c>
      <c r="W2235">
        <v>2.4500000000000002</v>
      </c>
      <c r="X2235" s="1" t="s">
        <v>710</v>
      </c>
    </row>
    <row r="2236" spans="1:24" x14ac:dyDescent="0.25">
      <c r="A2236" s="1" t="str">
        <f t="shared" si="649"/>
        <v>卡卡杜-凤凰仓</v>
      </c>
      <c r="B2236" s="1" t="str">
        <f>"CK2024102719496"</f>
        <v>CK2024102719496</v>
      </c>
      <c r="C2236" s="1" t="str">
        <f>"DD20241027100557"</f>
        <v>DD20241027100557</v>
      </c>
      <c r="D2236" s="1" t="str">
        <f>"CK2024102782626"</f>
        <v>CK2024102782626</v>
      </c>
      <c r="E2236" s="1" t="str">
        <f>"2430102247321799"</f>
        <v>2430102247321799</v>
      </c>
      <c r="F2236" s="1" t="str">
        <f t="shared" si="650"/>
        <v>花都四部-凤凰仓</v>
      </c>
      <c r="G2236" s="1" t="str">
        <f t="shared" si="668"/>
        <v>卡卡杜佳旺专卖店（快手店）</v>
      </c>
      <c r="H2236" s="1" t="str">
        <f t="shared" si="651"/>
        <v>正常订单</v>
      </c>
      <c r="I2236" s="1" t="str">
        <f t="shared" si="652"/>
        <v>已发货</v>
      </c>
      <c r="J2236" s="1" t="str">
        <f t="shared" ref="J2236:J2244" si="671">"3"</f>
        <v>3</v>
      </c>
      <c r="K2236" s="1">
        <v>2</v>
      </c>
      <c r="L2236" s="1" t="s">
        <v>30</v>
      </c>
      <c r="M2236" s="1" t="str">
        <f>"山东省 临沂市 平邑县 地方镇"</f>
        <v>山东省 临沂市 平邑县 地方镇</v>
      </c>
      <c r="N2236" s="1" t="str">
        <f t="shared" si="669"/>
        <v>凡华云仓-城南圆通-快手</v>
      </c>
      <c r="O2236" s="5" t="s">
        <v>2272</v>
      </c>
      <c r="P2236" s="6">
        <v>0.35</v>
      </c>
      <c r="Q2236" s="11">
        <v>2.2999999999999998</v>
      </c>
      <c r="R2236" s="11"/>
      <c r="S2236" s="11"/>
      <c r="T2236" s="11"/>
      <c r="U2236" s="11">
        <f t="shared" si="648"/>
        <v>2.2999999999999998</v>
      </c>
      <c r="W2236">
        <v>2.5</v>
      </c>
      <c r="X2236" s="1" t="s">
        <v>30</v>
      </c>
    </row>
    <row r="2237" spans="1:24" x14ac:dyDescent="0.25">
      <c r="A2237" s="1" t="str">
        <f t="shared" si="649"/>
        <v>卡卡杜-凤凰仓</v>
      </c>
      <c r="B2237" s="1" t="str">
        <f>"CK2024102719490"</f>
        <v>CK2024102719490</v>
      </c>
      <c r="C2237" s="1" t="str">
        <f>"DD20241027100556"</f>
        <v>DD20241027100556</v>
      </c>
      <c r="D2237" s="1" t="str">
        <f>"CK2024102782625"</f>
        <v>CK2024102782625</v>
      </c>
      <c r="E2237" s="1" t="str">
        <f>"6935545842248652076"</f>
        <v>6935545842248652076</v>
      </c>
      <c r="F2237" s="1" t="str">
        <f t="shared" si="650"/>
        <v>花都四部-凤凰仓</v>
      </c>
      <c r="G2237" s="1" t="str">
        <f>"卡卡杜个人护理店（抖店）"</f>
        <v>卡卡杜个人护理店（抖店）</v>
      </c>
      <c r="H2237" s="1" t="str">
        <f t="shared" si="651"/>
        <v>正常订单</v>
      </c>
      <c r="I2237" s="1" t="str">
        <f t="shared" si="652"/>
        <v>已发货</v>
      </c>
      <c r="J2237" s="1" t="str">
        <f t="shared" si="671"/>
        <v>3</v>
      </c>
      <c r="K2237" s="1">
        <v>2</v>
      </c>
      <c r="L2237" s="1" t="s">
        <v>20</v>
      </c>
      <c r="M2237" s="1" t="str">
        <f>"浙江省 金华市 浦江县 黄宅镇"</f>
        <v>浙江省 金华市 浦江县 黄宅镇</v>
      </c>
      <c r="N2237" s="1" t="str">
        <f>"凡华云仓-城南圆通-抖音"</f>
        <v>凡华云仓-城南圆通-抖音</v>
      </c>
      <c r="O2237" s="5" t="s">
        <v>2273</v>
      </c>
      <c r="P2237" s="6">
        <v>0.35</v>
      </c>
      <c r="Q2237" s="11">
        <v>2.2999999999999998</v>
      </c>
      <c r="R2237" s="11"/>
      <c r="S2237" s="11"/>
      <c r="T2237" s="11"/>
      <c r="U2237" s="11">
        <f t="shared" si="648"/>
        <v>2.2999999999999998</v>
      </c>
      <c r="W2237">
        <v>2.5</v>
      </c>
      <c r="X2237" s="1" t="s">
        <v>20</v>
      </c>
    </row>
    <row r="2238" spans="1:24" x14ac:dyDescent="0.25">
      <c r="A2238" s="1" t="str">
        <f t="shared" si="649"/>
        <v>卡卡杜-凤凰仓</v>
      </c>
      <c r="B2238" s="1" t="str">
        <f>"CK2024102719493"</f>
        <v>CK2024102719493</v>
      </c>
      <c r="C2238" s="1" t="str">
        <f>"DD20241027100555"</f>
        <v>DD20241027100555</v>
      </c>
      <c r="D2238" s="1" t="str">
        <f>"CK2024102782624"</f>
        <v>CK2024102782624</v>
      </c>
      <c r="E2238" s="1" t="str">
        <f>"3723600414312109056"</f>
        <v>3723600414312109056</v>
      </c>
      <c r="F2238" s="1" t="str">
        <f t="shared" si="650"/>
        <v>花都四部-凤凰仓</v>
      </c>
      <c r="G2238" s="1" t="str">
        <f>"卡卡杜企业店（视频号）"</f>
        <v>卡卡杜企业店（视频号）</v>
      </c>
      <c r="H2238" s="1" t="str">
        <f t="shared" si="651"/>
        <v>正常订单</v>
      </c>
      <c r="I2238" s="1" t="str">
        <f t="shared" si="652"/>
        <v>已发货</v>
      </c>
      <c r="J2238" s="1" t="str">
        <f>"2"</f>
        <v>2</v>
      </c>
      <c r="K2238" s="1">
        <v>2</v>
      </c>
      <c r="L2238" s="1" t="s">
        <v>74</v>
      </c>
      <c r="M2238" s="1" t="str">
        <f>"上海 上海市 黄浦区 "</f>
        <v xml:space="preserve">上海 上海市 黄浦区 </v>
      </c>
      <c r="N2238" s="1" t="str">
        <f>"凡华云仓-城南圆通-微信视频号"</f>
        <v>凡华云仓-城南圆通-微信视频号</v>
      </c>
      <c r="O2238" s="5" t="s">
        <v>2274</v>
      </c>
      <c r="P2238" s="6">
        <v>0.17</v>
      </c>
      <c r="Q2238" s="11">
        <v>2</v>
      </c>
      <c r="R2238" s="11"/>
      <c r="S2238" s="11"/>
      <c r="T2238" s="11"/>
      <c r="U2238" s="11">
        <f t="shared" si="648"/>
        <v>2</v>
      </c>
      <c r="W2238">
        <v>2.2000000000000002</v>
      </c>
      <c r="X2238" s="1" t="s">
        <v>74</v>
      </c>
    </row>
    <row r="2239" spans="1:24" x14ac:dyDescent="0.25">
      <c r="A2239" s="1" t="str">
        <f t="shared" si="649"/>
        <v>卡卡杜-凤凰仓</v>
      </c>
      <c r="B2239" s="1" t="str">
        <f>"CK2024102719495"</f>
        <v>CK2024102719495</v>
      </c>
      <c r="C2239" s="1" t="str">
        <f>"DD20241027100554"</f>
        <v>DD20241027100554</v>
      </c>
      <c r="D2239" s="1" t="str">
        <f>"CK2024102782623"</f>
        <v>CK2024102782623</v>
      </c>
      <c r="E2239" s="1" t="str">
        <f>"2430101613112125"</f>
        <v>2430101613112125</v>
      </c>
      <c r="F2239" s="1" t="str">
        <f t="shared" si="650"/>
        <v>花都四部-凤凰仓</v>
      </c>
      <c r="G2239" s="1" t="str">
        <f t="shared" ref="G2239:G2241" si="672">"卡卡杜佳旺专卖店（快手店）"</f>
        <v>卡卡杜佳旺专卖店（快手店）</v>
      </c>
      <c r="H2239" s="1" t="str">
        <f t="shared" si="651"/>
        <v>正常订单</v>
      </c>
      <c r="I2239" s="1" t="str">
        <f t="shared" si="652"/>
        <v>已发货</v>
      </c>
      <c r="J2239" s="1" t="str">
        <f t="shared" si="670"/>
        <v>5</v>
      </c>
      <c r="K2239" s="1">
        <v>2</v>
      </c>
      <c r="L2239" s="1" t="s">
        <v>30</v>
      </c>
      <c r="M2239" s="1" t="str">
        <f>"山东省 潍坊市 寿光市 台头镇"</f>
        <v>山东省 潍坊市 寿光市 台头镇</v>
      </c>
      <c r="N2239" s="1" t="str">
        <f t="shared" ref="N2239:N2241" si="673">"凡华云仓-城南圆通-快手"</f>
        <v>凡华云仓-城南圆通-快手</v>
      </c>
      <c r="O2239" s="5" t="s">
        <v>2275</v>
      </c>
      <c r="P2239" s="6">
        <v>0.59</v>
      </c>
      <c r="Q2239" s="11">
        <f>CEILING(P2239-0.5,0.1)*10*0.15+2.3</f>
        <v>2.4499999999999997</v>
      </c>
      <c r="R2239" s="11"/>
      <c r="S2239" s="11"/>
      <c r="T2239" s="11"/>
      <c r="U2239" s="11">
        <f t="shared" si="648"/>
        <v>2.4499999999999997</v>
      </c>
      <c r="V2239" t="s">
        <v>15</v>
      </c>
      <c r="W2239">
        <v>2.4500000000000002</v>
      </c>
      <c r="X2239" s="1" t="s">
        <v>30</v>
      </c>
    </row>
    <row r="2240" spans="1:24" x14ac:dyDescent="0.25">
      <c r="A2240" s="1" t="str">
        <f t="shared" si="649"/>
        <v>卡卡杜-凤凰仓</v>
      </c>
      <c r="B2240" s="1" t="str">
        <f>"CK2024102719491"</f>
        <v>CK2024102719491</v>
      </c>
      <c r="C2240" s="1" t="str">
        <f>"DD20241027100553"</f>
        <v>DD20241027100553</v>
      </c>
      <c r="D2240" s="1" t="str">
        <f>"CK2024102782622"</f>
        <v>CK2024102782622</v>
      </c>
      <c r="E2240" s="1" t="str">
        <f>"2430102088986206"</f>
        <v>2430102088986206</v>
      </c>
      <c r="F2240" s="1" t="str">
        <f t="shared" si="650"/>
        <v>花都四部-凤凰仓</v>
      </c>
      <c r="G2240" s="1" t="str">
        <f t="shared" si="672"/>
        <v>卡卡杜佳旺专卖店（快手店）</v>
      </c>
      <c r="H2240" s="1" t="str">
        <f t="shared" si="651"/>
        <v>正常订单</v>
      </c>
      <c r="I2240" s="1" t="str">
        <f t="shared" si="652"/>
        <v>已发货</v>
      </c>
      <c r="J2240" s="1" t="str">
        <f t="shared" si="670"/>
        <v>5</v>
      </c>
      <c r="K2240" s="1">
        <v>2</v>
      </c>
      <c r="L2240" s="1" t="s">
        <v>13</v>
      </c>
      <c r="M2240" s="1" t="str">
        <f>"江苏省 苏州市 姑苏区 金阊街道"</f>
        <v>江苏省 苏州市 姑苏区 金阊街道</v>
      </c>
      <c r="N2240" s="1" t="str">
        <f t="shared" si="673"/>
        <v>凡华云仓-城南圆通-快手</v>
      </c>
      <c r="O2240" s="5" t="s">
        <v>2276</v>
      </c>
      <c r="P2240" s="6">
        <v>0.59</v>
      </c>
      <c r="Q2240" s="11">
        <f>CEILING(P2240-0.5,0.1)*10*0.15+2.3</f>
        <v>2.4499999999999997</v>
      </c>
      <c r="R2240" s="11"/>
      <c r="S2240" s="11"/>
      <c r="T2240" s="11"/>
      <c r="U2240" s="11">
        <f t="shared" si="648"/>
        <v>2.4499999999999997</v>
      </c>
      <c r="V2240" t="s">
        <v>15</v>
      </c>
      <c r="W2240">
        <v>2.4500000000000002</v>
      </c>
      <c r="X2240" s="1" t="s">
        <v>13</v>
      </c>
    </row>
    <row r="2241" spans="1:24" x14ac:dyDescent="0.25">
      <c r="A2241" s="1" t="str">
        <f t="shared" si="649"/>
        <v>卡卡杜-凤凰仓</v>
      </c>
      <c r="B2241" s="1" t="str">
        <f>"CK2024102719492"</f>
        <v>CK2024102719492</v>
      </c>
      <c r="C2241" s="1" t="str">
        <f>"DD20241027100552"</f>
        <v>DD20241027100552</v>
      </c>
      <c r="D2241" s="1" t="str">
        <f>"CK2024102782621"</f>
        <v>CK2024102782621</v>
      </c>
      <c r="E2241" s="1" t="str">
        <f>"2430101695490574"</f>
        <v>2430101695490574</v>
      </c>
      <c r="F2241" s="1" t="str">
        <f t="shared" si="650"/>
        <v>花都四部-凤凰仓</v>
      </c>
      <c r="G2241" s="1" t="str">
        <f t="shared" si="672"/>
        <v>卡卡杜佳旺专卖店（快手店）</v>
      </c>
      <c r="H2241" s="1" t="str">
        <f t="shared" si="651"/>
        <v>正常订单</v>
      </c>
      <c r="I2241" s="1" t="str">
        <f t="shared" si="652"/>
        <v>已发货</v>
      </c>
      <c r="J2241" s="1" t="str">
        <f t="shared" si="671"/>
        <v>3</v>
      </c>
      <c r="K2241" s="1">
        <v>3</v>
      </c>
      <c r="L2241" s="1" t="s">
        <v>710</v>
      </c>
      <c r="M2241" s="1" t="str">
        <f>"上海市 上海市 宝山区 淞南镇"</f>
        <v>上海市 上海市 宝山区 淞南镇</v>
      </c>
      <c r="N2241" s="1" t="str">
        <f t="shared" si="673"/>
        <v>凡华云仓-城南圆通-快手</v>
      </c>
      <c r="O2241" s="5" t="s">
        <v>2277</v>
      </c>
      <c r="P2241" s="6">
        <v>0.34</v>
      </c>
      <c r="Q2241" s="11">
        <v>2.2999999999999998</v>
      </c>
      <c r="R2241" s="11"/>
      <c r="S2241" s="11"/>
      <c r="T2241" s="11"/>
      <c r="U2241" s="11">
        <f t="shared" si="648"/>
        <v>2.2999999999999998</v>
      </c>
      <c r="W2241">
        <v>2.5</v>
      </c>
      <c r="X2241" s="1" t="s">
        <v>710</v>
      </c>
    </row>
    <row r="2242" spans="1:24" x14ac:dyDescent="0.25">
      <c r="A2242" s="1" t="str">
        <f t="shared" si="649"/>
        <v>卡卡杜-凤凰仓</v>
      </c>
      <c r="B2242" s="1" t="str">
        <f>"CK2024102719494"</f>
        <v>CK2024102719494</v>
      </c>
      <c r="C2242" s="1" t="str">
        <f>"DD20241027100551"</f>
        <v>DD20241027100551</v>
      </c>
      <c r="D2242" s="1" t="str">
        <f>"CK2024102782620"</f>
        <v>CK2024102782620</v>
      </c>
      <c r="E2242" s="1" t="str">
        <f>"6935549917490059048"</f>
        <v>6935549917490059048</v>
      </c>
      <c r="F2242" s="1" t="str">
        <f t="shared" si="650"/>
        <v>花都四部-凤凰仓</v>
      </c>
      <c r="G2242" s="1" t="str">
        <f t="shared" ref="G2242:G2249" si="674">"卡卡杜个人护理店（抖店）"</f>
        <v>卡卡杜个人护理店（抖店）</v>
      </c>
      <c r="H2242" s="1" t="str">
        <f t="shared" si="651"/>
        <v>正常订单</v>
      </c>
      <c r="I2242" s="1" t="str">
        <f t="shared" si="652"/>
        <v>已发货</v>
      </c>
      <c r="J2242" s="1" t="str">
        <f t="shared" si="671"/>
        <v>3</v>
      </c>
      <c r="K2242" s="1">
        <v>2</v>
      </c>
      <c r="L2242" s="1" t="s">
        <v>30</v>
      </c>
      <c r="M2242" s="1" t="str">
        <f>"山东省 济南市 市中区 王官庄街道"</f>
        <v>山东省 济南市 市中区 王官庄街道</v>
      </c>
      <c r="N2242" s="1" t="str">
        <f t="shared" ref="N2242:N2249" si="675">"凡华云仓-城南圆通-抖音"</f>
        <v>凡华云仓-城南圆通-抖音</v>
      </c>
      <c r="O2242" s="5" t="s">
        <v>2278</v>
      </c>
      <c r="P2242" s="6">
        <v>0.35</v>
      </c>
      <c r="Q2242" s="11">
        <v>2.2999999999999998</v>
      </c>
      <c r="R2242" s="11"/>
      <c r="S2242" s="11"/>
      <c r="T2242" s="11"/>
      <c r="U2242" s="11">
        <f t="shared" si="648"/>
        <v>2.2999999999999998</v>
      </c>
      <c r="W2242">
        <v>2.5</v>
      </c>
      <c r="X2242" s="1" t="s">
        <v>30</v>
      </c>
    </row>
    <row r="2243" spans="1:24" x14ac:dyDescent="0.25">
      <c r="A2243" s="1" t="str">
        <f t="shared" si="649"/>
        <v>卡卡杜-凤凰仓</v>
      </c>
      <c r="B2243" s="1" t="str">
        <f>"CK2024102718363"</f>
        <v>CK2024102718363</v>
      </c>
      <c r="C2243" s="1" t="str">
        <f>"DD2024102789168"</f>
        <v>DD2024102789168</v>
      </c>
      <c r="D2243" s="1" t="str">
        <f>"CK2024102772795"</f>
        <v>CK2024102772795</v>
      </c>
      <c r="E2243" s="1" t="str">
        <f>"3723598363652133888"</f>
        <v>3723598363652133888</v>
      </c>
      <c r="F2243" s="1" t="str">
        <f t="shared" si="650"/>
        <v>花都四部-凤凰仓</v>
      </c>
      <c r="G2243" s="1" t="str">
        <f>"RO橙心外贸供应链 （视频号）"</f>
        <v>RO橙心外贸供应链 （视频号）</v>
      </c>
      <c r="H2243" s="1" t="str">
        <f t="shared" si="651"/>
        <v>正常订单</v>
      </c>
      <c r="I2243" s="1" t="str">
        <f t="shared" si="652"/>
        <v>已发货</v>
      </c>
      <c r="J2243" s="1" t="str">
        <f t="shared" si="671"/>
        <v>3</v>
      </c>
      <c r="K2243" s="1">
        <v>3</v>
      </c>
      <c r="L2243" s="1" t="s">
        <v>30</v>
      </c>
      <c r="M2243" s="1" t="str">
        <f>"山东省 泰安市 泰山区 "</f>
        <v xml:space="preserve">山东省 泰安市 泰山区 </v>
      </c>
      <c r="N2243" s="1" t="str">
        <f>"凡华云仓-城南圆通-微信视频号"</f>
        <v>凡华云仓-城南圆通-微信视频号</v>
      </c>
      <c r="O2243" s="5" t="s">
        <v>2279</v>
      </c>
      <c r="P2243" s="6">
        <v>0.34</v>
      </c>
      <c r="Q2243" s="11">
        <v>2.2999999999999998</v>
      </c>
      <c r="R2243" s="11"/>
      <c r="S2243" s="11"/>
      <c r="T2243" s="11"/>
      <c r="U2243" s="11">
        <f t="shared" ref="U2243:U2306" si="676">T2243+S2243+R2243+Q2243</f>
        <v>2.2999999999999998</v>
      </c>
      <c r="W2243">
        <v>2.5</v>
      </c>
      <c r="X2243" s="1" t="s">
        <v>30</v>
      </c>
    </row>
    <row r="2244" spans="1:24" x14ac:dyDescent="0.25">
      <c r="A2244" s="1" t="str">
        <f t="shared" si="649"/>
        <v>卡卡杜-凤凰仓</v>
      </c>
      <c r="B2244" s="1" t="str">
        <f>"CK2024102718362"</f>
        <v>CK2024102718362</v>
      </c>
      <c r="C2244" s="1" t="str">
        <f>"DD2024102789166"</f>
        <v>DD2024102789166</v>
      </c>
      <c r="D2244" s="1" t="str">
        <f>"CK2024102772794"</f>
        <v>CK2024102772794</v>
      </c>
      <c r="E2244" s="1" t="str">
        <f>"6935538861833852044"</f>
        <v>6935538861833852044</v>
      </c>
      <c r="F2244" s="1" t="str">
        <f t="shared" si="650"/>
        <v>花都四部-凤凰仓</v>
      </c>
      <c r="G2244" s="1" t="str">
        <f t="shared" si="674"/>
        <v>卡卡杜个人护理店（抖店）</v>
      </c>
      <c r="H2244" s="1" t="str">
        <f t="shared" si="651"/>
        <v>正常订单</v>
      </c>
      <c r="I2244" s="1" t="str">
        <f t="shared" si="652"/>
        <v>已发货</v>
      </c>
      <c r="J2244" s="1" t="str">
        <f t="shared" si="671"/>
        <v>3</v>
      </c>
      <c r="K2244" s="1">
        <v>2</v>
      </c>
      <c r="L2244" s="1" t="s">
        <v>18</v>
      </c>
      <c r="M2244" s="1" t="str">
        <f>"广东省 广州市 越秀区 农林街道"</f>
        <v>广东省 广州市 越秀区 农林街道</v>
      </c>
      <c r="N2244" s="1" t="str">
        <f t="shared" si="675"/>
        <v>凡华云仓-城南圆通-抖音</v>
      </c>
      <c r="O2244" s="5" t="s">
        <v>2280</v>
      </c>
      <c r="P2244" s="6">
        <v>0.35</v>
      </c>
      <c r="Q2244" s="11">
        <v>2.2999999999999998</v>
      </c>
      <c r="R2244" s="11"/>
      <c r="S2244" s="11"/>
      <c r="T2244" s="11"/>
      <c r="U2244" s="11">
        <f t="shared" si="676"/>
        <v>2.2999999999999998</v>
      </c>
      <c r="W2244">
        <v>2.5</v>
      </c>
      <c r="X2244" s="1" t="s">
        <v>18</v>
      </c>
    </row>
    <row r="2245" spans="1:24" x14ac:dyDescent="0.25">
      <c r="A2245" s="1" t="str">
        <f t="shared" ref="A2245:A2308" si="677">"卡卡杜-凤凰仓"</f>
        <v>卡卡杜-凤凰仓</v>
      </c>
      <c r="B2245" s="1" t="str">
        <f>"CK2024102718357"</f>
        <v>CK2024102718357</v>
      </c>
      <c r="C2245" s="1" t="str">
        <f>"DD2024102789164"</f>
        <v>DD2024102789164</v>
      </c>
      <c r="D2245" s="1" t="str">
        <f>"CK2024102772793"</f>
        <v>CK2024102772793</v>
      </c>
      <c r="E2245" s="1" t="str">
        <f>"2430102250513826"</f>
        <v>2430102250513826</v>
      </c>
      <c r="F2245" s="1" t="str">
        <f t="shared" ref="F2245:F2308" si="678">"花都四部-凤凰仓"</f>
        <v>花都四部-凤凰仓</v>
      </c>
      <c r="G2245" s="1" t="str">
        <f>"卡卡杜佳旺专卖店（快手店）"</f>
        <v>卡卡杜佳旺专卖店（快手店）</v>
      </c>
      <c r="H2245" s="1" t="str">
        <f t="shared" ref="H2245:H2308" si="679">"正常订单"</f>
        <v>正常订单</v>
      </c>
      <c r="I2245" s="1" t="str">
        <f t="shared" ref="I2245:I2308" si="680">"已发货"</f>
        <v>已发货</v>
      </c>
      <c r="J2245" s="1" t="str">
        <f>"6"</f>
        <v>6</v>
      </c>
      <c r="K2245" s="1">
        <v>2</v>
      </c>
      <c r="L2245" s="1" t="s">
        <v>30</v>
      </c>
      <c r="M2245" s="1" t="str">
        <f>"山东省 济宁市 邹城市 大束镇"</f>
        <v>山东省 济宁市 邹城市 大束镇</v>
      </c>
      <c r="N2245" s="1" t="str">
        <f>"凡华云仓-城南圆通-快手"</f>
        <v>凡华云仓-城南圆通-快手</v>
      </c>
      <c r="O2245" s="5" t="s">
        <v>2281</v>
      </c>
      <c r="P2245" s="6">
        <v>0.57999999999999996</v>
      </c>
      <c r="Q2245" s="11">
        <f t="shared" ref="Q2245:Q2260" si="681">CEILING(P2245-0.5,0.1)*10*0.15+2.3</f>
        <v>2.4499999999999997</v>
      </c>
      <c r="R2245" s="11"/>
      <c r="S2245" s="11"/>
      <c r="T2245" s="11"/>
      <c r="U2245" s="11">
        <f t="shared" si="676"/>
        <v>2.4499999999999997</v>
      </c>
      <c r="V2245" t="s">
        <v>15</v>
      </c>
      <c r="W2245">
        <v>2.4500000000000002</v>
      </c>
      <c r="X2245" s="1" t="s">
        <v>30</v>
      </c>
    </row>
    <row r="2246" spans="1:24" x14ac:dyDescent="0.25">
      <c r="A2246" s="1" t="str">
        <f t="shared" si="677"/>
        <v>卡卡杜-凤凰仓</v>
      </c>
      <c r="B2246" s="1" t="str">
        <f>"CK2024102718356"</f>
        <v>CK2024102718356</v>
      </c>
      <c r="C2246" s="1" t="str">
        <f>"DD2024102789163"</f>
        <v>DD2024102789163</v>
      </c>
      <c r="D2246" s="1" t="str">
        <f>"CK2024102772792"</f>
        <v>CK2024102772792</v>
      </c>
      <c r="E2246" s="1" t="str">
        <f>"kkd20241027QX006"</f>
        <v>kkd20241027QX006</v>
      </c>
      <c r="F2246" s="1" t="str">
        <f t="shared" si="678"/>
        <v>花都四部-凤凰仓</v>
      </c>
      <c r="G2246" s="1" t="str">
        <f>"卡卡杜（全欣）"</f>
        <v>卡卡杜（全欣）</v>
      </c>
      <c r="H2246" s="1" t="str">
        <f t="shared" si="679"/>
        <v>正常订单</v>
      </c>
      <c r="I2246" s="1" t="str">
        <f t="shared" si="680"/>
        <v>已发货</v>
      </c>
      <c r="J2246" s="1" t="str">
        <f t="shared" ref="J2246:J2260" si="682">"5"</f>
        <v>5</v>
      </c>
      <c r="K2246" s="1">
        <v>2</v>
      </c>
      <c r="L2246" s="1" t="s">
        <v>24</v>
      </c>
      <c r="M2246" s="1" t="str">
        <f>"福建省 泉州市 洛江区 "</f>
        <v xml:space="preserve">福建省 泉州市 洛江区 </v>
      </c>
      <c r="N2246" s="1" t="str">
        <f>"凡华云仓-城南圆通-淘宝"</f>
        <v>凡华云仓-城南圆通-淘宝</v>
      </c>
      <c r="O2246" s="5" t="s">
        <v>2282</v>
      </c>
      <c r="P2246" s="6">
        <v>0.59</v>
      </c>
      <c r="Q2246" s="11">
        <f t="shared" si="681"/>
        <v>2.4499999999999997</v>
      </c>
      <c r="R2246" s="11"/>
      <c r="S2246" s="11"/>
      <c r="T2246" s="11"/>
      <c r="U2246" s="11">
        <f t="shared" si="676"/>
        <v>2.4499999999999997</v>
      </c>
      <c r="V2246" t="s">
        <v>15</v>
      </c>
      <c r="W2246">
        <v>2.4500000000000002</v>
      </c>
      <c r="X2246" s="1" t="s">
        <v>24</v>
      </c>
    </row>
    <row r="2247" spans="1:24" x14ac:dyDescent="0.25">
      <c r="A2247" s="1" t="str">
        <f t="shared" si="677"/>
        <v>卡卡杜-凤凰仓</v>
      </c>
      <c r="B2247" s="1" t="str">
        <f>"CK2024102718360"</f>
        <v>CK2024102718360</v>
      </c>
      <c r="C2247" s="1" t="str">
        <f>"DD2024102789162"</f>
        <v>DD2024102789162</v>
      </c>
      <c r="D2247" s="1" t="str">
        <f>"CK2024102772791"</f>
        <v>CK2024102772791</v>
      </c>
      <c r="E2247" s="1" t="str">
        <f>"6935554364711507046"</f>
        <v>6935554364711507046</v>
      </c>
      <c r="F2247" s="1" t="str">
        <f t="shared" si="678"/>
        <v>花都四部-凤凰仓</v>
      </c>
      <c r="G2247" s="1" t="str">
        <f t="shared" si="674"/>
        <v>卡卡杜个人护理店（抖店）</v>
      </c>
      <c r="H2247" s="1" t="str">
        <f t="shared" si="679"/>
        <v>正常订单</v>
      </c>
      <c r="I2247" s="1" t="str">
        <f t="shared" si="680"/>
        <v>已发货</v>
      </c>
      <c r="J2247" s="1" t="str">
        <f t="shared" ref="J2247:J2249" si="683">"3"</f>
        <v>3</v>
      </c>
      <c r="K2247" s="1">
        <v>2</v>
      </c>
      <c r="L2247" s="1" t="s">
        <v>161</v>
      </c>
      <c r="M2247" s="1" t="str">
        <f>"四川省 成都市 温江区 涌泉街道"</f>
        <v>四川省 成都市 温江区 涌泉街道</v>
      </c>
      <c r="N2247" s="1" t="str">
        <f t="shared" si="675"/>
        <v>凡华云仓-城南圆通-抖音</v>
      </c>
      <c r="O2247" s="5" t="s">
        <v>2283</v>
      </c>
      <c r="P2247" s="6">
        <v>0.35</v>
      </c>
      <c r="Q2247" s="11">
        <v>2.2999999999999998</v>
      </c>
      <c r="R2247" s="11"/>
      <c r="S2247" s="11"/>
      <c r="T2247" s="11"/>
      <c r="U2247" s="11">
        <f t="shared" si="676"/>
        <v>2.2999999999999998</v>
      </c>
      <c r="W2247">
        <v>2.5</v>
      </c>
      <c r="X2247" s="1" t="s">
        <v>161</v>
      </c>
    </row>
    <row r="2248" spans="1:24" x14ac:dyDescent="0.25">
      <c r="A2248" s="1" t="str">
        <f t="shared" si="677"/>
        <v>卡卡杜-凤凰仓</v>
      </c>
      <c r="B2248" s="1" t="str">
        <f>"CK2024102718359"</f>
        <v>CK2024102718359</v>
      </c>
      <c r="C2248" s="1" t="str">
        <f>"DD2024102789161"</f>
        <v>DD2024102789161</v>
      </c>
      <c r="D2248" s="1" t="str">
        <f>"CK2024102772790"</f>
        <v>CK2024102772790</v>
      </c>
      <c r="E2248" s="1" t="str">
        <f>"6935556591082476936"</f>
        <v>6935556591082476936</v>
      </c>
      <c r="F2248" s="1" t="str">
        <f t="shared" si="678"/>
        <v>花都四部-凤凰仓</v>
      </c>
      <c r="G2248" s="1" t="str">
        <f t="shared" si="674"/>
        <v>卡卡杜个人护理店（抖店）</v>
      </c>
      <c r="H2248" s="1" t="str">
        <f t="shared" si="679"/>
        <v>正常订单</v>
      </c>
      <c r="I2248" s="1" t="str">
        <f t="shared" si="680"/>
        <v>已发货</v>
      </c>
      <c r="J2248" s="1" t="str">
        <f t="shared" si="683"/>
        <v>3</v>
      </c>
      <c r="K2248" s="1">
        <v>2</v>
      </c>
      <c r="L2248" s="1" t="s">
        <v>105</v>
      </c>
      <c r="M2248" s="1" t="str">
        <f>"北京 北京市 通州区 北苑街道"</f>
        <v>北京 北京市 通州区 北苑街道</v>
      </c>
      <c r="N2248" s="1" t="str">
        <f t="shared" si="675"/>
        <v>凡华云仓-城南圆通-抖音</v>
      </c>
      <c r="O2248" s="5" t="s">
        <v>2284</v>
      </c>
      <c r="P2248" s="6">
        <v>0.35</v>
      </c>
      <c r="Q2248" s="11">
        <v>2.2999999999999998</v>
      </c>
      <c r="R2248" s="11"/>
      <c r="S2248" s="11"/>
      <c r="T2248" s="11"/>
      <c r="U2248" s="11">
        <f t="shared" si="676"/>
        <v>2.2999999999999998</v>
      </c>
      <c r="W2248">
        <v>2.5</v>
      </c>
      <c r="X2248" s="1" t="s">
        <v>105</v>
      </c>
    </row>
    <row r="2249" spans="1:24" x14ac:dyDescent="0.25">
      <c r="A2249" s="1" t="str">
        <f t="shared" si="677"/>
        <v>卡卡杜-凤凰仓</v>
      </c>
      <c r="B2249" s="1" t="str">
        <f>"CK2024102718361"</f>
        <v>CK2024102718361</v>
      </c>
      <c r="C2249" s="1" t="str">
        <f>"DD2024102789160"</f>
        <v>DD2024102789160</v>
      </c>
      <c r="D2249" s="1" t="str">
        <f>"CK2024102772789"</f>
        <v>CK2024102772789</v>
      </c>
      <c r="E2249" s="1" t="str">
        <f>"6935540900192393052"</f>
        <v>6935540900192393052</v>
      </c>
      <c r="F2249" s="1" t="str">
        <f t="shared" si="678"/>
        <v>花都四部-凤凰仓</v>
      </c>
      <c r="G2249" s="1" t="str">
        <f t="shared" si="674"/>
        <v>卡卡杜个人护理店（抖店）</v>
      </c>
      <c r="H2249" s="1" t="str">
        <f t="shared" si="679"/>
        <v>正常订单</v>
      </c>
      <c r="I2249" s="1" t="str">
        <f t="shared" si="680"/>
        <v>已发货</v>
      </c>
      <c r="J2249" s="1" t="str">
        <f t="shared" si="683"/>
        <v>3</v>
      </c>
      <c r="K2249" s="1">
        <v>2</v>
      </c>
      <c r="L2249" s="1" t="s">
        <v>54</v>
      </c>
      <c r="M2249" s="1" t="str">
        <f>"黑龙江省 齐齐哈尔市 富拉尔基区 幸福街道"</f>
        <v>黑龙江省 齐齐哈尔市 富拉尔基区 幸福街道</v>
      </c>
      <c r="N2249" s="1" t="str">
        <f t="shared" si="675"/>
        <v>凡华云仓-城南圆通-抖音</v>
      </c>
      <c r="O2249" s="5" t="s">
        <v>2285</v>
      </c>
      <c r="P2249" s="6">
        <v>0.35</v>
      </c>
      <c r="Q2249" s="11">
        <v>2.2999999999999998</v>
      </c>
      <c r="R2249" s="11"/>
      <c r="S2249" s="11"/>
      <c r="T2249" s="11"/>
      <c r="U2249" s="11">
        <f t="shared" si="676"/>
        <v>2.2999999999999998</v>
      </c>
      <c r="W2249">
        <v>2.5</v>
      </c>
      <c r="X2249" s="1" t="s">
        <v>54</v>
      </c>
    </row>
    <row r="2250" spans="1:24" x14ac:dyDescent="0.25">
      <c r="A2250" s="1" t="str">
        <f t="shared" si="677"/>
        <v>卡卡杜-凤凰仓</v>
      </c>
      <c r="B2250" s="1" t="str">
        <f>"CK2024102718353"</f>
        <v>CK2024102718353</v>
      </c>
      <c r="C2250" s="1" t="str">
        <f>"DD2024102787874"</f>
        <v>DD2024102787874</v>
      </c>
      <c r="D2250" s="1" t="str">
        <f>"CK2024102771985"</f>
        <v>CK2024102771985</v>
      </c>
      <c r="E2250" s="1" t="str">
        <f>"2430102165186789"</f>
        <v>2430102165186789</v>
      </c>
      <c r="F2250" s="1" t="str">
        <f t="shared" si="678"/>
        <v>花都四部-凤凰仓</v>
      </c>
      <c r="G2250" s="1" t="str">
        <f>"卡卡杜佳旺专卖店（快手店）"</f>
        <v>卡卡杜佳旺专卖店（快手店）</v>
      </c>
      <c r="H2250" s="1" t="str">
        <f t="shared" si="679"/>
        <v>正常订单</v>
      </c>
      <c r="I2250" s="1" t="str">
        <f t="shared" si="680"/>
        <v>已发货</v>
      </c>
      <c r="J2250" s="1" t="str">
        <f t="shared" si="682"/>
        <v>5</v>
      </c>
      <c r="K2250" s="1">
        <v>2</v>
      </c>
      <c r="L2250" s="1" t="s">
        <v>96</v>
      </c>
      <c r="M2250" s="1" t="str">
        <f>"广西壮族自治区 崇左市 江州区 江南街道"</f>
        <v>广西壮族自治区 崇左市 江州区 江南街道</v>
      </c>
      <c r="N2250" s="1" t="str">
        <f>"凡华云仓-城南圆通-快手"</f>
        <v>凡华云仓-城南圆通-快手</v>
      </c>
      <c r="O2250" s="5" t="s">
        <v>2286</v>
      </c>
      <c r="P2250" s="6">
        <v>0.59</v>
      </c>
      <c r="Q2250" s="11">
        <f t="shared" si="681"/>
        <v>2.4499999999999997</v>
      </c>
      <c r="R2250" s="11"/>
      <c r="S2250" s="11"/>
      <c r="T2250" s="11"/>
      <c r="U2250" s="11">
        <f t="shared" si="676"/>
        <v>2.4499999999999997</v>
      </c>
      <c r="V2250" t="s">
        <v>15</v>
      </c>
      <c r="W2250">
        <v>2.4500000000000002</v>
      </c>
      <c r="X2250" s="1" t="s">
        <v>96</v>
      </c>
    </row>
    <row r="2251" spans="1:24" x14ac:dyDescent="0.25">
      <c r="A2251" s="1" t="str">
        <f t="shared" si="677"/>
        <v>卡卡杜-凤凰仓</v>
      </c>
      <c r="B2251" s="1" t="str">
        <f>"CK2024102718354"</f>
        <v>CK2024102718354</v>
      </c>
      <c r="C2251" s="1" t="str">
        <f>"DD2024102787873"</f>
        <v>DD2024102787873</v>
      </c>
      <c r="D2251" s="1" t="str">
        <f>"CK2024102771984"</f>
        <v>CK2024102771984</v>
      </c>
      <c r="E2251" s="1" t="str">
        <f>"2430102013603374"</f>
        <v>2430102013603374</v>
      </c>
      <c r="F2251" s="1" t="str">
        <f t="shared" si="678"/>
        <v>花都四部-凤凰仓</v>
      </c>
      <c r="G2251" s="1" t="str">
        <f>"卡卡杜佳旺专卖店（快手店）"</f>
        <v>卡卡杜佳旺专卖店（快手店）</v>
      </c>
      <c r="H2251" s="1" t="str">
        <f t="shared" si="679"/>
        <v>正常订单</v>
      </c>
      <c r="I2251" s="1" t="str">
        <f t="shared" si="680"/>
        <v>已发货</v>
      </c>
      <c r="J2251" s="1" t="str">
        <f t="shared" si="682"/>
        <v>5</v>
      </c>
      <c r="K2251" s="1">
        <v>2</v>
      </c>
      <c r="L2251" s="1" t="s">
        <v>20</v>
      </c>
      <c r="M2251" s="1" t="str">
        <f>"浙江省 金华市 金东区 东孝街道"</f>
        <v>浙江省 金华市 金东区 东孝街道</v>
      </c>
      <c r="N2251" s="1" t="str">
        <f>"凡华云仓-城南圆通-快手"</f>
        <v>凡华云仓-城南圆通-快手</v>
      </c>
      <c r="O2251" s="5" t="s">
        <v>2287</v>
      </c>
      <c r="P2251" s="6">
        <v>0.59</v>
      </c>
      <c r="Q2251" s="11">
        <f t="shared" si="681"/>
        <v>2.4499999999999997</v>
      </c>
      <c r="R2251" s="11"/>
      <c r="S2251" s="11"/>
      <c r="T2251" s="11"/>
      <c r="U2251" s="11">
        <f t="shared" si="676"/>
        <v>2.4499999999999997</v>
      </c>
      <c r="V2251" t="s">
        <v>15</v>
      </c>
      <c r="W2251">
        <v>2.4500000000000002</v>
      </c>
      <c r="X2251" s="1" t="s">
        <v>20</v>
      </c>
    </row>
    <row r="2252" spans="1:24" x14ac:dyDescent="0.25">
      <c r="A2252" s="1" t="str">
        <f t="shared" si="677"/>
        <v>卡卡杜-凤凰仓</v>
      </c>
      <c r="B2252" s="1" t="str">
        <f>"CK2024102718351"</f>
        <v>CK2024102718351</v>
      </c>
      <c r="C2252" s="1" t="str">
        <f>"DD2024102787872"</f>
        <v>DD2024102787872</v>
      </c>
      <c r="D2252" s="1" t="str">
        <f>"CK2024102771983"</f>
        <v>CK2024102771983</v>
      </c>
      <c r="E2252" s="1" t="str">
        <f>"6935522778033427549"</f>
        <v>6935522778033427549</v>
      </c>
      <c r="F2252" s="1" t="str">
        <f t="shared" si="678"/>
        <v>花都四部-凤凰仓</v>
      </c>
      <c r="G2252" s="1" t="str">
        <f t="shared" ref="G2252:G2255" si="684">"卡卡杜个人护理店（抖店）"</f>
        <v>卡卡杜个人护理店（抖店）</v>
      </c>
      <c r="H2252" s="1" t="str">
        <f t="shared" si="679"/>
        <v>正常订单</v>
      </c>
      <c r="I2252" s="1" t="str">
        <f t="shared" si="680"/>
        <v>已发货</v>
      </c>
      <c r="J2252" s="1" t="str">
        <f t="shared" si="682"/>
        <v>5</v>
      </c>
      <c r="K2252" s="1">
        <v>2</v>
      </c>
      <c r="L2252" s="1" t="s">
        <v>20</v>
      </c>
      <c r="M2252" s="1" t="str">
        <f>"浙江省 杭州市 余杭区 "</f>
        <v xml:space="preserve">浙江省 杭州市 余杭区 </v>
      </c>
      <c r="N2252" s="1" t="str">
        <f t="shared" ref="N2252:N2255" si="685">"凡华云仓-城南圆通-抖音"</f>
        <v>凡华云仓-城南圆通-抖音</v>
      </c>
      <c r="O2252" s="5" t="s">
        <v>2288</v>
      </c>
      <c r="P2252" s="6">
        <v>0.59</v>
      </c>
      <c r="Q2252" s="11">
        <f t="shared" si="681"/>
        <v>2.4499999999999997</v>
      </c>
      <c r="R2252" s="11"/>
      <c r="S2252" s="11"/>
      <c r="T2252" s="11"/>
      <c r="U2252" s="11">
        <f t="shared" si="676"/>
        <v>2.4499999999999997</v>
      </c>
      <c r="V2252" t="s">
        <v>15</v>
      </c>
      <c r="W2252">
        <v>2.4500000000000002</v>
      </c>
      <c r="X2252" s="1" t="s">
        <v>20</v>
      </c>
    </row>
    <row r="2253" spans="1:24" x14ac:dyDescent="0.25">
      <c r="A2253" s="1" t="str">
        <f t="shared" si="677"/>
        <v>卡卡杜-凤凰仓</v>
      </c>
      <c r="B2253" s="1" t="str">
        <f>"CK2024102718352"</f>
        <v>CK2024102718352</v>
      </c>
      <c r="C2253" s="1" t="str">
        <f>"DD2024102787871"</f>
        <v>DD2024102787871</v>
      </c>
      <c r="D2253" s="1" t="str">
        <f>"CK2024102771982"</f>
        <v>CK2024102771982</v>
      </c>
      <c r="E2253" s="1" t="str">
        <f>"6935540735929882441"</f>
        <v>6935540735929882441</v>
      </c>
      <c r="F2253" s="1" t="str">
        <f t="shared" si="678"/>
        <v>花都四部-凤凰仓</v>
      </c>
      <c r="G2253" s="1" t="str">
        <f t="shared" si="684"/>
        <v>卡卡杜个人护理店（抖店）</v>
      </c>
      <c r="H2253" s="1" t="str">
        <f t="shared" si="679"/>
        <v>正常订单</v>
      </c>
      <c r="I2253" s="1" t="str">
        <f t="shared" si="680"/>
        <v>已发货</v>
      </c>
      <c r="J2253" s="1" t="str">
        <f t="shared" si="682"/>
        <v>5</v>
      </c>
      <c r="K2253" s="1">
        <v>2</v>
      </c>
      <c r="L2253" s="1" t="s">
        <v>13</v>
      </c>
      <c r="M2253" s="1" t="str">
        <f>"江苏省 徐州市 鼓楼区 琵琶街道"</f>
        <v>江苏省 徐州市 鼓楼区 琵琶街道</v>
      </c>
      <c r="N2253" s="1" t="str">
        <f t="shared" si="685"/>
        <v>凡华云仓-城南圆通-抖音</v>
      </c>
      <c r="O2253" s="5" t="s">
        <v>2289</v>
      </c>
      <c r="P2253" s="6">
        <v>0.59</v>
      </c>
      <c r="Q2253" s="11">
        <f t="shared" si="681"/>
        <v>2.4499999999999997</v>
      </c>
      <c r="R2253" s="11"/>
      <c r="S2253" s="11"/>
      <c r="T2253" s="11"/>
      <c r="U2253" s="11">
        <f t="shared" si="676"/>
        <v>2.4499999999999997</v>
      </c>
      <c r="V2253" t="s">
        <v>15</v>
      </c>
      <c r="W2253">
        <v>2.4500000000000002</v>
      </c>
      <c r="X2253" s="1" t="s">
        <v>13</v>
      </c>
    </row>
    <row r="2254" spans="1:24" x14ac:dyDescent="0.25">
      <c r="A2254" s="1" t="str">
        <f t="shared" si="677"/>
        <v>卡卡杜-凤凰仓</v>
      </c>
      <c r="B2254" s="1" t="str">
        <f>"CK2024102718350"</f>
        <v>CK2024102718350</v>
      </c>
      <c r="C2254" s="1" t="str">
        <f>"DD2024102787870"</f>
        <v>DD2024102787870</v>
      </c>
      <c r="D2254" s="1" t="str">
        <f>"CK2024102771981"</f>
        <v>CK2024102771981</v>
      </c>
      <c r="E2254" s="1" t="str">
        <f>"6935531530211693608"</f>
        <v>6935531530211693608</v>
      </c>
      <c r="F2254" s="1" t="str">
        <f t="shared" si="678"/>
        <v>花都四部-凤凰仓</v>
      </c>
      <c r="G2254" s="1" t="str">
        <f t="shared" si="684"/>
        <v>卡卡杜个人护理店（抖店）</v>
      </c>
      <c r="H2254" s="1" t="str">
        <f t="shared" si="679"/>
        <v>正常订单</v>
      </c>
      <c r="I2254" s="1" t="str">
        <f t="shared" si="680"/>
        <v>已发货</v>
      </c>
      <c r="J2254" s="1" t="str">
        <f t="shared" si="682"/>
        <v>5</v>
      </c>
      <c r="K2254" s="1">
        <v>2</v>
      </c>
      <c r="L2254" s="1" t="s">
        <v>24</v>
      </c>
      <c r="M2254" s="1" t="str">
        <f>"福建省 泉州市 晋江市 陈埭镇"</f>
        <v>福建省 泉州市 晋江市 陈埭镇</v>
      </c>
      <c r="N2254" s="1" t="str">
        <f t="shared" si="685"/>
        <v>凡华云仓-城南圆通-抖音</v>
      </c>
      <c r="O2254" s="5" t="s">
        <v>2290</v>
      </c>
      <c r="P2254" s="6">
        <v>0.59</v>
      </c>
      <c r="Q2254" s="11">
        <f t="shared" si="681"/>
        <v>2.4499999999999997</v>
      </c>
      <c r="R2254" s="11"/>
      <c r="S2254" s="11"/>
      <c r="T2254" s="11"/>
      <c r="U2254" s="11">
        <f t="shared" si="676"/>
        <v>2.4499999999999997</v>
      </c>
      <c r="V2254" t="s">
        <v>15</v>
      </c>
      <c r="W2254">
        <v>2.4500000000000002</v>
      </c>
      <c r="X2254" s="1" t="s">
        <v>24</v>
      </c>
    </row>
    <row r="2255" spans="1:24" x14ac:dyDescent="0.25">
      <c r="A2255" s="1" t="str">
        <f t="shared" si="677"/>
        <v>卡卡杜-凤凰仓</v>
      </c>
      <c r="B2255" s="1" t="str">
        <f>"CK2024102718349"</f>
        <v>CK2024102718349</v>
      </c>
      <c r="C2255" s="1" t="str">
        <f>"DD2024102787869"</f>
        <v>DD2024102787869</v>
      </c>
      <c r="D2255" s="1" t="str">
        <f>"CK2024102771980"</f>
        <v>CK2024102771980</v>
      </c>
      <c r="E2255" s="1" t="str">
        <f>"6935515956797577188"</f>
        <v>6935515956797577188</v>
      </c>
      <c r="F2255" s="1" t="str">
        <f t="shared" si="678"/>
        <v>花都四部-凤凰仓</v>
      </c>
      <c r="G2255" s="1" t="str">
        <f t="shared" si="684"/>
        <v>卡卡杜个人护理店（抖店）</v>
      </c>
      <c r="H2255" s="1" t="str">
        <f t="shared" si="679"/>
        <v>正常订单</v>
      </c>
      <c r="I2255" s="1" t="str">
        <f t="shared" si="680"/>
        <v>已发货</v>
      </c>
      <c r="J2255" s="1" t="str">
        <f t="shared" si="682"/>
        <v>5</v>
      </c>
      <c r="K2255" s="1">
        <v>2</v>
      </c>
      <c r="L2255" s="1" t="s">
        <v>60</v>
      </c>
      <c r="M2255" s="1" t="str">
        <f>"云南省 红河哈尼族彝族自治州 屏边苗族自治县 玉屏镇"</f>
        <v>云南省 红河哈尼族彝族自治州 屏边苗族自治县 玉屏镇</v>
      </c>
      <c r="N2255" s="1" t="str">
        <f t="shared" si="685"/>
        <v>凡华云仓-城南圆通-抖音</v>
      </c>
      <c r="O2255" s="5" t="s">
        <v>2291</v>
      </c>
      <c r="P2255" s="6">
        <v>0.59</v>
      </c>
      <c r="Q2255" s="11">
        <f t="shared" si="681"/>
        <v>2.4499999999999997</v>
      </c>
      <c r="R2255" s="11"/>
      <c r="S2255" s="11"/>
      <c r="T2255" s="11"/>
      <c r="U2255" s="11">
        <f t="shared" si="676"/>
        <v>2.4499999999999997</v>
      </c>
      <c r="V2255" t="s">
        <v>15</v>
      </c>
      <c r="W2255">
        <v>2.4500000000000002</v>
      </c>
      <c r="X2255" s="1" t="s">
        <v>60</v>
      </c>
    </row>
    <row r="2256" spans="1:24" x14ac:dyDescent="0.25">
      <c r="A2256" s="1" t="str">
        <f t="shared" si="677"/>
        <v>卡卡杜-凤凰仓</v>
      </c>
      <c r="B2256" s="1" t="str">
        <f>"CK2024102718346"</f>
        <v>CK2024102718346</v>
      </c>
      <c r="C2256" s="1" t="str">
        <f>"DD2024102787868"</f>
        <v>DD2024102787868</v>
      </c>
      <c r="D2256" s="1" t="str">
        <f>"CK2024102771979"</f>
        <v>CK2024102771979</v>
      </c>
      <c r="E2256" s="1" t="str">
        <f>"2430101847504127"</f>
        <v>2430101847504127</v>
      </c>
      <c r="F2256" s="1" t="str">
        <f t="shared" si="678"/>
        <v>花都四部-凤凰仓</v>
      </c>
      <c r="G2256" s="1" t="str">
        <f t="shared" ref="G2256:G2260" si="686">"卡卡杜佳旺专卖店（快手店）"</f>
        <v>卡卡杜佳旺专卖店（快手店）</v>
      </c>
      <c r="H2256" s="1" t="str">
        <f t="shared" si="679"/>
        <v>正常订单</v>
      </c>
      <c r="I2256" s="1" t="str">
        <f t="shared" si="680"/>
        <v>已发货</v>
      </c>
      <c r="J2256" s="1" t="str">
        <f t="shared" si="682"/>
        <v>5</v>
      </c>
      <c r="K2256" s="1">
        <v>2</v>
      </c>
      <c r="L2256" s="1" t="s">
        <v>1495</v>
      </c>
      <c r="M2256" s="1" t="str">
        <f>"天津市 天津市 河东区 "</f>
        <v xml:space="preserve">天津市 天津市 河东区 </v>
      </c>
      <c r="N2256" s="1" t="str">
        <f t="shared" ref="N2256:N2260" si="687">"凡华云仓-城南圆通-快手"</f>
        <v>凡华云仓-城南圆通-快手</v>
      </c>
      <c r="O2256" s="5" t="s">
        <v>2292</v>
      </c>
      <c r="P2256" s="6">
        <v>0.59</v>
      </c>
      <c r="Q2256" s="11">
        <f t="shared" si="681"/>
        <v>2.4499999999999997</v>
      </c>
      <c r="R2256" s="11"/>
      <c r="S2256" s="11"/>
      <c r="T2256" s="11"/>
      <c r="U2256" s="11">
        <f t="shared" si="676"/>
        <v>2.4499999999999997</v>
      </c>
      <c r="V2256" t="s">
        <v>15</v>
      </c>
      <c r="W2256">
        <v>2.4500000000000002</v>
      </c>
      <c r="X2256" s="1" t="s">
        <v>1495</v>
      </c>
    </row>
    <row r="2257" spans="1:24" x14ac:dyDescent="0.25">
      <c r="A2257" s="1" t="str">
        <f t="shared" si="677"/>
        <v>卡卡杜-凤凰仓</v>
      </c>
      <c r="B2257" s="1" t="str">
        <f>"CK2024102718348"</f>
        <v>CK2024102718348</v>
      </c>
      <c r="C2257" s="1" t="str">
        <f>"DD2024102787867"</f>
        <v>DD2024102787867</v>
      </c>
      <c r="D2257" s="1" t="str">
        <f>"CK2024102771978"</f>
        <v>CK2024102771978</v>
      </c>
      <c r="E2257" s="1" t="str">
        <f>"2430102410482378"</f>
        <v>2430102410482378</v>
      </c>
      <c r="F2257" s="1" t="str">
        <f t="shared" si="678"/>
        <v>花都四部-凤凰仓</v>
      </c>
      <c r="G2257" s="1" t="str">
        <f t="shared" si="686"/>
        <v>卡卡杜佳旺专卖店（快手店）</v>
      </c>
      <c r="H2257" s="1" t="str">
        <f t="shared" si="679"/>
        <v>正常订单</v>
      </c>
      <c r="I2257" s="1" t="str">
        <f t="shared" si="680"/>
        <v>已发货</v>
      </c>
      <c r="J2257" s="1" t="str">
        <f t="shared" si="682"/>
        <v>5</v>
      </c>
      <c r="K2257" s="1">
        <v>2</v>
      </c>
      <c r="L2257" s="1" t="s">
        <v>13</v>
      </c>
      <c r="M2257" s="1" t="str">
        <f>"江苏省 苏州市 吴江区 江陵街道"</f>
        <v>江苏省 苏州市 吴江区 江陵街道</v>
      </c>
      <c r="N2257" s="1" t="str">
        <f t="shared" si="687"/>
        <v>凡华云仓-城南圆通-快手</v>
      </c>
      <c r="O2257" s="5" t="s">
        <v>2293</v>
      </c>
      <c r="P2257" s="6">
        <v>0.59</v>
      </c>
      <c r="Q2257" s="11">
        <f t="shared" si="681"/>
        <v>2.4499999999999997</v>
      </c>
      <c r="R2257" s="11"/>
      <c r="S2257" s="11"/>
      <c r="T2257" s="11"/>
      <c r="U2257" s="11">
        <f t="shared" si="676"/>
        <v>2.4499999999999997</v>
      </c>
      <c r="V2257" t="s">
        <v>15</v>
      </c>
      <c r="W2257">
        <v>2.4500000000000002</v>
      </c>
      <c r="X2257" s="1" t="s">
        <v>13</v>
      </c>
    </row>
    <row r="2258" spans="1:24" x14ac:dyDescent="0.25">
      <c r="A2258" s="1" t="str">
        <f t="shared" si="677"/>
        <v>卡卡杜-凤凰仓</v>
      </c>
      <c r="B2258" s="1" t="str">
        <f>"CK2024102718347"</f>
        <v>CK2024102718347</v>
      </c>
      <c r="C2258" s="1" t="str">
        <f>"DD2024102787866"</f>
        <v>DD2024102787866</v>
      </c>
      <c r="D2258" s="1" t="str">
        <f>"CK2024102771977"</f>
        <v>CK2024102771977</v>
      </c>
      <c r="E2258" s="1" t="str">
        <f>"KKD20241027QX001"</f>
        <v>KKD20241027QX001</v>
      </c>
      <c r="F2258" s="1" t="str">
        <f t="shared" si="678"/>
        <v>花都四部-凤凰仓</v>
      </c>
      <c r="G2258" s="1" t="str">
        <f>"卡卡杜（全欣）"</f>
        <v>卡卡杜（全欣）</v>
      </c>
      <c r="H2258" s="1" t="str">
        <f t="shared" si="679"/>
        <v>正常订单</v>
      </c>
      <c r="I2258" s="1" t="str">
        <f t="shared" si="680"/>
        <v>已发货</v>
      </c>
      <c r="J2258" s="1" t="str">
        <f t="shared" si="682"/>
        <v>5</v>
      </c>
      <c r="K2258" s="1">
        <v>2</v>
      </c>
      <c r="L2258" s="1" t="s">
        <v>105</v>
      </c>
      <c r="M2258" s="1" t="str">
        <f>"北京 北京市 大兴区 "</f>
        <v xml:space="preserve">北京 北京市 大兴区 </v>
      </c>
      <c r="N2258" s="1" t="str">
        <f>"凡华云仓-城南圆通-淘宝"</f>
        <v>凡华云仓-城南圆通-淘宝</v>
      </c>
      <c r="O2258" s="5" t="s">
        <v>2294</v>
      </c>
      <c r="P2258" s="6">
        <v>0.59</v>
      </c>
      <c r="Q2258" s="11">
        <f t="shared" si="681"/>
        <v>2.4499999999999997</v>
      </c>
      <c r="R2258" s="11"/>
      <c r="S2258" s="11"/>
      <c r="T2258" s="11"/>
      <c r="U2258" s="11">
        <f t="shared" si="676"/>
        <v>2.4499999999999997</v>
      </c>
      <c r="V2258" t="s">
        <v>15</v>
      </c>
      <c r="W2258">
        <v>2.4500000000000002</v>
      </c>
      <c r="X2258" s="1" t="s">
        <v>105</v>
      </c>
    </row>
    <row r="2259" spans="1:24" x14ac:dyDescent="0.25">
      <c r="A2259" s="1" t="str">
        <f t="shared" si="677"/>
        <v>卡卡杜-凤凰仓</v>
      </c>
      <c r="B2259" s="1" t="str">
        <f>"CK2024102718345"</f>
        <v>CK2024102718345</v>
      </c>
      <c r="C2259" s="1" t="str">
        <f>"DD2024102787865"</f>
        <v>DD2024102787865</v>
      </c>
      <c r="D2259" s="1" t="str">
        <f>"CK2024102771976"</f>
        <v>CK2024102771976</v>
      </c>
      <c r="E2259" s="1" t="str">
        <f>"6935554273151751670"</f>
        <v>6935554273151751670</v>
      </c>
      <c r="F2259" s="1" t="str">
        <f t="shared" si="678"/>
        <v>花都四部-凤凰仓</v>
      </c>
      <c r="G2259" s="1" t="str">
        <f>"卡卡杜个人护理店（抖店）"</f>
        <v>卡卡杜个人护理店（抖店）</v>
      </c>
      <c r="H2259" s="1" t="str">
        <f t="shared" si="679"/>
        <v>正常订单</v>
      </c>
      <c r="I2259" s="1" t="str">
        <f t="shared" si="680"/>
        <v>已发货</v>
      </c>
      <c r="J2259" s="1" t="str">
        <f t="shared" si="682"/>
        <v>5</v>
      </c>
      <c r="K2259" s="1">
        <v>2</v>
      </c>
      <c r="L2259" s="1" t="s">
        <v>13</v>
      </c>
      <c r="M2259" s="1" t="str">
        <f>"江苏省 南京市 高淳区 淳溪街道"</f>
        <v>江苏省 南京市 高淳区 淳溪街道</v>
      </c>
      <c r="N2259" s="1" t="str">
        <f>"凡华云仓-城南圆通-抖音"</f>
        <v>凡华云仓-城南圆通-抖音</v>
      </c>
      <c r="O2259" s="5" t="s">
        <v>2295</v>
      </c>
      <c r="P2259" s="6">
        <v>0.59</v>
      </c>
      <c r="Q2259" s="11">
        <f t="shared" si="681"/>
        <v>2.4499999999999997</v>
      </c>
      <c r="R2259" s="11"/>
      <c r="S2259" s="11"/>
      <c r="T2259" s="11"/>
      <c r="U2259" s="11">
        <f t="shared" si="676"/>
        <v>2.4499999999999997</v>
      </c>
      <c r="V2259" t="s">
        <v>15</v>
      </c>
      <c r="W2259">
        <v>2.4500000000000002</v>
      </c>
      <c r="X2259" s="1" t="s">
        <v>13</v>
      </c>
    </row>
    <row r="2260" spans="1:24" x14ac:dyDescent="0.25">
      <c r="A2260" s="1" t="str">
        <f t="shared" si="677"/>
        <v>卡卡杜-凤凰仓</v>
      </c>
      <c r="B2260" s="1" t="str">
        <f>"CK2024102718344"</f>
        <v>CK2024102718344</v>
      </c>
      <c r="C2260" s="1" t="str">
        <f>"DD2024102787864"</f>
        <v>DD2024102787864</v>
      </c>
      <c r="D2260" s="1" t="str">
        <f>"CK2024102771975"</f>
        <v>CK2024102771975</v>
      </c>
      <c r="E2260" s="1" t="str">
        <f>"2430102166986617"</f>
        <v>2430102166986617</v>
      </c>
      <c r="F2260" s="1" t="str">
        <f t="shared" si="678"/>
        <v>花都四部-凤凰仓</v>
      </c>
      <c r="G2260" s="1" t="str">
        <f t="shared" si="686"/>
        <v>卡卡杜佳旺专卖店（快手店）</v>
      </c>
      <c r="H2260" s="1" t="str">
        <f t="shared" si="679"/>
        <v>正常订单</v>
      </c>
      <c r="I2260" s="1" t="str">
        <f t="shared" si="680"/>
        <v>已发货</v>
      </c>
      <c r="J2260" s="1" t="str">
        <f t="shared" si="682"/>
        <v>5</v>
      </c>
      <c r="K2260" s="1">
        <v>2</v>
      </c>
      <c r="L2260" s="1" t="s">
        <v>20</v>
      </c>
      <c r="M2260" s="1" t="str">
        <f>"浙江省 温州市 乐清市 北白象镇"</f>
        <v>浙江省 温州市 乐清市 北白象镇</v>
      </c>
      <c r="N2260" s="1" t="str">
        <f t="shared" si="687"/>
        <v>凡华云仓-城南圆通-快手</v>
      </c>
      <c r="O2260" s="5" t="s">
        <v>2296</v>
      </c>
      <c r="P2260" s="6">
        <v>0.59</v>
      </c>
      <c r="Q2260" s="11">
        <f t="shared" si="681"/>
        <v>2.4499999999999997</v>
      </c>
      <c r="R2260" s="11"/>
      <c r="S2260" s="11"/>
      <c r="T2260" s="11"/>
      <c r="U2260" s="11">
        <f t="shared" si="676"/>
        <v>2.4499999999999997</v>
      </c>
      <c r="V2260" t="s">
        <v>15</v>
      </c>
      <c r="W2260">
        <v>2.4500000000000002</v>
      </c>
      <c r="X2260" s="1" t="s">
        <v>20</v>
      </c>
    </row>
    <row r="2261" spans="1:24" x14ac:dyDescent="0.25">
      <c r="A2261" s="1" t="str">
        <f t="shared" si="677"/>
        <v>卡卡杜-凤凰仓</v>
      </c>
      <c r="B2261" s="1" t="str">
        <f>"CK2024102718343"</f>
        <v>CK2024102718343</v>
      </c>
      <c r="C2261" s="1" t="str">
        <f>"DD2024102787863"</f>
        <v>DD2024102787863</v>
      </c>
      <c r="D2261" s="1" t="str">
        <f>"CK2024102771974"</f>
        <v>CK2024102771974</v>
      </c>
      <c r="E2261" s="1" t="str">
        <f>"KKD20241027QX003"</f>
        <v>KKD20241027QX003</v>
      </c>
      <c r="F2261" s="1" t="str">
        <f t="shared" si="678"/>
        <v>花都四部-凤凰仓</v>
      </c>
      <c r="G2261" s="1" t="str">
        <f>"卡卡杜（全欣）"</f>
        <v>卡卡杜（全欣）</v>
      </c>
      <c r="H2261" s="1" t="str">
        <f t="shared" si="679"/>
        <v>正常订单</v>
      </c>
      <c r="I2261" s="1" t="str">
        <f t="shared" si="680"/>
        <v>已发货</v>
      </c>
      <c r="J2261" s="1" t="str">
        <f t="shared" ref="J2261:J2324" si="688">"3"</f>
        <v>3</v>
      </c>
      <c r="K2261" s="1">
        <v>2</v>
      </c>
      <c r="L2261" s="1" t="s">
        <v>105</v>
      </c>
      <c r="M2261" s="1" t="str">
        <f>"北京 北京市 顺义区 "</f>
        <v xml:space="preserve">北京 北京市 顺义区 </v>
      </c>
      <c r="N2261" s="1" t="str">
        <f>"凡华云仓-城南圆通-淘宝"</f>
        <v>凡华云仓-城南圆通-淘宝</v>
      </c>
      <c r="O2261" s="5" t="s">
        <v>2297</v>
      </c>
      <c r="P2261" s="6">
        <v>0.24</v>
      </c>
      <c r="Q2261" s="11">
        <v>2</v>
      </c>
      <c r="R2261" s="11"/>
      <c r="S2261" s="11"/>
      <c r="T2261" s="11"/>
      <c r="U2261" s="11">
        <f t="shared" si="676"/>
        <v>2</v>
      </c>
      <c r="W2261">
        <v>2.2000000000000002</v>
      </c>
      <c r="X2261" s="1" t="s">
        <v>105</v>
      </c>
    </row>
    <row r="2262" spans="1:24" x14ac:dyDescent="0.25">
      <c r="A2262" s="1" t="str">
        <f t="shared" si="677"/>
        <v>卡卡杜-凤凰仓</v>
      </c>
      <c r="B2262" s="1" t="str">
        <f>"CK2024102718342"</f>
        <v>CK2024102718342</v>
      </c>
      <c r="C2262" s="1" t="str">
        <f>"DD2024102787862"</f>
        <v>DD2024102787862</v>
      </c>
      <c r="D2262" s="1" t="str">
        <f>"CK2024102771973"</f>
        <v>CK2024102771973</v>
      </c>
      <c r="E2262" s="1" t="str">
        <f>"2430101602257429"</f>
        <v>2430101602257429</v>
      </c>
      <c r="F2262" s="1" t="str">
        <f t="shared" si="678"/>
        <v>花都四部-凤凰仓</v>
      </c>
      <c r="G2262" s="1" t="str">
        <f>"卡卡杜佳旺专卖店（快手店）"</f>
        <v>卡卡杜佳旺专卖店（快手店）</v>
      </c>
      <c r="H2262" s="1" t="str">
        <f t="shared" si="679"/>
        <v>正常订单</v>
      </c>
      <c r="I2262" s="1" t="str">
        <f t="shared" si="680"/>
        <v>已发货</v>
      </c>
      <c r="J2262" s="1" t="str">
        <f t="shared" si="688"/>
        <v>3</v>
      </c>
      <c r="K2262" s="1">
        <v>2</v>
      </c>
      <c r="L2262" s="1" t="s">
        <v>30</v>
      </c>
      <c r="M2262" s="1" t="str">
        <f>"山东省 烟台市 龙口市 东莱街道"</f>
        <v>山东省 烟台市 龙口市 东莱街道</v>
      </c>
      <c r="N2262" s="1" t="str">
        <f>"凡华云仓-城南圆通-快手"</f>
        <v>凡华云仓-城南圆通-快手</v>
      </c>
      <c r="O2262" s="5" t="s">
        <v>2298</v>
      </c>
      <c r="P2262" s="6">
        <v>0.35</v>
      </c>
      <c r="Q2262" s="11">
        <v>2.2999999999999998</v>
      </c>
      <c r="R2262" s="11"/>
      <c r="S2262" s="11"/>
      <c r="T2262" s="11"/>
      <c r="U2262" s="11">
        <f t="shared" si="676"/>
        <v>2.2999999999999998</v>
      </c>
      <c r="W2262">
        <v>2.5</v>
      </c>
      <c r="X2262" s="1" t="s">
        <v>30</v>
      </c>
    </row>
    <row r="2263" spans="1:24" x14ac:dyDescent="0.25">
      <c r="A2263" s="1" t="str">
        <f t="shared" si="677"/>
        <v>卡卡杜-凤凰仓</v>
      </c>
      <c r="B2263" s="1" t="str">
        <f>"CK2024102718341"</f>
        <v>CK2024102718341</v>
      </c>
      <c r="C2263" s="1" t="str">
        <f>"DD2024102787861"</f>
        <v>DD2024102787861</v>
      </c>
      <c r="D2263" s="1" t="str">
        <f>"CK2024102771972"</f>
        <v>CK2024102771972</v>
      </c>
      <c r="E2263" s="1" t="str">
        <f>"6935516073458406913"</f>
        <v>6935516073458406913</v>
      </c>
      <c r="F2263" s="1" t="str">
        <f t="shared" si="678"/>
        <v>花都四部-凤凰仓</v>
      </c>
      <c r="G2263" s="1" t="str">
        <f t="shared" ref="G2263:G2267" si="689">"卡卡杜个人护理店（抖店）"</f>
        <v>卡卡杜个人护理店（抖店）</v>
      </c>
      <c r="H2263" s="1" t="str">
        <f t="shared" si="679"/>
        <v>正常订单</v>
      </c>
      <c r="I2263" s="1" t="str">
        <f t="shared" si="680"/>
        <v>已发货</v>
      </c>
      <c r="J2263" s="1" t="str">
        <f t="shared" si="688"/>
        <v>3</v>
      </c>
      <c r="K2263" s="1">
        <v>2</v>
      </c>
      <c r="L2263" s="1" t="s">
        <v>109</v>
      </c>
      <c r="M2263" s="1" t="str">
        <f>"山西省 晋中市 介休市 绵山镇"</f>
        <v>山西省 晋中市 介休市 绵山镇</v>
      </c>
      <c r="N2263" s="1" t="str">
        <f t="shared" ref="N2263:N2267" si="690">"凡华云仓-城南圆通-抖音"</f>
        <v>凡华云仓-城南圆通-抖音</v>
      </c>
      <c r="O2263" s="5" t="s">
        <v>2299</v>
      </c>
      <c r="P2263" s="6">
        <v>0.35</v>
      </c>
      <c r="Q2263" s="11">
        <v>2.2999999999999998</v>
      </c>
      <c r="R2263" s="11"/>
      <c r="S2263" s="11"/>
      <c r="T2263" s="11"/>
      <c r="U2263" s="11">
        <f t="shared" si="676"/>
        <v>2.2999999999999998</v>
      </c>
      <c r="W2263">
        <v>2.5</v>
      </c>
      <c r="X2263" s="1" t="s">
        <v>109</v>
      </c>
    </row>
    <row r="2264" spans="1:24" x14ac:dyDescent="0.25">
      <c r="A2264" s="1" t="str">
        <f t="shared" si="677"/>
        <v>卡卡杜-凤凰仓</v>
      </c>
      <c r="B2264" s="1" t="str">
        <f>"CK2024102718340"</f>
        <v>CK2024102718340</v>
      </c>
      <c r="C2264" s="1" t="str">
        <f>"DD2024102787860"</f>
        <v>DD2024102787860</v>
      </c>
      <c r="D2264" s="1" t="str">
        <f>"CK2024102771971"</f>
        <v>CK2024102771971</v>
      </c>
      <c r="E2264" s="1" t="str">
        <f>"2430102008825918"</f>
        <v>2430102008825918</v>
      </c>
      <c r="F2264" s="1" t="str">
        <f t="shared" si="678"/>
        <v>花都四部-凤凰仓</v>
      </c>
      <c r="G2264" s="1" t="str">
        <f t="shared" ref="G2264:G2269" si="691">"卡卡杜佳旺专卖店（快手店）"</f>
        <v>卡卡杜佳旺专卖店（快手店）</v>
      </c>
      <c r="H2264" s="1" t="str">
        <f t="shared" si="679"/>
        <v>正常订单</v>
      </c>
      <c r="I2264" s="1" t="str">
        <f t="shared" si="680"/>
        <v>已发货</v>
      </c>
      <c r="J2264" s="1" t="str">
        <f t="shared" si="688"/>
        <v>3</v>
      </c>
      <c r="K2264" s="1">
        <v>2</v>
      </c>
      <c r="L2264" s="1" t="s">
        <v>1111</v>
      </c>
      <c r="M2264" s="1" t="str">
        <f>"青海省 西宁市 城西区 虎台街道"</f>
        <v>青海省 西宁市 城西区 虎台街道</v>
      </c>
      <c r="N2264" s="1" t="str">
        <f t="shared" ref="N2264:N2269" si="692">"凡华云仓-城南圆通-快手"</f>
        <v>凡华云仓-城南圆通-快手</v>
      </c>
      <c r="O2264" s="5" t="s">
        <v>2300</v>
      </c>
      <c r="P2264" s="6">
        <v>0.35</v>
      </c>
      <c r="Q2264" s="11">
        <v>2.2999999999999998</v>
      </c>
      <c r="R2264" s="11"/>
      <c r="S2264" s="11"/>
      <c r="T2264" s="11"/>
      <c r="U2264" s="11">
        <f t="shared" si="676"/>
        <v>2.2999999999999998</v>
      </c>
      <c r="W2264">
        <v>2.5</v>
      </c>
      <c r="X2264" s="1" t="s">
        <v>1111</v>
      </c>
    </row>
    <row r="2265" spans="1:24" x14ac:dyDescent="0.25">
      <c r="A2265" s="1" t="str">
        <f t="shared" si="677"/>
        <v>卡卡杜-凤凰仓</v>
      </c>
      <c r="B2265" s="1" t="str">
        <f>"CK2024102718339"</f>
        <v>CK2024102718339</v>
      </c>
      <c r="C2265" s="1" t="str">
        <f>"DD2024102787859"</f>
        <v>DD2024102787859</v>
      </c>
      <c r="D2265" s="1" t="str">
        <f>"CK2024102771970"</f>
        <v>CK2024102771970</v>
      </c>
      <c r="E2265" s="1" t="str">
        <f>"6935540152443803238"</f>
        <v>6935540152443803238</v>
      </c>
      <c r="F2265" s="1" t="str">
        <f t="shared" si="678"/>
        <v>花都四部-凤凰仓</v>
      </c>
      <c r="G2265" s="1" t="str">
        <f t="shared" si="689"/>
        <v>卡卡杜个人护理店（抖店）</v>
      </c>
      <c r="H2265" s="1" t="str">
        <f t="shared" si="679"/>
        <v>正常订单</v>
      </c>
      <c r="I2265" s="1" t="str">
        <f t="shared" si="680"/>
        <v>已发货</v>
      </c>
      <c r="J2265" s="1" t="str">
        <f t="shared" si="688"/>
        <v>3</v>
      </c>
      <c r="K2265" s="1">
        <v>2</v>
      </c>
      <c r="L2265" s="1" t="s">
        <v>32</v>
      </c>
      <c r="M2265" s="1" t="str">
        <f>"陕西省 西安市 未央区 未央宫街道"</f>
        <v>陕西省 西安市 未央区 未央宫街道</v>
      </c>
      <c r="N2265" s="1" t="str">
        <f t="shared" si="690"/>
        <v>凡华云仓-城南圆通-抖音</v>
      </c>
      <c r="O2265" s="5" t="s">
        <v>2301</v>
      </c>
      <c r="P2265" s="6">
        <v>0.35</v>
      </c>
      <c r="Q2265" s="11">
        <v>2.2999999999999998</v>
      </c>
      <c r="R2265" s="11"/>
      <c r="S2265" s="11"/>
      <c r="T2265" s="11"/>
      <c r="U2265" s="11">
        <f t="shared" si="676"/>
        <v>2.2999999999999998</v>
      </c>
      <c r="W2265">
        <v>2.5</v>
      </c>
      <c r="X2265" s="1" t="s">
        <v>32</v>
      </c>
    </row>
    <row r="2266" spans="1:24" x14ac:dyDescent="0.25">
      <c r="A2266" s="1" t="str">
        <f t="shared" si="677"/>
        <v>卡卡杜-凤凰仓</v>
      </c>
      <c r="B2266" s="1" t="str">
        <f>"CK2024102718337"</f>
        <v>CK2024102718337</v>
      </c>
      <c r="C2266" s="1" t="str">
        <f>"DD2024102787858"</f>
        <v>DD2024102787858</v>
      </c>
      <c r="D2266" s="1" t="str">
        <f>"CK2024102771969"</f>
        <v>CK2024102771969</v>
      </c>
      <c r="E2266" s="1" t="str">
        <f>"6935533516497425528"</f>
        <v>6935533516497425528</v>
      </c>
      <c r="F2266" s="1" t="str">
        <f t="shared" si="678"/>
        <v>花都四部-凤凰仓</v>
      </c>
      <c r="G2266" s="1" t="str">
        <f t="shared" si="689"/>
        <v>卡卡杜个人护理店（抖店）</v>
      </c>
      <c r="H2266" s="1" t="str">
        <f t="shared" si="679"/>
        <v>正常订单</v>
      </c>
      <c r="I2266" s="1" t="str">
        <f t="shared" si="680"/>
        <v>已发货</v>
      </c>
      <c r="J2266" s="1" t="str">
        <f t="shared" si="688"/>
        <v>3</v>
      </c>
      <c r="K2266" s="1">
        <v>2</v>
      </c>
      <c r="L2266" s="1" t="s">
        <v>20</v>
      </c>
      <c r="M2266" s="1" t="str">
        <f>"浙江省 杭州市 建德市 大洋镇"</f>
        <v>浙江省 杭州市 建德市 大洋镇</v>
      </c>
      <c r="N2266" s="1" t="str">
        <f t="shared" si="690"/>
        <v>凡华云仓-城南圆通-抖音</v>
      </c>
      <c r="O2266" s="5" t="s">
        <v>2302</v>
      </c>
      <c r="P2266" s="6">
        <v>0.35</v>
      </c>
      <c r="Q2266" s="11">
        <v>2.2999999999999998</v>
      </c>
      <c r="R2266" s="11"/>
      <c r="S2266" s="11"/>
      <c r="T2266" s="11"/>
      <c r="U2266" s="11">
        <f t="shared" si="676"/>
        <v>2.2999999999999998</v>
      </c>
      <c r="W2266">
        <v>2.5</v>
      </c>
      <c r="X2266" s="1" t="s">
        <v>20</v>
      </c>
    </row>
    <row r="2267" spans="1:24" x14ac:dyDescent="0.25">
      <c r="A2267" s="1" t="str">
        <f t="shared" si="677"/>
        <v>卡卡杜-凤凰仓</v>
      </c>
      <c r="B2267" s="1" t="str">
        <f>"CK2024102718338"</f>
        <v>CK2024102718338</v>
      </c>
      <c r="C2267" s="1" t="str">
        <f>"DD2024102787857"</f>
        <v>DD2024102787857</v>
      </c>
      <c r="D2267" s="1" t="str">
        <f>"CK2024102771968"</f>
        <v>CK2024102771968</v>
      </c>
      <c r="E2267" s="1" t="str">
        <f>"6935534350982583577"</f>
        <v>6935534350982583577</v>
      </c>
      <c r="F2267" s="1" t="str">
        <f t="shared" si="678"/>
        <v>花都四部-凤凰仓</v>
      </c>
      <c r="G2267" s="1" t="str">
        <f t="shared" si="689"/>
        <v>卡卡杜个人护理店（抖店）</v>
      </c>
      <c r="H2267" s="1" t="str">
        <f t="shared" si="679"/>
        <v>正常订单</v>
      </c>
      <c r="I2267" s="1" t="str">
        <f t="shared" si="680"/>
        <v>已发货</v>
      </c>
      <c r="J2267" s="1" t="str">
        <f t="shared" si="688"/>
        <v>3</v>
      </c>
      <c r="K2267" s="1">
        <v>2</v>
      </c>
      <c r="L2267" s="1" t="s">
        <v>32</v>
      </c>
      <c r="M2267" s="1" t="str">
        <f>"陕西省 西安市 未央区 汉城街道"</f>
        <v>陕西省 西安市 未央区 汉城街道</v>
      </c>
      <c r="N2267" s="1" t="str">
        <f t="shared" si="690"/>
        <v>凡华云仓-城南圆通-抖音</v>
      </c>
      <c r="O2267" s="5" t="s">
        <v>2303</v>
      </c>
      <c r="P2267" s="6">
        <v>0.35</v>
      </c>
      <c r="Q2267" s="11">
        <v>2.2999999999999998</v>
      </c>
      <c r="R2267" s="11"/>
      <c r="S2267" s="11"/>
      <c r="T2267" s="11"/>
      <c r="U2267" s="11">
        <f t="shared" si="676"/>
        <v>2.2999999999999998</v>
      </c>
      <c r="W2267">
        <v>2.5</v>
      </c>
      <c r="X2267" s="1" t="s">
        <v>32</v>
      </c>
    </row>
    <row r="2268" spans="1:24" x14ac:dyDescent="0.25">
      <c r="A2268" s="1" t="str">
        <f t="shared" si="677"/>
        <v>卡卡杜-凤凰仓</v>
      </c>
      <c r="B2268" s="1" t="str">
        <f>"CK2024102718336"</f>
        <v>CK2024102718336</v>
      </c>
      <c r="C2268" s="1" t="str">
        <f>"DD2024102787856"</f>
        <v>DD2024102787856</v>
      </c>
      <c r="D2268" s="1" t="str">
        <f>"CK2024102771967"</f>
        <v>CK2024102771967</v>
      </c>
      <c r="E2268" s="1" t="str">
        <f>"2430102323266167"</f>
        <v>2430102323266167</v>
      </c>
      <c r="F2268" s="1" t="str">
        <f t="shared" si="678"/>
        <v>花都四部-凤凰仓</v>
      </c>
      <c r="G2268" s="1" t="str">
        <f t="shared" si="691"/>
        <v>卡卡杜佳旺专卖店（快手店）</v>
      </c>
      <c r="H2268" s="1" t="str">
        <f t="shared" si="679"/>
        <v>正常订单</v>
      </c>
      <c r="I2268" s="1" t="str">
        <f t="shared" si="680"/>
        <v>已发货</v>
      </c>
      <c r="J2268" s="1" t="str">
        <f t="shared" si="688"/>
        <v>3</v>
      </c>
      <c r="K2268" s="1">
        <v>2</v>
      </c>
      <c r="L2268" s="1" t="s">
        <v>20</v>
      </c>
      <c r="M2268" s="1" t="str">
        <f>"浙江省 嘉兴市 平湖市 林埭镇"</f>
        <v>浙江省 嘉兴市 平湖市 林埭镇</v>
      </c>
      <c r="N2268" s="1" t="str">
        <f t="shared" si="692"/>
        <v>凡华云仓-城南圆通-快手</v>
      </c>
      <c r="O2268" s="5" t="s">
        <v>2304</v>
      </c>
      <c r="P2268" s="6">
        <v>0.35</v>
      </c>
      <c r="Q2268" s="11">
        <v>2.2999999999999998</v>
      </c>
      <c r="R2268" s="11"/>
      <c r="S2268" s="11"/>
      <c r="T2268" s="11"/>
      <c r="U2268" s="11">
        <f t="shared" si="676"/>
        <v>2.2999999999999998</v>
      </c>
      <c r="W2268">
        <v>2.5</v>
      </c>
      <c r="X2268" s="1" t="s">
        <v>20</v>
      </c>
    </row>
    <row r="2269" spans="1:24" x14ac:dyDescent="0.25">
      <c r="A2269" s="1" t="str">
        <f t="shared" si="677"/>
        <v>卡卡杜-凤凰仓</v>
      </c>
      <c r="B2269" s="1" t="str">
        <f>"CK2024102718335"</f>
        <v>CK2024102718335</v>
      </c>
      <c r="C2269" s="1" t="str">
        <f>"DD2024102787855"</f>
        <v>DD2024102787855</v>
      </c>
      <c r="D2269" s="1" t="str">
        <f>"CK2024102771966"</f>
        <v>CK2024102771966</v>
      </c>
      <c r="E2269" s="1" t="str">
        <f>"2430101843475715"</f>
        <v>2430101843475715</v>
      </c>
      <c r="F2269" s="1" t="str">
        <f t="shared" si="678"/>
        <v>花都四部-凤凰仓</v>
      </c>
      <c r="G2269" s="1" t="str">
        <f t="shared" si="691"/>
        <v>卡卡杜佳旺专卖店（快手店）</v>
      </c>
      <c r="H2269" s="1" t="str">
        <f t="shared" si="679"/>
        <v>正常订单</v>
      </c>
      <c r="I2269" s="1" t="str">
        <f t="shared" si="680"/>
        <v>已发货</v>
      </c>
      <c r="J2269" s="1" t="str">
        <f t="shared" si="688"/>
        <v>3</v>
      </c>
      <c r="K2269" s="1">
        <v>2</v>
      </c>
      <c r="L2269" s="1" t="s">
        <v>187</v>
      </c>
      <c r="M2269" s="1" t="str">
        <f>"吉林省 长春市 绿园区 长春汽车产业开发区"</f>
        <v>吉林省 长春市 绿园区 长春汽车产业开发区</v>
      </c>
      <c r="N2269" s="1" t="str">
        <f t="shared" si="692"/>
        <v>凡华云仓-城南圆通-快手</v>
      </c>
      <c r="O2269" s="5" t="s">
        <v>2305</v>
      </c>
      <c r="P2269" s="6">
        <v>0.35</v>
      </c>
      <c r="Q2269" s="11">
        <v>2.2999999999999998</v>
      </c>
      <c r="R2269" s="11"/>
      <c r="S2269" s="11"/>
      <c r="T2269" s="11"/>
      <c r="U2269" s="11">
        <f t="shared" si="676"/>
        <v>2.2999999999999998</v>
      </c>
      <c r="W2269">
        <v>2.5</v>
      </c>
      <c r="X2269" s="1" t="s">
        <v>187</v>
      </c>
    </row>
    <row r="2270" spans="1:24" x14ac:dyDescent="0.25">
      <c r="A2270" s="1" t="str">
        <f t="shared" si="677"/>
        <v>卡卡杜-凤凰仓</v>
      </c>
      <c r="B2270" s="1" t="str">
        <f>"CK2024102718334"</f>
        <v>CK2024102718334</v>
      </c>
      <c r="C2270" s="1" t="str">
        <f>"DD2024102787854"</f>
        <v>DD2024102787854</v>
      </c>
      <c r="D2270" s="1" t="str">
        <f>"CK2024102771965"</f>
        <v>CK2024102771965</v>
      </c>
      <c r="E2270" s="1" t="str">
        <f>"6935526932657674039"</f>
        <v>6935526932657674039</v>
      </c>
      <c r="F2270" s="1" t="str">
        <f t="shared" si="678"/>
        <v>花都四部-凤凰仓</v>
      </c>
      <c r="G2270" s="1" t="str">
        <f t="shared" ref="G2270:G2273" si="693">"卡卡杜个人护理店（抖店）"</f>
        <v>卡卡杜个人护理店（抖店）</v>
      </c>
      <c r="H2270" s="1" t="str">
        <f t="shared" si="679"/>
        <v>正常订单</v>
      </c>
      <c r="I2270" s="1" t="str">
        <f t="shared" si="680"/>
        <v>已发货</v>
      </c>
      <c r="J2270" s="1" t="str">
        <f t="shared" si="688"/>
        <v>3</v>
      </c>
      <c r="K2270" s="1">
        <v>2</v>
      </c>
      <c r="L2270" s="1" t="s">
        <v>80</v>
      </c>
      <c r="M2270" s="1" t="str">
        <f>"河南省 南阳市 淅川县 龙城街道"</f>
        <v>河南省 南阳市 淅川县 龙城街道</v>
      </c>
      <c r="N2270" s="1" t="str">
        <f t="shared" ref="N2270:N2273" si="694">"凡华云仓-城南圆通-抖音"</f>
        <v>凡华云仓-城南圆通-抖音</v>
      </c>
      <c r="O2270" s="5" t="s">
        <v>2306</v>
      </c>
      <c r="P2270" s="6">
        <v>0.35</v>
      </c>
      <c r="Q2270" s="11">
        <v>2.2999999999999998</v>
      </c>
      <c r="R2270" s="11"/>
      <c r="S2270" s="11"/>
      <c r="T2270" s="11"/>
      <c r="U2270" s="11">
        <f t="shared" si="676"/>
        <v>2.2999999999999998</v>
      </c>
      <c r="W2270">
        <v>2.5</v>
      </c>
      <c r="X2270" s="1" t="s">
        <v>80</v>
      </c>
    </row>
    <row r="2271" spans="1:24" x14ac:dyDescent="0.25">
      <c r="A2271" s="1" t="str">
        <f t="shared" si="677"/>
        <v>卡卡杜-凤凰仓</v>
      </c>
      <c r="B2271" s="1" t="str">
        <f>"CK2024102718333"</f>
        <v>CK2024102718333</v>
      </c>
      <c r="C2271" s="1" t="str">
        <f>"DD2024102787853"</f>
        <v>DD2024102787853</v>
      </c>
      <c r="D2271" s="1" t="str">
        <f>"CK2024102771964"</f>
        <v>CK2024102771964</v>
      </c>
      <c r="E2271" s="1" t="str">
        <f>"2430101849968230"</f>
        <v>2430101849968230</v>
      </c>
      <c r="F2271" s="1" t="str">
        <f t="shared" si="678"/>
        <v>花都四部-凤凰仓</v>
      </c>
      <c r="G2271" s="1" t="str">
        <f>"卡卡杜佳旺专卖店（快手店）"</f>
        <v>卡卡杜佳旺专卖店（快手店）</v>
      </c>
      <c r="H2271" s="1" t="str">
        <f t="shared" si="679"/>
        <v>正常订单</v>
      </c>
      <c r="I2271" s="1" t="str">
        <f t="shared" si="680"/>
        <v>已发货</v>
      </c>
      <c r="J2271" s="1" t="str">
        <f t="shared" si="688"/>
        <v>3</v>
      </c>
      <c r="K2271" s="1">
        <v>2</v>
      </c>
      <c r="L2271" s="1" t="s">
        <v>18</v>
      </c>
      <c r="M2271" s="1" t="str">
        <f>"广东省 惠州市 惠城区 "</f>
        <v xml:space="preserve">广东省 惠州市 惠城区 </v>
      </c>
      <c r="N2271" s="1" t="str">
        <f>"凡华云仓-城南圆通-快手"</f>
        <v>凡华云仓-城南圆通-快手</v>
      </c>
      <c r="O2271" s="5" t="s">
        <v>2307</v>
      </c>
      <c r="P2271" s="6">
        <v>0.35</v>
      </c>
      <c r="Q2271" s="11">
        <v>2.2999999999999998</v>
      </c>
      <c r="R2271" s="11"/>
      <c r="S2271" s="11"/>
      <c r="T2271" s="11"/>
      <c r="U2271" s="11">
        <f t="shared" si="676"/>
        <v>2.2999999999999998</v>
      </c>
      <c r="W2271">
        <v>2.5</v>
      </c>
      <c r="X2271" s="1" t="s">
        <v>18</v>
      </c>
    </row>
    <row r="2272" spans="1:24" x14ac:dyDescent="0.25">
      <c r="A2272" s="1" t="str">
        <f t="shared" si="677"/>
        <v>卡卡杜-凤凰仓</v>
      </c>
      <c r="B2272" s="1" t="str">
        <f>"CK2024102718332"</f>
        <v>CK2024102718332</v>
      </c>
      <c r="C2272" s="1" t="str">
        <f>"DD2024102787852"</f>
        <v>DD2024102787852</v>
      </c>
      <c r="D2272" s="1" t="str">
        <f>"CK2024102771963"</f>
        <v>CK2024102771963</v>
      </c>
      <c r="E2272" s="1" t="str">
        <f>"6935549655467890267"</f>
        <v>6935549655467890267</v>
      </c>
      <c r="F2272" s="1" t="str">
        <f t="shared" si="678"/>
        <v>花都四部-凤凰仓</v>
      </c>
      <c r="G2272" s="1" t="str">
        <f t="shared" si="693"/>
        <v>卡卡杜个人护理店（抖店）</v>
      </c>
      <c r="H2272" s="1" t="str">
        <f t="shared" si="679"/>
        <v>正常订单</v>
      </c>
      <c r="I2272" s="1" t="str">
        <f t="shared" si="680"/>
        <v>已发货</v>
      </c>
      <c r="J2272" s="1" t="str">
        <f t="shared" si="688"/>
        <v>3</v>
      </c>
      <c r="K2272" s="1">
        <v>2</v>
      </c>
      <c r="L2272" s="1" t="s">
        <v>30</v>
      </c>
      <c r="M2272" s="1" t="str">
        <f>"山东省 枣庄市 市中区 文化路街道"</f>
        <v>山东省 枣庄市 市中区 文化路街道</v>
      </c>
      <c r="N2272" s="1" t="str">
        <f t="shared" si="694"/>
        <v>凡华云仓-城南圆通-抖音</v>
      </c>
      <c r="O2272" s="5" t="s">
        <v>2308</v>
      </c>
      <c r="P2272" s="6">
        <v>0.35</v>
      </c>
      <c r="Q2272" s="11">
        <v>2.2999999999999998</v>
      </c>
      <c r="R2272" s="11"/>
      <c r="S2272" s="11"/>
      <c r="T2272" s="11"/>
      <c r="U2272" s="11">
        <f t="shared" si="676"/>
        <v>2.2999999999999998</v>
      </c>
      <c r="W2272">
        <v>2.5</v>
      </c>
      <c r="X2272" s="1" t="s">
        <v>30</v>
      </c>
    </row>
    <row r="2273" spans="1:24" x14ac:dyDescent="0.25">
      <c r="A2273" s="1" t="str">
        <f t="shared" si="677"/>
        <v>卡卡杜-凤凰仓</v>
      </c>
      <c r="B2273" s="1" t="str">
        <f>"CK2024102718331"</f>
        <v>CK2024102718331</v>
      </c>
      <c r="C2273" s="1" t="str">
        <f>"DD2024102787851"</f>
        <v>DD2024102787851</v>
      </c>
      <c r="D2273" s="1" t="str">
        <f>"CK2024102771962"</f>
        <v>CK2024102771962</v>
      </c>
      <c r="E2273" s="1" t="str">
        <f>"6935515977118848249"</f>
        <v>6935515977118848249</v>
      </c>
      <c r="F2273" s="1" t="str">
        <f t="shared" si="678"/>
        <v>花都四部-凤凰仓</v>
      </c>
      <c r="G2273" s="1" t="str">
        <f t="shared" si="693"/>
        <v>卡卡杜个人护理店（抖店）</v>
      </c>
      <c r="H2273" s="1" t="str">
        <f t="shared" si="679"/>
        <v>正常订单</v>
      </c>
      <c r="I2273" s="1" t="str">
        <f t="shared" si="680"/>
        <v>已发货</v>
      </c>
      <c r="J2273" s="1" t="str">
        <f t="shared" si="688"/>
        <v>3</v>
      </c>
      <c r="K2273" s="1">
        <v>2</v>
      </c>
      <c r="L2273" s="1" t="s">
        <v>18</v>
      </c>
      <c r="M2273" s="1" t="str">
        <f>"广东省 惠州市 博罗县 龙华镇"</f>
        <v>广东省 惠州市 博罗县 龙华镇</v>
      </c>
      <c r="N2273" s="1" t="str">
        <f t="shared" si="694"/>
        <v>凡华云仓-城南圆通-抖音</v>
      </c>
      <c r="O2273" s="5" t="s">
        <v>2309</v>
      </c>
      <c r="P2273" s="6">
        <v>0.35</v>
      </c>
      <c r="Q2273" s="11">
        <v>2.2999999999999998</v>
      </c>
      <c r="R2273" s="11"/>
      <c r="S2273" s="11"/>
      <c r="T2273" s="11"/>
      <c r="U2273" s="11">
        <f t="shared" si="676"/>
        <v>2.2999999999999998</v>
      </c>
      <c r="W2273">
        <v>2.5</v>
      </c>
      <c r="X2273" s="1" t="s">
        <v>18</v>
      </c>
    </row>
    <row r="2274" spans="1:24" x14ac:dyDescent="0.25">
      <c r="A2274" s="1" t="str">
        <f t="shared" si="677"/>
        <v>卡卡杜-凤凰仓</v>
      </c>
      <c r="B2274" s="1" t="str">
        <f>"CK2024102718328"</f>
        <v>CK2024102718328</v>
      </c>
      <c r="C2274" s="1" t="str">
        <f>"DD2024102787850"</f>
        <v>DD2024102787850</v>
      </c>
      <c r="D2274" s="1" t="str">
        <f>"CK2024102771961"</f>
        <v>CK2024102771961</v>
      </c>
      <c r="E2274" s="1" t="str">
        <f>"2430102009331690"</f>
        <v>2430102009331690</v>
      </c>
      <c r="F2274" s="1" t="str">
        <f t="shared" si="678"/>
        <v>花都四部-凤凰仓</v>
      </c>
      <c r="G2274" s="1" t="str">
        <f>"卡卡杜佳旺专卖店（快手店）"</f>
        <v>卡卡杜佳旺专卖店（快手店）</v>
      </c>
      <c r="H2274" s="1" t="str">
        <f t="shared" si="679"/>
        <v>正常订单</v>
      </c>
      <c r="I2274" s="1" t="str">
        <f t="shared" si="680"/>
        <v>已发货</v>
      </c>
      <c r="J2274" s="1" t="str">
        <f t="shared" si="688"/>
        <v>3</v>
      </c>
      <c r="K2274" s="1">
        <v>2</v>
      </c>
      <c r="L2274" s="1" t="s">
        <v>1495</v>
      </c>
      <c r="M2274" s="1" t="str">
        <f>"天津市 天津市 滨海新区 杭州道街道"</f>
        <v>天津市 天津市 滨海新区 杭州道街道</v>
      </c>
      <c r="N2274" s="1" t="str">
        <f>"凡华云仓-城南圆通-快手"</f>
        <v>凡华云仓-城南圆通-快手</v>
      </c>
      <c r="O2274" s="5" t="s">
        <v>2310</v>
      </c>
      <c r="P2274" s="6">
        <v>0.35</v>
      </c>
      <c r="Q2274" s="11">
        <v>2.2999999999999998</v>
      </c>
      <c r="R2274" s="11"/>
      <c r="S2274" s="11"/>
      <c r="T2274" s="11"/>
      <c r="U2274" s="11">
        <f t="shared" si="676"/>
        <v>2.2999999999999998</v>
      </c>
      <c r="W2274">
        <v>2.5</v>
      </c>
      <c r="X2274" s="1" t="s">
        <v>1495</v>
      </c>
    </row>
    <row r="2275" spans="1:24" x14ac:dyDescent="0.25">
      <c r="A2275" s="1" t="str">
        <f t="shared" si="677"/>
        <v>卡卡杜-凤凰仓</v>
      </c>
      <c r="B2275" s="1" t="str">
        <f>"CK2024102718330"</f>
        <v>CK2024102718330</v>
      </c>
      <c r="C2275" s="1" t="str">
        <f>"DD2024102787849"</f>
        <v>DD2024102787849</v>
      </c>
      <c r="D2275" s="1" t="str">
        <f>"CK2024102771960"</f>
        <v>CK2024102771960</v>
      </c>
      <c r="E2275" s="1" t="str">
        <f>"3723594312407713024"</f>
        <v>3723594312407713024</v>
      </c>
      <c r="F2275" s="1" t="str">
        <f t="shared" si="678"/>
        <v>花都四部-凤凰仓</v>
      </c>
      <c r="G2275" s="1" t="str">
        <f>"卡卡杜企业店（视频号）"</f>
        <v>卡卡杜企业店（视频号）</v>
      </c>
      <c r="H2275" s="1" t="str">
        <f t="shared" si="679"/>
        <v>正常订单</v>
      </c>
      <c r="I2275" s="1" t="str">
        <f t="shared" si="680"/>
        <v>已发货</v>
      </c>
      <c r="J2275" s="1" t="str">
        <f t="shared" si="688"/>
        <v>3</v>
      </c>
      <c r="K2275" s="1">
        <v>2</v>
      </c>
      <c r="L2275" s="1" t="s">
        <v>13</v>
      </c>
      <c r="M2275" s="1" t="str">
        <f>"江苏省 苏州市 相城区 "</f>
        <v xml:space="preserve">江苏省 苏州市 相城区 </v>
      </c>
      <c r="N2275" s="1" t="str">
        <f>"凡华云仓-城南圆通-微信视频号"</f>
        <v>凡华云仓-城南圆通-微信视频号</v>
      </c>
      <c r="O2275" s="5" t="s">
        <v>2311</v>
      </c>
      <c r="P2275" s="6">
        <v>0.35</v>
      </c>
      <c r="Q2275" s="11">
        <v>2.2999999999999998</v>
      </c>
      <c r="R2275" s="11"/>
      <c r="S2275" s="11"/>
      <c r="T2275" s="11"/>
      <c r="U2275" s="11">
        <f t="shared" si="676"/>
        <v>2.2999999999999998</v>
      </c>
      <c r="W2275">
        <v>2.5</v>
      </c>
      <c r="X2275" s="1" t="s">
        <v>13</v>
      </c>
    </row>
    <row r="2276" spans="1:24" x14ac:dyDescent="0.25">
      <c r="A2276" s="1" t="str">
        <f t="shared" si="677"/>
        <v>卡卡杜-凤凰仓</v>
      </c>
      <c r="B2276" s="1" t="str">
        <f>"CK2024102718329"</f>
        <v>CK2024102718329</v>
      </c>
      <c r="C2276" s="1" t="str">
        <f>"DD2024102787848"</f>
        <v>DD2024102787848</v>
      </c>
      <c r="D2276" s="1" t="str">
        <f>"CK2024102771959"</f>
        <v>CK2024102771959</v>
      </c>
      <c r="E2276" s="1" t="str">
        <f>"6935545567579215627"</f>
        <v>6935545567579215627</v>
      </c>
      <c r="F2276" s="1" t="str">
        <f t="shared" si="678"/>
        <v>花都四部-凤凰仓</v>
      </c>
      <c r="G2276" s="1" t="str">
        <f t="shared" ref="G2276:G2278" si="695">"卡卡杜个人护理店（抖店）"</f>
        <v>卡卡杜个人护理店（抖店）</v>
      </c>
      <c r="H2276" s="1" t="str">
        <f t="shared" si="679"/>
        <v>正常订单</v>
      </c>
      <c r="I2276" s="1" t="str">
        <f t="shared" si="680"/>
        <v>已发货</v>
      </c>
      <c r="J2276" s="1" t="str">
        <f t="shared" si="688"/>
        <v>3</v>
      </c>
      <c r="K2276" s="1">
        <v>2</v>
      </c>
      <c r="L2276" s="1" t="s">
        <v>32</v>
      </c>
      <c r="M2276" s="1" t="str">
        <f>"陕西省 西安市 高陵区 泾渭街道"</f>
        <v>陕西省 西安市 高陵区 泾渭街道</v>
      </c>
      <c r="N2276" s="1" t="str">
        <f t="shared" ref="N2276:N2278" si="696">"凡华云仓-城南圆通-抖音"</f>
        <v>凡华云仓-城南圆通-抖音</v>
      </c>
      <c r="O2276" s="5" t="s">
        <v>2312</v>
      </c>
      <c r="P2276" s="6">
        <v>0.35</v>
      </c>
      <c r="Q2276" s="11">
        <v>2.2999999999999998</v>
      </c>
      <c r="R2276" s="11"/>
      <c r="S2276" s="11"/>
      <c r="T2276" s="11"/>
      <c r="U2276" s="11">
        <f t="shared" si="676"/>
        <v>2.2999999999999998</v>
      </c>
      <c r="W2276">
        <v>2.5</v>
      </c>
      <c r="X2276" s="1" t="s">
        <v>32</v>
      </c>
    </row>
    <row r="2277" spans="1:24" x14ac:dyDescent="0.25">
      <c r="A2277" s="1" t="str">
        <f t="shared" si="677"/>
        <v>卡卡杜-凤凰仓</v>
      </c>
      <c r="B2277" s="1" t="str">
        <f>"CK2024102718327"</f>
        <v>CK2024102718327</v>
      </c>
      <c r="C2277" s="1" t="str">
        <f>"DD2024102787847"</f>
        <v>DD2024102787847</v>
      </c>
      <c r="D2277" s="1" t="str">
        <f>"CK2024102771958"</f>
        <v>CK2024102771958</v>
      </c>
      <c r="E2277" s="1" t="str">
        <f>"6935545320094569642"</f>
        <v>6935545320094569642</v>
      </c>
      <c r="F2277" s="1" t="str">
        <f t="shared" si="678"/>
        <v>花都四部-凤凰仓</v>
      </c>
      <c r="G2277" s="1" t="str">
        <f t="shared" si="695"/>
        <v>卡卡杜个人护理店（抖店）</v>
      </c>
      <c r="H2277" s="1" t="str">
        <f t="shared" si="679"/>
        <v>正常订单</v>
      </c>
      <c r="I2277" s="1" t="str">
        <f t="shared" si="680"/>
        <v>已发货</v>
      </c>
      <c r="J2277" s="1" t="str">
        <f t="shared" si="688"/>
        <v>3</v>
      </c>
      <c r="K2277" s="1">
        <v>2</v>
      </c>
      <c r="L2277" s="1" t="s">
        <v>36</v>
      </c>
      <c r="M2277" s="1" t="str">
        <f>"安徽省 宣城市 郎溪县 "</f>
        <v xml:space="preserve">安徽省 宣城市 郎溪县 </v>
      </c>
      <c r="N2277" s="1" t="str">
        <f t="shared" si="696"/>
        <v>凡华云仓-城南圆通-抖音</v>
      </c>
      <c r="O2277" s="5" t="s">
        <v>2313</v>
      </c>
      <c r="P2277" s="6">
        <v>0.35</v>
      </c>
      <c r="Q2277" s="11">
        <v>2.2999999999999998</v>
      </c>
      <c r="R2277" s="11"/>
      <c r="S2277" s="11"/>
      <c r="T2277" s="11"/>
      <c r="U2277" s="11">
        <f t="shared" si="676"/>
        <v>2.2999999999999998</v>
      </c>
      <c r="W2277">
        <v>2.5</v>
      </c>
      <c r="X2277" s="1" t="s">
        <v>36</v>
      </c>
    </row>
    <row r="2278" spans="1:24" x14ac:dyDescent="0.25">
      <c r="A2278" s="1" t="str">
        <f t="shared" si="677"/>
        <v>卡卡杜-凤凰仓</v>
      </c>
      <c r="B2278" s="1" t="str">
        <f>"CK2024102718326"</f>
        <v>CK2024102718326</v>
      </c>
      <c r="C2278" s="1" t="str">
        <f>"DD2024102787846"</f>
        <v>DD2024102787846</v>
      </c>
      <c r="D2278" s="1" t="str">
        <f>"CK2024102771957"</f>
        <v>CK2024102771957</v>
      </c>
      <c r="E2278" s="1" t="str">
        <f>"6935554231129085742"</f>
        <v>6935554231129085742</v>
      </c>
      <c r="F2278" s="1" t="str">
        <f t="shared" si="678"/>
        <v>花都四部-凤凰仓</v>
      </c>
      <c r="G2278" s="1" t="str">
        <f t="shared" si="695"/>
        <v>卡卡杜个人护理店（抖店）</v>
      </c>
      <c r="H2278" s="1" t="str">
        <f t="shared" si="679"/>
        <v>正常订单</v>
      </c>
      <c r="I2278" s="1" t="str">
        <f t="shared" si="680"/>
        <v>已发货</v>
      </c>
      <c r="J2278" s="1" t="str">
        <f t="shared" si="688"/>
        <v>3</v>
      </c>
      <c r="K2278" s="1">
        <v>2</v>
      </c>
      <c r="L2278" s="1" t="s">
        <v>74</v>
      </c>
      <c r="M2278" s="1" t="str">
        <f>"上海 上海市 浦东新区 塘桥街道"</f>
        <v>上海 上海市 浦东新区 塘桥街道</v>
      </c>
      <c r="N2278" s="1" t="str">
        <f t="shared" si="696"/>
        <v>凡华云仓-城南圆通-抖音</v>
      </c>
      <c r="O2278" s="5" t="s">
        <v>2314</v>
      </c>
      <c r="P2278" s="6">
        <v>0.35</v>
      </c>
      <c r="Q2278" s="11">
        <v>2.2999999999999998</v>
      </c>
      <c r="R2278" s="11"/>
      <c r="S2278" s="11"/>
      <c r="T2278" s="11"/>
      <c r="U2278" s="11">
        <f t="shared" si="676"/>
        <v>2.2999999999999998</v>
      </c>
      <c r="W2278">
        <v>2.5</v>
      </c>
      <c r="X2278" s="1" t="s">
        <v>74</v>
      </c>
    </row>
    <row r="2279" spans="1:24" x14ac:dyDescent="0.25">
      <c r="A2279" s="1" t="str">
        <f t="shared" si="677"/>
        <v>卡卡杜-凤凰仓</v>
      </c>
      <c r="B2279" s="1" t="str">
        <f>"CK2024102718325"</f>
        <v>CK2024102718325</v>
      </c>
      <c r="C2279" s="1" t="str">
        <f>"DD2024102787845"</f>
        <v>DD2024102787845</v>
      </c>
      <c r="D2279" s="1" t="str">
        <f>"CK2024102771956"</f>
        <v>CK2024102771956</v>
      </c>
      <c r="E2279" s="1" t="str">
        <f>"2430102248065096"</f>
        <v>2430102248065096</v>
      </c>
      <c r="F2279" s="1" t="str">
        <f t="shared" si="678"/>
        <v>花都四部-凤凰仓</v>
      </c>
      <c r="G2279" s="1" t="str">
        <f t="shared" ref="G2279:G2281" si="697">"卡卡杜佳旺专卖店（快手店）"</f>
        <v>卡卡杜佳旺专卖店（快手店）</v>
      </c>
      <c r="H2279" s="1" t="str">
        <f t="shared" si="679"/>
        <v>正常订单</v>
      </c>
      <c r="I2279" s="1" t="str">
        <f t="shared" si="680"/>
        <v>已发货</v>
      </c>
      <c r="J2279" s="1" t="str">
        <f t="shared" si="688"/>
        <v>3</v>
      </c>
      <c r="K2279" s="1">
        <v>2</v>
      </c>
      <c r="L2279" s="1" t="s">
        <v>94</v>
      </c>
      <c r="M2279" s="1" t="str">
        <f>"湖南省 长沙市 长沙县 黄花镇"</f>
        <v>湖南省 长沙市 长沙县 黄花镇</v>
      </c>
      <c r="N2279" s="1" t="str">
        <f t="shared" ref="N2279:N2281" si="698">"凡华云仓-城南圆通-快手"</f>
        <v>凡华云仓-城南圆通-快手</v>
      </c>
      <c r="O2279" s="5" t="s">
        <v>2315</v>
      </c>
      <c r="P2279" s="6">
        <v>0.35</v>
      </c>
      <c r="Q2279" s="11">
        <v>2.2999999999999998</v>
      </c>
      <c r="R2279" s="11"/>
      <c r="S2279" s="11"/>
      <c r="T2279" s="11"/>
      <c r="U2279" s="11">
        <f t="shared" si="676"/>
        <v>2.2999999999999998</v>
      </c>
      <c r="W2279">
        <v>2.5</v>
      </c>
      <c r="X2279" s="1" t="s">
        <v>94</v>
      </c>
    </row>
    <row r="2280" spans="1:24" x14ac:dyDescent="0.25">
      <c r="A2280" s="1" t="str">
        <f t="shared" si="677"/>
        <v>卡卡杜-凤凰仓</v>
      </c>
      <c r="B2280" s="1" t="str">
        <f>"CK2024102718324"</f>
        <v>CK2024102718324</v>
      </c>
      <c r="C2280" s="1" t="str">
        <f>"DD2024102787844"</f>
        <v>DD2024102787844</v>
      </c>
      <c r="D2280" s="1" t="str">
        <f>"CK2024102771955"</f>
        <v>CK2024102771955</v>
      </c>
      <c r="E2280" s="1" t="str">
        <f>"2430102086657595"</f>
        <v>2430102086657595</v>
      </c>
      <c r="F2280" s="1" t="str">
        <f t="shared" si="678"/>
        <v>花都四部-凤凰仓</v>
      </c>
      <c r="G2280" s="1" t="str">
        <f t="shared" si="697"/>
        <v>卡卡杜佳旺专卖店（快手店）</v>
      </c>
      <c r="H2280" s="1" t="str">
        <f t="shared" si="679"/>
        <v>正常订单</v>
      </c>
      <c r="I2280" s="1" t="str">
        <f t="shared" si="680"/>
        <v>已发货</v>
      </c>
      <c r="J2280" s="1" t="str">
        <f t="shared" si="688"/>
        <v>3</v>
      </c>
      <c r="K2280" s="1">
        <v>2</v>
      </c>
      <c r="L2280" s="1" t="s">
        <v>1099</v>
      </c>
      <c r="M2280" s="1" t="str">
        <f>"重庆市 重庆市 丰都县 兴义镇"</f>
        <v>重庆市 重庆市 丰都县 兴义镇</v>
      </c>
      <c r="N2280" s="1" t="str">
        <f t="shared" si="698"/>
        <v>凡华云仓-城南圆通-快手</v>
      </c>
      <c r="O2280" s="5" t="s">
        <v>2316</v>
      </c>
      <c r="P2280" s="6">
        <v>0.35</v>
      </c>
      <c r="Q2280" s="11">
        <v>2.2999999999999998</v>
      </c>
      <c r="R2280" s="11"/>
      <c r="S2280" s="11"/>
      <c r="T2280" s="11"/>
      <c r="U2280" s="11">
        <f t="shared" si="676"/>
        <v>2.2999999999999998</v>
      </c>
      <c r="W2280">
        <v>2.5</v>
      </c>
      <c r="X2280" s="1" t="s">
        <v>1099</v>
      </c>
    </row>
    <row r="2281" spans="1:24" x14ac:dyDescent="0.25">
      <c r="A2281" s="1" t="str">
        <f t="shared" si="677"/>
        <v>卡卡杜-凤凰仓</v>
      </c>
      <c r="B2281" s="1" t="str">
        <f>"CK2024102718321"</f>
        <v>CK2024102718321</v>
      </c>
      <c r="C2281" s="1" t="str">
        <f>"DD2024102787843"</f>
        <v>DD2024102787843</v>
      </c>
      <c r="D2281" s="1" t="str">
        <f>"CK2024102771954"</f>
        <v>CK2024102771954</v>
      </c>
      <c r="E2281" s="1" t="str">
        <f>"2430102002811242"</f>
        <v>2430102002811242</v>
      </c>
      <c r="F2281" s="1" t="str">
        <f t="shared" si="678"/>
        <v>花都四部-凤凰仓</v>
      </c>
      <c r="G2281" s="1" t="str">
        <f t="shared" si="697"/>
        <v>卡卡杜佳旺专卖店（快手店）</v>
      </c>
      <c r="H2281" s="1" t="str">
        <f t="shared" si="679"/>
        <v>正常订单</v>
      </c>
      <c r="I2281" s="1" t="str">
        <f t="shared" si="680"/>
        <v>已发货</v>
      </c>
      <c r="J2281" s="1" t="str">
        <f t="shared" si="688"/>
        <v>3</v>
      </c>
      <c r="K2281" s="1">
        <v>2</v>
      </c>
      <c r="L2281" s="1" t="s">
        <v>136</v>
      </c>
      <c r="M2281" s="1" t="str">
        <f>"北京市 北京市 丰台区 东铁匠营街道"</f>
        <v>北京市 北京市 丰台区 东铁匠营街道</v>
      </c>
      <c r="N2281" s="1" t="str">
        <f t="shared" si="698"/>
        <v>凡华云仓-城南圆通-快手</v>
      </c>
      <c r="O2281" s="5" t="s">
        <v>2317</v>
      </c>
      <c r="P2281" s="6">
        <v>0.35</v>
      </c>
      <c r="Q2281" s="11">
        <v>2.2999999999999998</v>
      </c>
      <c r="R2281" s="11"/>
      <c r="S2281" s="11"/>
      <c r="T2281" s="11"/>
      <c r="U2281" s="11">
        <f t="shared" si="676"/>
        <v>2.2999999999999998</v>
      </c>
      <c r="W2281">
        <v>2.5</v>
      </c>
      <c r="X2281" s="1" t="s">
        <v>136</v>
      </c>
    </row>
    <row r="2282" spans="1:24" x14ac:dyDescent="0.25">
      <c r="A2282" s="1" t="str">
        <f t="shared" si="677"/>
        <v>卡卡杜-凤凰仓</v>
      </c>
      <c r="B2282" s="1" t="str">
        <f>"CK2024102718323"</f>
        <v>CK2024102718323</v>
      </c>
      <c r="C2282" s="1" t="str">
        <f>"DD2024102787842"</f>
        <v>DD2024102787842</v>
      </c>
      <c r="D2282" s="1" t="str">
        <f>"CK2024102771953"</f>
        <v>CK2024102771953</v>
      </c>
      <c r="E2282" s="1" t="str">
        <f>"6935527620512388570"</f>
        <v>6935527620512388570</v>
      </c>
      <c r="F2282" s="1" t="str">
        <f t="shared" si="678"/>
        <v>花都四部-凤凰仓</v>
      </c>
      <c r="G2282" s="1" t="str">
        <f t="shared" ref="G2282:G2288" si="699">"卡卡杜个人护理店（抖店）"</f>
        <v>卡卡杜个人护理店（抖店）</v>
      </c>
      <c r="H2282" s="1" t="str">
        <f t="shared" si="679"/>
        <v>正常订单</v>
      </c>
      <c r="I2282" s="1" t="str">
        <f t="shared" si="680"/>
        <v>已发货</v>
      </c>
      <c r="J2282" s="1" t="str">
        <f t="shared" si="688"/>
        <v>3</v>
      </c>
      <c r="K2282" s="1">
        <v>2</v>
      </c>
      <c r="L2282" s="1" t="s">
        <v>20</v>
      </c>
      <c r="M2282" s="1" t="str">
        <f>"浙江省 杭州市 江干区 彭埠街道"</f>
        <v>浙江省 杭州市 江干区 彭埠街道</v>
      </c>
      <c r="N2282" s="1" t="str">
        <f t="shared" ref="N2282:N2288" si="700">"凡华云仓-城南圆通-抖音"</f>
        <v>凡华云仓-城南圆通-抖音</v>
      </c>
      <c r="O2282" s="5" t="s">
        <v>2318</v>
      </c>
      <c r="P2282" s="6">
        <v>0.35</v>
      </c>
      <c r="Q2282" s="11">
        <v>2.2999999999999998</v>
      </c>
      <c r="R2282" s="11"/>
      <c r="S2282" s="11"/>
      <c r="T2282" s="11"/>
      <c r="U2282" s="11">
        <f t="shared" si="676"/>
        <v>2.2999999999999998</v>
      </c>
      <c r="W2282">
        <v>2.5</v>
      </c>
      <c r="X2282" s="1" t="s">
        <v>20</v>
      </c>
    </row>
    <row r="2283" spans="1:24" x14ac:dyDescent="0.25">
      <c r="A2283" s="1" t="str">
        <f t="shared" si="677"/>
        <v>卡卡杜-凤凰仓</v>
      </c>
      <c r="B2283" s="1" t="str">
        <f>"CK2024102718322"</f>
        <v>CK2024102718322</v>
      </c>
      <c r="C2283" s="1" t="str">
        <f>"DD2024102787841"</f>
        <v>DD2024102787841</v>
      </c>
      <c r="D2283" s="1" t="str">
        <f>"CK2024102771952"</f>
        <v>CK2024102771952</v>
      </c>
      <c r="E2283" s="1" t="str">
        <f>"3723596271646018562"</f>
        <v>3723596271646018562</v>
      </c>
      <c r="F2283" s="1" t="str">
        <f t="shared" si="678"/>
        <v>花都四部-凤凰仓</v>
      </c>
      <c r="G2283" s="1" t="str">
        <f>"卡卡杜企业店（视频号）"</f>
        <v>卡卡杜企业店（视频号）</v>
      </c>
      <c r="H2283" s="1" t="str">
        <f t="shared" si="679"/>
        <v>正常订单</v>
      </c>
      <c r="I2283" s="1" t="str">
        <f t="shared" si="680"/>
        <v>已发货</v>
      </c>
      <c r="J2283" s="1" t="str">
        <f t="shared" si="688"/>
        <v>3</v>
      </c>
      <c r="K2283" s="1">
        <v>2</v>
      </c>
      <c r="L2283" s="1" t="s">
        <v>94</v>
      </c>
      <c r="M2283" s="1" t="str">
        <f>"湖南省 永州市 祁阳县 "</f>
        <v xml:space="preserve">湖南省 永州市 祁阳县 </v>
      </c>
      <c r="N2283" s="1" t="str">
        <f>"凡华云仓-城南圆通-微信视频号"</f>
        <v>凡华云仓-城南圆通-微信视频号</v>
      </c>
      <c r="O2283" s="5" t="s">
        <v>2319</v>
      </c>
      <c r="P2283" s="6">
        <v>0.35</v>
      </c>
      <c r="Q2283" s="11">
        <v>2.2999999999999998</v>
      </c>
      <c r="R2283" s="11"/>
      <c r="S2283" s="11"/>
      <c r="T2283" s="11"/>
      <c r="U2283" s="11">
        <f t="shared" si="676"/>
        <v>2.2999999999999998</v>
      </c>
      <c r="W2283">
        <v>2.5</v>
      </c>
      <c r="X2283" s="1" t="s">
        <v>94</v>
      </c>
    </row>
    <row r="2284" spans="1:24" x14ac:dyDescent="0.25">
      <c r="A2284" s="1" t="str">
        <f t="shared" si="677"/>
        <v>卡卡杜-凤凰仓</v>
      </c>
      <c r="B2284" s="1" t="str">
        <f>"CK2024102718319"</f>
        <v>CK2024102718319</v>
      </c>
      <c r="C2284" s="1" t="str">
        <f>"DD2024102787840"</f>
        <v>DD2024102787840</v>
      </c>
      <c r="D2284" s="1" t="str">
        <f>"CK2024102771951"</f>
        <v>CK2024102771951</v>
      </c>
      <c r="E2284" s="1" t="str">
        <f>"6935547497887962453"</f>
        <v>6935547497887962453</v>
      </c>
      <c r="F2284" s="1" t="str">
        <f t="shared" si="678"/>
        <v>花都四部-凤凰仓</v>
      </c>
      <c r="G2284" s="1" t="str">
        <f t="shared" si="699"/>
        <v>卡卡杜个人护理店（抖店）</v>
      </c>
      <c r="H2284" s="1" t="str">
        <f t="shared" si="679"/>
        <v>正常订单</v>
      </c>
      <c r="I2284" s="1" t="str">
        <f t="shared" si="680"/>
        <v>已发货</v>
      </c>
      <c r="J2284" s="1" t="str">
        <f t="shared" si="688"/>
        <v>3</v>
      </c>
      <c r="K2284" s="1">
        <v>2</v>
      </c>
      <c r="L2284" s="1" t="s">
        <v>16</v>
      </c>
      <c r="M2284" s="1" t="str">
        <f>"河北省 沧州市 青县 清州镇"</f>
        <v>河北省 沧州市 青县 清州镇</v>
      </c>
      <c r="N2284" s="1" t="str">
        <f t="shared" si="700"/>
        <v>凡华云仓-城南圆通-抖音</v>
      </c>
      <c r="O2284" s="5" t="s">
        <v>2320</v>
      </c>
      <c r="P2284" s="6">
        <v>0.35</v>
      </c>
      <c r="Q2284" s="11">
        <v>2.2999999999999998</v>
      </c>
      <c r="R2284" s="11"/>
      <c r="S2284" s="11"/>
      <c r="T2284" s="11"/>
      <c r="U2284" s="11">
        <f t="shared" si="676"/>
        <v>2.2999999999999998</v>
      </c>
      <c r="W2284">
        <v>2.5</v>
      </c>
      <c r="X2284" s="1" t="s">
        <v>16</v>
      </c>
    </row>
    <row r="2285" spans="1:24" x14ac:dyDescent="0.25">
      <c r="A2285" s="1" t="str">
        <f t="shared" si="677"/>
        <v>卡卡杜-凤凰仓</v>
      </c>
      <c r="B2285" s="1" t="str">
        <f>"CK2024102718320"</f>
        <v>CK2024102718320</v>
      </c>
      <c r="C2285" s="1" t="str">
        <f>"DD2024102787839"</f>
        <v>DD2024102787839</v>
      </c>
      <c r="D2285" s="1" t="str">
        <f>"CK2024102771950"</f>
        <v>CK2024102771950</v>
      </c>
      <c r="E2285" s="1" t="str">
        <f>"6935536808242910607"</f>
        <v>6935536808242910607</v>
      </c>
      <c r="F2285" s="1" t="str">
        <f t="shared" si="678"/>
        <v>花都四部-凤凰仓</v>
      </c>
      <c r="G2285" s="1" t="str">
        <f t="shared" si="699"/>
        <v>卡卡杜个人护理店（抖店）</v>
      </c>
      <c r="H2285" s="1" t="str">
        <f t="shared" si="679"/>
        <v>正常订单</v>
      </c>
      <c r="I2285" s="1" t="str">
        <f t="shared" si="680"/>
        <v>已发货</v>
      </c>
      <c r="J2285" s="1" t="str">
        <f t="shared" si="688"/>
        <v>3</v>
      </c>
      <c r="K2285" s="1">
        <v>2</v>
      </c>
      <c r="L2285" s="1" t="s">
        <v>13</v>
      </c>
      <c r="M2285" s="1" t="str">
        <f>"江苏省 南京市 秦淮区 夫子庙街道"</f>
        <v>江苏省 南京市 秦淮区 夫子庙街道</v>
      </c>
      <c r="N2285" s="1" t="str">
        <f t="shared" si="700"/>
        <v>凡华云仓-城南圆通-抖音</v>
      </c>
      <c r="O2285" s="5" t="s">
        <v>2321</v>
      </c>
      <c r="P2285" s="6">
        <v>0.35</v>
      </c>
      <c r="Q2285" s="11">
        <v>2.2999999999999998</v>
      </c>
      <c r="R2285" s="11"/>
      <c r="S2285" s="11"/>
      <c r="T2285" s="11"/>
      <c r="U2285" s="11">
        <f t="shared" si="676"/>
        <v>2.2999999999999998</v>
      </c>
      <c r="W2285">
        <v>2.5</v>
      </c>
      <c r="X2285" s="1" t="s">
        <v>13</v>
      </c>
    </row>
    <row r="2286" spans="1:24" x14ac:dyDescent="0.25">
      <c r="A2286" s="1" t="str">
        <f t="shared" si="677"/>
        <v>卡卡杜-凤凰仓</v>
      </c>
      <c r="B2286" s="1" t="str">
        <f>"CK2024102718318"</f>
        <v>CK2024102718318</v>
      </c>
      <c r="C2286" s="1" t="str">
        <f>"DD2024102787838"</f>
        <v>DD2024102787838</v>
      </c>
      <c r="D2286" s="1" t="str">
        <f>"CK2024102771949"</f>
        <v>CK2024102771949</v>
      </c>
      <c r="E2286" s="1" t="str">
        <f>"6935525448574375906"</f>
        <v>6935525448574375906</v>
      </c>
      <c r="F2286" s="1" t="str">
        <f t="shared" si="678"/>
        <v>花都四部-凤凰仓</v>
      </c>
      <c r="G2286" s="1" t="str">
        <f t="shared" si="699"/>
        <v>卡卡杜个人护理店（抖店）</v>
      </c>
      <c r="H2286" s="1" t="str">
        <f t="shared" si="679"/>
        <v>正常订单</v>
      </c>
      <c r="I2286" s="1" t="str">
        <f t="shared" si="680"/>
        <v>已发货</v>
      </c>
      <c r="J2286" s="1" t="str">
        <f t="shared" si="688"/>
        <v>3</v>
      </c>
      <c r="K2286" s="1">
        <v>2</v>
      </c>
      <c r="L2286" s="1" t="s">
        <v>80</v>
      </c>
      <c r="M2286" s="1" t="str">
        <f>"河南省 洛阳市 西工区 红山街道"</f>
        <v>河南省 洛阳市 西工区 红山街道</v>
      </c>
      <c r="N2286" s="1" t="str">
        <f t="shared" si="700"/>
        <v>凡华云仓-城南圆通-抖音</v>
      </c>
      <c r="O2286" s="5" t="s">
        <v>2322</v>
      </c>
      <c r="P2286" s="6">
        <v>0.35</v>
      </c>
      <c r="Q2286" s="11">
        <v>2.2999999999999998</v>
      </c>
      <c r="R2286" s="11"/>
      <c r="S2286" s="11"/>
      <c r="T2286" s="11"/>
      <c r="U2286" s="11">
        <f t="shared" si="676"/>
        <v>2.2999999999999998</v>
      </c>
      <c r="W2286">
        <v>2.5</v>
      </c>
      <c r="X2286" s="1" t="s">
        <v>80</v>
      </c>
    </row>
    <row r="2287" spans="1:24" x14ac:dyDescent="0.25">
      <c r="A2287" s="1" t="str">
        <f t="shared" si="677"/>
        <v>卡卡杜-凤凰仓</v>
      </c>
      <c r="B2287" s="1" t="str">
        <f>"CK2024102718317"</f>
        <v>CK2024102718317</v>
      </c>
      <c r="C2287" s="1" t="str">
        <f>"DD2024102787837"</f>
        <v>DD2024102787837</v>
      </c>
      <c r="D2287" s="1" t="str">
        <f>"CK2024102771948"</f>
        <v>CK2024102771948</v>
      </c>
      <c r="E2287" s="1" t="str">
        <f>"6935545385660322953"</f>
        <v>6935545385660322953</v>
      </c>
      <c r="F2287" s="1" t="str">
        <f t="shared" si="678"/>
        <v>花都四部-凤凰仓</v>
      </c>
      <c r="G2287" s="1" t="str">
        <f t="shared" si="699"/>
        <v>卡卡杜个人护理店（抖店）</v>
      </c>
      <c r="H2287" s="1" t="str">
        <f t="shared" si="679"/>
        <v>正常订单</v>
      </c>
      <c r="I2287" s="1" t="str">
        <f t="shared" si="680"/>
        <v>已发货</v>
      </c>
      <c r="J2287" s="1" t="str">
        <f t="shared" si="688"/>
        <v>3</v>
      </c>
      <c r="K2287" s="1">
        <v>2</v>
      </c>
      <c r="L2287" s="1" t="s">
        <v>60</v>
      </c>
      <c r="M2287" s="1" t="str">
        <f>"云南省 文山壮族苗族自治州 马关县 都龙镇"</f>
        <v>云南省 文山壮族苗族自治州 马关县 都龙镇</v>
      </c>
      <c r="N2287" s="1" t="str">
        <f t="shared" si="700"/>
        <v>凡华云仓-城南圆通-抖音</v>
      </c>
      <c r="O2287" s="5" t="s">
        <v>2323</v>
      </c>
      <c r="P2287" s="6">
        <v>0.35</v>
      </c>
      <c r="Q2287" s="11">
        <v>2.2999999999999998</v>
      </c>
      <c r="R2287" s="11"/>
      <c r="S2287" s="11"/>
      <c r="T2287" s="11"/>
      <c r="U2287" s="11">
        <f t="shared" si="676"/>
        <v>2.2999999999999998</v>
      </c>
      <c r="W2287">
        <v>2.5</v>
      </c>
      <c r="X2287" s="1" t="s">
        <v>60</v>
      </c>
    </row>
    <row r="2288" spans="1:24" x14ac:dyDescent="0.25">
      <c r="A2288" s="1" t="str">
        <f t="shared" si="677"/>
        <v>卡卡杜-凤凰仓</v>
      </c>
      <c r="B2288" s="1" t="str">
        <f>"CK2024102718316"</f>
        <v>CK2024102718316</v>
      </c>
      <c r="C2288" s="1" t="str">
        <f>"DD2024102787836"</f>
        <v>DD2024102787836</v>
      </c>
      <c r="D2288" s="1" t="str">
        <f>"CK2024102771947"</f>
        <v>CK2024102771947</v>
      </c>
      <c r="E2288" s="1" t="str">
        <f>"6935551840226121098"</f>
        <v>6935551840226121098</v>
      </c>
      <c r="F2288" s="1" t="str">
        <f t="shared" si="678"/>
        <v>花都四部-凤凰仓</v>
      </c>
      <c r="G2288" s="1" t="str">
        <f t="shared" si="699"/>
        <v>卡卡杜个人护理店（抖店）</v>
      </c>
      <c r="H2288" s="1" t="str">
        <f t="shared" si="679"/>
        <v>正常订单</v>
      </c>
      <c r="I2288" s="1" t="str">
        <f t="shared" si="680"/>
        <v>已发货</v>
      </c>
      <c r="J2288" s="1" t="str">
        <f t="shared" si="688"/>
        <v>3</v>
      </c>
      <c r="K2288" s="1">
        <v>2</v>
      </c>
      <c r="L2288" s="1" t="s">
        <v>74</v>
      </c>
      <c r="M2288" s="1" t="str">
        <f>"上海 上海市 浦东新区 康桥镇"</f>
        <v>上海 上海市 浦东新区 康桥镇</v>
      </c>
      <c r="N2288" s="1" t="str">
        <f t="shared" si="700"/>
        <v>凡华云仓-城南圆通-抖音</v>
      </c>
      <c r="O2288" s="5" t="s">
        <v>2324</v>
      </c>
      <c r="P2288" s="6">
        <v>0.35</v>
      </c>
      <c r="Q2288" s="11">
        <v>2.2999999999999998</v>
      </c>
      <c r="R2288" s="11"/>
      <c r="S2288" s="11"/>
      <c r="T2288" s="11"/>
      <c r="U2288" s="11">
        <f t="shared" si="676"/>
        <v>2.2999999999999998</v>
      </c>
      <c r="W2288">
        <v>2.5</v>
      </c>
      <c r="X2288" s="1" t="s">
        <v>74</v>
      </c>
    </row>
    <row r="2289" spans="1:24" x14ac:dyDescent="0.25">
      <c r="A2289" s="1" t="str">
        <f t="shared" si="677"/>
        <v>卡卡杜-凤凰仓</v>
      </c>
      <c r="B2289" s="1" t="str">
        <f>"CK2024102718315"</f>
        <v>CK2024102718315</v>
      </c>
      <c r="C2289" s="1" t="str">
        <f>"DD2024102787835"</f>
        <v>DD2024102787835</v>
      </c>
      <c r="D2289" s="1" t="str">
        <f>"CK2024102771946"</f>
        <v>CK2024102771946</v>
      </c>
      <c r="E2289" s="1" t="str">
        <f>"3723594773471564800"</f>
        <v>3723594773471564800</v>
      </c>
      <c r="F2289" s="1" t="str">
        <f t="shared" si="678"/>
        <v>花都四部-凤凰仓</v>
      </c>
      <c r="G2289" s="1" t="str">
        <f>"卡卡杜企业店（视频号）"</f>
        <v>卡卡杜企业店（视频号）</v>
      </c>
      <c r="H2289" s="1" t="str">
        <f t="shared" si="679"/>
        <v>正常订单</v>
      </c>
      <c r="I2289" s="1" t="str">
        <f t="shared" si="680"/>
        <v>已发货</v>
      </c>
      <c r="J2289" s="1" t="str">
        <f t="shared" si="688"/>
        <v>3</v>
      </c>
      <c r="K2289" s="1">
        <v>2</v>
      </c>
      <c r="L2289" s="1" t="s">
        <v>24</v>
      </c>
      <c r="M2289" s="1" t="str">
        <f>"福建省 厦门市 思明区 "</f>
        <v xml:space="preserve">福建省 厦门市 思明区 </v>
      </c>
      <c r="N2289" s="1" t="str">
        <f>"凡华云仓-城南圆通-微信视频号"</f>
        <v>凡华云仓-城南圆通-微信视频号</v>
      </c>
      <c r="O2289" s="5" t="s">
        <v>2325</v>
      </c>
      <c r="P2289" s="6">
        <v>0.35</v>
      </c>
      <c r="Q2289" s="11">
        <v>2.2999999999999998</v>
      </c>
      <c r="R2289" s="11"/>
      <c r="S2289" s="11"/>
      <c r="T2289" s="11"/>
      <c r="U2289" s="11">
        <f t="shared" si="676"/>
        <v>2.2999999999999998</v>
      </c>
      <c r="W2289">
        <v>2.5</v>
      </c>
      <c r="X2289" s="1" t="s">
        <v>24</v>
      </c>
    </row>
    <row r="2290" spans="1:24" x14ac:dyDescent="0.25">
      <c r="A2290" s="1" t="str">
        <f t="shared" si="677"/>
        <v>卡卡杜-凤凰仓</v>
      </c>
      <c r="B2290" s="1" t="str">
        <f>"CK2024102718314"</f>
        <v>CK2024102718314</v>
      </c>
      <c r="C2290" s="1" t="str">
        <f>"DD2024102787834"</f>
        <v>DD2024102787834</v>
      </c>
      <c r="D2290" s="1" t="str">
        <f>"CK2024102771945"</f>
        <v>CK2024102771945</v>
      </c>
      <c r="E2290" s="1" t="str">
        <f>"2430101764457561"</f>
        <v>2430101764457561</v>
      </c>
      <c r="F2290" s="1" t="str">
        <f t="shared" si="678"/>
        <v>花都四部-凤凰仓</v>
      </c>
      <c r="G2290" s="1" t="str">
        <f>"卡卡杜佳旺专卖店（快手店）"</f>
        <v>卡卡杜佳旺专卖店（快手店）</v>
      </c>
      <c r="H2290" s="1" t="str">
        <f t="shared" si="679"/>
        <v>正常订单</v>
      </c>
      <c r="I2290" s="1" t="str">
        <f t="shared" si="680"/>
        <v>已发货</v>
      </c>
      <c r="J2290" s="1" t="str">
        <f t="shared" si="688"/>
        <v>3</v>
      </c>
      <c r="K2290" s="1">
        <v>2</v>
      </c>
      <c r="L2290" s="1" t="s">
        <v>30</v>
      </c>
      <c r="M2290" s="1" t="str">
        <f>"山东省 烟台市 蓬莱区 登州街道"</f>
        <v>山东省 烟台市 蓬莱区 登州街道</v>
      </c>
      <c r="N2290" s="1" t="str">
        <f>"凡华云仓-城南圆通-快手"</f>
        <v>凡华云仓-城南圆通-快手</v>
      </c>
      <c r="O2290" s="5" t="s">
        <v>2326</v>
      </c>
      <c r="P2290" s="6">
        <v>0.35</v>
      </c>
      <c r="Q2290" s="11">
        <v>2.2999999999999998</v>
      </c>
      <c r="R2290" s="11"/>
      <c r="S2290" s="11"/>
      <c r="T2290" s="11"/>
      <c r="U2290" s="11">
        <f t="shared" si="676"/>
        <v>2.2999999999999998</v>
      </c>
      <c r="W2290">
        <v>2.5</v>
      </c>
      <c r="X2290" s="1" t="s">
        <v>30</v>
      </c>
    </row>
    <row r="2291" spans="1:24" x14ac:dyDescent="0.25">
      <c r="A2291" s="1" t="str">
        <f t="shared" si="677"/>
        <v>卡卡杜-凤凰仓</v>
      </c>
      <c r="B2291" s="1" t="str">
        <f>"CK2024102718313"</f>
        <v>CK2024102718313</v>
      </c>
      <c r="C2291" s="1" t="str">
        <f>"DD2024102787833"</f>
        <v>DD2024102787833</v>
      </c>
      <c r="D2291" s="1" t="str">
        <f>"CK2024102771944"</f>
        <v>CK2024102771944</v>
      </c>
      <c r="E2291" s="1" t="str">
        <f>"6935527664797095405"</f>
        <v>6935527664797095405</v>
      </c>
      <c r="F2291" s="1" t="str">
        <f t="shared" si="678"/>
        <v>花都四部-凤凰仓</v>
      </c>
      <c r="G2291" s="1" t="str">
        <f t="shared" ref="G2291:G2295" si="701">"卡卡杜个人护理店（抖店）"</f>
        <v>卡卡杜个人护理店（抖店）</v>
      </c>
      <c r="H2291" s="1" t="str">
        <f t="shared" si="679"/>
        <v>正常订单</v>
      </c>
      <c r="I2291" s="1" t="str">
        <f t="shared" si="680"/>
        <v>已发货</v>
      </c>
      <c r="J2291" s="1" t="str">
        <f t="shared" si="688"/>
        <v>3</v>
      </c>
      <c r="K2291" s="1">
        <v>2</v>
      </c>
      <c r="L2291" s="1" t="s">
        <v>41</v>
      </c>
      <c r="M2291" s="1" t="str">
        <f>"湖北省 武汉市 江岸区 "</f>
        <v xml:space="preserve">湖北省 武汉市 江岸区 </v>
      </c>
      <c r="N2291" s="1" t="str">
        <f t="shared" ref="N2291:N2295" si="702">"凡华云仓-城南圆通-抖音"</f>
        <v>凡华云仓-城南圆通-抖音</v>
      </c>
      <c r="O2291" s="5" t="s">
        <v>2327</v>
      </c>
      <c r="P2291" s="6">
        <v>0.35</v>
      </c>
      <c r="Q2291" s="11">
        <v>2.2999999999999998</v>
      </c>
      <c r="R2291" s="11"/>
      <c r="S2291" s="11"/>
      <c r="T2291" s="11"/>
      <c r="U2291" s="11">
        <f t="shared" si="676"/>
        <v>2.2999999999999998</v>
      </c>
      <c r="W2291">
        <v>2.5</v>
      </c>
      <c r="X2291" s="1" t="s">
        <v>41</v>
      </c>
    </row>
    <row r="2292" spans="1:24" x14ac:dyDescent="0.25">
      <c r="A2292" s="1" t="str">
        <f t="shared" si="677"/>
        <v>卡卡杜-凤凰仓</v>
      </c>
      <c r="B2292" s="1" t="str">
        <f>"CK2024102718312"</f>
        <v>CK2024102718312</v>
      </c>
      <c r="C2292" s="1" t="str">
        <f>"DD2024102787832"</f>
        <v>DD2024102787832</v>
      </c>
      <c r="D2292" s="1" t="str">
        <f>"CK2024102771943"</f>
        <v>CK2024102771943</v>
      </c>
      <c r="E2292" s="1" t="str">
        <f>"2430102327864278"</f>
        <v>2430102327864278</v>
      </c>
      <c r="F2292" s="1" t="str">
        <f t="shared" si="678"/>
        <v>花都四部-凤凰仓</v>
      </c>
      <c r="G2292" s="1" t="str">
        <f>"卡卡杜佳旺专卖店（快手店）"</f>
        <v>卡卡杜佳旺专卖店（快手店）</v>
      </c>
      <c r="H2292" s="1" t="str">
        <f t="shared" si="679"/>
        <v>正常订单</v>
      </c>
      <c r="I2292" s="1" t="str">
        <f t="shared" si="680"/>
        <v>已发货</v>
      </c>
      <c r="J2292" s="1" t="str">
        <f t="shared" si="688"/>
        <v>3</v>
      </c>
      <c r="K2292" s="1">
        <v>2</v>
      </c>
      <c r="L2292" s="1" t="s">
        <v>109</v>
      </c>
      <c r="M2292" s="1" t="str">
        <f>"山西省 阳泉市 矿区 蔡洼街道"</f>
        <v>山西省 阳泉市 矿区 蔡洼街道</v>
      </c>
      <c r="N2292" s="1" t="str">
        <f>"凡华云仓-城南圆通-快手"</f>
        <v>凡华云仓-城南圆通-快手</v>
      </c>
      <c r="O2292" s="5" t="s">
        <v>2328</v>
      </c>
      <c r="P2292" s="6">
        <v>0.35</v>
      </c>
      <c r="Q2292" s="11">
        <v>2.2999999999999998</v>
      </c>
      <c r="R2292" s="11"/>
      <c r="S2292" s="11"/>
      <c r="T2292" s="11"/>
      <c r="U2292" s="11">
        <f t="shared" si="676"/>
        <v>2.2999999999999998</v>
      </c>
      <c r="W2292">
        <v>2.5</v>
      </c>
      <c r="X2292" s="1" t="s">
        <v>109</v>
      </c>
    </row>
    <row r="2293" spans="1:24" x14ac:dyDescent="0.25">
      <c r="A2293" s="1" t="str">
        <f t="shared" si="677"/>
        <v>卡卡杜-凤凰仓</v>
      </c>
      <c r="B2293" s="1" t="str">
        <f>"CK2024102718311"</f>
        <v>CK2024102718311</v>
      </c>
      <c r="C2293" s="1" t="str">
        <f>"DD2024102787831"</f>
        <v>DD2024102787831</v>
      </c>
      <c r="D2293" s="1" t="str">
        <f>"CK2024102771942"</f>
        <v>CK2024102771942</v>
      </c>
      <c r="E2293" s="1" t="str">
        <f>"6935527400265094264"</f>
        <v>6935527400265094264</v>
      </c>
      <c r="F2293" s="1" t="str">
        <f t="shared" si="678"/>
        <v>花都四部-凤凰仓</v>
      </c>
      <c r="G2293" s="1" t="str">
        <f t="shared" si="701"/>
        <v>卡卡杜个人护理店（抖店）</v>
      </c>
      <c r="H2293" s="1" t="str">
        <f t="shared" si="679"/>
        <v>正常订单</v>
      </c>
      <c r="I2293" s="1" t="str">
        <f t="shared" si="680"/>
        <v>已发货</v>
      </c>
      <c r="J2293" s="1" t="str">
        <f t="shared" si="688"/>
        <v>3</v>
      </c>
      <c r="K2293" s="1">
        <v>2</v>
      </c>
      <c r="L2293" s="1" t="s">
        <v>24</v>
      </c>
      <c r="M2293" s="1" t="str">
        <f>"福建省 福州市 晋安区 "</f>
        <v xml:space="preserve">福建省 福州市 晋安区 </v>
      </c>
      <c r="N2293" s="1" t="str">
        <f t="shared" si="702"/>
        <v>凡华云仓-城南圆通-抖音</v>
      </c>
      <c r="O2293" s="5" t="s">
        <v>2329</v>
      </c>
      <c r="P2293" s="6">
        <v>0.35</v>
      </c>
      <c r="Q2293" s="11">
        <v>2.2999999999999998</v>
      </c>
      <c r="R2293" s="11"/>
      <c r="S2293" s="11"/>
      <c r="T2293" s="11"/>
      <c r="U2293" s="11">
        <f t="shared" si="676"/>
        <v>2.2999999999999998</v>
      </c>
      <c r="W2293">
        <v>2.5</v>
      </c>
      <c r="X2293" s="1" t="s">
        <v>24</v>
      </c>
    </row>
    <row r="2294" spans="1:24" x14ac:dyDescent="0.25">
      <c r="A2294" s="1" t="str">
        <f t="shared" si="677"/>
        <v>卡卡杜-凤凰仓</v>
      </c>
      <c r="B2294" s="1" t="str">
        <f>"CK2024102718310"</f>
        <v>CK2024102718310</v>
      </c>
      <c r="C2294" s="1" t="str">
        <f>"DD2024102787830"</f>
        <v>DD2024102787830</v>
      </c>
      <c r="D2294" s="1" t="str">
        <f>"CK2024102771941"</f>
        <v>CK2024102771941</v>
      </c>
      <c r="E2294" s="1" t="str">
        <f>"6935540444465271832"</f>
        <v>6935540444465271832</v>
      </c>
      <c r="F2294" s="1" t="str">
        <f t="shared" si="678"/>
        <v>花都四部-凤凰仓</v>
      </c>
      <c r="G2294" s="1" t="str">
        <f t="shared" si="701"/>
        <v>卡卡杜个人护理店（抖店）</v>
      </c>
      <c r="H2294" s="1" t="str">
        <f t="shared" si="679"/>
        <v>正常订单</v>
      </c>
      <c r="I2294" s="1" t="str">
        <f t="shared" si="680"/>
        <v>已发货</v>
      </c>
      <c r="J2294" s="1" t="str">
        <f t="shared" si="688"/>
        <v>3</v>
      </c>
      <c r="K2294" s="1">
        <v>2</v>
      </c>
      <c r="L2294" s="1" t="s">
        <v>36</v>
      </c>
      <c r="M2294" s="1" t="str">
        <f>"安徽省 滁州市 明光市 明西街道"</f>
        <v>安徽省 滁州市 明光市 明西街道</v>
      </c>
      <c r="N2294" s="1" t="str">
        <f t="shared" si="702"/>
        <v>凡华云仓-城南圆通-抖音</v>
      </c>
      <c r="O2294" s="5" t="s">
        <v>2330</v>
      </c>
      <c r="P2294" s="6">
        <v>0.35</v>
      </c>
      <c r="Q2294" s="11">
        <v>2.2999999999999998</v>
      </c>
      <c r="R2294" s="11"/>
      <c r="S2294" s="11"/>
      <c r="T2294" s="11"/>
      <c r="U2294" s="11">
        <f t="shared" si="676"/>
        <v>2.2999999999999998</v>
      </c>
      <c r="W2294">
        <v>2.5</v>
      </c>
      <c r="X2294" s="1" t="s">
        <v>36</v>
      </c>
    </row>
    <row r="2295" spans="1:24" x14ac:dyDescent="0.25">
      <c r="A2295" s="1" t="str">
        <f t="shared" si="677"/>
        <v>卡卡杜-凤凰仓</v>
      </c>
      <c r="B2295" s="1" t="str">
        <f>"CK2024102718309"</f>
        <v>CK2024102718309</v>
      </c>
      <c r="C2295" s="1" t="str">
        <f>"DD2024102787829"</f>
        <v>DD2024102787829</v>
      </c>
      <c r="D2295" s="1" t="str">
        <f>"CK2024102771940"</f>
        <v>CK2024102771940</v>
      </c>
      <c r="E2295" s="1" t="str">
        <f>"6935543227261588700"</f>
        <v>6935543227261588700</v>
      </c>
      <c r="F2295" s="1" t="str">
        <f t="shared" si="678"/>
        <v>花都四部-凤凰仓</v>
      </c>
      <c r="G2295" s="1" t="str">
        <f t="shared" si="701"/>
        <v>卡卡杜个人护理店（抖店）</v>
      </c>
      <c r="H2295" s="1" t="str">
        <f t="shared" si="679"/>
        <v>正常订单</v>
      </c>
      <c r="I2295" s="1" t="str">
        <f t="shared" si="680"/>
        <v>已发货</v>
      </c>
      <c r="J2295" s="1" t="str">
        <f t="shared" si="688"/>
        <v>3</v>
      </c>
      <c r="K2295" s="1">
        <v>2</v>
      </c>
      <c r="L2295" s="1" t="s">
        <v>20</v>
      </c>
      <c r="M2295" s="1" t="str">
        <f>"浙江省 宁波市 奉化区 岳林街道"</f>
        <v>浙江省 宁波市 奉化区 岳林街道</v>
      </c>
      <c r="N2295" s="1" t="str">
        <f t="shared" si="702"/>
        <v>凡华云仓-城南圆通-抖音</v>
      </c>
      <c r="O2295" s="5" t="s">
        <v>2331</v>
      </c>
      <c r="P2295" s="6">
        <v>0.35</v>
      </c>
      <c r="Q2295" s="11">
        <v>2.2999999999999998</v>
      </c>
      <c r="R2295" s="11"/>
      <c r="S2295" s="11"/>
      <c r="T2295" s="11"/>
      <c r="U2295" s="11">
        <f t="shared" si="676"/>
        <v>2.2999999999999998</v>
      </c>
      <c r="W2295">
        <v>2.5</v>
      </c>
      <c r="X2295" s="1" t="s">
        <v>20</v>
      </c>
    </row>
    <row r="2296" spans="1:24" x14ac:dyDescent="0.25">
      <c r="A2296" s="1" t="str">
        <f t="shared" si="677"/>
        <v>卡卡杜-凤凰仓</v>
      </c>
      <c r="B2296" s="1" t="str">
        <f>"CK2024102718307"</f>
        <v>CK2024102718307</v>
      </c>
      <c r="C2296" s="1" t="str">
        <f>"DD2024102787828"</f>
        <v>DD2024102787828</v>
      </c>
      <c r="D2296" s="1" t="str">
        <f>"CK2024102771939"</f>
        <v>CK2024102771939</v>
      </c>
      <c r="E2296" s="1" t="str">
        <f>"2430101927096174"</f>
        <v>2430101927096174</v>
      </c>
      <c r="F2296" s="1" t="str">
        <f t="shared" si="678"/>
        <v>花都四部-凤凰仓</v>
      </c>
      <c r="G2296" s="1" t="str">
        <f>"卡卡杜佳旺专卖店（快手店）"</f>
        <v>卡卡杜佳旺专卖店（快手店）</v>
      </c>
      <c r="H2296" s="1" t="str">
        <f t="shared" si="679"/>
        <v>正常订单</v>
      </c>
      <c r="I2296" s="1" t="str">
        <f t="shared" si="680"/>
        <v>已发货</v>
      </c>
      <c r="J2296" s="1" t="str">
        <f t="shared" si="688"/>
        <v>3</v>
      </c>
      <c r="K2296" s="1">
        <v>2</v>
      </c>
      <c r="L2296" s="1" t="s">
        <v>20</v>
      </c>
      <c r="M2296" s="1" t="str">
        <f>"浙江省 宁波市 鄞州区 横溪镇"</f>
        <v>浙江省 宁波市 鄞州区 横溪镇</v>
      </c>
      <c r="N2296" s="1" t="str">
        <f>"凡华云仓-城南圆通-快手"</f>
        <v>凡华云仓-城南圆通-快手</v>
      </c>
      <c r="O2296" s="5" t="s">
        <v>2332</v>
      </c>
      <c r="P2296" s="6">
        <v>0.35</v>
      </c>
      <c r="Q2296" s="11">
        <v>2.2999999999999998</v>
      </c>
      <c r="R2296" s="11"/>
      <c r="S2296" s="11"/>
      <c r="T2296" s="11"/>
      <c r="U2296" s="11">
        <f t="shared" si="676"/>
        <v>2.2999999999999998</v>
      </c>
      <c r="W2296">
        <v>2.5</v>
      </c>
      <c r="X2296" s="1" t="s">
        <v>20</v>
      </c>
    </row>
    <row r="2297" spans="1:24" x14ac:dyDescent="0.25">
      <c r="A2297" s="1" t="str">
        <f t="shared" si="677"/>
        <v>卡卡杜-凤凰仓</v>
      </c>
      <c r="B2297" s="1" t="str">
        <f>"CK2024102718308"</f>
        <v>CK2024102718308</v>
      </c>
      <c r="C2297" s="1" t="str">
        <f>"DD2024102787827"</f>
        <v>DD2024102787827</v>
      </c>
      <c r="D2297" s="1" t="str">
        <f>"CK2024102771938"</f>
        <v>CK2024102771938</v>
      </c>
      <c r="E2297" s="1" t="str">
        <f>"6935558824880379655"</f>
        <v>6935558824880379655</v>
      </c>
      <c r="F2297" s="1" t="str">
        <f t="shared" si="678"/>
        <v>花都四部-凤凰仓</v>
      </c>
      <c r="G2297" s="1" t="str">
        <f t="shared" ref="G2297:G2305" si="703">"卡卡杜个人护理店（抖店）"</f>
        <v>卡卡杜个人护理店（抖店）</v>
      </c>
      <c r="H2297" s="1" t="str">
        <f t="shared" si="679"/>
        <v>正常订单</v>
      </c>
      <c r="I2297" s="1" t="str">
        <f t="shared" si="680"/>
        <v>已发货</v>
      </c>
      <c r="J2297" s="1" t="str">
        <f t="shared" si="688"/>
        <v>3</v>
      </c>
      <c r="K2297" s="1">
        <v>2</v>
      </c>
      <c r="L2297" s="1" t="s">
        <v>92</v>
      </c>
      <c r="M2297" s="1" t="str">
        <f>"辽宁省 沈阳市 铁西区 翟家街道"</f>
        <v>辽宁省 沈阳市 铁西区 翟家街道</v>
      </c>
      <c r="N2297" s="1" t="str">
        <f t="shared" ref="N2297:N2305" si="704">"凡华云仓-城南圆通-抖音"</f>
        <v>凡华云仓-城南圆通-抖音</v>
      </c>
      <c r="O2297" s="5" t="s">
        <v>2333</v>
      </c>
      <c r="P2297" s="6">
        <v>0.35</v>
      </c>
      <c r="Q2297" s="11">
        <v>2.2999999999999998</v>
      </c>
      <c r="R2297" s="11"/>
      <c r="S2297" s="11"/>
      <c r="T2297" s="11"/>
      <c r="U2297" s="11">
        <f t="shared" si="676"/>
        <v>2.2999999999999998</v>
      </c>
      <c r="W2297">
        <v>2.5</v>
      </c>
      <c r="X2297" s="1" t="s">
        <v>92</v>
      </c>
    </row>
    <row r="2298" spans="1:24" x14ac:dyDescent="0.25">
      <c r="A2298" s="1" t="str">
        <f t="shared" si="677"/>
        <v>卡卡杜-凤凰仓</v>
      </c>
      <c r="B2298" s="1" t="str">
        <f>"CK2024102718305"</f>
        <v>CK2024102718305</v>
      </c>
      <c r="C2298" s="1" t="str">
        <f>"DD2024102787826"</f>
        <v>DD2024102787826</v>
      </c>
      <c r="D2298" s="1" t="str">
        <f>"CK2024102771937"</f>
        <v>CK2024102771937</v>
      </c>
      <c r="E2298" s="1" t="str">
        <f>"6935527614162081465"</f>
        <v>6935527614162081465</v>
      </c>
      <c r="F2298" s="1" t="str">
        <f t="shared" si="678"/>
        <v>花都四部-凤凰仓</v>
      </c>
      <c r="G2298" s="1" t="str">
        <f t="shared" si="703"/>
        <v>卡卡杜个人护理店（抖店）</v>
      </c>
      <c r="H2298" s="1" t="str">
        <f t="shared" si="679"/>
        <v>正常订单</v>
      </c>
      <c r="I2298" s="1" t="str">
        <f t="shared" si="680"/>
        <v>已发货</v>
      </c>
      <c r="J2298" s="1" t="str">
        <f t="shared" si="688"/>
        <v>3</v>
      </c>
      <c r="K2298" s="1">
        <v>2</v>
      </c>
      <c r="L2298" s="1" t="s">
        <v>1111</v>
      </c>
      <c r="M2298" s="1" t="str">
        <f>"青海省 海南州 共和县 恰卜恰镇"</f>
        <v>青海省 海南州 共和县 恰卜恰镇</v>
      </c>
      <c r="N2298" s="1" t="str">
        <f t="shared" si="704"/>
        <v>凡华云仓-城南圆通-抖音</v>
      </c>
      <c r="O2298" s="5" t="s">
        <v>2334</v>
      </c>
      <c r="P2298" s="6">
        <v>0.35</v>
      </c>
      <c r="Q2298" s="11">
        <v>2.2999999999999998</v>
      </c>
      <c r="R2298" s="11"/>
      <c r="S2298" s="11"/>
      <c r="T2298" s="11"/>
      <c r="U2298" s="11">
        <f t="shared" si="676"/>
        <v>2.2999999999999998</v>
      </c>
      <c r="W2298">
        <v>2.5</v>
      </c>
      <c r="X2298" s="1" t="s">
        <v>1111</v>
      </c>
    </row>
    <row r="2299" spans="1:24" x14ac:dyDescent="0.25">
      <c r="A2299" s="1" t="str">
        <f t="shared" si="677"/>
        <v>卡卡杜-凤凰仓</v>
      </c>
      <c r="B2299" s="1" t="str">
        <f>"CK2024102718306"</f>
        <v>CK2024102718306</v>
      </c>
      <c r="C2299" s="1" t="str">
        <f>"DD2024102787825"</f>
        <v>DD2024102787825</v>
      </c>
      <c r="D2299" s="1" t="str">
        <f>"CK2024102771936"</f>
        <v>CK2024102771936</v>
      </c>
      <c r="E2299" s="1" t="str">
        <f>"2430102325385940"</f>
        <v>2430102325385940</v>
      </c>
      <c r="F2299" s="1" t="str">
        <f t="shared" si="678"/>
        <v>花都四部-凤凰仓</v>
      </c>
      <c r="G2299" s="1" t="str">
        <f>"卡卡杜佳旺专卖店（快手店）"</f>
        <v>卡卡杜佳旺专卖店（快手店）</v>
      </c>
      <c r="H2299" s="1" t="str">
        <f t="shared" si="679"/>
        <v>正常订单</v>
      </c>
      <c r="I2299" s="1" t="str">
        <f t="shared" si="680"/>
        <v>已发货</v>
      </c>
      <c r="J2299" s="1" t="str">
        <f t="shared" si="688"/>
        <v>3</v>
      </c>
      <c r="K2299" s="1">
        <v>2</v>
      </c>
      <c r="L2299" s="1" t="s">
        <v>94</v>
      </c>
      <c r="M2299" s="1" t="str">
        <f>"湖南省 娄底市 娄星区 涟滨街道"</f>
        <v>湖南省 娄底市 娄星区 涟滨街道</v>
      </c>
      <c r="N2299" s="1" t="str">
        <f>"凡华云仓-城南圆通-快手"</f>
        <v>凡华云仓-城南圆通-快手</v>
      </c>
      <c r="O2299" s="5" t="s">
        <v>2335</v>
      </c>
      <c r="P2299" s="6">
        <v>0.35</v>
      </c>
      <c r="Q2299" s="11">
        <v>2.2999999999999998</v>
      </c>
      <c r="R2299" s="11"/>
      <c r="S2299" s="11"/>
      <c r="T2299" s="11"/>
      <c r="U2299" s="11">
        <f t="shared" si="676"/>
        <v>2.2999999999999998</v>
      </c>
      <c r="W2299">
        <v>2.5</v>
      </c>
      <c r="X2299" s="1" t="s">
        <v>94</v>
      </c>
    </row>
    <row r="2300" spans="1:24" x14ac:dyDescent="0.25">
      <c r="A2300" s="1" t="str">
        <f t="shared" si="677"/>
        <v>卡卡杜-凤凰仓</v>
      </c>
      <c r="B2300" s="1" t="str">
        <f>"CK2024102718304"</f>
        <v>CK2024102718304</v>
      </c>
      <c r="C2300" s="1" t="str">
        <f>"DD2024102787824"</f>
        <v>DD2024102787824</v>
      </c>
      <c r="D2300" s="1" t="str">
        <f>"CK2024102771935"</f>
        <v>CK2024102771935</v>
      </c>
      <c r="E2300" s="1" t="str">
        <f>"6935551962299897313"</f>
        <v>6935551962299897313</v>
      </c>
      <c r="F2300" s="1" t="str">
        <f t="shared" si="678"/>
        <v>花都四部-凤凰仓</v>
      </c>
      <c r="G2300" s="1" t="str">
        <f t="shared" si="703"/>
        <v>卡卡杜个人护理店（抖店）</v>
      </c>
      <c r="H2300" s="1" t="str">
        <f t="shared" si="679"/>
        <v>正常订单</v>
      </c>
      <c r="I2300" s="1" t="str">
        <f t="shared" si="680"/>
        <v>已发货</v>
      </c>
      <c r="J2300" s="1" t="str">
        <f t="shared" si="688"/>
        <v>3</v>
      </c>
      <c r="K2300" s="1">
        <v>2</v>
      </c>
      <c r="L2300" s="1" t="s">
        <v>96</v>
      </c>
      <c r="M2300" s="1" t="str">
        <f>"广西壮族自治区 南宁市 兴宁区 三塘镇"</f>
        <v>广西壮族自治区 南宁市 兴宁区 三塘镇</v>
      </c>
      <c r="N2300" s="1" t="str">
        <f t="shared" si="704"/>
        <v>凡华云仓-城南圆通-抖音</v>
      </c>
      <c r="O2300" s="5" t="s">
        <v>2336</v>
      </c>
      <c r="P2300" s="6">
        <v>0.35</v>
      </c>
      <c r="Q2300" s="11">
        <v>2.2999999999999998</v>
      </c>
      <c r="R2300" s="11"/>
      <c r="S2300" s="11"/>
      <c r="T2300" s="11"/>
      <c r="U2300" s="11">
        <f t="shared" si="676"/>
        <v>2.2999999999999998</v>
      </c>
      <c r="W2300">
        <v>2.5</v>
      </c>
      <c r="X2300" s="1" t="s">
        <v>96</v>
      </c>
    </row>
    <row r="2301" spans="1:24" x14ac:dyDescent="0.25">
      <c r="A2301" s="1" t="str">
        <f t="shared" si="677"/>
        <v>卡卡杜-凤凰仓</v>
      </c>
      <c r="B2301" s="1" t="str">
        <f>"CK2024102718303"</f>
        <v>CK2024102718303</v>
      </c>
      <c r="C2301" s="1" t="str">
        <f>"DD2024102787823"</f>
        <v>DD2024102787823</v>
      </c>
      <c r="D2301" s="1" t="str">
        <f>"CK2024102771934"</f>
        <v>CK2024102771934</v>
      </c>
      <c r="E2301" s="1" t="str">
        <f>"6935543198335898710"</f>
        <v>6935543198335898710</v>
      </c>
      <c r="F2301" s="1" t="str">
        <f t="shared" si="678"/>
        <v>花都四部-凤凰仓</v>
      </c>
      <c r="G2301" s="1" t="str">
        <f t="shared" si="703"/>
        <v>卡卡杜个人护理店（抖店）</v>
      </c>
      <c r="H2301" s="1" t="str">
        <f t="shared" si="679"/>
        <v>正常订单</v>
      </c>
      <c r="I2301" s="1" t="str">
        <f t="shared" si="680"/>
        <v>已发货</v>
      </c>
      <c r="J2301" s="1" t="str">
        <f t="shared" si="688"/>
        <v>3</v>
      </c>
      <c r="K2301" s="1">
        <v>2</v>
      </c>
      <c r="L2301" s="1" t="s">
        <v>13</v>
      </c>
      <c r="M2301" s="1" t="str">
        <f>"江苏省 南京市 溧水区 柘塘街道"</f>
        <v>江苏省 南京市 溧水区 柘塘街道</v>
      </c>
      <c r="N2301" s="1" t="str">
        <f t="shared" si="704"/>
        <v>凡华云仓-城南圆通-抖音</v>
      </c>
      <c r="O2301" s="5" t="s">
        <v>2337</v>
      </c>
      <c r="P2301" s="6">
        <v>0.35</v>
      </c>
      <c r="Q2301" s="11">
        <v>2.2999999999999998</v>
      </c>
      <c r="R2301" s="11"/>
      <c r="S2301" s="11"/>
      <c r="T2301" s="11"/>
      <c r="U2301" s="11">
        <f t="shared" si="676"/>
        <v>2.2999999999999998</v>
      </c>
      <c r="W2301">
        <v>2.5</v>
      </c>
      <c r="X2301" s="1" t="s">
        <v>13</v>
      </c>
    </row>
    <row r="2302" spans="1:24" x14ac:dyDescent="0.25">
      <c r="A2302" s="1" t="str">
        <f t="shared" si="677"/>
        <v>卡卡杜-凤凰仓</v>
      </c>
      <c r="B2302" s="1" t="str">
        <f>"CK2024102718301"</f>
        <v>CK2024102718301</v>
      </c>
      <c r="C2302" s="1" t="str">
        <f>"DD2024102787822"</f>
        <v>DD2024102787822</v>
      </c>
      <c r="D2302" s="1" t="str">
        <f>"CK2024102771933"</f>
        <v>CK2024102771933</v>
      </c>
      <c r="E2302" s="1" t="str">
        <f>"6935543092095554598"</f>
        <v>6935543092095554598</v>
      </c>
      <c r="F2302" s="1" t="str">
        <f t="shared" si="678"/>
        <v>花都四部-凤凰仓</v>
      </c>
      <c r="G2302" s="1" t="str">
        <f t="shared" si="703"/>
        <v>卡卡杜个人护理店（抖店）</v>
      </c>
      <c r="H2302" s="1" t="str">
        <f t="shared" si="679"/>
        <v>正常订单</v>
      </c>
      <c r="I2302" s="1" t="str">
        <f t="shared" si="680"/>
        <v>已发货</v>
      </c>
      <c r="J2302" s="1" t="str">
        <f t="shared" si="688"/>
        <v>3</v>
      </c>
      <c r="K2302" s="1">
        <v>2</v>
      </c>
      <c r="L2302" s="1" t="s">
        <v>80</v>
      </c>
      <c r="M2302" s="1" t="str">
        <f>"河南省 郑州市 中牟县 青年路街道"</f>
        <v>河南省 郑州市 中牟县 青年路街道</v>
      </c>
      <c r="N2302" s="1" t="str">
        <f t="shared" si="704"/>
        <v>凡华云仓-城南圆通-抖音</v>
      </c>
      <c r="O2302" s="5" t="s">
        <v>2338</v>
      </c>
      <c r="P2302" s="6">
        <v>0.35</v>
      </c>
      <c r="Q2302" s="11">
        <v>2.2999999999999998</v>
      </c>
      <c r="R2302" s="11"/>
      <c r="S2302" s="11"/>
      <c r="T2302" s="11"/>
      <c r="U2302" s="11">
        <f t="shared" si="676"/>
        <v>2.2999999999999998</v>
      </c>
      <c r="W2302">
        <v>2.5</v>
      </c>
      <c r="X2302" s="1" t="s">
        <v>80</v>
      </c>
    </row>
    <row r="2303" spans="1:24" x14ac:dyDescent="0.25">
      <c r="A2303" s="1" t="str">
        <f t="shared" si="677"/>
        <v>卡卡杜-凤凰仓</v>
      </c>
      <c r="B2303" s="1" t="str">
        <f>"CK2024102718302"</f>
        <v>CK2024102718302</v>
      </c>
      <c r="C2303" s="1" t="str">
        <f>"DD2024102787821"</f>
        <v>DD2024102787821</v>
      </c>
      <c r="D2303" s="1" t="str">
        <f>"CK2024102771932"</f>
        <v>CK2024102771932</v>
      </c>
      <c r="E2303" s="1" t="str">
        <f>"6935540844588701627"</f>
        <v>6935540844588701627</v>
      </c>
      <c r="F2303" s="1" t="str">
        <f t="shared" si="678"/>
        <v>花都四部-凤凰仓</v>
      </c>
      <c r="G2303" s="1" t="str">
        <f t="shared" si="703"/>
        <v>卡卡杜个人护理店（抖店）</v>
      </c>
      <c r="H2303" s="1" t="str">
        <f t="shared" si="679"/>
        <v>正常订单</v>
      </c>
      <c r="I2303" s="1" t="str">
        <f t="shared" si="680"/>
        <v>已发货</v>
      </c>
      <c r="J2303" s="1" t="str">
        <f t="shared" si="688"/>
        <v>3</v>
      </c>
      <c r="K2303" s="1">
        <v>2</v>
      </c>
      <c r="L2303" s="1" t="s">
        <v>13</v>
      </c>
      <c r="M2303" s="1" t="str">
        <f>"江苏省 南京市 栖霞区 八卦洲街道"</f>
        <v>江苏省 南京市 栖霞区 八卦洲街道</v>
      </c>
      <c r="N2303" s="1" t="str">
        <f t="shared" si="704"/>
        <v>凡华云仓-城南圆通-抖音</v>
      </c>
      <c r="O2303" s="5" t="s">
        <v>2339</v>
      </c>
      <c r="P2303" s="6">
        <v>0.35</v>
      </c>
      <c r="Q2303" s="11">
        <v>2.2999999999999998</v>
      </c>
      <c r="R2303" s="11"/>
      <c r="S2303" s="11"/>
      <c r="T2303" s="11"/>
      <c r="U2303" s="11">
        <f t="shared" si="676"/>
        <v>2.2999999999999998</v>
      </c>
      <c r="W2303">
        <v>2.5</v>
      </c>
      <c r="X2303" s="1" t="s">
        <v>13</v>
      </c>
    </row>
    <row r="2304" spans="1:24" x14ac:dyDescent="0.25">
      <c r="A2304" s="1" t="str">
        <f t="shared" si="677"/>
        <v>卡卡杜-凤凰仓</v>
      </c>
      <c r="B2304" s="1" t="str">
        <f>"CK2024102718299"</f>
        <v>CK2024102718299</v>
      </c>
      <c r="C2304" s="1" t="str">
        <f>"DD2024102787820"</f>
        <v>DD2024102787820</v>
      </c>
      <c r="D2304" s="1" t="str">
        <f>"CK2024102771931"</f>
        <v>CK2024102771931</v>
      </c>
      <c r="E2304" s="1" t="str">
        <f>"6935534249796572747"</f>
        <v>6935534249796572747</v>
      </c>
      <c r="F2304" s="1" t="str">
        <f t="shared" si="678"/>
        <v>花都四部-凤凰仓</v>
      </c>
      <c r="G2304" s="1" t="str">
        <f t="shared" si="703"/>
        <v>卡卡杜个人护理店（抖店）</v>
      </c>
      <c r="H2304" s="1" t="str">
        <f t="shared" si="679"/>
        <v>正常订单</v>
      </c>
      <c r="I2304" s="1" t="str">
        <f t="shared" si="680"/>
        <v>已发货</v>
      </c>
      <c r="J2304" s="1" t="str">
        <f t="shared" si="688"/>
        <v>3</v>
      </c>
      <c r="K2304" s="1">
        <v>2</v>
      </c>
      <c r="L2304" s="1" t="s">
        <v>18</v>
      </c>
      <c r="M2304" s="1" t="str">
        <f>"广东省 东莞市 东莞市 虎门镇"</f>
        <v>广东省 东莞市 东莞市 虎门镇</v>
      </c>
      <c r="N2304" s="1" t="str">
        <f t="shared" si="704"/>
        <v>凡华云仓-城南圆通-抖音</v>
      </c>
      <c r="O2304" s="5" t="s">
        <v>2340</v>
      </c>
      <c r="P2304" s="6">
        <v>0.35</v>
      </c>
      <c r="Q2304" s="11">
        <v>2.2999999999999998</v>
      </c>
      <c r="R2304" s="11"/>
      <c r="S2304" s="11"/>
      <c r="T2304" s="11"/>
      <c r="U2304" s="11">
        <f t="shared" si="676"/>
        <v>2.2999999999999998</v>
      </c>
      <c r="W2304">
        <v>2.5</v>
      </c>
      <c r="X2304" s="1" t="s">
        <v>18</v>
      </c>
    </row>
    <row r="2305" spans="1:24" x14ac:dyDescent="0.25">
      <c r="A2305" s="1" t="str">
        <f t="shared" si="677"/>
        <v>卡卡杜-凤凰仓</v>
      </c>
      <c r="B2305" s="1" t="str">
        <f>"CK2024102718300"</f>
        <v>CK2024102718300</v>
      </c>
      <c r="C2305" s="1" t="str">
        <f>"DD2024102787819"</f>
        <v>DD2024102787819</v>
      </c>
      <c r="D2305" s="1" t="str">
        <f>"CK2024102771930"</f>
        <v>CK2024102771930</v>
      </c>
      <c r="E2305" s="1" t="str">
        <f>"6935525615267485333"</f>
        <v>6935525615267485333</v>
      </c>
      <c r="F2305" s="1" t="str">
        <f t="shared" si="678"/>
        <v>花都四部-凤凰仓</v>
      </c>
      <c r="G2305" s="1" t="str">
        <f t="shared" si="703"/>
        <v>卡卡杜个人护理店（抖店）</v>
      </c>
      <c r="H2305" s="1" t="str">
        <f t="shared" si="679"/>
        <v>正常订单</v>
      </c>
      <c r="I2305" s="1" t="str">
        <f t="shared" si="680"/>
        <v>已发货</v>
      </c>
      <c r="J2305" s="1" t="str">
        <f t="shared" si="688"/>
        <v>3</v>
      </c>
      <c r="K2305" s="1">
        <v>2</v>
      </c>
      <c r="L2305" s="1" t="s">
        <v>20</v>
      </c>
      <c r="M2305" s="1" t="str">
        <f>"浙江省 杭州市 上城区 四季青街道"</f>
        <v>浙江省 杭州市 上城区 四季青街道</v>
      </c>
      <c r="N2305" s="1" t="str">
        <f t="shared" si="704"/>
        <v>凡华云仓-城南圆通-抖音</v>
      </c>
      <c r="O2305" s="5" t="s">
        <v>2341</v>
      </c>
      <c r="P2305" s="6">
        <v>0.35</v>
      </c>
      <c r="Q2305" s="11">
        <v>2.2999999999999998</v>
      </c>
      <c r="R2305" s="11"/>
      <c r="S2305" s="11"/>
      <c r="T2305" s="11"/>
      <c r="U2305" s="11">
        <f t="shared" si="676"/>
        <v>2.2999999999999998</v>
      </c>
      <c r="W2305">
        <v>2.5</v>
      </c>
      <c r="X2305" s="1" t="s">
        <v>20</v>
      </c>
    </row>
    <row r="2306" spans="1:24" x14ac:dyDescent="0.25">
      <c r="A2306" s="1" t="str">
        <f t="shared" si="677"/>
        <v>卡卡杜-凤凰仓</v>
      </c>
      <c r="B2306" s="1" t="str">
        <f>"CK2024102718298"</f>
        <v>CK2024102718298</v>
      </c>
      <c r="C2306" s="1" t="str">
        <f>"DD2024102787818"</f>
        <v>DD2024102787818</v>
      </c>
      <c r="D2306" s="1" t="str">
        <f>"CK2024102771929"</f>
        <v>CK2024102771929</v>
      </c>
      <c r="E2306" s="1" t="str">
        <f>"2430102169496238"</f>
        <v>2430102169496238</v>
      </c>
      <c r="F2306" s="1" t="str">
        <f t="shared" si="678"/>
        <v>花都四部-凤凰仓</v>
      </c>
      <c r="G2306" s="1" t="str">
        <f>"卡卡杜佳旺专卖店（快手店）"</f>
        <v>卡卡杜佳旺专卖店（快手店）</v>
      </c>
      <c r="H2306" s="1" t="str">
        <f t="shared" si="679"/>
        <v>正常订单</v>
      </c>
      <c r="I2306" s="1" t="str">
        <f t="shared" si="680"/>
        <v>已发货</v>
      </c>
      <c r="J2306" s="1" t="str">
        <f t="shared" si="688"/>
        <v>3</v>
      </c>
      <c r="K2306" s="1">
        <v>2</v>
      </c>
      <c r="L2306" s="1" t="s">
        <v>13</v>
      </c>
      <c r="M2306" s="1" t="str">
        <f>"江苏省 常州市 武进区 湖塘镇"</f>
        <v>江苏省 常州市 武进区 湖塘镇</v>
      </c>
      <c r="N2306" s="1" t="str">
        <f>"凡华云仓-城南圆通-快手"</f>
        <v>凡华云仓-城南圆通-快手</v>
      </c>
      <c r="O2306" s="5" t="s">
        <v>2342</v>
      </c>
      <c r="P2306" s="6">
        <v>0.35</v>
      </c>
      <c r="Q2306" s="11">
        <v>2.2999999999999998</v>
      </c>
      <c r="R2306" s="11"/>
      <c r="S2306" s="11"/>
      <c r="T2306" s="11"/>
      <c r="U2306" s="11">
        <f t="shared" si="676"/>
        <v>2.2999999999999998</v>
      </c>
      <c r="W2306">
        <v>2.5</v>
      </c>
      <c r="X2306" s="1" t="s">
        <v>13</v>
      </c>
    </row>
    <row r="2307" spans="1:24" x14ac:dyDescent="0.25">
      <c r="A2307" s="1" t="str">
        <f t="shared" si="677"/>
        <v>卡卡杜-凤凰仓</v>
      </c>
      <c r="B2307" s="1" t="str">
        <f>"CK2024102718297"</f>
        <v>CK2024102718297</v>
      </c>
      <c r="C2307" s="1" t="str">
        <f>"DD2024102787817"</f>
        <v>DD2024102787817</v>
      </c>
      <c r="D2307" s="1" t="str">
        <f>"CK2024102771928"</f>
        <v>CK2024102771928</v>
      </c>
      <c r="E2307" s="1" t="str">
        <f>"6935543184336164775"</f>
        <v>6935543184336164775</v>
      </c>
      <c r="F2307" s="1" t="str">
        <f t="shared" si="678"/>
        <v>花都四部-凤凰仓</v>
      </c>
      <c r="G2307" s="1" t="str">
        <f t="shared" ref="G2307:G2311" si="705">"卡卡杜个人护理店（抖店）"</f>
        <v>卡卡杜个人护理店（抖店）</v>
      </c>
      <c r="H2307" s="1" t="str">
        <f t="shared" si="679"/>
        <v>正常订单</v>
      </c>
      <c r="I2307" s="1" t="str">
        <f t="shared" si="680"/>
        <v>已发货</v>
      </c>
      <c r="J2307" s="1" t="str">
        <f t="shared" si="688"/>
        <v>3</v>
      </c>
      <c r="K2307" s="1">
        <v>2</v>
      </c>
      <c r="L2307" s="1" t="s">
        <v>41</v>
      </c>
      <c r="M2307" s="1" t="str">
        <f>"湖北省 孝感市 孝南区 孝感开发区孝天办事处"</f>
        <v>湖北省 孝感市 孝南区 孝感开发区孝天办事处</v>
      </c>
      <c r="N2307" s="1" t="str">
        <f t="shared" ref="N2307:N2311" si="706">"凡华云仓-城南圆通-抖音"</f>
        <v>凡华云仓-城南圆通-抖音</v>
      </c>
      <c r="O2307" s="5" t="s">
        <v>2343</v>
      </c>
      <c r="P2307" s="6">
        <v>0.35</v>
      </c>
      <c r="Q2307" s="11">
        <v>2.2999999999999998</v>
      </c>
      <c r="R2307" s="11"/>
      <c r="S2307" s="11"/>
      <c r="T2307" s="11"/>
      <c r="U2307" s="11">
        <f t="shared" ref="U2307:U2370" si="707">T2307+S2307+R2307+Q2307</f>
        <v>2.2999999999999998</v>
      </c>
      <c r="W2307">
        <v>2.5</v>
      </c>
      <c r="X2307" s="1" t="s">
        <v>41</v>
      </c>
    </row>
    <row r="2308" spans="1:24" x14ac:dyDescent="0.25">
      <c r="A2308" s="1" t="str">
        <f t="shared" si="677"/>
        <v>卡卡杜-凤凰仓</v>
      </c>
      <c r="B2308" s="1" t="str">
        <f>"CK2024102718295"</f>
        <v>CK2024102718295</v>
      </c>
      <c r="C2308" s="1" t="str">
        <f>"DD2024102787816"</f>
        <v>DD2024102787816</v>
      </c>
      <c r="D2308" s="1" t="str">
        <f>"CK2024102771927"</f>
        <v>CK2024102771927</v>
      </c>
      <c r="E2308" s="1" t="str">
        <f>"3723599376549807616"</f>
        <v>3723599376549807616</v>
      </c>
      <c r="F2308" s="1" t="str">
        <f t="shared" si="678"/>
        <v>花都四部-凤凰仓</v>
      </c>
      <c r="G2308" s="1" t="str">
        <f>"卡卡杜企业店（视频号）"</f>
        <v>卡卡杜企业店（视频号）</v>
      </c>
      <c r="H2308" s="1" t="str">
        <f t="shared" si="679"/>
        <v>正常订单</v>
      </c>
      <c r="I2308" s="1" t="str">
        <f t="shared" si="680"/>
        <v>已发货</v>
      </c>
      <c r="J2308" s="1" t="str">
        <f t="shared" si="688"/>
        <v>3</v>
      </c>
      <c r="K2308" s="1">
        <v>2</v>
      </c>
      <c r="L2308" s="1" t="s">
        <v>20</v>
      </c>
      <c r="M2308" s="1" t="str">
        <f>"浙江省 杭州市 上城区 "</f>
        <v xml:space="preserve">浙江省 杭州市 上城区 </v>
      </c>
      <c r="N2308" s="1" t="str">
        <f>"凡华云仓-城南圆通-微信视频号"</f>
        <v>凡华云仓-城南圆通-微信视频号</v>
      </c>
      <c r="O2308" s="5" t="s">
        <v>2344</v>
      </c>
      <c r="P2308" s="6">
        <v>0.35</v>
      </c>
      <c r="Q2308" s="11">
        <v>2.2999999999999998</v>
      </c>
      <c r="R2308" s="11"/>
      <c r="S2308" s="11"/>
      <c r="T2308" s="11"/>
      <c r="U2308" s="11">
        <f t="shared" si="707"/>
        <v>2.2999999999999998</v>
      </c>
      <c r="W2308">
        <v>2.5</v>
      </c>
      <c r="X2308" s="1" t="s">
        <v>20</v>
      </c>
    </row>
    <row r="2309" spans="1:24" x14ac:dyDescent="0.25">
      <c r="A2309" s="1" t="str">
        <f t="shared" ref="A2309:A2372" si="708">"卡卡杜-凤凰仓"</f>
        <v>卡卡杜-凤凰仓</v>
      </c>
      <c r="B2309" s="1" t="str">
        <f>"CK2024102718296"</f>
        <v>CK2024102718296</v>
      </c>
      <c r="C2309" s="1" t="str">
        <f>"DD2024102787815"</f>
        <v>DD2024102787815</v>
      </c>
      <c r="D2309" s="1" t="str">
        <f>"CK2024102771926"</f>
        <v>CK2024102771926</v>
      </c>
      <c r="E2309" s="1" t="str">
        <f>"6935543069815346712"</f>
        <v>6935543069815346712</v>
      </c>
      <c r="F2309" s="1" t="str">
        <f t="shared" ref="F2309:F2372" si="709">"花都四部-凤凰仓"</f>
        <v>花都四部-凤凰仓</v>
      </c>
      <c r="G2309" s="1" t="str">
        <f t="shared" si="705"/>
        <v>卡卡杜个人护理店（抖店）</v>
      </c>
      <c r="H2309" s="1" t="str">
        <f t="shared" ref="H2309:H2372" si="710">"正常订单"</f>
        <v>正常订单</v>
      </c>
      <c r="I2309" s="1" t="str">
        <f t="shared" ref="I2309:I2372" si="711">"已发货"</f>
        <v>已发货</v>
      </c>
      <c r="J2309" s="1" t="str">
        <f t="shared" si="688"/>
        <v>3</v>
      </c>
      <c r="K2309" s="1">
        <v>2</v>
      </c>
      <c r="L2309" s="1" t="s">
        <v>32</v>
      </c>
      <c r="M2309" s="1" t="str">
        <f>"陕西省 西安市 高陵区 泾渭街道"</f>
        <v>陕西省 西安市 高陵区 泾渭街道</v>
      </c>
      <c r="N2309" s="1" t="str">
        <f t="shared" si="706"/>
        <v>凡华云仓-城南圆通-抖音</v>
      </c>
      <c r="O2309" s="5" t="s">
        <v>2345</v>
      </c>
      <c r="P2309" s="6">
        <v>0.35</v>
      </c>
      <c r="Q2309" s="11">
        <v>2.2999999999999998</v>
      </c>
      <c r="R2309" s="11"/>
      <c r="S2309" s="11"/>
      <c r="T2309" s="11"/>
      <c r="U2309" s="11">
        <f t="shared" si="707"/>
        <v>2.2999999999999998</v>
      </c>
      <c r="W2309">
        <v>2.5</v>
      </c>
      <c r="X2309" s="1" t="s">
        <v>32</v>
      </c>
    </row>
    <row r="2310" spans="1:24" x14ac:dyDescent="0.25">
      <c r="A2310" s="1" t="str">
        <f t="shared" si="708"/>
        <v>卡卡杜-凤凰仓</v>
      </c>
      <c r="B2310" s="1" t="str">
        <f>"CK2024102718294"</f>
        <v>CK2024102718294</v>
      </c>
      <c r="C2310" s="1" t="str">
        <f>"DD2024102787814"</f>
        <v>DD2024102787814</v>
      </c>
      <c r="D2310" s="1" t="str">
        <f>"CK2024102771925"</f>
        <v>CK2024102771925</v>
      </c>
      <c r="E2310" s="1" t="str">
        <f>"6935526809387931148"</f>
        <v>6935526809387931148</v>
      </c>
      <c r="F2310" s="1" t="str">
        <f t="shared" si="709"/>
        <v>花都四部-凤凰仓</v>
      </c>
      <c r="G2310" s="1" t="str">
        <f t="shared" si="705"/>
        <v>卡卡杜个人护理店（抖店）</v>
      </c>
      <c r="H2310" s="1" t="str">
        <f t="shared" si="710"/>
        <v>正常订单</v>
      </c>
      <c r="I2310" s="1" t="str">
        <f t="shared" si="711"/>
        <v>已发货</v>
      </c>
      <c r="J2310" s="1" t="str">
        <f t="shared" si="688"/>
        <v>3</v>
      </c>
      <c r="K2310" s="1">
        <v>2</v>
      </c>
      <c r="L2310" s="1" t="s">
        <v>13</v>
      </c>
      <c r="M2310" s="1" t="str">
        <f>"江苏省 常州市 溧阳市 南渡镇"</f>
        <v>江苏省 常州市 溧阳市 南渡镇</v>
      </c>
      <c r="N2310" s="1" t="str">
        <f t="shared" si="706"/>
        <v>凡华云仓-城南圆通-抖音</v>
      </c>
      <c r="O2310" s="5" t="s">
        <v>2346</v>
      </c>
      <c r="P2310" s="6">
        <v>0.35</v>
      </c>
      <c r="Q2310" s="11">
        <v>2.2999999999999998</v>
      </c>
      <c r="R2310" s="11"/>
      <c r="S2310" s="11"/>
      <c r="T2310" s="11"/>
      <c r="U2310" s="11">
        <f t="shared" si="707"/>
        <v>2.2999999999999998</v>
      </c>
      <c r="W2310">
        <v>2.5</v>
      </c>
      <c r="X2310" s="1" t="s">
        <v>13</v>
      </c>
    </row>
    <row r="2311" spans="1:24" x14ac:dyDescent="0.25">
      <c r="A2311" s="1" t="str">
        <f t="shared" si="708"/>
        <v>卡卡杜-凤凰仓</v>
      </c>
      <c r="B2311" s="1" t="str">
        <f>"CK2024102718293"</f>
        <v>CK2024102718293</v>
      </c>
      <c r="C2311" s="1" t="str">
        <f>"DD2024102787813"</f>
        <v>DD2024102787813</v>
      </c>
      <c r="D2311" s="1" t="str">
        <f>"CK2024102771924"</f>
        <v>CK2024102771924</v>
      </c>
      <c r="E2311" s="1" t="str">
        <f>"6935543172270069439"</f>
        <v>6935543172270069439</v>
      </c>
      <c r="F2311" s="1" t="str">
        <f t="shared" si="709"/>
        <v>花都四部-凤凰仓</v>
      </c>
      <c r="G2311" s="1" t="str">
        <f t="shared" si="705"/>
        <v>卡卡杜个人护理店（抖店）</v>
      </c>
      <c r="H2311" s="1" t="str">
        <f t="shared" si="710"/>
        <v>正常订单</v>
      </c>
      <c r="I2311" s="1" t="str">
        <f t="shared" si="711"/>
        <v>已发货</v>
      </c>
      <c r="J2311" s="1" t="str">
        <f t="shared" si="688"/>
        <v>3</v>
      </c>
      <c r="K2311" s="1">
        <v>2</v>
      </c>
      <c r="L2311" s="1" t="s">
        <v>13</v>
      </c>
      <c r="M2311" s="1" t="str">
        <f>"江苏省 无锡市 江阴市 青阳镇"</f>
        <v>江苏省 无锡市 江阴市 青阳镇</v>
      </c>
      <c r="N2311" s="1" t="str">
        <f t="shared" si="706"/>
        <v>凡华云仓-城南圆通-抖音</v>
      </c>
      <c r="O2311" s="5" t="s">
        <v>2347</v>
      </c>
      <c r="P2311" s="6">
        <v>0.35</v>
      </c>
      <c r="Q2311" s="11">
        <v>2.2999999999999998</v>
      </c>
      <c r="R2311" s="11"/>
      <c r="S2311" s="11"/>
      <c r="T2311" s="11"/>
      <c r="U2311" s="11">
        <f t="shared" si="707"/>
        <v>2.2999999999999998</v>
      </c>
      <c r="W2311">
        <v>2.5</v>
      </c>
      <c r="X2311" s="1" t="s">
        <v>13</v>
      </c>
    </row>
    <row r="2312" spans="1:24" x14ac:dyDescent="0.25">
      <c r="A2312" s="1" t="str">
        <f t="shared" si="708"/>
        <v>卡卡杜-凤凰仓</v>
      </c>
      <c r="B2312" s="1" t="str">
        <f>"CK2024102718292"</f>
        <v>CK2024102718292</v>
      </c>
      <c r="C2312" s="1" t="str">
        <f>"DD2024102787812"</f>
        <v>DD2024102787812</v>
      </c>
      <c r="D2312" s="1" t="str">
        <f>"CK2024102771923"</f>
        <v>CK2024102771923</v>
      </c>
      <c r="E2312" s="1" t="str">
        <f>"2430101927923669"</f>
        <v>2430101927923669</v>
      </c>
      <c r="F2312" s="1" t="str">
        <f t="shared" si="709"/>
        <v>花都四部-凤凰仓</v>
      </c>
      <c r="G2312" s="1" t="str">
        <f t="shared" ref="G2312:G2314" si="712">"卡卡杜佳旺专卖店（快手店）"</f>
        <v>卡卡杜佳旺专卖店（快手店）</v>
      </c>
      <c r="H2312" s="1" t="str">
        <f t="shared" si="710"/>
        <v>正常订单</v>
      </c>
      <c r="I2312" s="1" t="str">
        <f t="shared" si="711"/>
        <v>已发货</v>
      </c>
      <c r="J2312" s="1" t="str">
        <f t="shared" si="688"/>
        <v>3</v>
      </c>
      <c r="K2312" s="1">
        <v>2</v>
      </c>
      <c r="L2312" s="1" t="s">
        <v>36</v>
      </c>
      <c r="M2312" s="1" t="str">
        <f>"安徽省 铜陵市 铜官区 西湖镇"</f>
        <v>安徽省 铜陵市 铜官区 西湖镇</v>
      </c>
      <c r="N2312" s="1" t="str">
        <f t="shared" ref="N2312:N2314" si="713">"凡华云仓-城南圆通-快手"</f>
        <v>凡华云仓-城南圆通-快手</v>
      </c>
      <c r="O2312" s="5" t="s">
        <v>2348</v>
      </c>
      <c r="P2312" s="6">
        <v>0.35</v>
      </c>
      <c r="Q2312" s="11">
        <v>2.2999999999999998</v>
      </c>
      <c r="R2312" s="11"/>
      <c r="S2312" s="11"/>
      <c r="T2312" s="11"/>
      <c r="U2312" s="11">
        <f t="shared" si="707"/>
        <v>2.2999999999999998</v>
      </c>
      <c r="W2312">
        <v>2.5</v>
      </c>
      <c r="X2312" s="1" t="s">
        <v>36</v>
      </c>
    </row>
    <row r="2313" spans="1:24" x14ac:dyDescent="0.25">
      <c r="A2313" s="1" t="str">
        <f t="shared" si="708"/>
        <v>卡卡杜-凤凰仓</v>
      </c>
      <c r="B2313" s="1" t="str">
        <f>"CK2024102718290"</f>
        <v>CK2024102718290</v>
      </c>
      <c r="C2313" s="1" t="str">
        <f>"DD2024102787811"</f>
        <v>DD2024102787811</v>
      </c>
      <c r="D2313" s="1" t="str">
        <f>"CK2024102771922"</f>
        <v>CK2024102771922</v>
      </c>
      <c r="E2313" s="1" t="str">
        <f>"2430102327139214"</f>
        <v>2430102327139214</v>
      </c>
      <c r="F2313" s="1" t="str">
        <f t="shared" si="709"/>
        <v>花都四部-凤凰仓</v>
      </c>
      <c r="G2313" s="1" t="str">
        <f t="shared" si="712"/>
        <v>卡卡杜佳旺专卖店（快手店）</v>
      </c>
      <c r="H2313" s="1" t="str">
        <f t="shared" si="710"/>
        <v>正常订单</v>
      </c>
      <c r="I2313" s="1" t="str">
        <f t="shared" si="711"/>
        <v>已发货</v>
      </c>
      <c r="J2313" s="1" t="str">
        <f t="shared" si="688"/>
        <v>3</v>
      </c>
      <c r="K2313" s="1">
        <v>2</v>
      </c>
      <c r="L2313" s="1" t="s">
        <v>41</v>
      </c>
      <c r="M2313" s="1" t="str">
        <f>"湖北省 武汉市 江岸区 球场街道"</f>
        <v>湖北省 武汉市 江岸区 球场街道</v>
      </c>
      <c r="N2313" s="1" t="str">
        <f t="shared" si="713"/>
        <v>凡华云仓-城南圆通-快手</v>
      </c>
      <c r="O2313" s="5" t="s">
        <v>2349</v>
      </c>
      <c r="P2313" s="6">
        <v>0.35</v>
      </c>
      <c r="Q2313" s="11">
        <v>2.2999999999999998</v>
      </c>
      <c r="R2313" s="11"/>
      <c r="S2313" s="11"/>
      <c r="T2313" s="11"/>
      <c r="U2313" s="11">
        <f t="shared" si="707"/>
        <v>2.2999999999999998</v>
      </c>
      <c r="W2313">
        <v>2.5</v>
      </c>
      <c r="X2313" s="1" t="s">
        <v>41</v>
      </c>
    </row>
    <row r="2314" spans="1:24" x14ac:dyDescent="0.25">
      <c r="A2314" s="1" t="str">
        <f t="shared" si="708"/>
        <v>卡卡杜-凤凰仓</v>
      </c>
      <c r="B2314" s="1" t="str">
        <f>"CK2024102718291"</f>
        <v>CK2024102718291</v>
      </c>
      <c r="C2314" s="1" t="str">
        <f>"DD2024102787810"</f>
        <v>DD2024102787810</v>
      </c>
      <c r="D2314" s="1" t="str">
        <f>"CK2024102771921"</f>
        <v>CK2024102771921</v>
      </c>
      <c r="E2314" s="1" t="str">
        <f>"2430101847098437"</f>
        <v>2430101847098437</v>
      </c>
      <c r="F2314" s="1" t="str">
        <f t="shared" si="709"/>
        <v>花都四部-凤凰仓</v>
      </c>
      <c r="G2314" s="1" t="str">
        <f t="shared" si="712"/>
        <v>卡卡杜佳旺专卖店（快手店）</v>
      </c>
      <c r="H2314" s="1" t="str">
        <f t="shared" si="710"/>
        <v>正常订单</v>
      </c>
      <c r="I2314" s="1" t="str">
        <f t="shared" si="711"/>
        <v>已发货</v>
      </c>
      <c r="J2314" s="1" t="str">
        <f t="shared" si="688"/>
        <v>3</v>
      </c>
      <c r="K2314" s="1">
        <v>2</v>
      </c>
      <c r="L2314" s="1" t="s">
        <v>13</v>
      </c>
      <c r="M2314" s="1" t="str">
        <f>"江苏省 苏州市 张家港市 杨舍镇"</f>
        <v>江苏省 苏州市 张家港市 杨舍镇</v>
      </c>
      <c r="N2314" s="1" t="str">
        <f t="shared" si="713"/>
        <v>凡华云仓-城南圆通-快手</v>
      </c>
      <c r="O2314" s="5" t="s">
        <v>2350</v>
      </c>
      <c r="P2314" s="6">
        <v>0.35</v>
      </c>
      <c r="Q2314" s="11">
        <v>2.2999999999999998</v>
      </c>
      <c r="R2314" s="11"/>
      <c r="S2314" s="11"/>
      <c r="T2314" s="11"/>
      <c r="U2314" s="11">
        <f t="shared" si="707"/>
        <v>2.2999999999999998</v>
      </c>
      <c r="W2314">
        <v>2.5</v>
      </c>
      <c r="X2314" s="1" t="s">
        <v>13</v>
      </c>
    </row>
    <row r="2315" spans="1:24" x14ac:dyDescent="0.25">
      <c r="A2315" s="1" t="str">
        <f t="shared" si="708"/>
        <v>卡卡杜-凤凰仓</v>
      </c>
      <c r="B2315" s="1" t="str">
        <f>"CK2024102718289"</f>
        <v>CK2024102718289</v>
      </c>
      <c r="C2315" s="1" t="str">
        <f>"DD2024102787809"</f>
        <v>DD2024102787809</v>
      </c>
      <c r="D2315" s="1" t="str">
        <f>"CK2024102771920"</f>
        <v>CK2024102771920</v>
      </c>
      <c r="E2315" s="1" t="str">
        <f>"6935556421049718157"</f>
        <v>6935556421049718157</v>
      </c>
      <c r="F2315" s="1" t="str">
        <f t="shared" si="709"/>
        <v>花都四部-凤凰仓</v>
      </c>
      <c r="G2315" s="1" t="str">
        <f t="shared" ref="G2315:G2324" si="714">"卡卡杜个人护理店（抖店）"</f>
        <v>卡卡杜个人护理店（抖店）</v>
      </c>
      <c r="H2315" s="1" t="str">
        <f t="shared" si="710"/>
        <v>正常订单</v>
      </c>
      <c r="I2315" s="1" t="str">
        <f t="shared" si="711"/>
        <v>已发货</v>
      </c>
      <c r="J2315" s="1" t="str">
        <f t="shared" si="688"/>
        <v>3</v>
      </c>
      <c r="K2315" s="1">
        <v>2</v>
      </c>
      <c r="L2315" s="1" t="s">
        <v>13</v>
      </c>
      <c r="M2315" s="1" t="str">
        <f>"江苏省 南京市 秦淮区 洪武路街道"</f>
        <v>江苏省 南京市 秦淮区 洪武路街道</v>
      </c>
      <c r="N2315" s="1" t="str">
        <f t="shared" ref="N2315:N2324" si="715">"凡华云仓-城南圆通-抖音"</f>
        <v>凡华云仓-城南圆通-抖音</v>
      </c>
      <c r="O2315" s="5" t="s">
        <v>2351</v>
      </c>
      <c r="P2315" s="6">
        <v>0.35</v>
      </c>
      <c r="Q2315" s="11">
        <v>2.2999999999999998</v>
      </c>
      <c r="R2315" s="11"/>
      <c r="S2315" s="11"/>
      <c r="T2315" s="11"/>
      <c r="U2315" s="11">
        <f t="shared" si="707"/>
        <v>2.2999999999999998</v>
      </c>
      <c r="W2315">
        <v>2.5</v>
      </c>
      <c r="X2315" s="1" t="s">
        <v>13</v>
      </c>
    </row>
    <row r="2316" spans="1:24" x14ac:dyDescent="0.25">
      <c r="A2316" s="1" t="str">
        <f t="shared" si="708"/>
        <v>卡卡杜-凤凰仓</v>
      </c>
      <c r="B2316" s="1" t="str">
        <f>"CK2024102718288"</f>
        <v>CK2024102718288</v>
      </c>
      <c r="C2316" s="1" t="str">
        <f>"DD2024102787808"</f>
        <v>DD2024102787808</v>
      </c>
      <c r="D2316" s="1" t="str">
        <f>"CK2024102771919"</f>
        <v>CK2024102771919</v>
      </c>
      <c r="E2316" s="1" t="str">
        <f>"6935549719095350568"</f>
        <v>6935549719095350568</v>
      </c>
      <c r="F2316" s="1" t="str">
        <f t="shared" si="709"/>
        <v>花都四部-凤凰仓</v>
      </c>
      <c r="G2316" s="1" t="str">
        <f t="shared" si="714"/>
        <v>卡卡杜个人护理店（抖店）</v>
      </c>
      <c r="H2316" s="1" t="str">
        <f t="shared" si="710"/>
        <v>正常订单</v>
      </c>
      <c r="I2316" s="1" t="str">
        <f t="shared" si="711"/>
        <v>已发货</v>
      </c>
      <c r="J2316" s="1" t="str">
        <f t="shared" si="688"/>
        <v>3</v>
      </c>
      <c r="K2316" s="1">
        <v>2</v>
      </c>
      <c r="L2316" s="1" t="s">
        <v>13</v>
      </c>
      <c r="M2316" s="1" t="str">
        <f>"江苏省 淮安市 盱眙县 马坝镇"</f>
        <v>江苏省 淮安市 盱眙县 马坝镇</v>
      </c>
      <c r="N2316" s="1" t="str">
        <f t="shared" si="715"/>
        <v>凡华云仓-城南圆通-抖音</v>
      </c>
      <c r="O2316" s="5" t="s">
        <v>2352</v>
      </c>
      <c r="P2316" s="6">
        <v>0.35</v>
      </c>
      <c r="Q2316" s="11">
        <v>2.2999999999999998</v>
      </c>
      <c r="R2316" s="11"/>
      <c r="S2316" s="11"/>
      <c r="T2316" s="11"/>
      <c r="U2316" s="11">
        <f t="shared" si="707"/>
        <v>2.2999999999999998</v>
      </c>
      <c r="W2316">
        <v>2.5</v>
      </c>
      <c r="X2316" s="1" t="s">
        <v>13</v>
      </c>
    </row>
    <row r="2317" spans="1:24" x14ac:dyDescent="0.25">
      <c r="A2317" s="1" t="str">
        <f t="shared" si="708"/>
        <v>卡卡杜-凤凰仓</v>
      </c>
      <c r="B2317" s="1" t="str">
        <f>"CK2024102718287"</f>
        <v>CK2024102718287</v>
      </c>
      <c r="C2317" s="1" t="str">
        <f>"DD2024102787807"</f>
        <v>DD2024102787807</v>
      </c>
      <c r="D2317" s="1" t="str">
        <f>"CK2024102771918"</f>
        <v>CK2024102771918</v>
      </c>
      <c r="E2317" s="1" t="str">
        <f>"6935540770769213202"</f>
        <v>6935540770769213202</v>
      </c>
      <c r="F2317" s="1" t="str">
        <f t="shared" si="709"/>
        <v>花都四部-凤凰仓</v>
      </c>
      <c r="G2317" s="1" t="str">
        <f t="shared" si="714"/>
        <v>卡卡杜个人护理店（抖店）</v>
      </c>
      <c r="H2317" s="1" t="str">
        <f t="shared" si="710"/>
        <v>正常订单</v>
      </c>
      <c r="I2317" s="1" t="str">
        <f t="shared" si="711"/>
        <v>已发货</v>
      </c>
      <c r="J2317" s="1" t="str">
        <f t="shared" si="688"/>
        <v>3</v>
      </c>
      <c r="K2317" s="1">
        <v>2</v>
      </c>
      <c r="L2317" s="1" t="s">
        <v>74</v>
      </c>
      <c r="M2317" s="1" t="str">
        <f>"上海 上海市 浦东新区 "</f>
        <v xml:space="preserve">上海 上海市 浦东新区 </v>
      </c>
      <c r="N2317" s="1" t="str">
        <f t="shared" si="715"/>
        <v>凡华云仓-城南圆通-抖音</v>
      </c>
      <c r="O2317" s="5" t="s">
        <v>2353</v>
      </c>
      <c r="P2317" s="6">
        <v>0.35</v>
      </c>
      <c r="Q2317" s="11">
        <v>2.2999999999999998</v>
      </c>
      <c r="R2317" s="11"/>
      <c r="S2317" s="11"/>
      <c r="T2317" s="11"/>
      <c r="U2317" s="11">
        <f t="shared" si="707"/>
        <v>2.2999999999999998</v>
      </c>
      <c r="W2317">
        <v>2.5</v>
      </c>
      <c r="X2317" s="1" t="s">
        <v>74</v>
      </c>
    </row>
    <row r="2318" spans="1:24" x14ac:dyDescent="0.25">
      <c r="A2318" s="1" t="str">
        <f t="shared" si="708"/>
        <v>卡卡杜-凤凰仓</v>
      </c>
      <c r="B2318" s="1" t="str">
        <f>"CK2024102718286"</f>
        <v>CK2024102718286</v>
      </c>
      <c r="C2318" s="1" t="str">
        <f>"DD2024102787806"</f>
        <v>DD2024102787806</v>
      </c>
      <c r="D2318" s="1" t="str">
        <f>"CK2024102771917"</f>
        <v>CK2024102771917</v>
      </c>
      <c r="E2318" s="1" t="str">
        <f>"6935545553136063911"</f>
        <v>6935545553136063911</v>
      </c>
      <c r="F2318" s="1" t="str">
        <f t="shared" si="709"/>
        <v>花都四部-凤凰仓</v>
      </c>
      <c r="G2318" s="1" t="str">
        <f t="shared" si="714"/>
        <v>卡卡杜个人护理店（抖店）</v>
      </c>
      <c r="H2318" s="1" t="str">
        <f t="shared" si="710"/>
        <v>正常订单</v>
      </c>
      <c r="I2318" s="1" t="str">
        <f t="shared" si="711"/>
        <v>已发货</v>
      </c>
      <c r="J2318" s="1" t="str">
        <f t="shared" si="688"/>
        <v>3</v>
      </c>
      <c r="K2318" s="1">
        <v>2</v>
      </c>
      <c r="L2318" s="1" t="s">
        <v>41</v>
      </c>
      <c r="M2318" s="1" t="str">
        <f>"湖北省 武汉市 武昌区 杨园街道"</f>
        <v>湖北省 武汉市 武昌区 杨园街道</v>
      </c>
      <c r="N2318" s="1" t="str">
        <f t="shared" si="715"/>
        <v>凡华云仓-城南圆通-抖音</v>
      </c>
      <c r="O2318" s="5" t="s">
        <v>2354</v>
      </c>
      <c r="P2318" s="6">
        <v>0.35</v>
      </c>
      <c r="Q2318" s="11">
        <v>2.2999999999999998</v>
      </c>
      <c r="R2318" s="11"/>
      <c r="S2318" s="11"/>
      <c r="T2318" s="11"/>
      <c r="U2318" s="11">
        <f t="shared" si="707"/>
        <v>2.2999999999999998</v>
      </c>
      <c r="W2318">
        <v>2.5</v>
      </c>
      <c r="X2318" s="1" t="s">
        <v>41</v>
      </c>
    </row>
    <row r="2319" spans="1:24" x14ac:dyDescent="0.25">
      <c r="A2319" s="1" t="str">
        <f t="shared" si="708"/>
        <v>卡卡杜-凤凰仓</v>
      </c>
      <c r="B2319" s="1" t="str">
        <f>"CK2024102718285"</f>
        <v>CK2024102718285</v>
      </c>
      <c r="C2319" s="1" t="str">
        <f>"DD2024102787805"</f>
        <v>DD2024102787805</v>
      </c>
      <c r="D2319" s="1" t="str">
        <f>"CK2024102771916"</f>
        <v>CK2024102771916</v>
      </c>
      <c r="E2319" s="1" t="str">
        <f>"6935549712711947940"</f>
        <v>6935549712711947940</v>
      </c>
      <c r="F2319" s="1" t="str">
        <f t="shared" si="709"/>
        <v>花都四部-凤凰仓</v>
      </c>
      <c r="G2319" s="1" t="str">
        <f t="shared" si="714"/>
        <v>卡卡杜个人护理店（抖店）</v>
      </c>
      <c r="H2319" s="1" t="str">
        <f t="shared" si="710"/>
        <v>正常订单</v>
      </c>
      <c r="I2319" s="1" t="str">
        <f t="shared" si="711"/>
        <v>已发货</v>
      </c>
      <c r="J2319" s="1" t="str">
        <f t="shared" si="688"/>
        <v>3</v>
      </c>
      <c r="K2319" s="1">
        <v>2</v>
      </c>
      <c r="L2319" s="1" t="s">
        <v>74</v>
      </c>
      <c r="M2319" s="1" t="str">
        <f>"上海 上海市 青浦区 朱家角镇"</f>
        <v>上海 上海市 青浦区 朱家角镇</v>
      </c>
      <c r="N2319" s="1" t="str">
        <f t="shared" si="715"/>
        <v>凡华云仓-城南圆通-抖音</v>
      </c>
      <c r="O2319" s="5" t="s">
        <v>2355</v>
      </c>
      <c r="P2319" s="6">
        <v>0.35</v>
      </c>
      <c r="Q2319" s="11">
        <v>2.2999999999999998</v>
      </c>
      <c r="R2319" s="11"/>
      <c r="S2319" s="11"/>
      <c r="T2319" s="11"/>
      <c r="U2319" s="11">
        <f t="shared" si="707"/>
        <v>2.2999999999999998</v>
      </c>
      <c r="W2319">
        <v>2.5</v>
      </c>
      <c r="X2319" s="1" t="s">
        <v>74</v>
      </c>
    </row>
    <row r="2320" spans="1:24" x14ac:dyDescent="0.25">
      <c r="A2320" s="1" t="str">
        <f t="shared" si="708"/>
        <v>卡卡杜-凤凰仓</v>
      </c>
      <c r="B2320" s="1" t="str">
        <f>"CK2024102718283"</f>
        <v>CK2024102718283</v>
      </c>
      <c r="C2320" s="1" t="str">
        <f>"DD2024102787804"</f>
        <v>DD2024102787804</v>
      </c>
      <c r="D2320" s="1" t="str">
        <f>"CK2024102771915"</f>
        <v>CK2024102771915</v>
      </c>
      <c r="E2320" s="1" t="str">
        <f>"6935527567862273851"</f>
        <v>6935527567862273851</v>
      </c>
      <c r="F2320" s="1" t="str">
        <f t="shared" si="709"/>
        <v>花都四部-凤凰仓</v>
      </c>
      <c r="G2320" s="1" t="str">
        <f t="shared" si="714"/>
        <v>卡卡杜个人护理店（抖店）</v>
      </c>
      <c r="H2320" s="1" t="str">
        <f t="shared" si="710"/>
        <v>正常订单</v>
      </c>
      <c r="I2320" s="1" t="str">
        <f t="shared" si="711"/>
        <v>已发货</v>
      </c>
      <c r="J2320" s="1" t="str">
        <f t="shared" si="688"/>
        <v>3</v>
      </c>
      <c r="K2320" s="1">
        <v>2</v>
      </c>
      <c r="L2320" s="1" t="s">
        <v>60</v>
      </c>
      <c r="M2320" s="1" t="str">
        <f>"云南省 昆明市 盘龙区 青云街道"</f>
        <v>云南省 昆明市 盘龙区 青云街道</v>
      </c>
      <c r="N2320" s="1" t="str">
        <f t="shared" si="715"/>
        <v>凡华云仓-城南圆通-抖音</v>
      </c>
      <c r="O2320" s="5" t="s">
        <v>2356</v>
      </c>
      <c r="P2320" s="6">
        <v>0.35</v>
      </c>
      <c r="Q2320" s="11">
        <v>2.2999999999999998</v>
      </c>
      <c r="R2320" s="11"/>
      <c r="S2320" s="11"/>
      <c r="T2320" s="11"/>
      <c r="U2320" s="11">
        <f t="shared" si="707"/>
        <v>2.2999999999999998</v>
      </c>
      <c r="W2320">
        <v>2.5</v>
      </c>
      <c r="X2320" s="1" t="s">
        <v>60</v>
      </c>
    </row>
    <row r="2321" spans="1:24" x14ac:dyDescent="0.25">
      <c r="A2321" s="1" t="str">
        <f t="shared" si="708"/>
        <v>卡卡杜-凤凰仓</v>
      </c>
      <c r="B2321" s="1" t="str">
        <f>"CK2024102718284"</f>
        <v>CK2024102718284</v>
      </c>
      <c r="C2321" s="1" t="str">
        <f>"DD2024102787803"</f>
        <v>DD2024102787803</v>
      </c>
      <c r="D2321" s="1" t="str">
        <f>"CK2024102771914"</f>
        <v>CK2024102771914</v>
      </c>
      <c r="E2321" s="1" t="str">
        <f>"6935554271421142374"</f>
        <v>6935554271421142374</v>
      </c>
      <c r="F2321" s="1" t="str">
        <f t="shared" si="709"/>
        <v>花都四部-凤凰仓</v>
      </c>
      <c r="G2321" s="1" t="str">
        <f t="shared" si="714"/>
        <v>卡卡杜个人护理店（抖店）</v>
      </c>
      <c r="H2321" s="1" t="str">
        <f t="shared" si="710"/>
        <v>正常订单</v>
      </c>
      <c r="I2321" s="1" t="str">
        <f t="shared" si="711"/>
        <v>已发货</v>
      </c>
      <c r="J2321" s="1" t="str">
        <f t="shared" si="688"/>
        <v>3</v>
      </c>
      <c r="K2321" s="1">
        <v>2</v>
      </c>
      <c r="L2321" s="1" t="s">
        <v>18</v>
      </c>
      <c r="M2321" s="1" t="str">
        <f>"广东省 佛山市 南海区 九江镇"</f>
        <v>广东省 佛山市 南海区 九江镇</v>
      </c>
      <c r="N2321" s="1" t="str">
        <f t="shared" si="715"/>
        <v>凡华云仓-城南圆通-抖音</v>
      </c>
      <c r="O2321" s="5" t="s">
        <v>2357</v>
      </c>
      <c r="P2321" s="6">
        <v>0.35</v>
      </c>
      <c r="Q2321" s="11">
        <v>2.2999999999999998</v>
      </c>
      <c r="R2321" s="11"/>
      <c r="S2321" s="11"/>
      <c r="T2321" s="11"/>
      <c r="U2321" s="11">
        <f t="shared" si="707"/>
        <v>2.2999999999999998</v>
      </c>
      <c r="W2321">
        <v>2.5</v>
      </c>
      <c r="X2321" s="1" t="s">
        <v>18</v>
      </c>
    </row>
    <row r="2322" spans="1:24" x14ac:dyDescent="0.25">
      <c r="A2322" s="1" t="str">
        <f t="shared" si="708"/>
        <v>卡卡杜-凤凰仓</v>
      </c>
      <c r="B2322" s="1" t="str">
        <f>"CK2024102718282"</f>
        <v>CK2024102718282</v>
      </c>
      <c r="C2322" s="1" t="str">
        <f>"DD2024102787802"</f>
        <v>DD2024102787802</v>
      </c>
      <c r="D2322" s="1" t="str">
        <f>"CK2024102771913"</f>
        <v>CK2024102771913</v>
      </c>
      <c r="E2322" s="1" t="str">
        <f>"6935545522051814731"</f>
        <v>6935545522051814731</v>
      </c>
      <c r="F2322" s="1" t="str">
        <f t="shared" si="709"/>
        <v>花都四部-凤凰仓</v>
      </c>
      <c r="G2322" s="1" t="str">
        <f t="shared" si="714"/>
        <v>卡卡杜个人护理店（抖店）</v>
      </c>
      <c r="H2322" s="1" t="str">
        <f t="shared" si="710"/>
        <v>正常订单</v>
      </c>
      <c r="I2322" s="1" t="str">
        <f t="shared" si="711"/>
        <v>已发货</v>
      </c>
      <c r="J2322" s="1" t="str">
        <f t="shared" si="688"/>
        <v>3</v>
      </c>
      <c r="K2322" s="1">
        <v>2</v>
      </c>
      <c r="L2322" s="1" t="s">
        <v>36</v>
      </c>
      <c r="M2322" s="1" t="str">
        <f>"安徽省 宣城市 宣州区 飞彩街道"</f>
        <v>安徽省 宣城市 宣州区 飞彩街道</v>
      </c>
      <c r="N2322" s="1" t="str">
        <f t="shared" si="715"/>
        <v>凡华云仓-城南圆通-抖音</v>
      </c>
      <c r="O2322" s="5" t="s">
        <v>2358</v>
      </c>
      <c r="P2322" s="6">
        <v>0.35</v>
      </c>
      <c r="Q2322" s="11">
        <v>2.2999999999999998</v>
      </c>
      <c r="R2322" s="11"/>
      <c r="S2322" s="11"/>
      <c r="T2322" s="11"/>
      <c r="U2322" s="11">
        <f t="shared" si="707"/>
        <v>2.2999999999999998</v>
      </c>
      <c r="W2322">
        <v>2.5</v>
      </c>
      <c r="X2322" s="1" t="s">
        <v>36</v>
      </c>
    </row>
    <row r="2323" spans="1:24" x14ac:dyDescent="0.25">
      <c r="A2323" s="1" t="str">
        <f t="shared" si="708"/>
        <v>卡卡杜-凤凰仓</v>
      </c>
      <c r="B2323" s="1" t="str">
        <f>"CK2024102718281"</f>
        <v>CK2024102718281</v>
      </c>
      <c r="C2323" s="1" t="str">
        <f>"DD2024102787801"</f>
        <v>DD2024102787801</v>
      </c>
      <c r="D2323" s="1" t="str">
        <f>"CK2024102771912"</f>
        <v>CK2024102771912</v>
      </c>
      <c r="E2323" s="1" t="str">
        <f>"6935545697920095852"</f>
        <v>6935545697920095852</v>
      </c>
      <c r="F2323" s="1" t="str">
        <f t="shared" si="709"/>
        <v>花都四部-凤凰仓</v>
      </c>
      <c r="G2323" s="1" t="str">
        <f t="shared" si="714"/>
        <v>卡卡杜个人护理店（抖店）</v>
      </c>
      <c r="H2323" s="1" t="str">
        <f t="shared" si="710"/>
        <v>正常订单</v>
      </c>
      <c r="I2323" s="1" t="str">
        <f t="shared" si="711"/>
        <v>已发货</v>
      </c>
      <c r="J2323" s="1" t="str">
        <f t="shared" si="688"/>
        <v>3</v>
      </c>
      <c r="K2323" s="1">
        <v>2</v>
      </c>
      <c r="L2323" s="1" t="s">
        <v>13</v>
      </c>
      <c r="M2323" s="1" t="str">
        <f>"江苏省 南京市 雨花台区 雨花街道"</f>
        <v>江苏省 南京市 雨花台区 雨花街道</v>
      </c>
      <c r="N2323" s="1" t="str">
        <f t="shared" si="715"/>
        <v>凡华云仓-城南圆通-抖音</v>
      </c>
      <c r="O2323" s="5" t="s">
        <v>2359</v>
      </c>
      <c r="P2323" s="6">
        <v>0.35</v>
      </c>
      <c r="Q2323" s="11">
        <v>2.2999999999999998</v>
      </c>
      <c r="R2323" s="11"/>
      <c r="S2323" s="11"/>
      <c r="T2323" s="11"/>
      <c r="U2323" s="11">
        <f t="shared" si="707"/>
        <v>2.2999999999999998</v>
      </c>
      <c r="W2323">
        <v>2.5</v>
      </c>
      <c r="X2323" s="1" t="s">
        <v>13</v>
      </c>
    </row>
    <row r="2324" spans="1:24" x14ac:dyDescent="0.25">
      <c r="A2324" s="1" t="str">
        <f t="shared" si="708"/>
        <v>卡卡杜-凤凰仓</v>
      </c>
      <c r="B2324" s="1" t="str">
        <f>"CK2024102718280"</f>
        <v>CK2024102718280</v>
      </c>
      <c r="C2324" s="1" t="str">
        <f>"DD2024102787800"</f>
        <v>DD2024102787800</v>
      </c>
      <c r="D2324" s="1" t="str">
        <f>"CK2024102771911"</f>
        <v>CK2024102771911</v>
      </c>
      <c r="E2324" s="1" t="str">
        <f>"6935534250104329874"</f>
        <v>6935534250104329874</v>
      </c>
      <c r="F2324" s="1" t="str">
        <f t="shared" si="709"/>
        <v>花都四部-凤凰仓</v>
      </c>
      <c r="G2324" s="1" t="str">
        <f t="shared" si="714"/>
        <v>卡卡杜个人护理店（抖店）</v>
      </c>
      <c r="H2324" s="1" t="str">
        <f t="shared" si="710"/>
        <v>正常订单</v>
      </c>
      <c r="I2324" s="1" t="str">
        <f t="shared" si="711"/>
        <v>已发货</v>
      </c>
      <c r="J2324" s="1" t="str">
        <f t="shared" si="688"/>
        <v>3</v>
      </c>
      <c r="K2324" s="1">
        <v>2</v>
      </c>
      <c r="L2324" s="1" t="s">
        <v>13</v>
      </c>
      <c r="M2324" s="1" t="str">
        <f>"江苏省 南京市 鼓楼区 建宁路街道"</f>
        <v>江苏省 南京市 鼓楼区 建宁路街道</v>
      </c>
      <c r="N2324" s="1" t="str">
        <f t="shared" si="715"/>
        <v>凡华云仓-城南圆通-抖音</v>
      </c>
      <c r="O2324" s="5" t="s">
        <v>2360</v>
      </c>
      <c r="P2324" s="6">
        <v>0.35</v>
      </c>
      <c r="Q2324" s="11">
        <v>2.2999999999999998</v>
      </c>
      <c r="R2324" s="11"/>
      <c r="S2324" s="11"/>
      <c r="T2324" s="11"/>
      <c r="U2324" s="11">
        <f t="shared" si="707"/>
        <v>2.2999999999999998</v>
      </c>
      <c r="W2324">
        <v>2.5</v>
      </c>
      <c r="X2324" s="1" t="s">
        <v>13</v>
      </c>
    </row>
    <row r="2325" spans="1:24" x14ac:dyDescent="0.25">
      <c r="A2325" s="1" t="str">
        <f t="shared" si="708"/>
        <v>卡卡杜-凤凰仓</v>
      </c>
      <c r="B2325" s="1" t="str">
        <f>"CK2024102718276"</f>
        <v>CK2024102718276</v>
      </c>
      <c r="C2325" s="1" t="str">
        <f>"DD2024102787799"</f>
        <v>DD2024102787799</v>
      </c>
      <c r="D2325" s="1" t="str">
        <f>"CK2024102771910"</f>
        <v>CK2024102771910</v>
      </c>
      <c r="E2325" s="1" t="str">
        <f>"KKD20241027QX002"</f>
        <v>KKD20241027QX002</v>
      </c>
      <c r="F2325" s="1" t="str">
        <f t="shared" si="709"/>
        <v>花都四部-凤凰仓</v>
      </c>
      <c r="G2325" s="1" t="str">
        <f>"卡卡杜（全欣）"</f>
        <v>卡卡杜（全欣）</v>
      </c>
      <c r="H2325" s="1" t="str">
        <f t="shared" si="710"/>
        <v>正常订单</v>
      </c>
      <c r="I2325" s="1" t="str">
        <f t="shared" si="711"/>
        <v>已发货</v>
      </c>
      <c r="J2325" s="1" t="str">
        <f t="shared" ref="J2325:J2329" si="716">"3"</f>
        <v>3</v>
      </c>
      <c r="K2325" s="1">
        <v>3</v>
      </c>
      <c r="L2325" s="1" t="s">
        <v>18</v>
      </c>
      <c r="M2325" s="1" t="str">
        <f>"广东省 东莞市 沙田镇 "</f>
        <v xml:space="preserve">广东省 东莞市 沙田镇 </v>
      </c>
      <c r="N2325" s="1" t="str">
        <f>"凡华云仓-城南圆通-淘宝"</f>
        <v>凡华云仓-城南圆通-淘宝</v>
      </c>
      <c r="O2325" s="5" t="s">
        <v>2361</v>
      </c>
      <c r="P2325" s="6">
        <v>0.34</v>
      </c>
      <c r="Q2325" s="11">
        <v>2.2999999999999998</v>
      </c>
      <c r="R2325" s="11"/>
      <c r="S2325" s="11"/>
      <c r="T2325" s="11"/>
      <c r="U2325" s="11">
        <f t="shared" si="707"/>
        <v>2.2999999999999998</v>
      </c>
      <c r="W2325">
        <v>2.5</v>
      </c>
      <c r="X2325" s="1" t="s">
        <v>18</v>
      </c>
    </row>
    <row r="2326" spans="1:24" x14ac:dyDescent="0.25">
      <c r="A2326" s="1" t="str">
        <f t="shared" si="708"/>
        <v>卡卡杜-凤凰仓</v>
      </c>
      <c r="B2326" s="1" t="str">
        <f>"CK2024102718278"</f>
        <v>CK2024102718278</v>
      </c>
      <c r="C2326" s="1" t="str">
        <f>"DD2024102787798"</f>
        <v>DD2024102787798</v>
      </c>
      <c r="D2326" s="1" t="str">
        <f>"CK2024102771909"</f>
        <v>CK2024102771909</v>
      </c>
      <c r="E2326" s="1" t="str">
        <f>"6935527467946022229"</f>
        <v>6935527467946022229</v>
      </c>
      <c r="F2326" s="1" t="str">
        <f t="shared" si="709"/>
        <v>花都四部-凤凰仓</v>
      </c>
      <c r="G2326" s="1" t="str">
        <f>"卡卡杜个人护理店（抖店）"</f>
        <v>卡卡杜个人护理店（抖店）</v>
      </c>
      <c r="H2326" s="1" t="str">
        <f t="shared" si="710"/>
        <v>正常订单</v>
      </c>
      <c r="I2326" s="1" t="str">
        <f t="shared" si="711"/>
        <v>已发货</v>
      </c>
      <c r="J2326" s="1" t="str">
        <f t="shared" si="716"/>
        <v>3</v>
      </c>
      <c r="K2326" s="1">
        <v>2</v>
      </c>
      <c r="L2326" s="1" t="s">
        <v>80</v>
      </c>
      <c r="M2326" s="1" t="str">
        <f>"河南省 洛阳市 洛龙区 古城街道"</f>
        <v>河南省 洛阳市 洛龙区 古城街道</v>
      </c>
      <c r="N2326" s="1" t="str">
        <f>"凡华云仓-城南圆通-抖音"</f>
        <v>凡华云仓-城南圆通-抖音</v>
      </c>
      <c r="O2326" s="5" t="s">
        <v>2362</v>
      </c>
      <c r="P2326" s="6">
        <v>0.35</v>
      </c>
      <c r="Q2326" s="11">
        <v>2.2999999999999998</v>
      </c>
      <c r="R2326" s="11"/>
      <c r="S2326" s="11"/>
      <c r="T2326" s="11"/>
      <c r="U2326" s="11">
        <f t="shared" si="707"/>
        <v>2.2999999999999998</v>
      </c>
      <c r="W2326">
        <v>2.5</v>
      </c>
      <c r="X2326" s="1" t="s">
        <v>80</v>
      </c>
    </row>
    <row r="2327" spans="1:24" x14ac:dyDescent="0.25">
      <c r="A2327" s="1" t="str">
        <f t="shared" si="708"/>
        <v>卡卡杜-凤凰仓</v>
      </c>
      <c r="B2327" s="1" t="str">
        <f>"CK2024102718279"</f>
        <v>CK2024102718279</v>
      </c>
      <c r="C2327" s="1" t="str">
        <f>"DD2024102787797"</f>
        <v>DD2024102787797</v>
      </c>
      <c r="D2327" s="1" t="str">
        <f>"CK2024102771908"</f>
        <v>CK2024102771908</v>
      </c>
      <c r="E2327" s="1" t="str">
        <f>"6935529776345126294"</f>
        <v>6935529776345126294</v>
      </c>
      <c r="F2327" s="1" t="str">
        <f t="shared" si="709"/>
        <v>花都四部-凤凰仓</v>
      </c>
      <c r="G2327" s="1" t="str">
        <f>"卡卡杜个人护理店（抖店）"</f>
        <v>卡卡杜个人护理店（抖店）</v>
      </c>
      <c r="H2327" s="1" t="str">
        <f t="shared" si="710"/>
        <v>正常订单</v>
      </c>
      <c r="I2327" s="1" t="str">
        <f t="shared" si="711"/>
        <v>已发货</v>
      </c>
      <c r="J2327" s="1" t="str">
        <f t="shared" si="716"/>
        <v>3</v>
      </c>
      <c r="K2327" s="1">
        <v>2</v>
      </c>
      <c r="L2327" s="1" t="s">
        <v>80</v>
      </c>
      <c r="M2327" s="1" t="str">
        <f>"河南省 郑州市 金水区 丰产路街道"</f>
        <v>河南省 郑州市 金水区 丰产路街道</v>
      </c>
      <c r="N2327" s="1" t="str">
        <f>"凡华云仓-城南圆通-抖音"</f>
        <v>凡华云仓-城南圆通-抖音</v>
      </c>
      <c r="O2327" s="5" t="s">
        <v>2363</v>
      </c>
      <c r="P2327" s="6">
        <v>0.35</v>
      </c>
      <c r="Q2327" s="11">
        <v>2.2999999999999998</v>
      </c>
      <c r="R2327" s="11"/>
      <c r="S2327" s="11"/>
      <c r="T2327" s="11"/>
      <c r="U2327" s="11">
        <f t="shared" si="707"/>
        <v>2.2999999999999998</v>
      </c>
      <c r="W2327">
        <v>2.5</v>
      </c>
      <c r="X2327" s="1" t="s">
        <v>80</v>
      </c>
    </row>
    <row r="2328" spans="1:24" x14ac:dyDescent="0.25">
      <c r="A2328" s="1" t="str">
        <f t="shared" si="708"/>
        <v>卡卡杜-凤凰仓</v>
      </c>
      <c r="B2328" s="1" t="str">
        <f>"CK2024102718277"</f>
        <v>CK2024102718277</v>
      </c>
      <c r="C2328" s="1" t="str">
        <f>"DD2024102787796"</f>
        <v>DD2024102787796</v>
      </c>
      <c r="D2328" s="1" t="str">
        <f>"CK2024102771907"</f>
        <v>CK2024102771907</v>
      </c>
      <c r="E2328" s="1" t="str">
        <f>"2430101924545662"</f>
        <v>2430101924545662</v>
      </c>
      <c r="F2328" s="1" t="str">
        <f t="shared" si="709"/>
        <v>花都四部-凤凰仓</v>
      </c>
      <c r="G2328" s="1" t="str">
        <f t="shared" ref="G2328:G2334" si="717">"卡卡杜佳旺专卖店（快手店）"</f>
        <v>卡卡杜佳旺专卖店（快手店）</v>
      </c>
      <c r="H2328" s="1" t="str">
        <f t="shared" si="710"/>
        <v>正常订单</v>
      </c>
      <c r="I2328" s="1" t="str">
        <f t="shared" si="711"/>
        <v>已发货</v>
      </c>
      <c r="J2328" s="1" t="str">
        <f t="shared" si="716"/>
        <v>3</v>
      </c>
      <c r="K2328" s="1">
        <v>3</v>
      </c>
      <c r="L2328" s="1" t="s">
        <v>18</v>
      </c>
      <c r="M2328" s="1" t="str">
        <f>"广东省 佛山市 南海区 桂城街道"</f>
        <v>广东省 佛山市 南海区 桂城街道</v>
      </c>
      <c r="N2328" s="1" t="str">
        <f t="shared" ref="N2328:N2334" si="718">"凡华云仓-城南圆通-快手"</f>
        <v>凡华云仓-城南圆通-快手</v>
      </c>
      <c r="O2328" s="5" t="s">
        <v>2364</v>
      </c>
      <c r="P2328" s="6">
        <v>0.34</v>
      </c>
      <c r="Q2328" s="11">
        <v>2.2999999999999998</v>
      </c>
      <c r="R2328" s="11"/>
      <c r="S2328" s="11"/>
      <c r="T2328" s="11"/>
      <c r="U2328" s="11">
        <f t="shared" si="707"/>
        <v>2.2999999999999998</v>
      </c>
      <c r="W2328">
        <v>2.5</v>
      </c>
      <c r="X2328" s="1" t="s">
        <v>18</v>
      </c>
    </row>
    <row r="2329" spans="1:24" x14ac:dyDescent="0.25">
      <c r="A2329" s="1" t="str">
        <f t="shared" si="708"/>
        <v>卡卡杜-凤凰仓</v>
      </c>
      <c r="B2329" s="1" t="str">
        <f>"CK2024102718275"</f>
        <v>CK2024102718275</v>
      </c>
      <c r="C2329" s="1" t="str">
        <f>"DD2024102787795"</f>
        <v>DD2024102787795</v>
      </c>
      <c r="D2329" s="1" t="str">
        <f>"CK2024102771906"</f>
        <v>CK2024102771906</v>
      </c>
      <c r="E2329" s="1" t="str">
        <f>"3723596112349498368"</f>
        <v>3723596112349498368</v>
      </c>
      <c r="F2329" s="1" t="str">
        <f t="shared" si="709"/>
        <v>花都四部-凤凰仓</v>
      </c>
      <c r="G2329" s="1" t="str">
        <f>"卡卡杜企业店（视频号）"</f>
        <v>卡卡杜企业店（视频号）</v>
      </c>
      <c r="H2329" s="1" t="str">
        <f t="shared" si="710"/>
        <v>正常订单</v>
      </c>
      <c r="I2329" s="1" t="str">
        <f t="shared" si="711"/>
        <v>已发货</v>
      </c>
      <c r="J2329" s="1" t="str">
        <f t="shared" si="716"/>
        <v>3</v>
      </c>
      <c r="K2329" s="1">
        <v>3</v>
      </c>
      <c r="L2329" s="1" t="s">
        <v>24</v>
      </c>
      <c r="M2329" s="1" t="str">
        <f>"福建省 厦门市 湖里区 "</f>
        <v xml:space="preserve">福建省 厦门市 湖里区 </v>
      </c>
      <c r="N2329" s="1" t="str">
        <f t="shared" ref="N2329:N2331" si="719">"凡华云仓-城南圆通-微信视频号"</f>
        <v>凡华云仓-城南圆通-微信视频号</v>
      </c>
      <c r="O2329" s="5" t="s">
        <v>2365</v>
      </c>
      <c r="P2329" s="6">
        <v>0.34</v>
      </c>
      <c r="Q2329" s="11">
        <v>2.2999999999999998</v>
      </c>
      <c r="R2329" s="11"/>
      <c r="S2329" s="11"/>
      <c r="T2329" s="11"/>
      <c r="U2329" s="11">
        <f t="shared" si="707"/>
        <v>2.2999999999999998</v>
      </c>
      <c r="W2329">
        <v>2.5</v>
      </c>
      <c r="X2329" s="1" t="s">
        <v>24</v>
      </c>
    </row>
    <row r="2330" spans="1:24" x14ac:dyDescent="0.25">
      <c r="A2330" s="1" t="str">
        <f t="shared" si="708"/>
        <v>卡卡杜-凤凰仓</v>
      </c>
      <c r="B2330" s="1" t="str">
        <f>"CK2024102710219"</f>
        <v>CK2024102710219</v>
      </c>
      <c r="C2330" s="1" t="str">
        <f>"DD2024102738434"</f>
        <v>DD2024102738434</v>
      </c>
      <c r="D2330" s="1" t="str">
        <f>"CK2024102729604"</f>
        <v>CK2024102729604</v>
      </c>
      <c r="E2330" s="1" t="str">
        <f>"3723583569692591360"</f>
        <v>3723583569692591360</v>
      </c>
      <c r="F2330" s="1" t="str">
        <f t="shared" si="709"/>
        <v>花都四部-凤凰仓</v>
      </c>
      <c r="G2330" s="1" t="str">
        <f>"RO橙心外贸供应链 （视频号）"</f>
        <v>RO橙心外贸供应链 （视频号）</v>
      </c>
      <c r="H2330" s="1" t="str">
        <f t="shared" si="710"/>
        <v>正常订单</v>
      </c>
      <c r="I2330" s="1" t="str">
        <f t="shared" si="711"/>
        <v>已发货</v>
      </c>
      <c r="J2330" s="1" t="str">
        <f>"6"</f>
        <v>6</v>
      </c>
      <c r="K2330" s="1">
        <v>3</v>
      </c>
      <c r="L2330" s="1" t="s">
        <v>105</v>
      </c>
      <c r="M2330" s="1" t="str">
        <f>"北京 北京市 丰台区 "</f>
        <v xml:space="preserve">北京 北京市 丰台区 </v>
      </c>
      <c r="N2330" s="1" t="str">
        <f t="shared" si="719"/>
        <v>凡华云仓-城南圆通-微信视频号</v>
      </c>
      <c r="O2330" s="5" t="s">
        <v>2366</v>
      </c>
      <c r="P2330" s="6">
        <v>0.55000000000000004</v>
      </c>
      <c r="Q2330" s="11">
        <f>CEILING(P2330-0.5,0.1)*10*0.15+2.3</f>
        <v>2.4499999999999997</v>
      </c>
      <c r="R2330" s="11"/>
      <c r="S2330" s="11"/>
      <c r="T2330" s="11"/>
      <c r="U2330" s="11">
        <f t="shared" si="707"/>
        <v>2.4499999999999997</v>
      </c>
      <c r="V2330" t="s">
        <v>15</v>
      </c>
      <c r="W2330">
        <v>2.4500000000000002</v>
      </c>
      <c r="X2330" s="1" t="s">
        <v>105</v>
      </c>
    </row>
    <row r="2331" spans="1:24" x14ac:dyDescent="0.25">
      <c r="A2331" s="1" t="str">
        <f t="shared" si="708"/>
        <v>卡卡杜-凤凰仓</v>
      </c>
      <c r="B2331" s="1" t="str">
        <f>"CK20241027185"</f>
        <v>CK20241027185</v>
      </c>
      <c r="C2331" s="1" t="str">
        <f>"DD2024102722300"</f>
        <v>DD2024102722300</v>
      </c>
      <c r="D2331" s="1" t="str">
        <f>"CK2024102711446"</f>
        <v>CK2024102711446</v>
      </c>
      <c r="E2331" s="1" t="str">
        <f>"3723580949696221184"</f>
        <v>3723580949696221184</v>
      </c>
      <c r="F2331" s="1" t="str">
        <f t="shared" si="709"/>
        <v>花都四部-凤凰仓</v>
      </c>
      <c r="G2331" s="1" t="str">
        <f>"卡卡杜企业店（视频号）"</f>
        <v>卡卡杜企业店（视频号）</v>
      </c>
      <c r="H2331" s="1" t="str">
        <f t="shared" si="710"/>
        <v>正常订单</v>
      </c>
      <c r="I2331" s="1" t="str">
        <f t="shared" si="711"/>
        <v>已发货</v>
      </c>
      <c r="J2331" s="1" t="str">
        <f t="shared" ref="J2331:J2337" si="720">"3"</f>
        <v>3</v>
      </c>
      <c r="K2331" s="1">
        <v>2</v>
      </c>
      <c r="L2331" s="1" t="s">
        <v>66</v>
      </c>
      <c r="M2331" s="1" t="str">
        <f>"内蒙古自治区 包头市 青山区 "</f>
        <v xml:space="preserve">内蒙古自治区 包头市 青山区 </v>
      </c>
      <c r="N2331" s="1" t="str">
        <f t="shared" si="719"/>
        <v>凡华云仓-城南圆通-微信视频号</v>
      </c>
      <c r="O2331" s="5" t="s">
        <v>2367</v>
      </c>
      <c r="P2331" s="6">
        <v>0.35</v>
      </c>
      <c r="Q2331" s="11">
        <v>2.2999999999999998</v>
      </c>
      <c r="R2331" s="11"/>
      <c r="S2331" s="11"/>
      <c r="T2331" s="11"/>
      <c r="U2331" s="11">
        <f t="shared" si="707"/>
        <v>2.2999999999999998</v>
      </c>
      <c r="W2331">
        <v>2.5</v>
      </c>
      <c r="X2331" s="1" t="s">
        <v>66</v>
      </c>
    </row>
    <row r="2332" spans="1:24" x14ac:dyDescent="0.25">
      <c r="A2332" s="1" t="str">
        <f t="shared" si="708"/>
        <v>卡卡杜-凤凰仓</v>
      </c>
      <c r="B2332" s="1" t="str">
        <f>"CK20241027182"</f>
        <v>CK20241027182</v>
      </c>
      <c r="C2332" s="1" t="str">
        <f>"DD2024102722299"</f>
        <v>DD2024102722299</v>
      </c>
      <c r="D2332" s="1" t="str">
        <f>"CK2024102711445"</f>
        <v>CK2024102711445</v>
      </c>
      <c r="E2332" s="1" t="str">
        <f>"2430002407386257"</f>
        <v>2430002407386257</v>
      </c>
      <c r="F2332" s="1" t="str">
        <f t="shared" si="709"/>
        <v>花都四部-凤凰仓</v>
      </c>
      <c r="G2332" s="1" t="str">
        <f t="shared" si="717"/>
        <v>卡卡杜佳旺专卖店（快手店）</v>
      </c>
      <c r="H2332" s="1" t="str">
        <f t="shared" si="710"/>
        <v>正常订单</v>
      </c>
      <c r="I2332" s="1" t="str">
        <f t="shared" si="711"/>
        <v>已发货</v>
      </c>
      <c r="J2332" s="1" t="str">
        <f>"5"</f>
        <v>5</v>
      </c>
      <c r="K2332" s="1">
        <v>2</v>
      </c>
      <c r="L2332" s="1" t="s">
        <v>20</v>
      </c>
      <c r="M2332" s="1" t="str">
        <f>"浙江省 台州市 临海市 大洋街道"</f>
        <v>浙江省 台州市 临海市 大洋街道</v>
      </c>
      <c r="N2332" s="1" t="str">
        <f t="shared" si="718"/>
        <v>凡华云仓-城南圆通-快手</v>
      </c>
      <c r="O2332" s="5" t="s">
        <v>2368</v>
      </c>
      <c r="P2332" s="6">
        <v>0.59</v>
      </c>
      <c r="Q2332" s="11">
        <f>CEILING(P2332-0.5,0.1)*10*0.15+2.3</f>
        <v>2.4499999999999997</v>
      </c>
      <c r="R2332" s="11"/>
      <c r="S2332" s="11"/>
      <c r="T2332" s="11"/>
      <c r="U2332" s="11">
        <f t="shared" si="707"/>
        <v>2.4499999999999997</v>
      </c>
      <c r="V2332" t="s">
        <v>15</v>
      </c>
      <c r="W2332">
        <v>2.4500000000000002</v>
      </c>
      <c r="X2332" s="1" t="s">
        <v>20</v>
      </c>
    </row>
    <row r="2333" spans="1:24" x14ac:dyDescent="0.25">
      <c r="A2333" s="1" t="str">
        <f t="shared" si="708"/>
        <v>卡卡杜-凤凰仓</v>
      </c>
      <c r="B2333" s="1" t="str">
        <f>"CK20241027183"</f>
        <v>CK20241027183</v>
      </c>
      <c r="C2333" s="1" t="str">
        <f>"DD2024102722298"</f>
        <v>DD2024102722298</v>
      </c>
      <c r="D2333" s="1" t="str">
        <f>"CK2024102711444"</f>
        <v>CK2024102711444</v>
      </c>
      <c r="E2333" s="1" t="str">
        <f>"2430001694770328"</f>
        <v>2430001694770328</v>
      </c>
      <c r="F2333" s="1" t="str">
        <f t="shared" si="709"/>
        <v>花都四部-凤凰仓</v>
      </c>
      <c r="G2333" s="1" t="str">
        <f t="shared" si="717"/>
        <v>卡卡杜佳旺专卖店（快手店）</v>
      </c>
      <c r="H2333" s="1" t="str">
        <f t="shared" si="710"/>
        <v>正常订单</v>
      </c>
      <c r="I2333" s="1" t="str">
        <f t="shared" si="711"/>
        <v>已发货</v>
      </c>
      <c r="J2333" s="1" t="str">
        <f t="shared" si="720"/>
        <v>3</v>
      </c>
      <c r="K2333" s="1">
        <v>2</v>
      </c>
      <c r="L2333" s="1" t="s">
        <v>18</v>
      </c>
      <c r="M2333" s="1" t="str">
        <f>"广东省 广州市 从化区 太平镇"</f>
        <v>广东省 广州市 从化区 太平镇</v>
      </c>
      <c r="N2333" s="1" t="str">
        <f t="shared" si="718"/>
        <v>凡华云仓-城南圆通-快手</v>
      </c>
      <c r="O2333" s="5" t="s">
        <v>2369</v>
      </c>
      <c r="P2333" s="6">
        <v>0.35</v>
      </c>
      <c r="Q2333" s="11">
        <v>2.2999999999999998</v>
      </c>
      <c r="R2333" s="11"/>
      <c r="S2333" s="11"/>
      <c r="T2333" s="11"/>
      <c r="U2333" s="11">
        <f t="shared" si="707"/>
        <v>2.2999999999999998</v>
      </c>
      <c r="W2333">
        <v>2.5</v>
      </c>
      <c r="X2333" s="1" t="s">
        <v>18</v>
      </c>
    </row>
    <row r="2334" spans="1:24" x14ac:dyDescent="0.25">
      <c r="A2334" s="1" t="str">
        <f t="shared" si="708"/>
        <v>卡卡杜-凤凰仓</v>
      </c>
      <c r="B2334" s="1" t="str">
        <f>"CK20241027181"</f>
        <v>CK20241027181</v>
      </c>
      <c r="C2334" s="1" t="str">
        <f>"DD2024102722297"</f>
        <v>DD2024102722297</v>
      </c>
      <c r="D2334" s="1" t="str">
        <f>"CK2024102711443"</f>
        <v>CK2024102711443</v>
      </c>
      <c r="E2334" s="1" t="str">
        <f>"2430002011225336"</f>
        <v>2430002011225336</v>
      </c>
      <c r="F2334" s="1" t="str">
        <f t="shared" si="709"/>
        <v>花都四部-凤凰仓</v>
      </c>
      <c r="G2334" s="1" t="str">
        <f t="shared" si="717"/>
        <v>卡卡杜佳旺专卖店（快手店）</v>
      </c>
      <c r="H2334" s="1" t="str">
        <f t="shared" si="710"/>
        <v>正常订单</v>
      </c>
      <c r="I2334" s="1" t="str">
        <f t="shared" si="711"/>
        <v>已发货</v>
      </c>
      <c r="J2334" s="1" t="str">
        <f t="shared" si="720"/>
        <v>3</v>
      </c>
      <c r="K2334" s="1">
        <v>2</v>
      </c>
      <c r="L2334" s="1" t="s">
        <v>80</v>
      </c>
      <c r="M2334" s="1" t="str">
        <f>"河南省 周口市 淮阳区 豆门乡"</f>
        <v>河南省 周口市 淮阳区 豆门乡</v>
      </c>
      <c r="N2334" s="1" t="str">
        <f t="shared" si="718"/>
        <v>凡华云仓-城南圆通-快手</v>
      </c>
      <c r="O2334" s="5" t="s">
        <v>2370</v>
      </c>
      <c r="P2334" s="6">
        <v>0.35</v>
      </c>
      <c r="Q2334" s="11">
        <v>2.2999999999999998</v>
      </c>
      <c r="R2334" s="11"/>
      <c r="S2334" s="11"/>
      <c r="T2334" s="11"/>
      <c r="U2334" s="11">
        <f t="shared" si="707"/>
        <v>2.2999999999999998</v>
      </c>
      <c r="W2334">
        <v>2.5</v>
      </c>
      <c r="X2334" s="1" t="s">
        <v>80</v>
      </c>
    </row>
    <row r="2335" spans="1:24" x14ac:dyDescent="0.25">
      <c r="A2335" s="1" t="str">
        <f t="shared" si="708"/>
        <v>卡卡杜-凤凰仓</v>
      </c>
      <c r="B2335" s="1" t="str">
        <f>"CK20241027180"</f>
        <v>CK20241027180</v>
      </c>
      <c r="C2335" s="1" t="str">
        <f>"DD2024102722296"</f>
        <v>DD2024102722296</v>
      </c>
      <c r="D2335" s="1" t="str">
        <f>"CK2024102711442"</f>
        <v>CK2024102711442</v>
      </c>
      <c r="E2335" s="1" t="str">
        <f>"6935516758859651013"</f>
        <v>6935516758859651013</v>
      </c>
      <c r="F2335" s="1" t="str">
        <f t="shared" si="709"/>
        <v>花都四部-凤凰仓</v>
      </c>
      <c r="G2335" s="1" t="str">
        <f>"卡卡杜个人护理店（抖店）"</f>
        <v>卡卡杜个人护理店（抖店）</v>
      </c>
      <c r="H2335" s="1" t="str">
        <f t="shared" si="710"/>
        <v>正常订单</v>
      </c>
      <c r="I2335" s="1" t="str">
        <f t="shared" si="711"/>
        <v>已发货</v>
      </c>
      <c r="J2335" s="1" t="str">
        <f t="shared" si="720"/>
        <v>3</v>
      </c>
      <c r="K2335" s="1">
        <v>2</v>
      </c>
      <c r="L2335" s="1" t="s">
        <v>80</v>
      </c>
      <c r="M2335" s="1" t="str">
        <f>"河南省 信阳市 光山县 十里镇"</f>
        <v>河南省 信阳市 光山县 十里镇</v>
      </c>
      <c r="N2335" s="1" t="str">
        <f>"凡华云仓-城南圆通-抖音"</f>
        <v>凡华云仓-城南圆通-抖音</v>
      </c>
      <c r="O2335" s="5" t="s">
        <v>2371</v>
      </c>
      <c r="P2335" s="6">
        <v>0.35</v>
      </c>
      <c r="Q2335" s="11">
        <v>2.2999999999999998</v>
      </c>
      <c r="R2335" s="11"/>
      <c r="S2335" s="11"/>
      <c r="T2335" s="11"/>
      <c r="U2335" s="11">
        <f t="shared" si="707"/>
        <v>2.2999999999999998</v>
      </c>
      <c r="W2335">
        <v>2.5</v>
      </c>
      <c r="X2335" s="1" t="s">
        <v>80</v>
      </c>
    </row>
    <row r="2336" spans="1:24" x14ac:dyDescent="0.25">
      <c r="A2336" s="1" t="str">
        <f t="shared" si="708"/>
        <v>卡卡杜-凤凰仓</v>
      </c>
      <c r="B2336" s="1" t="str">
        <f>"CK20241027179"</f>
        <v>CK20241027179</v>
      </c>
      <c r="C2336" s="1" t="str">
        <f>"DD2024102722295"</f>
        <v>DD2024102722295</v>
      </c>
      <c r="D2336" s="1" t="str">
        <f>"CK2024102711441"</f>
        <v>CK2024102711441</v>
      </c>
      <c r="E2336" s="1" t="str">
        <f>"2430002410370740"</f>
        <v>2430002410370740</v>
      </c>
      <c r="F2336" s="1" t="str">
        <f t="shared" si="709"/>
        <v>花都四部-凤凰仓</v>
      </c>
      <c r="G2336" s="1" t="str">
        <f t="shared" ref="G2336:G2340" si="721">"卡卡杜佳旺专卖店（快手店）"</f>
        <v>卡卡杜佳旺专卖店（快手店）</v>
      </c>
      <c r="H2336" s="1" t="str">
        <f t="shared" si="710"/>
        <v>正常订单</v>
      </c>
      <c r="I2336" s="1" t="str">
        <f t="shared" si="711"/>
        <v>已发货</v>
      </c>
      <c r="J2336" s="1" t="str">
        <f t="shared" si="720"/>
        <v>3</v>
      </c>
      <c r="K2336" s="1">
        <v>2</v>
      </c>
      <c r="L2336" s="1" t="s">
        <v>136</v>
      </c>
      <c r="M2336" s="1" t="str">
        <f>"北京市 北京市 朝阳区 十八里店地区"</f>
        <v>北京市 北京市 朝阳区 十八里店地区</v>
      </c>
      <c r="N2336" s="1" t="str">
        <f t="shared" ref="N2336:N2340" si="722">"凡华云仓-城南圆通-快手"</f>
        <v>凡华云仓-城南圆通-快手</v>
      </c>
      <c r="O2336" s="5" t="s">
        <v>2372</v>
      </c>
      <c r="P2336" s="6">
        <v>0.35</v>
      </c>
      <c r="Q2336" s="11">
        <v>2.2999999999999998</v>
      </c>
      <c r="R2336" s="11"/>
      <c r="S2336" s="11"/>
      <c r="T2336" s="11"/>
      <c r="U2336" s="11">
        <f t="shared" si="707"/>
        <v>2.2999999999999998</v>
      </c>
      <c r="W2336">
        <v>2.5</v>
      </c>
      <c r="X2336" s="1" t="s">
        <v>136</v>
      </c>
    </row>
    <row r="2337" spans="1:24" x14ac:dyDescent="0.25">
      <c r="A2337" s="1" t="str">
        <f t="shared" si="708"/>
        <v>卡卡杜-凤凰仓</v>
      </c>
      <c r="B2337" s="1" t="str">
        <f>"CK20241027177"</f>
        <v>CK20241027177</v>
      </c>
      <c r="C2337" s="1" t="str">
        <f>"DD2024102722294"</f>
        <v>DD2024102722294</v>
      </c>
      <c r="D2337" s="1" t="str">
        <f>"CK2024102711440"</f>
        <v>CK2024102711440</v>
      </c>
      <c r="E2337" s="1" t="str">
        <f>"2430002244314257"</f>
        <v>2430002244314257</v>
      </c>
      <c r="F2337" s="1" t="str">
        <f t="shared" si="709"/>
        <v>花都四部-凤凰仓</v>
      </c>
      <c r="G2337" s="1" t="str">
        <f t="shared" si="721"/>
        <v>卡卡杜佳旺专卖店（快手店）</v>
      </c>
      <c r="H2337" s="1" t="str">
        <f t="shared" si="710"/>
        <v>正常订单</v>
      </c>
      <c r="I2337" s="1" t="str">
        <f t="shared" si="711"/>
        <v>已发货</v>
      </c>
      <c r="J2337" s="1" t="str">
        <f t="shared" si="720"/>
        <v>3</v>
      </c>
      <c r="K2337" s="1">
        <v>2</v>
      </c>
      <c r="L2337" s="1" t="s">
        <v>18</v>
      </c>
      <c r="M2337" s="1" t="str">
        <f>"广东省 东莞市 清溪镇 清溪镇"</f>
        <v>广东省 东莞市 清溪镇 清溪镇</v>
      </c>
      <c r="N2337" s="1" t="str">
        <f t="shared" si="722"/>
        <v>凡华云仓-城南圆通-快手</v>
      </c>
      <c r="O2337" s="5" t="s">
        <v>2373</v>
      </c>
      <c r="P2337" s="6">
        <v>0.35</v>
      </c>
      <c r="Q2337" s="11">
        <v>2.2999999999999998</v>
      </c>
      <c r="R2337" s="11"/>
      <c r="S2337" s="11"/>
      <c r="T2337" s="11"/>
      <c r="U2337" s="11">
        <f t="shared" si="707"/>
        <v>2.2999999999999998</v>
      </c>
      <c r="W2337">
        <v>2.5</v>
      </c>
      <c r="X2337" s="1" t="s">
        <v>18</v>
      </c>
    </row>
    <row r="2338" spans="1:24" x14ac:dyDescent="0.25">
      <c r="A2338" s="1" t="str">
        <f t="shared" si="708"/>
        <v>卡卡杜-凤凰仓</v>
      </c>
      <c r="B2338" s="1" t="str">
        <f>"CK20241027178"</f>
        <v>CK20241027178</v>
      </c>
      <c r="C2338" s="1" t="str">
        <f>"DD2024102722293"</f>
        <v>DD2024102722293</v>
      </c>
      <c r="D2338" s="1" t="str">
        <f>"CK2024102711439"</f>
        <v>CK2024102711439</v>
      </c>
      <c r="E2338" s="1" t="str">
        <f>"3723580208816981504"</f>
        <v>3723580208816981504</v>
      </c>
      <c r="F2338" s="1" t="str">
        <f t="shared" si="709"/>
        <v>花都四部-凤凰仓</v>
      </c>
      <c r="G2338" s="1" t="str">
        <f>"卡卡杜企业店（视频号）"</f>
        <v>卡卡杜企业店（视频号）</v>
      </c>
      <c r="H2338" s="1" t="str">
        <f t="shared" si="710"/>
        <v>正常订单</v>
      </c>
      <c r="I2338" s="1" t="str">
        <f t="shared" si="711"/>
        <v>已发货</v>
      </c>
      <c r="J2338" s="1" t="str">
        <f t="shared" ref="J2338:J2342" si="723">"5"</f>
        <v>5</v>
      </c>
      <c r="K2338" s="1">
        <v>2</v>
      </c>
      <c r="L2338" s="1" t="s">
        <v>20</v>
      </c>
      <c r="M2338" s="1" t="str">
        <f>"浙江省 宁波市 慈溪市 "</f>
        <v xml:space="preserve">浙江省 宁波市 慈溪市 </v>
      </c>
      <c r="N2338" s="1" t="str">
        <f>"凡华云仓-城南圆通-微信视频号"</f>
        <v>凡华云仓-城南圆通-微信视频号</v>
      </c>
      <c r="O2338" s="5" t="s">
        <v>2374</v>
      </c>
      <c r="P2338" s="6">
        <v>0.59</v>
      </c>
      <c r="Q2338" s="11">
        <f t="shared" ref="Q2338:Q2342" si="724">CEILING(P2338-0.5,0.1)*10*0.15+2.3</f>
        <v>2.4499999999999997</v>
      </c>
      <c r="R2338" s="11"/>
      <c r="S2338" s="11"/>
      <c r="T2338" s="11"/>
      <c r="U2338" s="11">
        <f t="shared" si="707"/>
        <v>2.4499999999999997</v>
      </c>
      <c r="V2338" t="s">
        <v>15</v>
      </c>
      <c r="W2338">
        <v>2.4500000000000002</v>
      </c>
      <c r="X2338" s="1" t="s">
        <v>20</v>
      </c>
    </row>
    <row r="2339" spans="1:24" x14ac:dyDescent="0.25">
      <c r="A2339" s="1" t="str">
        <f t="shared" si="708"/>
        <v>卡卡杜-凤凰仓</v>
      </c>
      <c r="B2339" s="1" t="str">
        <f>"CK20241027176"</f>
        <v>CK20241027176</v>
      </c>
      <c r="C2339" s="1" t="str">
        <f>"DD2024102722292"</f>
        <v>DD2024102722292</v>
      </c>
      <c r="D2339" s="1" t="str">
        <f>"CK2024102711438"</f>
        <v>CK2024102711438</v>
      </c>
      <c r="E2339" s="1" t="str">
        <f>"6935492169002063410"</f>
        <v>6935492169002063410</v>
      </c>
      <c r="F2339" s="1" t="str">
        <f t="shared" si="709"/>
        <v>花都四部-凤凰仓</v>
      </c>
      <c r="G2339" s="1" t="str">
        <f t="shared" ref="G2339:G2343" si="725">"卡卡杜个人护理店（抖店）"</f>
        <v>卡卡杜个人护理店（抖店）</v>
      </c>
      <c r="H2339" s="1" t="str">
        <f t="shared" si="710"/>
        <v>正常订单</v>
      </c>
      <c r="I2339" s="1" t="str">
        <f t="shared" si="711"/>
        <v>已发货</v>
      </c>
      <c r="J2339" s="1" t="str">
        <f t="shared" ref="J2339:J2343" si="726">"3"</f>
        <v>3</v>
      </c>
      <c r="K2339" s="1">
        <v>3</v>
      </c>
      <c r="L2339" s="1" t="s">
        <v>30</v>
      </c>
      <c r="M2339" s="1" t="str">
        <f>"山东省 济南市 历城区 华山街道"</f>
        <v>山东省 济南市 历城区 华山街道</v>
      </c>
      <c r="N2339" s="1" t="str">
        <f t="shared" ref="N2339:N2343" si="727">"凡华云仓-城南圆通-抖音"</f>
        <v>凡华云仓-城南圆通-抖音</v>
      </c>
      <c r="O2339" s="5" t="s">
        <v>2375</v>
      </c>
      <c r="P2339" s="6">
        <v>0.34</v>
      </c>
      <c r="Q2339" s="11">
        <v>2.2999999999999998</v>
      </c>
      <c r="R2339" s="11"/>
      <c r="S2339" s="11"/>
      <c r="T2339" s="11"/>
      <c r="U2339" s="11">
        <f t="shared" si="707"/>
        <v>2.2999999999999998</v>
      </c>
      <c r="W2339">
        <v>2.5</v>
      </c>
      <c r="X2339" s="1" t="s">
        <v>30</v>
      </c>
    </row>
    <row r="2340" spans="1:24" x14ac:dyDescent="0.25">
      <c r="A2340" s="1" t="str">
        <f t="shared" si="708"/>
        <v>卡卡杜-凤凰仓</v>
      </c>
      <c r="B2340" s="1" t="str">
        <f>"CK20241027174"</f>
        <v>CK20241027174</v>
      </c>
      <c r="C2340" s="1" t="str">
        <f>"DD2024102722291"</f>
        <v>DD2024102722291</v>
      </c>
      <c r="D2340" s="1" t="str">
        <f>"CK2024102711437"</f>
        <v>CK2024102711437</v>
      </c>
      <c r="E2340" s="1" t="str">
        <f>"2430001610256898"</f>
        <v>2430001610256898</v>
      </c>
      <c r="F2340" s="1" t="str">
        <f t="shared" si="709"/>
        <v>花都四部-凤凰仓</v>
      </c>
      <c r="G2340" s="1" t="str">
        <f t="shared" si="721"/>
        <v>卡卡杜佳旺专卖店（快手店）</v>
      </c>
      <c r="H2340" s="1" t="str">
        <f t="shared" si="710"/>
        <v>正常订单</v>
      </c>
      <c r="I2340" s="1" t="str">
        <f t="shared" si="711"/>
        <v>已发货</v>
      </c>
      <c r="J2340" s="1" t="str">
        <f t="shared" si="726"/>
        <v>3</v>
      </c>
      <c r="K2340" s="1">
        <v>2</v>
      </c>
      <c r="L2340" s="1" t="s">
        <v>13</v>
      </c>
      <c r="M2340" s="1" t="str">
        <f>"江苏省 盐城市 亭湖区 南洋镇"</f>
        <v>江苏省 盐城市 亭湖区 南洋镇</v>
      </c>
      <c r="N2340" s="1" t="str">
        <f t="shared" si="722"/>
        <v>凡华云仓-城南圆通-快手</v>
      </c>
      <c r="O2340" s="5" t="s">
        <v>2376</v>
      </c>
      <c r="P2340" s="6">
        <v>0.35</v>
      </c>
      <c r="Q2340" s="11">
        <v>2.2999999999999998</v>
      </c>
      <c r="R2340" s="11"/>
      <c r="S2340" s="11"/>
      <c r="T2340" s="11"/>
      <c r="U2340" s="11">
        <f t="shared" si="707"/>
        <v>2.2999999999999998</v>
      </c>
      <c r="W2340">
        <v>2.5</v>
      </c>
      <c r="X2340" s="1" t="s">
        <v>13</v>
      </c>
    </row>
    <row r="2341" spans="1:24" x14ac:dyDescent="0.25">
      <c r="A2341" s="1" t="str">
        <f t="shared" si="708"/>
        <v>卡卡杜-凤凰仓</v>
      </c>
      <c r="B2341" s="1" t="str">
        <f>"CK20241027175"</f>
        <v>CK20241027175</v>
      </c>
      <c r="C2341" s="1" t="str">
        <f>"DD2024102722290"</f>
        <v>DD2024102722290</v>
      </c>
      <c r="D2341" s="1" t="str">
        <f>"CK2024102711436"</f>
        <v>CK2024102711436</v>
      </c>
      <c r="E2341" s="1" t="str">
        <f>"6935514577087435864"</f>
        <v>6935514577087435864</v>
      </c>
      <c r="F2341" s="1" t="str">
        <f t="shared" si="709"/>
        <v>花都四部-凤凰仓</v>
      </c>
      <c r="G2341" s="1" t="str">
        <f t="shared" si="725"/>
        <v>卡卡杜个人护理店（抖店）</v>
      </c>
      <c r="H2341" s="1" t="str">
        <f t="shared" si="710"/>
        <v>正常订单</v>
      </c>
      <c r="I2341" s="1" t="str">
        <f t="shared" si="711"/>
        <v>已发货</v>
      </c>
      <c r="J2341" s="1" t="str">
        <f t="shared" si="723"/>
        <v>5</v>
      </c>
      <c r="K2341" s="1">
        <v>2</v>
      </c>
      <c r="L2341" s="1" t="s">
        <v>30</v>
      </c>
      <c r="M2341" s="1" t="str">
        <f>"山东省 枣庄市 台儿庄区 "</f>
        <v xml:space="preserve">山东省 枣庄市 台儿庄区 </v>
      </c>
      <c r="N2341" s="1" t="str">
        <f t="shared" si="727"/>
        <v>凡华云仓-城南圆通-抖音</v>
      </c>
      <c r="O2341" s="5" t="s">
        <v>2377</v>
      </c>
      <c r="P2341" s="6">
        <v>0.59</v>
      </c>
      <c r="Q2341" s="11">
        <f t="shared" si="724"/>
        <v>2.4499999999999997</v>
      </c>
      <c r="R2341" s="11"/>
      <c r="S2341" s="11"/>
      <c r="T2341" s="11"/>
      <c r="U2341" s="11">
        <f t="shared" si="707"/>
        <v>2.4499999999999997</v>
      </c>
      <c r="V2341" t="s">
        <v>15</v>
      </c>
      <c r="W2341">
        <v>2.4500000000000002</v>
      </c>
      <c r="X2341" s="1" t="s">
        <v>30</v>
      </c>
    </row>
    <row r="2342" spans="1:24" x14ac:dyDescent="0.25">
      <c r="A2342" s="1" t="str">
        <f t="shared" si="708"/>
        <v>卡卡杜-凤凰仓</v>
      </c>
      <c r="B2342" s="1" t="str">
        <f>"CK20241027173"</f>
        <v>CK20241027173</v>
      </c>
      <c r="C2342" s="1" t="str">
        <f>"DD2024102722289"</f>
        <v>DD2024102722289</v>
      </c>
      <c r="D2342" s="1" t="str">
        <f>"CK2024102711435"</f>
        <v>CK2024102711435</v>
      </c>
      <c r="E2342" s="1" t="str">
        <f>"6935492305915090151"</f>
        <v>6935492305915090151</v>
      </c>
      <c r="F2342" s="1" t="str">
        <f t="shared" si="709"/>
        <v>花都四部-凤凰仓</v>
      </c>
      <c r="G2342" s="1" t="str">
        <f t="shared" si="725"/>
        <v>卡卡杜个人护理店（抖店）</v>
      </c>
      <c r="H2342" s="1" t="str">
        <f t="shared" si="710"/>
        <v>正常订单</v>
      </c>
      <c r="I2342" s="1" t="str">
        <f t="shared" si="711"/>
        <v>已发货</v>
      </c>
      <c r="J2342" s="1" t="str">
        <f t="shared" si="723"/>
        <v>5</v>
      </c>
      <c r="K2342" s="1">
        <v>2</v>
      </c>
      <c r="L2342" s="1" t="s">
        <v>94</v>
      </c>
      <c r="M2342" s="1" t="str">
        <f>"湖南省 邵阳市 大祥区 火车南站街道"</f>
        <v>湖南省 邵阳市 大祥区 火车南站街道</v>
      </c>
      <c r="N2342" s="1" t="str">
        <f t="shared" si="727"/>
        <v>凡华云仓-城南圆通-抖音</v>
      </c>
      <c r="O2342" s="5" t="s">
        <v>2378</v>
      </c>
      <c r="P2342" s="6">
        <v>0.59</v>
      </c>
      <c r="Q2342" s="11">
        <f t="shared" si="724"/>
        <v>2.4499999999999997</v>
      </c>
      <c r="R2342" s="11"/>
      <c r="S2342" s="11"/>
      <c r="T2342" s="11"/>
      <c r="U2342" s="11">
        <f t="shared" si="707"/>
        <v>2.4499999999999997</v>
      </c>
      <c r="V2342" t="s">
        <v>15</v>
      </c>
      <c r="W2342">
        <v>2.4500000000000002</v>
      </c>
      <c r="X2342" s="1" t="s">
        <v>94</v>
      </c>
    </row>
    <row r="2343" spans="1:24" x14ac:dyDescent="0.25">
      <c r="A2343" s="1" t="str">
        <f t="shared" si="708"/>
        <v>卡卡杜-凤凰仓</v>
      </c>
      <c r="B2343" s="1" t="str">
        <f>"CK20241027172"</f>
        <v>CK20241027172</v>
      </c>
      <c r="C2343" s="1" t="str">
        <f>"DD2024102722288"</f>
        <v>DD2024102722288</v>
      </c>
      <c r="D2343" s="1" t="str">
        <f>"CK2024102711434"</f>
        <v>CK2024102711434</v>
      </c>
      <c r="E2343" s="1" t="str">
        <f>"6935521549853005523"</f>
        <v>6935521549853005523</v>
      </c>
      <c r="F2343" s="1" t="str">
        <f t="shared" si="709"/>
        <v>花都四部-凤凰仓</v>
      </c>
      <c r="G2343" s="1" t="str">
        <f t="shared" si="725"/>
        <v>卡卡杜个人护理店（抖店）</v>
      </c>
      <c r="H2343" s="1" t="str">
        <f t="shared" si="710"/>
        <v>正常订单</v>
      </c>
      <c r="I2343" s="1" t="str">
        <f t="shared" si="711"/>
        <v>已发货</v>
      </c>
      <c r="J2343" s="1" t="str">
        <f t="shared" si="726"/>
        <v>3</v>
      </c>
      <c r="K2343" s="1">
        <v>2</v>
      </c>
      <c r="L2343" s="1" t="s">
        <v>13</v>
      </c>
      <c r="M2343" s="1" t="str">
        <f>"江苏省 盐城市 滨海县 坎北街道"</f>
        <v>江苏省 盐城市 滨海县 坎北街道</v>
      </c>
      <c r="N2343" s="1" t="str">
        <f t="shared" si="727"/>
        <v>凡华云仓-城南圆通-抖音</v>
      </c>
      <c r="O2343" s="5" t="s">
        <v>2379</v>
      </c>
      <c r="P2343" s="6">
        <v>0.35</v>
      </c>
      <c r="Q2343" s="11">
        <v>2.2999999999999998</v>
      </c>
      <c r="R2343" s="11"/>
      <c r="S2343" s="11"/>
      <c r="T2343" s="11"/>
      <c r="U2343" s="11">
        <f t="shared" si="707"/>
        <v>2.2999999999999998</v>
      </c>
      <c r="W2343">
        <v>2.5</v>
      </c>
      <c r="X2343" s="1" t="s">
        <v>13</v>
      </c>
    </row>
    <row r="2344" spans="1:24" x14ac:dyDescent="0.25">
      <c r="A2344" s="1" t="str">
        <f t="shared" si="708"/>
        <v>卡卡杜-凤凰仓</v>
      </c>
      <c r="B2344" s="1" t="str">
        <f>"CK20241027170"</f>
        <v>CK20241027170</v>
      </c>
      <c r="C2344" s="1" t="str">
        <f>"DD2024102722287"</f>
        <v>DD2024102722287</v>
      </c>
      <c r="D2344" s="1" t="str">
        <f>"CK2024102711433"</f>
        <v>CK2024102711433</v>
      </c>
      <c r="E2344" s="1" t="str">
        <f>"2430001772609253"</f>
        <v>2430001772609253</v>
      </c>
      <c r="F2344" s="1" t="str">
        <f t="shared" si="709"/>
        <v>花都四部-凤凰仓</v>
      </c>
      <c r="G2344" s="1" t="str">
        <f>"卡卡杜佳旺专卖店（快手店）"</f>
        <v>卡卡杜佳旺专卖店（快手店）</v>
      </c>
      <c r="H2344" s="1" t="str">
        <f t="shared" si="710"/>
        <v>正常订单</v>
      </c>
      <c r="I2344" s="1" t="str">
        <f t="shared" si="711"/>
        <v>已发货</v>
      </c>
      <c r="J2344" s="1" t="str">
        <f>"5"</f>
        <v>5</v>
      </c>
      <c r="K2344" s="1">
        <v>2</v>
      </c>
      <c r="L2344" s="1" t="s">
        <v>13</v>
      </c>
      <c r="M2344" s="1" t="str">
        <f>"江苏省 南京市 秦淮区 秦虹街道"</f>
        <v>江苏省 南京市 秦淮区 秦虹街道</v>
      </c>
      <c r="N2344" s="1" t="str">
        <f>"凡华云仓-城南圆通-快手"</f>
        <v>凡华云仓-城南圆通-快手</v>
      </c>
      <c r="O2344" s="5" t="s">
        <v>2380</v>
      </c>
      <c r="P2344" s="6">
        <v>0.59</v>
      </c>
      <c r="Q2344" s="11">
        <f>CEILING(P2344-0.5,0.1)*10*0.15+2.3</f>
        <v>2.4499999999999997</v>
      </c>
      <c r="R2344" s="11"/>
      <c r="S2344" s="11"/>
      <c r="T2344" s="11"/>
      <c r="U2344" s="11">
        <f t="shared" si="707"/>
        <v>2.4499999999999997</v>
      </c>
      <c r="V2344" t="s">
        <v>15</v>
      </c>
      <c r="W2344">
        <v>2.4500000000000002</v>
      </c>
      <c r="X2344" s="1" t="s">
        <v>13</v>
      </c>
    </row>
    <row r="2345" spans="1:24" x14ac:dyDescent="0.25">
      <c r="A2345" s="1" t="str">
        <f t="shared" si="708"/>
        <v>卡卡杜-凤凰仓</v>
      </c>
      <c r="B2345" s="1" t="str">
        <f>"CK20241027171"</f>
        <v>CK20241027171</v>
      </c>
      <c r="C2345" s="1" t="str">
        <f>"DD2024102722286"</f>
        <v>DD2024102722286</v>
      </c>
      <c r="D2345" s="1" t="str">
        <f>"CK2024102711432"</f>
        <v>CK2024102711432</v>
      </c>
      <c r="E2345" s="1" t="str">
        <f>"6935497263618790622"</f>
        <v>6935497263618790622</v>
      </c>
      <c r="F2345" s="1" t="str">
        <f t="shared" si="709"/>
        <v>花都四部-凤凰仓</v>
      </c>
      <c r="G2345" s="1" t="str">
        <f t="shared" ref="G2345:G2351" si="728">"卡卡杜个人护理店（抖店）"</f>
        <v>卡卡杜个人护理店（抖店）</v>
      </c>
      <c r="H2345" s="1" t="str">
        <f t="shared" si="710"/>
        <v>正常订单</v>
      </c>
      <c r="I2345" s="1" t="str">
        <f t="shared" si="711"/>
        <v>已发货</v>
      </c>
      <c r="J2345" s="1" t="str">
        <f t="shared" ref="J2345:J2368" si="729">"3"</f>
        <v>3</v>
      </c>
      <c r="K2345" s="1">
        <v>2</v>
      </c>
      <c r="L2345" s="1" t="s">
        <v>1111</v>
      </c>
      <c r="M2345" s="1" t="str">
        <f>"青海省 海北藏族自治州 门源回族自治县 浩门镇"</f>
        <v>青海省 海北藏族自治州 门源回族自治县 浩门镇</v>
      </c>
      <c r="N2345" s="1" t="str">
        <f t="shared" ref="N2345:N2351" si="730">"凡华云仓-城南圆通-抖音"</f>
        <v>凡华云仓-城南圆通-抖音</v>
      </c>
      <c r="O2345" s="5" t="s">
        <v>2381</v>
      </c>
      <c r="P2345" s="6">
        <v>0.35</v>
      </c>
      <c r="Q2345" s="11">
        <v>2.2999999999999998</v>
      </c>
      <c r="R2345" s="11"/>
      <c r="S2345" s="11"/>
      <c r="T2345" s="11"/>
      <c r="U2345" s="11">
        <f t="shared" si="707"/>
        <v>2.2999999999999998</v>
      </c>
      <c r="W2345">
        <v>2.5</v>
      </c>
      <c r="X2345" s="1" t="s">
        <v>1111</v>
      </c>
    </row>
    <row r="2346" spans="1:24" x14ac:dyDescent="0.25">
      <c r="A2346" s="1" t="str">
        <f t="shared" si="708"/>
        <v>卡卡杜-凤凰仓</v>
      </c>
      <c r="B2346" s="1" t="str">
        <f>"CK20241027169"</f>
        <v>CK20241027169</v>
      </c>
      <c r="C2346" s="1" t="str">
        <f>"DD2024102722285"</f>
        <v>DD2024102722285</v>
      </c>
      <c r="D2346" s="1" t="str">
        <f>"CK2024102711431"</f>
        <v>CK2024102711431</v>
      </c>
      <c r="E2346" s="1" t="str">
        <f>"6935503954363356454"</f>
        <v>6935503954363356454</v>
      </c>
      <c r="F2346" s="1" t="str">
        <f t="shared" si="709"/>
        <v>花都四部-凤凰仓</v>
      </c>
      <c r="G2346" s="1" t="str">
        <f t="shared" si="728"/>
        <v>卡卡杜个人护理店（抖店）</v>
      </c>
      <c r="H2346" s="1" t="str">
        <f t="shared" si="710"/>
        <v>正常订单</v>
      </c>
      <c r="I2346" s="1" t="str">
        <f t="shared" si="711"/>
        <v>已发货</v>
      </c>
      <c r="J2346" s="1" t="str">
        <f t="shared" si="729"/>
        <v>3</v>
      </c>
      <c r="K2346" s="1">
        <v>2</v>
      </c>
      <c r="L2346" s="1" t="s">
        <v>161</v>
      </c>
      <c r="M2346" s="1" t="str">
        <f>"四川省 南充市 顺庆区 东南街道"</f>
        <v>四川省 南充市 顺庆区 东南街道</v>
      </c>
      <c r="N2346" s="1" t="str">
        <f t="shared" si="730"/>
        <v>凡华云仓-城南圆通-抖音</v>
      </c>
      <c r="O2346" s="5" t="s">
        <v>2382</v>
      </c>
      <c r="P2346" s="6">
        <v>0.35</v>
      </c>
      <c r="Q2346" s="11">
        <v>2.2999999999999998</v>
      </c>
      <c r="R2346" s="11"/>
      <c r="S2346" s="11"/>
      <c r="T2346" s="11"/>
      <c r="U2346" s="11">
        <f t="shared" si="707"/>
        <v>2.2999999999999998</v>
      </c>
      <c r="W2346">
        <v>2.5</v>
      </c>
      <c r="X2346" s="1" t="s">
        <v>161</v>
      </c>
    </row>
    <row r="2347" spans="1:24" x14ac:dyDescent="0.25">
      <c r="A2347" s="1" t="str">
        <f t="shared" si="708"/>
        <v>卡卡杜-凤凰仓</v>
      </c>
      <c r="B2347" s="1" t="str">
        <f>"CK20241027168"</f>
        <v>CK20241027168</v>
      </c>
      <c r="C2347" s="1" t="str">
        <f>"DD2024102722284"</f>
        <v>DD2024102722284</v>
      </c>
      <c r="D2347" s="1" t="str">
        <f>"CK2024102711430"</f>
        <v>CK2024102711430</v>
      </c>
      <c r="E2347" s="1" t="str">
        <f>"2430002011515787"</f>
        <v>2430002011515787</v>
      </c>
      <c r="F2347" s="1" t="str">
        <f t="shared" si="709"/>
        <v>花都四部-凤凰仓</v>
      </c>
      <c r="G2347" s="1" t="str">
        <f>"卡卡杜佳旺专卖店（快手店）"</f>
        <v>卡卡杜佳旺专卖店（快手店）</v>
      </c>
      <c r="H2347" s="1" t="str">
        <f t="shared" si="710"/>
        <v>正常订单</v>
      </c>
      <c r="I2347" s="1" t="str">
        <f t="shared" si="711"/>
        <v>已发货</v>
      </c>
      <c r="J2347" s="1" t="str">
        <f t="shared" si="729"/>
        <v>3</v>
      </c>
      <c r="K2347" s="1">
        <v>2</v>
      </c>
      <c r="L2347" s="1" t="s">
        <v>13</v>
      </c>
      <c r="M2347" s="1" t="str">
        <f>"江苏省 苏州市 昆山市 淀山湖镇"</f>
        <v>江苏省 苏州市 昆山市 淀山湖镇</v>
      </c>
      <c r="N2347" s="1" t="str">
        <f>"凡华云仓-城南圆通-快手"</f>
        <v>凡华云仓-城南圆通-快手</v>
      </c>
      <c r="O2347" s="5" t="s">
        <v>2383</v>
      </c>
      <c r="P2347" s="6">
        <v>0.35</v>
      </c>
      <c r="Q2347" s="11">
        <v>2.2999999999999998</v>
      </c>
      <c r="R2347" s="11"/>
      <c r="S2347" s="11"/>
      <c r="T2347" s="11"/>
      <c r="U2347" s="11">
        <f t="shared" si="707"/>
        <v>2.2999999999999998</v>
      </c>
      <c r="W2347">
        <v>2.5</v>
      </c>
      <c r="X2347" s="1" t="s">
        <v>13</v>
      </c>
    </row>
    <row r="2348" spans="1:24" x14ac:dyDescent="0.25">
      <c r="A2348" s="1" t="str">
        <f t="shared" si="708"/>
        <v>卡卡杜-凤凰仓</v>
      </c>
      <c r="B2348" s="1" t="str">
        <f>"CK20241027167"</f>
        <v>CK20241027167</v>
      </c>
      <c r="C2348" s="1" t="str">
        <f>"DD2024102722283"</f>
        <v>DD2024102722283</v>
      </c>
      <c r="D2348" s="1" t="str">
        <f>"CK2024102711429"</f>
        <v>CK2024102711429</v>
      </c>
      <c r="E2348" s="1" t="str">
        <f>"6935492451543881036"</f>
        <v>6935492451543881036</v>
      </c>
      <c r="F2348" s="1" t="str">
        <f t="shared" si="709"/>
        <v>花都四部-凤凰仓</v>
      </c>
      <c r="G2348" s="1" t="str">
        <f t="shared" si="728"/>
        <v>卡卡杜个人护理店（抖店）</v>
      </c>
      <c r="H2348" s="1" t="str">
        <f t="shared" si="710"/>
        <v>正常订单</v>
      </c>
      <c r="I2348" s="1" t="str">
        <f t="shared" si="711"/>
        <v>已发货</v>
      </c>
      <c r="J2348" s="1" t="str">
        <f t="shared" si="729"/>
        <v>3</v>
      </c>
      <c r="K2348" s="1">
        <v>2</v>
      </c>
      <c r="L2348" s="1" t="s">
        <v>161</v>
      </c>
      <c r="M2348" s="1" t="str">
        <f>"四川省 成都市 金牛区 抚琴街道"</f>
        <v>四川省 成都市 金牛区 抚琴街道</v>
      </c>
      <c r="N2348" s="1" t="str">
        <f t="shared" si="730"/>
        <v>凡华云仓-城南圆通-抖音</v>
      </c>
      <c r="O2348" s="5" t="s">
        <v>2384</v>
      </c>
      <c r="P2348" s="6">
        <v>0.35</v>
      </c>
      <c r="Q2348" s="11">
        <v>2.2999999999999998</v>
      </c>
      <c r="R2348" s="11"/>
      <c r="S2348" s="11"/>
      <c r="T2348" s="11"/>
      <c r="U2348" s="11">
        <f t="shared" si="707"/>
        <v>2.2999999999999998</v>
      </c>
      <c r="W2348">
        <v>2.5</v>
      </c>
      <c r="X2348" s="1" t="s">
        <v>161</v>
      </c>
    </row>
    <row r="2349" spans="1:24" x14ac:dyDescent="0.25">
      <c r="A2349" s="1" t="str">
        <f t="shared" si="708"/>
        <v>卡卡杜-凤凰仓</v>
      </c>
      <c r="B2349" s="1" t="str">
        <f>"CK20241027166"</f>
        <v>CK20241027166</v>
      </c>
      <c r="C2349" s="1" t="str">
        <f>"DD2024102722282"</f>
        <v>DD2024102722282</v>
      </c>
      <c r="D2349" s="1" t="str">
        <f>"CK2024102711428"</f>
        <v>CK2024102711428</v>
      </c>
      <c r="E2349" s="1" t="str">
        <f>"6935499536183989986"</f>
        <v>6935499536183989986</v>
      </c>
      <c r="F2349" s="1" t="str">
        <f t="shared" si="709"/>
        <v>花都四部-凤凰仓</v>
      </c>
      <c r="G2349" s="1" t="str">
        <f t="shared" si="728"/>
        <v>卡卡杜个人护理店（抖店）</v>
      </c>
      <c r="H2349" s="1" t="str">
        <f t="shared" si="710"/>
        <v>正常订单</v>
      </c>
      <c r="I2349" s="1" t="str">
        <f t="shared" si="711"/>
        <v>已发货</v>
      </c>
      <c r="J2349" s="1" t="str">
        <f t="shared" si="729"/>
        <v>3</v>
      </c>
      <c r="K2349" s="1">
        <v>2</v>
      </c>
      <c r="L2349" s="1" t="s">
        <v>22</v>
      </c>
      <c r="M2349" s="1" t="str">
        <f>"江西省 南昌市 红谷滩区 九龙湖街道"</f>
        <v>江西省 南昌市 红谷滩区 九龙湖街道</v>
      </c>
      <c r="N2349" s="1" t="str">
        <f t="shared" si="730"/>
        <v>凡华云仓-城南圆通-抖音</v>
      </c>
      <c r="O2349" s="5" t="s">
        <v>2385</v>
      </c>
      <c r="P2349" s="6">
        <v>0.35</v>
      </c>
      <c r="Q2349" s="11">
        <v>2.2999999999999998</v>
      </c>
      <c r="R2349" s="11"/>
      <c r="S2349" s="11"/>
      <c r="T2349" s="11"/>
      <c r="U2349" s="11">
        <f t="shared" si="707"/>
        <v>2.2999999999999998</v>
      </c>
      <c r="W2349">
        <v>2.5</v>
      </c>
      <c r="X2349" s="1" t="s">
        <v>22</v>
      </c>
    </row>
    <row r="2350" spans="1:24" x14ac:dyDescent="0.25">
      <c r="A2350" s="1" t="str">
        <f t="shared" si="708"/>
        <v>卡卡杜-凤凰仓</v>
      </c>
      <c r="B2350" s="1" t="str">
        <f>"CK20241027164"</f>
        <v>CK20241027164</v>
      </c>
      <c r="C2350" s="1" t="str">
        <f>"DD2024102722281"</f>
        <v>DD2024102722281</v>
      </c>
      <c r="D2350" s="1" t="str">
        <f>"CK2024102711427"</f>
        <v>CK2024102711427</v>
      </c>
      <c r="E2350" s="1" t="str">
        <f>"6935499551537436357"</f>
        <v>6935499551537436357</v>
      </c>
      <c r="F2350" s="1" t="str">
        <f t="shared" si="709"/>
        <v>花都四部-凤凰仓</v>
      </c>
      <c r="G2350" s="1" t="str">
        <f t="shared" si="728"/>
        <v>卡卡杜个人护理店（抖店）</v>
      </c>
      <c r="H2350" s="1" t="str">
        <f t="shared" si="710"/>
        <v>正常订单</v>
      </c>
      <c r="I2350" s="1" t="str">
        <f t="shared" si="711"/>
        <v>已发货</v>
      </c>
      <c r="J2350" s="1" t="str">
        <f t="shared" si="729"/>
        <v>3</v>
      </c>
      <c r="K2350" s="1">
        <v>2</v>
      </c>
      <c r="L2350" s="1" t="s">
        <v>41</v>
      </c>
      <c r="M2350" s="1" t="str">
        <f>"湖北省 武汉市 洪山区 关山街道"</f>
        <v>湖北省 武汉市 洪山区 关山街道</v>
      </c>
      <c r="N2350" s="1" t="str">
        <f t="shared" si="730"/>
        <v>凡华云仓-城南圆通-抖音</v>
      </c>
      <c r="O2350" s="5" t="s">
        <v>2386</v>
      </c>
      <c r="P2350" s="6">
        <v>0.35</v>
      </c>
      <c r="Q2350" s="11">
        <v>2.2999999999999998</v>
      </c>
      <c r="R2350" s="11"/>
      <c r="S2350" s="11"/>
      <c r="T2350" s="11"/>
      <c r="U2350" s="11">
        <f t="shared" si="707"/>
        <v>2.2999999999999998</v>
      </c>
      <c r="W2350">
        <v>2.5</v>
      </c>
      <c r="X2350" s="1" t="s">
        <v>41</v>
      </c>
    </row>
    <row r="2351" spans="1:24" x14ac:dyDescent="0.25">
      <c r="A2351" s="1" t="str">
        <f t="shared" si="708"/>
        <v>卡卡杜-凤凰仓</v>
      </c>
      <c r="B2351" s="1" t="str">
        <f>"CK20241027165"</f>
        <v>CK20241027165</v>
      </c>
      <c r="C2351" s="1" t="str">
        <f>"DD2024102722280"</f>
        <v>DD2024102722280</v>
      </c>
      <c r="D2351" s="1" t="str">
        <f>"CK2024102711426"</f>
        <v>CK2024102711426</v>
      </c>
      <c r="E2351" s="1" t="str">
        <f>"6935516911664829470"</f>
        <v>6935516911664829470</v>
      </c>
      <c r="F2351" s="1" t="str">
        <f t="shared" si="709"/>
        <v>花都四部-凤凰仓</v>
      </c>
      <c r="G2351" s="1" t="str">
        <f t="shared" si="728"/>
        <v>卡卡杜个人护理店（抖店）</v>
      </c>
      <c r="H2351" s="1" t="str">
        <f t="shared" si="710"/>
        <v>正常订单</v>
      </c>
      <c r="I2351" s="1" t="str">
        <f t="shared" si="711"/>
        <v>已发货</v>
      </c>
      <c r="J2351" s="1" t="str">
        <f t="shared" si="729"/>
        <v>3</v>
      </c>
      <c r="K2351" s="1">
        <v>2</v>
      </c>
      <c r="L2351" s="1" t="s">
        <v>13</v>
      </c>
      <c r="M2351" s="1" t="str">
        <f>"江苏省 宿迁市 泗洪县 "</f>
        <v xml:space="preserve">江苏省 宿迁市 泗洪县 </v>
      </c>
      <c r="N2351" s="1" t="str">
        <f t="shared" si="730"/>
        <v>凡华云仓-城南圆通-抖音</v>
      </c>
      <c r="O2351" s="5" t="s">
        <v>2387</v>
      </c>
      <c r="P2351" s="6">
        <v>0.35</v>
      </c>
      <c r="Q2351" s="11">
        <v>2.2999999999999998</v>
      </c>
      <c r="R2351" s="11"/>
      <c r="S2351" s="11"/>
      <c r="T2351" s="11"/>
      <c r="U2351" s="11">
        <f t="shared" si="707"/>
        <v>2.2999999999999998</v>
      </c>
      <c r="W2351">
        <v>2.5</v>
      </c>
      <c r="X2351" s="1" t="s">
        <v>13</v>
      </c>
    </row>
    <row r="2352" spans="1:24" x14ac:dyDescent="0.25">
      <c r="A2352" s="1" t="str">
        <f t="shared" si="708"/>
        <v>卡卡杜-凤凰仓</v>
      </c>
      <c r="B2352" s="1" t="str">
        <f>"CK20241027162"</f>
        <v>CK20241027162</v>
      </c>
      <c r="C2352" s="1" t="str">
        <f>"DD2024102722279"</f>
        <v>DD2024102722279</v>
      </c>
      <c r="D2352" s="1" t="str">
        <f>"CK2024102711425"</f>
        <v>CK2024102711425</v>
      </c>
      <c r="E2352" s="1" t="str">
        <f>"2430002170377209"</f>
        <v>2430002170377209</v>
      </c>
      <c r="F2352" s="1" t="str">
        <f t="shared" si="709"/>
        <v>花都四部-凤凰仓</v>
      </c>
      <c r="G2352" s="1" t="str">
        <f t="shared" ref="G2352:G2357" si="731">"卡卡杜佳旺专卖店（快手店）"</f>
        <v>卡卡杜佳旺专卖店（快手店）</v>
      </c>
      <c r="H2352" s="1" t="str">
        <f t="shared" si="710"/>
        <v>正常订单</v>
      </c>
      <c r="I2352" s="1" t="str">
        <f t="shared" si="711"/>
        <v>已发货</v>
      </c>
      <c r="J2352" s="1" t="str">
        <f t="shared" si="729"/>
        <v>3</v>
      </c>
      <c r="K2352" s="1">
        <v>2</v>
      </c>
      <c r="L2352" s="1" t="s">
        <v>18</v>
      </c>
      <c r="M2352" s="1" t="str">
        <f>"广东省 深圳市 龙岗区 坪地街道"</f>
        <v>广东省 深圳市 龙岗区 坪地街道</v>
      </c>
      <c r="N2352" s="1" t="str">
        <f t="shared" ref="N2352:N2357" si="732">"凡华云仓-城南圆通-快手"</f>
        <v>凡华云仓-城南圆通-快手</v>
      </c>
      <c r="O2352" s="5" t="s">
        <v>2388</v>
      </c>
      <c r="P2352" s="6">
        <v>0.35</v>
      </c>
      <c r="Q2352" s="11">
        <v>2.2999999999999998</v>
      </c>
      <c r="R2352" s="11"/>
      <c r="S2352" s="11"/>
      <c r="T2352" s="11"/>
      <c r="U2352" s="11">
        <f t="shared" si="707"/>
        <v>2.2999999999999998</v>
      </c>
      <c r="W2352">
        <v>2.5</v>
      </c>
      <c r="X2352" s="1" t="s">
        <v>18</v>
      </c>
    </row>
    <row r="2353" spans="1:24" x14ac:dyDescent="0.25">
      <c r="A2353" s="1" t="str">
        <f t="shared" si="708"/>
        <v>卡卡杜-凤凰仓</v>
      </c>
      <c r="B2353" s="1" t="str">
        <f>"CK20241027163"</f>
        <v>CK20241027163</v>
      </c>
      <c r="C2353" s="1" t="str">
        <f>"DD2024102722278"</f>
        <v>DD2024102722278</v>
      </c>
      <c r="D2353" s="1" t="str">
        <f>"CK2024102711424"</f>
        <v>CK2024102711424</v>
      </c>
      <c r="E2353" s="1" t="str">
        <f>"6935494603125495359"</f>
        <v>6935494603125495359</v>
      </c>
      <c r="F2353" s="1" t="str">
        <f t="shared" si="709"/>
        <v>花都四部-凤凰仓</v>
      </c>
      <c r="G2353" s="1" t="str">
        <f t="shared" ref="G2353:G2367" si="733">"卡卡杜个人护理店（抖店）"</f>
        <v>卡卡杜个人护理店（抖店）</v>
      </c>
      <c r="H2353" s="1" t="str">
        <f t="shared" si="710"/>
        <v>正常订单</v>
      </c>
      <c r="I2353" s="1" t="str">
        <f t="shared" si="711"/>
        <v>已发货</v>
      </c>
      <c r="J2353" s="1" t="str">
        <f t="shared" si="729"/>
        <v>3</v>
      </c>
      <c r="K2353" s="1">
        <v>2</v>
      </c>
      <c r="L2353" s="1" t="s">
        <v>18</v>
      </c>
      <c r="M2353" s="1" t="str">
        <f>"广东省 揭阳市 惠来县 华湖镇"</f>
        <v>广东省 揭阳市 惠来县 华湖镇</v>
      </c>
      <c r="N2353" s="1" t="str">
        <f t="shared" ref="N2353:N2367" si="734">"凡华云仓-城南圆通-抖音"</f>
        <v>凡华云仓-城南圆通-抖音</v>
      </c>
      <c r="O2353" s="5" t="s">
        <v>2389</v>
      </c>
      <c r="P2353" s="6">
        <v>0.35</v>
      </c>
      <c r="Q2353" s="11">
        <v>2.2999999999999998</v>
      </c>
      <c r="R2353" s="11"/>
      <c r="S2353" s="11"/>
      <c r="T2353" s="11"/>
      <c r="U2353" s="11">
        <f t="shared" si="707"/>
        <v>2.2999999999999998</v>
      </c>
      <c r="W2353">
        <v>2.5</v>
      </c>
      <c r="X2353" s="1" t="s">
        <v>18</v>
      </c>
    </row>
    <row r="2354" spans="1:24" x14ac:dyDescent="0.25">
      <c r="A2354" s="1" t="str">
        <f t="shared" si="708"/>
        <v>卡卡杜-凤凰仓</v>
      </c>
      <c r="B2354" s="1" t="str">
        <f>"CK20241027161"</f>
        <v>CK20241027161</v>
      </c>
      <c r="C2354" s="1" t="str">
        <f>"DD2024102722277"</f>
        <v>DD2024102722277</v>
      </c>
      <c r="D2354" s="1" t="str">
        <f>"CK2024102711423"</f>
        <v>CK2024102711423</v>
      </c>
      <c r="E2354" s="1" t="str">
        <f>"2430001772416925"</f>
        <v>2430001772416925</v>
      </c>
      <c r="F2354" s="1" t="str">
        <f t="shared" si="709"/>
        <v>花都四部-凤凰仓</v>
      </c>
      <c r="G2354" s="1" t="str">
        <f t="shared" si="731"/>
        <v>卡卡杜佳旺专卖店（快手店）</v>
      </c>
      <c r="H2354" s="1" t="str">
        <f t="shared" si="710"/>
        <v>正常订单</v>
      </c>
      <c r="I2354" s="1" t="str">
        <f t="shared" si="711"/>
        <v>已发货</v>
      </c>
      <c r="J2354" s="1" t="str">
        <f t="shared" si="729"/>
        <v>3</v>
      </c>
      <c r="K2354" s="1">
        <v>2</v>
      </c>
      <c r="L2354" s="1" t="s">
        <v>740</v>
      </c>
      <c r="M2354" s="1" t="str">
        <f>"宁夏回族自治区 石嘴山市 惠农区 园艺镇"</f>
        <v>宁夏回族自治区 石嘴山市 惠农区 园艺镇</v>
      </c>
      <c r="N2354" s="1" t="str">
        <f t="shared" si="732"/>
        <v>凡华云仓-城南圆通-快手</v>
      </c>
      <c r="O2354" s="5" t="s">
        <v>2390</v>
      </c>
      <c r="P2354" s="6">
        <v>0.35</v>
      </c>
      <c r="Q2354" s="11">
        <v>2.2999999999999998</v>
      </c>
      <c r="R2354" s="11"/>
      <c r="S2354" s="11"/>
      <c r="T2354" s="11"/>
      <c r="U2354" s="11">
        <f t="shared" si="707"/>
        <v>2.2999999999999998</v>
      </c>
      <c r="W2354">
        <v>2.5</v>
      </c>
      <c r="X2354" s="1" t="s">
        <v>740</v>
      </c>
    </row>
    <row r="2355" spans="1:24" x14ac:dyDescent="0.25">
      <c r="A2355" s="1" t="str">
        <f t="shared" si="708"/>
        <v>卡卡杜-凤凰仓</v>
      </c>
      <c r="B2355" s="1" t="str">
        <f>"CK20241027160"</f>
        <v>CK20241027160</v>
      </c>
      <c r="C2355" s="1" t="str">
        <f>"DD2024102722276"</f>
        <v>DD2024102722276</v>
      </c>
      <c r="D2355" s="1" t="str">
        <f>"CK2024102711422"</f>
        <v>CK2024102711422</v>
      </c>
      <c r="E2355" s="1" t="str">
        <f>"6935512787733452582"</f>
        <v>6935512787733452582</v>
      </c>
      <c r="F2355" s="1" t="str">
        <f t="shared" si="709"/>
        <v>花都四部-凤凰仓</v>
      </c>
      <c r="G2355" s="1" t="str">
        <f t="shared" si="733"/>
        <v>卡卡杜个人护理店（抖店）</v>
      </c>
      <c r="H2355" s="1" t="str">
        <f t="shared" si="710"/>
        <v>正常订单</v>
      </c>
      <c r="I2355" s="1" t="str">
        <f t="shared" si="711"/>
        <v>已发货</v>
      </c>
      <c r="J2355" s="1" t="str">
        <f t="shared" si="729"/>
        <v>3</v>
      </c>
      <c r="K2355" s="1">
        <v>2</v>
      </c>
      <c r="L2355" s="1" t="s">
        <v>80</v>
      </c>
      <c r="M2355" s="1" t="str">
        <f>"河南省 许昌市 禹州市 张得镇"</f>
        <v>河南省 许昌市 禹州市 张得镇</v>
      </c>
      <c r="N2355" s="1" t="str">
        <f t="shared" si="734"/>
        <v>凡华云仓-城南圆通-抖音</v>
      </c>
      <c r="O2355" s="5" t="s">
        <v>2391</v>
      </c>
      <c r="P2355" s="6">
        <v>0.35</v>
      </c>
      <c r="Q2355" s="11">
        <v>2.2999999999999998</v>
      </c>
      <c r="R2355" s="11"/>
      <c r="S2355" s="11"/>
      <c r="T2355" s="11"/>
      <c r="U2355" s="11">
        <f t="shared" si="707"/>
        <v>2.2999999999999998</v>
      </c>
      <c r="W2355">
        <v>2.5</v>
      </c>
      <c r="X2355" s="1" t="s">
        <v>80</v>
      </c>
    </row>
    <row r="2356" spans="1:24" x14ac:dyDescent="0.25">
      <c r="A2356" s="1" t="str">
        <f t="shared" si="708"/>
        <v>卡卡杜-凤凰仓</v>
      </c>
      <c r="B2356" s="1" t="str">
        <f>"CK20241027159"</f>
        <v>CK20241027159</v>
      </c>
      <c r="C2356" s="1" t="str">
        <f>"DD2024102722275"</f>
        <v>DD2024102722275</v>
      </c>
      <c r="D2356" s="1" t="str">
        <f>"CK2024102711421"</f>
        <v>CK2024102711421</v>
      </c>
      <c r="E2356" s="1" t="str">
        <f>"3723581732246128129"</f>
        <v>3723581732246128129</v>
      </c>
      <c r="F2356" s="1" t="str">
        <f t="shared" si="709"/>
        <v>花都四部-凤凰仓</v>
      </c>
      <c r="G2356" s="1" t="str">
        <f>"卡卡杜企业店（视频号）"</f>
        <v>卡卡杜企业店（视频号）</v>
      </c>
      <c r="H2356" s="1" t="str">
        <f t="shared" si="710"/>
        <v>正常订单</v>
      </c>
      <c r="I2356" s="1" t="str">
        <f t="shared" si="711"/>
        <v>已发货</v>
      </c>
      <c r="J2356" s="1" t="str">
        <f t="shared" si="729"/>
        <v>3</v>
      </c>
      <c r="K2356" s="1">
        <v>3</v>
      </c>
      <c r="L2356" s="1" t="s">
        <v>161</v>
      </c>
      <c r="M2356" s="1" t="str">
        <f>"四川省 雅安市 雨城区 "</f>
        <v xml:space="preserve">四川省 雅安市 雨城区 </v>
      </c>
      <c r="N2356" s="1" t="str">
        <f>"凡华云仓-城南圆通-微信视频号"</f>
        <v>凡华云仓-城南圆通-微信视频号</v>
      </c>
      <c r="O2356" s="5" t="s">
        <v>2392</v>
      </c>
      <c r="P2356" s="6">
        <v>0.34</v>
      </c>
      <c r="Q2356" s="11">
        <v>2.2999999999999998</v>
      </c>
      <c r="R2356" s="11"/>
      <c r="S2356" s="11"/>
      <c r="T2356" s="11"/>
      <c r="U2356" s="11">
        <f t="shared" si="707"/>
        <v>2.2999999999999998</v>
      </c>
      <c r="W2356">
        <v>2.5</v>
      </c>
      <c r="X2356" s="1" t="s">
        <v>161</v>
      </c>
    </row>
    <row r="2357" spans="1:24" x14ac:dyDescent="0.25">
      <c r="A2357" s="1" t="str">
        <f t="shared" si="708"/>
        <v>卡卡杜-凤凰仓</v>
      </c>
      <c r="B2357" s="1" t="str">
        <f>"CK20241027158"</f>
        <v>CK20241027158</v>
      </c>
      <c r="C2357" s="1" t="str">
        <f>"DD2024102722274"</f>
        <v>DD2024102722274</v>
      </c>
      <c r="D2357" s="1" t="str">
        <f>"CK2024102711420"</f>
        <v>CK2024102711420</v>
      </c>
      <c r="E2357" s="1" t="str">
        <f>"2430001773475213"</f>
        <v>2430001773475213</v>
      </c>
      <c r="F2357" s="1" t="str">
        <f t="shared" si="709"/>
        <v>花都四部-凤凰仓</v>
      </c>
      <c r="G2357" s="1" t="str">
        <f t="shared" si="731"/>
        <v>卡卡杜佳旺专卖店（快手店）</v>
      </c>
      <c r="H2357" s="1" t="str">
        <f t="shared" si="710"/>
        <v>正常订单</v>
      </c>
      <c r="I2357" s="1" t="str">
        <f t="shared" si="711"/>
        <v>已发货</v>
      </c>
      <c r="J2357" s="1" t="str">
        <f t="shared" si="729"/>
        <v>3</v>
      </c>
      <c r="K2357" s="1">
        <v>2</v>
      </c>
      <c r="L2357" s="1" t="s">
        <v>30</v>
      </c>
      <c r="M2357" s="1" t="str">
        <f>"山东省 青岛市 城阳区 夏庄街道"</f>
        <v>山东省 青岛市 城阳区 夏庄街道</v>
      </c>
      <c r="N2357" s="1" t="str">
        <f t="shared" si="732"/>
        <v>凡华云仓-城南圆通-快手</v>
      </c>
      <c r="O2357" s="5" t="s">
        <v>2393</v>
      </c>
      <c r="P2357" s="6">
        <v>0.35</v>
      </c>
      <c r="Q2357" s="11">
        <v>2.2999999999999998</v>
      </c>
      <c r="R2357" s="11"/>
      <c r="S2357" s="11"/>
      <c r="T2357" s="11"/>
      <c r="U2357" s="11">
        <f t="shared" si="707"/>
        <v>2.2999999999999998</v>
      </c>
      <c r="W2357">
        <v>2.5</v>
      </c>
      <c r="X2357" s="1" t="s">
        <v>30</v>
      </c>
    </row>
    <row r="2358" spans="1:24" x14ac:dyDescent="0.25">
      <c r="A2358" s="1" t="str">
        <f t="shared" si="708"/>
        <v>卡卡杜-凤凰仓</v>
      </c>
      <c r="B2358" s="1" t="str">
        <f>"CK20241027157"</f>
        <v>CK20241027157</v>
      </c>
      <c r="C2358" s="1" t="str">
        <f>"DD2024102722273"</f>
        <v>DD2024102722273</v>
      </c>
      <c r="D2358" s="1" t="str">
        <f>"CK2024102711419"</f>
        <v>CK2024102711419</v>
      </c>
      <c r="E2358" s="1" t="str">
        <f>"6935519520836228578"</f>
        <v>6935519520836228578</v>
      </c>
      <c r="F2358" s="1" t="str">
        <f t="shared" si="709"/>
        <v>花都四部-凤凰仓</v>
      </c>
      <c r="G2358" s="1" t="str">
        <f t="shared" si="733"/>
        <v>卡卡杜个人护理店（抖店）</v>
      </c>
      <c r="H2358" s="1" t="str">
        <f t="shared" si="710"/>
        <v>正常订单</v>
      </c>
      <c r="I2358" s="1" t="str">
        <f t="shared" si="711"/>
        <v>已发货</v>
      </c>
      <c r="J2358" s="1" t="str">
        <f t="shared" si="729"/>
        <v>3</v>
      </c>
      <c r="K2358" s="1">
        <v>2</v>
      </c>
      <c r="L2358" s="1" t="s">
        <v>80</v>
      </c>
      <c r="M2358" s="1" t="str">
        <f>"河南省 焦作市 解放区 王褚街道"</f>
        <v>河南省 焦作市 解放区 王褚街道</v>
      </c>
      <c r="N2358" s="1" t="str">
        <f t="shared" si="734"/>
        <v>凡华云仓-城南圆通-抖音</v>
      </c>
      <c r="O2358" s="5" t="s">
        <v>2394</v>
      </c>
      <c r="P2358" s="6">
        <v>0.35</v>
      </c>
      <c r="Q2358" s="11">
        <v>2.2999999999999998</v>
      </c>
      <c r="R2358" s="11"/>
      <c r="S2358" s="11"/>
      <c r="T2358" s="11"/>
      <c r="U2358" s="11">
        <f t="shared" si="707"/>
        <v>2.2999999999999998</v>
      </c>
      <c r="W2358">
        <v>2.5</v>
      </c>
      <c r="X2358" s="1" t="s">
        <v>80</v>
      </c>
    </row>
    <row r="2359" spans="1:24" x14ac:dyDescent="0.25">
      <c r="A2359" s="1" t="str">
        <f t="shared" si="708"/>
        <v>卡卡杜-凤凰仓</v>
      </c>
      <c r="B2359" s="1" t="str">
        <f>"CK20241027156"</f>
        <v>CK20241027156</v>
      </c>
      <c r="C2359" s="1" t="str">
        <f>"DD2024102722272"</f>
        <v>DD2024102722272</v>
      </c>
      <c r="D2359" s="1" t="str">
        <f>"CK2024102711418"</f>
        <v>CK2024102711418</v>
      </c>
      <c r="E2359" s="1" t="str">
        <f>"6935514758059398995"</f>
        <v>6935514758059398995</v>
      </c>
      <c r="F2359" s="1" t="str">
        <f t="shared" si="709"/>
        <v>花都四部-凤凰仓</v>
      </c>
      <c r="G2359" s="1" t="str">
        <f t="shared" si="733"/>
        <v>卡卡杜个人护理店（抖店）</v>
      </c>
      <c r="H2359" s="1" t="str">
        <f t="shared" si="710"/>
        <v>正常订单</v>
      </c>
      <c r="I2359" s="1" t="str">
        <f t="shared" si="711"/>
        <v>已发货</v>
      </c>
      <c r="J2359" s="1" t="str">
        <f t="shared" si="729"/>
        <v>3</v>
      </c>
      <c r="K2359" s="1">
        <v>2</v>
      </c>
      <c r="L2359" s="1" t="s">
        <v>80</v>
      </c>
      <c r="M2359" s="1" t="str">
        <f>"河南省 开封市 通许县 咸平街道"</f>
        <v>河南省 开封市 通许县 咸平街道</v>
      </c>
      <c r="N2359" s="1" t="str">
        <f t="shared" si="734"/>
        <v>凡华云仓-城南圆通-抖音</v>
      </c>
      <c r="O2359" s="5" t="s">
        <v>2395</v>
      </c>
      <c r="P2359" s="6">
        <v>0.35</v>
      </c>
      <c r="Q2359" s="11">
        <v>2.2999999999999998</v>
      </c>
      <c r="R2359" s="11"/>
      <c r="S2359" s="11"/>
      <c r="T2359" s="11"/>
      <c r="U2359" s="11">
        <f t="shared" si="707"/>
        <v>2.2999999999999998</v>
      </c>
      <c r="W2359">
        <v>2.5</v>
      </c>
      <c r="X2359" s="1" t="s">
        <v>80</v>
      </c>
    </row>
    <row r="2360" spans="1:24" x14ac:dyDescent="0.25">
      <c r="A2360" s="1" t="str">
        <f t="shared" si="708"/>
        <v>卡卡杜-凤凰仓</v>
      </c>
      <c r="B2360" s="1" t="str">
        <f>"CK20241027155"</f>
        <v>CK20241027155</v>
      </c>
      <c r="C2360" s="1" t="str">
        <f>"DD2024102722271"</f>
        <v>DD2024102722271</v>
      </c>
      <c r="D2360" s="1" t="str">
        <f>"CK2024102711417"</f>
        <v>CK2024102711417</v>
      </c>
      <c r="E2360" s="1" t="str">
        <f>"6935505850824463471"</f>
        <v>6935505850824463471</v>
      </c>
      <c r="F2360" s="1" t="str">
        <f t="shared" si="709"/>
        <v>花都四部-凤凰仓</v>
      </c>
      <c r="G2360" s="1" t="str">
        <f t="shared" si="733"/>
        <v>卡卡杜个人护理店（抖店）</v>
      </c>
      <c r="H2360" s="1" t="str">
        <f t="shared" si="710"/>
        <v>正常订单</v>
      </c>
      <c r="I2360" s="1" t="str">
        <f t="shared" si="711"/>
        <v>已发货</v>
      </c>
      <c r="J2360" s="1" t="str">
        <f t="shared" si="729"/>
        <v>3</v>
      </c>
      <c r="K2360" s="1">
        <v>2</v>
      </c>
      <c r="L2360" s="1" t="s">
        <v>18</v>
      </c>
      <c r="M2360" s="1" t="str">
        <f>"广东省 东莞市 东莞市 凤岗镇"</f>
        <v>广东省 东莞市 东莞市 凤岗镇</v>
      </c>
      <c r="N2360" s="1" t="str">
        <f t="shared" si="734"/>
        <v>凡华云仓-城南圆通-抖音</v>
      </c>
      <c r="O2360" s="5" t="s">
        <v>2396</v>
      </c>
      <c r="P2360" s="6">
        <v>0.35</v>
      </c>
      <c r="Q2360" s="11">
        <v>2.2999999999999998</v>
      </c>
      <c r="R2360" s="11"/>
      <c r="S2360" s="11"/>
      <c r="T2360" s="11"/>
      <c r="U2360" s="11">
        <f t="shared" si="707"/>
        <v>2.2999999999999998</v>
      </c>
      <c r="W2360">
        <v>2.5</v>
      </c>
      <c r="X2360" s="1" t="s">
        <v>18</v>
      </c>
    </row>
    <row r="2361" spans="1:24" x14ac:dyDescent="0.25">
      <c r="A2361" s="1" t="str">
        <f t="shared" si="708"/>
        <v>卡卡杜-凤凰仓</v>
      </c>
      <c r="B2361" s="1" t="str">
        <f>"CK20241027154"</f>
        <v>CK20241027154</v>
      </c>
      <c r="C2361" s="1" t="str">
        <f>"DD2024102722270"</f>
        <v>DD2024102722270</v>
      </c>
      <c r="D2361" s="1" t="str">
        <f>"CK2024102711416"</f>
        <v>CK2024102711416</v>
      </c>
      <c r="E2361" s="1" t="str">
        <f>"6935497290618705728"</f>
        <v>6935497290618705728</v>
      </c>
      <c r="F2361" s="1" t="str">
        <f t="shared" si="709"/>
        <v>花都四部-凤凰仓</v>
      </c>
      <c r="G2361" s="1" t="str">
        <f t="shared" si="733"/>
        <v>卡卡杜个人护理店（抖店）</v>
      </c>
      <c r="H2361" s="1" t="str">
        <f t="shared" si="710"/>
        <v>正常订单</v>
      </c>
      <c r="I2361" s="1" t="str">
        <f t="shared" si="711"/>
        <v>已发货</v>
      </c>
      <c r="J2361" s="1" t="str">
        <f t="shared" si="729"/>
        <v>3</v>
      </c>
      <c r="K2361" s="1">
        <v>2</v>
      </c>
      <c r="L2361" s="1" t="s">
        <v>18</v>
      </c>
      <c r="M2361" s="1" t="str">
        <f>"广东省 阳江市 江城区 城北街道"</f>
        <v>广东省 阳江市 江城区 城北街道</v>
      </c>
      <c r="N2361" s="1" t="str">
        <f t="shared" si="734"/>
        <v>凡华云仓-城南圆通-抖音</v>
      </c>
      <c r="O2361" s="5" t="s">
        <v>2397</v>
      </c>
      <c r="P2361" s="6">
        <v>0.35</v>
      </c>
      <c r="Q2361" s="11">
        <v>2.2999999999999998</v>
      </c>
      <c r="R2361" s="11"/>
      <c r="S2361" s="11"/>
      <c r="T2361" s="11"/>
      <c r="U2361" s="11">
        <f t="shared" si="707"/>
        <v>2.2999999999999998</v>
      </c>
      <c r="W2361">
        <v>2.5</v>
      </c>
      <c r="X2361" s="1" t="s">
        <v>18</v>
      </c>
    </row>
    <row r="2362" spans="1:24" x14ac:dyDescent="0.25">
      <c r="A2362" s="1" t="str">
        <f t="shared" si="708"/>
        <v>卡卡杜-凤凰仓</v>
      </c>
      <c r="B2362" s="1" t="str">
        <f>"CK20241027152"</f>
        <v>CK20241027152</v>
      </c>
      <c r="C2362" s="1" t="str">
        <f>"DD2024102722269"</f>
        <v>DD2024102722269</v>
      </c>
      <c r="D2362" s="1" t="str">
        <f>"CK2024102711415"</f>
        <v>CK2024102711415</v>
      </c>
      <c r="E2362" s="1" t="str">
        <f>"6935521586620470417"</f>
        <v>6935521586620470417</v>
      </c>
      <c r="F2362" s="1" t="str">
        <f t="shared" si="709"/>
        <v>花都四部-凤凰仓</v>
      </c>
      <c r="G2362" s="1" t="str">
        <f t="shared" si="733"/>
        <v>卡卡杜个人护理店（抖店）</v>
      </c>
      <c r="H2362" s="1" t="str">
        <f t="shared" si="710"/>
        <v>正常订单</v>
      </c>
      <c r="I2362" s="1" t="str">
        <f t="shared" si="711"/>
        <v>已发货</v>
      </c>
      <c r="J2362" s="1" t="str">
        <f t="shared" si="729"/>
        <v>3</v>
      </c>
      <c r="K2362" s="1">
        <v>2</v>
      </c>
      <c r="L2362" s="1" t="s">
        <v>96</v>
      </c>
      <c r="M2362" s="1" t="str">
        <f>"广西壮族自治区 桂林市 灌阳县 灌阳镇"</f>
        <v>广西壮族自治区 桂林市 灌阳县 灌阳镇</v>
      </c>
      <c r="N2362" s="1" t="str">
        <f t="shared" si="734"/>
        <v>凡华云仓-城南圆通-抖音</v>
      </c>
      <c r="O2362" s="5" t="s">
        <v>2398</v>
      </c>
      <c r="P2362" s="6">
        <v>0.35</v>
      </c>
      <c r="Q2362" s="11">
        <v>2.2999999999999998</v>
      </c>
      <c r="R2362" s="11"/>
      <c r="S2362" s="11"/>
      <c r="T2362" s="11"/>
      <c r="U2362" s="11">
        <f t="shared" si="707"/>
        <v>2.2999999999999998</v>
      </c>
      <c r="W2362">
        <v>2.5</v>
      </c>
      <c r="X2362" s="1" t="s">
        <v>96</v>
      </c>
    </row>
    <row r="2363" spans="1:24" x14ac:dyDescent="0.25">
      <c r="A2363" s="1" t="str">
        <f t="shared" si="708"/>
        <v>卡卡杜-凤凰仓</v>
      </c>
      <c r="B2363" s="1" t="str">
        <f>"CK20241027153"</f>
        <v>CK20241027153</v>
      </c>
      <c r="C2363" s="1" t="str">
        <f>"DD2024102722268"</f>
        <v>DD2024102722268</v>
      </c>
      <c r="D2363" s="1" t="str">
        <f>"CK2024102711414"</f>
        <v>CK2024102711414</v>
      </c>
      <c r="E2363" s="1" t="str">
        <f>"6935519253044991631"</f>
        <v>6935519253044991631</v>
      </c>
      <c r="F2363" s="1" t="str">
        <f t="shared" si="709"/>
        <v>花都四部-凤凰仓</v>
      </c>
      <c r="G2363" s="1" t="str">
        <f t="shared" si="733"/>
        <v>卡卡杜个人护理店（抖店）</v>
      </c>
      <c r="H2363" s="1" t="str">
        <f t="shared" si="710"/>
        <v>正常订单</v>
      </c>
      <c r="I2363" s="1" t="str">
        <f t="shared" si="711"/>
        <v>已发货</v>
      </c>
      <c r="J2363" s="1" t="str">
        <f t="shared" si="729"/>
        <v>3</v>
      </c>
      <c r="K2363" s="1">
        <v>2</v>
      </c>
      <c r="L2363" s="1" t="s">
        <v>32</v>
      </c>
      <c r="M2363" s="1" t="str">
        <f>"陕西省 西安市 未央区 谭家街道"</f>
        <v>陕西省 西安市 未央区 谭家街道</v>
      </c>
      <c r="N2363" s="1" t="str">
        <f t="shared" si="734"/>
        <v>凡华云仓-城南圆通-抖音</v>
      </c>
      <c r="O2363" s="5" t="s">
        <v>2399</v>
      </c>
      <c r="P2363" s="6">
        <v>0.35</v>
      </c>
      <c r="Q2363" s="11">
        <v>2.2999999999999998</v>
      </c>
      <c r="R2363" s="11"/>
      <c r="S2363" s="11"/>
      <c r="T2363" s="11"/>
      <c r="U2363" s="11">
        <f t="shared" si="707"/>
        <v>2.2999999999999998</v>
      </c>
      <c r="W2363">
        <v>2.5</v>
      </c>
      <c r="X2363" s="1" t="s">
        <v>32</v>
      </c>
    </row>
    <row r="2364" spans="1:24" x14ac:dyDescent="0.25">
      <c r="A2364" s="1" t="str">
        <f t="shared" si="708"/>
        <v>卡卡杜-凤凰仓</v>
      </c>
      <c r="B2364" s="1" t="str">
        <f>"CK20241027151"</f>
        <v>CK20241027151</v>
      </c>
      <c r="C2364" s="1" t="str">
        <f>"DD2024102722267"</f>
        <v>DD2024102722267</v>
      </c>
      <c r="D2364" s="1" t="str">
        <f>"CK2024102711413"</f>
        <v>CK2024102711413</v>
      </c>
      <c r="E2364" s="1" t="str">
        <f>"6935506036826380173"</f>
        <v>6935506036826380173</v>
      </c>
      <c r="F2364" s="1" t="str">
        <f t="shared" si="709"/>
        <v>花都四部-凤凰仓</v>
      </c>
      <c r="G2364" s="1" t="str">
        <f t="shared" si="733"/>
        <v>卡卡杜个人护理店（抖店）</v>
      </c>
      <c r="H2364" s="1" t="str">
        <f t="shared" si="710"/>
        <v>正常订单</v>
      </c>
      <c r="I2364" s="1" t="str">
        <f t="shared" si="711"/>
        <v>已发货</v>
      </c>
      <c r="J2364" s="1" t="str">
        <f t="shared" si="729"/>
        <v>3</v>
      </c>
      <c r="K2364" s="1">
        <v>2</v>
      </c>
      <c r="L2364" s="1" t="s">
        <v>18</v>
      </c>
      <c r="M2364" s="1" t="str">
        <f>"广东省 汕头市 澄海区 东里镇"</f>
        <v>广东省 汕头市 澄海区 东里镇</v>
      </c>
      <c r="N2364" s="1" t="str">
        <f t="shared" si="734"/>
        <v>凡华云仓-城南圆通-抖音</v>
      </c>
      <c r="O2364" s="5" t="s">
        <v>2400</v>
      </c>
      <c r="P2364" s="6">
        <v>0.35</v>
      </c>
      <c r="Q2364" s="11">
        <v>2.2999999999999998</v>
      </c>
      <c r="R2364" s="11"/>
      <c r="S2364" s="11"/>
      <c r="T2364" s="11"/>
      <c r="U2364" s="11">
        <f t="shared" si="707"/>
        <v>2.2999999999999998</v>
      </c>
      <c r="W2364">
        <v>2.5</v>
      </c>
      <c r="X2364" s="1" t="s">
        <v>18</v>
      </c>
    </row>
    <row r="2365" spans="1:24" x14ac:dyDescent="0.25">
      <c r="A2365" s="1" t="str">
        <f t="shared" si="708"/>
        <v>卡卡杜-凤凰仓</v>
      </c>
      <c r="B2365" s="1" t="str">
        <f>"CK20241027150"</f>
        <v>CK20241027150</v>
      </c>
      <c r="C2365" s="1" t="str">
        <f>"DD2024102722266"</f>
        <v>DD2024102722266</v>
      </c>
      <c r="D2365" s="1" t="str">
        <f>"CK2024102711412"</f>
        <v>CK2024102711412</v>
      </c>
      <c r="E2365" s="1" t="str">
        <f>"6935501519925154999"</f>
        <v>6935501519925154999</v>
      </c>
      <c r="F2365" s="1" t="str">
        <f t="shared" si="709"/>
        <v>花都四部-凤凰仓</v>
      </c>
      <c r="G2365" s="1" t="str">
        <f t="shared" si="733"/>
        <v>卡卡杜个人护理店（抖店）</v>
      </c>
      <c r="H2365" s="1" t="str">
        <f t="shared" si="710"/>
        <v>正常订单</v>
      </c>
      <c r="I2365" s="1" t="str">
        <f t="shared" si="711"/>
        <v>已发货</v>
      </c>
      <c r="J2365" s="1" t="str">
        <f t="shared" si="729"/>
        <v>3</v>
      </c>
      <c r="K2365" s="1">
        <v>2</v>
      </c>
      <c r="L2365" s="1" t="s">
        <v>41</v>
      </c>
      <c r="M2365" s="1" t="str">
        <f>"湖北省 武汉市 汉阳区 "</f>
        <v xml:space="preserve">湖北省 武汉市 汉阳区 </v>
      </c>
      <c r="N2365" s="1" t="str">
        <f t="shared" si="734"/>
        <v>凡华云仓-城南圆通-抖音</v>
      </c>
      <c r="O2365" s="5" t="s">
        <v>2401</v>
      </c>
      <c r="P2365" s="6">
        <v>0.35</v>
      </c>
      <c r="Q2365" s="11">
        <v>2.2999999999999998</v>
      </c>
      <c r="R2365" s="11"/>
      <c r="S2365" s="11"/>
      <c r="T2365" s="11"/>
      <c r="U2365" s="11">
        <f t="shared" si="707"/>
        <v>2.2999999999999998</v>
      </c>
      <c r="W2365">
        <v>2.5</v>
      </c>
      <c r="X2365" s="1" t="s">
        <v>41</v>
      </c>
    </row>
    <row r="2366" spans="1:24" x14ac:dyDescent="0.25">
      <c r="A2366" s="1" t="str">
        <f t="shared" si="708"/>
        <v>卡卡杜-凤凰仓</v>
      </c>
      <c r="B2366" s="1" t="str">
        <f>"CK20241027149"</f>
        <v>CK20241027149</v>
      </c>
      <c r="C2366" s="1" t="str">
        <f>"DD2024102722265"</f>
        <v>DD2024102722265</v>
      </c>
      <c r="D2366" s="1" t="str">
        <f>"CK2024102711411"</f>
        <v>CK2024102711411</v>
      </c>
      <c r="E2366" s="1" t="str">
        <f>"6935519436499326717"</f>
        <v>6935519436499326717</v>
      </c>
      <c r="F2366" s="1" t="str">
        <f t="shared" si="709"/>
        <v>花都四部-凤凰仓</v>
      </c>
      <c r="G2366" s="1" t="str">
        <f t="shared" si="733"/>
        <v>卡卡杜个人护理店（抖店）</v>
      </c>
      <c r="H2366" s="1" t="str">
        <f t="shared" si="710"/>
        <v>正常订单</v>
      </c>
      <c r="I2366" s="1" t="str">
        <f t="shared" si="711"/>
        <v>已发货</v>
      </c>
      <c r="J2366" s="1" t="str">
        <f t="shared" si="729"/>
        <v>3</v>
      </c>
      <c r="K2366" s="1">
        <v>2</v>
      </c>
      <c r="L2366" s="1" t="s">
        <v>60</v>
      </c>
      <c r="M2366" s="1" t="str">
        <f>"云南省 红河哈尼族彝族自治州 个旧市 大屯街道"</f>
        <v>云南省 红河哈尼族彝族自治州 个旧市 大屯街道</v>
      </c>
      <c r="N2366" s="1" t="str">
        <f t="shared" si="734"/>
        <v>凡华云仓-城南圆通-抖音</v>
      </c>
      <c r="O2366" s="5" t="s">
        <v>2402</v>
      </c>
      <c r="P2366" s="6">
        <v>0.35</v>
      </c>
      <c r="Q2366" s="11">
        <v>2.2999999999999998</v>
      </c>
      <c r="R2366" s="11"/>
      <c r="S2366" s="11"/>
      <c r="T2366" s="11"/>
      <c r="U2366" s="11">
        <f t="shared" si="707"/>
        <v>2.2999999999999998</v>
      </c>
      <c r="W2366">
        <v>2.5</v>
      </c>
      <c r="X2366" s="1" t="s">
        <v>60</v>
      </c>
    </row>
    <row r="2367" spans="1:24" x14ac:dyDescent="0.25">
      <c r="A2367" s="1" t="str">
        <f t="shared" si="708"/>
        <v>卡卡杜-凤凰仓</v>
      </c>
      <c r="B2367" s="1" t="str">
        <f>"CK20241027148"</f>
        <v>CK20241027148</v>
      </c>
      <c r="C2367" s="1" t="str">
        <f>"DD2024102722264"</f>
        <v>DD2024102722264</v>
      </c>
      <c r="D2367" s="1" t="str">
        <f>"CK2024102711410"</f>
        <v>CK2024102711410</v>
      </c>
      <c r="E2367" s="1" t="str">
        <f>"6935499610557716155"</f>
        <v>6935499610557716155</v>
      </c>
      <c r="F2367" s="1" t="str">
        <f t="shared" si="709"/>
        <v>花都四部-凤凰仓</v>
      </c>
      <c r="G2367" s="1" t="str">
        <f t="shared" si="733"/>
        <v>卡卡杜个人护理店（抖店）</v>
      </c>
      <c r="H2367" s="1" t="str">
        <f t="shared" si="710"/>
        <v>正常订单</v>
      </c>
      <c r="I2367" s="1" t="str">
        <f t="shared" si="711"/>
        <v>已发货</v>
      </c>
      <c r="J2367" s="1" t="str">
        <f t="shared" si="729"/>
        <v>3</v>
      </c>
      <c r="K2367" s="1">
        <v>2</v>
      </c>
      <c r="L2367" s="1" t="s">
        <v>161</v>
      </c>
      <c r="M2367" s="1" t="str">
        <f>"四川省 成都市 青羊区 苏坡街道"</f>
        <v>四川省 成都市 青羊区 苏坡街道</v>
      </c>
      <c r="N2367" s="1" t="str">
        <f t="shared" si="734"/>
        <v>凡华云仓-城南圆通-抖音</v>
      </c>
      <c r="O2367" s="5" t="s">
        <v>2403</v>
      </c>
      <c r="P2367" s="6">
        <v>0.35</v>
      </c>
      <c r="Q2367" s="11">
        <v>2.2999999999999998</v>
      </c>
      <c r="R2367" s="11"/>
      <c r="S2367" s="11"/>
      <c r="T2367" s="11"/>
      <c r="U2367" s="11">
        <f t="shared" si="707"/>
        <v>2.2999999999999998</v>
      </c>
      <c r="W2367">
        <v>2.5</v>
      </c>
      <c r="X2367" s="1" t="s">
        <v>161</v>
      </c>
    </row>
    <row r="2368" spans="1:24" x14ac:dyDescent="0.25">
      <c r="A2368" s="1" t="str">
        <f t="shared" si="708"/>
        <v>卡卡杜-凤凰仓</v>
      </c>
      <c r="B2368" s="1" t="str">
        <f>"CK20241027147"</f>
        <v>CK20241027147</v>
      </c>
      <c r="C2368" s="1" t="str">
        <f>"DD2024102722263"</f>
        <v>DD2024102722263</v>
      </c>
      <c r="D2368" s="1" t="str">
        <f>"CK2024102711409"</f>
        <v>CK2024102711409</v>
      </c>
      <c r="E2368" s="1" t="str">
        <f>"2430002494162978"</f>
        <v>2430002494162978</v>
      </c>
      <c r="F2368" s="1" t="str">
        <f t="shared" si="709"/>
        <v>花都四部-凤凰仓</v>
      </c>
      <c r="G2368" s="1" t="str">
        <f t="shared" ref="G2368:G2372" si="735">"卡卡杜佳旺专卖店（快手店）"</f>
        <v>卡卡杜佳旺专卖店（快手店）</v>
      </c>
      <c r="H2368" s="1" t="str">
        <f t="shared" si="710"/>
        <v>正常订单</v>
      </c>
      <c r="I2368" s="1" t="str">
        <f t="shared" si="711"/>
        <v>已发货</v>
      </c>
      <c r="J2368" s="1" t="str">
        <f t="shared" si="729"/>
        <v>3</v>
      </c>
      <c r="K2368" s="1">
        <v>2</v>
      </c>
      <c r="L2368" s="1" t="s">
        <v>13</v>
      </c>
      <c r="M2368" s="1" t="str">
        <f>"江苏省 连云港市 赣榆区 柘汪镇"</f>
        <v>江苏省 连云港市 赣榆区 柘汪镇</v>
      </c>
      <c r="N2368" s="1" t="str">
        <f t="shared" ref="N2368:N2372" si="736">"凡华云仓-城南圆通-快手"</f>
        <v>凡华云仓-城南圆通-快手</v>
      </c>
      <c r="O2368" s="5" t="s">
        <v>2404</v>
      </c>
      <c r="P2368" s="6">
        <v>0.35</v>
      </c>
      <c r="Q2368" s="11">
        <v>2.2999999999999998</v>
      </c>
      <c r="R2368" s="11"/>
      <c r="S2368" s="11"/>
      <c r="T2368" s="11"/>
      <c r="U2368" s="11">
        <f t="shared" si="707"/>
        <v>2.2999999999999998</v>
      </c>
      <c r="W2368">
        <v>2.5</v>
      </c>
      <c r="X2368" s="1" t="s">
        <v>13</v>
      </c>
    </row>
    <row r="2369" spans="1:24" x14ac:dyDescent="0.25">
      <c r="A2369" s="1" t="str">
        <f t="shared" si="708"/>
        <v>卡卡杜-凤凰仓</v>
      </c>
      <c r="B2369" s="1" t="str">
        <f>"CK20241027146"</f>
        <v>CK20241027146</v>
      </c>
      <c r="C2369" s="1" t="str">
        <f>"DD2024102722262"</f>
        <v>DD2024102722262</v>
      </c>
      <c r="D2369" s="1" t="str">
        <f>"CK2024102711408"</f>
        <v>CK2024102711408</v>
      </c>
      <c r="E2369" s="1" t="str">
        <f>"2430002167633997"</f>
        <v>2430002167633997</v>
      </c>
      <c r="F2369" s="1" t="str">
        <f t="shared" si="709"/>
        <v>花都四部-凤凰仓</v>
      </c>
      <c r="G2369" s="1" t="str">
        <f t="shared" si="735"/>
        <v>卡卡杜佳旺专卖店（快手店）</v>
      </c>
      <c r="H2369" s="1" t="str">
        <f t="shared" si="710"/>
        <v>正常订单</v>
      </c>
      <c r="I2369" s="1" t="str">
        <f t="shared" si="711"/>
        <v>已发货</v>
      </c>
      <c r="J2369" s="1" t="str">
        <f t="shared" ref="J2369:J2371" si="737">"5"</f>
        <v>5</v>
      </c>
      <c r="K2369" s="1">
        <v>2</v>
      </c>
      <c r="L2369" s="1" t="s">
        <v>136</v>
      </c>
      <c r="M2369" s="1" t="str">
        <f>"北京市 北京市 丰台区 王佐镇"</f>
        <v>北京市 北京市 丰台区 王佐镇</v>
      </c>
      <c r="N2369" s="1" t="str">
        <f t="shared" si="736"/>
        <v>凡华云仓-城南圆通-快手</v>
      </c>
      <c r="O2369" s="5" t="s">
        <v>2405</v>
      </c>
      <c r="P2369" s="6">
        <v>0.59</v>
      </c>
      <c r="Q2369" s="11">
        <f t="shared" ref="Q2369:Q2371" si="738">CEILING(P2369-0.5,0.1)*10*0.15+2.3</f>
        <v>2.4499999999999997</v>
      </c>
      <c r="R2369" s="11"/>
      <c r="S2369" s="11"/>
      <c r="T2369" s="11"/>
      <c r="U2369" s="11">
        <f t="shared" si="707"/>
        <v>2.4499999999999997</v>
      </c>
      <c r="V2369" t="s">
        <v>15</v>
      </c>
      <c r="W2369">
        <v>2.4500000000000002</v>
      </c>
      <c r="X2369" s="1" t="s">
        <v>136</v>
      </c>
    </row>
    <row r="2370" spans="1:24" x14ac:dyDescent="0.25">
      <c r="A2370" s="1" t="str">
        <f t="shared" si="708"/>
        <v>卡卡杜-凤凰仓</v>
      </c>
      <c r="B2370" s="1" t="str">
        <f>"CK20241027145"</f>
        <v>CK20241027145</v>
      </c>
      <c r="C2370" s="1" t="str">
        <f>"DD2024102722261"</f>
        <v>DD2024102722261</v>
      </c>
      <c r="D2370" s="1" t="str">
        <f>"CK2024102711407"</f>
        <v>CK2024102711407</v>
      </c>
      <c r="E2370" s="1" t="str">
        <f>"3723582120008487936"</f>
        <v>3723582120008487936</v>
      </c>
      <c r="F2370" s="1" t="str">
        <f t="shared" si="709"/>
        <v>花都四部-凤凰仓</v>
      </c>
      <c r="G2370" s="1" t="str">
        <f>"卡卡杜企业店（视频号）"</f>
        <v>卡卡杜企业店（视频号）</v>
      </c>
      <c r="H2370" s="1" t="str">
        <f t="shared" si="710"/>
        <v>正常订单</v>
      </c>
      <c r="I2370" s="1" t="str">
        <f t="shared" si="711"/>
        <v>已发货</v>
      </c>
      <c r="J2370" s="1" t="str">
        <f t="shared" si="737"/>
        <v>5</v>
      </c>
      <c r="K2370" s="1">
        <v>3</v>
      </c>
      <c r="L2370" s="1" t="s">
        <v>18</v>
      </c>
      <c r="M2370" s="1" t="str">
        <f>"广东省 中山市 东区街道 "</f>
        <v xml:space="preserve">广东省 中山市 东区街道 </v>
      </c>
      <c r="N2370" s="1" t="str">
        <f>"凡华云仓-城南圆通-微信视频号"</f>
        <v>凡华云仓-城南圆通-微信视频号</v>
      </c>
      <c r="O2370" s="5" t="s">
        <v>2406</v>
      </c>
      <c r="P2370" s="6">
        <v>0.56000000000000005</v>
      </c>
      <c r="Q2370" s="11">
        <f t="shared" si="738"/>
        <v>2.4499999999999997</v>
      </c>
      <c r="R2370" s="11"/>
      <c r="S2370" s="11"/>
      <c r="T2370" s="11"/>
      <c r="U2370" s="11">
        <f t="shared" si="707"/>
        <v>2.4499999999999997</v>
      </c>
      <c r="V2370" t="s">
        <v>15</v>
      </c>
      <c r="W2370">
        <v>2.4500000000000002</v>
      </c>
      <c r="X2370" s="1" t="s">
        <v>18</v>
      </c>
    </row>
    <row r="2371" spans="1:24" x14ac:dyDescent="0.25">
      <c r="A2371" s="1" t="str">
        <f t="shared" si="708"/>
        <v>卡卡杜-凤凰仓</v>
      </c>
      <c r="B2371" s="1" t="str">
        <f>"CK20241027142"</f>
        <v>CK20241027142</v>
      </c>
      <c r="C2371" s="1" t="str">
        <f>"DD2024102722260"</f>
        <v>DD2024102722260</v>
      </c>
      <c r="D2371" s="1" t="str">
        <f>"CK2024102711406"</f>
        <v>CK2024102711406</v>
      </c>
      <c r="E2371" s="1" t="str">
        <f>"2430002010139208"</f>
        <v>2430002010139208</v>
      </c>
      <c r="F2371" s="1" t="str">
        <f t="shared" si="709"/>
        <v>花都四部-凤凰仓</v>
      </c>
      <c r="G2371" s="1" t="str">
        <f t="shared" si="735"/>
        <v>卡卡杜佳旺专卖店（快手店）</v>
      </c>
      <c r="H2371" s="1" t="str">
        <f t="shared" si="710"/>
        <v>正常订单</v>
      </c>
      <c r="I2371" s="1" t="str">
        <f t="shared" si="711"/>
        <v>已发货</v>
      </c>
      <c r="J2371" s="1" t="str">
        <f t="shared" si="737"/>
        <v>5</v>
      </c>
      <c r="K2371" s="1">
        <v>2</v>
      </c>
      <c r="L2371" s="1" t="s">
        <v>30</v>
      </c>
      <c r="M2371" s="1" t="str">
        <f>"山东省 德州市 齐河县 焦庙镇"</f>
        <v>山东省 德州市 齐河县 焦庙镇</v>
      </c>
      <c r="N2371" s="1" t="str">
        <f t="shared" si="736"/>
        <v>凡华云仓-城南圆通-快手</v>
      </c>
      <c r="O2371" s="5" t="s">
        <v>2407</v>
      </c>
      <c r="P2371" s="6">
        <v>0.59</v>
      </c>
      <c r="Q2371" s="11">
        <f t="shared" si="738"/>
        <v>2.4499999999999997</v>
      </c>
      <c r="R2371" s="11"/>
      <c r="S2371" s="11"/>
      <c r="T2371" s="11"/>
      <c r="U2371" s="11">
        <f t="shared" ref="U2371:U2434" si="739">T2371+S2371+R2371+Q2371</f>
        <v>2.4499999999999997</v>
      </c>
      <c r="V2371" t="s">
        <v>15</v>
      </c>
      <c r="W2371">
        <v>2.4500000000000002</v>
      </c>
      <c r="X2371" s="1" t="s">
        <v>30</v>
      </c>
    </row>
    <row r="2372" spans="1:24" x14ac:dyDescent="0.25">
      <c r="A2372" s="1" t="str">
        <f t="shared" si="708"/>
        <v>卡卡杜-凤凰仓</v>
      </c>
      <c r="B2372" s="1" t="str">
        <f>"CK20241027144"</f>
        <v>CK20241027144</v>
      </c>
      <c r="C2372" s="1" t="str">
        <f>"DD2024102722259"</f>
        <v>DD2024102722259</v>
      </c>
      <c r="D2372" s="1" t="str">
        <f>"CK2024102711405"</f>
        <v>CK2024102711405</v>
      </c>
      <c r="E2372" s="1" t="str">
        <f>"2430001611611900"</f>
        <v>2430001611611900</v>
      </c>
      <c r="F2372" s="1" t="str">
        <f t="shared" si="709"/>
        <v>花都四部-凤凰仓</v>
      </c>
      <c r="G2372" s="1" t="str">
        <f t="shared" si="735"/>
        <v>卡卡杜佳旺专卖店（快手店）</v>
      </c>
      <c r="H2372" s="1" t="str">
        <f t="shared" si="710"/>
        <v>正常订单</v>
      </c>
      <c r="I2372" s="1" t="str">
        <f t="shared" si="711"/>
        <v>已发货</v>
      </c>
      <c r="J2372" s="1" t="str">
        <f t="shared" ref="J2372:J2380" si="740">"3"</f>
        <v>3</v>
      </c>
      <c r="K2372" s="1">
        <v>2</v>
      </c>
      <c r="L2372" s="1" t="s">
        <v>20</v>
      </c>
      <c r="M2372" s="1" t="str">
        <f>"浙江省 宁波市 鄞州区 东钱湖镇"</f>
        <v>浙江省 宁波市 鄞州区 东钱湖镇</v>
      </c>
      <c r="N2372" s="1" t="str">
        <f t="shared" si="736"/>
        <v>凡华云仓-城南圆通-快手</v>
      </c>
      <c r="O2372" s="5" t="s">
        <v>2408</v>
      </c>
      <c r="P2372" s="6">
        <v>0.35</v>
      </c>
      <c r="Q2372" s="11">
        <v>2.2999999999999998</v>
      </c>
      <c r="R2372" s="11"/>
      <c r="S2372" s="11"/>
      <c r="T2372" s="11"/>
      <c r="U2372" s="11">
        <f t="shared" si="739"/>
        <v>2.2999999999999998</v>
      </c>
      <c r="W2372">
        <v>2.5</v>
      </c>
      <c r="X2372" s="1" t="s">
        <v>20</v>
      </c>
    </row>
    <row r="2373" spans="1:24" x14ac:dyDescent="0.25">
      <c r="A2373" s="1" t="str">
        <f t="shared" ref="A2373:A2436" si="741">"卡卡杜-凤凰仓"</f>
        <v>卡卡杜-凤凰仓</v>
      </c>
      <c r="B2373" s="1" t="str">
        <f>"CK20241027143"</f>
        <v>CK20241027143</v>
      </c>
      <c r="C2373" s="1" t="str">
        <f>"DD2024102722258"</f>
        <v>DD2024102722258</v>
      </c>
      <c r="D2373" s="1" t="str">
        <f>"CK2024102711404"</f>
        <v>CK2024102711404</v>
      </c>
      <c r="E2373" s="1" t="str">
        <f>"6935523914661499951"</f>
        <v>6935523914661499951</v>
      </c>
      <c r="F2373" s="1" t="str">
        <f t="shared" ref="F2373:F2436" si="742">"花都四部-凤凰仓"</f>
        <v>花都四部-凤凰仓</v>
      </c>
      <c r="G2373" s="1" t="str">
        <f>"卡卡杜个人护理店（抖店）"</f>
        <v>卡卡杜个人护理店（抖店）</v>
      </c>
      <c r="H2373" s="1" t="str">
        <f t="shared" ref="H2373:H2436" si="743">"正常订单"</f>
        <v>正常订单</v>
      </c>
      <c r="I2373" s="1" t="str">
        <f t="shared" ref="I2373:I2436" si="744">"已发货"</f>
        <v>已发货</v>
      </c>
      <c r="J2373" s="1" t="str">
        <f t="shared" si="740"/>
        <v>3</v>
      </c>
      <c r="K2373" s="1">
        <v>2</v>
      </c>
      <c r="L2373" s="1" t="s">
        <v>30</v>
      </c>
      <c r="M2373" s="1" t="str">
        <f>"山东省 济宁市 曲阜市 鲁城街道"</f>
        <v>山东省 济宁市 曲阜市 鲁城街道</v>
      </c>
      <c r="N2373" s="1" t="str">
        <f>"凡华云仓-城南圆通-抖音"</f>
        <v>凡华云仓-城南圆通-抖音</v>
      </c>
      <c r="O2373" s="5" t="s">
        <v>2409</v>
      </c>
      <c r="P2373" s="6">
        <v>0.35</v>
      </c>
      <c r="Q2373" s="11">
        <v>2.2999999999999998</v>
      </c>
      <c r="R2373" s="11"/>
      <c r="S2373" s="11"/>
      <c r="T2373" s="11"/>
      <c r="U2373" s="11">
        <f t="shared" si="739"/>
        <v>2.2999999999999998</v>
      </c>
      <c r="W2373">
        <v>2.5</v>
      </c>
      <c r="X2373" s="1" t="s">
        <v>30</v>
      </c>
    </row>
    <row r="2374" spans="1:24" x14ac:dyDescent="0.25">
      <c r="A2374" s="1" t="str">
        <f t="shared" si="741"/>
        <v>卡卡杜-凤凰仓</v>
      </c>
      <c r="B2374" s="1" t="str">
        <f>"CK20241027141"</f>
        <v>CK20241027141</v>
      </c>
      <c r="C2374" s="1" t="str">
        <f>"DD2024102722257"</f>
        <v>DD2024102722257</v>
      </c>
      <c r="D2374" s="1" t="str">
        <f>"CK2024102711403"</f>
        <v>CK2024102711403</v>
      </c>
      <c r="E2374" s="1" t="str">
        <f>"3723582306049461248"</f>
        <v>3723582306049461248</v>
      </c>
      <c r="F2374" s="1" t="str">
        <f t="shared" si="742"/>
        <v>花都四部-凤凰仓</v>
      </c>
      <c r="G2374" s="1" t="str">
        <f>"卡卡杜企业店（视频号）"</f>
        <v>卡卡杜企业店（视频号）</v>
      </c>
      <c r="H2374" s="1" t="str">
        <f t="shared" si="743"/>
        <v>正常订单</v>
      </c>
      <c r="I2374" s="1" t="str">
        <f t="shared" si="744"/>
        <v>已发货</v>
      </c>
      <c r="J2374" s="1" t="str">
        <f t="shared" ref="J2374:J2376" si="745">"5"</f>
        <v>5</v>
      </c>
      <c r="K2374" s="1">
        <v>3</v>
      </c>
      <c r="L2374" s="1" t="s">
        <v>74</v>
      </c>
      <c r="M2374" s="1" t="str">
        <f>"上海 上海市 普陀区 "</f>
        <v xml:space="preserve">上海 上海市 普陀区 </v>
      </c>
      <c r="N2374" s="1" t="str">
        <f>"凡华云仓-城南圆通-微信视频号"</f>
        <v>凡华云仓-城南圆通-微信视频号</v>
      </c>
      <c r="O2374" s="5" t="s">
        <v>2410</v>
      </c>
      <c r="P2374" s="6">
        <v>0.56000000000000005</v>
      </c>
      <c r="Q2374" s="11">
        <f t="shared" ref="Q2374:Q2376" si="746">CEILING(P2374-0.5,0.1)*10*0.15+2.3</f>
        <v>2.4499999999999997</v>
      </c>
      <c r="R2374" s="11"/>
      <c r="S2374" s="11"/>
      <c r="T2374" s="11"/>
      <c r="U2374" s="11">
        <f t="shared" si="739"/>
        <v>2.4499999999999997</v>
      </c>
      <c r="V2374" t="s">
        <v>15</v>
      </c>
      <c r="W2374">
        <v>2.4500000000000002</v>
      </c>
      <c r="X2374" s="1" t="s">
        <v>74</v>
      </c>
    </row>
    <row r="2375" spans="1:24" x14ac:dyDescent="0.25">
      <c r="A2375" s="1" t="str">
        <f t="shared" si="741"/>
        <v>卡卡杜-凤凰仓</v>
      </c>
      <c r="B2375" s="1" t="str">
        <f>"CK20241027140"</f>
        <v>CK20241027140</v>
      </c>
      <c r="C2375" s="1" t="str">
        <f>"DD2024102722256"</f>
        <v>DD2024102722256</v>
      </c>
      <c r="D2375" s="1" t="str">
        <f>"CK2024102711402"</f>
        <v>CK2024102711402</v>
      </c>
      <c r="E2375" s="1" t="str">
        <f>"2430002011690050"</f>
        <v>2430002011690050</v>
      </c>
      <c r="F2375" s="1" t="str">
        <f t="shared" si="742"/>
        <v>花都四部-凤凰仓</v>
      </c>
      <c r="G2375" s="1" t="str">
        <f t="shared" ref="G2375:G2380" si="747">"卡卡杜佳旺专卖店（快手店）"</f>
        <v>卡卡杜佳旺专卖店（快手店）</v>
      </c>
      <c r="H2375" s="1" t="str">
        <f t="shared" si="743"/>
        <v>正常订单</v>
      </c>
      <c r="I2375" s="1" t="str">
        <f t="shared" si="744"/>
        <v>已发货</v>
      </c>
      <c r="J2375" s="1" t="str">
        <f t="shared" si="745"/>
        <v>5</v>
      </c>
      <c r="K2375" s="1">
        <v>2</v>
      </c>
      <c r="L2375" s="1" t="s">
        <v>80</v>
      </c>
      <c r="M2375" s="1" t="str">
        <f>"河南省 开封市 鼓楼区 五一街道"</f>
        <v>河南省 开封市 鼓楼区 五一街道</v>
      </c>
      <c r="N2375" s="1" t="str">
        <f t="shared" ref="N2375:N2380" si="748">"凡华云仓-城南圆通-快手"</f>
        <v>凡华云仓-城南圆通-快手</v>
      </c>
      <c r="O2375" s="5" t="s">
        <v>2411</v>
      </c>
      <c r="P2375" s="6">
        <v>0.59</v>
      </c>
      <c r="Q2375" s="11">
        <f t="shared" si="746"/>
        <v>2.4499999999999997</v>
      </c>
      <c r="R2375" s="11"/>
      <c r="S2375" s="11"/>
      <c r="T2375" s="11"/>
      <c r="U2375" s="11">
        <f t="shared" si="739"/>
        <v>2.4499999999999997</v>
      </c>
      <c r="V2375" t="s">
        <v>15</v>
      </c>
      <c r="W2375">
        <v>2.4500000000000002</v>
      </c>
      <c r="X2375" s="1" t="s">
        <v>80</v>
      </c>
    </row>
    <row r="2376" spans="1:24" x14ac:dyDescent="0.25">
      <c r="A2376" s="1" t="str">
        <f t="shared" si="741"/>
        <v>卡卡杜-凤凰仓</v>
      </c>
      <c r="B2376" s="1" t="str">
        <f>"CK20241027139"</f>
        <v>CK20241027139</v>
      </c>
      <c r="C2376" s="1" t="str">
        <f>"DD2024102722255"</f>
        <v>DD2024102722255</v>
      </c>
      <c r="D2376" s="1" t="str">
        <f>"CK2024102711401"</f>
        <v>CK2024102711401</v>
      </c>
      <c r="E2376" s="1" t="str">
        <f>"3723582582387770624"</f>
        <v>3723582582387770624</v>
      </c>
      <c r="F2376" s="1" t="str">
        <f t="shared" si="742"/>
        <v>花都四部-凤凰仓</v>
      </c>
      <c r="G2376" s="1" t="str">
        <f>"卡卡杜企业店（视频号）"</f>
        <v>卡卡杜企业店（视频号）</v>
      </c>
      <c r="H2376" s="1" t="str">
        <f t="shared" si="743"/>
        <v>正常订单</v>
      </c>
      <c r="I2376" s="1" t="str">
        <f t="shared" si="744"/>
        <v>已发货</v>
      </c>
      <c r="J2376" s="1" t="str">
        <f t="shared" si="745"/>
        <v>5</v>
      </c>
      <c r="K2376" s="1">
        <v>2</v>
      </c>
      <c r="L2376" s="1" t="s">
        <v>13</v>
      </c>
      <c r="M2376" s="1" t="str">
        <f>"江苏省 南通市 如东县 "</f>
        <v xml:space="preserve">江苏省 南通市 如东县 </v>
      </c>
      <c r="N2376" s="1" t="str">
        <f>"凡华云仓-城南圆通-微信视频号"</f>
        <v>凡华云仓-城南圆通-微信视频号</v>
      </c>
      <c r="O2376" s="5" t="s">
        <v>2412</v>
      </c>
      <c r="P2376" s="6">
        <v>0.59</v>
      </c>
      <c r="Q2376" s="11">
        <f t="shared" si="746"/>
        <v>2.4499999999999997</v>
      </c>
      <c r="R2376" s="11"/>
      <c r="S2376" s="11"/>
      <c r="T2376" s="11"/>
      <c r="U2376" s="11">
        <f t="shared" si="739"/>
        <v>2.4499999999999997</v>
      </c>
      <c r="V2376" t="s">
        <v>15</v>
      </c>
      <c r="W2376">
        <v>2.4500000000000002</v>
      </c>
      <c r="X2376" s="1" t="s">
        <v>13</v>
      </c>
    </row>
    <row r="2377" spans="1:24" x14ac:dyDescent="0.25">
      <c r="A2377" s="1" t="str">
        <f t="shared" si="741"/>
        <v>卡卡杜-凤凰仓</v>
      </c>
      <c r="B2377" s="1" t="str">
        <f>"CK20241027138"</f>
        <v>CK20241027138</v>
      </c>
      <c r="C2377" s="1" t="str">
        <f>"DD2024102722254"</f>
        <v>DD2024102722254</v>
      </c>
      <c r="D2377" s="1" t="str">
        <f>"CK2024102711400"</f>
        <v>CK2024102711400</v>
      </c>
      <c r="E2377" s="1" t="str">
        <f>"2430001768707751"</f>
        <v>2430001768707751</v>
      </c>
      <c r="F2377" s="1" t="str">
        <f t="shared" si="742"/>
        <v>花都四部-凤凰仓</v>
      </c>
      <c r="G2377" s="1" t="str">
        <f t="shared" si="747"/>
        <v>卡卡杜佳旺专卖店（快手店）</v>
      </c>
      <c r="H2377" s="1" t="str">
        <f t="shared" si="743"/>
        <v>正常订单</v>
      </c>
      <c r="I2377" s="1" t="str">
        <f t="shared" si="744"/>
        <v>已发货</v>
      </c>
      <c r="J2377" s="1" t="str">
        <f t="shared" si="740"/>
        <v>3</v>
      </c>
      <c r="K2377" s="1">
        <v>2</v>
      </c>
      <c r="L2377" s="1" t="s">
        <v>18</v>
      </c>
      <c r="M2377" s="1" t="str">
        <f>"广东省 江门市 鹤山市 共和镇"</f>
        <v>广东省 江门市 鹤山市 共和镇</v>
      </c>
      <c r="N2377" s="1" t="str">
        <f t="shared" si="748"/>
        <v>凡华云仓-城南圆通-快手</v>
      </c>
      <c r="O2377" s="5" t="s">
        <v>2413</v>
      </c>
      <c r="P2377" s="6">
        <v>0.35</v>
      </c>
      <c r="Q2377" s="11">
        <v>2.2999999999999998</v>
      </c>
      <c r="R2377" s="11"/>
      <c r="S2377" s="11"/>
      <c r="T2377" s="11"/>
      <c r="U2377" s="11">
        <f t="shared" si="739"/>
        <v>2.2999999999999998</v>
      </c>
      <c r="W2377">
        <v>2.5</v>
      </c>
      <c r="X2377" s="1" t="s">
        <v>18</v>
      </c>
    </row>
    <row r="2378" spans="1:24" x14ac:dyDescent="0.25">
      <c r="A2378" s="1" t="str">
        <f t="shared" si="741"/>
        <v>卡卡杜-凤凰仓</v>
      </c>
      <c r="B2378" s="1" t="str">
        <f>"CK20241027136"</f>
        <v>CK20241027136</v>
      </c>
      <c r="C2378" s="1" t="str">
        <f>"DD2024102722253"</f>
        <v>DD2024102722253</v>
      </c>
      <c r="D2378" s="1" t="str">
        <f>"CK2024102711399"</f>
        <v>CK2024102711399</v>
      </c>
      <c r="E2378" s="1" t="str">
        <f>"6935517185945506963"</f>
        <v>6935517185945506963</v>
      </c>
      <c r="F2378" s="1" t="str">
        <f t="shared" si="742"/>
        <v>花都四部-凤凰仓</v>
      </c>
      <c r="G2378" s="1" t="str">
        <f t="shared" ref="G2378:G2386" si="749">"卡卡杜个人护理店（抖店）"</f>
        <v>卡卡杜个人护理店（抖店）</v>
      </c>
      <c r="H2378" s="1" t="str">
        <f t="shared" si="743"/>
        <v>正常订单</v>
      </c>
      <c r="I2378" s="1" t="str">
        <f t="shared" si="744"/>
        <v>已发货</v>
      </c>
      <c r="J2378" s="1" t="str">
        <f t="shared" si="740"/>
        <v>3</v>
      </c>
      <c r="K2378" s="1">
        <v>2</v>
      </c>
      <c r="L2378" s="1" t="s">
        <v>13</v>
      </c>
      <c r="M2378" s="1" t="str">
        <f>"江苏省 徐州市 邳州市 运河街道"</f>
        <v>江苏省 徐州市 邳州市 运河街道</v>
      </c>
      <c r="N2378" s="1" t="str">
        <f t="shared" ref="N2378:N2386" si="750">"凡华云仓-城南圆通-抖音"</f>
        <v>凡华云仓-城南圆通-抖音</v>
      </c>
      <c r="O2378" s="5" t="s">
        <v>2414</v>
      </c>
      <c r="P2378" s="6">
        <v>0.35</v>
      </c>
      <c r="Q2378" s="11">
        <v>2.2999999999999998</v>
      </c>
      <c r="R2378" s="11"/>
      <c r="S2378" s="11"/>
      <c r="T2378" s="11"/>
      <c r="U2378" s="11">
        <f t="shared" si="739"/>
        <v>2.2999999999999998</v>
      </c>
      <c r="W2378">
        <v>2.5</v>
      </c>
      <c r="X2378" s="1" t="s">
        <v>13</v>
      </c>
    </row>
    <row r="2379" spans="1:24" x14ac:dyDescent="0.25">
      <c r="A2379" s="1" t="str">
        <f t="shared" si="741"/>
        <v>卡卡杜-凤凰仓</v>
      </c>
      <c r="B2379" s="1" t="str">
        <f>"CK20241027137"</f>
        <v>CK20241027137</v>
      </c>
      <c r="C2379" s="1" t="str">
        <f>"DD2024102722252"</f>
        <v>DD2024102722252</v>
      </c>
      <c r="D2379" s="1" t="str">
        <f>"CK2024102711398"</f>
        <v>CK2024102711398</v>
      </c>
      <c r="E2379" s="1" t="str">
        <f>"2430001933745174"</f>
        <v>2430001933745174</v>
      </c>
      <c r="F2379" s="1" t="str">
        <f t="shared" si="742"/>
        <v>花都四部-凤凰仓</v>
      </c>
      <c r="G2379" s="1" t="str">
        <f t="shared" si="747"/>
        <v>卡卡杜佳旺专卖店（快手店）</v>
      </c>
      <c r="H2379" s="1" t="str">
        <f t="shared" si="743"/>
        <v>正常订单</v>
      </c>
      <c r="I2379" s="1" t="str">
        <f t="shared" si="744"/>
        <v>已发货</v>
      </c>
      <c r="J2379" s="1" t="str">
        <f t="shared" si="740"/>
        <v>3</v>
      </c>
      <c r="K2379" s="1">
        <v>2</v>
      </c>
      <c r="L2379" s="1" t="s">
        <v>44</v>
      </c>
      <c r="M2379" s="1" t="str">
        <f>"海南省 儋州市 南丰镇 南丰镇"</f>
        <v>海南省 儋州市 南丰镇 南丰镇</v>
      </c>
      <c r="N2379" s="1" t="str">
        <f t="shared" si="748"/>
        <v>凡华云仓-城南圆通-快手</v>
      </c>
      <c r="O2379" s="5" t="s">
        <v>2415</v>
      </c>
      <c r="P2379" s="6">
        <v>0.35</v>
      </c>
      <c r="Q2379" s="11">
        <v>2.2999999999999998</v>
      </c>
      <c r="R2379" s="11"/>
      <c r="S2379" s="11"/>
      <c r="T2379" s="11"/>
      <c r="U2379" s="11">
        <f t="shared" si="739"/>
        <v>2.2999999999999998</v>
      </c>
      <c r="W2379">
        <v>2.5</v>
      </c>
      <c r="X2379" s="1" t="s">
        <v>44</v>
      </c>
    </row>
    <row r="2380" spans="1:24" x14ac:dyDescent="0.25">
      <c r="A2380" s="1" t="str">
        <f t="shared" si="741"/>
        <v>卡卡杜-凤凰仓</v>
      </c>
      <c r="B2380" s="1" t="str">
        <f>"CK20241027135"</f>
        <v>CK20241027135</v>
      </c>
      <c r="C2380" s="1" t="str">
        <f>"DD2024102722251"</f>
        <v>DD2024102722251</v>
      </c>
      <c r="D2380" s="1" t="str">
        <f>"CK2024102711397"</f>
        <v>CK2024102711397</v>
      </c>
      <c r="E2380" s="1" t="str">
        <f>"2430001693442443"</f>
        <v>2430001693442443</v>
      </c>
      <c r="F2380" s="1" t="str">
        <f t="shared" si="742"/>
        <v>花都四部-凤凰仓</v>
      </c>
      <c r="G2380" s="1" t="str">
        <f t="shared" si="747"/>
        <v>卡卡杜佳旺专卖店（快手店）</v>
      </c>
      <c r="H2380" s="1" t="str">
        <f t="shared" si="743"/>
        <v>正常订单</v>
      </c>
      <c r="I2380" s="1" t="str">
        <f t="shared" si="744"/>
        <v>已发货</v>
      </c>
      <c r="J2380" s="1" t="str">
        <f t="shared" si="740"/>
        <v>3</v>
      </c>
      <c r="K2380" s="1">
        <v>2</v>
      </c>
      <c r="L2380" s="1" t="s">
        <v>20</v>
      </c>
      <c r="M2380" s="1" t="str">
        <f>"浙江省 宁波市 慈溪市 胜山镇"</f>
        <v>浙江省 宁波市 慈溪市 胜山镇</v>
      </c>
      <c r="N2380" s="1" t="str">
        <f t="shared" si="748"/>
        <v>凡华云仓-城南圆通-快手</v>
      </c>
      <c r="O2380" s="5" t="s">
        <v>2416</v>
      </c>
      <c r="P2380" s="6">
        <v>0.35</v>
      </c>
      <c r="Q2380" s="11">
        <v>2.2999999999999998</v>
      </c>
      <c r="R2380" s="11"/>
      <c r="S2380" s="11"/>
      <c r="T2380" s="11"/>
      <c r="U2380" s="11">
        <f t="shared" si="739"/>
        <v>2.2999999999999998</v>
      </c>
      <c r="W2380">
        <v>2.5</v>
      </c>
      <c r="X2380" s="1" t="s">
        <v>20</v>
      </c>
    </row>
    <row r="2381" spans="1:24" x14ac:dyDescent="0.25">
      <c r="A2381" s="1" t="str">
        <f t="shared" si="741"/>
        <v>卡卡杜-凤凰仓</v>
      </c>
      <c r="B2381" s="1" t="str">
        <f>"CK20241027134"</f>
        <v>CK20241027134</v>
      </c>
      <c r="C2381" s="1" t="str">
        <f>"DD2024102722250"</f>
        <v>DD2024102722250</v>
      </c>
      <c r="D2381" s="1" t="str">
        <f>"CK2024102711396"</f>
        <v>CK2024102711396</v>
      </c>
      <c r="E2381" s="1" t="str">
        <f>"6935519633670083959"</f>
        <v>6935519633670083959</v>
      </c>
      <c r="F2381" s="1" t="str">
        <f t="shared" si="742"/>
        <v>花都四部-凤凰仓</v>
      </c>
      <c r="G2381" s="1" t="str">
        <f t="shared" si="749"/>
        <v>卡卡杜个人护理店（抖店）</v>
      </c>
      <c r="H2381" s="1" t="str">
        <f t="shared" si="743"/>
        <v>正常订单</v>
      </c>
      <c r="I2381" s="1" t="str">
        <f t="shared" si="744"/>
        <v>已发货</v>
      </c>
      <c r="J2381" s="1" t="str">
        <f>"5"</f>
        <v>5</v>
      </c>
      <c r="K2381" s="1">
        <v>2</v>
      </c>
      <c r="L2381" s="1" t="s">
        <v>80</v>
      </c>
      <c r="M2381" s="1" t="str">
        <f>"河南省 安阳市 滑县 "</f>
        <v xml:space="preserve">河南省 安阳市 滑县 </v>
      </c>
      <c r="N2381" s="1" t="str">
        <f t="shared" si="750"/>
        <v>凡华云仓-城南圆通-抖音</v>
      </c>
      <c r="O2381" s="5" t="s">
        <v>2417</v>
      </c>
      <c r="P2381" s="6">
        <v>0.59</v>
      </c>
      <c r="Q2381" s="11">
        <f>CEILING(P2381-0.5,0.1)*10*0.15+2.3</f>
        <v>2.4499999999999997</v>
      </c>
      <c r="R2381" s="11"/>
      <c r="S2381" s="11"/>
      <c r="T2381" s="11"/>
      <c r="U2381" s="11">
        <f t="shared" si="739"/>
        <v>2.4499999999999997</v>
      </c>
      <c r="V2381" t="s">
        <v>15</v>
      </c>
      <c r="W2381">
        <v>2.4500000000000002</v>
      </c>
      <c r="X2381" s="1" t="s">
        <v>80</v>
      </c>
    </row>
    <row r="2382" spans="1:24" x14ac:dyDescent="0.25">
      <c r="A2382" s="1" t="str">
        <f t="shared" si="741"/>
        <v>卡卡杜-凤凰仓</v>
      </c>
      <c r="B2382" s="1" t="str">
        <f>"CK20241027133"</f>
        <v>CK20241027133</v>
      </c>
      <c r="C2382" s="1" t="str">
        <f>"DD2024102722249"</f>
        <v>DD2024102722249</v>
      </c>
      <c r="D2382" s="1" t="str">
        <f>"CK2024102711395"</f>
        <v>CK2024102711395</v>
      </c>
      <c r="E2382" s="1" t="str">
        <f>"6935517202673702755"</f>
        <v>6935517202673702755</v>
      </c>
      <c r="F2382" s="1" t="str">
        <f t="shared" si="742"/>
        <v>花都四部-凤凰仓</v>
      </c>
      <c r="G2382" s="1" t="str">
        <f t="shared" si="749"/>
        <v>卡卡杜个人护理店（抖店）</v>
      </c>
      <c r="H2382" s="1" t="str">
        <f t="shared" si="743"/>
        <v>正常订单</v>
      </c>
      <c r="I2382" s="1" t="str">
        <f t="shared" si="744"/>
        <v>已发货</v>
      </c>
      <c r="J2382" s="1" t="str">
        <f t="shared" ref="J2382:J2387" si="751">"3"</f>
        <v>3</v>
      </c>
      <c r="K2382" s="1">
        <v>2</v>
      </c>
      <c r="L2382" s="1" t="s">
        <v>13</v>
      </c>
      <c r="M2382" s="1" t="str">
        <f>"江苏省 南通市 启东市 惠萍镇"</f>
        <v>江苏省 南通市 启东市 惠萍镇</v>
      </c>
      <c r="N2382" s="1" t="str">
        <f t="shared" si="750"/>
        <v>凡华云仓-城南圆通-抖音</v>
      </c>
      <c r="O2382" s="5" t="s">
        <v>2418</v>
      </c>
      <c r="P2382" s="6">
        <v>0.35</v>
      </c>
      <c r="Q2382" s="11">
        <v>2.2999999999999998</v>
      </c>
      <c r="R2382" s="11"/>
      <c r="S2382" s="11"/>
      <c r="T2382" s="11"/>
      <c r="U2382" s="11">
        <f t="shared" si="739"/>
        <v>2.2999999999999998</v>
      </c>
      <c r="W2382">
        <v>2.5</v>
      </c>
      <c r="X2382" s="1" t="s">
        <v>13</v>
      </c>
    </row>
    <row r="2383" spans="1:24" x14ac:dyDescent="0.25">
      <c r="A2383" s="1" t="str">
        <f t="shared" si="741"/>
        <v>卡卡杜-凤凰仓</v>
      </c>
      <c r="B2383" s="1" t="str">
        <f>"CK20241027132"</f>
        <v>CK20241027132</v>
      </c>
      <c r="C2383" s="1" t="str">
        <f>"DD2024102722248"</f>
        <v>DD2024102722248</v>
      </c>
      <c r="D2383" s="1" t="str">
        <f>"CK2024102711394"</f>
        <v>CK2024102711394</v>
      </c>
      <c r="E2383" s="1" t="str">
        <f>"6935521696512153104"</f>
        <v>6935521696512153104</v>
      </c>
      <c r="F2383" s="1" t="str">
        <f t="shared" si="742"/>
        <v>花都四部-凤凰仓</v>
      </c>
      <c r="G2383" s="1" t="str">
        <f t="shared" si="749"/>
        <v>卡卡杜个人护理店（抖店）</v>
      </c>
      <c r="H2383" s="1" t="str">
        <f t="shared" si="743"/>
        <v>正常订单</v>
      </c>
      <c r="I2383" s="1" t="str">
        <f t="shared" si="744"/>
        <v>已发货</v>
      </c>
      <c r="J2383" s="1" t="str">
        <f t="shared" si="751"/>
        <v>3</v>
      </c>
      <c r="K2383" s="1">
        <v>2</v>
      </c>
      <c r="L2383" s="1" t="s">
        <v>20</v>
      </c>
      <c r="M2383" s="1" t="str">
        <f>"浙江省 湖州市 德清县 武康街道"</f>
        <v>浙江省 湖州市 德清县 武康街道</v>
      </c>
      <c r="N2383" s="1" t="str">
        <f t="shared" si="750"/>
        <v>凡华云仓-城南圆通-抖音</v>
      </c>
      <c r="O2383" s="5" t="s">
        <v>2419</v>
      </c>
      <c r="P2383" s="6">
        <v>0.35</v>
      </c>
      <c r="Q2383" s="11">
        <v>2.2999999999999998</v>
      </c>
      <c r="R2383" s="11"/>
      <c r="S2383" s="11"/>
      <c r="T2383" s="11"/>
      <c r="U2383" s="11">
        <f t="shared" si="739"/>
        <v>2.2999999999999998</v>
      </c>
      <c r="W2383">
        <v>2.5</v>
      </c>
      <c r="X2383" s="1" t="s">
        <v>20</v>
      </c>
    </row>
    <row r="2384" spans="1:24" x14ac:dyDescent="0.25">
      <c r="A2384" s="1" t="str">
        <f t="shared" si="741"/>
        <v>卡卡杜-凤凰仓</v>
      </c>
      <c r="B2384" s="1" t="str">
        <f>"CK20241027130"</f>
        <v>CK20241027130</v>
      </c>
      <c r="C2384" s="1" t="str">
        <f>"DD2024102722247"</f>
        <v>DD2024102722247</v>
      </c>
      <c r="D2384" s="1" t="str">
        <f>"CK2024102711393"</f>
        <v>CK2024102711393</v>
      </c>
      <c r="E2384" s="1" t="str">
        <f>"6935501762469041364"</f>
        <v>6935501762469041364</v>
      </c>
      <c r="F2384" s="1" t="str">
        <f t="shared" si="742"/>
        <v>花都四部-凤凰仓</v>
      </c>
      <c r="G2384" s="1" t="str">
        <f t="shared" si="749"/>
        <v>卡卡杜个人护理店（抖店）</v>
      </c>
      <c r="H2384" s="1" t="str">
        <f t="shared" si="743"/>
        <v>正常订单</v>
      </c>
      <c r="I2384" s="1" t="str">
        <f t="shared" si="744"/>
        <v>已发货</v>
      </c>
      <c r="J2384" s="1" t="str">
        <f t="shared" si="751"/>
        <v>3</v>
      </c>
      <c r="K2384" s="1">
        <v>2</v>
      </c>
      <c r="L2384" s="1" t="s">
        <v>36</v>
      </c>
      <c r="M2384" s="1" t="str">
        <f>"安徽省 六安市 裕安区 新安镇"</f>
        <v>安徽省 六安市 裕安区 新安镇</v>
      </c>
      <c r="N2384" s="1" t="str">
        <f t="shared" si="750"/>
        <v>凡华云仓-城南圆通-抖音</v>
      </c>
      <c r="O2384" s="5" t="s">
        <v>2420</v>
      </c>
      <c r="P2384" s="6">
        <v>0.35</v>
      </c>
      <c r="Q2384" s="11">
        <v>2.2999999999999998</v>
      </c>
      <c r="R2384" s="11"/>
      <c r="S2384" s="11"/>
      <c r="T2384" s="11"/>
      <c r="U2384" s="11">
        <f t="shared" si="739"/>
        <v>2.2999999999999998</v>
      </c>
      <c r="W2384">
        <v>2.5</v>
      </c>
      <c r="X2384" s="1" t="s">
        <v>36</v>
      </c>
    </row>
    <row r="2385" spans="1:24" x14ac:dyDescent="0.25">
      <c r="A2385" s="1" t="str">
        <f t="shared" si="741"/>
        <v>卡卡杜-凤凰仓</v>
      </c>
      <c r="B2385" s="1" t="str">
        <f>"CK20241027131"</f>
        <v>CK20241027131</v>
      </c>
      <c r="C2385" s="1" t="str">
        <f>"DD2024102722246"</f>
        <v>DD2024102722246</v>
      </c>
      <c r="D2385" s="1" t="str">
        <f>"CK2024102711392"</f>
        <v>CK2024102711392</v>
      </c>
      <c r="E2385" s="1" t="str">
        <f>"6935506190965282208"</f>
        <v>6935506190965282208</v>
      </c>
      <c r="F2385" s="1" t="str">
        <f t="shared" si="742"/>
        <v>花都四部-凤凰仓</v>
      </c>
      <c r="G2385" s="1" t="str">
        <f t="shared" si="749"/>
        <v>卡卡杜个人护理店（抖店）</v>
      </c>
      <c r="H2385" s="1" t="str">
        <f t="shared" si="743"/>
        <v>正常订单</v>
      </c>
      <c r="I2385" s="1" t="str">
        <f t="shared" si="744"/>
        <v>已发货</v>
      </c>
      <c r="J2385" s="1" t="str">
        <f t="shared" si="751"/>
        <v>3</v>
      </c>
      <c r="K2385" s="1">
        <v>2</v>
      </c>
      <c r="L2385" s="1" t="s">
        <v>22</v>
      </c>
      <c r="M2385" s="1" t="str">
        <f>"江西省 吉安市 峡江县 水边镇"</f>
        <v>江西省 吉安市 峡江县 水边镇</v>
      </c>
      <c r="N2385" s="1" t="str">
        <f t="shared" si="750"/>
        <v>凡华云仓-城南圆通-抖音</v>
      </c>
      <c r="O2385" s="5" t="s">
        <v>2421</v>
      </c>
      <c r="P2385" s="6">
        <v>0.35</v>
      </c>
      <c r="Q2385" s="11">
        <v>2.2999999999999998</v>
      </c>
      <c r="R2385" s="11"/>
      <c r="S2385" s="11"/>
      <c r="T2385" s="11"/>
      <c r="U2385" s="11">
        <f t="shared" si="739"/>
        <v>2.2999999999999998</v>
      </c>
      <c r="W2385">
        <v>2.5</v>
      </c>
      <c r="X2385" s="1" t="s">
        <v>22</v>
      </c>
    </row>
    <row r="2386" spans="1:24" x14ac:dyDescent="0.25">
      <c r="A2386" s="1" t="str">
        <f t="shared" si="741"/>
        <v>卡卡杜-凤凰仓</v>
      </c>
      <c r="B2386" s="1" t="str">
        <f>"CK20241027129"</f>
        <v>CK20241027129</v>
      </c>
      <c r="C2386" s="1" t="str">
        <f>"DD2024102722245"</f>
        <v>DD2024102722245</v>
      </c>
      <c r="D2386" s="1" t="str">
        <f>"CK2024102711391"</f>
        <v>CK2024102711391</v>
      </c>
      <c r="E2386" s="1" t="str">
        <f>"6935519692744955090"</f>
        <v>6935519692744955090</v>
      </c>
      <c r="F2386" s="1" t="str">
        <f t="shared" si="742"/>
        <v>花都四部-凤凰仓</v>
      </c>
      <c r="G2386" s="1" t="str">
        <f t="shared" si="749"/>
        <v>卡卡杜个人护理店（抖店）</v>
      </c>
      <c r="H2386" s="1" t="str">
        <f t="shared" si="743"/>
        <v>正常订单</v>
      </c>
      <c r="I2386" s="1" t="str">
        <f t="shared" si="744"/>
        <v>已发货</v>
      </c>
      <c r="J2386" s="1" t="str">
        <f t="shared" si="751"/>
        <v>3</v>
      </c>
      <c r="K2386" s="1">
        <v>2</v>
      </c>
      <c r="L2386" s="1" t="s">
        <v>32</v>
      </c>
      <c r="M2386" s="1" t="str">
        <f>"陕西省 商洛市 商南县 城关街道"</f>
        <v>陕西省 商洛市 商南县 城关街道</v>
      </c>
      <c r="N2386" s="1" t="str">
        <f t="shared" si="750"/>
        <v>凡华云仓-城南圆通-抖音</v>
      </c>
      <c r="O2386" s="5" t="s">
        <v>2422</v>
      </c>
      <c r="P2386" s="6">
        <v>0.35</v>
      </c>
      <c r="Q2386" s="11">
        <v>2.2999999999999998</v>
      </c>
      <c r="R2386" s="11"/>
      <c r="S2386" s="11"/>
      <c r="T2386" s="11"/>
      <c r="U2386" s="11">
        <f t="shared" si="739"/>
        <v>2.2999999999999998</v>
      </c>
      <c r="W2386">
        <v>2.5</v>
      </c>
      <c r="X2386" s="1" t="s">
        <v>32</v>
      </c>
    </row>
    <row r="2387" spans="1:24" x14ac:dyDescent="0.25">
      <c r="A2387" s="1" t="str">
        <f t="shared" si="741"/>
        <v>卡卡杜-凤凰仓</v>
      </c>
      <c r="B2387" s="1" t="str">
        <f>"CK20241027128"</f>
        <v>CK20241027128</v>
      </c>
      <c r="C2387" s="1" t="str">
        <f>"DD2024102722244"</f>
        <v>DD2024102722244</v>
      </c>
      <c r="D2387" s="1" t="str">
        <f>"CK2024102711390"</f>
        <v>CK2024102711390</v>
      </c>
      <c r="E2387" s="1" t="str">
        <f>"3723583168151686144"</f>
        <v>3723583168151686144</v>
      </c>
      <c r="F2387" s="1" t="str">
        <f t="shared" si="742"/>
        <v>花都四部-凤凰仓</v>
      </c>
      <c r="G2387" s="1" t="str">
        <f t="shared" ref="G2387:G2391" si="752">"卡卡杜企业店（视频号）"</f>
        <v>卡卡杜企业店（视频号）</v>
      </c>
      <c r="H2387" s="1" t="str">
        <f t="shared" si="743"/>
        <v>正常订单</v>
      </c>
      <c r="I2387" s="1" t="str">
        <f t="shared" si="744"/>
        <v>已发货</v>
      </c>
      <c r="J2387" s="1" t="str">
        <f t="shared" si="751"/>
        <v>3</v>
      </c>
      <c r="K2387" s="1">
        <v>2</v>
      </c>
      <c r="L2387" s="1" t="s">
        <v>18</v>
      </c>
      <c r="M2387" s="1" t="str">
        <f>"广东省 广州市 天河区 "</f>
        <v xml:space="preserve">广东省 广州市 天河区 </v>
      </c>
      <c r="N2387" s="1" t="str">
        <f t="shared" ref="N2387:N2391" si="753">"凡华云仓-城南圆通-微信视频号"</f>
        <v>凡华云仓-城南圆通-微信视频号</v>
      </c>
      <c r="O2387" s="5" t="s">
        <v>2423</v>
      </c>
      <c r="P2387" s="6">
        <v>0.24</v>
      </c>
      <c r="Q2387" s="11">
        <v>2</v>
      </c>
      <c r="R2387" s="11"/>
      <c r="S2387" s="11"/>
      <c r="T2387" s="11"/>
      <c r="U2387" s="11">
        <f t="shared" si="739"/>
        <v>2</v>
      </c>
      <c r="W2387">
        <v>2.2000000000000002</v>
      </c>
      <c r="X2387" s="1" t="s">
        <v>18</v>
      </c>
    </row>
    <row r="2388" spans="1:24" x14ac:dyDescent="0.25">
      <c r="A2388" s="1" t="str">
        <f t="shared" si="741"/>
        <v>卡卡杜-凤凰仓</v>
      </c>
      <c r="B2388" s="1" t="str">
        <f>"CK20241027127"</f>
        <v>CK20241027127</v>
      </c>
      <c r="C2388" s="1" t="str">
        <f>"DD2024102722243"</f>
        <v>DD2024102722243</v>
      </c>
      <c r="D2388" s="1" t="str">
        <f>"CK2024102711389"</f>
        <v>CK2024102711389</v>
      </c>
      <c r="E2388" s="1" t="str">
        <f>"3723583188257084416"</f>
        <v>3723583188257084416</v>
      </c>
      <c r="F2388" s="1" t="str">
        <f t="shared" si="742"/>
        <v>花都四部-凤凰仓</v>
      </c>
      <c r="G2388" s="1" t="str">
        <f t="shared" si="752"/>
        <v>卡卡杜企业店（视频号）</v>
      </c>
      <c r="H2388" s="1" t="str">
        <f t="shared" si="743"/>
        <v>正常订单</v>
      </c>
      <c r="I2388" s="1" t="str">
        <f t="shared" si="744"/>
        <v>已发货</v>
      </c>
      <c r="J2388" s="1" t="str">
        <f>"5"</f>
        <v>5</v>
      </c>
      <c r="K2388" s="1">
        <v>2</v>
      </c>
      <c r="L2388" s="1" t="s">
        <v>20</v>
      </c>
      <c r="M2388" s="1" t="str">
        <f>"浙江省 绍兴市 诸暨市 "</f>
        <v xml:space="preserve">浙江省 绍兴市 诸暨市 </v>
      </c>
      <c r="N2388" s="1" t="str">
        <f t="shared" si="753"/>
        <v>凡华云仓-城南圆通-微信视频号</v>
      </c>
      <c r="O2388" s="5" t="s">
        <v>2424</v>
      </c>
      <c r="P2388" s="6">
        <v>0.59</v>
      </c>
      <c r="Q2388" s="11">
        <f>CEILING(P2388-0.5,0.1)*10*0.15+2.3</f>
        <v>2.4499999999999997</v>
      </c>
      <c r="R2388" s="11"/>
      <c r="S2388" s="11"/>
      <c r="T2388" s="11"/>
      <c r="U2388" s="11">
        <f t="shared" si="739"/>
        <v>2.4499999999999997</v>
      </c>
      <c r="V2388" t="s">
        <v>15</v>
      </c>
      <c r="W2388">
        <v>2.4500000000000002</v>
      </c>
      <c r="X2388" s="1" t="s">
        <v>20</v>
      </c>
    </row>
    <row r="2389" spans="1:24" x14ac:dyDescent="0.25">
      <c r="A2389" s="1" t="str">
        <f t="shared" si="741"/>
        <v>卡卡杜-凤凰仓</v>
      </c>
      <c r="B2389" s="1" t="str">
        <f>"CK20241027126"</f>
        <v>CK20241027126</v>
      </c>
      <c r="C2389" s="1" t="str">
        <f>"DD2024102722242"</f>
        <v>DD2024102722242</v>
      </c>
      <c r="D2389" s="1" t="str">
        <f>"CK2024102711388"</f>
        <v>CK2024102711388</v>
      </c>
      <c r="E2389" s="1" t="str">
        <f>"2430002172826394"</f>
        <v>2430002172826394</v>
      </c>
      <c r="F2389" s="1" t="str">
        <f t="shared" si="742"/>
        <v>花都四部-凤凰仓</v>
      </c>
      <c r="G2389" s="1" t="str">
        <f t="shared" ref="G2389:G2394" si="754">"卡卡杜佳旺专卖店（快手店）"</f>
        <v>卡卡杜佳旺专卖店（快手店）</v>
      </c>
      <c r="H2389" s="1" t="str">
        <f t="shared" si="743"/>
        <v>正常订单</v>
      </c>
      <c r="I2389" s="1" t="str">
        <f t="shared" si="744"/>
        <v>已发货</v>
      </c>
      <c r="J2389" s="1" t="str">
        <f>"5"</f>
        <v>5</v>
      </c>
      <c r="K2389" s="1">
        <v>2</v>
      </c>
      <c r="L2389" s="1" t="s">
        <v>44</v>
      </c>
      <c r="M2389" s="1" t="str">
        <f>"海南省 海口市 美兰区 白龙街道"</f>
        <v>海南省 海口市 美兰区 白龙街道</v>
      </c>
      <c r="N2389" s="1" t="str">
        <f t="shared" ref="N2389:N2394" si="755">"凡华云仓-城南圆通-快手"</f>
        <v>凡华云仓-城南圆通-快手</v>
      </c>
      <c r="O2389" s="5" t="s">
        <v>2425</v>
      </c>
      <c r="P2389" s="6">
        <v>0.59</v>
      </c>
      <c r="Q2389" s="11">
        <f>CEILING(P2389-0.5,0.1)*10*0.15+2.3</f>
        <v>2.4499999999999997</v>
      </c>
      <c r="R2389" s="11"/>
      <c r="S2389" s="11"/>
      <c r="T2389" s="11"/>
      <c r="U2389" s="11">
        <f t="shared" si="739"/>
        <v>2.4499999999999997</v>
      </c>
      <c r="V2389" t="s">
        <v>15</v>
      </c>
      <c r="W2389">
        <v>2.4500000000000002</v>
      </c>
      <c r="X2389" s="1" t="s">
        <v>44</v>
      </c>
    </row>
    <row r="2390" spans="1:24" x14ac:dyDescent="0.25">
      <c r="A2390" s="1" t="str">
        <f t="shared" si="741"/>
        <v>卡卡杜-凤凰仓</v>
      </c>
      <c r="B2390" s="1" t="str">
        <f>"CK20241027124"</f>
        <v>CK20241027124</v>
      </c>
      <c r="C2390" s="1" t="str">
        <f>"DD2024102722241"</f>
        <v>DD2024102722241</v>
      </c>
      <c r="D2390" s="1" t="str">
        <f>"CK2024102711387"</f>
        <v>CK2024102711387</v>
      </c>
      <c r="E2390" s="1" t="str">
        <f>"2430002491906848"</f>
        <v>2430002491906848</v>
      </c>
      <c r="F2390" s="1" t="str">
        <f t="shared" si="742"/>
        <v>花都四部-凤凰仓</v>
      </c>
      <c r="G2390" s="1" t="str">
        <f t="shared" si="754"/>
        <v>卡卡杜佳旺专卖店（快手店）</v>
      </c>
      <c r="H2390" s="1" t="str">
        <f t="shared" si="743"/>
        <v>正常订单</v>
      </c>
      <c r="I2390" s="1" t="str">
        <f t="shared" si="744"/>
        <v>已发货</v>
      </c>
      <c r="J2390" s="1" t="str">
        <f t="shared" ref="J2390:J2412" si="756">"3"</f>
        <v>3</v>
      </c>
      <c r="K2390" s="1">
        <v>3</v>
      </c>
      <c r="L2390" s="1" t="s">
        <v>18</v>
      </c>
      <c r="M2390" s="1" t="str">
        <f>"广东省 深圳市 宝安区 石岩街道"</f>
        <v>广东省 深圳市 宝安区 石岩街道</v>
      </c>
      <c r="N2390" s="1" t="str">
        <f t="shared" si="755"/>
        <v>凡华云仓-城南圆通-快手</v>
      </c>
      <c r="O2390" s="5" t="s">
        <v>2426</v>
      </c>
      <c r="P2390" s="6">
        <v>0.34</v>
      </c>
      <c r="Q2390" s="11">
        <v>2.2999999999999998</v>
      </c>
      <c r="R2390" s="11"/>
      <c r="S2390" s="11"/>
      <c r="T2390" s="11"/>
      <c r="U2390" s="11">
        <f t="shared" si="739"/>
        <v>2.2999999999999998</v>
      </c>
      <c r="W2390">
        <v>2.5</v>
      </c>
      <c r="X2390" s="1" t="s">
        <v>18</v>
      </c>
    </row>
    <row r="2391" spans="1:24" x14ac:dyDescent="0.25">
      <c r="A2391" s="1" t="str">
        <f t="shared" si="741"/>
        <v>卡卡杜-凤凰仓</v>
      </c>
      <c r="B2391" s="1" t="str">
        <f>"CK20241027123"</f>
        <v>CK20241027123</v>
      </c>
      <c r="C2391" s="1" t="str">
        <f>"DD2024102722240"</f>
        <v>DD2024102722240</v>
      </c>
      <c r="D2391" s="1" t="str">
        <f>"CK2024102711386"</f>
        <v>CK2024102711386</v>
      </c>
      <c r="E2391" s="1" t="str">
        <f>"3723583453929802752"</f>
        <v>3723583453929802752</v>
      </c>
      <c r="F2391" s="1" t="str">
        <f t="shared" si="742"/>
        <v>花都四部-凤凰仓</v>
      </c>
      <c r="G2391" s="1" t="str">
        <f t="shared" si="752"/>
        <v>卡卡杜企业店（视频号）</v>
      </c>
      <c r="H2391" s="1" t="str">
        <f t="shared" si="743"/>
        <v>正常订单</v>
      </c>
      <c r="I2391" s="1" t="str">
        <f t="shared" si="744"/>
        <v>已发货</v>
      </c>
      <c r="J2391" s="1" t="str">
        <f t="shared" si="756"/>
        <v>3</v>
      </c>
      <c r="K2391" s="1">
        <v>3</v>
      </c>
      <c r="L2391" s="1" t="s">
        <v>18</v>
      </c>
      <c r="M2391" s="1" t="str">
        <f>"广东省 深圳市 龙岗区 "</f>
        <v xml:space="preserve">广东省 深圳市 龙岗区 </v>
      </c>
      <c r="N2391" s="1" t="str">
        <f t="shared" si="753"/>
        <v>凡华云仓-城南圆通-微信视频号</v>
      </c>
      <c r="O2391" s="5" t="s">
        <v>2427</v>
      </c>
      <c r="P2391" s="6">
        <v>0.34</v>
      </c>
      <c r="Q2391" s="11">
        <v>2.2999999999999998</v>
      </c>
      <c r="R2391" s="11"/>
      <c r="S2391" s="11"/>
      <c r="T2391" s="11"/>
      <c r="U2391" s="11">
        <f t="shared" si="739"/>
        <v>2.2999999999999998</v>
      </c>
      <c r="W2391">
        <v>2.5</v>
      </c>
      <c r="X2391" s="1" t="s">
        <v>18</v>
      </c>
    </row>
    <row r="2392" spans="1:24" x14ac:dyDescent="0.25">
      <c r="A2392" s="1" t="str">
        <f t="shared" si="741"/>
        <v>卡卡杜-凤凰仓</v>
      </c>
      <c r="B2392" s="1" t="str">
        <f>"CK20241027125"</f>
        <v>CK20241027125</v>
      </c>
      <c r="C2392" s="1" t="str">
        <f>"DD2024102722239"</f>
        <v>DD2024102722239</v>
      </c>
      <c r="D2392" s="1" t="str">
        <f>"CK2024102711385"</f>
        <v>CK2024102711385</v>
      </c>
      <c r="E2392" s="1" t="str">
        <f>"2430001933674314"</f>
        <v>2430001933674314</v>
      </c>
      <c r="F2392" s="1" t="str">
        <f t="shared" si="742"/>
        <v>花都四部-凤凰仓</v>
      </c>
      <c r="G2392" s="1" t="str">
        <f t="shared" si="754"/>
        <v>卡卡杜佳旺专卖店（快手店）</v>
      </c>
      <c r="H2392" s="1" t="str">
        <f t="shared" si="743"/>
        <v>正常订单</v>
      </c>
      <c r="I2392" s="1" t="str">
        <f t="shared" si="744"/>
        <v>已发货</v>
      </c>
      <c r="J2392" s="1" t="str">
        <f t="shared" si="756"/>
        <v>3</v>
      </c>
      <c r="K2392" s="1">
        <v>2</v>
      </c>
      <c r="L2392" s="1" t="s">
        <v>13</v>
      </c>
      <c r="M2392" s="1" t="str">
        <f>"江苏省 南京市 栖霞区 燕子矶街道"</f>
        <v>江苏省 南京市 栖霞区 燕子矶街道</v>
      </c>
      <c r="N2392" s="1" t="str">
        <f t="shared" si="755"/>
        <v>凡华云仓-城南圆通-快手</v>
      </c>
      <c r="O2392" s="5" t="s">
        <v>2428</v>
      </c>
      <c r="P2392" s="6">
        <v>0.35</v>
      </c>
      <c r="Q2392" s="11">
        <v>2.2999999999999998</v>
      </c>
      <c r="R2392" s="11"/>
      <c r="S2392" s="11"/>
      <c r="T2392" s="11"/>
      <c r="U2392" s="11">
        <f t="shared" si="739"/>
        <v>2.2999999999999998</v>
      </c>
      <c r="W2392">
        <v>2.5</v>
      </c>
      <c r="X2392" s="1" t="s">
        <v>13</v>
      </c>
    </row>
    <row r="2393" spans="1:24" x14ac:dyDescent="0.25">
      <c r="A2393" s="1" t="str">
        <f t="shared" si="741"/>
        <v>卡卡杜-凤凰仓</v>
      </c>
      <c r="B2393" s="1" t="str">
        <f>"CK20241027121"</f>
        <v>CK20241027121</v>
      </c>
      <c r="C2393" s="1" t="str">
        <f>"DD2024102722238"</f>
        <v>DD2024102722238</v>
      </c>
      <c r="D2393" s="1" t="str">
        <f>"CK2024102711384"</f>
        <v>CK2024102711384</v>
      </c>
      <c r="E2393" s="1" t="str">
        <f>"2430001931416020"</f>
        <v>2430001931416020</v>
      </c>
      <c r="F2393" s="1" t="str">
        <f t="shared" si="742"/>
        <v>花都四部-凤凰仓</v>
      </c>
      <c r="G2393" s="1" t="str">
        <f t="shared" si="754"/>
        <v>卡卡杜佳旺专卖店（快手店）</v>
      </c>
      <c r="H2393" s="1" t="str">
        <f t="shared" si="743"/>
        <v>正常订单</v>
      </c>
      <c r="I2393" s="1" t="str">
        <f t="shared" si="744"/>
        <v>已发货</v>
      </c>
      <c r="J2393" s="1" t="str">
        <f t="shared" si="756"/>
        <v>3</v>
      </c>
      <c r="K2393" s="1">
        <v>2</v>
      </c>
      <c r="L2393" s="1" t="s">
        <v>20</v>
      </c>
      <c r="M2393" s="1" t="str">
        <f>"浙江省 杭州市 上城区 丁兰街道"</f>
        <v>浙江省 杭州市 上城区 丁兰街道</v>
      </c>
      <c r="N2393" s="1" t="str">
        <f t="shared" si="755"/>
        <v>凡华云仓-城南圆通-快手</v>
      </c>
      <c r="O2393" s="5" t="s">
        <v>2429</v>
      </c>
      <c r="P2393" s="6">
        <v>0.35</v>
      </c>
      <c r="Q2393" s="11">
        <v>2.2999999999999998</v>
      </c>
      <c r="R2393" s="11"/>
      <c r="S2393" s="11"/>
      <c r="T2393" s="11"/>
      <c r="U2393" s="11">
        <f t="shared" si="739"/>
        <v>2.2999999999999998</v>
      </c>
      <c r="W2393">
        <v>2.5</v>
      </c>
      <c r="X2393" s="1" t="s">
        <v>20</v>
      </c>
    </row>
    <row r="2394" spans="1:24" x14ac:dyDescent="0.25">
      <c r="A2394" s="1" t="str">
        <f t="shared" si="741"/>
        <v>卡卡杜-凤凰仓</v>
      </c>
      <c r="B2394" s="1" t="str">
        <f>"CK20241027122"</f>
        <v>CK20241027122</v>
      </c>
      <c r="C2394" s="1" t="str">
        <f>"DD2024102722237"</f>
        <v>DD2024102722237</v>
      </c>
      <c r="D2394" s="1" t="str">
        <f>"CK2024102711383"</f>
        <v>CK2024102711383</v>
      </c>
      <c r="E2394" s="1" t="str">
        <f>"2430002250593761"</f>
        <v>2430002250593761</v>
      </c>
      <c r="F2394" s="1" t="str">
        <f t="shared" si="742"/>
        <v>花都四部-凤凰仓</v>
      </c>
      <c r="G2394" s="1" t="str">
        <f t="shared" si="754"/>
        <v>卡卡杜佳旺专卖店（快手店）</v>
      </c>
      <c r="H2394" s="1" t="str">
        <f t="shared" si="743"/>
        <v>正常订单</v>
      </c>
      <c r="I2394" s="1" t="str">
        <f t="shared" si="744"/>
        <v>已发货</v>
      </c>
      <c r="J2394" s="1" t="str">
        <f t="shared" si="756"/>
        <v>3</v>
      </c>
      <c r="K2394" s="1">
        <v>2</v>
      </c>
      <c r="L2394" s="1" t="s">
        <v>80</v>
      </c>
      <c r="M2394" s="1" t="str">
        <f>"河南省 洛阳市 洛龙区 古城街道"</f>
        <v>河南省 洛阳市 洛龙区 古城街道</v>
      </c>
      <c r="N2394" s="1" t="str">
        <f t="shared" si="755"/>
        <v>凡华云仓-城南圆通-快手</v>
      </c>
      <c r="O2394" s="5" t="s">
        <v>2430</v>
      </c>
      <c r="P2394" s="6">
        <v>0.35</v>
      </c>
      <c r="Q2394" s="11">
        <v>2.2999999999999998</v>
      </c>
      <c r="R2394" s="11"/>
      <c r="S2394" s="11"/>
      <c r="T2394" s="11"/>
      <c r="U2394" s="11">
        <f t="shared" si="739"/>
        <v>2.2999999999999998</v>
      </c>
      <c r="W2394">
        <v>2.5</v>
      </c>
      <c r="X2394" s="1" t="s">
        <v>80</v>
      </c>
    </row>
    <row r="2395" spans="1:24" x14ac:dyDescent="0.25">
      <c r="A2395" s="1" t="str">
        <f t="shared" si="741"/>
        <v>卡卡杜-凤凰仓</v>
      </c>
      <c r="B2395" s="1" t="str">
        <f>"CK20241027117"</f>
        <v>CK20241027117</v>
      </c>
      <c r="C2395" s="1" t="str">
        <f>"DD2024102722236"</f>
        <v>DD2024102722236</v>
      </c>
      <c r="D2395" s="1" t="str">
        <f>"CK2024102711382"</f>
        <v>CK2024102711382</v>
      </c>
      <c r="E2395" s="1" t="str">
        <f>"3723583757063425024"</f>
        <v>3723583757063425024</v>
      </c>
      <c r="F2395" s="1" t="str">
        <f t="shared" si="742"/>
        <v>花都四部-凤凰仓</v>
      </c>
      <c r="G2395" s="1" t="str">
        <f>"卡卡杜企业店（视频号）"</f>
        <v>卡卡杜企业店（视频号）</v>
      </c>
      <c r="H2395" s="1" t="str">
        <f t="shared" si="743"/>
        <v>正常订单</v>
      </c>
      <c r="I2395" s="1" t="str">
        <f t="shared" si="744"/>
        <v>已发货</v>
      </c>
      <c r="J2395" s="1" t="str">
        <f t="shared" si="756"/>
        <v>3</v>
      </c>
      <c r="K2395" s="1">
        <v>2</v>
      </c>
      <c r="L2395" s="1" t="s">
        <v>20</v>
      </c>
      <c r="M2395" s="1" t="str">
        <f>"浙江省 嘉兴市 平湖市 "</f>
        <v xml:space="preserve">浙江省 嘉兴市 平湖市 </v>
      </c>
      <c r="N2395" s="1" t="str">
        <f>"凡华云仓-城南圆通-微信视频号"</f>
        <v>凡华云仓-城南圆通-微信视频号</v>
      </c>
      <c r="O2395" s="5" t="s">
        <v>2431</v>
      </c>
      <c r="P2395" s="6">
        <v>0.35</v>
      </c>
      <c r="Q2395" s="11">
        <v>2.2999999999999998</v>
      </c>
      <c r="R2395" s="11"/>
      <c r="S2395" s="11"/>
      <c r="T2395" s="11"/>
      <c r="U2395" s="11">
        <f t="shared" si="739"/>
        <v>2.2999999999999998</v>
      </c>
      <c r="W2395">
        <v>2.5</v>
      </c>
      <c r="X2395" s="1" t="s">
        <v>20</v>
      </c>
    </row>
    <row r="2396" spans="1:24" x14ac:dyDescent="0.25">
      <c r="A2396" s="1" t="str">
        <f t="shared" si="741"/>
        <v>卡卡杜-凤凰仓</v>
      </c>
      <c r="B2396" s="1" t="str">
        <f>"CK20241027120"</f>
        <v>CK20241027120</v>
      </c>
      <c r="C2396" s="1" t="str">
        <f>"DD2024102722235"</f>
        <v>DD2024102722235</v>
      </c>
      <c r="D2396" s="1" t="str">
        <f>"CK2024102711381"</f>
        <v>CK2024102711381</v>
      </c>
      <c r="E2396" s="1" t="str">
        <f>"2430002177666170"</f>
        <v>2430002177666170</v>
      </c>
      <c r="F2396" s="1" t="str">
        <f t="shared" si="742"/>
        <v>花都四部-凤凰仓</v>
      </c>
      <c r="G2396" s="1" t="str">
        <f t="shared" ref="G2396:G2399" si="757">"卡卡杜佳旺专卖店（快手店）"</f>
        <v>卡卡杜佳旺专卖店（快手店）</v>
      </c>
      <c r="H2396" s="1" t="str">
        <f t="shared" si="743"/>
        <v>正常订单</v>
      </c>
      <c r="I2396" s="1" t="str">
        <f t="shared" si="744"/>
        <v>已发货</v>
      </c>
      <c r="J2396" s="1" t="str">
        <f t="shared" si="756"/>
        <v>3</v>
      </c>
      <c r="K2396" s="1">
        <v>2</v>
      </c>
      <c r="L2396" s="1" t="s">
        <v>109</v>
      </c>
      <c r="M2396" s="1" t="str">
        <f>"山西省 太原市 万柏林区 千峰街道"</f>
        <v>山西省 太原市 万柏林区 千峰街道</v>
      </c>
      <c r="N2396" s="1" t="str">
        <f t="shared" ref="N2396:N2399" si="758">"凡华云仓-城南圆通-快手"</f>
        <v>凡华云仓-城南圆通-快手</v>
      </c>
      <c r="O2396" s="5" t="s">
        <v>2432</v>
      </c>
      <c r="P2396" s="6">
        <v>0.35</v>
      </c>
      <c r="Q2396" s="11">
        <v>2.2999999999999998</v>
      </c>
      <c r="R2396" s="11"/>
      <c r="S2396" s="11"/>
      <c r="T2396" s="11"/>
      <c r="U2396" s="11">
        <f t="shared" si="739"/>
        <v>2.2999999999999998</v>
      </c>
      <c r="W2396">
        <v>2.5</v>
      </c>
      <c r="X2396" s="1" t="s">
        <v>109</v>
      </c>
    </row>
    <row r="2397" spans="1:24" x14ac:dyDescent="0.25">
      <c r="A2397" s="1" t="str">
        <f t="shared" si="741"/>
        <v>卡卡杜-凤凰仓</v>
      </c>
      <c r="B2397" s="1" t="str">
        <f>"CK20241027118"</f>
        <v>CK20241027118</v>
      </c>
      <c r="C2397" s="1" t="str">
        <f>"DD2024102722234"</f>
        <v>DD2024102722234</v>
      </c>
      <c r="D2397" s="1" t="str">
        <f>"CK2024102711380"</f>
        <v>CK2024102711380</v>
      </c>
      <c r="E2397" s="1" t="str">
        <f>"6935524101079372837"</f>
        <v>6935524101079372837</v>
      </c>
      <c r="F2397" s="1" t="str">
        <f t="shared" si="742"/>
        <v>花都四部-凤凰仓</v>
      </c>
      <c r="G2397" s="1" t="str">
        <f t="shared" ref="G2397:G2402" si="759">"卡卡杜个人护理店（抖店）"</f>
        <v>卡卡杜个人护理店（抖店）</v>
      </c>
      <c r="H2397" s="1" t="str">
        <f t="shared" si="743"/>
        <v>正常订单</v>
      </c>
      <c r="I2397" s="1" t="str">
        <f t="shared" si="744"/>
        <v>已发货</v>
      </c>
      <c r="J2397" s="1" t="str">
        <f t="shared" si="756"/>
        <v>3</v>
      </c>
      <c r="K2397" s="1">
        <v>2</v>
      </c>
      <c r="L2397" s="1" t="s">
        <v>20</v>
      </c>
      <c r="M2397" s="1" t="str">
        <f>"浙江省 嘉兴市 海宁市 海洲街道"</f>
        <v>浙江省 嘉兴市 海宁市 海洲街道</v>
      </c>
      <c r="N2397" s="1" t="str">
        <f t="shared" ref="N2397:N2402" si="760">"凡华云仓-城南圆通-抖音"</f>
        <v>凡华云仓-城南圆通-抖音</v>
      </c>
      <c r="O2397" s="5" t="s">
        <v>2433</v>
      </c>
      <c r="P2397" s="6">
        <v>0.35</v>
      </c>
      <c r="Q2397" s="11">
        <v>2.2999999999999998</v>
      </c>
      <c r="R2397" s="11"/>
      <c r="S2397" s="11"/>
      <c r="T2397" s="11"/>
      <c r="U2397" s="11">
        <f t="shared" si="739"/>
        <v>2.2999999999999998</v>
      </c>
      <c r="W2397">
        <v>2.5</v>
      </c>
      <c r="X2397" s="1" t="s">
        <v>20</v>
      </c>
    </row>
    <row r="2398" spans="1:24" x14ac:dyDescent="0.25">
      <c r="A2398" s="1" t="str">
        <f t="shared" si="741"/>
        <v>卡卡杜-凤凰仓</v>
      </c>
      <c r="B2398" s="1" t="str">
        <f>"CK20241027119"</f>
        <v>CK20241027119</v>
      </c>
      <c r="C2398" s="1" t="str">
        <f>"DD2024102722233"</f>
        <v>DD2024102722233</v>
      </c>
      <c r="D2398" s="1" t="str">
        <f>"CK2024102711379"</f>
        <v>CK2024102711379</v>
      </c>
      <c r="E2398" s="1" t="str">
        <f>"2430002092386694"</f>
        <v>2430002092386694</v>
      </c>
      <c r="F2398" s="1" t="str">
        <f t="shared" si="742"/>
        <v>花都四部-凤凰仓</v>
      </c>
      <c r="G2398" s="1" t="str">
        <f t="shared" si="757"/>
        <v>卡卡杜佳旺专卖店（快手店）</v>
      </c>
      <c r="H2398" s="1" t="str">
        <f t="shared" si="743"/>
        <v>正常订单</v>
      </c>
      <c r="I2398" s="1" t="str">
        <f t="shared" si="744"/>
        <v>已发货</v>
      </c>
      <c r="J2398" s="1" t="str">
        <f t="shared" si="756"/>
        <v>3</v>
      </c>
      <c r="K2398" s="1">
        <v>2</v>
      </c>
      <c r="L2398" s="1" t="s">
        <v>24</v>
      </c>
      <c r="M2398" s="1" t="str">
        <f>"福建省 福州市 鼓楼区 鼓西街道"</f>
        <v>福建省 福州市 鼓楼区 鼓西街道</v>
      </c>
      <c r="N2398" s="1" t="str">
        <f t="shared" si="758"/>
        <v>凡华云仓-城南圆通-快手</v>
      </c>
      <c r="O2398" s="5" t="s">
        <v>2434</v>
      </c>
      <c r="P2398" s="6">
        <v>0.35</v>
      </c>
      <c r="Q2398" s="11">
        <v>2.2999999999999998</v>
      </c>
      <c r="R2398" s="11"/>
      <c r="S2398" s="11"/>
      <c r="T2398" s="11"/>
      <c r="U2398" s="11">
        <f t="shared" si="739"/>
        <v>2.2999999999999998</v>
      </c>
      <c r="W2398">
        <v>2.5</v>
      </c>
      <c r="X2398" s="1" t="s">
        <v>24</v>
      </c>
    </row>
    <row r="2399" spans="1:24" x14ac:dyDescent="0.25">
      <c r="A2399" s="1" t="str">
        <f t="shared" si="741"/>
        <v>卡卡杜-凤凰仓</v>
      </c>
      <c r="B2399" s="1" t="str">
        <f>"CK20241027116"</f>
        <v>CK20241027116</v>
      </c>
      <c r="C2399" s="1" t="str">
        <f>"DD2024102722232"</f>
        <v>DD2024102722232</v>
      </c>
      <c r="D2399" s="1" t="str">
        <f>"CK2024102711378"</f>
        <v>CK2024102711378</v>
      </c>
      <c r="E2399" s="1" t="str">
        <f>"2430002416275946"</f>
        <v>2430002416275946</v>
      </c>
      <c r="F2399" s="1" t="str">
        <f t="shared" si="742"/>
        <v>花都四部-凤凰仓</v>
      </c>
      <c r="G2399" s="1" t="str">
        <f t="shared" si="757"/>
        <v>卡卡杜佳旺专卖店（快手店）</v>
      </c>
      <c r="H2399" s="1" t="str">
        <f t="shared" si="743"/>
        <v>正常订单</v>
      </c>
      <c r="I2399" s="1" t="str">
        <f t="shared" si="744"/>
        <v>已发货</v>
      </c>
      <c r="J2399" s="1" t="str">
        <f t="shared" si="756"/>
        <v>3</v>
      </c>
      <c r="K2399" s="1">
        <v>2</v>
      </c>
      <c r="L2399" s="1" t="s">
        <v>36</v>
      </c>
      <c r="M2399" s="1" t="str">
        <f>"安徽省 宿州市 灵璧县 灵城镇"</f>
        <v>安徽省 宿州市 灵璧县 灵城镇</v>
      </c>
      <c r="N2399" s="1" t="str">
        <f t="shared" si="758"/>
        <v>凡华云仓-城南圆通-快手</v>
      </c>
      <c r="O2399" s="5" t="s">
        <v>2435</v>
      </c>
      <c r="P2399" s="6">
        <v>0.35</v>
      </c>
      <c r="Q2399" s="11">
        <v>2.2999999999999998</v>
      </c>
      <c r="R2399" s="11"/>
      <c r="S2399" s="11"/>
      <c r="T2399" s="11"/>
      <c r="U2399" s="11">
        <f t="shared" si="739"/>
        <v>2.2999999999999998</v>
      </c>
      <c r="W2399">
        <v>2.5</v>
      </c>
      <c r="X2399" s="1" t="s">
        <v>36</v>
      </c>
    </row>
    <row r="2400" spans="1:24" x14ac:dyDescent="0.25">
      <c r="A2400" s="1" t="str">
        <f t="shared" si="741"/>
        <v>卡卡杜-凤凰仓</v>
      </c>
      <c r="B2400" s="1" t="str">
        <f>"CK20241027115"</f>
        <v>CK20241027115</v>
      </c>
      <c r="C2400" s="1" t="str">
        <f>"DD2024102722231"</f>
        <v>DD2024102722231</v>
      </c>
      <c r="D2400" s="1" t="str">
        <f>"CK2024102711377"</f>
        <v>CK2024102711377</v>
      </c>
      <c r="E2400" s="1" t="str">
        <f>"6935502029976311174"</f>
        <v>6935502029976311174</v>
      </c>
      <c r="F2400" s="1" t="str">
        <f t="shared" si="742"/>
        <v>花都四部-凤凰仓</v>
      </c>
      <c r="G2400" s="1" t="str">
        <f t="shared" si="759"/>
        <v>卡卡杜个人护理店（抖店）</v>
      </c>
      <c r="H2400" s="1" t="str">
        <f t="shared" si="743"/>
        <v>正常订单</v>
      </c>
      <c r="I2400" s="1" t="str">
        <f t="shared" si="744"/>
        <v>已发货</v>
      </c>
      <c r="J2400" s="1" t="str">
        <f t="shared" si="756"/>
        <v>3</v>
      </c>
      <c r="K2400" s="1">
        <v>2</v>
      </c>
      <c r="L2400" s="1" t="s">
        <v>24</v>
      </c>
      <c r="M2400" s="1" t="str">
        <f>"福建省 厦门市 湖里区 殿前街道"</f>
        <v>福建省 厦门市 湖里区 殿前街道</v>
      </c>
      <c r="N2400" s="1" t="str">
        <f t="shared" si="760"/>
        <v>凡华云仓-城南圆通-抖音</v>
      </c>
      <c r="O2400" s="5" t="s">
        <v>2436</v>
      </c>
      <c r="P2400" s="6">
        <v>0.35</v>
      </c>
      <c r="Q2400" s="11">
        <v>2.2999999999999998</v>
      </c>
      <c r="R2400" s="11"/>
      <c r="S2400" s="11"/>
      <c r="T2400" s="11"/>
      <c r="U2400" s="11">
        <f t="shared" si="739"/>
        <v>2.2999999999999998</v>
      </c>
      <c r="W2400">
        <v>2.5</v>
      </c>
      <c r="X2400" s="1" t="s">
        <v>24</v>
      </c>
    </row>
    <row r="2401" spans="1:24" x14ac:dyDescent="0.25">
      <c r="A2401" s="1" t="str">
        <f t="shared" si="741"/>
        <v>卡卡杜-凤凰仓</v>
      </c>
      <c r="B2401" s="1" t="str">
        <f>"CK20241027114"</f>
        <v>CK20241027114</v>
      </c>
      <c r="C2401" s="1" t="str">
        <f>"DD2024102722230"</f>
        <v>DD2024102722230</v>
      </c>
      <c r="D2401" s="1" t="str">
        <f>"CK2024102711376"</f>
        <v>CK2024102711376</v>
      </c>
      <c r="E2401" s="1" t="str">
        <f>"2430001852913363"</f>
        <v>2430001852913363</v>
      </c>
      <c r="F2401" s="1" t="str">
        <f t="shared" si="742"/>
        <v>花都四部-凤凰仓</v>
      </c>
      <c r="G2401" s="1" t="str">
        <f t="shared" ref="G2401:G2406" si="761">"卡卡杜佳旺专卖店（快手店）"</f>
        <v>卡卡杜佳旺专卖店（快手店）</v>
      </c>
      <c r="H2401" s="1" t="str">
        <f t="shared" si="743"/>
        <v>正常订单</v>
      </c>
      <c r="I2401" s="1" t="str">
        <f t="shared" si="744"/>
        <v>已发货</v>
      </c>
      <c r="J2401" s="1" t="str">
        <f t="shared" si="756"/>
        <v>3</v>
      </c>
      <c r="K2401" s="1">
        <v>2</v>
      </c>
      <c r="L2401" s="1" t="s">
        <v>18</v>
      </c>
      <c r="M2401" s="1" t="str">
        <f>"广东省 深圳市 龙华区 观湖街道"</f>
        <v>广东省 深圳市 龙华区 观湖街道</v>
      </c>
      <c r="N2401" s="1" t="str">
        <f t="shared" ref="N2401:N2406" si="762">"凡华云仓-城南圆通-快手"</f>
        <v>凡华云仓-城南圆通-快手</v>
      </c>
      <c r="O2401" s="5" t="s">
        <v>2437</v>
      </c>
      <c r="P2401" s="6">
        <v>0.35</v>
      </c>
      <c r="Q2401" s="11">
        <v>2.2999999999999998</v>
      </c>
      <c r="R2401" s="11"/>
      <c r="S2401" s="11"/>
      <c r="T2401" s="11"/>
      <c r="U2401" s="11">
        <f t="shared" si="739"/>
        <v>2.2999999999999998</v>
      </c>
      <c r="W2401">
        <v>2.5</v>
      </c>
      <c r="X2401" s="1" t="s">
        <v>18</v>
      </c>
    </row>
    <row r="2402" spans="1:24" x14ac:dyDescent="0.25">
      <c r="A2402" s="1" t="str">
        <f t="shared" si="741"/>
        <v>卡卡杜-凤凰仓</v>
      </c>
      <c r="B2402" s="1" t="str">
        <f>"CK20241027112"</f>
        <v>CK20241027112</v>
      </c>
      <c r="C2402" s="1" t="str">
        <f>"DD2024102722229"</f>
        <v>DD2024102722229</v>
      </c>
      <c r="D2402" s="1" t="str">
        <f>"CK2024102711375"</f>
        <v>CK2024102711375</v>
      </c>
      <c r="E2402" s="1" t="str">
        <f>"6935528220270860092"</f>
        <v>6935528220270860092</v>
      </c>
      <c r="F2402" s="1" t="str">
        <f t="shared" si="742"/>
        <v>花都四部-凤凰仓</v>
      </c>
      <c r="G2402" s="1" t="str">
        <f t="shared" si="759"/>
        <v>卡卡杜个人护理店（抖店）</v>
      </c>
      <c r="H2402" s="1" t="str">
        <f t="shared" si="743"/>
        <v>正常订单</v>
      </c>
      <c r="I2402" s="1" t="str">
        <f t="shared" si="744"/>
        <v>已发货</v>
      </c>
      <c r="J2402" s="1" t="str">
        <f t="shared" si="756"/>
        <v>3</v>
      </c>
      <c r="K2402" s="1">
        <v>2</v>
      </c>
      <c r="L2402" s="1" t="s">
        <v>30</v>
      </c>
      <c r="M2402" s="1" t="str">
        <f>"山东省 德州市 宁津县 "</f>
        <v xml:space="preserve">山东省 德州市 宁津县 </v>
      </c>
      <c r="N2402" s="1" t="str">
        <f t="shared" si="760"/>
        <v>凡华云仓-城南圆通-抖音</v>
      </c>
      <c r="O2402" s="5" t="s">
        <v>2438</v>
      </c>
      <c r="P2402" s="6">
        <v>0.35</v>
      </c>
      <c r="Q2402" s="11">
        <v>2.2999999999999998</v>
      </c>
      <c r="R2402" s="11"/>
      <c r="S2402" s="11"/>
      <c r="T2402" s="11"/>
      <c r="U2402" s="11">
        <f t="shared" si="739"/>
        <v>2.2999999999999998</v>
      </c>
      <c r="W2402">
        <v>2.5</v>
      </c>
      <c r="X2402" s="1" t="s">
        <v>30</v>
      </c>
    </row>
    <row r="2403" spans="1:24" x14ac:dyDescent="0.25">
      <c r="A2403" s="1" t="str">
        <f t="shared" si="741"/>
        <v>卡卡杜-凤凰仓</v>
      </c>
      <c r="B2403" s="1" t="str">
        <f>"CK20241027113"</f>
        <v>CK20241027113</v>
      </c>
      <c r="C2403" s="1" t="str">
        <f>"DD2024102722228"</f>
        <v>DD2024102722228</v>
      </c>
      <c r="D2403" s="1" t="str">
        <f>"CK2024102711374"</f>
        <v>CK2024102711374</v>
      </c>
      <c r="E2403" s="1" t="str">
        <f>"2430002015362445"</f>
        <v>2430002015362445</v>
      </c>
      <c r="F2403" s="1" t="str">
        <f t="shared" si="742"/>
        <v>花都四部-凤凰仓</v>
      </c>
      <c r="G2403" s="1" t="str">
        <f t="shared" si="761"/>
        <v>卡卡杜佳旺专卖店（快手店）</v>
      </c>
      <c r="H2403" s="1" t="str">
        <f t="shared" si="743"/>
        <v>正常订单</v>
      </c>
      <c r="I2403" s="1" t="str">
        <f t="shared" si="744"/>
        <v>已发货</v>
      </c>
      <c r="J2403" s="1" t="str">
        <f t="shared" si="756"/>
        <v>3</v>
      </c>
      <c r="K2403" s="1">
        <v>2</v>
      </c>
      <c r="L2403" s="1" t="s">
        <v>161</v>
      </c>
      <c r="M2403" s="1" t="str">
        <f>"四川省 成都市 武侯区 芳草街街道"</f>
        <v>四川省 成都市 武侯区 芳草街街道</v>
      </c>
      <c r="N2403" s="1" t="str">
        <f t="shared" si="762"/>
        <v>凡华云仓-城南圆通-快手</v>
      </c>
      <c r="O2403" s="5" t="s">
        <v>2439</v>
      </c>
      <c r="P2403" s="6">
        <v>0.35</v>
      </c>
      <c r="Q2403" s="11">
        <v>2.2999999999999998</v>
      </c>
      <c r="R2403" s="11"/>
      <c r="S2403" s="11"/>
      <c r="T2403" s="11"/>
      <c r="U2403" s="11">
        <f t="shared" si="739"/>
        <v>2.2999999999999998</v>
      </c>
      <c r="W2403">
        <v>2.5</v>
      </c>
      <c r="X2403" s="1" t="s">
        <v>161</v>
      </c>
    </row>
    <row r="2404" spans="1:24" x14ac:dyDescent="0.25">
      <c r="A2404" s="1" t="str">
        <f t="shared" si="741"/>
        <v>卡卡杜-凤凰仓</v>
      </c>
      <c r="B2404" s="1" t="str">
        <f>"CK20241027111"</f>
        <v>CK20241027111</v>
      </c>
      <c r="C2404" s="1" t="str">
        <f>"DD2024102722227"</f>
        <v>DD2024102722227</v>
      </c>
      <c r="D2404" s="1" t="str">
        <f>"CK2024102711373"</f>
        <v>CK2024102711373</v>
      </c>
      <c r="E2404" s="1" t="str">
        <f>"3723583925171391488"</f>
        <v>3723583925171391488</v>
      </c>
      <c r="F2404" s="1" t="str">
        <f t="shared" si="742"/>
        <v>花都四部-凤凰仓</v>
      </c>
      <c r="G2404" s="1" t="str">
        <f>"卡卡杜企业店（视频号）"</f>
        <v>卡卡杜企业店（视频号）</v>
      </c>
      <c r="H2404" s="1" t="str">
        <f t="shared" si="743"/>
        <v>正常订单</v>
      </c>
      <c r="I2404" s="1" t="str">
        <f t="shared" si="744"/>
        <v>已发货</v>
      </c>
      <c r="J2404" s="1" t="str">
        <f t="shared" si="756"/>
        <v>3</v>
      </c>
      <c r="K2404" s="1">
        <v>3</v>
      </c>
      <c r="L2404" s="1" t="s">
        <v>20</v>
      </c>
      <c r="M2404" s="1" t="str">
        <f>"浙江省 绍兴市 诸暨市 "</f>
        <v xml:space="preserve">浙江省 绍兴市 诸暨市 </v>
      </c>
      <c r="N2404" s="1" t="str">
        <f>"凡华云仓-城南圆通-微信视频号"</f>
        <v>凡华云仓-城南圆通-微信视频号</v>
      </c>
      <c r="O2404" s="5" t="s">
        <v>2440</v>
      </c>
      <c r="P2404" s="6">
        <v>0.34</v>
      </c>
      <c r="Q2404" s="11">
        <v>2.2999999999999998</v>
      </c>
      <c r="R2404" s="11"/>
      <c r="S2404" s="11"/>
      <c r="T2404" s="11"/>
      <c r="U2404" s="11">
        <f t="shared" si="739"/>
        <v>2.2999999999999998</v>
      </c>
      <c r="W2404">
        <v>2.5</v>
      </c>
      <c r="X2404" s="1" t="s">
        <v>20</v>
      </c>
    </row>
    <row r="2405" spans="1:24" x14ac:dyDescent="0.25">
      <c r="A2405" s="1" t="str">
        <f t="shared" si="741"/>
        <v>卡卡杜-凤凰仓</v>
      </c>
      <c r="B2405" s="1" t="str">
        <f>"CK20241027110"</f>
        <v>CK20241027110</v>
      </c>
      <c r="C2405" s="1" t="str">
        <f>"DD2024102722226"</f>
        <v>DD2024102722226</v>
      </c>
      <c r="D2405" s="1" t="str">
        <f>"CK2024102711372"</f>
        <v>CK2024102711372</v>
      </c>
      <c r="E2405" s="1" t="str">
        <f>"6935508718271469168"</f>
        <v>6935508718271469168</v>
      </c>
      <c r="F2405" s="1" t="str">
        <f t="shared" si="742"/>
        <v>花都四部-凤凰仓</v>
      </c>
      <c r="G2405" s="1" t="str">
        <f t="shared" ref="G2405:G2408" si="763">"卡卡杜个人护理店（抖店）"</f>
        <v>卡卡杜个人护理店（抖店）</v>
      </c>
      <c r="H2405" s="1" t="str">
        <f t="shared" si="743"/>
        <v>正常订单</v>
      </c>
      <c r="I2405" s="1" t="str">
        <f t="shared" si="744"/>
        <v>已发货</v>
      </c>
      <c r="J2405" s="1" t="str">
        <f t="shared" si="756"/>
        <v>3</v>
      </c>
      <c r="K2405" s="1">
        <v>2</v>
      </c>
      <c r="L2405" s="1" t="s">
        <v>20</v>
      </c>
      <c r="M2405" s="1" t="str">
        <f>"浙江省 宁波市 奉化区 萧王庙街道"</f>
        <v>浙江省 宁波市 奉化区 萧王庙街道</v>
      </c>
      <c r="N2405" s="1" t="str">
        <f t="shared" ref="N2405:N2408" si="764">"凡华云仓-城南圆通-抖音"</f>
        <v>凡华云仓-城南圆通-抖音</v>
      </c>
      <c r="O2405" s="5" t="s">
        <v>2441</v>
      </c>
      <c r="P2405" s="6">
        <v>0.35</v>
      </c>
      <c r="Q2405" s="11">
        <v>2.2999999999999998</v>
      </c>
      <c r="R2405" s="11"/>
      <c r="S2405" s="11"/>
      <c r="T2405" s="11"/>
      <c r="U2405" s="11">
        <f t="shared" si="739"/>
        <v>2.2999999999999998</v>
      </c>
      <c r="W2405">
        <v>2.5</v>
      </c>
      <c r="X2405" s="1" t="s">
        <v>20</v>
      </c>
    </row>
    <row r="2406" spans="1:24" x14ac:dyDescent="0.25">
      <c r="A2406" s="1" t="str">
        <f t="shared" si="741"/>
        <v>卡卡杜-凤凰仓</v>
      </c>
      <c r="B2406" s="1" t="str">
        <f>"CK20241027109"</f>
        <v>CK20241027109</v>
      </c>
      <c r="C2406" s="1" t="str">
        <f>"DD2024102722225"</f>
        <v>DD2024102722225</v>
      </c>
      <c r="D2406" s="1" t="str">
        <f>"CK2024102711371"</f>
        <v>CK2024102711371</v>
      </c>
      <c r="E2406" s="1" t="str">
        <f>"2430001616330902"</f>
        <v>2430001616330902</v>
      </c>
      <c r="F2406" s="1" t="str">
        <f t="shared" si="742"/>
        <v>花都四部-凤凰仓</v>
      </c>
      <c r="G2406" s="1" t="str">
        <f t="shared" si="761"/>
        <v>卡卡杜佳旺专卖店（快手店）</v>
      </c>
      <c r="H2406" s="1" t="str">
        <f t="shared" si="743"/>
        <v>正常订单</v>
      </c>
      <c r="I2406" s="1" t="str">
        <f t="shared" si="744"/>
        <v>已发货</v>
      </c>
      <c r="J2406" s="1" t="str">
        <f t="shared" si="756"/>
        <v>3</v>
      </c>
      <c r="K2406" s="1">
        <v>2</v>
      </c>
      <c r="L2406" s="1" t="s">
        <v>27</v>
      </c>
      <c r="M2406" s="1" t="str">
        <f>"贵州省 六盘水市 钟山区 凤凰街道"</f>
        <v>贵州省 六盘水市 钟山区 凤凰街道</v>
      </c>
      <c r="N2406" s="1" t="str">
        <f t="shared" si="762"/>
        <v>凡华云仓-城南圆通-快手</v>
      </c>
      <c r="O2406" s="5" t="s">
        <v>2442</v>
      </c>
      <c r="P2406" s="6">
        <v>0.35</v>
      </c>
      <c r="Q2406" s="11">
        <v>2.2999999999999998</v>
      </c>
      <c r="R2406" s="11"/>
      <c r="S2406" s="11"/>
      <c r="T2406" s="11"/>
      <c r="U2406" s="11">
        <f t="shared" si="739"/>
        <v>2.2999999999999998</v>
      </c>
      <c r="W2406">
        <v>2.5</v>
      </c>
      <c r="X2406" s="1" t="s">
        <v>27</v>
      </c>
    </row>
    <row r="2407" spans="1:24" x14ac:dyDescent="0.25">
      <c r="A2407" s="1" t="str">
        <f t="shared" si="741"/>
        <v>卡卡杜-凤凰仓</v>
      </c>
      <c r="B2407" s="1" t="str">
        <f>"CK20241027108"</f>
        <v>CK20241027108</v>
      </c>
      <c r="C2407" s="1" t="str">
        <f>"DD2024102722224"</f>
        <v>DD2024102722224</v>
      </c>
      <c r="D2407" s="1" t="str">
        <f>"CK2024102711370"</f>
        <v>CK2024102711370</v>
      </c>
      <c r="E2407" s="1" t="str">
        <f>"6935526028171286322"</f>
        <v>6935526028171286322</v>
      </c>
      <c r="F2407" s="1" t="str">
        <f t="shared" si="742"/>
        <v>花都四部-凤凰仓</v>
      </c>
      <c r="G2407" s="1" t="str">
        <f t="shared" si="763"/>
        <v>卡卡杜个人护理店（抖店）</v>
      </c>
      <c r="H2407" s="1" t="str">
        <f t="shared" si="743"/>
        <v>正常订单</v>
      </c>
      <c r="I2407" s="1" t="str">
        <f t="shared" si="744"/>
        <v>已发货</v>
      </c>
      <c r="J2407" s="1" t="str">
        <f t="shared" si="756"/>
        <v>3</v>
      </c>
      <c r="K2407" s="1">
        <v>2</v>
      </c>
      <c r="L2407" s="1" t="s">
        <v>36</v>
      </c>
      <c r="M2407" s="1" t="str">
        <f>"安徽省 合肥市 长丰县 岗集镇"</f>
        <v>安徽省 合肥市 长丰县 岗集镇</v>
      </c>
      <c r="N2407" s="1" t="str">
        <f t="shared" si="764"/>
        <v>凡华云仓-城南圆通-抖音</v>
      </c>
      <c r="O2407" s="5" t="s">
        <v>2443</v>
      </c>
      <c r="P2407" s="6">
        <v>0.35</v>
      </c>
      <c r="Q2407" s="11">
        <v>2.2999999999999998</v>
      </c>
      <c r="R2407" s="11"/>
      <c r="S2407" s="11"/>
      <c r="T2407" s="11"/>
      <c r="U2407" s="11">
        <f t="shared" si="739"/>
        <v>2.2999999999999998</v>
      </c>
      <c r="W2407">
        <v>2.5</v>
      </c>
      <c r="X2407" s="1" t="s">
        <v>36</v>
      </c>
    </row>
    <row r="2408" spans="1:24" x14ac:dyDescent="0.25">
      <c r="A2408" s="1" t="str">
        <f t="shared" si="741"/>
        <v>卡卡杜-凤凰仓</v>
      </c>
      <c r="B2408" s="1" t="str">
        <f>"CK20241027107"</f>
        <v>CK20241027107</v>
      </c>
      <c r="C2408" s="1" t="str">
        <f>"DD2024102722223"</f>
        <v>DD2024102722223</v>
      </c>
      <c r="D2408" s="1" t="str">
        <f>"CK2024102711369"</f>
        <v>CK2024102711369</v>
      </c>
      <c r="E2408" s="1" t="str">
        <f>"6935513300310824212"</f>
        <v>6935513300310824212</v>
      </c>
      <c r="F2408" s="1" t="str">
        <f t="shared" si="742"/>
        <v>花都四部-凤凰仓</v>
      </c>
      <c r="G2408" s="1" t="str">
        <f t="shared" si="763"/>
        <v>卡卡杜个人护理店（抖店）</v>
      </c>
      <c r="H2408" s="1" t="str">
        <f t="shared" si="743"/>
        <v>正常订单</v>
      </c>
      <c r="I2408" s="1" t="str">
        <f t="shared" si="744"/>
        <v>已发货</v>
      </c>
      <c r="J2408" s="1" t="str">
        <f t="shared" si="756"/>
        <v>3</v>
      </c>
      <c r="K2408" s="1">
        <v>2</v>
      </c>
      <c r="L2408" s="1" t="s">
        <v>13</v>
      </c>
      <c r="M2408" s="1" t="str">
        <f>"江苏省 徐州市 睢宁县 睢城街道"</f>
        <v>江苏省 徐州市 睢宁县 睢城街道</v>
      </c>
      <c r="N2408" s="1" t="str">
        <f t="shared" si="764"/>
        <v>凡华云仓-城南圆通-抖音</v>
      </c>
      <c r="O2408" s="5" t="s">
        <v>2444</v>
      </c>
      <c r="P2408" s="6">
        <v>0.35</v>
      </c>
      <c r="Q2408" s="11">
        <v>2.2999999999999998</v>
      </c>
      <c r="R2408" s="11"/>
      <c r="S2408" s="11"/>
      <c r="T2408" s="11"/>
      <c r="U2408" s="11">
        <f t="shared" si="739"/>
        <v>2.2999999999999998</v>
      </c>
      <c r="W2408">
        <v>2.5</v>
      </c>
      <c r="X2408" s="1" t="s">
        <v>13</v>
      </c>
    </row>
    <row r="2409" spans="1:24" x14ac:dyDescent="0.25">
      <c r="A2409" s="1" t="str">
        <f t="shared" si="741"/>
        <v>卡卡杜-凤凰仓</v>
      </c>
      <c r="B2409" s="1" t="str">
        <f>"CK20241027106"</f>
        <v>CK20241027106</v>
      </c>
      <c r="C2409" s="1" t="str">
        <f>"DD2024102722222"</f>
        <v>DD2024102722222</v>
      </c>
      <c r="D2409" s="1" t="str">
        <f>"CK2024102711368"</f>
        <v>CK2024102711368</v>
      </c>
      <c r="E2409" s="1" t="str">
        <f>"2430002415146349"</f>
        <v>2430002415146349</v>
      </c>
      <c r="F2409" s="1" t="str">
        <f t="shared" si="742"/>
        <v>花都四部-凤凰仓</v>
      </c>
      <c r="G2409" s="1" t="str">
        <f>"卡卡杜佳旺专卖店（快手店）"</f>
        <v>卡卡杜佳旺专卖店（快手店）</v>
      </c>
      <c r="H2409" s="1" t="str">
        <f t="shared" si="743"/>
        <v>正常订单</v>
      </c>
      <c r="I2409" s="1" t="str">
        <f t="shared" si="744"/>
        <v>已发货</v>
      </c>
      <c r="J2409" s="1" t="str">
        <f t="shared" si="756"/>
        <v>3</v>
      </c>
      <c r="K2409" s="1">
        <v>2</v>
      </c>
      <c r="L2409" s="1" t="s">
        <v>66</v>
      </c>
      <c r="M2409" s="1" t="str">
        <f>"内蒙古自治区 呼和浩特市 土默特左旗 呼和浩特经济技术开发区金川区"</f>
        <v>内蒙古自治区 呼和浩特市 土默特左旗 呼和浩特经济技术开发区金川区</v>
      </c>
      <c r="N2409" s="1" t="str">
        <f>"凡华云仓-城南圆通-快手"</f>
        <v>凡华云仓-城南圆通-快手</v>
      </c>
      <c r="O2409" s="5" t="s">
        <v>2445</v>
      </c>
      <c r="P2409" s="6">
        <v>0.35</v>
      </c>
      <c r="Q2409" s="11">
        <v>2.2999999999999998</v>
      </c>
      <c r="R2409" s="11"/>
      <c r="S2409" s="11"/>
      <c r="T2409" s="11"/>
      <c r="U2409" s="11">
        <f t="shared" si="739"/>
        <v>2.2999999999999998</v>
      </c>
      <c r="W2409">
        <v>2.5</v>
      </c>
      <c r="X2409" s="1" t="s">
        <v>66</v>
      </c>
    </row>
    <row r="2410" spans="1:24" x14ac:dyDescent="0.25">
      <c r="A2410" s="1" t="str">
        <f t="shared" si="741"/>
        <v>卡卡杜-凤凰仓</v>
      </c>
      <c r="B2410" s="1" t="str">
        <f>"CK20241027104"</f>
        <v>CK20241027104</v>
      </c>
      <c r="C2410" s="1" t="str">
        <f>"DD2024102722221"</f>
        <v>DD2024102722221</v>
      </c>
      <c r="D2410" s="1" t="str">
        <f>"CK2024102711367"</f>
        <v>CK2024102711367</v>
      </c>
      <c r="E2410" s="1" t="str">
        <f>"6935508855818098154"</f>
        <v>6935508855818098154</v>
      </c>
      <c r="F2410" s="1" t="str">
        <f t="shared" si="742"/>
        <v>花都四部-凤凰仓</v>
      </c>
      <c r="G2410" s="1" t="str">
        <f>"卡卡杜个人护理店（抖店）"</f>
        <v>卡卡杜个人护理店（抖店）</v>
      </c>
      <c r="H2410" s="1" t="str">
        <f t="shared" si="743"/>
        <v>正常订单</v>
      </c>
      <c r="I2410" s="1" t="str">
        <f t="shared" si="744"/>
        <v>已发货</v>
      </c>
      <c r="J2410" s="1" t="str">
        <f t="shared" si="756"/>
        <v>3</v>
      </c>
      <c r="K2410" s="1">
        <v>2</v>
      </c>
      <c r="L2410" s="1" t="s">
        <v>13</v>
      </c>
      <c r="M2410" s="1" t="str">
        <f>"江苏省 宿迁市 宿城区 洋河镇"</f>
        <v>江苏省 宿迁市 宿城区 洋河镇</v>
      </c>
      <c r="N2410" s="1" t="str">
        <f>"凡华云仓-城南圆通-抖音"</f>
        <v>凡华云仓-城南圆通-抖音</v>
      </c>
      <c r="O2410" s="5" t="s">
        <v>2446</v>
      </c>
      <c r="P2410" s="6">
        <v>0.35</v>
      </c>
      <c r="Q2410" s="11">
        <v>2.2999999999999998</v>
      </c>
      <c r="R2410" s="11"/>
      <c r="S2410" s="11"/>
      <c r="T2410" s="11"/>
      <c r="U2410" s="11">
        <f t="shared" si="739"/>
        <v>2.2999999999999998</v>
      </c>
      <c r="W2410">
        <v>2.5</v>
      </c>
      <c r="X2410" s="1" t="s">
        <v>13</v>
      </c>
    </row>
    <row r="2411" spans="1:24" x14ac:dyDescent="0.25">
      <c r="A2411" s="1" t="str">
        <f t="shared" si="741"/>
        <v>卡卡杜-凤凰仓</v>
      </c>
      <c r="B2411" s="1" t="str">
        <f>"CK20241027105"</f>
        <v>CK20241027105</v>
      </c>
      <c r="C2411" s="1" t="str">
        <f>"DD2024102722220"</f>
        <v>DD2024102722220</v>
      </c>
      <c r="D2411" s="1" t="str">
        <f>"CK2024102711366"</f>
        <v>CK2024102711366</v>
      </c>
      <c r="E2411" s="1" t="str">
        <f>"6935528357384492036"</f>
        <v>6935528357384492036</v>
      </c>
      <c r="F2411" s="1" t="str">
        <f t="shared" si="742"/>
        <v>花都四部-凤凰仓</v>
      </c>
      <c r="G2411" s="1" t="str">
        <f>"卡卡杜个人护理店（抖店）"</f>
        <v>卡卡杜个人护理店（抖店）</v>
      </c>
      <c r="H2411" s="1" t="str">
        <f t="shared" si="743"/>
        <v>正常订单</v>
      </c>
      <c r="I2411" s="1" t="str">
        <f t="shared" si="744"/>
        <v>已发货</v>
      </c>
      <c r="J2411" s="1" t="str">
        <f t="shared" si="756"/>
        <v>3</v>
      </c>
      <c r="K2411" s="1">
        <v>2</v>
      </c>
      <c r="L2411" s="1" t="s">
        <v>80</v>
      </c>
      <c r="M2411" s="1" t="str">
        <f>"河南省 驻马店市 上蔡县 "</f>
        <v xml:space="preserve">河南省 驻马店市 上蔡县 </v>
      </c>
      <c r="N2411" s="1" t="str">
        <f>"凡华云仓-城南圆通-抖音"</f>
        <v>凡华云仓-城南圆通-抖音</v>
      </c>
      <c r="O2411" s="5" t="s">
        <v>2447</v>
      </c>
      <c r="P2411" s="6">
        <v>0.35</v>
      </c>
      <c r="Q2411" s="11">
        <v>2.2999999999999998</v>
      </c>
      <c r="R2411" s="11"/>
      <c r="S2411" s="11"/>
      <c r="T2411" s="11"/>
      <c r="U2411" s="11">
        <f t="shared" si="739"/>
        <v>2.2999999999999998</v>
      </c>
      <c r="W2411">
        <v>2.5</v>
      </c>
      <c r="X2411" s="1" t="s">
        <v>80</v>
      </c>
    </row>
    <row r="2412" spans="1:24" x14ac:dyDescent="0.25">
      <c r="A2412" s="1" t="str">
        <f t="shared" si="741"/>
        <v>卡卡杜-凤凰仓</v>
      </c>
      <c r="B2412" s="1" t="str">
        <f>"CK20241027103"</f>
        <v>CK20241027103</v>
      </c>
      <c r="C2412" s="1" t="str">
        <f>"DD2024102722219"</f>
        <v>DD2024102722219</v>
      </c>
      <c r="D2412" s="1" t="str">
        <f>"CK2024102711365"</f>
        <v>CK2024102711365</v>
      </c>
      <c r="E2412" s="1" t="str">
        <f>"3723584310787313664"</f>
        <v>3723584310787313664</v>
      </c>
      <c r="F2412" s="1" t="str">
        <f t="shared" si="742"/>
        <v>花都四部-凤凰仓</v>
      </c>
      <c r="G2412" s="1" t="str">
        <f t="shared" ref="G2412:G2442" si="765">"卡卡杜企业店（视频号）"</f>
        <v>卡卡杜企业店（视频号）</v>
      </c>
      <c r="H2412" s="1" t="str">
        <f t="shared" si="743"/>
        <v>正常订单</v>
      </c>
      <c r="I2412" s="1" t="str">
        <f t="shared" si="744"/>
        <v>已发货</v>
      </c>
      <c r="J2412" s="1" t="str">
        <f t="shared" si="756"/>
        <v>3</v>
      </c>
      <c r="K2412" s="1">
        <v>2</v>
      </c>
      <c r="L2412" s="1" t="s">
        <v>105</v>
      </c>
      <c r="M2412" s="1" t="str">
        <f>"北京 北京市 海淀区 "</f>
        <v xml:space="preserve">北京 北京市 海淀区 </v>
      </c>
      <c r="N2412" s="1" t="str">
        <f t="shared" ref="N2412:N2442" si="766">"凡华云仓-城南圆通-微信视频号"</f>
        <v>凡华云仓-城南圆通-微信视频号</v>
      </c>
      <c r="O2412" s="5" t="s">
        <v>2448</v>
      </c>
      <c r="P2412" s="6">
        <v>0.24</v>
      </c>
      <c r="Q2412" s="11">
        <v>2</v>
      </c>
      <c r="R2412" s="11"/>
      <c r="S2412" s="11"/>
      <c r="T2412" s="11"/>
      <c r="U2412" s="11">
        <f t="shared" si="739"/>
        <v>2</v>
      </c>
      <c r="W2412">
        <v>2.2000000000000002</v>
      </c>
      <c r="X2412" s="1" t="s">
        <v>105</v>
      </c>
    </row>
    <row r="2413" spans="1:24" x14ac:dyDescent="0.25">
      <c r="A2413" s="1" t="str">
        <f t="shared" si="741"/>
        <v>卡卡杜-凤凰仓</v>
      </c>
      <c r="B2413" s="1" t="str">
        <f>"CK20241027101"</f>
        <v>CK20241027101</v>
      </c>
      <c r="C2413" s="1" t="str">
        <f>"DD2024102722218"</f>
        <v>DD2024102722218</v>
      </c>
      <c r="D2413" s="1" t="str">
        <f>"CK2024102711364"</f>
        <v>CK2024102711364</v>
      </c>
      <c r="E2413" s="1" t="str">
        <f>"3723584312461100545"</f>
        <v>3723584312461100545</v>
      </c>
      <c r="F2413" s="1" t="str">
        <f t="shared" si="742"/>
        <v>花都四部-凤凰仓</v>
      </c>
      <c r="G2413" s="1" t="str">
        <f t="shared" si="765"/>
        <v>卡卡杜企业店（视频号）</v>
      </c>
      <c r="H2413" s="1" t="str">
        <f t="shared" si="743"/>
        <v>正常订单</v>
      </c>
      <c r="I2413" s="1" t="str">
        <f t="shared" si="744"/>
        <v>已发货</v>
      </c>
      <c r="J2413" s="1" t="str">
        <f>"2"</f>
        <v>2</v>
      </c>
      <c r="K2413" s="1">
        <v>2</v>
      </c>
      <c r="L2413" s="1" t="s">
        <v>13</v>
      </c>
      <c r="M2413" s="1" t="str">
        <f>"江苏省 常州市 天宁区 "</f>
        <v xml:space="preserve">江苏省 常州市 天宁区 </v>
      </c>
      <c r="N2413" s="1" t="str">
        <f t="shared" si="766"/>
        <v>凡华云仓-城南圆通-微信视频号</v>
      </c>
      <c r="O2413" s="5" t="s">
        <v>2449</v>
      </c>
      <c r="P2413" s="6">
        <v>0.17</v>
      </c>
      <c r="Q2413" s="11">
        <v>2</v>
      </c>
      <c r="R2413" s="11"/>
      <c r="S2413" s="11"/>
      <c r="T2413" s="11"/>
      <c r="U2413" s="11">
        <f t="shared" si="739"/>
        <v>2</v>
      </c>
      <c r="W2413">
        <v>2.2000000000000002</v>
      </c>
      <c r="X2413" s="1" t="s">
        <v>13</v>
      </c>
    </row>
    <row r="2414" spans="1:24" x14ac:dyDescent="0.25">
      <c r="A2414" s="1" t="str">
        <f t="shared" si="741"/>
        <v>卡卡杜-凤凰仓</v>
      </c>
      <c r="B2414" s="1" t="str">
        <f>"CK20241027102"</f>
        <v>CK20241027102</v>
      </c>
      <c r="C2414" s="1" t="str">
        <f>"DD2024102722217"</f>
        <v>DD2024102722217</v>
      </c>
      <c r="D2414" s="1" t="str">
        <f>"CK2024102711363"</f>
        <v>CK2024102711363</v>
      </c>
      <c r="E2414" s="1" t="str">
        <f>"3723584312242999296"</f>
        <v>3723584312242999296</v>
      </c>
      <c r="F2414" s="1" t="str">
        <f t="shared" si="742"/>
        <v>花都四部-凤凰仓</v>
      </c>
      <c r="G2414" s="1" t="str">
        <f t="shared" si="765"/>
        <v>卡卡杜企业店（视频号）</v>
      </c>
      <c r="H2414" s="1" t="str">
        <f t="shared" si="743"/>
        <v>正常订单</v>
      </c>
      <c r="I2414" s="1" t="str">
        <f t="shared" si="744"/>
        <v>已发货</v>
      </c>
      <c r="J2414" s="1" t="str">
        <f t="shared" ref="J2414:J2417" si="767">"3"</f>
        <v>3</v>
      </c>
      <c r="K2414" s="1">
        <v>2</v>
      </c>
      <c r="L2414" s="1" t="s">
        <v>13</v>
      </c>
      <c r="M2414" s="1" t="str">
        <f>"江苏省 南京市 建邺区 "</f>
        <v xml:space="preserve">江苏省 南京市 建邺区 </v>
      </c>
      <c r="N2414" s="1" t="str">
        <f t="shared" si="766"/>
        <v>凡华云仓-城南圆通-微信视频号</v>
      </c>
      <c r="O2414" s="5" t="s">
        <v>2450</v>
      </c>
      <c r="P2414" s="6">
        <v>0.24</v>
      </c>
      <c r="Q2414" s="11">
        <v>2</v>
      </c>
      <c r="R2414" s="11"/>
      <c r="S2414" s="11"/>
      <c r="T2414" s="11"/>
      <c r="U2414" s="11">
        <f t="shared" si="739"/>
        <v>2</v>
      </c>
      <c r="W2414">
        <v>2.2000000000000002</v>
      </c>
      <c r="X2414" s="1" t="s">
        <v>13</v>
      </c>
    </row>
    <row r="2415" spans="1:24" x14ac:dyDescent="0.25">
      <c r="A2415" s="1" t="str">
        <f t="shared" si="741"/>
        <v>卡卡杜-凤凰仓</v>
      </c>
      <c r="B2415" s="1" t="str">
        <f>"CK20241027100"</f>
        <v>CK20241027100</v>
      </c>
      <c r="C2415" s="1" t="str">
        <f>"DD2024102722216"</f>
        <v>DD2024102722216</v>
      </c>
      <c r="D2415" s="1" t="str">
        <f>"CK2024102711362"</f>
        <v>CK2024102711362</v>
      </c>
      <c r="E2415" s="1" t="str">
        <f>"3723584313055383552"</f>
        <v>3723584313055383552</v>
      </c>
      <c r="F2415" s="1" t="str">
        <f t="shared" si="742"/>
        <v>花都四部-凤凰仓</v>
      </c>
      <c r="G2415" s="1" t="str">
        <f t="shared" si="765"/>
        <v>卡卡杜企业店（视频号）</v>
      </c>
      <c r="H2415" s="1" t="str">
        <f t="shared" si="743"/>
        <v>正常订单</v>
      </c>
      <c r="I2415" s="1" t="str">
        <f t="shared" si="744"/>
        <v>已发货</v>
      </c>
      <c r="J2415" s="1" t="str">
        <f t="shared" si="767"/>
        <v>3</v>
      </c>
      <c r="K2415" s="1">
        <v>2</v>
      </c>
      <c r="L2415" s="1" t="s">
        <v>74</v>
      </c>
      <c r="M2415" s="1" t="str">
        <f>"上海 上海市 虹口区 "</f>
        <v xml:space="preserve">上海 上海市 虹口区 </v>
      </c>
      <c r="N2415" s="1" t="str">
        <f t="shared" si="766"/>
        <v>凡华云仓-城南圆通-微信视频号</v>
      </c>
      <c r="O2415" s="5" t="s">
        <v>2451</v>
      </c>
      <c r="P2415" s="6">
        <v>0.24</v>
      </c>
      <c r="Q2415" s="11">
        <v>2</v>
      </c>
      <c r="R2415" s="11"/>
      <c r="S2415" s="11"/>
      <c r="T2415" s="11"/>
      <c r="U2415" s="11">
        <f t="shared" si="739"/>
        <v>2</v>
      </c>
      <c r="W2415">
        <v>2.2000000000000002</v>
      </c>
      <c r="X2415" s="1" t="s">
        <v>74</v>
      </c>
    </row>
    <row r="2416" spans="1:24" x14ac:dyDescent="0.25">
      <c r="A2416" s="1" t="str">
        <f t="shared" si="741"/>
        <v>卡卡杜-凤凰仓</v>
      </c>
      <c r="B2416" s="1" t="str">
        <f>"CK2024102799"</f>
        <v>CK2024102799</v>
      </c>
      <c r="C2416" s="1" t="str">
        <f>"DD2024102722215"</f>
        <v>DD2024102722215</v>
      </c>
      <c r="D2416" s="1" t="str">
        <f>"CK2024102711361"</f>
        <v>CK2024102711361</v>
      </c>
      <c r="E2416" s="1" t="str">
        <f>"3723584313281352704"</f>
        <v>3723584313281352704</v>
      </c>
      <c r="F2416" s="1" t="str">
        <f t="shared" si="742"/>
        <v>花都四部-凤凰仓</v>
      </c>
      <c r="G2416" s="1" t="str">
        <f t="shared" si="765"/>
        <v>卡卡杜企业店（视频号）</v>
      </c>
      <c r="H2416" s="1" t="str">
        <f t="shared" si="743"/>
        <v>正常订单</v>
      </c>
      <c r="I2416" s="1" t="str">
        <f t="shared" si="744"/>
        <v>已发货</v>
      </c>
      <c r="J2416" s="1" t="str">
        <f t="shared" si="767"/>
        <v>3</v>
      </c>
      <c r="K2416" s="1">
        <v>2</v>
      </c>
      <c r="L2416" s="1" t="s">
        <v>16</v>
      </c>
      <c r="M2416" s="1" t="str">
        <f>"河北省 张家口市 桥东区 "</f>
        <v xml:space="preserve">河北省 张家口市 桥东区 </v>
      </c>
      <c r="N2416" s="1" t="str">
        <f t="shared" si="766"/>
        <v>凡华云仓-城南圆通-微信视频号</v>
      </c>
      <c r="O2416" s="5" t="s">
        <v>2452</v>
      </c>
      <c r="P2416" s="6">
        <v>0.24</v>
      </c>
      <c r="Q2416" s="11">
        <v>2</v>
      </c>
      <c r="R2416" s="11"/>
      <c r="S2416" s="11"/>
      <c r="T2416" s="11"/>
      <c r="U2416" s="11">
        <f t="shared" si="739"/>
        <v>2</v>
      </c>
      <c r="W2416">
        <v>2.2000000000000002</v>
      </c>
      <c r="X2416" s="1" t="s">
        <v>16</v>
      </c>
    </row>
    <row r="2417" spans="1:24" x14ac:dyDescent="0.25">
      <c r="A2417" s="1" t="str">
        <f t="shared" si="741"/>
        <v>卡卡杜-凤凰仓</v>
      </c>
      <c r="B2417" s="1" t="str">
        <f>"CK2024102798"</f>
        <v>CK2024102798</v>
      </c>
      <c r="C2417" s="1" t="str">
        <f>"DD2024102722214"</f>
        <v>DD2024102722214</v>
      </c>
      <c r="D2417" s="1" t="str">
        <f>"CK2024102711360"</f>
        <v>CK2024102711360</v>
      </c>
      <c r="E2417" s="1" t="str">
        <f>"3723584314691424256"</f>
        <v>3723584314691424256</v>
      </c>
      <c r="F2417" s="1" t="str">
        <f t="shared" si="742"/>
        <v>花都四部-凤凰仓</v>
      </c>
      <c r="G2417" s="1" t="str">
        <f t="shared" si="765"/>
        <v>卡卡杜企业店（视频号）</v>
      </c>
      <c r="H2417" s="1" t="str">
        <f t="shared" si="743"/>
        <v>正常订单</v>
      </c>
      <c r="I2417" s="1" t="str">
        <f t="shared" si="744"/>
        <v>已发货</v>
      </c>
      <c r="J2417" s="1" t="str">
        <f t="shared" si="767"/>
        <v>3</v>
      </c>
      <c r="K2417" s="1">
        <v>2</v>
      </c>
      <c r="L2417" s="1" t="s">
        <v>13</v>
      </c>
      <c r="M2417" s="1" t="str">
        <f>"江苏省 南京市 秦淮区 "</f>
        <v xml:space="preserve">江苏省 南京市 秦淮区 </v>
      </c>
      <c r="N2417" s="1" t="str">
        <f t="shared" si="766"/>
        <v>凡华云仓-城南圆通-微信视频号</v>
      </c>
      <c r="O2417" s="5" t="s">
        <v>2453</v>
      </c>
      <c r="P2417" s="6">
        <v>0.24</v>
      </c>
      <c r="Q2417" s="11">
        <v>2</v>
      </c>
      <c r="R2417" s="11"/>
      <c r="S2417" s="11"/>
      <c r="T2417" s="11"/>
      <c r="U2417" s="11">
        <f t="shared" si="739"/>
        <v>2</v>
      </c>
      <c r="W2417">
        <v>2.2000000000000002</v>
      </c>
      <c r="X2417" s="1" t="s">
        <v>13</v>
      </c>
    </row>
    <row r="2418" spans="1:24" x14ac:dyDescent="0.25">
      <c r="A2418" s="1" t="str">
        <f t="shared" si="741"/>
        <v>卡卡杜-凤凰仓</v>
      </c>
      <c r="B2418" s="1" t="str">
        <f>"CK2024102797"</f>
        <v>CK2024102797</v>
      </c>
      <c r="C2418" s="1" t="str">
        <f>"DD2024102722213"</f>
        <v>DD2024102722213</v>
      </c>
      <c r="D2418" s="1" t="str">
        <f>"CK2024102711359"</f>
        <v>CK2024102711359</v>
      </c>
      <c r="E2418" s="1" t="str">
        <f>"3723584315517437184"</f>
        <v>3723584315517437184</v>
      </c>
      <c r="F2418" s="1" t="str">
        <f t="shared" si="742"/>
        <v>花都四部-凤凰仓</v>
      </c>
      <c r="G2418" s="1" t="str">
        <f t="shared" si="765"/>
        <v>卡卡杜企业店（视频号）</v>
      </c>
      <c r="H2418" s="1" t="str">
        <f t="shared" si="743"/>
        <v>正常订单</v>
      </c>
      <c r="I2418" s="1" t="str">
        <f t="shared" si="744"/>
        <v>已发货</v>
      </c>
      <c r="J2418" s="1" t="str">
        <f>"2"</f>
        <v>2</v>
      </c>
      <c r="K2418" s="1">
        <v>2</v>
      </c>
      <c r="L2418" s="1" t="s">
        <v>13</v>
      </c>
      <c r="M2418" s="1" t="str">
        <f>"江苏省 苏州市 相城区 "</f>
        <v xml:space="preserve">江苏省 苏州市 相城区 </v>
      </c>
      <c r="N2418" s="1" t="str">
        <f t="shared" si="766"/>
        <v>凡华云仓-城南圆通-微信视频号</v>
      </c>
      <c r="O2418" s="5" t="s">
        <v>2454</v>
      </c>
      <c r="P2418" s="6">
        <v>0.17</v>
      </c>
      <c r="Q2418" s="11">
        <v>2</v>
      </c>
      <c r="R2418" s="11"/>
      <c r="S2418" s="11"/>
      <c r="T2418" s="11"/>
      <c r="U2418" s="11">
        <f t="shared" si="739"/>
        <v>2</v>
      </c>
      <c r="W2418">
        <v>2.2000000000000002</v>
      </c>
      <c r="X2418" s="1" t="s">
        <v>13</v>
      </c>
    </row>
    <row r="2419" spans="1:24" x14ac:dyDescent="0.25">
      <c r="A2419" s="1" t="str">
        <f t="shared" si="741"/>
        <v>卡卡杜-凤凰仓</v>
      </c>
      <c r="B2419" s="1" t="str">
        <f>"CK2024102796"</f>
        <v>CK2024102796</v>
      </c>
      <c r="C2419" s="1" t="str">
        <f>"DD2024102722212"</f>
        <v>DD2024102722212</v>
      </c>
      <c r="D2419" s="1" t="str">
        <f>"CK2024102711358"</f>
        <v>CK2024102711358</v>
      </c>
      <c r="E2419" s="1" t="str">
        <f>"3723584315963084800"</f>
        <v>3723584315963084800</v>
      </c>
      <c r="F2419" s="1" t="str">
        <f t="shared" si="742"/>
        <v>花都四部-凤凰仓</v>
      </c>
      <c r="G2419" s="1" t="str">
        <f t="shared" si="765"/>
        <v>卡卡杜企业店（视频号）</v>
      </c>
      <c r="H2419" s="1" t="str">
        <f t="shared" si="743"/>
        <v>正常订单</v>
      </c>
      <c r="I2419" s="1" t="str">
        <f t="shared" si="744"/>
        <v>已发货</v>
      </c>
      <c r="J2419" s="1" t="str">
        <f t="shared" ref="J2419:J2426" si="768">"3"</f>
        <v>3</v>
      </c>
      <c r="K2419" s="1">
        <v>2</v>
      </c>
      <c r="L2419" s="1" t="s">
        <v>18</v>
      </c>
      <c r="M2419" s="1" t="str">
        <f>"广东省 广州市 荔湾区 "</f>
        <v xml:space="preserve">广东省 广州市 荔湾区 </v>
      </c>
      <c r="N2419" s="1" t="str">
        <f t="shared" si="766"/>
        <v>凡华云仓-城南圆通-微信视频号</v>
      </c>
      <c r="O2419" s="5" t="s">
        <v>2455</v>
      </c>
      <c r="P2419" s="6">
        <v>0.24</v>
      </c>
      <c r="Q2419" s="11">
        <v>2</v>
      </c>
      <c r="R2419" s="11"/>
      <c r="S2419" s="11"/>
      <c r="T2419" s="11"/>
      <c r="U2419" s="11">
        <f t="shared" si="739"/>
        <v>2</v>
      </c>
      <c r="W2419">
        <v>2.2000000000000002</v>
      </c>
      <c r="X2419" s="1" t="s">
        <v>18</v>
      </c>
    </row>
    <row r="2420" spans="1:24" x14ac:dyDescent="0.25">
      <c r="A2420" s="1" t="str">
        <f t="shared" si="741"/>
        <v>卡卡杜-凤凰仓</v>
      </c>
      <c r="B2420" s="1" t="str">
        <f>"CK2024102795"</f>
        <v>CK2024102795</v>
      </c>
      <c r="C2420" s="1" t="str">
        <f>"DD2024102722211"</f>
        <v>DD2024102722211</v>
      </c>
      <c r="D2420" s="1" t="str">
        <f>"CK2024102711357"</f>
        <v>CK2024102711357</v>
      </c>
      <c r="E2420" s="1" t="str">
        <f>"3723584314707939328"</f>
        <v>3723584314707939328</v>
      </c>
      <c r="F2420" s="1" t="str">
        <f t="shared" si="742"/>
        <v>花都四部-凤凰仓</v>
      </c>
      <c r="G2420" s="1" t="str">
        <f t="shared" si="765"/>
        <v>卡卡杜企业店（视频号）</v>
      </c>
      <c r="H2420" s="1" t="str">
        <f t="shared" si="743"/>
        <v>正常订单</v>
      </c>
      <c r="I2420" s="1" t="str">
        <f t="shared" si="744"/>
        <v>已发货</v>
      </c>
      <c r="J2420" s="1" t="str">
        <f t="shared" si="768"/>
        <v>3</v>
      </c>
      <c r="K2420" s="1">
        <v>2</v>
      </c>
      <c r="L2420" s="1" t="s">
        <v>105</v>
      </c>
      <c r="M2420" s="1" t="str">
        <f>"北京 北京市 西城区 "</f>
        <v xml:space="preserve">北京 北京市 西城区 </v>
      </c>
      <c r="N2420" s="1" t="str">
        <f t="shared" si="766"/>
        <v>凡华云仓-城南圆通-微信视频号</v>
      </c>
      <c r="O2420" s="5" t="s">
        <v>2456</v>
      </c>
      <c r="P2420" s="6">
        <v>0.24</v>
      </c>
      <c r="Q2420" s="11">
        <v>2</v>
      </c>
      <c r="R2420" s="11"/>
      <c r="S2420" s="11"/>
      <c r="T2420" s="11"/>
      <c r="U2420" s="11">
        <f t="shared" si="739"/>
        <v>2</v>
      </c>
      <c r="W2420">
        <v>2.2000000000000002</v>
      </c>
      <c r="X2420" s="1" t="s">
        <v>105</v>
      </c>
    </row>
    <row r="2421" spans="1:24" x14ac:dyDescent="0.25">
      <c r="A2421" s="1" t="str">
        <f t="shared" si="741"/>
        <v>卡卡杜-凤凰仓</v>
      </c>
      <c r="B2421" s="1" t="str">
        <f>"CK2024102794"</f>
        <v>CK2024102794</v>
      </c>
      <c r="C2421" s="1" t="str">
        <f>"DD2024102722210"</f>
        <v>DD2024102722210</v>
      </c>
      <c r="D2421" s="1" t="str">
        <f>"CK2024102711356"</f>
        <v>CK2024102711356</v>
      </c>
      <c r="E2421" s="1" t="str">
        <f>"3723584314340672768"</f>
        <v>3723584314340672768</v>
      </c>
      <c r="F2421" s="1" t="str">
        <f t="shared" si="742"/>
        <v>花都四部-凤凰仓</v>
      </c>
      <c r="G2421" s="1" t="str">
        <f t="shared" si="765"/>
        <v>卡卡杜企业店（视频号）</v>
      </c>
      <c r="H2421" s="1" t="str">
        <f t="shared" si="743"/>
        <v>正常订单</v>
      </c>
      <c r="I2421" s="1" t="str">
        <f t="shared" si="744"/>
        <v>已发货</v>
      </c>
      <c r="J2421" s="1" t="str">
        <f t="shared" si="768"/>
        <v>3</v>
      </c>
      <c r="K2421" s="1">
        <v>2</v>
      </c>
      <c r="L2421" s="1" t="s">
        <v>18</v>
      </c>
      <c r="M2421" s="1" t="str">
        <f>"广东省 潮州市 湘桥区 "</f>
        <v xml:space="preserve">广东省 潮州市 湘桥区 </v>
      </c>
      <c r="N2421" s="1" t="str">
        <f t="shared" si="766"/>
        <v>凡华云仓-城南圆通-微信视频号</v>
      </c>
      <c r="O2421" s="5" t="s">
        <v>2457</v>
      </c>
      <c r="P2421" s="6">
        <v>0.24</v>
      </c>
      <c r="Q2421" s="11">
        <v>2</v>
      </c>
      <c r="R2421" s="11"/>
      <c r="S2421" s="11"/>
      <c r="T2421" s="11"/>
      <c r="U2421" s="11">
        <f t="shared" si="739"/>
        <v>2</v>
      </c>
      <c r="W2421">
        <v>2.2000000000000002</v>
      </c>
      <c r="X2421" s="1" t="s">
        <v>18</v>
      </c>
    </row>
    <row r="2422" spans="1:24" x14ac:dyDescent="0.25">
      <c r="A2422" s="1" t="str">
        <f t="shared" si="741"/>
        <v>卡卡杜-凤凰仓</v>
      </c>
      <c r="B2422" s="1" t="str">
        <f>"CK2024102793"</f>
        <v>CK2024102793</v>
      </c>
      <c r="C2422" s="1" t="str">
        <f>"DD2024102722209"</f>
        <v>DD2024102722209</v>
      </c>
      <c r="D2422" s="1" t="str">
        <f>"CK2024102711355"</f>
        <v>CK2024102711355</v>
      </c>
      <c r="E2422" s="1" t="str">
        <f>"3723584314393363712"</f>
        <v>3723584314393363712</v>
      </c>
      <c r="F2422" s="1" t="str">
        <f t="shared" si="742"/>
        <v>花都四部-凤凰仓</v>
      </c>
      <c r="G2422" s="1" t="str">
        <f t="shared" si="765"/>
        <v>卡卡杜企业店（视频号）</v>
      </c>
      <c r="H2422" s="1" t="str">
        <f t="shared" si="743"/>
        <v>正常订单</v>
      </c>
      <c r="I2422" s="1" t="str">
        <f t="shared" si="744"/>
        <v>已发货</v>
      </c>
      <c r="J2422" s="1" t="str">
        <f t="shared" si="768"/>
        <v>3</v>
      </c>
      <c r="K2422" s="1">
        <v>2</v>
      </c>
      <c r="L2422" s="1" t="s">
        <v>41</v>
      </c>
      <c r="M2422" s="1" t="str">
        <f>"湖北省 武汉市 洪山区 "</f>
        <v xml:space="preserve">湖北省 武汉市 洪山区 </v>
      </c>
      <c r="N2422" s="1" t="str">
        <f t="shared" si="766"/>
        <v>凡华云仓-城南圆通-微信视频号</v>
      </c>
      <c r="O2422" s="5" t="s">
        <v>2458</v>
      </c>
      <c r="P2422" s="6">
        <v>0.24</v>
      </c>
      <c r="Q2422" s="11">
        <v>2</v>
      </c>
      <c r="R2422" s="11"/>
      <c r="S2422" s="11"/>
      <c r="T2422" s="11"/>
      <c r="U2422" s="11">
        <f t="shared" si="739"/>
        <v>2</v>
      </c>
      <c r="W2422">
        <v>2.2000000000000002</v>
      </c>
      <c r="X2422" s="1" t="s">
        <v>41</v>
      </c>
    </row>
    <row r="2423" spans="1:24" x14ac:dyDescent="0.25">
      <c r="A2423" s="1" t="str">
        <f t="shared" si="741"/>
        <v>卡卡杜-凤凰仓</v>
      </c>
      <c r="B2423" s="1" t="str">
        <f>"CK2024102789"</f>
        <v>CK2024102789</v>
      </c>
      <c r="C2423" s="1" t="str">
        <f>"DD2024102722208"</f>
        <v>DD2024102722208</v>
      </c>
      <c r="D2423" s="1" t="str">
        <f>"CK2024102711354"</f>
        <v>CK2024102711354</v>
      </c>
      <c r="E2423" s="1" t="str">
        <f>"3723584323423704064"</f>
        <v>3723584323423704064</v>
      </c>
      <c r="F2423" s="1" t="str">
        <f t="shared" si="742"/>
        <v>花都四部-凤凰仓</v>
      </c>
      <c r="G2423" s="1" t="str">
        <f t="shared" si="765"/>
        <v>卡卡杜企业店（视频号）</v>
      </c>
      <c r="H2423" s="1" t="str">
        <f t="shared" si="743"/>
        <v>正常订单</v>
      </c>
      <c r="I2423" s="1" t="str">
        <f t="shared" si="744"/>
        <v>已发货</v>
      </c>
      <c r="J2423" s="1" t="str">
        <f t="shared" si="768"/>
        <v>3</v>
      </c>
      <c r="K2423" s="1">
        <v>2</v>
      </c>
      <c r="L2423" s="1" t="s">
        <v>66</v>
      </c>
      <c r="M2423" s="1" t="str">
        <f>"内蒙古自治区 锡林郭勒盟 锡林浩特市 "</f>
        <v xml:space="preserve">内蒙古自治区 锡林郭勒盟 锡林浩特市 </v>
      </c>
      <c r="N2423" s="1" t="str">
        <f t="shared" si="766"/>
        <v>凡华云仓-城南圆通-微信视频号</v>
      </c>
      <c r="O2423" s="5" t="s">
        <v>2459</v>
      </c>
      <c r="P2423" s="6">
        <v>0.24</v>
      </c>
      <c r="Q2423" s="11">
        <v>2</v>
      </c>
      <c r="R2423" s="11"/>
      <c r="S2423" s="11"/>
      <c r="T2423" s="11"/>
      <c r="U2423" s="11">
        <f t="shared" si="739"/>
        <v>2</v>
      </c>
      <c r="W2423">
        <v>2.2000000000000002</v>
      </c>
      <c r="X2423" s="1" t="s">
        <v>66</v>
      </c>
    </row>
    <row r="2424" spans="1:24" x14ac:dyDescent="0.25">
      <c r="A2424" s="1" t="str">
        <f t="shared" si="741"/>
        <v>卡卡杜-凤凰仓</v>
      </c>
      <c r="B2424" s="1" t="str">
        <f>"CK2024102792"</f>
        <v>CK2024102792</v>
      </c>
      <c r="C2424" s="1" t="str">
        <f>"DD2024102722207"</f>
        <v>DD2024102722207</v>
      </c>
      <c r="D2424" s="1" t="str">
        <f>"CK2024102711353"</f>
        <v>CK2024102711353</v>
      </c>
      <c r="E2424" s="1" t="str">
        <f>"3723584321072796672"</f>
        <v>3723584321072796672</v>
      </c>
      <c r="F2424" s="1" t="str">
        <f t="shared" si="742"/>
        <v>花都四部-凤凰仓</v>
      </c>
      <c r="G2424" s="1" t="str">
        <f t="shared" si="765"/>
        <v>卡卡杜企业店（视频号）</v>
      </c>
      <c r="H2424" s="1" t="str">
        <f t="shared" si="743"/>
        <v>正常订单</v>
      </c>
      <c r="I2424" s="1" t="str">
        <f t="shared" si="744"/>
        <v>已发货</v>
      </c>
      <c r="J2424" s="1" t="str">
        <f t="shared" si="768"/>
        <v>3</v>
      </c>
      <c r="K2424" s="1">
        <v>2</v>
      </c>
      <c r="L2424" s="1" t="s">
        <v>18</v>
      </c>
      <c r="M2424" s="1" t="str">
        <f>"广东省 深圳市 龙岗区 "</f>
        <v xml:space="preserve">广东省 深圳市 龙岗区 </v>
      </c>
      <c r="N2424" s="1" t="str">
        <f t="shared" si="766"/>
        <v>凡华云仓-城南圆通-微信视频号</v>
      </c>
      <c r="O2424" s="5" t="s">
        <v>2460</v>
      </c>
      <c r="P2424" s="6">
        <v>0.24</v>
      </c>
      <c r="Q2424" s="11">
        <v>2</v>
      </c>
      <c r="R2424" s="11"/>
      <c r="S2424" s="11"/>
      <c r="T2424" s="11"/>
      <c r="U2424" s="11">
        <f t="shared" si="739"/>
        <v>2</v>
      </c>
      <c r="W2424">
        <v>2.2000000000000002</v>
      </c>
      <c r="X2424" s="1" t="s">
        <v>18</v>
      </c>
    </row>
    <row r="2425" spans="1:24" x14ac:dyDescent="0.25">
      <c r="A2425" s="1" t="str">
        <f t="shared" si="741"/>
        <v>卡卡杜-凤凰仓</v>
      </c>
      <c r="B2425" s="1" t="str">
        <f>"CK2024102791"</f>
        <v>CK2024102791</v>
      </c>
      <c r="C2425" s="1" t="str">
        <f>"DD2024102722206"</f>
        <v>DD2024102722206</v>
      </c>
      <c r="D2425" s="1" t="str">
        <f>"CK2024102711352"</f>
        <v>CK2024102711352</v>
      </c>
      <c r="E2425" s="1" t="str">
        <f>"3723584322260831232"</f>
        <v>3723584322260831232</v>
      </c>
      <c r="F2425" s="1" t="str">
        <f t="shared" si="742"/>
        <v>花都四部-凤凰仓</v>
      </c>
      <c r="G2425" s="1" t="str">
        <f t="shared" si="765"/>
        <v>卡卡杜企业店（视频号）</v>
      </c>
      <c r="H2425" s="1" t="str">
        <f t="shared" si="743"/>
        <v>正常订单</v>
      </c>
      <c r="I2425" s="1" t="str">
        <f t="shared" si="744"/>
        <v>已发货</v>
      </c>
      <c r="J2425" s="1" t="str">
        <f t="shared" si="768"/>
        <v>3</v>
      </c>
      <c r="K2425" s="1">
        <v>2</v>
      </c>
      <c r="L2425" s="1" t="s">
        <v>30</v>
      </c>
      <c r="M2425" s="1" t="str">
        <f>"山东省 青岛市 城阳区 "</f>
        <v xml:space="preserve">山东省 青岛市 城阳区 </v>
      </c>
      <c r="N2425" s="1" t="str">
        <f t="shared" si="766"/>
        <v>凡华云仓-城南圆通-微信视频号</v>
      </c>
      <c r="O2425" s="5" t="s">
        <v>2461</v>
      </c>
      <c r="P2425" s="6">
        <v>0.24</v>
      </c>
      <c r="Q2425" s="11">
        <v>2</v>
      </c>
      <c r="R2425" s="11"/>
      <c r="S2425" s="11"/>
      <c r="T2425" s="11"/>
      <c r="U2425" s="11">
        <f t="shared" si="739"/>
        <v>2</v>
      </c>
      <c r="W2425">
        <v>2.2000000000000002</v>
      </c>
      <c r="X2425" s="1" t="s">
        <v>30</v>
      </c>
    </row>
    <row r="2426" spans="1:24" x14ac:dyDescent="0.25">
      <c r="A2426" s="1" t="str">
        <f t="shared" si="741"/>
        <v>卡卡杜-凤凰仓</v>
      </c>
      <c r="B2426" s="1" t="str">
        <f>"CK2024102790"</f>
        <v>CK2024102790</v>
      </c>
      <c r="C2426" s="1" t="str">
        <f>"DD2024102722205"</f>
        <v>DD2024102722205</v>
      </c>
      <c r="D2426" s="1" t="str">
        <f>"CK2024102711351"</f>
        <v>CK2024102711351</v>
      </c>
      <c r="E2426" s="1" t="str">
        <f>"3723584321491962882"</f>
        <v>3723584321491962882</v>
      </c>
      <c r="F2426" s="1" t="str">
        <f t="shared" si="742"/>
        <v>花都四部-凤凰仓</v>
      </c>
      <c r="G2426" s="1" t="str">
        <f t="shared" si="765"/>
        <v>卡卡杜企业店（视频号）</v>
      </c>
      <c r="H2426" s="1" t="str">
        <f t="shared" si="743"/>
        <v>正常订单</v>
      </c>
      <c r="I2426" s="1" t="str">
        <f t="shared" si="744"/>
        <v>已发货</v>
      </c>
      <c r="J2426" s="1" t="str">
        <f t="shared" si="768"/>
        <v>3</v>
      </c>
      <c r="K2426" s="1">
        <v>2</v>
      </c>
      <c r="L2426" s="1" t="s">
        <v>44</v>
      </c>
      <c r="M2426" s="1" t="str">
        <f>"海南省 三亚市 海棠区 "</f>
        <v xml:space="preserve">海南省 三亚市 海棠区 </v>
      </c>
      <c r="N2426" s="1" t="str">
        <f t="shared" si="766"/>
        <v>凡华云仓-城南圆通-微信视频号</v>
      </c>
      <c r="O2426" s="5" t="s">
        <v>2462</v>
      </c>
      <c r="P2426" s="6">
        <v>0.24</v>
      </c>
      <c r="Q2426" s="11">
        <v>2</v>
      </c>
      <c r="R2426" s="11"/>
      <c r="S2426" s="11"/>
      <c r="T2426" s="11"/>
      <c r="U2426" s="11">
        <f t="shared" si="739"/>
        <v>2</v>
      </c>
      <c r="W2426">
        <v>2.2000000000000002</v>
      </c>
      <c r="X2426" s="1" t="s">
        <v>44</v>
      </c>
    </row>
    <row r="2427" spans="1:24" x14ac:dyDescent="0.25">
      <c r="A2427" s="1" t="str">
        <f t="shared" si="741"/>
        <v>卡卡杜-凤凰仓</v>
      </c>
      <c r="B2427" s="1" t="str">
        <f>"CK2024102788"</f>
        <v>CK2024102788</v>
      </c>
      <c r="C2427" s="1" t="str">
        <f>"DD2024102722204"</f>
        <v>DD2024102722204</v>
      </c>
      <c r="D2427" s="1" t="str">
        <f>"CK2024102711350"</f>
        <v>CK2024102711350</v>
      </c>
      <c r="E2427" s="1" t="str">
        <f>"3723584324593911040"</f>
        <v>3723584324593911040</v>
      </c>
      <c r="F2427" s="1" t="str">
        <f t="shared" si="742"/>
        <v>花都四部-凤凰仓</v>
      </c>
      <c r="G2427" s="1" t="str">
        <f t="shared" si="765"/>
        <v>卡卡杜企业店（视频号）</v>
      </c>
      <c r="H2427" s="1" t="str">
        <f t="shared" si="743"/>
        <v>正常订单</v>
      </c>
      <c r="I2427" s="1" t="str">
        <f t="shared" si="744"/>
        <v>已发货</v>
      </c>
      <c r="J2427" s="1" t="str">
        <f>"2"</f>
        <v>2</v>
      </c>
      <c r="K2427" s="1">
        <v>2</v>
      </c>
      <c r="L2427" s="1" t="s">
        <v>105</v>
      </c>
      <c r="M2427" s="1" t="str">
        <f>"北京 北京市 丰台区 "</f>
        <v xml:space="preserve">北京 北京市 丰台区 </v>
      </c>
      <c r="N2427" s="1" t="str">
        <f t="shared" si="766"/>
        <v>凡华云仓-城南圆通-微信视频号</v>
      </c>
      <c r="O2427" s="5" t="s">
        <v>2463</v>
      </c>
      <c r="P2427" s="6">
        <v>0.17</v>
      </c>
      <c r="Q2427" s="11">
        <v>2</v>
      </c>
      <c r="R2427" s="11"/>
      <c r="S2427" s="11"/>
      <c r="T2427" s="11"/>
      <c r="U2427" s="11">
        <f t="shared" si="739"/>
        <v>2</v>
      </c>
      <c r="W2427">
        <v>2.2000000000000002</v>
      </c>
      <c r="X2427" s="1" t="s">
        <v>105</v>
      </c>
    </row>
    <row r="2428" spans="1:24" x14ac:dyDescent="0.25">
      <c r="A2428" s="1" t="str">
        <f t="shared" si="741"/>
        <v>卡卡杜-凤凰仓</v>
      </c>
      <c r="B2428" s="1" t="str">
        <f>"CK2024102787"</f>
        <v>CK2024102787</v>
      </c>
      <c r="C2428" s="1" t="str">
        <f>"DD2024102722203"</f>
        <v>DD2024102722203</v>
      </c>
      <c r="D2428" s="1" t="str">
        <f>"CK2024102711349"</f>
        <v>CK2024102711349</v>
      </c>
      <c r="E2428" s="1" t="str">
        <f>"3723584326295227392"</f>
        <v>3723584326295227392</v>
      </c>
      <c r="F2428" s="1" t="str">
        <f t="shared" si="742"/>
        <v>花都四部-凤凰仓</v>
      </c>
      <c r="G2428" s="1" t="str">
        <f t="shared" si="765"/>
        <v>卡卡杜企业店（视频号）</v>
      </c>
      <c r="H2428" s="1" t="str">
        <f t="shared" si="743"/>
        <v>正常订单</v>
      </c>
      <c r="I2428" s="1" t="str">
        <f t="shared" si="744"/>
        <v>已发货</v>
      </c>
      <c r="J2428" s="1" t="str">
        <f t="shared" ref="J2428:J2432" si="769">"3"</f>
        <v>3</v>
      </c>
      <c r="K2428" s="1">
        <v>2</v>
      </c>
      <c r="L2428" s="1" t="s">
        <v>18</v>
      </c>
      <c r="M2428" s="1" t="str">
        <f>"广东省 珠海市 香洲区 "</f>
        <v xml:space="preserve">广东省 珠海市 香洲区 </v>
      </c>
      <c r="N2428" s="1" t="str">
        <f t="shared" si="766"/>
        <v>凡华云仓-城南圆通-微信视频号</v>
      </c>
      <c r="O2428" s="5" t="s">
        <v>2464</v>
      </c>
      <c r="P2428" s="6">
        <v>0.24</v>
      </c>
      <c r="Q2428" s="11">
        <v>2</v>
      </c>
      <c r="R2428" s="11"/>
      <c r="S2428" s="11"/>
      <c r="T2428" s="11"/>
      <c r="U2428" s="11">
        <f t="shared" si="739"/>
        <v>2</v>
      </c>
      <c r="W2428">
        <v>2.2000000000000002</v>
      </c>
      <c r="X2428" s="1" t="s">
        <v>18</v>
      </c>
    </row>
    <row r="2429" spans="1:24" x14ac:dyDescent="0.25">
      <c r="A2429" s="1" t="str">
        <f t="shared" si="741"/>
        <v>卡卡杜-凤凰仓</v>
      </c>
      <c r="B2429" s="1" t="str">
        <f>"CK2024102786"</f>
        <v>CK2024102786</v>
      </c>
      <c r="C2429" s="1" t="str">
        <f>"DD2024102722202"</f>
        <v>DD2024102722202</v>
      </c>
      <c r="D2429" s="1" t="str">
        <f>"CK2024102711348"</f>
        <v>CK2024102711348</v>
      </c>
      <c r="E2429" s="1" t="str">
        <f>"3723584326399560704"</f>
        <v>3723584326399560704</v>
      </c>
      <c r="F2429" s="1" t="str">
        <f t="shared" si="742"/>
        <v>花都四部-凤凰仓</v>
      </c>
      <c r="G2429" s="1" t="str">
        <f t="shared" si="765"/>
        <v>卡卡杜企业店（视频号）</v>
      </c>
      <c r="H2429" s="1" t="str">
        <f t="shared" si="743"/>
        <v>正常订单</v>
      </c>
      <c r="I2429" s="1" t="str">
        <f t="shared" si="744"/>
        <v>已发货</v>
      </c>
      <c r="J2429" s="1" t="str">
        <f>"2"</f>
        <v>2</v>
      </c>
      <c r="K2429" s="1">
        <v>2</v>
      </c>
      <c r="L2429" s="1" t="s">
        <v>105</v>
      </c>
      <c r="M2429" s="1" t="str">
        <f>"北京 北京市 昌平区 "</f>
        <v xml:space="preserve">北京 北京市 昌平区 </v>
      </c>
      <c r="N2429" s="1" t="str">
        <f t="shared" si="766"/>
        <v>凡华云仓-城南圆通-微信视频号</v>
      </c>
      <c r="O2429" s="5" t="s">
        <v>2465</v>
      </c>
      <c r="P2429" s="6">
        <v>0.17</v>
      </c>
      <c r="Q2429" s="11">
        <v>2</v>
      </c>
      <c r="R2429" s="11"/>
      <c r="S2429" s="11"/>
      <c r="T2429" s="11"/>
      <c r="U2429" s="11">
        <f t="shared" si="739"/>
        <v>2</v>
      </c>
      <c r="W2429">
        <v>2.2000000000000002</v>
      </c>
      <c r="X2429" s="1" t="s">
        <v>105</v>
      </c>
    </row>
    <row r="2430" spans="1:24" x14ac:dyDescent="0.25">
      <c r="A2430" s="1" t="str">
        <f t="shared" si="741"/>
        <v>卡卡杜-凤凰仓</v>
      </c>
      <c r="B2430" s="1" t="str">
        <f>"CK2024102783"</f>
        <v>CK2024102783</v>
      </c>
      <c r="C2430" s="1" t="str">
        <f>"DD2024102722201"</f>
        <v>DD2024102722201</v>
      </c>
      <c r="D2430" s="1" t="str">
        <f>"CK2024102711347"</f>
        <v>CK2024102711347</v>
      </c>
      <c r="E2430" s="1" t="str">
        <f>"3723584328306397184"</f>
        <v>3723584328306397184</v>
      </c>
      <c r="F2430" s="1" t="str">
        <f t="shared" si="742"/>
        <v>花都四部-凤凰仓</v>
      </c>
      <c r="G2430" s="1" t="str">
        <f t="shared" si="765"/>
        <v>卡卡杜企业店（视频号）</v>
      </c>
      <c r="H2430" s="1" t="str">
        <f t="shared" si="743"/>
        <v>正常订单</v>
      </c>
      <c r="I2430" s="1" t="str">
        <f t="shared" si="744"/>
        <v>已发货</v>
      </c>
      <c r="J2430" s="1" t="str">
        <f t="shared" si="769"/>
        <v>3</v>
      </c>
      <c r="K2430" s="1">
        <v>2</v>
      </c>
      <c r="L2430" s="1" t="s">
        <v>20</v>
      </c>
      <c r="M2430" s="1" t="str">
        <f>"浙江省 宁波市 鄞州区 "</f>
        <v xml:space="preserve">浙江省 宁波市 鄞州区 </v>
      </c>
      <c r="N2430" s="1" t="str">
        <f t="shared" si="766"/>
        <v>凡华云仓-城南圆通-微信视频号</v>
      </c>
      <c r="O2430" s="5" t="s">
        <v>2466</v>
      </c>
      <c r="P2430" s="6">
        <v>0.24</v>
      </c>
      <c r="Q2430" s="11">
        <v>2</v>
      </c>
      <c r="R2430" s="11"/>
      <c r="S2430" s="11"/>
      <c r="T2430" s="11"/>
      <c r="U2430" s="11">
        <f t="shared" si="739"/>
        <v>2</v>
      </c>
      <c r="W2430">
        <v>2.2000000000000002</v>
      </c>
      <c r="X2430" s="1" t="s">
        <v>20</v>
      </c>
    </row>
    <row r="2431" spans="1:24" x14ac:dyDescent="0.25">
      <c r="A2431" s="1" t="str">
        <f t="shared" si="741"/>
        <v>卡卡杜-凤凰仓</v>
      </c>
      <c r="B2431" s="1" t="str">
        <f>"CK2024102785"</f>
        <v>CK2024102785</v>
      </c>
      <c r="C2431" s="1" t="str">
        <f>"DD2024102722200"</f>
        <v>DD2024102722200</v>
      </c>
      <c r="D2431" s="1" t="str">
        <f>"CK2024102711346"</f>
        <v>CK2024102711346</v>
      </c>
      <c r="E2431" s="1" t="str">
        <f>"3723584324700605440"</f>
        <v>3723584324700605440</v>
      </c>
      <c r="F2431" s="1" t="str">
        <f t="shared" si="742"/>
        <v>花都四部-凤凰仓</v>
      </c>
      <c r="G2431" s="1" t="str">
        <f t="shared" si="765"/>
        <v>卡卡杜企业店（视频号）</v>
      </c>
      <c r="H2431" s="1" t="str">
        <f t="shared" si="743"/>
        <v>正常订单</v>
      </c>
      <c r="I2431" s="1" t="str">
        <f t="shared" si="744"/>
        <v>已发货</v>
      </c>
      <c r="J2431" s="1" t="str">
        <f t="shared" si="769"/>
        <v>3</v>
      </c>
      <c r="K2431" s="1">
        <v>2</v>
      </c>
      <c r="L2431" s="1" t="s">
        <v>74</v>
      </c>
      <c r="M2431" s="1" t="str">
        <f>"上海 上海市 静安区 "</f>
        <v xml:space="preserve">上海 上海市 静安区 </v>
      </c>
      <c r="N2431" s="1" t="str">
        <f t="shared" si="766"/>
        <v>凡华云仓-城南圆通-微信视频号</v>
      </c>
      <c r="O2431" s="5" t="s">
        <v>2467</v>
      </c>
      <c r="P2431" s="6">
        <v>0.24</v>
      </c>
      <c r="Q2431" s="11">
        <v>2</v>
      </c>
      <c r="R2431" s="11"/>
      <c r="S2431" s="11"/>
      <c r="T2431" s="11"/>
      <c r="U2431" s="11">
        <f t="shared" si="739"/>
        <v>2</v>
      </c>
      <c r="W2431">
        <v>2.2000000000000002</v>
      </c>
      <c r="X2431" s="1" t="s">
        <v>74</v>
      </c>
    </row>
    <row r="2432" spans="1:24" x14ac:dyDescent="0.25">
      <c r="A2432" s="1" t="str">
        <f t="shared" si="741"/>
        <v>卡卡杜-凤凰仓</v>
      </c>
      <c r="B2432" s="1" t="str">
        <f>"CK2024102784"</f>
        <v>CK2024102784</v>
      </c>
      <c r="C2432" s="1" t="str">
        <f>"DD2024102722199"</f>
        <v>DD2024102722199</v>
      </c>
      <c r="D2432" s="1" t="str">
        <f>"CK2024102711345"</f>
        <v>CK2024102711345</v>
      </c>
      <c r="E2432" s="1" t="str">
        <f>"3723584328206255616"</f>
        <v>3723584328206255616</v>
      </c>
      <c r="F2432" s="1" t="str">
        <f t="shared" si="742"/>
        <v>花都四部-凤凰仓</v>
      </c>
      <c r="G2432" s="1" t="str">
        <f t="shared" si="765"/>
        <v>卡卡杜企业店（视频号）</v>
      </c>
      <c r="H2432" s="1" t="str">
        <f t="shared" si="743"/>
        <v>正常订单</v>
      </c>
      <c r="I2432" s="1" t="str">
        <f t="shared" si="744"/>
        <v>已发货</v>
      </c>
      <c r="J2432" s="1" t="str">
        <f t="shared" si="769"/>
        <v>3</v>
      </c>
      <c r="K2432" s="1">
        <v>2</v>
      </c>
      <c r="L2432" s="1" t="s">
        <v>20</v>
      </c>
      <c r="M2432" s="1" t="str">
        <f>"浙江省 台州市 路桥区 "</f>
        <v xml:space="preserve">浙江省 台州市 路桥区 </v>
      </c>
      <c r="N2432" s="1" t="str">
        <f t="shared" si="766"/>
        <v>凡华云仓-城南圆通-微信视频号</v>
      </c>
      <c r="O2432" s="5" t="s">
        <v>2468</v>
      </c>
      <c r="P2432" s="6">
        <v>0.24</v>
      </c>
      <c r="Q2432" s="11">
        <v>2</v>
      </c>
      <c r="R2432" s="11"/>
      <c r="S2432" s="11"/>
      <c r="T2432" s="11"/>
      <c r="U2432" s="11">
        <f t="shared" si="739"/>
        <v>2</v>
      </c>
      <c r="W2432">
        <v>2.2000000000000002</v>
      </c>
      <c r="X2432" s="1" t="s">
        <v>20</v>
      </c>
    </row>
    <row r="2433" spans="1:24" x14ac:dyDescent="0.25">
      <c r="A2433" s="1" t="str">
        <f t="shared" si="741"/>
        <v>卡卡杜-凤凰仓</v>
      </c>
      <c r="B2433" s="1" t="str">
        <f>"CK2024102782"</f>
        <v>CK2024102782</v>
      </c>
      <c r="C2433" s="1" t="str">
        <f>"DD2024102722198"</f>
        <v>DD2024102722198</v>
      </c>
      <c r="D2433" s="1" t="str">
        <f>"CK2024102711344"</f>
        <v>CK2024102711344</v>
      </c>
      <c r="E2433" s="1" t="str">
        <f>"3723584331744937473"</f>
        <v>3723584331744937473</v>
      </c>
      <c r="F2433" s="1" t="str">
        <f t="shared" si="742"/>
        <v>花都四部-凤凰仓</v>
      </c>
      <c r="G2433" s="1" t="str">
        <f t="shared" si="765"/>
        <v>卡卡杜企业店（视频号）</v>
      </c>
      <c r="H2433" s="1" t="str">
        <f t="shared" si="743"/>
        <v>正常订单</v>
      </c>
      <c r="I2433" s="1" t="str">
        <f t="shared" si="744"/>
        <v>已发货</v>
      </c>
      <c r="J2433" s="1" t="str">
        <f>"2"</f>
        <v>2</v>
      </c>
      <c r="K2433" s="1">
        <v>2</v>
      </c>
      <c r="L2433" s="1" t="s">
        <v>105</v>
      </c>
      <c r="M2433" s="1" t="str">
        <f>"北京 北京市 海淀区 "</f>
        <v xml:space="preserve">北京 北京市 海淀区 </v>
      </c>
      <c r="N2433" s="1" t="str">
        <f t="shared" si="766"/>
        <v>凡华云仓-城南圆通-微信视频号</v>
      </c>
      <c r="O2433" s="5" t="s">
        <v>2469</v>
      </c>
      <c r="P2433" s="6">
        <v>0.17</v>
      </c>
      <c r="Q2433" s="11">
        <v>2</v>
      </c>
      <c r="R2433" s="11"/>
      <c r="S2433" s="11"/>
      <c r="T2433" s="11"/>
      <c r="U2433" s="11">
        <f t="shared" si="739"/>
        <v>2</v>
      </c>
      <c r="W2433">
        <v>2.2000000000000002</v>
      </c>
      <c r="X2433" s="1" t="s">
        <v>105</v>
      </c>
    </row>
    <row r="2434" spans="1:24" x14ac:dyDescent="0.25">
      <c r="A2434" s="1" t="str">
        <f t="shared" si="741"/>
        <v>卡卡杜-凤凰仓</v>
      </c>
      <c r="B2434" s="1" t="str">
        <f>"CK2024102781"</f>
        <v>CK2024102781</v>
      </c>
      <c r="C2434" s="1" t="str">
        <f>"DD2024102722197"</f>
        <v>DD2024102722197</v>
      </c>
      <c r="D2434" s="1" t="str">
        <f>"CK2024102711343"</f>
        <v>CK2024102711343</v>
      </c>
      <c r="E2434" s="1" t="str">
        <f>"3723584330899260673"</f>
        <v>3723584330899260673</v>
      </c>
      <c r="F2434" s="1" t="str">
        <f t="shared" si="742"/>
        <v>花都四部-凤凰仓</v>
      </c>
      <c r="G2434" s="1" t="str">
        <f t="shared" si="765"/>
        <v>卡卡杜企业店（视频号）</v>
      </c>
      <c r="H2434" s="1" t="str">
        <f t="shared" si="743"/>
        <v>正常订单</v>
      </c>
      <c r="I2434" s="1" t="str">
        <f t="shared" si="744"/>
        <v>已发货</v>
      </c>
      <c r="J2434" s="1" t="str">
        <f t="shared" ref="J2434:J2441" si="770">"3"</f>
        <v>3</v>
      </c>
      <c r="K2434" s="1">
        <v>2</v>
      </c>
      <c r="L2434" s="1" t="s">
        <v>60</v>
      </c>
      <c r="M2434" s="1" t="str">
        <f>"云南省 昆明市 五华区 "</f>
        <v xml:space="preserve">云南省 昆明市 五华区 </v>
      </c>
      <c r="N2434" s="1" t="str">
        <f t="shared" si="766"/>
        <v>凡华云仓-城南圆通-微信视频号</v>
      </c>
      <c r="O2434" s="5" t="s">
        <v>2470</v>
      </c>
      <c r="P2434" s="6">
        <v>0.24</v>
      </c>
      <c r="Q2434" s="11">
        <v>2</v>
      </c>
      <c r="R2434" s="11"/>
      <c r="S2434" s="11"/>
      <c r="T2434" s="11"/>
      <c r="U2434" s="11">
        <f t="shared" si="739"/>
        <v>2</v>
      </c>
      <c r="W2434">
        <v>2.2000000000000002</v>
      </c>
      <c r="X2434" s="1" t="s">
        <v>60</v>
      </c>
    </row>
    <row r="2435" spans="1:24" x14ac:dyDescent="0.25">
      <c r="A2435" s="1" t="str">
        <f t="shared" si="741"/>
        <v>卡卡杜-凤凰仓</v>
      </c>
      <c r="B2435" s="1" t="str">
        <f>"CK2024102780"</f>
        <v>CK2024102780</v>
      </c>
      <c r="C2435" s="1" t="str">
        <f>"DD2024102722196"</f>
        <v>DD2024102722196</v>
      </c>
      <c r="D2435" s="1" t="str">
        <f>"CK2024102711342"</f>
        <v>CK2024102711342</v>
      </c>
      <c r="E2435" s="1" t="str">
        <f>"3723584330811968512"</f>
        <v>3723584330811968512</v>
      </c>
      <c r="F2435" s="1" t="str">
        <f t="shared" si="742"/>
        <v>花都四部-凤凰仓</v>
      </c>
      <c r="G2435" s="1" t="str">
        <f t="shared" si="765"/>
        <v>卡卡杜企业店（视频号）</v>
      </c>
      <c r="H2435" s="1" t="str">
        <f t="shared" si="743"/>
        <v>正常订单</v>
      </c>
      <c r="I2435" s="1" t="str">
        <f t="shared" si="744"/>
        <v>已发货</v>
      </c>
      <c r="J2435" s="1" t="str">
        <f t="shared" si="770"/>
        <v>3</v>
      </c>
      <c r="K2435" s="1">
        <v>2</v>
      </c>
      <c r="L2435" s="1" t="s">
        <v>13</v>
      </c>
      <c r="M2435" s="1" t="str">
        <f>"江苏省 苏州市 姑苏区 "</f>
        <v xml:space="preserve">江苏省 苏州市 姑苏区 </v>
      </c>
      <c r="N2435" s="1" t="str">
        <f t="shared" si="766"/>
        <v>凡华云仓-城南圆通-微信视频号</v>
      </c>
      <c r="O2435" s="5" t="s">
        <v>2471</v>
      </c>
      <c r="P2435" s="6">
        <v>0.24</v>
      </c>
      <c r="Q2435" s="11">
        <v>2</v>
      </c>
      <c r="R2435" s="11"/>
      <c r="S2435" s="11"/>
      <c r="T2435" s="11"/>
      <c r="U2435" s="11">
        <f t="shared" ref="U2435:U2498" si="771">T2435+S2435+R2435+Q2435</f>
        <v>2</v>
      </c>
      <c r="W2435">
        <v>2.2000000000000002</v>
      </c>
      <c r="X2435" s="1" t="s">
        <v>13</v>
      </c>
    </row>
    <row r="2436" spans="1:24" x14ac:dyDescent="0.25">
      <c r="A2436" s="1" t="str">
        <f t="shared" si="741"/>
        <v>卡卡杜-凤凰仓</v>
      </c>
      <c r="B2436" s="1" t="str">
        <f>"CK2024102778"</f>
        <v>CK2024102778</v>
      </c>
      <c r="C2436" s="1" t="str">
        <f>"DD2024102722195"</f>
        <v>DD2024102722195</v>
      </c>
      <c r="D2436" s="1" t="str">
        <f>"CK2024102711341"</f>
        <v>CK2024102711341</v>
      </c>
      <c r="E2436" s="1" t="str">
        <f>"3723584331564321792"</f>
        <v>3723584331564321792</v>
      </c>
      <c r="F2436" s="1" t="str">
        <f t="shared" si="742"/>
        <v>花都四部-凤凰仓</v>
      </c>
      <c r="G2436" s="1" t="str">
        <f t="shared" si="765"/>
        <v>卡卡杜企业店（视频号）</v>
      </c>
      <c r="H2436" s="1" t="str">
        <f t="shared" si="743"/>
        <v>正常订单</v>
      </c>
      <c r="I2436" s="1" t="str">
        <f t="shared" si="744"/>
        <v>已发货</v>
      </c>
      <c r="J2436" s="1" t="str">
        <f>"2"</f>
        <v>2</v>
      </c>
      <c r="K2436" s="1">
        <v>2</v>
      </c>
      <c r="L2436" s="1" t="s">
        <v>18</v>
      </c>
      <c r="M2436" s="1" t="str">
        <f>"广东省 中山市 西区街道 "</f>
        <v xml:space="preserve">广东省 中山市 西区街道 </v>
      </c>
      <c r="N2436" s="1" t="str">
        <f t="shared" si="766"/>
        <v>凡华云仓-城南圆通-微信视频号</v>
      </c>
      <c r="O2436" s="5" t="s">
        <v>2472</v>
      </c>
      <c r="P2436" s="6">
        <v>0.17</v>
      </c>
      <c r="Q2436" s="11">
        <v>2</v>
      </c>
      <c r="R2436" s="11"/>
      <c r="S2436" s="11"/>
      <c r="T2436" s="11"/>
      <c r="U2436" s="11">
        <f t="shared" si="771"/>
        <v>2</v>
      </c>
      <c r="W2436">
        <v>2.2000000000000002</v>
      </c>
      <c r="X2436" s="1" t="s">
        <v>18</v>
      </c>
    </row>
    <row r="2437" spans="1:24" x14ac:dyDescent="0.25">
      <c r="A2437" s="1" t="str">
        <f t="shared" ref="A2437:A2500" si="772">"卡卡杜-凤凰仓"</f>
        <v>卡卡杜-凤凰仓</v>
      </c>
      <c r="B2437" s="1" t="str">
        <f>"CK2024102779"</f>
        <v>CK2024102779</v>
      </c>
      <c r="C2437" s="1" t="str">
        <f>"DD2024102722194"</f>
        <v>DD2024102722194</v>
      </c>
      <c r="D2437" s="1" t="str">
        <f>"CK2024102711340"</f>
        <v>CK2024102711340</v>
      </c>
      <c r="E2437" s="1" t="str">
        <f>"3723584331893835265"</f>
        <v>3723584331893835265</v>
      </c>
      <c r="F2437" s="1" t="str">
        <f t="shared" ref="F2437:F2500" si="773">"花都四部-凤凰仓"</f>
        <v>花都四部-凤凰仓</v>
      </c>
      <c r="G2437" s="1" t="str">
        <f t="shared" si="765"/>
        <v>卡卡杜企业店（视频号）</v>
      </c>
      <c r="H2437" s="1" t="str">
        <f t="shared" ref="H2437:H2500" si="774">"正常订单"</f>
        <v>正常订单</v>
      </c>
      <c r="I2437" s="1" t="str">
        <f t="shared" ref="I2437:I2500" si="775">"已发货"</f>
        <v>已发货</v>
      </c>
      <c r="J2437" s="1" t="str">
        <f t="shared" si="770"/>
        <v>3</v>
      </c>
      <c r="K2437" s="1">
        <v>2</v>
      </c>
      <c r="L2437" s="1" t="s">
        <v>94</v>
      </c>
      <c r="M2437" s="1" t="str">
        <f>"湖南省 长沙市 岳麓区 "</f>
        <v xml:space="preserve">湖南省 长沙市 岳麓区 </v>
      </c>
      <c r="N2437" s="1" t="str">
        <f t="shared" si="766"/>
        <v>凡华云仓-城南圆通-微信视频号</v>
      </c>
      <c r="O2437" s="5" t="s">
        <v>2473</v>
      </c>
      <c r="P2437" s="6">
        <v>0.24</v>
      </c>
      <c r="Q2437" s="11">
        <v>2</v>
      </c>
      <c r="R2437" s="11"/>
      <c r="S2437" s="11"/>
      <c r="T2437" s="11"/>
      <c r="U2437" s="11">
        <f t="shared" si="771"/>
        <v>2</v>
      </c>
      <c r="W2437">
        <v>2.2000000000000002</v>
      </c>
      <c r="X2437" s="1" t="s">
        <v>94</v>
      </c>
    </row>
    <row r="2438" spans="1:24" x14ac:dyDescent="0.25">
      <c r="A2438" s="1" t="str">
        <f t="shared" si="772"/>
        <v>卡卡杜-凤凰仓</v>
      </c>
      <c r="B2438" s="1" t="str">
        <f>"CK2024102777"</f>
        <v>CK2024102777</v>
      </c>
      <c r="C2438" s="1" t="str">
        <f>"DD2024102722193"</f>
        <v>DD2024102722193</v>
      </c>
      <c r="D2438" s="1" t="str">
        <f>"CK2024102711339"</f>
        <v>CK2024102711339</v>
      </c>
      <c r="E2438" s="1" t="str">
        <f>"3723584333403524096"</f>
        <v>3723584333403524096</v>
      </c>
      <c r="F2438" s="1" t="str">
        <f t="shared" si="773"/>
        <v>花都四部-凤凰仓</v>
      </c>
      <c r="G2438" s="1" t="str">
        <f t="shared" si="765"/>
        <v>卡卡杜企业店（视频号）</v>
      </c>
      <c r="H2438" s="1" t="str">
        <f t="shared" si="774"/>
        <v>正常订单</v>
      </c>
      <c r="I2438" s="1" t="str">
        <f t="shared" si="775"/>
        <v>已发货</v>
      </c>
      <c r="J2438" s="1" t="str">
        <f t="shared" si="770"/>
        <v>3</v>
      </c>
      <c r="K2438" s="1">
        <v>2</v>
      </c>
      <c r="L2438" s="1" t="s">
        <v>105</v>
      </c>
      <c r="M2438" s="1" t="str">
        <f>"北京 北京市 东城区 "</f>
        <v xml:space="preserve">北京 北京市 东城区 </v>
      </c>
      <c r="N2438" s="1" t="str">
        <f t="shared" si="766"/>
        <v>凡华云仓-城南圆通-微信视频号</v>
      </c>
      <c r="O2438" s="5" t="s">
        <v>2474</v>
      </c>
      <c r="P2438" s="6">
        <v>0.24</v>
      </c>
      <c r="Q2438" s="11">
        <v>2</v>
      </c>
      <c r="R2438" s="11"/>
      <c r="S2438" s="11"/>
      <c r="T2438" s="11"/>
      <c r="U2438" s="11">
        <f t="shared" si="771"/>
        <v>2</v>
      </c>
      <c r="W2438">
        <v>2.2000000000000002</v>
      </c>
      <c r="X2438" s="1" t="s">
        <v>105</v>
      </c>
    </row>
    <row r="2439" spans="1:24" x14ac:dyDescent="0.25">
      <c r="A2439" s="1" t="str">
        <f t="shared" si="772"/>
        <v>卡卡杜-凤凰仓</v>
      </c>
      <c r="B2439" s="1" t="str">
        <f>"CK2024102776"</f>
        <v>CK2024102776</v>
      </c>
      <c r="C2439" s="1" t="str">
        <f>"DD2024102722192"</f>
        <v>DD2024102722192</v>
      </c>
      <c r="D2439" s="1" t="str">
        <f>"CK2024102711338"</f>
        <v>CK2024102711338</v>
      </c>
      <c r="E2439" s="1" t="str">
        <f>"3723584333317015040"</f>
        <v>3723584333317015040</v>
      </c>
      <c r="F2439" s="1" t="str">
        <f t="shared" si="773"/>
        <v>花都四部-凤凰仓</v>
      </c>
      <c r="G2439" s="1" t="str">
        <f t="shared" si="765"/>
        <v>卡卡杜企业店（视频号）</v>
      </c>
      <c r="H2439" s="1" t="str">
        <f t="shared" si="774"/>
        <v>正常订单</v>
      </c>
      <c r="I2439" s="1" t="str">
        <f t="shared" si="775"/>
        <v>已发货</v>
      </c>
      <c r="J2439" s="1" t="str">
        <f t="shared" si="770"/>
        <v>3</v>
      </c>
      <c r="K2439" s="1">
        <v>2</v>
      </c>
      <c r="L2439" s="1" t="s">
        <v>94</v>
      </c>
      <c r="M2439" s="1" t="str">
        <f>"湖南省 岳阳市 岳阳楼区 "</f>
        <v xml:space="preserve">湖南省 岳阳市 岳阳楼区 </v>
      </c>
      <c r="N2439" s="1" t="str">
        <f t="shared" si="766"/>
        <v>凡华云仓-城南圆通-微信视频号</v>
      </c>
      <c r="O2439" s="5" t="s">
        <v>2475</v>
      </c>
      <c r="P2439" s="6">
        <v>0.24</v>
      </c>
      <c r="Q2439" s="11">
        <v>2</v>
      </c>
      <c r="R2439" s="11"/>
      <c r="S2439" s="11"/>
      <c r="T2439" s="11"/>
      <c r="U2439" s="11">
        <f t="shared" si="771"/>
        <v>2</v>
      </c>
      <c r="W2439">
        <v>2.2000000000000002</v>
      </c>
      <c r="X2439" s="1" t="s">
        <v>94</v>
      </c>
    </row>
    <row r="2440" spans="1:24" x14ac:dyDescent="0.25">
      <c r="A2440" s="1" t="str">
        <f t="shared" si="772"/>
        <v>卡卡杜-凤凰仓</v>
      </c>
      <c r="B2440" s="1" t="str">
        <f>"CK2024102774"</f>
        <v>CK2024102774</v>
      </c>
      <c r="C2440" s="1" t="str">
        <f>"DD2024102722191"</f>
        <v>DD2024102722191</v>
      </c>
      <c r="D2440" s="1" t="str">
        <f>"CK2024102711337"</f>
        <v>CK2024102711337</v>
      </c>
      <c r="E2440" s="1" t="str">
        <f>"3723584336946924544"</f>
        <v>3723584336946924544</v>
      </c>
      <c r="F2440" s="1" t="str">
        <f t="shared" si="773"/>
        <v>花都四部-凤凰仓</v>
      </c>
      <c r="G2440" s="1" t="str">
        <f t="shared" si="765"/>
        <v>卡卡杜企业店（视频号）</v>
      </c>
      <c r="H2440" s="1" t="str">
        <f t="shared" si="774"/>
        <v>正常订单</v>
      </c>
      <c r="I2440" s="1" t="str">
        <f t="shared" si="775"/>
        <v>已发货</v>
      </c>
      <c r="J2440" s="1" t="str">
        <f t="shared" si="770"/>
        <v>3</v>
      </c>
      <c r="K2440" s="1">
        <v>2</v>
      </c>
      <c r="L2440" s="1" t="s">
        <v>47</v>
      </c>
      <c r="M2440" s="1" t="str">
        <f>"重庆 重庆市 南岸区 "</f>
        <v xml:space="preserve">重庆 重庆市 南岸区 </v>
      </c>
      <c r="N2440" s="1" t="str">
        <f t="shared" si="766"/>
        <v>凡华云仓-城南圆通-微信视频号</v>
      </c>
      <c r="O2440" s="5" t="s">
        <v>2476</v>
      </c>
      <c r="P2440" s="6">
        <v>0.24</v>
      </c>
      <c r="Q2440" s="11">
        <v>2</v>
      </c>
      <c r="R2440" s="11"/>
      <c r="S2440" s="11"/>
      <c r="T2440" s="11"/>
      <c r="U2440" s="11">
        <f t="shared" si="771"/>
        <v>2</v>
      </c>
      <c r="W2440">
        <v>2.2000000000000002</v>
      </c>
      <c r="X2440" s="1" t="s">
        <v>47</v>
      </c>
    </row>
    <row r="2441" spans="1:24" x14ac:dyDescent="0.25">
      <c r="A2441" s="1" t="str">
        <f t="shared" si="772"/>
        <v>卡卡杜-凤凰仓</v>
      </c>
      <c r="B2441" s="1" t="str">
        <f>"CK2024102775"</f>
        <v>CK2024102775</v>
      </c>
      <c r="C2441" s="1" t="str">
        <f>"DD2024102722190"</f>
        <v>DD2024102722190</v>
      </c>
      <c r="D2441" s="1" t="str">
        <f>"CK2024102711336"</f>
        <v>CK2024102711336</v>
      </c>
      <c r="E2441" s="1" t="str">
        <f>"3723584335245874176"</f>
        <v>3723584335245874176</v>
      </c>
      <c r="F2441" s="1" t="str">
        <f t="shared" si="773"/>
        <v>花都四部-凤凰仓</v>
      </c>
      <c r="G2441" s="1" t="str">
        <f t="shared" si="765"/>
        <v>卡卡杜企业店（视频号）</v>
      </c>
      <c r="H2441" s="1" t="str">
        <f t="shared" si="774"/>
        <v>正常订单</v>
      </c>
      <c r="I2441" s="1" t="str">
        <f t="shared" si="775"/>
        <v>已发货</v>
      </c>
      <c r="J2441" s="1" t="str">
        <f t="shared" si="770"/>
        <v>3</v>
      </c>
      <c r="K2441" s="1">
        <v>2</v>
      </c>
      <c r="L2441" s="1" t="s">
        <v>94</v>
      </c>
      <c r="M2441" s="1" t="str">
        <f>"湖南省 岳阳市 岳阳楼区 "</f>
        <v xml:space="preserve">湖南省 岳阳市 岳阳楼区 </v>
      </c>
      <c r="N2441" s="1" t="str">
        <f t="shared" si="766"/>
        <v>凡华云仓-城南圆通-微信视频号</v>
      </c>
      <c r="O2441" s="5" t="s">
        <v>2477</v>
      </c>
      <c r="P2441" s="6">
        <v>0.24</v>
      </c>
      <c r="Q2441" s="11">
        <v>2</v>
      </c>
      <c r="R2441" s="11"/>
      <c r="S2441" s="11"/>
      <c r="T2441" s="11"/>
      <c r="U2441" s="11">
        <f t="shared" si="771"/>
        <v>2</v>
      </c>
      <c r="W2441">
        <v>2.2000000000000002</v>
      </c>
      <c r="X2441" s="1" t="s">
        <v>94</v>
      </c>
    </row>
    <row r="2442" spans="1:24" x14ac:dyDescent="0.25">
      <c r="A2442" s="1" t="str">
        <f t="shared" si="772"/>
        <v>卡卡杜-凤凰仓</v>
      </c>
      <c r="B2442" s="1" t="str">
        <f>"CK2024102771"</f>
        <v>CK2024102771</v>
      </c>
      <c r="C2442" s="1" t="str">
        <f>"DD2024102722189"</f>
        <v>DD2024102722189</v>
      </c>
      <c r="D2442" s="1" t="str">
        <f>"CK2024102711335"</f>
        <v>CK2024102711335</v>
      </c>
      <c r="E2442" s="1" t="str">
        <f>"3723584336078963968"</f>
        <v>3723584336078963968</v>
      </c>
      <c r="F2442" s="1" t="str">
        <f t="shared" si="773"/>
        <v>花都四部-凤凰仓</v>
      </c>
      <c r="G2442" s="1" t="str">
        <f t="shared" si="765"/>
        <v>卡卡杜企业店（视频号）</v>
      </c>
      <c r="H2442" s="1" t="str">
        <f t="shared" si="774"/>
        <v>正常订单</v>
      </c>
      <c r="I2442" s="1" t="str">
        <f t="shared" si="775"/>
        <v>已发货</v>
      </c>
      <c r="J2442" s="1" t="str">
        <f>"2"</f>
        <v>2</v>
      </c>
      <c r="K2442" s="1">
        <v>2</v>
      </c>
      <c r="L2442" s="1" t="s">
        <v>60</v>
      </c>
      <c r="M2442" s="1" t="str">
        <f>"云南省 昆明市 西山区 "</f>
        <v xml:space="preserve">云南省 昆明市 西山区 </v>
      </c>
      <c r="N2442" s="1" t="str">
        <f t="shared" si="766"/>
        <v>凡华云仓-城南圆通-微信视频号</v>
      </c>
      <c r="O2442" s="5" t="s">
        <v>2478</v>
      </c>
      <c r="P2442" s="6">
        <v>0.17</v>
      </c>
      <c r="Q2442" s="11">
        <v>2</v>
      </c>
      <c r="R2442" s="11"/>
      <c r="S2442" s="11"/>
      <c r="T2442" s="11"/>
      <c r="U2442" s="11">
        <f t="shared" si="771"/>
        <v>2</v>
      </c>
      <c r="W2442">
        <v>2.2000000000000002</v>
      </c>
      <c r="X2442" s="1" t="s">
        <v>60</v>
      </c>
    </row>
    <row r="2443" spans="1:24" x14ac:dyDescent="0.25">
      <c r="A2443" s="1" t="str">
        <f t="shared" si="772"/>
        <v>卡卡杜-凤凰仓</v>
      </c>
      <c r="B2443" s="1" t="str">
        <f>"CK2024102772"</f>
        <v>CK2024102772</v>
      </c>
      <c r="C2443" s="1" t="str">
        <f>"DD2024102722188"</f>
        <v>DD2024102722188</v>
      </c>
      <c r="D2443" s="1" t="str">
        <f>"CK2024102711334"</f>
        <v>CK2024102711334</v>
      </c>
      <c r="E2443" s="1" t="str">
        <f>"2430001771496911"</f>
        <v>2430001771496911</v>
      </c>
      <c r="F2443" s="1" t="str">
        <f t="shared" si="773"/>
        <v>花都四部-凤凰仓</v>
      </c>
      <c r="G2443" s="1" t="str">
        <f>"卡卡杜佳旺专卖店（快手店）"</f>
        <v>卡卡杜佳旺专卖店（快手店）</v>
      </c>
      <c r="H2443" s="1" t="str">
        <f t="shared" si="774"/>
        <v>正常订单</v>
      </c>
      <c r="I2443" s="1" t="str">
        <f t="shared" si="775"/>
        <v>已发货</v>
      </c>
      <c r="J2443" s="1" t="str">
        <f t="shared" ref="J2443:J2446" si="776">"3"</f>
        <v>3</v>
      </c>
      <c r="K2443" s="1">
        <v>2</v>
      </c>
      <c r="L2443" s="1" t="s">
        <v>20</v>
      </c>
      <c r="M2443" s="1" t="str">
        <f>"浙江省 台州市 温岭市 箬横镇"</f>
        <v>浙江省 台州市 温岭市 箬横镇</v>
      </c>
      <c r="N2443" s="1" t="str">
        <f>"凡华云仓-城南圆通-快手"</f>
        <v>凡华云仓-城南圆通-快手</v>
      </c>
      <c r="O2443" s="5" t="s">
        <v>2479</v>
      </c>
      <c r="P2443" s="6">
        <v>0.35</v>
      </c>
      <c r="Q2443" s="11">
        <v>2.2999999999999998</v>
      </c>
      <c r="R2443" s="11"/>
      <c r="S2443" s="11"/>
      <c r="T2443" s="11"/>
      <c r="U2443" s="11">
        <f t="shared" si="771"/>
        <v>2.2999999999999998</v>
      </c>
      <c r="W2443">
        <v>2.5</v>
      </c>
      <c r="X2443" s="1" t="s">
        <v>20</v>
      </c>
    </row>
    <row r="2444" spans="1:24" x14ac:dyDescent="0.25">
      <c r="A2444" s="1" t="str">
        <f t="shared" si="772"/>
        <v>卡卡杜-凤凰仓</v>
      </c>
      <c r="B2444" s="1" t="str">
        <f>"CK2024102773"</f>
        <v>CK2024102773</v>
      </c>
      <c r="C2444" s="1" t="str">
        <f>"DD2024102722187"</f>
        <v>DD2024102722187</v>
      </c>
      <c r="D2444" s="1" t="str">
        <f>"CK2024102711333"</f>
        <v>CK2024102711333</v>
      </c>
      <c r="E2444" s="1" t="str">
        <f>"3723584341355398657"</f>
        <v>3723584341355398657</v>
      </c>
      <c r="F2444" s="1" t="str">
        <f t="shared" si="773"/>
        <v>花都四部-凤凰仓</v>
      </c>
      <c r="G2444" s="1" t="str">
        <f t="shared" ref="G2444:G2465" si="777">"卡卡杜企业店（视频号）"</f>
        <v>卡卡杜企业店（视频号）</v>
      </c>
      <c r="H2444" s="1" t="str">
        <f t="shared" si="774"/>
        <v>正常订单</v>
      </c>
      <c r="I2444" s="1" t="str">
        <f t="shared" si="775"/>
        <v>已发货</v>
      </c>
      <c r="J2444" s="1" t="str">
        <f t="shared" si="776"/>
        <v>3</v>
      </c>
      <c r="K2444" s="1">
        <v>2</v>
      </c>
      <c r="L2444" s="1" t="s">
        <v>218</v>
      </c>
      <c r="M2444" s="1" t="str">
        <f>"天津 天津市 河西区 "</f>
        <v xml:space="preserve">天津 天津市 河西区 </v>
      </c>
      <c r="N2444" s="1" t="str">
        <f t="shared" ref="N2444:N2465" si="778">"凡华云仓-城南圆通-微信视频号"</f>
        <v>凡华云仓-城南圆通-微信视频号</v>
      </c>
      <c r="O2444" s="5" t="s">
        <v>2480</v>
      </c>
      <c r="P2444" s="6">
        <v>0.24</v>
      </c>
      <c r="Q2444" s="11">
        <v>2</v>
      </c>
      <c r="R2444" s="11"/>
      <c r="S2444" s="11"/>
      <c r="T2444" s="11"/>
      <c r="U2444" s="11">
        <f t="shared" si="771"/>
        <v>2</v>
      </c>
      <c r="W2444">
        <v>2.2000000000000002</v>
      </c>
      <c r="X2444" s="1" t="s">
        <v>218</v>
      </c>
    </row>
    <row r="2445" spans="1:24" x14ac:dyDescent="0.25">
      <c r="A2445" s="1" t="str">
        <f t="shared" si="772"/>
        <v>卡卡杜-凤凰仓</v>
      </c>
      <c r="B2445" s="1" t="str">
        <f>"CK2024102770"</f>
        <v>CK2024102770</v>
      </c>
      <c r="C2445" s="1" t="str">
        <f>"DD2024102722186"</f>
        <v>DD2024102722186</v>
      </c>
      <c r="D2445" s="1" t="str">
        <f>"CK2024102711332"</f>
        <v>CK2024102711332</v>
      </c>
      <c r="E2445" s="1" t="str">
        <f>"3723584337546712064"</f>
        <v>3723584337546712064</v>
      </c>
      <c r="F2445" s="1" t="str">
        <f t="shared" si="773"/>
        <v>花都四部-凤凰仓</v>
      </c>
      <c r="G2445" s="1" t="str">
        <f t="shared" si="777"/>
        <v>卡卡杜企业店（视频号）</v>
      </c>
      <c r="H2445" s="1" t="str">
        <f t="shared" si="774"/>
        <v>正常订单</v>
      </c>
      <c r="I2445" s="1" t="str">
        <f t="shared" si="775"/>
        <v>已发货</v>
      </c>
      <c r="J2445" s="1" t="str">
        <f t="shared" si="776"/>
        <v>3</v>
      </c>
      <c r="K2445" s="1">
        <v>2</v>
      </c>
      <c r="L2445" s="1" t="s">
        <v>16</v>
      </c>
      <c r="M2445" s="1" t="str">
        <f>"河北省 廊坊市 三河市 "</f>
        <v xml:space="preserve">河北省 廊坊市 三河市 </v>
      </c>
      <c r="N2445" s="1" t="str">
        <f t="shared" si="778"/>
        <v>凡华云仓-城南圆通-微信视频号</v>
      </c>
      <c r="O2445" s="5" t="s">
        <v>2481</v>
      </c>
      <c r="P2445" s="6">
        <v>0.24</v>
      </c>
      <c r="Q2445" s="11">
        <v>2</v>
      </c>
      <c r="R2445" s="11"/>
      <c r="S2445" s="11"/>
      <c r="T2445" s="11"/>
      <c r="U2445" s="11">
        <f t="shared" si="771"/>
        <v>2</v>
      </c>
      <c r="W2445">
        <v>2.2000000000000002</v>
      </c>
      <c r="X2445" s="1" t="s">
        <v>16</v>
      </c>
    </row>
    <row r="2446" spans="1:24" x14ac:dyDescent="0.25">
      <c r="A2446" s="1" t="str">
        <f t="shared" si="772"/>
        <v>卡卡杜-凤凰仓</v>
      </c>
      <c r="B2446" s="1" t="str">
        <f>"CK2024102769"</f>
        <v>CK2024102769</v>
      </c>
      <c r="C2446" s="1" t="str">
        <f>"DD2024102722185"</f>
        <v>DD2024102722185</v>
      </c>
      <c r="D2446" s="1" t="str">
        <f>"CK2024102711331"</f>
        <v>CK2024102711331</v>
      </c>
      <c r="E2446" s="1" t="str">
        <f>"3723584342359149568"</f>
        <v>3723584342359149568</v>
      </c>
      <c r="F2446" s="1" t="str">
        <f t="shared" si="773"/>
        <v>花都四部-凤凰仓</v>
      </c>
      <c r="G2446" s="1" t="str">
        <f t="shared" si="777"/>
        <v>卡卡杜企业店（视频号）</v>
      </c>
      <c r="H2446" s="1" t="str">
        <f t="shared" si="774"/>
        <v>正常订单</v>
      </c>
      <c r="I2446" s="1" t="str">
        <f t="shared" si="775"/>
        <v>已发货</v>
      </c>
      <c r="J2446" s="1" t="str">
        <f t="shared" si="776"/>
        <v>3</v>
      </c>
      <c r="K2446" s="1">
        <v>2</v>
      </c>
      <c r="L2446" s="1" t="s">
        <v>36</v>
      </c>
      <c r="M2446" s="1" t="str">
        <f>"安徽省 宣城市 广德市 "</f>
        <v xml:space="preserve">安徽省 宣城市 广德市 </v>
      </c>
      <c r="N2446" s="1" t="str">
        <f t="shared" si="778"/>
        <v>凡华云仓-城南圆通-微信视频号</v>
      </c>
      <c r="O2446" s="5" t="s">
        <v>2482</v>
      </c>
      <c r="P2446" s="6">
        <v>0.24</v>
      </c>
      <c r="Q2446" s="11">
        <v>2</v>
      </c>
      <c r="R2446" s="11"/>
      <c r="S2446" s="11"/>
      <c r="T2446" s="11"/>
      <c r="U2446" s="11">
        <f t="shared" si="771"/>
        <v>2</v>
      </c>
      <c r="W2446">
        <v>2.2000000000000002</v>
      </c>
      <c r="X2446" s="1" t="s">
        <v>36</v>
      </c>
    </row>
    <row r="2447" spans="1:24" x14ac:dyDescent="0.25">
      <c r="A2447" s="1" t="str">
        <f t="shared" si="772"/>
        <v>卡卡杜-凤凰仓</v>
      </c>
      <c r="B2447" s="1" t="str">
        <f>"CK2024102768"</f>
        <v>CK2024102768</v>
      </c>
      <c r="C2447" s="1" t="str">
        <f>"DD2024102722184"</f>
        <v>DD2024102722184</v>
      </c>
      <c r="D2447" s="1" t="str">
        <f>"CK2024102711330"</f>
        <v>CK2024102711330</v>
      </c>
      <c r="E2447" s="1" t="str">
        <f>"3723584340928103936"</f>
        <v>3723584340928103936</v>
      </c>
      <c r="F2447" s="1" t="str">
        <f t="shared" si="773"/>
        <v>花都四部-凤凰仓</v>
      </c>
      <c r="G2447" s="1" t="str">
        <f t="shared" si="777"/>
        <v>卡卡杜企业店（视频号）</v>
      </c>
      <c r="H2447" s="1" t="str">
        <f t="shared" si="774"/>
        <v>正常订单</v>
      </c>
      <c r="I2447" s="1" t="str">
        <f t="shared" si="775"/>
        <v>已发货</v>
      </c>
      <c r="J2447" s="1" t="str">
        <f t="shared" ref="J2447:J2451" si="779">"2"</f>
        <v>2</v>
      </c>
      <c r="K2447" s="1">
        <v>2</v>
      </c>
      <c r="L2447" s="1" t="s">
        <v>30</v>
      </c>
      <c r="M2447" s="1" t="str">
        <f>"山东省 济宁市 任城区 "</f>
        <v xml:space="preserve">山东省 济宁市 任城区 </v>
      </c>
      <c r="N2447" s="1" t="str">
        <f t="shared" si="778"/>
        <v>凡华云仓-城南圆通-微信视频号</v>
      </c>
      <c r="O2447" s="5" t="s">
        <v>2483</v>
      </c>
      <c r="P2447" s="6">
        <v>0.17</v>
      </c>
      <c r="Q2447" s="11">
        <v>2</v>
      </c>
      <c r="R2447" s="11"/>
      <c r="S2447" s="11"/>
      <c r="T2447" s="11"/>
      <c r="U2447" s="11">
        <f t="shared" si="771"/>
        <v>2</v>
      </c>
      <c r="W2447">
        <v>2.2000000000000002</v>
      </c>
      <c r="X2447" s="1" t="s">
        <v>30</v>
      </c>
    </row>
    <row r="2448" spans="1:24" x14ac:dyDescent="0.25">
      <c r="A2448" s="1" t="str">
        <f t="shared" si="772"/>
        <v>卡卡杜-凤凰仓</v>
      </c>
      <c r="B2448" s="1" t="str">
        <f>"CK2024102766"</f>
        <v>CK2024102766</v>
      </c>
      <c r="C2448" s="1" t="str">
        <f>"DD2024102722183"</f>
        <v>DD2024102722183</v>
      </c>
      <c r="D2448" s="1" t="str">
        <f>"CK2024102711329"</f>
        <v>CK2024102711329</v>
      </c>
      <c r="E2448" s="1" t="str">
        <f>"3723584347257835520"</f>
        <v>3723584347257835520</v>
      </c>
      <c r="F2448" s="1" t="str">
        <f t="shared" si="773"/>
        <v>花都四部-凤凰仓</v>
      </c>
      <c r="G2448" s="1" t="str">
        <f t="shared" si="777"/>
        <v>卡卡杜企业店（视频号）</v>
      </c>
      <c r="H2448" s="1" t="str">
        <f t="shared" si="774"/>
        <v>正常订单</v>
      </c>
      <c r="I2448" s="1" t="str">
        <f t="shared" si="775"/>
        <v>已发货</v>
      </c>
      <c r="J2448" s="1" t="str">
        <f t="shared" ref="J2448:J2454" si="780">"3"</f>
        <v>3</v>
      </c>
      <c r="K2448" s="1">
        <v>2</v>
      </c>
      <c r="L2448" s="1" t="s">
        <v>105</v>
      </c>
      <c r="M2448" s="1" t="str">
        <f>"北京 北京市 通州区 "</f>
        <v xml:space="preserve">北京 北京市 通州区 </v>
      </c>
      <c r="N2448" s="1" t="str">
        <f t="shared" si="778"/>
        <v>凡华云仓-城南圆通-微信视频号</v>
      </c>
      <c r="O2448" s="5" t="s">
        <v>2484</v>
      </c>
      <c r="P2448" s="6">
        <v>0.24</v>
      </c>
      <c r="Q2448" s="11">
        <v>2</v>
      </c>
      <c r="R2448" s="11"/>
      <c r="S2448" s="11"/>
      <c r="T2448" s="11"/>
      <c r="U2448" s="11">
        <f t="shared" si="771"/>
        <v>2</v>
      </c>
      <c r="W2448">
        <v>2.2000000000000002</v>
      </c>
      <c r="X2448" s="1" t="s">
        <v>105</v>
      </c>
    </row>
    <row r="2449" spans="1:24" x14ac:dyDescent="0.25">
      <c r="A2449" s="1" t="str">
        <f t="shared" si="772"/>
        <v>卡卡杜-凤凰仓</v>
      </c>
      <c r="B2449" s="1" t="str">
        <f>"CK2024102767"</f>
        <v>CK2024102767</v>
      </c>
      <c r="C2449" s="1" t="str">
        <f>"DD2024102722182"</f>
        <v>DD2024102722182</v>
      </c>
      <c r="D2449" s="1" t="str">
        <f>"CK2024102711328"</f>
        <v>CK2024102711328</v>
      </c>
      <c r="E2449" s="1" t="str">
        <f>"3723584345399756032"</f>
        <v>3723584345399756032</v>
      </c>
      <c r="F2449" s="1" t="str">
        <f t="shared" si="773"/>
        <v>花都四部-凤凰仓</v>
      </c>
      <c r="G2449" s="1" t="str">
        <f t="shared" si="777"/>
        <v>卡卡杜企业店（视频号）</v>
      </c>
      <c r="H2449" s="1" t="str">
        <f t="shared" si="774"/>
        <v>正常订单</v>
      </c>
      <c r="I2449" s="1" t="str">
        <f t="shared" si="775"/>
        <v>已发货</v>
      </c>
      <c r="J2449" s="1" t="str">
        <f t="shared" si="779"/>
        <v>2</v>
      </c>
      <c r="K2449" s="1">
        <v>2</v>
      </c>
      <c r="L2449" s="1" t="s">
        <v>105</v>
      </c>
      <c r="M2449" s="1" t="str">
        <f>"北京 北京市 丰台区 "</f>
        <v xml:space="preserve">北京 北京市 丰台区 </v>
      </c>
      <c r="N2449" s="1" t="str">
        <f t="shared" si="778"/>
        <v>凡华云仓-城南圆通-微信视频号</v>
      </c>
      <c r="O2449" s="5" t="s">
        <v>2485</v>
      </c>
      <c r="P2449" s="6">
        <v>0.17</v>
      </c>
      <c r="Q2449" s="11">
        <v>2</v>
      </c>
      <c r="R2449" s="11"/>
      <c r="S2449" s="11"/>
      <c r="T2449" s="11"/>
      <c r="U2449" s="11">
        <f t="shared" si="771"/>
        <v>2</v>
      </c>
      <c r="W2449">
        <v>2.2000000000000002</v>
      </c>
      <c r="X2449" s="1" t="s">
        <v>105</v>
      </c>
    </row>
    <row r="2450" spans="1:24" x14ac:dyDescent="0.25">
      <c r="A2450" s="1" t="str">
        <f t="shared" si="772"/>
        <v>卡卡杜-凤凰仓</v>
      </c>
      <c r="B2450" s="1" t="str">
        <f>"CK2024102764"</f>
        <v>CK2024102764</v>
      </c>
      <c r="C2450" s="1" t="str">
        <f>"DD2024102722181"</f>
        <v>DD2024102722181</v>
      </c>
      <c r="D2450" s="1" t="str">
        <f>"CK2024102711327"</f>
        <v>CK2024102711327</v>
      </c>
      <c r="E2450" s="1" t="str">
        <f>"3723584336778105856"</f>
        <v>3723584336778105856</v>
      </c>
      <c r="F2450" s="1" t="str">
        <f t="shared" si="773"/>
        <v>花都四部-凤凰仓</v>
      </c>
      <c r="G2450" s="1" t="str">
        <f t="shared" si="777"/>
        <v>卡卡杜企业店（视频号）</v>
      </c>
      <c r="H2450" s="1" t="str">
        <f t="shared" si="774"/>
        <v>正常订单</v>
      </c>
      <c r="I2450" s="1" t="str">
        <f t="shared" si="775"/>
        <v>已发货</v>
      </c>
      <c r="J2450" s="1" t="str">
        <f t="shared" si="780"/>
        <v>3</v>
      </c>
      <c r="K2450" s="1">
        <v>2</v>
      </c>
      <c r="L2450" s="1" t="s">
        <v>105</v>
      </c>
      <c r="M2450" s="1" t="str">
        <f>"北京 北京市 海淀区 "</f>
        <v xml:space="preserve">北京 北京市 海淀区 </v>
      </c>
      <c r="N2450" s="1" t="str">
        <f t="shared" si="778"/>
        <v>凡华云仓-城南圆通-微信视频号</v>
      </c>
      <c r="O2450" s="5" t="s">
        <v>2486</v>
      </c>
      <c r="P2450" s="6">
        <v>0.24</v>
      </c>
      <c r="Q2450" s="11">
        <v>2</v>
      </c>
      <c r="R2450" s="11"/>
      <c r="S2450" s="11"/>
      <c r="T2450" s="11"/>
      <c r="U2450" s="11">
        <f t="shared" si="771"/>
        <v>2</v>
      </c>
      <c r="W2450">
        <v>2.2000000000000002</v>
      </c>
      <c r="X2450" s="1" t="s">
        <v>105</v>
      </c>
    </row>
    <row r="2451" spans="1:24" x14ac:dyDescent="0.25">
      <c r="A2451" s="1" t="str">
        <f t="shared" si="772"/>
        <v>卡卡杜-凤凰仓</v>
      </c>
      <c r="B2451" s="1" t="str">
        <f>"CK2024102765"</f>
        <v>CK2024102765</v>
      </c>
      <c r="C2451" s="1" t="str">
        <f>"DD2024102722180"</f>
        <v>DD2024102722180</v>
      </c>
      <c r="D2451" s="1" t="str">
        <f>"CK2024102711326"</f>
        <v>CK2024102711326</v>
      </c>
      <c r="E2451" s="1" t="str">
        <f>"3723584348737373440"</f>
        <v>3723584348737373440</v>
      </c>
      <c r="F2451" s="1" t="str">
        <f t="shared" si="773"/>
        <v>花都四部-凤凰仓</v>
      </c>
      <c r="G2451" s="1" t="str">
        <f t="shared" si="777"/>
        <v>卡卡杜企业店（视频号）</v>
      </c>
      <c r="H2451" s="1" t="str">
        <f t="shared" si="774"/>
        <v>正常订单</v>
      </c>
      <c r="I2451" s="1" t="str">
        <f t="shared" si="775"/>
        <v>已发货</v>
      </c>
      <c r="J2451" s="1" t="str">
        <f t="shared" si="779"/>
        <v>2</v>
      </c>
      <c r="K2451" s="1">
        <v>2</v>
      </c>
      <c r="L2451" s="1" t="s">
        <v>74</v>
      </c>
      <c r="M2451" s="1" t="str">
        <f>"上海 上海市 徐汇区 "</f>
        <v xml:space="preserve">上海 上海市 徐汇区 </v>
      </c>
      <c r="N2451" s="1" t="str">
        <f t="shared" si="778"/>
        <v>凡华云仓-城南圆通-微信视频号</v>
      </c>
      <c r="O2451" s="5" t="s">
        <v>2487</v>
      </c>
      <c r="P2451" s="6">
        <v>0.17</v>
      </c>
      <c r="Q2451" s="11">
        <v>2</v>
      </c>
      <c r="R2451" s="11"/>
      <c r="S2451" s="11"/>
      <c r="T2451" s="11"/>
      <c r="U2451" s="11">
        <f t="shared" si="771"/>
        <v>2</v>
      </c>
      <c r="W2451">
        <v>2.2000000000000002</v>
      </c>
      <c r="X2451" s="1" t="s">
        <v>74</v>
      </c>
    </row>
    <row r="2452" spans="1:24" x14ac:dyDescent="0.25">
      <c r="A2452" s="1" t="str">
        <f t="shared" si="772"/>
        <v>卡卡杜-凤凰仓</v>
      </c>
      <c r="B2452" s="1" t="str">
        <f>"CK2024102763"</f>
        <v>CK2024102763</v>
      </c>
      <c r="C2452" s="1" t="str">
        <f>"DD2024102722179"</f>
        <v>DD2024102722179</v>
      </c>
      <c r="D2452" s="1" t="str">
        <f>"CK2024102711325"</f>
        <v>CK2024102711325</v>
      </c>
      <c r="E2452" s="1" t="str">
        <f>"3723584349162046720"</f>
        <v>3723584349162046720</v>
      </c>
      <c r="F2452" s="1" t="str">
        <f t="shared" si="773"/>
        <v>花都四部-凤凰仓</v>
      </c>
      <c r="G2452" s="1" t="str">
        <f t="shared" si="777"/>
        <v>卡卡杜企业店（视频号）</v>
      </c>
      <c r="H2452" s="1" t="str">
        <f t="shared" si="774"/>
        <v>正常订单</v>
      </c>
      <c r="I2452" s="1" t="str">
        <f t="shared" si="775"/>
        <v>已发货</v>
      </c>
      <c r="J2452" s="1" t="str">
        <f t="shared" si="780"/>
        <v>3</v>
      </c>
      <c r="K2452" s="1">
        <v>2</v>
      </c>
      <c r="L2452" s="1" t="s">
        <v>105</v>
      </c>
      <c r="M2452" s="1" t="str">
        <f>"北京 北京市 海淀区 "</f>
        <v xml:space="preserve">北京 北京市 海淀区 </v>
      </c>
      <c r="N2452" s="1" t="str">
        <f t="shared" si="778"/>
        <v>凡华云仓-城南圆通-微信视频号</v>
      </c>
      <c r="O2452" s="5" t="s">
        <v>2488</v>
      </c>
      <c r="P2452" s="6">
        <v>0.24</v>
      </c>
      <c r="Q2452" s="11">
        <v>2</v>
      </c>
      <c r="R2452" s="11"/>
      <c r="S2452" s="11"/>
      <c r="T2452" s="11"/>
      <c r="U2452" s="11">
        <f t="shared" si="771"/>
        <v>2</v>
      </c>
      <c r="W2452">
        <v>2.2000000000000002</v>
      </c>
      <c r="X2452" s="1" t="s">
        <v>105</v>
      </c>
    </row>
    <row r="2453" spans="1:24" x14ac:dyDescent="0.25">
      <c r="A2453" s="1" t="str">
        <f t="shared" si="772"/>
        <v>卡卡杜-凤凰仓</v>
      </c>
      <c r="B2453" s="1" t="str">
        <f>"CK2024102762"</f>
        <v>CK2024102762</v>
      </c>
      <c r="C2453" s="1" t="str">
        <f>"DD2024102722178"</f>
        <v>DD2024102722178</v>
      </c>
      <c r="D2453" s="1" t="str">
        <f>"CK2024102711324"</f>
        <v>CK2024102711324</v>
      </c>
      <c r="E2453" s="1" t="str">
        <f>"3723584348032992512"</f>
        <v>3723584348032992512</v>
      </c>
      <c r="F2453" s="1" t="str">
        <f t="shared" si="773"/>
        <v>花都四部-凤凰仓</v>
      </c>
      <c r="G2453" s="1" t="str">
        <f t="shared" si="777"/>
        <v>卡卡杜企业店（视频号）</v>
      </c>
      <c r="H2453" s="1" t="str">
        <f t="shared" si="774"/>
        <v>正常订单</v>
      </c>
      <c r="I2453" s="1" t="str">
        <f t="shared" si="775"/>
        <v>已发货</v>
      </c>
      <c r="J2453" s="1" t="str">
        <f t="shared" si="780"/>
        <v>3</v>
      </c>
      <c r="K2453" s="1">
        <v>2</v>
      </c>
      <c r="L2453" s="1" t="s">
        <v>94</v>
      </c>
      <c r="M2453" s="1" t="str">
        <f>"湖南省 常德市 武陵区 "</f>
        <v xml:space="preserve">湖南省 常德市 武陵区 </v>
      </c>
      <c r="N2453" s="1" t="str">
        <f t="shared" si="778"/>
        <v>凡华云仓-城南圆通-微信视频号</v>
      </c>
      <c r="O2453" s="5" t="s">
        <v>2489</v>
      </c>
      <c r="P2453" s="6">
        <v>0.24</v>
      </c>
      <c r="Q2453" s="11">
        <v>2</v>
      </c>
      <c r="R2453" s="11"/>
      <c r="S2453" s="11"/>
      <c r="T2453" s="11"/>
      <c r="U2453" s="11">
        <f t="shared" si="771"/>
        <v>2</v>
      </c>
      <c r="W2453">
        <v>2.2000000000000002</v>
      </c>
      <c r="X2453" s="1" t="s">
        <v>94</v>
      </c>
    </row>
    <row r="2454" spans="1:24" x14ac:dyDescent="0.25">
      <c r="A2454" s="1" t="str">
        <f t="shared" si="772"/>
        <v>卡卡杜-凤凰仓</v>
      </c>
      <c r="B2454" s="1" t="str">
        <f>"CK2024102761"</f>
        <v>CK2024102761</v>
      </c>
      <c r="C2454" s="1" t="str">
        <f>"DD2024102722177"</f>
        <v>DD2024102722177</v>
      </c>
      <c r="D2454" s="1" t="str">
        <f>"CK2024102711323"</f>
        <v>CK2024102711323</v>
      </c>
      <c r="E2454" s="1" t="str">
        <f>"3723584349846245376"</f>
        <v>3723584349846245376</v>
      </c>
      <c r="F2454" s="1" t="str">
        <f t="shared" si="773"/>
        <v>花都四部-凤凰仓</v>
      </c>
      <c r="G2454" s="1" t="str">
        <f t="shared" si="777"/>
        <v>卡卡杜企业店（视频号）</v>
      </c>
      <c r="H2454" s="1" t="str">
        <f t="shared" si="774"/>
        <v>正常订单</v>
      </c>
      <c r="I2454" s="1" t="str">
        <f t="shared" si="775"/>
        <v>已发货</v>
      </c>
      <c r="J2454" s="1" t="str">
        <f t="shared" si="780"/>
        <v>3</v>
      </c>
      <c r="K2454" s="1">
        <v>2</v>
      </c>
      <c r="L2454" s="1" t="s">
        <v>32</v>
      </c>
      <c r="M2454" s="1" t="str">
        <f>"陕西省 西安市 雁塔区 "</f>
        <v xml:space="preserve">陕西省 西安市 雁塔区 </v>
      </c>
      <c r="N2454" s="1" t="str">
        <f t="shared" si="778"/>
        <v>凡华云仓-城南圆通-微信视频号</v>
      </c>
      <c r="O2454" s="5" t="s">
        <v>2490</v>
      </c>
      <c r="P2454" s="6">
        <v>0.24</v>
      </c>
      <c r="Q2454" s="11">
        <v>2</v>
      </c>
      <c r="R2454" s="11"/>
      <c r="S2454" s="11"/>
      <c r="T2454" s="11"/>
      <c r="U2454" s="11">
        <f t="shared" si="771"/>
        <v>2</v>
      </c>
      <c r="W2454">
        <v>2.2000000000000002</v>
      </c>
      <c r="X2454" s="1" t="s">
        <v>32</v>
      </c>
    </row>
    <row r="2455" spans="1:24" x14ac:dyDescent="0.25">
      <c r="A2455" s="1" t="str">
        <f t="shared" si="772"/>
        <v>卡卡杜-凤凰仓</v>
      </c>
      <c r="B2455" s="1" t="str">
        <f>"CK2024102759"</f>
        <v>CK2024102759</v>
      </c>
      <c r="C2455" s="1" t="str">
        <f>"DD2024102722176"</f>
        <v>DD2024102722176</v>
      </c>
      <c r="D2455" s="1" t="str">
        <f>"CK2024102711322"</f>
        <v>CK2024102711322</v>
      </c>
      <c r="E2455" s="1" t="str">
        <f>"3723584352308826112"</f>
        <v>3723584352308826112</v>
      </c>
      <c r="F2455" s="1" t="str">
        <f t="shared" si="773"/>
        <v>花都四部-凤凰仓</v>
      </c>
      <c r="G2455" s="1" t="str">
        <f t="shared" si="777"/>
        <v>卡卡杜企业店（视频号）</v>
      </c>
      <c r="H2455" s="1" t="str">
        <f t="shared" si="774"/>
        <v>正常订单</v>
      </c>
      <c r="I2455" s="1" t="str">
        <f t="shared" si="775"/>
        <v>已发货</v>
      </c>
      <c r="J2455" s="1" t="str">
        <f t="shared" ref="J2455:J2461" si="781">"2"</f>
        <v>2</v>
      </c>
      <c r="K2455" s="1">
        <v>2</v>
      </c>
      <c r="L2455" s="1" t="s">
        <v>18</v>
      </c>
      <c r="M2455" s="1" t="str">
        <f>"广东省 广州市 白云区 "</f>
        <v xml:space="preserve">广东省 广州市 白云区 </v>
      </c>
      <c r="N2455" s="1" t="str">
        <f t="shared" si="778"/>
        <v>凡华云仓-城南圆通-微信视频号</v>
      </c>
      <c r="O2455" s="5" t="s">
        <v>2491</v>
      </c>
      <c r="P2455" s="6">
        <v>0.17</v>
      </c>
      <c r="Q2455" s="11">
        <v>2</v>
      </c>
      <c r="R2455" s="11"/>
      <c r="S2455" s="11"/>
      <c r="T2455" s="11"/>
      <c r="U2455" s="11">
        <f t="shared" si="771"/>
        <v>2</v>
      </c>
      <c r="W2455">
        <v>2.2000000000000002</v>
      </c>
      <c r="X2455" s="1" t="s">
        <v>18</v>
      </c>
    </row>
    <row r="2456" spans="1:24" x14ac:dyDescent="0.25">
      <c r="A2456" s="1" t="str">
        <f t="shared" si="772"/>
        <v>卡卡杜-凤凰仓</v>
      </c>
      <c r="B2456" s="1" t="str">
        <f>"CK2024102758"</f>
        <v>CK2024102758</v>
      </c>
      <c r="C2456" s="1" t="str">
        <f>"DD2024102722175"</f>
        <v>DD2024102722175</v>
      </c>
      <c r="D2456" s="1" t="str">
        <f>"CK2024102711321"</f>
        <v>CK2024102711321</v>
      </c>
      <c r="E2456" s="1" t="str">
        <f>"3723584352571229440"</f>
        <v>3723584352571229440</v>
      </c>
      <c r="F2456" s="1" t="str">
        <f t="shared" si="773"/>
        <v>花都四部-凤凰仓</v>
      </c>
      <c r="G2456" s="1" t="str">
        <f t="shared" si="777"/>
        <v>卡卡杜企业店（视频号）</v>
      </c>
      <c r="H2456" s="1" t="str">
        <f t="shared" si="774"/>
        <v>正常订单</v>
      </c>
      <c r="I2456" s="1" t="str">
        <f t="shared" si="775"/>
        <v>已发货</v>
      </c>
      <c r="J2456" s="1" t="str">
        <f t="shared" ref="J2456:J2459" si="782">"3"</f>
        <v>3</v>
      </c>
      <c r="K2456" s="1">
        <v>2</v>
      </c>
      <c r="L2456" s="1" t="s">
        <v>74</v>
      </c>
      <c r="M2456" s="1" t="str">
        <f>"上海 上海市 浦东新区 "</f>
        <v xml:space="preserve">上海 上海市 浦东新区 </v>
      </c>
      <c r="N2456" s="1" t="str">
        <f t="shared" si="778"/>
        <v>凡华云仓-城南圆通-微信视频号</v>
      </c>
      <c r="O2456" s="5" t="s">
        <v>2492</v>
      </c>
      <c r="P2456" s="6">
        <v>0.24</v>
      </c>
      <c r="Q2456" s="11">
        <v>2</v>
      </c>
      <c r="R2456" s="11"/>
      <c r="S2456" s="11"/>
      <c r="T2456" s="11"/>
      <c r="U2456" s="11">
        <f t="shared" si="771"/>
        <v>2</v>
      </c>
      <c r="W2456">
        <v>2.2000000000000002</v>
      </c>
      <c r="X2456" s="1" t="s">
        <v>74</v>
      </c>
    </row>
    <row r="2457" spans="1:24" x14ac:dyDescent="0.25">
      <c r="A2457" s="1" t="str">
        <f t="shared" si="772"/>
        <v>卡卡杜-凤凰仓</v>
      </c>
      <c r="B2457" s="1" t="str">
        <f>"CK2024102760"</f>
        <v>CK2024102760</v>
      </c>
      <c r="C2457" s="1" t="str">
        <f>"DD2024102722174"</f>
        <v>DD2024102722174</v>
      </c>
      <c r="D2457" s="1" t="str">
        <f>"CK2024102711320"</f>
        <v>CK2024102711320</v>
      </c>
      <c r="E2457" s="1" t="str">
        <f>"3723584352109596672"</f>
        <v>3723584352109596672</v>
      </c>
      <c r="F2457" s="1" t="str">
        <f t="shared" si="773"/>
        <v>花都四部-凤凰仓</v>
      </c>
      <c r="G2457" s="1" t="str">
        <f t="shared" si="777"/>
        <v>卡卡杜企业店（视频号）</v>
      </c>
      <c r="H2457" s="1" t="str">
        <f t="shared" si="774"/>
        <v>正常订单</v>
      </c>
      <c r="I2457" s="1" t="str">
        <f t="shared" si="775"/>
        <v>已发货</v>
      </c>
      <c r="J2457" s="1" t="str">
        <f t="shared" si="782"/>
        <v>3</v>
      </c>
      <c r="K2457" s="1">
        <v>2</v>
      </c>
      <c r="L2457" s="1" t="s">
        <v>105</v>
      </c>
      <c r="M2457" s="1" t="str">
        <f>"北京 北京市 昌平区 "</f>
        <v xml:space="preserve">北京 北京市 昌平区 </v>
      </c>
      <c r="N2457" s="1" t="str">
        <f t="shared" si="778"/>
        <v>凡华云仓-城南圆通-微信视频号</v>
      </c>
      <c r="O2457" s="5" t="s">
        <v>2493</v>
      </c>
      <c r="P2457" s="6">
        <v>0.24</v>
      </c>
      <c r="Q2457" s="11">
        <v>2</v>
      </c>
      <c r="R2457" s="11"/>
      <c r="S2457" s="11"/>
      <c r="T2457" s="11"/>
      <c r="U2457" s="11">
        <f t="shared" si="771"/>
        <v>2</v>
      </c>
      <c r="W2457">
        <v>2.2000000000000002</v>
      </c>
      <c r="X2457" s="1" t="s">
        <v>105</v>
      </c>
    </row>
    <row r="2458" spans="1:24" x14ac:dyDescent="0.25">
      <c r="A2458" s="1" t="str">
        <f t="shared" si="772"/>
        <v>卡卡杜-凤凰仓</v>
      </c>
      <c r="B2458" s="1" t="str">
        <f>"CK2024102756"</f>
        <v>CK2024102756</v>
      </c>
      <c r="C2458" s="1" t="str">
        <f>"DD2024102722172"</f>
        <v>DD2024102722172</v>
      </c>
      <c r="D2458" s="1" t="str">
        <f>"CK2024102711318"</f>
        <v>CK2024102711318</v>
      </c>
      <c r="E2458" s="1" t="str">
        <f>"3723584354227717632"</f>
        <v>3723584354227717632</v>
      </c>
      <c r="F2458" s="1" t="str">
        <f t="shared" si="773"/>
        <v>花都四部-凤凰仓</v>
      </c>
      <c r="G2458" s="1" t="str">
        <f t="shared" si="777"/>
        <v>卡卡杜企业店（视频号）</v>
      </c>
      <c r="H2458" s="1" t="str">
        <f t="shared" si="774"/>
        <v>正常订单</v>
      </c>
      <c r="I2458" s="1" t="str">
        <f t="shared" si="775"/>
        <v>已发货</v>
      </c>
      <c r="J2458" s="1" t="str">
        <f t="shared" si="781"/>
        <v>2</v>
      </c>
      <c r="K2458" s="1">
        <v>2</v>
      </c>
      <c r="L2458" s="1" t="s">
        <v>74</v>
      </c>
      <c r="M2458" s="1" t="str">
        <f>"上海 上海市 普陀区 "</f>
        <v xml:space="preserve">上海 上海市 普陀区 </v>
      </c>
      <c r="N2458" s="1" t="str">
        <f t="shared" si="778"/>
        <v>凡华云仓-城南圆通-微信视频号</v>
      </c>
      <c r="O2458" s="5" t="s">
        <v>2494</v>
      </c>
      <c r="P2458" s="6">
        <v>0.17</v>
      </c>
      <c r="Q2458" s="11">
        <v>2</v>
      </c>
      <c r="R2458" s="11"/>
      <c r="S2458" s="11"/>
      <c r="T2458" s="11"/>
      <c r="U2458" s="11">
        <f t="shared" si="771"/>
        <v>2</v>
      </c>
      <c r="W2458">
        <v>2.2000000000000002</v>
      </c>
      <c r="X2458" s="1" t="s">
        <v>74</v>
      </c>
    </row>
    <row r="2459" spans="1:24" x14ac:dyDescent="0.25">
      <c r="A2459" s="1" t="str">
        <f t="shared" si="772"/>
        <v>卡卡杜-凤凰仓</v>
      </c>
      <c r="B2459" s="1" t="str">
        <f>"CK2024102755"</f>
        <v>CK2024102755</v>
      </c>
      <c r="C2459" s="1" t="str">
        <f>"DD2024102722171"</f>
        <v>DD2024102722171</v>
      </c>
      <c r="D2459" s="1" t="str">
        <f>"CK2024102711317"</f>
        <v>CK2024102711317</v>
      </c>
      <c r="E2459" s="1" t="str">
        <f>"3723584348628848640"</f>
        <v>3723584348628848640</v>
      </c>
      <c r="F2459" s="1" t="str">
        <f t="shared" si="773"/>
        <v>花都四部-凤凰仓</v>
      </c>
      <c r="G2459" s="1" t="str">
        <f t="shared" si="777"/>
        <v>卡卡杜企业店（视频号）</v>
      </c>
      <c r="H2459" s="1" t="str">
        <f t="shared" si="774"/>
        <v>正常订单</v>
      </c>
      <c r="I2459" s="1" t="str">
        <f t="shared" si="775"/>
        <v>已发货</v>
      </c>
      <c r="J2459" s="1" t="str">
        <f t="shared" si="782"/>
        <v>3</v>
      </c>
      <c r="K2459" s="1">
        <v>2</v>
      </c>
      <c r="L2459" s="1" t="s">
        <v>105</v>
      </c>
      <c r="M2459" s="1" t="str">
        <f>"北京 北京市 朝阳区 "</f>
        <v xml:space="preserve">北京 北京市 朝阳区 </v>
      </c>
      <c r="N2459" s="1" t="str">
        <f t="shared" si="778"/>
        <v>凡华云仓-城南圆通-微信视频号</v>
      </c>
      <c r="O2459" s="5" t="s">
        <v>2495</v>
      </c>
      <c r="P2459" s="6">
        <v>0.24</v>
      </c>
      <c r="Q2459" s="11">
        <v>2</v>
      </c>
      <c r="R2459" s="11"/>
      <c r="S2459" s="11"/>
      <c r="T2459" s="11"/>
      <c r="U2459" s="11">
        <f t="shared" si="771"/>
        <v>2</v>
      </c>
      <c r="W2459">
        <v>2.2000000000000002</v>
      </c>
      <c r="X2459" s="1" t="s">
        <v>105</v>
      </c>
    </row>
    <row r="2460" spans="1:24" x14ac:dyDescent="0.25">
      <c r="A2460" s="1" t="str">
        <f t="shared" si="772"/>
        <v>卡卡杜-凤凰仓</v>
      </c>
      <c r="B2460" s="1" t="str">
        <f>"CK2024102753"</f>
        <v>CK2024102753</v>
      </c>
      <c r="C2460" s="1" t="str">
        <f>"DD2024102722170"</f>
        <v>DD2024102722170</v>
      </c>
      <c r="D2460" s="1" t="str">
        <f>"CK2024102711316"</f>
        <v>CK2024102711316</v>
      </c>
      <c r="E2460" s="1" t="str">
        <f>"3723584354701675520"</f>
        <v>3723584354701675520</v>
      </c>
      <c r="F2460" s="1" t="str">
        <f t="shared" si="773"/>
        <v>花都四部-凤凰仓</v>
      </c>
      <c r="G2460" s="1" t="str">
        <f t="shared" si="777"/>
        <v>卡卡杜企业店（视频号）</v>
      </c>
      <c r="H2460" s="1" t="str">
        <f t="shared" si="774"/>
        <v>正常订单</v>
      </c>
      <c r="I2460" s="1" t="str">
        <f t="shared" si="775"/>
        <v>已发货</v>
      </c>
      <c r="J2460" s="1" t="str">
        <f t="shared" si="781"/>
        <v>2</v>
      </c>
      <c r="K2460" s="1">
        <v>2</v>
      </c>
      <c r="L2460" s="1" t="s">
        <v>105</v>
      </c>
      <c r="M2460" s="1" t="str">
        <f>"北京 北京市 顺义区 "</f>
        <v xml:space="preserve">北京 北京市 顺义区 </v>
      </c>
      <c r="N2460" s="1" t="str">
        <f t="shared" si="778"/>
        <v>凡华云仓-城南圆通-微信视频号</v>
      </c>
      <c r="O2460" s="5" t="s">
        <v>2496</v>
      </c>
      <c r="P2460" s="6">
        <v>0.17</v>
      </c>
      <c r="Q2460" s="11">
        <v>2</v>
      </c>
      <c r="R2460" s="11"/>
      <c r="S2460" s="11"/>
      <c r="T2460" s="11"/>
      <c r="U2460" s="11">
        <f t="shared" si="771"/>
        <v>2</v>
      </c>
      <c r="W2460">
        <v>2.2000000000000002</v>
      </c>
      <c r="X2460" s="1" t="s">
        <v>105</v>
      </c>
    </row>
    <row r="2461" spans="1:24" x14ac:dyDescent="0.25">
      <c r="A2461" s="1" t="str">
        <f t="shared" si="772"/>
        <v>卡卡杜-凤凰仓</v>
      </c>
      <c r="B2461" s="1" t="str">
        <f>"CK2024102754"</f>
        <v>CK2024102754</v>
      </c>
      <c r="C2461" s="1" t="str">
        <f>"DD2024102722169"</f>
        <v>DD2024102722169</v>
      </c>
      <c r="D2461" s="1" t="str">
        <f>"CK2024102711315"</f>
        <v>CK2024102711315</v>
      </c>
      <c r="E2461" s="1" t="str">
        <f>"3723584355026471936"</f>
        <v>3723584355026471936</v>
      </c>
      <c r="F2461" s="1" t="str">
        <f t="shared" si="773"/>
        <v>花都四部-凤凰仓</v>
      </c>
      <c r="G2461" s="1" t="str">
        <f t="shared" si="777"/>
        <v>卡卡杜企业店（视频号）</v>
      </c>
      <c r="H2461" s="1" t="str">
        <f t="shared" si="774"/>
        <v>正常订单</v>
      </c>
      <c r="I2461" s="1" t="str">
        <f t="shared" si="775"/>
        <v>已发货</v>
      </c>
      <c r="J2461" s="1" t="str">
        <f t="shared" si="781"/>
        <v>2</v>
      </c>
      <c r="K2461" s="1">
        <v>2</v>
      </c>
      <c r="L2461" s="1" t="s">
        <v>20</v>
      </c>
      <c r="M2461" s="1" t="str">
        <f>"浙江省 温州市 瑞安市 "</f>
        <v xml:space="preserve">浙江省 温州市 瑞安市 </v>
      </c>
      <c r="N2461" s="1" t="str">
        <f t="shared" si="778"/>
        <v>凡华云仓-城南圆通-微信视频号</v>
      </c>
      <c r="O2461" s="5" t="s">
        <v>2497</v>
      </c>
      <c r="P2461" s="6">
        <v>0.17</v>
      </c>
      <c r="Q2461" s="11">
        <v>2</v>
      </c>
      <c r="R2461" s="11"/>
      <c r="S2461" s="11"/>
      <c r="T2461" s="11"/>
      <c r="U2461" s="11">
        <f t="shared" si="771"/>
        <v>2</v>
      </c>
      <c r="W2461">
        <v>2.2000000000000002</v>
      </c>
      <c r="X2461" s="1" t="s">
        <v>20</v>
      </c>
    </row>
    <row r="2462" spans="1:24" x14ac:dyDescent="0.25">
      <c r="A2462" s="1" t="str">
        <f t="shared" si="772"/>
        <v>卡卡杜-凤凰仓</v>
      </c>
      <c r="B2462" s="1" t="str">
        <f>"CK2024102752"</f>
        <v>CK2024102752</v>
      </c>
      <c r="C2462" s="1" t="str">
        <f>"DD2024102722168"</f>
        <v>DD2024102722168</v>
      </c>
      <c r="D2462" s="1" t="str">
        <f>"CK2024102711314"</f>
        <v>CK2024102711314</v>
      </c>
      <c r="E2462" s="1" t="str">
        <f>"3723584357679629568"</f>
        <v>3723584357679629568</v>
      </c>
      <c r="F2462" s="1" t="str">
        <f t="shared" si="773"/>
        <v>花都四部-凤凰仓</v>
      </c>
      <c r="G2462" s="1" t="str">
        <f t="shared" si="777"/>
        <v>卡卡杜企业店（视频号）</v>
      </c>
      <c r="H2462" s="1" t="str">
        <f t="shared" si="774"/>
        <v>正常订单</v>
      </c>
      <c r="I2462" s="1" t="str">
        <f t="shared" si="775"/>
        <v>已发货</v>
      </c>
      <c r="J2462" s="1" t="str">
        <f t="shared" ref="J2462:J2466" si="783">"3"</f>
        <v>3</v>
      </c>
      <c r="K2462" s="1">
        <v>2</v>
      </c>
      <c r="L2462" s="1" t="s">
        <v>187</v>
      </c>
      <c r="M2462" s="1" t="str">
        <f>"吉林省 长春市 绿园区 "</f>
        <v xml:space="preserve">吉林省 长春市 绿园区 </v>
      </c>
      <c r="N2462" s="1" t="str">
        <f t="shared" si="778"/>
        <v>凡华云仓-城南圆通-微信视频号</v>
      </c>
      <c r="O2462" s="5" t="s">
        <v>2498</v>
      </c>
      <c r="P2462" s="6">
        <v>0.24</v>
      </c>
      <c r="Q2462" s="11">
        <v>2</v>
      </c>
      <c r="R2462" s="11"/>
      <c r="S2462" s="11"/>
      <c r="T2462" s="11"/>
      <c r="U2462" s="11">
        <f t="shared" si="771"/>
        <v>2</v>
      </c>
      <c r="W2462">
        <v>2.2000000000000002</v>
      </c>
      <c r="X2462" s="1" t="s">
        <v>187</v>
      </c>
    </row>
    <row r="2463" spans="1:24" x14ac:dyDescent="0.25">
      <c r="A2463" s="1" t="str">
        <f t="shared" si="772"/>
        <v>卡卡杜-凤凰仓</v>
      </c>
      <c r="B2463" s="1" t="str">
        <f>"CK2024102751"</f>
        <v>CK2024102751</v>
      </c>
      <c r="C2463" s="1" t="str">
        <f>"DD2024102722167"</f>
        <v>DD2024102722167</v>
      </c>
      <c r="D2463" s="1" t="str">
        <f>"CK2024102711313"</f>
        <v>CK2024102711313</v>
      </c>
      <c r="E2463" s="1" t="str">
        <f>"3723584363775266816"</f>
        <v>3723584363775266816</v>
      </c>
      <c r="F2463" s="1" t="str">
        <f t="shared" si="773"/>
        <v>花都四部-凤凰仓</v>
      </c>
      <c r="G2463" s="1" t="str">
        <f t="shared" si="777"/>
        <v>卡卡杜企业店（视频号）</v>
      </c>
      <c r="H2463" s="1" t="str">
        <f t="shared" si="774"/>
        <v>正常订单</v>
      </c>
      <c r="I2463" s="1" t="str">
        <f t="shared" si="775"/>
        <v>已发货</v>
      </c>
      <c r="J2463" s="1" t="str">
        <f>"2"</f>
        <v>2</v>
      </c>
      <c r="K2463" s="1">
        <v>2</v>
      </c>
      <c r="L2463" s="1" t="s">
        <v>13</v>
      </c>
      <c r="M2463" s="1" t="str">
        <f>"江苏省 苏州市 常熟市 "</f>
        <v xml:space="preserve">江苏省 苏州市 常熟市 </v>
      </c>
      <c r="N2463" s="1" t="str">
        <f t="shared" si="778"/>
        <v>凡华云仓-城南圆通-微信视频号</v>
      </c>
      <c r="O2463" s="5" t="s">
        <v>2499</v>
      </c>
      <c r="P2463" s="6">
        <v>0.17</v>
      </c>
      <c r="Q2463" s="11">
        <v>2</v>
      </c>
      <c r="R2463" s="11"/>
      <c r="S2463" s="11"/>
      <c r="T2463" s="11"/>
      <c r="U2463" s="11">
        <f t="shared" si="771"/>
        <v>2</v>
      </c>
      <c r="W2463">
        <v>2.2000000000000002</v>
      </c>
      <c r="X2463" s="1" t="s">
        <v>13</v>
      </c>
    </row>
    <row r="2464" spans="1:24" x14ac:dyDescent="0.25">
      <c r="A2464" s="1" t="str">
        <f t="shared" si="772"/>
        <v>卡卡杜-凤凰仓</v>
      </c>
      <c r="B2464" s="1" t="str">
        <f>"CK2024102750"</f>
        <v>CK2024102750</v>
      </c>
      <c r="C2464" s="1" t="str">
        <f>"DD2024102722166"</f>
        <v>DD2024102722166</v>
      </c>
      <c r="D2464" s="1" t="str">
        <f>"CK2024102711312"</f>
        <v>CK2024102711312</v>
      </c>
      <c r="E2464" s="1" t="str">
        <f>"3723584372439387136"</f>
        <v>3723584372439387136</v>
      </c>
      <c r="F2464" s="1" t="str">
        <f t="shared" si="773"/>
        <v>花都四部-凤凰仓</v>
      </c>
      <c r="G2464" s="1" t="str">
        <f t="shared" si="777"/>
        <v>卡卡杜企业店（视频号）</v>
      </c>
      <c r="H2464" s="1" t="str">
        <f t="shared" si="774"/>
        <v>正常订单</v>
      </c>
      <c r="I2464" s="1" t="str">
        <f t="shared" si="775"/>
        <v>已发货</v>
      </c>
      <c r="J2464" s="1" t="str">
        <f t="shared" si="783"/>
        <v>3</v>
      </c>
      <c r="K2464" s="1">
        <v>2</v>
      </c>
      <c r="L2464" s="1" t="s">
        <v>54</v>
      </c>
      <c r="M2464" s="1" t="str">
        <f>"黑龙江省 哈尔滨市 香坊区 "</f>
        <v xml:space="preserve">黑龙江省 哈尔滨市 香坊区 </v>
      </c>
      <c r="N2464" s="1" t="str">
        <f t="shared" si="778"/>
        <v>凡华云仓-城南圆通-微信视频号</v>
      </c>
      <c r="O2464" s="5" t="s">
        <v>2500</v>
      </c>
      <c r="P2464" s="6">
        <v>0.24</v>
      </c>
      <c r="Q2464" s="11">
        <v>2</v>
      </c>
      <c r="R2464" s="11"/>
      <c r="S2464" s="11"/>
      <c r="T2464" s="11"/>
      <c r="U2464" s="11">
        <f t="shared" si="771"/>
        <v>2</v>
      </c>
      <c r="W2464">
        <v>2.2000000000000002</v>
      </c>
      <c r="X2464" s="1" t="s">
        <v>54</v>
      </c>
    </row>
    <row r="2465" spans="1:24" x14ac:dyDescent="0.25">
      <c r="A2465" s="1" t="str">
        <f t="shared" si="772"/>
        <v>卡卡杜-凤凰仓</v>
      </c>
      <c r="B2465" s="1" t="str">
        <f>"CK2024102749"</f>
        <v>CK2024102749</v>
      </c>
      <c r="C2465" s="1" t="str">
        <f>"DD2024102722165"</f>
        <v>DD2024102722165</v>
      </c>
      <c r="D2465" s="1" t="str">
        <f>"CK2024102711311"</f>
        <v>CK2024102711311</v>
      </c>
      <c r="E2465" s="1" t="str">
        <f>"3723584373060670464"</f>
        <v>3723584373060670464</v>
      </c>
      <c r="F2465" s="1" t="str">
        <f t="shared" si="773"/>
        <v>花都四部-凤凰仓</v>
      </c>
      <c r="G2465" s="1" t="str">
        <f t="shared" si="777"/>
        <v>卡卡杜企业店（视频号）</v>
      </c>
      <c r="H2465" s="1" t="str">
        <f t="shared" si="774"/>
        <v>正常订单</v>
      </c>
      <c r="I2465" s="1" t="str">
        <f t="shared" si="775"/>
        <v>已发货</v>
      </c>
      <c r="J2465" s="1" t="str">
        <f t="shared" si="783"/>
        <v>3</v>
      </c>
      <c r="K2465" s="1">
        <v>2</v>
      </c>
      <c r="L2465" s="1" t="s">
        <v>30</v>
      </c>
      <c r="M2465" s="1" t="str">
        <f>"山东省 烟台市 芝罘区 "</f>
        <v xml:space="preserve">山东省 烟台市 芝罘区 </v>
      </c>
      <c r="N2465" s="1" t="str">
        <f t="shared" si="778"/>
        <v>凡华云仓-城南圆通-微信视频号</v>
      </c>
      <c r="O2465" s="5" t="s">
        <v>2501</v>
      </c>
      <c r="P2465" s="6">
        <v>0.24</v>
      </c>
      <c r="Q2465" s="11">
        <v>2</v>
      </c>
      <c r="R2465" s="11"/>
      <c r="S2465" s="11"/>
      <c r="T2465" s="11"/>
      <c r="U2465" s="11">
        <f t="shared" si="771"/>
        <v>2</v>
      </c>
      <c r="W2465">
        <v>2.2000000000000002</v>
      </c>
      <c r="X2465" s="1" t="s">
        <v>30</v>
      </c>
    </row>
    <row r="2466" spans="1:24" x14ac:dyDescent="0.25">
      <c r="A2466" s="1" t="str">
        <f t="shared" si="772"/>
        <v>卡卡杜-凤凰仓</v>
      </c>
      <c r="B2466" s="1" t="str">
        <f>"CK2024102748"</f>
        <v>CK2024102748</v>
      </c>
      <c r="C2466" s="1" t="str">
        <f>"DD2024102722164"</f>
        <v>DD2024102722164</v>
      </c>
      <c r="D2466" s="1" t="str">
        <f>"CK2024102711310"</f>
        <v>CK2024102711310</v>
      </c>
      <c r="E2466" s="1" t="str">
        <f>"2430001769161764"</f>
        <v>2430001769161764</v>
      </c>
      <c r="F2466" s="1" t="str">
        <f t="shared" si="773"/>
        <v>花都四部-凤凰仓</v>
      </c>
      <c r="G2466" s="1" t="str">
        <f t="shared" ref="G2466:G2471" si="784">"卡卡杜佳旺专卖店（快手店）"</f>
        <v>卡卡杜佳旺专卖店（快手店）</v>
      </c>
      <c r="H2466" s="1" t="str">
        <f t="shared" si="774"/>
        <v>正常订单</v>
      </c>
      <c r="I2466" s="1" t="str">
        <f t="shared" si="775"/>
        <v>已发货</v>
      </c>
      <c r="J2466" s="1" t="str">
        <f t="shared" si="783"/>
        <v>3</v>
      </c>
      <c r="K2466" s="1">
        <v>2</v>
      </c>
      <c r="L2466" s="1" t="s">
        <v>96</v>
      </c>
      <c r="M2466" s="1" t="str">
        <f>"广西壮族自治区 南宁市 良庆区 大沙田街道"</f>
        <v>广西壮族自治区 南宁市 良庆区 大沙田街道</v>
      </c>
      <c r="N2466" s="1" t="str">
        <f t="shared" ref="N2466:N2471" si="785">"凡华云仓-城南圆通-快手"</f>
        <v>凡华云仓-城南圆通-快手</v>
      </c>
      <c r="O2466" s="5" t="s">
        <v>2502</v>
      </c>
      <c r="P2466" s="6">
        <v>0.35</v>
      </c>
      <c r="Q2466" s="11">
        <v>2.2999999999999998</v>
      </c>
      <c r="R2466" s="11"/>
      <c r="S2466" s="11"/>
      <c r="T2466" s="11"/>
      <c r="U2466" s="11">
        <f t="shared" si="771"/>
        <v>2.2999999999999998</v>
      </c>
      <c r="W2466">
        <v>2.5</v>
      </c>
      <c r="X2466" s="1" t="s">
        <v>96</v>
      </c>
    </row>
    <row r="2467" spans="1:24" x14ac:dyDescent="0.25">
      <c r="A2467" s="1" t="str">
        <f t="shared" si="772"/>
        <v>卡卡杜-凤凰仓</v>
      </c>
      <c r="B2467" s="1" t="str">
        <f>"CK2024102747"</f>
        <v>CK2024102747</v>
      </c>
      <c r="C2467" s="1" t="str">
        <f>"DD2024102722163"</f>
        <v>DD2024102722163</v>
      </c>
      <c r="D2467" s="1" t="str">
        <f>"CK2024102711309"</f>
        <v>CK2024102711309</v>
      </c>
      <c r="E2467" s="1" t="str">
        <f>"2430001933099980"</f>
        <v>2430001933099980</v>
      </c>
      <c r="F2467" s="1" t="str">
        <f t="shared" si="773"/>
        <v>花都四部-凤凰仓</v>
      </c>
      <c r="G2467" s="1" t="str">
        <f t="shared" si="784"/>
        <v>卡卡杜佳旺专卖店（快手店）</v>
      </c>
      <c r="H2467" s="1" t="str">
        <f t="shared" si="774"/>
        <v>正常订单</v>
      </c>
      <c r="I2467" s="1" t="str">
        <f t="shared" si="775"/>
        <v>已发货</v>
      </c>
      <c r="J2467" s="1" t="str">
        <f>"10"</f>
        <v>10</v>
      </c>
      <c r="K2467" s="1">
        <v>2</v>
      </c>
      <c r="L2467" s="1" t="s">
        <v>18</v>
      </c>
      <c r="M2467" s="1" t="str">
        <f>"广东省 深圳市 宝安区 新桥街道"</f>
        <v>广东省 深圳市 宝安区 新桥街道</v>
      </c>
      <c r="N2467" s="1" t="str">
        <f t="shared" si="785"/>
        <v>凡华云仓-城南圆通-快手</v>
      </c>
      <c r="O2467" s="5" t="s">
        <v>2503</v>
      </c>
      <c r="P2467" s="6">
        <v>1.1200000000000001</v>
      </c>
      <c r="Q2467" s="11">
        <f>CEILING(P2467-0.5,0.1)*10*0.15+2.3</f>
        <v>3.3499999999999996</v>
      </c>
      <c r="R2467" s="11"/>
      <c r="S2467" s="11"/>
      <c r="T2467" s="11"/>
      <c r="U2467" s="11">
        <f t="shared" si="771"/>
        <v>3.3499999999999996</v>
      </c>
      <c r="V2467" t="s">
        <v>15</v>
      </c>
      <c r="W2467">
        <v>3.35</v>
      </c>
      <c r="X2467" s="1" t="s">
        <v>18</v>
      </c>
    </row>
    <row r="2468" spans="1:24" x14ac:dyDescent="0.25">
      <c r="A2468" s="1" t="str">
        <f t="shared" si="772"/>
        <v>卡卡杜-凤凰仓</v>
      </c>
      <c r="B2468" s="1" t="str">
        <f>"CK2024102746"</f>
        <v>CK2024102746</v>
      </c>
      <c r="C2468" s="1" t="str">
        <f>"DD2024102722162"</f>
        <v>DD2024102722162</v>
      </c>
      <c r="D2468" s="1" t="str">
        <f>"CK2024102711308"</f>
        <v>CK2024102711308</v>
      </c>
      <c r="E2468" s="1" t="str">
        <f>"3723584400961704960"</f>
        <v>3723584400961704960</v>
      </c>
      <c r="F2468" s="1" t="str">
        <f t="shared" si="773"/>
        <v>花都四部-凤凰仓</v>
      </c>
      <c r="G2468" s="1" t="str">
        <f t="shared" ref="G2468:G2477" si="786">"卡卡杜企业店（视频号）"</f>
        <v>卡卡杜企业店（视频号）</v>
      </c>
      <c r="H2468" s="1" t="str">
        <f t="shared" si="774"/>
        <v>正常订单</v>
      </c>
      <c r="I2468" s="1" t="str">
        <f t="shared" si="775"/>
        <v>已发货</v>
      </c>
      <c r="J2468" s="1" t="str">
        <f t="shared" ref="J2468:J2473" si="787">"3"</f>
        <v>3</v>
      </c>
      <c r="K2468" s="1">
        <v>2</v>
      </c>
      <c r="L2468" s="1" t="s">
        <v>109</v>
      </c>
      <c r="M2468" s="1" t="str">
        <f>"山西省 晋中市 榆次区 "</f>
        <v xml:space="preserve">山西省 晋中市 榆次区 </v>
      </c>
      <c r="N2468" s="1" t="str">
        <f t="shared" ref="N2468:N2477" si="788">"凡华云仓-城南圆通-微信视频号"</f>
        <v>凡华云仓-城南圆通-微信视频号</v>
      </c>
      <c r="O2468" s="5" t="s">
        <v>2504</v>
      </c>
      <c r="P2468" s="6">
        <v>0.24</v>
      </c>
      <c r="Q2468" s="11">
        <v>2</v>
      </c>
      <c r="R2468" s="11"/>
      <c r="S2468" s="11"/>
      <c r="T2468" s="11"/>
      <c r="U2468" s="11">
        <f t="shared" si="771"/>
        <v>2</v>
      </c>
      <c r="W2468">
        <v>2.2000000000000002</v>
      </c>
      <c r="X2468" s="1" t="s">
        <v>109</v>
      </c>
    </row>
    <row r="2469" spans="1:24" x14ac:dyDescent="0.25">
      <c r="A2469" s="1" t="str">
        <f t="shared" si="772"/>
        <v>卡卡杜-凤凰仓</v>
      </c>
      <c r="B2469" s="1" t="str">
        <f>"CK2024102745"</f>
        <v>CK2024102745</v>
      </c>
      <c r="C2469" s="1" t="str">
        <f>"DD2024102722161"</f>
        <v>DD2024102722161</v>
      </c>
      <c r="D2469" s="1" t="str">
        <f>"CK2024102711307"</f>
        <v>CK2024102711307</v>
      </c>
      <c r="E2469" s="1" t="str">
        <f>"3723584418016527616"</f>
        <v>3723584418016527616</v>
      </c>
      <c r="F2469" s="1" t="str">
        <f t="shared" si="773"/>
        <v>花都四部-凤凰仓</v>
      </c>
      <c r="G2469" s="1" t="str">
        <f t="shared" si="786"/>
        <v>卡卡杜企业店（视频号）</v>
      </c>
      <c r="H2469" s="1" t="str">
        <f t="shared" si="774"/>
        <v>正常订单</v>
      </c>
      <c r="I2469" s="1" t="str">
        <f t="shared" si="775"/>
        <v>已发货</v>
      </c>
      <c r="J2469" s="1" t="str">
        <f t="shared" si="787"/>
        <v>3</v>
      </c>
      <c r="K2469" s="1">
        <v>2</v>
      </c>
      <c r="L2469" s="1" t="s">
        <v>66</v>
      </c>
      <c r="M2469" s="1" t="str">
        <f>"内蒙古自治区 呼和浩特市 赛罕区 "</f>
        <v xml:space="preserve">内蒙古自治区 呼和浩特市 赛罕区 </v>
      </c>
      <c r="N2469" s="1" t="str">
        <f t="shared" si="788"/>
        <v>凡华云仓-城南圆通-微信视频号</v>
      </c>
      <c r="O2469" s="5" t="s">
        <v>2505</v>
      </c>
      <c r="P2469" s="6">
        <v>0.24</v>
      </c>
      <c r="Q2469" s="11">
        <v>2</v>
      </c>
      <c r="R2469" s="11"/>
      <c r="S2469" s="11"/>
      <c r="T2469" s="11"/>
      <c r="U2469" s="11">
        <f t="shared" si="771"/>
        <v>2</v>
      </c>
      <c r="W2469">
        <v>2.2000000000000002</v>
      </c>
      <c r="X2469" s="1" t="s">
        <v>66</v>
      </c>
    </row>
    <row r="2470" spans="1:24" x14ac:dyDescent="0.25">
      <c r="A2470" s="1" t="str">
        <f t="shared" si="772"/>
        <v>卡卡杜-凤凰仓</v>
      </c>
      <c r="B2470" s="1" t="str">
        <f>"CK2024102744"</f>
        <v>CK2024102744</v>
      </c>
      <c r="C2470" s="1" t="str">
        <f>"DD2024102722160"</f>
        <v>DD2024102722160</v>
      </c>
      <c r="D2470" s="1" t="str">
        <f>"CK2024102711306"</f>
        <v>CK2024102711306</v>
      </c>
      <c r="E2470" s="1" t="str">
        <f>"2430002090672897"</f>
        <v>2430002090672897</v>
      </c>
      <c r="F2470" s="1" t="str">
        <f t="shared" si="773"/>
        <v>花都四部-凤凰仓</v>
      </c>
      <c r="G2470" s="1" t="str">
        <f t="shared" si="784"/>
        <v>卡卡杜佳旺专卖店（快手店）</v>
      </c>
      <c r="H2470" s="1" t="str">
        <f t="shared" si="774"/>
        <v>正常订单</v>
      </c>
      <c r="I2470" s="1" t="str">
        <f t="shared" si="775"/>
        <v>已发货</v>
      </c>
      <c r="J2470" s="1" t="str">
        <f t="shared" si="787"/>
        <v>3</v>
      </c>
      <c r="K2470" s="1">
        <v>2</v>
      </c>
      <c r="L2470" s="1" t="s">
        <v>161</v>
      </c>
      <c r="M2470" s="1" t="str">
        <f>"四川省 成都市 武侯区 晋阳街道"</f>
        <v>四川省 成都市 武侯区 晋阳街道</v>
      </c>
      <c r="N2470" s="1" t="str">
        <f t="shared" si="785"/>
        <v>凡华云仓-城南圆通-快手</v>
      </c>
      <c r="O2470" s="5" t="s">
        <v>2506</v>
      </c>
      <c r="P2470" s="6">
        <v>0.35</v>
      </c>
      <c r="Q2470" s="11">
        <v>2.2999999999999998</v>
      </c>
      <c r="R2470" s="11"/>
      <c r="S2470" s="11"/>
      <c r="T2470" s="11"/>
      <c r="U2470" s="11">
        <f t="shared" si="771"/>
        <v>2.2999999999999998</v>
      </c>
      <c r="W2470">
        <v>2.5</v>
      </c>
      <c r="X2470" s="1" t="s">
        <v>161</v>
      </c>
    </row>
    <row r="2471" spans="1:24" x14ac:dyDescent="0.25">
      <c r="A2471" s="1" t="str">
        <f t="shared" si="772"/>
        <v>卡卡杜-凤凰仓</v>
      </c>
      <c r="B2471" s="1" t="str">
        <f>"CK2024102743"</f>
        <v>CK2024102743</v>
      </c>
      <c r="C2471" s="1" t="str">
        <f>"DD2024102722159"</f>
        <v>DD2024102722159</v>
      </c>
      <c r="D2471" s="1" t="str">
        <f>"CK2024102711305"</f>
        <v>CK2024102711305</v>
      </c>
      <c r="E2471" s="1" t="str">
        <f>"2430001769011209"</f>
        <v>2430001769011209</v>
      </c>
      <c r="F2471" s="1" t="str">
        <f t="shared" si="773"/>
        <v>花都四部-凤凰仓</v>
      </c>
      <c r="G2471" s="1" t="str">
        <f t="shared" si="784"/>
        <v>卡卡杜佳旺专卖店（快手店）</v>
      </c>
      <c r="H2471" s="1" t="str">
        <f t="shared" si="774"/>
        <v>正常订单</v>
      </c>
      <c r="I2471" s="1" t="str">
        <f t="shared" si="775"/>
        <v>已发货</v>
      </c>
      <c r="J2471" s="1" t="str">
        <f t="shared" si="787"/>
        <v>3</v>
      </c>
      <c r="K2471" s="1">
        <v>2</v>
      </c>
      <c r="L2471" s="1" t="s">
        <v>109</v>
      </c>
      <c r="M2471" s="1" t="str">
        <f>"山西省 忻州市 五台县 台城镇"</f>
        <v>山西省 忻州市 五台县 台城镇</v>
      </c>
      <c r="N2471" s="1" t="str">
        <f t="shared" si="785"/>
        <v>凡华云仓-城南圆通-快手</v>
      </c>
      <c r="O2471" s="5" t="s">
        <v>2507</v>
      </c>
      <c r="P2471" s="6">
        <v>0.35</v>
      </c>
      <c r="Q2471" s="11">
        <v>2.2999999999999998</v>
      </c>
      <c r="R2471" s="11"/>
      <c r="S2471" s="11"/>
      <c r="T2471" s="11"/>
      <c r="U2471" s="11">
        <f t="shared" si="771"/>
        <v>2.2999999999999998</v>
      </c>
      <c r="W2471">
        <v>2.5</v>
      </c>
      <c r="X2471" s="1" t="s">
        <v>109</v>
      </c>
    </row>
    <row r="2472" spans="1:24" x14ac:dyDescent="0.25">
      <c r="A2472" s="1" t="str">
        <f t="shared" si="772"/>
        <v>卡卡杜-凤凰仓</v>
      </c>
      <c r="B2472" s="1" t="str">
        <f>"CK2024102742"</f>
        <v>CK2024102742</v>
      </c>
      <c r="C2472" s="1" t="str">
        <f>"DD2024102722158"</f>
        <v>DD2024102722158</v>
      </c>
      <c r="D2472" s="1" t="str">
        <f>"CK2024102711304"</f>
        <v>CK2024102711304</v>
      </c>
      <c r="E2472" s="1" t="str">
        <f>"6935513220139848759"</f>
        <v>6935513220139848759</v>
      </c>
      <c r="F2472" s="1" t="str">
        <f t="shared" si="773"/>
        <v>花都四部-凤凰仓</v>
      </c>
      <c r="G2472" s="1" t="str">
        <f>"卡卡杜个人护理店（抖店）"</f>
        <v>卡卡杜个人护理店（抖店）</v>
      </c>
      <c r="H2472" s="1" t="str">
        <f t="shared" si="774"/>
        <v>正常订单</v>
      </c>
      <c r="I2472" s="1" t="str">
        <f t="shared" si="775"/>
        <v>已发货</v>
      </c>
      <c r="J2472" s="1" t="str">
        <f t="shared" si="787"/>
        <v>3</v>
      </c>
      <c r="K2472" s="1">
        <v>2</v>
      </c>
      <c r="L2472" s="1" t="s">
        <v>13</v>
      </c>
      <c r="M2472" s="1" t="str">
        <f>"江苏省 连云港市 东海县 牛山街道"</f>
        <v>江苏省 连云港市 东海县 牛山街道</v>
      </c>
      <c r="N2472" s="1" t="str">
        <f>"凡华云仓-城南圆通-抖音"</f>
        <v>凡华云仓-城南圆通-抖音</v>
      </c>
      <c r="O2472" s="5" t="s">
        <v>2508</v>
      </c>
      <c r="P2472" s="6">
        <v>0.35</v>
      </c>
      <c r="Q2472" s="11">
        <v>2.2999999999999998</v>
      </c>
      <c r="R2472" s="11"/>
      <c r="S2472" s="11"/>
      <c r="T2472" s="11"/>
      <c r="U2472" s="11">
        <f t="shared" si="771"/>
        <v>2.2999999999999998</v>
      </c>
      <c r="W2472">
        <v>2.5</v>
      </c>
      <c r="X2472" s="1" t="s">
        <v>13</v>
      </c>
    </row>
    <row r="2473" spans="1:24" x14ac:dyDescent="0.25">
      <c r="A2473" s="1" t="str">
        <f t="shared" si="772"/>
        <v>卡卡杜-凤凰仓</v>
      </c>
      <c r="B2473" s="1" t="str">
        <f>"CK2024102740"</f>
        <v>CK2024102740</v>
      </c>
      <c r="C2473" s="1" t="str">
        <f>"DD2024102722157"</f>
        <v>DD2024102722157</v>
      </c>
      <c r="D2473" s="1" t="str">
        <f>"CK2024102711303"</f>
        <v>CK2024102711303</v>
      </c>
      <c r="E2473" s="1" t="str">
        <f>"3723584774622548992"</f>
        <v>3723584774622548992</v>
      </c>
      <c r="F2473" s="1" t="str">
        <f t="shared" si="773"/>
        <v>花都四部-凤凰仓</v>
      </c>
      <c r="G2473" s="1" t="str">
        <f t="shared" si="786"/>
        <v>卡卡杜企业店（视频号）</v>
      </c>
      <c r="H2473" s="1" t="str">
        <f t="shared" si="774"/>
        <v>正常订单</v>
      </c>
      <c r="I2473" s="1" t="str">
        <f t="shared" si="775"/>
        <v>已发货</v>
      </c>
      <c r="J2473" s="1" t="str">
        <f t="shared" si="787"/>
        <v>3</v>
      </c>
      <c r="K2473" s="1">
        <v>2</v>
      </c>
      <c r="L2473" s="1" t="s">
        <v>27</v>
      </c>
      <c r="M2473" s="1" t="str">
        <f>"贵州省 贵阳市 云岩区 "</f>
        <v xml:space="preserve">贵州省 贵阳市 云岩区 </v>
      </c>
      <c r="N2473" s="1" t="str">
        <f t="shared" si="788"/>
        <v>凡华云仓-城南圆通-微信视频号</v>
      </c>
      <c r="O2473" s="5" t="s">
        <v>2509</v>
      </c>
      <c r="P2473" s="6">
        <v>0.24</v>
      </c>
      <c r="Q2473" s="11">
        <v>2</v>
      </c>
      <c r="R2473" s="11"/>
      <c r="S2473" s="11"/>
      <c r="T2473" s="11"/>
      <c r="U2473" s="11">
        <f t="shared" si="771"/>
        <v>2</v>
      </c>
      <c r="W2473">
        <v>2.2000000000000002</v>
      </c>
      <c r="X2473" s="1" t="s">
        <v>27</v>
      </c>
    </row>
    <row r="2474" spans="1:24" x14ac:dyDescent="0.25">
      <c r="A2474" s="1" t="str">
        <f t="shared" si="772"/>
        <v>卡卡杜-凤凰仓</v>
      </c>
      <c r="B2474" s="1" t="str">
        <f>"CK2024102741"</f>
        <v>CK2024102741</v>
      </c>
      <c r="C2474" s="1" t="str">
        <f>"DD2024102722156"</f>
        <v>DD2024102722156</v>
      </c>
      <c r="D2474" s="1" t="str">
        <f>"CK2024102711302"</f>
        <v>CK2024102711302</v>
      </c>
      <c r="E2474" s="1" t="str">
        <f>"3723584752081044992"</f>
        <v>3723584752081044992</v>
      </c>
      <c r="F2474" s="1" t="str">
        <f t="shared" si="773"/>
        <v>花都四部-凤凰仓</v>
      </c>
      <c r="G2474" s="1" t="str">
        <f t="shared" si="786"/>
        <v>卡卡杜企业店（视频号）</v>
      </c>
      <c r="H2474" s="1" t="str">
        <f t="shared" si="774"/>
        <v>正常订单</v>
      </c>
      <c r="I2474" s="1" t="str">
        <f t="shared" si="775"/>
        <v>已发货</v>
      </c>
      <c r="J2474" s="1" t="str">
        <f t="shared" ref="J2474:J2477" si="789">"2"</f>
        <v>2</v>
      </c>
      <c r="K2474" s="1">
        <v>2</v>
      </c>
      <c r="L2474" s="1" t="s">
        <v>22</v>
      </c>
      <c r="M2474" s="1" t="str">
        <f>"江西省 赣州市 章贡区 "</f>
        <v xml:space="preserve">江西省 赣州市 章贡区 </v>
      </c>
      <c r="N2474" s="1" t="str">
        <f t="shared" si="788"/>
        <v>凡华云仓-城南圆通-微信视频号</v>
      </c>
      <c r="O2474" s="5" t="s">
        <v>2510</v>
      </c>
      <c r="P2474" s="6">
        <v>0.17</v>
      </c>
      <c r="Q2474" s="11">
        <v>2</v>
      </c>
      <c r="R2474" s="11"/>
      <c r="S2474" s="11"/>
      <c r="T2474" s="11"/>
      <c r="U2474" s="11">
        <f t="shared" si="771"/>
        <v>2</v>
      </c>
      <c r="W2474">
        <v>2.2000000000000002</v>
      </c>
      <c r="X2474" s="1" t="s">
        <v>22</v>
      </c>
    </row>
    <row r="2475" spans="1:24" x14ac:dyDescent="0.25">
      <c r="A2475" s="1" t="str">
        <f t="shared" si="772"/>
        <v>卡卡杜-凤凰仓</v>
      </c>
      <c r="B2475" s="1" t="str">
        <f>"CK2024102739"</f>
        <v>CK2024102739</v>
      </c>
      <c r="C2475" s="1" t="str">
        <f>"DD2024102722155"</f>
        <v>DD2024102722155</v>
      </c>
      <c r="D2475" s="1" t="str">
        <f>"CK2024102711301"</f>
        <v>CK2024102711301</v>
      </c>
      <c r="E2475" s="1" t="str">
        <f>"3723584777640609024"</f>
        <v>3723584777640609024</v>
      </c>
      <c r="F2475" s="1" t="str">
        <f t="shared" si="773"/>
        <v>花都四部-凤凰仓</v>
      </c>
      <c r="G2475" s="1" t="str">
        <f t="shared" si="786"/>
        <v>卡卡杜企业店（视频号）</v>
      </c>
      <c r="H2475" s="1" t="str">
        <f t="shared" si="774"/>
        <v>正常订单</v>
      </c>
      <c r="I2475" s="1" t="str">
        <f t="shared" si="775"/>
        <v>已发货</v>
      </c>
      <c r="J2475" s="1" t="str">
        <f t="shared" ref="J2475:J2480" si="790">"3"</f>
        <v>3</v>
      </c>
      <c r="K2475" s="1">
        <v>2</v>
      </c>
      <c r="L2475" s="1" t="s">
        <v>41</v>
      </c>
      <c r="M2475" s="1" t="str">
        <f>"湖北省 武汉市 江夏区 "</f>
        <v xml:space="preserve">湖北省 武汉市 江夏区 </v>
      </c>
      <c r="N2475" s="1" t="str">
        <f t="shared" si="788"/>
        <v>凡华云仓-城南圆通-微信视频号</v>
      </c>
      <c r="O2475" s="5" t="s">
        <v>2511</v>
      </c>
      <c r="P2475" s="6">
        <v>0.24</v>
      </c>
      <c r="Q2475" s="11">
        <v>2</v>
      </c>
      <c r="R2475" s="11"/>
      <c r="S2475" s="11"/>
      <c r="T2475" s="11"/>
      <c r="U2475" s="11">
        <f t="shared" si="771"/>
        <v>2</v>
      </c>
      <c r="W2475">
        <v>2.2000000000000002</v>
      </c>
      <c r="X2475" s="1" t="s">
        <v>41</v>
      </c>
    </row>
    <row r="2476" spans="1:24" x14ac:dyDescent="0.25">
      <c r="A2476" s="1" t="str">
        <f t="shared" si="772"/>
        <v>卡卡杜-凤凰仓</v>
      </c>
      <c r="B2476" s="1" t="str">
        <f>"CK2024102738"</f>
        <v>CK2024102738</v>
      </c>
      <c r="C2476" s="1" t="str">
        <f>"DD2024102722147"</f>
        <v>DD2024102722147</v>
      </c>
      <c r="D2476" s="1" t="str">
        <f>"CK2024102711293"</f>
        <v>CK2024102711293</v>
      </c>
      <c r="E2476" s="1" t="str">
        <f>"3723584776996259072"</f>
        <v>3723584776996259072</v>
      </c>
      <c r="F2476" s="1" t="str">
        <f t="shared" si="773"/>
        <v>花都四部-凤凰仓</v>
      </c>
      <c r="G2476" s="1" t="str">
        <f t="shared" si="786"/>
        <v>卡卡杜企业店（视频号）</v>
      </c>
      <c r="H2476" s="1" t="str">
        <f t="shared" si="774"/>
        <v>正常订单</v>
      </c>
      <c r="I2476" s="1" t="str">
        <f t="shared" si="775"/>
        <v>已发货</v>
      </c>
      <c r="J2476" s="1" t="str">
        <f t="shared" si="789"/>
        <v>2</v>
      </c>
      <c r="K2476" s="1">
        <v>2</v>
      </c>
      <c r="L2476" s="1" t="s">
        <v>105</v>
      </c>
      <c r="M2476" s="1" t="str">
        <f>"北京 北京市 朝阳区 "</f>
        <v xml:space="preserve">北京 北京市 朝阳区 </v>
      </c>
      <c r="N2476" s="1" t="str">
        <f t="shared" si="788"/>
        <v>凡华云仓-城南圆通-微信视频号</v>
      </c>
      <c r="O2476" s="5" t="s">
        <v>2512</v>
      </c>
      <c r="P2476" s="6">
        <v>0.17</v>
      </c>
      <c r="Q2476" s="11">
        <v>2</v>
      </c>
      <c r="R2476" s="11"/>
      <c r="S2476" s="11"/>
      <c r="T2476" s="11"/>
      <c r="U2476" s="11">
        <f t="shared" si="771"/>
        <v>2</v>
      </c>
      <c r="W2476">
        <v>2.2000000000000002</v>
      </c>
      <c r="X2476" s="1" t="s">
        <v>105</v>
      </c>
    </row>
    <row r="2477" spans="1:24" x14ac:dyDescent="0.25">
      <c r="A2477" s="1" t="str">
        <f t="shared" si="772"/>
        <v>卡卡杜-凤凰仓</v>
      </c>
      <c r="B2477" s="1" t="str">
        <f>"CK2024102737"</f>
        <v>CK2024102737</v>
      </c>
      <c r="C2477" s="1" t="str">
        <f>"DD2024102722144"</f>
        <v>DD2024102722144</v>
      </c>
      <c r="D2477" s="1" t="str">
        <f>"CK2024102711290"</f>
        <v>CK2024102711290</v>
      </c>
      <c r="E2477" s="1" t="str">
        <f>"3723584786747756544"</f>
        <v>3723584786747756544</v>
      </c>
      <c r="F2477" s="1" t="str">
        <f t="shared" si="773"/>
        <v>花都四部-凤凰仓</v>
      </c>
      <c r="G2477" s="1" t="str">
        <f t="shared" si="786"/>
        <v>卡卡杜企业店（视频号）</v>
      </c>
      <c r="H2477" s="1" t="str">
        <f t="shared" si="774"/>
        <v>正常订单</v>
      </c>
      <c r="I2477" s="1" t="str">
        <f t="shared" si="775"/>
        <v>已发货</v>
      </c>
      <c r="J2477" s="1" t="str">
        <f t="shared" si="789"/>
        <v>2</v>
      </c>
      <c r="K2477" s="1">
        <v>2</v>
      </c>
      <c r="L2477" s="1" t="s">
        <v>66</v>
      </c>
      <c r="M2477" s="1" t="str">
        <f>"内蒙古自治区 呼和浩特市 赛罕区 "</f>
        <v xml:space="preserve">内蒙古自治区 呼和浩特市 赛罕区 </v>
      </c>
      <c r="N2477" s="1" t="str">
        <f t="shared" si="788"/>
        <v>凡华云仓-城南圆通-微信视频号</v>
      </c>
      <c r="O2477" s="5" t="s">
        <v>2513</v>
      </c>
      <c r="P2477" s="6">
        <v>0.17</v>
      </c>
      <c r="Q2477" s="11">
        <v>2</v>
      </c>
      <c r="R2477" s="11"/>
      <c r="S2477" s="11"/>
      <c r="T2477" s="11"/>
      <c r="U2477" s="11">
        <f t="shared" si="771"/>
        <v>2</v>
      </c>
      <c r="W2477">
        <v>2.2000000000000002</v>
      </c>
      <c r="X2477" s="1" t="s">
        <v>66</v>
      </c>
    </row>
    <row r="2478" spans="1:24" x14ac:dyDescent="0.25">
      <c r="A2478" s="1" t="str">
        <f t="shared" si="772"/>
        <v>卡卡杜-凤凰仓</v>
      </c>
      <c r="B2478" s="1" t="str">
        <f>"CK2024102736"</f>
        <v>CK2024102736</v>
      </c>
      <c r="C2478" s="1" t="str">
        <f>"DD2024102722143"</f>
        <v>DD2024102722143</v>
      </c>
      <c r="D2478" s="1" t="str">
        <f>"CK2024102711289"</f>
        <v>CK2024102711289</v>
      </c>
      <c r="E2478" s="1" t="str">
        <f>"2430102245617488"</f>
        <v>2430102245617488</v>
      </c>
      <c r="F2478" s="1" t="str">
        <f t="shared" si="773"/>
        <v>花都四部-凤凰仓</v>
      </c>
      <c r="G2478" s="1" t="str">
        <f t="shared" ref="G2478:G2483" si="791">"卡卡杜佳旺专卖店（快手店）"</f>
        <v>卡卡杜佳旺专卖店（快手店）</v>
      </c>
      <c r="H2478" s="1" t="str">
        <f t="shared" si="774"/>
        <v>正常订单</v>
      </c>
      <c r="I2478" s="1" t="str">
        <f t="shared" si="775"/>
        <v>已发货</v>
      </c>
      <c r="J2478" s="1" t="str">
        <f t="shared" si="790"/>
        <v>3</v>
      </c>
      <c r="K2478" s="1">
        <v>2</v>
      </c>
      <c r="L2478" s="1" t="s">
        <v>18</v>
      </c>
      <c r="M2478" s="1" t="str">
        <f>"广东省 深圳市 龙华区 民治街道"</f>
        <v>广东省 深圳市 龙华区 民治街道</v>
      </c>
      <c r="N2478" s="1" t="str">
        <f t="shared" ref="N2478:N2483" si="792">"凡华云仓-城南圆通-快手"</f>
        <v>凡华云仓-城南圆通-快手</v>
      </c>
      <c r="O2478" s="5" t="s">
        <v>2514</v>
      </c>
      <c r="P2478" s="6">
        <v>0.35</v>
      </c>
      <c r="Q2478" s="11">
        <v>2.2999999999999998</v>
      </c>
      <c r="R2478" s="11"/>
      <c r="S2478" s="11"/>
      <c r="T2478" s="11"/>
      <c r="U2478" s="11">
        <f t="shared" si="771"/>
        <v>2.2999999999999998</v>
      </c>
      <c r="W2478">
        <v>2.5</v>
      </c>
      <c r="X2478" s="1" t="s">
        <v>18</v>
      </c>
    </row>
    <row r="2479" spans="1:24" x14ac:dyDescent="0.25">
      <c r="A2479" s="1" t="str">
        <f t="shared" si="772"/>
        <v>卡卡杜-凤凰仓</v>
      </c>
      <c r="B2479" s="1" t="str">
        <f>"CK2024102735"</f>
        <v>CK2024102735</v>
      </c>
      <c r="C2479" s="1" t="str">
        <f>"DD2024102722142"</f>
        <v>DD2024102722142</v>
      </c>
      <c r="D2479" s="1" t="str">
        <f>"CK2024102711288"</f>
        <v>CK2024102711288</v>
      </c>
      <c r="E2479" s="1" t="str">
        <f>"3723584796502920192"</f>
        <v>3723584796502920192</v>
      </c>
      <c r="F2479" s="1" t="str">
        <f t="shared" si="773"/>
        <v>花都四部-凤凰仓</v>
      </c>
      <c r="G2479" s="1" t="str">
        <f>"卡卡杜企业店（视频号）"</f>
        <v>卡卡杜企业店（视频号）</v>
      </c>
      <c r="H2479" s="1" t="str">
        <f t="shared" si="774"/>
        <v>正常订单</v>
      </c>
      <c r="I2479" s="1" t="str">
        <f t="shared" si="775"/>
        <v>已发货</v>
      </c>
      <c r="J2479" s="1" t="str">
        <f>"2"</f>
        <v>2</v>
      </c>
      <c r="K2479" s="1">
        <v>2</v>
      </c>
      <c r="L2479" s="1" t="s">
        <v>30</v>
      </c>
      <c r="M2479" s="1" t="str">
        <f>"山东省 青岛市 即墨区 "</f>
        <v xml:space="preserve">山东省 青岛市 即墨区 </v>
      </c>
      <c r="N2479" s="1" t="str">
        <f>"凡华云仓-城南圆通-微信视频号"</f>
        <v>凡华云仓-城南圆通-微信视频号</v>
      </c>
      <c r="O2479" s="5" t="s">
        <v>2515</v>
      </c>
      <c r="P2479" s="6">
        <v>0.17</v>
      </c>
      <c r="Q2479" s="11">
        <v>2</v>
      </c>
      <c r="R2479" s="11"/>
      <c r="S2479" s="11"/>
      <c r="T2479" s="11"/>
      <c r="U2479" s="11">
        <f t="shared" si="771"/>
        <v>2</v>
      </c>
      <c r="W2479">
        <v>2.2000000000000002</v>
      </c>
      <c r="X2479" s="1" t="s">
        <v>30</v>
      </c>
    </row>
    <row r="2480" spans="1:24" x14ac:dyDescent="0.25">
      <c r="A2480" s="1" t="str">
        <f t="shared" si="772"/>
        <v>卡卡杜-凤凰仓</v>
      </c>
      <c r="B2480" s="1" t="str">
        <f>"CK2024102734"</f>
        <v>CK2024102734</v>
      </c>
      <c r="C2480" s="1" t="str">
        <f>"DD2024102722141"</f>
        <v>DD2024102722141</v>
      </c>
      <c r="D2480" s="1" t="str">
        <f>"CK2024102711287"</f>
        <v>CK2024102711287</v>
      </c>
      <c r="E2480" s="1" t="str">
        <f>"2430102402504170"</f>
        <v>2430102402504170</v>
      </c>
      <c r="F2480" s="1" t="str">
        <f t="shared" si="773"/>
        <v>花都四部-凤凰仓</v>
      </c>
      <c r="G2480" s="1" t="str">
        <f t="shared" si="791"/>
        <v>卡卡杜佳旺专卖店（快手店）</v>
      </c>
      <c r="H2480" s="1" t="str">
        <f t="shared" si="774"/>
        <v>正常订单</v>
      </c>
      <c r="I2480" s="1" t="str">
        <f t="shared" si="775"/>
        <v>已发货</v>
      </c>
      <c r="J2480" s="1" t="str">
        <f t="shared" si="790"/>
        <v>3</v>
      </c>
      <c r="K2480" s="1">
        <v>2</v>
      </c>
      <c r="L2480" s="1" t="s">
        <v>94</v>
      </c>
      <c r="M2480" s="1" t="str">
        <f>"湖南省 长沙市 岳麓区 天顶街道"</f>
        <v>湖南省 长沙市 岳麓区 天顶街道</v>
      </c>
      <c r="N2480" s="1" t="str">
        <f t="shared" si="792"/>
        <v>凡华云仓-城南圆通-快手</v>
      </c>
      <c r="O2480" s="5" t="s">
        <v>2516</v>
      </c>
      <c r="P2480" s="6">
        <v>0.35</v>
      </c>
      <c r="Q2480" s="11">
        <v>2.2999999999999998</v>
      </c>
      <c r="R2480" s="11"/>
      <c r="S2480" s="11"/>
      <c r="T2480" s="11"/>
      <c r="U2480" s="11">
        <f t="shared" si="771"/>
        <v>2.2999999999999998</v>
      </c>
      <c r="W2480">
        <v>2.5</v>
      </c>
      <c r="X2480" s="1" t="s">
        <v>94</v>
      </c>
    </row>
    <row r="2481" spans="1:24" x14ac:dyDescent="0.25">
      <c r="A2481" s="1" t="str">
        <f t="shared" si="772"/>
        <v>卡卡杜-凤凰仓</v>
      </c>
      <c r="B2481" s="1" t="str">
        <f>"CK2024102733"</f>
        <v>CK2024102733</v>
      </c>
      <c r="C2481" s="1" t="str">
        <f>"DD2024102722135"</f>
        <v>DD2024102722135</v>
      </c>
      <c r="D2481" s="1" t="str">
        <f>"CK2024102711281"</f>
        <v>CK2024102711281</v>
      </c>
      <c r="E2481" s="1" t="str">
        <f>"2430102241738655"</f>
        <v>2430102241738655</v>
      </c>
      <c r="F2481" s="1" t="str">
        <f t="shared" si="773"/>
        <v>花都四部-凤凰仓</v>
      </c>
      <c r="G2481" s="1" t="str">
        <f t="shared" si="791"/>
        <v>卡卡杜佳旺专卖店（快手店）</v>
      </c>
      <c r="H2481" s="1" t="str">
        <f t="shared" si="774"/>
        <v>正常订单</v>
      </c>
      <c r="I2481" s="1" t="str">
        <f t="shared" si="775"/>
        <v>已发货</v>
      </c>
      <c r="J2481" s="1" t="str">
        <f>"5"</f>
        <v>5</v>
      </c>
      <c r="K2481" s="1">
        <v>2</v>
      </c>
      <c r="L2481" s="1" t="s">
        <v>32</v>
      </c>
      <c r="M2481" s="1" t="str">
        <f>"陕西省 榆林市 榆阳区 驼峰路街道"</f>
        <v>陕西省 榆林市 榆阳区 驼峰路街道</v>
      </c>
      <c r="N2481" s="1" t="str">
        <f t="shared" si="792"/>
        <v>凡华云仓-城南圆通-快手</v>
      </c>
      <c r="O2481" s="5" t="s">
        <v>2517</v>
      </c>
      <c r="P2481" s="6">
        <v>0.59</v>
      </c>
      <c r="Q2481" s="11">
        <f>CEILING(P2481-0.5,0.1)*10*0.15+2.3</f>
        <v>2.4499999999999997</v>
      </c>
      <c r="R2481" s="11"/>
      <c r="S2481" s="11"/>
      <c r="T2481" s="11"/>
      <c r="U2481" s="11">
        <f t="shared" si="771"/>
        <v>2.4499999999999997</v>
      </c>
      <c r="V2481" t="s">
        <v>15</v>
      </c>
      <c r="W2481">
        <v>2.4500000000000002</v>
      </c>
      <c r="X2481" s="1" t="s">
        <v>32</v>
      </c>
    </row>
    <row r="2482" spans="1:24" x14ac:dyDescent="0.25">
      <c r="A2482" s="1" t="str">
        <f t="shared" si="772"/>
        <v>卡卡杜-凤凰仓</v>
      </c>
      <c r="B2482" s="1" t="str">
        <f>"CK2024102732"</f>
        <v>CK2024102732</v>
      </c>
      <c r="C2482" s="1" t="str">
        <f>"DD2024102722132"</f>
        <v>DD2024102722132</v>
      </c>
      <c r="D2482" s="1" t="str">
        <f>"CK2024102711278"</f>
        <v>CK2024102711278</v>
      </c>
      <c r="E2482" s="1" t="str">
        <f>"2430102084155597"</f>
        <v>2430102084155597</v>
      </c>
      <c r="F2482" s="1" t="str">
        <f t="shared" si="773"/>
        <v>花都四部-凤凰仓</v>
      </c>
      <c r="G2482" s="1" t="str">
        <f t="shared" si="791"/>
        <v>卡卡杜佳旺专卖店（快手店）</v>
      </c>
      <c r="H2482" s="1" t="str">
        <f t="shared" si="774"/>
        <v>正常订单</v>
      </c>
      <c r="I2482" s="1" t="str">
        <f t="shared" si="775"/>
        <v>已发货</v>
      </c>
      <c r="J2482" s="1" t="str">
        <f t="shared" ref="J2482:J2489" si="793">"3"</f>
        <v>3</v>
      </c>
      <c r="K2482" s="1">
        <v>2</v>
      </c>
      <c r="L2482" s="1" t="s">
        <v>18</v>
      </c>
      <c r="M2482" s="1" t="str">
        <f>"广东省 深圳市 光明区 公明街道"</f>
        <v>广东省 深圳市 光明区 公明街道</v>
      </c>
      <c r="N2482" s="1" t="str">
        <f t="shared" si="792"/>
        <v>凡华云仓-城南圆通-快手</v>
      </c>
      <c r="O2482" s="5" t="s">
        <v>2518</v>
      </c>
      <c r="P2482" s="6">
        <v>0.35</v>
      </c>
      <c r="Q2482" s="11">
        <v>2.2999999999999998</v>
      </c>
      <c r="R2482" s="11"/>
      <c r="S2482" s="11"/>
      <c r="T2482" s="11"/>
      <c r="U2482" s="11">
        <f t="shared" si="771"/>
        <v>2.2999999999999998</v>
      </c>
      <c r="W2482">
        <v>2.5</v>
      </c>
      <c r="X2482" s="1" t="s">
        <v>18</v>
      </c>
    </row>
    <row r="2483" spans="1:24" x14ac:dyDescent="0.25">
      <c r="A2483" s="1" t="str">
        <f t="shared" si="772"/>
        <v>卡卡杜-凤凰仓</v>
      </c>
      <c r="B2483" s="1" t="str">
        <f>"CK2024102731"</f>
        <v>CK2024102731</v>
      </c>
      <c r="C2483" s="1" t="str">
        <f>"DD2024102722130"</f>
        <v>DD2024102722130</v>
      </c>
      <c r="D2483" s="1" t="str">
        <f>"CK2024102711276"</f>
        <v>CK2024102711276</v>
      </c>
      <c r="E2483" s="1" t="str">
        <f>"2430101925250870"</f>
        <v>2430101925250870</v>
      </c>
      <c r="F2483" s="1" t="str">
        <f t="shared" si="773"/>
        <v>花都四部-凤凰仓</v>
      </c>
      <c r="G2483" s="1" t="str">
        <f t="shared" si="791"/>
        <v>卡卡杜佳旺专卖店（快手店）</v>
      </c>
      <c r="H2483" s="1" t="str">
        <f t="shared" si="774"/>
        <v>正常订单</v>
      </c>
      <c r="I2483" s="1" t="str">
        <f t="shared" si="775"/>
        <v>已发货</v>
      </c>
      <c r="J2483" s="1" t="str">
        <f>"5"</f>
        <v>5</v>
      </c>
      <c r="K2483" s="1">
        <v>2</v>
      </c>
      <c r="L2483" s="1" t="s">
        <v>18</v>
      </c>
      <c r="M2483" s="1" t="str">
        <f>"广东省 深圳市 宝安区 福海街道"</f>
        <v>广东省 深圳市 宝安区 福海街道</v>
      </c>
      <c r="N2483" s="1" t="str">
        <f t="shared" si="792"/>
        <v>凡华云仓-城南圆通-快手</v>
      </c>
      <c r="O2483" s="5" t="s">
        <v>2519</v>
      </c>
      <c r="P2483" s="6">
        <v>0.59</v>
      </c>
      <c r="Q2483" s="11">
        <f>CEILING(P2483-0.5,0.1)*10*0.15+2.3</f>
        <v>2.4499999999999997</v>
      </c>
      <c r="R2483" s="11"/>
      <c r="S2483" s="11"/>
      <c r="T2483" s="11"/>
      <c r="U2483" s="11">
        <f t="shared" si="771"/>
        <v>2.4499999999999997</v>
      </c>
      <c r="V2483" t="s">
        <v>15</v>
      </c>
      <c r="W2483">
        <v>2.4500000000000002</v>
      </c>
      <c r="X2483" s="1" t="s">
        <v>18</v>
      </c>
    </row>
    <row r="2484" spans="1:24" x14ac:dyDescent="0.25">
      <c r="A2484" s="1" t="str">
        <f t="shared" si="772"/>
        <v>卡卡杜-凤凰仓</v>
      </c>
      <c r="B2484" s="1" t="str">
        <f>"CK2024102730"</f>
        <v>CK2024102730</v>
      </c>
      <c r="C2484" s="1" t="str">
        <f>"DD2024102722128"</f>
        <v>DD2024102722128</v>
      </c>
      <c r="D2484" s="1" t="str">
        <f>"CK2024102711274"</f>
        <v>CK2024102711274</v>
      </c>
      <c r="E2484" s="1" t="str">
        <f>"3723585937362784256"</f>
        <v>3723585937362784256</v>
      </c>
      <c r="F2484" s="1" t="str">
        <f t="shared" si="773"/>
        <v>花都四部-凤凰仓</v>
      </c>
      <c r="G2484" s="1" t="str">
        <f>"卡卡杜企业店（视频号）"</f>
        <v>卡卡杜企业店（视频号）</v>
      </c>
      <c r="H2484" s="1" t="str">
        <f t="shared" si="774"/>
        <v>正常订单</v>
      </c>
      <c r="I2484" s="1" t="str">
        <f t="shared" si="775"/>
        <v>已发货</v>
      </c>
      <c r="J2484" s="1" t="str">
        <f t="shared" si="793"/>
        <v>3</v>
      </c>
      <c r="K2484" s="1">
        <v>2</v>
      </c>
      <c r="L2484" s="1" t="s">
        <v>94</v>
      </c>
      <c r="M2484" s="1" t="str">
        <f>"湖南省 湘西土家族苗族自治州 花垣县 "</f>
        <v xml:space="preserve">湖南省 湘西土家族苗族自治州 花垣县 </v>
      </c>
      <c r="N2484" s="1" t="str">
        <f>"凡华云仓-城南圆通-微信视频号"</f>
        <v>凡华云仓-城南圆通-微信视频号</v>
      </c>
      <c r="O2484" s="5" t="s">
        <v>2520</v>
      </c>
      <c r="P2484" s="6">
        <v>0.35</v>
      </c>
      <c r="Q2484" s="11">
        <v>2.2999999999999998</v>
      </c>
      <c r="R2484" s="11"/>
      <c r="S2484" s="11"/>
      <c r="T2484" s="11"/>
      <c r="U2484" s="11">
        <f t="shared" si="771"/>
        <v>2.2999999999999998</v>
      </c>
      <c r="W2484">
        <v>2.5</v>
      </c>
      <c r="X2484" s="1" t="s">
        <v>94</v>
      </c>
    </row>
    <row r="2485" spans="1:24" x14ac:dyDescent="0.25">
      <c r="A2485" s="1" t="str">
        <f t="shared" si="772"/>
        <v>卡卡杜-凤凰仓</v>
      </c>
      <c r="B2485" s="1" t="str">
        <f>"CK2024102729"</f>
        <v>CK2024102729</v>
      </c>
      <c r="C2485" s="1" t="str">
        <f>"DD2024102722119"</f>
        <v>DD2024102722119</v>
      </c>
      <c r="D2485" s="1" t="str">
        <f>"CK2024102711265"</f>
        <v>CK2024102711265</v>
      </c>
      <c r="E2485" s="1" t="str">
        <f>"6935533073098544321"</f>
        <v>6935533073098544321</v>
      </c>
      <c r="F2485" s="1" t="str">
        <f t="shared" si="773"/>
        <v>花都四部-凤凰仓</v>
      </c>
      <c r="G2485" s="1" t="str">
        <f>"卡卡杜个人护理店（抖店）"</f>
        <v>卡卡杜个人护理店（抖店）</v>
      </c>
      <c r="H2485" s="1" t="str">
        <f t="shared" si="774"/>
        <v>正常订单</v>
      </c>
      <c r="I2485" s="1" t="str">
        <f t="shared" si="775"/>
        <v>已发货</v>
      </c>
      <c r="J2485" s="1" t="str">
        <f t="shared" si="793"/>
        <v>3</v>
      </c>
      <c r="K2485" s="1">
        <v>2</v>
      </c>
      <c r="L2485" s="1" t="s">
        <v>74</v>
      </c>
      <c r="M2485" s="1" t="str">
        <f>"上海 上海市 金山区 张堰镇"</f>
        <v>上海 上海市 金山区 张堰镇</v>
      </c>
      <c r="N2485" s="1" t="str">
        <f>"凡华云仓-城南圆通-抖音"</f>
        <v>凡华云仓-城南圆通-抖音</v>
      </c>
      <c r="O2485" s="5" t="s">
        <v>2521</v>
      </c>
      <c r="P2485" s="6">
        <v>0.35</v>
      </c>
      <c r="Q2485" s="11">
        <v>2.2999999999999998</v>
      </c>
      <c r="R2485" s="11"/>
      <c r="S2485" s="11"/>
      <c r="T2485" s="11"/>
      <c r="U2485" s="11">
        <f t="shared" si="771"/>
        <v>2.2999999999999998</v>
      </c>
      <c r="W2485">
        <v>2.5</v>
      </c>
      <c r="X2485" s="1" t="s">
        <v>74</v>
      </c>
    </row>
    <row r="2486" spans="1:24" x14ac:dyDescent="0.25">
      <c r="A2486" s="1" t="str">
        <f t="shared" si="772"/>
        <v>卡卡杜-凤凰仓</v>
      </c>
      <c r="B2486" s="1" t="str">
        <f>"CK2024102728"</f>
        <v>CK2024102728</v>
      </c>
      <c r="C2486" s="1" t="str">
        <f>"DD2024102722104"</f>
        <v>DD2024102722104</v>
      </c>
      <c r="D2486" s="1" t="str">
        <f>"CK2024102711249"</f>
        <v>CK2024102711249</v>
      </c>
      <c r="E2486" s="1" t="str">
        <f>"2430102002739276"</f>
        <v>2430102002739276</v>
      </c>
      <c r="F2486" s="1" t="str">
        <f t="shared" si="773"/>
        <v>花都四部-凤凰仓</v>
      </c>
      <c r="G2486" s="1" t="str">
        <f t="shared" ref="G2486:G2489" si="794">"卡卡杜佳旺专卖店（快手店）"</f>
        <v>卡卡杜佳旺专卖店（快手店）</v>
      </c>
      <c r="H2486" s="1" t="str">
        <f t="shared" si="774"/>
        <v>正常订单</v>
      </c>
      <c r="I2486" s="1" t="str">
        <f t="shared" si="775"/>
        <v>已发货</v>
      </c>
      <c r="J2486" s="1" t="str">
        <f t="shared" si="793"/>
        <v>3</v>
      </c>
      <c r="K2486" s="1">
        <v>2</v>
      </c>
      <c r="L2486" s="1" t="s">
        <v>80</v>
      </c>
      <c r="M2486" s="1" t="str">
        <f>"河南省 郑州市 惠济区 迎宾路街道"</f>
        <v>河南省 郑州市 惠济区 迎宾路街道</v>
      </c>
      <c r="N2486" s="1" t="str">
        <f t="shared" ref="N2486:N2489" si="795">"凡华云仓-城南圆通-快手"</f>
        <v>凡华云仓-城南圆通-快手</v>
      </c>
      <c r="O2486" s="5" t="s">
        <v>2522</v>
      </c>
      <c r="P2486" s="6">
        <v>0.35</v>
      </c>
      <c r="Q2486" s="11">
        <v>2.2999999999999998</v>
      </c>
      <c r="R2486" s="11"/>
      <c r="S2486" s="11"/>
      <c r="T2486" s="11"/>
      <c r="U2486" s="11">
        <f t="shared" si="771"/>
        <v>2.2999999999999998</v>
      </c>
      <c r="W2486">
        <v>2.5</v>
      </c>
      <c r="X2486" s="1" t="s">
        <v>80</v>
      </c>
    </row>
    <row r="2487" spans="1:24" x14ac:dyDescent="0.25">
      <c r="A2487" s="1" t="str">
        <f t="shared" si="772"/>
        <v>卡卡杜-凤凰仓</v>
      </c>
      <c r="B2487" s="1" t="str">
        <f>"CK2024102727"</f>
        <v>CK2024102727</v>
      </c>
      <c r="C2487" s="1" t="str">
        <f>"DD2024102722069"</f>
        <v>DD2024102722069</v>
      </c>
      <c r="D2487" s="1" t="str">
        <f>"CK2024102711217"</f>
        <v>CK2024102711217</v>
      </c>
      <c r="E2487" s="1" t="str">
        <f>"2430102322017070"</f>
        <v>2430102322017070</v>
      </c>
      <c r="F2487" s="1" t="str">
        <f t="shared" si="773"/>
        <v>花都四部-凤凰仓</v>
      </c>
      <c r="G2487" s="1" t="str">
        <f t="shared" si="794"/>
        <v>卡卡杜佳旺专卖店（快手店）</v>
      </c>
      <c r="H2487" s="1" t="str">
        <f t="shared" si="774"/>
        <v>正常订单</v>
      </c>
      <c r="I2487" s="1" t="str">
        <f t="shared" si="775"/>
        <v>已发货</v>
      </c>
      <c r="J2487" s="1" t="str">
        <f t="shared" si="793"/>
        <v>3</v>
      </c>
      <c r="K2487" s="1">
        <v>2</v>
      </c>
      <c r="L2487" s="1" t="s">
        <v>36</v>
      </c>
      <c r="M2487" s="1" t="str">
        <f>"安徽省 合肥市 肥东县 撮镇镇"</f>
        <v>安徽省 合肥市 肥东县 撮镇镇</v>
      </c>
      <c r="N2487" s="1" t="str">
        <f t="shared" si="795"/>
        <v>凡华云仓-城南圆通-快手</v>
      </c>
      <c r="O2487" s="5" t="s">
        <v>2523</v>
      </c>
      <c r="P2487" s="6">
        <v>0.35</v>
      </c>
      <c r="Q2487" s="11">
        <v>2.2999999999999998</v>
      </c>
      <c r="R2487" s="11"/>
      <c r="S2487" s="11"/>
      <c r="T2487" s="11"/>
      <c r="U2487" s="11">
        <f t="shared" si="771"/>
        <v>2.2999999999999998</v>
      </c>
      <c r="W2487">
        <v>2.5</v>
      </c>
      <c r="X2487" s="1" t="s">
        <v>36</v>
      </c>
    </row>
    <row r="2488" spans="1:24" x14ac:dyDescent="0.25">
      <c r="A2488" s="1" t="str">
        <f t="shared" si="772"/>
        <v>卡卡杜-凤凰仓</v>
      </c>
      <c r="B2488" s="1" t="str">
        <f>"CK2024102725"</f>
        <v>CK2024102725</v>
      </c>
      <c r="C2488" s="1" t="str">
        <f>"DD2024102722048"</f>
        <v>DD2024102722048</v>
      </c>
      <c r="D2488" s="1" t="str">
        <f>"CK2024102711194"</f>
        <v>CK2024102711194</v>
      </c>
      <c r="E2488" s="1" t="str">
        <f>"6935533092563982172"</f>
        <v>6935533092563982172</v>
      </c>
      <c r="F2488" s="1" t="str">
        <f t="shared" si="773"/>
        <v>花都四部-凤凰仓</v>
      </c>
      <c r="G2488" s="1" t="str">
        <f>"卡卡杜个人护理店（抖店）"</f>
        <v>卡卡杜个人护理店（抖店）</v>
      </c>
      <c r="H2488" s="1" t="str">
        <f t="shared" si="774"/>
        <v>正常订单</v>
      </c>
      <c r="I2488" s="1" t="str">
        <f t="shared" si="775"/>
        <v>已发货</v>
      </c>
      <c r="J2488" s="1" t="str">
        <f t="shared" si="793"/>
        <v>3</v>
      </c>
      <c r="K2488" s="1">
        <v>2</v>
      </c>
      <c r="L2488" s="1" t="s">
        <v>22</v>
      </c>
      <c r="M2488" s="1" t="str">
        <f>"江西省 九江市 庐山市 南康镇"</f>
        <v>江西省 九江市 庐山市 南康镇</v>
      </c>
      <c r="N2488" s="1" t="str">
        <f>"凡华云仓-城南圆通-抖音"</f>
        <v>凡华云仓-城南圆通-抖音</v>
      </c>
      <c r="O2488" s="5" t="s">
        <v>2524</v>
      </c>
      <c r="P2488" s="6">
        <v>0.35</v>
      </c>
      <c r="Q2488" s="11">
        <v>2.2999999999999998</v>
      </c>
      <c r="R2488" s="11"/>
      <c r="S2488" s="11"/>
      <c r="T2488" s="11"/>
      <c r="U2488" s="11">
        <f t="shared" si="771"/>
        <v>2.2999999999999998</v>
      </c>
      <c r="W2488">
        <v>2.5</v>
      </c>
      <c r="X2488" s="1" t="s">
        <v>22</v>
      </c>
    </row>
    <row r="2489" spans="1:24" x14ac:dyDescent="0.25">
      <c r="A2489" s="1" t="str">
        <f t="shared" si="772"/>
        <v>卡卡杜-凤凰仓</v>
      </c>
      <c r="B2489" s="1" t="str">
        <f>"CK2024102726"</f>
        <v>CK2024102726</v>
      </c>
      <c r="C2489" s="1" t="str">
        <f>"DD2024102722045"</f>
        <v>DD2024102722045</v>
      </c>
      <c r="D2489" s="1" t="str">
        <f>"CK2024102711191"</f>
        <v>CK2024102711191</v>
      </c>
      <c r="E2489" s="1" t="str">
        <f>"2430102000379627"</f>
        <v>2430102000379627</v>
      </c>
      <c r="F2489" s="1" t="str">
        <f t="shared" si="773"/>
        <v>花都四部-凤凰仓</v>
      </c>
      <c r="G2489" s="1" t="str">
        <f t="shared" si="794"/>
        <v>卡卡杜佳旺专卖店（快手店）</v>
      </c>
      <c r="H2489" s="1" t="str">
        <f t="shared" si="774"/>
        <v>正常订单</v>
      </c>
      <c r="I2489" s="1" t="str">
        <f t="shared" si="775"/>
        <v>已发货</v>
      </c>
      <c r="J2489" s="1" t="str">
        <f t="shared" si="793"/>
        <v>3</v>
      </c>
      <c r="K2489" s="1">
        <v>3</v>
      </c>
      <c r="L2489" s="1" t="s">
        <v>92</v>
      </c>
      <c r="M2489" s="1" t="str">
        <f>"辽宁省 大连市 沙河口区 春柳街道"</f>
        <v>辽宁省 大连市 沙河口区 春柳街道</v>
      </c>
      <c r="N2489" s="1" t="str">
        <f t="shared" si="795"/>
        <v>凡华云仓-城南圆通-快手</v>
      </c>
      <c r="O2489" s="5" t="s">
        <v>2525</v>
      </c>
      <c r="P2489" s="6">
        <v>0.34</v>
      </c>
      <c r="Q2489" s="11">
        <v>2.2999999999999998</v>
      </c>
      <c r="R2489" s="11"/>
      <c r="S2489" s="11"/>
      <c r="T2489" s="11"/>
      <c r="U2489" s="11">
        <f t="shared" si="771"/>
        <v>2.2999999999999998</v>
      </c>
      <c r="W2489">
        <v>2.5</v>
      </c>
      <c r="X2489" s="1" t="s">
        <v>92</v>
      </c>
    </row>
    <row r="2490" spans="1:24" x14ac:dyDescent="0.25">
      <c r="A2490" s="1" t="str">
        <f t="shared" si="772"/>
        <v>卡卡杜-凤凰仓</v>
      </c>
      <c r="B2490" s="1" t="str">
        <f>"CK2024102724"</f>
        <v>CK2024102724</v>
      </c>
      <c r="C2490" s="1" t="str">
        <f>"DD2024102722044"</f>
        <v>DD2024102722044</v>
      </c>
      <c r="D2490" s="1" t="str">
        <f>"CK2024102711190"</f>
        <v>CK2024102711190</v>
      </c>
      <c r="E2490" s="1" t="str">
        <f>"3723590831342751744"</f>
        <v>3723590831342751744</v>
      </c>
      <c r="F2490" s="1" t="str">
        <f t="shared" si="773"/>
        <v>花都四部-凤凰仓</v>
      </c>
      <c r="G2490" s="1" t="str">
        <f>"卡卡杜企业店（视频号）"</f>
        <v>卡卡杜企业店（视频号）</v>
      </c>
      <c r="H2490" s="1" t="str">
        <f t="shared" si="774"/>
        <v>正常订单</v>
      </c>
      <c r="I2490" s="1" t="str">
        <f t="shared" si="775"/>
        <v>已发货</v>
      </c>
      <c r="J2490" s="1" t="str">
        <f>"2"</f>
        <v>2</v>
      </c>
      <c r="K2490" s="1">
        <v>2</v>
      </c>
      <c r="L2490" s="1" t="s">
        <v>105</v>
      </c>
      <c r="M2490" s="1" t="str">
        <f>"北京 北京市 海淀区 "</f>
        <v xml:space="preserve">北京 北京市 海淀区 </v>
      </c>
      <c r="N2490" s="1" t="str">
        <f>"凡华云仓-城南圆通-微信视频号"</f>
        <v>凡华云仓-城南圆通-微信视频号</v>
      </c>
      <c r="O2490" s="5" t="s">
        <v>2526</v>
      </c>
      <c r="P2490" s="6">
        <v>0.17</v>
      </c>
      <c r="Q2490" s="11">
        <v>2</v>
      </c>
      <c r="R2490" s="11"/>
      <c r="S2490" s="11"/>
      <c r="T2490" s="11"/>
      <c r="U2490" s="11">
        <f t="shared" si="771"/>
        <v>2</v>
      </c>
      <c r="W2490">
        <v>2.2000000000000002</v>
      </c>
      <c r="X2490" s="1" t="s">
        <v>105</v>
      </c>
    </row>
    <row r="2491" spans="1:24" x14ac:dyDescent="0.25">
      <c r="A2491" s="1" t="str">
        <f t="shared" si="772"/>
        <v>卡卡杜-凤凰仓</v>
      </c>
      <c r="B2491" s="1" t="str">
        <f>"CK2024102721"</f>
        <v>CK2024102721</v>
      </c>
      <c r="C2491" s="1" t="str">
        <f>"DD2024102722041"</f>
        <v>DD2024102722041</v>
      </c>
      <c r="D2491" s="1" t="str">
        <f>"CK2024102711187"</f>
        <v>CK2024102711187</v>
      </c>
      <c r="E2491" s="1" t="str">
        <f>"2430102242123475"</f>
        <v>2430102242123475</v>
      </c>
      <c r="F2491" s="1" t="str">
        <f t="shared" si="773"/>
        <v>花都四部-凤凰仓</v>
      </c>
      <c r="G2491" s="1" t="str">
        <f t="shared" ref="G2491:G2494" si="796">"卡卡杜佳旺专卖店（快手店）"</f>
        <v>卡卡杜佳旺专卖店（快手店）</v>
      </c>
      <c r="H2491" s="1" t="str">
        <f t="shared" si="774"/>
        <v>正常订单</v>
      </c>
      <c r="I2491" s="1" t="str">
        <f t="shared" si="775"/>
        <v>已发货</v>
      </c>
      <c r="J2491" s="1" t="str">
        <f t="shared" ref="J2491:J2495" si="797">"5"</f>
        <v>5</v>
      </c>
      <c r="K2491" s="1">
        <v>2</v>
      </c>
      <c r="L2491" s="1" t="s">
        <v>16</v>
      </c>
      <c r="M2491" s="1" t="str">
        <f>"河北省 邢台市 任泽区 天口镇"</f>
        <v>河北省 邢台市 任泽区 天口镇</v>
      </c>
      <c r="N2491" s="1" t="str">
        <f t="shared" ref="N2491:N2494" si="798">"凡华云仓-城南圆通-快手"</f>
        <v>凡华云仓-城南圆通-快手</v>
      </c>
      <c r="O2491" s="5" t="s">
        <v>2527</v>
      </c>
      <c r="P2491" s="6">
        <v>0.59</v>
      </c>
      <c r="Q2491" s="11">
        <f t="shared" ref="Q2491:Q2495" si="799">CEILING(P2491-0.5,0.1)*10*0.15+2.3</f>
        <v>2.4499999999999997</v>
      </c>
      <c r="R2491" s="11"/>
      <c r="S2491" s="11"/>
      <c r="T2491" s="11"/>
      <c r="U2491" s="11">
        <f t="shared" si="771"/>
        <v>2.4499999999999997</v>
      </c>
      <c r="V2491" t="s">
        <v>15</v>
      </c>
      <c r="W2491">
        <v>2.4500000000000002</v>
      </c>
      <c r="X2491" s="1" t="s">
        <v>16</v>
      </c>
    </row>
    <row r="2492" spans="1:24" x14ac:dyDescent="0.25">
      <c r="A2492" s="1" t="str">
        <f t="shared" si="772"/>
        <v>卡卡杜-凤凰仓</v>
      </c>
      <c r="B2492" s="1" t="str">
        <f>"CK2024102723"</f>
        <v>CK2024102723</v>
      </c>
      <c r="C2492" s="1" t="str">
        <f>"DD2024102722038"</f>
        <v>DD2024102722038</v>
      </c>
      <c r="D2492" s="1" t="str">
        <f>"CK2024102711184"</f>
        <v>CK2024102711184</v>
      </c>
      <c r="E2492" s="1" t="str">
        <f>"2430102002097258"</f>
        <v>2430102002097258</v>
      </c>
      <c r="F2492" s="1" t="str">
        <f t="shared" si="773"/>
        <v>花都四部-凤凰仓</v>
      </c>
      <c r="G2492" s="1" t="str">
        <f t="shared" si="796"/>
        <v>卡卡杜佳旺专卖店（快手店）</v>
      </c>
      <c r="H2492" s="1" t="str">
        <f t="shared" si="774"/>
        <v>正常订单</v>
      </c>
      <c r="I2492" s="1" t="str">
        <f t="shared" si="775"/>
        <v>已发货</v>
      </c>
      <c r="J2492" s="1" t="str">
        <f t="shared" ref="J2492:J2499" si="800">"3"</f>
        <v>3</v>
      </c>
      <c r="K2492" s="1">
        <v>2</v>
      </c>
      <c r="L2492" s="1" t="s">
        <v>80</v>
      </c>
      <c r="M2492" s="1" t="str">
        <f>"河南省 商丘市 永城市 演集街道"</f>
        <v>河南省 商丘市 永城市 演集街道</v>
      </c>
      <c r="N2492" s="1" t="str">
        <f t="shared" si="798"/>
        <v>凡华云仓-城南圆通-快手</v>
      </c>
      <c r="O2492" s="5" t="s">
        <v>2528</v>
      </c>
      <c r="P2492" s="6">
        <v>0.35</v>
      </c>
      <c r="Q2492" s="11">
        <v>2.2999999999999998</v>
      </c>
      <c r="R2492" s="11"/>
      <c r="S2492" s="11"/>
      <c r="T2492" s="11"/>
      <c r="U2492" s="11">
        <f t="shared" si="771"/>
        <v>2.2999999999999998</v>
      </c>
      <c r="W2492">
        <v>2.5</v>
      </c>
      <c r="X2492" s="1" t="s">
        <v>80</v>
      </c>
    </row>
    <row r="2493" spans="1:24" x14ac:dyDescent="0.25">
      <c r="A2493" s="1" t="str">
        <f t="shared" si="772"/>
        <v>卡卡杜-凤凰仓</v>
      </c>
      <c r="B2493" s="1" t="str">
        <f>"CK2024102722"</f>
        <v>CK2024102722</v>
      </c>
      <c r="C2493" s="1" t="str">
        <f>"DD2024102722037"</f>
        <v>DD2024102722037</v>
      </c>
      <c r="D2493" s="1" t="str">
        <f>"CK2024102711183"</f>
        <v>CK2024102711183</v>
      </c>
      <c r="E2493" s="1" t="str">
        <f>"3723591261360624640"</f>
        <v>3723591261360624640</v>
      </c>
      <c r="F2493" s="1" t="str">
        <f t="shared" si="773"/>
        <v>花都四部-凤凰仓</v>
      </c>
      <c r="G2493" s="1" t="str">
        <f>"卡卡杜企业店（视频号）"</f>
        <v>卡卡杜企业店（视频号）</v>
      </c>
      <c r="H2493" s="1" t="str">
        <f t="shared" si="774"/>
        <v>正常订单</v>
      </c>
      <c r="I2493" s="1" t="str">
        <f t="shared" si="775"/>
        <v>已发货</v>
      </c>
      <c r="J2493" s="1" t="str">
        <f t="shared" si="797"/>
        <v>5</v>
      </c>
      <c r="K2493" s="1">
        <v>2</v>
      </c>
      <c r="L2493" s="1" t="s">
        <v>105</v>
      </c>
      <c r="M2493" s="1" t="str">
        <f>"北京 北京市 昌平区 "</f>
        <v xml:space="preserve">北京 北京市 昌平区 </v>
      </c>
      <c r="N2493" s="1" t="str">
        <f>"凡华云仓-城南圆通-微信视频号"</f>
        <v>凡华云仓-城南圆通-微信视频号</v>
      </c>
      <c r="O2493" s="5" t="s">
        <v>2529</v>
      </c>
      <c r="P2493" s="6">
        <v>0.59</v>
      </c>
      <c r="Q2493" s="11">
        <f t="shared" si="799"/>
        <v>2.4499999999999997</v>
      </c>
      <c r="R2493" s="11"/>
      <c r="S2493" s="11"/>
      <c r="T2493" s="11"/>
      <c r="U2493" s="11">
        <f t="shared" si="771"/>
        <v>2.4499999999999997</v>
      </c>
      <c r="V2493" t="s">
        <v>15</v>
      </c>
      <c r="W2493">
        <v>2.4500000000000002</v>
      </c>
      <c r="X2493" s="1" t="s">
        <v>105</v>
      </c>
    </row>
    <row r="2494" spans="1:24" x14ac:dyDescent="0.25">
      <c r="A2494" s="1" t="str">
        <f t="shared" si="772"/>
        <v>卡卡杜-凤凰仓</v>
      </c>
      <c r="B2494" s="1" t="str">
        <f>"CK2024102720"</f>
        <v>CK2024102720</v>
      </c>
      <c r="C2494" s="1" t="str">
        <f>"DD2024102722036"</f>
        <v>DD2024102722036</v>
      </c>
      <c r="D2494" s="1" t="str">
        <f>"CK2024102711182"</f>
        <v>CK2024102711182</v>
      </c>
      <c r="E2494" s="1" t="str">
        <f>"2430102403763485"</f>
        <v>2430102403763485</v>
      </c>
      <c r="F2494" s="1" t="str">
        <f t="shared" si="773"/>
        <v>花都四部-凤凰仓</v>
      </c>
      <c r="G2494" s="1" t="str">
        <f t="shared" si="796"/>
        <v>卡卡杜佳旺专卖店（快手店）</v>
      </c>
      <c r="H2494" s="1" t="str">
        <f t="shared" si="774"/>
        <v>正常订单</v>
      </c>
      <c r="I2494" s="1" t="str">
        <f t="shared" si="775"/>
        <v>已发货</v>
      </c>
      <c r="J2494" s="1" t="str">
        <f>"10"</f>
        <v>10</v>
      </c>
      <c r="K2494" s="1">
        <v>2</v>
      </c>
      <c r="L2494" s="1" t="s">
        <v>18</v>
      </c>
      <c r="M2494" s="1" t="str">
        <f>"广东省 深圳市 南山区 沙河街道"</f>
        <v>广东省 深圳市 南山区 沙河街道</v>
      </c>
      <c r="N2494" s="1" t="str">
        <f t="shared" si="798"/>
        <v>凡华云仓-城南圆通-快手</v>
      </c>
      <c r="O2494" s="5" t="s">
        <v>2530</v>
      </c>
      <c r="P2494" s="6">
        <v>1.1200000000000001</v>
      </c>
      <c r="Q2494" s="11">
        <f t="shared" si="799"/>
        <v>3.3499999999999996</v>
      </c>
      <c r="R2494" s="11"/>
      <c r="S2494" s="11"/>
      <c r="T2494" s="11"/>
      <c r="U2494" s="11">
        <f t="shared" si="771"/>
        <v>3.3499999999999996</v>
      </c>
      <c r="V2494" t="s">
        <v>15</v>
      </c>
      <c r="W2494">
        <v>3.35</v>
      </c>
      <c r="X2494" s="1" t="s">
        <v>18</v>
      </c>
    </row>
    <row r="2495" spans="1:24" x14ac:dyDescent="0.25">
      <c r="A2495" s="1" t="str">
        <f t="shared" si="772"/>
        <v>卡卡杜-凤凰仓</v>
      </c>
      <c r="B2495" s="1" t="str">
        <f>"CK2024102719"</f>
        <v>CK2024102719</v>
      </c>
      <c r="C2495" s="1" t="str">
        <f>"DD2024102722035"</f>
        <v>DD2024102722035</v>
      </c>
      <c r="D2495" s="1" t="str">
        <f>"CK2024102711181"</f>
        <v>CK2024102711181</v>
      </c>
      <c r="E2495" s="1" t="str">
        <f>"6918021371081489651"</f>
        <v>6918021371081489651</v>
      </c>
      <c r="F2495" s="1" t="str">
        <f t="shared" si="773"/>
        <v>花都四部-凤凰仓</v>
      </c>
      <c r="G2495" s="1" t="str">
        <f>"卡卡杜个人护理店（抖店）"</f>
        <v>卡卡杜个人护理店（抖店）</v>
      </c>
      <c r="H2495" s="1" t="str">
        <f t="shared" si="774"/>
        <v>正常订单</v>
      </c>
      <c r="I2495" s="1" t="str">
        <f t="shared" si="775"/>
        <v>已发货</v>
      </c>
      <c r="J2495" s="1" t="str">
        <f t="shared" si="797"/>
        <v>5</v>
      </c>
      <c r="K2495" s="1">
        <v>2</v>
      </c>
      <c r="L2495" s="1" t="s">
        <v>32</v>
      </c>
      <c r="M2495" s="1" t="str">
        <f>"陕西省 汉中市 勉县 勉阳街道"</f>
        <v>陕西省 汉中市 勉县 勉阳街道</v>
      </c>
      <c r="N2495" s="1" t="str">
        <f>"凡华云仓-城南圆通-抖音"</f>
        <v>凡华云仓-城南圆通-抖音</v>
      </c>
      <c r="O2495" s="5" t="s">
        <v>2531</v>
      </c>
      <c r="P2495" s="6">
        <v>0.59</v>
      </c>
      <c r="Q2495" s="11">
        <f t="shared" si="799"/>
        <v>2.4499999999999997</v>
      </c>
      <c r="R2495" s="11"/>
      <c r="S2495" s="11"/>
      <c r="T2495" s="11"/>
      <c r="U2495" s="11">
        <f t="shared" si="771"/>
        <v>2.4499999999999997</v>
      </c>
      <c r="V2495" t="s">
        <v>15</v>
      </c>
      <c r="W2495">
        <v>2.4500000000000002</v>
      </c>
      <c r="X2495" s="1" t="s">
        <v>32</v>
      </c>
    </row>
    <row r="2496" spans="1:24" x14ac:dyDescent="0.25">
      <c r="A2496" s="1" t="str">
        <f t="shared" si="772"/>
        <v>卡卡杜-凤凰仓</v>
      </c>
      <c r="B2496" s="1" t="str">
        <f>"CK2024102718"</f>
        <v>CK2024102718</v>
      </c>
      <c r="C2496" s="1" t="str">
        <f>"DD2024102722034"</f>
        <v>DD2024102722034</v>
      </c>
      <c r="D2496" s="1" t="str">
        <f>"CK2024102711180"</f>
        <v>CK2024102711180</v>
      </c>
      <c r="E2496" s="1" t="str">
        <f>"2430102403035049"</f>
        <v>2430102403035049</v>
      </c>
      <c r="F2496" s="1" t="str">
        <f t="shared" si="773"/>
        <v>花都四部-凤凰仓</v>
      </c>
      <c r="G2496" s="1" t="str">
        <f t="shared" ref="G2496:G2500" si="801">"卡卡杜佳旺专卖店（快手店）"</f>
        <v>卡卡杜佳旺专卖店（快手店）</v>
      </c>
      <c r="H2496" s="1" t="str">
        <f t="shared" si="774"/>
        <v>正常订单</v>
      </c>
      <c r="I2496" s="1" t="str">
        <f t="shared" si="775"/>
        <v>已发货</v>
      </c>
      <c r="J2496" s="1" t="str">
        <f t="shared" si="800"/>
        <v>3</v>
      </c>
      <c r="K2496" s="1">
        <v>2</v>
      </c>
      <c r="L2496" s="1" t="s">
        <v>187</v>
      </c>
      <c r="M2496" s="1" t="str">
        <f>"吉林省 长春市 绿园区 林园街道"</f>
        <v>吉林省 长春市 绿园区 林园街道</v>
      </c>
      <c r="N2496" s="1" t="str">
        <f t="shared" ref="N2496:N2500" si="802">"凡华云仓-城南圆通-快手"</f>
        <v>凡华云仓-城南圆通-快手</v>
      </c>
      <c r="O2496" s="5" t="s">
        <v>2532</v>
      </c>
      <c r="P2496" s="6">
        <v>0.35</v>
      </c>
      <c r="Q2496" s="11">
        <v>2.2999999999999998</v>
      </c>
      <c r="R2496" s="11"/>
      <c r="S2496" s="11"/>
      <c r="T2496" s="11"/>
      <c r="U2496" s="11">
        <f t="shared" si="771"/>
        <v>2.2999999999999998</v>
      </c>
      <c r="W2496">
        <v>2.5</v>
      </c>
      <c r="X2496" s="1" t="s">
        <v>187</v>
      </c>
    </row>
    <row r="2497" spans="1:24" x14ac:dyDescent="0.25">
      <c r="A2497" s="1" t="str">
        <f t="shared" si="772"/>
        <v>卡卡杜-凤凰仓</v>
      </c>
      <c r="B2497" s="1" t="str">
        <f>"CK2024102715"</f>
        <v>CK2024102715</v>
      </c>
      <c r="C2497" s="1" t="str">
        <f>"DD2024102722033"</f>
        <v>DD2024102722033</v>
      </c>
      <c r="D2497" s="1" t="str">
        <f>"CK2024102711179"</f>
        <v>CK2024102711179</v>
      </c>
      <c r="E2497" s="1" t="str">
        <f>"2430102005377667"</f>
        <v>2430102005377667</v>
      </c>
      <c r="F2497" s="1" t="str">
        <f t="shared" si="773"/>
        <v>花都四部-凤凰仓</v>
      </c>
      <c r="G2497" s="1" t="str">
        <f t="shared" si="801"/>
        <v>卡卡杜佳旺专卖店（快手店）</v>
      </c>
      <c r="H2497" s="1" t="str">
        <f t="shared" si="774"/>
        <v>正常订单</v>
      </c>
      <c r="I2497" s="1" t="str">
        <f t="shared" si="775"/>
        <v>已发货</v>
      </c>
      <c r="J2497" s="1" t="str">
        <f t="shared" si="800"/>
        <v>3</v>
      </c>
      <c r="K2497" s="1">
        <v>2</v>
      </c>
      <c r="L2497" s="1" t="s">
        <v>18</v>
      </c>
      <c r="M2497" s="1" t="str">
        <f>"广东省 揭阳市 揭东区 白塔镇"</f>
        <v>广东省 揭阳市 揭东区 白塔镇</v>
      </c>
      <c r="N2497" s="1" t="str">
        <f t="shared" si="802"/>
        <v>凡华云仓-城南圆通-快手</v>
      </c>
      <c r="O2497" s="5" t="s">
        <v>2533</v>
      </c>
      <c r="P2497" s="6">
        <v>0.35</v>
      </c>
      <c r="Q2497" s="11">
        <v>2.2999999999999998</v>
      </c>
      <c r="R2497" s="11"/>
      <c r="S2497" s="11"/>
      <c r="T2497" s="11"/>
      <c r="U2497" s="11">
        <f t="shared" si="771"/>
        <v>2.2999999999999998</v>
      </c>
      <c r="W2497">
        <v>2.5</v>
      </c>
      <c r="X2497" s="1" t="s">
        <v>18</v>
      </c>
    </row>
    <row r="2498" spans="1:24" x14ac:dyDescent="0.25">
      <c r="A2498" s="1" t="str">
        <f t="shared" si="772"/>
        <v>卡卡杜-凤凰仓</v>
      </c>
      <c r="B2498" s="1" t="str">
        <f>"CK2024102717"</f>
        <v>CK2024102717</v>
      </c>
      <c r="C2498" s="1" t="str">
        <f>"DD2024102722032"</f>
        <v>DD2024102722032</v>
      </c>
      <c r="D2498" s="1" t="str">
        <f>"CK2024102711178"</f>
        <v>CK2024102711178</v>
      </c>
      <c r="E2498" s="1" t="str">
        <f>"6935531106059032110"</f>
        <v>6935531106059032110</v>
      </c>
      <c r="F2498" s="1" t="str">
        <f t="shared" si="773"/>
        <v>花都四部-凤凰仓</v>
      </c>
      <c r="G2498" s="1" t="str">
        <f t="shared" ref="G2498:G2503" si="803">"卡卡杜个人护理店（抖店）"</f>
        <v>卡卡杜个人护理店（抖店）</v>
      </c>
      <c r="H2498" s="1" t="str">
        <f t="shared" si="774"/>
        <v>正常订单</v>
      </c>
      <c r="I2498" s="1" t="str">
        <f t="shared" si="775"/>
        <v>已发货</v>
      </c>
      <c r="J2498" s="1" t="str">
        <f t="shared" si="800"/>
        <v>3</v>
      </c>
      <c r="K2498" s="1">
        <v>2</v>
      </c>
      <c r="L2498" s="1" t="s">
        <v>18</v>
      </c>
      <c r="M2498" s="1" t="str">
        <f>"广东省 深圳市 福田区 沙头街道"</f>
        <v>广东省 深圳市 福田区 沙头街道</v>
      </c>
      <c r="N2498" s="1" t="str">
        <f t="shared" ref="N2498:N2503" si="804">"凡华云仓-城南圆通-抖音"</f>
        <v>凡华云仓-城南圆通-抖音</v>
      </c>
      <c r="O2498" s="5" t="s">
        <v>2534</v>
      </c>
      <c r="P2498" s="6">
        <v>0.35</v>
      </c>
      <c r="Q2498" s="11">
        <v>2.2999999999999998</v>
      </c>
      <c r="R2498" s="11"/>
      <c r="S2498" s="11"/>
      <c r="T2498" s="11"/>
      <c r="U2498" s="11">
        <f t="shared" si="771"/>
        <v>2.2999999999999998</v>
      </c>
      <c r="W2498">
        <v>2.5</v>
      </c>
      <c r="X2498" s="1" t="s">
        <v>18</v>
      </c>
    </row>
    <row r="2499" spans="1:24" x14ac:dyDescent="0.25">
      <c r="A2499" s="1" t="str">
        <f t="shared" si="772"/>
        <v>卡卡杜-凤凰仓</v>
      </c>
      <c r="B2499" s="1" t="str">
        <f>"CK2024102716"</f>
        <v>CK2024102716</v>
      </c>
      <c r="C2499" s="1" t="str">
        <f>"DD2024102722031"</f>
        <v>DD2024102722031</v>
      </c>
      <c r="D2499" s="1" t="str">
        <f>"CK2024102711177"</f>
        <v>CK2024102711177</v>
      </c>
      <c r="E2499" s="1" t="str">
        <f>"2430102320595009"</f>
        <v>2430102320595009</v>
      </c>
      <c r="F2499" s="1" t="str">
        <f t="shared" si="773"/>
        <v>花都四部-凤凰仓</v>
      </c>
      <c r="G2499" s="1" t="str">
        <f t="shared" si="801"/>
        <v>卡卡杜佳旺专卖店（快手店）</v>
      </c>
      <c r="H2499" s="1" t="str">
        <f t="shared" si="774"/>
        <v>正常订单</v>
      </c>
      <c r="I2499" s="1" t="str">
        <f t="shared" si="775"/>
        <v>已发货</v>
      </c>
      <c r="J2499" s="1" t="str">
        <f t="shared" si="800"/>
        <v>3</v>
      </c>
      <c r="K2499" s="1">
        <v>2</v>
      </c>
      <c r="L2499" s="1" t="s">
        <v>187</v>
      </c>
      <c r="M2499" s="1" t="str">
        <f>"吉林省 延边朝鲜族自治州 延吉市 公园街道"</f>
        <v>吉林省 延边朝鲜族自治州 延吉市 公园街道</v>
      </c>
      <c r="N2499" s="1" t="str">
        <f t="shared" si="802"/>
        <v>凡华云仓-城南圆通-快手</v>
      </c>
      <c r="O2499" s="5" t="s">
        <v>2535</v>
      </c>
      <c r="P2499" s="6">
        <v>0.35</v>
      </c>
      <c r="Q2499" s="11">
        <v>2.2999999999999998</v>
      </c>
      <c r="R2499" s="11"/>
      <c r="S2499" s="11"/>
      <c r="T2499" s="11"/>
      <c r="U2499" s="11">
        <f t="shared" ref="U2499:U2562" si="805">T2499+S2499+R2499+Q2499</f>
        <v>2.2999999999999998</v>
      </c>
      <c r="W2499">
        <v>2.5</v>
      </c>
      <c r="X2499" s="1" t="s">
        <v>187</v>
      </c>
    </row>
    <row r="2500" spans="1:24" x14ac:dyDescent="0.25">
      <c r="A2500" s="1" t="str">
        <f t="shared" si="772"/>
        <v>卡卡杜-凤凰仓</v>
      </c>
      <c r="B2500" s="1" t="str">
        <f>"CK2024102713"</f>
        <v>CK2024102713</v>
      </c>
      <c r="C2500" s="1" t="str">
        <f>"DD2024102722030"</f>
        <v>DD2024102722030</v>
      </c>
      <c r="D2500" s="1" t="str">
        <f>"CK2024102711176"</f>
        <v>CK2024102711176</v>
      </c>
      <c r="E2500" s="1" t="str">
        <f>"2430102163761581"</f>
        <v>2430102163761581</v>
      </c>
      <c r="F2500" s="1" t="str">
        <f t="shared" si="773"/>
        <v>花都四部-凤凰仓</v>
      </c>
      <c r="G2500" s="1" t="str">
        <f t="shared" si="801"/>
        <v>卡卡杜佳旺专卖店（快手店）</v>
      </c>
      <c r="H2500" s="1" t="str">
        <f t="shared" si="774"/>
        <v>正常订单</v>
      </c>
      <c r="I2500" s="1" t="str">
        <f t="shared" si="775"/>
        <v>已发货</v>
      </c>
      <c r="J2500" s="1" t="str">
        <f t="shared" ref="J2500:J2506" si="806">"5"</f>
        <v>5</v>
      </c>
      <c r="K2500" s="1">
        <v>2</v>
      </c>
      <c r="L2500" s="1" t="s">
        <v>41</v>
      </c>
      <c r="M2500" s="1" t="str">
        <f>"湖北省 武汉市 黄陂区 盘龙城经济开发区"</f>
        <v>湖北省 武汉市 黄陂区 盘龙城经济开发区</v>
      </c>
      <c r="N2500" s="1" t="str">
        <f t="shared" si="802"/>
        <v>凡华云仓-城南圆通-快手</v>
      </c>
      <c r="O2500" s="5" t="s">
        <v>2536</v>
      </c>
      <c r="P2500" s="6">
        <v>0.59</v>
      </c>
      <c r="Q2500" s="11">
        <f t="shared" ref="Q2500:Q2505" si="807">CEILING(P2500-0.5,0.1)*10*0.15+2.3</f>
        <v>2.4499999999999997</v>
      </c>
      <c r="R2500" s="11"/>
      <c r="S2500" s="11"/>
      <c r="T2500" s="11"/>
      <c r="U2500" s="11">
        <f t="shared" si="805"/>
        <v>2.4499999999999997</v>
      </c>
      <c r="V2500" t="s">
        <v>15</v>
      </c>
      <c r="W2500">
        <v>2.4500000000000002</v>
      </c>
      <c r="X2500" s="1" t="s">
        <v>41</v>
      </c>
    </row>
    <row r="2501" spans="1:24" x14ac:dyDescent="0.25">
      <c r="A2501" s="1" t="str">
        <f t="shared" ref="A2501:A2564" si="808">"卡卡杜-凤凰仓"</f>
        <v>卡卡杜-凤凰仓</v>
      </c>
      <c r="B2501" s="1" t="str">
        <f>"CK2024102714"</f>
        <v>CK2024102714</v>
      </c>
      <c r="C2501" s="1" t="str">
        <f>"DD2024102722029"</f>
        <v>DD2024102722029</v>
      </c>
      <c r="D2501" s="1" t="str">
        <f>"CK2024102711175"</f>
        <v>CK2024102711175</v>
      </c>
      <c r="E2501" s="1" t="str">
        <f>"6935537881866507713"</f>
        <v>6935537881866507713</v>
      </c>
      <c r="F2501" s="1" t="str">
        <f t="shared" ref="F2501:F2564" si="809">"花都四部-凤凰仓"</f>
        <v>花都四部-凤凰仓</v>
      </c>
      <c r="G2501" s="1" t="str">
        <f t="shared" si="803"/>
        <v>卡卡杜个人护理店（抖店）</v>
      </c>
      <c r="H2501" s="1" t="str">
        <f t="shared" ref="H2501:H2564" si="810">"正常订单"</f>
        <v>正常订单</v>
      </c>
      <c r="I2501" s="1" t="str">
        <f t="shared" ref="I2501:I2564" si="811">"已发货"</f>
        <v>已发货</v>
      </c>
      <c r="J2501" s="1" t="str">
        <f t="shared" ref="J2501:J2504" si="812">"3"</f>
        <v>3</v>
      </c>
      <c r="K2501" s="1">
        <v>2</v>
      </c>
      <c r="L2501" s="1" t="s">
        <v>18</v>
      </c>
      <c r="M2501" s="1" t="str">
        <f>"广东省 深圳市 宝安区 新桥街道"</f>
        <v>广东省 深圳市 宝安区 新桥街道</v>
      </c>
      <c r="N2501" s="1" t="str">
        <f t="shared" si="804"/>
        <v>凡华云仓-城南圆通-抖音</v>
      </c>
      <c r="O2501" s="5" t="s">
        <v>2537</v>
      </c>
      <c r="P2501" s="6">
        <v>0.35</v>
      </c>
      <c r="Q2501" s="11">
        <v>2.2999999999999998</v>
      </c>
      <c r="R2501" s="11"/>
      <c r="S2501" s="11"/>
      <c r="T2501" s="11"/>
      <c r="U2501" s="11">
        <f t="shared" si="805"/>
        <v>2.2999999999999998</v>
      </c>
      <c r="W2501">
        <v>2.5</v>
      </c>
      <c r="X2501" s="1" t="s">
        <v>18</v>
      </c>
    </row>
    <row r="2502" spans="1:24" x14ac:dyDescent="0.25">
      <c r="A2502" s="1" t="str">
        <f t="shared" si="808"/>
        <v>卡卡杜-凤凰仓</v>
      </c>
      <c r="B2502" s="1" t="str">
        <f>"CK2024102712"</f>
        <v>CK2024102712</v>
      </c>
      <c r="C2502" s="1" t="str">
        <f>"DD2024102722028"</f>
        <v>DD2024102722028</v>
      </c>
      <c r="D2502" s="1" t="str">
        <f>"CK2024102711174"</f>
        <v>CK2024102711174</v>
      </c>
      <c r="E2502" s="1" t="str">
        <f>"2430102083105877"</f>
        <v>2430102083105877</v>
      </c>
      <c r="F2502" s="1" t="str">
        <f t="shared" si="809"/>
        <v>花都四部-凤凰仓</v>
      </c>
      <c r="G2502" s="1" t="str">
        <f t="shared" ref="G2502:G2512" si="813">"卡卡杜佳旺专卖店（快手店）"</f>
        <v>卡卡杜佳旺专卖店（快手店）</v>
      </c>
      <c r="H2502" s="1" t="str">
        <f t="shared" si="810"/>
        <v>正常订单</v>
      </c>
      <c r="I2502" s="1" t="str">
        <f t="shared" si="811"/>
        <v>已发货</v>
      </c>
      <c r="J2502" s="1" t="str">
        <f t="shared" si="806"/>
        <v>5</v>
      </c>
      <c r="K2502" s="1">
        <v>2</v>
      </c>
      <c r="L2502" s="1" t="s">
        <v>20</v>
      </c>
      <c r="M2502" s="1" t="str">
        <f>"浙江省 宁波市 慈溪市 周巷镇"</f>
        <v>浙江省 宁波市 慈溪市 周巷镇</v>
      </c>
      <c r="N2502" s="1" t="str">
        <f t="shared" ref="N2502:N2512" si="814">"凡华云仓-城南圆通-快手"</f>
        <v>凡华云仓-城南圆通-快手</v>
      </c>
      <c r="O2502" s="5" t="s">
        <v>2538</v>
      </c>
      <c r="P2502" s="6">
        <v>0.59</v>
      </c>
      <c r="Q2502" s="11">
        <f t="shared" si="807"/>
        <v>2.4499999999999997</v>
      </c>
      <c r="R2502" s="11"/>
      <c r="S2502" s="11"/>
      <c r="T2502" s="11"/>
      <c r="U2502" s="11">
        <f t="shared" si="805"/>
        <v>2.4499999999999997</v>
      </c>
      <c r="V2502" t="s">
        <v>15</v>
      </c>
      <c r="W2502">
        <v>2.4500000000000002</v>
      </c>
      <c r="X2502" s="1" t="s">
        <v>20</v>
      </c>
    </row>
    <row r="2503" spans="1:24" x14ac:dyDescent="0.25">
      <c r="A2503" s="1" t="str">
        <f t="shared" si="808"/>
        <v>卡卡杜-凤凰仓</v>
      </c>
      <c r="B2503" s="1" t="str">
        <f>"CK2024102711"</f>
        <v>CK2024102711</v>
      </c>
      <c r="C2503" s="1" t="str">
        <f>"DD2024102722027"</f>
        <v>DD2024102722027</v>
      </c>
      <c r="D2503" s="1" t="str">
        <f>"CK2024102711173"</f>
        <v>CK2024102711173</v>
      </c>
      <c r="E2503" s="1" t="str">
        <f>"6935535679919428671"</f>
        <v>6935535679919428671</v>
      </c>
      <c r="F2503" s="1" t="str">
        <f t="shared" si="809"/>
        <v>花都四部-凤凰仓</v>
      </c>
      <c r="G2503" s="1" t="str">
        <f t="shared" si="803"/>
        <v>卡卡杜个人护理店（抖店）</v>
      </c>
      <c r="H2503" s="1" t="str">
        <f t="shared" si="810"/>
        <v>正常订单</v>
      </c>
      <c r="I2503" s="1" t="str">
        <f t="shared" si="811"/>
        <v>已发货</v>
      </c>
      <c r="J2503" s="1" t="str">
        <f t="shared" si="812"/>
        <v>3</v>
      </c>
      <c r="K2503" s="1">
        <v>3</v>
      </c>
      <c r="L2503" s="1" t="s">
        <v>18</v>
      </c>
      <c r="M2503" s="1" t="str">
        <f>"广东省 深圳市 龙岗区 南湾街道"</f>
        <v>广东省 深圳市 龙岗区 南湾街道</v>
      </c>
      <c r="N2503" s="1" t="str">
        <f t="shared" si="804"/>
        <v>凡华云仓-城南圆通-抖音</v>
      </c>
      <c r="O2503" s="5" t="s">
        <v>2539</v>
      </c>
      <c r="P2503" s="6">
        <v>0.34</v>
      </c>
      <c r="Q2503" s="11">
        <v>2.2999999999999998</v>
      </c>
      <c r="R2503" s="11"/>
      <c r="S2503" s="11"/>
      <c r="T2503" s="11"/>
      <c r="U2503" s="11">
        <f t="shared" si="805"/>
        <v>2.2999999999999998</v>
      </c>
      <c r="W2503">
        <v>2.5</v>
      </c>
      <c r="X2503" s="1" t="s">
        <v>18</v>
      </c>
    </row>
    <row r="2504" spans="1:24" x14ac:dyDescent="0.25">
      <c r="A2504" s="1" t="str">
        <f t="shared" si="808"/>
        <v>卡卡杜-凤凰仓</v>
      </c>
      <c r="B2504" s="1" t="str">
        <f>"CK2024102710"</f>
        <v>CK2024102710</v>
      </c>
      <c r="C2504" s="1" t="str">
        <f>"DD2024102722026"</f>
        <v>DD2024102722026</v>
      </c>
      <c r="D2504" s="1" t="str">
        <f>"CK2024102711172"</f>
        <v>CK2024102711172</v>
      </c>
      <c r="E2504" s="1" t="str">
        <f>"3723592556381868032"</f>
        <v>3723592556381868032</v>
      </c>
      <c r="F2504" s="1" t="str">
        <f t="shared" si="809"/>
        <v>花都四部-凤凰仓</v>
      </c>
      <c r="G2504" s="1" t="str">
        <f>"卡卡杜企业店（视频号）"</f>
        <v>卡卡杜企业店（视频号）</v>
      </c>
      <c r="H2504" s="1" t="str">
        <f t="shared" si="810"/>
        <v>正常订单</v>
      </c>
      <c r="I2504" s="1" t="str">
        <f t="shared" si="811"/>
        <v>已发货</v>
      </c>
      <c r="J2504" s="1" t="str">
        <f t="shared" si="812"/>
        <v>3</v>
      </c>
      <c r="K2504" s="1">
        <v>2</v>
      </c>
      <c r="L2504" s="1" t="s">
        <v>20</v>
      </c>
      <c r="M2504" s="1" t="str">
        <f>"浙江省 杭州市 余杭区 "</f>
        <v xml:space="preserve">浙江省 杭州市 余杭区 </v>
      </c>
      <c r="N2504" s="1" t="str">
        <f>"凡华云仓-城南圆通-微信视频号"</f>
        <v>凡华云仓-城南圆通-微信视频号</v>
      </c>
      <c r="O2504" s="5" t="s">
        <v>2540</v>
      </c>
      <c r="P2504" s="6">
        <v>0.35</v>
      </c>
      <c r="Q2504" s="11">
        <v>2.2999999999999998</v>
      </c>
      <c r="R2504" s="11"/>
      <c r="S2504" s="11"/>
      <c r="T2504" s="11"/>
      <c r="U2504" s="11">
        <f t="shared" si="805"/>
        <v>2.2999999999999998</v>
      </c>
      <c r="W2504">
        <v>2.5</v>
      </c>
      <c r="X2504" s="1" t="s">
        <v>20</v>
      </c>
    </row>
    <row r="2505" spans="1:24" x14ac:dyDescent="0.25">
      <c r="A2505" s="1" t="str">
        <f t="shared" si="808"/>
        <v>卡卡杜-凤凰仓</v>
      </c>
      <c r="B2505" s="1" t="str">
        <f>"CK2024102708"</f>
        <v>CK2024102708</v>
      </c>
      <c r="C2505" s="1" t="str">
        <f>"DD2024102722025"</f>
        <v>DD2024102722025</v>
      </c>
      <c r="D2505" s="1" t="str">
        <f>"CK2024102711171"</f>
        <v>CK2024102711171</v>
      </c>
      <c r="E2505" s="1" t="str">
        <f>"2430101687904885"</f>
        <v>2430101687904885</v>
      </c>
      <c r="F2505" s="1" t="str">
        <f t="shared" si="809"/>
        <v>花都四部-凤凰仓</v>
      </c>
      <c r="G2505" s="1" t="str">
        <f t="shared" si="813"/>
        <v>卡卡杜佳旺专卖店（快手店）</v>
      </c>
      <c r="H2505" s="1" t="str">
        <f t="shared" si="810"/>
        <v>正常订单</v>
      </c>
      <c r="I2505" s="1" t="str">
        <f t="shared" si="811"/>
        <v>已发货</v>
      </c>
      <c r="J2505" s="1" t="str">
        <f t="shared" si="806"/>
        <v>5</v>
      </c>
      <c r="K2505" s="1">
        <v>2</v>
      </c>
      <c r="L2505" s="1" t="s">
        <v>18</v>
      </c>
      <c r="M2505" s="1" t="str">
        <f>"广东省 深圳市 龙华区 观湖街道"</f>
        <v>广东省 深圳市 龙华区 观湖街道</v>
      </c>
      <c r="N2505" s="1" t="str">
        <f t="shared" si="814"/>
        <v>凡华云仓-城南圆通-快手</v>
      </c>
      <c r="O2505" s="5" t="s">
        <v>2541</v>
      </c>
      <c r="P2505" s="6">
        <v>0.59</v>
      </c>
      <c r="Q2505" s="11">
        <f t="shared" si="807"/>
        <v>2.4499999999999997</v>
      </c>
      <c r="R2505" s="11"/>
      <c r="S2505" s="11"/>
      <c r="T2505" s="11"/>
      <c r="U2505" s="11">
        <f t="shared" si="805"/>
        <v>2.4499999999999997</v>
      </c>
      <c r="V2505" t="s">
        <v>15</v>
      </c>
      <c r="W2505">
        <v>2.4500000000000002</v>
      </c>
      <c r="X2505" s="1" t="s">
        <v>18</v>
      </c>
    </row>
    <row r="2506" spans="1:24" x14ac:dyDescent="0.25">
      <c r="A2506" s="1" t="str">
        <f t="shared" si="808"/>
        <v>卡卡杜-凤凰仓</v>
      </c>
      <c r="B2506" s="1" t="str">
        <f>"CK2024102709"</f>
        <v>CK2024102709</v>
      </c>
      <c r="C2506" s="1" t="str">
        <f>"DD2024102722024"</f>
        <v>DD2024102722024</v>
      </c>
      <c r="D2506" s="1" t="str">
        <f>"CK2024102711170"</f>
        <v>CK2024102711170</v>
      </c>
      <c r="E2506" s="1" t="str">
        <f>"3723592846881199104"</f>
        <v>3723592846881199104</v>
      </c>
      <c r="F2506" s="1" t="str">
        <f t="shared" si="809"/>
        <v>花都四部-凤凰仓</v>
      </c>
      <c r="G2506" s="1" t="str">
        <f>"卡卡杜企业店（视频号）"</f>
        <v>卡卡杜企业店（视频号）</v>
      </c>
      <c r="H2506" s="1" t="str">
        <f t="shared" si="810"/>
        <v>正常订单</v>
      </c>
      <c r="I2506" s="1" t="str">
        <f t="shared" si="811"/>
        <v>已发货</v>
      </c>
      <c r="J2506" s="1" t="str">
        <f t="shared" si="806"/>
        <v>5</v>
      </c>
      <c r="K2506" s="1">
        <v>3</v>
      </c>
      <c r="L2506" s="1" t="s">
        <v>13</v>
      </c>
      <c r="M2506" s="1" t="str">
        <f>"江苏省 淮安市 清江浦区 "</f>
        <v xml:space="preserve">江苏省 淮安市 清江浦区 </v>
      </c>
      <c r="N2506" s="1" t="str">
        <f>"凡华云仓-城南圆通-微信视频号"</f>
        <v>凡华云仓-城南圆通-微信视频号</v>
      </c>
      <c r="O2506" s="5" t="s">
        <v>2542</v>
      </c>
      <c r="P2506" s="6">
        <v>0.47</v>
      </c>
      <c r="Q2506" s="11">
        <v>2.2999999999999998</v>
      </c>
      <c r="R2506" s="11"/>
      <c r="S2506" s="11"/>
      <c r="T2506" s="11"/>
      <c r="U2506" s="11">
        <f t="shared" si="805"/>
        <v>2.2999999999999998</v>
      </c>
      <c r="W2506">
        <v>2.5</v>
      </c>
      <c r="X2506" s="1" t="s">
        <v>13</v>
      </c>
    </row>
    <row r="2507" spans="1:24" x14ac:dyDescent="0.25">
      <c r="A2507" s="1" t="str">
        <f t="shared" si="808"/>
        <v>卡卡杜-凤凰仓</v>
      </c>
      <c r="B2507" s="1" t="str">
        <f>"CK2024102707"</f>
        <v>CK2024102707</v>
      </c>
      <c r="C2507" s="1" t="str">
        <f>"DD2024102722023"</f>
        <v>DD2024102722023</v>
      </c>
      <c r="D2507" s="1" t="str">
        <f>"CK2024102711169"</f>
        <v>CK2024102711169</v>
      </c>
      <c r="E2507" s="1" t="str">
        <f>"2430101764824458"</f>
        <v>2430101764824458</v>
      </c>
      <c r="F2507" s="1" t="str">
        <f t="shared" si="809"/>
        <v>花都四部-凤凰仓</v>
      </c>
      <c r="G2507" s="1" t="str">
        <f t="shared" si="813"/>
        <v>卡卡杜佳旺专卖店（快手店）</v>
      </c>
      <c r="H2507" s="1" t="str">
        <f t="shared" si="810"/>
        <v>正常订单</v>
      </c>
      <c r="I2507" s="1" t="str">
        <f t="shared" si="811"/>
        <v>已发货</v>
      </c>
      <c r="J2507" s="1" t="str">
        <f t="shared" ref="J2507:J2511" si="815">"3"</f>
        <v>3</v>
      </c>
      <c r="K2507" s="1">
        <v>2</v>
      </c>
      <c r="L2507" s="1" t="s">
        <v>20</v>
      </c>
      <c r="M2507" s="1" t="str">
        <f>"浙江省 金华市 婺城区 白龙桥镇"</f>
        <v>浙江省 金华市 婺城区 白龙桥镇</v>
      </c>
      <c r="N2507" s="1" t="str">
        <f t="shared" si="814"/>
        <v>凡华云仓-城南圆通-快手</v>
      </c>
      <c r="O2507" s="5" t="s">
        <v>2543</v>
      </c>
      <c r="P2507" s="6">
        <v>0.35</v>
      </c>
      <c r="Q2507" s="11">
        <v>2.2999999999999998</v>
      </c>
      <c r="R2507" s="11"/>
      <c r="S2507" s="11"/>
      <c r="T2507" s="11"/>
      <c r="U2507" s="11">
        <f t="shared" si="805"/>
        <v>2.2999999999999998</v>
      </c>
      <c r="W2507">
        <v>2.5</v>
      </c>
      <c r="X2507" s="1" t="s">
        <v>20</v>
      </c>
    </row>
    <row r="2508" spans="1:24" x14ac:dyDescent="0.25">
      <c r="A2508" s="1" t="str">
        <f t="shared" si="808"/>
        <v>卡卡杜-凤凰仓</v>
      </c>
      <c r="B2508" s="1" t="str">
        <f>"CK2024102703"</f>
        <v>CK2024102703</v>
      </c>
      <c r="C2508" s="1" t="str">
        <f>"DD2024102722022"</f>
        <v>DD2024102722022</v>
      </c>
      <c r="D2508" s="1" t="str">
        <f>"CK2024102711168"</f>
        <v>CK2024102711168</v>
      </c>
      <c r="E2508" s="1" t="str">
        <f>"2430102081483561"</f>
        <v>2430102081483561</v>
      </c>
      <c r="F2508" s="1" t="str">
        <f t="shared" si="809"/>
        <v>花都四部-凤凰仓</v>
      </c>
      <c r="G2508" s="1" t="str">
        <f t="shared" si="813"/>
        <v>卡卡杜佳旺专卖店（快手店）</v>
      </c>
      <c r="H2508" s="1" t="str">
        <f t="shared" si="810"/>
        <v>正常订单</v>
      </c>
      <c r="I2508" s="1" t="str">
        <f t="shared" si="811"/>
        <v>已发货</v>
      </c>
      <c r="J2508" s="1" t="str">
        <f>"10"</f>
        <v>10</v>
      </c>
      <c r="K2508" s="1">
        <v>2</v>
      </c>
      <c r="L2508" s="1" t="s">
        <v>92</v>
      </c>
      <c r="M2508" s="1" t="str">
        <f>"辽宁省 大连市 金州区 友谊街道"</f>
        <v>辽宁省 大连市 金州区 友谊街道</v>
      </c>
      <c r="N2508" s="1" t="str">
        <f t="shared" si="814"/>
        <v>凡华云仓-城南圆通-快手</v>
      </c>
      <c r="O2508" s="5" t="s">
        <v>2544</v>
      </c>
      <c r="P2508" s="6">
        <v>1.1200000000000001</v>
      </c>
      <c r="Q2508" s="11">
        <f>CEILING(P2508-0.5,0.1)*10*0.15+2.3</f>
        <v>3.3499999999999996</v>
      </c>
      <c r="R2508" s="11"/>
      <c r="S2508" s="11"/>
      <c r="T2508" s="11"/>
      <c r="U2508" s="11">
        <f t="shared" si="805"/>
        <v>3.3499999999999996</v>
      </c>
      <c r="V2508" t="s">
        <v>15</v>
      </c>
      <c r="W2508">
        <v>3.35</v>
      </c>
      <c r="X2508" s="1" t="s">
        <v>92</v>
      </c>
    </row>
    <row r="2509" spans="1:24" x14ac:dyDescent="0.25">
      <c r="A2509" s="1" t="str">
        <f t="shared" si="808"/>
        <v>卡卡杜-凤凰仓</v>
      </c>
      <c r="B2509" s="1" t="str">
        <f>"CK2024102706"</f>
        <v>CK2024102706</v>
      </c>
      <c r="C2509" s="1" t="str">
        <f>"DD2024102722021"</f>
        <v>DD2024102722021</v>
      </c>
      <c r="D2509" s="1" t="str">
        <f>"CK2024102711167"</f>
        <v>CK2024102711167</v>
      </c>
      <c r="E2509" s="1" t="str">
        <f>"2430102003041862"</f>
        <v>2430102003041862</v>
      </c>
      <c r="F2509" s="1" t="str">
        <f t="shared" si="809"/>
        <v>花都四部-凤凰仓</v>
      </c>
      <c r="G2509" s="1" t="str">
        <f t="shared" si="813"/>
        <v>卡卡杜佳旺专卖店（快手店）</v>
      </c>
      <c r="H2509" s="1" t="str">
        <f t="shared" si="810"/>
        <v>正常订单</v>
      </c>
      <c r="I2509" s="1" t="str">
        <f t="shared" si="811"/>
        <v>已发货</v>
      </c>
      <c r="J2509" s="1" t="str">
        <f t="shared" si="815"/>
        <v>3</v>
      </c>
      <c r="K2509" s="1">
        <v>2</v>
      </c>
      <c r="L2509" s="1" t="s">
        <v>1099</v>
      </c>
      <c r="M2509" s="1" t="str">
        <f>"重庆市 重庆市 渝北区 天宫殿街道"</f>
        <v>重庆市 重庆市 渝北区 天宫殿街道</v>
      </c>
      <c r="N2509" s="1" t="str">
        <f t="shared" si="814"/>
        <v>凡华云仓-城南圆通-快手</v>
      </c>
      <c r="O2509" s="5" t="s">
        <v>2545</v>
      </c>
      <c r="P2509" s="6">
        <v>0.35</v>
      </c>
      <c r="Q2509" s="11">
        <v>2.2999999999999998</v>
      </c>
      <c r="R2509" s="11"/>
      <c r="S2509" s="11"/>
      <c r="T2509" s="11"/>
      <c r="U2509" s="11">
        <f t="shared" si="805"/>
        <v>2.2999999999999998</v>
      </c>
      <c r="W2509">
        <v>2.5</v>
      </c>
      <c r="X2509" s="1" t="s">
        <v>1099</v>
      </c>
    </row>
    <row r="2510" spans="1:24" x14ac:dyDescent="0.25">
      <c r="A2510" s="1" t="str">
        <f t="shared" si="808"/>
        <v>卡卡杜-凤凰仓</v>
      </c>
      <c r="B2510" s="1" t="str">
        <f>"CK2024102704"</f>
        <v>CK2024102704</v>
      </c>
      <c r="C2510" s="1" t="str">
        <f>"DD2024102722020"</f>
        <v>DD2024102722020</v>
      </c>
      <c r="D2510" s="1" t="str">
        <f>"CK2024102711166"</f>
        <v>CK2024102711166</v>
      </c>
      <c r="E2510" s="1" t="str">
        <f>"2430102322257659"</f>
        <v>2430102322257659</v>
      </c>
      <c r="F2510" s="1" t="str">
        <f t="shared" si="809"/>
        <v>花都四部-凤凰仓</v>
      </c>
      <c r="G2510" s="1" t="str">
        <f t="shared" si="813"/>
        <v>卡卡杜佳旺专卖店（快手店）</v>
      </c>
      <c r="H2510" s="1" t="str">
        <f t="shared" si="810"/>
        <v>正常订单</v>
      </c>
      <c r="I2510" s="1" t="str">
        <f t="shared" si="811"/>
        <v>已发货</v>
      </c>
      <c r="J2510" s="1" t="str">
        <f t="shared" si="815"/>
        <v>3</v>
      </c>
      <c r="K2510" s="1">
        <v>2</v>
      </c>
      <c r="L2510" s="1" t="s">
        <v>1099</v>
      </c>
      <c r="M2510" s="1" t="str">
        <f>"重庆市 重庆市 南岸区 天文街道"</f>
        <v>重庆市 重庆市 南岸区 天文街道</v>
      </c>
      <c r="N2510" s="1" t="str">
        <f t="shared" si="814"/>
        <v>凡华云仓-城南圆通-快手</v>
      </c>
      <c r="O2510" s="5" t="s">
        <v>2546</v>
      </c>
      <c r="P2510" s="6">
        <v>0.35</v>
      </c>
      <c r="Q2510" s="11">
        <v>2.2999999999999998</v>
      </c>
      <c r="R2510" s="11"/>
      <c r="S2510" s="11"/>
      <c r="T2510" s="11"/>
      <c r="U2510" s="11">
        <f t="shared" si="805"/>
        <v>2.2999999999999998</v>
      </c>
      <c r="W2510">
        <v>2.5</v>
      </c>
      <c r="X2510" s="1" t="s">
        <v>1099</v>
      </c>
    </row>
    <row r="2511" spans="1:24" x14ac:dyDescent="0.25">
      <c r="A2511" s="1" t="str">
        <f t="shared" si="808"/>
        <v>卡卡杜-凤凰仓</v>
      </c>
      <c r="B2511" s="1" t="str">
        <f>"CK2024102701"</f>
        <v>CK2024102701</v>
      </c>
      <c r="C2511" s="1" t="str">
        <f>"DD2024102722019"</f>
        <v>DD2024102722019</v>
      </c>
      <c r="D2511" s="1" t="str">
        <f>"CK2024102711165"</f>
        <v>CK2024102711165</v>
      </c>
      <c r="E2511" s="1" t="str">
        <f>"2430102484051150"</f>
        <v>2430102484051150</v>
      </c>
      <c r="F2511" s="1" t="str">
        <f t="shared" si="809"/>
        <v>花都四部-凤凰仓</v>
      </c>
      <c r="G2511" s="1" t="str">
        <f t="shared" si="813"/>
        <v>卡卡杜佳旺专卖店（快手店）</v>
      </c>
      <c r="H2511" s="1" t="str">
        <f t="shared" si="810"/>
        <v>正常订单</v>
      </c>
      <c r="I2511" s="1" t="str">
        <f t="shared" si="811"/>
        <v>已发货</v>
      </c>
      <c r="J2511" s="1" t="str">
        <f t="shared" si="815"/>
        <v>3</v>
      </c>
      <c r="K2511" s="1">
        <v>2</v>
      </c>
      <c r="L2511" s="1" t="s">
        <v>18</v>
      </c>
      <c r="M2511" s="1" t="str">
        <f>"广东省 东莞市 企石镇 企石镇"</f>
        <v>广东省 东莞市 企石镇 企石镇</v>
      </c>
      <c r="N2511" s="1" t="str">
        <f t="shared" si="814"/>
        <v>凡华云仓-城南圆通-快手</v>
      </c>
      <c r="O2511" s="5" t="s">
        <v>2547</v>
      </c>
      <c r="P2511" s="6">
        <v>0.35</v>
      </c>
      <c r="Q2511" s="11">
        <v>2.2999999999999998</v>
      </c>
      <c r="R2511" s="11"/>
      <c r="S2511" s="11"/>
      <c r="T2511" s="11"/>
      <c r="U2511" s="11">
        <f t="shared" si="805"/>
        <v>2.2999999999999998</v>
      </c>
      <c r="W2511">
        <v>2.5</v>
      </c>
      <c r="X2511" s="1" t="s">
        <v>18</v>
      </c>
    </row>
    <row r="2512" spans="1:24" x14ac:dyDescent="0.25">
      <c r="A2512" s="1" t="str">
        <f t="shared" si="808"/>
        <v>卡卡杜-凤凰仓</v>
      </c>
      <c r="B2512" s="1" t="str">
        <f>"CK2024102705"</f>
        <v>CK2024102705</v>
      </c>
      <c r="C2512" s="1" t="str">
        <f>"DD2024102722017"</f>
        <v>DD2024102722017</v>
      </c>
      <c r="D2512" s="1" t="str">
        <f>"CK2024102711163"</f>
        <v>CK2024102711163</v>
      </c>
      <c r="E2512" s="1" t="str">
        <f>"2430101605435745"</f>
        <v>2430101605435745</v>
      </c>
      <c r="F2512" s="1" t="str">
        <f t="shared" si="809"/>
        <v>花都四部-凤凰仓</v>
      </c>
      <c r="G2512" s="1" t="str">
        <f t="shared" si="813"/>
        <v>卡卡杜佳旺专卖店（快手店）</v>
      </c>
      <c r="H2512" s="1" t="str">
        <f t="shared" si="810"/>
        <v>正常订单</v>
      </c>
      <c r="I2512" s="1" t="str">
        <f t="shared" si="811"/>
        <v>已发货</v>
      </c>
      <c r="J2512" s="1" t="str">
        <f>"5"</f>
        <v>5</v>
      </c>
      <c r="K2512" s="1">
        <v>2</v>
      </c>
      <c r="L2512" s="1" t="s">
        <v>54</v>
      </c>
      <c r="M2512" s="1" t="str">
        <f>"黑龙江省 伊春市 伊美区 红升街道"</f>
        <v>黑龙江省 伊春市 伊美区 红升街道</v>
      </c>
      <c r="N2512" s="1" t="str">
        <f t="shared" si="814"/>
        <v>凡华云仓-城南圆通-快手</v>
      </c>
      <c r="O2512" s="5" t="s">
        <v>2548</v>
      </c>
      <c r="P2512" s="6">
        <v>0.59</v>
      </c>
      <c r="Q2512" s="11">
        <f>CEILING(P2512-0.5,0.1)*10*0.15+2.3</f>
        <v>2.4499999999999997</v>
      </c>
      <c r="R2512" s="11"/>
      <c r="S2512" s="11"/>
      <c r="T2512" s="11"/>
      <c r="U2512" s="11">
        <f t="shared" si="805"/>
        <v>2.4499999999999997</v>
      </c>
      <c r="V2512" t="s">
        <v>15</v>
      </c>
      <c r="W2512">
        <v>2.4500000000000002</v>
      </c>
      <c r="X2512" s="1" t="s">
        <v>54</v>
      </c>
    </row>
    <row r="2513" spans="1:24" x14ac:dyDescent="0.25">
      <c r="A2513" s="1" t="str">
        <f t="shared" si="808"/>
        <v>卡卡杜-凤凰仓</v>
      </c>
      <c r="B2513" s="1" t="str">
        <f>"CK2024102614054"</f>
        <v>CK2024102614054</v>
      </c>
      <c r="C2513" s="1" t="str">
        <f>"DD2024102665264"</f>
        <v>DD2024102665264</v>
      </c>
      <c r="D2513" s="1" t="str">
        <f>"CK2024102648327"</f>
        <v>CK2024102648327</v>
      </c>
      <c r="E2513" s="1" t="str">
        <f>"6935490086203758244"</f>
        <v>6935490086203758244</v>
      </c>
      <c r="F2513" s="1" t="str">
        <f t="shared" si="809"/>
        <v>花都四部-凤凰仓</v>
      </c>
      <c r="G2513" s="1" t="str">
        <f t="shared" ref="G2513:G2516" si="816">"卡卡杜个人护理店（抖店）"</f>
        <v>卡卡杜个人护理店（抖店）</v>
      </c>
      <c r="H2513" s="1" t="str">
        <f t="shared" si="810"/>
        <v>正常订单</v>
      </c>
      <c r="I2513" s="1" t="str">
        <f t="shared" si="811"/>
        <v>已发货</v>
      </c>
      <c r="J2513" s="1" t="str">
        <f t="shared" ref="J2513:J2517" si="817">"3"</f>
        <v>3</v>
      </c>
      <c r="K2513" s="1">
        <v>2</v>
      </c>
      <c r="L2513" s="1" t="s">
        <v>32</v>
      </c>
      <c r="M2513" s="1" t="str">
        <f>"陕西省 咸阳市 秦都区 "</f>
        <v xml:space="preserve">陕西省 咸阳市 秦都区 </v>
      </c>
      <c r="N2513" s="1" t="str">
        <f t="shared" ref="N2513:N2516" si="818">"凡华云仓-城南圆通-抖音"</f>
        <v>凡华云仓-城南圆通-抖音</v>
      </c>
      <c r="O2513" s="5" t="s">
        <v>2549</v>
      </c>
      <c r="P2513" s="6">
        <v>0.35</v>
      </c>
      <c r="Q2513" s="11">
        <v>2.2999999999999998</v>
      </c>
      <c r="R2513" s="11"/>
      <c r="S2513" s="11"/>
      <c r="T2513" s="11"/>
      <c r="U2513" s="11">
        <f t="shared" si="805"/>
        <v>2.2999999999999998</v>
      </c>
      <c r="W2513">
        <v>2.5</v>
      </c>
      <c r="X2513" s="1" t="s">
        <v>32</v>
      </c>
    </row>
    <row r="2514" spans="1:24" x14ac:dyDescent="0.25">
      <c r="A2514" s="1" t="str">
        <f t="shared" si="808"/>
        <v>卡卡杜-凤凰仓</v>
      </c>
      <c r="B2514" s="1" t="str">
        <f>"CK2024102614055"</f>
        <v>CK2024102614055</v>
      </c>
      <c r="C2514" s="1" t="str">
        <f>"DD2024102665263"</f>
        <v>DD2024102665263</v>
      </c>
      <c r="D2514" s="1" t="str">
        <f>"CK2024102648326"</f>
        <v>CK2024102648326</v>
      </c>
      <c r="E2514" s="1" t="str">
        <f>"6935490083590771728"</f>
        <v>6935490083590771728</v>
      </c>
      <c r="F2514" s="1" t="str">
        <f t="shared" si="809"/>
        <v>花都四部-凤凰仓</v>
      </c>
      <c r="G2514" s="1" t="str">
        <f t="shared" si="816"/>
        <v>卡卡杜个人护理店（抖店）</v>
      </c>
      <c r="H2514" s="1" t="str">
        <f t="shared" si="810"/>
        <v>正常订单</v>
      </c>
      <c r="I2514" s="1" t="str">
        <f t="shared" si="811"/>
        <v>已发货</v>
      </c>
      <c r="J2514" s="1" t="str">
        <f t="shared" si="817"/>
        <v>3</v>
      </c>
      <c r="K2514" s="1">
        <v>2</v>
      </c>
      <c r="L2514" s="1" t="s">
        <v>60</v>
      </c>
      <c r="M2514" s="1" t="str">
        <f>"云南省 昆明市 官渡区 大板桥街道"</f>
        <v>云南省 昆明市 官渡区 大板桥街道</v>
      </c>
      <c r="N2514" s="1" t="str">
        <f t="shared" si="818"/>
        <v>凡华云仓-城南圆通-抖音</v>
      </c>
      <c r="O2514" s="5" t="s">
        <v>2550</v>
      </c>
      <c r="P2514" s="6">
        <v>0.35</v>
      </c>
      <c r="Q2514" s="11">
        <v>2.2999999999999998</v>
      </c>
      <c r="R2514" s="11"/>
      <c r="S2514" s="11"/>
      <c r="T2514" s="11"/>
      <c r="U2514" s="11">
        <f t="shared" si="805"/>
        <v>2.2999999999999998</v>
      </c>
      <c r="W2514">
        <v>2.5</v>
      </c>
      <c r="X2514" s="1" t="s">
        <v>60</v>
      </c>
    </row>
    <row r="2515" spans="1:24" x14ac:dyDescent="0.25">
      <c r="A2515" s="1" t="str">
        <f t="shared" si="808"/>
        <v>卡卡杜-凤凰仓</v>
      </c>
      <c r="B2515" s="1" t="str">
        <f>"CK2024102614050"</f>
        <v>CK2024102614050</v>
      </c>
      <c r="C2515" s="1" t="str">
        <f>"DD2024102665262"</f>
        <v>DD2024102665262</v>
      </c>
      <c r="D2515" s="1" t="str">
        <f>"CK2024102648325"</f>
        <v>CK2024102648325</v>
      </c>
      <c r="E2515" s="1" t="str">
        <f>"6935510068964365340"</f>
        <v>6935510068964365340</v>
      </c>
      <c r="F2515" s="1" t="str">
        <f t="shared" si="809"/>
        <v>花都四部-凤凰仓</v>
      </c>
      <c r="G2515" s="1" t="str">
        <f t="shared" si="816"/>
        <v>卡卡杜个人护理店（抖店）</v>
      </c>
      <c r="H2515" s="1" t="str">
        <f t="shared" si="810"/>
        <v>正常订单</v>
      </c>
      <c r="I2515" s="1" t="str">
        <f t="shared" si="811"/>
        <v>已发货</v>
      </c>
      <c r="J2515" s="1" t="str">
        <f t="shared" si="817"/>
        <v>3</v>
      </c>
      <c r="K2515" s="1">
        <v>2</v>
      </c>
      <c r="L2515" s="1" t="s">
        <v>36</v>
      </c>
      <c r="M2515" s="1" t="str">
        <f>"安徽省 安庆市 宜秀区 菱北街道"</f>
        <v>安徽省 安庆市 宜秀区 菱北街道</v>
      </c>
      <c r="N2515" s="1" t="str">
        <f t="shared" si="818"/>
        <v>凡华云仓-城南圆通-抖音</v>
      </c>
      <c r="O2515" s="5" t="s">
        <v>2551</v>
      </c>
      <c r="P2515" s="6">
        <v>0.35</v>
      </c>
      <c r="Q2515" s="11">
        <v>2.2999999999999998</v>
      </c>
      <c r="R2515" s="11"/>
      <c r="S2515" s="11"/>
      <c r="T2515" s="11"/>
      <c r="U2515" s="11">
        <f t="shared" si="805"/>
        <v>2.2999999999999998</v>
      </c>
      <c r="W2515">
        <v>2.5</v>
      </c>
      <c r="X2515" s="1" t="s">
        <v>36</v>
      </c>
    </row>
    <row r="2516" spans="1:24" x14ac:dyDescent="0.25">
      <c r="A2516" s="1" t="str">
        <f t="shared" si="808"/>
        <v>卡卡杜-凤凰仓</v>
      </c>
      <c r="B2516" s="1" t="str">
        <f>"CK2024102614053"</f>
        <v>CK2024102614053</v>
      </c>
      <c r="C2516" s="1" t="str">
        <f>"DD2024102665261"</f>
        <v>DD2024102665261</v>
      </c>
      <c r="D2516" s="1" t="str">
        <f>"CK2024102648324"</f>
        <v>CK2024102648324</v>
      </c>
      <c r="E2516" s="1" t="str">
        <f>"6935518802298541266"</f>
        <v>6935518802298541266</v>
      </c>
      <c r="F2516" s="1" t="str">
        <f t="shared" si="809"/>
        <v>花都四部-凤凰仓</v>
      </c>
      <c r="G2516" s="1" t="str">
        <f t="shared" si="816"/>
        <v>卡卡杜个人护理店（抖店）</v>
      </c>
      <c r="H2516" s="1" t="str">
        <f t="shared" si="810"/>
        <v>正常订单</v>
      </c>
      <c r="I2516" s="1" t="str">
        <f t="shared" si="811"/>
        <v>已发货</v>
      </c>
      <c r="J2516" s="1" t="str">
        <f t="shared" si="817"/>
        <v>3</v>
      </c>
      <c r="K2516" s="1">
        <v>2</v>
      </c>
      <c r="L2516" s="1" t="s">
        <v>13</v>
      </c>
      <c r="M2516" s="1" t="str">
        <f>"江苏省 苏州市 吴中区 城南街道"</f>
        <v>江苏省 苏州市 吴中区 城南街道</v>
      </c>
      <c r="N2516" s="1" t="str">
        <f t="shared" si="818"/>
        <v>凡华云仓-城南圆通-抖音</v>
      </c>
      <c r="O2516" s="5" t="s">
        <v>2552</v>
      </c>
      <c r="P2516" s="6">
        <v>0.35</v>
      </c>
      <c r="Q2516" s="11">
        <v>2.2999999999999998</v>
      </c>
      <c r="R2516" s="11"/>
      <c r="S2516" s="11"/>
      <c r="T2516" s="11"/>
      <c r="U2516" s="11">
        <f t="shared" si="805"/>
        <v>2.2999999999999998</v>
      </c>
      <c r="W2516">
        <v>2.5</v>
      </c>
      <c r="X2516" s="1" t="s">
        <v>13</v>
      </c>
    </row>
    <row r="2517" spans="1:24" x14ac:dyDescent="0.25">
      <c r="A2517" s="1" t="str">
        <f t="shared" si="808"/>
        <v>卡卡杜-凤凰仓</v>
      </c>
      <c r="B2517" s="1" t="str">
        <f>"CK2024102614049"</f>
        <v>CK2024102614049</v>
      </c>
      <c r="C2517" s="1" t="str">
        <f>"DD2024102665260"</f>
        <v>DD2024102665260</v>
      </c>
      <c r="D2517" s="1" t="str">
        <f>"CK2024102648323"</f>
        <v>CK2024102648323</v>
      </c>
      <c r="E2517" s="1" t="str">
        <f>"3723577442215265792"</f>
        <v>3723577442215265792</v>
      </c>
      <c r="F2517" s="1" t="str">
        <f t="shared" si="809"/>
        <v>花都四部-凤凰仓</v>
      </c>
      <c r="G2517" s="1" t="str">
        <f>"卡卡杜企业店（视频号）"</f>
        <v>卡卡杜企业店（视频号）</v>
      </c>
      <c r="H2517" s="1" t="str">
        <f t="shared" si="810"/>
        <v>正常订单</v>
      </c>
      <c r="I2517" s="1" t="str">
        <f t="shared" si="811"/>
        <v>已发货</v>
      </c>
      <c r="J2517" s="1" t="str">
        <f t="shared" si="817"/>
        <v>3</v>
      </c>
      <c r="K2517" s="1">
        <v>3</v>
      </c>
      <c r="L2517" s="1" t="s">
        <v>24</v>
      </c>
      <c r="M2517" s="1" t="str">
        <f>"福建省 漳州市 芗城区 "</f>
        <v xml:space="preserve">福建省 漳州市 芗城区 </v>
      </c>
      <c r="N2517" s="1" t="str">
        <f>"凡华云仓-城南圆通-微信视频号"</f>
        <v>凡华云仓-城南圆通-微信视频号</v>
      </c>
      <c r="O2517" s="5" t="s">
        <v>2553</v>
      </c>
      <c r="P2517" s="6">
        <v>0.34</v>
      </c>
      <c r="Q2517" s="11">
        <v>2.2999999999999998</v>
      </c>
      <c r="R2517" s="11"/>
      <c r="S2517" s="11"/>
      <c r="T2517" s="11"/>
      <c r="U2517" s="11">
        <f t="shared" si="805"/>
        <v>2.2999999999999998</v>
      </c>
      <c r="W2517">
        <v>2.5</v>
      </c>
      <c r="X2517" s="1" t="s">
        <v>24</v>
      </c>
    </row>
    <row r="2518" spans="1:24" x14ac:dyDescent="0.25">
      <c r="A2518" s="1" t="str">
        <f t="shared" si="808"/>
        <v>卡卡杜-凤凰仓</v>
      </c>
      <c r="B2518" s="1" t="str">
        <f>"CK2024102614048"</f>
        <v>CK2024102614048</v>
      </c>
      <c r="C2518" s="1" t="str">
        <f>"DD2024102665259"</f>
        <v>DD2024102665259</v>
      </c>
      <c r="D2518" s="1" t="str">
        <f>"CK2024102648322"</f>
        <v>CK2024102648322</v>
      </c>
      <c r="E2518" s="1" t="str">
        <f>"2430002249008422"</f>
        <v>2430002249008422</v>
      </c>
      <c r="F2518" s="1" t="str">
        <f t="shared" si="809"/>
        <v>花都四部-凤凰仓</v>
      </c>
      <c r="G2518" s="1" t="str">
        <f>"卡卡杜佳旺专卖店（快手店）"</f>
        <v>卡卡杜佳旺专卖店（快手店）</v>
      </c>
      <c r="H2518" s="1" t="str">
        <f t="shared" si="810"/>
        <v>正常订单</v>
      </c>
      <c r="I2518" s="1" t="str">
        <f t="shared" si="811"/>
        <v>已发货</v>
      </c>
      <c r="J2518" s="1" t="str">
        <f>"5"</f>
        <v>5</v>
      </c>
      <c r="K2518" s="1">
        <v>2</v>
      </c>
      <c r="L2518" s="1" t="s">
        <v>30</v>
      </c>
      <c r="M2518" s="1" t="str">
        <f>"山东省 菏泽市 牡丹区 北城街道"</f>
        <v>山东省 菏泽市 牡丹区 北城街道</v>
      </c>
      <c r="N2518" s="1" t="str">
        <f>"凡华云仓-城南圆通-快手"</f>
        <v>凡华云仓-城南圆通-快手</v>
      </c>
      <c r="O2518" s="5" t="s">
        <v>2554</v>
      </c>
      <c r="P2518" s="6">
        <v>0.59</v>
      </c>
      <c r="Q2518" s="11">
        <f>CEILING(P2518-0.5,0.1)*10*0.15+2.3</f>
        <v>2.4499999999999997</v>
      </c>
      <c r="R2518" s="11"/>
      <c r="S2518" s="11"/>
      <c r="T2518" s="11"/>
      <c r="U2518" s="11">
        <f t="shared" si="805"/>
        <v>2.4499999999999997</v>
      </c>
      <c r="V2518" t="s">
        <v>15</v>
      </c>
      <c r="W2518">
        <v>2.4500000000000002</v>
      </c>
      <c r="X2518" s="1" t="s">
        <v>30</v>
      </c>
    </row>
    <row r="2519" spans="1:24" x14ac:dyDescent="0.25">
      <c r="A2519" s="1" t="str">
        <f t="shared" si="808"/>
        <v>卡卡杜-凤凰仓</v>
      </c>
      <c r="B2519" s="1" t="str">
        <f>"CK2024102614051"</f>
        <v>CK2024102614051</v>
      </c>
      <c r="C2519" s="1" t="str">
        <f>"DD2024102665258"</f>
        <v>DD2024102665258</v>
      </c>
      <c r="D2519" s="1" t="str">
        <f>"CK2024102648321"</f>
        <v>CK2024102648321</v>
      </c>
      <c r="E2519" s="1" t="str">
        <f>"6935487982076434233"</f>
        <v>6935487982076434233</v>
      </c>
      <c r="F2519" s="1" t="str">
        <f t="shared" si="809"/>
        <v>花都四部-凤凰仓</v>
      </c>
      <c r="G2519" s="1" t="str">
        <f t="shared" ref="G2519:G2522" si="819">"卡卡杜个人护理店（抖店）"</f>
        <v>卡卡杜个人护理店（抖店）</v>
      </c>
      <c r="H2519" s="1" t="str">
        <f t="shared" si="810"/>
        <v>正常订单</v>
      </c>
      <c r="I2519" s="1" t="str">
        <f t="shared" si="811"/>
        <v>已发货</v>
      </c>
      <c r="J2519" s="1" t="str">
        <f t="shared" ref="J2519:J2523" si="820">"3"</f>
        <v>3</v>
      </c>
      <c r="K2519" s="1">
        <v>2</v>
      </c>
      <c r="L2519" s="1" t="s">
        <v>96</v>
      </c>
      <c r="M2519" s="1" t="str">
        <f>"广西壮族自治区 来宾市 兴宾区 河西街道"</f>
        <v>广西壮族自治区 来宾市 兴宾区 河西街道</v>
      </c>
      <c r="N2519" s="1" t="str">
        <f t="shared" ref="N2519:N2522" si="821">"凡华云仓-城南圆通-抖音"</f>
        <v>凡华云仓-城南圆通-抖音</v>
      </c>
      <c r="O2519" s="5" t="s">
        <v>2555</v>
      </c>
      <c r="P2519" s="6">
        <v>0.35</v>
      </c>
      <c r="Q2519" s="11">
        <v>2.2999999999999998</v>
      </c>
      <c r="R2519" s="11"/>
      <c r="S2519" s="11"/>
      <c r="T2519" s="11"/>
      <c r="U2519" s="11">
        <f t="shared" si="805"/>
        <v>2.2999999999999998</v>
      </c>
      <c r="W2519">
        <v>2.5</v>
      </c>
      <c r="X2519" s="1" t="s">
        <v>96</v>
      </c>
    </row>
    <row r="2520" spans="1:24" x14ac:dyDescent="0.25">
      <c r="A2520" s="1" t="str">
        <f t="shared" si="808"/>
        <v>卡卡杜-凤凰仓</v>
      </c>
      <c r="B2520" s="1" t="str">
        <f>"CK2024102614052"</f>
        <v>CK2024102614052</v>
      </c>
      <c r="C2520" s="1" t="str">
        <f>"DD2024102665257"</f>
        <v>DD2024102665257</v>
      </c>
      <c r="D2520" s="1" t="str">
        <f>"CK2024102648320"</f>
        <v>CK2024102648320</v>
      </c>
      <c r="E2520" s="1" t="str">
        <f>"6935496651696313809"</f>
        <v>6935496651696313809</v>
      </c>
      <c r="F2520" s="1" t="str">
        <f t="shared" si="809"/>
        <v>花都四部-凤凰仓</v>
      </c>
      <c r="G2520" s="1" t="str">
        <f t="shared" si="819"/>
        <v>卡卡杜个人护理店（抖店）</v>
      </c>
      <c r="H2520" s="1" t="str">
        <f t="shared" si="810"/>
        <v>正常订单</v>
      </c>
      <c r="I2520" s="1" t="str">
        <f t="shared" si="811"/>
        <v>已发货</v>
      </c>
      <c r="J2520" s="1" t="str">
        <f t="shared" si="820"/>
        <v>3</v>
      </c>
      <c r="K2520" s="1">
        <v>2</v>
      </c>
      <c r="L2520" s="1" t="s">
        <v>161</v>
      </c>
      <c r="M2520" s="1" t="str">
        <f>"四川省 雅安市 雨城区 青江街道"</f>
        <v>四川省 雅安市 雨城区 青江街道</v>
      </c>
      <c r="N2520" s="1" t="str">
        <f t="shared" si="821"/>
        <v>凡华云仓-城南圆通-抖音</v>
      </c>
      <c r="O2520" s="5" t="s">
        <v>2556</v>
      </c>
      <c r="P2520" s="6">
        <v>0.35</v>
      </c>
      <c r="Q2520" s="11">
        <v>2.2999999999999998</v>
      </c>
      <c r="R2520" s="11"/>
      <c r="S2520" s="11"/>
      <c r="T2520" s="11"/>
      <c r="U2520" s="11">
        <f t="shared" si="805"/>
        <v>2.2999999999999998</v>
      </c>
      <c r="W2520">
        <v>2.5</v>
      </c>
      <c r="X2520" s="1" t="s">
        <v>161</v>
      </c>
    </row>
    <row r="2521" spans="1:24" x14ac:dyDescent="0.25">
      <c r="A2521" s="1" t="str">
        <f t="shared" si="808"/>
        <v>卡卡杜-凤凰仓</v>
      </c>
      <c r="B2521" s="1" t="str">
        <f>"CK2024102614046"</f>
        <v>CK2024102614046</v>
      </c>
      <c r="C2521" s="1" t="str">
        <f>"DD2024102661158"</f>
        <v>DD2024102661158</v>
      </c>
      <c r="D2521" s="1" t="str">
        <f>"CK2024102644731"</f>
        <v>CK2024102644731</v>
      </c>
      <c r="E2521" s="1" t="str">
        <f>"3723576249808195584"</f>
        <v>3723576249808195584</v>
      </c>
      <c r="F2521" s="1" t="str">
        <f t="shared" si="809"/>
        <v>花都四部-凤凰仓</v>
      </c>
      <c r="G2521" s="1" t="str">
        <f>"卡卡杜企业店（视频号）"</f>
        <v>卡卡杜企业店（视频号）</v>
      </c>
      <c r="H2521" s="1" t="str">
        <f t="shared" si="810"/>
        <v>正常订单</v>
      </c>
      <c r="I2521" s="1" t="str">
        <f t="shared" si="811"/>
        <v>已发货</v>
      </c>
      <c r="J2521" s="1" t="str">
        <f t="shared" si="820"/>
        <v>3</v>
      </c>
      <c r="K2521" s="1">
        <v>3</v>
      </c>
      <c r="L2521" s="1" t="s">
        <v>18</v>
      </c>
      <c r="M2521" s="1" t="str">
        <f>"广东省 广州市 白云区 "</f>
        <v xml:space="preserve">广东省 广州市 白云区 </v>
      </c>
      <c r="N2521" s="1" t="str">
        <f>"凡华云仓-城南圆通-微信视频号"</f>
        <v>凡华云仓-城南圆通-微信视频号</v>
      </c>
      <c r="O2521" s="5" t="s">
        <v>2557</v>
      </c>
      <c r="P2521" s="6">
        <v>0.34</v>
      </c>
      <c r="Q2521" s="11">
        <v>2.2999999999999998</v>
      </c>
      <c r="R2521" s="11"/>
      <c r="S2521" s="11"/>
      <c r="T2521" s="11"/>
      <c r="U2521" s="11">
        <f t="shared" si="805"/>
        <v>2.2999999999999998</v>
      </c>
      <c r="W2521">
        <v>2.5</v>
      </c>
      <c r="X2521" s="1" t="s">
        <v>18</v>
      </c>
    </row>
    <row r="2522" spans="1:24" x14ac:dyDescent="0.25">
      <c r="A2522" s="1" t="str">
        <f t="shared" si="808"/>
        <v>卡卡杜-凤凰仓</v>
      </c>
      <c r="B2522" s="1" t="str">
        <f>"CK2024102614045"</f>
        <v>CK2024102614045</v>
      </c>
      <c r="C2522" s="1" t="str">
        <f>"DD2024102661103"</f>
        <v>DD2024102661103</v>
      </c>
      <c r="D2522" s="1" t="str">
        <f>"CK2024102644641"</f>
        <v>CK2024102644641</v>
      </c>
      <c r="E2522" s="1" t="str">
        <f>"6935489805534304130"</f>
        <v>6935489805534304130</v>
      </c>
      <c r="F2522" s="1" t="str">
        <f t="shared" si="809"/>
        <v>花都四部-凤凰仓</v>
      </c>
      <c r="G2522" s="1" t="str">
        <f t="shared" si="819"/>
        <v>卡卡杜个人护理店（抖店）</v>
      </c>
      <c r="H2522" s="1" t="str">
        <f t="shared" si="810"/>
        <v>正常订单</v>
      </c>
      <c r="I2522" s="1" t="str">
        <f t="shared" si="811"/>
        <v>已发货</v>
      </c>
      <c r="J2522" s="1" t="str">
        <f t="shared" si="820"/>
        <v>3</v>
      </c>
      <c r="K2522" s="1">
        <v>2</v>
      </c>
      <c r="L2522" s="1" t="s">
        <v>109</v>
      </c>
      <c r="M2522" s="1" t="str">
        <f>"山西省 忻州市 代县 "</f>
        <v xml:space="preserve">山西省 忻州市 代县 </v>
      </c>
      <c r="N2522" s="1" t="str">
        <f t="shared" si="821"/>
        <v>凡华云仓-城南圆通-抖音</v>
      </c>
      <c r="O2522" s="5" t="s">
        <v>2558</v>
      </c>
      <c r="P2522" s="6">
        <v>0.35</v>
      </c>
      <c r="Q2522" s="11">
        <v>2.2999999999999998</v>
      </c>
      <c r="R2522" s="11"/>
      <c r="S2522" s="11"/>
      <c r="T2522" s="11"/>
      <c r="U2522" s="11">
        <f t="shared" si="805"/>
        <v>2.2999999999999998</v>
      </c>
      <c r="W2522">
        <v>2.5</v>
      </c>
      <c r="X2522" s="1" t="s">
        <v>109</v>
      </c>
    </row>
    <row r="2523" spans="1:24" x14ac:dyDescent="0.25">
      <c r="A2523" s="1" t="str">
        <f t="shared" si="808"/>
        <v>卡卡杜-凤凰仓</v>
      </c>
      <c r="B2523" s="1" t="str">
        <f>"CK2024102614044"</f>
        <v>CK2024102614044</v>
      </c>
      <c r="C2523" s="1" t="str">
        <f>"DD2024102661102"</f>
        <v>DD2024102661102</v>
      </c>
      <c r="D2523" s="1" t="str">
        <f>"CK2024102644640"</f>
        <v>CK2024102644640</v>
      </c>
      <c r="E2523" s="1" t="str">
        <f>"2430002482106220"</f>
        <v>2430002482106220</v>
      </c>
      <c r="F2523" s="1" t="str">
        <f t="shared" si="809"/>
        <v>花都四部-凤凰仓</v>
      </c>
      <c r="G2523" s="1" t="str">
        <f t="shared" ref="G2523:G2526" si="822">"卡卡杜佳旺专卖店（快手店）"</f>
        <v>卡卡杜佳旺专卖店（快手店）</v>
      </c>
      <c r="H2523" s="1" t="str">
        <f t="shared" si="810"/>
        <v>正常订单</v>
      </c>
      <c r="I2523" s="1" t="str">
        <f t="shared" si="811"/>
        <v>已发货</v>
      </c>
      <c r="J2523" s="1" t="str">
        <f t="shared" si="820"/>
        <v>3</v>
      </c>
      <c r="K2523" s="1">
        <v>2</v>
      </c>
      <c r="L2523" s="1" t="s">
        <v>109</v>
      </c>
      <c r="M2523" s="1" t="str">
        <f>"山西省 运城市 绛县 横水镇"</f>
        <v>山西省 运城市 绛县 横水镇</v>
      </c>
      <c r="N2523" s="1" t="str">
        <f t="shared" ref="N2523:N2526" si="823">"凡华云仓-城南圆通-快手"</f>
        <v>凡华云仓-城南圆通-快手</v>
      </c>
      <c r="O2523" s="5" t="s">
        <v>2559</v>
      </c>
      <c r="P2523" s="6">
        <v>0.35</v>
      </c>
      <c r="Q2523" s="11">
        <v>2.2999999999999998</v>
      </c>
      <c r="R2523" s="11"/>
      <c r="S2523" s="11"/>
      <c r="T2523" s="11"/>
      <c r="U2523" s="11">
        <f t="shared" si="805"/>
        <v>2.2999999999999998</v>
      </c>
      <c r="W2523">
        <v>2.5</v>
      </c>
      <c r="X2523" s="1" t="s">
        <v>109</v>
      </c>
    </row>
    <row r="2524" spans="1:24" x14ac:dyDescent="0.25">
      <c r="A2524" s="1" t="str">
        <f t="shared" si="808"/>
        <v>卡卡杜-凤凰仓</v>
      </c>
      <c r="B2524" s="1" t="str">
        <f>"CK2024102614043"</f>
        <v>CK2024102614043</v>
      </c>
      <c r="C2524" s="1" t="str">
        <f>"DD2024102661101"</f>
        <v>DD2024102661101</v>
      </c>
      <c r="D2524" s="1" t="str">
        <f>"CK2024102644639"</f>
        <v>CK2024102644639</v>
      </c>
      <c r="E2524" s="1" t="str">
        <f>"3723575329695337472"</f>
        <v>3723575329695337472</v>
      </c>
      <c r="F2524" s="1" t="str">
        <f t="shared" si="809"/>
        <v>花都四部-凤凰仓</v>
      </c>
      <c r="G2524" s="1" t="str">
        <f>"卡卡杜企业店（视频号）"</f>
        <v>卡卡杜企业店（视频号）</v>
      </c>
      <c r="H2524" s="1" t="str">
        <f t="shared" si="810"/>
        <v>正常订单</v>
      </c>
      <c r="I2524" s="1" t="str">
        <f t="shared" si="811"/>
        <v>已发货</v>
      </c>
      <c r="J2524" s="1" t="str">
        <f>"5"</f>
        <v>5</v>
      </c>
      <c r="K2524" s="1">
        <v>2</v>
      </c>
      <c r="L2524" s="1" t="s">
        <v>182</v>
      </c>
      <c r="M2524" s="1" t="str">
        <f>"新疆维吾尔自治区 昌吉回族自治州 昌吉市 "</f>
        <v xml:space="preserve">新疆维吾尔自治区 昌吉回族自治州 昌吉市 </v>
      </c>
      <c r="N2524" s="1" t="str">
        <f>"凡华云仓-城南圆通-微信视频号"</f>
        <v>凡华云仓-城南圆通-微信视频号</v>
      </c>
      <c r="O2524" s="5" t="s">
        <v>2560</v>
      </c>
      <c r="P2524" s="6">
        <v>0.59</v>
      </c>
      <c r="Q2524" s="11">
        <f>CEILING(P2524-0.5,0.1)*10*2+17</f>
        <v>19</v>
      </c>
      <c r="R2524" s="11"/>
      <c r="S2524" s="11"/>
      <c r="T2524" s="11"/>
      <c r="U2524" s="11">
        <f t="shared" si="805"/>
        <v>19</v>
      </c>
      <c r="W2524">
        <v>19</v>
      </c>
      <c r="X2524" s="1" t="s">
        <v>182</v>
      </c>
    </row>
    <row r="2525" spans="1:24" x14ac:dyDescent="0.25">
      <c r="A2525" s="1" t="str">
        <f t="shared" si="808"/>
        <v>卡卡杜-凤凰仓</v>
      </c>
      <c r="B2525" s="1" t="str">
        <f>"CK2024102614042"</f>
        <v>CK2024102614042</v>
      </c>
      <c r="C2525" s="1" t="str">
        <f>"DD2024102661100"</f>
        <v>DD2024102661100</v>
      </c>
      <c r="D2525" s="1" t="str">
        <f>"CK2024102644638"</f>
        <v>CK2024102644638</v>
      </c>
      <c r="E2525" s="1" t="str">
        <f>"2430001607704487"</f>
        <v>2430001607704487</v>
      </c>
      <c r="F2525" s="1" t="str">
        <f t="shared" si="809"/>
        <v>花都四部-凤凰仓</v>
      </c>
      <c r="G2525" s="1" t="str">
        <f t="shared" si="822"/>
        <v>卡卡杜佳旺专卖店（快手店）</v>
      </c>
      <c r="H2525" s="1" t="str">
        <f t="shared" si="810"/>
        <v>正常订单</v>
      </c>
      <c r="I2525" s="1" t="str">
        <f t="shared" si="811"/>
        <v>已发货</v>
      </c>
      <c r="J2525" s="1" t="str">
        <f t="shared" ref="J2525:J2529" si="824">"3"</f>
        <v>3</v>
      </c>
      <c r="K2525" s="1">
        <v>2</v>
      </c>
      <c r="L2525" s="1" t="s">
        <v>27</v>
      </c>
      <c r="M2525" s="1" t="str">
        <f>"贵州省 安顺市 西秀区 东关街道"</f>
        <v>贵州省 安顺市 西秀区 东关街道</v>
      </c>
      <c r="N2525" s="1" t="str">
        <f t="shared" si="823"/>
        <v>凡华云仓-城南圆通-快手</v>
      </c>
      <c r="O2525" s="5" t="s">
        <v>2561</v>
      </c>
      <c r="P2525" s="6">
        <v>0.35</v>
      </c>
      <c r="Q2525" s="11">
        <v>2.2999999999999998</v>
      </c>
      <c r="R2525" s="11"/>
      <c r="S2525" s="11"/>
      <c r="T2525" s="11"/>
      <c r="U2525" s="11">
        <f t="shared" si="805"/>
        <v>2.2999999999999998</v>
      </c>
      <c r="W2525">
        <v>2.5</v>
      </c>
      <c r="X2525" s="1" t="s">
        <v>27</v>
      </c>
    </row>
    <row r="2526" spans="1:24" x14ac:dyDescent="0.25">
      <c r="A2526" s="1" t="str">
        <f t="shared" si="808"/>
        <v>卡卡杜-凤凰仓</v>
      </c>
      <c r="B2526" s="1" t="str">
        <f>"CK2024102614041"</f>
        <v>CK2024102614041</v>
      </c>
      <c r="C2526" s="1" t="str">
        <f>"DD2024102661099"</f>
        <v>DD2024102661099</v>
      </c>
      <c r="D2526" s="1" t="str">
        <f>"CK2024102644637"</f>
        <v>CK2024102644637</v>
      </c>
      <c r="E2526" s="1" t="str">
        <f>"2430002328488814"</f>
        <v>2430002328488814</v>
      </c>
      <c r="F2526" s="1" t="str">
        <f t="shared" si="809"/>
        <v>花都四部-凤凰仓</v>
      </c>
      <c r="G2526" s="1" t="str">
        <f t="shared" si="822"/>
        <v>卡卡杜佳旺专卖店（快手店）</v>
      </c>
      <c r="H2526" s="1" t="str">
        <f t="shared" si="810"/>
        <v>正常订单</v>
      </c>
      <c r="I2526" s="1" t="str">
        <f t="shared" si="811"/>
        <v>已发货</v>
      </c>
      <c r="J2526" s="1" t="str">
        <f t="shared" si="824"/>
        <v>3</v>
      </c>
      <c r="K2526" s="1">
        <v>2</v>
      </c>
      <c r="L2526" s="1" t="s">
        <v>16</v>
      </c>
      <c r="M2526" s="1" t="str">
        <f>"河北省 石家庄市 长安区 胜利北街道"</f>
        <v>河北省 石家庄市 长安区 胜利北街道</v>
      </c>
      <c r="N2526" s="1" t="str">
        <f t="shared" si="823"/>
        <v>凡华云仓-城南圆通-快手</v>
      </c>
      <c r="O2526" s="5" t="s">
        <v>2562</v>
      </c>
      <c r="P2526" s="6">
        <v>0.35</v>
      </c>
      <c r="Q2526" s="11">
        <v>2.2999999999999998</v>
      </c>
      <c r="R2526" s="11"/>
      <c r="S2526" s="11"/>
      <c r="T2526" s="11"/>
      <c r="U2526" s="11">
        <f t="shared" si="805"/>
        <v>2.2999999999999998</v>
      </c>
      <c r="W2526">
        <v>2.5</v>
      </c>
      <c r="X2526" s="1" t="s">
        <v>16</v>
      </c>
    </row>
    <row r="2527" spans="1:24" x14ac:dyDescent="0.25">
      <c r="A2527" s="1" t="str">
        <f t="shared" si="808"/>
        <v>卡卡杜-凤凰仓</v>
      </c>
      <c r="B2527" s="1" t="str">
        <f>"CK2024102614040"</f>
        <v>CK2024102614040</v>
      </c>
      <c r="C2527" s="1" t="str">
        <f>"DD2024102661098"</f>
        <v>DD2024102661098</v>
      </c>
      <c r="D2527" s="1" t="str">
        <f>"CK2024102644636"</f>
        <v>CK2024102644636</v>
      </c>
      <c r="E2527" s="1" t="str">
        <f>"3723575666802823168"</f>
        <v>3723575666802823168</v>
      </c>
      <c r="F2527" s="1" t="str">
        <f t="shared" si="809"/>
        <v>花都四部-凤凰仓</v>
      </c>
      <c r="G2527" s="1" t="str">
        <f>"卡卡杜企业店（视频号）"</f>
        <v>卡卡杜企业店（视频号）</v>
      </c>
      <c r="H2527" s="1" t="str">
        <f t="shared" si="810"/>
        <v>正常订单</v>
      </c>
      <c r="I2527" s="1" t="str">
        <f t="shared" si="811"/>
        <v>已发货</v>
      </c>
      <c r="J2527" s="1" t="str">
        <f t="shared" si="824"/>
        <v>3</v>
      </c>
      <c r="K2527" s="1">
        <v>2</v>
      </c>
      <c r="L2527" s="1" t="s">
        <v>41</v>
      </c>
      <c r="M2527" s="1" t="str">
        <f>"湖北省 荆州市 沙市区 "</f>
        <v xml:space="preserve">湖北省 荆州市 沙市区 </v>
      </c>
      <c r="N2527" s="1" t="str">
        <f>"凡华云仓-城南圆通-微信视频号"</f>
        <v>凡华云仓-城南圆通-微信视频号</v>
      </c>
      <c r="O2527" s="5" t="s">
        <v>2563</v>
      </c>
      <c r="P2527" s="6">
        <v>0.35</v>
      </c>
      <c r="Q2527" s="11">
        <v>2.2999999999999998</v>
      </c>
      <c r="R2527" s="11"/>
      <c r="S2527" s="11"/>
      <c r="T2527" s="11"/>
      <c r="U2527" s="11">
        <f t="shared" si="805"/>
        <v>2.2999999999999998</v>
      </c>
      <c r="W2527">
        <v>2.5</v>
      </c>
      <c r="X2527" s="1" t="s">
        <v>41</v>
      </c>
    </row>
    <row r="2528" spans="1:24" x14ac:dyDescent="0.25">
      <c r="A2528" s="1" t="str">
        <f t="shared" si="808"/>
        <v>卡卡杜-凤凰仓</v>
      </c>
      <c r="B2528" s="1" t="str">
        <f>"CK2024102614039"</f>
        <v>CK2024102614039</v>
      </c>
      <c r="C2528" s="1" t="str">
        <f>"DD2024102661097"</f>
        <v>DD2024102661097</v>
      </c>
      <c r="D2528" s="1" t="str">
        <f>"CK2024102644635"</f>
        <v>CK2024102644635</v>
      </c>
      <c r="E2528" s="1" t="str">
        <f>"6935485526875772405"</f>
        <v>6935485526875772405</v>
      </c>
      <c r="F2528" s="1" t="str">
        <f t="shared" si="809"/>
        <v>花都四部-凤凰仓</v>
      </c>
      <c r="G2528" s="1" t="str">
        <f t="shared" ref="G2528:G2531" si="825">"卡卡杜个人护理店（抖店）"</f>
        <v>卡卡杜个人护理店（抖店）</v>
      </c>
      <c r="H2528" s="1" t="str">
        <f t="shared" si="810"/>
        <v>正常订单</v>
      </c>
      <c r="I2528" s="1" t="str">
        <f t="shared" si="811"/>
        <v>已发货</v>
      </c>
      <c r="J2528" s="1" t="str">
        <f t="shared" si="824"/>
        <v>3</v>
      </c>
      <c r="K2528" s="1">
        <v>2</v>
      </c>
      <c r="L2528" s="1" t="s">
        <v>32</v>
      </c>
      <c r="M2528" s="1" t="str">
        <f>"陕西省 西安市 灞桥区 "</f>
        <v xml:space="preserve">陕西省 西安市 灞桥区 </v>
      </c>
      <c r="N2528" s="1" t="str">
        <f t="shared" ref="N2528:N2531" si="826">"凡华云仓-城南圆通-抖音"</f>
        <v>凡华云仓-城南圆通-抖音</v>
      </c>
      <c r="O2528" s="5" t="s">
        <v>2564</v>
      </c>
      <c r="P2528" s="6">
        <v>0.35</v>
      </c>
      <c r="Q2528" s="11">
        <v>2.2999999999999998</v>
      </c>
      <c r="R2528" s="11"/>
      <c r="S2528" s="11"/>
      <c r="T2528" s="11"/>
      <c r="U2528" s="11">
        <f t="shared" si="805"/>
        <v>2.2999999999999998</v>
      </c>
      <c r="W2528">
        <v>2.5</v>
      </c>
      <c r="X2528" s="1" t="s">
        <v>32</v>
      </c>
    </row>
    <row r="2529" spans="1:24" x14ac:dyDescent="0.25">
      <c r="A2529" s="1" t="str">
        <f t="shared" si="808"/>
        <v>卡卡杜-凤凰仓</v>
      </c>
      <c r="B2529" s="1" t="str">
        <f>"CK2024102614037"</f>
        <v>CK2024102614037</v>
      </c>
      <c r="C2529" s="1" t="str">
        <f>"DD2024102661096"</f>
        <v>DD2024102661096</v>
      </c>
      <c r="D2529" s="1" t="str">
        <f>"CK2024102644634"</f>
        <v>CK2024102644634</v>
      </c>
      <c r="E2529" s="1" t="str">
        <f>"6935503154336306969"</f>
        <v>6935503154336306969</v>
      </c>
      <c r="F2529" s="1" t="str">
        <f t="shared" si="809"/>
        <v>花都四部-凤凰仓</v>
      </c>
      <c r="G2529" s="1" t="str">
        <f t="shared" si="825"/>
        <v>卡卡杜个人护理店（抖店）</v>
      </c>
      <c r="H2529" s="1" t="str">
        <f t="shared" si="810"/>
        <v>正常订单</v>
      </c>
      <c r="I2529" s="1" t="str">
        <f t="shared" si="811"/>
        <v>已发货</v>
      </c>
      <c r="J2529" s="1" t="str">
        <f t="shared" si="824"/>
        <v>3</v>
      </c>
      <c r="K2529" s="1">
        <v>2</v>
      </c>
      <c r="L2529" s="1" t="s">
        <v>36</v>
      </c>
      <c r="M2529" s="1" t="str">
        <f>"安徽省 合肥市 蜀山区 井岗镇"</f>
        <v>安徽省 合肥市 蜀山区 井岗镇</v>
      </c>
      <c r="N2529" s="1" t="str">
        <f t="shared" si="826"/>
        <v>凡华云仓-城南圆通-抖音</v>
      </c>
      <c r="O2529" s="5" t="s">
        <v>2565</v>
      </c>
      <c r="P2529" s="6">
        <v>0.35</v>
      </c>
      <c r="Q2529" s="11">
        <v>2.2999999999999998</v>
      </c>
      <c r="R2529" s="11"/>
      <c r="S2529" s="11"/>
      <c r="T2529" s="11"/>
      <c r="U2529" s="11">
        <f t="shared" si="805"/>
        <v>2.2999999999999998</v>
      </c>
      <c r="W2529">
        <v>2.5</v>
      </c>
      <c r="X2529" s="1" t="s">
        <v>36</v>
      </c>
    </row>
    <row r="2530" spans="1:24" x14ac:dyDescent="0.25">
      <c r="A2530" s="1" t="str">
        <f t="shared" si="808"/>
        <v>卡卡杜-凤凰仓</v>
      </c>
      <c r="B2530" s="1" t="str">
        <f>"CK2024102614038"</f>
        <v>CK2024102614038</v>
      </c>
      <c r="C2530" s="1" t="str">
        <f>"DD2024102661095"</f>
        <v>DD2024102661095</v>
      </c>
      <c r="D2530" s="1" t="str">
        <f>"CK2024102644633"</f>
        <v>CK2024102644633</v>
      </c>
      <c r="E2530" s="1" t="str">
        <f>"2430001922129496"</f>
        <v>2430001922129496</v>
      </c>
      <c r="F2530" s="1" t="str">
        <f t="shared" si="809"/>
        <v>花都四部-凤凰仓</v>
      </c>
      <c r="G2530" s="1" t="str">
        <f>"卡卡杜佳旺专卖店（快手店）"</f>
        <v>卡卡杜佳旺专卖店（快手店）</v>
      </c>
      <c r="H2530" s="1" t="str">
        <f t="shared" si="810"/>
        <v>正常订单</v>
      </c>
      <c r="I2530" s="1" t="str">
        <f t="shared" si="811"/>
        <v>已发货</v>
      </c>
      <c r="J2530" s="1" t="str">
        <f t="shared" ref="J2530:J2533" si="827">"5"</f>
        <v>5</v>
      </c>
      <c r="K2530" s="1">
        <v>2</v>
      </c>
      <c r="L2530" s="1" t="s">
        <v>32</v>
      </c>
      <c r="M2530" s="1" t="str">
        <f>"陕西省 咸阳市 渭城区 周陵街道"</f>
        <v>陕西省 咸阳市 渭城区 周陵街道</v>
      </c>
      <c r="N2530" s="1" t="str">
        <f>"凡华云仓-城南圆通-快手"</f>
        <v>凡华云仓-城南圆通-快手</v>
      </c>
      <c r="O2530" s="5" t="s">
        <v>2566</v>
      </c>
      <c r="P2530" s="6">
        <v>0.59</v>
      </c>
      <c r="Q2530" s="11">
        <f t="shared" ref="Q2530:Q2533" si="828">CEILING(P2530-0.5,0.1)*10*0.15+2.3</f>
        <v>2.4499999999999997</v>
      </c>
      <c r="R2530" s="11"/>
      <c r="S2530" s="11"/>
      <c r="T2530" s="11"/>
      <c r="U2530" s="11">
        <f t="shared" si="805"/>
        <v>2.4499999999999997</v>
      </c>
      <c r="V2530" t="s">
        <v>15</v>
      </c>
      <c r="W2530">
        <v>2.4500000000000002</v>
      </c>
      <c r="X2530" s="1" t="s">
        <v>32</v>
      </c>
    </row>
    <row r="2531" spans="1:24" x14ac:dyDescent="0.25">
      <c r="A2531" s="1" t="str">
        <f t="shared" si="808"/>
        <v>卡卡杜-凤凰仓</v>
      </c>
      <c r="B2531" s="1" t="str">
        <f>"CK2024102614036"</f>
        <v>CK2024102614036</v>
      </c>
      <c r="C2531" s="1" t="str">
        <f>"DD2024102661094"</f>
        <v>DD2024102661094</v>
      </c>
      <c r="D2531" s="1" t="str">
        <f>"CK2024102644632"</f>
        <v>CK2024102644632</v>
      </c>
      <c r="E2531" s="1" t="str">
        <f>"6935512032396252850"</f>
        <v>6935512032396252850</v>
      </c>
      <c r="F2531" s="1" t="str">
        <f t="shared" si="809"/>
        <v>花都四部-凤凰仓</v>
      </c>
      <c r="G2531" s="1" t="str">
        <f t="shared" si="825"/>
        <v>卡卡杜个人护理店（抖店）</v>
      </c>
      <c r="H2531" s="1" t="str">
        <f t="shared" si="810"/>
        <v>正常订单</v>
      </c>
      <c r="I2531" s="1" t="str">
        <f t="shared" si="811"/>
        <v>已发货</v>
      </c>
      <c r="J2531" s="1" t="str">
        <f t="shared" si="827"/>
        <v>5</v>
      </c>
      <c r="K2531" s="1">
        <v>2</v>
      </c>
      <c r="L2531" s="1" t="s">
        <v>13</v>
      </c>
      <c r="M2531" s="1" t="str">
        <f>"江苏省 盐城市 东台市 东台镇"</f>
        <v>江苏省 盐城市 东台市 东台镇</v>
      </c>
      <c r="N2531" s="1" t="str">
        <f t="shared" si="826"/>
        <v>凡华云仓-城南圆通-抖音</v>
      </c>
      <c r="O2531" s="5" t="s">
        <v>2567</v>
      </c>
      <c r="P2531" s="6">
        <v>0.59</v>
      </c>
      <c r="Q2531" s="11">
        <f t="shared" si="828"/>
        <v>2.4499999999999997</v>
      </c>
      <c r="R2531" s="11"/>
      <c r="S2531" s="11"/>
      <c r="T2531" s="11"/>
      <c r="U2531" s="11">
        <f t="shared" si="805"/>
        <v>2.4499999999999997</v>
      </c>
      <c r="V2531" t="s">
        <v>15</v>
      </c>
      <c r="W2531">
        <v>2.4500000000000002</v>
      </c>
      <c r="X2531" s="1" t="s">
        <v>13</v>
      </c>
    </row>
    <row r="2532" spans="1:24" x14ac:dyDescent="0.25">
      <c r="A2532" s="1" t="str">
        <f t="shared" si="808"/>
        <v>卡卡杜-凤凰仓</v>
      </c>
      <c r="B2532" s="1" t="str">
        <f>"CK2024102614035"</f>
        <v>CK2024102614035</v>
      </c>
      <c r="C2532" s="1" t="str">
        <f>"DD2024102661093"</f>
        <v>DD2024102661093</v>
      </c>
      <c r="D2532" s="1" t="str">
        <f>"CK2024102644631"</f>
        <v>CK2024102644631</v>
      </c>
      <c r="E2532" s="1" t="str">
        <f>"2430002087771361"</f>
        <v>2430002087771361</v>
      </c>
      <c r="F2532" s="1" t="str">
        <f t="shared" si="809"/>
        <v>花都四部-凤凰仓</v>
      </c>
      <c r="G2532" s="1" t="str">
        <f>"卡卡杜佳旺专卖店（快手店）"</f>
        <v>卡卡杜佳旺专卖店（快手店）</v>
      </c>
      <c r="H2532" s="1" t="str">
        <f t="shared" si="810"/>
        <v>正常订单</v>
      </c>
      <c r="I2532" s="1" t="str">
        <f t="shared" si="811"/>
        <v>已发货</v>
      </c>
      <c r="J2532" s="1" t="str">
        <f t="shared" si="827"/>
        <v>5</v>
      </c>
      <c r="K2532" s="1">
        <v>2</v>
      </c>
      <c r="L2532" s="1" t="s">
        <v>22</v>
      </c>
      <c r="M2532" s="1" t="str">
        <f>"江西省 南昌市 青山湖区 罗家镇"</f>
        <v>江西省 南昌市 青山湖区 罗家镇</v>
      </c>
      <c r="N2532" s="1" t="str">
        <f>"凡华云仓-城南圆通-快手"</f>
        <v>凡华云仓-城南圆通-快手</v>
      </c>
      <c r="O2532" s="5" t="s">
        <v>2568</v>
      </c>
      <c r="P2532" s="6">
        <v>0.59</v>
      </c>
      <c r="Q2532" s="11">
        <f t="shared" si="828"/>
        <v>2.4499999999999997</v>
      </c>
      <c r="R2532" s="11"/>
      <c r="S2532" s="11"/>
      <c r="T2532" s="11"/>
      <c r="U2532" s="11">
        <f t="shared" si="805"/>
        <v>2.4499999999999997</v>
      </c>
      <c r="V2532" t="s">
        <v>15</v>
      </c>
      <c r="W2532">
        <v>2.4500000000000002</v>
      </c>
      <c r="X2532" s="1" t="s">
        <v>22</v>
      </c>
    </row>
    <row r="2533" spans="1:24" x14ac:dyDescent="0.25">
      <c r="A2533" s="1" t="str">
        <f t="shared" si="808"/>
        <v>卡卡杜-凤凰仓</v>
      </c>
      <c r="B2533" s="1" t="str">
        <f>"CK2024102614034"</f>
        <v>CK2024102614034</v>
      </c>
      <c r="C2533" s="1" t="str">
        <f>"DD2024102661092"</f>
        <v>DD2024102661092</v>
      </c>
      <c r="D2533" s="1" t="str">
        <f>"CK2024102644630"</f>
        <v>CK2024102644630</v>
      </c>
      <c r="E2533" s="1" t="str">
        <f>"6935496513186502216"</f>
        <v>6935496513186502216</v>
      </c>
      <c r="F2533" s="1" t="str">
        <f t="shared" si="809"/>
        <v>花都四部-凤凰仓</v>
      </c>
      <c r="G2533" s="1" t="str">
        <f t="shared" ref="G2533:G2550" si="829">"卡卡杜个人护理店（抖店）"</f>
        <v>卡卡杜个人护理店（抖店）</v>
      </c>
      <c r="H2533" s="1" t="str">
        <f t="shared" si="810"/>
        <v>正常订单</v>
      </c>
      <c r="I2533" s="1" t="str">
        <f t="shared" si="811"/>
        <v>已发货</v>
      </c>
      <c r="J2533" s="1" t="str">
        <f t="shared" si="827"/>
        <v>5</v>
      </c>
      <c r="K2533" s="1">
        <v>2</v>
      </c>
      <c r="L2533" s="1" t="s">
        <v>13</v>
      </c>
      <c r="M2533" s="1" t="str">
        <f>"江苏省 南通市 如东县 苴镇街道"</f>
        <v>江苏省 南通市 如东县 苴镇街道</v>
      </c>
      <c r="N2533" s="1" t="str">
        <f t="shared" ref="N2533:N2550" si="830">"凡华云仓-城南圆通-抖音"</f>
        <v>凡华云仓-城南圆通-抖音</v>
      </c>
      <c r="O2533" s="5" t="s">
        <v>2569</v>
      </c>
      <c r="P2533" s="6">
        <v>0.59</v>
      </c>
      <c r="Q2533" s="11">
        <f t="shared" si="828"/>
        <v>2.4499999999999997</v>
      </c>
      <c r="R2533" s="11"/>
      <c r="S2533" s="11"/>
      <c r="T2533" s="11"/>
      <c r="U2533" s="11">
        <f t="shared" si="805"/>
        <v>2.4499999999999997</v>
      </c>
      <c r="V2533" t="s">
        <v>15</v>
      </c>
      <c r="W2533">
        <v>2.4500000000000002</v>
      </c>
      <c r="X2533" s="1" t="s">
        <v>13</v>
      </c>
    </row>
    <row r="2534" spans="1:24" x14ac:dyDescent="0.25">
      <c r="A2534" s="1" t="str">
        <f t="shared" si="808"/>
        <v>卡卡杜-凤凰仓</v>
      </c>
      <c r="B2534" s="1" t="str">
        <f>"CK2024102614033"</f>
        <v>CK2024102614033</v>
      </c>
      <c r="C2534" s="1" t="str">
        <f>"DD2024102661091"</f>
        <v>DD2024102661091</v>
      </c>
      <c r="D2534" s="1" t="str">
        <f>"CK2024102644629"</f>
        <v>CK2024102644629</v>
      </c>
      <c r="E2534" s="1" t="str">
        <f>"6935493776598243103"</f>
        <v>6935493776598243103</v>
      </c>
      <c r="F2534" s="1" t="str">
        <f t="shared" si="809"/>
        <v>花都四部-凤凰仓</v>
      </c>
      <c r="G2534" s="1" t="str">
        <f t="shared" si="829"/>
        <v>卡卡杜个人护理店（抖店）</v>
      </c>
      <c r="H2534" s="1" t="str">
        <f t="shared" si="810"/>
        <v>正常订单</v>
      </c>
      <c r="I2534" s="1" t="str">
        <f t="shared" si="811"/>
        <v>已发货</v>
      </c>
      <c r="J2534" s="1" t="str">
        <f t="shared" ref="J2534:J2544" si="831">"3"</f>
        <v>3</v>
      </c>
      <c r="K2534" s="1">
        <v>2</v>
      </c>
      <c r="L2534" s="1" t="s">
        <v>13</v>
      </c>
      <c r="M2534" s="1" t="str">
        <f>"江苏省 镇江市 句容市 华阳镇"</f>
        <v>江苏省 镇江市 句容市 华阳镇</v>
      </c>
      <c r="N2534" s="1" t="str">
        <f t="shared" si="830"/>
        <v>凡华云仓-城南圆通-抖音</v>
      </c>
      <c r="O2534" s="5" t="s">
        <v>2570</v>
      </c>
      <c r="P2534" s="6">
        <v>0.35</v>
      </c>
      <c r="Q2534" s="11">
        <v>2.2999999999999998</v>
      </c>
      <c r="R2534" s="11"/>
      <c r="S2534" s="11"/>
      <c r="T2534" s="11"/>
      <c r="U2534" s="11">
        <f t="shared" si="805"/>
        <v>2.2999999999999998</v>
      </c>
      <c r="W2534">
        <v>2.5</v>
      </c>
      <c r="X2534" s="1" t="s">
        <v>13</v>
      </c>
    </row>
    <row r="2535" spans="1:24" x14ac:dyDescent="0.25">
      <c r="A2535" s="1" t="str">
        <f t="shared" si="808"/>
        <v>卡卡杜-凤凰仓</v>
      </c>
      <c r="B2535" s="1" t="str">
        <f>"CK2024102614031"</f>
        <v>CK2024102614031</v>
      </c>
      <c r="C2535" s="1" t="str">
        <f>"DD2024102661090"</f>
        <v>DD2024102661090</v>
      </c>
      <c r="D2535" s="1" t="str">
        <f>"CK2024102644628"</f>
        <v>CK2024102644628</v>
      </c>
      <c r="E2535" s="1" t="str">
        <f>"6935491710018000095"</f>
        <v>6935491710018000095</v>
      </c>
      <c r="F2535" s="1" t="str">
        <f t="shared" si="809"/>
        <v>花都四部-凤凰仓</v>
      </c>
      <c r="G2535" s="1" t="str">
        <f t="shared" si="829"/>
        <v>卡卡杜个人护理店（抖店）</v>
      </c>
      <c r="H2535" s="1" t="str">
        <f t="shared" si="810"/>
        <v>正常订单</v>
      </c>
      <c r="I2535" s="1" t="str">
        <f t="shared" si="811"/>
        <v>已发货</v>
      </c>
      <c r="J2535" s="1" t="str">
        <f t="shared" si="831"/>
        <v>3</v>
      </c>
      <c r="K2535" s="1">
        <v>2</v>
      </c>
      <c r="L2535" s="1" t="s">
        <v>94</v>
      </c>
      <c r="M2535" s="1" t="str">
        <f>"湖南省 长沙市 开福区 湘雅路街道"</f>
        <v>湖南省 长沙市 开福区 湘雅路街道</v>
      </c>
      <c r="N2535" s="1" t="str">
        <f t="shared" si="830"/>
        <v>凡华云仓-城南圆通-抖音</v>
      </c>
      <c r="O2535" s="5" t="s">
        <v>2571</v>
      </c>
      <c r="P2535" s="6">
        <v>0.35</v>
      </c>
      <c r="Q2535" s="11">
        <v>2.2999999999999998</v>
      </c>
      <c r="R2535" s="11"/>
      <c r="S2535" s="11"/>
      <c r="T2535" s="11"/>
      <c r="U2535" s="11">
        <f t="shared" si="805"/>
        <v>2.2999999999999998</v>
      </c>
      <c r="W2535">
        <v>2.5</v>
      </c>
      <c r="X2535" s="1" t="s">
        <v>94</v>
      </c>
    </row>
    <row r="2536" spans="1:24" x14ac:dyDescent="0.25">
      <c r="A2536" s="1" t="str">
        <f t="shared" si="808"/>
        <v>卡卡杜-凤凰仓</v>
      </c>
      <c r="B2536" s="1" t="str">
        <f>"CK2024102614032"</f>
        <v>CK2024102614032</v>
      </c>
      <c r="C2536" s="1" t="str">
        <f>"DD2024102661089"</f>
        <v>DD2024102661089</v>
      </c>
      <c r="D2536" s="1" t="str">
        <f>"CK2024102644627"</f>
        <v>CK2024102644627</v>
      </c>
      <c r="E2536" s="1" t="str">
        <f>"6935498830517638177"</f>
        <v>6935498830517638177</v>
      </c>
      <c r="F2536" s="1" t="str">
        <f t="shared" si="809"/>
        <v>花都四部-凤凰仓</v>
      </c>
      <c r="G2536" s="1" t="str">
        <f t="shared" si="829"/>
        <v>卡卡杜个人护理店（抖店）</v>
      </c>
      <c r="H2536" s="1" t="str">
        <f t="shared" si="810"/>
        <v>正常订单</v>
      </c>
      <c r="I2536" s="1" t="str">
        <f t="shared" si="811"/>
        <v>已发货</v>
      </c>
      <c r="J2536" s="1" t="str">
        <f t="shared" si="831"/>
        <v>3</v>
      </c>
      <c r="K2536" s="1">
        <v>2</v>
      </c>
      <c r="L2536" s="1" t="s">
        <v>22</v>
      </c>
      <c r="M2536" s="1" t="str">
        <f>"江西省 宜春市 靖安县 靖安县工业园区"</f>
        <v>江西省 宜春市 靖安县 靖安县工业园区</v>
      </c>
      <c r="N2536" s="1" t="str">
        <f t="shared" si="830"/>
        <v>凡华云仓-城南圆通-抖音</v>
      </c>
      <c r="O2536" s="5" t="s">
        <v>2572</v>
      </c>
      <c r="P2536" s="6">
        <v>0.35</v>
      </c>
      <c r="Q2536" s="11">
        <v>2.2999999999999998</v>
      </c>
      <c r="R2536" s="11"/>
      <c r="S2536" s="11"/>
      <c r="T2536" s="11"/>
      <c r="U2536" s="11">
        <f t="shared" si="805"/>
        <v>2.2999999999999998</v>
      </c>
      <c r="W2536">
        <v>2.5</v>
      </c>
      <c r="X2536" s="1" t="s">
        <v>22</v>
      </c>
    </row>
    <row r="2537" spans="1:24" x14ac:dyDescent="0.25">
      <c r="A2537" s="1" t="str">
        <f t="shared" si="808"/>
        <v>卡卡杜-凤凰仓</v>
      </c>
      <c r="B2537" s="1" t="str">
        <f>"CK2024102614030"</f>
        <v>CK2024102614030</v>
      </c>
      <c r="C2537" s="1" t="str">
        <f>"DD2024102661088"</f>
        <v>DD2024102661088</v>
      </c>
      <c r="D2537" s="1" t="str">
        <f>"CK2024102644626"</f>
        <v>CK2024102644626</v>
      </c>
      <c r="E2537" s="1" t="str">
        <f>"6935498799405274713"</f>
        <v>6935498799405274713</v>
      </c>
      <c r="F2537" s="1" t="str">
        <f t="shared" si="809"/>
        <v>花都四部-凤凰仓</v>
      </c>
      <c r="G2537" s="1" t="str">
        <f t="shared" si="829"/>
        <v>卡卡杜个人护理店（抖店）</v>
      </c>
      <c r="H2537" s="1" t="str">
        <f t="shared" si="810"/>
        <v>正常订单</v>
      </c>
      <c r="I2537" s="1" t="str">
        <f t="shared" si="811"/>
        <v>已发货</v>
      </c>
      <c r="J2537" s="1" t="str">
        <f t="shared" si="831"/>
        <v>3</v>
      </c>
      <c r="K2537" s="1">
        <v>2</v>
      </c>
      <c r="L2537" s="1" t="s">
        <v>161</v>
      </c>
      <c r="M2537" s="1" t="str">
        <f>"四川省 南充市 阆中市 保宁街道"</f>
        <v>四川省 南充市 阆中市 保宁街道</v>
      </c>
      <c r="N2537" s="1" t="str">
        <f t="shared" si="830"/>
        <v>凡华云仓-城南圆通-抖音</v>
      </c>
      <c r="O2537" s="5" t="s">
        <v>2573</v>
      </c>
      <c r="P2537" s="6">
        <v>0.35</v>
      </c>
      <c r="Q2537" s="11">
        <v>2.2999999999999998</v>
      </c>
      <c r="R2537" s="11"/>
      <c r="S2537" s="11"/>
      <c r="T2537" s="11"/>
      <c r="U2537" s="11">
        <f t="shared" si="805"/>
        <v>2.2999999999999998</v>
      </c>
      <c r="W2537">
        <v>2.5</v>
      </c>
      <c r="X2537" s="1" t="s">
        <v>161</v>
      </c>
    </row>
    <row r="2538" spans="1:24" x14ac:dyDescent="0.25">
      <c r="A2538" s="1" t="str">
        <f t="shared" si="808"/>
        <v>卡卡杜-凤凰仓</v>
      </c>
      <c r="B2538" s="1" t="str">
        <f>"CK2024102614029"</f>
        <v>CK2024102614029</v>
      </c>
      <c r="C2538" s="1" t="str">
        <f>"DD2024102661087"</f>
        <v>DD2024102661087</v>
      </c>
      <c r="D2538" s="1" t="str">
        <f>"CK2024102644625"</f>
        <v>CK2024102644625</v>
      </c>
      <c r="E2538" s="1" t="str">
        <f>"6935500802649953326"</f>
        <v>6935500802649953326</v>
      </c>
      <c r="F2538" s="1" t="str">
        <f t="shared" si="809"/>
        <v>花都四部-凤凰仓</v>
      </c>
      <c r="G2538" s="1" t="str">
        <f t="shared" si="829"/>
        <v>卡卡杜个人护理店（抖店）</v>
      </c>
      <c r="H2538" s="1" t="str">
        <f t="shared" si="810"/>
        <v>正常订单</v>
      </c>
      <c r="I2538" s="1" t="str">
        <f t="shared" si="811"/>
        <v>已发货</v>
      </c>
      <c r="J2538" s="1" t="str">
        <f t="shared" si="831"/>
        <v>3</v>
      </c>
      <c r="K2538" s="1">
        <v>2</v>
      </c>
      <c r="L2538" s="1" t="s">
        <v>92</v>
      </c>
      <c r="M2538" s="1" t="str">
        <f>"辽宁省 大连市 沙河口区 春柳街道"</f>
        <v>辽宁省 大连市 沙河口区 春柳街道</v>
      </c>
      <c r="N2538" s="1" t="str">
        <f t="shared" si="830"/>
        <v>凡华云仓-城南圆通-抖音</v>
      </c>
      <c r="O2538" s="5" t="s">
        <v>2574</v>
      </c>
      <c r="P2538" s="6">
        <v>0.35</v>
      </c>
      <c r="Q2538" s="11">
        <v>2.2999999999999998</v>
      </c>
      <c r="R2538" s="11"/>
      <c r="S2538" s="11"/>
      <c r="T2538" s="11"/>
      <c r="U2538" s="11">
        <f t="shared" si="805"/>
        <v>2.2999999999999998</v>
      </c>
      <c r="W2538">
        <v>2.5</v>
      </c>
      <c r="X2538" s="1" t="s">
        <v>92</v>
      </c>
    </row>
    <row r="2539" spans="1:24" x14ac:dyDescent="0.25">
      <c r="A2539" s="1" t="str">
        <f t="shared" si="808"/>
        <v>卡卡杜-凤凰仓</v>
      </c>
      <c r="B2539" s="1" t="str">
        <f>"CK2024102614028"</f>
        <v>CK2024102614028</v>
      </c>
      <c r="C2539" s="1" t="str">
        <f>"DD2024102661086"</f>
        <v>DD2024102661086</v>
      </c>
      <c r="D2539" s="1" t="str">
        <f>"CK2024102644624"</f>
        <v>CK2024102644624</v>
      </c>
      <c r="E2539" s="1" t="str">
        <f>"6935493917953890081"</f>
        <v>6935493917953890081</v>
      </c>
      <c r="F2539" s="1" t="str">
        <f t="shared" si="809"/>
        <v>花都四部-凤凰仓</v>
      </c>
      <c r="G2539" s="1" t="str">
        <f t="shared" si="829"/>
        <v>卡卡杜个人护理店（抖店）</v>
      </c>
      <c r="H2539" s="1" t="str">
        <f t="shared" si="810"/>
        <v>正常订单</v>
      </c>
      <c r="I2539" s="1" t="str">
        <f t="shared" si="811"/>
        <v>已发货</v>
      </c>
      <c r="J2539" s="1" t="str">
        <f t="shared" si="831"/>
        <v>3</v>
      </c>
      <c r="K2539" s="1">
        <v>2</v>
      </c>
      <c r="L2539" s="1" t="s">
        <v>161</v>
      </c>
      <c r="M2539" s="1" t="str">
        <f>"四川省 成都市 青白江区 大弯街道"</f>
        <v>四川省 成都市 青白江区 大弯街道</v>
      </c>
      <c r="N2539" s="1" t="str">
        <f t="shared" si="830"/>
        <v>凡华云仓-城南圆通-抖音</v>
      </c>
      <c r="O2539" s="5" t="s">
        <v>2575</v>
      </c>
      <c r="P2539" s="6">
        <v>0.35</v>
      </c>
      <c r="Q2539" s="11">
        <v>2.2999999999999998</v>
      </c>
      <c r="R2539" s="11"/>
      <c r="S2539" s="11"/>
      <c r="T2539" s="11"/>
      <c r="U2539" s="11">
        <f t="shared" si="805"/>
        <v>2.2999999999999998</v>
      </c>
      <c r="W2539">
        <v>2.5</v>
      </c>
      <c r="X2539" s="1" t="s">
        <v>161</v>
      </c>
    </row>
    <row r="2540" spans="1:24" x14ac:dyDescent="0.25">
      <c r="A2540" s="1" t="str">
        <f t="shared" si="808"/>
        <v>卡卡杜-凤凰仓</v>
      </c>
      <c r="B2540" s="1" t="str">
        <f>"CK2024102614027"</f>
        <v>CK2024102614027</v>
      </c>
      <c r="C2540" s="1" t="str">
        <f>"DD2024102661085"</f>
        <v>DD2024102661085</v>
      </c>
      <c r="D2540" s="1" t="str">
        <f>"CK2024102644623"</f>
        <v>CK2024102644623</v>
      </c>
      <c r="E2540" s="1" t="str">
        <f>"6935487813889496754"</f>
        <v>6935487813889496754</v>
      </c>
      <c r="F2540" s="1" t="str">
        <f t="shared" si="809"/>
        <v>花都四部-凤凰仓</v>
      </c>
      <c r="G2540" s="1" t="str">
        <f t="shared" si="829"/>
        <v>卡卡杜个人护理店（抖店）</v>
      </c>
      <c r="H2540" s="1" t="str">
        <f t="shared" si="810"/>
        <v>正常订单</v>
      </c>
      <c r="I2540" s="1" t="str">
        <f t="shared" si="811"/>
        <v>已发货</v>
      </c>
      <c r="J2540" s="1" t="str">
        <f t="shared" si="831"/>
        <v>3</v>
      </c>
      <c r="K2540" s="1">
        <v>2</v>
      </c>
      <c r="L2540" s="1" t="s">
        <v>109</v>
      </c>
      <c r="M2540" s="1" t="str">
        <f>"山西省 晋中市 昔阳县 乐平镇"</f>
        <v>山西省 晋中市 昔阳县 乐平镇</v>
      </c>
      <c r="N2540" s="1" t="str">
        <f t="shared" si="830"/>
        <v>凡华云仓-城南圆通-抖音</v>
      </c>
      <c r="O2540" s="5" t="s">
        <v>2576</v>
      </c>
      <c r="P2540" s="6">
        <v>0.35</v>
      </c>
      <c r="Q2540" s="11">
        <v>2.2999999999999998</v>
      </c>
      <c r="R2540" s="11"/>
      <c r="S2540" s="11"/>
      <c r="T2540" s="11"/>
      <c r="U2540" s="11">
        <f t="shared" si="805"/>
        <v>2.2999999999999998</v>
      </c>
      <c r="W2540">
        <v>2.5</v>
      </c>
      <c r="X2540" s="1" t="s">
        <v>109</v>
      </c>
    </row>
    <row r="2541" spans="1:24" x14ac:dyDescent="0.25">
      <c r="A2541" s="1" t="str">
        <f t="shared" si="808"/>
        <v>卡卡杜-凤凰仓</v>
      </c>
      <c r="B2541" s="1" t="str">
        <f>"CK2024102614026"</f>
        <v>CK2024102614026</v>
      </c>
      <c r="C2541" s="1" t="str">
        <f>"DD2024102661084"</f>
        <v>DD2024102661084</v>
      </c>
      <c r="D2541" s="1" t="str">
        <f>"CK2024102644622"</f>
        <v>CK2024102644622</v>
      </c>
      <c r="E2541" s="1" t="str">
        <f>"6935503197459912188"</f>
        <v>6935503197459912188</v>
      </c>
      <c r="F2541" s="1" t="str">
        <f t="shared" si="809"/>
        <v>花都四部-凤凰仓</v>
      </c>
      <c r="G2541" s="1" t="str">
        <f t="shared" si="829"/>
        <v>卡卡杜个人护理店（抖店）</v>
      </c>
      <c r="H2541" s="1" t="str">
        <f t="shared" si="810"/>
        <v>正常订单</v>
      </c>
      <c r="I2541" s="1" t="str">
        <f t="shared" si="811"/>
        <v>已发货</v>
      </c>
      <c r="J2541" s="1" t="str">
        <f t="shared" si="831"/>
        <v>3</v>
      </c>
      <c r="K2541" s="1">
        <v>2</v>
      </c>
      <c r="L2541" s="1" t="s">
        <v>96</v>
      </c>
      <c r="M2541" s="1" t="str">
        <f>"广西壮族自治区 贺州市 钟山县 清塘镇"</f>
        <v>广西壮族自治区 贺州市 钟山县 清塘镇</v>
      </c>
      <c r="N2541" s="1" t="str">
        <f t="shared" si="830"/>
        <v>凡华云仓-城南圆通-抖音</v>
      </c>
      <c r="O2541" s="5" t="s">
        <v>2577</v>
      </c>
      <c r="P2541" s="6">
        <v>0.35</v>
      </c>
      <c r="Q2541" s="11">
        <v>2.2999999999999998</v>
      </c>
      <c r="R2541" s="11"/>
      <c r="S2541" s="11"/>
      <c r="T2541" s="11"/>
      <c r="U2541" s="11">
        <f t="shared" si="805"/>
        <v>2.2999999999999998</v>
      </c>
      <c r="W2541">
        <v>2.5</v>
      </c>
      <c r="X2541" s="1" t="s">
        <v>96</v>
      </c>
    </row>
    <row r="2542" spans="1:24" x14ac:dyDescent="0.25">
      <c r="A2542" s="1" t="str">
        <f t="shared" si="808"/>
        <v>卡卡杜-凤凰仓</v>
      </c>
      <c r="B2542" s="1" t="str">
        <f>"CK2024102614025"</f>
        <v>CK2024102614025</v>
      </c>
      <c r="C2542" s="1" t="str">
        <f>"DD2024102661083"</f>
        <v>DD2024102661083</v>
      </c>
      <c r="D2542" s="1" t="str">
        <f>"CK2024102644621"</f>
        <v>CK2024102644621</v>
      </c>
      <c r="E2542" s="1" t="str">
        <f>"6935491525394306262"</f>
        <v>6935491525394306262</v>
      </c>
      <c r="F2542" s="1" t="str">
        <f t="shared" si="809"/>
        <v>花都四部-凤凰仓</v>
      </c>
      <c r="G2542" s="1" t="str">
        <f t="shared" si="829"/>
        <v>卡卡杜个人护理店（抖店）</v>
      </c>
      <c r="H2542" s="1" t="str">
        <f t="shared" si="810"/>
        <v>正常订单</v>
      </c>
      <c r="I2542" s="1" t="str">
        <f t="shared" si="811"/>
        <v>已发货</v>
      </c>
      <c r="J2542" s="1" t="str">
        <f t="shared" si="831"/>
        <v>3</v>
      </c>
      <c r="K2542" s="1">
        <v>2</v>
      </c>
      <c r="L2542" s="1" t="s">
        <v>74</v>
      </c>
      <c r="M2542" s="1" t="str">
        <f>"上海 上海市 普陀区 宜川路街道"</f>
        <v>上海 上海市 普陀区 宜川路街道</v>
      </c>
      <c r="N2542" s="1" t="str">
        <f t="shared" si="830"/>
        <v>凡华云仓-城南圆通-抖音</v>
      </c>
      <c r="O2542" s="5" t="s">
        <v>2578</v>
      </c>
      <c r="P2542" s="6">
        <v>0.35</v>
      </c>
      <c r="Q2542" s="11">
        <v>2.2999999999999998</v>
      </c>
      <c r="R2542" s="11"/>
      <c r="S2542" s="11"/>
      <c r="T2542" s="11"/>
      <c r="U2542" s="11">
        <f t="shared" si="805"/>
        <v>2.2999999999999998</v>
      </c>
      <c r="W2542">
        <v>2.5</v>
      </c>
      <c r="X2542" s="1" t="s">
        <v>74</v>
      </c>
    </row>
    <row r="2543" spans="1:24" x14ac:dyDescent="0.25">
      <c r="A2543" s="1" t="str">
        <f t="shared" si="808"/>
        <v>卡卡杜-凤凰仓</v>
      </c>
      <c r="B2543" s="1" t="str">
        <f>"CK2024102614023"</f>
        <v>CK2024102614023</v>
      </c>
      <c r="C2543" s="1" t="str">
        <f>"DD2024102661082"</f>
        <v>DD2024102661082</v>
      </c>
      <c r="D2543" s="1" t="str">
        <f>"CK2024102644620"</f>
        <v>CK2024102644620</v>
      </c>
      <c r="E2543" s="1" t="str">
        <f>"6935503162656430031"</f>
        <v>6935503162656430031</v>
      </c>
      <c r="F2543" s="1" t="str">
        <f t="shared" si="809"/>
        <v>花都四部-凤凰仓</v>
      </c>
      <c r="G2543" s="1" t="str">
        <f t="shared" si="829"/>
        <v>卡卡杜个人护理店（抖店）</v>
      </c>
      <c r="H2543" s="1" t="str">
        <f t="shared" si="810"/>
        <v>正常订单</v>
      </c>
      <c r="I2543" s="1" t="str">
        <f t="shared" si="811"/>
        <v>已发货</v>
      </c>
      <c r="J2543" s="1" t="str">
        <f t="shared" si="831"/>
        <v>3</v>
      </c>
      <c r="K2543" s="1">
        <v>2</v>
      </c>
      <c r="L2543" s="1" t="s">
        <v>13</v>
      </c>
      <c r="M2543" s="1" t="str">
        <f>"江苏省 苏州市 昆山市 玉山镇"</f>
        <v>江苏省 苏州市 昆山市 玉山镇</v>
      </c>
      <c r="N2543" s="1" t="str">
        <f t="shared" si="830"/>
        <v>凡华云仓-城南圆通-抖音</v>
      </c>
      <c r="O2543" s="5" t="s">
        <v>2579</v>
      </c>
      <c r="P2543" s="6">
        <v>0.35</v>
      </c>
      <c r="Q2543" s="11">
        <v>2.2999999999999998</v>
      </c>
      <c r="R2543" s="11"/>
      <c r="S2543" s="11"/>
      <c r="T2543" s="11"/>
      <c r="U2543" s="11">
        <f t="shared" si="805"/>
        <v>2.2999999999999998</v>
      </c>
      <c r="W2543">
        <v>2.5</v>
      </c>
      <c r="X2543" s="1" t="s">
        <v>13</v>
      </c>
    </row>
    <row r="2544" spans="1:24" x14ac:dyDescent="0.25">
      <c r="A2544" s="1" t="str">
        <f t="shared" si="808"/>
        <v>卡卡杜-凤凰仓</v>
      </c>
      <c r="B2544" s="1" t="str">
        <f>"CK2024102614024"</f>
        <v>CK2024102614024</v>
      </c>
      <c r="C2544" s="1" t="str">
        <f>"DD2024102661081"</f>
        <v>DD2024102661081</v>
      </c>
      <c r="D2544" s="1" t="str">
        <f>"CK2024102644619"</f>
        <v>CK2024102644619</v>
      </c>
      <c r="E2544" s="1" t="str">
        <f>"6935500769479103924"</f>
        <v>6935500769479103924</v>
      </c>
      <c r="F2544" s="1" t="str">
        <f t="shared" si="809"/>
        <v>花都四部-凤凰仓</v>
      </c>
      <c r="G2544" s="1" t="str">
        <f t="shared" si="829"/>
        <v>卡卡杜个人护理店（抖店）</v>
      </c>
      <c r="H2544" s="1" t="str">
        <f t="shared" si="810"/>
        <v>正常订单</v>
      </c>
      <c r="I2544" s="1" t="str">
        <f t="shared" si="811"/>
        <v>已发货</v>
      </c>
      <c r="J2544" s="1" t="str">
        <f t="shared" si="831"/>
        <v>3</v>
      </c>
      <c r="K2544" s="1">
        <v>2</v>
      </c>
      <c r="L2544" s="1" t="s">
        <v>13</v>
      </c>
      <c r="M2544" s="1" t="str">
        <f>"江苏省 泰州市 靖江市 城南"</f>
        <v>江苏省 泰州市 靖江市 城南</v>
      </c>
      <c r="N2544" s="1" t="str">
        <f t="shared" si="830"/>
        <v>凡华云仓-城南圆通-抖音</v>
      </c>
      <c r="O2544" s="5" t="s">
        <v>2580</v>
      </c>
      <c r="P2544" s="6">
        <v>0.35</v>
      </c>
      <c r="Q2544" s="11">
        <v>2.2999999999999998</v>
      </c>
      <c r="R2544" s="11"/>
      <c r="S2544" s="11"/>
      <c r="T2544" s="11"/>
      <c r="U2544" s="11">
        <f t="shared" si="805"/>
        <v>2.2999999999999998</v>
      </c>
      <c r="W2544">
        <v>2.5</v>
      </c>
      <c r="X2544" s="1" t="s">
        <v>13</v>
      </c>
    </row>
    <row r="2545" spans="1:24" x14ac:dyDescent="0.25">
      <c r="A2545" s="1" t="str">
        <f t="shared" si="808"/>
        <v>卡卡杜-凤凰仓</v>
      </c>
      <c r="B2545" s="1" t="str">
        <f>"CK2024102614022"</f>
        <v>CK2024102614022</v>
      </c>
      <c r="C2545" s="1" t="str">
        <f>"DD2024102661080"</f>
        <v>DD2024102661080</v>
      </c>
      <c r="D2545" s="1" t="str">
        <f>"CK2024102644618"</f>
        <v>CK2024102644618</v>
      </c>
      <c r="E2545" s="1" t="str">
        <f>"6935505303832827543"</f>
        <v>6935505303832827543</v>
      </c>
      <c r="F2545" s="1" t="str">
        <f t="shared" si="809"/>
        <v>花都四部-凤凰仓</v>
      </c>
      <c r="G2545" s="1" t="str">
        <f t="shared" si="829"/>
        <v>卡卡杜个人护理店（抖店）</v>
      </c>
      <c r="H2545" s="1" t="str">
        <f t="shared" si="810"/>
        <v>正常订单</v>
      </c>
      <c r="I2545" s="1" t="str">
        <f t="shared" si="811"/>
        <v>已发货</v>
      </c>
      <c r="J2545" s="1" t="str">
        <f>"6"</f>
        <v>6</v>
      </c>
      <c r="K2545" s="1">
        <v>2</v>
      </c>
      <c r="L2545" s="1" t="s">
        <v>13</v>
      </c>
      <c r="M2545" s="1" t="str">
        <f>"江苏省 镇江市 丹阳市 "</f>
        <v xml:space="preserve">江苏省 镇江市 丹阳市 </v>
      </c>
      <c r="N2545" s="1" t="str">
        <f t="shared" si="830"/>
        <v>凡华云仓-城南圆通-抖音</v>
      </c>
      <c r="O2545" s="5" t="s">
        <v>2581</v>
      </c>
      <c r="P2545" s="6">
        <v>0.57999999999999996</v>
      </c>
      <c r="Q2545" s="11">
        <f>CEILING(P2545-0.5,0.1)*10*0.15+2.3</f>
        <v>2.4499999999999997</v>
      </c>
      <c r="R2545" s="11"/>
      <c r="S2545" s="11"/>
      <c r="T2545" s="11"/>
      <c r="U2545" s="11">
        <f t="shared" si="805"/>
        <v>2.4499999999999997</v>
      </c>
      <c r="V2545" t="s">
        <v>15</v>
      </c>
      <c r="W2545">
        <v>2.4500000000000002</v>
      </c>
      <c r="X2545" s="1" t="s">
        <v>13</v>
      </c>
    </row>
    <row r="2546" spans="1:24" x14ac:dyDescent="0.25">
      <c r="A2546" s="1" t="str">
        <f t="shared" si="808"/>
        <v>卡卡杜-凤凰仓</v>
      </c>
      <c r="B2546" s="1" t="str">
        <f>"CK2024102614020"</f>
        <v>CK2024102614020</v>
      </c>
      <c r="C2546" s="1" t="str">
        <f>"DD2024102661079"</f>
        <v>DD2024102661079</v>
      </c>
      <c r="D2546" s="1" t="str">
        <f>"CK2024102644617"</f>
        <v>CK2024102644617</v>
      </c>
      <c r="E2546" s="1" t="str">
        <f>"6935489921660294555"</f>
        <v>6935489921660294555</v>
      </c>
      <c r="F2546" s="1" t="str">
        <f t="shared" si="809"/>
        <v>花都四部-凤凰仓</v>
      </c>
      <c r="G2546" s="1" t="str">
        <f t="shared" si="829"/>
        <v>卡卡杜个人护理店（抖店）</v>
      </c>
      <c r="H2546" s="1" t="str">
        <f t="shared" si="810"/>
        <v>正常订单</v>
      </c>
      <c r="I2546" s="1" t="str">
        <f t="shared" si="811"/>
        <v>已发货</v>
      </c>
      <c r="J2546" s="1" t="str">
        <f t="shared" ref="J2546:J2550" si="832">"3"</f>
        <v>3</v>
      </c>
      <c r="K2546" s="1">
        <v>2</v>
      </c>
      <c r="L2546" s="1" t="s">
        <v>94</v>
      </c>
      <c r="M2546" s="1" t="str">
        <f>"湖南省 娄底市 娄星区 万宝镇"</f>
        <v>湖南省 娄底市 娄星区 万宝镇</v>
      </c>
      <c r="N2546" s="1" t="str">
        <f t="shared" si="830"/>
        <v>凡华云仓-城南圆通-抖音</v>
      </c>
      <c r="O2546" s="5" t="s">
        <v>2582</v>
      </c>
      <c r="P2546" s="6">
        <v>0.35</v>
      </c>
      <c r="Q2546" s="11">
        <v>2.2999999999999998</v>
      </c>
      <c r="R2546" s="11"/>
      <c r="S2546" s="11"/>
      <c r="T2546" s="11"/>
      <c r="U2546" s="11">
        <f t="shared" si="805"/>
        <v>2.2999999999999998</v>
      </c>
      <c r="W2546">
        <v>2.5</v>
      </c>
      <c r="X2546" s="1" t="s">
        <v>94</v>
      </c>
    </row>
    <row r="2547" spans="1:24" x14ac:dyDescent="0.25">
      <c r="A2547" s="1" t="str">
        <f t="shared" si="808"/>
        <v>卡卡杜-凤凰仓</v>
      </c>
      <c r="B2547" s="1" t="str">
        <f>"CK2024102614021"</f>
        <v>CK2024102614021</v>
      </c>
      <c r="C2547" s="1" t="str">
        <f>"DD2024102661078"</f>
        <v>DD2024102661078</v>
      </c>
      <c r="D2547" s="1" t="str">
        <f>"CK2024102644616"</f>
        <v>CK2024102644616</v>
      </c>
      <c r="E2547" s="1" t="str">
        <f>"6935493872494777691"</f>
        <v>6935493872494777691</v>
      </c>
      <c r="F2547" s="1" t="str">
        <f t="shared" si="809"/>
        <v>花都四部-凤凰仓</v>
      </c>
      <c r="G2547" s="1" t="str">
        <f t="shared" si="829"/>
        <v>卡卡杜个人护理店（抖店）</v>
      </c>
      <c r="H2547" s="1" t="str">
        <f t="shared" si="810"/>
        <v>正常订单</v>
      </c>
      <c r="I2547" s="1" t="str">
        <f t="shared" si="811"/>
        <v>已发货</v>
      </c>
      <c r="J2547" s="1" t="str">
        <f t="shared" si="832"/>
        <v>3</v>
      </c>
      <c r="K2547" s="1">
        <v>2</v>
      </c>
      <c r="L2547" s="1" t="s">
        <v>13</v>
      </c>
      <c r="M2547" s="1" t="str">
        <f>"江苏省 徐州市 铜山区 铜山街道"</f>
        <v>江苏省 徐州市 铜山区 铜山街道</v>
      </c>
      <c r="N2547" s="1" t="str">
        <f t="shared" si="830"/>
        <v>凡华云仓-城南圆通-抖音</v>
      </c>
      <c r="O2547" s="5" t="s">
        <v>2583</v>
      </c>
      <c r="P2547" s="6">
        <v>0.35</v>
      </c>
      <c r="Q2547" s="11">
        <v>2.2999999999999998</v>
      </c>
      <c r="R2547" s="11"/>
      <c r="S2547" s="11"/>
      <c r="T2547" s="11"/>
      <c r="U2547" s="11">
        <f t="shared" si="805"/>
        <v>2.2999999999999998</v>
      </c>
      <c r="W2547">
        <v>2.5</v>
      </c>
      <c r="X2547" s="1" t="s">
        <v>13</v>
      </c>
    </row>
    <row r="2548" spans="1:24" x14ac:dyDescent="0.25">
      <c r="A2548" s="1" t="str">
        <f t="shared" si="808"/>
        <v>卡卡杜-凤凰仓</v>
      </c>
      <c r="B2548" s="1" t="str">
        <f>"CK2024102614019"</f>
        <v>CK2024102614019</v>
      </c>
      <c r="C2548" s="1" t="str">
        <f>"DD2024102661077"</f>
        <v>DD2024102661077</v>
      </c>
      <c r="D2548" s="1" t="str">
        <f>"CK2024102644615"</f>
        <v>CK2024102644615</v>
      </c>
      <c r="E2548" s="1" t="str">
        <f>"6935496513335531016"</f>
        <v>6935496513335531016</v>
      </c>
      <c r="F2548" s="1" t="str">
        <f t="shared" si="809"/>
        <v>花都四部-凤凰仓</v>
      </c>
      <c r="G2548" s="1" t="str">
        <f t="shared" si="829"/>
        <v>卡卡杜个人护理店（抖店）</v>
      </c>
      <c r="H2548" s="1" t="str">
        <f t="shared" si="810"/>
        <v>正常订单</v>
      </c>
      <c r="I2548" s="1" t="str">
        <f t="shared" si="811"/>
        <v>已发货</v>
      </c>
      <c r="J2548" s="1" t="str">
        <f t="shared" si="832"/>
        <v>3</v>
      </c>
      <c r="K2548" s="1">
        <v>2</v>
      </c>
      <c r="L2548" s="1" t="s">
        <v>13</v>
      </c>
      <c r="M2548" s="1" t="str">
        <f>"江苏省 泰州市 靖江市 城北园区"</f>
        <v>江苏省 泰州市 靖江市 城北园区</v>
      </c>
      <c r="N2548" s="1" t="str">
        <f t="shared" si="830"/>
        <v>凡华云仓-城南圆通-抖音</v>
      </c>
      <c r="O2548" s="5" t="s">
        <v>2584</v>
      </c>
      <c r="P2548" s="6">
        <v>0.35</v>
      </c>
      <c r="Q2548" s="11">
        <v>2.2999999999999998</v>
      </c>
      <c r="R2548" s="11"/>
      <c r="S2548" s="11"/>
      <c r="T2548" s="11"/>
      <c r="U2548" s="11">
        <f t="shared" si="805"/>
        <v>2.2999999999999998</v>
      </c>
      <c r="W2548">
        <v>2.5</v>
      </c>
      <c r="X2548" s="1" t="s">
        <v>13</v>
      </c>
    </row>
    <row r="2549" spans="1:24" x14ac:dyDescent="0.25">
      <c r="A2549" s="1" t="str">
        <f t="shared" si="808"/>
        <v>卡卡杜-凤凰仓</v>
      </c>
      <c r="B2549" s="1" t="str">
        <f>"CK2024102614017"</f>
        <v>CK2024102614017</v>
      </c>
      <c r="C2549" s="1" t="str">
        <f>"DD2024102661076"</f>
        <v>DD2024102661076</v>
      </c>
      <c r="D2549" s="1" t="str">
        <f>"CK2024102644614"</f>
        <v>CK2024102644614</v>
      </c>
      <c r="E2549" s="1" t="str">
        <f>"6935503328165303914"</f>
        <v>6935503328165303914</v>
      </c>
      <c r="F2549" s="1" t="str">
        <f t="shared" si="809"/>
        <v>花都四部-凤凰仓</v>
      </c>
      <c r="G2549" s="1" t="str">
        <f t="shared" si="829"/>
        <v>卡卡杜个人护理店（抖店）</v>
      </c>
      <c r="H2549" s="1" t="str">
        <f t="shared" si="810"/>
        <v>正常订单</v>
      </c>
      <c r="I2549" s="1" t="str">
        <f t="shared" si="811"/>
        <v>已发货</v>
      </c>
      <c r="J2549" s="1" t="str">
        <f t="shared" si="832"/>
        <v>3</v>
      </c>
      <c r="K2549" s="1">
        <v>2</v>
      </c>
      <c r="L2549" s="1" t="s">
        <v>109</v>
      </c>
      <c r="M2549" s="1" t="str">
        <f>"山西省 太原市 小店区 黄陵街道"</f>
        <v>山西省 太原市 小店区 黄陵街道</v>
      </c>
      <c r="N2549" s="1" t="str">
        <f t="shared" si="830"/>
        <v>凡华云仓-城南圆通-抖音</v>
      </c>
      <c r="O2549" s="5" t="s">
        <v>2585</v>
      </c>
      <c r="P2549" s="6">
        <v>0.35</v>
      </c>
      <c r="Q2549" s="11">
        <v>2.2999999999999998</v>
      </c>
      <c r="R2549" s="11"/>
      <c r="S2549" s="11"/>
      <c r="T2549" s="11"/>
      <c r="U2549" s="11">
        <f t="shared" si="805"/>
        <v>2.2999999999999998</v>
      </c>
      <c r="W2549">
        <v>2.5</v>
      </c>
      <c r="X2549" s="1" t="s">
        <v>109</v>
      </c>
    </row>
    <row r="2550" spans="1:24" x14ac:dyDescent="0.25">
      <c r="A2550" s="1" t="str">
        <f t="shared" si="808"/>
        <v>卡卡杜-凤凰仓</v>
      </c>
      <c r="B2550" s="1" t="str">
        <f>"CK2024102614018"</f>
        <v>CK2024102614018</v>
      </c>
      <c r="C2550" s="1" t="str">
        <f>"DD2024102661075"</f>
        <v>DD2024102661075</v>
      </c>
      <c r="D2550" s="1" t="str">
        <f>"CK2024102644613"</f>
        <v>CK2024102644613</v>
      </c>
      <c r="E2550" s="1" t="str">
        <f>"6935505281966609925"</f>
        <v>6935505281966609925</v>
      </c>
      <c r="F2550" s="1" t="str">
        <f t="shared" si="809"/>
        <v>花都四部-凤凰仓</v>
      </c>
      <c r="G2550" s="1" t="str">
        <f t="shared" si="829"/>
        <v>卡卡杜个人护理店（抖店）</v>
      </c>
      <c r="H2550" s="1" t="str">
        <f t="shared" si="810"/>
        <v>正常订单</v>
      </c>
      <c r="I2550" s="1" t="str">
        <f t="shared" si="811"/>
        <v>已发货</v>
      </c>
      <c r="J2550" s="1" t="str">
        <f t="shared" si="832"/>
        <v>3</v>
      </c>
      <c r="K2550" s="1">
        <v>2</v>
      </c>
      <c r="L2550" s="1" t="s">
        <v>74</v>
      </c>
      <c r="M2550" s="1" t="str">
        <f>"上海 上海市 闵行区 虹桥镇"</f>
        <v>上海 上海市 闵行区 虹桥镇</v>
      </c>
      <c r="N2550" s="1" t="str">
        <f t="shared" si="830"/>
        <v>凡华云仓-城南圆通-抖音</v>
      </c>
      <c r="O2550" s="5" t="s">
        <v>2586</v>
      </c>
      <c r="P2550" s="6">
        <v>0.35</v>
      </c>
      <c r="Q2550" s="11">
        <v>2.2999999999999998</v>
      </c>
      <c r="R2550" s="11"/>
      <c r="S2550" s="11"/>
      <c r="T2550" s="11"/>
      <c r="U2550" s="11">
        <f t="shared" si="805"/>
        <v>2.2999999999999998</v>
      </c>
      <c r="W2550">
        <v>2.5</v>
      </c>
      <c r="X2550" s="1" t="s">
        <v>74</v>
      </c>
    </row>
    <row r="2551" spans="1:24" x14ac:dyDescent="0.25">
      <c r="A2551" s="1" t="str">
        <f t="shared" si="808"/>
        <v>卡卡杜-凤凰仓</v>
      </c>
      <c r="B2551" s="1" t="str">
        <f>"CK2024102614016"</f>
        <v>CK2024102614016</v>
      </c>
      <c r="C2551" s="1" t="str">
        <f>"DD2024102661074"</f>
        <v>DD2024102661074</v>
      </c>
      <c r="D2551" s="1" t="str">
        <f>"CK2024102644612"</f>
        <v>CK2024102644612</v>
      </c>
      <c r="E2551" s="1" t="str">
        <f>"2430001767872478"</f>
        <v>2430001767872478</v>
      </c>
      <c r="F2551" s="1" t="str">
        <f t="shared" si="809"/>
        <v>花都四部-凤凰仓</v>
      </c>
      <c r="G2551" s="1" t="str">
        <f t="shared" ref="G2551:G2554" si="833">"卡卡杜佳旺专卖店（快手店）"</f>
        <v>卡卡杜佳旺专卖店（快手店）</v>
      </c>
      <c r="H2551" s="1" t="str">
        <f t="shared" si="810"/>
        <v>正常订单</v>
      </c>
      <c r="I2551" s="1" t="str">
        <f t="shared" si="811"/>
        <v>已发货</v>
      </c>
      <c r="J2551" s="1" t="str">
        <f>"5"</f>
        <v>5</v>
      </c>
      <c r="K2551" s="1">
        <v>2</v>
      </c>
      <c r="L2551" s="1" t="s">
        <v>36</v>
      </c>
      <c r="M2551" s="1" t="str">
        <f>"安徽省 芜湖市 无为市 高沟镇"</f>
        <v>安徽省 芜湖市 无为市 高沟镇</v>
      </c>
      <c r="N2551" s="1" t="str">
        <f t="shared" ref="N2551:N2554" si="834">"凡华云仓-城南圆通-快手"</f>
        <v>凡华云仓-城南圆通-快手</v>
      </c>
      <c r="O2551" s="5" t="s">
        <v>2587</v>
      </c>
      <c r="P2551" s="6">
        <v>0.59</v>
      </c>
      <c r="Q2551" s="11">
        <f>CEILING(P2551-0.5,0.1)*10*0.15+2.3</f>
        <v>2.4499999999999997</v>
      </c>
      <c r="R2551" s="11"/>
      <c r="S2551" s="11"/>
      <c r="T2551" s="11"/>
      <c r="U2551" s="11">
        <f t="shared" si="805"/>
        <v>2.4499999999999997</v>
      </c>
      <c r="V2551" t="s">
        <v>15</v>
      </c>
      <c r="W2551">
        <v>2.4500000000000002</v>
      </c>
      <c r="X2551" s="1" t="s">
        <v>36</v>
      </c>
    </row>
    <row r="2552" spans="1:24" x14ac:dyDescent="0.25">
      <c r="A2552" s="1" t="str">
        <f t="shared" si="808"/>
        <v>卡卡杜-凤凰仓</v>
      </c>
      <c r="B2552" s="1" t="str">
        <f>"CK2024102614015"</f>
        <v>CK2024102614015</v>
      </c>
      <c r="C2552" s="1" t="str">
        <f>"DD2024102661073"</f>
        <v>DD2024102661073</v>
      </c>
      <c r="D2552" s="1" t="str">
        <f>"CK2024102644611"</f>
        <v>CK2024102644611</v>
      </c>
      <c r="E2552" s="1" t="str">
        <f>"6935498873822582500"</f>
        <v>6935498873822582500</v>
      </c>
      <c r="F2552" s="1" t="str">
        <f t="shared" si="809"/>
        <v>花都四部-凤凰仓</v>
      </c>
      <c r="G2552" s="1" t="str">
        <f t="shared" ref="G2552:G2556" si="835">"卡卡杜个人护理店（抖店）"</f>
        <v>卡卡杜个人护理店（抖店）</v>
      </c>
      <c r="H2552" s="1" t="str">
        <f t="shared" si="810"/>
        <v>正常订单</v>
      </c>
      <c r="I2552" s="1" t="str">
        <f t="shared" si="811"/>
        <v>已发货</v>
      </c>
      <c r="J2552" s="1" t="str">
        <f t="shared" ref="J2552:J2559" si="836">"3"</f>
        <v>3</v>
      </c>
      <c r="K2552" s="1">
        <v>2</v>
      </c>
      <c r="L2552" s="1" t="s">
        <v>20</v>
      </c>
      <c r="M2552" s="1" t="str">
        <f>"浙江省 台州市 温岭市 泽国镇"</f>
        <v>浙江省 台州市 温岭市 泽国镇</v>
      </c>
      <c r="N2552" s="1" t="str">
        <f t="shared" ref="N2552:N2556" si="837">"凡华云仓-城南圆通-抖音"</f>
        <v>凡华云仓-城南圆通-抖音</v>
      </c>
      <c r="O2552" s="5" t="s">
        <v>2588</v>
      </c>
      <c r="P2552" s="6">
        <v>0.35</v>
      </c>
      <c r="Q2552" s="11">
        <v>2.2999999999999998</v>
      </c>
      <c r="R2552" s="11"/>
      <c r="S2552" s="11"/>
      <c r="T2552" s="11"/>
      <c r="U2552" s="11">
        <f t="shared" si="805"/>
        <v>2.2999999999999998</v>
      </c>
      <c r="W2552">
        <v>2.5</v>
      </c>
      <c r="X2552" s="1" t="s">
        <v>20</v>
      </c>
    </row>
    <row r="2553" spans="1:24" x14ac:dyDescent="0.25">
      <c r="A2553" s="1" t="str">
        <f t="shared" si="808"/>
        <v>卡卡杜-凤凰仓</v>
      </c>
      <c r="B2553" s="1" t="str">
        <f>"CK2024102614014"</f>
        <v>CK2024102614014</v>
      </c>
      <c r="C2553" s="1" t="str">
        <f>"DD2024102661072"</f>
        <v>DD2024102661072</v>
      </c>
      <c r="D2553" s="1" t="str">
        <f>"CK2024102644610"</f>
        <v>CK2024102644610</v>
      </c>
      <c r="E2553" s="1" t="str">
        <f>"2430002333378243"</f>
        <v>2430002333378243</v>
      </c>
      <c r="F2553" s="1" t="str">
        <f t="shared" si="809"/>
        <v>花都四部-凤凰仓</v>
      </c>
      <c r="G2553" s="1" t="str">
        <f t="shared" si="833"/>
        <v>卡卡杜佳旺专卖店（快手店）</v>
      </c>
      <c r="H2553" s="1" t="str">
        <f t="shared" si="810"/>
        <v>正常订单</v>
      </c>
      <c r="I2553" s="1" t="str">
        <f t="shared" si="811"/>
        <v>已发货</v>
      </c>
      <c r="J2553" s="1" t="str">
        <f t="shared" si="836"/>
        <v>3</v>
      </c>
      <c r="K2553" s="1">
        <v>2</v>
      </c>
      <c r="L2553" s="1" t="s">
        <v>41</v>
      </c>
      <c r="M2553" s="1" t="str">
        <f>"湖北省 荆门市 钟祥市 双河镇"</f>
        <v>湖北省 荆门市 钟祥市 双河镇</v>
      </c>
      <c r="N2553" s="1" t="str">
        <f t="shared" si="834"/>
        <v>凡华云仓-城南圆通-快手</v>
      </c>
      <c r="O2553" s="5" t="s">
        <v>2589</v>
      </c>
      <c r="P2553" s="6">
        <v>0.35</v>
      </c>
      <c r="Q2553" s="11">
        <v>2.2999999999999998</v>
      </c>
      <c r="R2553" s="11"/>
      <c r="S2553" s="11"/>
      <c r="T2553" s="11"/>
      <c r="U2553" s="11">
        <f t="shared" si="805"/>
        <v>2.2999999999999998</v>
      </c>
      <c r="W2553">
        <v>2.5</v>
      </c>
      <c r="X2553" s="1" t="s">
        <v>41</v>
      </c>
    </row>
    <row r="2554" spans="1:24" x14ac:dyDescent="0.25">
      <c r="A2554" s="1" t="str">
        <f t="shared" si="808"/>
        <v>卡卡杜-凤凰仓</v>
      </c>
      <c r="B2554" s="1" t="str">
        <f>"CK2024102614013"</f>
        <v>CK2024102614013</v>
      </c>
      <c r="C2554" s="1" t="str">
        <f>"DD2024102661071"</f>
        <v>DD2024102661071</v>
      </c>
      <c r="D2554" s="1" t="str">
        <f>"CK2024102644609"</f>
        <v>CK2024102644609</v>
      </c>
      <c r="E2554" s="1" t="str">
        <f>"2430002325457298"</f>
        <v>2430002325457298</v>
      </c>
      <c r="F2554" s="1" t="str">
        <f t="shared" si="809"/>
        <v>花都四部-凤凰仓</v>
      </c>
      <c r="G2554" s="1" t="str">
        <f t="shared" si="833"/>
        <v>卡卡杜佳旺专卖店（快手店）</v>
      </c>
      <c r="H2554" s="1" t="str">
        <f t="shared" si="810"/>
        <v>正常订单</v>
      </c>
      <c r="I2554" s="1" t="str">
        <f t="shared" si="811"/>
        <v>已发货</v>
      </c>
      <c r="J2554" s="1" t="str">
        <f>"5"</f>
        <v>5</v>
      </c>
      <c r="K2554" s="1">
        <v>2</v>
      </c>
      <c r="L2554" s="1" t="s">
        <v>16</v>
      </c>
      <c r="M2554" s="1" t="str">
        <f>"河北省 唐山市 路北区 唐山高新技术产业开发区"</f>
        <v>河北省 唐山市 路北区 唐山高新技术产业开发区</v>
      </c>
      <c r="N2554" s="1" t="str">
        <f t="shared" si="834"/>
        <v>凡华云仓-城南圆通-快手</v>
      </c>
      <c r="O2554" s="5" t="s">
        <v>2590</v>
      </c>
      <c r="P2554" s="6">
        <v>0.59</v>
      </c>
      <c r="Q2554" s="11">
        <f>CEILING(P2554-0.5,0.1)*10*0.15+2.3</f>
        <v>2.4499999999999997</v>
      </c>
      <c r="R2554" s="11"/>
      <c r="S2554" s="11"/>
      <c r="T2554" s="11"/>
      <c r="U2554" s="11">
        <f t="shared" si="805"/>
        <v>2.4499999999999997</v>
      </c>
      <c r="V2554" t="s">
        <v>15</v>
      </c>
      <c r="W2554">
        <v>2.4500000000000002</v>
      </c>
      <c r="X2554" s="1" t="s">
        <v>16</v>
      </c>
    </row>
    <row r="2555" spans="1:24" x14ac:dyDescent="0.25">
      <c r="A2555" s="1" t="str">
        <f t="shared" si="808"/>
        <v>卡卡杜-凤凰仓</v>
      </c>
      <c r="B2555" s="1" t="str">
        <f>"CK2024102614012"</f>
        <v>CK2024102614012</v>
      </c>
      <c r="C2555" s="1" t="str">
        <f>"DD2024102661070"</f>
        <v>DD2024102661070</v>
      </c>
      <c r="D2555" s="1" t="str">
        <f>"CK2024102644608"</f>
        <v>CK2024102644608</v>
      </c>
      <c r="E2555" s="1" t="str">
        <f>"6935516381959099755"</f>
        <v>6935516381959099755</v>
      </c>
      <c r="F2555" s="1" t="str">
        <f t="shared" si="809"/>
        <v>花都四部-凤凰仓</v>
      </c>
      <c r="G2555" s="1" t="str">
        <f t="shared" si="835"/>
        <v>卡卡杜个人护理店（抖店）</v>
      </c>
      <c r="H2555" s="1" t="str">
        <f t="shared" si="810"/>
        <v>正常订单</v>
      </c>
      <c r="I2555" s="1" t="str">
        <f t="shared" si="811"/>
        <v>已发货</v>
      </c>
      <c r="J2555" s="1" t="str">
        <f t="shared" si="836"/>
        <v>3</v>
      </c>
      <c r="K2555" s="1">
        <v>2</v>
      </c>
      <c r="L2555" s="1" t="s">
        <v>74</v>
      </c>
      <c r="M2555" s="1" t="str">
        <f>"上海 上海市 嘉定区 嘉定工业区"</f>
        <v>上海 上海市 嘉定区 嘉定工业区</v>
      </c>
      <c r="N2555" s="1" t="str">
        <f t="shared" si="837"/>
        <v>凡华云仓-城南圆通-抖音</v>
      </c>
      <c r="O2555" s="5" t="s">
        <v>2591</v>
      </c>
      <c r="P2555" s="6">
        <v>0.35</v>
      </c>
      <c r="Q2555" s="11">
        <v>2.2999999999999998</v>
      </c>
      <c r="R2555" s="11"/>
      <c r="S2555" s="11"/>
      <c r="T2555" s="11"/>
      <c r="U2555" s="11">
        <f t="shared" si="805"/>
        <v>2.2999999999999998</v>
      </c>
      <c r="W2555">
        <v>2.5</v>
      </c>
      <c r="X2555" s="1" t="s">
        <v>74</v>
      </c>
    </row>
    <row r="2556" spans="1:24" x14ac:dyDescent="0.25">
      <c r="A2556" s="1" t="str">
        <f t="shared" si="808"/>
        <v>卡卡杜-凤凰仓</v>
      </c>
      <c r="B2556" s="1" t="str">
        <f>"CK2024102614010"</f>
        <v>CK2024102614010</v>
      </c>
      <c r="C2556" s="1" t="str">
        <f>"DD2024102661069"</f>
        <v>DD2024102661069</v>
      </c>
      <c r="D2556" s="1" t="str">
        <f>"CK2024102644607"</f>
        <v>CK2024102644607</v>
      </c>
      <c r="E2556" s="1" t="str">
        <f>"6935500974118147860"</f>
        <v>6935500974118147860</v>
      </c>
      <c r="F2556" s="1" t="str">
        <f t="shared" si="809"/>
        <v>花都四部-凤凰仓</v>
      </c>
      <c r="G2556" s="1" t="str">
        <f t="shared" si="835"/>
        <v>卡卡杜个人护理店（抖店）</v>
      </c>
      <c r="H2556" s="1" t="str">
        <f t="shared" si="810"/>
        <v>正常订单</v>
      </c>
      <c r="I2556" s="1" t="str">
        <f t="shared" si="811"/>
        <v>已发货</v>
      </c>
      <c r="J2556" s="1" t="str">
        <f t="shared" si="836"/>
        <v>3</v>
      </c>
      <c r="K2556" s="1">
        <v>2</v>
      </c>
      <c r="L2556" s="1" t="s">
        <v>44</v>
      </c>
      <c r="M2556" s="1" t="str">
        <f>"海南省 屯昌县 屯昌县 南坤镇"</f>
        <v>海南省 屯昌县 屯昌县 南坤镇</v>
      </c>
      <c r="N2556" s="1" t="str">
        <f t="shared" si="837"/>
        <v>凡华云仓-城南圆通-抖音</v>
      </c>
      <c r="O2556" s="5" t="s">
        <v>2592</v>
      </c>
      <c r="P2556" s="6">
        <v>0.35</v>
      </c>
      <c r="Q2556" s="11">
        <v>2.2999999999999998</v>
      </c>
      <c r="R2556" s="11"/>
      <c r="S2556" s="11"/>
      <c r="T2556" s="11"/>
      <c r="U2556" s="11">
        <f t="shared" si="805"/>
        <v>2.2999999999999998</v>
      </c>
      <c r="W2556">
        <v>2.5</v>
      </c>
      <c r="X2556" s="1" t="s">
        <v>44</v>
      </c>
    </row>
    <row r="2557" spans="1:24" x14ac:dyDescent="0.25">
      <c r="A2557" s="1" t="str">
        <f t="shared" si="808"/>
        <v>卡卡杜-凤凰仓</v>
      </c>
      <c r="B2557" s="1" t="str">
        <f>"CK2024102614011"</f>
        <v>CK2024102614011</v>
      </c>
      <c r="C2557" s="1" t="str">
        <f>"DD2024102661068"</f>
        <v>DD2024102661068</v>
      </c>
      <c r="D2557" s="1" t="str">
        <f>"CK2024102644606"</f>
        <v>CK2024102644606</v>
      </c>
      <c r="E2557" s="1" t="str">
        <f>"2430002326362661"</f>
        <v>2430002326362661</v>
      </c>
      <c r="F2557" s="1" t="str">
        <f t="shared" si="809"/>
        <v>花都四部-凤凰仓</v>
      </c>
      <c r="G2557" s="1" t="str">
        <f>"卡卡杜佳旺专卖店（快手店）"</f>
        <v>卡卡杜佳旺专卖店（快手店）</v>
      </c>
      <c r="H2557" s="1" t="str">
        <f t="shared" si="810"/>
        <v>正常订单</v>
      </c>
      <c r="I2557" s="1" t="str">
        <f t="shared" si="811"/>
        <v>已发货</v>
      </c>
      <c r="J2557" s="1" t="str">
        <f t="shared" si="836"/>
        <v>3</v>
      </c>
      <c r="K2557" s="1">
        <v>2</v>
      </c>
      <c r="L2557" s="1" t="s">
        <v>13</v>
      </c>
      <c r="M2557" s="1" t="str">
        <f>"江苏省 苏州市 吴江区 黎里镇"</f>
        <v>江苏省 苏州市 吴江区 黎里镇</v>
      </c>
      <c r="N2557" s="1" t="str">
        <f>"凡华云仓-城南圆通-快手"</f>
        <v>凡华云仓-城南圆通-快手</v>
      </c>
      <c r="O2557" s="5" t="s">
        <v>2593</v>
      </c>
      <c r="P2557" s="6">
        <v>0.35</v>
      </c>
      <c r="Q2557" s="11">
        <v>2.2999999999999998</v>
      </c>
      <c r="R2557" s="11"/>
      <c r="S2557" s="11"/>
      <c r="T2557" s="11"/>
      <c r="U2557" s="11">
        <f t="shared" si="805"/>
        <v>2.2999999999999998</v>
      </c>
      <c r="W2557">
        <v>2.5</v>
      </c>
      <c r="X2557" s="1" t="s">
        <v>13</v>
      </c>
    </row>
    <row r="2558" spans="1:24" x14ac:dyDescent="0.25">
      <c r="A2558" s="1" t="str">
        <f t="shared" si="808"/>
        <v>卡卡杜-凤凰仓</v>
      </c>
      <c r="B2558" s="1" t="str">
        <f>"CK2024102614009"</f>
        <v>CK2024102614009</v>
      </c>
      <c r="C2558" s="1" t="str">
        <f>"DD2024102661067"</f>
        <v>DD2024102661067</v>
      </c>
      <c r="D2558" s="1" t="str">
        <f>"CK2024102644605"</f>
        <v>CK2024102644605</v>
      </c>
      <c r="E2558" s="1" t="str">
        <f>"6935489927653955131"</f>
        <v>6935489927653955131</v>
      </c>
      <c r="F2558" s="1" t="str">
        <f t="shared" si="809"/>
        <v>花都四部-凤凰仓</v>
      </c>
      <c r="G2558" s="1" t="str">
        <f>"卡卡杜个人护理店（抖店）"</f>
        <v>卡卡杜个人护理店（抖店）</v>
      </c>
      <c r="H2558" s="1" t="str">
        <f t="shared" si="810"/>
        <v>正常订单</v>
      </c>
      <c r="I2558" s="1" t="str">
        <f t="shared" si="811"/>
        <v>已发货</v>
      </c>
      <c r="J2558" s="1" t="str">
        <f t="shared" si="836"/>
        <v>3</v>
      </c>
      <c r="K2558" s="1">
        <v>2</v>
      </c>
      <c r="L2558" s="1" t="s">
        <v>20</v>
      </c>
      <c r="M2558" s="1" t="str">
        <f>"浙江省 宁波市 江北区 庄桥街道"</f>
        <v>浙江省 宁波市 江北区 庄桥街道</v>
      </c>
      <c r="N2558" s="1" t="str">
        <f>"凡华云仓-城南圆通-抖音"</f>
        <v>凡华云仓-城南圆通-抖音</v>
      </c>
      <c r="O2558" s="5" t="s">
        <v>2594</v>
      </c>
      <c r="P2558" s="6">
        <v>0.35</v>
      </c>
      <c r="Q2558" s="11">
        <v>2.2999999999999998</v>
      </c>
      <c r="R2558" s="11"/>
      <c r="S2558" s="11"/>
      <c r="T2558" s="11"/>
      <c r="U2558" s="11">
        <f t="shared" si="805"/>
        <v>2.2999999999999998</v>
      </c>
      <c r="W2558">
        <v>2.5</v>
      </c>
      <c r="X2558" s="1" t="s">
        <v>20</v>
      </c>
    </row>
    <row r="2559" spans="1:24" x14ac:dyDescent="0.25">
      <c r="A2559" s="1" t="str">
        <f t="shared" si="808"/>
        <v>卡卡杜-凤凰仓</v>
      </c>
      <c r="B2559" s="1" t="str">
        <f>"CK2024102614008"</f>
        <v>CK2024102614008</v>
      </c>
      <c r="C2559" s="1" t="str">
        <f>"DD2024102661066"</f>
        <v>DD2024102661066</v>
      </c>
      <c r="D2559" s="1" t="str">
        <f>"CK2024102644604"</f>
        <v>CK2024102644604</v>
      </c>
      <c r="E2559" s="1" t="str">
        <f>"6935507617395971103"</f>
        <v>6935507617395971103</v>
      </c>
      <c r="F2559" s="1" t="str">
        <f t="shared" si="809"/>
        <v>花都四部-凤凰仓</v>
      </c>
      <c r="G2559" s="1" t="str">
        <f>"卡卡杜个人护理店（抖店）"</f>
        <v>卡卡杜个人护理店（抖店）</v>
      </c>
      <c r="H2559" s="1" t="str">
        <f t="shared" si="810"/>
        <v>正常订单</v>
      </c>
      <c r="I2559" s="1" t="str">
        <f t="shared" si="811"/>
        <v>已发货</v>
      </c>
      <c r="J2559" s="1" t="str">
        <f t="shared" si="836"/>
        <v>3</v>
      </c>
      <c r="K2559" s="1">
        <v>2</v>
      </c>
      <c r="L2559" s="1" t="s">
        <v>94</v>
      </c>
      <c r="M2559" s="1" t="str">
        <f>"湖南省 衡阳市 雁峰区 黄茶岭街道"</f>
        <v>湖南省 衡阳市 雁峰区 黄茶岭街道</v>
      </c>
      <c r="N2559" s="1" t="str">
        <f>"凡华云仓-城南圆通-抖音"</f>
        <v>凡华云仓-城南圆通-抖音</v>
      </c>
      <c r="O2559" s="5" t="s">
        <v>2595</v>
      </c>
      <c r="P2559" s="6">
        <v>0.35</v>
      </c>
      <c r="Q2559" s="11">
        <v>2.2999999999999998</v>
      </c>
      <c r="R2559" s="11"/>
      <c r="S2559" s="11"/>
      <c r="T2559" s="11"/>
      <c r="U2559" s="11">
        <f t="shared" si="805"/>
        <v>2.2999999999999998</v>
      </c>
      <c r="W2559">
        <v>2.5</v>
      </c>
      <c r="X2559" s="1" t="s">
        <v>94</v>
      </c>
    </row>
    <row r="2560" spans="1:24" x14ac:dyDescent="0.25">
      <c r="A2560" s="1" t="str">
        <f t="shared" si="808"/>
        <v>卡卡杜-凤凰仓</v>
      </c>
      <c r="B2560" s="1" t="str">
        <f>"CK2024102614004"</f>
        <v>CK2024102614004</v>
      </c>
      <c r="C2560" s="1" t="str">
        <f>"DD2024102661061"</f>
        <v>DD2024102661061</v>
      </c>
      <c r="D2560" s="1" t="str">
        <f>"CK2024102644599"</f>
        <v>CK2024102644599</v>
      </c>
      <c r="E2560" s="1" t="str">
        <f>"20241026QXYP004"</f>
        <v>20241026QXYP004</v>
      </c>
      <c r="F2560" s="1" t="str">
        <f t="shared" si="809"/>
        <v>花都四部-凤凰仓</v>
      </c>
      <c r="G2560" s="1" t="str">
        <f>"卡卡杜全欣样品"</f>
        <v>卡卡杜全欣样品</v>
      </c>
      <c r="H2560" s="1" t="str">
        <f t="shared" si="810"/>
        <v>正常订单</v>
      </c>
      <c r="I2560" s="1" t="str">
        <f t="shared" si="811"/>
        <v>已发货</v>
      </c>
      <c r="J2560" s="1" t="str">
        <f>"7"</f>
        <v>7</v>
      </c>
      <c r="K2560" s="1">
        <v>4</v>
      </c>
      <c r="L2560" s="1" t="s">
        <v>18</v>
      </c>
      <c r="M2560" s="1" t="str">
        <f>"广东省 深圳市 南山区 "</f>
        <v xml:space="preserve">广东省 深圳市 南山区 </v>
      </c>
      <c r="N2560" s="1" t="str">
        <f>"凡华云仓-城南圆通-淘宝"</f>
        <v>凡华云仓-城南圆通-淘宝</v>
      </c>
      <c r="O2560" s="3" t="s">
        <v>2596</v>
      </c>
      <c r="P2560" s="6">
        <v>0.78</v>
      </c>
      <c r="Q2560" s="11">
        <f>CEILING(P2560-0.5,0.1)*10*0.15+2.3</f>
        <v>2.75</v>
      </c>
      <c r="R2560" s="11"/>
      <c r="S2560" s="11">
        <v>0.15</v>
      </c>
      <c r="T2560" s="11"/>
      <c r="U2560" s="11">
        <f t="shared" si="805"/>
        <v>2.9</v>
      </c>
      <c r="V2560" t="s">
        <v>15</v>
      </c>
      <c r="W2560">
        <v>2.9</v>
      </c>
      <c r="X2560" s="1" t="s">
        <v>18</v>
      </c>
    </row>
    <row r="2561" spans="1:24" x14ac:dyDescent="0.25">
      <c r="A2561" s="1" t="str">
        <f t="shared" si="808"/>
        <v>卡卡杜-凤凰仓</v>
      </c>
      <c r="B2561" s="1" t="str">
        <f>"CK202410267007"</f>
        <v>CK202410267007</v>
      </c>
      <c r="C2561" s="1" t="str">
        <f>"DD2024102646145"</f>
        <v>DD2024102646145</v>
      </c>
      <c r="D2561" s="1" t="str">
        <f>"CK2024102632253"</f>
        <v>CK2024102632253</v>
      </c>
      <c r="E2561" s="1" t="str">
        <f>"3723574703177470976"</f>
        <v>3723574703177470976</v>
      </c>
      <c r="F2561" s="1" t="str">
        <f t="shared" si="809"/>
        <v>花都四部-凤凰仓</v>
      </c>
      <c r="G2561" s="1" t="str">
        <f t="shared" ref="G2561:G2572" si="838">"卡卡杜企业店（视频号）"</f>
        <v>卡卡杜企业店（视频号）</v>
      </c>
      <c r="H2561" s="1" t="str">
        <f t="shared" si="810"/>
        <v>正常订单</v>
      </c>
      <c r="I2561" s="1" t="str">
        <f t="shared" si="811"/>
        <v>已发货</v>
      </c>
      <c r="J2561" s="1" t="str">
        <f t="shared" ref="J2561:J2571" si="839">"3"</f>
        <v>3</v>
      </c>
      <c r="K2561" s="1">
        <v>2</v>
      </c>
      <c r="L2561" s="1" t="s">
        <v>30</v>
      </c>
      <c r="M2561" s="1" t="str">
        <f>"山东省 烟台市 福山区 "</f>
        <v xml:space="preserve">山东省 烟台市 福山区 </v>
      </c>
      <c r="N2561" s="1" t="str">
        <f t="shared" ref="N2561:N2572" si="840">"凡华云仓-城南圆通-微信视频号"</f>
        <v>凡华云仓-城南圆通-微信视频号</v>
      </c>
      <c r="O2561" s="5" t="s">
        <v>2597</v>
      </c>
      <c r="P2561" s="6">
        <v>0.35</v>
      </c>
      <c r="Q2561" s="11">
        <v>2.2999999999999998</v>
      </c>
      <c r="R2561" s="11"/>
      <c r="S2561" s="11"/>
      <c r="T2561" s="11"/>
      <c r="U2561" s="11">
        <f t="shared" si="805"/>
        <v>2.2999999999999998</v>
      </c>
      <c r="W2561">
        <v>2.5</v>
      </c>
      <c r="X2561" s="1" t="s">
        <v>30</v>
      </c>
    </row>
    <row r="2562" spans="1:24" x14ac:dyDescent="0.25">
      <c r="A2562" s="1" t="str">
        <f t="shared" si="808"/>
        <v>卡卡杜-凤凰仓</v>
      </c>
      <c r="B2562" s="1" t="str">
        <f>"CK202410267043"</f>
        <v>CK202410267043</v>
      </c>
      <c r="C2562" s="1" t="str">
        <f>"DD2024102646179"</f>
        <v>DD2024102646179</v>
      </c>
      <c r="D2562" s="1" t="str">
        <f>"CK2024102632252"</f>
        <v>CK2024102632252</v>
      </c>
      <c r="E2562" s="1" t="str">
        <f>"3723574394676970752"</f>
        <v>3723574394676970752</v>
      </c>
      <c r="F2562" s="1" t="str">
        <f t="shared" si="809"/>
        <v>花都四部-凤凰仓</v>
      </c>
      <c r="G2562" s="1" t="str">
        <f t="shared" si="838"/>
        <v>卡卡杜企业店（视频号）</v>
      </c>
      <c r="H2562" s="1" t="str">
        <f t="shared" si="810"/>
        <v>正常订单</v>
      </c>
      <c r="I2562" s="1" t="str">
        <f t="shared" si="811"/>
        <v>已发货</v>
      </c>
      <c r="J2562" s="1" t="str">
        <f>"5"</f>
        <v>5</v>
      </c>
      <c r="K2562" s="1">
        <v>3</v>
      </c>
      <c r="L2562" s="1" t="s">
        <v>74</v>
      </c>
      <c r="M2562" s="1" t="str">
        <f>"上海 上海市 静安区 "</f>
        <v xml:space="preserve">上海 上海市 静安区 </v>
      </c>
      <c r="N2562" s="1" t="str">
        <f t="shared" si="840"/>
        <v>凡华云仓-城南圆通-微信视频号</v>
      </c>
      <c r="O2562" s="5" t="s">
        <v>2598</v>
      </c>
      <c r="P2562" s="6">
        <v>0.56000000000000005</v>
      </c>
      <c r="Q2562" s="11">
        <f>CEILING(P2562-0.5,0.1)*10*0.15+2.3</f>
        <v>2.4499999999999997</v>
      </c>
      <c r="R2562" s="11"/>
      <c r="S2562" s="11"/>
      <c r="T2562" s="11"/>
      <c r="U2562" s="11">
        <f t="shared" si="805"/>
        <v>2.4499999999999997</v>
      </c>
      <c r="V2562" t="s">
        <v>15</v>
      </c>
      <c r="W2562">
        <v>2.4500000000000002</v>
      </c>
      <c r="X2562" s="1" t="s">
        <v>74</v>
      </c>
    </row>
    <row r="2563" spans="1:24" x14ac:dyDescent="0.25">
      <c r="A2563" s="1" t="str">
        <f t="shared" si="808"/>
        <v>卡卡杜-凤凰仓</v>
      </c>
      <c r="B2563" s="1" t="str">
        <f>"CK202410267032"</f>
        <v>CK202410267032</v>
      </c>
      <c r="C2563" s="1" t="str">
        <f>"DD2024102646169"</f>
        <v>DD2024102646169</v>
      </c>
      <c r="D2563" s="1" t="str">
        <f>"CK2024102632251"</f>
        <v>CK2024102632251</v>
      </c>
      <c r="E2563" s="1" t="str">
        <f>"3723571596503418112"</f>
        <v>3723571596503418112</v>
      </c>
      <c r="F2563" s="1" t="str">
        <f t="shared" si="809"/>
        <v>花都四部-凤凰仓</v>
      </c>
      <c r="G2563" s="1" t="str">
        <f t="shared" si="838"/>
        <v>卡卡杜企业店（视频号）</v>
      </c>
      <c r="H2563" s="1" t="str">
        <f t="shared" si="810"/>
        <v>正常订单</v>
      </c>
      <c r="I2563" s="1" t="str">
        <f t="shared" si="811"/>
        <v>已发货</v>
      </c>
      <c r="J2563" s="1" t="str">
        <f t="shared" si="839"/>
        <v>3</v>
      </c>
      <c r="K2563" s="1">
        <v>2</v>
      </c>
      <c r="L2563" s="1" t="s">
        <v>32</v>
      </c>
      <c r="M2563" s="1" t="str">
        <f>"陕西省 咸阳市 兴平市 "</f>
        <v xml:space="preserve">陕西省 咸阳市 兴平市 </v>
      </c>
      <c r="N2563" s="1" t="str">
        <f t="shared" si="840"/>
        <v>凡华云仓-城南圆通-微信视频号</v>
      </c>
      <c r="O2563" s="5" t="s">
        <v>2599</v>
      </c>
      <c r="P2563" s="6">
        <v>0.35</v>
      </c>
      <c r="Q2563" s="11">
        <v>2.2999999999999998</v>
      </c>
      <c r="R2563" s="11"/>
      <c r="S2563" s="11"/>
      <c r="T2563" s="11"/>
      <c r="U2563" s="11">
        <f t="shared" ref="U2563:U2626" si="841">T2563+S2563+R2563+Q2563</f>
        <v>2.2999999999999998</v>
      </c>
      <c r="W2563">
        <v>2.5</v>
      </c>
      <c r="X2563" s="1" t="s">
        <v>32</v>
      </c>
    </row>
    <row r="2564" spans="1:24" x14ac:dyDescent="0.25">
      <c r="A2564" s="1" t="str">
        <f t="shared" si="808"/>
        <v>卡卡杜-凤凰仓</v>
      </c>
      <c r="B2564" s="1" t="str">
        <f>"CK202410267010"</f>
        <v>CK202410267010</v>
      </c>
      <c r="C2564" s="1" t="str">
        <f>"DD2024102646144"</f>
        <v>DD2024102646144</v>
      </c>
      <c r="D2564" s="1" t="str">
        <f>"CK2024102632250"</f>
        <v>CK2024102632250</v>
      </c>
      <c r="E2564" s="1" t="str">
        <f>"3723574009046372352"</f>
        <v>3723574009046372352</v>
      </c>
      <c r="F2564" s="1" t="str">
        <f t="shared" si="809"/>
        <v>花都四部-凤凰仓</v>
      </c>
      <c r="G2564" s="1" t="str">
        <f t="shared" si="838"/>
        <v>卡卡杜企业店（视频号）</v>
      </c>
      <c r="H2564" s="1" t="str">
        <f t="shared" si="810"/>
        <v>正常订单</v>
      </c>
      <c r="I2564" s="1" t="str">
        <f t="shared" si="811"/>
        <v>已发货</v>
      </c>
      <c r="J2564" s="1" t="str">
        <f t="shared" si="839"/>
        <v>3</v>
      </c>
      <c r="K2564" s="1">
        <v>2</v>
      </c>
      <c r="L2564" s="1" t="s">
        <v>96</v>
      </c>
      <c r="M2564" s="1" t="str">
        <f>"广西壮族自治区 南宁市 兴宁区 "</f>
        <v xml:space="preserve">广西壮族自治区 南宁市 兴宁区 </v>
      </c>
      <c r="N2564" s="1" t="str">
        <f t="shared" si="840"/>
        <v>凡华云仓-城南圆通-微信视频号</v>
      </c>
      <c r="O2564" s="5" t="s">
        <v>2600</v>
      </c>
      <c r="P2564" s="6">
        <v>0.35</v>
      </c>
      <c r="Q2564" s="11">
        <v>2.2999999999999998</v>
      </c>
      <c r="R2564" s="11"/>
      <c r="S2564" s="11"/>
      <c r="T2564" s="11"/>
      <c r="U2564" s="11">
        <f t="shared" si="841"/>
        <v>2.2999999999999998</v>
      </c>
      <c r="W2564">
        <v>2.5</v>
      </c>
      <c r="X2564" s="1" t="s">
        <v>96</v>
      </c>
    </row>
    <row r="2565" spans="1:24" x14ac:dyDescent="0.25">
      <c r="A2565" s="1" t="str">
        <f t="shared" ref="A2565:A2628" si="842">"卡卡杜-凤凰仓"</f>
        <v>卡卡杜-凤凰仓</v>
      </c>
      <c r="B2565" s="1" t="str">
        <f>"CK202410267030"</f>
        <v>CK202410267030</v>
      </c>
      <c r="C2565" s="1" t="str">
        <f>"DD2024102646167"</f>
        <v>DD2024102646167</v>
      </c>
      <c r="D2565" s="1" t="str">
        <f>"CK2024102632249"</f>
        <v>CK2024102632249</v>
      </c>
      <c r="E2565" s="1" t="str">
        <f>"3723571767335064576"</f>
        <v>3723571767335064576</v>
      </c>
      <c r="F2565" s="1" t="str">
        <f t="shared" ref="F2565:F2628" si="843">"花都四部-凤凰仓"</f>
        <v>花都四部-凤凰仓</v>
      </c>
      <c r="G2565" s="1" t="str">
        <f t="shared" si="838"/>
        <v>卡卡杜企业店（视频号）</v>
      </c>
      <c r="H2565" s="1" t="str">
        <f t="shared" ref="H2565:H2628" si="844">"正常订单"</f>
        <v>正常订单</v>
      </c>
      <c r="I2565" s="1" t="str">
        <f t="shared" ref="I2565:I2628" si="845">"已发货"</f>
        <v>已发货</v>
      </c>
      <c r="J2565" s="1" t="str">
        <f t="shared" si="839"/>
        <v>3</v>
      </c>
      <c r="K2565" s="1">
        <v>2</v>
      </c>
      <c r="L2565" s="1" t="s">
        <v>18</v>
      </c>
      <c r="M2565" s="1" t="str">
        <f>"广东省 珠海市 香洲区 "</f>
        <v xml:space="preserve">广东省 珠海市 香洲区 </v>
      </c>
      <c r="N2565" s="1" t="str">
        <f t="shared" si="840"/>
        <v>凡华云仓-城南圆通-微信视频号</v>
      </c>
      <c r="O2565" s="5" t="s">
        <v>2601</v>
      </c>
      <c r="P2565" s="6">
        <v>0.35</v>
      </c>
      <c r="Q2565" s="11">
        <v>2.2999999999999998</v>
      </c>
      <c r="R2565" s="11"/>
      <c r="S2565" s="11"/>
      <c r="T2565" s="11"/>
      <c r="U2565" s="11">
        <f t="shared" si="841"/>
        <v>2.2999999999999998</v>
      </c>
      <c r="W2565">
        <v>2.5</v>
      </c>
      <c r="X2565" s="1" t="s">
        <v>18</v>
      </c>
    </row>
    <row r="2566" spans="1:24" x14ac:dyDescent="0.25">
      <c r="A2566" s="1" t="str">
        <f t="shared" si="842"/>
        <v>卡卡杜-凤凰仓</v>
      </c>
      <c r="B2566" s="1" t="str">
        <f>"CK202410267020"</f>
        <v>CK202410267020</v>
      </c>
      <c r="C2566" s="1" t="str">
        <f>"DD2024102646156"</f>
        <v>DD2024102646156</v>
      </c>
      <c r="D2566" s="1" t="str">
        <f>"CK2024102632248"</f>
        <v>CK2024102632248</v>
      </c>
      <c r="E2566" s="1" t="str">
        <f>"3723572782245219328"</f>
        <v>3723572782245219328</v>
      </c>
      <c r="F2566" s="1" t="str">
        <f t="shared" si="843"/>
        <v>花都四部-凤凰仓</v>
      </c>
      <c r="G2566" s="1" t="str">
        <f t="shared" si="838"/>
        <v>卡卡杜企业店（视频号）</v>
      </c>
      <c r="H2566" s="1" t="str">
        <f t="shared" si="844"/>
        <v>正常订单</v>
      </c>
      <c r="I2566" s="1" t="str">
        <f t="shared" si="845"/>
        <v>已发货</v>
      </c>
      <c r="J2566" s="1" t="str">
        <f t="shared" si="839"/>
        <v>3</v>
      </c>
      <c r="K2566" s="1">
        <v>2</v>
      </c>
      <c r="L2566" s="1" t="s">
        <v>18</v>
      </c>
      <c r="M2566" s="1" t="str">
        <f>"广东省 东莞市 莞城街道 "</f>
        <v xml:space="preserve">广东省 东莞市 莞城街道 </v>
      </c>
      <c r="N2566" s="1" t="str">
        <f t="shared" si="840"/>
        <v>凡华云仓-城南圆通-微信视频号</v>
      </c>
      <c r="O2566" s="5" t="s">
        <v>2602</v>
      </c>
      <c r="P2566" s="6">
        <v>0.35</v>
      </c>
      <c r="Q2566" s="11">
        <v>2.2999999999999998</v>
      </c>
      <c r="R2566" s="11"/>
      <c r="S2566" s="11"/>
      <c r="T2566" s="11"/>
      <c r="U2566" s="11">
        <f t="shared" si="841"/>
        <v>2.2999999999999998</v>
      </c>
      <c r="W2566">
        <v>2.5</v>
      </c>
      <c r="X2566" s="1" t="s">
        <v>18</v>
      </c>
    </row>
    <row r="2567" spans="1:24" x14ac:dyDescent="0.25">
      <c r="A2567" s="1" t="str">
        <f t="shared" si="842"/>
        <v>卡卡杜-凤凰仓</v>
      </c>
      <c r="B2567" s="1" t="str">
        <f>"CK202410267014"</f>
        <v>CK202410267014</v>
      </c>
      <c r="C2567" s="1" t="str">
        <f>"DD2024102646150"</f>
        <v>DD2024102646150</v>
      </c>
      <c r="D2567" s="1" t="str">
        <f>"CK2024102632247"</f>
        <v>CK2024102632247</v>
      </c>
      <c r="E2567" s="1" t="str">
        <f>"3723573811797168128"</f>
        <v>3723573811797168128</v>
      </c>
      <c r="F2567" s="1" t="str">
        <f t="shared" si="843"/>
        <v>花都四部-凤凰仓</v>
      </c>
      <c r="G2567" s="1" t="str">
        <f t="shared" si="838"/>
        <v>卡卡杜企业店（视频号）</v>
      </c>
      <c r="H2567" s="1" t="str">
        <f t="shared" si="844"/>
        <v>正常订单</v>
      </c>
      <c r="I2567" s="1" t="str">
        <f t="shared" si="845"/>
        <v>已发货</v>
      </c>
      <c r="J2567" s="1" t="str">
        <f t="shared" si="839"/>
        <v>3</v>
      </c>
      <c r="K2567" s="1">
        <v>2</v>
      </c>
      <c r="L2567" s="1" t="s">
        <v>13</v>
      </c>
      <c r="M2567" s="1" t="str">
        <f>"江苏省 徐州市 云龙区 "</f>
        <v xml:space="preserve">江苏省 徐州市 云龙区 </v>
      </c>
      <c r="N2567" s="1" t="str">
        <f t="shared" si="840"/>
        <v>凡华云仓-城南圆通-微信视频号</v>
      </c>
      <c r="O2567" s="5" t="s">
        <v>2603</v>
      </c>
      <c r="P2567" s="6">
        <v>0.35</v>
      </c>
      <c r="Q2567" s="11">
        <v>2.2999999999999998</v>
      </c>
      <c r="R2567" s="11"/>
      <c r="S2567" s="11"/>
      <c r="T2567" s="11"/>
      <c r="U2567" s="11">
        <f t="shared" si="841"/>
        <v>2.2999999999999998</v>
      </c>
      <c r="W2567">
        <v>2.5</v>
      </c>
      <c r="X2567" s="1" t="s">
        <v>13</v>
      </c>
    </row>
    <row r="2568" spans="1:24" x14ac:dyDescent="0.25">
      <c r="A2568" s="1" t="str">
        <f t="shared" si="842"/>
        <v>卡卡杜-凤凰仓</v>
      </c>
      <c r="B2568" s="1" t="str">
        <f>"CK202410267019"</f>
        <v>CK202410267019</v>
      </c>
      <c r="C2568" s="1" t="str">
        <f>"DD2024102646158"</f>
        <v>DD2024102646158</v>
      </c>
      <c r="D2568" s="1" t="str">
        <f>"CK2024102632246"</f>
        <v>CK2024102632246</v>
      </c>
      <c r="E2568" s="1" t="str">
        <f>"3723572949826274560"</f>
        <v>3723572949826274560</v>
      </c>
      <c r="F2568" s="1" t="str">
        <f t="shared" si="843"/>
        <v>花都四部-凤凰仓</v>
      </c>
      <c r="G2568" s="1" t="str">
        <f t="shared" si="838"/>
        <v>卡卡杜企业店（视频号）</v>
      </c>
      <c r="H2568" s="1" t="str">
        <f t="shared" si="844"/>
        <v>正常订单</v>
      </c>
      <c r="I2568" s="1" t="str">
        <f t="shared" si="845"/>
        <v>已发货</v>
      </c>
      <c r="J2568" s="1" t="str">
        <f t="shared" si="839"/>
        <v>3</v>
      </c>
      <c r="K2568" s="1">
        <v>2</v>
      </c>
      <c r="L2568" s="1" t="s">
        <v>18</v>
      </c>
      <c r="M2568" s="1" t="str">
        <f>"广东省 深圳市 福田区 "</f>
        <v xml:space="preserve">广东省 深圳市 福田区 </v>
      </c>
      <c r="N2568" s="1" t="str">
        <f t="shared" si="840"/>
        <v>凡华云仓-城南圆通-微信视频号</v>
      </c>
      <c r="O2568" s="5" t="s">
        <v>2604</v>
      </c>
      <c r="P2568" s="6">
        <v>0.35</v>
      </c>
      <c r="Q2568" s="11">
        <v>2.2999999999999998</v>
      </c>
      <c r="R2568" s="11"/>
      <c r="S2568" s="11"/>
      <c r="T2568" s="11"/>
      <c r="U2568" s="11">
        <f t="shared" si="841"/>
        <v>2.2999999999999998</v>
      </c>
      <c r="W2568">
        <v>2.5</v>
      </c>
      <c r="X2568" s="1" t="s">
        <v>18</v>
      </c>
    </row>
    <row r="2569" spans="1:24" x14ac:dyDescent="0.25">
      <c r="A2569" s="1" t="str">
        <f t="shared" si="842"/>
        <v>卡卡杜-凤凰仓</v>
      </c>
      <c r="B2569" s="1" t="str">
        <f>"CK202410267039"</f>
        <v>CK202410267039</v>
      </c>
      <c r="C2569" s="1" t="str">
        <f>"DD2024102646175"</f>
        <v>DD2024102646175</v>
      </c>
      <c r="D2569" s="1" t="str">
        <f>"CK2024102632245"</f>
        <v>CK2024102632245</v>
      </c>
      <c r="E2569" s="1" t="str">
        <f>"3723572695379346944"</f>
        <v>3723572695379346944</v>
      </c>
      <c r="F2569" s="1" t="str">
        <f t="shared" si="843"/>
        <v>花都四部-凤凰仓</v>
      </c>
      <c r="G2569" s="1" t="str">
        <f t="shared" si="838"/>
        <v>卡卡杜企业店（视频号）</v>
      </c>
      <c r="H2569" s="1" t="str">
        <f t="shared" si="844"/>
        <v>正常订单</v>
      </c>
      <c r="I2569" s="1" t="str">
        <f t="shared" si="845"/>
        <v>已发货</v>
      </c>
      <c r="J2569" s="1" t="str">
        <f t="shared" si="839"/>
        <v>3</v>
      </c>
      <c r="K2569" s="1">
        <v>3</v>
      </c>
      <c r="L2569" s="1" t="s">
        <v>18</v>
      </c>
      <c r="M2569" s="1" t="str">
        <f>"广东省 广州市 越秀区 "</f>
        <v xml:space="preserve">广东省 广州市 越秀区 </v>
      </c>
      <c r="N2569" s="1" t="str">
        <f t="shared" si="840"/>
        <v>凡华云仓-城南圆通-微信视频号</v>
      </c>
      <c r="O2569" s="5" t="s">
        <v>2605</v>
      </c>
      <c r="P2569" s="6">
        <v>0.34</v>
      </c>
      <c r="Q2569" s="11">
        <v>2.2999999999999998</v>
      </c>
      <c r="R2569" s="11"/>
      <c r="S2569" s="11"/>
      <c r="T2569" s="11"/>
      <c r="U2569" s="11">
        <f t="shared" si="841"/>
        <v>2.2999999999999998</v>
      </c>
      <c r="W2569">
        <v>2.5</v>
      </c>
      <c r="X2569" s="1" t="s">
        <v>18</v>
      </c>
    </row>
    <row r="2570" spans="1:24" x14ac:dyDescent="0.25">
      <c r="A2570" s="1" t="str">
        <f t="shared" si="842"/>
        <v>卡卡杜-凤凰仓</v>
      </c>
      <c r="B2570" s="1" t="str">
        <f>"CK202410267016"</f>
        <v>CK202410267016</v>
      </c>
      <c r="C2570" s="1" t="str">
        <f>"DD2024102646153"</f>
        <v>DD2024102646153</v>
      </c>
      <c r="D2570" s="1" t="str">
        <f>"CK2024102632244"</f>
        <v>CK2024102632244</v>
      </c>
      <c r="E2570" s="1" t="str">
        <f>"3723573489579197952"</f>
        <v>3723573489579197952</v>
      </c>
      <c r="F2570" s="1" t="str">
        <f t="shared" si="843"/>
        <v>花都四部-凤凰仓</v>
      </c>
      <c r="G2570" s="1" t="str">
        <f t="shared" si="838"/>
        <v>卡卡杜企业店（视频号）</v>
      </c>
      <c r="H2570" s="1" t="str">
        <f t="shared" si="844"/>
        <v>正常订单</v>
      </c>
      <c r="I2570" s="1" t="str">
        <f t="shared" si="845"/>
        <v>已发货</v>
      </c>
      <c r="J2570" s="1" t="str">
        <f t="shared" si="839"/>
        <v>3</v>
      </c>
      <c r="K2570" s="1">
        <v>2</v>
      </c>
      <c r="L2570" s="1" t="s">
        <v>32</v>
      </c>
      <c r="M2570" s="1" t="str">
        <f>"陕西省 西安市 莲湖区 "</f>
        <v xml:space="preserve">陕西省 西安市 莲湖区 </v>
      </c>
      <c r="N2570" s="1" t="str">
        <f t="shared" si="840"/>
        <v>凡华云仓-城南圆通-微信视频号</v>
      </c>
      <c r="O2570" s="5" t="s">
        <v>2606</v>
      </c>
      <c r="P2570" s="6">
        <v>0.35</v>
      </c>
      <c r="Q2570" s="11">
        <v>2.2999999999999998</v>
      </c>
      <c r="R2570" s="11"/>
      <c r="S2570" s="11"/>
      <c r="T2570" s="11"/>
      <c r="U2570" s="11">
        <f t="shared" si="841"/>
        <v>2.2999999999999998</v>
      </c>
      <c r="W2570">
        <v>2.5</v>
      </c>
      <c r="X2570" s="1" t="s">
        <v>32</v>
      </c>
    </row>
    <row r="2571" spans="1:24" x14ac:dyDescent="0.25">
      <c r="A2571" s="1" t="str">
        <f t="shared" si="842"/>
        <v>卡卡杜-凤凰仓</v>
      </c>
      <c r="B2571" s="1" t="str">
        <f>"CK202410267017"</f>
        <v>CK202410267017</v>
      </c>
      <c r="C2571" s="1" t="str">
        <f>"DD2024102646152"</f>
        <v>DD2024102646152</v>
      </c>
      <c r="D2571" s="1" t="str">
        <f>"CK2024102632243"</f>
        <v>CK2024102632243</v>
      </c>
      <c r="E2571" s="1" t="str">
        <f>"3723573283946630144"</f>
        <v>3723573283946630144</v>
      </c>
      <c r="F2571" s="1" t="str">
        <f t="shared" si="843"/>
        <v>花都四部-凤凰仓</v>
      </c>
      <c r="G2571" s="1" t="str">
        <f t="shared" si="838"/>
        <v>卡卡杜企业店（视频号）</v>
      </c>
      <c r="H2571" s="1" t="str">
        <f t="shared" si="844"/>
        <v>正常订单</v>
      </c>
      <c r="I2571" s="1" t="str">
        <f t="shared" si="845"/>
        <v>已发货</v>
      </c>
      <c r="J2571" s="1" t="str">
        <f t="shared" si="839"/>
        <v>3</v>
      </c>
      <c r="K2571" s="1">
        <v>2</v>
      </c>
      <c r="L2571" s="1" t="s">
        <v>80</v>
      </c>
      <c r="M2571" s="1" t="str">
        <f>"河南省 郑州市 惠济区 "</f>
        <v xml:space="preserve">河南省 郑州市 惠济区 </v>
      </c>
      <c r="N2571" s="1" t="str">
        <f t="shared" si="840"/>
        <v>凡华云仓-城南圆通-微信视频号</v>
      </c>
      <c r="O2571" s="5" t="s">
        <v>2607</v>
      </c>
      <c r="P2571" s="6">
        <v>0.35</v>
      </c>
      <c r="Q2571" s="11">
        <v>2.2999999999999998</v>
      </c>
      <c r="R2571" s="11"/>
      <c r="S2571" s="11"/>
      <c r="T2571" s="11"/>
      <c r="U2571" s="11">
        <f t="shared" si="841"/>
        <v>2.2999999999999998</v>
      </c>
      <c r="W2571">
        <v>2.5</v>
      </c>
      <c r="X2571" s="1" t="s">
        <v>80</v>
      </c>
    </row>
    <row r="2572" spans="1:24" x14ac:dyDescent="0.25">
      <c r="A2572" s="1" t="str">
        <f t="shared" si="842"/>
        <v>卡卡杜-凤凰仓</v>
      </c>
      <c r="B2572" s="1" t="str">
        <f>"CK202410267036"</f>
        <v>CK202410267036</v>
      </c>
      <c r="C2572" s="1" t="str">
        <f>"DD2024102646174"</f>
        <v>DD2024102646174</v>
      </c>
      <c r="D2572" s="1" t="str">
        <f>"CK2024102632242"</f>
        <v>CK2024102632242</v>
      </c>
      <c r="E2572" s="1" t="str">
        <f>"3723572999429162240"</f>
        <v>3723572999429162240</v>
      </c>
      <c r="F2572" s="1" t="str">
        <f t="shared" si="843"/>
        <v>花都四部-凤凰仓</v>
      </c>
      <c r="G2572" s="1" t="str">
        <f t="shared" si="838"/>
        <v>卡卡杜企业店（视频号）</v>
      </c>
      <c r="H2572" s="1" t="str">
        <f t="shared" si="844"/>
        <v>正常订单</v>
      </c>
      <c r="I2572" s="1" t="str">
        <f t="shared" si="845"/>
        <v>已发货</v>
      </c>
      <c r="J2572" s="1" t="str">
        <f>"2"</f>
        <v>2</v>
      </c>
      <c r="K2572" s="1">
        <v>2</v>
      </c>
      <c r="L2572" s="1" t="s">
        <v>74</v>
      </c>
      <c r="M2572" s="1" t="str">
        <f>"上海 上海市 虹口区 "</f>
        <v xml:space="preserve">上海 上海市 虹口区 </v>
      </c>
      <c r="N2572" s="1" t="str">
        <f t="shared" si="840"/>
        <v>凡华云仓-城南圆通-微信视频号</v>
      </c>
      <c r="O2572" s="5" t="s">
        <v>2608</v>
      </c>
      <c r="P2572" s="6">
        <v>0.17</v>
      </c>
      <c r="Q2572" s="11">
        <v>2</v>
      </c>
      <c r="R2572" s="11"/>
      <c r="S2572" s="11"/>
      <c r="T2572" s="11"/>
      <c r="U2572" s="11">
        <f t="shared" si="841"/>
        <v>2</v>
      </c>
      <c r="W2572">
        <v>2.2000000000000002</v>
      </c>
      <c r="X2572" s="1" t="s">
        <v>74</v>
      </c>
    </row>
    <row r="2573" spans="1:24" x14ac:dyDescent="0.25">
      <c r="A2573" s="1" t="str">
        <f t="shared" si="842"/>
        <v>卡卡杜-凤凰仓</v>
      </c>
      <c r="B2573" s="1" t="str">
        <f>"CK202410267012"</f>
        <v>CK202410267012</v>
      </c>
      <c r="C2573" s="1" t="str">
        <f>"DD2024102646154"</f>
        <v>DD2024102646154</v>
      </c>
      <c r="D2573" s="1" t="str">
        <f>"CK2024102632241"</f>
        <v>CK2024102632241</v>
      </c>
      <c r="E2573" s="1" t="str">
        <f>"2430002006635409"</f>
        <v>2430002006635409</v>
      </c>
      <c r="F2573" s="1" t="str">
        <f t="shared" si="843"/>
        <v>花都四部-凤凰仓</v>
      </c>
      <c r="G2573" s="1" t="str">
        <f t="shared" ref="G2573:G2589" si="846">"卡卡杜佳旺专卖店（快手店）"</f>
        <v>卡卡杜佳旺专卖店（快手店）</v>
      </c>
      <c r="H2573" s="1" t="str">
        <f t="shared" si="844"/>
        <v>正常订单</v>
      </c>
      <c r="I2573" s="1" t="str">
        <f t="shared" si="845"/>
        <v>已发货</v>
      </c>
      <c r="J2573" s="1" t="str">
        <f t="shared" ref="J2573:J2577" si="847">"3"</f>
        <v>3</v>
      </c>
      <c r="K2573" s="1">
        <v>2</v>
      </c>
      <c r="L2573" s="1" t="s">
        <v>60</v>
      </c>
      <c r="M2573" s="1" t="str">
        <f>"云南省 红河哈尼族彝族自治州 开远市 灵泉街道"</f>
        <v>云南省 红河哈尼族彝族自治州 开远市 灵泉街道</v>
      </c>
      <c r="N2573" s="1" t="str">
        <f t="shared" ref="N2573:N2589" si="848">"凡华云仓-城南圆通-快手"</f>
        <v>凡华云仓-城南圆通-快手</v>
      </c>
      <c r="O2573" s="5" t="s">
        <v>2609</v>
      </c>
      <c r="P2573" s="6">
        <v>0.35</v>
      </c>
      <c r="Q2573" s="11">
        <v>2.2999999999999998</v>
      </c>
      <c r="R2573" s="11"/>
      <c r="S2573" s="11"/>
      <c r="T2573" s="11"/>
      <c r="U2573" s="11">
        <f t="shared" si="841"/>
        <v>2.2999999999999998</v>
      </c>
      <c r="W2573">
        <v>2.5</v>
      </c>
      <c r="X2573" s="1" t="s">
        <v>60</v>
      </c>
    </row>
    <row r="2574" spans="1:24" x14ac:dyDescent="0.25">
      <c r="A2574" s="1" t="str">
        <f t="shared" si="842"/>
        <v>卡卡杜-凤凰仓</v>
      </c>
      <c r="B2574" s="1" t="str">
        <f>"CK202410267008"</f>
        <v>CK202410267008</v>
      </c>
      <c r="C2574" s="1" t="str">
        <f>"DD2024102646143"</f>
        <v>DD2024102646143</v>
      </c>
      <c r="D2574" s="1" t="str">
        <f>"CK2024102632240"</f>
        <v>CK2024102632240</v>
      </c>
      <c r="E2574" s="1" t="str">
        <f>"2430002485891929"</f>
        <v>2430002485891929</v>
      </c>
      <c r="F2574" s="1" t="str">
        <f t="shared" si="843"/>
        <v>花都四部-凤凰仓</v>
      </c>
      <c r="G2574" s="1" t="str">
        <f t="shared" si="846"/>
        <v>卡卡杜佳旺专卖店（快手店）</v>
      </c>
      <c r="H2574" s="1" t="str">
        <f t="shared" si="844"/>
        <v>正常订单</v>
      </c>
      <c r="I2574" s="1" t="str">
        <f t="shared" si="845"/>
        <v>已发货</v>
      </c>
      <c r="J2574" s="1" t="str">
        <f>"5"</f>
        <v>5</v>
      </c>
      <c r="K2574" s="1">
        <v>2</v>
      </c>
      <c r="L2574" s="1" t="s">
        <v>80</v>
      </c>
      <c r="M2574" s="1" t="str">
        <f>"河南省 焦作市 沁阳市 山王庄镇"</f>
        <v>河南省 焦作市 沁阳市 山王庄镇</v>
      </c>
      <c r="N2574" s="1" t="str">
        <f t="shared" si="848"/>
        <v>凡华云仓-城南圆通-快手</v>
      </c>
      <c r="O2574" s="5" t="s">
        <v>2610</v>
      </c>
      <c r="P2574" s="6">
        <v>0.59</v>
      </c>
      <c r="Q2574" s="11">
        <f>CEILING(P2574-0.5,0.1)*10*0.15+2.3</f>
        <v>2.4499999999999997</v>
      </c>
      <c r="R2574" s="11"/>
      <c r="S2574" s="11"/>
      <c r="T2574" s="11"/>
      <c r="U2574" s="11">
        <f t="shared" si="841"/>
        <v>2.4499999999999997</v>
      </c>
      <c r="V2574" t="s">
        <v>15</v>
      </c>
      <c r="W2574">
        <v>2.4500000000000002</v>
      </c>
      <c r="X2574" s="1" t="s">
        <v>80</v>
      </c>
    </row>
    <row r="2575" spans="1:24" x14ac:dyDescent="0.25">
      <c r="A2575" s="1" t="str">
        <f t="shared" si="842"/>
        <v>卡卡杜-凤凰仓</v>
      </c>
      <c r="B2575" s="1" t="str">
        <f>"CK202410267009"</f>
        <v>CK202410267009</v>
      </c>
      <c r="C2575" s="1" t="str">
        <f>"DD2024102646148"</f>
        <v>DD2024102646148</v>
      </c>
      <c r="D2575" s="1" t="str">
        <f>"CK2024102632239"</f>
        <v>CK2024102632239</v>
      </c>
      <c r="E2575" s="1" t="str">
        <f>"2430002008347995"</f>
        <v>2430002008347995</v>
      </c>
      <c r="F2575" s="1" t="str">
        <f t="shared" si="843"/>
        <v>花都四部-凤凰仓</v>
      </c>
      <c r="G2575" s="1" t="str">
        <f t="shared" si="846"/>
        <v>卡卡杜佳旺专卖店（快手店）</v>
      </c>
      <c r="H2575" s="1" t="str">
        <f t="shared" si="844"/>
        <v>正常订单</v>
      </c>
      <c r="I2575" s="1" t="str">
        <f t="shared" si="845"/>
        <v>已发货</v>
      </c>
      <c r="J2575" s="1" t="str">
        <f t="shared" si="847"/>
        <v>3</v>
      </c>
      <c r="K2575" s="1">
        <v>2</v>
      </c>
      <c r="L2575" s="1" t="s">
        <v>96</v>
      </c>
      <c r="M2575" s="1" t="str">
        <f>"广西壮族自治区 河池市 南丹县 城关镇"</f>
        <v>广西壮族自治区 河池市 南丹县 城关镇</v>
      </c>
      <c r="N2575" s="1" t="str">
        <f t="shared" si="848"/>
        <v>凡华云仓-城南圆通-快手</v>
      </c>
      <c r="O2575" s="5" t="s">
        <v>2611</v>
      </c>
      <c r="P2575" s="6">
        <v>0.35</v>
      </c>
      <c r="Q2575" s="11">
        <v>2.2999999999999998</v>
      </c>
      <c r="R2575" s="11"/>
      <c r="S2575" s="11"/>
      <c r="T2575" s="11"/>
      <c r="U2575" s="11">
        <f t="shared" si="841"/>
        <v>2.2999999999999998</v>
      </c>
      <c r="W2575">
        <v>2.5</v>
      </c>
      <c r="X2575" s="1" t="s">
        <v>96</v>
      </c>
    </row>
    <row r="2576" spans="1:24" x14ac:dyDescent="0.25">
      <c r="A2576" s="1" t="str">
        <f t="shared" si="842"/>
        <v>卡卡杜-凤凰仓</v>
      </c>
      <c r="B2576" s="1" t="str">
        <f>"CK202410267011"</f>
        <v>CK202410267011</v>
      </c>
      <c r="C2576" s="1" t="str">
        <f>"DD2024102646146"</f>
        <v>DD2024102646146</v>
      </c>
      <c r="D2576" s="1" t="str">
        <f>"CK2024102632238"</f>
        <v>CK2024102632238</v>
      </c>
      <c r="E2576" s="1" t="str">
        <f>"2430002086984549"</f>
        <v>2430002086984549</v>
      </c>
      <c r="F2576" s="1" t="str">
        <f t="shared" si="843"/>
        <v>花都四部-凤凰仓</v>
      </c>
      <c r="G2576" s="1" t="str">
        <f t="shared" si="846"/>
        <v>卡卡杜佳旺专卖店（快手店）</v>
      </c>
      <c r="H2576" s="1" t="str">
        <f t="shared" si="844"/>
        <v>正常订单</v>
      </c>
      <c r="I2576" s="1" t="str">
        <f t="shared" si="845"/>
        <v>已发货</v>
      </c>
      <c r="J2576" s="1" t="str">
        <f t="shared" si="847"/>
        <v>3</v>
      </c>
      <c r="K2576" s="1">
        <v>2</v>
      </c>
      <c r="L2576" s="1" t="s">
        <v>187</v>
      </c>
      <c r="M2576" s="1" t="str">
        <f>"吉林省 长春市 二道区 东站街道"</f>
        <v>吉林省 长春市 二道区 东站街道</v>
      </c>
      <c r="N2576" s="1" t="str">
        <f t="shared" si="848"/>
        <v>凡华云仓-城南圆通-快手</v>
      </c>
      <c r="O2576" s="5" t="s">
        <v>2612</v>
      </c>
      <c r="P2576" s="6">
        <v>0.35</v>
      </c>
      <c r="Q2576" s="11">
        <v>2.2999999999999998</v>
      </c>
      <c r="R2576" s="11"/>
      <c r="S2576" s="11"/>
      <c r="T2576" s="11"/>
      <c r="U2576" s="11">
        <f t="shared" si="841"/>
        <v>2.2999999999999998</v>
      </c>
      <c r="W2576">
        <v>2.5</v>
      </c>
      <c r="X2576" s="1" t="s">
        <v>187</v>
      </c>
    </row>
    <row r="2577" spans="1:24" x14ac:dyDescent="0.25">
      <c r="A2577" s="1" t="str">
        <f t="shared" si="842"/>
        <v>卡卡杜-凤凰仓</v>
      </c>
      <c r="B2577" s="1" t="str">
        <f>"CK202410267018"</f>
        <v>CK202410267018</v>
      </c>
      <c r="C2577" s="1" t="str">
        <f>"DD2024102646155"</f>
        <v>DD2024102646155</v>
      </c>
      <c r="D2577" s="1" t="str">
        <f>"CK2024102632237"</f>
        <v>CK2024102632237</v>
      </c>
      <c r="E2577" s="1" t="str">
        <f>"2430002325178399"</f>
        <v>2430002325178399</v>
      </c>
      <c r="F2577" s="1" t="str">
        <f t="shared" si="843"/>
        <v>花都四部-凤凰仓</v>
      </c>
      <c r="G2577" s="1" t="str">
        <f t="shared" si="846"/>
        <v>卡卡杜佳旺专卖店（快手店）</v>
      </c>
      <c r="H2577" s="1" t="str">
        <f t="shared" si="844"/>
        <v>正常订单</v>
      </c>
      <c r="I2577" s="1" t="str">
        <f t="shared" si="845"/>
        <v>已发货</v>
      </c>
      <c r="J2577" s="1" t="str">
        <f t="shared" si="847"/>
        <v>3</v>
      </c>
      <c r="K2577" s="1">
        <v>2</v>
      </c>
      <c r="L2577" s="1" t="s">
        <v>20</v>
      </c>
      <c r="M2577" s="1" t="str">
        <f>"浙江省 湖州市 长兴县 太湖街道"</f>
        <v>浙江省 湖州市 长兴县 太湖街道</v>
      </c>
      <c r="N2577" s="1" t="str">
        <f t="shared" si="848"/>
        <v>凡华云仓-城南圆通-快手</v>
      </c>
      <c r="O2577" s="5" t="s">
        <v>2613</v>
      </c>
      <c r="P2577" s="6">
        <v>0.35</v>
      </c>
      <c r="Q2577" s="11">
        <v>2.2999999999999998</v>
      </c>
      <c r="R2577" s="11"/>
      <c r="S2577" s="11"/>
      <c r="T2577" s="11"/>
      <c r="U2577" s="11">
        <f t="shared" si="841"/>
        <v>2.2999999999999998</v>
      </c>
      <c r="W2577">
        <v>2.5</v>
      </c>
      <c r="X2577" s="1" t="s">
        <v>20</v>
      </c>
    </row>
    <row r="2578" spans="1:24" x14ac:dyDescent="0.25">
      <c r="A2578" s="1" t="str">
        <f t="shared" si="842"/>
        <v>卡卡杜-凤凰仓</v>
      </c>
      <c r="B2578" s="1" t="str">
        <f>"CK202410267006"</f>
        <v>CK202410267006</v>
      </c>
      <c r="C2578" s="1" t="str">
        <f>"DD2024102646147"</f>
        <v>DD2024102646147</v>
      </c>
      <c r="D2578" s="1" t="str">
        <f>"CK2024102632236"</f>
        <v>CK2024102632236</v>
      </c>
      <c r="E2578" s="1" t="str">
        <f>"2430002007097087"</f>
        <v>2430002007097087</v>
      </c>
      <c r="F2578" s="1" t="str">
        <f t="shared" si="843"/>
        <v>花都四部-凤凰仓</v>
      </c>
      <c r="G2578" s="1" t="str">
        <f t="shared" si="846"/>
        <v>卡卡杜佳旺专卖店（快手店）</v>
      </c>
      <c r="H2578" s="1" t="str">
        <f t="shared" si="844"/>
        <v>正常订单</v>
      </c>
      <c r="I2578" s="1" t="str">
        <f t="shared" si="845"/>
        <v>已发货</v>
      </c>
      <c r="J2578" s="1" t="str">
        <f>"5"</f>
        <v>5</v>
      </c>
      <c r="K2578" s="1">
        <v>2</v>
      </c>
      <c r="L2578" s="1" t="s">
        <v>13</v>
      </c>
      <c r="M2578" s="1" t="str">
        <f>"江苏省 无锡市 新吴区 旺庄街道"</f>
        <v>江苏省 无锡市 新吴区 旺庄街道</v>
      </c>
      <c r="N2578" s="1" t="str">
        <f t="shared" si="848"/>
        <v>凡华云仓-城南圆通-快手</v>
      </c>
      <c r="O2578" s="5" t="s">
        <v>2614</v>
      </c>
      <c r="P2578" s="6">
        <v>0.59</v>
      </c>
      <c r="Q2578" s="11">
        <f>CEILING(P2578-0.5,0.1)*10*0.15+2.3</f>
        <v>2.4499999999999997</v>
      </c>
      <c r="R2578" s="11"/>
      <c r="S2578" s="11"/>
      <c r="T2578" s="11"/>
      <c r="U2578" s="11">
        <f t="shared" si="841"/>
        <v>2.4499999999999997</v>
      </c>
      <c r="V2578" t="s">
        <v>15</v>
      </c>
      <c r="W2578">
        <v>2.4500000000000002</v>
      </c>
      <c r="X2578" s="1" t="s">
        <v>13</v>
      </c>
    </row>
    <row r="2579" spans="1:24" x14ac:dyDescent="0.25">
      <c r="A2579" s="1" t="str">
        <f t="shared" si="842"/>
        <v>卡卡杜-凤凰仓</v>
      </c>
      <c r="B2579" s="1" t="str">
        <f>"CK202410267015"</f>
        <v>CK202410267015</v>
      </c>
      <c r="C2579" s="1" t="str">
        <f>"DD2024102646151"</f>
        <v>DD2024102646151</v>
      </c>
      <c r="D2579" s="1" t="str">
        <f>"CK2024102632235"</f>
        <v>CK2024102632235</v>
      </c>
      <c r="E2579" s="1" t="str">
        <f>"2430002007536314"</f>
        <v>2430002007536314</v>
      </c>
      <c r="F2579" s="1" t="str">
        <f t="shared" si="843"/>
        <v>花都四部-凤凰仓</v>
      </c>
      <c r="G2579" s="1" t="str">
        <f t="shared" si="846"/>
        <v>卡卡杜佳旺专卖店（快手店）</v>
      </c>
      <c r="H2579" s="1" t="str">
        <f t="shared" si="844"/>
        <v>正常订单</v>
      </c>
      <c r="I2579" s="1" t="str">
        <f t="shared" si="845"/>
        <v>已发货</v>
      </c>
      <c r="J2579" s="1" t="str">
        <f t="shared" ref="J2579:J2586" si="849">"3"</f>
        <v>3</v>
      </c>
      <c r="K2579" s="1">
        <v>2</v>
      </c>
      <c r="L2579" s="1" t="s">
        <v>20</v>
      </c>
      <c r="M2579" s="1" t="str">
        <f>"浙江省 金华市 东阳市 横店镇"</f>
        <v>浙江省 金华市 东阳市 横店镇</v>
      </c>
      <c r="N2579" s="1" t="str">
        <f t="shared" si="848"/>
        <v>凡华云仓-城南圆通-快手</v>
      </c>
      <c r="O2579" s="5" t="s">
        <v>2615</v>
      </c>
      <c r="P2579" s="6">
        <v>0.35</v>
      </c>
      <c r="Q2579" s="11">
        <v>2.2999999999999998</v>
      </c>
      <c r="R2579" s="11"/>
      <c r="S2579" s="11"/>
      <c r="T2579" s="11"/>
      <c r="U2579" s="11">
        <f t="shared" si="841"/>
        <v>2.2999999999999998</v>
      </c>
      <c r="W2579">
        <v>2.5</v>
      </c>
      <c r="X2579" s="1" t="s">
        <v>20</v>
      </c>
    </row>
    <row r="2580" spans="1:24" x14ac:dyDescent="0.25">
      <c r="A2580" s="1" t="str">
        <f t="shared" si="842"/>
        <v>卡卡杜-凤凰仓</v>
      </c>
      <c r="B2580" s="1" t="str">
        <f>"CK202410267035"</f>
        <v>CK202410267035</v>
      </c>
      <c r="C2580" s="1" t="str">
        <f>"DD2024102646172"</f>
        <v>DD2024102646172</v>
      </c>
      <c r="D2580" s="1" t="str">
        <f>"CK2024102632234"</f>
        <v>CK2024102632234</v>
      </c>
      <c r="E2580" s="1" t="str">
        <f>"2430002482440990"</f>
        <v>2430002482440990</v>
      </c>
      <c r="F2580" s="1" t="str">
        <f t="shared" si="843"/>
        <v>花都四部-凤凰仓</v>
      </c>
      <c r="G2580" s="1" t="str">
        <f t="shared" si="846"/>
        <v>卡卡杜佳旺专卖店（快手店）</v>
      </c>
      <c r="H2580" s="1" t="str">
        <f t="shared" si="844"/>
        <v>正常订单</v>
      </c>
      <c r="I2580" s="1" t="str">
        <f t="shared" si="845"/>
        <v>已发货</v>
      </c>
      <c r="J2580" s="1" t="str">
        <f t="shared" si="849"/>
        <v>3</v>
      </c>
      <c r="K2580" s="1">
        <v>2</v>
      </c>
      <c r="L2580" s="1" t="s">
        <v>16</v>
      </c>
      <c r="M2580" s="1" t="str">
        <f>"河北省 邯郸市 永年区 临洺关镇"</f>
        <v>河北省 邯郸市 永年区 临洺关镇</v>
      </c>
      <c r="N2580" s="1" t="str">
        <f t="shared" si="848"/>
        <v>凡华云仓-城南圆通-快手</v>
      </c>
      <c r="O2580" s="5" t="s">
        <v>2616</v>
      </c>
      <c r="P2580" s="6">
        <v>0.35</v>
      </c>
      <c r="Q2580" s="11">
        <v>2.2999999999999998</v>
      </c>
      <c r="R2580" s="11"/>
      <c r="S2580" s="11"/>
      <c r="T2580" s="11"/>
      <c r="U2580" s="11">
        <f t="shared" si="841"/>
        <v>2.2999999999999998</v>
      </c>
      <c r="W2580">
        <v>2.5</v>
      </c>
      <c r="X2580" s="1" t="s">
        <v>16</v>
      </c>
    </row>
    <row r="2581" spans="1:24" x14ac:dyDescent="0.25">
      <c r="A2581" s="1" t="str">
        <f t="shared" si="842"/>
        <v>卡卡杜-凤凰仓</v>
      </c>
      <c r="B2581" s="1" t="str">
        <f>"CK202410267013"</f>
        <v>CK202410267013</v>
      </c>
      <c r="C2581" s="1" t="str">
        <f>"DD2024102646149"</f>
        <v>DD2024102646149</v>
      </c>
      <c r="D2581" s="1" t="str">
        <f>"CK2024102632233"</f>
        <v>CK2024102632233</v>
      </c>
      <c r="E2581" s="1" t="str">
        <f>"2430001608336793"</f>
        <v>2430001608336793</v>
      </c>
      <c r="F2581" s="1" t="str">
        <f t="shared" si="843"/>
        <v>花都四部-凤凰仓</v>
      </c>
      <c r="G2581" s="1" t="str">
        <f t="shared" si="846"/>
        <v>卡卡杜佳旺专卖店（快手店）</v>
      </c>
      <c r="H2581" s="1" t="str">
        <f t="shared" si="844"/>
        <v>正常订单</v>
      </c>
      <c r="I2581" s="1" t="str">
        <f t="shared" si="845"/>
        <v>已发货</v>
      </c>
      <c r="J2581" s="1" t="str">
        <f t="shared" si="849"/>
        <v>3</v>
      </c>
      <c r="K2581" s="1">
        <v>2</v>
      </c>
      <c r="L2581" s="1" t="s">
        <v>32</v>
      </c>
      <c r="M2581" s="1" t="str">
        <f>"陕西省 咸阳市 秦都区 钓台街道"</f>
        <v>陕西省 咸阳市 秦都区 钓台街道</v>
      </c>
      <c r="N2581" s="1" t="str">
        <f t="shared" si="848"/>
        <v>凡华云仓-城南圆通-快手</v>
      </c>
      <c r="O2581" s="5" t="s">
        <v>2617</v>
      </c>
      <c r="P2581" s="6">
        <v>0.35</v>
      </c>
      <c r="Q2581" s="11">
        <v>2.2999999999999998</v>
      </c>
      <c r="R2581" s="11"/>
      <c r="S2581" s="11"/>
      <c r="T2581" s="11"/>
      <c r="U2581" s="11">
        <f t="shared" si="841"/>
        <v>2.2999999999999998</v>
      </c>
      <c r="W2581">
        <v>2.5</v>
      </c>
      <c r="X2581" s="1" t="s">
        <v>32</v>
      </c>
    </row>
    <row r="2582" spans="1:24" x14ac:dyDescent="0.25">
      <c r="A2582" s="1" t="str">
        <f t="shared" si="842"/>
        <v>卡卡杜-凤凰仓</v>
      </c>
      <c r="B2582" s="1" t="str">
        <f>"CK202410267025"</f>
        <v>CK202410267025</v>
      </c>
      <c r="C2582" s="1" t="str">
        <f>"DD2024102646163"</f>
        <v>DD2024102646163</v>
      </c>
      <c r="D2582" s="1" t="str">
        <f>"CK2024102632232"</f>
        <v>CK2024102632232</v>
      </c>
      <c r="E2582" s="1" t="str">
        <f>"2430001925008311"</f>
        <v>2430001925008311</v>
      </c>
      <c r="F2582" s="1" t="str">
        <f t="shared" si="843"/>
        <v>花都四部-凤凰仓</v>
      </c>
      <c r="G2582" s="1" t="str">
        <f t="shared" si="846"/>
        <v>卡卡杜佳旺专卖店（快手店）</v>
      </c>
      <c r="H2582" s="1" t="str">
        <f t="shared" si="844"/>
        <v>正常订单</v>
      </c>
      <c r="I2582" s="1" t="str">
        <f t="shared" si="845"/>
        <v>已发货</v>
      </c>
      <c r="J2582" s="1" t="str">
        <f t="shared" si="849"/>
        <v>3</v>
      </c>
      <c r="K2582" s="1">
        <v>2</v>
      </c>
      <c r="L2582" s="1" t="s">
        <v>16</v>
      </c>
      <c r="M2582" s="1" t="str">
        <f>"河北省 保定市 莲池区 东关街道"</f>
        <v>河北省 保定市 莲池区 东关街道</v>
      </c>
      <c r="N2582" s="1" t="str">
        <f t="shared" si="848"/>
        <v>凡华云仓-城南圆通-快手</v>
      </c>
      <c r="O2582" s="5" t="s">
        <v>2618</v>
      </c>
      <c r="P2582" s="6">
        <v>0.35</v>
      </c>
      <c r="Q2582" s="11">
        <v>2.2999999999999998</v>
      </c>
      <c r="R2582" s="11"/>
      <c r="S2582" s="11"/>
      <c r="T2582" s="11"/>
      <c r="U2582" s="11">
        <f t="shared" si="841"/>
        <v>2.2999999999999998</v>
      </c>
      <c r="W2582">
        <v>2.5</v>
      </c>
      <c r="X2582" s="1" t="s">
        <v>16</v>
      </c>
    </row>
    <row r="2583" spans="1:24" x14ac:dyDescent="0.25">
      <c r="A2583" s="1" t="str">
        <f t="shared" si="842"/>
        <v>卡卡杜-凤凰仓</v>
      </c>
      <c r="B2583" s="1" t="str">
        <f>"CK202410267028"</f>
        <v>CK202410267028</v>
      </c>
      <c r="C2583" s="1" t="str">
        <f>"DD2024102646165"</f>
        <v>DD2024102646165</v>
      </c>
      <c r="D2583" s="1" t="str">
        <f>"CK2024102632231"</f>
        <v>CK2024102632231</v>
      </c>
      <c r="E2583" s="1" t="str">
        <f>"2430001688873408"</f>
        <v>2430001688873408</v>
      </c>
      <c r="F2583" s="1" t="str">
        <f t="shared" si="843"/>
        <v>花都四部-凤凰仓</v>
      </c>
      <c r="G2583" s="1" t="str">
        <f t="shared" si="846"/>
        <v>卡卡杜佳旺专卖店（快手店）</v>
      </c>
      <c r="H2583" s="1" t="str">
        <f t="shared" si="844"/>
        <v>正常订单</v>
      </c>
      <c r="I2583" s="1" t="str">
        <f t="shared" si="845"/>
        <v>已发货</v>
      </c>
      <c r="J2583" s="1" t="str">
        <f t="shared" si="849"/>
        <v>3</v>
      </c>
      <c r="K2583" s="1">
        <v>2</v>
      </c>
      <c r="L2583" s="1" t="s">
        <v>20</v>
      </c>
      <c r="M2583" s="1" t="str">
        <f>"浙江省 宁波市 余姚市 黄家埠镇"</f>
        <v>浙江省 宁波市 余姚市 黄家埠镇</v>
      </c>
      <c r="N2583" s="1" t="str">
        <f t="shared" si="848"/>
        <v>凡华云仓-城南圆通-快手</v>
      </c>
      <c r="O2583" s="5" t="s">
        <v>2619</v>
      </c>
      <c r="P2583" s="6">
        <v>0.35</v>
      </c>
      <c r="Q2583" s="11">
        <v>2.2999999999999998</v>
      </c>
      <c r="R2583" s="11"/>
      <c r="S2583" s="11"/>
      <c r="T2583" s="11"/>
      <c r="U2583" s="11">
        <f t="shared" si="841"/>
        <v>2.2999999999999998</v>
      </c>
      <c r="W2583">
        <v>2.5</v>
      </c>
      <c r="X2583" s="1" t="s">
        <v>20</v>
      </c>
    </row>
    <row r="2584" spans="1:24" x14ac:dyDescent="0.25">
      <c r="A2584" s="1" t="str">
        <f t="shared" si="842"/>
        <v>卡卡杜-凤凰仓</v>
      </c>
      <c r="B2584" s="1" t="str">
        <f>"CK202410267031"</f>
        <v>CK202410267031</v>
      </c>
      <c r="C2584" s="1" t="str">
        <f>"DD2024102646168"</f>
        <v>DD2024102646168</v>
      </c>
      <c r="D2584" s="1" t="str">
        <f>"CK2024102632230"</f>
        <v>CK2024102632230</v>
      </c>
      <c r="E2584" s="1" t="str">
        <f>"2430002322259737"</f>
        <v>2430002322259737</v>
      </c>
      <c r="F2584" s="1" t="str">
        <f t="shared" si="843"/>
        <v>花都四部-凤凰仓</v>
      </c>
      <c r="G2584" s="1" t="str">
        <f t="shared" si="846"/>
        <v>卡卡杜佳旺专卖店（快手店）</v>
      </c>
      <c r="H2584" s="1" t="str">
        <f t="shared" si="844"/>
        <v>正常订单</v>
      </c>
      <c r="I2584" s="1" t="str">
        <f t="shared" si="845"/>
        <v>已发货</v>
      </c>
      <c r="J2584" s="1" t="str">
        <f t="shared" si="849"/>
        <v>3</v>
      </c>
      <c r="K2584" s="1">
        <v>2</v>
      </c>
      <c r="L2584" s="1" t="s">
        <v>187</v>
      </c>
      <c r="M2584" s="1" t="str">
        <f>"吉林省 通化市 梅河口市 光明街道"</f>
        <v>吉林省 通化市 梅河口市 光明街道</v>
      </c>
      <c r="N2584" s="1" t="str">
        <f t="shared" si="848"/>
        <v>凡华云仓-城南圆通-快手</v>
      </c>
      <c r="O2584" s="5" t="s">
        <v>2620</v>
      </c>
      <c r="P2584" s="6">
        <v>0.35</v>
      </c>
      <c r="Q2584" s="11">
        <v>2.2999999999999998</v>
      </c>
      <c r="R2584" s="11"/>
      <c r="S2584" s="11"/>
      <c r="T2584" s="11"/>
      <c r="U2584" s="11">
        <f t="shared" si="841"/>
        <v>2.2999999999999998</v>
      </c>
      <c r="W2584">
        <v>2.5</v>
      </c>
      <c r="X2584" s="1" t="s">
        <v>187</v>
      </c>
    </row>
    <row r="2585" spans="1:24" x14ac:dyDescent="0.25">
      <c r="A2585" s="1" t="str">
        <f t="shared" si="842"/>
        <v>卡卡杜-凤凰仓</v>
      </c>
      <c r="B2585" s="1" t="str">
        <f>"CK202410267029"</f>
        <v>CK202410267029</v>
      </c>
      <c r="C2585" s="1" t="str">
        <f>"DD2024102646166"</f>
        <v>DD2024102646166</v>
      </c>
      <c r="D2585" s="1" t="str">
        <f>"CK2024102632229"</f>
        <v>CK2024102632229</v>
      </c>
      <c r="E2585" s="1" t="str">
        <f>"2430002004986141"</f>
        <v>2430002004986141</v>
      </c>
      <c r="F2585" s="1" t="str">
        <f t="shared" si="843"/>
        <v>花都四部-凤凰仓</v>
      </c>
      <c r="G2585" s="1" t="str">
        <f t="shared" si="846"/>
        <v>卡卡杜佳旺专卖店（快手店）</v>
      </c>
      <c r="H2585" s="1" t="str">
        <f t="shared" si="844"/>
        <v>正常订单</v>
      </c>
      <c r="I2585" s="1" t="str">
        <f t="shared" si="845"/>
        <v>已发货</v>
      </c>
      <c r="J2585" s="1" t="str">
        <f t="shared" si="849"/>
        <v>3</v>
      </c>
      <c r="K2585" s="1">
        <v>2</v>
      </c>
      <c r="L2585" s="1" t="s">
        <v>80</v>
      </c>
      <c r="M2585" s="1" t="str">
        <f>"河南省 郑州市 惠济区 迎宾路街道"</f>
        <v>河南省 郑州市 惠济区 迎宾路街道</v>
      </c>
      <c r="N2585" s="1" t="str">
        <f t="shared" si="848"/>
        <v>凡华云仓-城南圆通-快手</v>
      </c>
      <c r="O2585" s="5" t="s">
        <v>2621</v>
      </c>
      <c r="P2585" s="6">
        <v>0.35</v>
      </c>
      <c r="Q2585" s="11">
        <v>2.2999999999999998</v>
      </c>
      <c r="R2585" s="11"/>
      <c r="S2585" s="11"/>
      <c r="T2585" s="11"/>
      <c r="U2585" s="11">
        <f t="shared" si="841"/>
        <v>2.2999999999999998</v>
      </c>
      <c r="W2585">
        <v>2.5</v>
      </c>
      <c r="X2585" s="1" t="s">
        <v>80</v>
      </c>
    </row>
    <row r="2586" spans="1:24" x14ac:dyDescent="0.25">
      <c r="A2586" s="1" t="str">
        <f t="shared" si="842"/>
        <v>卡卡杜-凤凰仓</v>
      </c>
      <c r="B2586" s="1" t="str">
        <f>"CK202410267021"</f>
        <v>CK202410267021</v>
      </c>
      <c r="C2586" s="1" t="str">
        <f>"DD2024102646157"</f>
        <v>DD2024102646157</v>
      </c>
      <c r="D2586" s="1" t="str">
        <f>"CK2024102632228"</f>
        <v>CK2024102632228</v>
      </c>
      <c r="E2586" s="1" t="str">
        <f>"2430001683347308"</f>
        <v>2430001683347308</v>
      </c>
      <c r="F2586" s="1" t="str">
        <f t="shared" si="843"/>
        <v>花都四部-凤凰仓</v>
      </c>
      <c r="G2586" s="1" t="str">
        <f t="shared" si="846"/>
        <v>卡卡杜佳旺专卖店（快手店）</v>
      </c>
      <c r="H2586" s="1" t="str">
        <f t="shared" si="844"/>
        <v>正常订单</v>
      </c>
      <c r="I2586" s="1" t="str">
        <f t="shared" si="845"/>
        <v>已发货</v>
      </c>
      <c r="J2586" s="1" t="str">
        <f t="shared" si="849"/>
        <v>3</v>
      </c>
      <c r="K2586" s="1">
        <v>2</v>
      </c>
      <c r="L2586" s="1" t="s">
        <v>18</v>
      </c>
      <c r="M2586" s="1" t="str">
        <f>"广东省 深圳市 坪山区 坑梓街道"</f>
        <v>广东省 深圳市 坪山区 坑梓街道</v>
      </c>
      <c r="N2586" s="1" t="str">
        <f t="shared" si="848"/>
        <v>凡华云仓-城南圆通-快手</v>
      </c>
      <c r="O2586" s="5" t="s">
        <v>2622</v>
      </c>
      <c r="P2586" s="6">
        <v>0.35</v>
      </c>
      <c r="Q2586" s="11">
        <v>2.2999999999999998</v>
      </c>
      <c r="R2586" s="11"/>
      <c r="S2586" s="11"/>
      <c r="T2586" s="11"/>
      <c r="U2586" s="11">
        <f t="shared" si="841"/>
        <v>2.2999999999999998</v>
      </c>
      <c r="W2586">
        <v>2.5</v>
      </c>
      <c r="X2586" s="1" t="s">
        <v>18</v>
      </c>
    </row>
    <row r="2587" spans="1:24" x14ac:dyDescent="0.25">
      <c r="A2587" s="1" t="str">
        <f t="shared" si="842"/>
        <v>卡卡杜-凤凰仓</v>
      </c>
      <c r="B2587" s="1" t="str">
        <f>"CK202410267022"</f>
        <v>CK202410267022</v>
      </c>
      <c r="C2587" s="1" t="str">
        <f>"DD2024102646159"</f>
        <v>DD2024102646159</v>
      </c>
      <c r="D2587" s="1" t="str">
        <f>"CK2024102632227"</f>
        <v>CK2024102632227</v>
      </c>
      <c r="E2587" s="1" t="str">
        <f>"2430002082624528"</f>
        <v>2430002082624528</v>
      </c>
      <c r="F2587" s="1" t="str">
        <f t="shared" si="843"/>
        <v>花都四部-凤凰仓</v>
      </c>
      <c r="G2587" s="1" t="str">
        <f t="shared" si="846"/>
        <v>卡卡杜佳旺专卖店（快手店）</v>
      </c>
      <c r="H2587" s="1" t="str">
        <f t="shared" si="844"/>
        <v>正常订单</v>
      </c>
      <c r="I2587" s="1" t="str">
        <f t="shared" si="845"/>
        <v>已发货</v>
      </c>
      <c r="J2587" s="1" t="str">
        <f>"5"</f>
        <v>5</v>
      </c>
      <c r="K2587" s="1">
        <v>2</v>
      </c>
      <c r="L2587" s="1" t="s">
        <v>13</v>
      </c>
      <c r="M2587" s="1" t="str">
        <f>"江苏省 淮安市 淮安区 淮城街道"</f>
        <v>江苏省 淮安市 淮安区 淮城街道</v>
      </c>
      <c r="N2587" s="1" t="str">
        <f t="shared" si="848"/>
        <v>凡华云仓-城南圆通-快手</v>
      </c>
      <c r="O2587" s="5" t="s">
        <v>2623</v>
      </c>
      <c r="P2587" s="6">
        <v>0.59</v>
      </c>
      <c r="Q2587" s="11">
        <f>CEILING(P2587-0.5,0.1)*10*0.15+2.3</f>
        <v>2.4499999999999997</v>
      </c>
      <c r="R2587" s="11"/>
      <c r="S2587" s="11"/>
      <c r="T2587" s="11"/>
      <c r="U2587" s="11">
        <f t="shared" si="841"/>
        <v>2.4499999999999997</v>
      </c>
      <c r="V2587" t="s">
        <v>15</v>
      </c>
      <c r="W2587">
        <v>2.4500000000000002</v>
      </c>
      <c r="X2587" s="1" t="s">
        <v>13</v>
      </c>
    </row>
    <row r="2588" spans="1:24" x14ac:dyDescent="0.25">
      <c r="A2588" s="1" t="str">
        <f t="shared" si="842"/>
        <v>卡卡杜-凤凰仓</v>
      </c>
      <c r="B2588" s="1" t="str">
        <f>"CK202410267040"</f>
        <v>CK202410267040</v>
      </c>
      <c r="C2588" s="1" t="str">
        <f>"DD2024102646177"</f>
        <v>DD2024102646177</v>
      </c>
      <c r="D2588" s="1" t="str">
        <f>"CK2024102632226"</f>
        <v>CK2024102632226</v>
      </c>
      <c r="E2588" s="1" t="str">
        <f>"2430002169001128"</f>
        <v>2430002169001128</v>
      </c>
      <c r="F2588" s="1" t="str">
        <f t="shared" si="843"/>
        <v>花都四部-凤凰仓</v>
      </c>
      <c r="G2588" s="1" t="str">
        <f t="shared" si="846"/>
        <v>卡卡杜佳旺专卖店（快手店）</v>
      </c>
      <c r="H2588" s="1" t="str">
        <f t="shared" si="844"/>
        <v>正常订单</v>
      </c>
      <c r="I2588" s="1" t="str">
        <f t="shared" si="845"/>
        <v>已发货</v>
      </c>
      <c r="J2588" s="1" t="str">
        <f t="shared" ref="J2588:J2593" si="850">"3"</f>
        <v>3</v>
      </c>
      <c r="K2588" s="1">
        <v>3</v>
      </c>
      <c r="L2588" s="1" t="s">
        <v>136</v>
      </c>
      <c r="M2588" s="1" t="str">
        <f>"北京市 北京市 朝阳区 三间房地区"</f>
        <v>北京市 北京市 朝阳区 三间房地区</v>
      </c>
      <c r="N2588" s="1" t="str">
        <f t="shared" si="848"/>
        <v>凡华云仓-城南圆通-快手</v>
      </c>
      <c r="O2588" s="5" t="s">
        <v>2624</v>
      </c>
      <c r="P2588" s="6">
        <v>0.34</v>
      </c>
      <c r="Q2588" s="11">
        <v>2.2999999999999998</v>
      </c>
      <c r="R2588" s="11"/>
      <c r="S2588" s="11"/>
      <c r="T2588" s="11"/>
      <c r="U2588" s="11">
        <f t="shared" si="841"/>
        <v>2.2999999999999998</v>
      </c>
      <c r="W2588">
        <v>2.5</v>
      </c>
      <c r="X2588" s="1" t="s">
        <v>136</v>
      </c>
    </row>
    <row r="2589" spans="1:24" x14ac:dyDescent="0.25">
      <c r="A2589" s="1" t="str">
        <f t="shared" si="842"/>
        <v>卡卡杜-凤凰仓</v>
      </c>
      <c r="B2589" s="1" t="str">
        <f>"CK202410267033"</f>
        <v>CK202410267033</v>
      </c>
      <c r="C2589" s="1" t="str">
        <f>"DD2024102646170"</f>
        <v>DD2024102646170</v>
      </c>
      <c r="D2589" s="1" t="str">
        <f>"CK2024102632225"</f>
        <v>CK2024102632225</v>
      </c>
      <c r="E2589" s="1" t="str">
        <f>"2430001767242555"</f>
        <v>2430001767242555</v>
      </c>
      <c r="F2589" s="1" t="str">
        <f t="shared" si="843"/>
        <v>花都四部-凤凰仓</v>
      </c>
      <c r="G2589" s="1" t="str">
        <f t="shared" si="846"/>
        <v>卡卡杜佳旺专卖店（快手店）</v>
      </c>
      <c r="H2589" s="1" t="str">
        <f t="shared" si="844"/>
        <v>正常订单</v>
      </c>
      <c r="I2589" s="1" t="str">
        <f t="shared" si="845"/>
        <v>已发货</v>
      </c>
      <c r="J2589" s="1" t="str">
        <f t="shared" si="850"/>
        <v>3</v>
      </c>
      <c r="K2589" s="1">
        <v>2</v>
      </c>
      <c r="L2589" s="1" t="s">
        <v>18</v>
      </c>
      <c r="M2589" s="1" t="str">
        <f>"广东省 深圳市 龙华区 观湖街道"</f>
        <v>广东省 深圳市 龙华区 观湖街道</v>
      </c>
      <c r="N2589" s="1" t="str">
        <f t="shared" si="848"/>
        <v>凡华云仓-城南圆通-快手</v>
      </c>
      <c r="O2589" s="5" t="s">
        <v>2625</v>
      </c>
      <c r="P2589" s="6">
        <v>0.35</v>
      </c>
      <c r="Q2589" s="11">
        <v>2.2999999999999998</v>
      </c>
      <c r="R2589" s="11"/>
      <c r="S2589" s="11"/>
      <c r="T2589" s="11"/>
      <c r="U2589" s="11">
        <f t="shared" si="841"/>
        <v>2.2999999999999998</v>
      </c>
      <c r="W2589">
        <v>2.5</v>
      </c>
      <c r="X2589" s="1" t="s">
        <v>18</v>
      </c>
    </row>
    <row r="2590" spans="1:24" x14ac:dyDescent="0.25">
      <c r="A2590" s="1" t="str">
        <f t="shared" si="842"/>
        <v>卡卡杜-凤凰仓</v>
      </c>
      <c r="B2590" s="1" t="str">
        <f>"CK202410267023"</f>
        <v>CK202410267023</v>
      </c>
      <c r="C2590" s="1" t="str">
        <f>"DD2024102646160"</f>
        <v>DD2024102646160</v>
      </c>
      <c r="D2590" s="1" t="str">
        <f>"CK2024102632224"</f>
        <v>CK2024102632224</v>
      </c>
      <c r="E2590" s="1" t="str">
        <f>"6935502617924867428"</f>
        <v>6935502617924867428</v>
      </c>
      <c r="F2590" s="1" t="str">
        <f t="shared" si="843"/>
        <v>花都四部-凤凰仓</v>
      </c>
      <c r="G2590" s="1" t="str">
        <f t="shared" ref="G2590:G2596" si="851">"卡卡杜个人护理店（抖店）"</f>
        <v>卡卡杜个人护理店（抖店）</v>
      </c>
      <c r="H2590" s="1" t="str">
        <f t="shared" si="844"/>
        <v>正常订单</v>
      </c>
      <c r="I2590" s="1" t="str">
        <f t="shared" si="845"/>
        <v>已发货</v>
      </c>
      <c r="J2590" s="1" t="str">
        <f t="shared" si="850"/>
        <v>3</v>
      </c>
      <c r="K2590" s="1">
        <v>2</v>
      </c>
      <c r="L2590" s="1" t="s">
        <v>13</v>
      </c>
      <c r="M2590" s="1" t="str">
        <f>"江苏省 镇江市 润州区 宝塔路街道"</f>
        <v>江苏省 镇江市 润州区 宝塔路街道</v>
      </c>
      <c r="N2590" s="1" t="str">
        <f t="shared" ref="N2590:N2596" si="852">"凡华云仓-城南圆通-抖音"</f>
        <v>凡华云仓-城南圆通-抖音</v>
      </c>
      <c r="O2590" s="5" t="s">
        <v>2626</v>
      </c>
      <c r="P2590" s="6">
        <v>0.35</v>
      </c>
      <c r="Q2590" s="11">
        <v>2.2999999999999998</v>
      </c>
      <c r="R2590" s="11"/>
      <c r="S2590" s="11"/>
      <c r="T2590" s="11"/>
      <c r="U2590" s="11">
        <f t="shared" si="841"/>
        <v>2.2999999999999998</v>
      </c>
      <c r="W2590">
        <v>2.5</v>
      </c>
      <c r="X2590" s="1" t="s">
        <v>13</v>
      </c>
    </row>
    <row r="2591" spans="1:24" x14ac:dyDescent="0.25">
      <c r="A2591" s="1" t="str">
        <f t="shared" si="842"/>
        <v>卡卡杜-凤凰仓</v>
      </c>
      <c r="B2591" s="1" t="str">
        <f>"CK202410267037"</f>
        <v>CK202410267037</v>
      </c>
      <c r="C2591" s="1" t="str">
        <f>"DD2024102646176"</f>
        <v>DD2024102646176</v>
      </c>
      <c r="D2591" s="1" t="str">
        <f>"CK2024102632223"</f>
        <v>CK2024102632223</v>
      </c>
      <c r="E2591" s="1" t="str">
        <f>"6935493511246518227"</f>
        <v>6935493511246518227</v>
      </c>
      <c r="F2591" s="1" t="str">
        <f t="shared" si="843"/>
        <v>花都四部-凤凰仓</v>
      </c>
      <c r="G2591" s="1" t="str">
        <f t="shared" si="851"/>
        <v>卡卡杜个人护理店（抖店）</v>
      </c>
      <c r="H2591" s="1" t="str">
        <f t="shared" si="844"/>
        <v>正常订单</v>
      </c>
      <c r="I2591" s="1" t="str">
        <f t="shared" si="845"/>
        <v>已发货</v>
      </c>
      <c r="J2591" s="1" t="str">
        <f t="shared" si="850"/>
        <v>3</v>
      </c>
      <c r="K2591" s="1">
        <v>3</v>
      </c>
      <c r="L2591" s="1" t="s">
        <v>60</v>
      </c>
      <c r="M2591" s="1" t="str">
        <f>"云南省 西双版纳傣族自治州 景洪市 允景洪街道"</f>
        <v>云南省 西双版纳傣族自治州 景洪市 允景洪街道</v>
      </c>
      <c r="N2591" s="1" t="str">
        <f t="shared" si="852"/>
        <v>凡华云仓-城南圆通-抖音</v>
      </c>
      <c r="O2591" s="5" t="s">
        <v>2627</v>
      </c>
      <c r="P2591" s="6">
        <v>0.34</v>
      </c>
      <c r="Q2591" s="11">
        <v>2.2999999999999998</v>
      </c>
      <c r="R2591" s="11"/>
      <c r="S2591" s="11"/>
      <c r="T2591" s="11"/>
      <c r="U2591" s="11">
        <f t="shared" si="841"/>
        <v>2.2999999999999998</v>
      </c>
      <c r="W2591">
        <v>2.5</v>
      </c>
      <c r="X2591" s="1" t="s">
        <v>60</v>
      </c>
    </row>
    <row r="2592" spans="1:24" x14ac:dyDescent="0.25">
      <c r="A2592" s="1" t="str">
        <f t="shared" si="842"/>
        <v>卡卡杜-凤凰仓</v>
      </c>
      <c r="B2592" s="1" t="str">
        <f>"CK202410267026"</f>
        <v>CK202410267026</v>
      </c>
      <c r="C2592" s="1" t="str">
        <f>"DD2024102646162"</f>
        <v>DD2024102646162</v>
      </c>
      <c r="D2592" s="1" t="str">
        <f>"CK2024102632222"</f>
        <v>CK2024102632222</v>
      </c>
      <c r="E2592" s="1" t="str">
        <f>"6935477949918680716"</f>
        <v>6935477949918680716</v>
      </c>
      <c r="F2592" s="1" t="str">
        <f t="shared" si="843"/>
        <v>花都四部-凤凰仓</v>
      </c>
      <c r="G2592" s="1" t="str">
        <f t="shared" si="851"/>
        <v>卡卡杜个人护理店（抖店）</v>
      </c>
      <c r="H2592" s="1" t="str">
        <f t="shared" si="844"/>
        <v>正常订单</v>
      </c>
      <c r="I2592" s="1" t="str">
        <f t="shared" si="845"/>
        <v>已发货</v>
      </c>
      <c r="J2592" s="1" t="str">
        <f t="shared" si="850"/>
        <v>3</v>
      </c>
      <c r="K2592" s="1">
        <v>2</v>
      </c>
      <c r="L2592" s="1" t="s">
        <v>218</v>
      </c>
      <c r="M2592" s="1" t="str">
        <f>"天津 天津市 滨海新区 新河街道"</f>
        <v>天津 天津市 滨海新区 新河街道</v>
      </c>
      <c r="N2592" s="1" t="str">
        <f t="shared" si="852"/>
        <v>凡华云仓-城南圆通-抖音</v>
      </c>
      <c r="O2592" s="5" t="s">
        <v>2628</v>
      </c>
      <c r="P2592" s="6">
        <v>0.35</v>
      </c>
      <c r="Q2592" s="11">
        <v>2.2999999999999998</v>
      </c>
      <c r="R2592" s="11"/>
      <c r="S2592" s="11"/>
      <c r="T2592" s="11"/>
      <c r="U2592" s="11">
        <f t="shared" si="841"/>
        <v>2.2999999999999998</v>
      </c>
      <c r="W2592">
        <v>2.5</v>
      </c>
      <c r="X2592" s="1" t="s">
        <v>218</v>
      </c>
    </row>
    <row r="2593" spans="1:24" x14ac:dyDescent="0.25">
      <c r="A2593" s="1" t="str">
        <f t="shared" si="842"/>
        <v>卡卡杜-凤凰仓</v>
      </c>
      <c r="B2593" s="1" t="str">
        <f>"CK202410267038"</f>
        <v>CK202410267038</v>
      </c>
      <c r="C2593" s="1" t="str">
        <f>"DD2024102646173"</f>
        <v>DD2024102646173</v>
      </c>
      <c r="D2593" s="1" t="str">
        <f>"CK2024102632221"</f>
        <v>CK2024102632221</v>
      </c>
      <c r="E2593" s="1" t="str">
        <f>"6935493484009559734"</f>
        <v>6935493484009559734</v>
      </c>
      <c r="F2593" s="1" t="str">
        <f t="shared" si="843"/>
        <v>花都四部-凤凰仓</v>
      </c>
      <c r="G2593" s="1" t="str">
        <f t="shared" si="851"/>
        <v>卡卡杜个人护理店（抖店）</v>
      </c>
      <c r="H2593" s="1" t="str">
        <f t="shared" si="844"/>
        <v>正常订单</v>
      </c>
      <c r="I2593" s="1" t="str">
        <f t="shared" si="845"/>
        <v>已发货</v>
      </c>
      <c r="J2593" s="1" t="str">
        <f t="shared" si="850"/>
        <v>3</v>
      </c>
      <c r="K2593" s="1">
        <v>3</v>
      </c>
      <c r="L2593" s="1" t="s">
        <v>105</v>
      </c>
      <c r="M2593" s="1" t="str">
        <f>"北京 北京市 西城区 新街口街道"</f>
        <v>北京 北京市 西城区 新街口街道</v>
      </c>
      <c r="N2593" s="1" t="str">
        <f t="shared" si="852"/>
        <v>凡华云仓-城南圆通-抖音</v>
      </c>
      <c r="O2593" s="5" t="s">
        <v>2629</v>
      </c>
      <c r="P2593" s="6">
        <v>0.34</v>
      </c>
      <c r="Q2593" s="11">
        <v>2.2999999999999998</v>
      </c>
      <c r="R2593" s="11"/>
      <c r="S2593" s="11"/>
      <c r="T2593" s="11"/>
      <c r="U2593" s="11">
        <f t="shared" si="841"/>
        <v>2.2999999999999998</v>
      </c>
      <c r="W2593">
        <v>2.5</v>
      </c>
      <c r="X2593" s="1" t="s">
        <v>105</v>
      </c>
    </row>
    <row r="2594" spans="1:24" x14ac:dyDescent="0.25">
      <c r="A2594" s="1" t="str">
        <f t="shared" si="842"/>
        <v>卡卡杜-凤凰仓</v>
      </c>
      <c r="B2594" s="1" t="str">
        <f>"CK202410267027"</f>
        <v>CK202410267027</v>
      </c>
      <c r="C2594" s="1" t="str">
        <f>"DD2024102646164"</f>
        <v>DD2024102646164</v>
      </c>
      <c r="D2594" s="1" t="str">
        <f>"CK2024102632220"</f>
        <v>CK2024102632220</v>
      </c>
      <c r="E2594" s="1" t="str">
        <f>"6935500324660713110"</f>
        <v>6935500324660713110</v>
      </c>
      <c r="F2594" s="1" t="str">
        <f t="shared" si="843"/>
        <v>花都四部-凤凰仓</v>
      </c>
      <c r="G2594" s="1" t="str">
        <f t="shared" si="851"/>
        <v>卡卡杜个人护理店（抖店）</v>
      </c>
      <c r="H2594" s="1" t="str">
        <f t="shared" si="844"/>
        <v>正常订单</v>
      </c>
      <c r="I2594" s="1" t="str">
        <f t="shared" si="845"/>
        <v>已发货</v>
      </c>
      <c r="J2594" s="1" t="str">
        <f t="shared" ref="J2594:J2599" si="853">"5"</f>
        <v>5</v>
      </c>
      <c r="K2594" s="1">
        <v>2</v>
      </c>
      <c r="L2594" s="1" t="s">
        <v>109</v>
      </c>
      <c r="M2594" s="1" t="str">
        <f>"山西省 运城市 河津市 城区街道"</f>
        <v>山西省 运城市 河津市 城区街道</v>
      </c>
      <c r="N2594" s="1" t="str">
        <f t="shared" si="852"/>
        <v>凡华云仓-城南圆通-抖音</v>
      </c>
      <c r="O2594" s="5" t="s">
        <v>2630</v>
      </c>
      <c r="P2594" s="6">
        <v>0.59</v>
      </c>
      <c r="Q2594" s="11">
        <f t="shared" ref="Q2594:Q2599" si="854">CEILING(P2594-0.5,0.1)*10*0.15+2.3</f>
        <v>2.4499999999999997</v>
      </c>
      <c r="R2594" s="11"/>
      <c r="S2594" s="11"/>
      <c r="T2594" s="11"/>
      <c r="U2594" s="11">
        <f t="shared" si="841"/>
        <v>2.4499999999999997</v>
      </c>
      <c r="V2594" t="s">
        <v>15</v>
      </c>
      <c r="W2594">
        <v>2.4500000000000002</v>
      </c>
      <c r="X2594" s="1" t="s">
        <v>109</v>
      </c>
    </row>
    <row r="2595" spans="1:24" x14ac:dyDescent="0.25">
      <c r="A2595" s="1" t="str">
        <f t="shared" si="842"/>
        <v>卡卡杜-凤凰仓</v>
      </c>
      <c r="B2595" s="1" t="str">
        <f>"CK202410267034"</f>
        <v>CK202410267034</v>
      </c>
      <c r="C2595" s="1" t="str">
        <f>"DD2024102646171"</f>
        <v>DD2024102646171</v>
      </c>
      <c r="D2595" s="1" t="str">
        <f>"CK2024102632219"</f>
        <v>CK2024102632219</v>
      </c>
      <c r="E2595" s="1" t="str">
        <f>"6935482482742203725"</f>
        <v>6935482482742203725</v>
      </c>
      <c r="F2595" s="1" t="str">
        <f t="shared" si="843"/>
        <v>花都四部-凤凰仓</v>
      </c>
      <c r="G2595" s="1" t="str">
        <f t="shared" si="851"/>
        <v>卡卡杜个人护理店（抖店）</v>
      </c>
      <c r="H2595" s="1" t="str">
        <f t="shared" si="844"/>
        <v>正常订单</v>
      </c>
      <c r="I2595" s="1" t="str">
        <f t="shared" si="845"/>
        <v>已发货</v>
      </c>
      <c r="J2595" s="1" t="str">
        <f t="shared" ref="J2595:J2598" si="855">"3"</f>
        <v>3</v>
      </c>
      <c r="K2595" s="1">
        <v>2</v>
      </c>
      <c r="L2595" s="1" t="s">
        <v>13</v>
      </c>
      <c r="M2595" s="1" t="str">
        <f>"江苏省 徐州市 新沂市 草桥镇"</f>
        <v>江苏省 徐州市 新沂市 草桥镇</v>
      </c>
      <c r="N2595" s="1" t="str">
        <f t="shared" si="852"/>
        <v>凡华云仓-城南圆通-抖音</v>
      </c>
      <c r="O2595" s="5" t="s">
        <v>2631</v>
      </c>
      <c r="P2595" s="6">
        <v>0.35</v>
      </c>
      <c r="Q2595" s="11">
        <v>2.2999999999999998</v>
      </c>
      <c r="R2595" s="11"/>
      <c r="S2595" s="11"/>
      <c r="T2595" s="11"/>
      <c r="U2595" s="11">
        <f t="shared" si="841"/>
        <v>2.2999999999999998</v>
      </c>
      <c r="W2595">
        <v>2.5</v>
      </c>
      <c r="X2595" s="1" t="s">
        <v>13</v>
      </c>
    </row>
    <row r="2596" spans="1:24" x14ac:dyDescent="0.25">
      <c r="A2596" s="1" t="str">
        <f t="shared" si="842"/>
        <v>卡卡杜-凤凰仓</v>
      </c>
      <c r="B2596" s="1" t="str">
        <f>"CK202410267024"</f>
        <v>CK202410267024</v>
      </c>
      <c r="C2596" s="1" t="str">
        <f>"DD2024102646161"</f>
        <v>DD2024102646161</v>
      </c>
      <c r="D2596" s="1" t="str">
        <f>"CK2024102632218"</f>
        <v>CK2024102632218</v>
      </c>
      <c r="E2596" s="1" t="str">
        <f>"6935493376346494004"</f>
        <v>6935493376346494004</v>
      </c>
      <c r="F2596" s="1" t="str">
        <f t="shared" si="843"/>
        <v>花都四部-凤凰仓</v>
      </c>
      <c r="G2596" s="1" t="str">
        <f t="shared" si="851"/>
        <v>卡卡杜个人护理店（抖店）</v>
      </c>
      <c r="H2596" s="1" t="str">
        <f t="shared" si="844"/>
        <v>正常订单</v>
      </c>
      <c r="I2596" s="1" t="str">
        <f t="shared" si="845"/>
        <v>已发货</v>
      </c>
      <c r="J2596" s="1" t="str">
        <f t="shared" si="855"/>
        <v>3</v>
      </c>
      <c r="K2596" s="1">
        <v>2</v>
      </c>
      <c r="L2596" s="1" t="s">
        <v>80</v>
      </c>
      <c r="M2596" s="1" t="str">
        <f>"河南省 郑州市 新郑市 郑港办事处"</f>
        <v>河南省 郑州市 新郑市 郑港办事处</v>
      </c>
      <c r="N2596" s="1" t="str">
        <f t="shared" si="852"/>
        <v>凡华云仓-城南圆通-抖音</v>
      </c>
      <c r="O2596" s="5" t="s">
        <v>2632</v>
      </c>
      <c r="P2596" s="6">
        <v>0.35</v>
      </c>
      <c r="Q2596" s="11">
        <v>2.2999999999999998</v>
      </c>
      <c r="R2596" s="11"/>
      <c r="S2596" s="11"/>
      <c r="T2596" s="11"/>
      <c r="U2596" s="11">
        <f t="shared" si="841"/>
        <v>2.2999999999999998</v>
      </c>
      <c r="W2596">
        <v>2.5</v>
      </c>
      <c r="X2596" s="1" t="s">
        <v>80</v>
      </c>
    </row>
    <row r="2597" spans="1:24" x14ac:dyDescent="0.25">
      <c r="A2597" s="1" t="str">
        <f t="shared" si="842"/>
        <v>卡卡杜-凤凰仓</v>
      </c>
      <c r="B2597" s="1" t="str">
        <f>"CK202410266999"</f>
        <v>CK202410266999</v>
      </c>
      <c r="C2597" s="1" t="str">
        <f>"DD2024102627456"</f>
        <v>DD2024102627456</v>
      </c>
      <c r="D2597" s="1" t="str">
        <f>"CK2024102615207"</f>
        <v>CK2024102615207</v>
      </c>
      <c r="E2597" s="1" t="str">
        <f>"KKD20241026QX001"</f>
        <v>KKD20241026QX001</v>
      </c>
      <c r="F2597" s="1" t="str">
        <f t="shared" si="843"/>
        <v>花都四部-凤凰仓</v>
      </c>
      <c r="G2597" s="1" t="str">
        <f>"卡卡杜（全欣）"</f>
        <v>卡卡杜（全欣）</v>
      </c>
      <c r="H2597" s="1" t="str">
        <f t="shared" si="844"/>
        <v>正常订单</v>
      </c>
      <c r="I2597" s="1" t="str">
        <f t="shared" si="845"/>
        <v>已发货</v>
      </c>
      <c r="J2597" s="1" t="str">
        <f t="shared" si="853"/>
        <v>5</v>
      </c>
      <c r="K2597" s="1">
        <v>2</v>
      </c>
      <c r="L2597" s="1" t="s">
        <v>20</v>
      </c>
      <c r="M2597" s="1" t="str">
        <f>"浙江省 温州市 乐清市 "</f>
        <v xml:space="preserve">浙江省 温州市 乐清市 </v>
      </c>
      <c r="N2597" s="1" t="str">
        <f>"凡华云仓-城南圆通-淘宝"</f>
        <v>凡华云仓-城南圆通-淘宝</v>
      </c>
      <c r="O2597" s="5" t="s">
        <v>2633</v>
      </c>
      <c r="P2597" s="6">
        <v>0.59</v>
      </c>
      <c r="Q2597" s="11">
        <f t="shared" si="854"/>
        <v>2.4499999999999997</v>
      </c>
      <c r="R2597" s="11"/>
      <c r="S2597" s="11"/>
      <c r="T2597" s="11"/>
      <c r="U2597" s="11">
        <f t="shared" si="841"/>
        <v>2.4499999999999997</v>
      </c>
      <c r="V2597" t="s">
        <v>15</v>
      </c>
      <c r="W2597">
        <v>2.4500000000000002</v>
      </c>
      <c r="X2597" s="1" t="s">
        <v>20</v>
      </c>
    </row>
    <row r="2598" spans="1:24" x14ac:dyDescent="0.25">
      <c r="A2598" s="1" t="str">
        <f t="shared" si="842"/>
        <v>卡卡杜-凤凰仓</v>
      </c>
      <c r="B2598" s="1" t="str">
        <f>"CK2024102680"</f>
        <v>CK2024102680</v>
      </c>
      <c r="C2598" s="1" t="str">
        <f>"DD2024102617766"</f>
        <v>DD2024102617766</v>
      </c>
      <c r="D2598" s="1" t="str">
        <f>"CK202410269666"</f>
        <v>CK202410269666</v>
      </c>
      <c r="E2598" s="1" t="str">
        <f>"3723570686073639936"</f>
        <v>3723570686073639936</v>
      </c>
      <c r="F2598" s="1" t="str">
        <f t="shared" si="843"/>
        <v>花都四部-凤凰仓</v>
      </c>
      <c r="G2598" s="1" t="str">
        <f t="shared" ref="G2598:G2661" si="856">"卡卡杜企业店（视频号）"</f>
        <v>卡卡杜企业店（视频号）</v>
      </c>
      <c r="H2598" s="1" t="str">
        <f t="shared" si="844"/>
        <v>正常订单</v>
      </c>
      <c r="I2598" s="1" t="str">
        <f t="shared" si="845"/>
        <v>已发货</v>
      </c>
      <c r="J2598" s="1" t="str">
        <f t="shared" si="855"/>
        <v>3</v>
      </c>
      <c r="K2598" s="1">
        <v>3</v>
      </c>
      <c r="L2598" s="1" t="s">
        <v>18</v>
      </c>
      <c r="M2598" s="1" t="str">
        <f>"广东省 广州市 花都区 "</f>
        <v xml:space="preserve">广东省 广州市 花都区 </v>
      </c>
      <c r="N2598" s="1" t="str">
        <f t="shared" ref="N2598:N2658" si="857">"凡华云仓-城南圆通-微信视频号"</f>
        <v>凡华云仓-城南圆通-微信视频号</v>
      </c>
      <c r="O2598" s="5" t="s">
        <v>2634</v>
      </c>
      <c r="P2598" s="6">
        <v>0.34</v>
      </c>
      <c r="Q2598" s="11">
        <v>2.2999999999999998</v>
      </c>
      <c r="R2598" s="11"/>
      <c r="S2598" s="11"/>
      <c r="T2598" s="11"/>
      <c r="U2598" s="11">
        <f t="shared" si="841"/>
        <v>2.2999999999999998</v>
      </c>
      <c r="W2598">
        <v>2.5</v>
      </c>
      <c r="X2598" s="1" t="s">
        <v>18</v>
      </c>
    </row>
    <row r="2599" spans="1:24" x14ac:dyDescent="0.25">
      <c r="A2599" s="1" t="str">
        <f t="shared" si="842"/>
        <v>卡卡杜-凤凰仓</v>
      </c>
      <c r="B2599" s="1" t="str">
        <f>"CK2024102661"</f>
        <v>CK2024102661</v>
      </c>
      <c r="C2599" s="1" t="str">
        <f>"DD2024102617748"</f>
        <v>DD2024102617748</v>
      </c>
      <c r="D2599" s="1" t="str">
        <f>"CK202410269665"</f>
        <v>CK202410269665</v>
      </c>
      <c r="E2599" s="1" t="str">
        <f>"3723570642922639361"</f>
        <v>3723570642922639361</v>
      </c>
      <c r="F2599" s="1" t="str">
        <f t="shared" si="843"/>
        <v>花都四部-凤凰仓</v>
      </c>
      <c r="G2599" s="1" t="str">
        <f t="shared" si="856"/>
        <v>卡卡杜企业店（视频号）</v>
      </c>
      <c r="H2599" s="1" t="str">
        <f t="shared" si="844"/>
        <v>正常订单</v>
      </c>
      <c r="I2599" s="1" t="str">
        <f t="shared" si="845"/>
        <v>已发货</v>
      </c>
      <c r="J2599" s="1" t="str">
        <f t="shared" si="853"/>
        <v>5</v>
      </c>
      <c r="K2599" s="1">
        <v>2</v>
      </c>
      <c r="L2599" s="1" t="s">
        <v>20</v>
      </c>
      <c r="M2599" s="1" t="str">
        <f>"浙江省 金华市 婺城区 "</f>
        <v xml:space="preserve">浙江省 金华市 婺城区 </v>
      </c>
      <c r="N2599" s="1" t="str">
        <f t="shared" si="857"/>
        <v>凡华云仓-城南圆通-微信视频号</v>
      </c>
      <c r="O2599" s="5" t="s">
        <v>2635</v>
      </c>
      <c r="P2599" s="6">
        <v>0.59</v>
      </c>
      <c r="Q2599" s="11">
        <f t="shared" si="854"/>
        <v>2.4499999999999997</v>
      </c>
      <c r="R2599" s="11"/>
      <c r="S2599" s="11"/>
      <c r="T2599" s="11"/>
      <c r="U2599" s="11">
        <f t="shared" si="841"/>
        <v>2.4499999999999997</v>
      </c>
      <c r="V2599" t="s">
        <v>15</v>
      </c>
      <c r="W2599">
        <v>2.4500000000000002</v>
      </c>
      <c r="X2599" s="1" t="s">
        <v>20</v>
      </c>
    </row>
    <row r="2600" spans="1:24" x14ac:dyDescent="0.25">
      <c r="A2600" s="1" t="str">
        <f t="shared" si="842"/>
        <v>卡卡杜-凤凰仓</v>
      </c>
      <c r="B2600" s="1" t="str">
        <f>"CK2024102603"</f>
        <v>CK2024102603</v>
      </c>
      <c r="C2600" s="1" t="str">
        <f>"DD2024102617661"</f>
        <v>DD2024102617661</v>
      </c>
      <c r="D2600" s="1" t="str">
        <f>"CK202410269664"</f>
        <v>CK202410269664</v>
      </c>
      <c r="E2600" s="1" t="str">
        <f>"3723570589592847872"</f>
        <v>3723570589592847872</v>
      </c>
      <c r="F2600" s="1" t="str">
        <f t="shared" si="843"/>
        <v>花都四部-凤凰仓</v>
      </c>
      <c r="G2600" s="1" t="str">
        <f t="shared" si="856"/>
        <v>卡卡杜企业店（视频号）</v>
      </c>
      <c r="H2600" s="1" t="str">
        <f t="shared" si="844"/>
        <v>正常订单</v>
      </c>
      <c r="I2600" s="1" t="str">
        <f t="shared" si="845"/>
        <v>已发货</v>
      </c>
      <c r="J2600" s="1" t="str">
        <f t="shared" ref="J2600:J2603" si="858">"3"</f>
        <v>3</v>
      </c>
      <c r="K2600" s="1">
        <v>2</v>
      </c>
      <c r="L2600" s="1" t="s">
        <v>36</v>
      </c>
      <c r="M2600" s="1" t="str">
        <f>"安徽省 芜湖市 鸠江区 "</f>
        <v xml:space="preserve">安徽省 芜湖市 鸠江区 </v>
      </c>
      <c r="N2600" s="1" t="str">
        <f t="shared" si="857"/>
        <v>凡华云仓-城南圆通-微信视频号</v>
      </c>
      <c r="O2600" s="5" t="s">
        <v>2636</v>
      </c>
      <c r="P2600" s="6">
        <v>0.35</v>
      </c>
      <c r="Q2600" s="11">
        <v>2.2999999999999998</v>
      </c>
      <c r="R2600" s="11"/>
      <c r="S2600" s="11"/>
      <c r="T2600" s="11"/>
      <c r="U2600" s="11">
        <f t="shared" si="841"/>
        <v>2.2999999999999998</v>
      </c>
      <c r="W2600">
        <v>2.5</v>
      </c>
      <c r="X2600" s="1" t="s">
        <v>36</v>
      </c>
    </row>
    <row r="2601" spans="1:24" x14ac:dyDescent="0.25">
      <c r="A2601" s="1" t="str">
        <f t="shared" si="842"/>
        <v>卡卡杜-凤凰仓</v>
      </c>
      <c r="B2601" s="1" t="str">
        <f>"CK2024102662"</f>
        <v>CK2024102662</v>
      </c>
      <c r="C2601" s="1" t="str">
        <f>"DD2024102617750"</f>
        <v>DD2024102617750</v>
      </c>
      <c r="D2601" s="1" t="str">
        <f>"CK202410269663"</f>
        <v>CK202410269663</v>
      </c>
      <c r="E2601" s="1" t="str">
        <f>"3723570332801044480"</f>
        <v>3723570332801044480</v>
      </c>
      <c r="F2601" s="1" t="str">
        <f t="shared" si="843"/>
        <v>花都四部-凤凰仓</v>
      </c>
      <c r="G2601" s="1" t="str">
        <f t="shared" si="856"/>
        <v>卡卡杜企业店（视频号）</v>
      </c>
      <c r="H2601" s="1" t="str">
        <f t="shared" si="844"/>
        <v>正常订单</v>
      </c>
      <c r="I2601" s="1" t="str">
        <f t="shared" si="845"/>
        <v>已发货</v>
      </c>
      <c r="J2601" s="1" t="str">
        <f>"10"</f>
        <v>10</v>
      </c>
      <c r="K2601" s="1">
        <v>2</v>
      </c>
      <c r="L2601" s="1" t="s">
        <v>13</v>
      </c>
      <c r="M2601" s="1" t="str">
        <f>"江苏省 徐州市 邳州市 "</f>
        <v xml:space="preserve">江苏省 徐州市 邳州市 </v>
      </c>
      <c r="N2601" s="1" t="str">
        <f t="shared" si="857"/>
        <v>凡华云仓-城南圆通-微信视频号</v>
      </c>
      <c r="O2601" s="5" t="s">
        <v>2637</v>
      </c>
      <c r="P2601" s="6">
        <v>1.1200000000000001</v>
      </c>
      <c r="Q2601" s="11">
        <f t="shared" ref="Q2601:Q2605" si="859">CEILING(P2601-0.5,0.1)*10*0.15+2.3</f>
        <v>3.3499999999999996</v>
      </c>
      <c r="R2601" s="11"/>
      <c r="S2601" s="11"/>
      <c r="T2601" s="11"/>
      <c r="U2601" s="11">
        <f t="shared" si="841"/>
        <v>3.3499999999999996</v>
      </c>
      <c r="V2601" t="s">
        <v>15</v>
      </c>
      <c r="W2601">
        <v>3.35</v>
      </c>
      <c r="X2601" s="1" t="s">
        <v>13</v>
      </c>
    </row>
    <row r="2602" spans="1:24" x14ac:dyDescent="0.25">
      <c r="A2602" s="1" t="str">
        <f t="shared" si="842"/>
        <v>卡卡杜-凤凰仓</v>
      </c>
      <c r="B2602" s="1" t="str">
        <f>"CK2024102604"</f>
        <v>CK2024102604</v>
      </c>
      <c r="C2602" s="1" t="str">
        <f>"DD2024102617662"</f>
        <v>DD2024102617662</v>
      </c>
      <c r="D2602" s="1" t="str">
        <f>"CK202410269662"</f>
        <v>CK202410269662</v>
      </c>
      <c r="E2602" s="1" t="str">
        <f>"3723570222071944192"</f>
        <v>3723570222071944192</v>
      </c>
      <c r="F2602" s="1" t="str">
        <f t="shared" si="843"/>
        <v>花都四部-凤凰仓</v>
      </c>
      <c r="G2602" s="1" t="str">
        <f t="shared" si="856"/>
        <v>卡卡杜企业店（视频号）</v>
      </c>
      <c r="H2602" s="1" t="str">
        <f t="shared" si="844"/>
        <v>正常订单</v>
      </c>
      <c r="I2602" s="1" t="str">
        <f t="shared" si="845"/>
        <v>已发货</v>
      </c>
      <c r="J2602" s="1" t="str">
        <f t="shared" si="858"/>
        <v>3</v>
      </c>
      <c r="K2602" s="1">
        <v>2</v>
      </c>
      <c r="L2602" s="1" t="s">
        <v>41</v>
      </c>
      <c r="M2602" s="1" t="str">
        <f>"湖北省 武汉市 汉南区 "</f>
        <v xml:space="preserve">湖北省 武汉市 汉南区 </v>
      </c>
      <c r="N2602" s="1" t="str">
        <f t="shared" si="857"/>
        <v>凡华云仓-城南圆通-微信视频号</v>
      </c>
      <c r="O2602" s="5" t="s">
        <v>2638</v>
      </c>
      <c r="P2602" s="6">
        <v>0.35</v>
      </c>
      <c r="Q2602" s="11">
        <v>2.2999999999999998</v>
      </c>
      <c r="R2602" s="11"/>
      <c r="S2602" s="11"/>
      <c r="T2602" s="11"/>
      <c r="U2602" s="11">
        <f t="shared" si="841"/>
        <v>2.2999999999999998</v>
      </c>
      <c r="W2602">
        <v>2.5</v>
      </c>
      <c r="X2602" s="1" t="s">
        <v>41</v>
      </c>
    </row>
    <row r="2603" spans="1:24" x14ac:dyDescent="0.25">
      <c r="A2603" s="1" t="str">
        <f t="shared" si="842"/>
        <v>卡卡杜-凤凰仓</v>
      </c>
      <c r="B2603" s="1" t="str">
        <f>"CK2024102681"</f>
        <v>CK2024102681</v>
      </c>
      <c r="C2603" s="1" t="str">
        <f>"DD2024102617768"</f>
        <v>DD2024102617768</v>
      </c>
      <c r="D2603" s="1" t="str">
        <f>"CK202410269661"</f>
        <v>CK202410269661</v>
      </c>
      <c r="E2603" s="1" t="str">
        <f>"3723570092119295232"</f>
        <v>3723570092119295232</v>
      </c>
      <c r="F2603" s="1" t="str">
        <f t="shared" si="843"/>
        <v>花都四部-凤凰仓</v>
      </c>
      <c r="G2603" s="1" t="str">
        <f t="shared" si="856"/>
        <v>卡卡杜企业店（视频号）</v>
      </c>
      <c r="H2603" s="1" t="str">
        <f t="shared" si="844"/>
        <v>正常订单</v>
      </c>
      <c r="I2603" s="1" t="str">
        <f t="shared" si="845"/>
        <v>已发货</v>
      </c>
      <c r="J2603" s="1" t="str">
        <f t="shared" si="858"/>
        <v>3</v>
      </c>
      <c r="K2603" s="1">
        <v>3</v>
      </c>
      <c r="L2603" s="1" t="s">
        <v>80</v>
      </c>
      <c r="M2603" s="1" t="str">
        <f>"河南省 郑州市 金水区 "</f>
        <v xml:space="preserve">河南省 郑州市 金水区 </v>
      </c>
      <c r="N2603" s="1" t="str">
        <f t="shared" si="857"/>
        <v>凡华云仓-城南圆通-微信视频号</v>
      </c>
      <c r="O2603" s="5" t="s">
        <v>2639</v>
      </c>
      <c r="P2603" s="6">
        <v>0.34</v>
      </c>
      <c r="Q2603" s="11">
        <v>2.2999999999999998</v>
      </c>
      <c r="R2603" s="11"/>
      <c r="S2603" s="11"/>
      <c r="T2603" s="11"/>
      <c r="U2603" s="11">
        <f t="shared" si="841"/>
        <v>2.2999999999999998</v>
      </c>
      <c r="W2603">
        <v>2.5</v>
      </c>
      <c r="X2603" s="1" t="s">
        <v>80</v>
      </c>
    </row>
    <row r="2604" spans="1:24" x14ac:dyDescent="0.25">
      <c r="A2604" s="1" t="str">
        <f t="shared" si="842"/>
        <v>卡卡杜-凤凰仓</v>
      </c>
      <c r="B2604" s="1" t="str">
        <f>"CK2024102665"</f>
        <v>CK2024102665</v>
      </c>
      <c r="C2604" s="1" t="str">
        <f>"DD2024102617747"</f>
        <v>DD2024102617747</v>
      </c>
      <c r="D2604" s="1" t="str">
        <f>"CK202410269660"</f>
        <v>CK202410269660</v>
      </c>
      <c r="E2604" s="1" t="str">
        <f>"3723569745825240064"</f>
        <v>3723569745825240064</v>
      </c>
      <c r="F2604" s="1" t="str">
        <f t="shared" si="843"/>
        <v>花都四部-凤凰仓</v>
      </c>
      <c r="G2604" s="1" t="str">
        <f t="shared" si="856"/>
        <v>卡卡杜企业店（视频号）</v>
      </c>
      <c r="H2604" s="1" t="str">
        <f t="shared" si="844"/>
        <v>正常订单</v>
      </c>
      <c r="I2604" s="1" t="str">
        <f t="shared" si="845"/>
        <v>已发货</v>
      </c>
      <c r="J2604" s="1" t="str">
        <f>"5"</f>
        <v>5</v>
      </c>
      <c r="K2604" s="1">
        <v>2</v>
      </c>
      <c r="L2604" s="1" t="s">
        <v>74</v>
      </c>
      <c r="M2604" s="1" t="str">
        <f>"上海 上海市 长宁区 "</f>
        <v xml:space="preserve">上海 上海市 长宁区 </v>
      </c>
      <c r="N2604" s="1" t="str">
        <f t="shared" si="857"/>
        <v>凡华云仓-城南圆通-微信视频号</v>
      </c>
      <c r="O2604" s="5" t="s">
        <v>2640</v>
      </c>
      <c r="P2604" s="6">
        <v>0.59</v>
      </c>
      <c r="Q2604" s="11">
        <f t="shared" si="859"/>
        <v>2.4499999999999997</v>
      </c>
      <c r="R2604" s="11"/>
      <c r="S2604" s="11"/>
      <c r="T2604" s="11"/>
      <c r="U2604" s="11">
        <f t="shared" si="841"/>
        <v>2.4499999999999997</v>
      </c>
      <c r="V2604" t="s">
        <v>15</v>
      </c>
      <c r="W2604">
        <v>2.4500000000000002</v>
      </c>
      <c r="X2604" s="1" t="s">
        <v>74</v>
      </c>
    </row>
    <row r="2605" spans="1:24" x14ac:dyDescent="0.25">
      <c r="A2605" s="1" t="str">
        <f t="shared" si="842"/>
        <v>卡卡杜-凤凰仓</v>
      </c>
      <c r="B2605" s="1" t="str">
        <f>"CK2024102666"</f>
        <v>CK2024102666</v>
      </c>
      <c r="C2605" s="1" t="str">
        <f>"DD2024102617749"</f>
        <v>DD2024102617749</v>
      </c>
      <c r="D2605" s="1" t="str">
        <f>"CK202410269659"</f>
        <v>CK202410269659</v>
      </c>
      <c r="E2605" s="1" t="str">
        <f>"3723569733763207168"</f>
        <v>3723569733763207168</v>
      </c>
      <c r="F2605" s="1" t="str">
        <f t="shared" si="843"/>
        <v>花都四部-凤凰仓</v>
      </c>
      <c r="G2605" s="1" t="str">
        <f t="shared" si="856"/>
        <v>卡卡杜企业店（视频号）</v>
      </c>
      <c r="H2605" s="1" t="str">
        <f t="shared" si="844"/>
        <v>正常订单</v>
      </c>
      <c r="I2605" s="1" t="str">
        <f t="shared" si="845"/>
        <v>已发货</v>
      </c>
      <c r="J2605" s="1" t="str">
        <f>"5"</f>
        <v>5</v>
      </c>
      <c r="K2605" s="1">
        <v>2</v>
      </c>
      <c r="L2605" s="1" t="s">
        <v>94</v>
      </c>
      <c r="M2605" s="1" t="str">
        <f>"湖南省 怀化市 通道侗族自治县 "</f>
        <v xml:space="preserve">湖南省 怀化市 通道侗族自治县 </v>
      </c>
      <c r="N2605" s="1" t="str">
        <f t="shared" si="857"/>
        <v>凡华云仓-城南圆通-微信视频号</v>
      </c>
      <c r="O2605" s="5" t="s">
        <v>2641</v>
      </c>
      <c r="P2605" s="6">
        <v>0.59</v>
      </c>
      <c r="Q2605" s="11">
        <f t="shared" si="859"/>
        <v>2.4499999999999997</v>
      </c>
      <c r="R2605" s="11"/>
      <c r="S2605" s="11"/>
      <c r="T2605" s="11"/>
      <c r="U2605" s="11">
        <f t="shared" si="841"/>
        <v>2.4499999999999997</v>
      </c>
      <c r="V2605" t="s">
        <v>15</v>
      </c>
      <c r="W2605">
        <v>2.4500000000000002</v>
      </c>
      <c r="X2605" s="1" t="s">
        <v>94</v>
      </c>
    </row>
    <row r="2606" spans="1:24" x14ac:dyDescent="0.25">
      <c r="A2606" s="1" t="str">
        <f t="shared" si="842"/>
        <v>卡卡杜-凤凰仓</v>
      </c>
      <c r="B2606" s="1" t="str">
        <f>"CK2024102605"</f>
        <v>CK2024102605</v>
      </c>
      <c r="C2606" s="1" t="str">
        <f>"DD2024102617663"</f>
        <v>DD2024102617663</v>
      </c>
      <c r="D2606" s="1" t="str">
        <f>"CK202410269658"</f>
        <v>CK202410269658</v>
      </c>
      <c r="E2606" s="1" t="str">
        <f>"3723569660555298048"</f>
        <v>3723569660555298048</v>
      </c>
      <c r="F2606" s="1" t="str">
        <f t="shared" si="843"/>
        <v>花都四部-凤凰仓</v>
      </c>
      <c r="G2606" s="1" t="str">
        <f t="shared" si="856"/>
        <v>卡卡杜企业店（视频号）</v>
      </c>
      <c r="H2606" s="1" t="str">
        <f t="shared" si="844"/>
        <v>正常订单</v>
      </c>
      <c r="I2606" s="1" t="str">
        <f t="shared" si="845"/>
        <v>已发货</v>
      </c>
      <c r="J2606" s="1" t="str">
        <f t="shared" ref="J2606:J2609" si="860">"3"</f>
        <v>3</v>
      </c>
      <c r="K2606" s="1">
        <v>2</v>
      </c>
      <c r="L2606" s="1" t="s">
        <v>24</v>
      </c>
      <c r="M2606" s="1" t="str">
        <f>"福建省 三明市 沙县区 "</f>
        <v xml:space="preserve">福建省 三明市 沙县区 </v>
      </c>
      <c r="N2606" s="1" t="str">
        <f t="shared" si="857"/>
        <v>凡华云仓-城南圆通-微信视频号</v>
      </c>
      <c r="O2606" s="5" t="s">
        <v>2642</v>
      </c>
      <c r="P2606" s="6">
        <v>0.35</v>
      </c>
      <c r="Q2606" s="11">
        <v>2.2999999999999998</v>
      </c>
      <c r="R2606" s="11"/>
      <c r="S2606" s="11"/>
      <c r="T2606" s="11"/>
      <c r="U2606" s="11">
        <f t="shared" si="841"/>
        <v>2.2999999999999998</v>
      </c>
      <c r="W2606">
        <v>2.5</v>
      </c>
      <c r="X2606" s="1" t="s">
        <v>24</v>
      </c>
    </row>
    <row r="2607" spans="1:24" x14ac:dyDescent="0.25">
      <c r="A2607" s="1" t="str">
        <f t="shared" si="842"/>
        <v>卡卡杜-凤凰仓</v>
      </c>
      <c r="B2607" s="1" t="str">
        <f>"CK2024102611"</f>
        <v>CK2024102611</v>
      </c>
      <c r="C2607" s="1" t="str">
        <f>"DD2024102617671"</f>
        <v>DD2024102617671</v>
      </c>
      <c r="D2607" s="1" t="str">
        <f>"CK202410269657"</f>
        <v>CK202410269657</v>
      </c>
      <c r="E2607" s="1" t="str">
        <f>"3723568770116621312"</f>
        <v>3723568770116621312</v>
      </c>
      <c r="F2607" s="1" t="str">
        <f t="shared" si="843"/>
        <v>花都四部-凤凰仓</v>
      </c>
      <c r="G2607" s="1" t="str">
        <f t="shared" si="856"/>
        <v>卡卡杜企业店（视频号）</v>
      </c>
      <c r="H2607" s="1" t="str">
        <f t="shared" si="844"/>
        <v>正常订单</v>
      </c>
      <c r="I2607" s="1" t="str">
        <f t="shared" si="845"/>
        <v>已发货</v>
      </c>
      <c r="J2607" s="1" t="str">
        <f t="shared" si="860"/>
        <v>3</v>
      </c>
      <c r="K2607" s="1">
        <v>2</v>
      </c>
      <c r="L2607" s="1" t="s">
        <v>41</v>
      </c>
      <c r="M2607" s="1" t="str">
        <f>"湖北省 武汉市 江岸区 "</f>
        <v xml:space="preserve">湖北省 武汉市 江岸区 </v>
      </c>
      <c r="N2607" s="1" t="str">
        <f t="shared" si="857"/>
        <v>凡华云仓-城南圆通-微信视频号</v>
      </c>
      <c r="O2607" s="5" t="s">
        <v>2643</v>
      </c>
      <c r="P2607" s="6">
        <v>0.35</v>
      </c>
      <c r="Q2607" s="11">
        <v>2.2999999999999998</v>
      </c>
      <c r="R2607" s="11"/>
      <c r="S2607" s="11"/>
      <c r="T2607" s="11"/>
      <c r="U2607" s="11">
        <f t="shared" si="841"/>
        <v>2.2999999999999998</v>
      </c>
      <c r="W2607">
        <v>2.5</v>
      </c>
      <c r="X2607" s="1" t="s">
        <v>41</v>
      </c>
    </row>
    <row r="2608" spans="1:24" x14ac:dyDescent="0.25">
      <c r="A2608" s="1" t="str">
        <f t="shared" si="842"/>
        <v>卡卡杜-凤凰仓</v>
      </c>
      <c r="B2608" s="1" t="str">
        <f>"CK2024102614"</f>
        <v>CK2024102614</v>
      </c>
      <c r="C2608" s="1" t="str">
        <f>"DD2024102617675"</f>
        <v>DD2024102617675</v>
      </c>
      <c r="D2608" s="1" t="str">
        <f>"CK202410269656"</f>
        <v>CK202410269656</v>
      </c>
      <c r="E2608" s="1" t="str">
        <f>"3723568591421968384"</f>
        <v>3723568591421968384</v>
      </c>
      <c r="F2608" s="1" t="str">
        <f t="shared" si="843"/>
        <v>花都四部-凤凰仓</v>
      </c>
      <c r="G2608" s="1" t="str">
        <f t="shared" si="856"/>
        <v>卡卡杜企业店（视频号）</v>
      </c>
      <c r="H2608" s="1" t="str">
        <f t="shared" si="844"/>
        <v>正常订单</v>
      </c>
      <c r="I2608" s="1" t="str">
        <f t="shared" si="845"/>
        <v>已发货</v>
      </c>
      <c r="J2608" s="1" t="str">
        <f t="shared" si="860"/>
        <v>3</v>
      </c>
      <c r="K2608" s="1">
        <v>2</v>
      </c>
      <c r="L2608" s="1" t="s">
        <v>92</v>
      </c>
      <c r="M2608" s="1" t="str">
        <f>"辽宁省 本溪市 明山区 "</f>
        <v xml:space="preserve">辽宁省 本溪市 明山区 </v>
      </c>
      <c r="N2608" s="1" t="str">
        <f t="shared" si="857"/>
        <v>凡华云仓-城南圆通-微信视频号</v>
      </c>
      <c r="O2608" s="5" t="s">
        <v>2644</v>
      </c>
      <c r="P2608" s="6">
        <v>0.35</v>
      </c>
      <c r="Q2608" s="11">
        <v>2.2999999999999998</v>
      </c>
      <c r="R2608" s="11"/>
      <c r="S2608" s="11"/>
      <c r="T2608" s="11"/>
      <c r="U2608" s="11">
        <f t="shared" si="841"/>
        <v>2.2999999999999998</v>
      </c>
      <c r="W2608">
        <v>2.5</v>
      </c>
      <c r="X2608" s="1" t="s">
        <v>92</v>
      </c>
    </row>
    <row r="2609" spans="1:24" x14ac:dyDescent="0.25">
      <c r="A2609" s="1" t="str">
        <f t="shared" si="842"/>
        <v>卡卡杜-凤凰仓</v>
      </c>
      <c r="B2609" s="1" t="str">
        <f>"CK2024102615"</f>
        <v>CK2024102615</v>
      </c>
      <c r="C2609" s="1" t="str">
        <f>"DD2024102617676"</f>
        <v>DD2024102617676</v>
      </c>
      <c r="D2609" s="1" t="str">
        <f>"CK202410269655"</f>
        <v>CK202410269655</v>
      </c>
      <c r="E2609" s="1" t="str">
        <f>"3723568596021806592"</f>
        <v>3723568596021806592</v>
      </c>
      <c r="F2609" s="1" t="str">
        <f t="shared" si="843"/>
        <v>花都四部-凤凰仓</v>
      </c>
      <c r="G2609" s="1" t="str">
        <f t="shared" si="856"/>
        <v>卡卡杜企业店（视频号）</v>
      </c>
      <c r="H2609" s="1" t="str">
        <f t="shared" si="844"/>
        <v>正常订单</v>
      </c>
      <c r="I2609" s="1" t="str">
        <f t="shared" si="845"/>
        <v>已发货</v>
      </c>
      <c r="J2609" s="1" t="str">
        <f t="shared" si="860"/>
        <v>3</v>
      </c>
      <c r="K2609" s="1">
        <v>2</v>
      </c>
      <c r="L2609" s="1" t="s">
        <v>24</v>
      </c>
      <c r="M2609" s="1" t="str">
        <f>"福建省 莆田市 城厢区 "</f>
        <v xml:space="preserve">福建省 莆田市 城厢区 </v>
      </c>
      <c r="N2609" s="1" t="str">
        <f t="shared" si="857"/>
        <v>凡华云仓-城南圆通-微信视频号</v>
      </c>
      <c r="O2609" s="5" t="s">
        <v>2645</v>
      </c>
      <c r="P2609" s="6">
        <v>0.35</v>
      </c>
      <c r="Q2609" s="11">
        <v>2.2999999999999998</v>
      </c>
      <c r="R2609" s="11"/>
      <c r="S2609" s="11"/>
      <c r="T2609" s="11"/>
      <c r="U2609" s="11">
        <f t="shared" si="841"/>
        <v>2.2999999999999998</v>
      </c>
      <c r="W2609">
        <v>2.5</v>
      </c>
      <c r="X2609" s="1" t="s">
        <v>24</v>
      </c>
    </row>
    <row r="2610" spans="1:24" x14ac:dyDescent="0.25">
      <c r="A2610" s="1" t="str">
        <f t="shared" si="842"/>
        <v>卡卡杜-凤凰仓</v>
      </c>
      <c r="B2610" s="1" t="str">
        <f>"CK2024102670"</f>
        <v>CK2024102670</v>
      </c>
      <c r="C2610" s="1" t="str">
        <f>"DD2024102617758"</f>
        <v>DD2024102617758</v>
      </c>
      <c r="D2610" s="1" t="str">
        <f>"CK202410269654"</f>
        <v>CK202410269654</v>
      </c>
      <c r="E2610" s="1" t="str">
        <f>"3723562290810062336"</f>
        <v>3723562290810062336</v>
      </c>
      <c r="F2610" s="1" t="str">
        <f t="shared" si="843"/>
        <v>花都四部-凤凰仓</v>
      </c>
      <c r="G2610" s="1" t="str">
        <f t="shared" si="856"/>
        <v>卡卡杜企业店（视频号）</v>
      </c>
      <c r="H2610" s="1" t="str">
        <f t="shared" si="844"/>
        <v>正常订单</v>
      </c>
      <c r="I2610" s="1" t="str">
        <f t="shared" si="845"/>
        <v>已发货</v>
      </c>
      <c r="J2610" s="1" t="str">
        <f>"5"</f>
        <v>5</v>
      </c>
      <c r="K2610" s="1">
        <v>3</v>
      </c>
      <c r="L2610" s="1" t="s">
        <v>13</v>
      </c>
      <c r="M2610" s="1" t="str">
        <f>"江苏省 常州市 钟楼区 "</f>
        <v xml:space="preserve">江苏省 常州市 钟楼区 </v>
      </c>
      <c r="N2610" s="1" t="str">
        <f t="shared" si="857"/>
        <v>凡华云仓-城南圆通-微信视频号</v>
      </c>
      <c r="O2610" s="5" t="s">
        <v>2646</v>
      </c>
      <c r="P2610" s="6">
        <v>0.56000000000000005</v>
      </c>
      <c r="Q2610" s="11">
        <f>CEILING(P2610-0.5,0.1)*10*0.15+2.3</f>
        <v>2.4499999999999997</v>
      </c>
      <c r="R2610" s="11"/>
      <c r="S2610" s="11"/>
      <c r="T2610" s="11"/>
      <c r="U2610" s="11">
        <f t="shared" si="841"/>
        <v>2.4499999999999997</v>
      </c>
      <c r="V2610" t="s">
        <v>15</v>
      </c>
      <c r="W2610">
        <v>2.4500000000000002</v>
      </c>
      <c r="X2610" s="1" t="s">
        <v>13</v>
      </c>
    </row>
    <row r="2611" spans="1:24" x14ac:dyDescent="0.25">
      <c r="A2611" s="1" t="str">
        <f t="shared" si="842"/>
        <v>卡卡杜-凤凰仓</v>
      </c>
      <c r="B2611" s="1" t="str">
        <f>"CK2024102684"</f>
        <v>CK2024102684</v>
      </c>
      <c r="C2611" s="1" t="str">
        <f>"DD2024102617771"</f>
        <v>DD2024102617771</v>
      </c>
      <c r="D2611" s="1" t="str">
        <f>"CK202410269653"</f>
        <v>CK202410269653</v>
      </c>
      <c r="E2611" s="1" t="str">
        <f>"3723562251832136705"</f>
        <v>3723562251832136705</v>
      </c>
      <c r="F2611" s="1" t="str">
        <f t="shared" si="843"/>
        <v>花都四部-凤凰仓</v>
      </c>
      <c r="G2611" s="1" t="str">
        <f t="shared" si="856"/>
        <v>卡卡杜企业店（视频号）</v>
      </c>
      <c r="H2611" s="1" t="str">
        <f t="shared" si="844"/>
        <v>正常订单</v>
      </c>
      <c r="I2611" s="1" t="str">
        <f t="shared" si="845"/>
        <v>已发货</v>
      </c>
      <c r="J2611" s="1" t="str">
        <f t="shared" ref="J2611:J2614" si="861">"2"</f>
        <v>2</v>
      </c>
      <c r="K2611" s="1">
        <v>2</v>
      </c>
      <c r="L2611" s="1" t="s">
        <v>18</v>
      </c>
      <c r="M2611" s="1" t="str">
        <f>"广东省 广州市 番禺区 "</f>
        <v xml:space="preserve">广东省 广州市 番禺区 </v>
      </c>
      <c r="N2611" s="1" t="str">
        <f t="shared" si="857"/>
        <v>凡华云仓-城南圆通-微信视频号</v>
      </c>
      <c r="O2611" s="5" t="s">
        <v>2647</v>
      </c>
      <c r="P2611" s="6">
        <v>0.17</v>
      </c>
      <c r="Q2611" s="11">
        <v>2</v>
      </c>
      <c r="R2611" s="11"/>
      <c r="S2611" s="11"/>
      <c r="T2611" s="11"/>
      <c r="U2611" s="11">
        <f t="shared" si="841"/>
        <v>2</v>
      </c>
      <c r="W2611">
        <v>2.2000000000000002</v>
      </c>
      <c r="X2611" s="1" t="s">
        <v>18</v>
      </c>
    </row>
    <row r="2612" spans="1:24" x14ac:dyDescent="0.25">
      <c r="A2612" s="1" t="str">
        <f t="shared" si="842"/>
        <v>卡卡杜-凤凰仓</v>
      </c>
      <c r="B2612" s="1" t="str">
        <f>"CK2024102685"</f>
        <v>CK2024102685</v>
      </c>
      <c r="C2612" s="1" t="str">
        <f>"DD2024102617767"</f>
        <v>DD2024102617767</v>
      </c>
      <c r="D2612" s="1" t="str">
        <f>"CK202410269652"</f>
        <v>CK202410269652</v>
      </c>
      <c r="E2612" s="1" t="str">
        <f>"3723562105955554304"</f>
        <v>3723562105955554304</v>
      </c>
      <c r="F2612" s="1" t="str">
        <f t="shared" si="843"/>
        <v>花都四部-凤凰仓</v>
      </c>
      <c r="G2612" s="1" t="str">
        <f t="shared" si="856"/>
        <v>卡卡杜企业店（视频号）</v>
      </c>
      <c r="H2612" s="1" t="str">
        <f t="shared" si="844"/>
        <v>正常订单</v>
      </c>
      <c r="I2612" s="1" t="str">
        <f t="shared" si="845"/>
        <v>已发货</v>
      </c>
      <c r="J2612" s="1" t="str">
        <f t="shared" ref="J2612:J2617" si="862">"3"</f>
        <v>3</v>
      </c>
      <c r="K2612" s="1">
        <v>2</v>
      </c>
      <c r="L2612" s="1" t="s">
        <v>20</v>
      </c>
      <c r="M2612" s="1" t="str">
        <f>"浙江省 杭州市 西湖区 "</f>
        <v xml:space="preserve">浙江省 杭州市 西湖区 </v>
      </c>
      <c r="N2612" s="1" t="str">
        <f t="shared" si="857"/>
        <v>凡华云仓-城南圆通-微信视频号</v>
      </c>
      <c r="O2612" s="5" t="s">
        <v>2648</v>
      </c>
      <c r="P2612" s="6">
        <v>0.24</v>
      </c>
      <c r="Q2612" s="11">
        <v>2</v>
      </c>
      <c r="R2612" s="11"/>
      <c r="S2612" s="11"/>
      <c r="T2612" s="11"/>
      <c r="U2612" s="11">
        <f t="shared" si="841"/>
        <v>2</v>
      </c>
      <c r="W2612">
        <v>2.2000000000000002</v>
      </c>
      <c r="X2612" s="1" t="s">
        <v>20</v>
      </c>
    </row>
    <row r="2613" spans="1:24" x14ac:dyDescent="0.25">
      <c r="A2613" s="1" t="str">
        <f t="shared" si="842"/>
        <v>卡卡杜-凤凰仓</v>
      </c>
      <c r="B2613" s="1" t="str">
        <f>"CK2024102687"</f>
        <v>CK2024102687</v>
      </c>
      <c r="C2613" s="1" t="str">
        <f>"DD2024102617777"</f>
        <v>DD2024102617777</v>
      </c>
      <c r="D2613" s="1" t="str">
        <f>"CK202410269651"</f>
        <v>CK202410269651</v>
      </c>
      <c r="E2613" s="1" t="str">
        <f>"3723562068659537408"</f>
        <v>3723562068659537408</v>
      </c>
      <c r="F2613" s="1" t="str">
        <f t="shared" si="843"/>
        <v>花都四部-凤凰仓</v>
      </c>
      <c r="G2613" s="1" t="str">
        <f t="shared" si="856"/>
        <v>卡卡杜企业店（视频号）</v>
      </c>
      <c r="H2613" s="1" t="str">
        <f t="shared" si="844"/>
        <v>正常订单</v>
      </c>
      <c r="I2613" s="1" t="str">
        <f t="shared" si="845"/>
        <v>已发货</v>
      </c>
      <c r="J2613" s="1" t="str">
        <f t="shared" si="861"/>
        <v>2</v>
      </c>
      <c r="K2613" s="1">
        <v>2</v>
      </c>
      <c r="L2613" s="1" t="s">
        <v>41</v>
      </c>
      <c r="M2613" s="1" t="str">
        <f>"湖北省 黄石市 阳新县 "</f>
        <v xml:space="preserve">湖北省 黄石市 阳新县 </v>
      </c>
      <c r="N2613" s="1" t="str">
        <f t="shared" si="857"/>
        <v>凡华云仓-城南圆通-微信视频号</v>
      </c>
      <c r="O2613" s="5" t="s">
        <v>2649</v>
      </c>
      <c r="P2613" s="6">
        <v>0.17</v>
      </c>
      <c r="Q2613" s="11">
        <v>2</v>
      </c>
      <c r="R2613" s="11"/>
      <c r="S2613" s="11"/>
      <c r="T2613" s="11"/>
      <c r="U2613" s="11">
        <f t="shared" si="841"/>
        <v>2</v>
      </c>
      <c r="W2613">
        <v>2.2000000000000002</v>
      </c>
      <c r="X2613" s="1" t="s">
        <v>41</v>
      </c>
    </row>
    <row r="2614" spans="1:24" x14ac:dyDescent="0.25">
      <c r="A2614" s="1" t="str">
        <f t="shared" si="842"/>
        <v>卡卡杜-凤凰仓</v>
      </c>
      <c r="B2614" s="1" t="str">
        <f>"CK2024102686"</f>
        <v>CK2024102686</v>
      </c>
      <c r="C2614" s="1" t="str">
        <f>"DD2024102617778"</f>
        <v>DD2024102617778</v>
      </c>
      <c r="D2614" s="1" t="str">
        <f>"CK202410269650"</f>
        <v>CK202410269650</v>
      </c>
      <c r="E2614" s="1" t="str">
        <f>"3723562068624936960"</f>
        <v>3723562068624936960</v>
      </c>
      <c r="F2614" s="1" t="str">
        <f t="shared" si="843"/>
        <v>花都四部-凤凰仓</v>
      </c>
      <c r="G2614" s="1" t="str">
        <f t="shared" si="856"/>
        <v>卡卡杜企业店（视频号）</v>
      </c>
      <c r="H2614" s="1" t="str">
        <f t="shared" si="844"/>
        <v>正常订单</v>
      </c>
      <c r="I2614" s="1" t="str">
        <f t="shared" si="845"/>
        <v>已发货</v>
      </c>
      <c r="J2614" s="1" t="str">
        <f t="shared" si="861"/>
        <v>2</v>
      </c>
      <c r="K2614" s="1">
        <v>2</v>
      </c>
      <c r="L2614" s="1" t="s">
        <v>16</v>
      </c>
      <c r="M2614" s="1" t="str">
        <f>"河北省 唐山市 路北区 "</f>
        <v xml:space="preserve">河北省 唐山市 路北区 </v>
      </c>
      <c r="N2614" s="1" t="str">
        <f t="shared" si="857"/>
        <v>凡华云仓-城南圆通-微信视频号</v>
      </c>
      <c r="O2614" s="5" t="s">
        <v>2650</v>
      </c>
      <c r="P2614" s="6">
        <v>0.17</v>
      </c>
      <c r="Q2614" s="11">
        <v>2</v>
      </c>
      <c r="R2614" s="11"/>
      <c r="S2614" s="11"/>
      <c r="T2614" s="11"/>
      <c r="U2614" s="11">
        <f t="shared" si="841"/>
        <v>2</v>
      </c>
      <c r="W2614">
        <v>2.2000000000000002</v>
      </c>
      <c r="X2614" s="1" t="s">
        <v>16</v>
      </c>
    </row>
    <row r="2615" spans="1:24" x14ac:dyDescent="0.25">
      <c r="A2615" s="1" t="str">
        <f t="shared" si="842"/>
        <v>卡卡杜-凤凰仓</v>
      </c>
      <c r="B2615" s="1" t="str">
        <f>"CK2024102688"</f>
        <v>CK2024102688</v>
      </c>
      <c r="C2615" s="1" t="str">
        <f>"DD2024102617779"</f>
        <v>DD2024102617779</v>
      </c>
      <c r="D2615" s="1" t="str">
        <f>"CK202410269649"</f>
        <v>CK202410269649</v>
      </c>
      <c r="E2615" s="1" t="str">
        <f>"3723562054991086848"</f>
        <v>3723562054991086848</v>
      </c>
      <c r="F2615" s="1" t="str">
        <f t="shared" si="843"/>
        <v>花都四部-凤凰仓</v>
      </c>
      <c r="G2615" s="1" t="str">
        <f t="shared" si="856"/>
        <v>卡卡杜企业店（视频号）</v>
      </c>
      <c r="H2615" s="1" t="str">
        <f t="shared" si="844"/>
        <v>正常订单</v>
      </c>
      <c r="I2615" s="1" t="str">
        <f t="shared" si="845"/>
        <v>已发货</v>
      </c>
      <c r="J2615" s="1" t="str">
        <f t="shared" si="862"/>
        <v>3</v>
      </c>
      <c r="K2615" s="1">
        <v>2</v>
      </c>
      <c r="L2615" s="1" t="s">
        <v>44</v>
      </c>
      <c r="M2615" s="1" t="str">
        <f>"海南省 海口市 秀英区 "</f>
        <v xml:space="preserve">海南省 海口市 秀英区 </v>
      </c>
      <c r="N2615" s="1" t="str">
        <f t="shared" si="857"/>
        <v>凡华云仓-城南圆通-微信视频号</v>
      </c>
      <c r="O2615" s="5" t="s">
        <v>2651</v>
      </c>
      <c r="P2615" s="6">
        <v>0.24</v>
      </c>
      <c r="Q2615" s="11">
        <v>2</v>
      </c>
      <c r="R2615" s="11"/>
      <c r="S2615" s="11"/>
      <c r="T2615" s="11"/>
      <c r="U2615" s="11">
        <f t="shared" si="841"/>
        <v>2</v>
      </c>
      <c r="W2615">
        <v>2.2000000000000002</v>
      </c>
      <c r="X2615" s="1" t="s">
        <v>44</v>
      </c>
    </row>
    <row r="2616" spans="1:24" x14ac:dyDescent="0.25">
      <c r="A2616" s="1" t="str">
        <f t="shared" si="842"/>
        <v>卡卡杜-凤凰仓</v>
      </c>
      <c r="B2616" s="1" t="str">
        <f>"CK2024102689"</f>
        <v>CK2024102689</v>
      </c>
      <c r="C2616" s="1" t="str">
        <f>"DD2024102617780"</f>
        <v>DD2024102617780</v>
      </c>
      <c r="D2616" s="1" t="str">
        <f>"CK202410269648"</f>
        <v>CK202410269648</v>
      </c>
      <c r="E2616" s="1" t="str">
        <f>"3723562054726321664"</f>
        <v>3723562054726321664</v>
      </c>
      <c r="F2616" s="1" t="str">
        <f t="shared" si="843"/>
        <v>花都四部-凤凰仓</v>
      </c>
      <c r="G2616" s="1" t="str">
        <f t="shared" si="856"/>
        <v>卡卡杜企业店（视频号）</v>
      </c>
      <c r="H2616" s="1" t="str">
        <f t="shared" si="844"/>
        <v>正常订单</v>
      </c>
      <c r="I2616" s="1" t="str">
        <f t="shared" si="845"/>
        <v>已发货</v>
      </c>
      <c r="J2616" s="1" t="str">
        <f t="shared" si="862"/>
        <v>3</v>
      </c>
      <c r="K2616" s="1">
        <v>2</v>
      </c>
      <c r="L2616" s="1" t="s">
        <v>182</v>
      </c>
      <c r="M2616" s="1" t="str">
        <f>"新疆维吾尔自治区 乌鲁木齐市 头屯河区 "</f>
        <v xml:space="preserve">新疆维吾尔自治区 乌鲁木齐市 头屯河区 </v>
      </c>
      <c r="N2616" s="1" t="str">
        <f t="shared" si="857"/>
        <v>凡华云仓-城南圆通-微信视频号</v>
      </c>
      <c r="O2616" s="5" t="s">
        <v>2652</v>
      </c>
      <c r="P2616" s="6">
        <v>0.24</v>
      </c>
      <c r="Q2616" s="11">
        <v>17</v>
      </c>
      <c r="R2616" s="11"/>
      <c r="S2616" s="11"/>
      <c r="T2616" s="11"/>
      <c r="U2616" s="11">
        <f t="shared" si="841"/>
        <v>17</v>
      </c>
      <c r="W2616">
        <v>17</v>
      </c>
      <c r="X2616" s="1" t="s">
        <v>182</v>
      </c>
    </row>
    <row r="2617" spans="1:24" x14ac:dyDescent="0.25">
      <c r="A2617" s="1" t="str">
        <f t="shared" si="842"/>
        <v>卡卡杜-凤凰仓</v>
      </c>
      <c r="B2617" s="1" t="str">
        <f>"CK2024102690"</f>
        <v>CK2024102690</v>
      </c>
      <c r="C2617" s="1" t="str">
        <f>"DD2024102617785"</f>
        <v>DD2024102617785</v>
      </c>
      <c r="D2617" s="1" t="str">
        <f>"CK202410269647"</f>
        <v>CK202410269647</v>
      </c>
      <c r="E2617" s="1" t="str">
        <f>"3723562052961571840"</f>
        <v>3723562052961571840</v>
      </c>
      <c r="F2617" s="1" t="str">
        <f t="shared" si="843"/>
        <v>花都四部-凤凰仓</v>
      </c>
      <c r="G2617" s="1" t="str">
        <f t="shared" si="856"/>
        <v>卡卡杜企业店（视频号）</v>
      </c>
      <c r="H2617" s="1" t="str">
        <f t="shared" si="844"/>
        <v>正常订单</v>
      </c>
      <c r="I2617" s="1" t="str">
        <f t="shared" si="845"/>
        <v>已发货</v>
      </c>
      <c r="J2617" s="1" t="str">
        <f t="shared" si="862"/>
        <v>3</v>
      </c>
      <c r="K2617" s="1">
        <v>2</v>
      </c>
      <c r="L2617" s="1" t="s">
        <v>94</v>
      </c>
      <c r="M2617" s="1" t="str">
        <f>"湖南省 长沙市 开福区 "</f>
        <v xml:space="preserve">湖南省 长沙市 开福区 </v>
      </c>
      <c r="N2617" s="1" t="str">
        <f t="shared" si="857"/>
        <v>凡华云仓-城南圆通-微信视频号</v>
      </c>
      <c r="O2617" s="5" t="s">
        <v>2653</v>
      </c>
      <c r="P2617" s="6">
        <v>0.24</v>
      </c>
      <c r="Q2617" s="11">
        <v>2</v>
      </c>
      <c r="R2617" s="11"/>
      <c r="S2617" s="11"/>
      <c r="T2617" s="11"/>
      <c r="U2617" s="11">
        <f t="shared" si="841"/>
        <v>2</v>
      </c>
      <c r="W2617">
        <v>2.2000000000000002</v>
      </c>
      <c r="X2617" s="1" t="s">
        <v>94</v>
      </c>
    </row>
    <row r="2618" spans="1:24" x14ac:dyDescent="0.25">
      <c r="A2618" s="1" t="str">
        <f t="shared" si="842"/>
        <v>卡卡杜-凤凰仓</v>
      </c>
      <c r="B2618" s="1" t="str">
        <f>"CK2024102691"</f>
        <v>CK2024102691</v>
      </c>
      <c r="C2618" s="1" t="str">
        <f>"DD2024102617786"</f>
        <v>DD2024102617786</v>
      </c>
      <c r="D2618" s="1" t="str">
        <f>"CK202410269646"</f>
        <v>CK202410269646</v>
      </c>
      <c r="E2618" s="1" t="str">
        <f>"3723562051338898432"</f>
        <v>3723562051338898432</v>
      </c>
      <c r="F2618" s="1" t="str">
        <f t="shared" si="843"/>
        <v>花都四部-凤凰仓</v>
      </c>
      <c r="G2618" s="1" t="str">
        <f t="shared" si="856"/>
        <v>卡卡杜企业店（视频号）</v>
      </c>
      <c r="H2618" s="1" t="str">
        <f t="shared" si="844"/>
        <v>正常订单</v>
      </c>
      <c r="I2618" s="1" t="str">
        <f t="shared" si="845"/>
        <v>已发货</v>
      </c>
      <c r="J2618" s="1" t="str">
        <f t="shared" ref="J2618:J2623" si="863">"2"</f>
        <v>2</v>
      </c>
      <c r="K2618" s="1">
        <v>2</v>
      </c>
      <c r="L2618" s="1" t="s">
        <v>92</v>
      </c>
      <c r="M2618" s="1" t="str">
        <f>"辽宁省 沈阳市 和平区 "</f>
        <v xml:space="preserve">辽宁省 沈阳市 和平区 </v>
      </c>
      <c r="N2618" s="1" t="str">
        <f t="shared" si="857"/>
        <v>凡华云仓-城南圆通-微信视频号</v>
      </c>
      <c r="O2618" s="5" t="s">
        <v>2654</v>
      </c>
      <c r="P2618" s="6">
        <v>0.17</v>
      </c>
      <c r="Q2618" s="11">
        <v>2</v>
      </c>
      <c r="R2618" s="11"/>
      <c r="S2618" s="11"/>
      <c r="T2618" s="11"/>
      <c r="U2618" s="11">
        <f t="shared" si="841"/>
        <v>2</v>
      </c>
      <c r="W2618">
        <v>2.2000000000000002</v>
      </c>
      <c r="X2618" s="1" t="s">
        <v>92</v>
      </c>
    </row>
    <row r="2619" spans="1:24" x14ac:dyDescent="0.25">
      <c r="A2619" s="1" t="str">
        <f t="shared" si="842"/>
        <v>卡卡杜-凤凰仓</v>
      </c>
      <c r="B2619" s="1" t="str">
        <f>"CK2024102692"</f>
        <v>CK2024102692</v>
      </c>
      <c r="C2619" s="1" t="str">
        <f>"DD2024102617789"</f>
        <v>DD2024102617789</v>
      </c>
      <c r="D2619" s="1" t="str">
        <f>"CK202410269645"</f>
        <v>CK202410269645</v>
      </c>
      <c r="E2619" s="1" t="str">
        <f>"3723562046545595392"</f>
        <v>3723562046545595392</v>
      </c>
      <c r="F2619" s="1" t="str">
        <f t="shared" si="843"/>
        <v>花都四部-凤凰仓</v>
      </c>
      <c r="G2619" s="1" t="str">
        <f t="shared" si="856"/>
        <v>卡卡杜企业店（视频号）</v>
      </c>
      <c r="H2619" s="1" t="str">
        <f t="shared" si="844"/>
        <v>正常订单</v>
      </c>
      <c r="I2619" s="1" t="str">
        <f t="shared" si="845"/>
        <v>已发货</v>
      </c>
      <c r="J2619" s="1" t="str">
        <f t="shared" ref="J2619:J2621" si="864">"3"</f>
        <v>3</v>
      </c>
      <c r="K2619" s="1">
        <v>2</v>
      </c>
      <c r="L2619" s="1" t="s">
        <v>22</v>
      </c>
      <c r="M2619" s="1" t="str">
        <f>"江西省 南昌市 东湖区 "</f>
        <v xml:space="preserve">江西省 南昌市 东湖区 </v>
      </c>
      <c r="N2619" s="1" t="str">
        <f t="shared" si="857"/>
        <v>凡华云仓-城南圆通-微信视频号</v>
      </c>
      <c r="O2619" s="5" t="s">
        <v>2655</v>
      </c>
      <c r="P2619" s="6">
        <v>0.24</v>
      </c>
      <c r="Q2619" s="11">
        <v>2</v>
      </c>
      <c r="R2619" s="11"/>
      <c r="S2619" s="11"/>
      <c r="T2619" s="11"/>
      <c r="U2619" s="11">
        <f t="shared" si="841"/>
        <v>2</v>
      </c>
      <c r="W2619">
        <v>2.2000000000000002</v>
      </c>
      <c r="X2619" s="1" t="s">
        <v>22</v>
      </c>
    </row>
    <row r="2620" spans="1:24" x14ac:dyDescent="0.25">
      <c r="A2620" s="1" t="str">
        <f t="shared" si="842"/>
        <v>卡卡杜-凤凰仓</v>
      </c>
      <c r="B2620" s="1" t="str">
        <f>"CK2024102693"</f>
        <v>CK2024102693</v>
      </c>
      <c r="C2620" s="1" t="str">
        <f>"DD2024102617790"</f>
        <v>DD2024102617790</v>
      </c>
      <c r="D2620" s="1" t="str">
        <f>"CK202410269644"</f>
        <v>CK202410269644</v>
      </c>
      <c r="E2620" s="1" t="str">
        <f>"3723562047139353600"</f>
        <v>3723562047139353600</v>
      </c>
      <c r="F2620" s="1" t="str">
        <f t="shared" si="843"/>
        <v>花都四部-凤凰仓</v>
      </c>
      <c r="G2620" s="1" t="str">
        <f t="shared" si="856"/>
        <v>卡卡杜企业店（视频号）</v>
      </c>
      <c r="H2620" s="1" t="str">
        <f t="shared" si="844"/>
        <v>正常订单</v>
      </c>
      <c r="I2620" s="1" t="str">
        <f t="shared" si="845"/>
        <v>已发货</v>
      </c>
      <c r="J2620" s="1" t="str">
        <f t="shared" si="864"/>
        <v>3</v>
      </c>
      <c r="K2620" s="1">
        <v>2</v>
      </c>
      <c r="L2620" s="1" t="s">
        <v>60</v>
      </c>
      <c r="M2620" s="1" t="str">
        <f>"云南省 丽江市 华坪县 "</f>
        <v xml:space="preserve">云南省 丽江市 华坪县 </v>
      </c>
      <c r="N2620" s="1" t="str">
        <f t="shared" si="857"/>
        <v>凡华云仓-城南圆通-微信视频号</v>
      </c>
      <c r="O2620" s="5" t="s">
        <v>2656</v>
      </c>
      <c r="P2620" s="6">
        <v>0.24</v>
      </c>
      <c r="Q2620" s="11">
        <v>2</v>
      </c>
      <c r="R2620" s="11"/>
      <c r="S2620" s="11"/>
      <c r="T2620" s="11"/>
      <c r="U2620" s="11">
        <f t="shared" si="841"/>
        <v>2</v>
      </c>
      <c r="W2620">
        <v>2.2000000000000002</v>
      </c>
      <c r="X2620" s="1" t="s">
        <v>60</v>
      </c>
    </row>
    <row r="2621" spans="1:24" x14ac:dyDescent="0.25">
      <c r="A2621" s="1" t="str">
        <f t="shared" si="842"/>
        <v>卡卡杜-凤凰仓</v>
      </c>
      <c r="B2621" s="1" t="str">
        <f>"CK2024102694"</f>
        <v>CK2024102694</v>
      </c>
      <c r="C2621" s="1" t="str">
        <f>"DD2024102617792"</f>
        <v>DD2024102617792</v>
      </c>
      <c r="D2621" s="1" t="str">
        <f>"CK202410269643"</f>
        <v>CK202410269643</v>
      </c>
      <c r="E2621" s="1" t="str">
        <f>"3723562043191989248"</f>
        <v>3723562043191989248</v>
      </c>
      <c r="F2621" s="1" t="str">
        <f t="shared" si="843"/>
        <v>花都四部-凤凰仓</v>
      </c>
      <c r="G2621" s="1" t="str">
        <f t="shared" si="856"/>
        <v>卡卡杜企业店（视频号）</v>
      </c>
      <c r="H2621" s="1" t="str">
        <f t="shared" si="844"/>
        <v>正常订单</v>
      </c>
      <c r="I2621" s="1" t="str">
        <f t="shared" si="845"/>
        <v>已发货</v>
      </c>
      <c r="J2621" s="1" t="str">
        <f t="shared" si="864"/>
        <v>3</v>
      </c>
      <c r="K2621" s="1">
        <v>2</v>
      </c>
      <c r="L2621" s="1" t="s">
        <v>105</v>
      </c>
      <c r="M2621" s="1" t="str">
        <f>"北京 北京市 朝阳区 "</f>
        <v xml:space="preserve">北京 北京市 朝阳区 </v>
      </c>
      <c r="N2621" s="1" t="str">
        <f t="shared" si="857"/>
        <v>凡华云仓-城南圆通-微信视频号</v>
      </c>
      <c r="O2621" s="5" t="s">
        <v>2657</v>
      </c>
      <c r="P2621" s="6">
        <v>0.24</v>
      </c>
      <c r="Q2621" s="11">
        <v>2</v>
      </c>
      <c r="R2621" s="11"/>
      <c r="S2621" s="11"/>
      <c r="T2621" s="11"/>
      <c r="U2621" s="11">
        <f t="shared" si="841"/>
        <v>2</v>
      </c>
      <c r="W2621">
        <v>2.2000000000000002</v>
      </c>
      <c r="X2621" s="1" t="s">
        <v>105</v>
      </c>
    </row>
    <row r="2622" spans="1:24" x14ac:dyDescent="0.25">
      <c r="A2622" s="1" t="str">
        <f t="shared" si="842"/>
        <v>卡卡杜-凤凰仓</v>
      </c>
      <c r="B2622" s="1" t="str">
        <f>"CK2024102695"</f>
        <v>CK2024102695</v>
      </c>
      <c r="C2622" s="1" t="str">
        <f>"DD2024102617793"</f>
        <v>DD2024102617793</v>
      </c>
      <c r="D2622" s="1" t="str">
        <f>"CK202410269642"</f>
        <v>CK202410269642</v>
      </c>
      <c r="E2622" s="1" t="str">
        <f>"3723562037888025856"</f>
        <v>3723562037888025856</v>
      </c>
      <c r="F2622" s="1" t="str">
        <f t="shared" si="843"/>
        <v>花都四部-凤凰仓</v>
      </c>
      <c r="G2622" s="1" t="str">
        <f t="shared" si="856"/>
        <v>卡卡杜企业店（视频号）</v>
      </c>
      <c r="H2622" s="1" t="str">
        <f t="shared" si="844"/>
        <v>正常订单</v>
      </c>
      <c r="I2622" s="1" t="str">
        <f t="shared" si="845"/>
        <v>已发货</v>
      </c>
      <c r="J2622" s="1" t="str">
        <f t="shared" si="863"/>
        <v>2</v>
      </c>
      <c r="K2622" s="1">
        <v>2</v>
      </c>
      <c r="L2622" s="1" t="s">
        <v>105</v>
      </c>
      <c r="M2622" s="1" t="str">
        <f>"北京 北京市 昌平区 "</f>
        <v xml:space="preserve">北京 北京市 昌平区 </v>
      </c>
      <c r="N2622" s="1" t="str">
        <f t="shared" si="857"/>
        <v>凡华云仓-城南圆通-微信视频号</v>
      </c>
      <c r="O2622" s="5" t="s">
        <v>2658</v>
      </c>
      <c r="P2622" s="6">
        <v>0.17</v>
      </c>
      <c r="Q2622" s="11">
        <v>2</v>
      </c>
      <c r="R2622" s="11"/>
      <c r="S2622" s="11"/>
      <c r="T2622" s="11"/>
      <c r="U2622" s="11">
        <f t="shared" si="841"/>
        <v>2</v>
      </c>
      <c r="W2622">
        <v>2.2000000000000002</v>
      </c>
      <c r="X2622" s="1" t="s">
        <v>105</v>
      </c>
    </row>
    <row r="2623" spans="1:24" x14ac:dyDescent="0.25">
      <c r="A2623" s="1" t="str">
        <f t="shared" si="842"/>
        <v>卡卡杜-凤凰仓</v>
      </c>
      <c r="B2623" s="1" t="str">
        <f>"CK2024102696"</f>
        <v>CK2024102696</v>
      </c>
      <c r="C2623" s="1" t="str">
        <f>"DD2024102617798"</f>
        <v>DD2024102617798</v>
      </c>
      <c r="D2623" s="1" t="str">
        <f>"CK202410269641"</f>
        <v>CK202410269641</v>
      </c>
      <c r="E2623" s="1" t="str">
        <f>"3723562036035193856"</f>
        <v>3723562036035193856</v>
      </c>
      <c r="F2623" s="1" t="str">
        <f t="shared" si="843"/>
        <v>花都四部-凤凰仓</v>
      </c>
      <c r="G2623" s="1" t="str">
        <f t="shared" si="856"/>
        <v>卡卡杜企业店（视频号）</v>
      </c>
      <c r="H2623" s="1" t="str">
        <f t="shared" si="844"/>
        <v>正常订单</v>
      </c>
      <c r="I2623" s="1" t="str">
        <f t="shared" si="845"/>
        <v>已发货</v>
      </c>
      <c r="J2623" s="1" t="str">
        <f t="shared" si="863"/>
        <v>2</v>
      </c>
      <c r="K2623" s="1">
        <v>2</v>
      </c>
      <c r="L2623" s="1" t="s">
        <v>18</v>
      </c>
      <c r="M2623" s="1" t="str">
        <f>"广东省 广州市 天河区 "</f>
        <v xml:space="preserve">广东省 广州市 天河区 </v>
      </c>
      <c r="N2623" s="1" t="str">
        <f t="shared" si="857"/>
        <v>凡华云仓-城南圆通-微信视频号</v>
      </c>
      <c r="O2623" s="5" t="s">
        <v>2659</v>
      </c>
      <c r="P2623" s="6">
        <v>0.17</v>
      </c>
      <c r="Q2623" s="11">
        <v>2</v>
      </c>
      <c r="R2623" s="11"/>
      <c r="S2623" s="11"/>
      <c r="T2623" s="11"/>
      <c r="U2623" s="11">
        <f t="shared" si="841"/>
        <v>2</v>
      </c>
      <c r="W2623">
        <v>2.2000000000000002</v>
      </c>
      <c r="X2623" s="1" t="s">
        <v>18</v>
      </c>
    </row>
    <row r="2624" spans="1:24" x14ac:dyDescent="0.25">
      <c r="A2624" s="1" t="str">
        <f t="shared" si="842"/>
        <v>卡卡杜-凤凰仓</v>
      </c>
      <c r="B2624" s="1" t="str">
        <f>"CK2024102697"</f>
        <v>CK2024102697</v>
      </c>
      <c r="C2624" s="1" t="str">
        <f>"DD2024102617799"</f>
        <v>DD2024102617799</v>
      </c>
      <c r="D2624" s="1" t="str">
        <f>"CK202410269640"</f>
        <v>CK202410269640</v>
      </c>
      <c r="E2624" s="1" t="str">
        <f>"3723562032941372416"</f>
        <v>3723562032941372416</v>
      </c>
      <c r="F2624" s="1" t="str">
        <f t="shared" si="843"/>
        <v>花都四部-凤凰仓</v>
      </c>
      <c r="G2624" s="1" t="str">
        <f t="shared" si="856"/>
        <v>卡卡杜企业店（视频号）</v>
      </c>
      <c r="H2624" s="1" t="str">
        <f t="shared" si="844"/>
        <v>正常订单</v>
      </c>
      <c r="I2624" s="1" t="str">
        <f t="shared" si="845"/>
        <v>已发货</v>
      </c>
      <c r="J2624" s="1" t="str">
        <f t="shared" ref="J2624:J2627" si="865">"3"</f>
        <v>3</v>
      </c>
      <c r="K2624" s="1">
        <v>2</v>
      </c>
      <c r="L2624" s="1" t="s">
        <v>16</v>
      </c>
      <c r="M2624" s="1" t="str">
        <f>"河北省 石家庄市 桥西区 "</f>
        <v xml:space="preserve">河北省 石家庄市 桥西区 </v>
      </c>
      <c r="N2624" s="1" t="str">
        <f t="shared" si="857"/>
        <v>凡华云仓-城南圆通-微信视频号</v>
      </c>
      <c r="O2624" s="5" t="s">
        <v>2660</v>
      </c>
      <c r="P2624" s="6">
        <v>0.24</v>
      </c>
      <c r="Q2624" s="11">
        <v>2</v>
      </c>
      <c r="R2624" s="11"/>
      <c r="S2624" s="11"/>
      <c r="T2624" s="11"/>
      <c r="U2624" s="11">
        <f t="shared" si="841"/>
        <v>2</v>
      </c>
      <c r="W2624">
        <v>2.2000000000000002</v>
      </c>
      <c r="X2624" s="1" t="s">
        <v>16</v>
      </c>
    </row>
    <row r="2625" spans="1:24" x14ac:dyDescent="0.25">
      <c r="A2625" s="1" t="str">
        <f t="shared" si="842"/>
        <v>卡卡杜-凤凰仓</v>
      </c>
      <c r="B2625" s="1" t="str">
        <f>"CK2024102698"</f>
        <v>CK2024102698</v>
      </c>
      <c r="C2625" s="1" t="str">
        <f>"DD2024102617808"</f>
        <v>DD2024102617808</v>
      </c>
      <c r="D2625" s="1" t="str">
        <f>"CK202410269639"</f>
        <v>CK202410269639</v>
      </c>
      <c r="E2625" s="1" t="str">
        <f>"3723562025770945537"</f>
        <v>3723562025770945537</v>
      </c>
      <c r="F2625" s="1" t="str">
        <f t="shared" si="843"/>
        <v>花都四部-凤凰仓</v>
      </c>
      <c r="G2625" s="1" t="str">
        <f t="shared" si="856"/>
        <v>卡卡杜企业店（视频号）</v>
      </c>
      <c r="H2625" s="1" t="str">
        <f t="shared" si="844"/>
        <v>正常订单</v>
      </c>
      <c r="I2625" s="1" t="str">
        <f t="shared" si="845"/>
        <v>已发货</v>
      </c>
      <c r="J2625" s="1" t="str">
        <f t="shared" si="865"/>
        <v>3</v>
      </c>
      <c r="K2625" s="1">
        <v>2</v>
      </c>
      <c r="L2625" s="1" t="s">
        <v>18</v>
      </c>
      <c r="M2625" s="1" t="str">
        <f>"广东省 深圳市 罗湖区 "</f>
        <v xml:space="preserve">广东省 深圳市 罗湖区 </v>
      </c>
      <c r="N2625" s="1" t="str">
        <f t="shared" si="857"/>
        <v>凡华云仓-城南圆通-微信视频号</v>
      </c>
      <c r="O2625" s="5" t="s">
        <v>2661</v>
      </c>
      <c r="P2625" s="6">
        <v>0.24</v>
      </c>
      <c r="Q2625" s="11">
        <v>2</v>
      </c>
      <c r="R2625" s="11"/>
      <c r="S2625" s="11"/>
      <c r="T2625" s="11"/>
      <c r="U2625" s="11">
        <f t="shared" si="841"/>
        <v>2</v>
      </c>
      <c r="W2625">
        <v>2.2000000000000002</v>
      </c>
      <c r="X2625" s="1" t="s">
        <v>18</v>
      </c>
    </row>
    <row r="2626" spans="1:24" x14ac:dyDescent="0.25">
      <c r="A2626" s="1" t="str">
        <f t="shared" si="842"/>
        <v>卡卡杜-凤凰仓</v>
      </c>
      <c r="B2626" s="1" t="str">
        <f>"CK2024102699"</f>
        <v>CK2024102699</v>
      </c>
      <c r="C2626" s="1" t="str">
        <f>"DD2024102617806"</f>
        <v>DD2024102617806</v>
      </c>
      <c r="D2626" s="1" t="str">
        <f>"CK202410269638"</f>
        <v>CK202410269638</v>
      </c>
      <c r="E2626" s="1" t="str">
        <f>"3723562020712875520"</f>
        <v>3723562020712875520</v>
      </c>
      <c r="F2626" s="1" t="str">
        <f t="shared" si="843"/>
        <v>花都四部-凤凰仓</v>
      </c>
      <c r="G2626" s="1" t="str">
        <f t="shared" si="856"/>
        <v>卡卡杜企业店（视频号）</v>
      </c>
      <c r="H2626" s="1" t="str">
        <f t="shared" si="844"/>
        <v>正常订单</v>
      </c>
      <c r="I2626" s="1" t="str">
        <f t="shared" si="845"/>
        <v>已发货</v>
      </c>
      <c r="J2626" s="1" t="str">
        <f t="shared" ref="J2626:J2630" si="866">"2"</f>
        <v>2</v>
      </c>
      <c r="K2626" s="1">
        <v>2</v>
      </c>
      <c r="L2626" s="1" t="s">
        <v>24</v>
      </c>
      <c r="M2626" s="1" t="str">
        <f>"福建省 泉州市 晋江市 "</f>
        <v xml:space="preserve">福建省 泉州市 晋江市 </v>
      </c>
      <c r="N2626" s="1" t="str">
        <f t="shared" si="857"/>
        <v>凡华云仓-城南圆通-微信视频号</v>
      </c>
      <c r="O2626" s="5" t="s">
        <v>2662</v>
      </c>
      <c r="P2626" s="6">
        <v>0.17</v>
      </c>
      <c r="Q2626" s="11">
        <v>2</v>
      </c>
      <c r="R2626" s="11"/>
      <c r="S2626" s="11"/>
      <c r="T2626" s="11"/>
      <c r="U2626" s="11">
        <f t="shared" si="841"/>
        <v>2</v>
      </c>
      <c r="W2626">
        <v>2.2000000000000002</v>
      </c>
      <c r="X2626" s="1" t="s">
        <v>24</v>
      </c>
    </row>
    <row r="2627" spans="1:24" x14ac:dyDescent="0.25">
      <c r="A2627" s="1" t="str">
        <f t="shared" si="842"/>
        <v>卡卡杜-凤凰仓</v>
      </c>
      <c r="B2627" s="1" t="str">
        <f>"CK20241026100"</f>
        <v>CK20241026100</v>
      </c>
      <c r="C2627" s="1" t="str">
        <f>"DD2024102617807"</f>
        <v>DD2024102617807</v>
      </c>
      <c r="D2627" s="1" t="str">
        <f>"CK202410269637"</f>
        <v>CK202410269637</v>
      </c>
      <c r="E2627" s="1" t="str">
        <f>"3723562021916382209"</f>
        <v>3723562021916382209</v>
      </c>
      <c r="F2627" s="1" t="str">
        <f t="shared" si="843"/>
        <v>花都四部-凤凰仓</v>
      </c>
      <c r="G2627" s="1" t="str">
        <f t="shared" si="856"/>
        <v>卡卡杜企业店（视频号）</v>
      </c>
      <c r="H2627" s="1" t="str">
        <f t="shared" si="844"/>
        <v>正常订单</v>
      </c>
      <c r="I2627" s="1" t="str">
        <f t="shared" si="845"/>
        <v>已发货</v>
      </c>
      <c r="J2627" s="1" t="str">
        <f t="shared" si="865"/>
        <v>3</v>
      </c>
      <c r="K2627" s="1">
        <v>2</v>
      </c>
      <c r="L2627" s="1" t="s">
        <v>47</v>
      </c>
      <c r="M2627" s="1" t="str">
        <f>"重庆 重庆市 渝北区 "</f>
        <v xml:space="preserve">重庆 重庆市 渝北区 </v>
      </c>
      <c r="N2627" s="1" t="str">
        <f t="shared" si="857"/>
        <v>凡华云仓-城南圆通-微信视频号</v>
      </c>
      <c r="O2627" s="5" t="s">
        <v>2663</v>
      </c>
      <c r="P2627" s="6">
        <v>0.24</v>
      </c>
      <c r="Q2627" s="11">
        <v>2</v>
      </c>
      <c r="R2627" s="11"/>
      <c r="S2627" s="11"/>
      <c r="T2627" s="11"/>
      <c r="U2627" s="11">
        <f t="shared" ref="U2627:U2690" si="867">T2627+S2627+R2627+Q2627</f>
        <v>2</v>
      </c>
      <c r="W2627">
        <v>2.2000000000000002</v>
      </c>
      <c r="X2627" s="1" t="s">
        <v>47</v>
      </c>
    </row>
    <row r="2628" spans="1:24" x14ac:dyDescent="0.25">
      <c r="A2628" s="1" t="str">
        <f t="shared" si="842"/>
        <v>卡卡杜-凤凰仓</v>
      </c>
      <c r="B2628" s="1" t="str">
        <f>"CK20241026101"</f>
        <v>CK20241026101</v>
      </c>
      <c r="C2628" s="1" t="str">
        <f>"DD2024102617809"</f>
        <v>DD2024102617809</v>
      </c>
      <c r="D2628" s="1" t="str">
        <f>"CK202410269636"</f>
        <v>CK202410269636</v>
      </c>
      <c r="E2628" s="1" t="str">
        <f>"3723562022389289984"</f>
        <v>3723562022389289984</v>
      </c>
      <c r="F2628" s="1" t="str">
        <f t="shared" si="843"/>
        <v>花都四部-凤凰仓</v>
      </c>
      <c r="G2628" s="1" t="str">
        <f t="shared" si="856"/>
        <v>卡卡杜企业店（视频号）</v>
      </c>
      <c r="H2628" s="1" t="str">
        <f t="shared" si="844"/>
        <v>正常订单</v>
      </c>
      <c r="I2628" s="1" t="str">
        <f t="shared" si="845"/>
        <v>已发货</v>
      </c>
      <c r="J2628" s="1" t="str">
        <f t="shared" si="866"/>
        <v>2</v>
      </c>
      <c r="K2628" s="1">
        <v>2</v>
      </c>
      <c r="L2628" s="1" t="s">
        <v>92</v>
      </c>
      <c r="M2628" s="1" t="str">
        <f>"辽宁省 大连市 甘井子区 "</f>
        <v xml:space="preserve">辽宁省 大连市 甘井子区 </v>
      </c>
      <c r="N2628" s="1" t="str">
        <f t="shared" si="857"/>
        <v>凡华云仓-城南圆通-微信视频号</v>
      </c>
      <c r="O2628" s="5" t="s">
        <v>2664</v>
      </c>
      <c r="P2628" s="6">
        <v>0.17</v>
      </c>
      <c r="Q2628" s="11">
        <v>2</v>
      </c>
      <c r="R2628" s="11"/>
      <c r="S2628" s="11"/>
      <c r="T2628" s="11"/>
      <c r="U2628" s="11">
        <f t="shared" si="867"/>
        <v>2</v>
      </c>
      <c r="W2628">
        <v>2.2000000000000002</v>
      </c>
      <c r="X2628" s="1" t="s">
        <v>92</v>
      </c>
    </row>
    <row r="2629" spans="1:24" x14ac:dyDescent="0.25">
      <c r="A2629" s="1" t="str">
        <f t="shared" ref="A2629:A2692" si="868">"卡卡杜-凤凰仓"</f>
        <v>卡卡杜-凤凰仓</v>
      </c>
      <c r="B2629" s="1" t="str">
        <f>"CK20241026103"</f>
        <v>CK20241026103</v>
      </c>
      <c r="C2629" s="1" t="str">
        <f>"DD2024102617810"</f>
        <v>DD2024102617810</v>
      </c>
      <c r="D2629" s="1" t="str">
        <f>"CK202410269635"</f>
        <v>CK202410269635</v>
      </c>
      <c r="E2629" s="1" t="str">
        <f>"3723562021504812544"</f>
        <v>3723562021504812544</v>
      </c>
      <c r="F2629" s="1" t="str">
        <f t="shared" ref="F2629:F2692" si="869">"花都四部-凤凰仓"</f>
        <v>花都四部-凤凰仓</v>
      </c>
      <c r="G2629" s="1" t="str">
        <f t="shared" si="856"/>
        <v>卡卡杜企业店（视频号）</v>
      </c>
      <c r="H2629" s="1" t="str">
        <f t="shared" ref="H2629:H2692" si="870">"正常订单"</f>
        <v>正常订单</v>
      </c>
      <c r="I2629" s="1" t="str">
        <f t="shared" ref="I2629:I2692" si="871">"已发货"</f>
        <v>已发货</v>
      </c>
      <c r="J2629" s="1" t="str">
        <f t="shared" ref="J2629:J2635" si="872">"3"</f>
        <v>3</v>
      </c>
      <c r="K2629" s="1">
        <v>2</v>
      </c>
      <c r="L2629" s="1" t="s">
        <v>105</v>
      </c>
      <c r="M2629" s="1" t="str">
        <f>"北京 北京市 东城区 "</f>
        <v xml:space="preserve">北京 北京市 东城区 </v>
      </c>
      <c r="N2629" s="1" t="str">
        <f t="shared" si="857"/>
        <v>凡华云仓-城南圆通-微信视频号</v>
      </c>
      <c r="O2629" s="5" t="s">
        <v>2665</v>
      </c>
      <c r="P2629" s="6">
        <v>0.24</v>
      </c>
      <c r="Q2629" s="11">
        <v>2</v>
      </c>
      <c r="R2629" s="11"/>
      <c r="S2629" s="11"/>
      <c r="T2629" s="11"/>
      <c r="U2629" s="11">
        <f t="shared" si="867"/>
        <v>2</v>
      </c>
      <c r="W2629">
        <v>2.2000000000000002</v>
      </c>
      <c r="X2629" s="1" t="s">
        <v>105</v>
      </c>
    </row>
    <row r="2630" spans="1:24" x14ac:dyDescent="0.25">
      <c r="A2630" s="1" t="str">
        <f t="shared" si="868"/>
        <v>卡卡杜-凤凰仓</v>
      </c>
      <c r="B2630" s="1" t="str">
        <f>"CK20241026102"</f>
        <v>CK20241026102</v>
      </c>
      <c r="C2630" s="1" t="str">
        <f>"DD2024102617811"</f>
        <v>DD2024102617811</v>
      </c>
      <c r="D2630" s="1" t="str">
        <f>"CK202410269634"</f>
        <v>CK202410269634</v>
      </c>
      <c r="E2630" s="1" t="str">
        <f>"3723562021449237760"</f>
        <v>3723562021449237760</v>
      </c>
      <c r="F2630" s="1" t="str">
        <f t="shared" si="869"/>
        <v>花都四部-凤凰仓</v>
      </c>
      <c r="G2630" s="1" t="str">
        <f t="shared" si="856"/>
        <v>卡卡杜企业店（视频号）</v>
      </c>
      <c r="H2630" s="1" t="str">
        <f t="shared" si="870"/>
        <v>正常订单</v>
      </c>
      <c r="I2630" s="1" t="str">
        <f t="shared" si="871"/>
        <v>已发货</v>
      </c>
      <c r="J2630" s="1" t="str">
        <f t="shared" si="866"/>
        <v>2</v>
      </c>
      <c r="K2630" s="1">
        <v>2</v>
      </c>
      <c r="L2630" s="1" t="s">
        <v>52</v>
      </c>
      <c r="M2630" s="1" t="str">
        <f>"甘肃省 兰州市 城关区 "</f>
        <v xml:space="preserve">甘肃省 兰州市 城关区 </v>
      </c>
      <c r="N2630" s="1" t="str">
        <f t="shared" si="857"/>
        <v>凡华云仓-城南圆通-微信视频号</v>
      </c>
      <c r="O2630" s="5" t="s">
        <v>2666</v>
      </c>
      <c r="P2630" s="6">
        <v>0.17</v>
      </c>
      <c r="Q2630" s="11">
        <v>2</v>
      </c>
      <c r="R2630" s="11"/>
      <c r="S2630" s="11"/>
      <c r="T2630" s="11"/>
      <c r="U2630" s="11">
        <f t="shared" si="867"/>
        <v>2</v>
      </c>
      <c r="W2630">
        <v>2.2000000000000002</v>
      </c>
      <c r="X2630" s="1" t="s">
        <v>52</v>
      </c>
    </row>
    <row r="2631" spans="1:24" x14ac:dyDescent="0.25">
      <c r="A2631" s="1" t="str">
        <f t="shared" si="868"/>
        <v>卡卡杜-凤凰仓</v>
      </c>
      <c r="B2631" s="1" t="str">
        <f>"CK20241026104"</f>
        <v>CK20241026104</v>
      </c>
      <c r="C2631" s="1" t="str">
        <f>"DD2024102617812"</f>
        <v>DD2024102617812</v>
      </c>
      <c r="D2631" s="1" t="str">
        <f>"CK202410269633"</f>
        <v>CK202410269633</v>
      </c>
      <c r="E2631" s="1" t="str">
        <f>"3723562021714006016"</f>
        <v>3723562021714006016</v>
      </c>
      <c r="F2631" s="1" t="str">
        <f t="shared" si="869"/>
        <v>花都四部-凤凰仓</v>
      </c>
      <c r="G2631" s="1" t="str">
        <f t="shared" si="856"/>
        <v>卡卡杜企业店（视频号）</v>
      </c>
      <c r="H2631" s="1" t="str">
        <f t="shared" si="870"/>
        <v>正常订单</v>
      </c>
      <c r="I2631" s="1" t="str">
        <f t="shared" si="871"/>
        <v>已发货</v>
      </c>
      <c r="J2631" s="1" t="str">
        <f t="shared" si="872"/>
        <v>3</v>
      </c>
      <c r="K2631" s="1">
        <v>2</v>
      </c>
      <c r="L2631" s="1" t="s">
        <v>13</v>
      </c>
      <c r="M2631" s="1" t="str">
        <f>"江苏省 泰州市 海陵区 "</f>
        <v xml:space="preserve">江苏省 泰州市 海陵区 </v>
      </c>
      <c r="N2631" s="1" t="str">
        <f t="shared" si="857"/>
        <v>凡华云仓-城南圆通-微信视频号</v>
      </c>
      <c r="O2631" s="5" t="s">
        <v>2667</v>
      </c>
      <c r="P2631" s="6">
        <v>0.24</v>
      </c>
      <c r="Q2631" s="11">
        <v>2</v>
      </c>
      <c r="R2631" s="11"/>
      <c r="S2631" s="11"/>
      <c r="T2631" s="11"/>
      <c r="U2631" s="11">
        <f t="shared" si="867"/>
        <v>2</v>
      </c>
      <c r="W2631">
        <v>2.2000000000000002</v>
      </c>
      <c r="X2631" s="1" t="s">
        <v>13</v>
      </c>
    </row>
    <row r="2632" spans="1:24" x14ac:dyDescent="0.25">
      <c r="A2632" s="1" t="str">
        <f t="shared" si="868"/>
        <v>卡卡杜-凤凰仓</v>
      </c>
      <c r="B2632" s="1" t="str">
        <f>"CK20241026105"</f>
        <v>CK20241026105</v>
      </c>
      <c r="C2632" s="1" t="str">
        <f>"DD2024102617813"</f>
        <v>DD2024102617813</v>
      </c>
      <c r="D2632" s="1" t="str">
        <f>"CK202410269632"</f>
        <v>CK202410269632</v>
      </c>
      <c r="E2632" s="1" t="str">
        <f>"3723562020952474880"</f>
        <v>3723562020952474880</v>
      </c>
      <c r="F2632" s="1" t="str">
        <f t="shared" si="869"/>
        <v>花都四部-凤凰仓</v>
      </c>
      <c r="G2632" s="1" t="str">
        <f t="shared" si="856"/>
        <v>卡卡杜企业店（视频号）</v>
      </c>
      <c r="H2632" s="1" t="str">
        <f t="shared" si="870"/>
        <v>正常订单</v>
      </c>
      <c r="I2632" s="1" t="str">
        <f t="shared" si="871"/>
        <v>已发货</v>
      </c>
      <c r="J2632" s="1" t="str">
        <f>"6"</f>
        <v>6</v>
      </c>
      <c r="K2632" s="1">
        <v>2</v>
      </c>
      <c r="L2632" s="1" t="s">
        <v>105</v>
      </c>
      <c r="M2632" s="1" t="str">
        <f>"北京 北京市 丰台区 "</f>
        <v xml:space="preserve">北京 北京市 丰台区 </v>
      </c>
      <c r="N2632" s="1" t="str">
        <f t="shared" si="857"/>
        <v>凡华云仓-城南圆通-微信视频号</v>
      </c>
      <c r="O2632" s="5" t="s">
        <v>2668</v>
      </c>
      <c r="P2632" s="6">
        <v>0.34</v>
      </c>
      <c r="Q2632" s="11">
        <v>2.2999999999999998</v>
      </c>
      <c r="R2632" s="11"/>
      <c r="S2632" s="11"/>
      <c r="T2632" s="11"/>
      <c r="U2632" s="11">
        <f t="shared" si="867"/>
        <v>2.2999999999999998</v>
      </c>
      <c r="W2632">
        <v>2.5</v>
      </c>
      <c r="X2632" s="1" t="s">
        <v>105</v>
      </c>
    </row>
    <row r="2633" spans="1:24" x14ac:dyDescent="0.25">
      <c r="A2633" s="1" t="str">
        <f t="shared" si="868"/>
        <v>卡卡杜-凤凰仓</v>
      </c>
      <c r="B2633" s="1" t="str">
        <f>"CK20241026106"</f>
        <v>CK20241026106</v>
      </c>
      <c r="C2633" s="1" t="str">
        <f>"DD2024102617814"</f>
        <v>DD2024102617814</v>
      </c>
      <c r="D2633" s="1" t="str">
        <f>"CK202410269631"</f>
        <v>CK202410269631</v>
      </c>
      <c r="E2633" s="1" t="str">
        <f>"3723562016091801088"</f>
        <v>3723562016091801088</v>
      </c>
      <c r="F2633" s="1" t="str">
        <f t="shared" si="869"/>
        <v>花都四部-凤凰仓</v>
      </c>
      <c r="G2633" s="1" t="str">
        <f t="shared" si="856"/>
        <v>卡卡杜企业店（视频号）</v>
      </c>
      <c r="H2633" s="1" t="str">
        <f t="shared" si="870"/>
        <v>正常订单</v>
      </c>
      <c r="I2633" s="1" t="str">
        <f t="shared" si="871"/>
        <v>已发货</v>
      </c>
      <c r="J2633" s="1" t="str">
        <f t="shared" si="872"/>
        <v>3</v>
      </c>
      <c r="K2633" s="1">
        <v>2</v>
      </c>
      <c r="L2633" s="1" t="s">
        <v>182</v>
      </c>
      <c r="M2633" s="1" t="str">
        <f>"新疆维吾尔自治区 巴音郭楞蒙古自治州 库尔勒市 "</f>
        <v xml:space="preserve">新疆维吾尔自治区 巴音郭楞蒙古自治州 库尔勒市 </v>
      </c>
      <c r="N2633" s="1" t="str">
        <f t="shared" si="857"/>
        <v>凡华云仓-城南圆通-微信视频号</v>
      </c>
      <c r="O2633" s="5" t="s">
        <v>2669</v>
      </c>
      <c r="P2633" s="6">
        <v>0.24</v>
      </c>
      <c r="Q2633" s="11">
        <v>17</v>
      </c>
      <c r="R2633" s="11"/>
      <c r="S2633" s="11"/>
      <c r="T2633" s="11"/>
      <c r="U2633" s="11">
        <f t="shared" si="867"/>
        <v>17</v>
      </c>
      <c r="W2633">
        <v>17</v>
      </c>
      <c r="X2633" s="1" t="s">
        <v>182</v>
      </c>
    </row>
    <row r="2634" spans="1:24" x14ac:dyDescent="0.25">
      <c r="A2634" s="1" t="str">
        <f t="shared" si="868"/>
        <v>卡卡杜-凤凰仓</v>
      </c>
      <c r="B2634" s="1" t="str">
        <f>"CK20241026108"</f>
        <v>CK20241026108</v>
      </c>
      <c r="C2634" s="1" t="str">
        <f>"DD2024102617815"</f>
        <v>DD2024102617815</v>
      </c>
      <c r="D2634" s="1" t="str">
        <f>"CK202410269630"</f>
        <v>CK202410269630</v>
      </c>
      <c r="E2634" s="1" t="str">
        <f>"3723561180180124672"</f>
        <v>3723561180180124672</v>
      </c>
      <c r="F2634" s="1" t="str">
        <f t="shared" si="869"/>
        <v>花都四部-凤凰仓</v>
      </c>
      <c r="G2634" s="1" t="str">
        <f t="shared" si="856"/>
        <v>卡卡杜企业店（视频号）</v>
      </c>
      <c r="H2634" s="1" t="str">
        <f t="shared" si="870"/>
        <v>正常订单</v>
      </c>
      <c r="I2634" s="1" t="str">
        <f t="shared" si="871"/>
        <v>已发货</v>
      </c>
      <c r="J2634" s="1" t="str">
        <f t="shared" si="872"/>
        <v>3</v>
      </c>
      <c r="K2634" s="1">
        <v>3</v>
      </c>
      <c r="L2634" s="1" t="s">
        <v>18</v>
      </c>
      <c r="M2634" s="1" t="str">
        <f>"广东省 广州市 增城区 "</f>
        <v xml:space="preserve">广东省 广州市 增城区 </v>
      </c>
      <c r="N2634" s="1" t="str">
        <f t="shared" si="857"/>
        <v>凡华云仓-城南圆通-微信视频号</v>
      </c>
      <c r="O2634" s="5" t="s">
        <v>2670</v>
      </c>
      <c r="P2634" s="6">
        <v>0.34</v>
      </c>
      <c r="Q2634" s="11">
        <v>2.2999999999999998</v>
      </c>
      <c r="R2634" s="11"/>
      <c r="S2634" s="11"/>
      <c r="T2634" s="11"/>
      <c r="U2634" s="11">
        <f t="shared" si="867"/>
        <v>2.2999999999999998</v>
      </c>
      <c r="W2634">
        <v>2.5</v>
      </c>
      <c r="X2634" s="1" t="s">
        <v>18</v>
      </c>
    </row>
    <row r="2635" spans="1:24" x14ac:dyDescent="0.25">
      <c r="A2635" s="1" t="str">
        <f t="shared" si="868"/>
        <v>卡卡杜-凤凰仓</v>
      </c>
      <c r="B2635" s="1" t="str">
        <f>"CK20241026109"</f>
        <v>CK20241026109</v>
      </c>
      <c r="C2635" s="1" t="str">
        <f>"DD2024102617817"</f>
        <v>DD2024102617817</v>
      </c>
      <c r="D2635" s="1" t="str">
        <f>"CK202410269629"</f>
        <v>CK202410269629</v>
      </c>
      <c r="E2635" s="1" t="str">
        <f>"3723560886409235456"</f>
        <v>3723560886409235456</v>
      </c>
      <c r="F2635" s="1" t="str">
        <f t="shared" si="869"/>
        <v>花都四部-凤凰仓</v>
      </c>
      <c r="G2635" s="1" t="str">
        <f t="shared" si="856"/>
        <v>卡卡杜企业店（视频号）</v>
      </c>
      <c r="H2635" s="1" t="str">
        <f t="shared" si="870"/>
        <v>正常订单</v>
      </c>
      <c r="I2635" s="1" t="str">
        <f t="shared" si="871"/>
        <v>已发货</v>
      </c>
      <c r="J2635" s="1" t="str">
        <f t="shared" si="872"/>
        <v>3</v>
      </c>
      <c r="K2635" s="1">
        <v>2</v>
      </c>
      <c r="L2635" s="1" t="s">
        <v>161</v>
      </c>
      <c r="M2635" s="1" t="str">
        <f>"四川省 成都市 双流区 "</f>
        <v xml:space="preserve">四川省 成都市 双流区 </v>
      </c>
      <c r="N2635" s="1" t="str">
        <f t="shared" si="857"/>
        <v>凡华云仓-城南圆通-微信视频号</v>
      </c>
      <c r="O2635" s="5" t="s">
        <v>2671</v>
      </c>
      <c r="P2635" s="6">
        <v>0.24</v>
      </c>
      <c r="Q2635" s="11">
        <v>2</v>
      </c>
      <c r="R2635" s="11"/>
      <c r="S2635" s="11"/>
      <c r="T2635" s="11"/>
      <c r="U2635" s="11">
        <f t="shared" si="867"/>
        <v>2</v>
      </c>
      <c r="W2635">
        <v>2.2000000000000002</v>
      </c>
      <c r="X2635" s="1" t="s">
        <v>161</v>
      </c>
    </row>
    <row r="2636" spans="1:24" x14ac:dyDescent="0.25">
      <c r="A2636" s="1" t="str">
        <f t="shared" si="868"/>
        <v>卡卡杜-凤凰仓</v>
      </c>
      <c r="B2636" s="1" t="str">
        <f>"CK20241026110"</f>
        <v>CK20241026110</v>
      </c>
      <c r="C2636" s="1" t="str">
        <f>"DD2024102617816"</f>
        <v>DD2024102617816</v>
      </c>
      <c r="D2636" s="1" t="str">
        <f>"CK202410269628"</f>
        <v>CK202410269628</v>
      </c>
      <c r="E2636" s="1" t="str">
        <f>"3723560873262453760"</f>
        <v>3723560873262453760</v>
      </c>
      <c r="F2636" s="1" t="str">
        <f t="shared" si="869"/>
        <v>花都四部-凤凰仓</v>
      </c>
      <c r="G2636" s="1" t="str">
        <f t="shared" si="856"/>
        <v>卡卡杜企业店（视频号）</v>
      </c>
      <c r="H2636" s="1" t="str">
        <f t="shared" si="870"/>
        <v>正常订单</v>
      </c>
      <c r="I2636" s="1" t="str">
        <f t="shared" si="871"/>
        <v>已发货</v>
      </c>
      <c r="J2636" s="1" t="str">
        <f>"2"</f>
        <v>2</v>
      </c>
      <c r="K2636" s="1">
        <v>2</v>
      </c>
      <c r="L2636" s="1" t="s">
        <v>20</v>
      </c>
      <c r="M2636" s="1" t="str">
        <f>"浙江省 绍兴市 诸暨市 "</f>
        <v xml:space="preserve">浙江省 绍兴市 诸暨市 </v>
      </c>
      <c r="N2636" s="1" t="str">
        <f t="shared" si="857"/>
        <v>凡华云仓-城南圆通-微信视频号</v>
      </c>
      <c r="O2636" s="5" t="s">
        <v>2672</v>
      </c>
      <c r="P2636" s="6">
        <v>0.17</v>
      </c>
      <c r="Q2636" s="11">
        <v>2</v>
      </c>
      <c r="R2636" s="11"/>
      <c r="S2636" s="11"/>
      <c r="T2636" s="11"/>
      <c r="U2636" s="11">
        <f t="shared" si="867"/>
        <v>2</v>
      </c>
      <c r="W2636">
        <v>2.2000000000000002</v>
      </c>
      <c r="X2636" s="1" t="s">
        <v>20</v>
      </c>
    </row>
    <row r="2637" spans="1:24" x14ac:dyDescent="0.25">
      <c r="A2637" s="1" t="str">
        <f t="shared" si="868"/>
        <v>卡卡杜-凤凰仓</v>
      </c>
      <c r="B2637" s="1" t="str">
        <f>"CK20241026111"</f>
        <v>CK20241026111</v>
      </c>
      <c r="C2637" s="1" t="str">
        <f>"DD2024102617820"</f>
        <v>DD2024102617820</v>
      </c>
      <c r="D2637" s="1" t="str">
        <f>"CK202410269627"</f>
        <v>CK202410269627</v>
      </c>
      <c r="E2637" s="1" t="str">
        <f>"3723560863122460672"</f>
        <v>3723560863122460672</v>
      </c>
      <c r="F2637" s="1" t="str">
        <f t="shared" si="869"/>
        <v>花都四部-凤凰仓</v>
      </c>
      <c r="G2637" s="1" t="str">
        <f t="shared" si="856"/>
        <v>卡卡杜企业店（视频号）</v>
      </c>
      <c r="H2637" s="1" t="str">
        <f t="shared" si="870"/>
        <v>正常订单</v>
      </c>
      <c r="I2637" s="1" t="str">
        <f t="shared" si="871"/>
        <v>已发货</v>
      </c>
      <c r="J2637" s="1" t="str">
        <f t="shared" ref="J2637:J2642" si="873">"3"</f>
        <v>3</v>
      </c>
      <c r="K2637" s="1">
        <v>2</v>
      </c>
      <c r="L2637" s="1" t="s">
        <v>47</v>
      </c>
      <c r="M2637" s="1" t="str">
        <f>"重庆 重庆市 渝北区 "</f>
        <v xml:space="preserve">重庆 重庆市 渝北区 </v>
      </c>
      <c r="N2637" s="1" t="str">
        <f t="shared" si="857"/>
        <v>凡华云仓-城南圆通-微信视频号</v>
      </c>
      <c r="O2637" s="5" t="s">
        <v>2673</v>
      </c>
      <c r="P2637" s="6">
        <v>0.24</v>
      </c>
      <c r="Q2637" s="11">
        <v>2</v>
      </c>
      <c r="R2637" s="11"/>
      <c r="S2637" s="11"/>
      <c r="T2637" s="11"/>
      <c r="U2637" s="11">
        <f t="shared" si="867"/>
        <v>2</v>
      </c>
      <c r="W2637">
        <v>2.2000000000000002</v>
      </c>
      <c r="X2637" s="1" t="s">
        <v>47</v>
      </c>
    </row>
    <row r="2638" spans="1:24" x14ac:dyDescent="0.25">
      <c r="A2638" s="1" t="str">
        <f t="shared" si="868"/>
        <v>卡卡杜-凤凰仓</v>
      </c>
      <c r="B2638" s="1" t="str">
        <f>"CK20241026112"</f>
        <v>CK20241026112</v>
      </c>
      <c r="C2638" s="1" t="str">
        <f>"DD2024102617819"</f>
        <v>DD2024102617819</v>
      </c>
      <c r="D2638" s="1" t="str">
        <f>"CK202410269626"</f>
        <v>CK202410269626</v>
      </c>
      <c r="E2638" s="1" t="str">
        <f>"3723560857429476608"</f>
        <v>3723560857429476608</v>
      </c>
      <c r="F2638" s="1" t="str">
        <f t="shared" si="869"/>
        <v>花都四部-凤凰仓</v>
      </c>
      <c r="G2638" s="1" t="str">
        <f t="shared" si="856"/>
        <v>卡卡杜企业店（视频号）</v>
      </c>
      <c r="H2638" s="1" t="str">
        <f t="shared" si="870"/>
        <v>正常订单</v>
      </c>
      <c r="I2638" s="1" t="str">
        <f t="shared" si="871"/>
        <v>已发货</v>
      </c>
      <c r="J2638" s="1" t="str">
        <f t="shared" si="873"/>
        <v>3</v>
      </c>
      <c r="K2638" s="1">
        <v>2</v>
      </c>
      <c r="L2638" s="1" t="s">
        <v>18</v>
      </c>
      <c r="M2638" s="1" t="str">
        <f>"广东省 深圳市 福田区 "</f>
        <v xml:space="preserve">广东省 深圳市 福田区 </v>
      </c>
      <c r="N2638" s="1" t="str">
        <f t="shared" si="857"/>
        <v>凡华云仓-城南圆通-微信视频号</v>
      </c>
      <c r="O2638" s="5" t="s">
        <v>2674</v>
      </c>
      <c r="P2638" s="6">
        <v>0.24</v>
      </c>
      <c r="Q2638" s="11">
        <v>2</v>
      </c>
      <c r="R2638" s="11"/>
      <c r="S2638" s="11"/>
      <c r="T2638" s="11"/>
      <c r="U2638" s="11">
        <f t="shared" si="867"/>
        <v>2</v>
      </c>
      <c r="W2638">
        <v>2.2000000000000002</v>
      </c>
      <c r="X2638" s="1" t="s">
        <v>18</v>
      </c>
    </row>
    <row r="2639" spans="1:24" x14ac:dyDescent="0.25">
      <c r="A2639" s="1" t="str">
        <f t="shared" si="868"/>
        <v>卡卡杜-凤凰仓</v>
      </c>
      <c r="B2639" s="1" t="str">
        <f>"CK20241026113"</f>
        <v>CK20241026113</v>
      </c>
      <c r="C2639" s="1" t="str">
        <f>"DD2024102617818"</f>
        <v>DD2024102617818</v>
      </c>
      <c r="D2639" s="1" t="str">
        <f>"CK202410269625"</f>
        <v>CK202410269625</v>
      </c>
      <c r="E2639" s="1" t="str">
        <f>"3723560857673535488"</f>
        <v>3723560857673535488</v>
      </c>
      <c r="F2639" s="1" t="str">
        <f t="shared" si="869"/>
        <v>花都四部-凤凰仓</v>
      </c>
      <c r="G2639" s="1" t="str">
        <f t="shared" si="856"/>
        <v>卡卡杜企业店（视频号）</v>
      </c>
      <c r="H2639" s="1" t="str">
        <f t="shared" si="870"/>
        <v>正常订单</v>
      </c>
      <c r="I2639" s="1" t="str">
        <f t="shared" si="871"/>
        <v>已发货</v>
      </c>
      <c r="J2639" s="1" t="str">
        <f>"2"</f>
        <v>2</v>
      </c>
      <c r="K2639" s="1">
        <v>2</v>
      </c>
      <c r="L2639" s="1" t="s">
        <v>74</v>
      </c>
      <c r="M2639" s="1" t="str">
        <f>"上海 上海市 静安区 "</f>
        <v xml:space="preserve">上海 上海市 静安区 </v>
      </c>
      <c r="N2639" s="1" t="str">
        <f t="shared" si="857"/>
        <v>凡华云仓-城南圆通-微信视频号</v>
      </c>
      <c r="O2639" s="5" t="s">
        <v>2675</v>
      </c>
      <c r="P2639" s="6">
        <v>0.17</v>
      </c>
      <c r="Q2639" s="11">
        <v>2</v>
      </c>
      <c r="R2639" s="11"/>
      <c r="S2639" s="11"/>
      <c r="T2639" s="11"/>
      <c r="U2639" s="11">
        <f t="shared" si="867"/>
        <v>2</v>
      </c>
      <c r="W2639">
        <v>2.2000000000000002</v>
      </c>
      <c r="X2639" s="1" t="s">
        <v>74</v>
      </c>
    </row>
    <row r="2640" spans="1:24" x14ac:dyDescent="0.25">
      <c r="A2640" s="1" t="str">
        <f t="shared" si="868"/>
        <v>卡卡杜-凤凰仓</v>
      </c>
      <c r="B2640" s="1" t="str">
        <f>"CK20241026115"</f>
        <v>CK20241026115</v>
      </c>
      <c r="C2640" s="1" t="str">
        <f>"DD2024102617823"</f>
        <v>DD2024102617823</v>
      </c>
      <c r="D2640" s="1" t="str">
        <f>"CK202410269624"</f>
        <v>CK202410269624</v>
      </c>
      <c r="E2640" s="1" t="str">
        <f>"3723560850876138752"</f>
        <v>3723560850876138752</v>
      </c>
      <c r="F2640" s="1" t="str">
        <f t="shared" si="869"/>
        <v>花都四部-凤凰仓</v>
      </c>
      <c r="G2640" s="1" t="str">
        <f t="shared" si="856"/>
        <v>卡卡杜企业店（视频号）</v>
      </c>
      <c r="H2640" s="1" t="str">
        <f t="shared" si="870"/>
        <v>正常订单</v>
      </c>
      <c r="I2640" s="1" t="str">
        <f t="shared" si="871"/>
        <v>已发货</v>
      </c>
      <c r="J2640" s="1" t="str">
        <f t="shared" si="873"/>
        <v>3</v>
      </c>
      <c r="K2640" s="1">
        <v>2</v>
      </c>
      <c r="L2640" s="1" t="s">
        <v>47</v>
      </c>
      <c r="M2640" s="1" t="str">
        <f>"重庆 重庆市 渝中区 "</f>
        <v xml:space="preserve">重庆 重庆市 渝中区 </v>
      </c>
      <c r="N2640" s="1" t="str">
        <f t="shared" si="857"/>
        <v>凡华云仓-城南圆通-微信视频号</v>
      </c>
      <c r="O2640" s="5" t="s">
        <v>2676</v>
      </c>
      <c r="P2640" s="6">
        <v>0.24</v>
      </c>
      <c r="Q2640" s="11">
        <v>2</v>
      </c>
      <c r="R2640" s="11"/>
      <c r="S2640" s="11"/>
      <c r="T2640" s="11"/>
      <c r="U2640" s="11">
        <f t="shared" si="867"/>
        <v>2</v>
      </c>
      <c r="W2640">
        <v>2.2000000000000002</v>
      </c>
      <c r="X2640" s="1" t="s">
        <v>47</v>
      </c>
    </row>
    <row r="2641" spans="1:24" x14ac:dyDescent="0.25">
      <c r="A2641" s="1" t="str">
        <f t="shared" si="868"/>
        <v>卡卡杜-凤凰仓</v>
      </c>
      <c r="B2641" s="1" t="str">
        <f>"CK20241026114"</f>
        <v>CK20241026114</v>
      </c>
      <c r="C2641" s="1" t="str">
        <f>"DD2024102617821"</f>
        <v>DD2024102617821</v>
      </c>
      <c r="D2641" s="1" t="str">
        <f>"CK202410269623"</f>
        <v>CK202410269623</v>
      </c>
      <c r="E2641" s="1" t="str">
        <f>"3723560851300289536"</f>
        <v>3723560851300289536</v>
      </c>
      <c r="F2641" s="1" t="str">
        <f t="shared" si="869"/>
        <v>花都四部-凤凰仓</v>
      </c>
      <c r="G2641" s="1" t="str">
        <f t="shared" si="856"/>
        <v>卡卡杜企业店（视频号）</v>
      </c>
      <c r="H2641" s="1" t="str">
        <f t="shared" si="870"/>
        <v>正常订单</v>
      </c>
      <c r="I2641" s="1" t="str">
        <f t="shared" si="871"/>
        <v>已发货</v>
      </c>
      <c r="J2641" s="1" t="str">
        <f t="shared" si="873"/>
        <v>3</v>
      </c>
      <c r="K2641" s="1">
        <v>2</v>
      </c>
      <c r="L2641" s="1" t="s">
        <v>36</v>
      </c>
      <c r="M2641" s="1" t="str">
        <f>"安徽省 合肥市 庐阳区 "</f>
        <v xml:space="preserve">安徽省 合肥市 庐阳区 </v>
      </c>
      <c r="N2641" s="1" t="str">
        <f t="shared" si="857"/>
        <v>凡华云仓-城南圆通-微信视频号</v>
      </c>
      <c r="O2641" s="5" t="s">
        <v>2677</v>
      </c>
      <c r="P2641" s="6">
        <v>0.24</v>
      </c>
      <c r="Q2641" s="11">
        <v>2</v>
      </c>
      <c r="R2641" s="11"/>
      <c r="S2641" s="11"/>
      <c r="T2641" s="11"/>
      <c r="U2641" s="11">
        <f t="shared" si="867"/>
        <v>2</v>
      </c>
      <c r="W2641">
        <v>2.2000000000000002</v>
      </c>
      <c r="X2641" s="1" t="s">
        <v>36</v>
      </c>
    </row>
    <row r="2642" spans="1:24" x14ac:dyDescent="0.25">
      <c r="A2642" s="1" t="str">
        <f t="shared" si="868"/>
        <v>卡卡杜-凤凰仓</v>
      </c>
      <c r="B2642" s="1" t="str">
        <f>"CK20241026116"</f>
        <v>CK20241026116</v>
      </c>
      <c r="C2642" s="1" t="str">
        <f>"DD2024102617822"</f>
        <v>DD2024102617822</v>
      </c>
      <c r="D2642" s="1" t="str">
        <f>"CK202410269622"</f>
        <v>CK202410269622</v>
      </c>
      <c r="E2642" s="1" t="str">
        <f>"3723560848767716352"</f>
        <v>3723560848767716352</v>
      </c>
      <c r="F2642" s="1" t="str">
        <f t="shared" si="869"/>
        <v>花都四部-凤凰仓</v>
      </c>
      <c r="G2642" s="1" t="str">
        <f t="shared" si="856"/>
        <v>卡卡杜企业店（视频号）</v>
      </c>
      <c r="H2642" s="1" t="str">
        <f t="shared" si="870"/>
        <v>正常订单</v>
      </c>
      <c r="I2642" s="1" t="str">
        <f t="shared" si="871"/>
        <v>已发货</v>
      </c>
      <c r="J2642" s="1" t="str">
        <f t="shared" si="873"/>
        <v>3</v>
      </c>
      <c r="K2642" s="1">
        <v>2</v>
      </c>
      <c r="L2642" s="1" t="s">
        <v>161</v>
      </c>
      <c r="M2642" s="1" t="str">
        <f>"四川省 南充市 蓬安县 "</f>
        <v xml:space="preserve">四川省 南充市 蓬安县 </v>
      </c>
      <c r="N2642" s="1" t="str">
        <f t="shared" si="857"/>
        <v>凡华云仓-城南圆通-微信视频号</v>
      </c>
      <c r="O2642" s="5" t="s">
        <v>2678</v>
      </c>
      <c r="P2642" s="6">
        <v>0.24</v>
      </c>
      <c r="Q2642" s="11">
        <v>2</v>
      </c>
      <c r="R2642" s="11"/>
      <c r="S2642" s="11"/>
      <c r="T2642" s="11"/>
      <c r="U2642" s="11">
        <f t="shared" si="867"/>
        <v>2</v>
      </c>
      <c r="W2642">
        <v>2.2000000000000002</v>
      </c>
      <c r="X2642" s="1" t="s">
        <v>161</v>
      </c>
    </row>
    <row r="2643" spans="1:24" x14ac:dyDescent="0.25">
      <c r="A2643" s="1" t="str">
        <f t="shared" si="868"/>
        <v>卡卡杜-凤凰仓</v>
      </c>
      <c r="B2643" s="1" t="str">
        <f>"CK20241026117"</f>
        <v>CK20241026117</v>
      </c>
      <c r="C2643" s="1" t="str">
        <f>"DD2024102617824"</f>
        <v>DD2024102617824</v>
      </c>
      <c r="D2643" s="1" t="str">
        <f>"CK202410269621"</f>
        <v>CK202410269621</v>
      </c>
      <c r="E2643" s="1" t="str">
        <f>"3723560843408444416"</f>
        <v>3723560843408444416</v>
      </c>
      <c r="F2643" s="1" t="str">
        <f t="shared" si="869"/>
        <v>花都四部-凤凰仓</v>
      </c>
      <c r="G2643" s="1" t="str">
        <f t="shared" si="856"/>
        <v>卡卡杜企业店（视频号）</v>
      </c>
      <c r="H2643" s="1" t="str">
        <f t="shared" si="870"/>
        <v>正常订单</v>
      </c>
      <c r="I2643" s="1" t="str">
        <f t="shared" si="871"/>
        <v>已发货</v>
      </c>
      <c r="J2643" s="1" t="str">
        <f t="shared" ref="J2643:J2648" si="874">"2"</f>
        <v>2</v>
      </c>
      <c r="K2643" s="1">
        <v>2</v>
      </c>
      <c r="L2643" s="1" t="s">
        <v>30</v>
      </c>
      <c r="M2643" s="1" t="str">
        <f>"山东省 泰安市 岱岳区 "</f>
        <v xml:space="preserve">山东省 泰安市 岱岳区 </v>
      </c>
      <c r="N2643" s="1" t="str">
        <f t="shared" si="857"/>
        <v>凡华云仓-城南圆通-微信视频号</v>
      </c>
      <c r="O2643" s="5" t="s">
        <v>2679</v>
      </c>
      <c r="P2643" s="6">
        <v>0.17</v>
      </c>
      <c r="Q2643" s="11">
        <v>2</v>
      </c>
      <c r="R2643" s="11"/>
      <c r="S2643" s="11"/>
      <c r="T2643" s="11"/>
      <c r="U2643" s="11">
        <f t="shared" si="867"/>
        <v>2</v>
      </c>
      <c r="W2643">
        <v>2.2000000000000002</v>
      </c>
      <c r="X2643" s="1" t="s">
        <v>30</v>
      </c>
    </row>
    <row r="2644" spans="1:24" x14ac:dyDescent="0.25">
      <c r="A2644" s="1" t="str">
        <f t="shared" si="868"/>
        <v>卡卡杜-凤凰仓</v>
      </c>
      <c r="B2644" s="1" t="str">
        <f>"CK20241026120"</f>
        <v>CK20241026120</v>
      </c>
      <c r="C2644" s="1" t="str">
        <f>"DD2024102617827"</f>
        <v>DD2024102617827</v>
      </c>
      <c r="D2644" s="1" t="str">
        <f>"CK202410269620"</f>
        <v>CK202410269620</v>
      </c>
      <c r="E2644" s="1" t="str">
        <f>"3723560836956296192"</f>
        <v>3723560836956296192</v>
      </c>
      <c r="F2644" s="1" t="str">
        <f t="shared" si="869"/>
        <v>花都四部-凤凰仓</v>
      </c>
      <c r="G2644" s="1" t="str">
        <f t="shared" si="856"/>
        <v>卡卡杜企业店（视频号）</v>
      </c>
      <c r="H2644" s="1" t="str">
        <f t="shared" si="870"/>
        <v>正常订单</v>
      </c>
      <c r="I2644" s="1" t="str">
        <f t="shared" si="871"/>
        <v>已发货</v>
      </c>
      <c r="J2644" s="1" t="str">
        <f t="shared" ref="J2644:J2651" si="875">"3"</f>
        <v>3</v>
      </c>
      <c r="K2644" s="1">
        <v>2</v>
      </c>
      <c r="L2644" s="1" t="s">
        <v>27</v>
      </c>
      <c r="M2644" s="1" t="str">
        <f>"贵州省 遵义市 红花岗区 "</f>
        <v xml:space="preserve">贵州省 遵义市 红花岗区 </v>
      </c>
      <c r="N2644" s="1" t="str">
        <f t="shared" si="857"/>
        <v>凡华云仓-城南圆通-微信视频号</v>
      </c>
      <c r="O2644" s="5" t="s">
        <v>2680</v>
      </c>
      <c r="P2644" s="6">
        <v>0.24</v>
      </c>
      <c r="Q2644" s="11">
        <v>2</v>
      </c>
      <c r="R2644" s="11"/>
      <c r="S2644" s="11"/>
      <c r="T2644" s="11"/>
      <c r="U2644" s="11">
        <f t="shared" si="867"/>
        <v>2</v>
      </c>
      <c r="W2644">
        <v>2.2000000000000002</v>
      </c>
      <c r="X2644" s="1" t="s">
        <v>27</v>
      </c>
    </row>
    <row r="2645" spans="1:24" x14ac:dyDescent="0.25">
      <c r="A2645" s="1" t="str">
        <f t="shared" si="868"/>
        <v>卡卡杜-凤凰仓</v>
      </c>
      <c r="B2645" s="1" t="str">
        <f>"CK20241026118"</f>
        <v>CK20241026118</v>
      </c>
      <c r="C2645" s="1" t="str">
        <f>"DD2024102617825"</f>
        <v>DD2024102617825</v>
      </c>
      <c r="D2645" s="1" t="str">
        <f>"CK202410269619"</f>
        <v>CK202410269619</v>
      </c>
      <c r="E2645" s="1" t="str">
        <f>"3723560841857340416"</f>
        <v>3723560841857340416</v>
      </c>
      <c r="F2645" s="1" t="str">
        <f t="shared" si="869"/>
        <v>花都四部-凤凰仓</v>
      </c>
      <c r="G2645" s="1" t="str">
        <f t="shared" si="856"/>
        <v>卡卡杜企业店（视频号）</v>
      </c>
      <c r="H2645" s="1" t="str">
        <f t="shared" si="870"/>
        <v>正常订单</v>
      </c>
      <c r="I2645" s="1" t="str">
        <f t="shared" si="871"/>
        <v>已发货</v>
      </c>
      <c r="J2645" s="1" t="str">
        <f t="shared" si="875"/>
        <v>3</v>
      </c>
      <c r="K2645" s="1">
        <v>2</v>
      </c>
      <c r="L2645" s="1" t="s">
        <v>96</v>
      </c>
      <c r="M2645" s="1" t="str">
        <f>"广西壮族自治区 桂林市 叠彩区 "</f>
        <v xml:space="preserve">广西壮族自治区 桂林市 叠彩区 </v>
      </c>
      <c r="N2645" s="1" t="str">
        <f t="shared" si="857"/>
        <v>凡华云仓-城南圆通-微信视频号</v>
      </c>
      <c r="O2645" s="5" t="s">
        <v>2681</v>
      </c>
      <c r="P2645" s="6">
        <v>0.24</v>
      </c>
      <c r="Q2645" s="11">
        <v>2</v>
      </c>
      <c r="R2645" s="11"/>
      <c r="S2645" s="11"/>
      <c r="T2645" s="11"/>
      <c r="U2645" s="11">
        <f t="shared" si="867"/>
        <v>2</v>
      </c>
      <c r="W2645">
        <v>2.2000000000000002</v>
      </c>
      <c r="X2645" s="1" t="s">
        <v>96</v>
      </c>
    </row>
    <row r="2646" spans="1:24" x14ac:dyDescent="0.25">
      <c r="A2646" s="1" t="str">
        <f t="shared" si="868"/>
        <v>卡卡杜-凤凰仓</v>
      </c>
      <c r="B2646" s="1" t="str">
        <f>"CK20241026119"</f>
        <v>CK20241026119</v>
      </c>
      <c r="C2646" s="1" t="str">
        <f>"DD2024102617826"</f>
        <v>DD2024102617826</v>
      </c>
      <c r="D2646" s="1" t="str">
        <f>"CK202410269618"</f>
        <v>CK202410269618</v>
      </c>
      <c r="E2646" s="1" t="str">
        <f>"3723560837982324224"</f>
        <v>3723560837982324224</v>
      </c>
      <c r="F2646" s="1" t="str">
        <f t="shared" si="869"/>
        <v>花都四部-凤凰仓</v>
      </c>
      <c r="G2646" s="1" t="str">
        <f t="shared" si="856"/>
        <v>卡卡杜企业店（视频号）</v>
      </c>
      <c r="H2646" s="1" t="str">
        <f t="shared" si="870"/>
        <v>正常订单</v>
      </c>
      <c r="I2646" s="1" t="str">
        <f t="shared" si="871"/>
        <v>已发货</v>
      </c>
      <c r="J2646" s="1" t="str">
        <f t="shared" si="874"/>
        <v>2</v>
      </c>
      <c r="K2646" s="1">
        <v>2</v>
      </c>
      <c r="L2646" s="1" t="s">
        <v>18</v>
      </c>
      <c r="M2646" s="1" t="str">
        <f>"广东省 汕头市 龙湖区 "</f>
        <v xml:space="preserve">广东省 汕头市 龙湖区 </v>
      </c>
      <c r="N2646" s="1" t="str">
        <f t="shared" si="857"/>
        <v>凡华云仓-城南圆通-微信视频号</v>
      </c>
      <c r="O2646" s="5" t="s">
        <v>2682</v>
      </c>
      <c r="P2646" s="6">
        <v>0.17</v>
      </c>
      <c r="Q2646" s="11">
        <v>2</v>
      </c>
      <c r="R2646" s="11"/>
      <c r="S2646" s="11"/>
      <c r="T2646" s="11"/>
      <c r="U2646" s="11">
        <f t="shared" si="867"/>
        <v>2</v>
      </c>
      <c r="W2646">
        <v>2.2000000000000002</v>
      </c>
      <c r="X2646" s="1" t="s">
        <v>18</v>
      </c>
    </row>
    <row r="2647" spans="1:24" x14ac:dyDescent="0.25">
      <c r="A2647" s="1" t="str">
        <f t="shared" si="868"/>
        <v>卡卡杜-凤凰仓</v>
      </c>
      <c r="B2647" s="1" t="str">
        <f>"CK20241026121"</f>
        <v>CK20241026121</v>
      </c>
      <c r="C2647" s="1" t="str">
        <f>"DD2024102617829"</f>
        <v>DD2024102617829</v>
      </c>
      <c r="D2647" s="1" t="str">
        <f>"CK202410269617"</f>
        <v>CK202410269617</v>
      </c>
      <c r="E2647" s="1" t="str">
        <f>"3723560838305550336"</f>
        <v>3723560838305550336</v>
      </c>
      <c r="F2647" s="1" t="str">
        <f t="shared" si="869"/>
        <v>花都四部-凤凰仓</v>
      </c>
      <c r="G2647" s="1" t="str">
        <f t="shared" si="856"/>
        <v>卡卡杜企业店（视频号）</v>
      </c>
      <c r="H2647" s="1" t="str">
        <f t="shared" si="870"/>
        <v>正常订单</v>
      </c>
      <c r="I2647" s="1" t="str">
        <f t="shared" si="871"/>
        <v>已发货</v>
      </c>
      <c r="J2647" s="1" t="str">
        <f t="shared" si="874"/>
        <v>2</v>
      </c>
      <c r="K2647" s="1">
        <v>2</v>
      </c>
      <c r="L2647" s="1" t="s">
        <v>13</v>
      </c>
      <c r="M2647" s="1" t="str">
        <f>"江苏省 徐州市 泉山区 "</f>
        <v xml:space="preserve">江苏省 徐州市 泉山区 </v>
      </c>
      <c r="N2647" s="1" t="str">
        <f t="shared" si="857"/>
        <v>凡华云仓-城南圆通-微信视频号</v>
      </c>
      <c r="O2647" s="5" t="s">
        <v>2683</v>
      </c>
      <c r="P2647" s="6">
        <v>0.17</v>
      </c>
      <c r="Q2647" s="11">
        <v>2</v>
      </c>
      <c r="R2647" s="11"/>
      <c r="S2647" s="11"/>
      <c r="T2647" s="11"/>
      <c r="U2647" s="11">
        <f t="shared" si="867"/>
        <v>2</v>
      </c>
      <c r="W2647">
        <v>2.2000000000000002</v>
      </c>
      <c r="X2647" s="1" t="s">
        <v>13</v>
      </c>
    </row>
    <row r="2648" spans="1:24" x14ac:dyDescent="0.25">
      <c r="A2648" s="1" t="str">
        <f t="shared" si="868"/>
        <v>卡卡杜-凤凰仓</v>
      </c>
      <c r="B2648" s="1" t="str">
        <f>"CK20241026122"</f>
        <v>CK20241026122</v>
      </c>
      <c r="C2648" s="1" t="str">
        <f>"DD2024102617828"</f>
        <v>DD2024102617828</v>
      </c>
      <c r="D2648" s="1" t="str">
        <f>"CK202410269616"</f>
        <v>CK202410269616</v>
      </c>
      <c r="E2648" s="1" t="str">
        <f>"3723560835516859648"</f>
        <v>3723560835516859648</v>
      </c>
      <c r="F2648" s="1" t="str">
        <f t="shared" si="869"/>
        <v>花都四部-凤凰仓</v>
      </c>
      <c r="G2648" s="1" t="str">
        <f t="shared" si="856"/>
        <v>卡卡杜企业店（视频号）</v>
      </c>
      <c r="H2648" s="1" t="str">
        <f t="shared" si="870"/>
        <v>正常订单</v>
      </c>
      <c r="I2648" s="1" t="str">
        <f t="shared" si="871"/>
        <v>已发货</v>
      </c>
      <c r="J2648" s="1" t="str">
        <f t="shared" si="874"/>
        <v>2</v>
      </c>
      <c r="K2648" s="1">
        <v>2</v>
      </c>
      <c r="L2648" s="1" t="s">
        <v>60</v>
      </c>
      <c r="M2648" s="1" t="str">
        <f>"云南省 昆明市 西山区 "</f>
        <v xml:space="preserve">云南省 昆明市 西山区 </v>
      </c>
      <c r="N2648" s="1" t="str">
        <f t="shared" si="857"/>
        <v>凡华云仓-城南圆通-微信视频号</v>
      </c>
      <c r="O2648" s="5" t="s">
        <v>2684</v>
      </c>
      <c r="P2648" s="6">
        <v>0.17</v>
      </c>
      <c r="Q2648" s="11">
        <v>2</v>
      </c>
      <c r="R2648" s="11"/>
      <c r="S2648" s="11"/>
      <c r="T2648" s="11"/>
      <c r="U2648" s="11">
        <f t="shared" si="867"/>
        <v>2</v>
      </c>
      <c r="W2648">
        <v>2.2000000000000002</v>
      </c>
      <c r="X2648" s="1" t="s">
        <v>60</v>
      </c>
    </row>
    <row r="2649" spans="1:24" x14ac:dyDescent="0.25">
      <c r="A2649" s="1" t="str">
        <f t="shared" si="868"/>
        <v>卡卡杜-凤凰仓</v>
      </c>
      <c r="B2649" s="1" t="str">
        <f>"CK20241026123"</f>
        <v>CK20241026123</v>
      </c>
      <c r="C2649" s="1" t="str">
        <f>"DD2024102617832"</f>
        <v>DD2024102617832</v>
      </c>
      <c r="D2649" s="1" t="str">
        <f>"CK202410269615"</f>
        <v>CK202410269615</v>
      </c>
      <c r="E2649" s="1" t="str">
        <f>"3723560832784270592"</f>
        <v>3723560832784270592</v>
      </c>
      <c r="F2649" s="1" t="str">
        <f t="shared" si="869"/>
        <v>花都四部-凤凰仓</v>
      </c>
      <c r="G2649" s="1" t="str">
        <f t="shared" si="856"/>
        <v>卡卡杜企业店（视频号）</v>
      </c>
      <c r="H2649" s="1" t="str">
        <f t="shared" si="870"/>
        <v>正常订单</v>
      </c>
      <c r="I2649" s="1" t="str">
        <f t="shared" si="871"/>
        <v>已发货</v>
      </c>
      <c r="J2649" s="1" t="str">
        <f t="shared" si="875"/>
        <v>3</v>
      </c>
      <c r="K2649" s="1">
        <v>2</v>
      </c>
      <c r="L2649" s="1" t="s">
        <v>18</v>
      </c>
      <c r="M2649" s="1" t="str">
        <f>"广东省 汕头市 金平区 "</f>
        <v xml:space="preserve">广东省 汕头市 金平区 </v>
      </c>
      <c r="N2649" s="1" t="str">
        <f t="shared" si="857"/>
        <v>凡华云仓-城南圆通-微信视频号</v>
      </c>
      <c r="O2649" s="5" t="s">
        <v>2685</v>
      </c>
      <c r="P2649" s="6">
        <v>0.24</v>
      </c>
      <c r="Q2649" s="11">
        <v>2</v>
      </c>
      <c r="R2649" s="11"/>
      <c r="S2649" s="11"/>
      <c r="T2649" s="11"/>
      <c r="U2649" s="11">
        <f t="shared" si="867"/>
        <v>2</v>
      </c>
      <c r="W2649">
        <v>2.2000000000000002</v>
      </c>
      <c r="X2649" s="1" t="s">
        <v>18</v>
      </c>
    </row>
    <row r="2650" spans="1:24" x14ac:dyDescent="0.25">
      <c r="A2650" s="1" t="str">
        <f t="shared" si="868"/>
        <v>卡卡杜-凤凰仓</v>
      </c>
      <c r="B2650" s="1" t="str">
        <f>"CK20241026124"</f>
        <v>CK20241026124</v>
      </c>
      <c r="C2650" s="1" t="str">
        <f>"DD2024102617830"</f>
        <v>DD2024102617830</v>
      </c>
      <c r="D2650" s="1" t="str">
        <f>"CK202410269614"</f>
        <v>CK202410269614</v>
      </c>
      <c r="E2650" s="1" t="str">
        <f>"3723560830870361088"</f>
        <v>3723560830870361088</v>
      </c>
      <c r="F2650" s="1" t="str">
        <f t="shared" si="869"/>
        <v>花都四部-凤凰仓</v>
      </c>
      <c r="G2650" s="1" t="str">
        <f t="shared" si="856"/>
        <v>卡卡杜企业店（视频号）</v>
      </c>
      <c r="H2650" s="1" t="str">
        <f t="shared" si="870"/>
        <v>正常订单</v>
      </c>
      <c r="I2650" s="1" t="str">
        <f t="shared" si="871"/>
        <v>已发货</v>
      </c>
      <c r="J2650" s="1" t="str">
        <f t="shared" si="875"/>
        <v>3</v>
      </c>
      <c r="K2650" s="1">
        <v>2</v>
      </c>
      <c r="L2650" s="1" t="s">
        <v>16</v>
      </c>
      <c r="M2650" s="1" t="str">
        <f>"河北省 廊坊市 固安县 "</f>
        <v xml:space="preserve">河北省 廊坊市 固安县 </v>
      </c>
      <c r="N2650" s="1" t="str">
        <f t="shared" si="857"/>
        <v>凡华云仓-城南圆通-微信视频号</v>
      </c>
      <c r="O2650" s="5" t="s">
        <v>2686</v>
      </c>
      <c r="P2650" s="6">
        <v>0.24</v>
      </c>
      <c r="Q2650" s="11">
        <v>2</v>
      </c>
      <c r="R2650" s="11"/>
      <c r="S2650" s="11"/>
      <c r="T2650" s="11"/>
      <c r="U2650" s="11">
        <f t="shared" si="867"/>
        <v>2</v>
      </c>
      <c r="W2650">
        <v>2.2000000000000002</v>
      </c>
      <c r="X2650" s="1" t="s">
        <v>16</v>
      </c>
    </row>
    <row r="2651" spans="1:24" x14ac:dyDescent="0.25">
      <c r="A2651" s="1" t="str">
        <f t="shared" si="868"/>
        <v>卡卡杜-凤凰仓</v>
      </c>
      <c r="B2651" s="1" t="str">
        <f>"CK20241026125"</f>
        <v>CK20241026125</v>
      </c>
      <c r="C2651" s="1" t="str">
        <f>"DD2024102617833"</f>
        <v>DD2024102617833</v>
      </c>
      <c r="D2651" s="1" t="str">
        <f>"CK202410269613"</f>
        <v>CK202410269613</v>
      </c>
      <c r="E2651" s="1" t="str">
        <f>"3723560827514655744"</f>
        <v>3723560827514655744</v>
      </c>
      <c r="F2651" s="1" t="str">
        <f t="shared" si="869"/>
        <v>花都四部-凤凰仓</v>
      </c>
      <c r="G2651" s="1" t="str">
        <f t="shared" si="856"/>
        <v>卡卡杜企业店（视频号）</v>
      </c>
      <c r="H2651" s="1" t="str">
        <f t="shared" si="870"/>
        <v>正常订单</v>
      </c>
      <c r="I2651" s="1" t="str">
        <f t="shared" si="871"/>
        <v>已发货</v>
      </c>
      <c r="J2651" s="1" t="str">
        <f t="shared" si="875"/>
        <v>3</v>
      </c>
      <c r="K2651" s="1">
        <v>2</v>
      </c>
      <c r="L2651" s="1" t="s">
        <v>218</v>
      </c>
      <c r="M2651" s="1" t="str">
        <f>"天津 天津市 和平区 "</f>
        <v xml:space="preserve">天津 天津市 和平区 </v>
      </c>
      <c r="N2651" s="1" t="str">
        <f t="shared" si="857"/>
        <v>凡华云仓-城南圆通-微信视频号</v>
      </c>
      <c r="O2651" s="5" t="s">
        <v>2687</v>
      </c>
      <c r="P2651" s="6">
        <v>0.24</v>
      </c>
      <c r="Q2651" s="11">
        <v>2</v>
      </c>
      <c r="R2651" s="11"/>
      <c r="S2651" s="11"/>
      <c r="T2651" s="11"/>
      <c r="U2651" s="11">
        <f t="shared" si="867"/>
        <v>2</v>
      </c>
      <c r="W2651">
        <v>2.2000000000000002</v>
      </c>
      <c r="X2651" s="1" t="s">
        <v>218</v>
      </c>
    </row>
    <row r="2652" spans="1:24" x14ac:dyDescent="0.25">
      <c r="A2652" s="1" t="str">
        <f t="shared" si="868"/>
        <v>卡卡杜-凤凰仓</v>
      </c>
      <c r="B2652" s="1" t="str">
        <f>"CK20241026126"</f>
        <v>CK20241026126</v>
      </c>
      <c r="C2652" s="1" t="str">
        <f>"DD2024102617831"</f>
        <v>DD2024102617831</v>
      </c>
      <c r="D2652" s="1" t="str">
        <f>"CK202410269612"</f>
        <v>CK202410269612</v>
      </c>
      <c r="E2652" s="1" t="str">
        <f>"3723560825777427456"</f>
        <v>3723560825777427456</v>
      </c>
      <c r="F2652" s="1" t="str">
        <f t="shared" si="869"/>
        <v>花都四部-凤凰仓</v>
      </c>
      <c r="G2652" s="1" t="str">
        <f t="shared" si="856"/>
        <v>卡卡杜企业店（视频号）</v>
      </c>
      <c r="H2652" s="1" t="str">
        <f t="shared" si="870"/>
        <v>正常订单</v>
      </c>
      <c r="I2652" s="1" t="str">
        <f t="shared" si="871"/>
        <v>已发货</v>
      </c>
      <c r="J2652" s="1" t="str">
        <f t="shared" ref="J2652:J2658" si="876">"2"</f>
        <v>2</v>
      </c>
      <c r="K2652" s="1">
        <v>2</v>
      </c>
      <c r="L2652" s="1" t="s">
        <v>66</v>
      </c>
      <c r="M2652" s="1" t="str">
        <f>"内蒙古自治区 通辽市 科尔沁区 "</f>
        <v xml:space="preserve">内蒙古自治区 通辽市 科尔沁区 </v>
      </c>
      <c r="N2652" s="1" t="str">
        <f t="shared" si="857"/>
        <v>凡华云仓-城南圆通-微信视频号</v>
      </c>
      <c r="O2652" s="5" t="s">
        <v>2688</v>
      </c>
      <c r="P2652" s="6">
        <v>0.17</v>
      </c>
      <c r="Q2652" s="11">
        <v>2</v>
      </c>
      <c r="R2652" s="11"/>
      <c r="S2652" s="11"/>
      <c r="T2652" s="11"/>
      <c r="U2652" s="11">
        <f t="shared" si="867"/>
        <v>2</v>
      </c>
      <c r="W2652">
        <v>2.2000000000000002</v>
      </c>
      <c r="X2652" s="1" t="s">
        <v>66</v>
      </c>
    </row>
    <row r="2653" spans="1:24" x14ac:dyDescent="0.25">
      <c r="A2653" s="1" t="str">
        <f t="shared" si="868"/>
        <v>卡卡杜-凤凰仓</v>
      </c>
      <c r="B2653" s="1" t="str">
        <f>"CK20241026127"</f>
        <v>CK20241026127</v>
      </c>
      <c r="C2653" s="1" t="str">
        <f>"DD2024102617835"</f>
        <v>DD2024102617835</v>
      </c>
      <c r="D2653" s="1" t="str">
        <f>"CK202410269611"</f>
        <v>CK202410269611</v>
      </c>
      <c r="E2653" s="1" t="str">
        <f>"3723560824313091072"</f>
        <v>3723560824313091072</v>
      </c>
      <c r="F2653" s="1" t="str">
        <f t="shared" si="869"/>
        <v>花都四部-凤凰仓</v>
      </c>
      <c r="G2653" s="1" t="str">
        <f t="shared" si="856"/>
        <v>卡卡杜企业店（视频号）</v>
      </c>
      <c r="H2653" s="1" t="str">
        <f t="shared" si="870"/>
        <v>正常订单</v>
      </c>
      <c r="I2653" s="1" t="str">
        <f t="shared" si="871"/>
        <v>已发货</v>
      </c>
      <c r="J2653" s="1" t="str">
        <f t="shared" si="876"/>
        <v>2</v>
      </c>
      <c r="K2653" s="1">
        <v>2</v>
      </c>
      <c r="L2653" s="1" t="s">
        <v>1111</v>
      </c>
      <c r="M2653" s="1" t="str">
        <f>"青海省 西宁市 城西区 "</f>
        <v xml:space="preserve">青海省 西宁市 城西区 </v>
      </c>
      <c r="N2653" s="1" t="str">
        <f t="shared" si="857"/>
        <v>凡华云仓-城南圆通-微信视频号</v>
      </c>
      <c r="O2653" s="5" t="s">
        <v>2689</v>
      </c>
      <c r="P2653" s="6">
        <v>0.17</v>
      </c>
      <c r="Q2653" s="11">
        <v>2</v>
      </c>
      <c r="R2653" s="11"/>
      <c r="S2653" s="11"/>
      <c r="T2653" s="11"/>
      <c r="U2653" s="11">
        <f t="shared" si="867"/>
        <v>2</v>
      </c>
      <c r="W2653">
        <v>2.2000000000000002</v>
      </c>
      <c r="X2653" s="1" t="s">
        <v>1111</v>
      </c>
    </row>
    <row r="2654" spans="1:24" x14ac:dyDescent="0.25">
      <c r="A2654" s="1" t="str">
        <f t="shared" si="868"/>
        <v>卡卡杜-凤凰仓</v>
      </c>
      <c r="B2654" s="1" t="str">
        <f>"CK20241026128"</f>
        <v>CK20241026128</v>
      </c>
      <c r="C2654" s="1" t="str">
        <f>"DD2024102617834"</f>
        <v>DD2024102617834</v>
      </c>
      <c r="D2654" s="1" t="str">
        <f>"CK202410269610"</f>
        <v>CK202410269610</v>
      </c>
      <c r="E2654" s="1" t="str">
        <f>"3723560820733776896"</f>
        <v>3723560820733776896</v>
      </c>
      <c r="F2654" s="1" t="str">
        <f t="shared" si="869"/>
        <v>花都四部-凤凰仓</v>
      </c>
      <c r="G2654" s="1" t="str">
        <f t="shared" si="856"/>
        <v>卡卡杜企业店（视频号）</v>
      </c>
      <c r="H2654" s="1" t="str">
        <f t="shared" si="870"/>
        <v>正常订单</v>
      </c>
      <c r="I2654" s="1" t="str">
        <f t="shared" si="871"/>
        <v>已发货</v>
      </c>
      <c r="J2654" s="1" t="str">
        <f>"3"</f>
        <v>3</v>
      </c>
      <c r="K2654" s="1">
        <v>2</v>
      </c>
      <c r="L2654" s="1" t="s">
        <v>161</v>
      </c>
      <c r="M2654" s="1" t="str">
        <f>"四川省 南充市 阆中市 "</f>
        <v xml:space="preserve">四川省 南充市 阆中市 </v>
      </c>
      <c r="N2654" s="1" t="str">
        <f t="shared" si="857"/>
        <v>凡华云仓-城南圆通-微信视频号</v>
      </c>
      <c r="O2654" s="5" t="s">
        <v>2690</v>
      </c>
      <c r="P2654" s="6">
        <v>0.24</v>
      </c>
      <c r="Q2654" s="11">
        <v>2</v>
      </c>
      <c r="R2654" s="11"/>
      <c r="S2654" s="11"/>
      <c r="T2654" s="11"/>
      <c r="U2654" s="11">
        <f t="shared" si="867"/>
        <v>2</v>
      </c>
      <c r="W2654">
        <v>2.2000000000000002</v>
      </c>
      <c r="X2654" s="1" t="s">
        <v>161</v>
      </c>
    </row>
    <row r="2655" spans="1:24" x14ac:dyDescent="0.25">
      <c r="A2655" s="1" t="str">
        <f t="shared" si="868"/>
        <v>卡卡杜-凤凰仓</v>
      </c>
      <c r="B2655" s="1" t="str">
        <f>"CK20241026129"</f>
        <v>CK20241026129</v>
      </c>
      <c r="C2655" s="1" t="str">
        <f>"DD2024102617836"</f>
        <v>DD2024102617836</v>
      </c>
      <c r="D2655" s="1" t="str">
        <f>"CK202410269609"</f>
        <v>CK202410269609</v>
      </c>
      <c r="E2655" s="1" t="str">
        <f>"3723560819074405376"</f>
        <v>3723560819074405376</v>
      </c>
      <c r="F2655" s="1" t="str">
        <f t="shared" si="869"/>
        <v>花都四部-凤凰仓</v>
      </c>
      <c r="G2655" s="1" t="str">
        <f t="shared" si="856"/>
        <v>卡卡杜企业店（视频号）</v>
      </c>
      <c r="H2655" s="1" t="str">
        <f t="shared" si="870"/>
        <v>正常订单</v>
      </c>
      <c r="I2655" s="1" t="str">
        <f t="shared" si="871"/>
        <v>已发货</v>
      </c>
      <c r="J2655" s="1" t="str">
        <f t="shared" si="876"/>
        <v>2</v>
      </c>
      <c r="K2655" s="1">
        <v>2</v>
      </c>
      <c r="L2655" s="1" t="s">
        <v>18</v>
      </c>
      <c r="M2655" s="1" t="str">
        <f>"广东省 深圳市 南山区 "</f>
        <v xml:space="preserve">广东省 深圳市 南山区 </v>
      </c>
      <c r="N2655" s="1" t="str">
        <f t="shared" si="857"/>
        <v>凡华云仓-城南圆通-微信视频号</v>
      </c>
      <c r="O2655" s="5" t="s">
        <v>2691</v>
      </c>
      <c r="P2655" s="6">
        <v>0.17</v>
      </c>
      <c r="Q2655" s="11">
        <v>2</v>
      </c>
      <c r="R2655" s="11"/>
      <c r="S2655" s="11"/>
      <c r="T2655" s="11"/>
      <c r="U2655" s="11">
        <f t="shared" si="867"/>
        <v>2</v>
      </c>
      <c r="W2655">
        <v>2.2000000000000002</v>
      </c>
      <c r="X2655" s="1" t="s">
        <v>18</v>
      </c>
    </row>
    <row r="2656" spans="1:24" x14ac:dyDescent="0.25">
      <c r="A2656" s="1" t="str">
        <f t="shared" si="868"/>
        <v>卡卡杜-凤凰仓</v>
      </c>
      <c r="B2656" s="1" t="str">
        <f>"CK20241026130"</f>
        <v>CK20241026130</v>
      </c>
      <c r="C2656" s="1" t="str">
        <f>"DD2024102617837"</f>
        <v>DD2024102617837</v>
      </c>
      <c r="D2656" s="1" t="str">
        <f>"CK202410269608"</f>
        <v>CK202410269608</v>
      </c>
      <c r="E2656" s="1" t="str">
        <f>"3723560817653056768"</f>
        <v>3723560817653056768</v>
      </c>
      <c r="F2656" s="1" t="str">
        <f t="shared" si="869"/>
        <v>花都四部-凤凰仓</v>
      </c>
      <c r="G2656" s="1" t="str">
        <f t="shared" si="856"/>
        <v>卡卡杜企业店（视频号）</v>
      </c>
      <c r="H2656" s="1" t="str">
        <f t="shared" si="870"/>
        <v>正常订单</v>
      </c>
      <c r="I2656" s="1" t="str">
        <f t="shared" si="871"/>
        <v>已发货</v>
      </c>
      <c r="J2656" s="1" t="str">
        <f t="shared" si="876"/>
        <v>2</v>
      </c>
      <c r="K2656" s="1">
        <v>2</v>
      </c>
      <c r="L2656" s="1" t="s">
        <v>22</v>
      </c>
      <c r="M2656" s="1" t="str">
        <f>"江西省 南昌市 青山湖区 "</f>
        <v xml:space="preserve">江西省 南昌市 青山湖区 </v>
      </c>
      <c r="N2656" s="1" t="str">
        <f t="shared" si="857"/>
        <v>凡华云仓-城南圆通-微信视频号</v>
      </c>
      <c r="O2656" s="5" t="s">
        <v>2692</v>
      </c>
      <c r="P2656" s="6">
        <v>0.17</v>
      </c>
      <c r="Q2656" s="11">
        <v>2</v>
      </c>
      <c r="R2656" s="11"/>
      <c r="S2656" s="11"/>
      <c r="T2656" s="11"/>
      <c r="U2656" s="11">
        <f t="shared" si="867"/>
        <v>2</v>
      </c>
      <c r="W2656">
        <v>2.2000000000000002</v>
      </c>
      <c r="X2656" s="1" t="s">
        <v>22</v>
      </c>
    </row>
    <row r="2657" spans="1:24" x14ac:dyDescent="0.25">
      <c r="A2657" s="1" t="str">
        <f t="shared" si="868"/>
        <v>卡卡杜-凤凰仓</v>
      </c>
      <c r="B2657" s="1" t="str">
        <f>"CK20241026131"</f>
        <v>CK20241026131</v>
      </c>
      <c r="C2657" s="1" t="str">
        <f>"DD2024102617839"</f>
        <v>DD2024102617839</v>
      </c>
      <c r="D2657" s="1" t="str">
        <f>"CK202410269607"</f>
        <v>CK202410269607</v>
      </c>
      <c r="E2657" s="1" t="str">
        <f>"3723560816565163008"</f>
        <v>3723560816565163008</v>
      </c>
      <c r="F2657" s="1" t="str">
        <f t="shared" si="869"/>
        <v>花都四部-凤凰仓</v>
      </c>
      <c r="G2657" s="1" t="str">
        <f t="shared" si="856"/>
        <v>卡卡杜企业店（视频号）</v>
      </c>
      <c r="H2657" s="1" t="str">
        <f t="shared" si="870"/>
        <v>正常订单</v>
      </c>
      <c r="I2657" s="1" t="str">
        <f t="shared" si="871"/>
        <v>已发货</v>
      </c>
      <c r="J2657" s="1" t="str">
        <f t="shared" si="876"/>
        <v>2</v>
      </c>
      <c r="K2657" s="1">
        <v>2</v>
      </c>
      <c r="L2657" s="1" t="s">
        <v>80</v>
      </c>
      <c r="M2657" s="1" t="str">
        <f>"河南省 郑州市 管城回族区 "</f>
        <v xml:space="preserve">河南省 郑州市 管城回族区 </v>
      </c>
      <c r="N2657" s="1" t="str">
        <f t="shared" si="857"/>
        <v>凡华云仓-城南圆通-微信视频号</v>
      </c>
      <c r="O2657" s="5" t="s">
        <v>2693</v>
      </c>
      <c r="P2657" s="6">
        <v>0.17</v>
      </c>
      <c r="Q2657" s="11">
        <v>2</v>
      </c>
      <c r="R2657" s="11"/>
      <c r="S2657" s="11"/>
      <c r="T2657" s="11"/>
      <c r="U2657" s="11">
        <f t="shared" si="867"/>
        <v>2</v>
      </c>
      <c r="W2657">
        <v>2.2000000000000002</v>
      </c>
      <c r="X2657" s="1" t="s">
        <v>80</v>
      </c>
    </row>
    <row r="2658" spans="1:24" x14ac:dyDescent="0.25">
      <c r="A2658" s="1" t="str">
        <f t="shared" si="868"/>
        <v>卡卡杜-凤凰仓</v>
      </c>
      <c r="B2658" s="1" t="str">
        <f>"CK20241026132"</f>
        <v>CK20241026132</v>
      </c>
      <c r="C2658" s="1" t="str">
        <f>"DD2024102617838"</f>
        <v>DD2024102617838</v>
      </c>
      <c r="D2658" s="1" t="str">
        <f>"CK202410269606"</f>
        <v>CK202410269606</v>
      </c>
      <c r="E2658" s="1" t="str">
        <f>"3723560813737415680"</f>
        <v>3723560813737415680</v>
      </c>
      <c r="F2658" s="1" t="str">
        <f t="shared" si="869"/>
        <v>花都四部-凤凰仓</v>
      </c>
      <c r="G2658" s="1" t="str">
        <f t="shared" si="856"/>
        <v>卡卡杜企业店（视频号）</v>
      </c>
      <c r="H2658" s="1" t="str">
        <f t="shared" si="870"/>
        <v>正常订单</v>
      </c>
      <c r="I2658" s="1" t="str">
        <f t="shared" si="871"/>
        <v>已发货</v>
      </c>
      <c r="J2658" s="1" t="str">
        <f t="shared" si="876"/>
        <v>2</v>
      </c>
      <c r="K2658" s="1">
        <v>2</v>
      </c>
      <c r="L2658" s="1" t="s">
        <v>80</v>
      </c>
      <c r="M2658" s="1" t="str">
        <f>"河南省 商丘市 睢阳区 "</f>
        <v xml:space="preserve">河南省 商丘市 睢阳区 </v>
      </c>
      <c r="N2658" s="1" t="str">
        <f t="shared" si="857"/>
        <v>凡华云仓-城南圆通-微信视频号</v>
      </c>
      <c r="O2658" s="5" t="s">
        <v>2694</v>
      </c>
      <c r="P2658" s="6">
        <v>0.17</v>
      </c>
      <c r="Q2658" s="11">
        <v>2</v>
      </c>
      <c r="R2658" s="11"/>
      <c r="S2658" s="11"/>
      <c r="T2658" s="11"/>
      <c r="U2658" s="11">
        <f t="shared" si="867"/>
        <v>2</v>
      </c>
      <c r="W2658">
        <v>2.2000000000000002</v>
      </c>
      <c r="X2658" s="1" t="s">
        <v>80</v>
      </c>
    </row>
    <row r="2659" spans="1:24" x14ac:dyDescent="0.25">
      <c r="A2659" s="1" t="str">
        <f t="shared" si="868"/>
        <v>卡卡杜-凤凰仓</v>
      </c>
      <c r="B2659" s="1" t="str">
        <f>"CK20241026133"</f>
        <v>CK20241026133</v>
      </c>
      <c r="C2659" s="1" t="str">
        <f>"DD2024102617841"</f>
        <v>DD2024102617841</v>
      </c>
      <c r="D2659" s="1" t="str">
        <f>"CK202410269605"</f>
        <v>CK202410269605</v>
      </c>
      <c r="E2659" s="1" t="str">
        <f>"3723560805724722176"</f>
        <v>3723560805724722176</v>
      </c>
      <c r="F2659" s="1" t="str">
        <f t="shared" si="869"/>
        <v>花都四部-凤凰仓</v>
      </c>
      <c r="G2659" s="1" t="str">
        <f t="shared" si="856"/>
        <v>卡卡杜企业店（视频号）</v>
      </c>
      <c r="H2659" s="1" t="str">
        <f t="shared" si="870"/>
        <v>正常订单</v>
      </c>
      <c r="I2659" s="1" t="str">
        <f t="shared" si="871"/>
        <v>已发货</v>
      </c>
      <c r="J2659" s="1" t="str">
        <f t="shared" ref="J2659:J2663" si="877">"3"</f>
        <v>3</v>
      </c>
      <c r="K2659" s="1">
        <v>2</v>
      </c>
      <c r="L2659" s="1" t="s">
        <v>161</v>
      </c>
      <c r="M2659" s="1" t="str">
        <f>"四川省 成都市 金牛区 "</f>
        <v xml:space="preserve">四川省 成都市 金牛区 </v>
      </c>
      <c r="N2659" s="1" t="str">
        <f>"凡华云仓-竹料中通-微信视频号"</f>
        <v>凡华云仓-竹料中通-微信视频号</v>
      </c>
      <c r="O2659" s="5">
        <v>73613862378648</v>
      </c>
      <c r="P2659" s="6">
        <v>0.24</v>
      </c>
      <c r="Q2659" s="11">
        <v>2.2999999999999998</v>
      </c>
      <c r="R2659" s="11"/>
      <c r="S2659" s="11"/>
      <c r="T2659" s="11"/>
      <c r="U2659" s="11">
        <f t="shared" si="867"/>
        <v>2.2999999999999998</v>
      </c>
      <c r="W2659">
        <v>2.5</v>
      </c>
      <c r="X2659" s="1" t="s">
        <v>161</v>
      </c>
    </row>
    <row r="2660" spans="1:24" x14ac:dyDescent="0.25">
      <c r="A2660" s="1" t="str">
        <f t="shared" si="868"/>
        <v>卡卡杜-凤凰仓</v>
      </c>
      <c r="B2660" s="1" t="str">
        <f>"CK20241026135"</f>
        <v>CK20241026135</v>
      </c>
      <c r="C2660" s="1" t="str">
        <f>"DD2024102617842"</f>
        <v>DD2024102617842</v>
      </c>
      <c r="D2660" s="1" t="str">
        <f>"CK202410269604"</f>
        <v>CK202410269604</v>
      </c>
      <c r="E2660" s="1" t="str">
        <f>"3723560802644788480"</f>
        <v>3723560802644788480</v>
      </c>
      <c r="F2660" s="1" t="str">
        <f t="shared" si="869"/>
        <v>花都四部-凤凰仓</v>
      </c>
      <c r="G2660" s="1" t="str">
        <f t="shared" si="856"/>
        <v>卡卡杜企业店（视频号）</v>
      </c>
      <c r="H2660" s="1" t="str">
        <f t="shared" si="870"/>
        <v>正常订单</v>
      </c>
      <c r="I2660" s="1" t="str">
        <f t="shared" si="871"/>
        <v>已发货</v>
      </c>
      <c r="J2660" s="1" t="str">
        <f t="shared" si="877"/>
        <v>3</v>
      </c>
      <c r="K2660" s="1">
        <v>2</v>
      </c>
      <c r="L2660" s="1" t="s">
        <v>18</v>
      </c>
      <c r="M2660" s="1" t="str">
        <f>"广东省 广州市 越秀区 "</f>
        <v xml:space="preserve">广东省 广州市 越秀区 </v>
      </c>
      <c r="N2660" s="1" t="str">
        <f t="shared" ref="N2660:N2674" si="878">"凡华云仓-城南圆通-微信视频号"</f>
        <v>凡华云仓-城南圆通-微信视频号</v>
      </c>
      <c r="O2660" s="5" t="s">
        <v>2695</v>
      </c>
      <c r="P2660" s="6">
        <v>0.24</v>
      </c>
      <c r="Q2660" s="11">
        <v>2</v>
      </c>
      <c r="R2660" s="11"/>
      <c r="S2660" s="11"/>
      <c r="T2660" s="11"/>
      <c r="U2660" s="11">
        <f t="shared" si="867"/>
        <v>2</v>
      </c>
      <c r="W2660">
        <v>2.2000000000000002</v>
      </c>
      <c r="X2660" s="1" t="s">
        <v>18</v>
      </c>
    </row>
    <row r="2661" spans="1:24" x14ac:dyDescent="0.25">
      <c r="A2661" s="1" t="str">
        <f t="shared" si="868"/>
        <v>卡卡杜-凤凰仓</v>
      </c>
      <c r="B2661" s="1" t="str">
        <f>"CK20241026134"</f>
        <v>CK20241026134</v>
      </c>
      <c r="C2661" s="1" t="str">
        <f>"DD2024102617840"</f>
        <v>DD2024102617840</v>
      </c>
      <c r="D2661" s="1" t="str">
        <f>"CK202410269603"</f>
        <v>CK202410269603</v>
      </c>
      <c r="E2661" s="1" t="str">
        <f>"3723560802319209472"</f>
        <v>3723560802319209472</v>
      </c>
      <c r="F2661" s="1" t="str">
        <f t="shared" si="869"/>
        <v>花都四部-凤凰仓</v>
      </c>
      <c r="G2661" s="1" t="str">
        <f t="shared" si="856"/>
        <v>卡卡杜企业店（视频号）</v>
      </c>
      <c r="H2661" s="1" t="str">
        <f t="shared" si="870"/>
        <v>正常订单</v>
      </c>
      <c r="I2661" s="1" t="str">
        <f t="shared" si="871"/>
        <v>已发货</v>
      </c>
      <c r="J2661" s="1" t="str">
        <f t="shared" si="877"/>
        <v>3</v>
      </c>
      <c r="K2661" s="1">
        <v>2</v>
      </c>
      <c r="L2661" s="1" t="s">
        <v>105</v>
      </c>
      <c r="M2661" s="1" t="str">
        <f>"北京 北京市 朝阳区 "</f>
        <v xml:space="preserve">北京 北京市 朝阳区 </v>
      </c>
      <c r="N2661" s="1" t="str">
        <f t="shared" si="878"/>
        <v>凡华云仓-城南圆通-微信视频号</v>
      </c>
      <c r="O2661" s="5" t="s">
        <v>2696</v>
      </c>
      <c r="P2661" s="6">
        <v>0.24</v>
      </c>
      <c r="Q2661" s="11">
        <v>2</v>
      </c>
      <c r="R2661" s="11"/>
      <c r="S2661" s="11"/>
      <c r="T2661" s="11"/>
      <c r="U2661" s="11">
        <f t="shared" si="867"/>
        <v>2</v>
      </c>
      <c r="W2661">
        <v>2.2000000000000002</v>
      </c>
      <c r="X2661" s="1" t="s">
        <v>105</v>
      </c>
    </row>
    <row r="2662" spans="1:24" x14ac:dyDescent="0.25">
      <c r="A2662" s="1" t="str">
        <f t="shared" si="868"/>
        <v>卡卡杜-凤凰仓</v>
      </c>
      <c r="B2662" s="1" t="str">
        <f>"CK20241026136"</f>
        <v>CK20241026136</v>
      </c>
      <c r="C2662" s="1" t="str">
        <f>"DD2024102617845"</f>
        <v>DD2024102617845</v>
      </c>
      <c r="D2662" s="1" t="str">
        <f>"CK202410269602"</f>
        <v>CK202410269602</v>
      </c>
      <c r="E2662" s="1" t="str">
        <f>"3723560802644265984"</f>
        <v>3723560802644265984</v>
      </c>
      <c r="F2662" s="1" t="str">
        <f t="shared" si="869"/>
        <v>花都四部-凤凰仓</v>
      </c>
      <c r="G2662" s="1" t="str">
        <f t="shared" ref="G2662:G2674" si="879">"卡卡杜企业店（视频号）"</f>
        <v>卡卡杜企业店（视频号）</v>
      </c>
      <c r="H2662" s="1" t="str">
        <f t="shared" si="870"/>
        <v>正常订单</v>
      </c>
      <c r="I2662" s="1" t="str">
        <f t="shared" si="871"/>
        <v>已发货</v>
      </c>
      <c r="J2662" s="1" t="str">
        <f t="shared" si="877"/>
        <v>3</v>
      </c>
      <c r="K2662" s="1">
        <v>2</v>
      </c>
      <c r="L2662" s="1" t="s">
        <v>74</v>
      </c>
      <c r="M2662" s="1" t="str">
        <f>"上海 上海市 嘉定区 "</f>
        <v xml:space="preserve">上海 上海市 嘉定区 </v>
      </c>
      <c r="N2662" s="1" t="str">
        <f t="shared" si="878"/>
        <v>凡华云仓-城南圆通-微信视频号</v>
      </c>
      <c r="O2662" s="5" t="s">
        <v>2697</v>
      </c>
      <c r="P2662" s="6">
        <v>0.24</v>
      </c>
      <c r="Q2662" s="11">
        <v>2</v>
      </c>
      <c r="R2662" s="11"/>
      <c r="S2662" s="11"/>
      <c r="T2662" s="11"/>
      <c r="U2662" s="11">
        <f t="shared" si="867"/>
        <v>2</v>
      </c>
      <c r="W2662">
        <v>2.2000000000000002</v>
      </c>
      <c r="X2662" s="1" t="s">
        <v>74</v>
      </c>
    </row>
    <row r="2663" spans="1:24" x14ac:dyDescent="0.25">
      <c r="A2663" s="1" t="str">
        <f t="shared" si="868"/>
        <v>卡卡杜-凤凰仓</v>
      </c>
      <c r="B2663" s="1" t="str">
        <f>"CK20241026137"</f>
        <v>CK20241026137</v>
      </c>
      <c r="C2663" s="1" t="str">
        <f>"DD2024102617843"</f>
        <v>DD2024102617843</v>
      </c>
      <c r="D2663" s="1" t="str">
        <f>"CK202410269601"</f>
        <v>CK202410269601</v>
      </c>
      <c r="E2663" s="1" t="str">
        <f>"3723560799316611072"</f>
        <v>3723560799316611072</v>
      </c>
      <c r="F2663" s="1" t="str">
        <f t="shared" si="869"/>
        <v>花都四部-凤凰仓</v>
      </c>
      <c r="G2663" s="1" t="str">
        <f t="shared" si="879"/>
        <v>卡卡杜企业店（视频号）</v>
      </c>
      <c r="H2663" s="1" t="str">
        <f t="shared" si="870"/>
        <v>正常订单</v>
      </c>
      <c r="I2663" s="1" t="str">
        <f t="shared" si="871"/>
        <v>已发货</v>
      </c>
      <c r="J2663" s="1" t="str">
        <f t="shared" si="877"/>
        <v>3</v>
      </c>
      <c r="K2663" s="1">
        <v>2</v>
      </c>
      <c r="L2663" s="1" t="s">
        <v>20</v>
      </c>
      <c r="M2663" s="1" t="str">
        <f>"浙江省 台州市 温岭市 "</f>
        <v xml:space="preserve">浙江省 台州市 温岭市 </v>
      </c>
      <c r="N2663" s="1" t="str">
        <f t="shared" si="878"/>
        <v>凡华云仓-城南圆通-微信视频号</v>
      </c>
      <c r="O2663" s="5" t="s">
        <v>2698</v>
      </c>
      <c r="P2663" s="6">
        <v>0.24</v>
      </c>
      <c r="Q2663" s="11">
        <v>2</v>
      </c>
      <c r="R2663" s="11"/>
      <c r="S2663" s="11"/>
      <c r="T2663" s="11"/>
      <c r="U2663" s="11">
        <f t="shared" si="867"/>
        <v>2</v>
      </c>
      <c r="W2663">
        <v>2.2000000000000002</v>
      </c>
      <c r="X2663" s="1" t="s">
        <v>20</v>
      </c>
    </row>
    <row r="2664" spans="1:24" x14ac:dyDescent="0.25">
      <c r="A2664" s="1" t="str">
        <f t="shared" si="868"/>
        <v>卡卡杜-凤凰仓</v>
      </c>
      <c r="B2664" s="1" t="str">
        <f>"CK20241026138"</f>
        <v>CK20241026138</v>
      </c>
      <c r="C2664" s="1" t="str">
        <f>"DD2024102617844"</f>
        <v>DD2024102617844</v>
      </c>
      <c r="D2664" s="1" t="str">
        <f>"CK202410269600"</f>
        <v>CK202410269600</v>
      </c>
      <c r="E2664" s="1" t="str">
        <f>"3723560796720860160"</f>
        <v>3723560796720860160</v>
      </c>
      <c r="F2664" s="1" t="str">
        <f t="shared" si="869"/>
        <v>花都四部-凤凰仓</v>
      </c>
      <c r="G2664" s="1" t="str">
        <f t="shared" si="879"/>
        <v>卡卡杜企业店（视频号）</v>
      </c>
      <c r="H2664" s="1" t="str">
        <f t="shared" si="870"/>
        <v>正常订单</v>
      </c>
      <c r="I2664" s="1" t="str">
        <f t="shared" si="871"/>
        <v>已发货</v>
      </c>
      <c r="J2664" s="1" t="str">
        <f t="shared" ref="J2664:J2670" si="880">"2"</f>
        <v>2</v>
      </c>
      <c r="K2664" s="1">
        <v>2</v>
      </c>
      <c r="L2664" s="1" t="s">
        <v>44</v>
      </c>
      <c r="M2664" s="1" t="str">
        <f>"海南省 海口市 龙华区 "</f>
        <v xml:space="preserve">海南省 海口市 龙华区 </v>
      </c>
      <c r="N2664" s="1" t="str">
        <f t="shared" si="878"/>
        <v>凡华云仓-城南圆通-微信视频号</v>
      </c>
      <c r="O2664" s="5" t="s">
        <v>2699</v>
      </c>
      <c r="P2664" s="6">
        <v>0.17</v>
      </c>
      <c r="Q2664" s="11">
        <v>2</v>
      </c>
      <c r="R2664" s="11"/>
      <c r="S2664" s="11"/>
      <c r="T2664" s="11"/>
      <c r="U2664" s="11">
        <f t="shared" si="867"/>
        <v>2</v>
      </c>
      <c r="W2664">
        <v>2.2000000000000002</v>
      </c>
      <c r="X2664" s="1" t="s">
        <v>44</v>
      </c>
    </row>
    <row r="2665" spans="1:24" x14ac:dyDescent="0.25">
      <c r="A2665" s="1" t="str">
        <f t="shared" si="868"/>
        <v>卡卡杜-凤凰仓</v>
      </c>
      <c r="B2665" s="1" t="str">
        <f>"CK20241026139"</f>
        <v>CK20241026139</v>
      </c>
      <c r="C2665" s="1" t="str">
        <f>"DD2024102617846"</f>
        <v>DD2024102617846</v>
      </c>
      <c r="D2665" s="1" t="str">
        <f>"CK202410269599"</f>
        <v>CK202410269599</v>
      </c>
      <c r="E2665" s="1" t="str">
        <f>"3723560796667644928"</f>
        <v>3723560796667644928</v>
      </c>
      <c r="F2665" s="1" t="str">
        <f t="shared" si="869"/>
        <v>花都四部-凤凰仓</v>
      </c>
      <c r="G2665" s="1" t="str">
        <f t="shared" si="879"/>
        <v>卡卡杜企业店（视频号）</v>
      </c>
      <c r="H2665" s="1" t="str">
        <f t="shared" si="870"/>
        <v>正常订单</v>
      </c>
      <c r="I2665" s="1" t="str">
        <f t="shared" si="871"/>
        <v>已发货</v>
      </c>
      <c r="J2665" s="1" t="str">
        <f t="shared" si="880"/>
        <v>2</v>
      </c>
      <c r="K2665" s="1">
        <v>2</v>
      </c>
      <c r="L2665" s="1" t="s">
        <v>27</v>
      </c>
      <c r="M2665" s="1" t="str">
        <f>"贵州省 贵阳市 观山湖区 "</f>
        <v xml:space="preserve">贵州省 贵阳市 观山湖区 </v>
      </c>
      <c r="N2665" s="1" t="str">
        <f t="shared" si="878"/>
        <v>凡华云仓-城南圆通-微信视频号</v>
      </c>
      <c r="O2665" s="5" t="s">
        <v>2700</v>
      </c>
      <c r="P2665" s="6">
        <v>0.17</v>
      </c>
      <c r="Q2665" s="11">
        <v>2</v>
      </c>
      <c r="R2665" s="11"/>
      <c r="S2665" s="11"/>
      <c r="T2665" s="11"/>
      <c r="U2665" s="11">
        <f t="shared" si="867"/>
        <v>2</v>
      </c>
      <c r="W2665">
        <v>2.2000000000000002</v>
      </c>
      <c r="X2665" s="1" t="s">
        <v>27</v>
      </c>
    </row>
    <row r="2666" spans="1:24" x14ac:dyDescent="0.25">
      <c r="A2666" s="1" t="str">
        <f t="shared" si="868"/>
        <v>卡卡杜-凤凰仓</v>
      </c>
      <c r="B2666" s="1" t="str">
        <f>"CK20241026140"</f>
        <v>CK20241026140</v>
      </c>
      <c r="C2666" s="1" t="str">
        <f>"DD2024102617847"</f>
        <v>DD2024102617847</v>
      </c>
      <c r="D2666" s="1" t="str">
        <f>"CK202410269598"</f>
        <v>CK202410269598</v>
      </c>
      <c r="E2666" s="1" t="str">
        <f>"3723560795430585600"</f>
        <v>3723560795430585600</v>
      </c>
      <c r="F2666" s="1" t="str">
        <f t="shared" si="869"/>
        <v>花都四部-凤凰仓</v>
      </c>
      <c r="G2666" s="1" t="str">
        <f t="shared" si="879"/>
        <v>卡卡杜企业店（视频号）</v>
      </c>
      <c r="H2666" s="1" t="str">
        <f t="shared" si="870"/>
        <v>正常订单</v>
      </c>
      <c r="I2666" s="1" t="str">
        <f t="shared" si="871"/>
        <v>已发货</v>
      </c>
      <c r="J2666" s="1" t="str">
        <f t="shared" ref="J2666:J2668" si="881">"3"</f>
        <v>3</v>
      </c>
      <c r="K2666" s="1">
        <v>2</v>
      </c>
      <c r="L2666" s="1" t="s">
        <v>105</v>
      </c>
      <c r="M2666" s="1" t="str">
        <f>"北京 北京市 西城区 "</f>
        <v xml:space="preserve">北京 北京市 西城区 </v>
      </c>
      <c r="N2666" s="1" t="str">
        <f t="shared" si="878"/>
        <v>凡华云仓-城南圆通-微信视频号</v>
      </c>
      <c r="O2666" s="5" t="s">
        <v>2701</v>
      </c>
      <c r="P2666" s="6">
        <v>0.24</v>
      </c>
      <c r="Q2666" s="11">
        <v>2</v>
      </c>
      <c r="R2666" s="11"/>
      <c r="S2666" s="11"/>
      <c r="T2666" s="11"/>
      <c r="U2666" s="11">
        <f t="shared" si="867"/>
        <v>2</v>
      </c>
      <c r="W2666">
        <v>2.2000000000000002</v>
      </c>
      <c r="X2666" s="1" t="s">
        <v>105</v>
      </c>
    </row>
    <row r="2667" spans="1:24" x14ac:dyDescent="0.25">
      <c r="A2667" s="1" t="str">
        <f t="shared" si="868"/>
        <v>卡卡杜-凤凰仓</v>
      </c>
      <c r="B2667" s="1" t="str">
        <f>"CK20241026141"</f>
        <v>CK20241026141</v>
      </c>
      <c r="C2667" s="1" t="str">
        <f>"DD2024102617848"</f>
        <v>DD2024102617848</v>
      </c>
      <c r="D2667" s="1" t="str">
        <f>"CK202410269597"</f>
        <v>CK202410269597</v>
      </c>
      <c r="E2667" s="1" t="str">
        <f>"3723560794388302848"</f>
        <v>3723560794388302848</v>
      </c>
      <c r="F2667" s="1" t="str">
        <f t="shared" si="869"/>
        <v>花都四部-凤凰仓</v>
      </c>
      <c r="G2667" s="1" t="str">
        <f t="shared" si="879"/>
        <v>卡卡杜企业店（视频号）</v>
      </c>
      <c r="H2667" s="1" t="str">
        <f t="shared" si="870"/>
        <v>正常订单</v>
      </c>
      <c r="I2667" s="1" t="str">
        <f t="shared" si="871"/>
        <v>已发货</v>
      </c>
      <c r="J2667" s="1" t="str">
        <f t="shared" si="881"/>
        <v>3</v>
      </c>
      <c r="K2667" s="1">
        <v>2</v>
      </c>
      <c r="L2667" s="1" t="s">
        <v>80</v>
      </c>
      <c r="M2667" s="1" t="str">
        <f>"河南省 郑州市 二七区 "</f>
        <v xml:space="preserve">河南省 郑州市 二七区 </v>
      </c>
      <c r="N2667" s="1" t="str">
        <f t="shared" si="878"/>
        <v>凡华云仓-城南圆通-微信视频号</v>
      </c>
      <c r="O2667" s="5" t="s">
        <v>2702</v>
      </c>
      <c r="P2667" s="6">
        <v>0.24</v>
      </c>
      <c r="Q2667" s="11">
        <v>2</v>
      </c>
      <c r="R2667" s="11"/>
      <c r="S2667" s="11"/>
      <c r="T2667" s="11"/>
      <c r="U2667" s="11">
        <f t="shared" si="867"/>
        <v>2</v>
      </c>
      <c r="W2667">
        <v>2.2000000000000002</v>
      </c>
      <c r="X2667" s="1" t="s">
        <v>80</v>
      </c>
    </row>
    <row r="2668" spans="1:24" x14ac:dyDescent="0.25">
      <c r="A2668" s="1" t="str">
        <f t="shared" si="868"/>
        <v>卡卡杜-凤凰仓</v>
      </c>
      <c r="B2668" s="1" t="str">
        <f>"CK20241026142"</f>
        <v>CK20241026142</v>
      </c>
      <c r="C2668" s="1" t="str">
        <f>"DD2024102617851"</f>
        <v>DD2024102617851</v>
      </c>
      <c r="D2668" s="1" t="str">
        <f>"CK202410269596"</f>
        <v>CK202410269596</v>
      </c>
      <c r="E2668" s="1" t="str">
        <f>"3723560794809043969"</f>
        <v>3723560794809043969</v>
      </c>
      <c r="F2668" s="1" t="str">
        <f t="shared" si="869"/>
        <v>花都四部-凤凰仓</v>
      </c>
      <c r="G2668" s="1" t="str">
        <f t="shared" si="879"/>
        <v>卡卡杜企业店（视频号）</v>
      </c>
      <c r="H2668" s="1" t="str">
        <f t="shared" si="870"/>
        <v>正常订单</v>
      </c>
      <c r="I2668" s="1" t="str">
        <f t="shared" si="871"/>
        <v>已发货</v>
      </c>
      <c r="J2668" s="1" t="str">
        <f t="shared" si="881"/>
        <v>3</v>
      </c>
      <c r="K2668" s="1">
        <v>2</v>
      </c>
      <c r="L2668" s="1" t="s">
        <v>24</v>
      </c>
      <c r="M2668" s="1" t="str">
        <f>"福建省 厦门市 思明区 "</f>
        <v xml:space="preserve">福建省 厦门市 思明区 </v>
      </c>
      <c r="N2668" s="1" t="str">
        <f t="shared" si="878"/>
        <v>凡华云仓-城南圆通-微信视频号</v>
      </c>
      <c r="O2668" s="5" t="s">
        <v>2703</v>
      </c>
      <c r="P2668" s="6">
        <v>0.24</v>
      </c>
      <c r="Q2668" s="11">
        <v>2</v>
      </c>
      <c r="R2668" s="11"/>
      <c r="S2668" s="11"/>
      <c r="T2668" s="11"/>
      <c r="U2668" s="11">
        <f t="shared" si="867"/>
        <v>2</v>
      </c>
      <c r="W2668">
        <v>2.2000000000000002</v>
      </c>
      <c r="X2668" s="1" t="s">
        <v>24</v>
      </c>
    </row>
    <row r="2669" spans="1:24" x14ac:dyDescent="0.25">
      <c r="A2669" s="1" t="str">
        <f t="shared" si="868"/>
        <v>卡卡杜-凤凰仓</v>
      </c>
      <c r="B2669" s="1" t="str">
        <f>"CK20241026143"</f>
        <v>CK20241026143</v>
      </c>
      <c r="C2669" s="1" t="str">
        <f>"DD2024102617849"</f>
        <v>DD2024102617849</v>
      </c>
      <c r="D2669" s="1" t="str">
        <f>"CK202410269595"</f>
        <v>CK202410269595</v>
      </c>
      <c r="E2669" s="1" t="str">
        <f>"3723560794164694016"</f>
        <v>3723560794164694016</v>
      </c>
      <c r="F2669" s="1" t="str">
        <f t="shared" si="869"/>
        <v>花都四部-凤凰仓</v>
      </c>
      <c r="G2669" s="1" t="str">
        <f t="shared" si="879"/>
        <v>卡卡杜企业店（视频号）</v>
      </c>
      <c r="H2669" s="1" t="str">
        <f t="shared" si="870"/>
        <v>正常订单</v>
      </c>
      <c r="I2669" s="1" t="str">
        <f t="shared" si="871"/>
        <v>已发货</v>
      </c>
      <c r="J2669" s="1" t="str">
        <f t="shared" si="880"/>
        <v>2</v>
      </c>
      <c r="K2669" s="1">
        <v>2</v>
      </c>
      <c r="L2669" s="1" t="s">
        <v>80</v>
      </c>
      <c r="M2669" s="1" t="str">
        <f>"河南省 郑州市 中原区 "</f>
        <v xml:space="preserve">河南省 郑州市 中原区 </v>
      </c>
      <c r="N2669" s="1" t="str">
        <f t="shared" si="878"/>
        <v>凡华云仓-城南圆通-微信视频号</v>
      </c>
      <c r="O2669" s="5" t="s">
        <v>2704</v>
      </c>
      <c r="P2669" s="6">
        <v>0.17</v>
      </c>
      <c r="Q2669" s="11">
        <v>2</v>
      </c>
      <c r="R2669" s="11"/>
      <c r="S2669" s="11"/>
      <c r="T2669" s="11"/>
      <c r="U2669" s="11">
        <f t="shared" si="867"/>
        <v>2</v>
      </c>
      <c r="W2669">
        <v>2.2000000000000002</v>
      </c>
      <c r="X2669" s="1" t="s">
        <v>80</v>
      </c>
    </row>
    <row r="2670" spans="1:24" x14ac:dyDescent="0.25">
      <c r="A2670" s="1" t="str">
        <f t="shared" si="868"/>
        <v>卡卡杜-凤凰仓</v>
      </c>
      <c r="B2670" s="1" t="str">
        <f>"CK20241026144"</f>
        <v>CK20241026144</v>
      </c>
      <c r="C2670" s="1" t="str">
        <f>"DD2024102617850"</f>
        <v>DD2024102617850</v>
      </c>
      <c r="D2670" s="1" t="str">
        <f>"CK202410269594"</f>
        <v>CK202410269594</v>
      </c>
      <c r="E2670" s="1" t="str">
        <f>"3723560784561310720"</f>
        <v>3723560784561310720</v>
      </c>
      <c r="F2670" s="1" t="str">
        <f t="shared" si="869"/>
        <v>花都四部-凤凰仓</v>
      </c>
      <c r="G2670" s="1" t="str">
        <f t="shared" si="879"/>
        <v>卡卡杜企业店（视频号）</v>
      </c>
      <c r="H2670" s="1" t="str">
        <f t="shared" si="870"/>
        <v>正常订单</v>
      </c>
      <c r="I2670" s="1" t="str">
        <f t="shared" si="871"/>
        <v>已发货</v>
      </c>
      <c r="J2670" s="1" t="str">
        <f t="shared" si="880"/>
        <v>2</v>
      </c>
      <c r="K2670" s="1">
        <v>2</v>
      </c>
      <c r="L2670" s="1" t="s">
        <v>18</v>
      </c>
      <c r="M2670" s="1" t="str">
        <f>"广东省 佛山市 顺德区 "</f>
        <v xml:space="preserve">广东省 佛山市 顺德区 </v>
      </c>
      <c r="N2670" s="1" t="str">
        <f t="shared" si="878"/>
        <v>凡华云仓-城南圆通-微信视频号</v>
      </c>
      <c r="O2670" s="5" t="s">
        <v>2705</v>
      </c>
      <c r="P2670" s="6">
        <v>0.17</v>
      </c>
      <c r="Q2670" s="11">
        <v>2</v>
      </c>
      <c r="R2670" s="11"/>
      <c r="S2670" s="11"/>
      <c r="T2670" s="11"/>
      <c r="U2670" s="11">
        <f t="shared" si="867"/>
        <v>2</v>
      </c>
      <c r="W2670">
        <v>2.2000000000000002</v>
      </c>
      <c r="X2670" s="1" t="s">
        <v>18</v>
      </c>
    </row>
    <row r="2671" spans="1:24" x14ac:dyDescent="0.25">
      <c r="A2671" s="1" t="str">
        <f t="shared" si="868"/>
        <v>卡卡杜-凤凰仓</v>
      </c>
      <c r="B2671" s="1" t="str">
        <f>"CK20241026145"</f>
        <v>CK20241026145</v>
      </c>
      <c r="C2671" s="1" t="str">
        <f>"DD2024102617852"</f>
        <v>DD2024102617852</v>
      </c>
      <c r="D2671" s="1" t="str">
        <f>"CK202410269593"</f>
        <v>CK202410269593</v>
      </c>
      <c r="E2671" s="1" t="str">
        <f>"3723560784923856896"</f>
        <v>3723560784923856896</v>
      </c>
      <c r="F2671" s="1" t="str">
        <f t="shared" si="869"/>
        <v>花都四部-凤凰仓</v>
      </c>
      <c r="G2671" s="1" t="str">
        <f t="shared" si="879"/>
        <v>卡卡杜企业店（视频号）</v>
      </c>
      <c r="H2671" s="1" t="str">
        <f t="shared" si="870"/>
        <v>正常订单</v>
      </c>
      <c r="I2671" s="1" t="str">
        <f t="shared" si="871"/>
        <v>已发货</v>
      </c>
      <c r="J2671" s="1" t="str">
        <f t="shared" ref="J2671:J2676" si="882">"3"</f>
        <v>3</v>
      </c>
      <c r="K2671" s="1">
        <v>2</v>
      </c>
      <c r="L2671" s="1" t="s">
        <v>105</v>
      </c>
      <c r="M2671" s="1" t="str">
        <f>"北京 北京市 昌平区 "</f>
        <v xml:space="preserve">北京 北京市 昌平区 </v>
      </c>
      <c r="N2671" s="1" t="str">
        <f t="shared" si="878"/>
        <v>凡华云仓-城南圆通-微信视频号</v>
      </c>
      <c r="O2671" s="5" t="s">
        <v>2706</v>
      </c>
      <c r="P2671" s="6">
        <v>0.24</v>
      </c>
      <c r="Q2671" s="11">
        <v>2</v>
      </c>
      <c r="R2671" s="11"/>
      <c r="S2671" s="11"/>
      <c r="T2671" s="11"/>
      <c r="U2671" s="11">
        <f t="shared" si="867"/>
        <v>2</v>
      </c>
      <c r="W2671">
        <v>2.2000000000000002</v>
      </c>
      <c r="X2671" s="1" t="s">
        <v>105</v>
      </c>
    </row>
    <row r="2672" spans="1:24" x14ac:dyDescent="0.25">
      <c r="A2672" s="1" t="str">
        <f t="shared" si="868"/>
        <v>卡卡杜-凤凰仓</v>
      </c>
      <c r="B2672" s="1" t="str">
        <f>"CK20241026147"</f>
        <v>CK20241026147</v>
      </c>
      <c r="C2672" s="1" t="str">
        <f>"DD2024102617854"</f>
        <v>DD2024102617854</v>
      </c>
      <c r="D2672" s="1" t="str">
        <f>"CK202410269592"</f>
        <v>CK202410269592</v>
      </c>
      <c r="E2672" s="1" t="str">
        <f>"3723560477337717760"</f>
        <v>3723560477337717760</v>
      </c>
      <c r="F2672" s="1" t="str">
        <f t="shared" si="869"/>
        <v>花都四部-凤凰仓</v>
      </c>
      <c r="G2672" s="1" t="str">
        <f t="shared" si="879"/>
        <v>卡卡杜企业店（视频号）</v>
      </c>
      <c r="H2672" s="1" t="str">
        <f t="shared" si="870"/>
        <v>正常订单</v>
      </c>
      <c r="I2672" s="1" t="str">
        <f t="shared" si="871"/>
        <v>已发货</v>
      </c>
      <c r="J2672" s="1" t="str">
        <f t="shared" si="882"/>
        <v>3</v>
      </c>
      <c r="K2672" s="1">
        <v>3</v>
      </c>
      <c r="L2672" s="1" t="s">
        <v>18</v>
      </c>
      <c r="M2672" s="1" t="str">
        <f>"广东省 深圳市 龙岗区 "</f>
        <v xml:space="preserve">广东省 深圳市 龙岗区 </v>
      </c>
      <c r="N2672" s="1" t="str">
        <f t="shared" si="878"/>
        <v>凡华云仓-城南圆通-微信视频号</v>
      </c>
      <c r="O2672" s="5" t="s">
        <v>2707</v>
      </c>
      <c r="P2672" s="6">
        <v>0.34</v>
      </c>
      <c r="Q2672" s="11">
        <v>2.2999999999999998</v>
      </c>
      <c r="R2672" s="11"/>
      <c r="S2672" s="11"/>
      <c r="T2672" s="11"/>
      <c r="U2672" s="11">
        <f t="shared" si="867"/>
        <v>2.2999999999999998</v>
      </c>
      <c r="W2672">
        <v>2.5</v>
      </c>
      <c r="X2672" s="1" t="s">
        <v>18</v>
      </c>
    </row>
    <row r="2673" spans="1:24" x14ac:dyDescent="0.25">
      <c r="A2673" s="1" t="str">
        <f t="shared" si="868"/>
        <v>卡卡杜-凤凰仓</v>
      </c>
      <c r="B2673" s="1" t="str">
        <f>"CK20241026149"</f>
        <v>CK20241026149</v>
      </c>
      <c r="C2673" s="1" t="str">
        <f>"DD2024102617856"</f>
        <v>DD2024102617856</v>
      </c>
      <c r="D2673" s="1" t="str">
        <f>"CK202410269591"</f>
        <v>CK202410269591</v>
      </c>
      <c r="E2673" s="1" t="str">
        <f>"3723560228442211585"</f>
        <v>3723560228442211585</v>
      </c>
      <c r="F2673" s="1" t="str">
        <f t="shared" si="869"/>
        <v>花都四部-凤凰仓</v>
      </c>
      <c r="G2673" s="1" t="str">
        <f t="shared" si="879"/>
        <v>卡卡杜企业店（视频号）</v>
      </c>
      <c r="H2673" s="1" t="str">
        <f t="shared" si="870"/>
        <v>正常订单</v>
      </c>
      <c r="I2673" s="1" t="str">
        <f t="shared" si="871"/>
        <v>已发货</v>
      </c>
      <c r="J2673" s="1" t="str">
        <f t="shared" si="882"/>
        <v>3</v>
      </c>
      <c r="K2673" s="1">
        <v>2</v>
      </c>
      <c r="L2673" s="1" t="s">
        <v>187</v>
      </c>
      <c r="M2673" s="1" t="str">
        <f>"吉林省 长春市 南关区 "</f>
        <v xml:space="preserve">吉林省 长春市 南关区 </v>
      </c>
      <c r="N2673" s="1" t="str">
        <f t="shared" si="878"/>
        <v>凡华云仓-城南圆通-微信视频号</v>
      </c>
      <c r="O2673" s="5" t="s">
        <v>2708</v>
      </c>
      <c r="P2673" s="6">
        <v>0.24</v>
      </c>
      <c r="Q2673" s="11">
        <v>2</v>
      </c>
      <c r="R2673" s="11"/>
      <c r="S2673" s="11"/>
      <c r="T2673" s="11"/>
      <c r="U2673" s="11">
        <f t="shared" si="867"/>
        <v>2</v>
      </c>
      <c r="W2673">
        <v>2.2000000000000002</v>
      </c>
      <c r="X2673" s="1" t="s">
        <v>187</v>
      </c>
    </row>
    <row r="2674" spans="1:24" x14ac:dyDescent="0.25">
      <c r="A2674" s="1" t="str">
        <f t="shared" si="868"/>
        <v>卡卡杜-凤凰仓</v>
      </c>
      <c r="B2674" s="1" t="str">
        <f>"CK20241026151"</f>
        <v>CK20241026151</v>
      </c>
      <c r="C2674" s="1" t="str">
        <f>"DD2024102617858"</f>
        <v>DD2024102617858</v>
      </c>
      <c r="D2674" s="1" t="str">
        <f>"CK202410269590"</f>
        <v>CK202410269590</v>
      </c>
      <c r="E2674" s="1" t="str">
        <f>"3723558447499838720"</f>
        <v>3723558447499838720</v>
      </c>
      <c r="F2674" s="1" t="str">
        <f t="shared" si="869"/>
        <v>花都四部-凤凰仓</v>
      </c>
      <c r="G2674" s="1" t="str">
        <f t="shared" si="879"/>
        <v>卡卡杜企业店（视频号）</v>
      </c>
      <c r="H2674" s="1" t="str">
        <f t="shared" si="870"/>
        <v>正常订单</v>
      </c>
      <c r="I2674" s="1" t="str">
        <f t="shared" si="871"/>
        <v>已发货</v>
      </c>
      <c r="J2674" s="1" t="str">
        <f t="shared" si="882"/>
        <v>3</v>
      </c>
      <c r="K2674" s="1">
        <v>3</v>
      </c>
      <c r="L2674" s="1" t="s">
        <v>18</v>
      </c>
      <c r="M2674" s="1" t="str">
        <f>"广东省 广州市 白云区 "</f>
        <v xml:space="preserve">广东省 广州市 白云区 </v>
      </c>
      <c r="N2674" s="1" t="str">
        <f t="shared" si="878"/>
        <v>凡华云仓-城南圆通-微信视频号</v>
      </c>
      <c r="O2674" s="5" t="s">
        <v>2709</v>
      </c>
      <c r="P2674" s="6">
        <v>0.34</v>
      </c>
      <c r="Q2674" s="11">
        <v>2.2999999999999998</v>
      </c>
      <c r="R2674" s="11"/>
      <c r="S2674" s="11"/>
      <c r="T2674" s="11"/>
      <c r="U2674" s="11">
        <f t="shared" si="867"/>
        <v>2.2999999999999998</v>
      </c>
      <c r="W2674">
        <v>2.5</v>
      </c>
      <c r="X2674" s="1" t="s">
        <v>18</v>
      </c>
    </row>
    <row r="2675" spans="1:24" x14ac:dyDescent="0.25">
      <c r="A2675" s="1" t="str">
        <f t="shared" si="868"/>
        <v>卡卡杜-凤凰仓</v>
      </c>
      <c r="B2675" s="1" t="str">
        <f>"CK2024102601"</f>
        <v>CK2024102601</v>
      </c>
      <c r="C2675" s="1" t="str">
        <f>"DD2024102617666"</f>
        <v>DD2024102617666</v>
      </c>
      <c r="D2675" s="1" t="str">
        <f>"CK202410269589"</f>
        <v>CK202410269589</v>
      </c>
      <c r="E2675" s="1" t="str">
        <f>"2430001926178661"</f>
        <v>2430001926178661</v>
      </c>
      <c r="F2675" s="1" t="str">
        <f t="shared" si="869"/>
        <v>花都四部-凤凰仓</v>
      </c>
      <c r="G2675" s="1" t="str">
        <f t="shared" ref="G2675:G2729" si="883">"卡卡杜佳旺专卖店（快手店）"</f>
        <v>卡卡杜佳旺专卖店（快手店）</v>
      </c>
      <c r="H2675" s="1" t="str">
        <f t="shared" si="870"/>
        <v>正常订单</v>
      </c>
      <c r="I2675" s="1" t="str">
        <f t="shared" si="871"/>
        <v>已发货</v>
      </c>
      <c r="J2675" s="1" t="str">
        <f t="shared" si="882"/>
        <v>3</v>
      </c>
      <c r="K2675" s="1">
        <v>2</v>
      </c>
      <c r="L2675" s="1" t="s">
        <v>30</v>
      </c>
      <c r="M2675" s="1" t="str">
        <f>"山东省 威海市 威海火炬高技术产业开发区 怡园街道"</f>
        <v>山东省 威海市 威海火炬高技术产业开发区 怡园街道</v>
      </c>
      <c r="N2675" s="1" t="str">
        <f t="shared" ref="N2675:N2729" si="884">"凡华云仓-城南圆通-快手"</f>
        <v>凡华云仓-城南圆通-快手</v>
      </c>
      <c r="O2675" s="5" t="s">
        <v>2710</v>
      </c>
      <c r="P2675" s="6">
        <v>0.35</v>
      </c>
      <c r="Q2675" s="11">
        <v>2.2999999999999998</v>
      </c>
      <c r="R2675" s="11"/>
      <c r="S2675" s="11"/>
      <c r="T2675" s="11"/>
      <c r="U2675" s="11">
        <f t="shared" si="867"/>
        <v>2.2999999999999998</v>
      </c>
      <c r="W2675">
        <v>2.5</v>
      </c>
      <c r="X2675" s="1" t="s">
        <v>30</v>
      </c>
    </row>
    <row r="2676" spans="1:24" x14ac:dyDescent="0.25">
      <c r="A2676" s="1" t="str">
        <f t="shared" si="868"/>
        <v>卡卡杜-凤凰仓</v>
      </c>
      <c r="B2676" s="1" t="str">
        <f>"CK2024102602"</f>
        <v>CK2024102602</v>
      </c>
      <c r="C2676" s="1" t="str">
        <f>"DD2024102617665"</f>
        <v>DD2024102617665</v>
      </c>
      <c r="D2676" s="1" t="str">
        <f>"CK202410269588"</f>
        <v>CK202410269588</v>
      </c>
      <c r="E2676" s="1" t="str">
        <f>"2430001923019108"</f>
        <v>2430001923019108</v>
      </c>
      <c r="F2676" s="1" t="str">
        <f t="shared" si="869"/>
        <v>花都四部-凤凰仓</v>
      </c>
      <c r="G2676" s="1" t="str">
        <f t="shared" si="883"/>
        <v>卡卡杜佳旺专卖店（快手店）</v>
      </c>
      <c r="H2676" s="1" t="str">
        <f t="shared" si="870"/>
        <v>正常订单</v>
      </c>
      <c r="I2676" s="1" t="str">
        <f t="shared" si="871"/>
        <v>已发货</v>
      </c>
      <c r="J2676" s="1" t="str">
        <f t="shared" si="882"/>
        <v>3</v>
      </c>
      <c r="K2676" s="1">
        <v>2</v>
      </c>
      <c r="L2676" s="1" t="s">
        <v>80</v>
      </c>
      <c r="M2676" s="1" t="str">
        <f>"河南省 郑州市 中原区 桐柏路街道"</f>
        <v>河南省 郑州市 中原区 桐柏路街道</v>
      </c>
      <c r="N2676" s="1" t="str">
        <f t="shared" si="884"/>
        <v>凡华云仓-城南圆通-快手</v>
      </c>
      <c r="O2676" s="5" t="s">
        <v>2711</v>
      </c>
      <c r="P2676" s="6">
        <v>0.35</v>
      </c>
      <c r="Q2676" s="11">
        <v>2.2999999999999998</v>
      </c>
      <c r="R2676" s="11"/>
      <c r="S2676" s="11"/>
      <c r="T2676" s="11"/>
      <c r="U2676" s="11">
        <f t="shared" si="867"/>
        <v>2.2999999999999998</v>
      </c>
      <c r="W2676">
        <v>2.5</v>
      </c>
      <c r="X2676" s="1" t="s">
        <v>80</v>
      </c>
    </row>
    <row r="2677" spans="1:24" x14ac:dyDescent="0.25">
      <c r="A2677" s="1" t="str">
        <f t="shared" si="868"/>
        <v>卡卡杜-凤凰仓</v>
      </c>
      <c r="B2677" s="1" t="str">
        <f>"CK2024102663"</f>
        <v>CK2024102663</v>
      </c>
      <c r="C2677" s="1" t="str">
        <f>"DD2024102617752"</f>
        <v>DD2024102617752</v>
      </c>
      <c r="D2677" s="1" t="str">
        <f>"CK202410269587"</f>
        <v>CK202410269587</v>
      </c>
      <c r="E2677" s="1" t="str">
        <f>"2430001922227640"</f>
        <v>2430001922227640</v>
      </c>
      <c r="F2677" s="1" t="str">
        <f t="shared" si="869"/>
        <v>花都四部-凤凰仓</v>
      </c>
      <c r="G2677" s="1" t="str">
        <f t="shared" si="883"/>
        <v>卡卡杜佳旺专卖店（快手店）</v>
      </c>
      <c r="H2677" s="1" t="str">
        <f t="shared" si="870"/>
        <v>正常订单</v>
      </c>
      <c r="I2677" s="1" t="str">
        <f t="shared" si="871"/>
        <v>已发货</v>
      </c>
      <c r="J2677" s="1" t="str">
        <f t="shared" ref="J2677:J2679" si="885">"5"</f>
        <v>5</v>
      </c>
      <c r="K2677" s="1">
        <v>2</v>
      </c>
      <c r="L2677" s="1" t="s">
        <v>36</v>
      </c>
      <c r="M2677" s="1" t="str">
        <f>"安徽省 合肥市 合肥经济技术开发区 锦绣社区管理委员会街道"</f>
        <v>安徽省 合肥市 合肥经济技术开发区 锦绣社区管理委员会街道</v>
      </c>
      <c r="N2677" s="1" t="str">
        <f t="shared" si="884"/>
        <v>凡华云仓-城南圆通-快手</v>
      </c>
      <c r="O2677" s="5" t="s">
        <v>2712</v>
      </c>
      <c r="P2677" s="6">
        <v>0.59</v>
      </c>
      <c r="Q2677" s="11">
        <f t="shared" ref="Q2677:Q2679" si="886">CEILING(P2677-0.5,0.1)*10*0.15+2.3</f>
        <v>2.4499999999999997</v>
      </c>
      <c r="R2677" s="11"/>
      <c r="S2677" s="11"/>
      <c r="T2677" s="11"/>
      <c r="U2677" s="11">
        <f t="shared" si="867"/>
        <v>2.4499999999999997</v>
      </c>
      <c r="V2677" t="s">
        <v>15</v>
      </c>
      <c r="W2677">
        <v>2.4500000000000002</v>
      </c>
      <c r="X2677" s="1" t="s">
        <v>36</v>
      </c>
    </row>
    <row r="2678" spans="1:24" x14ac:dyDescent="0.25">
      <c r="A2678" s="1" t="str">
        <f t="shared" si="868"/>
        <v>卡卡杜-凤凰仓</v>
      </c>
      <c r="B2678" s="1" t="str">
        <f>"CK2024102664"</f>
        <v>CK2024102664</v>
      </c>
      <c r="C2678" s="1" t="str">
        <f>"DD2024102617751"</f>
        <v>DD2024102617751</v>
      </c>
      <c r="D2678" s="1" t="str">
        <f>"CK202410269586"</f>
        <v>CK202410269586</v>
      </c>
      <c r="E2678" s="1" t="str">
        <f>"2430002002923313"</f>
        <v>2430002002923313</v>
      </c>
      <c r="F2678" s="1" t="str">
        <f t="shared" si="869"/>
        <v>花都四部-凤凰仓</v>
      </c>
      <c r="G2678" s="1" t="str">
        <f t="shared" si="883"/>
        <v>卡卡杜佳旺专卖店（快手店）</v>
      </c>
      <c r="H2678" s="1" t="str">
        <f t="shared" si="870"/>
        <v>正常订单</v>
      </c>
      <c r="I2678" s="1" t="str">
        <f t="shared" si="871"/>
        <v>已发货</v>
      </c>
      <c r="J2678" s="1" t="str">
        <f t="shared" si="885"/>
        <v>5</v>
      </c>
      <c r="K2678" s="1">
        <v>2</v>
      </c>
      <c r="L2678" s="1" t="s">
        <v>24</v>
      </c>
      <c r="M2678" s="1" t="str">
        <f>"福建省 漳州市 龙文区 碧湖街道"</f>
        <v>福建省 漳州市 龙文区 碧湖街道</v>
      </c>
      <c r="N2678" s="1" t="str">
        <f t="shared" si="884"/>
        <v>凡华云仓-城南圆通-快手</v>
      </c>
      <c r="O2678" s="5" t="s">
        <v>2713</v>
      </c>
      <c r="P2678" s="6">
        <v>0.59</v>
      </c>
      <c r="Q2678" s="11">
        <f t="shared" si="886"/>
        <v>2.4499999999999997</v>
      </c>
      <c r="R2678" s="11"/>
      <c r="S2678" s="11"/>
      <c r="T2678" s="11"/>
      <c r="U2678" s="11">
        <f t="shared" si="867"/>
        <v>2.4499999999999997</v>
      </c>
      <c r="V2678" t="s">
        <v>15</v>
      </c>
      <c r="W2678">
        <v>2.4500000000000002</v>
      </c>
      <c r="X2678" s="1" t="s">
        <v>24</v>
      </c>
    </row>
    <row r="2679" spans="1:24" x14ac:dyDescent="0.25">
      <c r="A2679" s="1" t="str">
        <f t="shared" si="868"/>
        <v>卡卡杜-凤凰仓</v>
      </c>
      <c r="B2679" s="1" t="str">
        <f>"CK2024102667"</f>
        <v>CK2024102667</v>
      </c>
      <c r="C2679" s="1" t="str">
        <f>"DD2024102617753"</f>
        <v>DD2024102617753</v>
      </c>
      <c r="D2679" s="1" t="str">
        <f>"CK202410269585"</f>
        <v>CK202410269585</v>
      </c>
      <c r="E2679" s="1" t="str">
        <f>"2430001921408916"</f>
        <v>2430001921408916</v>
      </c>
      <c r="F2679" s="1" t="str">
        <f t="shared" si="869"/>
        <v>花都四部-凤凰仓</v>
      </c>
      <c r="G2679" s="1" t="str">
        <f t="shared" si="883"/>
        <v>卡卡杜佳旺专卖店（快手店）</v>
      </c>
      <c r="H2679" s="1" t="str">
        <f t="shared" si="870"/>
        <v>正常订单</v>
      </c>
      <c r="I2679" s="1" t="str">
        <f t="shared" si="871"/>
        <v>已发货</v>
      </c>
      <c r="J2679" s="1" t="str">
        <f t="shared" si="885"/>
        <v>5</v>
      </c>
      <c r="K2679" s="1">
        <v>2</v>
      </c>
      <c r="L2679" s="1" t="s">
        <v>13</v>
      </c>
      <c r="M2679" s="1" t="str">
        <f>"江苏省 盐城市 亭湖区 南洋镇"</f>
        <v>江苏省 盐城市 亭湖区 南洋镇</v>
      </c>
      <c r="N2679" s="1" t="str">
        <f t="shared" si="884"/>
        <v>凡华云仓-城南圆通-快手</v>
      </c>
      <c r="O2679" s="5" t="s">
        <v>2714</v>
      </c>
      <c r="P2679" s="6">
        <v>0.59</v>
      </c>
      <c r="Q2679" s="11">
        <f t="shared" si="886"/>
        <v>2.4499999999999997</v>
      </c>
      <c r="R2679" s="11"/>
      <c r="S2679" s="11"/>
      <c r="T2679" s="11"/>
      <c r="U2679" s="11">
        <f t="shared" si="867"/>
        <v>2.4499999999999997</v>
      </c>
      <c r="V2679" t="s">
        <v>15</v>
      </c>
      <c r="W2679">
        <v>2.4500000000000002</v>
      </c>
      <c r="X2679" s="1" t="s">
        <v>13</v>
      </c>
    </row>
    <row r="2680" spans="1:24" x14ac:dyDescent="0.25">
      <c r="A2680" s="1" t="str">
        <f t="shared" si="868"/>
        <v>卡卡杜-凤凰仓</v>
      </c>
      <c r="B2680" s="1" t="str">
        <f>"CK2024102606"</f>
        <v>CK2024102606</v>
      </c>
      <c r="C2680" s="1" t="str">
        <f>"DD2024102617664"</f>
        <v>DD2024102617664</v>
      </c>
      <c r="D2680" s="1" t="str">
        <f>"CK202410269584"</f>
        <v>CK202410269584</v>
      </c>
      <c r="E2680" s="1" t="str">
        <f>"2430001921336924"</f>
        <v>2430001921336924</v>
      </c>
      <c r="F2680" s="1" t="str">
        <f t="shared" si="869"/>
        <v>花都四部-凤凰仓</v>
      </c>
      <c r="G2680" s="1" t="str">
        <f t="shared" si="883"/>
        <v>卡卡杜佳旺专卖店（快手店）</v>
      </c>
      <c r="H2680" s="1" t="str">
        <f t="shared" si="870"/>
        <v>正常订单</v>
      </c>
      <c r="I2680" s="1" t="str">
        <f t="shared" si="871"/>
        <v>已发货</v>
      </c>
      <c r="J2680" s="1" t="str">
        <f t="shared" ref="J2680:J2689" si="887">"3"</f>
        <v>3</v>
      </c>
      <c r="K2680" s="1">
        <v>2</v>
      </c>
      <c r="L2680" s="1" t="s">
        <v>24</v>
      </c>
      <c r="M2680" s="1" t="str">
        <f>"福建省 泉州市 晋江市 陈埭镇"</f>
        <v>福建省 泉州市 晋江市 陈埭镇</v>
      </c>
      <c r="N2680" s="1" t="str">
        <f t="shared" si="884"/>
        <v>凡华云仓-城南圆通-快手</v>
      </c>
      <c r="O2680" s="5" t="s">
        <v>2715</v>
      </c>
      <c r="P2680" s="6">
        <v>0.35</v>
      </c>
      <c r="Q2680" s="11">
        <v>2.2999999999999998</v>
      </c>
      <c r="R2680" s="11"/>
      <c r="S2680" s="11"/>
      <c r="T2680" s="11"/>
      <c r="U2680" s="11">
        <f t="shared" si="867"/>
        <v>2.2999999999999998</v>
      </c>
      <c r="W2680">
        <v>2.5</v>
      </c>
      <c r="X2680" s="1" t="s">
        <v>24</v>
      </c>
    </row>
    <row r="2681" spans="1:24" x14ac:dyDescent="0.25">
      <c r="A2681" s="1" t="str">
        <f t="shared" si="868"/>
        <v>卡卡杜-凤凰仓</v>
      </c>
      <c r="B2681" s="1" t="str">
        <f>"CK2024102607"</f>
        <v>CK2024102607</v>
      </c>
      <c r="C2681" s="1" t="str">
        <f>"DD2024102617670"</f>
        <v>DD2024102617670</v>
      </c>
      <c r="D2681" s="1" t="str">
        <f>"CK202410269583"</f>
        <v>CK202410269583</v>
      </c>
      <c r="E2681" s="1" t="str">
        <f>"2430002325209409"</f>
        <v>2430002325209409</v>
      </c>
      <c r="F2681" s="1" t="str">
        <f t="shared" si="869"/>
        <v>花都四部-凤凰仓</v>
      </c>
      <c r="G2681" s="1" t="str">
        <f t="shared" si="883"/>
        <v>卡卡杜佳旺专卖店（快手店）</v>
      </c>
      <c r="H2681" s="1" t="str">
        <f t="shared" si="870"/>
        <v>正常订单</v>
      </c>
      <c r="I2681" s="1" t="str">
        <f t="shared" si="871"/>
        <v>已发货</v>
      </c>
      <c r="J2681" s="1" t="str">
        <f t="shared" si="887"/>
        <v>3</v>
      </c>
      <c r="K2681" s="1">
        <v>2</v>
      </c>
      <c r="L2681" s="1" t="s">
        <v>13</v>
      </c>
      <c r="M2681" s="1" t="str">
        <f>"江苏省 南京市 栖霞区 燕子矶街道"</f>
        <v>江苏省 南京市 栖霞区 燕子矶街道</v>
      </c>
      <c r="N2681" s="1" t="str">
        <f t="shared" si="884"/>
        <v>凡华云仓-城南圆通-快手</v>
      </c>
      <c r="O2681" s="5" t="s">
        <v>2716</v>
      </c>
      <c r="P2681" s="6">
        <v>0.35</v>
      </c>
      <c r="Q2681" s="11">
        <v>2.2999999999999998</v>
      </c>
      <c r="R2681" s="11"/>
      <c r="S2681" s="11"/>
      <c r="T2681" s="11"/>
      <c r="U2681" s="11">
        <f t="shared" si="867"/>
        <v>2.2999999999999998</v>
      </c>
      <c r="W2681">
        <v>2.5</v>
      </c>
      <c r="X2681" s="1" t="s">
        <v>13</v>
      </c>
    </row>
    <row r="2682" spans="1:24" x14ac:dyDescent="0.25">
      <c r="A2682" s="1" t="str">
        <f t="shared" si="868"/>
        <v>卡卡杜-凤凰仓</v>
      </c>
      <c r="B2682" s="1" t="str">
        <f>"CK2024102608"</f>
        <v>CK2024102608</v>
      </c>
      <c r="C2682" s="1" t="str">
        <f>"DD2024102617669"</f>
        <v>DD2024102617669</v>
      </c>
      <c r="D2682" s="1" t="str">
        <f>"CK202410269582"</f>
        <v>CK202410269582</v>
      </c>
      <c r="E2682" s="1" t="str">
        <f>"2430001686104074"</f>
        <v>2430001686104074</v>
      </c>
      <c r="F2682" s="1" t="str">
        <f t="shared" si="869"/>
        <v>花都四部-凤凰仓</v>
      </c>
      <c r="G2682" s="1" t="str">
        <f t="shared" si="883"/>
        <v>卡卡杜佳旺专卖店（快手店）</v>
      </c>
      <c r="H2682" s="1" t="str">
        <f t="shared" si="870"/>
        <v>正常订单</v>
      </c>
      <c r="I2682" s="1" t="str">
        <f t="shared" si="871"/>
        <v>已发货</v>
      </c>
      <c r="J2682" s="1" t="str">
        <f t="shared" si="887"/>
        <v>3</v>
      </c>
      <c r="K2682" s="1">
        <v>2</v>
      </c>
      <c r="L2682" s="1" t="s">
        <v>41</v>
      </c>
      <c r="M2682" s="1" t="str">
        <f>"湖北省 孝感市 汉川市 马口镇"</f>
        <v>湖北省 孝感市 汉川市 马口镇</v>
      </c>
      <c r="N2682" s="1" t="str">
        <f t="shared" si="884"/>
        <v>凡华云仓-城南圆通-快手</v>
      </c>
      <c r="O2682" s="5" t="s">
        <v>2717</v>
      </c>
      <c r="P2682" s="6">
        <v>0.35</v>
      </c>
      <c r="Q2682" s="11">
        <v>2.2999999999999998</v>
      </c>
      <c r="R2682" s="11"/>
      <c r="S2682" s="11"/>
      <c r="T2682" s="11"/>
      <c r="U2682" s="11">
        <f t="shared" si="867"/>
        <v>2.2999999999999998</v>
      </c>
      <c r="W2682">
        <v>2.5</v>
      </c>
      <c r="X2682" s="1" t="s">
        <v>41</v>
      </c>
    </row>
    <row r="2683" spans="1:24" x14ac:dyDescent="0.25">
      <c r="A2683" s="1" t="str">
        <f t="shared" si="868"/>
        <v>卡卡杜-凤凰仓</v>
      </c>
      <c r="B2683" s="1" t="str">
        <f>"CK2024102609"</f>
        <v>CK2024102609</v>
      </c>
      <c r="C2683" s="1" t="str">
        <f>"DD2024102617667"</f>
        <v>DD2024102617667</v>
      </c>
      <c r="D2683" s="1" t="str">
        <f>"CK202410269581"</f>
        <v>CK202410269581</v>
      </c>
      <c r="E2683" s="1" t="str">
        <f>"2430001684904310"</f>
        <v>2430001684904310</v>
      </c>
      <c r="F2683" s="1" t="str">
        <f t="shared" si="869"/>
        <v>花都四部-凤凰仓</v>
      </c>
      <c r="G2683" s="1" t="str">
        <f t="shared" si="883"/>
        <v>卡卡杜佳旺专卖店（快手店）</v>
      </c>
      <c r="H2683" s="1" t="str">
        <f t="shared" si="870"/>
        <v>正常订单</v>
      </c>
      <c r="I2683" s="1" t="str">
        <f t="shared" si="871"/>
        <v>已发货</v>
      </c>
      <c r="J2683" s="1" t="str">
        <f t="shared" si="887"/>
        <v>3</v>
      </c>
      <c r="K2683" s="1">
        <v>2</v>
      </c>
      <c r="L2683" s="1" t="s">
        <v>92</v>
      </c>
      <c r="M2683" s="1" t="str">
        <f>"辽宁省 大连市 甘井子区 中华路街道"</f>
        <v>辽宁省 大连市 甘井子区 中华路街道</v>
      </c>
      <c r="N2683" s="1" t="str">
        <f t="shared" si="884"/>
        <v>凡华云仓-城南圆通-快手</v>
      </c>
      <c r="O2683" s="5" t="s">
        <v>2718</v>
      </c>
      <c r="P2683" s="6">
        <v>0.35</v>
      </c>
      <c r="Q2683" s="11">
        <v>2.2999999999999998</v>
      </c>
      <c r="R2683" s="11"/>
      <c r="S2683" s="11"/>
      <c r="T2683" s="11"/>
      <c r="U2683" s="11">
        <f t="shared" si="867"/>
        <v>2.2999999999999998</v>
      </c>
      <c r="W2683">
        <v>2.5</v>
      </c>
      <c r="X2683" s="1" t="s">
        <v>92</v>
      </c>
    </row>
    <row r="2684" spans="1:24" x14ac:dyDescent="0.25">
      <c r="A2684" s="1" t="str">
        <f t="shared" si="868"/>
        <v>卡卡杜-凤凰仓</v>
      </c>
      <c r="B2684" s="1" t="str">
        <f>"CK2024102610"</f>
        <v>CK2024102610</v>
      </c>
      <c r="C2684" s="1" t="str">
        <f>"DD2024102617668"</f>
        <v>DD2024102617668</v>
      </c>
      <c r="D2684" s="1" t="str">
        <f>"CK202410269580"</f>
        <v>CK202410269580</v>
      </c>
      <c r="E2684" s="1" t="str">
        <f>"2430002241395205"</f>
        <v>2430002241395205</v>
      </c>
      <c r="F2684" s="1" t="str">
        <f t="shared" si="869"/>
        <v>花都四部-凤凰仓</v>
      </c>
      <c r="G2684" s="1" t="str">
        <f t="shared" si="883"/>
        <v>卡卡杜佳旺专卖店（快手店）</v>
      </c>
      <c r="H2684" s="1" t="str">
        <f t="shared" si="870"/>
        <v>正常订单</v>
      </c>
      <c r="I2684" s="1" t="str">
        <f t="shared" si="871"/>
        <v>已发货</v>
      </c>
      <c r="J2684" s="1" t="str">
        <f t="shared" si="887"/>
        <v>3</v>
      </c>
      <c r="K2684" s="1">
        <v>2</v>
      </c>
      <c r="L2684" s="1" t="s">
        <v>92</v>
      </c>
      <c r="M2684" s="1" t="str">
        <f>"辽宁省 大连市 金州区 拥政街道"</f>
        <v>辽宁省 大连市 金州区 拥政街道</v>
      </c>
      <c r="N2684" s="1" t="str">
        <f t="shared" si="884"/>
        <v>凡华云仓-城南圆通-快手</v>
      </c>
      <c r="O2684" s="5" t="s">
        <v>2719</v>
      </c>
      <c r="P2684" s="6">
        <v>0.35</v>
      </c>
      <c r="Q2684" s="11">
        <v>2.2999999999999998</v>
      </c>
      <c r="R2684" s="11"/>
      <c r="S2684" s="11"/>
      <c r="T2684" s="11"/>
      <c r="U2684" s="11">
        <f t="shared" si="867"/>
        <v>2.2999999999999998</v>
      </c>
      <c r="W2684">
        <v>2.5</v>
      </c>
      <c r="X2684" s="1" t="s">
        <v>92</v>
      </c>
    </row>
    <row r="2685" spans="1:24" x14ac:dyDescent="0.25">
      <c r="A2685" s="1" t="str">
        <f t="shared" si="868"/>
        <v>卡卡杜-凤凰仓</v>
      </c>
      <c r="B2685" s="1" t="str">
        <f>"CK2024102612"</f>
        <v>CK2024102612</v>
      </c>
      <c r="C2685" s="1" t="str">
        <f>"DD2024102617672"</f>
        <v>DD2024102617672</v>
      </c>
      <c r="D2685" s="1" t="str">
        <f>"CK202410269579"</f>
        <v>CK202410269579</v>
      </c>
      <c r="E2685" s="1" t="str">
        <f>"2430001601313879"</f>
        <v>2430001601313879</v>
      </c>
      <c r="F2685" s="1" t="str">
        <f t="shared" si="869"/>
        <v>花都四部-凤凰仓</v>
      </c>
      <c r="G2685" s="1" t="str">
        <f t="shared" si="883"/>
        <v>卡卡杜佳旺专卖店（快手店）</v>
      </c>
      <c r="H2685" s="1" t="str">
        <f t="shared" si="870"/>
        <v>正常订单</v>
      </c>
      <c r="I2685" s="1" t="str">
        <f t="shared" si="871"/>
        <v>已发货</v>
      </c>
      <c r="J2685" s="1" t="str">
        <f t="shared" si="887"/>
        <v>3</v>
      </c>
      <c r="K2685" s="1">
        <v>2</v>
      </c>
      <c r="L2685" s="1" t="s">
        <v>30</v>
      </c>
      <c r="M2685" s="1" t="str">
        <f>"山东省 德州市 武城县 四女寺镇"</f>
        <v>山东省 德州市 武城县 四女寺镇</v>
      </c>
      <c r="N2685" s="1" t="str">
        <f t="shared" si="884"/>
        <v>凡华云仓-城南圆通-快手</v>
      </c>
      <c r="O2685" s="5" t="s">
        <v>2720</v>
      </c>
      <c r="P2685" s="6">
        <v>0.35</v>
      </c>
      <c r="Q2685" s="11">
        <v>2.2999999999999998</v>
      </c>
      <c r="R2685" s="11"/>
      <c r="S2685" s="11"/>
      <c r="T2685" s="11"/>
      <c r="U2685" s="11">
        <f t="shared" si="867"/>
        <v>2.2999999999999998</v>
      </c>
      <c r="W2685">
        <v>2.5</v>
      </c>
      <c r="X2685" s="1" t="s">
        <v>30</v>
      </c>
    </row>
    <row r="2686" spans="1:24" x14ac:dyDescent="0.25">
      <c r="A2686" s="1" t="str">
        <f t="shared" si="868"/>
        <v>卡卡杜-凤凰仓</v>
      </c>
      <c r="B2686" s="1" t="str">
        <f>"CK2024102613"</f>
        <v>CK2024102613</v>
      </c>
      <c r="C2686" s="1" t="str">
        <f>"DD2024102617673"</f>
        <v>DD2024102617673</v>
      </c>
      <c r="D2686" s="1" t="str">
        <f>"CK202410269578"</f>
        <v>CK202410269578</v>
      </c>
      <c r="E2686" s="1" t="str">
        <f>"2430002082841586"</f>
        <v>2430002082841586</v>
      </c>
      <c r="F2686" s="1" t="str">
        <f t="shared" si="869"/>
        <v>花都四部-凤凰仓</v>
      </c>
      <c r="G2686" s="1" t="str">
        <f t="shared" si="883"/>
        <v>卡卡杜佳旺专卖店（快手店）</v>
      </c>
      <c r="H2686" s="1" t="str">
        <f t="shared" si="870"/>
        <v>正常订单</v>
      </c>
      <c r="I2686" s="1" t="str">
        <f t="shared" si="871"/>
        <v>已发货</v>
      </c>
      <c r="J2686" s="1" t="str">
        <f t="shared" si="887"/>
        <v>3</v>
      </c>
      <c r="K2686" s="1">
        <v>2</v>
      </c>
      <c r="L2686" s="1" t="s">
        <v>20</v>
      </c>
      <c r="M2686" s="1" t="str">
        <f>"浙江省 杭州市 钱塘区 下沙街道"</f>
        <v>浙江省 杭州市 钱塘区 下沙街道</v>
      </c>
      <c r="N2686" s="1" t="str">
        <f t="shared" si="884"/>
        <v>凡华云仓-城南圆通-快手</v>
      </c>
      <c r="O2686" s="5" t="s">
        <v>2721</v>
      </c>
      <c r="P2686" s="6">
        <v>0.35</v>
      </c>
      <c r="Q2686" s="11">
        <v>2.2999999999999998</v>
      </c>
      <c r="R2686" s="11"/>
      <c r="S2686" s="11"/>
      <c r="T2686" s="11"/>
      <c r="U2686" s="11">
        <f t="shared" si="867"/>
        <v>2.2999999999999998</v>
      </c>
      <c r="W2686">
        <v>2.5</v>
      </c>
      <c r="X2686" s="1" t="s">
        <v>20</v>
      </c>
    </row>
    <row r="2687" spans="1:24" x14ac:dyDescent="0.25">
      <c r="A2687" s="1" t="str">
        <f t="shared" si="868"/>
        <v>卡卡杜-凤凰仓</v>
      </c>
      <c r="B2687" s="1" t="str">
        <f>"CK2024102616"</f>
        <v>CK2024102616</v>
      </c>
      <c r="C2687" s="1" t="str">
        <f>"DD2024102617674"</f>
        <v>DD2024102617674</v>
      </c>
      <c r="D2687" s="1" t="str">
        <f>"CK202410269577"</f>
        <v>CK202410269577</v>
      </c>
      <c r="E2687" s="1" t="str">
        <f>"2430002162872907"</f>
        <v>2430002162872907</v>
      </c>
      <c r="F2687" s="1" t="str">
        <f t="shared" si="869"/>
        <v>花都四部-凤凰仓</v>
      </c>
      <c r="G2687" s="1" t="str">
        <f t="shared" si="883"/>
        <v>卡卡杜佳旺专卖店（快手店）</v>
      </c>
      <c r="H2687" s="1" t="str">
        <f t="shared" si="870"/>
        <v>正常订单</v>
      </c>
      <c r="I2687" s="1" t="str">
        <f t="shared" si="871"/>
        <v>已发货</v>
      </c>
      <c r="J2687" s="1" t="str">
        <f t="shared" si="887"/>
        <v>3</v>
      </c>
      <c r="K2687" s="1">
        <v>2</v>
      </c>
      <c r="L2687" s="1" t="s">
        <v>13</v>
      </c>
      <c r="M2687" s="1" t="str">
        <f>"江苏省 徐州市 云龙区 骆驼山街道"</f>
        <v>江苏省 徐州市 云龙区 骆驼山街道</v>
      </c>
      <c r="N2687" s="1" t="str">
        <f t="shared" si="884"/>
        <v>凡华云仓-城南圆通-快手</v>
      </c>
      <c r="O2687" s="5" t="s">
        <v>2722</v>
      </c>
      <c r="P2687" s="6">
        <v>0.35</v>
      </c>
      <c r="Q2687" s="11">
        <v>2.2999999999999998</v>
      </c>
      <c r="R2687" s="11"/>
      <c r="S2687" s="11"/>
      <c r="T2687" s="11"/>
      <c r="U2687" s="11">
        <f t="shared" si="867"/>
        <v>2.2999999999999998</v>
      </c>
      <c r="W2687">
        <v>2.5</v>
      </c>
      <c r="X2687" s="1" t="s">
        <v>13</v>
      </c>
    </row>
    <row r="2688" spans="1:24" x14ac:dyDescent="0.25">
      <c r="A2688" s="1" t="str">
        <f t="shared" si="868"/>
        <v>卡卡杜-凤凰仓</v>
      </c>
      <c r="B2688" s="1" t="str">
        <f>"CK2024102617"</f>
        <v>CK2024102617</v>
      </c>
      <c r="C2688" s="1" t="str">
        <f>"DD2024102617677"</f>
        <v>DD2024102617677</v>
      </c>
      <c r="D2688" s="1" t="str">
        <f>"CK202410269576"</f>
        <v>CK202410269576</v>
      </c>
      <c r="E2688" s="1" t="str">
        <f>"2430001849665047"</f>
        <v>2430001849665047</v>
      </c>
      <c r="F2688" s="1" t="str">
        <f t="shared" si="869"/>
        <v>花都四部-凤凰仓</v>
      </c>
      <c r="G2688" s="1" t="str">
        <f t="shared" si="883"/>
        <v>卡卡杜佳旺专卖店（快手店）</v>
      </c>
      <c r="H2688" s="1" t="str">
        <f t="shared" si="870"/>
        <v>正常订单</v>
      </c>
      <c r="I2688" s="1" t="str">
        <f t="shared" si="871"/>
        <v>已发货</v>
      </c>
      <c r="J2688" s="1" t="str">
        <f t="shared" si="887"/>
        <v>3</v>
      </c>
      <c r="K2688" s="1">
        <v>2</v>
      </c>
      <c r="L2688" s="1" t="s">
        <v>16</v>
      </c>
      <c r="M2688" s="1" t="str">
        <f>"河北省 保定市 莲池区 南关街道"</f>
        <v>河北省 保定市 莲池区 南关街道</v>
      </c>
      <c r="N2688" s="1" t="str">
        <f t="shared" si="884"/>
        <v>凡华云仓-城南圆通-快手</v>
      </c>
      <c r="O2688" s="5" t="s">
        <v>2723</v>
      </c>
      <c r="P2688" s="6">
        <v>0.35</v>
      </c>
      <c r="Q2688" s="11">
        <v>2.2999999999999998</v>
      </c>
      <c r="R2688" s="11"/>
      <c r="S2688" s="11"/>
      <c r="T2688" s="11"/>
      <c r="U2688" s="11">
        <f t="shared" si="867"/>
        <v>2.2999999999999998</v>
      </c>
      <c r="W2688">
        <v>2.5</v>
      </c>
      <c r="X2688" s="1" t="s">
        <v>16</v>
      </c>
    </row>
    <row r="2689" spans="1:24" x14ac:dyDescent="0.25">
      <c r="A2689" s="1" t="str">
        <f t="shared" si="868"/>
        <v>卡卡杜-凤凰仓</v>
      </c>
      <c r="B2689" s="1" t="str">
        <f>"CK2024102618"</f>
        <v>CK2024102618</v>
      </c>
      <c r="C2689" s="1" t="str">
        <f>"DD2024102617679"</f>
        <v>DD2024102617679</v>
      </c>
      <c r="D2689" s="1" t="str">
        <f>"CK202410269575"</f>
        <v>CK202410269575</v>
      </c>
      <c r="E2689" s="1" t="str">
        <f>"2430002005320959"</f>
        <v>2430002005320959</v>
      </c>
      <c r="F2689" s="1" t="str">
        <f t="shared" si="869"/>
        <v>花都四部-凤凰仓</v>
      </c>
      <c r="G2689" s="1" t="str">
        <f t="shared" si="883"/>
        <v>卡卡杜佳旺专卖店（快手店）</v>
      </c>
      <c r="H2689" s="1" t="str">
        <f t="shared" si="870"/>
        <v>正常订单</v>
      </c>
      <c r="I2689" s="1" t="str">
        <f t="shared" si="871"/>
        <v>已发货</v>
      </c>
      <c r="J2689" s="1" t="str">
        <f t="shared" si="887"/>
        <v>3</v>
      </c>
      <c r="K2689" s="1">
        <v>2</v>
      </c>
      <c r="L2689" s="1" t="s">
        <v>20</v>
      </c>
      <c r="M2689" s="1" t="str">
        <f>"浙江省 杭州市 富阳区 场口镇"</f>
        <v>浙江省 杭州市 富阳区 场口镇</v>
      </c>
      <c r="N2689" s="1" t="str">
        <f t="shared" si="884"/>
        <v>凡华云仓-城南圆通-快手</v>
      </c>
      <c r="O2689" s="5" t="s">
        <v>2724</v>
      </c>
      <c r="P2689" s="6">
        <v>0.35</v>
      </c>
      <c r="Q2689" s="11">
        <v>2.2999999999999998</v>
      </c>
      <c r="R2689" s="11"/>
      <c r="S2689" s="11"/>
      <c r="T2689" s="11"/>
      <c r="U2689" s="11">
        <f t="shared" si="867"/>
        <v>2.2999999999999998</v>
      </c>
      <c r="W2689">
        <v>2.5</v>
      </c>
      <c r="X2689" s="1" t="s">
        <v>20</v>
      </c>
    </row>
    <row r="2690" spans="1:24" x14ac:dyDescent="0.25">
      <c r="A2690" s="1" t="str">
        <f t="shared" si="868"/>
        <v>卡卡杜-凤凰仓</v>
      </c>
      <c r="B2690" s="1" t="str">
        <f>"CK2024102668"</f>
        <v>CK2024102668</v>
      </c>
      <c r="C2690" s="1" t="str">
        <f>"DD2024102617754"</f>
        <v>DD2024102617754</v>
      </c>
      <c r="D2690" s="1" t="str">
        <f>"CK202410269574"</f>
        <v>CK202410269574</v>
      </c>
      <c r="E2690" s="1" t="str">
        <f>"2430002003673606"</f>
        <v>2430002003673606</v>
      </c>
      <c r="F2690" s="1" t="str">
        <f t="shared" si="869"/>
        <v>花都四部-凤凰仓</v>
      </c>
      <c r="G2690" s="1" t="str">
        <f t="shared" si="883"/>
        <v>卡卡杜佳旺专卖店（快手店）</v>
      </c>
      <c r="H2690" s="1" t="str">
        <f t="shared" si="870"/>
        <v>正常订单</v>
      </c>
      <c r="I2690" s="1" t="str">
        <f t="shared" si="871"/>
        <v>已发货</v>
      </c>
      <c r="J2690" s="1" t="str">
        <f>"5"</f>
        <v>5</v>
      </c>
      <c r="K2690" s="1">
        <v>2</v>
      </c>
      <c r="L2690" s="1" t="s">
        <v>109</v>
      </c>
      <c r="M2690" s="1" t="str">
        <f>"山西省 太原市 万柏林区 南寒街道"</f>
        <v>山西省 太原市 万柏林区 南寒街道</v>
      </c>
      <c r="N2690" s="1" t="str">
        <f t="shared" si="884"/>
        <v>凡华云仓-城南圆通-快手</v>
      </c>
      <c r="O2690" s="5" t="s">
        <v>2725</v>
      </c>
      <c r="P2690" s="6">
        <v>0.59</v>
      </c>
      <c r="Q2690" s="11">
        <f>CEILING(P2690-0.5,0.1)*10*0.15+2.3</f>
        <v>2.4499999999999997</v>
      </c>
      <c r="R2690" s="11"/>
      <c r="S2690" s="11"/>
      <c r="T2690" s="11"/>
      <c r="U2690" s="11">
        <f t="shared" si="867"/>
        <v>2.4499999999999997</v>
      </c>
      <c r="V2690" t="s">
        <v>15</v>
      </c>
      <c r="W2690">
        <v>2.4500000000000002</v>
      </c>
      <c r="X2690" s="1" t="s">
        <v>109</v>
      </c>
    </row>
    <row r="2691" spans="1:24" x14ac:dyDescent="0.25">
      <c r="A2691" s="1" t="str">
        <f t="shared" si="868"/>
        <v>卡卡杜-凤凰仓</v>
      </c>
      <c r="B2691" s="1" t="str">
        <f>"CK2024102619"</f>
        <v>CK2024102619</v>
      </c>
      <c r="C2691" s="1" t="str">
        <f>"DD2024102617678"</f>
        <v>DD2024102617678</v>
      </c>
      <c r="D2691" s="1" t="str">
        <f>"CK202410269573"</f>
        <v>CK202410269573</v>
      </c>
      <c r="E2691" s="1" t="str">
        <f>"2430001763560922"</f>
        <v>2430001763560922</v>
      </c>
      <c r="F2691" s="1" t="str">
        <f t="shared" si="869"/>
        <v>花都四部-凤凰仓</v>
      </c>
      <c r="G2691" s="1" t="str">
        <f t="shared" si="883"/>
        <v>卡卡杜佳旺专卖店（快手店）</v>
      </c>
      <c r="H2691" s="1" t="str">
        <f t="shared" si="870"/>
        <v>正常订单</v>
      </c>
      <c r="I2691" s="1" t="str">
        <f t="shared" si="871"/>
        <v>已发货</v>
      </c>
      <c r="J2691" s="1" t="str">
        <f t="shared" ref="J2691:J2696" si="888">"3"</f>
        <v>3</v>
      </c>
      <c r="K2691" s="1">
        <v>2</v>
      </c>
      <c r="L2691" s="1" t="s">
        <v>66</v>
      </c>
      <c r="M2691" s="1" t="str">
        <f>"内蒙古自治区 鄂尔多斯市 东胜区 巴音门克街道"</f>
        <v>内蒙古自治区 鄂尔多斯市 东胜区 巴音门克街道</v>
      </c>
      <c r="N2691" s="1" t="str">
        <f t="shared" si="884"/>
        <v>凡华云仓-城南圆通-快手</v>
      </c>
      <c r="O2691" s="5" t="s">
        <v>2726</v>
      </c>
      <c r="P2691" s="6">
        <v>0.35</v>
      </c>
      <c r="Q2691" s="11">
        <v>2.2999999999999998</v>
      </c>
      <c r="R2691" s="11"/>
      <c r="S2691" s="11"/>
      <c r="T2691" s="11"/>
      <c r="U2691" s="11">
        <f t="shared" ref="U2691:U2754" si="889">T2691+S2691+R2691+Q2691</f>
        <v>2.2999999999999998</v>
      </c>
      <c r="W2691">
        <v>2.5</v>
      </c>
      <c r="X2691" s="1" t="s">
        <v>66</v>
      </c>
    </row>
    <row r="2692" spans="1:24" x14ac:dyDescent="0.25">
      <c r="A2692" s="1" t="str">
        <f t="shared" si="868"/>
        <v>卡卡杜-凤凰仓</v>
      </c>
      <c r="B2692" s="1" t="str">
        <f>"CK2024102669"</f>
        <v>CK2024102669</v>
      </c>
      <c r="C2692" s="1" t="str">
        <f>"DD2024102617755"</f>
        <v>DD2024102617755</v>
      </c>
      <c r="D2692" s="1" t="str">
        <f>"CK202410269572"</f>
        <v>CK202410269572</v>
      </c>
      <c r="E2692" s="1" t="str">
        <f>"2430002322827475"</f>
        <v>2430002322827475</v>
      </c>
      <c r="F2692" s="1" t="str">
        <f t="shared" si="869"/>
        <v>花都四部-凤凰仓</v>
      </c>
      <c r="G2692" s="1" t="str">
        <f t="shared" si="883"/>
        <v>卡卡杜佳旺专卖店（快手店）</v>
      </c>
      <c r="H2692" s="1" t="str">
        <f t="shared" si="870"/>
        <v>正常订单</v>
      </c>
      <c r="I2692" s="1" t="str">
        <f t="shared" si="871"/>
        <v>已发货</v>
      </c>
      <c r="J2692" s="1" t="str">
        <f>"5"</f>
        <v>5</v>
      </c>
      <c r="K2692" s="1">
        <v>2</v>
      </c>
      <c r="L2692" s="1" t="s">
        <v>1099</v>
      </c>
      <c r="M2692" s="1" t="str">
        <f>"重庆市 重庆市 江北区 观音桥街道"</f>
        <v>重庆市 重庆市 江北区 观音桥街道</v>
      </c>
      <c r="N2692" s="1" t="str">
        <f t="shared" si="884"/>
        <v>凡华云仓-城南圆通-快手</v>
      </c>
      <c r="O2692" s="5" t="s">
        <v>2727</v>
      </c>
      <c r="P2692" s="6">
        <v>0.59</v>
      </c>
      <c r="Q2692" s="11">
        <f>CEILING(P2692-0.5,0.1)*10*0.15+2.3</f>
        <v>2.4499999999999997</v>
      </c>
      <c r="R2692" s="11"/>
      <c r="S2692" s="11"/>
      <c r="T2692" s="11"/>
      <c r="U2692" s="11">
        <f t="shared" si="889"/>
        <v>2.4499999999999997</v>
      </c>
      <c r="V2692" t="s">
        <v>15</v>
      </c>
      <c r="W2692">
        <v>2.4500000000000002</v>
      </c>
      <c r="X2692" s="1" t="s">
        <v>1099</v>
      </c>
    </row>
    <row r="2693" spans="1:24" x14ac:dyDescent="0.25">
      <c r="A2693" s="1" t="str">
        <f t="shared" ref="A2693:A2756" si="890">"卡卡杜-凤凰仓"</f>
        <v>卡卡杜-凤凰仓</v>
      </c>
      <c r="B2693" s="1" t="str">
        <f>"CK2024102620"</f>
        <v>CK2024102620</v>
      </c>
      <c r="C2693" s="1" t="str">
        <f>"DD2024102617681"</f>
        <v>DD2024102617681</v>
      </c>
      <c r="D2693" s="1" t="str">
        <f>"CK202410269571"</f>
        <v>CK202410269571</v>
      </c>
      <c r="E2693" s="1" t="str">
        <f>"2430002403674026"</f>
        <v>2430002403674026</v>
      </c>
      <c r="F2693" s="1" t="str">
        <f t="shared" ref="F2693:F2756" si="891">"花都四部-凤凰仓"</f>
        <v>花都四部-凤凰仓</v>
      </c>
      <c r="G2693" s="1" t="str">
        <f t="shared" si="883"/>
        <v>卡卡杜佳旺专卖店（快手店）</v>
      </c>
      <c r="H2693" s="1" t="str">
        <f t="shared" ref="H2693:H2756" si="892">"正常订单"</f>
        <v>正常订单</v>
      </c>
      <c r="I2693" s="1" t="str">
        <f t="shared" ref="I2693:I2756" si="893">"已发货"</f>
        <v>已发货</v>
      </c>
      <c r="J2693" s="1" t="str">
        <f t="shared" si="888"/>
        <v>3</v>
      </c>
      <c r="K2693" s="1">
        <v>2</v>
      </c>
      <c r="L2693" s="1" t="s">
        <v>36</v>
      </c>
      <c r="M2693" s="1" t="str">
        <f>"安徽省 六安市 裕安区 分路口镇"</f>
        <v>安徽省 六安市 裕安区 分路口镇</v>
      </c>
      <c r="N2693" s="1" t="str">
        <f t="shared" si="884"/>
        <v>凡华云仓-城南圆通-快手</v>
      </c>
      <c r="O2693" s="5" t="s">
        <v>2728</v>
      </c>
      <c r="P2693" s="6">
        <v>0.35</v>
      </c>
      <c r="Q2693" s="11">
        <v>2.2999999999999998</v>
      </c>
      <c r="R2693" s="11"/>
      <c r="S2693" s="11"/>
      <c r="T2693" s="11"/>
      <c r="U2693" s="11">
        <f t="shared" si="889"/>
        <v>2.2999999999999998</v>
      </c>
      <c r="W2693">
        <v>2.5</v>
      </c>
      <c r="X2693" s="1" t="s">
        <v>36</v>
      </c>
    </row>
    <row r="2694" spans="1:24" x14ac:dyDescent="0.25">
      <c r="A2694" s="1" t="str">
        <f t="shared" si="890"/>
        <v>卡卡杜-凤凰仓</v>
      </c>
      <c r="B2694" s="1" t="str">
        <f>"CK2024102621"</f>
        <v>CK2024102621</v>
      </c>
      <c r="C2694" s="1" t="str">
        <f>"DD2024102617680"</f>
        <v>DD2024102617680</v>
      </c>
      <c r="D2694" s="1" t="str">
        <f>"CK202410269570"</f>
        <v>CK202410269570</v>
      </c>
      <c r="E2694" s="1" t="str">
        <f>"2430002402712694"</f>
        <v>2430002402712694</v>
      </c>
      <c r="F2694" s="1" t="str">
        <f t="shared" si="891"/>
        <v>花都四部-凤凰仓</v>
      </c>
      <c r="G2694" s="1" t="str">
        <f t="shared" si="883"/>
        <v>卡卡杜佳旺专卖店（快手店）</v>
      </c>
      <c r="H2694" s="1" t="str">
        <f t="shared" si="892"/>
        <v>正常订单</v>
      </c>
      <c r="I2694" s="1" t="str">
        <f t="shared" si="893"/>
        <v>已发货</v>
      </c>
      <c r="J2694" s="1" t="str">
        <f t="shared" si="888"/>
        <v>3</v>
      </c>
      <c r="K2694" s="1">
        <v>2</v>
      </c>
      <c r="L2694" s="1" t="s">
        <v>13</v>
      </c>
      <c r="M2694" s="1" t="str">
        <f>"江苏省 南京市 江宁区 秣陵街道"</f>
        <v>江苏省 南京市 江宁区 秣陵街道</v>
      </c>
      <c r="N2694" s="1" t="str">
        <f t="shared" si="884"/>
        <v>凡华云仓-城南圆通-快手</v>
      </c>
      <c r="O2694" s="5" t="s">
        <v>2729</v>
      </c>
      <c r="P2694" s="6">
        <v>0.35</v>
      </c>
      <c r="Q2694" s="11">
        <v>2.2999999999999998</v>
      </c>
      <c r="R2694" s="11"/>
      <c r="S2694" s="11"/>
      <c r="T2694" s="11"/>
      <c r="U2694" s="11">
        <f t="shared" si="889"/>
        <v>2.2999999999999998</v>
      </c>
      <c r="W2694">
        <v>2.5</v>
      </c>
      <c r="X2694" s="1" t="s">
        <v>13</v>
      </c>
    </row>
    <row r="2695" spans="1:24" x14ac:dyDescent="0.25">
      <c r="A2695" s="1" t="str">
        <f t="shared" si="890"/>
        <v>卡卡杜-凤凰仓</v>
      </c>
      <c r="B2695" s="1" t="str">
        <f>"CK2024102622"</f>
        <v>CK2024102622</v>
      </c>
      <c r="C2695" s="1" t="str">
        <f>"DD2024102617682"</f>
        <v>DD2024102617682</v>
      </c>
      <c r="D2695" s="1" t="str">
        <f>"CK202410269569"</f>
        <v>CK202410269569</v>
      </c>
      <c r="E2695" s="1" t="str">
        <f>"2430002004057571"</f>
        <v>2430002004057571</v>
      </c>
      <c r="F2695" s="1" t="str">
        <f t="shared" si="891"/>
        <v>花都四部-凤凰仓</v>
      </c>
      <c r="G2695" s="1" t="str">
        <f t="shared" si="883"/>
        <v>卡卡杜佳旺专卖店（快手店）</v>
      </c>
      <c r="H2695" s="1" t="str">
        <f t="shared" si="892"/>
        <v>正常订单</v>
      </c>
      <c r="I2695" s="1" t="str">
        <f t="shared" si="893"/>
        <v>已发货</v>
      </c>
      <c r="J2695" s="1" t="str">
        <f t="shared" si="888"/>
        <v>3</v>
      </c>
      <c r="K2695" s="1">
        <v>2</v>
      </c>
      <c r="L2695" s="1" t="s">
        <v>20</v>
      </c>
      <c r="M2695" s="1" t="str">
        <f>"浙江省 温州市 瓯海区 潘桥街道"</f>
        <v>浙江省 温州市 瓯海区 潘桥街道</v>
      </c>
      <c r="N2695" s="1" t="str">
        <f t="shared" si="884"/>
        <v>凡华云仓-城南圆通-快手</v>
      </c>
      <c r="O2695" s="5" t="s">
        <v>2730</v>
      </c>
      <c r="P2695" s="6">
        <v>0.35</v>
      </c>
      <c r="Q2695" s="11">
        <v>2.2999999999999998</v>
      </c>
      <c r="R2695" s="11"/>
      <c r="S2695" s="11"/>
      <c r="T2695" s="11"/>
      <c r="U2695" s="11">
        <f t="shared" si="889"/>
        <v>2.2999999999999998</v>
      </c>
      <c r="W2695">
        <v>2.5</v>
      </c>
      <c r="X2695" s="1" t="s">
        <v>20</v>
      </c>
    </row>
    <row r="2696" spans="1:24" x14ac:dyDescent="0.25">
      <c r="A2696" s="1" t="str">
        <f t="shared" si="890"/>
        <v>卡卡杜-凤凰仓</v>
      </c>
      <c r="B2696" s="1" t="str">
        <f>"CK2024102623"</f>
        <v>CK2024102623</v>
      </c>
      <c r="C2696" s="1" t="str">
        <f>"DD2024102617685"</f>
        <v>DD2024102617685</v>
      </c>
      <c r="D2696" s="1" t="str">
        <f>"CK202410269568"</f>
        <v>CK202410269568</v>
      </c>
      <c r="E2696" s="1" t="str">
        <f>"2430001685625326"</f>
        <v>2430001685625326</v>
      </c>
      <c r="F2696" s="1" t="str">
        <f t="shared" si="891"/>
        <v>花都四部-凤凰仓</v>
      </c>
      <c r="G2696" s="1" t="str">
        <f t="shared" si="883"/>
        <v>卡卡杜佳旺专卖店（快手店）</v>
      </c>
      <c r="H2696" s="1" t="str">
        <f t="shared" si="892"/>
        <v>正常订单</v>
      </c>
      <c r="I2696" s="1" t="str">
        <f t="shared" si="893"/>
        <v>已发货</v>
      </c>
      <c r="J2696" s="1" t="str">
        <f t="shared" si="888"/>
        <v>3</v>
      </c>
      <c r="K2696" s="1">
        <v>2</v>
      </c>
      <c r="L2696" s="1" t="s">
        <v>54</v>
      </c>
      <c r="M2696" s="1" t="str">
        <f>"黑龙江省 绥化市 北林区 吉泰街道"</f>
        <v>黑龙江省 绥化市 北林区 吉泰街道</v>
      </c>
      <c r="N2696" s="1" t="str">
        <f t="shared" si="884"/>
        <v>凡华云仓-城南圆通-快手</v>
      </c>
      <c r="O2696" s="5" t="s">
        <v>2731</v>
      </c>
      <c r="P2696" s="6">
        <v>0.35</v>
      </c>
      <c r="Q2696" s="11">
        <v>2.2999999999999998</v>
      </c>
      <c r="R2696" s="11"/>
      <c r="S2696" s="11"/>
      <c r="T2696" s="11"/>
      <c r="U2696" s="11">
        <f t="shared" si="889"/>
        <v>2.2999999999999998</v>
      </c>
      <c r="W2696">
        <v>2.5</v>
      </c>
      <c r="X2696" s="1" t="s">
        <v>54</v>
      </c>
    </row>
    <row r="2697" spans="1:24" x14ac:dyDescent="0.25">
      <c r="A2697" s="1" t="str">
        <f t="shared" si="890"/>
        <v>卡卡杜-凤凰仓</v>
      </c>
      <c r="B2697" s="1" t="str">
        <f>"CK2024102672"</f>
        <v>CK2024102672</v>
      </c>
      <c r="C2697" s="1" t="str">
        <f>"DD2024102617757"</f>
        <v>DD2024102617757</v>
      </c>
      <c r="D2697" s="1" t="str">
        <f>"CK202410269567"</f>
        <v>CK202410269567</v>
      </c>
      <c r="E2697" s="1" t="str">
        <f>"2429902103315621"</f>
        <v>2429902103315621</v>
      </c>
      <c r="F2697" s="1" t="str">
        <f t="shared" si="891"/>
        <v>花都四部-凤凰仓</v>
      </c>
      <c r="G2697" s="1" t="str">
        <f t="shared" si="883"/>
        <v>卡卡杜佳旺专卖店（快手店）</v>
      </c>
      <c r="H2697" s="1" t="str">
        <f t="shared" si="892"/>
        <v>正常订单</v>
      </c>
      <c r="I2697" s="1" t="str">
        <f t="shared" si="893"/>
        <v>已发货</v>
      </c>
      <c r="J2697" s="1" t="str">
        <f t="shared" ref="J2697:J2699" si="894">"5"</f>
        <v>5</v>
      </c>
      <c r="K2697" s="1">
        <v>2</v>
      </c>
      <c r="L2697" s="1" t="s">
        <v>24</v>
      </c>
      <c r="M2697" s="1" t="str">
        <f>"福建省 泉州市 晋江市 池店镇"</f>
        <v>福建省 泉州市 晋江市 池店镇</v>
      </c>
      <c r="N2697" s="1" t="str">
        <f t="shared" si="884"/>
        <v>凡华云仓-城南圆通-快手</v>
      </c>
      <c r="O2697" s="5" t="s">
        <v>2732</v>
      </c>
      <c r="P2697" s="6">
        <v>0.59</v>
      </c>
      <c r="Q2697" s="11">
        <f t="shared" ref="Q2697:Q2699" si="895">CEILING(P2697-0.5,0.1)*10*0.15+2.3</f>
        <v>2.4499999999999997</v>
      </c>
      <c r="R2697" s="11"/>
      <c r="S2697" s="11"/>
      <c r="T2697" s="11"/>
      <c r="U2697" s="11">
        <f t="shared" si="889"/>
        <v>2.4499999999999997</v>
      </c>
      <c r="V2697" t="s">
        <v>15</v>
      </c>
      <c r="W2697">
        <v>2.4500000000000002</v>
      </c>
      <c r="X2697" s="1" t="s">
        <v>24</v>
      </c>
    </row>
    <row r="2698" spans="1:24" x14ac:dyDescent="0.25">
      <c r="A2698" s="1" t="str">
        <f t="shared" si="890"/>
        <v>卡卡杜-凤凰仓</v>
      </c>
      <c r="B2698" s="1" t="str">
        <f>"CK2024102671"</f>
        <v>CK2024102671</v>
      </c>
      <c r="C2698" s="1" t="str">
        <f>"DD2024102617756"</f>
        <v>DD2024102617756</v>
      </c>
      <c r="D2698" s="1" t="str">
        <f>"CK202410269566"</f>
        <v>CK202410269566</v>
      </c>
      <c r="E2698" s="1" t="str">
        <f>"2430002483209779"</f>
        <v>2430002483209779</v>
      </c>
      <c r="F2698" s="1" t="str">
        <f t="shared" si="891"/>
        <v>花都四部-凤凰仓</v>
      </c>
      <c r="G2698" s="1" t="str">
        <f t="shared" si="883"/>
        <v>卡卡杜佳旺专卖店（快手店）</v>
      </c>
      <c r="H2698" s="1" t="str">
        <f t="shared" si="892"/>
        <v>正常订单</v>
      </c>
      <c r="I2698" s="1" t="str">
        <f t="shared" si="893"/>
        <v>已发货</v>
      </c>
      <c r="J2698" s="1" t="str">
        <f t="shared" si="894"/>
        <v>5</v>
      </c>
      <c r="K2698" s="1">
        <v>2</v>
      </c>
      <c r="L2698" s="1" t="s">
        <v>161</v>
      </c>
      <c r="M2698" s="1" t="str">
        <f>"四川省 成都市 金牛区 九里堤街道"</f>
        <v>四川省 成都市 金牛区 九里堤街道</v>
      </c>
      <c r="N2698" s="1" t="str">
        <f t="shared" si="884"/>
        <v>凡华云仓-城南圆通-快手</v>
      </c>
      <c r="O2698" s="5" t="s">
        <v>2733</v>
      </c>
      <c r="P2698" s="6">
        <v>0.59</v>
      </c>
      <c r="Q2698" s="11">
        <f t="shared" si="895"/>
        <v>2.4499999999999997</v>
      </c>
      <c r="R2698" s="11"/>
      <c r="S2698" s="11"/>
      <c r="T2698" s="11"/>
      <c r="U2698" s="11">
        <f t="shared" si="889"/>
        <v>2.4499999999999997</v>
      </c>
      <c r="V2698" t="s">
        <v>15</v>
      </c>
      <c r="W2698">
        <v>2.4500000000000002</v>
      </c>
      <c r="X2698" s="1" t="s">
        <v>161</v>
      </c>
    </row>
    <row r="2699" spans="1:24" x14ac:dyDescent="0.25">
      <c r="A2699" s="1" t="str">
        <f t="shared" si="890"/>
        <v>卡卡杜-凤凰仓</v>
      </c>
      <c r="B2699" s="1" t="str">
        <f>"CK2024102673"</f>
        <v>CK2024102673</v>
      </c>
      <c r="C2699" s="1" t="str">
        <f>"DD2024102617759"</f>
        <v>DD2024102617759</v>
      </c>
      <c r="D2699" s="1" t="str">
        <f>"CK202410269565"</f>
        <v>CK202410269565</v>
      </c>
      <c r="E2699" s="1" t="str">
        <f>"2429902107424678"</f>
        <v>2429902107424678</v>
      </c>
      <c r="F2699" s="1" t="str">
        <f t="shared" si="891"/>
        <v>花都四部-凤凰仓</v>
      </c>
      <c r="G2699" s="1" t="str">
        <f t="shared" si="883"/>
        <v>卡卡杜佳旺专卖店（快手店）</v>
      </c>
      <c r="H2699" s="1" t="str">
        <f t="shared" si="892"/>
        <v>正常订单</v>
      </c>
      <c r="I2699" s="1" t="str">
        <f t="shared" si="893"/>
        <v>已发货</v>
      </c>
      <c r="J2699" s="1" t="str">
        <f t="shared" si="894"/>
        <v>5</v>
      </c>
      <c r="K2699" s="1">
        <v>2</v>
      </c>
      <c r="L2699" s="1" t="s">
        <v>20</v>
      </c>
      <c r="M2699" s="1" t="str">
        <f>"浙江省 杭州市 富阳区 富春街道"</f>
        <v>浙江省 杭州市 富阳区 富春街道</v>
      </c>
      <c r="N2699" s="1" t="str">
        <f t="shared" si="884"/>
        <v>凡华云仓-城南圆通-快手</v>
      </c>
      <c r="O2699" s="5" t="s">
        <v>2734</v>
      </c>
      <c r="P2699" s="6">
        <v>0.59</v>
      </c>
      <c r="Q2699" s="11">
        <f t="shared" si="895"/>
        <v>2.4499999999999997</v>
      </c>
      <c r="R2699" s="11"/>
      <c r="S2699" s="11"/>
      <c r="T2699" s="11"/>
      <c r="U2699" s="11">
        <f t="shared" si="889"/>
        <v>2.4499999999999997</v>
      </c>
      <c r="V2699" t="s">
        <v>15</v>
      </c>
      <c r="W2699">
        <v>2.4500000000000002</v>
      </c>
      <c r="X2699" s="1" t="s">
        <v>20</v>
      </c>
    </row>
    <row r="2700" spans="1:24" x14ac:dyDescent="0.25">
      <c r="A2700" s="1" t="str">
        <f t="shared" si="890"/>
        <v>卡卡杜-凤凰仓</v>
      </c>
      <c r="B2700" s="1" t="str">
        <f>"CK2024102624"</f>
        <v>CK2024102624</v>
      </c>
      <c r="C2700" s="1" t="str">
        <f>"DD2024102617683"</f>
        <v>DD2024102617683</v>
      </c>
      <c r="D2700" s="1" t="str">
        <f>"CK202410269564"</f>
        <v>CK202410269564</v>
      </c>
      <c r="E2700" s="1" t="str">
        <f>"2429902114376817"</f>
        <v>2429902114376817</v>
      </c>
      <c r="F2700" s="1" t="str">
        <f t="shared" si="891"/>
        <v>花都四部-凤凰仓</v>
      </c>
      <c r="G2700" s="1" t="str">
        <f t="shared" si="883"/>
        <v>卡卡杜佳旺专卖店（快手店）</v>
      </c>
      <c r="H2700" s="1" t="str">
        <f t="shared" si="892"/>
        <v>正常订单</v>
      </c>
      <c r="I2700" s="1" t="str">
        <f t="shared" si="893"/>
        <v>已发货</v>
      </c>
      <c r="J2700" s="1" t="str">
        <f t="shared" ref="J2700:J2704" si="896">"3"</f>
        <v>3</v>
      </c>
      <c r="K2700" s="1">
        <v>2</v>
      </c>
      <c r="L2700" s="1" t="s">
        <v>36</v>
      </c>
      <c r="M2700" s="1" t="str">
        <f>"安徽省 合肥市 包河区 骆岗街道"</f>
        <v>安徽省 合肥市 包河区 骆岗街道</v>
      </c>
      <c r="N2700" s="1" t="str">
        <f t="shared" si="884"/>
        <v>凡华云仓-城南圆通-快手</v>
      </c>
      <c r="O2700" s="5" t="s">
        <v>2735</v>
      </c>
      <c r="P2700" s="6">
        <v>0.35</v>
      </c>
      <c r="Q2700" s="11">
        <v>2.2999999999999998</v>
      </c>
      <c r="R2700" s="11"/>
      <c r="S2700" s="11"/>
      <c r="T2700" s="11"/>
      <c r="U2700" s="11">
        <f t="shared" si="889"/>
        <v>2.2999999999999998</v>
      </c>
      <c r="W2700">
        <v>2.5</v>
      </c>
      <c r="X2700" s="1" t="s">
        <v>36</v>
      </c>
    </row>
    <row r="2701" spans="1:24" x14ac:dyDescent="0.25">
      <c r="A2701" s="1" t="str">
        <f t="shared" si="890"/>
        <v>卡卡杜-凤凰仓</v>
      </c>
      <c r="B2701" s="1" t="str">
        <f>"CK2024102625"</f>
        <v>CK2024102625</v>
      </c>
      <c r="C2701" s="1" t="str">
        <f>"DD2024102617684"</f>
        <v>DD2024102617684</v>
      </c>
      <c r="D2701" s="1" t="str">
        <f>"CK202410269563"</f>
        <v>CK202410269563</v>
      </c>
      <c r="E2701" s="1" t="str">
        <f>"2429902108816072"</f>
        <v>2429902108816072</v>
      </c>
      <c r="F2701" s="1" t="str">
        <f t="shared" si="891"/>
        <v>花都四部-凤凰仓</v>
      </c>
      <c r="G2701" s="1" t="str">
        <f t="shared" si="883"/>
        <v>卡卡杜佳旺专卖店（快手店）</v>
      </c>
      <c r="H2701" s="1" t="str">
        <f t="shared" si="892"/>
        <v>正常订单</v>
      </c>
      <c r="I2701" s="1" t="str">
        <f t="shared" si="893"/>
        <v>已发货</v>
      </c>
      <c r="J2701" s="1" t="str">
        <f t="shared" si="896"/>
        <v>3</v>
      </c>
      <c r="K2701" s="1">
        <v>2</v>
      </c>
      <c r="L2701" s="1" t="s">
        <v>60</v>
      </c>
      <c r="M2701" s="1" t="str">
        <f>"云南省 昆明市 西山区 金碧街道"</f>
        <v>云南省 昆明市 西山区 金碧街道</v>
      </c>
      <c r="N2701" s="1" t="str">
        <f t="shared" si="884"/>
        <v>凡华云仓-城南圆通-快手</v>
      </c>
      <c r="O2701" s="5" t="s">
        <v>2736</v>
      </c>
      <c r="P2701" s="6">
        <v>0.35</v>
      </c>
      <c r="Q2701" s="11">
        <v>2.2999999999999998</v>
      </c>
      <c r="R2701" s="11"/>
      <c r="S2701" s="11"/>
      <c r="T2701" s="11"/>
      <c r="U2701" s="11">
        <f t="shared" si="889"/>
        <v>2.2999999999999998</v>
      </c>
      <c r="W2701">
        <v>2.5</v>
      </c>
      <c r="X2701" s="1" t="s">
        <v>60</v>
      </c>
    </row>
    <row r="2702" spans="1:24" x14ac:dyDescent="0.25">
      <c r="A2702" s="1" t="str">
        <f t="shared" si="890"/>
        <v>卡卡杜-凤凰仓</v>
      </c>
      <c r="B2702" s="1" t="str">
        <f>"CK2024102674"</f>
        <v>CK2024102674</v>
      </c>
      <c r="C2702" s="1" t="str">
        <f>"DD2024102617760"</f>
        <v>DD2024102617760</v>
      </c>
      <c r="D2702" s="1" t="str">
        <f>"CK202410269562"</f>
        <v>CK202410269562</v>
      </c>
      <c r="E2702" s="1" t="str">
        <f>"2429901869489745"</f>
        <v>2429901869489745</v>
      </c>
      <c r="F2702" s="1" t="str">
        <f t="shared" si="891"/>
        <v>花都四部-凤凰仓</v>
      </c>
      <c r="G2702" s="1" t="str">
        <f t="shared" si="883"/>
        <v>卡卡杜佳旺专卖店（快手店）</v>
      </c>
      <c r="H2702" s="1" t="str">
        <f t="shared" si="892"/>
        <v>正常订单</v>
      </c>
      <c r="I2702" s="1" t="str">
        <f t="shared" si="893"/>
        <v>已发货</v>
      </c>
      <c r="J2702" s="1" t="str">
        <f>"5"</f>
        <v>5</v>
      </c>
      <c r="K2702" s="1">
        <v>2</v>
      </c>
      <c r="L2702" s="1" t="s">
        <v>54</v>
      </c>
      <c r="M2702" s="1" t="str">
        <f>"黑龙江省 伊春市 伊美区 红升街道"</f>
        <v>黑龙江省 伊春市 伊美区 红升街道</v>
      </c>
      <c r="N2702" s="1" t="str">
        <f t="shared" si="884"/>
        <v>凡华云仓-城南圆通-快手</v>
      </c>
      <c r="O2702" s="5" t="s">
        <v>2737</v>
      </c>
      <c r="P2702" s="6">
        <v>0.59</v>
      </c>
      <c r="Q2702" s="11">
        <f>CEILING(P2702-0.5,0.1)*10*0.15+2.3</f>
        <v>2.4499999999999997</v>
      </c>
      <c r="R2702" s="11"/>
      <c r="S2702" s="11"/>
      <c r="T2702" s="11"/>
      <c r="U2702" s="11">
        <f t="shared" si="889"/>
        <v>2.4499999999999997</v>
      </c>
      <c r="V2702" t="s">
        <v>15</v>
      </c>
      <c r="W2702">
        <v>2.4500000000000002</v>
      </c>
      <c r="X2702" s="1" t="s">
        <v>54</v>
      </c>
    </row>
    <row r="2703" spans="1:24" x14ac:dyDescent="0.25">
      <c r="A2703" s="1" t="str">
        <f t="shared" si="890"/>
        <v>卡卡杜-凤凰仓</v>
      </c>
      <c r="B2703" s="1" t="str">
        <f>"CK2024102627"</f>
        <v>CK2024102627</v>
      </c>
      <c r="C2703" s="1" t="str">
        <f>"DD2024102617687"</f>
        <v>DD2024102617687</v>
      </c>
      <c r="D2703" s="1" t="str">
        <f>"CK202410269561"</f>
        <v>CK202410269561</v>
      </c>
      <c r="E2703" s="1" t="str">
        <f>"2429902434537409"</f>
        <v>2429902434537409</v>
      </c>
      <c r="F2703" s="1" t="str">
        <f t="shared" si="891"/>
        <v>花都四部-凤凰仓</v>
      </c>
      <c r="G2703" s="1" t="str">
        <f t="shared" si="883"/>
        <v>卡卡杜佳旺专卖店（快手店）</v>
      </c>
      <c r="H2703" s="1" t="str">
        <f t="shared" si="892"/>
        <v>正常订单</v>
      </c>
      <c r="I2703" s="1" t="str">
        <f t="shared" si="893"/>
        <v>已发货</v>
      </c>
      <c r="J2703" s="1" t="str">
        <f t="shared" si="896"/>
        <v>3</v>
      </c>
      <c r="K2703" s="1">
        <v>2</v>
      </c>
      <c r="L2703" s="1" t="s">
        <v>20</v>
      </c>
      <c r="M2703" s="1" t="str">
        <f>"浙江省 嘉兴市 嘉善县 惠民街道"</f>
        <v>浙江省 嘉兴市 嘉善县 惠民街道</v>
      </c>
      <c r="N2703" s="1" t="str">
        <f t="shared" si="884"/>
        <v>凡华云仓-城南圆通-快手</v>
      </c>
      <c r="O2703" s="5" t="s">
        <v>2738</v>
      </c>
      <c r="P2703" s="6">
        <v>0.35</v>
      </c>
      <c r="Q2703" s="11">
        <v>2.2999999999999998</v>
      </c>
      <c r="R2703" s="11"/>
      <c r="S2703" s="11"/>
      <c r="T2703" s="11"/>
      <c r="U2703" s="11">
        <f t="shared" si="889"/>
        <v>2.2999999999999998</v>
      </c>
      <c r="W2703">
        <v>2.5</v>
      </c>
      <c r="X2703" s="1" t="s">
        <v>20</v>
      </c>
    </row>
    <row r="2704" spans="1:24" x14ac:dyDescent="0.25">
      <c r="A2704" s="1" t="str">
        <f t="shared" si="890"/>
        <v>卡卡杜-凤凰仓</v>
      </c>
      <c r="B2704" s="1" t="str">
        <f>"CK2024102629"</f>
        <v>CK2024102629</v>
      </c>
      <c r="C2704" s="1" t="str">
        <f>"DD2024102617689"</f>
        <v>DD2024102617689</v>
      </c>
      <c r="D2704" s="1" t="str">
        <f>"CK202410269560"</f>
        <v>CK202410269560</v>
      </c>
      <c r="E2704" s="1" t="str">
        <f>"2429901628563511"</f>
        <v>2429901628563511</v>
      </c>
      <c r="F2704" s="1" t="str">
        <f t="shared" si="891"/>
        <v>花都四部-凤凰仓</v>
      </c>
      <c r="G2704" s="1" t="str">
        <f t="shared" si="883"/>
        <v>卡卡杜佳旺专卖店（快手店）</v>
      </c>
      <c r="H2704" s="1" t="str">
        <f t="shared" si="892"/>
        <v>正常订单</v>
      </c>
      <c r="I2704" s="1" t="str">
        <f t="shared" si="893"/>
        <v>已发货</v>
      </c>
      <c r="J2704" s="1" t="str">
        <f t="shared" si="896"/>
        <v>3</v>
      </c>
      <c r="K2704" s="1">
        <v>2</v>
      </c>
      <c r="L2704" s="1" t="s">
        <v>36</v>
      </c>
      <c r="M2704" s="1" t="str">
        <f>"安徽省 合肥市 长丰县 双墩镇"</f>
        <v>安徽省 合肥市 长丰县 双墩镇</v>
      </c>
      <c r="N2704" s="1" t="str">
        <f t="shared" si="884"/>
        <v>凡华云仓-城南圆通-快手</v>
      </c>
      <c r="O2704" s="5" t="s">
        <v>2739</v>
      </c>
      <c r="P2704" s="6">
        <v>0.35</v>
      </c>
      <c r="Q2704" s="11">
        <v>2.2999999999999998</v>
      </c>
      <c r="R2704" s="11"/>
      <c r="S2704" s="11"/>
      <c r="T2704" s="11"/>
      <c r="U2704" s="11">
        <f t="shared" si="889"/>
        <v>2.2999999999999998</v>
      </c>
      <c r="W2704">
        <v>2.5</v>
      </c>
      <c r="X2704" s="1" t="s">
        <v>36</v>
      </c>
    </row>
    <row r="2705" spans="1:24" x14ac:dyDescent="0.25">
      <c r="A2705" s="1" t="str">
        <f t="shared" si="890"/>
        <v>卡卡杜-凤凰仓</v>
      </c>
      <c r="B2705" s="1" t="str">
        <f>"CK2024102675"</f>
        <v>CK2024102675</v>
      </c>
      <c r="C2705" s="1" t="str">
        <f>"DD2024102617761"</f>
        <v>DD2024102617761</v>
      </c>
      <c r="D2705" s="1" t="str">
        <f>"CK202410269558"</f>
        <v>CK202410269558</v>
      </c>
      <c r="E2705" s="1" t="str">
        <f>"2429902507689996"</f>
        <v>2429902507689996</v>
      </c>
      <c r="F2705" s="1" t="str">
        <f t="shared" si="891"/>
        <v>花都四部-凤凰仓</v>
      </c>
      <c r="G2705" s="1" t="str">
        <f t="shared" si="883"/>
        <v>卡卡杜佳旺专卖店（快手店）</v>
      </c>
      <c r="H2705" s="1" t="str">
        <f t="shared" si="892"/>
        <v>正常订单</v>
      </c>
      <c r="I2705" s="1" t="str">
        <f t="shared" si="893"/>
        <v>已发货</v>
      </c>
      <c r="J2705" s="1" t="str">
        <f>"5"</f>
        <v>5</v>
      </c>
      <c r="K2705" s="1">
        <v>2</v>
      </c>
      <c r="L2705" s="1" t="s">
        <v>13</v>
      </c>
      <c r="M2705" s="1" t="str">
        <f>"江苏省 宿迁市 沭阳县 十字街道"</f>
        <v>江苏省 宿迁市 沭阳县 十字街道</v>
      </c>
      <c r="N2705" s="1" t="str">
        <f t="shared" si="884"/>
        <v>凡华云仓-城南圆通-快手</v>
      </c>
      <c r="O2705" s="5" t="s">
        <v>2740</v>
      </c>
      <c r="P2705" s="6">
        <v>0.59</v>
      </c>
      <c r="Q2705" s="11">
        <f>CEILING(P2705-0.5,0.1)*10*0.15+2.3</f>
        <v>2.4499999999999997</v>
      </c>
      <c r="R2705" s="11"/>
      <c r="S2705" s="11"/>
      <c r="T2705" s="11"/>
      <c r="U2705" s="11">
        <f t="shared" si="889"/>
        <v>2.4499999999999997</v>
      </c>
      <c r="V2705" t="s">
        <v>15</v>
      </c>
      <c r="W2705">
        <v>2.4500000000000002</v>
      </c>
      <c r="X2705" s="1" t="s">
        <v>13</v>
      </c>
    </row>
    <row r="2706" spans="1:24" x14ac:dyDescent="0.25">
      <c r="A2706" s="1" t="str">
        <f t="shared" si="890"/>
        <v>卡卡杜-凤凰仓</v>
      </c>
      <c r="B2706" s="1" t="str">
        <f>"CK2024102631"</f>
        <v>CK2024102631</v>
      </c>
      <c r="C2706" s="1" t="str">
        <f>"DD2024102617692"</f>
        <v>DD2024102617692</v>
      </c>
      <c r="D2706" s="1" t="str">
        <f>"CK202410269557"</f>
        <v>CK202410269557</v>
      </c>
      <c r="E2706" s="1" t="str">
        <f>"2429901944665022"</f>
        <v>2429901944665022</v>
      </c>
      <c r="F2706" s="1" t="str">
        <f t="shared" si="891"/>
        <v>花都四部-凤凰仓</v>
      </c>
      <c r="G2706" s="1" t="str">
        <f t="shared" si="883"/>
        <v>卡卡杜佳旺专卖店（快手店）</v>
      </c>
      <c r="H2706" s="1" t="str">
        <f t="shared" si="892"/>
        <v>正常订单</v>
      </c>
      <c r="I2706" s="1" t="str">
        <f t="shared" si="893"/>
        <v>已发货</v>
      </c>
      <c r="J2706" s="1" t="str">
        <f t="shared" ref="J2706:J2714" si="897">"3"</f>
        <v>3</v>
      </c>
      <c r="K2706" s="1">
        <v>2</v>
      </c>
      <c r="L2706" s="1" t="s">
        <v>20</v>
      </c>
      <c r="M2706" s="1" t="str">
        <f>"浙江省 宁波市 海曙区 段塘街道"</f>
        <v>浙江省 宁波市 海曙区 段塘街道</v>
      </c>
      <c r="N2706" s="1" t="str">
        <f t="shared" si="884"/>
        <v>凡华云仓-城南圆通-快手</v>
      </c>
      <c r="O2706" s="5" t="s">
        <v>2741</v>
      </c>
      <c r="P2706" s="6">
        <v>0.35</v>
      </c>
      <c r="Q2706" s="11">
        <v>2.2999999999999998</v>
      </c>
      <c r="R2706" s="11"/>
      <c r="S2706" s="11"/>
      <c r="T2706" s="11"/>
      <c r="U2706" s="11">
        <f t="shared" si="889"/>
        <v>2.2999999999999998</v>
      </c>
      <c r="W2706">
        <v>2.5</v>
      </c>
      <c r="X2706" s="1" t="s">
        <v>20</v>
      </c>
    </row>
    <row r="2707" spans="1:24" x14ac:dyDescent="0.25">
      <c r="A2707" s="1" t="str">
        <f t="shared" si="890"/>
        <v>卡卡杜-凤凰仓</v>
      </c>
      <c r="B2707" s="1" t="str">
        <f>"CK20241026146"</f>
        <v>CK20241026146</v>
      </c>
      <c r="C2707" s="1" t="str">
        <f>"DD2024102617853"</f>
        <v>DD2024102617853</v>
      </c>
      <c r="D2707" s="1" t="str">
        <f>"CK202410269556"</f>
        <v>CK202410269556</v>
      </c>
      <c r="E2707" s="1" t="str">
        <f>"2429902353779368"</f>
        <v>2429902353779368</v>
      </c>
      <c r="F2707" s="1" t="str">
        <f t="shared" si="891"/>
        <v>花都四部-凤凰仓</v>
      </c>
      <c r="G2707" s="1" t="str">
        <f t="shared" si="883"/>
        <v>卡卡杜佳旺专卖店（快手店）</v>
      </c>
      <c r="H2707" s="1" t="str">
        <f t="shared" si="892"/>
        <v>正常订单</v>
      </c>
      <c r="I2707" s="1" t="str">
        <f t="shared" si="893"/>
        <v>已发货</v>
      </c>
      <c r="J2707" s="1" t="str">
        <f>"2"</f>
        <v>2</v>
      </c>
      <c r="K2707" s="1">
        <v>2</v>
      </c>
      <c r="L2707" s="1" t="s">
        <v>66</v>
      </c>
      <c r="M2707" s="1" t="str">
        <f>"内蒙古自治区 兴安盟 科尔沁右翼前旗 居力很镇"</f>
        <v>内蒙古自治区 兴安盟 科尔沁右翼前旗 居力很镇</v>
      </c>
      <c r="N2707" s="1" t="str">
        <f t="shared" si="884"/>
        <v>凡华云仓-城南圆通-快手</v>
      </c>
      <c r="O2707" s="5" t="s">
        <v>2742</v>
      </c>
      <c r="P2707" s="6">
        <v>0.17</v>
      </c>
      <c r="Q2707" s="11">
        <v>2</v>
      </c>
      <c r="R2707" s="11"/>
      <c r="S2707" s="11"/>
      <c r="T2707" s="11"/>
      <c r="U2707" s="11">
        <f t="shared" si="889"/>
        <v>2</v>
      </c>
      <c r="W2707">
        <v>2.2000000000000002</v>
      </c>
      <c r="X2707" s="1" t="s">
        <v>66</v>
      </c>
    </row>
    <row r="2708" spans="1:24" x14ac:dyDescent="0.25">
      <c r="A2708" s="1" t="str">
        <f t="shared" si="890"/>
        <v>卡卡杜-凤凰仓</v>
      </c>
      <c r="B2708" s="1" t="str">
        <f>"CK2024102633"</f>
        <v>CK2024102633</v>
      </c>
      <c r="C2708" s="1" t="str">
        <f>"DD2024102617693"</f>
        <v>DD2024102617693</v>
      </c>
      <c r="D2708" s="1" t="str">
        <f>"CK202410269555"</f>
        <v>CK202410269555</v>
      </c>
      <c r="E2708" s="1" t="str">
        <f>"2429901950866094"</f>
        <v>2429901950866094</v>
      </c>
      <c r="F2708" s="1" t="str">
        <f t="shared" si="891"/>
        <v>花都四部-凤凰仓</v>
      </c>
      <c r="G2708" s="1" t="str">
        <f t="shared" si="883"/>
        <v>卡卡杜佳旺专卖店（快手店）</v>
      </c>
      <c r="H2708" s="1" t="str">
        <f t="shared" si="892"/>
        <v>正常订单</v>
      </c>
      <c r="I2708" s="1" t="str">
        <f t="shared" si="893"/>
        <v>已发货</v>
      </c>
      <c r="J2708" s="1" t="str">
        <f t="shared" si="897"/>
        <v>3</v>
      </c>
      <c r="K2708" s="1">
        <v>2</v>
      </c>
      <c r="L2708" s="1" t="s">
        <v>24</v>
      </c>
      <c r="M2708" s="1" t="str">
        <f>"福建省 泉州市 丰泽区 东湖街道"</f>
        <v>福建省 泉州市 丰泽区 东湖街道</v>
      </c>
      <c r="N2708" s="1" t="str">
        <f t="shared" si="884"/>
        <v>凡华云仓-城南圆通-快手</v>
      </c>
      <c r="O2708" s="5" t="s">
        <v>2743</v>
      </c>
      <c r="P2708" s="6">
        <v>0.35</v>
      </c>
      <c r="Q2708" s="11">
        <v>2.2999999999999998</v>
      </c>
      <c r="R2708" s="11"/>
      <c r="S2708" s="11"/>
      <c r="T2708" s="11"/>
      <c r="U2708" s="11">
        <f t="shared" si="889"/>
        <v>2.2999999999999998</v>
      </c>
      <c r="W2708">
        <v>2.5</v>
      </c>
      <c r="X2708" s="1" t="s">
        <v>24</v>
      </c>
    </row>
    <row r="2709" spans="1:24" x14ac:dyDescent="0.25">
      <c r="A2709" s="1" t="str">
        <f t="shared" si="890"/>
        <v>卡卡杜-凤凰仓</v>
      </c>
      <c r="B2709" s="1" t="str">
        <f>"CK2024102676"</f>
        <v>CK2024102676</v>
      </c>
      <c r="C2709" s="1" t="str">
        <f>"DD2024102617762"</f>
        <v>DD2024102617762</v>
      </c>
      <c r="D2709" s="1" t="str">
        <f>"CK202410269554"</f>
        <v>CK202410269554</v>
      </c>
      <c r="E2709" s="1" t="str">
        <f>"2429902506144608"</f>
        <v>2429902506144608</v>
      </c>
      <c r="F2709" s="1" t="str">
        <f t="shared" si="891"/>
        <v>花都四部-凤凰仓</v>
      </c>
      <c r="G2709" s="1" t="str">
        <f t="shared" si="883"/>
        <v>卡卡杜佳旺专卖店（快手店）</v>
      </c>
      <c r="H2709" s="1" t="str">
        <f t="shared" si="892"/>
        <v>正常订单</v>
      </c>
      <c r="I2709" s="1" t="str">
        <f t="shared" si="893"/>
        <v>已发货</v>
      </c>
      <c r="J2709" s="1" t="str">
        <f>"5"</f>
        <v>5</v>
      </c>
      <c r="K2709" s="1">
        <v>2</v>
      </c>
      <c r="L2709" s="1" t="s">
        <v>20</v>
      </c>
      <c r="M2709" s="1" t="str">
        <f>"浙江省 金华市 义乌市 佛堂镇"</f>
        <v>浙江省 金华市 义乌市 佛堂镇</v>
      </c>
      <c r="N2709" s="1" t="str">
        <f t="shared" si="884"/>
        <v>凡华云仓-城南圆通-快手</v>
      </c>
      <c r="O2709" s="5" t="s">
        <v>2744</v>
      </c>
      <c r="P2709" s="6">
        <v>0.59</v>
      </c>
      <c r="Q2709" s="11">
        <f>CEILING(P2709-0.5,0.1)*10*0.15+2.3</f>
        <v>2.4499999999999997</v>
      </c>
      <c r="R2709" s="11"/>
      <c r="S2709" s="11"/>
      <c r="T2709" s="11"/>
      <c r="U2709" s="11">
        <f t="shared" si="889"/>
        <v>2.4499999999999997</v>
      </c>
      <c r="V2709" t="s">
        <v>15</v>
      </c>
      <c r="W2709">
        <v>2.4500000000000002</v>
      </c>
      <c r="X2709" s="1" t="s">
        <v>20</v>
      </c>
    </row>
    <row r="2710" spans="1:24" x14ac:dyDescent="0.25">
      <c r="A2710" s="1" t="str">
        <f t="shared" si="890"/>
        <v>卡卡杜-凤凰仓</v>
      </c>
      <c r="B2710" s="1" t="str">
        <f>"CK2024102634"</f>
        <v>CK2024102634</v>
      </c>
      <c r="C2710" s="1" t="str">
        <f>"DD2024102617694"</f>
        <v>DD2024102617694</v>
      </c>
      <c r="D2710" s="1" t="str">
        <f>"CK202410269553"</f>
        <v>CK202410269553</v>
      </c>
      <c r="E2710" s="1" t="str">
        <f>"2429902355785225"</f>
        <v>2429902355785225</v>
      </c>
      <c r="F2710" s="1" t="str">
        <f t="shared" si="891"/>
        <v>花都四部-凤凰仓</v>
      </c>
      <c r="G2710" s="1" t="str">
        <f t="shared" si="883"/>
        <v>卡卡杜佳旺专卖店（快手店）</v>
      </c>
      <c r="H2710" s="1" t="str">
        <f t="shared" si="892"/>
        <v>正常订单</v>
      </c>
      <c r="I2710" s="1" t="str">
        <f t="shared" si="893"/>
        <v>已发货</v>
      </c>
      <c r="J2710" s="1" t="str">
        <f t="shared" si="897"/>
        <v>3</v>
      </c>
      <c r="K2710" s="1">
        <v>2</v>
      </c>
      <c r="L2710" s="1" t="s">
        <v>30</v>
      </c>
      <c r="M2710" s="1" t="str">
        <f>"山东省 临沂市 沂南县 大庄镇"</f>
        <v>山东省 临沂市 沂南县 大庄镇</v>
      </c>
      <c r="N2710" s="1" t="str">
        <f t="shared" si="884"/>
        <v>凡华云仓-城南圆通-快手</v>
      </c>
      <c r="O2710" s="5" t="s">
        <v>2745</v>
      </c>
      <c r="P2710" s="6">
        <v>0.35</v>
      </c>
      <c r="Q2710" s="11">
        <v>2.2999999999999998</v>
      </c>
      <c r="R2710" s="11"/>
      <c r="S2710" s="11"/>
      <c r="T2710" s="11"/>
      <c r="U2710" s="11">
        <f t="shared" si="889"/>
        <v>2.2999999999999998</v>
      </c>
      <c r="W2710">
        <v>2.5</v>
      </c>
      <c r="X2710" s="1" t="s">
        <v>30</v>
      </c>
    </row>
    <row r="2711" spans="1:24" x14ac:dyDescent="0.25">
      <c r="A2711" s="1" t="str">
        <f t="shared" si="890"/>
        <v>卡卡杜-凤凰仓</v>
      </c>
      <c r="B2711" s="1" t="str">
        <f>"CK2024102636"</f>
        <v>CK2024102636</v>
      </c>
      <c r="C2711" s="1" t="str">
        <f>"DD2024102617696"</f>
        <v>DD2024102617696</v>
      </c>
      <c r="D2711" s="1" t="str">
        <f>"CK202410269552"</f>
        <v>CK202410269552</v>
      </c>
      <c r="E2711" s="1" t="str">
        <f>"2429902028083149"</f>
        <v>2429902028083149</v>
      </c>
      <c r="F2711" s="1" t="str">
        <f t="shared" si="891"/>
        <v>花都四部-凤凰仓</v>
      </c>
      <c r="G2711" s="1" t="str">
        <f t="shared" si="883"/>
        <v>卡卡杜佳旺专卖店（快手店）</v>
      </c>
      <c r="H2711" s="1" t="str">
        <f t="shared" si="892"/>
        <v>正常订单</v>
      </c>
      <c r="I2711" s="1" t="str">
        <f t="shared" si="893"/>
        <v>已发货</v>
      </c>
      <c r="J2711" s="1" t="str">
        <f t="shared" si="897"/>
        <v>3</v>
      </c>
      <c r="K2711" s="1">
        <v>2</v>
      </c>
      <c r="L2711" s="1" t="s">
        <v>80</v>
      </c>
      <c r="M2711" s="1" t="str">
        <f>"河南省 洛阳市 西工区 洛北街道"</f>
        <v>河南省 洛阳市 西工区 洛北街道</v>
      </c>
      <c r="N2711" s="1" t="str">
        <f t="shared" si="884"/>
        <v>凡华云仓-城南圆通-快手</v>
      </c>
      <c r="O2711" s="5" t="s">
        <v>2746</v>
      </c>
      <c r="P2711" s="6">
        <v>0.35</v>
      </c>
      <c r="Q2711" s="11">
        <v>2.2999999999999998</v>
      </c>
      <c r="R2711" s="11"/>
      <c r="S2711" s="11"/>
      <c r="T2711" s="11"/>
      <c r="U2711" s="11">
        <f t="shared" si="889"/>
        <v>2.2999999999999998</v>
      </c>
      <c r="W2711">
        <v>2.5</v>
      </c>
      <c r="X2711" s="1" t="s">
        <v>80</v>
      </c>
    </row>
    <row r="2712" spans="1:24" x14ac:dyDescent="0.25">
      <c r="A2712" s="1" t="str">
        <f t="shared" si="890"/>
        <v>卡卡杜-凤凰仓</v>
      </c>
      <c r="B2712" s="1" t="str">
        <f>"CK2024102639"</f>
        <v>CK2024102639</v>
      </c>
      <c r="C2712" s="1" t="str">
        <f>"DD2024102617700"</f>
        <v>DD2024102617700</v>
      </c>
      <c r="D2712" s="1" t="str">
        <f>"CK202410269551"</f>
        <v>CK202410269551</v>
      </c>
      <c r="E2712" s="1" t="str">
        <f>"2429901708024330"</f>
        <v>2429901708024330</v>
      </c>
      <c r="F2712" s="1" t="str">
        <f t="shared" si="891"/>
        <v>花都四部-凤凰仓</v>
      </c>
      <c r="G2712" s="1" t="str">
        <f t="shared" si="883"/>
        <v>卡卡杜佳旺专卖店（快手店）</v>
      </c>
      <c r="H2712" s="1" t="str">
        <f t="shared" si="892"/>
        <v>正常订单</v>
      </c>
      <c r="I2712" s="1" t="str">
        <f t="shared" si="893"/>
        <v>已发货</v>
      </c>
      <c r="J2712" s="1" t="str">
        <f t="shared" si="897"/>
        <v>3</v>
      </c>
      <c r="K2712" s="1">
        <v>2</v>
      </c>
      <c r="L2712" s="1" t="s">
        <v>30</v>
      </c>
      <c r="M2712" s="1" t="str">
        <f>"山东省 潍坊市 潍坊滨海经济技术开发区 大家洼街道"</f>
        <v>山东省 潍坊市 潍坊滨海经济技术开发区 大家洼街道</v>
      </c>
      <c r="N2712" s="1" t="str">
        <f t="shared" si="884"/>
        <v>凡华云仓-城南圆通-快手</v>
      </c>
      <c r="O2712" s="5" t="s">
        <v>2747</v>
      </c>
      <c r="P2712" s="6">
        <v>0.35</v>
      </c>
      <c r="Q2712" s="11">
        <v>2.2999999999999998</v>
      </c>
      <c r="R2712" s="11"/>
      <c r="S2712" s="11"/>
      <c r="T2712" s="11"/>
      <c r="U2712" s="11">
        <f t="shared" si="889"/>
        <v>2.2999999999999998</v>
      </c>
      <c r="W2712">
        <v>2.5</v>
      </c>
      <c r="X2712" s="1" t="s">
        <v>30</v>
      </c>
    </row>
    <row r="2713" spans="1:24" x14ac:dyDescent="0.25">
      <c r="A2713" s="1" t="str">
        <f t="shared" si="890"/>
        <v>卡卡杜-凤凰仓</v>
      </c>
      <c r="B2713" s="1" t="str">
        <f>"CK2024102640"</f>
        <v>CK2024102640</v>
      </c>
      <c r="C2713" s="1" t="str">
        <f>"DD2024102617699"</f>
        <v>DD2024102617699</v>
      </c>
      <c r="D2713" s="1" t="str">
        <f>"CK202410269550"</f>
        <v>CK202410269550</v>
      </c>
      <c r="E2713" s="1" t="str">
        <f>"2429901723192940"</f>
        <v>2429901723192940</v>
      </c>
      <c r="F2713" s="1" t="str">
        <f t="shared" si="891"/>
        <v>花都四部-凤凰仓</v>
      </c>
      <c r="G2713" s="1" t="str">
        <f t="shared" si="883"/>
        <v>卡卡杜佳旺专卖店（快手店）</v>
      </c>
      <c r="H2713" s="1" t="str">
        <f t="shared" si="892"/>
        <v>正常订单</v>
      </c>
      <c r="I2713" s="1" t="str">
        <f t="shared" si="893"/>
        <v>已发货</v>
      </c>
      <c r="J2713" s="1" t="str">
        <f t="shared" si="897"/>
        <v>3</v>
      </c>
      <c r="K2713" s="1">
        <v>2</v>
      </c>
      <c r="L2713" s="1" t="s">
        <v>1099</v>
      </c>
      <c r="M2713" s="1" t="str">
        <f>"重庆市 重庆市 渝北区 玉峰山镇"</f>
        <v>重庆市 重庆市 渝北区 玉峰山镇</v>
      </c>
      <c r="N2713" s="1" t="str">
        <f t="shared" si="884"/>
        <v>凡华云仓-城南圆通-快手</v>
      </c>
      <c r="O2713" s="5" t="s">
        <v>2748</v>
      </c>
      <c r="P2713" s="6">
        <v>0.35</v>
      </c>
      <c r="Q2713" s="11">
        <v>2.2999999999999998</v>
      </c>
      <c r="R2713" s="11"/>
      <c r="S2713" s="11"/>
      <c r="T2713" s="11"/>
      <c r="U2713" s="11">
        <f t="shared" si="889"/>
        <v>2.2999999999999998</v>
      </c>
      <c r="W2713">
        <v>2.5</v>
      </c>
      <c r="X2713" s="1" t="s">
        <v>1099</v>
      </c>
    </row>
    <row r="2714" spans="1:24" x14ac:dyDescent="0.25">
      <c r="A2714" s="1" t="str">
        <f t="shared" si="890"/>
        <v>卡卡杜-凤凰仓</v>
      </c>
      <c r="B2714" s="1" t="str">
        <f>"CK2024102642"</f>
        <v>CK2024102642</v>
      </c>
      <c r="C2714" s="1" t="str">
        <f>"DD2024102617702"</f>
        <v>DD2024102617702</v>
      </c>
      <c r="D2714" s="1" t="str">
        <f>"CK202410269549"</f>
        <v>CK202410269549</v>
      </c>
      <c r="E2714" s="1" t="str">
        <f>"2429902022739928"</f>
        <v>2429902022739928</v>
      </c>
      <c r="F2714" s="1" t="str">
        <f t="shared" si="891"/>
        <v>花都四部-凤凰仓</v>
      </c>
      <c r="G2714" s="1" t="str">
        <f t="shared" si="883"/>
        <v>卡卡杜佳旺专卖店（快手店）</v>
      </c>
      <c r="H2714" s="1" t="str">
        <f t="shared" si="892"/>
        <v>正常订单</v>
      </c>
      <c r="I2714" s="1" t="str">
        <f t="shared" si="893"/>
        <v>已发货</v>
      </c>
      <c r="J2714" s="1" t="str">
        <f t="shared" si="897"/>
        <v>3</v>
      </c>
      <c r="K2714" s="1">
        <v>2</v>
      </c>
      <c r="L2714" s="1" t="s">
        <v>22</v>
      </c>
      <c r="M2714" s="1" t="str">
        <f>"江西省 上饶市 广丰区 芦林街道"</f>
        <v>江西省 上饶市 广丰区 芦林街道</v>
      </c>
      <c r="N2714" s="1" t="str">
        <f t="shared" si="884"/>
        <v>凡华云仓-城南圆通-快手</v>
      </c>
      <c r="O2714" s="5" t="s">
        <v>2749</v>
      </c>
      <c r="P2714" s="6">
        <v>0.35</v>
      </c>
      <c r="Q2714" s="11">
        <v>2.2999999999999998</v>
      </c>
      <c r="R2714" s="11"/>
      <c r="S2714" s="11"/>
      <c r="T2714" s="11"/>
      <c r="U2714" s="11">
        <f t="shared" si="889"/>
        <v>2.2999999999999998</v>
      </c>
      <c r="W2714">
        <v>2.5</v>
      </c>
      <c r="X2714" s="1" t="s">
        <v>22</v>
      </c>
    </row>
    <row r="2715" spans="1:24" x14ac:dyDescent="0.25">
      <c r="A2715" s="1" t="str">
        <f t="shared" si="890"/>
        <v>卡卡杜-凤凰仓</v>
      </c>
      <c r="B2715" s="1" t="str">
        <f>"CK2024102677"</f>
        <v>CK2024102677</v>
      </c>
      <c r="C2715" s="1" t="str">
        <f>"DD2024102617763"</f>
        <v>DD2024102617763</v>
      </c>
      <c r="D2715" s="1" t="str">
        <f>"CK202410269548"</f>
        <v>CK202410269548</v>
      </c>
      <c r="E2715" s="1" t="str">
        <f>"2429901951393585"</f>
        <v>2429901951393585</v>
      </c>
      <c r="F2715" s="1" t="str">
        <f t="shared" si="891"/>
        <v>花都四部-凤凰仓</v>
      </c>
      <c r="G2715" s="1" t="str">
        <f t="shared" si="883"/>
        <v>卡卡杜佳旺专卖店（快手店）</v>
      </c>
      <c r="H2715" s="1" t="str">
        <f t="shared" si="892"/>
        <v>正常订单</v>
      </c>
      <c r="I2715" s="1" t="str">
        <f t="shared" si="893"/>
        <v>已发货</v>
      </c>
      <c r="J2715" s="1" t="str">
        <f>"5"</f>
        <v>5</v>
      </c>
      <c r="K2715" s="1">
        <v>2</v>
      </c>
      <c r="L2715" s="1" t="s">
        <v>96</v>
      </c>
      <c r="M2715" s="1" t="str">
        <f>"广西壮族自治区 南宁市 兴宁区 五塘镇"</f>
        <v>广西壮族自治区 南宁市 兴宁区 五塘镇</v>
      </c>
      <c r="N2715" s="1" t="str">
        <f t="shared" si="884"/>
        <v>凡华云仓-城南圆通-快手</v>
      </c>
      <c r="O2715" s="5" t="s">
        <v>2750</v>
      </c>
      <c r="P2715" s="6">
        <v>0.59</v>
      </c>
      <c r="Q2715" s="11">
        <f>CEILING(P2715-0.5,0.1)*10*0.15+2.3</f>
        <v>2.4499999999999997</v>
      </c>
      <c r="R2715" s="11"/>
      <c r="S2715" s="11"/>
      <c r="T2715" s="11"/>
      <c r="U2715" s="11">
        <f t="shared" si="889"/>
        <v>2.4499999999999997</v>
      </c>
      <c r="V2715" t="s">
        <v>15</v>
      </c>
      <c r="W2715">
        <v>2.4500000000000002</v>
      </c>
      <c r="X2715" s="1" t="s">
        <v>96</v>
      </c>
    </row>
    <row r="2716" spans="1:24" x14ac:dyDescent="0.25">
      <c r="A2716" s="1" t="str">
        <f t="shared" si="890"/>
        <v>卡卡杜-凤凰仓</v>
      </c>
      <c r="B2716" s="1" t="str">
        <f>"CK2024102644"</f>
        <v>CK2024102644</v>
      </c>
      <c r="C2716" s="1" t="str">
        <f>"DD2024102617704"</f>
        <v>DD2024102617704</v>
      </c>
      <c r="D2716" s="1" t="str">
        <f>"CK202410269547"</f>
        <v>CK202410269547</v>
      </c>
      <c r="E2716" s="1" t="str">
        <f>"2429902506320289"</f>
        <v>2429902506320289</v>
      </c>
      <c r="F2716" s="1" t="str">
        <f t="shared" si="891"/>
        <v>花都四部-凤凰仓</v>
      </c>
      <c r="G2716" s="1" t="str">
        <f t="shared" si="883"/>
        <v>卡卡杜佳旺专卖店（快手店）</v>
      </c>
      <c r="H2716" s="1" t="str">
        <f t="shared" si="892"/>
        <v>正常订单</v>
      </c>
      <c r="I2716" s="1" t="str">
        <f t="shared" si="893"/>
        <v>已发货</v>
      </c>
      <c r="J2716" s="1" t="str">
        <f t="shared" ref="J2716:J2721" si="898">"3"</f>
        <v>3</v>
      </c>
      <c r="K2716" s="1">
        <v>2</v>
      </c>
      <c r="L2716" s="1" t="s">
        <v>80</v>
      </c>
      <c r="M2716" s="1" t="str">
        <f>"河南省 洛阳市 嵩县 闫庄镇"</f>
        <v>河南省 洛阳市 嵩县 闫庄镇</v>
      </c>
      <c r="N2716" s="1" t="str">
        <f t="shared" si="884"/>
        <v>凡华云仓-城南圆通-快手</v>
      </c>
      <c r="O2716" s="5" t="s">
        <v>2751</v>
      </c>
      <c r="P2716" s="6">
        <v>0.35</v>
      </c>
      <c r="Q2716" s="11">
        <v>2.2999999999999998</v>
      </c>
      <c r="R2716" s="11"/>
      <c r="S2716" s="11"/>
      <c r="T2716" s="11"/>
      <c r="U2716" s="11">
        <f t="shared" si="889"/>
        <v>2.2999999999999998</v>
      </c>
      <c r="W2716">
        <v>2.5</v>
      </c>
      <c r="X2716" s="1" t="s">
        <v>80</v>
      </c>
    </row>
    <row r="2717" spans="1:24" x14ac:dyDescent="0.25">
      <c r="A2717" s="1" t="str">
        <f t="shared" si="890"/>
        <v>卡卡杜-凤凰仓</v>
      </c>
      <c r="B2717" s="1" t="str">
        <f>"CK2024102645"</f>
        <v>CK2024102645</v>
      </c>
      <c r="C2717" s="1" t="str">
        <f>"DD2024102617703"</f>
        <v>DD2024102617703</v>
      </c>
      <c r="D2717" s="1" t="str">
        <f>"CK202410269546"</f>
        <v>CK202410269546</v>
      </c>
      <c r="E2717" s="1" t="str">
        <f>"2429902188186993"</f>
        <v>2429902188186993</v>
      </c>
      <c r="F2717" s="1" t="str">
        <f t="shared" si="891"/>
        <v>花都四部-凤凰仓</v>
      </c>
      <c r="G2717" s="1" t="str">
        <f t="shared" si="883"/>
        <v>卡卡杜佳旺专卖店（快手店）</v>
      </c>
      <c r="H2717" s="1" t="str">
        <f t="shared" si="892"/>
        <v>正常订单</v>
      </c>
      <c r="I2717" s="1" t="str">
        <f t="shared" si="893"/>
        <v>已发货</v>
      </c>
      <c r="J2717" s="1" t="str">
        <f t="shared" si="898"/>
        <v>3</v>
      </c>
      <c r="K2717" s="1">
        <v>2</v>
      </c>
      <c r="L2717" s="1" t="s">
        <v>1099</v>
      </c>
      <c r="M2717" s="1" t="str">
        <f>"重庆市 重庆市 万州区 双河口街道"</f>
        <v>重庆市 重庆市 万州区 双河口街道</v>
      </c>
      <c r="N2717" s="1" t="str">
        <f t="shared" si="884"/>
        <v>凡华云仓-城南圆通-快手</v>
      </c>
      <c r="O2717" s="5" t="s">
        <v>2752</v>
      </c>
      <c r="P2717" s="6">
        <v>0.35</v>
      </c>
      <c r="Q2717" s="11">
        <v>2.2999999999999998</v>
      </c>
      <c r="R2717" s="11"/>
      <c r="S2717" s="11"/>
      <c r="T2717" s="11"/>
      <c r="U2717" s="11">
        <f t="shared" si="889"/>
        <v>2.2999999999999998</v>
      </c>
      <c r="W2717">
        <v>2.5</v>
      </c>
      <c r="X2717" s="1" t="s">
        <v>1099</v>
      </c>
    </row>
    <row r="2718" spans="1:24" x14ac:dyDescent="0.25">
      <c r="A2718" s="1" t="str">
        <f t="shared" si="890"/>
        <v>卡卡杜-凤凰仓</v>
      </c>
      <c r="B2718" s="1" t="str">
        <f>"CK2024102646"</f>
        <v>CK2024102646</v>
      </c>
      <c r="C2718" s="1" t="str">
        <f>"DD2024102617706"</f>
        <v>DD2024102617706</v>
      </c>
      <c r="D2718" s="1" t="str">
        <f>"CK202410269545"</f>
        <v>CK202410269545</v>
      </c>
      <c r="E2718" s="1" t="str">
        <f>"2429901710274355"</f>
        <v>2429901710274355</v>
      </c>
      <c r="F2718" s="1" t="str">
        <f t="shared" si="891"/>
        <v>花都四部-凤凰仓</v>
      </c>
      <c r="G2718" s="1" t="str">
        <f t="shared" si="883"/>
        <v>卡卡杜佳旺专卖店（快手店）</v>
      </c>
      <c r="H2718" s="1" t="str">
        <f t="shared" si="892"/>
        <v>正常订单</v>
      </c>
      <c r="I2718" s="1" t="str">
        <f t="shared" si="893"/>
        <v>已发货</v>
      </c>
      <c r="J2718" s="1" t="str">
        <f t="shared" si="898"/>
        <v>3</v>
      </c>
      <c r="K2718" s="1">
        <v>2</v>
      </c>
      <c r="L2718" s="1" t="s">
        <v>41</v>
      </c>
      <c r="M2718" s="1" t="str">
        <f>"湖北省 荆门市 钟祥市 郢中街道"</f>
        <v>湖北省 荆门市 钟祥市 郢中街道</v>
      </c>
      <c r="N2718" s="1" t="str">
        <f t="shared" si="884"/>
        <v>凡华云仓-城南圆通-快手</v>
      </c>
      <c r="O2718" s="5" t="s">
        <v>2753</v>
      </c>
      <c r="P2718" s="6">
        <v>0.35</v>
      </c>
      <c r="Q2718" s="11">
        <v>2.2999999999999998</v>
      </c>
      <c r="R2718" s="11"/>
      <c r="S2718" s="11"/>
      <c r="T2718" s="11"/>
      <c r="U2718" s="11">
        <f t="shared" si="889"/>
        <v>2.2999999999999998</v>
      </c>
      <c r="W2718">
        <v>2.5</v>
      </c>
      <c r="X2718" s="1" t="s">
        <v>41</v>
      </c>
    </row>
    <row r="2719" spans="1:24" x14ac:dyDescent="0.25">
      <c r="A2719" s="1" t="str">
        <f t="shared" si="890"/>
        <v>卡卡杜-凤凰仓</v>
      </c>
      <c r="B2719" s="1" t="str">
        <f>"CK2024102648"</f>
        <v>CK2024102648</v>
      </c>
      <c r="C2719" s="1" t="str">
        <f>"DD2024102617709"</f>
        <v>DD2024102617709</v>
      </c>
      <c r="D2719" s="1" t="str">
        <f>"CK202410269544"</f>
        <v>CK202410269544</v>
      </c>
      <c r="E2719" s="1" t="str">
        <f>"2429902506139159"</f>
        <v>2429902506139159</v>
      </c>
      <c r="F2719" s="1" t="str">
        <f t="shared" si="891"/>
        <v>花都四部-凤凰仓</v>
      </c>
      <c r="G2719" s="1" t="str">
        <f t="shared" si="883"/>
        <v>卡卡杜佳旺专卖店（快手店）</v>
      </c>
      <c r="H2719" s="1" t="str">
        <f t="shared" si="892"/>
        <v>正常订单</v>
      </c>
      <c r="I2719" s="1" t="str">
        <f t="shared" si="893"/>
        <v>已发货</v>
      </c>
      <c r="J2719" s="1" t="str">
        <f t="shared" si="898"/>
        <v>3</v>
      </c>
      <c r="K2719" s="1">
        <v>2</v>
      </c>
      <c r="L2719" s="1" t="s">
        <v>94</v>
      </c>
      <c r="M2719" s="1" t="str">
        <f>"湖南省 湘潭市 湘乡市 望春门街道"</f>
        <v>湖南省 湘潭市 湘乡市 望春门街道</v>
      </c>
      <c r="N2719" s="1" t="str">
        <f t="shared" si="884"/>
        <v>凡华云仓-城南圆通-快手</v>
      </c>
      <c r="O2719" s="5" t="s">
        <v>2754</v>
      </c>
      <c r="P2719" s="6">
        <v>0.35</v>
      </c>
      <c r="Q2719" s="11">
        <v>2.2999999999999998</v>
      </c>
      <c r="R2719" s="11"/>
      <c r="S2719" s="11"/>
      <c r="T2719" s="11"/>
      <c r="U2719" s="11">
        <f t="shared" si="889"/>
        <v>2.2999999999999998</v>
      </c>
      <c r="W2719">
        <v>2.5</v>
      </c>
      <c r="X2719" s="1" t="s">
        <v>94</v>
      </c>
    </row>
    <row r="2720" spans="1:24" x14ac:dyDescent="0.25">
      <c r="A2720" s="1" t="str">
        <f t="shared" si="890"/>
        <v>卡卡杜-凤凰仓</v>
      </c>
      <c r="B2720" s="1" t="str">
        <f>"CK2024102652"</f>
        <v>CK2024102652</v>
      </c>
      <c r="C2720" s="1" t="str">
        <f>"DD2024102617712"</f>
        <v>DD2024102617712</v>
      </c>
      <c r="D2720" s="1" t="str">
        <f>"CK202410269543"</f>
        <v>CK202410269543</v>
      </c>
      <c r="E2720" s="1" t="str">
        <f>"2429902344097503"</f>
        <v>2429902344097503</v>
      </c>
      <c r="F2720" s="1" t="str">
        <f t="shared" si="891"/>
        <v>花都四部-凤凰仓</v>
      </c>
      <c r="G2720" s="1" t="str">
        <f t="shared" si="883"/>
        <v>卡卡杜佳旺专卖店（快手店）</v>
      </c>
      <c r="H2720" s="1" t="str">
        <f t="shared" si="892"/>
        <v>正常订单</v>
      </c>
      <c r="I2720" s="1" t="str">
        <f t="shared" si="893"/>
        <v>已发货</v>
      </c>
      <c r="J2720" s="1" t="str">
        <f t="shared" si="898"/>
        <v>3</v>
      </c>
      <c r="K2720" s="1">
        <v>2</v>
      </c>
      <c r="L2720" s="1" t="s">
        <v>18</v>
      </c>
      <c r="M2720" s="1" t="str">
        <f>"广东省 深圳市 宝安区 沙井街道"</f>
        <v>广东省 深圳市 宝安区 沙井街道</v>
      </c>
      <c r="N2720" s="1" t="str">
        <f t="shared" si="884"/>
        <v>凡华云仓-城南圆通-快手</v>
      </c>
      <c r="O2720" s="5" t="s">
        <v>2755</v>
      </c>
      <c r="P2720" s="6">
        <v>0.35</v>
      </c>
      <c r="Q2720" s="11">
        <v>2.2999999999999998</v>
      </c>
      <c r="R2720" s="11"/>
      <c r="S2720" s="11"/>
      <c r="T2720" s="11"/>
      <c r="U2720" s="11">
        <f t="shared" si="889"/>
        <v>2.2999999999999998</v>
      </c>
      <c r="W2720">
        <v>2.5</v>
      </c>
      <c r="X2720" s="1" t="s">
        <v>18</v>
      </c>
    </row>
    <row r="2721" spans="1:24" x14ac:dyDescent="0.25">
      <c r="A2721" s="1" t="str">
        <f t="shared" si="890"/>
        <v>卡卡杜-凤凰仓</v>
      </c>
      <c r="B2721" s="1" t="str">
        <f>"CK2024102650"</f>
        <v>CK2024102650</v>
      </c>
      <c r="C2721" s="1" t="str">
        <f>"DD2024102617711"</f>
        <v>DD2024102617711</v>
      </c>
      <c r="D2721" s="1" t="str">
        <f>"CK202410269542"</f>
        <v>CK202410269542</v>
      </c>
      <c r="E2721" s="1" t="str">
        <f>"2429901951001677"</f>
        <v>2429901951001677</v>
      </c>
      <c r="F2721" s="1" t="str">
        <f t="shared" si="891"/>
        <v>花都四部-凤凰仓</v>
      </c>
      <c r="G2721" s="1" t="str">
        <f t="shared" si="883"/>
        <v>卡卡杜佳旺专卖店（快手店）</v>
      </c>
      <c r="H2721" s="1" t="str">
        <f t="shared" si="892"/>
        <v>正常订单</v>
      </c>
      <c r="I2721" s="1" t="str">
        <f t="shared" si="893"/>
        <v>已发货</v>
      </c>
      <c r="J2721" s="1" t="str">
        <f t="shared" si="898"/>
        <v>3</v>
      </c>
      <c r="K2721" s="1">
        <v>2</v>
      </c>
      <c r="L2721" s="1" t="s">
        <v>136</v>
      </c>
      <c r="M2721" s="1" t="str">
        <f>"北京市 北京市 通州区 永顺镇"</f>
        <v>北京市 北京市 通州区 永顺镇</v>
      </c>
      <c r="N2721" s="1" t="str">
        <f t="shared" si="884"/>
        <v>凡华云仓-城南圆通-快手</v>
      </c>
      <c r="O2721" s="5" t="s">
        <v>2756</v>
      </c>
      <c r="P2721" s="6">
        <v>0.35</v>
      </c>
      <c r="Q2721" s="11">
        <v>2.2999999999999998</v>
      </c>
      <c r="R2721" s="11"/>
      <c r="S2721" s="11"/>
      <c r="T2721" s="11"/>
      <c r="U2721" s="11">
        <f t="shared" si="889"/>
        <v>2.2999999999999998</v>
      </c>
      <c r="W2721">
        <v>2.5</v>
      </c>
      <c r="X2721" s="1" t="s">
        <v>136</v>
      </c>
    </row>
    <row r="2722" spans="1:24" x14ac:dyDescent="0.25">
      <c r="A2722" s="1" t="str">
        <f t="shared" si="890"/>
        <v>卡卡杜-凤凰仓</v>
      </c>
      <c r="B2722" s="1" t="str">
        <f>"CK2024102678"</f>
        <v>CK2024102678</v>
      </c>
      <c r="C2722" s="1" t="str">
        <f>"DD2024102617764"</f>
        <v>DD2024102617764</v>
      </c>
      <c r="D2722" s="1" t="str">
        <f>"CK202410269541"</f>
        <v>CK202410269541</v>
      </c>
      <c r="E2722" s="1" t="str">
        <f>"2429902347664396"</f>
        <v>2429902347664396</v>
      </c>
      <c r="F2722" s="1" t="str">
        <f t="shared" si="891"/>
        <v>花都四部-凤凰仓</v>
      </c>
      <c r="G2722" s="1" t="str">
        <f t="shared" si="883"/>
        <v>卡卡杜佳旺专卖店（快手店）</v>
      </c>
      <c r="H2722" s="1" t="str">
        <f t="shared" si="892"/>
        <v>正常订单</v>
      </c>
      <c r="I2722" s="1" t="str">
        <f t="shared" si="893"/>
        <v>已发货</v>
      </c>
      <c r="J2722" s="1" t="str">
        <f>"5"</f>
        <v>5</v>
      </c>
      <c r="K2722" s="1">
        <v>2</v>
      </c>
      <c r="L2722" s="1" t="s">
        <v>187</v>
      </c>
      <c r="M2722" s="1" t="str">
        <f>"吉林省 白城市 洮北区 海明街道"</f>
        <v>吉林省 白城市 洮北区 海明街道</v>
      </c>
      <c r="N2722" s="1" t="str">
        <f t="shared" si="884"/>
        <v>凡华云仓-城南圆通-快手</v>
      </c>
      <c r="O2722" s="5" t="s">
        <v>2757</v>
      </c>
      <c r="P2722" s="6">
        <v>0.59</v>
      </c>
      <c r="Q2722" s="11">
        <f>CEILING(P2722-0.5,0.1)*10*0.15+2.3</f>
        <v>2.4499999999999997</v>
      </c>
      <c r="R2722" s="11"/>
      <c r="S2722" s="11"/>
      <c r="T2722" s="11"/>
      <c r="U2722" s="11">
        <f t="shared" si="889"/>
        <v>2.4499999999999997</v>
      </c>
      <c r="V2722" t="s">
        <v>15</v>
      </c>
      <c r="W2722">
        <v>2.4500000000000002</v>
      </c>
      <c r="X2722" s="1" t="s">
        <v>187</v>
      </c>
    </row>
    <row r="2723" spans="1:24" x14ac:dyDescent="0.25">
      <c r="A2723" s="1" t="str">
        <f t="shared" si="890"/>
        <v>卡卡杜-凤凰仓</v>
      </c>
      <c r="B2723" s="1" t="str">
        <f>"CK2024102651"</f>
        <v>CK2024102651</v>
      </c>
      <c r="C2723" s="1" t="str">
        <f>"DD2024102617710"</f>
        <v>DD2024102617710</v>
      </c>
      <c r="D2723" s="1" t="str">
        <f>"CK202410269540"</f>
        <v>CK202410269540</v>
      </c>
      <c r="E2723" s="1" t="str">
        <f>"2429901864664144"</f>
        <v>2429901864664144</v>
      </c>
      <c r="F2723" s="1" t="str">
        <f t="shared" si="891"/>
        <v>花都四部-凤凰仓</v>
      </c>
      <c r="G2723" s="1" t="str">
        <f t="shared" si="883"/>
        <v>卡卡杜佳旺专卖店（快手店）</v>
      </c>
      <c r="H2723" s="1" t="str">
        <f t="shared" si="892"/>
        <v>正常订单</v>
      </c>
      <c r="I2723" s="1" t="str">
        <f t="shared" si="893"/>
        <v>已发货</v>
      </c>
      <c r="J2723" s="1" t="str">
        <f t="shared" ref="J2723:J2726" si="899">"3"</f>
        <v>3</v>
      </c>
      <c r="K2723" s="1">
        <v>2</v>
      </c>
      <c r="L2723" s="1" t="s">
        <v>32</v>
      </c>
      <c r="M2723" s="1" t="str">
        <f>"陕西省 西安市 长安区 韦曲街道"</f>
        <v>陕西省 西安市 长安区 韦曲街道</v>
      </c>
      <c r="N2723" s="1" t="str">
        <f t="shared" si="884"/>
        <v>凡华云仓-城南圆通-快手</v>
      </c>
      <c r="O2723" s="5" t="s">
        <v>2758</v>
      </c>
      <c r="P2723" s="6">
        <v>0.35</v>
      </c>
      <c r="Q2723" s="11">
        <v>2.2999999999999998</v>
      </c>
      <c r="R2723" s="11"/>
      <c r="S2723" s="11"/>
      <c r="T2723" s="11"/>
      <c r="U2723" s="11">
        <f t="shared" si="889"/>
        <v>2.2999999999999998</v>
      </c>
      <c r="W2723">
        <v>2.5</v>
      </c>
      <c r="X2723" s="1" t="s">
        <v>32</v>
      </c>
    </row>
    <row r="2724" spans="1:24" x14ac:dyDescent="0.25">
      <c r="A2724" s="1" t="str">
        <f t="shared" si="890"/>
        <v>卡卡杜-凤凰仓</v>
      </c>
      <c r="B2724" s="1" t="str">
        <f>"CK2024102654"</f>
        <v>CK2024102654</v>
      </c>
      <c r="C2724" s="1" t="str">
        <f>"DD2024102617715"</f>
        <v>DD2024102617715</v>
      </c>
      <c r="D2724" s="1" t="str">
        <f>"CK202410269539"</f>
        <v>CK202410269539</v>
      </c>
      <c r="E2724" s="1" t="str">
        <f>"2429902263690042"</f>
        <v>2429902263690042</v>
      </c>
      <c r="F2724" s="1" t="str">
        <f t="shared" si="891"/>
        <v>花都四部-凤凰仓</v>
      </c>
      <c r="G2724" s="1" t="str">
        <f t="shared" si="883"/>
        <v>卡卡杜佳旺专卖店（快手店）</v>
      </c>
      <c r="H2724" s="1" t="str">
        <f t="shared" si="892"/>
        <v>正常订单</v>
      </c>
      <c r="I2724" s="1" t="str">
        <f t="shared" si="893"/>
        <v>已发货</v>
      </c>
      <c r="J2724" s="1" t="str">
        <f t="shared" si="899"/>
        <v>3</v>
      </c>
      <c r="K2724" s="1">
        <v>2</v>
      </c>
      <c r="L2724" s="1" t="s">
        <v>18</v>
      </c>
      <c r="M2724" s="1" t="str">
        <f>"广东省 深圳市 宝安区 沙井街道"</f>
        <v>广东省 深圳市 宝安区 沙井街道</v>
      </c>
      <c r="N2724" s="1" t="str">
        <f t="shared" si="884"/>
        <v>凡华云仓-城南圆通-快手</v>
      </c>
      <c r="O2724" s="5" t="s">
        <v>2759</v>
      </c>
      <c r="P2724" s="6">
        <v>0.35</v>
      </c>
      <c r="Q2724" s="11">
        <v>2.2999999999999998</v>
      </c>
      <c r="R2724" s="11"/>
      <c r="S2724" s="11"/>
      <c r="T2724" s="11"/>
      <c r="U2724" s="11">
        <f t="shared" si="889"/>
        <v>2.2999999999999998</v>
      </c>
      <c r="W2724">
        <v>2.5</v>
      </c>
      <c r="X2724" s="1" t="s">
        <v>18</v>
      </c>
    </row>
    <row r="2725" spans="1:24" x14ac:dyDescent="0.25">
      <c r="A2725" s="1" t="str">
        <f t="shared" si="890"/>
        <v>卡卡杜-凤凰仓</v>
      </c>
      <c r="B2725" s="1" t="str">
        <f>"CK2024102660"</f>
        <v>CK2024102660</v>
      </c>
      <c r="C2725" s="1" t="str">
        <f>"DD2024102617746"</f>
        <v>DD2024102617746</v>
      </c>
      <c r="D2725" s="1" t="str">
        <f>"CK202410269538"</f>
        <v>CK202410269538</v>
      </c>
      <c r="E2725" s="1" t="str">
        <f>"2429902102307271"</f>
        <v>2429902102307271</v>
      </c>
      <c r="F2725" s="1" t="str">
        <f t="shared" si="891"/>
        <v>花都四部-凤凰仓</v>
      </c>
      <c r="G2725" s="1" t="str">
        <f t="shared" si="883"/>
        <v>卡卡杜佳旺专卖店（快手店）</v>
      </c>
      <c r="H2725" s="1" t="str">
        <f t="shared" si="892"/>
        <v>正常订单</v>
      </c>
      <c r="I2725" s="1" t="str">
        <f t="shared" si="893"/>
        <v>已发货</v>
      </c>
      <c r="J2725" s="1" t="str">
        <f t="shared" si="899"/>
        <v>3</v>
      </c>
      <c r="K2725" s="1">
        <v>2</v>
      </c>
      <c r="L2725" s="1" t="s">
        <v>32</v>
      </c>
      <c r="M2725" s="1" t="str">
        <f>"陕西省 咸阳市 秦都区 钓台街道"</f>
        <v>陕西省 咸阳市 秦都区 钓台街道</v>
      </c>
      <c r="N2725" s="1" t="str">
        <f t="shared" si="884"/>
        <v>凡华云仓-城南圆通-快手</v>
      </c>
      <c r="O2725" s="5" t="s">
        <v>2760</v>
      </c>
      <c r="P2725" s="6">
        <v>0.35</v>
      </c>
      <c r="Q2725" s="11">
        <v>2.2999999999999998</v>
      </c>
      <c r="R2725" s="11"/>
      <c r="S2725" s="11"/>
      <c r="T2725" s="11"/>
      <c r="U2725" s="11">
        <f t="shared" si="889"/>
        <v>2.2999999999999998</v>
      </c>
      <c r="W2725">
        <v>2.5</v>
      </c>
      <c r="X2725" s="1" t="s">
        <v>32</v>
      </c>
    </row>
    <row r="2726" spans="1:24" x14ac:dyDescent="0.25">
      <c r="A2726" s="1" t="str">
        <f t="shared" si="890"/>
        <v>卡卡杜-凤凰仓</v>
      </c>
      <c r="B2726" s="1" t="str">
        <f>"CK2024102656"</f>
        <v>CK2024102656</v>
      </c>
      <c r="C2726" s="1" t="str">
        <f>"DD2024102617716"</f>
        <v>DD2024102617716</v>
      </c>
      <c r="D2726" s="1" t="str">
        <f>"CK202410269537"</f>
        <v>CK202410269537</v>
      </c>
      <c r="E2726" s="1" t="str">
        <f>"2429901782296246"</f>
        <v>2429901782296246</v>
      </c>
      <c r="F2726" s="1" t="str">
        <f t="shared" si="891"/>
        <v>花都四部-凤凰仓</v>
      </c>
      <c r="G2726" s="1" t="str">
        <f t="shared" si="883"/>
        <v>卡卡杜佳旺专卖店（快手店）</v>
      </c>
      <c r="H2726" s="1" t="str">
        <f t="shared" si="892"/>
        <v>正常订单</v>
      </c>
      <c r="I2726" s="1" t="str">
        <f t="shared" si="893"/>
        <v>已发货</v>
      </c>
      <c r="J2726" s="1" t="str">
        <f t="shared" si="899"/>
        <v>3</v>
      </c>
      <c r="K2726" s="1">
        <v>2</v>
      </c>
      <c r="L2726" s="1" t="s">
        <v>18</v>
      </c>
      <c r="M2726" s="1" t="str">
        <f>"广东省 江门市 蓬江区 棠下镇"</f>
        <v>广东省 江门市 蓬江区 棠下镇</v>
      </c>
      <c r="N2726" s="1" t="str">
        <f t="shared" si="884"/>
        <v>凡华云仓-城南圆通-快手</v>
      </c>
      <c r="O2726" s="5" t="s">
        <v>2761</v>
      </c>
      <c r="P2726" s="6">
        <v>0.35</v>
      </c>
      <c r="Q2726" s="11">
        <v>2.2999999999999998</v>
      </c>
      <c r="R2726" s="11"/>
      <c r="S2726" s="11"/>
      <c r="T2726" s="11"/>
      <c r="U2726" s="11">
        <f t="shared" si="889"/>
        <v>2.2999999999999998</v>
      </c>
      <c r="W2726">
        <v>2.5</v>
      </c>
      <c r="X2726" s="1" t="s">
        <v>18</v>
      </c>
    </row>
    <row r="2727" spans="1:24" x14ac:dyDescent="0.25">
      <c r="A2727" s="1" t="str">
        <f t="shared" si="890"/>
        <v>卡卡杜-凤凰仓</v>
      </c>
      <c r="B2727" s="1" t="str">
        <f>"CK2024102679"</f>
        <v>CK2024102679</v>
      </c>
      <c r="C2727" s="1" t="str">
        <f>"DD2024102617765"</f>
        <v>DD2024102617765</v>
      </c>
      <c r="D2727" s="1" t="str">
        <f>"CK202410269536"</f>
        <v>CK202410269536</v>
      </c>
      <c r="E2727" s="1" t="str">
        <f>"2429902512274897"</f>
        <v>2429902512274897</v>
      </c>
      <c r="F2727" s="1" t="str">
        <f t="shared" si="891"/>
        <v>花都四部-凤凰仓</v>
      </c>
      <c r="G2727" s="1" t="str">
        <f t="shared" si="883"/>
        <v>卡卡杜佳旺专卖店（快手店）</v>
      </c>
      <c r="H2727" s="1" t="str">
        <f t="shared" si="892"/>
        <v>正常订单</v>
      </c>
      <c r="I2727" s="1" t="str">
        <f t="shared" si="893"/>
        <v>已发货</v>
      </c>
      <c r="J2727" s="1" t="str">
        <f>"5"</f>
        <v>5</v>
      </c>
      <c r="K2727" s="1">
        <v>2</v>
      </c>
      <c r="L2727" s="1" t="s">
        <v>36</v>
      </c>
      <c r="M2727" s="1" t="str">
        <f>"安徽省 安庆市 望江县 望江县经济开发区"</f>
        <v>安徽省 安庆市 望江县 望江县经济开发区</v>
      </c>
      <c r="N2727" s="1" t="str">
        <f t="shared" si="884"/>
        <v>凡华云仓-城南圆通-快手</v>
      </c>
      <c r="O2727" s="5" t="s">
        <v>2762</v>
      </c>
      <c r="P2727" s="6">
        <v>0.59</v>
      </c>
      <c r="Q2727" s="11">
        <f>CEILING(P2727-0.5,0.1)*10*0.15+2.3</f>
        <v>2.4499999999999997</v>
      </c>
      <c r="R2727" s="11"/>
      <c r="S2727" s="11"/>
      <c r="T2727" s="11"/>
      <c r="U2727" s="11">
        <f t="shared" si="889"/>
        <v>2.4499999999999997</v>
      </c>
      <c r="V2727" t="s">
        <v>15</v>
      </c>
      <c r="W2727">
        <v>2.4500000000000002</v>
      </c>
      <c r="X2727" s="1" t="s">
        <v>36</v>
      </c>
    </row>
    <row r="2728" spans="1:24" x14ac:dyDescent="0.25">
      <c r="A2728" s="1" t="str">
        <f t="shared" si="890"/>
        <v>卡卡杜-凤凰仓</v>
      </c>
      <c r="B2728" s="1" t="str">
        <f>"CK2024102657"</f>
        <v>CK2024102657</v>
      </c>
      <c r="C2728" s="1" t="str">
        <f>"DD2024102617717"</f>
        <v>DD2024102617717</v>
      </c>
      <c r="D2728" s="1" t="str">
        <f>"CK202410269535"</f>
        <v>CK202410269535</v>
      </c>
      <c r="E2728" s="1" t="str">
        <f>"2429902426593905"</f>
        <v>2429902426593905</v>
      </c>
      <c r="F2728" s="1" t="str">
        <f t="shared" si="891"/>
        <v>花都四部-凤凰仓</v>
      </c>
      <c r="G2728" s="1" t="str">
        <f t="shared" si="883"/>
        <v>卡卡杜佳旺专卖店（快手店）</v>
      </c>
      <c r="H2728" s="1" t="str">
        <f t="shared" si="892"/>
        <v>正常订单</v>
      </c>
      <c r="I2728" s="1" t="str">
        <f t="shared" si="893"/>
        <v>已发货</v>
      </c>
      <c r="J2728" s="1" t="str">
        <f t="shared" ref="J2728:J2746" si="900">"3"</f>
        <v>3</v>
      </c>
      <c r="K2728" s="1">
        <v>2</v>
      </c>
      <c r="L2728" s="1" t="s">
        <v>41</v>
      </c>
      <c r="M2728" s="1" t="str">
        <f>"湖北省 武汉市 新洲区 仓埠街道"</f>
        <v>湖北省 武汉市 新洲区 仓埠街道</v>
      </c>
      <c r="N2728" s="1" t="str">
        <f t="shared" si="884"/>
        <v>凡华云仓-城南圆通-快手</v>
      </c>
      <c r="O2728" s="5" t="s">
        <v>2763</v>
      </c>
      <c r="P2728" s="6">
        <v>0.35</v>
      </c>
      <c r="Q2728" s="11">
        <v>2.2999999999999998</v>
      </c>
      <c r="R2728" s="11"/>
      <c r="S2728" s="11"/>
      <c r="T2728" s="11"/>
      <c r="U2728" s="11">
        <f t="shared" si="889"/>
        <v>2.2999999999999998</v>
      </c>
      <c r="W2728">
        <v>2.5</v>
      </c>
      <c r="X2728" s="1" t="s">
        <v>41</v>
      </c>
    </row>
    <row r="2729" spans="1:24" x14ac:dyDescent="0.25">
      <c r="A2729" s="1" t="str">
        <f t="shared" si="890"/>
        <v>卡卡杜-凤凰仓</v>
      </c>
      <c r="B2729" s="1" t="str">
        <f>"CK2024102659"</f>
        <v>CK2024102659</v>
      </c>
      <c r="C2729" s="1" t="str">
        <f>"DD2024102617719"</f>
        <v>DD2024102617719</v>
      </c>
      <c r="D2729" s="1" t="str">
        <f>"CK202410269534"</f>
        <v>CK202410269534</v>
      </c>
      <c r="E2729" s="1" t="str">
        <f>"2429902029072900"</f>
        <v>2429902029072900</v>
      </c>
      <c r="F2729" s="1" t="str">
        <f t="shared" si="891"/>
        <v>花都四部-凤凰仓</v>
      </c>
      <c r="G2729" s="1" t="str">
        <f t="shared" si="883"/>
        <v>卡卡杜佳旺专卖店（快手店）</v>
      </c>
      <c r="H2729" s="1" t="str">
        <f t="shared" si="892"/>
        <v>正常订单</v>
      </c>
      <c r="I2729" s="1" t="str">
        <f t="shared" si="893"/>
        <v>已发货</v>
      </c>
      <c r="J2729" s="1" t="str">
        <f t="shared" si="900"/>
        <v>3</v>
      </c>
      <c r="K2729" s="1">
        <v>2</v>
      </c>
      <c r="L2729" s="1" t="s">
        <v>66</v>
      </c>
      <c r="M2729" s="1" t="str">
        <f>"内蒙古自治区 呼和浩特市 赛罕区 金桥经济技术开发区"</f>
        <v>内蒙古自治区 呼和浩特市 赛罕区 金桥经济技术开发区</v>
      </c>
      <c r="N2729" s="1" t="str">
        <f t="shared" si="884"/>
        <v>凡华云仓-城南圆通-快手</v>
      </c>
      <c r="O2729" s="5" t="s">
        <v>2764</v>
      </c>
      <c r="P2729" s="6">
        <v>0.35</v>
      </c>
      <c r="Q2729" s="11">
        <v>2.2999999999999998</v>
      </c>
      <c r="R2729" s="11"/>
      <c r="S2729" s="11"/>
      <c r="T2729" s="11"/>
      <c r="U2729" s="11">
        <f t="shared" si="889"/>
        <v>2.2999999999999998</v>
      </c>
      <c r="W2729">
        <v>2.5</v>
      </c>
      <c r="X2729" s="1" t="s">
        <v>66</v>
      </c>
    </row>
    <row r="2730" spans="1:24" x14ac:dyDescent="0.25">
      <c r="A2730" s="1" t="str">
        <f t="shared" si="890"/>
        <v>卡卡杜-凤凰仓</v>
      </c>
      <c r="B2730" s="1" t="str">
        <f>"CK2024102683"</f>
        <v>CK2024102683</v>
      </c>
      <c r="C2730" s="1" t="str">
        <f>"DD2024102617769"</f>
        <v>DD2024102617769</v>
      </c>
      <c r="D2730" s="1" t="str">
        <f>"CK202410269533"</f>
        <v>CK202410269533</v>
      </c>
      <c r="E2730" s="1" t="str">
        <f>"6935473247645603038"</f>
        <v>6935473247645603038</v>
      </c>
      <c r="F2730" s="1" t="str">
        <f t="shared" si="891"/>
        <v>花都四部-凤凰仓</v>
      </c>
      <c r="G2730" s="1" t="str">
        <f t="shared" ref="G2730:G2745" si="901">"卡卡杜个人护理店（抖店）"</f>
        <v>卡卡杜个人护理店（抖店）</v>
      </c>
      <c r="H2730" s="1" t="str">
        <f t="shared" si="892"/>
        <v>正常订单</v>
      </c>
      <c r="I2730" s="1" t="str">
        <f t="shared" si="893"/>
        <v>已发货</v>
      </c>
      <c r="J2730" s="1" t="str">
        <f t="shared" si="900"/>
        <v>3</v>
      </c>
      <c r="K2730" s="1">
        <v>3</v>
      </c>
      <c r="L2730" s="1" t="s">
        <v>18</v>
      </c>
      <c r="M2730" s="1" t="str">
        <f>"广东省 深圳市 南山区 南山街道"</f>
        <v>广东省 深圳市 南山区 南山街道</v>
      </c>
      <c r="N2730" s="1" t="str">
        <f t="shared" ref="N2730:N2745" si="902">"凡华云仓-城南圆通-抖音"</f>
        <v>凡华云仓-城南圆通-抖音</v>
      </c>
      <c r="O2730" s="5" t="s">
        <v>2765</v>
      </c>
      <c r="P2730" s="6">
        <v>0.34</v>
      </c>
      <c r="Q2730" s="11">
        <v>2.2999999999999998</v>
      </c>
      <c r="R2730" s="11"/>
      <c r="S2730" s="11"/>
      <c r="T2730" s="11"/>
      <c r="U2730" s="11">
        <f t="shared" si="889"/>
        <v>2.2999999999999998</v>
      </c>
      <c r="W2730">
        <v>2.5</v>
      </c>
      <c r="X2730" s="1" t="s">
        <v>18</v>
      </c>
    </row>
    <row r="2731" spans="1:24" x14ac:dyDescent="0.25">
      <c r="A2731" s="1" t="str">
        <f t="shared" si="890"/>
        <v>卡卡杜-凤凰仓</v>
      </c>
      <c r="B2731" s="1" t="str">
        <f>"CK2024102626"</f>
        <v>CK2024102626</v>
      </c>
      <c r="C2731" s="1" t="str">
        <f>"DD2024102617686"</f>
        <v>DD2024102617686</v>
      </c>
      <c r="D2731" s="1" t="str">
        <f>"CK202410269532"</f>
        <v>CK202410269532</v>
      </c>
      <c r="E2731" s="1" t="str">
        <f>"6935466734561794008"</f>
        <v>6935466734561794008</v>
      </c>
      <c r="F2731" s="1" t="str">
        <f t="shared" si="891"/>
        <v>花都四部-凤凰仓</v>
      </c>
      <c r="G2731" s="1" t="str">
        <f t="shared" si="901"/>
        <v>卡卡杜个人护理店（抖店）</v>
      </c>
      <c r="H2731" s="1" t="str">
        <f t="shared" si="892"/>
        <v>正常订单</v>
      </c>
      <c r="I2731" s="1" t="str">
        <f t="shared" si="893"/>
        <v>已发货</v>
      </c>
      <c r="J2731" s="1" t="str">
        <f t="shared" si="900"/>
        <v>3</v>
      </c>
      <c r="K2731" s="1">
        <v>2</v>
      </c>
      <c r="L2731" s="1" t="s">
        <v>13</v>
      </c>
      <c r="M2731" s="1" t="str">
        <f>"江苏省 徐州市 云龙区 彭城街道"</f>
        <v>江苏省 徐州市 云龙区 彭城街道</v>
      </c>
      <c r="N2731" s="1" t="str">
        <f t="shared" si="902"/>
        <v>凡华云仓-城南圆通-抖音</v>
      </c>
      <c r="O2731" s="5" t="s">
        <v>2766</v>
      </c>
      <c r="P2731" s="6">
        <v>0.35</v>
      </c>
      <c r="Q2731" s="11">
        <v>2.2999999999999998</v>
      </c>
      <c r="R2731" s="11"/>
      <c r="S2731" s="11"/>
      <c r="T2731" s="11"/>
      <c r="U2731" s="11">
        <f t="shared" si="889"/>
        <v>2.2999999999999998</v>
      </c>
      <c r="W2731">
        <v>2.5</v>
      </c>
      <c r="X2731" s="1" t="s">
        <v>13</v>
      </c>
    </row>
    <row r="2732" spans="1:24" x14ac:dyDescent="0.25">
      <c r="A2732" s="1" t="str">
        <f t="shared" si="890"/>
        <v>卡卡杜-凤凰仓</v>
      </c>
      <c r="B2732" s="1" t="str">
        <f>"CK2024102630"</f>
        <v>CK2024102630</v>
      </c>
      <c r="C2732" s="1" t="str">
        <f>"DD2024102617690"</f>
        <v>DD2024102617690</v>
      </c>
      <c r="D2732" s="1" t="str">
        <f>"CK202410269531"</f>
        <v>CK202410269531</v>
      </c>
      <c r="E2732" s="1" t="str">
        <f>"6935466618651023268"</f>
        <v>6935466618651023268</v>
      </c>
      <c r="F2732" s="1" t="str">
        <f t="shared" si="891"/>
        <v>花都四部-凤凰仓</v>
      </c>
      <c r="G2732" s="1" t="str">
        <f t="shared" si="901"/>
        <v>卡卡杜个人护理店（抖店）</v>
      </c>
      <c r="H2732" s="1" t="str">
        <f t="shared" si="892"/>
        <v>正常订单</v>
      </c>
      <c r="I2732" s="1" t="str">
        <f t="shared" si="893"/>
        <v>已发货</v>
      </c>
      <c r="J2732" s="1" t="str">
        <f t="shared" si="900"/>
        <v>3</v>
      </c>
      <c r="K2732" s="1">
        <v>2</v>
      </c>
      <c r="L2732" s="1" t="s">
        <v>36</v>
      </c>
      <c r="M2732" s="1" t="str">
        <f>"安徽省 宿州市 埇桥区 马鞍山现代产业园区"</f>
        <v>安徽省 宿州市 埇桥区 马鞍山现代产业园区</v>
      </c>
      <c r="N2732" s="1" t="str">
        <f t="shared" si="902"/>
        <v>凡华云仓-城南圆通-抖音</v>
      </c>
      <c r="O2732" s="5" t="s">
        <v>2767</v>
      </c>
      <c r="P2732" s="6">
        <v>0.35</v>
      </c>
      <c r="Q2732" s="11">
        <v>2.2999999999999998</v>
      </c>
      <c r="R2732" s="11"/>
      <c r="S2732" s="11"/>
      <c r="T2732" s="11"/>
      <c r="U2732" s="11">
        <f t="shared" si="889"/>
        <v>2.2999999999999998</v>
      </c>
      <c r="W2732">
        <v>2.5</v>
      </c>
      <c r="X2732" s="1" t="s">
        <v>36</v>
      </c>
    </row>
    <row r="2733" spans="1:24" x14ac:dyDescent="0.25">
      <c r="A2733" s="1" t="str">
        <f t="shared" si="890"/>
        <v>卡卡杜-凤凰仓</v>
      </c>
      <c r="B2733" s="1" t="str">
        <f>"CK20241026148"</f>
        <v>CK20241026148</v>
      </c>
      <c r="C2733" s="1" t="str">
        <f>"DD2024102617857"</f>
        <v>DD2024102617857</v>
      </c>
      <c r="D2733" s="1" t="str">
        <f>"CK202410269530"</f>
        <v>CK202410269530</v>
      </c>
      <c r="E2733" s="1" t="str">
        <f>"6935464015034259379"</f>
        <v>6935464015034259379</v>
      </c>
      <c r="F2733" s="1" t="str">
        <f t="shared" si="891"/>
        <v>花都四部-凤凰仓</v>
      </c>
      <c r="G2733" s="1" t="str">
        <f t="shared" si="901"/>
        <v>卡卡杜个人护理店（抖店）</v>
      </c>
      <c r="H2733" s="1" t="str">
        <f t="shared" si="892"/>
        <v>正常订单</v>
      </c>
      <c r="I2733" s="1" t="str">
        <f t="shared" si="893"/>
        <v>已发货</v>
      </c>
      <c r="J2733" s="1" t="str">
        <f t="shared" si="900"/>
        <v>3</v>
      </c>
      <c r="K2733" s="1">
        <v>3</v>
      </c>
      <c r="L2733" s="1" t="s">
        <v>96</v>
      </c>
      <c r="M2733" s="1" t="str">
        <f>"广西壮族自治区 北海市 海城区 驿马街道"</f>
        <v>广西壮族自治区 北海市 海城区 驿马街道</v>
      </c>
      <c r="N2733" s="1" t="str">
        <f t="shared" si="902"/>
        <v>凡华云仓-城南圆通-抖音</v>
      </c>
      <c r="O2733" s="5" t="s">
        <v>2768</v>
      </c>
      <c r="P2733" s="6">
        <v>0.34</v>
      </c>
      <c r="Q2733" s="11">
        <v>2.2999999999999998</v>
      </c>
      <c r="R2733" s="11"/>
      <c r="S2733" s="11"/>
      <c r="T2733" s="11"/>
      <c r="U2733" s="11">
        <f t="shared" si="889"/>
        <v>2.2999999999999998</v>
      </c>
      <c r="W2733">
        <v>2.5</v>
      </c>
      <c r="X2733" s="1" t="s">
        <v>96</v>
      </c>
    </row>
    <row r="2734" spans="1:24" x14ac:dyDescent="0.25">
      <c r="A2734" s="1" t="str">
        <f t="shared" si="890"/>
        <v>卡卡杜-凤凰仓</v>
      </c>
      <c r="B2734" s="1" t="str">
        <f>"CK2024102632"</f>
        <v>CK2024102632</v>
      </c>
      <c r="C2734" s="1" t="str">
        <f>"DD2024102617691"</f>
        <v>DD2024102617691</v>
      </c>
      <c r="D2734" s="1" t="str">
        <f>"CK202410269529"</f>
        <v>CK202410269529</v>
      </c>
      <c r="E2734" s="1" t="str">
        <f>"6935457028018410838"</f>
        <v>6935457028018410838</v>
      </c>
      <c r="F2734" s="1" t="str">
        <f t="shared" si="891"/>
        <v>花都四部-凤凰仓</v>
      </c>
      <c r="G2734" s="1" t="str">
        <f t="shared" si="901"/>
        <v>卡卡杜个人护理店（抖店）</v>
      </c>
      <c r="H2734" s="1" t="str">
        <f t="shared" si="892"/>
        <v>正常订单</v>
      </c>
      <c r="I2734" s="1" t="str">
        <f t="shared" si="893"/>
        <v>已发货</v>
      </c>
      <c r="J2734" s="1" t="str">
        <f t="shared" si="900"/>
        <v>3</v>
      </c>
      <c r="K2734" s="1">
        <v>2</v>
      </c>
      <c r="L2734" s="1" t="s">
        <v>20</v>
      </c>
      <c r="M2734" s="1" t="str">
        <f>"浙江省 宁波市 鄞州区 五乡镇"</f>
        <v>浙江省 宁波市 鄞州区 五乡镇</v>
      </c>
      <c r="N2734" s="1" t="str">
        <f t="shared" si="902"/>
        <v>凡华云仓-城南圆通-抖音</v>
      </c>
      <c r="O2734" s="5" t="s">
        <v>2769</v>
      </c>
      <c r="P2734" s="6">
        <v>0.35</v>
      </c>
      <c r="Q2734" s="11">
        <v>2.2999999999999998</v>
      </c>
      <c r="R2734" s="11"/>
      <c r="S2734" s="11"/>
      <c r="T2734" s="11"/>
      <c r="U2734" s="11">
        <f t="shared" si="889"/>
        <v>2.2999999999999998</v>
      </c>
      <c r="W2734">
        <v>2.5</v>
      </c>
      <c r="X2734" s="1" t="s">
        <v>20</v>
      </c>
    </row>
    <row r="2735" spans="1:24" x14ac:dyDescent="0.25">
      <c r="A2735" s="1" t="str">
        <f t="shared" si="890"/>
        <v>卡卡杜-凤凰仓</v>
      </c>
      <c r="B2735" s="1" t="str">
        <f>"CK2024102635"</f>
        <v>CK2024102635</v>
      </c>
      <c r="C2735" s="1" t="str">
        <f>"DD2024102617695"</f>
        <v>DD2024102617695</v>
      </c>
      <c r="D2735" s="1" t="str">
        <f>"CK202410269528"</f>
        <v>CK202410269528</v>
      </c>
      <c r="E2735" s="1" t="str">
        <f>"6935466419336516907"</f>
        <v>6935466419336516907</v>
      </c>
      <c r="F2735" s="1" t="str">
        <f t="shared" si="891"/>
        <v>花都四部-凤凰仓</v>
      </c>
      <c r="G2735" s="1" t="str">
        <f t="shared" si="901"/>
        <v>卡卡杜个人护理店（抖店）</v>
      </c>
      <c r="H2735" s="1" t="str">
        <f t="shared" si="892"/>
        <v>正常订单</v>
      </c>
      <c r="I2735" s="1" t="str">
        <f t="shared" si="893"/>
        <v>已发货</v>
      </c>
      <c r="J2735" s="1" t="str">
        <f t="shared" si="900"/>
        <v>3</v>
      </c>
      <c r="K2735" s="1">
        <v>2</v>
      </c>
      <c r="L2735" s="1" t="s">
        <v>60</v>
      </c>
      <c r="M2735" s="1" t="str">
        <f>"云南省 保山市 腾冲市 西源街道"</f>
        <v>云南省 保山市 腾冲市 西源街道</v>
      </c>
      <c r="N2735" s="1" t="str">
        <f t="shared" si="902"/>
        <v>凡华云仓-城南圆通-抖音</v>
      </c>
      <c r="O2735" s="5" t="s">
        <v>2770</v>
      </c>
      <c r="P2735" s="6">
        <v>0.35</v>
      </c>
      <c r="Q2735" s="11">
        <v>2.2999999999999998</v>
      </c>
      <c r="R2735" s="11"/>
      <c r="S2735" s="11"/>
      <c r="T2735" s="11"/>
      <c r="U2735" s="11">
        <f t="shared" si="889"/>
        <v>2.2999999999999998</v>
      </c>
      <c r="W2735">
        <v>2.5</v>
      </c>
      <c r="X2735" s="1" t="s">
        <v>60</v>
      </c>
    </row>
    <row r="2736" spans="1:24" x14ac:dyDescent="0.25">
      <c r="A2736" s="1" t="str">
        <f t="shared" si="890"/>
        <v>卡卡杜-凤凰仓</v>
      </c>
      <c r="B2736" s="1" t="str">
        <f>"CK2024102637"</f>
        <v>CK2024102637</v>
      </c>
      <c r="C2736" s="1" t="str">
        <f>"DD2024102617697"</f>
        <v>DD2024102617697</v>
      </c>
      <c r="D2736" s="1" t="str">
        <f>"CK202410269527"</f>
        <v>CK202410269527</v>
      </c>
      <c r="E2736" s="1" t="str">
        <f>"6935476879970604090"</f>
        <v>6935476879970604090</v>
      </c>
      <c r="F2736" s="1" t="str">
        <f t="shared" si="891"/>
        <v>花都四部-凤凰仓</v>
      </c>
      <c r="G2736" s="1" t="str">
        <f t="shared" si="901"/>
        <v>卡卡杜个人护理店（抖店）</v>
      </c>
      <c r="H2736" s="1" t="str">
        <f t="shared" si="892"/>
        <v>正常订单</v>
      </c>
      <c r="I2736" s="1" t="str">
        <f t="shared" si="893"/>
        <v>已发货</v>
      </c>
      <c r="J2736" s="1" t="str">
        <f t="shared" si="900"/>
        <v>3</v>
      </c>
      <c r="K2736" s="1">
        <v>2</v>
      </c>
      <c r="L2736" s="1" t="s">
        <v>20</v>
      </c>
      <c r="M2736" s="1" t="str">
        <f>"浙江省 金华市 浦江县 白马镇"</f>
        <v>浙江省 金华市 浦江县 白马镇</v>
      </c>
      <c r="N2736" s="1" t="str">
        <f t="shared" si="902"/>
        <v>凡华云仓-城南圆通-抖音</v>
      </c>
      <c r="O2736" s="5" t="s">
        <v>2771</v>
      </c>
      <c r="P2736" s="6">
        <v>0.35</v>
      </c>
      <c r="Q2736" s="11">
        <v>2.2999999999999998</v>
      </c>
      <c r="R2736" s="11"/>
      <c r="S2736" s="11"/>
      <c r="T2736" s="11"/>
      <c r="U2736" s="11">
        <f t="shared" si="889"/>
        <v>2.2999999999999998</v>
      </c>
      <c r="W2736">
        <v>2.5</v>
      </c>
      <c r="X2736" s="1" t="s">
        <v>20</v>
      </c>
    </row>
    <row r="2737" spans="1:24" x14ac:dyDescent="0.25">
      <c r="A2737" s="1" t="str">
        <f t="shared" si="890"/>
        <v>卡卡杜-凤凰仓</v>
      </c>
      <c r="B2737" s="1" t="str">
        <f>"CK20241026150"</f>
        <v>CK20241026150</v>
      </c>
      <c r="C2737" s="1" t="str">
        <f>"DD2024102617855"</f>
        <v>DD2024102617855</v>
      </c>
      <c r="D2737" s="1" t="str">
        <f>"CK202410269526"</f>
        <v>CK202410269526</v>
      </c>
      <c r="E2737" s="1" t="str">
        <f>"6935481585938273419"</f>
        <v>6935481585938273419</v>
      </c>
      <c r="F2737" s="1" t="str">
        <f t="shared" si="891"/>
        <v>花都四部-凤凰仓</v>
      </c>
      <c r="G2737" s="1" t="str">
        <f t="shared" si="901"/>
        <v>卡卡杜个人护理店（抖店）</v>
      </c>
      <c r="H2737" s="1" t="str">
        <f t="shared" si="892"/>
        <v>正常订单</v>
      </c>
      <c r="I2737" s="1" t="str">
        <f t="shared" si="893"/>
        <v>已发货</v>
      </c>
      <c r="J2737" s="1" t="str">
        <f t="shared" si="900"/>
        <v>3</v>
      </c>
      <c r="K2737" s="1">
        <v>3</v>
      </c>
      <c r="L2737" s="1" t="s">
        <v>44</v>
      </c>
      <c r="M2737" s="1" t="str">
        <f>"海南省 陵水黎族自治县 陵水黎族自治县 英州镇"</f>
        <v>海南省 陵水黎族自治县 陵水黎族自治县 英州镇</v>
      </c>
      <c r="N2737" s="1" t="str">
        <f t="shared" si="902"/>
        <v>凡华云仓-城南圆通-抖音</v>
      </c>
      <c r="O2737" s="5" t="s">
        <v>2772</v>
      </c>
      <c r="P2737" s="6">
        <v>0.34</v>
      </c>
      <c r="Q2737" s="11">
        <v>2.2999999999999998</v>
      </c>
      <c r="R2737" s="11"/>
      <c r="S2737" s="11"/>
      <c r="T2737" s="11"/>
      <c r="U2737" s="11">
        <f t="shared" si="889"/>
        <v>2.2999999999999998</v>
      </c>
      <c r="W2737">
        <v>2.5</v>
      </c>
      <c r="X2737" s="1" t="s">
        <v>44</v>
      </c>
    </row>
    <row r="2738" spans="1:24" x14ac:dyDescent="0.25">
      <c r="A2738" s="1" t="str">
        <f t="shared" si="890"/>
        <v>卡卡杜-凤凰仓</v>
      </c>
      <c r="B2738" s="1" t="str">
        <f>"CK2024102638"</f>
        <v>CK2024102638</v>
      </c>
      <c r="C2738" s="1" t="str">
        <f>"DD2024102617698"</f>
        <v>DD2024102617698</v>
      </c>
      <c r="D2738" s="1" t="str">
        <f>"CK202410269525"</f>
        <v>CK202410269525</v>
      </c>
      <c r="E2738" s="1" t="str">
        <f>"6935468251588072594"</f>
        <v>6935468251588072594</v>
      </c>
      <c r="F2738" s="1" t="str">
        <f t="shared" si="891"/>
        <v>花都四部-凤凰仓</v>
      </c>
      <c r="G2738" s="1" t="str">
        <f t="shared" si="901"/>
        <v>卡卡杜个人护理店（抖店）</v>
      </c>
      <c r="H2738" s="1" t="str">
        <f t="shared" si="892"/>
        <v>正常订单</v>
      </c>
      <c r="I2738" s="1" t="str">
        <f t="shared" si="893"/>
        <v>已发货</v>
      </c>
      <c r="J2738" s="1" t="str">
        <f t="shared" si="900"/>
        <v>3</v>
      </c>
      <c r="K2738" s="1">
        <v>2</v>
      </c>
      <c r="L2738" s="1" t="s">
        <v>16</v>
      </c>
      <c r="M2738" s="1" t="str">
        <f>"河北省 石家庄市 鹿泉区 大河镇"</f>
        <v>河北省 石家庄市 鹿泉区 大河镇</v>
      </c>
      <c r="N2738" s="1" t="str">
        <f t="shared" si="902"/>
        <v>凡华云仓-城南圆通-抖音</v>
      </c>
      <c r="O2738" s="5" t="s">
        <v>2773</v>
      </c>
      <c r="P2738" s="6">
        <v>0.35</v>
      </c>
      <c r="Q2738" s="11">
        <v>2.2999999999999998</v>
      </c>
      <c r="R2738" s="11"/>
      <c r="S2738" s="11"/>
      <c r="T2738" s="11"/>
      <c r="U2738" s="11">
        <f t="shared" si="889"/>
        <v>2.2999999999999998</v>
      </c>
      <c r="W2738">
        <v>2.5</v>
      </c>
      <c r="X2738" s="1" t="s">
        <v>16</v>
      </c>
    </row>
    <row r="2739" spans="1:24" x14ac:dyDescent="0.25">
      <c r="A2739" s="1" t="str">
        <f t="shared" si="890"/>
        <v>卡卡杜-凤凰仓</v>
      </c>
      <c r="B2739" s="1" t="str">
        <f>"CK2024102641"</f>
        <v>CK2024102641</v>
      </c>
      <c r="C2739" s="1" t="str">
        <f>"DD2024102617701"</f>
        <v>DD2024102617701</v>
      </c>
      <c r="D2739" s="1" t="str">
        <f>"CK202410269524"</f>
        <v>CK202410269524</v>
      </c>
      <c r="E2739" s="1" t="str">
        <f>"6935483760037009145"</f>
        <v>6935483760037009145</v>
      </c>
      <c r="F2739" s="1" t="str">
        <f t="shared" si="891"/>
        <v>花都四部-凤凰仓</v>
      </c>
      <c r="G2739" s="1" t="str">
        <f t="shared" si="901"/>
        <v>卡卡杜个人护理店（抖店）</v>
      </c>
      <c r="H2739" s="1" t="str">
        <f t="shared" si="892"/>
        <v>正常订单</v>
      </c>
      <c r="I2739" s="1" t="str">
        <f t="shared" si="893"/>
        <v>已发货</v>
      </c>
      <c r="J2739" s="1" t="str">
        <f t="shared" si="900"/>
        <v>3</v>
      </c>
      <c r="K2739" s="1">
        <v>2</v>
      </c>
      <c r="L2739" s="1" t="s">
        <v>16</v>
      </c>
      <c r="M2739" s="1" t="str">
        <f>"河北省 保定市 竞秀区 颉庄乡"</f>
        <v>河北省 保定市 竞秀区 颉庄乡</v>
      </c>
      <c r="N2739" s="1" t="str">
        <f t="shared" si="902"/>
        <v>凡华云仓-城南圆通-抖音</v>
      </c>
      <c r="O2739" s="5" t="s">
        <v>2774</v>
      </c>
      <c r="P2739" s="6">
        <v>0.35</v>
      </c>
      <c r="Q2739" s="11">
        <v>2.2999999999999998</v>
      </c>
      <c r="R2739" s="11"/>
      <c r="S2739" s="11"/>
      <c r="T2739" s="11"/>
      <c r="U2739" s="11">
        <f t="shared" si="889"/>
        <v>2.2999999999999998</v>
      </c>
      <c r="W2739">
        <v>2.5</v>
      </c>
      <c r="X2739" s="1" t="s">
        <v>16</v>
      </c>
    </row>
    <row r="2740" spans="1:24" x14ac:dyDescent="0.25">
      <c r="A2740" s="1" t="str">
        <f t="shared" si="890"/>
        <v>卡卡杜-凤凰仓</v>
      </c>
      <c r="B2740" s="1" t="str">
        <f>"CK2024102643"</f>
        <v>CK2024102643</v>
      </c>
      <c r="C2740" s="1" t="str">
        <f>"DD2024102617705"</f>
        <v>DD2024102617705</v>
      </c>
      <c r="D2740" s="1" t="str">
        <f>"CK202410269523"</f>
        <v>CK202410269523</v>
      </c>
      <c r="E2740" s="1" t="str">
        <f>"6935468183260108183"</f>
        <v>6935468183260108183</v>
      </c>
      <c r="F2740" s="1" t="str">
        <f t="shared" si="891"/>
        <v>花都四部-凤凰仓</v>
      </c>
      <c r="G2740" s="1" t="str">
        <f t="shared" si="901"/>
        <v>卡卡杜个人护理店（抖店）</v>
      </c>
      <c r="H2740" s="1" t="str">
        <f t="shared" si="892"/>
        <v>正常订单</v>
      </c>
      <c r="I2740" s="1" t="str">
        <f t="shared" si="893"/>
        <v>已发货</v>
      </c>
      <c r="J2740" s="1" t="str">
        <f t="shared" si="900"/>
        <v>3</v>
      </c>
      <c r="K2740" s="1">
        <v>2</v>
      </c>
      <c r="L2740" s="1" t="s">
        <v>80</v>
      </c>
      <c r="M2740" s="1" t="str">
        <f>"河南省 信阳市 潢川县 定城街道"</f>
        <v>河南省 信阳市 潢川县 定城街道</v>
      </c>
      <c r="N2740" s="1" t="str">
        <f t="shared" si="902"/>
        <v>凡华云仓-城南圆通-抖音</v>
      </c>
      <c r="O2740" s="5" t="s">
        <v>2775</v>
      </c>
      <c r="P2740" s="6">
        <v>0.35</v>
      </c>
      <c r="Q2740" s="11">
        <v>2.2999999999999998</v>
      </c>
      <c r="R2740" s="11"/>
      <c r="S2740" s="11"/>
      <c r="T2740" s="11"/>
      <c r="U2740" s="11">
        <f t="shared" si="889"/>
        <v>2.2999999999999998</v>
      </c>
      <c r="W2740">
        <v>2.5</v>
      </c>
      <c r="X2740" s="1" t="s">
        <v>80</v>
      </c>
    </row>
    <row r="2741" spans="1:24" x14ac:dyDescent="0.25">
      <c r="A2741" s="1" t="str">
        <f t="shared" si="890"/>
        <v>卡卡杜-凤凰仓</v>
      </c>
      <c r="B2741" s="1" t="str">
        <f>"CK2024102647"</f>
        <v>CK2024102647</v>
      </c>
      <c r="C2741" s="1" t="str">
        <f>"DD2024102617707"</f>
        <v>DD2024102617707</v>
      </c>
      <c r="D2741" s="1" t="str">
        <f>"CK202410269522"</f>
        <v>CK202410269522</v>
      </c>
      <c r="E2741" s="1" t="str">
        <f>"6935459140930508762"</f>
        <v>6935459140930508762</v>
      </c>
      <c r="F2741" s="1" t="str">
        <f t="shared" si="891"/>
        <v>花都四部-凤凰仓</v>
      </c>
      <c r="G2741" s="1" t="str">
        <f t="shared" si="901"/>
        <v>卡卡杜个人护理店（抖店）</v>
      </c>
      <c r="H2741" s="1" t="str">
        <f t="shared" si="892"/>
        <v>正常订单</v>
      </c>
      <c r="I2741" s="1" t="str">
        <f t="shared" si="893"/>
        <v>已发货</v>
      </c>
      <c r="J2741" s="1" t="str">
        <f t="shared" si="900"/>
        <v>3</v>
      </c>
      <c r="K2741" s="1">
        <v>2</v>
      </c>
      <c r="L2741" s="1" t="s">
        <v>20</v>
      </c>
      <c r="M2741" s="1" t="str">
        <f>"浙江省 金华市 浦江县 白马镇"</f>
        <v>浙江省 金华市 浦江县 白马镇</v>
      </c>
      <c r="N2741" s="1" t="str">
        <f t="shared" si="902"/>
        <v>凡华云仓-城南圆通-抖音</v>
      </c>
      <c r="O2741" s="5" t="s">
        <v>2776</v>
      </c>
      <c r="P2741" s="6">
        <v>0.35</v>
      </c>
      <c r="Q2741" s="11">
        <v>2.2999999999999998</v>
      </c>
      <c r="R2741" s="11"/>
      <c r="S2741" s="11"/>
      <c r="T2741" s="11"/>
      <c r="U2741" s="11">
        <f t="shared" si="889"/>
        <v>2.2999999999999998</v>
      </c>
      <c r="W2741">
        <v>2.5</v>
      </c>
      <c r="X2741" s="1" t="s">
        <v>20</v>
      </c>
    </row>
    <row r="2742" spans="1:24" x14ac:dyDescent="0.25">
      <c r="A2742" s="1" t="str">
        <f t="shared" si="890"/>
        <v>卡卡杜-凤凰仓</v>
      </c>
      <c r="B2742" s="1" t="str">
        <f>"CK2024102649"</f>
        <v>CK2024102649</v>
      </c>
      <c r="C2742" s="1" t="str">
        <f>"DD2024102617708"</f>
        <v>DD2024102617708</v>
      </c>
      <c r="D2742" s="1" t="str">
        <f>"CK202410269521"</f>
        <v>CK202410269521</v>
      </c>
      <c r="E2742" s="1" t="str">
        <f>"6935466074672272873"</f>
        <v>6935466074672272873</v>
      </c>
      <c r="F2742" s="1" t="str">
        <f t="shared" si="891"/>
        <v>花都四部-凤凰仓</v>
      </c>
      <c r="G2742" s="1" t="str">
        <f t="shared" si="901"/>
        <v>卡卡杜个人护理店（抖店）</v>
      </c>
      <c r="H2742" s="1" t="str">
        <f t="shared" si="892"/>
        <v>正常订单</v>
      </c>
      <c r="I2742" s="1" t="str">
        <f t="shared" si="893"/>
        <v>已发货</v>
      </c>
      <c r="J2742" s="1" t="str">
        <f t="shared" si="900"/>
        <v>3</v>
      </c>
      <c r="K2742" s="1">
        <v>2</v>
      </c>
      <c r="L2742" s="1" t="s">
        <v>30</v>
      </c>
      <c r="M2742" s="1" t="str">
        <f>"山东省 济宁市 梁山县 梁山街道"</f>
        <v>山东省 济宁市 梁山县 梁山街道</v>
      </c>
      <c r="N2742" s="1" t="str">
        <f t="shared" si="902"/>
        <v>凡华云仓-城南圆通-抖音</v>
      </c>
      <c r="O2742" s="5" t="s">
        <v>2777</v>
      </c>
      <c r="P2742" s="6">
        <v>0.35</v>
      </c>
      <c r="Q2742" s="11">
        <v>2.2999999999999998</v>
      </c>
      <c r="R2742" s="11"/>
      <c r="S2742" s="11"/>
      <c r="T2742" s="11"/>
      <c r="U2742" s="11">
        <f t="shared" si="889"/>
        <v>2.2999999999999998</v>
      </c>
      <c r="W2742">
        <v>2.5</v>
      </c>
      <c r="X2742" s="1" t="s">
        <v>30</v>
      </c>
    </row>
    <row r="2743" spans="1:24" x14ac:dyDescent="0.25">
      <c r="A2743" s="1" t="str">
        <f t="shared" si="890"/>
        <v>卡卡杜-凤凰仓</v>
      </c>
      <c r="B2743" s="1" t="str">
        <f>"CK2024102653"</f>
        <v>CK2024102653</v>
      </c>
      <c r="C2743" s="1" t="str">
        <f>"DD2024102617713"</f>
        <v>DD2024102617713</v>
      </c>
      <c r="D2743" s="1" t="str">
        <f>"CK202410269520"</f>
        <v>CK202410269520</v>
      </c>
      <c r="E2743" s="1" t="str">
        <f>"6935481126726931841"</f>
        <v>6935481126726931841</v>
      </c>
      <c r="F2743" s="1" t="str">
        <f t="shared" si="891"/>
        <v>花都四部-凤凰仓</v>
      </c>
      <c r="G2743" s="1" t="str">
        <f t="shared" si="901"/>
        <v>卡卡杜个人护理店（抖店）</v>
      </c>
      <c r="H2743" s="1" t="str">
        <f t="shared" si="892"/>
        <v>正常订单</v>
      </c>
      <c r="I2743" s="1" t="str">
        <f t="shared" si="893"/>
        <v>已发货</v>
      </c>
      <c r="J2743" s="1" t="str">
        <f t="shared" si="900"/>
        <v>3</v>
      </c>
      <c r="K2743" s="1">
        <v>2</v>
      </c>
      <c r="L2743" s="1" t="s">
        <v>161</v>
      </c>
      <c r="M2743" s="1" t="str">
        <f>"四川省 南充市 顺庆区 舞凤街道"</f>
        <v>四川省 南充市 顺庆区 舞凤街道</v>
      </c>
      <c r="N2743" s="1" t="str">
        <f t="shared" si="902"/>
        <v>凡华云仓-城南圆通-抖音</v>
      </c>
      <c r="O2743" s="5" t="s">
        <v>2778</v>
      </c>
      <c r="P2743" s="6">
        <v>0.35</v>
      </c>
      <c r="Q2743" s="11">
        <v>2.2999999999999998</v>
      </c>
      <c r="R2743" s="11"/>
      <c r="S2743" s="11"/>
      <c r="T2743" s="11"/>
      <c r="U2743" s="11">
        <f t="shared" si="889"/>
        <v>2.2999999999999998</v>
      </c>
      <c r="W2743">
        <v>2.5</v>
      </c>
      <c r="X2743" s="1" t="s">
        <v>161</v>
      </c>
    </row>
    <row r="2744" spans="1:24" x14ac:dyDescent="0.25">
      <c r="A2744" s="1" t="str">
        <f t="shared" si="890"/>
        <v>卡卡杜-凤凰仓</v>
      </c>
      <c r="B2744" s="1" t="str">
        <f>"CK2024102655"</f>
        <v>CK2024102655</v>
      </c>
      <c r="C2744" s="1" t="str">
        <f>"DD2024102617714"</f>
        <v>DD2024102617714</v>
      </c>
      <c r="D2744" s="1" t="str">
        <f>"CK202410269519"</f>
        <v>CK202410269519</v>
      </c>
      <c r="E2744" s="1" t="str">
        <f>"6935478969191961989"</f>
        <v>6935478969191961989</v>
      </c>
      <c r="F2744" s="1" t="str">
        <f t="shared" si="891"/>
        <v>花都四部-凤凰仓</v>
      </c>
      <c r="G2744" s="1" t="str">
        <f t="shared" si="901"/>
        <v>卡卡杜个人护理店（抖店）</v>
      </c>
      <c r="H2744" s="1" t="str">
        <f t="shared" si="892"/>
        <v>正常订单</v>
      </c>
      <c r="I2744" s="1" t="str">
        <f t="shared" si="893"/>
        <v>已发货</v>
      </c>
      <c r="J2744" s="1" t="str">
        <f t="shared" si="900"/>
        <v>3</v>
      </c>
      <c r="K2744" s="1">
        <v>2</v>
      </c>
      <c r="L2744" s="1" t="s">
        <v>13</v>
      </c>
      <c r="M2744" s="1" t="str">
        <f>"江苏省 宿迁市 泗阳县 众兴街道"</f>
        <v>江苏省 宿迁市 泗阳县 众兴街道</v>
      </c>
      <c r="N2744" s="1" t="str">
        <f t="shared" si="902"/>
        <v>凡华云仓-城南圆通-抖音</v>
      </c>
      <c r="O2744" s="5" t="s">
        <v>2779</v>
      </c>
      <c r="P2744" s="6">
        <v>0.35</v>
      </c>
      <c r="Q2744" s="11">
        <v>2.2999999999999998</v>
      </c>
      <c r="R2744" s="11"/>
      <c r="S2744" s="11"/>
      <c r="T2744" s="11"/>
      <c r="U2744" s="11">
        <f t="shared" si="889"/>
        <v>2.2999999999999998</v>
      </c>
      <c r="W2744">
        <v>2.5</v>
      </c>
      <c r="X2744" s="1" t="s">
        <v>13</v>
      </c>
    </row>
    <row r="2745" spans="1:24" x14ac:dyDescent="0.25">
      <c r="A2745" s="1" t="str">
        <f t="shared" si="890"/>
        <v>卡卡杜-凤凰仓</v>
      </c>
      <c r="B2745" s="1" t="str">
        <f>"CK2024102658"</f>
        <v>CK2024102658</v>
      </c>
      <c r="C2745" s="1" t="str">
        <f>"DD2024102617718"</f>
        <v>DD2024102617718</v>
      </c>
      <c r="D2745" s="1" t="str">
        <f>"CK202410269518"</f>
        <v>CK202410269518</v>
      </c>
      <c r="E2745" s="1" t="str">
        <f>"6935452551564629664"</f>
        <v>6935452551564629664</v>
      </c>
      <c r="F2745" s="1" t="str">
        <f t="shared" si="891"/>
        <v>花都四部-凤凰仓</v>
      </c>
      <c r="G2745" s="1" t="str">
        <f t="shared" si="901"/>
        <v>卡卡杜个人护理店（抖店）</v>
      </c>
      <c r="H2745" s="1" t="str">
        <f t="shared" si="892"/>
        <v>正常订单</v>
      </c>
      <c r="I2745" s="1" t="str">
        <f t="shared" si="893"/>
        <v>已发货</v>
      </c>
      <c r="J2745" s="1" t="str">
        <f t="shared" si="900"/>
        <v>3</v>
      </c>
      <c r="K2745" s="1">
        <v>2</v>
      </c>
      <c r="L2745" s="1" t="s">
        <v>22</v>
      </c>
      <c r="M2745" s="1" t="str">
        <f>"江西省 抚州市 临川区 钟岭街道"</f>
        <v>江西省 抚州市 临川区 钟岭街道</v>
      </c>
      <c r="N2745" s="1" t="str">
        <f t="shared" si="902"/>
        <v>凡华云仓-城南圆通-抖音</v>
      </c>
      <c r="O2745" s="5" t="s">
        <v>2780</v>
      </c>
      <c r="P2745" s="6">
        <v>0.35</v>
      </c>
      <c r="Q2745" s="11">
        <v>2.2999999999999998</v>
      </c>
      <c r="R2745" s="11"/>
      <c r="S2745" s="11"/>
      <c r="T2745" s="11"/>
      <c r="U2745" s="11">
        <f t="shared" si="889"/>
        <v>2.2999999999999998</v>
      </c>
      <c r="W2745">
        <v>2.5</v>
      </c>
      <c r="X2745" s="1" t="s">
        <v>22</v>
      </c>
    </row>
    <row r="2746" spans="1:24" x14ac:dyDescent="0.25">
      <c r="A2746" s="1" t="str">
        <f t="shared" si="890"/>
        <v>卡卡杜-凤凰仓</v>
      </c>
      <c r="B2746" s="1" t="str">
        <f>"CK2024102512324"</f>
        <v>CK2024102512324</v>
      </c>
      <c r="C2746" s="1" t="str">
        <f>"DD2024102591955"</f>
        <v>DD2024102591955</v>
      </c>
      <c r="D2746" s="1" t="str">
        <f>"CK2024102591192"</f>
        <v>CK2024102591192</v>
      </c>
      <c r="E2746" s="1" t="str">
        <f>"3723555062309848320"</f>
        <v>3723555062309848320</v>
      </c>
      <c r="F2746" s="1" t="str">
        <f t="shared" si="891"/>
        <v>花都四部-凤凰仓</v>
      </c>
      <c r="G2746" s="1" t="str">
        <f>"卡卡杜企业店（视频号）"</f>
        <v>卡卡杜企业店（视频号）</v>
      </c>
      <c r="H2746" s="1" t="str">
        <f t="shared" si="892"/>
        <v>正常订单</v>
      </c>
      <c r="I2746" s="1" t="str">
        <f t="shared" si="893"/>
        <v>已发货</v>
      </c>
      <c r="J2746" s="1" t="str">
        <f t="shared" si="900"/>
        <v>3</v>
      </c>
      <c r="K2746" s="1">
        <v>3</v>
      </c>
      <c r="L2746" s="1" t="s">
        <v>18</v>
      </c>
      <c r="M2746" s="1" t="str">
        <f>"广东省 广州市 白云区 "</f>
        <v xml:space="preserve">广东省 广州市 白云区 </v>
      </c>
      <c r="N2746" s="1" t="str">
        <f>"凡华云仓-城南圆通-微信视频号"</f>
        <v>凡华云仓-城南圆通-微信视频号</v>
      </c>
      <c r="O2746" s="5" t="s">
        <v>2781</v>
      </c>
      <c r="P2746" s="6">
        <v>0.34</v>
      </c>
      <c r="Q2746" s="11">
        <v>2.2999999999999998</v>
      </c>
      <c r="R2746" s="11"/>
      <c r="S2746" s="11"/>
      <c r="T2746" s="11"/>
      <c r="U2746" s="11">
        <f t="shared" si="889"/>
        <v>2.2999999999999998</v>
      </c>
      <c r="W2746">
        <v>2.5</v>
      </c>
      <c r="X2746" s="1" t="s">
        <v>18</v>
      </c>
    </row>
    <row r="2747" spans="1:24" x14ac:dyDescent="0.25">
      <c r="A2747" s="1" t="str">
        <f t="shared" si="890"/>
        <v>卡卡杜-凤凰仓</v>
      </c>
      <c r="B2747" s="1" t="str">
        <f>"CK2024102317603"</f>
        <v>CK2024102317603</v>
      </c>
      <c r="C2747" s="1" t="str">
        <f>"DD2024102355686"</f>
        <v>DD2024102355686</v>
      </c>
      <c r="D2747" s="1" t="str">
        <f>"CK2024102347207"</f>
        <v>CK2024102347207</v>
      </c>
      <c r="E2747" s="1" t="str">
        <f>"KKD20241023YP002"</f>
        <v>KKD20241023YP002</v>
      </c>
      <c r="F2747" s="1" t="str">
        <f t="shared" si="891"/>
        <v>花都四部-凤凰仓</v>
      </c>
      <c r="G2747" s="1" t="str">
        <f>"卡卡杜全欣样品"</f>
        <v>卡卡杜全欣样品</v>
      </c>
      <c r="H2747" s="1" t="str">
        <f t="shared" si="892"/>
        <v>正常订单</v>
      </c>
      <c r="I2747" s="1" t="str">
        <f t="shared" si="893"/>
        <v>已发货</v>
      </c>
      <c r="J2747" s="1" t="str">
        <f>"5"</f>
        <v>5</v>
      </c>
      <c r="K2747" s="1">
        <v>4</v>
      </c>
      <c r="L2747" s="1" t="s">
        <v>105</v>
      </c>
      <c r="M2747" s="1" t="str">
        <f>"北京 北京市 顺义区 "</f>
        <v xml:space="preserve">北京 北京市 顺义区 </v>
      </c>
      <c r="N2747" s="1" t="str">
        <f>"凡华云仓-城南圆通-淘宝"</f>
        <v>凡华云仓-城南圆通-淘宝</v>
      </c>
      <c r="O2747" s="3" t="s">
        <v>2782</v>
      </c>
      <c r="P2747" s="6">
        <v>0.46</v>
      </c>
      <c r="Q2747" s="11">
        <v>2.2999999999999998</v>
      </c>
      <c r="R2747" s="11"/>
      <c r="S2747" s="11">
        <v>0.15</v>
      </c>
      <c r="T2747" s="11"/>
      <c r="U2747" s="11">
        <f t="shared" si="889"/>
        <v>2.4499999999999997</v>
      </c>
      <c r="W2747">
        <v>2.65</v>
      </c>
      <c r="X2747" s="1" t="s">
        <v>105</v>
      </c>
    </row>
    <row r="2748" spans="1:24" x14ac:dyDescent="0.25">
      <c r="A2748" s="1" t="str">
        <f t="shared" si="890"/>
        <v>卡卡杜-凤凰仓</v>
      </c>
      <c r="B2748" s="1" t="str">
        <f>"CK2024102512314"</f>
        <v>CK2024102512314</v>
      </c>
      <c r="C2748" s="1" t="str">
        <f>"DD2024102591948"</f>
        <v>DD2024102591948</v>
      </c>
      <c r="D2748" s="1" t="str">
        <f>"CK2024102591181"</f>
        <v>CK2024102591181</v>
      </c>
      <c r="E2748" s="1" t="str">
        <f>"KKD20241025YP007"</f>
        <v>KKD20241025YP007</v>
      </c>
      <c r="F2748" s="1" t="str">
        <f t="shared" si="891"/>
        <v>花都四部-凤凰仓</v>
      </c>
      <c r="G2748" s="1" t="str">
        <f>"卡卡杜全欣样品"</f>
        <v>卡卡杜全欣样品</v>
      </c>
      <c r="H2748" s="1" t="str">
        <f t="shared" si="892"/>
        <v>正常订单</v>
      </c>
      <c r="I2748" s="1" t="str">
        <f t="shared" si="893"/>
        <v>已发货</v>
      </c>
      <c r="J2748" s="1" t="str">
        <f>"15"</f>
        <v>15</v>
      </c>
      <c r="K2748" s="1">
        <v>10</v>
      </c>
      <c r="L2748" s="1" t="s">
        <v>18</v>
      </c>
      <c r="M2748" s="1" t="str">
        <f>"广东省 深圳市 宝安区 "</f>
        <v xml:space="preserve">广东省 深圳市 宝安区 </v>
      </c>
      <c r="N2748" s="1" t="str">
        <f>"凡华云仓-城南圆通-淘宝"</f>
        <v>凡华云仓-城南圆通-淘宝</v>
      </c>
      <c r="O2748" s="3" t="s">
        <v>2783</v>
      </c>
      <c r="P2748" s="6">
        <v>1.62</v>
      </c>
      <c r="Q2748" s="11">
        <f>CEILING(P2748-0.5,0.1)*10*0.15+2.3</f>
        <v>4.0999999999999996</v>
      </c>
      <c r="R2748" s="11">
        <f>(K2748-3)*0.1</f>
        <v>0.70000000000000007</v>
      </c>
      <c r="S2748" s="11">
        <v>0.15</v>
      </c>
      <c r="T2748" s="11"/>
      <c r="U2748" s="11">
        <f t="shared" si="889"/>
        <v>4.9499999999999993</v>
      </c>
      <c r="V2748" t="s">
        <v>15</v>
      </c>
      <c r="W2748">
        <v>4.95</v>
      </c>
      <c r="X2748" s="1" t="s">
        <v>18</v>
      </c>
    </row>
    <row r="2749" spans="1:24" x14ac:dyDescent="0.25">
      <c r="A2749" s="1" t="str">
        <f t="shared" si="890"/>
        <v>卡卡杜-凤凰仓</v>
      </c>
      <c r="B2749" s="1" t="str">
        <f>"CK2024102512322"</f>
        <v>CK2024102512322</v>
      </c>
      <c r="C2749" s="1" t="str">
        <f>"DD2024102591958"</f>
        <v>DD2024102591958</v>
      </c>
      <c r="D2749" s="1" t="str">
        <f>"CK2024102591179"</f>
        <v>CK2024102591179</v>
      </c>
      <c r="E2749" s="1" t="str">
        <f>"2429902180240346"</f>
        <v>2429902180240346</v>
      </c>
      <c r="F2749" s="1" t="str">
        <f t="shared" si="891"/>
        <v>花都四部-凤凰仓</v>
      </c>
      <c r="G2749" s="1" t="str">
        <f t="shared" ref="G2749:G2752" si="903">"卡卡杜佳旺专卖店（快手店）"</f>
        <v>卡卡杜佳旺专卖店（快手店）</v>
      </c>
      <c r="H2749" s="1" t="str">
        <f t="shared" si="892"/>
        <v>正常订单</v>
      </c>
      <c r="I2749" s="1" t="str">
        <f t="shared" si="893"/>
        <v>已发货</v>
      </c>
      <c r="J2749" s="1" t="str">
        <f t="shared" ref="J2749:J2754" si="904">"3"</f>
        <v>3</v>
      </c>
      <c r="K2749" s="1">
        <v>2</v>
      </c>
      <c r="L2749" s="1" t="s">
        <v>94</v>
      </c>
      <c r="M2749" s="1" t="str">
        <f>"湖南省 衡阳市 蒸湘区 蒸湘街道"</f>
        <v>湖南省 衡阳市 蒸湘区 蒸湘街道</v>
      </c>
      <c r="N2749" s="1" t="str">
        <f t="shared" ref="N2749:N2752" si="905">"凡华云仓-城南圆通-快手"</f>
        <v>凡华云仓-城南圆通-快手</v>
      </c>
      <c r="O2749" s="5" t="s">
        <v>2784</v>
      </c>
      <c r="P2749" s="6">
        <v>0.35</v>
      </c>
      <c r="Q2749" s="11">
        <v>2.2999999999999998</v>
      </c>
      <c r="R2749" s="11"/>
      <c r="S2749" s="11"/>
      <c r="T2749" s="11"/>
      <c r="U2749" s="11">
        <f t="shared" si="889"/>
        <v>2.2999999999999998</v>
      </c>
      <c r="W2749">
        <v>2.5</v>
      </c>
      <c r="X2749" s="1" t="s">
        <v>94</v>
      </c>
    </row>
    <row r="2750" spans="1:24" x14ac:dyDescent="0.25">
      <c r="A2750" s="1" t="str">
        <f t="shared" si="890"/>
        <v>卡卡杜-凤凰仓</v>
      </c>
      <c r="B2750" s="1" t="str">
        <f>"CK2024102512326"</f>
        <v>CK2024102512326</v>
      </c>
      <c r="C2750" s="1" t="str">
        <f>"DD2024102591959"</f>
        <v>DD2024102591959</v>
      </c>
      <c r="D2750" s="1" t="str">
        <f>"CK2024102591178"</f>
        <v>CK2024102591178</v>
      </c>
      <c r="E2750" s="1" t="str">
        <f>"2429901706274873"</f>
        <v>2429901706274873</v>
      </c>
      <c r="F2750" s="1" t="str">
        <f t="shared" si="891"/>
        <v>花都四部-凤凰仓</v>
      </c>
      <c r="G2750" s="1" t="str">
        <f t="shared" si="903"/>
        <v>卡卡杜佳旺专卖店（快手店）</v>
      </c>
      <c r="H2750" s="1" t="str">
        <f t="shared" si="892"/>
        <v>正常订单</v>
      </c>
      <c r="I2750" s="1" t="str">
        <f t="shared" si="893"/>
        <v>已发货</v>
      </c>
      <c r="J2750" s="1" t="str">
        <f t="shared" si="904"/>
        <v>3</v>
      </c>
      <c r="K2750" s="1">
        <v>2</v>
      </c>
      <c r="L2750" s="1" t="s">
        <v>136</v>
      </c>
      <c r="M2750" s="1" t="str">
        <f>"北京市 北京市 怀柔区 杨宋镇"</f>
        <v>北京市 北京市 怀柔区 杨宋镇</v>
      </c>
      <c r="N2750" s="1" t="str">
        <f t="shared" si="905"/>
        <v>凡华云仓-城南圆通-快手</v>
      </c>
      <c r="O2750" s="5" t="s">
        <v>2785</v>
      </c>
      <c r="P2750" s="6">
        <v>0.35</v>
      </c>
      <c r="Q2750" s="11">
        <v>2.2999999999999998</v>
      </c>
      <c r="R2750" s="11"/>
      <c r="S2750" s="11"/>
      <c r="T2750" s="11"/>
      <c r="U2750" s="11">
        <f t="shared" si="889"/>
        <v>2.2999999999999998</v>
      </c>
      <c r="W2750">
        <v>2.5</v>
      </c>
      <c r="X2750" s="1" t="s">
        <v>136</v>
      </c>
    </row>
    <row r="2751" spans="1:24" x14ac:dyDescent="0.25">
      <c r="A2751" s="1" t="str">
        <f t="shared" si="890"/>
        <v>卡卡杜-凤凰仓</v>
      </c>
      <c r="B2751" s="1" t="str">
        <f>"CK2024102512323"</f>
        <v>CK2024102512323</v>
      </c>
      <c r="C2751" s="1" t="str">
        <f>"DD2024102591954"</f>
        <v>DD2024102591954</v>
      </c>
      <c r="D2751" s="1" t="str">
        <f>"CK2024102591177"</f>
        <v>CK2024102591177</v>
      </c>
      <c r="E2751" s="1" t="str">
        <f>"2429902425088769"</f>
        <v>2429902425088769</v>
      </c>
      <c r="F2751" s="1" t="str">
        <f t="shared" si="891"/>
        <v>花都四部-凤凰仓</v>
      </c>
      <c r="G2751" s="1" t="str">
        <f t="shared" si="903"/>
        <v>卡卡杜佳旺专卖店（快手店）</v>
      </c>
      <c r="H2751" s="1" t="str">
        <f t="shared" si="892"/>
        <v>正常订单</v>
      </c>
      <c r="I2751" s="1" t="str">
        <f t="shared" si="893"/>
        <v>已发货</v>
      </c>
      <c r="J2751" s="1" t="str">
        <f>"5"</f>
        <v>5</v>
      </c>
      <c r="K2751" s="1">
        <v>2</v>
      </c>
      <c r="L2751" s="1" t="s">
        <v>20</v>
      </c>
      <c r="M2751" s="1" t="str">
        <f>"浙江省 台州市 玉环市 玉城街道"</f>
        <v>浙江省 台州市 玉环市 玉城街道</v>
      </c>
      <c r="N2751" s="1" t="str">
        <f t="shared" si="905"/>
        <v>凡华云仓-城南圆通-快手</v>
      </c>
      <c r="O2751" s="5" t="s">
        <v>2786</v>
      </c>
      <c r="P2751" s="6">
        <v>0.59</v>
      </c>
      <c r="Q2751" s="11">
        <f>CEILING(P2751-0.5,0.1)*10*0.15+2.3</f>
        <v>2.4499999999999997</v>
      </c>
      <c r="R2751" s="11"/>
      <c r="S2751" s="11"/>
      <c r="T2751" s="11"/>
      <c r="U2751" s="11">
        <f t="shared" si="889"/>
        <v>2.4499999999999997</v>
      </c>
      <c r="V2751" t="s">
        <v>15</v>
      </c>
      <c r="W2751">
        <v>2.4500000000000002</v>
      </c>
      <c r="X2751" s="1" t="s">
        <v>20</v>
      </c>
    </row>
    <row r="2752" spans="1:24" x14ac:dyDescent="0.25">
      <c r="A2752" s="1" t="str">
        <f t="shared" si="890"/>
        <v>卡卡杜-凤凰仓</v>
      </c>
      <c r="B2752" s="1" t="str">
        <f>"CK2024102512321"</f>
        <v>CK2024102512321</v>
      </c>
      <c r="C2752" s="1" t="str">
        <f>"DD2024102591957"</f>
        <v>DD2024102591957</v>
      </c>
      <c r="D2752" s="1" t="str">
        <f>"CK2024102591176"</f>
        <v>CK2024102591176</v>
      </c>
      <c r="E2752" s="1" t="str">
        <f>"2429901703648725"</f>
        <v>2429901703648725</v>
      </c>
      <c r="F2752" s="1" t="str">
        <f t="shared" si="891"/>
        <v>花都四部-凤凰仓</v>
      </c>
      <c r="G2752" s="1" t="str">
        <f t="shared" si="903"/>
        <v>卡卡杜佳旺专卖店（快手店）</v>
      </c>
      <c r="H2752" s="1" t="str">
        <f t="shared" si="892"/>
        <v>正常订单</v>
      </c>
      <c r="I2752" s="1" t="str">
        <f t="shared" si="893"/>
        <v>已发货</v>
      </c>
      <c r="J2752" s="1" t="str">
        <f t="shared" si="904"/>
        <v>3</v>
      </c>
      <c r="K2752" s="1">
        <v>2</v>
      </c>
      <c r="L2752" s="1" t="s">
        <v>1099</v>
      </c>
      <c r="M2752" s="1" t="str">
        <f>"重庆市 重庆市 渝北区 双龙湖街道"</f>
        <v>重庆市 重庆市 渝北区 双龙湖街道</v>
      </c>
      <c r="N2752" s="1" t="str">
        <f t="shared" si="905"/>
        <v>凡华云仓-城南圆通-快手</v>
      </c>
      <c r="O2752" s="5" t="s">
        <v>2787</v>
      </c>
      <c r="P2752" s="6">
        <v>0.35</v>
      </c>
      <c r="Q2752" s="11">
        <v>2.2999999999999998</v>
      </c>
      <c r="R2752" s="11"/>
      <c r="S2752" s="11"/>
      <c r="T2752" s="11"/>
      <c r="U2752" s="11">
        <f t="shared" si="889"/>
        <v>2.2999999999999998</v>
      </c>
      <c r="W2752">
        <v>2.5</v>
      </c>
      <c r="X2752" s="1" t="s">
        <v>1099</v>
      </c>
    </row>
    <row r="2753" spans="1:24" x14ac:dyDescent="0.25">
      <c r="A2753" s="1" t="str">
        <f t="shared" si="890"/>
        <v>卡卡杜-凤凰仓</v>
      </c>
      <c r="B2753" s="1" t="str">
        <f>"CK2024102512320"</f>
        <v>CK2024102512320</v>
      </c>
      <c r="C2753" s="1" t="str">
        <f>"DD2024102591956"</f>
        <v>DD2024102591956</v>
      </c>
      <c r="D2753" s="1" t="str">
        <f>"CK2024102591175"</f>
        <v>CK2024102591175</v>
      </c>
      <c r="E2753" s="1" t="str">
        <f>"6935463264899569530"</f>
        <v>6935463264899569530</v>
      </c>
      <c r="F2753" s="1" t="str">
        <f t="shared" si="891"/>
        <v>花都四部-凤凰仓</v>
      </c>
      <c r="G2753" s="1" t="str">
        <f>"卡卡杜个人护理店（抖店）"</f>
        <v>卡卡杜个人护理店（抖店）</v>
      </c>
      <c r="H2753" s="1" t="str">
        <f t="shared" si="892"/>
        <v>正常订单</v>
      </c>
      <c r="I2753" s="1" t="str">
        <f t="shared" si="893"/>
        <v>已发货</v>
      </c>
      <c r="J2753" s="1" t="str">
        <f t="shared" si="904"/>
        <v>3</v>
      </c>
      <c r="K2753" s="1">
        <v>2</v>
      </c>
      <c r="L2753" s="1" t="s">
        <v>96</v>
      </c>
      <c r="M2753" s="1" t="str">
        <f>"广西壮族自治区 河池市 凤山县 凤城镇"</f>
        <v>广西壮族自治区 河池市 凤山县 凤城镇</v>
      </c>
      <c r="N2753" s="1" t="str">
        <f>"凡华云仓-城南圆通-抖音"</f>
        <v>凡华云仓-城南圆通-抖音</v>
      </c>
      <c r="O2753" s="5" t="s">
        <v>2788</v>
      </c>
      <c r="P2753" s="6">
        <v>0.35</v>
      </c>
      <c r="Q2753" s="11">
        <v>2.2999999999999998</v>
      </c>
      <c r="R2753" s="11"/>
      <c r="S2753" s="11"/>
      <c r="T2753" s="11"/>
      <c r="U2753" s="11">
        <f t="shared" si="889"/>
        <v>2.2999999999999998</v>
      </c>
      <c r="W2753">
        <v>2.5</v>
      </c>
      <c r="X2753" s="1" t="s">
        <v>96</v>
      </c>
    </row>
    <row r="2754" spans="1:24" x14ac:dyDescent="0.25">
      <c r="A2754" s="1" t="str">
        <f t="shared" si="890"/>
        <v>卡卡杜-凤凰仓</v>
      </c>
      <c r="B2754" s="1" t="str">
        <f>"CK2024102512325"</f>
        <v>CK2024102512325</v>
      </c>
      <c r="C2754" s="1" t="str">
        <f>"DD2024102591953"</f>
        <v>DD2024102591953</v>
      </c>
      <c r="D2754" s="1" t="str">
        <f>"CK2024102591174"</f>
        <v>CK2024102591174</v>
      </c>
      <c r="E2754" s="1" t="str">
        <f>"6935460787900847470"</f>
        <v>6935460787900847470</v>
      </c>
      <c r="F2754" s="1" t="str">
        <f t="shared" si="891"/>
        <v>花都四部-凤凰仓</v>
      </c>
      <c r="G2754" s="1" t="str">
        <f>"卡卡杜个人护理店（抖店）"</f>
        <v>卡卡杜个人护理店（抖店）</v>
      </c>
      <c r="H2754" s="1" t="str">
        <f t="shared" si="892"/>
        <v>正常订单</v>
      </c>
      <c r="I2754" s="1" t="str">
        <f t="shared" si="893"/>
        <v>已发货</v>
      </c>
      <c r="J2754" s="1" t="str">
        <f t="shared" si="904"/>
        <v>3</v>
      </c>
      <c r="K2754" s="1">
        <v>2</v>
      </c>
      <c r="L2754" s="1" t="s">
        <v>52</v>
      </c>
      <c r="M2754" s="1" t="str">
        <f>"甘肃省 兰州市 城关区 东岗街道"</f>
        <v>甘肃省 兰州市 城关区 东岗街道</v>
      </c>
      <c r="N2754" s="1" t="str">
        <f>"凡华云仓-城南圆通-抖音"</f>
        <v>凡华云仓-城南圆通-抖音</v>
      </c>
      <c r="O2754" s="5" t="s">
        <v>2789</v>
      </c>
      <c r="P2754" s="6">
        <v>0.35</v>
      </c>
      <c r="Q2754" s="11">
        <v>2.2999999999999998</v>
      </c>
      <c r="R2754" s="11"/>
      <c r="S2754" s="11"/>
      <c r="T2754" s="11"/>
      <c r="U2754" s="11">
        <f t="shared" si="889"/>
        <v>2.2999999999999998</v>
      </c>
      <c r="W2754">
        <v>2.5</v>
      </c>
      <c r="X2754" s="1" t="s">
        <v>52</v>
      </c>
    </row>
    <row r="2755" spans="1:24" x14ac:dyDescent="0.25">
      <c r="A2755" s="1" t="str">
        <f t="shared" si="890"/>
        <v>卡卡杜-凤凰仓</v>
      </c>
      <c r="B2755" s="1" t="str">
        <f>"CK2024102512315"</f>
        <v>CK2024102512315</v>
      </c>
      <c r="C2755" s="1" t="str">
        <f>"DD2024102591947"</f>
        <v>DD2024102591947</v>
      </c>
      <c r="D2755" s="1" t="str">
        <f>"CK2024102591173"</f>
        <v>CK2024102591173</v>
      </c>
      <c r="E2755" s="1" t="str">
        <f>"KKD20241025YP008"</f>
        <v>KKD20241025YP008</v>
      </c>
      <c r="F2755" s="1" t="str">
        <f t="shared" si="891"/>
        <v>花都四部-凤凰仓</v>
      </c>
      <c r="G2755" s="1" t="str">
        <f>"卡卡杜全欣样品"</f>
        <v>卡卡杜全欣样品</v>
      </c>
      <c r="H2755" s="1" t="str">
        <f t="shared" si="892"/>
        <v>正常订单</v>
      </c>
      <c r="I2755" s="1" t="str">
        <f t="shared" si="893"/>
        <v>已发货</v>
      </c>
      <c r="J2755" s="1" t="str">
        <f>"14"</f>
        <v>14</v>
      </c>
      <c r="K2755" s="1">
        <v>8</v>
      </c>
      <c r="L2755" s="1" t="s">
        <v>16</v>
      </c>
      <c r="M2755" s="1" t="str">
        <f>"河北省 张家口市 桥东区 "</f>
        <v xml:space="preserve">河北省 张家口市 桥东区 </v>
      </c>
      <c r="N2755" s="1" t="str">
        <f>"凡华云仓-城南圆通-淘宝"</f>
        <v>凡华云仓-城南圆通-淘宝</v>
      </c>
      <c r="O2755" s="3" t="s">
        <v>2790</v>
      </c>
      <c r="P2755" s="6">
        <v>1.6</v>
      </c>
      <c r="Q2755" s="11">
        <f t="shared" ref="Q2755:Q2762" si="906">CEILING(P2755-0.5,0.1)*10*0.15+2.3</f>
        <v>3.9499999999999997</v>
      </c>
      <c r="R2755" s="11">
        <f t="shared" ref="R2755:R2762" si="907">(K2755-3)*0.1</f>
        <v>0.5</v>
      </c>
      <c r="S2755" s="11">
        <v>0.15</v>
      </c>
      <c r="T2755" s="11"/>
      <c r="U2755" s="11">
        <f t="shared" ref="U2755:U2818" si="908">T2755+S2755+R2755+Q2755</f>
        <v>4.5999999999999996</v>
      </c>
      <c r="V2755" t="s">
        <v>15</v>
      </c>
      <c r="W2755">
        <v>4.5999999999999996</v>
      </c>
      <c r="X2755" s="1" t="s">
        <v>16</v>
      </c>
    </row>
    <row r="2756" spans="1:24" x14ac:dyDescent="0.25">
      <c r="A2756" s="1" t="str">
        <f t="shared" si="890"/>
        <v>卡卡杜-凤凰仓</v>
      </c>
      <c r="B2756" s="1" t="str">
        <f>"CK2024102317598"</f>
        <v>CK2024102317598</v>
      </c>
      <c r="C2756" s="1" t="str">
        <f>"DD2024102355680"</f>
        <v>DD2024102355680</v>
      </c>
      <c r="D2756" s="1" t="str">
        <f>"CK2024102347205"</f>
        <v>CK2024102347205</v>
      </c>
      <c r="E2756" s="1" t="str">
        <f>"KKD20241023YP007"</f>
        <v>KKD20241023YP007</v>
      </c>
      <c r="F2756" s="1" t="str">
        <f t="shared" si="891"/>
        <v>花都四部-凤凰仓</v>
      </c>
      <c r="G2756" s="1" t="str">
        <f>"卡卡杜全欣样品"</f>
        <v>卡卡杜全欣样品</v>
      </c>
      <c r="H2756" s="1" t="str">
        <f t="shared" si="892"/>
        <v>正常订单</v>
      </c>
      <c r="I2756" s="1" t="str">
        <f t="shared" si="893"/>
        <v>已发货</v>
      </c>
      <c r="J2756" s="1" t="str">
        <f>"5"</f>
        <v>5</v>
      </c>
      <c r="K2756" s="1">
        <v>4</v>
      </c>
      <c r="L2756" s="1" t="s">
        <v>24</v>
      </c>
      <c r="M2756" s="1" t="str">
        <f>"福建省 泉州市 石狮市 "</f>
        <v xml:space="preserve">福建省 泉州市 石狮市 </v>
      </c>
      <c r="N2756" s="1" t="str">
        <f>"凡华云仓-城南圆通-淘宝"</f>
        <v>凡华云仓-城南圆通-淘宝</v>
      </c>
      <c r="O2756" s="3" t="s">
        <v>2791</v>
      </c>
      <c r="P2756" s="6">
        <v>0.46</v>
      </c>
      <c r="Q2756" s="11">
        <v>2.2999999999999998</v>
      </c>
      <c r="R2756" s="11"/>
      <c r="S2756" s="11">
        <v>0.15</v>
      </c>
      <c r="T2756" s="11"/>
      <c r="U2756" s="11">
        <f t="shared" si="908"/>
        <v>2.4499999999999997</v>
      </c>
      <c r="W2756">
        <v>2.65</v>
      </c>
      <c r="X2756" s="1" t="s">
        <v>24</v>
      </c>
    </row>
    <row r="2757" spans="1:24" x14ac:dyDescent="0.25">
      <c r="A2757" s="1" t="str">
        <f t="shared" ref="A2757:A2820" si="909">"卡卡杜-凤凰仓"</f>
        <v>卡卡杜-凤凰仓</v>
      </c>
      <c r="B2757" s="1" t="str">
        <f>"CK2024102215676"</f>
        <v>CK2024102215676</v>
      </c>
      <c r="C2757" s="1" t="str">
        <f>"DD20241022105438"</f>
        <v>DD20241022105438</v>
      </c>
      <c r="D2757" s="1" t="str">
        <f>"CK2024102289431"</f>
        <v>CK2024102289431</v>
      </c>
      <c r="E2757" s="1" t="str">
        <f>"KKD20241022YP003"</f>
        <v>KKD20241022YP003</v>
      </c>
      <c r="F2757" s="1" t="str">
        <f t="shared" ref="F2757:F2820" si="910">"花都四部-凤凰仓"</f>
        <v>花都四部-凤凰仓</v>
      </c>
      <c r="G2757" s="1" t="str">
        <f>"卡卡杜全欣样品"</f>
        <v>卡卡杜全欣样品</v>
      </c>
      <c r="H2757" s="1" t="str">
        <f t="shared" ref="H2757:H2820" si="911">"正常订单"</f>
        <v>正常订单</v>
      </c>
      <c r="I2757" s="1" t="str">
        <f t="shared" ref="I2757:I2820" si="912">"已发货"</f>
        <v>已发货</v>
      </c>
      <c r="J2757" s="1" t="str">
        <f>"5"</f>
        <v>5</v>
      </c>
      <c r="K2757" s="1">
        <v>4</v>
      </c>
      <c r="L2757" s="1" t="s">
        <v>30</v>
      </c>
      <c r="M2757" s="1" t="str">
        <f>"山东省 聊城市 东昌府区 "</f>
        <v xml:space="preserve">山东省 聊城市 东昌府区 </v>
      </c>
      <c r="N2757" s="1" t="str">
        <f>"凡华云仓-城南圆通-淘宝"</f>
        <v>凡华云仓-城南圆通-淘宝</v>
      </c>
      <c r="O2757" s="3" t="s">
        <v>2792</v>
      </c>
      <c r="P2757" s="6">
        <v>0.46</v>
      </c>
      <c r="Q2757" s="11">
        <v>2.2999999999999998</v>
      </c>
      <c r="R2757" s="11"/>
      <c r="S2757" s="11">
        <v>0.15</v>
      </c>
      <c r="T2757" s="11"/>
      <c r="U2757" s="11">
        <f t="shared" si="908"/>
        <v>2.4499999999999997</v>
      </c>
      <c r="W2757">
        <v>2.65</v>
      </c>
      <c r="X2757" s="1" t="s">
        <v>30</v>
      </c>
    </row>
    <row r="2758" spans="1:24" x14ac:dyDescent="0.25">
      <c r="A2758" s="1" t="str">
        <f t="shared" si="909"/>
        <v>卡卡杜-凤凰仓</v>
      </c>
      <c r="B2758" s="1" t="str">
        <f>"CK2024102512318"</f>
        <v>CK2024102512318</v>
      </c>
      <c r="C2758" s="1" t="str">
        <f>"DD2024102591951"</f>
        <v>DD2024102591951</v>
      </c>
      <c r="D2758" s="1" t="str">
        <f>"CK2024102591169"</f>
        <v>CK2024102591169</v>
      </c>
      <c r="E2758" s="1" t="str">
        <f>"KKD20241025YP011"</f>
        <v>KKD20241025YP011</v>
      </c>
      <c r="F2758" s="1" t="str">
        <f t="shared" si="910"/>
        <v>花都四部-凤凰仓</v>
      </c>
      <c r="G2758" s="1" t="str">
        <f t="shared" ref="G2758:G2763" si="913">"卡卡杜全欣样品"</f>
        <v>卡卡杜全欣样品</v>
      </c>
      <c r="H2758" s="1" t="str">
        <f t="shared" si="911"/>
        <v>正常订单</v>
      </c>
      <c r="I2758" s="1" t="str">
        <f t="shared" si="912"/>
        <v>已发货</v>
      </c>
      <c r="J2758" s="1" t="str">
        <f>"15"</f>
        <v>15</v>
      </c>
      <c r="K2758" s="1">
        <v>10</v>
      </c>
      <c r="L2758" s="1" t="s">
        <v>18</v>
      </c>
      <c r="M2758" s="1" t="str">
        <f>"广东省 潮州市 潮安区 "</f>
        <v xml:space="preserve">广东省 潮州市 潮安区 </v>
      </c>
      <c r="N2758" s="1" t="str">
        <f t="shared" ref="N2758:N2763" si="914">"凡华云仓-城南圆通-淘宝"</f>
        <v>凡华云仓-城南圆通-淘宝</v>
      </c>
      <c r="O2758" s="3" t="s">
        <v>2793</v>
      </c>
      <c r="P2758" s="6">
        <v>1.62</v>
      </c>
      <c r="Q2758" s="11">
        <f t="shared" si="906"/>
        <v>4.0999999999999996</v>
      </c>
      <c r="R2758" s="11">
        <f t="shared" si="907"/>
        <v>0.70000000000000007</v>
      </c>
      <c r="S2758" s="11">
        <v>0.15</v>
      </c>
      <c r="T2758" s="11"/>
      <c r="U2758" s="11">
        <f t="shared" si="908"/>
        <v>4.9499999999999993</v>
      </c>
      <c r="V2758" t="s">
        <v>15</v>
      </c>
      <c r="W2758">
        <v>4.95</v>
      </c>
      <c r="X2758" s="1" t="s">
        <v>18</v>
      </c>
    </row>
    <row r="2759" spans="1:24" x14ac:dyDescent="0.25">
      <c r="A2759" s="1" t="str">
        <f t="shared" si="909"/>
        <v>卡卡杜-凤凰仓</v>
      </c>
      <c r="B2759" s="1" t="str">
        <f>"CK2024102119531"</f>
        <v>CK2024102119531</v>
      </c>
      <c r="C2759" s="1" t="str">
        <f>"DD2024102149800"</f>
        <v>DD2024102149800</v>
      </c>
      <c r="D2759" s="1" t="str">
        <f>"CK2024102148122"</f>
        <v>CK2024102148122</v>
      </c>
      <c r="E2759" s="1" t="str">
        <f>"KKD20241021YP006"</f>
        <v>KKD20241021YP006</v>
      </c>
      <c r="F2759" s="1" t="str">
        <f t="shared" si="910"/>
        <v>花都四部-凤凰仓</v>
      </c>
      <c r="G2759" s="1" t="str">
        <f t="shared" si="913"/>
        <v>卡卡杜全欣样品</v>
      </c>
      <c r="H2759" s="1" t="str">
        <f t="shared" si="911"/>
        <v>正常订单</v>
      </c>
      <c r="I2759" s="1" t="str">
        <f t="shared" si="912"/>
        <v>已发货</v>
      </c>
      <c r="J2759" s="1" t="str">
        <f>"5"</f>
        <v>5</v>
      </c>
      <c r="K2759" s="1">
        <v>4</v>
      </c>
      <c r="L2759" s="1" t="s">
        <v>20</v>
      </c>
      <c r="M2759" s="1" t="str">
        <f>"浙江省 杭州市 上城区 "</f>
        <v xml:space="preserve">浙江省 杭州市 上城区 </v>
      </c>
      <c r="N2759" s="1" t="str">
        <f t="shared" si="914"/>
        <v>凡华云仓-城南圆通-淘宝</v>
      </c>
      <c r="O2759" s="3" t="s">
        <v>2794</v>
      </c>
      <c r="P2759" s="6">
        <v>0.46</v>
      </c>
      <c r="Q2759" s="11">
        <v>2.2999999999999998</v>
      </c>
      <c r="R2759" s="11"/>
      <c r="S2759" s="11">
        <v>0.15</v>
      </c>
      <c r="T2759" s="11"/>
      <c r="U2759" s="11">
        <f t="shared" si="908"/>
        <v>2.4499999999999997</v>
      </c>
      <c r="W2759">
        <v>2.65</v>
      </c>
      <c r="X2759" s="1" t="s">
        <v>20</v>
      </c>
    </row>
    <row r="2760" spans="1:24" x14ac:dyDescent="0.25">
      <c r="A2760" s="1" t="str">
        <f t="shared" si="909"/>
        <v>卡卡杜-凤凰仓</v>
      </c>
      <c r="B2760" s="1" t="str">
        <f>"CK2024102512319"</f>
        <v>CK2024102512319</v>
      </c>
      <c r="C2760" s="1" t="str">
        <f>"DD2024102591952"</f>
        <v>DD2024102591952</v>
      </c>
      <c r="D2760" s="1" t="str">
        <f>"CK2024102591167"</f>
        <v>CK2024102591167</v>
      </c>
      <c r="E2760" s="1" t="str">
        <f>"KKD20241025YP012"</f>
        <v>KKD20241025YP012</v>
      </c>
      <c r="F2760" s="1" t="str">
        <f t="shared" si="910"/>
        <v>花都四部-凤凰仓</v>
      </c>
      <c r="G2760" s="1" t="str">
        <f t="shared" si="913"/>
        <v>卡卡杜全欣样品</v>
      </c>
      <c r="H2760" s="1" t="str">
        <f t="shared" si="911"/>
        <v>正常订单</v>
      </c>
      <c r="I2760" s="1" t="str">
        <f t="shared" si="912"/>
        <v>已发货</v>
      </c>
      <c r="J2760" s="1" t="str">
        <f>"10"</f>
        <v>10</v>
      </c>
      <c r="K2760" s="1">
        <v>7</v>
      </c>
      <c r="L2760" s="1" t="s">
        <v>54</v>
      </c>
      <c r="M2760" s="1" t="str">
        <f>"黑龙江省 绥化市 安达市 "</f>
        <v xml:space="preserve">黑龙江省 绥化市 安达市 </v>
      </c>
      <c r="N2760" s="1" t="str">
        <f t="shared" si="914"/>
        <v>凡华云仓-城南圆通-淘宝</v>
      </c>
      <c r="O2760" s="3" t="s">
        <v>2795</v>
      </c>
      <c r="P2760" s="6">
        <v>1.18</v>
      </c>
      <c r="Q2760" s="11">
        <f t="shared" si="906"/>
        <v>3.3499999999999996</v>
      </c>
      <c r="R2760" s="11">
        <f t="shared" si="907"/>
        <v>0.4</v>
      </c>
      <c r="S2760" s="11">
        <v>0.15</v>
      </c>
      <c r="T2760" s="11"/>
      <c r="U2760" s="11">
        <f t="shared" si="908"/>
        <v>3.8999999999999995</v>
      </c>
      <c r="V2760" t="s">
        <v>15</v>
      </c>
      <c r="W2760">
        <v>3.9</v>
      </c>
      <c r="X2760" s="1" t="s">
        <v>54</v>
      </c>
    </row>
    <row r="2761" spans="1:24" x14ac:dyDescent="0.25">
      <c r="A2761" s="1" t="str">
        <f t="shared" si="909"/>
        <v>卡卡杜-凤凰仓</v>
      </c>
      <c r="B2761" s="1" t="str">
        <f>"CK2024102512310"</f>
        <v>CK2024102512310</v>
      </c>
      <c r="C2761" s="1" t="str">
        <f>"DD2024102591942"</f>
        <v>DD2024102591942</v>
      </c>
      <c r="D2761" s="1" t="str">
        <f>"CK2024102591166"</f>
        <v>CK2024102591166</v>
      </c>
      <c r="E2761" s="1" t="str">
        <f>"KKD20241025YP003"</f>
        <v>KKD20241025YP003</v>
      </c>
      <c r="F2761" s="1" t="str">
        <f t="shared" si="910"/>
        <v>花都四部-凤凰仓</v>
      </c>
      <c r="G2761" s="1" t="str">
        <f t="shared" si="913"/>
        <v>卡卡杜全欣样品</v>
      </c>
      <c r="H2761" s="1" t="str">
        <f t="shared" si="911"/>
        <v>正常订单</v>
      </c>
      <c r="I2761" s="1" t="str">
        <f t="shared" si="912"/>
        <v>已发货</v>
      </c>
      <c r="J2761" s="1" t="str">
        <f>"7"</f>
        <v>7</v>
      </c>
      <c r="K2761" s="1">
        <v>5</v>
      </c>
      <c r="L2761" s="1" t="s">
        <v>18</v>
      </c>
      <c r="M2761" s="1" t="str">
        <f>"广东省 广州市 天河区 "</f>
        <v xml:space="preserve">广东省 广州市 天河区 </v>
      </c>
      <c r="N2761" s="1" t="str">
        <f t="shared" si="914"/>
        <v>凡华云仓-城南圆通-淘宝</v>
      </c>
      <c r="O2761" s="3" t="s">
        <v>2796</v>
      </c>
      <c r="P2761" s="6">
        <v>0.8</v>
      </c>
      <c r="Q2761" s="11">
        <f t="shared" si="906"/>
        <v>2.75</v>
      </c>
      <c r="R2761" s="11">
        <f t="shared" si="907"/>
        <v>0.2</v>
      </c>
      <c r="S2761" s="11">
        <v>0.15</v>
      </c>
      <c r="T2761" s="11"/>
      <c r="U2761" s="11">
        <f t="shared" si="908"/>
        <v>3.1</v>
      </c>
      <c r="V2761" t="s">
        <v>15</v>
      </c>
      <c r="W2761">
        <v>3.1</v>
      </c>
      <c r="X2761" s="1" t="s">
        <v>18</v>
      </c>
    </row>
    <row r="2762" spans="1:24" x14ac:dyDescent="0.25">
      <c r="A2762" s="1" t="str">
        <f t="shared" si="909"/>
        <v>卡卡杜-凤凰仓</v>
      </c>
      <c r="B2762" s="1" t="str">
        <f>"CK2024102512309"</f>
        <v>CK2024102512309</v>
      </c>
      <c r="C2762" s="1" t="str">
        <f>"DD2024102591944"</f>
        <v>DD2024102591944</v>
      </c>
      <c r="D2762" s="1" t="str">
        <f>"CK2024102591165"</f>
        <v>CK2024102591165</v>
      </c>
      <c r="E2762" s="1" t="str">
        <f>"KKD20241025YP002"</f>
        <v>KKD20241025YP002</v>
      </c>
      <c r="F2762" s="1" t="str">
        <f t="shared" si="910"/>
        <v>花都四部-凤凰仓</v>
      </c>
      <c r="G2762" s="1" t="str">
        <f t="shared" si="913"/>
        <v>卡卡杜全欣样品</v>
      </c>
      <c r="H2762" s="1" t="str">
        <f t="shared" si="911"/>
        <v>正常订单</v>
      </c>
      <c r="I2762" s="1" t="str">
        <f t="shared" si="912"/>
        <v>已发货</v>
      </c>
      <c r="J2762" s="1" t="str">
        <f>"15"</f>
        <v>15</v>
      </c>
      <c r="K2762" s="1">
        <v>10</v>
      </c>
      <c r="L2762" s="1" t="s">
        <v>13</v>
      </c>
      <c r="M2762" s="1" t="str">
        <f>"江苏省 徐州市 沛县 "</f>
        <v xml:space="preserve">江苏省 徐州市 沛县 </v>
      </c>
      <c r="N2762" s="1" t="str">
        <f t="shared" si="914"/>
        <v>凡华云仓-城南圆通-淘宝</v>
      </c>
      <c r="O2762" s="3" t="s">
        <v>2797</v>
      </c>
      <c r="P2762" s="6">
        <v>1.62</v>
      </c>
      <c r="Q2762" s="11">
        <f t="shared" si="906"/>
        <v>4.0999999999999996</v>
      </c>
      <c r="R2762" s="11">
        <f t="shared" si="907"/>
        <v>0.70000000000000007</v>
      </c>
      <c r="S2762" s="11">
        <v>0.15</v>
      </c>
      <c r="T2762" s="11"/>
      <c r="U2762" s="11">
        <f t="shared" si="908"/>
        <v>4.9499999999999993</v>
      </c>
      <c r="V2762" t="s">
        <v>15</v>
      </c>
      <c r="W2762">
        <v>4.95</v>
      </c>
      <c r="X2762" s="1" t="s">
        <v>13</v>
      </c>
    </row>
    <row r="2763" spans="1:24" x14ac:dyDescent="0.25">
      <c r="A2763" s="1" t="str">
        <f t="shared" si="909"/>
        <v>卡卡杜-凤凰仓</v>
      </c>
      <c r="B2763" s="1" t="str">
        <f>"CK2024102119529"</f>
        <v>CK2024102119529</v>
      </c>
      <c r="C2763" s="1" t="str">
        <f>"DD2024102149802"</f>
        <v>DD2024102149802</v>
      </c>
      <c r="D2763" s="1" t="str">
        <f>"CK2024102148114"</f>
        <v>CK2024102148114</v>
      </c>
      <c r="E2763" s="1" t="str">
        <f>"KKD20241021YP004"</f>
        <v>KKD20241021YP004</v>
      </c>
      <c r="F2763" s="1" t="str">
        <f t="shared" si="910"/>
        <v>花都四部-凤凰仓</v>
      </c>
      <c r="G2763" s="1" t="str">
        <f t="shared" si="913"/>
        <v>卡卡杜全欣样品</v>
      </c>
      <c r="H2763" s="1" t="str">
        <f t="shared" si="911"/>
        <v>正常订单</v>
      </c>
      <c r="I2763" s="1" t="str">
        <f t="shared" si="912"/>
        <v>已发货</v>
      </c>
      <c r="J2763" s="1" t="str">
        <f>"5"</f>
        <v>5</v>
      </c>
      <c r="K2763" s="1">
        <v>4</v>
      </c>
      <c r="L2763" s="1" t="s">
        <v>18</v>
      </c>
      <c r="M2763" s="1" t="str">
        <f>"广东省 佛山市 禅城区 "</f>
        <v xml:space="preserve">广东省 佛山市 禅城区 </v>
      </c>
      <c r="N2763" s="1" t="str">
        <f t="shared" si="914"/>
        <v>凡华云仓-城南圆通-淘宝</v>
      </c>
      <c r="O2763" s="3" t="s">
        <v>2798</v>
      </c>
      <c r="P2763" s="6">
        <v>0.46</v>
      </c>
      <c r="Q2763" s="11">
        <v>2.2999999999999998</v>
      </c>
      <c r="R2763" s="11"/>
      <c r="S2763" s="11">
        <v>0.15</v>
      </c>
      <c r="T2763" s="11"/>
      <c r="U2763" s="11">
        <f t="shared" si="908"/>
        <v>2.4499999999999997</v>
      </c>
      <c r="W2763">
        <v>2.65</v>
      </c>
      <c r="X2763" s="1" t="s">
        <v>18</v>
      </c>
    </row>
    <row r="2764" spans="1:24" x14ac:dyDescent="0.25">
      <c r="A2764" s="1" t="str">
        <f t="shared" si="909"/>
        <v>卡卡杜-凤凰仓</v>
      </c>
      <c r="B2764" s="1" t="str">
        <f>"CK2024102511169"</f>
        <v>CK2024102511169</v>
      </c>
      <c r="C2764" s="1" t="str">
        <f>"DD2024102581060"</f>
        <v>DD2024102581060</v>
      </c>
      <c r="D2764" s="1" t="str">
        <f>"CK2024102579423"</f>
        <v>CK2024102579423</v>
      </c>
      <c r="E2764" s="1" t="str">
        <f>"6935453868793074821"</f>
        <v>6935453868793074821</v>
      </c>
      <c r="F2764" s="1" t="str">
        <f t="shared" si="910"/>
        <v>花都四部-凤凰仓</v>
      </c>
      <c r="G2764" s="1" t="str">
        <f t="shared" ref="G2764:G2767" si="915">"卡卡杜个人护理店（抖店）"</f>
        <v>卡卡杜个人护理店（抖店）</v>
      </c>
      <c r="H2764" s="1" t="str">
        <f t="shared" si="911"/>
        <v>正常订单</v>
      </c>
      <c r="I2764" s="1" t="str">
        <f t="shared" si="912"/>
        <v>已发货</v>
      </c>
      <c r="J2764" s="1" t="str">
        <f t="shared" ref="J2764:J2767" si="916">"3"</f>
        <v>3</v>
      </c>
      <c r="K2764" s="1">
        <v>2</v>
      </c>
      <c r="L2764" s="1" t="s">
        <v>13</v>
      </c>
      <c r="M2764" s="1" t="str">
        <f>"江苏省 南通市 如东县 洋口镇"</f>
        <v>江苏省 南通市 如东县 洋口镇</v>
      </c>
      <c r="N2764" s="1" t="str">
        <f t="shared" ref="N2764:N2767" si="917">"凡华云仓-城南圆通-抖音"</f>
        <v>凡华云仓-城南圆通-抖音</v>
      </c>
      <c r="O2764" s="5" t="s">
        <v>2799</v>
      </c>
      <c r="P2764" s="6">
        <v>0.35</v>
      </c>
      <c r="Q2764" s="11">
        <v>2.2999999999999998</v>
      </c>
      <c r="R2764" s="11"/>
      <c r="S2764" s="11"/>
      <c r="T2764" s="11"/>
      <c r="U2764" s="11">
        <f t="shared" si="908"/>
        <v>2.2999999999999998</v>
      </c>
      <c r="W2764">
        <v>2.5</v>
      </c>
      <c r="X2764" s="1" t="s">
        <v>13</v>
      </c>
    </row>
    <row r="2765" spans="1:24" x14ac:dyDescent="0.25">
      <c r="A2765" s="1" t="str">
        <f t="shared" si="909"/>
        <v>卡卡杜-凤凰仓</v>
      </c>
      <c r="B2765" s="1" t="str">
        <f>"CK2024102511174"</f>
        <v>CK2024102511174</v>
      </c>
      <c r="C2765" s="1" t="str">
        <f>"DD2024102581064"</f>
        <v>DD2024102581064</v>
      </c>
      <c r="D2765" s="1" t="str">
        <f>"CK2024102579422"</f>
        <v>CK2024102579422</v>
      </c>
      <c r="E2765" s="1" t="str">
        <f>"6935445055500719346"</f>
        <v>6935445055500719346</v>
      </c>
      <c r="F2765" s="1" t="str">
        <f t="shared" si="910"/>
        <v>花都四部-凤凰仓</v>
      </c>
      <c r="G2765" s="1" t="str">
        <f t="shared" si="915"/>
        <v>卡卡杜个人护理店（抖店）</v>
      </c>
      <c r="H2765" s="1" t="str">
        <f t="shared" si="911"/>
        <v>正常订单</v>
      </c>
      <c r="I2765" s="1" t="str">
        <f t="shared" si="912"/>
        <v>已发货</v>
      </c>
      <c r="J2765" s="1" t="str">
        <f t="shared" si="916"/>
        <v>3</v>
      </c>
      <c r="K2765" s="1">
        <v>2</v>
      </c>
      <c r="L2765" s="1" t="s">
        <v>13</v>
      </c>
      <c r="M2765" s="1" t="str">
        <f>"江苏省 宿迁市 沭阳县 梦溪街道"</f>
        <v>江苏省 宿迁市 沭阳县 梦溪街道</v>
      </c>
      <c r="N2765" s="1" t="str">
        <f t="shared" si="917"/>
        <v>凡华云仓-城南圆通-抖音</v>
      </c>
      <c r="O2765" s="5" t="s">
        <v>2800</v>
      </c>
      <c r="P2765" s="6">
        <v>0.35</v>
      </c>
      <c r="Q2765" s="11">
        <v>2.2999999999999998</v>
      </c>
      <c r="R2765" s="11"/>
      <c r="S2765" s="11"/>
      <c r="T2765" s="11"/>
      <c r="U2765" s="11">
        <f t="shared" si="908"/>
        <v>2.2999999999999998</v>
      </c>
      <c r="W2765">
        <v>2.5</v>
      </c>
      <c r="X2765" s="1" t="s">
        <v>13</v>
      </c>
    </row>
    <row r="2766" spans="1:24" x14ac:dyDescent="0.25">
      <c r="A2766" s="1" t="str">
        <f t="shared" si="909"/>
        <v>卡卡杜-凤凰仓</v>
      </c>
      <c r="B2766" s="1" t="str">
        <f>"CK2024102511166"</f>
        <v>CK2024102511166</v>
      </c>
      <c r="C2766" s="1" t="str">
        <f>"DD2024102581056"</f>
        <v>DD2024102581056</v>
      </c>
      <c r="D2766" s="1" t="str">
        <f>"CK2024102579421"</f>
        <v>CK2024102579421</v>
      </c>
      <c r="E2766" s="1" t="str">
        <f>"6935471745825642328"</f>
        <v>6935471745825642328</v>
      </c>
      <c r="F2766" s="1" t="str">
        <f t="shared" si="910"/>
        <v>花都四部-凤凰仓</v>
      </c>
      <c r="G2766" s="1" t="str">
        <f t="shared" si="915"/>
        <v>卡卡杜个人护理店（抖店）</v>
      </c>
      <c r="H2766" s="1" t="str">
        <f t="shared" si="911"/>
        <v>正常订单</v>
      </c>
      <c r="I2766" s="1" t="str">
        <f t="shared" si="912"/>
        <v>已发货</v>
      </c>
      <c r="J2766" s="1" t="str">
        <f t="shared" si="916"/>
        <v>3</v>
      </c>
      <c r="K2766" s="1">
        <v>3</v>
      </c>
      <c r="L2766" s="1" t="s">
        <v>18</v>
      </c>
      <c r="M2766" s="1" t="str">
        <f>"广东省 清远市 清城区 东城街道"</f>
        <v>广东省 清远市 清城区 东城街道</v>
      </c>
      <c r="N2766" s="1" t="str">
        <f t="shared" si="917"/>
        <v>凡华云仓-城南圆通-抖音</v>
      </c>
      <c r="O2766" s="5" t="s">
        <v>2801</v>
      </c>
      <c r="P2766" s="6">
        <v>0.34</v>
      </c>
      <c r="Q2766" s="11">
        <v>2.2999999999999998</v>
      </c>
      <c r="R2766" s="11"/>
      <c r="S2766" s="11"/>
      <c r="T2766" s="11"/>
      <c r="U2766" s="11">
        <f t="shared" si="908"/>
        <v>2.2999999999999998</v>
      </c>
      <c r="W2766">
        <v>2.5</v>
      </c>
      <c r="X2766" s="1" t="s">
        <v>18</v>
      </c>
    </row>
    <row r="2767" spans="1:24" x14ac:dyDescent="0.25">
      <c r="A2767" s="1" t="str">
        <f t="shared" si="909"/>
        <v>卡卡杜-凤凰仓</v>
      </c>
      <c r="B2767" s="1" t="str">
        <f>"CK2024102511170"</f>
        <v>CK2024102511170</v>
      </c>
      <c r="C2767" s="1" t="str">
        <f>"DD2024102581061"</f>
        <v>DD2024102581061</v>
      </c>
      <c r="D2767" s="1" t="str">
        <f>"CK2024102579420"</f>
        <v>CK2024102579420</v>
      </c>
      <c r="E2767" s="1" t="str">
        <f>"6935460671753885008"</f>
        <v>6935460671753885008</v>
      </c>
      <c r="F2767" s="1" t="str">
        <f t="shared" si="910"/>
        <v>花都四部-凤凰仓</v>
      </c>
      <c r="G2767" s="1" t="str">
        <f t="shared" si="915"/>
        <v>卡卡杜个人护理店（抖店）</v>
      </c>
      <c r="H2767" s="1" t="str">
        <f t="shared" si="911"/>
        <v>正常订单</v>
      </c>
      <c r="I2767" s="1" t="str">
        <f t="shared" si="912"/>
        <v>已发货</v>
      </c>
      <c r="J2767" s="1" t="str">
        <f t="shared" si="916"/>
        <v>3</v>
      </c>
      <c r="K2767" s="1">
        <v>2</v>
      </c>
      <c r="L2767" s="1" t="s">
        <v>20</v>
      </c>
      <c r="M2767" s="1" t="str">
        <f>"浙江省 舟山市 定海区 金塘镇"</f>
        <v>浙江省 舟山市 定海区 金塘镇</v>
      </c>
      <c r="N2767" s="1" t="str">
        <f t="shared" si="917"/>
        <v>凡华云仓-城南圆通-抖音</v>
      </c>
      <c r="O2767" s="5" t="s">
        <v>2802</v>
      </c>
      <c r="P2767" s="6">
        <v>0.35</v>
      </c>
      <c r="Q2767" s="11">
        <v>2.2999999999999998</v>
      </c>
      <c r="R2767" s="11"/>
      <c r="S2767" s="11"/>
      <c r="T2767" s="11"/>
      <c r="U2767" s="11">
        <f t="shared" si="908"/>
        <v>2.2999999999999998</v>
      </c>
      <c r="W2767">
        <v>2.5</v>
      </c>
      <c r="X2767" s="1" t="s">
        <v>20</v>
      </c>
    </row>
    <row r="2768" spans="1:24" x14ac:dyDescent="0.25">
      <c r="A2768" s="1" t="str">
        <f t="shared" si="909"/>
        <v>卡卡杜-凤凰仓</v>
      </c>
      <c r="B2768" s="1" t="str">
        <f>"CK2024102511191"</f>
        <v>CK2024102511191</v>
      </c>
      <c r="C2768" s="1" t="str">
        <f>"DD2024102581078"</f>
        <v>DD2024102581078</v>
      </c>
      <c r="D2768" s="1" t="str">
        <f>"CK2024102579416"</f>
        <v>CK2024102579416</v>
      </c>
      <c r="E2768" s="1" t="str">
        <f>"2429901785433066"</f>
        <v>2429901785433066</v>
      </c>
      <c r="F2768" s="1" t="str">
        <f t="shared" si="910"/>
        <v>花都四部-凤凰仓</v>
      </c>
      <c r="G2768" s="1" t="str">
        <f t="shared" ref="G2768:G2831" si="918">"卡卡杜佳旺专卖店（快手店）"</f>
        <v>卡卡杜佳旺专卖店（快手店）</v>
      </c>
      <c r="H2768" s="1" t="str">
        <f t="shared" si="911"/>
        <v>正常订单</v>
      </c>
      <c r="I2768" s="1" t="str">
        <f t="shared" si="912"/>
        <v>已发货</v>
      </c>
      <c r="J2768" s="1" t="str">
        <f>"5"</f>
        <v>5</v>
      </c>
      <c r="K2768" s="1">
        <v>2</v>
      </c>
      <c r="L2768" s="1" t="s">
        <v>13</v>
      </c>
      <c r="M2768" s="1" t="str">
        <f>"江苏省 盐城市 射阳县 合德镇"</f>
        <v>江苏省 盐城市 射阳县 合德镇</v>
      </c>
      <c r="N2768" s="1" t="str">
        <f t="shared" ref="N2768:N2831" si="919">"凡华云仓-城南圆通-快手"</f>
        <v>凡华云仓-城南圆通-快手</v>
      </c>
      <c r="O2768" s="5" t="s">
        <v>2803</v>
      </c>
      <c r="P2768" s="6">
        <v>0.59</v>
      </c>
      <c r="Q2768" s="11">
        <f>CEILING(P2768-0.5,0.1)*10*0.15+2.3</f>
        <v>2.4499999999999997</v>
      </c>
      <c r="R2768" s="11"/>
      <c r="S2768" s="11"/>
      <c r="T2768" s="11"/>
      <c r="U2768" s="11">
        <f t="shared" si="908"/>
        <v>2.4499999999999997</v>
      </c>
      <c r="V2768" t="s">
        <v>15</v>
      </c>
      <c r="W2768">
        <v>2.4500000000000002</v>
      </c>
      <c r="X2768" s="1" t="s">
        <v>13</v>
      </c>
    </row>
    <row r="2769" spans="1:24" x14ac:dyDescent="0.25">
      <c r="A2769" s="1" t="str">
        <f t="shared" si="909"/>
        <v>卡卡杜-凤凰仓</v>
      </c>
      <c r="B2769" s="1" t="str">
        <f>"CK2024102511173"</f>
        <v>CK2024102511173</v>
      </c>
      <c r="C2769" s="1" t="str">
        <f>"DD2024102581063"</f>
        <v>DD2024102581063</v>
      </c>
      <c r="D2769" s="1" t="str">
        <f>"CK2024102579415"</f>
        <v>CK2024102579415</v>
      </c>
      <c r="E2769" s="1" t="str">
        <f>"2429902269665623"</f>
        <v>2429902269665623</v>
      </c>
      <c r="F2769" s="1" t="str">
        <f t="shared" si="910"/>
        <v>花都四部-凤凰仓</v>
      </c>
      <c r="G2769" s="1" t="str">
        <f t="shared" si="918"/>
        <v>卡卡杜佳旺专卖店（快手店）</v>
      </c>
      <c r="H2769" s="1" t="str">
        <f t="shared" si="911"/>
        <v>正常订单</v>
      </c>
      <c r="I2769" s="1" t="str">
        <f t="shared" si="912"/>
        <v>已发货</v>
      </c>
      <c r="J2769" s="1" t="str">
        <f t="shared" ref="J2769:J2771" si="920">"3"</f>
        <v>3</v>
      </c>
      <c r="K2769" s="1">
        <v>2</v>
      </c>
      <c r="L2769" s="1" t="s">
        <v>13</v>
      </c>
      <c r="M2769" s="1" t="str">
        <f>"江苏省 南京市 秦淮区 "</f>
        <v xml:space="preserve">江苏省 南京市 秦淮区 </v>
      </c>
      <c r="N2769" s="1" t="str">
        <f t="shared" si="919"/>
        <v>凡华云仓-城南圆通-快手</v>
      </c>
      <c r="O2769" s="5" t="s">
        <v>2804</v>
      </c>
      <c r="P2769" s="6">
        <v>0.35</v>
      </c>
      <c r="Q2769" s="11">
        <v>2.2999999999999998</v>
      </c>
      <c r="R2769" s="11"/>
      <c r="S2769" s="11"/>
      <c r="T2769" s="11"/>
      <c r="U2769" s="11">
        <f t="shared" si="908"/>
        <v>2.2999999999999998</v>
      </c>
      <c r="W2769">
        <v>2.5</v>
      </c>
      <c r="X2769" s="1" t="s">
        <v>13</v>
      </c>
    </row>
    <row r="2770" spans="1:24" x14ac:dyDescent="0.25">
      <c r="A2770" s="1" t="str">
        <f t="shared" si="909"/>
        <v>卡卡杜-凤凰仓</v>
      </c>
      <c r="B2770" s="1" t="str">
        <f>"CK2024102511185"</f>
        <v>CK2024102511185</v>
      </c>
      <c r="C2770" s="1" t="str">
        <f>"DD2024102581075"</f>
        <v>DD2024102581075</v>
      </c>
      <c r="D2770" s="1" t="str">
        <f>"CK2024102579414"</f>
        <v>CK2024102579414</v>
      </c>
      <c r="E2770" s="1" t="str">
        <f>"2429902180427124"</f>
        <v>2429902180427124</v>
      </c>
      <c r="F2770" s="1" t="str">
        <f t="shared" si="910"/>
        <v>花都四部-凤凰仓</v>
      </c>
      <c r="G2770" s="1" t="str">
        <f t="shared" si="918"/>
        <v>卡卡杜佳旺专卖店（快手店）</v>
      </c>
      <c r="H2770" s="1" t="str">
        <f t="shared" si="911"/>
        <v>正常订单</v>
      </c>
      <c r="I2770" s="1" t="str">
        <f t="shared" si="912"/>
        <v>已发货</v>
      </c>
      <c r="J2770" s="1" t="str">
        <f t="shared" si="920"/>
        <v>3</v>
      </c>
      <c r="K2770" s="1">
        <v>2</v>
      </c>
      <c r="L2770" s="1" t="s">
        <v>36</v>
      </c>
      <c r="M2770" s="1" t="str">
        <f>"安徽省 芜湖市 湾沚区 湾沚镇"</f>
        <v>安徽省 芜湖市 湾沚区 湾沚镇</v>
      </c>
      <c r="N2770" s="1" t="str">
        <f t="shared" si="919"/>
        <v>凡华云仓-城南圆通-快手</v>
      </c>
      <c r="O2770" s="5" t="s">
        <v>2805</v>
      </c>
      <c r="P2770" s="6">
        <v>0.35</v>
      </c>
      <c r="Q2770" s="11">
        <v>2.2999999999999998</v>
      </c>
      <c r="R2770" s="11"/>
      <c r="S2770" s="11"/>
      <c r="T2770" s="11"/>
      <c r="U2770" s="11">
        <f t="shared" si="908"/>
        <v>2.2999999999999998</v>
      </c>
      <c r="W2770">
        <v>2.5</v>
      </c>
      <c r="X2770" s="1" t="s">
        <v>36</v>
      </c>
    </row>
    <row r="2771" spans="1:24" x14ac:dyDescent="0.25">
      <c r="A2771" s="1" t="str">
        <f t="shared" si="909"/>
        <v>卡卡杜-凤凰仓</v>
      </c>
      <c r="B2771" s="1" t="str">
        <f>"CK2024102511187"</f>
        <v>CK2024102511187</v>
      </c>
      <c r="C2771" s="1" t="str">
        <f>"DD2024102581077"</f>
        <v>DD2024102581077</v>
      </c>
      <c r="D2771" s="1" t="str">
        <f>"CK2024102579413"</f>
        <v>CK2024102579413</v>
      </c>
      <c r="E2771" s="1" t="str">
        <f>"2429902344547071"</f>
        <v>2429902344547071</v>
      </c>
      <c r="F2771" s="1" t="str">
        <f t="shared" si="910"/>
        <v>花都四部-凤凰仓</v>
      </c>
      <c r="G2771" s="1" t="str">
        <f t="shared" si="918"/>
        <v>卡卡杜佳旺专卖店（快手店）</v>
      </c>
      <c r="H2771" s="1" t="str">
        <f t="shared" si="911"/>
        <v>正常订单</v>
      </c>
      <c r="I2771" s="1" t="str">
        <f t="shared" si="912"/>
        <v>已发货</v>
      </c>
      <c r="J2771" s="1" t="str">
        <f t="shared" si="920"/>
        <v>3</v>
      </c>
      <c r="K2771" s="1">
        <v>2</v>
      </c>
      <c r="L2771" s="1" t="s">
        <v>18</v>
      </c>
      <c r="M2771" s="1" t="str">
        <f>"广东省 深圳市 龙华区 福城街道"</f>
        <v>广东省 深圳市 龙华区 福城街道</v>
      </c>
      <c r="N2771" s="1" t="str">
        <f t="shared" si="919"/>
        <v>凡华云仓-城南圆通-快手</v>
      </c>
      <c r="O2771" s="5" t="s">
        <v>2806</v>
      </c>
      <c r="P2771" s="6">
        <v>0.35</v>
      </c>
      <c r="Q2771" s="11">
        <v>2.2999999999999998</v>
      </c>
      <c r="R2771" s="11"/>
      <c r="S2771" s="11"/>
      <c r="T2771" s="11"/>
      <c r="U2771" s="11">
        <f t="shared" si="908"/>
        <v>2.2999999999999998</v>
      </c>
      <c r="W2771">
        <v>2.5</v>
      </c>
      <c r="X2771" s="1" t="s">
        <v>18</v>
      </c>
    </row>
    <row r="2772" spans="1:24" x14ac:dyDescent="0.25">
      <c r="A2772" s="1" t="str">
        <f t="shared" si="909"/>
        <v>卡卡杜-凤凰仓</v>
      </c>
      <c r="B2772" s="1" t="str">
        <f>"CK2024102511197"</f>
        <v>CK2024102511197</v>
      </c>
      <c r="C2772" s="1" t="str">
        <f>"DD2024102581084"</f>
        <v>DD2024102581084</v>
      </c>
      <c r="D2772" s="1" t="str">
        <f>"CK2024102579412"</f>
        <v>CK2024102579412</v>
      </c>
      <c r="E2772" s="1" t="str">
        <f>"2429902108624355"</f>
        <v>2429902108624355</v>
      </c>
      <c r="F2772" s="1" t="str">
        <f t="shared" si="910"/>
        <v>花都四部-凤凰仓</v>
      </c>
      <c r="G2772" s="1" t="str">
        <f t="shared" si="918"/>
        <v>卡卡杜佳旺专卖店（快手店）</v>
      </c>
      <c r="H2772" s="1" t="str">
        <f t="shared" si="911"/>
        <v>正常订单</v>
      </c>
      <c r="I2772" s="1" t="str">
        <f t="shared" si="912"/>
        <v>已发货</v>
      </c>
      <c r="J2772" s="1" t="str">
        <f t="shared" ref="J2772:J2777" si="921">"5"</f>
        <v>5</v>
      </c>
      <c r="K2772" s="1">
        <v>2</v>
      </c>
      <c r="L2772" s="1" t="s">
        <v>18</v>
      </c>
      <c r="M2772" s="1" t="str">
        <f>"广东省 中山市 小榄镇 小榄镇"</f>
        <v>广东省 中山市 小榄镇 小榄镇</v>
      </c>
      <c r="N2772" s="1" t="str">
        <f t="shared" si="919"/>
        <v>凡华云仓-城南圆通-快手</v>
      </c>
      <c r="O2772" s="5" t="s">
        <v>2807</v>
      </c>
      <c r="P2772" s="6">
        <v>0.59</v>
      </c>
      <c r="Q2772" s="11">
        <f t="shared" ref="Q2772:Q2777" si="922">CEILING(P2772-0.5,0.1)*10*0.15+2.3</f>
        <v>2.4499999999999997</v>
      </c>
      <c r="R2772" s="11"/>
      <c r="S2772" s="11"/>
      <c r="T2772" s="11"/>
      <c r="U2772" s="11">
        <f t="shared" si="908"/>
        <v>2.4499999999999997</v>
      </c>
      <c r="V2772" t="s">
        <v>15</v>
      </c>
      <c r="W2772">
        <v>2.4500000000000002</v>
      </c>
      <c r="X2772" s="1" t="s">
        <v>18</v>
      </c>
    </row>
    <row r="2773" spans="1:24" x14ac:dyDescent="0.25">
      <c r="A2773" s="1" t="str">
        <f t="shared" si="909"/>
        <v>卡卡杜-凤凰仓</v>
      </c>
      <c r="B2773" s="1" t="str">
        <f>"CK2024102511186"</f>
        <v>CK2024102511186</v>
      </c>
      <c r="C2773" s="1" t="str">
        <f>"DD2024102581076"</f>
        <v>DD2024102581076</v>
      </c>
      <c r="D2773" s="1" t="str">
        <f>"CK2024102579411"</f>
        <v>CK2024102579411</v>
      </c>
      <c r="E2773" s="1" t="str">
        <f>"2429902022784918"</f>
        <v>2429902022784918</v>
      </c>
      <c r="F2773" s="1" t="str">
        <f t="shared" si="910"/>
        <v>花都四部-凤凰仓</v>
      </c>
      <c r="G2773" s="1" t="str">
        <f t="shared" si="918"/>
        <v>卡卡杜佳旺专卖店（快手店）</v>
      </c>
      <c r="H2773" s="1" t="str">
        <f t="shared" si="911"/>
        <v>正常订单</v>
      </c>
      <c r="I2773" s="1" t="str">
        <f t="shared" si="912"/>
        <v>已发货</v>
      </c>
      <c r="J2773" s="1" t="str">
        <f t="shared" ref="J2773:J2775" si="923">"3"</f>
        <v>3</v>
      </c>
      <c r="K2773" s="1">
        <v>2</v>
      </c>
      <c r="L2773" s="1" t="s">
        <v>18</v>
      </c>
      <c r="M2773" s="1" t="str">
        <f>"广东省 清远市 清城区 石角镇"</f>
        <v>广东省 清远市 清城区 石角镇</v>
      </c>
      <c r="N2773" s="1" t="str">
        <f t="shared" si="919"/>
        <v>凡华云仓-城南圆通-快手</v>
      </c>
      <c r="O2773" s="5" t="s">
        <v>2808</v>
      </c>
      <c r="P2773" s="6">
        <v>0.35</v>
      </c>
      <c r="Q2773" s="11">
        <v>2.2999999999999998</v>
      </c>
      <c r="R2773" s="11"/>
      <c r="S2773" s="11"/>
      <c r="T2773" s="11"/>
      <c r="U2773" s="11">
        <f t="shared" si="908"/>
        <v>2.2999999999999998</v>
      </c>
      <c r="W2773">
        <v>2.5</v>
      </c>
      <c r="X2773" s="1" t="s">
        <v>18</v>
      </c>
    </row>
    <row r="2774" spans="1:24" x14ac:dyDescent="0.25">
      <c r="A2774" s="1" t="str">
        <f t="shared" si="909"/>
        <v>卡卡杜-凤凰仓</v>
      </c>
      <c r="B2774" s="1" t="str">
        <f>"CK2024102511184"</f>
        <v>CK2024102511184</v>
      </c>
      <c r="C2774" s="1" t="str">
        <f>"DD2024102581074"</f>
        <v>DD2024102581074</v>
      </c>
      <c r="D2774" s="1" t="str">
        <f>"CK2024102579410"</f>
        <v>CK2024102579410</v>
      </c>
      <c r="E2774" s="1" t="str">
        <f>"2429901943682918"</f>
        <v>2429901943682918</v>
      </c>
      <c r="F2774" s="1" t="str">
        <f t="shared" si="910"/>
        <v>花都四部-凤凰仓</v>
      </c>
      <c r="G2774" s="1" t="str">
        <f t="shared" si="918"/>
        <v>卡卡杜佳旺专卖店（快手店）</v>
      </c>
      <c r="H2774" s="1" t="str">
        <f t="shared" si="911"/>
        <v>正常订单</v>
      </c>
      <c r="I2774" s="1" t="str">
        <f t="shared" si="912"/>
        <v>已发货</v>
      </c>
      <c r="J2774" s="1" t="str">
        <f t="shared" si="923"/>
        <v>3</v>
      </c>
      <c r="K2774" s="1">
        <v>2</v>
      </c>
      <c r="L2774" s="1" t="s">
        <v>20</v>
      </c>
      <c r="M2774" s="1" t="str">
        <f>"浙江省 杭州市 钱塘区 下沙街道"</f>
        <v>浙江省 杭州市 钱塘区 下沙街道</v>
      </c>
      <c r="N2774" s="1" t="str">
        <f t="shared" si="919"/>
        <v>凡华云仓-城南圆通-快手</v>
      </c>
      <c r="O2774" s="5" t="s">
        <v>2809</v>
      </c>
      <c r="P2774" s="6">
        <v>0.35</v>
      </c>
      <c r="Q2774" s="11">
        <v>2.2999999999999998</v>
      </c>
      <c r="R2774" s="11"/>
      <c r="S2774" s="11"/>
      <c r="T2774" s="11"/>
      <c r="U2774" s="11">
        <f t="shared" si="908"/>
        <v>2.2999999999999998</v>
      </c>
      <c r="W2774">
        <v>2.5</v>
      </c>
      <c r="X2774" s="1" t="s">
        <v>20</v>
      </c>
    </row>
    <row r="2775" spans="1:24" x14ac:dyDescent="0.25">
      <c r="A2775" s="1" t="str">
        <f t="shared" si="909"/>
        <v>卡卡杜-凤凰仓</v>
      </c>
      <c r="B2775" s="1" t="str">
        <f>"CK2024102511188"</f>
        <v>CK2024102511188</v>
      </c>
      <c r="C2775" s="1" t="str">
        <f>"DD2024102581079"</f>
        <v>DD2024102581079</v>
      </c>
      <c r="D2775" s="1" t="str">
        <f>"CK2024102579409"</f>
        <v>CK2024102579409</v>
      </c>
      <c r="E2775" s="1" t="str">
        <f>"2429902344032268"</f>
        <v>2429902344032268</v>
      </c>
      <c r="F2775" s="1" t="str">
        <f t="shared" si="910"/>
        <v>花都四部-凤凰仓</v>
      </c>
      <c r="G2775" s="1" t="str">
        <f t="shared" si="918"/>
        <v>卡卡杜佳旺专卖店（快手店）</v>
      </c>
      <c r="H2775" s="1" t="str">
        <f t="shared" si="911"/>
        <v>正常订单</v>
      </c>
      <c r="I2775" s="1" t="str">
        <f t="shared" si="912"/>
        <v>已发货</v>
      </c>
      <c r="J2775" s="1" t="str">
        <f t="shared" si="923"/>
        <v>3</v>
      </c>
      <c r="K2775" s="1">
        <v>2</v>
      </c>
      <c r="L2775" s="1" t="s">
        <v>13</v>
      </c>
      <c r="M2775" s="1" t="str">
        <f>"江苏省 南通市 海安市 大公镇"</f>
        <v>江苏省 南通市 海安市 大公镇</v>
      </c>
      <c r="N2775" s="1" t="str">
        <f t="shared" si="919"/>
        <v>凡华云仓-城南圆通-快手</v>
      </c>
      <c r="O2775" s="5" t="s">
        <v>2810</v>
      </c>
      <c r="P2775" s="6">
        <v>0.35</v>
      </c>
      <c r="Q2775" s="11">
        <v>2.2999999999999998</v>
      </c>
      <c r="R2775" s="11"/>
      <c r="S2775" s="11"/>
      <c r="T2775" s="11"/>
      <c r="U2775" s="11">
        <f t="shared" si="908"/>
        <v>2.2999999999999998</v>
      </c>
      <c r="W2775">
        <v>2.5</v>
      </c>
      <c r="X2775" s="1" t="s">
        <v>13</v>
      </c>
    </row>
    <row r="2776" spans="1:24" x14ac:dyDescent="0.25">
      <c r="A2776" s="1" t="str">
        <f t="shared" si="909"/>
        <v>卡卡杜-凤凰仓</v>
      </c>
      <c r="B2776" s="1" t="str">
        <f>"CK2024102511192"</f>
        <v>CK2024102511192</v>
      </c>
      <c r="C2776" s="1" t="str">
        <f>"DD2024102581080"</f>
        <v>DD2024102581080</v>
      </c>
      <c r="D2776" s="1" t="str">
        <f>"CK2024102579408"</f>
        <v>CK2024102579408</v>
      </c>
      <c r="E2776" s="1" t="str">
        <f>"2429902188899248"</f>
        <v>2429902188899248</v>
      </c>
      <c r="F2776" s="1" t="str">
        <f t="shared" si="910"/>
        <v>花都四部-凤凰仓</v>
      </c>
      <c r="G2776" s="1" t="str">
        <f t="shared" si="918"/>
        <v>卡卡杜佳旺专卖店（快手店）</v>
      </c>
      <c r="H2776" s="1" t="str">
        <f t="shared" si="911"/>
        <v>正常订单</v>
      </c>
      <c r="I2776" s="1" t="str">
        <f t="shared" si="912"/>
        <v>已发货</v>
      </c>
      <c r="J2776" s="1" t="str">
        <f t="shared" si="921"/>
        <v>5</v>
      </c>
      <c r="K2776" s="1">
        <v>2</v>
      </c>
      <c r="L2776" s="1" t="s">
        <v>92</v>
      </c>
      <c r="M2776" s="1" t="str">
        <f>"辽宁省 大连市 金州区 马桥子街道"</f>
        <v>辽宁省 大连市 金州区 马桥子街道</v>
      </c>
      <c r="N2776" s="1" t="str">
        <f t="shared" si="919"/>
        <v>凡华云仓-城南圆通-快手</v>
      </c>
      <c r="O2776" s="5" t="s">
        <v>2811</v>
      </c>
      <c r="P2776" s="6">
        <v>0.59</v>
      </c>
      <c r="Q2776" s="11">
        <f t="shared" si="922"/>
        <v>2.4499999999999997</v>
      </c>
      <c r="R2776" s="11"/>
      <c r="S2776" s="11"/>
      <c r="T2776" s="11"/>
      <c r="U2776" s="11">
        <f t="shared" si="908"/>
        <v>2.4499999999999997</v>
      </c>
      <c r="V2776" t="s">
        <v>15</v>
      </c>
      <c r="W2776">
        <v>2.4500000000000002</v>
      </c>
      <c r="X2776" s="1" t="s">
        <v>92</v>
      </c>
    </row>
    <row r="2777" spans="1:24" x14ac:dyDescent="0.25">
      <c r="A2777" s="1" t="str">
        <f t="shared" si="909"/>
        <v>卡卡杜-凤凰仓</v>
      </c>
      <c r="B2777" s="1" t="str">
        <f>"CK2024102511196"</f>
        <v>CK2024102511196</v>
      </c>
      <c r="C2777" s="1" t="str">
        <f>"DD2024102581085"</f>
        <v>DD2024102581085</v>
      </c>
      <c r="D2777" s="1" t="str">
        <f>"CK2024102579407"</f>
        <v>CK2024102579407</v>
      </c>
      <c r="E2777" s="1" t="str">
        <f>"2429902260715831"</f>
        <v>2429902260715831</v>
      </c>
      <c r="F2777" s="1" t="str">
        <f t="shared" si="910"/>
        <v>花都四部-凤凰仓</v>
      </c>
      <c r="G2777" s="1" t="str">
        <f t="shared" si="918"/>
        <v>卡卡杜佳旺专卖店（快手店）</v>
      </c>
      <c r="H2777" s="1" t="str">
        <f t="shared" si="911"/>
        <v>正常订单</v>
      </c>
      <c r="I2777" s="1" t="str">
        <f t="shared" si="912"/>
        <v>已发货</v>
      </c>
      <c r="J2777" s="1" t="str">
        <f t="shared" si="921"/>
        <v>5</v>
      </c>
      <c r="K2777" s="1">
        <v>2</v>
      </c>
      <c r="L2777" s="1" t="s">
        <v>96</v>
      </c>
      <c r="M2777" s="1" t="str">
        <f>"广西壮族自治区 南宁市 西乡塘区 衡阳街道"</f>
        <v>广西壮族自治区 南宁市 西乡塘区 衡阳街道</v>
      </c>
      <c r="N2777" s="1" t="str">
        <f t="shared" si="919"/>
        <v>凡华云仓-城南圆通-快手</v>
      </c>
      <c r="O2777" s="5" t="s">
        <v>2812</v>
      </c>
      <c r="P2777" s="6">
        <v>0.59</v>
      </c>
      <c r="Q2777" s="11">
        <f t="shared" si="922"/>
        <v>2.4499999999999997</v>
      </c>
      <c r="R2777" s="11"/>
      <c r="S2777" s="11"/>
      <c r="T2777" s="11"/>
      <c r="U2777" s="11">
        <f t="shared" si="908"/>
        <v>2.4499999999999997</v>
      </c>
      <c r="V2777" t="s">
        <v>15</v>
      </c>
      <c r="W2777">
        <v>2.4500000000000002</v>
      </c>
      <c r="X2777" s="1" t="s">
        <v>96</v>
      </c>
    </row>
    <row r="2778" spans="1:24" x14ac:dyDescent="0.25">
      <c r="A2778" s="1" t="str">
        <f t="shared" si="909"/>
        <v>卡卡杜-凤凰仓</v>
      </c>
      <c r="B2778" s="1" t="str">
        <f>"CK2024102511183"</f>
        <v>CK2024102511183</v>
      </c>
      <c r="C2778" s="1" t="str">
        <f>"DD2024102581072"</f>
        <v>DD2024102581072</v>
      </c>
      <c r="D2778" s="1" t="str">
        <f>"CK2024102579406"</f>
        <v>CK2024102579406</v>
      </c>
      <c r="E2778" s="1" t="str">
        <f>"2429901702938463"</f>
        <v>2429901702938463</v>
      </c>
      <c r="F2778" s="1" t="str">
        <f t="shared" si="910"/>
        <v>花都四部-凤凰仓</v>
      </c>
      <c r="G2778" s="1" t="str">
        <f t="shared" si="918"/>
        <v>卡卡杜佳旺专卖店（快手店）</v>
      </c>
      <c r="H2778" s="1" t="str">
        <f t="shared" si="911"/>
        <v>正常订单</v>
      </c>
      <c r="I2778" s="1" t="str">
        <f t="shared" si="912"/>
        <v>已发货</v>
      </c>
      <c r="J2778" s="1" t="str">
        <f t="shared" ref="J2778:J2783" si="924">"3"</f>
        <v>3</v>
      </c>
      <c r="K2778" s="1">
        <v>2</v>
      </c>
      <c r="L2778" s="1" t="s">
        <v>24</v>
      </c>
      <c r="M2778" s="1" t="str">
        <f>"福建省 泉州市 晋江市 青阳街道"</f>
        <v>福建省 泉州市 晋江市 青阳街道</v>
      </c>
      <c r="N2778" s="1" t="str">
        <f t="shared" si="919"/>
        <v>凡华云仓-城南圆通-快手</v>
      </c>
      <c r="O2778" s="5" t="s">
        <v>2813</v>
      </c>
      <c r="P2778" s="6">
        <v>0.35</v>
      </c>
      <c r="Q2778" s="11">
        <v>2.2999999999999998</v>
      </c>
      <c r="R2778" s="11"/>
      <c r="S2778" s="11"/>
      <c r="T2778" s="11"/>
      <c r="U2778" s="11">
        <f t="shared" si="908"/>
        <v>2.2999999999999998</v>
      </c>
      <c r="W2778">
        <v>2.5</v>
      </c>
      <c r="X2778" s="1" t="s">
        <v>24</v>
      </c>
    </row>
    <row r="2779" spans="1:24" x14ac:dyDescent="0.25">
      <c r="A2779" s="1" t="str">
        <f t="shared" si="909"/>
        <v>卡卡杜-凤凰仓</v>
      </c>
      <c r="B2779" s="1" t="str">
        <f>"CK2024102511182"</f>
        <v>CK2024102511182</v>
      </c>
      <c r="C2779" s="1" t="str">
        <f>"DD2024102581073"</f>
        <v>DD2024102581073</v>
      </c>
      <c r="D2779" s="1" t="str">
        <f>"CK2024102579405"</f>
        <v>CK2024102579405</v>
      </c>
      <c r="E2779" s="1" t="str">
        <f>"2429902507152834"</f>
        <v>2429902507152834</v>
      </c>
      <c r="F2779" s="1" t="str">
        <f t="shared" si="910"/>
        <v>花都四部-凤凰仓</v>
      </c>
      <c r="G2779" s="1" t="str">
        <f t="shared" si="918"/>
        <v>卡卡杜佳旺专卖店（快手店）</v>
      </c>
      <c r="H2779" s="1" t="str">
        <f t="shared" si="911"/>
        <v>正常订单</v>
      </c>
      <c r="I2779" s="1" t="str">
        <f t="shared" si="912"/>
        <v>已发货</v>
      </c>
      <c r="J2779" s="1" t="str">
        <f t="shared" si="924"/>
        <v>3</v>
      </c>
      <c r="K2779" s="1">
        <v>2</v>
      </c>
      <c r="L2779" s="1" t="s">
        <v>161</v>
      </c>
      <c r="M2779" s="1" t="str">
        <f>"四川省 成都市 郫都区 合作街道"</f>
        <v>四川省 成都市 郫都区 合作街道</v>
      </c>
      <c r="N2779" s="1" t="str">
        <f t="shared" si="919"/>
        <v>凡华云仓-城南圆通-快手</v>
      </c>
      <c r="O2779" s="5" t="s">
        <v>2814</v>
      </c>
      <c r="P2779" s="6">
        <v>0.35</v>
      </c>
      <c r="Q2779" s="11">
        <v>2.2999999999999998</v>
      </c>
      <c r="R2779" s="11"/>
      <c r="S2779" s="11"/>
      <c r="T2779" s="11"/>
      <c r="U2779" s="11">
        <f t="shared" si="908"/>
        <v>2.2999999999999998</v>
      </c>
      <c r="W2779">
        <v>2.5</v>
      </c>
      <c r="X2779" s="1" t="s">
        <v>161</v>
      </c>
    </row>
    <row r="2780" spans="1:24" x14ac:dyDescent="0.25">
      <c r="A2780" s="1" t="str">
        <f t="shared" si="909"/>
        <v>卡卡杜-凤凰仓</v>
      </c>
      <c r="B2780" s="1" t="str">
        <f>"CK2024102511165"</f>
        <v>CK2024102511165</v>
      </c>
      <c r="C2780" s="1" t="str">
        <f>"DD2024102581053"</f>
        <v>DD2024102581053</v>
      </c>
      <c r="D2780" s="1" t="str">
        <f>"CK2024102579404"</f>
        <v>CK2024102579404</v>
      </c>
      <c r="E2780" s="1" t="str">
        <f>"2429902257899099"</f>
        <v>2429902257899099</v>
      </c>
      <c r="F2780" s="1" t="str">
        <f t="shared" si="910"/>
        <v>花都四部-凤凰仓</v>
      </c>
      <c r="G2780" s="1" t="str">
        <f t="shared" si="918"/>
        <v>卡卡杜佳旺专卖店（快手店）</v>
      </c>
      <c r="H2780" s="1" t="str">
        <f t="shared" si="911"/>
        <v>正常订单</v>
      </c>
      <c r="I2780" s="1" t="str">
        <f t="shared" si="912"/>
        <v>已发货</v>
      </c>
      <c r="J2780" s="1" t="str">
        <f t="shared" si="924"/>
        <v>3</v>
      </c>
      <c r="K2780" s="1">
        <v>3</v>
      </c>
      <c r="L2780" s="1" t="s">
        <v>54</v>
      </c>
      <c r="M2780" s="1" t="str">
        <f>"黑龙江省 绥化市 北林区 朝旭街道"</f>
        <v>黑龙江省 绥化市 北林区 朝旭街道</v>
      </c>
      <c r="N2780" s="1" t="str">
        <f t="shared" si="919"/>
        <v>凡华云仓-城南圆通-快手</v>
      </c>
      <c r="O2780" s="5" t="s">
        <v>2815</v>
      </c>
      <c r="P2780" s="6">
        <v>0.34</v>
      </c>
      <c r="Q2780" s="11">
        <v>2.2999999999999998</v>
      </c>
      <c r="R2780" s="11"/>
      <c r="S2780" s="11"/>
      <c r="T2780" s="11"/>
      <c r="U2780" s="11">
        <f t="shared" si="908"/>
        <v>2.2999999999999998</v>
      </c>
      <c r="W2780">
        <v>2.5</v>
      </c>
      <c r="X2780" s="1" t="s">
        <v>54</v>
      </c>
    </row>
    <row r="2781" spans="1:24" x14ac:dyDescent="0.25">
      <c r="A2781" s="1" t="str">
        <f t="shared" si="909"/>
        <v>卡卡杜-凤凰仓</v>
      </c>
      <c r="B2781" s="1" t="str">
        <f>"CK2024102511175"</f>
        <v>CK2024102511175</v>
      </c>
      <c r="C2781" s="1" t="str">
        <f>"DD2024102581067"</f>
        <v>DD2024102581067</v>
      </c>
      <c r="D2781" s="1" t="str">
        <f>"CK2024102579403"</f>
        <v>CK2024102579403</v>
      </c>
      <c r="E2781" s="1" t="str">
        <f>"2429902023152972"</f>
        <v>2429902023152972</v>
      </c>
      <c r="F2781" s="1" t="str">
        <f t="shared" si="910"/>
        <v>花都四部-凤凰仓</v>
      </c>
      <c r="G2781" s="1" t="str">
        <f t="shared" si="918"/>
        <v>卡卡杜佳旺专卖店（快手店）</v>
      </c>
      <c r="H2781" s="1" t="str">
        <f t="shared" si="911"/>
        <v>正常订单</v>
      </c>
      <c r="I2781" s="1" t="str">
        <f t="shared" si="912"/>
        <v>已发货</v>
      </c>
      <c r="J2781" s="1" t="str">
        <f t="shared" si="924"/>
        <v>3</v>
      </c>
      <c r="K2781" s="1">
        <v>2</v>
      </c>
      <c r="L2781" s="1" t="s">
        <v>60</v>
      </c>
      <c r="M2781" s="1" t="str">
        <f>"云南省 普洱市 思茅区 "</f>
        <v xml:space="preserve">云南省 普洱市 思茅区 </v>
      </c>
      <c r="N2781" s="1" t="str">
        <f t="shared" si="919"/>
        <v>凡华云仓-城南圆通-快手</v>
      </c>
      <c r="O2781" s="5" t="s">
        <v>2816</v>
      </c>
      <c r="P2781" s="6">
        <v>0.35</v>
      </c>
      <c r="Q2781" s="11">
        <v>2.2999999999999998</v>
      </c>
      <c r="R2781" s="11"/>
      <c r="S2781" s="11"/>
      <c r="T2781" s="11"/>
      <c r="U2781" s="11">
        <f t="shared" si="908"/>
        <v>2.2999999999999998</v>
      </c>
      <c r="W2781">
        <v>2.5</v>
      </c>
      <c r="X2781" s="1" t="s">
        <v>60</v>
      </c>
    </row>
    <row r="2782" spans="1:24" x14ac:dyDescent="0.25">
      <c r="A2782" s="1" t="str">
        <f t="shared" si="909"/>
        <v>卡卡杜-凤凰仓</v>
      </c>
      <c r="B2782" s="1" t="str">
        <f>"CK2024102511176"</f>
        <v>CK2024102511176</v>
      </c>
      <c r="C2782" s="1" t="str">
        <f>"DD2024102581069"</f>
        <v>DD2024102581069</v>
      </c>
      <c r="D2782" s="1" t="str">
        <f>"CK2024102579402"</f>
        <v>CK2024102579402</v>
      </c>
      <c r="E2782" s="1" t="str">
        <f>"2429901711554097"</f>
        <v>2429901711554097</v>
      </c>
      <c r="F2782" s="1" t="str">
        <f t="shared" si="910"/>
        <v>花都四部-凤凰仓</v>
      </c>
      <c r="G2782" s="1" t="str">
        <f t="shared" si="918"/>
        <v>卡卡杜佳旺专卖店（快手店）</v>
      </c>
      <c r="H2782" s="1" t="str">
        <f t="shared" si="911"/>
        <v>正常订单</v>
      </c>
      <c r="I2782" s="1" t="str">
        <f t="shared" si="912"/>
        <v>已发货</v>
      </c>
      <c r="J2782" s="1" t="str">
        <f t="shared" si="924"/>
        <v>3</v>
      </c>
      <c r="K2782" s="1">
        <v>2</v>
      </c>
      <c r="L2782" s="1" t="s">
        <v>30</v>
      </c>
      <c r="M2782" s="1" t="str">
        <f>"山东省 泰安市 肥城市 仪阳街道"</f>
        <v>山东省 泰安市 肥城市 仪阳街道</v>
      </c>
      <c r="N2782" s="1" t="str">
        <f t="shared" si="919"/>
        <v>凡华云仓-城南圆通-快手</v>
      </c>
      <c r="O2782" s="5" t="s">
        <v>2817</v>
      </c>
      <c r="P2782" s="6">
        <v>0.35</v>
      </c>
      <c r="Q2782" s="11">
        <v>2.2999999999999998</v>
      </c>
      <c r="R2782" s="11"/>
      <c r="S2782" s="11"/>
      <c r="T2782" s="11"/>
      <c r="U2782" s="11">
        <f t="shared" si="908"/>
        <v>2.2999999999999998</v>
      </c>
      <c r="W2782">
        <v>2.5</v>
      </c>
      <c r="X2782" s="1" t="s">
        <v>30</v>
      </c>
    </row>
    <row r="2783" spans="1:24" x14ac:dyDescent="0.25">
      <c r="A2783" s="1" t="str">
        <f t="shared" si="909"/>
        <v>卡卡杜-凤凰仓</v>
      </c>
      <c r="B2783" s="1" t="str">
        <f>"CK2024102511171"</f>
        <v>CK2024102511171</v>
      </c>
      <c r="C2783" s="1" t="str">
        <f>"DD2024102581059"</f>
        <v>DD2024102581059</v>
      </c>
      <c r="D2783" s="1" t="str">
        <f>"CK2024102579401"</f>
        <v>CK2024102579401</v>
      </c>
      <c r="E2783" s="1" t="str">
        <f>"2429902099992768"</f>
        <v>2429902099992768</v>
      </c>
      <c r="F2783" s="1" t="str">
        <f t="shared" si="910"/>
        <v>花都四部-凤凰仓</v>
      </c>
      <c r="G2783" s="1" t="str">
        <f t="shared" si="918"/>
        <v>卡卡杜佳旺专卖店（快手店）</v>
      </c>
      <c r="H2783" s="1" t="str">
        <f t="shared" si="911"/>
        <v>正常订单</v>
      </c>
      <c r="I2783" s="1" t="str">
        <f t="shared" si="912"/>
        <v>已发货</v>
      </c>
      <c r="J2783" s="1" t="str">
        <f t="shared" si="924"/>
        <v>3</v>
      </c>
      <c r="K2783" s="1">
        <v>2</v>
      </c>
      <c r="L2783" s="1" t="s">
        <v>36</v>
      </c>
      <c r="M2783" s="1" t="str">
        <f>"安徽省 亳州市 谯城区 薛阁街道"</f>
        <v>安徽省 亳州市 谯城区 薛阁街道</v>
      </c>
      <c r="N2783" s="1" t="str">
        <f t="shared" si="919"/>
        <v>凡华云仓-城南圆通-快手</v>
      </c>
      <c r="O2783" s="5" t="s">
        <v>2818</v>
      </c>
      <c r="P2783" s="6">
        <v>0.35</v>
      </c>
      <c r="Q2783" s="11">
        <v>2.2999999999999998</v>
      </c>
      <c r="R2783" s="11"/>
      <c r="S2783" s="11"/>
      <c r="T2783" s="11"/>
      <c r="U2783" s="11">
        <f t="shared" si="908"/>
        <v>2.2999999999999998</v>
      </c>
      <c r="W2783">
        <v>2.5</v>
      </c>
      <c r="X2783" s="1" t="s">
        <v>36</v>
      </c>
    </row>
    <row r="2784" spans="1:24" x14ac:dyDescent="0.25">
      <c r="A2784" s="1" t="str">
        <f t="shared" si="909"/>
        <v>卡卡杜-凤凰仓</v>
      </c>
      <c r="B2784" s="1" t="str">
        <f>"CK2024102511194"</f>
        <v>CK2024102511194</v>
      </c>
      <c r="C2784" s="1" t="str">
        <f>"DD2024102581083"</f>
        <v>DD2024102581083</v>
      </c>
      <c r="D2784" s="1" t="str">
        <f>"CK2024102579400"</f>
        <v>CK2024102579400</v>
      </c>
      <c r="E2784" s="1" t="str">
        <f>"2429901791273020"</f>
        <v>2429901791273020</v>
      </c>
      <c r="F2784" s="1" t="str">
        <f t="shared" si="910"/>
        <v>花都四部-凤凰仓</v>
      </c>
      <c r="G2784" s="1" t="str">
        <f t="shared" si="918"/>
        <v>卡卡杜佳旺专卖店（快手店）</v>
      </c>
      <c r="H2784" s="1" t="str">
        <f t="shared" si="911"/>
        <v>正常订单</v>
      </c>
      <c r="I2784" s="1" t="str">
        <f t="shared" si="912"/>
        <v>已发货</v>
      </c>
      <c r="J2784" s="1" t="str">
        <f>"5"</f>
        <v>5</v>
      </c>
      <c r="K2784" s="1">
        <v>2</v>
      </c>
      <c r="L2784" s="1" t="s">
        <v>27</v>
      </c>
      <c r="M2784" s="1" t="str">
        <f>"贵州省 遵义市 红花岗区 忠庄街道"</f>
        <v>贵州省 遵义市 红花岗区 忠庄街道</v>
      </c>
      <c r="N2784" s="1" t="str">
        <f t="shared" si="919"/>
        <v>凡华云仓-城南圆通-快手</v>
      </c>
      <c r="O2784" s="5" t="s">
        <v>2819</v>
      </c>
      <c r="P2784" s="6">
        <v>0.59</v>
      </c>
      <c r="Q2784" s="11">
        <f>CEILING(P2784-0.5,0.1)*10*0.15+2.3</f>
        <v>2.4499999999999997</v>
      </c>
      <c r="R2784" s="11"/>
      <c r="S2784" s="11"/>
      <c r="T2784" s="11"/>
      <c r="U2784" s="11">
        <f t="shared" si="908"/>
        <v>2.4499999999999997</v>
      </c>
      <c r="V2784" t="s">
        <v>15</v>
      </c>
      <c r="W2784">
        <v>2.4500000000000002</v>
      </c>
      <c r="X2784" s="1" t="s">
        <v>27</v>
      </c>
    </row>
    <row r="2785" spans="1:24" x14ac:dyDescent="0.25">
      <c r="A2785" s="1" t="str">
        <f t="shared" si="909"/>
        <v>卡卡杜-凤凰仓</v>
      </c>
      <c r="B2785" s="1" t="str">
        <f>"CK2024102511172"</f>
        <v>CK2024102511172</v>
      </c>
      <c r="C2785" s="1" t="str">
        <f>"DD2024102581062"</f>
        <v>DD2024102581062</v>
      </c>
      <c r="D2785" s="1" t="str">
        <f>"CK2024102579399"</f>
        <v>CK2024102579399</v>
      </c>
      <c r="E2785" s="1" t="str">
        <f>"2429902266803930"</f>
        <v>2429902266803930</v>
      </c>
      <c r="F2785" s="1" t="str">
        <f t="shared" si="910"/>
        <v>花都四部-凤凰仓</v>
      </c>
      <c r="G2785" s="1" t="str">
        <f t="shared" si="918"/>
        <v>卡卡杜佳旺专卖店（快手店）</v>
      </c>
      <c r="H2785" s="1" t="str">
        <f t="shared" si="911"/>
        <v>正常订单</v>
      </c>
      <c r="I2785" s="1" t="str">
        <f t="shared" si="912"/>
        <v>已发货</v>
      </c>
      <c r="J2785" s="1" t="str">
        <f t="shared" ref="J2785:J2792" si="925">"3"</f>
        <v>3</v>
      </c>
      <c r="K2785" s="1">
        <v>2</v>
      </c>
      <c r="L2785" s="1" t="s">
        <v>161</v>
      </c>
      <c r="M2785" s="1" t="str">
        <f>"四川省 成都市 成华区 府青路街道"</f>
        <v>四川省 成都市 成华区 府青路街道</v>
      </c>
      <c r="N2785" s="1" t="str">
        <f t="shared" si="919"/>
        <v>凡华云仓-城南圆通-快手</v>
      </c>
      <c r="O2785" s="5" t="s">
        <v>2820</v>
      </c>
      <c r="P2785" s="6">
        <v>0.35</v>
      </c>
      <c r="Q2785" s="11">
        <v>2.2999999999999998</v>
      </c>
      <c r="R2785" s="11"/>
      <c r="S2785" s="11"/>
      <c r="T2785" s="11"/>
      <c r="U2785" s="11">
        <f t="shared" si="908"/>
        <v>2.2999999999999998</v>
      </c>
      <c r="W2785">
        <v>2.5</v>
      </c>
      <c r="X2785" s="1" t="s">
        <v>161</v>
      </c>
    </row>
    <row r="2786" spans="1:24" x14ac:dyDescent="0.25">
      <c r="A2786" s="1" t="str">
        <f t="shared" si="909"/>
        <v>卡卡杜-凤凰仓</v>
      </c>
      <c r="B2786" s="1" t="str">
        <f>"CK2024102511195"</f>
        <v>CK2024102511195</v>
      </c>
      <c r="C2786" s="1" t="str">
        <f>"DD2024102581082"</f>
        <v>DD2024102581082</v>
      </c>
      <c r="D2786" s="1" t="str">
        <f>"CK2024102579398"</f>
        <v>CK2024102579398</v>
      </c>
      <c r="E2786" s="1" t="str">
        <f>"2429902190617684"</f>
        <v>2429902190617684</v>
      </c>
      <c r="F2786" s="1" t="str">
        <f t="shared" si="910"/>
        <v>花都四部-凤凰仓</v>
      </c>
      <c r="G2786" s="1" t="str">
        <f t="shared" si="918"/>
        <v>卡卡杜佳旺专卖店（快手店）</v>
      </c>
      <c r="H2786" s="1" t="str">
        <f t="shared" si="911"/>
        <v>正常订单</v>
      </c>
      <c r="I2786" s="1" t="str">
        <f t="shared" si="912"/>
        <v>已发货</v>
      </c>
      <c r="J2786" s="1" t="str">
        <f>"5"</f>
        <v>5</v>
      </c>
      <c r="K2786" s="1">
        <v>2</v>
      </c>
      <c r="L2786" s="1" t="s">
        <v>27</v>
      </c>
      <c r="M2786" s="1" t="str">
        <f>"贵州省 贵阳市 南明区 小碧布依族苗族乡"</f>
        <v>贵州省 贵阳市 南明区 小碧布依族苗族乡</v>
      </c>
      <c r="N2786" s="1" t="str">
        <f t="shared" si="919"/>
        <v>凡华云仓-城南圆通-快手</v>
      </c>
      <c r="O2786" s="5" t="s">
        <v>2821</v>
      </c>
      <c r="P2786" s="6">
        <v>0.59</v>
      </c>
      <c r="Q2786" s="11">
        <f>CEILING(P2786-0.5,0.1)*10*0.15+2.3</f>
        <v>2.4499999999999997</v>
      </c>
      <c r="R2786" s="11"/>
      <c r="S2786" s="11"/>
      <c r="T2786" s="11"/>
      <c r="U2786" s="11">
        <f t="shared" si="908"/>
        <v>2.4499999999999997</v>
      </c>
      <c r="V2786" t="s">
        <v>15</v>
      </c>
      <c r="W2786">
        <v>2.4500000000000002</v>
      </c>
      <c r="X2786" s="1" t="s">
        <v>27</v>
      </c>
    </row>
    <row r="2787" spans="1:24" x14ac:dyDescent="0.25">
      <c r="A2787" s="1" t="str">
        <f t="shared" si="909"/>
        <v>卡卡杜-凤凰仓</v>
      </c>
      <c r="B2787" s="1" t="str">
        <f>"CK2024102511177"</f>
        <v>CK2024102511177</v>
      </c>
      <c r="C2787" s="1" t="str">
        <f>"DD2024102581065"</f>
        <v>DD2024102581065</v>
      </c>
      <c r="D2787" s="1" t="str">
        <f>"CK2024102579397"</f>
        <v>CK2024102579397</v>
      </c>
      <c r="E2787" s="1" t="str">
        <f>"2429902181443617"</f>
        <v>2429902181443617</v>
      </c>
      <c r="F2787" s="1" t="str">
        <f t="shared" si="910"/>
        <v>花都四部-凤凰仓</v>
      </c>
      <c r="G2787" s="1" t="str">
        <f t="shared" si="918"/>
        <v>卡卡杜佳旺专卖店（快手店）</v>
      </c>
      <c r="H2787" s="1" t="str">
        <f t="shared" si="911"/>
        <v>正常订单</v>
      </c>
      <c r="I2787" s="1" t="str">
        <f t="shared" si="912"/>
        <v>已发货</v>
      </c>
      <c r="J2787" s="1" t="str">
        <f t="shared" si="925"/>
        <v>3</v>
      </c>
      <c r="K2787" s="1">
        <v>2</v>
      </c>
      <c r="L2787" s="1" t="s">
        <v>109</v>
      </c>
      <c r="M2787" s="1" t="str">
        <f>"山西省 朔州市 平鲁区 井坪镇"</f>
        <v>山西省 朔州市 平鲁区 井坪镇</v>
      </c>
      <c r="N2787" s="1" t="str">
        <f t="shared" si="919"/>
        <v>凡华云仓-城南圆通-快手</v>
      </c>
      <c r="O2787" s="5" t="s">
        <v>2822</v>
      </c>
      <c r="P2787" s="6">
        <v>0.35</v>
      </c>
      <c r="Q2787" s="11">
        <v>2.2999999999999998</v>
      </c>
      <c r="R2787" s="11"/>
      <c r="S2787" s="11"/>
      <c r="T2787" s="11"/>
      <c r="U2787" s="11">
        <f t="shared" si="908"/>
        <v>2.2999999999999998</v>
      </c>
      <c r="W2787">
        <v>2.5</v>
      </c>
      <c r="X2787" s="1" t="s">
        <v>109</v>
      </c>
    </row>
    <row r="2788" spans="1:24" x14ac:dyDescent="0.25">
      <c r="A2788" s="1" t="str">
        <f t="shared" si="909"/>
        <v>卡卡杜-凤凰仓</v>
      </c>
      <c r="B2788" s="1" t="str">
        <f>"CK2024102511179"</f>
        <v>CK2024102511179</v>
      </c>
      <c r="C2788" s="1" t="str">
        <f>"DD2024102581066"</f>
        <v>DD2024102581066</v>
      </c>
      <c r="D2788" s="1" t="str">
        <f>"CK2024102579396"</f>
        <v>CK2024102579396</v>
      </c>
      <c r="E2788" s="1" t="str">
        <f>"2429902422883662"</f>
        <v>2429902422883662</v>
      </c>
      <c r="F2788" s="1" t="str">
        <f t="shared" si="910"/>
        <v>花都四部-凤凰仓</v>
      </c>
      <c r="G2788" s="1" t="str">
        <f t="shared" si="918"/>
        <v>卡卡杜佳旺专卖店（快手店）</v>
      </c>
      <c r="H2788" s="1" t="str">
        <f t="shared" si="911"/>
        <v>正常订单</v>
      </c>
      <c r="I2788" s="1" t="str">
        <f t="shared" si="912"/>
        <v>已发货</v>
      </c>
      <c r="J2788" s="1" t="str">
        <f t="shared" si="925"/>
        <v>3</v>
      </c>
      <c r="K2788" s="1">
        <v>2</v>
      </c>
      <c r="L2788" s="1" t="s">
        <v>16</v>
      </c>
      <c r="M2788" s="1" t="str">
        <f>"河北省 廊坊市 香河县 淑阳镇"</f>
        <v>河北省 廊坊市 香河县 淑阳镇</v>
      </c>
      <c r="N2788" s="1" t="str">
        <f t="shared" si="919"/>
        <v>凡华云仓-城南圆通-快手</v>
      </c>
      <c r="O2788" s="5" t="s">
        <v>2823</v>
      </c>
      <c r="P2788" s="6">
        <v>0.35</v>
      </c>
      <c r="Q2788" s="11">
        <v>2.2999999999999998</v>
      </c>
      <c r="R2788" s="11"/>
      <c r="S2788" s="11"/>
      <c r="T2788" s="11"/>
      <c r="U2788" s="11">
        <f t="shared" si="908"/>
        <v>2.2999999999999998</v>
      </c>
      <c r="W2788">
        <v>2.5</v>
      </c>
      <c r="X2788" s="1" t="s">
        <v>16</v>
      </c>
    </row>
    <row r="2789" spans="1:24" x14ac:dyDescent="0.25">
      <c r="A2789" s="1" t="str">
        <f t="shared" si="909"/>
        <v>卡卡杜-凤凰仓</v>
      </c>
      <c r="B2789" s="1" t="str">
        <f>"CK2024102511167"</f>
        <v>CK2024102511167</v>
      </c>
      <c r="C2789" s="1" t="str">
        <f>"DD2024102581058"</f>
        <v>DD2024102581058</v>
      </c>
      <c r="D2789" s="1" t="str">
        <f>"CK2024102579395"</f>
        <v>CK2024102579395</v>
      </c>
      <c r="E2789" s="1" t="str">
        <f>"2429902104890662"</f>
        <v>2429902104890662</v>
      </c>
      <c r="F2789" s="1" t="str">
        <f t="shared" si="910"/>
        <v>花都四部-凤凰仓</v>
      </c>
      <c r="G2789" s="1" t="str">
        <f t="shared" si="918"/>
        <v>卡卡杜佳旺专卖店（快手店）</v>
      </c>
      <c r="H2789" s="1" t="str">
        <f t="shared" si="911"/>
        <v>正常订单</v>
      </c>
      <c r="I2789" s="1" t="str">
        <f t="shared" si="912"/>
        <v>已发货</v>
      </c>
      <c r="J2789" s="1" t="str">
        <f t="shared" si="925"/>
        <v>3</v>
      </c>
      <c r="K2789" s="1">
        <v>3</v>
      </c>
      <c r="L2789" s="1" t="s">
        <v>44</v>
      </c>
      <c r="M2789" s="1" t="str">
        <f>"海南省 海口市 琼山区 凤翔街道"</f>
        <v>海南省 海口市 琼山区 凤翔街道</v>
      </c>
      <c r="N2789" s="1" t="str">
        <f t="shared" si="919"/>
        <v>凡华云仓-城南圆通-快手</v>
      </c>
      <c r="O2789" s="5" t="s">
        <v>2824</v>
      </c>
      <c r="P2789" s="6">
        <v>0.34</v>
      </c>
      <c r="Q2789" s="11">
        <v>2.2999999999999998</v>
      </c>
      <c r="R2789" s="11"/>
      <c r="S2789" s="11"/>
      <c r="T2789" s="11"/>
      <c r="U2789" s="11">
        <f t="shared" si="908"/>
        <v>2.2999999999999998</v>
      </c>
      <c r="W2789">
        <v>2.5</v>
      </c>
      <c r="X2789" s="1" t="s">
        <v>44</v>
      </c>
    </row>
    <row r="2790" spans="1:24" x14ac:dyDescent="0.25">
      <c r="A2790" s="1" t="str">
        <f t="shared" si="909"/>
        <v>卡卡杜-凤凰仓</v>
      </c>
      <c r="B2790" s="1" t="str">
        <f>"CK2024102511168"</f>
        <v>CK2024102511168</v>
      </c>
      <c r="C2790" s="1" t="str">
        <f>"DD2024102581057"</f>
        <v>DD2024102581057</v>
      </c>
      <c r="D2790" s="1" t="str">
        <f>"CK2024102579394"</f>
        <v>CK2024102579394</v>
      </c>
      <c r="E2790" s="1" t="str">
        <f>"2429902105673573"</f>
        <v>2429902105673573</v>
      </c>
      <c r="F2790" s="1" t="str">
        <f t="shared" si="910"/>
        <v>花都四部-凤凰仓</v>
      </c>
      <c r="G2790" s="1" t="str">
        <f t="shared" si="918"/>
        <v>卡卡杜佳旺专卖店（快手店）</v>
      </c>
      <c r="H2790" s="1" t="str">
        <f t="shared" si="911"/>
        <v>正常订单</v>
      </c>
      <c r="I2790" s="1" t="str">
        <f t="shared" si="912"/>
        <v>已发货</v>
      </c>
      <c r="J2790" s="1" t="str">
        <f t="shared" si="925"/>
        <v>3</v>
      </c>
      <c r="K2790" s="1">
        <v>2</v>
      </c>
      <c r="L2790" s="1" t="s">
        <v>92</v>
      </c>
      <c r="M2790" s="1" t="str">
        <f>"辽宁省 沈阳市 浑南区 五三街道"</f>
        <v>辽宁省 沈阳市 浑南区 五三街道</v>
      </c>
      <c r="N2790" s="1" t="str">
        <f t="shared" si="919"/>
        <v>凡华云仓-城南圆通-快手</v>
      </c>
      <c r="O2790" s="5" t="s">
        <v>2825</v>
      </c>
      <c r="P2790" s="6">
        <v>0.35</v>
      </c>
      <c r="Q2790" s="11">
        <v>2.2999999999999998</v>
      </c>
      <c r="R2790" s="11"/>
      <c r="S2790" s="11"/>
      <c r="T2790" s="11"/>
      <c r="U2790" s="11">
        <f t="shared" si="908"/>
        <v>2.2999999999999998</v>
      </c>
      <c r="W2790">
        <v>2.5</v>
      </c>
      <c r="X2790" s="1" t="s">
        <v>92</v>
      </c>
    </row>
    <row r="2791" spans="1:24" x14ac:dyDescent="0.25">
      <c r="A2791" s="1" t="str">
        <f t="shared" si="909"/>
        <v>卡卡杜-凤凰仓</v>
      </c>
      <c r="B2791" s="1" t="str">
        <f>"CK2024102511180"</f>
        <v>CK2024102511180</v>
      </c>
      <c r="C2791" s="1" t="str">
        <f>"DD2024102581071"</f>
        <v>DD2024102581071</v>
      </c>
      <c r="D2791" s="1" t="str">
        <f>"CK2024102579393"</f>
        <v>CK2024102579393</v>
      </c>
      <c r="E2791" s="1" t="str">
        <f>"2429901785905717"</f>
        <v>2429901785905717</v>
      </c>
      <c r="F2791" s="1" t="str">
        <f t="shared" si="910"/>
        <v>花都四部-凤凰仓</v>
      </c>
      <c r="G2791" s="1" t="str">
        <f t="shared" si="918"/>
        <v>卡卡杜佳旺专卖店（快手店）</v>
      </c>
      <c r="H2791" s="1" t="str">
        <f t="shared" si="911"/>
        <v>正常订单</v>
      </c>
      <c r="I2791" s="1" t="str">
        <f t="shared" si="912"/>
        <v>已发货</v>
      </c>
      <c r="J2791" s="1" t="str">
        <f t="shared" si="925"/>
        <v>3</v>
      </c>
      <c r="K2791" s="1">
        <v>2</v>
      </c>
      <c r="L2791" s="1" t="s">
        <v>18</v>
      </c>
      <c r="M2791" s="1" t="str">
        <f>"广东省 深圳市 龙华区 龙华街道"</f>
        <v>广东省 深圳市 龙华区 龙华街道</v>
      </c>
      <c r="N2791" s="1" t="str">
        <f t="shared" si="919"/>
        <v>凡华云仓-城南圆通-快手</v>
      </c>
      <c r="O2791" s="5" t="s">
        <v>2826</v>
      </c>
      <c r="P2791" s="6">
        <v>0.35</v>
      </c>
      <c r="Q2791" s="11">
        <v>2.2999999999999998</v>
      </c>
      <c r="R2791" s="11"/>
      <c r="S2791" s="11"/>
      <c r="T2791" s="11"/>
      <c r="U2791" s="11">
        <f t="shared" si="908"/>
        <v>2.2999999999999998</v>
      </c>
      <c r="W2791">
        <v>2.5</v>
      </c>
      <c r="X2791" s="1" t="s">
        <v>18</v>
      </c>
    </row>
    <row r="2792" spans="1:24" x14ac:dyDescent="0.25">
      <c r="A2792" s="1" t="str">
        <f t="shared" si="909"/>
        <v>卡卡杜-凤凰仓</v>
      </c>
      <c r="B2792" s="1" t="str">
        <f>"CK2024102511178"</f>
        <v>CK2024102511178</v>
      </c>
      <c r="C2792" s="1" t="str">
        <f>"DD2024102581068"</f>
        <v>DD2024102581068</v>
      </c>
      <c r="D2792" s="1" t="str">
        <f>"CK2024102579392"</f>
        <v>CK2024102579392</v>
      </c>
      <c r="E2792" s="1" t="str">
        <f>"2429902426715469"</f>
        <v>2429902426715469</v>
      </c>
      <c r="F2792" s="1" t="str">
        <f t="shared" si="910"/>
        <v>花都四部-凤凰仓</v>
      </c>
      <c r="G2792" s="1" t="str">
        <f t="shared" si="918"/>
        <v>卡卡杜佳旺专卖店（快手店）</v>
      </c>
      <c r="H2792" s="1" t="str">
        <f t="shared" si="911"/>
        <v>正常订单</v>
      </c>
      <c r="I2792" s="1" t="str">
        <f t="shared" si="912"/>
        <v>已发货</v>
      </c>
      <c r="J2792" s="1" t="str">
        <f t="shared" si="925"/>
        <v>3</v>
      </c>
      <c r="K2792" s="1">
        <v>2</v>
      </c>
      <c r="L2792" s="1" t="s">
        <v>20</v>
      </c>
      <c r="M2792" s="1" t="str">
        <f>"浙江省 宁波市 宁海县 桃源街道"</f>
        <v>浙江省 宁波市 宁海县 桃源街道</v>
      </c>
      <c r="N2792" s="1" t="str">
        <f t="shared" si="919"/>
        <v>凡华云仓-城南圆通-快手</v>
      </c>
      <c r="O2792" s="5" t="s">
        <v>2827</v>
      </c>
      <c r="P2792" s="6">
        <v>0.35</v>
      </c>
      <c r="Q2792" s="11">
        <v>2.2999999999999998</v>
      </c>
      <c r="R2792" s="11"/>
      <c r="S2792" s="11"/>
      <c r="T2792" s="11"/>
      <c r="U2792" s="11">
        <f t="shared" si="908"/>
        <v>2.2999999999999998</v>
      </c>
      <c r="W2792">
        <v>2.5</v>
      </c>
      <c r="X2792" s="1" t="s">
        <v>20</v>
      </c>
    </row>
    <row r="2793" spans="1:24" x14ac:dyDescent="0.25">
      <c r="A2793" s="1" t="str">
        <f t="shared" si="909"/>
        <v>卡卡杜-凤凰仓</v>
      </c>
      <c r="B2793" s="1" t="str">
        <f>"CK2024102511193"</f>
        <v>CK2024102511193</v>
      </c>
      <c r="C2793" s="1" t="str">
        <f>"DD2024102581081"</f>
        <v>DD2024102581081</v>
      </c>
      <c r="D2793" s="1" t="str">
        <f>"CK2024102579391"</f>
        <v>CK2024102579391</v>
      </c>
      <c r="E2793" s="1" t="str">
        <f>"2429902341601932"</f>
        <v>2429902341601932</v>
      </c>
      <c r="F2793" s="1" t="str">
        <f t="shared" si="910"/>
        <v>花都四部-凤凰仓</v>
      </c>
      <c r="G2793" s="1" t="str">
        <f t="shared" si="918"/>
        <v>卡卡杜佳旺专卖店（快手店）</v>
      </c>
      <c r="H2793" s="1" t="str">
        <f t="shared" si="911"/>
        <v>正常订单</v>
      </c>
      <c r="I2793" s="1" t="str">
        <f t="shared" si="912"/>
        <v>已发货</v>
      </c>
      <c r="J2793" s="1" t="str">
        <f t="shared" ref="J2793:J2798" si="926">"5"</f>
        <v>5</v>
      </c>
      <c r="K2793" s="1">
        <v>2</v>
      </c>
      <c r="L2793" s="1" t="s">
        <v>27</v>
      </c>
      <c r="M2793" s="1" t="str">
        <f>"贵州省 六盘水市 钟山区 凤凰街道"</f>
        <v>贵州省 六盘水市 钟山区 凤凰街道</v>
      </c>
      <c r="N2793" s="1" t="str">
        <f t="shared" si="919"/>
        <v>凡华云仓-城南圆通-快手</v>
      </c>
      <c r="O2793" s="5" t="s">
        <v>2828</v>
      </c>
      <c r="P2793" s="6">
        <v>0.59</v>
      </c>
      <c r="Q2793" s="11">
        <f t="shared" ref="Q2793:Q2798" si="927">CEILING(P2793-0.5,0.1)*10*0.15+2.3</f>
        <v>2.4499999999999997</v>
      </c>
      <c r="R2793" s="11"/>
      <c r="S2793" s="11"/>
      <c r="T2793" s="11"/>
      <c r="U2793" s="11">
        <f t="shared" si="908"/>
        <v>2.4499999999999997</v>
      </c>
      <c r="V2793" t="s">
        <v>15</v>
      </c>
      <c r="W2793">
        <v>2.4500000000000002</v>
      </c>
      <c r="X2793" s="1" t="s">
        <v>27</v>
      </c>
    </row>
    <row r="2794" spans="1:24" x14ac:dyDescent="0.25">
      <c r="A2794" s="1" t="str">
        <f t="shared" si="909"/>
        <v>卡卡杜-凤凰仓</v>
      </c>
      <c r="B2794" s="1" t="str">
        <f>"CK2024102511198"</f>
        <v>CK2024102511198</v>
      </c>
      <c r="C2794" s="1" t="str">
        <f>"DD2024102581086"</f>
        <v>DD2024102581086</v>
      </c>
      <c r="D2794" s="1" t="str">
        <f>"CK2024102579390"</f>
        <v>CK2024102579390</v>
      </c>
      <c r="E2794" s="1" t="str">
        <f>"2429901708513331"</f>
        <v>2429901708513331</v>
      </c>
      <c r="F2794" s="1" t="str">
        <f t="shared" si="910"/>
        <v>花都四部-凤凰仓</v>
      </c>
      <c r="G2794" s="1" t="str">
        <f t="shared" si="918"/>
        <v>卡卡杜佳旺专卖店（快手店）</v>
      </c>
      <c r="H2794" s="1" t="str">
        <f t="shared" si="911"/>
        <v>正常订单</v>
      </c>
      <c r="I2794" s="1" t="str">
        <f t="shared" si="912"/>
        <v>已发货</v>
      </c>
      <c r="J2794" s="1" t="str">
        <f t="shared" si="926"/>
        <v>5</v>
      </c>
      <c r="K2794" s="1">
        <v>2</v>
      </c>
      <c r="L2794" s="1" t="s">
        <v>80</v>
      </c>
      <c r="M2794" s="1" t="str">
        <f>"河南省 驻马店市 平舆县 辛店乡"</f>
        <v>河南省 驻马店市 平舆县 辛店乡</v>
      </c>
      <c r="N2794" s="1" t="str">
        <f t="shared" si="919"/>
        <v>凡华云仓-城南圆通-快手</v>
      </c>
      <c r="O2794" s="5" t="s">
        <v>2829</v>
      </c>
      <c r="P2794" s="6">
        <v>0.59</v>
      </c>
      <c r="Q2794" s="11">
        <f t="shared" si="927"/>
        <v>2.4499999999999997</v>
      </c>
      <c r="R2794" s="11"/>
      <c r="S2794" s="11"/>
      <c r="T2794" s="11"/>
      <c r="U2794" s="11">
        <f t="shared" si="908"/>
        <v>2.4499999999999997</v>
      </c>
      <c r="V2794" t="s">
        <v>15</v>
      </c>
      <c r="W2794">
        <v>2.4500000000000002</v>
      </c>
      <c r="X2794" s="1" t="s">
        <v>80</v>
      </c>
    </row>
    <row r="2795" spans="1:24" x14ac:dyDescent="0.25">
      <c r="A2795" s="1" t="str">
        <f t="shared" si="909"/>
        <v>卡卡杜-凤凰仓</v>
      </c>
      <c r="B2795" s="1" t="str">
        <f>"CK2024102511181"</f>
        <v>CK2024102511181</v>
      </c>
      <c r="C2795" s="1" t="str">
        <f>"DD2024102581070"</f>
        <v>DD2024102581070</v>
      </c>
      <c r="D2795" s="1" t="str">
        <f>"CK2024102579389"</f>
        <v>CK2024102579389</v>
      </c>
      <c r="E2795" s="1" t="str">
        <f>"2429902023001515"</f>
        <v>2429902023001515</v>
      </c>
      <c r="F2795" s="1" t="str">
        <f t="shared" si="910"/>
        <v>花都四部-凤凰仓</v>
      </c>
      <c r="G2795" s="1" t="str">
        <f t="shared" si="918"/>
        <v>卡卡杜佳旺专卖店（快手店）</v>
      </c>
      <c r="H2795" s="1" t="str">
        <f t="shared" si="911"/>
        <v>正常订单</v>
      </c>
      <c r="I2795" s="1" t="str">
        <f t="shared" si="912"/>
        <v>已发货</v>
      </c>
      <c r="J2795" s="1" t="str">
        <f t="shared" ref="J2795:J2801" si="928">"3"</f>
        <v>3</v>
      </c>
      <c r="K2795" s="1">
        <v>2</v>
      </c>
      <c r="L2795" s="1" t="s">
        <v>20</v>
      </c>
      <c r="M2795" s="1" t="str">
        <f>"浙江省 杭州市 拱墅区 祥符街道"</f>
        <v>浙江省 杭州市 拱墅区 祥符街道</v>
      </c>
      <c r="N2795" s="1" t="str">
        <f t="shared" si="919"/>
        <v>凡华云仓-城南圆通-快手</v>
      </c>
      <c r="O2795" s="5" t="s">
        <v>2830</v>
      </c>
      <c r="P2795" s="6">
        <v>0.35</v>
      </c>
      <c r="Q2795" s="11">
        <v>2.2999999999999998</v>
      </c>
      <c r="R2795" s="11"/>
      <c r="S2795" s="11"/>
      <c r="T2795" s="11"/>
      <c r="U2795" s="11">
        <f t="shared" si="908"/>
        <v>2.2999999999999998</v>
      </c>
      <c r="W2795">
        <v>2.5</v>
      </c>
      <c r="X2795" s="1" t="s">
        <v>20</v>
      </c>
    </row>
    <row r="2796" spans="1:24" x14ac:dyDescent="0.25">
      <c r="A2796" s="1" t="str">
        <f t="shared" si="909"/>
        <v>卡卡杜-凤凰仓</v>
      </c>
      <c r="B2796" s="1" t="str">
        <f>"CK2024102511164"</f>
        <v>CK2024102511164</v>
      </c>
      <c r="C2796" s="1" t="str">
        <f>"DD2024102581055"</f>
        <v>DD2024102581055</v>
      </c>
      <c r="D2796" s="1" t="str">
        <f>"CK2024102579388"</f>
        <v>CK2024102579388</v>
      </c>
      <c r="E2796" s="1" t="str">
        <f>"2429901945073662"</f>
        <v>2429901945073662</v>
      </c>
      <c r="F2796" s="1" t="str">
        <f t="shared" si="910"/>
        <v>花都四部-凤凰仓</v>
      </c>
      <c r="G2796" s="1" t="str">
        <f t="shared" si="918"/>
        <v>卡卡杜佳旺专卖店（快手店）</v>
      </c>
      <c r="H2796" s="1" t="str">
        <f t="shared" si="911"/>
        <v>正常订单</v>
      </c>
      <c r="I2796" s="1" t="str">
        <f t="shared" si="912"/>
        <v>已发货</v>
      </c>
      <c r="J2796" s="1" t="str">
        <f t="shared" si="926"/>
        <v>5</v>
      </c>
      <c r="K2796" s="1">
        <v>3</v>
      </c>
      <c r="L2796" s="1" t="s">
        <v>32</v>
      </c>
      <c r="M2796" s="1" t="str">
        <f>"陕西省 西安市 碑林区 文艺路街道"</f>
        <v>陕西省 西安市 碑林区 文艺路街道</v>
      </c>
      <c r="N2796" s="1" t="str">
        <f t="shared" si="919"/>
        <v>凡华云仓-城南圆通-快手</v>
      </c>
      <c r="O2796" s="5" t="s">
        <v>2831</v>
      </c>
      <c r="P2796" s="6">
        <v>0.55000000000000004</v>
      </c>
      <c r="Q2796" s="11">
        <f t="shared" si="927"/>
        <v>2.4499999999999997</v>
      </c>
      <c r="R2796" s="11"/>
      <c r="S2796" s="11"/>
      <c r="T2796" s="11"/>
      <c r="U2796" s="11">
        <f t="shared" si="908"/>
        <v>2.4499999999999997</v>
      </c>
      <c r="V2796" t="s">
        <v>15</v>
      </c>
      <c r="W2796">
        <v>2.4500000000000002</v>
      </c>
      <c r="X2796" s="1" t="s">
        <v>32</v>
      </c>
    </row>
    <row r="2797" spans="1:24" x14ac:dyDescent="0.25">
      <c r="A2797" s="1" t="str">
        <f t="shared" si="909"/>
        <v>卡卡杜-凤凰仓</v>
      </c>
      <c r="B2797" s="1" t="str">
        <f>"CK20241025169"</f>
        <v>CK20241025169</v>
      </c>
      <c r="C2797" s="1" t="str">
        <f>"DD2024102545654"</f>
        <v>DD2024102545654</v>
      </c>
      <c r="D2797" s="1" t="str">
        <f>"CK2024102550547"</f>
        <v>CK2024102550547</v>
      </c>
      <c r="E2797" s="1" t="str">
        <f>"2429902101520384"</f>
        <v>2429902101520384</v>
      </c>
      <c r="F2797" s="1" t="str">
        <f t="shared" si="910"/>
        <v>花都四部-凤凰仓</v>
      </c>
      <c r="G2797" s="1" t="str">
        <f t="shared" si="918"/>
        <v>卡卡杜佳旺专卖店（快手店）</v>
      </c>
      <c r="H2797" s="1" t="str">
        <f t="shared" si="911"/>
        <v>正常订单</v>
      </c>
      <c r="I2797" s="1" t="str">
        <f t="shared" si="912"/>
        <v>已发货</v>
      </c>
      <c r="J2797" s="1" t="str">
        <f t="shared" si="926"/>
        <v>5</v>
      </c>
      <c r="K2797" s="1">
        <v>2</v>
      </c>
      <c r="L2797" s="1" t="s">
        <v>32</v>
      </c>
      <c r="M2797" s="1" t="str">
        <f>"陕西省 西安市 未央区 大明宫街道"</f>
        <v>陕西省 西安市 未央区 大明宫街道</v>
      </c>
      <c r="N2797" s="1" t="str">
        <f t="shared" si="919"/>
        <v>凡华云仓-城南圆通-快手</v>
      </c>
      <c r="O2797" s="5" t="s">
        <v>2832</v>
      </c>
      <c r="P2797" s="6">
        <v>0.59</v>
      </c>
      <c r="Q2797" s="11">
        <f t="shared" si="927"/>
        <v>2.4499999999999997</v>
      </c>
      <c r="R2797" s="11"/>
      <c r="S2797" s="11"/>
      <c r="T2797" s="11"/>
      <c r="U2797" s="11">
        <f t="shared" si="908"/>
        <v>2.4499999999999997</v>
      </c>
      <c r="V2797" t="s">
        <v>15</v>
      </c>
      <c r="W2797">
        <v>2.4500000000000002</v>
      </c>
      <c r="X2797" s="1" t="s">
        <v>32</v>
      </c>
    </row>
    <row r="2798" spans="1:24" x14ac:dyDescent="0.25">
      <c r="A2798" s="1" t="str">
        <f t="shared" si="909"/>
        <v>卡卡杜-凤凰仓</v>
      </c>
      <c r="B2798" s="1" t="str">
        <f>"CK20241025170"</f>
        <v>CK20241025170</v>
      </c>
      <c r="C2798" s="1" t="str">
        <f>"DD2024102545652"</f>
        <v>DD2024102545652</v>
      </c>
      <c r="D2798" s="1" t="str">
        <f>"CK2024102550546"</f>
        <v>CK2024102550546</v>
      </c>
      <c r="E2798" s="1" t="str">
        <f>"2429901784011588"</f>
        <v>2429901784011588</v>
      </c>
      <c r="F2798" s="1" t="str">
        <f t="shared" si="910"/>
        <v>花都四部-凤凰仓</v>
      </c>
      <c r="G2798" s="1" t="str">
        <f t="shared" si="918"/>
        <v>卡卡杜佳旺专卖店（快手店）</v>
      </c>
      <c r="H2798" s="1" t="str">
        <f t="shared" si="911"/>
        <v>正常订单</v>
      </c>
      <c r="I2798" s="1" t="str">
        <f t="shared" si="912"/>
        <v>已发货</v>
      </c>
      <c r="J2798" s="1" t="str">
        <f t="shared" si="926"/>
        <v>5</v>
      </c>
      <c r="K2798" s="1">
        <v>2</v>
      </c>
      <c r="L2798" s="1" t="s">
        <v>18</v>
      </c>
      <c r="M2798" s="1" t="str">
        <f>"广东省 深圳市 宝安区 福海街道"</f>
        <v>广东省 深圳市 宝安区 福海街道</v>
      </c>
      <c r="N2798" s="1" t="str">
        <f t="shared" si="919"/>
        <v>凡华云仓-城南圆通-快手</v>
      </c>
      <c r="O2798" s="5" t="s">
        <v>2833</v>
      </c>
      <c r="P2798" s="6">
        <v>0.59</v>
      </c>
      <c r="Q2798" s="11">
        <f t="shared" si="927"/>
        <v>2.4499999999999997</v>
      </c>
      <c r="R2798" s="11"/>
      <c r="S2798" s="11"/>
      <c r="T2798" s="11"/>
      <c r="U2798" s="11">
        <f t="shared" si="908"/>
        <v>2.4499999999999997</v>
      </c>
      <c r="V2798" t="s">
        <v>15</v>
      </c>
      <c r="W2798">
        <v>2.4500000000000002</v>
      </c>
      <c r="X2798" s="1" t="s">
        <v>18</v>
      </c>
    </row>
    <row r="2799" spans="1:24" x14ac:dyDescent="0.25">
      <c r="A2799" s="1" t="str">
        <f t="shared" si="909"/>
        <v>卡卡杜-凤凰仓</v>
      </c>
      <c r="B2799" s="1" t="str">
        <f>"CK2024102557"</f>
        <v>CK2024102557</v>
      </c>
      <c r="C2799" s="1" t="str">
        <f>"DD2024102545401"</f>
        <v>DD2024102545401</v>
      </c>
      <c r="D2799" s="1" t="str">
        <f>"CK2024102550545"</f>
        <v>CK2024102550545</v>
      </c>
      <c r="E2799" s="1" t="str">
        <f>"2429902100067173"</f>
        <v>2429902100067173</v>
      </c>
      <c r="F2799" s="1" t="str">
        <f t="shared" si="910"/>
        <v>花都四部-凤凰仓</v>
      </c>
      <c r="G2799" s="1" t="str">
        <f t="shared" si="918"/>
        <v>卡卡杜佳旺专卖店（快手店）</v>
      </c>
      <c r="H2799" s="1" t="str">
        <f t="shared" si="911"/>
        <v>正常订单</v>
      </c>
      <c r="I2799" s="1" t="str">
        <f t="shared" si="912"/>
        <v>已发货</v>
      </c>
      <c r="J2799" s="1" t="str">
        <f t="shared" si="928"/>
        <v>3</v>
      </c>
      <c r="K2799" s="1">
        <v>2</v>
      </c>
      <c r="L2799" s="1" t="s">
        <v>18</v>
      </c>
      <c r="M2799" s="1" t="str">
        <f>"广东省 深圳市 光明区 马田街道"</f>
        <v>广东省 深圳市 光明区 马田街道</v>
      </c>
      <c r="N2799" s="1" t="str">
        <f t="shared" si="919"/>
        <v>凡华云仓-城南圆通-快手</v>
      </c>
      <c r="O2799" s="5" t="s">
        <v>2834</v>
      </c>
      <c r="P2799" s="6">
        <v>0.35</v>
      </c>
      <c r="Q2799" s="11">
        <v>2.2999999999999998</v>
      </c>
      <c r="R2799" s="11"/>
      <c r="S2799" s="11"/>
      <c r="T2799" s="11"/>
      <c r="U2799" s="11">
        <f t="shared" si="908"/>
        <v>2.2999999999999998</v>
      </c>
      <c r="W2799">
        <v>2.5</v>
      </c>
      <c r="X2799" s="1" t="s">
        <v>18</v>
      </c>
    </row>
    <row r="2800" spans="1:24" x14ac:dyDescent="0.25">
      <c r="A2800" s="1" t="str">
        <f t="shared" si="909"/>
        <v>卡卡杜-凤凰仓</v>
      </c>
      <c r="B2800" s="1" t="str">
        <f>"CK2024102558"</f>
        <v>CK2024102558</v>
      </c>
      <c r="C2800" s="1" t="str">
        <f>"DD2024102545404"</f>
        <v>DD2024102545404</v>
      </c>
      <c r="D2800" s="1" t="str">
        <f>"CK2024102550544"</f>
        <v>CK2024102550544</v>
      </c>
      <c r="E2800" s="1" t="str">
        <f>"2429901780971074"</f>
        <v>2429901780971074</v>
      </c>
      <c r="F2800" s="1" t="str">
        <f t="shared" si="910"/>
        <v>花都四部-凤凰仓</v>
      </c>
      <c r="G2800" s="1" t="str">
        <f t="shared" si="918"/>
        <v>卡卡杜佳旺专卖店（快手店）</v>
      </c>
      <c r="H2800" s="1" t="str">
        <f t="shared" si="911"/>
        <v>正常订单</v>
      </c>
      <c r="I2800" s="1" t="str">
        <f t="shared" si="912"/>
        <v>已发货</v>
      </c>
      <c r="J2800" s="1" t="str">
        <f t="shared" si="928"/>
        <v>3</v>
      </c>
      <c r="K2800" s="1">
        <v>2</v>
      </c>
      <c r="L2800" s="1" t="s">
        <v>13</v>
      </c>
      <c r="M2800" s="1" t="str">
        <f>"江苏省 南京市 江宁区 湖熟街道"</f>
        <v>江苏省 南京市 江宁区 湖熟街道</v>
      </c>
      <c r="N2800" s="1" t="str">
        <f t="shared" si="919"/>
        <v>凡华云仓-城南圆通-快手</v>
      </c>
      <c r="O2800" s="5" t="s">
        <v>2835</v>
      </c>
      <c r="P2800" s="6">
        <v>0.35</v>
      </c>
      <c r="Q2800" s="11">
        <v>2.2999999999999998</v>
      </c>
      <c r="R2800" s="11"/>
      <c r="S2800" s="11"/>
      <c r="T2800" s="11"/>
      <c r="U2800" s="11">
        <f t="shared" si="908"/>
        <v>2.2999999999999998</v>
      </c>
      <c r="W2800">
        <v>2.5</v>
      </c>
      <c r="X2800" s="1" t="s">
        <v>13</v>
      </c>
    </row>
    <row r="2801" spans="1:24" x14ac:dyDescent="0.25">
      <c r="A2801" s="1" t="str">
        <f t="shared" si="909"/>
        <v>卡卡杜-凤凰仓</v>
      </c>
      <c r="B2801" s="1" t="str">
        <f>"CK2024102559"</f>
        <v>CK2024102559</v>
      </c>
      <c r="C2801" s="1" t="str">
        <f>"DD2024102545403"</f>
        <v>DD2024102545403</v>
      </c>
      <c r="D2801" s="1" t="str">
        <f>"CK2024102550543"</f>
        <v>CK2024102550543</v>
      </c>
      <c r="E2801" s="1" t="str">
        <f>"2429901695187396"</f>
        <v>2429901695187396</v>
      </c>
      <c r="F2801" s="1" t="str">
        <f t="shared" si="910"/>
        <v>花都四部-凤凰仓</v>
      </c>
      <c r="G2801" s="1" t="str">
        <f t="shared" si="918"/>
        <v>卡卡杜佳旺专卖店（快手店）</v>
      </c>
      <c r="H2801" s="1" t="str">
        <f t="shared" si="911"/>
        <v>正常订单</v>
      </c>
      <c r="I2801" s="1" t="str">
        <f t="shared" si="912"/>
        <v>已发货</v>
      </c>
      <c r="J2801" s="1" t="str">
        <f t="shared" si="928"/>
        <v>3</v>
      </c>
      <c r="K2801" s="1">
        <v>2</v>
      </c>
      <c r="L2801" s="1" t="s">
        <v>18</v>
      </c>
      <c r="M2801" s="1" t="str">
        <f>"广东省 深圳市 宝安区 沙井街道"</f>
        <v>广东省 深圳市 宝安区 沙井街道</v>
      </c>
      <c r="N2801" s="1" t="str">
        <f t="shared" si="919"/>
        <v>凡华云仓-城南圆通-快手</v>
      </c>
      <c r="O2801" s="5" t="s">
        <v>2836</v>
      </c>
      <c r="P2801" s="6">
        <v>0.35</v>
      </c>
      <c r="Q2801" s="11">
        <v>2.2999999999999998</v>
      </c>
      <c r="R2801" s="11"/>
      <c r="S2801" s="11"/>
      <c r="T2801" s="11"/>
      <c r="U2801" s="11">
        <f t="shared" si="908"/>
        <v>2.2999999999999998</v>
      </c>
      <c r="W2801">
        <v>2.5</v>
      </c>
      <c r="X2801" s="1" t="s">
        <v>18</v>
      </c>
    </row>
    <row r="2802" spans="1:24" x14ac:dyDescent="0.25">
      <c r="A2802" s="1" t="str">
        <f t="shared" si="909"/>
        <v>卡卡杜-凤凰仓</v>
      </c>
      <c r="B2802" s="1" t="str">
        <f>"CK20241025171"</f>
        <v>CK20241025171</v>
      </c>
      <c r="C2802" s="1" t="str">
        <f>"DD2024102545653"</f>
        <v>DD2024102545653</v>
      </c>
      <c r="D2802" s="1" t="str">
        <f>"CK2024102550542"</f>
        <v>CK2024102550542</v>
      </c>
      <c r="E2802" s="1" t="str">
        <f>"2429902498537580"</f>
        <v>2429902498537580</v>
      </c>
      <c r="F2802" s="1" t="str">
        <f t="shared" si="910"/>
        <v>花都四部-凤凰仓</v>
      </c>
      <c r="G2802" s="1" t="str">
        <f t="shared" si="918"/>
        <v>卡卡杜佳旺专卖店（快手店）</v>
      </c>
      <c r="H2802" s="1" t="str">
        <f t="shared" si="911"/>
        <v>正常订单</v>
      </c>
      <c r="I2802" s="1" t="str">
        <f t="shared" si="912"/>
        <v>已发货</v>
      </c>
      <c r="J2802" s="1" t="str">
        <f t="shared" ref="J2802:J2805" si="929">"5"</f>
        <v>5</v>
      </c>
      <c r="K2802" s="1">
        <v>2</v>
      </c>
      <c r="L2802" s="1" t="s">
        <v>22</v>
      </c>
      <c r="M2802" s="1" t="str">
        <f>"江西省 宜春市 袁州区 官园街道"</f>
        <v>江西省 宜春市 袁州区 官园街道</v>
      </c>
      <c r="N2802" s="1" t="str">
        <f t="shared" si="919"/>
        <v>凡华云仓-城南圆通-快手</v>
      </c>
      <c r="O2802" s="5" t="s">
        <v>2837</v>
      </c>
      <c r="P2802" s="6">
        <v>0.59</v>
      </c>
      <c r="Q2802" s="11">
        <f t="shared" ref="Q2802:Q2805" si="930">CEILING(P2802-0.5,0.1)*10*0.15+2.3</f>
        <v>2.4499999999999997</v>
      </c>
      <c r="R2802" s="11"/>
      <c r="S2802" s="11"/>
      <c r="T2802" s="11"/>
      <c r="U2802" s="11">
        <f t="shared" si="908"/>
        <v>2.4499999999999997</v>
      </c>
      <c r="V2802" t="s">
        <v>15</v>
      </c>
      <c r="W2802">
        <v>2.4500000000000002</v>
      </c>
      <c r="X2802" s="1" t="s">
        <v>22</v>
      </c>
    </row>
    <row r="2803" spans="1:24" x14ac:dyDescent="0.25">
      <c r="A2803" s="1" t="str">
        <f t="shared" si="909"/>
        <v>卡卡杜-凤凰仓</v>
      </c>
      <c r="B2803" s="1" t="str">
        <f>"CK2024102563"</f>
        <v>CK2024102563</v>
      </c>
      <c r="C2803" s="1" t="str">
        <f>"DD2024102545407"</f>
        <v>DD2024102545407</v>
      </c>
      <c r="D2803" s="1" t="str">
        <f>"CK2024102550541"</f>
        <v>CK2024102550541</v>
      </c>
      <c r="E2803" s="1" t="str">
        <f>"2429901784272090"</f>
        <v>2429901784272090</v>
      </c>
      <c r="F2803" s="1" t="str">
        <f t="shared" si="910"/>
        <v>花都四部-凤凰仓</v>
      </c>
      <c r="G2803" s="1" t="str">
        <f t="shared" si="918"/>
        <v>卡卡杜佳旺专卖店（快手店）</v>
      </c>
      <c r="H2803" s="1" t="str">
        <f t="shared" si="911"/>
        <v>正常订单</v>
      </c>
      <c r="I2803" s="1" t="str">
        <f t="shared" si="912"/>
        <v>已发货</v>
      </c>
      <c r="J2803" s="1" t="str">
        <f t="shared" ref="J2803:J2807" si="931">"3"</f>
        <v>3</v>
      </c>
      <c r="K2803" s="1">
        <v>2</v>
      </c>
      <c r="L2803" s="1" t="s">
        <v>18</v>
      </c>
      <c r="M2803" s="1" t="str">
        <f>"广东省 广州市 增城区 新塘镇"</f>
        <v>广东省 广州市 增城区 新塘镇</v>
      </c>
      <c r="N2803" s="1" t="str">
        <f t="shared" si="919"/>
        <v>凡华云仓-城南圆通-快手</v>
      </c>
      <c r="O2803" s="5" t="s">
        <v>2838</v>
      </c>
      <c r="P2803" s="6">
        <v>0.35</v>
      </c>
      <c r="Q2803" s="11">
        <v>2.2999999999999998</v>
      </c>
      <c r="R2803" s="11"/>
      <c r="S2803" s="11"/>
      <c r="T2803" s="11"/>
      <c r="U2803" s="11">
        <f t="shared" si="908"/>
        <v>2.2999999999999998</v>
      </c>
      <c r="W2803">
        <v>2.5</v>
      </c>
      <c r="X2803" s="1" t="s">
        <v>18</v>
      </c>
    </row>
    <row r="2804" spans="1:24" x14ac:dyDescent="0.25">
      <c r="A2804" s="1" t="str">
        <f t="shared" si="909"/>
        <v>卡卡杜-凤凰仓</v>
      </c>
      <c r="B2804" s="1" t="str">
        <f>"CK20241025173"</f>
        <v>CK20241025173</v>
      </c>
      <c r="C2804" s="1" t="str">
        <f>"DD2024102545655"</f>
        <v>DD2024102545655</v>
      </c>
      <c r="D2804" s="1" t="str">
        <f>"CK2024102550540"</f>
        <v>CK2024102550540</v>
      </c>
      <c r="E2804" s="1" t="str">
        <f>"2429902027763213"</f>
        <v>2429902027763213</v>
      </c>
      <c r="F2804" s="1" t="str">
        <f t="shared" si="910"/>
        <v>花都四部-凤凰仓</v>
      </c>
      <c r="G2804" s="1" t="str">
        <f t="shared" si="918"/>
        <v>卡卡杜佳旺专卖店（快手店）</v>
      </c>
      <c r="H2804" s="1" t="str">
        <f t="shared" si="911"/>
        <v>正常订单</v>
      </c>
      <c r="I2804" s="1" t="str">
        <f t="shared" si="912"/>
        <v>已发货</v>
      </c>
      <c r="J2804" s="1" t="str">
        <f t="shared" si="929"/>
        <v>5</v>
      </c>
      <c r="K2804" s="1">
        <v>2</v>
      </c>
      <c r="L2804" s="1" t="s">
        <v>52</v>
      </c>
      <c r="M2804" s="1" t="str">
        <f>"甘肃省 兰州市 红古区 窑街街道"</f>
        <v>甘肃省 兰州市 红古区 窑街街道</v>
      </c>
      <c r="N2804" s="1" t="str">
        <f t="shared" si="919"/>
        <v>凡华云仓-城南圆通-快手</v>
      </c>
      <c r="O2804" s="5" t="s">
        <v>2839</v>
      </c>
      <c r="P2804" s="6">
        <v>0.59</v>
      </c>
      <c r="Q2804" s="11">
        <f t="shared" si="930"/>
        <v>2.4499999999999997</v>
      </c>
      <c r="R2804" s="11"/>
      <c r="S2804" s="11"/>
      <c r="T2804" s="11"/>
      <c r="U2804" s="11">
        <f t="shared" si="908"/>
        <v>2.4499999999999997</v>
      </c>
      <c r="V2804" t="s">
        <v>15</v>
      </c>
      <c r="W2804">
        <v>2.4500000000000002</v>
      </c>
      <c r="X2804" s="1" t="s">
        <v>52</v>
      </c>
    </row>
    <row r="2805" spans="1:24" x14ac:dyDescent="0.25">
      <c r="A2805" s="1" t="str">
        <f t="shared" si="909"/>
        <v>卡卡杜-凤凰仓</v>
      </c>
      <c r="B2805" s="1" t="str">
        <f>"CK20241025177"</f>
        <v>CK20241025177</v>
      </c>
      <c r="C2805" s="1" t="str">
        <f>"DD2024102545658"</f>
        <v>DD2024102545658</v>
      </c>
      <c r="D2805" s="1" t="str">
        <f>"CK2024102550539"</f>
        <v>CK2024102550539</v>
      </c>
      <c r="E2805" s="1" t="str">
        <f>"2429801937729459"</f>
        <v>2429801937729459</v>
      </c>
      <c r="F2805" s="1" t="str">
        <f t="shared" si="910"/>
        <v>花都四部-凤凰仓</v>
      </c>
      <c r="G2805" s="1" t="str">
        <f t="shared" si="918"/>
        <v>卡卡杜佳旺专卖店（快手店）</v>
      </c>
      <c r="H2805" s="1" t="str">
        <f t="shared" si="911"/>
        <v>正常订单</v>
      </c>
      <c r="I2805" s="1" t="str">
        <f t="shared" si="912"/>
        <v>已发货</v>
      </c>
      <c r="J2805" s="1" t="str">
        <f t="shared" si="929"/>
        <v>5</v>
      </c>
      <c r="K2805" s="1">
        <v>2</v>
      </c>
      <c r="L2805" s="1" t="s">
        <v>161</v>
      </c>
      <c r="M2805" s="1" t="str">
        <f>"四川省 成都市 青羊区 蔡桥街道"</f>
        <v>四川省 成都市 青羊区 蔡桥街道</v>
      </c>
      <c r="N2805" s="1" t="str">
        <f t="shared" si="919"/>
        <v>凡华云仓-城南圆通-快手</v>
      </c>
      <c r="O2805" s="5" t="s">
        <v>2840</v>
      </c>
      <c r="P2805" s="6">
        <v>0.59</v>
      </c>
      <c r="Q2805" s="11">
        <f t="shared" si="930"/>
        <v>2.4499999999999997</v>
      </c>
      <c r="R2805" s="11"/>
      <c r="S2805" s="11"/>
      <c r="T2805" s="11"/>
      <c r="U2805" s="11">
        <f t="shared" si="908"/>
        <v>2.4499999999999997</v>
      </c>
      <c r="V2805" t="s">
        <v>15</v>
      </c>
      <c r="W2805">
        <v>2.4500000000000002</v>
      </c>
      <c r="X2805" s="1" t="s">
        <v>161</v>
      </c>
    </row>
    <row r="2806" spans="1:24" x14ac:dyDescent="0.25">
      <c r="A2806" s="1" t="str">
        <f t="shared" si="909"/>
        <v>卡卡杜-凤凰仓</v>
      </c>
      <c r="B2806" s="1" t="str">
        <f>"CK2024102577"</f>
        <v>CK2024102577</v>
      </c>
      <c r="C2806" s="1" t="str">
        <f>"DD2024102545423"</f>
        <v>DD2024102545423</v>
      </c>
      <c r="D2806" s="1" t="str">
        <f>"CK2024102550538"</f>
        <v>CK2024102550538</v>
      </c>
      <c r="E2806" s="1" t="str">
        <f>"2429801692464699"</f>
        <v>2429801692464699</v>
      </c>
      <c r="F2806" s="1" t="str">
        <f t="shared" si="910"/>
        <v>花都四部-凤凰仓</v>
      </c>
      <c r="G2806" s="1" t="str">
        <f t="shared" si="918"/>
        <v>卡卡杜佳旺专卖店（快手店）</v>
      </c>
      <c r="H2806" s="1" t="str">
        <f t="shared" si="911"/>
        <v>正常订单</v>
      </c>
      <c r="I2806" s="1" t="str">
        <f t="shared" si="912"/>
        <v>已发货</v>
      </c>
      <c r="J2806" s="1" t="str">
        <f t="shared" si="931"/>
        <v>3</v>
      </c>
      <c r="K2806" s="1">
        <v>2</v>
      </c>
      <c r="L2806" s="1" t="s">
        <v>13</v>
      </c>
      <c r="M2806" s="1" t="str">
        <f>"江苏省 苏州市 昆山市 张浦镇"</f>
        <v>江苏省 苏州市 昆山市 张浦镇</v>
      </c>
      <c r="N2806" s="1" t="str">
        <f t="shared" si="919"/>
        <v>凡华云仓-城南圆通-快手</v>
      </c>
      <c r="O2806" s="5" t="s">
        <v>2841</v>
      </c>
      <c r="P2806" s="6">
        <v>0.35</v>
      </c>
      <c r="Q2806" s="11">
        <v>2.2999999999999998</v>
      </c>
      <c r="R2806" s="11"/>
      <c r="S2806" s="11"/>
      <c r="T2806" s="11"/>
      <c r="U2806" s="11">
        <f t="shared" si="908"/>
        <v>2.2999999999999998</v>
      </c>
      <c r="W2806">
        <v>2.5</v>
      </c>
      <c r="X2806" s="1" t="s">
        <v>13</v>
      </c>
    </row>
    <row r="2807" spans="1:24" x14ac:dyDescent="0.25">
      <c r="A2807" s="1" t="str">
        <f t="shared" si="909"/>
        <v>卡卡杜-凤凰仓</v>
      </c>
      <c r="B2807" s="1" t="str">
        <f>"CK2024102569"</f>
        <v>CK2024102569</v>
      </c>
      <c r="C2807" s="1" t="str">
        <f>"DD2024102545414"</f>
        <v>DD2024102545414</v>
      </c>
      <c r="D2807" s="1" t="str">
        <f>"CK2024102550537"</f>
        <v>CK2024102550537</v>
      </c>
      <c r="E2807" s="1" t="str">
        <f>"2429902254289790"</f>
        <v>2429902254289790</v>
      </c>
      <c r="F2807" s="1" t="str">
        <f t="shared" si="910"/>
        <v>花都四部-凤凰仓</v>
      </c>
      <c r="G2807" s="1" t="str">
        <f t="shared" si="918"/>
        <v>卡卡杜佳旺专卖店（快手店）</v>
      </c>
      <c r="H2807" s="1" t="str">
        <f t="shared" si="911"/>
        <v>正常订单</v>
      </c>
      <c r="I2807" s="1" t="str">
        <f t="shared" si="912"/>
        <v>已发货</v>
      </c>
      <c r="J2807" s="1" t="str">
        <f t="shared" si="931"/>
        <v>3</v>
      </c>
      <c r="K2807" s="1">
        <v>2</v>
      </c>
      <c r="L2807" s="1" t="s">
        <v>41</v>
      </c>
      <c r="M2807" s="1" t="str">
        <f>"湖北省 武汉市 武昌区 杨园街道"</f>
        <v>湖北省 武汉市 武昌区 杨园街道</v>
      </c>
      <c r="N2807" s="1" t="str">
        <f t="shared" si="919"/>
        <v>凡华云仓-城南圆通-快手</v>
      </c>
      <c r="O2807" s="5" t="s">
        <v>2842</v>
      </c>
      <c r="P2807" s="6">
        <v>0.35</v>
      </c>
      <c r="Q2807" s="11">
        <v>2.2999999999999998</v>
      </c>
      <c r="R2807" s="11"/>
      <c r="S2807" s="11"/>
      <c r="T2807" s="11"/>
      <c r="U2807" s="11">
        <f t="shared" si="908"/>
        <v>2.2999999999999998</v>
      </c>
      <c r="W2807">
        <v>2.5</v>
      </c>
      <c r="X2807" s="1" t="s">
        <v>41</v>
      </c>
    </row>
    <row r="2808" spans="1:24" x14ac:dyDescent="0.25">
      <c r="A2808" s="1" t="str">
        <f t="shared" si="909"/>
        <v>卡卡杜-凤凰仓</v>
      </c>
      <c r="B2808" s="1" t="str">
        <f>"CK20241025174"</f>
        <v>CK20241025174</v>
      </c>
      <c r="C2808" s="1" t="str">
        <f>"DD2024102545656"</f>
        <v>DD2024102545656</v>
      </c>
      <c r="D2808" s="1" t="str">
        <f>"CK2024102550536"</f>
        <v>CK2024102550536</v>
      </c>
      <c r="E2808" s="1" t="str">
        <f>"2429902249073088"</f>
        <v>2429902249073088</v>
      </c>
      <c r="F2808" s="1" t="str">
        <f t="shared" si="910"/>
        <v>花都四部-凤凰仓</v>
      </c>
      <c r="G2808" s="1" t="str">
        <f t="shared" si="918"/>
        <v>卡卡杜佳旺专卖店（快手店）</v>
      </c>
      <c r="H2808" s="1" t="str">
        <f t="shared" si="911"/>
        <v>正常订单</v>
      </c>
      <c r="I2808" s="1" t="str">
        <f t="shared" si="912"/>
        <v>已发货</v>
      </c>
      <c r="J2808" s="1" t="str">
        <f>"5"</f>
        <v>5</v>
      </c>
      <c r="K2808" s="1">
        <v>2</v>
      </c>
      <c r="L2808" s="1" t="s">
        <v>18</v>
      </c>
      <c r="M2808" s="1" t="str">
        <f>"广东省 惠州市 博罗县 石湾镇"</f>
        <v>广东省 惠州市 博罗县 石湾镇</v>
      </c>
      <c r="N2808" s="1" t="str">
        <f t="shared" si="919"/>
        <v>凡华云仓-城南圆通-快手</v>
      </c>
      <c r="O2808" s="5" t="s">
        <v>2843</v>
      </c>
      <c r="P2808" s="6">
        <v>0.59</v>
      </c>
      <c r="Q2808" s="11">
        <f>CEILING(P2808-0.5,0.1)*10*0.15+2.3</f>
        <v>2.4499999999999997</v>
      </c>
      <c r="R2808" s="11"/>
      <c r="S2808" s="11"/>
      <c r="T2808" s="11"/>
      <c r="U2808" s="11">
        <f t="shared" si="908"/>
        <v>2.4499999999999997</v>
      </c>
      <c r="V2808" t="s">
        <v>15</v>
      </c>
      <c r="W2808">
        <v>2.4500000000000002</v>
      </c>
      <c r="X2808" s="1" t="s">
        <v>18</v>
      </c>
    </row>
    <row r="2809" spans="1:24" x14ac:dyDescent="0.25">
      <c r="A2809" s="1" t="str">
        <f t="shared" si="909"/>
        <v>卡卡杜-凤凰仓</v>
      </c>
      <c r="B2809" s="1" t="str">
        <f>"CK2024102570"</f>
        <v>CK2024102570</v>
      </c>
      <c r="C2809" s="1" t="str">
        <f>"DD2024102545417"</f>
        <v>DD2024102545417</v>
      </c>
      <c r="D2809" s="1" t="str">
        <f>"CK2024102550535"</f>
        <v>CK2024102550535</v>
      </c>
      <c r="E2809" s="1" t="str">
        <f>"2429902010720343"</f>
        <v>2429902010720343</v>
      </c>
      <c r="F2809" s="1" t="str">
        <f t="shared" si="910"/>
        <v>花都四部-凤凰仓</v>
      </c>
      <c r="G2809" s="1" t="str">
        <f t="shared" si="918"/>
        <v>卡卡杜佳旺专卖店（快手店）</v>
      </c>
      <c r="H2809" s="1" t="str">
        <f t="shared" si="911"/>
        <v>正常订单</v>
      </c>
      <c r="I2809" s="1" t="str">
        <f t="shared" si="912"/>
        <v>已发货</v>
      </c>
      <c r="J2809" s="1" t="str">
        <f t="shared" ref="J2809:J2813" si="932">"3"</f>
        <v>3</v>
      </c>
      <c r="K2809" s="1">
        <v>2</v>
      </c>
      <c r="L2809" s="1" t="s">
        <v>92</v>
      </c>
      <c r="M2809" s="1" t="str">
        <f>"辽宁省 沈阳市 铁西区 兴顺街道"</f>
        <v>辽宁省 沈阳市 铁西区 兴顺街道</v>
      </c>
      <c r="N2809" s="1" t="str">
        <f t="shared" si="919"/>
        <v>凡华云仓-城南圆通-快手</v>
      </c>
      <c r="O2809" s="5" t="s">
        <v>2844</v>
      </c>
      <c r="P2809" s="6">
        <v>0.35</v>
      </c>
      <c r="Q2809" s="11">
        <v>2.2999999999999998</v>
      </c>
      <c r="R2809" s="11"/>
      <c r="S2809" s="11"/>
      <c r="T2809" s="11"/>
      <c r="U2809" s="11">
        <f t="shared" si="908"/>
        <v>2.2999999999999998</v>
      </c>
      <c r="W2809">
        <v>2.5</v>
      </c>
      <c r="X2809" s="1" t="s">
        <v>92</v>
      </c>
    </row>
    <row r="2810" spans="1:24" x14ac:dyDescent="0.25">
      <c r="A2810" s="1" t="str">
        <f t="shared" si="909"/>
        <v>卡卡杜-凤凰仓</v>
      </c>
      <c r="B2810" s="1" t="str">
        <f>"CK2024102572"</f>
        <v>CK2024102572</v>
      </c>
      <c r="C2810" s="1" t="str">
        <f>"DD2024102545418"</f>
        <v>DD2024102545418</v>
      </c>
      <c r="D2810" s="1" t="str">
        <f>"CK2024102550534"</f>
        <v>CK2024102550534</v>
      </c>
      <c r="E2810" s="1" t="str">
        <f>"2429902161673162"</f>
        <v>2429902161673162</v>
      </c>
      <c r="F2810" s="1" t="str">
        <f t="shared" si="910"/>
        <v>花都四部-凤凰仓</v>
      </c>
      <c r="G2810" s="1" t="str">
        <f t="shared" si="918"/>
        <v>卡卡杜佳旺专卖店（快手店）</v>
      </c>
      <c r="H2810" s="1" t="str">
        <f t="shared" si="911"/>
        <v>正常订单</v>
      </c>
      <c r="I2810" s="1" t="str">
        <f t="shared" si="912"/>
        <v>已发货</v>
      </c>
      <c r="J2810" s="1" t="str">
        <f t="shared" si="932"/>
        <v>3</v>
      </c>
      <c r="K2810" s="1">
        <v>2</v>
      </c>
      <c r="L2810" s="1" t="s">
        <v>41</v>
      </c>
      <c r="M2810" s="1" t="str">
        <f>"湖北省 恩施土家族苗族自治州 建始县 红岩寺镇"</f>
        <v>湖北省 恩施土家族苗族自治州 建始县 红岩寺镇</v>
      </c>
      <c r="N2810" s="1" t="str">
        <f t="shared" si="919"/>
        <v>凡华云仓-城南圆通-快手</v>
      </c>
      <c r="O2810" s="5" t="s">
        <v>2845</v>
      </c>
      <c r="P2810" s="6">
        <v>0.35</v>
      </c>
      <c r="Q2810" s="11">
        <v>2.2999999999999998</v>
      </c>
      <c r="R2810" s="11"/>
      <c r="S2810" s="11"/>
      <c r="T2810" s="11"/>
      <c r="U2810" s="11">
        <f t="shared" si="908"/>
        <v>2.2999999999999998</v>
      </c>
      <c r="W2810">
        <v>2.5</v>
      </c>
      <c r="X2810" s="1" t="s">
        <v>41</v>
      </c>
    </row>
    <row r="2811" spans="1:24" x14ac:dyDescent="0.25">
      <c r="A2811" s="1" t="str">
        <f t="shared" si="909"/>
        <v>卡卡杜-凤凰仓</v>
      </c>
      <c r="B2811" s="1" t="str">
        <f>"CK20241025175"</f>
        <v>CK20241025175</v>
      </c>
      <c r="C2811" s="1" t="str">
        <f>"DD2024102545657"</f>
        <v>DD2024102545657</v>
      </c>
      <c r="D2811" s="1" t="str">
        <f>"CK2024102550533"</f>
        <v>CK2024102550533</v>
      </c>
      <c r="E2811" s="1" t="str">
        <f>"2429802012259215"</f>
        <v>2429802012259215</v>
      </c>
      <c r="F2811" s="1" t="str">
        <f t="shared" si="910"/>
        <v>花都四部-凤凰仓</v>
      </c>
      <c r="G2811" s="1" t="str">
        <f t="shared" si="918"/>
        <v>卡卡杜佳旺专卖店（快手店）</v>
      </c>
      <c r="H2811" s="1" t="str">
        <f t="shared" si="911"/>
        <v>正常订单</v>
      </c>
      <c r="I2811" s="1" t="str">
        <f t="shared" si="912"/>
        <v>已发货</v>
      </c>
      <c r="J2811" s="1" t="str">
        <f>"5"</f>
        <v>5</v>
      </c>
      <c r="K2811" s="1">
        <v>2</v>
      </c>
      <c r="L2811" s="1" t="s">
        <v>18</v>
      </c>
      <c r="M2811" s="1" t="str">
        <f>"广东省 深圳市 宝安区 沙井街道"</f>
        <v>广东省 深圳市 宝安区 沙井街道</v>
      </c>
      <c r="N2811" s="1" t="str">
        <f t="shared" si="919"/>
        <v>凡华云仓-城南圆通-快手</v>
      </c>
      <c r="O2811" s="5" t="s">
        <v>2846</v>
      </c>
      <c r="P2811" s="6">
        <v>0.59</v>
      </c>
      <c r="Q2811" s="11">
        <f>CEILING(P2811-0.5,0.1)*10*0.15+2.3</f>
        <v>2.4499999999999997</v>
      </c>
      <c r="R2811" s="11"/>
      <c r="S2811" s="11"/>
      <c r="T2811" s="11"/>
      <c r="U2811" s="11">
        <f t="shared" si="908"/>
        <v>2.4499999999999997</v>
      </c>
      <c r="V2811" t="s">
        <v>15</v>
      </c>
      <c r="W2811">
        <v>2.4500000000000002</v>
      </c>
      <c r="X2811" s="1" t="s">
        <v>18</v>
      </c>
    </row>
    <row r="2812" spans="1:24" x14ac:dyDescent="0.25">
      <c r="A2812" s="1" t="str">
        <f t="shared" si="909"/>
        <v>卡卡杜-凤凰仓</v>
      </c>
      <c r="B2812" s="1" t="str">
        <f>"CK2024102575"</f>
        <v>CK2024102575</v>
      </c>
      <c r="C2812" s="1" t="str">
        <f>"DD2024102545420"</f>
        <v>DD2024102545420</v>
      </c>
      <c r="D2812" s="1" t="str">
        <f>"CK2024102550532"</f>
        <v>CK2024102550532</v>
      </c>
      <c r="E2812" s="1" t="str">
        <f>"2429801698224921"</f>
        <v>2429801698224921</v>
      </c>
      <c r="F2812" s="1" t="str">
        <f t="shared" si="910"/>
        <v>花都四部-凤凰仓</v>
      </c>
      <c r="G2812" s="1" t="str">
        <f t="shared" si="918"/>
        <v>卡卡杜佳旺专卖店（快手店）</v>
      </c>
      <c r="H2812" s="1" t="str">
        <f t="shared" si="911"/>
        <v>正常订单</v>
      </c>
      <c r="I2812" s="1" t="str">
        <f t="shared" si="912"/>
        <v>已发货</v>
      </c>
      <c r="J2812" s="1" t="str">
        <f t="shared" si="932"/>
        <v>3</v>
      </c>
      <c r="K2812" s="1">
        <v>2</v>
      </c>
      <c r="L2812" s="1" t="s">
        <v>13</v>
      </c>
      <c r="M2812" s="1" t="str">
        <f>"江苏省 连云港市 赣榆区 海头镇"</f>
        <v>江苏省 连云港市 赣榆区 海头镇</v>
      </c>
      <c r="N2812" s="1" t="str">
        <f t="shared" si="919"/>
        <v>凡华云仓-城南圆通-快手</v>
      </c>
      <c r="O2812" s="5" t="s">
        <v>2847</v>
      </c>
      <c r="P2812" s="6">
        <v>0.35</v>
      </c>
      <c r="Q2812" s="11">
        <v>2.2999999999999998</v>
      </c>
      <c r="R2812" s="11"/>
      <c r="S2812" s="11"/>
      <c r="T2812" s="11"/>
      <c r="U2812" s="11">
        <f t="shared" si="908"/>
        <v>2.2999999999999998</v>
      </c>
      <c r="W2812">
        <v>2.5</v>
      </c>
      <c r="X2812" s="1" t="s">
        <v>13</v>
      </c>
    </row>
    <row r="2813" spans="1:24" x14ac:dyDescent="0.25">
      <c r="A2813" s="1" t="str">
        <f t="shared" si="909"/>
        <v>卡卡杜-凤凰仓</v>
      </c>
      <c r="B2813" s="1" t="str">
        <f>"CK2024102576"</f>
        <v>CK2024102576</v>
      </c>
      <c r="C2813" s="1" t="str">
        <f>"DD2024102545421"</f>
        <v>DD2024102545421</v>
      </c>
      <c r="D2813" s="1" t="str">
        <f>"CK2024102550531"</f>
        <v>CK2024102550531</v>
      </c>
      <c r="E2813" s="1" t="str">
        <f>"2429802334874039"</f>
        <v>2429802334874039</v>
      </c>
      <c r="F2813" s="1" t="str">
        <f t="shared" si="910"/>
        <v>花都四部-凤凰仓</v>
      </c>
      <c r="G2813" s="1" t="str">
        <f t="shared" si="918"/>
        <v>卡卡杜佳旺专卖店（快手店）</v>
      </c>
      <c r="H2813" s="1" t="str">
        <f t="shared" si="911"/>
        <v>正常订单</v>
      </c>
      <c r="I2813" s="1" t="str">
        <f t="shared" si="912"/>
        <v>已发货</v>
      </c>
      <c r="J2813" s="1" t="str">
        <f t="shared" si="932"/>
        <v>3</v>
      </c>
      <c r="K2813" s="1">
        <v>3</v>
      </c>
      <c r="L2813" s="1" t="s">
        <v>41</v>
      </c>
      <c r="M2813" s="1" t="str">
        <f>"湖北省 武汉市 武昌区 白沙洲街道"</f>
        <v>湖北省 武汉市 武昌区 白沙洲街道</v>
      </c>
      <c r="N2813" s="1" t="str">
        <f t="shared" si="919"/>
        <v>凡华云仓-城南圆通-快手</v>
      </c>
      <c r="O2813" s="5" t="s">
        <v>2848</v>
      </c>
      <c r="P2813" s="6">
        <v>0.34</v>
      </c>
      <c r="Q2813" s="11">
        <v>2.2999999999999998</v>
      </c>
      <c r="R2813" s="11"/>
      <c r="S2813" s="11"/>
      <c r="T2813" s="11"/>
      <c r="U2813" s="11">
        <f t="shared" si="908"/>
        <v>2.2999999999999998</v>
      </c>
      <c r="W2813">
        <v>2.5</v>
      </c>
      <c r="X2813" s="1" t="s">
        <v>41</v>
      </c>
    </row>
    <row r="2814" spans="1:24" x14ac:dyDescent="0.25">
      <c r="A2814" s="1" t="str">
        <f t="shared" si="909"/>
        <v>卡卡杜-凤凰仓</v>
      </c>
      <c r="B2814" s="1" t="str">
        <f>"CK20241025176"</f>
        <v>CK20241025176</v>
      </c>
      <c r="C2814" s="1" t="str">
        <f>"DD2024102545661"</f>
        <v>DD2024102545661</v>
      </c>
      <c r="D2814" s="1" t="str">
        <f>"CK2024102550530"</f>
        <v>CK2024102550530</v>
      </c>
      <c r="E2814" s="1" t="str">
        <f>"2429801934339672"</f>
        <v>2429801934339672</v>
      </c>
      <c r="F2814" s="1" t="str">
        <f t="shared" si="910"/>
        <v>花都四部-凤凰仓</v>
      </c>
      <c r="G2814" s="1" t="str">
        <f t="shared" si="918"/>
        <v>卡卡杜佳旺专卖店（快手店）</v>
      </c>
      <c r="H2814" s="1" t="str">
        <f t="shared" si="911"/>
        <v>正常订单</v>
      </c>
      <c r="I2814" s="1" t="str">
        <f t="shared" si="912"/>
        <v>已发货</v>
      </c>
      <c r="J2814" s="1" t="str">
        <f>"5"</f>
        <v>5</v>
      </c>
      <c r="K2814" s="1">
        <v>2</v>
      </c>
      <c r="L2814" s="1" t="s">
        <v>41</v>
      </c>
      <c r="M2814" s="1" t="str">
        <f>"湖北省 武汉市 江汉区 民意街街道"</f>
        <v>湖北省 武汉市 江汉区 民意街街道</v>
      </c>
      <c r="N2814" s="1" t="str">
        <f t="shared" si="919"/>
        <v>凡华云仓-城南圆通-快手</v>
      </c>
      <c r="O2814" s="5" t="s">
        <v>2849</v>
      </c>
      <c r="P2814" s="6">
        <v>0.59</v>
      </c>
      <c r="Q2814" s="11">
        <f>CEILING(P2814-0.5,0.1)*10*0.15+2.3</f>
        <v>2.4499999999999997</v>
      </c>
      <c r="R2814" s="11"/>
      <c r="S2814" s="11"/>
      <c r="T2814" s="11"/>
      <c r="U2814" s="11">
        <f t="shared" si="908"/>
        <v>2.4499999999999997</v>
      </c>
      <c r="V2814" t="s">
        <v>15</v>
      </c>
      <c r="W2814">
        <v>2.4500000000000002</v>
      </c>
      <c r="X2814" s="1" t="s">
        <v>41</v>
      </c>
    </row>
    <row r="2815" spans="1:24" x14ac:dyDescent="0.25">
      <c r="A2815" s="1" t="str">
        <f t="shared" si="909"/>
        <v>卡卡杜-凤凰仓</v>
      </c>
      <c r="B2815" s="1" t="str">
        <f>"CK2024102564"</f>
        <v>CK2024102564</v>
      </c>
      <c r="C2815" s="1" t="str">
        <f>"DD2024102545408"</f>
        <v>DD2024102545408</v>
      </c>
      <c r="D2815" s="1" t="str">
        <f>"CK2024102550529"</f>
        <v>CK2024102550529</v>
      </c>
      <c r="E2815" s="1" t="str">
        <f>"2429902337715932"</f>
        <v>2429902337715932</v>
      </c>
      <c r="F2815" s="1" t="str">
        <f t="shared" si="910"/>
        <v>花都四部-凤凰仓</v>
      </c>
      <c r="G2815" s="1" t="str">
        <f t="shared" si="918"/>
        <v>卡卡杜佳旺专卖店（快手店）</v>
      </c>
      <c r="H2815" s="1" t="str">
        <f t="shared" si="911"/>
        <v>正常订单</v>
      </c>
      <c r="I2815" s="1" t="str">
        <f t="shared" si="912"/>
        <v>已发货</v>
      </c>
      <c r="J2815" s="1" t="str">
        <f t="shared" ref="J2815:J2818" si="933">"3"</f>
        <v>3</v>
      </c>
      <c r="K2815" s="1">
        <v>2</v>
      </c>
      <c r="L2815" s="1" t="s">
        <v>41</v>
      </c>
      <c r="M2815" s="1" t="str">
        <f>"湖北省 武汉市 黄陂区 盘龙城经济开发区"</f>
        <v>湖北省 武汉市 黄陂区 盘龙城经济开发区</v>
      </c>
      <c r="N2815" s="1" t="str">
        <f t="shared" si="919"/>
        <v>凡华云仓-城南圆通-快手</v>
      </c>
      <c r="O2815" s="5" t="s">
        <v>2850</v>
      </c>
      <c r="P2815" s="6">
        <v>0.35</v>
      </c>
      <c r="Q2815" s="11">
        <v>2.2999999999999998</v>
      </c>
      <c r="R2815" s="11"/>
      <c r="S2815" s="11"/>
      <c r="T2815" s="11"/>
      <c r="U2815" s="11">
        <f t="shared" si="908"/>
        <v>2.2999999999999998</v>
      </c>
      <c r="W2815">
        <v>2.5</v>
      </c>
      <c r="X2815" s="1" t="s">
        <v>41</v>
      </c>
    </row>
    <row r="2816" spans="1:24" x14ac:dyDescent="0.25">
      <c r="A2816" s="1" t="str">
        <f t="shared" si="909"/>
        <v>卡卡杜-凤凰仓</v>
      </c>
      <c r="B2816" s="1" t="str">
        <f>"CK2024102567"</f>
        <v>CK2024102567</v>
      </c>
      <c r="C2816" s="1" t="str">
        <f>"DD2024102545410"</f>
        <v>DD2024102545410</v>
      </c>
      <c r="D2816" s="1" t="str">
        <f>"CK2024102550528"</f>
        <v>CK2024102550528</v>
      </c>
      <c r="E2816" s="1" t="str">
        <f>"2429902096073398"</f>
        <v>2429902096073398</v>
      </c>
      <c r="F2816" s="1" t="str">
        <f t="shared" si="910"/>
        <v>花都四部-凤凰仓</v>
      </c>
      <c r="G2816" s="1" t="str">
        <f t="shared" si="918"/>
        <v>卡卡杜佳旺专卖店（快手店）</v>
      </c>
      <c r="H2816" s="1" t="str">
        <f t="shared" si="911"/>
        <v>正常订单</v>
      </c>
      <c r="I2816" s="1" t="str">
        <f t="shared" si="912"/>
        <v>已发货</v>
      </c>
      <c r="J2816" s="1" t="str">
        <f t="shared" si="933"/>
        <v>3</v>
      </c>
      <c r="K2816" s="1">
        <v>2</v>
      </c>
      <c r="L2816" s="1" t="s">
        <v>32</v>
      </c>
      <c r="M2816" s="1" t="str">
        <f>"陕西省 西安市 未央区 张家堡街道"</f>
        <v>陕西省 西安市 未央区 张家堡街道</v>
      </c>
      <c r="N2816" s="1" t="str">
        <f t="shared" si="919"/>
        <v>凡华云仓-城南圆通-快手</v>
      </c>
      <c r="O2816" s="5" t="s">
        <v>2851</v>
      </c>
      <c r="P2816" s="6">
        <v>0.35</v>
      </c>
      <c r="Q2816" s="11">
        <v>2.2999999999999998</v>
      </c>
      <c r="R2816" s="11"/>
      <c r="S2816" s="11"/>
      <c r="T2816" s="11"/>
      <c r="U2816" s="11">
        <f t="shared" si="908"/>
        <v>2.2999999999999998</v>
      </c>
      <c r="W2816">
        <v>2.5</v>
      </c>
      <c r="X2816" s="1" t="s">
        <v>32</v>
      </c>
    </row>
    <row r="2817" spans="1:24" x14ac:dyDescent="0.25">
      <c r="A2817" s="1" t="str">
        <f t="shared" si="909"/>
        <v>卡卡杜-凤凰仓</v>
      </c>
      <c r="B2817" s="1" t="str">
        <f>"CK20241025159"</f>
        <v>CK20241025159</v>
      </c>
      <c r="C2817" s="1" t="str">
        <f>"DD2024102545517"</f>
        <v>DD2024102545517</v>
      </c>
      <c r="D2817" s="1" t="str">
        <f>"CK2024102550527"</f>
        <v>CK2024102550527</v>
      </c>
      <c r="E2817" s="1" t="str">
        <f>"2429802086929233"</f>
        <v>2429802086929233</v>
      </c>
      <c r="F2817" s="1" t="str">
        <f t="shared" si="910"/>
        <v>花都四部-凤凰仓</v>
      </c>
      <c r="G2817" s="1" t="str">
        <f t="shared" si="918"/>
        <v>卡卡杜佳旺专卖店（快手店）</v>
      </c>
      <c r="H2817" s="1" t="str">
        <f t="shared" si="911"/>
        <v>正常订单</v>
      </c>
      <c r="I2817" s="1" t="str">
        <f t="shared" si="912"/>
        <v>已发货</v>
      </c>
      <c r="J2817" s="1" t="str">
        <f t="shared" si="933"/>
        <v>3</v>
      </c>
      <c r="K2817" s="1">
        <v>2</v>
      </c>
      <c r="L2817" s="1" t="s">
        <v>30</v>
      </c>
      <c r="M2817" s="1" t="str">
        <f>"山东省 潍坊市 奎文区 北苑街道"</f>
        <v>山东省 潍坊市 奎文区 北苑街道</v>
      </c>
      <c r="N2817" s="1" t="str">
        <f t="shared" si="919"/>
        <v>凡华云仓-城南圆通-快手</v>
      </c>
      <c r="O2817" s="5" t="s">
        <v>2852</v>
      </c>
      <c r="P2817" s="6">
        <v>0.35</v>
      </c>
      <c r="Q2817" s="11">
        <v>2.2999999999999998</v>
      </c>
      <c r="R2817" s="11"/>
      <c r="S2817" s="11"/>
      <c r="T2817" s="11"/>
      <c r="U2817" s="11">
        <f t="shared" si="908"/>
        <v>2.2999999999999998</v>
      </c>
      <c r="W2817">
        <v>2.5</v>
      </c>
      <c r="X2817" s="1" t="s">
        <v>30</v>
      </c>
    </row>
    <row r="2818" spans="1:24" x14ac:dyDescent="0.25">
      <c r="A2818" s="1" t="str">
        <f t="shared" si="909"/>
        <v>卡卡杜-凤凰仓</v>
      </c>
      <c r="B2818" s="1" t="str">
        <f>"CK20241025134"</f>
        <v>CK20241025134</v>
      </c>
      <c r="C2818" s="1" t="str">
        <f>"DD2024102545488"</f>
        <v>DD2024102545488</v>
      </c>
      <c r="D2818" s="1" t="str">
        <f>"CK2024102550526"</f>
        <v>CK2024102550526</v>
      </c>
      <c r="E2818" s="1" t="str">
        <f>"2429801773843875"</f>
        <v>2429801773843875</v>
      </c>
      <c r="F2818" s="1" t="str">
        <f t="shared" si="910"/>
        <v>花都四部-凤凰仓</v>
      </c>
      <c r="G2818" s="1" t="str">
        <f t="shared" si="918"/>
        <v>卡卡杜佳旺专卖店（快手店）</v>
      </c>
      <c r="H2818" s="1" t="str">
        <f t="shared" si="911"/>
        <v>正常订单</v>
      </c>
      <c r="I2818" s="1" t="str">
        <f t="shared" si="912"/>
        <v>已发货</v>
      </c>
      <c r="J2818" s="1" t="str">
        <f t="shared" si="933"/>
        <v>3</v>
      </c>
      <c r="K2818" s="1">
        <v>2</v>
      </c>
      <c r="L2818" s="1" t="s">
        <v>36</v>
      </c>
      <c r="M2818" s="1" t="str">
        <f>"安徽省 六安市 金安区 东市街道"</f>
        <v>安徽省 六安市 金安区 东市街道</v>
      </c>
      <c r="N2818" s="1" t="str">
        <f t="shared" si="919"/>
        <v>凡华云仓-城南圆通-快手</v>
      </c>
      <c r="O2818" s="5" t="s">
        <v>2853</v>
      </c>
      <c r="P2818" s="6">
        <v>0.35</v>
      </c>
      <c r="Q2818" s="11">
        <v>2.2999999999999998</v>
      </c>
      <c r="R2818" s="11"/>
      <c r="S2818" s="11"/>
      <c r="T2818" s="11"/>
      <c r="U2818" s="11">
        <f t="shared" si="908"/>
        <v>2.2999999999999998</v>
      </c>
      <c r="W2818">
        <v>2.5</v>
      </c>
      <c r="X2818" s="1" t="s">
        <v>36</v>
      </c>
    </row>
    <row r="2819" spans="1:24" x14ac:dyDescent="0.25">
      <c r="A2819" s="1" t="str">
        <f t="shared" si="909"/>
        <v>卡卡杜-凤凰仓</v>
      </c>
      <c r="B2819" s="1" t="str">
        <f>"CK20241025210"</f>
        <v>CK20241025210</v>
      </c>
      <c r="C2819" s="1" t="str">
        <f>"DD2024102545832"</f>
        <v>DD2024102545832</v>
      </c>
      <c r="D2819" s="1" t="str">
        <f>"CK2024102550525"</f>
        <v>CK2024102550525</v>
      </c>
      <c r="E2819" s="1" t="str">
        <f>"2429801857880655"</f>
        <v>2429801857880655</v>
      </c>
      <c r="F2819" s="1" t="str">
        <f t="shared" si="910"/>
        <v>花都四部-凤凰仓</v>
      </c>
      <c r="G2819" s="1" t="str">
        <f t="shared" si="918"/>
        <v>卡卡杜佳旺专卖店（快手店）</v>
      </c>
      <c r="H2819" s="1" t="str">
        <f t="shared" si="911"/>
        <v>正常订单</v>
      </c>
      <c r="I2819" s="1" t="str">
        <f t="shared" si="912"/>
        <v>已发货</v>
      </c>
      <c r="J2819" s="1" t="str">
        <f>"5"</f>
        <v>5</v>
      </c>
      <c r="K2819" s="1">
        <v>2</v>
      </c>
      <c r="L2819" s="1" t="s">
        <v>20</v>
      </c>
      <c r="M2819" s="1" t="str">
        <f>"浙江省 金华市 兰溪市 云山街道"</f>
        <v>浙江省 金华市 兰溪市 云山街道</v>
      </c>
      <c r="N2819" s="1" t="str">
        <f t="shared" si="919"/>
        <v>凡华云仓-城南圆通-快手</v>
      </c>
      <c r="O2819" s="5" t="s">
        <v>2854</v>
      </c>
      <c r="P2819" s="6">
        <v>0.59</v>
      </c>
      <c r="Q2819" s="11">
        <f>CEILING(P2819-0.5,0.1)*10*0.15+2.3</f>
        <v>2.4499999999999997</v>
      </c>
      <c r="R2819" s="11"/>
      <c r="S2819" s="11"/>
      <c r="T2819" s="11"/>
      <c r="U2819" s="11">
        <f t="shared" ref="U2819:U2882" si="934">T2819+S2819+R2819+Q2819</f>
        <v>2.4499999999999997</v>
      </c>
      <c r="V2819" t="s">
        <v>15</v>
      </c>
      <c r="W2819">
        <v>2.4500000000000002</v>
      </c>
      <c r="X2819" s="1" t="s">
        <v>20</v>
      </c>
    </row>
    <row r="2820" spans="1:24" x14ac:dyDescent="0.25">
      <c r="A2820" s="1" t="str">
        <f t="shared" si="909"/>
        <v>卡卡杜-凤凰仓</v>
      </c>
      <c r="B2820" s="1" t="str">
        <f>"CK20241025139"</f>
        <v>CK20241025139</v>
      </c>
      <c r="C2820" s="1" t="str">
        <f>"DD2024102545494"</f>
        <v>DD2024102545494</v>
      </c>
      <c r="D2820" s="1" t="str">
        <f>"CK2024102550524"</f>
        <v>CK2024102550524</v>
      </c>
      <c r="E2820" s="1" t="str">
        <f>"2429802010731316"</f>
        <v>2429802010731316</v>
      </c>
      <c r="F2820" s="1" t="str">
        <f t="shared" si="910"/>
        <v>花都四部-凤凰仓</v>
      </c>
      <c r="G2820" s="1" t="str">
        <f t="shared" si="918"/>
        <v>卡卡杜佳旺专卖店（快手店）</v>
      </c>
      <c r="H2820" s="1" t="str">
        <f t="shared" si="911"/>
        <v>正常订单</v>
      </c>
      <c r="I2820" s="1" t="str">
        <f t="shared" si="912"/>
        <v>已发货</v>
      </c>
      <c r="J2820" s="1" t="str">
        <f t="shared" ref="J2820:J2829" si="935">"3"</f>
        <v>3</v>
      </c>
      <c r="K2820" s="1">
        <v>2</v>
      </c>
      <c r="L2820" s="1" t="s">
        <v>16</v>
      </c>
      <c r="M2820" s="1" t="str">
        <f>"河北省 石家庄市 裕华区 裕华路街道"</f>
        <v>河北省 石家庄市 裕华区 裕华路街道</v>
      </c>
      <c r="N2820" s="1" t="str">
        <f t="shared" si="919"/>
        <v>凡华云仓-城南圆通-快手</v>
      </c>
      <c r="O2820" s="5" t="s">
        <v>2855</v>
      </c>
      <c r="P2820" s="6">
        <v>0.35</v>
      </c>
      <c r="Q2820" s="11">
        <v>2.2999999999999998</v>
      </c>
      <c r="R2820" s="11"/>
      <c r="S2820" s="11"/>
      <c r="T2820" s="11"/>
      <c r="U2820" s="11">
        <f t="shared" si="934"/>
        <v>2.2999999999999998</v>
      </c>
      <c r="W2820">
        <v>2.5</v>
      </c>
      <c r="X2820" s="1" t="s">
        <v>16</v>
      </c>
    </row>
    <row r="2821" spans="1:24" x14ac:dyDescent="0.25">
      <c r="A2821" s="1" t="str">
        <f t="shared" ref="A2821:A2884" si="936">"卡卡杜-凤凰仓"</f>
        <v>卡卡杜-凤凰仓</v>
      </c>
      <c r="B2821" s="1" t="str">
        <f>"CK20241025140"</f>
        <v>CK20241025140</v>
      </c>
      <c r="C2821" s="1" t="str">
        <f>"DD2024102545497"</f>
        <v>DD2024102545497</v>
      </c>
      <c r="D2821" s="1" t="str">
        <f>"CK2024102550523"</f>
        <v>CK2024102550523</v>
      </c>
      <c r="E2821" s="1" t="str">
        <f>"2429802168520006"</f>
        <v>2429802168520006</v>
      </c>
      <c r="F2821" s="1" t="str">
        <f t="shared" ref="F2821:F2884" si="937">"花都四部-凤凰仓"</f>
        <v>花都四部-凤凰仓</v>
      </c>
      <c r="G2821" s="1" t="str">
        <f t="shared" si="918"/>
        <v>卡卡杜佳旺专卖店（快手店）</v>
      </c>
      <c r="H2821" s="1" t="str">
        <f t="shared" ref="H2821:H2884" si="938">"正常订单"</f>
        <v>正常订单</v>
      </c>
      <c r="I2821" s="1" t="str">
        <f t="shared" ref="I2821:I2884" si="939">"已发货"</f>
        <v>已发货</v>
      </c>
      <c r="J2821" s="1" t="str">
        <f t="shared" si="935"/>
        <v>3</v>
      </c>
      <c r="K2821" s="1">
        <v>2</v>
      </c>
      <c r="L2821" s="1" t="s">
        <v>32</v>
      </c>
      <c r="M2821" s="1" t="str">
        <f>"陕西省 西安市 新城区 太华路街道"</f>
        <v>陕西省 西安市 新城区 太华路街道</v>
      </c>
      <c r="N2821" s="1" t="str">
        <f t="shared" si="919"/>
        <v>凡华云仓-城南圆通-快手</v>
      </c>
      <c r="O2821" s="5" t="s">
        <v>2856</v>
      </c>
      <c r="P2821" s="6">
        <v>0.35</v>
      </c>
      <c r="Q2821" s="11">
        <v>2.2999999999999998</v>
      </c>
      <c r="R2821" s="11"/>
      <c r="S2821" s="11"/>
      <c r="T2821" s="11"/>
      <c r="U2821" s="11">
        <f t="shared" si="934"/>
        <v>2.2999999999999998</v>
      </c>
      <c r="W2821">
        <v>2.5</v>
      </c>
      <c r="X2821" s="1" t="s">
        <v>32</v>
      </c>
    </row>
    <row r="2822" spans="1:24" x14ac:dyDescent="0.25">
      <c r="A2822" s="1" t="str">
        <f t="shared" si="936"/>
        <v>卡卡杜-凤凰仓</v>
      </c>
      <c r="B2822" s="1" t="str">
        <f>"CK20241025142"</f>
        <v>CK20241025142</v>
      </c>
      <c r="C2822" s="1" t="str">
        <f>"DD2024102545496"</f>
        <v>DD2024102545496</v>
      </c>
      <c r="D2822" s="1" t="str">
        <f>"CK2024102550522"</f>
        <v>CK2024102550522</v>
      </c>
      <c r="E2822" s="1" t="str">
        <f>"2429802013992169"</f>
        <v>2429802013992169</v>
      </c>
      <c r="F2822" s="1" t="str">
        <f t="shared" si="937"/>
        <v>花都四部-凤凰仓</v>
      </c>
      <c r="G2822" s="1" t="str">
        <f t="shared" si="918"/>
        <v>卡卡杜佳旺专卖店（快手店）</v>
      </c>
      <c r="H2822" s="1" t="str">
        <f t="shared" si="938"/>
        <v>正常订单</v>
      </c>
      <c r="I2822" s="1" t="str">
        <f t="shared" si="939"/>
        <v>已发货</v>
      </c>
      <c r="J2822" s="1" t="str">
        <f t="shared" si="935"/>
        <v>3</v>
      </c>
      <c r="K2822" s="1">
        <v>2</v>
      </c>
      <c r="L2822" s="1" t="s">
        <v>18</v>
      </c>
      <c r="M2822" s="1" t="str">
        <f>"广东省 深圳市 龙华区 观澜街道"</f>
        <v>广东省 深圳市 龙华区 观澜街道</v>
      </c>
      <c r="N2822" s="1" t="str">
        <f t="shared" si="919"/>
        <v>凡华云仓-城南圆通-快手</v>
      </c>
      <c r="O2822" s="5" t="s">
        <v>2857</v>
      </c>
      <c r="P2822" s="6">
        <v>0.35</v>
      </c>
      <c r="Q2822" s="11">
        <v>2.2999999999999998</v>
      </c>
      <c r="R2822" s="11"/>
      <c r="S2822" s="11"/>
      <c r="T2822" s="11"/>
      <c r="U2822" s="11">
        <f t="shared" si="934"/>
        <v>2.2999999999999998</v>
      </c>
      <c r="W2822">
        <v>2.5</v>
      </c>
      <c r="X2822" s="1" t="s">
        <v>18</v>
      </c>
    </row>
    <row r="2823" spans="1:24" x14ac:dyDescent="0.25">
      <c r="A2823" s="1" t="str">
        <f t="shared" si="936"/>
        <v>卡卡杜-凤凰仓</v>
      </c>
      <c r="B2823" s="1" t="str">
        <f>"CK20241025144"</f>
        <v>CK20241025144</v>
      </c>
      <c r="C2823" s="1" t="str">
        <f>"DD2024102545501"</f>
        <v>DD2024102545501</v>
      </c>
      <c r="D2823" s="1" t="str">
        <f>"CK2024102550521"</f>
        <v>CK2024102550521</v>
      </c>
      <c r="E2823" s="1" t="str">
        <f>"2429802418529796"</f>
        <v>2429802418529796</v>
      </c>
      <c r="F2823" s="1" t="str">
        <f t="shared" si="937"/>
        <v>花都四部-凤凰仓</v>
      </c>
      <c r="G2823" s="1" t="str">
        <f t="shared" si="918"/>
        <v>卡卡杜佳旺专卖店（快手店）</v>
      </c>
      <c r="H2823" s="1" t="str">
        <f t="shared" si="938"/>
        <v>正常订单</v>
      </c>
      <c r="I2823" s="1" t="str">
        <f t="shared" si="939"/>
        <v>已发货</v>
      </c>
      <c r="J2823" s="1" t="str">
        <f t="shared" si="935"/>
        <v>3</v>
      </c>
      <c r="K2823" s="1">
        <v>2</v>
      </c>
      <c r="L2823" s="1" t="s">
        <v>32</v>
      </c>
      <c r="M2823" s="1" t="str">
        <f>"陕西省 商洛市 丹凤县 棣花镇"</f>
        <v>陕西省 商洛市 丹凤县 棣花镇</v>
      </c>
      <c r="N2823" s="1" t="str">
        <f t="shared" si="919"/>
        <v>凡华云仓-城南圆通-快手</v>
      </c>
      <c r="O2823" s="5" t="s">
        <v>2858</v>
      </c>
      <c r="P2823" s="6">
        <v>0.35</v>
      </c>
      <c r="Q2823" s="11">
        <v>2.2999999999999998</v>
      </c>
      <c r="R2823" s="11"/>
      <c r="S2823" s="11"/>
      <c r="T2823" s="11"/>
      <c r="U2823" s="11">
        <f t="shared" si="934"/>
        <v>2.2999999999999998</v>
      </c>
      <c r="W2823">
        <v>2.5</v>
      </c>
      <c r="X2823" s="1" t="s">
        <v>32</v>
      </c>
    </row>
    <row r="2824" spans="1:24" x14ac:dyDescent="0.25">
      <c r="A2824" s="1" t="str">
        <f t="shared" si="936"/>
        <v>卡卡杜-凤凰仓</v>
      </c>
      <c r="B2824" s="1" t="str">
        <f>"CK20241025145"</f>
        <v>CK20241025145</v>
      </c>
      <c r="C2824" s="1" t="str">
        <f>"DD2024102545500"</f>
        <v>DD2024102545500</v>
      </c>
      <c r="D2824" s="1" t="str">
        <f>"CK2024102550520"</f>
        <v>CK2024102550520</v>
      </c>
      <c r="E2824" s="1" t="str">
        <f>"2429802409192376"</f>
        <v>2429802409192376</v>
      </c>
      <c r="F2824" s="1" t="str">
        <f t="shared" si="937"/>
        <v>花都四部-凤凰仓</v>
      </c>
      <c r="G2824" s="1" t="str">
        <f t="shared" si="918"/>
        <v>卡卡杜佳旺专卖店（快手店）</v>
      </c>
      <c r="H2824" s="1" t="str">
        <f t="shared" si="938"/>
        <v>正常订单</v>
      </c>
      <c r="I2824" s="1" t="str">
        <f t="shared" si="939"/>
        <v>已发货</v>
      </c>
      <c r="J2824" s="1" t="str">
        <f t="shared" si="935"/>
        <v>3</v>
      </c>
      <c r="K2824" s="1">
        <v>2</v>
      </c>
      <c r="L2824" s="1" t="s">
        <v>18</v>
      </c>
      <c r="M2824" s="1" t="str">
        <f>"广东省 佛山市 南海区 丹灶镇"</f>
        <v>广东省 佛山市 南海区 丹灶镇</v>
      </c>
      <c r="N2824" s="1" t="str">
        <f t="shared" si="919"/>
        <v>凡华云仓-城南圆通-快手</v>
      </c>
      <c r="O2824" s="5" t="s">
        <v>2859</v>
      </c>
      <c r="P2824" s="6">
        <v>0.35</v>
      </c>
      <c r="Q2824" s="11">
        <v>2.2999999999999998</v>
      </c>
      <c r="R2824" s="11"/>
      <c r="S2824" s="11"/>
      <c r="T2824" s="11"/>
      <c r="U2824" s="11">
        <f t="shared" si="934"/>
        <v>2.2999999999999998</v>
      </c>
      <c r="W2824">
        <v>2.5</v>
      </c>
      <c r="X2824" s="1" t="s">
        <v>18</v>
      </c>
    </row>
    <row r="2825" spans="1:24" x14ac:dyDescent="0.25">
      <c r="A2825" s="1" t="str">
        <f t="shared" si="936"/>
        <v>卡卡杜-凤凰仓</v>
      </c>
      <c r="B2825" s="1" t="str">
        <f>"CK20241025146"</f>
        <v>CK20241025146</v>
      </c>
      <c r="C2825" s="1" t="str">
        <f>"DD2024102545502"</f>
        <v>DD2024102545502</v>
      </c>
      <c r="D2825" s="1" t="str">
        <f>"CK2024102550519"</f>
        <v>CK2024102550519</v>
      </c>
      <c r="E2825" s="1" t="str">
        <f>"2429802010434896"</f>
        <v>2429802010434896</v>
      </c>
      <c r="F2825" s="1" t="str">
        <f t="shared" si="937"/>
        <v>花都四部-凤凰仓</v>
      </c>
      <c r="G2825" s="1" t="str">
        <f t="shared" si="918"/>
        <v>卡卡杜佳旺专卖店（快手店）</v>
      </c>
      <c r="H2825" s="1" t="str">
        <f t="shared" si="938"/>
        <v>正常订单</v>
      </c>
      <c r="I2825" s="1" t="str">
        <f t="shared" si="939"/>
        <v>已发货</v>
      </c>
      <c r="J2825" s="1" t="str">
        <f t="shared" si="935"/>
        <v>3</v>
      </c>
      <c r="K2825" s="1">
        <v>2</v>
      </c>
      <c r="L2825" s="1" t="s">
        <v>94</v>
      </c>
      <c r="M2825" s="1" t="str">
        <f>"湖南省 衡阳市 蒸湘区 红湘街道"</f>
        <v>湖南省 衡阳市 蒸湘区 红湘街道</v>
      </c>
      <c r="N2825" s="1" t="str">
        <f t="shared" si="919"/>
        <v>凡华云仓-城南圆通-快手</v>
      </c>
      <c r="O2825" s="5" t="s">
        <v>2860</v>
      </c>
      <c r="P2825" s="6">
        <v>0.35</v>
      </c>
      <c r="Q2825" s="11">
        <v>2.2999999999999998</v>
      </c>
      <c r="R2825" s="11"/>
      <c r="S2825" s="11"/>
      <c r="T2825" s="11"/>
      <c r="U2825" s="11">
        <f t="shared" si="934"/>
        <v>2.2999999999999998</v>
      </c>
      <c r="W2825">
        <v>2.5</v>
      </c>
      <c r="X2825" s="1" t="s">
        <v>94</v>
      </c>
    </row>
    <row r="2826" spans="1:24" x14ac:dyDescent="0.25">
      <c r="A2826" s="1" t="str">
        <f t="shared" si="936"/>
        <v>卡卡杜-凤凰仓</v>
      </c>
      <c r="B2826" s="1" t="str">
        <f>"CK20241025148"</f>
        <v>CK20241025148</v>
      </c>
      <c r="C2826" s="1" t="str">
        <f>"DD2024102545504"</f>
        <v>DD2024102545504</v>
      </c>
      <c r="D2826" s="1" t="str">
        <f>"CK2024102550518"</f>
        <v>CK2024102550518</v>
      </c>
      <c r="E2826" s="1" t="str">
        <f>"2429802173697501"</f>
        <v>2429802173697501</v>
      </c>
      <c r="F2826" s="1" t="str">
        <f t="shared" si="937"/>
        <v>花都四部-凤凰仓</v>
      </c>
      <c r="G2826" s="1" t="str">
        <f t="shared" si="918"/>
        <v>卡卡杜佳旺专卖店（快手店）</v>
      </c>
      <c r="H2826" s="1" t="str">
        <f t="shared" si="938"/>
        <v>正常订单</v>
      </c>
      <c r="I2826" s="1" t="str">
        <f t="shared" si="939"/>
        <v>已发货</v>
      </c>
      <c r="J2826" s="1" t="str">
        <f t="shared" si="935"/>
        <v>3</v>
      </c>
      <c r="K2826" s="1">
        <v>2</v>
      </c>
      <c r="L2826" s="1" t="s">
        <v>18</v>
      </c>
      <c r="M2826" s="1" t="str">
        <f>"广东省 深圳市 龙华区 民治街道"</f>
        <v>广东省 深圳市 龙华区 民治街道</v>
      </c>
      <c r="N2826" s="1" t="str">
        <f t="shared" si="919"/>
        <v>凡华云仓-城南圆通-快手</v>
      </c>
      <c r="O2826" s="5" t="s">
        <v>2861</v>
      </c>
      <c r="P2826" s="6">
        <v>0.35</v>
      </c>
      <c r="Q2826" s="11">
        <v>2.2999999999999998</v>
      </c>
      <c r="R2826" s="11"/>
      <c r="S2826" s="11"/>
      <c r="T2826" s="11"/>
      <c r="U2826" s="11">
        <f t="shared" si="934"/>
        <v>2.2999999999999998</v>
      </c>
      <c r="W2826">
        <v>2.5</v>
      </c>
      <c r="X2826" s="1" t="s">
        <v>18</v>
      </c>
    </row>
    <row r="2827" spans="1:24" x14ac:dyDescent="0.25">
      <c r="A2827" s="1" t="str">
        <f t="shared" si="936"/>
        <v>卡卡杜-凤凰仓</v>
      </c>
      <c r="B2827" s="1" t="str">
        <f>"CK20241025126"</f>
        <v>CK20241025126</v>
      </c>
      <c r="C2827" s="1" t="str">
        <f>"DD2024102545479"</f>
        <v>DD2024102545479</v>
      </c>
      <c r="D2827" s="1" t="str">
        <f>"CK2024102550517"</f>
        <v>CK2024102550517</v>
      </c>
      <c r="E2827" s="1" t="str">
        <f>"2429802009411912"</f>
        <v>2429802009411912</v>
      </c>
      <c r="F2827" s="1" t="str">
        <f t="shared" si="937"/>
        <v>花都四部-凤凰仓</v>
      </c>
      <c r="G2827" s="1" t="str">
        <f t="shared" si="918"/>
        <v>卡卡杜佳旺专卖店（快手店）</v>
      </c>
      <c r="H2827" s="1" t="str">
        <f t="shared" si="938"/>
        <v>正常订单</v>
      </c>
      <c r="I2827" s="1" t="str">
        <f t="shared" si="939"/>
        <v>已发货</v>
      </c>
      <c r="J2827" s="1" t="str">
        <f t="shared" si="935"/>
        <v>3</v>
      </c>
      <c r="K2827" s="1">
        <v>2</v>
      </c>
      <c r="L2827" s="1" t="s">
        <v>18</v>
      </c>
      <c r="M2827" s="1" t="str">
        <f>"广东省 东莞市 寮步镇 寮步镇"</f>
        <v>广东省 东莞市 寮步镇 寮步镇</v>
      </c>
      <c r="N2827" s="1" t="str">
        <f t="shared" si="919"/>
        <v>凡华云仓-城南圆通-快手</v>
      </c>
      <c r="O2827" s="5" t="s">
        <v>2862</v>
      </c>
      <c r="P2827" s="6">
        <v>0.35</v>
      </c>
      <c r="Q2827" s="11">
        <v>2.2999999999999998</v>
      </c>
      <c r="R2827" s="11"/>
      <c r="S2827" s="11"/>
      <c r="T2827" s="11"/>
      <c r="U2827" s="11">
        <f t="shared" si="934"/>
        <v>2.2999999999999998</v>
      </c>
      <c r="W2827">
        <v>2.5</v>
      </c>
      <c r="X2827" s="1" t="s">
        <v>18</v>
      </c>
    </row>
    <row r="2828" spans="1:24" x14ac:dyDescent="0.25">
      <c r="A2828" s="1" t="str">
        <f t="shared" si="936"/>
        <v>卡卡杜-凤凰仓</v>
      </c>
      <c r="B2828" s="1" t="str">
        <f>"CK20241025150"</f>
        <v>CK20241025150</v>
      </c>
      <c r="C2828" s="1" t="str">
        <f>"DD2024102545507"</f>
        <v>DD2024102545507</v>
      </c>
      <c r="D2828" s="1" t="str">
        <f>"CK2024102550516"</f>
        <v>CK2024102550516</v>
      </c>
      <c r="E2828" s="1" t="str">
        <f>"2429801771041930"</f>
        <v>2429801771041930</v>
      </c>
      <c r="F2828" s="1" t="str">
        <f t="shared" si="937"/>
        <v>花都四部-凤凰仓</v>
      </c>
      <c r="G2828" s="1" t="str">
        <f t="shared" si="918"/>
        <v>卡卡杜佳旺专卖店（快手店）</v>
      </c>
      <c r="H2828" s="1" t="str">
        <f t="shared" si="938"/>
        <v>正常订单</v>
      </c>
      <c r="I2828" s="1" t="str">
        <f t="shared" si="939"/>
        <v>已发货</v>
      </c>
      <c r="J2828" s="1" t="str">
        <f t="shared" si="935"/>
        <v>3</v>
      </c>
      <c r="K2828" s="1">
        <v>2</v>
      </c>
      <c r="L2828" s="1" t="s">
        <v>18</v>
      </c>
      <c r="M2828" s="1" t="str">
        <f>"广东省 中山市 大涌镇 大涌镇"</f>
        <v>广东省 中山市 大涌镇 大涌镇</v>
      </c>
      <c r="N2828" s="1" t="str">
        <f t="shared" si="919"/>
        <v>凡华云仓-城南圆通-快手</v>
      </c>
      <c r="O2828" s="5" t="s">
        <v>2863</v>
      </c>
      <c r="P2828" s="6">
        <v>0.35</v>
      </c>
      <c r="Q2828" s="11">
        <v>2.2999999999999998</v>
      </c>
      <c r="R2828" s="11"/>
      <c r="S2828" s="11"/>
      <c r="T2828" s="11"/>
      <c r="U2828" s="11">
        <f t="shared" si="934"/>
        <v>2.2999999999999998</v>
      </c>
      <c r="W2828">
        <v>2.5</v>
      </c>
      <c r="X2828" s="1" t="s">
        <v>18</v>
      </c>
    </row>
    <row r="2829" spans="1:24" x14ac:dyDescent="0.25">
      <c r="A2829" s="1" t="str">
        <f t="shared" si="936"/>
        <v>卡卡杜-凤凰仓</v>
      </c>
      <c r="B2829" s="1" t="str">
        <f>"CK20241025153"</f>
        <v>CK20241025153</v>
      </c>
      <c r="C2829" s="1" t="str">
        <f>"DD2024102545509"</f>
        <v>DD2024102545509</v>
      </c>
      <c r="D2829" s="1" t="str">
        <f>"CK2024102550515"</f>
        <v>CK2024102550515</v>
      </c>
      <c r="E2829" s="1" t="str">
        <f>"2429802492643902"</f>
        <v>2429802492643902</v>
      </c>
      <c r="F2829" s="1" t="str">
        <f t="shared" si="937"/>
        <v>花都四部-凤凰仓</v>
      </c>
      <c r="G2829" s="1" t="str">
        <f t="shared" si="918"/>
        <v>卡卡杜佳旺专卖店（快手店）</v>
      </c>
      <c r="H2829" s="1" t="str">
        <f t="shared" si="938"/>
        <v>正常订单</v>
      </c>
      <c r="I2829" s="1" t="str">
        <f t="shared" si="939"/>
        <v>已发货</v>
      </c>
      <c r="J2829" s="1" t="str">
        <f t="shared" si="935"/>
        <v>3</v>
      </c>
      <c r="K2829" s="1">
        <v>2</v>
      </c>
      <c r="L2829" s="1" t="s">
        <v>66</v>
      </c>
      <c r="M2829" s="1" t="str">
        <f>"内蒙古自治区 巴彦淖尔市 临河区 新华镇"</f>
        <v>内蒙古自治区 巴彦淖尔市 临河区 新华镇</v>
      </c>
      <c r="N2829" s="1" t="str">
        <f t="shared" si="919"/>
        <v>凡华云仓-城南圆通-快手</v>
      </c>
      <c r="O2829" s="5" t="s">
        <v>2864</v>
      </c>
      <c r="P2829" s="6">
        <v>0.35</v>
      </c>
      <c r="Q2829" s="11">
        <v>2.2999999999999998</v>
      </c>
      <c r="R2829" s="11"/>
      <c r="S2829" s="11"/>
      <c r="T2829" s="11"/>
      <c r="U2829" s="11">
        <f t="shared" si="934"/>
        <v>2.2999999999999998</v>
      </c>
      <c r="W2829">
        <v>2.5</v>
      </c>
      <c r="X2829" s="1" t="s">
        <v>66</v>
      </c>
    </row>
    <row r="2830" spans="1:24" x14ac:dyDescent="0.25">
      <c r="A2830" s="1" t="str">
        <f t="shared" si="936"/>
        <v>卡卡杜-凤凰仓</v>
      </c>
      <c r="B2830" s="1" t="str">
        <f>"CK20241025180"</f>
        <v>CK20241025180</v>
      </c>
      <c r="C2830" s="1" t="str">
        <f>"DD2024102545660"</f>
        <v>DD2024102545660</v>
      </c>
      <c r="D2830" s="1" t="str">
        <f>"CK2024102550514"</f>
        <v>CK2024102550514</v>
      </c>
      <c r="E2830" s="1" t="str">
        <f>"2429802011443886"</f>
        <v>2429802011443886</v>
      </c>
      <c r="F2830" s="1" t="str">
        <f t="shared" si="937"/>
        <v>花都四部-凤凰仓</v>
      </c>
      <c r="G2830" s="1" t="str">
        <f t="shared" si="918"/>
        <v>卡卡杜佳旺专卖店（快手店）</v>
      </c>
      <c r="H2830" s="1" t="str">
        <f t="shared" si="938"/>
        <v>正常订单</v>
      </c>
      <c r="I2830" s="1" t="str">
        <f t="shared" si="939"/>
        <v>已发货</v>
      </c>
      <c r="J2830" s="1" t="str">
        <f t="shared" ref="J2830:J2835" si="940">"5"</f>
        <v>5</v>
      </c>
      <c r="K2830" s="1">
        <v>2</v>
      </c>
      <c r="L2830" s="1" t="s">
        <v>36</v>
      </c>
      <c r="M2830" s="1" t="str">
        <f>"安徽省 合肥市 蜀山区 井岗镇"</f>
        <v>安徽省 合肥市 蜀山区 井岗镇</v>
      </c>
      <c r="N2830" s="1" t="str">
        <f t="shared" si="919"/>
        <v>凡华云仓-城南圆通-快手</v>
      </c>
      <c r="O2830" s="5" t="s">
        <v>2865</v>
      </c>
      <c r="P2830" s="6">
        <v>0.59</v>
      </c>
      <c r="Q2830" s="11">
        <f t="shared" ref="Q2830:Q2835" si="941">CEILING(P2830-0.5,0.1)*10*0.15+2.3</f>
        <v>2.4499999999999997</v>
      </c>
      <c r="R2830" s="11"/>
      <c r="S2830" s="11"/>
      <c r="T2830" s="11"/>
      <c r="U2830" s="11">
        <f t="shared" si="934"/>
        <v>2.4499999999999997</v>
      </c>
      <c r="V2830" t="s">
        <v>15</v>
      </c>
      <c r="W2830">
        <v>2.4500000000000002</v>
      </c>
      <c r="X2830" s="1" t="s">
        <v>36</v>
      </c>
    </row>
    <row r="2831" spans="1:24" x14ac:dyDescent="0.25">
      <c r="A2831" s="1" t="str">
        <f t="shared" si="936"/>
        <v>卡卡杜-凤凰仓</v>
      </c>
      <c r="B2831" s="1" t="str">
        <f>"CK20241025181"</f>
        <v>CK20241025181</v>
      </c>
      <c r="C2831" s="1" t="str">
        <f>"DD2024102545666"</f>
        <v>DD2024102545666</v>
      </c>
      <c r="D2831" s="1" t="str">
        <f>"CK2024102550513"</f>
        <v>CK2024102550513</v>
      </c>
      <c r="E2831" s="1" t="str">
        <f>"2429802169747306"</f>
        <v>2429802169747306</v>
      </c>
      <c r="F2831" s="1" t="str">
        <f t="shared" si="937"/>
        <v>花都四部-凤凰仓</v>
      </c>
      <c r="G2831" s="1" t="str">
        <f t="shared" si="918"/>
        <v>卡卡杜佳旺专卖店（快手店）</v>
      </c>
      <c r="H2831" s="1" t="str">
        <f t="shared" si="938"/>
        <v>正常订单</v>
      </c>
      <c r="I2831" s="1" t="str">
        <f t="shared" si="939"/>
        <v>已发货</v>
      </c>
      <c r="J2831" s="1" t="str">
        <f t="shared" si="940"/>
        <v>5</v>
      </c>
      <c r="K2831" s="1">
        <v>2</v>
      </c>
      <c r="L2831" s="1" t="s">
        <v>18</v>
      </c>
      <c r="M2831" s="1" t="str">
        <f>"广东省 湛江市 霞山区 乐华街道"</f>
        <v>广东省 湛江市 霞山区 乐华街道</v>
      </c>
      <c r="N2831" s="1" t="str">
        <f t="shared" si="919"/>
        <v>凡华云仓-城南圆通-快手</v>
      </c>
      <c r="O2831" s="5" t="s">
        <v>2866</v>
      </c>
      <c r="P2831" s="6">
        <v>0.59</v>
      </c>
      <c r="Q2831" s="11">
        <f t="shared" si="941"/>
        <v>2.4499999999999997</v>
      </c>
      <c r="R2831" s="11"/>
      <c r="S2831" s="11"/>
      <c r="T2831" s="11"/>
      <c r="U2831" s="11">
        <f t="shared" si="934"/>
        <v>2.4499999999999997</v>
      </c>
      <c r="V2831" t="s">
        <v>15</v>
      </c>
      <c r="W2831">
        <v>2.4500000000000002</v>
      </c>
      <c r="X2831" s="1" t="s">
        <v>18</v>
      </c>
    </row>
    <row r="2832" spans="1:24" x14ac:dyDescent="0.25">
      <c r="A2832" s="1" t="str">
        <f t="shared" si="936"/>
        <v>卡卡杜-凤凰仓</v>
      </c>
      <c r="B2832" s="1" t="str">
        <f>"CK20241025156"</f>
        <v>CK20241025156</v>
      </c>
      <c r="C2832" s="1" t="str">
        <f>"DD2024102545513"</f>
        <v>DD2024102545513</v>
      </c>
      <c r="D2832" s="1" t="str">
        <f>"CK2024102550512"</f>
        <v>CK2024102550512</v>
      </c>
      <c r="E2832" s="1" t="str">
        <f>"2429801775266652"</f>
        <v>2429801775266652</v>
      </c>
      <c r="F2832" s="1" t="str">
        <f t="shared" si="937"/>
        <v>花都四部-凤凰仓</v>
      </c>
      <c r="G2832" s="1" t="str">
        <f t="shared" ref="G2832:G2836" si="942">"卡卡杜佳旺专卖店（快手店）"</f>
        <v>卡卡杜佳旺专卖店（快手店）</v>
      </c>
      <c r="H2832" s="1" t="str">
        <f t="shared" si="938"/>
        <v>正常订单</v>
      </c>
      <c r="I2832" s="1" t="str">
        <f t="shared" si="939"/>
        <v>已发货</v>
      </c>
      <c r="J2832" s="1" t="str">
        <f t="shared" ref="J2832:J2836" si="943">"3"</f>
        <v>3</v>
      </c>
      <c r="K2832" s="1">
        <v>2</v>
      </c>
      <c r="L2832" s="1" t="s">
        <v>187</v>
      </c>
      <c r="M2832" s="1" t="str">
        <f>"吉林省 延边朝鲜族自治州 敦化市 民主街道"</f>
        <v>吉林省 延边朝鲜族自治州 敦化市 民主街道</v>
      </c>
      <c r="N2832" s="1" t="str">
        <f t="shared" ref="N2832:N2836" si="944">"凡华云仓-城南圆通-快手"</f>
        <v>凡华云仓-城南圆通-快手</v>
      </c>
      <c r="O2832" s="5" t="s">
        <v>2867</v>
      </c>
      <c r="P2832" s="6">
        <v>0.35</v>
      </c>
      <c r="Q2832" s="11">
        <v>2.2999999999999998</v>
      </c>
      <c r="R2832" s="11"/>
      <c r="S2832" s="11"/>
      <c r="T2832" s="11"/>
      <c r="U2832" s="11">
        <f t="shared" si="934"/>
        <v>2.2999999999999998</v>
      </c>
      <c r="W2832">
        <v>2.5</v>
      </c>
      <c r="X2832" s="1" t="s">
        <v>187</v>
      </c>
    </row>
    <row r="2833" spans="1:24" x14ac:dyDescent="0.25">
      <c r="A2833" s="1" t="str">
        <f t="shared" si="936"/>
        <v>卡卡杜-凤凰仓</v>
      </c>
      <c r="B2833" s="1" t="str">
        <f>"CK20241025157"</f>
        <v>CK20241025157</v>
      </c>
      <c r="C2833" s="1" t="str">
        <f>"DD2024102545514"</f>
        <v>DD2024102545514</v>
      </c>
      <c r="D2833" s="1" t="str">
        <f>"CK2024102550511"</f>
        <v>CK2024102550511</v>
      </c>
      <c r="E2833" s="1" t="str">
        <f>"2429802015120947"</f>
        <v>2429802015120947</v>
      </c>
      <c r="F2833" s="1" t="str">
        <f t="shared" si="937"/>
        <v>花都四部-凤凰仓</v>
      </c>
      <c r="G2833" s="1" t="str">
        <f t="shared" si="942"/>
        <v>卡卡杜佳旺专卖店（快手店）</v>
      </c>
      <c r="H2833" s="1" t="str">
        <f t="shared" si="938"/>
        <v>正常订单</v>
      </c>
      <c r="I2833" s="1" t="str">
        <f t="shared" si="939"/>
        <v>已发货</v>
      </c>
      <c r="J2833" s="1" t="str">
        <f t="shared" si="943"/>
        <v>3</v>
      </c>
      <c r="K2833" s="1">
        <v>2</v>
      </c>
      <c r="L2833" s="1" t="s">
        <v>1495</v>
      </c>
      <c r="M2833" s="1" t="str">
        <f>"天津市 天津市 武清区 天津武清汽车产业园"</f>
        <v>天津市 天津市 武清区 天津武清汽车产业园</v>
      </c>
      <c r="N2833" s="1" t="str">
        <f t="shared" si="944"/>
        <v>凡华云仓-城南圆通-快手</v>
      </c>
      <c r="O2833" s="5" t="s">
        <v>2868</v>
      </c>
      <c r="P2833" s="6">
        <v>0.35</v>
      </c>
      <c r="Q2833" s="11">
        <v>2.2999999999999998</v>
      </c>
      <c r="R2833" s="11"/>
      <c r="S2833" s="11"/>
      <c r="T2833" s="11"/>
      <c r="U2833" s="11">
        <f t="shared" si="934"/>
        <v>2.2999999999999998</v>
      </c>
      <c r="W2833">
        <v>2.5</v>
      </c>
      <c r="X2833" s="1" t="s">
        <v>1495</v>
      </c>
    </row>
    <row r="2834" spans="1:24" x14ac:dyDescent="0.25">
      <c r="A2834" s="1" t="str">
        <f t="shared" si="936"/>
        <v>卡卡杜-凤凰仓</v>
      </c>
      <c r="B2834" s="1" t="str">
        <f>"CK20241025182"</f>
        <v>CK20241025182</v>
      </c>
      <c r="C2834" s="1" t="str">
        <f>"DD2024102545668"</f>
        <v>DD2024102545668</v>
      </c>
      <c r="D2834" s="1" t="str">
        <f>"CK2024102550510"</f>
        <v>CK2024102550510</v>
      </c>
      <c r="E2834" s="1" t="str">
        <f>"2429802091913006"</f>
        <v>2429802091913006</v>
      </c>
      <c r="F2834" s="1" t="str">
        <f t="shared" si="937"/>
        <v>花都四部-凤凰仓</v>
      </c>
      <c r="G2834" s="1" t="str">
        <f t="shared" si="942"/>
        <v>卡卡杜佳旺专卖店（快手店）</v>
      </c>
      <c r="H2834" s="1" t="str">
        <f t="shared" si="938"/>
        <v>正常订单</v>
      </c>
      <c r="I2834" s="1" t="str">
        <f t="shared" si="939"/>
        <v>已发货</v>
      </c>
      <c r="J2834" s="1" t="str">
        <f t="shared" si="940"/>
        <v>5</v>
      </c>
      <c r="K2834" s="1">
        <v>2</v>
      </c>
      <c r="L2834" s="1" t="s">
        <v>13</v>
      </c>
      <c r="M2834" s="1" t="str">
        <f>"江苏省 苏州市 吴中区 木渎镇"</f>
        <v>江苏省 苏州市 吴中区 木渎镇</v>
      </c>
      <c r="N2834" s="1" t="str">
        <f t="shared" si="944"/>
        <v>凡华云仓-城南圆通-快手</v>
      </c>
      <c r="O2834" s="5" t="s">
        <v>2869</v>
      </c>
      <c r="P2834" s="6">
        <v>0.59</v>
      </c>
      <c r="Q2834" s="11">
        <f t="shared" si="941"/>
        <v>2.4499999999999997</v>
      </c>
      <c r="R2834" s="11"/>
      <c r="S2834" s="11"/>
      <c r="T2834" s="11"/>
      <c r="U2834" s="11">
        <f t="shared" si="934"/>
        <v>2.4499999999999997</v>
      </c>
      <c r="V2834" t="s">
        <v>15</v>
      </c>
      <c r="W2834">
        <v>2.4500000000000002</v>
      </c>
      <c r="X2834" s="1" t="s">
        <v>13</v>
      </c>
    </row>
    <row r="2835" spans="1:24" x14ac:dyDescent="0.25">
      <c r="A2835" s="1" t="str">
        <f t="shared" si="936"/>
        <v>卡卡杜-凤凰仓</v>
      </c>
      <c r="B2835" s="1" t="str">
        <f>"CK20241025183"</f>
        <v>CK20241025183</v>
      </c>
      <c r="C2835" s="1" t="str">
        <f>"DD2024102545671"</f>
        <v>DD2024102545671</v>
      </c>
      <c r="D2835" s="1" t="str">
        <f>"CK2024102550509"</f>
        <v>CK2024102550509</v>
      </c>
      <c r="E2835" s="1" t="str">
        <f>"2429802328635991"</f>
        <v>2429802328635991</v>
      </c>
      <c r="F2835" s="1" t="str">
        <f t="shared" si="937"/>
        <v>花都四部-凤凰仓</v>
      </c>
      <c r="G2835" s="1" t="str">
        <f t="shared" si="942"/>
        <v>卡卡杜佳旺专卖店（快手店）</v>
      </c>
      <c r="H2835" s="1" t="str">
        <f t="shared" si="938"/>
        <v>正常订单</v>
      </c>
      <c r="I2835" s="1" t="str">
        <f t="shared" si="939"/>
        <v>已发货</v>
      </c>
      <c r="J2835" s="1" t="str">
        <f t="shared" si="940"/>
        <v>5</v>
      </c>
      <c r="K2835" s="1">
        <v>2</v>
      </c>
      <c r="L2835" s="1" t="s">
        <v>54</v>
      </c>
      <c r="M2835" s="1" t="str">
        <f>"黑龙江省 绥化市 明水县 树人乡"</f>
        <v>黑龙江省 绥化市 明水县 树人乡</v>
      </c>
      <c r="N2835" s="1" t="str">
        <f t="shared" si="944"/>
        <v>凡华云仓-城南圆通-快手</v>
      </c>
      <c r="O2835" s="5" t="s">
        <v>2870</v>
      </c>
      <c r="P2835" s="6">
        <v>0.59</v>
      </c>
      <c r="Q2835" s="11">
        <f t="shared" si="941"/>
        <v>2.4499999999999997</v>
      </c>
      <c r="R2835" s="11"/>
      <c r="S2835" s="11"/>
      <c r="T2835" s="11"/>
      <c r="U2835" s="11">
        <f t="shared" si="934"/>
        <v>2.4499999999999997</v>
      </c>
      <c r="V2835" t="s">
        <v>15</v>
      </c>
      <c r="W2835">
        <v>2.4500000000000002</v>
      </c>
      <c r="X2835" s="1" t="s">
        <v>54</v>
      </c>
    </row>
    <row r="2836" spans="1:24" x14ac:dyDescent="0.25">
      <c r="A2836" s="1" t="str">
        <f t="shared" si="936"/>
        <v>卡卡杜-凤凰仓</v>
      </c>
      <c r="B2836" s="1" t="str">
        <f>"CK20241025147"</f>
        <v>CK20241025147</v>
      </c>
      <c r="C2836" s="1" t="str">
        <f>"DD2024102545503"</f>
        <v>DD2024102545503</v>
      </c>
      <c r="D2836" s="1" t="str">
        <f>"CK2024102550508"</f>
        <v>CK2024102550508</v>
      </c>
      <c r="E2836" s="1" t="str">
        <f>"2429801693898511"</f>
        <v>2429801693898511</v>
      </c>
      <c r="F2836" s="1" t="str">
        <f t="shared" si="937"/>
        <v>花都四部-凤凰仓</v>
      </c>
      <c r="G2836" s="1" t="str">
        <f t="shared" si="942"/>
        <v>卡卡杜佳旺专卖店（快手店）</v>
      </c>
      <c r="H2836" s="1" t="str">
        <f t="shared" si="938"/>
        <v>正常订单</v>
      </c>
      <c r="I2836" s="1" t="str">
        <f t="shared" si="939"/>
        <v>已发货</v>
      </c>
      <c r="J2836" s="1" t="str">
        <f t="shared" si="943"/>
        <v>3</v>
      </c>
      <c r="K2836" s="1">
        <v>2</v>
      </c>
      <c r="L2836" s="1" t="s">
        <v>16</v>
      </c>
      <c r="M2836" s="1" t="str">
        <f>"河北省 邢台市 信都区 团结路街道"</f>
        <v>河北省 邢台市 信都区 团结路街道</v>
      </c>
      <c r="N2836" s="1" t="str">
        <f t="shared" si="944"/>
        <v>凡华云仓-城南圆通-快手</v>
      </c>
      <c r="O2836" s="5" t="s">
        <v>2871</v>
      </c>
      <c r="P2836" s="6">
        <v>0.35</v>
      </c>
      <c r="Q2836" s="11">
        <v>2.2999999999999998</v>
      </c>
      <c r="R2836" s="11"/>
      <c r="S2836" s="11"/>
      <c r="T2836" s="11"/>
      <c r="U2836" s="11">
        <f t="shared" si="934"/>
        <v>2.2999999999999998</v>
      </c>
      <c r="W2836">
        <v>2.5</v>
      </c>
      <c r="X2836" s="1" t="s">
        <v>16</v>
      </c>
    </row>
    <row r="2837" spans="1:24" x14ac:dyDescent="0.25">
      <c r="A2837" s="1" t="str">
        <f t="shared" si="936"/>
        <v>卡卡杜-凤凰仓</v>
      </c>
      <c r="B2837" s="1" t="str">
        <f>"CK20241025189"</f>
        <v>CK20241025189</v>
      </c>
      <c r="C2837" s="1" t="str">
        <f>"DD2024102545753"</f>
        <v>DD2024102545753</v>
      </c>
      <c r="D2837" s="1" t="str">
        <f>"CK2024102550507"</f>
        <v>CK2024102550507</v>
      </c>
      <c r="E2837" s="1" t="str">
        <f>"3723538717168764161"</f>
        <v>3723538717168764161</v>
      </c>
      <c r="F2837" s="1" t="str">
        <f t="shared" si="937"/>
        <v>花都四部-凤凰仓</v>
      </c>
      <c r="G2837" s="1" t="str">
        <f t="shared" ref="G2837:G2900" si="945">"卡卡杜企业店（视频号）"</f>
        <v>卡卡杜企业店（视频号）</v>
      </c>
      <c r="H2837" s="1" t="str">
        <f t="shared" si="938"/>
        <v>正常订单</v>
      </c>
      <c r="I2837" s="1" t="str">
        <f t="shared" si="939"/>
        <v>已发货</v>
      </c>
      <c r="J2837" s="1" t="str">
        <f>"2"</f>
        <v>2</v>
      </c>
      <c r="K2837" s="1">
        <v>2</v>
      </c>
      <c r="L2837" s="1" t="s">
        <v>24</v>
      </c>
      <c r="M2837" s="1" t="str">
        <f>"福建省 厦门市 思明区 "</f>
        <v xml:space="preserve">福建省 厦门市 思明区 </v>
      </c>
      <c r="N2837" s="1" t="str">
        <f t="shared" ref="N2837:N2853" si="946">"凡华云仓-城南圆通-微信视频号"</f>
        <v>凡华云仓-城南圆通-微信视频号</v>
      </c>
      <c r="O2837" s="5" t="s">
        <v>2872</v>
      </c>
      <c r="P2837" s="6">
        <v>0.17</v>
      </c>
      <c r="Q2837" s="11">
        <v>2</v>
      </c>
      <c r="R2837" s="11"/>
      <c r="S2837" s="11"/>
      <c r="T2837" s="11"/>
      <c r="U2837" s="11">
        <f t="shared" si="934"/>
        <v>2</v>
      </c>
      <c r="W2837">
        <v>2.2000000000000002</v>
      </c>
      <c r="X2837" s="1" t="s">
        <v>24</v>
      </c>
    </row>
    <row r="2838" spans="1:24" x14ac:dyDescent="0.25">
      <c r="A2838" s="1" t="str">
        <f t="shared" si="936"/>
        <v>卡卡杜-凤凰仓</v>
      </c>
      <c r="B2838" s="1" t="str">
        <f>"CK2024102596"</f>
        <v>CK2024102596</v>
      </c>
      <c r="C2838" s="1" t="str">
        <f>"DD2024102545445"</f>
        <v>DD2024102545445</v>
      </c>
      <c r="D2838" s="1" t="str">
        <f>"CK2024102550506"</f>
        <v>CK2024102550506</v>
      </c>
      <c r="E2838" s="1" t="str">
        <f>"3723538679713105408"</f>
        <v>3723538679713105408</v>
      </c>
      <c r="F2838" s="1" t="str">
        <f t="shared" si="937"/>
        <v>花都四部-凤凰仓</v>
      </c>
      <c r="G2838" s="1" t="str">
        <f t="shared" si="945"/>
        <v>卡卡杜企业店（视频号）</v>
      </c>
      <c r="H2838" s="1" t="str">
        <f t="shared" si="938"/>
        <v>正常订单</v>
      </c>
      <c r="I2838" s="1" t="str">
        <f t="shared" si="939"/>
        <v>已发货</v>
      </c>
      <c r="J2838" s="1" t="str">
        <f t="shared" ref="J2838:J2841" si="947">"3"</f>
        <v>3</v>
      </c>
      <c r="K2838" s="1">
        <v>2</v>
      </c>
      <c r="L2838" s="1" t="s">
        <v>80</v>
      </c>
      <c r="M2838" s="1" t="str">
        <f>"河南省 许昌市 鄢陵县 "</f>
        <v xml:space="preserve">河南省 许昌市 鄢陵县 </v>
      </c>
      <c r="N2838" s="1" t="str">
        <f t="shared" si="946"/>
        <v>凡华云仓-城南圆通-微信视频号</v>
      </c>
      <c r="O2838" s="5" t="s">
        <v>2873</v>
      </c>
      <c r="P2838" s="6">
        <v>0.24</v>
      </c>
      <c r="Q2838" s="11">
        <v>2</v>
      </c>
      <c r="R2838" s="11"/>
      <c r="S2838" s="11"/>
      <c r="T2838" s="11"/>
      <c r="U2838" s="11">
        <f t="shared" si="934"/>
        <v>2</v>
      </c>
      <c r="W2838">
        <v>2.2000000000000002</v>
      </c>
      <c r="X2838" s="1" t="s">
        <v>80</v>
      </c>
    </row>
    <row r="2839" spans="1:24" x14ac:dyDescent="0.25">
      <c r="A2839" s="1" t="str">
        <f t="shared" si="936"/>
        <v>卡卡杜-凤凰仓</v>
      </c>
      <c r="B2839" s="1" t="str">
        <f>"CK2024102582"</f>
        <v>CK2024102582</v>
      </c>
      <c r="C2839" s="1" t="str">
        <f>"DD2024102545428"</f>
        <v>DD2024102545428</v>
      </c>
      <c r="D2839" s="1" t="str">
        <f>"CK2024102550505"</f>
        <v>CK2024102550505</v>
      </c>
      <c r="E2839" s="1" t="str">
        <f>"3723538715683197952"</f>
        <v>3723538715683197952</v>
      </c>
      <c r="F2839" s="1" t="str">
        <f t="shared" si="937"/>
        <v>花都四部-凤凰仓</v>
      </c>
      <c r="G2839" s="1" t="str">
        <f t="shared" si="945"/>
        <v>卡卡杜企业店（视频号）</v>
      </c>
      <c r="H2839" s="1" t="str">
        <f t="shared" si="938"/>
        <v>正常订单</v>
      </c>
      <c r="I2839" s="1" t="str">
        <f t="shared" si="939"/>
        <v>已发货</v>
      </c>
      <c r="J2839" s="1" t="str">
        <f t="shared" si="947"/>
        <v>3</v>
      </c>
      <c r="K2839" s="1">
        <v>2</v>
      </c>
      <c r="L2839" s="1" t="s">
        <v>16</v>
      </c>
      <c r="M2839" s="1" t="str">
        <f>"河北省 保定市 竞秀区 "</f>
        <v xml:space="preserve">河北省 保定市 竞秀区 </v>
      </c>
      <c r="N2839" s="1" t="str">
        <f t="shared" si="946"/>
        <v>凡华云仓-城南圆通-微信视频号</v>
      </c>
      <c r="O2839" s="5" t="s">
        <v>2874</v>
      </c>
      <c r="P2839" s="6">
        <v>0.24</v>
      </c>
      <c r="Q2839" s="11">
        <v>2</v>
      </c>
      <c r="R2839" s="11"/>
      <c r="S2839" s="11"/>
      <c r="T2839" s="11"/>
      <c r="U2839" s="11">
        <f t="shared" si="934"/>
        <v>2</v>
      </c>
      <c r="W2839">
        <v>2.2000000000000002</v>
      </c>
      <c r="X2839" s="1" t="s">
        <v>16</v>
      </c>
    </row>
    <row r="2840" spans="1:24" x14ac:dyDescent="0.25">
      <c r="A2840" s="1" t="str">
        <f t="shared" si="936"/>
        <v>卡卡杜-凤凰仓</v>
      </c>
      <c r="B2840" s="1" t="str">
        <f>"CK202410252490"</f>
        <v>CK202410252490</v>
      </c>
      <c r="C2840" s="1" t="str">
        <f>"DD2024102547543"</f>
        <v>DD2024102547543</v>
      </c>
      <c r="D2840" s="1" t="str">
        <f>"CK2024102550504"</f>
        <v>CK2024102550504</v>
      </c>
      <c r="E2840" s="1" t="str">
        <f>"3723537640445318144"</f>
        <v>3723537640445318144</v>
      </c>
      <c r="F2840" s="1" t="str">
        <f t="shared" si="937"/>
        <v>花都四部-凤凰仓</v>
      </c>
      <c r="G2840" s="1" t="str">
        <f t="shared" si="945"/>
        <v>卡卡杜企业店（视频号）</v>
      </c>
      <c r="H2840" s="1" t="str">
        <f t="shared" si="938"/>
        <v>正常订单</v>
      </c>
      <c r="I2840" s="1" t="str">
        <f t="shared" si="939"/>
        <v>已发货</v>
      </c>
      <c r="J2840" s="1" t="str">
        <f>"5"</f>
        <v>5</v>
      </c>
      <c r="K2840" s="1">
        <v>4</v>
      </c>
      <c r="L2840" s="1" t="s">
        <v>105</v>
      </c>
      <c r="M2840" s="1" t="str">
        <f>"北京 北京市 丰台区 "</f>
        <v xml:space="preserve">北京 北京市 丰台区 </v>
      </c>
      <c r="N2840" s="1" t="str">
        <f t="shared" si="946"/>
        <v>凡华云仓-城南圆通-微信视频号</v>
      </c>
      <c r="O2840" s="5" t="s">
        <v>2875</v>
      </c>
      <c r="P2840" s="6">
        <v>0.4</v>
      </c>
      <c r="Q2840" s="11">
        <v>2.2999999999999998</v>
      </c>
      <c r="R2840" s="11"/>
      <c r="S2840" s="11"/>
      <c r="T2840" s="11"/>
      <c r="U2840" s="11">
        <f t="shared" si="934"/>
        <v>2.2999999999999998</v>
      </c>
      <c r="W2840">
        <v>2.5</v>
      </c>
      <c r="X2840" s="1" t="s">
        <v>105</v>
      </c>
    </row>
    <row r="2841" spans="1:24" x14ac:dyDescent="0.25">
      <c r="A2841" s="1" t="str">
        <f t="shared" si="936"/>
        <v>卡卡杜-凤凰仓</v>
      </c>
      <c r="B2841" s="1" t="str">
        <f>"CK2024102580"</f>
        <v>CK2024102580</v>
      </c>
      <c r="C2841" s="1" t="str">
        <f>"DD2024102545427"</f>
        <v>DD2024102545427</v>
      </c>
      <c r="D2841" s="1" t="str">
        <f>"CK2024102550503"</f>
        <v>CK2024102550503</v>
      </c>
      <c r="E2841" s="1" t="str">
        <f>"3723538721047450624"</f>
        <v>3723538721047450624</v>
      </c>
      <c r="F2841" s="1" t="str">
        <f t="shared" si="937"/>
        <v>花都四部-凤凰仓</v>
      </c>
      <c r="G2841" s="1" t="str">
        <f t="shared" si="945"/>
        <v>卡卡杜企业店（视频号）</v>
      </c>
      <c r="H2841" s="1" t="str">
        <f t="shared" si="938"/>
        <v>正常订单</v>
      </c>
      <c r="I2841" s="1" t="str">
        <f t="shared" si="939"/>
        <v>已发货</v>
      </c>
      <c r="J2841" s="1" t="str">
        <f t="shared" si="947"/>
        <v>3</v>
      </c>
      <c r="K2841" s="1">
        <v>2</v>
      </c>
      <c r="L2841" s="1" t="s">
        <v>94</v>
      </c>
      <c r="M2841" s="1" t="str">
        <f>"湖南省 长沙市 雨花区 "</f>
        <v xml:space="preserve">湖南省 长沙市 雨花区 </v>
      </c>
      <c r="N2841" s="1" t="str">
        <f t="shared" si="946"/>
        <v>凡华云仓-城南圆通-微信视频号</v>
      </c>
      <c r="O2841" s="5" t="s">
        <v>2876</v>
      </c>
      <c r="P2841" s="6">
        <v>0.24</v>
      </c>
      <c r="Q2841" s="11">
        <v>2</v>
      </c>
      <c r="R2841" s="11"/>
      <c r="S2841" s="11"/>
      <c r="T2841" s="11"/>
      <c r="U2841" s="11">
        <f t="shared" si="934"/>
        <v>2</v>
      </c>
      <c r="W2841">
        <v>2.2000000000000002</v>
      </c>
      <c r="X2841" s="1" t="s">
        <v>94</v>
      </c>
    </row>
    <row r="2842" spans="1:24" x14ac:dyDescent="0.25">
      <c r="A2842" s="1" t="str">
        <f t="shared" si="936"/>
        <v>卡卡杜-凤凰仓</v>
      </c>
      <c r="B2842" s="1" t="str">
        <f>"CK20241025188"</f>
        <v>CK20241025188</v>
      </c>
      <c r="C2842" s="1" t="str">
        <f>"DD2024102545748"</f>
        <v>DD2024102545748</v>
      </c>
      <c r="D2842" s="1" t="str">
        <f>"CK2024102550502"</f>
        <v>CK2024102550502</v>
      </c>
      <c r="E2842" s="1" t="str">
        <f>"3723538735709422848"</f>
        <v>3723538735709422848</v>
      </c>
      <c r="F2842" s="1" t="str">
        <f t="shared" si="937"/>
        <v>花都四部-凤凰仓</v>
      </c>
      <c r="G2842" s="1" t="str">
        <f t="shared" si="945"/>
        <v>卡卡杜企业店（视频号）</v>
      </c>
      <c r="H2842" s="1" t="str">
        <f t="shared" si="938"/>
        <v>正常订单</v>
      </c>
      <c r="I2842" s="1" t="str">
        <f t="shared" si="939"/>
        <v>已发货</v>
      </c>
      <c r="J2842" s="1" t="str">
        <f>"2"</f>
        <v>2</v>
      </c>
      <c r="K2842" s="1">
        <v>2</v>
      </c>
      <c r="L2842" s="1" t="s">
        <v>74</v>
      </c>
      <c r="M2842" s="1" t="str">
        <f>"上海 上海市 青浦区 "</f>
        <v xml:space="preserve">上海 上海市 青浦区 </v>
      </c>
      <c r="N2842" s="1" t="str">
        <f t="shared" si="946"/>
        <v>凡华云仓-城南圆通-微信视频号</v>
      </c>
      <c r="O2842" s="5" t="s">
        <v>2877</v>
      </c>
      <c r="P2842" s="6">
        <v>0.17</v>
      </c>
      <c r="Q2842" s="11">
        <v>2</v>
      </c>
      <c r="R2842" s="11"/>
      <c r="S2842" s="11"/>
      <c r="T2842" s="11"/>
      <c r="U2842" s="11">
        <f t="shared" si="934"/>
        <v>2</v>
      </c>
      <c r="W2842">
        <v>2.2000000000000002</v>
      </c>
      <c r="X2842" s="1" t="s">
        <v>74</v>
      </c>
    </row>
    <row r="2843" spans="1:24" x14ac:dyDescent="0.25">
      <c r="A2843" s="1" t="str">
        <f t="shared" si="936"/>
        <v>卡卡杜-凤凰仓</v>
      </c>
      <c r="B2843" s="1" t="str">
        <f>"CK20241025151"</f>
        <v>CK20241025151</v>
      </c>
      <c r="C2843" s="1" t="str">
        <f>"DD2024102545506"</f>
        <v>DD2024102545506</v>
      </c>
      <c r="D2843" s="1" t="str">
        <f>"CK2024102550501"</f>
        <v>CK2024102550501</v>
      </c>
      <c r="E2843" s="1" t="str">
        <f>"3723535806348527104"</f>
        <v>3723535806348527104</v>
      </c>
      <c r="F2843" s="1" t="str">
        <f t="shared" si="937"/>
        <v>花都四部-凤凰仓</v>
      </c>
      <c r="G2843" s="1" t="str">
        <f t="shared" si="945"/>
        <v>卡卡杜企业店（视频号）</v>
      </c>
      <c r="H2843" s="1" t="str">
        <f t="shared" si="938"/>
        <v>正常订单</v>
      </c>
      <c r="I2843" s="1" t="str">
        <f t="shared" si="939"/>
        <v>已发货</v>
      </c>
      <c r="J2843" s="1" t="str">
        <f t="shared" ref="J2843:J2849" si="948">"3"</f>
        <v>3</v>
      </c>
      <c r="K2843" s="1">
        <v>3</v>
      </c>
      <c r="L2843" s="1" t="s">
        <v>41</v>
      </c>
      <c r="M2843" s="1" t="str">
        <f>"湖北省 黄石市 阳新县 "</f>
        <v xml:space="preserve">湖北省 黄石市 阳新县 </v>
      </c>
      <c r="N2843" s="1" t="str">
        <f t="shared" si="946"/>
        <v>凡华云仓-城南圆通-微信视频号</v>
      </c>
      <c r="O2843" s="5" t="s">
        <v>2878</v>
      </c>
      <c r="P2843" s="6">
        <v>0.34</v>
      </c>
      <c r="Q2843" s="11">
        <v>2.2999999999999998</v>
      </c>
      <c r="R2843" s="11"/>
      <c r="S2843" s="11"/>
      <c r="T2843" s="11"/>
      <c r="U2843" s="11">
        <f t="shared" si="934"/>
        <v>2.2999999999999998</v>
      </c>
      <c r="W2843">
        <v>2.5</v>
      </c>
      <c r="X2843" s="1" t="s">
        <v>41</v>
      </c>
    </row>
    <row r="2844" spans="1:24" x14ac:dyDescent="0.25">
      <c r="A2844" s="1" t="str">
        <f t="shared" si="936"/>
        <v>卡卡杜-凤凰仓</v>
      </c>
      <c r="B2844" s="1" t="str">
        <f>"CK20241025191"</f>
        <v>CK20241025191</v>
      </c>
      <c r="C2844" s="1" t="str">
        <f>"DD2024102545756"</f>
        <v>DD2024102545756</v>
      </c>
      <c r="D2844" s="1" t="str">
        <f>"CK2024102550500"</f>
        <v>CK2024102550500</v>
      </c>
      <c r="E2844" s="1" t="str">
        <f>"3723538706599121920"</f>
        <v>3723538706599121920</v>
      </c>
      <c r="F2844" s="1" t="str">
        <f t="shared" si="937"/>
        <v>花都四部-凤凰仓</v>
      </c>
      <c r="G2844" s="1" t="str">
        <f t="shared" si="945"/>
        <v>卡卡杜企业店（视频号）</v>
      </c>
      <c r="H2844" s="1" t="str">
        <f t="shared" si="938"/>
        <v>正常订单</v>
      </c>
      <c r="I2844" s="1" t="str">
        <f t="shared" si="939"/>
        <v>已发货</v>
      </c>
      <c r="J2844" s="1" t="str">
        <f>"2"</f>
        <v>2</v>
      </c>
      <c r="K2844" s="1">
        <v>2</v>
      </c>
      <c r="L2844" s="1" t="s">
        <v>94</v>
      </c>
      <c r="M2844" s="1" t="str">
        <f>"湖南省 娄底市 娄星区 "</f>
        <v xml:space="preserve">湖南省 娄底市 娄星区 </v>
      </c>
      <c r="N2844" s="1" t="str">
        <f t="shared" si="946"/>
        <v>凡华云仓-城南圆通-微信视频号</v>
      </c>
      <c r="O2844" s="5" t="s">
        <v>2879</v>
      </c>
      <c r="P2844" s="6">
        <v>0.17</v>
      </c>
      <c r="Q2844" s="11">
        <v>2</v>
      </c>
      <c r="R2844" s="11"/>
      <c r="S2844" s="11"/>
      <c r="T2844" s="11"/>
      <c r="U2844" s="11">
        <f t="shared" si="934"/>
        <v>2</v>
      </c>
      <c r="W2844">
        <v>2.2000000000000002</v>
      </c>
      <c r="X2844" s="1" t="s">
        <v>94</v>
      </c>
    </row>
    <row r="2845" spans="1:24" x14ac:dyDescent="0.25">
      <c r="A2845" s="1" t="str">
        <f t="shared" si="936"/>
        <v>卡卡杜-凤凰仓</v>
      </c>
      <c r="B2845" s="1" t="str">
        <f>"CK20241025143"</f>
        <v>CK20241025143</v>
      </c>
      <c r="C2845" s="1" t="str">
        <f>"DD2024102545498"</f>
        <v>DD2024102545498</v>
      </c>
      <c r="D2845" s="1" t="str">
        <f>"CK2024102550499"</f>
        <v>CK2024102550499</v>
      </c>
      <c r="E2845" s="1" t="str">
        <f>"3723536920294851840"</f>
        <v>3723536920294851840</v>
      </c>
      <c r="F2845" s="1" t="str">
        <f t="shared" si="937"/>
        <v>花都四部-凤凰仓</v>
      </c>
      <c r="G2845" s="1" t="str">
        <f t="shared" si="945"/>
        <v>卡卡杜企业店（视频号）</v>
      </c>
      <c r="H2845" s="1" t="str">
        <f t="shared" si="938"/>
        <v>正常订单</v>
      </c>
      <c r="I2845" s="1" t="str">
        <f t="shared" si="939"/>
        <v>已发货</v>
      </c>
      <c r="J2845" s="1" t="str">
        <f t="shared" si="948"/>
        <v>3</v>
      </c>
      <c r="K2845" s="1">
        <v>3</v>
      </c>
      <c r="L2845" s="1" t="s">
        <v>80</v>
      </c>
      <c r="M2845" s="1" t="str">
        <f>"河南省 焦作市 解放区 "</f>
        <v xml:space="preserve">河南省 焦作市 解放区 </v>
      </c>
      <c r="N2845" s="1" t="str">
        <f t="shared" si="946"/>
        <v>凡华云仓-城南圆通-微信视频号</v>
      </c>
      <c r="O2845" s="5" t="s">
        <v>2880</v>
      </c>
      <c r="P2845" s="6">
        <v>0.34</v>
      </c>
      <c r="Q2845" s="11">
        <v>2.2999999999999998</v>
      </c>
      <c r="R2845" s="11"/>
      <c r="S2845" s="11"/>
      <c r="T2845" s="11"/>
      <c r="U2845" s="11">
        <f t="shared" si="934"/>
        <v>2.2999999999999998</v>
      </c>
      <c r="W2845">
        <v>2.5</v>
      </c>
      <c r="X2845" s="1" t="s">
        <v>80</v>
      </c>
    </row>
    <row r="2846" spans="1:24" x14ac:dyDescent="0.25">
      <c r="A2846" s="1" t="str">
        <f t="shared" si="936"/>
        <v>卡卡杜-凤凰仓</v>
      </c>
      <c r="B2846" s="1" t="str">
        <f>"CK2024102588"</f>
        <v>CK2024102588</v>
      </c>
      <c r="C2846" s="1" t="str">
        <f>"DD2024102545434"</f>
        <v>DD2024102545434</v>
      </c>
      <c r="D2846" s="1" t="str">
        <f>"CK2024102550498"</f>
        <v>CK2024102550498</v>
      </c>
      <c r="E2846" s="1" t="str">
        <f>"3723538713084825600"</f>
        <v>3723538713084825600</v>
      </c>
      <c r="F2846" s="1" t="str">
        <f t="shared" si="937"/>
        <v>花都四部-凤凰仓</v>
      </c>
      <c r="G2846" s="1" t="str">
        <f t="shared" si="945"/>
        <v>卡卡杜企业店（视频号）</v>
      </c>
      <c r="H2846" s="1" t="str">
        <f t="shared" si="938"/>
        <v>正常订单</v>
      </c>
      <c r="I2846" s="1" t="str">
        <f t="shared" si="939"/>
        <v>已发货</v>
      </c>
      <c r="J2846" s="1" t="str">
        <f t="shared" si="948"/>
        <v>3</v>
      </c>
      <c r="K2846" s="1">
        <v>2</v>
      </c>
      <c r="L2846" s="1" t="s">
        <v>18</v>
      </c>
      <c r="M2846" s="1" t="str">
        <f>"广东省 广州市 天河区 "</f>
        <v xml:space="preserve">广东省 广州市 天河区 </v>
      </c>
      <c r="N2846" s="1" t="str">
        <f t="shared" si="946"/>
        <v>凡华云仓-城南圆通-微信视频号</v>
      </c>
      <c r="O2846" s="5" t="s">
        <v>2881</v>
      </c>
      <c r="P2846" s="6">
        <v>0.24</v>
      </c>
      <c r="Q2846" s="11">
        <v>2</v>
      </c>
      <c r="R2846" s="11"/>
      <c r="S2846" s="11"/>
      <c r="T2846" s="11"/>
      <c r="U2846" s="11">
        <f t="shared" si="934"/>
        <v>2</v>
      </c>
      <c r="W2846">
        <v>2.2000000000000002</v>
      </c>
      <c r="X2846" s="1" t="s">
        <v>18</v>
      </c>
    </row>
    <row r="2847" spans="1:24" x14ac:dyDescent="0.25">
      <c r="A2847" s="1" t="str">
        <f t="shared" si="936"/>
        <v>卡卡杜-凤凰仓</v>
      </c>
      <c r="B2847" s="1" t="str">
        <f>"CK2024102591"</f>
        <v>CK2024102591</v>
      </c>
      <c r="C2847" s="1" t="str">
        <f>"DD2024102545438"</f>
        <v>DD2024102545438</v>
      </c>
      <c r="D2847" s="1" t="str">
        <f>"CK2024102550497"</f>
        <v>CK2024102550497</v>
      </c>
      <c r="E2847" s="1" t="str">
        <f>"3723538703154021889"</f>
        <v>3723538703154021889</v>
      </c>
      <c r="F2847" s="1" t="str">
        <f t="shared" si="937"/>
        <v>花都四部-凤凰仓</v>
      </c>
      <c r="G2847" s="1" t="str">
        <f t="shared" si="945"/>
        <v>卡卡杜企业店（视频号）</v>
      </c>
      <c r="H2847" s="1" t="str">
        <f t="shared" si="938"/>
        <v>正常订单</v>
      </c>
      <c r="I2847" s="1" t="str">
        <f t="shared" si="939"/>
        <v>已发货</v>
      </c>
      <c r="J2847" s="1" t="str">
        <f t="shared" si="948"/>
        <v>3</v>
      </c>
      <c r="K2847" s="1">
        <v>2</v>
      </c>
      <c r="L2847" s="1" t="s">
        <v>52</v>
      </c>
      <c r="M2847" s="1" t="str">
        <f>"甘肃省 白银市 白银区 "</f>
        <v xml:space="preserve">甘肃省 白银市 白银区 </v>
      </c>
      <c r="N2847" s="1" t="str">
        <f t="shared" si="946"/>
        <v>凡华云仓-城南圆通-微信视频号</v>
      </c>
      <c r="O2847" s="5" t="s">
        <v>2882</v>
      </c>
      <c r="P2847" s="6">
        <v>0.24</v>
      </c>
      <c r="Q2847" s="11">
        <v>2</v>
      </c>
      <c r="R2847" s="11"/>
      <c r="S2847" s="11"/>
      <c r="T2847" s="11"/>
      <c r="U2847" s="11">
        <f t="shared" si="934"/>
        <v>2</v>
      </c>
      <c r="W2847">
        <v>2.2000000000000002</v>
      </c>
      <c r="X2847" s="1" t="s">
        <v>52</v>
      </c>
    </row>
    <row r="2848" spans="1:24" x14ac:dyDescent="0.25">
      <c r="A2848" s="1" t="str">
        <f t="shared" si="936"/>
        <v>卡卡杜-凤凰仓</v>
      </c>
      <c r="B2848" s="1" t="str">
        <f>"CK2024102584"</f>
        <v>CK2024102584</v>
      </c>
      <c r="C2848" s="1" t="str">
        <f>"DD2024102545430"</f>
        <v>DD2024102545430</v>
      </c>
      <c r="D2848" s="1" t="str">
        <f>"CK2024102550496"</f>
        <v>CK2024102550496</v>
      </c>
      <c r="E2848" s="1" t="str">
        <f>"3723538717085402368"</f>
        <v>3723538717085402368</v>
      </c>
      <c r="F2848" s="1" t="str">
        <f t="shared" si="937"/>
        <v>花都四部-凤凰仓</v>
      </c>
      <c r="G2848" s="1" t="str">
        <f t="shared" si="945"/>
        <v>卡卡杜企业店（视频号）</v>
      </c>
      <c r="H2848" s="1" t="str">
        <f t="shared" si="938"/>
        <v>正常订单</v>
      </c>
      <c r="I2848" s="1" t="str">
        <f t="shared" si="939"/>
        <v>已发货</v>
      </c>
      <c r="J2848" s="1" t="str">
        <f t="shared" si="948"/>
        <v>3</v>
      </c>
      <c r="K2848" s="1">
        <v>2</v>
      </c>
      <c r="L2848" s="1" t="s">
        <v>109</v>
      </c>
      <c r="M2848" s="1" t="str">
        <f>"山西省 太原市 迎泽区 "</f>
        <v xml:space="preserve">山西省 太原市 迎泽区 </v>
      </c>
      <c r="N2848" s="1" t="str">
        <f t="shared" si="946"/>
        <v>凡华云仓-城南圆通-微信视频号</v>
      </c>
      <c r="O2848" s="5" t="s">
        <v>2883</v>
      </c>
      <c r="P2848" s="6">
        <v>0.24</v>
      </c>
      <c r="Q2848" s="11">
        <v>2</v>
      </c>
      <c r="R2848" s="11"/>
      <c r="S2848" s="11"/>
      <c r="T2848" s="11"/>
      <c r="U2848" s="11">
        <f t="shared" si="934"/>
        <v>2</v>
      </c>
      <c r="W2848">
        <v>2.2000000000000002</v>
      </c>
      <c r="X2848" s="1" t="s">
        <v>109</v>
      </c>
    </row>
    <row r="2849" spans="1:24" x14ac:dyDescent="0.25">
      <c r="A2849" s="1" t="str">
        <f t="shared" si="936"/>
        <v>卡卡杜-凤凰仓</v>
      </c>
      <c r="B2849" s="1" t="str">
        <f>"CK2024102583"</f>
        <v>CK2024102583</v>
      </c>
      <c r="C2849" s="1" t="str">
        <f>"DD2024102545429"</f>
        <v>DD2024102545429</v>
      </c>
      <c r="D2849" s="1" t="str">
        <f>"CK2024102550495"</f>
        <v>CK2024102550495</v>
      </c>
      <c r="E2849" s="1" t="str">
        <f>"3723538717521609984"</f>
        <v>3723538717521609984</v>
      </c>
      <c r="F2849" s="1" t="str">
        <f t="shared" si="937"/>
        <v>花都四部-凤凰仓</v>
      </c>
      <c r="G2849" s="1" t="str">
        <f t="shared" si="945"/>
        <v>卡卡杜企业店（视频号）</v>
      </c>
      <c r="H2849" s="1" t="str">
        <f t="shared" si="938"/>
        <v>正常订单</v>
      </c>
      <c r="I2849" s="1" t="str">
        <f t="shared" si="939"/>
        <v>已发货</v>
      </c>
      <c r="J2849" s="1" t="str">
        <f t="shared" si="948"/>
        <v>3</v>
      </c>
      <c r="K2849" s="1">
        <v>2</v>
      </c>
      <c r="L2849" s="1" t="s">
        <v>16</v>
      </c>
      <c r="M2849" s="1" t="str">
        <f>"河北省 廊坊市 三河市 "</f>
        <v xml:space="preserve">河北省 廊坊市 三河市 </v>
      </c>
      <c r="N2849" s="1" t="str">
        <f t="shared" si="946"/>
        <v>凡华云仓-城南圆通-微信视频号</v>
      </c>
      <c r="O2849" s="5" t="s">
        <v>2884</v>
      </c>
      <c r="P2849" s="6">
        <v>0.24</v>
      </c>
      <c r="Q2849" s="11">
        <v>2</v>
      </c>
      <c r="R2849" s="11"/>
      <c r="S2849" s="11"/>
      <c r="T2849" s="11"/>
      <c r="U2849" s="11">
        <f t="shared" si="934"/>
        <v>2</v>
      </c>
      <c r="W2849">
        <v>2.2000000000000002</v>
      </c>
      <c r="X2849" s="1" t="s">
        <v>16</v>
      </c>
    </row>
    <row r="2850" spans="1:24" x14ac:dyDescent="0.25">
      <c r="A2850" s="1" t="str">
        <f t="shared" si="936"/>
        <v>卡卡杜-凤凰仓</v>
      </c>
      <c r="B2850" s="1" t="str">
        <f>"CK20241025190"</f>
        <v>CK20241025190</v>
      </c>
      <c r="C2850" s="1" t="str">
        <f>"DD2024102545751"</f>
        <v>DD2024102545751</v>
      </c>
      <c r="D2850" s="1" t="str">
        <f>"CK2024102550494"</f>
        <v>CK2024102550494</v>
      </c>
      <c r="E2850" s="1" t="str">
        <f>"3723538708757875712"</f>
        <v>3723538708757875712</v>
      </c>
      <c r="F2850" s="1" t="str">
        <f t="shared" si="937"/>
        <v>花都四部-凤凰仓</v>
      </c>
      <c r="G2850" s="1" t="str">
        <f t="shared" si="945"/>
        <v>卡卡杜企业店（视频号）</v>
      </c>
      <c r="H2850" s="1" t="str">
        <f t="shared" si="938"/>
        <v>正常订单</v>
      </c>
      <c r="I2850" s="1" t="str">
        <f t="shared" si="939"/>
        <v>已发货</v>
      </c>
      <c r="J2850" s="1" t="str">
        <f>"2"</f>
        <v>2</v>
      </c>
      <c r="K2850" s="1">
        <v>2</v>
      </c>
      <c r="L2850" s="1" t="s">
        <v>16</v>
      </c>
      <c r="M2850" s="1" t="str">
        <f>"河北省 秦皇岛市 海港区 "</f>
        <v xml:space="preserve">河北省 秦皇岛市 海港区 </v>
      </c>
      <c r="N2850" s="1" t="str">
        <f t="shared" si="946"/>
        <v>凡华云仓-城南圆通-微信视频号</v>
      </c>
      <c r="O2850" s="5" t="s">
        <v>2885</v>
      </c>
      <c r="P2850" s="6">
        <v>0.17</v>
      </c>
      <c r="Q2850" s="11">
        <v>2</v>
      </c>
      <c r="R2850" s="11"/>
      <c r="S2850" s="11"/>
      <c r="T2850" s="11"/>
      <c r="U2850" s="11">
        <f t="shared" si="934"/>
        <v>2</v>
      </c>
      <c r="W2850">
        <v>2.2000000000000002</v>
      </c>
      <c r="X2850" s="1" t="s">
        <v>16</v>
      </c>
    </row>
    <row r="2851" spans="1:24" x14ac:dyDescent="0.25">
      <c r="A2851" s="1" t="str">
        <f t="shared" si="936"/>
        <v>卡卡杜-凤凰仓</v>
      </c>
      <c r="B2851" s="1" t="str">
        <f>"CK2024102590"</f>
        <v>CK2024102590</v>
      </c>
      <c r="C2851" s="1" t="str">
        <f>"DD2024102545437"</f>
        <v>DD2024102545437</v>
      </c>
      <c r="D2851" s="1" t="str">
        <f>"CK2024102550493"</f>
        <v>CK2024102550493</v>
      </c>
      <c r="E2851" s="1" t="str">
        <f>"3723538704801858816"</f>
        <v>3723538704801858816</v>
      </c>
      <c r="F2851" s="1" t="str">
        <f t="shared" si="937"/>
        <v>花都四部-凤凰仓</v>
      </c>
      <c r="G2851" s="1" t="str">
        <f t="shared" si="945"/>
        <v>卡卡杜企业店（视频号）</v>
      </c>
      <c r="H2851" s="1" t="str">
        <f t="shared" si="938"/>
        <v>正常订单</v>
      </c>
      <c r="I2851" s="1" t="str">
        <f t="shared" si="939"/>
        <v>已发货</v>
      </c>
      <c r="J2851" s="1" t="str">
        <f t="shared" ref="J2851:J2864" si="949">"3"</f>
        <v>3</v>
      </c>
      <c r="K2851" s="1">
        <v>2</v>
      </c>
      <c r="L2851" s="1" t="s">
        <v>52</v>
      </c>
      <c r="M2851" s="1" t="str">
        <f>"甘肃省 天水市 秦州区 "</f>
        <v xml:space="preserve">甘肃省 天水市 秦州区 </v>
      </c>
      <c r="N2851" s="1" t="str">
        <f t="shared" si="946"/>
        <v>凡华云仓-城南圆通-微信视频号</v>
      </c>
      <c r="O2851" s="5" t="s">
        <v>2886</v>
      </c>
      <c r="P2851" s="6">
        <v>0.24</v>
      </c>
      <c r="Q2851" s="11">
        <v>2</v>
      </c>
      <c r="R2851" s="11"/>
      <c r="S2851" s="11"/>
      <c r="T2851" s="11"/>
      <c r="U2851" s="11">
        <f t="shared" si="934"/>
        <v>2</v>
      </c>
      <c r="W2851">
        <v>2.2000000000000002</v>
      </c>
      <c r="X2851" s="1" t="s">
        <v>52</v>
      </c>
    </row>
    <row r="2852" spans="1:24" x14ac:dyDescent="0.25">
      <c r="A2852" s="1" t="str">
        <f t="shared" si="936"/>
        <v>卡卡杜-凤凰仓</v>
      </c>
      <c r="B2852" s="1" t="str">
        <f>"CK2024102585"</f>
        <v>CK2024102585</v>
      </c>
      <c r="C2852" s="1" t="str">
        <f>"DD2024102545431"</f>
        <v>DD2024102545431</v>
      </c>
      <c r="D2852" s="1" t="str">
        <f>"CK2024102550492"</f>
        <v>CK2024102550492</v>
      </c>
      <c r="E2852" s="1" t="str">
        <f>"3723538714879460609"</f>
        <v>3723538714879460609</v>
      </c>
      <c r="F2852" s="1" t="str">
        <f t="shared" si="937"/>
        <v>花都四部-凤凰仓</v>
      </c>
      <c r="G2852" s="1" t="str">
        <f t="shared" si="945"/>
        <v>卡卡杜企业店（视频号）</v>
      </c>
      <c r="H2852" s="1" t="str">
        <f t="shared" si="938"/>
        <v>正常订单</v>
      </c>
      <c r="I2852" s="1" t="str">
        <f t="shared" si="939"/>
        <v>已发货</v>
      </c>
      <c r="J2852" s="1" t="str">
        <f t="shared" si="949"/>
        <v>3</v>
      </c>
      <c r="K2852" s="1">
        <v>2</v>
      </c>
      <c r="L2852" s="1" t="s">
        <v>94</v>
      </c>
      <c r="M2852" s="1" t="str">
        <f>"湖南省 长沙市 芙蓉区 "</f>
        <v xml:space="preserve">湖南省 长沙市 芙蓉区 </v>
      </c>
      <c r="N2852" s="1" t="str">
        <f t="shared" si="946"/>
        <v>凡华云仓-城南圆通-微信视频号</v>
      </c>
      <c r="O2852" s="5" t="s">
        <v>2887</v>
      </c>
      <c r="P2852" s="6">
        <v>0.24</v>
      </c>
      <c r="Q2852" s="11">
        <v>2</v>
      </c>
      <c r="R2852" s="11"/>
      <c r="S2852" s="11"/>
      <c r="T2852" s="11"/>
      <c r="U2852" s="11">
        <f t="shared" si="934"/>
        <v>2</v>
      </c>
      <c r="W2852">
        <v>2.2000000000000002</v>
      </c>
      <c r="X2852" s="1" t="s">
        <v>94</v>
      </c>
    </row>
    <row r="2853" spans="1:24" x14ac:dyDescent="0.25">
      <c r="A2853" s="1" t="str">
        <f t="shared" si="936"/>
        <v>卡卡杜-凤凰仓</v>
      </c>
      <c r="B2853" s="1" t="str">
        <f>"CK2024102586"</f>
        <v>CK2024102586</v>
      </c>
      <c r="C2853" s="1" t="str">
        <f>"DD2024102545433"</f>
        <v>DD2024102545433</v>
      </c>
      <c r="D2853" s="1" t="str">
        <f>"CK2024102550491"</f>
        <v>CK2024102550491</v>
      </c>
      <c r="E2853" s="1" t="str">
        <f>"3723538716242871552"</f>
        <v>3723538716242871552</v>
      </c>
      <c r="F2853" s="1" t="str">
        <f t="shared" si="937"/>
        <v>花都四部-凤凰仓</v>
      </c>
      <c r="G2853" s="1" t="str">
        <f t="shared" si="945"/>
        <v>卡卡杜企业店（视频号）</v>
      </c>
      <c r="H2853" s="1" t="str">
        <f t="shared" si="938"/>
        <v>正常订单</v>
      </c>
      <c r="I2853" s="1" t="str">
        <f t="shared" si="939"/>
        <v>已发货</v>
      </c>
      <c r="J2853" s="1" t="str">
        <f t="shared" si="949"/>
        <v>3</v>
      </c>
      <c r="K2853" s="1">
        <v>2</v>
      </c>
      <c r="L2853" s="1" t="s">
        <v>24</v>
      </c>
      <c r="M2853" s="1" t="str">
        <f>"福建省 厦门市 同安区 "</f>
        <v xml:space="preserve">福建省 厦门市 同安区 </v>
      </c>
      <c r="N2853" s="1" t="str">
        <f t="shared" si="946"/>
        <v>凡华云仓-城南圆通-微信视频号</v>
      </c>
      <c r="O2853" s="5" t="s">
        <v>2888</v>
      </c>
      <c r="P2853" s="6">
        <v>0.24</v>
      </c>
      <c r="Q2853" s="11">
        <v>2</v>
      </c>
      <c r="R2853" s="11"/>
      <c r="S2853" s="11"/>
      <c r="T2853" s="11"/>
      <c r="U2853" s="11">
        <f t="shared" si="934"/>
        <v>2</v>
      </c>
      <c r="W2853">
        <v>2.2000000000000002</v>
      </c>
      <c r="X2853" s="1" t="s">
        <v>24</v>
      </c>
    </row>
    <row r="2854" spans="1:24" x14ac:dyDescent="0.25">
      <c r="A2854" s="1" t="str">
        <f t="shared" si="936"/>
        <v>卡卡杜-凤凰仓</v>
      </c>
      <c r="B2854" s="1" t="str">
        <f>"CK2024102587"</f>
        <v>CK2024102587</v>
      </c>
      <c r="C2854" s="1" t="str">
        <f>"DD2024102545435"</f>
        <v>DD2024102545435</v>
      </c>
      <c r="D2854" s="1" t="str">
        <f>"CK2024102550490"</f>
        <v>CK2024102550490</v>
      </c>
      <c r="E2854" s="1" t="str">
        <f>"3723538714817074176"</f>
        <v>3723538714817074176</v>
      </c>
      <c r="F2854" s="1" t="str">
        <f t="shared" si="937"/>
        <v>花都四部-凤凰仓</v>
      </c>
      <c r="G2854" s="1" t="str">
        <f t="shared" si="945"/>
        <v>卡卡杜企业店（视频号）</v>
      </c>
      <c r="H2854" s="1" t="str">
        <f t="shared" si="938"/>
        <v>正常订单</v>
      </c>
      <c r="I2854" s="1" t="str">
        <f t="shared" si="939"/>
        <v>已发货</v>
      </c>
      <c r="J2854" s="1" t="str">
        <f t="shared" si="949"/>
        <v>3</v>
      </c>
      <c r="K2854" s="1">
        <v>2</v>
      </c>
      <c r="L2854" s="1" t="s">
        <v>32</v>
      </c>
      <c r="M2854" s="1" t="str">
        <f>"陕西省 西安市 新城区 "</f>
        <v xml:space="preserve">陕西省 西安市 新城区 </v>
      </c>
      <c r="N2854" s="1" t="str">
        <f>"凡华云仓-竹料中通-微信视频号"</f>
        <v>凡华云仓-竹料中通-微信视频号</v>
      </c>
      <c r="O2854" s="5">
        <v>73613844613289</v>
      </c>
      <c r="P2854" s="6">
        <v>0.24</v>
      </c>
      <c r="Q2854" s="11">
        <v>2.2999999999999998</v>
      </c>
      <c r="R2854" s="11"/>
      <c r="S2854" s="11"/>
      <c r="T2854" s="11"/>
      <c r="U2854" s="11">
        <f t="shared" si="934"/>
        <v>2.2999999999999998</v>
      </c>
      <c r="W2854">
        <v>2.5</v>
      </c>
      <c r="X2854" s="1" t="s">
        <v>32</v>
      </c>
    </row>
    <row r="2855" spans="1:24" x14ac:dyDescent="0.25">
      <c r="A2855" s="1" t="str">
        <f t="shared" si="936"/>
        <v>卡卡杜-凤凰仓</v>
      </c>
      <c r="B2855" s="1" t="str">
        <f>"CK2024102565"</f>
        <v>CK2024102565</v>
      </c>
      <c r="C2855" s="1" t="str">
        <f>"DD2024102545411"</f>
        <v>DD2024102545411</v>
      </c>
      <c r="D2855" s="1" t="str">
        <f>"CK2024102550489"</f>
        <v>CK2024102550489</v>
      </c>
      <c r="E2855" s="1" t="str">
        <f>"3723545283627191296"</f>
        <v>3723545283627191296</v>
      </c>
      <c r="F2855" s="1" t="str">
        <f t="shared" si="937"/>
        <v>花都四部-凤凰仓</v>
      </c>
      <c r="G2855" s="1" t="str">
        <f t="shared" si="945"/>
        <v>卡卡杜企业店（视频号）</v>
      </c>
      <c r="H2855" s="1" t="str">
        <f t="shared" si="938"/>
        <v>正常订单</v>
      </c>
      <c r="I2855" s="1" t="str">
        <f t="shared" si="939"/>
        <v>已发货</v>
      </c>
      <c r="J2855" s="1" t="str">
        <f t="shared" si="949"/>
        <v>3</v>
      </c>
      <c r="K2855" s="1">
        <v>2</v>
      </c>
      <c r="L2855" s="1" t="s">
        <v>74</v>
      </c>
      <c r="M2855" s="1" t="str">
        <f>"上海 上海市 长宁区 "</f>
        <v xml:space="preserve">上海 上海市 长宁区 </v>
      </c>
      <c r="N2855" s="1" t="str">
        <f t="shared" ref="N2855:N2915" si="950">"凡华云仓-城南圆通-微信视频号"</f>
        <v>凡华云仓-城南圆通-微信视频号</v>
      </c>
      <c r="O2855" s="5" t="s">
        <v>2889</v>
      </c>
      <c r="P2855" s="6">
        <v>0.24</v>
      </c>
      <c r="Q2855" s="11">
        <v>2</v>
      </c>
      <c r="R2855" s="11"/>
      <c r="S2855" s="11"/>
      <c r="T2855" s="11"/>
      <c r="U2855" s="11">
        <f t="shared" si="934"/>
        <v>2</v>
      </c>
      <c r="W2855">
        <v>2.2000000000000002</v>
      </c>
      <c r="X2855" s="1" t="s">
        <v>74</v>
      </c>
    </row>
    <row r="2856" spans="1:24" x14ac:dyDescent="0.25">
      <c r="A2856" s="1" t="str">
        <f t="shared" si="936"/>
        <v>卡卡杜-凤凰仓</v>
      </c>
      <c r="B2856" s="1" t="str">
        <f>"CK2024102589"</f>
        <v>CK2024102589</v>
      </c>
      <c r="C2856" s="1" t="str">
        <f>"DD2024102545436"</f>
        <v>DD2024102545436</v>
      </c>
      <c r="D2856" s="1" t="str">
        <f>"CK2024102550488"</f>
        <v>CK2024102550488</v>
      </c>
      <c r="E2856" s="1" t="str">
        <f>"3723538711692576256"</f>
        <v>3723538711692576256</v>
      </c>
      <c r="F2856" s="1" t="str">
        <f t="shared" si="937"/>
        <v>花都四部-凤凰仓</v>
      </c>
      <c r="G2856" s="1" t="str">
        <f t="shared" si="945"/>
        <v>卡卡杜企业店（视频号）</v>
      </c>
      <c r="H2856" s="1" t="str">
        <f t="shared" si="938"/>
        <v>正常订单</v>
      </c>
      <c r="I2856" s="1" t="str">
        <f t="shared" si="939"/>
        <v>已发货</v>
      </c>
      <c r="J2856" s="1" t="str">
        <f t="shared" si="949"/>
        <v>3</v>
      </c>
      <c r="K2856" s="1">
        <v>2</v>
      </c>
      <c r="L2856" s="1" t="s">
        <v>16</v>
      </c>
      <c r="M2856" s="1" t="str">
        <f>"河北省 廊坊市 广阳区 "</f>
        <v xml:space="preserve">河北省 廊坊市 广阳区 </v>
      </c>
      <c r="N2856" s="1" t="str">
        <f t="shared" si="950"/>
        <v>凡华云仓-城南圆通-微信视频号</v>
      </c>
      <c r="O2856" s="5" t="s">
        <v>2890</v>
      </c>
      <c r="P2856" s="6">
        <v>0.24</v>
      </c>
      <c r="Q2856" s="11">
        <v>2</v>
      </c>
      <c r="R2856" s="11"/>
      <c r="S2856" s="11"/>
      <c r="T2856" s="11"/>
      <c r="U2856" s="11">
        <f t="shared" si="934"/>
        <v>2</v>
      </c>
      <c r="W2856">
        <v>2.2000000000000002</v>
      </c>
      <c r="X2856" s="1" t="s">
        <v>16</v>
      </c>
    </row>
    <row r="2857" spans="1:24" x14ac:dyDescent="0.25">
      <c r="A2857" s="1" t="str">
        <f t="shared" si="936"/>
        <v>卡卡杜-凤凰仓</v>
      </c>
      <c r="B2857" s="1" t="str">
        <f>"CK20241025149"</f>
        <v>CK20241025149</v>
      </c>
      <c r="C2857" s="1" t="str">
        <f>"DD2024102545505"</f>
        <v>DD2024102545505</v>
      </c>
      <c r="D2857" s="1" t="str">
        <f>"CK2024102550487"</f>
        <v>CK2024102550487</v>
      </c>
      <c r="E2857" s="1" t="str">
        <f>"3723536047660991744"</f>
        <v>3723536047660991744</v>
      </c>
      <c r="F2857" s="1" t="str">
        <f t="shared" si="937"/>
        <v>花都四部-凤凰仓</v>
      </c>
      <c r="G2857" s="1" t="str">
        <f t="shared" si="945"/>
        <v>卡卡杜企业店（视频号）</v>
      </c>
      <c r="H2857" s="1" t="str">
        <f t="shared" si="938"/>
        <v>正常订单</v>
      </c>
      <c r="I2857" s="1" t="str">
        <f t="shared" si="939"/>
        <v>已发货</v>
      </c>
      <c r="J2857" s="1" t="str">
        <f t="shared" si="949"/>
        <v>3</v>
      </c>
      <c r="K2857" s="1">
        <v>3</v>
      </c>
      <c r="L2857" s="1" t="s">
        <v>80</v>
      </c>
      <c r="M2857" s="1" t="str">
        <f>"河南省 南阳市 社旗县 "</f>
        <v xml:space="preserve">河南省 南阳市 社旗县 </v>
      </c>
      <c r="N2857" s="1" t="str">
        <f t="shared" si="950"/>
        <v>凡华云仓-城南圆通-微信视频号</v>
      </c>
      <c r="O2857" s="5" t="s">
        <v>2891</v>
      </c>
      <c r="P2857" s="6">
        <v>0.34</v>
      </c>
      <c r="Q2857" s="11">
        <v>2.2999999999999998</v>
      </c>
      <c r="R2857" s="11"/>
      <c r="S2857" s="11"/>
      <c r="T2857" s="11"/>
      <c r="U2857" s="11">
        <f t="shared" si="934"/>
        <v>2.2999999999999998</v>
      </c>
      <c r="W2857">
        <v>2.5</v>
      </c>
      <c r="X2857" s="1" t="s">
        <v>80</v>
      </c>
    </row>
    <row r="2858" spans="1:24" x14ac:dyDescent="0.25">
      <c r="A2858" s="1" t="str">
        <f t="shared" si="936"/>
        <v>卡卡杜-凤凰仓</v>
      </c>
      <c r="B2858" s="1" t="str">
        <f>"CK2024102574"</f>
        <v>CK2024102574</v>
      </c>
      <c r="C2858" s="1" t="str">
        <f>"DD2024102545419"</f>
        <v>DD2024102545419</v>
      </c>
      <c r="D2858" s="1" t="str">
        <f>"CK2024102550486"</f>
        <v>CK2024102550486</v>
      </c>
      <c r="E2858" s="1" t="str">
        <f>"3723539078896290816"</f>
        <v>3723539078896290816</v>
      </c>
      <c r="F2858" s="1" t="str">
        <f t="shared" si="937"/>
        <v>花都四部-凤凰仓</v>
      </c>
      <c r="G2858" s="1" t="str">
        <f t="shared" si="945"/>
        <v>卡卡杜企业店（视频号）</v>
      </c>
      <c r="H2858" s="1" t="str">
        <f t="shared" si="938"/>
        <v>正常订单</v>
      </c>
      <c r="I2858" s="1" t="str">
        <f t="shared" si="939"/>
        <v>已发货</v>
      </c>
      <c r="J2858" s="1" t="str">
        <f t="shared" si="949"/>
        <v>3</v>
      </c>
      <c r="K2858" s="1">
        <v>3</v>
      </c>
      <c r="L2858" s="1" t="s">
        <v>18</v>
      </c>
      <c r="M2858" s="1" t="str">
        <f>"广东省 东莞市 东莞市 "</f>
        <v xml:space="preserve">广东省 东莞市 东莞市 </v>
      </c>
      <c r="N2858" s="1" t="str">
        <f t="shared" si="950"/>
        <v>凡华云仓-城南圆通-微信视频号</v>
      </c>
      <c r="O2858" s="5" t="s">
        <v>2892</v>
      </c>
      <c r="P2858" s="6">
        <v>0.34</v>
      </c>
      <c r="Q2858" s="11">
        <v>2.2999999999999998</v>
      </c>
      <c r="R2858" s="11"/>
      <c r="S2858" s="11"/>
      <c r="T2858" s="11"/>
      <c r="U2858" s="11">
        <f t="shared" si="934"/>
        <v>2.2999999999999998</v>
      </c>
      <c r="W2858">
        <v>2.5</v>
      </c>
      <c r="X2858" s="1" t="s">
        <v>18</v>
      </c>
    </row>
    <row r="2859" spans="1:24" x14ac:dyDescent="0.25">
      <c r="A2859" s="1" t="str">
        <f t="shared" si="936"/>
        <v>卡卡杜-凤凰仓</v>
      </c>
      <c r="B2859" s="1" t="str">
        <f>"CK20241025102"</f>
        <v>CK20241025102</v>
      </c>
      <c r="C2859" s="1" t="str">
        <f>"DD2024102545453"</f>
        <v>DD2024102545453</v>
      </c>
      <c r="D2859" s="1" t="str">
        <f>"CK2024102550485"</f>
        <v>CK2024102550485</v>
      </c>
      <c r="E2859" s="1" t="str">
        <f>"3723538680209347584"</f>
        <v>3723538680209347584</v>
      </c>
      <c r="F2859" s="1" t="str">
        <f t="shared" si="937"/>
        <v>花都四部-凤凰仓</v>
      </c>
      <c r="G2859" s="1" t="str">
        <f t="shared" si="945"/>
        <v>卡卡杜企业店（视频号）</v>
      </c>
      <c r="H2859" s="1" t="str">
        <f t="shared" si="938"/>
        <v>正常订单</v>
      </c>
      <c r="I2859" s="1" t="str">
        <f t="shared" si="939"/>
        <v>已发货</v>
      </c>
      <c r="J2859" s="1" t="str">
        <f t="shared" si="949"/>
        <v>3</v>
      </c>
      <c r="K2859" s="1">
        <v>2</v>
      </c>
      <c r="L2859" s="1" t="s">
        <v>80</v>
      </c>
      <c r="M2859" s="1" t="str">
        <f>"河南省 漯河市 郾城区 "</f>
        <v xml:space="preserve">河南省 漯河市 郾城区 </v>
      </c>
      <c r="N2859" s="1" t="str">
        <f t="shared" si="950"/>
        <v>凡华云仓-城南圆通-微信视频号</v>
      </c>
      <c r="O2859" s="5" t="s">
        <v>2893</v>
      </c>
      <c r="P2859" s="6">
        <v>0.24</v>
      </c>
      <c r="Q2859" s="11">
        <v>2</v>
      </c>
      <c r="R2859" s="11"/>
      <c r="S2859" s="11"/>
      <c r="T2859" s="11"/>
      <c r="U2859" s="11">
        <f t="shared" si="934"/>
        <v>2</v>
      </c>
      <c r="W2859">
        <v>2.2000000000000002</v>
      </c>
      <c r="X2859" s="1" t="s">
        <v>80</v>
      </c>
    </row>
    <row r="2860" spans="1:24" x14ac:dyDescent="0.25">
      <c r="A2860" s="1" t="str">
        <f t="shared" si="936"/>
        <v>卡卡杜-凤凰仓</v>
      </c>
      <c r="B2860" s="1" t="str">
        <f>"CK20241025119"</f>
        <v>CK20241025119</v>
      </c>
      <c r="C2860" s="1" t="str">
        <f>"DD2024102545472"</f>
        <v>DD2024102545472</v>
      </c>
      <c r="D2860" s="1" t="str">
        <f>"CK2024102550484"</f>
        <v>CK2024102550484</v>
      </c>
      <c r="E2860" s="1" t="str">
        <f>"3723538666282681856"</f>
        <v>3723538666282681856</v>
      </c>
      <c r="F2860" s="1" t="str">
        <f t="shared" si="937"/>
        <v>花都四部-凤凰仓</v>
      </c>
      <c r="G2860" s="1" t="str">
        <f t="shared" si="945"/>
        <v>卡卡杜企业店（视频号）</v>
      </c>
      <c r="H2860" s="1" t="str">
        <f t="shared" si="938"/>
        <v>正常订单</v>
      </c>
      <c r="I2860" s="1" t="str">
        <f t="shared" si="939"/>
        <v>已发货</v>
      </c>
      <c r="J2860" s="1" t="str">
        <f t="shared" si="949"/>
        <v>3</v>
      </c>
      <c r="K2860" s="1">
        <v>2</v>
      </c>
      <c r="L2860" s="1" t="s">
        <v>20</v>
      </c>
      <c r="M2860" s="1" t="str">
        <f>"浙江省 杭州市 上城区 "</f>
        <v xml:space="preserve">浙江省 杭州市 上城区 </v>
      </c>
      <c r="N2860" s="1" t="str">
        <f t="shared" si="950"/>
        <v>凡华云仓-城南圆通-微信视频号</v>
      </c>
      <c r="O2860" s="5" t="s">
        <v>2894</v>
      </c>
      <c r="P2860" s="6">
        <v>0.24</v>
      </c>
      <c r="Q2860" s="11">
        <v>2</v>
      </c>
      <c r="R2860" s="11"/>
      <c r="S2860" s="11"/>
      <c r="T2860" s="11"/>
      <c r="U2860" s="11">
        <f t="shared" si="934"/>
        <v>2</v>
      </c>
      <c r="W2860">
        <v>2.2000000000000002</v>
      </c>
      <c r="X2860" s="1" t="s">
        <v>20</v>
      </c>
    </row>
    <row r="2861" spans="1:24" x14ac:dyDescent="0.25">
      <c r="A2861" s="1" t="str">
        <f t="shared" si="936"/>
        <v>卡卡杜-凤凰仓</v>
      </c>
      <c r="B2861" s="1" t="str">
        <f>"CK2024102599"</f>
        <v>CK2024102599</v>
      </c>
      <c r="C2861" s="1" t="str">
        <f>"DD2024102545448"</f>
        <v>DD2024102545448</v>
      </c>
      <c r="D2861" s="1" t="str">
        <f>"CK2024102550483"</f>
        <v>CK2024102550483</v>
      </c>
      <c r="E2861" s="1" t="str">
        <f>"3723538683237369089"</f>
        <v>3723538683237369089</v>
      </c>
      <c r="F2861" s="1" t="str">
        <f t="shared" si="937"/>
        <v>花都四部-凤凰仓</v>
      </c>
      <c r="G2861" s="1" t="str">
        <f t="shared" si="945"/>
        <v>卡卡杜企业店（视频号）</v>
      </c>
      <c r="H2861" s="1" t="str">
        <f t="shared" si="938"/>
        <v>正常订单</v>
      </c>
      <c r="I2861" s="1" t="str">
        <f t="shared" si="939"/>
        <v>已发货</v>
      </c>
      <c r="J2861" s="1" t="str">
        <f t="shared" si="949"/>
        <v>3</v>
      </c>
      <c r="K2861" s="1">
        <v>2</v>
      </c>
      <c r="L2861" s="1" t="s">
        <v>105</v>
      </c>
      <c r="M2861" s="1" t="str">
        <f>"北京 北京市 朝阳区 "</f>
        <v xml:space="preserve">北京 北京市 朝阳区 </v>
      </c>
      <c r="N2861" s="1" t="str">
        <f t="shared" si="950"/>
        <v>凡华云仓-城南圆通-微信视频号</v>
      </c>
      <c r="O2861" s="5" t="s">
        <v>2895</v>
      </c>
      <c r="P2861" s="6">
        <v>0.24</v>
      </c>
      <c r="Q2861" s="11">
        <v>2</v>
      </c>
      <c r="R2861" s="11"/>
      <c r="S2861" s="11"/>
      <c r="T2861" s="11"/>
      <c r="U2861" s="11">
        <f t="shared" si="934"/>
        <v>2</v>
      </c>
      <c r="W2861">
        <v>2.2000000000000002</v>
      </c>
      <c r="X2861" s="1" t="s">
        <v>105</v>
      </c>
    </row>
    <row r="2862" spans="1:24" x14ac:dyDescent="0.25">
      <c r="A2862" s="1" t="str">
        <f t="shared" si="936"/>
        <v>卡卡杜-凤凰仓</v>
      </c>
      <c r="B2862" s="1" t="str">
        <f>"CK20241025100"</f>
        <v>CK20241025100</v>
      </c>
      <c r="C2862" s="1" t="str">
        <f>"DD2024102545449"</f>
        <v>DD2024102545449</v>
      </c>
      <c r="D2862" s="1" t="str">
        <f>"CK2024102550482"</f>
        <v>CK2024102550482</v>
      </c>
      <c r="E2862" s="1" t="str">
        <f>"3723538685566784512"</f>
        <v>3723538685566784512</v>
      </c>
      <c r="F2862" s="1" t="str">
        <f t="shared" si="937"/>
        <v>花都四部-凤凰仓</v>
      </c>
      <c r="G2862" s="1" t="str">
        <f t="shared" si="945"/>
        <v>卡卡杜企业店（视频号）</v>
      </c>
      <c r="H2862" s="1" t="str">
        <f t="shared" si="938"/>
        <v>正常订单</v>
      </c>
      <c r="I2862" s="1" t="str">
        <f t="shared" si="939"/>
        <v>已发货</v>
      </c>
      <c r="J2862" s="1" t="str">
        <f t="shared" si="949"/>
        <v>3</v>
      </c>
      <c r="K2862" s="1">
        <v>2</v>
      </c>
      <c r="L2862" s="1" t="s">
        <v>24</v>
      </c>
      <c r="M2862" s="1" t="str">
        <f>"福建省 福州市 鼓楼区 "</f>
        <v xml:space="preserve">福建省 福州市 鼓楼区 </v>
      </c>
      <c r="N2862" s="1" t="str">
        <f t="shared" si="950"/>
        <v>凡华云仓-城南圆通-微信视频号</v>
      </c>
      <c r="O2862" s="5" t="s">
        <v>2896</v>
      </c>
      <c r="P2862" s="6">
        <v>0.24</v>
      </c>
      <c r="Q2862" s="11">
        <v>2</v>
      </c>
      <c r="R2862" s="11"/>
      <c r="S2862" s="11"/>
      <c r="T2862" s="11"/>
      <c r="U2862" s="11">
        <f t="shared" si="934"/>
        <v>2</v>
      </c>
      <c r="W2862">
        <v>2.2000000000000002</v>
      </c>
      <c r="X2862" s="1" t="s">
        <v>24</v>
      </c>
    </row>
    <row r="2863" spans="1:24" x14ac:dyDescent="0.25">
      <c r="A2863" s="1" t="str">
        <f t="shared" si="936"/>
        <v>卡卡杜-凤凰仓</v>
      </c>
      <c r="B2863" s="1" t="str">
        <f>"CK20241025110"</f>
        <v>CK20241025110</v>
      </c>
      <c r="C2863" s="1" t="str">
        <f>"DD2024102545461"</f>
        <v>DD2024102545461</v>
      </c>
      <c r="D2863" s="1" t="str">
        <f>"CK2024102550481"</f>
        <v>CK2024102550481</v>
      </c>
      <c r="E2863" s="1" t="str">
        <f>"3723538676050169856"</f>
        <v>3723538676050169856</v>
      </c>
      <c r="F2863" s="1" t="str">
        <f t="shared" si="937"/>
        <v>花都四部-凤凰仓</v>
      </c>
      <c r="G2863" s="1" t="str">
        <f t="shared" si="945"/>
        <v>卡卡杜企业店（视频号）</v>
      </c>
      <c r="H2863" s="1" t="str">
        <f t="shared" si="938"/>
        <v>正常订单</v>
      </c>
      <c r="I2863" s="1" t="str">
        <f t="shared" si="939"/>
        <v>已发货</v>
      </c>
      <c r="J2863" s="1" t="str">
        <f t="shared" si="949"/>
        <v>3</v>
      </c>
      <c r="K2863" s="1">
        <v>2</v>
      </c>
      <c r="L2863" s="1" t="s">
        <v>161</v>
      </c>
      <c r="M2863" s="1" t="str">
        <f>"四川省 成都市 双流区 "</f>
        <v xml:space="preserve">四川省 成都市 双流区 </v>
      </c>
      <c r="N2863" s="1" t="str">
        <f t="shared" si="950"/>
        <v>凡华云仓-城南圆通-微信视频号</v>
      </c>
      <c r="O2863" s="5" t="s">
        <v>2897</v>
      </c>
      <c r="P2863" s="6">
        <v>0.24</v>
      </c>
      <c r="Q2863" s="11">
        <v>2</v>
      </c>
      <c r="R2863" s="11"/>
      <c r="S2863" s="11"/>
      <c r="T2863" s="11"/>
      <c r="U2863" s="11">
        <f t="shared" si="934"/>
        <v>2</v>
      </c>
      <c r="W2863">
        <v>2.2000000000000002</v>
      </c>
      <c r="X2863" s="1" t="s">
        <v>161</v>
      </c>
    </row>
    <row r="2864" spans="1:24" x14ac:dyDescent="0.25">
      <c r="A2864" s="1" t="str">
        <f t="shared" si="936"/>
        <v>卡卡杜-凤凰仓</v>
      </c>
      <c r="B2864" s="1" t="str">
        <f>"CK2024102573"</f>
        <v>CK2024102573</v>
      </c>
      <c r="C2864" s="1" t="str">
        <f>"DD2024102545415"</f>
        <v>DD2024102545415</v>
      </c>
      <c r="D2864" s="1" t="str">
        <f>"CK2024102550480"</f>
        <v>CK2024102550480</v>
      </c>
      <c r="E2864" s="1" t="str">
        <f>"3723539142578146304"</f>
        <v>3723539142578146304</v>
      </c>
      <c r="F2864" s="1" t="str">
        <f t="shared" si="937"/>
        <v>花都四部-凤凰仓</v>
      </c>
      <c r="G2864" s="1" t="str">
        <f t="shared" si="945"/>
        <v>卡卡杜企业店（视频号）</v>
      </c>
      <c r="H2864" s="1" t="str">
        <f t="shared" si="938"/>
        <v>正常订单</v>
      </c>
      <c r="I2864" s="1" t="str">
        <f t="shared" si="939"/>
        <v>已发货</v>
      </c>
      <c r="J2864" s="1" t="str">
        <f t="shared" si="949"/>
        <v>3</v>
      </c>
      <c r="K2864" s="1">
        <v>3</v>
      </c>
      <c r="L2864" s="1" t="s">
        <v>105</v>
      </c>
      <c r="M2864" s="1" t="str">
        <f>"北京 北京市 朝阳区 "</f>
        <v xml:space="preserve">北京 北京市 朝阳区 </v>
      </c>
      <c r="N2864" s="1" t="str">
        <f t="shared" si="950"/>
        <v>凡华云仓-城南圆通-微信视频号</v>
      </c>
      <c r="O2864" s="5" t="s">
        <v>2898</v>
      </c>
      <c r="P2864" s="6">
        <v>0.34</v>
      </c>
      <c r="Q2864" s="11">
        <v>2.2999999999999998</v>
      </c>
      <c r="R2864" s="11"/>
      <c r="S2864" s="11"/>
      <c r="T2864" s="11"/>
      <c r="U2864" s="11">
        <f t="shared" si="934"/>
        <v>2.2999999999999998</v>
      </c>
      <c r="W2864">
        <v>2.5</v>
      </c>
      <c r="X2864" s="1" t="s">
        <v>105</v>
      </c>
    </row>
    <row r="2865" spans="1:24" x14ac:dyDescent="0.25">
      <c r="A2865" s="1" t="str">
        <f t="shared" si="936"/>
        <v>卡卡杜-凤凰仓</v>
      </c>
      <c r="B2865" s="1" t="str">
        <f>"CK20241025193"</f>
        <v>CK20241025193</v>
      </c>
      <c r="C2865" s="1" t="str">
        <f>"DD2024102545757"</f>
        <v>DD2024102545757</v>
      </c>
      <c r="D2865" s="1" t="str">
        <f>"CK2024102550479"</f>
        <v>CK2024102550479</v>
      </c>
      <c r="E2865" s="1" t="str">
        <f>"3723538684626736128"</f>
        <v>3723538684626736128</v>
      </c>
      <c r="F2865" s="1" t="str">
        <f t="shared" si="937"/>
        <v>花都四部-凤凰仓</v>
      </c>
      <c r="G2865" s="1" t="str">
        <f t="shared" si="945"/>
        <v>卡卡杜企业店（视频号）</v>
      </c>
      <c r="H2865" s="1" t="str">
        <f t="shared" si="938"/>
        <v>正常订单</v>
      </c>
      <c r="I2865" s="1" t="str">
        <f t="shared" si="939"/>
        <v>已发货</v>
      </c>
      <c r="J2865" s="1" t="str">
        <f>"2"</f>
        <v>2</v>
      </c>
      <c r="K2865" s="1">
        <v>2</v>
      </c>
      <c r="L2865" s="1" t="s">
        <v>66</v>
      </c>
      <c r="M2865" s="1" t="str">
        <f>"内蒙古自治区 包头市 青山区 "</f>
        <v xml:space="preserve">内蒙古自治区 包头市 青山区 </v>
      </c>
      <c r="N2865" s="1" t="str">
        <f t="shared" si="950"/>
        <v>凡华云仓-城南圆通-微信视频号</v>
      </c>
      <c r="O2865" s="5" t="s">
        <v>2899</v>
      </c>
      <c r="P2865" s="6">
        <v>0.17</v>
      </c>
      <c r="Q2865" s="11">
        <v>2</v>
      </c>
      <c r="R2865" s="11"/>
      <c r="S2865" s="11"/>
      <c r="T2865" s="11"/>
      <c r="U2865" s="11">
        <f t="shared" si="934"/>
        <v>2</v>
      </c>
      <c r="W2865">
        <v>2.2000000000000002</v>
      </c>
      <c r="X2865" s="1" t="s">
        <v>66</v>
      </c>
    </row>
    <row r="2866" spans="1:24" x14ac:dyDescent="0.25">
      <c r="A2866" s="1" t="str">
        <f t="shared" si="936"/>
        <v>卡卡杜-凤凰仓</v>
      </c>
      <c r="B2866" s="1" t="str">
        <f>"CK20241025111"</f>
        <v>CK20241025111</v>
      </c>
      <c r="C2866" s="1" t="str">
        <f>"DD2024102545462"</f>
        <v>DD2024102545462</v>
      </c>
      <c r="D2866" s="1" t="str">
        <f>"CK2024102550478"</f>
        <v>CK2024102550478</v>
      </c>
      <c r="E2866" s="1" t="str">
        <f>"3723538674506140672"</f>
        <v>3723538674506140672</v>
      </c>
      <c r="F2866" s="1" t="str">
        <f t="shared" si="937"/>
        <v>花都四部-凤凰仓</v>
      </c>
      <c r="G2866" s="1" t="str">
        <f t="shared" si="945"/>
        <v>卡卡杜企业店（视频号）</v>
      </c>
      <c r="H2866" s="1" t="str">
        <f t="shared" si="938"/>
        <v>正常订单</v>
      </c>
      <c r="I2866" s="1" t="str">
        <f t="shared" si="939"/>
        <v>已发货</v>
      </c>
      <c r="J2866" s="1" t="str">
        <f t="shared" ref="J2866:J2870" si="951">"3"</f>
        <v>3</v>
      </c>
      <c r="K2866" s="1">
        <v>2</v>
      </c>
      <c r="L2866" s="1" t="s">
        <v>109</v>
      </c>
      <c r="M2866" s="1" t="str">
        <f>"山西省 太原市 迎泽区 "</f>
        <v xml:space="preserve">山西省 太原市 迎泽区 </v>
      </c>
      <c r="N2866" s="1" t="str">
        <f t="shared" si="950"/>
        <v>凡华云仓-城南圆通-微信视频号</v>
      </c>
      <c r="O2866" s="5" t="s">
        <v>2900</v>
      </c>
      <c r="P2866" s="6">
        <v>0.24</v>
      </c>
      <c r="Q2866" s="11">
        <v>2</v>
      </c>
      <c r="R2866" s="11"/>
      <c r="S2866" s="11"/>
      <c r="T2866" s="11"/>
      <c r="U2866" s="11">
        <f t="shared" si="934"/>
        <v>2</v>
      </c>
      <c r="W2866">
        <v>2.2000000000000002</v>
      </c>
      <c r="X2866" s="1" t="s">
        <v>109</v>
      </c>
    </row>
    <row r="2867" spans="1:24" x14ac:dyDescent="0.25">
      <c r="A2867" s="1" t="str">
        <f t="shared" si="936"/>
        <v>卡卡杜-凤凰仓</v>
      </c>
      <c r="B2867" s="1" t="str">
        <f>"CK20241025112"</f>
        <v>CK20241025112</v>
      </c>
      <c r="C2867" s="1" t="str">
        <f>"DD2024102545464"</f>
        <v>DD2024102545464</v>
      </c>
      <c r="D2867" s="1" t="str">
        <f>"CK2024102550477"</f>
        <v>CK2024102550477</v>
      </c>
      <c r="E2867" s="1" t="str">
        <f>"3723538671867925504"</f>
        <v>3723538671867925504</v>
      </c>
      <c r="F2867" s="1" t="str">
        <f t="shared" si="937"/>
        <v>花都四部-凤凰仓</v>
      </c>
      <c r="G2867" s="1" t="str">
        <f t="shared" si="945"/>
        <v>卡卡杜企业店（视频号）</v>
      </c>
      <c r="H2867" s="1" t="str">
        <f t="shared" si="938"/>
        <v>正常订单</v>
      </c>
      <c r="I2867" s="1" t="str">
        <f t="shared" si="939"/>
        <v>已发货</v>
      </c>
      <c r="J2867" s="1" t="str">
        <f t="shared" si="951"/>
        <v>3</v>
      </c>
      <c r="K2867" s="1">
        <v>2</v>
      </c>
      <c r="L2867" s="1" t="s">
        <v>105</v>
      </c>
      <c r="M2867" s="1" t="str">
        <f>"北京 北京市 西城区 "</f>
        <v xml:space="preserve">北京 北京市 西城区 </v>
      </c>
      <c r="N2867" s="1" t="str">
        <f t="shared" si="950"/>
        <v>凡华云仓-城南圆通-微信视频号</v>
      </c>
      <c r="O2867" s="5" t="s">
        <v>2901</v>
      </c>
      <c r="P2867" s="6">
        <v>0.24</v>
      </c>
      <c r="Q2867" s="11">
        <v>2</v>
      </c>
      <c r="R2867" s="11"/>
      <c r="S2867" s="11"/>
      <c r="T2867" s="11"/>
      <c r="U2867" s="11">
        <f t="shared" si="934"/>
        <v>2</v>
      </c>
      <c r="W2867">
        <v>2.2000000000000002</v>
      </c>
      <c r="X2867" s="1" t="s">
        <v>105</v>
      </c>
    </row>
    <row r="2868" spans="1:24" x14ac:dyDescent="0.25">
      <c r="A2868" s="1" t="str">
        <f t="shared" si="936"/>
        <v>卡卡杜-凤凰仓</v>
      </c>
      <c r="B2868" s="1" t="str">
        <f>"CK20241025202"</f>
        <v>CK20241025202</v>
      </c>
      <c r="C2868" s="1" t="str">
        <f>"DD2024102545764"</f>
        <v>DD2024102545764</v>
      </c>
      <c r="D2868" s="1" t="str">
        <f>"CK2024102550476"</f>
        <v>CK2024102550476</v>
      </c>
      <c r="E2868" s="1" t="str">
        <f>"3723538663255707648"</f>
        <v>3723538663255707648</v>
      </c>
      <c r="F2868" s="1" t="str">
        <f t="shared" si="937"/>
        <v>花都四部-凤凰仓</v>
      </c>
      <c r="G2868" s="1" t="str">
        <f t="shared" si="945"/>
        <v>卡卡杜企业店（视频号）</v>
      </c>
      <c r="H2868" s="1" t="str">
        <f t="shared" si="938"/>
        <v>正常订单</v>
      </c>
      <c r="I2868" s="1" t="str">
        <f t="shared" si="939"/>
        <v>已发货</v>
      </c>
      <c r="J2868" s="1" t="str">
        <f>"2"</f>
        <v>2</v>
      </c>
      <c r="K2868" s="1">
        <v>2</v>
      </c>
      <c r="L2868" s="1" t="s">
        <v>20</v>
      </c>
      <c r="M2868" s="1" t="str">
        <f>"浙江省 温州市 瓯海区 "</f>
        <v xml:space="preserve">浙江省 温州市 瓯海区 </v>
      </c>
      <c r="N2868" s="1" t="str">
        <f t="shared" si="950"/>
        <v>凡华云仓-城南圆通-微信视频号</v>
      </c>
      <c r="O2868" s="5" t="s">
        <v>2902</v>
      </c>
      <c r="P2868" s="6">
        <v>0.17</v>
      </c>
      <c r="Q2868" s="11">
        <v>2</v>
      </c>
      <c r="R2868" s="11"/>
      <c r="S2868" s="11"/>
      <c r="T2868" s="11"/>
      <c r="U2868" s="11">
        <f t="shared" si="934"/>
        <v>2</v>
      </c>
      <c r="W2868">
        <v>2.2000000000000002</v>
      </c>
      <c r="X2868" s="1" t="s">
        <v>20</v>
      </c>
    </row>
    <row r="2869" spans="1:24" x14ac:dyDescent="0.25">
      <c r="A2869" s="1" t="str">
        <f t="shared" si="936"/>
        <v>卡卡杜-凤凰仓</v>
      </c>
      <c r="B2869" s="1" t="str">
        <f>"CK20241025125"</f>
        <v>CK20241025125</v>
      </c>
      <c r="C2869" s="1" t="str">
        <f>"DD2024102545478"</f>
        <v>DD2024102545478</v>
      </c>
      <c r="D2869" s="1" t="str">
        <f>"CK2024102550475"</f>
        <v>CK2024102550475</v>
      </c>
      <c r="E2869" s="1" t="str">
        <f>"3723538659437318145"</f>
        <v>3723538659437318145</v>
      </c>
      <c r="F2869" s="1" t="str">
        <f t="shared" si="937"/>
        <v>花都四部-凤凰仓</v>
      </c>
      <c r="G2869" s="1" t="str">
        <f t="shared" si="945"/>
        <v>卡卡杜企业店（视频号）</v>
      </c>
      <c r="H2869" s="1" t="str">
        <f t="shared" si="938"/>
        <v>正常订单</v>
      </c>
      <c r="I2869" s="1" t="str">
        <f t="shared" si="939"/>
        <v>已发货</v>
      </c>
      <c r="J2869" s="1" t="str">
        <f t="shared" si="951"/>
        <v>3</v>
      </c>
      <c r="K2869" s="1">
        <v>2</v>
      </c>
      <c r="L2869" s="1" t="s">
        <v>32</v>
      </c>
      <c r="M2869" s="1" t="str">
        <f>"陕西省 西安市 雁塔区 "</f>
        <v xml:space="preserve">陕西省 西安市 雁塔区 </v>
      </c>
      <c r="N2869" s="1" t="str">
        <f t="shared" si="950"/>
        <v>凡华云仓-城南圆通-微信视频号</v>
      </c>
      <c r="O2869" s="5" t="s">
        <v>2903</v>
      </c>
      <c r="P2869" s="6">
        <v>0.24</v>
      </c>
      <c r="Q2869" s="11">
        <v>2</v>
      </c>
      <c r="R2869" s="11"/>
      <c r="S2869" s="11"/>
      <c r="T2869" s="11"/>
      <c r="U2869" s="11">
        <f t="shared" si="934"/>
        <v>2</v>
      </c>
      <c r="W2869">
        <v>2.2000000000000002</v>
      </c>
      <c r="X2869" s="1" t="s">
        <v>32</v>
      </c>
    </row>
    <row r="2870" spans="1:24" x14ac:dyDescent="0.25">
      <c r="A2870" s="1" t="str">
        <f t="shared" si="936"/>
        <v>卡卡杜-凤凰仓</v>
      </c>
      <c r="B2870" s="1" t="str">
        <f>"CK2024102598"</f>
        <v>CK2024102598</v>
      </c>
      <c r="C2870" s="1" t="str">
        <f>"DD2024102545447"</f>
        <v>DD2024102545447</v>
      </c>
      <c r="D2870" s="1" t="str">
        <f>"CK2024102550474"</f>
        <v>CK2024102550474</v>
      </c>
      <c r="E2870" s="1" t="str">
        <f>"3723538684026688512"</f>
        <v>3723538684026688512</v>
      </c>
      <c r="F2870" s="1" t="str">
        <f t="shared" si="937"/>
        <v>花都四部-凤凰仓</v>
      </c>
      <c r="G2870" s="1" t="str">
        <f t="shared" si="945"/>
        <v>卡卡杜企业店（视频号）</v>
      </c>
      <c r="H2870" s="1" t="str">
        <f t="shared" si="938"/>
        <v>正常订单</v>
      </c>
      <c r="I2870" s="1" t="str">
        <f t="shared" si="939"/>
        <v>已发货</v>
      </c>
      <c r="J2870" s="1" t="str">
        <f t="shared" si="951"/>
        <v>3</v>
      </c>
      <c r="K2870" s="1">
        <v>2</v>
      </c>
      <c r="L2870" s="1" t="s">
        <v>13</v>
      </c>
      <c r="M2870" s="1" t="str">
        <f>"江苏省 盐城市 射阳县 "</f>
        <v xml:space="preserve">江苏省 盐城市 射阳县 </v>
      </c>
      <c r="N2870" s="1" t="str">
        <f t="shared" si="950"/>
        <v>凡华云仓-城南圆通-微信视频号</v>
      </c>
      <c r="O2870" s="5" t="s">
        <v>2904</v>
      </c>
      <c r="P2870" s="6">
        <v>0.24</v>
      </c>
      <c r="Q2870" s="11">
        <v>2</v>
      </c>
      <c r="R2870" s="11"/>
      <c r="S2870" s="11"/>
      <c r="T2870" s="11"/>
      <c r="U2870" s="11">
        <f t="shared" si="934"/>
        <v>2</v>
      </c>
      <c r="W2870">
        <v>2.2000000000000002</v>
      </c>
      <c r="X2870" s="1" t="s">
        <v>13</v>
      </c>
    </row>
    <row r="2871" spans="1:24" x14ac:dyDescent="0.25">
      <c r="A2871" s="1" t="str">
        <f t="shared" si="936"/>
        <v>卡卡杜-凤凰仓</v>
      </c>
      <c r="B2871" s="1" t="str">
        <f>"CK20241025178"</f>
        <v>CK20241025178</v>
      </c>
      <c r="C2871" s="1" t="str">
        <f>"DD2024102545665"</f>
        <v>DD2024102545665</v>
      </c>
      <c r="D2871" s="1" t="str">
        <f>"CK2024102550473"</f>
        <v>CK2024102550473</v>
      </c>
      <c r="E2871" s="1" t="str">
        <f>"3723537432836967424"</f>
        <v>3723537432836967424</v>
      </c>
      <c r="F2871" s="1" t="str">
        <f t="shared" si="937"/>
        <v>花都四部-凤凰仓</v>
      </c>
      <c r="G2871" s="1" t="str">
        <f t="shared" si="945"/>
        <v>卡卡杜企业店（视频号）</v>
      </c>
      <c r="H2871" s="1" t="str">
        <f t="shared" si="938"/>
        <v>正常订单</v>
      </c>
      <c r="I2871" s="1" t="str">
        <f t="shared" si="939"/>
        <v>已发货</v>
      </c>
      <c r="J2871" s="1" t="str">
        <f>"5"</f>
        <v>5</v>
      </c>
      <c r="K2871" s="1">
        <v>3</v>
      </c>
      <c r="L2871" s="1" t="s">
        <v>27</v>
      </c>
      <c r="M2871" s="1" t="str">
        <f>"贵州省 黔东南苗族侗族自治州 凯里市 "</f>
        <v xml:space="preserve">贵州省 黔东南苗族侗族自治州 凯里市 </v>
      </c>
      <c r="N2871" s="1" t="str">
        <f t="shared" si="950"/>
        <v>凡华云仓-城南圆通-微信视频号</v>
      </c>
      <c r="O2871" s="5" t="s">
        <v>2905</v>
      </c>
      <c r="P2871" s="6">
        <v>0.56000000000000005</v>
      </c>
      <c r="Q2871" s="11">
        <f>CEILING(P2871-0.5,0.1)*10*0.15+2.3</f>
        <v>2.4499999999999997</v>
      </c>
      <c r="R2871" s="11"/>
      <c r="S2871" s="11"/>
      <c r="T2871" s="11"/>
      <c r="U2871" s="11">
        <f t="shared" si="934"/>
        <v>2.4499999999999997</v>
      </c>
      <c r="V2871" t="s">
        <v>15</v>
      </c>
      <c r="W2871">
        <v>2.4500000000000002</v>
      </c>
      <c r="X2871" s="1" t="s">
        <v>27</v>
      </c>
    </row>
    <row r="2872" spans="1:24" x14ac:dyDescent="0.25">
      <c r="A2872" s="1" t="str">
        <f t="shared" si="936"/>
        <v>卡卡杜-凤凰仓</v>
      </c>
      <c r="B2872" s="1" t="str">
        <f>"CK20241025192"</f>
        <v>CK20241025192</v>
      </c>
      <c r="C2872" s="1" t="str">
        <f>"DD2024102545755"</f>
        <v>DD2024102545755</v>
      </c>
      <c r="D2872" s="1" t="str">
        <f>"CK2024102550472"</f>
        <v>CK2024102550472</v>
      </c>
      <c r="E2872" s="1" t="str">
        <f>"3723538688151782656"</f>
        <v>3723538688151782656</v>
      </c>
      <c r="F2872" s="1" t="str">
        <f t="shared" si="937"/>
        <v>花都四部-凤凰仓</v>
      </c>
      <c r="G2872" s="1" t="str">
        <f t="shared" si="945"/>
        <v>卡卡杜企业店（视频号）</v>
      </c>
      <c r="H2872" s="1" t="str">
        <f t="shared" si="938"/>
        <v>正常订单</v>
      </c>
      <c r="I2872" s="1" t="str">
        <f t="shared" si="939"/>
        <v>已发货</v>
      </c>
      <c r="J2872" s="1" t="str">
        <f>"2"</f>
        <v>2</v>
      </c>
      <c r="K2872" s="1">
        <v>2</v>
      </c>
      <c r="L2872" s="1" t="s">
        <v>66</v>
      </c>
      <c r="M2872" s="1" t="str">
        <f>"内蒙古自治区 锡林郭勒盟 西乌珠穆沁旗 "</f>
        <v xml:space="preserve">内蒙古自治区 锡林郭勒盟 西乌珠穆沁旗 </v>
      </c>
      <c r="N2872" s="1" t="str">
        <f t="shared" si="950"/>
        <v>凡华云仓-城南圆通-微信视频号</v>
      </c>
      <c r="O2872" s="5" t="s">
        <v>2906</v>
      </c>
      <c r="P2872" s="6">
        <v>0.17</v>
      </c>
      <c r="Q2872" s="11">
        <v>2</v>
      </c>
      <c r="R2872" s="11"/>
      <c r="S2872" s="11"/>
      <c r="T2872" s="11"/>
      <c r="U2872" s="11">
        <f t="shared" si="934"/>
        <v>2</v>
      </c>
      <c r="W2872">
        <v>2.2000000000000002</v>
      </c>
      <c r="X2872" s="1" t="s">
        <v>66</v>
      </c>
    </row>
    <row r="2873" spans="1:24" x14ac:dyDescent="0.25">
      <c r="A2873" s="1" t="str">
        <f t="shared" si="936"/>
        <v>卡卡杜-凤凰仓</v>
      </c>
      <c r="B2873" s="1" t="str">
        <f>"CK20241025101"</f>
        <v>CK20241025101</v>
      </c>
      <c r="C2873" s="1" t="str">
        <f>"DD2024102545451"</f>
        <v>DD2024102545451</v>
      </c>
      <c r="D2873" s="1" t="str">
        <f>"CK2024102550471"</f>
        <v>CK2024102550471</v>
      </c>
      <c r="E2873" s="1" t="str">
        <f>"3723538685252211712"</f>
        <v>3723538685252211712</v>
      </c>
      <c r="F2873" s="1" t="str">
        <f t="shared" si="937"/>
        <v>花都四部-凤凰仓</v>
      </c>
      <c r="G2873" s="1" t="str">
        <f t="shared" si="945"/>
        <v>卡卡杜企业店（视频号）</v>
      </c>
      <c r="H2873" s="1" t="str">
        <f t="shared" si="938"/>
        <v>正常订单</v>
      </c>
      <c r="I2873" s="1" t="str">
        <f t="shared" si="939"/>
        <v>已发货</v>
      </c>
      <c r="J2873" s="1" t="str">
        <f t="shared" ref="J2873:J2876" si="952">"3"</f>
        <v>3</v>
      </c>
      <c r="K2873" s="1">
        <v>3</v>
      </c>
      <c r="L2873" s="1" t="s">
        <v>94</v>
      </c>
      <c r="M2873" s="1" t="str">
        <f>"湖南省 长沙市 岳麓区 "</f>
        <v xml:space="preserve">湖南省 长沙市 岳麓区 </v>
      </c>
      <c r="N2873" s="1" t="str">
        <f t="shared" si="950"/>
        <v>凡华云仓-城南圆通-微信视频号</v>
      </c>
      <c r="O2873" s="5" t="s">
        <v>2907</v>
      </c>
      <c r="P2873" s="6">
        <v>0.34</v>
      </c>
      <c r="Q2873" s="11">
        <v>2.2999999999999998</v>
      </c>
      <c r="R2873" s="11"/>
      <c r="S2873" s="11"/>
      <c r="T2873" s="11"/>
      <c r="U2873" s="11">
        <f t="shared" si="934"/>
        <v>2.2999999999999998</v>
      </c>
      <c r="W2873">
        <v>2.5</v>
      </c>
      <c r="X2873" s="1" t="s">
        <v>94</v>
      </c>
    </row>
    <row r="2874" spans="1:24" x14ac:dyDescent="0.25">
      <c r="A2874" s="1" t="str">
        <f t="shared" si="936"/>
        <v>卡卡杜-凤凰仓</v>
      </c>
      <c r="B2874" s="1" t="str">
        <f>"CK20241025105"</f>
        <v>CK20241025105</v>
      </c>
      <c r="C2874" s="1" t="str">
        <f>"DD2024102545457"</f>
        <v>DD2024102545457</v>
      </c>
      <c r="D2874" s="1" t="str">
        <f>"CK2024102550470"</f>
        <v>CK2024102550470</v>
      </c>
      <c r="E2874" s="1" t="str">
        <f>"3723538679851518976"</f>
        <v>3723538679851518976</v>
      </c>
      <c r="F2874" s="1" t="str">
        <f t="shared" si="937"/>
        <v>花都四部-凤凰仓</v>
      </c>
      <c r="G2874" s="1" t="str">
        <f t="shared" si="945"/>
        <v>卡卡杜企业店（视频号）</v>
      </c>
      <c r="H2874" s="1" t="str">
        <f t="shared" si="938"/>
        <v>正常订单</v>
      </c>
      <c r="I2874" s="1" t="str">
        <f t="shared" si="939"/>
        <v>已发货</v>
      </c>
      <c r="J2874" s="1" t="str">
        <f t="shared" si="952"/>
        <v>3</v>
      </c>
      <c r="K2874" s="1">
        <v>2</v>
      </c>
      <c r="L2874" s="1" t="s">
        <v>80</v>
      </c>
      <c r="M2874" s="1" t="str">
        <f>"河南省 郑州市 管城回族区 "</f>
        <v xml:space="preserve">河南省 郑州市 管城回族区 </v>
      </c>
      <c r="N2874" s="1" t="str">
        <f t="shared" si="950"/>
        <v>凡华云仓-城南圆通-微信视频号</v>
      </c>
      <c r="O2874" s="5" t="s">
        <v>2908</v>
      </c>
      <c r="P2874" s="6">
        <v>0.24</v>
      </c>
      <c r="Q2874" s="11">
        <v>2</v>
      </c>
      <c r="R2874" s="11"/>
      <c r="S2874" s="11"/>
      <c r="T2874" s="11"/>
      <c r="U2874" s="11">
        <f t="shared" si="934"/>
        <v>2</v>
      </c>
      <c r="W2874">
        <v>2.2000000000000002</v>
      </c>
      <c r="X2874" s="1" t="s">
        <v>80</v>
      </c>
    </row>
    <row r="2875" spans="1:24" x14ac:dyDescent="0.25">
      <c r="A2875" s="1" t="str">
        <f t="shared" si="936"/>
        <v>卡卡杜-凤凰仓</v>
      </c>
      <c r="B2875" s="1" t="str">
        <f>"CK20241025104"</f>
        <v>CK20241025104</v>
      </c>
      <c r="C2875" s="1" t="str">
        <f>"DD2024102545454"</f>
        <v>DD2024102545454</v>
      </c>
      <c r="D2875" s="1" t="str">
        <f>"CK2024102550469"</f>
        <v>CK2024102550469</v>
      </c>
      <c r="E2875" s="1" t="str">
        <f>"3723538680827482112"</f>
        <v>3723538680827482112</v>
      </c>
      <c r="F2875" s="1" t="str">
        <f t="shared" si="937"/>
        <v>花都四部-凤凰仓</v>
      </c>
      <c r="G2875" s="1" t="str">
        <f t="shared" si="945"/>
        <v>卡卡杜企业店（视频号）</v>
      </c>
      <c r="H2875" s="1" t="str">
        <f t="shared" si="938"/>
        <v>正常订单</v>
      </c>
      <c r="I2875" s="1" t="str">
        <f t="shared" si="939"/>
        <v>已发货</v>
      </c>
      <c r="J2875" s="1" t="str">
        <f t="shared" si="952"/>
        <v>3</v>
      </c>
      <c r="K2875" s="1">
        <v>2</v>
      </c>
      <c r="L2875" s="1" t="s">
        <v>161</v>
      </c>
      <c r="M2875" s="1" t="str">
        <f>"四川省 成都市 武侯区 "</f>
        <v xml:space="preserve">四川省 成都市 武侯区 </v>
      </c>
      <c r="N2875" s="1" t="str">
        <f t="shared" si="950"/>
        <v>凡华云仓-城南圆通-微信视频号</v>
      </c>
      <c r="O2875" s="5" t="s">
        <v>2909</v>
      </c>
      <c r="P2875" s="6">
        <v>0.24</v>
      </c>
      <c r="Q2875" s="11">
        <v>2</v>
      </c>
      <c r="R2875" s="11"/>
      <c r="S2875" s="11"/>
      <c r="T2875" s="11"/>
      <c r="U2875" s="11">
        <f t="shared" si="934"/>
        <v>2</v>
      </c>
      <c r="W2875">
        <v>2.2000000000000002</v>
      </c>
      <c r="X2875" s="1" t="s">
        <v>161</v>
      </c>
    </row>
    <row r="2876" spans="1:24" x14ac:dyDescent="0.25">
      <c r="A2876" s="1" t="str">
        <f t="shared" si="936"/>
        <v>卡卡杜-凤凰仓</v>
      </c>
      <c r="B2876" s="1" t="str">
        <f>"CK20241025106"</f>
        <v>CK20241025106</v>
      </c>
      <c r="C2876" s="1" t="str">
        <f>"DD2024102545456"</f>
        <v>DD2024102545456</v>
      </c>
      <c r="D2876" s="1" t="str">
        <f>"CK2024102550468"</f>
        <v>CK2024102550468</v>
      </c>
      <c r="E2876" s="1" t="str">
        <f>"3723538679361311744"</f>
        <v>3723538679361311744</v>
      </c>
      <c r="F2876" s="1" t="str">
        <f t="shared" si="937"/>
        <v>花都四部-凤凰仓</v>
      </c>
      <c r="G2876" s="1" t="str">
        <f t="shared" si="945"/>
        <v>卡卡杜企业店（视频号）</v>
      </c>
      <c r="H2876" s="1" t="str">
        <f t="shared" si="938"/>
        <v>正常订单</v>
      </c>
      <c r="I2876" s="1" t="str">
        <f t="shared" si="939"/>
        <v>已发货</v>
      </c>
      <c r="J2876" s="1" t="str">
        <f t="shared" si="952"/>
        <v>3</v>
      </c>
      <c r="K2876" s="1">
        <v>2</v>
      </c>
      <c r="L2876" s="1" t="s">
        <v>60</v>
      </c>
      <c r="M2876" s="1" t="str">
        <f>"云南省 昆明市 官渡区 "</f>
        <v xml:space="preserve">云南省 昆明市 官渡区 </v>
      </c>
      <c r="N2876" s="1" t="str">
        <f t="shared" si="950"/>
        <v>凡华云仓-城南圆通-微信视频号</v>
      </c>
      <c r="O2876" s="5" t="s">
        <v>2910</v>
      </c>
      <c r="P2876" s="6">
        <v>0.24</v>
      </c>
      <c r="Q2876" s="11">
        <v>2</v>
      </c>
      <c r="R2876" s="11"/>
      <c r="S2876" s="11"/>
      <c r="T2876" s="11"/>
      <c r="U2876" s="11">
        <f t="shared" si="934"/>
        <v>2</v>
      </c>
      <c r="W2876">
        <v>2.2000000000000002</v>
      </c>
      <c r="X2876" s="1" t="s">
        <v>60</v>
      </c>
    </row>
    <row r="2877" spans="1:24" x14ac:dyDescent="0.25">
      <c r="A2877" s="1" t="str">
        <f t="shared" si="936"/>
        <v>卡卡杜-凤凰仓</v>
      </c>
      <c r="B2877" s="1" t="str">
        <f>"CK20241025195"</f>
        <v>CK20241025195</v>
      </c>
      <c r="C2877" s="1" t="str">
        <f>"DD2024102545759"</f>
        <v>DD2024102545759</v>
      </c>
      <c r="D2877" s="1" t="str">
        <f>"CK2024102550467"</f>
        <v>CK2024102550467</v>
      </c>
      <c r="E2877" s="1" t="str">
        <f>"3723538682647811072"</f>
        <v>3723538682647811072</v>
      </c>
      <c r="F2877" s="1" t="str">
        <f t="shared" si="937"/>
        <v>花都四部-凤凰仓</v>
      </c>
      <c r="G2877" s="1" t="str">
        <f t="shared" si="945"/>
        <v>卡卡杜企业店（视频号）</v>
      </c>
      <c r="H2877" s="1" t="str">
        <f t="shared" si="938"/>
        <v>正常订单</v>
      </c>
      <c r="I2877" s="1" t="str">
        <f t="shared" si="939"/>
        <v>已发货</v>
      </c>
      <c r="J2877" s="1" t="str">
        <f t="shared" ref="J2877:J2881" si="953">"2"</f>
        <v>2</v>
      </c>
      <c r="K2877" s="1">
        <v>2</v>
      </c>
      <c r="L2877" s="1" t="s">
        <v>13</v>
      </c>
      <c r="M2877" s="1" t="str">
        <f>"江苏省 南京市 栖霞区 "</f>
        <v xml:space="preserve">江苏省 南京市 栖霞区 </v>
      </c>
      <c r="N2877" s="1" t="str">
        <f t="shared" si="950"/>
        <v>凡华云仓-城南圆通-微信视频号</v>
      </c>
      <c r="O2877" s="5" t="s">
        <v>2911</v>
      </c>
      <c r="P2877" s="6">
        <v>0.17</v>
      </c>
      <c r="Q2877" s="11">
        <v>2</v>
      </c>
      <c r="R2877" s="11"/>
      <c r="S2877" s="11"/>
      <c r="T2877" s="11"/>
      <c r="U2877" s="11">
        <f t="shared" si="934"/>
        <v>2</v>
      </c>
      <c r="W2877">
        <v>2.2000000000000002</v>
      </c>
      <c r="X2877" s="1" t="s">
        <v>13</v>
      </c>
    </row>
    <row r="2878" spans="1:24" x14ac:dyDescent="0.25">
      <c r="A2878" s="1" t="str">
        <f t="shared" si="936"/>
        <v>卡卡杜-凤凰仓</v>
      </c>
      <c r="B2878" s="1" t="str">
        <f>"CK20241025107"</f>
        <v>CK20241025107</v>
      </c>
      <c r="C2878" s="1" t="str">
        <f>"DD2024102545455"</f>
        <v>DD2024102545455</v>
      </c>
      <c r="D2878" s="1" t="str">
        <f>"CK2024102550466"</f>
        <v>CK2024102550466</v>
      </c>
      <c r="E2878" s="1" t="str">
        <f>"3723538678702542848"</f>
        <v>3723538678702542848</v>
      </c>
      <c r="F2878" s="1" t="str">
        <f t="shared" si="937"/>
        <v>花都四部-凤凰仓</v>
      </c>
      <c r="G2878" s="1" t="str">
        <f t="shared" si="945"/>
        <v>卡卡杜企业店（视频号）</v>
      </c>
      <c r="H2878" s="1" t="str">
        <f t="shared" si="938"/>
        <v>正常订单</v>
      </c>
      <c r="I2878" s="1" t="str">
        <f t="shared" si="939"/>
        <v>已发货</v>
      </c>
      <c r="J2878" s="1" t="str">
        <f t="shared" ref="J2878:J2882" si="954">"3"</f>
        <v>3</v>
      </c>
      <c r="K2878" s="1">
        <v>2</v>
      </c>
      <c r="L2878" s="1" t="s">
        <v>36</v>
      </c>
      <c r="M2878" s="1" t="str">
        <f>"安徽省 合肥市 包河区 "</f>
        <v xml:space="preserve">安徽省 合肥市 包河区 </v>
      </c>
      <c r="N2878" s="1" t="str">
        <f t="shared" si="950"/>
        <v>凡华云仓-城南圆通-微信视频号</v>
      </c>
      <c r="O2878" s="5" t="s">
        <v>2912</v>
      </c>
      <c r="P2878" s="6">
        <v>0.24</v>
      </c>
      <c r="Q2878" s="11">
        <v>2</v>
      </c>
      <c r="R2878" s="11"/>
      <c r="S2878" s="11"/>
      <c r="T2878" s="11"/>
      <c r="U2878" s="11">
        <f t="shared" si="934"/>
        <v>2</v>
      </c>
      <c r="W2878">
        <v>2.2000000000000002</v>
      </c>
      <c r="X2878" s="1" t="s">
        <v>36</v>
      </c>
    </row>
    <row r="2879" spans="1:24" x14ac:dyDescent="0.25">
      <c r="A2879" s="1" t="str">
        <f t="shared" si="936"/>
        <v>卡卡杜-凤凰仓</v>
      </c>
      <c r="B2879" s="1" t="str">
        <f>"CK2024102597"</f>
        <v>CK2024102597</v>
      </c>
      <c r="C2879" s="1" t="str">
        <f>"DD2024102545444"</f>
        <v>DD2024102545444</v>
      </c>
      <c r="D2879" s="1" t="str">
        <f>"CK2024102550465"</f>
        <v>CK2024102550465</v>
      </c>
      <c r="E2879" s="1" t="str">
        <f>"3723538690601256192"</f>
        <v>3723538690601256192</v>
      </c>
      <c r="F2879" s="1" t="str">
        <f t="shared" si="937"/>
        <v>花都四部-凤凰仓</v>
      </c>
      <c r="G2879" s="1" t="str">
        <f t="shared" si="945"/>
        <v>卡卡杜企业店（视频号）</v>
      </c>
      <c r="H2879" s="1" t="str">
        <f t="shared" si="938"/>
        <v>正常订单</v>
      </c>
      <c r="I2879" s="1" t="str">
        <f t="shared" si="939"/>
        <v>已发货</v>
      </c>
      <c r="J2879" s="1" t="str">
        <f t="shared" si="954"/>
        <v>3</v>
      </c>
      <c r="K2879" s="1">
        <v>2</v>
      </c>
      <c r="L2879" s="1" t="s">
        <v>105</v>
      </c>
      <c r="M2879" s="1" t="str">
        <f>"北京 北京市 房山区 "</f>
        <v xml:space="preserve">北京 北京市 房山区 </v>
      </c>
      <c r="N2879" s="1" t="str">
        <f t="shared" si="950"/>
        <v>凡华云仓-城南圆通-微信视频号</v>
      </c>
      <c r="O2879" s="5" t="s">
        <v>2913</v>
      </c>
      <c r="P2879" s="6">
        <v>0.24</v>
      </c>
      <c r="Q2879" s="11">
        <v>2</v>
      </c>
      <c r="R2879" s="11"/>
      <c r="S2879" s="11"/>
      <c r="T2879" s="11"/>
      <c r="U2879" s="11">
        <f t="shared" si="934"/>
        <v>2</v>
      </c>
      <c r="W2879">
        <v>2.2000000000000002</v>
      </c>
      <c r="X2879" s="1" t="s">
        <v>105</v>
      </c>
    </row>
    <row r="2880" spans="1:24" x14ac:dyDescent="0.25">
      <c r="A2880" s="1" t="str">
        <f t="shared" si="936"/>
        <v>卡卡杜-凤凰仓</v>
      </c>
      <c r="B2880" s="1" t="str">
        <f>"CK20241025197"</f>
        <v>CK20241025197</v>
      </c>
      <c r="C2880" s="1" t="str">
        <f>"DD2024102545761"</f>
        <v>DD2024102545761</v>
      </c>
      <c r="D2880" s="1" t="str">
        <f>"CK2024102550464"</f>
        <v>CK2024102550464</v>
      </c>
      <c r="E2880" s="1" t="str">
        <f>"3723538677809153536"</f>
        <v>3723538677809153536</v>
      </c>
      <c r="F2880" s="1" t="str">
        <f t="shared" si="937"/>
        <v>花都四部-凤凰仓</v>
      </c>
      <c r="G2880" s="1" t="str">
        <f t="shared" si="945"/>
        <v>卡卡杜企业店（视频号）</v>
      </c>
      <c r="H2880" s="1" t="str">
        <f t="shared" si="938"/>
        <v>正常订单</v>
      </c>
      <c r="I2880" s="1" t="str">
        <f t="shared" si="939"/>
        <v>已发货</v>
      </c>
      <c r="J2880" s="1" t="str">
        <f t="shared" si="953"/>
        <v>2</v>
      </c>
      <c r="K2880" s="1">
        <v>2</v>
      </c>
      <c r="L2880" s="1" t="s">
        <v>74</v>
      </c>
      <c r="M2880" s="1" t="str">
        <f>"上海 上海市 宝山区 "</f>
        <v xml:space="preserve">上海 上海市 宝山区 </v>
      </c>
      <c r="N2880" s="1" t="str">
        <f t="shared" si="950"/>
        <v>凡华云仓-城南圆通-微信视频号</v>
      </c>
      <c r="O2880" s="5" t="s">
        <v>2914</v>
      </c>
      <c r="P2880" s="6">
        <v>0.17</v>
      </c>
      <c r="Q2880" s="11">
        <v>2</v>
      </c>
      <c r="R2880" s="11"/>
      <c r="S2880" s="11"/>
      <c r="T2880" s="11"/>
      <c r="U2880" s="11">
        <f t="shared" si="934"/>
        <v>2</v>
      </c>
      <c r="W2880">
        <v>2.2000000000000002</v>
      </c>
      <c r="X2880" s="1" t="s">
        <v>74</v>
      </c>
    </row>
    <row r="2881" spans="1:24" x14ac:dyDescent="0.25">
      <c r="A2881" s="1" t="str">
        <f t="shared" si="936"/>
        <v>卡卡杜-凤凰仓</v>
      </c>
      <c r="B2881" s="1" t="str">
        <f>"CK20241025196"</f>
        <v>CK20241025196</v>
      </c>
      <c r="C2881" s="1" t="str">
        <f>"DD2024102545760"</f>
        <v>DD2024102545760</v>
      </c>
      <c r="D2881" s="1" t="str">
        <f>"CK2024102550463"</f>
        <v>CK2024102550463</v>
      </c>
      <c r="E2881" s="1" t="str">
        <f>"3723538678479197184"</f>
        <v>3723538678479197184</v>
      </c>
      <c r="F2881" s="1" t="str">
        <f t="shared" si="937"/>
        <v>花都四部-凤凰仓</v>
      </c>
      <c r="G2881" s="1" t="str">
        <f t="shared" si="945"/>
        <v>卡卡杜企业店（视频号）</v>
      </c>
      <c r="H2881" s="1" t="str">
        <f t="shared" si="938"/>
        <v>正常订单</v>
      </c>
      <c r="I2881" s="1" t="str">
        <f t="shared" si="939"/>
        <v>已发货</v>
      </c>
      <c r="J2881" s="1" t="str">
        <f t="shared" si="953"/>
        <v>2</v>
      </c>
      <c r="K2881" s="1">
        <v>2</v>
      </c>
      <c r="L2881" s="1" t="s">
        <v>74</v>
      </c>
      <c r="M2881" s="1" t="str">
        <f>"上海 上海市 徐汇区 "</f>
        <v xml:space="preserve">上海 上海市 徐汇区 </v>
      </c>
      <c r="N2881" s="1" t="str">
        <f t="shared" si="950"/>
        <v>凡华云仓-城南圆通-微信视频号</v>
      </c>
      <c r="O2881" s="5" t="s">
        <v>2915</v>
      </c>
      <c r="P2881" s="6">
        <v>0.17</v>
      </c>
      <c r="Q2881" s="11">
        <v>2</v>
      </c>
      <c r="R2881" s="11"/>
      <c r="S2881" s="11"/>
      <c r="T2881" s="11"/>
      <c r="U2881" s="11">
        <f t="shared" si="934"/>
        <v>2</v>
      </c>
      <c r="W2881">
        <v>2.2000000000000002</v>
      </c>
      <c r="X2881" s="1" t="s">
        <v>74</v>
      </c>
    </row>
    <row r="2882" spans="1:24" x14ac:dyDescent="0.25">
      <c r="A2882" s="1" t="str">
        <f t="shared" si="936"/>
        <v>卡卡杜-凤凰仓</v>
      </c>
      <c r="B2882" s="1" t="str">
        <f>"CK20241025108"</f>
        <v>CK20241025108</v>
      </c>
      <c r="C2882" s="1" t="str">
        <f>"DD2024102545459"</f>
        <v>DD2024102545459</v>
      </c>
      <c r="D2882" s="1" t="str">
        <f>"CK2024102550462"</f>
        <v>CK2024102550462</v>
      </c>
      <c r="E2882" s="1" t="str">
        <f>"3723538678882896896"</f>
        <v>3723538678882896896</v>
      </c>
      <c r="F2882" s="1" t="str">
        <f t="shared" si="937"/>
        <v>花都四部-凤凰仓</v>
      </c>
      <c r="G2882" s="1" t="str">
        <f t="shared" si="945"/>
        <v>卡卡杜企业店（视频号）</v>
      </c>
      <c r="H2882" s="1" t="str">
        <f t="shared" si="938"/>
        <v>正常订单</v>
      </c>
      <c r="I2882" s="1" t="str">
        <f t="shared" si="939"/>
        <v>已发货</v>
      </c>
      <c r="J2882" s="1" t="str">
        <f t="shared" si="954"/>
        <v>3</v>
      </c>
      <c r="K2882" s="1">
        <v>2</v>
      </c>
      <c r="L2882" s="1" t="s">
        <v>105</v>
      </c>
      <c r="M2882" s="1" t="str">
        <f>"北京 北京市 丰台区 "</f>
        <v xml:space="preserve">北京 北京市 丰台区 </v>
      </c>
      <c r="N2882" s="1" t="str">
        <f t="shared" si="950"/>
        <v>凡华云仓-城南圆通-微信视频号</v>
      </c>
      <c r="O2882" s="5" t="s">
        <v>2916</v>
      </c>
      <c r="P2882" s="6">
        <v>0.24</v>
      </c>
      <c r="Q2882" s="11">
        <v>2</v>
      </c>
      <c r="R2882" s="11"/>
      <c r="S2882" s="11"/>
      <c r="T2882" s="11"/>
      <c r="U2882" s="11">
        <f t="shared" si="934"/>
        <v>2</v>
      </c>
      <c r="W2882">
        <v>2.2000000000000002</v>
      </c>
      <c r="X2882" s="1" t="s">
        <v>105</v>
      </c>
    </row>
    <row r="2883" spans="1:24" x14ac:dyDescent="0.25">
      <c r="A2883" s="1" t="str">
        <f t="shared" si="936"/>
        <v>卡卡杜-凤凰仓</v>
      </c>
      <c r="B2883" s="1" t="str">
        <f>"CK20241025198"</f>
        <v>CK20241025198</v>
      </c>
      <c r="C2883" s="1" t="str">
        <f>"DD2024102545766"</f>
        <v>DD2024102545766</v>
      </c>
      <c r="D2883" s="1" t="str">
        <f>"CK2024102550461"</f>
        <v>CK2024102550461</v>
      </c>
      <c r="E2883" s="1" t="str">
        <f>"3723538677734707200"</f>
        <v>3723538677734707200</v>
      </c>
      <c r="F2883" s="1" t="str">
        <f t="shared" si="937"/>
        <v>花都四部-凤凰仓</v>
      </c>
      <c r="G2883" s="1" t="str">
        <f t="shared" si="945"/>
        <v>卡卡杜企业店（视频号）</v>
      </c>
      <c r="H2883" s="1" t="str">
        <f t="shared" si="938"/>
        <v>正常订单</v>
      </c>
      <c r="I2883" s="1" t="str">
        <f t="shared" si="939"/>
        <v>已发货</v>
      </c>
      <c r="J2883" s="1" t="str">
        <f>"2"</f>
        <v>2</v>
      </c>
      <c r="K2883" s="1">
        <v>2</v>
      </c>
      <c r="L2883" s="1" t="s">
        <v>52</v>
      </c>
      <c r="M2883" s="1" t="str">
        <f>"甘肃省 兰州市 城关区 "</f>
        <v xml:space="preserve">甘肃省 兰州市 城关区 </v>
      </c>
      <c r="N2883" s="1" t="str">
        <f t="shared" si="950"/>
        <v>凡华云仓-城南圆通-微信视频号</v>
      </c>
      <c r="O2883" s="5" t="s">
        <v>2917</v>
      </c>
      <c r="P2883" s="6">
        <v>0.17</v>
      </c>
      <c r="Q2883" s="11">
        <v>2</v>
      </c>
      <c r="R2883" s="11"/>
      <c r="S2883" s="11"/>
      <c r="T2883" s="11"/>
      <c r="U2883" s="11">
        <f t="shared" ref="U2883:U2946" si="955">T2883+S2883+R2883+Q2883</f>
        <v>2</v>
      </c>
      <c r="W2883">
        <v>2.2000000000000002</v>
      </c>
      <c r="X2883" s="1" t="s">
        <v>52</v>
      </c>
    </row>
    <row r="2884" spans="1:24" x14ac:dyDescent="0.25">
      <c r="A2884" s="1" t="str">
        <f t="shared" si="936"/>
        <v>卡卡杜-凤凰仓</v>
      </c>
      <c r="B2884" s="1" t="str">
        <f>"CK20241025103"</f>
        <v>CK20241025103</v>
      </c>
      <c r="C2884" s="1" t="str">
        <f>"DD2024102545450"</f>
        <v>DD2024102545450</v>
      </c>
      <c r="D2884" s="1" t="str">
        <f>"CK2024102550460"</f>
        <v>CK2024102550460</v>
      </c>
      <c r="E2884" s="1" t="str">
        <f>"3723538682489476097"</f>
        <v>3723538682489476097</v>
      </c>
      <c r="F2884" s="1" t="str">
        <f t="shared" si="937"/>
        <v>花都四部-凤凰仓</v>
      </c>
      <c r="G2884" s="1" t="str">
        <f t="shared" si="945"/>
        <v>卡卡杜企业店（视频号）</v>
      </c>
      <c r="H2884" s="1" t="str">
        <f t="shared" si="938"/>
        <v>正常订单</v>
      </c>
      <c r="I2884" s="1" t="str">
        <f t="shared" si="939"/>
        <v>已发货</v>
      </c>
      <c r="J2884" s="1" t="str">
        <f t="shared" ref="J2884:J2891" si="956">"3"</f>
        <v>3</v>
      </c>
      <c r="K2884" s="1">
        <v>2</v>
      </c>
      <c r="L2884" s="1" t="s">
        <v>18</v>
      </c>
      <c r="M2884" s="1" t="str">
        <f>"广东省 珠海市 香洲区 "</f>
        <v xml:space="preserve">广东省 珠海市 香洲区 </v>
      </c>
      <c r="N2884" s="1" t="str">
        <f t="shared" si="950"/>
        <v>凡华云仓-城南圆通-微信视频号</v>
      </c>
      <c r="O2884" s="5" t="s">
        <v>2918</v>
      </c>
      <c r="P2884" s="6">
        <v>0.24</v>
      </c>
      <c r="Q2884" s="11">
        <v>2</v>
      </c>
      <c r="R2884" s="11"/>
      <c r="S2884" s="11"/>
      <c r="T2884" s="11"/>
      <c r="U2884" s="11">
        <f t="shared" si="955"/>
        <v>2</v>
      </c>
      <c r="W2884">
        <v>2.2000000000000002</v>
      </c>
      <c r="X2884" s="1" t="s">
        <v>18</v>
      </c>
    </row>
    <row r="2885" spans="1:24" x14ac:dyDescent="0.25">
      <c r="A2885" s="1" t="str">
        <f t="shared" ref="A2885:A2948" si="957">"卡卡杜-凤凰仓"</f>
        <v>卡卡杜-凤凰仓</v>
      </c>
      <c r="B2885" s="1" t="str">
        <f>"CK20241025203"</f>
        <v>CK20241025203</v>
      </c>
      <c r="C2885" s="1" t="str">
        <f>"DD2024102545769"</f>
        <v>DD2024102545769</v>
      </c>
      <c r="D2885" s="1" t="str">
        <f>"CK2024102550459"</f>
        <v>CK2024102550459</v>
      </c>
      <c r="E2885" s="1" t="str">
        <f>"3723538652814248960"</f>
        <v>3723538652814248960</v>
      </c>
      <c r="F2885" s="1" t="str">
        <f t="shared" ref="F2885:F2948" si="958">"花都四部-凤凰仓"</f>
        <v>花都四部-凤凰仓</v>
      </c>
      <c r="G2885" s="1" t="str">
        <f t="shared" si="945"/>
        <v>卡卡杜企业店（视频号）</v>
      </c>
      <c r="H2885" s="1" t="str">
        <f t="shared" ref="H2885:H2948" si="959">"正常订单"</f>
        <v>正常订单</v>
      </c>
      <c r="I2885" s="1" t="str">
        <f t="shared" ref="I2885:I2948" si="960">"已发货"</f>
        <v>已发货</v>
      </c>
      <c r="J2885" s="1" t="str">
        <f>"2"</f>
        <v>2</v>
      </c>
      <c r="K2885" s="1">
        <v>2</v>
      </c>
      <c r="L2885" s="1" t="s">
        <v>13</v>
      </c>
      <c r="M2885" s="1" t="str">
        <f>"江苏省 苏州市 太仓市 "</f>
        <v xml:space="preserve">江苏省 苏州市 太仓市 </v>
      </c>
      <c r="N2885" s="1" t="str">
        <f t="shared" si="950"/>
        <v>凡华云仓-城南圆通-微信视频号</v>
      </c>
      <c r="O2885" s="5" t="s">
        <v>2919</v>
      </c>
      <c r="P2885" s="6">
        <v>0.17</v>
      </c>
      <c r="Q2885" s="11">
        <v>2</v>
      </c>
      <c r="R2885" s="11"/>
      <c r="S2885" s="11"/>
      <c r="T2885" s="11"/>
      <c r="U2885" s="11">
        <f t="shared" si="955"/>
        <v>2</v>
      </c>
      <c r="W2885">
        <v>2.2000000000000002</v>
      </c>
      <c r="X2885" s="1" t="s">
        <v>13</v>
      </c>
    </row>
    <row r="2886" spans="1:24" x14ac:dyDescent="0.25">
      <c r="A2886" s="1" t="str">
        <f t="shared" si="957"/>
        <v>卡卡杜-凤凰仓</v>
      </c>
      <c r="B2886" s="1" t="str">
        <f>"CK20241025109"</f>
        <v>CK20241025109</v>
      </c>
      <c r="C2886" s="1" t="str">
        <f>"DD2024102545458"</f>
        <v>DD2024102545458</v>
      </c>
      <c r="D2886" s="1" t="str">
        <f>"CK2024102550458"</f>
        <v>CK2024102550458</v>
      </c>
      <c r="E2886" s="1" t="str">
        <f>"3723538677936820224"</f>
        <v>3723538677936820224</v>
      </c>
      <c r="F2886" s="1" t="str">
        <f t="shared" si="958"/>
        <v>花都四部-凤凰仓</v>
      </c>
      <c r="G2886" s="1" t="str">
        <f t="shared" si="945"/>
        <v>卡卡杜企业店（视频号）</v>
      </c>
      <c r="H2886" s="1" t="str">
        <f t="shared" si="959"/>
        <v>正常订单</v>
      </c>
      <c r="I2886" s="1" t="str">
        <f t="shared" si="960"/>
        <v>已发货</v>
      </c>
      <c r="J2886" s="1" t="str">
        <f t="shared" si="956"/>
        <v>3</v>
      </c>
      <c r="K2886" s="1">
        <v>2</v>
      </c>
      <c r="L2886" s="1" t="s">
        <v>13</v>
      </c>
      <c r="M2886" s="1" t="str">
        <f>"江苏省 连云港市 赣榆区 "</f>
        <v xml:space="preserve">江苏省 连云港市 赣榆区 </v>
      </c>
      <c r="N2886" s="1" t="str">
        <f t="shared" si="950"/>
        <v>凡华云仓-城南圆通-微信视频号</v>
      </c>
      <c r="O2886" s="5" t="s">
        <v>2920</v>
      </c>
      <c r="P2886" s="6">
        <v>0.24</v>
      </c>
      <c r="Q2886" s="11">
        <v>2</v>
      </c>
      <c r="R2886" s="11"/>
      <c r="S2886" s="11"/>
      <c r="T2886" s="11"/>
      <c r="U2886" s="11">
        <f t="shared" si="955"/>
        <v>2</v>
      </c>
      <c r="W2886">
        <v>2.2000000000000002</v>
      </c>
      <c r="X2886" s="1" t="s">
        <v>13</v>
      </c>
    </row>
    <row r="2887" spans="1:24" x14ac:dyDescent="0.25">
      <c r="A2887" s="1" t="str">
        <f t="shared" si="957"/>
        <v>卡卡杜-凤凰仓</v>
      </c>
      <c r="B2887" s="1" t="str">
        <f>"CK20241025123"</f>
        <v>CK20241025123</v>
      </c>
      <c r="C2887" s="1" t="str">
        <f>"DD2024102545475"</f>
        <v>DD2024102545475</v>
      </c>
      <c r="D2887" s="1" t="str">
        <f>"CK2024102550457"</f>
        <v>CK2024102550457</v>
      </c>
      <c r="E2887" s="1" t="str">
        <f>"3723538663470927872"</f>
        <v>3723538663470927872</v>
      </c>
      <c r="F2887" s="1" t="str">
        <f t="shared" si="958"/>
        <v>花都四部-凤凰仓</v>
      </c>
      <c r="G2887" s="1" t="str">
        <f t="shared" si="945"/>
        <v>卡卡杜企业店（视频号）</v>
      </c>
      <c r="H2887" s="1" t="str">
        <f t="shared" si="959"/>
        <v>正常订单</v>
      </c>
      <c r="I2887" s="1" t="str">
        <f t="shared" si="960"/>
        <v>已发货</v>
      </c>
      <c r="J2887" s="1" t="str">
        <f t="shared" si="956"/>
        <v>3</v>
      </c>
      <c r="K2887" s="1">
        <v>2</v>
      </c>
      <c r="L2887" s="1" t="s">
        <v>109</v>
      </c>
      <c r="M2887" s="1" t="str">
        <f>"山西省 吕梁市 孝义市 "</f>
        <v xml:space="preserve">山西省 吕梁市 孝义市 </v>
      </c>
      <c r="N2887" s="1" t="str">
        <f t="shared" si="950"/>
        <v>凡华云仓-城南圆通-微信视频号</v>
      </c>
      <c r="O2887" s="5" t="s">
        <v>2921</v>
      </c>
      <c r="P2887" s="6">
        <v>0.24</v>
      </c>
      <c r="Q2887" s="11">
        <v>2</v>
      </c>
      <c r="R2887" s="11"/>
      <c r="S2887" s="11"/>
      <c r="T2887" s="11"/>
      <c r="U2887" s="11">
        <f t="shared" si="955"/>
        <v>2</v>
      </c>
      <c r="W2887">
        <v>2.2000000000000002</v>
      </c>
      <c r="X2887" s="1" t="s">
        <v>109</v>
      </c>
    </row>
    <row r="2888" spans="1:24" x14ac:dyDescent="0.25">
      <c r="A2888" s="1" t="str">
        <f t="shared" si="957"/>
        <v>卡卡杜-凤凰仓</v>
      </c>
      <c r="B2888" s="1" t="str">
        <f>"CK20241025131"</f>
        <v>CK20241025131</v>
      </c>
      <c r="C2888" s="1" t="str">
        <f>"DD2024102545487"</f>
        <v>DD2024102545487</v>
      </c>
      <c r="D2888" s="1" t="str">
        <f>"CK2024102550456"</f>
        <v>CK2024102550456</v>
      </c>
      <c r="E2888" s="1" t="str">
        <f>"3723537744355789824"</f>
        <v>3723537744355789824</v>
      </c>
      <c r="F2888" s="1" t="str">
        <f t="shared" si="958"/>
        <v>花都四部-凤凰仓</v>
      </c>
      <c r="G2888" s="1" t="str">
        <f t="shared" si="945"/>
        <v>卡卡杜企业店（视频号）</v>
      </c>
      <c r="H2888" s="1" t="str">
        <f t="shared" si="959"/>
        <v>正常订单</v>
      </c>
      <c r="I2888" s="1" t="str">
        <f t="shared" si="960"/>
        <v>已发货</v>
      </c>
      <c r="J2888" s="1" t="str">
        <f t="shared" si="956"/>
        <v>3</v>
      </c>
      <c r="K2888" s="1">
        <v>2</v>
      </c>
      <c r="L2888" s="1" t="s">
        <v>105</v>
      </c>
      <c r="M2888" s="1" t="str">
        <f>"北京 北京市 海淀区 "</f>
        <v xml:space="preserve">北京 北京市 海淀区 </v>
      </c>
      <c r="N2888" s="1" t="str">
        <f t="shared" si="950"/>
        <v>凡华云仓-城南圆通-微信视频号</v>
      </c>
      <c r="O2888" s="5" t="s">
        <v>2922</v>
      </c>
      <c r="P2888" s="6">
        <v>0.24</v>
      </c>
      <c r="Q2888" s="11">
        <v>2</v>
      </c>
      <c r="R2888" s="11"/>
      <c r="S2888" s="11"/>
      <c r="T2888" s="11"/>
      <c r="U2888" s="11">
        <f t="shared" si="955"/>
        <v>2</v>
      </c>
      <c r="W2888">
        <v>2.2000000000000002</v>
      </c>
      <c r="X2888" s="1" t="s">
        <v>105</v>
      </c>
    </row>
    <row r="2889" spans="1:24" x14ac:dyDescent="0.25">
      <c r="A2889" s="1" t="str">
        <f t="shared" si="957"/>
        <v>卡卡杜-凤凰仓</v>
      </c>
      <c r="B2889" s="1" t="str">
        <f>"CK20241025116"</f>
        <v>CK20241025116</v>
      </c>
      <c r="C2889" s="1" t="str">
        <f>"DD2024102545468"</f>
        <v>DD2024102545468</v>
      </c>
      <c r="D2889" s="1" t="str">
        <f>"CK2024102550455"</f>
        <v>CK2024102550455</v>
      </c>
      <c r="E2889" s="1" t="str">
        <f>"3723538668572773376"</f>
        <v>3723538668572773376</v>
      </c>
      <c r="F2889" s="1" t="str">
        <f t="shared" si="958"/>
        <v>花都四部-凤凰仓</v>
      </c>
      <c r="G2889" s="1" t="str">
        <f t="shared" si="945"/>
        <v>卡卡杜企业店（视频号）</v>
      </c>
      <c r="H2889" s="1" t="str">
        <f t="shared" si="959"/>
        <v>正常订单</v>
      </c>
      <c r="I2889" s="1" t="str">
        <f t="shared" si="960"/>
        <v>已发货</v>
      </c>
      <c r="J2889" s="1" t="str">
        <f t="shared" si="956"/>
        <v>3</v>
      </c>
      <c r="K2889" s="1">
        <v>2</v>
      </c>
      <c r="L2889" s="1" t="s">
        <v>30</v>
      </c>
      <c r="M2889" s="1" t="str">
        <f>"山东省 潍坊市 青州市 "</f>
        <v xml:space="preserve">山东省 潍坊市 青州市 </v>
      </c>
      <c r="N2889" s="1" t="str">
        <f t="shared" si="950"/>
        <v>凡华云仓-城南圆通-微信视频号</v>
      </c>
      <c r="O2889" s="5" t="s">
        <v>2923</v>
      </c>
      <c r="P2889" s="6">
        <v>0.24</v>
      </c>
      <c r="Q2889" s="11">
        <v>2</v>
      </c>
      <c r="R2889" s="11"/>
      <c r="S2889" s="11"/>
      <c r="T2889" s="11"/>
      <c r="U2889" s="11">
        <f t="shared" si="955"/>
        <v>2</v>
      </c>
      <c r="W2889">
        <v>2.2000000000000002</v>
      </c>
      <c r="X2889" s="1" t="s">
        <v>30</v>
      </c>
    </row>
    <row r="2890" spans="1:24" x14ac:dyDescent="0.25">
      <c r="A2890" s="1" t="str">
        <f t="shared" si="957"/>
        <v>卡卡杜-凤凰仓</v>
      </c>
      <c r="B2890" s="1" t="str">
        <f>"CK2024102594"</f>
        <v>CK2024102594</v>
      </c>
      <c r="C2890" s="1" t="str">
        <f>"DD2024102545440"</f>
        <v>DD2024102545440</v>
      </c>
      <c r="D2890" s="1" t="str">
        <f>"CK2024102550454"</f>
        <v>CK2024102550454</v>
      </c>
      <c r="E2890" s="1" t="str">
        <f>"3723538689490290176"</f>
        <v>3723538689490290176</v>
      </c>
      <c r="F2890" s="1" t="str">
        <f t="shared" si="958"/>
        <v>花都四部-凤凰仓</v>
      </c>
      <c r="G2890" s="1" t="str">
        <f t="shared" si="945"/>
        <v>卡卡杜企业店（视频号）</v>
      </c>
      <c r="H2890" s="1" t="str">
        <f t="shared" si="959"/>
        <v>正常订单</v>
      </c>
      <c r="I2890" s="1" t="str">
        <f t="shared" si="960"/>
        <v>已发货</v>
      </c>
      <c r="J2890" s="1" t="str">
        <f t="shared" si="956"/>
        <v>3</v>
      </c>
      <c r="K2890" s="1">
        <v>2</v>
      </c>
      <c r="L2890" s="1" t="s">
        <v>18</v>
      </c>
      <c r="M2890" s="1" t="str">
        <f>"广东省 珠海市 香洲区 "</f>
        <v xml:space="preserve">广东省 珠海市 香洲区 </v>
      </c>
      <c r="N2890" s="1" t="str">
        <f t="shared" si="950"/>
        <v>凡华云仓-城南圆通-微信视频号</v>
      </c>
      <c r="O2890" s="5" t="s">
        <v>2924</v>
      </c>
      <c r="P2890" s="6">
        <v>0.24</v>
      </c>
      <c r="Q2890" s="11">
        <v>2</v>
      </c>
      <c r="R2890" s="11"/>
      <c r="S2890" s="11"/>
      <c r="T2890" s="11"/>
      <c r="U2890" s="11">
        <f t="shared" si="955"/>
        <v>2</v>
      </c>
      <c r="W2890">
        <v>2.2000000000000002</v>
      </c>
      <c r="X2890" s="1" t="s">
        <v>18</v>
      </c>
    </row>
    <row r="2891" spans="1:24" x14ac:dyDescent="0.25">
      <c r="A2891" s="1" t="str">
        <f t="shared" si="957"/>
        <v>卡卡杜-凤凰仓</v>
      </c>
      <c r="B2891" s="1" t="str">
        <f>"CK2024102592"</f>
        <v>CK2024102592</v>
      </c>
      <c r="C2891" s="1" t="str">
        <f>"DD2024102545443"</f>
        <v>DD2024102545443</v>
      </c>
      <c r="D2891" s="1" t="str">
        <f>"CK2024102550453"</f>
        <v>CK2024102550453</v>
      </c>
      <c r="E2891" s="1" t="str">
        <f>"3723538699826365697"</f>
        <v>3723538699826365697</v>
      </c>
      <c r="F2891" s="1" t="str">
        <f t="shared" si="958"/>
        <v>花都四部-凤凰仓</v>
      </c>
      <c r="G2891" s="1" t="str">
        <f t="shared" si="945"/>
        <v>卡卡杜企业店（视频号）</v>
      </c>
      <c r="H2891" s="1" t="str">
        <f t="shared" si="959"/>
        <v>正常订单</v>
      </c>
      <c r="I2891" s="1" t="str">
        <f t="shared" si="960"/>
        <v>已发货</v>
      </c>
      <c r="J2891" s="1" t="str">
        <f t="shared" si="956"/>
        <v>3</v>
      </c>
      <c r="K2891" s="1">
        <v>2</v>
      </c>
      <c r="L2891" s="1" t="s">
        <v>18</v>
      </c>
      <c r="M2891" s="1" t="str">
        <f>"广东省 广州市 荔湾区 "</f>
        <v xml:space="preserve">广东省 广州市 荔湾区 </v>
      </c>
      <c r="N2891" s="1" t="str">
        <f t="shared" si="950"/>
        <v>凡华云仓-城南圆通-微信视频号</v>
      </c>
      <c r="O2891" s="5" t="s">
        <v>2925</v>
      </c>
      <c r="P2891" s="6">
        <v>0.24</v>
      </c>
      <c r="Q2891" s="11">
        <v>2</v>
      </c>
      <c r="R2891" s="11"/>
      <c r="S2891" s="11"/>
      <c r="T2891" s="11"/>
      <c r="U2891" s="11">
        <f t="shared" si="955"/>
        <v>2</v>
      </c>
      <c r="W2891">
        <v>2.2000000000000002</v>
      </c>
      <c r="X2891" s="1" t="s">
        <v>18</v>
      </c>
    </row>
    <row r="2892" spans="1:24" x14ac:dyDescent="0.25">
      <c r="A2892" s="1" t="str">
        <f t="shared" si="957"/>
        <v>卡卡杜-凤凰仓</v>
      </c>
      <c r="B2892" s="1" t="str">
        <f>"CK20241025187"</f>
        <v>CK20241025187</v>
      </c>
      <c r="C2892" s="1" t="str">
        <f>"DD2024102545750"</f>
        <v>DD2024102545750</v>
      </c>
      <c r="D2892" s="1" t="str">
        <f>"CK2024102550452"</f>
        <v>CK2024102550452</v>
      </c>
      <c r="E2892" s="1" t="str">
        <f>"3723538742210069760"</f>
        <v>3723538742210069760</v>
      </c>
      <c r="F2892" s="1" t="str">
        <f t="shared" si="958"/>
        <v>花都四部-凤凰仓</v>
      </c>
      <c r="G2892" s="1" t="str">
        <f t="shared" si="945"/>
        <v>卡卡杜企业店（视频号）</v>
      </c>
      <c r="H2892" s="1" t="str">
        <f t="shared" si="959"/>
        <v>正常订单</v>
      </c>
      <c r="I2892" s="1" t="str">
        <f t="shared" si="960"/>
        <v>已发货</v>
      </c>
      <c r="J2892" s="1" t="str">
        <f t="shared" ref="J2892:J2896" si="961">"2"</f>
        <v>2</v>
      </c>
      <c r="K2892" s="1">
        <v>2</v>
      </c>
      <c r="L2892" s="1" t="s">
        <v>80</v>
      </c>
      <c r="M2892" s="1" t="str">
        <f>"河南省 郑州市 金水区 "</f>
        <v xml:space="preserve">河南省 郑州市 金水区 </v>
      </c>
      <c r="N2892" s="1" t="str">
        <f t="shared" si="950"/>
        <v>凡华云仓-城南圆通-微信视频号</v>
      </c>
      <c r="O2892" s="5" t="s">
        <v>2926</v>
      </c>
      <c r="P2892" s="6">
        <v>0.17</v>
      </c>
      <c r="Q2892" s="11">
        <v>2</v>
      </c>
      <c r="R2892" s="11"/>
      <c r="S2892" s="11"/>
      <c r="T2892" s="11"/>
      <c r="U2892" s="11">
        <f t="shared" si="955"/>
        <v>2</v>
      </c>
      <c r="W2892">
        <v>2.2000000000000002</v>
      </c>
      <c r="X2892" s="1" t="s">
        <v>80</v>
      </c>
    </row>
    <row r="2893" spans="1:24" x14ac:dyDescent="0.25">
      <c r="A2893" s="1" t="str">
        <f t="shared" si="957"/>
        <v>卡卡杜-凤凰仓</v>
      </c>
      <c r="B2893" s="1" t="str">
        <f>"CK2024102579"</f>
        <v>CK2024102579</v>
      </c>
      <c r="C2893" s="1" t="str">
        <f>"DD2024102545425"</f>
        <v>DD2024102545425</v>
      </c>
      <c r="D2893" s="1" t="str">
        <f>"CK2024102550451"</f>
        <v>CK2024102550451</v>
      </c>
      <c r="E2893" s="1" t="str">
        <f>"3723538764247733248"</f>
        <v>3723538764247733248</v>
      </c>
      <c r="F2893" s="1" t="str">
        <f t="shared" si="958"/>
        <v>花都四部-凤凰仓</v>
      </c>
      <c r="G2893" s="1" t="str">
        <f t="shared" si="945"/>
        <v>卡卡杜企业店（视频号）</v>
      </c>
      <c r="H2893" s="1" t="str">
        <f t="shared" si="959"/>
        <v>正常订单</v>
      </c>
      <c r="I2893" s="1" t="str">
        <f t="shared" si="960"/>
        <v>已发货</v>
      </c>
      <c r="J2893" s="1" t="str">
        <f t="shared" ref="J2893:J2904" si="962">"3"</f>
        <v>3</v>
      </c>
      <c r="K2893" s="1">
        <v>2</v>
      </c>
      <c r="L2893" s="1" t="s">
        <v>105</v>
      </c>
      <c r="M2893" s="1" t="str">
        <f>"北京 北京市 顺义区 "</f>
        <v xml:space="preserve">北京 北京市 顺义区 </v>
      </c>
      <c r="N2893" s="1" t="str">
        <f t="shared" si="950"/>
        <v>凡华云仓-城南圆通-微信视频号</v>
      </c>
      <c r="O2893" s="5" t="s">
        <v>2927</v>
      </c>
      <c r="P2893" s="6">
        <v>0.24</v>
      </c>
      <c r="Q2893" s="11">
        <v>2</v>
      </c>
      <c r="R2893" s="11"/>
      <c r="S2893" s="11"/>
      <c r="T2893" s="11"/>
      <c r="U2893" s="11">
        <f t="shared" si="955"/>
        <v>2</v>
      </c>
      <c r="W2893">
        <v>2.2000000000000002</v>
      </c>
      <c r="X2893" s="1" t="s">
        <v>105</v>
      </c>
    </row>
    <row r="2894" spans="1:24" x14ac:dyDescent="0.25">
      <c r="A2894" s="1" t="str">
        <f t="shared" si="957"/>
        <v>卡卡杜-凤凰仓</v>
      </c>
      <c r="B2894" s="1" t="str">
        <f>"CK20241025186"</f>
        <v>CK20241025186</v>
      </c>
      <c r="C2894" s="1" t="str">
        <f>"DD2024102545752"</f>
        <v>DD2024102545752</v>
      </c>
      <c r="D2894" s="1" t="str">
        <f>"CK2024102550449"</f>
        <v>CK2024102550449</v>
      </c>
      <c r="E2894" s="1" t="str">
        <f>"3723538768093121536"</f>
        <v>3723538768093121536</v>
      </c>
      <c r="F2894" s="1" t="str">
        <f t="shared" si="958"/>
        <v>花都四部-凤凰仓</v>
      </c>
      <c r="G2894" s="1" t="str">
        <f t="shared" si="945"/>
        <v>卡卡杜企业店（视频号）</v>
      </c>
      <c r="H2894" s="1" t="str">
        <f t="shared" si="959"/>
        <v>正常订单</v>
      </c>
      <c r="I2894" s="1" t="str">
        <f t="shared" si="960"/>
        <v>已发货</v>
      </c>
      <c r="J2894" s="1" t="str">
        <f t="shared" si="961"/>
        <v>2</v>
      </c>
      <c r="K2894" s="1">
        <v>2</v>
      </c>
      <c r="L2894" s="1" t="s">
        <v>92</v>
      </c>
      <c r="M2894" s="1" t="str">
        <f>"辽宁省 大连市 旅顺口区 "</f>
        <v xml:space="preserve">辽宁省 大连市 旅顺口区 </v>
      </c>
      <c r="N2894" s="1" t="str">
        <f t="shared" si="950"/>
        <v>凡华云仓-城南圆通-微信视频号</v>
      </c>
      <c r="O2894" s="5" t="s">
        <v>2928</v>
      </c>
      <c r="P2894" s="6">
        <v>0.17</v>
      </c>
      <c r="Q2894" s="11">
        <v>2</v>
      </c>
      <c r="R2894" s="11"/>
      <c r="S2894" s="11"/>
      <c r="T2894" s="11"/>
      <c r="U2894" s="11">
        <f t="shared" si="955"/>
        <v>2</v>
      </c>
      <c r="W2894">
        <v>2.2000000000000002</v>
      </c>
      <c r="X2894" s="1" t="s">
        <v>92</v>
      </c>
    </row>
    <row r="2895" spans="1:24" x14ac:dyDescent="0.25">
      <c r="A2895" s="1" t="str">
        <f t="shared" si="957"/>
        <v>卡卡杜-凤凰仓</v>
      </c>
      <c r="B2895" s="1" t="str">
        <f>"CK2024102593"</f>
        <v>CK2024102593</v>
      </c>
      <c r="C2895" s="1" t="str">
        <f>"DD2024102545442"</f>
        <v>DD2024102545442</v>
      </c>
      <c r="D2895" s="1" t="str">
        <f>"CK2024102550448"</f>
        <v>CK2024102550448</v>
      </c>
      <c r="E2895" s="1" t="str">
        <f>"3723538695244612864"</f>
        <v>3723538695244612864</v>
      </c>
      <c r="F2895" s="1" t="str">
        <f t="shared" si="958"/>
        <v>花都四部-凤凰仓</v>
      </c>
      <c r="G2895" s="1" t="str">
        <f t="shared" si="945"/>
        <v>卡卡杜企业店（视频号）</v>
      </c>
      <c r="H2895" s="1" t="str">
        <f t="shared" si="959"/>
        <v>正常订单</v>
      </c>
      <c r="I2895" s="1" t="str">
        <f t="shared" si="960"/>
        <v>已发货</v>
      </c>
      <c r="J2895" s="1" t="str">
        <f t="shared" si="962"/>
        <v>3</v>
      </c>
      <c r="K2895" s="1">
        <v>2</v>
      </c>
      <c r="L2895" s="1" t="s">
        <v>74</v>
      </c>
      <c r="M2895" s="1" t="str">
        <f>"上海 上海市 闵行区 "</f>
        <v xml:space="preserve">上海 上海市 闵行区 </v>
      </c>
      <c r="N2895" s="1" t="str">
        <f t="shared" si="950"/>
        <v>凡华云仓-城南圆通-微信视频号</v>
      </c>
      <c r="O2895" s="5" t="s">
        <v>2929</v>
      </c>
      <c r="P2895" s="6">
        <v>0.24</v>
      </c>
      <c r="Q2895" s="11">
        <v>2</v>
      </c>
      <c r="R2895" s="11"/>
      <c r="S2895" s="11"/>
      <c r="T2895" s="11"/>
      <c r="U2895" s="11">
        <f t="shared" si="955"/>
        <v>2</v>
      </c>
      <c r="W2895">
        <v>2.2000000000000002</v>
      </c>
      <c r="X2895" s="1" t="s">
        <v>74</v>
      </c>
    </row>
    <row r="2896" spans="1:24" x14ac:dyDescent="0.25">
      <c r="A2896" s="1" t="str">
        <f t="shared" si="957"/>
        <v>卡卡杜-凤凰仓</v>
      </c>
      <c r="B2896" s="1" t="str">
        <f>"CK20241025185"</f>
        <v>CK20241025185</v>
      </c>
      <c r="C2896" s="1" t="str">
        <f>"DD2024102545749"</f>
        <v>DD2024102545749</v>
      </c>
      <c r="D2896" s="1" t="str">
        <f>"CK2024102550447"</f>
        <v>CK2024102550447</v>
      </c>
      <c r="E2896" s="1" t="str">
        <f>"3723538797592970752"</f>
        <v>3723538797592970752</v>
      </c>
      <c r="F2896" s="1" t="str">
        <f t="shared" si="958"/>
        <v>花都四部-凤凰仓</v>
      </c>
      <c r="G2896" s="1" t="str">
        <f t="shared" si="945"/>
        <v>卡卡杜企业店（视频号）</v>
      </c>
      <c r="H2896" s="1" t="str">
        <f t="shared" si="959"/>
        <v>正常订单</v>
      </c>
      <c r="I2896" s="1" t="str">
        <f t="shared" si="960"/>
        <v>已发货</v>
      </c>
      <c r="J2896" s="1" t="str">
        <f t="shared" si="961"/>
        <v>2</v>
      </c>
      <c r="K2896" s="1">
        <v>2</v>
      </c>
      <c r="L2896" s="1" t="s">
        <v>44</v>
      </c>
      <c r="M2896" s="1" t="str">
        <f>"海南省 省直辖县级行政区划 文昌市 "</f>
        <v xml:space="preserve">海南省 省直辖县级行政区划 文昌市 </v>
      </c>
      <c r="N2896" s="1" t="str">
        <f t="shared" si="950"/>
        <v>凡华云仓-城南圆通-微信视频号</v>
      </c>
      <c r="O2896" s="5" t="s">
        <v>2930</v>
      </c>
      <c r="P2896" s="6">
        <v>0.17</v>
      </c>
      <c r="Q2896" s="11">
        <v>2</v>
      </c>
      <c r="R2896" s="11"/>
      <c r="S2896" s="11"/>
      <c r="T2896" s="11"/>
      <c r="U2896" s="11">
        <f t="shared" si="955"/>
        <v>2</v>
      </c>
      <c r="W2896">
        <v>2.2000000000000002</v>
      </c>
      <c r="X2896" s="1" t="s">
        <v>44</v>
      </c>
    </row>
    <row r="2897" spans="1:24" x14ac:dyDescent="0.25">
      <c r="A2897" s="1" t="str">
        <f t="shared" si="957"/>
        <v>卡卡杜-凤凰仓</v>
      </c>
      <c r="B2897" s="1" t="str">
        <f>"CK2024102581"</f>
        <v>CK2024102581</v>
      </c>
      <c r="C2897" s="1" t="str">
        <f>"DD2024102545426"</f>
        <v>DD2024102545426</v>
      </c>
      <c r="D2897" s="1" t="str">
        <f>"CK2024102550446"</f>
        <v>CK2024102550446</v>
      </c>
      <c r="E2897" s="1" t="str">
        <f>"3723538723911634944"</f>
        <v>3723538723911634944</v>
      </c>
      <c r="F2897" s="1" t="str">
        <f t="shared" si="958"/>
        <v>花都四部-凤凰仓</v>
      </c>
      <c r="G2897" s="1" t="str">
        <f t="shared" si="945"/>
        <v>卡卡杜企业店（视频号）</v>
      </c>
      <c r="H2897" s="1" t="str">
        <f t="shared" si="959"/>
        <v>正常订单</v>
      </c>
      <c r="I2897" s="1" t="str">
        <f t="shared" si="960"/>
        <v>已发货</v>
      </c>
      <c r="J2897" s="1" t="str">
        <f t="shared" si="962"/>
        <v>3</v>
      </c>
      <c r="K2897" s="1">
        <v>2</v>
      </c>
      <c r="L2897" s="1" t="s">
        <v>92</v>
      </c>
      <c r="M2897" s="1" t="str">
        <f>"辽宁省 大连市 中山区 "</f>
        <v xml:space="preserve">辽宁省 大连市 中山区 </v>
      </c>
      <c r="N2897" s="1" t="str">
        <f t="shared" si="950"/>
        <v>凡华云仓-城南圆通-微信视频号</v>
      </c>
      <c r="O2897" s="5" t="s">
        <v>2931</v>
      </c>
      <c r="P2897" s="6">
        <v>0.24</v>
      </c>
      <c r="Q2897" s="11">
        <v>2</v>
      </c>
      <c r="R2897" s="11"/>
      <c r="S2897" s="11"/>
      <c r="T2897" s="11"/>
      <c r="U2897" s="11">
        <f t="shared" si="955"/>
        <v>2</v>
      </c>
      <c r="W2897">
        <v>2.2000000000000002</v>
      </c>
      <c r="X2897" s="1" t="s">
        <v>92</v>
      </c>
    </row>
    <row r="2898" spans="1:24" x14ac:dyDescent="0.25">
      <c r="A2898" s="1" t="str">
        <f t="shared" si="957"/>
        <v>卡卡杜-凤凰仓</v>
      </c>
      <c r="B2898" s="1" t="str">
        <f>"CK20241025141"</f>
        <v>CK20241025141</v>
      </c>
      <c r="C2898" s="1" t="str">
        <f>"DD2024102545495"</f>
        <v>DD2024102545495</v>
      </c>
      <c r="D2898" s="1" t="str">
        <f>"CK2024102550445"</f>
        <v>CK2024102550445</v>
      </c>
      <c r="E2898" s="1" t="str">
        <f>"3723536990139716608"</f>
        <v>3723536990139716608</v>
      </c>
      <c r="F2898" s="1" t="str">
        <f t="shared" si="958"/>
        <v>花都四部-凤凰仓</v>
      </c>
      <c r="G2898" s="1" t="str">
        <f t="shared" si="945"/>
        <v>卡卡杜企业店（视频号）</v>
      </c>
      <c r="H2898" s="1" t="str">
        <f t="shared" si="959"/>
        <v>正常订单</v>
      </c>
      <c r="I2898" s="1" t="str">
        <f t="shared" si="960"/>
        <v>已发货</v>
      </c>
      <c r="J2898" s="1" t="str">
        <f t="shared" si="962"/>
        <v>3</v>
      </c>
      <c r="K2898" s="1">
        <v>3</v>
      </c>
      <c r="L2898" s="1" t="s">
        <v>187</v>
      </c>
      <c r="M2898" s="1" t="str">
        <f>"吉林省 长春市 长春高新技术产业开发区 "</f>
        <v xml:space="preserve">吉林省 长春市 长春高新技术产业开发区 </v>
      </c>
      <c r="N2898" s="1" t="str">
        <f t="shared" si="950"/>
        <v>凡华云仓-城南圆通-微信视频号</v>
      </c>
      <c r="O2898" s="5" t="s">
        <v>2932</v>
      </c>
      <c r="P2898" s="6">
        <v>0.34</v>
      </c>
      <c r="Q2898" s="11">
        <v>2.2999999999999998</v>
      </c>
      <c r="R2898" s="11"/>
      <c r="S2898" s="11"/>
      <c r="T2898" s="11"/>
      <c r="U2898" s="11">
        <f t="shared" si="955"/>
        <v>2.2999999999999998</v>
      </c>
      <c r="W2898">
        <v>2.5</v>
      </c>
      <c r="X2898" s="1" t="s">
        <v>187</v>
      </c>
    </row>
    <row r="2899" spans="1:24" x14ac:dyDescent="0.25">
      <c r="A2899" s="1" t="str">
        <f t="shared" si="957"/>
        <v>卡卡杜-凤凰仓</v>
      </c>
      <c r="B2899" s="1" t="str">
        <f>"CK20241025115"</f>
        <v>CK20241025115</v>
      </c>
      <c r="C2899" s="1" t="str">
        <f>"DD2024102545466"</f>
        <v>DD2024102545466</v>
      </c>
      <c r="D2899" s="1" t="str">
        <f>"CK2024102550444"</f>
        <v>CK2024102550444</v>
      </c>
      <c r="E2899" s="1" t="str">
        <f>"3723538666484011008"</f>
        <v>3723538666484011008</v>
      </c>
      <c r="F2899" s="1" t="str">
        <f t="shared" si="958"/>
        <v>花都四部-凤凰仓</v>
      </c>
      <c r="G2899" s="1" t="str">
        <f t="shared" si="945"/>
        <v>卡卡杜企业店（视频号）</v>
      </c>
      <c r="H2899" s="1" t="str">
        <f t="shared" si="959"/>
        <v>正常订单</v>
      </c>
      <c r="I2899" s="1" t="str">
        <f t="shared" si="960"/>
        <v>已发货</v>
      </c>
      <c r="J2899" s="1" t="str">
        <f t="shared" si="962"/>
        <v>3</v>
      </c>
      <c r="K2899" s="1">
        <v>2</v>
      </c>
      <c r="L2899" s="1" t="s">
        <v>13</v>
      </c>
      <c r="M2899" s="1" t="str">
        <f>"江苏省 南京市 浦口区 "</f>
        <v xml:space="preserve">江苏省 南京市 浦口区 </v>
      </c>
      <c r="N2899" s="1" t="str">
        <f t="shared" si="950"/>
        <v>凡华云仓-城南圆通-微信视频号</v>
      </c>
      <c r="O2899" s="5" t="s">
        <v>2933</v>
      </c>
      <c r="P2899" s="6">
        <v>0.24</v>
      </c>
      <c r="Q2899" s="11">
        <v>2</v>
      </c>
      <c r="R2899" s="11"/>
      <c r="S2899" s="11"/>
      <c r="T2899" s="11"/>
      <c r="U2899" s="11">
        <f t="shared" si="955"/>
        <v>2</v>
      </c>
      <c r="W2899">
        <v>2.2000000000000002</v>
      </c>
      <c r="X2899" s="1" t="s">
        <v>13</v>
      </c>
    </row>
    <row r="2900" spans="1:24" x14ac:dyDescent="0.25">
      <c r="A2900" s="1" t="str">
        <f t="shared" si="957"/>
        <v>卡卡杜-凤凰仓</v>
      </c>
      <c r="B2900" s="1" t="str">
        <f>"CK2024102578"</f>
        <v>CK2024102578</v>
      </c>
      <c r="C2900" s="1" t="str">
        <f>"DD2024102545424"</f>
        <v>DD2024102545424</v>
      </c>
      <c r="D2900" s="1" t="str">
        <f>"CK2024102550443"</f>
        <v>CK2024102550443</v>
      </c>
      <c r="E2900" s="1" t="str">
        <f>"3723538760004406272"</f>
        <v>3723538760004406272</v>
      </c>
      <c r="F2900" s="1" t="str">
        <f t="shared" si="958"/>
        <v>花都四部-凤凰仓</v>
      </c>
      <c r="G2900" s="1" t="str">
        <f t="shared" si="945"/>
        <v>卡卡杜企业店（视频号）</v>
      </c>
      <c r="H2900" s="1" t="str">
        <f t="shared" si="959"/>
        <v>正常订单</v>
      </c>
      <c r="I2900" s="1" t="str">
        <f t="shared" si="960"/>
        <v>已发货</v>
      </c>
      <c r="J2900" s="1" t="str">
        <f t="shared" si="962"/>
        <v>3</v>
      </c>
      <c r="K2900" s="1">
        <v>2</v>
      </c>
      <c r="L2900" s="1" t="s">
        <v>105</v>
      </c>
      <c r="M2900" s="1" t="str">
        <f>"北京 北京市 朝阳区 "</f>
        <v xml:space="preserve">北京 北京市 朝阳区 </v>
      </c>
      <c r="N2900" s="1" t="str">
        <f t="shared" si="950"/>
        <v>凡华云仓-城南圆通-微信视频号</v>
      </c>
      <c r="O2900" s="5" t="s">
        <v>2934</v>
      </c>
      <c r="P2900" s="6">
        <v>0.24</v>
      </c>
      <c r="Q2900" s="11">
        <v>2</v>
      </c>
      <c r="R2900" s="11"/>
      <c r="S2900" s="11"/>
      <c r="T2900" s="11"/>
      <c r="U2900" s="11">
        <f t="shared" si="955"/>
        <v>2</v>
      </c>
      <c r="W2900">
        <v>2.2000000000000002</v>
      </c>
      <c r="X2900" s="1" t="s">
        <v>105</v>
      </c>
    </row>
    <row r="2901" spans="1:24" x14ac:dyDescent="0.25">
      <c r="A2901" s="1" t="str">
        <f t="shared" si="957"/>
        <v>卡卡杜-凤凰仓</v>
      </c>
      <c r="B2901" s="1" t="str">
        <f>"CK2024102595"</f>
        <v>CK2024102595</v>
      </c>
      <c r="C2901" s="1" t="str">
        <f>"DD2024102545441"</f>
        <v>DD2024102545441</v>
      </c>
      <c r="D2901" s="1" t="str">
        <f>"CK2024102550442"</f>
        <v>CK2024102550442</v>
      </c>
      <c r="E2901" s="1" t="str">
        <f>"3723538680751197184"</f>
        <v>3723538680751197184</v>
      </c>
      <c r="F2901" s="1" t="str">
        <f t="shared" si="958"/>
        <v>花都四部-凤凰仓</v>
      </c>
      <c r="G2901" s="1" t="str">
        <f t="shared" ref="G2901:G2915" si="963">"卡卡杜企业店（视频号）"</f>
        <v>卡卡杜企业店（视频号）</v>
      </c>
      <c r="H2901" s="1" t="str">
        <f t="shared" si="959"/>
        <v>正常订单</v>
      </c>
      <c r="I2901" s="1" t="str">
        <f t="shared" si="960"/>
        <v>已发货</v>
      </c>
      <c r="J2901" s="1" t="str">
        <f t="shared" si="962"/>
        <v>3</v>
      </c>
      <c r="K2901" s="1">
        <v>2</v>
      </c>
      <c r="L2901" s="1" t="s">
        <v>105</v>
      </c>
      <c r="M2901" s="1" t="str">
        <f>"北京 北京市 朝阳区 "</f>
        <v xml:space="preserve">北京 北京市 朝阳区 </v>
      </c>
      <c r="N2901" s="1" t="str">
        <f t="shared" si="950"/>
        <v>凡华云仓-城南圆通-微信视频号</v>
      </c>
      <c r="O2901" s="5" t="s">
        <v>2935</v>
      </c>
      <c r="P2901" s="6">
        <v>0.24</v>
      </c>
      <c r="Q2901" s="11">
        <v>2</v>
      </c>
      <c r="R2901" s="11"/>
      <c r="S2901" s="11"/>
      <c r="T2901" s="11"/>
      <c r="U2901" s="11">
        <f t="shared" si="955"/>
        <v>2</v>
      </c>
      <c r="W2901">
        <v>2.2000000000000002</v>
      </c>
      <c r="X2901" s="1" t="s">
        <v>105</v>
      </c>
    </row>
    <row r="2902" spans="1:24" x14ac:dyDescent="0.25">
      <c r="A2902" s="1" t="str">
        <f t="shared" si="957"/>
        <v>卡卡杜-凤凰仓</v>
      </c>
      <c r="B2902" s="1" t="str">
        <f>"CK20241025117"</f>
        <v>CK20241025117</v>
      </c>
      <c r="C2902" s="1" t="str">
        <f>"DD2024102545469"</f>
        <v>DD2024102545469</v>
      </c>
      <c r="D2902" s="1" t="str">
        <f>"CK2024102550441"</f>
        <v>CK2024102550441</v>
      </c>
      <c r="E2902" s="1" t="str">
        <f>"3723538668251645185"</f>
        <v>3723538668251645185</v>
      </c>
      <c r="F2902" s="1" t="str">
        <f t="shared" si="958"/>
        <v>花都四部-凤凰仓</v>
      </c>
      <c r="G2902" s="1" t="str">
        <f t="shared" si="963"/>
        <v>卡卡杜企业店（视频号）</v>
      </c>
      <c r="H2902" s="1" t="str">
        <f t="shared" si="959"/>
        <v>正常订单</v>
      </c>
      <c r="I2902" s="1" t="str">
        <f t="shared" si="960"/>
        <v>已发货</v>
      </c>
      <c r="J2902" s="1" t="str">
        <f t="shared" si="962"/>
        <v>3</v>
      </c>
      <c r="K2902" s="1">
        <v>2</v>
      </c>
      <c r="L2902" s="1" t="s">
        <v>52</v>
      </c>
      <c r="M2902" s="1" t="str">
        <f>"甘肃省 兰州市 七里河区 "</f>
        <v xml:space="preserve">甘肃省 兰州市 七里河区 </v>
      </c>
      <c r="N2902" s="1" t="str">
        <f t="shared" si="950"/>
        <v>凡华云仓-城南圆通-微信视频号</v>
      </c>
      <c r="O2902" s="5" t="s">
        <v>2936</v>
      </c>
      <c r="P2902" s="6">
        <v>0.24</v>
      </c>
      <c r="Q2902" s="11">
        <v>2</v>
      </c>
      <c r="R2902" s="11"/>
      <c r="S2902" s="11"/>
      <c r="T2902" s="11"/>
      <c r="U2902" s="11">
        <f t="shared" si="955"/>
        <v>2</v>
      </c>
      <c r="W2902">
        <v>2.2000000000000002</v>
      </c>
      <c r="X2902" s="1" t="s">
        <v>52</v>
      </c>
    </row>
    <row r="2903" spans="1:24" x14ac:dyDescent="0.25">
      <c r="A2903" s="1" t="str">
        <f t="shared" si="957"/>
        <v>卡卡杜-凤凰仓</v>
      </c>
      <c r="B2903" s="1" t="str">
        <f>"CK20241025132"</f>
        <v>CK20241025132</v>
      </c>
      <c r="C2903" s="1" t="str">
        <f>"DD2024102545485"</f>
        <v>DD2024102545485</v>
      </c>
      <c r="D2903" s="1" t="str">
        <f>"CK2024102550440"</f>
        <v>CK2024102550440</v>
      </c>
      <c r="E2903" s="1" t="str">
        <f>"3723537708317807617"</f>
        <v>3723537708317807617</v>
      </c>
      <c r="F2903" s="1" t="str">
        <f t="shared" si="958"/>
        <v>花都四部-凤凰仓</v>
      </c>
      <c r="G2903" s="1" t="str">
        <f t="shared" si="963"/>
        <v>卡卡杜企业店（视频号）</v>
      </c>
      <c r="H2903" s="1" t="str">
        <f t="shared" si="959"/>
        <v>正常订单</v>
      </c>
      <c r="I2903" s="1" t="str">
        <f t="shared" si="960"/>
        <v>已发货</v>
      </c>
      <c r="J2903" s="1" t="str">
        <f t="shared" si="962"/>
        <v>3</v>
      </c>
      <c r="K2903" s="1">
        <v>2</v>
      </c>
      <c r="L2903" s="1" t="s">
        <v>80</v>
      </c>
      <c r="M2903" s="1" t="str">
        <f>"河南省 郑州市 金水区 "</f>
        <v xml:space="preserve">河南省 郑州市 金水区 </v>
      </c>
      <c r="N2903" s="1" t="str">
        <f t="shared" si="950"/>
        <v>凡华云仓-城南圆通-微信视频号</v>
      </c>
      <c r="O2903" s="5" t="s">
        <v>2937</v>
      </c>
      <c r="P2903" s="6">
        <v>0.24</v>
      </c>
      <c r="Q2903" s="11">
        <v>2</v>
      </c>
      <c r="R2903" s="11"/>
      <c r="S2903" s="11"/>
      <c r="T2903" s="11"/>
      <c r="U2903" s="11">
        <f t="shared" si="955"/>
        <v>2</v>
      </c>
      <c r="W2903">
        <v>2.2000000000000002</v>
      </c>
      <c r="X2903" s="1" t="s">
        <v>80</v>
      </c>
    </row>
    <row r="2904" spans="1:24" x14ac:dyDescent="0.25">
      <c r="A2904" s="1" t="str">
        <f t="shared" si="957"/>
        <v>卡卡杜-凤凰仓</v>
      </c>
      <c r="B2904" s="1" t="str">
        <f>"CK20241025124"</f>
        <v>CK20241025124</v>
      </c>
      <c r="C2904" s="1" t="str">
        <f>"DD2024102545477"</f>
        <v>DD2024102545477</v>
      </c>
      <c r="D2904" s="1" t="str">
        <f>"CK2024102550439"</f>
        <v>CK2024102550439</v>
      </c>
      <c r="E2904" s="1" t="str">
        <f>"3723538662593795072"</f>
        <v>3723538662593795072</v>
      </c>
      <c r="F2904" s="1" t="str">
        <f t="shared" si="958"/>
        <v>花都四部-凤凰仓</v>
      </c>
      <c r="G2904" s="1" t="str">
        <f t="shared" si="963"/>
        <v>卡卡杜企业店（视频号）</v>
      </c>
      <c r="H2904" s="1" t="str">
        <f t="shared" si="959"/>
        <v>正常订单</v>
      </c>
      <c r="I2904" s="1" t="str">
        <f t="shared" si="960"/>
        <v>已发货</v>
      </c>
      <c r="J2904" s="1" t="str">
        <f t="shared" si="962"/>
        <v>3</v>
      </c>
      <c r="K2904" s="1">
        <v>2</v>
      </c>
      <c r="L2904" s="1" t="s">
        <v>94</v>
      </c>
      <c r="M2904" s="1" t="str">
        <f>"湖南省 湘西土家族苗族自治州 吉首市 "</f>
        <v xml:space="preserve">湖南省 湘西土家族苗族自治州 吉首市 </v>
      </c>
      <c r="N2904" s="1" t="str">
        <f t="shared" si="950"/>
        <v>凡华云仓-城南圆通-微信视频号</v>
      </c>
      <c r="O2904" s="5" t="s">
        <v>2938</v>
      </c>
      <c r="P2904" s="6">
        <v>0.24</v>
      </c>
      <c r="Q2904" s="11">
        <v>2</v>
      </c>
      <c r="R2904" s="11"/>
      <c r="S2904" s="11"/>
      <c r="T2904" s="11"/>
      <c r="U2904" s="11">
        <f t="shared" si="955"/>
        <v>2</v>
      </c>
      <c r="W2904">
        <v>2.2000000000000002</v>
      </c>
      <c r="X2904" s="1" t="s">
        <v>94</v>
      </c>
    </row>
    <row r="2905" spans="1:24" x14ac:dyDescent="0.25">
      <c r="A2905" s="1" t="str">
        <f t="shared" si="957"/>
        <v>卡卡杜-凤凰仓</v>
      </c>
      <c r="B2905" s="1" t="str">
        <f>"CK20241025204"</f>
        <v>CK20241025204</v>
      </c>
      <c r="C2905" s="1" t="str">
        <f>"DD2024102545768"</f>
        <v>DD2024102545768</v>
      </c>
      <c r="D2905" s="1" t="str">
        <f>"CK2024102550438"</f>
        <v>CK2024102550438</v>
      </c>
      <c r="E2905" s="1" t="str">
        <f>"3723538311458198528"</f>
        <v>3723538311458198528</v>
      </c>
      <c r="F2905" s="1" t="str">
        <f t="shared" si="958"/>
        <v>花都四部-凤凰仓</v>
      </c>
      <c r="G2905" s="1" t="str">
        <f t="shared" si="963"/>
        <v>卡卡杜企业店（视频号）</v>
      </c>
      <c r="H2905" s="1" t="str">
        <f t="shared" si="959"/>
        <v>正常订单</v>
      </c>
      <c r="I2905" s="1" t="str">
        <f t="shared" si="960"/>
        <v>已发货</v>
      </c>
      <c r="J2905" s="1" t="str">
        <f t="shared" ref="J2905:J2910" si="964">"2"</f>
        <v>2</v>
      </c>
      <c r="K2905" s="1">
        <v>2</v>
      </c>
      <c r="L2905" s="1" t="s">
        <v>66</v>
      </c>
      <c r="M2905" s="1" t="str">
        <f>"内蒙古自治区 鄂尔多斯市 东胜区 "</f>
        <v xml:space="preserve">内蒙古自治区 鄂尔多斯市 东胜区 </v>
      </c>
      <c r="N2905" s="1" t="str">
        <f t="shared" si="950"/>
        <v>凡华云仓-城南圆通-微信视频号</v>
      </c>
      <c r="O2905" s="5" t="s">
        <v>2939</v>
      </c>
      <c r="P2905" s="6">
        <v>0.17</v>
      </c>
      <c r="Q2905" s="11">
        <v>2</v>
      </c>
      <c r="R2905" s="11"/>
      <c r="S2905" s="11"/>
      <c r="T2905" s="11"/>
      <c r="U2905" s="11">
        <f t="shared" si="955"/>
        <v>2</v>
      </c>
      <c r="W2905">
        <v>2.2000000000000002</v>
      </c>
      <c r="X2905" s="1" t="s">
        <v>66</v>
      </c>
    </row>
    <row r="2906" spans="1:24" x14ac:dyDescent="0.25">
      <c r="A2906" s="1" t="str">
        <f t="shared" si="957"/>
        <v>卡卡杜-凤凰仓</v>
      </c>
      <c r="B2906" s="1" t="str">
        <f>"CK20241025199"</f>
        <v>CK20241025199</v>
      </c>
      <c r="C2906" s="1" t="str">
        <f>"DD2024102545762"</f>
        <v>DD2024102545762</v>
      </c>
      <c r="D2906" s="1" t="str">
        <f>"CK2024102550437"</f>
        <v>CK2024102550437</v>
      </c>
      <c r="E2906" s="1" t="str">
        <f>"3723538672709668864"</f>
        <v>3723538672709668864</v>
      </c>
      <c r="F2906" s="1" t="str">
        <f t="shared" si="958"/>
        <v>花都四部-凤凰仓</v>
      </c>
      <c r="G2906" s="1" t="str">
        <f t="shared" si="963"/>
        <v>卡卡杜企业店（视频号）</v>
      </c>
      <c r="H2906" s="1" t="str">
        <f t="shared" si="959"/>
        <v>正常订单</v>
      </c>
      <c r="I2906" s="1" t="str">
        <f t="shared" si="960"/>
        <v>已发货</v>
      </c>
      <c r="J2906" s="1" t="str">
        <f t="shared" si="964"/>
        <v>2</v>
      </c>
      <c r="K2906" s="1">
        <v>2</v>
      </c>
      <c r="L2906" s="1" t="s">
        <v>22</v>
      </c>
      <c r="M2906" s="1" t="str">
        <f>"江西省 吉安市 新干县 "</f>
        <v xml:space="preserve">江西省 吉安市 新干县 </v>
      </c>
      <c r="N2906" s="1" t="str">
        <f t="shared" si="950"/>
        <v>凡华云仓-城南圆通-微信视频号</v>
      </c>
      <c r="O2906" s="5" t="s">
        <v>2940</v>
      </c>
      <c r="P2906" s="6">
        <v>0.17</v>
      </c>
      <c r="Q2906" s="11">
        <v>2</v>
      </c>
      <c r="R2906" s="11"/>
      <c r="S2906" s="11"/>
      <c r="T2906" s="11"/>
      <c r="U2906" s="11">
        <f t="shared" si="955"/>
        <v>2</v>
      </c>
      <c r="W2906">
        <v>2.2000000000000002</v>
      </c>
      <c r="X2906" s="1" t="s">
        <v>22</v>
      </c>
    </row>
    <row r="2907" spans="1:24" x14ac:dyDescent="0.25">
      <c r="A2907" s="1" t="str">
        <f t="shared" si="957"/>
        <v>卡卡杜-凤凰仓</v>
      </c>
      <c r="B2907" s="1" t="str">
        <f>"CK20241025121"</f>
        <v>CK20241025121</v>
      </c>
      <c r="C2907" s="1" t="str">
        <f>"DD2024102545473"</f>
        <v>DD2024102545473</v>
      </c>
      <c r="D2907" s="1" t="str">
        <f>"CK2024102550436"</f>
        <v>CK2024102550436</v>
      </c>
      <c r="E2907" s="1" t="str">
        <f>"3723538663937019904"</f>
        <v>3723538663937019904</v>
      </c>
      <c r="F2907" s="1" t="str">
        <f t="shared" si="958"/>
        <v>花都四部-凤凰仓</v>
      </c>
      <c r="G2907" s="1" t="str">
        <f t="shared" si="963"/>
        <v>卡卡杜企业店（视频号）</v>
      </c>
      <c r="H2907" s="1" t="str">
        <f t="shared" si="959"/>
        <v>正常订单</v>
      </c>
      <c r="I2907" s="1" t="str">
        <f t="shared" si="960"/>
        <v>已发货</v>
      </c>
      <c r="J2907" s="1" t="str">
        <f t="shared" ref="J2907:J2909" si="965">"3"</f>
        <v>3</v>
      </c>
      <c r="K2907" s="1">
        <v>2</v>
      </c>
      <c r="L2907" s="1" t="s">
        <v>105</v>
      </c>
      <c r="M2907" s="1" t="str">
        <f>"北京 北京市 昌平区 "</f>
        <v xml:space="preserve">北京 北京市 昌平区 </v>
      </c>
      <c r="N2907" s="1" t="str">
        <f t="shared" si="950"/>
        <v>凡华云仓-城南圆通-微信视频号</v>
      </c>
      <c r="O2907" s="5" t="s">
        <v>2941</v>
      </c>
      <c r="P2907" s="6">
        <v>0.24</v>
      </c>
      <c r="Q2907" s="11">
        <v>2</v>
      </c>
      <c r="R2907" s="11"/>
      <c r="S2907" s="11"/>
      <c r="T2907" s="11"/>
      <c r="U2907" s="11">
        <f t="shared" si="955"/>
        <v>2</v>
      </c>
      <c r="W2907">
        <v>2.2000000000000002</v>
      </c>
      <c r="X2907" s="1" t="s">
        <v>105</v>
      </c>
    </row>
    <row r="2908" spans="1:24" x14ac:dyDescent="0.25">
      <c r="A2908" s="1" t="str">
        <f t="shared" si="957"/>
        <v>卡卡杜-凤凰仓</v>
      </c>
      <c r="B2908" s="1" t="str">
        <f>"CK20241025118"</f>
        <v>CK20241025118</v>
      </c>
      <c r="C2908" s="1" t="str">
        <f>"DD2024102545470"</f>
        <v>DD2024102545470</v>
      </c>
      <c r="D2908" s="1" t="str">
        <f>"CK2024102550435"</f>
        <v>CK2024102550435</v>
      </c>
      <c r="E2908" s="1" t="str">
        <f>"3723538666517304320"</f>
        <v>3723538666517304320</v>
      </c>
      <c r="F2908" s="1" t="str">
        <f t="shared" si="958"/>
        <v>花都四部-凤凰仓</v>
      </c>
      <c r="G2908" s="1" t="str">
        <f t="shared" si="963"/>
        <v>卡卡杜企业店（视频号）</v>
      </c>
      <c r="H2908" s="1" t="str">
        <f t="shared" si="959"/>
        <v>正常订单</v>
      </c>
      <c r="I2908" s="1" t="str">
        <f t="shared" si="960"/>
        <v>已发货</v>
      </c>
      <c r="J2908" s="1" t="str">
        <f t="shared" si="965"/>
        <v>3</v>
      </c>
      <c r="K2908" s="1">
        <v>2</v>
      </c>
      <c r="L2908" s="1" t="s">
        <v>44</v>
      </c>
      <c r="M2908" s="1" t="str">
        <f>"海南省 省直辖县级行政区划 东方市 "</f>
        <v xml:space="preserve">海南省 省直辖县级行政区划 东方市 </v>
      </c>
      <c r="N2908" s="1" t="str">
        <f t="shared" si="950"/>
        <v>凡华云仓-城南圆通-微信视频号</v>
      </c>
      <c r="O2908" s="5" t="s">
        <v>2942</v>
      </c>
      <c r="P2908" s="6">
        <v>0.24</v>
      </c>
      <c r="Q2908" s="11">
        <v>2</v>
      </c>
      <c r="R2908" s="11"/>
      <c r="S2908" s="11"/>
      <c r="T2908" s="11"/>
      <c r="U2908" s="11">
        <f t="shared" si="955"/>
        <v>2</v>
      </c>
      <c r="W2908">
        <v>2.2000000000000002</v>
      </c>
      <c r="X2908" s="1" t="s">
        <v>44</v>
      </c>
    </row>
    <row r="2909" spans="1:24" x14ac:dyDescent="0.25">
      <c r="A2909" s="1" t="str">
        <f t="shared" si="957"/>
        <v>卡卡杜-凤凰仓</v>
      </c>
      <c r="B2909" s="1" t="str">
        <f>"CK20241025120"</f>
        <v>CK20241025120</v>
      </c>
      <c r="C2909" s="1" t="str">
        <f>"DD2024102545471"</f>
        <v>DD2024102545471</v>
      </c>
      <c r="D2909" s="1" t="str">
        <f>"CK2024102550434"</f>
        <v>CK2024102550434</v>
      </c>
      <c r="E2909" s="1" t="str">
        <f>"3723538665909653504"</f>
        <v>3723538665909653504</v>
      </c>
      <c r="F2909" s="1" t="str">
        <f t="shared" si="958"/>
        <v>花都四部-凤凰仓</v>
      </c>
      <c r="G2909" s="1" t="str">
        <f t="shared" si="963"/>
        <v>卡卡杜企业店（视频号）</v>
      </c>
      <c r="H2909" s="1" t="str">
        <f t="shared" si="959"/>
        <v>正常订单</v>
      </c>
      <c r="I2909" s="1" t="str">
        <f t="shared" si="960"/>
        <v>已发货</v>
      </c>
      <c r="J2909" s="1" t="str">
        <f t="shared" si="965"/>
        <v>3</v>
      </c>
      <c r="K2909" s="1">
        <v>2</v>
      </c>
      <c r="L2909" s="1" t="s">
        <v>30</v>
      </c>
      <c r="M2909" s="1" t="str">
        <f>"山东省 青岛市 城阳区 "</f>
        <v xml:space="preserve">山东省 青岛市 城阳区 </v>
      </c>
      <c r="N2909" s="1" t="str">
        <f t="shared" si="950"/>
        <v>凡华云仓-城南圆通-微信视频号</v>
      </c>
      <c r="O2909" s="5" t="s">
        <v>2943</v>
      </c>
      <c r="P2909" s="6">
        <v>0.24</v>
      </c>
      <c r="Q2909" s="11">
        <v>2</v>
      </c>
      <c r="R2909" s="11"/>
      <c r="S2909" s="11"/>
      <c r="T2909" s="11"/>
      <c r="U2909" s="11">
        <f t="shared" si="955"/>
        <v>2</v>
      </c>
      <c r="W2909">
        <v>2.2000000000000002</v>
      </c>
      <c r="X2909" s="1" t="s">
        <v>30</v>
      </c>
    </row>
    <row r="2910" spans="1:24" x14ac:dyDescent="0.25">
      <c r="A2910" s="1" t="str">
        <f t="shared" si="957"/>
        <v>卡卡杜-凤凰仓</v>
      </c>
      <c r="B2910" s="1" t="str">
        <f>"CK20241025200"</f>
        <v>CK20241025200</v>
      </c>
      <c r="C2910" s="1" t="str">
        <f>"DD2024102545767"</f>
        <v>DD2024102545767</v>
      </c>
      <c r="D2910" s="1" t="str">
        <f>"CK2024102550433"</f>
        <v>CK2024102550433</v>
      </c>
      <c r="E2910" s="1" t="str">
        <f>"3723538671393180672"</f>
        <v>3723538671393180672</v>
      </c>
      <c r="F2910" s="1" t="str">
        <f t="shared" si="958"/>
        <v>花都四部-凤凰仓</v>
      </c>
      <c r="G2910" s="1" t="str">
        <f t="shared" si="963"/>
        <v>卡卡杜企业店（视频号）</v>
      </c>
      <c r="H2910" s="1" t="str">
        <f t="shared" si="959"/>
        <v>正常订单</v>
      </c>
      <c r="I2910" s="1" t="str">
        <f t="shared" si="960"/>
        <v>已发货</v>
      </c>
      <c r="J2910" s="1" t="str">
        <f t="shared" si="964"/>
        <v>2</v>
      </c>
      <c r="K2910" s="1">
        <v>2</v>
      </c>
      <c r="L2910" s="1" t="s">
        <v>30</v>
      </c>
      <c r="M2910" s="1" t="str">
        <f>"山东省 威海市 乳山市 "</f>
        <v xml:space="preserve">山东省 威海市 乳山市 </v>
      </c>
      <c r="N2910" s="1" t="str">
        <f t="shared" si="950"/>
        <v>凡华云仓-城南圆通-微信视频号</v>
      </c>
      <c r="O2910" s="5" t="s">
        <v>2944</v>
      </c>
      <c r="P2910" s="6">
        <v>0.17</v>
      </c>
      <c r="Q2910" s="11">
        <v>2</v>
      </c>
      <c r="R2910" s="11"/>
      <c r="S2910" s="11"/>
      <c r="T2910" s="11"/>
      <c r="U2910" s="11">
        <f t="shared" si="955"/>
        <v>2</v>
      </c>
      <c r="W2910">
        <v>2.2000000000000002</v>
      </c>
      <c r="X2910" s="1" t="s">
        <v>30</v>
      </c>
    </row>
    <row r="2911" spans="1:24" x14ac:dyDescent="0.25">
      <c r="A2911" s="1" t="str">
        <f t="shared" si="957"/>
        <v>卡卡杜-凤凰仓</v>
      </c>
      <c r="B2911" s="1" t="str">
        <f>"CK20241025113"</f>
        <v>CK20241025113</v>
      </c>
      <c r="C2911" s="1" t="str">
        <f>"DD2024102545463"</f>
        <v>DD2024102545463</v>
      </c>
      <c r="D2911" s="1" t="str">
        <f>"CK2024102550432"</f>
        <v>CK2024102550432</v>
      </c>
      <c r="E2911" s="1" t="str">
        <f>"3723538671713260544"</f>
        <v>3723538671713260544</v>
      </c>
      <c r="F2911" s="1" t="str">
        <f t="shared" si="958"/>
        <v>花都四部-凤凰仓</v>
      </c>
      <c r="G2911" s="1" t="str">
        <f t="shared" si="963"/>
        <v>卡卡杜企业店（视频号）</v>
      </c>
      <c r="H2911" s="1" t="str">
        <f t="shared" si="959"/>
        <v>正常订单</v>
      </c>
      <c r="I2911" s="1" t="str">
        <f t="shared" si="960"/>
        <v>已发货</v>
      </c>
      <c r="J2911" s="1" t="str">
        <f t="shared" ref="J2911:J2913" si="966">"3"</f>
        <v>3</v>
      </c>
      <c r="K2911" s="1">
        <v>2</v>
      </c>
      <c r="L2911" s="1" t="s">
        <v>32</v>
      </c>
      <c r="M2911" s="1" t="str">
        <f>"陕西省 西安市 雁塔区 "</f>
        <v xml:space="preserve">陕西省 西安市 雁塔区 </v>
      </c>
      <c r="N2911" s="1" t="str">
        <f t="shared" si="950"/>
        <v>凡华云仓-城南圆通-微信视频号</v>
      </c>
      <c r="O2911" s="5" t="s">
        <v>2945</v>
      </c>
      <c r="P2911" s="6">
        <v>0.24</v>
      </c>
      <c r="Q2911" s="11">
        <v>2</v>
      </c>
      <c r="R2911" s="11"/>
      <c r="S2911" s="11"/>
      <c r="T2911" s="11"/>
      <c r="U2911" s="11">
        <f t="shared" si="955"/>
        <v>2</v>
      </c>
      <c r="W2911">
        <v>2.2000000000000002</v>
      </c>
      <c r="X2911" s="1" t="s">
        <v>32</v>
      </c>
    </row>
    <row r="2912" spans="1:24" x14ac:dyDescent="0.25">
      <c r="A2912" s="1" t="str">
        <f t="shared" si="957"/>
        <v>卡卡杜-凤凰仓</v>
      </c>
      <c r="B2912" s="1" t="str">
        <f>"CK20241025122"</f>
        <v>CK20241025122</v>
      </c>
      <c r="C2912" s="1" t="str">
        <f>"DD2024102545474"</f>
        <v>DD2024102545474</v>
      </c>
      <c r="D2912" s="1" t="str">
        <f>"CK2024102550431"</f>
        <v>CK2024102550431</v>
      </c>
      <c r="E2912" s="1" t="str">
        <f>"3723538662277907712"</f>
        <v>3723538662277907712</v>
      </c>
      <c r="F2912" s="1" t="str">
        <f t="shared" si="958"/>
        <v>花都四部-凤凰仓</v>
      </c>
      <c r="G2912" s="1" t="str">
        <f t="shared" si="963"/>
        <v>卡卡杜企业店（视频号）</v>
      </c>
      <c r="H2912" s="1" t="str">
        <f t="shared" si="959"/>
        <v>正常订单</v>
      </c>
      <c r="I2912" s="1" t="str">
        <f t="shared" si="960"/>
        <v>已发货</v>
      </c>
      <c r="J2912" s="1" t="str">
        <f t="shared" si="966"/>
        <v>3</v>
      </c>
      <c r="K2912" s="1">
        <v>2</v>
      </c>
      <c r="L2912" s="1" t="s">
        <v>20</v>
      </c>
      <c r="M2912" s="1" t="str">
        <f>"浙江省 温州市 瑞安市 "</f>
        <v xml:space="preserve">浙江省 温州市 瑞安市 </v>
      </c>
      <c r="N2912" s="1" t="str">
        <f t="shared" si="950"/>
        <v>凡华云仓-城南圆通-微信视频号</v>
      </c>
      <c r="O2912" s="5" t="s">
        <v>2946</v>
      </c>
      <c r="P2912" s="6">
        <v>0.24</v>
      </c>
      <c r="Q2912" s="11">
        <v>2</v>
      </c>
      <c r="R2912" s="11"/>
      <c r="S2912" s="11"/>
      <c r="T2912" s="11"/>
      <c r="U2912" s="11">
        <f t="shared" si="955"/>
        <v>2</v>
      </c>
      <c r="W2912">
        <v>2.2000000000000002</v>
      </c>
      <c r="X2912" s="1" t="s">
        <v>20</v>
      </c>
    </row>
    <row r="2913" spans="1:24" x14ac:dyDescent="0.25">
      <c r="A2913" s="1" t="str">
        <f t="shared" si="957"/>
        <v>卡卡杜-凤凰仓</v>
      </c>
      <c r="B2913" s="1" t="str">
        <f>"CK20241025114"</f>
        <v>CK20241025114</v>
      </c>
      <c r="C2913" s="1" t="str">
        <f>"DD2024102545465"</f>
        <v>DD2024102545465</v>
      </c>
      <c r="D2913" s="1" t="str">
        <f>"CK2024102550430"</f>
        <v>CK2024102550430</v>
      </c>
      <c r="E2913" s="1" t="str">
        <f>"3723538669337710592"</f>
        <v>3723538669337710592</v>
      </c>
      <c r="F2913" s="1" t="str">
        <f t="shared" si="958"/>
        <v>花都四部-凤凰仓</v>
      </c>
      <c r="G2913" s="1" t="str">
        <f t="shared" si="963"/>
        <v>卡卡杜企业店（视频号）</v>
      </c>
      <c r="H2913" s="1" t="str">
        <f t="shared" si="959"/>
        <v>正常订单</v>
      </c>
      <c r="I2913" s="1" t="str">
        <f t="shared" si="960"/>
        <v>已发货</v>
      </c>
      <c r="J2913" s="1" t="str">
        <f t="shared" si="966"/>
        <v>3</v>
      </c>
      <c r="K2913" s="1">
        <v>2</v>
      </c>
      <c r="L2913" s="1" t="s">
        <v>187</v>
      </c>
      <c r="M2913" s="1" t="str">
        <f>"吉林省 通化市 东昌区 "</f>
        <v xml:space="preserve">吉林省 通化市 东昌区 </v>
      </c>
      <c r="N2913" s="1" t="str">
        <f t="shared" si="950"/>
        <v>凡华云仓-城南圆通-微信视频号</v>
      </c>
      <c r="O2913" s="5" t="s">
        <v>2947</v>
      </c>
      <c r="P2913" s="6">
        <v>0.24</v>
      </c>
      <c r="Q2913" s="11">
        <v>2</v>
      </c>
      <c r="R2913" s="11"/>
      <c r="S2913" s="11"/>
      <c r="T2913" s="11"/>
      <c r="U2913" s="11">
        <f t="shared" si="955"/>
        <v>2</v>
      </c>
      <c r="W2913">
        <v>2.2000000000000002</v>
      </c>
      <c r="X2913" s="1" t="s">
        <v>187</v>
      </c>
    </row>
    <row r="2914" spans="1:24" x14ac:dyDescent="0.25">
      <c r="A2914" s="1" t="str">
        <f t="shared" si="957"/>
        <v>卡卡杜-凤凰仓</v>
      </c>
      <c r="B2914" s="1" t="str">
        <f>"CK20241025194"</f>
        <v>CK20241025194</v>
      </c>
      <c r="C2914" s="1" t="str">
        <f>"DD2024102545758"</f>
        <v>DD2024102545758</v>
      </c>
      <c r="D2914" s="1" t="str">
        <f>"CK2024102550429"</f>
        <v>CK2024102550429</v>
      </c>
      <c r="E2914" s="1" t="str">
        <f>"3723538681627022336"</f>
        <v>3723538681627022336</v>
      </c>
      <c r="F2914" s="1" t="str">
        <f t="shared" si="958"/>
        <v>花都四部-凤凰仓</v>
      </c>
      <c r="G2914" s="1" t="str">
        <f t="shared" si="963"/>
        <v>卡卡杜企业店（视频号）</v>
      </c>
      <c r="H2914" s="1" t="str">
        <f t="shared" si="959"/>
        <v>正常订单</v>
      </c>
      <c r="I2914" s="1" t="str">
        <f t="shared" si="960"/>
        <v>已发货</v>
      </c>
      <c r="J2914" s="1" t="str">
        <f>"2"</f>
        <v>2</v>
      </c>
      <c r="K2914" s="1">
        <v>2</v>
      </c>
      <c r="L2914" s="1" t="s">
        <v>18</v>
      </c>
      <c r="M2914" s="1" t="str">
        <f>"广东省 深圳市 宝安区 "</f>
        <v xml:space="preserve">广东省 深圳市 宝安区 </v>
      </c>
      <c r="N2914" s="1" t="str">
        <f t="shared" si="950"/>
        <v>凡华云仓-城南圆通-微信视频号</v>
      </c>
      <c r="O2914" s="5" t="s">
        <v>2948</v>
      </c>
      <c r="P2914" s="6">
        <v>0.17</v>
      </c>
      <c r="Q2914" s="11">
        <v>2</v>
      </c>
      <c r="R2914" s="11"/>
      <c r="S2914" s="11"/>
      <c r="T2914" s="11"/>
      <c r="U2914" s="11">
        <f t="shared" si="955"/>
        <v>2</v>
      </c>
      <c r="W2914">
        <v>2.2000000000000002</v>
      </c>
      <c r="X2914" s="1" t="s">
        <v>18</v>
      </c>
    </row>
    <row r="2915" spans="1:24" x14ac:dyDescent="0.25">
      <c r="A2915" s="1" t="str">
        <f t="shared" si="957"/>
        <v>卡卡杜-凤凰仓</v>
      </c>
      <c r="B2915" s="1" t="str">
        <f>"CK20241025201"</f>
        <v>CK20241025201</v>
      </c>
      <c r="C2915" s="1" t="str">
        <f>"DD2024102545763"</f>
        <v>DD2024102545763</v>
      </c>
      <c r="D2915" s="1" t="str">
        <f>"CK2024102550428"</f>
        <v>CK2024102550428</v>
      </c>
      <c r="E2915" s="1" t="str">
        <f>"3723538666651518464"</f>
        <v>3723538666651518464</v>
      </c>
      <c r="F2915" s="1" t="str">
        <f t="shared" si="958"/>
        <v>花都四部-凤凰仓</v>
      </c>
      <c r="G2915" s="1" t="str">
        <f t="shared" si="963"/>
        <v>卡卡杜企业店（视频号）</v>
      </c>
      <c r="H2915" s="1" t="str">
        <f t="shared" si="959"/>
        <v>正常订单</v>
      </c>
      <c r="I2915" s="1" t="str">
        <f t="shared" si="960"/>
        <v>已发货</v>
      </c>
      <c r="J2915" s="1" t="str">
        <f>"2"</f>
        <v>2</v>
      </c>
      <c r="K2915" s="1">
        <v>2</v>
      </c>
      <c r="L2915" s="1" t="s">
        <v>109</v>
      </c>
      <c r="M2915" s="1" t="str">
        <f>"山西省 太原市 杏花岭区 "</f>
        <v xml:space="preserve">山西省 太原市 杏花岭区 </v>
      </c>
      <c r="N2915" s="1" t="str">
        <f t="shared" si="950"/>
        <v>凡华云仓-城南圆通-微信视频号</v>
      </c>
      <c r="O2915" s="5" t="s">
        <v>2949</v>
      </c>
      <c r="P2915" s="6">
        <v>0.17</v>
      </c>
      <c r="Q2915" s="11">
        <v>2</v>
      </c>
      <c r="R2915" s="11"/>
      <c r="S2915" s="11"/>
      <c r="T2915" s="11"/>
      <c r="U2915" s="11">
        <f t="shared" si="955"/>
        <v>2</v>
      </c>
      <c r="W2915">
        <v>2.2000000000000002</v>
      </c>
      <c r="X2915" s="1" t="s">
        <v>109</v>
      </c>
    </row>
    <row r="2916" spans="1:24" x14ac:dyDescent="0.25">
      <c r="A2916" s="1" t="str">
        <f t="shared" si="957"/>
        <v>卡卡杜-凤凰仓</v>
      </c>
      <c r="B2916" s="1" t="str">
        <f>"CK20241025158"</f>
        <v>CK20241025158</v>
      </c>
      <c r="C2916" s="1" t="str">
        <f>"DD2024102545515"</f>
        <v>DD2024102545515</v>
      </c>
      <c r="D2916" s="1" t="str">
        <f>"CK2024102550397"</f>
        <v>CK2024102550397</v>
      </c>
      <c r="E2916" s="1" t="str">
        <f>"6935423416876799101"</f>
        <v>6935423416876799101</v>
      </c>
      <c r="F2916" s="1" t="str">
        <f t="shared" si="958"/>
        <v>花都四部-凤凰仓</v>
      </c>
      <c r="G2916" s="1" t="str">
        <f t="shared" ref="G2916:G2938" si="967">"卡卡杜个人护理店（抖店）"</f>
        <v>卡卡杜个人护理店（抖店）</v>
      </c>
      <c r="H2916" s="1" t="str">
        <f t="shared" si="959"/>
        <v>正常订单</v>
      </c>
      <c r="I2916" s="1" t="str">
        <f t="shared" si="960"/>
        <v>已发货</v>
      </c>
      <c r="J2916" s="1" t="str">
        <f t="shared" ref="J2916:J2919" si="968">"3"</f>
        <v>3</v>
      </c>
      <c r="K2916" s="1">
        <v>2</v>
      </c>
      <c r="L2916" s="1" t="s">
        <v>44</v>
      </c>
      <c r="M2916" s="1" t="str">
        <f>"海南省 东方市 东方市 感城镇"</f>
        <v>海南省 东方市 东方市 感城镇</v>
      </c>
      <c r="N2916" s="1" t="str">
        <f t="shared" ref="N2916:N2938" si="969">"凡华云仓-城南圆通-抖音"</f>
        <v>凡华云仓-城南圆通-抖音</v>
      </c>
      <c r="O2916" s="5" t="s">
        <v>2950</v>
      </c>
      <c r="P2916" s="6">
        <v>0.35</v>
      </c>
      <c r="Q2916" s="11">
        <v>2.2999999999999998</v>
      </c>
      <c r="R2916" s="11"/>
      <c r="S2916" s="11"/>
      <c r="T2916" s="11"/>
      <c r="U2916" s="11">
        <f t="shared" si="955"/>
        <v>2.2999999999999998</v>
      </c>
      <c r="W2916">
        <v>2.5</v>
      </c>
      <c r="X2916" s="1" t="s">
        <v>44</v>
      </c>
    </row>
    <row r="2917" spans="1:24" x14ac:dyDescent="0.25">
      <c r="A2917" s="1" t="str">
        <f t="shared" si="957"/>
        <v>卡卡杜-凤凰仓</v>
      </c>
      <c r="B2917" s="1" t="str">
        <f>"CK20241025152"</f>
        <v>CK20241025152</v>
      </c>
      <c r="C2917" s="1" t="str">
        <f>"DD2024102545510"</f>
        <v>DD2024102545510</v>
      </c>
      <c r="D2917" s="1" t="str">
        <f>"CK2024102550396"</f>
        <v>CK2024102550396</v>
      </c>
      <c r="E2917" s="1" t="str">
        <f>"6935439481639736739"</f>
        <v>6935439481639736739</v>
      </c>
      <c r="F2917" s="1" t="str">
        <f t="shared" si="958"/>
        <v>花都四部-凤凰仓</v>
      </c>
      <c r="G2917" s="1" t="str">
        <f t="shared" si="967"/>
        <v>卡卡杜个人护理店（抖店）</v>
      </c>
      <c r="H2917" s="1" t="str">
        <f t="shared" si="959"/>
        <v>正常订单</v>
      </c>
      <c r="I2917" s="1" t="str">
        <f t="shared" si="960"/>
        <v>已发货</v>
      </c>
      <c r="J2917" s="1" t="str">
        <f t="shared" si="968"/>
        <v>3</v>
      </c>
      <c r="K2917" s="1">
        <v>2</v>
      </c>
      <c r="L2917" s="1" t="s">
        <v>80</v>
      </c>
      <c r="M2917" s="1" t="str">
        <f>"河南省 安阳市 林州市 开元街道"</f>
        <v>河南省 安阳市 林州市 开元街道</v>
      </c>
      <c r="N2917" s="1" t="str">
        <f t="shared" si="969"/>
        <v>凡华云仓-城南圆通-抖音</v>
      </c>
      <c r="O2917" s="5" t="s">
        <v>2951</v>
      </c>
      <c r="P2917" s="6">
        <v>0.35</v>
      </c>
      <c r="Q2917" s="11">
        <v>2.2999999999999998</v>
      </c>
      <c r="R2917" s="11"/>
      <c r="S2917" s="11"/>
      <c r="T2917" s="11"/>
      <c r="U2917" s="11">
        <f t="shared" si="955"/>
        <v>2.2999999999999998</v>
      </c>
      <c r="W2917">
        <v>2.5</v>
      </c>
      <c r="X2917" s="1" t="s">
        <v>80</v>
      </c>
    </row>
    <row r="2918" spans="1:24" x14ac:dyDescent="0.25">
      <c r="A2918" s="1" t="str">
        <f t="shared" si="957"/>
        <v>卡卡杜-凤凰仓</v>
      </c>
      <c r="B2918" s="1" t="str">
        <f>"CK20241025155"</f>
        <v>CK20241025155</v>
      </c>
      <c r="C2918" s="1" t="str">
        <f>"DD2024102545512"</f>
        <v>DD2024102545512</v>
      </c>
      <c r="D2918" s="1" t="str">
        <f>"CK2024102550395"</f>
        <v>CK2024102550395</v>
      </c>
      <c r="E2918" s="1" t="str">
        <f>"6935448198638343860"</f>
        <v>6935448198638343860</v>
      </c>
      <c r="F2918" s="1" t="str">
        <f t="shared" si="958"/>
        <v>花都四部-凤凰仓</v>
      </c>
      <c r="G2918" s="1" t="str">
        <f t="shared" si="967"/>
        <v>卡卡杜个人护理店（抖店）</v>
      </c>
      <c r="H2918" s="1" t="str">
        <f t="shared" si="959"/>
        <v>正常订单</v>
      </c>
      <c r="I2918" s="1" t="str">
        <f t="shared" si="960"/>
        <v>已发货</v>
      </c>
      <c r="J2918" s="1" t="str">
        <f t="shared" si="968"/>
        <v>3</v>
      </c>
      <c r="K2918" s="1">
        <v>2</v>
      </c>
      <c r="L2918" s="1" t="s">
        <v>44</v>
      </c>
      <c r="M2918" s="1" t="str">
        <f>"海南省 琼海市 琼海市 嘉积镇"</f>
        <v>海南省 琼海市 琼海市 嘉积镇</v>
      </c>
      <c r="N2918" s="1" t="str">
        <f t="shared" si="969"/>
        <v>凡华云仓-城南圆通-抖音</v>
      </c>
      <c r="O2918" s="5" t="s">
        <v>2952</v>
      </c>
      <c r="P2918" s="6">
        <v>0.35</v>
      </c>
      <c r="Q2918" s="11">
        <v>2.2999999999999998</v>
      </c>
      <c r="R2918" s="11"/>
      <c r="S2918" s="11"/>
      <c r="T2918" s="11"/>
      <c r="U2918" s="11">
        <f t="shared" si="955"/>
        <v>2.2999999999999998</v>
      </c>
      <c r="W2918">
        <v>2.5</v>
      </c>
      <c r="X2918" s="1" t="s">
        <v>44</v>
      </c>
    </row>
    <row r="2919" spans="1:24" x14ac:dyDescent="0.25">
      <c r="A2919" s="1" t="str">
        <f t="shared" si="957"/>
        <v>卡卡杜-凤凰仓</v>
      </c>
      <c r="B2919" s="1" t="str">
        <f>"CK20241025154"</f>
        <v>CK20241025154</v>
      </c>
      <c r="C2919" s="1" t="str">
        <f>"DD2024102545511"</f>
        <v>DD2024102545511</v>
      </c>
      <c r="D2919" s="1" t="str">
        <f>"CK2024102550394"</f>
        <v>CK2024102550394</v>
      </c>
      <c r="E2919" s="1" t="str">
        <f>"6935443461561259160"</f>
        <v>6935443461561259160</v>
      </c>
      <c r="F2919" s="1" t="str">
        <f t="shared" si="958"/>
        <v>花都四部-凤凰仓</v>
      </c>
      <c r="G2919" s="1" t="str">
        <f t="shared" si="967"/>
        <v>卡卡杜个人护理店（抖店）</v>
      </c>
      <c r="H2919" s="1" t="str">
        <f t="shared" si="959"/>
        <v>正常订单</v>
      </c>
      <c r="I2919" s="1" t="str">
        <f t="shared" si="960"/>
        <v>已发货</v>
      </c>
      <c r="J2919" s="1" t="str">
        <f t="shared" si="968"/>
        <v>3</v>
      </c>
      <c r="K2919" s="1">
        <v>2</v>
      </c>
      <c r="L2919" s="1" t="s">
        <v>18</v>
      </c>
      <c r="M2919" s="1" t="str">
        <f>"广东省 广州市 白云区 石门街道"</f>
        <v>广东省 广州市 白云区 石门街道</v>
      </c>
      <c r="N2919" s="1" t="str">
        <f t="shared" si="969"/>
        <v>凡华云仓-城南圆通-抖音</v>
      </c>
      <c r="O2919" s="5" t="s">
        <v>2953</v>
      </c>
      <c r="P2919" s="6">
        <v>0.35</v>
      </c>
      <c r="Q2919" s="11">
        <v>2.2999999999999998</v>
      </c>
      <c r="R2919" s="11"/>
      <c r="S2919" s="11"/>
      <c r="T2919" s="11"/>
      <c r="U2919" s="11">
        <f t="shared" si="955"/>
        <v>2.2999999999999998</v>
      </c>
      <c r="W2919">
        <v>2.5</v>
      </c>
      <c r="X2919" s="1" t="s">
        <v>18</v>
      </c>
    </row>
    <row r="2920" spans="1:24" x14ac:dyDescent="0.25">
      <c r="A2920" s="1" t="str">
        <f t="shared" si="957"/>
        <v>卡卡杜-凤凰仓</v>
      </c>
      <c r="B2920" s="1" t="str">
        <f>"CK20241025179"</f>
        <v>CK20241025179</v>
      </c>
      <c r="C2920" s="1" t="str">
        <f>"DD2024102545664"</f>
        <v>DD2024102545664</v>
      </c>
      <c r="D2920" s="1" t="str">
        <f>"CK2024102550393"</f>
        <v>CK2024102550393</v>
      </c>
      <c r="E2920" s="1" t="str">
        <f>"6935428044267198142"</f>
        <v>6935428044267198142</v>
      </c>
      <c r="F2920" s="1" t="str">
        <f t="shared" si="958"/>
        <v>花都四部-凤凰仓</v>
      </c>
      <c r="G2920" s="1" t="str">
        <f t="shared" si="967"/>
        <v>卡卡杜个人护理店（抖店）</v>
      </c>
      <c r="H2920" s="1" t="str">
        <f t="shared" si="959"/>
        <v>正常订单</v>
      </c>
      <c r="I2920" s="1" t="str">
        <f t="shared" si="960"/>
        <v>已发货</v>
      </c>
      <c r="J2920" s="1" t="str">
        <f>"5"</f>
        <v>5</v>
      </c>
      <c r="K2920" s="1">
        <v>2</v>
      </c>
      <c r="L2920" s="1" t="s">
        <v>20</v>
      </c>
      <c r="M2920" s="1" t="str">
        <f>"浙江省 杭州市 萧山区 新塘街道"</f>
        <v>浙江省 杭州市 萧山区 新塘街道</v>
      </c>
      <c r="N2920" s="1" t="str">
        <f t="shared" si="969"/>
        <v>凡华云仓-城南圆通-抖音</v>
      </c>
      <c r="O2920" s="5" t="s">
        <v>2954</v>
      </c>
      <c r="P2920" s="6">
        <v>0.59</v>
      </c>
      <c r="Q2920" s="11">
        <f>CEILING(P2920-0.5,0.1)*10*0.15+2.3</f>
        <v>2.4499999999999997</v>
      </c>
      <c r="R2920" s="11"/>
      <c r="S2920" s="11"/>
      <c r="T2920" s="11"/>
      <c r="U2920" s="11">
        <f t="shared" si="955"/>
        <v>2.4499999999999997</v>
      </c>
      <c r="V2920" t="s">
        <v>15</v>
      </c>
      <c r="W2920">
        <v>2.4500000000000002</v>
      </c>
      <c r="X2920" s="1" t="s">
        <v>20</v>
      </c>
    </row>
    <row r="2921" spans="1:24" x14ac:dyDescent="0.25">
      <c r="A2921" s="1" t="str">
        <f t="shared" si="957"/>
        <v>卡卡杜-凤凰仓</v>
      </c>
      <c r="B2921" s="1" t="str">
        <f>"CK2024102556"</f>
        <v>CK2024102556</v>
      </c>
      <c r="C2921" s="1" t="str">
        <f>"DD2024102545400"</f>
        <v>DD2024102545400</v>
      </c>
      <c r="D2921" s="1" t="str">
        <f>"CK2024102550392"</f>
        <v>CK2024102550392</v>
      </c>
      <c r="E2921" s="1" t="str">
        <f>"6935451432755401878"</f>
        <v>6935451432755401878</v>
      </c>
      <c r="F2921" s="1" t="str">
        <f t="shared" si="958"/>
        <v>花都四部-凤凰仓</v>
      </c>
      <c r="G2921" s="1" t="str">
        <f t="shared" si="967"/>
        <v>卡卡杜个人护理店（抖店）</v>
      </c>
      <c r="H2921" s="1" t="str">
        <f t="shared" si="959"/>
        <v>正常订单</v>
      </c>
      <c r="I2921" s="1" t="str">
        <f t="shared" si="960"/>
        <v>已发货</v>
      </c>
      <c r="J2921" s="1" t="str">
        <f t="shared" ref="J2921:J2925" si="970">"3"</f>
        <v>3</v>
      </c>
      <c r="K2921" s="1">
        <v>2</v>
      </c>
      <c r="L2921" s="1" t="s">
        <v>13</v>
      </c>
      <c r="M2921" s="1" t="str">
        <f>"江苏省 徐州市 鼓楼区 金山桥街道"</f>
        <v>江苏省 徐州市 鼓楼区 金山桥街道</v>
      </c>
      <c r="N2921" s="1" t="str">
        <f t="shared" si="969"/>
        <v>凡华云仓-城南圆通-抖音</v>
      </c>
      <c r="O2921" s="5" t="s">
        <v>2955</v>
      </c>
      <c r="P2921" s="6">
        <v>0.35</v>
      </c>
      <c r="Q2921" s="11">
        <v>2.2999999999999998</v>
      </c>
      <c r="R2921" s="11"/>
      <c r="S2921" s="11"/>
      <c r="T2921" s="11"/>
      <c r="U2921" s="11">
        <f t="shared" si="955"/>
        <v>2.2999999999999998</v>
      </c>
      <c r="W2921">
        <v>2.5</v>
      </c>
      <c r="X2921" s="1" t="s">
        <v>13</v>
      </c>
    </row>
    <row r="2922" spans="1:24" x14ac:dyDescent="0.25">
      <c r="A2922" s="1" t="str">
        <f t="shared" si="957"/>
        <v>卡卡杜-凤凰仓</v>
      </c>
      <c r="B2922" s="1" t="str">
        <f>"CK20241025137"</f>
        <v>CK20241025137</v>
      </c>
      <c r="C2922" s="1" t="str">
        <f>"DD2024102545491"</f>
        <v>DD2024102545491</v>
      </c>
      <c r="D2922" s="1" t="str">
        <f>"CK2024102550391"</f>
        <v>CK2024102550391</v>
      </c>
      <c r="E2922" s="1" t="str">
        <f>"6935435397990913089"</f>
        <v>6935435397990913089</v>
      </c>
      <c r="F2922" s="1" t="str">
        <f t="shared" si="958"/>
        <v>花都四部-凤凰仓</v>
      </c>
      <c r="G2922" s="1" t="str">
        <f t="shared" si="967"/>
        <v>卡卡杜个人护理店（抖店）</v>
      </c>
      <c r="H2922" s="1" t="str">
        <f t="shared" si="959"/>
        <v>正常订单</v>
      </c>
      <c r="I2922" s="1" t="str">
        <f t="shared" si="960"/>
        <v>已发货</v>
      </c>
      <c r="J2922" s="1" t="str">
        <f t="shared" si="970"/>
        <v>3</v>
      </c>
      <c r="K2922" s="1">
        <v>2</v>
      </c>
      <c r="L2922" s="1" t="s">
        <v>20</v>
      </c>
      <c r="M2922" s="1" t="str">
        <f>"浙江省 温州市 瓯海区 郭溪街道"</f>
        <v>浙江省 温州市 瓯海区 郭溪街道</v>
      </c>
      <c r="N2922" s="1" t="str">
        <f t="shared" si="969"/>
        <v>凡华云仓-城南圆通-抖音</v>
      </c>
      <c r="O2922" s="5" t="s">
        <v>2956</v>
      </c>
      <c r="P2922" s="6">
        <v>0.35</v>
      </c>
      <c r="Q2922" s="11">
        <v>2.2999999999999998</v>
      </c>
      <c r="R2922" s="11"/>
      <c r="S2922" s="11"/>
      <c r="T2922" s="11"/>
      <c r="U2922" s="11">
        <f t="shared" si="955"/>
        <v>2.2999999999999998</v>
      </c>
      <c r="W2922">
        <v>2.5</v>
      </c>
      <c r="X2922" s="1" t="s">
        <v>20</v>
      </c>
    </row>
    <row r="2923" spans="1:24" x14ac:dyDescent="0.25">
      <c r="A2923" s="1" t="str">
        <f t="shared" si="957"/>
        <v>卡卡杜-凤凰仓</v>
      </c>
      <c r="B2923" s="1" t="str">
        <f>"CK2024102560"</f>
        <v>CK2024102560</v>
      </c>
      <c r="C2923" s="1" t="str">
        <f>"DD2024102545398"</f>
        <v>DD2024102545398</v>
      </c>
      <c r="D2923" s="1" t="str">
        <f>"CK2024102550390"</f>
        <v>CK2024102550390</v>
      </c>
      <c r="E2923" s="1" t="str">
        <f>"6935440544107664821"</f>
        <v>6935440544107664821</v>
      </c>
      <c r="F2923" s="1" t="str">
        <f t="shared" si="958"/>
        <v>花都四部-凤凰仓</v>
      </c>
      <c r="G2923" s="1" t="str">
        <f t="shared" si="967"/>
        <v>卡卡杜个人护理店（抖店）</v>
      </c>
      <c r="H2923" s="1" t="str">
        <f t="shared" si="959"/>
        <v>正常订单</v>
      </c>
      <c r="I2923" s="1" t="str">
        <f t="shared" si="960"/>
        <v>已发货</v>
      </c>
      <c r="J2923" s="1" t="str">
        <f t="shared" si="970"/>
        <v>3</v>
      </c>
      <c r="K2923" s="1">
        <v>2</v>
      </c>
      <c r="L2923" s="1" t="s">
        <v>22</v>
      </c>
      <c r="M2923" s="1" t="str">
        <f>"江西省 南昌市 青山湖区 蛟桥镇"</f>
        <v>江西省 南昌市 青山湖区 蛟桥镇</v>
      </c>
      <c r="N2923" s="1" t="str">
        <f t="shared" si="969"/>
        <v>凡华云仓-城南圆通-抖音</v>
      </c>
      <c r="O2923" s="5" t="s">
        <v>2957</v>
      </c>
      <c r="P2923" s="6">
        <v>0.35</v>
      </c>
      <c r="Q2923" s="11">
        <v>2.2999999999999998</v>
      </c>
      <c r="R2923" s="11"/>
      <c r="S2923" s="11"/>
      <c r="T2923" s="11"/>
      <c r="U2923" s="11">
        <f t="shared" si="955"/>
        <v>2.2999999999999998</v>
      </c>
      <c r="W2923">
        <v>2.5</v>
      </c>
      <c r="X2923" s="1" t="s">
        <v>22</v>
      </c>
    </row>
    <row r="2924" spans="1:24" x14ac:dyDescent="0.25">
      <c r="A2924" s="1" t="str">
        <f t="shared" si="957"/>
        <v>卡卡杜-凤凰仓</v>
      </c>
      <c r="B2924" s="1" t="str">
        <f>"CK2024102561"</f>
        <v>CK2024102561</v>
      </c>
      <c r="C2924" s="1" t="str">
        <f>"DD2024102545399"</f>
        <v>DD2024102545399</v>
      </c>
      <c r="D2924" s="1" t="str">
        <f>"CK2024102550389"</f>
        <v>CK2024102550389</v>
      </c>
      <c r="E2924" s="1" t="str">
        <f>"6935449223768053666"</f>
        <v>6935449223768053666</v>
      </c>
      <c r="F2924" s="1" t="str">
        <f t="shared" si="958"/>
        <v>花都四部-凤凰仓</v>
      </c>
      <c r="G2924" s="1" t="str">
        <f t="shared" si="967"/>
        <v>卡卡杜个人护理店（抖店）</v>
      </c>
      <c r="H2924" s="1" t="str">
        <f t="shared" si="959"/>
        <v>正常订单</v>
      </c>
      <c r="I2924" s="1" t="str">
        <f t="shared" si="960"/>
        <v>已发货</v>
      </c>
      <c r="J2924" s="1" t="str">
        <f t="shared" si="970"/>
        <v>3</v>
      </c>
      <c r="K2924" s="1">
        <v>2</v>
      </c>
      <c r="L2924" s="1" t="s">
        <v>30</v>
      </c>
      <c r="M2924" s="1" t="str">
        <f>"山东省 济宁市 鱼台县 王鲁镇"</f>
        <v>山东省 济宁市 鱼台县 王鲁镇</v>
      </c>
      <c r="N2924" s="1" t="str">
        <f t="shared" si="969"/>
        <v>凡华云仓-城南圆通-抖音</v>
      </c>
      <c r="O2924" s="5" t="s">
        <v>2958</v>
      </c>
      <c r="P2924" s="6">
        <v>0.35</v>
      </c>
      <c r="Q2924" s="11">
        <v>2.2999999999999998</v>
      </c>
      <c r="R2924" s="11"/>
      <c r="S2924" s="11"/>
      <c r="T2924" s="11"/>
      <c r="U2924" s="11">
        <f t="shared" si="955"/>
        <v>2.2999999999999998</v>
      </c>
      <c r="W2924">
        <v>2.5</v>
      </c>
      <c r="X2924" s="1" t="s">
        <v>30</v>
      </c>
    </row>
    <row r="2925" spans="1:24" x14ac:dyDescent="0.25">
      <c r="A2925" s="1" t="str">
        <f t="shared" si="957"/>
        <v>卡卡杜-凤凰仓</v>
      </c>
      <c r="B2925" s="1" t="str">
        <f>"CK2024102562"</f>
        <v>CK2024102562</v>
      </c>
      <c r="C2925" s="1" t="str">
        <f>"DD2024102545406"</f>
        <v>DD2024102545406</v>
      </c>
      <c r="D2925" s="1" t="str">
        <f>"CK2024102550388"</f>
        <v>CK2024102550388</v>
      </c>
      <c r="E2925" s="1" t="str">
        <f>"6935433697657558050"</f>
        <v>6935433697657558050</v>
      </c>
      <c r="F2925" s="1" t="str">
        <f t="shared" si="958"/>
        <v>花都四部-凤凰仓</v>
      </c>
      <c r="G2925" s="1" t="str">
        <f t="shared" si="967"/>
        <v>卡卡杜个人护理店（抖店）</v>
      </c>
      <c r="H2925" s="1" t="str">
        <f t="shared" si="959"/>
        <v>正常订单</v>
      </c>
      <c r="I2925" s="1" t="str">
        <f t="shared" si="960"/>
        <v>已发货</v>
      </c>
      <c r="J2925" s="1" t="str">
        <f t="shared" si="970"/>
        <v>3</v>
      </c>
      <c r="K2925" s="1">
        <v>2</v>
      </c>
      <c r="L2925" s="1" t="s">
        <v>27</v>
      </c>
      <c r="M2925" s="1" t="str">
        <f>"贵州省 黔东南苗族侗族自治州 黎平县 德化乡"</f>
        <v>贵州省 黔东南苗族侗族自治州 黎平县 德化乡</v>
      </c>
      <c r="N2925" s="1" t="str">
        <f t="shared" si="969"/>
        <v>凡华云仓-城南圆通-抖音</v>
      </c>
      <c r="O2925" s="5" t="s">
        <v>2959</v>
      </c>
      <c r="P2925" s="6">
        <v>0.35</v>
      </c>
      <c r="Q2925" s="11">
        <v>2.2999999999999998</v>
      </c>
      <c r="R2925" s="11"/>
      <c r="S2925" s="11"/>
      <c r="T2925" s="11"/>
      <c r="U2925" s="11">
        <f t="shared" si="955"/>
        <v>2.2999999999999998</v>
      </c>
      <c r="W2925">
        <v>2.5</v>
      </c>
      <c r="X2925" s="1" t="s">
        <v>27</v>
      </c>
    </row>
    <row r="2926" spans="1:24" x14ac:dyDescent="0.25">
      <c r="A2926" s="1" t="str">
        <f t="shared" si="957"/>
        <v>卡卡杜-凤凰仓</v>
      </c>
      <c r="B2926" s="1" t="str">
        <f>"CK20241025172"</f>
        <v>CK20241025172</v>
      </c>
      <c r="C2926" s="1" t="str">
        <f>"DD2024102545651"</f>
        <v>DD2024102545651</v>
      </c>
      <c r="D2926" s="1" t="str">
        <f>"CK2024102550387"</f>
        <v>CK2024102550387</v>
      </c>
      <c r="E2926" s="1" t="str">
        <f>"6935459725867358067"</f>
        <v>6935459725867358067</v>
      </c>
      <c r="F2926" s="1" t="str">
        <f t="shared" si="958"/>
        <v>花都四部-凤凰仓</v>
      </c>
      <c r="G2926" s="1" t="str">
        <f t="shared" si="967"/>
        <v>卡卡杜个人护理店（抖店）</v>
      </c>
      <c r="H2926" s="1" t="str">
        <f t="shared" si="959"/>
        <v>正常订单</v>
      </c>
      <c r="I2926" s="1" t="str">
        <f t="shared" si="960"/>
        <v>已发货</v>
      </c>
      <c r="J2926" s="1" t="str">
        <f>"5"</f>
        <v>5</v>
      </c>
      <c r="K2926" s="1">
        <v>2</v>
      </c>
      <c r="L2926" s="1" t="s">
        <v>18</v>
      </c>
      <c r="M2926" s="1" t="str">
        <f>"广东省 惠州市 惠阳区 大亚湾澳头街道"</f>
        <v>广东省 惠州市 惠阳区 大亚湾澳头街道</v>
      </c>
      <c r="N2926" s="1" t="str">
        <f t="shared" si="969"/>
        <v>凡华云仓-城南圆通-抖音</v>
      </c>
      <c r="O2926" s="5" t="s">
        <v>2960</v>
      </c>
      <c r="P2926" s="6">
        <v>0.59</v>
      </c>
      <c r="Q2926" s="11">
        <f>CEILING(P2926-0.5,0.1)*10*0.15+2.3</f>
        <v>2.4499999999999997</v>
      </c>
      <c r="R2926" s="11"/>
      <c r="S2926" s="11"/>
      <c r="T2926" s="11"/>
      <c r="U2926" s="11">
        <f t="shared" si="955"/>
        <v>2.4499999999999997</v>
      </c>
      <c r="V2926" t="s">
        <v>15</v>
      </c>
      <c r="W2926">
        <v>2.4500000000000002</v>
      </c>
      <c r="X2926" s="1" t="s">
        <v>18</v>
      </c>
    </row>
    <row r="2927" spans="1:24" x14ac:dyDescent="0.25">
      <c r="A2927" s="1" t="str">
        <f t="shared" si="957"/>
        <v>卡卡杜-凤凰仓</v>
      </c>
      <c r="B2927" s="1" t="str">
        <f>"CK2024102566"</f>
        <v>CK2024102566</v>
      </c>
      <c r="C2927" s="1" t="str">
        <f>"DD2024102545409"</f>
        <v>DD2024102545409</v>
      </c>
      <c r="D2927" s="1" t="str">
        <f>"CK2024102550386"</f>
        <v>CK2024102550386</v>
      </c>
      <c r="E2927" s="1" t="str">
        <f>"6935437789158446186"</f>
        <v>6935437789158446186</v>
      </c>
      <c r="F2927" s="1" t="str">
        <f t="shared" si="958"/>
        <v>花都四部-凤凰仓</v>
      </c>
      <c r="G2927" s="1" t="str">
        <f t="shared" si="967"/>
        <v>卡卡杜个人护理店（抖店）</v>
      </c>
      <c r="H2927" s="1" t="str">
        <f t="shared" si="959"/>
        <v>正常订单</v>
      </c>
      <c r="I2927" s="1" t="str">
        <f t="shared" si="960"/>
        <v>已发货</v>
      </c>
      <c r="J2927" s="1" t="str">
        <f t="shared" ref="J2927:J2937" si="971">"3"</f>
        <v>3</v>
      </c>
      <c r="K2927" s="1">
        <v>2</v>
      </c>
      <c r="L2927" s="1" t="s">
        <v>36</v>
      </c>
      <c r="M2927" s="1" t="str">
        <f>"安徽省 合肥市 瑶海区 城东街道"</f>
        <v>安徽省 合肥市 瑶海区 城东街道</v>
      </c>
      <c r="N2927" s="1" t="str">
        <f t="shared" si="969"/>
        <v>凡华云仓-城南圆通-抖音</v>
      </c>
      <c r="O2927" s="5" t="s">
        <v>2961</v>
      </c>
      <c r="P2927" s="6">
        <v>0.35</v>
      </c>
      <c r="Q2927" s="11">
        <v>2.2999999999999998</v>
      </c>
      <c r="R2927" s="11"/>
      <c r="S2927" s="11"/>
      <c r="T2927" s="11"/>
      <c r="U2927" s="11">
        <f t="shared" si="955"/>
        <v>2.2999999999999998</v>
      </c>
      <c r="W2927">
        <v>2.5</v>
      </c>
      <c r="X2927" s="1" t="s">
        <v>36</v>
      </c>
    </row>
    <row r="2928" spans="1:24" x14ac:dyDescent="0.25">
      <c r="A2928" s="1" t="str">
        <f t="shared" si="957"/>
        <v>卡卡杜-凤凰仓</v>
      </c>
      <c r="B2928" s="1" t="str">
        <f>"CK2024102568"</f>
        <v>CK2024102568</v>
      </c>
      <c r="C2928" s="1" t="str">
        <f>"DD2024102545413"</f>
        <v>DD2024102545413</v>
      </c>
      <c r="D2928" s="1" t="str">
        <f>"CK2024102550385"</f>
        <v>CK2024102550385</v>
      </c>
      <c r="E2928" s="1" t="str">
        <f>"6935451091357537995"</f>
        <v>6935451091357537995</v>
      </c>
      <c r="F2928" s="1" t="str">
        <f t="shared" si="958"/>
        <v>花都四部-凤凰仓</v>
      </c>
      <c r="G2928" s="1" t="str">
        <f t="shared" si="967"/>
        <v>卡卡杜个人护理店（抖店）</v>
      </c>
      <c r="H2928" s="1" t="str">
        <f t="shared" si="959"/>
        <v>正常订单</v>
      </c>
      <c r="I2928" s="1" t="str">
        <f t="shared" si="960"/>
        <v>已发货</v>
      </c>
      <c r="J2928" s="1" t="str">
        <f t="shared" si="971"/>
        <v>3</v>
      </c>
      <c r="K2928" s="1">
        <v>2</v>
      </c>
      <c r="L2928" s="1" t="s">
        <v>18</v>
      </c>
      <c r="M2928" s="1" t="str">
        <f>"广东省 广州市 白云区 同德街道"</f>
        <v>广东省 广州市 白云区 同德街道</v>
      </c>
      <c r="N2928" s="1" t="str">
        <f t="shared" si="969"/>
        <v>凡华云仓-城南圆通-抖音</v>
      </c>
      <c r="O2928" s="5" t="s">
        <v>2962</v>
      </c>
      <c r="P2928" s="6">
        <v>0.35</v>
      </c>
      <c r="Q2928" s="11">
        <v>2.2999999999999998</v>
      </c>
      <c r="R2928" s="11"/>
      <c r="S2928" s="11"/>
      <c r="T2928" s="11"/>
      <c r="U2928" s="11">
        <f t="shared" si="955"/>
        <v>2.2999999999999998</v>
      </c>
      <c r="W2928">
        <v>2.5</v>
      </c>
      <c r="X2928" s="1" t="s">
        <v>18</v>
      </c>
    </row>
    <row r="2929" spans="1:24" x14ac:dyDescent="0.25">
      <c r="A2929" s="1" t="str">
        <f t="shared" si="957"/>
        <v>卡卡杜-凤凰仓</v>
      </c>
      <c r="B2929" s="1" t="str">
        <f>"CK20241025138"</f>
        <v>CK20241025138</v>
      </c>
      <c r="C2929" s="1" t="str">
        <f>"DD2024102545490"</f>
        <v>DD2024102545490</v>
      </c>
      <c r="D2929" s="1" t="str">
        <f>"CK2024102550384"</f>
        <v>CK2024102550384</v>
      </c>
      <c r="E2929" s="1" t="str">
        <f>"6935439747549501042"</f>
        <v>6935439747549501042</v>
      </c>
      <c r="F2929" s="1" t="str">
        <f t="shared" si="958"/>
        <v>花都四部-凤凰仓</v>
      </c>
      <c r="G2929" s="1" t="str">
        <f t="shared" si="967"/>
        <v>卡卡杜个人护理店（抖店）</v>
      </c>
      <c r="H2929" s="1" t="str">
        <f t="shared" si="959"/>
        <v>正常订单</v>
      </c>
      <c r="I2929" s="1" t="str">
        <f t="shared" si="960"/>
        <v>已发货</v>
      </c>
      <c r="J2929" s="1" t="str">
        <f t="shared" si="971"/>
        <v>3</v>
      </c>
      <c r="K2929" s="1">
        <v>2</v>
      </c>
      <c r="L2929" s="1" t="s">
        <v>80</v>
      </c>
      <c r="M2929" s="1" t="str">
        <f>"河南省 商丘市 夏邑县 业庙乡"</f>
        <v>河南省 商丘市 夏邑县 业庙乡</v>
      </c>
      <c r="N2929" s="1" t="str">
        <f t="shared" si="969"/>
        <v>凡华云仓-城南圆通-抖音</v>
      </c>
      <c r="O2929" s="5" t="s">
        <v>2963</v>
      </c>
      <c r="P2929" s="6">
        <v>0.35</v>
      </c>
      <c r="Q2929" s="11">
        <v>2.2999999999999998</v>
      </c>
      <c r="R2929" s="11"/>
      <c r="S2929" s="11"/>
      <c r="T2929" s="11"/>
      <c r="U2929" s="11">
        <f t="shared" si="955"/>
        <v>2.2999999999999998</v>
      </c>
      <c r="W2929">
        <v>2.5</v>
      </c>
      <c r="X2929" s="1" t="s">
        <v>80</v>
      </c>
    </row>
    <row r="2930" spans="1:24" x14ac:dyDescent="0.25">
      <c r="A2930" s="1" t="str">
        <f t="shared" si="957"/>
        <v>卡卡杜-凤凰仓</v>
      </c>
      <c r="B2930" s="1" t="str">
        <f>"CK2024102571"</f>
        <v>CK2024102571</v>
      </c>
      <c r="C2930" s="1" t="str">
        <f>"DD2024102545416"</f>
        <v>DD2024102545416</v>
      </c>
      <c r="D2930" s="1" t="str">
        <f>"CK2024102550383"</f>
        <v>CK2024102550383</v>
      </c>
      <c r="E2930" s="1" t="str">
        <f>"6935426426206098846"</f>
        <v>6935426426206098846</v>
      </c>
      <c r="F2930" s="1" t="str">
        <f t="shared" si="958"/>
        <v>花都四部-凤凰仓</v>
      </c>
      <c r="G2930" s="1" t="str">
        <f t="shared" si="967"/>
        <v>卡卡杜个人护理店（抖店）</v>
      </c>
      <c r="H2930" s="1" t="str">
        <f t="shared" si="959"/>
        <v>正常订单</v>
      </c>
      <c r="I2930" s="1" t="str">
        <f t="shared" si="960"/>
        <v>已发货</v>
      </c>
      <c r="J2930" s="1" t="str">
        <f t="shared" si="971"/>
        <v>3</v>
      </c>
      <c r="K2930" s="1">
        <v>2</v>
      </c>
      <c r="L2930" s="1" t="s">
        <v>24</v>
      </c>
      <c r="M2930" s="1" t="str">
        <f>"福建省 福州市 晋安区 鼓山镇"</f>
        <v>福建省 福州市 晋安区 鼓山镇</v>
      </c>
      <c r="N2930" s="1" t="str">
        <f t="shared" si="969"/>
        <v>凡华云仓-城南圆通-抖音</v>
      </c>
      <c r="O2930" s="5" t="s">
        <v>2964</v>
      </c>
      <c r="P2930" s="6">
        <v>0.35</v>
      </c>
      <c r="Q2930" s="11">
        <v>2.2999999999999998</v>
      </c>
      <c r="R2930" s="11"/>
      <c r="S2930" s="11"/>
      <c r="T2930" s="11"/>
      <c r="U2930" s="11">
        <f t="shared" si="955"/>
        <v>2.2999999999999998</v>
      </c>
      <c r="W2930">
        <v>2.5</v>
      </c>
      <c r="X2930" s="1" t="s">
        <v>24</v>
      </c>
    </row>
    <row r="2931" spans="1:24" x14ac:dyDescent="0.25">
      <c r="A2931" s="1" t="str">
        <f t="shared" si="957"/>
        <v>卡卡杜-凤凰仓</v>
      </c>
      <c r="B2931" s="1" t="str">
        <f>"CK20241025127"</f>
        <v>CK20241025127</v>
      </c>
      <c r="C2931" s="1" t="str">
        <f>"DD2024102545480"</f>
        <v>DD2024102545480</v>
      </c>
      <c r="D2931" s="1" t="str">
        <f>"CK2024102550382"</f>
        <v>CK2024102550382</v>
      </c>
      <c r="E2931" s="1" t="str">
        <f>"6935428485753673475"</f>
        <v>6935428485753673475</v>
      </c>
      <c r="F2931" s="1" t="str">
        <f t="shared" si="958"/>
        <v>花都四部-凤凰仓</v>
      </c>
      <c r="G2931" s="1" t="str">
        <f t="shared" si="967"/>
        <v>卡卡杜个人护理店（抖店）</v>
      </c>
      <c r="H2931" s="1" t="str">
        <f t="shared" si="959"/>
        <v>正常订单</v>
      </c>
      <c r="I2931" s="1" t="str">
        <f t="shared" si="960"/>
        <v>已发货</v>
      </c>
      <c r="J2931" s="1" t="str">
        <f t="shared" si="971"/>
        <v>3</v>
      </c>
      <c r="K2931" s="1">
        <v>2</v>
      </c>
      <c r="L2931" s="1" t="s">
        <v>36</v>
      </c>
      <c r="M2931" s="1" t="str">
        <f>"安徽省 芜湖市 鸠江区 官陡街道"</f>
        <v>安徽省 芜湖市 鸠江区 官陡街道</v>
      </c>
      <c r="N2931" s="1" t="str">
        <f t="shared" si="969"/>
        <v>凡华云仓-城南圆通-抖音</v>
      </c>
      <c r="O2931" s="5" t="s">
        <v>2965</v>
      </c>
      <c r="P2931" s="6">
        <v>0.35</v>
      </c>
      <c r="Q2931" s="11">
        <v>2.2999999999999998</v>
      </c>
      <c r="R2931" s="11"/>
      <c r="S2931" s="11"/>
      <c r="T2931" s="11"/>
      <c r="U2931" s="11">
        <f t="shared" si="955"/>
        <v>2.2999999999999998</v>
      </c>
      <c r="W2931">
        <v>2.5</v>
      </c>
      <c r="X2931" s="1" t="s">
        <v>36</v>
      </c>
    </row>
    <row r="2932" spans="1:24" x14ac:dyDescent="0.25">
      <c r="A2932" s="1" t="str">
        <f t="shared" si="957"/>
        <v>卡卡杜-凤凰仓</v>
      </c>
      <c r="B2932" s="1" t="str">
        <f>"CK20241025128"</f>
        <v>CK20241025128</v>
      </c>
      <c r="C2932" s="1" t="str">
        <f>"DD2024102545481"</f>
        <v>DD2024102545481</v>
      </c>
      <c r="D2932" s="1" t="str">
        <f>"CK2024102550381"</f>
        <v>CK2024102550381</v>
      </c>
      <c r="E2932" s="1" t="str">
        <f>"6935433276255704742"</f>
        <v>6935433276255704742</v>
      </c>
      <c r="F2932" s="1" t="str">
        <f t="shared" si="958"/>
        <v>花都四部-凤凰仓</v>
      </c>
      <c r="G2932" s="1" t="str">
        <f t="shared" si="967"/>
        <v>卡卡杜个人护理店（抖店）</v>
      </c>
      <c r="H2932" s="1" t="str">
        <f t="shared" si="959"/>
        <v>正常订单</v>
      </c>
      <c r="I2932" s="1" t="str">
        <f t="shared" si="960"/>
        <v>已发货</v>
      </c>
      <c r="J2932" s="1" t="str">
        <f t="shared" si="971"/>
        <v>3</v>
      </c>
      <c r="K2932" s="1">
        <v>2</v>
      </c>
      <c r="L2932" s="1" t="s">
        <v>32</v>
      </c>
      <c r="M2932" s="1" t="str">
        <f>"陕西省 西安市 高陵区 泾渭街道"</f>
        <v>陕西省 西安市 高陵区 泾渭街道</v>
      </c>
      <c r="N2932" s="1" t="str">
        <f t="shared" si="969"/>
        <v>凡华云仓-城南圆通-抖音</v>
      </c>
      <c r="O2932" s="5" t="s">
        <v>2966</v>
      </c>
      <c r="P2932" s="6">
        <v>0.35</v>
      </c>
      <c r="Q2932" s="11">
        <v>2.2999999999999998</v>
      </c>
      <c r="R2932" s="11"/>
      <c r="S2932" s="11"/>
      <c r="T2932" s="11"/>
      <c r="U2932" s="11">
        <f t="shared" si="955"/>
        <v>2.2999999999999998</v>
      </c>
      <c r="W2932">
        <v>2.5</v>
      </c>
      <c r="X2932" s="1" t="s">
        <v>32</v>
      </c>
    </row>
    <row r="2933" spans="1:24" x14ac:dyDescent="0.25">
      <c r="A2933" s="1" t="str">
        <f t="shared" si="957"/>
        <v>卡卡杜-凤凰仓</v>
      </c>
      <c r="B2933" s="1" t="str">
        <f>"CK20241025129"</f>
        <v>CK20241025129</v>
      </c>
      <c r="C2933" s="1" t="str">
        <f>"DD2024102545482"</f>
        <v>DD2024102545482</v>
      </c>
      <c r="D2933" s="1" t="str">
        <f>"CK2024102550380"</f>
        <v>CK2024102550380</v>
      </c>
      <c r="E2933" s="1" t="str">
        <f>"6935437508559639902"</f>
        <v>6935437508559639902</v>
      </c>
      <c r="F2933" s="1" t="str">
        <f t="shared" si="958"/>
        <v>花都四部-凤凰仓</v>
      </c>
      <c r="G2933" s="1" t="str">
        <f t="shared" si="967"/>
        <v>卡卡杜个人护理店（抖店）</v>
      </c>
      <c r="H2933" s="1" t="str">
        <f t="shared" si="959"/>
        <v>正常订单</v>
      </c>
      <c r="I2933" s="1" t="str">
        <f t="shared" si="960"/>
        <v>已发货</v>
      </c>
      <c r="J2933" s="1" t="str">
        <f t="shared" si="971"/>
        <v>3</v>
      </c>
      <c r="K2933" s="1">
        <v>2</v>
      </c>
      <c r="L2933" s="1" t="s">
        <v>13</v>
      </c>
      <c r="M2933" s="1" t="str">
        <f>"江苏省 徐州市 邳州市 运河街道"</f>
        <v>江苏省 徐州市 邳州市 运河街道</v>
      </c>
      <c r="N2933" s="1" t="str">
        <f t="shared" si="969"/>
        <v>凡华云仓-城南圆通-抖音</v>
      </c>
      <c r="O2933" s="5" t="s">
        <v>2967</v>
      </c>
      <c r="P2933" s="6">
        <v>0.35</v>
      </c>
      <c r="Q2933" s="11">
        <v>2.2999999999999998</v>
      </c>
      <c r="R2933" s="11"/>
      <c r="S2933" s="11"/>
      <c r="T2933" s="11"/>
      <c r="U2933" s="11">
        <f t="shared" si="955"/>
        <v>2.2999999999999998</v>
      </c>
      <c r="W2933">
        <v>2.5</v>
      </c>
      <c r="X2933" s="1" t="s">
        <v>13</v>
      </c>
    </row>
    <row r="2934" spans="1:24" x14ac:dyDescent="0.25">
      <c r="A2934" s="1" t="str">
        <f t="shared" si="957"/>
        <v>卡卡杜-凤凰仓</v>
      </c>
      <c r="B2934" s="1" t="str">
        <f>"CK20241025130"</f>
        <v>CK20241025130</v>
      </c>
      <c r="C2934" s="1" t="str">
        <f>"DD2024102545484"</f>
        <v>DD2024102545484</v>
      </c>
      <c r="D2934" s="1" t="str">
        <f>"CK2024102550379"</f>
        <v>CK2024102550379</v>
      </c>
      <c r="E2934" s="1" t="str">
        <f>"6935452677848896898"</f>
        <v>6935452677848896898</v>
      </c>
      <c r="F2934" s="1" t="str">
        <f t="shared" si="958"/>
        <v>花都四部-凤凰仓</v>
      </c>
      <c r="G2934" s="1" t="str">
        <f t="shared" si="967"/>
        <v>卡卡杜个人护理店（抖店）</v>
      </c>
      <c r="H2934" s="1" t="str">
        <f t="shared" si="959"/>
        <v>正常订单</v>
      </c>
      <c r="I2934" s="1" t="str">
        <f t="shared" si="960"/>
        <v>已发货</v>
      </c>
      <c r="J2934" s="1" t="str">
        <f t="shared" si="971"/>
        <v>3</v>
      </c>
      <c r="K2934" s="1">
        <v>2</v>
      </c>
      <c r="L2934" s="1" t="s">
        <v>13</v>
      </c>
      <c r="M2934" s="1" t="str">
        <f>"江苏省 徐州市 新沂市 新安街道"</f>
        <v>江苏省 徐州市 新沂市 新安街道</v>
      </c>
      <c r="N2934" s="1" t="str">
        <f t="shared" si="969"/>
        <v>凡华云仓-城南圆通-抖音</v>
      </c>
      <c r="O2934" s="5" t="s">
        <v>2968</v>
      </c>
      <c r="P2934" s="6">
        <v>0.35</v>
      </c>
      <c r="Q2934" s="11">
        <v>2.2999999999999998</v>
      </c>
      <c r="R2934" s="11"/>
      <c r="S2934" s="11"/>
      <c r="T2934" s="11"/>
      <c r="U2934" s="11">
        <f t="shared" si="955"/>
        <v>2.2999999999999998</v>
      </c>
      <c r="W2934">
        <v>2.5</v>
      </c>
      <c r="X2934" s="1" t="s">
        <v>13</v>
      </c>
    </row>
    <row r="2935" spans="1:24" x14ac:dyDescent="0.25">
      <c r="A2935" s="1" t="str">
        <f t="shared" si="957"/>
        <v>卡卡杜-凤凰仓</v>
      </c>
      <c r="B2935" s="1" t="str">
        <f>"CK20241025133"</f>
        <v>CK20241025133</v>
      </c>
      <c r="C2935" s="1" t="str">
        <f>"DD2024102545483"</f>
        <v>DD2024102545483</v>
      </c>
      <c r="D2935" s="1" t="str">
        <f>"CK2024102550378"</f>
        <v>CK2024102550378</v>
      </c>
      <c r="E2935" s="1" t="str">
        <f>"6935450793286112425"</f>
        <v>6935450793286112425</v>
      </c>
      <c r="F2935" s="1" t="str">
        <f t="shared" si="958"/>
        <v>花都四部-凤凰仓</v>
      </c>
      <c r="G2935" s="1" t="str">
        <f t="shared" si="967"/>
        <v>卡卡杜个人护理店（抖店）</v>
      </c>
      <c r="H2935" s="1" t="str">
        <f t="shared" si="959"/>
        <v>正常订单</v>
      </c>
      <c r="I2935" s="1" t="str">
        <f t="shared" si="960"/>
        <v>已发货</v>
      </c>
      <c r="J2935" s="1" t="str">
        <f t="shared" si="971"/>
        <v>3</v>
      </c>
      <c r="K2935" s="1">
        <v>2</v>
      </c>
      <c r="L2935" s="1" t="s">
        <v>13</v>
      </c>
      <c r="M2935" s="1" t="str">
        <f>"江苏省 徐州市 新沂市 新安街道"</f>
        <v>江苏省 徐州市 新沂市 新安街道</v>
      </c>
      <c r="N2935" s="1" t="str">
        <f t="shared" si="969"/>
        <v>凡华云仓-城南圆通-抖音</v>
      </c>
      <c r="O2935" s="5" t="s">
        <v>2969</v>
      </c>
      <c r="P2935" s="6">
        <v>0.35</v>
      </c>
      <c r="Q2935" s="11">
        <v>2.2999999999999998</v>
      </c>
      <c r="R2935" s="11"/>
      <c r="S2935" s="11"/>
      <c r="T2935" s="11"/>
      <c r="U2935" s="11">
        <f t="shared" si="955"/>
        <v>2.2999999999999998</v>
      </c>
      <c r="W2935">
        <v>2.5</v>
      </c>
      <c r="X2935" s="1" t="s">
        <v>13</v>
      </c>
    </row>
    <row r="2936" spans="1:24" x14ac:dyDescent="0.25">
      <c r="A2936" s="1" t="str">
        <f t="shared" si="957"/>
        <v>卡卡杜-凤凰仓</v>
      </c>
      <c r="B2936" s="1" t="str">
        <f>"CK20241025136"</f>
        <v>CK20241025136</v>
      </c>
      <c r="C2936" s="1" t="str">
        <f>"DD2024102545492"</f>
        <v>DD2024102545492</v>
      </c>
      <c r="D2936" s="1" t="str">
        <f>"CK2024102550377"</f>
        <v>CK2024102550377</v>
      </c>
      <c r="E2936" s="1" t="str">
        <f>"6935435384681928576"</f>
        <v>6935435384681928576</v>
      </c>
      <c r="F2936" s="1" t="str">
        <f t="shared" si="958"/>
        <v>花都四部-凤凰仓</v>
      </c>
      <c r="G2936" s="1" t="str">
        <f t="shared" si="967"/>
        <v>卡卡杜个人护理店（抖店）</v>
      </c>
      <c r="H2936" s="1" t="str">
        <f t="shared" si="959"/>
        <v>正常订单</v>
      </c>
      <c r="I2936" s="1" t="str">
        <f t="shared" si="960"/>
        <v>已发货</v>
      </c>
      <c r="J2936" s="1" t="str">
        <f t="shared" si="971"/>
        <v>3</v>
      </c>
      <c r="K2936" s="1">
        <v>2</v>
      </c>
      <c r="L2936" s="1" t="s">
        <v>80</v>
      </c>
      <c r="M2936" s="1" t="str">
        <f>"河南省 新乡市 原阳县 师寨镇"</f>
        <v>河南省 新乡市 原阳县 师寨镇</v>
      </c>
      <c r="N2936" s="1" t="str">
        <f t="shared" si="969"/>
        <v>凡华云仓-城南圆通-抖音</v>
      </c>
      <c r="O2936" s="5" t="s">
        <v>2970</v>
      </c>
      <c r="P2936" s="6">
        <v>0.35</v>
      </c>
      <c r="Q2936" s="11">
        <v>2.2999999999999998</v>
      </c>
      <c r="R2936" s="11"/>
      <c r="S2936" s="11"/>
      <c r="T2936" s="11"/>
      <c r="U2936" s="11">
        <f t="shared" si="955"/>
        <v>2.2999999999999998</v>
      </c>
      <c r="W2936">
        <v>2.5</v>
      </c>
      <c r="X2936" s="1" t="s">
        <v>80</v>
      </c>
    </row>
    <row r="2937" spans="1:24" x14ac:dyDescent="0.25">
      <c r="A2937" s="1" t="str">
        <f t="shared" si="957"/>
        <v>卡卡杜-凤凰仓</v>
      </c>
      <c r="B2937" s="1" t="str">
        <f>"CK20241025160"</f>
        <v>CK20241025160</v>
      </c>
      <c r="C2937" s="1" t="str">
        <f>"DD2024102545518"</f>
        <v>DD2024102545518</v>
      </c>
      <c r="D2937" s="1" t="str">
        <f>"CK2024102550376"</f>
        <v>CK2024102550376</v>
      </c>
      <c r="E2937" s="1" t="str">
        <f>"6935425407474209807"</f>
        <v>6935425407474209807</v>
      </c>
      <c r="F2937" s="1" t="str">
        <f t="shared" si="958"/>
        <v>花都四部-凤凰仓</v>
      </c>
      <c r="G2937" s="1" t="str">
        <f t="shared" si="967"/>
        <v>卡卡杜个人护理店（抖店）</v>
      </c>
      <c r="H2937" s="1" t="str">
        <f t="shared" si="959"/>
        <v>正常订单</v>
      </c>
      <c r="I2937" s="1" t="str">
        <f t="shared" si="960"/>
        <v>已发货</v>
      </c>
      <c r="J2937" s="1" t="str">
        <f t="shared" si="971"/>
        <v>3</v>
      </c>
      <c r="K2937" s="1">
        <v>2</v>
      </c>
      <c r="L2937" s="1" t="s">
        <v>96</v>
      </c>
      <c r="M2937" s="1" t="str">
        <f>"广西壮族自治区 百色市 西林县 八达镇"</f>
        <v>广西壮族自治区 百色市 西林县 八达镇</v>
      </c>
      <c r="N2937" s="1" t="str">
        <f t="shared" si="969"/>
        <v>凡华云仓-城南圆通-抖音</v>
      </c>
      <c r="O2937" s="5" t="s">
        <v>2971</v>
      </c>
      <c r="P2937" s="6">
        <v>0.35</v>
      </c>
      <c r="Q2937" s="11">
        <v>2.2999999999999998</v>
      </c>
      <c r="R2937" s="11"/>
      <c r="S2937" s="11"/>
      <c r="T2937" s="11"/>
      <c r="U2937" s="11">
        <f t="shared" si="955"/>
        <v>2.2999999999999998</v>
      </c>
      <c r="W2937">
        <v>2.5</v>
      </c>
      <c r="X2937" s="1" t="s">
        <v>96</v>
      </c>
    </row>
    <row r="2938" spans="1:24" x14ac:dyDescent="0.25">
      <c r="A2938" s="1" t="str">
        <f t="shared" si="957"/>
        <v>卡卡杜-凤凰仓</v>
      </c>
      <c r="B2938" s="1" t="str">
        <f>"CK20241025184"</f>
        <v>CK20241025184</v>
      </c>
      <c r="C2938" s="1" t="str">
        <f>"DD2024102545669"</f>
        <v>DD2024102545669</v>
      </c>
      <c r="D2938" s="1" t="str">
        <f>"CK2024102550375"</f>
        <v>CK2024102550375</v>
      </c>
      <c r="E2938" s="1" t="str">
        <f>"6935421187981251627"</f>
        <v>6935421187981251627</v>
      </c>
      <c r="F2938" s="1" t="str">
        <f t="shared" si="958"/>
        <v>花都四部-凤凰仓</v>
      </c>
      <c r="G2938" s="1" t="str">
        <f t="shared" si="967"/>
        <v>卡卡杜个人护理店（抖店）</v>
      </c>
      <c r="H2938" s="1" t="str">
        <f t="shared" si="959"/>
        <v>正常订单</v>
      </c>
      <c r="I2938" s="1" t="str">
        <f t="shared" si="960"/>
        <v>已发货</v>
      </c>
      <c r="J2938" s="1" t="str">
        <f t="shared" ref="J2938:J2943" si="972">"5"</f>
        <v>5</v>
      </c>
      <c r="K2938" s="1">
        <v>2</v>
      </c>
      <c r="L2938" s="1" t="s">
        <v>36</v>
      </c>
      <c r="M2938" s="1" t="str">
        <f>"安徽省 阜阳市 临泉县 黄岭镇"</f>
        <v>安徽省 阜阳市 临泉县 黄岭镇</v>
      </c>
      <c r="N2938" s="1" t="str">
        <f t="shared" si="969"/>
        <v>凡华云仓-城南圆通-抖音</v>
      </c>
      <c r="O2938" s="5" t="s">
        <v>2972</v>
      </c>
      <c r="P2938" s="6">
        <v>0.59</v>
      </c>
      <c r="Q2938" s="11">
        <f t="shared" ref="Q2938:Q2943" si="973">CEILING(P2938-0.5,0.1)*10*0.15+2.3</f>
        <v>2.4499999999999997</v>
      </c>
      <c r="R2938" s="11"/>
      <c r="S2938" s="11"/>
      <c r="T2938" s="11"/>
      <c r="U2938" s="11">
        <f t="shared" si="955"/>
        <v>2.4499999999999997</v>
      </c>
      <c r="V2938" t="s">
        <v>15</v>
      </c>
      <c r="W2938">
        <v>2.4500000000000002</v>
      </c>
      <c r="X2938" s="1" t="s">
        <v>36</v>
      </c>
    </row>
    <row r="2939" spans="1:24" x14ac:dyDescent="0.25">
      <c r="A2939" s="1" t="str">
        <f t="shared" si="957"/>
        <v>卡卡杜-凤凰仓</v>
      </c>
      <c r="B2939" s="1" t="str">
        <f>"CK2024103112245"</f>
        <v>CK2024103112245</v>
      </c>
      <c r="C2939" s="1" t="str">
        <f>"DD2024103133089"</f>
        <v>DD2024103133089</v>
      </c>
      <c r="D2939" s="1" t="str">
        <f>"CK2024103132951"</f>
        <v>CK2024103132951</v>
      </c>
      <c r="E2939" s="1" t="str">
        <f>"KKD20241031YP001"</f>
        <v>KKD20241031YP001</v>
      </c>
      <c r="F2939" s="1" t="str">
        <f t="shared" si="958"/>
        <v>花都四部-凤凰仓</v>
      </c>
      <c r="G2939" s="1" t="str">
        <f>"卡卡杜全欣样品"</f>
        <v>卡卡杜全欣样品</v>
      </c>
      <c r="H2939" s="1" t="str">
        <f t="shared" si="959"/>
        <v>正常订单</v>
      </c>
      <c r="I2939" s="1" t="str">
        <f t="shared" si="960"/>
        <v>已发货</v>
      </c>
      <c r="J2939" s="1" t="str">
        <f t="shared" si="972"/>
        <v>5</v>
      </c>
      <c r="K2939" s="1">
        <v>4</v>
      </c>
      <c r="L2939" s="1" t="s">
        <v>54</v>
      </c>
      <c r="M2939" s="1" t="str">
        <f>"黑龙江省 哈尔滨市 木兰县 "</f>
        <v xml:space="preserve">黑龙江省 哈尔滨市 木兰县 </v>
      </c>
      <c r="N2939" s="1" t="str">
        <f>"凡华云仓-城南圆通-淘宝"</f>
        <v>凡华云仓-城南圆通-淘宝</v>
      </c>
      <c r="O2939" s="3" t="s">
        <v>2973</v>
      </c>
      <c r="P2939" s="6">
        <v>0.56000000000000005</v>
      </c>
      <c r="Q2939" s="11">
        <f t="shared" si="973"/>
        <v>2.4499999999999997</v>
      </c>
      <c r="R2939" s="11"/>
      <c r="S2939" s="11">
        <v>0.15</v>
      </c>
      <c r="T2939" s="11"/>
      <c r="U2939" s="11">
        <f t="shared" si="955"/>
        <v>2.5999999999999996</v>
      </c>
      <c r="V2939" t="s">
        <v>15</v>
      </c>
      <c r="W2939">
        <v>2.6</v>
      </c>
      <c r="X2939" s="1" t="s">
        <v>54</v>
      </c>
    </row>
    <row r="2940" spans="1:24" x14ac:dyDescent="0.25">
      <c r="A2940" s="1" t="str">
        <f t="shared" si="957"/>
        <v>卡卡杜-凤凰仓</v>
      </c>
      <c r="B2940" s="1" t="str">
        <f>"CK2024102413301"</f>
        <v>CK2024102413301</v>
      </c>
      <c r="C2940" s="1" t="str">
        <f>"DD2024102459737"</f>
        <v>DD2024102459737</v>
      </c>
      <c r="D2940" s="1" t="str">
        <f>"CK2024102453073"</f>
        <v>CK2024102453073</v>
      </c>
      <c r="E2940" s="1" t="str">
        <f>"3723532469251999232"</f>
        <v>3723532469251999232</v>
      </c>
      <c r="F2940" s="1" t="str">
        <f t="shared" si="958"/>
        <v>花都四部-凤凰仓</v>
      </c>
      <c r="G2940" s="1" t="str">
        <f>"卡卡杜企业店（视频号）"</f>
        <v>卡卡杜企业店（视频号）</v>
      </c>
      <c r="H2940" s="1" t="str">
        <f t="shared" si="959"/>
        <v>正常订单</v>
      </c>
      <c r="I2940" s="1" t="str">
        <f t="shared" si="960"/>
        <v>已发货</v>
      </c>
      <c r="J2940" s="1" t="str">
        <f t="shared" si="972"/>
        <v>5</v>
      </c>
      <c r="K2940" s="1">
        <v>2</v>
      </c>
      <c r="L2940" s="1" t="s">
        <v>74</v>
      </c>
      <c r="M2940" s="1" t="str">
        <f>"上海 上海市 徐汇区 "</f>
        <v xml:space="preserve">上海 上海市 徐汇区 </v>
      </c>
      <c r="N2940" s="1" t="str">
        <f>"凡华云仓-城南圆通-微信视频号"</f>
        <v>凡华云仓-城南圆通-微信视频号</v>
      </c>
      <c r="O2940" s="5" t="s">
        <v>2974</v>
      </c>
      <c r="P2940" s="6">
        <v>0.35</v>
      </c>
      <c r="Q2940" s="11">
        <v>2.2999999999999998</v>
      </c>
      <c r="R2940" s="11"/>
      <c r="S2940" s="11"/>
      <c r="T2940" s="11"/>
      <c r="U2940" s="11">
        <f t="shared" si="955"/>
        <v>2.2999999999999998</v>
      </c>
      <c r="W2940">
        <v>2.5</v>
      </c>
      <c r="X2940" s="1" t="s">
        <v>74</v>
      </c>
    </row>
    <row r="2941" spans="1:24" x14ac:dyDescent="0.25">
      <c r="A2941" s="1" t="str">
        <f t="shared" si="957"/>
        <v>卡卡杜-凤凰仓</v>
      </c>
      <c r="B2941" s="1" t="str">
        <f>"CK2024102413304"</f>
        <v>CK2024102413304</v>
      </c>
      <c r="C2941" s="1" t="str">
        <f>"DD2024102459740"</f>
        <v>DD2024102459740</v>
      </c>
      <c r="D2941" s="1" t="str">
        <f>"CK2024102452879"</f>
        <v>CK2024102452879</v>
      </c>
      <c r="E2941" s="1" t="str">
        <f>"2429801602121326"</f>
        <v>2429801602121326</v>
      </c>
      <c r="F2941" s="1" t="str">
        <f t="shared" si="958"/>
        <v>花都四部-凤凰仓</v>
      </c>
      <c r="G2941" s="1" t="str">
        <f t="shared" ref="G2941:G2953" si="974">"卡卡杜佳旺专卖店（快手店）"</f>
        <v>卡卡杜佳旺专卖店（快手店）</v>
      </c>
      <c r="H2941" s="1" t="str">
        <f t="shared" si="959"/>
        <v>正常订单</v>
      </c>
      <c r="I2941" s="1" t="str">
        <f t="shared" si="960"/>
        <v>已发货</v>
      </c>
      <c r="J2941" s="1" t="str">
        <f t="shared" si="972"/>
        <v>5</v>
      </c>
      <c r="K2941" s="1">
        <v>2</v>
      </c>
      <c r="L2941" s="1" t="s">
        <v>52</v>
      </c>
      <c r="M2941" s="1" t="str">
        <f>"甘肃省 兰州市 七里河区 龚家湾街道"</f>
        <v>甘肃省 兰州市 七里河区 龚家湾街道</v>
      </c>
      <c r="N2941" s="1" t="str">
        <f t="shared" ref="N2941:N2953" si="975">"凡华云仓-城南圆通-快手"</f>
        <v>凡华云仓-城南圆通-快手</v>
      </c>
      <c r="O2941" s="5" t="s">
        <v>2975</v>
      </c>
      <c r="P2941" s="6">
        <v>0.59</v>
      </c>
      <c r="Q2941" s="11">
        <f t="shared" si="973"/>
        <v>2.4499999999999997</v>
      </c>
      <c r="R2941" s="11"/>
      <c r="S2941" s="11"/>
      <c r="T2941" s="11"/>
      <c r="U2941" s="11">
        <f t="shared" si="955"/>
        <v>2.4499999999999997</v>
      </c>
      <c r="V2941" t="s">
        <v>15</v>
      </c>
      <c r="W2941">
        <v>2.4500000000000002</v>
      </c>
      <c r="X2941" s="1" t="s">
        <v>52</v>
      </c>
    </row>
    <row r="2942" spans="1:24" x14ac:dyDescent="0.25">
      <c r="A2942" s="1" t="str">
        <f t="shared" si="957"/>
        <v>卡卡杜-凤凰仓</v>
      </c>
      <c r="B2942" s="1" t="str">
        <f>"CK2024102413303"</f>
        <v>CK2024102413303</v>
      </c>
      <c r="C2942" s="1" t="str">
        <f>"DD2024102459739"</f>
        <v>DD2024102459739</v>
      </c>
      <c r="D2942" s="1" t="str">
        <f>"CK2024102452878"</f>
        <v>CK2024102452878</v>
      </c>
      <c r="E2942" s="1" t="str">
        <f>"2429801846234910"</f>
        <v>2429801846234910</v>
      </c>
      <c r="F2942" s="1" t="str">
        <f t="shared" si="958"/>
        <v>花都四部-凤凰仓</v>
      </c>
      <c r="G2942" s="1" t="str">
        <f t="shared" si="974"/>
        <v>卡卡杜佳旺专卖店（快手店）</v>
      </c>
      <c r="H2942" s="1" t="str">
        <f t="shared" si="959"/>
        <v>正常订单</v>
      </c>
      <c r="I2942" s="1" t="str">
        <f t="shared" si="960"/>
        <v>已发货</v>
      </c>
      <c r="J2942" s="1" t="str">
        <f t="shared" si="972"/>
        <v>5</v>
      </c>
      <c r="K2942" s="1">
        <v>2</v>
      </c>
      <c r="L2942" s="1" t="s">
        <v>32</v>
      </c>
      <c r="M2942" s="1" t="str">
        <f>"陕西省 咸阳市 渭城区 北杜街道"</f>
        <v>陕西省 咸阳市 渭城区 北杜街道</v>
      </c>
      <c r="N2942" s="1" t="str">
        <f t="shared" si="975"/>
        <v>凡华云仓-城南圆通-快手</v>
      </c>
      <c r="O2942" s="5" t="s">
        <v>2976</v>
      </c>
      <c r="P2942" s="6">
        <v>0.59</v>
      </c>
      <c r="Q2942" s="11">
        <f t="shared" si="973"/>
        <v>2.4499999999999997</v>
      </c>
      <c r="R2942" s="11"/>
      <c r="S2942" s="11"/>
      <c r="T2942" s="11"/>
      <c r="U2942" s="11">
        <f t="shared" si="955"/>
        <v>2.4499999999999997</v>
      </c>
      <c r="V2942" t="s">
        <v>15</v>
      </c>
      <c r="W2942">
        <v>2.4500000000000002</v>
      </c>
      <c r="X2942" s="1" t="s">
        <v>32</v>
      </c>
    </row>
    <row r="2943" spans="1:24" x14ac:dyDescent="0.25">
      <c r="A2943" s="1" t="str">
        <f t="shared" si="957"/>
        <v>卡卡杜-凤凰仓</v>
      </c>
      <c r="B2943" s="1" t="str">
        <f>"CK2024102413302"</f>
        <v>CK2024102413302</v>
      </c>
      <c r="C2943" s="1" t="str">
        <f>"DD2024102459738"</f>
        <v>DD2024102459738</v>
      </c>
      <c r="D2943" s="1" t="str">
        <f>"CK2024102452877"</f>
        <v>CK2024102452877</v>
      </c>
      <c r="E2943" s="1" t="str">
        <f>"2429801849690507"</f>
        <v>2429801849690507</v>
      </c>
      <c r="F2943" s="1" t="str">
        <f t="shared" si="958"/>
        <v>花都四部-凤凰仓</v>
      </c>
      <c r="G2943" s="1" t="str">
        <f t="shared" si="974"/>
        <v>卡卡杜佳旺专卖店（快手店）</v>
      </c>
      <c r="H2943" s="1" t="str">
        <f t="shared" si="959"/>
        <v>正常订单</v>
      </c>
      <c r="I2943" s="1" t="str">
        <f t="shared" si="960"/>
        <v>已发货</v>
      </c>
      <c r="J2943" s="1" t="str">
        <f t="shared" si="972"/>
        <v>5</v>
      </c>
      <c r="K2943" s="1">
        <v>2</v>
      </c>
      <c r="L2943" s="1" t="s">
        <v>94</v>
      </c>
      <c r="M2943" s="1" t="str">
        <f>"湖南省 长沙市 开福区 沙坪街道"</f>
        <v>湖南省 长沙市 开福区 沙坪街道</v>
      </c>
      <c r="N2943" s="1" t="str">
        <f t="shared" si="975"/>
        <v>凡华云仓-城南圆通-快手</v>
      </c>
      <c r="O2943" s="5" t="s">
        <v>2977</v>
      </c>
      <c r="P2943" s="6">
        <v>0.59</v>
      </c>
      <c r="Q2943" s="11">
        <f t="shared" si="973"/>
        <v>2.4499999999999997</v>
      </c>
      <c r="R2943" s="11"/>
      <c r="S2943" s="11"/>
      <c r="T2943" s="11"/>
      <c r="U2943" s="11">
        <f t="shared" si="955"/>
        <v>2.4499999999999997</v>
      </c>
      <c r="V2943" t="s">
        <v>15</v>
      </c>
      <c r="W2943">
        <v>2.4500000000000002</v>
      </c>
      <c r="X2943" s="1" t="s">
        <v>94</v>
      </c>
    </row>
    <row r="2944" spans="1:24" x14ac:dyDescent="0.25">
      <c r="A2944" s="1" t="str">
        <f t="shared" si="957"/>
        <v>卡卡杜-凤凰仓</v>
      </c>
      <c r="B2944" s="1" t="str">
        <f>"CK2024102413296"</f>
        <v>CK2024102413296</v>
      </c>
      <c r="C2944" s="1" t="str">
        <f>"DD2024102459732"</f>
        <v>DD2024102459732</v>
      </c>
      <c r="D2944" s="1" t="str">
        <f>"CK2024102452876"</f>
        <v>CK2024102452876</v>
      </c>
      <c r="E2944" s="1" t="str">
        <f>"2429801920667798"</f>
        <v>2429801920667798</v>
      </c>
      <c r="F2944" s="1" t="str">
        <f t="shared" si="958"/>
        <v>花都四部-凤凰仓</v>
      </c>
      <c r="G2944" s="1" t="str">
        <f t="shared" si="974"/>
        <v>卡卡杜佳旺专卖店（快手店）</v>
      </c>
      <c r="H2944" s="1" t="str">
        <f t="shared" si="959"/>
        <v>正常订单</v>
      </c>
      <c r="I2944" s="1" t="str">
        <f t="shared" si="960"/>
        <v>已发货</v>
      </c>
      <c r="J2944" s="1" t="str">
        <f t="shared" ref="J2944:J2961" si="976">"3"</f>
        <v>3</v>
      </c>
      <c r="K2944" s="1">
        <v>2</v>
      </c>
      <c r="L2944" s="1" t="s">
        <v>94</v>
      </c>
      <c r="M2944" s="1" t="str">
        <f>"湖南省 长沙市 雨花区 洞井街道"</f>
        <v>湖南省 长沙市 雨花区 洞井街道</v>
      </c>
      <c r="N2944" s="1" t="str">
        <f t="shared" si="975"/>
        <v>凡华云仓-城南圆通-快手</v>
      </c>
      <c r="O2944" s="5" t="s">
        <v>2978</v>
      </c>
      <c r="P2944" s="6">
        <v>0.35</v>
      </c>
      <c r="Q2944" s="11">
        <v>2.2999999999999998</v>
      </c>
      <c r="R2944" s="11"/>
      <c r="S2944" s="11"/>
      <c r="T2944" s="11"/>
      <c r="U2944" s="11">
        <f t="shared" si="955"/>
        <v>2.2999999999999998</v>
      </c>
      <c r="W2944">
        <v>2.5</v>
      </c>
      <c r="X2944" s="1" t="s">
        <v>94</v>
      </c>
    </row>
    <row r="2945" spans="1:24" x14ac:dyDescent="0.25">
      <c r="A2945" s="1" t="str">
        <f t="shared" si="957"/>
        <v>卡卡杜-凤凰仓</v>
      </c>
      <c r="B2945" s="1" t="str">
        <f>"CK2024102413295"</f>
        <v>CK2024102413295</v>
      </c>
      <c r="C2945" s="1" t="str">
        <f>"DD2024102459731"</f>
        <v>DD2024102459731</v>
      </c>
      <c r="D2945" s="1" t="str">
        <f>"CK2024102452875"</f>
        <v>CK2024102452875</v>
      </c>
      <c r="E2945" s="1" t="str">
        <f>"2429802089723670"</f>
        <v>2429802089723670</v>
      </c>
      <c r="F2945" s="1" t="str">
        <f t="shared" si="958"/>
        <v>花都四部-凤凰仓</v>
      </c>
      <c r="G2945" s="1" t="str">
        <f t="shared" si="974"/>
        <v>卡卡杜佳旺专卖店（快手店）</v>
      </c>
      <c r="H2945" s="1" t="str">
        <f t="shared" si="959"/>
        <v>正常订单</v>
      </c>
      <c r="I2945" s="1" t="str">
        <f t="shared" si="960"/>
        <v>已发货</v>
      </c>
      <c r="J2945" s="1" t="str">
        <f t="shared" si="976"/>
        <v>3</v>
      </c>
      <c r="K2945" s="1">
        <v>2</v>
      </c>
      <c r="L2945" s="1" t="s">
        <v>60</v>
      </c>
      <c r="M2945" s="1" t="str">
        <f>"云南省 怒江傈僳族自治州 泸水市 六库街道"</f>
        <v>云南省 怒江傈僳族自治州 泸水市 六库街道</v>
      </c>
      <c r="N2945" s="1" t="str">
        <f t="shared" si="975"/>
        <v>凡华云仓-城南圆通-快手</v>
      </c>
      <c r="O2945" s="5" t="s">
        <v>2979</v>
      </c>
      <c r="P2945" s="6">
        <v>0.35</v>
      </c>
      <c r="Q2945" s="11">
        <v>2.2999999999999998</v>
      </c>
      <c r="R2945" s="11"/>
      <c r="S2945" s="11"/>
      <c r="T2945" s="11"/>
      <c r="U2945" s="11">
        <f t="shared" si="955"/>
        <v>2.2999999999999998</v>
      </c>
      <c r="W2945">
        <v>2.5</v>
      </c>
      <c r="X2945" s="1" t="s">
        <v>60</v>
      </c>
    </row>
    <row r="2946" spans="1:24" x14ac:dyDescent="0.25">
      <c r="A2946" s="1" t="str">
        <f t="shared" si="957"/>
        <v>卡卡杜-凤凰仓</v>
      </c>
      <c r="B2946" s="1" t="str">
        <f>"CK2024102413294"</f>
        <v>CK2024102413294</v>
      </c>
      <c r="C2946" s="1" t="str">
        <f>"DD2024102459729"</f>
        <v>DD2024102459729</v>
      </c>
      <c r="D2946" s="1" t="str">
        <f>"CK2024102452874"</f>
        <v>CK2024102452874</v>
      </c>
      <c r="E2946" s="1" t="str">
        <f>"2429802402243043"</f>
        <v>2429802402243043</v>
      </c>
      <c r="F2946" s="1" t="str">
        <f t="shared" si="958"/>
        <v>花都四部-凤凰仓</v>
      </c>
      <c r="G2946" s="1" t="str">
        <f t="shared" si="974"/>
        <v>卡卡杜佳旺专卖店（快手店）</v>
      </c>
      <c r="H2946" s="1" t="str">
        <f t="shared" si="959"/>
        <v>正常订单</v>
      </c>
      <c r="I2946" s="1" t="str">
        <f t="shared" si="960"/>
        <v>已发货</v>
      </c>
      <c r="J2946" s="1" t="str">
        <f t="shared" si="976"/>
        <v>3</v>
      </c>
      <c r="K2946" s="1">
        <v>2</v>
      </c>
      <c r="L2946" s="1" t="s">
        <v>109</v>
      </c>
      <c r="M2946" s="1" t="str">
        <f>"山西省 长治市 潞州区 常青街道"</f>
        <v>山西省 长治市 潞州区 常青街道</v>
      </c>
      <c r="N2946" s="1" t="str">
        <f t="shared" si="975"/>
        <v>凡华云仓-城南圆通-快手</v>
      </c>
      <c r="O2946" s="5" t="s">
        <v>2980</v>
      </c>
      <c r="P2946" s="6">
        <v>0.35</v>
      </c>
      <c r="Q2946" s="11">
        <v>2.2999999999999998</v>
      </c>
      <c r="R2946" s="11"/>
      <c r="S2946" s="11"/>
      <c r="T2946" s="11"/>
      <c r="U2946" s="11">
        <f t="shared" si="955"/>
        <v>2.2999999999999998</v>
      </c>
      <c r="W2946">
        <v>2.5</v>
      </c>
      <c r="X2946" s="1" t="s">
        <v>109</v>
      </c>
    </row>
    <row r="2947" spans="1:24" x14ac:dyDescent="0.25">
      <c r="A2947" s="1" t="str">
        <f t="shared" si="957"/>
        <v>卡卡杜-凤凰仓</v>
      </c>
      <c r="B2947" s="1" t="str">
        <f>"CK2024102413289"</f>
        <v>CK2024102413289</v>
      </c>
      <c r="C2947" s="1" t="str">
        <f>"DD2024102459728"</f>
        <v>DD2024102459728</v>
      </c>
      <c r="D2947" s="1" t="str">
        <f>"CK2024102452873"</f>
        <v>CK2024102452873</v>
      </c>
      <c r="E2947" s="1" t="str">
        <f>"2429801601513428"</f>
        <v>2429801601513428</v>
      </c>
      <c r="F2947" s="1" t="str">
        <f t="shared" si="958"/>
        <v>花都四部-凤凰仓</v>
      </c>
      <c r="G2947" s="1" t="str">
        <f t="shared" si="974"/>
        <v>卡卡杜佳旺专卖店（快手店）</v>
      </c>
      <c r="H2947" s="1" t="str">
        <f t="shared" si="959"/>
        <v>正常订单</v>
      </c>
      <c r="I2947" s="1" t="str">
        <f t="shared" si="960"/>
        <v>已发货</v>
      </c>
      <c r="J2947" s="1" t="str">
        <f t="shared" si="976"/>
        <v>3</v>
      </c>
      <c r="K2947" s="1">
        <v>2</v>
      </c>
      <c r="L2947" s="1" t="s">
        <v>1099</v>
      </c>
      <c r="M2947" s="1" t="str">
        <f>"重庆市 重庆市 九龙坡区 巴福镇"</f>
        <v>重庆市 重庆市 九龙坡区 巴福镇</v>
      </c>
      <c r="N2947" s="1" t="str">
        <f t="shared" si="975"/>
        <v>凡华云仓-城南圆通-快手</v>
      </c>
      <c r="O2947" s="5" t="s">
        <v>2981</v>
      </c>
      <c r="P2947" s="6">
        <v>0.35</v>
      </c>
      <c r="Q2947" s="11">
        <v>2.2999999999999998</v>
      </c>
      <c r="R2947" s="11"/>
      <c r="S2947" s="11"/>
      <c r="T2947" s="11"/>
      <c r="U2947" s="11">
        <f t="shared" ref="U2947:U3010" si="977">T2947+S2947+R2947+Q2947</f>
        <v>2.2999999999999998</v>
      </c>
      <c r="W2947">
        <v>2.5</v>
      </c>
      <c r="X2947" s="1" t="s">
        <v>1099</v>
      </c>
    </row>
    <row r="2948" spans="1:24" x14ac:dyDescent="0.25">
      <c r="A2948" s="1" t="str">
        <f t="shared" si="957"/>
        <v>卡卡杜-凤凰仓</v>
      </c>
      <c r="B2948" s="1" t="str">
        <f>"CK2024102413291"</f>
        <v>CK2024102413291</v>
      </c>
      <c r="C2948" s="1" t="str">
        <f>"DD2024102459726"</f>
        <v>DD2024102459726</v>
      </c>
      <c r="D2948" s="1" t="str">
        <f>"CK2024102452872"</f>
        <v>CK2024102452872</v>
      </c>
      <c r="E2948" s="1" t="str">
        <f>"2429801921408042"</f>
        <v>2429801921408042</v>
      </c>
      <c r="F2948" s="1" t="str">
        <f t="shared" si="958"/>
        <v>花都四部-凤凰仓</v>
      </c>
      <c r="G2948" s="1" t="str">
        <f t="shared" si="974"/>
        <v>卡卡杜佳旺专卖店（快手店）</v>
      </c>
      <c r="H2948" s="1" t="str">
        <f t="shared" si="959"/>
        <v>正常订单</v>
      </c>
      <c r="I2948" s="1" t="str">
        <f t="shared" si="960"/>
        <v>已发货</v>
      </c>
      <c r="J2948" s="1" t="str">
        <f t="shared" si="976"/>
        <v>3</v>
      </c>
      <c r="K2948" s="1">
        <v>2</v>
      </c>
      <c r="L2948" s="1" t="s">
        <v>41</v>
      </c>
      <c r="M2948" s="1" t="str">
        <f>"湖北省 武汉市 洪山区 青菱街道"</f>
        <v>湖北省 武汉市 洪山区 青菱街道</v>
      </c>
      <c r="N2948" s="1" t="str">
        <f t="shared" si="975"/>
        <v>凡华云仓-城南圆通-快手</v>
      </c>
      <c r="O2948" s="5" t="s">
        <v>2982</v>
      </c>
      <c r="P2948" s="6">
        <v>0.35</v>
      </c>
      <c r="Q2948" s="11">
        <v>2.2999999999999998</v>
      </c>
      <c r="R2948" s="11"/>
      <c r="S2948" s="11"/>
      <c r="T2948" s="11"/>
      <c r="U2948" s="11">
        <f t="shared" si="977"/>
        <v>2.2999999999999998</v>
      </c>
      <c r="W2948">
        <v>2.5</v>
      </c>
      <c r="X2948" s="1" t="s">
        <v>41</v>
      </c>
    </row>
    <row r="2949" spans="1:24" x14ac:dyDescent="0.25">
      <c r="A2949" s="1" t="str">
        <f t="shared" ref="A2949:A3012" si="978">"卡卡杜-凤凰仓"</f>
        <v>卡卡杜-凤凰仓</v>
      </c>
      <c r="B2949" s="1" t="str">
        <f>"CK2024102413286"</f>
        <v>CK2024102413286</v>
      </c>
      <c r="C2949" s="1" t="str">
        <f>"DD2024102459722"</f>
        <v>DD2024102459722</v>
      </c>
      <c r="D2949" s="1" t="str">
        <f>"CK2024102452871"</f>
        <v>CK2024102452871</v>
      </c>
      <c r="E2949" s="1" t="str">
        <f>"2429801934091564"</f>
        <v>2429801934091564</v>
      </c>
      <c r="F2949" s="1" t="str">
        <f t="shared" ref="F2949:F3012" si="979">"花都四部-凤凰仓"</f>
        <v>花都四部-凤凰仓</v>
      </c>
      <c r="G2949" s="1" t="str">
        <f t="shared" si="974"/>
        <v>卡卡杜佳旺专卖店（快手店）</v>
      </c>
      <c r="H2949" s="1" t="str">
        <f t="shared" ref="H2949:H3012" si="980">"正常订单"</f>
        <v>正常订单</v>
      </c>
      <c r="I2949" s="1" t="str">
        <f t="shared" ref="I2949:I3012" si="981">"已发货"</f>
        <v>已发货</v>
      </c>
      <c r="J2949" s="1" t="str">
        <f t="shared" si="976"/>
        <v>3</v>
      </c>
      <c r="K2949" s="1">
        <v>2</v>
      </c>
      <c r="L2949" s="1" t="s">
        <v>92</v>
      </c>
      <c r="M2949" s="1" t="str">
        <f>"辽宁省 鞍山市 铁东区 和平街道"</f>
        <v>辽宁省 鞍山市 铁东区 和平街道</v>
      </c>
      <c r="N2949" s="1" t="str">
        <f t="shared" si="975"/>
        <v>凡华云仓-城南圆通-快手</v>
      </c>
      <c r="O2949" s="5" t="s">
        <v>2983</v>
      </c>
      <c r="P2949" s="6">
        <v>0.35</v>
      </c>
      <c r="Q2949" s="11">
        <v>2.2999999999999998</v>
      </c>
      <c r="R2949" s="11"/>
      <c r="S2949" s="11"/>
      <c r="T2949" s="11"/>
      <c r="U2949" s="11">
        <f t="shared" si="977"/>
        <v>2.2999999999999998</v>
      </c>
      <c r="W2949">
        <v>2.5</v>
      </c>
      <c r="X2949" s="1" t="s">
        <v>92</v>
      </c>
    </row>
    <row r="2950" spans="1:24" x14ac:dyDescent="0.25">
      <c r="A2950" s="1" t="str">
        <f t="shared" si="978"/>
        <v>卡卡杜-凤凰仓</v>
      </c>
      <c r="B2950" s="1" t="str">
        <f>"CK2024102413288"</f>
        <v>CK2024102413288</v>
      </c>
      <c r="C2950" s="1" t="str">
        <f>"DD2024102459721"</f>
        <v>DD2024102459721</v>
      </c>
      <c r="D2950" s="1" t="str">
        <f>"CK2024102452870"</f>
        <v>CK2024102452870</v>
      </c>
      <c r="E2950" s="1" t="str">
        <f>"2429801852058894"</f>
        <v>2429801852058894</v>
      </c>
      <c r="F2950" s="1" t="str">
        <f t="shared" si="979"/>
        <v>花都四部-凤凰仓</v>
      </c>
      <c r="G2950" s="1" t="str">
        <f t="shared" si="974"/>
        <v>卡卡杜佳旺专卖店（快手店）</v>
      </c>
      <c r="H2950" s="1" t="str">
        <f t="shared" si="980"/>
        <v>正常订单</v>
      </c>
      <c r="I2950" s="1" t="str">
        <f t="shared" si="981"/>
        <v>已发货</v>
      </c>
      <c r="J2950" s="1" t="str">
        <f t="shared" si="976"/>
        <v>3</v>
      </c>
      <c r="K2950" s="1">
        <v>2</v>
      </c>
      <c r="L2950" s="1" t="s">
        <v>13</v>
      </c>
      <c r="M2950" s="1" t="str">
        <f>"江苏省 盐城市 亭湖区 亭湖新区"</f>
        <v>江苏省 盐城市 亭湖区 亭湖新区</v>
      </c>
      <c r="N2950" s="1" t="str">
        <f t="shared" si="975"/>
        <v>凡华云仓-城南圆通-快手</v>
      </c>
      <c r="O2950" s="5" t="s">
        <v>2984</v>
      </c>
      <c r="P2950" s="6">
        <v>0.35</v>
      </c>
      <c r="Q2950" s="11">
        <v>2.2999999999999998</v>
      </c>
      <c r="R2950" s="11"/>
      <c r="S2950" s="11"/>
      <c r="T2950" s="11"/>
      <c r="U2950" s="11">
        <f t="shared" si="977"/>
        <v>2.2999999999999998</v>
      </c>
      <c r="W2950">
        <v>2.5</v>
      </c>
      <c r="X2950" s="1" t="s">
        <v>13</v>
      </c>
    </row>
    <row r="2951" spans="1:24" x14ac:dyDescent="0.25">
      <c r="A2951" s="1" t="str">
        <f t="shared" si="978"/>
        <v>卡卡杜-凤凰仓</v>
      </c>
      <c r="B2951" s="1" t="str">
        <f>"CK2024102413285"</f>
        <v>CK2024102413285</v>
      </c>
      <c r="C2951" s="1" t="str">
        <f>"DD2024102459720"</f>
        <v>DD2024102459720</v>
      </c>
      <c r="D2951" s="1" t="str">
        <f>"CK2024102452869"</f>
        <v>CK2024102452869</v>
      </c>
      <c r="E2951" s="1" t="str">
        <f>"2429801693289117"</f>
        <v>2429801693289117</v>
      </c>
      <c r="F2951" s="1" t="str">
        <f t="shared" si="979"/>
        <v>花都四部-凤凰仓</v>
      </c>
      <c r="G2951" s="1" t="str">
        <f t="shared" si="974"/>
        <v>卡卡杜佳旺专卖店（快手店）</v>
      </c>
      <c r="H2951" s="1" t="str">
        <f t="shared" si="980"/>
        <v>正常订单</v>
      </c>
      <c r="I2951" s="1" t="str">
        <f t="shared" si="981"/>
        <v>已发货</v>
      </c>
      <c r="J2951" s="1" t="str">
        <f t="shared" si="976"/>
        <v>3</v>
      </c>
      <c r="K2951" s="1">
        <v>2</v>
      </c>
      <c r="L2951" s="1" t="s">
        <v>18</v>
      </c>
      <c r="M2951" s="1" t="str">
        <f>"广东省 东莞市 东城街道 东城街道"</f>
        <v>广东省 东莞市 东城街道 东城街道</v>
      </c>
      <c r="N2951" s="1" t="str">
        <f t="shared" si="975"/>
        <v>凡华云仓-城南圆通-快手</v>
      </c>
      <c r="O2951" s="5" t="s">
        <v>2985</v>
      </c>
      <c r="P2951" s="6">
        <v>0.35</v>
      </c>
      <c r="Q2951" s="11">
        <v>2.2999999999999998</v>
      </c>
      <c r="R2951" s="11"/>
      <c r="S2951" s="11"/>
      <c r="T2951" s="11"/>
      <c r="U2951" s="11">
        <f t="shared" si="977"/>
        <v>2.2999999999999998</v>
      </c>
      <c r="W2951">
        <v>2.5</v>
      </c>
      <c r="X2951" s="1" t="s">
        <v>18</v>
      </c>
    </row>
    <row r="2952" spans="1:24" x14ac:dyDescent="0.25">
      <c r="A2952" s="1" t="str">
        <f t="shared" si="978"/>
        <v>卡卡杜-凤凰仓</v>
      </c>
      <c r="B2952" s="1" t="str">
        <f>"CK2024102413284"</f>
        <v>CK2024102413284</v>
      </c>
      <c r="C2952" s="1" t="str">
        <f>"DD2024102459719"</f>
        <v>DD2024102459719</v>
      </c>
      <c r="D2952" s="1" t="str">
        <f>"CK2024102452868"</f>
        <v>CK2024102452868</v>
      </c>
      <c r="E2952" s="1" t="str">
        <f>"2429802169385203"</f>
        <v>2429802169385203</v>
      </c>
      <c r="F2952" s="1" t="str">
        <f t="shared" si="979"/>
        <v>花都四部-凤凰仓</v>
      </c>
      <c r="G2952" s="1" t="str">
        <f t="shared" si="974"/>
        <v>卡卡杜佳旺专卖店（快手店）</v>
      </c>
      <c r="H2952" s="1" t="str">
        <f t="shared" si="980"/>
        <v>正常订单</v>
      </c>
      <c r="I2952" s="1" t="str">
        <f t="shared" si="981"/>
        <v>已发货</v>
      </c>
      <c r="J2952" s="1" t="str">
        <f t="shared" si="976"/>
        <v>3</v>
      </c>
      <c r="K2952" s="1">
        <v>2</v>
      </c>
      <c r="L2952" s="1" t="s">
        <v>80</v>
      </c>
      <c r="M2952" s="1" t="str">
        <f>"河南省 新乡市 牧野区 牧野镇"</f>
        <v>河南省 新乡市 牧野区 牧野镇</v>
      </c>
      <c r="N2952" s="1" t="str">
        <f t="shared" si="975"/>
        <v>凡华云仓-城南圆通-快手</v>
      </c>
      <c r="O2952" s="5" t="s">
        <v>2986</v>
      </c>
      <c r="P2952" s="6">
        <v>0.35</v>
      </c>
      <c r="Q2952" s="11">
        <v>2.2999999999999998</v>
      </c>
      <c r="R2952" s="11"/>
      <c r="S2952" s="11"/>
      <c r="T2952" s="11"/>
      <c r="U2952" s="11">
        <f t="shared" si="977"/>
        <v>2.2999999999999998</v>
      </c>
      <c r="W2952">
        <v>2.5</v>
      </c>
      <c r="X2952" s="1" t="s">
        <v>80</v>
      </c>
    </row>
    <row r="2953" spans="1:24" x14ac:dyDescent="0.25">
      <c r="A2953" s="1" t="str">
        <f t="shared" si="978"/>
        <v>卡卡杜-凤凰仓</v>
      </c>
      <c r="B2953" s="1" t="str">
        <f>"CK2024102413287"</f>
        <v>CK2024102413287</v>
      </c>
      <c r="C2953" s="1" t="str">
        <f>"DD2024102459717"</f>
        <v>DD2024102459717</v>
      </c>
      <c r="D2953" s="1" t="str">
        <f>"CK2024102452867"</f>
        <v>CK2024102452867</v>
      </c>
      <c r="E2953" s="1" t="str">
        <f>"2429802167248756"</f>
        <v>2429802167248756</v>
      </c>
      <c r="F2953" s="1" t="str">
        <f t="shared" si="979"/>
        <v>花都四部-凤凰仓</v>
      </c>
      <c r="G2953" s="1" t="str">
        <f t="shared" si="974"/>
        <v>卡卡杜佳旺专卖店（快手店）</v>
      </c>
      <c r="H2953" s="1" t="str">
        <f t="shared" si="980"/>
        <v>正常订单</v>
      </c>
      <c r="I2953" s="1" t="str">
        <f t="shared" si="981"/>
        <v>已发货</v>
      </c>
      <c r="J2953" s="1" t="str">
        <f t="shared" si="976"/>
        <v>3</v>
      </c>
      <c r="K2953" s="1">
        <v>2</v>
      </c>
      <c r="L2953" s="1" t="s">
        <v>94</v>
      </c>
      <c r="M2953" s="1" t="str">
        <f>"湖南省 长沙市 长沙县 黄花镇"</f>
        <v>湖南省 长沙市 长沙县 黄花镇</v>
      </c>
      <c r="N2953" s="1" t="str">
        <f t="shared" si="975"/>
        <v>凡华云仓-城南圆通-快手</v>
      </c>
      <c r="O2953" s="5" t="s">
        <v>2987</v>
      </c>
      <c r="P2953" s="6">
        <v>0.35</v>
      </c>
      <c r="Q2953" s="11">
        <v>2.2999999999999998</v>
      </c>
      <c r="R2953" s="11"/>
      <c r="S2953" s="11"/>
      <c r="T2953" s="11"/>
      <c r="U2953" s="11">
        <f t="shared" si="977"/>
        <v>2.2999999999999998</v>
      </c>
      <c r="W2953">
        <v>2.5</v>
      </c>
      <c r="X2953" s="1" t="s">
        <v>94</v>
      </c>
    </row>
    <row r="2954" spans="1:24" x14ac:dyDescent="0.25">
      <c r="A2954" s="1" t="str">
        <f t="shared" si="978"/>
        <v>卡卡杜-凤凰仓</v>
      </c>
      <c r="B2954" s="1" t="str">
        <f>"CK2024102413292"</f>
        <v>CK2024102413292</v>
      </c>
      <c r="C2954" s="1" t="str">
        <f>"DD2024102459725"</f>
        <v>DD2024102459725</v>
      </c>
      <c r="D2954" s="1" t="str">
        <f>"CK2024102452866"</f>
        <v>CK2024102452866</v>
      </c>
      <c r="E2954" s="1" t="str">
        <f>"6935391250439017811"</f>
        <v>6935391250439017811</v>
      </c>
      <c r="F2954" s="1" t="str">
        <f t="shared" si="979"/>
        <v>花都四部-凤凰仓</v>
      </c>
      <c r="G2954" s="1" t="str">
        <f t="shared" ref="G2954:G2960" si="982">"卡卡杜个人护理店（抖店）"</f>
        <v>卡卡杜个人护理店（抖店）</v>
      </c>
      <c r="H2954" s="1" t="str">
        <f t="shared" si="980"/>
        <v>正常订单</v>
      </c>
      <c r="I2954" s="1" t="str">
        <f t="shared" si="981"/>
        <v>已发货</v>
      </c>
      <c r="J2954" s="1" t="str">
        <f t="shared" si="976"/>
        <v>3</v>
      </c>
      <c r="K2954" s="1">
        <v>2</v>
      </c>
      <c r="L2954" s="1" t="s">
        <v>161</v>
      </c>
      <c r="M2954" s="1" t="str">
        <f>"四川省 成都市 武侯区 红牌楼街道"</f>
        <v>四川省 成都市 武侯区 红牌楼街道</v>
      </c>
      <c r="N2954" s="1" t="str">
        <f t="shared" ref="N2954:N2960" si="983">"凡华云仓-城南圆通-抖音"</f>
        <v>凡华云仓-城南圆通-抖音</v>
      </c>
      <c r="O2954" s="5" t="s">
        <v>2988</v>
      </c>
      <c r="P2954" s="6">
        <v>0.35</v>
      </c>
      <c r="Q2954" s="11">
        <v>2.2999999999999998</v>
      </c>
      <c r="R2954" s="11"/>
      <c r="S2954" s="11"/>
      <c r="T2954" s="11"/>
      <c r="U2954" s="11">
        <f t="shared" si="977"/>
        <v>2.2999999999999998</v>
      </c>
      <c r="W2954">
        <v>2.5</v>
      </c>
      <c r="X2954" s="1" t="s">
        <v>161</v>
      </c>
    </row>
    <row r="2955" spans="1:24" x14ac:dyDescent="0.25">
      <c r="A2955" s="1" t="str">
        <f t="shared" si="978"/>
        <v>卡卡杜-凤凰仓</v>
      </c>
      <c r="B2955" s="1" t="str">
        <f>"CK2024102413293"</f>
        <v>CK2024102413293</v>
      </c>
      <c r="C2955" s="1" t="str">
        <f>"DD2024102459727"</f>
        <v>DD2024102459727</v>
      </c>
      <c r="D2955" s="1" t="str">
        <f>"CK2024102452865"</f>
        <v>CK2024102452865</v>
      </c>
      <c r="E2955" s="1" t="str">
        <f>"6935413839903331462"</f>
        <v>6935413839903331462</v>
      </c>
      <c r="F2955" s="1" t="str">
        <f t="shared" si="979"/>
        <v>花都四部-凤凰仓</v>
      </c>
      <c r="G2955" s="1" t="str">
        <f t="shared" si="982"/>
        <v>卡卡杜个人护理店（抖店）</v>
      </c>
      <c r="H2955" s="1" t="str">
        <f t="shared" si="980"/>
        <v>正常订单</v>
      </c>
      <c r="I2955" s="1" t="str">
        <f t="shared" si="981"/>
        <v>已发货</v>
      </c>
      <c r="J2955" s="1" t="str">
        <f t="shared" si="976"/>
        <v>3</v>
      </c>
      <c r="K2955" s="1">
        <v>3</v>
      </c>
      <c r="L2955" s="1" t="s">
        <v>96</v>
      </c>
      <c r="M2955" s="1" t="str">
        <f>"广西壮族自治区 桂林市 象山区 南门街道"</f>
        <v>广西壮族自治区 桂林市 象山区 南门街道</v>
      </c>
      <c r="N2955" s="1" t="str">
        <f t="shared" si="983"/>
        <v>凡华云仓-城南圆通-抖音</v>
      </c>
      <c r="O2955" s="5" t="s">
        <v>2989</v>
      </c>
      <c r="P2955" s="6">
        <v>0.34</v>
      </c>
      <c r="Q2955" s="11">
        <v>2.2999999999999998</v>
      </c>
      <c r="R2955" s="11"/>
      <c r="S2955" s="11"/>
      <c r="T2955" s="11"/>
      <c r="U2955" s="11">
        <f t="shared" si="977"/>
        <v>2.2999999999999998</v>
      </c>
      <c r="W2955">
        <v>2.5</v>
      </c>
      <c r="X2955" s="1" t="s">
        <v>96</v>
      </c>
    </row>
    <row r="2956" spans="1:24" x14ac:dyDescent="0.25">
      <c r="A2956" s="1" t="str">
        <f t="shared" si="978"/>
        <v>卡卡杜-凤凰仓</v>
      </c>
      <c r="B2956" s="1" t="str">
        <f>"CK2024102413299"</f>
        <v>CK2024102413299</v>
      </c>
      <c r="C2956" s="1" t="str">
        <f>"DD2024102459734"</f>
        <v>DD2024102459734</v>
      </c>
      <c r="D2956" s="1" t="str">
        <f>"CK2024102452864"</f>
        <v>CK2024102452864</v>
      </c>
      <c r="E2956" s="1" t="str">
        <f>"6935393565530265024"</f>
        <v>6935393565530265024</v>
      </c>
      <c r="F2956" s="1" t="str">
        <f t="shared" si="979"/>
        <v>花都四部-凤凰仓</v>
      </c>
      <c r="G2956" s="1" t="str">
        <f t="shared" si="982"/>
        <v>卡卡杜个人护理店（抖店）</v>
      </c>
      <c r="H2956" s="1" t="str">
        <f t="shared" si="980"/>
        <v>正常订单</v>
      </c>
      <c r="I2956" s="1" t="str">
        <f t="shared" si="981"/>
        <v>已发货</v>
      </c>
      <c r="J2956" s="1" t="str">
        <f t="shared" si="976"/>
        <v>3</v>
      </c>
      <c r="K2956" s="1">
        <v>2</v>
      </c>
      <c r="L2956" s="1" t="s">
        <v>18</v>
      </c>
      <c r="M2956" s="1" t="str">
        <f>"广东省 湛江市 霞山区 海滨街道"</f>
        <v>广东省 湛江市 霞山区 海滨街道</v>
      </c>
      <c r="N2956" s="1" t="str">
        <f t="shared" si="983"/>
        <v>凡华云仓-城南圆通-抖音</v>
      </c>
      <c r="O2956" s="5" t="s">
        <v>2990</v>
      </c>
      <c r="P2956" s="6">
        <v>0.35</v>
      </c>
      <c r="Q2956" s="11">
        <v>2.2999999999999998</v>
      </c>
      <c r="R2956" s="11"/>
      <c r="S2956" s="11"/>
      <c r="T2956" s="11"/>
      <c r="U2956" s="11">
        <f t="shared" si="977"/>
        <v>2.2999999999999998</v>
      </c>
      <c r="W2956">
        <v>2.5</v>
      </c>
      <c r="X2956" s="1" t="s">
        <v>18</v>
      </c>
    </row>
    <row r="2957" spans="1:24" x14ac:dyDescent="0.25">
      <c r="A2957" s="1" t="str">
        <f t="shared" si="978"/>
        <v>卡卡杜-凤凰仓</v>
      </c>
      <c r="B2957" s="1" t="str">
        <f>"CK2024102413297"</f>
        <v>CK2024102413297</v>
      </c>
      <c r="C2957" s="1" t="str">
        <f>"DD2024102459736"</f>
        <v>DD2024102459736</v>
      </c>
      <c r="D2957" s="1" t="str">
        <f>"CK2024102452863"</f>
        <v>CK2024102452863</v>
      </c>
      <c r="E2957" s="1" t="str">
        <f>"6935417633403966625"</f>
        <v>6935417633403966625</v>
      </c>
      <c r="F2957" s="1" t="str">
        <f t="shared" si="979"/>
        <v>花都四部-凤凰仓</v>
      </c>
      <c r="G2957" s="1" t="str">
        <f t="shared" si="982"/>
        <v>卡卡杜个人护理店（抖店）</v>
      </c>
      <c r="H2957" s="1" t="str">
        <f t="shared" si="980"/>
        <v>正常订单</v>
      </c>
      <c r="I2957" s="1" t="str">
        <f t="shared" si="981"/>
        <v>已发货</v>
      </c>
      <c r="J2957" s="1" t="str">
        <f t="shared" si="976"/>
        <v>3</v>
      </c>
      <c r="K2957" s="1">
        <v>2</v>
      </c>
      <c r="L2957" s="1" t="s">
        <v>94</v>
      </c>
      <c r="M2957" s="1" t="str">
        <f>"湖南省 郴州市 嘉禾县 "</f>
        <v xml:space="preserve">湖南省 郴州市 嘉禾县 </v>
      </c>
      <c r="N2957" s="1" t="str">
        <f t="shared" si="983"/>
        <v>凡华云仓-城南圆通-抖音</v>
      </c>
      <c r="O2957" s="5" t="s">
        <v>2991</v>
      </c>
      <c r="P2957" s="6">
        <v>0.35</v>
      </c>
      <c r="Q2957" s="11">
        <v>2.2999999999999998</v>
      </c>
      <c r="R2957" s="11"/>
      <c r="S2957" s="11"/>
      <c r="T2957" s="11"/>
      <c r="U2957" s="11">
        <f t="shared" si="977"/>
        <v>2.2999999999999998</v>
      </c>
      <c r="W2957">
        <v>2.5</v>
      </c>
      <c r="X2957" s="1" t="s">
        <v>94</v>
      </c>
    </row>
    <row r="2958" spans="1:24" x14ac:dyDescent="0.25">
      <c r="A2958" s="1" t="str">
        <f t="shared" si="978"/>
        <v>卡卡杜-凤凰仓</v>
      </c>
      <c r="B2958" s="1" t="str">
        <f>"CK2024102413283"</f>
        <v>CK2024102413283</v>
      </c>
      <c r="C2958" s="1" t="str">
        <f>"DD2024102459718"</f>
        <v>DD2024102459718</v>
      </c>
      <c r="D2958" s="1" t="str">
        <f>"CK2024102452862"</f>
        <v>CK2024102452862</v>
      </c>
      <c r="E2958" s="1" t="str">
        <f>"6935434672946091443"</f>
        <v>6935434672946091443</v>
      </c>
      <c r="F2958" s="1" t="str">
        <f t="shared" si="979"/>
        <v>花都四部-凤凰仓</v>
      </c>
      <c r="G2958" s="1" t="str">
        <f t="shared" si="982"/>
        <v>卡卡杜个人护理店（抖店）</v>
      </c>
      <c r="H2958" s="1" t="str">
        <f t="shared" si="980"/>
        <v>正常订单</v>
      </c>
      <c r="I2958" s="1" t="str">
        <f t="shared" si="981"/>
        <v>已发货</v>
      </c>
      <c r="J2958" s="1" t="str">
        <f t="shared" si="976"/>
        <v>3</v>
      </c>
      <c r="K2958" s="1">
        <v>2</v>
      </c>
      <c r="L2958" s="1" t="s">
        <v>13</v>
      </c>
      <c r="M2958" s="1" t="str">
        <f>"江苏省 徐州市 新沂市 新安街道"</f>
        <v>江苏省 徐州市 新沂市 新安街道</v>
      </c>
      <c r="N2958" s="1" t="str">
        <f t="shared" si="983"/>
        <v>凡华云仓-城南圆通-抖音</v>
      </c>
      <c r="O2958" s="5" t="s">
        <v>2992</v>
      </c>
      <c r="P2958" s="6">
        <v>0.35</v>
      </c>
      <c r="Q2958" s="11">
        <v>2.2999999999999998</v>
      </c>
      <c r="R2958" s="11"/>
      <c r="S2958" s="11"/>
      <c r="T2958" s="11"/>
      <c r="U2958" s="11">
        <f t="shared" si="977"/>
        <v>2.2999999999999998</v>
      </c>
      <c r="W2958">
        <v>2.5</v>
      </c>
      <c r="X2958" s="1" t="s">
        <v>13</v>
      </c>
    </row>
    <row r="2959" spans="1:24" x14ac:dyDescent="0.25">
      <c r="A2959" s="1" t="str">
        <f t="shared" si="978"/>
        <v>卡卡杜-凤凰仓</v>
      </c>
      <c r="B2959" s="1" t="str">
        <f>"CK2024102413298"</f>
        <v>CK2024102413298</v>
      </c>
      <c r="C2959" s="1" t="str">
        <f>"DD2024102459733"</f>
        <v>DD2024102459733</v>
      </c>
      <c r="D2959" s="1" t="str">
        <f>"CK2024102452861"</f>
        <v>CK2024102452861</v>
      </c>
      <c r="E2959" s="1" t="str">
        <f>"6935407243736585699"</f>
        <v>6935407243736585699</v>
      </c>
      <c r="F2959" s="1" t="str">
        <f t="shared" si="979"/>
        <v>花都四部-凤凰仓</v>
      </c>
      <c r="G2959" s="1" t="str">
        <f t="shared" si="982"/>
        <v>卡卡杜个人护理店（抖店）</v>
      </c>
      <c r="H2959" s="1" t="str">
        <f t="shared" si="980"/>
        <v>正常订单</v>
      </c>
      <c r="I2959" s="1" t="str">
        <f t="shared" si="981"/>
        <v>已发货</v>
      </c>
      <c r="J2959" s="1" t="str">
        <f t="shared" si="976"/>
        <v>3</v>
      </c>
      <c r="K2959" s="1">
        <v>2</v>
      </c>
      <c r="L2959" s="1" t="s">
        <v>13</v>
      </c>
      <c r="M2959" s="1" t="str">
        <f>"江苏省 宿迁市 沭阳县 梦溪街道"</f>
        <v>江苏省 宿迁市 沭阳县 梦溪街道</v>
      </c>
      <c r="N2959" s="1" t="str">
        <f t="shared" si="983"/>
        <v>凡华云仓-城南圆通-抖音</v>
      </c>
      <c r="O2959" s="5" t="s">
        <v>2993</v>
      </c>
      <c r="P2959" s="6">
        <v>0.35</v>
      </c>
      <c r="Q2959" s="11">
        <v>2.2999999999999998</v>
      </c>
      <c r="R2959" s="11"/>
      <c r="S2959" s="11"/>
      <c r="T2959" s="11"/>
      <c r="U2959" s="11">
        <f t="shared" si="977"/>
        <v>2.2999999999999998</v>
      </c>
      <c r="W2959">
        <v>2.5</v>
      </c>
      <c r="X2959" s="1" t="s">
        <v>13</v>
      </c>
    </row>
    <row r="2960" spans="1:24" x14ac:dyDescent="0.25">
      <c r="A2960" s="1" t="str">
        <f t="shared" si="978"/>
        <v>卡卡杜-凤凰仓</v>
      </c>
      <c r="B2960" s="1" t="str">
        <f>"CK2024102413290"</f>
        <v>CK2024102413290</v>
      </c>
      <c r="C2960" s="1" t="str">
        <f>"DD2024102459730"</f>
        <v>DD2024102459730</v>
      </c>
      <c r="D2960" s="1" t="str">
        <f>"CK2024102452860"</f>
        <v>CK2024102452860</v>
      </c>
      <c r="E2960" s="1" t="str">
        <f>"6935417736924043180"</f>
        <v>6935417736924043180</v>
      </c>
      <c r="F2960" s="1" t="str">
        <f t="shared" si="979"/>
        <v>花都四部-凤凰仓</v>
      </c>
      <c r="G2960" s="1" t="str">
        <f t="shared" si="982"/>
        <v>卡卡杜个人护理店（抖店）</v>
      </c>
      <c r="H2960" s="1" t="str">
        <f t="shared" si="980"/>
        <v>正常订单</v>
      </c>
      <c r="I2960" s="1" t="str">
        <f t="shared" si="981"/>
        <v>已发货</v>
      </c>
      <c r="J2960" s="1" t="str">
        <f t="shared" si="976"/>
        <v>3</v>
      </c>
      <c r="K2960" s="1">
        <v>2</v>
      </c>
      <c r="L2960" s="1" t="s">
        <v>41</v>
      </c>
      <c r="M2960" s="1" t="str">
        <f>"湖北省 荆门市 钟祥市 郢中街道"</f>
        <v>湖北省 荆门市 钟祥市 郢中街道</v>
      </c>
      <c r="N2960" s="1" t="str">
        <f t="shared" si="983"/>
        <v>凡华云仓-城南圆通-抖音</v>
      </c>
      <c r="O2960" s="5" t="s">
        <v>2994</v>
      </c>
      <c r="P2960" s="6">
        <v>0.35</v>
      </c>
      <c r="Q2960" s="11">
        <v>2.2999999999999998</v>
      </c>
      <c r="R2960" s="11"/>
      <c r="S2960" s="11"/>
      <c r="T2960" s="11"/>
      <c r="U2960" s="11">
        <f t="shared" si="977"/>
        <v>2.2999999999999998</v>
      </c>
      <c r="W2960">
        <v>2.5</v>
      </c>
      <c r="X2960" s="1" t="s">
        <v>41</v>
      </c>
    </row>
    <row r="2961" spans="1:24" x14ac:dyDescent="0.25">
      <c r="A2961" s="1" t="str">
        <f t="shared" si="978"/>
        <v>卡卡杜-凤凰仓</v>
      </c>
      <c r="B2961" s="1" t="str">
        <f>"CK2024102411013"</f>
        <v>CK2024102411013</v>
      </c>
      <c r="C2961" s="1" t="str">
        <f>"DD2024102454736"</f>
        <v>DD2024102454736</v>
      </c>
      <c r="D2961" s="1" t="str">
        <f>"CK2024102447976"</f>
        <v>CK2024102447976</v>
      </c>
      <c r="E2961" s="1" t="str">
        <f>"3723531743512102144"</f>
        <v>3723531743512102144</v>
      </c>
      <c r="F2961" s="1" t="str">
        <f t="shared" si="979"/>
        <v>花都四部-凤凰仓</v>
      </c>
      <c r="G2961" s="1" t="str">
        <f t="shared" ref="G2961:G2969" si="984">"卡卡杜企业店（视频号）"</f>
        <v>卡卡杜企业店（视频号）</v>
      </c>
      <c r="H2961" s="1" t="str">
        <f t="shared" si="980"/>
        <v>正常订单</v>
      </c>
      <c r="I2961" s="1" t="str">
        <f t="shared" si="981"/>
        <v>已发货</v>
      </c>
      <c r="J2961" s="1" t="str">
        <f t="shared" si="976"/>
        <v>3</v>
      </c>
      <c r="K2961" s="1">
        <v>2</v>
      </c>
      <c r="L2961" s="1" t="s">
        <v>60</v>
      </c>
      <c r="M2961" s="1" t="str">
        <f>"云南省 红河哈尼族彝族自治州 个旧市 "</f>
        <v xml:space="preserve">云南省 红河哈尼族彝族自治州 个旧市 </v>
      </c>
      <c r="N2961" s="1" t="str">
        <f t="shared" ref="N2961:N2969" si="985">"凡华云仓-城南圆通-微信视频号"</f>
        <v>凡华云仓-城南圆通-微信视频号</v>
      </c>
      <c r="O2961" s="5" t="s">
        <v>2995</v>
      </c>
      <c r="P2961" s="6">
        <v>0.24</v>
      </c>
      <c r="Q2961" s="11">
        <v>2</v>
      </c>
      <c r="R2961" s="11"/>
      <c r="S2961" s="11"/>
      <c r="T2961" s="11"/>
      <c r="U2961" s="11">
        <f t="shared" si="977"/>
        <v>2</v>
      </c>
      <c r="W2961">
        <v>2.2000000000000002</v>
      </c>
      <c r="X2961" s="1" t="s">
        <v>60</v>
      </c>
    </row>
    <row r="2962" spans="1:24" x14ac:dyDescent="0.25">
      <c r="A2962" s="1" t="str">
        <f t="shared" si="978"/>
        <v>卡卡杜-凤凰仓</v>
      </c>
      <c r="B2962" s="1" t="str">
        <f>"CK2024102411025"</f>
        <v>CK2024102411025</v>
      </c>
      <c r="C2962" s="1" t="str">
        <f>"DD2024102454935"</f>
        <v>DD2024102454935</v>
      </c>
      <c r="D2962" s="1" t="str">
        <f>"CK2024102447975"</f>
        <v>CK2024102447975</v>
      </c>
      <c r="E2962" s="1" t="str">
        <f>"3723531751336578048"</f>
        <v>3723531751336578048</v>
      </c>
      <c r="F2962" s="1" t="str">
        <f t="shared" si="979"/>
        <v>花都四部-凤凰仓</v>
      </c>
      <c r="G2962" s="1" t="str">
        <f t="shared" si="984"/>
        <v>卡卡杜企业店（视频号）</v>
      </c>
      <c r="H2962" s="1" t="str">
        <f t="shared" si="980"/>
        <v>正常订单</v>
      </c>
      <c r="I2962" s="1" t="str">
        <f t="shared" si="981"/>
        <v>已发货</v>
      </c>
      <c r="J2962" s="1" t="str">
        <f>"2"</f>
        <v>2</v>
      </c>
      <c r="K2962" s="1">
        <v>2</v>
      </c>
      <c r="L2962" s="1" t="s">
        <v>13</v>
      </c>
      <c r="M2962" s="1" t="str">
        <f>"江苏省 南京市 鼓楼区 "</f>
        <v xml:space="preserve">江苏省 南京市 鼓楼区 </v>
      </c>
      <c r="N2962" s="1" t="str">
        <f t="shared" si="985"/>
        <v>凡华云仓-城南圆通-微信视频号</v>
      </c>
      <c r="O2962" s="5" t="s">
        <v>2996</v>
      </c>
      <c r="P2962" s="6">
        <v>0.17</v>
      </c>
      <c r="Q2962" s="11">
        <v>2</v>
      </c>
      <c r="R2962" s="11"/>
      <c r="S2962" s="11"/>
      <c r="T2962" s="11"/>
      <c r="U2962" s="11">
        <f t="shared" si="977"/>
        <v>2</v>
      </c>
      <c r="W2962">
        <v>2.2000000000000002</v>
      </c>
      <c r="X2962" s="1" t="s">
        <v>13</v>
      </c>
    </row>
    <row r="2963" spans="1:24" x14ac:dyDescent="0.25">
      <c r="A2963" s="1" t="str">
        <f t="shared" si="978"/>
        <v>卡卡杜-凤凰仓</v>
      </c>
      <c r="B2963" s="1" t="str">
        <f>"CK2024102411015"</f>
        <v>CK2024102411015</v>
      </c>
      <c r="C2963" s="1" t="str">
        <f>"DD2024102454742"</f>
        <v>DD2024102454742</v>
      </c>
      <c r="D2963" s="1" t="str">
        <f>"CK2024102447974"</f>
        <v>CK2024102447974</v>
      </c>
      <c r="E2963" s="1" t="str">
        <f>"3723531774128424192"</f>
        <v>3723531774128424192</v>
      </c>
      <c r="F2963" s="1" t="str">
        <f t="shared" si="979"/>
        <v>花都四部-凤凰仓</v>
      </c>
      <c r="G2963" s="1" t="str">
        <f t="shared" si="984"/>
        <v>卡卡杜企业店（视频号）</v>
      </c>
      <c r="H2963" s="1" t="str">
        <f t="shared" si="980"/>
        <v>正常订单</v>
      </c>
      <c r="I2963" s="1" t="str">
        <f t="shared" si="981"/>
        <v>已发货</v>
      </c>
      <c r="J2963" s="1" t="str">
        <f t="shared" ref="J2963:J2966" si="986">"3"</f>
        <v>3</v>
      </c>
      <c r="K2963" s="1">
        <v>2</v>
      </c>
      <c r="L2963" s="1" t="s">
        <v>13</v>
      </c>
      <c r="M2963" s="1" t="str">
        <f>"江苏省 苏州市 苏州工业园区 "</f>
        <v xml:space="preserve">江苏省 苏州市 苏州工业园区 </v>
      </c>
      <c r="N2963" s="1" t="str">
        <f t="shared" si="985"/>
        <v>凡华云仓-城南圆通-微信视频号</v>
      </c>
      <c r="O2963" s="5" t="s">
        <v>2997</v>
      </c>
      <c r="P2963" s="6">
        <v>0.24</v>
      </c>
      <c r="Q2963" s="11">
        <v>2</v>
      </c>
      <c r="R2963" s="11"/>
      <c r="S2963" s="11"/>
      <c r="T2963" s="11"/>
      <c r="U2963" s="11">
        <f t="shared" si="977"/>
        <v>2</v>
      </c>
      <c r="W2963">
        <v>2.2000000000000002</v>
      </c>
      <c r="X2963" s="1" t="s">
        <v>13</v>
      </c>
    </row>
    <row r="2964" spans="1:24" x14ac:dyDescent="0.25">
      <c r="A2964" s="1" t="str">
        <f t="shared" si="978"/>
        <v>卡卡杜-凤凰仓</v>
      </c>
      <c r="B2964" s="1" t="str">
        <f>"CK2024102411014"</f>
        <v>CK2024102411014</v>
      </c>
      <c r="C2964" s="1" t="str">
        <f>"DD2024102454739"</f>
        <v>DD2024102454739</v>
      </c>
      <c r="D2964" s="1" t="str">
        <f>"CK2024102447973"</f>
        <v>CK2024102447973</v>
      </c>
      <c r="E2964" s="1" t="str">
        <f>"3723531793570071809"</f>
        <v>3723531793570071809</v>
      </c>
      <c r="F2964" s="1" t="str">
        <f t="shared" si="979"/>
        <v>花都四部-凤凰仓</v>
      </c>
      <c r="G2964" s="1" t="str">
        <f t="shared" si="984"/>
        <v>卡卡杜企业店（视频号）</v>
      </c>
      <c r="H2964" s="1" t="str">
        <f t="shared" si="980"/>
        <v>正常订单</v>
      </c>
      <c r="I2964" s="1" t="str">
        <f t="shared" si="981"/>
        <v>已发货</v>
      </c>
      <c r="J2964" s="1" t="str">
        <f t="shared" si="986"/>
        <v>3</v>
      </c>
      <c r="K2964" s="1">
        <v>2</v>
      </c>
      <c r="L2964" s="1" t="s">
        <v>18</v>
      </c>
      <c r="M2964" s="1" t="str">
        <f>"广东省 深圳市 罗湖区 "</f>
        <v xml:space="preserve">广东省 深圳市 罗湖区 </v>
      </c>
      <c r="N2964" s="1" t="str">
        <f t="shared" si="985"/>
        <v>凡华云仓-城南圆通-微信视频号</v>
      </c>
      <c r="O2964" s="5" t="s">
        <v>2998</v>
      </c>
      <c r="P2964" s="6">
        <v>0.24</v>
      </c>
      <c r="Q2964" s="11">
        <v>2</v>
      </c>
      <c r="R2964" s="11"/>
      <c r="S2964" s="11"/>
      <c r="T2964" s="11"/>
      <c r="U2964" s="11">
        <f t="shared" si="977"/>
        <v>2</v>
      </c>
      <c r="W2964">
        <v>2.2000000000000002</v>
      </c>
      <c r="X2964" s="1" t="s">
        <v>18</v>
      </c>
    </row>
    <row r="2965" spans="1:24" x14ac:dyDescent="0.25">
      <c r="A2965" s="1" t="str">
        <f t="shared" si="978"/>
        <v>卡卡杜-凤凰仓</v>
      </c>
      <c r="B2965" s="1" t="str">
        <f>"CK2024102411011"</f>
        <v>CK2024102411011</v>
      </c>
      <c r="C2965" s="1" t="str">
        <f>"DD2024102454734"</f>
        <v>DD2024102454734</v>
      </c>
      <c r="D2965" s="1" t="str">
        <f>"CK2024102447972"</f>
        <v>CK2024102447972</v>
      </c>
      <c r="E2965" s="1" t="str">
        <f>"3723531846106615808"</f>
        <v>3723531846106615808</v>
      </c>
      <c r="F2965" s="1" t="str">
        <f t="shared" si="979"/>
        <v>花都四部-凤凰仓</v>
      </c>
      <c r="G2965" s="1" t="str">
        <f t="shared" si="984"/>
        <v>卡卡杜企业店（视频号）</v>
      </c>
      <c r="H2965" s="1" t="str">
        <f t="shared" si="980"/>
        <v>正常订单</v>
      </c>
      <c r="I2965" s="1" t="str">
        <f t="shared" si="981"/>
        <v>已发货</v>
      </c>
      <c r="J2965" s="1" t="str">
        <f t="shared" si="986"/>
        <v>3</v>
      </c>
      <c r="K2965" s="1">
        <v>2</v>
      </c>
      <c r="L2965" s="1" t="s">
        <v>18</v>
      </c>
      <c r="M2965" s="1" t="str">
        <f>"广东省 广州市 越秀区 "</f>
        <v xml:space="preserve">广东省 广州市 越秀区 </v>
      </c>
      <c r="N2965" s="1" t="str">
        <f t="shared" si="985"/>
        <v>凡华云仓-城南圆通-微信视频号</v>
      </c>
      <c r="O2965" s="5" t="s">
        <v>2999</v>
      </c>
      <c r="P2965" s="6">
        <v>0.24</v>
      </c>
      <c r="Q2965" s="11">
        <v>2</v>
      </c>
      <c r="R2965" s="11"/>
      <c r="S2965" s="11"/>
      <c r="T2965" s="11"/>
      <c r="U2965" s="11">
        <f t="shared" si="977"/>
        <v>2</v>
      </c>
      <c r="W2965">
        <v>2.2000000000000002</v>
      </c>
      <c r="X2965" s="1" t="s">
        <v>18</v>
      </c>
    </row>
    <row r="2966" spans="1:24" x14ac:dyDescent="0.25">
      <c r="A2966" s="1" t="str">
        <f t="shared" si="978"/>
        <v>卡卡杜-凤凰仓</v>
      </c>
      <c r="B2966" s="1" t="str">
        <f>"CK2024102411010"</f>
        <v>CK2024102411010</v>
      </c>
      <c r="C2966" s="1" t="str">
        <f>"DD2024102454730"</f>
        <v>DD2024102454730</v>
      </c>
      <c r="D2966" s="1" t="str">
        <f>"CK2024102447971"</f>
        <v>CK2024102447971</v>
      </c>
      <c r="E2966" s="1" t="str">
        <f>"3723531856180284416"</f>
        <v>3723531856180284416</v>
      </c>
      <c r="F2966" s="1" t="str">
        <f t="shared" si="979"/>
        <v>花都四部-凤凰仓</v>
      </c>
      <c r="G2966" s="1" t="str">
        <f t="shared" si="984"/>
        <v>卡卡杜企业店（视频号）</v>
      </c>
      <c r="H2966" s="1" t="str">
        <f t="shared" si="980"/>
        <v>正常订单</v>
      </c>
      <c r="I2966" s="1" t="str">
        <f t="shared" si="981"/>
        <v>已发货</v>
      </c>
      <c r="J2966" s="1" t="str">
        <f t="shared" si="986"/>
        <v>3</v>
      </c>
      <c r="K2966" s="1">
        <v>2</v>
      </c>
      <c r="L2966" s="1" t="s">
        <v>24</v>
      </c>
      <c r="M2966" s="1" t="str">
        <f>"福建省 福州市 仓山区 "</f>
        <v xml:space="preserve">福建省 福州市 仓山区 </v>
      </c>
      <c r="N2966" s="1" t="str">
        <f t="shared" si="985"/>
        <v>凡华云仓-城南圆通-微信视频号</v>
      </c>
      <c r="O2966" s="5" t="s">
        <v>3000</v>
      </c>
      <c r="P2966" s="6">
        <v>0.24</v>
      </c>
      <c r="Q2966" s="11">
        <v>2</v>
      </c>
      <c r="R2966" s="11"/>
      <c r="S2966" s="11"/>
      <c r="T2966" s="11"/>
      <c r="U2966" s="11">
        <f t="shared" si="977"/>
        <v>2</v>
      </c>
      <c r="W2966">
        <v>2.2000000000000002</v>
      </c>
      <c r="X2966" s="1" t="s">
        <v>24</v>
      </c>
    </row>
    <row r="2967" spans="1:24" x14ac:dyDescent="0.25">
      <c r="A2967" s="1" t="str">
        <f t="shared" si="978"/>
        <v>卡卡杜-凤凰仓</v>
      </c>
      <c r="B2967" s="1" t="str">
        <f>"CK2024102411026"</f>
        <v>CK2024102411026</v>
      </c>
      <c r="C2967" s="1" t="str">
        <f>"DD2024102454937"</f>
        <v>DD2024102454937</v>
      </c>
      <c r="D2967" s="1" t="str">
        <f>"CK2024102447970"</f>
        <v>CK2024102447970</v>
      </c>
      <c r="E2967" s="1" t="str">
        <f>"3723531808107008000"</f>
        <v>3723531808107008000</v>
      </c>
      <c r="F2967" s="1" t="str">
        <f t="shared" si="979"/>
        <v>花都四部-凤凰仓</v>
      </c>
      <c r="G2967" s="1" t="str">
        <f t="shared" si="984"/>
        <v>卡卡杜企业店（视频号）</v>
      </c>
      <c r="H2967" s="1" t="str">
        <f t="shared" si="980"/>
        <v>正常订单</v>
      </c>
      <c r="I2967" s="1" t="str">
        <f t="shared" si="981"/>
        <v>已发货</v>
      </c>
      <c r="J2967" s="1" t="str">
        <f>"2"</f>
        <v>2</v>
      </c>
      <c r="K2967" s="1">
        <v>2</v>
      </c>
      <c r="L2967" s="1" t="s">
        <v>74</v>
      </c>
      <c r="M2967" s="1" t="str">
        <f>"上海 上海市 徐汇区 "</f>
        <v xml:space="preserve">上海 上海市 徐汇区 </v>
      </c>
      <c r="N2967" s="1" t="str">
        <f t="shared" si="985"/>
        <v>凡华云仓-城南圆通-微信视频号</v>
      </c>
      <c r="O2967" s="5" t="s">
        <v>3001</v>
      </c>
      <c r="P2967" s="6">
        <v>0.17</v>
      </c>
      <c r="Q2967" s="11">
        <v>2</v>
      </c>
      <c r="R2967" s="11"/>
      <c r="S2967" s="11"/>
      <c r="T2967" s="11"/>
      <c r="U2967" s="11">
        <f t="shared" si="977"/>
        <v>2</v>
      </c>
      <c r="W2967">
        <v>2.2000000000000002</v>
      </c>
      <c r="X2967" s="1" t="s">
        <v>74</v>
      </c>
    </row>
    <row r="2968" spans="1:24" x14ac:dyDescent="0.25">
      <c r="A2968" s="1" t="str">
        <f t="shared" si="978"/>
        <v>卡卡杜-凤凰仓</v>
      </c>
      <c r="B2968" s="1" t="str">
        <f>"CK2024102411027"</f>
        <v>CK2024102411027</v>
      </c>
      <c r="C2968" s="1" t="str">
        <f>"DD2024102454936"</f>
        <v>DD2024102454936</v>
      </c>
      <c r="D2968" s="1" t="str">
        <f>"CK2024102447969"</f>
        <v>CK2024102447969</v>
      </c>
      <c r="E2968" s="1" t="str">
        <f>"3723531869128102912"</f>
        <v>3723531869128102912</v>
      </c>
      <c r="F2968" s="1" t="str">
        <f t="shared" si="979"/>
        <v>花都四部-凤凰仓</v>
      </c>
      <c r="G2968" s="1" t="str">
        <f t="shared" si="984"/>
        <v>卡卡杜企业店（视频号）</v>
      </c>
      <c r="H2968" s="1" t="str">
        <f t="shared" si="980"/>
        <v>正常订单</v>
      </c>
      <c r="I2968" s="1" t="str">
        <f t="shared" si="981"/>
        <v>已发货</v>
      </c>
      <c r="J2968" s="1" t="str">
        <f>"2"</f>
        <v>2</v>
      </c>
      <c r="K2968" s="1">
        <v>2</v>
      </c>
      <c r="L2968" s="1" t="s">
        <v>187</v>
      </c>
      <c r="M2968" s="1" t="str">
        <f>"吉林省 长春市 朝阳区 "</f>
        <v xml:space="preserve">吉林省 长春市 朝阳区 </v>
      </c>
      <c r="N2968" s="1" t="str">
        <f t="shared" si="985"/>
        <v>凡华云仓-城南圆通-微信视频号</v>
      </c>
      <c r="O2968" s="5" t="s">
        <v>3002</v>
      </c>
      <c r="P2968" s="6">
        <v>0.17</v>
      </c>
      <c r="Q2968" s="11">
        <v>2</v>
      </c>
      <c r="R2968" s="11"/>
      <c r="S2968" s="11"/>
      <c r="T2968" s="11"/>
      <c r="U2968" s="11">
        <f t="shared" si="977"/>
        <v>2</v>
      </c>
      <c r="W2968">
        <v>2.2000000000000002</v>
      </c>
      <c r="X2968" s="1" t="s">
        <v>187</v>
      </c>
    </row>
    <row r="2969" spans="1:24" x14ac:dyDescent="0.25">
      <c r="A2969" s="1" t="str">
        <f t="shared" si="978"/>
        <v>卡卡杜-凤凰仓</v>
      </c>
      <c r="B2969" s="1" t="str">
        <f>"CK2024102411012"</f>
        <v>CK2024102411012</v>
      </c>
      <c r="C2969" s="1" t="str">
        <f>"DD2024102454733"</f>
        <v>DD2024102454733</v>
      </c>
      <c r="D2969" s="1" t="str">
        <f>"CK2024102447968"</f>
        <v>CK2024102447968</v>
      </c>
      <c r="E2969" s="1" t="str">
        <f>"3723531899310048768"</f>
        <v>3723531899310048768</v>
      </c>
      <c r="F2969" s="1" t="str">
        <f t="shared" si="979"/>
        <v>花都四部-凤凰仓</v>
      </c>
      <c r="G2969" s="1" t="str">
        <f t="shared" si="984"/>
        <v>卡卡杜企业店（视频号）</v>
      </c>
      <c r="H2969" s="1" t="str">
        <f t="shared" si="980"/>
        <v>正常订单</v>
      </c>
      <c r="I2969" s="1" t="str">
        <f t="shared" si="981"/>
        <v>已发货</v>
      </c>
      <c r="J2969" s="1" t="str">
        <f>"3"</f>
        <v>3</v>
      </c>
      <c r="K2969" s="1">
        <v>2</v>
      </c>
      <c r="L2969" s="1" t="s">
        <v>105</v>
      </c>
      <c r="M2969" s="1" t="str">
        <f>"北京 北京市 通州区 "</f>
        <v xml:space="preserve">北京 北京市 通州区 </v>
      </c>
      <c r="N2969" s="1" t="str">
        <f t="shared" si="985"/>
        <v>凡华云仓-城南圆通-微信视频号</v>
      </c>
      <c r="O2969" s="5" t="s">
        <v>3003</v>
      </c>
      <c r="P2969" s="6">
        <v>0.24</v>
      </c>
      <c r="Q2969" s="11">
        <v>2</v>
      </c>
      <c r="R2969" s="11"/>
      <c r="S2969" s="11"/>
      <c r="T2969" s="11"/>
      <c r="U2969" s="11">
        <f t="shared" si="977"/>
        <v>2</v>
      </c>
      <c r="W2969">
        <v>2.2000000000000002</v>
      </c>
      <c r="X2969" s="1" t="s">
        <v>105</v>
      </c>
    </row>
    <row r="2970" spans="1:24" x14ac:dyDescent="0.25">
      <c r="A2970" s="1" t="str">
        <f t="shared" si="978"/>
        <v>卡卡杜-凤凰仓</v>
      </c>
      <c r="B2970" s="1" t="str">
        <f>"CK2024103112250"</f>
        <v>CK2024103112250</v>
      </c>
      <c r="C2970" s="1" t="str">
        <f>"DD2024103133086"</f>
        <v>DD2024103133086</v>
      </c>
      <c r="D2970" s="1" t="str">
        <f>"CK2024103132947"</f>
        <v>CK2024103132947</v>
      </c>
      <c r="E2970" s="1" t="str">
        <f>"KKD20241031YP006"</f>
        <v>KKD20241031YP006</v>
      </c>
      <c r="F2970" s="1" t="str">
        <f t="shared" si="979"/>
        <v>花都四部-凤凰仓</v>
      </c>
      <c r="G2970" s="1" t="str">
        <f>"卡卡杜全欣样品"</f>
        <v>卡卡杜全欣样品</v>
      </c>
      <c r="H2970" s="1" t="str">
        <f t="shared" si="980"/>
        <v>正常订单</v>
      </c>
      <c r="I2970" s="1" t="str">
        <f t="shared" si="981"/>
        <v>已发货</v>
      </c>
      <c r="J2970" s="1" t="str">
        <f>"5"</f>
        <v>5</v>
      </c>
      <c r="K2970" s="1">
        <v>4</v>
      </c>
      <c r="L2970" s="1" t="s">
        <v>20</v>
      </c>
      <c r="M2970" s="1" t="str">
        <f>"浙江省 嘉兴市 海宁市 "</f>
        <v xml:space="preserve">浙江省 嘉兴市 海宁市 </v>
      </c>
      <c r="N2970" s="1" t="str">
        <f>"凡华云仓-城南圆通-淘宝"</f>
        <v>凡华云仓-城南圆通-淘宝</v>
      </c>
      <c r="O2970" s="3" t="s">
        <v>3004</v>
      </c>
      <c r="P2970" s="6">
        <v>0.56000000000000005</v>
      </c>
      <c r="Q2970" s="11">
        <f t="shared" ref="Q2970:Q2973" si="987">CEILING(P2970-0.5,0.1)*10*0.15+2.3</f>
        <v>2.4499999999999997</v>
      </c>
      <c r="R2970" s="11"/>
      <c r="S2970" s="11">
        <v>0.15</v>
      </c>
      <c r="T2970" s="11"/>
      <c r="U2970" s="11">
        <f t="shared" si="977"/>
        <v>2.5999999999999996</v>
      </c>
      <c r="V2970" t="s">
        <v>15</v>
      </c>
      <c r="W2970">
        <v>2.6</v>
      </c>
      <c r="X2970" s="1" t="s">
        <v>20</v>
      </c>
    </row>
    <row r="2971" spans="1:24" x14ac:dyDescent="0.25">
      <c r="A2971" s="1" t="str">
        <f t="shared" si="978"/>
        <v>卡卡杜-凤凰仓</v>
      </c>
      <c r="B2971" s="1" t="str">
        <f>"CK202410307434"</f>
        <v>CK202410307434</v>
      </c>
      <c r="C2971" s="1" t="str">
        <f>"DD2024103088756"</f>
        <v>DD2024103088756</v>
      </c>
      <c r="D2971" s="1" t="str">
        <f>"CK2024103067673"</f>
        <v>CK2024103067673</v>
      </c>
      <c r="E2971" s="1" t="str">
        <f>"KKD20241030YP010"</f>
        <v>KKD20241030YP010</v>
      </c>
      <c r="F2971" s="1" t="str">
        <f t="shared" si="979"/>
        <v>花都四部-凤凰仓</v>
      </c>
      <c r="G2971" s="1" t="str">
        <f>"卡卡杜全欣样品"</f>
        <v>卡卡杜全欣样品</v>
      </c>
      <c r="H2971" s="1" t="str">
        <f t="shared" si="980"/>
        <v>正常订单</v>
      </c>
      <c r="I2971" s="1" t="str">
        <f t="shared" si="981"/>
        <v>已发货</v>
      </c>
      <c r="J2971" s="1" t="str">
        <f>"5"</f>
        <v>5</v>
      </c>
      <c r="K2971" s="1">
        <v>4</v>
      </c>
      <c r="L2971" s="1" t="s">
        <v>30</v>
      </c>
      <c r="M2971" s="1" t="str">
        <f>"山东省 青岛市 城阳区 "</f>
        <v xml:space="preserve">山东省 青岛市 城阳区 </v>
      </c>
      <c r="N2971" s="1" t="str">
        <f>"凡华云仓-城南圆通-淘宝"</f>
        <v>凡华云仓-城南圆通-淘宝</v>
      </c>
      <c r="O2971" s="3" t="s">
        <v>3005</v>
      </c>
      <c r="P2971" s="6">
        <v>0.56000000000000005</v>
      </c>
      <c r="Q2971" s="11">
        <f t="shared" si="987"/>
        <v>2.4499999999999997</v>
      </c>
      <c r="R2971" s="11"/>
      <c r="S2971" s="11">
        <v>0.15</v>
      </c>
      <c r="T2971" s="11"/>
      <c r="U2971" s="11">
        <f t="shared" si="977"/>
        <v>2.5999999999999996</v>
      </c>
      <c r="V2971" t="s">
        <v>15</v>
      </c>
      <c r="W2971">
        <v>2.6</v>
      </c>
      <c r="X2971" s="1" t="s">
        <v>30</v>
      </c>
    </row>
    <row r="2972" spans="1:24" x14ac:dyDescent="0.25">
      <c r="A2972" s="1" t="str">
        <f t="shared" si="978"/>
        <v>卡卡杜-凤凰仓</v>
      </c>
      <c r="B2972" s="1" t="str">
        <f>"CK2024102411028"</f>
        <v>CK2024102411028</v>
      </c>
      <c r="C2972" s="1" t="str">
        <f>"DD2024102454939"</f>
        <v>DD2024102454939</v>
      </c>
      <c r="D2972" s="1" t="str">
        <f>"CK2024102447948"</f>
        <v>CK2024102447948</v>
      </c>
      <c r="E2972" s="1" t="str">
        <f>"kkd20241024yp003"</f>
        <v>kkd20241024yp003</v>
      </c>
      <c r="F2972" s="1" t="str">
        <f t="shared" si="979"/>
        <v>花都四部-凤凰仓</v>
      </c>
      <c r="G2972" s="1" t="str">
        <f t="shared" ref="G2972:G2973" si="988">"卡卡杜全欣样品"</f>
        <v>卡卡杜全欣样品</v>
      </c>
      <c r="H2972" s="1" t="str">
        <f t="shared" si="980"/>
        <v>正常订单</v>
      </c>
      <c r="I2972" s="1" t="str">
        <f t="shared" si="981"/>
        <v>已发货</v>
      </c>
      <c r="J2972" s="1" t="str">
        <f>"10"</f>
        <v>10</v>
      </c>
      <c r="K2972" s="1">
        <v>7</v>
      </c>
      <c r="L2972" s="1" t="s">
        <v>187</v>
      </c>
      <c r="M2972" s="1" t="str">
        <f>"吉林省 长春市 高新技术产业开发区 "</f>
        <v xml:space="preserve">吉林省 长春市 高新技术产业开发区 </v>
      </c>
      <c r="N2972" s="1" t="str">
        <f t="shared" ref="N2972:N2973" si="989">"凡华云仓-城南圆通-淘宝"</f>
        <v>凡华云仓-城南圆通-淘宝</v>
      </c>
      <c r="O2972" s="3" t="s">
        <v>3006</v>
      </c>
      <c r="P2972" s="6">
        <v>1.28</v>
      </c>
      <c r="Q2972" s="11">
        <f t="shared" si="987"/>
        <v>3.5</v>
      </c>
      <c r="R2972" s="11">
        <f>(K2972-3)*0.1</f>
        <v>0.4</v>
      </c>
      <c r="S2972" s="11">
        <v>0.15</v>
      </c>
      <c r="T2972" s="11"/>
      <c r="U2972" s="11">
        <f t="shared" si="977"/>
        <v>4.05</v>
      </c>
      <c r="V2972" t="s">
        <v>15</v>
      </c>
      <c r="W2972">
        <v>4.05</v>
      </c>
      <c r="X2972" s="1" t="s">
        <v>187</v>
      </c>
    </row>
    <row r="2973" spans="1:24" x14ac:dyDescent="0.25">
      <c r="A2973" s="1" t="str">
        <f t="shared" si="978"/>
        <v>卡卡杜-凤凰仓</v>
      </c>
      <c r="B2973" s="1" t="str">
        <f>"CK2024102411029"</f>
        <v>CK2024102411029</v>
      </c>
      <c r="C2973" s="1" t="str">
        <f>"DD2024102454938"</f>
        <v>DD2024102454938</v>
      </c>
      <c r="D2973" s="1" t="str">
        <f>"CK2024102447947"</f>
        <v>CK2024102447947</v>
      </c>
      <c r="E2973" s="1" t="str">
        <f>"kkd20241024yp004"</f>
        <v>kkd20241024yp004</v>
      </c>
      <c r="F2973" s="1" t="str">
        <f t="shared" si="979"/>
        <v>花都四部-凤凰仓</v>
      </c>
      <c r="G2973" s="1" t="str">
        <f t="shared" si="988"/>
        <v>卡卡杜全欣样品</v>
      </c>
      <c r="H2973" s="1" t="str">
        <f t="shared" si="980"/>
        <v>正常订单</v>
      </c>
      <c r="I2973" s="1" t="str">
        <f t="shared" si="981"/>
        <v>已发货</v>
      </c>
      <c r="J2973" s="1" t="str">
        <f>"10"</f>
        <v>10</v>
      </c>
      <c r="K2973" s="1">
        <v>8</v>
      </c>
      <c r="L2973" s="1" t="s">
        <v>20</v>
      </c>
      <c r="M2973" s="1" t="str">
        <f>"浙江省 金华市 东阳市 "</f>
        <v xml:space="preserve">浙江省 金华市 东阳市 </v>
      </c>
      <c r="N2973" s="1" t="str">
        <f t="shared" si="989"/>
        <v>凡华云仓-城南圆通-淘宝</v>
      </c>
      <c r="O2973" s="3" t="s">
        <v>3007</v>
      </c>
      <c r="P2973" s="6">
        <v>1.6</v>
      </c>
      <c r="Q2973" s="11">
        <f t="shared" si="987"/>
        <v>3.9499999999999997</v>
      </c>
      <c r="R2973" s="11">
        <f>(K2973-3)*0.1</f>
        <v>0.5</v>
      </c>
      <c r="S2973" s="11">
        <v>0.15</v>
      </c>
      <c r="T2973" s="11"/>
      <c r="U2973" s="11">
        <f t="shared" si="977"/>
        <v>4.5999999999999996</v>
      </c>
      <c r="V2973" t="s">
        <v>15</v>
      </c>
      <c r="W2973">
        <v>4.5999999999999996</v>
      </c>
      <c r="X2973" s="1" t="s">
        <v>20</v>
      </c>
    </row>
    <row r="2974" spans="1:24" x14ac:dyDescent="0.25">
      <c r="A2974" s="1" t="str">
        <f t="shared" si="978"/>
        <v>卡卡杜-凤凰仓</v>
      </c>
      <c r="B2974" s="1" t="str">
        <f>"CK2024102410981"</f>
        <v>CK2024102410981</v>
      </c>
      <c r="C2974" s="1" t="str">
        <f>"DD2024102454671"</f>
        <v>DD2024102454671</v>
      </c>
      <c r="D2974" s="1" t="str">
        <f>"CK2024102447946"</f>
        <v>CK2024102447946</v>
      </c>
      <c r="E2974" s="1" t="str">
        <f>"2429801688243028"</f>
        <v>2429801688243028</v>
      </c>
      <c r="F2974" s="1" t="str">
        <f t="shared" si="979"/>
        <v>花都四部-凤凰仓</v>
      </c>
      <c r="G2974" s="1" t="str">
        <f t="shared" ref="G2974:G2993" si="990">"卡卡杜佳旺专卖店（快手店）"</f>
        <v>卡卡杜佳旺专卖店（快手店）</v>
      </c>
      <c r="H2974" s="1" t="str">
        <f t="shared" si="980"/>
        <v>正常订单</v>
      </c>
      <c r="I2974" s="1" t="str">
        <f t="shared" si="981"/>
        <v>已发货</v>
      </c>
      <c r="J2974" s="1" t="str">
        <f t="shared" ref="J2974:J2978" si="991">"3"</f>
        <v>3</v>
      </c>
      <c r="K2974" s="1">
        <v>3</v>
      </c>
      <c r="L2974" s="1" t="s">
        <v>16</v>
      </c>
      <c r="M2974" s="1" t="str">
        <f>"河北省 邯郸市 永年区 大北汪镇"</f>
        <v>河北省 邯郸市 永年区 大北汪镇</v>
      </c>
      <c r="N2974" s="1" t="str">
        <f t="shared" ref="N2974:N2993" si="992">"凡华云仓-城南圆通-快手"</f>
        <v>凡华云仓-城南圆通-快手</v>
      </c>
      <c r="O2974" s="5" t="s">
        <v>3008</v>
      </c>
      <c r="P2974" s="6">
        <v>0.34</v>
      </c>
      <c r="Q2974" s="11">
        <v>2.2999999999999998</v>
      </c>
      <c r="R2974" s="11"/>
      <c r="S2974" s="11"/>
      <c r="T2974" s="11"/>
      <c r="U2974" s="11">
        <f t="shared" si="977"/>
        <v>2.2999999999999998</v>
      </c>
      <c r="W2974">
        <v>2.5</v>
      </c>
      <c r="X2974" s="1" t="s">
        <v>16</v>
      </c>
    </row>
    <row r="2975" spans="1:24" x14ac:dyDescent="0.25">
      <c r="A2975" s="1" t="str">
        <f t="shared" si="978"/>
        <v>卡卡杜-凤凰仓</v>
      </c>
      <c r="B2975" s="1" t="str">
        <f>"CK2024102410982"</f>
        <v>CK2024102410982</v>
      </c>
      <c r="C2975" s="1" t="str">
        <f>"DD2024102454674"</f>
        <v>DD2024102454674</v>
      </c>
      <c r="D2975" s="1" t="str">
        <f>"CK2024102447945"</f>
        <v>CK2024102447945</v>
      </c>
      <c r="E2975" s="1" t="str">
        <f>"2429802089306951"</f>
        <v>2429802089306951</v>
      </c>
      <c r="F2975" s="1" t="str">
        <f t="shared" si="979"/>
        <v>花都四部-凤凰仓</v>
      </c>
      <c r="G2975" s="1" t="str">
        <f t="shared" si="990"/>
        <v>卡卡杜佳旺专卖店（快手店）</v>
      </c>
      <c r="H2975" s="1" t="str">
        <f t="shared" si="980"/>
        <v>正常订单</v>
      </c>
      <c r="I2975" s="1" t="str">
        <f t="shared" si="981"/>
        <v>已发货</v>
      </c>
      <c r="J2975" s="1" t="str">
        <f t="shared" si="991"/>
        <v>3</v>
      </c>
      <c r="K2975" s="1">
        <v>2</v>
      </c>
      <c r="L2975" s="1" t="s">
        <v>20</v>
      </c>
      <c r="M2975" s="1" t="str">
        <f>"浙江省 嘉兴市 南湖区 长水街道"</f>
        <v>浙江省 嘉兴市 南湖区 长水街道</v>
      </c>
      <c r="N2975" s="1" t="str">
        <f t="shared" si="992"/>
        <v>凡华云仓-城南圆通-快手</v>
      </c>
      <c r="O2975" s="5" t="s">
        <v>3009</v>
      </c>
      <c r="P2975" s="6">
        <v>0.35</v>
      </c>
      <c r="Q2975" s="11">
        <v>2.2999999999999998</v>
      </c>
      <c r="R2975" s="11"/>
      <c r="S2975" s="11"/>
      <c r="T2975" s="11"/>
      <c r="U2975" s="11">
        <f t="shared" si="977"/>
        <v>2.2999999999999998</v>
      </c>
      <c r="W2975">
        <v>2.5</v>
      </c>
      <c r="X2975" s="1" t="s">
        <v>20</v>
      </c>
    </row>
    <row r="2976" spans="1:24" x14ac:dyDescent="0.25">
      <c r="A2976" s="1" t="str">
        <f t="shared" si="978"/>
        <v>卡卡杜-凤凰仓</v>
      </c>
      <c r="B2976" s="1" t="str">
        <f>"CK2024102410986"</f>
        <v>CK2024102410986</v>
      </c>
      <c r="C2976" s="1" t="str">
        <f>"DD2024102454683"</f>
        <v>DD2024102454683</v>
      </c>
      <c r="D2976" s="1" t="str">
        <f>"CK2024102447944"</f>
        <v>CK2024102447944</v>
      </c>
      <c r="E2976" s="1" t="str">
        <f>"2429801688433951"</f>
        <v>2429801688433951</v>
      </c>
      <c r="F2976" s="1" t="str">
        <f t="shared" si="979"/>
        <v>花都四部-凤凰仓</v>
      </c>
      <c r="G2976" s="1" t="str">
        <f t="shared" si="990"/>
        <v>卡卡杜佳旺专卖店（快手店）</v>
      </c>
      <c r="H2976" s="1" t="str">
        <f t="shared" si="980"/>
        <v>正常订单</v>
      </c>
      <c r="I2976" s="1" t="str">
        <f t="shared" si="981"/>
        <v>已发货</v>
      </c>
      <c r="J2976" s="1" t="str">
        <f t="shared" si="991"/>
        <v>3</v>
      </c>
      <c r="K2976" s="1">
        <v>2</v>
      </c>
      <c r="L2976" s="1" t="s">
        <v>92</v>
      </c>
      <c r="M2976" s="1" t="str">
        <f>"辽宁省 大连市 瓦房店市 共济街道"</f>
        <v>辽宁省 大连市 瓦房店市 共济街道</v>
      </c>
      <c r="N2976" s="1" t="str">
        <f t="shared" si="992"/>
        <v>凡华云仓-城南圆通-快手</v>
      </c>
      <c r="O2976" s="5" t="s">
        <v>3010</v>
      </c>
      <c r="P2976" s="6">
        <v>0.35</v>
      </c>
      <c r="Q2976" s="11">
        <v>2.2999999999999998</v>
      </c>
      <c r="R2976" s="11"/>
      <c r="S2976" s="11"/>
      <c r="T2976" s="11"/>
      <c r="U2976" s="11">
        <f t="shared" si="977"/>
        <v>2.2999999999999998</v>
      </c>
      <c r="W2976">
        <v>2.5</v>
      </c>
      <c r="X2976" s="1" t="s">
        <v>92</v>
      </c>
    </row>
    <row r="2977" spans="1:24" x14ac:dyDescent="0.25">
      <c r="A2977" s="1" t="str">
        <f t="shared" si="978"/>
        <v>卡卡杜-凤凰仓</v>
      </c>
      <c r="B2977" s="1" t="str">
        <f>"CK2024102410998"</f>
        <v>CK2024102410998</v>
      </c>
      <c r="C2977" s="1" t="str">
        <f>"DD2024102454707"</f>
        <v>DD2024102454707</v>
      </c>
      <c r="D2977" s="1" t="str">
        <f>"CK2024102447943"</f>
        <v>CK2024102447943</v>
      </c>
      <c r="E2977" s="1" t="str">
        <f>"2429802004256577"</f>
        <v>2429802004256577</v>
      </c>
      <c r="F2977" s="1" t="str">
        <f t="shared" si="979"/>
        <v>花都四部-凤凰仓</v>
      </c>
      <c r="G2977" s="1" t="str">
        <f t="shared" si="990"/>
        <v>卡卡杜佳旺专卖店（快手店）</v>
      </c>
      <c r="H2977" s="1" t="str">
        <f t="shared" si="980"/>
        <v>正常订单</v>
      </c>
      <c r="I2977" s="1" t="str">
        <f t="shared" si="981"/>
        <v>已发货</v>
      </c>
      <c r="J2977" s="1" t="str">
        <f t="shared" si="991"/>
        <v>3</v>
      </c>
      <c r="K2977" s="1">
        <v>2</v>
      </c>
      <c r="L2977" s="1" t="s">
        <v>92</v>
      </c>
      <c r="M2977" s="1" t="str">
        <f>"辽宁省 营口市 老边区 路南镇"</f>
        <v>辽宁省 营口市 老边区 路南镇</v>
      </c>
      <c r="N2977" s="1" t="str">
        <f t="shared" si="992"/>
        <v>凡华云仓-城南圆通-快手</v>
      </c>
      <c r="O2977" s="5" t="s">
        <v>3011</v>
      </c>
      <c r="P2977" s="6">
        <v>0.35</v>
      </c>
      <c r="Q2977" s="11">
        <v>2.2999999999999998</v>
      </c>
      <c r="R2977" s="11"/>
      <c r="S2977" s="11"/>
      <c r="T2977" s="11"/>
      <c r="U2977" s="11">
        <f t="shared" si="977"/>
        <v>2.2999999999999998</v>
      </c>
      <c r="W2977">
        <v>2.5</v>
      </c>
      <c r="X2977" s="1" t="s">
        <v>92</v>
      </c>
    </row>
    <row r="2978" spans="1:24" x14ac:dyDescent="0.25">
      <c r="A2978" s="1" t="str">
        <f t="shared" si="978"/>
        <v>卡卡杜-凤凰仓</v>
      </c>
      <c r="B2978" s="1" t="str">
        <f>"CK2024102410996"</f>
        <v>CK2024102410996</v>
      </c>
      <c r="C2978" s="1" t="str">
        <f>"DD2024102454700"</f>
        <v>DD2024102454700</v>
      </c>
      <c r="D2978" s="1" t="str">
        <f>"CK2024102447942"</f>
        <v>CK2024102447942</v>
      </c>
      <c r="E2978" s="1" t="str">
        <f>"2429802249840384"</f>
        <v>2429802249840384</v>
      </c>
      <c r="F2978" s="1" t="str">
        <f t="shared" si="979"/>
        <v>花都四部-凤凰仓</v>
      </c>
      <c r="G2978" s="1" t="str">
        <f t="shared" si="990"/>
        <v>卡卡杜佳旺专卖店（快手店）</v>
      </c>
      <c r="H2978" s="1" t="str">
        <f t="shared" si="980"/>
        <v>正常订单</v>
      </c>
      <c r="I2978" s="1" t="str">
        <f t="shared" si="981"/>
        <v>已发货</v>
      </c>
      <c r="J2978" s="1" t="str">
        <f t="shared" si="991"/>
        <v>3</v>
      </c>
      <c r="K2978" s="1">
        <v>2</v>
      </c>
      <c r="L2978" s="1" t="s">
        <v>13</v>
      </c>
      <c r="M2978" s="1" t="str">
        <f>"江苏省 泰州市 靖江市 季市镇"</f>
        <v>江苏省 泰州市 靖江市 季市镇</v>
      </c>
      <c r="N2978" s="1" t="str">
        <f t="shared" si="992"/>
        <v>凡华云仓-城南圆通-快手</v>
      </c>
      <c r="O2978" s="5" t="s">
        <v>3012</v>
      </c>
      <c r="P2978" s="6">
        <v>0.35</v>
      </c>
      <c r="Q2978" s="11">
        <v>2.2999999999999998</v>
      </c>
      <c r="R2978" s="11"/>
      <c r="S2978" s="11"/>
      <c r="T2978" s="11"/>
      <c r="U2978" s="11">
        <f t="shared" si="977"/>
        <v>2.2999999999999998</v>
      </c>
      <c r="W2978">
        <v>2.5</v>
      </c>
      <c r="X2978" s="1" t="s">
        <v>13</v>
      </c>
    </row>
    <row r="2979" spans="1:24" x14ac:dyDescent="0.25">
      <c r="A2979" s="1" t="str">
        <f t="shared" si="978"/>
        <v>卡卡杜-凤凰仓</v>
      </c>
      <c r="B2979" s="1" t="str">
        <f>"CK2024102411020"</f>
        <v>CK2024102411020</v>
      </c>
      <c r="C2979" s="1" t="str">
        <f>"DD2024102454900"</f>
        <v>DD2024102454900</v>
      </c>
      <c r="D2979" s="1" t="str">
        <f>"CK2024102447941"</f>
        <v>CK2024102447941</v>
      </c>
      <c r="E2979" s="1" t="str">
        <f>"2429801762545649"</f>
        <v>2429801762545649</v>
      </c>
      <c r="F2979" s="1" t="str">
        <f t="shared" si="979"/>
        <v>花都四部-凤凰仓</v>
      </c>
      <c r="G2979" s="1" t="str">
        <f t="shared" si="990"/>
        <v>卡卡杜佳旺专卖店（快手店）</v>
      </c>
      <c r="H2979" s="1" t="str">
        <f t="shared" si="980"/>
        <v>正常订单</v>
      </c>
      <c r="I2979" s="1" t="str">
        <f t="shared" si="981"/>
        <v>已发货</v>
      </c>
      <c r="J2979" s="1" t="str">
        <f>"5"</f>
        <v>5</v>
      </c>
      <c r="K2979" s="1">
        <v>2</v>
      </c>
      <c r="L2979" s="1" t="s">
        <v>30</v>
      </c>
      <c r="M2979" s="1" t="str">
        <f>"山东省 青岛市 城阳区 棘洪滩街道"</f>
        <v>山东省 青岛市 城阳区 棘洪滩街道</v>
      </c>
      <c r="N2979" s="1" t="str">
        <f t="shared" si="992"/>
        <v>凡华云仓-城南圆通-快手</v>
      </c>
      <c r="O2979" s="5" t="s">
        <v>3013</v>
      </c>
      <c r="P2979" s="6">
        <v>0.59</v>
      </c>
      <c r="Q2979" s="11">
        <f>CEILING(P2979-0.5,0.1)*10*0.15+2.3</f>
        <v>2.4499999999999997</v>
      </c>
      <c r="R2979" s="11"/>
      <c r="S2979" s="11"/>
      <c r="T2979" s="11"/>
      <c r="U2979" s="11">
        <f t="shared" si="977"/>
        <v>2.4499999999999997</v>
      </c>
      <c r="V2979" t="s">
        <v>15</v>
      </c>
      <c r="W2979">
        <v>2.4500000000000002</v>
      </c>
      <c r="X2979" s="1" t="s">
        <v>30</v>
      </c>
    </row>
    <row r="2980" spans="1:24" x14ac:dyDescent="0.25">
      <c r="A2980" s="1" t="str">
        <f t="shared" si="978"/>
        <v>卡卡杜-凤凰仓</v>
      </c>
      <c r="B2980" s="1" t="str">
        <f>"CK2024102410992"</f>
        <v>CK2024102410992</v>
      </c>
      <c r="C2980" s="1" t="str">
        <f>"DD2024102454695"</f>
        <v>DD2024102454695</v>
      </c>
      <c r="D2980" s="1" t="str">
        <f>"CK2024102447940"</f>
        <v>CK2024102447940</v>
      </c>
      <c r="E2980" s="1" t="str">
        <f>"2429801773721065"</f>
        <v>2429801773721065</v>
      </c>
      <c r="F2980" s="1" t="str">
        <f t="shared" si="979"/>
        <v>花都四部-凤凰仓</v>
      </c>
      <c r="G2980" s="1" t="str">
        <f t="shared" si="990"/>
        <v>卡卡杜佳旺专卖店（快手店）</v>
      </c>
      <c r="H2980" s="1" t="str">
        <f t="shared" si="980"/>
        <v>正常订单</v>
      </c>
      <c r="I2980" s="1" t="str">
        <f t="shared" si="981"/>
        <v>已发货</v>
      </c>
      <c r="J2980" s="1" t="str">
        <f t="shared" ref="J2980:J2984" si="993">"3"</f>
        <v>3</v>
      </c>
      <c r="K2980" s="1">
        <v>2</v>
      </c>
      <c r="L2980" s="1" t="s">
        <v>80</v>
      </c>
      <c r="M2980" s="1" t="str">
        <f>"河南省 信阳市 新县 新集镇"</f>
        <v>河南省 信阳市 新县 新集镇</v>
      </c>
      <c r="N2980" s="1" t="str">
        <f t="shared" si="992"/>
        <v>凡华云仓-城南圆通-快手</v>
      </c>
      <c r="O2980" s="5" t="s">
        <v>3014</v>
      </c>
      <c r="P2980" s="6">
        <v>0.35</v>
      </c>
      <c r="Q2980" s="11">
        <v>2.2999999999999998</v>
      </c>
      <c r="R2980" s="11"/>
      <c r="S2980" s="11"/>
      <c r="T2980" s="11"/>
      <c r="U2980" s="11">
        <f t="shared" si="977"/>
        <v>2.2999999999999998</v>
      </c>
      <c r="W2980">
        <v>2.5</v>
      </c>
      <c r="X2980" s="1" t="s">
        <v>80</v>
      </c>
    </row>
    <row r="2981" spans="1:24" x14ac:dyDescent="0.25">
      <c r="A2981" s="1" t="str">
        <f t="shared" si="978"/>
        <v>卡卡杜-凤凰仓</v>
      </c>
      <c r="B2981" s="1" t="str">
        <f>"CK2024102410988"</f>
        <v>CK2024102410988</v>
      </c>
      <c r="C2981" s="1" t="str">
        <f>"DD2024102454684"</f>
        <v>DD2024102454684</v>
      </c>
      <c r="D2981" s="1" t="str">
        <f>"CK2024102447939"</f>
        <v>CK2024102447939</v>
      </c>
      <c r="E2981" s="1" t="str">
        <f>"2429802332011605"</f>
        <v>2429802332011605</v>
      </c>
      <c r="F2981" s="1" t="str">
        <f t="shared" si="979"/>
        <v>花都四部-凤凰仓</v>
      </c>
      <c r="G2981" s="1" t="str">
        <f t="shared" si="990"/>
        <v>卡卡杜佳旺专卖店（快手店）</v>
      </c>
      <c r="H2981" s="1" t="str">
        <f t="shared" si="980"/>
        <v>正常订单</v>
      </c>
      <c r="I2981" s="1" t="str">
        <f t="shared" si="981"/>
        <v>已发货</v>
      </c>
      <c r="J2981" s="1" t="str">
        <f t="shared" si="993"/>
        <v>3</v>
      </c>
      <c r="K2981" s="1">
        <v>2</v>
      </c>
      <c r="L2981" s="1" t="s">
        <v>13</v>
      </c>
      <c r="M2981" s="1" t="str">
        <f>"江苏省 苏州市 苏州工业园区 斜塘街道"</f>
        <v>江苏省 苏州市 苏州工业园区 斜塘街道</v>
      </c>
      <c r="N2981" s="1" t="str">
        <f t="shared" si="992"/>
        <v>凡华云仓-城南圆通-快手</v>
      </c>
      <c r="O2981" s="5" t="s">
        <v>3015</v>
      </c>
      <c r="P2981" s="6">
        <v>0.35</v>
      </c>
      <c r="Q2981" s="11">
        <v>2.2999999999999998</v>
      </c>
      <c r="R2981" s="11"/>
      <c r="S2981" s="11"/>
      <c r="T2981" s="11"/>
      <c r="U2981" s="11">
        <f t="shared" si="977"/>
        <v>2.2999999999999998</v>
      </c>
      <c r="W2981">
        <v>2.5</v>
      </c>
      <c r="X2981" s="1" t="s">
        <v>13</v>
      </c>
    </row>
    <row r="2982" spans="1:24" x14ac:dyDescent="0.25">
      <c r="A2982" s="1" t="str">
        <f t="shared" si="978"/>
        <v>卡卡杜-凤凰仓</v>
      </c>
      <c r="B2982" s="1" t="str">
        <f>"CK2024102410997"</f>
        <v>CK2024102410997</v>
      </c>
      <c r="C2982" s="1" t="str">
        <f>"DD2024102454699"</f>
        <v>DD2024102454699</v>
      </c>
      <c r="D2982" s="1" t="str">
        <f>"CK2024102447938"</f>
        <v>CK2024102447938</v>
      </c>
      <c r="E2982" s="1" t="str">
        <f>"2429802173747605"</f>
        <v>2429802173747605</v>
      </c>
      <c r="F2982" s="1" t="str">
        <f t="shared" si="979"/>
        <v>花都四部-凤凰仓</v>
      </c>
      <c r="G2982" s="1" t="str">
        <f t="shared" si="990"/>
        <v>卡卡杜佳旺专卖店（快手店）</v>
      </c>
      <c r="H2982" s="1" t="str">
        <f t="shared" si="980"/>
        <v>正常订单</v>
      </c>
      <c r="I2982" s="1" t="str">
        <f t="shared" si="981"/>
        <v>已发货</v>
      </c>
      <c r="J2982" s="1" t="str">
        <f t="shared" si="993"/>
        <v>3</v>
      </c>
      <c r="K2982" s="1">
        <v>2</v>
      </c>
      <c r="L2982" s="1" t="s">
        <v>96</v>
      </c>
      <c r="M2982" s="1" t="str">
        <f>"广西壮族自治区 贺州市 八步区 信都镇"</f>
        <v>广西壮族自治区 贺州市 八步区 信都镇</v>
      </c>
      <c r="N2982" s="1" t="str">
        <f t="shared" si="992"/>
        <v>凡华云仓-城南圆通-快手</v>
      </c>
      <c r="O2982" s="5" t="s">
        <v>3016</v>
      </c>
      <c r="P2982" s="6">
        <v>0.35</v>
      </c>
      <c r="Q2982" s="11">
        <v>2.2999999999999998</v>
      </c>
      <c r="R2982" s="11"/>
      <c r="S2982" s="11"/>
      <c r="T2982" s="11"/>
      <c r="U2982" s="11">
        <f t="shared" si="977"/>
        <v>2.2999999999999998</v>
      </c>
      <c r="W2982">
        <v>2.5</v>
      </c>
      <c r="X2982" s="1" t="s">
        <v>96</v>
      </c>
    </row>
    <row r="2983" spans="1:24" x14ac:dyDescent="0.25">
      <c r="A2983" s="1" t="str">
        <f t="shared" si="978"/>
        <v>卡卡杜-凤凰仓</v>
      </c>
      <c r="B2983" s="1" t="str">
        <f>"CK2024102410987"</f>
        <v>CK2024102410987</v>
      </c>
      <c r="C2983" s="1" t="str">
        <f>"DD2024102454687"</f>
        <v>DD2024102454687</v>
      </c>
      <c r="D2983" s="1" t="str">
        <f>"CK2024102447937"</f>
        <v>CK2024102447937</v>
      </c>
      <c r="E2983" s="1" t="str">
        <f>"2429802093091951"</f>
        <v>2429802093091951</v>
      </c>
      <c r="F2983" s="1" t="str">
        <f t="shared" si="979"/>
        <v>花都四部-凤凰仓</v>
      </c>
      <c r="G2983" s="1" t="str">
        <f t="shared" si="990"/>
        <v>卡卡杜佳旺专卖店（快手店）</v>
      </c>
      <c r="H2983" s="1" t="str">
        <f t="shared" si="980"/>
        <v>正常订单</v>
      </c>
      <c r="I2983" s="1" t="str">
        <f t="shared" si="981"/>
        <v>已发货</v>
      </c>
      <c r="J2983" s="1" t="str">
        <f t="shared" si="993"/>
        <v>3</v>
      </c>
      <c r="K2983" s="1">
        <v>2</v>
      </c>
      <c r="L2983" s="1" t="s">
        <v>109</v>
      </c>
      <c r="M2983" s="1" t="str">
        <f>"山西省 太原市 阳曲县 侯村乡"</f>
        <v>山西省 太原市 阳曲县 侯村乡</v>
      </c>
      <c r="N2983" s="1" t="str">
        <f t="shared" si="992"/>
        <v>凡华云仓-城南圆通-快手</v>
      </c>
      <c r="O2983" s="5" t="s">
        <v>3017</v>
      </c>
      <c r="P2983" s="6">
        <v>0.35</v>
      </c>
      <c r="Q2983" s="11">
        <v>2.2999999999999998</v>
      </c>
      <c r="R2983" s="11"/>
      <c r="S2983" s="11"/>
      <c r="T2983" s="11"/>
      <c r="U2983" s="11">
        <f t="shared" si="977"/>
        <v>2.2999999999999998</v>
      </c>
      <c r="W2983">
        <v>2.5</v>
      </c>
      <c r="X2983" s="1" t="s">
        <v>109</v>
      </c>
    </row>
    <row r="2984" spans="1:24" x14ac:dyDescent="0.25">
      <c r="A2984" s="1" t="str">
        <f t="shared" si="978"/>
        <v>卡卡杜-凤凰仓</v>
      </c>
      <c r="B2984" s="1" t="str">
        <f>"CK2024102410991"</f>
        <v>CK2024102410991</v>
      </c>
      <c r="C2984" s="1" t="str">
        <f>"DD2024102454688"</f>
        <v>DD2024102454688</v>
      </c>
      <c r="D2984" s="1" t="str">
        <f>"CK2024102447936"</f>
        <v>CK2024102447936</v>
      </c>
      <c r="E2984" s="1" t="str">
        <f>"2429801769968518"</f>
        <v>2429801769968518</v>
      </c>
      <c r="F2984" s="1" t="str">
        <f t="shared" si="979"/>
        <v>花都四部-凤凰仓</v>
      </c>
      <c r="G2984" s="1" t="str">
        <f t="shared" si="990"/>
        <v>卡卡杜佳旺专卖店（快手店）</v>
      </c>
      <c r="H2984" s="1" t="str">
        <f t="shared" si="980"/>
        <v>正常订单</v>
      </c>
      <c r="I2984" s="1" t="str">
        <f t="shared" si="981"/>
        <v>已发货</v>
      </c>
      <c r="J2984" s="1" t="str">
        <f t="shared" si="993"/>
        <v>3</v>
      </c>
      <c r="K2984" s="1">
        <v>2</v>
      </c>
      <c r="L2984" s="1" t="s">
        <v>18</v>
      </c>
      <c r="M2984" s="1" t="str">
        <f>"广东省 佛山市 顺德区 杏坛镇"</f>
        <v>广东省 佛山市 顺德区 杏坛镇</v>
      </c>
      <c r="N2984" s="1" t="str">
        <f t="shared" si="992"/>
        <v>凡华云仓-城南圆通-快手</v>
      </c>
      <c r="O2984" s="5" t="s">
        <v>3018</v>
      </c>
      <c r="P2984" s="6">
        <v>0.35</v>
      </c>
      <c r="Q2984" s="11">
        <v>2.2999999999999998</v>
      </c>
      <c r="R2984" s="11"/>
      <c r="S2984" s="11"/>
      <c r="T2984" s="11"/>
      <c r="U2984" s="11">
        <f t="shared" si="977"/>
        <v>2.2999999999999998</v>
      </c>
      <c r="W2984">
        <v>2.5</v>
      </c>
      <c r="X2984" s="1" t="s">
        <v>18</v>
      </c>
    </row>
    <row r="2985" spans="1:24" x14ac:dyDescent="0.25">
      <c r="A2985" s="1" t="str">
        <f t="shared" si="978"/>
        <v>卡卡杜-凤凰仓</v>
      </c>
      <c r="B2985" s="1" t="str">
        <f>"CK2024102411024"</f>
        <v>CK2024102411024</v>
      </c>
      <c r="C2985" s="1" t="str">
        <f>"DD2024102454910"</f>
        <v>DD2024102454910</v>
      </c>
      <c r="D2985" s="1" t="str">
        <f>"CK2024102447935"</f>
        <v>CK2024102447935</v>
      </c>
      <c r="E2985" s="1" t="str">
        <f>"2429801773977400"</f>
        <v>2429801773977400</v>
      </c>
      <c r="F2985" s="1" t="str">
        <f t="shared" si="979"/>
        <v>花都四部-凤凰仓</v>
      </c>
      <c r="G2985" s="1" t="str">
        <f t="shared" si="990"/>
        <v>卡卡杜佳旺专卖店（快手店）</v>
      </c>
      <c r="H2985" s="1" t="str">
        <f t="shared" si="980"/>
        <v>正常订单</v>
      </c>
      <c r="I2985" s="1" t="str">
        <f t="shared" si="981"/>
        <v>已发货</v>
      </c>
      <c r="J2985" s="1" t="str">
        <f t="shared" ref="J2985:J2990" si="994">"5"</f>
        <v>5</v>
      </c>
      <c r="K2985" s="1">
        <v>2</v>
      </c>
      <c r="L2985" s="1" t="s">
        <v>16</v>
      </c>
      <c r="M2985" s="1" t="str">
        <f>"河北省 廊坊市 安次区 光明西道街道"</f>
        <v>河北省 廊坊市 安次区 光明西道街道</v>
      </c>
      <c r="N2985" s="1" t="str">
        <f t="shared" si="992"/>
        <v>凡华云仓-城南圆通-快手</v>
      </c>
      <c r="O2985" s="5" t="s">
        <v>3019</v>
      </c>
      <c r="P2985" s="6">
        <v>0.59</v>
      </c>
      <c r="Q2985" s="11">
        <f t="shared" ref="Q2985:Q2990" si="995">CEILING(P2985-0.5,0.1)*10*0.15+2.3</f>
        <v>2.4499999999999997</v>
      </c>
      <c r="R2985" s="11"/>
      <c r="S2985" s="11"/>
      <c r="T2985" s="11"/>
      <c r="U2985" s="11">
        <f t="shared" si="977"/>
        <v>2.4499999999999997</v>
      </c>
      <c r="V2985" t="s">
        <v>15</v>
      </c>
      <c r="W2985">
        <v>2.4500000000000002</v>
      </c>
      <c r="X2985" s="1" t="s">
        <v>16</v>
      </c>
    </row>
    <row r="2986" spans="1:24" x14ac:dyDescent="0.25">
      <c r="A2986" s="1" t="str">
        <f t="shared" si="978"/>
        <v>卡卡杜-凤凰仓</v>
      </c>
      <c r="B2986" s="1" t="str">
        <f>"CK2024102410984"</f>
        <v>CK2024102410984</v>
      </c>
      <c r="C2986" s="1" t="str">
        <f>"DD2024102454676"</f>
        <v>DD2024102454676</v>
      </c>
      <c r="D2986" s="1" t="str">
        <f>"CK2024102447934"</f>
        <v>CK2024102447934</v>
      </c>
      <c r="E2986" s="1" t="str">
        <f>"2429802006571717"</f>
        <v>2429802006571717</v>
      </c>
      <c r="F2986" s="1" t="str">
        <f t="shared" si="979"/>
        <v>花都四部-凤凰仓</v>
      </c>
      <c r="G2986" s="1" t="str">
        <f t="shared" si="990"/>
        <v>卡卡杜佳旺专卖店（快手店）</v>
      </c>
      <c r="H2986" s="1" t="str">
        <f t="shared" si="980"/>
        <v>正常订单</v>
      </c>
      <c r="I2986" s="1" t="str">
        <f t="shared" si="981"/>
        <v>已发货</v>
      </c>
      <c r="J2986" s="1" t="str">
        <f t="shared" ref="J2986:J2988" si="996">"3"</f>
        <v>3</v>
      </c>
      <c r="K2986" s="1">
        <v>2</v>
      </c>
      <c r="L2986" s="1" t="s">
        <v>32</v>
      </c>
      <c r="M2986" s="1" t="str">
        <f>"陕西省 咸阳市 渭城区 渭城街道"</f>
        <v>陕西省 咸阳市 渭城区 渭城街道</v>
      </c>
      <c r="N2986" s="1" t="str">
        <f t="shared" si="992"/>
        <v>凡华云仓-城南圆通-快手</v>
      </c>
      <c r="O2986" s="5" t="s">
        <v>3020</v>
      </c>
      <c r="P2986" s="6">
        <v>0.35</v>
      </c>
      <c r="Q2986" s="11">
        <v>2.2999999999999998</v>
      </c>
      <c r="R2986" s="11"/>
      <c r="S2986" s="11"/>
      <c r="T2986" s="11"/>
      <c r="U2986" s="11">
        <f t="shared" si="977"/>
        <v>2.2999999999999998</v>
      </c>
      <c r="W2986">
        <v>2.5</v>
      </c>
      <c r="X2986" s="1" t="s">
        <v>32</v>
      </c>
    </row>
    <row r="2987" spans="1:24" x14ac:dyDescent="0.25">
      <c r="A2987" s="1" t="str">
        <f t="shared" si="978"/>
        <v>卡卡杜-凤凰仓</v>
      </c>
      <c r="B2987" s="1" t="str">
        <f>"CK2024102411003"</f>
        <v>CK2024102411003</v>
      </c>
      <c r="C2987" s="1" t="str">
        <f>"DD2024102454713"</f>
        <v>DD2024102454713</v>
      </c>
      <c r="D2987" s="1" t="str">
        <f>"CK2024102447933"</f>
        <v>CK2024102447933</v>
      </c>
      <c r="E2987" s="1" t="str">
        <f>"2429801851259518"</f>
        <v>2429801851259518</v>
      </c>
      <c r="F2987" s="1" t="str">
        <f t="shared" si="979"/>
        <v>花都四部-凤凰仓</v>
      </c>
      <c r="G2987" s="1" t="str">
        <f t="shared" si="990"/>
        <v>卡卡杜佳旺专卖店（快手店）</v>
      </c>
      <c r="H2987" s="1" t="str">
        <f t="shared" si="980"/>
        <v>正常订单</v>
      </c>
      <c r="I2987" s="1" t="str">
        <f t="shared" si="981"/>
        <v>已发货</v>
      </c>
      <c r="J2987" s="1" t="str">
        <f t="shared" si="996"/>
        <v>3</v>
      </c>
      <c r="K2987" s="1">
        <v>2</v>
      </c>
      <c r="L2987" s="1" t="s">
        <v>13</v>
      </c>
      <c r="M2987" s="1" t="str">
        <f>"江苏省 无锡市 江阴市 周庄镇"</f>
        <v>江苏省 无锡市 江阴市 周庄镇</v>
      </c>
      <c r="N2987" s="1" t="str">
        <f t="shared" si="992"/>
        <v>凡华云仓-城南圆通-快手</v>
      </c>
      <c r="O2987" s="5" t="s">
        <v>3021</v>
      </c>
      <c r="P2987" s="6">
        <v>0.35</v>
      </c>
      <c r="Q2987" s="11">
        <v>2.2999999999999998</v>
      </c>
      <c r="R2987" s="11"/>
      <c r="S2987" s="11"/>
      <c r="T2987" s="11"/>
      <c r="U2987" s="11">
        <f t="shared" si="977"/>
        <v>2.2999999999999998</v>
      </c>
      <c r="W2987">
        <v>2.5</v>
      </c>
      <c r="X2987" s="1" t="s">
        <v>13</v>
      </c>
    </row>
    <row r="2988" spans="1:24" x14ac:dyDescent="0.25">
      <c r="A2988" s="1" t="str">
        <f t="shared" si="978"/>
        <v>卡卡杜-凤凰仓</v>
      </c>
      <c r="B2988" s="1" t="str">
        <f>"CK2024102411007"</f>
        <v>CK2024102411007</v>
      </c>
      <c r="C2988" s="1" t="str">
        <f>"DD2024102454723"</f>
        <v>DD2024102454723</v>
      </c>
      <c r="D2988" s="1" t="str">
        <f>"CK2024102447932"</f>
        <v>CK2024102447932</v>
      </c>
      <c r="E2988" s="1" t="str">
        <f>"2429802340066675"</f>
        <v>2429802340066675</v>
      </c>
      <c r="F2988" s="1" t="str">
        <f t="shared" si="979"/>
        <v>花都四部-凤凰仓</v>
      </c>
      <c r="G2988" s="1" t="str">
        <f t="shared" si="990"/>
        <v>卡卡杜佳旺专卖店（快手店）</v>
      </c>
      <c r="H2988" s="1" t="str">
        <f t="shared" si="980"/>
        <v>正常订单</v>
      </c>
      <c r="I2988" s="1" t="str">
        <f t="shared" si="981"/>
        <v>已发货</v>
      </c>
      <c r="J2988" s="1" t="str">
        <f t="shared" si="996"/>
        <v>3</v>
      </c>
      <c r="K2988" s="1">
        <v>2</v>
      </c>
      <c r="L2988" s="1" t="s">
        <v>80</v>
      </c>
      <c r="M2988" s="1" t="str">
        <f>"河南省 郑州市 金水区 凤凰台街道"</f>
        <v>河南省 郑州市 金水区 凤凰台街道</v>
      </c>
      <c r="N2988" s="1" t="str">
        <f t="shared" si="992"/>
        <v>凡华云仓-城南圆通-快手</v>
      </c>
      <c r="O2988" s="5" t="s">
        <v>3022</v>
      </c>
      <c r="P2988" s="6">
        <v>0.35</v>
      </c>
      <c r="Q2988" s="11">
        <v>2.2999999999999998</v>
      </c>
      <c r="R2988" s="11"/>
      <c r="S2988" s="11"/>
      <c r="T2988" s="11"/>
      <c r="U2988" s="11">
        <f t="shared" si="977"/>
        <v>2.2999999999999998</v>
      </c>
      <c r="W2988">
        <v>2.5</v>
      </c>
      <c r="X2988" s="1" t="s">
        <v>80</v>
      </c>
    </row>
    <row r="2989" spans="1:24" x14ac:dyDescent="0.25">
      <c r="A2989" s="1" t="str">
        <f t="shared" si="978"/>
        <v>卡卡杜-凤凰仓</v>
      </c>
      <c r="B2989" s="1" t="str">
        <f>"CK2024102411023"</f>
        <v>CK2024102411023</v>
      </c>
      <c r="C2989" s="1" t="str">
        <f>"DD2024102454911"</f>
        <v>DD2024102454911</v>
      </c>
      <c r="D2989" s="1" t="str">
        <f>"CK2024102447931"</f>
        <v>CK2024102447931</v>
      </c>
      <c r="E2989" s="1" t="str">
        <f>"2429801690706578"</f>
        <v>2429801690706578</v>
      </c>
      <c r="F2989" s="1" t="str">
        <f t="shared" si="979"/>
        <v>花都四部-凤凰仓</v>
      </c>
      <c r="G2989" s="1" t="str">
        <f t="shared" si="990"/>
        <v>卡卡杜佳旺专卖店（快手店）</v>
      </c>
      <c r="H2989" s="1" t="str">
        <f t="shared" si="980"/>
        <v>正常订单</v>
      </c>
      <c r="I2989" s="1" t="str">
        <f t="shared" si="981"/>
        <v>已发货</v>
      </c>
      <c r="J2989" s="1" t="str">
        <f t="shared" si="994"/>
        <v>5</v>
      </c>
      <c r="K2989" s="1">
        <v>2</v>
      </c>
      <c r="L2989" s="1" t="s">
        <v>109</v>
      </c>
      <c r="M2989" s="1" t="str">
        <f>"山西省 临汾市 侯马市 路东街道"</f>
        <v>山西省 临汾市 侯马市 路东街道</v>
      </c>
      <c r="N2989" s="1" t="str">
        <f t="shared" si="992"/>
        <v>凡华云仓-城南圆通-快手</v>
      </c>
      <c r="O2989" s="5" t="s">
        <v>3023</v>
      </c>
      <c r="P2989" s="6">
        <v>0.59</v>
      </c>
      <c r="Q2989" s="11">
        <f t="shared" si="995"/>
        <v>2.4499999999999997</v>
      </c>
      <c r="R2989" s="11"/>
      <c r="S2989" s="11"/>
      <c r="T2989" s="11"/>
      <c r="U2989" s="11">
        <f t="shared" si="977"/>
        <v>2.4499999999999997</v>
      </c>
      <c r="V2989" t="s">
        <v>15</v>
      </c>
      <c r="W2989">
        <v>2.4500000000000002</v>
      </c>
      <c r="X2989" s="1" t="s">
        <v>109</v>
      </c>
    </row>
    <row r="2990" spans="1:24" x14ac:dyDescent="0.25">
      <c r="A2990" s="1" t="str">
        <f t="shared" si="978"/>
        <v>卡卡杜-凤凰仓</v>
      </c>
      <c r="B2990" s="1" t="str">
        <f>"CK2024102411022"</f>
        <v>CK2024102411022</v>
      </c>
      <c r="C2990" s="1" t="str">
        <f>"DD2024102454902"</f>
        <v>DD2024102454902</v>
      </c>
      <c r="D2990" s="1" t="str">
        <f>"CK2024102447930"</f>
        <v>CK2024102447930</v>
      </c>
      <c r="E2990" s="1" t="str">
        <f>"2429802249387243"</f>
        <v>2429802249387243</v>
      </c>
      <c r="F2990" s="1" t="str">
        <f t="shared" si="979"/>
        <v>花都四部-凤凰仓</v>
      </c>
      <c r="G2990" s="1" t="str">
        <f t="shared" si="990"/>
        <v>卡卡杜佳旺专卖店（快手店）</v>
      </c>
      <c r="H2990" s="1" t="str">
        <f t="shared" si="980"/>
        <v>正常订单</v>
      </c>
      <c r="I2990" s="1" t="str">
        <f t="shared" si="981"/>
        <v>已发货</v>
      </c>
      <c r="J2990" s="1" t="str">
        <f t="shared" si="994"/>
        <v>5</v>
      </c>
      <c r="K2990" s="1">
        <v>2</v>
      </c>
      <c r="L2990" s="1" t="s">
        <v>60</v>
      </c>
      <c r="M2990" s="1" t="str">
        <f>"云南省 大理白族自治州 巍山彝族回族自治县 南诏镇"</f>
        <v>云南省 大理白族自治州 巍山彝族回族自治县 南诏镇</v>
      </c>
      <c r="N2990" s="1" t="str">
        <f t="shared" si="992"/>
        <v>凡华云仓-城南圆通-快手</v>
      </c>
      <c r="O2990" s="5" t="s">
        <v>3024</v>
      </c>
      <c r="P2990" s="6">
        <v>0.59</v>
      </c>
      <c r="Q2990" s="11">
        <f t="shared" si="995"/>
        <v>2.4499999999999997</v>
      </c>
      <c r="R2990" s="11"/>
      <c r="S2990" s="11"/>
      <c r="T2990" s="11"/>
      <c r="U2990" s="11">
        <f t="shared" si="977"/>
        <v>2.4499999999999997</v>
      </c>
      <c r="V2990" t="s">
        <v>15</v>
      </c>
      <c r="W2990">
        <v>2.4500000000000002</v>
      </c>
      <c r="X2990" s="1" t="s">
        <v>60</v>
      </c>
    </row>
    <row r="2991" spans="1:24" x14ac:dyDescent="0.25">
      <c r="A2991" s="1" t="str">
        <f t="shared" si="978"/>
        <v>卡卡杜-凤凰仓</v>
      </c>
      <c r="B2991" s="1" t="str">
        <f>"CK2024102411005"</f>
        <v>CK2024102411005</v>
      </c>
      <c r="C2991" s="1" t="str">
        <f>"DD2024102454721"</f>
        <v>DD2024102454721</v>
      </c>
      <c r="D2991" s="1" t="str">
        <f>"CK2024102447929"</f>
        <v>CK2024102447929</v>
      </c>
      <c r="E2991" s="1" t="str">
        <f>"2429801695816401"</f>
        <v>2429801695816401</v>
      </c>
      <c r="F2991" s="1" t="str">
        <f t="shared" si="979"/>
        <v>花都四部-凤凰仓</v>
      </c>
      <c r="G2991" s="1" t="str">
        <f t="shared" si="990"/>
        <v>卡卡杜佳旺专卖店（快手店）</v>
      </c>
      <c r="H2991" s="1" t="str">
        <f t="shared" si="980"/>
        <v>正常订单</v>
      </c>
      <c r="I2991" s="1" t="str">
        <f t="shared" si="981"/>
        <v>已发货</v>
      </c>
      <c r="J2991" s="1" t="str">
        <f t="shared" ref="J2991:J3008" si="997">"3"</f>
        <v>3</v>
      </c>
      <c r="K2991" s="1">
        <v>2</v>
      </c>
      <c r="L2991" s="1" t="s">
        <v>18</v>
      </c>
      <c r="M2991" s="1" t="str">
        <f>"广东省 深圳市 龙华区 龙华街道"</f>
        <v>广东省 深圳市 龙华区 龙华街道</v>
      </c>
      <c r="N2991" s="1" t="str">
        <f t="shared" si="992"/>
        <v>凡华云仓-城南圆通-快手</v>
      </c>
      <c r="O2991" s="5" t="s">
        <v>3025</v>
      </c>
      <c r="P2991" s="6">
        <v>0.35</v>
      </c>
      <c r="Q2991" s="11">
        <v>2.2999999999999998</v>
      </c>
      <c r="R2991" s="11"/>
      <c r="S2991" s="11"/>
      <c r="T2991" s="11"/>
      <c r="U2991" s="11">
        <f t="shared" si="977"/>
        <v>2.2999999999999998</v>
      </c>
      <c r="W2991">
        <v>2.5</v>
      </c>
      <c r="X2991" s="1" t="s">
        <v>18</v>
      </c>
    </row>
    <row r="2992" spans="1:24" x14ac:dyDescent="0.25">
      <c r="A2992" s="1" t="str">
        <f t="shared" si="978"/>
        <v>卡卡杜-凤凰仓</v>
      </c>
      <c r="B2992" s="1" t="str">
        <f>"CK2024102411021"</f>
        <v>CK2024102411021</v>
      </c>
      <c r="C2992" s="1" t="str">
        <f>"DD2024102454901"</f>
        <v>DD2024102454901</v>
      </c>
      <c r="D2992" s="1" t="str">
        <f>"CK2024102447928"</f>
        <v>CK2024102447928</v>
      </c>
      <c r="E2992" s="1" t="str">
        <f>"2429802252520344"</f>
        <v>2429802252520344</v>
      </c>
      <c r="F2992" s="1" t="str">
        <f t="shared" si="979"/>
        <v>花都四部-凤凰仓</v>
      </c>
      <c r="G2992" s="1" t="str">
        <f t="shared" si="990"/>
        <v>卡卡杜佳旺专卖店（快手店）</v>
      </c>
      <c r="H2992" s="1" t="str">
        <f t="shared" si="980"/>
        <v>正常订单</v>
      </c>
      <c r="I2992" s="1" t="str">
        <f t="shared" si="981"/>
        <v>已发货</v>
      </c>
      <c r="J2992" s="1" t="str">
        <f>"5"</f>
        <v>5</v>
      </c>
      <c r="K2992" s="1">
        <v>2</v>
      </c>
      <c r="L2992" s="1" t="s">
        <v>161</v>
      </c>
      <c r="M2992" s="1" t="str">
        <f>"四川省 宜宾市 南溪区 南溪街道"</f>
        <v>四川省 宜宾市 南溪区 南溪街道</v>
      </c>
      <c r="N2992" s="1" t="str">
        <f t="shared" si="992"/>
        <v>凡华云仓-城南圆通-快手</v>
      </c>
      <c r="O2992" s="5" t="s">
        <v>3026</v>
      </c>
      <c r="P2992" s="6">
        <v>0.59</v>
      </c>
      <c r="Q2992" s="11">
        <f>CEILING(P2992-0.5,0.1)*10*0.15+2.3</f>
        <v>2.4499999999999997</v>
      </c>
      <c r="R2992" s="11"/>
      <c r="S2992" s="11"/>
      <c r="T2992" s="11"/>
      <c r="U2992" s="11">
        <f t="shared" si="977"/>
        <v>2.4499999999999997</v>
      </c>
      <c r="V2992" t="s">
        <v>15</v>
      </c>
      <c r="W2992">
        <v>2.4500000000000002</v>
      </c>
      <c r="X2992" s="1" t="s">
        <v>161</v>
      </c>
    </row>
    <row r="2993" spans="1:24" x14ac:dyDescent="0.25">
      <c r="A2993" s="1" t="str">
        <f t="shared" si="978"/>
        <v>卡卡杜-凤凰仓</v>
      </c>
      <c r="B2993" s="1" t="str">
        <f>"CK2024102411009"</f>
        <v>CK2024102411009</v>
      </c>
      <c r="C2993" s="1" t="str">
        <f>"DD2024102454726"</f>
        <v>DD2024102454726</v>
      </c>
      <c r="D2993" s="1" t="str">
        <f>"CK2024102447927"</f>
        <v>CK2024102447927</v>
      </c>
      <c r="E2993" s="1" t="str">
        <f>"2429802086019380"</f>
        <v>2429802086019380</v>
      </c>
      <c r="F2993" s="1" t="str">
        <f t="shared" si="979"/>
        <v>花都四部-凤凰仓</v>
      </c>
      <c r="G2993" s="1" t="str">
        <f t="shared" si="990"/>
        <v>卡卡杜佳旺专卖店（快手店）</v>
      </c>
      <c r="H2993" s="1" t="str">
        <f t="shared" si="980"/>
        <v>正常订单</v>
      </c>
      <c r="I2993" s="1" t="str">
        <f t="shared" si="981"/>
        <v>已发货</v>
      </c>
      <c r="J2993" s="1" t="str">
        <f t="shared" si="997"/>
        <v>3</v>
      </c>
      <c r="K2993" s="1">
        <v>2</v>
      </c>
      <c r="L2993" s="1" t="s">
        <v>44</v>
      </c>
      <c r="M2993" s="1" t="str">
        <f>"海南省 海口市 美兰区 和平南街道"</f>
        <v>海南省 海口市 美兰区 和平南街道</v>
      </c>
      <c r="N2993" s="1" t="str">
        <f t="shared" si="992"/>
        <v>凡华云仓-城南圆通-快手</v>
      </c>
      <c r="O2993" s="5" t="s">
        <v>3027</v>
      </c>
      <c r="P2993" s="6">
        <v>0.35</v>
      </c>
      <c r="Q2993" s="11">
        <v>2.2999999999999998</v>
      </c>
      <c r="R2993" s="11"/>
      <c r="S2993" s="11"/>
      <c r="T2993" s="11"/>
      <c r="U2993" s="11">
        <f t="shared" si="977"/>
        <v>2.2999999999999998</v>
      </c>
      <c r="W2993">
        <v>2.5</v>
      </c>
      <c r="X2993" s="1" t="s">
        <v>44</v>
      </c>
    </row>
    <row r="2994" spans="1:24" x14ac:dyDescent="0.25">
      <c r="A2994" s="1" t="str">
        <f t="shared" si="978"/>
        <v>卡卡杜-凤凰仓</v>
      </c>
      <c r="B2994" s="1" t="str">
        <f>"CK2024102410995"</f>
        <v>CK2024102410995</v>
      </c>
      <c r="C2994" s="1" t="str">
        <f>"DD2024102454701"</f>
        <v>DD2024102454701</v>
      </c>
      <c r="D2994" s="1" t="str">
        <f>"CK2024102447926"</f>
        <v>CK2024102447926</v>
      </c>
      <c r="E2994" s="1" t="str">
        <f>"6935429236972328733"</f>
        <v>6935429236972328733</v>
      </c>
      <c r="F2994" s="1" t="str">
        <f t="shared" si="979"/>
        <v>花都四部-凤凰仓</v>
      </c>
      <c r="G2994" s="1" t="str">
        <f t="shared" ref="G2994:G3008" si="998">"卡卡杜个人护理店（抖店）"</f>
        <v>卡卡杜个人护理店（抖店）</v>
      </c>
      <c r="H2994" s="1" t="str">
        <f t="shared" si="980"/>
        <v>正常订单</v>
      </c>
      <c r="I2994" s="1" t="str">
        <f t="shared" si="981"/>
        <v>已发货</v>
      </c>
      <c r="J2994" s="1" t="str">
        <f t="shared" si="997"/>
        <v>3</v>
      </c>
      <c r="K2994" s="1">
        <v>2</v>
      </c>
      <c r="L2994" s="1" t="s">
        <v>27</v>
      </c>
      <c r="M2994" s="1" t="str">
        <f>"贵州省 铜仁市 沿河土家族自治县 官舟镇"</f>
        <v>贵州省 铜仁市 沿河土家族自治县 官舟镇</v>
      </c>
      <c r="N2994" s="1" t="str">
        <f t="shared" ref="N2994:N3008" si="999">"凡华云仓-城南圆通-抖音"</f>
        <v>凡华云仓-城南圆通-抖音</v>
      </c>
      <c r="O2994" s="5" t="s">
        <v>3028</v>
      </c>
      <c r="P2994" s="6">
        <v>0.35</v>
      </c>
      <c r="Q2994" s="11">
        <v>2.2999999999999998</v>
      </c>
      <c r="R2994" s="11"/>
      <c r="S2994" s="11"/>
      <c r="T2994" s="11"/>
      <c r="U2994" s="11">
        <f t="shared" si="977"/>
        <v>2.2999999999999998</v>
      </c>
      <c r="W2994">
        <v>2.5</v>
      </c>
      <c r="X2994" s="1" t="s">
        <v>27</v>
      </c>
    </row>
    <row r="2995" spans="1:24" x14ac:dyDescent="0.25">
      <c r="A2995" s="1" t="str">
        <f t="shared" si="978"/>
        <v>卡卡杜-凤凰仓</v>
      </c>
      <c r="B2995" s="1" t="str">
        <f>"CK2024102410985"</f>
        <v>CK2024102410985</v>
      </c>
      <c r="C2995" s="1" t="str">
        <f>"DD2024102454669"</f>
        <v>DD2024102454669</v>
      </c>
      <c r="D2995" s="1" t="str">
        <f>"CK2024102447925"</f>
        <v>CK2024102447925</v>
      </c>
      <c r="E2995" s="1" t="str">
        <f>"6935416148185978694"</f>
        <v>6935416148185978694</v>
      </c>
      <c r="F2995" s="1" t="str">
        <f t="shared" si="979"/>
        <v>花都四部-凤凰仓</v>
      </c>
      <c r="G2995" s="1" t="str">
        <f t="shared" si="998"/>
        <v>卡卡杜个人护理店（抖店）</v>
      </c>
      <c r="H2995" s="1" t="str">
        <f t="shared" si="980"/>
        <v>正常订单</v>
      </c>
      <c r="I2995" s="1" t="str">
        <f t="shared" si="981"/>
        <v>已发货</v>
      </c>
      <c r="J2995" s="1" t="str">
        <f t="shared" si="997"/>
        <v>3</v>
      </c>
      <c r="K2995" s="1">
        <v>2</v>
      </c>
      <c r="L2995" s="1" t="s">
        <v>20</v>
      </c>
      <c r="M2995" s="1" t="str">
        <f>"浙江省 温州市 平阳县 鳌江镇"</f>
        <v>浙江省 温州市 平阳县 鳌江镇</v>
      </c>
      <c r="N2995" s="1" t="str">
        <f t="shared" si="999"/>
        <v>凡华云仓-城南圆通-抖音</v>
      </c>
      <c r="O2995" s="5" t="s">
        <v>3029</v>
      </c>
      <c r="P2995" s="6">
        <v>0.35</v>
      </c>
      <c r="Q2995" s="11">
        <v>2.2999999999999998</v>
      </c>
      <c r="R2995" s="11"/>
      <c r="S2995" s="11"/>
      <c r="T2995" s="11"/>
      <c r="U2995" s="11">
        <f t="shared" si="977"/>
        <v>2.2999999999999998</v>
      </c>
      <c r="W2995">
        <v>2.5</v>
      </c>
      <c r="X2995" s="1" t="s">
        <v>20</v>
      </c>
    </row>
    <row r="2996" spans="1:24" x14ac:dyDescent="0.25">
      <c r="A2996" s="1" t="str">
        <f t="shared" si="978"/>
        <v>卡卡杜-凤凰仓</v>
      </c>
      <c r="B2996" s="1" t="str">
        <f>"CK2024102411001"</f>
        <v>CK2024102411001</v>
      </c>
      <c r="C2996" s="1" t="str">
        <f>"DD2024102454710"</f>
        <v>DD2024102454710</v>
      </c>
      <c r="D2996" s="1" t="str">
        <f>"CK2024102447924"</f>
        <v>CK2024102447924</v>
      </c>
      <c r="E2996" s="1" t="str">
        <f>"6935409930020590852"</f>
        <v>6935409930020590852</v>
      </c>
      <c r="F2996" s="1" t="str">
        <f t="shared" si="979"/>
        <v>花都四部-凤凰仓</v>
      </c>
      <c r="G2996" s="1" t="str">
        <f t="shared" si="998"/>
        <v>卡卡杜个人护理店（抖店）</v>
      </c>
      <c r="H2996" s="1" t="str">
        <f t="shared" si="980"/>
        <v>正常订单</v>
      </c>
      <c r="I2996" s="1" t="str">
        <f t="shared" si="981"/>
        <v>已发货</v>
      </c>
      <c r="J2996" s="1" t="str">
        <f t="shared" si="997"/>
        <v>3</v>
      </c>
      <c r="K2996" s="1">
        <v>2</v>
      </c>
      <c r="L2996" s="1" t="s">
        <v>24</v>
      </c>
      <c r="M2996" s="1" t="str">
        <f>"福建省 泉州市 惠安县 涂寨镇"</f>
        <v>福建省 泉州市 惠安县 涂寨镇</v>
      </c>
      <c r="N2996" s="1" t="str">
        <f t="shared" si="999"/>
        <v>凡华云仓-城南圆通-抖音</v>
      </c>
      <c r="O2996" s="5" t="s">
        <v>3030</v>
      </c>
      <c r="P2996" s="6">
        <v>0.35</v>
      </c>
      <c r="Q2996" s="11">
        <v>2.2999999999999998</v>
      </c>
      <c r="R2996" s="11"/>
      <c r="S2996" s="11"/>
      <c r="T2996" s="11"/>
      <c r="U2996" s="11">
        <f t="shared" si="977"/>
        <v>2.2999999999999998</v>
      </c>
      <c r="W2996">
        <v>2.5</v>
      </c>
      <c r="X2996" s="1" t="s">
        <v>24</v>
      </c>
    </row>
    <row r="2997" spans="1:24" x14ac:dyDescent="0.25">
      <c r="A2997" s="1" t="str">
        <f t="shared" si="978"/>
        <v>卡卡杜-凤凰仓</v>
      </c>
      <c r="B2997" s="1" t="str">
        <f>"CK2024102411004"</f>
        <v>CK2024102411004</v>
      </c>
      <c r="C2997" s="1" t="str">
        <f>"DD2024102454718"</f>
        <v>DD2024102454718</v>
      </c>
      <c r="D2997" s="1" t="str">
        <f>"CK2024102447923"</f>
        <v>CK2024102447923</v>
      </c>
      <c r="E2997" s="1" t="str">
        <f>"6935420816065238809"</f>
        <v>6935420816065238809</v>
      </c>
      <c r="F2997" s="1" t="str">
        <f t="shared" si="979"/>
        <v>花都四部-凤凰仓</v>
      </c>
      <c r="G2997" s="1" t="str">
        <f t="shared" si="998"/>
        <v>卡卡杜个人护理店（抖店）</v>
      </c>
      <c r="H2997" s="1" t="str">
        <f t="shared" si="980"/>
        <v>正常订单</v>
      </c>
      <c r="I2997" s="1" t="str">
        <f t="shared" si="981"/>
        <v>已发货</v>
      </c>
      <c r="J2997" s="1" t="str">
        <f t="shared" si="997"/>
        <v>3</v>
      </c>
      <c r="K2997" s="1">
        <v>2</v>
      </c>
      <c r="L2997" s="1" t="s">
        <v>13</v>
      </c>
      <c r="M2997" s="1" t="str">
        <f>"江苏省 南通市 如皋市 下原镇"</f>
        <v>江苏省 南通市 如皋市 下原镇</v>
      </c>
      <c r="N2997" s="1" t="str">
        <f t="shared" si="999"/>
        <v>凡华云仓-城南圆通-抖音</v>
      </c>
      <c r="O2997" s="5" t="s">
        <v>3031</v>
      </c>
      <c r="P2997" s="6">
        <v>0.35</v>
      </c>
      <c r="Q2997" s="11">
        <v>2.2999999999999998</v>
      </c>
      <c r="R2997" s="11"/>
      <c r="S2997" s="11"/>
      <c r="T2997" s="11"/>
      <c r="U2997" s="11">
        <f t="shared" si="977"/>
        <v>2.2999999999999998</v>
      </c>
      <c r="W2997">
        <v>2.5</v>
      </c>
      <c r="X2997" s="1" t="s">
        <v>13</v>
      </c>
    </row>
    <row r="2998" spans="1:24" x14ac:dyDescent="0.25">
      <c r="A2998" s="1" t="str">
        <f t="shared" si="978"/>
        <v>卡卡杜-凤凰仓</v>
      </c>
      <c r="B2998" s="1" t="str">
        <f>"CK2024102411008"</f>
        <v>CK2024102411008</v>
      </c>
      <c r="C2998" s="1" t="str">
        <f>"DD2024102454725"</f>
        <v>DD2024102454725</v>
      </c>
      <c r="D2998" s="1" t="str">
        <f>"CK2024102447922"</f>
        <v>CK2024102447922</v>
      </c>
      <c r="E2998" s="1" t="str">
        <f>"6935434661528999855"</f>
        <v>6935434661528999855</v>
      </c>
      <c r="F2998" s="1" t="str">
        <f t="shared" si="979"/>
        <v>花都四部-凤凰仓</v>
      </c>
      <c r="G2998" s="1" t="str">
        <f t="shared" si="998"/>
        <v>卡卡杜个人护理店（抖店）</v>
      </c>
      <c r="H2998" s="1" t="str">
        <f t="shared" si="980"/>
        <v>正常订单</v>
      </c>
      <c r="I2998" s="1" t="str">
        <f t="shared" si="981"/>
        <v>已发货</v>
      </c>
      <c r="J2998" s="1" t="str">
        <f t="shared" si="997"/>
        <v>3</v>
      </c>
      <c r="K2998" s="1">
        <v>2</v>
      </c>
      <c r="L2998" s="1" t="s">
        <v>105</v>
      </c>
      <c r="M2998" s="1" t="str">
        <f>"北京 北京市 怀柔区 "</f>
        <v xml:space="preserve">北京 北京市 怀柔区 </v>
      </c>
      <c r="N2998" s="1" t="str">
        <f t="shared" si="999"/>
        <v>凡华云仓-城南圆通-抖音</v>
      </c>
      <c r="O2998" s="5" t="s">
        <v>3032</v>
      </c>
      <c r="P2998" s="6">
        <v>0.35</v>
      </c>
      <c r="Q2998" s="11">
        <v>2.2999999999999998</v>
      </c>
      <c r="R2998" s="11"/>
      <c r="S2998" s="11"/>
      <c r="T2998" s="11"/>
      <c r="U2998" s="11">
        <f t="shared" si="977"/>
        <v>2.2999999999999998</v>
      </c>
      <c r="W2998">
        <v>2.5</v>
      </c>
      <c r="X2998" s="1" t="s">
        <v>105</v>
      </c>
    </row>
    <row r="2999" spans="1:24" x14ac:dyDescent="0.25">
      <c r="A2999" s="1" t="str">
        <f t="shared" si="978"/>
        <v>卡卡杜-凤凰仓</v>
      </c>
      <c r="B2999" s="1" t="str">
        <f>"CK2024102411006"</f>
        <v>CK2024102411006</v>
      </c>
      <c r="C2999" s="1" t="str">
        <f>"DD2024102454722"</f>
        <v>DD2024102454722</v>
      </c>
      <c r="D2999" s="1" t="str">
        <f>"CK2024102447921"</f>
        <v>CK2024102447921</v>
      </c>
      <c r="E2999" s="1" t="str">
        <f>"6935409716002297505"</f>
        <v>6935409716002297505</v>
      </c>
      <c r="F2999" s="1" t="str">
        <f t="shared" si="979"/>
        <v>花都四部-凤凰仓</v>
      </c>
      <c r="G2999" s="1" t="str">
        <f t="shared" si="998"/>
        <v>卡卡杜个人护理店（抖店）</v>
      </c>
      <c r="H2999" s="1" t="str">
        <f t="shared" si="980"/>
        <v>正常订单</v>
      </c>
      <c r="I2999" s="1" t="str">
        <f t="shared" si="981"/>
        <v>已发货</v>
      </c>
      <c r="J2999" s="1" t="str">
        <f t="shared" si="997"/>
        <v>3</v>
      </c>
      <c r="K2999" s="1">
        <v>2</v>
      </c>
      <c r="L2999" s="1" t="s">
        <v>18</v>
      </c>
      <c r="M2999" s="1" t="str">
        <f>"广东省 佛山市 顺德区 乐从镇"</f>
        <v>广东省 佛山市 顺德区 乐从镇</v>
      </c>
      <c r="N2999" s="1" t="str">
        <f t="shared" si="999"/>
        <v>凡华云仓-城南圆通-抖音</v>
      </c>
      <c r="O2999" s="5" t="s">
        <v>3033</v>
      </c>
      <c r="P2999" s="6">
        <v>0.35</v>
      </c>
      <c r="Q2999" s="11">
        <v>2.2999999999999998</v>
      </c>
      <c r="R2999" s="11"/>
      <c r="S2999" s="11"/>
      <c r="T2999" s="11"/>
      <c r="U2999" s="11">
        <f t="shared" si="977"/>
        <v>2.2999999999999998</v>
      </c>
      <c r="W2999">
        <v>2.5</v>
      </c>
      <c r="X2999" s="1" t="s">
        <v>18</v>
      </c>
    </row>
    <row r="3000" spans="1:24" x14ac:dyDescent="0.25">
      <c r="A3000" s="1" t="str">
        <f t="shared" si="978"/>
        <v>卡卡杜-凤凰仓</v>
      </c>
      <c r="B3000" s="1" t="str">
        <f>"CK2024102410994"</f>
        <v>CK2024102410994</v>
      </c>
      <c r="C3000" s="1" t="str">
        <f>"DD2024102454698"</f>
        <v>DD2024102454698</v>
      </c>
      <c r="D3000" s="1" t="str">
        <f>"CK2024102447920"</f>
        <v>CK2024102447920</v>
      </c>
      <c r="E3000" s="1" t="str">
        <f>"6935420519586142132"</f>
        <v>6935420519586142132</v>
      </c>
      <c r="F3000" s="1" t="str">
        <f t="shared" si="979"/>
        <v>花都四部-凤凰仓</v>
      </c>
      <c r="G3000" s="1" t="str">
        <f t="shared" si="998"/>
        <v>卡卡杜个人护理店（抖店）</v>
      </c>
      <c r="H3000" s="1" t="str">
        <f t="shared" si="980"/>
        <v>正常订单</v>
      </c>
      <c r="I3000" s="1" t="str">
        <f t="shared" si="981"/>
        <v>已发货</v>
      </c>
      <c r="J3000" s="1" t="str">
        <f t="shared" si="997"/>
        <v>3</v>
      </c>
      <c r="K3000" s="1">
        <v>2</v>
      </c>
      <c r="L3000" s="1" t="s">
        <v>36</v>
      </c>
      <c r="M3000" s="1" t="str">
        <f>"安徽省 安庆市 望江县 华阳镇"</f>
        <v>安徽省 安庆市 望江县 华阳镇</v>
      </c>
      <c r="N3000" s="1" t="str">
        <f t="shared" si="999"/>
        <v>凡华云仓-城南圆通-抖音</v>
      </c>
      <c r="O3000" s="5" t="s">
        <v>3034</v>
      </c>
      <c r="P3000" s="6">
        <v>0.35</v>
      </c>
      <c r="Q3000" s="11">
        <v>2.2999999999999998</v>
      </c>
      <c r="R3000" s="11"/>
      <c r="S3000" s="11"/>
      <c r="T3000" s="11"/>
      <c r="U3000" s="11">
        <f t="shared" si="977"/>
        <v>2.2999999999999998</v>
      </c>
      <c r="W3000">
        <v>2.5</v>
      </c>
      <c r="X3000" s="1" t="s">
        <v>36</v>
      </c>
    </row>
    <row r="3001" spans="1:24" x14ac:dyDescent="0.25">
      <c r="A3001" s="1" t="str">
        <f t="shared" si="978"/>
        <v>卡卡杜-凤凰仓</v>
      </c>
      <c r="B3001" s="1" t="str">
        <f>"CK2024102411000"</f>
        <v>CK2024102411000</v>
      </c>
      <c r="C3001" s="1" t="str">
        <f>"DD2024102454711"</f>
        <v>DD2024102454711</v>
      </c>
      <c r="D3001" s="1" t="str">
        <f>"CK2024102447919"</f>
        <v>CK2024102447919</v>
      </c>
      <c r="E3001" s="1" t="str">
        <f>"6935422540865868895"</f>
        <v>6935422540865868895</v>
      </c>
      <c r="F3001" s="1" t="str">
        <f t="shared" si="979"/>
        <v>花都四部-凤凰仓</v>
      </c>
      <c r="G3001" s="1" t="str">
        <f t="shared" si="998"/>
        <v>卡卡杜个人护理店（抖店）</v>
      </c>
      <c r="H3001" s="1" t="str">
        <f t="shared" si="980"/>
        <v>正常订单</v>
      </c>
      <c r="I3001" s="1" t="str">
        <f t="shared" si="981"/>
        <v>已发货</v>
      </c>
      <c r="J3001" s="1" t="str">
        <f t="shared" si="997"/>
        <v>3</v>
      </c>
      <c r="K3001" s="1">
        <v>2</v>
      </c>
      <c r="L3001" s="1" t="s">
        <v>94</v>
      </c>
      <c r="M3001" s="1" t="str">
        <f>"湖南省 邵阳市 北塔区 状元洲街道"</f>
        <v>湖南省 邵阳市 北塔区 状元洲街道</v>
      </c>
      <c r="N3001" s="1" t="str">
        <f t="shared" si="999"/>
        <v>凡华云仓-城南圆通-抖音</v>
      </c>
      <c r="O3001" s="5" t="s">
        <v>3035</v>
      </c>
      <c r="P3001" s="6">
        <v>0.35</v>
      </c>
      <c r="Q3001" s="11">
        <v>2.2999999999999998</v>
      </c>
      <c r="R3001" s="11"/>
      <c r="S3001" s="11"/>
      <c r="T3001" s="11"/>
      <c r="U3001" s="11">
        <f t="shared" si="977"/>
        <v>2.2999999999999998</v>
      </c>
      <c r="W3001">
        <v>2.5</v>
      </c>
      <c r="X3001" s="1" t="s">
        <v>94</v>
      </c>
    </row>
    <row r="3002" spans="1:24" x14ac:dyDescent="0.25">
      <c r="A3002" s="1" t="str">
        <f t="shared" si="978"/>
        <v>卡卡杜-凤凰仓</v>
      </c>
      <c r="B3002" s="1" t="str">
        <f>"CK2024102410999"</f>
        <v>CK2024102410999</v>
      </c>
      <c r="C3002" s="1" t="str">
        <f>"DD2024102454708"</f>
        <v>DD2024102454708</v>
      </c>
      <c r="D3002" s="1" t="str">
        <f>"CK2024102447918"</f>
        <v>CK2024102447918</v>
      </c>
      <c r="E3002" s="1" t="str">
        <f>"6935418031062062414"</f>
        <v>6935418031062062414</v>
      </c>
      <c r="F3002" s="1" t="str">
        <f t="shared" si="979"/>
        <v>花都四部-凤凰仓</v>
      </c>
      <c r="G3002" s="1" t="str">
        <f t="shared" si="998"/>
        <v>卡卡杜个人护理店（抖店）</v>
      </c>
      <c r="H3002" s="1" t="str">
        <f t="shared" si="980"/>
        <v>正常订单</v>
      </c>
      <c r="I3002" s="1" t="str">
        <f t="shared" si="981"/>
        <v>已发货</v>
      </c>
      <c r="J3002" s="1" t="str">
        <f t="shared" si="997"/>
        <v>3</v>
      </c>
      <c r="K3002" s="1">
        <v>2</v>
      </c>
      <c r="L3002" s="1" t="s">
        <v>161</v>
      </c>
      <c r="M3002" s="1" t="str">
        <f>"四川省 资阳市 安岳县 "</f>
        <v xml:space="preserve">四川省 资阳市 安岳县 </v>
      </c>
      <c r="N3002" s="1" t="str">
        <f t="shared" si="999"/>
        <v>凡华云仓-城南圆通-抖音</v>
      </c>
      <c r="O3002" s="5" t="s">
        <v>3036</v>
      </c>
      <c r="P3002" s="6">
        <v>0.35</v>
      </c>
      <c r="Q3002" s="11">
        <v>2.2999999999999998</v>
      </c>
      <c r="R3002" s="11"/>
      <c r="S3002" s="11"/>
      <c r="T3002" s="11"/>
      <c r="U3002" s="11">
        <f t="shared" si="977"/>
        <v>2.2999999999999998</v>
      </c>
      <c r="W3002">
        <v>2.5</v>
      </c>
      <c r="X3002" s="1" t="s">
        <v>161</v>
      </c>
    </row>
    <row r="3003" spans="1:24" x14ac:dyDescent="0.25">
      <c r="A3003" s="1" t="str">
        <f t="shared" si="978"/>
        <v>卡卡杜-凤凰仓</v>
      </c>
      <c r="B3003" s="1" t="str">
        <f>"CK2024102410989"</f>
        <v>CK2024102410989</v>
      </c>
      <c r="C3003" s="1" t="str">
        <f>"DD2024102454685"</f>
        <v>DD2024102454685</v>
      </c>
      <c r="D3003" s="1" t="str">
        <f>"CK2024102447917"</f>
        <v>CK2024102447917</v>
      </c>
      <c r="E3003" s="1" t="str">
        <f>"6935422559856301765"</f>
        <v>6935422559856301765</v>
      </c>
      <c r="F3003" s="1" t="str">
        <f t="shared" si="979"/>
        <v>花都四部-凤凰仓</v>
      </c>
      <c r="G3003" s="1" t="str">
        <f t="shared" si="998"/>
        <v>卡卡杜个人护理店（抖店）</v>
      </c>
      <c r="H3003" s="1" t="str">
        <f t="shared" si="980"/>
        <v>正常订单</v>
      </c>
      <c r="I3003" s="1" t="str">
        <f t="shared" si="981"/>
        <v>已发货</v>
      </c>
      <c r="J3003" s="1" t="str">
        <f t="shared" si="997"/>
        <v>3</v>
      </c>
      <c r="K3003" s="1">
        <v>2</v>
      </c>
      <c r="L3003" s="1" t="s">
        <v>22</v>
      </c>
      <c r="M3003" s="1" t="str">
        <f>"江西省 九江市 修水县 "</f>
        <v xml:space="preserve">江西省 九江市 修水县 </v>
      </c>
      <c r="N3003" s="1" t="str">
        <f t="shared" si="999"/>
        <v>凡华云仓-城南圆通-抖音</v>
      </c>
      <c r="O3003" s="5" t="s">
        <v>3037</v>
      </c>
      <c r="P3003" s="6">
        <v>0.35</v>
      </c>
      <c r="Q3003" s="11">
        <v>2.2999999999999998</v>
      </c>
      <c r="R3003" s="11"/>
      <c r="S3003" s="11"/>
      <c r="T3003" s="11"/>
      <c r="U3003" s="11">
        <f t="shared" si="977"/>
        <v>2.2999999999999998</v>
      </c>
      <c r="W3003">
        <v>2.5</v>
      </c>
      <c r="X3003" s="1" t="s">
        <v>22</v>
      </c>
    </row>
    <row r="3004" spans="1:24" x14ac:dyDescent="0.25">
      <c r="A3004" s="1" t="str">
        <f t="shared" si="978"/>
        <v>卡卡杜-凤凰仓</v>
      </c>
      <c r="B3004" s="1" t="str">
        <f>"CK2024102410983"</f>
        <v>CK2024102410983</v>
      </c>
      <c r="C3004" s="1" t="str">
        <f>"DD2024102454672"</f>
        <v>DD2024102454672</v>
      </c>
      <c r="D3004" s="1" t="str">
        <f>"CK2024102447916"</f>
        <v>CK2024102447916</v>
      </c>
      <c r="E3004" s="1" t="str">
        <f>"6935414343533925838"</f>
        <v>6935414343533925838</v>
      </c>
      <c r="F3004" s="1" t="str">
        <f t="shared" si="979"/>
        <v>花都四部-凤凰仓</v>
      </c>
      <c r="G3004" s="1" t="str">
        <f t="shared" si="998"/>
        <v>卡卡杜个人护理店（抖店）</v>
      </c>
      <c r="H3004" s="1" t="str">
        <f t="shared" si="980"/>
        <v>正常订单</v>
      </c>
      <c r="I3004" s="1" t="str">
        <f t="shared" si="981"/>
        <v>已发货</v>
      </c>
      <c r="J3004" s="1" t="str">
        <f t="shared" si="997"/>
        <v>3</v>
      </c>
      <c r="K3004" s="1">
        <v>2</v>
      </c>
      <c r="L3004" s="1" t="s">
        <v>18</v>
      </c>
      <c r="M3004" s="1" t="str">
        <f>"广东省 惠州市 惠东县 吉隆镇"</f>
        <v>广东省 惠州市 惠东县 吉隆镇</v>
      </c>
      <c r="N3004" s="1" t="str">
        <f t="shared" si="999"/>
        <v>凡华云仓-城南圆通-抖音</v>
      </c>
      <c r="O3004" s="5" t="s">
        <v>3038</v>
      </c>
      <c r="P3004" s="6">
        <v>0.35</v>
      </c>
      <c r="Q3004" s="11">
        <v>2.2999999999999998</v>
      </c>
      <c r="R3004" s="11"/>
      <c r="S3004" s="11"/>
      <c r="T3004" s="11"/>
      <c r="U3004" s="11">
        <f t="shared" si="977"/>
        <v>2.2999999999999998</v>
      </c>
      <c r="W3004">
        <v>2.5</v>
      </c>
      <c r="X3004" s="1" t="s">
        <v>18</v>
      </c>
    </row>
    <row r="3005" spans="1:24" x14ac:dyDescent="0.25">
      <c r="A3005" s="1" t="str">
        <f t="shared" si="978"/>
        <v>卡卡杜-凤凰仓</v>
      </c>
      <c r="B3005" s="1" t="str">
        <f>"CK2024102410980"</f>
        <v>CK2024102410980</v>
      </c>
      <c r="C3005" s="1" t="str">
        <f>"DD2024102454673"</f>
        <v>DD2024102454673</v>
      </c>
      <c r="D3005" s="1" t="str">
        <f>"CK2024102447915"</f>
        <v>CK2024102447915</v>
      </c>
      <c r="E3005" s="1" t="str">
        <f>"6935414266951308750"</f>
        <v>6935414266951308750</v>
      </c>
      <c r="F3005" s="1" t="str">
        <f t="shared" si="979"/>
        <v>花都四部-凤凰仓</v>
      </c>
      <c r="G3005" s="1" t="str">
        <f t="shared" si="998"/>
        <v>卡卡杜个人护理店（抖店）</v>
      </c>
      <c r="H3005" s="1" t="str">
        <f t="shared" si="980"/>
        <v>正常订单</v>
      </c>
      <c r="I3005" s="1" t="str">
        <f t="shared" si="981"/>
        <v>已发货</v>
      </c>
      <c r="J3005" s="1" t="str">
        <f t="shared" si="997"/>
        <v>3</v>
      </c>
      <c r="K3005" s="1">
        <v>3</v>
      </c>
      <c r="L3005" s="1" t="s">
        <v>52</v>
      </c>
      <c r="M3005" s="1" t="str">
        <f>"甘肃省 武威市 凉州区 西大街街道"</f>
        <v>甘肃省 武威市 凉州区 西大街街道</v>
      </c>
      <c r="N3005" s="1" t="str">
        <f t="shared" si="999"/>
        <v>凡华云仓-城南圆通-抖音</v>
      </c>
      <c r="O3005" s="5" t="s">
        <v>3039</v>
      </c>
      <c r="P3005" s="6">
        <v>0.34</v>
      </c>
      <c r="Q3005" s="11">
        <v>2.2999999999999998</v>
      </c>
      <c r="R3005" s="11"/>
      <c r="S3005" s="11"/>
      <c r="T3005" s="11"/>
      <c r="U3005" s="11">
        <f t="shared" si="977"/>
        <v>2.2999999999999998</v>
      </c>
      <c r="W3005">
        <v>2.5</v>
      </c>
      <c r="X3005" s="1" t="s">
        <v>52</v>
      </c>
    </row>
    <row r="3006" spans="1:24" x14ac:dyDescent="0.25">
      <c r="A3006" s="1" t="str">
        <f t="shared" si="978"/>
        <v>卡卡杜-凤凰仓</v>
      </c>
      <c r="B3006" s="1" t="str">
        <f>"CK2024102411002"</f>
        <v>CK2024102411002</v>
      </c>
      <c r="C3006" s="1" t="str">
        <f>"DD2024102454714"</f>
        <v>DD2024102454714</v>
      </c>
      <c r="D3006" s="1" t="str">
        <f>"CK2024102447914"</f>
        <v>CK2024102447914</v>
      </c>
      <c r="E3006" s="1" t="str">
        <f>"6935418179934950666"</f>
        <v>6935418179934950666</v>
      </c>
      <c r="F3006" s="1" t="str">
        <f t="shared" si="979"/>
        <v>花都四部-凤凰仓</v>
      </c>
      <c r="G3006" s="1" t="str">
        <f t="shared" si="998"/>
        <v>卡卡杜个人护理店（抖店）</v>
      </c>
      <c r="H3006" s="1" t="str">
        <f t="shared" si="980"/>
        <v>正常订单</v>
      </c>
      <c r="I3006" s="1" t="str">
        <f t="shared" si="981"/>
        <v>已发货</v>
      </c>
      <c r="J3006" s="1" t="str">
        <f t="shared" si="997"/>
        <v>3</v>
      </c>
      <c r="K3006" s="1">
        <v>2</v>
      </c>
      <c r="L3006" s="1" t="s">
        <v>22</v>
      </c>
      <c r="M3006" s="1" t="str">
        <f>"江西省 宜春市 奉新县 赤岸镇"</f>
        <v>江西省 宜春市 奉新县 赤岸镇</v>
      </c>
      <c r="N3006" s="1" t="str">
        <f t="shared" si="999"/>
        <v>凡华云仓-城南圆通-抖音</v>
      </c>
      <c r="O3006" s="5" t="s">
        <v>3040</v>
      </c>
      <c r="P3006" s="6">
        <v>0.35</v>
      </c>
      <c r="Q3006" s="11">
        <v>2.2999999999999998</v>
      </c>
      <c r="R3006" s="11"/>
      <c r="S3006" s="11"/>
      <c r="T3006" s="11"/>
      <c r="U3006" s="11">
        <f t="shared" si="977"/>
        <v>2.2999999999999998</v>
      </c>
      <c r="W3006">
        <v>2.5</v>
      </c>
      <c r="X3006" s="1" t="s">
        <v>22</v>
      </c>
    </row>
    <row r="3007" spans="1:24" x14ac:dyDescent="0.25">
      <c r="A3007" s="1" t="str">
        <f t="shared" si="978"/>
        <v>卡卡杜-凤凰仓</v>
      </c>
      <c r="B3007" s="1" t="str">
        <f>"CK2024102410993"</f>
        <v>CK2024102410993</v>
      </c>
      <c r="C3007" s="1" t="str">
        <f>"DD2024102454697"</f>
        <v>DD2024102454697</v>
      </c>
      <c r="D3007" s="1" t="str">
        <f>"CK2024102447913"</f>
        <v>CK2024102447913</v>
      </c>
      <c r="E3007" s="1" t="str">
        <f>"6935409781821413173"</f>
        <v>6935409781821413173</v>
      </c>
      <c r="F3007" s="1" t="str">
        <f t="shared" si="979"/>
        <v>花都四部-凤凰仓</v>
      </c>
      <c r="G3007" s="1" t="str">
        <f t="shared" si="998"/>
        <v>卡卡杜个人护理店（抖店）</v>
      </c>
      <c r="H3007" s="1" t="str">
        <f t="shared" si="980"/>
        <v>正常订单</v>
      </c>
      <c r="I3007" s="1" t="str">
        <f t="shared" si="981"/>
        <v>已发货</v>
      </c>
      <c r="J3007" s="1" t="str">
        <f t="shared" si="997"/>
        <v>3</v>
      </c>
      <c r="K3007" s="1">
        <v>2</v>
      </c>
      <c r="L3007" s="1" t="s">
        <v>18</v>
      </c>
      <c r="M3007" s="1" t="str">
        <f>"广东省 中山市 中山市 民众镇"</f>
        <v>广东省 中山市 中山市 民众镇</v>
      </c>
      <c r="N3007" s="1" t="str">
        <f t="shared" si="999"/>
        <v>凡华云仓-城南圆通-抖音</v>
      </c>
      <c r="O3007" s="5" t="s">
        <v>3041</v>
      </c>
      <c r="P3007" s="6">
        <v>0.35</v>
      </c>
      <c r="Q3007" s="11">
        <v>2.2999999999999998</v>
      </c>
      <c r="R3007" s="11"/>
      <c r="S3007" s="11"/>
      <c r="T3007" s="11"/>
      <c r="U3007" s="11">
        <f t="shared" si="977"/>
        <v>2.2999999999999998</v>
      </c>
      <c r="W3007">
        <v>2.5</v>
      </c>
      <c r="X3007" s="1" t="s">
        <v>18</v>
      </c>
    </row>
    <row r="3008" spans="1:24" x14ac:dyDescent="0.25">
      <c r="A3008" s="1" t="str">
        <f t="shared" si="978"/>
        <v>卡卡杜-凤凰仓</v>
      </c>
      <c r="B3008" s="1" t="str">
        <f>"CK2024102410990"</f>
        <v>CK2024102410990</v>
      </c>
      <c r="C3008" s="1" t="str">
        <f>"DD2024102454686"</f>
        <v>DD2024102454686</v>
      </c>
      <c r="D3008" s="1" t="str">
        <f>"CK2024102447912"</f>
        <v>CK2024102447912</v>
      </c>
      <c r="E3008" s="1" t="str">
        <f>"6935405155720894067"</f>
        <v>6935405155720894067</v>
      </c>
      <c r="F3008" s="1" t="str">
        <f t="shared" si="979"/>
        <v>花都四部-凤凰仓</v>
      </c>
      <c r="G3008" s="1" t="str">
        <f t="shared" si="998"/>
        <v>卡卡杜个人护理店（抖店）</v>
      </c>
      <c r="H3008" s="1" t="str">
        <f t="shared" si="980"/>
        <v>正常订单</v>
      </c>
      <c r="I3008" s="1" t="str">
        <f t="shared" si="981"/>
        <v>已发货</v>
      </c>
      <c r="J3008" s="1" t="str">
        <f t="shared" si="997"/>
        <v>3</v>
      </c>
      <c r="K3008" s="1">
        <v>2</v>
      </c>
      <c r="L3008" s="1" t="s">
        <v>36</v>
      </c>
      <c r="M3008" s="1" t="str">
        <f>"安徽省 铜陵市 郊区 大通镇"</f>
        <v>安徽省 铜陵市 郊区 大通镇</v>
      </c>
      <c r="N3008" s="1" t="str">
        <f t="shared" si="999"/>
        <v>凡华云仓-城南圆通-抖音</v>
      </c>
      <c r="O3008" s="5" t="s">
        <v>3042</v>
      </c>
      <c r="P3008" s="6">
        <v>0.35</v>
      </c>
      <c r="Q3008" s="11">
        <v>2.2999999999999998</v>
      </c>
      <c r="R3008" s="11"/>
      <c r="S3008" s="11"/>
      <c r="T3008" s="11"/>
      <c r="U3008" s="11">
        <f t="shared" si="977"/>
        <v>2.2999999999999998</v>
      </c>
      <c r="W3008">
        <v>2.5</v>
      </c>
      <c r="X3008" s="1" t="s">
        <v>36</v>
      </c>
    </row>
    <row r="3009" spans="1:24" x14ac:dyDescent="0.25">
      <c r="A3009" s="1" t="str">
        <f t="shared" si="978"/>
        <v>卡卡杜-凤凰仓</v>
      </c>
      <c r="B3009" s="1" t="str">
        <f>"CK20241024193"</f>
        <v>CK20241024193</v>
      </c>
      <c r="C3009" s="1" t="str">
        <f>"DD2024102423825"</f>
        <v>DD2024102423825</v>
      </c>
      <c r="D3009" s="1" t="str">
        <f>"CK2024102417285"</f>
        <v>CK2024102417285</v>
      </c>
      <c r="E3009" s="1" t="str">
        <f>"3723513327520451584"</f>
        <v>3723513327520451584</v>
      </c>
      <c r="F3009" s="1" t="str">
        <f t="shared" si="979"/>
        <v>花都四部-凤凰仓</v>
      </c>
      <c r="G3009" s="1" t="str">
        <f t="shared" ref="G3009:G3072" si="1000">"卡卡杜企业店（视频号）"</f>
        <v>卡卡杜企业店（视频号）</v>
      </c>
      <c r="H3009" s="1" t="str">
        <f t="shared" si="980"/>
        <v>正常订单</v>
      </c>
      <c r="I3009" s="1" t="str">
        <f t="shared" si="981"/>
        <v>已发货</v>
      </c>
      <c r="J3009" s="1" t="str">
        <f t="shared" ref="J3009:J3012" si="1001">"2"</f>
        <v>2</v>
      </c>
      <c r="K3009" s="1">
        <v>2</v>
      </c>
      <c r="L3009" s="1" t="s">
        <v>36</v>
      </c>
      <c r="M3009" s="1" t="str">
        <f>"安徽省 合肥市 包河区 "</f>
        <v xml:space="preserve">安徽省 合肥市 包河区 </v>
      </c>
      <c r="N3009" s="1" t="str">
        <f t="shared" ref="N3009:N3072" si="1002">"凡华云仓-城南圆通-微信视频号"</f>
        <v>凡华云仓-城南圆通-微信视频号</v>
      </c>
      <c r="O3009" s="5" t="s">
        <v>3043</v>
      </c>
      <c r="P3009" s="6">
        <v>0.17</v>
      </c>
      <c r="Q3009" s="11">
        <v>2</v>
      </c>
      <c r="R3009" s="11"/>
      <c r="S3009" s="11"/>
      <c r="T3009" s="11"/>
      <c r="U3009" s="11">
        <f t="shared" si="977"/>
        <v>2</v>
      </c>
      <c r="W3009">
        <v>2.2000000000000002</v>
      </c>
      <c r="X3009" s="1" t="s">
        <v>36</v>
      </c>
    </row>
    <row r="3010" spans="1:24" x14ac:dyDescent="0.25">
      <c r="A3010" s="1" t="str">
        <f t="shared" si="978"/>
        <v>卡卡杜-凤凰仓</v>
      </c>
      <c r="B3010" s="1" t="str">
        <f>"CK20241024194"</f>
        <v>CK20241024194</v>
      </c>
      <c r="C3010" s="1" t="str">
        <f>"DD2024102423824"</f>
        <v>DD2024102423824</v>
      </c>
      <c r="D3010" s="1" t="str">
        <f>"CK2024102417284"</f>
        <v>CK2024102417284</v>
      </c>
      <c r="E3010" s="1" t="str">
        <f>"3723513326303839488"</f>
        <v>3723513326303839488</v>
      </c>
      <c r="F3010" s="1" t="str">
        <f t="shared" si="979"/>
        <v>花都四部-凤凰仓</v>
      </c>
      <c r="G3010" s="1" t="str">
        <f t="shared" si="1000"/>
        <v>卡卡杜企业店（视频号）</v>
      </c>
      <c r="H3010" s="1" t="str">
        <f t="shared" si="980"/>
        <v>正常订单</v>
      </c>
      <c r="I3010" s="1" t="str">
        <f t="shared" si="981"/>
        <v>已发货</v>
      </c>
      <c r="J3010" s="1" t="str">
        <f t="shared" si="1001"/>
        <v>2</v>
      </c>
      <c r="K3010" s="1">
        <v>2</v>
      </c>
      <c r="L3010" s="1" t="s">
        <v>74</v>
      </c>
      <c r="M3010" s="1" t="str">
        <f>"上海 上海市 宝山区 "</f>
        <v xml:space="preserve">上海 上海市 宝山区 </v>
      </c>
      <c r="N3010" s="1" t="str">
        <f t="shared" si="1002"/>
        <v>凡华云仓-城南圆通-微信视频号</v>
      </c>
      <c r="O3010" s="5" t="s">
        <v>3044</v>
      </c>
      <c r="P3010" s="6">
        <v>0.17</v>
      </c>
      <c r="Q3010" s="11">
        <v>2</v>
      </c>
      <c r="R3010" s="11"/>
      <c r="S3010" s="11"/>
      <c r="T3010" s="11"/>
      <c r="U3010" s="11">
        <f t="shared" si="977"/>
        <v>2</v>
      </c>
      <c r="W3010">
        <v>2.2000000000000002</v>
      </c>
      <c r="X3010" s="1" t="s">
        <v>74</v>
      </c>
    </row>
    <row r="3011" spans="1:24" x14ac:dyDescent="0.25">
      <c r="A3011" s="1" t="str">
        <f t="shared" si="978"/>
        <v>卡卡杜-凤凰仓</v>
      </c>
      <c r="B3011" s="1" t="str">
        <f>"CK20241024195"</f>
        <v>CK20241024195</v>
      </c>
      <c r="C3011" s="1" t="str">
        <f>"DD2024102423826"</f>
        <v>DD2024102423826</v>
      </c>
      <c r="D3011" s="1" t="str">
        <f>"CK2024102417283"</f>
        <v>CK2024102417283</v>
      </c>
      <c r="E3011" s="1" t="str">
        <f>"3723513323670866945"</f>
        <v>3723513323670866945</v>
      </c>
      <c r="F3011" s="1" t="str">
        <f t="shared" si="979"/>
        <v>花都四部-凤凰仓</v>
      </c>
      <c r="G3011" s="1" t="str">
        <f t="shared" si="1000"/>
        <v>卡卡杜企业店（视频号）</v>
      </c>
      <c r="H3011" s="1" t="str">
        <f t="shared" si="980"/>
        <v>正常订单</v>
      </c>
      <c r="I3011" s="1" t="str">
        <f t="shared" si="981"/>
        <v>已发货</v>
      </c>
      <c r="J3011" s="1" t="str">
        <f t="shared" si="1001"/>
        <v>2</v>
      </c>
      <c r="K3011" s="1">
        <v>2</v>
      </c>
      <c r="L3011" s="1" t="s">
        <v>161</v>
      </c>
      <c r="M3011" s="1" t="str">
        <f>"四川省 达州市 通川区 "</f>
        <v xml:space="preserve">四川省 达州市 通川区 </v>
      </c>
      <c r="N3011" s="1" t="str">
        <f t="shared" si="1002"/>
        <v>凡华云仓-城南圆通-微信视频号</v>
      </c>
      <c r="O3011" s="5" t="s">
        <v>3045</v>
      </c>
      <c r="P3011" s="6">
        <v>0.17</v>
      </c>
      <c r="Q3011" s="11">
        <v>2</v>
      </c>
      <c r="R3011" s="11"/>
      <c r="S3011" s="11"/>
      <c r="T3011" s="11"/>
      <c r="U3011" s="11">
        <f t="shared" ref="U3011:U3074" si="1003">T3011+S3011+R3011+Q3011</f>
        <v>2</v>
      </c>
      <c r="W3011">
        <v>2.2000000000000002</v>
      </c>
      <c r="X3011" s="1" t="s">
        <v>161</v>
      </c>
    </row>
    <row r="3012" spans="1:24" x14ac:dyDescent="0.25">
      <c r="A3012" s="1" t="str">
        <f t="shared" si="978"/>
        <v>卡卡杜-凤凰仓</v>
      </c>
      <c r="B3012" s="1" t="str">
        <f>"CK20241024184"</f>
        <v>CK20241024184</v>
      </c>
      <c r="C3012" s="1" t="str">
        <f>"DD2024102423814"</f>
        <v>DD2024102423814</v>
      </c>
      <c r="D3012" s="1" t="str">
        <f>"CK2024102417282"</f>
        <v>CK2024102417282</v>
      </c>
      <c r="E3012" s="1" t="str">
        <f>"3723515848610942976"</f>
        <v>3723515848610942976</v>
      </c>
      <c r="F3012" s="1" t="str">
        <f t="shared" si="979"/>
        <v>花都四部-凤凰仓</v>
      </c>
      <c r="G3012" s="1" t="str">
        <f t="shared" si="1000"/>
        <v>卡卡杜企业店（视频号）</v>
      </c>
      <c r="H3012" s="1" t="str">
        <f t="shared" si="980"/>
        <v>正常订单</v>
      </c>
      <c r="I3012" s="1" t="str">
        <f t="shared" si="981"/>
        <v>已发货</v>
      </c>
      <c r="J3012" s="1" t="str">
        <f t="shared" si="1001"/>
        <v>2</v>
      </c>
      <c r="K3012" s="1">
        <v>2</v>
      </c>
      <c r="L3012" s="1" t="s">
        <v>16</v>
      </c>
      <c r="M3012" s="1" t="str">
        <f>"河北省 邯郸市 丛台区 "</f>
        <v xml:space="preserve">河北省 邯郸市 丛台区 </v>
      </c>
      <c r="N3012" s="1" t="str">
        <f t="shared" si="1002"/>
        <v>凡华云仓-城南圆通-微信视频号</v>
      </c>
      <c r="O3012" s="5" t="s">
        <v>3046</v>
      </c>
      <c r="P3012" s="6">
        <v>0.17</v>
      </c>
      <c r="Q3012" s="11">
        <v>2</v>
      </c>
      <c r="R3012" s="11"/>
      <c r="S3012" s="11"/>
      <c r="T3012" s="11"/>
      <c r="U3012" s="11">
        <f t="shared" si="1003"/>
        <v>2</v>
      </c>
      <c r="W3012">
        <v>2.2000000000000002</v>
      </c>
      <c r="X3012" s="1" t="s">
        <v>16</v>
      </c>
    </row>
    <row r="3013" spans="1:24" x14ac:dyDescent="0.25">
      <c r="A3013" s="1" t="str">
        <f t="shared" ref="A3013:A3076" si="1004">"卡卡杜-凤凰仓"</f>
        <v>卡卡杜-凤凰仓</v>
      </c>
      <c r="B3013" s="1" t="str">
        <f>"CK20241024124"</f>
        <v>CK20241024124</v>
      </c>
      <c r="C3013" s="1" t="str">
        <f>"DD2024102423323"</f>
        <v>DD2024102423323</v>
      </c>
      <c r="D3013" s="1" t="str">
        <f>"CK2024102417281"</f>
        <v>CK2024102417281</v>
      </c>
      <c r="E3013" s="1" t="str">
        <f>"3723513316033564673"</f>
        <v>3723513316033564673</v>
      </c>
      <c r="F3013" s="1" t="str">
        <f t="shared" ref="F3013:F3076" si="1005">"花都四部-凤凰仓"</f>
        <v>花都四部-凤凰仓</v>
      </c>
      <c r="G3013" s="1" t="str">
        <f t="shared" si="1000"/>
        <v>卡卡杜企业店（视频号）</v>
      </c>
      <c r="H3013" s="1" t="str">
        <f t="shared" ref="H3013:H3076" si="1006">"正常订单"</f>
        <v>正常订单</v>
      </c>
      <c r="I3013" s="1" t="str">
        <f t="shared" ref="I3013:I3076" si="1007">"已发货"</f>
        <v>已发货</v>
      </c>
      <c r="J3013" s="1" t="str">
        <f>"3"</f>
        <v>3</v>
      </c>
      <c r="K3013" s="1">
        <v>2</v>
      </c>
      <c r="L3013" s="1" t="s">
        <v>80</v>
      </c>
      <c r="M3013" s="1" t="str">
        <f>"河南省 郑州市 金水区 "</f>
        <v xml:space="preserve">河南省 郑州市 金水区 </v>
      </c>
      <c r="N3013" s="1" t="str">
        <f t="shared" si="1002"/>
        <v>凡华云仓-城南圆通-微信视频号</v>
      </c>
      <c r="O3013" s="5" t="s">
        <v>3047</v>
      </c>
      <c r="P3013" s="6">
        <v>0.24</v>
      </c>
      <c r="Q3013" s="11">
        <v>2</v>
      </c>
      <c r="R3013" s="11"/>
      <c r="S3013" s="11"/>
      <c r="T3013" s="11"/>
      <c r="U3013" s="11">
        <f t="shared" si="1003"/>
        <v>2</v>
      </c>
      <c r="W3013">
        <v>2.2000000000000002</v>
      </c>
      <c r="X3013" s="1" t="s">
        <v>80</v>
      </c>
    </row>
    <row r="3014" spans="1:24" x14ac:dyDescent="0.25">
      <c r="A3014" s="1" t="str">
        <f t="shared" si="1004"/>
        <v>卡卡杜-凤凰仓</v>
      </c>
      <c r="B3014" s="1" t="str">
        <f>"CK20241024196"</f>
        <v>CK20241024196</v>
      </c>
      <c r="C3014" s="1" t="str">
        <f>"DD2024102423827"</f>
        <v>DD2024102423827</v>
      </c>
      <c r="D3014" s="1" t="str">
        <f>"CK2024102417280"</f>
        <v>CK2024102417280</v>
      </c>
      <c r="E3014" s="1" t="str">
        <f>"3723513317039408384"</f>
        <v>3723513317039408384</v>
      </c>
      <c r="F3014" s="1" t="str">
        <f t="shared" si="1005"/>
        <v>花都四部-凤凰仓</v>
      </c>
      <c r="G3014" s="1" t="str">
        <f t="shared" si="1000"/>
        <v>卡卡杜企业店（视频号）</v>
      </c>
      <c r="H3014" s="1" t="str">
        <f t="shared" si="1006"/>
        <v>正常订单</v>
      </c>
      <c r="I3014" s="1" t="str">
        <f t="shared" si="1007"/>
        <v>已发货</v>
      </c>
      <c r="J3014" s="1" t="str">
        <f t="shared" ref="J3014:J3020" si="1008">"2"</f>
        <v>2</v>
      </c>
      <c r="K3014" s="1">
        <v>2</v>
      </c>
      <c r="L3014" s="1" t="s">
        <v>13</v>
      </c>
      <c r="M3014" s="1" t="str">
        <f>"江苏省 苏州市 姑苏区 "</f>
        <v xml:space="preserve">江苏省 苏州市 姑苏区 </v>
      </c>
      <c r="N3014" s="1" t="str">
        <f t="shared" si="1002"/>
        <v>凡华云仓-城南圆通-微信视频号</v>
      </c>
      <c r="O3014" s="5" t="s">
        <v>3048</v>
      </c>
      <c r="P3014" s="6">
        <v>0.17</v>
      </c>
      <c r="Q3014" s="11">
        <v>2</v>
      </c>
      <c r="R3014" s="11"/>
      <c r="S3014" s="11"/>
      <c r="T3014" s="11"/>
      <c r="U3014" s="11">
        <f t="shared" si="1003"/>
        <v>2</v>
      </c>
      <c r="W3014">
        <v>2.2000000000000002</v>
      </c>
      <c r="X3014" s="1" t="s">
        <v>13</v>
      </c>
    </row>
    <row r="3015" spans="1:24" x14ac:dyDescent="0.25">
      <c r="A3015" s="1" t="str">
        <f t="shared" si="1004"/>
        <v>卡卡杜-凤凰仓</v>
      </c>
      <c r="B3015" s="1" t="str">
        <f>"CK20241024198"</f>
        <v>CK20241024198</v>
      </c>
      <c r="C3015" s="1" t="str">
        <f>"DD2024102423829"</f>
        <v>DD2024102423829</v>
      </c>
      <c r="D3015" s="1" t="str">
        <f>"CK2024102417279"</f>
        <v>CK2024102417279</v>
      </c>
      <c r="E3015" s="1" t="str">
        <f>"3723513316491003136"</f>
        <v>3723513316491003136</v>
      </c>
      <c r="F3015" s="1" t="str">
        <f t="shared" si="1005"/>
        <v>花都四部-凤凰仓</v>
      </c>
      <c r="G3015" s="1" t="str">
        <f t="shared" si="1000"/>
        <v>卡卡杜企业店（视频号）</v>
      </c>
      <c r="H3015" s="1" t="str">
        <f t="shared" si="1006"/>
        <v>正常订单</v>
      </c>
      <c r="I3015" s="1" t="str">
        <f t="shared" si="1007"/>
        <v>已发货</v>
      </c>
      <c r="J3015" s="1" t="str">
        <f t="shared" si="1008"/>
        <v>2</v>
      </c>
      <c r="K3015" s="1">
        <v>2</v>
      </c>
      <c r="L3015" s="1" t="s">
        <v>24</v>
      </c>
      <c r="M3015" s="1" t="str">
        <f>"福建省 泉州市 晋江市 "</f>
        <v xml:space="preserve">福建省 泉州市 晋江市 </v>
      </c>
      <c r="N3015" s="1" t="str">
        <f t="shared" si="1002"/>
        <v>凡华云仓-城南圆通-微信视频号</v>
      </c>
      <c r="O3015" s="5" t="s">
        <v>3049</v>
      </c>
      <c r="P3015" s="6">
        <v>0.17</v>
      </c>
      <c r="Q3015" s="11">
        <v>2</v>
      </c>
      <c r="R3015" s="11"/>
      <c r="S3015" s="11"/>
      <c r="T3015" s="11"/>
      <c r="U3015" s="11">
        <f t="shared" si="1003"/>
        <v>2</v>
      </c>
      <c r="W3015">
        <v>2.2000000000000002</v>
      </c>
      <c r="X3015" s="1" t="s">
        <v>24</v>
      </c>
    </row>
    <row r="3016" spans="1:24" x14ac:dyDescent="0.25">
      <c r="A3016" s="1" t="str">
        <f t="shared" si="1004"/>
        <v>卡卡杜-凤凰仓</v>
      </c>
      <c r="B3016" s="1" t="str">
        <f>"CK20241024191"</f>
        <v>CK20241024191</v>
      </c>
      <c r="C3016" s="1" t="str">
        <f>"DD2024102423822"</f>
        <v>DD2024102423822</v>
      </c>
      <c r="D3016" s="1" t="str">
        <f>"CK2024102417278"</f>
        <v>CK2024102417278</v>
      </c>
      <c r="E3016" s="1" t="str">
        <f>"3723513317080828928"</f>
        <v>3723513317080828928</v>
      </c>
      <c r="F3016" s="1" t="str">
        <f t="shared" si="1005"/>
        <v>花都四部-凤凰仓</v>
      </c>
      <c r="G3016" s="1" t="str">
        <f t="shared" si="1000"/>
        <v>卡卡杜企业店（视频号）</v>
      </c>
      <c r="H3016" s="1" t="str">
        <f t="shared" si="1006"/>
        <v>正常订单</v>
      </c>
      <c r="I3016" s="1" t="str">
        <f t="shared" si="1007"/>
        <v>已发货</v>
      </c>
      <c r="J3016" s="1" t="str">
        <f t="shared" si="1008"/>
        <v>2</v>
      </c>
      <c r="K3016" s="1">
        <v>2</v>
      </c>
      <c r="L3016" s="1" t="s">
        <v>18</v>
      </c>
      <c r="M3016" s="1" t="str">
        <f>"广东省 惠州市 惠阳区 "</f>
        <v xml:space="preserve">广东省 惠州市 惠阳区 </v>
      </c>
      <c r="N3016" s="1" t="str">
        <f t="shared" si="1002"/>
        <v>凡华云仓-城南圆通-微信视频号</v>
      </c>
      <c r="O3016" s="5" t="s">
        <v>3050</v>
      </c>
      <c r="P3016" s="6">
        <v>0.17</v>
      </c>
      <c r="Q3016" s="11">
        <v>2</v>
      </c>
      <c r="R3016" s="11"/>
      <c r="S3016" s="11"/>
      <c r="T3016" s="11"/>
      <c r="U3016" s="11">
        <f t="shared" si="1003"/>
        <v>2</v>
      </c>
      <c r="W3016">
        <v>2.2000000000000002</v>
      </c>
      <c r="X3016" s="1" t="s">
        <v>18</v>
      </c>
    </row>
    <row r="3017" spans="1:24" x14ac:dyDescent="0.25">
      <c r="A3017" s="1" t="str">
        <f t="shared" si="1004"/>
        <v>卡卡杜-凤凰仓</v>
      </c>
      <c r="B3017" s="1" t="str">
        <f>"CK20241024197"</f>
        <v>CK20241024197</v>
      </c>
      <c r="C3017" s="1" t="str">
        <f>"DD2024102423828"</f>
        <v>DD2024102423828</v>
      </c>
      <c r="D3017" s="1" t="str">
        <f>"CK2024102417277"</f>
        <v>CK2024102417277</v>
      </c>
      <c r="E3017" s="1" t="str">
        <f>"3723513316162802688"</f>
        <v>3723513316162802688</v>
      </c>
      <c r="F3017" s="1" t="str">
        <f t="shared" si="1005"/>
        <v>花都四部-凤凰仓</v>
      </c>
      <c r="G3017" s="1" t="str">
        <f t="shared" si="1000"/>
        <v>卡卡杜企业店（视频号）</v>
      </c>
      <c r="H3017" s="1" t="str">
        <f t="shared" si="1006"/>
        <v>正常订单</v>
      </c>
      <c r="I3017" s="1" t="str">
        <f t="shared" si="1007"/>
        <v>已发货</v>
      </c>
      <c r="J3017" s="1" t="str">
        <f t="shared" si="1008"/>
        <v>2</v>
      </c>
      <c r="K3017" s="1">
        <v>2</v>
      </c>
      <c r="L3017" s="1" t="s">
        <v>187</v>
      </c>
      <c r="M3017" s="1" t="str">
        <f>"吉林省 长春市 长春净月高新技术产业开发区 "</f>
        <v xml:space="preserve">吉林省 长春市 长春净月高新技术产业开发区 </v>
      </c>
      <c r="N3017" s="1" t="str">
        <f t="shared" si="1002"/>
        <v>凡华云仓-城南圆通-微信视频号</v>
      </c>
      <c r="O3017" s="5" t="s">
        <v>3051</v>
      </c>
      <c r="P3017" s="6">
        <v>0.17</v>
      </c>
      <c r="Q3017" s="11">
        <v>2</v>
      </c>
      <c r="R3017" s="11"/>
      <c r="S3017" s="11"/>
      <c r="T3017" s="11"/>
      <c r="U3017" s="11">
        <f t="shared" si="1003"/>
        <v>2</v>
      </c>
      <c r="W3017">
        <v>2.2000000000000002</v>
      </c>
      <c r="X3017" s="1" t="s">
        <v>187</v>
      </c>
    </row>
    <row r="3018" spans="1:24" x14ac:dyDescent="0.25">
      <c r="A3018" s="1" t="str">
        <f t="shared" si="1004"/>
        <v>卡卡杜-凤凰仓</v>
      </c>
      <c r="B3018" s="1" t="str">
        <f>"CK20241024189"</f>
        <v>CK20241024189</v>
      </c>
      <c r="C3018" s="1" t="str">
        <f>"DD2024102423821"</f>
        <v>DD2024102423821</v>
      </c>
      <c r="D3018" s="1" t="str">
        <f>"CK2024102417276"</f>
        <v>CK2024102417276</v>
      </c>
      <c r="E3018" s="1" t="str">
        <f>"3723513350743788545"</f>
        <v>3723513350743788545</v>
      </c>
      <c r="F3018" s="1" t="str">
        <f t="shared" si="1005"/>
        <v>花都四部-凤凰仓</v>
      </c>
      <c r="G3018" s="1" t="str">
        <f t="shared" si="1000"/>
        <v>卡卡杜企业店（视频号）</v>
      </c>
      <c r="H3018" s="1" t="str">
        <f t="shared" si="1006"/>
        <v>正常订单</v>
      </c>
      <c r="I3018" s="1" t="str">
        <f t="shared" si="1007"/>
        <v>已发货</v>
      </c>
      <c r="J3018" s="1" t="str">
        <f t="shared" si="1008"/>
        <v>2</v>
      </c>
      <c r="K3018" s="1">
        <v>2</v>
      </c>
      <c r="L3018" s="1" t="s">
        <v>20</v>
      </c>
      <c r="M3018" s="1" t="str">
        <f>"浙江省 宁波市 慈溪市 "</f>
        <v xml:space="preserve">浙江省 宁波市 慈溪市 </v>
      </c>
      <c r="N3018" s="1" t="str">
        <f t="shared" si="1002"/>
        <v>凡华云仓-城南圆通-微信视频号</v>
      </c>
      <c r="O3018" s="5" t="s">
        <v>3052</v>
      </c>
      <c r="P3018" s="6">
        <v>0.17</v>
      </c>
      <c r="Q3018" s="11">
        <v>2</v>
      </c>
      <c r="R3018" s="11"/>
      <c r="S3018" s="11"/>
      <c r="T3018" s="11"/>
      <c r="U3018" s="11">
        <f t="shared" si="1003"/>
        <v>2</v>
      </c>
      <c r="W3018">
        <v>2.2000000000000002</v>
      </c>
      <c r="X3018" s="1" t="s">
        <v>20</v>
      </c>
    </row>
    <row r="3019" spans="1:24" x14ac:dyDescent="0.25">
      <c r="A3019" s="1" t="str">
        <f t="shared" si="1004"/>
        <v>卡卡杜-凤凰仓</v>
      </c>
      <c r="B3019" s="1" t="str">
        <f>"CK20241024192"</f>
        <v>CK20241024192</v>
      </c>
      <c r="C3019" s="1" t="str">
        <f>"DD2024102423823"</f>
        <v>DD2024102423823</v>
      </c>
      <c r="D3019" s="1" t="str">
        <f>"CK2024102417275"</f>
        <v>CK2024102417275</v>
      </c>
      <c r="E3019" s="1" t="str">
        <f>"3723513330882712576"</f>
        <v>3723513330882712576</v>
      </c>
      <c r="F3019" s="1" t="str">
        <f t="shared" si="1005"/>
        <v>花都四部-凤凰仓</v>
      </c>
      <c r="G3019" s="1" t="str">
        <f t="shared" si="1000"/>
        <v>卡卡杜企业店（视频号）</v>
      </c>
      <c r="H3019" s="1" t="str">
        <f t="shared" si="1006"/>
        <v>正常订单</v>
      </c>
      <c r="I3019" s="1" t="str">
        <f t="shared" si="1007"/>
        <v>已发货</v>
      </c>
      <c r="J3019" s="1" t="str">
        <f t="shared" si="1008"/>
        <v>2</v>
      </c>
      <c r="K3019" s="1">
        <v>2</v>
      </c>
      <c r="L3019" s="1" t="s">
        <v>161</v>
      </c>
      <c r="M3019" s="1" t="str">
        <f>"四川省 南充市 顺庆区 "</f>
        <v xml:space="preserve">四川省 南充市 顺庆区 </v>
      </c>
      <c r="N3019" s="1" t="str">
        <f t="shared" si="1002"/>
        <v>凡华云仓-城南圆通-微信视频号</v>
      </c>
      <c r="O3019" s="5" t="s">
        <v>3053</v>
      </c>
      <c r="P3019" s="6">
        <v>0.17</v>
      </c>
      <c r="Q3019" s="11">
        <v>2</v>
      </c>
      <c r="R3019" s="11"/>
      <c r="S3019" s="11"/>
      <c r="T3019" s="11"/>
      <c r="U3019" s="11">
        <f t="shared" si="1003"/>
        <v>2</v>
      </c>
      <c r="W3019">
        <v>2.2000000000000002</v>
      </c>
      <c r="X3019" s="1" t="s">
        <v>161</v>
      </c>
    </row>
    <row r="3020" spans="1:24" x14ac:dyDescent="0.25">
      <c r="A3020" s="1" t="str">
        <f t="shared" si="1004"/>
        <v>卡卡杜-凤凰仓</v>
      </c>
      <c r="B3020" s="1" t="str">
        <f>"CK20241024190"</f>
        <v>CK20241024190</v>
      </c>
      <c r="C3020" s="1" t="str">
        <f>"DD2024102423820"</f>
        <v>DD2024102423820</v>
      </c>
      <c r="D3020" s="1" t="str">
        <f>"CK2024102417274"</f>
        <v>CK2024102417274</v>
      </c>
      <c r="E3020" s="1" t="str">
        <f>"3723513339526908928"</f>
        <v>3723513339526908928</v>
      </c>
      <c r="F3020" s="1" t="str">
        <f t="shared" si="1005"/>
        <v>花都四部-凤凰仓</v>
      </c>
      <c r="G3020" s="1" t="str">
        <f t="shared" si="1000"/>
        <v>卡卡杜企业店（视频号）</v>
      </c>
      <c r="H3020" s="1" t="str">
        <f t="shared" si="1006"/>
        <v>正常订单</v>
      </c>
      <c r="I3020" s="1" t="str">
        <f t="shared" si="1007"/>
        <v>已发货</v>
      </c>
      <c r="J3020" s="1" t="str">
        <f t="shared" si="1008"/>
        <v>2</v>
      </c>
      <c r="K3020" s="1">
        <v>2</v>
      </c>
      <c r="L3020" s="1" t="s">
        <v>18</v>
      </c>
      <c r="M3020" s="1" t="str">
        <f>"广东省 江门市 开平市 "</f>
        <v xml:space="preserve">广东省 江门市 开平市 </v>
      </c>
      <c r="N3020" s="1" t="str">
        <f t="shared" si="1002"/>
        <v>凡华云仓-城南圆通-微信视频号</v>
      </c>
      <c r="O3020" s="5" t="s">
        <v>3054</v>
      </c>
      <c r="P3020" s="6">
        <v>0.17</v>
      </c>
      <c r="Q3020" s="11">
        <v>2</v>
      </c>
      <c r="R3020" s="11"/>
      <c r="S3020" s="11"/>
      <c r="T3020" s="11"/>
      <c r="U3020" s="11">
        <f t="shared" si="1003"/>
        <v>2</v>
      </c>
      <c r="W3020">
        <v>2.2000000000000002</v>
      </c>
      <c r="X3020" s="1" t="s">
        <v>18</v>
      </c>
    </row>
    <row r="3021" spans="1:24" x14ac:dyDescent="0.25">
      <c r="A3021" s="1" t="str">
        <f t="shared" si="1004"/>
        <v>卡卡杜-凤凰仓</v>
      </c>
      <c r="B3021" s="1" t="str">
        <f>"CK20241024139"</f>
        <v>CK20241024139</v>
      </c>
      <c r="C3021" s="1" t="str">
        <f>"DD2024102423337"</f>
        <v>DD2024102423337</v>
      </c>
      <c r="D3021" s="1" t="str">
        <f>"CK2024102417273"</f>
        <v>CK2024102417273</v>
      </c>
      <c r="E3021" s="1" t="str">
        <f>"3723513328916632576"</f>
        <v>3723513328916632576</v>
      </c>
      <c r="F3021" s="1" t="str">
        <f t="shared" si="1005"/>
        <v>花都四部-凤凰仓</v>
      </c>
      <c r="G3021" s="1" t="str">
        <f t="shared" si="1000"/>
        <v>卡卡杜企业店（视频号）</v>
      </c>
      <c r="H3021" s="1" t="str">
        <f t="shared" si="1006"/>
        <v>正常订单</v>
      </c>
      <c r="I3021" s="1" t="str">
        <f t="shared" si="1007"/>
        <v>已发货</v>
      </c>
      <c r="J3021" s="1" t="str">
        <f t="shared" ref="J3021:J3026" si="1009">"3"</f>
        <v>3</v>
      </c>
      <c r="K3021" s="1">
        <v>2</v>
      </c>
      <c r="L3021" s="1" t="s">
        <v>66</v>
      </c>
      <c r="M3021" s="1" t="str">
        <f>"内蒙古自治区 鄂尔多斯市 东胜区 "</f>
        <v xml:space="preserve">内蒙古自治区 鄂尔多斯市 东胜区 </v>
      </c>
      <c r="N3021" s="1" t="str">
        <f t="shared" si="1002"/>
        <v>凡华云仓-城南圆通-微信视频号</v>
      </c>
      <c r="O3021" s="5" t="s">
        <v>3055</v>
      </c>
      <c r="P3021" s="6">
        <v>0.24</v>
      </c>
      <c r="Q3021" s="11">
        <v>2</v>
      </c>
      <c r="R3021" s="11"/>
      <c r="S3021" s="11"/>
      <c r="T3021" s="11"/>
      <c r="U3021" s="11">
        <f t="shared" si="1003"/>
        <v>2</v>
      </c>
      <c r="W3021">
        <v>2.2000000000000002</v>
      </c>
      <c r="X3021" s="1" t="s">
        <v>66</v>
      </c>
    </row>
    <row r="3022" spans="1:24" x14ac:dyDescent="0.25">
      <c r="A3022" s="1" t="str">
        <f t="shared" si="1004"/>
        <v>卡卡杜-凤凰仓</v>
      </c>
      <c r="B3022" s="1" t="str">
        <f>"CK20241024199"</f>
        <v>CK20241024199</v>
      </c>
      <c r="C3022" s="1" t="str">
        <f>"DD2024102423831"</f>
        <v>DD2024102423831</v>
      </c>
      <c r="D3022" s="1" t="str">
        <f>"CK2024102417272"</f>
        <v>CK2024102417272</v>
      </c>
      <c r="E3022" s="1" t="str">
        <f>"3723513304231055360"</f>
        <v>3723513304231055360</v>
      </c>
      <c r="F3022" s="1" t="str">
        <f t="shared" si="1005"/>
        <v>花都四部-凤凰仓</v>
      </c>
      <c r="G3022" s="1" t="str">
        <f t="shared" si="1000"/>
        <v>卡卡杜企业店（视频号）</v>
      </c>
      <c r="H3022" s="1" t="str">
        <f t="shared" si="1006"/>
        <v>正常订单</v>
      </c>
      <c r="I3022" s="1" t="str">
        <f t="shared" si="1007"/>
        <v>已发货</v>
      </c>
      <c r="J3022" s="1" t="str">
        <f t="shared" ref="J3022:J3031" si="1010">"2"</f>
        <v>2</v>
      </c>
      <c r="K3022" s="1">
        <v>2</v>
      </c>
      <c r="L3022" s="1" t="s">
        <v>22</v>
      </c>
      <c r="M3022" s="1" t="str">
        <f>"江西省 鹰潭市 月湖区 "</f>
        <v xml:space="preserve">江西省 鹰潭市 月湖区 </v>
      </c>
      <c r="N3022" s="1" t="str">
        <f t="shared" si="1002"/>
        <v>凡华云仓-城南圆通-微信视频号</v>
      </c>
      <c r="O3022" s="5" t="s">
        <v>3056</v>
      </c>
      <c r="P3022" s="6">
        <v>0.17</v>
      </c>
      <c r="Q3022" s="11">
        <v>2</v>
      </c>
      <c r="R3022" s="11"/>
      <c r="S3022" s="11"/>
      <c r="T3022" s="11"/>
      <c r="U3022" s="11">
        <f t="shared" si="1003"/>
        <v>2</v>
      </c>
      <c r="W3022">
        <v>2.2000000000000002</v>
      </c>
      <c r="X3022" s="1" t="s">
        <v>22</v>
      </c>
    </row>
    <row r="3023" spans="1:24" x14ac:dyDescent="0.25">
      <c r="A3023" s="1" t="str">
        <f t="shared" si="1004"/>
        <v>卡卡杜-凤凰仓</v>
      </c>
      <c r="B3023" s="1" t="str">
        <f>"CK20241024206"</f>
        <v>CK20241024206</v>
      </c>
      <c r="C3023" s="1" t="str">
        <f>"DD2024102423837"</f>
        <v>DD2024102423837</v>
      </c>
      <c r="D3023" s="1" t="str">
        <f>"CK2024102417271"</f>
        <v>CK2024102417271</v>
      </c>
      <c r="E3023" s="1" t="str">
        <f>"3723513296837018880"</f>
        <v>3723513296837018880</v>
      </c>
      <c r="F3023" s="1" t="str">
        <f t="shared" si="1005"/>
        <v>花都四部-凤凰仓</v>
      </c>
      <c r="G3023" s="1" t="str">
        <f t="shared" si="1000"/>
        <v>卡卡杜企业店（视频号）</v>
      </c>
      <c r="H3023" s="1" t="str">
        <f t="shared" si="1006"/>
        <v>正常订单</v>
      </c>
      <c r="I3023" s="1" t="str">
        <f t="shared" si="1007"/>
        <v>已发货</v>
      </c>
      <c r="J3023" s="1" t="str">
        <f t="shared" si="1010"/>
        <v>2</v>
      </c>
      <c r="K3023" s="1">
        <v>2</v>
      </c>
      <c r="L3023" s="1" t="s">
        <v>92</v>
      </c>
      <c r="M3023" s="1" t="str">
        <f>"辽宁省 沈阳市 皇姑区 "</f>
        <v xml:space="preserve">辽宁省 沈阳市 皇姑区 </v>
      </c>
      <c r="N3023" s="1" t="str">
        <f t="shared" si="1002"/>
        <v>凡华云仓-城南圆通-微信视频号</v>
      </c>
      <c r="O3023" s="5" t="s">
        <v>3057</v>
      </c>
      <c r="P3023" s="6">
        <v>0.17</v>
      </c>
      <c r="Q3023" s="11">
        <v>2</v>
      </c>
      <c r="R3023" s="11"/>
      <c r="S3023" s="11"/>
      <c r="T3023" s="11"/>
      <c r="U3023" s="11">
        <f t="shared" si="1003"/>
        <v>2</v>
      </c>
      <c r="W3023">
        <v>2.2000000000000002</v>
      </c>
      <c r="X3023" s="1" t="s">
        <v>92</v>
      </c>
    </row>
    <row r="3024" spans="1:24" x14ac:dyDescent="0.25">
      <c r="A3024" s="1" t="str">
        <f t="shared" si="1004"/>
        <v>卡卡杜-凤凰仓</v>
      </c>
      <c r="B3024" s="1" t="str">
        <f>"CK20241024121"</f>
        <v>CK20241024121</v>
      </c>
      <c r="C3024" s="1" t="str">
        <f>"DD2024102423319"</f>
        <v>DD2024102423319</v>
      </c>
      <c r="D3024" s="1" t="str">
        <f>"CK2024102417270"</f>
        <v>CK2024102417270</v>
      </c>
      <c r="E3024" s="1" t="str">
        <f>"3723515847381750784"</f>
        <v>3723515847381750784</v>
      </c>
      <c r="F3024" s="1" t="str">
        <f t="shared" si="1005"/>
        <v>花都四部-凤凰仓</v>
      </c>
      <c r="G3024" s="1" t="str">
        <f t="shared" si="1000"/>
        <v>卡卡杜企业店（视频号）</v>
      </c>
      <c r="H3024" s="1" t="str">
        <f t="shared" si="1006"/>
        <v>正常订单</v>
      </c>
      <c r="I3024" s="1" t="str">
        <f t="shared" si="1007"/>
        <v>已发货</v>
      </c>
      <c r="J3024" s="1" t="str">
        <f t="shared" si="1009"/>
        <v>3</v>
      </c>
      <c r="K3024" s="1">
        <v>2</v>
      </c>
      <c r="L3024" s="1" t="s">
        <v>18</v>
      </c>
      <c r="M3024" s="1" t="str">
        <f>"广东省 东莞市 莞城街道 "</f>
        <v xml:space="preserve">广东省 东莞市 莞城街道 </v>
      </c>
      <c r="N3024" s="1" t="str">
        <f t="shared" si="1002"/>
        <v>凡华云仓-城南圆通-微信视频号</v>
      </c>
      <c r="O3024" s="5" t="s">
        <v>3058</v>
      </c>
      <c r="P3024" s="6">
        <v>0.24</v>
      </c>
      <c r="Q3024" s="11">
        <v>2</v>
      </c>
      <c r="R3024" s="11"/>
      <c r="S3024" s="11"/>
      <c r="T3024" s="11"/>
      <c r="U3024" s="11">
        <f t="shared" si="1003"/>
        <v>2</v>
      </c>
      <c r="W3024">
        <v>2.2000000000000002</v>
      </c>
      <c r="X3024" s="1" t="s">
        <v>18</v>
      </c>
    </row>
    <row r="3025" spans="1:24" x14ac:dyDescent="0.25">
      <c r="A3025" s="1" t="str">
        <f t="shared" si="1004"/>
        <v>卡卡杜-凤凰仓</v>
      </c>
      <c r="B3025" s="1" t="str">
        <f>"CK20241024130"</f>
        <v>CK20241024130</v>
      </c>
      <c r="C3025" s="1" t="str">
        <f>"DD2024102423328"</f>
        <v>DD2024102423328</v>
      </c>
      <c r="D3025" s="1" t="str">
        <f>"CK2024102417269"</f>
        <v>CK2024102417269</v>
      </c>
      <c r="E3025" s="1" t="str">
        <f>"3723515847266665728"</f>
        <v>3723515847266665728</v>
      </c>
      <c r="F3025" s="1" t="str">
        <f t="shared" si="1005"/>
        <v>花都四部-凤凰仓</v>
      </c>
      <c r="G3025" s="1" t="str">
        <f t="shared" si="1000"/>
        <v>卡卡杜企业店（视频号）</v>
      </c>
      <c r="H3025" s="1" t="str">
        <f t="shared" si="1006"/>
        <v>正常订单</v>
      </c>
      <c r="I3025" s="1" t="str">
        <f t="shared" si="1007"/>
        <v>已发货</v>
      </c>
      <c r="J3025" s="1" t="str">
        <f t="shared" si="1009"/>
        <v>3</v>
      </c>
      <c r="K3025" s="1">
        <v>2</v>
      </c>
      <c r="L3025" s="1" t="s">
        <v>18</v>
      </c>
      <c r="M3025" s="1" t="str">
        <f>"广东省 深圳市 罗湖区 "</f>
        <v xml:space="preserve">广东省 深圳市 罗湖区 </v>
      </c>
      <c r="N3025" s="1" t="str">
        <f t="shared" si="1002"/>
        <v>凡华云仓-城南圆通-微信视频号</v>
      </c>
      <c r="O3025" s="5" t="s">
        <v>3059</v>
      </c>
      <c r="P3025" s="6">
        <v>0.24</v>
      </c>
      <c r="Q3025" s="11">
        <v>2</v>
      </c>
      <c r="R3025" s="11"/>
      <c r="S3025" s="11"/>
      <c r="T3025" s="11"/>
      <c r="U3025" s="11">
        <f t="shared" si="1003"/>
        <v>2</v>
      </c>
      <c r="W3025">
        <v>2.2000000000000002</v>
      </c>
      <c r="X3025" s="1" t="s">
        <v>18</v>
      </c>
    </row>
    <row r="3026" spans="1:24" x14ac:dyDescent="0.25">
      <c r="A3026" s="1" t="str">
        <f t="shared" si="1004"/>
        <v>卡卡杜-凤凰仓</v>
      </c>
      <c r="B3026" s="1" t="str">
        <f>"CK20241024119"</f>
        <v>CK20241024119</v>
      </c>
      <c r="C3026" s="1" t="str">
        <f>"DD2024102423317"</f>
        <v>DD2024102423317</v>
      </c>
      <c r="D3026" s="1" t="str">
        <f>"CK2024102417268"</f>
        <v>CK2024102417268</v>
      </c>
      <c r="E3026" s="1" t="str">
        <f>"3723515848147733504"</f>
        <v>3723515848147733504</v>
      </c>
      <c r="F3026" s="1" t="str">
        <f t="shared" si="1005"/>
        <v>花都四部-凤凰仓</v>
      </c>
      <c r="G3026" s="1" t="str">
        <f t="shared" si="1000"/>
        <v>卡卡杜企业店（视频号）</v>
      </c>
      <c r="H3026" s="1" t="str">
        <f t="shared" si="1006"/>
        <v>正常订单</v>
      </c>
      <c r="I3026" s="1" t="str">
        <f t="shared" si="1007"/>
        <v>已发货</v>
      </c>
      <c r="J3026" s="1" t="str">
        <f t="shared" si="1009"/>
        <v>3</v>
      </c>
      <c r="K3026" s="1">
        <v>2</v>
      </c>
      <c r="L3026" s="1" t="s">
        <v>47</v>
      </c>
      <c r="M3026" s="1" t="str">
        <f>"重庆 重庆市 渝北区 "</f>
        <v xml:space="preserve">重庆 重庆市 渝北区 </v>
      </c>
      <c r="N3026" s="1" t="str">
        <f t="shared" si="1002"/>
        <v>凡华云仓-城南圆通-微信视频号</v>
      </c>
      <c r="O3026" s="5" t="s">
        <v>3060</v>
      </c>
      <c r="P3026" s="6">
        <v>0.24</v>
      </c>
      <c r="Q3026" s="11">
        <v>2</v>
      </c>
      <c r="R3026" s="11"/>
      <c r="S3026" s="11"/>
      <c r="T3026" s="11"/>
      <c r="U3026" s="11">
        <f t="shared" si="1003"/>
        <v>2</v>
      </c>
      <c r="W3026">
        <v>2.2000000000000002</v>
      </c>
      <c r="X3026" s="1" t="s">
        <v>47</v>
      </c>
    </row>
    <row r="3027" spans="1:24" x14ac:dyDescent="0.25">
      <c r="A3027" s="1" t="str">
        <f t="shared" si="1004"/>
        <v>卡卡杜-凤凰仓</v>
      </c>
      <c r="B3027" s="1" t="str">
        <f>"CK20241024202"</f>
        <v>CK20241024202</v>
      </c>
      <c r="C3027" s="1" t="str">
        <f>"DD2024102423834"</f>
        <v>DD2024102423834</v>
      </c>
      <c r="D3027" s="1" t="str">
        <f>"CK2024102417267"</f>
        <v>CK2024102417267</v>
      </c>
      <c r="E3027" s="1" t="str">
        <f>"3723513301420608513"</f>
        <v>3723513301420608513</v>
      </c>
      <c r="F3027" s="1" t="str">
        <f t="shared" si="1005"/>
        <v>花都四部-凤凰仓</v>
      </c>
      <c r="G3027" s="1" t="str">
        <f t="shared" si="1000"/>
        <v>卡卡杜企业店（视频号）</v>
      </c>
      <c r="H3027" s="1" t="str">
        <f t="shared" si="1006"/>
        <v>正常订单</v>
      </c>
      <c r="I3027" s="1" t="str">
        <f t="shared" si="1007"/>
        <v>已发货</v>
      </c>
      <c r="J3027" s="1" t="str">
        <f t="shared" si="1010"/>
        <v>2</v>
      </c>
      <c r="K3027" s="1">
        <v>2</v>
      </c>
      <c r="L3027" s="1" t="s">
        <v>54</v>
      </c>
      <c r="M3027" s="1" t="str">
        <f>"黑龙江省 佳木斯市 郊区 "</f>
        <v xml:space="preserve">黑龙江省 佳木斯市 郊区 </v>
      </c>
      <c r="N3027" s="1" t="str">
        <f t="shared" si="1002"/>
        <v>凡华云仓-城南圆通-微信视频号</v>
      </c>
      <c r="O3027" s="5" t="s">
        <v>3061</v>
      </c>
      <c r="P3027" s="6">
        <v>0.17</v>
      </c>
      <c r="Q3027" s="11">
        <v>2</v>
      </c>
      <c r="R3027" s="11"/>
      <c r="S3027" s="11"/>
      <c r="T3027" s="11"/>
      <c r="U3027" s="11">
        <f t="shared" si="1003"/>
        <v>2</v>
      </c>
      <c r="W3027">
        <v>2.2000000000000002</v>
      </c>
      <c r="X3027" s="1" t="s">
        <v>54</v>
      </c>
    </row>
    <row r="3028" spans="1:24" x14ac:dyDescent="0.25">
      <c r="A3028" s="1" t="str">
        <f t="shared" si="1004"/>
        <v>卡卡杜-凤凰仓</v>
      </c>
      <c r="B3028" s="1" t="str">
        <f>"CK20241024200"</f>
        <v>CK20241024200</v>
      </c>
      <c r="C3028" s="1" t="str">
        <f>"DD2024102423830"</f>
        <v>DD2024102423830</v>
      </c>
      <c r="D3028" s="1" t="str">
        <f>"CK2024102417266"</f>
        <v>CK2024102417266</v>
      </c>
      <c r="E3028" s="1" t="str">
        <f>"3723513303359689729"</f>
        <v>3723513303359689729</v>
      </c>
      <c r="F3028" s="1" t="str">
        <f t="shared" si="1005"/>
        <v>花都四部-凤凰仓</v>
      </c>
      <c r="G3028" s="1" t="str">
        <f t="shared" si="1000"/>
        <v>卡卡杜企业店（视频号）</v>
      </c>
      <c r="H3028" s="1" t="str">
        <f t="shared" si="1006"/>
        <v>正常订单</v>
      </c>
      <c r="I3028" s="1" t="str">
        <f t="shared" si="1007"/>
        <v>已发货</v>
      </c>
      <c r="J3028" s="1" t="str">
        <f t="shared" si="1010"/>
        <v>2</v>
      </c>
      <c r="K3028" s="1">
        <v>2</v>
      </c>
      <c r="L3028" s="1" t="s">
        <v>218</v>
      </c>
      <c r="M3028" s="1" t="str">
        <f>"天津 天津市 南开区 "</f>
        <v xml:space="preserve">天津 天津市 南开区 </v>
      </c>
      <c r="N3028" s="1" t="str">
        <f t="shared" si="1002"/>
        <v>凡华云仓-城南圆通-微信视频号</v>
      </c>
      <c r="O3028" s="5" t="s">
        <v>3062</v>
      </c>
      <c r="P3028" s="6">
        <v>0.17</v>
      </c>
      <c r="Q3028" s="11">
        <v>2</v>
      </c>
      <c r="R3028" s="11"/>
      <c r="S3028" s="11"/>
      <c r="T3028" s="11"/>
      <c r="U3028" s="11">
        <f t="shared" si="1003"/>
        <v>2</v>
      </c>
      <c r="W3028">
        <v>2.2000000000000002</v>
      </c>
      <c r="X3028" s="1" t="s">
        <v>218</v>
      </c>
    </row>
    <row r="3029" spans="1:24" x14ac:dyDescent="0.25">
      <c r="A3029" s="1" t="str">
        <f t="shared" si="1004"/>
        <v>卡卡杜-凤凰仓</v>
      </c>
      <c r="B3029" s="1" t="str">
        <f>"CK20241024201"</f>
        <v>CK20241024201</v>
      </c>
      <c r="C3029" s="1" t="str">
        <f>"DD2024102423832"</f>
        <v>DD2024102423832</v>
      </c>
      <c r="D3029" s="1" t="str">
        <f>"CK2024102417265"</f>
        <v>CK2024102417265</v>
      </c>
      <c r="E3029" s="1" t="str">
        <f>"3723513300874822914"</f>
        <v>3723513300874822914</v>
      </c>
      <c r="F3029" s="1" t="str">
        <f t="shared" si="1005"/>
        <v>花都四部-凤凰仓</v>
      </c>
      <c r="G3029" s="1" t="str">
        <f t="shared" si="1000"/>
        <v>卡卡杜企业店（视频号）</v>
      </c>
      <c r="H3029" s="1" t="str">
        <f t="shared" si="1006"/>
        <v>正常订单</v>
      </c>
      <c r="I3029" s="1" t="str">
        <f t="shared" si="1007"/>
        <v>已发货</v>
      </c>
      <c r="J3029" s="1" t="str">
        <f t="shared" si="1010"/>
        <v>2</v>
      </c>
      <c r="K3029" s="1">
        <v>2</v>
      </c>
      <c r="L3029" s="1" t="s">
        <v>161</v>
      </c>
      <c r="M3029" s="1" t="str">
        <f>"四川省 成都市 青羊区 "</f>
        <v xml:space="preserve">四川省 成都市 青羊区 </v>
      </c>
      <c r="N3029" s="1" t="str">
        <f t="shared" si="1002"/>
        <v>凡华云仓-城南圆通-微信视频号</v>
      </c>
      <c r="O3029" s="5" t="s">
        <v>3063</v>
      </c>
      <c r="P3029" s="6">
        <v>0.17</v>
      </c>
      <c r="Q3029" s="11">
        <v>2</v>
      </c>
      <c r="R3029" s="11"/>
      <c r="S3029" s="11"/>
      <c r="T3029" s="11"/>
      <c r="U3029" s="11">
        <f t="shared" si="1003"/>
        <v>2</v>
      </c>
      <c r="W3029">
        <v>2.2000000000000002</v>
      </c>
      <c r="X3029" s="1" t="s">
        <v>161</v>
      </c>
    </row>
    <row r="3030" spans="1:24" x14ac:dyDescent="0.25">
      <c r="A3030" s="1" t="str">
        <f t="shared" si="1004"/>
        <v>卡卡杜-凤凰仓</v>
      </c>
      <c r="B3030" s="1" t="str">
        <f>"CK20241024204"</f>
        <v>CK20241024204</v>
      </c>
      <c r="C3030" s="1" t="str">
        <f>"DD2024102423833"</f>
        <v>DD2024102423833</v>
      </c>
      <c r="D3030" s="1" t="str">
        <f>"CK2024102417264"</f>
        <v>CK2024102417264</v>
      </c>
      <c r="E3030" s="1" t="str">
        <f>"3723513296982510594"</f>
        <v>3723513296982510594</v>
      </c>
      <c r="F3030" s="1" t="str">
        <f t="shared" si="1005"/>
        <v>花都四部-凤凰仓</v>
      </c>
      <c r="G3030" s="1" t="str">
        <f t="shared" si="1000"/>
        <v>卡卡杜企业店（视频号）</v>
      </c>
      <c r="H3030" s="1" t="str">
        <f t="shared" si="1006"/>
        <v>正常订单</v>
      </c>
      <c r="I3030" s="1" t="str">
        <f t="shared" si="1007"/>
        <v>已发货</v>
      </c>
      <c r="J3030" s="1" t="str">
        <f t="shared" si="1010"/>
        <v>2</v>
      </c>
      <c r="K3030" s="1">
        <v>2</v>
      </c>
      <c r="L3030" s="1" t="s">
        <v>74</v>
      </c>
      <c r="M3030" s="1" t="str">
        <f>"上海 上海市 徐汇区 "</f>
        <v xml:space="preserve">上海 上海市 徐汇区 </v>
      </c>
      <c r="N3030" s="1" t="str">
        <f t="shared" si="1002"/>
        <v>凡华云仓-城南圆通-微信视频号</v>
      </c>
      <c r="O3030" s="5" t="s">
        <v>3064</v>
      </c>
      <c r="P3030" s="6">
        <v>0.17</v>
      </c>
      <c r="Q3030" s="11">
        <v>2</v>
      </c>
      <c r="R3030" s="11"/>
      <c r="S3030" s="11"/>
      <c r="T3030" s="11"/>
      <c r="U3030" s="11">
        <f t="shared" si="1003"/>
        <v>2</v>
      </c>
      <c r="W3030">
        <v>2.2000000000000002</v>
      </c>
      <c r="X3030" s="1" t="s">
        <v>74</v>
      </c>
    </row>
    <row r="3031" spans="1:24" x14ac:dyDescent="0.25">
      <c r="A3031" s="1" t="str">
        <f t="shared" si="1004"/>
        <v>卡卡杜-凤凰仓</v>
      </c>
      <c r="B3031" s="1" t="str">
        <f>"CK20241024205"</f>
        <v>CK20241024205</v>
      </c>
      <c r="C3031" s="1" t="str">
        <f>"DD2024102423836"</f>
        <v>DD2024102423836</v>
      </c>
      <c r="D3031" s="1" t="str">
        <f>"CK2024102417263"</f>
        <v>CK2024102417263</v>
      </c>
      <c r="E3031" s="1" t="str">
        <f>"3723513296680257024"</f>
        <v>3723513296680257024</v>
      </c>
      <c r="F3031" s="1" t="str">
        <f t="shared" si="1005"/>
        <v>花都四部-凤凰仓</v>
      </c>
      <c r="G3031" s="1" t="str">
        <f t="shared" si="1000"/>
        <v>卡卡杜企业店（视频号）</v>
      </c>
      <c r="H3031" s="1" t="str">
        <f t="shared" si="1006"/>
        <v>正常订单</v>
      </c>
      <c r="I3031" s="1" t="str">
        <f t="shared" si="1007"/>
        <v>已发货</v>
      </c>
      <c r="J3031" s="1" t="str">
        <f t="shared" si="1010"/>
        <v>2</v>
      </c>
      <c r="K3031" s="1">
        <v>2</v>
      </c>
      <c r="L3031" s="1" t="s">
        <v>74</v>
      </c>
      <c r="M3031" s="1" t="str">
        <f>"上海 上海市 虹口区 "</f>
        <v xml:space="preserve">上海 上海市 虹口区 </v>
      </c>
      <c r="N3031" s="1" t="str">
        <f t="shared" si="1002"/>
        <v>凡华云仓-城南圆通-微信视频号</v>
      </c>
      <c r="O3031" s="5" t="s">
        <v>3065</v>
      </c>
      <c r="P3031" s="6">
        <v>0.17</v>
      </c>
      <c r="Q3031" s="11">
        <v>2</v>
      </c>
      <c r="R3031" s="11"/>
      <c r="S3031" s="11"/>
      <c r="T3031" s="11"/>
      <c r="U3031" s="11">
        <f t="shared" si="1003"/>
        <v>2</v>
      </c>
      <c r="W3031">
        <v>2.2000000000000002</v>
      </c>
      <c r="X3031" s="1" t="s">
        <v>74</v>
      </c>
    </row>
    <row r="3032" spans="1:24" x14ac:dyDescent="0.25">
      <c r="A3032" s="1" t="str">
        <f t="shared" si="1004"/>
        <v>卡卡杜-凤凰仓</v>
      </c>
      <c r="B3032" s="1" t="str">
        <f>"CK20241024118"</f>
        <v>CK20241024118</v>
      </c>
      <c r="C3032" s="1" t="str">
        <f>"DD2024102423316"</f>
        <v>DD2024102423316</v>
      </c>
      <c r="D3032" s="1" t="str">
        <f>"CK2024102417262"</f>
        <v>CK2024102417262</v>
      </c>
      <c r="E3032" s="1" t="str">
        <f>"3723515849156203522"</f>
        <v>3723515849156203522</v>
      </c>
      <c r="F3032" s="1" t="str">
        <f t="shared" si="1005"/>
        <v>花都四部-凤凰仓</v>
      </c>
      <c r="G3032" s="1" t="str">
        <f t="shared" si="1000"/>
        <v>卡卡杜企业店（视频号）</v>
      </c>
      <c r="H3032" s="1" t="str">
        <f t="shared" si="1006"/>
        <v>正常订单</v>
      </c>
      <c r="I3032" s="1" t="str">
        <f t="shared" si="1007"/>
        <v>已发货</v>
      </c>
      <c r="J3032" s="1" t="str">
        <f t="shared" ref="J3032:J3038" si="1011">"3"</f>
        <v>3</v>
      </c>
      <c r="K3032" s="1">
        <v>2</v>
      </c>
      <c r="L3032" s="1" t="s">
        <v>32</v>
      </c>
      <c r="M3032" s="1" t="str">
        <f>"陕西省 西安市 长安区 "</f>
        <v xml:space="preserve">陕西省 西安市 长安区 </v>
      </c>
      <c r="N3032" s="1" t="str">
        <f t="shared" si="1002"/>
        <v>凡华云仓-城南圆通-微信视频号</v>
      </c>
      <c r="O3032" s="5" t="s">
        <v>3066</v>
      </c>
      <c r="P3032" s="6">
        <v>0.24</v>
      </c>
      <c r="Q3032" s="11">
        <v>2</v>
      </c>
      <c r="R3032" s="11"/>
      <c r="S3032" s="11"/>
      <c r="T3032" s="11"/>
      <c r="U3032" s="11">
        <f t="shared" si="1003"/>
        <v>2</v>
      </c>
      <c r="W3032">
        <v>2.2000000000000002</v>
      </c>
      <c r="X3032" s="1" t="s">
        <v>32</v>
      </c>
    </row>
    <row r="3033" spans="1:24" x14ac:dyDescent="0.25">
      <c r="A3033" s="1" t="str">
        <f t="shared" si="1004"/>
        <v>卡卡杜-凤凰仓</v>
      </c>
      <c r="B3033" s="1" t="str">
        <f>"CK20241024203"</f>
        <v>CK20241024203</v>
      </c>
      <c r="C3033" s="1" t="str">
        <f>"DD2024102423835"</f>
        <v>DD2024102423835</v>
      </c>
      <c r="D3033" s="1" t="str">
        <f>"CK2024102417261"</f>
        <v>CK2024102417261</v>
      </c>
      <c r="E3033" s="1" t="str">
        <f>"3723513296913303041"</f>
        <v>3723513296913303041</v>
      </c>
      <c r="F3033" s="1" t="str">
        <f t="shared" si="1005"/>
        <v>花都四部-凤凰仓</v>
      </c>
      <c r="G3033" s="1" t="str">
        <f t="shared" si="1000"/>
        <v>卡卡杜企业店（视频号）</v>
      </c>
      <c r="H3033" s="1" t="str">
        <f t="shared" si="1006"/>
        <v>正常订单</v>
      </c>
      <c r="I3033" s="1" t="str">
        <f t="shared" si="1007"/>
        <v>已发货</v>
      </c>
      <c r="J3033" s="1" t="str">
        <f>"2"</f>
        <v>2</v>
      </c>
      <c r="K3033" s="1">
        <v>2</v>
      </c>
      <c r="L3033" s="1" t="s">
        <v>52</v>
      </c>
      <c r="M3033" s="1" t="str">
        <f>"甘肃省 兰州市 西固区 "</f>
        <v xml:space="preserve">甘肃省 兰州市 西固区 </v>
      </c>
      <c r="N3033" s="1" t="str">
        <f t="shared" si="1002"/>
        <v>凡华云仓-城南圆通-微信视频号</v>
      </c>
      <c r="O3033" s="5" t="s">
        <v>3067</v>
      </c>
      <c r="P3033" s="6">
        <v>0.17</v>
      </c>
      <c r="Q3033" s="11">
        <v>2</v>
      </c>
      <c r="R3033" s="11"/>
      <c r="S3033" s="11"/>
      <c r="T3033" s="11"/>
      <c r="U3033" s="11">
        <f t="shared" si="1003"/>
        <v>2</v>
      </c>
      <c r="W3033">
        <v>2.2000000000000002</v>
      </c>
      <c r="X3033" s="1" t="s">
        <v>52</v>
      </c>
    </row>
    <row r="3034" spans="1:24" x14ac:dyDescent="0.25">
      <c r="A3034" s="1" t="str">
        <f t="shared" si="1004"/>
        <v>卡卡杜-凤凰仓</v>
      </c>
      <c r="B3034" s="1" t="str">
        <f>"CK20241024120"</f>
        <v>CK20241024120</v>
      </c>
      <c r="C3034" s="1" t="str">
        <f>"DD2024102423318"</f>
        <v>DD2024102423318</v>
      </c>
      <c r="D3034" s="1" t="str">
        <f>"CK2024102417260"</f>
        <v>CK2024102417260</v>
      </c>
      <c r="E3034" s="1" t="str">
        <f>"3723515847796983296"</f>
        <v>3723515847796983296</v>
      </c>
      <c r="F3034" s="1" t="str">
        <f t="shared" si="1005"/>
        <v>花都四部-凤凰仓</v>
      </c>
      <c r="G3034" s="1" t="str">
        <f t="shared" si="1000"/>
        <v>卡卡杜企业店（视频号）</v>
      </c>
      <c r="H3034" s="1" t="str">
        <f t="shared" si="1006"/>
        <v>正常订单</v>
      </c>
      <c r="I3034" s="1" t="str">
        <f t="shared" si="1007"/>
        <v>已发货</v>
      </c>
      <c r="J3034" s="1" t="str">
        <f t="shared" si="1011"/>
        <v>3</v>
      </c>
      <c r="K3034" s="1">
        <v>2</v>
      </c>
      <c r="L3034" s="1" t="s">
        <v>18</v>
      </c>
      <c r="M3034" s="1" t="str">
        <f>"广东省 深圳市 南山区 "</f>
        <v xml:space="preserve">广东省 深圳市 南山区 </v>
      </c>
      <c r="N3034" s="1" t="str">
        <f t="shared" si="1002"/>
        <v>凡华云仓-城南圆通-微信视频号</v>
      </c>
      <c r="O3034" s="5" t="s">
        <v>3068</v>
      </c>
      <c r="P3034" s="6">
        <v>0.24</v>
      </c>
      <c r="Q3034" s="11">
        <v>2</v>
      </c>
      <c r="R3034" s="11"/>
      <c r="S3034" s="11"/>
      <c r="T3034" s="11"/>
      <c r="U3034" s="11">
        <f t="shared" si="1003"/>
        <v>2</v>
      </c>
      <c r="W3034">
        <v>2.2000000000000002</v>
      </c>
      <c r="X3034" s="1" t="s">
        <v>18</v>
      </c>
    </row>
    <row r="3035" spans="1:24" x14ac:dyDescent="0.25">
      <c r="A3035" s="1" t="str">
        <f t="shared" si="1004"/>
        <v>卡卡杜-凤凰仓</v>
      </c>
      <c r="B3035" s="1" t="str">
        <f>"CK20241024136"</f>
        <v>CK20241024136</v>
      </c>
      <c r="C3035" s="1" t="str">
        <f>"DD2024102423335"</f>
        <v>DD2024102423335</v>
      </c>
      <c r="D3035" s="1" t="str">
        <f>"CK2024102417259"</f>
        <v>CK2024102417259</v>
      </c>
      <c r="E3035" s="1" t="str">
        <f>"3723515851822994432"</f>
        <v>3723515851822994432</v>
      </c>
      <c r="F3035" s="1" t="str">
        <f t="shared" si="1005"/>
        <v>花都四部-凤凰仓</v>
      </c>
      <c r="G3035" s="1" t="str">
        <f t="shared" si="1000"/>
        <v>卡卡杜企业店（视频号）</v>
      </c>
      <c r="H3035" s="1" t="str">
        <f t="shared" si="1006"/>
        <v>正常订单</v>
      </c>
      <c r="I3035" s="1" t="str">
        <f t="shared" si="1007"/>
        <v>已发货</v>
      </c>
      <c r="J3035" s="1" t="str">
        <f t="shared" si="1011"/>
        <v>3</v>
      </c>
      <c r="K3035" s="1">
        <v>2</v>
      </c>
      <c r="L3035" s="1" t="s">
        <v>66</v>
      </c>
      <c r="M3035" s="1" t="str">
        <f>"内蒙古自治区 呼和浩特市 赛罕区 "</f>
        <v xml:space="preserve">内蒙古自治区 呼和浩特市 赛罕区 </v>
      </c>
      <c r="N3035" s="1" t="str">
        <f t="shared" si="1002"/>
        <v>凡华云仓-城南圆通-微信视频号</v>
      </c>
      <c r="O3035" s="5" t="s">
        <v>3069</v>
      </c>
      <c r="P3035" s="6">
        <v>0.24</v>
      </c>
      <c r="Q3035" s="11">
        <v>2</v>
      </c>
      <c r="R3035" s="11"/>
      <c r="S3035" s="11"/>
      <c r="T3035" s="11"/>
      <c r="U3035" s="11">
        <f t="shared" si="1003"/>
        <v>2</v>
      </c>
      <c r="W3035">
        <v>2.2000000000000002</v>
      </c>
      <c r="X3035" s="1" t="s">
        <v>66</v>
      </c>
    </row>
    <row r="3036" spans="1:24" x14ac:dyDescent="0.25">
      <c r="A3036" s="1" t="str">
        <f t="shared" si="1004"/>
        <v>卡卡杜-凤凰仓</v>
      </c>
      <c r="B3036" s="1" t="str">
        <f>"CK20241024152"</f>
        <v>CK20241024152</v>
      </c>
      <c r="C3036" s="1" t="str">
        <f>"DD2024102423364"</f>
        <v>DD2024102423364</v>
      </c>
      <c r="D3036" s="1" t="str">
        <f>"CK2024102417258"</f>
        <v>CK2024102417258</v>
      </c>
      <c r="E3036" s="1" t="str">
        <f>"3723514031877260800"</f>
        <v>3723514031877260800</v>
      </c>
      <c r="F3036" s="1" t="str">
        <f t="shared" si="1005"/>
        <v>花都四部-凤凰仓</v>
      </c>
      <c r="G3036" s="1" t="str">
        <f t="shared" si="1000"/>
        <v>卡卡杜企业店（视频号）</v>
      </c>
      <c r="H3036" s="1" t="str">
        <f t="shared" si="1006"/>
        <v>正常订单</v>
      </c>
      <c r="I3036" s="1" t="str">
        <f t="shared" si="1007"/>
        <v>已发货</v>
      </c>
      <c r="J3036" s="1" t="str">
        <f t="shared" si="1011"/>
        <v>3</v>
      </c>
      <c r="K3036" s="1">
        <v>2</v>
      </c>
      <c r="L3036" s="1" t="s">
        <v>105</v>
      </c>
      <c r="M3036" s="1" t="str">
        <f>"北京 北京市 西城区 "</f>
        <v xml:space="preserve">北京 北京市 西城区 </v>
      </c>
      <c r="N3036" s="1" t="str">
        <f t="shared" si="1002"/>
        <v>凡华云仓-城南圆通-微信视频号</v>
      </c>
      <c r="O3036" s="5" t="s">
        <v>3070</v>
      </c>
      <c r="P3036" s="6">
        <v>0.24</v>
      </c>
      <c r="Q3036" s="11">
        <v>2</v>
      </c>
      <c r="R3036" s="11"/>
      <c r="S3036" s="11"/>
      <c r="T3036" s="11"/>
      <c r="U3036" s="11">
        <f t="shared" si="1003"/>
        <v>2</v>
      </c>
      <c r="W3036">
        <v>2.2000000000000002</v>
      </c>
      <c r="X3036" s="1" t="s">
        <v>105</v>
      </c>
    </row>
    <row r="3037" spans="1:24" x14ac:dyDescent="0.25">
      <c r="A3037" s="1" t="str">
        <f t="shared" si="1004"/>
        <v>卡卡杜-凤凰仓</v>
      </c>
      <c r="B3037" s="1" t="str">
        <f>"CK20241024141"</f>
        <v>CK20241024141</v>
      </c>
      <c r="C3037" s="1" t="str">
        <f>"DD2024102423339"</f>
        <v>DD2024102423339</v>
      </c>
      <c r="D3037" s="1" t="str">
        <f>"CK2024102417257"</f>
        <v>CK2024102417257</v>
      </c>
      <c r="E3037" s="1" t="str">
        <f>"3723513777935488000"</f>
        <v>3723513777935488000</v>
      </c>
      <c r="F3037" s="1" t="str">
        <f t="shared" si="1005"/>
        <v>花都四部-凤凰仓</v>
      </c>
      <c r="G3037" s="1" t="str">
        <f t="shared" si="1000"/>
        <v>卡卡杜企业店（视频号）</v>
      </c>
      <c r="H3037" s="1" t="str">
        <f t="shared" si="1006"/>
        <v>正常订单</v>
      </c>
      <c r="I3037" s="1" t="str">
        <f t="shared" si="1007"/>
        <v>已发货</v>
      </c>
      <c r="J3037" s="1" t="str">
        <f t="shared" si="1011"/>
        <v>3</v>
      </c>
      <c r="K3037" s="1">
        <v>2</v>
      </c>
      <c r="L3037" s="1" t="s">
        <v>80</v>
      </c>
      <c r="M3037" s="1" t="str">
        <f>"河南省 郑州市 二七区 "</f>
        <v xml:space="preserve">河南省 郑州市 二七区 </v>
      </c>
      <c r="N3037" s="1" t="str">
        <f t="shared" si="1002"/>
        <v>凡华云仓-城南圆通-微信视频号</v>
      </c>
      <c r="O3037" s="5" t="s">
        <v>3071</v>
      </c>
      <c r="P3037" s="6">
        <v>0.24</v>
      </c>
      <c r="Q3037" s="11">
        <v>2</v>
      </c>
      <c r="R3037" s="11"/>
      <c r="S3037" s="11"/>
      <c r="T3037" s="11"/>
      <c r="U3037" s="11">
        <f t="shared" si="1003"/>
        <v>2</v>
      </c>
      <c r="W3037">
        <v>2.2000000000000002</v>
      </c>
      <c r="X3037" s="1" t="s">
        <v>80</v>
      </c>
    </row>
    <row r="3038" spans="1:24" x14ac:dyDescent="0.25">
      <c r="A3038" s="1" t="str">
        <f t="shared" si="1004"/>
        <v>卡卡杜-凤凰仓</v>
      </c>
      <c r="B3038" s="1" t="str">
        <f>"CK20241024135"</f>
        <v>CK20241024135</v>
      </c>
      <c r="C3038" s="1" t="str">
        <f>"DD2024102423333"</f>
        <v>DD2024102423333</v>
      </c>
      <c r="D3038" s="1" t="str">
        <f>"CK2024102417255"</f>
        <v>CK2024102417255</v>
      </c>
      <c r="E3038" s="1" t="str">
        <f>"3723515873425757184"</f>
        <v>3723515873425757184</v>
      </c>
      <c r="F3038" s="1" t="str">
        <f t="shared" si="1005"/>
        <v>花都四部-凤凰仓</v>
      </c>
      <c r="G3038" s="1" t="str">
        <f t="shared" si="1000"/>
        <v>卡卡杜企业店（视频号）</v>
      </c>
      <c r="H3038" s="1" t="str">
        <f t="shared" si="1006"/>
        <v>正常订单</v>
      </c>
      <c r="I3038" s="1" t="str">
        <f t="shared" si="1007"/>
        <v>已发货</v>
      </c>
      <c r="J3038" s="1" t="str">
        <f t="shared" si="1011"/>
        <v>3</v>
      </c>
      <c r="K3038" s="1">
        <v>2</v>
      </c>
      <c r="L3038" s="1" t="s">
        <v>27</v>
      </c>
      <c r="M3038" s="1" t="str">
        <f>"贵州省 贵阳市 南明区 "</f>
        <v xml:space="preserve">贵州省 贵阳市 南明区 </v>
      </c>
      <c r="N3038" s="1" t="str">
        <f t="shared" si="1002"/>
        <v>凡华云仓-城南圆通-微信视频号</v>
      </c>
      <c r="O3038" s="5" t="s">
        <v>3072</v>
      </c>
      <c r="P3038" s="6">
        <v>0.24</v>
      </c>
      <c r="Q3038" s="11">
        <v>2</v>
      </c>
      <c r="R3038" s="11"/>
      <c r="S3038" s="11"/>
      <c r="T3038" s="11"/>
      <c r="U3038" s="11">
        <f t="shared" si="1003"/>
        <v>2</v>
      </c>
      <c r="W3038">
        <v>2.2000000000000002</v>
      </c>
      <c r="X3038" s="1" t="s">
        <v>27</v>
      </c>
    </row>
    <row r="3039" spans="1:24" x14ac:dyDescent="0.25">
      <c r="A3039" s="1" t="str">
        <f t="shared" si="1004"/>
        <v>卡卡杜-凤凰仓</v>
      </c>
      <c r="B3039" s="1" t="str">
        <f>"CK20241024186"</f>
        <v>CK20241024186</v>
      </c>
      <c r="C3039" s="1" t="str">
        <f>"DD2024102423817"</f>
        <v>DD2024102423817</v>
      </c>
      <c r="D3039" s="1" t="str">
        <f>"CK2024102417254"</f>
        <v>CK2024102417254</v>
      </c>
      <c r="E3039" s="1" t="str">
        <f>"3723514040798547968"</f>
        <v>3723514040798547968</v>
      </c>
      <c r="F3039" s="1" t="str">
        <f t="shared" si="1005"/>
        <v>花都四部-凤凰仓</v>
      </c>
      <c r="G3039" s="1" t="str">
        <f t="shared" si="1000"/>
        <v>卡卡杜企业店（视频号）</v>
      </c>
      <c r="H3039" s="1" t="str">
        <f t="shared" si="1006"/>
        <v>正常订单</v>
      </c>
      <c r="I3039" s="1" t="str">
        <f t="shared" si="1007"/>
        <v>已发货</v>
      </c>
      <c r="J3039" s="1" t="str">
        <f t="shared" ref="J3039:J3041" si="1012">"2"</f>
        <v>2</v>
      </c>
      <c r="K3039" s="1">
        <v>2</v>
      </c>
      <c r="L3039" s="1" t="s">
        <v>13</v>
      </c>
      <c r="M3039" s="1" t="str">
        <f>"江苏省 宿迁市 宿城区 "</f>
        <v xml:space="preserve">江苏省 宿迁市 宿城区 </v>
      </c>
      <c r="N3039" s="1" t="str">
        <f t="shared" si="1002"/>
        <v>凡华云仓-城南圆通-微信视频号</v>
      </c>
      <c r="O3039" s="5" t="s">
        <v>3073</v>
      </c>
      <c r="P3039" s="6">
        <v>0.17</v>
      </c>
      <c r="Q3039" s="11">
        <v>2</v>
      </c>
      <c r="R3039" s="11"/>
      <c r="S3039" s="11"/>
      <c r="T3039" s="11"/>
      <c r="U3039" s="11">
        <f t="shared" si="1003"/>
        <v>2</v>
      </c>
      <c r="W3039">
        <v>2.2000000000000002</v>
      </c>
      <c r="X3039" s="1" t="s">
        <v>13</v>
      </c>
    </row>
    <row r="3040" spans="1:24" x14ac:dyDescent="0.25">
      <c r="A3040" s="1" t="str">
        <f t="shared" si="1004"/>
        <v>卡卡杜-凤凰仓</v>
      </c>
      <c r="B3040" s="1" t="str">
        <f>"CK20241024178"</f>
        <v>CK20241024178</v>
      </c>
      <c r="C3040" s="1" t="str">
        <f>"DD2024102423807"</f>
        <v>DD2024102423807</v>
      </c>
      <c r="D3040" s="1" t="str">
        <f>"CK2024102417253"</f>
        <v>CK2024102417253</v>
      </c>
      <c r="E3040" s="1" t="str">
        <f>"3723515888391820288"</f>
        <v>3723515888391820288</v>
      </c>
      <c r="F3040" s="1" t="str">
        <f t="shared" si="1005"/>
        <v>花都四部-凤凰仓</v>
      </c>
      <c r="G3040" s="1" t="str">
        <f t="shared" si="1000"/>
        <v>卡卡杜企业店（视频号）</v>
      </c>
      <c r="H3040" s="1" t="str">
        <f t="shared" si="1006"/>
        <v>正常订单</v>
      </c>
      <c r="I3040" s="1" t="str">
        <f t="shared" si="1007"/>
        <v>已发货</v>
      </c>
      <c r="J3040" s="1" t="str">
        <f t="shared" si="1012"/>
        <v>2</v>
      </c>
      <c r="K3040" s="1">
        <v>2</v>
      </c>
      <c r="L3040" s="1" t="s">
        <v>74</v>
      </c>
      <c r="M3040" s="1" t="str">
        <f>"上海 上海市 徐汇区 "</f>
        <v xml:space="preserve">上海 上海市 徐汇区 </v>
      </c>
      <c r="N3040" s="1" t="str">
        <f t="shared" si="1002"/>
        <v>凡华云仓-城南圆通-微信视频号</v>
      </c>
      <c r="O3040" s="5" t="s">
        <v>3074</v>
      </c>
      <c r="P3040" s="6">
        <v>0.17</v>
      </c>
      <c r="Q3040" s="11">
        <v>2</v>
      </c>
      <c r="R3040" s="11"/>
      <c r="S3040" s="11"/>
      <c r="T3040" s="11"/>
      <c r="U3040" s="11">
        <f t="shared" si="1003"/>
        <v>2</v>
      </c>
      <c r="W3040">
        <v>2.2000000000000002</v>
      </c>
      <c r="X3040" s="1" t="s">
        <v>74</v>
      </c>
    </row>
    <row r="3041" spans="1:24" x14ac:dyDescent="0.25">
      <c r="A3041" s="1" t="str">
        <f t="shared" si="1004"/>
        <v>卡卡杜-凤凰仓</v>
      </c>
      <c r="B3041" s="1" t="str">
        <f>"CK20241024180"</f>
        <v>CK20241024180</v>
      </c>
      <c r="C3041" s="1" t="str">
        <f>"DD2024102423806"</f>
        <v>DD2024102423806</v>
      </c>
      <c r="D3041" s="1" t="str">
        <f>"CK2024102417252"</f>
        <v>CK2024102417252</v>
      </c>
      <c r="E3041" s="1" t="str">
        <f>"3723515876555754496"</f>
        <v>3723515876555754496</v>
      </c>
      <c r="F3041" s="1" t="str">
        <f t="shared" si="1005"/>
        <v>花都四部-凤凰仓</v>
      </c>
      <c r="G3041" s="1" t="str">
        <f t="shared" si="1000"/>
        <v>卡卡杜企业店（视频号）</v>
      </c>
      <c r="H3041" s="1" t="str">
        <f t="shared" si="1006"/>
        <v>正常订单</v>
      </c>
      <c r="I3041" s="1" t="str">
        <f t="shared" si="1007"/>
        <v>已发货</v>
      </c>
      <c r="J3041" s="1" t="str">
        <f t="shared" si="1012"/>
        <v>2</v>
      </c>
      <c r="K3041" s="1">
        <v>2</v>
      </c>
      <c r="L3041" s="1" t="s">
        <v>18</v>
      </c>
      <c r="M3041" s="1" t="str">
        <f>"广东省 深圳市 宝安区 "</f>
        <v xml:space="preserve">广东省 深圳市 宝安区 </v>
      </c>
      <c r="N3041" s="1" t="str">
        <f t="shared" si="1002"/>
        <v>凡华云仓-城南圆通-微信视频号</v>
      </c>
      <c r="O3041" s="5" t="s">
        <v>3075</v>
      </c>
      <c r="P3041" s="6">
        <v>0.17</v>
      </c>
      <c r="Q3041" s="11">
        <v>2</v>
      </c>
      <c r="R3041" s="11"/>
      <c r="S3041" s="11"/>
      <c r="T3041" s="11"/>
      <c r="U3041" s="11">
        <f t="shared" si="1003"/>
        <v>2</v>
      </c>
      <c r="W3041">
        <v>2.2000000000000002</v>
      </c>
      <c r="X3041" s="1" t="s">
        <v>18</v>
      </c>
    </row>
    <row r="3042" spans="1:24" x14ac:dyDescent="0.25">
      <c r="A3042" s="1" t="str">
        <f t="shared" si="1004"/>
        <v>卡卡杜-凤凰仓</v>
      </c>
      <c r="B3042" s="1" t="str">
        <f>"CK20241024140"</f>
        <v>CK20241024140</v>
      </c>
      <c r="C3042" s="1" t="str">
        <f>"DD2024102423338"</f>
        <v>DD2024102423338</v>
      </c>
      <c r="D3042" s="1" t="str">
        <f>"CK2024102417251"</f>
        <v>CK2024102417251</v>
      </c>
      <c r="E3042" s="1" t="str">
        <f>"3723514043120880640"</f>
        <v>3723514043120880640</v>
      </c>
      <c r="F3042" s="1" t="str">
        <f t="shared" si="1005"/>
        <v>花都四部-凤凰仓</v>
      </c>
      <c r="G3042" s="1" t="str">
        <f t="shared" si="1000"/>
        <v>卡卡杜企业店（视频号）</v>
      </c>
      <c r="H3042" s="1" t="str">
        <f t="shared" si="1006"/>
        <v>正常订单</v>
      </c>
      <c r="I3042" s="1" t="str">
        <f t="shared" si="1007"/>
        <v>已发货</v>
      </c>
      <c r="J3042" s="1" t="str">
        <f t="shared" ref="J3042:J3045" si="1013">"3"</f>
        <v>3</v>
      </c>
      <c r="K3042" s="1">
        <v>2</v>
      </c>
      <c r="L3042" s="1" t="s">
        <v>105</v>
      </c>
      <c r="M3042" s="1" t="str">
        <f>"北京 北京市 海淀区 "</f>
        <v xml:space="preserve">北京 北京市 海淀区 </v>
      </c>
      <c r="N3042" s="1" t="str">
        <f t="shared" si="1002"/>
        <v>凡华云仓-城南圆通-微信视频号</v>
      </c>
      <c r="O3042" s="5" t="s">
        <v>3076</v>
      </c>
      <c r="P3042" s="6">
        <v>0.24</v>
      </c>
      <c r="Q3042" s="11">
        <v>2</v>
      </c>
      <c r="R3042" s="11"/>
      <c r="S3042" s="11"/>
      <c r="T3042" s="11"/>
      <c r="U3042" s="11">
        <f t="shared" si="1003"/>
        <v>2</v>
      </c>
      <c r="W3042">
        <v>2.2000000000000002</v>
      </c>
      <c r="X3042" s="1" t="s">
        <v>105</v>
      </c>
    </row>
    <row r="3043" spans="1:24" x14ac:dyDescent="0.25">
      <c r="A3043" s="1" t="str">
        <f t="shared" si="1004"/>
        <v>卡卡杜-凤凰仓</v>
      </c>
      <c r="B3043" s="1" t="str">
        <f>"CK2024102411"</f>
        <v>CK2024102411</v>
      </c>
      <c r="C3043" s="1" t="str">
        <f>"DD2024102423206"</f>
        <v>DD2024102423206</v>
      </c>
      <c r="D3043" s="1" t="str">
        <f>"CK2024102417250"</f>
        <v>CK2024102417250</v>
      </c>
      <c r="E3043" s="1" t="str">
        <f>"3723514216696647680"</f>
        <v>3723514216696647680</v>
      </c>
      <c r="F3043" s="1" t="str">
        <f t="shared" si="1005"/>
        <v>花都四部-凤凰仓</v>
      </c>
      <c r="G3043" s="1" t="str">
        <f t="shared" si="1000"/>
        <v>卡卡杜企业店（视频号）</v>
      </c>
      <c r="H3043" s="1" t="str">
        <f t="shared" si="1006"/>
        <v>正常订单</v>
      </c>
      <c r="I3043" s="1" t="str">
        <f t="shared" si="1007"/>
        <v>已发货</v>
      </c>
      <c r="J3043" s="1" t="str">
        <f t="shared" si="1013"/>
        <v>3</v>
      </c>
      <c r="K3043" s="1">
        <v>3</v>
      </c>
      <c r="L3043" s="1" t="s">
        <v>18</v>
      </c>
      <c r="M3043" s="1" t="str">
        <f>"广东省 广州市 番禺区 "</f>
        <v xml:space="preserve">广东省 广州市 番禺区 </v>
      </c>
      <c r="N3043" s="1" t="str">
        <f t="shared" si="1002"/>
        <v>凡华云仓-城南圆通-微信视频号</v>
      </c>
      <c r="O3043" s="5" t="s">
        <v>3077</v>
      </c>
      <c r="P3043" s="6">
        <v>0.34</v>
      </c>
      <c r="Q3043" s="11">
        <v>2.2999999999999998</v>
      </c>
      <c r="R3043" s="11"/>
      <c r="S3043" s="11"/>
      <c r="T3043" s="11"/>
      <c r="U3043" s="11">
        <f t="shared" si="1003"/>
        <v>2.2999999999999998</v>
      </c>
      <c r="W3043">
        <v>2.5</v>
      </c>
      <c r="X3043" s="1" t="s">
        <v>18</v>
      </c>
    </row>
    <row r="3044" spans="1:24" x14ac:dyDescent="0.25">
      <c r="A3044" s="1" t="str">
        <f t="shared" si="1004"/>
        <v>卡卡杜-凤凰仓</v>
      </c>
      <c r="B3044" s="1" t="str">
        <f>"CK20241024179"</f>
        <v>CK20241024179</v>
      </c>
      <c r="C3044" s="1" t="str">
        <f>"DD2024102423811"</f>
        <v>DD2024102423811</v>
      </c>
      <c r="D3044" s="1" t="str">
        <f>"CK2024102417249"</f>
        <v>CK2024102417249</v>
      </c>
      <c r="E3044" s="1" t="str">
        <f>"3723515881060435200"</f>
        <v>3723515881060435200</v>
      </c>
      <c r="F3044" s="1" t="str">
        <f t="shared" si="1005"/>
        <v>花都四部-凤凰仓</v>
      </c>
      <c r="G3044" s="1" t="str">
        <f t="shared" si="1000"/>
        <v>卡卡杜企业店（视频号）</v>
      </c>
      <c r="H3044" s="1" t="str">
        <f t="shared" si="1006"/>
        <v>正常订单</v>
      </c>
      <c r="I3044" s="1" t="str">
        <f t="shared" si="1007"/>
        <v>已发货</v>
      </c>
      <c r="J3044" s="1" t="str">
        <f t="shared" ref="J3044:J3048" si="1014">"2"</f>
        <v>2</v>
      </c>
      <c r="K3044" s="1">
        <v>2</v>
      </c>
      <c r="L3044" s="1" t="s">
        <v>24</v>
      </c>
      <c r="M3044" s="1" t="str">
        <f>"福建省 福州市 仓山区 "</f>
        <v xml:space="preserve">福建省 福州市 仓山区 </v>
      </c>
      <c r="N3044" s="1" t="str">
        <f t="shared" si="1002"/>
        <v>凡华云仓-城南圆通-微信视频号</v>
      </c>
      <c r="O3044" s="5" t="s">
        <v>3078</v>
      </c>
      <c r="P3044" s="6">
        <v>0.17</v>
      </c>
      <c r="Q3044" s="11">
        <v>2</v>
      </c>
      <c r="R3044" s="11"/>
      <c r="S3044" s="11"/>
      <c r="T3044" s="11"/>
      <c r="U3044" s="11">
        <f t="shared" si="1003"/>
        <v>2</v>
      </c>
      <c r="W3044">
        <v>2.2000000000000002</v>
      </c>
      <c r="X3044" s="1" t="s">
        <v>24</v>
      </c>
    </row>
    <row r="3045" spans="1:24" x14ac:dyDescent="0.25">
      <c r="A3045" s="1" t="str">
        <f t="shared" si="1004"/>
        <v>卡卡杜-凤凰仓</v>
      </c>
      <c r="B3045" s="1" t="str">
        <f>"CK20241024138"</f>
        <v>CK20241024138</v>
      </c>
      <c r="C3045" s="1" t="str">
        <f>"DD2024102423336"</f>
        <v>DD2024102423336</v>
      </c>
      <c r="D3045" s="1" t="str">
        <f>"CK2024102417248"</f>
        <v>CK2024102417248</v>
      </c>
      <c r="E3045" s="1" t="str">
        <f>"3723514112604246016"</f>
        <v>3723514112604246016</v>
      </c>
      <c r="F3045" s="1" t="str">
        <f t="shared" si="1005"/>
        <v>花都四部-凤凰仓</v>
      </c>
      <c r="G3045" s="1" t="str">
        <f t="shared" si="1000"/>
        <v>卡卡杜企业店（视频号）</v>
      </c>
      <c r="H3045" s="1" t="str">
        <f t="shared" si="1006"/>
        <v>正常订单</v>
      </c>
      <c r="I3045" s="1" t="str">
        <f t="shared" si="1007"/>
        <v>已发货</v>
      </c>
      <c r="J3045" s="1" t="str">
        <f t="shared" si="1013"/>
        <v>3</v>
      </c>
      <c r="K3045" s="1">
        <v>2</v>
      </c>
      <c r="L3045" s="1" t="s">
        <v>74</v>
      </c>
      <c r="M3045" s="1" t="str">
        <f>"上海 上海市 嘉定区 "</f>
        <v xml:space="preserve">上海 上海市 嘉定区 </v>
      </c>
      <c r="N3045" s="1" t="str">
        <f t="shared" si="1002"/>
        <v>凡华云仓-城南圆通-微信视频号</v>
      </c>
      <c r="O3045" s="5" t="s">
        <v>3079</v>
      </c>
      <c r="P3045" s="6">
        <v>0.24</v>
      </c>
      <c r="Q3045" s="11">
        <v>2</v>
      </c>
      <c r="R3045" s="11"/>
      <c r="S3045" s="11"/>
      <c r="T3045" s="11"/>
      <c r="U3045" s="11">
        <f t="shared" si="1003"/>
        <v>2</v>
      </c>
      <c r="W3045">
        <v>2.2000000000000002</v>
      </c>
      <c r="X3045" s="1" t="s">
        <v>74</v>
      </c>
    </row>
    <row r="3046" spans="1:24" x14ac:dyDescent="0.25">
      <c r="A3046" s="1" t="str">
        <f t="shared" si="1004"/>
        <v>卡卡杜-凤凰仓</v>
      </c>
      <c r="B3046" s="1" t="str">
        <f>"CK20241024177"</f>
        <v>CK20241024177</v>
      </c>
      <c r="C3046" s="1" t="str">
        <f>"DD2024102423808"</f>
        <v>DD2024102423808</v>
      </c>
      <c r="D3046" s="1" t="str">
        <f>"CK2024102417247"</f>
        <v>CK2024102417247</v>
      </c>
      <c r="E3046" s="1" t="str">
        <f>"3723515888743613952"</f>
        <v>3723515888743613952</v>
      </c>
      <c r="F3046" s="1" t="str">
        <f t="shared" si="1005"/>
        <v>花都四部-凤凰仓</v>
      </c>
      <c r="G3046" s="1" t="str">
        <f t="shared" si="1000"/>
        <v>卡卡杜企业店（视频号）</v>
      </c>
      <c r="H3046" s="1" t="str">
        <f t="shared" si="1006"/>
        <v>正常订单</v>
      </c>
      <c r="I3046" s="1" t="str">
        <f t="shared" si="1007"/>
        <v>已发货</v>
      </c>
      <c r="J3046" s="1" t="str">
        <f t="shared" si="1014"/>
        <v>2</v>
      </c>
      <c r="K3046" s="1">
        <v>2</v>
      </c>
      <c r="L3046" s="1" t="s">
        <v>18</v>
      </c>
      <c r="M3046" s="1" t="str">
        <f>"广东省 茂名市 电白区 "</f>
        <v xml:space="preserve">广东省 茂名市 电白区 </v>
      </c>
      <c r="N3046" s="1" t="str">
        <f t="shared" si="1002"/>
        <v>凡华云仓-城南圆通-微信视频号</v>
      </c>
      <c r="O3046" s="5" t="s">
        <v>3080</v>
      </c>
      <c r="P3046" s="6">
        <v>0.17</v>
      </c>
      <c r="Q3046" s="11">
        <v>2</v>
      </c>
      <c r="R3046" s="11"/>
      <c r="S3046" s="11"/>
      <c r="T3046" s="11"/>
      <c r="U3046" s="11">
        <f t="shared" si="1003"/>
        <v>2</v>
      </c>
      <c r="W3046">
        <v>2.2000000000000002</v>
      </c>
      <c r="X3046" s="1" t="s">
        <v>18</v>
      </c>
    </row>
    <row r="3047" spans="1:24" x14ac:dyDescent="0.25">
      <c r="A3047" s="1" t="str">
        <f t="shared" si="1004"/>
        <v>卡卡杜-凤凰仓</v>
      </c>
      <c r="B3047" s="1" t="str">
        <f>"CK20241024137"</f>
        <v>CK20241024137</v>
      </c>
      <c r="C3047" s="1" t="str">
        <f>"DD2024102423334"</f>
        <v>DD2024102423334</v>
      </c>
      <c r="D3047" s="1" t="str">
        <f>"CK2024102417246"</f>
        <v>CK2024102417246</v>
      </c>
      <c r="E3047" s="1" t="str">
        <f>"3723515901293499392"</f>
        <v>3723515901293499392</v>
      </c>
      <c r="F3047" s="1" t="str">
        <f t="shared" si="1005"/>
        <v>花都四部-凤凰仓</v>
      </c>
      <c r="G3047" s="1" t="str">
        <f t="shared" si="1000"/>
        <v>卡卡杜企业店（视频号）</v>
      </c>
      <c r="H3047" s="1" t="str">
        <f t="shared" si="1006"/>
        <v>正常订单</v>
      </c>
      <c r="I3047" s="1" t="str">
        <f t="shared" si="1007"/>
        <v>已发货</v>
      </c>
      <c r="J3047" s="1" t="str">
        <f t="shared" ref="J3047:J3057" si="1015">"3"</f>
        <v>3</v>
      </c>
      <c r="K3047" s="1">
        <v>2</v>
      </c>
      <c r="L3047" s="1" t="s">
        <v>41</v>
      </c>
      <c r="M3047" s="1" t="str">
        <f>"湖北省 黄石市 黄石港区 "</f>
        <v xml:space="preserve">湖北省 黄石市 黄石港区 </v>
      </c>
      <c r="N3047" s="1" t="str">
        <f t="shared" si="1002"/>
        <v>凡华云仓-城南圆通-微信视频号</v>
      </c>
      <c r="O3047" s="5" t="s">
        <v>3081</v>
      </c>
      <c r="P3047" s="6">
        <v>0.24</v>
      </c>
      <c r="Q3047" s="11">
        <v>2</v>
      </c>
      <c r="R3047" s="11"/>
      <c r="S3047" s="11"/>
      <c r="T3047" s="11"/>
      <c r="U3047" s="11">
        <f t="shared" si="1003"/>
        <v>2</v>
      </c>
      <c r="W3047">
        <v>2.2000000000000002</v>
      </c>
      <c r="X3047" s="1" t="s">
        <v>41</v>
      </c>
    </row>
    <row r="3048" spans="1:24" x14ac:dyDescent="0.25">
      <c r="A3048" s="1" t="str">
        <f t="shared" si="1004"/>
        <v>卡卡杜-凤凰仓</v>
      </c>
      <c r="B3048" s="1" t="str">
        <f>"CK20241024176"</f>
        <v>CK20241024176</v>
      </c>
      <c r="C3048" s="1" t="str">
        <f>"DD2024102423809"</f>
        <v>DD2024102423809</v>
      </c>
      <c r="D3048" s="1" t="str">
        <f>"CK2024102417245"</f>
        <v>CK2024102417245</v>
      </c>
      <c r="E3048" s="1" t="str">
        <f>"3723515903120901632"</f>
        <v>3723515903120901632</v>
      </c>
      <c r="F3048" s="1" t="str">
        <f t="shared" si="1005"/>
        <v>花都四部-凤凰仓</v>
      </c>
      <c r="G3048" s="1" t="str">
        <f t="shared" si="1000"/>
        <v>卡卡杜企业店（视频号）</v>
      </c>
      <c r="H3048" s="1" t="str">
        <f t="shared" si="1006"/>
        <v>正常订单</v>
      </c>
      <c r="I3048" s="1" t="str">
        <f t="shared" si="1007"/>
        <v>已发货</v>
      </c>
      <c r="J3048" s="1" t="str">
        <f t="shared" si="1014"/>
        <v>2</v>
      </c>
      <c r="K3048" s="1">
        <v>2</v>
      </c>
      <c r="L3048" s="1" t="s">
        <v>18</v>
      </c>
      <c r="M3048" s="1" t="str">
        <f>"广东省 广州市 天河区 "</f>
        <v xml:space="preserve">广东省 广州市 天河区 </v>
      </c>
      <c r="N3048" s="1" t="str">
        <f t="shared" si="1002"/>
        <v>凡华云仓-城南圆通-微信视频号</v>
      </c>
      <c r="O3048" s="5" t="s">
        <v>3082</v>
      </c>
      <c r="P3048" s="6">
        <v>0.17</v>
      </c>
      <c r="Q3048" s="11">
        <v>2</v>
      </c>
      <c r="R3048" s="11"/>
      <c r="S3048" s="11"/>
      <c r="T3048" s="11"/>
      <c r="U3048" s="11">
        <f t="shared" si="1003"/>
        <v>2</v>
      </c>
      <c r="W3048">
        <v>2.2000000000000002</v>
      </c>
      <c r="X3048" s="1" t="s">
        <v>18</v>
      </c>
    </row>
    <row r="3049" spans="1:24" x14ac:dyDescent="0.25">
      <c r="A3049" s="1" t="str">
        <f t="shared" si="1004"/>
        <v>卡卡杜-凤凰仓</v>
      </c>
      <c r="B3049" s="1" t="str">
        <f>"CK20241024145"</f>
        <v>CK20241024145</v>
      </c>
      <c r="C3049" s="1" t="str">
        <f>"DD2024102423344"</f>
        <v>DD2024102423344</v>
      </c>
      <c r="D3049" s="1" t="str">
        <f>"CK2024102417244"</f>
        <v>CK2024102417244</v>
      </c>
      <c r="E3049" s="1" t="str">
        <f>"3723515876560471297"</f>
        <v>3723515876560471297</v>
      </c>
      <c r="F3049" s="1" t="str">
        <f t="shared" si="1005"/>
        <v>花都四部-凤凰仓</v>
      </c>
      <c r="G3049" s="1" t="str">
        <f t="shared" si="1000"/>
        <v>卡卡杜企业店（视频号）</v>
      </c>
      <c r="H3049" s="1" t="str">
        <f t="shared" si="1006"/>
        <v>正常订单</v>
      </c>
      <c r="I3049" s="1" t="str">
        <f t="shared" si="1007"/>
        <v>已发货</v>
      </c>
      <c r="J3049" s="1" t="str">
        <f t="shared" si="1015"/>
        <v>3</v>
      </c>
      <c r="K3049" s="1">
        <v>2</v>
      </c>
      <c r="L3049" s="1" t="s">
        <v>20</v>
      </c>
      <c r="M3049" s="1" t="str">
        <f>"浙江省 宁波市 海曙区 "</f>
        <v xml:space="preserve">浙江省 宁波市 海曙区 </v>
      </c>
      <c r="N3049" s="1" t="str">
        <f t="shared" si="1002"/>
        <v>凡华云仓-城南圆通-微信视频号</v>
      </c>
      <c r="O3049" s="5" t="s">
        <v>3083</v>
      </c>
      <c r="P3049" s="6">
        <v>0.24</v>
      </c>
      <c r="Q3049" s="11">
        <v>2</v>
      </c>
      <c r="R3049" s="11"/>
      <c r="S3049" s="11"/>
      <c r="T3049" s="11"/>
      <c r="U3049" s="11">
        <f t="shared" si="1003"/>
        <v>2</v>
      </c>
      <c r="W3049">
        <v>2.2000000000000002</v>
      </c>
      <c r="X3049" s="1" t="s">
        <v>20</v>
      </c>
    </row>
    <row r="3050" spans="1:24" x14ac:dyDescent="0.25">
      <c r="A3050" s="1" t="str">
        <f t="shared" si="1004"/>
        <v>卡卡杜-凤凰仓</v>
      </c>
      <c r="B3050" s="1" t="str">
        <f>"CK20241024147"</f>
        <v>CK20241024147</v>
      </c>
      <c r="C3050" s="1" t="str">
        <f>"DD2024102423345"</f>
        <v>DD2024102423345</v>
      </c>
      <c r="D3050" s="1" t="str">
        <f>"CK2024102417243"</f>
        <v>CK2024102417243</v>
      </c>
      <c r="E3050" s="1" t="str">
        <f>"3723514084242101248"</f>
        <v>3723514084242101248</v>
      </c>
      <c r="F3050" s="1" t="str">
        <f t="shared" si="1005"/>
        <v>花都四部-凤凰仓</v>
      </c>
      <c r="G3050" s="1" t="str">
        <f t="shared" si="1000"/>
        <v>卡卡杜企业店（视频号）</v>
      </c>
      <c r="H3050" s="1" t="str">
        <f t="shared" si="1006"/>
        <v>正常订单</v>
      </c>
      <c r="I3050" s="1" t="str">
        <f t="shared" si="1007"/>
        <v>已发货</v>
      </c>
      <c r="J3050" s="1" t="str">
        <f t="shared" si="1015"/>
        <v>3</v>
      </c>
      <c r="K3050" s="1">
        <v>2</v>
      </c>
      <c r="L3050" s="1" t="s">
        <v>105</v>
      </c>
      <c r="M3050" s="1" t="str">
        <f>"北京 北京市 朝阳区 "</f>
        <v xml:space="preserve">北京 北京市 朝阳区 </v>
      </c>
      <c r="N3050" s="1" t="str">
        <f t="shared" si="1002"/>
        <v>凡华云仓-城南圆通-微信视频号</v>
      </c>
      <c r="O3050" s="5" t="s">
        <v>3084</v>
      </c>
      <c r="P3050" s="6">
        <v>0.24</v>
      </c>
      <c r="Q3050" s="11">
        <v>2</v>
      </c>
      <c r="R3050" s="11"/>
      <c r="S3050" s="11"/>
      <c r="T3050" s="11"/>
      <c r="U3050" s="11">
        <f t="shared" si="1003"/>
        <v>2</v>
      </c>
      <c r="W3050">
        <v>2.2000000000000002</v>
      </c>
      <c r="X3050" s="1" t="s">
        <v>105</v>
      </c>
    </row>
    <row r="3051" spans="1:24" x14ac:dyDescent="0.25">
      <c r="A3051" s="1" t="str">
        <f t="shared" si="1004"/>
        <v>卡卡杜-凤凰仓</v>
      </c>
      <c r="B3051" s="1" t="str">
        <f>"CK20241024133"</f>
        <v>CK20241024133</v>
      </c>
      <c r="C3051" s="1" t="str">
        <f>"DD2024102423331"</f>
        <v>DD2024102423331</v>
      </c>
      <c r="D3051" s="1" t="str">
        <f>"CK2024102417242"</f>
        <v>CK2024102417242</v>
      </c>
      <c r="E3051" s="1" t="str">
        <f>"3723515847659881728"</f>
        <v>3723515847659881728</v>
      </c>
      <c r="F3051" s="1" t="str">
        <f t="shared" si="1005"/>
        <v>花都四部-凤凰仓</v>
      </c>
      <c r="G3051" s="1" t="str">
        <f t="shared" si="1000"/>
        <v>卡卡杜企业店（视频号）</v>
      </c>
      <c r="H3051" s="1" t="str">
        <f t="shared" si="1006"/>
        <v>正常订单</v>
      </c>
      <c r="I3051" s="1" t="str">
        <f t="shared" si="1007"/>
        <v>已发货</v>
      </c>
      <c r="J3051" s="1" t="str">
        <f t="shared" si="1015"/>
        <v>3</v>
      </c>
      <c r="K3051" s="1">
        <v>2</v>
      </c>
      <c r="L3051" s="1" t="s">
        <v>60</v>
      </c>
      <c r="M3051" s="1" t="str">
        <f>"云南省 昆明市 五华区 "</f>
        <v xml:space="preserve">云南省 昆明市 五华区 </v>
      </c>
      <c r="N3051" s="1" t="str">
        <f t="shared" si="1002"/>
        <v>凡华云仓-城南圆通-微信视频号</v>
      </c>
      <c r="O3051" s="5" t="s">
        <v>3085</v>
      </c>
      <c r="P3051" s="6">
        <v>0.24</v>
      </c>
      <c r="Q3051" s="11">
        <v>2</v>
      </c>
      <c r="R3051" s="11"/>
      <c r="S3051" s="11"/>
      <c r="T3051" s="11"/>
      <c r="U3051" s="11">
        <f t="shared" si="1003"/>
        <v>2</v>
      </c>
      <c r="W3051">
        <v>2.2000000000000002</v>
      </c>
      <c r="X3051" s="1" t="s">
        <v>60</v>
      </c>
    </row>
    <row r="3052" spans="1:24" x14ac:dyDescent="0.25">
      <c r="A3052" s="1" t="str">
        <f t="shared" si="1004"/>
        <v>卡卡杜-凤凰仓</v>
      </c>
      <c r="B3052" s="1" t="str">
        <f>"CK20241024148"</f>
        <v>CK20241024148</v>
      </c>
      <c r="C3052" s="1" t="str">
        <f>"DD2024102423346"</f>
        <v>DD2024102423346</v>
      </c>
      <c r="D3052" s="1" t="str">
        <f>"CK2024102417241"</f>
        <v>CK2024102417241</v>
      </c>
      <c r="E3052" s="1" t="str">
        <f>"3723513404280407552"</f>
        <v>3723513404280407552</v>
      </c>
      <c r="F3052" s="1" t="str">
        <f t="shared" si="1005"/>
        <v>花都四部-凤凰仓</v>
      </c>
      <c r="G3052" s="1" t="str">
        <f t="shared" si="1000"/>
        <v>卡卡杜企业店（视频号）</v>
      </c>
      <c r="H3052" s="1" t="str">
        <f t="shared" si="1006"/>
        <v>正常订单</v>
      </c>
      <c r="I3052" s="1" t="str">
        <f t="shared" si="1007"/>
        <v>已发货</v>
      </c>
      <c r="J3052" s="1" t="str">
        <f t="shared" si="1015"/>
        <v>3</v>
      </c>
      <c r="K3052" s="1">
        <v>2</v>
      </c>
      <c r="L3052" s="1" t="s">
        <v>161</v>
      </c>
      <c r="M3052" s="1" t="str">
        <f>"四川省 德阳市 旌阳区 "</f>
        <v xml:space="preserve">四川省 德阳市 旌阳区 </v>
      </c>
      <c r="N3052" s="1" t="str">
        <f t="shared" si="1002"/>
        <v>凡华云仓-城南圆通-微信视频号</v>
      </c>
      <c r="O3052" s="5" t="s">
        <v>3086</v>
      </c>
      <c r="P3052" s="6">
        <v>0.24</v>
      </c>
      <c r="Q3052" s="11">
        <v>2</v>
      </c>
      <c r="R3052" s="11"/>
      <c r="S3052" s="11"/>
      <c r="T3052" s="11"/>
      <c r="U3052" s="11">
        <f t="shared" si="1003"/>
        <v>2</v>
      </c>
      <c r="W3052">
        <v>2.2000000000000002</v>
      </c>
      <c r="X3052" s="1" t="s">
        <v>161</v>
      </c>
    </row>
    <row r="3053" spans="1:24" x14ac:dyDescent="0.25">
      <c r="A3053" s="1" t="str">
        <f t="shared" si="1004"/>
        <v>卡卡杜-凤凰仓</v>
      </c>
      <c r="B3053" s="1" t="str">
        <f>"CK20241024153"</f>
        <v>CK20241024153</v>
      </c>
      <c r="C3053" s="1" t="str">
        <f>"DD2024102423362"</f>
        <v>DD2024102423362</v>
      </c>
      <c r="D3053" s="1" t="str">
        <f>"CK2024102417240"</f>
        <v>CK2024102417240</v>
      </c>
      <c r="E3053" s="1" t="str">
        <f>"3723515870276359168"</f>
        <v>3723515870276359168</v>
      </c>
      <c r="F3053" s="1" t="str">
        <f t="shared" si="1005"/>
        <v>花都四部-凤凰仓</v>
      </c>
      <c r="G3053" s="1" t="str">
        <f t="shared" si="1000"/>
        <v>卡卡杜企业店（视频号）</v>
      </c>
      <c r="H3053" s="1" t="str">
        <f t="shared" si="1006"/>
        <v>正常订单</v>
      </c>
      <c r="I3053" s="1" t="str">
        <f t="shared" si="1007"/>
        <v>已发货</v>
      </c>
      <c r="J3053" s="1" t="str">
        <f t="shared" si="1015"/>
        <v>3</v>
      </c>
      <c r="K3053" s="1">
        <v>2</v>
      </c>
      <c r="L3053" s="1" t="s">
        <v>41</v>
      </c>
      <c r="M3053" s="1" t="str">
        <f>"湖北省 武汉市 武昌区 "</f>
        <v xml:space="preserve">湖北省 武汉市 武昌区 </v>
      </c>
      <c r="N3053" s="1" t="str">
        <f t="shared" si="1002"/>
        <v>凡华云仓-城南圆通-微信视频号</v>
      </c>
      <c r="O3053" s="5" t="s">
        <v>3087</v>
      </c>
      <c r="P3053" s="6">
        <v>0.24</v>
      </c>
      <c r="Q3053" s="11">
        <v>2</v>
      </c>
      <c r="R3053" s="11"/>
      <c r="S3053" s="11"/>
      <c r="T3053" s="11"/>
      <c r="U3053" s="11">
        <f t="shared" si="1003"/>
        <v>2</v>
      </c>
      <c r="W3053">
        <v>2.2000000000000002</v>
      </c>
      <c r="X3053" s="1" t="s">
        <v>41</v>
      </c>
    </row>
    <row r="3054" spans="1:24" x14ac:dyDescent="0.25">
      <c r="A3054" s="1" t="str">
        <f t="shared" si="1004"/>
        <v>卡卡杜-凤凰仓</v>
      </c>
      <c r="B3054" s="1" t="str">
        <f>"CK20241024144"</f>
        <v>CK20241024144</v>
      </c>
      <c r="C3054" s="1" t="str">
        <f>"DD2024102423343"</f>
        <v>DD2024102423343</v>
      </c>
      <c r="D3054" s="1" t="str">
        <f>"CK2024102417239"</f>
        <v>CK2024102417239</v>
      </c>
      <c r="E3054" s="1" t="str">
        <f>"3723513390074565632"</f>
        <v>3723513390074565632</v>
      </c>
      <c r="F3054" s="1" t="str">
        <f t="shared" si="1005"/>
        <v>花都四部-凤凰仓</v>
      </c>
      <c r="G3054" s="1" t="str">
        <f t="shared" si="1000"/>
        <v>卡卡杜企业店（视频号）</v>
      </c>
      <c r="H3054" s="1" t="str">
        <f t="shared" si="1006"/>
        <v>正常订单</v>
      </c>
      <c r="I3054" s="1" t="str">
        <f t="shared" si="1007"/>
        <v>已发货</v>
      </c>
      <c r="J3054" s="1" t="str">
        <f t="shared" si="1015"/>
        <v>3</v>
      </c>
      <c r="K3054" s="1">
        <v>2</v>
      </c>
      <c r="L3054" s="1" t="s">
        <v>74</v>
      </c>
      <c r="M3054" s="1" t="str">
        <f>"上海 上海市 宝山区 "</f>
        <v xml:space="preserve">上海 上海市 宝山区 </v>
      </c>
      <c r="N3054" s="1" t="str">
        <f t="shared" si="1002"/>
        <v>凡华云仓-城南圆通-微信视频号</v>
      </c>
      <c r="O3054" s="5" t="s">
        <v>3088</v>
      </c>
      <c r="P3054" s="6">
        <v>0.24</v>
      </c>
      <c r="Q3054" s="11">
        <v>2</v>
      </c>
      <c r="R3054" s="11"/>
      <c r="S3054" s="11"/>
      <c r="T3054" s="11"/>
      <c r="U3054" s="11">
        <f t="shared" si="1003"/>
        <v>2</v>
      </c>
      <c r="W3054">
        <v>2.2000000000000002</v>
      </c>
      <c r="X3054" s="1" t="s">
        <v>74</v>
      </c>
    </row>
    <row r="3055" spans="1:24" x14ac:dyDescent="0.25">
      <c r="A3055" s="1" t="str">
        <f t="shared" si="1004"/>
        <v>卡卡杜-凤凰仓</v>
      </c>
      <c r="B3055" s="1" t="str">
        <f>"CK20241024117"</f>
        <v>CK20241024117</v>
      </c>
      <c r="C3055" s="1" t="str">
        <f>"DD2024102423315"</f>
        <v>DD2024102423315</v>
      </c>
      <c r="D3055" s="1" t="str">
        <f>"CK2024102417238"</f>
        <v>CK2024102417238</v>
      </c>
      <c r="E3055" s="1" t="str">
        <f>"3723515842381088000"</f>
        <v>3723515842381088000</v>
      </c>
      <c r="F3055" s="1" t="str">
        <f t="shared" si="1005"/>
        <v>花都四部-凤凰仓</v>
      </c>
      <c r="G3055" s="1" t="str">
        <f t="shared" si="1000"/>
        <v>卡卡杜企业店（视频号）</v>
      </c>
      <c r="H3055" s="1" t="str">
        <f t="shared" si="1006"/>
        <v>正常订单</v>
      </c>
      <c r="I3055" s="1" t="str">
        <f t="shared" si="1007"/>
        <v>已发货</v>
      </c>
      <c r="J3055" s="1" t="str">
        <f t="shared" si="1015"/>
        <v>3</v>
      </c>
      <c r="K3055" s="1">
        <v>2</v>
      </c>
      <c r="L3055" s="1" t="s">
        <v>182</v>
      </c>
      <c r="M3055" s="1" t="str">
        <f>"新疆维吾尔自治区 乌鲁木齐市 沙依巴克区 "</f>
        <v xml:space="preserve">新疆维吾尔自治区 乌鲁木齐市 沙依巴克区 </v>
      </c>
      <c r="N3055" s="1" t="str">
        <f t="shared" si="1002"/>
        <v>凡华云仓-城南圆通-微信视频号</v>
      </c>
      <c r="O3055" s="5" t="s">
        <v>3089</v>
      </c>
      <c r="P3055" s="6">
        <v>0.24</v>
      </c>
      <c r="Q3055" s="11">
        <v>17</v>
      </c>
      <c r="R3055" s="11"/>
      <c r="S3055" s="11"/>
      <c r="T3055" s="11"/>
      <c r="U3055" s="11">
        <f t="shared" si="1003"/>
        <v>17</v>
      </c>
      <c r="W3055">
        <v>17</v>
      </c>
      <c r="X3055" s="1" t="s">
        <v>182</v>
      </c>
    </row>
    <row r="3056" spans="1:24" x14ac:dyDescent="0.25">
      <c r="A3056" s="1" t="str">
        <f t="shared" si="1004"/>
        <v>卡卡杜-凤凰仓</v>
      </c>
      <c r="B3056" s="1" t="str">
        <f>"CK20241024122"</f>
        <v>CK20241024122</v>
      </c>
      <c r="C3056" s="1" t="str">
        <f>"DD2024102423320"</f>
        <v>DD2024102423320</v>
      </c>
      <c r="D3056" s="1" t="str">
        <f>"CK2024102417237"</f>
        <v>CK2024102417237</v>
      </c>
      <c r="E3056" s="1" t="str">
        <f>"3723515856270528513"</f>
        <v>3723515856270528513</v>
      </c>
      <c r="F3056" s="1" t="str">
        <f t="shared" si="1005"/>
        <v>花都四部-凤凰仓</v>
      </c>
      <c r="G3056" s="1" t="str">
        <f t="shared" si="1000"/>
        <v>卡卡杜企业店（视频号）</v>
      </c>
      <c r="H3056" s="1" t="str">
        <f t="shared" si="1006"/>
        <v>正常订单</v>
      </c>
      <c r="I3056" s="1" t="str">
        <f t="shared" si="1007"/>
        <v>已发货</v>
      </c>
      <c r="J3056" s="1" t="str">
        <f t="shared" si="1015"/>
        <v>3</v>
      </c>
      <c r="K3056" s="1">
        <v>2</v>
      </c>
      <c r="L3056" s="1" t="s">
        <v>74</v>
      </c>
      <c r="M3056" s="1" t="str">
        <f>"上海 上海市 杨浦区 "</f>
        <v xml:space="preserve">上海 上海市 杨浦区 </v>
      </c>
      <c r="N3056" s="1" t="str">
        <f t="shared" si="1002"/>
        <v>凡华云仓-城南圆通-微信视频号</v>
      </c>
      <c r="O3056" s="5" t="s">
        <v>3090</v>
      </c>
      <c r="P3056" s="6">
        <v>0.24</v>
      </c>
      <c r="Q3056" s="11">
        <v>2</v>
      </c>
      <c r="R3056" s="11"/>
      <c r="S3056" s="11"/>
      <c r="T3056" s="11"/>
      <c r="U3056" s="11">
        <f t="shared" si="1003"/>
        <v>2</v>
      </c>
      <c r="W3056">
        <v>2.2000000000000002</v>
      </c>
      <c r="X3056" s="1" t="s">
        <v>74</v>
      </c>
    </row>
    <row r="3057" spans="1:24" x14ac:dyDescent="0.25">
      <c r="A3057" s="1" t="str">
        <f t="shared" si="1004"/>
        <v>卡卡杜-凤凰仓</v>
      </c>
      <c r="B3057" s="1" t="str">
        <f>"CK20241024128"</f>
        <v>CK20241024128</v>
      </c>
      <c r="C3057" s="1" t="str">
        <f>"DD2024102423327"</f>
        <v>DD2024102423327</v>
      </c>
      <c r="D3057" s="1" t="str">
        <f>"CK2024102417236"</f>
        <v>CK2024102417236</v>
      </c>
      <c r="E3057" s="1" t="str">
        <f>"3723515863197156864"</f>
        <v>3723515863197156864</v>
      </c>
      <c r="F3057" s="1" t="str">
        <f t="shared" si="1005"/>
        <v>花都四部-凤凰仓</v>
      </c>
      <c r="G3057" s="1" t="str">
        <f t="shared" si="1000"/>
        <v>卡卡杜企业店（视频号）</v>
      </c>
      <c r="H3057" s="1" t="str">
        <f t="shared" si="1006"/>
        <v>正常订单</v>
      </c>
      <c r="I3057" s="1" t="str">
        <f t="shared" si="1007"/>
        <v>已发货</v>
      </c>
      <c r="J3057" s="1" t="str">
        <f t="shared" si="1015"/>
        <v>3</v>
      </c>
      <c r="K3057" s="1">
        <v>2</v>
      </c>
      <c r="L3057" s="1" t="s">
        <v>60</v>
      </c>
      <c r="M3057" s="1" t="str">
        <f>"云南省 普洱市 思茅区 "</f>
        <v xml:space="preserve">云南省 普洱市 思茅区 </v>
      </c>
      <c r="N3057" s="1" t="str">
        <f t="shared" si="1002"/>
        <v>凡华云仓-城南圆通-微信视频号</v>
      </c>
      <c r="O3057" s="5" t="s">
        <v>3091</v>
      </c>
      <c r="P3057" s="6">
        <v>0.24</v>
      </c>
      <c r="Q3057" s="11">
        <v>2</v>
      </c>
      <c r="R3057" s="11"/>
      <c r="S3057" s="11"/>
      <c r="T3057" s="11"/>
      <c r="U3057" s="11">
        <f t="shared" si="1003"/>
        <v>2</v>
      </c>
      <c r="W3057">
        <v>2.2000000000000002</v>
      </c>
      <c r="X3057" s="1" t="s">
        <v>60</v>
      </c>
    </row>
    <row r="3058" spans="1:24" x14ac:dyDescent="0.25">
      <c r="A3058" s="1" t="str">
        <f t="shared" si="1004"/>
        <v>卡卡杜-凤凰仓</v>
      </c>
      <c r="B3058" s="1" t="str">
        <f>"CK20241024183"</f>
        <v>CK20241024183</v>
      </c>
      <c r="C3058" s="1" t="str">
        <f>"DD2024102423815"</f>
        <v>DD2024102423815</v>
      </c>
      <c r="D3058" s="1" t="str">
        <f>"CK2024102417235"</f>
        <v>CK2024102417235</v>
      </c>
      <c r="E3058" s="1" t="str">
        <f>"3723515852442961408"</f>
        <v>3723515852442961408</v>
      </c>
      <c r="F3058" s="1" t="str">
        <f t="shared" si="1005"/>
        <v>花都四部-凤凰仓</v>
      </c>
      <c r="G3058" s="1" t="str">
        <f t="shared" si="1000"/>
        <v>卡卡杜企业店（视频号）</v>
      </c>
      <c r="H3058" s="1" t="str">
        <f t="shared" si="1006"/>
        <v>正常订单</v>
      </c>
      <c r="I3058" s="1" t="str">
        <f t="shared" si="1007"/>
        <v>已发货</v>
      </c>
      <c r="J3058" s="1" t="str">
        <f t="shared" ref="J3058:J3063" si="1016">"2"</f>
        <v>2</v>
      </c>
      <c r="K3058" s="1">
        <v>2</v>
      </c>
      <c r="L3058" s="1" t="s">
        <v>74</v>
      </c>
      <c r="M3058" s="1" t="str">
        <f>"上海 上海市 徐汇区 "</f>
        <v xml:space="preserve">上海 上海市 徐汇区 </v>
      </c>
      <c r="N3058" s="1" t="str">
        <f t="shared" si="1002"/>
        <v>凡华云仓-城南圆通-微信视频号</v>
      </c>
      <c r="O3058" s="5" t="s">
        <v>3092</v>
      </c>
      <c r="P3058" s="6">
        <v>0.17</v>
      </c>
      <c r="Q3058" s="11">
        <v>2</v>
      </c>
      <c r="R3058" s="11"/>
      <c r="S3058" s="11"/>
      <c r="T3058" s="11"/>
      <c r="U3058" s="11">
        <f t="shared" si="1003"/>
        <v>2</v>
      </c>
      <c r="W3058">
        <v>2.2000000000000002</v>
      </c>
      <c r="X3058" s="1" t="s">
        <v>74</v>
      </c>
    </row>
    <row r="3059" spans="1:24" x14ac:dyDescent="0.25">
      <c r="A3059" s="1" t="str">
        <f t="shared" si="1004"/>
        <v>卡卡杜-凤凰仓</v>
      </c>
      <c r="B3059" s="1" t="str">
        <f>"CK20241024154"</f>
        <v>CK20241024154</v>
      </c>
      <c r="C3059" s="1" t="str">
        <f>"DD2024102423360"</f>
        <v>DD2024102423360</v>
      </c>
      <c r="D3059" s="1" t="str">
        <f>"CK2024102417234"</f>
        <v>CK2024102417234</v>
      </c>
      <c r="E3059" s="1" t="str">
        <f>"3723515849322661376"</f>
        <v>3723515849322661376</v>
      </c>
      <c r="F3059" s="1" t="str">
        <f t="shared" si="1005"/>
        <v>花都四部-凤凰仓</v>
      </c>
      <c r="G3059" s="1" t="str">
        <f t="shared" si="1000"/>
        <v>卡卡杜企业店（视频号）</v>
      </c>
      <c r="H3059" s="1" t="str">
        <f t="shared" si="1006"/>
        <v>正常订单</v>
      </c>
      <c r="I3059" s="1" t="str">
        <f t="shared" si="1007"/>
        <v>已发货</v>
      </c>
      <c r="J3059" s="1" t="str">
        <f t="shared" ref="J3059:J3061" si="1017">"3"</f>
        <v>3</v>
      </c>
      <c r="K3059" s="1">
        <v>2</v>
      </c>
      <c r="L3059" s="1" t="s">
        <v>41</v>
      </c>
      <c r="M3059" s="1" t="str">
        <f>"湖北省 武汉市 武昌区 "</f>
        <v xml:space="preserve">湖北省 武汉市 武昌区 </v>
      </c>
      <c r="N3059" s="1" t="str">
        <f t="shared" si="1002"/>
        <v>凡华云仓-城南圆通-微信视频号</v>
      </c>
      <c r="O3059" s="5" t="s">
        <v>3093</v>
      </c>
      <c r="P3059" s="6">
        <v>0.24</v>
      </c>
      <c r="Q3059" s="11">
        <v>2</v>
      </c>
      <c r="R3059" s="11"/>
      <c r="S3059" s="11"/>
      <c r="T3059" s="11"/>
      <c r="U3059" s="11">
        <f t="shared" si="1003"/>
        <v>2</v>
      </c>
      <c r="W3059">
        <v>2.2000000000000002</v>
      </c>
      <c r="X3059" s="1" t="s">
        <v>41</v>
      </c>
    </row>
    <row r="3060" spans="1:24" x14ac:dyDescent="0.25">
      <c r="A3060" s="1" t="str">
        <f t="shared" si="1004"/>
        <v>卡卡杜-凤凰仓</v>
      </c>
      <c r="B3060" s="1" t="str">
        <f>"CK20241024123"</f>
        <v>CK20241024123</v>
      </c>
      <c r="C3060" s="1" t="str">
        <f>"DD2024102423321"</f>
        <v>DD2024102423321</v>
      </c>
      <c r="D3060" s="1" t="str">
        <f>"CK2024102417233"</f>
        <v>CK2024102417233</v>
      </c>
      <c r="E3060" s="1" t="str">
        <f>"3723515858113661952"</f>
        <v>3723515858113661952</v>
      </c>
      <c r="F3060" s="1" t="str">
        <f t="shared" si="1005"/>
        <v>花都四部-凤凰仓</v>
      </c>
      <c r="G3060" s="1" t="str">
        <f t="shared" si="1000"/>
        <v>卡卡杜企业店（视频号）</v>
      </c>
      <c r="H3060" s="1" t="str">
        <f t="shared" si="1006"/>
        <v>正常订单</v>
      </c>
      <c r="I3060" s="1" t="str">
        <f t="shared" si="1007"/>
        <v>已发货</v>
      </c>
      <c r="J3060" s="1" t="str">
        <f t="shared" si="1017"/>
        <v>3</v>
      </c>
      <c r="K3060" s="1">
        <v>2</v>
      </c>
      <c r="L3060" s="1" t="s">
        <v>13</v>
      </c>
      <c r="M3060" s="1" t="str">
        <f>"江苏省 连云港市 海州区 "</f>
        <v xml:space="preserve">江苏省 连云港市 海州区 </v>
      </c>
      <c r="N3060" s="1" t="str">
        <f t="shared" si="1002"/>
        <v>凡华云仓-城南圆通-微信视频号</v>
      </c>
      <c r="O3060" s="5" t="s">
        <v>3094</v>
      </c>
      <c r="P3060" s="6">
        <v>0.24</v>
      </c>
      <c r="Q3060" s="11">
        <v>2</v>
      </c>
      <c r="R3060" s="11"/>
      <c r="S3060" s="11"/>
      <c r="T3060" s="11"/>
      <c r="U3060" s="11">
        <f t="shared" si="1003"/>
        <v>2</v>
      </c>
      <c r="W3060">
        <v>2.2000000000000002</v>
      </c>
      <c r="X3060" s="1" t="s">
        <v>13</v>
      </c>
    </row>
    <row r="3061" spans="1:24" x14ac:dyDescent="0.25">
      <c r="A3061" s="1" t="str">
        <f t="shared" si="1004"/>
        <v>卡卡杜-凤凰仓</v>
      </c>
      <c r="B3061" s="1" t="str">
        <f>"CK20241024143"</f>
        <v>CK20241024143</v>
      </c>
      <c r="C3061" s="1" t="str">
        <f>"DD2024102423341"</f>
        <v>DD2024102423341</v>
      </c>
      <c r="D3061" s="1" t="str">
        <f>"CK2024102417232"</f>
        <v>CK2024102417232</v>
      </c>
      <c r="E3061" s="1" t="str">
        <f>"3723513381563010048"</f>
        <v>3723513381563010048</v>
      </c>
      <c r="F3061" s="1" t="str">
        <f t="shared" si="1005"/>
        <v>花都四部-凤凰仓</v>
      </c>
      <c r="G3061" s="1" t="str">
        <f t="shared" si="1000"/>
        <v>卡卡杜企业店（视频号）</v>
      </c>
      <c r="H3061" s="1" t="str">
        <f t="shared" si="1006"/>
        <v>正常订单</v>
      </c>
      <c r="I3061" s="1" t="str">
        <f t="shared" si="1007"/>
        <v>已发货</v>
      </c>
      <c r="J3061" s="1" t="str">
        <f t="shared" si="1017"/>
        <v>3</v>
      </c>
      <c r="K3061" s="1">
        <v>2</v>
      </c>
      <c r="L3061" s="1" t="s">
        <v>187</v>
      </c>
      <c r="M3061" s="1" t="str">
        <f>"吉林省 长春市 朝阳区 "</f>
        <v xml:space="preserve">吉林省 长春市 朝阳区 </v>
      </c>
      <c r="N3061" s="1" t="str">
        <f t="shared" si="1002"/>
        <v>凡华云仓-城南圆通-微信视频号</v>
      </c>
      <c r="O3061" s="5" t="s">
        <v>3095</v>
      </c>
      <c r="P3061" s="6">
        <v>0.24</v>
      </c>
      <c r="Q3061" s="11">
        <v>2</v>
      </c>
      <c r="R3061" s="11"/>
      <c r="S3061" s="11"/>
      <c r="T3061" s="11"/>
      <c r="U3061" s="11">
        <f t="shared" si="1003"/>
        <v>2</v>
      </c>
      <c r="W3061">
        <v>2.2000000000000002</v>
      </c>
      <c r="X3061" s="1" t="s">
        <v>187</v>
      </c>
    </row>
    <row r="3062" spans="1:24" x14ac:dyDescent="0.25">
      <c r="A3062" s="1" t="str">
        <f t="shared" si="1004"/>
        <v>卡卡杜-凤凰仓</v>
      </c>
      <c r="B3062" s="1" t="str">
        <f>"CK20241024181"</f>
        <v>CK20241024181</v>
      </c>
      <c r="C3062" s="1" t="str">
        <f>"DD2024102423812"</f>
        <v>DD2024102423812</v>
      </c>
      <c r="D3062" s="1" t="str">
        <f>"CK2024102417231"</f>
        <v>CK2024102417231</v>
      </c>
      <c r="E3062" s="1" t="str">
        <f>"3723515874678017024"</f>
        <v>3723515874678017024</v>
      </c>
      <c r="F3062" s="1" t="str">
        <f t="shared" si="1005"/>
        <v>花都四部-凤凰仓</v>
      </c>
      <c r="G3062" s="1" t="str">
        <f t="shared" si="1000"/>
        <v>卡卡杜企业店（视频号）</v>
      </c>
      <c r="H3062" s="1" t="str">
        <f t="shared" si="1006"/>
        <v>正常订单</v>
      </c>
      <c r="I3062" s="1" t="str">
        <f t="shared" si="1007"/>
        <v>已发货</v>
      </c>
      <c r="J3062" s="1" t="str">
        <f t="shared" si="1016"/>
        <v>2</v>
      </c>
      <c r="K3062" s="1">
        <v>2</v>
      </c>
      <c r="L3062" s="1" t="s">
        <v>66</v>
      </c>
      <c r="M3062" s="1" t="str">
        <f>"内蒙古自治区 通辽市 科尔沁区 "</f>
        <v xml:space="preserve">内蒙古自治区 通辽市 科尔沁区 </v>
      </c>
      <c r="N3062" s="1" t="str">
        <f t="shared" si="1002"/>
        <v>凡华云仓-城南圆通-微信视频号</v>
      </c>
      <c r="O3062" s="5" t="s">
        <v>3096</v>
      </c>
      <c r="P3062" s="6">
        <v>0.17</v>
      </c>
      <c r="Q3062" s="11">
        <v>2</v>
      </c>
      <c r="R3062" s="11"/>
      <c r="S3062" s="11"/>
      <c r="T3062" s="11"/>
      <c r="U3062" s="11">
        <f t="shared" si="1003"/>
        <v>2</v>
      </c>
      <c r="W3062">
        <v>2.2000000000000002</v>
      </c>
      <c r="X3062" s="1" t="s">
        <v>66</v>
      </c>
    </row>
    <row r="3063" spans="1:24" x14ac:dyDescent="0.25">
      <c r="A3063" s="1" t="str">
        <f t="shared" si="1004"/>
        <v>卡卡杜-凤凰仓</v>
      </c>
      <c r="B3063" s="1" t="str">
        <f>"CK20241024182"</f>
        <v>CK20241024182</v>
      </c>
      <c r="C3063" s="1" t="str">
        <f>"DD2024102423813"</f>
        <v>DD2024102423813</v>
      </c>
      <c r="D3063" s="1" t="str">
        <f>"CK2024102417230"</f>
        <v>CK2024102417230</v>
      </c>
      <c r="E3063" s="1" t="str">
        <f>"3723515859439322368"</f>
        <v>3723515859439322368</v>
      </c>
      <c r="F3063" s="1" t="str">
        <f t="shared" si="1005"/>
        <v>花都四部-凤凰仓</v>
      </c>
      <c r="G3063" s="1" t="str">
        <f t="shared" si="1000"/>
        <v>卡卡杜企业店（视频号）</v>
      </c>
      <c r="H3063" s="1" t="str">
        <f t="shared" si="1006"/>
        <v>正常订单</v>
      </c>
      <c r="I3063" s="1" t="str">
        <f t="shared" si="1007"/>
        <v>已发货</v>
      </c>
      <c r="J3063" s="1" t="str">
        <f t="shared" si="1016"/>
        <v>2</v>
      </c>
      <c r="K3063" s="1">
        <v>2</v>
      </c>
      <c r="L3063" s="1" t="s">
        <v>60</v>
      </c>
      <c r="M3063" s="1" t="str">
        <f>"云南省 昆明市 盘龙区 "</f>
        <v xml:space="preserve">云南省 昆明市 盘龙区 </v>
      </c>
      <c r="N3063" s="1" t="str">
        <f t="shared" si="1002"/>
        <v>凡华云仓-城南圆通-微信视频号</v>
      </c>
      <c r="O3063" s="5" t="s">
        <v>3097</v>
      </c>
      <c r="P3063" s="6">
        <v>0.17</v>
      </c>
      <c r="Q3063" s="11">
        <v>2</v>
      </c>
      <c r="R3063" s="11"/>
      <c r="S3063" s="11"/>
      <c r="T3063" s="11"/>
      <c r="U3063" s="11">
        <f t="shared" si="1003"/>
        <v>2</v>
      </c>
      <c r="W3063">
        <v>2.2000000000000002</v>
      </c>
      <c r="X3063" s="1" t="s">
        <v>60</v>
      </c>
    </row>
    <row r="3064" spans="1:24" x14ac:dyDescent="0.25">
      <c r="A3064" s="1" t="str">
        <f t="shared" si="1004"/>
        <v>卡卡杜-凤凰仓</v>
      </c>
      <c r="B3064" s="1" t="str">
        <f>"CK20241024131"</f>
        <v>CK20241024131</v>
      </c>
      <c r="C3064" s="1" t="str">
        <f>"DD2024102423329"</f>
        <v>DD2024102423329</v>
      </c>
      <c r="D3064" s="1" t="str">
        <f>"CK2024102417229"</f>
        <v>CK2024102417229</v>
      </c>
      <c r="E3064" s="1" t="str">
        <f>"3723515865244501504"</f>
        <v>3723515865244501504</v>
      </c>
      <c r="F3064" s="1" t="str">
        <f t="shared" si="1005"/>
        <v>花都四部-凤凰仓</v>
      </c>
      <c r="G3064" s="1" t="str">
        <f t="shared" si="1000"/>
        <v>卡卡杜企业店（视频号）</v>
      </c>
      <c r="H3064" s="1" t="str">
        <f t="shared" si="1006"/>
        <v>正常订单</v>
      </c>
      <c r="I3064" s="1" t="str">
        <f t="shared" si="1007"/>
        <v>已发货</v>
      </c>
      <c r="J3064" s="1" t="str">
        <f t="shared" ref="J3064:J3074" si="1018">"3"</f>
        <v>3</v>
      </c>
      <c r="K3064" s="1">
        <v>2</v>
      </c>
      <c r="L3064" s="1" t="s">
        <v>18</v>
      </c>
      <c r="M3064" s="1" t="str">
        <f>"广东省 佛山市 禅城区 "</f>
        <v xml:space="preserve">广东省 佛山市 禅城区 </v>
      </c>
      <c r="N3064" s="1" t="str">
        <f t="shared" si="1002"/>
        <v>凡华云仓-城南圆通-微信视频号</v>
      </c>
      <c r="O3064" s="5" t="s">
        <v>3098</v>
      </c>
      <c r="P3064" s="6">
        <v>0.24</v>
      </c>
      <c r="Q3064" s="11">
        <v>2</v>
      </c>
      <c r="R3064" s="11"/>
      <c r="S3064" s="11"/>
      <c r="T3064" s="11"/>
      <c r="U3064" s="11">
        <f t="shared" si="1003"/>
        <v>2</v>
      </c>
      <c r="W3064">
        <v>2.2000000000000002</v>
      </c>
      <c r="X3064" s="1" t="s">
        <v>18</v>
      </c>
    </row>
    <row r="3065" spans="1:24" x14ac:dyDescent="0.25">
      <c r="A3065" s="1" t="str">
        <f t="shared" si="1004"/>
        <v>卡卡杜-凤凰仓</v>
      </c>
      <c r="B3065" s="1" t="str">
        <f>"CK20241024127"</f>
        <v>CK20241024127</v>
      </c>
      <c r="C3065" s="1" t="str">
        <f>"DD2024102423324"</f>
        <v>DD2024102423324</v>
      </c>
      <c r="D3065" s="1" t="str">
        <f>"CK2024102417228"</f>
        <v>CK2024102417228</v>
      </c>
      <c r="E3065" s="1" t="str">
        <f>"3723515870252238081"</f>
        <v>3723515870252238081</v>
      </c>
      <c r="F3065" s="1" t="str">
        <f t="shared" si="1005"/>
        <v>花都四部-凤凰仓</v>
      </c>
      <c r="G3065" s="1" t="str">
        <f t="shared" si="1000"/>
        <v>卡卡杜企业店（视频号）</v>
      </c>
      <c r="H3065" s="1" t="str">
        <f t="shared" si="1006"/>
        <v>正常订单</v>
      </c>
      <c r="I3065" s="1" t="str">
        <f t="shared" si="1007"/>
        <v>已发货</v>
      </c>
      <c r="J3065" s="1" t="str">
        <f t="shared" si="1018"/>
        <v>3</v>
      </c>
      <c r="K3065" s="1">
        <v>2</v>
      </c>
      <c r="L3065" s="1" t="s">
        <v>41</v>
      </c>
      <c r="M3065" s="1" t="str">
        <f>"湖北省 武汉市 江汉区 "</f>
        <v xml:space="preserve">湖北省 武汉市 江汉区 </v>
      </c>
      <c r="N3065" s="1" t="str">
        <f t="shared" si="1002"/>
        <v>凡华云仓-城南圆通-微信视频号</v>
      </c>
      <c r="O3065" s="5" t="s">
        <v>3099</v>
      </c>
      <c r="P3065" s="6">
        <v>0.24</v>
      </c>
      <c r="Q3065" s="11">
        <v>2</v>
      </c>
      <c r="R3065" s="11"/>
      <c r="S3065" s="11"/>
      <c r="T3065" s="11"/>
      <c r="U3065" s="11">
        <f t="shared" si="1003"/>
        <v>2</v>
      </c>
      <c r="W3065">
        <v>2.2000000000000002</v>
      </c>
      <c r="X3065" s="1" t="s">
        <v>41</v>
      </c>
    </row>
    <row r="3066" spans="1:24" x14ac:dyDescent="0.25">
      <c r="A3066" s="1" t="str">
        <f t="shared" si="1004"/>
        <v>卡卡杜-凤凰仓</v>
      </c>
      <c r="B3066" s="1" t="str">
        <f>"CK20241024125"</f>
        <v>CK20241024125</v>
      </c>
      <c r="C3066" s="1" t="str">
        <f>"DD2024102423322"</f>
        <v>DD2024102423322</v>
      </c>
      <c r="D3066" s="1" t="str">
        <f>"CK2024102417227"</f>
        <v>CK2024102417227</v>
      </c>
      <c r="E3066" s="1" t="str">
        <f>"3723515861323878400"</f>
        <v>3723515861323878400</v>
      </c>
      <c r="F3066" s="1" t="str">
        <f t="shared" si="1005"/>
        <v>花都四部-凤凰仓</v>
      </c>
      <c r="G3066" s="1" t="str">
        <f t="shared" si="1000"/>
        <v>卡卡杜企业店（视频号）</v>
      </c>
      <c r="H3066" s="1" t="str">
        <f t="shared" si="1006"/>
        <v>正常订单</v>
      </c>
      <c r="I3066" s="1" t="str">
        <f t="shared" si="1007"/>
        <v>已发货</v>
      </c>
      <c r="J3066" s="1" t="str">
        <f t="shared" si="1018"/>
        <v>3</v>
      </c>
      <c r="K3066" s="1">
        <v>2</v>
      </c>
      <c r="L3066" s="1" t="s">
        <v>47</v>
      </c>
      <c r="M3066" s="1" t="str">
        <f>"重庆 重庆市 江津区 "</f>
        <v xml:space="preserve">重庆 重庆市 江津区 </v>
      </c>
      <c r="N3066" s="1" t="str">
        <f t="shared" si="1002"/>
        <v>凡华云仓-城南圆通-微信视频号</v>
      </c>
      <c r="O3066" s="5" t="s">
        <v>3100</v>
      </c>
      <c r="P3066" s="6">
        <v>0.24</v>
      </c>
      <c r="Q3066" s="11">
        <v>2</v>
      </c>
      <c r="R3066" s="11"/>
      <c r="S3066" s="11"/>
      <c r="T3066" s="11"/>
      <c r="U3066" s="11">
        <f t="shared" si="1003"/>
        <v>2</v>
      </c>
      <c r="W3066">
        <v>2.2000000000000002</v>
      </c>
      <c r="X3066" s="1" t="s">
        <v>47</v>
      </c>
    </row>
    <row r="3067" spans="1:24" x14ac:dyDescent="0.25">
      <c r="A3067" s="1" t="str">
        <f t="shared" si="1004"/>
        <v>卡卡杜-凤凰仓</v>
      </c>
      <c r="B3067" s="1" t="str">
        <f>"CK20241024134"</f>
        <v>CK20241024134</v>
      </c>
      <c r="C3067" s="1" t="str">
        <f>"DD2024102423332"</f>
        <v>DD2024102423332</v>
      </c>
      <c r="D3067" s="1" t="str">
        <f>"CK2024102417226"</f>
        <v>CK2024102417226</v>
      </c>
      <c r="E3067" s="1" t="str">
        <f>"3723515867458835456"</f>
        <v>3723515867458835456</v>
      </c>
      <c r="F3067" s="1" t="str">
        <f t="shared" si="1005"/>
        <v>花都四部-凤凰仓</v>
      </c>
      <c r="G3067" s="1" t="str">
        <f t="shared" si="1000"/>
        <v>卡卡杜企业店（视频号）</v>
      </c>
      <c r="H3067" s="1" t="str">
        <f t="shared" si="1006"/>
        <v>正常订单</v>
      </c>
      <c r="I3067" s="1" t="str">
        <f t="shared" si="1007"/>
        <v>已发货</v>
      </c>
      <c r="J3067" s="1" t="str">
        <f t="shared" si="1018"/>
        <v>3</v>
      </c>
      <c r="K3067" s="1">
        <v>2</v>
      </c>
      <c r="L3067" s="1" t="s">
        <v>41</v>
      </c>
      <c r="M3067" s="1" t="str">
        <f>"湖北省 咸宁市 赤壁市 "</f>
        <v xml:space="preserve">湖北省 咸宁市 赤壁市 </v>
      </c>
      <c r="N3067" s="1" t="str">
        <f t="shared" si="1002"/>
        <v>凡华云仓-城南圆通-微信视频号</v>
      </c>
      <c r="O3067" s="5" t="s">
        <v>3101</v>
      </c>
      <c r="P3067" s="6">
        <v>0.24</v>
      </c>
      <c r="Q3067" s="11">
        <v>2</v>
      </c>
      <c r="R3067" s="11"/>
      <c r="S3067" s="11"/>
      <c r="T3067" s="11"/>
      <c r="U3067" s="11">
        <f t="shared" si="1003"/>
        <v>2</v>
      </c>
      <c r="W3067">
        <v>2.2000000000000002</v>
      </c>
      <c r="X3067" s="1" t="s">
        <v>41</v>
      </c>
    </row>
    <row r="3068" spans="1:24" x14ac:dyDescent="0.25">
      <c r="A3068" s="1" t="str">
        <f t="shared" si="1004"/>
        <v>卡卡杜-凤凰仓</v>
      </c>
      <c r="B3068" s="1" t="str">
        <f>"CK20241024146"</f>
        <v>CK20241024146</v>
      </c>
      <c r="C3068" s="1" t="str">
        <f>"DD2024102423342"</f>
        <v>DD2024102423342</v>
      </c>
      <c r="D3068" s="1" t="str">
        <f>"CK2024102417225"</f>
        <v>CK2024102417225</v>
      </c>
      <c r="E3068" s="1" t="str">
        <f>"3723515868748321792"</f>
        <v>3723515868748321792</v>
      </c>
      <c r="F3068" s="1" t="str">
        <f t="shared" si="1005"/>
        <v>花都四部-凤凰仓</v>
      </c>
      <c r="G3068" s="1" t="str">
        <f t="shared" si="1000"/>
        <v>卡卡杜企业店（视频号）</v>
      </c>
      <c r="H3068" s="1" t="str">
        <f t="shared" si="1006"/>
        <v>正常订单</v>
      </c>
      <c r="I3068" s="1" t="str">
        <f t="shared" si="1007"/>
        <v>已发货</v>
      </c>
      <c r="J3068" s="1" t="str">
        <f t="shared" si="1018"/>
        <v>3</v>
      </c>
      <c r="K3068" s="1">
        <v>2</v>
      </c>
      <c r="L3068" s="1" t="s">
        <v>32</v>
      </c>
      <c r="M3068" s="1" t="str">
        <f>"陕西省 西安市 雁塔区 "</f>
        <v xml:space="preserve">陕西省 西安市 雁塔区 </v>
      </c>
      <c r="N3068" s="1" t="str">
        <f t="shared" si="1002"/>
        <v>凡华云仓-城南圆通-微信视频号</v>
      </c>
      <c r="O3068" s="5" t="s">
        <v>3102</v>
      </c>
      <c r="P3068" s="6">
        <v>0.24</v>
      </c>
      <c r="Q3068" s="11">
        <v>2</v>
      </c>
      <c r="R3068" s="11"/>
      <c r="S3068" s="11"/>
      <c r="T3068" s="11"/>
      <c r="U3068" s="11">
        <f t="shared" si="1003"/>
        <v>2</v>
      </c>
      <c r="W3068">
        <v>2.2000000000000002</v>
      </c>
      <c r="X3068" s="1" t="s">
        <v>32</v>
      </c>
    </row>
    <row r="3069" spans="1:24" x14ac:dyDescent="0.25">
      <c r="A3069" s="1" t="str">
        <f t="shared" si="1004"/>
        <v>卡卡杜-凤凰仓</v>
      </c>
      <c r="B3069" s="1" t="str">
        <f>"CK2024102403"</f>
        <v>CK2024102403</v>
      </c>
      <c r="C3069" s="1" t="str">
        <f>"DD2024102423204"</f>
        <v>DD2024102423204</v>
      </c>
      <c r="D3069" s="1" t="str">
        <f>"CK2024102417224"</f>
        <v>CK2024102417224</v>
      </c>
      <c r="E3069" s="1" t="str">
        <f>"3723514202138215936"</f>
        <v>3723514202138215936</v>
      </c>
      <c r="F3069" s="1" t="str">
        <f t="shared" si="1005"/>
        <v>花都四部-凤凰仓</v>
      </c>
      <c r="G3069" s="1" t="str">
        <f t="shared" si="1000"/>
        <v>卡卡杜企业店（视频号）</v>
      </c>
      <c r="H3069" s="1" t="str">
        <f t="shared" si="1006"/>
        <v>正常订单</v>
      </c>
      <c r="I3069" s="1" t="str">
        <f t="shared" si="1007"/>
        <v>已发货</v>
      </c>
      <c r="J3069" s="1" t="str">
        <f t="shared" si="1018"/>
        <v>3</v>
      </c>
      <c r="K3069" s="1">
        <v>3</v>
      </c>
      <c r="L3069" s="1" t="s">
        <v>18</v>
      </c>
      <c r="M3069" s="1" t="str">
        <f>"广东省 茂名市 电白区 "</f>
        <v xml:space="preserve">广东省 茂名市 电白区 </v>
      </c>
      <c r="N3069" s="1" t="str">
        <f t="shared" si="1002"/>
        <v>凡华云仓-城南圆通-微信视频号</v>
      </c>
      <c r="O3069" s="5" t="s">
        <v>3103</v>
      </c>
      <c r="P3069" s="6">
        <v>0.34</v>
      </c>
      <c r="Q3069" s="11">
        <v>2.2999999999999998</v>
      </c>
      <c r="R3069" s="11"/>
      <c r="S3069" s="11"/>
      <c r="T3069" s="11"/>
      <c r="U3069" s="11">
        <f t="shared" si="1003"/>
        <v>2.2999999999999998</v>
      </c>
      <c r="W3069">
        <v>2.5</v>
      </c>
      <c r="X3069" s="1" t="s">
        <v>18</v>
      </c>
    </row>
    <row r="3070" spans="1:24" x14ac:dyDescent="0.25">
      <c r="A3070" s="1" t="str">
        <f t="shared" si="1004"/>
        <v>卡卡杜-凤凰仓</v>
      </c>
      <c r="B3070" s="1" t="str">
        <f>"CK20241024126"</f>
        <v>CK20241024126</v>
      </c>
      <c r="C3070" s="1" t="str">
        <f>"DD2024102423325"</f>
        <v>DD2024102423325</v>
      </c>
      <c r="D3070" s="1" t="str">
        <f>"CK2024102417223"</f>
        <v>CK2024102417223</v>
      </c>
      <c r="E3070" s="1" t="str">
        <f>"3723515856496493824"</f>
        <v>3723515856496493824</v>
      </c>
      <c r="F3070" s="1" t="str">
        <f t="shared" si="1005"/>
        <v>花都四部-凤凰仓</v>
      </c>
      <c r="G3070" s="1" t="str">
        <f t="shared" si="1000"/>
        <v>卡卡杜企业店（视频号）</v>
      </c>
      <c r="H3070" s="1" t="str">
        <f t="shared" si="1006"/>
        <v>正常订单</v>
      </c>
      <c r="I3070" s="1" t="str">
        <f t="shared" si="1007"/>
        <v>已发货</v>
      </c>
      <c r="J3070" s="1" t="str">
        <f t="shared" si="1018"/>
        <v>3</v>
      </c>
      <c r="K3070" s="1">
        <v>2</v>
      </c>
      <c r="L3070" s="1" t="s">
        <v>13</v>
      </c>
      <c r="M3070" s="1" t="str">
        <f>"江苏省 徐州市 泉山区 "</f>
        <v xml:space="preserve">江苏省 徐州市 泉山区 </v>
      </c>
      <c r="N3070" s="1" t="str">
        <f t="shared" si="1002"/>
        <v>凡华云仓-城南圆通-微信视频号</v>
      </c>
      <c r="O3070" s="5" t="s">
        <v>3104</v>
      </c>
      <c r="P3070" s="6">
        <v>0.24</v>
      </c>
      <c r="Q3070" s="11">
        <v>2</v>
      </c>
      <c r="R3070" s="11"/>
      <c r="S3070" s="11"/>
      <c r="T3070" s="11"/>
      <c r="U3070" s="11">
        <f t="shared" si="1003"/>
        <v>2</v>
      </c>
      <c r="W3070">
        <v>2.2000000000000002</v>
      </c>
      <c r="X3070" s="1" t="s">
        <v>13</v>
      </c>
    </row>
    <row r="3071" spans="1:24" x14ac:dyDescent="0.25">
      <c r="A3071" s="1" t="str">
        <f t="shared" si="1004"/>
        <v>卡卡杜-凤凰仓</v>
      </c>
      <c r="B3071" s="1" t="str">
        <f>"CK20241024149"</f>
        <v>CK20241024149</v>
      </c>
      <c r="C3071" s="1" t="str">
        <f>"DD2024102423363"</f>
        <v>DD2024102423363</v>
      </c>
      <c r="D3071" s="1" t="str">
        <f>"CK2024102417222"</f>
        <v>CK2024102417222</v>
      </c>
      <c r="E3071" s="1" t="str">
        <f>"3723514262749058048"</f>
        <v>3723514262749058048</v>
      </c>
      <c r="F3071" s="1" t="str">
        <f t="shared" si="1005"/>
        <v>花都四部-凤凰仓</v>
      </c>
      <c r="G3071" s="1" t="str">
        <f t="shared" si="1000"/>
        <v>卡卡杜企业店（视频号）</v>
      </c>
      <c r="H3071" s="1" t="str">
        <f t="shared" si="1006"/>
        <v>正常订单</v>
      </c>
      <c r="I3071" s="1" t="str">
        <f t="shared" si="1007"/>
        <v>已发货</v>
      </c>
      <c r="J3071" s="1" t="str">
        <f t="shared" si="1018"/>
        <v>3</v>
      </c>
      <c r="K3071" s="1">
        <v>3</v>
      </c>
      <c r="L3071" s="1" t="s">
        <v>105</v>
      </c>
      <c r="M3071" s="1" t="str">
        <f>"北京 北京市 西城区 "</f>
        <v xml:space="preserve">北京 北京市 西城区 </v>
      </c>
      <c r="N3071" s="1" t="str">
        <f t="shared" si="1002"/>
        <v>凡华云仓-城南圆通-微信视频号</v>
      </c>
      <c r="O3071" s="5" t="s">
        <v>3105</v>
      </c>
      <c r="P3071" s="6">
        <v>0.34</v>
      </c>
      <c r="Q3071" s="11">
        <v>2.2999999999999998</v>
      </c>
      <c r="R3071" s="11"/>
      <c r="S3071" s="11"/>
      <c r="T3071" s="11"/>
      <c r="U3071" s="11">
        <f t="shared" si="1003"/>
        <v>2.2999999999999998</v>
      </c>
      <c r="W3071">
        <v>2.5</v>
      </c>
      <c r="X3071" s="1" t="s">
        <v>105</v>
      </c>
    </row>
    <row r="3072" spans="1:24" x14ac:dyDescent="0.25">
      <c r="A3072" s="1" t="str">
        <f t="shared" si="1004"/>
        <v>卡卡杜-凤凰仓</v>
      </c>
      <c r="B3072" s="1" t="str">
        <f>"CK20241024132"</f>
        <v>CK20241024132</v>
      </c>
      <c r="C3072" s="1" t="str">
        <f>"DD2024102423330"</f>
        <v>DD2024102423330</v>
      </c>
      <c r="D3072" s="1" t="str">
        <f>"CK2024102417221"</f>
        <v>CK2024102417221</v>
      </c>
      <c r="E3072" s="1" t="str">
        <f>"3723515847223674369"</f>
        <v>3723515847223674369</v>
      </c>
      <c r="F3072" s="1" t="str">
        <f t="shared" si="1005"/>
        <v>花都四部-凤凰仓</v>
      </c>
      <c r="G3072" s="1" t="str">
        <f t="shared" si="1000"/>
        <v>卡卡杜企业店（视频号）</v>
      </c>
      <c r="H3072" s="1" t="str">
        <f t="shared" si="1006"/>
        <v>正常订单</v>
      </c>
      <c r="I3072" s="1" t="str">
        <f t="shared" si="1007"/>
        <v>已发货</v>
      </c>
      <c r="J3072" s="1" t="str">
        <f t="shared" si="1018"/>
        <v>3</v>
      </c>
      <c r="K3072" s="1">
        <v>2</v>
      </c>
      <c r="L3072" s="1" t="s">
        <v>60</v>
      </c>
      <c r="M3072" s="1" t="str">
        <f>"云南省 昆明市 盘龙区 "</f>
        <v xml:space="preserve">云南省 昆明市 盘龙区 </v>
      </c>
      <c r="N3072" s="1" t="str">
        <f t="shared" si="1002"/>
        <v>凡华云仓-城南圆通-微信视频号</v>
      </c>
      <c r="O3072" s="5" t="s">
        <v>3106</v>
      </c>
      <c r="P3072" s="6">
        <v>0.24</v>
      </c>
      <c r="Q3072" s="11">
        <v>2</v>
      </c>
      <c r="R3072" s="11"/>
      <c r="S3072" s="11"/>
      <c r="T3072" s="11"/>
      <c r="U3072" s="11">
        <f t="shared" si="1003"/>
        <v>2</v>
      </c>
      <c r="W3072">
        <v>2.2000000000000002</v>
      </c>
      <c r="X3072" s="1" t="s">
        <v>60</v>
      </c>
    </row>
    <row r="3073" spans="1:24" x14ac:dyDescent="0.25">
      <c r="A3073" s="1" t="str">
        <f t="shared" si="1004"/>
        <v>卡卡杜-凤凰仓</v>
      </c>
      <c r="B3073" s="1" t="str">
        <f>"CK2024102407"</f>
        <v>CK2024102407</v>
      </c>
      <c r="C3073" s="1" t="str">
        <f>"DD2024102423207"</f>
        <v>DD2024102423207</v>
      </c>
      <c r="D3073" s="1" t="str">
        <f>"CK2024102417220"</f>
        <v>CK2024102417220</v>
      </c>
      <c r="E3073" s="1" t="str">
        <f>"3723514204079916288"</f>
        <v>3723514204079916288</v>
      </c>
      <c r="F3073" s="1" t="str">
        <f t="shared" si="1005"/>
        <v>花都四部-凤凰仓</v>
      </c>
      <c r="G3073" s="1" t="str">
        <f t="shared" ref="G3073:G3078" si="1019">"卡卡杜企业店（视频号）"</f>
        <v>卡卡杜企业店（视频号）</v>
      </c>
      <c r="H3073" s="1" t="str">
        <f t="shared" si="1006"/>
        <v>正常订单</v>
      </c>
      <c r="I3073" s="1" t="str">
        <f t="shared" si="1007"/>
        <v>已发货</v>
      </c>
      <c r="J3073" s="1" t="str">
        <f t="shared" si="1018"/>
        <v>3</v>
      </c>
      <c r="K3073" s="1">
        <v>3</v>
      </c>
      <c r="L3073" s="1" t="s">
        <v>24</v>
      </c>
      <c r="M3073" s="1" t="str">
        <f>"福建省 福州市 鼓楼区 "</f>
        <v xml:space="preserve">福建省 福州市 鼓楼区 </v>
      </c>
      <c r="N3073" s="1" t="str">
        <f t="shared" ref="N3073:N3078" si="1020">"凡华云仓-城南圆通-微信视频号"</f>
        <v>凡华云仓-城南圆通-微信视频号</v>
      </c>
      <c r="O3073" s="5" t="s">
        <v>3107</v>
      </c>
      <c r="P3073" s="6">
        <v>0.34</v>
      </c>
      <c r="Q3073" s="11">
        <v>2.2999999999999998</v>
      </c>
      <c r="R3073" s="11"/>
      <c r="S3073" s="11"/>
      <c r="T3073" s="11"/>
      <c r="U3073" s="11">
        <f t="shared" si="1003"/>
        <v>2.2999999999999998</v>
      </c>
      <c r="W3073">
        <v>2.5</v>
      </c>
      <c r="X3073" s="1" t="s">
        <v>24</v>
      </c>
    </row>
    <row r="3074" spans="1:24" x14ac:dyDescent="0.25">
      <c r="A3074" s="1" t="str">
        <f t="shared" si="1004"/>
        <v>卡卡杜-凤凰仓</v>
      </c>
      <c r="B3074" s="1" t="str">
        <f>"CK2024102404"</f>
        <v>CK2024102404</v>
      </c>
      <c r="C3074" s="1" t="str">
        <f>"DD2024102423202"</f>
        <v>DD2024102423202</v>
      </c>
      <c r="D3074" s="1" t="str">
        <f>"CK2024102417219"</f>
        <v>CK2024102417219</v>
      </c>
      <c r="E3074" s="1" t="str">
        <f>"3723514317221793793"</f>
        <v>3723514317221793793</v>
      </c>
      <c r="F3074" s="1" t="str">
        <f t="shared" si="1005"/>
        <v>花都四部-凤凰仓</v>
      </c>
      <c r="G3074" s="1" t="str">
        <f t="shared" si="1019"/>
        <v>卡卡杜企业店（视频号）</v>
      </c>
      <c r="H3074" s="1" t="str">
        <f t="shared" si="1006"/>
        <v>正常订单</v>
      </c>
      <c r="I3074" s="1" t="str">
        <f t="shared" si="1007"/>
        <v>已发货</v>
      </c>
      <c r="J3074" s="1" t="str">
        <f t="shared" si="1018"/>
        <v>3</v>
      </c>
      <c r="K3074" s="1">
        <v>3</v>
      </c>
      <c r="L3074" s="1" t="s">
        <v>22</v>
      </c>
      <c r="M3074" s="1" t="str">
        <f>"江西省 南昌市 青山湖区 "</f>
        <v xml:space="preserve">江西省 南昌市 青山湖区 </v>
      </c>
      <c r="N3074" s="1" t="str">
        <f t="shared" si="1020"/>
        <v>凡华云仓-城南圆通-微信视频号</v>
      </c>
      <c r="O3074" s="5" t="s">
        <v>3108</v>
      </c>
      <c r="P3074" s="6">
        <v>0.34</v>
      </c>
      <c r="Q3074" s="11">
        <v>2.2999999999999998</v>
      </c>
      <c r="R3074" s="11"/>
      <c r="S3074" s="11"/>
      <c r="T3074" s="11"/>
      <c r="U3074" s="11">
        <f t="shared" si="1003"/>
        <v>2.2999999999999998</v>
      </c>
      <c r="W3074">
        <v>2.5</v>
      </c>
      <c r="X3074" s="1" t="s">
        <v>22</v>
      </c>
    </row>
    <row r="3075" spans="1:24" x14ac:dyDescent="0.25">
      <c r="A3075" s="1" t="str">
        <f t="shared" si="1004"/>
        <v>卡卡杜-凤凰仓</v>
      </c>
      <c r="B3075" s="1" t="str">
        <f>"CK20241024213"</f>
        <v>CK20241024213</v>
      </c>
      <c r="C3075" s="1" t="str">
        <f>"DD2024102423957"</f>
        <v>DD2024102423957</v>
      </c>
      <c r="D3075" s="1" t="str">
        <f>"CK2024102417218"</f>
        <v>CK2024102417218</v>
      </c>
      <c r="E3075" s="1" t="str">
        <f>"3723514315545381888"</f>
        <v>3723514315545381888</v>
      </c>
      <c r="F3075" s="1" t="str">
        <f t="shared" si="1005"/>
        <v>花都四部-凤凰仓</v>
      </c>
      <c r="G3075" s="1" t="str">
        <f t="shared" si="1019"/>
        <v>卡卡杜企业店（视频号）</v>
      </c>
      <c r="H3075" s="1" t="str">
        <f t="shared" si="1006"/>
        <v>正常订单</v>
      </c>
      <c r="I3075" s="1" t="str">
        <f t="shared" si="1007"/>
        <v>已发货</v>
      </c>
      <c r="J3075" s="1" t="str">
        <f>"5"</f>
        <v>5</v>
      </c>
      <c r="K3075" s="1">
        <v>3</v>
      </c>
      <c r="L3075" s="1" t="s">
        <v>32</v>
      </c>
      <c r="M3075" s="1" t="str">
        <f>"陕西省 西安市 雁塔区 "</f>
        <v xml:space="preserve">陕西省 西安市 雁塔区 </v>
      </c>
      <c r="N3075" s="1" t="str">
        <f t="shared" si="1020"/>
        <v>凡华云仓-城南圆通-微信视频号</v>
      </c>
      <c r="O3075" s="5" t="s">
        <v>3109</v>
      </c>
      <c r="P3075" s="6">
        <v>0.55000000000000004</v>
      </c>
      <c r="Q3075" s="11">
        <f>CEILING(P3075-0.5,0.1)*10*0.15+2.3</f>
        <v>2.4499999999999997</v>
      </c>
      <c r="R3075" s="11"/>
      <c r="S3075" s="11"/>
      <c r="T3075" s="11"/>
      <c r="U3075" s="11">
        <f t="shared" ref="U3075:U3138" si="1021">T3075+S3075+R3075+Q3075</f>
        <v>2.4499999999999997</v>
      </c>
      <c r="V3075" t="s">
        <v>15</v>
      </c>
      <c r="W3075">
        <v>2.4500000000000002</v>
      </c>
      <c r="X3075" s="1" t="s">
        <v>32</v>
      </c>
    </row>
    <row r="3076" spans="1:24" x14ac:dyDescent="0.25">
      <c r="A3076" s="1" t="str">
        <f t="shared" si="1004"/>
        <v>卡卡杜-凤凰仓</v>
      </c>
      <c r="B3076" s="1" t="str">
        <f>"CK20241024185"</f>
        <v>CK20241024185</v>
      </c>
      <c r="C3076" s="1" t="str">
        <f>"DD2024102423816"</f>
        <v>DD2024102423816</v>
      </c>
      <c r="D3076" s="1" t="str">
        <f>"CK2024102417217"</f>
        <v>CK2024102417217</v>
      </c>
      <c r="E3076" s="1" t="str">
        <f>"3723515821255429120"</f>
        <v>3723515821255429120</v>
      </c>
      <c r="F3076" s="1" t="str">
        <f t="shared" si="1005"/>
        <v>花都四部-凤凰仓</v>
      </c>
      <c r="G3076" s="1" t="str">
        <f t="shared" si="1019"/>
        <v>卡卡杜企业店（视频号）</v>
      </c>
      <c r="H3076" s="1" t="str">
        <f t="shared" si="1006"/>
        <v>正常订单</v>
      </c>
      <c r="I3076" s="1" t="str">
        <f t="shared" si="1007"/>
        <v>已发货</v>
      </c>
      <c r="J3076" s="1" t="str">
        <f>"2"</f>
        <v>2</v>
      </c>
      <c r="K3076" s="1">
        <v>2</v>
      </c>
      <c r="L3076" s="1" t="s">
        <v>27</v>
      </c>
      <c r="M3076" s="1" t="str">
        <f>"贵州省 贵阳市 观山湖区 "</f>
        <v xml:space="preserve">贵州省 贵阳市 观山湖区 </v>
      </c>
      <c r="N3076" s="1" t="str">
        <f t="shared" si="1020"/>
        <v>凡华云仓-城南圆通-微信视频号</v>
      </c>
      <c r="O3076" s="5" t="s">
        <v>3110</v>
      </c>
      <c r="P3076" s="6">
        <v>0.17</v>
      </c>
      <c r="Q3076" s="11">
        <v>2</v>
      </c>
      <c r="R3076" s="11"/>
      <c r="S3076" s="11"/>
      <c r="T3076" s="11"/>
      <c r="U3076" s="11">
        <f t="shared" si="1021"/>
        <v>2</v>
      </c>
      <c r="W3076">
        <v>2.2000000000000002</v>
      </c>
      <c r="X3076" s="1" t="s">
        <v>27</v>
      </c>
    </row>
    <row r="3077" spans="1:24" x14ac:dyDescent="0.25">
      <c r="A3077" s="1" t="str">
        <f t="shared" ref="A3077:A3140" si="1022">"卡卡杜-凤凰仓"</f>
        <v>卡卡杜-凤凰仓</v>
      </c>
      <c r="B3077" s="1" t="str">
        <f>"CK20241024129"</f>
        <v>CK20241024129</v>
      </c>
      <c r="C3077" s="1" t="str">
        <f>"DD2024102423326"</f>
        <v>DD2024102423326</v>
      </c>
      <c r="D3077" s="1" t="str">
        <f>"CK2024102417216"</f>
        <v>CK2024102417216</v>
      </c>
      <c r="E3077" s="1" t="str">
        <f>"3723515833418384641"</f>
        <v>3723515833418384641</v>
      </c>
      <c r="F3077" s="1" t="str">
        <f t="shared" ref="F3077:F3140" si="1023">"花都四部-凤凰仓"</f>
        <v>花都四部-凤凰仓</v>
      </c>
      <c r="G3077" s="1" t="str">
        <f t="shared" si="1019"/>
        <v>卡卡杜企业店（视频号）</v>
      </c>
      <c r="H3077" s="1" t="str">
        <f t="shared" ref="H3077:H3140" si="1024">"正常订单"</f>
        <v>正常订单</v>
      </c>
      <c r="I3077" s="1" t="str">
        <f t="shared" ref="I3077:I3140" si="1025">"已发货"</f>
        <v>已发货</v>
      </c>
      <c r="J3077" s="1" t="str">
        <f t="shared" ref="J3077:J3079" si="1026">"3"</f>
        <v>3</v>
      </c>
      <c r="K3077" s="1">
        <v>2</v>
      </c>
      <c r="L3077" s="1" t="s">
        <v>18</v>
      </c>
      <c r="M3077" s="1" t="str">
        <f>"广东省 广州市 天河区 "</f>
        <v xml:space="preserve">广东省 广州市 天河区 </v>
      </c>
      <c r="N3077" s="1" t="str">
        <f t="shared" si="1020"/>
        <v>凡华云仓-城南圆通-微信视频号</v>
      </c>
      <c r="O3077" s="5" t="s">
        <v>3111</v>
      </c>
      <c r="P3077" s="6">
        <v>0.24</v>
      </c>
      <c r="Q3077" s="11">
        <v>2</v>
      </c>
      <c r="R3077" s="11"/>
      <c r="S3077" s="11"/>
      <c r="T3077" s="11"/>
      <c r="U3077" s="11">
        <f t="shared" si="1021"/>
        <v>2</v>
      </c>
      <c r="W3077">
        <v>2.2000000000000002</v>
      </c>
      <c r="X3077" s="1" t="s">
        <v>18</v>
      </c>
    </row>
    <row r="3078" spans="1:24" x14ac:dyDescent="0.25">
      <c r="A3078" s="1" t="str">
        <f t="shared" si="1022"/>
        <v>卡卡杜-凤凰仓</v>
      </c>
      <c r="B3078" s="1" t="str">
        <f>"CK2024102405"</f>
        <v>CK2024102405</v>
      </c>
      <c r="C3078" s="1" t="str">
        <f>"DD2024102423200"</f>
        <v>DD2024102423200</v>
      </c>
      <c r="D3078" s="1" t="str">
        <f>"CK2024102417215"</f>
        <v>CK2024102417215</v>
      </c>
      <c r="E3078" s="1" t="str">
        <f>"3723524698038207744"</f>
        <v>3723524698038207744</v>
      </c>
      <c r="F3078" s="1" t="str">
        <f t="shared" si="1023"/>
        <v>花都四部-凤凰仓</v>
      </c>
      <c r="G3078" s="1" t="str">
        <f t="shared" si="1019"/>
        <v>卡卡杜企业店（视频号）</v>
      </c>
      <c r="H3078" s="1" t="str">
        <f t="shared" si="1024"/>
        <v>正常订单</v>
      </c>
      <c r="I3078" s="1" t="str">
        <f t="shared" si="1025"/>
        <v>已发货</v>
      </c>
      <c r="J3078" s="1" t="str">
        <f t="shared" si="1026"/>
        <v>3</v>
      </c>
      <c r="K3078" s="1">
        <v>3</v>
      </c>
      <c r="L3078" s="1" t="s">
        <v>96</v>
      </c>
      <c r="M3078" s="1" t="str">
        <f>"广西壮族自治区 柳州市 鱼峰区 "</f>
        <v xml:space="preserve">广西壮族自治区 柳州市 鱼峰区 </v>
      </c>
      <c r="N3078" s="1" t="str">
        <f t="shared" si="1020"/>
        <v>凡华云仓-城南圆通-微信视频号</v>
      </c>
      <c r="O3078" s="5" t="s">
        <v>3112</v>
      </c>
      <c r="P3078" s="6">
        <v>0.34</v>
      </c>
      <c r="Q3078" s="11">
        <v>2.2999999999999998</v>
      </c>
      <c r="R3078" s="11"/>
      <c r="S3078" s="11"/>
      <c r="T3078" s="11"/>
      <c r="U3078" s="11">
        <f t="shared" si="1021"/>
        <v>2.2999999999999998</v>
      </c>
      <c r="W3078">
        <v>2.5</v>
      </c>
      <c r="X3078" s="1" t="s">
        <v>96</v>
      </c>
    </row>
    <row r="3079" spans="1:24" x14ac:dyDescent="0.25">
      <c r="A3079" s="1" t="str">
        <f t="shared" si="1022"/>
        <v>卡卡杜-凤凰仓</v>
      </c>
      <c r="B3079" s="1" t="str">
        <f>"CK2024102486"</f>
        <v>CK2024102486</v>
      </c>
      <c r="C3079" s="1" t="str">
        <f>"DD2024102423284"</f>
        <v>DD2024102423284</v>
      </c>
      <c r="D3079" s="1" t="str">
        <f>"CK2024102417191"</f>
        <v>CK2024102417191</v>
      </c>
      <c r="E3079" s="1" t="str">
        <f>"2429801681931210"</f>
        <v>2429801681931210</v>
      </c>
      <c r="F3079" s="1" t="str">
        <f t="shared" si="1023"/>
        <v>花都四部-凤凰仓</v>
      </c>
      <c r="G3079" s="1" t="str">
        <f t="shared" ref="G3079:G3142" si="1027">"卡卡杜佳旺专卖店（快手店）"</f>
        <v>卡卡杜佳旺专卖店（快手店）</v>
      </c>
      <c r="H3079" s="1" t="str">
        <f t="shared" si="1024"/>
        <v>正常订单</v>
      </c>
      <c r="I3079" s="1" t="str">
        <f t="shared" si="1025"/>
        <v>已发货</v>
      </c>
      <c r="J3079" s="1" t="str">
        <f t="shared" si="1026"/>
        <v>3</v>
      </c>
      <c r="K3079" s="1">
        <v>2</v>
      </c>
      <c r="L3079" s="1" t="s">
        <v>92</v>
      </c>
      <c r="M3079" s="1" t="str">
        <f>"辽宁省 丹东市 振安区 九连城镇"</f>
        <v>辽宁省 丹东市 振安区 九连城镇</v>
      </c>
      <c r="N3079" s="1" t="str">
        <f t="shared" ref="N3079:N3142" si="1028">"凡华云仓-城南圆通-快手"</f>
        <v>凡华云仓-城南圆通-快手</v>
      </c>
      <c r="O3079" s="5" t="s">
        <v>3113</v>
      </c>
      <c r="P3079" s="6">
        <v>0.35</v>
      </c>
      <c r="Q3079" s="11">
        <v>2.2999999999999998</v>
      </c>
      <c r="R3079" s="11"/>
      <c r="S3079" s="11"/>
      <c r="T3079" s="11"/>
      <c r="U3079" s="11">
        <f t="shared" si="1021"/>
        <v>2.2999999999999998</v>
      </c>
      <c r="W3079">
        <v>2.5</v>
      </c>
      <c r="X3079" s="1" t="s">
        <v>92</v>
      </c>
    </row>
    <row r="3080" spans="1:24" x14ac:dyDescent="0.25">
      <c r="A3080" s="1" t="str">
        <f t="shared" si="1022"/>
        <v>卡卡杜-凤凰仓</v>
      </c>
      <c r="B3080" s="1" t="str">
        <f>"CK20241024156"</f>
        <v>CK20241024156</v>
      </c>
      <c r="C3080" s="1" t="str">
        <f>"DD2024102423370"</f>
        <v>DD2024102423370</v>
      </c>
      <c r="D3080" s="1" t="str">
        <f>"CK2024102417190"</f>
        <v>CK2024102417190</v>
      </c>
      <c r="E3080" s="1" t="str">
        <f>"2429702025360019"</f>
        <v>2429702025360019</v>
      </c>
      <c r="F3080" s="1" t="str">
        <f t="shared" si="1023"/>
        <v>花都四部-凤凰仓</v>
      </c>
      <c r="G3080" s="1" t="str">
        <f t="shared" si="1027"/>
        <v>卡卡杜佳旺专卖店（快手店）</v>
      </c>
      <c r="H3080" s="1" t="str">
        <f t="shared" si="1024"/>
        <v>正常订单</v>
      </c>
      <c r="I3080" s="1" t="str">
        <f t="shared" si="1025"/>
        <v>已发货</v>
      </c>
      <c r="J3080" s="1" t="str">
        <f t="shared" ref="J3080:J3084" si="1029">"5"</f>
        <v>5</v>
      </c>
      <c r="K3080" s="1">
        <v>3</v>
      </c>
      <c r="L3080" s="1" t="s">
        <v>187</v>
      </c>
      <c r="M3080" s="1" t="str">
        <f>"吉林省 长春市 公主岭市 双龙镇"</f>
        <v>吉林省 长春市 公主岭市 双龙镇</v>
      </c>
      <c r="N3080" s="1" t="str">
        <f t="shared" si="1028"/>
        <v>凡华云仓-城南圆通-快手</v>
      </c>
      <c r="O3080" s="5" t="s">
        <v>3114</v>
      </c>
      <c r="P3080" s="6">
        <v>0.47</v>
      </c>
      <c r="Q3080" s="11">
        <v>2.2999999999999998</v>
      </c>
      <c r="R3080" s="11"/>
      <c r="S3080" s="11"/>
      <c r="T3080" s="11"/>
      <c r="U3080" s="11">
        <f t="shared" si="1021"/>
        <v>2.2999999999999998</v>
      </c>
      <c r="W3080">
        <v>2.5</v>
      </c>
      <c r="X3080" s="1" t="s">
        <v>187</v>
      </c>
    </row>
    <row r="3081" spans="1:24" x14ac:dyDescent="0.25">
      <c r="A3081" s="1" t="str">
        <f t="shared" si="1022"/>
        <v>卡卡杜-凤凰仓</v>
      </c>
      <c r="B3081" s="1" t="str">
        <f>"CK20241024105"</f>
        <v>CK20241024105</v>
      </c>
      <c r="C3081" s="1" t="str">
        <f>"DD2024102423301"</f>
        <v>DD2024102423301</v>
      </c>
      <c r="D3081" s="1" t="str">
        <f>"CK2024102417189"</f>
        <v>CK2024102417189</v>
      </c>
      <c r="E3081" s="1" t="str">
        <f>"2429702103273896"</f>
        <v>2429702103273896</v>
      </c>
      <c r="F3081" s="1" t="str">
        <f t="shared" si="1023"/>
        <v>花都四部-凤凰仓</v>
      </c>
      <c r="G3081" s="1" t="str">
        <f t="shared" si="1027"/>
        <v>卡卡杜佳旺专卖店（快手店）</v>
      </c>
      <c r="H3081" s="1" t="str">
        <f t="shared" si="1024"/>
        <v>正常订单</v>
      </c>
      <c r="I3081" s="1" t="str">
        <f t="shared" si="1025"/>
        <v>已发货</v>
      </c>
      <c r="J3081" s="1" t="str">
        <f t="shared" ref="J3081:J3089" si="1030">"3"</f>
        <v>3</v>
      </c>
      <c r="K3081" s="1">
        <v>2</v>
      </c>
      <c r="L3081" s="1" t="s">
        <v>13</v>
      </c>
      <c r="M3081" s="1" t="str">
        <f>"江苏省 苏州市 吴江区 江陵街道"</f>
        <v>江苏省 苏州市 吴江区 江陵街道</v>
      </c>
      <c r="N3081" s="1" t="str">
        <f t="shared" si="1028"/>
        <v>凡华云仓-城南圆通-快手</v>
      </c>
      <c r="O3081" s="5" t="s">
        <v>3115</v>
      </c>
      <c r="P3081" s="6">
        <v>0.35</v>
      </c>
      <c r="Q3081" s="11">
        <v>2.2999999999999998</v>
      </c>
      <c r="R3081" s="11"/>
      <c r="S3081" s="11"/>
      <c r="T3081" s="11"/>
      <c r="U3081" s="11">
        <f t="shared" si="1021"/>
        <v>2.2999999999999998</v>
      </c>
      <c r="W3081">
        <v>2.5</v>
      </c>
      <c r="X3081" s="1" t="s">
        <v>13</v>
      </c>
    </row>
    <row r="3082" spans="1:24" x14ac:dyDescent="0.25">
      <c r="A3082" s="1" t="str">
        <f t="shared" si="1022"/>
        <v>卡卡杜-凤凰仓</v>
      </c>
      <c r="B3082" s="1" t="str">
        <f>"CK20241024170"</f>
        <v>CK20241024170</v>
      </c>
      <c r="C3082" s="1" t="str">
        <f>"DD2024102423396"</f>
        <v>DD2024102423396</v>
      </c>
      <c r="D3082" s="1" t="str">
        <f>"CK2024102417188"</f>
        <v>CK2024102417188</v>
      </c>
      <c r="E3082" s="1" t="str">
        <f>"2429802240571593"</f>
        <v>2429802240571593</v>
      </c>
      <c r="F3082" s="1" t="str">
        <f t="shared" si="1023"/>
        <v>花都四部-凤凰仓</v>
      </c>
      <c r="G3082" s="1" t="str">
        <f t="shared" si="1027"/>
        <v>卡卡杜佳旺专卖店（快手店）</v>
      </c>
      <c r="H3082" s="1" t="str">
        <f t="shared" si="1024"/>
        <v>正常订单</v>
      </c>
      <c r="I3082" s="1" t="str">
        <f t="shared" si="1025"/>
        <v>已发货</v>
      </c>
      <c r="J3082" s="1" t="str">
        <f t="shared" si="1029"/>
        <v>5</v>
      </c>
      <c r="K3082" s="1">
        <v>2</v>
      </c>
      <c r="L3082" s="1" t="s">
        <v>161</v>
      </c>
      <c r="M3082" s="1" t="str">
        <f>"四川省 成都市 大邑县 晋原街道"</f>
        <v>四川省 成都市 大邑县 晋原街道</v>
      </c>
      <c r="N3082" s="1" t="str">
        <f t="shared" si="1028"/>
        <v>凡华云仓-城南圆通-快手</v>
      </c>
      <c r="O3082" s="5" t="s">
        <v>3116</v>
      </c>
      <c r="P3082" s="6">
        <v>0.59</v>
      </c>
      <c r="Q3082" s="11">
        <f>CEILING(P3082-0.5,0.1)*10*0.15+2.3</f>
        <v>2.4499999999999997</v>
      </c>
      <c r="R3082" s="11"/>
      <c r="S3082" s="11"/>
      <c r="T3082" s="11"/>
      <c r="U3082" s="11">
        <f t="shared" si="1021"/>
        <v>2.4499999999999997</v>
      </c>
      <c r="V3082" t="s">
        <v>15</v>
      </c>
      <c r="W3082">
        <v>2.4500000000000002</v>
      </c>
      <c r="X3082" s="1" t="s">
        <v>161</v>
      </c>
    </row>
    <row r="3083" spans="1:24" x14ac:dyDescent="0.25">
      <c r="A3083" s="1" t="str">
        <f t="shared" si="1022"/>
        <v>卡卡杜-凤凰仓</v>
      </c>
      <c r="B3083" s="1" t="str">
        <f>"CK2024102422"</f>
        <v>CK2024102422</v>
      </c>
      <c r="C3083" s="1" t="str">
        <f>"DD2024102423219"</f>
        <v>DD2024102423219</v>
      </c>
      <c r="D3083" s="1" t="str">
        <f>"CK2024102417187"</f>
        <v>CK2024102417187</v>
      </c>
      <c r="E3083" s="1" t="str">
        <f>"2429802002737990"</f>
        <v>2429802002737990</v>
      </c>
      <c r="F3083" s="1" t="str">
        <f t="shared" si="1023"/>
        <v>花都四部-凤凰仓</v>
      </c>
      <c r="G3083" s="1" t="str">
        <f t="shared" si="1027"/>
        <v>卡卡杜佳旺专卖店（快手店）</v>
      </c>
      <c r="H3083" s="1" t="str">
        <f t="shared" si="1024"/>
        <v>正常订单</v>
      </c>
      <c r="I3083" s="1" t="str">
        <f t="shared" si="1025"/>
        <v>已发货</v>
      </c>
      <c r="J3083" s="1" t="str">
        <f t="shared" si="1030"/>
        <v>3</v>
      </c>
      <c r="K3083" s="1">
        <v>2</v>
      </c>
      <c r="L3083" s="1" t="s">
        <v>92</v>
      </c>
      <c r="M3083" s="1" t="str">
        <f>"辽宁省 沈阳市 沈北新区 清水台街道"</f>
        <v>辽宁省 沈阳市 沈北新区 清水台街道</v>
      </c>
      <c r="N3083" s="1" t="str">
        <f t="shared" si="1028"/>
        <v>凡华云仓-城南圆通-快手</v>
      </c>
      <c r="O3083" s="5" t="s">
        <v>3117</v>
      </c>
      <c r="P3083" s="6">
        <v>0.35</v>
      </c>
      <c r="Q3083" s="11">
        <v>2.2999999999999998</v>
      </c>
      <c r="R3083" s="11"/>
      <c r="S3083" s="11"/>
      <c r="T3083" s="11"/>
      <c r="U3083" s="11">
        <f t="shared" si="1021"/>
        <v>2.2999999999999998</v>
      </c>
      <c r="W3083">
        <v>2.5</v>
      </c>
      <c r="X3083" s="1" t="s">
        <v>92</v>
      </c>
    </row>
    <row r="3084" spans="1:24" x14ac:dyDescent="0.25">
      <c r="A3084" s="1" t="str">
        <f t="shared" si="1022"/>
        <v>卡卡杜-凤凰仓</v>
      </c>
      <c r="B3084" s="1" t="str">
        <f>"CK20241024169"</f>
        <v>CK20241024169</v>
      </c>
      <c r="C3084" s="1" t="str">
        <f>"DD2024102423392"</f>
        <v>DD2024102423392</v>
      </c>
      <c r="D3084" s="1" t="str">
        <f>"CK2024102417186"</f>
        <v>CK2024102417186</v>
      </c>
      <c r="E3084" s="1" t="str">
        <f>"2429702508328068"</f>
        <v>2429702508328068</v>
      </c>
      <c r="F3084" s="1" t="str">
        <f t="shared" si="1023"/>
        <v>花都四部-凤凰仓</v>
      </c>
      <c r="G3084" s="1" t="str">
        <f t="shared" si="1027"/>
        <v>卡卡杜佳旺专卖店（快手店）</v>
      </c>
      <c r="H3084" s="1" t="str">
        <f t="shared" si="1024"/>
        <v>正常订单</v>
      </c>
      <c r="I3084" s="1" t="str">
        <f t="shared" si="1025"/>
        <v>已发货</v>
      </c>
      <c r="J3084" s="1" t="str">
        <f t="shared" si="1029"/>
        <v>5</v>
      </c>
      <c r="K3084" s="1">
        <v>2</v>
      </c>
      <c r="L3084" s="1" t="s">
        <v>18</v>
      </c>
      <c r="M3084" s="1" t="str">
        <f>"广东省 深圳市 龙华区 龙华街道"</f>
        <v>广东省 深圳市 龙华区 龙华街道</v>
      </c>
      <c r="N3084" s="1" t="str">
        <f t="shared" si="1028"/>
        <v>凡华云仓-城南圆通-快手</v>
      </c>
      <c r="O3084" s="5" t="s">
        <v>3118</v>
      </c>
      <c r="P3084" s="6">
        <v>0.59</v>
      </c>
      <c r="Q3084" s="11">
        <f>CEILING(P3084-0.5,0.1)*10*0.15+2.3</f>
        <v>2.4499999999999997</v>
      </c>
      <c r="R3084" s="11"/>
      <c r="S3084" s="11"/>
      <c r="T3084" s="11"/>
      <c r="U3084" s="11">
        <f t="shared" si="1021"/>
        <v>2.4499999999999997</v>
      </c>
      <c r="V3084" t="s">
        <v>15</v>
      </c>
      <c r="W3084">
        <v>2.4500000000000002</v>
      </c>
      <c r="X3084" s="1" t="s">
        <v>18</v>
      </c>
    </row>
    <row r="3085" spans="1:24" x14ac:dyDescent="0.25">
      <c r="A3085" s="1" t="str">
        <f t="shared" si="1022"/>
        <v>卡卡杜-凤凰仓</v>
      </c>
      <c r="B3085" s="1" t="str">
        <f>"CK2024102427"</f>
        <v>CK2024102427</v>
      </c>
      <c r="C3085" s="1" t="str">
        <f>"DD2024102423224"</f>
        <v>DD2024102423224</v>
      </c>
      <c r="D3085" s="1" t="str">
        <f>"CK2024102417185"</f>
        <v>CK2024102417185</v>
      </c>
      <c r="E3085" s="1" t="str">
        <f>"2429802322859831"</f>
        <v>2429802322859831</v>
      </c>
      <c r="F3085" s="1" t="str">
        <f t="shared" si="1023"/>
        <v>花都四部-凤凰仓</v>
      </c>
      <c r="G3085" s="1" t="str">
        <f t="shared" si="1027"/>
        <v>卡卡杜佳旺专卖店（快手店）</v>
      </c>
      <c r="H3085" s="1" t="str">
        <f t="shared" si="1024"/>
        <v>正常订单</v>
      </c>
      <c r="I3085" s="1" t="str">
        <f t="shared" si="1025"/>
        <v>已发货</v>
      </c>
      <c r="J3085" s="1" t="str">
        <f t="shared" si="1030"/>
        <v>3</v>
      </c>
      <c r="K3085" s="1">
        <v>2</v>
      </c>
      <c r="L3085" s="1" t="s">
        <v>92</v>
      </c>
      <c r="M3085" s="1" t="str">
        <f>"辽宁省 盘锦市 兴隆台区 兴隆街道"</f>
        <v>辽宁省 盘锦市 兴隆台区 兴隆街道</v>
      </c>
      <c r="N3085" s="1" t="str">
        <f t="shared" si="1028"/>
        <v>凡华云仓-城南圆通-快手</v>
      </c>
      <c r="O3085" s="5" t="s">
        <v>3119</v>
      </c>
      <c r="P3085" s="6">
        <v>0.35</v>
      </c>
      <c r="Q3085" s="11">
        <v>2.2999999999999998</v>
      </c>
      <c r="R3085" s="11"/>
      <c r="S3085" s="11"/>
      <c r="T3085" s="11"/>
      <c r="U3085" s="11">
        <f t="shared" si="1021"/>
        <v>2.2999999999999998</v>
      </c>
      <c r="W3085">
        <v>2.5</v>
      </c>
      <c r="X3085" s="1" t="s">
        <v>92</v>
      </c>
    </row>
    <row r="3086" spans="1:24" x14ac:dyDescent="0.25">
      <c r="A3086" s="1" t="str">
        <f t="shared" si="1022"/>
        <v>卡卡杜-凤凰仓</v>
      </c>
      <c r="B3086" s="1" t="str">
        <f>"CK2024102413"</f>
        <v>CK2024102413</v>
      </c>
      <c r="C3086" s="1" t="str">
        <f>"DD2024102423213"</f>
        <v>DD2024102423213</v>
      </c>
      <c r="D3086" s="1" t="str">
        <f>"CK2024102417184"</f>
        <v>CK2024102417184</v>
      </c>
      <c r="E3086" s="1" t="str">
        <f>"2429801684345298"</f>
        <v>2429801684345298</v>
      </c>
      <c r="F3086" s="1" t="str">
        <f t="shared" si="1023"/>
        <v>花都四部-凤凰仓</v>
      </c>
      <c r="G3086" s="1" t="str">
        <f t="shared" si="1027"/>
        <v>卡卡杜佳旺专卖店（快手店）</v>
      </c>
      <c r="H3086" s="1" t="str">
        <f t="shared" si="1024"/>
        <v>正常订单</v>
      </c>
      <c r="I3086" s="1" t="str">
        <f t="shared" si="1025"/>
        <v>已发货</v>
      </c>
      <c r="J3086" s="1" t="str">
        <f t="shared" si="1030"/>
        <v>3</v>
      </c>
      <c r="K3086" s="1">
        <v>2</v>
      </c>
      <c r="L3086" s="1" t="s">
        <v>13</v>
      </c>
      <c r="M3086" s="1" t="str">
        <f>"江苏省 南通市 通州区 金沙街道"</f>
        <v>江苏省 南通市 通州区 金沙街道</v>
      </c>
      <c r="N3086" s="1" t="str">
        <f t="shared" si="1028"/>
        <v>凡华云仓-城南圆通-快手</v>
      </c>
      <c r="O3086" s="5" t="s">
        <v>3120</v>
      </c>
      <c r="P3086" s="6">
        <v>0.35</v>
      </c>
      <c r="Q3086" s="11">
        <v>2.2999999999999998</v>
      </c>
      <c r="R3086" s="11"/>
      <c r="S3086" s="11"/>
      <c r="T3086" s="11"/>
      <c r="U3086" s="11">
        <f t="shared" si="1021"/>
        <v>2.2999999999999998</v>
      </c>
      <c r="W3086">
        <v>2.5</v>
      </c>
      <c r="X3086" s="1" t="s">
        <v>13</v>
      </c>
    </row>
    <row r="3087" spans="1:24" x14ac:dyDescent="0.25">
      <c r="A3087" s="1" t="str">
        <f t="shared" si="1022"/>
        <v>卡卡杜-凤凰仓</v>
      </c>
      <c r="B3087" s="1" t="str">
        <f>"CK20241024151"</f>
        <v>CK20241024151</v>
      </c>
      <c r="C3087" s="1" t="str">
        <f>"DD2024102423361"</f>
        <v>DD2024102423361</v>
      </c>
      <c r="D3087" s="1" t="str">
        <f>"CK2024102417183"</f>
        <v>CK2024102417183</v>
      </c>
      <c r="E3087" s="1" t="str">
        <f>"2429801847019207"</f>
        <v>2429801847019207</v>
      </c>
      <c r="F3087" s="1" t="str">
        <f t="shared" si="1023"/>
        <v>花都四部-凤凰仓</v>
      </c>
      <c r="G3087" s="1" t="str">
        <f t="shared" si="1027"/>
        <v>卡卡杜佳旺专卖店（快手店）</v>
      </c>
      <c r="H3087" s="1" t="str">
        <f t="shared" si="1024"/>
        <v>正常订单</v>
      </c>
      <c r="I3087" s="1" t="str">
        <f t="shared" si="1025"/>
        <v>已发货</v>
      </c>
      <c r="J3087" s="1" t="str">
        <f t="shared" si="1030"/>
        <v>3</v>
      </c>
      <c r="K3087" s="1">
        <v>2</v>
      </c>
      <c r="L3087" s="1" t="s">
        <v>22</v>
      </c>
      <c r="M3087" s="1" t="str">
        <f>"江西省 吉安市 吉水县 枫江镇"</f>
        <v>江西省 吉安市 吉水县 枫江镇</v>
      </c>
      <c r="N3087" s="1" t="str">
        <f t="shared" si="1028"/>
        <v>凡华云仓-城南圆通-快手</v>
      </c>
      <c r="O3087" s="5" t="s">
        <v>3121</v>
      </c>
      <c r="P3087" s="6">
        <v>0.35</v>
      </c>
      <c r="Q3087" s="11">
        <v>2.2999999999999998</v>
      </c>
      <c r="R3087" s="11"/>
      <c r="S3087" s="11"/>
      <c r="T3087" s="11"/>
      <c r="U3087" s="11">
        <f t="shared" si="1021"/>
        <v>2.2999999999999998</v>
      </c>
      <c r="W3087">
        <v>2.5</v>
      </c>
      <c r="X3087" s="1" t="s">
        <v>22</v>
      </c>
    </row>
    <row r="3088" spans="1:24" x14ac:dyDescent="0.25">
      <c r="A3088" s="1" t="str">
        <f t="shared" si="1022"/>
        <v>卡卡杜-凤凰仓</v>
      </c>
      <c r="B3088" s="1" t="str">
        <f>"CK2024102428"</f>
        <v>CK2024102428</v>
      </c>
      <c r="C3088" s="1" t="str">
        <f>"DD2024102423225"</f>
        <v>DD2024102423225</v>
      </c>
      <c r="D3088" s="1" t="str">
        <f>"CK2024102417182"</f>
        <v>CK2024102417182</v>
      </c>
      <c r="E3088" s="1" t="str">
        <f>"2429802404442434"</f>
        <v>2429802404442434</v>
      </c>
      <c r="F3088" s="1" t="str">
        <f t="shared" si="1023"/>
        <v>花都四部-凤凰仓</v>
      </c>
      <c r="G3088" s="1" t="str">
        <f t="shared" si="1027"/>
        <v>卡卡杜佳旺专卖店（快手店）</v>
      </c>
      <c r="H3088" s="1" t="str">
        <f t="shared" si="1024"/>
        <v>正常订单</v>
      </c>
      <c r="I3088" s="1" t="str">
        <f t="shared" si="1025"/>
        <v>已发货</v>
      </c>
      <c r="J3088" s="1" t="str">
        <f t="shared" si="1030"/>
        <v>3</v>
      </c>
      <c r="K3088" s="1">
        <v>2</v>
      </c>
      <c r="L3088" s="1" t="s">
        <v>41</v>
      </c>
      <c r="M3088" s="1" t="str">
        <f>"湖北省 武汉市 汉阳区 建桥街道"</f>
        <v>湖北省 武汉市 汉阳区 建桥街道</v>
      </c>
      <c r="N3088" s="1" t="str">
        <f t="shared" si="1028"/>
        <v>凡华云仓-城南圆通-快手</v>
      </c>
      <c r="O3088" s="5" t="s">
        <v>3122</v>
      </c>
      <c r="P3088" s="6">
        <v>0.35</v>
      </c>
      <c r="Q3088" s="11">
        <v>2.2999999999999998</v>
      </c>
      <c r="R3088" s="11"/>
      <c r="S3088" s="11"/>
      <c r="T3088" s="11"/>
      <c r="U3088" s="11">
        <f t="shared" si="1021"/>
        <v>2.2999999999999998</v>
      </c>
      <c r="W3088">
        <v>2.5</v>
      </c>
      <c r="X3088" s="1" t="s">
        <v>41</v>
      </c>
    </row>
    <row r="3089" spans="1:24" x14ac:dyDescent="0.25">
      <c r="A3089" s="1" t="str">
        <f t="shared" si="1022"/>
        <v>卡卡杜-凤凰仓</v>
      </c>
      <c r="B3089" s="1" t="str">
        <f>"CK2024102449"</f>
        <v>CK2024102449</v>
      </c>
      <c r="C3089" s="1" t="str">
        <f>"DD2024102423249"</f>
        <v>DD2024102423249</v>
      </c>
      <c r="D3089" s="1" t="str">
        <f>"CK2024102417181"</f>
        <v>CK2024102417181</v>
      </c>
      <c r="E3089" s="1" t="str">
        <f>"2429802242674017"</f>
        <v>2429802242674017</v>
      </c>
      <c r="F3089" s="1" t="str">
        <f t="shared" si="1023"/>
        <v>花都四部-凤凰仓</v>
      </c>
      <c r="G3089" s="1" t="str">
        <f t="shared" si="1027"/>
        <v>卡卡杜佳旺专卖店（快手店）</v>
      </c>
      <c r="H3089" s="1" t="str">
        <f t="shared" si="1024"/>
        <v>正常订单</v>
      </c>
      <c r="I3089" s="1" t="str">
        <f t="shared" si="1025"/>
        <v>已发货</v>
      </c>
      <c r="J3089" s="1" t="str">
        <f t="shared" si="1030"/>
        <v>3</v>
      </c>
      <c r="K3089" s="1">
        <v>2</v>
      </c>
      <c r="L3089" s="1" t="s">
        <v>13</v>
      </c>
      <c r="M3089" s="1" t="str">
        <f>"江苏省 盐城市 射阳县 合德镇"</f>
        <v>江苏省 盐城市 射阳县 合德镇</v>
      </c>
      <c r="N3089" s="1" t="str">
        <f t="shared" si="1028"/>
        <v>凡华云仓-城南圆通-快手</v>
      </c>
      <c r="O3089" s="5" t="s">
        <v>3123</v>
      </c>
      <c r="P3089" s="6">
        <v>0.35</v>
      </c>
      <c r="Q3089" s="11">
        <v>2.2999999999999998</v>
      </c>
      <c r="R3089" s="11"/>
      <c r="S3089" s="11"/>
      <c r="T3089" s="11"/>
      <c r="U3089" s="11">
        <f t="shared" si="1021"/>
        <v>2.2999999999999998</v>
      </c>
      <c r="W3089">
        <v>2.5</v>
      </c>
      <c r="X3089" s="1" t="s">
        <v>13</v>
      </c>
    </row>
    <row r="3090" spans="1:24" x14ac:dyDescent="0.25">
      <c r="A3090" s="1" t="str">
        <f t="shared" si="1022"/>
        <v>卡卡杜-凤凰仓</v>
      </c>
      <c r="B3090" s="1" t="str">
        <f>"CK20241024174"</f>
        <v>CK20241024174</v>
      </c>
      <c r="C3090" s="1" t="str">
        <f>"DD2024102423403"</f>
        <v>DD2024102423403</v>
      </c>
      <c r="D3090" s="1" t="str">
        <f>"CK2024102417180"</f>
        <v>CK2024102417180</v>
      </c>
      <c r="E3090" s="1" t="str">
        <f>"2429702261928674"</f>
        <v>2429702261928674</v>
      </c>
      <c r="F3090" s="1" t="str">
        <f t="shared" si="1023"/>
        <v>花都四部-凤凰仓</v>
      </c>
      <c r="G3090" s="1" t="str">
        <f t="shared" si="1027"/>
        <v>卡卡杜佳旺专卖店（快手店）</v>
      </c>
      <c r="H3090" s="1" t="str">
        <f t="shared" si="1024"/>
        <v>正常订单</v>
      </c>
      <c r="I3090" s="1" t="str">
        <f t="shared" si="1025"/>
        <v>已发货</v>
      </c>
      <c r="J3090" s="1" t="str">
        <f t="shared" ref="J3090:J3093" si="1031">"5"</f>
        <v>5</v>
      </c>
      <c r="K3090" s="1">
        <v>2</v>
      </c>
      <c r="L3090" s="1" t="s">
        <v>30</v>
      </c>
      <c r="M3090" s="1" t="str">
        <f>"山东省 东营市 利津县 北宋镇"</f>
        <v>山东省 东营市 利津县 北宋镇</v>
      </c>
      <c r="N3090" s="1" t="str">
        <f t="shared" si="1028"/>
        <v>凡华云仓-城南圆通-快手</v>
      </c>
      <c r="O3090" s="5" t="s">
        <v>3124</v>
      </c>
      <c r="P3090" s="6">
        <v>0.59</v>
      </c>
      <c r="Q3090" s="11">
        <f t="shared" ref="Q3090:Q3094" si="1032">CEILING(P3090-0.5,0.1)*10*0.15+2.3</f>
        <v>2.4499999999999997</v>
      </c>
      <c r="R3090" s="11"/>
      <c r="S3090" s="11"/>
      <c r="T3090" s="11"/>
      <c r="U3090" s="11">
        <f t="shared" si="1021"/>
        <v>2.4499999999999997</v>
      </c>
      <c r="V3090" t="s">
        <v>15</v>
      </c>
      <c r="W3090">
        <v>2.4500000000000002</v>
      </c>
      <c r="X3090" s="1" t="s">
        <v>30</v>
      </c>
    </row>
    <row r="3091" spans="1:24" x14ac:dyDescent="0.25">
      <c r="A3091" s="1" t="str">
        <f t="shared" si="1022"/>
        <v>卡卡杜-凤凰仓</v>
      </c>
      <c r="B3091" s="1" t="str">
        <f>"CK20241024150"</f>
        <v>CK20241024150</v>
      </c>
      <c r="C3091" s="1" t="str">
        <f>"DD2024102423359"</f>
        <v>DD2024102423359</v>
      </c>
      <c r="D3091" s="1" t="str">
        <f>"CK2024102417179"</f>
        <v>CK2024102417179</v>
      </c>
      <c r="E3091" s="1" t="str">
        <f>"2429802482442207"</f>
        <v>2429802482442207</v>
      </c>
      <c r="F3091" s="1" t="str">
        <f t="shared" si="1023"/>
        <v>花都四部-凤凰仓</v>
      </c>
      <c r="G3091" s="1" t="str">
        <f t="shared" si="1027"/>
        <v>卡卡杜佳旺专卖店（快手店）</v>
      </c>
      <c r="H3091" s="1" t="str">
        <f t="shared" si="1024"/>
        <v>正常订单</v>
      </c>
      <c r="I3091" s="1" t="str">
        <f t="shared" si="1025"/>
        <v>已发货</v>
      </c>
      <c r="J3091" s="1" t="str">
        <f>"3"</f>
        <v>3</v>
      </c>
      <c r="K3091" s="1">
        <v>2</v>
      </c>
      <c r="L3091" s="1" t="s">
        <v>22</v>
      </c>
      <c r="M3091" s="1" t="str">
        <f>"江西省 吉安市 吉水县 枫江镇"</f>
        <v>江西省 吉安市 吉水县 枫江镇</v>
      </c>
      <c r="N3091" s="1" t="str">
        <f t="shared" si="1028"/>
        <v>凡华云仓-城南圆通-快手</v>
      </c>
      <c r="O3091" s="5" t="s">
        <v>3125</v>
      </c>
      <c r="P3091" s="6">
        <v>0.35</v>
      </c>
      <c r="Q3091" s="11">
        <v>2.2999999999999998</v>
      </c>
      <c r="R3091" s="11"/>
      <c r="S3091" s="11"/>
      <c r="T3091" s="11"/>
      <c r="U3091" s="11">
        <f t="shared" si="1021"/>
        <v>2.2999999999999998</v>
      </c>
      <c r="W3091">
        <v>2.5</v>
      </c>
      <c r="X3091" s="1" t="s">
        <v>22</v>
      </c>
    </row>
    <row r="3092" spans="1:24" x14ac:dyDescent="0.25">
      <c r="A3092" s="1" t="str">
        <f t="shared" si="1022"/>
        <v>卡卡杜-凤凰仓</v>
      </c>
      <c r="B3092" s="1" t="str">
        <f>"CK20241024210"</f>
        <v>CK20241024210</v>
      </c>
      <c r="C3092" s="1" t="str">
        <f>"DD2024102423955"</f>
        <v>DD2024102423955</v>
      </c>
      <c r="D3092" s="1" t="str">
        <f>"CK2024102417178"</f>
        <v>CK2024102417178</v>
      </c>
      <c r="E3092" s="1" t="str">
        <f>"2429802483834008"</f>
        <v>2429802483834008</v>
      </c>
      <c r="F3092" s="1" t="str">
        <f t="shared" si="1023"/>
        <v>花都四部-凤凰仓</v>
      </c>
      <c r="G3092" s="1" t="str">
        <f t="shared" si="1027"/>
        <v>卡卡杜佳旺专卖店（快手店）</v>
      </c>
      <c r="H3092" s="1" t="str">
        <f t="shared" si="1024"/>
        <v>正常订单</v>
      </c>
      <c r="I3092" s="1" t="str">
        <f t="shared" si="1025"/>
        <v>已发货</v>
      </c>
      <c r="J3092" s="1" t="str">
        <f t="shared" si="1031"/>
        <v>5</v>
      </c>
      <c r="K3092" s="1">
        <v>2</v>
      </c>
      <c r="L3092" s="1" t="s">
        <v>36</v>
      </c>
      <c r="M3092" s="1" t="str">
        <f>"安徽省 铜陵市 铜官区 东郊街道"</f>
        <v>安徽省 铜陵市 铜官区 东郊街道</v>
      </c>
      <c r="N3092" s="1" t="str">
        <f t="shared" si="1028"/>
        <v>凡华云仓-城南圆通-快手</v>
      </c>
      <c r="O3092" s="5" t="s">
        <v>3126</v>
      </c>
      <c r="P3092" s="6">
        <v>0.59</v>
      </c>
      <c r="Q3092" s="11">
        <f t="shared" si="1032"/>
        <v>2.4499999999999997</v>
      </c>
      <c r="R3092" s="11"/>
      <c r="S3092" s="11"/>
      <c r="T3092" s="11"/>
      <c r="U3092" s="11">
        <f t="shared" si="1021"/>
        <v>2.4499999999999997</v>
      </c>
      <c r="V3092" t="s">
        <v>15</v>
      </c>
      <c r="W3092">
        <v>2.4500000000000002</v>
      </c>
      <c r="X3092" s="1" t="s">
        <v>36</v>
      </c>
    </row>
    <row r="3093" spans="1:24" x14ac:dyDescent="0.25">
      <c r="A3093" s="1" t="str">
        <f t="shared" si="1022"/>
        <v>卡卡杜-凤凰仓</v>
      </c>
      <c r="B3093" s="1" t="str">
        <f>"CK20241024162"</f>
        <v>CK20241024162</v>
      </c>
      <c r="C3093" s="1" t="str">
        <f>"DD2024102423383"</f>
        <v>DD2024102423383</v>
      </c>
      <c r="D3093" s="1" t="str">
        <f>"CK2024102417177"</f>
        <v>CK2024102417177</v>
      </c>
      <c r="E3093" s="1" t="str">
        <f>"2429801683434065"</f>
        <v>2429801683434065</v>
      </c>
      <c r="F3093" s="1" t="str">
        <f t="shared" si="1023"/>
        <v>花都四部-凤凰仓</v>
      </c>
      <c r="G3093" s="1" t="str">
        <f t="shared" si="1027"/>
        <v>卡卡杜佳旺专卖店（快手店）</v>
      </c>
      <c r="H3093" s="1" t="str">
        <f t="shared" si="1024"/>
        <v>正常订单</v>
      </c>
      <c r="I3093" s="1" t="str">
        <f t="shared" si="1025"/>
        <v>已发货</v>
      </c>
      <c r="J3093" s="1" t="str">
        <f t="shared" si="1031"/>
        <v>5</v>
      </c>
      <c r="K3093" s="1">
        <v>2</v>
      </c>
      <c r="L3093" s="1" t="s">
        <v>32</v>
      </c>
      <c r="M3093" s="1" t="str">
        <f>"陕西省 西安市 长安区 郭杜街道"</f>
        <v>陕西省 西安市 长安区 郭杜街道</v>
      </c>
      <c r="N3093" s="1" t="str">
        <f t="shared" si="1028"/>
        <v>凡华云仓-城南圆通-快手</v>
      </c>
      <c r="O3093" s="5" t="s">
        <v>3127</v>
      </c>
      <c r="P3093" s="6">
        <v>0.59</v>
      </c>
      <c r="Q3093" s="11">
        <f t="shared" si="1032"/>
        <v>2.4499999999999997</v>
      </c>
      <c r="R3093" s="11"/>
      <c r="S3093" s="11"/>
      <c r="T3093" s="11"/>
      <c r="U3093" s="11">
        <f t="shared" si="1021"/>
        <v>2.4499999999999997</v>
      </c>
      <c r="V3093" t="s">
        <v>15</v>
      </c>
      <c r="W3093">
        <v>2.4500000000000002</v>
      </c>
      <c r="X3093" s="1" t="s">
        <v>32</v>
      </c>
    </row>
    <row r="3094" spans="1:24" x14ac:dyDescent="0.25">
      <c r="A3094" s="1" t="str">
        <f t="shared" si="1022"/>
        <v>卡卡杜-凤凰仓</v>
      </c>
      <c r="B3094" s="1" t="str">
        <f>"CK20241024207"</f>
        <v>CK20241024207</v>
      </c>
      <c r="C3094" s="1" t="str">
        <f>"DD2024102423953"</f>
        <v>DD2024102423953</v>
      </c>
      <c r="D3094" s="1" t="str">
        <f>"CK2024102417176"</f>
        <v>CK2024102417176</v>
      </c>
      <c r="E3094" s="1" t="str">
        <f>"2429802321786020"</f>
        <v>2429802321786020</v>
      </c>
      <c r="F3094" s="1" t="str">
        <f t="shared" si="1023"/>
        <v>花都四部-凤凰仓</v>
      </c>
      <c r="G3094" s="1" t="str">
        <f t="shared" si="1027"/>
        <v>卡卡杜佳旺专卖店（快手店）</v>
      </c>
      <c r="H3094" s="1" t="str">
        <f t="shared" si="1024"/>
        <v>正常订单</v>
      </c>
      <c r="I3094" s="1" t="str">
        <f t="shared" si="1025"/>
        <v>已发货</v>
      </c>
      <c r="J3094" s="1" t="str">
        <f>"8"</f>
        <v>8</v>
      </c>
      <c r="K3094" s="1">
        <v>1</v>
      </c>
      <c r="L3094" s="1" t="s">
        <v>13</v>
      </c>
      <c r="M3094" s="1" t="str">
        <f>"江苏省 南京市 栖霞区 仙林街道"</f>
        <v>江苏省 南京市 栖霞区 仙林街道</v>
      </c>
      <c r="N3094" s="1" t="str">
        <f t="shared" si="1028"/>
        <v>凡华云仓-城南圆通-快手</v>
      </c>
      <c r="O3094" s="5" t="s">
        <v>3128</v>
      </c>
      <c r="P3094" s="6">
        <v>1.1200000000000001</v>
      </c>
      <c r="Q3094" s="11">
        <f t="shared" si="1032"/>
        <v>3.3499999999999996</v>
      </c>
      <c r="R3094" s="11"/>
      <c r="S3094" s="11"/>
      <c r="T3094" s="11"/>
      <c r="U3094" s="11">
        <f t="shared" si="1021"/>
        <v>3.3499999999999996</v>
      </c>
      <c r="V3094" t="s">
        <v>15</v>
      </c>
      <c r="W3094">
        <v>3.35</v>
      </c>
      <c r="X3094" s="1" t="s">
        <v>13</v>
      </c>
    </row>
    <row r="3095" spans="1:24" x14ac:dyDescent="0.25">
      <c r="A3095" s="1" t="str">
        <f t="shared" si="1022"/>
        <v>卡卡杜-凤凰仓</v>
      </c>
      <c r="B3095" s="1" t="str">
        <f>"CK20241024102"</f>
        <v>CK20241024102</v>
      </c>
      <c r="C3095" s="1" t="str">
        <f>"DD2024102423299"</f>
        <v>DD2024102423299</v>
      </c>
      <c r="D3095" s="1" t="str">
        <f>"CK2024102417175"</f>
        <v>CK2024102417175</v>
      </c>
      <c r="E3095" s="1" t="str">
        <f>"2429702189025053"</f>
        <v>2429702189025053</v>
      </c>
      <c r="F3095" s="1" t="str">
        <f t="shared" si="1023"/>
        <v>花都四部-凤凰仓</v>
      </c>
      <c r="G3095" s="1" t="str">
        <f t="shared" si="1027"/>
        <v>卡卡杜佳旺专卖店（快手店）</v>
      </c>
      <c r="H3095" s="1" t="str">
        <f t="shared" si="1024"/>
        <v>正常订单</v>
      </c>
      <c r="I3095" s="1" t="str">
        <f t="shared" si="1025"/>
        <v>已发货</v>
      </c>
      <c r="J3095" s="1" t="str">
        <f t="shared" ref="J3095:J3098" si="1033">"3"</f>
        <v>3</v>
      </c>
      <c r="K3095" s="1">
        <v>2</v>
      </c>
      <c r="L3095" s="1" t="s">
        <v>18</v>
      </c>
      <c r="M3095" s="1" t="str">
        <f>"广东省 东莞市 洪梅镇 洪梅镇"</f>
        <v>广东省 东莞市 洪梅镇 洪梅镇</v>
      </c>
      <c r="N3095" s="1" t="str">
        <f t="shared" si="1028"/>
        <v>凡华云仓-城南圆通-快手</v>
      </c>
      <c r="O3095" s="5" t="s">
        <v>3129</v>
      </c>
      <c r="P3095" s="6">
        <v>0.35</v>
      </c>
      <c r="Q3095" s="11">
        <v>2.2999999999999998</v>
      </c>
      <c r="R3095" s="11"/>
      <c r="S3095" s="11"/>
      <c r="T3095" s="11"/>
      <c r="U3095" s="11">
        <f t="shared" si="1021"/>
        <v>2.2999999999999998</v>
      </c>
      <c r="W3095">
        <v>2.5</v>
      </c>
      <c r="X3095" s="1" t="s">
        <v>18</v>
      </c>
    </row>
    <row r="3096" spans="1:24" x14ac:dyDescent="0.25">
      <c r="A3096" s="1" t="str">
        <f t="shared" si="1022"/>
        <v>卡卡杜-凤凰仓</v>
      </c>
      <c r="B3096" s="1" t="str">
        <f>"CK20241024160"</f>
        <v>CK20241024160</v>
      </c>
      <c r="C3096" s="1" t="str">
        <f>"DD2024102423367"</f>
        <v>DD2024102423367</v>
      </c>
      <c r="D3096" s="1" t="str">
        <f>"CK2024102417174"</f>
        <v>CK2024102417174</v>
      </c>
      <c r="E3096" s="1" t="str">
        <f>"2429802241889685"</f>
        <v>2429802241889685</v>
      </c>
      <c r="F3096" s="1" t="str">
        <f t="shared" si="1023"/>
        <v>花都四部-凤凰仓</v>
      </c>
      <c r="G3096" s="1" t="str">
        <f t="shared" si="1027"/>
        <v>卡卡杜佳旺专卖店（快手店）</v>
      </c>
      <c r="H3096" s="1" t="str">
        <f t="shared" si="1024"/>
        <v>正常订单</v>
      </c>
      <c r="I3096" s="1" t="str">
        <f t="shared" si="1025"/>
        <v>已发货</v>
      </c>
      <c r="J3096" s="1" t="str">
        <f>"5"</f>
        <v>5</v>
      </c>
      <c r="K3096" s="1">
        <v>2</v>
      </c>
      <c r="L3096" s="1" t="s">
        <v>36</v>
      </c>
      <c r="M3096" s="1" t="str">
        <f>"安徽省 阜阳市 颍泉区 中市街道"</f>
        <v>安徽省 阜阳市 颍泉区 中市街道</v>
      </c>
      <c r="N3096" s="1" t="str">
        <f t="shared" si="1028"/>
        <v>凡华云仓-城南圆通-快手</v>
      </c>
      <c r="O3096" s="5" t="s">
        <v>3130</v>
      </c>
      <c r="P3096" s="6">
        <v>0.59</v>
      </c>
      <c r="Q3096" s="11">
        <f>CEILING(P3096-0.5,0.1)*10*0.15+2.3</f>
        <v>2.4499999999999997</v>
      </c>
      <c r="R3096" s="11"/>
      <c r="S3096" s="11"/>
      <c r="T3096" s="11"/>
      <c r="U3096" s="11">
        <f t="shared" si="1021"/>
        <v>2.4499999999999997</v>
      </c>
      <c r="V3096" t="s">
        <v>15</v>
      </c>
      <c r="W3096">
        <v>2.4500000000000002</v>
      </c>
      <c r="X3096" s="1" t="s">
        <v>36</v>
      </c>
    </row>
    <row r="3097" spans="1:24" x14ac:dyDescent="0.25">
      <c r="A3097" s="1" t="str">
        <f t="shared" si="1022"/>
        <v>卡卡杜-凤凰仓</v>
      </c>
      <c r="B3097" s="1" t="str">
        <f>"CK2024102450"</f>
        <v>CK2024102450</v>
      </c>
      <c r="C3097" s="1" t="str">
        <f>"DD2024102423247"</f>
        <v>DD2024102423247</v>
      </c>
      <c r="D3097" s="1" t="str">
        <f>"CK2024102417173"</f>
        <v>CK2024102417173</v>
      </c>
      <c r="E3097" s="1" t="str">
        <f>"2429802321203087"</f>
        <v>2429802321203087</v>
      </c>
      <c r="F3097" s="1" t="str">
        <f t="shared" si="1023"/>
        <v>花都四部-凤凰仓</v>
      </c>
      <c r="G3097" s="1" t="str">
        <f t="shared" si="1027"/>
        <v>卡卡杜佳旺专卖店（快手店）</v>
      </c>
      <c r="H3097" s="1" t="str">
        <f t="shared" si="1024"/>
        <v>正常订单</v>
      </c>
      <c r="I3097" s="1" t="str">
        <f t="shared" si="1025"/>
        <v>已发货</v>
      </c>
      <c r="J3097" s="1" t="str">
        <f t="shared" si="1033"/>
        <v>3</v>
      </c>
      <c r="K3097" s="1">
        <v>2</v>
      </c>
      <c r="L3097" s="1" t="s">
        <v>41</v>
      </c>
      <c r="M3097" s="1" t="str">
        <f>"湖北省 武汉市 洪山区 卓刀泉街道"</f>
        <v>湖北省 武汉市 洪山区 卓刀泉街道</v>
      </c>
      <c r="N3097" s="1" t="str">
        <f t="shared" si="1028"/>
        <v>凡华云仓-城南圆通-快手</v>
      </c>
      <c r="O3097" s="5" t="s">
        <v>3131</v>
      </c>
      <c r="P3097" s="6">
        <v>0.35</v>
      </c>
      <c r="Q3097" s="11">
        <v>2.2999999999999998</v>
      </c>
      <c r="R3097" s="11"/>
      <c r="S3097" s="11"/>
      <c r="T3097" s="11"/>
      <c r="U3097" s="11">
        <f t="shared" si="1021"/>
        <v>2.2999999999999998</v>
      </c>
      <c r="W3097">
        <v>2.5</v>
      </c>
      <c r="X3097" s="1" t="s">
        <v>41</v>
      </c>
    </row>
    <row r="3098" spans="1:24" x14ac:dyDescent="0.25">
      <c r="A3098" s="1" t="str">
        <f t="shared" si="1022"/>
        <v>卡卡杜-凤凰仓</v>
      </c>
      <c r="B3098" s="1" t="str">
        <f>"CK2024102483"</f>
        <v>CK2024102483</v>
      </c>
      <c r="C3098" s="1" t="str">
        <f>"DD2024102423281"</f>
        <v>DD2024102423281</v>
      </c>
      <c r="D3098" s="1" t="str">
        <f>"CK2024102417172"</f>
        <v>CK2024102417172</v>
      </c>
      <c r="E3098" s="1" t="str">
        <f>"2429802086368701"</f>
        <v>2429802086368701</v>
      </c>
      <c r="F3098" s="1" t="str">
        <f t="shared" si="1023"/>
        <v>花都四部-凤凰仓</v>
      </c>
      <c r="G3098" s="1" t="str">
        <f t="shared" si="1027"/>
        <v>卡卡杜佳旺专卖店（快手店）</v>
      </c>
      <c r="H3098" s="1" t="str">
        <f t="shared" si="1024"/>
        <v>正常订单</v>
      </c>
      <c r="I3098" s="1" t="str">
        <f t="shared" si="1025"/>
        <v>已发货</v>
      </c>
      <c r="J3098" s="1" t="str">
        <f t="shared" si="1033"/>
        <v>3</v>
      </c>
      <c r="K3098" s="1">
        <v>2</v>
      </c>
      <c r="L3098" s="1" t="s">
        <v>41</v>
      </c>
      <c r="M3098" s="1" t="str">
        <f>"湖北省 孝感市 大悟县 新城镇"</f>
        <v>湖北省 孝感市 大悟县 新城镇</v>
      </c>
      <c r="N3098" s="1" t="str">
        <f t="shared" si="1028"/>
        <v>凡华云仓-城南圆通-快手</v>
      </c>
      <c r="O3098" s="5" t="s">
        <v>3132</v>
      </c>
      <c r="P3098" s="6">
        <v>0.35</v>
      </c>
      <c r="Q3098" s="11">
        <v>2.2999999999999998</v>
      </c>
      <c r="R3098" s="11"/>
      <c r="S3098" s="11"/>
      <c r="T3098" s="11"/>
      <c r="U3098" s="11">
        <f t="shared" si="1021"/>
        <v>2.2999999999999998</v>
      </c>
      <c r="W3098">
        <v>2.5</v>
      </c>
      <c r="X3098" s="1" t="s">
        <v>41</v>
      </c>
    </row>
    <row r="3099" spans="1:24" x14ac:dyDescent="0.25">
      <c r="A3099" s="1" t="str">
        <f t="shared" si="1022"/>
        <v>卡卡杜-凤凰仓</v>
      </c>
      <c r="B3099" s="1" t="str">
        <f>"CK20241024159"</f>
        <v>CK20241024159</v>
      </c>
      <c r="C3099" s="1" t="str">
        <f>"DD2024102423372"</f>
        <v>DD2024102423372</v>
      </c>
      <c r="D3099" s="1" t="str">
        <f>"CK2024102417171"</f>
        <v>CK2024102417171</v>
      </c>
      <c r="E3099" s="1" t="str">
        <f>"2429702100395414"</f>
        <v>2429702100395414</v>
      </c>
      <c r="F3099" s="1" t="str">
        <f t="shared" si="1023"/>
        <v>花都四部-凤凰仓</v>
      </c>
      <c r="G3099" s="1" t="str">
        <f t="shared" si="1027"/>
        <v>卡卡杜佳旺专卖店（快手店）</v>
      </c>
      <c r="H3099" s="1" t="str">
        <f t="shared" si="1024"/>
        <v>正常订单</v>
      </c>
      <c r="I3099" s="1" t="str">
        <f t="shared" si="1025"/>
        <v>已发货</v>
      </c>
      <c r="J3099" s="1" t="str">
        <f t="shared" ref="J3099:J3103" si="1034">"5"</f>
        <v>5</v>
      </c>
      <c r="K3099" s="1">
        <v>2</v>
      </c>
      <c r="L3099" s="1" t="s">
        <v>66</v>
      </c>
      <c r="M3099" s="1" t="str">
        <f>"内蒙古自治区 包头市 昆都仑区 前进道街道"</f>
        <v>内蒙古自治区 包头市 昆都仑区 前进道街道</v>
      </c>
      <c r="N3099" s="1" t="str">
        <f t="shared" si="1028"/>
        <v>凡华云仓-城南圆通-快手</v>
      </c>
      <c r="O3099" s="5" t="s">
        <v>3133</v>
      </c>
      <c r="P3099" s="6">
        <v>0.59</v>
      </c>
      <c r="Q3099" s="11">
        <f>CEILING(P3099-0.5,0.1)*10*0.15+2.3</f>
        <v>2.4499999999999997</v>
      </c>
      <c r="R3099" s="11"/>
      <c r="S3099" s="11"/>
      <c r="T3099" s="11"/>
      <c r="U3099" s="11">
        <f t="shared" si="1021"/>
        <v>2.4499999999999997</v>
      </c>
      <c r="V3099" t="s">
        <v>15</v>
      </c>
      <c r="W3099">
        <v>2.4500000000000002</v>
      </c>
      <c r="X3099" s="1" t="s">
        <v>66</v>
      </c>
    </row>
    <row r="3100" spans="1:24" x14ac:dyDescent="0.25">
      <c r="A3100" s="1" t="str">
        <f t="shared" si="1022"/>
        <v>卡卡杜-凤凰仓</v>
      </c>
      <c r="B3100" s="1" t="str">
        <f>"CK2024102425"</f>
        <v>CK2024102425</v>
      </c>
      <c r="C3100" s="1" t="str">
        <f>"DD2024102423223"</f>
        <v>DD2024102423223</v>
      </c>
      <c r="D3100" s="1" t="str">
        <f>"CK2024102417170"</f>
        <v>CK2024102417170</v>
      </c>
      <c r="E3100" s="1" t="str">
        <f>"2429802322419672"</f>
        <v>2429802322419672</v>
      </c>
      <c r="F3100" s="1" t="str">
        <f t="shared" si="1023"/>
        <v>花都四部-凤凰仓</v>
      </c>
      <c r="G3100" s="1" t="str">
        <f t="shared" si="1027"/>
        <v>卡卡杜佳旺专卖店（快手店）</v>
      </c>
      <c r="H3100" s="1" t="str">
        <f t="shared" si="1024"/>
        <v>正常订单</v>
      </c>
      <c r="I3100" s="1" t="str">
        <f t="shared" si="1025"/>
        <v>已发货</v>
      </c>
      <c r="J3100" s="1" t="str">
        <f t="shared" ref="J3100:J3112" si="1035">"3"</f>
        <v>3</v>
      </c>
      <c r="K3100" s="1">
        <v>2</v>
      </c>
      <c r="L3100" s="1" t="s">
        <v>92</v>
      </c>
      <c r="M3100" s="1" t="str">
        <f>"辽宁省 阜新市 阜新蒙古族自治县 务欢池镇"</f>
        <v>辽宁省 阜新市 阜新蒙古族自治县 务欢池镇</v>
      </c>
      <c r="N3100" s="1" t="str">
        <f t="shared" si="1028"/>
        <v>凡华云仓-城南圆通-快手</v>
      </c>
      <c r="O3100" s="5" t="s">
        <v>3134</v>
      </c>
      <c r="P3100" s="6">
        <v>0.35</v>
      </c>
      <c r="Q3100" s="11">
        <v>2.2999999999999998</v>
      </c>
      <c r="R3100" s="11"/>
      <c r="S3100" s="11"/>
      <c r="T3100" s="11"/>
      <c r="U3100" s="11">
        <f t="shared" si="1021"/>
        <v>2.2999999999999998</v>
      </c>
      <c r="W3100">
        <v>2.5</v>
      </c>
      <c r="X3100" s="1" t="s">
        <v>92</v>
      </c>
    </row>
    <row r="3101" spans="1:24" x14ac:dyDescent="0.25">
      <c r="A3101" s="1" t="str">
        <f t="shared" si="1022"/>
        <v>卡卡杜-凤凰仓</v>
      </c>
      <c r="B3101" s="1" t="str">
        <f>"CK2024102484"</f>
        <v>CK2024102484</v>
      </c>
      <c r="C3101" s="1" t="str">
        <f>"DD2024102423282"</f>
        <v>DD2024102423282</v>
      </c>
      <c r="D3101" s="1" t="str">
        <f>"CK2024102417169"</f>
        <v>CK2024102417169</v>
      </c>
      <c r="E3101" s="1" t="str">
        <f>"2429802243115330"</f>
        <v>2429802243115330</v>
      </c>
      <c r="F3101" s="1" t="str">
        <f t="shared" si="1023"/>
        <v>花都四部-凤凰仓</v>
      </c>
      <c r="G3101" s="1" t="str">
        <f t="shared" si="1027"/>
        <v>卡卡杜佳旺专卖店（快手店）</v>
      </c>
      <c r="H3101" s="1" t="str">
        <f t="shared" si="1024"/>
        <v>正常订单</v>
      </c>
      <c r="I3101" s="1" t="str">
        <f t="shared" si="1025"/>
        <v>已发货</v>
      </c>
      <c r="J3101" s="1" t="str">
        <f t="shared" si="1035"/>
        <v>3</v>
      </c>
      <c r="K3101" s="1">
        <v>2</v>
      </c>
      <c r="L3101" s="1" t="s">
        <v>27</v>
      </c>
      <c r="M3101" s="1" t="str">
        <f>"贵州省 安顺市 普定县 玉秀街道"</f>
        <v>贵州省 安顺市 普定县 玉秀街道</v>
      </c>
      <c r="N3101" s="1" t="str">
        <f t="shared" si="1028"/>
        <v>凡华云仓-城南圆通-快手</v>
      </c>
      <c r="O3101" s="5" t="s">
        <v>3135</v>
      </c>
      <c r="P3101" s="6">
        <v>0.35</v>
      </c>
      <c r="Q3101" s="11">
        <v>2.2999999999999998</v>
      </c>
      <c r="R3101" s="11"/>
      <c r="S3101" s="11"/>
      <c r="T3101" s="11"/>
      <c r="U3101" s="11">
        <f t="shared" si="1021"/>
        <v>2.2999999999999998</v>
      </c>
      <c r="W3101">
        <v>2.5</v>
      </c>
      <c r="X3101" s="1" t="s">
        <v>27</v>
      </c>
    </row>
    <row r="3102" spans="1:24" x14ac:dyDescent="0.25">
      <c r="A3102" s="1" t="str">
        <f t="shared" si="1022"/>
        <v>卡卡杜-凤凰仓</v>
      </c>
      <c r="B3102" s="1" t="str">
        <f>"CK20241024165"</f>
        <v>CK20241024165</v>
      </c>
      <c r="C3102" s="1" t="str">
        <f>"DD2024102423379"</f>
        <v>DD2024102423379</v>
      </c>
      <c r="D3102" s="1" t="str">
        <f>"CK2024102417168"</f>
        <v>CK2024102417168</v>
      </c>
      <c r="E3102" s="1" t="str">
        <f>"2429802406040477"</f>
        <v>2429802406040477</v>
      </c>
      <c r="F3102" s="1" t="str">
        <f t="shared" si="1023"/>
        <v>花都四部-凤凰仓</v>
      </c>
      <c r="G3102" s="1" t="str">
        <f t="shared" si="1027"/>
        <v>卡卡杜佳旺专卖店（快手店）</v>
      </c>
      <c r="H3102" s="1" t="str">
        <f t="shared" si="1024"/>
        <v>正常订单</v>
      </c>
      <c r="I3102" s="1" t="str">
        <f t="shared" si="1025"/>
        <v>已发货</v>
      </c>
      <c r="J3102" s="1" t="str">
        <f t="shared" si="1034"/>
        <v>5</v>
      </c>
      <c r="K3102" s="1">
        <v>2</v>
      </c>
      <c r="L3102" s="1" t="s">
        <v>32</v>
      </c>
      <c r="M3102" s="1" t="str">
        <f>"陕西省 咸阳市 渭城区 周陵街道"</f>
        <v>陕西省 咸阳市 渭城区 周陵街道</v>
      </c>
      <c r="N3102" s="1" t="str">
        <f t="shared" si="1028"/>
        <v>凡华云仓-城南圆通-快手</v>
      </c>
      <c r="O3102" s="5" t="s">
        <v>3136</v>
      </c>
      <c r="P3102" s="6">
        <v>0.59</v>
      </c>
      <c r="Q3102" s="11">
        <f>CEILING(P3102-0.5,0.1)*10*0.15+2.3</f>
        <v>2.4499999999999997</v>
      </c>
      <c r="R3102" s="11"/>
      <c r="S3102" s="11"/>
      <c r="T3102" s="11"/>
      <c r="U3102" s="11">
        <f t="shared" si="1021"/>
        <v>2.4499999999999997</v>
      </c>
      <c r="V3102" t="s">
        <v>15</v>
      </c>
      <c r="W3102">
        <v>2.4500000000000002</v>
      </c>
      <c r="X3102" s="1" t="s">
        <v>32</v>
      </c>
    </row>
    <row r="3103" spans="1:24" x14ac:dyDescent="0.25">
      <c r="A3103" s="1" t="str">
        <f t="shared" si="1022"/>
        <v>卡卡杜-凤凰仓</v>
      </c>
      <c r="B3103" s="1" t="str">
        <f>"CK20241024157"</f>
        <v>CK20241024157</v>
      </c>
      <c r="C3103" s="1" t="str">
        <f>"DD2024102423368"</f>
        <v>DD2024102423368</v>
      </c>
      <c r="D3103" s="1" t="str">
        <f>"CK2024102417167"</f>
        <v>CK2024102417167</v>
      </c>
      <c r="E3103" s="1" t="str">
        <f>"2429701699840809"</f>
        <v>2429701699840809</v>
      </c>
      <c r="F3103" s="1" t="str">
        <f t="shared" si="1023"/>
        <v>花都四部-凤凰仓</v>
      </c>
      <c r="G3103" s="1" t="str">
        <f t="shared" si="1027"/>
        <v>卡卡杜佳旺专卖店（快手店）</v>
      </c>
      <c r="H3103" s="1" t="str">
        <f t="shared" si="1024"/>
        <v>正常订单</v>
      </c>
      <c r="I3103" s="1" t="str">
        <f t="shared" si="1025"/>
        <v>已发货</v>
      </c>
      <c r="J3103" s="1" t="str">
        <f t="shared" si="1034"/>
        <v>5</v>
      </c>
      <c r="K3103" s="1">
        <v>3</v>
      </c>
      <c r="L3103" s="1" t="s">
        <v>187</v>
      </c>
      <c r="M3103" s="1" t="str">
        <f>"吉林省 吉林市 昌邑区 东局子街道"</f>
        <v>吉林省 吉林市 昌邑区 东局子街道</v>
      </c>
      <c r="N3103" s="1" t="str">
        <f t="shared" si="1028"/>
        <v>凡华云仓-城南圆通-快手</v>
      </c>
      <c r="O3103" s="5" t="s">
        <v>3137</v>
      </c>
      <c r="P3103" s="6">
        <v>0.47</v>
      </c>
      <c r="Q3103" s="11">
        <v>2.2999999999999998</v>
      </c>
      <c r="R3103" s="11"/>
      <c r="S3103" s="11"/>
      <c r="T3103" s="11"/>
      <c r="U3103" s="11">
        <f t="shared" si="1021"/>
        <v>2.2999999999999998</v>
      </c>
      <c r="W3103">
        <v>2.5</v>
      </c>
      <c r="X3103" s="1" t="s">
        <v>187</v>
      </c>
    </row>
    <row r="3104" spans="1:24" x14ac:dyDescent="0.25">
      <c r="A3104" s="1" t="str">
        <f t="shared" si="1022"/>
        <v>卡卡杜-凤凰仓</v>
      </c>
      <c r="B3104" s="1" t="str">
        <f>"CK2024102482"</f>
        <v>CK2024102482</v>
      </c>
      <c r="C3104" s="1" t="str">
        <f>"DD2024102423280"</f>
        <v>DD2024102423280</v>
      </c>
      <c r="D3104" s="1" t="str">
        <f>"CK2024102417166"</f>
        <v>CK2024102417166</v>
      </c>
      <c r="E3104" s="1" t="str">
        <f>"2429802008016350"</f>
        <v>2429802008016350</v>
      </c>
      <c r="F3104" s="1" t="str">
        <f t="shared" si="1023"/>
        <v>花都四部-凤凰仓</v>
      </c>
      <c r="G3104" s="1" t="str">
        <f t="shared" si="1027"/>
        <v>卡卡杜佳旺专卖店（快手店）</v>
      </c>
      <c r="H3104" s="1" t="str">
        <f t="shared" si="1024"/>
        <v>正常订单</v>
      </c>
      <c r="I3104" s="1" t="str">
        <f t="shared" si="1025"/>
        <v>已发货</v>
      </c>
      <c r="J3104" s="1" t="str">
        <f t="shared" si="1035"/>
        <v>3</v>
      </c>
      <c r="K3104" s="1">
        <v>2</v>
      </c>
      <c r="L3104" s="1" t="s">
        <v>710</v>
      </c>
      <c r="M3104" s="1" t="str">
        <f>"上海市 上海市 闵行区 七宝镇"</f>
        <v>上海市 上海市 闵行区 七宝镇</v>
      </c>
      <c r="N3104" s="1" t="str">
        <f t="shared" si="1028"/>
        <v>凡华云仓-城南圆通-快手</v>
      </c>
      <c r="O3104" s="5" t="s">
        <v>3138</v>
      </c>
      <c r="P3104" s="6">
        <v>0.35</v>
      </c>
      <c r="Q3104" s="11">
        <v>2.2999999999999998</v>
      </c>
      <c r="R3104" s="11"/>
      <c r="S3104" s="11"/>
      <c r="T3104" s="11"/>
      <c r="U3104" s="11">
        <f t="shared" si="1021"/>
        <v>2.2999999999999998</v>
      </c>
      <c r="W3104">
        <v>2.5</v>
      </c>
      <c r="X3104" s="1" t="s">
        <v>710</v>
      </c>
    </row>
    <row r="3105" spans="1:24" x14ac:dyDescent="0.25">
      <c r="A3105" s="1" t="str">
        <f t="shared" si="1022"/>
        <v>卡卡杜-凤凰仓</v>
      </c>
      <c r="B3105" s="1" t="str">
        <f>"CK2024102456"</f>
        <v>CK2024102456</v>
      </c>
      <c r="C3105" s="1" t="str">
        <f>"DD2024102423254"</f>
        <v>DD2024102423254</v>
      </c>
      <c r="D3105" s="1" t="str">
        <f>"CK2024102417165"</f>
        <v>CK2024102417165</v>
      </c>
      <c r="E3105" s="1" t="str">
        <f>"2429801601162392"</f>
        <v>2429801601162392</v>
      </c>
      <c r="F3105" s="1" t="str">
        <f t="shared" si="1023"/>
        <v>花都四部-凤凰仓</v>
      </c>
      <c r="G3105" s="1" t="str">
        <f t="shared" si="1027"/>
        <v>卡卡杜佳旺专卖店（快手店）</v>
      </c>
      <c r="H3105" s="1" t="str">
        <f t="shared" si="1024"/>
        <v>正常订单</v>
      </c>
      <c r="I3105" s="1" t="str">
        <f t="shared" si="1025"/>
        <v>已发货</v>
      </c>
      <c r="J3105" s="1" t="str">
        <f t="shared" si="1035"/>
        <v>3</v>
      </c>
      <c r="K3105" s="1">
        <v>2</v>
      </c>
      <c r="L3105" s="1" t="s">
        <v>16</v>
      </c>
      <c r="M3105" s="1" t="str">
        <f>"河北省 邢台市 威县 常屯乡"</f>
        <v>河北省 邢台市 威县 常屯乡</v>
      </c>
      <c r="N3105" s="1" t="str">
        <f t="shared" si="1028"/>
        <v>凡华云仓-城南圆通-快手</v>
      </c>
      <c r="O3105" s="5" t="s">
        <v>3139</v>
      </c>
      <c r="P3105" s="6">
        <v>0.35</v>
      </c>
      <c r="Q3105" s="11">
        <v>2.2999999999999998</v>
      </c>
      <c r="R3105" s="11"/>
      <c r="S3105" s="11"/>
      <c r="T3105" s="11"/>
      <c r="U3105" s="11">
        <f t="shared" si="1021"/>
        <v>2.2999999999999998</v>
      </c>
      <c r="W3105">
        <v>2.5</v>
      </c>
      <c r="X3105" s="1" t="s">
        <v>16</v>
      </c>
    </row>
    <row r="3106" spans="1:24" x14ac:dyDescent="0.25">
      <c r="A3106" s="1" t="str">
        <f t="shared" si="1022"/>
        <v>卡卡杜-凤凰仓</v>
      </c>
      <c r="B3106" s="1" t="str">
        <f>"CK2024102453"</f>
        <v>CK2024102453</v>
      </c>
      <c r="C3106" s="1" t="str">
        <f>"DD2024102423251"</f>
        <v>DD2024102423251</v>
      </c>
      <c r="D3106" s="1" t="str">
        <f>"CK2024102417164"</f>
        <v>CK2024102417164</v>
      </c>
      <c r="E3106" s="1" t="str">
        <f>"2429801923970412"</f>
        <v>2429801923970412</v>
      </c>
      <c r="F3106" s="1" t="str">
        <f t="shared" si="1023"/>
        <v>花都四部-凤凰仓</v>
      </c>
      <c r="G3106" s="1" t="str">
        <f t="shared" si="1027"/>
        <v>卡卡杜佳旺专卖店（快手店）</v>
      </c>
      <c r="H3106" s="1" t="str">
        <f t="shared" si="1024"/>
        <v>正常订单</v>
      </c>
      <c r="I3106" s="1" t="str">
        <f t="shared" si="1025"/>
        <v>已发货</v>
      </c>
      <c r="J3106" s="1" t="str">
        <f t="shared" si="1035"/>
        <v>3</v>
      </c>
      <c r="K3106" s="1">
        <v>2</v>
      </c>
      <c r="L3106" s="1" t="s">
        <v>20</v>
      </c>
      <c r="M3106" s="1" t="str">
        <f>"浙江省 温州市 温州经济技术开发区 星海街道"</f>
        <v>浙江省 温州市 温州经济技术开发区 星海街道</v>
      </c>
      <c r="N3106" s="1" t="str">
        <f t="shared" si="1028"/>
        <v>凡华云仓-城南圆通-快手</v>
      </c>
      <c r="O3106" s="5" t="s">
        <v>3140</v>
      </c>
      <c r="P3106" s="6">
        <v>0.35</v>
      </c>
      <c r="Q3106" s="11">
        <v>2.2999999999999998</v>
      </c>
      <c r="R3106" s="11"/>
      <c r="S3106" s="11"/>
      <c r="T3106" s="11"/>
      <c r="U3106" s="11">
        <f t="shared" si="1021"/>
        <v>2.2999999999999998</v>
      </c>
      <c r="W3106">
        <v>2.5</v>
      </c>
      <c r="X3106" s="1" t="s">
        <v>20</v>
      </c>
    </row>
    <row r="3107" spans="1:24" x14ac:dyDescent="0.25">
      <c r="A3107" s="1" t="str">
        <f t="shared" si="1022"/>
        <v>卡卡杜-凤凰仓</v>
      </c>
      <c r="B3107" s="1" t="str">
        <f>"CK20241024107"</f>
        <v>CK20241024107</v>
      </c>
      <c r="C3107" s="1" t="str">
        <f>"DD2024102423306"</f>
        <v>DD2024102423306</v>
      </c>
      <c r="D3107" s="1" t="str">
        <f>"CK2024102417163"</f>
        <v>CK2024102417163</v>
      </c>
      <c r="E3107" s="1" t="str">
        <f>"2429701864121359"</f>
        <v>2429701864121359</v>
      </c>
      <c r="F3107" s="1" t="str">
        <f t="shared" si="1023"/>
        <v>花都四部-凤凰仓</v>
      </c>
      <c r="G3107" s="1" t="str">
        <f t="shared" si="1027"/>
        <v>卡卡杜佳旺专卖店（快手店）</v>
      </c>
      <c r="H3107" s="1" t="str">
        <f t="shared" si="1024"/>
        <v>正常订单</v>
      </c>
      <c r="I3107" s="1" t="str">
        <f t="shared" si="1025"/>
        <v>已发货</v>
      </c>
      <c r="J3107" s="1" t="str">
        <f t="shared" si="1035"/>
        <v>3</v>
      </c>
      <c r="K3107" s="1">
        <v>2</v>
      </c>
      <c r="L3107" s="1" t="s">
        <v>41</v>
      </c>
      <c r="M3107" s="1" t="str">
        <f>"湖北省 襄阳市 谷城县 城关镇"</f>
        <v>湖北省 襄阳市 谷城县 城关镇</v>
      </c>
      <c r="N3107" s="1" t="str">
        <f t="shared" si="1028"/>
        <v>凡华云仓-城南圆通-快手</v>
      </c>
      <c r="O3107" s="5" t="s">
        <v>3141</v>
      </c>
      <c r="P3107" s="6">
        <v>0.35</v>
      </c>
      <c r="Q3107" s="11">
        <v>2.2999999999999998</v>
      </c>
      <c r="R3107" s="11"/>
      <c r="S3107" s="11"/>
      <c r="T3107" s="11"/>
      <c r="U3107" s="11">
        <f t="shared" si="1021"/>
        <v>2.2999999999999998</v>
      </c>
      <c r="W3107">
        <v>2.5</v>
      </c>
      <c r="X3107" s="1" t="s">
        <v>41</v>
      </c>
    </row>
    <row r="3108" spans="1:24" x14ac:dyDescent="0.25">
      <c r="A3108" s="1" t="str">
        <f t="shared" si="1022"/>
        <v>卡卡杜-凤凰仓</v>
      </c>
      <c r="B3108" s="1" t="str">
        <f>"CK2024102481"</f>
        <v>CK2024102481</v>
      </c>
      <c r="C3108" s="1" t="str">
        <f>"DD2024102423279"</f>
        <v>DD2024102423279</v>
      </c>
      <c r="D3108" s="1" t="str">
        <f>"CK2024102417162"</f>
        <v>CK2024102417162</v>
      </c>
      <c r="E3108" s="1" t="str">
        <f>"2429801685889876"</f>
        <v>2429801685889876</v>
      </c>
      <c r="F3108" s="1" t="str">
        <f t="shared" si="1023"/>
        <v>花都四部-凤凰仓</v>
      </c>
      <c r="G3108" s="1" t="str">
        <f t="shared" si="1027"/>
        <v>卡卡杜佳旺专卖店（快手店）</v>
      </c>
      <c r="H3108" s="1" t="str">
        <f t="shared" si="1024"/>
        <v>正常订单</v>
      </c>
      <c r="I3108" s="1" t="str">
        <f t="shared" si="1025"/>
        <v>已发货</v>
      </c>
      <c r="J3108" s="1" t="str">
        <f t="shared" si="1035"/>
        <v>3</v>
      </c>
      <c r="K3108" s="1">
        <v>2</v>
      </c>
      <c r="L3108" s="1" t="s">
        <v>161</v>
      </c>
      <c r="M3108" s="1" t="str">
        <f>"四川省 成都市 成华区 万年场街道"</f>
        <v>四川省 成都市 成华区 万年场街道</v>
      </c>
      <c r="N3108" s="1" t="str">
        <f t="shared" si="1028"/>
        <v>凡华云仓-城南圆通-快手</v>
      </c>
      <c r="O3108" s="5" t="s">
        <v>3142</v>
      </c>
      <c r="P3108" s="6">
        <v>0.35</v>
      </c>
      <c r="Q3108" s="11">
        <v>2.2999999999999998</v>
      </c>
      <c r="R3108" s="11"/>
      <c r="S3108" s="11"/>
      <c r="T3108" s="11"/>
      <c r="U3108" s="11">
        <f t="shared" si="1021"/>
        <v>2.2999999999999998</v>
      </c>
      <c r="W3108">
        <v>2.5</v>
      </c>
      <c r="X3108" s="1" t="s">
        <v>161</v>
      </c>
    </row>
    <row r="3109" spans="1:24" x14ac:dyDescent="0.25">
      <c r="A3109" s="1" t="str">
        <f t="shared" si="1022"/>
        <v>卡卡杜-凤凰仓</v>
      </c>
      <c r="B3109" s="1" t="str">
        <f>"CK2024102439"</f>
        <v>CK2024102439</v>
      </c>
      <c r="C3109" s="1" t="str">
        <f>"DD2024102423236"</f>
        <v>DD2024102423236</v>
      </c>
      <c r="D3109" s="1" t="str">
        <f>"CK2024102417161"</f>
        <v>CK2024102417161</v>
      </c>
      <c r="E3109" s="1" t="str">
        <f>"2429702336699106"</f>
        <v>2429702336699106</v>
      </c>
      <c r="F3109" s="1" t="str">
        <f t="shared" si="1023"/>
        <v>花都四部-凤凰仓</v>
      </c>
      <c r="G3109" s="1" t="str">
        <f t="shared" si="1027"/>
        <v>卡卡杜佳旺专卖店（快手店）</v>
      </c>
      <c r="H3109" s="1" t="str">
        <f t="shared" si="1024"/>
        <v>正常订单</v>
      </c>
      <c r="I3109" s="1" t="str">
        <f t="shared" si="1025"/>
        <v>已发货</v>
      </c>
      <c r="J3109" s="1" t="str">
        <f t="shared" si="1035"/>
        <v>3</v>
      </c>
      <c r="K3109" s="1">
        <v>2</v>
      </c>
      <c r="L3109" s="1" t="s">
        <v>136</v>
      </c>
      <c r="M3109" s="1" t="str">
        <f>"北京市 北京市 西城区 金融街街道"</f>
        <v>北京市 北京市 西城区 金融街街道</v>
      </c>
      <c r="N3109" s="1" t="str">
        <f t="shared" si="1028"/>
        <v>凡华云仓-城南圆通-快手</v>
      </c>
      <c r="O3109" s="5" t="s">
        <v>3143</v>
      </c>
      <c r="P3109" s="6">
        <v>0.35</v>
      </c>
      <c r="Q3109" s="11">
        <v>2.2999999999999998</v>
      </c>
      <c r="R3109" s="11"/>
      <c r="S3109" s="11"/>
      <c r="T3109" s="11"/>
      <c r="U3109" s="11">
        <f t="shared" si="1021"/>
        <v>2.2999999999999998</v>
      </c>
      <c r="W3109">
        <v>2.5</v>
      </c>
      <c r="X3109" s="1" t="s">
        <v>136</v>
      </c>
    </row>
    <row r="3110" spans="1:24" x14ac:dyDescent="0.25">
      <c r="A3110" s="1" t="str">
        <f t="shared" si="1022"/>
        <v>卡卡杜-凤凰仓</v>
      </c>
      <c r="B3110" s="1" t="str">
        <f>"CK2024102480"</f>
        <v>CK2024102480</v>
      </c>
      <c r="C3110" s="1" t="str">
        <f>"DD2024102423277"</f>
        <v>DD2024102423277</v>
      </c>
      <c r="D3110" s="1" t="str">
        <f>"CK2024102417160"</f>
        <v>CK2024102417160</v>
      </c>
      <c r="E3110" s="1" t="str">
        <f>"2429801841385435"</f>
        <v>2429801841385435</v>
      </c>
      <c r="F3110" s="1" t="str">
        <f t="shared" si="1023"/>
        <v>花都四部-凤凰仓</v>
      </c>
      <c r="G3110" s="1" t="str">
        <f t="shared" si="1027"/>
        <v>卡卡杜佳旺专卖店（快手店）</v>
      </c>
      <c r="H3110" s="1" t="str">
        <f t="shared" si="1024"/>
        <v>正常订单</v>
      </c>
      <c r="I3110" s="1" t="str">
        <f t="shared" si="1025"/>
        <v>已发货</v>
      </c>
      <c r="J3110" s="1" t="str">
        <f t="shared" si="1035"/>
        <v>3</v>
      </c>
      <c r="K3110" s="1">
        <v>2</v>
      </c>
      <c r="L3110" s="1" t="s">
        <v>30</v>
      </c>
      <c r="M3110" s="1" t="str">
        <f>"山东省 威海市 威海火炬高技术产业开发区 怡园街道"</f>
        <v>山东省 威海市 威海火炬高技术产业开发区 怡园街道</v>
      </c>
      <c r="N3110" s="1" t="str">
        <f t="shared" si="1028"/>
        <v>凡华云仓-城南圆通-快手</v>
      </c>
      <c r="O3110" s="5" t="s">
        <v>3144</v>
      </c>
      <c r="P3110" s="6">
        <v>0.35</v>
      </c>
      <c r="Q3110" s="11">
        <v>2.2999999999999998</v>
      </c>
      <c r="R3110" s="11"/>
      <c r="S3110" s="11"/>
      <c r="T3110" s="11"/>
      <c r="U3110" s="11">
        <f t="shared" si="1021"/>
        <v>2.2999999999999998</v>
      </c>
      <c r="W3110">
        <v>2.5</v>
      </c>
      <c r="X3110" s="1" t="s">
        <v>30</v>
      </c>
    </row>
    <row r="3111" spans="1:24" x14ac:dyDescent="0.25">
      <c r="A3111" s="1" t="str">
        <f t="shared" si="1022"/>
        <v>卡卡杜-凤凰仓</v>
      </c>
      <c r="B3111" s="1" t="str">
        <f>"CK2024102454"</f>
        <v>CK2024102454</v>
      </c>
      <c r="C3111" s="1" t="str">
        <f>"DD2024102423252"</f>
        <v>DD2024102423252</v>
      </c>
      <c r="D3111" s="1" t="str">
        <f>"CK2024102417159"</f>
        <v>CK2024102417159</v>
      </c>
      <c r="E3111" s="1" t="str">
        <f>"2429802485656494"</f>
        <v>2429802485656494</v>
      </c>
      <c r="F3111" s="1" t="str">
        <f t="shared" si="1023"/>
        <v>花都四部-凤凰仓</v>
      </c>
      <c r="G3111" s="1" t="str">
        <f t="shared" si="1027"/>
        <v>卡卡杜佳旺专卖店（快手店）</v>
      </c>
      <c r="H3111" s="1" t="str">
        <f t="shared" si="1024"/>
        <v>正常订单</v>
      </c>
      <c r="I3111" s="1" t="str">
        <f t="shared" si="1025"/>
        <v>已发货</v>
      </c>
      <c r="J3111" s="1" t="str">
        <f t="shared" si="1035"/>
        <v>3</v>
      </c>
      <c r="K3111" s="1">
        <v>2</v>
      </c>
      <c r="L3111" s="1" t="s">
        <v>18</v>
      </c>
      <c r="M3111" s="1" t="str">
        <f>"广东省 广州市 白云区 江高镇"</f>
        <v>广东省 广州市 白云区 江高镇</v>
      </c>
      <c r="N3111" s="1" t="str">
        <f t="shared" si="1028"/>
        <v>凡华云仓-城南圆通-快手</v>
      </c>
      <c r="O3111" s="5" t="s">
        <v>3145</v>
      </c>
      <c r="P3111" s="6">
        <v>0.35</v>
      </c>
      <c r="Q3111" s="11">
        <v>2.2999999999999998</v>
      </c>
      <c r="R3111" s="11"/>
      <c r="S3111" s="11"/>
      <c r="T3111" s="11"/>
      <c r="U3111" s="11">
        <f t="shared" si="1021"/>
        <v>2.2999999999999998</v>
      </c>
      <c r="W3111">
        <v>2.5</v>
      </c>
      <c r="X3111" s="1" t="s">
        <v>18</v>
      </c>
    </row>
    <row r="3112" spans="1:24" x14ac:dyDescent="0.25">
      <c r="A3112" s="1" t="str">
        <f t="shared" si="1022"/>
        <v>卡卡杜-凤凰仓</v>
      </c>
      <c r="B3112" s="1" t="str">
        <f>"CK2024102487"</f>
        <v>CK2024102487</v>
      </c>
      <c r="C3112" s="1" t="str">
        <f>"DD2024102423285"</f>
        <v>DD2024102423285</v>
      </c>
      <c r="D3112" s="1" t="str">
        <f>"CK2024102417158"</f>
        <v>CK2024102417158</v>
      </c>
      <c r="E3112" s="1" t="str">
        <f>"2429801920563894"</f>
        <v>2429801920563894</v>
      </c>
      <c r="F3112" s="1" t="str">
        <f t="shared" si="1023"/>
        <v>花都四部-凤凰仓</v>
      </c>
      <c r="G3112" s="1" t="str">
        <f t="shared" si="1027"/>
        <v>卡卡杜佳旺专卖店（快手店）</v>
      </c>
      <c r="H3112" s="1" t="str">
        <f t="shared" si="1024"/>
        <v>正常订单</v>
      </c>
      <c r="I3112" s="1" t="str">
        <f t="shared" si="1025"/>
        <v>已发货</v>
      </c>
      <c r="J3112" s="1" t="str">
        <f t="shared" si="1035"/>
        <v>3</v>
      </c>
      <c r="K3112" s="1">
        <v>2</v>
      </c>
      <c r="L3112" s="1" t="s">
        <v>20</v>
      </c>
      <c r="M3112" s="1" t="str">
        <f>"浙江省 温州市 平阳县 万全镇"</f>
        <v>浙江省 温州市 平阳县 万全镇</v>
      </c>
      <c r="N3112" s="1" t="str">
        <f t="shared" si="1028"/>
        <v>凡华云仓-城南圆通-快手</v>
      </c>
      <c r="O3112" s="5" t="s">
        <v>3146</v>
      </c>
      <c r="P3112" s="6">
        <v>0.35</v>
      </c>
      <c r="Q3112" s="11">
        <v>2.2999999999999998</v>
      </c>
      <c r="R3112" s="11"/>
      <c r="S3112" s="11"/>
      <c r="T3112" s="11"/>
      <c r="U3112" s="11">
        <f t="shared" si="1021"/>
        <v>2.2999999999999998</v>
      </c>
      <c r="W3112">
        <v>2.5</v>
      </c>
      <c r="X3112" s="1" t="s">
        <v>20</v>
      </c>
    </row>
    <row r="3113" spans="1:24" x14ac:dyDescent="0.25">
      <c r="A3113" s="1" t="str">
        <f t="shared" si="1022"/>
        <v>卡卡杜-凤凰仓</v>
      </c>
      <c r="B3113" s="1" t="str">
        <f>"CK20241024161"</f>
        <v>CK20241024161</v>
      </c>
      <c r="C3113" s="1" t="str">
        <f>"DD2024102423371"</f>
        <v>DD2024102423371</v>
      </c>
      <c r="D3113" s="1" t="str">
        <f>"CK2024102417157"</f>
        <v>CK2024102417157</v>
      </c>
      <c r="E3113" s="1" t="str">
        <f>"2429801681115686"</f>
        <v>2429801681115686</v>
      </c>
      <c r="F3113" s="1" t="str">
        <f t="shared" si="1023"/>
        <v>花都四部-凤凰仓</v>
      </c>
      <c r="G3113" s="1" t="str">
        <f t="shared" si="1027"/>
        <v>卡卡杜佳旺专卖店（快手店）</v>
      </c>
      <c r="H3113" s="1" t="str">
        <f t="shared" si="1024"/>
        <v>正常订单</v>
      </c>
      <c r="I3113" s="1" t="str">
        <f t="shared" si="1025"/>
        <v>已发货</v>
      </c>
      <c r="J3113" s="1" t="str">
        <f>"5"</f>
        <v>5</v>
      </c>
      <c r="K3113" s="1">
        <v>2</v>
      </c>
      <c r="L3113" s="1" t="s">
        <v>30</v>
      </c>
      <c r="M3113" s="1" t="str">
        <f>"山东省 枣庄市 滕州市 荆河街道"</f>
        <v>山东省 枣庄市 滕州市 荆河街道</v>
      </c>
      <c r="N3113" s="1" t="str">
        <f t="shared" si="1028"/>
        <v>凡华云仓-城南圆通-快手</v>
      </c>
      <c r="O3113" s="5" t="s">
        <v>3147</v>
      </c>
      <c r="P3113" s="6">
        <v>0.59</v>
      </c>
      <c r="Q3113" s="11">
        <f>CEILING(P3113-0.5,0.1)*10*0.15+2.3</f>
        <v>2.4499999999999997</v>
      </c>
      <c r="R3113" s="11"/>
      <c r="S3113" s="11"/>
      <c r="T3113" s="11"/>
      <c r="U3113" s="11">
        <f t="shared" si="1021"/>
        <v>2.4499999999999997</v>
      </c>
      <c r="V3113" t="s">
        <v>15</v>
      </c>
      <c r="W3113">
        <v>2.4500000000000002</v>
      </c>
      <c r="X3113" s="1" t="s">
        <v>30</v>
      </c>
    </row>
    <row r="3114" spans="1:24" x14ac:dyDescent="0.25">
      <c r="A3114" s="1" t="str">
        <f t="shared" si="1022"/>
        <v>卡卡杜-凤凰仓</v>
      </c>
      <c r="B3114" s="1" t="str">
        <f>"CK20241024209"</f>
        <v>CK20241024209</v>
      </c>
      <c r="C3114" s="1" t="str">
        <f>"DD2024102423951"</f>
        <v>DD2024102423951</v>
      </c>
      <c r="D3114" s="1" t="str">
        <f>"CK2024102417156"</f>
        <v>CK2024102417156</v>
      </c>
      <c r="E3114" s="1" t="str">
        <f>"2429702510410037"</f>
        <v>2429702510410037</v>
      </c>
      <c r="F3114" s="1" t="str">
        <f t="shared" si="1023"/>
        <v>花都四部-凤凰仓</v>
      </c>
      <c r="G3114" s="1" t="str">
        <f t="shared" si="1027"/>
        <v>卡卡杜佳旺专卖店（快手店）</v>
      </c>
      <c r="H3114" s="1" t="str">
        <f t="shared" si="1024"/>
        <v>正常订单</v>
      </c>
      <c r="I3114" s="1" t="str">
        <f t="shared" si="1025"/>
        <v>已发货</v>
      </c>
      <c r="J3114" s="1" t="str">
        <f>"8"</f>
        <v>8</v>
      </c>
      <c r="K3114" s="1">
        <v>1</v>
      </c>
      <c r="L3114" s="1" t="s">
        <v>30</v>
      </c>
      <c r="M3114" s="1" t="str">
        <f>"山东省 青岛市 黄岛区 珠海街道"</f>
        <v>山东省 青岛市 黄岛区 珠海街道</v>
      </c>
      <c r="N3114" s="1" t="str">
        <f t="shared" si="1028"/>
        <v>凡华云仓-城南圆通-快手</v>
      </c>
      <c r="O3114" s="5" t="s">
        <v>3148</v>
      </c>
      <c r="P3114" s="6">
        <v>1.1200000000000001</v>
      </c>
      <c r="Q3114" s="11">
        <f>CEILING(P3114-0.5,0.1)*10*0.15+2.3</f>
        <v>3.3499999999999996</v>
      </c>
      <c r="R3114" s="11"/>
      <c r="S3114" s="11"/>
      <c r="T3114" s="11"/>
      <c r="U3114" s="11">
        <f t="shared" si="1021"/>
        <v>3.3499999999999996</v>
      </c>
      <c r="V3114" t="s">
        <v>15</v>
      </c>
      <c r="W3114">
        <v>3.35</v>
      </c>
      <c r="X3114" s="1" t="s">
        <v>30</v>
      </c>
    </row>
    <row r="3115" spans="1:24" x14ac:dyDescent="0.25">
      <c r="A3115" s="1" t="str">
        <f t="shared" si="1022"/>
        <v>卡卡杜-凤凰仓</v>
      </c>
      <c r="B3115" s="1" t="str">
        <f>"CK2024102441"</f>
        <v>CK2024102441</v>
      </c>
      <c r="C3115" s="1" t="str">
        <f>"DD2024102423239"</f>
        <v>DD2024102423239</v>
      </c>
      <c r="D3115" s="1" t="str">
        <f>"CK2024102417155"</f>
        <v>CK2024102417155</v>
      </c>
      <c r="E3115" s="1" t="str">
        <f>"2429702502864967"</f>
        <v>2429702502864967</v>
      </c>
      <c r="F3115" s="1" t="str">
        <f t="shared" si="1023"/>
        <v>花都四部-凤凰仓</v>
      </c>
      <c r="G3115" s="1" t="str">
        <f t="shared" si="1027"/>
        <v>卡卡杜佳旺专卖店（快手店）</v>
      </c>
      <c r="H3115" s="1" t="str">
        <f t="shared" si="1024"/>
        <v>正常订单</v>
      </c>
      <c r="I3115" s="1" t="str">
        <f t="shared" si="1025"/>
        <v>已发货</v>
      </c>
      <c r="J3115" s="1" t="str">
        <f t="shared" ref="J3115:J3122" si="1036">"3"</f>
        <v>3</v>
      </c>
      <c r="K3115" s="1">
        <v>2</v>
      </c>
      <c r="L3115" s="1" t="s">
        <v>80</v>
      </c>
      <c r="M3115" s="1" t="str">
        <f>"河南省 郑州市 郑州高新技术产业开发区 石佛镇"</f>
        <v>河南省 郑州市 郑州高新技术产业开发区 石佛镇</v>
      </c>
      <c r="N3115" s="1" t="str">
        <f t="shared" si="1028"/>
        <v>凡华云仓-城南圆通-快手</v>
      </c>
      <c r="O3115" s="5" t="s">
        <v>3149</v>
      </c>
      <c r="P3115" s="6">
        <v>0.35</v>
      </c>
      <c r="Q3115" s="11">
        <v>2.2999999999999998</v>
      </c>
      <c r="R3115" s="11"/>
      <c r="S3115" s="11"/>
      <c r="T3115" s="11"/>
      <c r="U3115" s="11">
        <f t="shared" si="1021"/>
        <v>2.2999999999999998</v>
      </c>
      <c r="W3115">
        <v>2.5</v>
      </c>
      <c r="X3115" s="1" t="s">
        <v>80</v>
      </c>
    </row>
    <row r="3116" spans="1:24" x14ac:dyDescent="0.25">
      <c r="A3116" s="1" t="str">
        <f t="shared" si="1022"/>
        <v>卡卡杜-凤凰仓</v>
      </c>
      <c r="B3116" s="1" t="str">
        <f>"CK2024102477"</f>
        <v>CK2024102477</v>
      </c>
      <c r="C3116" s="1" t="str">
        <f>"DD2024102423275"</f>
        <v>DD2024102423275</v>
      </c>
      <c r="D3116" s="1" t="str">
        <f>"CK2024102417154"</f>
        <v>CK2024102417154</v>
      </c>
      <c r="E3116" s="1" t="str">
        <f>"2429801601377156"</f>
        <v>2429801601377156</v>
      </c>
      <c r="F3116" s="1" t="str">
        <f t="shared" si="1023"/>
        <v>花都四部-凤凰仓</v>
      </c>
      <c r="G3116" s="1" t="str">
        <f t="shared" si="1027"/>
        <v>卡卡杜佳旺专卖店（快手店）</v>
      </c>
      <c r="H3116" s="1" t="str">
        <f t="shared" si="1024"/>
        <v>正常订单</v>
      </c>
      <c r="I3116" s="1" t="str">
        <f t="shared" si="1025"/>
        <v>已发货</v>
      </c>
      <c r="J3116" s="1" t="str">
        <f t="shared" si="1036"/>
        <v>3</v>
      </c>
      <c r="K3116" s="1">
        <v>2</v>
      </c>
      <c r="L3116" s="1" t="s">
        <v>18</v>
      </c>
      <c r="M3116" s="1" t="str">
        <f>"广东省 珠海市 斗门区 乾务镇"</f>
        <v>广东省 珠海市 斗门区 乾务镇</v>
      </c>
      <c r="N3116" s="1" t="str">
        <f t="shared" si="1028"/>
        <v>凡华云仓-城南圆通-快手</v>
      </c>
      <c r="O3116" s="5" t="s">
        <v>3150</v>
      </c>
      <c r="P3116" s="6">
        <v>0.35</v>
      </c>
      <c r="Q3116" s="11">
        <v>2.2999999999999998</v>
      </c>
      <c r="R3116" s="11"/>
      <c r="S3116" s="11"/>
      <c r="T3116" s="11"/>
      <c r="U3116" s="11">
        <f t="shared" si="1021"/>
        <v>2.2999999999999998</v>
      </c>
      <c r="W3116">
        <v>2.5</v>
      </c>
      <c r="X3116" s="1" t="s">
        <v>18</v>
      </c>
    </row>
    <row r="3117" spans="1:24" x14ac:dyDescent="0.25">
      <c r="A3117" s="1" t="str">
        <f t="shared" si="1022"/>
        <v>卡卡杜-凤凰仓</v>
      </c>
      <c r="B3117" s="1" t="str">
        <f>"CK20241024211"</f>
        <v>CK20241024211</v>
      </c>
      <c r="C3117" s="1" t="str">
        <f>"DD2024102423954"</f>
        <v>DD2024102423954</v>
      </c>
      <c r="D3117" s="1" t="str">
        <f>"CK2024102417153"</f>
        <v>CK2024102417153</v>
      </c>
      <c r="E3117" s="1" t="str">
        <f>"2429802241299798"</f>
        <v>2429802241299798</v>
      </c>
      <c r="F3117" s="1" t="str">
        <f t="shared" si="1023"/>
        <v>花都四部-凤凰仓</v>
      </c>
      <c r="G3117" s="1" t="str">
        <f t="shared" si="1027"/>
        <v>卡卡杜佳旺专卖店（快手店）</v>
      </c>
      <c r="H3117" s="1" t="str">
        <f t="shared" si="1024"/>
        <v>正常订单</v>
      </c>
      <c r="I3117" s="1" t="str">
        <f t="shared" si="1025"/>
        <v>已发货</v>
      </c>
      <c r="J3117" s="1" t="str">
        <f>"2"</f>
        <v>2</v>
      </c>
      <c r="K3117" s="1">
        <v>2</v>
      </c>
      <c r="L3117" s="1" t="s">
        <v>36</v>
      </c>
      <c r="M3117" s="1" t="str">
        <f>"安徽省 蚌埠市 怀远县 榴城镇"</f>
        <v>安徽省 蚌埠市 怀远县 榴城镇</v>
      </c>
      <c r="N3117" s="1" t="str">
        <f t="shared" si="1028"/>
        <v>凡华云仓-城南圆通-快手</v>
      </c>
      <c r="O3117" s="5" t="s">
        <v>3151</v>
      </c>
      <c r="P3117" s="6">
        <v>0.17</v>
      </c>
      <c r="Q3117" s="11">
        <v>2</v>
      </c>
      <c r="R3117" s="11"/>
      <c r="S3117" s="11"/>
      <c r="T3117" s="11"/>
      <c r="U3117" s="11">
        <f t="shared" si="1021"/>
        <v>2</v>
      </c>
      <c r="W3117">
        <v>2.2000000000000002</v>
      </c>
      <c r="X3117" s="1" t="s">
        <v>36</v>
      </c>
    </row>
    <row r="3118" spans="1:24" x14ac:dyDescent="0.25">
      <c r="A3118" s="1" t="str">
        <f t="shared" si="1022"/>
        <v>卡卡杜-凤凰仓</v>
      </c>
      <c r="B3118" s="1" t="str">
        <f>"CK2024102417"</f>
        <v>CK2024102417</v>
      </c>
      <c r="C3118" s="1" t="str">
        <f>"DD2024102423215"</f>
        <v>DD2024102423215</v>
      </c>
      <c r="D3118" s="1" t="str">
        <f>"CK2024102417152"</f>
        <v>CK2024102417152</v>
      </c>
      <c r="E3118" s="1" t="str">
        <f>"2429801924067312"</f>
        <v>2429801924067312</v>
      </c>
      <c r="F3118" s="1" t="str">
        <f t="shared" si="1023"/>
        <v>花都四部-凤凰仓</v>
      </c>
      <c r="G3118" s="1" t="str">
        <f t="shared" si="1027"/>
        <v>卡卡杜佳旺专卖店（快手店）</v>
      </c>
      <c r="H3118" s="1" t="str">
        <f t="shared" si="1024"/>
        <v>正常订单</v>
      </c>
      <c r="I3118" s="1" t="str">
        <f t="shared" si="1025"/>
        <v>已发货</v>
      </c>
      <c r="J3118" s="1" t="str">
        <f t="shared" si="1036"/>
        <v>3</v>
      </c>
      <c r="K3118" s="1">
        <v>2</v>
      </c>
      <c r="L3118" s="1" t="s">
        <v>18</v>
      </c>
      <c r="M3118" s="1" t="str">
        <f>"广东省 深圳市 宝安区 福海街道"</f>
        <v>广东省 深圳市 宝安区 福海街道</v>
      </c>
      <c r="N3118" s="1" t="str">
        <f t="shared" si="1028"/>
        <v>凡华云仓-城南圆通-快手</v>
      </c>
      <c r="O3118" s="5" t="s">
        <v>3152</v>
      </c>
      <c r="P3118" s="6">
        <v>0.35</v>
      </c>
      <c r="Q3118" s="11">
        <v>2.2999999999999998</v>
      </c>
      <c r="R3118" s="11"/>
      <c r="S3118" s="11"/>
      <c r="T3118" s="11"/>
      <c r="U3118" s="11">
        <f t="shared" si="1021"/>
        <v>2.2999999999999998</v>
      </c>
      <c r="W3118">
        <v>2.5</v>
      </c>
      <c r="X3118" s="1" t="s">
        <v>18</v>
      </c>
    </row>
    <row r="3119" spans="1:24" x14ac:dyDescent="0.25">
      <c r="A3119" s="1" t="str">
        <f t="shared" si="1022"/>
        <v>卡卡杜-凤凰仓</v>
      </c>
      <c r="B3119" s="1" t="str">
        <f>"CK2024102401"</f>
        <v>CK2024102401</v>
      </c>
      <c r="C3119" s="1" t="str">
        <f>"DD2024102423199"</f>
        <v>DD2024102423199</v>
      </c>
      <c r="D3119" s="1" t="str">
        <f>"CK2024102417151"</f>
        <v>CK2024102417151</v>
      </c>
      <c r="E3119" s="1" t="str">
        <f>"2429802081737673"</f>
        <v>2429802081737673</v>
      </c>
      <c r="F3119" s="1" t="str">
        <f t="shared" si="1023"/>
        <v>花都四部-凤凰仓</v>
      </c>
      <c r="G3119" s="1" t="str">
        <f t="shared" si="1027"/>
        <v>卡卡杜佳旺专卖店（快手店）</v>
      </c>
      <c r="H3119" s="1" t="str">
        <f t="shared" si="1024"/>
        <v>正常订单</v>
      </c>
      <c r="I3119" s="1" t="str">
        <f t="shared" si="1025"/>
        <v>已发货</v>
      </c>
      <c r="J3119" s="1" t="str">
        <f t="shared" si="1036"/>
        <v>3</v>
      </c>
      <c r="K3119" s="1">
        <v>3</v>
      </c>
      <c r="L3119" s="1" t="s">
        <v>161</v>
      </c>
      <c r="M3119" s="1" t="str">
        <f>"四川省 成都市 双流区 永安镇"</f>
        <v>四川省 成都市 双流区 永安镇</v>
      </c>
      <c r="N3119" s="1" t="str">
        <f t="shared" si="1028"/>
        <v>凡华云仓-城南圆通-快手</v>
      </c>
      <c r="O3119" s="5" t="s">
        <v>3153</v>
      </c>
      <c r="P3119" s="6">
        <v>0.34</v>
      </c>
      <c r="Q3119" s="11">
        <v>2.2999999999999998</v>
      </c>
      <c r="R3119" s="11"/>
      <c r="S3119" s="11"/>
      <c r="T3119" s="11"/>
      <c r="U3119" s="11">
        <f t="shared" si="1021"/>
        <v>2.2999999999999998</v>
      </c>
      <c r="W3119">
        <v>2.5</v>
      </c>
      <c r="X3119" s="1" t="s">
        <v>161</v>
      </c>
    </row>
    <row r="3120" spans="1:24" x14ac:dyDescent="0.25">
      <c r="A3120" s="1" t="str">
        <f t="shared" si="1022"/>
        <v>卡卡杜-凤凰仓</v>
      </c>
      <c r="B3120" s="1" t="str">
        <f>"CK2024102444"</f>
        <v>CK2024102444</v>
      </c>
      <c r="C3120" s="1" t="str">
        <f>"DD2024102423241"</f>
        <v>DD2024102423241</v>
      </c>
      <c r="D3120" s="1" t="str">
        <f>"CK2024102417150"</f>
        <v>CK2024102417150</v>
      </c>
      <c r="E3120" s="1" t="str">
        <f>"2429702561104307"</f>
        <v>2429702561104307</v>
      </c>
      <c r="F3120" s="1" t="str">
        <f t="shared" si="1023"/>
        <v>花都四部-凤凰仓</v>
      </c>
      <c r="G3120" s="1" t="str">
        <f t="shared" si="1027"/>
        <v>卡卡杜佳旺专卖店（快手店）</v>
      </c>
      <c r="H3120" s="1" t="str">
        <f t="shared" si="1024"/>
        <v>正常订单</v>
      </c>
      <c r="I3120" s="1" t="str">
        <f t="shared" si="1025"/>
        <v>已发货</v>
      </c>
      <c r="J3120" s="1" t="str">
        <f t="shared" si="1036"/>
        <v>3</v>
      </c>
      <c r="K3120" s="1">
        <v>2</v>
      </c>
      <c r="L3120" s="1" t="s">
        <v>60</v>
      </c>
      <c r="M3120" s="1" t="str">
        <f>"云南省 昆明市 盘龙区 金辰街道"</f>
        <v>云南省 昆明市 盘龙区 金辰街道</v>
      </c>
      <c r="N3120" s="1" t="str">
        <f t="shared" si="1028"/>
        <v>凡华云仓-城南圆通-快手</v>
      </c>
      <c r="O3120" s="5" t="s">
        <v>3154</v>
      </c>
      <c r="P3120" s="6">
        <v>0.35</v>
      </c>
      <c r="Q3120" s="11">
        <v>2.2999999999999998</v>
      </c>
      <c r="R3120" s="11"/>
      <c r="S3120" s="11"/>
      <c r="T3120" s="11"/>
      <c r="U3120" s="11">
        <f t="shared" si="1021"/>
        <v>2.2999999999999998</v>
      </c>
      <c r="W3120">
        <v>2.5</v>
      </c>
      <c r="X3120" s="1" t="s">
        <v>60</v>
      </c>
    </row>
    <row r="3121" spans="1:24" x14ac:dyDescent="0.25">
      <c r="A3121" s="1" t="str">
        <f t="shared" si="1022"/>
        <v>卡卡杜-凤凰仓</v>
      </c>
      <c r="B3121" s="1" t="str">
        <f>"CK20241024109"</f>
        <v>CK20241024109</v>
      </c>
      <c r="C3121" s="1" t="str">
        <f>"DD2024102423308"</f>
        <v>DD2024102423308</v>
      </c>
      <c r="D3121" s="1" t="str">
        <f>"CK2024102417149"</f>
        <v>CK2024102417149</v>
      </c>
      <c r="E3121" s="1" t="str">
        <f>"2429702503704713"</f>
        <v>2429702503704713</v>
      </c>
      <c r="F3121" s="1" t="str">
        <f t="shared" si="1023"/>
        <v>花都四部-凤凰仓</v>
      </c>
      <c r="G3121" s="1" t="str">
        <f t="shared" si="1027"/>
        <v>卡卡杜佳旺专卖店（快手店）</v>
      </c>
      <c r="H3121" s="1" t="str">
        <f t="shared" si="1024"/>
        <v>正常订单</v>
      </c>
      <c r="I3121" s="1" t="str">
        <f t="shared" si="1025"/>
        <v>已发货</v>
      </c>
      <c r="J3121" s="1" t="str">
        <f t="shared" si="1036"/>
        <v>3</v>
      </c>
      <c r="K3121" s="1">
        <v>2</v>
      </c>
      <c r="L3121" s="1" t="s">
        <v>20</v>
      </c>
      <c r="M3121" s="1" t="str">
        <f>"浙江省 杭州市 西湖区 留下街道"</f>
        <v>浙江省 杭州市 西湖区 留下街道</v>
      </c>
      <c r="N3121" s="1" t="str">
        <f t="shared" si="1028"/>
        <v>凡华云仓-城南圆通-快手</v>
      </c>
      <c r="O3121" s="5" t="s">
        <v>3155</v>
      </c>
      <c r="P3121" s="6">
        <v>0.35</v>
      </c>
      <c r="Q3121" s="11">
        <v>2.2999999999999998</v>
      </c>
      <c r="R3121" s="11"/>
      <c r="S3121" s="11"/>
      <c r="T3121" s="11"/>
      <c r="U3121" s="11">
        <f t="shared" si="1021"/>
        <v>2.2999999999999998</v>
      </c>
      <c r="W3121">
        <v>2.5</v>
      </c>
      <c r="X3121" s="1" t="s">
        <v>20</v>
      </c>
    </row>
    <row r="3122" spans="1:24" x14ac:dyDescent="0.25">
      <c r="A3122" s="1" t="str">
        <f t="shared" si="1022"/>
        <v>卡卡杜-凤凰仓</v>
      </c>
      <c r="B3122" s="1" t="str">
        <f>"CK20241024108"</f>
        <v>CK20241024108</v>
      </c>
      <c r="C3122" s="1" t="str">
        <f>"DD2024102423305"</f>
        <v>DD2024102423305</v>
      </c>
      <c r="D3122" s="1" t="str">
        <f>"CK2024102417148"</f>
        <v>CK2024102417148</v>
      </c>
      <c r="E3122" s="1" t="str">
        <f>"2429702037377846"</f>
        <v>2429702037377846</v>
      </c>
      <c r="F3122" s="1" t="str">
        <f t="shared" si="1023"/>
        <v>花都四部-凤凰仓</v>
      </c>
      <c r="G3122" s="1" t="str">
        <f t="shared" si="1027"/>
        <v>卡卡杜佳旺专卖店（快手店）</v>
      </c>
      <c r="H3122" s="1" t="str">
        <f t="shared" si="1024"/>
        <v>正常订单</v>
      </c>
      <c r="I3122" s="1" t="str">
        <f t="shared" si="1025"/>
        <v>已发货</v>
      </c>
      <c r="J3122" s="1" t="str">
        <f t="shared" si="1036"/>
        <v>3</v>
      </c>
      <c r="K3122" s="1">
        <v>2</v>
      </c>
      <c r="L3122" s="1" t="s">
        <v>18</v>
      </c>
      <c r="M3122" s="1" t="str">
        <f>"广东省 惠州市 惠阳区 三和街道"</f>
        <v>广东省 惠州市 惠阳区 三和街道</v>
      </c>
      <c r="N3122" s="1" t="str">
        <f t="shared" si="1028"/>
        <v>凡华云仓-城南圆通-快手</v>
      </c>
      <c r="O3122" s="5" t="s">
        <v>3156</v>
      </c>
      <c r="P3122" s="6">
        <v>0.35</v>
      </c>
      <c r="Q3122" s="11">
        <v>2.2999999999999998</v>
      </c>
      <c r="R3122" s="11"/>
      <c r="S3122" s="11"/>
      <c r="T3122" s="11"/>
      <c r="U3122" s="11">
        <f t="shared" si="1021"/>
        <v>2.2999999999999998</v>
      </c>
      <c r="W3122">
        <v>2.5</v>
      </c>
      <c r="X3122" s="1" t="s">
        <v>18</v>
      </c>
    </row>
    <row r="3123" spans="1:24" x14ac:dyDescent="0.25">
      <c r="A3123" s="1" t="str">
        <f t="shared" si="1022"/>
        <v>卡卡杜-凤凰仓</v>
      </c>
      <c r="B3123" s="1" t="str">
        <f>"CK20241024158"</f>
        <v>CK20241024158</v>
      </c>
      <c r="C3123" s="1" t="str">
        <f>"DD2024102423369"</f>
        <v>DD2024102423369</v>
      </c>
      <c r="D3123" s="1" t="str">
        <f>"CK2024102417147"</f>
        <v>CK2024102417147</v>
      </c>
      <c r="E3123" s="1" t="str">
        <f>"2429702351946880"</f>
        <v>2429702351946880</v>
      </c>
      <c r="F3123" s="1" t="str">
        <f t="shared" si="1023"/>
        <v>花都四部-凤凰仓</v>
      </c>
      <c r="G3123" s="1" t="str">
        <f t="shared" si="1027"/>
        <v>卡卡杜佳旺专卖店（快手店）</v>
      </c>
      <c r="H3123" s="1" t="str">
        <f t="shared" si="1024"/>
        <v>正常订单</v>
      </c>
      <c r="I3123" s="1" t="str">
        <f t="shared" si="1025"/>
        <v>已发货</v>
      </c>
      <c r="J3123" s="1" t="str">
        <f>"5"</f>
        <v>5</v>
      </c>
      <c r="K3123" s="1">
        <v>2</v>
      </c>
      <c r="L3123" s="1" t="s">
        <v>710</v>
      </c>
      <c r="M3123" s="1" t="str">
        <f>"上海市 上海市 闵行区 虹桥镇"</f>
        <v>上海市 上海市 闵行区 虹桥镇</v>
      </c>
      <c r="N3123" s="1" t="str">
        <f t="shared" si="1028"/>
        <v>凡华云仓-城南圆通-快手</v>
      </c>
      <c r="O3123" s="5" t="s">
        <v>3157</v>
      </c>
      <c r="P3123" s="6">
        <v>0.59</v>
      </c>
      <c r="Q3123" s="11">
        <f>CEILING(P3123-0.5,0.1)*10*0.15+2.3</f>
        <v>2.4499999999999997</v>
      </c>
      <c r="R3123" s="11"/>
      <c r="S3123" s="11"/>
      <c r="T3123" s="11"/>
      <c r="U3123" s="11">
        <f t="shared" si="1021"/>
        <v>2.4499999999999997</v>
      </c>
      <c r="V3123" t="s">
        <v>15</v>
      </c>
      <c r="W3123">
        <v>2.4500000000000002</v>
      </c>
      <c r="X3123" s="1" t="s">
        <v>710</v>
      </c>
    </row>
    <row r="3124" spans="1:24" x14ac:dyDescent="0.25">
      <c r="A3124" s="1" t="str">
        <f t="shared" si="1022"/>
        <v>卡卡杜-凤凰仓</v>
      </c>
      <c r="B3124" s="1" t="str">
        <f>"CK2024102478"</f>
        <v>CK2024102478</v>
      </c>
      <c r="C3124" s="1" t="str">
        <f>"DD2024102423276"</f>
        <v>DD2024102423276</v>
      </c>
      <c r="D3124" s="1" t="str">
        <f>"CK2024102417146"</f>
        <v>CK2024102417146</v>
      </c>
      <c r="E3124" s="1" t="str">
        <f>"2429702348907001"</f>
        <v>2429702348907001</v>
      </c>
      <c r="F3124" s="1" t="str">
        <f t="shared" si="1023"/>
        <v>花都四部-凤凰仓</v>
      </c>
      <c r="G3124" s="1" t="str">
        <f t="shared" si="1027"/>
        <v>卡卡杜佳旺专卖店（快手店）</v>
      </c>
      <c r="H3124" s="1" t="str">
        <f t="shared" si="1024"/>
        <v>正常订单</v>
      </c>
      <c r="I3124" s="1" t="str">
        <f t="shared" si="1025"/>
        <v>已发货</v>
      </c>
      <c r="J3124" s="1" t="str">
        <f t="shared" ref="J3124:J3127" si="1037">"3"</f>
        <v>3</v>
      </c>
      <c r="K3124" s="1">
        <v>2</v>
      </c>
      <c r="L3124" s="1" t="s">
        <v>16</v>
      </c>
      <c r="M3124" s="1" t="str">
        <f>"河北省 衡水市 枣强县 张秀屯镇"</f>
        <v>河北省 衡水市 枣强县 张秀屯镇</v>
      </c>
      <c r="N3124" s="1" t="str">
        <f t="shared" si="1028"/>
        <v>凡华云仓-城南圆通-快手</v>
      </c>
      <c r="O3124" s="5" t="s">
        <v>3158</v>
      </c>
      <c r="P3124" s="6">
        <v>0.35</v>
      </c>
      <c r="Q3124" s="11">
        <v>2.2999999999999998</v>
      </c>
      <c r="R3124" s="11"/>
      <c r="S3124" s="11"/>
      <c r="T3124" s="11"/>
      <c r="U3124" s="11">
        <f t="shared" si="1021"/>
        <v>2.2999999999999998</v>
      </c>
      <c r="W3124">
        <v>2.5</v>
      </c>
      <c r="X3124" s="1" t="s">
        <v>16</v>
      </c>
    </row>
    <row r="3125" spans="1:24" x14ac:dyDescent="0.25">
      <c r="A3125" s="1" t="str">
        <f t="shared" si="1022"/>
        <v>卡卡杜-凤凰仓</v>
      </c>
      <c r="B3125" s="1" t="str">
        <f>"CK2024102410"</f>
        <v>CK2024102410</v>
      </c>
      <c r="C3125" s="1" t="str">
        <f>"DD2024102423209"</f>
        <v>DD2024102423209</v>
      </c>
      <c r="D3125" s="1" t="str">
        <f>"CK2024102417145"</f>
        <v>CK2024102417145</v>
      </c>
      <c r="E3125" s="1" t="str">
        <f>"2429702184579668"</f>
        <v>2429702184579668</v>
      </c>
      <c r="F3125" s="1" t="str">
        <f t="shared" si="1023"/>
        <v>花都四部-凤凰仓</v>
      </c>
      <c r="G3125" s="1" t="str">
        <f t="shared" si="1027"/>
        <v>卡卡杜佳旺专卖店（快手店）</v>
      </c>
      <c r="H3125" s="1" t="str">
        <f t="shared" si="1024"/>
        <v>正常订单</v>
      </c>
      <c r="I3125" s="1" t="str">
        <f t="shared" si="1025"/>
        <v>已发货</v>
      </c>
      <c r="J3125" s="1" t="str">
        <f t="shared" si="1037"/>
        <v>3</v>
      </c>
      <c r="K3125" s="1">
        <v>3</v>
      </c>
      <c r="L3125" s="1" t="s">
        <v>92</v>
      </c>
      <c r="M3125" s="1" t="str">
        <f>"辽宁省 沈阳市 铁西区 凌空街道"</f>
        <v>辽宁省 沈阳市 铁西区 凌空街道</v>
      </c>
      <c r="N3125" s="1" t="str">
        <f t="shared" si="1028"/>
        <v>凡华云仓-城南圆通-快手</v>
      </c>
      <c r="O3125" s="5" t="s">
        <v>3159</v>
      </c>
      <c r="P3125" s="6">
        <v>0.34</v>
      </c>
      <c r="Q3125" s="11">
        <v>2.2999999999999998</v>
      </c>
      <c r="R3125" s="11"/>
      <c r="S3125" s="11"/>
      <c r="T3125" s="11"/>
      <c r="U3125" s="11">
        <f t="shared" si="1021"/>
        <v>2.2999999999999998</v>
      </c>
      <c r="W3125">
        <v>2.5</v>
      </c>
      <c r="X3125" s="1" t="s">
        <v>92</v>
      </c>
    </row>
    <row r="3126" spans="1:24" x14ac:dyDescent="0.25">
      <c r="A3126" s="1" t="str">
        <f t="shared" si="1022"/>
        <v>卡卡杜-凤凰仓</v>
      </c>
      <c r="B3126" s="1" t="str">
        <f>"CK2024102498"</f>
        <v>CK2024102498</v>
      </c>
      <c r="C3126" s="1" t="str">
        <f>"DD2024102423297"</f>
        <v>DD2024102423297</v>
      </c>
      <c r="D3126" s="1" t="str">
        <f>"CK2024102417144"</f>
        <v>CK2024102417144</v>
      </c>
      <c r="E3126" s="1" t="str">
        <f>"2429702268874180"</f>
        <v>2429702268874180</v>
      </c>
      <c r="F3126" s="1" t="str">
        <f t="shared" si="1023"/>
        <v>花都四部-凤凰仓</v>
      </c>
      <c r="G3126" s="1" t="str">
        <f t="shared" si="1027"/>
        <v>卡卡杜佳旺专卖店（快手店）</v>
      </c>
      <c r="H3126" s="1" t="str">
        <f t="shared" si="1024"/>
        <v>正常订单</v>
      </c>
      <c r="I3126" s="1" t="str">
        <f t="shared" si="1025"/>
        <v>已发货</v>
      </c>
      <c r="J3126" s="1" t="str">
        <f t="shared" si="1037"/>
        <v>3</v>
      </c>
      <c r="K3126" s="1">
        <v>2</v>
      </c>
      <c r="L3126" s="1" t="s">
        <v>18</v>
      </c>
      <c r="M3126" s="1" t="str">
        <f>"广东省 深圳市 龙华区 观澜街道"</f>
        <v>广东省 深圳市 龙华区 观澜街道</v>
      </c>
      <c r="N3126" s="1" t="str">
        <f t="shared" si="1028"/>
        <v>凡华云仓-城南圆通-快手</v>
      </c>
      <c r="O3126" s="5" t="s">
        <v>3160</v>
      </c>
      <c r="P3126" s="6">
        <v>0.35</v>
      </c>
      <c r="Q3126" s="11">
        <v>2.2999999999999998</v>
      </c>
      <c r="R3126" s="11"/>
      <c r="S3126" s="11"/>
      <c r="T3126" s="11"/>
      <c r="U3126" s="11">
        <f t="shared" si="1021"/>
        <v>2.2999999999999998</v>
      </c>
      <c r="W3126">
        <v>2.5</v>
      </c>
      <c r="X3126" s="1" t="s">
        <v>18</v>
      </c>
    </row>
    <row r="3127" spans="1:24" x14ac:dyDescent="0.25">
      <c r="A3127" s="1" t="str">
        <f t="shared" si="1022"/>
        <v>卡卡杜-凤凰仓</v>
      </c>
      <c r="B3127" s="1" t="str">
        <f>"CK2024102426"</f>
        <v>CK2024102426</v>
      </c>
      <c r="C3127" s="1" t="str">
        <f>"DD2024102423226"</f>
        <v>DD2024102423226</v>
      </c>
      <c r="D3127" s="1" t="str">
        <f>"CK2024102417143"</f>
        <v>CK2024102417143</v>
      </c>
      <c r="E3127" s="1" t="str">
        <f>"2429702187489597"</f>
        <v>2429702187489597</v>
      </c>
      <c r="F3127" s="1" t="str">
        <f t="shared" si="1023"/>
        <v>花都四部-凤凰仓</v>
      </c>
      <c r="G3127" s="1" t="str">
        <f t="shared" si="1027"/>
        <v>卡卡杜佳旺专卖店（快手店）</v>
      </c>
      <c r="H3127" s="1" t="str">
        <f t="shared" si="1024"/>
        <v>正常订单</v>
      </c>
      <c r="I3127" s="1" t="str">
        <f t="shared" si="1025"/>
        <v>已发货</v>
      </c>
      <c r="J3127" s="1" t="str">
        <f t="shared" si="1037"/>
        <v>3</v>
      </c>
      <c r="K3127" s="1">
        <v>2</v>
      </c>
      <c r="L3127" s="1" t="s">
        <v>18</v>
      </c>
      <c r="M3127" s="1" t="str">
        <f>"广东省 深圳市 宝安区 松岗街道"</f>
        <v>广东省 深圳市 宝安区 松岗街道</v>
      </c>
      <c r="N3127" s="1" t="str">
        <f t="shared" si="1028"/>
        <v>凡华云仓-城南圆通-快手</v>
      </c>
      <c r="O3127" s="5" t="s">
        <v>3161</v>
      </c>
      <c r="P3127" s="6">
        <v>0.35</v>
      </c>
      <c r="Q3127" s="11">
        <v>2.2999999999999998</v>
      </c>
      <c r="R3127" s="11"/>
      <c r="S3127" s="11"/>
      <c r="T3127" s="11"/>
      <c r="U3127" s="11">
        <f t="shared" si="1021"/>
        <v>2.2999999999999998</v>
      </c>
      <c r="W3127">
        <v>2.5</v>
      </c>
      <c r="X3127" s="1" t="s">
        <v>18</v>
      </c>
    </row>
    <row r="3128" spans="1:24" x14ac:dyDescent="0.25">
      <c r="A3128" s="1" t="str">
        <f t="shared" si="1022"/>
        <v>卡卡杜-凤凰仓</v>
      </c>
      <c r="B3128" s="1" t="str">
        <f>"CK20241024166"</f>
        <v>CK20241024166</v>
      </c>
      <c r="C3128" s="1" t="str">
        <f>"DD2024102423381"</f>
        <v>DD2024102423381</v>
      </c>
      <c r="D3128" s="1" t="str">
        <f>"CK2024102417142"</f>
        <v>CK2024102417142</v>
      </c>
      <c r="E3128" s="1" t="str">
        <f>"2429702560955515"</f>
        <v>2429702560955515</v>
      </c>
      <c r="F3128" s="1" t="str">
        <f t="shared" si="1023"/>
        <v>花都四部-凤凰仓</v>
      </c>
      <c r="G3128" s="1" t="str">
        <f t="shared" si="1027"/>
        <v>卡卡杜佳旺专卖店（快手店）</v>
      </c>
      <c r="H3128" s="1" t="str">
        <f t="shared" si="1024"/>
        <v>正常订单</v>
      </c>
      <c r="I3128" s="1" t="str">
        <f t="shared" si="1025"/>
        <v>已发货</v>
      </c>
      <c r="J3128" s="1" t="str">
        <f t="shared" ref="J3128:J3132" si="1038">"5"</f>
        <v>5</v>
      </c>
      <c r="K3128" s="1">
        <v>2</v>
      </c>
      <c r="L3128" s="1" t="s">
        <v>32</v>
      </c>
      <c r="M3128" s="1" t="str">
        <f>"陕西省 咸阳市 渭城区 周陵街道"</f>
        <v>陕西省 咸阳市 渭城区 周陵街道</v>
      </c>
      <c r="N3128" s="1" t="str">
        <f t="shared" si="1028"/>
        <v>凡华云仓-城南圆通-快手</v>
      </c>
      <c r="O3128" s="5" t="s">
        <v>3162</v>
      </c>
      <c r="P3128" s="6">
        <v>0.59</v>
      </c>
      <c r="Q3128" s="11">
        <f t="shared" ref="Q3128:Q3132" si="1039">CEILING(P3128-0.5,0.1)*10*0.15+2.3</f>
        <v>2.4499999999999997</v>
      </c>
      <c r="R3128" s="11"/>
      <c r="S3128" s="11"/>
      <c r="T3128" s="11"/>
      <c r="U3128" s="11">
        <f t="shared" si="1021"/>
        <v>2.4499999999999997</v>
      </c>
      <c r="V3128" t="s">
        <v>15</v>
      </c>
      <c r="W3128">
        <v>2.4500000000000002</v>
      </c>
      <c r="X3128" s="1" t="s">
        <v>32</v>
      </c>
    </row>
    <row r="3129" spans="1:24" x14ac:dyDescent="0.25">
      <c r="A3129" s="1" t="str">
        <f t="shared" si="1022"/>
        <v>卡卡杜-凤凰仓</v>
      </c>
      <c r="B3129" s="1" t="str">
        <f>"CK20241024103"</f>
        <v>CK20241024103</v>
      </c>
      <c r="C3129" s="1" t="str">
        <f>"DD2024102423302"</f>
        <v>DD2024102423302</v>
      </c>
      <c r="D3129" s="1" t="str">
        <f>"CK2024102417141"</f>
        <v>CK2024102417141</v>
      </c>
      <c r="E3129" s="1" t="str">
        <f>"2429702180074714"</f>
        <v>2429702180074714</v>
      </c>
      <c r="F3129" s="1" t="str">
        <f t="shared" si="1023"/>
        <v>花都四部-凤凰仓</v>
      </c>
      <c r="G3129" s="1" t="str">
        <f t="shared" si="1027"/>
        <v>卡卡杜佳旺专卖店（快手店）</v>
      </c>
      <c r="H3129" s="1" t="str">
        <f t="shared" si="1024"/>
        <v>正常订单</v>
      </c>
      <c r="I3129" s="1" t="str">
        <f t="shared" si="1025"/>
        <v>已发货</v>
      </c>
      <c r="J3129" s="1" t="str">
        <f t="shared" ref="J3129:J3136" si="1040">"3"</f>
        <v>3</v>
      </c>
      <c r="K3129" s="1">
        <v>2</v>
      </c>
      <c r="L3129" s="1" t="s">
        <v>54</v>
      </c>
      <c r="M3129" s="1" t="str">
        <f>"黑龙江省 绥化市 北林区 吉泰街道"</f>
        <v>黑龙江省 绥化市 北林区 吉泰街道</v>
      </c>
      <c r="N3129" s="1" t="str">
        <f t="shared" si="1028"/>
        <v>凡华云仓-城南圆通-快手</v>
      </c>
      <c r="O3129" s="5" t="s">
        <v>3163</v>
      </c>
      <c r="P3129" s="6">
        <v>0.35</v>
      </c>
      <c r="Q3129" s="11">
        <v>2.2999999999999998</v>
      </c>
      <c r="R3129" s="11"/>
      <c r="S3129" s="11"/>
      <c r="T3129" s="11"/>
      <c r="U3129" s="11">
        <f t="shared" si="1021"/>
        <v>2.2999999999999998</v>
      </c>
      <c r="W3129">
        <v>2.5</v>
      </c>
      <c r="X3129" s="1" t="s">
        <v>54</v>
      </c>
    </row>
    <row r="3130" spans="1:24" x14ac:dyDescent="0.25">
      <c r="A3130" s="1" t="str">
        <f t="shared" si="1022"/>
        <v>卡卡杜-凤凰仓</v>
      </c>
      <c r="B3130" s="1" t="str">
        <f>"CK2024102494"</f>
        <v>CK2024102494</v>
      </c>
      <c r="C3130" s="1" t="str">
        <f>"DD2024102423292"</f>
        <v>DD2024102423292</v>
      </c>
      <c r="D3130" s="1" t="str">
        <f>"CK2024102417140"</f>
        <v>CK2024102417140</v>
      </c>
      <c r="E3130" s="1" t="str">
        <f>"2429701952307170"</f>
        <v>2429701952307170</v>
      </c>
      <c r="F3130" s="1" t="str">
        <f t="shared" si="1023"/>
        <v>花都四部-凤凰仓</v>
      </c>
      <c r="G3130" s="1" t="str">
        <f t="shared" si="1027"/>
        <v>卡卡杜佳旺专卖店（快手店）</v>
      </c>
      <c r="H3130" s="1" t="str">
        <f t="shared" si="1024"/>
        <v>正常订单</v>
      </c>
      <c r="I3130" s="1" t="str">
        <f t="shared" si="1025"/>
        <v>已发货</v>
      </c>
      <c r="J3130" s="1" t="str">
        <f t="shared" si="1040"/>
        <v>3</v>
      </c>
      <c r="K3130" s="1">
        <v>2</v>
      </c>
      <c r="L3130" s="1" t="s">
        <v>13</v>
      </c>
      <c r="M3130" s="1" t="str">
        <f>"江苏省 无锡市 梁溪区 山北街道"</f>
        <v>江苏省 无锡市 梁溪区 山北街道</v>
      </c>
      <c r="N3130" s="1" t="str">
        <f t="shared" si="1028"/>
        <v>凡华云仓-城南圆通-快手</v>
      </c>
      <c r="O3130" s="5" t="s">
        <v>3164</v>
      </c>
      <c r="P3130" s="6">
        <v>0.35</v>
      </c>
      <c r="Q3130" s="11">
        <v>2.2999999999999998</v>
      </c>
      <c r="R3130" s="11"/>
      <c r="S3130" s="11"/>
      <c r="T3130" s="11"/>
      <c r="U3130" s="11">
        <f t="shared" si="1021"/>
        <v>2.2999999999999998</v>
      </c>
      <c r="W3130">
        <v>2.5</v>
      </c>
      <c r="X3130" s="1" t="s">
        <v>13</v>
      </c>
    </row>
    <row r="3131" spans="1:24" x14ac:dyDescent="0.25">
      <c r="A3131" s="1" t="str">
        <f t="shared" si="1022"/>
        <v>卡卡杜-凤凰仓</v>
      </c>
      <c r="B3131" s="1" t="str">
        <f>"CK20241024164"</f>
        <v>CK20241024164</v>
      </c>
      <c r="C3131" s="1" t="str">
        <f>"DD2024102423382"</f>
        <v>DD2024102423382</v>
      </c>
      <c r="D3131" s="1" t="str">
        <f>"CK2024102417139"</f>
        <v>CK2024102417139</v>
      </c>
      <c r="E3131" s="1" t="str">
        <f>"2429702113674020"</f>
        <v>2429702113674020</v>
      </c>
      <c r="F3131" s="1" t="str">
        <f t="shared" si="1023"/>
        <v>花都四部-凤凰仓</v>
      </c>
      <c r="G3131" s="1" t="str">
        <f t="shared" si="1027"/>
        <v>卡卡杜佳旺专卖店（快手店）</v>
      </c>
      <c r="H3131" s="1" t="str">
        <f t="shared" si="1024"/>
        <v>正常订单</v>
      </c>
      <c r="I3131" s="1" t="str">
        <f t="shared" si="1025"/>
        <v>已发货</v>
      </c>
      <c r="J3131" s="1" t="str">
        <f t="shared" si="1038"/>
        <v>5</v>
      </c>
      <c r="K3131" s="1">
        <v>2</v>
      </c>
      <c r="L3131" s="1" t="s">
        <v>161</v>
      </c>
      <c r="M3131" s="1" t="str">
        <f>"四川省 广安市 武胜县 沿口镇"</f>
        <v>四川省 广安市 武胜县 沿口镇</v>
      </c>
      <c r="N3131" s="1" t="str">
        <f t="shared" si="1028"/>
        <v>凡华云仓-城南圆通-快手</v>
      </c>
      <c r="O3131" s="5" t="s">
        <v>3165</v>
      </c>
      <c r="P3131" s="6">
        <v>0.59</v>
      </c>
      <c r="Q3131" s="11">
        <f t="shared" si="1039"/>
        <v>2.4499999999999997</v>
      </c>
      <c r="R3131" s="11"/>
      <c r="S3131" s="11"/>
      <c r="T3131" s="11"/>
      <c r="U3131" s="11">
        <f t="shared" si="1021"/>
        <v>2.4499999999999997</v>
      </c>
      <c r="V3131" t="s">
        <v>15</v>
      </c>
      <c r="W3131">
        <v>2.4500000000000002</v>
      </c>
      <c r="X3131" s="1" t="s">
        <v>161</v>
      </c>
    </row>
    <row r="3132" spans="1:24" x14ac:dyDescent="0.25">
      <c r="A3132" s="1" t="str">
        <f t="shared" si="1022"/>
        <v>卡卡杜-凤凰仓</v>
      </c>
      <c r="B3132" s="1" t="str">
        <f>"CK20241024167"</f>
        <v>CK20241024167</v>
      </c>
      <c r="C3132" s="1" t="str">
        <f>"DD2024102423387"</f>
        <v>DD2024102423387</v>
      </c>
      <c r="D3132" s="1" t="str">
        <f>"CK2024102417138"</f>
        <v>CK2024102417138</v>
      </c>
      <c r="E3132" s="1" t="str">
        <f>"2429702025040557"</f>
        <v>2429702025040557</v>
      </c>
      <c r="F3132" s="1" t="str">
        <f t="shared" si="1023"/>
        <v>花都四部-凤凰仓</v>
      </c>
      <c r="G3132" s="1" t="str">
        <f t="shared" si="1027"/>
        <v>卡卡杜佳旺专卖店（快手店）</v>
      </c>
      <c r="H3132" s="1" t="str">
        <f t="shared" si="1024"/>
        <v>正常订单</v>
      </c>
      <c r="I3132" s="1" t="str">
        <f t="shared" si="1025"/>
        <v>已发货</v>
      </c>
      <c r="J3132" s="1" t="str">
        <f t="shared" si="1038"/>
        <v>5</v>
      </c>
      <c r="K3132" s="1">
        <v>2</v>
      </c>
      <c r="L3132" s="1" t="s">
        <v>92</v>
      </c>
      <c r="M3132" s="1" t="str">
        <f>"辽宁省 沈阳市 铁西区 凌空街道"</f>
        <v>辽宁省 沈阳市 铁西区 凌空街道</v>
      </c>
      <c r="N3132" s="1" t="str">
        <f t="shared" si="1028"/>
        <v>凡华云仓-城南圆通-快手</v>
      </c>
      <c r="O3132" s="5" t="s">
        <v>3166</v>
      </c>
      <c r="P3132" s="6">
        <v>0.59</v>
      </c>
      <c r="Q3132" s="11">
        <f t="shared" si="1039"/>
        <v>2.4499999999999997</v>
      </c>
      <c r="R3132" s="11"/>
      <c r="S3132" s="11"/>
      <c r="T3132" s="11"/>
      <c r="U3132" s="11">
        <f t="shared" si="1021"/>
        <v>2.4499999999999997</v>
      </c>
      <c r="V3132" t="s">
        <v>15</v>
      </c>
      <c r="W3132">
        <v>2.4500000000000002</v>
      </c>
      <c r="X3132" s="1" t="s">
        <v>92</v>
      </c>
    </row>
    <row r="3133" spans="1:24" x14ac:dyDescent="0.25">
      <c r="A3133" s="1" t="str">
        <f t="shared" si="1022"/>
        <v>卡卡杜-凤凰仓</v>
      </c>
      <c r="B3133" s="1" t="str">
        <f>"CK20241024175"</f>
        <v>CK20241024175</v>
      </c>
      <c r="C3133" s="1" t="str">
        <f>"DD2024102423810"</f>
        <v>DD2024102423810</v>
      </c>
      <c r="D3133" s="1" t="str">
        <f>"CK2024102417137"</f>
        <v>CK2024102417137</v>
      </c>
      <c r="E3133" s="1" t="str">
        <f>"2429802320865739"</f>
        <v>2429802320865739</v>
      </c>
      <c r="F3133" s="1" t="str">
        <f t="shared" si="1023"/>
        <v>花都四部-凤凰仓</v>
      </c>
      <c r="G3133" s="1" t="str">
        <f t="shared" si="1027"/>
        <v>卡卡杜佳旺专卖店（快手店）</v>
      </c>
      <c r="H3133" s="1" t="str">
        <f t="shared" si="1024"/>
        <v>正常订单</v>
      </c>
      <c r="I3133" s="1" t="str">
        <f t="shared" si="1025"/>
        <v>已发货</v>
      </c>
      <c r="J3133" s="1" t="str">
        <f>"2"</f>
        <v>2</v>
      </c>
      <c r="K3133" s="1">
        <v>2</v>
      </c>
      <c r="L3133" s="1" t="s">
        <v>187</v>
      </c>
      <c r="M3133" s="1" t="str">
        <f>"吉林省 通化市 通化县 快大茂镇"</f>
        <v>吉林省 通化市 通化县 快大茂镇</v>
      </c>
      <c r="N3133" s="1" t="str">
        <f t="shared" si="1028"/>
        <v>凡华云仓-城南圆通-快手</v>
      </c>
      <c r="O3133" s="5" t="s">
        <v>3167</v>
      </c>
      <c r="P3133" s="6">
        <v>0.17</v>
      </c>
      <c r="Q3133" s="11">
        <v>2</v>
      </c>
      <c r="R3133" s="11"/>
      <c r="S3133" s="11"/>
      <c r="T3133" s="11"/>
      <c r="U3133" s="11">
        <f t="shared" si="1021"/>
        <v>2</v>
      </c>
      <c r="W3133">
        <v>2.2000000000000002</v>
      </c>
      <c r="X3133" s="1" t="s">
        <v>187</v>
      </c>
    </row>
    <row r="3134" spans="1:24" x14ac:dyDescent="0.25">
      <c r="A3134" s="1" t="str">
        <f t="shared" si="1022"/>
        <v>卡卡杜-凤凰仓</v>
      </c>
      <c r="B3134" s="1" t="str">
        <f>"CK2024102499"</f>
        <v>CK2024102499</v>
      </c>
      <c r="C3134" s="1" t="str">
        <f>"DD2024102423296"</f>
        <v>DD2024102423296</v>
      </c>
      <c r="D3134" s="1" t="str">
        <f>"CK2024102417136"</f>
        <v>CK2024102417136</v>
      </c>
      <c r="E3134" s="1" t="str">
        <f>"2429702342899170"</f>
        <v>2429702342899170</v>
      </c>
      <c r="F3134" s="1" t="str">
        <f t="shared" si="1023"/>
        <v>花都四部-凤凰仓</v>
      </c>
      <c r="G3134" s="1" t="str">
        <f t="shared" si="1027"/>
        <v>卡卡杜佳旺专卖店（快手店）</v>
      </c>
      <c r="H3134" s="1" t="str">
        <f t="shared" si="1024"/>
        <v>正常订单</v>
      </c>
      <c r="I3134" s="1" t="str">
        <f t="shared" si="1025"/>
        <v>已发货</v>
      </c>
      <c r="J3134" s="1" t="str">
        <f t="shared" si="1040"/>
        <v>3</v>
      </c>
      <c r="K3134" s="1">
        <v>2</v>
      </c>
      <c r="L3134" s="1" t="s">
        <v>54</v>
      </c>
      <c r="M3134" s="1" t="str">
        <f>"黑龙江省 哈尔滨市 香坊区 香坊实验农场地区"</f>
        <v>黑龙江省 哈尔滨市 香坊区 香坊实验农场地区</v>
      </c>
      <c r="N3134" s="1" t="str">
        <f t="shared" si="1028"/>
        <v>凡华云仓-城南圆通-快手</v>
      </c>
      <c r="O3134" s="5" t="s">
        <v>3168</v>
      </c>
      <c r="P3134" s="6">
        <v>0.35</v>
      </c>
      <c r="Q3134" s="11">
        <v>2.2999999999999998</v>
      </c>
      <c r="R3134" s="11"/>
      <c r="S3134" s="11"/>
      <c r="T3134" s="11"/>
      <c r="U3134" s="11">
        <f t="shared" si="1021"/>
        <v>2.2999999999999998</v>
      </c>
      <c r="W3134">
        <v>2.5</v>
      </c>
      <c r="X3134" s="1" t="s">
        <v>54</v>
      </c>
    </row>
    <row r="3135" spans="1:24" x14ac:dyDescent="0.25">
      <c r="A3135" s="1" t="str">
        <f t="shared" si="1022"/>
        <v>卡卡杜-凤凰仓</v>
      </c>
      <c r="B3135" s="1" t="str">
        <f>"CK2024102443"</f>
        <v>CK2024102443</v>
      </c>
      <c r="C3135" s="1" t="str">
        <f>"DD2024102423243"</f>
        <v>DD2024102423243</v>
      </c>
      <c r="D3135" s="1" t="str">
        <f>"CK2024102417135"</f>
        <v>CK2024102417135</v>
      </c>
      <c r="E3135" s="1" t="str">
        <f>"2429701623003033"</f>
        <v>2429701623003033</v>
      </c>
      <c r="F3135" s="1" t="str">
        <f t="shared" si="1023"/>
        <v>花都四部-凤凰仓</v>
      </c>
      <c r="G3135" s="1" t="str">
        <f t="shared" si="1027"/>
        <v>卡卡杜佳旺专卖店（快手店）</v>
      </c>
      <c r="H3135" s="1" t="str">
        <f t="shared" si="1024"/>
        <v>正常订单</v>
      </c>
      <c r="I3135" s="1" t="str">
        <f t="shared" si="1025"/>
        <v>已发货</v>
      </c>
      <c r="J3135" s="1" t="str">
        <f t="shared" si="1040"/>
        <v>3</v>
      </c>
      <c r="K3135" s="1">
        <v>2</v>
      </c>
      <c r="L3135" s="1" t="s">
        <v>18</v>
      </c>
      <c r="M3135" s="1" t="str">
        <f>"广东省 惠州市 惠阳区 秋长街道"</f>
        <v>广东省 惠州市 惠阳区 秋长街道</v>
      </c>
      <c r="N3135" s="1" t="str">
        <f t="shared" si="1028"/>
        <v>凡华云仓-城南圆通-快手</v>
      </c>
      <c r="O3135" s="5" t="s">
        <v>3169</v>
      </c>
      <c r="P3135" s="6">
        <v>0.35</v>
      </c>
      <c r="Q3135" s="11">
        <v>2.2999999999999998</v>
      </c>
      <c r="R3135" s="11"/>
      <c r="S3135" s="11"/>
      <c r="T3135" s="11"/>
      <c r="U3135" s="11">
        <f t="shared" si="1021"/>
        <v>2.2999999999999998</v>
      </c>
      <c r="W3135">
        <v>2.5</v>
      </c>
      <c r="X3135" s="1" t="s">
        <v>18</v>
      </c>
    </row>
    <row r="3136" spans="1:24" x14ac:dyDescent="0.25">
      <c r="A3136" s="1" t="str">
        <f t="shared" si="1022"/>
        <v>卡卡杜-凤凰仓</v>
      </c>
      <c r="B3136" s="1" t="str">
        <f>"CK2024102423"</f>
        <v>CK2024102423</v>
      </c>
      <c r="C3136" s="1" t="str">
        <f>"DD2024102423220"</f>
        <v>DD2024102423220</v>
      </c>
      <c r="D3136" s="1" t="str">
        <f>"CK2024102417134"</f>
        <v>CK2024102417134</v>
      </c>
      <c r="E3136" s="1" t="str">
        <f>"2429702192323485"</f>
        <v>2429702192323485</v>
      </c>
      <c r="F3136" s="1" t="str">
        <f t="shared" si="1023"/>
        <v>花都四部-凤凰仓</v>
      </c>
      <c r="G3136" s="1" t="str">
        <f t="shared" si="1027"/>
        <v>卡卡杜佳旺专卖店（快手店）</v>
      </c>
      <c r="H3136" s="1" t="str">
        <f t="shared" si="1024"/>
        <v>正常订单</v>
      </c>
      <c r="I3136" s="1" t="str">
        <f t="shared" si="1025"/>
        <v>已发货</v>
      </c>
      <c r="J3136" s="1" t="str">
        <f t="shared" si="1040"/>
        <v>3</v>
      </c>
      <c r="K3136" s="1">
        <v>2</v>
      </c>
      <c r="L3136" s="1" t="s">
        <v>1495</v>
      </c>
      <c r="M3136" s="1" t="str">
        <f>"天津市 天津市 宁河区 天津未来科技城宁河片区潘庄工业区组团"</f>
        <v>天津市 天津市 宁河区 天津未来科技城宁河片区潘庄工业区组团</v>
      </c>
      <c r="N3136" s="1" t="str">
        <f t="shared" si="1028"/>
        <v>凡华云仓-城南圆通-快手</v>
      </c>
      <c r="O3136" s="5" t="s">
        <v>3170</v>
      </c>
      <c r="P3136" s="6">
        <v>0.35</v>
      </c>
      <c r="Q3136" s="11">
        <v>2.2999999999999998</v>
      </c>
      <c r="R3136" s="11"/>
      <c r="S3136" s="11"/>
      <c r="T3136" s="11"/>
      <c r="U3136" s="11">
        <f t="shared" si="1021"/>
        <v>2.2999999999999998</v>
      </c>
      <c r="W3136">
        <v>2.5</v>
      </c>
      <c r="X3136" s="1" t="s">
        <v>1495</v>
      </c>
    </row>
    <row r="3137" spans="1:24" x14ac:dyDescent="0.25">
      <c r="A3137" s="1" t="str">
        <f t="shared" si="1022"/>
        <v>卡卡杜-凤凰仓</v>
      </c>
      <c r="B3137" s="1" t="str">
        <f>"CK20241024187"</f>
        <v>CK20241024187</v>
      </c>
      <c r="C3137" s="1" t="str">
        <f>"DD2024102423819"</f>
        <v>DD2024102423819</v>
      </c>
      <c r="D3137" s="1" t="str">
        <f>"CK2024102417133"</f>
        <v>CK2024102417133</v>
      </c>
      <c r="E3137" s="1" t="str">
        <f>"2429702424880892"</f>
        <v>2429702424880892</v>
      </c>
      <c r="F3137" s="1" t="str">
        <f t="shared" si="1023"/>
        <v>花都四部-凤凰仓</v>
      </c>
      <c r="G3137" s="1" t="str">
        <f t="shared" si="1027"/>
        <v>卡卡杜佳旺专卖店（快手店）</v>
      </c>
      <c r="H3137" s="1" t="str">
        <f t="shared" si="1024"/>
        <v>正常订单</v>
      </c>
      <c r="I3137" s="1" t="str">
        <f t="shared" si="1025"/>
        <v>已发货</v>
      </c>
      <c r="J3137" s="1" t="str">
        <f>"2"</f>
        <v>2</v>
      </c>
      <c r="K3137" s="1">
        <v>2</v>
      </c>
      <c r="L3137" s="1" t="s">
        <v>54</v>
      </c>
      <c r="M3137" s="1" t="str">
        <f>"黑龙江省 黑河市 嫩江市 嫩江镇"</f>
        <v>黑龙江省 黑河市 嫩江市 嫩江镇</v>
      </c>
      <c r="N3137" s="1" t="str">
        <f t="shared" si="1028"/>
        <v>凡华云仓-城南圆通-快手</v>
      </c>
      <c r="O3137" s="5" t="s">
        <v>3171</v>
      </c>
      <c r="P3137" s="6">
        <v>0.17</v>
      </c>
      <c r="Q3137" s="11">
        <v>2</v>
      </c>
      <c r="R3137" s="11"/>
      <c r="S3137" s="11"/>
      <c r="T3137" s="11"/>
      <c r="U3137" s="11">
        <f t="shared" si="1021"/>
        <v>2</v>
      </c>
      <c r="W3137">
        <v>2.2000000000000002</v>
      </c>
      <c r="X3137" s="1" t="s">
        <v>54</v>
      </c>
    </row>
    <row r="3138" spans="1:24" x14ac:dyDescent="0.25">
      <c r="A3138" s="1" t="str">
        <f t="shared" si="1022"/>
        <v>卡卡杜-凤凰仓</v>
      </c>
      <c r="B3138" s="1" t="str">
        <f>"CK2024102402"</f>
        <v>CK2024102402</v>
      </c>
      <c r="C3138" s="1" t="str">
        <f>"DD2024102423201"</f>
        <v>DD2024102423201</v>
      </c>
      <c r="D3138" s="1" t="str">
        <f>"CK2024102417132"</f>
        <v>CK2024102417132</v>
      </c>
      <c r="E3138" s="1" t="str">
        <f>"2429701791747684"</f>
        <v>2429701791747684</v>
      </c>
      <c r="F3138" s="1" t="str">
        <f t="shared" si="1023"/>
        <v>花都四部-凤凰仓</v>
      </c>
      <c r="G3138" s="1" t="str">
        <f t="shared" si="1027"/>
        <v>卡卡杜佳旺专卖店（快手店）</v>
      </c>
      <c r="H3138" s="1" t="str">
        <f t="shared" si="1024"/>
        <v>正常订单</v>
      </c>
      <c r="I3138" s="1" t="str">
        <f t="shared" si="1025"/>
        <v>已发货</v>
      </c>
      <c r="J3138" s="1" t="str">
        <f t="shared" ref="J3138:J3142" si="1041">"3"</f>
        <v>3</v>
      </c>
      <c r="K3138" s="1">
        <v>3</v>
      </c>
      <c r="L3138" s="1" t="s">
        <v>27</v>
      </c>
      <c r="M3138" s="1" t="str">
        <f>"贵州省 贵阳市 南明区 小碧布依族苗族乡"</f>
        <v>贵州省 贵阳市 南明区 小碧布依族苗族乡</v>
      </c>
      <c r="N3138" s="1" t="str">
        <f t="shared" si="1028"/>
        <v>凡华云仓-城南圆通-快手</v>
      </c>
      <c r="O3138" s="5" t="s">
        <v>3172</v>
      </c>
      <c r="P3138" s="6">
        <v>0.34</v>
      </c>
      <c r="Q3138" s="11">
        <v>2.2999999999999998</v>
      </c>
      <c r="R3138" s="11"/>
      <c r="S3138" s="11"/>
      <c r="T3138" s="11"/>
      <c r="U3138" s="11">
        <f t="shared" si="1021"/>
        <v>2.2999999999999998</v>
      </c>
      <c r="W3138">
        <v>2.5</v>
      </c>
      <c r="X3138" s="1" t="s">
        <v>27</v>
      </c>
    </row>
    <row r="3139" spans="1:24" x14ac:dyDescent="0.25">
      <c r="A3139" s="1" t="str">
        <f t="shared" si="1022"/>
        <v>卡卡杜-凤凰仓</v>
      </c>
      <c r="B3139" s="1" t="str">
        <f>"CK2024102424"</f>
        <v>CK2024102424</v>
      </c>
      <c r="C3139" s="1" t="str">
        <f>"DD2024102423221"</f>
        <v>DD2024102423221</v>
      </c>
      <c r="D3139" s="1" t="str">
        <f>"CK2024102417131"</f>
        <v>CK2024102417131</v>
      </c>
      <c r="E3139" s="1" t="str">
        <f>"2429802320083542"</f>
        <v>2429802320083542</v>
      </c>
      <c r="F3139" s="1" t="str">
        <f t="shared" si="1023"/>
        <v>花都四部-凤凰仓</v>
      </c>
      <c r="G3139" s="1" t="str">
        <f t="shared" si="1027"/>
        <v>卡卡杜佳旺专卖店（快手店）</v>
      </c>
      <c r="H3139" s="1" t="str">
        <f t="shared" si="1024"/>
        <v>正常订单</v>
      </c>
      <c r="I3139" s="1" t="str">
        <f t="shared" si="1025"/>
        <v>已发货</v>
      </c>
      <c r="J3139" s="1" t="str">
        <f t="shared" si="1041"/>
        <v>3</v>
      </c>
      <c r="K3139" s="1">
        <v>2</v>
      </c>
      <c r="L3139" s="1" t="s">
        <v>60</v>
      </c>
      <c r="M3139" s="1" t="str">
        <f>"云南省 昆明市 安宁市 太平新城街道"</f>
        <v>云南省 昆明市 安宁市 太平新城街道</v>
      </c>
      <c r="N3139" s="1" t="str">
        <f t="shared" si="1028"/>
        <v>凡华云仓-城南圆通-快手</v>
      </c>
      <c r="O3139" s="5" t="s">
        <v>3173</v>
      </c>
      <c r="P3139" s="6">
        <v>0.35</v>
      </c>
      <c r="Q3139" s="11">
        <v>2.2999999999999998</v>
      </c>
      <c r="R3139" s="11"/>
      <c r="S3139" s="11"/>
      <c r="T3139" s="11"/>
      <c r="U3139" s="11">
        <f t="shared" ref="U3139:U3202" si="1042">T3139+S3139+R3139+Q3139</f>
        <v>2.2999999999999998</v>
      </c>
      <c r="W3139">
        <v>2.5</v>
      </c>
      <c r="X3139" s="1" t="s">
        <v>60</v>
      </c>
    </row>
    <row r="3140" spans="1:24" x14ac:dyDescent="0.25">
      <c r="A3140" s="1" t="str">
        <f t="shared" si="1022"/>
        <v>卡卡杜-凤凰仓</v>
      </c>
      <c r="B3140" s="1" t="str">
        <f>"CK20241024208"</f>
        <v>CK20241024208</v>
      </c>
      <c r="C3140" s="1" t="str">
        <f>"DD2024102423952"</f>
        <v>DD2024102423952</v>
      </c>
      <c r="D3140" s="1" t="str">
        <f>"CK2024102417130"</f>
        <v>CK2024102417130</v>
      </c>
      <c r="E3140" s="1" t="str">
        <f>"2429702264272344"</f>
        <v>2429702264272344</v>
      </c>
      <c r="F3140" s="1" t="str">
        <f t="shared" si="1023"/>
        <v>花都四部-凤凰仓</v>
      </c>
      <c r="G3140" s="1" t="str">
        <f t="shared" si="1027"/>
        <v>卡卡杜佳旺专卖店（快手店）</v>
      </c>
      <c r="H3140" s="1" t="str">
        <f t="shared" si="1024"/>
        <v>正常订单</v>
      </c>
      <c r="I3140" s="1" t="str">
        <f t="shared" si="1025"/>
        <v>已发货</v>
      </c>
      <c r="J3140" s="1" t="str">
        <f>"8"</f>
        <v>8</v>
      </c>
      <c r="K3140" s="1">
        <v>1</v>
      </c>
      <c r="L3140" s="1" t="s">
        <v>18</v>
      </c>
      <c r="M3140" s="1" t="str">
        <f>"广东省 江门市 台山市 海宴镇"</f>
        <v>广东省 江门市 台山市 海宴镇</v>
      </c>
      <c r="N3140" s="1" t="str">
        <f t="shared" si="1028"/>
        <v>凡华云仓-城南圆通-快手</v>
      </c>
      <c r="O3140" s="5" t="s">
        <v>3174</v>
      </c>
      <c r="P3140" s="6">
        <v>1.1200000000000001</v>
      </c>
      <c r="Q3140" s="11">
        <f>CEILING(P3140-0.5,0.1)*10*0.15+2.3</f>
        <v>3.3499999999999996</v>
      </c>
      <c r="R3140" s="11"/>
      <c r="S3140" s="11"/>
      <c r="T3140" s="11"/>
      <c r="U3140" s="11">
        <f t="shared" si="1042"/>
        <v>3.3499999999999996</v>
      </c>
      <c r="V3140" t="s">
        <v>15</v>
      </c>
      <c r="W3140">
        <v>3.35</v>
      </c>
      <c r="X3140" s="1" t="s">
        <v>18</v>
      </c>
    </row>
    <row r="3141" spans="1:24" x14ac:dyDescent="0.25">
      <c r="A3141" s="1" t="str">
        <f t="shared" ref="A3141:A3204" si="1043">"卡卡杜-凤凰仓"</f>
        <v>卡卡杜-凤凰仓</v>
      </c>
      <c r="B3141" s="1" t="str">
        <f>"CK2024102455"</f>
        <v>CK2024102455</v>
      </c>
      <c r="C3141" s="1" t="str">
        <f>"DD2024102423253"</f>
        <v>DD2024102423253</v>
      </c>
      <c r="D3141" s="1" t="str">
        <f>"CK2024102417129"</f>
        <v>CK2024102417129</v>
      </c>
      <c r="E3141" s="1" t="str">
        <f>"2429701866696031"</f>
        <v>2429701866696031</v>
      </c>
      <c r="F3141" s="1" t="str">
        <f t="shared" ref="F3141:F3204" si="1044">"花都四部-凤凰仓"</f>
        <v>花都四部-凤凰仓</v>
      </c>
      <c r="G3141" s="1" t="str">
        <f t="shared" si="1027"/>
        <v>卡卡杜佳旺专卖店（快手店）</v>
      </c>
      <c r="H3141" s="1" t="str">
        <f t="shared" ref="H3141:H3204" si="1045">"正常订单"</f>
        <v>正常订单</v>
      </c>
      <c r="I3141" s="1" t="str">
        <f t="shared" ref="I3141:I3204" si="1046">"已发货"</f>
        <v>已发货</v>
      </c>
      <c r="J3141" s="1" t="str">
        <f t="shared" si="1041"/>
        <v>3</v>
      </c>
      <c r="K3141" s="1">
        <v>2</v>
      </c>
      <c r="L3141" s="1" t="s">
        <v>32</v>
      </c>
      <c r="M3141" s="1" t="str">
        <f>"陕西省 咸阳市 秦都区 马泉街道"</f>
        <v>陕西省 咸阳市 秦都区 马泉街道</v>
      </c>
      <c r="N3141" s="1" t="str">
        <f t="shared" si="1028"/>
        <v>凡华云仓-城南圆通-快手</v>
      </c>
      <c r="O3141" s="5" t="s">
        <v>3175</v>
      </c>
      <c r="P3141" s="6">
        <v>0.35</v>
      </c>
      <c r="Q3141" s="11">
        <v>2.2999999999999998</v>
      </c>
      <c r="R3141" s="11"/>
      <c r="S3141" s="11"/>
      <c r="T3141" s="11"/>
      <c r="U3141" s="11">
        <f t="shared" si="1042"/>
        <v>2.2999999999999998</v>
      </c>
      <c r="W3141">
        <v>2.5</v>
      </c>
      <c r="X3141" s="1" t="s">
        <v>32</v>
      </c>
    </row>
    <row r="3142" spans="1:24" x14ac:dyDescent="0.25">
      <c r="A3142" s="1" t="str">
        <f t="shared" si="1043"/>
        <v>卡卡杜-凤凰仓</v>
      </c>
      <c r="B3142" s="1" t="str">
        <f>"CK20241024104"</f>
        <v>CK20241024104</v>
      </c>
      <c r="C3142" s="1" t="str">
        <f>"DD2024102423303"</f>
        <v>DD2024102423303</v>
      </c>
      <c r="D3142" s="1" t="str">
        <f>"CK2024102417128"</f>
        <v>CK2024102417128</v>
      </c>
      <c r="E3142" s="1" t="str">
        <f>"2429702430195364"</f>
        <v>2429702430195364</v>
      </c>
      <c r="F3142" s="1" t="str">
        <f t="shared" si="1044"/>
        <v>花都四部-凤凰仓</v>
      </c>
      <c r="G3142" s="1" t="str">
        <f t="shared" si="1027"/>
        <v>卡卡杜佳旺专卖店（快手店）</v>
      </c>
      <c r="H3142" s="1" t="str">
        <f t="shared" si="1045"/>
        <v>正常订单</v>
      </c>
      <c r="I3142" s="1" t="str">
        <f t="shared" si="1046"/>
        <v>已发货</v>
      </c>
      <c r="J3142" s="1" t="str">
        <f t="shared" si="1041"/>
        <v>3</v>
      </c>
      <c r="K3142" s="1">
        <v>2</v>
      </c>
      <c r="L3142" s="1" t="s">
        <v>710</v>
      </c>
      <c r="M3142" s="1" t="str">
        <f>"上海市 上海市 杨浦区 控江路街道"</f>
        <v>上海市 上海市 杨浦区 控江路街道</v>
      </c>
      <c r="N3142" s="1" t="str">
        <f t="shared" si="1028"/>
        <v>凡华云仓-城南圆通-快手</v>
      </c>
      <c r="O3142" s="5" t="s">
        <v>3176</v>
      </c>
      <c r="P3142" s="6">
        <v>0.35</v>
      </c>
      <c r="Q3142" s="11">
        <v>2.2999999999999998</v>
      </c>
      <c r="R3142" s="11"/>
      <c r="S3142" s="11"/>
      <c r="T3142" s="11"/>
      <c r="U3142" s="11">
        <f t="shared" si="1042"/>
        <v>2.2999999999999998</v>
      </c>
      <c r="W3142">
        <v>2.5</v>
      </c>
      <c r="X3142" s="1" t="s">
        <v>710</v>
      </c>
    </row>
    <row r="3143" spans="1:24" x14ac:dyDescent="0.25">
      <c r="A3143" s="1" t="str">
        <f t="shared" si="1043"/>
        <v>卡卡杜-凤凰仓</v>
      </c>
      <c r="B3143" s="1" t="str">
        <f>"CK20241024188"</f>
        <v>CK20241024188</v>
      </c>
      <c r="C3143" s="1" t="str">
        <f>"DD2024102423818"</f>
        <v>DD2024102423818</v>
      </c>
      <c r="D3143" s="1" t="str">
        <f>"CK2024102417127"</f>
        <v>CK2024102417127</v>
      </c>
      <c r="E3143" s="1" t="str">
        <f>"2429701868168821"</f>
        <v>2429701868168821</v>
      </c>
      <c r="F3143" s="1" t="str">
        <f t="shared" si="1044"/>
        <v>花都四部-凤凰仓</v>
      </c>
      <c r="G3143" s="1" t="str">
        <f t="shared" ref="G3143:G3156" si="1047">"卡卡杜佳旺专卖店（快手店）"</f>
        <v>卡卡杜佳旺专卖店（快手店）</v>
      </c>
      <c r="H3143" s="1" t="str">
        <f t="shared" si="1045"/>
        <v>正常订单</v>
      </c>
      <c r="I3143" s="1" t="str">
        <f t="shared" si="1046"/>
        <v>已发货</v>
      </c>
      <c r="J3143" s="1" t="str">
        <f>"2"</f>
        <v>2</v>
      </c>
      <c r="K3143" s="1">
        <v>2</v>
      </c>
      <c r="L3143" s="1" t="s">
        <v>66</v>
      </c>
      <c r="M3143" s="1" t="str">
        <f>"内蒙古自治区 呼伦贝尔市 阿荣旗 那吉镇"</f>
        <v>内蒙古自治区 呼伦贝尔市 阿荣旗 那吉镇</v>
      </c>
      <c r="N3143" s="1" t="str">
        <f t="shared" ref="N3143:N3156" si="1048">"凡华云仓-城南圆通-快手"</f>
        <v>凡华云仓-城南圆通-快手</v>
      </c>
      <c r="O3143" s="5" t="s">
        <v>3177</v>
      </c>
      <c r="P3143" s="6">
        <v>0.17</v>
      </c>
      <c r="Q3143" s="11">
        <v>2</v>
      </c>
      <c r="R3143" s="11"/>
      <c r="S3143" s="11"/>
      <c r="T3143" s="11"/>
      <c r="U3143" s="11">
        <f t="shared" si="1042"/>
        <v>2</v>
      </c>
      <c r="W3143">
        <v>2.2000000000000002</v>
      </c>
      <c r="X3143" s="1" t="s">
        <v>66</v>
      </c>
    </row>
    <row r="3144" spans="1:24" x14ac:dyDescent="0.25">
      <c r="A3144" s="1" t="str">
        <f t="shared" si="1043"/>
        <v>卡卡杜-凤凰仓</v>
      </c>
      <c r="B3144" s="1" t="str">
        <f>"CK2024102451"</f>
        <v>CK2024102451</v>
      </c>
      <c r="C3144" s="1" t="str">
        <f>"DD2024102423248"</f>
        <v>DD2024102423248</v>
      </c>
      <c r="D3144" s="1" t="str">
        <f>"CK2024102417126"</f>
        <v>CK2024102417126</v>
      </c>
      <c r="E3144" s="1" t="str">
        <f>"2429702117193645"</f>
        <v>2429702117193645</v>
      </c>
      <c r="F3144" s="1" t="str">
        <f t="shared" si="1044"/>
        <v>花都四部-凤凰仓</v>
      </c>
      <c r="G3144" s="1" t="str">
        <f t="shared" si="1047"/>
        <v>卡卡杜佳旺专卖店（快手店）</v>
      </c>
      <c r="H3144" s="1" t="str">
        <f t="shared" si="1045"/>
        <v>正常订单</v>
      </c>
      <c r="I3144" s="1" t="str">
        <f t="shared" si="1046"/>
        <v>已发货</v>
      </c>
      <c r="J3144" s="1" t="str">
        <f t="shared" ref="J3144:J3148" si="1049">"3"</f>
        <v>3</v>
      </c>
      <c r="K3144" s="1">
        <v>2</v>
      </c>
      <c r="L3144" s="1" t="s">
        <v>30</v>
      </c>
      <c r="M3144" s="1" t="str">
        <f>"山东省 威海市 威海火炬高技术产业开发区 田和街道"</f>
        <v>山东省 威海市 威海火炬高技术产业开发区 田和街道</v>
      </c>
      <c r="N3144" s="1" t="str">
        <f t="shared" si="1048"/>
        <v>凡华云仓-城南圆通-快手</v>
      </c>
      <c r="O3144" s="5" t="s">
        <v>3178</v>
      </c>
      <c r="P3144" s="6">
        <v>0.35</v>
      </c>
      <c r="Q3144" s="11">
        <v>2.2999999999999998</v>
      </c>
      <c r="R3144" s="11"/>
      <c r="S3144" s="11"/>
      <c r="T3144" s="11"/>
      <c r="U3144" s="11">
        <f t="shared" si="1042"/>
        <v>2.2999999999999998</v>
      </c>
      <c r="W3144">
        <v>2.5</v>
      </c>
      <c r="X3144" s="1" t="s">
        <v>30</v>
      </c>
    </row>
    <row r="3145" spans="1:24" x14ac:dyDescent="0.25">
      <c r="A3145" s="1" t="str">
        <f t="shared" si="1043"/>
        <v>卡卡杜-凤凰仓</v>
      </c>
      <c r="B3145" s="1" t="str">
        <f>"CK20241024168"</f>
        <v>CK20241024168</v>
      </c>
      <c r="C3145" s="1" t="str">
        <f>"DD2024102423391"</f>
        <v>DD2024102423391</v>
      </c>
      <c r="D3145" s="1" t="str">
        <f>"CK2024102417125"</f>
        <v>CK2024102417125</v>
      </c>
      <c r="E3145" s="1" t="str">
        <f>"2429702104602503"</f>
        <v>2429702104602503</v>
      </c>
      <c r="F3145" s="1" t="str">
        <f t="shared" si="1044"/>
        <v>花都四部-凤凰仓</v>
      </c>
      <c r="G3145" s="1" t="str">
        <f t="shared" si="1047"/>
        <v>卡卡杜佳旺专卖店（快手店）</v>
      </c>
      <c r="H3145" s="1" t="str">
        <f t="shared" si="1045"/>
        <v>正常订单</v>
      </c>
      <c r="I3145" s="1" t="str">
        <f t="shared" si="1046"/>
        <v>已发货</v>
      </c>
      <c r="J3145" s="1" t="str">
        <f>"5"</f>
        <v>5</v>
      </c>
      <c r="K3145" s="1">
        <v>2</v>
      </c>
      <c r="L3145" s="1" t="s">
        <v>32</v>
      </c>
      <c r="M3145" s="1" t="str">
        <f>"陕西省 宝鸡市 渭滨区 石鼓镇"</f>
        <v>陕西省 宝鸡市 渭滨区 石鼓镇</v>
      </c>
      <c r="N3145" s="1" t="str">
        <f t="shared" si="1048"/>
        <v>凡华云仓-城南圆通-快手</v>
      </c>
      <c r="O3145" s="5" t="s">
        <v>3179</v>
      </c>
      <c r="P3145" s="6">
        <v>0.59</v>
      </c>
      <c r="Q3145" s="11">
        <f>CEILING(P3145-0.5,0.1)*10*0.15+2.3</f>
        <v>2.4499999999999997</v>
      </c>
      <c r="R3145" s="11"/>
      <c r="S3145" s="11"/>
      <c r="T3145" s="11"/>
      <c r="U3145" s="11">
        <f t="shared" si="1042"/>
        <v>2.4499999999999997</v>
      </c>
      <c r="V3145" t="s">
        <v>15</v>
      </c>
      <c r="W3145">
        <v>2.4500000000000002</v>
      </c>
      <c r="X3145" s="1" t="s">
        <v>32</v>
      </c>
    </row>
    <row r="3146" spans="1:24" x14ac:dyDescent="0.25">
      <c r="A3146" s="1" t="str">
        <f t="shared" si="1043"/>
        <v>卡卡杜-凤凰仓</v>
      </c>
      <c r="B3146" s="1" t="str">
        <f>"CK2024102445"</f>
        <v>CK2024102445</v>
      </c>
      <c r="C3146" s="1" t="str">
        <f>"DD2024102423242"</f>
        <v>DD2024102423242</v>
      </c>
      <c r="D3146" s="1" t="str">
        <f>"CK2024102417124"</f>
        <v>CK2024102417124</v>
      </c>
      <c r="E3146" s="1" t="str">
        <f>"2429701940651460"</f>
        <v>2429701940651460</v>
      </c>
      <c r="F3146" s="1" t="str">
        <f t="shared" si="1044"/>
        <v>花都四部-凤凰仓</v>
      </c>
      <c r="G3146" s="1" t="str">
        <f t="shared" si="1047"/>
        <v>卡卡杜佳旺专卖店（快手店）</v>
      </c>
      <c r="H3146" s="1" t="str">
        <f t="shared" si="1045"/>
        <v>正常订单</v>
      </c>
      <c r="I3146" s="1" t="str">
        <f t="shared" si="1046"/>
        <v>已发货</v>
      </c>
      <c r="J3146" s="1" t="str">
        <f t="shared" si="1049"/>
        <v>3</v>
      </c>
      <c r="K3146" s="1">
        <v>2</v>
      </c>
      <c r="L3146" s="1" t="s">
        <v>30</v>
      </c>
      <c r="M3146" s="1" t="str">
        <f>"山东省 德州市 齐河县 晏北街道"</f>
        <v>山东省 德州市 齐河县 晏北街道</v>
      </c>
      <c r="N3146" s="1" t="str">
        <f t="shared" si="1048"/>
        <v>凡华云仓-城南圆通-快手</v>
      </c>
      <c r="O3146" s="5" t="s">
        <v>3180</v>
      </c>
      <c r="P3146" s="6">
        <v>0.35</v>
      </c>
      <c r="Q3146" s="11">
        <v>2.2999999999999998</v>
      </c>
      <c r="R3146" s="11"/>
      <c r="S3146" s="11"/>
      <c r="T3146" s="11"/>
      <c r="U3146" s="11">
        <f t="shared" si="1042"/>
        <v>2.2999999999999998</v>
      </c>
      <c r="W3146">
        <v>2.5</v>
      </c>
      <c r="X3146" s="1" t="s">
        <v>30</v>
      </c>
    </row>
    <row r="3147" spans="1:24" x14ac:dyDescent="0.25">
      <c r="A3147" s="1" t="str">
        <f t="shared" si="1043"/>
        <v>卡卡杜-凤凰仓</v>
      </c>
      <c r="B3147" s="1" t="str">
        <f>"CK2024102497"</f>
        <v>CK2024102497</v>
      </c>
      <c r="C3147" s="1" t="str">
        <f>"DD2024102423295"</f>
        <v>DD2024102423295</v>
      </c>
      <c r="D3147" s="1" t="str">
        <f>"CK2024102417123"</f>
        <v>CK2024102417123</v>
      </c>
      <c r="E3147" s="1" t="str">
        <f>"2429702271354241"</f>
        <v>2429702271354241</v>
      </c>
      <c r="F3147" s="1" t="str">
        <f t="shared" si="1044"/>
        <v>花都四部-凤凰仓</v>
      </c>
      <c r="G3147" s="1" t="str">
        <f t="shared" si="1047"/>
        <v>卡卡杜佳旺专卖店（快手店）</v>
      </c>
      <c r="H3147" s="1" t="str">
        <f t="shared" si="1045"/>
        <v>正常订单</v>
      </c>
      <c r="I3147" s="1" t="str">
        <f t="shared" si="1046"/>
        <v>已发货</v>
      </c>
      <c r="J3147" s="1" t="str">
        <f t="shared" si="1049"/>
        <v>3</v>
      </c>
      <c r="K3147" s="1">
        <v>2</v>
      </c>
      <c r="L3147" s="1" t="s">
        <v>20</v>
      </c>
      <c r="M3147" s="1" t="str">
        <f>"浙江省 温州市 永嘉县 桥下镇"</f>
        <v>浙江省 温州市 永嘉县 桥下镇</v>
      </c>
      <c r="N3147" s="1" t="str">
        <f t="shared" si="1048"/>
        <v>凡华云仓-城南圆通-快手</v>
      </c>
      <c r="O3147" s="5" t="s">
        <v>3181</v>
      </c>
      <c r="P3147" s="6">
        <v>0.35</v>
      </c>
      <c r="Q3147" s="11">
        <v>2.2999999999999998</v>
      </c>
      <c r="R3147" s="11"/>
      <c r="S3147" s="11"/>
      <c r="T3147" s="11"/>
      <c r="U3147" s="11">
        <f t="shared" si="1042"/>
        <v>2.2999999999999998</v>
      </c>
      <c r="W3147">
        <v>2.5</v>
      </c>
      <c r="X3147" s="1" t="s">
        <v>20</v>
      </c>
    </row>
    <row r="3148" spans="1:24" x14ac:dyDescent="0.25">
      <c r="A3148" s="1" t="str">
        <f t="shared" si="1043"/>
        <v>卡卡杜-凤凰仓</v>
      </c>
      <c r="B3148" s="1" t="str">
        <f>"CK2024102493"</f>
        <v>CK2024102493</v>
      </c>
      <c r="C3148" s="1" t="str">
        <f>"DD2024102423291"</f>
        <v>DD2024102423291</v>
      </c>
      <c r="D3148" s="1" t="str">
        <f>"CK2024102417122"</f>
        <v>CK2024102417122</v>
      </c>
      <c r="E3148" s="1" t="str">
        <f>"2429702105960931"</f>
        <v>2429702105960931</v>
      </c>
      <c r="F3148" s="1" t="str">
        <f t="shared" si="1044"/>
        <v>花都四部-凤凰仓</v>
      </c>
      <c r="G3148" s="1" t="str">
        <f t="shared" si="1047"/>
        <v>卡卡杜佳旺专卖店（快手店）</v>
      </c>
      <c r="H3148" s="1" t="str">
        <f t="shared" si="1045"/>
        <v>正常订单</v>
      </c>
      <c r="I3148" s="1" t="str">
        <f t="shared" si="1046"/>
        <v>已发货</v>
      </c>
      <c r="J3148" s="1" t="str">
        <f t="shared" si="1049"/>
        <v>3</v>
      </c>
      <c r="K3148" s="1">
        <v>2</v>
      </c>
      <c r="L3148" s="1" t="s">
        <v>13</v>
      </c>
      <c r="M3148" s="1" t="str">
        <f>"江苏省 连云港市 海州区 花果山街道"</f>
        <v>江苏省 连云港市 海州区 花果山街道</v>
      </c>
      <c r="N3148" s="1" t="str">
        <f t="shared" si="1048"/>
        <v>凡华云仓-城南圆通-快手</v>
      </c>
      <c r="O3148" s="5" t="s">
        <v>3182</v>
      </c>
      <c r="P3148" s="6">
        <v>0.35</v>
      </c>
      <c r="Q3148" s="11">
        <v>2.2999999999999998</v>
      </c>
      <c r="R3148" s="11"/>
      <c r="S3148" s="11"/>
      <c r="T3148" s="11"/>
      <c r="U3148" s="11">
        <f t="shared" si="1042"/>
        <v>2.2999999999999998</v>
      </c>
      <c r="W3148">
        <v>2.5</v>
      </c>
      <c r="X3148" s="1" t="s">
        <v>13</v>
      </c>
    </row>
    <row r="3149" spans="1:24" x14ac:dyDescent="0.25">
      <c r="A3149" s="1" t="str">
        <f t="shared" si="1043"/>
        <v>卡卡杜-凤凰仓</v>
      </c>
      <c r="B3149" s="1" t="str">
        <f>"CK20241024171"</f>
        <v>CK20241024171</v>
      </c>
      <c r="C3149" s="1" t="str">
        <f>"DD2024102423395"</f>
        <v>DD2024102423395</v>
      </c>
      <c r="D3149" s="1" t="str">
        <f>"CK2024102417121"</f>
        <v>CK2024102417121</v>
      </c>
      <c r="E3149" s="1" t="str">
        <f>"2429702507809209"</f>
        <v>2429702507809209</v>
      </c>
      <c r="F3149" s="1" t="str">
        <f t="shared" si="1044"/>
        <v>花都四部-凤凰仓</v>
      </c>
      <c r="G3149" s="1" t="str">
        <f t="shared" si="1047"/>
        <v>卡卡杜佳旺专卖店（快手店）</v>
      </c>
      <c r="H3149" s="1" t="str">
        <f t="shared" si="1045"/>
        <v>正常订单</v>
      </c>
      <c r="I3149" s="1" t="str">
        <f t="shared" si="1046"/>
        <v>已发货</v>
      </c>
      <c r="J3149" s="1" t="str">
        <f t="shared" ref="J3149:J3154" si="1050">"5"</f>
        <v>5</v>
      </c>
      <c r="K3149" s="1">
        <v>2</v>
      </c>
      <c r="L3149" s="1" t="s">
        <v>52</v>
      </c>
      <c r="M3149" s="1" t="str">
        <f>"甘肃省 兰州市 城关区 火车站街道"</f>
        <v>甘肃省 兰州市 城关区 火车站街道</v>
      </c>
      <c r="N3149" s="1" t="str">
        <f t="shared" si="1048"/>
        <v>凡华云仓-城南圆通-快手</v>
      </c>
      <c r="O3149" s="5" t="s">
        <v>3183</v>
      </c>
      <c r="P3149" s="6">
        <v>0.59</v>
      </c>
      <c r="Q3149" s="11">
        <f t="shared" ref="Q3149:Q3154" si="1051">CEILING(P3149-0.5,0.1)*10*0.15+2.3</f>
        <v>2.4499999999999997</v>
      </c>
      <c r="R3149" s="11"/>
      <c r="S3149" s="11"/>
      <c r="T3149" s="11"/>
      <c r="U3149" s="11">
        <f t="shared" si="1042"/>
        <v>2.4499999999999997</v>
      </c>
      <c r="V3149" t="s">
        <v>15</v>
      </c>
      <c r="W3149">
        <v>2.4500000000000002</v>
      </c>
      <c r="X3149" s="1" t="s">
        <v>52</v>
      </c>
    </row>
    <row r="3150" spans="1:24" x14ac:dyDescent="0.25">
      <c r="A3150" s="1" t="str">
        <f t="shared" si="1043"/>
        <v>卡卡杜-凤凰仓</v>
      </c>
      <c r="B3150" s="1" t="str">
        <f>"CK20241024111"</f>
        <v>CK20241024111</v>
      </c>
      <c r="C3150" s="1" t="str">
        <f>"DD2024102423309"</f>
        <v>DD2024102423309</v>
      </c>
      <c r="D3150" s="1" t="str">
        <f>"CK2024102417120"</f>
        <v>CK2024102417120</v>
      </c>
      <c r="E3150" s="1" t="str">
        <f>"2429702193163286"</f>
        <v>2429702193163286</v>
      </c>
      <c r="F3150" s="1" t="str">
        <f t="shared" si="1044"/>
        <v>花都四部-凤凰仓</v>
      </c>
      <c r="G3150" s="1" t="str">
        <f t="shared" si="1047"/>
        <v>卡卡杜佳旺专卖店（快手店）</v>
      </c>
      <c r="H3150" s="1" t="str">
        <f t="shared" si="1045"/>
        <v>正常订单</v>
      </c>
      <c r="I3150" s="1" t="str">
        <f t="shared" si="1046"/>
        <v>已发货</v>
      </c>
      <c r="J3150" s="1" t="str">
        <f t="shared" ref="J3150:J3153" si="1052">"3"</f>
        <v>3</v>
      </c>
      <c r="K3150" s="1">
        <v>2</v>
      </c>
      <c r="L3150" s="1" t="s">
        <v>36</v>
      </c>
      <c r="M3150" s="1" t="str">
        <f>"安徽省 芜湖市 弋江区 白马街道"</f>
        <v>安徽省 芜湖市 弋江区 白马街道</v>
      </c>
      <c r="N3150" s="1" t="str">
        <f t="shared" si="1048"/>
        <v>凡华云仓-城南圆通-快手</v>
      </c>
      <c r="O3150" s="5" t="s">
        <v>3184</v>
      </c>
      <c r="P3150" s="6">
        <v>0.35</v>
      </c>
      <c r="Q3150" s="11">
        <v>2.2999999999999998</v>
      </c>
      <c r="R3150" s="11"/>
      <c r="S3150" s="11"/>
      <c r="T3150" s="11"/>
      <c r="U3150" s="11">
        <f t="shared" si="1042"/>
        <v>2.2999999999999998</v>
      </c>
      <c r="W3150">
        <v>2.5</v>
      </c>
      <c r="X3150" s="1" t="s">
        <v>36</v>
      </c>
    </row>
    <row r="3151" spans="1:24" x14ac:dyDescent="0.25">
      <c r="A3151" s="1" t="str">
        <f t="shared" si="1043"/>
        <v>卡卡杜-凤凰仓</v>
      </c>
      <c r="B3151" s="1" t="str">
        <f>"CK20241024163"</f>
        <v>CK20241024163</v>
      </c>
      <c r="C3151" s="1" t="str">
        <f>"DD2024102423380"</f>
        <v>DD2024102423380</v>
      </c>
      <c r="D3151" s="1" t="str">
        <f>"CK2024102417119"</f>
        <v>CK2024102417119</v>
      </c>
      <c r="E3151" s="1" t="str">
        <f>"2429701707530755"</f>
        <v>2429701707530755</v>
      </c>
      <c r="F3151" s="1" t="str">
        <f t="shared" si="1044"/>
        <v>花都四部-凤凰仓</v>
      </c>
      <c r="G3151" s="1" t="str">
        <f t="shared" si="1047"/>
        <v>卡卡杜佳旺专卖店（快手店）</v>
      </c>
      <c r="H3151" s="1" t="str">
        <f t="shared" si="1045"/>
        <v>正常订单</v>
      </c>
      <c r="I3151" s="1" t="str">
        <f t="shared" si="1046"/>
        <v>已发货</v>
      </c>
      <c r="J3151" s="1" t="str">
        <f t="shared" si="1050"/>
        <v>5</v>
      </c>
      <c r="K3151" s="1">
        <v>2</v>
      </c>
      <c r="L3151" s="1" t="s">
        <v>13</v>
      </c>
      <c r="M3151" s="1" t="str">
        <f>"江苏省 苏州市 张家港市 南丰镇"</f>
        <v>江苏省 苏州市 张家港市 南丰镇</v>
      </c>
      <c r="N3151" s="1" t="str">
        <f t="shared" si="1048"/>
        <v>凡华云仓-城南圆通-快手</v>
      </c>
      <c r="O3151" s="5" t="s">
        <v>3185</v>
      </c>
      <c r="P3151" s="6">
        <v>0.59</v>
      </c>
      <c r="Q3151" s="11">
        <f t="shared" si="1051"/>
        <v>2.4499999999999997</v>
      </c>
      <c r="R3151" s="11"/>
      <c r="S3151" s="11"/>
      <c r="T3151" s="11"/>
      <c r="U3151" s="11">
        <f t="shared" si="1042"/>
        <v>2.4499999999999997</v>
      </c>
      <c r="V3151" t="s">
        <v>15</v>
      </c>
      <c r="W3151">
        <v>2.4500000000000002</v>
      </c>
      <c r="X3151" s="1" t="s">
        <v>13</v>
      </c>
    </row>
    <row r="3152" spans="1:24" x14ac:dyDescent="0.25">
      <c r="A3152" s="1" t="str">
        <f t="shared" si="1043"/>
        <v>卡卡杜-凤凰仓</v>
      </c>
      <c r="B3152" s="1" t="str">
        <f>"CK2024102430"</f>
        <v>CK2024102430</v>
      </c>
      <c r="C3152" s="1" t="str">
        <f>"DD2024102423227"</f>
        <v>DD2024102423227</v>
      </c>
      <c r="D3152" s="1" t="str">
        <f>"CK2024102417118"</f>
        <v>CK2024102417118</v>
      </c>
      <c r="E3152" s="1" t="str">
        <f>"2429802400147003"</f>
        <v>2429802400147003</v>
      </c>
      <c r="F3152" s="1" t="str">
        <f t="shared" si="1044"/>
        <v>花都四部-凤凰仓</v>
      </c>
      <c r="G3152" s="1" t="str">
        <f t="shared" si="1047"/>
        <v>卡卡杜佳旺专卖店（快手店）</v>
      </c>
      <c r="H3152" s="1" t="str">
        <f t="shared" si="1045"/>
        <v>正常订单</v>
      </c>
      <c r="I3152" s="1" t="str">
        <f t="shared" si="1046"/>
        <v>已发货</v>
      </c>
      <c r="J3152" s="1" t="str">
        <f t="shared" si="1052"/>
        <v>3</v>
      </c>
      <c r="K3152" s="1">
        <v>2</v>
      </c>
      <c r="L3152" s="1" t="s">
        <v>13</v>
      </c>
      <c r="M3152" s="1" t="str">
        <f>"江苏省 淮安市 涟水县 朱码街道"</f>
        <v>江苏省 淮安市 涟水县 朱码街道</v>
      </c>
      <c r="N3152" s="1" t="str">
        <f t="shared" si="1048"/>
        <v>凡华云仓-城南圆通-快手</v>
      </c>
      <c r="O3152" s="5" t="s">
        <v>3186</v>
      </c>
      <c r="P3152" s="6">
        <v>0.35</v>
      </c>
      <c r="Q3152" s="11">
        <v>2.2999999999999998</v>
      </c>
      <c r="R3152" s="11"/>
      <c r="S3152" s="11"/>
      <c r="T3152" s="11"/>
      <c r="U3152" s="11">
        <f t="shared" si="1042"/>
        <v>2.2999999999999998</v>
      </c>
      <c r="W3152">
        <v>2.5</v>
      </c>
      <c r="X3152" s="1" t="s">
        <v>13</v>
      </c>
    </row>
    <row r="3153" spans="1:24" x14ac:dyDescent="0.25">
      <c r="A3153" s="1" t="str">
        <f t="shared" si="1043"/>
        <v>卡卡杜-凤凰仓</v>
      </c>
      <c r="B3153" s="1" t="str">
        <f>"CK2024102415"</f>
        <v>CK2024102415</v>
      </c>
      <c r="C3153" s="1" t="str">
        <f>"DD2024102423211"</f>
        <v>DD2024102423211</v>
      </c>
      <c r="D3153" s="1" t="str">
        <f>"CK2024102417117"</f>
        <v>CK2024102417117</v>
      </c>
      <c r="E3153" s="1" t="str">
        <f>"2429801844034389"</f>
        <v>2429801844034389</v>
      </c>
      <c r="F3153" s="1" t="str">
        <f t="shared" si="1044"/>
        <v>花都四部-凤凰仓</v>
      </c>
      <c r="G3153" s="1" t="str">
        <f t="shared" si="1047"/>
        <v>卡卡杜佳旺专卖店（快手店）</v>
      </c>
      <c r="H3153" s="1" t="str">
        <f t="shared" si="1045"/>
        <v>正常订单</v>
      </c>
      <c r="I3153" s="1" t="str">
        <f t="shared" si="1046"/>
        <v>已发货</v>
      </c>
      <c r="J3153" s="1" t="str">
        <f t="shared" si="1052"/>
        <v>3</v>
      </c>
      <c r="K3153" s="1">
        <v>2</v>
      </c>
      <c r="L3153" s="1" t="s">
        <v>44</v>
      </c>
      <c r="M3153" s="1" t="str">
        <f>"海南省 海口市 龙华区 城西镇"</f>
        <v>海南省 海口市 龙华区 城西镇</v>
      </c>
      <c r="N3153" s="1" t="str">
        <f t="shared" si="1048"/>
        <v>凡华云仓-城南圆通-快手</v>
      </c>
      <c r="O3153" s="5" t="s">
        <v>3187</v>
      </c>
      <c r="P3153" s="6">
        <v>0.35</v>
      </c>
      <c r="Q3153" s="11">
        <v>2.2999999999999998</v>
      </c>
      <c r="R3153" s="11"/>
      <c r="S3153" s="11"/>
      <c r="T3153" s="11"/>
      <c r="U3153" s="11">
        <f t="shared" si="1042"/>
        <v>2.2999999999999998</v>
      </c>
      <c r="W3153">
        <v>2.5</v>
      </c>
      <c r="X3153" s="1" t="s">
        <v>44</v>
      </c>
    </row>
    <row r="3154" spans="1:24" x14ac:dyDescent="0.25">
      <c r="A3154" s="1" t="str">
        <f t="shared" si="1043"/>
        <v>卡卡杜-凤凰仓</v>
      </c>
      <c r="B3154" s="1" t="str">
        <f>"CK20241024172"</f>
        <v>CK20241024172</v>
      </c>
      <c r="C3154" s="1" t="str">
        <f>"DD2024102423397"</f>
        <v>DD2024102423397</v>
      </c>
      <c r="D3154" s="1" t="str">
        <f>"CK2024102417116"</f>
        <v>CK2024102417116</v>
      </c>
      <c r="E3154" s="1" t="str">
        <f>"2429701797313209"</f>
        <v>2429701797313209</v>
      </c>
      <c r="F3154" s="1" t="str">
        <f t="shared" si="1044"/>
        <v>花都四部-凤凰仓</v>
      </c>
      <c r="G3154" s="1" t="str">
        <f t="shared" si="1047"/>
        <v>卡卡杜佳旺专卖店（快手店）</v>
      </c>
      <c r="H3154" s="1" t="str">
        <f t="shared" si="1045"/>
        <v>正常订单</v>
      </c>
      <c r="I3154" s="1" t="str">
        <f t="shared" si="1046"/>
        <v>已发货</v>
      </c>
      <c r="J3154" s="1" t="str">
        <f t="shared" si="1050"/>
        <v>5</v>
      </c>
      <c r="K3154" s="1">
        <v>2</v>
      </c>
      <c r="L3154" s="1" t="s">
        <v>80</v>
      </c>
      <c r="M3154" s="1" t="str">
        <f>"河南省 驻马店市 上蔡县 齐海乡"</f>
        <v>河南省 驻马店市 上蔡县 齐海乡</v>
      </c>
      <c r="N3154" s="1" t="str">
        <f t="shared" si="1048"/>
        <v>凡华云仓-城南圆通-快手</v>
      </c>
      <c r="O3154" s="5" t="s">
        <v>3188</v>
      </c>
      <c r="P3154" s="6">
        <v>0.59</v>
      </c>
      <c r="Q3154" s="11">
        <f t="shared" si="1051"/>
        <v>2.4499999999999997</v>
      </c>
      <c r="R3154" s="11"/>
      <c r="S3154" s="11"/>
      <c r="T3154" s="11"/>
      <c r="U3154" s="11">
        <f t="shared" si="1042"/>
        <v>2.4499999999999997</v>
      </c>
      <c r="V3154" t="s">
        <v>15</v>
      </c>
      <c r="W3154">
        <v>2.4500000000000002</v>
      </c>
      <c r="X3154" s="1" t="s">
        <v>80</v>
      </c>
    </row>
    <row r="3155" spans="1:24" x14ac:dyDescent="0.25">
      <c r="A3155" s="1" t="str">
        <f t="shared" si="1043"/>
        <v>卡卡杜-凤凰仓</v>
      </c>
      <c r="B3155" s="1" t="str">
        <f>"CK2024102458"</f>
        <v>CK2024102458</v>
      </c>
      <c r="C3155" s="1" t="str">
        <f>"DD2024102423256"</f>
        <v>DD2024102423256</v>
      </c>
      <c r="D3155" s="1" t="str">
        <f>"CK2024102417115"</f>
        <v>CK2024102417115</v>
      </c>
      <c r="E3155" s="1" t="str">
        <f>"2429702432730846"</f>
        <v>2429702432730846</v>
      </c>
      <c r="F3155" s="1" t="str">
        <f t="shared" si="1044"/>
        <v>花都四部-凤凰仓</v>
      </c>
      <c r="G3155" s="1" t="str">
        <f t="shared" si="1047"/>
        <v>卡卡杜佳旺专卖店（快手店）</v>
      </c>
      <c r="H3155" s="1" t="str">
        <f t="shared" si="1045"/>
        <v>正常订单</v>
      </c>
      <c r="I3155" s="1" t="str">
        <f t="shared" si="1046"/>
        <v>已发货</v>
      </c>
      <c r="J3155" s="1" t="str">
        <f t="shared" ref="J3155:J3206" si="1053">"3"</f>
        <v>3</v>
      </c>
      <c r="K3155" s="1">
        <v>2</v>
      </c>
      <c r="L3155" s="1" t="s">
        <v>24</v>
      </c>
      <c r="M3155" s="1" t="str">
        <f>"福建省 泉州市 晋江市 陈埭镇"</f>
        <v>福建省 泉州市 晋江市 陈埭镇</v>
      </c>
      <c r="N3155" s="1" t="str">
        <f t="shared" si="1048"/>
        <v>凡华云仓-城南圆通-快手</v>
      </c>
      <c r="O3155" s="5" t="s">
        <v>3189</v>
      </c>
      <c r="P3155" s="6">
        <v>0.35</v>
      </c>
      <c r="Q3155" s="11">
        <v>2.2999999999999998</v>
      </c>
      <c r="R3155" s="11"/>
      <c r="S3155" s="11"/>
      <c r="T3155" s="11"/>
      <c r="U3155" s="11">
        <f t="shared" si="1042"/>
        <v>2.2999999999999998</v>
      </c>
      <c r="W3155">
        <v>2.5</v>
      </c>
      <c r="X3155" s="1" t="s">
        <v>24</v>
      </c>
    </row>
    <row r="3156" spans="1:24" x14ac:dyDescent="0.25">
      <c r="A3156" s="1" t="str">
        <f t="shared" si="1043"/>
        <v>卡卡杜-凤凰仓</v>
      </c>
      <c r="B3156" s="1" t="str">
        <f>"CK2024102462"</f>
        <v>CK2024102462</v>
      </c>
      <c r="C3156" s="1" t="str">
        <f>"DD2024102423259"</f>
        <v>DD2024102423259</v>
      </c>
      <c r="D3156" s="1" t="str">
        <f>"CK2024102417114"</f>
        <v>CK2024102417114</v>
      </c>
      <c r="E3156" s="1" t="str">
        <f>"2429702106144620"</f>
        <v>2429702106144620</v>
      </c>
      <c r="F3156" s="1" t="str">
        <f t="shared" si="1044"/>
        <v>花都四部-凤凰仓</v>
      </c>
      <c r="G3156" s="1" t="str">
        <f t="shared" si="1047"/>
        <v>卡卡杜佳旺专卖店（快手店）</v>
      </c>
      <c r="H3156" s="1" t="str">
        <f t="shared" si="1045"/>
        <v>正常订单</v>
      </c>
      <c r="I3156" s="1" t="str">
        <f t="shared" si="1046"/>
        <v>已发货</v>
      </c>
      <c r="J3156" s="1" t="str">
        <f t="shared" si="1053"/>
        <v>3</v>
      </c>
      <c r="K3156" s="1">
        <v>2</v>
      </c>
      <c r="L3156" s="1" t="s">
        <v>136</v>
      </c>
      <c r="M3156" s="1" t="str">
        <f>"北京市 北京市 丰台区 看丹街道"</f>
        <v>北京市 北京市 丰台区 看丹街道</v>
      </c>
      <c r="N3156" s="1" t="str">
        <f t="shared" si="1048"/>
        <v>凡华云仓-城南圆通-快手</v>
      </c>
      <c r="O3156" s="5" t="s">
        <v>3190</v>
      </c>
      <c r="P3156" s="6">
        <v>0.35</v>
      </c>
      <c r="Q3156" s="11">
        <v>2.2999999999999998</v>
      </c>
      <c r="R3156" s="11"/>
      <c r="S3156" s="11"/>
      <c r="T3156" s="11"/>
      <c r="U3156" s="11">
        <f t="shared" si="1042"/>
        <v>2.2999999999999998</v>
      </c>
      <c r="W3156">
        <v>2.5</v>
      </c>
      <c r="X3156" s="1" t="s">
        <v>136</v>
      </c>
    </row>
    <row r="3157" spans="1:24" x14ac:dyDescent="0.25">
      <c r="A3157" s="1" t="str">
        <f t="shared" si="1043"/>
        <v>卡卡杜-凤凰仓</v>
      </c>
      <c r="B3157" s="1" t="str">
        <f>"CK20241024212"</f>
        <v>CK20241024212</v>
      </c>
      <c r="C3157" s="1" t="str">
        <f>"DD2024102423956"</f>
        <v>DD2024102423956</v>
      </c>
      <c r="D3157" s="1" t="str">
        <f>"CK2024102417088"</f>
        <v>CK2024102417088</v>
      </c>
      <c r="E3157" s="1" t="str">
        <f>"6935420000582440562"</f>
        <v>6935420000582440562</v>
      </c>
      <c r="F3157" s="1" t="str">
        <f t="shared" si="1044"/>
        <v>花都四部-凤凰仓</v>
      </c>
      <c r="G3157" s="1" t="str">
        <f t="shared" ref="G3157:G3219" si="1054">"卡卡杜个人护理店（抖店）"</f>
        <v>卡卡杜个人护理店（抖店）</v>
      </c>
      <c r="H3157" s="1" t="str">
        <f t="shared" si="1045"/>
        <v>正常订单</v>
      </c>
      <c r="I3157" s="1" t="str">
        <f t="shared" si="1046"/>
        <v>已发货</v>
      </c>
      <c r="J3157" s="1" t="str">
        <f t="shared" si="1053"/>
        <v>3</v>
      </c>
      <c r="K3157" s="1">
        <v>2</v>
      </c>
      <c r="L3157" s="1" t="s">
        <v>94</v>
      </c>
      <c r="M3157" s="1" t="str">
        <f>"湖南省 岳阳市 湘阴县 岭北镇"</f>
        <v>湖南省 岳阳市 湘阴县 岭北镇</v>
      </c>
      <c r="N3157" s="1" t="str">
        <f t="shared" ref="N3157:N3200" si="1055">"凡华云仓-城南圆通-抖音"</f>
        <v>凡华云仓-城南圆通-抖音</v>
      </c>
      <c r="O3157" s="5" t="s">
        <v>3191</v>
      </c>
      <c r="P3157" s="6">
        <v>0.35</v>
      </c>
      <c r="Q3157" s="11">
        <v>2.2999999999999998</v>
      </c>
      <c r="R3157" s="11"/>
      <c r="S3157" s="11"/>
      <c r="T3157" s="11"/>
      <c r="U3157" s="11">
        <f t="shared" si="1042"/>
        <v>2.2999999999999998</v>
      </c>
      <c r="W3157">
        <v>2.5</v>
      </c>
      <c r="X3157" s="1" t="s">
        <v>94</v>
      </c>
    </row>
    <row r="3158" spans="1:24" x14ac:dyDescent="0.25">
      <c r="A3158" s="1" t="str">
        <f t="shared" si="1043"/>
        <v>卡卡杜-凤凰仓</v>
      </c>
      <c r="B3158" s="1" t="str">
        <f>"CK2024102479"</f>
        <v>CK2024102479</v>
      </c>
      <c r="C3158" s="1" t="str">
        <f>"DD2024102423278"</f>
        <v>DD2024102423278</v>
      </c>
      <c r="D3158" s="1" t="str">
        <f>"CK2024102417087"</f>
        <v>CK2024102417087</v>
      </c>
      <c r="E3158" s="1" t="str">
        <f>"6935407151416350169"</f>
        <v>6935407151416350169</v>
      </c>
      <c r="F3158" s="1" t="str">
        <f t="shared" si="1044"/>
        <v>花都四部-凤凰仓</v>
      </c>
      <c r="G3158" s="1" t="str">
        <f t="shared" si="1054"/>
        <v>卡卡杜个人护理店（抖店）</v>
      </c>
      <c r="H3158" s="1" t="str">
        <f t="shared" si="1045"/>
        <v>正常订单</v>
      </c>
      <c r="I3158" s="1" t="str">
        <f t="shared" si="1046"/>
        <v>已发货</v>
      </c>
      <c r="J3158" s="1" t="str">
        <f t="shared" si="1053"/>
        <v>3</v>
      </c>
      <c r="K3158" s="1">
        <v>2</v>
      </c>
      <c r="L3158" s="1" t="s">
        <v>27</v>
      </c>
      <c r="M3158" s="1" t="str">
        <f>"贵州省 黔南布依族苗族自治州 福泉市 牛场镇"</f>
        <v>贵州省 黔南布依族苗族自治州 福泉市 牛场镇</v>
      </c>
      <c r="N3158" s="1" t="str">
        <f t="shared" si="1055"/>
        <v>凡华云仓-城南圆通-抖音</v>
      </c>
      <c r="O3158" s="5" t="s">
        <v>3192</v>
      </c>
      <c r="P3158" s="6">
        <v>0.35</v>
      </c>
      <c r="Q3158" s="11">
        <v>2.2999999999999998</v>
      </c>
      <c r="R3158" s="11"/>
      <c r="S3158" s="11"/>
      <c r="T3158" s="11"/>
      <c r="U3158" s="11">
        <f t="shared" si="1042"/>
        <v>2.2999999999999998</v>
      </c>
      <c r="W3158">
        <v>2.5</v>
      </c>
      <c r="X3158" s="1" t="s">
        <v>27</v>
      </c>
    </row>
    <row r="3159" spans="1:24" x14ac:dyDescent="0.25">
      <c r="A3159" s="1" t="str">
        <f t="shared" si="1043"/>
        <v>卡卡杜-凤凰仓</v>
      </c>
      <c r="B3159" s="1" t="str">
        <f>"CK2024102409"</f>
        <v>CK2024102409</v>
      </c>
      <c r="C3159" s="1" t="str">
        <f>"DD2024102423205"</f>
        <v>DD2024102423205</v>
      </c>
      <c r="D3159" s="1" t="str">
        <f>"CK2024102417086"</f>
        <v>CK2024102417086</v>
      </c>
      <c r="E3159" s="1" t="str">
        <f>"6935391160502326745"</f>
        <v>6935391160502326745</v>
      </c>
      <c r="F3159" s="1" t="str">
        <f t="shared" si="1044"/>
        <v>花都四部-凤凰仓</v>
      </c>
      <c r="G3159" s="1" t="str">
        <f t="shared" si="1054"/>
        <v>卡卡杜个人护理店（抖店）</v>
      </c>
      <c r="H3159" s="1" t="str">
        <f t="shared" si="1045"/>
        <v>正常订单</v>
      </c>
      <c r="I3159" s="1" t="str">
        <f t="shared" si="1046"/>
        <v>已发货</v>
      </c>
      <c r="J3159" s="1" t="str">
        <f t="shared" si="1053"/>
        <v>3</v>
      </c>
      <c r="K3159" s="1">
        <v>3</v>
      </c>
      <c r="L3159" s="1" t="s">
        <v>161</v>
      </c>
      <c r="M3159" s="1" t="str">
        <f>"四川省 成都市 武侯区 石羊街道"</f>
        <v>四川省 成都市 武侯区 石羊街道</v>
      </c>
      <c r="N3159" s="1" t="str">
        <f t="shared" si="1055"/>
        <v>凡华云仓-城南圆通-抖音</v>
      </c>
      <c r="O3159" s="5" t="s">
        <v>3193</v>
      </c>
      <c r="P3159" s="6">
        <v>0.34</v>
      </c>
      <c r="Q3159" s="11">
        <v>2.2999999999999998</v>
      </c>
      <c r="R3159" s="11"/>
      <c r="S3159" s="11"/>
      <c r="T3159" s="11"/>
      <c r="U3159" s="11">
        <f t="shared" si="1042"/>
        <v>2.2999999999999998</v>
      </c>
      <c r="W3159">
        <v>2.5</v>
      </c>
      <c r="X3159" s="1" t="s">
        <v>161</v>
      </c>
    </row>
    <row r="3160" spans="1:24" x14ac:dyDescent="0.25">
      <c r="A3160" s="1" t="str">
        <f t="shared" si="1043"/>
        <v>卡卡杜-凤凰仓</v>
      </c>
      <c r="B3160" s="1" t="str">
        <f>"CK2024102421"</f>
        <v>CK2024102421</v>
      </c>
      <c r="C3160" s="1" t="str">
        <f>"DD2024102423222"</f>
        <v>DD2024102423222</v>
      </c>
      <c r="D3160" s="1" t="str">
        <f>"CK2024102417085"</f>
        <v>CK2024102417085</v>
      </c>
      <c r="E3160" s="1" t="str">
        <f>"6935424421855041455"</f>
        <v>6935424421855041455</v>
      </c>
      <c r="F3160" s="1" t="str">
        <f t="shared" si="1044"/>
        <v>花都四部-凤凰仓</v>
      </c>
      <c r="G3160" s="1" t="str">
        <f t="shared" si="1054"/>
        <v>卡卡杜个人护理店（抖店）</v>
      </c>
      <c r="H3160" s="1" t="str">
        <f t="shared" si="1045"/>
        <v>正常订单</v>
      </c>
      <c r="I3160" s="1" t="str">
        <f t="shared" si="1046"/>
        <v>已发货</v>
      </c>
      <c r="J3160" s="1" t="str">
        <f t="shared" si="1053"/>
        <v>3</v>
      </c>
      <c r="K3160" s="1">
        <v>2</v>
      </c>
      <c r="L3160" s="1" t="s">
        <v>18</v>
      </c>
      <c r="M3160" s="1" t="str">
        <f>"广东省 深圳市 龙华区 龙华街道"</f>
        <v>广东省 深圳市 龙华区 龙华街道</v>
      </c>
      <c r="N3160" s="1" t="str">
        <f t="shared" si="1055"/>
        <v>凡华云仓-城南圆通-抖音</v>
      </c>
      <c r="O3160" s="5" t="s">
        <v>3194</v>
      </c>
      <c r="P3160" s="6">
        <v>0.35</v>
      </c>
      <c r="Q3160" s="11">
        <v>2.2999999999999998</v>
      </c>
      <c r="R3160" s="11"/>
      <c r="S3160" s="11"/>
      <c r="T3160" s="11"/>
      <c r="U3160" s="11">
        <f t="shared" si="1042"/>
        <v>2.2999999999999998</v>
      </c>
      <c r="W3160">
        <v>2.5</v>
      </c>
      <c r="X3160" s="1" t="s">
        <v>18</v>
      </c>
    </row>
    <row r="3161" spans="1:24" x14ac:dyDescent="0.25">
      <c r="A3161" s="1" t="str">
        <f t="shared" si="1043"/>
        <v>卡卡杜-凤凰仓</v>
      </c>
      <c r="B3161" s="1" t="str">
        <f>"CK2024102408"</f>
        <v>CK2024102408</v>
      </c>
      <c r="C3161" s="1" t="str">
        <f>"DD2024102423208"</f>
        <v>DD2024102423208</v>
      </c>
      <c r="D3161" s="1" t="str">
        <f>"CK2024102417052"</f>
        <v>CK2024102417052</v>
      </c>
      <c r="E3161" s="1" t="str">
        <f>"6935419799094695883"</f>
        <v>6935419799094695883</v>
      </c>
      <c r="F3161" s="1" t="str">
        <f t="shared" si="1044"/>
        <v>花都四部-凤凰仓</v>
      </c>
      <c r="G3161" s="1" t="str">
        <f t="shared" si="1054"/>
        <v>卡卡杜个人护理店（抖店）</v>
      </c>
      <c r="H3161" s="1" t="str">
        <f t="shared" si="1045"/>
        <v>正常订单</v>
      </c>
      <c r="I3161" s="1" t="str">
        <f t="shared" si="1046"/>
        <v>已发货</v>
      </c>
      <c r="J3161" s="1" t="str">
        <f t="shared" si="1053"/>
        <v>3</v>
      </c>
      <c r="K3161" s="1">
        <v>3</v>
      </c>
      <c r="L3161" s="1" t="s">
        <v>30</v>
      </c>
      <c r="M3161" s="1" t="str">
        <f>"山东省 威海市 环翠区 怡园街道"</f>
        <v>山东省 威海市 环翠区 怡园街道</v>
      </c>
      <c r="N3161" s="1" t="str">
        <f t="shared" si="1055"/>
        <v>凡华云仓-城南圆通-抖音</v>
      </c>
      <c r="O3161" s="5" t="s">
        <v>3195</v>
      </c>
      <c r="P3161" s="6">
        <v>0.34</v>
      </c>
      <c r="Q3161" s="11">
        <v>2.2999999999999998</v>
      </c>
      <c r="R3161" s="11"/>
      <c r="S3161" s="11"/>
      <c r="T3161" s="11"/>
      <c r="U3161" s="11">
        <f t="shared" si="1042"/>
        <v>2.2999999999999998</v>
      </c>
      <c r="W3161">
        <v>2.5</v>
      </c>
      <c r="X3161" s="1" t="s">
        <v>30</v>
      </c>
    </row>
    <row r="3162" spans="1:24" x14ac:dyDescent="0.25">
      <c r="A3162" s="1" t="str">
        <f t="shared" si="1043"/>
        <v>卡卡杜-凤凰仓</v>
      </c>
      <c r="B3162" s="1" t="str">
        <f>"CK2024102432"</f>
        <v>CK2024102432</v>
      </c>
      <c r="C3162" s="1" t="str">
        <f>"DD2024102423230"</f>
        <v>DD2024102423230</v>
      </c>
      <c r="D3162" s="1" t="str">
        <f>"CK2024102416770"</f>
        <v>CK2024102416770</v>
      </c>
      <c r="E3162" s="1" t="str">
        <f>"6935395929131783423"</f>
        <v>6935395929131783423</v>
      </c>
      <c r="F3162" s="1" t="str">
        <f t="shared" si="1044"/>
        <v>花都四部-凤凰仓</v>
      </c>
      <c r="G3162" s="1" t="str">
        <f t="shared" si="1054"/>
        <v>卡卡杜个人护理店（抖店）</v>
      </c>
      <c r="H3162" s="1" t="str">
        <f t="shared" si="1045"/>
        <v>正常订单</v>
      </c>
      <c r="I3162" s="1" t="str">
        <f t="shared" si="1046"/>
        <v>已发货</v>
      </c>
      <c r="J3162" s="1" t="str">
        <f t="shared" si="1053"/>
        <v>3</v>
      </c>
      <c r="K3162" s="1">
        <v>2</v>
      </c>
      <c r="L3162" s="1" t="s">
        <v>74</v>
      </c>
      <c r="M3162" s="1" t="str">
        <f>"上海 上海市 静安区 彭浦镇"</f>
        <v>上海 上海市 静安区 彭浦镇</v>
      </c>
      <c r="N3162" s="1" t="str">
        <f t="shared" si="1055"/>
        <v>凡华云仓-城南圆通-抖音</v>
      </c>
      <c r="O3162" s="5" t="s">
        <v>3196</v>
      </c>
      <c r="P3162" s="6">
        <v>0.35</v>
      </c>
      <c r="Q3162" s="11">
        <v>2.2999999999999998</v>
      </c>
      <c r="R3162" s="11"/>
      <c r="S3162" s="11"/>
      <c r="T3162" s="11"/>
      <c r="U3162" s="11">
        <f t="shared" si="1042"/>
        <v>2.2999999999999998</v>
      </c>
      <c r="W3162">
        <v>2.5</v>
      </c>
      <c r="X3162" s="1" t="s">
        <v>74</v>
      </c>
    </row>
    <row r="3163" spans="1:24" x14ac:dyDescent="0.25">
      <c r="A3163" s="1" t="str">
        <f t="shared" si="1043"/>
        <v>卡卡杜-凤凰仓</v>
      </c>
      <c r="B3163" s="1" t="str">
        <f>"CK2024102406"</f>
        <v>CK2024102406</v>
      </c>
      <c r="C3163" s="1" t="str">
        <f>"DD2024102423203"</f>
        <v>DD2024102423203</v>
      </c>
      <c r="D3163" s="1" t="str">
        <f>"CK2024102416753"</f>
        <v>CK2024102416753</v>
      </c>
      <c r="E3163" s="1" t="str">
        <f>"6935388667208603479"</f>
        <v>6935388667208603479</v>
      </c>
      <c r="F3163" s="1" t="str">
        <f t="shared" si="1044"/>
        <v>花都四部-凤凰仓</v>
      </c>
      <c r="G3163" s="1" t="str">
        <f t="shared" si="1054"/>
        <v>卡卡杜个人护理店（抖店）</v>
      </c>
      <c r="H3163" s="1" t="str">
        <f t="shared" si="1045"/>
        <v>正常订单</v>
      </c>
      <c r="I3163" s="1" t="str">
        <f t="shared" si="1046"/>
        <v>已发货</v>
      </c>
      <c r="J3163" s="1" t="str">
        <f t="shared" si="1053"/>
        <v>3</v>
      </c>
      <c r="K3163" s="1">
        <v>3</v>
      </c>
      <c r="L3163" s="1" t="s">
        <v>18</v>
      </c>
      <c r="M3163" s="1" t="str">
        <f>"广东省 茂名市 信宜市 东镇街道"</f>
        <v>广东省 茂名市 信宜市 东镇街道</v>
      </c>
      <c r="N3163" s="1" t="str">
        <f t="shared" si="1055"/>
        <v>凡华云仓-城南圆通-抖音</v>
      </c>
      <c r="O3163" s="5" t="s">
        <v>3197</v>
      </c>
      <c r="P3163" s="6">
        <v>0.34</v>
      </c>
      <c r="Q3163" s="11">
        <v>2.2999999999999998</v>
      </c>
      <c r="R3163" s="11"/>
      <c r="S3163" s="11"/>
      <c r="T3163" s="11"/>
      <c r="U3163" s="11">
        <f t="shared" si="1042"/>
        <v>2.2999999999999998</v>
      </c>
      <c r="W3163">
        <v>2.5</v>
      </c>
      <c r="X3163" s="1" t="s">
        <v>18</v>
      </c>
    </row>
    <row r="3164" spans="1:24" x14ac:dyDescent="0.25">
      <c r="A3164" s="1" t="str">
        <f t="shared" si="1043"/>
        <v>卡卡杜-凤凰仓</v>
      </c>
      <c r="B3164" s="1" t="str">
        <f>"CK2024102418"</f>
        <v>CK2024102418</v>
      </c>
      <c r="C3164" s="1" t="str">
        <f>"DD2024102423216"</f>
        <v>DD2024102423216</v>
      </c>
      <c r="D3164" s="1" t="str">
        <f>"CK2024102416738"</f>
        <v>CK2024102416738</v>
      </c>
      <c r="E3164" s="1" t="str">
        <f>"6935388643798684791"</f>
        <v>6935388643798684791</v>
      </c>
      <c r="F3164" s="1" t="str">
        <f t="shared" si="1044"/>
        <v>花都四部-凤凰仓</v>
      </c>
      <c r="G3164" s="1" t="str">
        <f t="shared" si="1054"/>
        <v>卡卡杜个人护理店（抖店）</v>
      </c>
      <c r="H3164" s="1" t="str">
        <f t="shared" si="1045"/>
        <v>正常订单</v>
      </c>
      <c r="I3164" s="1" t="str">
        <f t="shared" si="1046"/>
        <v>已发货</v>
      </c>
      <c r="J3164" s="1" t="str">
        <f t="shared" si="1053"/>
        <v>3</v>
      </c>
      <c r="K3164" s="1">
        <v>2</v>
      </c>
      <c r="L3164" s="1" t="s">
        <v>24</v>
      </c>
      <c r="M3164" s="1" t="str">
        <f>"福建省 福州市 马尾区 马尾镇"</f>
        <v>福建省 福州市 马尾区 马尾镇</v>
      </c>
      <c r="N3164" s="1" t="str">
        <f t="shared" si="1055"/>
        <v>凡华云仓-城南圆通-抖音</v>
      </c>
      <c r="O3164" s="5" t="s">
        <v>3198</v>
      </c>
      <c r="P3164" s="6">
        <v>0.35</v>
      </c>
      <c r="Q3164" s="11">
        <v>2.2999999999999998</v>
      </c>
      <c r="R3164" s="11"/>
      <c r="S3164" s="11"/>
      <c r="T3164" s="11"/>
      <c r="U3164" s="11">
        <f t="shared" si="1042"/>
        <v>2.2999999999999998</v>
      </c>
      <c r="W3164">
        <v>2.5</v>
      </c>
      <c r="X3164" s="1" t="s">
        <v>24</v>
      </c>
    </row>
    <row r="3165" spans="1:24" x14ac:dyDescent="0.25">
      <c r="A3165" s="1" t="str">
        <f t="shared" si="1043"/>
        <v>卡卡杜-凤凰仓</v>
      </c>
      <c r="B3165" s="1" t="str">
        <f>"CK2024102446"</f>
        <v>CK2024102446</v>
      </c>
      <c r="C3165" s="1" t="str">
        <f>"DD2024102423244"</f>
        <v>DD2024102423244</v>
      </c>
      <c r="D3165" s="1" t="str">
        <f>"CK2024102416724"</f>
        <v>CK2024102416724</v>
      </c>
      <c r="E3165" s="1" t="str">
        <f>"6935410757537830218"</f>
        <v>6935410757537830218</v>
      </c>
      <c r="F3165" s="1" t="str">
        <f t="shared" si="1044"/>
        <v>花都四部-凤凰仓</v>
      </c>
      <c r="G3165" s="1" t="str">
        <f t="shared" si="1054"/>
        <v>卡卡杜个人护理店（抖店）</v>
      </c>
      <c r="H3165" s="1" t="str">
        <f t="shared" si="1045"/>
        <v>正常订单</v>
      </c>
      <c r="I3165" s="1" t="str">
        <f t="shared" si="1046"/>
        <v>已发货</v>
      </c>
      <c r="J3165" s="1" t="str">
        <f t="shared" si="1053"/>
        <v>3</v>
      </c>
      <c r="K3165" s="1">
        <v>2</v>
      </c>
      <c r="L3165" s="1" t="s">
        <v>18</v>
      </c>
      <c r="M3165" s="1" t="str">
        <f>"广东省 清远市 英德市 英城街道"</f>
        <v>广东省 清远市 英德市 英城街道</v>
      </c>
      <c r="N3165" s="1" t="str">
        <f t="shared" si="1055"/>
        <v>凡华云仓-城南圆通-抖音</v>
      </c>
      <c r="O3165" s="5" t="s">
        <v>3199</v>
      </c>
      <c r="P3165" s="6">
        <v>0.35</v>
      </c>
      <c r="Q3165" s="11">
        <v>2.2999999999999998</v>
      </c>
      <c r="R3165" s="11"/>
      <c r="S3165" s="11"/>
      <c r="T3165" s="11"/>
      <c r="U3165" s="11">
        <f t="shared" si="1042"/>
        <v>2.2999999999999998</v>
      </c>
      <c r="W3165">
        <v>2.5</v>
      </c>
      <c r="X3165" s="1" t="s">
        <v>18</v>
      </c>
    </row>
    <row r="3166" spans="1:24" x14ac:dyDescent="0.25">
      <c r="A3166" s="1" t="str">
        <f t="shared" si="1043"/>
        <v>卡卡杜-凤凰仓</v>
      </c>
      <c r="B3166" s="1" t="str">
        <f>"CK2024102416"</f>
        <v>CK2024102416</v>
      </c>
      <c r="C3166" s="1" t="str">
        <f>"DD2024102423214"</f>
        <v>DD2024102423214</v>
      </c>
      <c r="D3166" s="1" t="str">
        <f>"CK2024102416723"</f>
        <v>CK2024102416723</v>
      </c>
      <c r="E3166" s="1" t="str">
        <f>"6935410838246200944"</f>
        <v>6935410838246200944</v>
      </c>
      <c r="F3166" s="1" t="str">
        <f t="shared" si="1044"/>
        <v>花都四部-凤凰仓</v>
      </c>
      <c r="G3166" s="1" t="str">
        <f t="shared" si="1054"/>
        <v>卡卡杜个人护理店（抖店）</v>
      </c>
      <c r="H3166" s="1" t="str">
        <f t="shared" si="1045"/>
        <v>正常订单</v>
      </c>
      <c r="I3166" s="1" t="str">
        <f t="shared" si="1046"/>
        <v>已发货</v>
      </c>
      <c r="J3166" s="1" t="str">
        <f t="shared" si="1053"/>
        <v>3</v>
      </c>
      <c r="K3166" s="1">
        <v>2</v>
      </c>
      <c r="L3166" s="1" t="s">
        <v>161</v>
      </c>
      <c r="M3166" s="1" t="str">
        <f>"四川省 雅安市 汉源县 九襄镇"</f>
        <v>四川省 雅安市 汉源县 九襄镇</v>
      </c>
      <c r="N3166" s="1" t="str">
        <f t="shared" si="1055"/>
        <v>凡华云仓-城南圆通-抖音</v>
      </c>
      <c r="O3166" s="5" t="s">
        <v>3200</v>
      </c>
      <c r="P3166" s="6">
        <v>0.35</v>
      </c>
      <c r="Q3166" s="11">
        <v>2.2999999999999998</v>
      </c>
      <c r="R3166" s="11"/>
      <c r="S3166" s="11"/>
      <c r="T3166" s="11"/>
      <c r="U3166" s="11">
        <f t="shared" si="1042"/>
        <v>2.2999999999999998</v>
      </c>
      <c r="W3166">
        <v>2.5</v>
      </c>
      <c r="X3166" s="1" t="s">
        <v>161</v>
      </c>
    </row>
    <row r="3167" spans="1:24" x14ac:dyDescent="0.25">
      <c r="A3167" s="1" t="str">
        <f t="shared" si="1043"/>
        <v>卡卡杜-凤凰仓</v>
      </c>
      <c r="B3167" s="1" t="str">
        <f>"CK2024102414"</f>
        <v>CK2024102414</v>
      </c>
      <c r="C3167" s="1" t="str">
        <f>"DD2024102423212"</f>
        <v>DD2024102423212</v>
      </c>
      <c r="D3167" s="1" t="str">
        <f>"CK2024102416721"</f>
        <v>CK2024102416721</v>
      </c>
      <c r="E3167" s="1" t="str">
        <f>"6935397601662146047"</f>
        <v>6935397601662146047</v>
      </c>
      <c r="F3167" s="1" t="str">
        <f t="shared" si="1044"/>
        <v>花都四部-凤凰仓</v>
      </c>
      <c r="G3167" s="1" t="str">
        <f t="shared" si="1054"/>
        <v>卡卡杜个人护理店（抖店）</v>
      </c>
      <c r="H3167" s="1" t="str">
        <f t="shared" si="1045"/>
        <v>正常订单</v>
      </c>
      <c r="I3167" s="1" t="str">
        <f t="shared" si="1046"/>
        <v>已发货</v>
      </c>
      <c r="J3167" s="1" t="str">
        <f t="shared" si="1053"/>
        <v>3</v>
      </c>
      <c r="K3167" s="1">
        <v>2</v>
      </c>
      <c r="L3167" s="1" t="s">
        <v>18</v>
      </c>
      <c r="M3167" s="1" t="str">
        <f>"广东省 佛山市 南海区 大沥镇"</f>
        <v>广东省 佛山市 南海区 大沥镇</v>
      </c>
      <c r="N3167" s="1" t="str">
        <f t="shared" si="1055"/>
        <v>凡华云仓-城南圆通-抖音</v>
      </c>
      <c r="O3167" s="5" t="s">
        <v>3201</v>
      </c>
      <c r="P3167" s="6">
        <v>0.35</v>
      </c>
      <c r="Q3167" s="11">
        <v>2.2999999999999998</v>
      </c>
      <c r="R3167" s="11"/>
      <c r="S3167" s="11"/>
      <c r="T3167" s="11"/>
      <c r="U3167" s="11">
        <f t="shared" si="1042"/>
        <v>2.2999999999999998</v>
      </c>
      <c r="W3167">
        <v>2.5</v>
      </c>
      <c r="X3167" s="1" t="s">
        <v>18</v>
      </c>
    </row>
    <row r="3168" spans="1:24" x14ac:dyDescent="0.25">
      <c r="A3168" s="1" t="str">
        <f t="shared" si="1043"/>
        <v>卡卡杜-凤凰仓</v>
      </c>
      <c r="B3168" s="1" t="str">
        <f>"CK2024102412"</f>
        <v>CK2024102412</v>
      </c>
      <c r="C3168" s="1" t="str">
        <f>"DD2024102423210"</f>
        <v>DD2024102423210</v>
      </c>
      <c r="D3168" s="1" t="str">
        <f>"CK2024102416714"</f>
        <v>CK2024102416714</v>
      </c>
      <c r="E3168" s="1" t="str">
        <f>"6935388637609596705"</f>
        <v>6935388637609596705</v>
      </c>
      <c r="F3168" s="1" t="str">
        <f t="shared" si="1044"/>
        <v>花都四部-凤凰仓</v>
      </c>
      <c r="G3168" s="1" t="str">
        <f t="shared" si="1054"/>
        <v>卡卡杜个人护理店（抖店）</v>
      </c>
      <c r="H3168" s="1" t="str">
        <f t="shared" si="1045"/>
        <v>正常订单</v>
      </c>
      <c r="I3168" s="1" t="str">
        <f t="shared" si="1046"/>
        <v>已发货</v>
      </c>
      <c r="J3168" s="1" t="str">
        <f t="shared" si="1053"/>
        <v>3</v>
      </c>
      <c r="K3168" s="1">
        <v>2</v>
      </c>
      <c r="L3168" s="1" t="s">
        <v>60</v>
      </c>
      <c r="M3168" s="1" t="str">
        <f>"云南省 西双版纳傣族自治州 景洪市 勐罕镇"</f>
        <v>云南省 西双版纳傣族自治州 景洪市 勐罕镇</v>
      </c>
      <c r="N3168" s="1" t="str">
        <f t="shared" si="1055"/>
        <v>凡华云仓-城南圆通-抖音</v>
      </c>
      <c r="O3168" s="5" t="s">
        <v>3202</v>
      </c>
      <c r="P3168" s="6">
        <v>0.35</v>
      </c>
      <c r="Q3168" s="11">
        <v>2.2999999999999998</v>
      </c>
      <c r="R3168" s="11"/>
      <c r="S3168" s="11"/>
      <c r="T3168" s="11"/>
      <c r="U3168" s="11">
        <f t="shared" si="1042"/>
        <v>2.2999999999999998</v>
      </c>
      <c r="W3168">
        <v>2.5</v>
      </c>
      <c r="X3168" s="1" t="s">
        <v>60</v>
      </c>
    </row>
    <row r="3169" spans="1:24" x14ac:dyDescent="0.25">
      <c r="A3169" s="1" t="str">
        <f t="shared" si="1043"/>
        <v>卡卡杜-凤凰仓</v>
      </c>
      <c r="B3169" s="1" t="str">
        <f>"CK2024102420"</f>
        <v>CK2024102420</v>
      </c>
      <c r="C3169" s="1" t="str">
        <f>"DD2024102423218"</f>
        <v>DD2024102423218</v>
      </c>
      <c r="D3169" s="1" t="str">
        <f>"CK2024102416709"</f>
        <v>CK2024102416709</v>
      </c>
      <c r="E3169" s="1" t="str">
        <f>"6935386057009075608"</f>
        <v>6935386057009075608</v>
      </c>
      <c r="F3169" s="1" t="str">
        <f t="shared" si="1044"/>
        <v>花都四部-凤凰仓</v>
      </c>
      <c r="G3169" s="1" t="str">
        <f t="shared" si="1054"/>
        <v>卡卡杜个人护理店（抖店）</v>
      </c>
      <c r="H3169" s="1" t="str">
        <f t="shared" si="1045"/>
        <v>正常订单</v>
      </c>
      <c r="I3169" s="1" t="str">
        <f t="shared" si="1046"/>
        <v>已发货</v>
      </c>
      <c r="J3169" s="1" t="str">
        <f t="shared" si="1053"/>
        <v>3</v>
      </c>
      <c r="K3169" s="1">
        <v>2</v>
      </c>
      <c r="L3169" s="1" t="s">
        <v>109</v>
      </c>
      <c r="M3169" s="1" t="str">
        <f>"山西省 晋城市 城区 钟家庄街道"</f>
        <v>山西省 晋城市 城区 钟家庄街道</v>
      </c>
      <c r="N3169" s="1" t="str">
        <f t="shared" si="1055"/>
        <v>凡华云仓-城南圆通-抖音</v>
      </c>
      <c r="O3169" s="5" t="s">
        <v>3203</v>
      </c>
      <c r="P3169" s="6">
        <v>0.35</v>
      </c>
      <c r="Q3169" s="11">
        <v>2.2999999999999998</v>
      </c>
      <c r="R3169" s="11"/>
      <c r="S3169" s="11"/>
      <c r="T3169" s="11"/>
      <c r="U3169" s="11">
        <f t="shared" si="1042"/>
        <v>2.2999999999999998</v>
      </c>
      <c r="W3169">
        <v>2.5</v>
      </c>
      <c r="X3169" s="1" t="s">
        <v>109</v>
      </c>
    </row>
    <row r="3170" spans="1:24" x14ac:dyDescent="0.25">
      <c r="A3170" s="1" t="str">
        <f t="shared" si="1043"/>
        <v>卡卡杜-凤凰仓</v>
      </c>
      <c r="B3170" s="1" t="str">
        <f>"CK2024102419"</f>
        <v>CK2024102419</v>
      </c>
      <c r="C3170" s="1" t="str">
        <f>"DD2024102423217"</f>
        <v>DD2024102423217</v>
      </c>
      <c r="D3170" s="1" t="str">
        <f>"CK2024102416692"</f>
        <v>CK2024102416692</v>
      </c>
      <c r="E3170" s="1" t="str">
        <f>"6935383887047300865"</f>
        <v>6935383887047300865</v>
      </c>
      <c r="F3170" s="1" t="str">
        <f t="shared" si="1044"/>
        <v>花都四部-凤凰仓</v>
      </c>
      <c r="G3170" s="1" t="str">
        <f t="shared" si="1054"/>
        <v>卡卡杜个人护理店（抖店）</v>
      </c>
      <c r="H3170" s="1" t="str">
        <f t="shared" si="1045"/>
        <v>正常订单</v>
      </c>
      <c r="I3170" s="1" t="str">
        <f t="shared" si="1046"/>
        <v>已发货</v>
      </c>
      <c r="J3170" s="1" t="str">
        <f t="shared" si="1053"/>
        <v>3</v>
      </c>
      <c r="K3170" s="1">
        <v>2</v>
      </c>
      <c r="L3170" s="1" t="s">
        <v>44</v>
      </c>
      <c r="M3170" s="1" t="str">
        <f>"海南省 海口市 秀英区 长流镇"</f>
        <v>海南省 海口市 秀英区 长流镇</v>
      </c>
      <c r="N3170" s="1" t="str">
        <f t="shared" si="1055"/>
        <v>凡华云仓-城南圆通-抖音</v>
      </c>
      <c r="O3170" s="5" t="s">
        <v>3204</v>
      </c>
      <c r="P3170" s="6">
        <v>0.35</v>
      </c>
      <c r="Q3170" s="11">
        <v>2.2999999999999998</v>
      </c>
      <c r="R3170" s="11"/>
      <c r="S3170" s="11"/>
      <c r="T3170" s="11"/>
      <c r="U3170" s="11">
        <f t="shared" si="1042"/>
        <v>2.2999999999999998</v>
      </c>
      <c r="W3170">
        <v>2.5</v>
      </c>
      <c r="X3170" s="1" t="s">
        <v>44</v>
      </c>
    </row>
    <row r="3171" spans="1:24" x14ac:dyDescent="0.25">
      <c r="A3171" s="1" t="str">
        <f t="shared" si="1043"/>
        <v>卡卡杜-凤凰仓</v>
      </c>
      <c r="B3171" s="1" t="str">
        <f>"CK2024102490"</f>
        <v>CK2024102490</v>
      </c>
      <c r="C3171" s="1" t="str">
        <f>"DD2024102423288"</f>
        <v>DD2024102423288</v>
      </c>
      <c r="D3171" s="1" t="str">
        <f>"CK2024102416679"</f>
        <v>CK2024102416679</v>
      </c>
      <c r="E3171" s="1" t="str">
        <f>"6935385976086337047"</f>
        <v>6935385976086337047</v>
      </c>
      <c r="F3171" s="1" t="str">
        <f t="shared" si="1044"/>
        <v>花都四部-凤凰仓</v>
      </c>
      <c r="G3171" s="1" t="str">
        <f t="shared" si="1054"/>
        <v>卡卡杜个人护理店（抖店）</v>
      </c>
      <c r="H3171" s="1" t="str">
        <f t="shared" si="1045"/>
        <v>正常订单</v>
      </c>
      <c r="I3171" s="1" t="str">
        <f t="shared" si="1046"/>
        <v>已发货</v>
      </c>
      <c r="J3171" s="1" t="str">
        <f t="shared" si="1053"/>
        <v>3</v>
      </c>
      <c r="K3171" s="1">
        <v>2</v>
      </c>
      <c r="L3171" s="1" t="s">
        <v>20</v>
      </c>
      <c r="M3171" s="1" t="str">
        <f>"浙江省 杭州市 钱塘区 下沙街道"</f>
        <v>浙江省 杭州市 钱塘区 下沙街道</v>
      </c>
      <c r="N3171" s="1" t="str">
        <f t="shared" si="1055"/>
        <v>凡华云仓-城南圆通-抖音</v>
      </c>
      <c r="O3171" s="5" t="s">
        <v>3205</v>
      </c>
      <c r="P3171" s="6">
        <v>0.35</v>
      </c>
      <c r="Q3171" s="11">
        <v>2.2999999999999998</v>
      </c>
      <c r="R3171" s="11"/>
      <c r="S3171" s="11"/>
      <c r="T3171" s="11"/>
      <c r="U3171" s="11">
        <f t="shared" si="1042"/>
        <v>2.2999999999999998</v>
      </c>
      <c r="W3171">
        <v>2.5</v>
      </c>
      <c r="X3171" s="1" t="s">
        <v>20</v>
      </c>
    </row>
    <row r="3172" spans="1:24" x14ac:dyDescent="0.25">
      <c r="A3172" s="1" t="str">
        <f t="shared" si="1043"/>
        <v>卡卡杜-凤凰仓</v>
      </c>
      <c r="B3172" s="1" t="str">
        <f>"CK2024102488"</f>
        <v>CK2024102488</v>
      </c>
      <c r="C3172" s="1" t="str">
        <f>"DD2024102423286"</f>
        <v>DD2024102423286</v>
      </c>
      <c r="D3172" s="1" t="str">
        <f>"CK2024102416674"</f>
        <v>CK2024102416674</v>
      </c>
      <c r="E3172" s="1" t="str">
        <f>"6935388415039772354"</f>
        <v>6935388415039772354</v>
      </c>
      <c r="F3172" s="1" t="str">
        <f t="shared" si="1044"/>
        <v>花都四部-凤凰仓</v>
      </c>
      <c r="G3172" s="1" t="str">
        <f t="shared" si="1054"/>
        <v>卡卡杜个人护理店（抖店）</v>
      </c>
      <c r="H3172" s="1" t="str">
        <f t="shared" si="1045"/>
        <v>正常订单</v>
      </c>
      <c r="I3172" s="1" t="str">
        <f t="shared" si="1046"/>
        <v>已发货</v>
      </c>
      <c r="J3172" s="1" t="str">
        <f t="shared" si="1053"/>
        <v>3</v>
      </c>
      <c r="K3172" s="1">
        <v>2</v>
      </c>
      <c r="L3172" s="1" t="s">
        <v>18</v>
      </c>
      <c r="M3172" s="1" t="str">
        <f>"广东省 东莞市 东莞市 万江街道"</f>
        <v>广东省 东莞市 东莞市 万江街道</v>
      </c>
      <c r="N3172" s="1" t="str">
        <f t="shared" si="1055"/>
        <v>凡华云仓-城南圆通-抖音</v>
      </c>
      <c r="O3172" s="5" t="s">
        <v>3206</v>
      </c>
      <c r="P3172" s="6">
        <v>0.35</v>
      </c>
      <c r="Q3172" s="11">
        <v>2.2999999999999998</v>
      </c>
      <c r="R3172" s="11"/>
      <c r="S3172" s="11"/>
      <c r="T3172" s="11"/>
      <c r="U3172" s="11">
        <f t="shared" si="1042"/>
        <v>2.2999999999999998</v>
      </c>
      <c r="W3172">
        <v>2.5</v>
      </c>
      <c r="X3172" s="1" t="s">
        <v>18</v>
      </c>
    </row>
    <row r="3173" spans="1:24" x14ac:dyDescent="0.25">
      <c r="A3173" s="1" t="str">
        <f t="shared" si="1043"/>
        <v>卡卡杜-凤凰仓</v>
      </c>
      <c r="B3173" s="1" t="str">
        <f>"CK2024102485"</f>
        <v>CK2024102485</v>
      </c>
      <c r="C3173" s="1" t="str">
        <f>"DD2024102423283"</f>
        <v>DD2024102423283</v>
      </c>
      <c r="D3173" s="1" t="str">
        <f>"CK2024102416669"</f>
        <v>CK2024102416669</v>
      </c>
      <c r="E3173" s="1" t="str">
        <f>"6935399917292558020"</f>
        <v>6935399917292558020</v>
      </c>
      <c r="F3173" s="1" t="str">
        <f t="shared" si="1044"/>
        <v>花都四部-凤凰仓</v>
      </c>
      <c r="G3173" s="1" t="str">
        <f t="shared" si="1054"/>
        <v>卡卡杜个人护理店（抖店）</v>
      </c>
      <c r="H3173" s="1" t="str">
        <f t="shared" si="1045"/>
        <v>正常订单</v>
      </c>
      <c r="I3173" s="1" t="str">
        <f t="shared" si="1046"/>
        <v>已发货</v>
      </c>
      <c r="J3173" s="1" t="str">
        <f t="shared" si="1053"/>
        <v>3</v>
      </c>
      <c r="K3173" s="1">
        <v>2</v>
      </c>
      <c r="L3173" s="1" t="s">
        <v>94</v>
      </c>
      <c r="M3173" s="1" t="str">
        <f>"湖南省 衡阳市 耒阳市 蔡子池街道"</f>
        <v>湖南省 衡阳市 耒阳市 蔡子池街道</v>
      </c>
      <c r="N3173" s="1" t="str">
        <f t="shared" si="1055"/>
        <v>凡华云仓-城南圆通-抖音</v>
      </c>
      <c r="O3173" s="5" t="s">
        <v>3207</v>
      </c>
      <c r="P3173" s="6">
        <v>0.35</v>
      </c>
      <c r="Q3173" s="11">
        <v>2.2999999999999998</v>
      </c>
      <c r="R3173" s="11"/>
      <c r="S3173" s="11"/>
      <c r="T3173" s="11"/>
      <c r="U3173" s="11">
        <f t="shared" si="1042"/>
        <v>2.2999999999999998</v>
      </c>
      <c r="W3173">
        <v>2.5</v>
      </c>
      <c r="X3173" s="1" t="s">
        <v>94</v>
      </c>
    </row>
    <row r="3174" spans="1:24" x14ac:dyDescent="0.25">
      <c r="A3174" s="1" t="str">
        <f t="shared" si="1043"/>
        <v>卡卡杜-凤凰仓</v>
      </c>
      <c r="B3174" s="1" t="str">
        <f>"CK2024102492"</f>
        <v>CK2024102492</v>
      </c>
      <c r="C3174" s="1" t="str">
        <f>"DD2024102423289"</f>
        <v>DD2024102423289</v>
      </c>
      <c r="D3174" s="1" t="str">
        <f>"CK2024102416667"</f>
        <v>CK2024102416667</v>
      </c>
      <c r="E3174" s="1" t="str">
        <f>"6935406551408055630"</f>
        <v>6935406551408055630</v>
      </c>
      <c r="F3174" s="1" t="str">
        <f t="shared" si="1044"/>
        <v>花都四部-凤凰仓</v>
      </c>
      <c r="G3174" s="1" t="str">
        <f t="shared" si="1054"/>
        <v>卡卡杜个人护理店（抖店）</v>
      </c>
      <c r="H3174" s="1" t="str">
        <f t="shared" si="1045"/>
        <v>正常订单</v>
      </c>
      <c r="I3174" s="1" t="str">
        <f t="shared" si="1046"/>
        <v>已发货</v>
      </c>
      <c r="J3174" s="1" t="str">
        <f t="shared" si="1053"/>
        <v>3</v>
      </c>
      <c r="K3174" s="1">
        <v>2</v>
      </c>
      <c r="L3174" s="1" t="s">
        <v>80</v>
      </c>
      <c r="M3174" s="1" t="str">
        <f>"河南省 南阳市 镇平县 雪枫街道"</f>
        <v>河南省 南阳市 镇平县 雪枫街道</v>
      </c>
      <c r="N3174" s="1" t="str">
        <f t="shared" si="1055"/>
        <v>凡华云仓-城南圆通-抖音</v>
      </c>
      <c r="O3174" s="5" t="s">
        <v>3208</v>
      </c>
      <c r="P3174" s="6">
        <v>0.35</v>
      </c>
      <c r="Q3174" s="11">
        <v>2.2999999999999998</v>
      </c>
      <c r="R3174" s="11"/>
      <c r="S3174" s="11"/>
      <c r="T3174" s="11"/>
      <c r="U3174" s="11">
        <f t="shared" si="1042"/>
        <v>2.2999999999999998</v>
      </c>
      <c r="W3174">
        <v>2.5</v>
      </c>
      <c r="X3174" s="1" t="s">
        <v>80</v>
      </c>
    </row>
    <row r="3175" spans="1:24" x14ac:dyDescent="0.25">
      <c r="A3175" s="1" t="str">
        <f t="shared" si="1043"/>
        <v>卡卡杜-凤凰仓</v>
      </c>
      <c r="B3175" s="1" t="str">
        <f>"CK2024102496"</f>
        <v>CK2024102496</v>
      </c>
      <c r="C3175" s="1" t="str">
        <f>"DD2024102423293"</f>
        <v>DD2024102423293</v>
      </c>
      <c r="D3175" s="1" t="str">
        <f>"CK2024102416658"</f>
        <v>CK2024102416658</v>
      </c>
      <c r="E3175" s="1" t="str">
        <f>"6935390658686162028"</f>
        <v>6935390658686162028</v>
      </c>
      <c r="F3175" s="1" t="str">
        <f t="shared" si="1044"/>
        <v>花都四部-凤凰仓</v>
      </c>
      <c r="G3175" s="1" t="str">
        <f t="shared" si="1054"/>
        <v>卡卡杜个人护理店（抖店）</v>
      </c>
      <c r="H3175" s="1" t="str">
        <f t="shared" si="1045"/>
        <v>正常订单</v>
      </c>
      <c r="I3175" s="1" t="str">
        <f t="shared" si="1046"/>
        <v>已发货</v>
      </c>
      <c r="J3175" s="1" t="str">
        <f t="shared" si="1053"/>
        <v>3</v>
      </c>
      <c r="K3175" s="1">
        <v>2</v>
      </c>
      <c r="L3175" s="1" t="s">
        <v>36</v>
      </c>
      <c r="M3175" s="1" t="str">
        <f>"安徽省 阜阳市 阜南县 鹿城镇"</f>
        <v>安徽省 阜阳市 阜南县 鹿城镇</v>
      </c>
      <c r="N3175" s="1" t="str">
        <f t="shared" si="1055"/>
        <v>凡华云仓-城南圆通-抖音</v>
      </c>
      <c r="O3175" s="5" t="s">
        <v>3209</v>
      </c>
      <c r="P3175" s="6">
        <v>0.35</v>
      </c>
      <c r="Q3175" s="11">
        <v>2.2999999999999998</v>
      </c>
      <c r="R3175" s="11"/>
      <c r="S3175" s="11"/>
      <c r="T3175" s="11"/>
      <c r="U3175" s="11">
        <f t="shared" si="1042"/>
        <v>2.2999999999999998</v>
      </c>
      <c r="W3175">
        <v>2.5</v>
      </c>
      <c r="X3175" s="1" t="s">
        <v>36</v>
      </c>
    </row>
    <row r="3176" spans="1:24" x14ac:dyDescent="0.25">
      <c r="A3176" s="1" t="str">
        <f t="shared" si="1043"/>
        <v>卡卡杜-凤凰仓</v>
      </c>
      <c r="B3176" s="1" t="str">
        <f>"CK2024102469"</f>
        <v>CK2024102469</v>
      </c>
      <c r="C3176" s="1" t="str">
        <f>"DD2024102423266"</f>
        <v>DD2024102423266</v>
      </c>
      <c r="D3176" s="1" t="str">
        <f>"CK2024102416654"</f>
        <v>CK2024102416654</v>
      </c>
      <c r="E3176" s="1" t="str">
        <f>"6935412956532249994"</f>
        <v>6935412956532249994</v>
      </c>
      <c r="F3176" s="1" t="str">
        <f t="shared" si="1044"/>
        <v>花都四部-凤凰仓</v>
      </c>
      <c r="G3176" s="1" t="str">
        <f t="shared" si="1054"/>
        <v>卡卡杜个人护理店（抖店）</v>
      </c>
      <c r="H3176" s="1" t="str">
        <f t="shared" si="1045"/>
        <v>正常订单</v>
      </c>
      <c r="I3176" s="1" t="str">
        <f t="shared" si="1046"/>
        <v>已发货</v>
      </c>
      <c r="J3176" s="1" t="str">
        <f t="shared" si="1053"/>
        <v>3</v>
      </c>
      <c r="K3176" s="1">
        <v>2</v>
      </c>
      <c r="L3176" s="1" t="s">
        <v>60</v>
      </c>
      <c r="M3176" s="1" t="str">
        <f>"云南省 丽江市 古城区 金山街道"</f>
        <v>云南省 丽江市 古城区 金山街道</v>
      </c>
      <c r="N3176" s="1" t="str">
        <f t="shared" si="1055"/>
        <v>凡华云仓-城南圆通-抖音</v>
      </c>
      <c r="O3176" s="5" t="s">
        <v>3210</v>
      </c>
      <c r="P3176" s="6">
        <v>0.35</v>
      </c>
      <c r="Q3176" s="11">
        <v>2.2999999999999998</v>
      </c>
      <c r="R3176" s="11"/>
      <c r="S3176" s="11"/>
      <c r="T3176" s="11"/>
      <c r="U3176" s="11">
        <f t="shared" si="1042"/>
        <v>2.2999999999999998</v>
      </c>
      <c r="W3176">
        <v>2.5</v>
      </c>
      <c r="X3176" s="1" t="s">
        <v>60</v>
      </c>
    </row>
    <row r="3177" spans="1:24" x14ac:dyDescent="0.25">
      <c r="A3177" s="1" t="str">
        <f t="shared" si="1043"/>
        <v>卡卡杜-凤凰仓</v>
      </c>
      <c r="B3177" s="1" t="str">
        <f>"CK2024102473"</f>
        <v>CK2024102473</v>
      </c>
      <c r="C3177" s="1" t="str">
        <f>"DD2024102423271"</f>
        <v>DD2024102423271</v>
      </c>
      <c r="D3177" s="1" t="str">
        <f>"CK2024102416651"</f>
        <v>CK2024102416651</v>
      </c>
      <c r="E3177" s="1" t="str">
        <f>"6935412964372387572"</f>
        <v>6935412964372387572</v>
      </c>
      <c r="F3177" s="1" t="str">
        <f t="shared" si="1044"/>
        <v>花都四部-凤凰仓</v>
      </c>
      <c r="G3177" s="1" t="str">
        <f t="shared" si="1054"/>
        <v>卡卡杜个人护理店（抖店）</v>
      </c>
      <c r="H3177" s="1" t="str">
        <f t="shared" si="1045"/>
        <v>正常订单</v>
      </c>
      <c r="I3177" s="1" t="str">
        <f t="shared" si="1046"/>
        <v>已发货</v>
      </c>
      <c r="J3177" s="1" t="str">
        <f t="shared" si="1053"/>
        <v>3</v>
      </c>
      <c r="K3177" s="1">
        <v>2</v>
      </c>
      <c r="L3177" s="1" t="s">
        <v>60</v>
      </c>
      <c r="M3177" s="1" t="str">
        <f>"云南省 昆明市 呈贡区 马金铺街道"</f>
        <v>云南省 昆明市 呈贡区 马金铺街道</v>
      </c>
      <c r="N3177" s="1" t="str">
        <f t="shared" si="1055"/>
        <v>凡华云仓-城南圆通-抖音</v>
      </c>
      <c r="O3177" s="5" t="s">
        <v>3211</v>
      </c>
      <c r="P3177" s="6">
        <v>0.35</v>
      </c>
      <c r="Q3177" s="11">
        <v>2.2999999999999998</v>
      </c>
      <c r="R3177" s="11"/>
      <c r="S3177" s="11"/>
      <c r="T3177" s="11"/>
      <c r="U3177" s="11">
        <f t="shared" si="1042"/>
        <v>2.2999999999999998</v>
      </c>
      <c r="W3177">
        <v>2.5</v>
      </c>
      <c r="X3177" s="1" t="s">
        <v>60</v>
      </c>
    </row>
    <row r="3178" spans="1:24" x14ac:dyDescent="0.25">
      <c r="A3178" s="1" t="str">
        <f t="shared" si="1043"/>
        <v>卡卡杜-凤凰仓</v>
      </c>
      <c r="B3178" s="1" t="str">
        <f>"CK2024102468"</f>
        <v>CK2024102468</v>
      </c>
      <c r="C3178" s="1" t="str">
        <f>"DD2024102423265"</f>
        <v>DD2024102423265</v>
      </c>
      <c r="D3178" s="1" t="str">
        <f>"CK2024102416650"</f>
        <v>CK2024102416650</v>
      </c>
      <c r="E3178" s="1" t="str">
        <f>"6935392923978503905"</f>
        <v>6935392923978503905</v>
      </c>
      <c r="F3178" s="1" t="str">
        <f t="shared" si="1044"/>
        <v>花都四部-凤凰仓</v>
      </c>
      <c r="G3178" s="1" t="str">
        <f t="shared" si="1054"/>
        <v>卡卡杜个人护理店（抖店）</v>
      </c>
      <c r="H3178" s="1" t="str">
        <f t="shared" si="1045"/>
        <v>正常订单</v>
      </c>
      <c r="I3178" s="1" t="str">
        <f t="shared" si="1046"/>
        <v>已发货</v>
      </c>
      <c r="J3178" s="1" t="str">
        <f t="shared" si="1053"/>
        <v>3</v>
      </c>
      <c r="K3178" s="1">
        <v>2</v>
      </c>
      <c r="L3178" s="1" t="s">
        <v>41</v>
      </c>
      <c r="M3178" s="1" t="str">
        <f>"湖北省 黄石市 黄石港区 花湖街道"</f>
        <v>湖北省 黄石市 黄石港区 花湖街道</v>
      </c>
      <c r="N3178" s="1" t="str">
        <f t="shared" si="1055"/>
        <v>凡华云仓-城南圆通-抖音</v>
      </c>
      <c r="O3178" s="5" t="s">
        <v>3212</v>
      </c>
      <c r="P3178" s="6">
        <v>0.35</v>
      </c>
      <c r="Q3178" s="11">
        <v>2.2999999999999998</v>
      </c>
      <c r="R3178" s="11"/>
      <c r="S3178" s="11"/>
      <c r="T3178" s="11"/>
      <c r="U3178" s="11">
        <f t="shared" si="1042"/>
        <v>2.2999999999999998</v>
      </c>
      <c r="W3178">
        <v>2.5</v>
      </c>
      <c r="X3178" s="1" t="s">
        <v>41</v>
      </c>
    </row>
    <row r="3179" spans="1:24" x14ac:dyDescent="0.25">
      <c r="A3179" s="1" t="str">
        <f t="shared" si="1043"/>
        <v>卡卡杜-凤凰仓</v>
      </c>
      <c r="B3179" s="1" t="str">
        <f>"CK2024102464"</f>
        <v>CK2024102464</v>
      </c>
      <c r="C3179" s="1" t="str">
        <f>"DD2024102423262"</f>
        <v>DD2024102423262</v>
      </c>
      <c r="D3179" s="1" t="str">
        <f>"CK2024102416649"</f>
        <v>CK2024102416649</v>
      </c>
      <c r="E3179" s="1" t="str">
        <f>"6935397400559686853"</f>
        <v>6935397400559686853</v>
      </c>
      <c r="F3179" s="1" t="str">
        <f t="shared" si="1044"/>
        <v>花都四部-凤凰仓</v>
      </c>
      <c r="G3179" s="1" t="str">
        <f t="shared" si="1054"/>
        <v>卡卡杜个人护理店（抖店）</v>
      </c>
      <c r="H3179" s="1" t="str">
        <f t="shared" si="1045"/>
        <v>正常订单</v>
      </c>
      <c r="I3179" s="1" t="str">
        <f t="shared" si="1046"/>
        <v>已发货</v>
      </c>
      <c r="J3179" s="1" t="str">
        <f t="shared" si="1053"/>
        <v>3</v>
      </c>
      <c r="K3179" s="1">
        <v>2</v>
      </c>
      <c r="L3179" s="1" t="s">
        <v>161</v>
      </c>
      <c r="M3179" s="1" t="str">
        <f>"四川省 广安市 华蓥市 双河街道"</f>
        <v>四川省 广安市 华蓥市 双河街道</v>
      </c>
      <c r="N3179" s="1" t="str">
        <f t="shared" si="1055"/>
        <v>凡华云仓-城南圆通-抖音</v>
      </c>
      <c r="O3179" s="5" t="s">
        <v>3213</v>
      </c>
      <c r="P3179" s="6">
        <v>0.35</v>
      </c>
      <c r="Q3179" s="11">
        <v>2.2999999999999998</v>
      </c>
      <c r="R3179" s="11"/>
      <c r="S3179" s="11"/>
      <c r="T3179" s="11"/>
      <c r="U3179" s="11">
        <f t="shared" si="1042"/>
        <v>2.2999999999999998</v>
      </c>
      <c r="W3179">
        <v>2.5</v>
      </c>
      <c r="X3179" s="1" t="s">
        <v>161</v>
      </c>
    </row>
    <row r="3180" spans="1:24" x14ac:dyDescent="0.25">
      <c r="A3180" s="1" t="str">
        <f t="shared" si="1043"/>
        <v>卡卡杜-凤凰仓</v>
      </c>
      <c r="B3180" s="1" t="str">
        <f>"CK2024102460"</f>
        <v>CK2024102460</v>
      </c>
      <c r="C3180" s="1" t="str">
        <f>"DD2024102423258"</f>
        <v>DD2024102423258</v>
      </c>
      <c r="D3180" s="1" t="str">
        <f>"CK2024102416648"</f>
        <v>CK2024102416648</v>
      </c>
      <c r="E3180" s="1" t="str">
        <f>"6935388358904845622"</f>
        <v>6935388358904845622</v>
      </c>
      <c r="F3180" s="1" t="str">
        <f t="shared" si="1044"/>
        <v>花都四部-凤凰仓</v>
      </c>
      <c r="G3180" s="1" t="str">
        <f t="shared" si="1054"/>
        <v>卡卡杜个人护理店（抖店）</v>
      </c>
      <c r="H3180" s="1" t="str">
        <f t="shared" si="1045"/>
        <v>正常订单</v>
      </c>
      <c r="I3180" s="1" t="str">
        <f t="shared" si="1046"/>
        <v>已发货</v>
      </c>
      <c r="J3180" s="1" t="str">
        <f t="shared" si="1053"/>
        <v>3</v>
      </c>
      <c r="K3180" s="1">
        <v>2</v>
      </c>
      <c r="L3180" s="1" t="s">
        <v>32</v>
      </c>
      <c r="M3180" s="1" t="str">
        <f>"陕西省 榆林市 神木市 神木镇"</f>
        <v>陕西省 榆林市 神木市 神木镇</v>
      </c>
      <c r="N3180" s="1" t="str">
        <f t="shared" si="1055"/>
        <v>凡华云仓-城南圆通-抖音</v>
      </c>
      <c r="O3180" s="5" t="s">
        <v>3214</v>
      </c>
      <c r="P3180" s="6">
        <v>0.35</v>
      </c>
      <c r="Q3180" s="11">
        <v>2.2999999999999998</v>
      </c>
      <c r="R3180" s="11"/>
      <c r="S3180" s="11"/>
      <c r="T3180" s="11"/>
      <c r="U3180" s="11">
        <f t="shared" si="1042"/>
        <v>2.2999999999999998</v>
      </c>
      <c r="W3180">
        <v>2.5</v>
      </c>
      <c r="X3180" s="1" t="s">
        <v>32</v>
      </c>
    </row>
    <row r="3181" spans="1:24" x14ac:dyDescent="0.25">
      <c r="A3181" s="1" t="str">
        <f t="shared" si="1043"/>
        <v>卡卡杜-凤凰仓</v>
      </c>
      <c r="B3181" s="1" t="str">
        <f>"CK2024102465"</f>
        <v>CK2024102465</v>
      </c>
      <c r="C3181" s="1" t="str">
        <f>"DD2024102423263"</f>
        <v>DD2024102423263</v>
      </c>
      <c r="D3181" s="1" t="str">
        <f>"CK2024102416647"</f>
        <v>CK2024102416647</v>
      </c>
      <c r="E3181" s="1" t="str">
        <f>"6935403925898204512"</f>
        <v>6935403925898204512</v>
      </c>
      <c r="F3181" s="1" t="str">
        <f t="shared" si="1044"/>
        <v>花都四部-凤凰仓</v>
      </c>
      <c r="G3181" s="1" t="str">
        <f t="shared" si="1054"/>
        <v>卡卡杜个人护理店（抖店）</v>
      </c>
      <c r="H3181" s="1" t="str">
        <f t="shared" si="1045"/>
        <v>正常订单</v>
      </c>
      <c r="I3181" s="1" t="str">
        <f t="shared" si="1046"/>
        <v>已发货</v>
      </c>
      <c r="J3181" s="1" t="str">
        <f t="shared" si="1053"/>
        <v>3</v>
      </c>
      <c r="K3181" s="1">
        <v>2</v>
      </c>
      <c r="L3181" s="1" t="s">
        <v>80</v>
      </c>
      <c r="M3181" s="1" t="str">
        <f>"河南省 商丘市 虞城县 城郊乡"</f>
        <v>河南省 商丘市 虞城县 城郊乡</v>
      </c>
      <c r="N3181" s="1" t="str">
        <f t="shared" si="1055"/>
        <v>凡华云仓-城南圆通-抖音</v>
      </c>
      <c r="O3181" s="5" t="s">
        <v>3215</v>
      </c>
      <c r="P3181" s="6">
        <v>0.35</v>
      </c>
      <c r="Q3181" s="11">
        <v>2.2999999999999998</v>
      </c>
      <c r="R3181" s="11"/>
      <c r="S3181" s="11"/>
      <c r="T3181" s="11"/>
      <c r="U3181" s="11">
        <f t="shared" si="1042"/>
        <v>2.2999999999999998</v>
      </c>
      <c r="W3181">
        <v>2.5</v>
      </c>
      <c r="X3181" s="1" t="s">
        <v>80</v>
      </c>
    </row>
    <row r="3182" spans="1:24" x14ac:dyDescent="0.25">
      <c r="A3182" s="1" t="str">
        <f t="shared" si="1043"/>
        <v>卡卡杜-凤凰仓</v>
      </c>
      <c r="B3182" s="1" t="str">
        <f>"CK2024102474"</f>
        <v>CK2024102474</v>
      </c>
      <c r="C3182" s="1" t="str">
        <f>"DD2024102423272"</f>
        <v>DD2024102423272</v>
      </c>
      <c r="D3182" s="1" t="str">
        <f>"CK2024102416646"</f>
        <v>CK2024102416646</v>
      </c>
      <c r="E3182" s="1" t="str">
        <f>"6935388508497319752"</f>
        <v>6935388508497319752</v>
      </c>
      <c r="F3182" s="1" t="str">
        <f t="shared" si="1044"/>
        <v>花都四部-凤凰仓</v>
      </c>
      <c r="G3182" s="1" t="str">
        <f t="shared" si="1054"/>
        <v>卡卡杜个人护理店（抖店）</v>
      </c>
      <c r="H3182" s="1" t="str">
        <f t="shared" si="1045"/>
        <v>正常订单</v>
      </c>
      <c r="I3182" s="1" t="str">
        <f t="shared" si="1046"/>
        <v>已发货</v>
      </c>
      <c r="J3182" s="1" t="str">
        <f t="shared" si="1053"/>
        <v>3</v>
      </c>
      <c r="K3182" s="1">
        <v>2</v>
      </c>
      <c r="L3182" s="1" t="s">
        <v>187</v>
      </c>
      <c r="M3182" s="1" t="str">
        <f>"吉林省 长春市 南关区 "</f>
        <v xml:space="preserve">吉林省 长春市 南关区 </v>
      </c>
      <c r="N3182" s="1" t="str">
        <f t="shared" si="1055"/>
        <v>凡华云仓-城南圆通-抖音</v>
      </c>
      <c r="O3182" s="5" t="s">
        <v>3216</v>
      </c>
      <c r="P3182" s="6">
        <v>0.35</v>
      </c>
      <c r="Q3182" s="11">
        <v>2.2999999999999998</v>
      </c>
      <c r="R3182" s="11"/>
      <c r="S3182" s="11"/>
      <c r="T3182" s="11"/>
      <c r="U3182" s="11">
        <f t="shared" si="1042"/>
        <v>2.2999999999999998</v>
      </c>
      <c r="W3182">
        <v>2.5</v>
      </c>
      <c r="X3182" s="1" t="s">
        <v>187</v>
      </c>
    </row>
    <row r="3183" spans="1:24" x14ac:dyDescent="0.25">
      <c r="A3183" s="1" t="str">
        <f t="shared" si="1043"/>
        <v>卡卡杜-凤凰仓</v>
      </c>
      <c r="B3183" s="1" t="str">
        <f>"CK2024102472"</f>
        <v>CK2024102472</v>
      </c>
      <c r="C3183" s="1" t="str">
        <f>"DD2024102423270"</f>
        <v>DD2024102423270</v>
      </c>
      <c r="D3183" s="1" t="str">
        <f>"CK2024102416645"</f>
        <v>CK2024102416645</v>
      </c>
      <c r="E3183" s="1" t="str">
        <f>"6935410744579135334"</f>
        <v>6935410744579135334</v>
      </c>
      <c r="F3183" s="1" t="str">
        <f t="shared" si="1044"/>
        <v>花都四部-凤凰仓</v>
      </c>
      <c r="G3183" s="1" t="str">
        <f t="shared" si="1054"/>
        <v>卡卡杜个人护理店（抖店）</v>
      </c>
      <c r="H3183" s="1" t="str">
        <f t="shared" si="1045"/>
        <v>正常订单</v>
      </c>
      <c r="I3183" s="1" t="str">
        <f t="shared" si="1046"/>
        <v>已发货</v>
      </c>
      <c r="J3183" s="1" t="str">
        <f t="shared" si="1053"/>
        <v>3</v>
      </c>
      <c r="K3183" s="1">
        <v>2</v>
      </c>
      <c r="L3183" s="1" t="s">
        <v>18</v>
      </c>
      <c r="M3183" s="1" t="str">
        <f>"广东省 佛山市 顺德区 容桂街道"</f>
        <v>广东省 佛山市 顺德区 容桂街道</v>
      </c>
      <c r="N3183" s="1" t="str">
        <f t="shared" si="1055"/>
        <v>凡华云仓-城南圆通-抖音</v>
      </c>
      <c r="O3183" s="5" t="s">
        <v>3217</v>
      </c>
      <c r="P3183" s="6">
        <v>0.35</v>
      </c>
      <c r="Q3183" s="11">
        <v>2.2999999999999998</v>
      </c>
      <c r="R3183" s="11"/>
      <c r="S3183" s="11"/>
      <c r="T3183" s="11"/>
      <c r="U3183" s="11">
        <f t="shared" si="1042"/>
        <v>2.2999999999999998</v>
      </c>
      <c r="W3183">
        <v>2.5</v>
      </c>
      <c r="X3183" s="1" t="s">
        <v>18</v>
      </c>
    </row>
    <row r="3184" spans="1:24" x14ac:dyDescent="0.25">
      <c r="A3184" s="1" t="str">
        <f t="shared" si="1043"/>
        <v>卡卡杜-凤凰仓</v>
      </c>
      <c r="B3184" s="1" t="str">
        <f>"CK2024102470"</f>
        <v>CK2024102470</v>
      </c>
      <c r="C3184" s="1" t="str">
        <f>"DD2024102423268"</f>
        <v>DD2024102423268</v>
      </c>
      <c r="D3184" s="1" t="str">
        <f>"CK2024102416644"</f>
        <v>CK2024102416644</v>
      </c>
      <c r="E3184" s="1" t="str">
        <f>"6935390666252621259"</f>
        <v>6935390666252621259</v>
      </c>
      <c r="F3184" s="1" t="str">
        <f t="shared" si="1044"/>
        <v>花都四部-凤凰仓</v>
      </c>
      <c r="G3184" s="1" t="str">
        <f t="shared" si="1054"/>
        <v>卡卡杜个人护理店（抖店）</v>
      </c>
      <c r="H3184" s="1" t="str">
        <f t="shared" si="1045"/>
        <v>正常订单</v>
      </c>
      <c r="I3184" s="1" t="str">
        <f t="shared" si="1046"/>
        <v>已发货</v>
      </c>
      <c r="J3184" s="1" t="str">
        <f t="shared" si="1053"/>
        <v>3</v>
      </c>
      <c r="K3184" s="1">
        <v>2</v>
      </c>
      <c r="L3184" s="1" t="s">
        <v>60</v>
      </c>
      <c r="M3184" s="1" t="str">
        <f>"云南省 昆明市 呈贡区 洛龙街道"</f>
        <v>云南省 昆明市 呈贡区 洛龙街道</v>
      </c>
      <c r="N3184" s="1" t="str">
        <f t="shared" si="1055"/>
        <v>凡华云仓-城南圆通-抖音</v>
      </c>
      <c r="O3184" s="5" t="s">
        <v>3218</v>
      </c>
      <c r="P3184" s="6">
        <v>0.35</v>
      </c>
      <c r="Q3184" s="11">
        <v>2.2999999999999998</v>
      </c>
      <c r="R3184" s="11"/>
      <c r="S3184" s="11"/>
      <c r="T3184" s="11"/>
      <c r="U3184" s="11">
        <f t="shared" si="1042"/>
        <v>2.2999999999999998</v>
      </c>
      <c r="W3184">
        <v>2.5</v>
      </c>
      <c r="X3184" s="1" t="s">
        <v>60</v>
      </c>
    </row>
    <row r="3185" spans="1:24" x14ac:dyDescent="0.25">
      <c r="A3185" s="1" t="str">
        <f t="shared" si="1043"/>
        <v>卡卡杜-凤凰仓</v>
      </c>
      <c r="B3185" s="1" t="str">
        <f>"CK2024102466"</f>
        <v>CK2024102466</v>
      </c>
      <c r="C3185" s="1" t="str">
        <f>"DD2024102423264"</f>
        <v>DD2024102423264</v>
      </c>
      <c r="D3185" s="1" t="str">
        <f>"CK2024102416642"</f>
        <v>CK2024102416642</v>
      </c>
      <c r="E3185" s="1" t="str">
        <f>"6935388430684133350"</f>
        <v>6935388430684133350</v>
      </c>
      <c r="F3185" s="1" t="str">
        <f t="shared" si="1044"/>
        <v>花都四部-凤凰仓</v>
      </c>
      <c r="G3185" s="1" t="str">
        <f t="shared" si="1054"/>
        <v>卡卡杜个人护理店（抖店）</v>
      </c>
      <c r="H3185" s="1" t="str">
        <f t="shared" si="1045"/>
        <v>正常订单</v>
      </c>
      <c r="I3185" s="1" t="str">
        <f t="shared" si="1046"/>
        <v>已发货</v>
      </c>
      <c r="J3185" s="1" t="str">
        <f t="shared" si="1053"/>
        <v>3</v>
      </c>
      <c r="K3185" s="1">
        <v>2</v>
      </c>
      <c r="L3185" s="1" t="s">
        <v>24</v>
      </c>
      <c r="M3185" s="1" t="str">
        <f>"福建省 厦门市 翔安区 马巷街道"</f>
        <v>福建省 厦门市 翔安区 马巷街道</v>
      </c>
      <c r="N3185" s="1" t="str">
        <f t="shared" si="1055"/>
        <v>凡华云仓-城南圆通-抖音</v>
      </c>
      <c r="O3185" s="5" t="s">
        <v>3219</v>
      </c>
      <c r="P3185" s="6">
        <v>0.35</v>
      </c>
      <c r="Q3185" s="11">
        <v>2.2999999999999998</v>
      </c>
      <c r="R3185" s="11"/>
      <c r="S3185" s="11"/>
      <c r="T3185" s="11"/>
      <c r="U3185" s="11">
        <f t="shared" si="1042"/>
        <v>2.2999999999999998</v>
      </c>
      <c r="W3185">
        <v>2.5</v>
      </c>
      <c r="X3185" s="1" t="s">
        <v>24</v>
      </c>
    </row>
    <row r="3186" spans="1:24" x14ac:dyDescent="0.25">
      <c r="A3186" s="1" t="str">
        <f t="shared" si="1043"/>
        <v>卡卡杜-凤凰仓</v>
      </c>
      <c r="B3186" s="1" t="str">
        <f>"CK2024102467"</f>
        <v>CK2024102467</v>
      </c>
      <c r="C3186" s="1" t="str">
        <f>"DD2024102423267"</f>
        <v>DD2024102423267</v>
      </c>
      <c r="D3186" s="1" t="str">
        <f>"CK2024102416636"</f>
        <v>CK2024102416636</v>
      </c>
      <c r="E3186" s="1" t="str">
        <f>"6935390598146692565"</f>
        <v>6935390598146692565</v>
      </c>
      <c r="F3186" s="1" t="str">
        <f t="shared" si="1044"/>
        <v>花都四部-凤凰仓</v>
      </c>
      <c r="G3186" s="1" t="str">
        <f t="shared" si="1054"/>
        <v>卡卡杜个人护理店（抖店）</v>
      </c>
      <c r="H3186" s="1" t="str">
        <f t="shared" si="1045"/>
        <v>正常订单</v>
      </c>
      <c r="I3186" s="1" t="str">
        <f t="shared" si="1046"/>
        <v>已发货</v>
      </c>
      <c r="J3186" s="1" t="str">
        <f t="shared" si="1053"/>
        <v>3</v>
      </c>
      <c r="K3186" s="1">
        <v>2</v>
      </c>
      <c r="L3186" s="1" t="s">
        <v>36</v>
      </c>
      <c r="M3186" s="1" t="str">
        <f>"安徽省 宣城市 郎溪县 "</f>
        <v xml:space="preserve">安徽省 宣城市 郎溪县 </v>
      </c>
      <c r="N3186" s="1" t="str">
        <f t="shared" si="1055"/>
        <v>凡华云仓-城南圆通-抖音</v>
      </c>
      <c r="O3186" s="5" t="s">
        <v>3220</v>
      </c>
      <c r="P3186" s="6">
        <v>0.35</v>
      </c>
      <c r="Q3186" s="11">
        <v>2.2999999999999998</v>
      </c>
      <c r="R3186" s="11"/>
      <c r="S3186" s="11"/>
      <c r="T3186" s="11"/>
      <c r="U3186" s="11">
        <f t="shared" si="1042"/>
        <v>2.2999999999999998</v>
      </c>
      <c r="W3186">
        <v>2.5</v>
      </c>
      <c r="X3186" s="1" t="s">
        <v>36</v>
      </c>
    </row>
    <row r="3187" spans="1:24" x14ac:dyDescent="0.25">
      <c r="A3187" s="1" t="str">
        <f t="shared" si="1043"/>
        <v>卡卡杜-凤凰仓</v>
      </c>
      <c r="B3187" s="1" t="str">
        <f>"CK2024102489"</f>
        <v>CK2024102489</v>
      </c>
      <c r="C3187" s="1" t="str">
        <f>"DD2024102423287"</f>
        <v>DD2024102423287</v>
      </c>
      <c r="D3187" s="1" t="str">
        <f>"CK2024102416634"</f>
        <v>CK2024102416634</v>
      </c>
      <c r="E3187" s="1" t="str">
        <f>"6935392865029199356"</f>
        <v>6935392865029199356</v>
      </c>
      <c r="F3187" s="1" t="str">
        <f t="shared" si="1044"/>
        <v>花都四部-凤凰仓</v>
      </c>
      <c r="G3187" s="1" t="str">
        <f t="shared" si="1054"/>
        <v>卡卡杜个人护理店（抖店）</v>
      </c>
      <c r="H3187" s="1" t="str">
        <f t="shared" si="1045"/>
        <v>正常订单</v>
      </c>
      <c r="I3187" s="1" t="str">
        <f t="shared" si="1046"/>
        <v>已发货</v>
      </c>
      <c r="J3187" s="1" t="str">
        <f t="shared" si="1053"/>
        <v>3</v>
      </c>
      <c r="K3187" s="1">
        <v>2</v>
      </c>
      <c r="L3187" s="1" t="s">
        <v>13</v>
      </c>
      <c r="M3187" s="1" t="str">
        <f>"江苏省 徐州市 邳州市 运河街道"</f>
        <v>江苏省 徐州市 邳州市 运河街道</v>
      </c>
      <c r="N3187" s="1" t="str">
        <f t="shared" si="1055"/>
        <v>凡华云仓-城南圆通-抖音</v>
      </c>
      <c r="O3187" s="5" t="s">
        <v>3221</v>
      </c>
      <c r="P3187" s="6">
        <v>0.35</v>
      </c>
      <c r="Q3187" s="11">
        <v>2.2999999999999998</v>
      </c>
      <c r="R3187" s="11"/>
      <c r="S3187" s="11"/>
      <c r="T3187" s="11"/>
      <c r="U3187" s="11">
        <f t="shared" si="1042"/>
        <v>2.2999999999999998</v>
      </c>
      <c r="W3187">
        <v>2.5</v>
      </c>
      <c r="X3187" s="1" t="s">
        <v>13</v>
      </c>
    </row>
    <row r="3188" spans="1:24" x14ac:dyDescent="0.25">
      <c r="A3188" s="1" t="str">
        <f t="shared" si="1043"/>
        <v>卡卡杜-凤凰仓</v>
      </c>
      <c r="B3188" s="1" t="str">
        <f>"CK2024102491"</f>
        <v>CK2024102491</v>
      </c>
      <c r="C3188" s="1" t="str">
        <f>"DD2024102423290"</f>
        <v>DD2024102423290</v>
      </c>
      <c r="D3188" s="1" t="str">
        <f>"CK2024102416629"</f>
        <v>CK2024102416629</v>
      </c>
      <c r="E3188" s="1" t="str">
        <f>"6935401852201080759"</f>
        <v>6935401852201080759</v>
      </c>
      <c r="F3188" s="1" t="str">
        <f t="shared" si="1044"/>
        <v>花都四部-凤凰仓</v>
      </c>
      <c r="G3188" s="1" t="str">
        <f t="shared" si="1054"/>
        <v>卡卡杜个人护理店（抖店）</v>
      </c>
      <c r="H3188" s="1" t="str">
        <f t="shared" si="1045"/>
        <v>正常订单</v>
      </c>
      <c r="I3188" s="1" t="str">
        <f t="shared" si="1046"/>
        <v>已发货</v>
      </c>
      <c r="J3188" s="1" t="str">
        <f t="shared" si="1053"/>
        <v>3</v>
      </c>
      <c r="K3188" s="1">
        <v>2</v>
      </c>
      <c r="L3188" s="1" t="s">
        <v>20</v>
      </c>
      <c r="M3188" s="1" t="str">
        <f>"浙江省 金华市 义乌市 大陈镇"</f>
        <v>浙江省 金华市 义乌市 大陈镇</v>
      </c>
      <c r="N3188" s="1" t="str">
        <f t="shared" si="1055"/>
        <v>凡华云仓-城南圆通-抖音</v>
      </c>
      <c r="O3188" s="5" t="s">
        <v>3222</v>
      </c>
      <c r="P3188" s="6">
        <v>0.35</v>
      </c>
      <c r="Q3188" s="11">
        <v>2.2999999999999998</v>
      </c>
      <c r="R3188" s="11"/>
      <c r="S3188" s="11"/>
      <c r="T3188" s="11"/>
      <c r="U3188" s="11">
        <f t="shared" si="1042"/>
        <v>2.2999999999999998</v>
      </c>
      <c r="W3188">
        <v>2.5</v>
      </c>
      <c r="X3188" s="1" t="s">
        <v>20</v>
      </c>
    </row>
    <row r="3189" spans="1:24" x14ac:dyDescent="0.25">
      <c r="A3189" s="1" t="str">
        <f t="shared" si="1043"/>
        <v>卡卡杜-凤凰仓</v>
      </c>
      <c r="B3189" s="1" t="str">
        <f>"CK2024102476"</f>
        <v>CK2024102476</v>
      </c>
      <c r="C3189" s="1" t="str">
        <f>"DD2024102423274"</f>
        <v>DD2024102423274</v>
      </c>
      <c r="D3189" s="1" t="str">
        <f>"CK2024102416602"</f>
        <v>CK2024102416602</v>
      </c>
      <c r="E3189" s="1" t="str">
        <f>"6935392756786534271"</f>
        <v>6935392756786534271</v>
      </c>
      <c r="F3189" s="1" t="str">
        <f t="shared" si="1044"/>
        <v>花都四部-凤凰仓</v>
      </c>
      <c r="G3189" s="1" t="str">
        <f t="shared" si="1054"/>
        <v>卡卡杜个人护理店（抖店）</v>
      </c>
      <c r="H3189" s="1" t="str">
        <f t="shared" si="1045"/>
        <v>正常订单</v>
      </c>
      <c r="I3189" s="1" t="str">
        <f t="shared" si="1046"/>
        <v>已发货</v>
      </c>
      <c r="J3189" s="1" t="str">
        <f t="shared" si="1053"/>
        <v>3</v>
      </c>
      <c r="K3189" s="1">
        <v>2</v>
      </c>
      <c r="L3189" s="1" t="s">
        <v>52</v>
      </c>
      <c r="M3189" s="1" t="str">
        <f>"甘肃省 陇南市 康县 城关镇"</f>
        <v>甘肃省 陇南市 康县 城关镇</v>
      </c>
      <c r="N3189" s="1" t="str">
        <f t="shared" si="1055"/>
        <v>凡华云仓-城南圆通-抖音</v>
      </c>
      <c r="O3189" s="5" t="s">
        <v>3223</v>
      </c>
      <c r="P3189" s="6">
        <v>0.35</v>
      </c>
      <c r="Q3189" s="11">
        <v>2.2999999999999998</v>
      </c>
      <c r="R3189" s="11"/>
      <c r="S3189" s="11"/>
      <c r="T3189" s="11"/>
      <c r="U3189" s="11">
        <f t="shared" si="1042"/>
        <v>2.2999999999999998</v>
      </c>
      <c r="W3189">
        <v>2.5</v>
      </c>
      <c r="X3189" s="1" t="s">
        <v>52</v>
      </c>
    </row>
    <row r="3190" spans="1:24" x14ac:dyDescent="0.25">
      <c r="A3190" s="1" t="str">
        <f t="shared" si="1043"/>
        <v>卡卡杜-凤凰仓</v>
      </c>
      <c r="B3190" s="1" t="str">
        <f>"CK2024102471"</f>
        <v>CK2024102471</v>
      </c>
      <c r="C3190" s="1" t="str">
        <f>"DD2024102423269"</f>
        <v>DD2024102423269</v>
      </c>
      <c r="D3190" s="1" t="str">
        <f>"CK2024102416595"</f>
        <v>CK2024102416595</v>
      </c>
      <c r="E3190" s="1" t="str">
        <f>"6935383793242543993"</f>
        <v>6935383793242543993</v>
      </c>
      <c r="F3190" s="1" t="str">
        <f t="shared" si="1044"/>
        <v>花都四部-凤凰仓</v>
      </c>
      <c r="G3190" s="1" t="str">
        <f t="shared" si="1054"/>
        <v>卡卡杜个人护理店（抖店）</v>
      </c>
      <c r="H3190" s="1" t="str">
        <f t="shared" si="1045"/>
        <v>正常订单</v>
      </c>
      <c r="I3190" s="1" t="str">
        <f t="shared" si="1046"/>
        <v>已发货</v>
      </c>
      <c r="J3190" s="1" t="str">
        <f t="shared" si="1053"/>
        <v>3</v>
      </c>
      <c r="K3190" s="1">
        <v>2</v>
      </c>
      <c r="L3190" s="1" t="s">
        <v>13</v>
      </c>
      <c r="M3190" s="1" t="str">
        <f>"江苏省 苏州市 太仓市 浮桥镇"</f>
        <v>江苏省 苏州市 太仓市 浮桥镇</v>
      </c>
      <c r="N3190" s="1" t="str">
        <f t="shared" si="1055"/>
        <v>凡华云仓-城南圆通-抖音</v>
      </c>
      <c r="O3190" s="5" t="s">
        <v>3224</v>
      </c>
      <c r="P3190" s="6">
        <v>0.35</v>
      </c>
      <c r="Q3190" s="11">
        <v>2.2999999999999998</v>
      </c>
      <c r="R3190" s="11"/>
      <c r="S3190" s="11"/>
      <c r="T3190" s="11"/>
      <c r="U3190" s="11">
        <f t="shared" si="1042"/>
        <v>2.2999999999999998</v>
      </c>
      <c r="W3190">
        <v>2.5</v>
      </c>
      <c r="X3190" s="1" t="s">
        <v>13</v>
      </c>
    </row>
    <row r="3191" spans="1:24" x14ac:dyDescent="0.25">
      <c r="A3191" s="1" t="str">
        <f t="shared" si="1043"/>
        <v>卡卡杜-凤凰仓</v>
      </c>
      <c r="B3191" s="1" t="str">
        <f>"CK2024102475"</f>
        <v>CK2024102475</v>
      </c>
      <c r="C3191" s="1" t="str">
        <f>"DD2024102423273"</f>
        <v>DD2024102423273</v>
      </c>
      <c r="D3191" s="1" t="str">
        <f>"CK2024102416590"</f>
        <v>CK2024102416590</v>
      </c>
      <c r="E3191" s="1" t="str">
        <f>"6918018611241385254"</f>
        <v>6918018611241385254</v>
      </c>
      <c r="F3191" s="1" t="str">
        <f t="shared" si="1044"/>
        <v>花都四部-凤凰仓</v>
      </c>
      <c r="G3191" s="1" t="str">
        <f t="shared" si="1054"/>
        <v>卡卡杜个人护理店（抖店）</v>
      </c>
      <c r="H3191" s="1" t="str">
        <f t="shared" si="1045"/>
        <v>正常订单</v>
      </c>
      <c r="I3191" s="1" t="str">
        <f t="shared" si="1046"/>
        <v>已发货</v>
      </c>
      <c r="J3191" s="1" t="str">
        <f t="shared" si="1053"/>
        <v>3</v>
      </c>
      <c r="K3191" s="1">
        <v>2</v>
      </c>
      <c r="L3191" s="1" t="s">
        <v>13</v>
      </c>
      <c r="M3191" s="1" t="str">
        <f>"江苏省 徐州市 邳州市 运河街道"</f>
        <v>江苏省 徐州市 邳州市 运河街道</v>
      </c>
      <c r="N3191" s="1" t="str">
        <f t="shared" si="1055"/>
        <v>凡华云仓-城南圆通-抖音</v>
      </c>
      <c r="O3191" s="5" t="s">
        <v>3225</v>
      </c>
      <c r="P3191" s="6">
        <v>0.35</v>
      </c>
      <c r="Q3191" s="11">
        <v>2.2999999999999998</v>
      </c>
      <c r="R3191" s="11"/>
      <c r="S3191" s="11"/>
      <c r="T3191" s="11"/>
      <c r="U3191" s="11">
        <f t="shared" si="1042"/>
        <v>2.2999999999999998</v>
      </c>
      <c r="W3191">
        <v>2.5</v>
      </c>
      <c r="X3191" s="1" t="s">
        <v>13</v>
      </c>
    </row>
    <row r="3192" spans="1:24" x14ac:dyDescent="0.25">
      <c r="A3192" s="1" t="str">
        <f t="shared" si="1043"/>
        <v>卡卡杜-凤凰仓</v>
      </c>
      <c r="B3192" s="1" t="str">
        <f>"CK2024102463"</f>
        <v>CK2024102463</v>
      </c>
      <c r="C3192" s="1" t="str">
        <f>"DD2024102423260"</f>
        <v>DD2024102423260</v>
      </c>
      <c r="D3192" s="1" t="str">
        <f>"CK2024102416586"</f>
        <v>CK2024102416586</v>
      </c>
      <c r="E3192" s="1" t="str">
        <f>"6935410621179106623"</f>
        <v>6935410621179106623</v>
      </c>
      <c r="F3192" s="1" t="str">
        <f t="shared" si="1044"/>
        <v>花都四部-凤凰仓</v>
      </c>
      <c r="G3192" s="1" t="str">
        <f t="shared" si="1054"/>
        <v>卡卡杜个人护理店（抖店）</v>
      </c>
      <c r="H3192" s="1" t="str">
        <f t="shared" si="1045"/>
        <v>正常订单</v>
      </c>
      <c r="I3192" s="1" t="str">
        <f t="shared" si="1046"/>
        <v>已发货</v>
      </c>
      <c r="J3192" s="1" t="str">
        <f t="shared" si="1053"/>
        <v>3</v>
      </c>
      <c r="K3192" s="1">
        <v>2</v>
      </c>
      <c r="L3192" s="1" t="s">
        <v>36</v>
      </c>
      <c r="M3192" s="1" t="str">
        <f>"安徽省 滁州市 定远县 炉桥镇"</f>
        <v>安徽省 滁州市 定远县 炉桥镇</v>
      </c>
      <c r="N3192" s="1" t="str">
        <f t="shared" si="1055"/>
        <v>凡华云仓-城南圆通-抖音</v>
      </c>
      <c r="O3192" s="5" t="s">
        <v>3226</v>
      </c>
      <c r="P3192" s="6">
        <v>0.35</v>
      </c>
      <c r="Q3192" s="11">
        <v>2.2999999999999998</v>
      </c>
      <c r="R3192" s="11"/>
      <c r="S3192" s="11"/>
      <c r="T3192" s="11"/>
      <c r="U3192" s="11">
        <f t="shared" si="1042"/>
        <v>2.2999999999999998</v>
      </c>
      <c r="W3192">
        <v>2.5</v>
      </c>
      <c r="X3192" s="1" t="s">
        <v>36</v>
      </c>
    </row>
    <row r="3193" spans="1:24" x14ac:dyDescent="0.25">
      <c r="A3193" s="1" t="str">
        <f t="shared" si="1043"/>
        <v>卡卡杜-凤凰仓</v>
      </c>
      <c r="B3193" s="1" t="str">
        <f>"CK2024102495"</f>
        <v>CK2024102495</v>
      </c>
      <c r="C3193" s="1" t="str">
        <f>"DD2024102423294"</f>
        <v>DD2024102423294</v>
      </c>
      <c r="D3193" s="1" t="str">
        <f>"CK2024102416525"</f>
        <v>CK2024102416525</v>
      </c>
      <c r="E3193" s="1" t="str">
        <f>"6935392612844574291"</f>
        <v>6935392612844574291</v>
      </c>
      <c r="F3193" s="1" t="str">
        <f t="shared" si="1044"/>
        <v>花都四部-凤凰仓</v>
      </c>
      <c r="G3193" s="1" t="str">
        <f t="shared" si="1054"/>
        <v>卡卡杜个人护理店（抖店）</v>
      </c>
      <c r="H3193" s="1" t="str">
        <f t="shared" si="1045"/>
        <v>正常订单</v>
      </c>
      <c r="I3193" s="1" t="str">
        <f t="shared" si="1046"/>
        <v>已发货</v>
      </c>
      <c r="J3193" s="1" t="str">
        <f t="shared" si="1053"/>
        <v>3</v>
      </c>
      <c r="K3193" s="1">
        <v>2</v>
      </c>
      <c r="L3193" s="1" t="s">
        <v>20</v>
      </c>
      <c r="M3193" s="1" t="str">
        <f>"浙江省 金华市 义乌市 江东街道"</f>
        <v>浙江省 金华市 义乌市 江东街道</v>
      </c>
      <c r="N3193" s="1" t="str">
        <f t="shared" si="1055"/>
        <v>凡华云仓-城南圆通-抖音</v>
      </c>
      <c r="O3193" s="5" t="s">
        <v>3227</v>
      </c>
      <c r="P3193" s="6">
        <v>0.35</v>
      </c>
      <c r="Q3193" s="11">
        <v>2.2999999999999998</v>
      </c>
      <c r="R3193" s="11"/>
      <c r="S3193" s="11"/>
      <c r="T3193" s="11"/>
      <c r="U3193" s="11">
        <f t="shared" si="1042"/>
        <v>2.2999999999999998</v>
      </c>
      <c r="W3193">
        <v>2.5</v>
      </c>
      <c r="X3193" s="1" t="s">
        <v>20</v>
      </c>
    </row>
    <row r="3194" spans="1:24" x14ac:dyDescent="0.25">
      <c r="A3194" s="1" t="str">
        <f t="shared" si="1043"/>
        <v>卡卡杜-凤凰仓</v>
      </c>
      <c r="B3194" s="1" t="str">
        <f>"CK2024102461"</f>
        <v>CK2024102461</v>
      </c>
      <c r="C3194" s="1" t="str">
        <f>"DD2024102423261"</f>
        <v>DD2024102423261</v>
      </c>
      <c r="D3194" s="1" t="str">
        <f>"CK2024102416524"</f>
        <v>CK2024102416524</v>
      </c>
      <c r="E3194" s="1" t="str">
        <f>"6935399609026221057"</f>
        <v>6935399609026221057</v>
      </c>
      <c r="F3194" s="1" t="str">
        <f t="shared" si="1044"/>
        <v>花都四部-凤凰仓</v>
      </c>
      <c r="G3194" s="1" t="str">
        <f t="shared" si="1054"/>
        <v>卡卡杜个人护理店（抖店）</v>
      </c>
      <c r="H3194" s="1" t="str">
        <f t="shared" si="1045"/>
        <v>正常订单</v>
      </c>
      <c r="I3194" s="1" t="str">
        <f t="shared" si="1046"/>
        <v>已发货</v>
      </c>
      <c r="J3194" s="1" t="str">
        <f t="shared" si="1053"/>
        <v>3</v>
      </c>
      <c r="K3194" s="1">
        <v>2</v>
      </c>
      <c r="L3194" s="1" t="s">
        <v>80</v>
      </c>
      <c r="M3194" s="1" t="str">
        <f>"河南省 信阳市 平桥区 前进街道"</f>
        <v>河南省 信阳市 平桥区 前进街道</v>
      </c>
      <c r="N3194" s="1" t="str">
        <f t="shared" si="1055"/>
        <v>凡华云仓-城南圆通-抖音</v>
      </c>
      <c r="O3194" s="5" t="s">
        <v>3228</v>
      </c>
      <c r="P3194" s="6">
        <v>0.35</v>
      </c>
      <c r="Q3194" s="11">
        <v>2.2999999999999998</v>
      </c>
      <c r="R3194" s="11"/>
      <c r="S3194" s="11"/>
      <c r="T3194" s="11"/>
      <c r="U3194" s="11">
        <f t="shared" si="1042"/>
        <v>2.2999999999999998</v>
      </c>
      <c r="W3194">
        <v>2.5</v>
      </c>
      <c r="X3194" s="1" t="s">
        <v>80</v>
      </c>
    </row>
    <row r="3195" spans="1:24" x14ac:dyDescent="0.25">
      <c r="A3195" s="1" t="str">
        <f t="shared" si="1043"/>
        <v>卡卡杜-凤凰仓</v>
      </c>
      <c r="B3195" s="1" t="str">
        <f>"CK2024102459"</f>
        <v>CK2024102459</v>
      </c>
      <c r="C3195" s="1" t="str">
        <f>"DD2024102423257"</f>
        <v>DD2024102423257</v>
      </c>
      <c r="D3195" s="1" t="str">
        <f>"CK2024102416522"</f>
        <v>CK2024102416522</v>
      </c>
      <c r="E3195" s="1" t="str">
        <f>"6935415118385648744"</f>
        <v>6935415118385648744</v>
      </c>
      <c r="F3195" s="1" t="str">
        <f t="shared" si="1044"/>
        <v>花都四部-凤凰仓</v>
      </c>
      <c r="G3195" s="1" t="str">
        <f t="shared" si="1054"/>
        <v>卡卡杜个人护理店（抖店）</v>
      </c>
      <c r="H3195" s="1" t="str">
        <f t="shared" si="1045"/>
        <v>正常订单</v>
      </c>
      <c r="I3195" s="1" t="str">
        <f t="shared" si="1046"/>
        <v>已发货</v>
      </c>
      <c r="J3195" s="1" t="str">
        <f t="shared" si="1053"/>
        <v>3</v>
      </c>
      <c r="K3195" s="1">
        <v>2</v>
      </c>
      <c r="L3195" s="1" t="s">
        <v>60</v>
      </c>
      <c r="M3195" s="1" t="str">
        <f>"云南省 昆明市 西山区 马街街道"</f>
        <v>云南省 昆明市 西山区 马街街道</v>
      </c>
      <c r="N3195" s="1" t="str">
        <f t="shared" si="1055"/>
        <v>凡华云仓-城南圆通-抖音</v>
      </c>
      <c r="O3195" s="5" t="s">
        <v>3229</v>
      </c>
      <c r="P3195" s="6">
        <v>0.35</v>
      </c>
      <c r="Q3195" s="11">
        <v>2.2999999999999998</v>
      </c>
      <c r="R3195" s="11"/>
      <c r="S3195" s="11"/>
      <c r="T3195" s="11"/>
      <c r="U3195" s="11">
        <f t="shared" si="1042"/>
        <v>2.2999999999999998</v>
      </c>
      <c r="W3195">
        <v>2.5</v>
      </c>
      <c r="X3195" s="1" t="s">
        <v>60</v>
      </c>
    </row>
    <row r="3196" spans="1:24" x14ac:dyDescent="0.25">
      <c r="A3196" s="1" t="str">
        <f t="shared" si="1043"/>
        <v>卡卡杜-凤凰仓</v>
      </c>
      <c r="B3196" s="1" t="str">
        <f>"CK2024102457"</f>
        <v>CK2024102457</v>
      </c>
      <c r="C3196" s="1" t="str">
        <f>"DD2024102423255"</f>
        <v>DD2024102423255</v>
      </c>
      <c r="D3196" s="1" t="str">
        <f>"CK2024102416517"</f>
        <v>CK2024102416517</v>
      </c>
      <c r="E3196" s="1" t="str">
        <f>"6935388350494872877"</f>
        <v>6935388350494872877</v>
      </c>
      <c r="F3196" s="1" t="str">
        <f t="shared" si="1044"/>
        <v>花都四部-凤凰仓</v>
      </c>
      <c r="G3196" s="1" t="str">
        <f t="shared" si="1054"/>
        <v>卡卡杜个人护理店（抖店）</v>
      </c>
      <c r="H3196" s="1" t="str">
        <f t="shared" si="1045"/>
        <v>正常订单</v>
      </c>
      <c r="I3196" s="1" t="str">
        <f t="shared" si="1046"/>
        <v>已发货</v>
      </c>
      <c r="J3196" s="1" t="str">
        <f t="shared" si="1053"/>
        <v>3</v>
      </c>
      <c r="K3196" s="1">
        <v>2</v>
      </c>
      <c r="L3196" s="1" t="s">
        <v>32</v>
      </c>
      <c r="M3196" s="1" t="str">
        <f>"陕西省 宝鸡市 金台区 中山东路街道"</f>
        <v>陕西省 宝鸡市 金台区 中山东路街道</v>
      </c>
      <c r="N3196" s="1" t="str">
        <f t="shared" si="1055"/>
        <v>凡华云仓-城南圆通-抖音</v>
      </c>
      <c r="O3196" s="5" t="s">
        <v>3230</v>
      </c>
      <c r="P3196" s="6">
        <v>0.35</v>
      </c>
      <c r="Q3196" s="11">
        <v>2.2999999999999998</v>
      </c>
      <c r="R3196" s="11"/>
      <c r="S3196" s="11"/>
      <c r="T3196" s="11"/>
      <c r="U3196" s="11">
        <f t="shared" si="1042"/>
        <v>2.2999999999999998</v>
      </c>
      <c r="W3196">
        <v>2.5</v>
      </c>
      <c r="X3196" s="1" t="s">
        <v>32</v>
      </c>
    </row>
    <row r="3197" spans="1:24" x14ac:dyDescent="0.25">
      <c r="A3197" s="1" t="str">
        <f t="shared" si="1043"/>
        <v>卡卡杜-凤凰仓</v>
      </c>
      <c r="B3197" s="1" t="str">
        <f>"CK2024102434"</f>
        <v>CK2024102434</v>
      </c>
      <c r="C3197" s="1" t="str">
        <f>"DD2024102423232"</f>
        <v>DD2024102423232</v>
      </c>
      <c r="D3197" s="1" t="str">
        <f>"CK2024102416513"</f>
        <v>CK2024102416513</v>
      </c>
      <c r="E3197" s="1" t="str">
        <f>"6935390363207407057"</f>
        <v>6935390363207407057</v>
      </c>
      <c r="F3197" s="1" t="str">
        <f t="shared" si="1044"/>
        <v>花都四部-凤凰仓</v>
      </c>
      <c r="G3197" s="1" t="str">
        <f t="shared" si="1054"/>
        <v>卡卡杜个人护理店（抖店）</v>
      </c>
      <c r="H3197" s="1" t="str">
        <f t="shared" si="1045"/>
        <v>正常订单</v>
      </c>
      <c r="I3197" s="1" t="str">
        <f t="shared" si="1046"/>
        <v>已发货</v>
      </c>
      <c r="J3197" s="1" t="str">
        <f t="shared" si="1053"/>
        <v>3</v>
      </c>
      <c r="K3197" s="1">
        <v>2</v>
      </c>
      <c r="L3197" s="1" t="s">
        <v>30</v>
      </c>
      <c r="M3197" s="1" t="str">
        <f>"山东省 枣庄市 薛城区 "</f>
        <v xml:space="preserve">山东省 枣庄市 薛城区 </v>
      </c>
      <c r="N3197" s="1" t="str">
        <f t="shared" si="1055"/>
        <v>凡华云仓-城南圆通-抖音</v>
      </c>
      <c r="O3197" s="5" t="s">
        <v>3231</v>
      </c>
      <c r="P3197" s="6">
        <v>0.35</v>
      </c>
      <c r="Q3197" s="11">
        <v>2.2999999999999998</v>
      </c>
      <c r="R3197" s="11"/>
      <c r="S3197" s="11"/>
      <c r="T3197" s="11"/>
      <c r="U3197" s="11">
        <f t="shared" si="1042"/>
        <v>2.2999999999999998</v>
      </c>
      <c r="W3197">
        <v>2.5</v>
      </c>
      <c r="X3197" s="1" t="s">
        <v>30</v>
      </c>
    </row>
    <row r="3198" spans="1:24" x14ac:dyDescent="0.25">
      <c r="A3198" s="1" t="str">
        <f t="shared" si="1043"/>
        <v>卡卡杜-凤凰仓</v>
      </c>
      <c r="B3198" s="1" t="str">
        <f>"CK2024102435"</f>
        <v>CK2024102435</v>
      </c>
      <c r="C3198" s="1" t="str">
        <f>"DD2024102423235"</f>
        <v>DD2024102423235</v>
      </c>
      <c r="D3198" s="1" t="str">
        <f>"CK2024102416512"</f>
        <v>CK2024102416512</v>
      </c>
      <c r="E3198" s="1" t="str">
        <f>"6935383701411141205"</f>
        <v>6935383701411141205</v>
      </c>
      <c r="F3198" s="1" t="str">
        <f t="shared" si="1044"/>
        <v>花都四部-凤凰仓</v>
      </c>
      <c r="G3198" s="1" t="str">
        <f t="shared" si="1054"/>
        <v>卡卡杜个人护理店（抖店）</v>
      </c>
      <c r="H3198" s="1" t="str">
        <f t="shared" si="1045"/>
        <v>正常订单</v>
      </c>
      <c r="I3198" s="1" t="str">
        <f t="shared" si="1046"/>
        <v>已发货</v>
      </c>
      <c r="J3198" s="1" t="str">
        <f t="shared" si="1053"/>
        <v>3</v>
      </c>
      <c r="K3198" s="1">
        <v>2</v>
      </c>
      <c r="L3198" s="1" t="s">
        <v>18</v>
      </c>
      <c r="M3198" s="1" t="str">
        <f>"广东省 广州市 白云区 大源街道"</f>
        <v>广东省 广州市 白云区 大源街道</v>
      </c>
      <c r="N3198" s="1" t="str">
        <f t="shared" si="1055"/>
        <v>凡华云仓-城南圆通-抖音</v>
      </c>
      <c r="O3198" s="5" t="s">
        <v>3232</v>
      </c>
      <c r="P3198" s="6">
        <v>0.35</v>
      </c>
      <c r="Q3198" s="11">
        <v>2.2999999999999998</v>
      </c>
      <c r="R3198" s="11"/>
      <c r="S3198" s="11"/>
      <c r="T3198" s="11"/>
      <c r="U3198" s="11">
        <f t="shared" si="1042"/>
        <v>2.2999999999999998</v>
      </c>
      <c r="W3198">
        <v>2.5</v>
      </c>
      <c r="X3198" s="1" t="s">
        <v>18</v>
      </c>
    </row>
    <row r="3199" spans="1:24" x14ac:dyDescent="0.25">
      <c r="A3199" s="1" t="str">
        <f t="shared" si="1043"/>
        <v>卡卡杜-凤凰仓</v>
      </c>
      <c r="B3199" s="1" t="str">
        <f>"CK2024102429"</f>
        <v>CK2024102429</v>
      </c>
      <c r="C3199" s="1" t="str">
        <f>"DD2024102423228"</f>
        <v>DD2024102423228</v>
      </c>
      <c r="D3199" s="1" t="str">
        <f>"CK2024102416511"</f>
        <v>CK2024102416511</v>
      </c>
      <c r="E3199" s="1" t="str">
        <f>"6935390325591315660"</f>
        <v>6935390325591315660</v>
      </c>
      <c r="F3199" s="1" t="str">
        <f t="shared" si="1044"/>
        <v>花都四部-凤凰仓</v>
      </c>
      <c r="G3199" s="1" t="str">
        <f t="shared" si="1054"/>
        <v>卡卡杜个人护理店（抖店）</v>
      </c>
      <c r="H3199" s="1" t="str">
        <f t="shared" si="1045"/>
        <v>正常订单</v>
      </c>
      <c r="I3199" s="1" t="str">
        <f t="shared" si="1046"/>
        <v>已发货</v>
      </c>
      <c r="J3199" s="1" t="str">
        <f t="shared" si="1053"/>
        <v>3</v>
      </c>
      <c r="K3199" s="1">
        <v>2</v>
      </c>
      <c r="L3199" s="1" t="s">
        <v>13</v>
      </c>
      <c r="M3199" s="1" t="str">
        <f>"江苏省 常州市 武进区 湖塘镇"</f>
        <v>江苏省 常州市 武进区 湖塘镇</v>
      </c>
      <c r="N3199" s="1" t="str">
        <f t="shared" si="1055"/>
        <v>凡华云仓-城南圆通-抖音</v>
      </c>
      <c r="O3199" s="5" t="s">
        <v>3233</v>
      </c>
      <c r="P3199" s="6">
        <v>0.35</v>
      </c>
      <c r="Q3199" s="11">
        <v>2.2999999999999998</v>
      </c>
      <c r="R3199" s="11"/>
      <c r="S3199" s="11"/>
      <c r="T3199" s="11"/>
      <c r="U3199" s="11">
        <f t="shared" si="1042"/>
        <v>2.2999999999999998</v>
      </c>
      <c r="W3199">
        <v>2.5</v>
      </c>
      <c r="X3199" s="1" t="s">
        <v>13</v>
      </c>
    </row>
    <row r="3200" spans="1:24" x14ac:dyDescent="0.25">
      <c r="A3200" s="1" t="str">
        <f t="shared" si="1043"/>
        <v>卡卡杜-凤凰仓</v>
      </c>
      <c r="B3200" s="1" t="str">
        <f>"CK2024102448"</f>
        <v>CK2024102448</v>
      </c>
      <c r="C3200" s="1" t="str">
        <f>"DD2024102423246"</f>
        <v>DD2024102423246</v>
      </c>
      <c r="D3200" s="1" t="str">
        <f>"CK2024102416510"</f>
        <v>CK2024102416510</v>
      </c>
      <c r="E3200" s="1" t="str">
        <f>"6935403597750211748"</f>
        <v>6935403597750211748</v>
      </c>
      <c r="F3200" s="1" t="str">
        <f t="shared" si="1044"/>
        <v>花都四部-凤凰仓</v>
      </c>
      <c r="G3200" s="1" t="str">
        <f t="shared" si="1054"/>
        <v>卡卡杜个人护理店（抖店）</v>
      </c>
      <c r="H3200" s="1" t="str">
        <f t="shared" si="1045"/>
        <v>正常订单</v>
      </c>
      <c r="I3200" s="1" t="str">
        <f t="shared" si="1046"/>
        <v>已发货</v>
      </c>
      <c r="J3200" s="1" t="str">
        <f t="shared" si="1053"/>
        <v>3</v>
      </c>
      <c r="K3200" s="1">
        <v>2</v>
      </c>
      <c r="L3200" s="1" t="s">
        <v>30</v>
      </c>
      <c r="M3200" s="1" t="str">
        <f>"山东省 济南市 长清区 "</f>
        <v xml:space="preserve">山东省 济南市 长清区 </v>
      </c>
      <c r="N3200" s="1" t="str">
        <f t="shared" si="1055"/>
        <v>凡华云仓-城南圆通-抖音</v>
      </c>
      <c r="O3200" s="5" t="s">
        <v>3234</v>
      </c>
      <c r="P3200" s="6">
        <v>0.35</v>
      </c>
      <c r="Q3200" s="11">
        <v>2.2999999999999998</v>
      </c>
      <c r="R3200" s="11"/>
      <c r="S3200" s="11"/>
      <c r="T3200" s="11"/>
      <c r="U3200" s="11">
        <f t="shared" si="1042"/>
        <v>2.2999999999999998</v>
      </c>
      <c r="W3200">
        <v>2.5</v>
      </c>
      <c r="X3200" s="1" t="s">
        <v>30</v>
      </c>
    </row>
    <row r="3201" spans="1:24" x14ac:dyDescent="0.25">
      <c r="A3201" s="1" t="str">
        <f t="shared" si="1043"/>
        <v>卡卡杜-凤凰仓</v>
      </c>
      <c r="B3201" s="1" t="str">
        <f>"CK2024102447"</f>
        <v>CK2024102447</v>
      </c>
      <c r="C3201" s="1" t="str">
        <f>"DD2024102423245"</f>
        <v>DD2024102423245</v>
      </c>
      <c r="D3201" s="1" t="str">
        <f>"CK2024102416509"</f>
        <v>CK2024102416509</v>
      </c>
      <c r="E3201" s="1" t="str">
        <f>"6935395286085604455"</f>
        <v>6935395286085604455</v>
      </c>
      <c r="F3201" s="1" t="str">
        <f t="shared" si="1044"/>
        <v>花都四部-凤凰仓</v>
      </c>
      <c r="G3201" s="1" t="str">
        <f t="shared" si="1054"/>
        <v>卡卡杜个人护理店（抖店）</v>
      </c>
      <c r="H3201" s="1" t="str">
        <f t="shared" si="1045"/>
        <v>正常订单</v>
      </c>
      <c r="I3201" s="1" t="str">
        <f t="shared" si="1046"/>
        <v>已发货</v>
      </c>
      <c r="J3201" s="1" t="str">
        <f t="shared" si="1053"/>
        <v>3</v>
      </c>
      <c r="K3201" s="1">
        <v>2</v>
      </c>
      <c r="L3201" s="1" t="s">
        <v>161</v>
      </c>
      <c r="M3201" s="1" t="str">
        <f>"四川省 成都市 彭州市 天彭街道"</f>
        <v>四川省 成都市 彭州市 天彭街道</v>
      </c>
      <c r="N3201" s="1" t="str">
        <f>"凡华云仓-竹料中通-抖音"</f>
        <v>凡华云仓-竹料中通-抖音</v>
      </c>
      <c r="O3201" s="5">
        <v>76434381332920</v>
      </c>
      <c r="P3201" s="6">
        <v>0.35</v>
      </c>
      <c r="Q3201" s="11">
        <v>2.6</v>
      </c>
      <c r="R3201" s="11"/>
      <c r="S3201" s="11"/>
      <c r="T3201" s="11"/>
      <c r="U3201" s="11">
        <f t="shared" si="1042"/>
        <v>2.6</v>
      </c>
      <c r="W3201">
        <v>2.6</v>
      </c>
      <c r="X3201" s="1" t="s">
        <v>161</v>
      </c>
    </row>
    <row r="3202" spans="1:24" x14ac:dyDescent="0.25">
      <c r="A3202" s="1" t="str">
        <f t="shared" si="1043"/>
        <v>卡卡杜-凤凰仓</v>
      </c>
      <c r="B3202" s="1" t="str">
        <f>"CK20241024106"</f>
        <v>CK20241024106</v>
      </c>
      <c r="C3202" s="1" t="str">
        <f>"DD2024102423304"</f>
        <v>DD2024102423304</v>
      </c>
      <c r="D3202" s="1" t="str">
        <f>"CK2024102416507"</f>
        <v>CK2024102416507</v>
      </c>
      <c r="E3202" s="1" t="str">
        <f>"6935383624648103573"</f>
        <v>6935383624648103573</v>
      </c>
      <c r="F3202" s="1" t="str">
        <f t="shared" si="1044"/>
        <v>花都四部-凤凰仓</v>
      </c>
      <c r="G3202" s="1" t="str">
        <f t="shared" si="1054"/>
        <v>卡卡杜个人护理店（抖店）</v>
      </c>
      <c r="H3202" s="1" t="str">
        <f t="shared" si="1045"/>
        <v>正常订单</v>
      </c>
      <c r="I3202" s="1" t="str">
        <f t="shared" si="1046"/>
        <v>已发货</v>
      </c>
      <c r="J3202" s="1" t="str">
        <f t="shared" si="1053"/>
        <v>3</v>
      </c>
      <c r="K3202" s="1">
        <v>2</v>
      </c>
      <c r="L3202" s="1" t="s">
        <v>36</v>
      </c>
      <c r="M3202" s="1" t="str">
        <f>"安徽省 芜湖市 镜湖区 汀棠街道"</f>
        <v>安徽省 芜湖市 镜湖区 汀棠街道</v>
      </c>
      <c r="N3202" s="1" t="str">
        <f t="shared" ref="N3202:N3219" si="1056">"凡华云仓-城南圆通-抖音"</f>
        <v>凡华云仓-城南圆通-抖音</v>
      </c>
      <c r="O3202" s="5" t="s">
        <v>3235</v>
      </c>
      <c r="P3202" s="6">
        <v>0.35</v>
      </c>
      <c r="Q3202" s="11">
        <v>2.2999999999999998</v>
      </c>
      <c r="R3202" s="11"/>
      <c r="S3202" s="11"/>
      <c r="T3202" s="11"/>
      <c r="U3202" s="11">
        <f t="shared" si="1042"/>
        <v>2.2999999999999998</v>
      </c>
      <c r="W3202">
        <v>2.5</v>
      </c>
      <c r="X3202" s="1" t="s">
        <v>36</v>
      </c>
    </row>
    <row r="3203" spans="1:24" x14ac:dyDescent="0.25">
      <c r="A3203" s="1" t="str">
        <f t="shared" si="1043"/>
        <v>卡卡杜-凤凰仓</v>
      </c>
      <c r="B3203" s="1" t="str">
        <f>"CK20241024100"</f>
        <v>CK20241024100</v>
      </c>
      <c r="C3203" s="1" t="str">
        <f>"DD2024102423298"</f>
        <v>DD2024102423298</v>
      </c>
      <c r="D3203" s="1" t="str">
        <f>"CK2024102416506"</f>
        <v>CK2024102416506</v>
      </c>
      <c r="E3203" s="1" t="str">
        <f>"6935388205647075214"</f>
        <v>6935388205647075214</v>
      </c>
      <c r="F3203" s="1" t="str">
        <f t="shared" si="1044"/>
        <v>花都四部-凤凰仓</v>
      </c>
      <c r="G3203" s="1" t="str">
        <f t="shared" si="1054"/>
        <v>卡卡杜个人护理店（抖店）</v>
      </c>
      <c r="H3203" s="1" t="str">
        <f t="shared" si="1045"/>
        <v>正常订单</v>
      </c>
      <c r="I3203" s="1" t="str">
        <f t="shared" si="1046"/>
        <v>已发货</v>
      </c>
      <c r="J3203" s="1" t="str">
        <f t="shared" si="1053"/>
        <v>3</v>
      </c>
      <c r="K3203" s="1">
        <v>2</v>
      </c>
      <c r="L3203" s="1" t="s">
        <v>36</v>
      </c>
      <c r="M3203" s="1" t="str">
        <f>"安徽省 滁州市 南谯区 章广镇"</f>
        <v>安徽省 滁州市 南谯区 章广镇</v>
      </c>
      <c r="N3203" s="1" t="str">
        <f t="shared" si="1056"/>
        <v>凡华云仓-城南圆通-抖音</v>
      </c>
      <c r="O3203" s="5" t="s">
        <v>3236</v>
      </c>
      <c r="P3203" s="6">
        <v>0.35</v>
      </c>
      <c r="Q3203" s="11">
        <v>2.2999999999999998</v>
      </c>
      <c r="R3203" s="11"/>
      <c r="S3203" s="11"/>
      <c r="T3203" s="11"/>
      <c r="U3203" s="11">
        <f t="shared" ref="U3203:U3266" si="1057">T3203+S3203+R3203+Q3203</f>
        <v>2.2999999999999998</v>
      </c>
      <c r="W3203">
        <v>2.5</v>
      </c>
      <c r="X3203" s="1" t="s">
        <v>36</v>
      </c>
    </row>
    <row r="3204" spans="1:24" x14ac:dyDescent="0.25">
      <c r="A3204" s="1" t="str">
        <f t="shared" si="1043"/>
        <v>卡卡杜-凤凰仓</v>
      </c>
      <c r="B3204" s="1" t="str">
        <f>"CK20241024116"</f>
        <v>CK20241024116</v>
      </c>
      <c r="C3204" s="1" t="str">
        <f>"DD2024102423313"</f>
        <v>DD2024102423313</v>
      </c>
      <c r="D3204" s="1" t="str">
        <f>"CK2024102416505"</f>
        <v>CK2024102416505</v>
      </c>
      <c r="E3204" s="1" t="str">
        <f>"6935410511557826252"</f>
        <v>6935410511557826252</v>
      </c>
      <c r="F3204" s="1" t="str">
        <f t="shared" si="1044"/>
        <v>花都四部-凤凰仓</v>
      </c>
      <c r="G3204" s="1" t="str">
        <f t="shared" si="1054"/>
        <v>卡卡杜个人护理店（抖店）</v>
      </c>
      <c r="H3204" s="1" t="str">
        <f t="shared" si="1045"/>
        <v>正常订单</v>
      </c>
      <c r="I3204" s="1" t="str">
        <f t="shared" si="1046"/>
        <v>已发货</v>
      </c>
      <c r="J3204" s="1" t="str">
        <f t="shared" si="1053"/>
        <v>3</v>
      </c>
      <c r="K3204" s="1">
        <v>2</v>
      </c>
      <c r="L3204" s="1" t="s">
        <v>96</v>
      </c>
      <c r="M3204" s="1" t="str">
        <f>"广西壮族自治区 贵港市 桂平市 "</f>
        <v xml:space="preserve">广西壮族自治区 贵港市 桂平市 </v>
      </c>
      <c r="N3204" s="1" t="str">
        <f t="shared" si="1056"/>
        <v>凡华云仓-城南圆通-抖音</v>
      </c>
      <c r="O3204" s="5" t="s">
        <v>3237</v>
      </c>
      <c r="P3204" s="6">
        <v>0.35</v>
      </c>
      <c r="Q3204" s="11">
        <v>2.2999999999999998</v>
      </c>
      <c r="R3204" s="11"/>
      <c r="S3204" s="11"/>
      <c r="T3204" s="11"/>
      <c r="U3204" s="11">
        <f t="shared" si="1057"/>
        <v>2.2999999999999998</v>
      </c>
      <c r="W3204">
        <v>2.5</v>
      </c>
      <c r="X3204" s="1" t="s">
        <v>96</v>
      </c>
    </row>
    <row r="3205" spans="1:24" x14ac:dyDescent="0.25">
      <c r="A3205" s="1" t="str">
        <f t="shared" ref="A3205:A3268" si="1058">"卡卡杜-凤凰仓"</f>
        <v>卡卡杜-凤凰仓</v>
      </c>
      <c r="B3205" s="1" t="str">
        <f>"CK20241024114"</f>
        <v>CK20241024114</v>
      </c>
      <c r="C3205" s="1" t="str">
        <f>"DD2024102423312"</f>
        <v>DD2024102423312</v>
      </c>
      <c r="D3205" s="1" t="str">
        <f>"CK2024102416491"</f>
        <v>CK2024102416491</v>
      </c>
      <c r="E3205" s="1" t="str">
        <f>"6935392639197845116"</f>
        <v>6935392639197845116</v>
      </c>
      <c r="F3205" s="1" t="str">
        <f t="shared" ref="F3205:F3268" si="1059">"花都四部-凤凰仓"</f>
        <v>花都四部-凤凰仓</v>
      </c>
      <c r="G3205" s="1" t="str">
        <f t="shared" si="1054"/>
        <v>卡卡杜个人护理店（抖店）</v>
      </c>
      <c r="H3205" s="1" t="str">
        <f t="shared" ref="H3205:H3268" si="1060">"正常订单"</f>
        <v>正常订单</v>
      </c>
      <c r="I3205" s="1" t="str">
        <f t="shared" ref="I3205:I3268" si="1061">"已发货"</f>
        <v>已发货</v>
      </c>
      <c r="J3205" s="1" t="str">
        <f t="shared" si="1053"/>
        <v>3</v>
      </c>
      <c r="K3205" s="1">
        <v>2</v>
      </c>
      <c r="L3205" s="1" t="s">
        <v>36</v>
      </c>
      <c r="M3205" s="1" t="str">
        <f>"安徽省 阜阳市 颍泉区 周棚街道"</f>
        <v>安徽省 阜阳市 颍泉区 周棚街道</v>
      </c>
      <c r="N3205" s="1" t="str">
        <f t="shared" si="1056"/>
        <v>凡华云仓-城南圆通-抖音</v>
      </c>
      <c r="O3205" s="5" t="s">
        <v>3238</v>
      </c>
      <c r="P3205" s="6">
        <v>0.35</v>
      </c>
      <c r="Q3205" s="11">
        <v>2.2999999999999998</v>
      </c>
      <c r="R3205" s="11"/>
      <c r="S3205" s="11"/>
      <c r="T3205" s="11"/>
      <c r="U3205" s="11">
        <f t="shared" si="1057"/>
        <v>2.2999999999999998</v>
      </c>
      <c r="W3205">
        <v>2.5</v>
      </c>
      <c r="X3205" s="1" t="s">
        <v>36</v>
      </c>
    </row>
    <row r="3206" spans="1:24" x14ac:dyDescent="0.25">
      <c r="A3206" s="1" t="str">
        <f t="shared" si="1058"/>
        <v>卡卡杜-凤凰仓</v>
      </c>
      <c r="B3206" s="1" t="str">
        <f>"CK20241024110"</f>
        <v>CK20241024110</v>
      </c>
      <c r="C3206" s="1" t="str">
        <f>"DD2024102423307"</f>
        <v>DD2024102423307</v>
      </c>
      <c r="D3206" s="1" t="str">
        <f>"CK2024102416489"</f>
        <v>CK2024102416489</v>
      </c>
      <c r="E3206" s="1" t="str">
        <f>"6935390262713980078"</f>
        <v>6935390262713980078</v>
      </c>
      <c r="F3206" s="1" t="str">
        <f t="shared" si="1059"/>
        <v>花都四部-凤凰仓</v>
      </c>
      <c r="G3206" s="1" t="str">
        <f t="shared" si="1054"/>
        <v>卡卡杜个人护理店（抖店）</v>
      </c>
      <c r="H3206" s="1" t="str">
        <f t="shared" si="1060"/>
        <v>正常订单</v>
      </c>
      <c r="I3206" s="1" t="str">
        <f t="shared" si="1061"/>
        <v>已发货</v>
      </c>
      <c r="J3206" s="1" t="str">
        <f t="shared" si="1053"/>
        <v>3</v>
      </c>
      <c r="K3206" s="1">
        <v>2</v>
      </c>
      <c r="L3206" s="1" t="s">
        <v>74</v>
      </c>
      <c r="M3206" s="1" t="str">
        <f>"上海 上海市 松江区 车墩镇"</f>
        <v>上海 上海市 松江区 车墩镇</v>
      </c>
      <c r="N3206" s="1" t="str">
        <f t="shared" si="1056"/>
        <v>凡华云仓-城南圆通-抖音</v>
      </c>
      <c r="O3206" s="5" t="s">
        <v>3239</v>
      </c>
      <c r="P3206" s="6">
        <v>0.35</v>
      </c>
      <c r="Q3206" s="11">
        <v>2.2999999999999998</v>
      </c>
      <c r="R3206" s="11"/>
      <c r="S3206" s="11"/>
      <c r="T3206" s="11"/>
      <c r="U3206" s="11">
        <f t="shared" si="1057"/>
        <v>2.2999999999999998</v>
      </c>
      <c r="W3206">
        <v>2.5</v>
      </c>
      <c r="X3206" s="1" t="s">
        <v>74</v>
      </c>
    </row>
    <row r="3207" spans="1:24" x14ac:dyDescent="0.25">
      <c r="A3207" s="1" t="str">
        <f t="shared" si="1058"/>
        <v>卡卡杜-凤凰仓</v>
      </c>
      <c r="B3207" s="1" t="str">
        <f>"CK20241024173"</f>
        <v>CK20241024173</v>
      </c>
      <c r="C3207" s="1" t="str">
        <f>"DD2024102423401"</f>
        <v>DD2024102423401</v>
      </c>
      <c r="D3207" s="1" t="str">
        <f>"CK2024102416479"</f>
        <v>CK2024102416479</v>
      </c>
      <c r="E3207" s="1" t="str">
        <f>"6935383649098536193"</f>
        <v>6935383649098536193</v>
      </c>
      <c r="F3207" s="1" t="str">
        <f t="shared" si="1059"/>
        <v>花都四部-凤凰仓</v>
      </c>
      <c r="G3207" s="1" t="str">
        <f t="shared" si="1054"/>
        <v>卡卡杜个人护理店（抖店）</v>
      </c>
      <c r="H3207" s="1" t="str">
        <f t="shared" si="1060"/>
        <v>正常订单</v>
      </c>
      <c r="I3207" s="1" t="str">
        <f t="shared" si="1061"/>
        <v>已发货</v>
      </c>
      <c r="J3207" s="1" t="str">
        <f>"5"</f>
        <v>5</v>
      </c>
      <c r="K3207" s="1">
        <v>2</v>
      </c>
      <c r="L3207" s="1" t="s">
        <v>20</v>
      </c>
      <c r="M3207" s="1" t="str">
        <f>"浙江省 金华市 义乌市 苏溪镇"</f>
        <v>浙江省 金华市 义乌市 苏溪镇</v>
      </c>
      <c r="N3207" s="1" t="str">
        <f t="shared" si="1056"/>
        <v>凡华云仓-城南圆通-抖音</v>
      </c>
      <c r="O3207" s="5" t="s">
        <v>3240</v>
      </c>
      <c r="P3207" s="6">
        <v>0.59</v>
      </c>
      <c r="Q3207" s="11">
        <f>CEILING(P3207-0.5,0.1)*10*0.15+2.3</f>
        <v>2.4499999999999997</v>
      </c>
      <c r="R3207" s="11"/>
      <c r="S3207" s="11"/>
      <c r="T3207" s="11"/>
      <c r="U3207" s="11">
        <f t="shared" si="1057"/>
        <v>2.4499999999999997</v>
      </c>
      <c r="V3207" t="s">
        <v>15</v>
      </c>
      <c r="W3207">
        <v>2.4500000000000002</v>
      </c>
      <c r="X3207" s="1" t="s">
        <v>20</v>
      </c>
    </row>
    <row r="3208" spans="1:24" x14ac:dyDescent="0.25">
      <c r="A3208" s="1" t="str">
        <f t="shared" si="1058"/>
        <v>卡卡杜-凤凰仓</v>
      </c>
      <c r="B3208" s="1" t="str">
        <f>"CK2024102433"</f>
        <v>CK2024102433</v>
      </c>
      <c r="C3208" s="1" t="str">
        <f>"DD2024102423231"</f>
        <v>DD2024102423231</v>
      </c>
      <c r="D3208" s="1" t="str">
        <f>"CK2024102416412"</f>
        <v>CK2024102416412</v>
      </c>
      <c r="E3208" s="1" t="str">
        <f>"6935385637290644927"</f>
        <v>6935385637290644927</v>
      </c>
      <c r="F3208" s="1" t="str">
        <f t="shared" si="1059"/>
        <v>花都四部-凤凰仓</v>
      </c>
      <c r="G3208" s="1" t="str">
        <f t="shared" si="1054"/>
        <v>卡卡杜个人护理店（抖店）</v>
      </c>
      <c r="H3208" s="1" t="str">
        <f t="shared" si="1060"/>
        <v>正常订单</v>
      </c>
      <c r="I3208" s="1" t="str">
        <f t="shared" si="1061"/>
        <v>已发货</v>
      </c>
      <c r="J3208" s="1" t="str">
        <f t="shared" ref="J3208:J3219" si="1062">"3"</f>
        <v>3</v>
      </c>
      <c r="K3208" s="1">
        <v>2</v>
      </c>
      <c r="L3208" s="1" t="s">
        <v>94</v>
      </c>
      <c r="M3208" s="1" t="str">
        <f>"湖南省 湘西土家族苗族自治州 龙山县 民安街道"</f>
        <v>湖南省 湘西土家族苗族自治州 龙山县 民安街道</v>
      </c>
      <c r="N3208" s="1" t="str">
        <f t="shared" si="1056"/>
        <v>凡华云仓-城南圆通-抖音</v>
      </c>
      <c r="O3208" s="5" t="s">
        <v>3241</v>
      </c>
      <c r="P3208" s="6">
        <v>0.35</v>
      </c>
      <c r="Q3208" s="11">
        <v>2.2999999999999998</v>
      </c>
      <c r="R3208" s="11"/>
      <c r="S3208" s="11"/>
      <c r="T3208" s="11"/>
      <c r="U3208" s="11">
        <f t="shared" si="1057"/>
        <v>2.2999999999999998</v>
      </c>
      <c r="W3208">
        <v>2.5</v>
      </c>
      <c r="X3208" s="1" t="s">
        <v>94</v>
      </c>
    </row>
    <row r="3209" spans="1:24" x14ac:dyDescent="0.25">
      <c r="A3209" s="1" t="str">
        <f t="shared" si="1058"/>
        <v>卡卡杜-凤凰仓</v>
      </c>
      <c r="B3209" s="1" t="str">
        <f>"CK2024102431"</f>
        <v>CK2024102431</v>
      </c>
      <c r="C3209" s="1" t="str">
        <f>"DD2024102423229"</f>
        <v>DD2024102423229</v>
      </c>
      <c r="D3209" s="1" t="str">
        <f>"CK2024102416347"</f>
        <v>CK2024102416347</v>
      </c>
      <c r="E3209" s="1" t="str">
        <f>"6935410249732330614"</f>
        <v>6935410249732330614</v>
      </c>
      <c r="F3209" s="1" t="str">
        <f t="shared" si="1059"/>
        <v>花都四部-凤凰仓</v>
      </c>
      <c r="G3209" s="1" t="str">
        <f t="shared" si="1054"/>
        <v>卡卡杜个人护理店（抖店）</v>
      </c>
      <c r="H3209" s="1" t="str">
        <f t="shared" si="1060"/>
        <v>正常订单</v>
      </c>
      <c r="I3209" s="1" t="str">
        <f t="shared" si="1061"/>
        <v>已发货</v>
      </c>
      <c r="J3209" s="1" t="str">
        <f t="shared" si="1062"/>
        <v>3</v>
      </c>
      <c r="K3209" s="1">
        <v>2</v>
      </c>
      <c r="L3209" s="1" t="s">
        <v>20</v>
      </c>
      <c r="M3209" s="1" t="str">
        <f>"浙江省 绍兴市 柯桥区 马鞍街道"</f>
        <v>浙江省 绍兴市 柯桥区 马鞍街道</v>
      </c>
      <c r="N3209" s="1" t="str">
        <f t="shared" si="1056"/>
        <v>凡华云仓-城南圆通-抖音</v>
      </c>
      <c r="O3209" s="5" t="s">
        <v>3242</v>
      </c>
      <c r="P3209" s="6">
        <v>0.35</v>
      </c>
      <c r="Q3209" s="11">
        <v>2.2999999999999998</v>
      </c>
      <c r="R3209" s="11"/>
      <c r="S3209" s="11"/>
      <c r="T3209" s="11"/>
      <c r="U3209" s="11">
        <f t="shared" si="1057"/>
        <v>2.2999999999999998</v>
      </c>
      <c r="W3209">
        <v>2.5</v>
      </c>
      <c r="X3209" s="1" t="s">
        <v>20</v>
      </c>
    </row>
    <row r="3210" spans="1:24" x14ac:dyDescent="0.25">
      <c r="A3210" s="1" t="str">
        <f t="shared" si="1058"/>
        <v>卡卡杜-凤凰仓</v>
      </c>
      <c r="B3210" s="1" t="str">
        <f>"CK2024102437"</f>
        <v>CK2024102437</v>
      </c>
      <c r="C3210" s="1" t="str">
        <f>"DD2024102423237"</f>
        <v>DD2024102423237</v>
      </c>
      <c r="D3210" s="1" t="str">
        <f>"CK2024102416296"</f>
        <v>CK2024102416296</v>
      </c>
      <c r="E3210" s="1" t="str">
        <f>"6935387977609123246"</f>
        <v>6935387977609123246</v>
      </c>
      <c r="F3210" s="1" t="str">
        <f t="shared" si="1059"/>
        <v>花都四部-凤凰仓</v>
      </c>
      <c r="G3210" s="1" t="str">
        <f t="shared" si="1054"/>
        <v>卡卡杜个人护理店（抖店）</v>
      </c>
      <c r="H3210" s="1" t="str">
        <f t="shared" si="1060"/>
        <v>正常订单</v>
      </c>
      <c r="I3210" s="1" t="str">
        <f t="shared" si="1061"/>
        <v>已发货</v>
      </c>
      <c r="J3210" s="1" t="str">
        <f t="shared" si="1062"/>
        <v>3</v>
      </c>
      <c r="K3210" s="1">
        <v>2</v>
      </c>
      <c r="L3210" s="1" t="s">
        <v>96</v>
      </c>
      <c r="M3210" s="1" t="str">
        <f>"广西壮族自治区 钦州市 灵山县 旧州镇"</f>
        <v>广西壮族自治区 钦州市 灵山县 旧州镇</v>
      </c>
      <c r="N3210" s="1" t="str">
        <f t="shared" si="1056"/>
        <v>凡华云仓-城南圆通-抖音</v>
      </c>
      <c r="O3210" s="5" t="s">
        <v>3243</v>
      </c>
      <c r="P3210" s="6">
        <v>0.35</v>
      </c>
      <c r="Q3210" s="11">
        <v>2.2999999999999998</v>
      </c>
      <c r="R3210" s="11"/>
      <c r="S3210" s="11"/>
      <c r="T3210" s="11"/>
      <c r="U3210" s="11">
        <f t="shared" si="1057"/>
        <v>2.2999999999999998</v>
      </c>
      <c r="W3210">
        <v>2.5</v>
      </c>
      <c r="X3210" s="1" t="s">
        <v>96</v>
      </c>
    </row>
    <row r="3211" spans="1:24" x14ac:dyDescent="0.25">
      <c r="A3211" s="1" t="str">
        <f t="shared" si="1058"/>
        <v>卡卡杜-凤凰仓</v>
      </c>
      <c r="B3211" s="1" t="str">
        <f>"CK2024102440"</f>
        <v>CK2024102440</v>
      </c>
      <c r="C3211" s="1" t="str">
        <f>"DD2024102423238"</f>
        <v>DD2024102423238</v>
      </c>
      <c r="D3211" s="1" t="str">
        <f>"CK2024102416295"</f>
        <v>CK2024102416295</v>
      </c>
      <c r="E3211" s="1" t="str">
        <f>"6935379356451214348"</f>
        <v>6935379356451214348</v>
      </c>
      <c r="F3211" s="1" t="str">
        <f t="shared" si="1059"/>
        <v>花都四部-凤凰仓</v>
      </c>
      <c r="G3211" s="1" t="str">
        <f t="shared" si="1054"/>
        <v>卡卡杜个人护理店（抖店）</v>
      </c>
      <c r="H3211" s="1" t="str">
        <f t="shared" si="1060"/>
        <v>正常订单</v>
      </c>
      <c r="I3211" s="1" t="str">
        <f t="shared" si="1061"/>
        <v>已发货</v>
      </c>
      <c r="J3211" s="1" t="str">
        <f t="shared" si="1062"/>
        <v>3</v>
      </c>
      <c r="K3211" s="1">
        <v>2</v>
      </c>
      <c r="L3211" s="1" t="s">
        <v>18</v>
      </c>
      <c r="M3211" s="1" t="str">
        <f>"广东省 茂名市 高州市 潘州街道"</f>
        <v>广东省 茂名市 高州市 潘州街道</v>
      </c>
      <c r="N3211" s="1" t="str">
        <f t="shared" si="1056"/>
        <v>凡华云仓-城南圆通-抖音</v>
      </c>
      <c r="O3211" s="5" t="s">
        <v>3244</v>
      </c>
      <c r="P3211" s="6">
        <v>0.35</v>
      </c>
      <c r="Q3211" s="11">
        <v>2.2999999999999998</v>
      </c>
      <c r="R3211" s="11"/>
      <c r="S3211" s="11"/>
      <c r="T3211" s="11"/>
      <c r="U3211" s="11">
        <f t="shared" si="1057"/>
        <v>2.2999999999999998</v>
      </c>
      <c r="W3211">
        <v>2.5</v>
      </c>
      <c r="X3211" s="1" t="s">
        <v>18</v>
      </c>
    </row>
    <row r="3212" spans="1:24" x14ac:dyDescent="0.25">
      <c r="A3212" s="1" t="str">
        <f t="shared" si="1058"/>
        <v>卡卡杜-凤凰仓</v>
      </c>
      <c r="B3212" s="1" t="str">
        <f>"CK20241024101"</f>
        <v>CK20241024101</v>
      </c>
      <c r="C3212" s="1" t="str">
        <f>"DD2024102423300"</f>
        <v>DD2024102423300</v>
      </c>
      <c r="D3212" s="1" t="str">
        <f>"CK2024102416294"</f>
        <v>CK2024102416294</v>
      </c>
      <c r="E3212" s="1" t="str">
        <f>"6935372212216468682"</f>
        <v>6935372212216468682</v>
      </c>
      <c r="F3212" s="1" t="str">
        <f t="shared" si="1059"/>
        <v>花都四部-凤凰仓</v>
      </c>
      <c r="G3212" s="1" t="str">
        <f t="shared" si="1054"/>
        <v>卡卡杜个人护理店（抖店）</v>
      </c>
      <c r="H3212" s="1" t="str">
        <f t="shared" si="1060"/>
        <v>正常订单</v>
      </c>
      <c r="I3212" s="1" t="str">
        <f t="shared" si="1061"/>
        <v>已发货</v>
      </c>
      <c r="J3212" s="1" t="str">
        <f t="shared" si="1062"/>
        <v>3</v>
      </c>
      <c r="K3212" s="1">
        <v>2</v>
      </c>
      <c r="L3212" s="1" t="s">
        <v>80</v>
      </c>
      <c r="M3212" s="1" t="str">
        <f>"河南省 郑州市 新密市 刘寨镇"</f>
        <v>河南省 郑州市 新密市 刘寨镇</v>
      </c>
      <c r="N3212" s="1" t="str">
        <f t="shared" si="1056"/>
        <v>凡华云仓-城南圆通-抖音</v>
      </c>
      <c r="O3212" s="5" t="s">
        <v>3245</v>
      </c>
      <c r="P3212" s="6">
        <v>0.35</v>
      </c>
      <c r="Q3212" s="11">
        <v>2.2999999999999998</v>
      </c>
      <c r="R3212" s="11"/>
      <c r="S3212" s="11"/>
      <c r="T3212" s="11"/>
      <c r="U3212" s="11">
        <f t="shared" si="1057"/>
        <v>2.2999999999999998</v>
      </c>
      <c r="W3212">
        <v>2.5</v>
      </c>
      <c r="X3212" s="1" t="s">
        <v>80</v>
      </c>
    </row>
    <row r="3213" spans="1:24" x14ac:dyDescent="0.25">
      <c r="A3213" s="1" t="str">
        <f t="shared" si="1058"/>
        <v>卡卡杜-凤凰仓</v>
      </c>
      <c r="B3213" s="1" t="str">
        <f>"CK2024102436"</f>
        <v>CK2024102436</v>
      </c>
      <c r="C3213" s="1" t="str">
        <f>"DD2024102423233"</f>
        <v>DD2024102423233</v>
      </c>
      <c r="D3213" s="1" t="str">
        <f>"CK2024102416293"</f>
        <v>CK2024102416293</v>
      </c>
      <c r="E3213" s="1" t="str">
        <f>"6935405898439333410"</f>
        <v>6935405898439333410</v>
      </c>
      <c r="F3213" s="1" t="str">
        <f t="shared" si="1059"/>
        <v>花都四部-凤凰仓</v>
      </c>
      <c r="G3213" s="1" t="str">
        <f t="shared" si="1054"/>
        <v>卡卡杜个人护理店（抖店）</v>
      </c>
      <c r="H3213" s="1" t="str">
        <f t="shared" si="1060"/>
        <v>正常订单</v>
      </c>
      <c r="I3213" s="1" t="str">
        <f t="shared" si="1061"/>
        <v>已发货</v>
      </c>
      <c r="J3213" s="1" t="str">
        <f t="shared" si="1062"/>
        <v>3</v>
      </c>
      <c r="K3213" s="1">
        <v>2</v>
      </c>
      <c r="L3213" s="1" t="s">
        <v>41</v>
      </c>
      <c r="M3213" s="1" t="str">
        <f>"湖北省 鄂州市 鄂城区 凤凰街道"</f>
        <v>湖北省 鄂州市 鄂城区 凤凰街道</v>
      </c>
      <c r="N3213" s="1" t="str">
        <f t="shared" si="1056"/>
        <v>凡华云仓-城南圆通-抖音</v>
      </c>
      <c r="O3213" s="5" t="s">
        <v>3246</v>
      </c>
      <c r="P3213" s="6">
        <v>0.35</v>
      </c>
      <c r="Q3213" s="11">
        <v>2.2999999999999998</v>
      </c>
      <c r="R3213" s="11"/>
      <c r="S3213" s="11"/>
      <c r="T3213" s="11"/>
      <c r="U3213" s="11">
        <f t="shared" si="1057"/>
        <v>2.2999999999999998</v>
      </c>
      <c r="W3213">
        <v>2.5</v>
      </c>
      <c r="X3213" s="1" t="s">
        <v>41</v>
      </c>
    </row>
    <row r="3214" spans="1:24" x14ac:dyDescent="0.25">
      <c r="A3214" s="1" t="str">
        <f t="shared" si="1058"/>
        <v>卡卡杜-凤凰仓</v>
      </c>
      <c r="B3214" s="1" t="str">
        <f>"CK2024102438"</f>
        <v>CK2024102438</v>
      </c>
      <c r="C3214" s="1" t="str">
        <f>"DD2024102423234"</f>
        <v>DD2024102423234</v>
      </c>
      <c r="D3214" s="1" t="str">
        <f>"CK2024102416286"</f>
        <v>CK2024102416286</v>
      </c>
      <c r="E3214" s="1" t="str">
        <f>"6935392130159285904"</f>
        <v>6935392130159285904</v>
      </c>
      <c r="F3214" s="1" t="str">
        <f t="shared" si="1059"/>
        <v>花都四部-凤凰仓</v>
      </c>
      <c r="G3214" s="1" t="str">
        <f t="shared" si="1054"/>
        <v>卡卡杜个人护理店（抖店）</v>
      </c>
      <c r="H3214" s="1" t="str">
        <f t="shared" si="1060"/>
        <v>正常订单</v>
      </c>
      <c r="I3214" s="1" t="str">
        <f t="shared" si="1061"/>
        <v>已发货</v>
      </c>
      <c r="J3214" s="1" t="str">
        <f t="shared" si="1062"/>
        <v>3</v>
      </c>
      <c r="K3214" s="1">
        <v>2</v>
      </c>
      <c r="L3214" s="1" t="s">
        <v>18</v>
      </c>
      <c r="M3214" s="1" t="str">
        <f>"广东省 广州市 番禺区 大龙街道"</f>
        <v>广东省 广州市 番禺区 大龙街道</v>
      </c>
      <c r="N3214" s="1" t="str">
        <f t="shared" si="1056"/>
        <v>凡华云仓-城南圆通-抖音</v>
      </c>
      <c r="O3214" s="5" t="s">
        <v>3247</v>
      </c>
      <c r="P3214" s="6">
        <v>0.35</v>
      </c>
      <c r="Q3214" s="11">
        <v>2.2999999999999998</v>
      </c>
      <c r="R3214" s="11"/>
      <c r="S3214" s="11"/>
      <c r="T3214" s="11"/>
      <c r="U3214" s="11">
        <f t="shared" si="1057"/>
        <v>2.2999999999999998</v>
      </c>
      <c r="W3214">
        <v>2.5</v>
      </c>
      <c r="X3214" s="1" t="s">
        <v>18</v>
      </c>
    </row>
    <row r="3215" spans="1:24" x14ac:dyDescent="0.25">
      <c r="A3215" s="1" t="str">
        <f t="shared" si="1058"/>
        <v>卡卡杜-凤凰仓</v>
      </c>
      <c r="B3215" s="1" t="str">
        <f>"CK2024102452"</f>
        <v>CK2024102452</v>
      </c>
      <c r="C3215" s="1" t="str">
        <f>"DD2024102423250"</f>
        <v>DD2024102423250</v>
      </c>
      <c r="D3215" s="1" t="str">
        <f>"CK2024102416283"</f>
        <v>CK2024102416283</v>
      </c>
      <c r="E3215" s="1" t="str">
        <f>"6935403304176391633"</f>
        <v>6935403304176391633</v>
      </c>
      <c r="F3215" s="1" t="str">
        <f t="shared" si="1059"/>
        <v>花都四部-凤凰仓</v>
      </c>
      <c r="G3215" s="1" t="str">
        <f t="shared" si="1054"/>
        <v>卡卡杜个人护理店（抖店）</v>
      </c>
      <c r="H3215" s="1" t="str">
        <f t="shared" si="1060"/>
        <v>正常订单</v>
      </c>
      <c r="I3215" s="1" t="str">
        <f t="shared" si="1061"/>
        <v>已发货</v>
      </c>
      <c r="J3215" s="1" t="str">
        <f t="shared" si="1062"/>
        <v>3</v>
      </c>
      <c r="K3215" s="1">
        <v>2</v>
      </c>
      <c r="L3215" s="1" t="s">
        <v>161</v>
      </c>
      <c r="M3215" s="1" t="str">
        <f>"四川省 南充市 顺庆区 华凤街道"</f>
        <v>四川省 南充市 顺庆区 华凤街道</v>
      </c>
      <c r="N3215" s="1" t="str">
        <f t="shared" si="1056"/>
        <v>凡华云仓-城南圆通-抖音</v>
      </c>
      <c r="O3215" s="5" t="s">
        <v>3248</v>
      </c>
      <c r="P3215" s="6">
        <v>0.35</v>
      </c>
      <c r="Q3215" s="11">
        <v>2.2999999999999998</v>
      </c>
      <c r="R3215" s="11"/>
      <c r="S3215" s="11"/>
      <c r="T3215" s="11"/>
      <c r="U3215" s="11">
        <f t="shared" si="1057"/>
        <v>2.2999999999999998</v>
      </c>
      <c r="W3215">
        <v>2.5</v>
      </c>
      <c r="X3215" s="1" t="s">
        <v>161</v>
      </c>
    </row>
    <row r="3216" spans="1:24" x14ac:dyDescent="0.25">
      <c r="A3216" s="1" t="str">
        <f t="shared" si="1058"/>
        <v>卡卡杜-凤凰仓</v>
      </c>
      <c r="B3216" s="1" t="str">
        <f>"CK2024102442"</f>
        <v>CK2024102442</v>
      </c>
      <c r="C3216" s="1" t="str">
        <f>"DD2024102423240"</f>
        <v>DD2024102423240</v>
      </c>
      <c r="D3216" s="1" t="str">
        <f>"CK2024102416280"</f>
        <v>CK2024102416280</v>
      </c>
      <c r="E3216" s="1" t="str">
        <f>"6935372167607490149"</f>
        <v>6935372167607490149</v>
      </c>
      <c r="F3216" s="1" t="str">
        <f t="shared" si="1059"/>
        <v>花都四部-凤凰仓</v>
      </c>
      <c r="G3216" s="1" t="str">
        <f t="shared" si="1054"/>
        <v>卡卡杜个人护理店（抖店）</v>
      </c>
      <c r="H3216" s="1" t="str">
        <f t="shared" si="1060"/>
        <v>正常订单</v>
      </c>
      <c r="I3216" s="1" t="str">
        <f t="shared" si="1061"/>
        <v>已发货</v>
      </c>
      <c r="J3216" s="1" t="str">
        <f t="shared" si="1062"/>
        <v>3</v>
      </c>
      <c r="K3216" s="1">
        <v>2</v>
      </c>
      <c r="L3216" s="1" t="s">
        <v>96</v>
      </c>
      <c r="M3216" s="1" t="str">
        <f>"广西壮族自治区 崇左市 龙州县 龙州镇"</f>
        <v>广西壮族自治区 崇左市 龙州县 龙州镇</v>
      </c>
      <c r="N3216" s="1" t="str">
        <f t="shared" si="1056"/>
        <v>凡华云仓-城南圆通-抖音</v>
      </c>
      <c r="O3216" s="5" t="s">
        <v>3249</v>
      </c>
      <c r="P3216" s="6">
        <v>0.35</v>
      </c>
      <c r="Q3216" s="11">
        <v>2.2999999999999998</v>
      </c>
      <c r="R3216" s="11"/>
      <c r="S3216" s="11"/>
      <c r="T3216" s="11"/>
      <c r="U3216" s="11">
        <f t="shared" si="1057"/>
        <v>2.2999999999999998</v>
      </c>
      <c r="W3216">
        <v>2.5</v>
      </c>
      <c r="X3216" s="1" t="s">
        <v>96</v>
      </c>
    </row>
    <row r="3217" spans="1:24" x14ac:dyDescent="0.25">
      <c r="A3217" s="1" t="str">
        <f t="shared" si="1058"/>
        <v>卡卡杜-凤凰仓</v>
      </c>
      <c r="B3217" s="1" t="str">
        <f>"CK20241024113"</f>
        <v>CK20241024113</v>
      </c>
      <c r="C3217" s="1" t="str">
        <f>"DD2024102423311"</f>
        <v>DD2024102423311</v>
      </c>
      <c r="D3217" s="1" t="str">
        <f>"CK2024102416277"</f>
        <v>CK2024102416277</v>
      </c>
      <c r="E3217" s="1" t="str">
        <f>"6935394939550504415"</f>
        <v>6935394939550504415</v>
      </c>
      <c r="F3217" s="1" t="str">
        <f t="shared" si="1059"/>
        <v>花都四部-凤凰仓</v>
      </c>
      <c r="G3217" s="1" t="str">
        <f t="shared" si="1054"/>
        <v>卡卡杜个人护理店（抖店）</v>
      </c>
      <c r="H3217" s="1" t="str">
        <f t="shared" si="1060"/>
        <v>正常订单</v>
      </c>
      <c r="I3217" s="1" t="str">
        <f t="shared" si="1061"/>
        <v>已发货</v>
      </c>
      <c r="J3217" s="1" t="str">
        <f t="shared" si="1062"/>
        <v>3</v>
      </c>
      <c r="K3217" s="1">
        <v>2</v>
      </c>
      <c r="L3217" s="1" t="s">
        <v>20</v>
      </c>
      <c r="M3217" s="1" t="str">
        <f>"浙江省 湖州市 吴兴区 织里镇"</f>
        <v>浙江省 湖州市 吴兴区 织里镇</v>
      </c>
      <c r="N3217" s="1" t="str">
        <f t="shared" si="1056"/>
        <v>凡华云仓-城南圆通-抖音</v>
      </c>
      <c r="O3217" s="5" t="s">
        <v>3250</v>
      </c>
      <c r="P3217" s="6">
        <v>0.35</v>
      </c>
      <c r="Q3217" s="11">
        <v>2.2999999999999998</v>
      </c>
      <c r="R3217" s="11"/>
      <c r="S3217" s="11"/>
      <c r="T3217" s="11"/>
      <c r="U3217" s="11">
        <f t="shared" si="1057"/>
        <v>2.2999999999999998</v>
      </c>
      <c r="W3217">
        <v>2.5</v>
      </c>
      <c r="X3217" s="1" t="s">
        <v>20</v>
      </c>
    </row>
    <row r="3218" spans="1:24" x14ac:dyDescent="0.25">
      <c r="A3218" s="1" t="str">
        <f t="shared" si="1058"/>
        <v>卡卡杜-凤凰仓</v>
      </c>
      <c r="B3218" s="1" t="str">
        <f>"CK20241024112"</f>
        <v>CK20241024112</v>
      </c>
      <c r="C3218" s="1" t="str">
        <f>"DD2024102423310"</f>
        <v>DD2024102423310</v>
      </c>
      <c r="D3218" s="1" t="str">
        <f>"CK2024102416266"</f>
        <v>CK2024102416266</v>
      </c>
      <c r="E3218" s="1" t="str">
        <f>"6935405774945457663"</f>
        <v>6935405774945457663</v>
      </c>
      <c r="F3218" s="1" t="str">
        <f t="shared" si="1059"/>
        <v>花都四部-凤凰仓</v>
      </c>
      <c r="G3218" s="1" t="str">
        <f t="shared" si="1054"/>
        <v>卡卡杜个人护理店（抖店）</v>
      </c>
      <c r="H3218" s="1" t="str">
        <f t="shared" si="1060"/>
        <v>正常订单</v>
      </c>
      <c r="I3218" s="1" t="str">
        <f t="shared" si="1061"/>
        <v>已发货</v>
      </c>
      <c r="J3218" s="1" t="str">
        <f t="shared" si="1062"/>
        <v>3</v>
      </c>
      <c r="K3218" s="1">
        <v>2</v>
      </c>
      <c r="L3218" s="1" t="s">
        <v>32</v>
      </c>
      <c r="M3218" s="1" t="str">
        <f>"陕西省 咸阳市 渭城区 周陵街道"</f>
        <v>陕西省 咸阳市 渭城区 周陵街道</v>
      </c>
      <c r="N3218" s="1" t="str">
        <f t="shared" si="1056"/>
        <v>凡华云仓-城南圆通-抖音</v>
      </c>
      <c r="O3218" s="5" t="s">
        <v>3251</v>
      </c>
      <c r="P3218" s="6">
        <v>0.35</v>
      </c>
      <c r="Q3218" s="11">
        <v>2.2999999999999998</v>
      </c>
      <c r="R3218" s="11"/>
      <c r="S3218" s="11"/>
      <c r="T3218" s="11"/>
      <c r="U3218" s="11">
        <f t="shared" si="1057"/>
        <v>2.2999999999999998</v>
      </c>
      <c r="W3218">
        <v>2.5</v>
      </c>
      <c r="X3218" s="1" t="s">
        <v>32</v>
      </c>
    </row>
    <row r="3219" spans="1:24" x14ac:dyDescent="0.25">
      <c r="A3219" s="1" t="str">
        <f t="shared" si="1058"/>
        <v>卡卡杜-凤凰仓</v>
      </c>
      <c r="B3219" s="1" t="str">
        <f>"CK20241024115"</f>
        <v>CK20241024115</v>
      </c>
      <c r="C3219" s="1" t="str">
        <f>"DD2024102423314"</f>
        <v>DD2024102423314</v>
      </c>
      <c r="D3219" s="1" t="str">
        <f>"CK2024102416264"</f>
        <v>CK2024102416264</v>
      </c>
      <c r="E3219" s="1" t="str">
        <f>"6935381492459116481"</f>
        <v>6935381492459116481</v>
      </c>
      <c r="F3219" s="1" t="str">
        <f t="shared" si="1059"/>
        <v>花都四部-凤凰仓</v>
      </c>
      <c r="G3219" s="1" t="str">
        <f t="shared" si="1054"/>
        <v>卡卡杜个人护理店（抖店）</v>
      </c>
      <c r="H3219" s="1" t="str">
        <f t="shared" si="1060"/>
        <v>正常订单</v>
      </c>
      <c r="I3219" s="1" t="str">
        <f t="shared" si="1061"/>
        <v>已发货</v>
      </c>
      <c r="J3219" s="1" t="str">
        <f t="shared" si="1062"/>
        <v>3</v>
      </c>
      <c r="K3219" s="1">
        <v>2</v>
      </c>
      <c r="L3219" s="1" t="s">
        <v>24</v>
      </c>
      <c r="M3219" s="1" t="str">
        <f>"福建省 泉州市 德化县 浔中镇"</f>
        <v>福建省 泉州市 德化县 浔中镇</v>
      </c>
      <c r="N3219" s="1" t="str">
        <f t="shared" si="1056"/>
        <v>凡华云仓-城南圆通-抖音</v>
      </c>
      <c r="O3219" s="5" t="s">
        <v>3252</v>
      </c>
      <c r="P3219" s="6">
        <v>0.35</v>
      </c>
      <c r="Q3219" s="11">
        <v>2.2999999999999998</v>
      </c>
      <c r="R3219" s="11"/>
      <c r="S3219" s="11"/>
      <c r="T3219" s="11"/>
      <c r="U3219" s="11">
        <f t="shared" si="1057"/>
        <v>2.2999999999999998</v>
      </c>
      <c r="W3219">
        <v>2.5</v>
      </c>
      <c r="X3219" s="1" t="s">
        <v>24</v>
      </c>
    </row>
    <row r="3220" spans="1:24" x14ac:dyDescent="0.25">
      <c r="A3220" s="1" t="str">
        <f t="shared" si="1058"/>
        <v>卡卡杜-凤凰仓</v>
      </c>
      <c r="B3220" s="1" t="str">
        <f>"CK2024102317601-1"</f>
        <v>CK2024102317601-1</v>
      </c>
      <c r="C3220" s="1" t="str">
        <f>"DD2024102361590"</f>
        <v>DD2024102361590</v>
      </c>
      <c r="D3220" s="1" t="str">
        <f>"CK2024102353175"</f>
        <v>CK2024102353175</v>
      </c>
      <c r="E3220" s="1" t="str">
        <f>"KKD20241023YP004"</f>
        <v>KKD20241023YP004</v>
      </c>
      <c r="F3220" s="1" t="str">
        <f t="shared" si="1059"/>
        <v>花都四部-凤凰仓</v>
      </c>
      <c r="G3220" s="1" t="str">
        <f>"卡卡杜全欣样品"</f>
        <v>卡卡杜全欣样品</v>
      </c>
      <c r="H3220" s="1" t="str">
        <f t="shared" si="1060"/>
        <v>正常订单</v>
      </c>
      <c r="I3220" s="1" t="str">
        <f t="shared" si="1061"/>
        <v>已发货</v>
      </c>
      <c r="J3220" s="1" t="str">
        <f>"15"</f>
        <v>15</v>
      </c>
      <c r="K3220" s="1">
        <v>10</v>
      </c>
      <c r="L3220" s="1" t="s">
        <v>109</v>
      </c>
      <c r="M3220" s="1" t="str">
        <f>"山西省 晋城市 城区 "</f>
        <v xml:space="preserve">山西省 晋城市 城区 </v>
      </c>
      <c r="N3220" s="1" t="str">
        <f t="shared" ref="N3220:N3223" si="1063">"凡华云仓-城南圆通-淘宝"</f>
        <v>凡华云仓-城南圆通-淘宝</v>
      </c>
      <c r="O3220" s="3" t="s">
        <v>3253</v>
      </c>
      <c r="P3220" s="6">
        <v>1.62</v>
      </c>
      <c r="Q3220" s="11">
        <f t="shared" ref="Q3220:Q3223" si="1064">CEILING(P3220-0.5,0.1)*10*0.15+2.3</f>
        <v>4.0999999999999996</v>
      </c>
      <c r="R3220" s="11">
        <f>(K3220-3)*0.1</f>
        <v>0.70000000000000007</v>
      </c>
      <c r="S3220" s="11">
        <v>0.15</v>
      </c>
      <c r="T3220" s="11"/>
      <c r="U3220" s="11">
        <f t="shared" si="1057"/>
        <v>4.9499999999999993</v>
      </c>
      <c r="V3220" t="s">
        <v>15</v>
      </c>
      <c r="W3220">
        <v>4.95</v>
      </c>
      <c r="X3220" s="1" t="s">
        <v>109</v>
      </c>
    </row>
    <row r="3221" spans="1:24" x14ac:dyDescent="0.25">
      <c r="A3221" s="1" t="str">
        <f t="shared" si="1058"/>
        <v>卡卡杜-凤凰仓</v>
      </c>
      <c r="B3221" s="1" t="str">
        <f>"CK2024102318191"</f>
        <v>CK2024102318191</v>
      </c>
      <c r="C3221" s="1" t="str">
        <f>"DD2024102358037"</f>
        <v>DD2024102358037</v>
      </c>
      <c r="D3221" s="1" t="str">
        <f>"CK2024102351483"</f>
        <v>CK2024102351483</v>
      </c>
      <c r="E3221" s="1" t="str">
        <f>"KKD20241023QX002-1"</f>
        <v>KKD20241023QX002-1</v>
      </c>
      <c r="F3221" s="1" t="str">
        <f t="shared" si="1059"/>
        <v>花都四部-凤凰仓</v>
      </c>
      <c r="G3221" s="1" t="str">
        <f t="shared" ref="G3221:G3223" si="1065">"卡卡杜（全欣）"</f>
        <v>卡卡杜（全欣）</v>
      </c>
      <c r="H3221" s="1" t="str">
        <f t="shared" si="1060"/>
        <v>正常订单</v>
      </c>
      <c r="I3221" s="1" t="str">
        <f t="shared" si="1061"/>
        <v>已发货</v>
      </c>
      <c r="J3221" s="1" t="str">
        <f>"3"</f>
        <v>3</v>
      </c>
      <c r="K3221" s="1">
        <v>2</v>
      </c>
      <c r="L3221" s="1" t="s">
        <v>30</v>
      </c>
      <c r="M3221" s="1" t="str">
        <f>"山东省 滨州市 无棣县 "</f>
        <v xml:space="preserve">山东省 滨州市 无棣县 </v>
      </c>
      <c r="N3221" s="1" t="str">
        <f t="shared" si="1063"/>
        <v>凡华云仓-城南圆通-淘宝</v>
      </c>
      <c r="O3221" s="5" t="s">
        <v>3254</v>
      </c>
      <c r="P3221" s="6">
        <v>0.35</v>
      </c>
      <c r="Q3221" s="11">
        <v>2.2999999999999998</v>
      </c>
      <c r="R3221" s="11"/>
      <c r="S3221" s="11"/>
      <c r="T3221" s="11"/>
      <c r="U3221" s="11">
        <f t="shared" si="1057"/>
        <v>2.2999999999999998</v>
      </c>
      <c r="W3221">
        <v>2.5</v>
      </c>
      <c r="X3221" s="1" t="s">
        <v>30</v>
      </c>
    </row>
    <row r="3222" spans="1:24" x14ac:dyDescent="0.25">
      <c r="A3222" s="1" t="str">
        <f t="shared" si="1058"/>
        <v>卡卡杜-凤凰仓</v>
      </c>
      <c r="B3222" s="1" t="str">
        <f>"CK2024102318134"</f>
        <v>CK2024102318134</v>
      </c>
      <c r="C3222" s="1" t="str">
        <f>"DD2024102357310"</f>
        <v>DD2024102357310</v>
      </c>
      <c r="D3222" s="1" t="str">
        <f>"CK2024102351482"</f>
        <v>CK2024102351482</v>
      </c>
      <c r="E3222" s="1" t="str">
        <f>"KKD20241023QX003"</f>
        <v>KKD20241023QX003</v>
      </c>
      <c r="F3222" s="1" t="str">
        <f t="shared" si="1059"/>
        <v>花都四部-凤凰仓</v>
      </c>
      <c r="G3222" s="1" t="str">
        <f t="shared" si="1065"/>
        <v>卡卡杜（全欣）</v>
      </c>
      <c r="H3222" s="1" t="str">
        <f t="shared" si="1060"/>
        <v>正常订单</v>
      </c>
      <c r="I3222" s="1" t="str">
        <f t="shared" si="1061"/>
        <v>已发货</v>
      </c>
      <c r="J3222" s="1" t="str">
        <f>"5"</f>
        <v>5</v>
      </c>
      <c r="K3222" s="1">
        <v>2</v>
      </c>
      <c r="L3222" s="1" t="s">
        <v>41</v>
      </c>
      <c r="M3222" s="1" t="str">
        <f>"湖北省 恩施土家族苗族自治州 利川市 "</f>
        <v xml:space="preserve">湖北省 恩施土家族苗族自治州 利川市 </v>
      </c>
      <c r="N3222" s="1" t="str">
        <f t="shared" si="1063"/>
        <v>凡华云仓-城南圆通-淘宝</v>
      </c>
      <c r="O3222" s="5" t="s">
        <v>3255</v>
      </c>
      <c r="P3222" s="6">
        <v>0.59</v>
      </c>
      <c r="Q3222" s="11">
        <f t="shared" si="1064"/>
        <v>2.4499999999999997</v>
      </c>
      <c r="R3222" s="11"/>
      <c r="S3222" s="11"/>
      <c r="T3222" s="11"/>
      <c r="U3222" s="11">
        <f t="shared" si="1057"/>
        <v>2.4499999999999997</v>
      </c>
      <c r="V3222" t="s">
        <v>15</v>
      </c>
      <c r="W3222">
        <v>2.4500000000000002</v>
      </c>
      <c r="X3222" s="1" t="s">
        <v>41</v>
      </c>
    </row>
    <row r="3223" spans="1:24" x14ac:dyDescent="0.25">
      <c r="A3223" s="1" t="str">
        <f t="shared" si="1058"/>
        <v>卡卡杜-凤凰仓</v>
      </c>
      <c r="B3223" s="1" t="str">
        <f>"CK2024102318135"</f>
        <v>CK2024102318135</v>
      </c>
      <c r="C3223" s="1" t="str">
        <f>"DD2024102357311"</f>
        <v>DD2024102357311</v>
      </c>
      <c r="D3223" s="1" t="str">
        <f>"CK2024102351481"</f>
        <v>CK2024102351481</v>
      </c>
      <c r="E3223" s="1" t="str">
        <f>"KKD20241023QX001"</f>
        <v>KKD20241023QX001</v>
      </c>
      <c r="F3223" s="1" t="str">
        <f t="shared" si="1059"/>
        <v>花都四部-凤凰仓</v>
      </c>
      <c r="G3223" s="1" t="str">
        <f t="shared" si="1065"/>
        <v>卡卡杜（全欣）</v>
      </c>
      <c r="H3223" s="1" t="str">
        <f t="shared" si="1060"/>
        <v>正常订单</v>
      </c>
      <c r="I3223" s="1" t="str">
        <f t="shared" si="1061"/>
        <v>已发货</v>
      </c>
      <c r="J3223" s="1" t="str">
        <f>"5"</f>
        <v>5</v>
      </c>
      <c r="K3223" s="1">
        <v>2</v>
      </c>
      <c r="L3223" s="1" t="s">
        <v>36</v>
      </c>
      <c r="M3223" s="1" t="str">
        <f>"安徽省 蚌埠市 五河县 "</f>
        <v xml:space="preserve">安徽省 蚌埠市 五河县 </v>
      </c>
      <c r="N3223" s="1" t="str">
        <f t="shared" si="1063"/>
        <v>凡华云仓-城南圆通-淘宝</v>
      </c>
      <c r="O3223" s="5" t="s">
        <v>3256</v>
      </c>
      <c r="P3223" s="6">
        <v>0.59</v>
      </c>
      <c r="Q3223" s="11">
        <f t="shared" si="1064"/>
        <v>2.4499999999999997</v>
      </c>
      <c r="R3223" s="11"/>
      <c r="S3223" s="11"/>
      <c r="T3223" s="11"/>
      <c r="U3223" s="11">
        <f t="shared" si="1057"/>
        <v>2.4499999999999997</v>
      </c>
      <c r="V3223" t="s">
        <v>15</v>
      </c>
      <c r="W3223">
        <v>2.4500000000000002</v>
      </c>
      <c r="X3223" s="1" t="s">
        <v>36</v>
      </c>
    </row>
    <row r="3224" spans="1:24" x14ac:dyDescent="0.25">
      <c r="A3224" s="1" t="str">
        <f t="shared" si="1058"/>
        <v>卡卡杜-凤凰仓</v>
      </c>
      <c r="B3224" s="1" t="str">
        <f>"CK2024102318136"</f>
        <v>CK2024102318136</v>
      </c>
      <c r="C3224" s="1" t="str">
        <f>"DD2024102357312"</f>
        <v>DD2024102357312</v>
      </c>
      <c r="D3224" s="1" t="str">
        <f>"CK2024102351479"</f>
        <v>CK2024102351479</v>
      </c>
      <c r="E3224" s="1" t="str">
        <f>"6935389505543345231"</f>
        <v>6935389505543345231</v>
      </c>
      <c r="F3224" s="1" t="str">
        <f t="shared" si="1059"/>
        <v>花都四部-凤凰仓</v>
      </c>
      <c r="G3224" s="1" t="str">
        <f>"卡卡杜个人护理店（抖店）"</f>
        <v>卡卡杜个人护理店（抖店）</v>
      </c>
      <c r="H3224" s="1" t="str">
        <f t="shared" si="1060"/>
        <v>正常订单</v>
      </c>
      <c r="I3224" s="1" t="str">
        <f t="shared" si="1061"/>
        <v>已发货</v>
      </c>
      <c r="J3224" s="1" t="str">
        <f t="shared" ref="J3224:J3229" si="1066">"3"</f>
        <v>3</v>
      </c>
      <c r="K3224" s="1">
        <v>2</v>
      </c>
      <c r="L3224" s="1" t="s">
        <v>18</v>
      </c>
      <c r="M3224" s="1" t="str">
        <f>"广东省 广州市 海珠区 南洲街道"</f>
        <v>广东省 广州市 海珠区 南洲街道</v>
      </c>
      <c r="N3224" s="1" t="str">
        <f>"凡华云仓-城南圆通-抖音"</f>
        <v>凡华云仓-城南圆通-抖音</v>
      </c>
      <c r="O3224" s="5" t="s">
        <v>3257</v>
      </c>
      <c r="P3224" s="6">
        <v>0.35</v>
      </c>
      <c r="Q3224" s="11">
        <v>2.2999999999999998</v>
      </c>
      <c r="R3224" s="11"/>
      <c r="S3224" s="11"/>
      <c r="T3224" s="11"/>
      <c r="U3224" s="11">
        <f t="shared" si="1057"/>
        <v>2.2999999999999998</v>
      </c>
      <c r="W3224">
        <v>2.5</v>
      </c>
      <c r="X3224" s="1" t="s">
        <v>18</v>
      </c>
    </row>
    <row r="3225" spans="1:24" x14ac:dyDescent="0.25">
      <c r="A3225" s="1" t="str">
        <f t="shared" si="1058"/>
        <v>卡卡杜-凤凰仓</v>
      </c>
      <c r="B3225" s="1" t="str">
        <f>"CK2024102317610"</f>
        <v>CK2024102317610</v>
      </c>
      <c r="C3225" s="1" t="str">
        <f>"DD2024102355692"</f>
        <v>DD2024102355692</v>
      </c>
      <c r="D3225" s="1" t="str">
        <f>"CK2024102347225"</f>
        <v>CK2024102347225</v>
      </c>
      <c r="E3225" s="1" t="str">
        <f>"3723509145914967296"</f>
        <v>3723509145914967296</v>
      </c>
      <c r="F3225" s="1" t="str">
        <f t="shared" si="1059"/>
        <v>花都四部-凤凰仓</v>
      </c>
      <c r="G3225" s="1" t="str">
        <f>"卡卡杜企业店（视频号）"</f>
        <v>卡卡杜企业店（视频号）</v>
      </c>
      <c r="H3225" s="1" t="str">
        <f t="shared" si="1060"/>
        <v>正常订单</v>
      </c>
      <c r="I3225" s="1" t="str">
        <f t="shared" si="1061"/>
        <v>已发货</v>
      </c>
      <c r="J3225" s="1" t="str">
        <f>"2"</f>
        <v>2</v>
      </c>
      <c r="K3225" s="1">
        <v>2</v>
      </c>
      <c r="L3225" s="1" t="s">
        <v>105</v>
      </c>
      <c r="M3225" s="1" t="str">
        <f>"北京 北京市 朝阳区 "</f>
        <v xml:space="preserve">北京 北京市 朝阳区 </v>
      </c>
      <c r="N3225" s="1" t="str">
        <f>"凡华云仓-城南圆通-微信视频号"</f>
        <v>凡华云仓-城南圆通-微信视频号</v>
      </c>
      <c r="O3225" s="5" t="s">
        <v>3258</v>
      </c>
      <c r="P3225" s="6">
        <v>0.17</v>
      </c>
      <c r="Q3225" s="11">
        <v>2</v>
      </c>
      <c r="R3225" s="11"/>
      <c r="S3225" s="11"/>
      <c r="T3225" s="11"/>
      <c r="U3225" s="11">
        <f t="shared" si="1057"/>
        <v>2</v>
      </c>
      <c r="W3225">
        <v>2.2000000000000002</v>
      </c>
      <c r="X3225" s="1" t="s">
        <v>105</v>
      </c>
    </row>
    <row r="3226" spans="1:24" x14ac:dyDescent="0.25">
      <c r="A3226" s="1" t="str">
        <f t="shared" si="1058"/>
        <v>卡卡杜-凤凰仓</v>
      </c>
      <c r="B3226" s="1" t="str">
        <f>"CK2024102317611"</f>
        <v>CK2024102317611</v>
      </c>
      <c r="C3226" s="1" t="str">
        <f>"DD2024102355691"</f>
        <v>DD2024102355691</v>
      </c>
      <c r="D3226" s="1" t="str">
        <f>"CK2024102347224"</f>
        <v>CK2024102347224</v>
      </c>
      <c r="E3226" s="1" t="str">
        <f>"2429701940617615"</f>
        <v>2429701940617615</v>
      </c>
      <c r="F3226" s="1" t="str">
        <f t="shared" si="1059"/>
        <v>花都四部-凤凰仓</v>
      </c>
      <c r="G3226" s="1" t="str">
        <f t="shared" ref="G3226:G3230" si="1067">"卡卡杜佳旺专卖店（快手店）"</f>
        <v>卡卡杜佳旺专卖店（快手店）</v>
      </c>
      <c r="H3226" s="1" t="str">
        <f t="shared" si="1060"/>
        <v>正常订单</v>
      </c>
      <c r="I3226" s="1" t="str">
        <f t="shared" si="1061"/>
        <v>已发货</v>
      </c>
      <c r="J3226" s="1" t="str">
        <f>"2"</f>
        <v>2</v>
      </c>
      <c r="K3226" s="1">
        <v>2</v>
      </c>
      <c r="L3226" s="1" t="s">
        <v>66</v>
      </c>
      <c r="M3226" s="1" t="str">
        <f>"内蒙古自治区 呼伦贝尔市 莫力达瓦达斡尔族自治旗 尼尔基镇"</f>
        <v>内蒙古自治区 呼伦贝尔市 莫力达瓦达斡尔族自治旗 尼尔基镇</v>
      </c>
      <c r="N3226" s="1" t="str">
        <f t="shared" ref="N3226:N3230" si="1068">"凡华云仓-城南圆通-快手"</f>
        <v>凡华云仓-城南圆通-快手</v>
      </c>
      <c r="O3226" s="5" t="s">
        <v>3259</v>
      </c>
      <c r="P3226" s="6">
        <v>0.17</v>
      </c>
      <c r="Q3226" s="11">
        <v>2</v>
      </c>
      <c r="R3226" s="11"/>
      <c r="S3226" s="11"/>
      <c r="T3226" s="11"/>
      <c r="U3226" s="11">
        <f t="shared" si="1057"/>
        <v>2</v>
      </c>
      <c r="W3226">
        <v>2.2000000000000002</v>
      </c>
      <c r="X3226" s="1" t="s">
        <v>66</v>
      </c>
    </row>
    <row r="3227" spans="1:24" x14ac:dyDescent="0.25">
      <c r="A3227" s="1" t="str">
        <f t="shared" si="1058"/>
        <v>卡卡杜-凤凰仓</v>
      </c>
      <c r="B3227" s="1" t="str">
        <f>"CK2024102317608"</f>
        <v>CK2024102317608</v>
      </c>
      <c r="C3227" s="1" t="str">
        <f>"DD2024102355688"</f>
        <v>DD2024102355688</v>
      </c>
      <c r="D3227" s="1" t="str">
        <f>"CK2024102347223"</f>
        <v>CK2024102347223</v>
      </c>
      <c r="E3227" s="1" t="str">
        <f>"2429701630512316"</f>
        <v>2429701630512316</v>
      </c>
      <c r="F3227" s="1" t="str">
        <f t="shared" si="1059"/>
        <v>花都四部-凤凰仓</v>
      </c>
      <c r="G3227" s="1" t="str">
        <f t="shared" si="1067"/>
        <v>卡卡杜佳旺专卖店（快手店）</v>
      </c>
      <c r="H3227" s="1" t="str">
        <f t="shared" si="1060"/>
        <v>正常订单</v>
      </c>
      <c r="I3227" s="1" t="str">
        <f t="shared" si="1061"/>
        <v>已发货</v>
      </c>
      <c r="J3227" s="1" t="str">
        <f t="shared" si="1066"/>
        <v>3</v>
      </c>
      <c r="K3227" s="1">
        <v>3</v>
      </c>
      <c r="L3227" s="1" t="s">
        <v>20</v>
      </c>
      <c r="M3227" s="1" t="str">
        <f>"浙江省 绍兴市 越城区 稽山街道"</f>
        <v>浙江省 绍兴市 越城区 稽山街道</v>
      </c>
      <c r="N3227" s="1" t="str">
        <f t="shared" si="1068"/>
        <v>凡华云仓-城南圆通-快手</v>
      </c>
      <c r="O3227" s="5" t="s">
        <v>3260</v>
      </c>
      <c r="P3227" s="6">
        <v>0.34</v>
      </c>
      <c r="Q3227" s="11">
        <v>2.2999999999999998</v>
      </c>
      <c r="R3227" s="11"/>
      <c r="S3227" s="11"/>
      <c r="T3227" s="11"/>
      <c r="U3227" s="11">
        <f t="shared" si="1057"/>
        <v>2.2999999999999998</v>
      </c>
      <c r="W3227">
        <v>2.5</v>
      </c>
      <c r="X3227" s="1" t="s">
        <v>20</v>
      </c>
    </row>
    <row r="3228" spans="1:24" x14ac:dyDescent="0.25">
      <c r="A3228" s="1" t="str">
        <f t="shared" si="1058"/>
        <v>卡卡杜-凤凰仓</v>
      </c>
      <c r="B3228" s="1" t="str">
        <f>"CK2024102317607"</f>
        <v>CK2024102317607</v>
      </c>
      <c r="C3228" s="1" t="str">
        <f>"DD2024102355689"</f>
        <v>DD2024102355689</v>
      </c>
      <c r="D3228" s="1" t="str">
        <f>"CK2024102347222"</f>
        <v>CK2024102347222</v>
      </c>
      <c r="E3228" s="1" t="str">
        <f>"2429701856890886"</f>
        <v>2429701856890886</v>
      </c>
      <c r="F3228" s="1" t="str">
        <f t="shared" si="1059"/>
        <v>花都四部-凤凰仓</v>
      </c>
      <c r="G3228" s="1" t="str">
        <f t="shared" si="1067"/>
        <v>卡卡杜佳旺专卖店（快手店）</v>
      </c>
      <c r="H3228" s="1" t="str">
        <f t="shared" si="1060"/>
        <v>正常订单</v>
      </c>
      <c r="I3228" s="1" t="str">
        <f t="shared" si="1061"/>
        <v>已发货</v>
      </c>
      <c r="J3228" s="1" t="str">
        <f t="shared" si="1066"/>
        <v>3</v>
      </c>
      <c r="K3228" s="1">
        <v>2</v>
      </c>
      <c r="L3228" s="1" t="s">
        <v>20</v>
      </c>
      <c r="M3228" s="1" t="str">
        <f>"浙江省 杭州市 临安区 锦城街道"</f>
        <v>浙江省 杭州市 临安区 锦城街道</v>
      </c>
      <c r="N3228" s="1" t="str">
        <f t="shared" si="1068"/>
        <v>凡华云仓-城南圆通-快手</v>
      </c>
      <c r="O3228" s="5" t="s">
        <v>3261</v>
      </c>
      <c r="P3228" s="6">
        <v>0.35</v>
      </c>
      <c r="Q3228" s="11">
        <v>2.2999999999999998</v>
      </c>
      <c r="R3228" s="11"/>
      <c r="S3228" s="11"/>
      <c r="T3228" s="11"/>
      <c r="U3228" s="11">
        <f t="shared" si="1057"/>
        <v>2.2999999999999998</v>
      </c>
      <c r="W3228">
        <v>2.5</v>
      </c>
      <c r="X3228" s="1" t="s">
        <v>20</v>
      </c>
    </row>
    <row r="3229" spans="1:24" x14ac:dyDescent="0.25">
      <c r="A3229" s="1" t="str">
        <f t="shared" si="1058"/>
        <v>卡卡杜-凤凰仓</v>
      </c>
      <c r="B3229" s="1" t="str">
        <f>"CK2024102317606"</f>
        <v>CK2024102317606</v>
      </c>
      <c r="C3229" s="1" t="str">
        <f>"DD2024102355687"</f>
        <v>DD2024102355687</v>
      </c>
      <c r="D3229" s="1" t="str">
        <f>"CK2024102347221"</f>
        <v>CK2024102347221</v>
      </c>
      <c r="E3229" s="1" t="str">
        <f>"2429702348673011"</f>
        <v>2429702348673011</v>
      </c>
      <c r="F3229" s="1" t="str">
        <f t="shared" si="1059"/>
        <v>花都四部-凤凰仓</v>
      </c>
      <c r="G3229" s="1" t="str">
        <f t="shared" si="1067"/>
        <v>卡卡杜佳旺专卖店（快手店）</v>
      </c>
      <c r="H3229" s="1" t="str">
        <f t="shared" si="1060"/>
        <v>正常订单</v>
      </c>
      <c r="I3229" s="1" t="str">
        <f t="shared" si="1061"/>
        <v>已发货</v>
      </c>
      <c r="J3229" s="1" t="str">
        <f t="shared" si="1066"/>
        <v>3</v>
      </c>
      <c r="K3229" s="1">
        <v>2</v>
      </c>
      <c r="L3229" s="1" t="s">
        <v>30</v>
      </c>
      <c r="M3229" s="1" t="str">
        <f>"山东省 潍坊市 寒亭区 朱里街道"</f>
        <v>山东省 潍坊市 寒亭区 朱里街道</v>
      </c>
      <c r="N3229" s="1" t="str">
        <f t="shared" si="1068"/>
        <v>凡华云仓-城南圆通-快手</v>
      </c>
      <c r="O3229" s="5" t="s">
        <v>3262</v>
      </c>
      <c r="P3229" s="6">
        <v>0.35</v>
      </c>
      <c r="Q3229" s="11">
        <v>2.2999999999999998</v>
      </c>
      <c r="R3229" s="11"/>
      <c r="S3229" s="11"/>
      <c r="T3229" s="11"/>
      <c r="U3229" s="11">
        <f t="shared" si="1057"/>
        <v>2.2999999999999998</v>
      </c>
      <c r="W3229">
        <v>2.5</v>
      </c>
      <c r="X3229" s="1" t="s">
        <v>30</v>
      </c>
    </row>
    <row r="3230" spans="1:24" x14ac:dyDescent="0.25">
      <c r="A3230" s="1" t="str">
        <f t="shared" si="1058"/>
        <v>卡卡杜-凤凰仓</v>
      </c>
      <c r="B3230" s="1" t="str">
        <f>"CK2024102317612"</f>
        <v>CK2024102317612</v>
      </c>
      <c r="C3230" s="1" t="str">
        <f>"DD2024102355884"</f>
        <v>DD2024102355884</v>
      </c>
      <c r="D3230" s="1" t="str">
        <f>"CK2024102347220"</f>
        <v>CK2024102347220</v>
      </c>
      <c r="E3230" s="1" t="str">
        <f>"2429701780843903"</f>
        <v>2429701780843903</v>
      </c>
      <c r="F3230" s="1" t="str">
        <f t="shared" si="1059"/>
        <v>花都四部-凤凰仓</v>
      </c>
      <c r="G3230" s="1" t="str">
        <f t="shared" si="1067"/>
        <v>卡卡杜佳旺专卖店（快手店）</v>
      </c>
      <c r="H3230" s="1" t="str">
        <f t="shared" si="1060"/>
        <v>正常订单</v>
      </c>
      <c r="I3230" s="1" t="str">
        <f t="shared" si="1061"/>
        <v>已发货</v>
      </c>
      <c r="J3230" s="1" t="str">
        <f t="shared" ref="J3230:J3234" si="1069">"5"</f>
        <v>5</v>
      </c>
      <c r="K3230" s="1">
        <v>2</v>
      </c>
      <c r="L3230" s="1" t="s">
        <v>32</v>
      </c>
      <c r="M3230" s="1" t="str">
        <f>"陕西省 咸阳市 渭城区 周陵街道"</f>
        <v>陕西省 咸阳市 渭城区 周陵街道</v>
      </c>
      <c r="N3230" s="1" t="str">
        <f t="shared" si="1068"/>
        <v>凡华云仓-城南圆通-快手</v>
      </c>
      <c r="O3230" s="5" t="s">
        <v>3263</v>
      </c>
      <c r="P3230" s="6">
        <v>0.59</v>
      </c>
      <c r="Q3230" s="11">
        <f t="shared" ref="Q3230:Q3239" si="1070">CEILING(P3230-0.5,0.1)*10*0.15+2.3</f>
        <v>2.4499999999999997</v>
      </c>
      <c r="R3230" s="11"/>
      <c r="S3230" s="11"/>
      <c r="T3230" s="11"/>
      <c r="U3230" s="11">
        <f t="shared" si="1057"/>
        <v>2.4499999999999997</v>
      </c>
      <c r="V3230" t="s">
        <v>15</v>
      </c>
      <c r="W3230">
        <v>2.4500000000000002</v>
      </c>
      <c r="X3230" s="1" t="s">
        <v>32</v>
      </c>
    </row>
    <row r="3231" spans="1:24" x14ac:dyDescent="0.25">
      <c r="A3231" s="1" t="str">
        <f t="shared" si="1058"/>
        <v>卡卡杜-凤凰仓</v>
      </c>
      <c r="B3231" s="1" t="str">
        <f>"CK2024102317597"</f>
        <v>CK2024102317597</v>
      </c>
      <c r="C3231" s="1" t="str">
        <f>"DD2024102355684"</f>
        <v>DD2024102355684</v>
      </c>
      <c r="D3231" s="1" t="str">
        <f>"CK2024102347210"</f>
        <v>CK2024102347210</v>
      </c>
      <c r="E3231" s="1" t="str">
        <f>"6935371889912321218"</f>
        <v>6935371889912321218</v>
      </c>
      <c r="F3231" s="1" t="str">
        <f t="shared" si="1059"/>
        <v>花都四部-凤凰仓</v>
      </c>
      <c r="G3231" s="1" t="str">
        <f t="shared" ref="G3231:G3233" si="1071">"卡卡杜个人护理店（抖店）"</f>
        <v>卡卡杜个人护理店（抖店）</v>
      </c>
      <c r="H3231" s="1" t="str">
        <f t="shared" si="1060"/>
        <v>正常订单</v>
      </c>
      <c r="I3231" s="1" t="str">
        <f t="shared" si="1061"/>
        <v>已发货</v>
      </c>
      <c r="J3231" s="1" t="str">
        <f>"3"</f>
        <v>3</v>
      </c>
      <c r="K3231" s="1">
        <v>3</v>
      </c>
      <c r="L3231" s="1" t="s">
        <v>54</v>
      </c>
      <c r="M3231" s="1" t="str">
        <f>"黑龙江省 齐齐哈尔市 建华区 中华街道"</f>
        <v>黑龙江省 齐齐哈尔市 建华区 中华街道</v>
      </c>
      <c r="N3231" s="1" t="str">
        <f t="shared" ref="N3231:N3233" si="1072">"凡华云仓-城南圆通-抖音"</f>
        <v>凡华云仓-城南圆通-抖音</v>
      </c>
      <c r="O3231" s="5" t="s">
        <v>3264</v>
      </c>
      <c r="P3231" s="6">
        <v>0.34</v>
      </c>
      <c r="Q3231" s="11">
        <v>2.2999999999999998</v>
      </c>
      <c r="R3231" s="11"/>
      <c r="S3231" s="11"/>
      <c r="T3231" s="11"/>
      <c r="U3231" s="11">
        <f t="shared" si="1057"/>
        <v>2.2999999999999998</v>
      </c>
      <c r="W3231">
        <v>2.5</v>
      </c>
      <c r="X3231" s="1" t="s">
        <v>54</v>
      </c>
    </row>
    <row r="3232" spans="1:24" x14ac:dyDescent="0.25">
      <c r="A3232" s="1" t="str">
        <f t="shared" si="1058"/>
        <v>卡卡杜-凤凰仓</v>
      </c>
      <c r="B3232" s="1" t="str">
        <f>"CK2024102317609"</f>
        <v>CK2024102317609</v>
      </c>
      <c r="C3232" s="1" t="str">
        <f>"DD2024102355693"</f>
        <v>DD2024102355693</v>
      </c>
      <c r="D3232" s="1" t="str">
        <f>"CK2024102347209"</f>
        <v>CK2024102347209</v>
      </c>
      <c r="E3232" s="1" t="str">
        <f>"6935377012616730308"</f>
        <v>6935377012616730308</v>
      </c>
      <c r="F3232" s="1" t="str">
        <f t="shared" si="1059"/>
        <v>花都四部-凤凰仓</v>
      </c>
      <c r="G3232" s="1" t="str">
        <f t="shared" si="1071"/>
        <v>卡卡杜个人护理店（抖店）</v>
      </c>
      <c r="H3232" s="1" t="str">
        <f t="shared" si="1060"/>
        <v>正常订单</v>
      </c>
      <c r="I3232" s="1" t="str">
        <f t="shared" si="1061"/>
        <v>已发货</v>
      </c>
      <c r="J3232" s="1" t="str">
        <f>"3"</f>
        <v>3</v>
      </c>
      <c r="K3232" s="1">
        <v>2</v>
      </c>
      <c r="L3232" s="1" t="s">
        <v>32</v>
      </c>
      <c r="M3232" s="1" t="str">
        <f>"陕西省 榆林市 榆阳区 长城路街道"</f>
        <v>陕西省 榆林市 榆阳区 长城路街道</v>
      </c>
      <c r="N3232" s="1" t="str">
        <f t="shared" si="1072"/>
        <v>凡华云仓-城南圆通-抖音</v>
      </c>
      <c r="O3232" s="5" t="s">
        <v>3265</v>
      </c>
      <c r="P3232" s="6">
        <v>0.35</v>
      </c>
      <c r="Q3232" s="11">
        <v>2.2999999999999998</v>
      </c>
      <c r="R3232" s="11"/>
      <c r="S3232" s="11"/>
      <c r="T3232" s="11"/>
      <c r="U3232" s="11">
        <f t="shared" si="1057"/>
        <v>2.2999999999999998</v>
      </c>
      <c r="W3232">
        <v>2.5</v>
      </c>
      <c r="X3232" s="1" t="s">
        <v>32</v>
      </c>
    </row>
    <row r="3233" spans="1:24" x14ac:dyDescent="0.25">
      <c r="A3233" s="1" t="str">
        <f t="shared" si="1058"/>
        <v>卡卡杜-凤凰仓</v>
      </c>
      <c r="B3233" s="1" t="str">
        <f>"CK2024102317605"</f>
        <v>CK2024102317605</v>
      </c>
      <c r="C3233" s="1" t="str">
        <f>"DD2024102355685"</f>
        <v>DD2024102355685</v>
      </c>
      <c r="D3233" s="1" t="str">
        <f>"CK2024102347208"</f>
        <v>CK2024102347208</v>
      </c>
      <c r="E3233" s="1" t="str">
        <f>"6935384909136271160"</f>
        <v>6935384909136271160</v>
      </c>
      <c r="F3233" s="1" t="str">
        <f t="shared" si="1059"/>
        <v>花都四部-凤凰仓</v>
      </c>
      <c r="G3233" s="1" t="str">
        <f t="shared" si="1071"/>
        <v>卡卡杜个人护理店（抖店）</v>
      </c>
      <c r="H3233" s="1" t="str">
        <f t="shared" si="1060"/>
        <v>正常订单</v>
      </c>
      <c r="I3233" s="1" t="str">
        <f t="shared" si="1061"/>
        <v>已发货</v>
      </c>
      <c r="J3233" s="1" t="str">
        <f t="shared" si="1069"/>
        <v>5</v>
      </c>
      <c r="K3233" s="1">
        <v>2</v>
      </c>
      <c r="L3233" s="1" t="s">
        <v>20</v>
      </c>
      <c r="M3233" s="1" t="str">
        <f>"浙江省 台州市 椒江区 白云街道"</f>
        <v>浙江省 台州市 椒江区 白云街道</v>
      </c>
      <c r="N3233" s="1" t="str">
        <f t="shared" si="1072"/>
        <v>凡华云仓-城南圆通-抖音</v>
      </c>
      <c r="O3233" s="5" t="s">
        <v>3266</v>
      </c>
      <c r="P3233" s="6">
        <v>0.59</v>
      </c>
      <c r="Q3233" s="11">
        <f t="shared" si="1070"/>
        <v>2.4499999999999997</v>
      </c>
      <c r="R3233" s="11"/>
      <c r="S3233" s="11"/>
      <c r="T3233" s="11"/>
      <c r="U3233" s="11">
        <f t="shared" si="1057"/>
        <v>2.4499999999999997</v>
      </c>
      <c r="V3233" t="s">
        <v>15</v>
      </c>
      <c r="W3233">
        <v>2.4500000000000002</v>
      </c>
      <c r="X3233" s="1" t="s">
        <v>20</v>
      </c>
    </row>
    <row r="3234" spans="1:24" x14ac:dyDescent="0.25">
      <c r="A3234" s="1" t="str">
        <f t="shared" si="1058"/>
        <v>卡卡杜-凤凰仓</v>
      </c>
      <c r="B3234" s="1" t="str">
        <f>"CK202410299729"</f>
        <v>CK202410299729</v>
      </c>
      <c r="C3234" s="1" t="str">
        <f>"DD2024102949344"</f>
        <v>DD2024102949344</v>
      </c>
      <c r="D3234" s="1" t="str">
        <f>"CK2024102948314"</f>
        <v>CK2024102948314</v>
      </c>
      <c r="E3234" s="1" t="str">
        <f>"KKD20241029YP013"</f>
        <v>KKD20241029YP013</v>
      </c>
      <c r="F3234" s="1" t="str">
        <f t="shared" si="1059"/>
        <v>花都四部-凤凰仓</v>
      </c>
      <c r="G3234" s="1" t="str">
        <f>"卡卡杜全欣样品"</f>
        <v>卡卡杜全欣样品</v>
      </c>
      <c r="H3234" s="1" t="str">
        <f t="shared" si="1060"/>
        <v>正常订单</v>
      </c>
      <c r="I3234" s="1" t="str">
        <f t="shared" si="1061"/>
        <v>已发货</v>
      </c>
      <c r="J3234" s="1" t="str">
        <f t="shared" si="1069"/>
        <v>5</v>
      </c>
      <c r="K3234" s="1">
        <v>4</v>
      </c>
      <c r="L3234" s="1" t="s">
        <v>18</v>
      </c>
      <c r="M3234" s="1" t="str">
        <f>"广东省 广州市 白云区 "</f>
        <v xml:space="preserve">广东省 广州市 白云区 </v>
      </c>
      <c r="N3234" s="1" t="str">
        <f>"凡华云仓-城南圆通-淘宝"</f>
        <v>凡华云仓-城南圆通-淘宝</v>
      </c>
      <c r="O3234" s="3" t="s">
        <v>3267</v>
      </c>
      <c r="P3234" s="6">
        <v>0.56000000000000005</v>
      </c>
      <c r="Q3234" s="11">
        <f t="shared" si="1070"/>
        <v>2.4499999999999997</v>
      </c>
      <c r="R3234" s="11"/>
      <c r="S3234" s="11">
        <v>0.15</v>
      </c>
      <c r="T3234" s="11"/>
      <c r="U3234" s="11">
        <f t="shared" si="1057"/>
        <v>2.5999999999999996</v>
      </c>
      <c r="V3234" t="s">
        <v>15</v>
      </c>
      <c r="W3234">
        <v>2.6</v>
      </c>
      <c r="X3234" s="1" t="s">
        <v>18</v>
      </c>
    </row>
    <row r="3235" spans="1:24" x14ac:dyDescent="0.25">
      <c r="A3235" s="1" t="str">
        <f t="shared" si="1058"/>
        <v>卡卡杜-凤凰仓</v>
      </c>
      <c r="B3235" s="1" t="str">
        <f>"CK2024102317600"</f>
        <v>CK2024102317600</v>
      </c>
      <c r="C3235" s="1" t="str">
        <f>"DD2024102355679"</f>
        <v>DD2024102355679</v>
      </c>
      <c r="D3235" s="1" t="str">
        <f>"CK2024102347206"</f>
        <v>CK2024102347206</v>
      </c>
      <c r="E3235" s="1" t="str">
        <f>"KKD20241023YP005"</f>
        <v>KKD20241023YP005</v>
      </c>
      <c r="F3235" s="1" t="str">
        <f t="shared" si="1059"/>
        <v>花都四部-凤凰仓</v>
      </c>
      <c r="G3235" s="1" t="str">
        <f t="shared" ref="G3235:G3239" si="1073">"卡卡杜全欣样品"</f>
        <v>卡卡杜全欣样品</v>
      </c>
      <c r="H3235" s="1" t="str">
        <f t="shared" si="1060"/>
        <v>正常订单</v>
      </c>
      <c r="I3235" s="1" t="str">
        <f t="shared" si="1061"/>
        <v>已发货</v>
      </c>
      <c r="J3235" s="1" t="str">
        <f>"6"</f>
        <v>6</v>
      </c>
      <c r="K3235" s="1">
        <v>3</v>
      </c>
      <c r="L3235" s="1" t="s">
        <v>20</v>
      </c>
      <c r="M3235" s="1" t="str">
        <f>"浙江省 台州市 临海市 "</f>
        <v xml:space="preserve">浙江省 台州市 临海市 </v>
      </c>
      <c r="N3235" s="1" t="str">
        <f t="shared" ref="N3235:N3239" si="1074">"凡华云仓-城南圆通-淘宝"</f>
        <v>凡华云仓-城南圆通-淘宝</v>
      </c>
      <c r="O3235" s="3" t="s">
        <v>3268</v>
      </c>
      <c r="P3235" s="6">
        <v>0.81</v>
      </c>
      <c r="Q3235" s="11">
        <f t="shared" si="1070"/>
        <v>2.9</v>
      </c>
      <c r="R3235" s="11"/>
      <c r="S3235" s="11">
        <v>0.15</v>
      </c>
      <c r="T3235" s="11"/>
      <c r="U3235" s="11">
        <f t="shared" si="1057"/>
        <v>3.05</v>
      </c>
      <c r="V3235" t="s">
        <v>15</v>
      </c>
      <c r="W3235">
        <v>3.05</v>
      </c>
      <c r="X3235" s="1" t="s">
        <v>20</v>
      </c>
    </row>
    <row r="3236" spans="1:24" x14ac:dyDescent="0.25">
      <c r="A3236" s="1" t="str">
        <f t="shared" si="1058"/>
        <v>卡卡杜-凤凰仓</v>
      </c>
      <c r="B3236" s="1" t="str">
        <f>"CK2024102512311"</f>
        <v>CK2024102512311</v>
      </c>
      <c r="C3236" s="1" t="str">
        <f>"DD2024102591941"</f>
        <v>DD2024102591941</v>
      </c>
      <c r="D3236" s="1" t="str">
        <f>"CK2024102591164"</f>
        <v>CK2024102591164</v>
      </c>
      <c r="E3236" s="1" t="str">
        <f>"KKD20241025YP004"</f>
        <v>KKD20241025YP004</v>
      </c>
      <c r="F3236" s="1" t="str">
        <f t="shared" si="1059"/>
        <v>花都四部-凤凰仓</v>
      </c>
      <c r="G3236" s="1" t="str">
        <f t="shared" si="1073"/>
        <v>卡卡杜全欣样品</v>
      </c>
      <c r="H3236" s="1" t="str">
        <f t="shared" si="1060"/>
        <v>正常订单</v>
      </c>
      <c r="I3236" s="1" t="str">
        <f t="shared" si="1061"/>
        <v>已发货</v>
      </c>
      <c r="J3236" s="1" t="str">
        <f>"5"</f>
        <v>5</v>
      </c>
      <c r="K3236" s="1">
        <v>4</v>
      </c>
      <c r="L3236" s="1" t="s">
        <v>74</v>
      </c>
      <c r="M3236" s="1" t="str">
        <f>"上海 上海市 松江区 "</f>
        <v xml:space="preserve">上海 上海市 松江区 </v>
      </c>
      <c r="N3236" s="1" t="str">
        <f t="shared" si="1074"/>
        <v>凡华云仓-城南圆通-淘宝</v>
      </c>
      <c r="O3236" s="3" t="s">
        <v>3269</v>
      </c>
      <c r="P3236" s="6">
        <v>0.56000000000000005</v>
      </c>
      <c r="Q3236" s="11">
        <f t="shared" si="1070"/>
        <v>2.4499999999999997</v>
      </c>
      <c r="R3236" s="11"/>
      <c r="S3236" s="11">
        <v>0.15</v>
      </c>
      <c r="T3236" s="11"/>
      <c r="U3236" s="11">
        <f t="shared" si="1057"/>
        <v>2.5999999999999996</v>
      </c>
      <c r="V3236" t="s">
        <v>15</v>
      </c>
      <c r="W3236">
        <v>2.6</v>
      </c>
      <c r="X3236" s="1" t="s">
        <v>74</v>
      </c>
    </row>
    <row r="3237" spans="1:24" x14ac:dyDescent="0.25">
      <c r="A3237" s="1" t="str">
        <f t="shared" si="1058"/>
        <v>卡卡杜-凤凰仓</v>
      </c>
      <c r="B3237" s="1" t="str">
        <f>"CK2024102317604"</f>
        <v>CK2024102317604</v>
      </c>
      <c r="C3237" s="1" t="str">
        <f>"DD2024102355690"</f>
        <v>DD2024102355690</v>
      </c>
      <c r="D3237" s="1" t="str">
        <f>"CK2024102347203"</f>
        <v>CK2024102347203</v>
      </c>
      <c r="E3237" s="1" t="str">
        <f>"KKD20241023YP001"</f>
        <v>KKD20241023YP001</v>
      </c>
      <c r="F3237" s="1" t="str">
        <f t="shared" si="1059"/>
        <v>花都四部-凤凰仓</v>
      </c>
      <c r="G3237" s="1" t="str">
        <f t="shared" si="1073"/>
        <v>卡卡杜全欣样品</v>
      </c>
      <c r="H3237" s="1" t="str">
        <f t="shared" si="1060"/>
        <v>正常订单</v>
      </c>
      <c r="I3237" s="1" t="str">
        <f t="shared" si="1061"/>
        <v>已发货</v>
      </c>
      <c r="J3237" s="1" t="str">
        <f>"15"</f>
        <v>15</v>
      </c>
      <c r="K3237" s="1">
        <v>2</v>
      </c>
      <c r="L3237" s="1" t="s">
        <v>18</v>
      </c>
      <c r="M3237" s="1" t="str">
        <f>"广东省 深圳市 宝安区 "</f>
        <v xml:space="preserve">广东省 深圳市 宝安区 </v>
      </c>
      <c r="N3237" s="1" t="str">
        <f t="shared" si="1074"/>
        <v>凡华云仓-城南圆通-淘宝</v>
      </c>
      <c r="O3237" s="3" t="s">
        <v>3270</v>
      </c>
      <c r="P3237" s="6">
        <v>1.92</v>
      </c>
      <c r="Q3237" s="11">
        <f t="shared" si="1070"/>
        <v>4.55</v>
      </c>
      <c r="R3237" s="11"/>
      <c r="S3237" s="11"/>
      <c r="T3237" s="11"/>
      <c r="U3237" s="11">
        <f t="shared" si="1057"/>
        <v>4.55</v>
      </c>
      <c r="V3237" t="s">
        <v>15</v>
      </c>
      <c r="W3237">
        <v>4.55</v>
      </c>
      <c r="X3237" s="1" t="s">
        <v>18</v>
      </c>
    </row>
    <row r="3238" spans="1:24" x14ac:dyDescent="0.25">
      <c r="A3238" s="1" t="str">
        <f t="shared" si="1058"/>
        <v>卡卡杜-凤凰仓</v>
      </c>
      <c r="B3238" s="1" t="str">
        <f>"CK2024102317602"</f>
        <v>CK2024102317602</v>
      </c>
      <c r="C3238" s="1" t="str">
        <f>"DD2024102355682"</f>
        <v>DD2024102355682</v>
      </c>
      <c r="D3238" s="1" t="str">
        <f>"CK2024102347202"</f>
        <v>CK2024102347202</v>
      </c>
      <c r="E3238" s="1" t="str">
        <f>"KKD20241023YP003"</f>
        <v>KKD20241023YP003</v>
      </c>
      <c r="F3238" s="1" t="str">
        <f t="shared" si="1059"/>
        <v>花都四部-凤凰仓</v>
      </c>
      <c r="G3238" s="1" t="str">
        <f t="shared" si="1073"/>
        <v>卡卡杜全欣样品</v>
      </c>
      <c r="H3238" s="1" t="str">
        <f t="shared" si="1060"/>
        <v>正常订单</v>
      </c>
      <c r="I3238" s="1" t="str">
        <f t="shared" si="1061"/>
        <v>已发货</v>
      </c>
      <c r="J3238" s="1" t="str">
        <f>"10"</f>
        <v>10</v>
      </c>
      <c r="K3238" s="1">
        <v>7</v>
      </c>
      <c r="L3238" s="1" t="s">
        <v>66</v>
      </c>
      <c r="M3238" s="1" t="str">
        <f>"内蒙古自治区 呼和浩特市 玉泉区 "</f>
        <v xml:space="preserve">内蒙古自治区 呼和浩特市 玉泉区 </v>
      </c>
      <c r="N3238" s="1" t="str">
        <f t="shared" si="1074"/>
        <v>凡华云仓-城南圆通-淘宝</v>
      </c>
      <c r="O3238" s="3" t="s">
        <v>3271</v>
      </c>
      <c r="P3238" s="6">
        <v>1.0900000000000001</v>
      </c>
      <c r="Q3238" s="11">
        <f t="shared" si="1070"/>
        <v>3.2</v>
      </c>
      <c r="R3238" s="11">
        <f>(K3238-3)*0.1</f>
        <v>0.4</v>
      </c>
      <c r="S3238" s="11">
        <v>0.15</v>
      </c>
      <c r="T3238" s="11"/>
      <c r="U3238" s="11">
        <f t="shared" si="1057"/>
        <v>3.75</v>
      </c>
      <c r="V3238" t="s">
        <v>15</v>
      </c>
      <c r="W3238">
        <v>3.75</v>
      </c>
      <c r="X3238" s="1" t="s">
        <v>66</v>
      </c>
    </row>
    <row r="3239" spans="1:24" x14ac:dyDescent="0.25">
      <c r="A3239" s="1" t="str">
        <f t="shared" si="1058"/>
        <v>卡卡杜-凤凰仓</v>
      </c>
      <c r="B3239" s="1" t="str">
        <f>"CK2024102317599"</f>
        <v>CK2024102317599</v>
      </c>
      <c r="C3239" s="1" t="str">
        <f>"DD2024102355683"</f>
        <v>DD2024102355683</v>
      </c>
      <c r="D3239" s="1" t="str">
        <f>"CK2024102347201"</f>
        <v>CK2024102347201</v>
      </c>
      <c r="E3239" s="1" t="str">
        <f>"KKD20241023YP006"</f>
        <v>KKD20241023YP006</v>
      </c>
      <c r="F3239" s="1" t="str">
        <f t="shared" si="1059"/>
        <v>花都四部-凤凰仓</v>
      </c>
      <c r="G3239" s="1" t="str">
        <f t="shared" si="1073"/>
        <v>卡卡杜全欣样品</v>
      </c>
      <c r="H3239" s="1" t="str">
        <f t="shared" si="1060"/>
        <v>正常订单</v>
      </c>
      <c r="I3239" s="1" t="str">
        <f t="shared" si="1061"/>
        <v>已发货</v>
      </c>
      <c r="J3239" s="1" t="str">
        <f>"6"</f>
        <v>6</v>
      </c>
      <c r="K3239" s="1">
        <v>3</v>
      </c>
      <c r="L3239" s="1" t="s">
        <v>18</v>
      </c>
      <c r="M3239" s="1" t="str">
        <f>"广东省 揭阳市 揭东区 "</f>
        <v xml:space="preserve">广东省 揭阳市 揭东区 </v>
      </c>
      <c r="N3239" s="1" t="str">
        <f t="shared" si="1074"/>
        <v>凡华云仓-城南圆通-淘宝</v>
      </c>
      <c r="O3239" s="3" t="s">
        <v>3272</v>
      </c>
      <c r="P3239" s="6">
        <v>0.81</v>
      </c>
      <c r="Q3239" s="11">
        <f t="shared" si="1070"/>
        <v>2.9</v>
      </c>
      <c r="R3239" s="11"/>
      <c r="S3239" s="11">
        <v>0.15</v>
      </c>
      <c r="T3239" s="11"/>
      <c r="U3239" s="11">
        <f t="shared" si="1057"/>
        <v>3.05</v>
      </c>
      <c r="V3239" t="s">
        <v>15</v>
      </c>
      <c r="W3239">
        <v>3.05</v>
      </c>
      <c r="X3239" s="1" t="s">
        <v>18</v>
      </c>
    </row>
    <row r="3240" spans="1:24" x14ac:dyDescent="0.25">
      <c r="A3240" s="1" t="str">
        <f t="shared" si="1058"/>
        <v>卡卡杜-凤凰仓</v>
      </c>
      <c r="B3240" s="1" t="str">
        <f>"CK2024102315577"</f>
        <v>CK2024102315577</v>
      </c>
      <c r="C3240" s="1" t="str">
        <f>"DD2024102343040"</f>
        <v>DD2024102343040</v>
      </c>
      <c r="D3240" s="1" t="str">
        <f>"CK2024102336262"</f>
        <v>CK2024102336262</v>
      </c>
      <c r="E3240" s="1" t="str">
        <f>"6935391378153936440"</f>
        <v>6935391378153936440</v>
      </c>
      <c r="F3240" s="1" t="str">
        <f t="shared" si="1059"/>
        <v>花都四部-凤凰仓</v>
      </c>
      <c r="G3240" s="1" t="str">
        <f t="shared" ref="G3240:G3259" si="1075">"卡卡杜个人护理店（抖店）"</f>
        <v>卡卡杜个人护理店（抖店）</v>
      </c>
      <c r="H3240" s="1" t="str">
        <f t="shared" si="1060"/>
        <v>正常订单</v>
      </c>
      <c r="I3240" s="1" t="str">
        <f t="shared" si="1061"/>
        <v>已发货</v>
      </c>
      <c r="J3240" s="1" t="str">
        <f t="shared" ref="J3240:J3245" si="1076">"3"</f>
        <v>3</v>
      </c>
      <c r="K3240" s="1">
        <v>2</v>
      </c>
      <c r="L3240" s="1" t="s">
        <v>16</v>
      </c>
      <c r="M3240" s="1" t="str">
        <f>"河北省 沧州市 盐山县 盐山镇"</f>
        <v>河北省 沧州市 盐山县 盐山镇</v>
      </c>
      <c r="N3240" s="1" t="str">
        <f t="shared" ref="N3240:N3259" si="1077">"凡华云仓-城南圆通-抖音"</f>
        <v>凡华云仓-城南圆通-抖音</v>
      </c>
      <c r="O3240" s="5" t="s">
        <v>3273</v>
      </c>
      <c r="P3240" s="6">
        <v>0.35</v>
      </c>
      <c r="Q3240" s="11">
        <v>2.2999999999999998</v>
      </c>
      <c r="R3240" s="11"/>
      <c r="S3240" s="11"/>
      <c r="T3240" s="11"/>
      <c r="U3240" s="11">
        <f t="shared" si="1057"/>
        <v>2.2999999999999998</v>
      </c>
      <c r="W3240">
        <v>2.5</v>
      </c>
      <c r="X3240" s="1" t="s">
        <v>16</v>
      </c>
    </row>
    <row r="3241" spans="1:24" x14ac:dyDescent="0.25">
      <c r="A3241" s="1" t="str">
        <f t="shared" si="1058"/>
        <v>卡卡杜-凤凰仓</v>
      </c>
      <c r="B3241" s="1" t="str">
        <f>"CK2024102315569"</f>
        <v>CK2024102315569</v>
      </c>
      <c r="C3241" s="1" t="str">
        <f>"DD2024102343033"</f>
        <v>DD2024102343033</v>
      </c>
      <c r="D3241" s="1" t="str">
        <f>"CK2024102336261"</f>
        <v>CK2024102336261</v>
      </c>
      <c r="E3241" s="1" t="str">
        <f>"6935376672576050807"</f>
        <v>6935376672576050807</v>
      </c>
      <c r="F3241" s="1" t="str">
        <f t="shared" si="1059"/>
        <v>花都四部-凤凰仓</v>
      </c>
      <c r="G3241" s="1" t="str">
        <f t="shared" si="1075"/>
        <v>卡卡杜个人护理店（抖店）</v>
      </c>
      <c r="H3241" s="1" t="str">
        <f t="shared" si="1060"/>
        <v>正常订单</v>
      </c>
      <c r="I3241" s="1" t="str">
        <f t="shared" si="1061"/>
        <v>已发货</v>
      </c>
      <c r="J3241" s="1" t="str">
        <f t="shared" si="1076"/>
        <v>3</v>
      </c>
      <c r="K3241" s="1">
        <v>2</v>
      </c>
      <c r="L3241" s="1" t="s">
        <v>44</v>
      </c>
      <c r="M3241" s="1" t="str">
        <f>"海南省 三亚市 吉阳区 吉阳区直辖村级区划"</f>
        <v>海南省 三亚市 吉阳区 吉阳区直辖村级区划</v>
      </c>
      <c r="N3241" s="1" t="str">
        <f t="shared" si="1077"/>
        <v>凡华云仓-城南圆通-抖音</v>
      </c>
      <c r="O3241" s="5" t="s">
        <v>3274</v>
      </c>
      <c r="P3241" s="6">
        <v>0.35</v>
      </c>
      <c r="Q3241" s="11">
        <v>2.2999999999999998</v>
      </c>
      <c r="R3241" s="11"/>
      <c r="S3241" s="11"/>
      <c r="T3241" s="11"/>
      <c r="U3241" s="11">
        <f t="shared" si="1057"/>
        <v>2.2999999999999998</v>
      </c>
      <c r="W3241">
        <v>2.5</v>
      </c>
      <c r="X3241" s="1" t="s">
        <v>44</v>
      </c>
    </row>
    <row r="3242" spans="1:24" x14ac:dyDescent="0.25">
      <c r="A3242" s="1" t="str">
        <f t="shared" si="1058"/>
        <v>卡卡杜-凤凰仓</v>
      </c>
      <c r="B3242" s="1" t="str">
        <f>"CK2024102315599"</f>
        <v>CK2024102315599</v>
      </c>
      <c r="C3242" s="1" t="str">
        <f>"DD2024102343061"</f>
        <v>DD2024102343061</v>
      </c>
      <c r="D3242" s="1" t="str">
        <f>"CK2024102336260"</f>
        <v>CK2024102336260</v>
      </c>
      <c r="E3242" s="1" t="str">
        <f>"6935362912516904310"</f>
        <v>6935362912516904310</v>
      </c>
      <c r="F3242" s="1" t="str">
        <f t="shared" si="1059"/>
        <v>花都四部-凤凰仓</v>
      </c>
      <c r="G3242" s="1" t="str">
        <f t="shared" si="1075"/>
        <v>卡卡杜个人护理店（抖店）</v>
      </c>
      <c r="H3242" s="1" t="str">
        <f t="shared" si="1060"/>
        <v>正常订单</v>
      </c>
      <c r="I3242" s="1" t="str">
        <f t="shared" si="1061"/>
        <v>已发货</v>
      </c>
      <c r="J3242" s="1" t="str">
        <f>"5"</f>
        <v>5</v>
      </c>
      <c r="K3242" s="1">
        <v>2</v>
      </c>
      <c r="L3242" s="1" t="s">
        <v>94</v>
      </c>
      <c r="M3242" s="1" t="str">
        <f>"湖南省 怀化市 鹤城区 凉亭坳乡"</f>
        <v>湖南省 怀化市 鹤城区 凉亭坳乡</v>
      </c>
      <c r="N3242" s="1" t="str">
        <f t="shared" si="1077"/>
        <v>凡华云仓-城南圆通-抖音</v>
      </c>
      <c r="O3242" s="5" t="s">
        <v>3275</v>
      </c>
      <c r="P3242" s="6">
        <v>0.59</v>
      </c>
      <c r="Q3242" s="11">
        <f>CEILING(P3242-0.5,0.1)*10*0.15+2.3</f>
        <v>2.4499999999999997</v>
      </c>
      <c r="R3242" s="11"/>
      <c r="S3242" s="11"/>
      <c r="T3242" s="11"/>
      <c r="U3242" s="11">
        <f t="shared" si="1057"/>
        <v>2.4499999999999997</v>
      </c>
      <c r="V3242" t="s">
        <v>15</v>
      </c>
      <c r="W3242">
        <v>2.4500000000000002</v>
      </c>
      <c r="X3242" s="1" t="s">
        <v>94</v>
      </c>
    </row>
    <row r="3243" spans="1:24" x14ac:dyDescent="0.25">
      <c r="A3243" s="1" t="str">
        <f t="shared" si="1058"/>
        <v>卡卡杜-凤凰仓</v>
      </c>
      <c r="B3243" s="1" t="str">
        <f>"CK2024102315561"</f>
        <v>CK2024102315561</v>
      </c>
      <c r="C3243" s="1" t="str">
        <f>"DD2024102343021"</f>
        <v>DD2024102343021</v>
      </c>
      <c r="D3243" s="1" t="str">
        <f>"CK2024102336259"</f>
        <v>CK2024102336259</v>
      </c>
      <c r="E3243" s="1" t="str">
        <f>"6918002191020489897"</f>
        <v>6918002191020489897</v>
      </c>
      <c r="F3243" s="1" t="str">
        <f t="shared" si="1059"/>
        <v>花都四部-凤凰仓</v>
      </c>
      <c r="G3243" s="1" t="str">
        <f t="shared" si="1075"/>
        <v>卡卡杜个人护理店（抖店）</v>
      </c>
      <c r="H3243" s="1" t="str">
        <f t="shared" si="1060"/>
        <v>正常订单</v>
      </c>
      <c r="I3243" s="1" t="str">
        <f t="shared" si="1061"/>
        <v>已发货</v>
      </c>
      <c r="J3243" s="1" t="str">
        <f t="shared" si="1076"/>
        <v>3</v>
      </c>
      <c r="K3243" s="1">
        <v>2</v>
      </c>
      <c r="L3243" s="1" t="s">
        <v>36</v>
      </c>
      <c r="M3243" s="1" t="str">
        <f>"安徽省 宣城市 宣州区 狸桥镇"</f>
        <v>安徽省 宣城市 宣州区 狸桥镇</v>
      </c>
      <c r="N3243" s="1" t="str">
        <f t="shared" si="1077"/>
        <v>凡华云仓-城南圆通-抖音</v>
      </c>
      <c r="O3243" s="5" t="s">
        <v>3276</v>
      </c>
      <c r="P3243" s="6">
        <v>0.35</v>
      </c>
      <c r="Q3243" s="11">
        <v>2.2999999999999998</v>
      </c>
      <c r="R3243" s="11"/>
      <c r="S3243" s="11"/>
      <c r="T3243" s="11"/>
      <c r="U3243" s="11">
        <f t="shared" si="1057"/>
        <v>2.2999999999999998</v>
      </c>
      <c r="W3243">
        <v>2.5</v>
      </c>
      <c r="X3243" s="1" t="s">
        <v>36</v>
      </c>
    </row>
    <row r="3244" spans="1:24" x14ac:dyDescent="0.25">
      <c r="A3244" s="1" t="str">
        <f t="shared" si="1058"/>
        <v>卡卡杜-凤凰仓</v>
      </c>
      <c r="B3244" s="1" t="str">
        <f>"CK2024102315563"</f>
        <v>CK2024102315563</v>
      </c>
      <c r="C3244" s="1" t="str">
        <f>"DD2024102343027"</f>
        <v>DD2024102343027</v>
      </c>
      <c r="D3244" s="1" t="str">
        <f>"CK2024102336258"</f>
        <v>CK2024102336258</v>
      </c>
      <c r="E3244" s="1" t="str">
        <f>"6935364926359475683"</f>
        <v>6935364926359475683</v>
      </c>
      <c r="F3244" s="1" t="str">
        <f t="shared" si="1059"/>
        <v>花都四部-凤凰仓</v>
      </c>
      <c r="G3244" s="1" t="str">
        <f t="shared" si="1075"/>
        <v>卡卡杜个人护理店（抖店）</v>
      </c>
      <c r="H3244" s="1" t="str">
        <f t="shared" si="1060"/>
        <v>正常订单</v>
      </c>
      <c r="I3244" s="1" t="str">
        <f t="shared" si="1061"/>
        <v>已发货</v>
      </c>
      <c r="J3244" s="1" t="str">
        <f t="shared" si="1076"/>
        <v>3</v>
      </c>
      <c r="K3244" s="1">
        <v>2</v>
      </c>
      <c r="L3244" s="1" t="s">
        <v>36</v>
      </c>
      <c r="M3244" s="1" t="str">
        <f>"安徽省 芜湖市 湾沚区 湾沚镇"</f>
        <v>安徽省 芜湖市 湾沚区 湾沚镇</v>
      </c>
      <c r="N3244" s="1" t="str">
        <f t="shared" si="1077"/>
        <v>凡华云仓-城南圆通-抖音</v>
      </c>
      <c r="O3244" s="5" t="s">
        <v>3277</v>
      </c>
      <c r="P3244" s="6">
        <v>0.35</v>
      </c>
      <c r="Q3244" s="11">
        <v>2.2999999999999998</v>
      </c>
      <c r="R3244" s="11"/>
      <c r="S3244" s="11"/>
      <c r="T3244" s="11"/>
      <c r="U3244" s="11">
        <f t="shared" si="1057"/>
        <v>2.2999999999999998</v>
      </c>
      <c r="W3244">
        <v>2.5</v>
      </c>
      <c r="X3244" s="1" t="s">
        <v>36</v>
      </c>
    </row>
    <row r="3245" spans="1:24" x14ac:dyDescent="0.25">
      <c r="A3245" s="1" t="str">
        <f t="shared" si="1058"/>
        <v>卡卡杜-凤凰仓</v>
      </c>
      <c r="B3245" s="1" t="str">
        <f>"CK2024102315562"</f>
        <v>CK2024102315562</v>
      </c>
      <c r="C3245" s="1" t="str">
        <f>"DD2024102343026"</f>
        <v>DD2024102343026</v>
      </c>
      <c r="D3245" s="1" t="str">
        <f>"CK2024102336257"</f>
        <v>CK2024102336257</v>
      </c>
      <c r="E3245" s="1" t="str">
        <f>"6935398444057892358"</f>
        <v>6935398444057892358</v>
      </c>
      <c r="F3245" s="1" t="str">
        <f t="shared" si="1059"/>
        <v>花都四部-凤凰仓</v>
      </c>
      <c r="G3245" s="1" t="str">
        <f t="shared" si="1075"/>
        <v>卡卡杜个人护理店（抖店）</v>
      </c>
      <c r="H3245" s="1" t="str">
        <f t="shared" si="1060"/>
        <v>正常订单</v>
      </c>
      <c r="I3245" s="1" t="str">
        <f t="shared" si="1061"/>
        <v>已发货</v>
      </c>
      <c r="J3245" s="1" t="str">
        <f t="shared" si="1076"/>
        <v>3</v>
      </c>
      <c r="K3245" s="1">
        <v>2</v>
      </c>
      <c r="L3245" s="1" t="s">
        <v>13</v>
      </c>
      <c r="M3245" s="1" t="str">
        <f>"江苏省 苏州市 太仓市 沙溪镇"</f>
        <v>江苏省 苏州市 太仓市 沙溪镇</v>
      </c>
      <c r="N3245" s="1" t="str">
        <f t="shared" si="1077"/>
        <v>凡华云仓-城南圆通-抖音</v>
      </c>
      <c r="O3245" s="5" t="s">
        <v>3278</v>
      </c>
      <c r="P3245" s="6">
        <v>0.35</v>
      </c>
      <c r="Q3245" s="11">
        <v>2.2999999999999998</v>
      </c>
      <c r="R3245" s="11"/>
      <c r="S3245" s="11"/>
      <c r="T3245" s="11"/>
      <c r="U3245" s="11">
        <f t="shared" si="1057"/>
        <v>2.2999999999999998</v>
      </c>
      <c r="W3245">
        <v>2.5</v>
      </c>
      <c r="X3245" s="1" t="s">
        <v>13</v>
      </c>
    </row>
    <row r="3246" spans="1:24" x14ac:dyDescent="0.25">
      <c r="A3246" s="1" t="str">
        <f t="shared" si="1058"/>
        <v>卡卡杜-凤凰仓</v>
      </c>
      <c r="B3246" s="1" t="str">
        <f>"CK2024102315600"</f>
        <v>CK2024102315600</v>
      </c>
      <c r="C3246" s="1" t="str">
        <f>"DD2024102343064"</f>
        <v>DD2024102343064</v>
      </c>
      <c r="D3246" s="1" t="str">
        <f>"CK2024102336256"</f>
        <v>CK2024102336256</v>
      </c>
      <c r="E3246" s="1" t="str">
        <f>"6935384654518294496"</f>
        <v>6935384654518294496</v>
      </c>
      <c r="F3246" s="1" t="str">
        <f t="shared" si="1059"/>
        <v>花都四部-凤凰仓</v>
      </c>
      <c r="G3246" s="1" t="str">
        <f t="shared" si="1075"/>
        <v>卡卡杜个人护理店（抖店）</v>
      </c>
      <c r="H3246" s="1" t="str">
        <f t="shared" si="1060"/>
        <v>正常订单</v>
      </c>
      <c r="I3246" s="1" t="str">
        <f t="shared" si="1061"/>
        <v>已发货</v>
      </c>
      <c r="J3246" s="1" t="str">
        <f t="shared" ref="J3246:J3249" si="1078">"5"</f>
        <v>5</v>
      </c>
      <c r="K3246" s="1">
        <v>2</v>
      </c>
      <c r="L3246" s="1" t="s">
        <v>36</v>
      </c>
      <c r="M3246" s="1" t="str">
        <f>"安徽省 铜陵市 铜官区 朝阳社区街道"</f>
        <v>安徽省 铜陵市 铜官区 朝阳社区街道</v>
      </c>
      <c r="N3246" s="1" t="str">
        <f t="shared" si="1077"/>
        <v>凡华云仓-城南圆通-抖音</v>
      </c>
      <c r="O3246" s="5" t="s">
        <v>3279</v>
      </c>
      <c r="P3246" s="6">
        <v>0.59</v>
      </c>
      <c r="Q3246" s="11">
        <f t="shared" ref="Q3246:Q3249" si="1079">CEILING(P3246-0.5,0.1)*10*0.15+2.3</f>
        <v>2.4499999999999997</v>
      </c>
      <c r="R3246" s="11"/>
      <c r="S3246" s="11"/>
      <c r="T3246" s="11"/>
      <c r="U3246" s="11">
        <f t="shared" si="1057"/>
        <v>2.4499999999999997</v>
      </c>
      <c r="V3246" t="s">
        <v>15</v>
      </c>
      <c r="W3246">
        <v>2.4500000000000002</v>
      </c>
      <c r="X3246" s="1" t="s">
        <v>36</v>
      </c>
    </row>
    <row r="3247" spans="1:24" x14ac:dyDescent="0.25">
      <c r="A3247" s="1" t="str">
        <f t="shared" si="1058"/>
        <v>卡卡杜-凤凰仓</v>
      </c>
      <c r="B3247" s="1" t="str">
        <f>"CK2024102315568"</f>
        <v>CK2024102315568</v>
      </c>
      <c r="C3247" s="1" t="str">
        <f>"DD2024102343032"</f>
        <v>DD2024102343032</v>
      </c>
      <c r="D3247" s="1" t="str">
        <f>"CK2024102336255"</f>
        <v>CK2024102336255</v>
      </c>
      <c r="E3247" s="1" t="str">
        <f>"6935384755849729587"</f>
        <v>6935384755849729587</v>
      </c>
      <c r="F3247" s="1" t="str">
        <f t="shared" si="1059"/>
        <v>花都四部-凤凰仓</v>
      </c>
      <c r="G3247" s="1" t="str">
        <f t="shared" si="1075"/>
        <v>卡卡杜个人护理店（抖店）</v>
      </c>
      <c r="H3247" s="1" t="str">
        <f t="shared" si="1060"/>
        <v>正常订单</v>
      </c>
      <c r="I3247" s="1" t="str">
        <f t="shared" si="1061"/>
        <v>已发货</v>
      </c>
      <c r="J3247" s="1" t="str">
        <f t="shared" ref="J3247:J3253" si="1080">"3"</f>
        <v>3</v>
      </c>
      <c r="K3247" s="1">
        <v>2</v>
      </c>
      <c r="L3247" s="1" t="s">
        <v>24</v>
      </c>
      <c r="M3247" s="1" t="str">
        <f>"福建省 三明市 宁化县 城郊镇"</f>
        <v>福建省 三明市 宁化县 城郊镇</v>
      </c>
      <c r="N3247" s="1" t="str">
        <f t="shared" si="1077"/>
        <v>凡华云仓-城南圆通-抖音</v>
      </c>
      <c r="O3247" s="5" t="s">
        <v>3280</v>
      </c>
      <c r="P3247" s="6">
        <v>0.35</v>
      </c>
      <c r="Q3247" s="11">
        <v>2.2999999999999998</v>
      </c>
      <c r="R3247" s="11"/>
      <c r="S3247" s="11"/>
      <c r="T3247" s="11"/>
      <c r="U3247" s="11">
        <f t="shared" si="1057"/>
        <v>2.2999999999999998</v>
      </c>
      <c r="W3247">
        <v>2.5</v>
      </c>
      <c r="X3247" s="1" t="s">
        <v>24</v>
      </c>
    </row>
    <row r="3248" spans="1:24" x14ac:dyDescent="0.25">
      <c r="A3248" s="1" t="str">
        <f t="shared" si="1058"/>
        <v>卡卡杜-凤凰仓</v>
      </c>
      <c r="B3248" s="1" t="str">
        <f>"CK2024102315593"</f>
        <v>CK2024102315593</v>
      </c>
      <c r="C3248" s="1" t="str">
        <f>"DD2024102343058"</f>
        <v>DD2024102343058</v>
      </c>
      <c r="D3248" s="1" t="str">
        <f>"CK2024102336254"</f>
        <v>CK2024102336254</v>
      </c>
      <c r="E3248" s="1" t="str">
        <f>"6935391474495198498"</f>
        <v>6935391474495198498</v>
      </c>
      <c r="F3248" s="1" t="str">
        <f t="shared" si="1059"/>
        <v>花都四部-凤凰仓</v>
      </c>
      <c r="G3248" s="1" t="str">
        <f t="shared" si="1075"/>
        <v>卡卡杜个人护理店（抖店）</v>
      </c>
      <c r="H3248" s="1" t="str">
        <f t="shared" si="1060"/>
        <v>正常订单</v>
      </c>
      <c r="I3248" s="1" t="str">
        <f t="shared" si="1061"/>
        <v>已发货</v>
      </c>
      <c r="J3248" s="1" t="str">
        <f t="shared" si="1078"/>
        <v>5</v>
      </c>
      <c r="K3248" s="1">
        <v>2</v>
      </c>
      <c r="L3248" s="1" t="s">
        <v>66</v>
      </c>
      <c r="M3248" s="1" t="str">
        <f>"内蒙古自治区 包头市 昆都仑区 "</f>
        <v xml:space="preserve">内蒙古自治区 包头市 昆都仑区 </v>
      </c>
      <c r="N3248" s="1" t="str">
        <f t="shared" si="1077"/>
        <v>凡华云仓-城南圆通-抖音</v>
      </c>
      <c r="O3248" s="5" t="s">
        <v>3281</v>
      </c>
      <c r="P3248" s="6">
        <v>0.59</v>
      </c>
      <c r="Q3248" s="11">
        <f t="shared" si="1079"/>
        <v>2.4499999999999997</v>
      </c>
      <c r="R3248" s="11"/>
      <c r="S3248" s="11"/>
      <c r="T3248" s="11"/>
      <c r="U3248" s="11">
        <f t="shared" si="1057"/>
        <v>2.4499999999999997</v>
      </c>
      <c r="V3248" t="s">
        <v>15</v>
      </c>
      <c r="W3248">
        <v>2.4500000000000002</v>
      </c>
      <c r="X3248" s="1" t="s">
        <v>66</v>
      </c>
    </row>
    <row r="3249" spans="1:24" x14ac:dyDescent="0.25">
      <c r="A3249" s="1" t="str">
        <f t="shared" si="1058"/>
        <v>卡卡杜-凤凰仓</v>
      </c>
      <c r="B3249" s="1" t="str">
        <f>"CK2024102315597"</f>
        <v>CK2024102315597</v>
      </c>
      <c r="C3249" s="1" t="str">
        <f>"DD2024102343060"</f>
        <v>DD2024102343060</v>
      </c>
      <c r="D3249" s="1" t="str">
        <f>"CK2024102336253"</f>
        <v>CK2024102336253</v>
      </c>
      <c r="E3249" s="1" t="str">
        <f>"6935374022758962480"</f>
        <v>6935374022758962480</v>
      </c>
      <c r="F3249" s="1" t="str">
        <f t="shared" si="1059"/>
        <v>花都四部-凤凰仓</v>
      </c>
      <c r="G3249" s="1" t="str">
        <f t="shared" si="1075"/>
        <v>卡卡杜个人护理店（抖店）</v>
      </c>
      <c r="H3249" s="1" t="str">
        <f t="shared" si="1060"/>
        <v>正常订单</v>
      </c>
      <c r="I3249" s="1" t="str">
        <f t="shared" si="1061"/>
        <v>已发货</v>
      </c>
      <c r="J3249" s="1" t="str">
        <f t="shared" si="1078"/>
        <v>5</v>
      </c>
      <c r="K3249" s="1">
        <v>2</v>
      </c>
      <c r="L3249" s="1" t="s">
        <v>30</v>
      </c>
      <c r="M3249" s="1" t="str">
        <f>"山东省 聊城市 临清市 新华路街道"</f>
        <v>山东省 聊城市 临清市 新华路街道</v>
      </c>
      <c r="N3249" s="1" t="str">
        <f t="shared" si="1077"/>
        <v>凡华云仓-城南圆通-抖音</v>
      </c>
      <c r="O3249" s="5" t="s">
        <v>3282</v>
      </c>
      <c r="P3249" s="6">
        <v>0.59</v>
      </c>
      <c r="Q3249" s="11">
        <f t="shared" si="1079"/>
        <v>2.4499999999999997</v>
      </c>
      <c r="R3249" s="11"/>
      <c r="S3249" s="11"/>
      <c r="T3249" s="11"/>
      <c r="U3249" s="11">
        <f t="shared" si="1057"/>
        <v>2.4499999999999997</v>
      </c>
      <c r="V3249" t="s">
        <v>15</v>
      </c>
      <c r="W3249">
        <v>2.4500000000000002</v>
      </c>
      <c r="X3249" s="1" t="s">
        <v>30</v>
      </c>
    </row>
    <row r="3250" spans="1:24" x14ac:dyDescent="0.25">
      <c r="A3250" s="1" t="str">
        <f t="shared" si="1058"/>
        <v>卡卡杜-凤凰仓</v>
      </c>
      <c r="B3250" s="1" t="str">
        <f>"CK2024102315571"</f>
        <v>CK2024102315571</v>
      </c>
      <c r="C3250" s="1" t="str">
        <f>"DD2024102343034"</f>
        <v>DD2024102343034</v>
      </c>
      <c r="D3250" s="1" t="str">
        <f>"CK2024102336252"</f>
        <v>CK2024102336252</v>
      </c>
      <c r="E3250" s="1" t="str">
        <f>"6935394052284224619"</f>
        <v>6935394052284224619</v>
      </c>
      <c r="F3250" s="1" t="str">
        <f t="shared" si="1059"/>
        <v>花都四部-凤凰仓</v>
      </c>
      <c r="G3250" s="1" t="str">
        <f t="shared" si="1075"/>
        <v>卡卡杜个人护理店（抖店）</v>
      </c>
      <c r="H3250" s="1" t="str">
        <f t="shared" si="1060"/>
        <v>正常订单</v>
      </c>
      <c r="I3250" s="1" t="str">
        <f t="shared" si="1061"/>
        <v>已发货</v>
      </c>
      <c r="J3250" s="1" t="str">
        <f t="shared" si="1080"/>
        <v>3</v>
      </c>
      <c r="K3250" s="1">
        <v>2</v>
      </c>
      <c r="L3250" s="1" t="s">
        <v>24</v>
      </c>
      <c r="M3250" s="1" t="str">
        <f>"福建省 泉州市 安溪县 凤城镇"</f>
        <v>福建省 泉州市 安溪县 凤城镇</v>
      </c>
      <c r="N3250" s="1" t="str">
        <f t="shared" si="1077"/>
        <v>凡华云仓-城南圆通-抖音</v>
      </c>
      <c r="O3250" s="5" t="s">
        <v>3283</v>
      </c>
      <c r="P3250" s="6">
        <v>0.35</v>
      </c>
      <c r="Q3250" s="11">
        <v>2.2999999999999998</v>
      </c>
      <c r="R3250" s="11"/>
      <c r="S3250" s="11"/>
      <c r="T3250" s="11"/>
      <c r="U3250" s="11">
        <f t="shared" si="1057"/>
        <v>2.2999999999999998</v>
      </c>
      <c r="W3250">
        <v>2.5</v>
      </c>
      <c r="X3250" s="1" t="s">
        <v>24</v>
      </c>
    </row>
    <row r="3251" spans="1:24" x14ac:dyDescent="0.25">
      <c r="A3251" s="1" t="str">
        <f t="shared" si="1058"/>
        <v>卡卡杜-凤凰仓</v>
      </c>
      <c r="B3251" s="1" t="str">
        <f>"CK2024102315573"</f>
        <v>CK2024102315573</v>
      </c>
      <c r="C3251" s="1" t="str">
        <f>"DD2024102343037"</f>
        <v>DD2024102343037</v>
      </c>
      <c r="D3251" s="1" t="str">
        <f>"CK2024102336251"</f>
        <v>CK2024102336251</v>
      </c>
      <c r="E3251" s="1" t="str">
        <f>"6935362482912171316"</f>
        <v>6935362482912171316</v>
      </c>
      <c r="F3251" s="1" t="str">
        <f t="shared" si="1059"/>
        <v>花都四部-凤凰仓</v>
      </c>
      <c r="G3251" s="1" t="str">
        <f t="shared" si="1075"/>
        <v>卡卡杜个人护理店（抖店）</v>
      </c>
      <c r="H3251" s="1" t="str">
        <f t="shared" si="1060"/>
        <v>正常订单</v>
      </c>
      <c r="I3251" s="1" t="str">
        <f t="shared" si="1061"/>
        <v>已发货</v>
      </c>
      <c r="J3251" s="1" t="str">
        <f t="shared" si="1080"/>
        <v>3</v>
      </c>
      <c r="K3251" s="1">
        <v>2</v>
      </c>
      <c r="L3251" s="1" t="s">
        <v>94</v>
      </c>
      <c r="M3251" s="1" t="str">
        <f>"湖南省 长沙市 开福区 洪山街道"</f>
        <v>湖南省 长沙市 开福区 洪山街道</v>
      </c>
      <c r="N3251" s="1" t="str">
        <f t="shared" si="1077"/>
        <v>凡华云仓-城南圆通-抖音</v>
      </c>
      <c r="O3251" s="5" t="s">
        <v>3284</v>
      </c>
      <c r="P3251" s="6">
        <v>0.35</v>
      </c>
      <c r="Q3251" s="11">
        <v>2.2999999999999998</v>
      </c>
      <c r="R3251" s="11"/>
      <c r="S3251" s="11"/>
      <c r="T3251" s="11"/>
      <c r="U3251" s="11">
        <f t="shared" si="1057"/>
        <v>2.2999999999999998</v>
      </c>
      <c r="W3251">
        <v>2.5</v>
      </c>
      <c r="X3251" s="1" t="s">
        <v>94</v>
      </c>
    </row>
    <row r="3252" spans="1:24" x14ac:dyDescent="0.25">
      <c r="A3252" s="1" t="str">
        <f t="shared" si="1058"/>
        <v>卡卡杜-凤凰仓</v>
      </c>
      <c r="B3252" s="1" t="str">
        <f>"CK2024102315564"</f>
        <v>CK2024102315564</v>
      </c>
      <c r="C3252" s="1" t="str">
        <f>"DD2024102343028"</f>
        <v>DD2024102343028</v>
      </c>
      <c r="D3252" s="1" t="str">
        <f>"CK2024102336250"</f>
        <v>CK2024102336250</v>
      </c>
      <c r="E3252" s="1" t="str">
        <f>"6935355839899899479"</f>
        <v>6935355839899899479</v>
      </c>
      <c r="F3252" s="1" t="str">
        <f t="shared" si="1059"/>
        <v>花都四部-凤凰仓</v>
      </c>
      <c r="G3252" s="1" t="str">
        <f t="shared" si="1075"/>
        <v>卡卡杜个人护理店（抖店）</v>
      </c>
      <c r="H3252" s="1" t="str">
        <f t="shared" si="1060"/>
        <v>正常订单</v>
      </c>
      <c r="I3252" s="1" t="str">
        <f t="shared" si="1061"/>
        <v>已发货</v>
      </c>
      <c r="J3252" s="1" t="str">
        <f t="shared" si="1080"/>
        <v>3</v>
      </c>
      <c r="K3252" s="1">
        <v>2</v>
      </c>
      <c r="L3252" s="1" t="s">
        <v>24</v>
      </c>
      <c r="M3252" s="1" t="str">
        <f>"福建省 泉州市 南安市 金淘镇"</f>
        <v>福建省 泉州市 南安市 金淘镇</v>
      </c>
      <c r="N3252" s="1" t="str">
        <f t="shared" si="1077"/>
        <v>凡华云仓-城南圆通-抖音</v>
      </c>
      <c r="O3252" s="5" t="s">
        <v>3285</v>
      </c>
      <c r="P3252" s="6">
        <v>0.35</v>
      </c>
      <c r="Q3252" s="11">
        <v>2.2999999999999998</v>
      </c>
      <c r="R3252" s="11"/>
      <c r="S3252" s="11"/>
      <c r="T3252" s="11"/>
      <c r="U3252" s="11">
        <f t="shared" si="1057"/>
        <v>2.2999999999999998</v>
      </c>
      <c r="W3252">
        <v>2.5</v>
      </c>
      <c r="X3252" s="1" t="s">
        <v>24</v>
      </c>
    </row>
    <row r="3253" spans="1:24" x14ac:dyDescent="0.25">
      <c r="A3253" s="1" t="str">
        <f t="shared" si="1058"/>
        <v>卡卡杜-凤凰仓</v>
      </c>
      <c r="B3253" s="1" t="str">
        <f>"CK2024102315566"</f>
        <v>CK2024102315566</v>
      </c>
      <c r="C3253" s="1" t="str">
        <f>"DD2024102343030"</f>
        <v>DD2024102343030</v>
      </c>
      <c r="D3253" s="1" t="str">
        <f>"CK2024102336249"</f>
        <v>CK2024102336249</v>
      </c>
      <c r="E3253" s="1" t="str">
        <f>"6935382100204131348"</f>
        <v>6935382100204131348</v>
      </c>
      <c r="F3253" s="1" t="str">
        <f t="shared" si="1059"/>
        <v>花都四部-凤凰仓</v>
      </c>
      <c r="G3253" s="1" t="str">
        <f t="shared" si="1075"/>
        <v>卡卡杜个人护理店（抖店）</v>
      </c>
      <c r="H3253" s="1" t="str">
        <f t="shared" si="1060"/>
        <v>正常订单</v>
      </c>
      <c r="I3253" s="1" t="str">
        <f t="shared" si="1061"/>
        <v>已发货</v>
      </c>
      <c r="J3253" s="1" t="str">
        <f t="shared" si="1080"/>
        <v>3</v>
      </c>
      <c r="K3253" s="1">
        <v>2</v>
      </c>
      <c r="L3253" s="1" t="s">
        <v>36</v>
      </c>
      <c r="M3253" s="1" t="str">
        <f>"安徽省 宣城市 宣州区 鳌峰街道"</f>
        <v>安徽省 宣城市 宣州区 鳌峰街道</v>
      </c>
      <c r="N3253" s="1" t="str">
        <f t="shared" si="1077"/>
        <v>凡华云仓-城南圆通-抖音</v>
      </c>
      <c r="O3253" s="5" t="s">
        <v>3286</v>
      </c>
      <c r="P3253" s="6">
        <v>0.35</v>
      </c>
      <c r="Q3253" s="11">
        <v>2.2999999999999998</v>
      </c>
      <c r="R3253" s="11"/>
      <c r="S3253" s="11"/>
      <c r="T3253" s="11"/>
      <c r="U3253" s="11">
        <f t="shared" si="1057"/>
        <v>2.2999999999999998</v>
      </c>
      <c r="W3253">
        <v>2.5</v>
      </c>
      <c r="X3253" s="1" t="s">
        <v>36</v>
      </c>
    </row>
    <row r="3254" spans="1:24" x14ac:dyDescent="0.25">
      <c r="A3254" s="1" t="str">
        <f t="shared" si="1058"/>
        <v>卡卡杜-凤凰仓</v>
      </c>
      <c r="B3254" s="1" t="str">
        <f>"CK2024102315594"</f>
        <v>CK2024102315594</v>
      </c>
      <c r="C3254" s="1" t="str">
        <f>"DD2024102343056"</f>
        <v>DD2024102343056</v>
      </c>
      <c r="D3254" s="1" t="str">
        <f>"CK2024102336248"</f>
        <v>CK2024102336248</v>
      </c>
      <c r="E3254" s="1" t="str">
        <f>"6935357978750817663"</f>
        <v>6935357978750817663</v>
      </c>
      <c r="F3254" s="1" t="str">
        <f t="shared" si="1059"/>
        <v>花都四部-凤凰仓</v>
      </c>
      <c r="G3254" s="1" t="str">
        <f t="shared" si="1075"/>
        <v>卡卡杜个人护理店（抖店）</v>
      </c>
      <c r="H3254" s="1" t="str">
        <f t="shared" si="1060"/>
        <v>正常订单</v>
      </c>
      <c r="I3254" s="1" t="str">
        <f t="shared" si="1061"/>
        <v>已发货</v>
      </c>
      <c r="J3254" s="1" t="str">
        <f>"5"</f>
        <v>5</v>
      </c>
      <c r="K3254" s="1">
        <v>2</v>
      </c>
      <c r="L3254" s="1" t="s">
        <v>13</v>
      </c>
      <c r="M3254" s="1" t="str">
        <f>"江苏省 徐州市 鼓楼区 环城街道"</f>
        <v>江苏省 徐州市 鼓楼区 环城街道</v>
      </c>
      <c r="N3254" s="1" t="str">
        <f t="shared" si="1077"/>
        <v>凡华云仓-城南圆通-抖音</v>
      </c>
      <c r="O3254" s="5" t="s">
        <v>3287</v>
      </c>
      <c r="P3254" s="6">
        <v>0.59</v>
      </c>
      <c r="Q3254" s="11">
        <f>CEILING(P3254-0.5,0.1)*10*0.15+2.3</f>
        <v>2.4499999999999997</v>
      </c>
      <c r="R3254" s="11"/>
      <c r="S3254" s="11"/>
      <c r="T3254" s="11"/>
      <c r="U3254" s="11">
        <f t="shared" si="1057"/>
        <v>2.4499999999999997</v>
      </c>
      <c r="V3254" t="s">
        <v>15</v>
      </c>
      <c r="W3254">
        <v>2.4500000000000002</v>
      </c>
      <c r="X3254" s="1" t="s">
        <v>13</v>
      </c>
    </row>
    <row r="3255" spans="1:24" x14ac:dyDescent="0.25">
      <c r="A3255" s="1" t="str">
        <f t="shared" si="1058"/>
        <v>卡卡杜-凤凰仓</v>
      </c>
      <c r="B3255" s="1" t="str">
        <f>"CK2024102315572"</f>
        <v>CK2024102315572</v>
      </c>
      <c r="C3255" s="1" t="str">
        <f>"DD2024102343035"</f>
        <v>DD2024102343035</v>
      </c>
      <c r="D3255" s="1" t="str">
        <f>"CK2024102336247"</f>
        <v>CK2024102336247</v>
      </c>
      <c r="E3255" s="1" t="str">
        <f>"6935371014453007596"</f>
        <v>6935371014453007596</v>
      </c>
      <c r="F3255" s="1" t="str">
        <f t="shared" si="1059"/>
        <v>花都四部-凤凰仓</v>
      </c>
      <c r="G3255" s="1" t="str">
        <f t="shared" si="1075"/>
        <v>卡卡杜个人护理店（抖店）</v>
      </c>
      <c r="H3255" s="1" t="str">
        <f t="shared" si="1060"/>
        <v>正常订单</v>
      </c>
      <c r="I3255" s="1" t="str">
        <f t="shared" si="1061"/>
        <v>已发货</v>
      </c>
      <c r="J3255" s="1" t="str">
        <f t="shared" ref="J3255:J3257" si="1081">"3"</f>
        <v>3</v>
      </c>
      <c r="K3255" s="1">
        <v>2</v>
      </c>
      <c r="L3255" s="1" t="s">
        <v>13</v>
      </c>
      <c r="M3255" s="1" t="str">
        <f>"江苏省 泰州市 海陵区 九龙镇"</f>
        <v>江苏省 泰州市 海陵区 九龙镇</v>
      </c>
      <c r="N3255" s="1" t="str">
        <f t="shared" si="1077"/>
        <v>凡华云仓-城南圆通-抖音</v>
      </c>
      <c r="O3255" s="5" t="s">
        <v>3288</v>
      </c>
      <c r="P3255" s="6">
        <v>0.35</v>
      </c>
      <c r="Q3255" s="11">
        <v>2.2999999999999998</v>
      </c>
      <c r="R3255" s="11"/>
      <c r="S3255" s="11"/>
      <c r="T3255" s="11"/>
      <c r="U3255" s="11">
        <f t="shared" si="1057"/>
        <v>2.2999999999999998</v>
      </c>
      <c r="W3255">
        <v>2.5</v>
      </c>
      <c r="X3255" s="1" t="s">
        <v>13</v>
      </c>
    </row>
    <row r="3256" spans="1:24" x14ac:dyDescent="0.25">
      <c r="A3256" s="1" t="str">
        <f t="shared" si="1058"/>
        <v>卡卡杜-凤凰仓</v>
      </c>
      <c r="B3256" s="1" t="str">
        <f>"CK2024102315578"</f>
        <v>CK2024102315578</v>
      </c>
      <c r="C3256" s="1" t="str">
        <f>"DD2024102343042"</f>
        <v>DD2024102343042</v>
      </c>
      <c r="D3256" s="1" t="str">
        <f>"CK2024102336246"</f>
        <v>CK2024102336246</v>
      </c>
      <c r="E3256" s="1" t="str">
        <f>"6935362214488708212"</f>
        <v>6935362214488708212</v>
      </c>
      <c r="F3256" s="1" t="str">
        <f t="shared" si="1059"/>
        <v>花都四部-凤凰仓</v>
      </c>
      <c r="G3256" s="1" t="str">
        <f t="shared" si="1075"/>
        <v>卡卡杜个人护理店（抖店）</v>
      </c>
      <c r="H3256" s="1" t="str">
        <f t="shared" si="1060"/>
        <v>正常订单</v>
      </c>
      <c r="I3256" s="1" t="str">
        <f t="shared" si="1061"/>
        <v>已发货</v>
      </c>
      <c r="J3256" s="1" t="str">
        <f t="shared" si="1081"/>
        <v>3</v>
      </c>
      <c r="K3256" s="1">
        <v>2</v>
      </c>
      <c r="L3256" s="1" t="s">
        <v>96</v>
      </c>
      <c r="M3256" s="1" t="str">
        <f>"广西壮族自治区 桂林市 临桂区 "</f>
        <v xml:space="preserve">广西壮族自治区 桂林市 临桂区 </v>
      </c>
      <c r="N3256" s="1" t="str">
        <f t="shared" si="1077"/>
        <v>凡华云仓-城南圆通-抖音</v>
      </c>
      <c r="O3256" s="5" t="s">
        <v>3289</v>
      </c>
      <c r="P3256" s="6">
        <v>0.35</v>
      </c>
      <c r="Q3256" s="11">
        <v>2.2999999999999998</v>
      </c>
      <c r="R3256" s="11"/>
      <c r="S3256" s="11"/>
      <c r="T3256" s="11"/>
      <c r="U3256" s="11">
        <f t="shared" si="1057"/>
        <v>2.2999999999999998</v>
      </c>
      <c r="W3256">
        <v>2.5</v>
      </c>
      <c r="X3256" s="1" t="s">
        <v>96</v>
      </c>
    </row>
    <row r="3257" spans="1:24" x14ac:dyDescent="0.25">
      <c r="A3257" s="1" t="str">
        <f t="shared" si="1058"/>
        <v>卡卡杜-凤凰仓</v>
      </c>
      <c r="B3257" s="1" t="str">
        <f>"CK2024102315584"</f>
        <v>CK2024102315584</v>
      </c>
      <c r="C3257" s="1" t="str">
        <f>"DD2024102343048"</f>
        <v>DD2024102343048</v>
      </c>
      <c r="D3257" s="1" t="str">
        <f>"CK2024102336245"</f>
        <v>CK2024102336245</v>
      </c>
      <c r="E3257" s="1" t="str">
        <f>"6935381942957577922"</f>
        <v>6935381942957577922</v>
      </c>
      <c r="F3257" s="1" t="str">
        <f t="shared" si="1059"/>
        <v>花都四部-凤凰仓</v>
      </c>
      <c r="G3257" s="1" t="str">
        <f t="shared" si="1075"/>
        <v>卡卡杜个人护理店（抖店）</v>
      </c>
      <c r="H3257" s="1" t="str">
        <f t="shared" si="1060"/>
        <v>正常订单</v>
      </c>
      <c r="I3257" s="1" t="str">
        <f t="shared" si="1061"/>
        <v>已发货</v>
      </c>
      <c r="J3257" s="1" t="str">
        <f t="shared" si="1081"/>
        <v>3</v>
      </c>
      <c r="K3257" s="1">
        <v>2</v>
      </c>
      <c r="L3257" s="1" t="s">
        <v>109</v>
      </c>
      <c r="M3257" s="1" t="str">
        <f>"山西省 长治市 潞州区 东街街道"</f>
        <v>山西省 长治市 潞州区 东街街道</v>
      </c>
      <c r="N3257" s="1" t="str">
        <f t="shared" si="1077"/>
        <v>凡华云仓-城南圆通-抖音</v>
      </c>
      <c r="O3257" s="5" t="s">
        <v>3290</v>
      </c>
      <c r="P3257" s="6">
        <v>0.35</v>
      </c>
      <c r="Q3257" s="11">
        <v>2.2999999999999998</v>
      </c>
      <c r="R3257" s="11"/>
      <c r="S3257" s="11"/>
      <c r="T3257" s="11"/>
      <c r="U3257" s="11">
        <f t="shared" si="1057"/>
        <v>2.2999999999999998</v>
      </c>
      <c r="W3257">
        <v>2.5</v>
      </c>
      <c r="X3257" s="1" t="s">
        <v>109</v>
      </c>
    </row>
    <row r="3258" spans="1:24" x14ac:dyDescent="0.25">
      <c r="A3258" s="1" t="str">
        <f t="shared" si="1058"/>
        <v>卡卡杜-凤凰仓</v>
      </c>
      <c r="B3258" s="1" t="str">
        <f>"CK2024102315598"</f>
        <v>CK2024102315598</v>
      </c>
      <c r="C3258" s="1" t="str">
        <f>"DD2024102343062"</f>
        <v>DD2024102343062</v>
      </c>
      <c r="D3258" s="1" t="str">
        <f>"CK2024102336244"</f>
        <v>CK2024102336244</v>
      </c>
      <c r="E3258" s="1" t="str">
        <f>"6935353036931077698"</f>
        <v>6935353036931077698</v>
      </c>
      <c r="F3258" s="1" t="str">
        <f t="shared" si="1059"/>
        <v>花都四部-凤凰仓</v>
      </c>
      <c r="G3258" s="1" t="str">
        <f t="shared" si="1075"/>
        <v>卡卡杜个人护理店（抖店）</v>
      </c>
      <c r="H3258" s="1" t="str">
        <f t="shared" si="1060"/>
        <v>正常订单</v>
      </c>
      <c r="I3258" s="1" t="str">
        <f t="shared" si="1061"/>
        <v>已发货</v>
      </c>
      <c r="J3258" s="1" t="str">
        <f>"5"</f>
        <v>5</v>
      </c>
      <c r="K3258" s="1">
        <v>2</v>
      </c>
      <c r="L3258" s="1" t="s">
        <v>94</v>
      </c>
      <c r="M3258" s="1" t="str">
        <f>"湖南省 怀化市 鹤城区 盈口乡"</f>
        <v>湖南省 怀化市 鹤城区 盈口乡</v>
      </c>
      <c r="N3258" s="1" t="str">
        <f t="shared" si="1077"/>
        <v>凡华云仓-城南圆通-抖音</v>
      </c>
      <c r="O3258" s="5" t="s">
        <v>3291</v>
      </c>
      <c r="P3258" s="6">
        <v>0.59</v>
      </c>
      <c r="Q3258" s="11">
        <f>CEILING(P3258-0.5,0.1)*10*0.15+2.3</f>
        <v>2.4499999999999997</v>
      </c>
      <c r="R3258" s="11"/>
      <c r="S3258" s="11"/>
      <c r="T3258" s="11"/>
      <c r="U3258" s="11">
        <f t="shared" si="1057"/>
        <v>2.4499999999999997</v>
      </c>
      <c r="V3258" t="s">
        <v>15</v>
      </c>
      <c r="W3258">
        <v>2.4500000000000002</v>
      </c>
      <c r="X3258" s="1" t="s">
        <v>94</v>
      </c>
    </row>
    <row r="3259" spans="1:24" x14ac:dyDescent="0.25">
      <c r="A3259" s="1" t="str">
        <f t="shared" si="1058"/>
        <v>卡卡杜-凤凰仓</v>
      </c>
      <c r="B3259" s="1" t="str">
        <f>"CK2024102315580"</f>
        <v>CK2024102315580</v>
      </c>
      <c r="C3259" s="1" t="str">
        <f>"DD2024102343045"</f>
        <v>DD2024102343045</v>
      </c>
      <c r="D3259" s="1" t="str">
        <f>"CK2024102336243"</f>
        <v>CK2024102336243</v>
      </c>
      <c r="E3259" s="1" t="str">
        <f>"6935366836781847719"</f>
        <v>6935366836781847719</v>
      </c>
      <c r="F3259" s="1" t="str">
        <f t="shared" si="1059"/>
        <v>花都四部-凤凰仓</v>
      </c>
      <c r="G3259" s="1" t="str">
        <f t="shared" si="1075"/>
        <v>卡卡杜个人护理店（抖店）</v>
      </c>
      <c r="H3259" s="1" t="str">
        <f t="shared" si="1060"/>
        <v>正常订单</v>
      </c>
      <c r="I3259" s="1" t="str">
        <f t="shared" si="1061"/>
        <v>已发货</v>
      </c>
      <c r="J3259" s="1" t="str">
        <f t="shared" ref="J3259:J3264" si="1082">"3"</f>
        <v>3</v>
      </c>
      <c r="K3259" s="1">
        <v>2</v>
      </c>
      <c r="L3259" s="1" t="s">
        <v>24</v>
      </c>
      <c r="M3259" s="1" t="str">
        <f>"福建省 三明市 大田县 均溪镇"</f>
        <v>福建省 三明市 大田县 均溪镇</v>
      </c>
      <c r="N3259" s="1" t="str">
        <f t="shared" si="1077"/>
        <v>凡华云仓-城南圆通-抖音</v>
      </c>
      <c r="O3259" s="5" t="s">
        <v>3292</v>
      </c>
      <c r="P3259" s="6">
        <v>0.35</v>
      </c>
      <c r="Q3259" s="11">
        <v>2.2999999999999998</v>
      </c>
      <c r="R3259" s="11"/>
      <c r="S3259" s="11"/>
      <c r="T3259" s="11"/>
      <c r="U3259" s="11">
        <f t="shared" si="1057"/>
        <v>2.2999999999999998</v>
      </c>
      <c r="W3259">
        <v>2.5</v>
      </c>
      <c r="X3259" s="1" t="s">
        <v>24</v>
      </c>
    </row>
    <row r="3260" spans="1:24" x14ac:dyDescent="0.25">
      <c r="A3260" s="1" t="str">
        <f t="shared" si="1058"/>
        <v>卡卡杜-凤凰仓</v>
      </c>
      <c r="B3260" s="1" t="str">
        <f>"CK2024102315592"</f>
        <v>CK2024102315592</v>
      </c>
      <c r="C3260" s="1" t="str">
        <f>"DD2024102343055"</f>
        <v>DD2024102343055</v>
      </c>
      <c r="D3260" s="1" t="str">
        <f>"CK2024102336242"</f>
        <v>CK2024102336242</v>
      </c>
      <c r="E3260" s="1" t="str">
        <f>"2429702501266614"</f>
        <v>2429702501266614</v>
      </c>
      <c r="F3260" s="1" t="str">
        <f t="shared" si="1059"/>
        <v>花都四部-凤凰仓</v>
      </c>
      <c r="G3260" s="1" t="str">
        <f t="shared" ref="G3260:G3283" si="1083">"卡卡杜佳旺专卖店（快手店）"</f>
        <v>卡卡杜佳旺专卖店（快手店）</v>
      </c>
      <c r="H3260" s="1" t="str">
        <f t="shared" si="1060"/>
        <v>正常订单</v>
      </c>
      <c r="I3260" s="1" t="str">
        <f t="shared" si="1061"/>
        <v>已发货</v>
      </c>
      <c r="J3260" s="1" t="str">
        <f>"5"</f>
        <v>5</v>
      </c>
      <c r="K3260" s="1">
        <v>2</v>
      </c>
      <c r="L3260" s="1" t="s">
        <v>66</v>
      </c>
      <c r="M3260" s="1" t="str">
        <f>"内蒙古自治区 呼伦贝尔市 牙克石市 新工街道"</f>
        <v>内蒙古自治区 呼伦贝尔市 牙克石市 新工街道</v>
      </c>
      <c r="N3260" s="1" t="str">
        <f t="shared" ref="N3260:N3283" si="1084">"凡华云仓-城南圆通-快手"</f>
        <v>凡华云仓-城南圆通-快手</v>
      </c>
      <c r="O3260" s="5" t="s">
        <v>3293</v>
      </c>
      <c r="P3260" s="6">
        <v>0.59</v>
      </c>
      <c r="Q3260" s="11">
        <f>CEILING(P3260-0.5,0.1)*10*0.15+2.3</f>
        <v>2.4499999999999997</v>
      </c>
      <c r="R3260" s="11"/>
      <c r="S3260" s="11"/>
      <c r="T3260" s="11"/>
      <c r="U3260" s="11">
        <f t="shared" si="1057"/>
        <v>2.4499999999999997</v>
      </c>
      <c r="V3260" t="s">
        <v>15</v>
      </c>
      <c r="W3260">
        <v>2.4500000000000002</v>
      </c>
      <c r="X3260" s="1" t="s">
        <v>66</v>
      </c>
    </row>
    <row r="3261" spans="1:24" x14ac:dyDescent="0.25">
      <c r="A3261" s="1" t="str">
        <f t="shared" si="1058"/>
        <v>卡卡杜-凤凰仓</v>
      </c>
      <c r="B3261" s="1" t="str">
        <f>"CK2024102315560"</f>
        <v>CK2024102315560</v>
      </c>
      <c r="C3261" s="1" t="str">
        <f>"DD2024102343022"</f>
        <v>DD2024102343022</v>
      </c>
      <c r="D3261" s="1" t="str">
        <f>"CK2024102336241"</f>
        <v>CK2024102336241</v>
      </c>
      <c r="E3261" s="1" t="str">
        <f>"2429702095744951"</f>
        <v>2429702095744951</v>
      </c>
      <c r="F3261" s="1" t="str">
        <f t="shared" si="1059"/>
        <v>花都四部-凤凰仓</v>
      </c>
      <c r="G3261" s="1" t="str">
        <f t="shared" si="1083"/>
        <v>卡卡杜佳旺专卖店（快手店）</v>
      </c>
      <c r="H3261" s="1" t="str">
        <f t="shared" si="1060"/>
        <v>正常订单</v>
      </c>
      <c r="I3261" s="1" t="str">
        <f t="shared" si="1061"/>
        <v>已发货</v>
      </c>
      <c r="J3261" s="1" t="str">
        <f t="shared" si="1082"/>
        <v>3</v>
      </c>
      <c r="K3261" s="1">
        <v>3</v>
      </c>
      <c r="L3261" s="1" t="s">
        <v>18</v>
      </c>
      <c r="M3261" s="1" t="str">
        <f>"广东省 佛山市 南海区 桂城街道"</f>
        <v>广东省 佛山市 南海区 桂城街道</v>
      </c>
      <c r="N3261" s="1" t="str">
        <f t="shared" si="1084"/>
        <v>凡华云仓-城南圆通-快手</v>
      </c>
      <c r="O3261" s="5" t="s">
        <v>3294</v>
      </c>
      <c r="P3261" s="6">
        <v>0.34</v>
      </c>
      <c r="Q3261" s="11">
        <v>2.2999999999999998</v>
      </c>
      <c r="R3261" s="11"/>
      <c r="S3261" s="11"/>
      <c r="T3261" s="11"/>
      <c r="U3261" s="11">
        <f t="shared" si="1057"/>
        <v>2.2999999999999998</v>
      </c>
      <c r="W3261">
        <v>2.5</v>
      </c>
      <c r="X3261" s="1" t="s">
        <v>18</v>
      </c>
    </row>
    <row r="3262" spans="1:24" x14ac:dyDescent="0.25">
      <c r="A3262" s="1" t="str">
        <f t="shared" si="1058"/>
        <v>卡卡杜-凤凰仓</v>
      </c>
      <c r="B3262" s="1" t="str">
        <f>"CK2024102315570"</f>
        <v>CK2024102315570</v>
      </c>
      <c r="C3262" s="1" t="str">
        <f>"DD2024102343036"</f>
        <v>DD2024102343036</v>
      </c>
      <c r="D3262" s="1" t="str">
        <f>"CK2024102336240"</f>
        <v>CK2024102336240</v>
      </c>
      <c r="E3262" s="1" t="str">
        <f>"2429702022946031"</f>
        <v>2429702022946031</v>
      </c>
      <c r="F3262" s="1" t="str">
        <f t="shared" si="1059"/>
        <v>花都四部-凤凰仓</v>
      </c>
      <c r="G3262" s="1" t="str">
        <f t="shared" si="1083"/>
        <v>卡卡杜佳旺专卖店（快手店）</v>
      </c>
      <c r="H3262" s="1" t="str">
        <f t="shared" si="1060"/>
        <v>正常订单</v>
      </c>
      <c r="I3262" s="1" t="str">
        <f t="shared" si="1061"/>
        <v>已发货</v>
      </c>
      <c r="J3262" s="1" t="str">
        <f t="shared" si="1082"/>
        <v>3</v>
      </c>
      <c r="K3262" s="1">
        <v>2</v>
      </c>
      <c r="L3262" s="1" t="s">
        <v>18</v>
      </c>
      <c r="M3262" s="1" t="str">
        <f>"广东省 中山市 三角镇 三角镇"</f>
        <v>广东省 中山市 三角镇 三角镇</v>
      </c>
      <c r="N3262" s="1" t="str">
        <f t="shared" si="1084"/>
        <v>凡华云仓-城南圆通-快手</v>
      </c>
      <c r="O3262" s="5" t="s">
        <v>3295</v>
      </c>
      <c r="P3262" s="6">
        <v>0.35</v>
      </c>
      <c r="Q3262" s="11">
        <v>2.2999999999999998</v>
      </c>
      <c r="R3262" s="11"/>
      <c r="S3262" s="11"/>
      <c r="T3262" s="11"/>
      <c r="U3262" s="11">
        <f t="shared" si="1057"/>
        <v>2.2999999999999998</v>
      </c>
      <c r="W3262">
        <v>2.5</v>
      </c>
      <c r="X3262" s="1" t="s">
        <v>18</v>
      </c>
    </row>
    <row r="3263" spans="1:24" x14ac:dyDescent="0.25">
      <c r="A3263" s="1" t="str">
        <f t="shared" si="1058"/>
        <v>卡卡杜-凤凰仓</v>
      </c>
      <c r="B3263" s="1" t="str">
        <f>"CK2024102315567"</f>
        <v>CK2024102315567</v>
      </c>
      <c r="C3263" s="1" t="str">
        <f>"DD2024102343031"</f>
        <v>DD2024102343031</v>
      </c>
      <c r="D3263" s="1" t="str">
        <f>"CK2024102336239"</f>
        <v>CK2024102336239</v>
      </c>
      <c r="E3263" s="1" t="str">
        <f>"2429701787209812"</f>
        <v>2429701787209812</v>
      </c>
      <c r="F3263" s="1" t="str">
        <f t="shared" si="1059"/>
        <v>花都四部-凤凰仓</v>
      </c>
      <c r="G3263" s="1" t="str">
        <f t="shared" si="1083"/>
        <v>卡卡杜佳旺专卖店（快手店）</v>
      </c>
      <c r="H3263" s="1" t="str">
        <f t="shared" si="1060"/>
        <v>正常订单</v>
      </c>
      <c r="I3263" s="1" t="str">
        <f t="shared" si="1061"/>
        <v>已发货</v>
      </c>
      <c r="J3263" s="1" t="str">
        <f t="shared" si="1082"/>
        <v>3</v>
      </c>
      <c r="K3263" s="1">
        <v>2</v>
      </c>
      <c r="L3263" s="1" t="s">
        <v>1099</v>
      </c>
      <c r="M3263" s="1" t="str">
        <f>"重庆市 重庆市 渝中区 解放碑街道"</f>
        <v>重庆市 重庆市 渝中区 解放碑街道</v>
      </c>
      <c r="N3263" s="1" t="str">
        <f t="shared" si="1084"/>
        <v>凡华云仓-城南圆通-快手</v>
      </c>
      <c r="O3263" s="5" t="s">
        <v>3296</v>
      </c>
      <c r="P3263" s="6">
        <v>0.35</v>
      </c>
      <c r="Q3263" s="11">
        <v>2.2999999999999998</v>
      </c>
      <c r="R3263" s="11"/>
      <c r="S3263" s="11"/>
      <c r="T3263" s="11"/>
      <c r="U3263" s="11">
        <f t="shared" si="1057"/>
        <v>2.2999999999999998</v>
      </c>
      <c r="W3263">
        <v>2.5</v>
      </c>
      <c r="X3263" s="1" t="s">
        <v>1099</v>
      </c>
    </row>
    <row r="3264" spans="1:24" x14ac:dyDescent="0.25">
      <c r="A3264" s="1" t="str">
        <f t="shared" si="1058"/>
        <v>卡卡杜-凤凰仓</v>
      </c>
      <c r="B3264" s="1" t="str">
        <f>"CK2024102315565"</f>
        <v>CK2024102315565</v>
      </c>
      <c r="C3264" s="1" t="str">
        <f>"DD2024102343029"</f>
        <v>DD2024102343029</v>
      </c>
      <c r="D3264" s="1" t="str">
        <f>"CK2024102336238"</f>
        <v>CK2024102336238</v>
      </c>
      <c r="E3264" s="1" t="str">
        <f>"2429701701571515"</f>
        <v>2429701701571515</v>
      </c>
      <c r="F3264" s="1" t="str">
        <f t="shared" si="1059"/>
        <v>花都四部-凤凰仓</v>
      </c>
      <c r="G3264" s="1" t="str">
        <f t="shared" si="1083"/>
        <v>卡卡杜佳旺专卖店（快手店）</v>
      </c>
      <c r="H3264" s="1" t="str">
        <f t="shared" si="1060"/>
        <v>正常订单</v>
      </c>
      <c r="I3264" s="1" t="str">
        <f t="shared" si="1061"/>
        <v>已发货</v>
      </c>
      <c r="J3264" s="1" t="str">
        <f t="shared" si="1082"/>
        <v>3</v>
      </c>
      <c r="K3264" s="1">
        <v>2</v>
      </c>
      <c r="L3264" s="1" t="s">
        <v>94</v>
      </c>
      <c r="M3264" s="1" t="str">
        <f>"湖南省 长沙市 望城区 雷锋街道"</f>
        <v>湖南省 长沙市 望城区 雷锋街道</v>
      </c>
      <c r="N3264" s="1" t="str">
        <f t="shared" si="1084"/>
        <v>凡华云仓-城南圆通-快手</v>
      </c>
      <c r="O3264" s="5" t="s">
        <v>3297</v>
      </c>
      <c r="P3264" s="6">
        <v>0.35</v>
      </c>
      <c r="Q3264" s="11">
        <v>2.2999999999999998</v>
      </c>
      <c r="R3264" s="11"/>
      <c r="S3264" s="11"/>
      <c r="T3264" s="11"/>
      <c r="U3264" s="11">
        <f t="shared" si="1057"/>
        <v>2.2999999999999998</v>
      </c>
      <c r="W3264">
        <v>2.5</v>
      </c>
      <c r="X3264" s="1" t="s">
        <v>94</v>
      </c>
    </row>
    <row r="3265" spans="1:24" x14ac:dyDescent="0.25">
      <c r="A3265" s="1" t="str">
        <f t="shared" si="1058"/>
        <v>卡卡杜-凤凰仓</v>
      </c>
      <c r="B3265" s="1" t="str">
        <f>"CK2024102315591"</f>
        <v>CK2024102315591</v>
      </c>
      <c r="C3265" s="1" t="str">
        <f>"DD2024102343054"</f>
        <v>DD2024102343054</v>
      </c>
      <c r="D3265" s="1" t="str">
        <f>"CK2024102336237"</f>
        <v>CK2024102336237</v>
      </c>
      <c r="E3265" s="1" t="str">
        <f>"2429702421651353"</f>
        <v>2429702421651353</v>
      </c>
      <c r="F3265" s="1" t="str">
        <f t="shared" si="1059"/>
        <v>花都四部-凤凰仓</v>
      </c>
      <c r="G3265" s="1" t="str">
        <f t="shared" si="1083"/>
        <v>卡卡杜佳旺专卖店（快手店）</v>
      </c>
      <c r="H3265" s="1" t="str">
        <f t="shared" si="1060"/>
        <v>正常订单</v>
      </c>
      <c r="I3265" s="1" t="str">
        <f t="shared" si="1061"/>
        <v>已发货</v>
      </c>
      <c r="J3265" s="1" t="str">
        <f t="shared" ref="J3265:J3267" si="1085">"5"</f>
        <v>5</v>
      </c>
      <c r="K3265" s="1">
        <v>2</v>
      </c>
      <c r="L3265" s="1" t="s">
        <v>20</v>
      </c>
      <c r="M3265" s="1" t="str">
        <f>"浙江省 嘉兴市 桐乡市 洲泉镇"</f>
        <v>浙江省 嘉兴市 桐乡市 洲泉镇</v>
      </c>
      <c r="N3265" s="1" t="str">
        <f t="shared" si="1084"/>
        <v>凡华云仓-城南圆通-快手</v>
      </c>
      <c r="O3265" s="5" t="s">
        <v>3298</v>
      </c>
      <c r="P3265" s="6">
        <v>0.59</v>
      </c>
      <c r="Q3265" s="11">
        <f t="shared" ref="Q3265:Q3267" si="1086">CEILING(P3265-0.5,0.1)*10*0.15+2.3</f>
        <v>2.4499999999999997</v>
      </c>
      <c r="R3265" s="11"/>
      <c r="S3265" s="11"/>
      <c r="T3265" s="11"/>
      <c r="U3265" s="11">
        <f t="shared" si="1057"/>
        <v>2.4499999999999997</v>
      </c>
      <c r="V3265" t="s">
        <v>15</v>
      </c>
      <c r="W3265">
        <v>2.4500000000000002</v>
      </c>
      <c r="X3265" s="1" t="s">
        <v>20</v>
      </c>
    </row>
    <row r="3266" spans="1:24" x14ac:dyDescent="0.25">
      <c r="A3266" s="1" t="str">
        <f t="shared" si="1058"/>
        <v>卡卡杜-凤凰仓</v>
      </c>
      <c r="B3266" s="1" t="str">
        <f>"CK2024102315590"</f>
        <v>CK2024102315590</v>
      </c>
      <c r="C3266" s="1" t="str">
        <f>"DD2024102343053"</f>
        <v>DD2024102343053</v>
      </c>
      <c r="D3266" s="1" t="str">
        <f>"CK2024102336236"</f>
        <v>CK2024102336236</v>
      </c>
      <c r="E3266" s="1" t="str">
        <f>"2429702105129652"</f>
        <v>2429702105129652</v>
      </c>
      <c r="F3266" s="1" t="str">
        <f t="shared" si="1059"/>
        <v>花都四部-凤凰仓</v>
      </c>
      <c r="G3266" s="1" t="str">
        <f t="shared" si="1083"/>
        <v>卡卡杜佳旺专卖店（快手店）</v>
      </c>
      <c r="H3266" s="1" t="str">
        <f t="shared" si="1060"/>
        <v>正常订单</v>
      </c>
      <c r="I3266" s="1" t="str">
        <f t="shared" si="1061"/>
        <v>已发货</v>
      </c>
      <c r="J3266" s="1" t="str">
        <f t="shared" si="1085"/>
        <v>5</v>
      </c>
      <c r="K3266" s="1">
        <v>2</v>
      </c>
      <c r="L3266" s="1" t="s">
        <v>13</v>
      </c>
      <c r="M3266" s="1" t="str">
        <f>"江苏省 无锡市 江阴市 长泾镇"</f>
        <v>江苏省 无锡市 江阴市 长泾镇</v>
      </c>
      <c r="N3266" s="1" t="str">
        <f t="shared" si="1084"/>
        <v>凡华云仓-城南圆通-快手</v>
      </c>
      <c r="O3266" s="5" t="s">
        <v>3299</v>
      </c>
      <c r="P3266" s="6">
        <v>0.59</v>
      </c>
      <c r="Q3266" s="11">
        <f t="shared" si="1086"/>
        <v>2.4499999999999997</v>
      </c>
      <c r="R3266" s="11"/>
      <c r="S3266" s="11"/>
      <c r="T3266" s="11"/>
      <c r="U3266" s="11">
        <f t="shared" si="1057"/>
        <v>2.4499999999999997</v>
      </c>
      <c r="V3266" t="s">
        <v>15</v>
      </c>
      <c r="W3266">
        <v>2.4500000000000002</v>
      </c>
      <c r="X3266" s="1" t="s">
        <v>13</v>
      </c>
    </row>
    <row r="3267" spans="1:24" x14ac:dyDescent="0.25">
      <c r="A3267" s="1" t="str">
        <f t="shared" si="1058"/>
        <v>卡卡杜-凤凰仓</v>
      </c>
      <c r="B3267" s="1" t="str">
        <f>"CK2024102315596"</f>
        <v>CK2024102315596</v>
      </c>
      <c r="C3267" s="1" t="str">
        <f>"DD2024102343059"</f>
        <v>DD2024102343059</v>
      </c>
      <c r="D3267" s="1" t="str">
        <f>"CK2024102336235"</f>
        <v>CK2024102336235</v>
      </c>
      <c r="E3267" s="1" t="str">
        <f>"2429702178129020"</f>
        <v>2429702178129020</v>
      </c>
      <c r="F3267" s="1" t="str">
        <f t="shared" si="1059"/>
        <v>花都四部-凤凰仓</v>
      </c>
      <c r="G3267" s="1" t="str">
        <f t="shared" si="1083"/>
        <v>卡卡杜佳旺专卖店（快手店）</v>
      </c>
      <c r="H3267" s="1" t="str">
        <f t="shared" si="1060"/>
        <v>正常订单</v>
      </c>
      <c r="I3267" s="1" t="str">
        <f t="shared" si="1061"/>
        <v>已发货</v>
      </c>
      <c r="J3267" s="1" t="str">
        <f t="shared" si="1085"/>
        <v>5</v>
      </c>
      <c r="K3267" s="1">
        <v>2</v>
      </c>
      <c r="L3267" s="1" t="s">
        <v>20</v>
      </c>
      <c r="M3267" s="1" t="str">
        <f>"浙江省 杭州市 临安区 於潜镇"</f>
        <v>浙江省 杭州市 临安区 於潜镇</v>
      </c>
      <c r="N3267" s="1" t="str">
        <f t="shared" si="1084"/>
        <v>凡华云仓-城南圆通-快手</v>
      </c>
      <c r="O3267" s="5" t="s">
        <v>3300</v>
      </c>
      <c r="P3267" s="6">
        <v>0.59</v>
      </c>
      <c r="Q3267" s="11">
        <f t="shared" si="1086"/>
        <v>2.4499999999999997</v>
      </c>
      <c r="R3267" s="11"/>
      <c r="S3267" s="11"/>
      <c r="T3267" s="11"/>
      <c r="U3267" s="11">
        <f t="shared" ref="U3267:U3330" si="1087">T3267+S3267+R3267+Q3267</f>
        <v>2.4499999999999997</v>
      </c>
      <c r="V3267" t="s">
        <v>15</v>
      </c>
      <c r="W3267">
        <v>2.4500000000000002</v>
      </c>
      <c r="X3267" s="1" t="s">
        <v>20</v>
      </c>
    </row>
    <row r="3268" spans="1:24" x14ac:dyDescent="0.25">
      <c r="A3268" s="1" t="str">
        <f t="shared" si="1058"/>
        <v>卡卡杜-凤凰仓</v>
      </c>
      <c r="B3268" s="1" t="str">
        <f>"CK2024102315574"</f>
        <v>CK2024102315574</v>
      </c>
      <c r="C3268" s="1" t="str">
        <f>"DD2024102343038"</f>
        <v>DD2024102343038</v>
      </c>
      <c r="D3268" s="1" t="str">
        <f>"CK2024102336234"</f>
        <v>CK2024102336234</v>
      </c>
      <c r="E3268" s="1" t="str">
        <f>"2429701701907255"</f>
        <v>2429701701907255</v>
      </c>
      <c r="F3268" s="1" t="str">
        <f t="shared" si="1059"/>
        <v>花都四部-凤凰仓</v>
      </c>
      <c r="G3268" s="1" t="str">
        <f t="shared" si="1083"/>
        <v>卡卡杜佳旺专卖店（快手店）</v>
      </c>
      <c r="H3268" s="1" t="str">
        <f t="shared" si="1060"/>
        <v>正常订单</v>
      </c>
      <c r="I3268" s="1" t="str">
        <f t="shared" si="1061"/>
        <v>已发货</v>
      </c>
      <c r="J3268" s="1" t="str">
        <f t="shared" ref="J3268:J3274" si="1088">"3"</f>
        <v>3</v>
      </c>
      <c r="K3268" s="1">
        <v>2</v>
      </c>
      <c r="L3268" s="1" t="s">
        <v>41</v>
      </c>
      <c r="M3268" s="1" t="str">
        <f>"湖北省 孝感市 安陆市 巡店镇"</f>
        <v>湖北省 孝感市 安陆市 巡店镇</v>
      </c>
      <c r="N3268" s="1" t="str">
        <f t="shared" si="1084"/>
        <v>凡华云仓-城南圆通-快手</v>
      </c>
      <c r="O3268" s="5" t="s">
        <v>3301</v>
      </c>
      <c r="P3268" s="6">
        <v>0.35</v>
      </c>
      <c r="Q3268" s="11">
        <v>2.2999999999999998</v>
      </c>
      <c r="R3268" s="11"/>
      <c r="S3268" s="11"/>
      <c r="T3268" s="11"/>
      <c r="U3268" s="11">
        <f t="shared" si="1087"/>
        <v>2.2999999999999998</v>
      </c>
      <c r="W3268">
        <v>2.5</v>
      </c>
      <c r="X3268" s="1" t="s">
        <v>41</v>
      </c>
    </row>
    <row r="3269" spans="1:24" x14ac:dyDescent="0.25">
      <c r="A3269" s="1" t="str">
        <f t="shared" ref="A3269:A3332" si="1089">"卡卡杜-凤凰仓"</f>
        <v>卡卡杜-凤凰仓</v>
      </c>
      <c r="B3269" s="1" t="str">
        <f>"CK2024102315575"</f>
        <v>CK2024102315575</v>
      </c>
      <c r="C3269" s="1" t="str">
        <f>"DD2024102343039"</f>
        <v>DD2024102343039</v>
      </c>
      <c r="D3269" s="1" t="str">
        <f>"CK2024102336233"</f>
        <v>CK2024102336233</v>
      </c>
      <c r="E3269" s="1" t="str">
        <f>"2429702096243001"</f>
        <v>2429702096243001</v>
      </c>
      <c r="F3269" s="1" t="str">
        <f t="shared" ref="F3269:F3332" si="1090">"花都四部-凤凰仓"</f>
        <v>花都四部-凤凰仓</v>
      </c>
      <c r="G3269" s="1" t="str">
        <f t="shared" si="1083"/>
        <v>卡卡杜佳旺专卖店（快手店）</v>
      </c>
      <c r="H3269" s="1" t="str">
        <f t="shared" ref="H3269:H3332" si="1091">"正常订单"</f>
        <v>正常订单</v>
      </c>
      <c r="I3269" s="1" t="str">
        <f t="shared" ref="I3269:I3332" si="1092">"已发货"</f>
        <v>已发货</v>
      </c>
      <c r="J3269" s="1" t="str">
        <f t="shared" si="1088"/>
        <v>3</v>
      </c>
      <c r="K3269" s="1">
        <v>2</v>
      </c>
      <c r="L3269" s="1" t="s">
        <v>1099</v>
      </c>
      <c r="M3269" s="1" t="str">
        <f>"重庆市 重庆市 丰都县 三合街道"</f>
        <v>重庆市 重庆市 丰都县 三合街道</v>
      </c>
      <c r="N3269" s="1" t="str">
        <f t="shared" si="1084"/>
        <v>凡华云仓-城南圆通-快手</v>
      </c>
      <c r="O3269" s="5" t="s">
        <v>3302</v>
      </c>
      <c r="P3269" s="6">
        <v>0.35</v>
      </c>
      <c r="Q3269" s="11">
        <v>2.2999999999999998</v>
      </c>
      <c r="R3269" s="11"/>
      <c r="S3269" s="11"/>
      <c r="T3269" s="11"/>
      <c r="U3269" s="11">
        <f t="shared" si="1087"/>
        <v>2.2999999999999998</v>
      </c>
      <c r="W3269">
        <v>2.5</v>
      </c>
      <c r="X3269" s="1" t="s">
        <v>1099</v>
      </c>
    </row>
    <row r="3270" spans="1:24" x14ac:dyDescent="0.25">
      <c r="A3270" s="1" t="str">
        <f t="shared" si="1089"/>
        <v>卡卡杜-凤凰仓</v>
      </c>
      <c r="B3270" s="1" t="str">
        <f>"CK2024102315576"</f>
        <v>CK2024102315576</v>
      </c>
      <c r="C3270" s="1" t="str">
        <f>"DD2024102343041"</f>
        <v>DD2024102343041</v>
      </c>
      <c r="D3270" s="1" t="str">
        <f>"CK2024102336232"</f>
        <v>CK2024102336232</v>
      </c>
      <c r="E3270" s="1" t="str">
        <f>"2429702496752951"</f>
        <v>2429702496752951</v>
      </c>
      <c r="F3270" s="1" t="str">
        <f t="shared" si="1090"/>
        <v>花都四部-凤凰仓</v>
      </c>
      <c r="G3270" s="1" t="str">
        <f t="shared" si="1083"/>
        <v>卡卡杜佳旺专卖店（快手店）</v>
      </c>
      <c r="H3270" s="1" t="str">
        <f t="shared" si="1091"/>
        <v>正常订单</v>
      </c>
      <c r="I3270" s="1" t="str">
        <f t="shared" si="1092"/>
        <v>已发货</v>
      </c>
      <c r="J3270" s="1" t="str">
        <f t="shared" si="1088"/>
        <v>3</v>
      </c>
      <c r="K3270" s="1">
        <v>2</v>
      </c>
      <c r="L3270" s="1" t="s">
        <v>92</v>
      </c>
      <c r="M3270" s="1" t="str">
        <f>"辽宁省 沈阳市 铁西区 重工街道"</f>
        <v>辽宁省 沈阳市 铁西区 重工街道</v>
      </c>
      <c r="N3270" s="1" t="str">
        <f t="shared" si="1084"/>
        <v>凡华云仓-城南圆通-快手</v>
      </c>
      <c r="O3270" s="5" t="s">
        <v>3303</v>
      </c>
      <c r="P3270" s="6">
        <v>0.35</v>
      </c>
      <c r="Q3270" s="11">
        <v>2.2999999999999998</v>
      </c>
      <c r="R3270" s="11"/>
      <c r="S3270" s="11"/>
      <c r="T3270" s="11"/>
      <c r="U3270" s="11">
        <f t="shared" si="1087"/>
        <v>2.2999999999999998</v>
      </c>
      <c r="W3270">
        <v>2.5</v>
      </c>
      <c r="X3270" s="1" t="s">
        <v>92</v>
      </c>
    </row>
    <row r="3271" spans="1:24" x14ac:dyDescent="0.25">
      <c r="A3271" s="1" t="str">
        <f t="shared" si="1089"/>
        <v>卡卡杜-凤凰仓</v>
      </c>
      <c r="B3271" s="1" t="str">
        <f>"CK2024102315558"</f>
        <v>CK2024102315558</v>
      </c>
      <c r="C3271" s="1" t="str">
        <f>"DD2024102343023"</f>
        <v>DD2024102343023</v>
      </c>
      <c r="D3271" s="1" t="str">
        <f>"CK2024102336231"</f>
        <v>CK2024102336231</v>
      </c>
      <c r="E3271" s="1" t="str">
        <f>"2429702093947951"</f>
        <v>2429702093947951</v>
      </c>
      <c r="F3271" s="1" t="str">
        <f t="shared" si="1090"/>
        <v>花都四部-凤凰仓</v>
      </c>
      <c r="G3271" s="1" t="str">
        <f t="shared" si="1083"/>
        <v>卡卡杜佳旺专卖店（快手店）</v>
      </c>
      <c r="H3271" s="1" t="str">
        <f t="shared" si="1091"/>
        <v>正常订单</v>
      </c>
      <c r="I3271" s="1" t="str">
        <f t="shared" si="1092"/>
        <v>已发货</v>
      </c>
      <c r="J3271" s="1" t="str">
        <f t="shared" si="1088"/>
        <v>3</v>
      </c>
      <c r="K3271" s="1">
        <v>3</v>
      </c>
      <c r="L3271" s="1" t="s">
        <v>710</v>
      </c>
      <c r="M3271" s="1" t="str">
        <f>"上海市 上海市 黄浦区 五里桥街道"</f>
        <v>上海市 上海市 黄浦区 五里桥街道</v>
      </c>
      <c r="N3271" s="1" t="str">
        <f t="shared" si="1084"/>
        <v>凡华云仓-城南圆通-快手</v>
      </c>
      <c r="O3271" s="5" t="s">
        <v>3304</v>
      </c>
      <c r="P3271" s="6">
        <v>0.34</v>
      </c>
      <c r="Q3271" s="11">
        <v>2.2999999999999998</v>
      </c>
      <c r="R3271" s="11"/>
      <c r="S3271" s="11"/>
      <c r="T3271" s="11"/>
      <c r="U3271" s="11">
        <f t="shared" si="1087"/>
        <v>2.2999999999999998</v>
      </c>
      <c r="W3271">
        <v>2.5</v>
      </c>
      <c r="X3271" s="1" t="s">
        <v>710</v>
      </c>
    </row>
    <row r="3272" spans="1:24" x14ac:dyDescent="0.25">
      <c r="A3272" s="1" t="str">
        <f t="shared" si="1089"/>
        <v>卡卡杜-凤凰仓</v>
      </c>
      <c r="B3272" s="1" t="str">
        <f>"CK2024102315559"</f>
        <v>CK2024102315559</v>
      </c>
      <c r="C3272" s="1" t="str">
        <f>"DD2024102343024"</f>
        <v>DD2024102343024</v>
      </c>
      <c r="D3272" s="1" t="str">
        <f>"CK2024102336230"</f>
        <v>CK2024102336230</v>
      </c>
      <c r="E3272" s="1" t="str">
        <f>"2429701857569951"</f>
        <v>2429701857569951</v>
      </c>
      <c r="F3272" s="1" t="str">
        <f t="shared" si="1090"/>
        <v>花都四部-凤凰仓</v>
      </c>
      <c r="G3272" s="1" t="str">
        <f t="shared" si="1083"/>
        <v>卡卡杜佳旺专卖店（快手店）</v>
      </c>
      <c r="H3272" s="1" t="str">
        <f t="shared" si="1091"/>
        <v>正常订单</v>
      </c>
      <c r="I3272" s="1" t="str">
        <f t="shared" si="1092"/>
        <v>已发货</v>
      </c>
      <c r="J3272" s="1" t="str">
        <f t="shared" si="1088"/>
        <v>3</v>
      </c>
      <c r="K3272" s="1">
        <v>3</v>
      </c>
      <c r="L3272" s="1" t="s">
        <v>18</v>
      </c>
      <c r="M3272" s="1" t="str">
        <f>"广东省 肇庆市 四会市 东城街道"</f>
        <v>广东省 肇庆市 四会市 东城街道</v>
      </c>
      <c r="N3272" s="1" t="str">
        <f t="shared" si="1084"/>
        <v>凡华云仓-城南圆通-快手</v>
      </c>
      <c r="O3272" s="5" t="s">
        <v>3305</v>
      </c>
      <c r="P3272" s="6">
        <v>0.34</v>
      </c>
      <c r="Q3272" s="11">
        <v>2.2999999999999998</v>
      </c>
      <c r="R3272" s="11"/>
      <c r="S3272" s="11"/>
      <c r="T3272" s="11"/>
      <c r="U3272" s="11">
        <f t="shared" si="1087"/>
        <v>2.2999999999999998</v>
      </c>
      <c r="W3272">
        <v>2.5</v>
      </c>
      <c r="X3272" s="1" t="s">
        <v>18</v>
      </c>
    </row>
    <row r="3273" spans="1:24" x14ac:dyDescent="0.25">
      <c r="A3273" s="1" t="str">
        <f t="shared" si="1089"/>
        <v>卡卡杜-凤凰仓</v>
      </c>
      <c r="B3273" s="1" t="str">
        <f>"CK2024102315557"</f>
        <v>CK2024102315557</v>
      </c>
      <c r="C3273" s="1" t="str">
        <f>"DD2024102343025"</f>
        <v>DD2024102343025</v>
      </c>
      <c r="D3273" s="1" t="str">
        <f>"CK2024102336229"</f>
        <v>CK2024102336229</v>
      </c>
      <c r="E3273" s="1" t="str">
        <f>"2429702341785601"</f>
        <v>2429702341785601</v>
      </c>
      <c r="F3273" s="1" t="str">
        <f t="shared" si="1090"/>
        <v>花都四部-凤凰仓</v>
      </c>
      <c r="G3273" s="1" t="str">
        <f t="shared" si="1083"/>
        <v>卡卡杜佳旺专卖店（快手店）</v>
      </c>
      <c r="H3273" s="1" t="str">
        <f t="shared" si="1091"/>
        <v>正常订单</v>
      </c>
      <c r="I3273" s="1" t="str">
        <f t="shared" si="1092"/>
        <v>已发货</v>
      </c>
      <c r="J3273" s="1" t="str">
        <f t="shared" si="1088"/>
        <v>3</v>
      </c>
      <c r="K3273" s="1">
        <v>3</v>
      </c>
      <c r="L3273" s="1" t="s">
        <v>136</v>
      </c>
      <c r="M3273" s="1" t="str">
        <f>"北京市 北京市 大兴区 亦庄地区"</f>
        <v>北京市 北京市 大兴区 亦庄地区</v>
      </c>
      <c r="N3273" s="1" t="str">
        <f t="shared" si="1084"/>
        <v>凡华云仓-城南圆通-快手</v>
      </c>
      <c r="O3273" s="5" t="s">
        <v>3306</v>
      </c>
      <c r="P3273" s="6">
        <v>0.34</v>
      </c>
      <c r="Q3273" s="11">
        <v>2.2999999999999998</v>
      </c>
      <c r="R3273" s="11"/>
      <c r="S3273" s="11"/>
      <c r="T3273" s="11"/>
      <c r="U3273" s="11">
        <f t="shared" si="1087"/>
        <v>2.2999999999999998</v>
      </c>
      <c r="W3273">
        <v>2.5</v>
      </c>
      <c r="X3273" s="1" t="s">
        <v>136</v>
      </c>
    </row>
    <row r="3274" spans="1:24" x14ac:dyDescent="0.25">
      <c r="A3274" s="1" t="str">
        <f t="shared" si="1089"/>
        <v>卡卡杜-凤凰仓</v>
      </c>
      <c r="B3274" s="1" t="str">
        <f>"CK2024102315586"</f>
        <v>CK2024102315586</v>
      </c>
      <c r="C3274" s="1" t="str">
        <f>"DD2024102343050"</f>
        <v>DD2024102343050</v>
      </c>
      <c r="D3274" s="1" t="str">
        <f>"CK2024102336228"</f>
        <v>CK2024102336228</v>
      </c>
      <c r="E3274" s="1" t="str">
        <f>"2429702096392496"</f>
        <v>2429702096392496</v>
      </c>
      <c r="F3274" s="1" t="str">
        <f t="shared" si="1090"/>
        <v>花都四部-凤凰仓</v>
      </c>
      <c r="G3274" s="1" t="str">
        <f t="shared" si="1083"/>
        <v>卡卡杜佳旺专卖店（快手店）</v>
      </c>
      <c r="H3274" s="1" t="str">
        <f t="shared" si="1091"/>
        <v>正常订单</v>
      </c>
      <c r="I3274" s="1" t="str">
        <f t="shared" si="1092"/>
        <v>已发货</v>
      </c>
      <c r="J3274" s="1" t="str">
        <f t="shared" si="1088"/>
        <v>3</v>
      </c>
      <c r="K3274" s="1">
        <v>2</v>
      </c>
      <c r="L3274" s="1" t="s">
        <v>13</v>
      </c>
      <c r="M3274" s="1" t="str">
        <f>"江苏省 苏州市 昆山市 玉山镇"</f>
        <v>江苏省 苏州市 昆山市 玉山镇</v>
      </c>
      <c r="N3274" s="1" t="str">
        <f t="shared" si="1084"/>
        <v>凡华云仓-城南圆通-快手</v>
      </c>
      <c r="O3274" s="5" t="s">
        <v>3307</v>
      </c>
      <c r="P3274" s="6">
        <v>0.35</v>
      </c>
      <c r="Q3274" s="11">
        <v>2.2999999999999998</v>
      </c>
      <c r="R3274" s="11"/>
      <c r="S3274" s="11"/>
      <c r="T3274" s="11"/>
      <c r="U3274" s="11">
        <f t="shared" si="1087"/>
        <v>2.2999999999999998</v>
      </c>
      <c r="W3274">
        <v>2.5</v>
      </c>
      <c r="X3274" s="1" t="s">
        <v>13</v>
      </c>
    </row>
    <row r="3275" spans="1:24" x14ac:dyDescent="0.25">
      <c r="A3275" s="1" t="str">
        <f t="shared" si="1089"/>
        <v>卡卡杜-凤凰仓</v>
      </c>
      <c r="B3275" s="1" t="str">
        <f>"CK2024102315595"</f>
        <v>CK2024102315595</v>
      </c>
      <c r="C3275" s="1" t="str">
        <f>"DD2024102343057"</f>
        <v>DD2024102343057</v>
      </c>
      <c r="D3275" s="1" t="str">
        <f>"CK2024102336227"</f>
        <v>CK2024102336227</v>
      </c>
      <c r="E3275" s="1" t="str">
        <f>"2429702261795151"</f>
        <v>2429702261795151</v>
      </c>
      <c r="F3275" s="1" t="str">
        <f t="shared" si="1090"/>
        <v>花都四部-凤凰仓</v>
      </c>
      <c r="G3275" s="1" t="str">
        <f t="shared" si="1083"/>
        <v>卡卡杜佳旺专卖店（快手店）</v>
      </c>
      <c r="H3275" s="1" t="str">
        <f t="shared" si="1091"/>
        <v>正常订单</v>
      </c>
      <c r="I3275" s="1" t="str">
        <f t="shared" si="1092"/>
        <v>已发货</v>
      </c>
      <c r="J3275" s="1" t="str">
        <f>"5"</f>
        <v>5</v>
      </c>
      <c r="K3275" s="1">
        <v>2</v>
      </c>
      <c r="L3275" s="1" t="s">
        <v>20</v>
      </c>
      <c r="M3275" s="1" t="str">
        <f>"浙江省 温州市 鹿城区 丰门街道"</f>
        <v>浙江省 温州市 鹿城区 丰门街道</v>
      </c>
      <c r="N3275" s="1" t="str">
        <f t="shared" si="1084"/>
        <v>凡华云仓-城南圆通-快手</v>
      </c>
      <c r="O3275" s="5" t="s">
        <v>3308</v>
      </c>
      <c r="P3275" s="6">
        <v>0.59</v>
      </c>
      <c r="Q3275" s="11">
        <f>CEILING(P3275-0.5,0.1)*10*0.15+2.3</f>
        <v>2.4499999999999997</v>
      </c>
      <c r="R3275" s="11"/>
      <c r="S3275" s="11"/>
      <c r="T3275" s="11"/>
      <c r="U3275" s="11">
        <f t="shared" si="1087"/>
        <v>2.4499999999999997</v>
      </c>
      <c r="V3275" t="s">
        <v>15</v>
      </c>
      <c r="W3275">
        <v>2.4500000000000002</v>
      </c>
      <c r="X3275" s="1" t="s">
        <v>20</v>
      </c>
    </row>
    <row r="3276" spans="1:24" x14ac:dyDescent="0.25">
      <c r="A3276" s="1" t="str">
        <f t="shared" si="1089"/>
        <v>卡卡杜-凤凰仓</v>
      </c>
      <c r="B3276" s="1" t="str">
        <f>"CK2024102315583"</f>
        <v>CK2024102315583</v>
      </c>
      <c r="C3276" s="1" t="str">
        <f>"DD2024102343047"</f>
        <v>DD2024102343047</v>
      </c>
      <c r="D3276" s="1" t="str">
        <f>"CK2024102336226"</f>
        <v>CK2024102336226</v>
      </c>
      <c r="E3276" s="1" t="str">
        <f>"2429701621619799"</f>
        <v>2429701621619799</v>
      </c>
      <c r="F3276" s="1" t="str">
        <f t="shared" si="1090"/>
        <v>花都四部-凤凰仓</v>
      </c>
      <c r="G3276" s="1" t="str">
        <f t="shared" si="1083"/>
        <v>卡卡杜佳旺专卖店（快手店）</v>
      </c>
      <c r="H3276" s="1" t="str">
        <f t="shared" si="1091"/>
        <v>正常订单</v>
      </c>
      <c r="I3276" s="1" t="str">
        <f t="shared" si="1092"/>
        <v>已发货</v>
      </c>
      <c r="J3276" s="1" t="str">
        <f t="shared" ref="J3276:J3282" si="1093">"3"</f>
        <v>3</v>
      </c>
      <c r="K3276" s="1">
        <v>2</v>
      </c>
      <c r="L3276" s="1" t="s">
        <v>30</v>
      </c>
      <c r="M3276" s="1" t="str">
        <f>"山东省 德州市 齐河县 潘店镇"</f>
        <v>山东省 德州市 齐河县 潘店镇</v>
      </c>
      <c r="N3276" s="1" t="str">
        <f t="shared" si="1084"/>
        <v>凡华云仓-城南圆通-快手</v>
      </c>
      <c r="O3276" s="5" t="s">
        <v>3309</v>
      </c>
      <c r="P3276" s="6">
        <v>0.35</v>
      </c>
      <c r="Q3276" s="11">
        <v>2.2999999999999998</v>
      </c>
      <c r="R3276" s="11"/>
      <c r="S3276" s="11"/>
      <c r="T3276" s="11"/>
      <c r="U3276" s="11">
        <f t="shared" si="1087"/>
        <v>2.2999999999999998</v>
      </c>
      <c r="W3276">
        <v>2.5</v>
      </c>
      <c r="X3276" s="1" t="s">
        <v>30</v>
      </c>
    </row>
    <row r="3277" spans="1:24" x14ac:dyDescent="0.25">
      <c r="A3277" s="1" t="str">
        <f t="shared" si="1089"/>
        <v>卡卡杜-凤凰仓</v>
      </c>
      <c r="B3277" s="1" t="str">
        <f>"CK2024102315589"</f>
        <v>CK2024102315589</v>
      </c>
      <c r="C3277" s="1" t="str">
        <f>"DD2024102343052"</f>
        <v>DD2024102343052</v>
      </c>
      <c r="D3277" s="1" t="str">
        <f>"CK2024102336225"</f>
        <v>CK2024102336225</v>
      </c>
      <c r="E3277" s="1" t="str">
        <f>"2429702254049002"</f>
        <v>2429702254049002</v>
      </c>
      <c r="F3277" s="1" t="str">
        <f t="shared" si="1090"/>
        <v>花都四部-凤凰仓</v>
      </c>
      <c r="G3277" s="1" t="str">
        <f t="shared" si="1083"/>
        <v>卡卡杜佳旺专卖店（快手店）</v>
      </c>
      <c r="H3277" s="1" t="str">
        <f t="shared" si="1091"/>
        <v>正常订单</v>
      </c>
      <c r="I3277" s="1" t="str">
        <f t="shared" si="1092"/>
        <v>已发货</v>
      </c>
      <c r="J3277" s="1" t="str">
        <f>"5"</f>
        <v>5</v>
      </c>
      <c r="K3277" s="1">
        <v>2</v>
      </c>
      <c r="L3277" s="1" t="s">
        <v>36</v>
      </c>
      <c r="M3277" s="1" t="str">
        <f>"安徽省 蚌埠市 蚌山区 青年街道"</f>
        <v>安徽省 蚌埠市 蚌山区 青年街道</v>
      </c>
      <c r="N3277" s="1" t="str">
        <f t="shared" si="1084"/>
        <v>凡华云仓-城南圆通-快手</v>
      </c>
      <c r="O3277" s="5" t="s">
        <v>3310</v>
      </c>
      <c r="P3277" s="6">
        <v>0.59</v>
      </c>
      <c r="Q3277" s="11">
        <f>CEILING(P3277-0.5,0.1)*10*0.15+2.3</f>
        <v>2.4499999999999997</v>
      </c>
      <c r="R3277" s="11"/>
      <c r="S3277" s="11"/>
      <c r="T3277" s="11"/>
      <c r="U3277" s="11">
        <f t="shared" si="1087"/>
        <v>2.4499999999999997</v>
      </c>
      <c r="V3277" t="s">
        <v>15</v>
      </c>
      <c r="W3277">
        <v>2.4500000000000002</v>
      </c>
      <c r="X3277" s="1" t="s">
        <v>36</v>
      </c>
    </row>
    <row r="3278" spans="1:24" x14ac:dyDescent="0.25">
      <c r="A3278" s="1" t="str">
        <f t="shared" si="1089"/>
        <v>卡卡杜-凤凰仓</v>
      </c>
      <c r="B3278" s="1" t="str">
        <f>"CK2024102315582"</f>
        <v>CK2024102315582</v>
      </c>
      <c r="C3278" s="1" t="str">
        <f>"DD2024102343046"</f>
        <v>DD2024102343046</v>
      </c>
      <c r="D3278" s="1" t="str">
        <f>"CK2024102336224"</f>
        <v>CK2024102336224</v>
      </c>
      <c r="E3278" s="1" t="str">
        <f>"2429702173010367"</f>
        <v>2429702173010367</v>
      </c>
      <c r="F3278" s="1" t="str">
        <f t="shared" si="1090"/>
        <v>花都四部-凤凰仓</v>
      </c>
      <c r="G3278" s="1" t="str">
        <f t="shared" si="1083"/>
        <v>卡卡杜佳旺专卖店（快手店）</v>
      </c>
      <c r="H3278" s="1" t="str">
        <f t="shared" si="1091"/>
        <v>正常订单</v>
      </c>
      <c r="I3278" s="1" t="str">
        <f t="shared" si="1092"/>
        <v>已发货</v>
      </c>
      <c r="J3278" s="1" t="str">
        <f t="shared" si="1093"/>
        <v>3</v>
      </c>
      <c r="K3278" s="1">
        <v>2</v>
      </c>
      <c r="L3278" s="1" t="s">
        <v>36</v>
      </c>
      <c r="M3278" s="1" t="str">
        <f>"安徽省 淮南市 寿县 双庙集镇"</f>
        <v>安徽省 淮南市 寿县 双庙集镇</v>
      </c>
      <c r="N3278" s="1" t="str">
        <f t="shared" si="1084"/>
        <v>凡华云仓-城南圆通-快手</v>
      </c>
      <c r="O3278" s="5" t="s">
        <v>3311</v>
      </c>
      <c r="P3278" s="6">
        <v>0.35</v>
      </c>
      <c r="Q3278" s="11">
        <v>2.2999999999999998</v>
      </c>
      <c r="R3278" s="11"/>
      <c r="S3278" s="11"/>
      <c r="T3278" s="11"/>
      <c r="U3278" s="11">
        <f t="shared" si="1087"/>
        <v>2.2999999999999998</v>
      </c>
      <c r="W3278">
        <v>2.5</v>
      </c>
      <c r="X3278" s="1" t="s">
        <v>36</v>
      </c>
    </row>
    <row r="3279" spans="1:24" x14ac:dyDescent="0.25">
      <c r="A3279" s="1" t="str">
        <f t="shared" si="1089"/>
        <v>卡卡杜-凤凰仓</v>
      </c>
      <c r="B3279" s="1" t="str">
        <f>"CK2024102315579"</f>
        <v>CK2024102315579</v>
      </c>
      <c r="C3279" s="1" t="str">
        <f>"DD2024102343043"</f>
        <v>DD2024102343043</v>
      </c>
      <c r="D3279" s="1" t="str">
        <f>"CK2024102336223"</f>
        <v>CK2024102336223</v>
      </c>
      <c r="E3279" s="1" t="str">
        <f>"2429701713921480"</f>
        <v>2429701713921480</v>
      </c>
      <c r="F3279" s="1" t="str">
        <f t="shared" si="1090"/>
        <v>花都四部-凤凰仓</v>
      </c>
      <c r="G3279" s="1" t="str">
        <f t="shared" si="1083"/>
        <v>卡卡杜佳旺专卖店（快手店）</v>
      </c>
      <c r="H3279" s="1" t="str">
        <f t="shared" si="1091"/>
        <v>正常订单</v>
      </c>
      <c r="I3279" s="1" t="str">
        <f t="shared" si="1092"/>
        <v>已发货</v>
      </c>
      <c r="J3279" s="1" t="str">
        <f t="shared" si="1093"/>
        <v>3</v>
      </c>
      <c r="K3279" s="1">
        <v>2</v>
      </c>
      <c r="L3279" s="1" t="s">
        <v>24</v>
      </c>
      <c r="M3279" s="1" t="str">
        <f>"福建省 泉州市 惠安县 螺阳镇"</f>
        <v>福建省 泉州市 惠安县 螺阳镇</v>
      </c>
      <c r="N3279" s="1" t="str">
        <f t="shared" si="1084"/>
        <v>凡华云仓-城南圆通-快手</v>
      </c>
      <c r="O3279" s="5" t="s">
        <v>3312</v>
      </c>
      <c r="P3279" s="6">
        <v>0.35</v>
      </c>
      <c r="Q3279" s="11">
        <v>2.2999999999999998</v>
      </c>
      <c r="R3279" s="11"/>
      <c r="S3279" s="11"/>
      <c r="T3279" s="11"/>
      <c r="U3279" s="11">
        <f t="shared" si="1087"/>
        <v>2.2999999999999998</v>
      </c>
      <c r="W3279">
        <v>2.5</v>
      </c>
      <c r="X3279" s="1" t="s">
        <v>24</v>
      </c>
    </row>
    <row r="3280" spans="1:24" x14ac:dyDescent="0.25">
      <c r="A3280" s="1" t="str">
        <f t="shared" si="1089"/>
        <v>卡卡杜-凤凰仓</v>
      </c>
      <c r="B3280" s="1" t="str">
        <f>"CK2024102315585"</f>
        <v>CK2024102315585</v>
      </c>
      <c r="C3280" s="1" t="str">
        <f>"DD2024102343049"</f>
        <v>DD2024102343049</v>
      </c>
      <c r="D3280" s="1" t="str">
        <f>"CK2024102336222"</f>
        <v>CK2024102336222</v>
      </c>
      <c r="E3280" s="1" t="str">
        <f>"2429702021354124"</f>
        <v>2429702021354124</v>
      </c>
      <c r="F3280" s="1" t="str">
        <f t="shared" si="1090"/>
        <v>花都四部-凤凰仓</v>
      </c>
      <c r="G3280" s="1" t="str">
        <f t="shared" si="1083"/>
        <v>卡卡杜佳旺专卖店（快手店）</v>
      </c>
      <c r="H3280" s="1" t="str">
        <f t="shared" si="1091"/>
        <v>正常订单</v>
      </c>
      <c r="I3280" s="1" t="str">
        <f t="shared" si="1092"/>
        <v>已发货</v>
      </c>
      <c r="J3280" s="1" t="str">
        <f t="shared" si="1093"/>
        <v>3</v>
      </c>
      <c r="K3280" s="1">
        <v>2</v>
      </c>
      <c r="L3280" s="1" t="s">
        <v>18</v>
      </c>
      <c r="M3280" s="1" t="str">
        <f>"广东省 深圳市 宝安区 石岩街道"</f>
        <v>广东省 深圳市 宝安区 石岩街道</v>
      </c>
      <c r="N3280" s="1" t="str">
        <f t="shared" si="1084"/>
        <v>凡华云仓-城南圆通-快手</v>
      </c>
      <c r="O3280" s="5" t="s">
        <v>3313</v>
      </c>
      <c r="P3280" s="6">
        <v>0.35</v>
      </c>
      <c r="Q3280" s="11">
        <v>2.2999999999999998</v>
      </c>
      <c r="R3280" s="11"/>
      <c r="S3280" s="11"/>
      <c r="T3280" s="11"/>
      <c r="U3280" s="11">
        <f t="shared" si="1087"/>
        <v>2.2999999999999998</v>
      </c>
      <c r="W3280">
        <v>2.5</v>
      </c>
      <c r="X3280" s="1" t="s">
        <v>18</v>
      </c>
    </row>
    <row r="3281" spans="1:24" x14ac:dyDescent="0.25">
      <c r="A3281" s="1" t="str">
        <f t="shared" si="1089"/>
        <v>卡卡杜-凤凰仓</v>
      </c>
      <c r="B3281" s="1" t="str">
        <f>"CK2024102315581"</f>
        <v>CK2024102315581</v>
      </c>
      <c r="C3281" s="1" t="str">
        <f>"DD2024102343044"</f>
        <v>DD2024102343044</v>
      </c>
      <c r="D3281" s="1" t="str">
        <f>"CK2024102336221"</f>
        <v>CK2024102336221</v>
      </c>
      <c r="E3281" s="1" t="str">
        <f>"2429701864552965"</f>
        <v>2429701864552965</v>
      </c>
      <c r="F3281" s="1" t="str">
        <f t="shared" si="1090"/>
        <v>花都四部-凤凰仓</v>
      </c>
      <c r="G3281" s="1" t="str">
        <f t="shared" si="1083"/>
        <v>卡卡杜佳旺专卖店（快手店）</v>
      </c>
      <c r="H3281" s="1" t="str">
        <f t="shared" si="1091"/>
        <v>正常订单</v>
      </c>
      <c r="I3281" s="1" t="str">
        <f t="shared" si="1092"/>
        <v>已发货</v>
      </c>
      <c r="J3281" s="1" t="str">
        <f t="shared" si="1093"/>
        <v>3</v>
      </c>
      <c r="K3281" s="1">
        <v>2</v>
      </c>
      <c r="L3281" s="1" t="s">
        <v>80</v>
      </c>
      <c r="M3281" s="1" t="str">
        <f>"河南省 信阳市 光山县 紫水街道"</f>
        <v>河南省 信阳市 光山县 紫水街道</v>
      </c>
      <c r="N3281" s="1" t="str">
        <f t="shared" si="1084"/>
        <v>凡华云仓-城南圆通-快手</v>
      </c>
      <c r="O3281" s="5" t="s">
        <v>3314</v>
      </c>
      <c r="P3281" s="6">
        <v>0.35</v>
      </c>
      <c r="Q3281" s="11">
        <v>2.2999999999999998</v>
      </c>
      <c r="R3281" s="11"/>
      <c r="S3281" s="11"/>
      <c r="T3281" s="11"/>
      <c r="U3281" s="11">
        <f t="shared" si="1087"/>
        <v>2.2999999999999998</v>
      </c>
      <c r="W3281">
        <v>2.5</v>
      </c>
      <c r="X3281" s="1" t="s">
        <v>80</v>
      </c>
    </row>
    <row r="3282" spans="1:24" x14ac:dyDescent="0.25">
      <c r="A3282" s="1" t="str">
        <f t="shared" si="1089"/>
        <v>卡卡杜-凤凰仓</v>
      </c>
      <c r="B3282" s="1" t="str">
        <f>"CK2024102315587"</f>
        <v>CK2024102315587</v>
      </c>
      <c r="C3282" s="1" t="str">
        <f>"DD2024102343051"</f>
        <v>DD2024102343051</v>
      </c>
      <c r="D3282" s="1" t="str">
        <f>"CK2024102336220"</f>
        <v>CK2024102336220</v>
      </c>
      <c r="E3282" s="1" t="str">
        <f>"2429702254362913"</f>
        <v>2429702254362913</v>
      </c>
      <c r="F3282" s="1" t="str">
        <f t="shared" si="1090"/>
        <v>花都四部-凤凰仓</v>
      </c>
      <c r="G3282" s="1" t="str">
        <f t="shared" si="1083"/>
        <v>卡卡杜佳旺专卖店（快手店）</v>
      </c>
      <c r="H3282" s="1" t="str">
        <f t="shared" si="1091"/>
        <v>正常订单</v>
      </c>
      <c r="I3282" s="1" t="str">
        <f t="shared" si="1092"/>
        <v>已发货</v>
      </c>
      <c r="J3282" s="1" t="str">
        <f t="shared" si="1093"/>
        <v>3</v>
      </c>
      <c r="K3282" s="1">
        <v>2</v>
      </c>
      <c r="L3282" s="1" t="s">
        <v>92</v>
      </c>
      <c r="M3282" s="1" t="str">
        <f>"辽宁省 大连市 西岗区 香炉礁街道"</f>
        <v>辽宁省 大连市 西岗区 香炉礁街道</v>
      </c>
      <c r="N3282" s="1" t="str">
        <f t="shared" si="1084"/>
        <v>凡华云仓-城南圆通-快手</v>
      </c>
      <c r="O3282" s="5" t="s">
        <v>3315</v>
      </c>
      <c r="P3282" s="6">
        <v>0.35</v>
      </c>
      <c r="Q3282" s="11">
        <v>2.2999999999999998</v>
      </c>
      <c r="R3282" s="11"/>
      <c r="S3282" s="11"/>
      <c r="T3282" s="11"/>
      <c r="U3282" s="11">
        <f t="shared" si="1087"/>
        <v>2.2999999999999998</v>
      </c>
      <c r="W3282">
        <v>2.5</v>
      </c>
      <c r="X3282" s="1" t="s">
        <v>92</v>
      </c>
    </row>
    <row r="3283" spans="1:24" x14ac:dyDescent="0.25">
      <c r="A3283" s="1" t="str">
        <f t="shared" si="1089"/>
        <v>卡卡杜-凤凰仓</v>
      </c>
      <c r="B3283" s="1" t="str">
        <f>"CK2024102315601"</f>
        <v>CK2024102315601</v>
      </c>
      <c r="C3283" s="1" t="str">
        <f>"DD2024102343063"</f>
        <v>DD2024102343063</v>
      </c>
      <c r="D3283" s="1" t="str">
        <f>"CK2024102336219"</f>
        <v>CK2024102336219</v>
      </c>
      <c r="E3283" s="1" t="str">
        <f>"2429702257513391"</f>
        <v>2429702257513391</v>
      </c>
      <c r="F3283" s="1" t="str">
        <f t="shared" si="1090"/>
        <v>花都四部-凤凰仓</v>
      </c>
      <c r="G3283" s="1" t="str">
        <f t="shared" si="1083"/>
        <v>卡卡杜佳旺专卖店（快手店）</v>
      </c>
      <c r="H3283" s="1" t="str">
        <f t="shared" si="1091"/>
        <v>正常订单</v>
      </c>
      <c r="I3283" s="1" t="str">
        <f t="shared" si="1092"/>
        <v>已发货</v>
      </c>
      <c r="J3283" s="1" t="str">
        <f>"5"</f>
        <v>5</v>
      </c>
      <c r="K3283" s="1">
        <v>2</v>
      </c>
      <c r="L3283" s="1" t="s">
        <v>13</v>
      </c>
      <c r="M3283" s="1" t="str">
        <f>"江苏省 苏州市 昆山市 淀山湖镇"</f>
        <v>江苏省 苏州市 昆山市 淀山湖镇</v>
      </c>
      <c r="N3283" s="1" t="str">
        <f t="shared" si="1084"/>
        <v>凡华云仓-城南圆通-快手</v>
      </c>
      <c r="O3283" s="5" t="s">
        <v>3316</v>
      </c>
      <c r="P3283" s="6">
        <v>0.59</v>
      </c>
      <c r="Q3283" s="11">
        <f>CEILING(P3283-0.5,0.1)*10*0.15+2.3</f>
        <v>2.4499999999999997</v>
      </c>
      <c r="R3283" s="11"/>
      <c r="S3283" s="11"/>
      <c r="T3283" s="11"/>
      <c r="U3283" s="11">
        <f t="shared" si="1087"/>
        <v>2.4499999999999997</v>
      </c>
      <c r="V3283" t="s">
        <v>15</v>
      </c>
      <c r="W3283">
        <v>2.4500000000000002</v>
      </c>
      <c r="X3283" s="1" t="s">
        <v>13</v>
      </c>
    </row>
    <row r="3284" spans="1:24" x14ac:dyDescent="0.25">
      <c r="A3284" s="1" t="str">
        <f t="shared" si="1089"/>
        <v>卡卡杜-凤凰仓</v>
      </c>
      <c r="B3284" s="1" t="str">
        <f>"CK20241023150"</f>
        <v>CK20241023150</v>
      </c>
      <c r="C3284" s="1" t="str">
        <f>"DD2024102317311"</f>
        <v>DD2024102317311</v>
      </c>
      <c r="D3284" s="1" t="str">
        <f>"CK2024102322450"</f>
        <v>CK2024102322450</v>
      </c>
      <c r="E3284" s="1" t="str">
        <f>"3723502783795954944"</f>
        <v>3723502783795954944</v>
      </c>
      <c r="F3284" s="1" t="str">
        <f t="shared" si="1090"/>
        <v>花都四部-凤凰仓</v>
      </c>
      <c r="G3284" s="1" t="str">
        <f t="shared" ref="G3284:G3347" si="1094">"卡卡杜企业店（视频号）"</f>
        <v>卡卡杜企业店（视频号）</v>
      </c>
      <c r="H3284" s="1" t="str">
        <f t="shared" si="1091"/>
        <v>正常订单</v>
      </c>
      <c r="I3284" s="1" t="str">
        <f t="shared" si="1092"/>
        <v>已发货</v>
      </c>
      <c r="J3284" s="1" t="str">
        <f t="shared" ref="J3284:J3291" si="1095">"3"</f>
        <v>3</v>
      </c>
      <c r="K3284" s="1">
        <v>3</v>
      </c>
      <c r="L3284" s="1" t="s">
        <v>13</v>
      </c>
      <c r="M3284" s="1" t="str">
        <f>"江苏省 常州市 天宁区 "</f>
        <v xml:space="preserve">江苏省 常州市 天宁区 </v>
      </c>
      <c r="N3284" s="1" t="str">
        <f t="shared" ref="N3284:N3347" si="1096">"凡华云仓-城南圆通-微信视频号"</f>
        <v>凡华云仓-城南圆通-微信视频号</v>
      </c>
      <c r="O3284" s="5" t="s">
        <v>3317</v>
      </c>
      <c r="P3284" s="6">
        <v>0.34</v>
      </c>
      <c r="Q3284" s="11">
        <v>2.2999999999999998</v>
      </c>
      <c r="R3284" s="11"/>
      <c r="S3284" s="11"/>
      <c r="T3284" s="11"/>
      <c r="U3284" s="11">
        <f t="shared" si="1087"/>
        <v>2.2999999999999998</v>
      </c>
      <c r="W3284">
        <v>2.5</v>
      </c>
      <c r="X3284" s="1" t="s">
        <v>13</v>
      </c>
    </row>
    <row r="3285" spans="1:24" x14ac:dyDescent="0.25">
      <c r="A3285" s="1" t="str">
        <f t="shared" si="1089"/>
        <v>卡卡杜-凤凰仓</v>
      </c>
      <c r="B3285" s="1" t="str">
        <f>"CK20241023115"</f>
        <v>CK20241023115</v>
      </c>
      <c r="C3285" s="1" t="str">
        <f>"DD2024102317261"</f>
        <v>DD2024102317261</v>
      </c>
      <c r="D3285" s="1" t="str">
        <f>"CK2024102322449"</f>
        <v>CK2024102322449</v>
      </c>
      <c r="E3285" s="1" t="str">
        <f>"3723502609922919424"</f>
        <v>3723502609922919424</v>
      </c>
      <c r="F3285" s="1" t="str">
        <f t="shared" si="1090"/>
        <v>花都四部-凤凰仓</v>
      </c>
      <c r="G3285" s="1" t="str">
        <f t="shared" si="1094"/>
        <v>卡卡杜企业店（视频号）</v>
      </c>
      <c r="H3285" s="1" t="str">
        <f t="shared" si="1091"/>
        <v>正常订单</v>
      </c>
      <c r="I3285" s="1" t="str">
        <f t="shared" si="1092"/>
        <v>已发货</v>
      </c>
      <c r="J3285" s="1" t="str">
        <f>"2"</f>
        <v>2</v>
      </c>
      <c r="K3285" s="1">
        <v>2</v>
      </c>
      <c r="L3285" s="1" t="s">
        <v>13</v>
      </c>
      <c r="M3285" s="1" t="str">
        <f>"江苏省 镇江市 句容市 "</f>
        <v xml:space="preserve">江苏省 镇江市 句容市 </v>
      </c>
      <c r="N3285" s="1" t="str">
        <f t="shared" si="1096"/>
        <v>凡华云仓-城南圆通-微信视频号</v>
      </c>
      <c r="O3285" s="5" t="s">
        <v>3318</v>
      </c>
      <c r="P3285" s="6">
        <v>0.17</v>
      </c>
      <c r="Q3285" s="11">
        <v>2</v>
      </c>
      <c r="R3285" s="11"/>
      <c r="S3285" s="11"/>
      <c r="T3285" s="11"/>
      <c r="U3285" s="11">
        <f t="shared" si="1087"/>
        <v>2</v>
      </c>
      <c r="W3285">
        <v>2.2000000000000002</v>
      </c>
      <c r="X3285" s="1" t="s">
        <v>13</v>
      </c>
    </row>
    <row r="3286" spans="1:24" x14ac:dyDescent="0.25">
      <c r="A3286" s="1" t="str">
        <f t="shared" si="1089"/>
        <v>卡卡杜-凤凰仓</v>
      </c>
      <c r="B3286" s="1" t="str">
        <f>"CK20241023114"</f>
        <v>CK20241023114</v>
      </c>
      <c r="C3286" s="1" t="str">
        <f>"DD2024102317260"</f>
        <v>DD2024102317260</v>
      </c>
      <c r="D3286" s="1" t="str">
        <f>"CK2024102322448"</f>
        <v>CK2024102322448</v>
      </c>
      <c r="E3286" s="1" t="str">
        <f>"3723501575670206465"</f>
        <v>3723501575670206465</v>
      </c>
      <c r="F3286" s="1" t="str">
        <f t="shared" si="1090"/>
        <v>花都四部-凤凰仓</v>
      </c>
      <c r="G3286" s="1" t="str">
        <f t="shared" si="1094"/>
        <v>卡卡杜企业店（视频号）</v>
      </c>
      <c r="H3286" s="1" t="str">
        <f t="shared" si="1091"/>
        <v>正常订单</v>
      </c>
      <c r="I3286" s="1" t="str">
        <f t="shared" si="1092"/>
        <v>已发货</v>
      </c>
      <c r="J3286" s="1" t="str">
        <f>"2"</f>
        <v>2</v>
      </c>
      <c r="K3286" s="1">
        <v>2</v>
      </c>
      <c r="L3286" s="1" t="s">
        <v>105</v>
      </c>
      <c r="M3286" s="1" t="str">
        <f>"北京 北京市 海淀区 "</f>
        <v xml:space="preserve">北京 北京市 海淀区 </v>
      </c>
      <c r="N3286" s="1" t="str">
        <f t="shared" si="1096"/>
        <v>凡华云仓-城南圆通-微信视频号</v>
      </c>
      <c r="O3286" s="5" t="s">
        <v>3319</v>
      </c>
      <c r="P3286" s="6">
        <v>0.17</v>
      </c>
      <c r="Q3286" s="11">
        <v>2</v>
      </c>
      <c r="R3286" s="11"/>
      <c r="S3286" s="11"/>
      <c r="T3286" s="11"/>
      <c r="U3286" s="11">
        <f t="shared" si="1087"/>
        <v>2</v>
      </c>
      <c r="W3286">
        <v>2.2000000000000002</v>
      </c>
      <c r="X3286" s="1" t="s">
        <v>105</v>
      </c>
    </row>
    <row r="3287" spans="1:24" x14ac:dyDescent="0.25">
      <c r="A3287" s="1" t="str">
        <f t="shared" si="1089"/>
        <v>卡卡杜-凤凰仓</v>
      </c>
      <c r="B3287" s="1" t="str">
        <f>"CK20241023151"</f>
        <v>CK20241023151</v>
      </c>
      <c r="C3287" s="1" t="str">
        <f>"DD2024102317312"</f>
        <v>DD2024102317312</v>
      </c>
      <c r="D3287" s="1" t="str">
        <f>"CK2024102322447"</f>
        <v>CK2024102322447</v>
      </c>
      <c r="E3287" s="1" t="str">
        <f>"3723500830488659200"</f>
        <v>3723500830488659200</v>
      </c>
      <c r="F3287" s="1" t="str">
        <f t="shared" si="1090"/>
        <v>花都四部-凤凰仓</v>
      </c>
      <c r="G3287" s="1" t="str">
        <f t="shared" si="1094"/>
        <v>卡卡杜企业店（视频号）</v>
      </c>
      <c r="H3287" s="1" t="str">
        <f t="shared" si="1091"/>
        <v>正常订单</v>
      </c>
      <c r="I3287" s="1" t="str">
        <f t="shared" si="1092"/>
        <v>已发货</v>
      </c>
      <c r="J3287" s="1" t="str">
        <f t="shared" si="1095"/>
        <v>3</v>
      </c>
      <c r="K3287" s="1">
        <v>3</v>
      </c>
      <c r="L3287" s="1" t="s">
        <v>105</v>
      </c>
      <c r="M3287" s="1" t="str">
        <f>"北京 北京市 丰台区 "</f>
        <v xml:space="preserve">北京 北京市 丰台区 </v>
      </c>
      <c r="N3287" s="1" t="str">
        <f t="shared" si="1096"/>
        <v>凡华云仓-城南圆通-微信视频号</v>
      </c>
      <c r="O3287" s="5" t="s">
        <v>3320</v>
      </c>
      <c r="P3287" s="6">
        <v>0.34</v>
      </c>
      <c r="Q3287" s="11">
        <v>2.2999999999999998</v>
      </c>
      <c r="R3287" s="11"/>
      <c r="S3287" s="11"/>
      <c r="T3287" s="11"/>
      <c r="U3287" s="11">
        <f t="shared" si="1087"/>
        <v>2.2999999999999998</v>
      </c>
      <c r="W3287">
        <v>2.5</v>
      </c>
      <c r="X3287" s="1" t="s">
        <v>105</v>
      </c>
    </row>
    <row r="3288" spans="1:24" x14ac:dyDescent="0.25">
      <c r="A3288" s="1" t="str">
        <f t="shared" si="1089"/>
        <v>卡卡杜-凤凰仓</v>
      </c>
      <c r="B3288" s="1" t="str">
        <f>"CK2024102396"</f>
        <v>CK2024102396</v>
      </c>
      <c r="C3288" s="1" t="str">
        <f>"DD2024102317242"</f>
        <v>DD2024102317242</v>
      </c>
      <c r="D3288" s="1" t="str">
        <f>"CK2024102322446"</f>
        <v>CK2024102322446</v>
      </c>
      <c r="E3288" s="1" t="str">
        <f>"3723494966701985792"</f>
        <v>3723494966701985792</v>
      </c>
      <c r="F3288" s="1" t="str">
        <f t="shared" si="1090"/>
        <v>花都四部-凤凰仓</v>
      </c>
      <c r="G3288" s="1" t="str">
        <f t="shared" si="1094"/>
        <v>卡卡杜企业店（视频号）</v>
      </c>
      <c r="H3288" s="1" t="str">
        <f t="shared" si="1091"/>
        <v>正常订单</v>
      </c>
      <c r="I3288" s="1" t="str">
        <f t="shared" si="1092"/>
        <v>已发货</v>
      </c>
      <c r="J3288" s="1" t="str">
        <f t="shared" si="1095"/>
        <v>3</v>
      </c>
      <c r="K3288" s="1">
        <v>2</v>
      </c>
      <c r="L3288" s="1" t="s">
        <v>74</v>
      </c>
      <c r="M3288" s="1" t="str">
        <f>"上海 上海市 徐汇区 "</f>
        <v xml:space="preserve">上海 上海市 徐汇区 </v>
      </c>
      <c r="N3288" s="1" t="str">
        <f t="shared" si="1096"/>
        <v>凡华云仓-城南圆通-微信视频号</v>
      </c>
      <c r="O3288" s="5" t="s">
        <v>3321</v>
      </c>
      <c r="P3288" s="6">
        <v>0.24</v>
      </c>
      <c r="Q3288" s="11">
        <v>2</v>
      </c>
      <c r="R3288" s="11"/>
      <c r="S3288" s="11"/>
      <c r="T3288" s="11"/>
      <c r="U3288" s="11">
        <f t="shared" si="1087"/>
        <v>2</v>
      </c>
      <c r="W3288">
        <v>2.2000000000000002</v>
      </c>
      <c r="X3288" s="1" t="s">
        <v>74</v>
      </c>
    </row>
    <row r="3289" spans="1:24" x14ac:dyDescent="0.25">
      <c r="A3289" s="1" t="str">
        <f t="shared" si="1089"/>
        <v>卡卡杜-凤凰仓</v>
      </c>
      <c r="B3289" s="1" t="str">
        <f>"CK2024102392"</f>
        <v>CK2024102392</v>
      </c>
      <c r="C3289" s="1" t="str">
        <f>"DD2024102317238"</f>
        <v>DD2024102317238</v>
      </c>
      <c r="D3289" s="1" t="str">
        <f>"CK2024102322445"</f>
        <v>CK2024102322445</v>
      </c>
      <c r="E3289" s="1" t="str">
        <f>"3723494280757383168"</f>
        <v>3723494280757383168</v>
      </c>
      <c r="F3289" s="1" t="str">
        <f t="shared" si="1090"/>
        <v>花都四部-凤凰仓</v>
      </c>
      <c r="G3289" s="1" t="str">
        <f t="shared" si="1094"/>
        <v>卡卡杜企业店（视频号）</v>
      </c>
      <c r="H3289" s="1" t="str">
        <f t="shared" si="1091"/>
        <v>正常订单</v>
      </c>
      <c r="I3289" s="1" t="str">
        <f t="shared" si="1092"/>
        <v>已发货</v>
      </c>
      <c r="J3289" s="1" t="str">
        <f t="shared" si="1095"/>
        <v>3</v>
      </c>
      <c r="K3289" s="1">
        <v>2</v>
      </c>
      <c r="L3289" s="1" t="s">
        <v>18</v>
      </c>
      <c r="M3289" s="1" t="str">
        <f>"广东省 广州市 越秀区 "</f>
        <v xml:space="preserve">广东省 广州市 越秀区 </v>
      </c>
      <c r="N3289" s="1" t="str">
        <f t="shared" si="1096"/>
        <v>凡华云仓-城南圆通-微信视频号</v>
      </c>
      <c r="O3289" s="5" t="s">
        <v>3322</v>
      </c>
      <c r="P3289" s="6">
        <v>0.24</v>
      </c>
      <c r="Q3289" s="11">
        <v>2</v>
      </c>
      <c r="R3289" s="11"/>
      <c r="S3289" s="11"/>
      <c r="T3289" s="11"/>
      <c r="U3289" s="11">
        <f t="shared" si="1087"/>
        <v>2</v>
      </c>
      <c r="W3289">
        <v>2.2000000000000002</v>
      </c>
      <c r="X3289" s="1" t="s">
        <v>18</v>
      </c>
    </row>
    <row r="3290" spans="1:24" x14ac:dyDescent="0.25">
      <c r="A3290" s="1" t="str">
        <f t="shared" si="1089"/>
        <v>卡卡杜-凤凰仓</v>
      </c>
      <c r="B3290" s="1" t="str">
        <f>"CK2024102395"</f>
        <v>CK2024102395</v>
      </c>
      <c r="C3290" s="1" t="str">
        <f>"DD2024102317241"</f>
        <v>DD2024102317241</v>
      </c>
      <c r="D3290" s="1" t="str">
        <f>"CK2024102322444"</f>
        <v>CK2024102322444</v>
      </c>
      <c r="E3290" s="1" t="str">
        <f>"3723494167438296576"</f>
        <v>3723494167438296576</v>
      </c>
      <c r="F3290" s="1" t="str">
        <f t="shared" si="1090"/>
        <v>花都四部-凤凰仓</v>
      </c>
      <c r="G3290" s="1" t="str">
        <f t="shared" si="1094"/>
        <v>卡卡杜企业店（视频号）</v>
      </c>
      <c r="H3290" s="1" t="str">
        <f t="shared" si="1091"/>
        <v>正常订单</v>
      </c>
      <c r="I3290" s="1" t="str">
        <f t="shared" si="1092"/>
        <v>已发货</v>
      </c>
      <c r="J3290" s="1" t="str">
        <f t="shared" si="1095"/>
        <v>3</v>
      </c>
      <c r="K3290" s="1">
        <v>2</v>
      </c>
      <c r="L3290" s="1" t="s">
        <v>13</v>
      </c>
      <c r="M3290" s="1" t="str">
        <f>"江苏省 泰州市 海陵区 "</f>
        <v xml:space="preserve">江苏省 泰州市 海陵区 </v>
      </c>
      <c r="N3290" s="1" t="str">
        <f t="shared" si="1096"/>
        <v>凡华云仓-城南圆通-微信视频号</v>
      </c>
      <c r="O3290" s="5" t="s">
        <v>3323</v>
      </c>
      <c r="P3290" s="6">
        <v>0.24</v>
      </c>
      <c r="Q3290" s="11">
        <v>2</v>
      </c>
      <c r="R3290" s="11"/>
      <c r="S3290" s="11"/>
      <c r="T3290" s="11"/>
      <c r="U3290" s="11">
        <f t="shared" si="1087"/>
        <v>2</v>
      </c>
      <c r="W3290">
        <v>2.2000000000000002</v>
      </c>
      <c r="X3290" s="1" t="s">
        <v>13</v>
      </c>
    </row>
    <row r="3291" spans="1:24" x14ac:dyDescent="0.25">
      <c r="A3291" s="1" t="str">
        <f t="shared" si="1089"/>
        <v>卡卡杜-凤凰仓</v>
      </c>
      <c r="B3291" s="1" t="str">
        <f>"CK2024102394"</f>
        <v>CK2024102394</v>
      </c>
      <c r="C3291" s="1" t="str">
        <f>"DD2024102317239"</f>
        <v>DD2024102317239</v>
      </c>
      <c r="D3291" s="1" t="str">
        <f>"CK2024102322443"</f>
        <v>CK2024102322443</v>
      </c>
      <c r="E3291" s="1" t="str">
        <f>"3723494162285331713"</f>
        <v>3723494162285331713</v>
      </c>
      <c r="F3291" s="1" t="str">
        <f t="shared" si="1090"/>
        <v>花都四部-凤凰仓</v>
      </c>
      <c r="G3291" s="1" t="str">
        <f t="shared" si="1094"/>
        <v>卡卡杜企业店（视频号）</v>
      </c>
      <c r="H3291" s="1" t="str">
        <f t="shared" si="1091"/>
        <v>正常订单</v>
      </c>
      <c r="I3291" s="1" t="str">
        <f t="shared" si="1092"/>
        <v>已发货</v>
      </c>
      <c r="J3291" s="1" t="str">
        <f t="shared" si="1095"/>
        <v>3</v>
      </c>
      <c r="K3291" s="1">
        <v>2</v>
      </c>
      <c r="L3291" s="1" t="s">
        <v>80</v>
      </c>
      <c r="M3291" s="1" t="str">
        <f>"河南省 信阳市 浉河区 "</f>
        <v xml:space="preserve">河南省 信阳市 浉河区 </v>
      </c>
      <c r="N3291" s="1" t="str">
        <f t="shared" si="1096"/>
        <v>凡华云仓-城南圆通-微信视频号</v>
      </c>
      <c r="O3291" s="5" t="s">
        <v>3324</v>
      </c>
      <c r="P3291" s="6">
        <v>0.24</v>
      </c>
      <c r="Q3291" s="11">
        <v>2</v>
      </c>
      <c r="R3291" s="11"/>
      <c r="S3291" s="11"/>
      <c r="T3291" s="11"/>
      <c r="U3291" s="11">
        <f t="shared" si="1087"/>
        <v>2</v>
      </c>
      <c r="W3291">
        <v>2.2000000000000002</v>
      </c>
      <c r="X3291" s="1" t="s">
        <v>80</v>
      </c>
    </row>
    <row r="3292" spans="1:24" x14ac:dyDescent="0.25">
      <c r="A3292" s="1" t="str">
        <f t="shared" si="1089"/>
        <v>卡卡杜-凤凰仓</v>
      </c>
      <c r="B3292" s="1" t="str">
        <f>"CK20241023109"</f>
        <v>CK20241023109</v>
      </c>
      <c r="C3292" s="1" t="str">
        <f>"DD2024102317255"</f>
        <v>DD2024102317255</v>
      </c>
      <c r="D3292" s="1" t="str">
        <f>"CK2024102322442"</f>
        <v>CK2024102322442</v>
      </c>
      <c r="E3292" s="1" t="str">
        <f>"3723494155280581888"</f>
        <v>3723494155280581888</v>
      </c>
      <c r="F3292" s="1" t="str">
        <f t="shared" si="1090"/>
        <v>花都四部-凤凰仓</v>
      </c>
      <c r="G3292" s="1" t="str">
        <f t="shared" si="1094"/>
        <v>卡卡杜企业店（视频号）</v>
      </c>
      <c r="H3292" s="1" t="str">
        <f t="shared" si="1091"/>
        <v>正常订单</v>
      </c>
      <c r="I3292" s="1" t="str">
        <f t="shared" si="1092"/>
        <v>已发货</v>
      </c>
      <c r="J3292" s="1" t="str">
        <f t="shared" ref="J3292:J3296" si="1097">"2"</f>
        <v>2</v>
      </c>
      <c r="K3292" s="1">
        <v>2</v>
      </c>
      <c r="L3292" s="1" t="s">
        <v>18</v>
      </c>
      <c r="M3292" s="1" t="str">
        <f>"广东省 深圳市 龙岗区 "</f>
        <v xml:space="preserve">广东省 深圳市 龙岗区 </v>
      </c>
      <c r="N3292" s="1" t="str">
        <f t="shared" si="1096"/>
        <v>凡华云仓-城南圆通-微信视频号</v>
      </c>
      <c r="O3292" s="5" t="s">
        <v>3325</v>
      </c>
      <c r="P3292" s="6">
        <v>0.17</v>
      </c>
      <c r="Q3292" s="11">
        <v>2</v>
      </c>
      <c r="R3292" s="11"/>
      <c r="S3292" s="11"/>
      <c r="T3292" s="11"/>
      <c r="U3292" s="11">
        <f t="shared" si="1087"/>
        <v>2</v>
      </c>
      <c r="W3292">
        <v>2.2000000000000002</v>
      </c>
      <c r="X3292" s="1" t="s">
        <v>18</v>
      </c>
    </row>
    <row r="3293" spans="1:24" x14ac:dyDescent="0.25">
      <c r="A3293" s="1" t="str">
        <f t="shared" si="1089"/>
        <v>卡卡杜-凤凰仓</v>
      </c>
      <c r="B3293" s="1" t="str">
        <f>"CK2024102381"</f>
        <v>CK2024102381</v>
      </c>
      <c r="C3293" s="1" t="str">
        <f>"DD2024102317225"</f>
        <v>DD2024102317225</v>
      </c>
      <c r="D3293" s="1" t="str">
        <f>"CK2024102322441"</f>
        <v>CK2024102322441</v>
      </c>
      <c r="E3293" s="1" t="str">
        <f>"3723494153317389312"</f>
        <v>3723494153317389312</v>
      </c>
      <c r="F3293" s="1" t="str">
        <f t="shared" si="1090"/>
        <v>花都四部-凤凰仓</v>
      </c>
      <c r="G3293" s="1" t="str">
        <f t="shared" si="1094"/>
        <v>卡卡杜企业店（视频号）</v>
      </c>
      <c r="H3293" s="1" t="str">
        <f t="shared" si="1091"/>
        <v>正常订单</v>
      </c>
      <c r="I3293" s="1" t="str">
        <f t="shared" si="1092"/>
        <v>已发货</v>
      </c>
      <c r="J3293" s="1" t="str">
        <f t="shared" ref="J3293:J3300" si="1098">"3"</f>
        <v>3</v>
      </c>
      <c r="K3293" s="1">
        <v>2</v>
      </c>
      <c r="L3293" s="1" t="s">
        <v>74</v>
      </c>
      <c r="M3293" s="1" t="str">
        <f>"上海 上海市 长宁区 "</f>
        <v xml:space="preserve">上海 上海市 长宁区 </v>
      </c>
      <c r="N3293" s="1" t="str">
        <f t="shared" si="1096"/>
        <v>凡华云仓-城南圆通-微信视频号</v>
      </c>
      <c r="O3293" s="5" t="s">
        <v>3326</v>
      </c>
      <c r="P3293" s="6">
        <v>0.24</v>
      </c>
      <c r="Q3293" s="11">
        <v>2</v>
      </c>
      <c r="R3293" s="11"/>
      <c r="S3293" s="11"/>
      <c r="T3293" s="11"/>
      <c r="U3293" s="11">
        <f t="shared" si="1087"/>
        <v>2</v>
      </c>
      <c r="W3293">
        <v>2.2000000000000002</v>
      </c>
      <c r="X3293" s="1" t="s">
        <v>74</v>
      </c>
    </row>
    <row r="3294" spans="1:24" x14ac:dyDescent="0.25">
      <c r="A3294" s="1" t="str">
        <f t="shared" si="1089"/>
        <v>卡卡杜-凤凰仓</v>
      </c>
      <c r="B3294" s="1" t="str">
        <f>"CK20241023128"</f>
        <v>CK20241023128</v>
      </c>
      <c r="C3294" s="1" t="str">
        <f>"DD2024102317273"</f>
        <v>DD2024102317273</v>
      </c>
      <c r="D3294" s="1" t="str">
        <f>"CK2024102322440"</f>
        <v>CK2024102322440</v>
      </c>
      <c r="E3294" s="1" t="str">
        <f>"3723494151469008384"</f>
        <v>3723494151469008384</v>
      </c>
      <c r="F3294" s="1" t="str">
        <f t="shared" si="1090"/>
        <v>花都四部-凤凰仓</v>
      </c>
      <c r="G3294" s="1" t="str">
        <f t="shared" si="1094"/>
        <v>卡卡杜企业店（视频号）</v>
      </c>
      <c r="H3294" s="1" t="str">
        <f t="shared" si="1091"/>
        <v>正常订单</v>
      </c>
      <c r="I3294" s="1" t="str">
        <f t="shared" si="1092"/>
        <v>已发货</v>
      </c>
      <c r="J3294" s="1" t="str">
        <f t="shared" si="1097"/>
        <v>2</v>
      </c>
      <c r="K3294" s="1">
        <v>2</v>
      </c>
      <c r="L3294" s="1" t="s">
        <v>24</v>
      </c>
      <c r="M3294" s="1" t="str">
        <f>"福建省 福州市 晋安区 "</f>
        <v xml:space="preserve">福建省 福州市 晋安区 </v>
      </c>
      <c r="N3294" s="1" t="str">
        <f t="shared" si="1096"/>
        <v>凡华云仓-城南圆通-微信视频号</v>
      </c>
      <c r="O3294" s="5" t="s">
        <v>3327</v>
      </c>
      <c r="P3294" s="6">
        <v>0.17</v>
      </c>
      <c r="Q3294" s="11">
        <v>2</v>
      </c>
      <c r="R3294" s="11"/>
      <c r="S3294" s="11"/>
      <c r="T3294" s="11"/>
      <c r="U3294" s="11">
        <f t="shared" si="1087"/>
        <v>2</v>
      </c>
      <c r="W3294">
        <v>2.2000000000000002</v>
      </c>
      <c r="X3294" s="1" t="s">
        <v>24</v>
      </c>
    </row>
    <row r="3295" spans="1:24" x14ac:dyDescent="0.25">
      <c r="A3295" s="1" t="str">
        <f t="shared" si="1089"/>
        <v>卡卡杜-凤凰仓</v>
      </c>
      <c r="B3295" s="1" t="str">
        <f>"CK20241023129"</f>
        <v>CK20241023129</v>
      </c>
      <c r="C3295" s="1" t="str">
        <f>"DD2024102317274"</f>
        <v>DD2024102317274</v>
      </c>
      <c r="D3295" s="1" t="str">
        <f>"CK2024102322439"</f>
        <v>CK2024102322439</v>
      </c>
      <c r="E3295" s="1" t="str">
        <f>"3723494146540176641"</f>
        <v>3723494146540176641</v>
      </c>
      <c r="F3295" s="1" t="str">
        <f t="shared" si="1090"/>
        <v>花都四部-凤凰仓</v>
      </c>
      <c r="G3295" s="1" t="str">
        <f t="shared" si="1094"/>
        <v>卡卡杜企业店（视频号）</v>
      </c>
      <c r="H3295" s="1" t="str">
        <f t="shared" si="1091"/>
        <v>正常订单</v>
      </c>
      <c r="I3295" s="1" t="str">
        <f t="shared" si="1092"/>
        <v>已发货</v>
      </c>
      <c r="J3295" s="1" t="str">
        <f t="shared" si="1097"/>
        <v>2</v>
      </c>
      <c r="K3295" s="1">
        <v>2</v>
      </c>
      <c r="L3295" s="1" t="s">
        <v>218</v>
      </c>
      <c r="M3295" s="1" t="str">
        <f>"天津 天津市 河北区 "</f>
        <v xml:space="preserve">天津 天津市 河北区 </v>
      </c>
      <c r="N3295" s="1" t="str">
        <f t="shared" si="1096"/>
        <v>凡华云仓-城南圆通-微信视频号</v>
      </c>
      <c r="O3295" s="5" t="s">
        <v>3328</v>
      </c>
      <c r="P3295" s="6">
        <v>0.17</v>
      </c>
      <c r="Q3295" s="11">
        <v>2</v>
      </c>
      <c r="R3295" s="11"/>
      <c r="S3295" s="11"/>
      <c r="T3295" s="11"/>
      <c r="U3295" s="11">
        <f t="shared" si="1087"/>
        <v>2</v>
      </c>
      <c r="W3295">
        <v>2.2000000000000002</v>
      </c>
      <c r="X3295" s="1" t="s">
        <v>218</v>
      </c>
    </row>
    <row r="3296" spans="1:24" x14ac:dyDescent="0.25">
      <c r="A3296" s="1" t="str">
        <f t="shared" si="1089"/>
        <v>卡卡杜-凤凰仓</v>
      </c>
      <c r="B3296" s="1" t="str">
        <f>"CK20241023121"</f>
        <v>CK20241023121</v>
      </c>
      <c r="C3296" s="1" t="str">
        <f>"DD2024102317267"</f>
        <v>DD2024102317267</v>
      </c>
      <c r="D3296" s="1" t="str">
        <f>"CK2024102322438"</f>
        <v>CK2024102322438</v>
      </c>
      <c r="E3296" s="1" t="str">
        <f>"3723494143888590080"</f>
        <v>3723494143888590080</v>
      </c>
      <c r="F3296" s="1" t="str">
        <f t="shared" si="1090"/>
        <v>花都四部-凤凰仓</v>
      </c>
      <c r="G3296" s="1" t="str">
        <f t="shared" si="1094"/>
        <v>卡卡杜企业店（视频号）</v>
      </c>
      <c r="H3296" s="1" t="str">
        <f t="shared" si="1091"/>
        <v>正常订单</v>
      </c>
      <c r="I3296" s="1" t="str">
        <f t="shared" si="1092"/>
        <v>已发货</v>
      </c>
      <c r="J3296" s="1" t="str">
        <f t="shared" si="1097"/>
        <v>2</v>
      </c>
      <c r="K3296" s="1">
        <v>2</v>
      </c>
      <c r="L3296" s="1" t="s">
        <v>47</v>
      </c>
      <c r="M3296" s="1" t="str">
        <f>"重庆 重庆市 大渡口区 "</f>
        <v xml:space="preserve">重庆 重庆市 大渡口区 </v>
      </c>
      <c r="N3296" s="1" t="str">
        <f t="shared" si="1096"/>
        <v>凡华云仓-城南圆通-微信视频号</v>
      </c>
      <c r="O3296" s="5" t="s">
        <v>3329</v>
      </c>
      <c r="P3296" s="6">
        <v>0.17</v>
      </c>
      <c r="Q3296" s="11">
        <v>2</v>
      </c>
      <c r="R3296" s="11"/>
      <c r="S3296" s="11"/>
      <c r="T3296" s="11"/>
      <c r="U3296" s="11">
        <f t="shared" si="1087"/>
        <v>2</v>
      </c>
      <c r="W3296">
        <v>2.2000000000000002</v>
      </c>
      <c r="X3296" s="1" t="s">
        <v>47</v>
      </c>
    </row>
    <row r="3297" spans="1:24" x14ac:dyDescent="0.25">
      <c r="A3297" s="1" t="str">
        <f t="shared" si="1089"/>
        <v>卡卡杜-凤凰仓</v>
      </c>
      <c r="B3297" s="1" t="str">
        <f>"CK2024102382"</f>
        <v>CK2024102382</v>
      </c>
      <c r="C3297" s="1" t="str">
        <f>"DD2024102317227"</f>
        <v>DD2024102317227</v>
      </c>
      <c r="D3297" s="1" t="str">
        <f>"CK2024102322437"</f>
        <v>CK2024102322437</v>
      </c>
      <c r="E3297" s="1" t="str">
        <f>"3723494143774557440"</f>
        <v>3723494143774557440</v>
      </c>
      <c r="F3297" s="1" t="str">
        <f t="shared" si="1090"/>
        <v>花都四部-凤凰仓</v>
      </c>
      <c r="G3297" s="1" t="str">
        <f t="shared" si="1094"/>
        <v>卡卡杜企业店（视频号）</v>
      </c>
      <c r="H3297" s="1" t="str">
        <f t="shared" si="1091"/>
        <v>正常订单</v>
      </c>
      <c r="I3297" s="1" t="str">
        <f t="shared" si="1092"/>
        <v>已发货</v>
      </c>
      <c r="J3297" s="1" t="str">
        <f t="shared" si="1098"/>
        <v>3</v>
      </c>
      <c r="K3297" s="1">
        <v>2</v>
      </c>
      <c r="L3297" s="1" t="s">
        <v>740</v>
      </c>
      <c r="M3297" s="1" t="str">
        <f>"宁夏回族自治区 银川市 金凤区 "</f>
        <v xml:space="preserve">宁夏回族自治区 银川市 金凤区 </v>
      </c>
      <c r="N3297" s="1" t="str">
        <f t="shared" si="1096"/>
        <v>凡华云仓-城南圆通-微信视频号</v>
      </c>
      <c r="O3297" s="5" t="s">
        <v>3330</v>
      </c>
      <c r="P3297" s="6">
        <v>0.24</v>
      </c>
      <c r="Q3297" s="11">
        <v>2</v>
      </c>
      <c r="R3297" s="11"/>
      <c r="S3297" s="11"/>
      <c r="T3297" s="11"/>
      <c r="U3297" s="11">
        <f t="shared" si="1087"/>
        <v>2</v>
      </c>
      <c r="W3297">
        <v>2.2000000000000002</v>
      </c>
      <c r="X3297" s="1" t="s">
        <v>740</v>
      </c>
    </row>
    <row r="3298" spans="1:24" x14ac:dyDescent="0.25">
      <c r="A3298" s="1" t="str">
        <f t="shared" si="1089"/>
        <v>卡卡杜-凤凰仓</v>
      </c>
      <c r="B3298" s="1" t="str">
        <f>"CK2024102377"</f>
        <v>CK2024102377</v>
      </c>
      <c r="C3298" s="1" t="str">
        <f>"DD2024102317224"</f>
        <v>DD2024102317224</v>
      </c>
      <c r="D3298" s="1" t="str">
        <f>"CK2024102322436"</f>
        <v>CK2024102322436</v>
      </c>
      <c r="E3298" s="1" t="str">
        <f>"3723494142862034176"</f>
        <v>3723494142862034176</v>
      </c>
      <c r="F3298" s="1" t="str">
        <f t="shared" si="1090"/>
        <v>花都四部-凤凰仓</v>
      </c>
      <c r="G3298" s="1" t="str">
        <f t="shared" si="1094"/>
        <v>卡卡杜企业店（视频号）</v>
      </c>
      <c r="H3298" s="1" t="str">
        <f t="shared" si="1091"/>
        <v>正常订单</v>
      </c>
      <c r="I3298" s="1" t="str">
        <f t="shared" si="1092"/>
        <v>已发货</v>
      </c>
      <c r="J3298" s="1" t="str">
        <f t="shared" si="1098"/>
        <v>3</v>
      </c>
      <c r="K3298" s="1">
        <v>2</v>
      </c>
      <c r="L3298" s="1" t="s">
        <v>218</v>
      </c>
      <c r="M3298" s="1" t="str">
        <f>"天津 天津市 北辰区 "</f>
        <v xml:space="preserve">天津 天津市 北辰区 </v>
      </c>
      <c r="N3298" s="1" t="str">
        <f t="shared" si="1096"/>
        <v>凡华云仓-城南圆通-微信视频号</v>
      </c>
      <c r="O3298" s="5" t="s">
        <v>3331</v>
      </c>
      <c r="P3298" s="6">
        <v>0.24</v>
      </c>
      <c r="Q3298" s="11">
        <v>2</v>
      </c>
      <c r="R3298" s="11"/>
      <c r="S3298" s="11"/>
      <c r="T3298" s="11"/>
      <c r="U3298" s="11">
        <f t="shared" si="1087"/>
        <v>2</v>
      </c>
      <c r="W3298">
        <v>2.2000000000000002</v>
      </c>
      <c r="X3298" s="1" t="s">
        <v>218</v>
      </c>
    </row>
    <row r="3299" spans="1:24" x14ac:dyDescent="0.25">
      <c r="A3299" s="1" t="str">
        <f t="shared" si="1089"/>
        <v>卡卡杜-凤凰仓</v>
      </c>
      <c r="B3299" s="1" t="str">
        <f>"CK2024102384"</f>
        <v>CK2024102384</v>
      </c>
      <c r="C3299" s="1" t="str">
        <f>"DD2024102317231"</f>
        <v>DD2024102317231</v>
      </c>
      <c r="D3299" s="1" t="str">
        <f>"CK2024102322435"</f>
        <v>CK2024102322435</v>
      </c>
      <c r="E3299" s="1" t="str">
        <f>"3723494140867118592"</f>
        <v>3723494140867118592</v>
      </c>
      <c r="F3299" s="1" t="str">
        <f t="shared" si="1090"/>
        <v>花都四部-凤凰仓</v>
      </c>
      <c r="G3299" s="1" t="str">
        <f t="shared" si="1094"/>
        <v>卡卡杜企业店（视频号）</v>
      </c>
      <c r="H3299" s="1" t="str">
        <f t="shared" si="1091"/>
        <v>正常订单</v>
      </c>
      <c r="I3299" s="1" t="str">
        <f t="shared" si="1092"/>
        <v>已发货</v>
      </c>
      <c r="J3299" s="1" t="str">
        <f t="shared" si="1098"/>
        <v>3</v>
      </c>
      <c r="K3299" s="1">
        <v>2</v>
      </c>
      <c r="L3299" s="1" t="s">
        <v>161</v>
      </c>
      <c r="M3299" s="1" t="str">
        <f>"四川省 成都市 成华区 "</f>
        <v xml:space="preserve">四川省 成都市 成华区 </v>
      </c>
      <c r="N3299" s="1" t="str">
        <f t="shared" si="1096"/>
        <v>凡华云仓-城南圆通-微信视频号</v>
      </c>
      <c r="O3299" s="5" t="s">
        <v>3332</v>
      </c>
      <c r="P3299" s="6">
        <v>0.24</v>
      </c>
      <c r="Q3299" s="11">
        <v>2</v>
      </c>
      <c r="R3299" s="11"/>
      <c r="S3299" s="11"/>
      <c r="T3299" s="11"/>
      <c r="U3299" s="11">
        <f t="shared" si="1087"/>
        <v>2</v>
      </c>
      <c r="W3299">
        <v>2.2000000000000002</v>
      </c>
      <c r="X3299" s="1" t="s">
        <v>161</v>
      </c>
    </row>
    <row r="3300" spans="1:24" x14ac:dyDescent="0.25">
      <c r="A3300" s="1" t="str">
        <f t="shared" si="1089"/>
        <v>卡卡杜-凤凰仓</v>
      </c>
      <c r="B3300" s="1" t="str">
        <f>"CK2024102378"</f>
        <v>CK2024102378</v>
      </c>
      <c r="C3300" s="1" t="str">
        <f>"DD2024102317223"</f>
        <v>DD2024102317223</v>
      </c>
      <c r="D3300" s="1" t="str">
        <f>"CK2024102322434"</f>
        <v>CK2024102322434</v>
      </c>
      <c r="E3300" s="1" t="str">
        <f>"3723494133249740800"</f>
        <v>3723494133249740800</v>
      </c>
      <c r="F3300" s="1" t="str">
        <f t="shared" si="1090"/>
        <v>花都四部-凤凰仓</v>
      </c>
      <c r="G3300" s="1" t="str">
        <f t="shared" si="1094"/>
        <v>卡卡杜企业店（视频号）</v>
      </c>
      <c r="H3300" s="1" t="str">
        <f t="shared" si="1091"/>
        <v>正常订单</v>
      </c>
      <c r="I3300" s="1" t="str">
        <f t="shared" si="1092"/>
        <v>已发货</v>
      </c>
      <c r="J3300" s="1" t="str">
        <f t="shared" si="1098"/>
        <v>3</v>
      </c>
      <c r="K3300" s="1">
        <v>2</v>
      </c>
      <c r="L3300" s="1" t="s">
        <v>74</v>
      </c>
      <c r="M3300" s="1" t="str">
        <f>"上海 上海市 闵行区 "</f>
        <v xml:space="preserve">上海 上海市 闵行区 </v>
      </c>
      <c r="N3300" s="1" t="str">
        <f t="shared" si="1096"/>
        <v>凡华云仓-城南圆通-微信视频号</v>
      </c>
      <c r="O3300" s="5" t="s">
        <v>3333</v>
      </c>
      <c r="P3300" s="6">
        <v>0.24</v>
      </c>
      <c r="Q3300" s="11">
        <v>2</v>
      </c>
      <c r="R3300" s="11"/>
      <c r="S3300" s="11"/>
      <c r="T3300" s="11"/>
      <c r="U3300" s="11">
        <f t="shared" si="1087"/>
        <v>2</v>
      </c>
      <c r="W3300">
        <v>2.2000000000000002</v>
      </c>
      <c r="X3300" s="1" t="s">
        <v>74</v>
      </c>
    </row>
    <row r="3301" spans="1:24" x14ac:dyDescent="0.25">
      <c r="A3301" s="1" t="str">
        <f t="shared" si="1089"/>
        <v>卡卡杜-凤凰仓</v>
      </c>
      <c r="B3301" s="1" t="str">
        <f>"CK20241023131"</f>
        <v>CK20241023131</v>
      </c>
      <c r="C3301" s="1" t="str">
        <f>"DD2024102317277"</f>
        <v>DD2024102317277</v>
      </c>
      <c r="D3301" s="1" t="str">
        <f>"CK2024102322433"</f>
        <v>CK2024102322433</v>
      </c>
      <c r="E3301" s="1" t="str">
        <f>"3723494131576210688"</f>
        <v>3723494131576210688</v>
      </c>
      <c r="F3301" s="1" t="str">
        <f t="shared" si="1090"/>
        <v>花都四部-凤凰仓</v>
      </c>
      <c r="G3301" s="1" t="str">
        <f t="shared" si="1094"/>
        <v>卡卡杜企业店（视频号）</v>
      </c>
      <c r="H3301" s="1" t="str">
        <f t="shared" si="1091"/>
        <v>正常订单</v>
      </c>
      <c r="I3301" s="1" t="str">
        <f t="shared" si="1092"/>
        <v>已发货</v>
      </c>
      <c r="J3301" s="1" t="str">
        <f t="shared" ref="J3301:J3306" si="1099">"2"</f>
        <v>2</v>
      </c>
      <c r="K3301" s="1">
        <v>2</v>
      </c>
      <c r="L3301" s="1" t="s">
        <v>52</v>
      </c>
      <c r="M3301" s="1" t="str">
        <f>"甘肃省 兰州市 城关区 "</f>
        <v xml:space="preserve">甘肃省 兰州市 城关区 </v>
      </c>
      <c r="N3301" s="1" t="str">
        <f t="shared" si="1096"/>
        <v>凡华云仓-城南圆通-微信视频号</v>
      </c>
      <c r="O3301" s="5" t="s">
        <v>3334</v>
      </c>
      <c r="P3301" s="6">
        <v>0.17</v>
      </c>
      <c r="Q3301" s="11">
        <v>2</v>
      </c>
      <c r="R3301" s="11"/>
      <c r="S3301" s="11"/>
      <c r="T3301" s="11"/>
      <c r="U3301" s="11">
        <f t="shared" si="1087"/>
        <v>2</v>
      </c>
      <c r="W3301">
        <v>2.2000000000000002</v>
      </c>
      <c r="X3301" s="1" t="s">
        <v>52</v>
      </c>
    </row>
    <row r="3302" spans="1:24" x14ac:dyDescent="0.25">
      <c r="A3302" s="1" t="str">
        <f t="shared" si="1089"/>
        <v>卡卡杜-凤凰仓</v>
      </c>
      <c r="B3302" s="1" t="str">
        <f>"CK20241023133"</f>
        <v>CK20241023133</v>
      </c>
      <c r="C3302" s="1" t="str">
        <f>"DD2024102317278"</f>
        <v>DD2024102317278</v>
      </c>
      <c r="D3302" s="1" t="str">
        <f>"CK2024102322432"</f>
        <v>CK2024102322432</v>
      </c>
      <c r="E3302" s="1" t="str">
        <f>"3723494124684448768"</f>
        <v>3723494124684448768</v>
      </c>
      <c r="F3302" s="1" t="str">
        <f t="shared" si="1090"/>
        <v>花都四部-凤凰仓</v>
      </c>
      <c r="G3302" s="1" t="str">
        <f t="shared" si="1094"/>
        <v>卡卡杜企业店（视频号）</v>
      </c>
      <c r="H3302" s="1" t="str">
        <f t="shared" si="1091"/>
        <v>正常订单</v>
      </c>
      <c r="I3302" s="1" t="str">
        <f t="shared" si="1092"/>
        <v>已发货</v>
      </c>
      <c r="J3302" s="1" t="str">
        <f>"5"</f>
        <v>5</v>
      </c>
      <c r="K3302" s="1">
        <v>2</v>
      </c>
      <c r="L3302" s="1" t="s">
        <v>18</v>
      </c>
      <c r="M3302" s="1" t="str">
        <f>"广东省 中山市 石岐街道 "</f>
        <v xml:space="preserve">广东省 中山市 石岐街道 </v>
      </c>
      <c r="N3302" s="1" t="str">
        <f t="shared" si="1096"/>
        <v>凡华云仓-城南圆通-微信视频号</v>
      </c>
      <c r="O3302" s="5" t="s">
        <v>3335</v>
      </c>
      <c r="P3302" s="6">
        <v>0.35</v>
      </c>
      <c r="Q3302" s="11">
        <v>2.2999999999999998</v>
      </c>
      <c r="R3302" s="11"/>
      <c r="S3302" s="11"/>
      <c r="T3302" s="11"/>
      <c r="U3302" s="11">
        <f t="shared" si="1087"/>
        <v>2.2999999999999998</v>
      </c>
      <c r="W3302">
        <v>2.5</v>
      </c>
      <c r="X3302" s="1" t="s">
        <v>18</v>
      </c>
    </row>
    <row r="3303" spans="1:24" x14ac:dyDescent="0.25">
      <c r="A3303" s="1" t="str">
        <f t="shared" si="1089"/>
        <v>卡卡杜-凤凰仓</v>
      </c>
      <c r="B3303" s="1" t="str">
        <f>"CK20241023101"</f>
        <v>CK20241023101</v>
      </c>
      <c r="C3303" s="1" t="str">
        <f>"DD2024102317247"</f>
        <v>DD2024102317247</v>
      </c>
      <c r="D3303" s="1" t="str">
        <f>"CK2024102322431"</f>
        <v>CK2024102322431</v>
      </c>
      <c r="E3303" s="1" t="str">
        <f>"3723494124729273344"</f>
        <v>3723494124729273344</v>
      </c>
      <c r="F3303" s="1" t="str">
        <f t="shared" si="1090"/>
        <v>花都四部-凤凰仓</v>
      </c>
      <c r="G3303" s="1" t="str">
        <f t="shared" si="1094"/>
        <v>卡卡杜企业店（视频号）</v>
      </c>
      <c r="H3303" s="1" t="str">
        <f t="shared" si="1091"/>
        <v>正常订单</v>
      </c>
      <c r="I3303" s="1" t="str">
        <f t="shared" si="1092"/>
        <v>已发货</v>
      </c>
      <c r="J3303" s="1" t="str">
        <f t="shared" ref="J3303:J3309" si="1100">"3"</f>
        <v>3</v>
      </c>
      <c r="K3303" s="1">
        <v>2</v>
      </c>
      <c r="L3303" s="1" t="s">
        <v>32</v>
      </c>
      <c r="M3303" s="1" t="str">
        <f>"陕西省 西安市 雁塔区 "</f>
        <v xml:space="preserve">陕西省 西安市 雁塔区 </v>
      </c>
      <c r="N3303" s="1" t="str">
        <f t="shared" si="1096"/>
        <v>凡华云仓-城南圆通-微信视频号</v>
      </c>
      <c r="O3303" s="5" t="s">
        <v>3336</v>
      </c>
      <c r="P3303" s="6">
        <v>0.24</v>
      </c>
      <c r="Q3303" s="11">
        <v>2</v>
      </c>
      <c r="R3303" s="11"/>
      <c r="S3303" s="11"/>
      <c r="T3303" s="11"/>
      <c r="U3303" s="11">
        <f t="shared" si="1087"/>
        <v>2</v>
      </c>
      <c r="W3303">
        <v>2.2000000000000002</v>
      </c>
      <c r="X3303" s="1" t="s">
        <v>32</v>
      </c>
    </row>
    <row r="3304" spans="1:24" x14ac:dyDescent="0.25">
      <c r="A3304" s="1" t="str">
        <f t="shared" si="1089"/>
        <v>卡卡杜-凤凰仓</v>
      </c>
      <c r="B3304" s="1" t="str">
        <f>"CK20241023100"</f>
        <v>CK20241023100</v>
      </c>
      <c r="C3304" s="1" t="str">
        <f>"DD2024102317246"</f>
        <v>DD2024102317246</v>
      </c>
      <c r="D3304" s="1" t="str">
        <f>"CK2024102322430"</f>
        <v>CK2024102322430</v>
      </c>
      <c r="E3304" s="1" t="str">
        <f>"3723494112124081152"</f>
        <v>3723494112124081152</v>
      </c>
      <c r="F3304" s="1" t="str">
        <f t="shared" si="1090"/>
        <v>花都四部-凤凰仓</v>
      </c>
      <c r="G3304" s="1" t="str">
        <f t="shared" si="1094"/>
        <v>卡卡杜企业店（视频号）</v>
      </c>
      <c r="H3304" s="1" t="str">
        <f t="shared" si="1091"/>
        <v>正常订单</v>
      </c>
      <c r="I3304" s="1" t="str">
        <f t="shared" si="1092"/>
        <v>已发货</v>
      </c>
      <c r="J3304" s="1" t="str">
        <f t="shared" si="1100"/>
        <v>3</v>
      </c>
      <c r="K3304" s="1">
        <v>2</v>
      </c>
      <c r="L3304" s="1" t="s">
        <v>94</v>
      </c>
      <c r="M3304" s="1" t="str">
        <f>"湖南省 长沙市 开福区 "</f>
        <v xml:space="preserve">湖南省 长沙市 开福区 </v>
      </c>
      <c r="N3304" s="1" t="str">
        <f t="shared" si="1096"/>
        <v>凡华云仓-城南圆通-微信视频号</v>
      </c>
      <c r="O3304" s="5" t="s">
        <v>3337</v>
      </c>
      <c r="P3304" s="6">
        <v>0.24</v>
      </c>
      <c r="Q3304" s="11">
        <v>2</v>
      </c>
      <c r="R3304" s="11"/>
      <c r="S3304" s="11"/>
      <c r="T3304" s="11"/>
      <c r="U3304" s="11">
        <f t="shared" si="1087"/>
        <v>2</v>
      </c>
      <c r="W3304">
        <v>2.2000000000000002</v>
      </c>
      <c r="X3304" s="1" t="s">
        <v>94</v>
      </c>
    </row>
    <row r="3305" spans="1:24" x14ac:dyDescent="0.25">
      <c r="A3305" s="1" t="str">
        <f t="shared" si="1089"/>
        <v>卡卡杜-凤凰仓</v>
      </c>
      <c r="B3305" s="1" t="str">
        <f>"CK20241023119"</f>
        <v>CK20241023119</v>
      </c>
      <c r="C3305" s="1" t="str">
        <f>"DD2024102317265"</f>
        <v>DD2024102317265</v>
      </c>
      <c r="D3305" s="1" t="str">
        <f>"CK2024102322429"</f>
        <v>CK2024102322429</v>
      </c>
      <c r="E3305" s="1" t="str">
        <f>"3723494118535072768"</f>
        <v>3723494118535072768</v>
      </c>
      <c r="F3305" s="1" t="str">
        <f t="shared" si="1090"/>
        <v>花都四部-凤凰仓</v>
      </c>
      <c r="G3305" s="1" t="str">
        <f t="shared" si="1094"/>
        <v>卡卡杜企业店（视频号）</v>
      </c>
      <c r="H3305" s="1" t="str">
        <f t="shared" si="1091"/>
        <v>正常订单</v>
      </c>
      <c r="I3305" s="1" t="str">
        <f t="shared" si="1092"/>
        <v>已发货</v>
      </c>
      <c r="J3305" s="1" t="str">
        <f t="shared" si="1099"/>
        <v>2</v>
      </c>
      <c r="K3305" s="1">
        <v>2</v>
      </c>
      <c r="L3305" s="1" t="s">
        <v>20</v>
      </c>
      <c r="M3305" s="1" t="str">
        <f>"浙江省 杭州市 上城区 "</f>
        <v xml:space="preserve">浙江省 杭州市 上城区 </v>
      </c>
      <c r="N3305" s="1" t="str">
        <f t="shared" si="1096"/>
        <v>凡华云仓-城南圆通-微信视频号</v>
      </c>
      <c r="O3305" s="5" t="s">
        <v>3338</v>
      </c>
      <c r="P3305" s="6">
        <v>0.17</v>
      </c>
      <c r="Q3305" s="11">
        <v>2</v>
      </c>
      <c r="R3305" s="11"/>
      <c r="S3305" s="11"/>
      <c r="T3305" s="11"/>
      <c r="U3305" s="11">
        <f t="shared" si="1087"/>
        <v>2</v>
      </c>
      <c r="W3305">
        <v>2.2000000000000002</v>
      </c>
      <c r="X3305" s="1" t="s">
        <v>20</v>
      </c>
    </row>
    <row r="3306" spans="1:24" x14ac:dyDescent="0.25">
      <c r="A3306" s="1" t="str">
        <f t="shared" si="1089"/>
        <v>卡卡杜-凤凰仓</v>
      </c>
      <c r="B3306" s="1" t="str">
        <f>"CK20241023106"</f>
        <v>CK20241023106</v>
      </c>
      <c r="C3306" s="1" t="str">
        <f>"DD2024102317251"</f>
        <v>DD2024102317251</v>
      </c>
      <c r="D3306" s="1" t="str">
        <f>"CK2024102322428"</f>
        <v>CK2024102322428</v>
      </c>
      <c r="E3306" s="1" t="str">
        <f>"3723494104911709440"</f>
        <v>3723494104911709440</v>
      </c>
      <c r="F3306" s="1" t="str">
        <f t="shared" si="1090"/>
        <v>花都四部-凤凰仓</v>
      </c>
      <c r="G3306" s="1" t="str">
        <f t="shared" si="1094"/>
        <v>卡卡杜企业店（视频号）</v>
      </c>
      <c r="H3306" s="1" t="str">
        <f t="shared" si="1091"/>
        <v>正常订单</v>
      </c>
      <c r="I3306" s="1" t="str">
        <f t="shared" si="1092"/>
        <v>已发货</v>
      </c>
      <c r="J3306" s="1" t="str">
        <f t="shared" si="1099"/>
        <v>2</v>
      </c>
      <c r="K3306" s="1">
        <v>2</v>
      </c>
      <c r="L3306" s="1" t="s">
        <v>74</v>
      </c>
      <c r="M3306" s="1" t="str">
        <f>"上海 上海市 闵行区 "</f>
        <v xml:space="preserve">上海 上海市 闵行区 </v>
      </c>
      <c r="N3306" s="1" t="str">
        <f t="shared" si="1096"/>
        <v>凡华云仓-城南圆通-微信视频号</v>
      </c>
      <c r="O3306" s="5" t="s">
        <v>3339</v>
      </c>
      <c r="P3306" s="6">
        <v>0.17</v>
      </c>
      <c r="Q3306" s="11">
        <v>2</v>
      </c>
      <c r="R3306" s="11"/>
      <c r="S3306" s="11"/>
      <c r="T3306" s="11"/>
      <c r="U3306" s="11">
        <f t="shared" si="1087"/>
        <v>2</v>
      </c>
      <c r="W3306">
        <v>2.2000000000000002</v>
      </c>
      <c r="X3306" s="1" t="s">
        <v>74</v>
      </c>
    </row>
    <row r="3307" spans="1:24" x14ac:dyDescent="0.25">
      <c r="A3307" s="1" t="str">
        <f t="shared" si="1089"/>
        <v>卡卡杜-凤凰仓</v>
      </c>
      <c r="B3307" s="1" t="str">
        <f>"CK20241023104"</f>
        <v>CK20241023104</v>
      </c>
      <c r="C3307" s="1" t="str">
        <f>"DD2024102317250"</f>
        <v>DD2024102317250</v>
      </c>
      <c r="D3307" s="1" t="str">
        <f>"CK2024102322427"</f>
        <v>CK2024102322427</v>
      </c>
      <c r="E3307" s="1" t="str">
        <f>"3723494105059558657"</f>
        <v>3723494105059558657</v>
      </c>
      <c r="F3307" s="1" t="str">
        <f t="shared" si="1090"/>
        <v>花都四部-凤凰仓</v>
      </c>
      <c r="G3307" s="1" t="str">
        <f t="shared" si="1094"/>
        <v>卡卡杜企业店（视频号）</v>
      </c>
      <c r="H3307" s="1" t="str">
        <f t="shared" si="1091"/>
        <v>正常订单</v>
      </c>
      <c r="I3307" s="1" t="str">
        <f t="shared" si="1092"/>
        <v>已发货</v>
      </c>
      <c r="J3307" s="1" t="str">
        <f t="shared" si="1100"/>
        <v>3</v>
      </c>
      <c r="K3307" s="1">
        <v>2</v>
      </c>
      <c r="L3307" s="1" t="s">
        <v>74</v>
      </c>
      <c r="M3307" s="1" t="str">
        <f>"上海 上海市 宝山区 "</f>
        <v xml:space="preserve">上海 上海市 宝山区 </v>
      </c>
      <c r="N3307" s="1" t="str">
        <f t="shared" si="1096"/>
        <v>凡华云仓-城南圆通-微信视频号</v>
      </c>
      <c r="O3307" s="5" t="s">
        <v>3340</v>
      </c>
      <c r="P3307" s="6">
        <v>0.24</v>
      </c>
      <c r="Q3307" s="11">
        <v>2</v>
      </c>
      <c r="R3307" s="11"/>
      <c r="S3307" s="11"/>
      <c r="T3307" s="11"/>
      <c r="U3307" s="11">
        <f t="shared" si="1087"/>
        <v>2</v>
      </c>
      <c r="W3307">
        <v>2.2000000000000002</v>
      </c>
      <c r="X3307" s="1" t="s">
        <v>74</v>
      </c>
    </row>
    <row r="3308" spans="1:24" x14ac:dyDescent="0.25">
      <c r="A3308" s="1" t="str">
        <f t="shared" si="1089"/>
        <v>卡卡杜-凤凰仓</v>
      </c>
      <c r="B3308" s="1" t="str">
        <f>"CK2024102398"</f>
        <v>CK2024102398</v>
      </c>
      <c r="C3308" s="1" t="str">
        <f>"DD2024102317244"</f>
        <v>DD2024102317244</v>
      </c>
      <c r="D3308" s="1" t="str">
        <f>"CK2024102322426"</f>
        <v>CK2024102322426</v>
      </c>
      <c r="E3308" s="1" t="str">
        <f>"3723494101096989952"</f>
        <v>3723494101096989952</v>
      </c>
      <c r="F3308" s="1" t="str">
        <f t="shared" si="1090"/>
        <v>花都四部-凤凰仓</v>
      </c>
      <c r="G3308" s="1" t="str">
        <f t="shared" si="1094"/>
        <v>卡卡杜企业店（视频号）</v>
      </c>
      <c r="H3308" s="1" t="str">
        <f t="shared" si="1091"/>
        <v>正常订单</v>
      </c>
      <c r="I3308" s="1" t="str">
        <f t="shared" si="1092"/>
        <v>已发货</v>
      </c>
      <c r="J3308" s="1" t="str">
        <f t="shared" si="1100"/>
        <v>3</v>
      </c>
      <c r="K3308" s="1">
        <v>2</v>
      </c>
      <c r="L3308" s="1" t="s">
        <v>20</v>
      </c>
      <c r="M3308" s="1" t="str">
        <f>"浙江省 杭州市 临安区 "</f>
        <v xml:space="preserve">浙江省 杭州市 临安区 </v>
      </c>
      <c r="N3308" s="1" t="str">
        <f t="shared" si="1096"/>
        <v>凡华云仓-城南圆通-微信视频号</v>
      </c>
      <c r="O3308" s="5" t="s">
        <v>3341</v>
      </c>
      <c r="P3308" s="6">
        <v>0.24</v>
      </c>
      <c r="Q3308" s="11">
        <v>2</v>
      </c>
      <c r="R3308" s="11"/>
      <c r="S3308" s="11"/>
      <c r="T3308" s="11"/>
      <c r="U3308" s="11">
        <f t="shared" si="1087"/>
        <v>2</v>
      </c>
      <c r="W3308">
        <v>2.2000000000000002</v>
      </c>
      <c r="X3308" s="1" t="s">
        <v>20</v>
      </c>
    </row>
    <row r="3309" spans="1:24" x14ac:dyDescent="0.25">
      <c r="A3309" s="1" t="str">
        <f t="shared" si="1089"/>
        <v>卡卡杜-凤凰仓</v>
      </c>
      <c r="B3309" s="1" t="str">
        <f>"CK2024102397"</f>
        <v>CK2024102397</v>
      </c>
      <c r="C3309" s="1" t="str">
        <f>"DD2024102317243"</f>
        <v>DD2024102317243</v>
      </c>
      <c r="D3309" s="1" t="str">
        <f>"CK2024102322425"</f>
        <v>CK2024102322425</v>
      </c>
      <c r="E3309" s="1" t="str">
        <f>"3723494093783172352"</f>
        <v>3723494093783172352</v>
      </c>
      <c r="F3309" s="1" t="str">
        <f t="shared" si="1090"/>
        <v>花都四部-凤凰仓</v>
      </c>
      <c r="G3309" s="1" t="str">
        <f t="shared" si="1094"/>
        <v>卡卡杜企业店（视频号）</v>
      </c>
      <c r="H3309" s="1" t="str">
        <f t="shared" si="1091"/>
        <v>正常订单</v>
      </c>
      <c r="I3309" s="1" t="str">
        <f t="shared" si="1092"/>
        <v>已发货</v>
      </c>
      <c r="J3309" s="1" t="str">
        <f t="shared" si="1100"/>
        <v>3</v>
      </c>
      <c r="K3309" s="1">
        <v>2</v>
      </c>
      <c r="L3309" s="1" t="s">
        <v>74</v>
      </c>
      <c r="M3309" s="1" t="str">
        <f>"上海 上海市 嘉定区 "</f>
        <v xml:space="preserve">上海 上海市 嘉定区 </v>
      </c>
      <c r="N3309" s="1" t="str">
        <f t="shared" si="1096"/>
        <v>凡华云仓-城南圆通-微信视频号</v>
      </c>
      <c r="O3309" s="5" t="s">
        <v>3342</v>
      </c>
      <c r="P3309" s="6">
        <v>0.24</v>
      </c>
      <c r="Q3309" s="11">
        <v>2</v>
      </c>
      <c r="R3309" s="11"/>
      <c r="S3309" s="11"/>
      <c r="T3309" s="11"/>
      <c r="U3309" s="11">
        <f t="shared" si="1087"/>
        <v>2</v>
      </c>
      <c r="W3309">
        <v>2.2000000000000002</v>
      </c>
      <c r="X3309" s="1" t="s">
        <v>74</v>
      </c>
    </row>
    <row r="3310" spans="1:24" x14ac:dyDescent="0.25">
      <c r="A3310" s="1" t="str">
        <f t="shared" si="1089"/>
        <v>卡卡杜-凤凰仓</v>
      </c>
      <c r="B3310" s="1" t="str">
        <f>"CK20241023116"</f>
        <v>CK20241023116</v>
      </c>
      <c r="C3310" s="1" t="str">
        <f>"DD2024102317262"</f>
        <v>DD2024102317262</v>
      </c>
      <c r="D3310" s="1" t="str">
        <f>"CK2024102322424"</f>
        <v>CK2024102322424</v>
      </c>
      <c r="E3310" s="1" t="str">
        <f>"3723494098759189760"</f>
        <v>3723494098759189760</v>
      </c>
      <c r="F3310" s="1" t="str">
        <f t="shared" si="1090"/>
        <v>花都四部-凤凰仓</v>
      </c>
      <c r="G3310" s="1" t="str">
        <f t="shared" si="1094"/>
        <v>卡卡杜企业店（视频号）</v>
      </c>
      <c r="H3310" s="1" t="str">
        <f t="shared" si="1091"/>
        <v>正常订单</v>
      </c>
      <c r="I3310" s="1" t="str">
        <f t="shared" si="1092"/>
        <v>已发货</v>
      </c>
      <c r="J3310" s="1" t="str">
        <f>"2"</f>
        <v>2</v>
      </c>
      <c r="K3310" s="1">
        <v>2</v>
      </c>
      <c r="L3310" s="1" t="s">
        <v>66</v>
      </c>
      <c r="M3310" s="1" t="str">
        <f>"内蒙古自治区 包头市 昆都仑区 "</f>
        <v xml:space="preserve">内蒙古自治区 包头市 昆都仑区 </v>
      </c>
      <c r="N3310" s="1" t="str">
        <f t="shared" si="1096"/>
        <v>凡华云仓-城南圆通-微信视频号</v>
      </c>
      <c r="O3310" s="5" t="s">
        <v>3343</v>
      </c>
      <c r="P3310" s="6">
        <v>0.17</v>
      </c>
      <c r="Q3310" s="11">
        <v>2</v>
      </c>
      <c r="R3310" s="11"/>
      <c r="S3310" s="11"/>
      <c r="T3310" s="11"/>
      <c r="U3310" s="11">
        <f t="shared" si="1087"/>
        <v>2</v>
      </c>
      <c r="W3310">
        <v>2.2000000000000002</v>
      </c>
      <c r="X3310" s="1" t="s">
        <v>66</v>
      </c>
    </row>
    <row r="3311" spans="1:24" x14ac:dyDescent="0.25">
      <c r="A3311" s="1" t="str">
        <f t="shared" si="1089"/>
        <v>卡卡杜-凤凰仓</v>
      </c>
      <c r="B3311" s="1" t="str">
        <f>"CK2024102389"</f>
        <v>CK2024102389</v>
      </c>
      <c r="C3311" s="1" t="str">
        <f>"DD2024102317235"</f>
        <v>DD2024102317235</v>
      </c>
      <c r="D3311" s="1" t="str">
        <f>"CK2024102322423"</f>
        <v>CK2024102322423</v>
      </c>
      <c r="E3311" s="1" t="str">
        <f>"3723494096507634944"</f>
        <v>3723494096507634944</v>
      </c>
      <c r="F3311" s="1" t="str">
        <f t="shared" si="1090"/>
        <v>花都四部-凤凰仓</v>
      </c>
      <c r="G3311" s="1" t="str">
        <f t="shared" si="1094"/>
        <v>卡卡杜企业店（视频号）</v>
      </c>
      <c r="H3311" s="1" t="str">
        <f t="shared" si="1091"/>
        <v>正常订单</v>
      </c>
      <c r="I3311" s="1" t="str">
        <f t="shared" si="1092"/>
        <v>已发货</v>
      </c>
      <c r="J3311" s="1" t="str">
        <f t="shared" ref="J3311:J3314" si="1101">"3"</f>
        <v>3</v>
      </c>
      <c r="K3311" s="1">
        <v>2</v>
      </c>
      <c r="L3311" s="1" t="s">
        <v>27</v>
      </c>
      <c r="M3311" s="1" t="str">
        <f>"贵州省 贵阳市 云岩区 "</f>
        <v xml:space="preserve">贵州省 贵阳市 云岩区 </v>
      </c>
      <c r="N3311" s="1" t="str">
        <f t="shared" si="1096"/>
        <v>凡华云仓-城南圆通-微信视频号</v>
      </c>
      <c r="O3311" s="5" t="s">
        <v>3344</v>
      </c>
      <c r="P3311" s="6">
        <v>0.24</v>
      </c>
      <c r="Q3311" s="11">
        <v>2</v>
      </c>
      <c r="R3311" s="11"/>
      <c r="S3311" s="11"/>
      <c r="T3311" s="11"/>
      <c r="U3311" s="11">
        <f t="shared" si="1087"/>
        <v>2</v>
      </c>
      <c r="W3311">
        <v>2.2000000000000002</v>
      </c>
      <c r="X3311" s="1" t="s">
        <v>27</v>
      </c>
    </row>
    <row r="3312" spans="1:24" x14ac:dyDescent="0.25">
      <c r="A3312" s="1" t="str">
        <f t="shared" si="1089"/>
        <v>卡卡杜-凤凰仓</v>
      </c>
      <c r="B3312" s="1" t="str">
        <f>"CK20241023134"</f>
        <v>CK20241023134</v>
      </c>
      <c r="C3312" s="1" t="str">
        <f>"DD2024102317280"</f>
        <v>DD2024102317280</v>
      </c>
      <c r="D3312" s="1" t="str">
        <f>"CK2024102322422"</f>
        <v>CK2024102322422</v>
      </c>
      <c r="E3312" s="1" t="str">
        <f>"3723494095533507840"</f>
        <v>3723494095533507840</v>
      </c>
      <c r="F3312" s="1" t="str">
        <f t="shared" si="1090"/>
        <v>花都四部-凤凰仓</v>
      </c>
      <c r="G3312" s="1" t="str">
        <f t="shared" si="1094"/>
        <v>卡卡杜企业店（视频号）</v>
      </c>
      <c r="H3312" s="1" t="str">
        <f t="shared" si="1091"/>
        <v>正常订单</v>
      </c>
      <c r="I3312" s="1" t="str">
        <f t="shared" si="1092"/>
        <v>已发货</v>
      </c>
      <c r="J3312" s="1" t="str">
        <f t="shared" si="1101"/>
        <v>3</v>
      </c>
      <c r="K3312" s="1">
        <v>2</v>
      </c>
      <c r="L3312" s="1" t="s">
        <v>18</v>
      </c>
      <c r="M3312" s="1" t="str">
        <f>"广东省 中山市 石岐街道 "</f>
        <v xml:space="preserve">广东省 中山市 石岐街道 </v>
      </c>
      <c r="N3312" s="1" t="str">
        <f t="shared" si="1096"/>
        <v>凡华云仓-城南圆通-微信视频号</v>
      </c>
      <c r="O3312" s="5" t="s">
        <v>3345</v>
      </c>
      <c r="P3312" s="6">
        <v>0.24</v>
      </c>
      <c r="Q3312" s="11">
        <v>2</v>
      </c>
      <c r="R3312" s="11"/>
      <c r="S3312" s="11"/>
      <c r="T3312" s="11"/>
      <c r="U3312" s="11">
        <f t="shared" si="1087"/>
        <v>2</v>
      </c>
      <c r="W3312">
        <v>2.2000000000000002</v>
      </c>
      <c r="X3312" s="1" t="s">
        <v>18</v>
      </c>
    </row>
    <row r="3313" spans="1:24" x14ac:dyDescent="0.25">
      <c r="A3313" s="1" t="str">
        <f t="shared" si="1089"/>
        <v>卡卡杜-凤凰仓</v>
      </c>
      <c r="B3313" s="1" t="str">
        <f>"CK2024102399"</f>
        <v>CK2024102399</v>
      </c>
      <c r="C3313" s="1" t="str">
        <f>"DD2024102317245"</f>
        <v>DD2024102317245</v>
      </c>
      <c r="D3313" s="1" t="str">
        <f>"CK2024102322421"</f>
        <v>CK2024102322421</v>
      </c>
      <c r="E3313" s="1" t="str">
        <f>"3723494096975562240"</f>
        <v>3723494096975562240</v>
      </c>
      <c r="F3313" s="1" t="str">
        <f t="shared" si="1090"/>
        <v>花都四部-凤凰仓</v>
      </c>
      <c r="G3313" s="1" t="str">
        <f t="shared" si="1094"/>
        <v>卡卡杜企业店（视频号）</v>
      </c>
      <c r="H3313" s="1" t="str">
        <f t="shared" si="1091"/>
        <v>正常订单</v>
      </c>
      <c r="I3313" s="1" t="str">
        <f t="shared" si="1092"/>
        <v>已发货</v>
      </c>
      <c r="J3313" s="1" t="str">
        <f t="shared" si="1101"/>
        <v>3</v>
      </c>
      <c r="K3313" s="1">
        <v>2</v>
      </c>
      <c r="L3313" s="1" t="s">
        <v>74</v>
      </c>
      <c r="M3313" s="1" t="str">
        <f>"上海 上海市 普陀区 "</f>
        <v xml:space="preserve">上海 上海市 普陀区 </v>
      </c>
      <c r="N3313" s="1" t="str">
        <f t="shared" si="1096"/>
        <v>凡华云仓-城南圆通-微信视频号</v>
      </c>
      <c r="O3313" s="5" t="s">
        <v>3346</v>
      </c>
      <c r="P3313" s="6">
        <v>0.24</v>
      </c>
      <c r="Q3313" s="11">
        <v>2</v>
      </c>
      <c r="R3313" s="11"/>
      <c r="S3313" s="11"/>
      <c r="T3313" s="11"/>
      <c r="U3313" s="11">
        <f t="shared" si="1087"/>
        <v>2</v>
      </c>
      <c r="W3313">
        <v>2.2000000000000002</v>
      </c>
      <c r="X3313" s="1" t="s">
        <v>74</v>
      </c>
    </row>
    <row r="3314" spans="1:24" x14ac:dyDescent="0.25">
      <c r="A3314" s="1" t="str">
        <f t="shared" si="1089"/>
        <v>卡卡杜-凤凰仓</v>
      </c>
      <c r="B3314" s="1" t="str">
        <f>"CK2024102393"</f>
        <v>CK2024102393</v>
      </c>
      <c r="C3314" s="1" t="str">
        <f>"DD2024102317237"</f>
        <v>DD2024102317237</v>
      </c>
      <c r="D3314" s="1" t="str">
        <f>"CK2024102322420"</f>
        <v>CK2024102322420</v>
      </c>
      <c r="E3314" s="1" t="str">
        <f>"3723494094770406656"</f>
        <v>3723494094770406656</v>
      </c>
      <c r="F3314" s="1" t="str">
        <f t="shared" si="1090"/>
        <v>花都四部-凤凰仓</v>
      </c>
      <c r="G3314" s="1" t="str">
        <f t="shared" si="1094"/>
        <v>卡卡杜企业店（视频号）</v>
      </c>
      <c r="H3314" s="1" t="str">
        <f t="shared" si="1091"/>
        <v>正常订单</v>
      </c>
      <c r="I3314" s="1" t="str">
        <f t="shared" si="1092"/>
        <v>已发货</v>
      </c>
      <c r="J3314" s="1" t="str">
        <f t="shared" si="1101"/>
        <v>3</v>
      </c>
      <c r="K3314" s="1">
        <v>2</v>
      </c>
      <c r="L3314" s="1" t="s">
        <v>27</v>
      </c>
      <c r="M3314" s="1" t="str">
        <f>"贵州省 贵阳市 花溪区 "</f>
        <v xml:space="preserve">贵州省 贵阳市 花溪区 </v>
      </c>
      <c r="N3314" s="1" t="str">
        <f t="shared" si="1096"/>
        <v>凡华云仓-城南圆通-微信视频号</v>
      </c>
      <c r="O3314" s="5" t="s">
        <v>3347</v>
      </c>
      <c r="P3314" s="6">
        <v>0.24</v>
      </c>
      <c r="Q3314" s="11">
        <v>2</v>
      </c>
      <c r="R3314" s="11"/>
      <c r="S3314" s="11"/>
      <c r="T3314" s="11"/>
      <c r="U3314" s="11">
        <f t="shared" si="1087"/>
        <v>2</v>
      </c>
      <c r="W3314">
        <v>2.2000000000000002</v>
      </c>
      <c r="X3314" s="1" t="s">
        <v>27</v>
      </c>
    </row>
    <row r="3315" spans="1:24" x14ac:dyDescent="0.25">
      <c r="A3315" s="1" t="str">
        <f t="shared" si="1089"/>
        <v>卡卡杜-凤凰仓</v>
      </c>
      <c r="B3315" s="1" t="str">
        <f>"CK20241023122"</f>
        <v>CK20241023122</v>
      </c>
      <c r="C3315" s="1" t="str">
        <f>"DD2024102317268"</f>
        <v>DD2024102317268</v>
      </c>
      <c r="D3315" s="1" t="str">
        <f>"CK2024102322419"</f>
        <v>CK2024102322419</v>
      </c>
      <c r="E3315" s="1" t="str">
        <f>"3723494095460107776"</f>
        <v>3723494095460107776</v>
      </c>
      <c r="F3315" s="1" t="str">
        <f t="shared" si="1090"/>
        <v>花都四部-凤凰仓</v>
      </c>
      <c r="G3315" s="1" t="str">
        <f t="shared" si="1094"/>
        <v>卡卡杜企业店（视频号）</v>
      </c>
      <c r="H3315" s="1" t="str">
        <f t="shared" si="1091"/>
        <v>正常订单</v>
      </c>
      <c r="I3315" s="1" t="str">
        <f t="shared" si="1092"/>
        <v>已发货</v>
      </c>
      <c r="J3315" s="1" t="str">
        <f t="shared" ref="J3315:J3318" si="1102">"2"</f>
        <v>2</v>
      </c>
      <c r="K3315" s="1">
        <v>2</v>
      </c>
      <c r="L3315" s="1" t="s">
        <v>36</v>
      </c>
      <c r="M3315" s="1" t="str">
        <f>"安徽省 宿州市 埇桥区 "</f>
        <v xml:space="preserve">安徽省 宿州市 埇桥区 </v>
      </c>
      <c r="N3315" s="1" t="str">
        <f t="shared" si="1096"/>
        <v>凡华云仓-城南圆通-微信视频号</v>
      </c>
      <c r="O3315" s="5" t="s">
        <v>3348</v>
      </c>
      <c r="P3315" s="6">
        <v>0.17</v>
      </c>
      <c r="Q3315" s="11">
        <v>2</v>
      </c>
      <c r="R3315" s="11"/>
      <c r="S3315" s="11"/>
      <c r="T3315" s="11"/>
      <c r="U3315" s="11">
        <f t="shared" si="1087"/>
        <v>2</v>
      </c>
      <c r="W3315">
        <v>2.2000000000000002</v>
      </c>
      <c r="X3315" s="1" t="s">
        <v>36</v>
      </c>
    </row>
    <row r="3316" spans="1:24" x14ac:dyDescent="0.25">
      <c r="A3316" s="1" t="str">
        <f t="shared" si="1089"/>
        <v>卡卡杜-凤凰仓</v>
      </c>
      <c r="B3316" s="1" t="str">
        <f>"CK20241023123"</f>
        <v>CK20241023123</v>
      </c>
      <c r="C3316" s="1" t="str">
        <f>"DD2024102317269"</f>
        <v>DD2024102317269</v>
      </c>
      <c r="D3316" s="1" t="str">
        <f>"CK2024102322418"</f>
        <v>CK2024102322418</v>
      </c>
      <c r="E3316" s="1" t="str">
        <f>"3723494092276632576"</f>
        <v>3723494092276632576</v>
      </c>
      <c r="F3316" s="1" t="str">
        <f t="shared" si="1090"/>
        <v>花都四部-凤凰仓</v>
      </c>
      <c r="G3316" s="1" t="str">
        <f t="shared" si="1094"/>
        <v>卡卡杜企业店（视频号）</v>
      </c>
      <c r="H3316" s="1" t="str">
        <f t="shared" si="1091"/>
        <v>正常订单</v>
      </c>
      <c r="I3316" s="1" t="str">
        <f t="shared" si="1092"/>
        <v>已发货</v>
      </c>
      <c r="J3316" s="1" t="str">
        <f t="shared" si="1102"/>
        <v>2</v>
      </c>
      <c r="K3316" s="1">
        <v>2</v>
      </c>
      <c r="L3316" s="1" t="s">
        <v>16</v>
      </c>
      <c r="M3316" s="1" t="str">
        <f>"河北省 石家庄市 无极县 "</f>
        <v xml:space="preserve">河北省 石家庄市 无极县 </v>
      </c>
      <c r="N3316" s="1" t="str">
        <f t="shared" si="1096"/>
        <v>凡华云仓-城南圆通-微信视频号</v>
      </c>
      <c r="O3316" s="5" t="s">
        <v>3349</v>
      </c>
      <c r="P3316" s="6">
        <v>0.17</v>
      </c>
      <c r="Q3316" s="11">
        <v>2</v>
      </c>
      <c r="R3316" s="11"/>
      <c r="S3316" s="11"/>
      <c r="T3316" s="11"/>
      <c r="U3316" s="11">
        <f t="shared" si="1087"/>
        <v>2</v>
      </c>
      <c r="W3316">
        <v>2.2000000000000002</v>
      </c>
      <c r="X3316" s="1" t="s">
        <v>16</v>
      </c>
    </row>
    <row r="3317" spans="1:24" x14ac:dyDescent="0.25">
      <c r="A3317" s="1" t="str">
        <f t="shared" si="1089"/>
        <v>卡卡杜-凤凰仓</v>
      </c>
      <c r="B3317" s="1" t="str">
        <f>"CK20241023124"</f>
        <v>CK20241023124</v>
      </c>
      <c r="C3317" s="1" t="str">
        <f>"DD2024102317270"</f>
        <v>DD2024102317270</v>
      </c>
      <c r="D3317" s="1" t="str">
        <f>"CK2024102322417"</f>
        <v>CK2024102322417</v>
      </c>
      <c r="E3317" s="1" t="str">
        <f>"3723494087919537152"</f>
        <v>3723494087919537152</v>
      </c>
      <c r="F3317" s="1" t="str">
        <f t="shared" si="1090"/>
        <v>花都四部-凤凰仓</v>
      </c>
      <c r="G3317" s="1" t="str">
        <f t="shared" si="1094"/>
        <v>卡卡杜企业店（视频号）</v>
      </c>
      <c r="H3317" s="1" t="str">
        <f t="shared" si="1091"/>
        <v>正常订单</v>
      </c>
      <c r="I3317" s="1" t="str">
        <f t="shared" si="1092"/>
        <v>已发货</v>
      </c>
      <c r="J3317" s="1" t="str">
        <f t="shared" si="1102"/>
        <v>2</v>
      </c>
      <c r="K3317" s="1">
        <v>2</v>
      </c>
      <c r="L3317" s="1" t="s">
        <v>22</v>
      </c>
      <c r="M3317" s="1" t="str">
        <f>"江西省 新余市 渝水区 "</f>
        <v xml:space="preserve">江西省 新余市 渝水区 </v>
      </c>
      <c r="N3317" s="1" t="str">
        <f t="shared" si="1096"/>
        <v>凡华云仓-城南圆通-微信视频号</v>
      </c>
      <c r="O3317" s="5" t="s">
        <v>3350</v>
      </c>
      <c r="P3317" s="6">
        <v>0.17</v>
      </c>
      <c r="Q3317" s="11">
        <v>2</v>
      </c>
      <c r="R3317" s="11"/>
      <c r="S3317" s="11"/>
      <c r="T3317" s="11"/>
      <c r="U3317" s="11">
        <f t="shared" si="1087"/>
        <v>2</v>
      </c>
      <c r="W3317">
        <v>2.2000000000000002</v>
      </c>
      <c r="X3317" s="1" t="s">
        <v>22</v>
      </c>
    </row>
    <row r="3318" spans="1:24" x14ac:dyDescent="0.25">
      <c r="A3318" s="1" t="str">
        <f t="shared" si="1089"/>
        <v>卡卡杜-凤凰仓</v>
      </c>
      <c r="B3318" s="1" t="str">
        <f>"CK20241023125"</f>
        <v>CK20241023125</v>
      </c>
      <c r="C3318" s="1" t="str">
        <f>"DD2024102317271"</f>
        <v>DD2024102317271</v>
      </c>
      <c r="D3318" s="1" t="str">
        <f>"CK2024102322416"</f>
        <v>CK2024102322416</v>
      </c>
      <c r="E3318" s="1" t="str">
        <f>"3723494088292832256"</f>
        <v>3723494088292832256</v>
      </c>
      <c r="F3318" s="1" t="str">
        <f t="shared" si="1090"/>
        <v>花都四部-凤凰仓</v>
      </c>
      <c r="G3318" s="1" t="str">
        <f t="shared" si="1094"/>
        <v>卡卡杜企业店（视频号）</v>
      </c>
      <c r="H3318" s="1" t="str">
        <f t="shared" si="1091"/>
        <v>正常订单</v>
      </c>
      <c r="I3318" s="1" t="str">
        <f t="shared" si="1092"/>
        <v>已发货</v>
      </c>
      <c r="J3318" s="1" t="str">
        <f t="shared" si="1102"/>
        <v>2</v>
      </c>
      <c r="K3318" s="1">
        <v>2</v>
      </c>
      <c r="L3318" s="1" t="s">
        <v>27</v>
      </c>
      <c r="M3318" s="1" t="str">
        <f>"贵州省 黔南布依族苗族自治州 都匀市 "</f>
        <v xml:space="preserve">贵州省 黔南布依族苗族自治州 都匀市 </v>
      </c>
      <c r="N3318" s="1" t="str">
        <f t="shared" si="1096"/>
        <v>凡华云仓-城南圆通-微信视频号</v>
      </c>
      <c r="O3318" s="5" t="s">
        <v>3351</v>
      </c>
      <c r="P3318" s="6">
        <v>0.17</v>
      </c>
      <c r="Q3318" s="11">
        <v>2</v>
      </c>
      <c r="R3318" s="11"/>
      <c r="S3318" s="11"/>
      <c r="T3318" s="11"/>
      <c r="U3318" s="11">
        <f t="shared" si="1087"/>
        <v>2</v>
      </c>
      <c r="W3318">
        <v>2.2000000000000002</v>
      </c>
      <c r="X3318" s="1" t="s">
        <v>27</v>
      </c>
    </row>
    <row r="3319" spans="1:24" x14ac:dyDescent="0.25">
      <c r="A3319" s="1" t="str">
        <f t="shared" si="1089"/>
        <v>卡卡杜-凤凰仓</v>
      </c>
      <c r="B3319" s="1" t="str">
        <f>"CK20241023102"</f>
        <v>CK20241023102</v>
      </c>
      <c r="C3319" s="1" t="str">
        <f>"DD2024102317248"</f>
        <v>DD2024102317248</v>
      </c>
      <c r="D3319" s="1" t="str">
        <f>"CK2024102322415"</f>
        <v>CK2024102322415</v>
      </c>
      <c r="E3319" s="1" t="str">
        <f>"3723494087485687040"</f>
        <v>3723494087485687040</v>
      </c>
      <c r="F3319" s="1" t="str">
        <f t="shared" si="1090"/>
        <v>花都四部-凤凰仓</v>
      </c>
      <c r="G3319" s="1" t="str">
        <f t="shared" si="1094"/>
        <v>卡卡杜企业店（视频号）</v>
      </c>
      <c r="H3319" s="1" t="str">
        <f t="shared" si="1091"/>
        <v>正常订单</v>
      </c>
      <c r="I3319" s="1" t="str">
        <f t="shared" si="1092"/>
        <v>已发货</v>
      </c>
      <c r="J3319" s="1" t="str">
        <f t="shared" ref="J3319:J3336" si="1103">"3"</f>
        <v>3</v>
      </c>
      <c r="K3319" s="1">
        <v>2</v>
      </c>
      <c r="L3319" s="1" t="s">
        <v>92</v>
      </c>
      <c r="M3319" s="1" t="str">
        <f>"辽宁省 沈阳市 苏家屯区 "</f>
        <v xml:space="preserve">辽宁省 沈阳市 苏家屯区 </v>
      </c>
      <c r="N3319" s="1" t="str">
        <f t="shared" si="1096"/>
        <v>凡华云仓-城南圆通-微信视频号</v>
      </c>
      <c r="O3319" s="5" t="s">
        <v>3352</v>
      </c>
      <c r="P3319" s="6">
        <v>0.24</v>
      </c>
      <c r="Q3319" s="11">
        <v>2</v>
      </c>
      <c r="R3319" s="11"/>
      <c r="S3319" s="11"/>
      <c r="T3319" s="11"/>
      <c r="U3319" s="11">
        <f t="shared" si="1087"/>
        <v>2</v>
      </c>
      <c r="W3319">
        <v>2.2000000000000002</v>
      </c>
      <c r="X3319" s="1" t="s">
        <v>92</v>
      </c>
    </row>
    <row r="3320" spans="1:24" x14ac:dyDescent="0.25">
      <c r="A3320" s="1" t="str">
        <f t="shared" si="1089"/>
        <v>卡卡杜-凤凰仓</v>
      </c>
      <c r="B3320" s="1" t="str">
        <f>"CK2024102388"</f>
        <v>CK2024102388</v>
      </c>
      <c r="C3320" s="1" t="str">
        <f>"DD2024102317232"</f>
        <v>DD2024102317232</v>
      </c>
      <c r="D3320" s="1" t="str">
        <f>"CK2024102322414"</f>
        <v>CK2024102322414</v>
      </c>
      <c r="E3320" s="1" t="str">
        <f>"3723493969908860416"</f>
        <v>3723493969908860416</v>
      </c>
      <c r="F3320" s="1" t="str">
        <f t="shared" si="1090"/>
        <v>花都四部-凤凰仓</v>
      </c>
      <c r="G3320" s="1" t="str">
        <f t="shared" si="1094"/>
        <v>卡卡杜企业店（视频号）</v>
      </c>
      <c r="H3320" s="1" t="str">
        <f t="shared" si="1091"/>
        <v>正常订单</v>
      </c>
      <c r="I3320" s="1" t="str">
        <f t="shared" si="1092"/>
        <v>已发货</v>
      </c>
      <c r="J3320" s="1" t="str">
        <f t="shared" si="1103"/>
        <v>3</v>
      </c>
      <c r="K3320" s="1">
        <v>2</v>
      </c>
      <c r="L3320" s="1" t="s">
        <v>105</v>
      </c>
      <c r="M3320" s="1" t="str">
        <f>"北京 北京市 西城区 "</f>
        <v xml:space="preserve">北京 北京市 西城区 </v>
      </c>
      <c r="N3320" s="1" t="str">
        <f t="shared" si="1096"/>
        <v>凡华云仓-城南圆通-微信视频号</v>
      </c>
      <c r="O3320" s="5" t="s">
        <v>3353</v>
      </c>
      <c r="P3320" s="6">
        <v>0.24</v>
      </c>
      <c r="Q3320" s="11">
        <v>2</v>
      </c>
      <c r="R3320" s="11"/>
      <c r="S3320" s="11"/>
      <c r="T3320" s="11"/>
      <c r="U3320" s="11">
        <f t="shared" si="1087"/>
        <v>2</v>
      </c>
      <c r="W3320">
        <v>2.2000000000000002</v>
      </c>
      <c r="X3320" s="1" t="s">
        <v>105</v>
      </c>
    </row>
    <row r="3321" spans="1:24" x14ac:dyDescent="0.25">
      <c r="A3321" s="1" t="str">
        <f t="shared" si="1089"/>
        <v>卡卡杜-凤凰仓</v>
      </c>
      <c r="B3321" s="1" t="str">
        <f>"CK20241023148"</f>
        <v>CK20241023148</v>
      </c>
      <c r="C3321" s="1" t="str">
        <f>"DD2024102317309"</f>
        <v>DD2024102317309</v>
      </c>
      <c r="D3321" s="1" t="str">
        <f>"CK2024102322413"</f>
        <v>CK2024102322413</v>
      </c>
      <c r="E3321" s="1" t="str">
        <f>"3723493094469797376"</f>
        <v>3723493094469797376</v>
      </c>
      <c r="F3321" s="1" t="str">
        <f t="shared" si="1090"/>
        <v>花都四部-凤凰仓</v>
      </c>
      <c r="G3321" s="1" t="str">
        <f t="shared" si="1094"/>
        <v>卡卡杜企业店（视频号）</v>
      </c>
      <c r="H3321" s="1" t="str">
        <f t="shared" si="1091"/>
        <v>正常订单</v>
      </c>
      <c r="I3321" s="1" t="str">
        <f t="shared" si="1092"/>
        <v>已发货</v>
      </c>
      <c r="J3321" s="1" t="str">
        <f t="shared" si="1103"/>
        <v>3</v>
      </c>
      <c r="K3321" s="1">
        <v>3</v>
      </c>
      <c r="L3321" s="1" t="s">
        <v>92</v>
      </c>
      <c r="M3321" s="1" t="str">
        <f>"辽宁省 大连市 中山区 "</f>
        <v xml:space="preserve">辽宁省 大连市 中山区 </v>
      </c>
      <c r="N3321" s="1" t="str">
        <f t="shared" si="1096"/>
        <v>凡华云仓-城南圆通-微信视频号</v>
      </c>
      <c r="O3321" s="5" t="s">
        <v>3354</v>
      </c>
      <c r="P3321" s="6">
        <v>0.34</v>
      </c>
      <c r="Q3321" s="11">
        <v>2.2999999999999998</v>
      </c>
      <c r="R3321" s="11"/>
      <c r="S3321" s="11"/>
      <c r="T3321" s="11"/>
      <c r="U3321" s="11">
        <f t="shared" si="1087"/>
        <v>2.2999999999999998</v>
      </c>
      <c r="W3321">
        <v>2.5</v>
      </c>
      <c r="X3321" s="1" t="s">
        <v>92</v>
      </c>
    </row>
    <row r="3322" spans="1:24" x14ac:dyDescent="0.25">
      <c r="A3322" s="1" t="str">
        <f t="shared" si="1089"/>
        <v>卡卡杜-凤凰仓</v>
      </c>
      <c r="B3322" s="1" t="str">
        <f>"CK20241023145"</f>
        <v>CK20241023145</v>
      </c>
      <c r="C3322" s="1" t="str">
        <f>"DD2024102317306"</f>
        <v>DD2024102317306</v>
      </c>
      <c r="D3322" s="1" t="str">
        <f>"CK2024102322412"</f>
        <v>CK2024102322412</v>
      </c>
      <c r="E3322" s="1" t="str">
        <f>"3723492995390901248"</f>
        <v>3723492995390901248</v>
      </c>
      <c r="F3322" s="1" t="str">
        <f t="shared" si="1090"/>
        <v>花都四部-凤凰仓</v>
      </c>
      <c r="G3322" s="1" t="str">
        <f t="shared" si="1094"/>
        <v>卡卡杜企业店（视频号）</v>
      </c>
      <c r="H3322" s="1" t="str">
        <f t="shared" si="1091"/>
        <v>正常订单</v>
      </c>
      <c r="I3322" s="1" t="str">
        <f t="shared" si="1092"/>
        <v>已发货</v>
      </c>
      <c r="J3322" s="1" t="str">
        <f t="shared" si="1103"/>
        <v>3</v>
      </c>
      <c r="K3322" s="1">
        <v>3</v>
      </c>
      <c r="L3322" s="1" t="s">
        <v>30</v>
      </c>
      <c r="M3322" s="1" t="str">
        <f>"山东省 青岛市 城阳区 "</f>
        <v xml:space="preserve">山东省 青岛市 城阳区 </v>
      </c>
      <c r="N3322" s="1" t="str">
        <f t="shared" si="1096"/>
        <v>凡华云仓-城南圆通-微信视频号</v>
      </c>
      <c r="O3322" s="5" t="s">
        <v>3355</v>
      </c>
      <c r="P3322" s="6">
        <v>0.34</v>
      </c>
      <c r="Q3322" s="11">
        <v>2.2999999999999998</v>
      </c>
      <c r="R3322" s="11"/>
      <c r="S3322" s="11"/>
      <c r="T3322" s="11"/>
      <c r="U3322" s="11">
        <f t="shared" si="1087"/>
        <v>2.2999999999999998</v>
      </c>
      <c r="W3322">
        <v>2.5</v>
      </c>
      <c r="X3322" s="1" t="s">
        <v>30</v>
      </c>
    </row>
    <row r="3323" spans="1:24" x14ac:dyDescent="0.25">
      <c r="A3323" s="1" t="str">
        <f t="shared" si="1089"/>
        <v>卡卡杜-凤凰仓</v>
      </c>
      <c r="B3323" s="1" t="str">
        <f>"CK20241023157"</f>
        <v>CK20241023157</v>
      </c>
      <c r="C3323" s="1" t="str">
        <f>"DD2024102317316"</f>
        <v>DD2024102317316</v>
      </c>
      <c r="D3323" s="1" t="str">
        <f>"CK2024102322411"</f>
        <v>CK2024102322411</v>
      </c>
      <c r="E3323" s="1" t="str">
        <f>"3723492986590725632"</f>
        <v>3723492986590725632</v>
      </c>
      <c r="F3323" s="1" t="str">
        <f t="shared" si="1090"/>
        <v>花都四部-凤凰仓</v>
      </c>
      <c r="G3323" s="1" t="str">
        <f t="shared" si="1094"/>
        <v>卡卡杜企业店（视频号）</v>
      </c>
      <c r="H3323" s="1" t="str">
        <f t="shared" si="1091"/>
        <v>正常订单</v>
      </c>
      <c r="I3323" s="1" t="str">
        <f t="shared" si="1092"/>
        <v>已发货</v>
      </c>
      <c r="J3323" s="1" t="str">
        <f t="shared" si="1103"/>
        <v>3</v>
      </c>
      <c r="K3323" s="1">
        <v>3</v>
      </c>
      <c r="L3323" s="1" t="s">
        <v>41</v>
      </c>
      <c r="M3323" s="1" t="str">
        <f>"湖北省 襄阳市 宜城市 "</f>
        <v xml:space="preserve">湖北省 襄阳市 宜城市 </v>
      </c>
      <c r="N3323" s="1" t="str">
        <f t="shared" si="1096"/>
        <v>凡华云仓-城南圆通-微信视频号</v>
      </c>
      <c r="O3323" s="5" t="s">
        <v>3356</v>
      </c>
      <c r="P3323" s="6">
        <v>0.34</v>
      </c>
      <c r="Q3323" s="11">
        <v>2.2999999999999998</v>
      </c>
      <c r="R3323" s="11"/>
      <c r="S3323" s="11"/>
      <c r="T3323" s="11"/>
      <c r="U3323" s="11">
        <f t="shared" si="1087"/>
        <v>2.2999999999999998</v>
      </c>
      <c r="W3323">
        <v>2.5</v>
      </c>
      <c r="X3323" s="1" t="s">
        <v>41</v>
      </c>
    </row>
    <row r="3324" spans="1:24" x14ac:dyDescent="0.25">
      <c r="A3324" s="1" t="str">
        <f t="shared" si="1089"/>
        <v>卡卡杜-凤凰仓</v>
      </c>
      <c r="B3324" s="1" t="str">
        <f>"CK20241023140"</f>
        <v>CK20241023140</v>
      </c>
      <c r="C3324" s="1" t="str">
        <f>"DD2024102317296"</f>
        <v>DD2024102317296</v>
      </c>
      <c r="D3324" s="1" t="str">
        <f>"CK2024102322410"</f>
        <v>CK2024102322410</v>
      </c>
      <c r="E3324" s="1" t="str">
        <f>"3723492838337545728"</f>
        <v>3723492838337545728</v>
      </c>
      <c r="F3324" s="1" t="str">
        <f t="shared" si="1090"/>
        <v>花都四部-凤凰仓</v>
      </c>
      <c r="G3324" s="1" t="str">
        <f t="shared" si="1094"/>
        <v>卡卡杜企业店（视频号）</v>
      </c>
      <c r="H3324" s="1" t="str">
        <f t="shared" si="1091"/>
        <v>正常订单</v>
      </c>
      <c r="I3324" s="1" t="str">
        <f t="shared" si="1092"/>
        <v>已发货</v>
      </c>
      <c r="J3324" s="1" t="str">
        <f t="shared" si="1103"/>
        <v>3</v>
      </c>
      <c r="K3324" s="1">
        <v>3</v>
      </c>
      <c r="L3324" s="1" t="s">
        <v>13</v>
      </c>
      <c r="M3324" s="1" t="str">
        <f>"江苏省 常州市 武进区 "</f>
        <v xml:space="preserve">江苏省 常州市 武进区 </v>
      </c>
      <c r="N3324" s="1" t="str">
        <f t="shared" si="1096"/>
        <v>凡华云仓-城南圆通-微信视频号</v>
      </c>
      <c r="O3324" s="5" t="s">
        <v>3357</v>
      </c>
      <c r="P3324" s="6">
        <v>0.34</v>
      </c>
      <c r="Q3324" s="11">
        <v>2.2999999999999998</v>
      </c>
      <c r="R3324" s="11"/>
      <c r="S3324" s="11"/>
      <c r="T3324" s="11"/>
      <c r="U3324" s="11">
        <f t="shared" si="1087"/>
        <v>2.2999999999999998</v>
      </c>
      <c r="W3324">
        <v>2.5</v>
      </c>
      <c r="X3324" s="1" t="s">
        <v>13</v>
      </c>
    </row>
    <row r="3325" spans="1:24" x14ac:dyDescent="0.25">
      <c r="A3325" s="1" t="str">
        <f t="shared" si="1089"/>
        <v>卡卡杜-凤凰仓</v>
      </c>
      <c r="B3325" s="1" t="str">
        <f>"CK20241023139"</f>
        <v>CK20241023139</v>
      </c>
      <c r="C3325" s="1" t="str">
        <f>"DD2024102317294"</f>
        <v>DD2024102317294</v>
      </c>
      <c r="D3325" s="1" t="str">
        <f>"CK2024102322409"</f>
        <v>CK2024102322409</v>
      </c>
      <c r="E3325" s="1" t="str">
        <f>"3723492857374443008"</f>
        <v>3723492857374443008</v>
      </c>
      <c r="F3325" s="1" t="str">
        <f t="shared" si="1090"/>
        <v>花都四部-凤凰仓</v>
      </c>
      <c r="G3325" s="1" t="str">
        <f t="shared" si="1094"/>
        <v>卡卡杜企业店（视频号）</v>
      </c>
      <c r="H3325" s="1" t="str">
        <f t="shared" si="1091"/>
        <v>正常订单</v>
      </c>
      <c r="I3325" s="1" t="str">
        <f t="shared" si="1092"/>
        <v>已发货</v>
      </c>
      <c r="J3325" s="1" t="str">
        <f t="shared" si="1103"/>
        <v>3</v>
      </c>
      <c r="K3325" s="1">
        <v>3</v>
      </c>
      <c r="L3325" s="1" t="s">
        <v>92</v>
      </c>
      <c r="M3325" s="1" t="str">
        <f>"辽宁省 本溪市 本溪满族自治县 "</f>
        <v xml:space="preserve">辽宁省 本溪市 本溪满族自治县 </v>
      </c>
      <c r="N3325" s="1" t="str">
        <f t="shared" si="1096"/>
        <v>凡华云仓-城南圆通-微信视频号</v>
      </c>
      <c r="O3325" s="5" t="s">
        <v>3358</v>
      </c>
      <c r="P3325" s="6">
        <v>0.34</v>
      </c>
      <c r="Q3325" s="11">
        <v>2.2999999999999998</v>
      </c>
      <c r="R3325" s="11"/>
      <c r="S3325" s="11"/>
      <c r="T3325" s="11"/>
      <c r="U3325" s="11">
        <f t="shared" si="1087"/>
        <v>2.2999999999999998</v>
      </c>
      <c r="W3325">
        <v>2.5</v>
      </c>
      <c r="X3325" s="1" t="s">
        <v>92</v>
      </c>
    </row>
    <row r="3326" spans="1:24" x14ac:dyDescent="0.25">
      <c r="A3326" s="1" t="str">
        <f t="shared" si="1089"/>
        <v>卡卡杜-凤凰仓</v>
      </c>
      <c r="B3326" s="1" t="str">
        <f>"CK20241023138"</f>
        <v>CK20241023138</v>
      </c>
      <c r="C3326" s="1" t="str">
        <f>"DD2024102317293"</f>
        <v>DD2024102317293</v>
      </c>
      <c r="D3326" s="1" t="str">
        <f>"CK2024102322408"</f>
        <v>CK2024102322408</v>
      </c>
      <c r="E3326" s="1" t="str">
        <f>"3723492822819669248"</f>
        <v>3723492822819669248</v>
      </c>
      <c r="F3326" s="1" t="str">
        <f t="shared" si="1090"/>
        <v>花都四部-凤凰仓</v>
      </c>
      <c r="G3326" s="1" t="str">
        <f t="shared" si="1094"/>
        <v>卡卡杜企业店（视频号）</v>
      </c>
      <c r="H3326" s="1" t="str">
        <f t="shared" si="1091"/>
        <v>正常订单</v>
      </c>
      <c r="I3326" s="1" t="str">
        <f t="shared" si="1092"/>
        <v>已发货</v>
      </c>
      <c r="J3326" s="1" t="str">
        <f t="shared" si="1103"/>
        <v>3</v>
      </c>
      <c r="K3326" s="1">
        <v>3</v>
      </c>
      <c r="L3326" s="1" t="s">
        <v>105</v>
      </c>
      <c r="M3326" s="1" t="str">
        <f>"北京 北京市 朝阳区 "</f>
        <v xml:space="preserve">北京 北京市 朝阳区 </v>
      </c>
      <c r="N3326" s="1" t="str">
        <f t="shared" si="1096"/>
        <v>凡华云仓-城南圆通-微信视频号</v>
      </c>
      <c r="O3326" s="5" t="s">
        <v>3359</v>
      </c>
      <c r="P3326" s="6">
        <v>0.34</v>
      </c>
      <c r="Q3326" s="11">
        <v>2.2999999999999998</v>
      </c>
      <c r="R3326" s="11"/>
      <c r="S3326" s="11"/>
      <c r="T3326" s="11"/>
      <c r="U3326" s="11">
        <f t="shared" si="1087"/>
        <v>2.2999999999999998</v>
      </c>
      <c r="W3326">
        <v>2.5</v>
      </c>
      <c r="X3326" s="1" t="s">
        <v>105</v>
      </c>
    </row>
    <row r="3327" spans="1:24" x14ac:dyDescent="0.25">
      <c r="A3327" s="1" t="str">
        <f t="shared" si="1089"/>
        <v>卡卡杜-凤凰仓</v>
      </c>
      <c r="B3327" s="1" t="str">
        <f>"CK20241023136"</f>
        <v>CK20241023136</v>
      </c>
      <c r="C3327" s="1" t="str">
        <f>"DD2024102317295"</f>
        <v>DD2024102317295</v>
      </c>
      <c r="D3327" s="1" t="str">
        <f>"CK2024102322407"</f>
        <v>CK2024102322407</v>
      </c>
      <c r="E3327" s="1" t="str">
        <f>"3723492816377480448"</f>
        <v>3723492816377480448</v>
      </c>
      <c r="F3327" s="1" t="str">
        <f t="shared" si="1090"/>
        <v>花都四部-凤凰仓</v>
      </c>
      <c r="G3327" s="1" t="str">
        <f t="shared" si="1094"/>
        <v>卡卡杜企业店（视频号）</v>
      </c>
      <c r="H3327" s="1" t="str">
        <f t="shared" si="1091"/>
        <v>正常订单</v>
      </c>
      <c r="I3327" s="1" t="str">
        <f t="shared" si="1092"/>
        <v>已发货</v>
      </c>
      <c r="J3327" s="1" t="str">
        <f t="shared" si="1103"/>
        <v>3</v>
      </c>
      <c r="K3327" s="1">
        <v>3</v>
      </c>
      <c r="L3327" s="1" t="s">
        <v>74</v>
      </c>
      <c r="M3327" s="1" t="str">
        <f>"上海 上海市 虹口区 "</f>
        <v xml:space="preserve">上海 上海市 虹口区 </v>
      </c>
      <c r="N3327" s="1" t="str">
        <f t="shared" si="1096"/>
        <v>凡华云仓-城南圆通-微信视频号</v>
      </c>
      <c r="O3327" s="5" t="s">
        <v>3360</v>
      </c>
      <c r="P3327" s="6">
        <v>0.34</v>
      </c>
      <c r="Q3327" s="11">
        <v>2.2999999999999998</v>
      </c>
      <c r="R3327" s="11"/>
      <c r="S3327" s="11"/>
      <c r="T3327" s="11"/>
      <c r="U3327" s="11">
        <f t="shared" si="1087"/>
        <v>2.2999999999999998</v>
      </c>
      <c r="W3327">
        <v>2.5</v>
      </c>
      <c r="X3327" s="1" t="s">
        <v>74</v>
      </c>
    </row>
    <row r="3328" spans="1:24" x14ac:dyDescent="0.25">
      <c r="A3328" s="1" t="str">
        <f t="shared" si="1089"/>
        <v>卡卡杜-凤凰仓</v>
      </c>
      <c r="B3328" s="1" t="str">
        <f>"CK20241023137"</f>
        <v>CK20241023137</v>
      </c>
      <c r="C3328" s="1" t="str">
        <f>"DD2024102317297"</f>
        <v>DD2024102317297</v>
      </c>
      <c r="D3328" s="1" t="str">
        <f>"CK2024102322406"</f>
        <v>CK2024102322406</v>
      </c>
      <c r="E3328" s="1" t="str">
        <f>"3723492796025933824"</f>
        <v>3723492796025933824</v>
      </c>
      <c r="F3328" s="1" t="str">
        <f t="shared" si="1090"/>
        <v>花都四部-凤凰仓</v>
      </c>
      <c r="G3328" s="1" t="str">
        <f t="shared" si="1094"/>
        <v>卡卡杜企业店（视频号）</v>
      </c>
      <c r="H3328" s="1" t="str">
        <f t="shared" si="1091"/>
        <v>正常订单</v>
      </c>
      <c r="I3328" s="1" t="str">
        <f t="shared" si="1092"/>
        <v>已发货</v>
      </c>
      <c r="J3328" s="1" t="str">
        <f t="shared" si="1103"/>
        <v>3</v>
      </c>
      <c r="K3328" s="1">
        <v>3</v>
      </c>
      <c r="L3328" s="1" t="s">
        <v>105</v>
      </c>
      <c r="M3328" s="1" t="str">
        <f>"北京 北京市 海淀区 "</f>
        <v xml:space="preserve">北京 北京市 海淀区 </v>
      </c>
      <c r="N3328" s="1" t="str">
        <f t="shared" si="1096"/>
        <v>凡华云仓-城南圆通-微信视频号</v>
      </c>
      <c r="O3328" s="5" t="s">
        <v>3361</v>
      </c>
      <c r="P3328" s="6">
        <v>0.34</v>
      </c>
      <c r="Q3328" s="11">
        <v>2.2999999999999998</v>
      </c>
      <c r="R3328" s="11"/>
      <c r="S3328" s="11"/>
      <c r="T3328" s="11"/>
      <c r="U3328" s="11">
        <f t="shared" si="1087"/>
        <v>2.2999999999999998</v>
      </c>
      <c r="W3328">
        <v>2.5</v>
      </c>
      <c r="X3328" s="1" t="s">
        <v>105</v>
      </c>
    </row>
    <row r="3329" spans="1:24" x14ac:dyDescent="0.25">
      <c r="A3329" s="1" t="str">
        <f t="shared" si="1089"/>
        <v>卡卡杜-凤凰仓</v>
      </c>
      <c r="B3329" s="1" t="str">
        <f>"CK20241023147"</f>
        <v>CK20241023147</v>
      </c>
      <c r="C3329" s="1" t="str">
        <f>"DD2024102317308"</f>
        <v>DD2024102317308</v>
      </c>
      <c r="D3329" s="1" t="str">
        <f>"CK2024102322405"</f>
        <v>CK2024102322405</v>
      </c>
      <c r="E3329" s="1" t="str">
        <f>"3723492761779439104"</f>
        <v>3723492761779439104</v>
      </c>
      <c r="F3329" s="1" t="str">
        <f t="shared" si="1090"/>
        <v>花都四部-凤凰仓</v>
      </c>
      <c r="G3329" s="1" t="str">
        <f t="shared" si="1094"/>
        <v>卡卡杜企业店（视频号）</v>
      </c>
      <c r="H3329" s="1" t="str">
        <f t="shared" si="1091"/>
        <v>正常订单</v>
      </c>
      <c r="I3329" s="1" t="str">
        <f t="shared" si="1092"/>
        <v>已发货</v>
      </c>
      <c r="J3329" s="1" t="str">
        <f t="shared" si="1103"/>
        <v>3</v>
      </c>
      <c r="K3329" s="1">
        <v>3</v>
      </c>
      <c r="L3329" s="1" t="s">
        <v>182</v>
      </c>
      <c r="M3329" s="1" t="str">
        <f>"新疆维吾尔自治区 乌鲁木齐市 天山区 "</f>
        <v xml:space="preserve">新疆维吾尔自治区 乌鲁木齐市 天山区 </v>
      </c>
      <c r="N3329" s="1" t="str">
        <f t="shared" si="1096"/>
        <v>凡华云仓-城南圆通-微信视频号</v>
      </c>
      <c r="O3329" s="5" t="s">
        <v>3362</v>
      </c>
      <c r="P3329" s="6">
        <v>0.34</v>
      </c>
      <c r="Q3329" s="11">
        <v>17</v>
      </c>
      <c r="R3329" s="11"/>
      <c r="S3329" s="11"/>
      <c r="T3329" s="11"/>
      <c r="U3329" s="11">
        <f t="shared" si="1087"/>
        <v>17</v>
      </c>
      <c r="W3329">
        <v>17</v>
      </c>
      <c r="X3329" s="1" t="s">
        <v>182</v>
      </c>
    </row>
    <row r="3330" spans="1:24" x14ac:dyDescent="0.25">
      <c r="A3330" s="1" t="str">
        <f t="shared" si="1089"/>
        <v>卡卡杜-凤凰仓</v>
      </c>
      <c r="B3330" s="1" t="str">
        <f>"CK20241023143"</f>
        <v>CK20241023143</v>
      </c>
      <c r="C3330" s="1" t="str">
        <f>"DD2024102317305"</f>
        <v>DD2024102317305</v>
      </c>
      <c r="D3330" s="1" t="str">
        <f>"CK2024102322404"</f>
        <v>CK2024102322404</v>
      </c>
      <c r="E3330" s="1" t="str">
        <f>"3723492727826812928"</f>
        <v>3723492727826812928</v>
      </c>
      <c r="F3330" s="1" t="str">
        <f t="shared" si="1090"/>
        <v>花都四部-凤凰仓</v>
      </c>
      <c r="G3330" s="1" t="str">
        <f t="shared" si="1094"/>
        <v>卡卡杜企业店（视频号）</v>
      </c>
      <c r="H3330" s="1" t="str">
        <f t="shared" si="1091"/>
        <v>正常订单</v>
      </c>
      <c r="I3330" s="1" t="str">
        <f t="shared" si="1092"/>
        <v>已发货</v>
      </c>
      <c r="J3330" s="1" t="str">
        <f t="shared" si="1103"/>
        <v>3</v>
      </c>
      <c r="K3330" s="1">
        <v>3</v>
      </c>
      <c r="L3330" s="1" t="s">
        <v>105</v>
      </c>
      <c r="M3330" s="1" t="str">
        <f>"北京 北京市 海淀区 "</f>
        <v xml:space="preserve">北京 北京市 海淀区 </v>
      </c>
      <c r="N3330" s="1" t="str">
        <f t="shared" si="1096"/>
        <v>凡华云仓-城南圆通-微信视频号</v>
      </c>
      <c r="O3330" s="5" t="s">
        <v>3363</v>
      </c>
      <c r="P3330" s="6">
        <v>0.34</v>
      </c>
      <c r="Q3330" s="11">
        <v>2.2999999999999998</v>
      </c>
      <c r="R3330" s="11"/>
      <c r="S3330" s="11"/>
      <c r="T3330" s="11"/>
      <c r="U3330" s="11">
        <f t="shared" si="1087"/>
        <v>2.2999999999999998</v>
      </c>
      <c r="W3330">
        <v>2.5</v>
      </c>
      <c r="X3330" s="1" t="s">
        <v>105</v>
      </c>
    </row>
    <row r="3331" spans="1:24" x14ac:dyDescent="0.25">
      <c r="A3331" s="1" t="str">
        <f t="shared" si="1089"/>
        <v>卡卡杜-凤凰仓</v>
      </c>
      <c r="B3331" s="1" t="str">
        <f>"CK20241023141"</f>
        <v>CK20241023141</v>
      </c>
      <c r="C3331" s="1" t="str">
        <f>"DD2024102317303"</f>
        <v>DD2024102317303</v>
      </c>
      <c r="D3331" s="1" t="str">
        <f>"CK2024102322403"</f>
        <v>CK2024102322403</v>
      </c>
      <c r="E3331" s="1" t="str">
        <f>"3723492689056499200"</f>
        <v>3723492689056499200</v>
      </c>
      <c r="F3331" s="1" t="str">
        <f t="shared" si="1090"/>
        <v>花都四部-凤凰仓</v>
      </c>
      <c r="G3331" s="1" t="str">
        <f t="shared" si="1094"/>
        <v>卡卡杜企业店（视频号）</v>
      </c>
      <c r="H3331" s="1" t="str">
        <f t="shared" si="1091"/>
        <v>正常订单</v>
      </c>
      <c r="I3331" s="1" t="str">
        <f t="shared" si="1092"/>
        <v>已发货</v>
      </c>
      <c r="J3331" s="1" t="str">
        <f t="shared" si="1103"/>
        <v>3</v>
      </c>
      <c r="K3331" s="1">
        <v>3</v>
      </c>
      <c r="L3331" s="1" t="s">
        <v>13</v>
      </c>
      <c r="M3331" s="1" t="str">
        <f>"江苏省 常州市 武进区 "</f>
        <v xml:space="preserve">江苏省 常州市 武进区 </v>
      </c>
      <c r="N3331" s="1" t="str">
        <f t="shared" si="1096"/>
        <v>凡华云仓-城南圆通-微信视频号</v>
      </c>
      <c r="O3331" s="5" t="s">
        <v>3364</v>
      </c>
      <c r="P3331" s="6">
        <v>0.34</v>
      </c>
      <c r="Q3331" s="11">
        <v>2.2999999999999998</v>
      </c>
      <c r="R3331" s="11"/>
      <c r="S3331" s="11"/>
      <c r="T3331" s="11"/>
      <c r="U3331" s="11">
        <f t="shared" ref="U3331:U3394" si="1104">T3331+S3331+R3331+Q3331</f>
        <v>2.2999999999999998</v>
      </c>
      <c r="W3331">
        <v>2.5</v>
      </c>
      <c r="X3331" s="1" t="s">
        <v>13</v>
      </c>
    </row>
    <row r="3332" spans="1:24" x14ac:dyDescent="0.25">
      <c r="A3332" s="1" t="str">
        <f t="shared" si="1089"/>
        <v>卡卡杜-凤凰仓</v>
      </c>
      <c r="B3332" s="1" t="str">
        <f>"CK20241023152"</f>
        <v>CK20241023152</v>
      </c>
      <c r="C3332" s="1" t="str">
        <f>"DD2024102317313"</f>
        <v>DD2024102317313</v>
      </c>
      <c r="D3332" s="1" t="str">
        <f>"CK2024102322402"</f>
        <v>CK2024102322402</v>
      </c>
      <c r="E3332" s="1" t="str">
        <f>"3723492685803031552"</f>
        <v>3723492685803031552</v>
      </c>
      <c r="F3332" s="1" t="str">
        <f t="shared" si="1090"/>
        <v>花都四部-凤凰仓</v>
      </c>
      <c r="G3332" s="1" t="str">
        <f t="shared" si="1094"/>
        <v>卡卡杜企业店（视频号）</v>
      </c>
      <c r="H3332" s="1" t="str">
        <f t="shared" si="1091"/>
        <v>正常订单</v>
      </c>
      <c r="I3332" s="1" t="str">
        <f t="shared" si="1092"/>
        <v>已发货</v>
      </c>
      <c r="J3332" s="1" t="str">
        <f t="shared" si="1103"/>
        <v>3</v>
      </c>
      <c r="K3332" s="1">
        <v>3</v>
      </c>
      <c r="L3332" s="1" t="s">
        <v>16</v>
      </c>
      <c r="M3332" s="1" t="str">
        <f>"河北省 秦皇岛市 海港区 "</f>
        <v xml:space="preserve">河北省 秦皇岛市 海港区 </v>
      </c>
      <c r="N3332" s="1" t="str">
        <f t="shared" si="1096"/>
        <v>凡华云仓-城南圆通-微信视频号</v>
      </c>
      <c r="O3332" s="5" t="s">
        <v>3365</v>
      </c>
      <c r="P3332" s="6">
        <v>0.34</v>
      </c>
      <c r="Q3332" s="11">
        <v>2.2999999999999998</v>
      </c>
      <c r="R3332" s="11"/>
      <c r="S3332" s="11"/>
      <c r="T3332" s="11"/>
      <c r="U3332" s="11">
        <f t="shared" si="1104"/>
        <v>2.2999999999999998</v>
      </c>
      <c r="W3332">
        <v>2.5</v>
      </c>
      <c r="X3332" s="1" t="s">
        <v>16</v>
      </c>
    </row>
    <row r="3333" spans="1:24" x14ac:dyDescent="0.25">
      <c r="A3333" s="1" t="str">
        <f t="shared" ref="A3333:A3396" si="1105">"卡卡杜-凤凰仓"</f>
        <v>卡卡杜-凤凰仓</v>
      </c>
      <c r="B3333" s="1" t="str">
        <f>"CK20241023156"</f>
        <v>CK20241023156</v>
      </c>
      <c r="C3333" s="1" t="str">
        <f>"DD2024102317318"</f>
        <v>DD2024102317318</v>
      </c>
      <c r="D3333" s="1" t="str">
        <f>"CK2024102322401"</f>
        <v>CK2024102322401</v>
      </c>
      <c r="E3333" s="1" t="str">
        <f>"3723492666222446080"</f>
        <v>3723492666222446080</v>
      </c>
      <c r="F3333" s="1" t="str">
        <f t="shared" ref="F3333:F3396" si="1106">"花都四部-凤凰仓"</f>
        <v>花都四部-凤凰仓</v>
      </c>
      <c r="G3333" s="1" t="str">
        <f t="shared" si="1094"/>
        <v>卡卡杜企业店（视频号）</v>
      </c>
      <c r="H3333" s="1" t="str">
        <f t="shared" ref="H3333:H3396" si="1107">"正常订单"</f>
        <v>正常订单</v>
      </c>
      <c r="I3333" s="1" t="str">
        <f t="shared" ref="I3333:I3396" si="1108">"已发货"</f>
        <v>已发货</v>
      </c>
      <c r="J3333" s="1" t="str">
        <f t="shared" si="1103"/>
        <v>3</v>
      </c>
      <c r="K3333" s="1">
        <v>3</v>
      </c>
      <c r="L3333" s="1" t="s">
        <v>96</v>
      </c>
      <c r="M3333" s="1" t="str">
        <f>"广西壮族自治区 河池市 罗城仫佬族自治县 "</f>
        <v xml:space="preserve">广西壮族自治区 河池市 罗城仫佬族自治县 </v>
      </c>
      <c r="N3333" s="1" t="str">
        <f t="shared" si="1096"/>
        <v>凡华云仓-城南圆通-微信视频号</v>
      </c>
      <c r="O3333" s="5" t="s">
        <v>3366</v>
      </c>
      <c r="P3333" s="6">
        <v>0.34</v>
      </c>
      <c r="Q3333" s="11">
        <v>2.2999999999999998</v>
      </c>
      <c r="R3333" s="11"/>
      <c r="S3333" s="11"/>
      <c r="T3333" s="11"/>
      <c r="U3333" s="11">
        <f t="shared" si="1104"/>
        <v>2.2999999999999998</v>
      </c>
      <c r="W3333">
        <v>2.5</v>
      </c>
      <c r="X3333" s="1" t="s">
        <v>96</v>
      </c>
    </row>
    <row r="3334" spans="1:24" x14ac:dyDescent="0.25">
      <c r="A3334" s="1" t="str">
        <f t="shared" si="1105"/>
        <v>卡卡杜-凤凰仓</v>
      </c>
      <c r="B3334" s="1" t="str">
        <f>"CK20241023155"</f>
        <v>CK20241023155</v>
      </c>
      <c r="C3334" s="1" t="str">
        <f>"DD2024102317317"</f>
        <v>DD2024102317317</v>
      </c>
      <c r="D3334" s="1" t="str">
        <f>"CK2024102322400"</f>
        <v>CK2024102322400</v>
      </c>
      <c r="E3334" s="1" t="str">
        <f>"3723492656536489985"</f>
        <v>3723492656536489985</v>
      </c>
      <c r="F3334" s="1" t="str">
        <f t="shared" si="1106"/>
        <v>花都四部-凤凰仓</v>
      </c>
      <c r="G3334" s="1" t="str">
        <f t="shared" si="1094"/>
        <v>卡卡杜企业店（视频号）</v>
      </c>
      <c r="H3334" s="1" t="str">
        <f t="shared" si="1107"/>
        <v>正常订单</v>
      </c>
      <c r="I3334" s="1" t="str">
        <f t="shared" si="1108"/>
        <v>已发货</v>
      </c>
      <c r="J3334" s="1" t="str">
        <f t="shared" si="1103"/>
        <v>3</v>
      </c>
      <c r="K3334" s="1">
        <v>3</v>
      </c>
      <c r="L3334" s="1" t="s">
        <v>105</v>
      </c>
      <c r="M3334" s="1" t="str">
        <f>"北京 北京市 朝阳区 "</f>
        <v xml:space="preserve">北京 北京市 朝阳区 </v>
      </c>
      <c r="N3334" s="1" t="str">
        <f t="shared" si="1096"/>
        <v>凡华云仓-城南圆通-微信视频号</v>
      </c>
      <c r="O3334" s="5" t="s">
        <v>3367</v>
      </c>
      <c r="P3334" s="6">
        <v>0.34</v>
      </c>
      <c r="Q3334" s="11">
        <v>2.2999999999999998</v>
      </c>
      <c r="R3334" s="11"/>
      <c r="S3334" s="11"/>
      <c r="T3334" s="11"/>
      <c r="U3334" s="11">
        <f t="shared" si="1104"/>
        <v>2.2999999999999998</v>
      </c>
      <c r="W3334">
        <v>2.5</v>
      </c>
      <c r="X3334" s="1" t="s">
        <v>105</v>
      </c>
    </row>
    <row r="3335" spans="1:24" x14ac:dyDescent="0.25">
      <c r="A3335" s="1" t="str">
        <f t="shared" si="1105"/>
        <v>卡卡杜-凤凰仓</v>
      </c>
      <c r="B3335" s="1" t="str">
        <f>"CK20241023154"</f>
        <v>CK20241023154</v>
      </c>
      <c r="C3335" s="1" t="str">
        <f>"DD2024102317315"</f>
        <v>DD2024102317315</v>
      </c>
      <c r="D3335" s="1" t="str">
        <f>"CK2024102322399"</f>
        <v>CK2024102322399</v>
      </c>
      <c r="E3335" s="1" t="str">
        <f>"3723492620264932864"</f>
        <v>3723492620264932864</v>
      </c>
      <c r="F3335" s="1" t="str">
        <f t="shared" si="1106"/>
        <v>花都四部-凤凰仓</v>
      </c>
      <c r="G3335" s="1" t="str">
        <f t="shared" si="1094"/>
        <v>卡卡杜企业店（视频号）</v>
      </c>
      <c r="H3335" s="1" t="str">
        <f t="shared" si="1107"/>
        <v>正常订单</v>
      </c>
      <c r="I3335" s="1" t="str">
        <f t="shared" si="1108"/>
        <v>已发货</v>
      </c>
      <c r="J3335" s="1" t="str">
        <f t="shared" si="1103"/>
        <v>3</v>
      </c>
      <c r="K3335" s="1">
        <v>3</v>
      </c>
      <c r="L3335" s="1" t="s">
        <v>187</v>
      </c>
      <c r="M3335" s="1" t="str">
        <f>"吉林省 松原市 扶余市 "</f>
        <v xml:space="preserve">吉林省 松原市 扶余市 </v>
      </c>
      <c r="N3335" s="1" t="str">
        <f t="shared" si="1096"/>
        <v>凡华云仓-城南圆通-微信视频号</v>
      </c>
      <c r="O3335" s="5" t="s">
        <v>3368</v>
      </c>
      <c r="P3335" s="6">
        <v>0.34</v>
      </c>
      <c r="Q3335" s="11">
        <v>2.2999999999999998</v>
      </c>
      <c r="R3335" s="11"/>
      <c r="S3335" s="11"/>
      <c r="T3335" s="11"/>
      <c r="U3335" s="11">
        <f t="shared" si="1104"/>
        <v>2.2999999999999998</v>
      </c>
      <c r="W3335">
        <v>2.5</v>
      </c>
      <c r="X3335" s="1" t="s">
        <v>187</v>
      </c>
    </row>
    <row r="3336" spans="1:24" x14ac:dyDescent="0.25">
      <c r="A3336" s="1" t="str">
        <f t="shared" si="1105"/>
        <v>卡卡杜-凤凰仓</v>
      </c>
      <c r="B3336" s="1" t="str">
        <f>"CK20241023153"</f>
        <v>CK20241023153</v>
      </c>
      <c r="C3336" s="1" t="str">
        <f>"DD2024102317314"</f>
        <v>DD2024102317314</v>
      </c>
      <c r="D3336" s="1" t="str">
        <f>"CK2024102322398"</f>
        <v>CK2024102322398</v>
      </c>
      <c r="E3336" s="1" t="str">
        <f>"3723492604373505024"</f>
        <v>3723492604373505024</v>
      </c>
      <c r="F3336" s="1" t="str">
        <f t="shared" si="1106"/>
        <v>花都四部-凤凰仓</v>
      </c>
      <c r="G3336" s="1" t="str">
        <f t="shared" si="1094"/>
        <v>卡卡杜企业店（视频号）</v>
      </c>
      <c r="H3336" s="1" t="str">
        <f t="shared" si="1107"/>
        <v>正常订单</v>
      </c>
      <c r="I3336" s="1" t="str">
        <f t="shared" si="1108"/>
        <v>已发货</v>
      </c>
      <c r="J3336" s="1" t="str">
        <f t="shared" si="1103"/>
        <v>3</v>
      </c>
      <c r="K3336" s="1">
        <v>3</v>
      </c>
      <c r="L3336" s="1" t="s">
        <v>92</v>
      </c>
      <c r="M3336" s="1" t="str">
        <f>"辽宁省 沈阳市 铁西区 "</f>
        <v xml:space="preserve">辽宁省 沈阳市 铁西区 </v>
      </c>
      <c r="N3336" s="1" t="str">
        <f t="shared" si="1096"/>
        <v>凡华云仓-城南圆通-微信视频号</v>
      </c>
      <c r="O3336" s="5" t="s">
        <v>3369</v>
      </c>
      <c r="P3336" s="6">
        <v>0.34</v>
      </c>
      <c r="Q3336" s="11">
        <v>2.2999999999999998</v>
      </c>
      <c r="R3336" s="11"/>
      <c r="S3336" s="11"/>
      <c r="T3336" s="11"/>
      <c r="U3336" s="11">
        <f t="shared" si="1104"/>
        <v>2.2999999999999998</v>
      </c>
      <c r="W3336">
        <v>2.5</v>
      </c>
      <c r="X3336" s="1" t="s">
        <v>92</v>
      </c>
    </row>
    <row r="3337" spans="1:24" x14ac:dyDescent="0.25">
      <c r="A3337" s="1" t="str">
        <f t="shared" si="1105"/>
        <v>卡卡杜-凤凰仓</v>
      </c>
      <c r="B3337" s="1" t="str">
        <f>"CK20241023126"</f>
        <v>CK20241023126</v>
      </c>
      <c r="C3337" s="1" t="str">
        <f>"DD2024102317272"</f>
        <v>DD2024102317272</v>
      </c>
      <c r="D3337" s="1" t="str">
        <f>"CK2024102322397"</f>
        <v>CK2024102322397</v>
      </c>
      <c r="E3337" s="1" t="str">
        <f>"3723492562180376064"</f>
        <v>3723492562180376064</v>
      </c>
      <c r="F3337" s="1" t="str">
        <f t="shared" si="1106"/>
        <v>花都四部-凤凰仓</v>
      </c>
      <c r="G3337" s="1" t="str">
        <f t="shared" si="1094"/>
        <v>卡卡杜企业店（视频号）</v>
      </c>
      <c r="H3337" s="1" t="str">
        <f t="shared" si="1107"/>
        <v>正常订单</v>
      </c>
      <c r="I3337" s="1" t="str">
        <f t="shared" si="1108"/>
        <v>已发货</v>
      </c>
      <c r="J3337" s="1" t="str">
        <f t="shared" ref="J3337:J3341" si="1109">"2"</f>
        <v>2</v>
      </c>
      <c r="K3337" s="1">
        <v>2</v>
      </c>
      <c r="L3337" s="1" t="s">
        <v>20</v>
      </c>
      <c r="M3337" s="1" t="str">
        <f>"浙江省 温州市 瑞安市 "</f>
        <v xml:space="preserve">浙江省 温州市 瑞安市 </v>
      </c>
      <c r="N3337" s="1" t="str">
        <f t="shared" si="1096"/>
        <v>凡华云仓-城南圆通-微信视频号</v>
      </c>
      <c r="O3337" s="5" t="s">
        <v>3370</v>
      </c>
      <c r="P3337" s="6">
        <v>0.17</v>
      </c>
      <c r="Q3337" s="11">
        <v>2</v>
      </c>
      <c r="R3337" s="11"/>
      <c r="S3337" s="11"/>
      <c r="T3337" s="11"/>
      <c r="U3337" s="11">
        <f t="shared" si="1104"/>
        <v>2</v>
      </c>
      <c r="W3337">
        <v>2.2000000000000002</v>
      </c>
      <c r="X3337" s="1" t="s">
        <v>20</v>
      </c>
    </row>
    <row r="3338" spans="1:24" x14ac:dyDescent="0.25">
      <c r="A3338" s="1" t="str">
        <f t="shared" si="1105"/>
        <v>卡卡杜-凤凰仓</v>
      </c>
      <c r="B3338" s="1" t="str">
        <f>"CK20241023135"</f>
        <v>CK20241023135</v>
      </c>
      <c r="C3338" s="1" t="str">
        <f>"DD2024102317292"</f>
        <v>DD2024102317292</v>
      </c>
      <c r="D3338" s="1" t="str">
        <f>"CK2024102322396"</f>
        <v>CK2024102322396</v>
      </c>
      <c r="E3338" s="1" t="str">
        <f>"3723492551079888128"</f>
        <v>3723492551079888128</v>
      </c>
      <c r="F3338" s="1" t="str">
        <f t="shared" si="1106"/>
        <v>花都四部-凤凰仓</v>
      </c>
      <c r="G3338" s="1" t="str">
        <f t="shared" si="1094"/>
        <v>卡卡杜企业店（视频号）</v>
      </c>
      <c r="H3338" s="1" t="str">
        <f t="shared" si="1107"/>
        <v>正常订单</v>
      </c>
      <c r="I3338" s="1" t="str">
        <f t="shared" si="1108"/>
        <v>已发货</v>
      </c>
      <c r="J3338" s="1" t="str">
        <f>"5"</f>
        <v>5</v>
      </c>
      <c r="K3338" s="1">
        <v>3</v>
      </c>
      <c r="L3338" s="1" t="s">
        <v>109</v>
      </c>
      <c r="M3338" s="1" t="str">
        <f>"山西省 太原市 迎泽区 "</f>
        <v xml:space="preserve">山西省 太原市 迎泽区 </v>
      </c>
      <c r="N3338" s="1" t="str">
        <f t="shared" si="1096"/>
        <v>凡华云仓-城南圆通-微信视频号</v>
      </c>
      <c r="O3338" s="5" t="s">
        <v>3371</v>
      </c>
      <c r="P3338" s="6">
        <v>0.56000000000000005</v>
      </c>
      <c r="Q3338" s="11">
        <f>CEILING(P3338-0.5,0.1)*10*0.15+2.3</f>
        <v>2.4499999999999997</v>
      </c>
      <c r="R3338" s="11"/>
      <c r="S3338" s="11"/>
      <c r="T3338" s="11"/>
      <c r="U3338" s="11">
        <f t="shared" si="1104"/>
        <v>2.4499999999999997</v>
      </c>
      <c r="V3338" t="s">
        <v>15</v>
      </c>
      <c r="W3338">
        <v>2.4500000000000002</v>
      </c>
      <c r="X3338" s="1" t="s">
        <v>109</v>
      </c>
    </row>
    <row r="3339" spans="1:24" x14ac:dyDescent="0.25">
      <c r="A3339" s="1" t="str">
        <f t="shared" si="1105"/>
        <v>卡卡杜-凤凰仓</v>
      </c>
      <c r="B3339" s="1" t="str">
        <f>"CK20241023132"</f>
        <v>CK20241023132</v>
      </c>
      <c r="C3339" s="1" t="str">
        <f>"DD2024102317279"</f>
        <v>DD2024102317279</v>
      </c>
      <c r="D3339" s="1" t="str">
        <f>"CK2024102322395"</f>
        <v>CK2024102322395</v>
      </c>
      <c r="E3339" s="1" t="str">
        <f>"3723492163471151104"</f>
        <v>3723492163471151104</v>
      </c>
      <c r="F3339" s="1" t="str">
        <f t="shared" si="1106"/>
        <v>花都四部-凤凰仓</v>
      </c>
      <c r="G3339" s="1" t="str">
        <f t="shared" si="1094"/>
        <v>卡卡杜企业店（视频号）</v>
      </c>
      <c r="H3339" s="1" t="str">
        <f t="shared" si="1107"/>
        <v>正常订单</v>
      </c>
      <c r="I3339" s="1" t="str">
        <f t="shared" si="1108"/>
        <v>已发货</v>
      </c>
      <c r="J3339" s="1" t="str">
        <f t="shared" si="1109"/>
        <v>2</v>
      </c>
      <c r="K3339" s="1">
        <v>2</v>
      </c>
      <c r="L3339" s="1" t="s">
        <v>92</v>
      </c>
      <c r="M3339" s="1" t="str">
        <f>"辽宁省 鞍山市 铁西区 "</f>
        <v xml:space="preserve">辽宁省 鞍山市 铁西区 </v>
      </c>
      <c r="N3339" s="1" t="str">
        <f t="shared" si="1096"/>
        <v>凡华云仓-城南圆通-微信视频号</v>
      </c>
      <c r="O3339" s="5" t="s">
        <v>3372</v>
      </c>
      <c r="P3339" s="6">
        <v>0.17</v>
      </c>
      <c r="Q3339" s="11">
        <v>2</v>
      </c>
      <c r="R3339" s="11"/>
      <c r="S3339" s="11"/>
      <c r="T3339" s="11"/>
      <c r="U3339" s="11">
        <f t="shared" si="1104"/>
        <v>2</v>
      </c>
      <c r="W3339">
        <v>2.2000000000000002</v>
      </c>
      <c r="X3339" s="1" t="s">
        <v>92</v>
      </c>
    </row>
    <row r="3340" spans="1:24" x14ac:dyDescent="0.25">
      <c r="A3340" s="1" t="str">
        <f t="shared" si="1105"/>
        <v>卡卡杜-凤凰仓</v>
      </c>
      <c r="B3340" s="1" t="str">
        <f>"CK2024102380"</f>
        <v>CK2024102380</v>
      </c>
      <c r="C3340" s="1" t="str">
        <f>"DD2024102317228"</f>
        <v>DD2024102317228</v>
      </c>
      <c r="D3340" s="1" t="str">
        <f>"CK2024102322394"</f>
        <v>CK2024102322394</v>
      </c>
      <c r="E3340" s="1" t="str">
        <f>"3723490856056260096"</f>
        <v>3723490856056260096</v>
      </c>
      <c r="F3340" s="1" t="str">
        <f t="shared" si="1106"/>
        <v>花都四部-凤凰仓</v>
      </c>
      <c r="G3340" s="1" t="str">
        <f t="shared" si="1094"/>
        <v>卡卡杜企业店（视频号）</v>
      </c>
      <c r="H3340" s="1" t="str">
        <f t="shared" si="1107"/>
        <v>正常订单</v>
      </c>
      <c r="I3340" s="1" t="str">
        <f t="shared" si="1108"/>
        <v>已发货</v>
      </c>
      <c r="J3340" s="1" t="str">
        <f t="shared" ref="J3340:J3344" si="1110">"3"</f>
        <v>3</v>
      </c>
      <c r="K3340" s="1">
        <v>2</v>
      </c>
      <c r="L3340" s="1" t="s">
        <v>18</v>
      </c>
      <c r="M3340" s="1" t="str">
        <f>"广东省 佛山市 南海区 "</f>
        <v xml:space="preserve">广东省 佛山市 南海区 </v>
      </c>
      <c r="N3340" s="1" t="str">
        <f t="shared" si="1096"/>
        <v>凡华云仓-城南圆通-微信视频号</v>
      </c>
      <c r="O3340" s="5" t="s">
        <v>3373</v>
      </c>
      <c r="P3340" s="6">
        <v>0.24</v>
      </c>
      <c r="Q3340" s="11">
        <v>2</v>
      </c>
      <c r="R3340" s="11"/>
      <c r="S3340" s="11"/>
      <c r="T3340" s="11"/>
      <c r="U3340" s="11">
        <f t="shared" si="1104"/>
        <v>2</v>
      </c>
      <c r="W3340">
        <v>2.2000000000000002</v>
      </c>
      <c r="X3340" s="1" t="s">
        <v>18</v>
      </c>
    </row>
    <row r="3341" spans="1:24" x14ac:dyDescent="0.25">
      <c r="A3341" s="1" t="str">
        <f t="shared" si="1105"/>
        <v>卡卡杜-凤凰仓</v>
      </c>
      <c r="B3341" s="1" t="str">
        <f>"CK20241023130"</f>
        <v>CK20241023130</v>
      </c>
      <c r="C3341" s="1" t="str">
        <f>"DD2024102317276"</f>
        <v>DD2024102317276</v>
      </c>
      <c r="D3341" s="1" t="str">
        <f>"CK2024102322393"</f>
        <v>CK2024102322393</v>
      </c>
      <c r="E3341" s="1" t="str">
        <f>"3723490825821099008"</f>
        <v>3723490825821099008</v>
      </c>
      <c r="F3341" s="1" t="str">
        <f t="shared" si="1106"/>
        <v>花都四部-凤凰仓</v>
      </c>
      <c r="G3341" s="1" t="str">
        <f t="shared" si="1094"/>
        <v>卡卡杜企业店（视频号）</v>
      </c>
      <c r="H3341" s="1" t="str">
        <f t="shared" si="1107"/>
        <v>正常订单</v>
      </c>
      <c r="I3341" s="1" t="str">
        <f t="shared" si="1108"/>
        <v>已发货</v>
      </c>
      <c r="J3341" s="1" t="str">
        <f t="shared" si="1109"/>
        <v>2</v>
      </c>
      <c r="K3341" s="1">
        <v>2</v>
      </c>
      <c r="L3341" s="1" t="s">
        <v>74</v>
      </c>
      <c r="M3341" s="1" t="str">
        <f>"上海 上海市 黄浦区 "</f>
        <v xml:space="preserve">上海 上海市 黄浦区 </v>
      </c>
      <c r="N3341" s="1" t="str">
        <f t="shared" si="1096"/>
        <v>凡华云仓-城南圆通-微信视频号</v>
      </c>
      <c r="O3341" s="5" t="s">
        <v>3374</v>
      </c>
      <c r="P3341" s="6">
        <v>0.17</v>
      </c>
      <c r="Q3341" s="11">
        <v>2</v>
      </c>
      <c r="R3341" s="11"/>
      <c r="S3341" s="11"/>
      <c r="T3341" s="11"/>
      <c r="U3341" s="11">
        <f t="shared" si="1104"/>
        <v>2</v>
      </c>
      <c r="W3341">
        <v>2.2000000000000002</v>
      </c>
      <c r="X3341" s="1" t="s">
        <v>74</v>
      </c>
    </row>
    <row r="3342" spans="1:24" x14ac:dyDescent="0.25">
      <c r="A3342" s="1" t="str">
        <f t="shared" si="1105"/>
        <v>卡卡杜-凤凰仓</v>
      </c>
      <c r="B3342" s="1" t="str">
        <f>"CK2024102391"</f>
        <v>CK2024102391</v>
      </c>
      <c r="C3342" s="1" t="str">
        <f>"DD2024102317240"</f>
        <v>DD2024102317240</v>
      </c>
      <c r="D3342" s="1" t="str">
        <f>"CK2024102322392"</f>
        <v>CK2024102322392</v>
      </c>
      <c r="E3342" s="1" t="str">
        <f>"3723490784213339136"</f>
        <v>3723490784213339136</v>
      </c>
      <c r="F3342" s="1" t="str">
        <f t="shared" si="1106"/>
        <v>花都四部-凤凰仓</v>
      </c>
      <c r="G3342" s="1" t="str">
        <f t="shared" si="1094"/>
        <v>卡卡杜企业店（视频号）</v>
      </c>
      <c r="H3342" s="1" t="str">
        <f t="shared" si="1107"/>
        <v>正常订单</v>
      </c>
      <c r="I3342" s="1" t="str">
        <f t="shared" si="1108"/>
        <v>已发货</v>
      </c>
      <c r="J3342" s="1" t="str">
        <f t="shared" si="1110"/>
        <v>3</v>
      </c>
      <c r="K3342" s="1">
        <v>2</v>
      </c>
      <c r="L3342" s="1" t="s">
        <v>13</v>
      </c>
      <c r="M3342" s="1" t="str">
        <f>"江苏省 南京市 鼓楼区 "</f>
        <v xml:space="preserve">江苏省 南京市 鼓楼区 </v>
      </c>
      <c r="N3342" s="1" t="str">
        <f t="shared" si="1096"/>
        <v>凡华云仓-城南圆通-微信视频号</v>
      </c>
      <c r="O3342" s="5" t="s">
        <v>3375</v>
      </c>
      <c r="P3342" s="6">
        <v>0.24</v>
      </c>
      <c r="Q3342" s="11">
        <v>2</v>
      </c>
      <c r="R3342" s="11"/>
      <c r="S3342" s="11"/>
      <c r="T3342" s="11"/>
      <c r="U3342" s="11">
        <f t="shared" si="1104"/>
        <v>2</v>
      </c>
      <c r="W3342">
        <v>2.2000000000000002</v>
      </c>
      <c r="X3342" s="1" t="s">
        <v>13</v>
      </c>
    </row>
    <row r="3343" spans="1:24" x14ac:dyDescent="0.25">
      <c r="A3343" s="1" t="str">
        <f t="shared" si="1105"/>
        <v>卡卡杜-凤凰仓</v>
      </c>
      <c r="B3343" s="1" t="str">
        <f>"CK2024102386"</f>
        <v>CK2024102386</v>
      </c>
      <c r="C3343" s="1" t="str">
        <f>"DD2024102317233"</f>
        <v>DD2024102317233</v>
      </c>
      <c r="D3343" s="1" t="str">
        <f>"CK2024102322391"</f>
        <v>CK2024102322391</v>
      </c>
      <c r="E3343" s="1" t="str">
        <f>"3723490778867699712"</f>
        <v>3723490778867699712</v>
      </c>
      <c r="F3343" s="1" t="str">
        <f t="shared" si="1106"/>
        <v>花都四部-凤凰仓</v>
      </c>
      <c r="G3343" s="1" t="str">
        <f t="shared" si="1094"/>
        <v>卡卡杜企业店（视频号）</v>
      </c>
      <c r="H3343" s="1" t="str">
        <f t="shared" si="1107"/>
        <v>正常订单</v>
      </c>
      <c r="I3343" s="1" t="str">
        <f t="shared" si="1108"/>
        <v>已发货</v>
      </c>
      <c r="J3343" s="1" t="str">
        <f t="shared" si="1110"/>
        <v>3</v>
      </c>
      <c r="K3343" s="1">
        <v>2</v>
      </c>
      <c r="L3343" s="1" t="s">
        <v>218</v>
      </c>
      <c r="M3343" s="1" t="str">
        <f>"天津 天津市 南开区 "</f>
        <v xml:space="preserve">天津 天津市 南开区 </v>
      </c>
      <c r="N3343" s="1" t="str">
        <f t="shared" si="1096"/>
        <v>凡华云仓-城南圆通-微信视频号</v>
      </c>
      <c r="O3343" s="5" t="s">
        <v>3376</v>
      </c>
      <c r="P3343" s="6">
        <v>0.24</v>
      </c>
      <c r="Q3343" s="11">
        <v>2</v>
      </c>
      <c r="R3343" s="11"/>
      <c r="S3343" s="11"/>
      <c r="T3343" s="11"/>
      <c r="U3343" s="11">
        <f t="shared" si="1104"/>
        <v>2</v>
      </c>
      <c r="W3343">
        <v>2.2000000000000002</v>
      </c>
      <c r="X3343" s="1" t="s">
        <v>218</v>
      </c>
    </row>
    <row r="3344" spans="1:24" x14ac:dyDescent="0.25">
      <c r="A3344" s="1" t="str">
        <f t="shared" si="1105"/>
        <v>卡卡杜-凤凰仓</v>
      </c>
      <c r="B3344" s="1" t="str">
        <f>"CK2024102387"</f>
        <v>CK2024102387</v>
      </c>
      <c r="C3344" s="1" t="str">
        <f>"DD2024102317234"</f>
        <v>DD2024102317234</v>
      </c>
      <c r="D3344" s="1" t="str">
        <f>"CK2024102322390"</f>
        <v>CK2024102322390</v>
      </c>
      <c r="E3344" s="1" t="str">
        <f>"3723490776507352576"</f>
        <v>3723490776507352576</v>
      </c>
      <c r="F3344" s="1" t="str">
        <f t="shared" si="1106"/>
        <v>花都四部-凤凰仓</v>
      </c>
      <c r="G3344" s="1" t="str">
        <f t="shared" si="1094"/>
        <v>卡卡杜企业店（视频号）</v>
      </c>
      <c r="H3344" s="1" t="str">
        <f t="shared" si="1107"/>
        <v>正常订单</v>
      </c>
      <c r="I3344" s="1" t="str">
        <f t="shared" si="1108"/>
        <v>已发货</v>
      </c>
      <c r="J3344" s="1" t="str">
        <f t="shared" si="1110"/>
        <v>3</v>
      </c>
      <c r="K3344" s="1">
        <v>2</v>
      </c>
      <c r="L3344" s="1" t="s">
        <v>18</v>
      </c>
      <c r="M3344" s="1" t="str">
        <f>"广东省 深圳市 福田区 "</f>
        <v xml:space="preserve">广东省 深圳市 福田区 </v>
      </c>
      <c r="N3344" s="1" t="str">
        <f t="shared" si="1096"/>
        <v>凡华云仓-城南圆通-微信视频号</v>
      </c>
      <c r="O3344" s="5" t="s">
        <v>3377</v>
      </c>
      <c r="P3344" s="6">
        <v>0.24</v>
      </c>
      <c r="Q3344" s="11">
        <v>2</v>
      </c>
      <c r="R3344" s="11"/>
      <c r="S3344" s="11"/>
      <c r="T3344" s="11"/>
      <c r="U3344" s="11">
        <f t="shared" si="1104"/>
        <v>2</v>
      </c>
      <c r="W3344">
        <v>2.2000000000000002</v>
      </c>
      <c r="X3344" s="1" t="s">
        <v>18</v>
      </c>
    </row>
    <row r="3345" spans="1:24" x14ac:dyDescent="0.25">
      <c r="A3345" s="1" t="str">
        <f t="shared" si="1105"/>
        <v>卡卡杜-凤凰仓</v>
      </c>
      <c r="B3345" s="1" t="str">
        <f>"CK20241023118"</f>
        <v>CK20241023118</v>
      </c>
      <c r="C3345" s="1" t="str">
        <f>"DD2024102317264"</f>
        <v>DD2024102317264</v>
      </c>
      <c r="D3345" s="1" t="str">
        <f>"CK2024102322389"</f>
        <v>CK2024102322389</v>
      </c>
      <c r="E3345" s="1" t="str">
        <f>"3723490772957662208"</f>
        <v>3723490772957662208</v>
      </c>
      <c r="F3345" s="1" t="str">
        <f t="shared" si="1106"/>
        <v>花都四部-凤凰仓</v>
      </c>
      <c r="G3345" s="1" t="str">
        <f t="shared" si="1094"/>
        <v>卡卡杜企业店（视频号）</v>
      </c>
      <c r="H3345" s="1" t="str">
        <f t="shared" si="1107"/>
        <v>正常订单</v>
      </c>
      <c r="I3345" s="1" t="str">
        <f t="shared" si="1108"/>
        <v>已发货</v>
      </c>
      <c r="J3345" s="1" t="str">
        <f t="shared" ref="J3345:J3348" si="1111">"2"</f>
        <v>2</v>
      </c>
      <c r="K3345" s="1">
        <v>2</v>
      </c>
      <c r="L3345" s="1" t="s">
        <v>161</v>
      </c>
      <c r="M3345" s="1" t="str">
        <f>"四川省 眉山市 洪雅县 "</f>
        <v xml:space="preserve">四川省 眉山市 洪雅县 </v>
      </c>
      <c r="N3345" s="1" t="str">
        <f t="shared" si="1096"/>
        <v>凡华云仓-城南圆通-微信视频号</v>
      </c>
      <c r="O3345" s="5" t="s">
        <v>3378</v>
      </c>
      <c r="P3345" s="6">
        <v>0.17</v>
      </c>
      <c r="Q3345" s="11">
        <v>2</v>
      </c>
      <c r="R3345" s="11"/>
      <c r="S3345" s="11"/>
      <c r="T3345" s="11"/>
      <c r="U3345" s="11">
        <f t="shared" si="1104"/>
        <v>2</v>
      </c>
      <c r="W3345">
        <v>2.2000000000000002</v>
      </c>
      <c r="X3345" s="1" t="s">
        <v>161</v>
      </c>
    </row>
    <row r="3346" spans="1:24" x14ac:dyDescent="0.25">
      <c r="A3346" s="1" t="str">
        <f t="shared" si="1105"/>
        <v>卡卡杜-凤凰仓</v>
      </c>
      <c r="B3346" s="1" t="str">
        <f>"CK20241023120"</f>
        <v>CK20241023120</v>
      </c>
      <c r="C3346" s="1" t="str">
        <f>"DD2024102317266"</f>
        <v>DD2024102317266</v>
      </c>
      <c r="D3346" s="1" t="str">
        <f>"CK2024102322388"</f>
        <v>CK2024102322388</v>
      </c>
      <c r="E3346" s="1" t="str">
        <f>"3723490762283947008"</f>
        <v>3723490762283947008</v>
      </c>
      <c r="F3346" s="1" t="str">
        <f t="shared" si="1106"/>
        <v>花都四部-凤凰仓</v>
      </c>
      <c r="G3346" s="1" t="str">
        <f t="shared" si="1094"/>
        <v>卡卡杜企业店（视频号）</v>
      </c>
      <c r="H3346" s="1" t="str">
        <f t="shared" si="1107"/>
        <v>正常订单</v>
      </c>
      <c r="I3346" s="1" t="str">
        <f t="shared" si="1108"/>
        <v>已发货</v>
      </c>
      <c r="J3346" s="1" t="str">
        <f t="shared" si="1111"/>
        <v>2</v>
      </c>
      <c r="K3346" s="1">
        <v>2</v>
      </c>
      <c r="L3346" s="1" t="s">
        <v>161</v>
      </c>
      <c r="M3346" s="1" t="str">
        <f>"四川省 攀枝花市 仁和区 "</f>
        <v xml:space="preserve">四川省 攀枝花市 仁和区 </v>
      </c>
      <c r="N3346" s="1" t="str">
        <f t="shared" si="1096"/>
        <v>凡华云仓-城南圆通-微信视频号</v>
      </c>
      <c r="O3346" s="5" t="s">
        <v>3379</v>
      </c>
      <c r="P3346" s="6">
        <v>0.17</v>
      </c>
      <c r="Q3346" s="11">
        <v>2</v>
      </c>
      <c r="R3346" s="11"/>
      <c r="S3346" s="11"/>
      <c r="T3346" s="11"/>
      <c r="U3346" s="11">
        <f t="shared" si="1104"/>
        <v>2</v>
      </c>
      <c r="W3346">
        <v>2.2000000000000002</v>
      </c>
      <c r="X3346" s="1" t="s">
        <v>161</v>
      </c>
    </row>
    <row r="3347" spans="1:24" x14ac:dyDescent="0.25">
      <c r="A3347" s="1" t="str">
        <f t="shared" si="1105"/>
        <v>卡卡杜-凤凰仓</v>
      </c>
      <c r="B3347" s="1" t="str">
        <f>"CK2024102385"</f>
        <v>CK2024102385</v>
      </c>
      <c r="C3347" s="1" t="str">
        <f>"DD2024102317230"</f>
        <v>DD2024102317230</v>
      </c>
      <c r="D3347" s="1" t="str">
        <f>"CK2024102322387"</f>
        <v>CK2024102322387</v>
      </c>
      <c r="E3347" s="1" t="str">
        <f>"3723490748867154944"</f>
        <v>3723490748867154944</v>
      </c>
      <c r="F3347" s="1" t="str">
        <f t="shared" si="1106"/>
        <v>花都四部-凤凰仓</v>
      </c>
      <c r="G3347" s="1" t="str">
        <f t="shared" si="1094"/>
        <v>卡卡杜企业店（视频号）</v>
      </c>
      <c r="H3347" s="1" t="str">
        <f t="shared" si="1107"/>
        <v>正常订单</v>
      </c>
      <c r="I3347" s="1" t="str">
        <f t="shared" si="1108"/>
        <v>已发货</v>
      </c>
      <c r="J3347" s="1" t="str">
        <f t="shared" ref="J3347:J3352" si="1112">"3"</f>
        <v>3</v>
      </c>
      <c r="K3347" s="1">
        <v>2</v>
      </c>
      <c r="L3347" s="1" t="s">
        <v>16</v>
      </c>
      <c r="M3347" s="1" t="str">
        <f>"河北省 石家庄市 裕华区 "</f>
        <v xml:space="preserve">河北省 石家庄市 裕华区 </v>
      </c>
      <c r="N3347" s="1" t="str">
        <f t="shared" si="1096"/>
        <v>凡华云仓-城南圆通-微信视频号</v>
      </c>
      <c r="O3347" s="5" t="s">
        <v>3380</v>
      </c>
      <c r="P3347" s="6">
        <v>0.24</v>
      </c>
      <c r="Q3347" s="11">
        <v>2</v>
      </c>
      <c r="R3347" s="11"/>
      <c r="S3347" s="11"/>
      <c r="T3347" s="11"/>
      <c r="U3347" s="11">
        <f t="shared" si="1104"/>
        <v>2</v>
      </c>
      <c r="W3347">
        <v>2.2000000000000002</v>
      </c>
      <c r="X3347" s="1" t="s">
        <v>16</v>
      </c>
    </row>
    <row r="3348" spans="1:24" x14ac:dyDescent="0.25">
      <c r="A3348" s="1" t="str">
        <f t="shared" si="1105"/>
        <v>卡卡杜-凤凰仓</v>
      </c>
      <c r="B3348" s="1" t="str">
        <f>"CK20241023113"</f>
        <v>CK20241023113</v>
      </c>
      <c r="C3348" s="1" t="str">
        <f>"DD2024102317259"</f>
        <v>DD2024102317259</v>
      </c>
      <c r="D3348" s="1" t="str">
        <f>"CK2024102322386"</f>
        <v>CK2024102322386</v>
      </c>
      <c r="E3348" s="1" t="str">
        <f>"3723490727724975360"</f>
        <v>3723490727724975360</v>
      </c>
      <c r="F3348" s="1" t="str">
        <f t="shared" si="1106"/>
        <v>花都四部-凤凰仓</v>
      </c>
      <c r="G3348" s="1" t="str">
        <f t="shared" ref="G3348:G3359" si="1113">"卡卡杜企业店（视频号）"</f>
        <v>卡卡杜企业店（视频号）</v>
      </c>
      <c r="H3348" s="1" t="str">
        <f t="shared" si="1107"/>
        <v>正常订单</v>
      </c>
      <c r="I3348" s="1" t="str">
        <f t="shared" si="1108"/>
        <v>已发货</v>
      </c>
      <c r="J3348" s="1" t="str">
        <f t="shared" si="1111"/>
        <v>2</v>
      </c>
      <c r="K3348" s="1">
        <v>2</v>
      </c>
      <c r="L3348" s="1" t="s">
        <v>94</v>
      </c>
      <c r="M3348" s="1" t="str">
        <f>"湖南省 长沙市 雨花区 "</f>
        <v xml:space="preserve">湖南省 长沙市 雨花区 </v>
      </c>
      <c r="N3348" s="1" t="str">
        <f t="shared" ref="N3348:N3359" si="1114">"凡华云仓-城南圆通-微信视频号"</f>
        <v>凡华云仓-城南圆通-微信视频号</v>
      </c>
      <c r="O3348" s="5" t="s">
        <v>3381</v>
      </c>
      <c r="P3348" s="6">
        <v>0.17</v>
      </c>
      <c r="Q3348" s="11">
        <v>2</v>
      </c>
      <c r="R3348" s="11"/>
      <c r="S3348" s="11"/>
      <c r="T3348" s="11"/>
      <c r="U3348" s="11">
        <f t="shared" si="1104"/>
        <v>2</v>
      </c>
      <c r="W3348">
        <v>2.2000000000000002</v>
      </c>
      <c r="X3348" s="1" t="s">
        <v>94</v>
      </c>
    </row>
    <row r="3349" spans="1:24" x14ac:dyDescent="0.25">
      <c r="A3349" s="1" t="str">
        <f t="shared" si="1105"/>
        <v>卡卡杜-凤凰仓</v>
      </c>
      <c r="B3349" s="1" t="str">
        <f>"CK2024102390"</f>
        <v>CK2024102390</v>
      </c>
      <c r="C3349" s="1" t="str">
        <f>"DD2024102317236"</f>
        <v>DD2024102317236</v>
      </c>
      <c r="D3349" s="1" t="str">
        <f>"CK2024102322385"</f>
        <v>CK2024102322385</v>
      </c>
      <c r="E3349" s="1" t="str">
        <f>"3723490711798682625"</f>
        <v>3723490711798682625</v>
      </c>
      <c r="F3349" s="1" t="str">
        <f t="shared" si="1106"/>
        <v>花都四部-凤凰仓</v>
      </c>
      <c r="G3349" s="1" t="str">
        <f t="shared" si="1113"/>
        <v>卡卡杜企业店（视频号）</v>
      </c>
      <c r="H3349" s="1" t="str">
        <f t="shared" si="1107"/>
        <v>正常订单</v>
      </c>
      <c r="I3349" s="1" t="str">
        <f t="shared" si="1108"/>
        <v>已发货</v>
      </c>
      <c r="J3349" s="1" t="str">
        <f t="shared" si="1112"/>
        <v>3</v>
      </c>
      <c r="K3349" s="1">
        <v>2</v>
      </c>
      <c r="L3349" s="1" t="s">
        <v>60</v>
      </c>
      <c r="M3349" s="1" t="str">
        <f>"云南省 楚雄彝族自治州 永仁县 "</f>
        <v xml:space="preserve">云南省 楚雄彝族自治州 永仁县 </v>
      </c>
      <c r="N3349" s="1" t="str">
        <f t="shared" si="1114"/>
        <v>凡华云仓-城南圆通-微信视频号</v>
      </c>
      <c r="O3349" s="5" t="s">
        <v>3382</v>
      </c>
      <c r="P3349" s="6">
        <v>0.24</v>
      </c>
      <c r="Q3349" s="11">
        <v>2</v>
      </c>
      <c r="R3349" s="11"/>
      <c r="S3349" s="11"/>
      <c r="T3349" s="11"/>
      <c r="U3349" s="11">
        <f t="shared" si="1104"/>
        <v>2</v>
      </c>
      <c r="W3349">
        <v>2.2000000000000002</v>
      </c>
      <c r="X3349" s="1" t="s">
        <v>60</v>
      </c>
    </row>
    <row r="3350" spans="1:24" x14ac:dyDescent="0.25">
      <c r="A3350" s="1" t="str">
        <f t="shared" si="1105"/>
        <v>卡卡杜-凤凰仓</v>
      </c>
      <c r="B3350" s="1" t="str">
        <f>"CK20241023112"</f>
        <v>CK20241023112</v>
      </c>
      <c r="C3350" s="1" t="str">
        <f>"DD2024102317257"</f>
        <v>DD2024102317257</v>
      </c>
      <c r="D3350" s="1" t="str">
        <f>"CK2024102322384"</f>
        <v>CK2024102322384</v>
      </c>
      <c r="E3350" s="1" t="str">
        <f>"3723490713862278144"</f>
        <v>3723490713862278144</v>
      </c>
      <c r="F3350" s="1" t="str">
        <f t="shared" si="1106"/>
        <v>花都四部-凤凰仓</v>
      </c>
      <c r="G3350" s="1" t="str">
        <f t="shared" si="1113"/>
        <v>卡卡杜企业店（视频号）</v>
      </c>
      <c r="H3350" s="1" t="str">
        <f t="shared" si="1107"/>
        <v>正常订单</v>
      </c>
      <c r="I3350" s="1" t="str">
        <f t="shared" si="1108"/>
        <v>已发货</v>
      </c>
      <c r="J3350" s="1" t="str">
        <f t="shared" ref="J3350:J3353" si="1115">"2"</f>
        <v>2</v>
      </c>
      <c r="K3350" s="1">
        <v>2</v>
      </c>
      <c r="L3350" s="1" t="s">
        <v>74</v>
      </c>
      <c r="M3350" s="1" t="str">
        <f>"上海 上海市 浦东新区 "</f>
        <v xml:space="preserve">上海 上海市 浦东新区 </v>
      </c>
      <c r="N3350" s="1" t="str">
        <f t="shared" si="1114"/>
        <v>凡华云仓-城南圆通-微信视频号</v>
      </c>
      <c r="O3350" s="5" t="s">
        <v>3383</v>
      </c>
      <c r="P3350" s="6">
        <v>0.17</v>
      </c>
      <c r="Q3350" s="11">
        <v>2</v>
      </c>
      <c r="R3350" s="11"/>
      <c r="S3350" s="11"/>
      <c r="T3350" s="11"/>
      <c r="U3350" s="11">
        <f t="shared" si="1104"/>
        <v>2</v>
      </c>
      <c r="W3350">
        <v>2.2000000000000002</v>
      </c>
      <c r="X3350" s="1" t="s">
        <v>74</v>
      </c>
    </row>
    <row r="3351" spans="1:24" x14ac:dyDescent="0.25">
      <c r="A3351" s="1" t="str">
        <f t="shared" si="1105"/>
        <v>卡卡杜-凤凰仓</v>
      </c>
      <c r="B3351" s="1" t="str">
        <f>"CK20241023108"</f>
        <v>CK20241023108</v>
      </c>
      <c r="C3351" s="1" t="str">
        <f>"DD2024102317254"</f>
        <v>DD2024102317254</v>
      </c>
      <c r="D3351" s="1" t="str">
        <f>"CK2024102322383"</f>
        <v>CK2024102322383</v>
      </c>
      <c r="E3351" s="1" t="str">
        <f>"3723490709007897600"</f>
        <v>3723490709007897600</v>
      </c>
      <c r="F3351" s="1" t="str">
        <f t="shared" si="1106"/>
        <v>花都四部-凤凰仓</v>
      </c>
      <c r="G3351" s="1" t="str">
        <f t="shared" si="1113"/>
        <v>卡卡杜企业店（视频号）</v>
      </c>
      <c r="H3351" s="1" t="str">
        <f t="shared" si="1107"/>
        <v>正常订单</v>
      </c>
      <c r="I3351" s="1" t="str">
        <f t="shared" si="1108"/>
        <v>已发货</v>
      </c>
      <c r="J3351" s="1" t="str">
        <f t="shared" si="1115"/>
        <v>2</v>
      </c>
      <c r="K3351" s="1">
        <v>2</v>
      </c>
      <c r="L3351" s="1" t="s">
        <v>218</v>
      </c>
      <c r="M3351" s="1" t="str">
        <f>"天津 天津市 北辰区 "</f>
        <v xml:space="preserve">天津 天津市 北辰区 </v>
      </c>
      <c r="N3351" s="1" t="str">
        <f t="shared" si="1114"/>
        <v>凡华云仓-城南圆通-微信视频号</v>
      </c>
      <c r="O3351" s="5" t="s">
        <v>3384</v>
      </c>
      <c r="P3351" s="6">
        <v>0.17</v>
      </c>
      <c r="Q3351" s="11">
        <v>2</v>
      </c>
      <c r="R3351" s="11"/>
      <c r="S3351" s="11"/>
      <c r="T3351" s="11"/>
      <c r="U3351" s="11">
        <f t="shared" si="1104"/>
        <v>2</v>
      </c>
      <c r="W3351">
        <v>2.2000000000000002</v>
      </c>
      <c r="X3351" s="1" t="s">
        <v>218</v>
      </c>
    </row>
    <row r="3352" spans="1:24" x14ac:dyDescent="0.25">
      <c r="A3352" s="1" t="str">
        <f t="shared" si="1105"/>
        <v>卡卡杜-凤凰仓</v>
      </c>
      <c r="B3352" s="1" t="str">
        <f>"CK2024102383"</f>
        <v>CK2024102383</v>
      </c>
      <c r="C3352" s="1" t="str">
        <f>"DD2024102317229"</f>
        <v>DD2024102317229</v>
      </c>
      <c r="D3352" s="1" t="str">
        <f>"CK2024102322382"</f>
        <v>CK2024102322382</v>
      </c>
      <c r="E3352" s="1" t="str">
        <f>"3723490699453534208"</f>
        <v>3723490699453534208</v>
      </c>
      <c r="F3352" s="1" t="str">
        <f t="shared" si="1106"/>
        <v>花都四部-凤凰仓</v>
      </c>
      <c r="G3352" s="1" t="str">
        <f t="shared" si="1113"/>
        <v>卡卡杜企业店（视频号）</v>
      </c>
      <c r="H3352" s="1" t="str">
        <f t="shared" si="1107"/>
        <v>正常订单</v>
      </c>
      <c r="I3352" s="1" t="str">
        <f t="shared" si="1108"/>
        <v>已发货</v>
      </c>
      <c r="J3352" s="1" t="str">
        <f t="shared" si="1112"/>
        <v>3</v>
      </c>
      <c r="K3352" s="1">
        <v>2</v>
      </c>
      <c r="L3352" s="1" t="s">
        <v>96</v>
      </c>
      <c r="M3352" s="1" t="str">
        <f>"广西壮族自治区 河池市 宜州区 "</f>
        <v xml:space="preserve">广西壮族自治区 河池市 宜州区 </v>
      </c>
      <c r="N3352" s="1" t="str">
        <f t="shared" si="1114"/>
        <v>凡华云仓-城南圆通-微信视频号</v>
      </c>
      <c r="O3352" s="5" t="s">
        <v>3385</v>
      </c>
      <c r="P3352" s="6">
        <v>0.24</v>
      </c>
      <c r="Q3352" s="11">
        <v>2</v>
      </c>
      <c r="R3352" s="11"/>
      <c r="S3352" s="11"/>
      <c r="T3352" s="11"/>
      <c r="U3352" s="11">
        <f t="shared" si="1104"/>
        <v>2</v>
      </c>
      <c r="W3352">
        <v>2.2000000000000002</v>
      </c>
      <c r="X3352" s="1" t="s">
        <v>96</v>
      </c>
    </row>
    <row r="3353" spans="1:24" x14ac:dyDescent="0.25">
      <c r="A3353" s="1" t="str">
        <f t="shared" si="1105"/>
        <v>卡卡杜-凤凰仓</v>
      </c>
      <c r="B3353" s="1" t="str">
        <f>"CK20241023105"</f>
        <v>CK20241023105</v>
      </c>
      <c r="C3353" s="1" t="str">
        <f>"DD2024102317252"</f>
        <v>DD2024102317252</v>
      </c>
      <c r="D3353" s="1" t="str">
        <f>"CK2024102322381"</f>
        <v>CK2024102322381</v>
      </c>
      <c r="E3353" s="1" t="str">
        <f>"3723490687688773632"</f>
        <v>3723490687688773632</v>
      </c>
      <c r="F3353" s="1" t="str">
        <f t="shared" si="1106"/>
        <v>花都四部-凤凰仓</v>
      </c>
      <c r="G3353" s="1" t="str">
        <f t="shared" si="1113"/>
        <v>卡卡杜企业店（视频号）</v>
      </c>
      <c r="H3353" s="1" t="str">
        <f t="shared" si="1107"/>
        <v>正常订单</v>
      </c>
      <c r="I3353" s="1" t="str">
        <f t="shared" si="1108"/>
        <v>已发货</v>
      </c>
      <c r="J3353" s="1" t="str">
        <f t="shared" si="1115"/>
        <v>2</v>
      </c>
      <c r="K3353" s="1">
        <v>2</v>
      </c>
      <c r="L3353" s="1" t="s">
        <v>20</v>
      </c>
      <c r="M3353" s="1" t="str">
        <f>"浙江省 杭州市 拱墅区 "</f>
        <v xml:space="preserve">浙江省 杭州市 拱墅区 </v>
      </c>
      <c r="N3353" s="1" t="str">
        <f t="shared" si="1114"/>
        <v>凡华云仓-城南圆通-微信视频号</v>
      </c>
      <c r="O3353" s="5" t="s">
        <v>3386</v>
      </c>
      <c r="P3353" s="6">
        <v>0.17</v>
      </c>
      <c r="Q3353" s="11">
        <v>2</v>
      </c>
      <c r="R3353" s="11"/>
      <c r="S3353" s="11"/>
      <c r="T3353" s="11"/>
      <c r="U3353" s="11">
        <f t="shared" si="1104"/>
        <v>2</v>
      </c>
      <c r="W3353">
        <v>2.2000000000000002</v>
      </c>
      <c r="X3353" s="1" t="s">
        <v>20</v>
      </c>
    </row>
    <row r="3354" spans="1:24" x14ac:dyDescent="0.25">
      <c r="A3354" s="1" t="str">
        <f t="shared" si="1105"/>
        <v>卡卡杜-凤凰仓</v>
      </c>
      <c r="B3354" s="1" t="str">
        <f>"CK2024102379"</f>
        <v>CK2024102379</v>
      </c>
      <c r="C3354" s="1" t="str">
        <f>"DD2024102317226"</f>
        <v>DD2024102317226</v>
      </c>
      <c r="D3354" s="1" t="str">
        <f>"CK2024102322380"</f>
        <v>CK2024102322380</v>
      </c>
      <c r="E3354" s="1" t="str">
        <f>"3723490684568474626"</f>
        <v>3723490684568474626</v>
      </c>
      <c r="F3354" s="1" t="str">
        <f t="shared" si="1106"/>
        <v>花都四部-凤凰仓</v>
      </c>
      <c r="G3354" s="1" t="str">
        <f t="shared" si="1113"/>
        <v>卡卡杜企业店（视频号）</v>
      </c>
      <c r="H3354" s="1" t="str">
        <f t="shared" si="1107"/>
        <v>正常订单</v>
      </c>
      <c r="I3354" s="1" t="str">
        <f t="shared" si="1108"/>
        <v>已发货</v>
      </c>
      <c r="J3354" s="1" t="str">
        <f>"3"</f>
        <v>3</v>
      </c>
      <c r="K3354" s="1">
        <v>2</v>
      </c>
      <c r="L3354" s="1" t="s">
        <v>105</v>
      </c>
      <c r="M3354" s="1" t="str">
        <f>"北京 北京市 朝阳区 "</f>
        <v xml:space="preserve">北京 北京市 朝阳区 </v>
      </c>
      <c r="N3354" s="1" t="str">
        <f t="shared" si="1114"/>
        <v>凡华云仓-城南圆通-微信视频号</v>
      </c>
      <c r="O3354" s="5" t="s">
        <v>3387</v>
      </c>
      <c r="P3354" s="6">
        <v>0.24</v>
      </c>
      <c r="Q3354" s="11">
        <v>2</v>
      </c>
      <c r="R3354" s="11"/>
      <c r="S3354" s="11"/>
      <c r="T3354" s="11"/>
      <c r="U3354" s="11">
        <f t="shared" si="1104"/>
        <v>2</v>
      </c>
      <c r="W3354">
        <v>2.2000000000000002</v>
      </c>
      <c r="X3354" s="1" t="s">
        <v>105</v>
      </c>
    </row>
    <row r="3355" spans="1:24" x14ac:dyDescent="0.25">
      <c r="A3355" s="1" t="str">
        <f t="shared" si="1105"/>
        <v>卡卡杜-凤凰仓</v>
      </c>
      <c r="B3355" s="1" t="str">
        <f>"CK20241023111"</f>
        <v>CK20241023111</v>
      </c>
      <c r="C3355" s="1" t="str">
        <f>"DD2024102317258"</f>
        <v>DD2024102317258</v>
      </c>
      <c r="D3355" s="1" t="str">
        <f>"CK2024102322379"</f>
        <v>CK2024102322379</v>
      </c>
      <c r="E3355" s="1" t="str">
        <f>"3723490683445449728"</f>
        <v>3723490683445449728</v>
      </c>
      <c r="F3355" s="1" t="str">
        <f t="shared" si="1106"/>
        <v>花都四部-凤凰仓</v>
      </c>
      <c r="G3355" s="1" t="str">
        <f t="shared" si="1113"/>
        <v>卡卡杜企业店（视频号）</v>
      </c>
      <c r="H3355" s="1" t="str">
        <f t="shared" si="1107"/>
        <v>正常订单</v>
      </c>
      <c r="I3355" s="1" t="str">
        <f t="shared" si="1108"/>
        <v>已发货</v>
      </c>
      <c r="J3355" s="1" t="str">
        <f t="shared" ref="J3355:J3358" si="1116">"2"</f>
        <v>2</v>
      </c>
      <c r="K3355" s="1">
        <v>2</v>
      </c>
      <c r="L3355" s="1" t="s">
        <v>161</v>
      </c>
      <c r="M3355" s="1" t="str">
        <f>"四川省 绵阳市 涪城区 "</f>
        <v xml:space="preserve">四川省 绵阳市 涪城区 </v>
      </c>
      <c r="N3355" s="1" t="str">
        <f t="shared" si="1114"/>
        <v>凡华云仓-城南圆通-微信视频号</v>
      </c>
      <c r="O3355" s="5" t="s">
        <v>3388</v>
      </c>
      <c r="P3355" s="6">
        <v>0.17</v>
      </c>
      <c r="Q3355" s="11">
        <v>2</v>
      </c>
      <c r="R3355" s="11"/>
      <c r="S3355" s="11"/>
      <c r="T3355" s="11"/>
      <c r="U3355" s="11">
        <f t="shared" si="1104"/>
        <v>2</v>
      </c>
      <c r="W3355">
        <v>2.2000000000000002</v>
      </c>
      <c r="X3355" s="1" t="s">
        <v>161</v>
      </c>
    </row>
    <row r="3356" spans="1:24" x14ac:dyDescent="0.25">
      <c r="A3356" s="1" t="str">
        <f t="shared" si="1105"/>
        <v>卡卡杜-凤凰仓</v>
      </c>
      <c r="B3356" s="1" t="str">
        <f>"CK20241023117"</f>
        <v>CK20241023117</v>
      </c>
      <c r="C3356" s="1" t="str">
        <f>"DD2024102317263"</f>
        <v>DD2024102317263</v>
      </c>
      <c r="D3356" s="1" t="str">
        <f>"CK2024102322378"</f>
        <v>CK2024102322378</v>
      </c>
      <c r="E3356" s="1" t="str">
        <f>"3723490662364089344"</f>
        <v>3723490662364089344</v>
      </c>
      <c r="F3356" s="1" t="str">
        <f t="shared" si="1106"/>
        <v>花都四部-凤凰仓</v>
      </c>
      <c r="G3356" s="1" t="str">
        <f t="shared" si="1113"/>
        <v>卡卡杜企业店（视频号）</v>
      </c>
      <c r="H3356" s="1" t="str">
        <f t="shared" si="1107"/>
        <v>正常订单</v>
      </c>
      <c r="I3356" s="1" t="str">
        <f t="shared" si="1108"/>
        <v>已发货</v>
      </c>
      <c r="J3356" s="1" t="str">
        <f t="shared" si="1116"/>
        <v>2</v>
      </c>
      <c r="K3356" s="1">
        <v>2</v>
      </c>
      <c r="L3356" s="1" t="s">
        <v>36</v>
      </c>
      <c r="M3356" s="1" t="str">
        <f>"安徽省 铜陵市 铜官区 "</f>
        <v xml:space="preserve">安徽省 铜陵市 铜官区 </v>
      </c>
      <c r="N3356" s="1" t="str">
        <f t="shared" si="1114"/>
        <v>凡华云仓-城南圆通-微信视频号</v>
      </c>
      <c r="O3356" s="5" t="s">
        <v>3389</v>
      </c>
      <c r="P3356" s="6">
        <v>0.17</v>
      </c>
      <c r="Q3356" s="11">
        <v>2</v>
      </c>
      <c r="R3356" s="11"/>
      <c r="S3356" s="11"/>
      <c r="T3356" s="11"/>
      <c r="U3356" s="11">
        <f t="shared" si="1104"/>
        <v>2</v>
      </c>
      <c r="W3356">
        <v>2.2000000000000002</v>
      </c>
      <c r="X3356" s="1" t="s">
        <v>36</v>
      </c>
    </row>
    <row r="3357" spans="1:24" x14ac:dyDescent="0.25">
      <c r="A3357" s="1" t="str">
        <f t="shared" si="1105"/>
        <v>卡卡杜-凤凰仓</v>
      </c>
      <c r="B3357" s="1" t="str">
        <f>"CK20241023110"</f>
        <v>CK20241023110</v>
      </c>
      <c r="C3357" s="1" t="str">
        <f>"DD2024102317256"</f>
        <v>DD2024102317256</v>
      </c>
      <c r="D3357" s="1" t="str">
        <f>"CK2024102322377"</f>
        <v>CK2024102322377</v>
      </c>
      <c r="E3357" s="1" t="str">
        <f>"3723490662093293056"</f>
        <v>3723490662093293056</v>
      </c>
      <c r="F3357" s="1" t="str">
        <f t="shared" si="1106"/>
        <v>花都四部-凤凰仓</v>
      </c>
      <c r="G3357" s="1" t="str">
        <f t="shared" si="1113"/>
        <v>卡卡杜企业店（视频号）</v>
      </c>
      <c r="H3357" s="1" t="str">
        <f t="shared" si="1107"/>
        <v>正常订单</v>
      </c>
      <c r="I3357" s="1" t="str">
        <f t="shared" si="1108"/>
        <v>已发货</v>
      </c>
      <c r="J3357" s="1" t="str">
        <f t="shared" si="1116"/>
        <v>2</v>
      </c>
      <c r="K3357" s="1">
        <v>2</v>
      </c>
      <c r="L3357" s="1" t="s">
        <v>161</v>
      </c>
      <c r="M3357" s="1" t="str">
        <f>"四川省 乐山市 市中区 "</f>
        <v xml:space="preserve">四川省 乐山市 市中区 </v>
      </c>
      <c r="N3357" s="1" t="str">
        <f t="shared" si="1114"/>
        <v>凡华云仓-城南圆通-微信视频号</v>
      </c>
      <c r="O3357" s="5" t="s">
        <v>3390</v>
      </c>
      <c r="P3357" s="6">
        <v>0.17</v>
      </c>
      <c r="Q3357" s="11">
        <v>2</v>
      </c>
      <c r="R3357" s="11"/>
      <c r="S3357" s="11"/>
      <c r="T3357" s="11"/>
      <c r="U3357" s="11">
        <f t="shared" si="1104"/>
        <v>2</v>
      </c>
      <c r="W3357">
        <v>2.2000000000000002</v>
      </c>
      <c r="X3357" s="1" t="s">
        <v>161</v>
      </c>
    </row>
    <row r="3358" spans="1:24" x14ac:dyDescent="0.25">
      <c r="A3358" s="1" t="str">
        <f t="shared" si="1105"/>
        <v>卡卡杜-凤凰仓</v>
      </c>
      <c r="B3358" s="1" t="str">
        <f>"CK20241023107"</f>
        <v>CK20241023107</v>
      </c>
      <c r="C3358" s="1" t="str">
        <f>"DD2024102317253"</f>
        <v>DD2024102317253</v>
      </c>
      <c r="D3358" s="1" t="str">
        <f>"CK2024102322376"</f>
        <v>CK2024102322376</v>
      </c>
      <c r="E3358" s="1" t="str">
        <f>"3723490653318550528"</f>
        <v>3723490653318550528</v>
      </c>
      <c r="F3358" s="1" t="str">
        <f t="shared" si="1106"/>
        <v>花都四部-凤凰仓</v>
      </c>
      <c r="G3358" s="1" t="str">
        <f t="shared" si="1113"/>
        <v>卡卡杜企业店（视频号）</v>
      </c>
      <c r="H3358" s="1" t="str">
        <f t="shared" si="1107"/>
        <v>正常订单</v>
      </c>
      <c r="I3358" s="1" t="str">
        <f t="shared" si="1108"/>
        <v>已发货</v>
      </c>
      <c r="J3358" s="1" t="str">
        <f t="shared" si="1116"/>
        <v>2</v>
      </c>
      <c r="K3358" s="1">
        <v>2</v>
      </c>
      <c r="L3358" s="1" t="s">
        <v>54</v>
      </c>
      <c r="M3358" s="1" t="str">
        <f>"黑龙江省 哈尔滨市 道里区 "</f>
        <v xml:space="preserve">黑龙江省 哈尔滨市 道里区 </v>
      </c>
      <c r="N3358" s="1" t="str">
        <f t="shared" si="1114"/>
        <v>凡华云仓-城南圆通-微信视频号</v>
      </c>
      <c r="O3358" s="5" t="s">
        <v>3391</v>
      </c>
      <c r="P3358" s="6">
        <v>0.17</v>
      </c>
      <c r="Q3358" s="11">
        <v>2</v>
      </c>
      <c r="R3358" s="11"/>
      <c r="S3358" s="11"/>
      <c r="T3358" s="11"/>
      <c r="U3358" s="11">
        <f t="shared" si="1104"/>
        <v>2</v>
      </c>
      <c r="W3358">
        <v>2.2000000000000002</v>
      </c>
      <c r="X3358" s="1" t="s">
        <v>54</v>
      </c>
    </row>
    <row r="3359" spans="1:24" x14ac:dyDescent="0.25">
      <c r="A3359" s="1" t="str">
        <f t="shared" si="1105"/>
        <v>卡卡杜-凤凰仓</v>
      </c>
      <c r="B3359" s="1" t="str">
        <f>"CK20241023103"</f>
        <v>CK20241023103</v>
      </c>
      <c r="C3359" s="1" t="str">
        <f>"DD2024102317249"</f>
        <v>DD2024102317249</v>
      </c>
      <c r="D3359" s="1" t="str">
        <f>"CK2024102322375"</f>
        <v>CK2024102322375</v>
      </c>
      <c r="E3359" s="1" t="str">
        <f>"3723488709075930112"</f>
        <v>3723488709075930112</v>
      </c>
      <c r="F3359" s="1" t="str">
        <f t="shared" si="1106"/>
        <v>花都四部-凤凰仓</v>
      </c>
      <c r="G3359" s="1" t="str">
        <f t="shared" si="1113"/>
        <v>卡卡杜企业店（视频号）</v>
      </c>
      <c r="H3359" s="1" t="str">
        <f t="shared" si="1107"/>
        <v>正常订单</v>
      </c>
      <c r="I3359" s="1" t="str">
        <f t="shared" si="1108"/>
        <v>已发货</v>
      </c>
      <c r="J3359" s="1" t="str">
        <f t="shared" ref="J3359:J3396" si="1117">"3"</f>
        <v>3</v>
      </c>
      <c r="K3359" s="1">
        <v>2</v>
      </c>
      <c r="L3359" s="1" t="s">
        <v>105</v>
      </c>
      <c r="M3359" s="1" t="str">
        <f>"北京 北京市 丰台区 "</f>
        <v xml:space="preserve">北京 北京市 丰台区 </v>
      </c>
      <c r="N3359" s="1" t="str">
        <f t="shared" si="1114"/>
        <v>凡华云仓-城南圆通-微信视频号</v>
      </c>
      <c r="O3359" s="5" t="s">
        <v>3392</v>
      </c>
      <c r="P3359" s="6">
        <v>0.24</v>
      </c>
      <c r="Q3359" s="11">
        <v>2</v>
      </c>
      <c r="R3359" s="11"/>
      <c r="S3359" s="11"/>
      <c r="T3359" s="11"/>
      <c r="U3359" s="11">
        <f t="shared" si="1104"/>
        <v>2</v>
      </c>
      <c r="W3359">
        <v>2.2000000000000002</v>
      </c>
      <c r="X3359" s="1" t="s">
        <v>105</v>
      </c>
    </row>
    <row r="3360" spans="1:24" x14ac:dyDescent="0.25">
      <c r="A3360" s="1" t="str">
        <f t="shared" si="1105"/>
        <v>卡卡杜-凤凰仓</v>
      </c>
      <c r="B3360" s="1" t="str">
        <f>"CK20241023160"</f>
        <v>CK20241023160</v>
      </c>
      <c r="C3360" s="1" t="str">
        <f>"DD2024102317321"</f>
        <v>DD2024102317321</v>
      </c>
      <c r="D3360" s="1" t="str">
        <f>"CK2024102322374"</f>
        <v>CK2024102322374</v>
      </c>
      <c r="E3360" s="1" t="str">
        <f>"6935364107883910271"</f>
        <v>6935364107883910271</v>
      </c>
      <c r="F3360" s="1" t="str">
        <f t="shared" si="1106"/>
        <v>花都四部-凤凰仓</v>
      </c>
      <c r="G3360" s="1" t="str">
        <f t="shared" ref="G3360:G3395" si="1118">"卡卡杜个人护理店（抖店）"</f>
        <v>卡卡杜个人护理店（抖店）</v>
      </c>
      <c r="H3360" s="1" t="str">
        <f t="shared" si="1107"/>
        <v>正常订单</v>
      </c>
      <c r="I3360" s="1" t="str">
        <f t="shared" si="1108"/>
        <v>已发货</v>
      </c>
      <c r="J3360" s="1" t="str">
        <f t="shared" si="1117"/>
        <v>3</v>
      </c>
      <c r="K3360" s="1">
        <v>3</v>
      </c>
      <c r="L3360" s="1" t="s">
        <v>74</v>
      </c>
      <c r="M3360" s="1" t="str">
        <f>"上海 上海市 宝山区 友谊路街道"</f>
        <v>上海 上海市 宝山区 友谊路街道</v>
      </c>
      <c r="N3360" s="1" t="str">
        <f t="shared" ref="N3360:N3395" si="1119">"凡华云仓-城南圆通-抖音"</f>
        <v>凡华云仓-城南圆通-抖音</v>
      </c>
      <c r="O3360" s="5" t="s">
        <v>3393</v>
      </c>
      <c r="P3360" s="6">
        <v>0.34</v>
      </c>
      <c r="Q3360" s="11">
        <v>2.2999999999999998</v>
      </c>
      <c r="R3360" s="11"/>
      <c r="S3360" s="11"/>
      <c r="T3360" s="11"/>
      <c r="U3360" s="11">
        <f t="shared" si="1104"/>
        <v>2.2999999999999998</v>
      </c>
      <c r="W3360">
        <v>2.5</v>
      </c>
      <c r="X3360" s="1" t="s">
        <v>74</v>
      </c>
    </row>
    <row r="3361" spans="1:24" x14ac:dyDescent="0.25">
      <c r="A3361" s="1" t="str">
        <f t="shared" si="1105"/>
        <v>卡卡杜-凤凰仓</v>
      </c>
      <c r="B3361" s="1" t="str">
        <f>"CK2024102341"</f>
        <v>CK2024102341</v>
      </c>
      <c r="C3361" s="1" t="str">
        <f>"DD2024102317185"</f>
        <v>DD2024102317185</v>
      </c>
      <c r="D3361" s="1" t="str">
        <f>"CK2024102322373"</f>
        <v>CK2024102322373</v>
      </c>
      <c r="E3361" s="1" t="str">
        <f>"6935350934015251571"</f>
        <v>6935350934015251571</v>
      </c>
      <c r="F3361" s="1" t="str">
        <f t="shared" si="1106"/>
        <v>花都四部-凤凰仓</v>
      </c>
      <c r="G3361" s="1" t="str">
        <f t="shared" si="1118"/>
        <v>卡卡杜个人护理店（抖店）</v>
      </c>
      <c r="H3361" s="1" t="str">
        <f t="shared" si="1107"/>
        <v>正常订单</v>
      </c>
      <c r="I3361" s="1" t="str">
        <f t="shared" si="1108"/>
        <v>已发货</v>
      </c>
      <c r="J3361" s="1" t="str">
        <f t="shared" si="1117"/>
        <v>3</v>
      </c>
      <c r="K3361" s="1">
        <v>2</v>
      </c>
      <c r="L3361" s="1" t="s">
        <v>36</v>
      </c>
      <c r="M3361" s="1" t="str">
        <f>"安徽省 阜阳市 颍州区 鼓楼街道"</f>
        <v>安徽省 阜阳市 颍州区 鼓楼街道</v>
      </c>
      <c r="N3361" s="1" t="str">
        <f t="shared" si="1119"/>
        <v>凡华云仓-城南圆通-抖音</v>
      </c>
      <c r="O3361" s="5" t="s">
        <v>3394</v>
      </c>
      <c r="P3361" s="6">
        <v>0.35</v>
      </c>
      <c r="Q3361" s="11">
        <v>2.2999999999999998</v>
      </c>
      <c r="R3361" s="11"/>
      <c r="S3361" s="11"/>
      <c r="T3361" s="11"/>
      <c r="U3361" s="11">
        <f t="shared" si="1104"/>
        <v>2.2999999999999998</v>
      </c>
      <c r="W3361">
        <v>2.5</v>
      </c>
      <c r="X3361" s="1" t="s">
        <v>36</v>
      </c>
    </row>
    <row r="3362" spans="1:24" x14ac:dyDescent="0.25">
      <c r="A3362" s="1" t="str">
        <f t="shared" si="1105"/>
        <v>卡卡杜-凤凰仓</v>
      </c>
      <c r="B3362" s="1" t="str">
        <f>"CK2024102340"</f>
        <v>CK2024102340</v>
      </c>
      <c r="C3362" s="1" t="str">
        <f>"DD2024102317184"</f>
        <v>DD2024102317184</v>
      </c>
      <c r="D3362" s="1" t="str">
        <f>"CK2024102322372"</f>
        <v>CK2024102322372</v>
      </c>
      <c r="E3362" s="1" t="str">
        <f>"6935355464127943942"</f>
        <v>6935355464127943942</v>
      </c>
      <c r="F3362" s="1" t="str">
        <f t="shared" si="1106"/>
        <v>花都四部-凤凰仓</v>
      </c>
      <c r="G3362" s="1" t="str">
        <f t="shared" si="1118"/>
        <v>卡卡杜个人护理店（抖店）</v>
      </c>
      <c r="H3362" s="1" t="str">
        <f t="shared" si="1107"/>
        <v>正常订单</v>
      </c>
      <c r="I3362" s="1" t="str">
        <f t="shared" si="1108"/>
        <v>已发货</v>
      </c>
      <c r="J3362" s="1" t="str">
        <f t="shared" si="1117"/>
        <v>3</v>
      </c>
      <c r="K3362" s="1">
        <v>2</v>
      </c>
      <c r="L3362" s="1" t="s">
        <v>18</v>
      </c>
      <c r="M3362" s="1" t="str">
        <f>"广东省 深圳市 南山区 招商街道"</f>
        <v>广东省 深圳市 南山区 招商街道</v>
      </c>
      <c r="N3362" s="1" t="str">
        <f t="shared" si="1119"/>
        <v>凡华云仓-城南圆通-抖音</v>
      </c>
      <c r="O3362" s="5" t="s">
        <v>3395</v>
      </c>
      <c r="P3362" s="6">
        <v>0.35</v>
      </c>
      <c r="Q3362" s="11">
        <v>2.2999999999999998</v>
      </c>
      <c r="R3362" s="11"/>
      <c r="S3362" s="11"/>
      <c r="T3362" s="11"/>
      <c r="U3362" s="11">
        <f t="shared" si="1104"/>
        <v>2.2999999999999998</v>
      </c>
      <c r="W3362">
        <v>2.5</v>
      </c>
      <c r="X3362" s="1" t="s">
        <v>18</v>
      </c>
    </row>
    <row r="3363" spans="1:24" x14ac:dyDescent="0.25">
      <c r="A3363" s="1" t="str">
        <f t="shared" si="1105"/>
        <v>卡卡杜-凤凰仓</v>
      </c>
      <c r="B3363" s="1" t="str">
        <f>"CK2024102319"</f>
        <v>CK2024102319</v>
      </c>
      <c r="C3363" s="1" t="str">
        <f>"DD2024102317158"</f>
        <v>DD2024102317158</v>
      </c>
      <c r="D3363" s="1" t="str">
        <f>"CK2024102322371"</f>
        <v>CK2024102322371</v>
      </c>
      <c r="E3363" s="1" t="str">
        <f>"6935373107472504678"</f>
        <v>6935373107472504678</v>
      </c>
      <c r="F3363" s="1" t="str">
        <f t="shared" si="1106"/>
        <v>花都四部-凤凰仓</v>
      </c>
      <c r="G3363" s="1" t="str">
        <f t="shared" si="1118"/>
        <v>卡卡杜个人护理店（抖店）</v>
      </c>
      <c r="H3363" s="1" t="str">
        <f t="shared" si="1107"/>
        <v>正常订单</v>
      </c>
      <c r="I3363" s="1" t="str">
        <f t="shared" si="1108"/>
        <v>已发货</v>
      </c>
      <c r="J3363" s="1" t="str">
        <f t="shared" si="1117"/>
        <v>3</v>
      </c>
      <c r="K3363" s="1">
        <v>2</v>
      </c>
      <c r="L3363" s="1" t="s">
        <v>22</v>
      </c>
      <c r="M3363" s="1" t="str">
        <f>"江西省 上饶市 弋阳县 弋江镇"</f>
        <v>江西省 上饶市 弋阳县 弋江镇</v>
      </c>
      <c r="N3363" s="1" t="str">
        <f t="shared" si="1119"/>
        <v>凡华云仓-城南圆通-抖音</v>
      </c>
      <c r="O3363" s="5" t="s">
        <v>3396</v>
      </c>
      <c r="P3363" s="6">
        <v>0.35</v>
      </c>
      <c r="Q3363" s="11">
        <v>2.2999999999999998</v>
      </c>
      <c r="R3363" s="11"/>
      <c r="S3363" s="11"/>
      <c r="T3363" s="11"/>
      <c r="U3363" s="11">
        <f t="shared" si="1104"/>
        <v>2.2999999999999998</v>
      </c>
      <c r="W3363">
        <v>2.5</v>
      </c>
      <c r="X3363" s="1" t="s">
        <v>22</v>
      </c>
    </row>
    <row r="3364" spans="1:24" x14ac:dyDescent="0.25">
      <c r="A3364" s="1" t="str">
        <f t="shared" si="1105"/>
        <v>卡卡杜-凤凰仓</v>
      </c>
      <c r="B3364" s="1" t="str">
        <f>"CK2024102347"</f>
        <v>CK2024102347</v>
      </c>
      <c r="C3364" s="1" t="str">
        <f>"DD2024102317191"</f>
        <v>DD2024102317191</v>
      </c>
      <c r="D3364" s="1" t="str">
        <f>"CK2024102322370"</f>
        <v>CK2024102322370</v>
      </c>
      <c r="E3364" s="1" t="str">
        <f>"6935360048046085755"</f>
        <v>6935360048046085755</v>
      </c>
      <c r="F3364" s="1" t="str">
        <f t="shared" si="1106"/>
        <v>花都四部-凤凰仓</v>
      </c>
      <c r="G3364" s="1" t="str">
        <f t="shared" si="1118"/>
        <v>卡卡杜个人护理店（抖店）</v>
      </c>
      <c r="H3364" s="1" t="str">
        <f t="shared" si="1107"/>
        <v>正常订单</v>
      </c>
      <c r="I3364" s="1" t="str">
        <f t="shared" si="1108"/>
        <v>已发货</v>
      </c>
      <c r="J3364" s="1" t="str">
        <f t="shared" si="1117"/>
        <v>3</v>
      </c>
      <c r="K3364" s="1">
        <v>2</v>
      </c>
      <c r="L3364" s="1" t="s">
        <v>41</v>
      </c>
      <c r="M3364" s="1" t="str">
        <f>"湖北省 武汉市 东西湖区 径河街道"</f>
        <v>湖北省 武汉市 东西湖区 径河街道</v>
      </c>
      <c r="N3364" s="1" t="str">
        <f t="shared" si="1119"/>
        <v>凡华云仓-城南圆通-抖音</v>
      </c>
      <c r="O3364" s="5" t="s">
        <v>3397</v>
      </c>
      <c r="P3364" s="6">
        <v>0.35</v>
      </c>
      <c r="Q3364" s="11">
        <v>2.2999999999999998</v>
      </c>
      <c r="R3364" s="11"/>
      <c r="S3364" s="11"/>
      <c r="T3364" s="11"/>
      <c r="U3364" s="11">
        <f t="shared" si="1104"/>
        <v>2.2999999999999998</v>
      </c>
      <c r="W3364">
        <v>2.5</v>
      </c>
      <c r="X3364" s="1" t="s">
        <v>41</v>
      </c>
    </row>
    <row r="3365" spans="1:24" x14ac:dyDescent="0.25">
      <c r="A3365" s="1" t="str">
        <f t="shared" si="1105"/>
        <v>卡卡杜-凤凰仓</v>
      </c>
      <c r="B3365" s="1" t="str">
        <f>"CK2024102338"</f>
        <v>CK2024102338</v>
      </c>
      <c r="C3365" s="1" t="str">
        <f>"DD2024102317181"</f>
        <v>DD2024102317181</v>
      </c>
      <c r="D3365" s="1" t="str">
        <f>"CK2024102322369"</f>
        <v>CK2024102322369</v>
      </c>
      <c r="E3365" s="1" t="str">
        <f>"6935346015764813119"</f>
        <v>6935346015764813119</v>
      </c>
      <c r="F3365" s="1" t="str">
        <f t="shared" si="1106"/>
        <v>花都四部-凤凰仓</v>
      </c>
      <c r="G3365" s="1" t="str">
        <f t="shared" si="1118"/>
        <v>卡卡杜个人护理店（抖店）</v>
      </c>
      <c r="H3365" s="1" t="str">
        <f t="shared" si="1107"/>
        <v>正常订单</v>
      </c>
      <c r="I3365" s="1" t="str">
        <f t="shared" si="1108"/>
        <v>已发货</v>
      </c>
      <c r="J3365" s="1" t="str">
        <f t="shared" si="1117"/>
        <v>3</v>
      </c>
      <c r="K3365" s="1">
        <v>2</v>
      </c>
      <c r="L3365" s="1" t="s">
        <v>20</v>
      </c>
      <c r="M3365" s="1" t="str">
        <f>"浙江省 舟山市 定海区 盐仓街道"</f>
        <v>浙江省 舟山市 定海区 盐仓街道</v>
      </c>
      <c r="N3365" s="1" t="str">
        <f t="shared" si="1119"/>
        <v>凡华云仓-城南圆通-抖音</v>
      </c>
      <c r="O3365" s="5" t="s">
        <v>3398</v>
      </c>
      <c r="P3365" s="6">
        <v>0.35</v>
      </c>
      <c r="Q3365" s="11">
        <v>2.2999999999999998</v>
      </c>
      <c r="R3365" s="11"/>
      <c r="S3365" s="11"/>
      <c r="T3365" s="11"/>
      <c r="U3365" s="11">
        <f t="shared" si="1104"/>
        <v>2.2999999999999998</v>
      </c>
      <c r="W3365">
        <v>2.5</v>
      </c>
      <c r="X3365" s="1" t="s">
        <v>20</v>
      </c>
    </row>
    <row r="3366" spans="1:24" x14ac:dyDescent="0.25">
      <c r="A3366" s="1" t="str">
        <f t="shared" si="1105"/>
        <v>卡卡杜-凤凰仓</v>
      </c>
      <c r="B3366" s="1" t="str">
        <f>"CK2024102363"</f>
        <v>CK2024102363</v>
      </c>
      <c r="C3366" s="1" t="str">
        <f>"DD2024102317207"</f>
        <v>DD2024102317207</v>
      </c>
      <c r="D3366" s="1" t="str">
        <f>"CK2024102322368"</f>
        <v>CK2024102322368</v>
      </c>
      <c r="E3366" s="1" t="str">
        <f>"6935375390584673453"</f>
        <v>6935375390584673453</v>
      </c>
      <c r="F3366" s="1" t="str">
        <f t="shared" si="1106"/>
        <v>花都四部-凤凰仓</v>
      </c>
      <c r="G3366" s="1" t="str">
        <f t="shared" si="1118"/>
        <v>卡卡杜个人护理店（抖店）</v>
      </c>
      <c r="H3366" s="1" t="str">
        <f t="shared" si="1107"/>
        <v>正常订单</v>
      </c>
      <c r="I3366" s="1" t="str">
        <f t="shared" si="1108"/>
        <v>已发货</v>
      </c>
      <c r="J3366" s="1" t="str">
        <f t="shared" si="1117"/>
        <v>3</v>
      </c>
      <c r="K3366" s="1">
        <v>2</v>
      </c>
      <c r="L3366" s="1" t="s">
        <v>47</v>
      </c>
      <c r="M3366" s="1" t="str">
        <f>"重庆 重庆市 彭水苗族土家族自治县 靛水街道"</f>
        <v>重庆 重庆市 彭水苗族土家族自治县 靛水街道</v>
      </c>
      <c r="N3366" s="1" t="str">
        <f t="shared" si="1119"/>
        <v>凡华云仓-城南圆通-抖音</v>
      </c>
      <c r="O3366" s="5" t="s">
        <v>3399</v>
      </c>
      <c r="P3366" s="6">
        <v>0.35</v>
      </c>
      <c r="Q3366" s="11">
        <v>2.2999999999999998</v>
      </c>
      <c r="R3366" s="11"/>
      <c r="S3366" s="11"/>
      <c r="T3366" s="11"/>
      <c r="U3366" s="11">
        <f t="shared" si="1104"/>
        <v>2.2999999999999998</v>
      </c>
      <c r="W3366">
        <v>2.5</v>
      </c>
      <c r="X3366" s="1" t="s">
        <v>47</v>
      </c>
    </row>
    <row r="3367" spans="1:24" x14ac:dyDescent="0.25">
      <c r="A3367" s="1" t="str">
        <f t="shared" si="1105"/>
        <v>卡卡杜-凤凰仓</v>
      </c>
      <c r="B3367" s="1" t="str">
        <f>"CK2024102307"</f>
        <v>CK2024102307</v>
      </c>
      <c r="C3367" s="1" t="str">
        <f>"DD2024102317138"</f>
        <v>DD2024102317138</v>
      </c>
      <c r="D3367" s="1" t="str">
        <f>"CK2024102322367"</f>
        <v>CK2024102322367</v>
      </c>
      <c r="E3367" s="1" t="str">
        <f>"6935375356329399689"</f>
        <v>6935375356329399689</v>
      </c>
      <c r="F3367" s="1" t="str">
        <f t="shared" si="1106"/>
        <v>花都四部-凤凰仓</v>
      </c>
      <c r="G3367" s="1" t="str">
        <f t="shared" si="1118"/>
        <v>卡卡杜个人护理店（抖店）</v>
      </c>
      <c r="H3367" s="1" t="str">
        <f t="shared" si="1107"/>
        <v>正常订单</v>
      </c>
      <c r="I3367" s="1" t="str">
        <f t="shared" si="1108"/>
        <v>已发货</v>
      </c>
      <c r="J3367" s="1" t="str">
        <f t="shared" si="1117"/>
        <v>3</v>
      </c>
      <c r="K3367" s="1">
        <v>2</v>
      </c>
      <c r="L3367" s="1" t="s">
        <v>36</v>
      </c>
      <c r="M3367" s="1" t="str">
        <f>"安徽省 淮南市 寿县 寿春镇"</f>
        <v>安徽省 淮南市 寿县 寿春镇</v>
      </c>
      <c r="N3367" s="1" t="str">
        <f t="shared" si="1119"/>
        <v>凡华云仓-城南圆通-抖音</v>
      </c>
      <c r="O3367" s="5" t="s">
        <v>3400</v>
      </c>
      <c r="P3367" s="6">
        <v>0.35</v>
      </c>
      <c r="Q3367" s="11">
        <v>2.2999999999999998</v>
      </c>
      <c r="R3367" s="11"/>
      <c r="S3367" s="11"/>
      <c r="T3367" s="11"/>
      <c r="U3367" s="11">
        <f t="shared" si="1104"/>
        <v>2.2999999999999998</v>
      </c>
      <c r="W3367">
        <v>2.5</v>
      </c>
      <c r="X3367" s="1" t="s">
        <v>36</v>
      </c>
    </row>
    <row r="3368" spans="1:24" x14ac:dyDescent="0.25">
      <c r="A3368" s="1" t="str">
        <f t="shared" si="1105"/>
        <v>卡卡杜-凤凰仓</v>
      </c>
      <c r="B3368" s="1" t="str">
        <f>"CK2024102358"</f>
        <v>CK2024102358</v>
      </c>
      <c r="C3368" s="1" t="str">
        <f>"DD2024102317203"</f>
        <v>DD2024102317203</v>
      </c>
      <c r="D3368" s="1" t="str">
        <f>"CK2024102322366"</f>
        <v>CK2024102322366</v>
      </c>
      <c r="E3368" s="1" t="str">
        <f>"6935363303322556081"</f>
        <v>6935363303322556081</v>
      </c>
      <c r="F3368" s="1" t="str">
        <f t="shared" si="1106"/>
        <v>花都四部-凤凰仓</v>
      </c>
      <c r="G3368" s="1" t="str">
        <f t="shared" si="1118"/>
        <v>卡卡杜个人护理店（抖店）</v>
      </c>
      <c r="H3368" s="1" t="str">
        <f t="shared" si="1107"/>
        <v>正常订单</v>
      </c>
      <c r="I3368" s="1" t="str">
        <f t="shared" si="1108"/>
        <v>已发货</v>
      </c>
      <c r="J3368" s="1" t="str">
        <f t="shared" si="1117"/>
        <v>3</v>
      </c>
      <c r="K3368" s="1">
        <v>2</v>
      </c>
      <c r="L3368" s="1" t="s">
        <v>66</v>
      </c>
      <c r="M3368" s="1" t="str">
        <f>"内蒙古自治区 呼和浩特市 新城区 东风路街道"</f>
        <v>内蒙古自治区 呼和浩特市 新城区 东风路街道</v>
      </c>
      <c r="N3368" s="1" t="str">
        <f t="shared" si="1119"/>
        <v>凡华云仓-城南圆通-抖音</v>
      </c>
      <c r="O3368" s="5" t="s">
        <v>3401</v>
      </c>
      <c r="P3368" s="6">
        <v>0.35</v>
      </c>
      <c r="Q3368" s="11">
        <v>2.2999999999999998</v>
      </c>
      <c r="R3368" s="11"/>
      <c r="S3368" s="11"/>
      <c r="T3368" s="11"/>
      <c r="U3368" s="11">
        <f t="shared" si="1104"/>
        <v>2.2999999999999998</v>
      </c>
      <c r="W3368">
        <v>2.5</v>
      </c>
      <c r="X3368" s="1" t="s">
        <v>66</v>
      </c>
    </row>
    <row r="3369" spans="1:24" x14ac:dyDescent="0.25">
      <c r="A3369" s="1" t="str">
        <f t="shared" si="1105"/>
        <v>卡卡杜-凤凰仓</v>
      </c>
      <c r="B3369" s="1" t="str">
        <f>"CK20241023142"</f>
        <v>CK20241023142</v>
      </c>
      <c r="C3369" s="1" t="str">
        <f>"DD2024102317302"</f>
        <v>DD2024102317302</v>
      </c>
      <c r="D3369" s="1" t="str">
        <f>"CK2024102322365"</f>
        <v>CK2024102322365</v>
      </c>
      <c r="E3369" s="1" t="str">
        <f>"6935349938392274652"</f>
        <v>6935349938392274652</v>
      </c>
      <c r="F3369" s="1" t="str">
        <f t="shared" si="1106"/>
        <v>花都四部-凤凰仓</v>
      </c>
      <c r="G3369" s="1" t="str">
        <f t="shared" si="1118"/>
        <v>卡卡杜个人护理店（抖店）</v>
      </c>
      <c r="H3369" s="1" t="str">
        <f t="shared" si="1107"/>
        <v>正常订单</v>
      </c>
      <c r="I3369" s="1" t="str">
        <f t="shared" si="1108"/>
        <v>已发货</v>
      </c>
      <c r="J3369" s="1" t="str">
        <f t="shared" si="1117"/>
        <v>3</v>
      </c>
      <c r="K3369" s="1">
        <v>3</v>
      </c>
      <c r="L3369" s="1" t="s">
        <v>18</v>
      </c>
      <c r="M3369" s="1" t="str">
        <f>"广东省 深圳市 龙华区 民治街道"</f>
        <v>广东省 深圳市 龙华区 民治街道</v>
      </c>
      <c r="N3369" s="1" t="str">
        <f t="shared" si="1119"/>
        <v>凡华云仓-城南圆通-抖音</v>
      </c>
      <c r="O3369" s="5" t="s">
        <v>3402</v>
      </c>
      <c r="P3369" s="6">
        <v>0.34</v>
      </c>
      <c r="Q3369" s="11">
        <v>2.2999999999999998</v>
      </c>
      <c r="R3369" s="11"/>
      <c r="S3369" s="11"/>
      <c r="T3369" s="11"/>
      <c r="U3369" s="11">
        <f t="shared" si="1104"/>
        <v>2.2999999999999998</v>
      </c>
      <c r="W3369">
        <v>2.5</v>
      </c>
      <c r="X3369" s="1" t="s">
        <v>18</v>
      </c>
    </row>
    <row r="3370" spans="1:24" x14ac:dyDescent="0.25">
      <c r="A3370" s="1" t="str">
        <f t="shared" si="1105"/>
        <v>卡卡杜-凤凰仓</v>
      </c>
      <c r="B3370" s="1" t="str">
        <f>"CK2024102353"</f>
        <v>CK2024102353</v>
      </c>
      <c r="C3370" s="1" t="str">
        <f>"DD2024102317197"</f>
        <v>DD2024102317197</v>
      </c>
      <c r="D3370" s="1" t="str">
        <f>"CK2024102322364"</f>
        <v>CK2024102322364</v>
      </c>
      <c r="E3370" s="1" t="str">
        <f>"6935349971721918047"</f>
        <v>6935349971721918047</v>
      </c>
      <c r="F3370" s="1" t="str">
        <f t="shared" si="1106"/>
        <v>花都四部-凤凰仓</v>
      </c>
      <c r="G3370" s="1" t="str">
        <f t="shared" si="1118"/>
        <v>卡卡杜个人护理店（抖店）</v>
      </c>
      <c r="H3370" s="1" t="str">
        <f t="shared" si="1107"/>
        <v>正常订单</v>
      </c>
      <c r="I3370" s="1" t="str">
        <f t="shared" si="1108"/>
        <v>已发货</v>
      </c>
      <c r="J3370" s="1" t="str">
        <f t="shared" si="1117"/>
        <v>3</v>
      </c>
      <c r="K3370" s="1">
        <v>2</v>
      </c>
      <c r="L3370" s="1" t="s">
        <v>18</v>
      </c>
      <c r="M3370" s="1" t="str">
        <f>"广东省 中山市 中山市 沙溪镇"</f>
        <v>广东省 中山市 中山市 沙溪镇</v>
      </c>
      <c r="N3370" s="1" t="str">
        <f t="shared" si="1119"/>
        <v>凡华云仓-城南圆通-抖音</v>
      </c>
      <c r="O3370" s="5" t="s">
        <v>3403</v>
      </c>
      <c r="P3370" s="6">
        <v>0.35</v>
      </c>
      <c r="Q3370" s="11">
        <v>2.2999999999999998</v>
      </c>
      <c r="R3370" s="11"/>
      <c r="S3370" s="11"/>
      <c r="T3370" s="11"/>
      <c r="U3370" s="11">
        <f t="shared" si="1104"/>
        <v>2.2999999999999998</v>
      </c>
      <c r="W3370">
        <v>2.5</v>
      </c>
      <c r="X3370" s="1" t="s">
        <v>18</v>
      </c>
    </row>
    <row r="3371" spans="1:24" x14ac:dyDescent="0.25">
      <c r="A3371" s="1" t="str">
        <f t="shared" si="1105"/>
        <v>卡卡杜-凤凰仓</v>
      </c>
      <c r="B3371" s="1" t="str">
        <f>"CK2024102345"</f>
        <v>CK2024102345</v>
      </c>
      <c r="C3371" s="1" t="str">
        <f>"DD2024102317189"</f>
        <v>DD2024102317189</v>
      </c>
      <c r="D3371" s="1" t="str">
        <f>"CK2024102322363"</f>
        <v>CK2024102322363</v>
      </c>
      <c r="E3371" s="1" t="str">
        <f>"6935341511649662150"</f>
        <v>6935341511649662150</v>
      </c>
      <c r="F3371" s="1" t="str">
        <f t="shared" si="1106"/>
        <v>花都四部-凤凰仓</v>
      </c>
      <c r="G3371" s="1" t="str">
        <f t="shared" si="1118"/>
        <v>卡卡杜个人护理店（抖店）</v>
      </c>
      <c r="H3371" s="1" t="str">
        <f t="shared" si="1107"/>
        <v>正常订单</v>
      </c>
      <c r="I3371" s="1" t="str">
        <f t="shared" si="1108"/>
        <v>已发货</v>
      </c>
      <c r="J3371" s="1" t="str">
        <f t="shared" si="1117"/>
        <v>3</v>
      </c>
      <c r="K3371" s="1">
        <v>2</v>
      </c>
      <c r="L3371" s="1" t="s">
        <v>36</v>
      </c>
      <c r="M3371" s="1" t="str">
        <f>"安徽省 黄山市 休宁县 海阳镇"</f>
        <v>安徽省 黄山市 休宁县 海阳镇</v>
      </c>
      <c r="N3371" s="1" t="str">
        <f t="shared" si="1119"/>
        <v>凡华云仓-城南圆通-抖音</v>
      </c>
      <c r="O3371" s="5" t="s">
        <v>3404</v>
      </c>
      <c r="P3371" s="6">
        <v>0.35</v>
      </c>
      <c r="Q3371" s="11">
        <v>2.2999999999999998</v>
      </c>
      <c r="R3371" s="11"/>
      <c r="S3371" s="11"/>
      <c r="T3371" s="11"/>
      <c r="U3371" s="11">
        <f t="shared" si="1104"/>
        <v>2.2999999999999998</v>
      </c>
      <c r="W3371">
        <v>2.5</v>
      </c>
      <c r="X3371" s="1" t="s">
        <v>36</v>
      </c>
    </row>
    <row r="3372" spans="1:24" x14ac:dyDescent="0.25">
      <c r="A3372" s="1" t="str">
        <f t="shared" si="1105"/>
        <v>卡卡杜-凤凰仓</v>
      </c>
      <c r="B3372" s="1" t="str">
        <f>"CK2024102316"</f>
        <v>CK2024102316</v>
      </c>
      <c r="C3372" s="1" t="str">
        <f>"DD2024102317148"</f>
        <v>DD2024102317148</v>
      </c>
      <c r="D3372" s="1" t="str">
        <f>"CK2024102322362"</f>
        <v>CK2024102322362</v>
      </c>
      <c r="E3372" s="1" t="str">
        <f>"6935343578927077126"</f>
        <v>6935343578927077126</v>
      </c>
      <c r="F3372" s="1" t="str">
        <f t="shared" si="1106"/>
        <v>花都四部-凤凰仓</v>
      </c>
      <c r="G3372" s="1" t="str">
        <f t="shared" si="1118"/>
        <v>卡卡杜个人护理店（抖店）</v>
      </c>
      <c r="H3372" s="1" t="str">
        <f t="shared" si="1107"/>
        <v>正常订单</v>
      </c>
      <c r="I3372" s="1" t="str">
        <f t="shared" si="1108"/>
        <v>已发货</v>
      </c>
      <c r="J3372" s="1" t="str">
        <f t="shared" si="1117"/>
        <v>3</v>
      </c>
      <c r="K3372" s="1">
        <v>2</v>
      </c>
      <c r="L3372" s="1" t="s">
        <v>80</v>
      </c>
      <c r="M3372" s="1" t="str">
        <f>"河南省 郑州市 管城回族区 航海东路街道"</f>
        <v>河南省 郑州市 管城回族区 航海东路街道</v>
      </c>
      <c r="N3372" s="1" t="str">
        <f t="shared" si="1119"/>
        <v>凡华云仓-城南圆通-抖音</v>
      </c>
      <c r="O3372" s="5" t="s">
        <v>3405</v>
      </c>
      <c r="P3372" s="6">
        <v>0.35</v>
      </c>
      <c r="Q3372" s="11">
        <v>2.2999999999999998</v>
      </c>
      <c r="R3372" s="11"/>
      <c r="S3372" s="11"/>
      <c r="T3372" s="11"/>
      <c r="U3372" s="11">
        <f t="shared" si="1104"/>
        <v>2.2999999999999998</v>
      </c>
      <c r="W3372">
        <v>2.5</v>
      </c>
      <c r="X3372" s="1" t="s">
        <v>80</v>
      </c>
    </row>
    <row r="3373" spans="1:24" x14ac:dyDescent="0.25">
      <c r="A3373" s="1" t="str">
        <f t="shared" si="1105"/>
        <v>卡卡杜-凤凰仓</v>
      </c>
      <c r="B3373" s="1" t="str">
        <f>"CK2024102313"</f>
        <v>CK2024102313</v>
      </c>
      <c r="C3373" s="1" t="str">
        <f>"DD2024102317146"</f>
        <v>DD2024102317146</v>
      </c>
      <c r="D3373" s="1" t="str">
        <f>"CK2024102322361"</f>
        <v>CK2024102322361</v>
      </c>
      <c r="E3373" s="1" t="str">
        <f>"6935362975767729361"</f>
        <v>6935362975767729361</v>
      </c>
      <c r="F3373" s="1" t="str">
        <f t="shared" si="1106"/>
        <v>花都四部-凤凰仓</v>
      </c>
      <c r="G3373" s="1" t="str">
        <f t="shared" si="1118"/>
        <v>卡卡杜个人护理店（抖店）</v>
      </c>
      <c r="H3373" s="1" t="str">
        <f t="shared" si="1107"/>
        <v>正常订单</v>
      </c>
      <c r="I3373" s="1" t="str">
        <f t="shared" si="1108"/>
        <v>已发货</v>
      </c>
      <c r="J3373" s="1" t="str">
        <f t="shared" si="1117"/>
        <v>3</v>
      </c>
      <c r="K3373" s="1">
        <v>2</v>
      </c>
      <c r="L3373" s="1" t="s">
        <v>80</v>
      </c>
      <c r="M3373" s="1" t="str">
        <f>"河南省 漯河市 源汇区 干河陈街道"</f>
        <v>河南省 漯河市 源汇区 干河陈街道</v>
      </c>
      <c r="N3373" s="1" t="str">
        <f t="shared" si="1119"/>
        <v>凡华云仓-城南圆通-抖音</v>
      </c>
      <c r="O3373" s="5" t="s">
        <v>3406</v>
      </c>
      <c r="P3373" s="6">
        <v>0.35</v>
      </c>
      <c r="Q3373" s="11">
        <v>2.2999999999999998</v>
      </c>
      <c r="R3373" s="11"/>
      <c r="S3373" s="11"/>
      <c r="T3373" s="11"/>
      <c r="U3373" s="11">
        <f t="shared" si="1104"/>
        <v>2.2999999999999998</v>
      </c>
      <c r="W3373">
        <v>2.5</v>
      </c>
      <c r="X3373" s="1" t="s">
        <v>80</v>
      </c>
    </row>
    <row r="3374" spans="1:24" x14ac:dyDescent="0.25">
      <c r="A3374" s="1" t="str">
        <f t="shared" si="1105"/>
        <v>卡卡杜-凤凰仓</v>
      </c>
      <c r="B3374" s="1" t="str">
        <f>"CK2024102314"</f>
        <v>CK2024102314</v>
      </c>
      <c r="C3374" s="1" t="str">
        <f>"DD2024102317147"</f>
        <v>DD2024102317147</v>
      </c>
      <c r="D3374" s="1" t="str">
        <f>"CK2024102322360"</f>
        <v>CK2024102322360</v>
      </c>
      <c r="E3374" s="1" t="str">
        <f>"6935363005822539657"</f>
        <v>6935363005822539657</v>
      </c>
      <c r="F3374" s="1" t="str">
        <f t="shared" si="1106"/>
        <v>花都四部-凤凰仓</v>
      </c>
      <c r="G3374" s="1" t="str">
        <f t="shared" si="1118"/>
        <v>卡卡杜个人护理店（抖店）</v>
      </c>
      <c r="H3374" s="1" t="str">
        <f t="shared" si="1107"/>
        <v>正常订单</v>
      </c>
      <c r="I3374" s="1" t="str">
        <f t="shared" si="1108"/>
        <v>已发货</v>
      </c>
      <c r="J3374" s="1" t="str">
        <f t="shared" si="1117"/>
        <v>3</v>
      </c>
      <c r="K3374" s="1">
        <v>2</v>
      </c>
      <c r="L3374" s="1" t="s">
        <v>27</v>
      </c>
      <c r="M3374" s="1" t="str">
        <f>"贵州省 黔南布依族苗族自治州 龙里县 谷脚镇"</f>
        <v>贵州省 黔南布依族苗族自治州 龙里县 谷脚镇</v>
      </c>
      <c r="N3374" s="1" t="str">
        <f t="shared" si="1119"/>
        <v>凡华云仓-城南圆通-抖音</v>
      </c>
      <c r="O3374" s="5" t="s">
        <v>3407</v>
      </c>
      <c r="P3374" s="6">
        <v>0.35</v>
      </c>
      <c r="Q3374" s="11">
        <v>2.2999999999999998</v>
      </c>
      <c r="R3374" s="11"/>
      <c r="S3374" s="11"/>
      <c r="T3374" s="11"/>
      <c r="U3374" s="11">
        <f t="shared" si="1104"/>
        <v>2.2999999999999998</v>
      </c>
      <c r="W3374">
        <v>2.5</v>
      </c>
      <c r="X3374" s="1" t="s">
        <v>27</v>
      </c>
    </row>
    <row r="3375" spans="1:24" x14ac:dyDescent="0.25">
      <c r="A3375" s="1" t="str">
        <f t="shared" si="1105"/>
        <v>卡卡杜-凤凰仓</v>
      </c>
      <c r="B3375" s="1" t="str">
        <f>"CK2024102317"</f>
        <v>CK2024102317</v>
      </c>
      <c r="C3375" s="1" t="str">
        <f>"DD2024102317151"</f>
        <v>DD2024102317151</v>
      </c>
      <c r="D3375" s="1" t="str">
        <f>"CK2024102322359"</f>
        <v>CK2024102322359</v>
      </c>
      <c r="E3375" s="1" t="str">
        <f>"6935349850807080231"</f>
        <v>6935349850807080231</v>
      </c>
      <c r="F3375" s="1" t="str">
        <f t="shared" si="1106"/>
        <v>花都四部-凤凰仓</v>
      </c>
      <c r="G3375" s="1" t="str">
        <f t="shared" si="1118"/>
        <v>卡卡杜个人护理店（抖店）</v>
      </c>
      <c r="H3375" s="1" t="str">
        <f t="shared" si="1107"/>
        <v>正常订单</v>
      </c>
      <c r="I3375" s="1" t="str">
        <f t="shared" si="1108"/>
        <v>已发货</v>
      </c>
      <c r="J3375" s="1" t="str">
        <f t="shared" si="1117"/>
        <v>3</v>
      </c>
      <c r="K3375" s="1">
        <v>2</v>
      </c>
      <c r="L3375" s="1" t="s">
        <v>41</v>
      </c>
      <c r="M3375" s="1" t="str">
        <f>"湖北省 宜昌市 伍家岗区 "</f>
        <v xml:space="preserve">湖北省 宜昌市 伍家岗区 </v>
      </c>
      <c r="N3375" s="1" t="str">
        <f t="shared" si="1119"/>
        <v>凡华云仓-城南圆通-抖音</v>
      </c>
      <c r="O3375" s="5" t="s">
        <v>3408</v>
      </c>
      <c r="P3375" s="6">
        <v>0.35</v>
      </c>
      <c r="Q3375" s="11">
        <v>2.2999999999999998</v>
      </c>
      <c r="R3375" s="11"/>
      <c r="S3375" s="11"/>
      <c r="T3375" s="11"/>
      <c r="U3375" s="11">
        <f t="shared" si="1104"/>
        <v>2.2999999999999998</v>
      </c>
      <c r="W3375">
        <v>2.5</v>
      </c>
      <c r="X3375" s="1" t="s">
        <v>41</v>
      </c>
    </row>
    <row r="3376" spans="1:24" x14ac:dyDescent="0.25">
      <c r="A3376" s="1" t="str">
        <f t="shared" si="1105"/>
        <v>卡卡杜-凤凰仓</v>
      </c>
      <c r="B3376" s="1" t="str">
        <f>"CK2024102312"</f>
        <v>CK2024102312</v>
      </c>
      <c r="C3376" s="1" t="str">
        <f>"DD2024102317136"</f>
        <v>DD2024102317136</v>
      </c>
      <c r="D3376" s="1" t="str">
        <f>"CK2024102322358"</f>
        <v>CK2024102322358</v>
      </c>
      <c r="E3376" s="1" t="str">
        <f>"6935345312149346092"</f>
        <v>6935345312149346092</v>
      </c>
      <c r="F3376" s="1" t="str">
        <f t="shared" si="1106"/>
        <v>花都四部-凤凰仓</v>
      </c>
      <c r="G3376" s="1" t="str">
        <f t="shared" si="1118"/>
        <v>卡卡杜个人护理店（抖店）</v>
      </c>
      <c r="H3376" s="1" t="str">
        <f t="shared" si="1107"/>
        <v>正常订单</v>
      </c>
      <c r="I3376" s="1" t="str">
        <f t="shared" si="1108"/>
        <v>已发货</v>
      </c>
      <c r="J3376" s="1" t="str">
        <f t="shared" si="1117"/>
        <v>3</v>
      </c>
      <c r="K3376" s="1">
        <v>2</v>
      </c>
      <c r="L3376" s="1" t="s">
        <v>18</v>
      </c>
      <c r="M3376" s="1" t="str">
        <f>"广东省 深圳市 罗湖区 翠竹街道"</f>
        <v>广东省 深圳市 罗湖区 翠竹街道</v>
      </c>
      <c r="N3376" s="1" t="str">
        <f t="shared" si="1119"/>
        <v>凡华云仓-城南圆通-抖音</v>
      </c>
      <c r="O3376" s="5" t="s">
        <v>3409</v>
      </c>
      <c r="P3376" s="6">
        <v>0.35</v>
      </c>
      <c r="Q3376" s="11">
        <v>2.2999999999999998</v>
      </c>
      <c r="R3376" s="11"/>
      <c r="S3376" s="11"/>
      <c r="T3376" s="11"/>
      <c r="U3376" s="11">
        <f t="shared" si="1104"/>
        <v>2.2999999999999998</v>
      </c>
      <c r="W3376">
        <v>2.5</v>
      </c>
      <c r="X3376" s="1" t="s">
        <v>18</v>
      </c>
    </row>
    <row r="3377" spans="1:24" x14ac:dyDescent="0.25">
      <c r="A3377" s="1" t="str">
        <f t="shared" si="1105"/>
        <v>卡卡杜-凤凰仓</v>
      </c>
      <c r="B3377" s="1" t="str">
        <f>"CK2024102305"</f>
        <v>CK2024102305</v>
      </c>
      <c r="C3377" s="1" t="str">
        <f>"DD2024102317124"</f>
        <v>DD2024102317124</v>
      </c>
      <c r="D3377" s="1" t="str">
        <f>"CK2024102322357"</f>
        <v>CK2024102322357</v>
      </c>
      <c r="E3377" s="1" t="str">
        <f>"6935367757859591410"</f>
        <v>6935367757859591410</v>
      </c>
      <c r="F3377" s="1" t="str">
        <f t="shared" si="1106"/>
        <v>花都四部-凤凰仓</v>
      </c>
      <c r="G3377" s="1" t="str">
        <f t="shared" si="1118"/>
        <v>卡卡杜个人护理店（抖店）</v>
      </c>
      <c r="H3377" s="1" t="str">
        <f t="shared" si="1107"/>
        <v>正常订单</v>
      </c>
      <c r="I3377" s="1" t="str">
        <f t="shared" si="1108"/>
        <v>已发货</v>
      </c>
      <c r="J3377" s="1" t="str">
        <f t="shared" si="1117"/>
        <v>3</v>
      </c>
      <c r="K3377" s="1">
        <v>2</v>
      </c>
      <c r="L3377" s="1" t="s">
        <v>24</v>
      </c>
      <c r="M3377" s="1" t="str">
        <f>"福建省 漳州市 漳浦县 "</f>
        <v xml:space="preserve">福建省 漳州市 漳浦县 </v>
      </c>
      <c r="N3377" s="1" t="str">
        <f t="shared" si="1119"/>
        <v>凡华云仓-城南圆通-抖音</v>
      </c>
      <c r="O3377" s="5" t="s">
        <v>3410</v>
      </c>
      <c r="P3377" s="6">
        <v>0.35</v>
      </c>
      <c r="Q3377" s="11">
        <v>2.2999999999999998</v>
      </c>
      <c r="R3377" s="11"/>
      <c r="S3377" s="11"/>
      <c r="T3377" s="11"/>
      <c r="U3377" s="11">
        <f t="shared" si="1104"/>
        <v>2.2999999999999998</v>
      </c>
      <c r="W3377">
        <v>2.5</v>
      </c>
      <c r="X3377" s="1" t="s">
        <v>24</v>
      </c>
    </row>
    <row r="3378" spans="1:24" x14ac:dyDescent="0.25">
      <c r="A3378" s="1" t="str">
        <f t="shared" si="1105"/>
        <v>卡卡杜-凤凰仓</v>
      </c>
      <c r="B3378" s="1" t="str">
        <f>"CK2024102303"</f>
        <v>CK2024102303</v>
      </c>
      <c r="C3378" s="1" t="str">
        <f>"DD2024102317126"</f>
        <v>DD2024102317126</v>
      </c>
      <c r="D3378" s="1" t="str">
        <f>"CK2024102322356"</f>
        <v>CK2024102322356</v>
      </c>
      <c r="E3378" s="1" t="str">
        <f>"6935367742471935672"</f>
        <v>6935367742471935672</v>
      </c>
      <c r="F3378" s="1" t="str">
        <f t="shared" si="1106"/>
        <v>花都四部-凤凰仓</v>
      </c>
      <c r="G3378" s="1" t="str">
        <f t="shared" si="1118"/>
        <v>卡卡杜个人护理店（抖店）</v>
      </c>
      <c r="H3378" s="1" t="str">
        <f t="shared" si="1107"/>
        <v>正常订单</v>
      </c>
      <c r="I3378" s="1" t="str">
        <f t="shared" si="1108"/>
        <v>已发货</v>
      </c>
      <c r="J3378" s="1" t="str">
        <f t="shared" si="1117"/>
        <v>3</v>
      </c>
      <c r="K3378" s="1">
        <v>2</v>
      </c>
      <c r="L3378" s="1" t="s">
        <v>20</v>
      </c>
      <c r="M3378" s="1" t="str">
        <f>"浙江省 绍兴市 嵊州市 崇仁镇"</f>
        <v>浙江省 绍兴市 嵊州市 崇仁镇</v>
      </c>
      <c r="N3378" s="1" t="str">
        <f t="shared" si="1119"/>
        <v>凡华云仓-城南圆通-抖音</v>
      </c>
      <c r="O3378" s="5" t="s">
        <v>3411</v>
      </c>
      <c r="P3378" s="6">
        <v>0.35</v>
      </c>
      <c r="Q3378" s="11">
        <v>2.2999999999999998</v>
      </c>
      <c r="R3378" s="11"/>
      <c r="S3378" s="11"/>
      <c r="T3378" s="11"/>
      <c r="U3378" s="11">
        <f t="shared" si="1104"/>
        <v>2.2999999999999998</v>
      </c>
      <c r="W3378">
        <v>2.5</v>
      </c>
      <c r="X3378" s="1" t="s">
        <v>20</v>
      </c>
    </row>
    <row r="3379" spans="1:24" x14ac:dyDescent="0.25">
      <c r="A3379" s="1" t="str">
        <f t="shared" si="1105"/>
        <v>卡卡杜-凤凰仓</v>
      </c>
      <c r="B3379" s="1" t="str">
        <f>"CK2024102308"</f>
        <v>CK2024102308</v>
      </c>
      <c r="C3379" s="1" t="str">
        <f>"DD2024102317135"</f>
        <v>DD2024102317135</v>
      </c>
      <c r="D3379" s="1" t="str">
        <f>"CK2024102322355"</f>
        <v>CK2024102322355</v>
      </c>
      <c r="E3379" s="1" t="str">
        <f>"6935352028383942218"</f>
        <v>6935352028383942218</v>
      </c>
      <c r="F3379" s="1" t="str">
        <f t="shared" si="1106"/>
        <v>花都四部-凤凰仓</v>
      </c>
      <c r="G3379" s="1" t="str">
        <f t="shared" si="1118"/>
        <v>卡卡杜个人护理店（抖店）</v>
      </c>
      <c r="H3379" s="1" t="str">
        <f t="shared" si="1107"/>
        <v>正常订单</v>
      </c>
      <c r="I3379" s="1" t="str">
        <f t="shared" si="1108"/>
        <v>已发货</v>
      </c>
      <c r="J3379" s="1" t="str">
        <f t="shared" si="1117"/>
        <v>3</v>
      </c>
      <c r="K3379" s="1">
        <v>2</v>
      </c>
      <c r="L3379" s="1" t="s">
        <v>16</v>
      </c>
      <c r="M3379" s="1" t="str">
        <f>"河北省 邢台市 宁晋县 唐邱镇"</f>
        <v>河北省 邢台市 宁晋县 唐邱镇</v>
      </c>
      <c r="N3379" s="1" t="str">
        <f t="shared" si="1119"/>
        <v>凡华云仓-城南圆通-抖音</v>
      </c>
      <c r="O3379" s="5" t="s">
        <v>3412</v>
      </c>
      <c r="P3379" s="6">
        <v>0.35</v>
      </c>
      <c r="Q3379" s="11">
        <v>2.2999999999999998</v>
      </c>
      <c r="R3379" s="11"/>
      <c r="S3379" s="11"/>
      <c r="T3379" s="11"/>
      <c r="U3379" s="11">
        <f t="shared" si="1104"/>
        <v>2.2999999999999998</v>
      </c>
      <c r="W3379">
        <v>2.5</v>
      </c>
      <c r="X3379" s="1" t="s">
        <v>16</v>
      </c>
    </row>
    <row r="3380" spans="1:24" x14ac:dyDescent="0.25">
      <c r="A3380" s="1" t="str">
        <f t="shared" si="1105"/>
        <v>卡卡杜-凤凰仓</v>
      </c>
      <c r="B3380" s="1" t="str">
        <f>"CK2024102311"</f>
        <v>CK2024102311</v>
      </c>
      <c r="C3380" s="1" t="str">
        <f>"DD2024102317142"</f>
        <v>DD2024102317142</v>
      </c>
      <c r="D3380" s="1" t="str">
        <f>"CK2024102322354"</f>
        <v>CK2024102322354</v>
      </c>
      <c r="E3380" s="1" t="str">
        <f>"6935356552397591961"</f>
        <v>6935356552397591961</v>
      </c>
      <c r="F3380" s="1" t="str">
        <f t="shared" si="1106"/>
        <v>花都四部-凤凰仓</v>
      </c>
      <c r="G3380" s="1" t="str">
        <f t="shared" si="1118"/>
        <v>卡卡杜个人护理店（抖店）</v>
      </c>
      <c r="H3380" s="1" t="str">
        <f t="shared" si="1107"/>
        <v>正常订单</v>
      </c>
      <c r="I3380" s="1" t="str">
        <f t="shared" si="1108"/>
        <v>已发货</v>
      </c>
      <c r="J3380" s="1" t="str">
        <f t="shared" si="1117"/>
        <v>3</v>
      </c>
      <c r="K3380" s="1">
        <v>2</v>
      </c>
      <c r="L3380" s="1" t="s">
        <v>13</v>
      </c>
      <c r="M3380" s="1" t="str">
        <f>"江苏省 淮安市 淮阴区 王家营街道"</f>
        <v>江苏省 淮安市 淮阴区 王家营街道</v>
      </c>
      <c r="N3380" s="1" t="str">
        <f t="shared" si="1119"/>
        <v>凡华云仓-城南圆通-抖音</v>
      </c>
      <c r="O3380" s="5" t="s">
        <v>3413</v>
      </c>
      <c r="P3380" s="6">
        <v>0.35</v>
      </c>
      <c r="Q3380" s="11">
        <v>2.2999999999999998</v>
      </c>
      <c r="R3380" s="11"/>
      <c r="S3380" s="11"/>
      <c r="T3380" s="11"/>
      <c r="U3380" s="11">
        <f t="shared" si="1104"/>
        <v>2.2999999999999998</v>
      </c>
      <c r="W3380">
        <v>2.5</v>
      </c>
      <c r="X3380" s="1" t="s">
        <v>13</v>
      </c>
    </row>
    <row r="3381" spans="1:24" x14ac:dyDescent="0.25">
      <c r="A3381" s="1" t="str">
        <f t="shared" si="1105"/>
        <v>卡卡杜-凤凰仓</v>
      </c>
      <c r="B3381" s="1" t="str">
        <f>"CK2024102321"</f>
        <v>CK2024102321</v>
      </c>
      <c r="C3381" s="1" t="str">
        <f>"DD2024102317160"</f>
        <v>DD2024102317160</v>
      </c>
      <c r="D3381" s="1" t="str">
        <f>"CK2024102322353"</f>
        <v>CK2024102322353</v>
      </c>
      <c r="E3381" s="1" t="str">
        <f>"6935358744753149177"</f>
        <v>6935358744753149177</v>
      </c>
      <c r="F3381" s="1" t="str">
        <f t="shared" si="1106"/>
        <v>花都四部-凤凰仓</v>
      </c>
      <c r="G3381" s="1" t="str">
        <f t="shared" si="1118"/>
        <v>卡卡杜个人护理店（抖店）</v>
      </c>
      <c r="H3381" s="1" t="str">
        <f t="shared" si="1107"/>
        <v>正常订单</v>
      </c>
      <c r="I3381" s="1" t="str">
        <f t="shared" si="1108"/>
        <v>已发货</v>
      </c>
      <c r="J3381" s="1" t="str">
        <f t="shared" si="1117"/>
        <v>3</v>
      </c>
      <c r="K3381" s="1">
        <v>2</v>
      </c>
      <c r="L3381" s="1" t="s">
        <v>109</v>
      </c>
      <c r="M3381" s="1" t="str">
        <f>"山西省 吕梁市 交口县 双池镇"</f>
        <v>山西省 吕梁市 交口县 双池镇</v>
      </c>
      <c r="N3381" s="1" t="str">
        <f t="shared" si="1119"/>
        <v>凡华云仓-城南圆通-抖音</v>
      </c>
      <c r="O3381" s="5" t="s">
        <v>3414</v>
      </c>
      <c r="P3381" s="6">
        <v>0.35</v>
      </c>
      <c r="Q3381" s="11">
        <v>2.2999999999999998</v>
      </c>
      <c r="R3381" s="11"/>
      <c r="S3381" s="11"/>
      <c r="T3381" s="11"/>
      <c r="U3381" s="11">
        <f t="shared" si="1104"/>
        <v>2.2999999999999998</v>
      </c>
      <c r="W3381">
        <v>2.5</v>
      </c>
      <c r="X3381" s="1" t="s">
        <v>109</v>
      </c>
    </row>
    <row r="3382" spans="1:24" x14ac:dyDescent="0.25">
      <c r="A3382" s="1" t="str">
        <f t="shared" si="1105"/>
        <v>卡卡杜-凤凰仓</v>
      </c>
      <c r="B3382" s="1" t="str">
        <f>"CK2024102322"</f>
        <v>CK2024102322</v>
      </c>
      <c r="C3382" s="1" t="str">
        <f>"DD2024102317161"</f>
        <v>DD2024102317161</v>
      </c>
      <c r="D3382" s="1" t="str">
        <f>"CK2024102322352"</f>
        <v>CK2024102322352</v>
      </c>
      <c r="E3382" s="1" t="str">
        <f>"6935345081244718797"</f>
        <v>6935345081244718797</v>
      </c>
      <c r="F3382" s="1" t="str">
        <f t="shared" si="1106"/>
        <v>花都四部-凤凰仓</v>
      </c>
      <c r="G3382" s="1" t="str">
        <f t="shared" si="1118"/>
        <v>卡卡杜个人护理店（抖店）</v>
      </c>
      <c r="H3382" s="1" t="str">
        <f t="shared" si="1107"/>
        <v>正常订单</v>
      </c>
      <c r="I3382" s="1" t="str">
        <f t="shared" si="1108"/>
        <v>已发货</v>
      </c>
      <c r="J3382" s="1" t="str">
        <f t="shared" si="1117"/>
        <v>3</v>
      </c>
      <c r="K3382" s="1">
        <v>2</v>
      </c>
      <c r="L3382" s="1" t="s">
        <v>109</v>
      </c>
      <c r="M3382" s="1" t="str">
        <f>"山西省 运城市 盐湖区 "</f>
        <v xml:space="preserve">山西省 运城市 盐湖区 </v>
      </c>
      <c r="N3382" s="1" t="str">
        <f t="shared" si="1119"/>
        <v>凡华云仓-城南圆通-抖音</v>
      </c>
      <c r="O3382" s="5" t="s">
        <v>3415</v>
      </c>
      <c r="P3382" s="6">
        <v>0.35</v>
      </c>
      <c r="Q3382" s="11">
        <v>2.2999999999999998</v>
      </c>
      <c r="R3382" s="11"/>
      <c r="S3382" s="11"/>
      <c r="T3382" s="11"/>
      <c r="U3382" s="11">
        <f t="shared" si="1104"/>
        <v>2.2999999999999998</v>
      </c>
      <c r="W3382">
        <v>2.5</v>
      </c>
      <c r="X3382" s="1" t="s">
        <v>109</v>
      </c>
    </row>
    <row r="3383" spans="1:24" x14ac:dyDescent="0.25">
      <c r="A3383" s="1" t="str">
        <f t="shared" si="1105"/>
        <v>卡卡杜-凤凰仓</v>
      </c>
      <c r="B3383" s="1" t="str">
        <f>"CK20241023144"</f>
        <v>CK20241023144</v>
      </c>
      <c r="C3383" s="1" t="str">
        <f>"DD2024102317304"</f>
        <v>DD2024102317304</v>
      </c>
      <c r="D3383" s="1" t="str">
        <f>"CK2024102322351"</f>
        <v>CK2024102322351</v>
      </c>
      <c r="E3383" s="1" t="str">
        <f>"6935347634603693713"</f>
        <v>6935347634603693713</v>
      </c>
      <c r="F3383" s="1" t="str">
        <f t="shared" si="1106"/>
        <v>花都四部-凤凰仓</v>
      </c>
      <c r="G3383" s="1" t="str">
        <f t="shared" si="1118"/>
        <v>卡卡杜个人护理店（抖店）</v>
      </c>
      <c r="H3383" s="1" t="str">
        <f t="shared" si="1107"/>
        <v>正常订单</v>
      </c>
      <c r="I3383" s="1" t="str">
        <f t="shared" si="1108"/>
        <v>已发货</v>
      </c>
      <c r="J3383" s="1" t="str">
        <f t="shared" si="1117"/>
        <v>3</v>
      </c>
      <c r="K3383" s="1">
        <v>3</v>
      </c>
      <c r="L3383" s="1" t="s">
        <v>18</v>
      </c>
      <c r="M3383" s="1" t="str">
        <f>"广东省 惠州市 博罗县 园洲镇"</f>
        <v>广东省 惠州市 博罗县 园洲镇</v>
      </c>
      <c r="N3383" s="1" t="str">
        <f t="shared" si="1119"/>
        <v>凡华云仓-城南圆通-抖音</v>
      </c>
      <c r="O3383" s="5" t="s">
        <v>3416</v>
      </c>
      <c r="P3383" s="6">
        <v>0.34</v>
      </c>
      <c r="Q3383" s="11">
        <v>2.2999999999999998</v>
      </c>
      <c r="R3383" s="11"/>
      <c r="S3383" s="11"/>
      <c r="T3383" s="11"/>
      <c r="U3383" s="11">
        <f t="shared" si="1104"/>
        <v>2.2999999999999998</v>
      </c>
      <c r="W3383">
        <v>2.5</v>
      </c>
      <c r="X3383" s="1" t="s">
        <v>18</v>
      </c>
    </row>
    <row r="3384" spans="1:24" x14ac:dyDescent="0.25">
      <c r="A3384" s="1" t="str">
        <f t="shared" si="1105"/>
        <v>卡卡杜-凤凰仓</v>
      </c>
      <c r="B3384" s="1" t="str">
        <f>"CK20241023161"</f>
        <v>CK20241023161</v>
      </c>
      <c r="C3384" s="1" t="str">
        <f>"DD2024102317322"</f>
        <v>DD2024102317322</v>
      </c>
      <c r="D3384" s="1" t="str">
        <f>"CK2024102322350"</f>
        <v>CK2024102322350</v>
      </c>
      <c r="E3384" s="1" t="str">
        <f>"6935341192615171729"</f>
        <v>6935341192615171729</v>
      </c>
      <c r="F3384" s="1" t="str">
        <f t="shared" si="1106"/>
        <v>花都四部-凤凰仓</v>
      </c>
      <c r="G3384" s="1" t="str">
        <f t="shared" si="1118"/>
        <v>卡卡杜个人护理店（抖店）</v>
      </c>
      <c r="H3384" s="1" t="str">
        <f t="shared" si="1107"/>
        <v>正常订单</v>
      </c>
      <c r="I3384" s="1" t="str">
        <f t="shared" si="1108"/>
        <v>已发货</v>
      </c>
      <c r="J3384" s="1" t="str">
        <f t="shared" si="1117"/>
        <v>3</v>
      </c>
      <c r="K3384" s="1">
        <v>3</v>
      </c>
      <c r="L3384" s="1" t="s">
        <v>18</v>
      </c>
      <c r="M3384" s="1" t="str">
        <f>"广东省 东莞市 东莞市 万江街道"</f>
        <v>广东省 东莞市 东莞市 万江街道</v>
      </c>
      <c r="N3384" s="1" t="str">
        <f t="shared" si="1119"/>
        <v>凡华云仓-城南圆通-抖音</v>
      </c>
      <c r="O3384" s="5" t="s">
        <v>3417</v>
      </c>
      <c r="P3384" s="6">
        <v>0.34</v>
      </c>
      <c r="Q3384" s="11">
        <v>2.2999999999999998</v>
      </c>
      <c r="R3384" s="11"/>
      <c r="S3384" s="11"/>
      <c r="T3384" s="11"/>
      <c r="U3384" s="11">
        <f t="shared" si="1104"/>
        <v>2.2999999999999998</v>
      </c>
      <c r="W3384">
        <v>2.5</v>
      </c>
      <c r="X3384" s="1" t="s">
        <v>18</v>
      </c>
    </row>
    <row r="3385" spans="1:24" x14ac:dyDescent="0.25">
      <c r="A3385" s="1" t="str">
        <f t="shared" si="1105"/>
        <v>卡卡杜-凤凰仓</v>
      </c>
      <c r="B3385" s="1" t="str">
        <f>"CK2024102339"</f>
        <v>CK2024102339</v>
      </c>
      <c r="C3385" s="1" t="str">
        <f>"DD2024102317183"</f>
        <v>DD2024102317183</v>
      </c>
      <c r="D3385" s="1" t="str">
        <f>"CK2024102322349"</f>
        <v>CK2024102322349</v>
      </c>
      <c r="E3385" s="1" t="str">
        <f>"6935329744839185966"</f>
        <v>6935329744839185966</v>
      </c>
      <c r="F3385" s="1" t="str">
        <f t="shared" si="1106"/>
        <v>花都四部-凤凰仓</v>
      </c>
      <c r="G3385" s="1" t="str">
        <f t="shared" si="1118"/>
        <v>卡卡杜个人护理店（抖店）</v>
      </c>
      <c r="H3385" s="1" t="str">
        <f t="shared" si="1107"/>
        <v>正常订单</v>
      </c>
      <c r="I3385" s="1" t="str">
        <f t="shared" si="1108"/>
        <v>已发货</v>
      </c>
      <c r="J3385" s="1" t="str">
        <f t="shared" si="1117"/>
        <v>3</v>
      </c>
      <c r="K3385" s="1">
        <v>2</v>
      </c>
      <c r="L3385" s="1" t="s">
        <v>20</v>
      </c>
      <c r="M3385" s="1" t="str">
        <f>"浙江省 丽水市 松阳县 西屏街道"</f>
        <v>浙江省 丽水市 松阳县 西屏街道</v>
      </c>
      <c r="N3385" s="1" t="str">
        <f t="shared" si="1119"/>
        <v>凡华云仓-城南圆通-抖音</v>
      </c>
      <c r="O3385" s="5" t="s">
        <v>3418</v>
      </c>
      <c r="P3385" s="6">
        <v>0.35</v>
      </c>
      <c r="Q3385" s="11">
        <v>2.2999999999999998</v>
      </c>
      <c r="R3385" s="11"/>
      <c r="S3385" s="11"/>
      <c r="T3385" s="11"/>
      <c r="U3385" s="11">
        <f t="shared" si="1104"/>
        <v>2.2999999999999998</v>
      </c>
      <c r="W3385">
        <v>2.5</v>
      </c>
      <c r="X3385" s="1" t="s">
        <v>20</v>
      </c>
    </row>
    <row r="3386" spans="1:24" x14ac:dyDescent="0.25">
      <c r="A3386" s="1" t="str">
        <f t="shared" si="1105"/>
        <v>卡卡杜-凤凰仓</v>
      </c>
      <c r="B3386" s="1" t="str">
        <f>"CK20241023149"</f>
        <v>CK20241023149</v>
      </c>
      <c r="C3386" s="1" t="str">
        <f>"DD2024102317310"</f>
        <v>DD2024102317310</v>
      </c>
      <c r="D3386" s="1" t="str">
        <f>"CK2024102322348"</f>
        <v>CK2024102322348</v>
      </c>
      <c r="E3386" s="1" t="str">
        <f>"6935345133914035975"</f>
        <v>6935345133914035975</v>
      </c>
      <c r="F3386" s="1" t="str">
        <f t="shared" si="1106"/>
        <v>花都四部-凤凰仓</v>
      </c>
      <c r="G3386" s="1" t="str">
        <f t="shared" si="1118"/>
        <v>卡卡杜个人护理店（抖店）</v>
      </c>
      <c r="H3386" s="1" t="str">
        <f t="shared" si="1107"/>
        <v>正常订单</v>
      </c>
      <c r="I3386" s="1" t="str">
        <f t="shared" si="1108"/>
        <v>已发货</v>
      </c>
      <c r="J3386" s="1" t="str">
        <f t="shared" si="1117"/>
        <v>3</v>
      </c>
      <c r="K3386" s="1">
        <v>3</v>
      </c>
      <c r="L3386" s="1" t="s">
        <v>94</v>
      </c>
      <c r="M3386" s="1" t="str">
        <f>"湖南省 长沙市 开福区 秀峰街道"</f>
        <v>湖南省 长沙市 开福区 秀峰街道</v>
      </c>
      <c r="N3386" s="1" t="str">
        <f t="shared" si="1119"/>
        <v>凡华云仓-城南圆通-抖音</v>
      </c>
      <c r="O3386" s="5" t="s">
        <v>3419</v>
      </c>
      <c r="P3386" s="6">
        <v>0.34</v>
      </c>
      <c r="Q3386" s="11">
        <v>2.2999999999999998</v>
      </c>
      <c r="R3386" s="11"/>
      <c r="S3386" s="11"/>
      <c r="T3386" s="11"/>
      <c r="U3386" s="11">
        <f t="shared" si="1104"/>
        <v>2.2999999999999998</v>
      </c>
      <c r="W3386">
        <v>2.5</v>
      </c>
      <c r="X3386" s="1" t="s">
        <v>94</v>
      </c>
    </row>
    <row r="3387" spans="1:24" x14ac:dyDescent="0.25">
      <c r="A3387" s="1" t="str">
        <f t="shared" si="1105"/>
        <v>卡卡杜-凤凰仓</v>
      </c>
      <c r="B3387" s="1" t="str">
        <f>"CK2024102328"</f>
        <v>CK2024102328</v>
      </c>
      <c r="C3387" s="1" t="str">
        <f>"DD2024102317174"</f>
        <v>DD2024102317174</v>
      </c>
      <c r="D3387" s="1" t="str">
        <f>"CK2024102322347"</f>
        <v>CK2024102322347</v>
      </c>
      <c r="E3387" s="1" t="str">
        <f>"6935349454191268878"</f>
        <v>6935349454191268878</v>
      </c>
      <c r="F3387" s="1" t="str">
        <f t="shared" si="1106"/>
        <v>花都四部-凤凰仓</v>
      </c>
      <c r="G3387" s="1" t="str">
        <f t="shared" si="1118"/>
        <v>卡卡杜个人护理店（抖店）</v>
      </c>
      <c r="H3387" s="1" t="str">
        <f t="shared" si="1107"/>
        <v>正常订单</v>
      </c>
      <c r="I3387" s="1" t="str">
        <f t="shared" si="1108"/>
        <v>已发货</v>
      </c>
      <c r="J3387" s="1" t="str">
        <f t="shared" si="1117"/>
        <v>3</v>
      </c>
      <c r="K3387" s="1">
        <v>2</v>
      </c>
      <c r="L3387" s="1" t="s">
        <v>13</v>
      </c>
      <c r="M3387" s="1" t="str">
        <f>"江苏省 徐州市 邳州市 议堂镇"</f>
        <v>江苏省 徐州市 邳州市 议堂镇</v>
      </c>
      <c r="N3387" s="1" t="str">
        <f t="shared" si="1119"/>
        <v>凡华云仓-城南圆通-抖音</v>
      </c>
      <c r="O3387" s="5" t="s">
        <v>3420</v>
      </c>
      <c r="P3387" s="6">
        <v>0.35</v>
      </c>
      <c r="Q3387" s="11">
        <v>2.2999999999999998</v>
      </c>
      <c r="R3387" s="11"/>
      <c r="S3387" s="11"/>
      <c r="T3387" s="11"/>
      <c r="U3387" s="11">
        <f t="shared" si="1104"/>
        <v>2.2999999999999998</v>
      </c>
      <c r="W3387">
        <v>2.5</v>
      </c>
      <c r="X3387" s="1" t="s">
        <v>13</v>
      </c>
    </row>
    <row r="3388" spans="1:24" x14ac:dyDescent="0.25">
      <c r="A3388" s="1" t="str">
        <f t="shared" si="1105"/>
        <v>卡卡杜-凤凰仓</v>
      </c>
      <c r="B3388" s="1" t="str">
        <f>"CK2024102343"</f>
        <v>CK2024102343</v>
      </c>
      <c r="C3388" s="1" t="str">
        <f>"DD2024102317187"</f>
        <v>DD2024102317187</v>
      </c>
      <c r="D3388" s="1" t="str">
        <f>"CK2024102322346"</f>
        <v>CK2024102322346</v>
      </c>
      <c r="E3388" s="1" t="str">
        <f>"6935329587885380821"</f>
        <v>6935329587885380821</v>
      </c>
      <c r="F3388" s="1" t="str">
        <f t="shared" si="1106"/>
        <v>花都四部-凤凰仓</v>
      </c>
      <c r="G3388" s="1" t="str">
        <f t="shared" si="1118"/>
        <v>卡卡杜个人护理店（抖店）</v>
      </c>
      <c r="H3388" s="1" t="str">
        <f t="shared" si="1107"/>
        <v>正常订单</v>
      </c>
      <c r="I3388" s="1" t="str">
        <f t="shared" si="1108"/>
        <v>已发货</v>
      </c>
      <c r="J3388" s="1" t="str">
        <f t="shared" si="1117"/>
        <v>3</v>
      </c>
      <c r="K3388" s="1">
        <v>2</v>
      </c>
      <c r="L3388" s="1" t="s">
        <v>60</v>
      </c>
      <c r="M3388" s="1" t="str">
        <f>"云南省 昭通市 彝良县 海子镇"</f>
        <v>云南省 昭通市 彝良县 海子镇</v>
      </c>
      <c r="N3388" s="1" t="str">
        <f t="shared" si="1119"/>
        <v>凡华云仓-城南圆通-抖音</v>
      </c>
      <c r="O3388" s="5" t="s">
        <v>3421</v>
      </c>
      <c r="P3388" s="6">
        <v>0.35</v>
      </c>
      <c r="Q3388" s="11">
        <v>2.2999999999999998</v>
      </c>
      <c r="R3388" s="11"/>
      <c r="S3388" s="11"/>
      <c r="T3388" s="11"/>
      <c r="U3388" s="11">
        <f t="shared" si="1104"/>
        <v>2.2999999999999998</v>
      </c>
      <c r="W3388">
        <v>2.5</v>
      </c>
      <c r="X3388" s="1" t="s">
        <v>60</v>
      </c>
    </row>
    <row r="3389" spans="1:24" x14ac:dyDescent="0.25">
      <c r="A3389" s="1" t="str">
        <f t="shared" si="1105"/>
        <v>卡卡杜-凤凰仓</v>
      </c>
      <c r="B3389" s="1" t="str">
        <f>"CK2024102344"</f>
        <v>CK2024102344</v>
      </c>
      <c r="C3389" s="1" t="str">
        <f>"DD2024102317188"</f>
        <v>DD2024102317188</v>
      </c>
      <c r="D3389" s="1" t="str">
        <f>"CK2024102322345"</f>
        <v>CK2024102322345</v>
      </c>
      <c r="E3389" s="1" t="str">
        <f>"6935351638195312218"</f>
        <v>6935351638195312218</v>
      </c>
      <c r="F3389" s="1" t="str">
        <f t="shared" si="1106"/>
        <v>花都四部-凤凰仓</v>
      </c>
      <c r="G3389" s="1" t="str">
        <f t="shared" si="1118"/>
        <v>卡卡杜个人护理店（抖店）</v>
      </c>
      <c r="H3389" s="1" t="str">
        <f t="shared" si="1107"/>
        <v>正常订单</v>
      </c>
      <c r="I3389" s="1" t="str">
        <f t="shared" si="1108"/>
        <v>已发货</v>
      </c>
      <c r="J3389" s="1" t="str">
        <f t="shared" si="1117"/>
        <v>3</v>
      </c>
      <c r="K3389" s="1">
        <v>2</v>
      </c>
      <c r="L3389" s="1" t="s">
        <v>41</v>
      </c>
      <c r="M3389" s="1" t="str">
        <f>"湖北省 十堰市 张湾区 车城路街道"</f>
        <v>湖北省 十堰市 张湾区 车城路街道</v>
      </c>
      <c r="N3389" s="1" t="str">
        <f t="shared" si="1119"/>
        <v>凡华云仓-城南圆通-抖音</v>
      </c>
      <c r="O3389" s="5" t="s">
        <v>3422</v>
      </c>
      <c r="P3389" s="6">
        <v>0.35</v>
      </c>
      <c r="Q3389" s="11">
        <v>2.2999999999999998</v>
      </c>
      <c r="R3389" s="11"/>
      <c r="S3389" s="11"/>
      <c r="T3389" s="11"/>
      <c r="U3389" s="11">
        <f t="shared" si="1104"/>
        <v>2.2999999999999998</v>
      </c>
      <c r="W3389">
        <v>2.5</v>
      </c>
      <c r="X3389" s="1" t="s">
        <v>41</v>
      </c>
    </row>
    <row r="3390" spans="1:24" x14ac:dyDescent="0.25">
      <c r="A3390" s="1" t="str">
        <f t="shared" si="1105"/>
        <v>卡卡杜-凤凰仓</v>
      </c>
      <c r="B3390" s="1" t="str">
        <f>"CK2024102325"</f>
        <v>CK2024102325</v>
      </c>
      <c r="C3390" s="1" t="str">
        <f>"DD2024102317164"</f>
        <v>DD2024102317164</v>
      </c>
      <c r="D3390" s="1" t="str">
        <f>"CK2024102322344"</f>
        <v>CK2024102322344</v>
      </c>
      <c r="E3390" s="1" t="str">
        <f>"6935344799049454612"</f>
        <v>6935344799049454612</v>
      </c>
      <c r="F3390" s="1" t="str">
        <f t="shared" si="1106"/>
        <v>花都四部-凤凰仓</v>
      </c>
      <c r="G3390" s="1" t="str">
        <f t="shared" si="1118"/>
        <v>卡卡杜个人护理店（抖店）</v>
      </c>
      <c r="H3390" s="1" t="str">
        <f t="shared" si="1107"/>
        <v>正常订单</v>
      </c>
      <c r="I3390" s="1" t="str">
        <f t="shared" si="1108"/>
        <v>已发货</v>
      </c>
      <c r="J3390" s="1" t="str">
        <f t="shared" si="1117"/>
        <v>3</v>
      </c>
      <c r="K3390" s="1">
        <v>2</v>
      </c>
      <c r="L3390" s="1" t="s">
        <v>36</v>
      </c>
      <c r="M3390" s="1" t="str">
        <f>"安徽省 宣城市 宣州区 鳌峰街道"</f>
        <v>安徽省 宣城市 宣州区 鳌峰街道</v>
      </c>
      <c r="N3390" s="1" t="str">
        <f t="shared" si="1119"/>
        <v>凡华云仓-城南圆通-抖音</v>
      </c>
      <c r="O3390" s="5" t="s">
        <v>3423</v>
      </c>
      <c r="P3390" s="6">
        <v>0.35</v>
      </c>
      <c r="Q3390" s="11">
        <v>2.2999999999999998</v>
      </c>
      <c r="R3390" s="11"/>
      <c r="S3390" s="11"/>
      <c r="T3390" s="11"/>
      <c r="U3390" s="11">
        <f t="shared" si="1104"/>
        <v>2.2999999999999998</v>
      </c>
      <c r="W3390">
        <v>2.5</v>
      </c>
      <c r="X3390" s="1" t="s">
        <v>36</v>
      </c>
    </row>
    <row r="3391" spans="1:24" x14ac:dyDescent="0.25">
      <c r="A3391" s="1" t="str">
        <f t="shared" si="1105"/>
        <v>卡卡杜-凤凰仓</v>
      </c>
      <c r="B3391" s="1" t="str">
        <f>"CK2024102336"</f>
        <v>CK2024102336</v>
      </c>
      <c r="C3391" s="1" t="str">
        <f>"DD2024102317178"</f>
        <v>DD2024102317178</v>
      </c>
      <c r="D3391" s="1" t="str">
        <f>"CK2024102322343"</f>
        <v>CK2024102322343</v>
      </c>
      <c r="E3391" s="1" t="str">
        <f>"6935342987185165807"</f>
        <v>6935342987185165807</v>
      </c>
      <c r="F3391" s="1" t="str">
        <f t="shared" si="1106"/>
        <v>花都四部-凤凰仓</v>
      </c>
      <c r="G3391" s="1" t="str">
        <f t="shared" si="1118"/>
        <v>卡卡杜个人护理店（抖店）</v>
      </c>
      <c r="H3391" s="1" t="str">
        <f t="shared" si="1107"/>
        <v>正常订单</v>
      </c>
      <c r="I3391" s="1" t="str">
        <f t="shared" si="1108"/>
        <v>已发货</v>
      </c>
      <c r="J3391" s="1" t="str">
        <f t="shared" si="1117"/>
        <v>3</v>
      </c>
      <c r="K3391" s="1">
        <v>2</v>
      </c>
      <c r="L3391" s="1" t="s">
        <v>96</v>
      </c>
      <c r="M3391" s="1" t="str">
        <f>"广西壮族自治区 南宁市 西乡塘区 双定镇"</f>
        <v>广西壮族自治区 南宁市 西乡塘区 双定镇</v>
      </c>
      <c r="N3391" s="1" t="str">
        <f t="shared" si="1119"/>
        <v>凡华云仓-城南圆通-抖音</v>
      </c>
      <c r="O3391" s="5" t="s">
        <v>3424</v>
      </c>
      <c r="P3391" s="6">
        <v>0.35</v>
      </c>
      <c r="Q3391" s="11">
        <v>2.2999999999999998</v>
      </c>
      <c r="R3391" s="11"/>
      <c r="S3391" s="11"/>
      <c r="T3391" s="11"/>
      <c r="U3391" s="11">
        <f t="shared" si="1104"/>
        <v>2.2999999999999998</v>
      </c>
      <c r="W3391">
        <v>2.5</v>
      </c>
      <c r="X3391" s="1" t="s">
        <v>96</v>
      </c>
    </row>
    <row r="3392" spans="1:24" x14ac:dyDescent="0.25">
      <c r="A3392" s="1" t="str">
        <f t="shared" si="1105"/>
        <v>卡卡杜-凤凰仓</v>
      </c>
      <c r="B3392" s="1" t="str">
        <f>"CK2024102331"</f>
        <v>CK2024102331</v>
      </c>
      <c r="C3392" s="1" t="str">
        <f>"DD2024102317171"</f>
        <v>DD2024102317171</v>
      </c>
      <c r="D3392" s="1" t="str">
        <f>"CK2024102322342"</f>
        <v>CK2024102322342</v>
      </c>
      <c r="E3392" s="1" t="str">
        <f>"6935331862738638664"</f>
        <v>6935331862738638664</v>
      </c>
      <c r="F3392" s="1" t="str">
        <f t="shared" si="1106"/>
        <v>花都四部-凤凰仓</v>
      </c>
      <c r="G3392" s="1" t="str">
        <f t="shared" si="1118"/>
        <v>卡卡杜个人护理店（抖店）</v>
      </c>
      <c r="H3392" s="1" t="str">
        <f t="shared" si="1107"/>
        <v>正常订单</v>
      </c>
      <c r="I3392" s="1" t="str">
        <f t="shared" si="1108"/>
        <v>已发货</v>
      </c>
      <c r="J3392" s="1" t="str">
        <f t="shared" si="1117"/>
        <v>3</v>
      </c>
      <c r="K3392" s="1">
        <v>2</v>
      </c>
      <c r="L3392" s="1" t="s">
        <v>18</v>
      </c>
      <c r="M3392" s="1" t="str">
        <f>"广东省 广州市 番禺区 "</f>
        <v xml:space="preserve">广东省 广州市 番禺区 </v>
      </c>
      <c r="N3392" s="1" t="str">
        <f t="shared" si="1119"/>
        <v>凡华云仓-城南圆通-抖音</v>
      </c>
      <c r="O3392" s="5" t="s">
        <v>3425</v>
      </c>
      <c r="P3392" s="6">
        <v>0.35</v>
      </c>
      <c r="Q3392" s="11">
        <v>2.2999999999999998</v>
      </c>
      <c r="R3392" s="11"/>
      <c r="S3392" s="11"/>
      <c r="T3392" s="11"/>
      <c r="U3392" s="11">
        <f t="shared" si="1104"/>
        <v>2.2999999999999998</v>
      </c>
      <c r="W3392">
        <v>2.5</v>
      </c>
      <c r="X3392" s="1" t="s">
        <v>18</v>
      </c>
    </row>
    <row r="3393" spans="1:24" x14ac:dyDescent="0.25">
      <c r="A3393" s="1" t="str">
        <f t="shared" si="1105"/>
        <v>卡卡杜-凤凰仓</v>
      </c>
      <c r="B3393" s="1" t="str">
        <f>"CK2024102349"</f>
        <v>CK2024102349</v>
      </c>
      <c r="C3393" s="1" t="str">
        <f>"DD2024102317193"</f>
        <v>DD2024102317193</v>
      </c>
      <c r="D3393" s="1" t="str">
        <f>"CK2024102322341"</f>
        <v>CK2024102322341</v>
      </c>
      <c r="E3393" s="1" t="str">
        <f>"6935344719105234532"</f>
        <v>6935344719105234532</v>
      </c>
      <c r="F3393" s="1" t="str">
        <f t="shared" si="1106"/>
        <v>花都四部-凤凰仓</v>
      </c>
      <c r="G3393" s="1" t="str">
        <f t="shared" si="1118"/>
        <v>卡卡杜个人护理店（抖店）</v>
      </c>
      <c r="H3393" s="1" t="str">
        <f t="shared" si="1107"/>
        <v>正常订单</v>
      </c>
      <c r="I3393" s="1" t="str">
        <f t="shared" si="1108"/>
        <v>已发货</v>
      </c>
      <c r="J3393" s="1" t="str">
        <f t="shared" si="1117"/>
        <v>3</v>
      </c>
      <c r="K3393" s="1">
        <v>2</v>
      </c>
      <c r="L3393" s="1" t="s">
        <v>41</v>
      </c>
      <c r="M3393" s="1" t="str">
        <f>"湖北省 武汉市 蔡甸区 军山街道"</f>
        <v>湖北省 武汉市 蔡甸区 军山街道</v>
      </c>
      <c r="N3393" s="1" t="str">
        <f t="shared" si="1119"/>
        <v>凡华云仓-城南圆通-抖音</v>
      </c>
      <c r="O3393" s="5" t="s">
        <v>3426</v>
      </c>
      <c r="P3393" s="6">
        <v>0.35</v>
      </c>
      <c r="Q3393" s="11">
        <v>2.2999999999999998</v>
      </c>
      <c r="R3393" s="11"/>
      <c r="S3393" s="11"/>
      <c r="T3393" s="11"/>
      <c r="U3393" s="11">
        <f t="shared" si="1104"/>
        <v>2.2999999999999998</v>
      </c>
      <c r="W3393">
        <v>2.5</v>
      </c>
      <c r="X3393" s="1" t="s">
        <v>41</v>
      </c>
    </row>
    <row r="3394" spans="1:24" x14ac:dyDescent="0.25">
      <c r="A3394" s="1" t="str">
        <f t="shared" si="1105"/>
        <v>卡卡杜-凤凰仓</v>
      </c>
      <c r="B3394" s="1" t="str">
        <f>"CK2024102329"</f>
        <v>CK2024102329</v>
      </c>
      <c r="C3394" s="1" t="str">
        <f>"DD2024102317172"</f>
        <v>DD2024102317172</v>
      </c>
      <c r="D3394" s="1" t="str">
        <f>"CK2024102322340"</f>
        <v>CK2024102322340</v>
      </c>
      <c r="E3394" s="1" t="str">
        <f>"6935351400516293933"</f>
        <v>6935351400516293933</v>
      </c>
      <c r="F3394" s="1" t="str">
        <f t="shared" si="1106"/>
        <v>花都四部-凤凰仓</v>
      </c>
      <c r="G3394" s="1" t="str">
        <f t="shared" si="1118"/>
        <v>卡卡杜个人护理店（抖店）</v>
      </c>
      <c r="H3394" s="1" t="str">
        <f t="shared" si="1107"/>
        <v>正常订单</v>
      </c>
      <c r="I3394" s="1" t="str">
        <f t="shared" si="1108"/>
        <v>已发货</v>
      </c>
      <c r="J3394" s="1" t="str">
        <f t="shared" si="1117"/>
        <v>3</v>
      </c>
      <c r="K3394" s="1">
        <v>2</v>
      </c>
      <c r="L3394" s="1" t="s">
        <v>13</v>
      </c>
      <c r="M3394" s="1" t="str">
        <f>"江苏省 扬州市 高邮市 高邮街道"</f>
        <v>江苏省 扬州市 高邮市 高邮街道</v>
      </c>
      <c r="N3394" s="1" t="str">
        <f t="shared" si="1119"/>
        <v>凡华云仓-城南圆通-抖音</v>
      </c>
      <c r="O3394" s="5" t="s">
        <v>3427</v>
      </c>
      <c r="P3394" s="6">
        <v>0.35</v>
      </c>
      <c r="Q3394" s="11">
        <v>2.2999999999999998</v>
      </c>
      <c r="R3394" s="11"/>
      <c r="S3394" s="11"/>
      <c r="T3394" s="11"/>
      <c r="U3394" s="11">
        <f t="shared" si="1104"/>
        <v>2.2999999999999998</v>
      </c>
      <c r="W3394">
        <v>2.5</v>
      </c>
      <c r="X3394" s="1" t="s">
        <v>13</v>
      </c>
    </row>
    <row r="3395" spans="1:24" x14ac:dyDescent="0.25">
      <c r="A3395" s="1" t="str">
        <f t="shared" si="1105"/>
        <v>卡卡杜-凤凰仓</v>
      </c>
      <c r="B3395" s="1" t="str">
        <f>"CK2024102333"</f>
        <v>CK2024102333</v>
      </c>
      <c r="C3395" s="1" t="str">
        <f>"DD2024102317177"</f>
        <v>DD2024102317177</v>
      </c>
      <c r="D3395" s="1" t="str">
        <f>"CK2024102322339"</f>
        <v>CK2024102322339</v>
      </c>
      <c r="E3395" s="1" t="str">
        <f>"6935331329891440548"</f>
        <v>6935331329891440548</v>
      </c>
      <c r="F3395" s="1" t="str">
        <f t="shared" si="1106"/>
        <v>花都四部-凤凰仓</v>
      </c>
      <c r="G3395" s="1" t="str">
        <f t="shared" si="1118"/>
        <v>卡卡杜个人护理店（抖店）</v>
      </c>
      <c r="H3395" s="1" t="str">
        <f t="shared" si="1107"/>
        <v>正常订单</v>
      </c>
      <c r="I3395" s="1" t="str">
        <f t="shared" si="1108"/>
        <v>已发货</v>
      </c>
      <c r="J3395" s="1" t="str">
        <f t="shared" si="1117"/>
        <v>3</v>
      </c>
      <c r="K3395" s="1">
        <v>2</v>
      </c>
      <c r="L3395" s="1" t="s">
        <v>20</v>
      </c>
      <c r="M3395" s="1" t="str">
        <f>"浙江省 舟山市 普陀区 东港街道"</f>
        <v>浙江省 舟山市 普陀区 东港街道</v>
      </c>
      <c r="N3395" s="1" t="str">
        <f t="shared" si="1119"/>
        <v>凡华云仓-城南圆通-抖音</v>
      </c>
      <c r="O3395" s="5" t="s">
        <v>3428</v>
      </c>
      <c r="P3395" s="6">
        <v>0.35</v>
      </c>
      <c r="Q3395" s="11">
        <v>2.2999999999999998</v>
      </c>
      <c r="R3395" s="11"/>
      <c r="S3395" s="11"/>
      <c r="T3395" s="11"/>
      <c r="U3395" s="11">
        <f t="shared" ref="U3395:U3458" si="1120">T3395+S3395+R3395+Q3395</f>
        <v>2.2999999999999998</v>
      </c>
      <c r="W3395">
        <v>2.5</v>
      </c>
      <c r="X3395" s="1" t="s">
        <v>20</v>
      </c>
    </row>
    <row r="3396" spans="1:24" x14ac:dyDescent="0.25">
      <c r="A3396" s="1" t="str">
        <f t="shared" si="1105"/>
        <v>卡卡杜-凤凰仓</v>
      </c>
      <c r="B3396" s="1" t="str">
        <f>"CK2024102318"</f>
        <v>CK2024102318</v>
      </c>
      <c r="C3396" s="1" t="str">
        <f>"DD2024102317150"</f>
        <v>DD2024102317150</v>
      </c>
      <c r="D3396" s="1" t="str">
        <f>"CK2024102322338"</f>
        <v>CK2024102322338</v>
      </c>
      <c r="E3396" s="1" t="str">
        <f>"2429702096683306"</f>
        <v>2429702096683306</v>
      </c>
      <c r="F3396" s="1" t="str">
        <f t="shared" si="1106"/>
        <v>花都四部-凤凰仓</v>
      </c>
      <c r="G3396" s="1" t="str">
        <f t="shared" ref="G3396:G3443" si="1121">"卡卡杜佳旺专卖店（快手店）"</f>
        <v>卡卡杜佳旺专卖店（快手店）</v>
      </c>
      <c r="H3396" s="1" t="str">
        <f t="shared" si="1107"/>
        <v>正常订单</v>
      </c>
      <c r="I3396" s="1" t="str">
        <f t="shared" si="1108"/>
        <v>已发货</v>
      </c>
      <c r="J3396" s="1" t="str">
        <f t="shared" si="1117"/>
        <v>3</v>
      </c>
      <c r="K3396" s="1">
        <v>2</v>
      </c>
      <c r="L3396" s="1" t="s">
        <v>187</v>
      </c>
      <c r="M3396" s="1" t="str">
        <f>"吉林省 松原市 宁江区 滨江街道"</f>
        <v>吉林省 松原市 宁江区 滨江街道</v>
      </c>
      <c r="N3396" s="1" t="str">
        <f t="shared" ref="N3396:N3401" si="1122">"凡华云仓-城南圆通-快手"</f>
        <v>凡华云仓-城南圆通-快手</v>
      </c>
      <c r="O3396" s="5" t="s">
        <v>3429</v>
      </c>
      <c r="P3396" s="6">
        <v>0.35</v>
      </c>
      <c r="Q3396" s="11">
        <v>2.2999999999999998</v>
      </c>
      <c r="R3396" s="11"/>
      <c r="S3396" s="11"/>
      <c r="T3396" s="11"/>
      <c r="U3396" s="11">
        <f t="shared" si="1120"/>
        <v>2.2999999999999998</v>
      </c>
      <c r="W3396">
        <v>2.5</v>
      </c>
      <c r="X3396" s="1" t="s">
        <v>187</v>
      </c>
    </row>
    <row r="3397" spans="1:24" x14ac:dyDescent="0.25">
      <c r="A3397" s="1" t="str">
        <f t="shared" ref="A3397:A3460" si="1123">"卡卡杜-凤凰仓"</f>
        <v>卡卡杜-凤凰仓</v>
      </c>
      <c r="B3397" s="1" t="str">
        <f>"CK2024102368"</f>
        <v>CK2024102368</v>
      </c>
      <c r="C3397" s="1" t="str">
        <f>"DD2024102317210"</f>
        <v>DD2024102317210</v>
      </c>
      <c r="D3397" s="1" t="str">
        <f>"CK2024102322337"</f>
        <v>CK2024102322337</v>
      </c>
      <c r="E3397" s="1" t="str">
        <f>"2429702095505936"</f>
        <v>2429702095505936</v>
      </c>
      <c r="F3397" s="1" t="str">
        <f t="shared" ref="F3397:F3460" si="1124">"花都四部-凤凰仓"</f>
        <v>花都四部-凤凰仓</v>
      </c>
      <c r="G3397" s="1" t="str">
        <f t="shared" si="1121"/>
        <v>卡卡杜佳旺专卖店（快手店）</v>
      </c>
      <c r="H3397" s="1" t="str">
        <f t="shared" ref="H3397:H3460" si="1125">"正常订单"</f>
        <v>正常订单</v>
      </c>
      <c r="I3397" s="1" t="str">
        <f t="shared" ref="I3397:I3460" si="1126">"已发货"</f>
        <v>已发货</v>
      </c>
      <c r="J3397" s="1" t="str">
        <f>"5"</f>
        <v>5</v>
      </c>
      <c r="K3397" s="1">
        <v>2</v>
      </c>
      <c r="L3397" s="1" t="s">
        <v>41</v>
      </c>
      <c r="M3397" s="1" t="str">
        <f>"湖北省 武汉市 东西湖区 东山街道"</f>
        <v>湖北省 武汉市 东西湖区 东山街道</v>
      </c>
      <c r="N3397" s="1" t="str">
        <f t="shared" si="1122"/>
        <v>凡华云仓-城南圆通-快手</v>
      </c>
      <c r="O3397" s="5" t="s">
        <v>3430</v>
      </c>
      <c r="P3397" s="6">
        <v>0.59</v>
      </c>
      <c r="Q3397" s="11">
        <f>CEILING(P3397-0.5,0.1)*10*0.15+2.3</f>
        <v>2.4499999999999997</v>
      </c>
      <c r="R3397" s="11"/>
      <c r="S3397" s="11"/>
      <c r="T3397" s="11"/>
      <c r="U3397" s="11">
        <f t="shared" si="1120"/>
        <v>2.4499999999999997</v>
      </c>
      <c r="V3397" t="s">
        <v>15</v>
      </c>
      <c r="W3397">
        <v>2.4500000000000002</v>
      </c>
      <c r="X3397" s="1" t="s">
        <v>41</v>
      </c>
    </row>
    <row r="3398" spans="1:24" x14ac:dyDescent="0.25">
      <c r="A3398" s="1" t="str">
        <f t="shared" si="1123"/>
        <v>卡卡杜-凤凰仓</v>
      </c>
      <c r="B3398" s="1" t="str">
        <f>"CK20241023158"</f>
        <v>CK20241023158</v>
      </c>
      <c r="C3398" s="1" t="str">
        <f>"DD2024102317319"</f>
        <v>DD2024102317319</v>
      </c>
      <c r="D3398" s="1" t="str">
        <f>"CK2024102322336"</f>
        <v>CK2024102322336</v>
      </c>
      <c r="E3398" s="1" t="str">
        <f>"2429701787890569"</f>
        <v>2429701787890569</v>
      </c>
      <c r="F3398" s="1" t="str">
        <f t="shared" si="1124"/>
        <v>花都四部-凤凰仓</v>
      </c>
      <c r="G3398" s="1" t="str">
        <f t="shared" si="1121"/>
        <v>卡卡杜佳旺专卖店（快手店）</v>
      </c>
      <c r="H3398" s="1" t="str">
        <f t="shared" si="1125"/>
        <v>正常订单</v>
      </c>
      <c r="I3398" s="1" t="str">
        <f t="shared" si="1126"/>
        <v>已发货</v>
      </c>
      <c r="J3398" s="1" t="str">
        <f t="shared" ref="J3398:J3402" si="1127">"3"</f>
        <v>3</v>
      </c>
      <c r="K3398" s="1">
        <v>3</v>
      </c>
      <c r="L3398" s="1" t="s">
        <v>24</v>
      </c>
      <c r="M3398" s="1" t="str">
        <f>"福建省 泉州市 安溪县 城厢镇"</f>
        <v>福建省 泉州市 安溪县 城厢镇</v>
      </c>
      <c r="N3398" s="1" t="str">
        <f t="shared" si="1122"/>
        <v>凡华云仓-城南圆通-快手</v>
      </c>
      <c r="O3398" s="5" t="s">
        <v>3431</v>
      </c>
      <c r="P3398" s="6">
        <v>0.34</v>
      </c>
      <c r="Q3398" s="11">
        <v>2.2999999999999998</v>
      </c>
      <c r="R3398" s="11"/>
      <c r="S3398" s="11"/>
      <c r="T3398" s="11"/>
      <c r="U3398" s="11">
        <f t="shared" si="1120"/>
        <v>2.2999999999999998</v>
      </c>
      <c r="W3398">
        <v>2.5</v>
      </c>
      <c r="X3398" s="1" t="s">
        <v>24</v>
      </c>
    </row>
    <row r="3399" spans="1:24" x14ac:dyDescent="0.25">
      <c r="A3399" s="1" t="str">
        <f t="shared" si="1123"/>
        <v>卡卡杜-凤凰仓</v>
      </c>
      <c r="B3399" s="1" t="str">
        <f>"CK2024102309"</f>
        <v>CK2024102309</v>
      </c>
      <c r="C3399" s="1" t="str">
        <f>"DD2024102317137"</f>
        <v>DD2024102317137</v>
      </c>
      <c r="D3399" s="1" t="str">
        <f>"CK2024102322335"</f>
        <v>CK2024102322335</v>
      </c>
      <c r="E3399" s="1" t="str">
        <f>"2429701609177703"</f>
        <v>2429701609177703</v>
      </c>
      <c r="F3399" s="1" t="str">
        <f t="shared" si="1124"/>
        <v>花都四部-凤凰仓</v>
      </c>
      <c r="G3399" s="1" t="str">
        <f t="shared" si="1121"/>
        <v>卡卡杜佳旺专卖店（快手店）</v>
      </c>
      <c r="H3399" s="1" t="str">
        <f t="shared" si="1125"/>
        <v>正常订单</v>
      </c>
      <c r="I3399" s="1" t="str">
        <f t="shared" si="1126"/>
        <v>已发货</v>
      </c>
      <c r="J3399" s="1" t="str">
        <f t="shared" si="1127"/>
        <v>3</v>
      </c>
      <c r="K3399" s="1">
        <v>2</v>
      </c>
      <c r="L3399" s="1" t="s">
        <v>94</v>
      </c>
      <c r="M3399" s="1" t="str">
        <f>"湖南省 长沙市 浏阳市 洞阳镇"</f>
        <v>湖南省 长沙市 浏阳市 洞阳镇</v>
      </c>
      <c r="N3399" s="1" t="str">
        <f t="shared" si="1122"/>
        <v>凡华云仓-城南圆通-快手</v>
      </c>
      <c r="O3399" s="5" t="s">
        <v>3432</v>
      </c>
      <c r="P3399" s="6">
        <v>0.35</v>
      </c>
      <c r="Q3399" s="11">
        <v>2.2999999999999998</v>
      </c>
      <c r="R3399" s="11"/>
      <c r="S3399" s="11"/>
      <c r="T3399" s="11"/>
      <c r="U3399" s="11">
        <f t="shared" si="1120"/>
        <v>2.2999999999999998</v>
      </c>
      <c r="W3399">
        <v>2.5</v>
      </c>
      <c r="X3399" s="1" t="s">
        <v>94</v>
      </c>
    </row>
    <row r="3400" spans="1:24" x14ac:dyDescent="0.25">
      <c r="A3400" s="1" t="str">
        <f t="shared" si="1123"/>
        <v>卡卡杜-凤凰仓</v>
      </c>
      <c r="B3400" s="1" t="str">
        <f>"CK2024102302"</f>
        <v>CK2024102302</v>
      </c>
      <c r="C3400" s="1" t="str">
        <f>"DD2024102317127"</f>
        <v>DD2024102317127</v>
      </c>
      <c r="D3400" s="1" t="str">
        <f>"CK2024102322334"</f>
        <v>CK2024102322334</v>
      </c>
      <c r="E3400" s="1" t="str">
        <f>"2429701696785238"</f>
        <v>2429701696785238</v>
      </c>
      <c r="F3400" s="1" t="str">
        <f t="shared" si="1124"/>
        <v>花都四部-凤凰仓</v>
      </c>
      <c r="G3400" s="1" t="str">
        <f t="shared" si="1121"/>
        <v>卡卡杜佳旺专卖店（快手店）</v>
      </c>
      <c r="H3400" s="1" t="str">
        <f t="shared" si="1125"/>
        <v>正常订单</v>
      </c>
      <c r="I3400" s="1" t="str">
        <f t="shared" si="1126"/>
        <v>已发货</v>
      </c>
      <c r="J3400" s="1" t="str">
        <f t="shared" si="1127"/>
        <v>3</v>
      </c>
      <c r="K3400" s="1">
        <v>2</v>
      </c>
      <c r="L3400" s="1" t="s">
        <v>41</v>
      </c>
      <c r="M3400" s="1" t="str">
        <f>"湖北省 黄冈市 蕲春县 漕河镇"</f>
        <v>湖北省 黄冈市 蕲春县 漕河镇</v>
      </c>
      <c r="N3400" s="1" t="str">
        <f t="shared" si="1122"/>
        <v>凡华云仓-城南圆通-快手</v>
      </c>
      <c r="O3400" s="5" t="s">
        <v>3433</v>
      </c>
      <c r="P3400" s="6">
        <v>0.35</v>
      </c>
      <c r="Q3400" s="11">
        <v>2.2999999999999998</v>
      </c>
      <c r="R3400" s="11"/>
      <c r="S3400" s="11"/>
      <c r="T3400" s="11"/>
      <c r="U3400" s="11">
        <f t="shared" si="1120"/>
        <v>2.2999999999999998</v>
      </c>
      <c r="W3400">
        <v>2.5</v>
      </c>
      <c r="X3400" s="1" t="s">
        <v>41</v>
      </c>
    </row>
    <row r="3401" spans="1:24" x14ac:dyDescent="0.25">
      <c r="A3401" s="1" t="str">
        <f t="shared" si="1123"/>
        <v>卡卡杜-凤凰仓</v>
      </c>
      <c r="B3401" s="1" t="str">
        <f>"CK2024102306"</f>
        <v>CK2024102306</v>
      </c>
      <c r="C3401" s="1" t="str">
        <f>"DD2024102317123"</f>
        <v>DD2024102317123</v>
      </c>
      <c r="D3401" s="1" t="str">
        <f>"CK2024102322333"</f>
        <v>CK2024102322333</v>
      </c>
      <c r="E3401" s="1" t="str">
        <f>"2429702099433593"</f>
        <v>2429702099433593</v>
      </c>
      <c r="F3401" s="1" t="str">
        <f t="shared" si="1124"/>
        <v>花都四部-凤凰仓</v>
      </c>
      <c r="G3401" s="1" t="str">
        <f t="shared" si="1121"/>
        <v>卡卡杜佳旺专卖店（快手店）</v>
      </c>
      <c r="H3401" s="1" t="str">
        <f t="shared" si="1125"/>
        <v>正常订单</v>
      </c>
      <c r="I3401" s="1" t="str">
        <f t="shared" si="1126"/>
        <v>已发货</v>
      </c>
      <c r="J3401" s="1" t="str">
        <f t="shared" si="1127"/>
        <v>3</v>
      </c>
      <c r="K3401" s="1">
        <v>2</v>
      </c>
      <c r="L3401" s="1" t="s">
        <v>187</v>
      </c>
      <c r="M3401" s="1" t="str">
        <f>"吉林省 长春市 南关区 曙光街道"</f>
        <v>吉林省 长春市 南关区 曙光街道</v>
      </c>
      <c r="N3401" s="1" t="str">
        <f t="shared" si="1122"/>
        <v>凡华云仓-城南圆通-快手</v>
      </c>
      <c r="O3401" s="5" t="s">
        <v>3434</v>
      </c>
      <c r="P3401" s="6">
        <v>0.35</v>
      </c>
      <c r="Q3401" s="11">
        <v>2.2999999999999998</v>
      </c>
      <c r="R3401" s="11"/>
      <c r="S3401" s="11"/>
      <c r="T3401" s="11"/>
      <c r="U3401" s="11">
        <f t="shared" si="1120"/>
        <v>2.2999999999999998</v>
      </c>
      <c r="W3401">
        <v>2.5</v>
      </c>
      <c r="X3401" s="1" t="s">
        <v>187</v>
      </c>
    </row>
    <row r="3402" spans="1:24" x14ac:dyDescent="0.25">
      <c r="A3402" s="1" t="str">
        <f t="shared" si="1123"/>
        <v>卡卡杜-凤凰仓</v>
      </c>
      <c r="B3402" s="1" t="str">
        <f>"CK2024102310"</f>
        <v>CK2024102310</v>
      </c>
      <c r="C3402" s="1" t="str">
        <f>"DD2024102317134"</f>
        <v>DD2024102317134</v>
      </c>
      <c r="D3402" s="1" t="str">
        <f>"CK2024102322332"</f>
        <v>CK2024102322332</v>
      </c>
      <c r="E3402" s="1" t="str">
        <f>"2429702096880767"</f>
        <v>2429702096880767</v>
      </c>
      <c r="F3402" s="1" t="str">
        <f t="shared" si="1124"/>
        <v>花都四部-凤凰仓</v>
      </c>
      <c r="G3402" s="1" t="str">
        <f t="shared" si="1121"/>
        <v>卡卡杜佳旺专卖店（快手店）</v>
      </c>
      <c r="H3402" s="1" t="str">
        <f t="shared" si="1125"/>
        <v>正常订单</v>
      </c>
      <c r="I3402" s="1" t="str">
        <f t="shared" si="1126"/>
        <v>已发货</v>
      </c>
      <c r="J3402" s="1" t="str">
        <f t="shared" si="1127"/>
        <v>3</v>
      </c>
      <c r="K3402" s="1">
        <v>2</v>
      </c>
      <c r="L3402" s="1" t="s">
        <v>20</v>
      </c>
      <c r="M3402" s="1" t="str">
        <f>"浙江省 宁波市 慈溪市 庵东镇"</f>
        <v>浙江省 宁波市 慈溪市 庵东镇</v>
      </c>
      <c r="N3402" s="1" t="str">
        <f>"凡华云仓-竹料中通-快手"</f>
        <v>凡华云仓-竹料中通-快手</v>
      </c>
      <c r="O3402" s="5">
        <v>75934881404176</v>
      </c>
      <c r="P3402" s="6">
        <v>0.35</v>
      </c>
      <c r="Q3402" s="11">
        <v>2.6</v>
      </c>
      <c r="R3402" s="11"/>
      <c r="S3402" s="11"/>
      <c r="T3402" s="11"/>
      <c r="U3402" s="11">
        <f t="shared" si="1120"/>
        <v>2.6</v>
      </c>
      <c r="W3402">
        <v>2.6</v>
      </c>
      <c r="X3402" s="1" t="s">
        <v>20</v>
      </c>
    </row>
    <row r="3403" spans="1:24" x14ac:dyDescent="0.25">
      <c r="A3403" s="1" t="str">
        <f t="shared" si="1123"/>
        <v>卡卡杜-凤凰仓</v>
      </c>
      <c r="B3403" s="1" t="str">
        <f>"CK2024102301"</f>
        <v>CK2024102301</v>
      </c>
      <c r="C3403" s="1" t="str">
        <f>"DD2024102317122"</f>
        <v>DD2024102317122</v>
      </c>
      <c r="D3403" s="1" t="str">
        <f>"CK2024102322331"</f>
        <v>CK2024102322331</v>
      </c>
      <c r="E3403" s="1" t="str">
        <f>"2429702180489217"</f>
        <v>2429702180489217</v>
      </c>
      <c r="F3403" s="1" t="str">
        <f t="shared" si="1124"/>
        <v>花都四部-凤凰仓</v>
      </c>
      <c r="G3403" s="1" t="str">
        <f t="shared" si="1121"/>
        <v>卡卡杜佳旺专卖店（快手店）</v>
      </c>
      <c r="H3403" s="1" t="str">
        <f t="shared" si="1125"/>
        <v>正常订单</v>
      </c>
      <c r="I3403" s="1" t="str">
        <f t="shared" si="1126"/>
        <v>已发货</v>
      </c>
      <c r="J3403" s="1" t="str">
        <f>"16"</f>
        <v>16</v>
      </c>
      <c r="K3403" s="1">
        <v>1</v>
      </c>
      <c r="L3403" s="1" t="s">
        <v>13</v>
      </c>
      <c r="M3403" s="1" t="str">
        <f>"江苏省 苏州市 吴中区 木渎镇"</f>
        <v>江苏省 苏州市 吴中区 木渎镇</v>
      </c>
      <c r="N3403" s="1" t="str">
        <f t="shared" ref="N3403:N3441" si="1128">"凡华云仓-城南圆通-快手"</f>
        <v>凡华云仓-城南圆通-快手</v>
      </c>
      <c r="O3403" s="5" t="s">
        <v>3435</v>
      </c>
      <c r="P3403" s="6">
        <v>2.2000000000000002</v>
      </c>
      <c r="Q3403" s="11">
        <f>CEILING(P3403-0.5,0.1)*10*0.15+2.3</f>
        <v>4.8499999999999996</v>
      </c>
      <c r="R3403" s="11"/>
      <c r="S3403" s="11"/>
      <c r="T3403" s="11"/>
      <c r="U3403" s="11">
        <f t="shared" si="1120"/>
        <v>4.8499999999999996</v>
      </c>
      <c r="V3403" t="s">
        <v>15</v>
      </c>
      <c r="W3403">
        <v>4.8499999999999996</v>
      </c>
      <c r="X3403" s="1" t="s">
        <v>13</v>
      </c>
    </row>
    <row r="3404" spans="1:24" x14ac:dyDescent="0.25">
      <c r="A3404" s="1" t="str">
        <f t="shared" si="1123"/>
        <v>卡卡杜-凤凰仓</v>
      </c>
      <c r="B3404" s="1" t="str">
        <f>"CK2024102376"</f>
        <v>CK2024102376</v>
      </c>
      <c r="C3404" s="1" t="str">
        <f>"DD2024102317220"</f>
        <v>DD2024102317220</v>
      </c>
      <c r="D3404" s="1" t="str">
        <f>"CK2024102322330"</f>
        <v>CK2024102322330</v>
      </c>
      <c r="E3404" s="1" t="str">
        <f>"2429701857578569"</f>
        <v>2429701857578569</v>
      </c>
      <c r="F3404" s="1" t="str">
        <f t="shared" si="1124"/>
        <v>花都四部-凤凰仓</v>
      </c>
      <c r="G3404" s="1" t="str">
        <f t="shared" si="1121"/>
        <v>卡卡杜佳旺专卖店（快手店）</v>
      </c>
      <c r="H3404" s="1" t="str">
        <f t="shared" si="1125"/>
        <v>正常订单</v>
      </c>
      <c r="I3404" s="1" t="str">
        <f t="shared" si="1126"/>
        <v>已发货</v>
      </c>
      <c r="J3404" s="1" t="str">
        <f t="shared" ref="J3404:J3409" si="1129">"3"</f>
        <v>3</v>
      </c>
      <c r="K3404" s="1">
        <v>2</v>
      </c>
      <c r="L3404" s="1" t="s">
        <v>24</v>
      </c>
      <c r="M3404" s="1" t="str">
        <f>"福建省 泉州市 安溪县 城厢镇"</f>
        <v>福建省 泉州市 安溪县 城厢镇</v>
      </c>
      <c r="N3404" s="1" t="str">
        <f t="shared" si="1128"/>
        <v>凡华云仓-城南圆通-快手</v>
      </c>
      <c r="O3404" s="5" t="s">
        <v>3436</v>
      </c>
      <c r="P3404" s="6">
        <v>0.35</v>
      </c>
      <c r="Q3404" s="11">
        <v>2.2999999999999998</v>
      </c>
      <c r="R3404" s="11"/>
      <c r="S3404" s="11"/>
      <c r="T3404" s="11"/>
      <c r="U3404" s="11">
        <f t="shared" si="1120"/>
        <v>2.2999999999999998</v>
      </c>
      <c r="W3404">
        <v>2.5</v>
      </c>
      <c r="X3404" s="1" t="s">
        <v>24</v>
      </c>
    </row>
    <row r="3405" spans="1:24" x14ac:dyDescent="0.25">
      <c r="A3405" s="1" t="str">
        <f t="shared" si="1123"/>
        <v>卡卡杜-凤凰仓</v>
      </c>
      <c r="B3405" s="1" t="str">
        <f>"CK2024102320"</f>
        <v>CK2024102320</v>
      </c>
      <c r="C3405" s="1" t="str">
        <f>"DD2024102317159"</f>
        <v>DD2024102317159</v>
      </c>
      <c r="D3405" s="1" t="str">
        <f>"CK2024102322329"</f>
        <v>CK2024102322329</v>
      </c>
      <c r="E3405" s="1" t="str">
        <f>"2429701616730126"</f>
        <v>2429701616730126</v>
      </c>
      <c r="F3405" s="1" t="str">
        <f t="shared" si="1124"/>
        <v>花都四部-凤凰仓</v>
      </c>
      <c r="G3405" s="1" t="str">
        <f t="shared" si="1121"/>
        <v>卡卡杜佳旺专卖店（快手店）</v>
      </c>
      <c r="H3405" s="1" t="str">
        <f t="shared" si="1125"/>
        <v>正常订单</v>
      </c>
      <c r="I3405" s="1" t="str">
        <f t="shared" si="1126"/>
        <v>已发货</v>
      </c>
      <c r="J3405" s="1" t="str">
        <f t="shared" si="1129"/>
        <v>3</v>
      </c>
      <c r="K3405" s="1">
        <v>2</v>
      </c>
      <c r="L3405" s="1" t="s">
        <v>13</v>
      </c>
      <c r="M3405" s="1" t="str">
        <f>"江苏省 苏州市 常熟市 莫城街道"</f>
        <v>江苏省 苏州市 常熟市 莫城街道</v>
      </c>
      <c r="N3405" s="1" t="str">
        <f t="shared" si="1128"/>
        <v>凡华云仓-城南圆通-快手</v>
      </c>
      <c r="O3405" s="5" t="s">
        <v>3437</v>
      </c>
      <c r="P3405" s="6">
        <v>0.35</v>
      </c>
      <c r="Q3405" s="11">
        <v>2.2999999999999998</v>
      </c>
      <c r="R3405" s="11"/>
      <c r="S3405" s="11"/>
      <c r="T3405" s="11"/>
      <c r="U3405" s="11">
        <f t="shared" si="1120"/>
        <v>2.2999999999999998</v>
      </c>
      <c r="W3405">
        <v>2.5</v>
      </c>
      <c r="X3405" s="1" t="s">
        <v>13</v>
      </c>
    </row>
    <row r="3406" spans="1:24" x14ac:dyDescent="0.25">
      <c r="A3406" s="1" t="str">
        <f t="shared" si="1123"/>
        <v>卡卡杜-凤凰仓</v>
      </c>
      <c r="B3406" s="1" t="str">
        <f>"CK2024102375"</f>
        <v>CK2024102375</v>
      </c>
      <c r="C3406" s="1" t="str">
        <f>"DD2024102317219"</f>
        <v>DD2024102317219</v>
      </c>
      <c r="D3406" s="1" t="str">
        <f>"CK2024102322328"</f>
        <v>CK2024102322328</v>
      </c>
      <c r="E3406" s="1" t="str">
        <f>"2429701702920487"</f>
        <v>2429701702920487</v>
      </c>
      <c r="F3406" s="1" t="str">
        <f t="shared" si="1124"/>
        <v>花都四部-凤凰仓</v>
      </c>
      <c r="G3406" s="1" t="str">
        <f t="shared" si="1121"/>
        <v>卡卡杜佳旺专卖店（快手店）</v>
      </c>
      <c r="H3406" s="1" t="str">
        <f t="shared" si="1125"/>
        <v>正常订单</v>
      </c>
      <c r="I3406" s="1" t="str">
        <f t="shared" si="1126"/>
        <v>已发货</v>
      </c>
      <c r="J3406" s="1" t="str">
        <f>"5"</f>
        <v>5</v>
      </c>
      <c r="K3406" s="1">
        <v>2</v>
      </c>
      <c r="L3406" s="1" t="s">
        <v>1099</v>
      </c>
      <c r="M3406" s="1" t="str">
        <f>"重庆市 重庆市 南岸区 天文街道"</f>
        <v>重庆市 重庆市 南岸区 天文街道</v>
      </c>
      <c r="N3406" s="1" t="str">
        <f t="shared" si="1128"/>
        <v>凡华云仓-城南圆通-快手</v>
      </c>
      <c r="O3406" s="5" t="s">
        <v>3438</v>
      </c>
      <c r="P3406" s="6">
        <v>0.59</v>
      </c>
      <c r="Q3406" s="11">
        <f>CEILING(P3406-0.5,0.1)*10*0.15+2.3</f>
        <v>2.4499999999999997</v>
      </c>
      <c r="R3406" s="11"/>
      <c r="S3406" s="11"/>
      <c r="T3406" s="11"/>
      <c r="U3406" s="11">
        <f t="shared" si="1120"/>
        <v>2.4499999999999997</v>
      </c>
      <c r="V3406" t="s">
        <v>15</v>
      </c>
      <c r="W3406">
        <v>2.4500000000000002</v>
      </c>
      <c r="X3406" s="1" t="s">
        <v>1099</v>
      </c>
    </row>
    <row r="3407" spans="1:24" x14ac:dyDescent="0.25">
      <c r="A3407" s="1" t="str">
        <f t="shared" si="1123"/>
        <v>卡卡杜-凤凰仓</v>
      </c>
      <c r="B3407" s="1" t="str">
        <f>"CK2024102352"</f>
        <v>CK2024102352</v>
      </c>
      <c r="C3407" s="1" t="str">
        <f>"DD2024102317196"</f>
        <v>DD2024102317196</v>
      </c>
      <c r="D3407" s="1" t="str">
        <f>"CK2024102322327"</f>
        <v>CK2024102322327</v>
      </c>
      <c r="E3407" s="1" t="str">
        <f>"2429701950521618"</f>
        <v>2429701950521618</v>
      </c>
      <c r="F3407" s="1" t="str">
        <f t="shared" si="1124"/>
        <v>花都四部-凤凰仓</v>
      </c>
      <c r="G3407" s="1" t="str">
        <f t="shared" si="1121"/>
        <v>卡卡杜佳旺专卖店（快手店）</v>
      </c>
      <c r="H3407" s="1" t="str">
        <f t="shared" si="1125"/>
        <v>正常订单</v>
      </c>
      <c r="I3407" s="1" t="str">
        <f t="shared" si="1126"/>
        <v>已发货</v>
      </c>
      <c r="J3407" s="1" t="str">
        <f t="shared" si="1129"/>
        <v>3</v>
      </c>
      <c r="K3407" s="1">
        <v>2</v>
      </c>
      <c r="L3407" s="1" t="s">
        <v>18</v>
      </c>
      <c r="M3407" s="1" t="str">
        <f>"广东省 深圳市 宝安区 福永街道"</f>
        <v>广东省 深圳市 宝安区 福永街道</v>
      </c>
      <c r="N3407" s="1" t="str">
        <f t="shared" si="1128"/>
        <v>凡华云仓-城南圆通-快手</v>
      </c>
      <c r="O3407" s="5" t="s">
        <v>3439</v>
      </c>
      <c r="P3407" s="6">
        <v>0.35</v>
      </c>
      <c r="Q3407" s="11">
        <v>2.2999999999999998</v>
      </c>
      <c r="R3407" s="11"/>
      <c r="S3407" s="11"/>
      <c r="T3407" s="11"/>
      <c r="U3407" s="11">
        <f t="shared" si="1120"/>
        <v>2.2999999999999998</v>
      </c>
      <c r="W3407">
        <v>2.5</v>
      </c>
      <c r="X3407" s="1" t="s">
        <v>18</v>
      </c>
    </row>
    <row r="3408" spans="1:24" x14ac:dyDescent="0.25">
      <c r="A3408" s="1" t="str">
        <f t="shared" si="1123"/>
        <v>卡卡杜-凤凰仓</v>
      </c>
      <c r="B3408" s="1" t="str">
        <f>"CK20241023159"</f>
        <v>CK20241023159</v>
      </c>
      <c r="C3408" s="1" t="str">
        <f>"DD2024102317320"</f>
        <v>DD2024102317320</v>
      </c>
      <c r="D3408" s="1" t="str">
        <f>"CK2024102322326"</f>
        <v>CK2024102322326</v>
      </c>
      <c r="E3408" s="1" t="str">
        <f>"2429701693667601"</f>
        <v>2429701693667601</v>
      </c>
      <c r="F3408" s="1" t="str">
        <f t="shared" si="1124"/>
        <v>花都四部-凤凰仓</v>
      </c>
      <c r="G3408" s="1" t="str">
        <f t="shared" si="1121"/>
        <v>卡卡杜佳旺专卖店（快手店）</v>
      </c>
      <c r="H3408" s="1" t="str">
        <f t="shared" si="1125"/>
        <v>正常订单</v>
      </c>
      <c r="I3408" s="1" t="str">
        <f t="shared" si="1126"/>
        <v>已发货</v>
      </c>
      <c r="J3408" s="1" t="str">
        <f t="shared" si="1129"/>
        <v>3</v>
      </c>
      <c r="K3408" s="1">
        <v>3</v>
      </c>
      <c r="L3408" s="1" t="s">
        <v>30</v>
      </c>
      <c r="M3408" s="1" t="str">
        <f>"山东省 青岛市 城阳区 城阳街道"</f>
        <v>山东省 青岛市 城阳区 城阳街道</v>
      </c>
      <c r="N3408" s="1" t="str">
        <f t="shared" si="1128"/>
        <v>凡华云仓-城南圆通-快手</v>
      </c>
      <c r="O3408" s="5" t="s">
        <v>3440</v>
      </c>
      <c r="P3408" s="6">
        <v>0.34</v>
      </c>
      <c r="Q3408" s="11">
        <v>2.2999999999999998</v>
      </c>
      <c r="R3408" s="11"/>
      <c r="S3408" s="11"/>
      <c r="T3408" s="11"/>
      <c r="U3408" s="11">
        <f t="shared" si="1120"/>
        <v>2.2999999999999998</v>
      </c>
      <c r="W3408">
        <v>2.5</v>
      </c>
      <c r="X3408" s="1" t="s">
        <v>30</v>
      </c>
    </row>
    <row r="3409" spans="1:24" x14ac:dyDescent="0.25">
      <c r="A3409" s="1" t="str">
        <f t="shared" si="1123"/>
        <v>卡卡杜-凤凰仓</v>
      </c>
      <c r="B3409" s="1" t="str">
        <f>"CK2024102348"</f>
        <v>CK2024102348</v>
      </c>
      <c r="C3409" s="1" t="str">
        <f>"DD2024102317192"</f>
        <v>DD2024102317192</v>
      </c>
      <c r="D3409" s="1" t="str">
        <f>"CK2024102322325"</f>
        <v>CK2024102322325</v>
      </c>
      <c r="E3409" s="1" t="str">
        <f>"2429701858211852"</f>
        <v>2429701858211852</v>
      </c>
      <c r="F3409" s="1" t="str">
        <f t="shared" si="1124"/>
        <v>花都四部-凤凰仓</v>
      </c>
      <c r="G3409" s="1" t="str">
        <f t="shared" si="1121"/>
        <v>卡卡杜佳旺专卖店（快手店）</v>
      </c>
      <c r="H3409" s="1" t="str">
        <f t="shared" si="1125"/>
        <v>正常订单</v>
      </c>
      <c r="I3409" s="1" t="str">
        <f t="shared" si="1126"/>
        <v>已发货</v>
      </c>
      <c r="J3409" s="1" t="str">
        <f t="shared" si="1129"/>
        <v>3</v>
      </c>
      <c r="K3409" s="1">
        <v>2</v>
      </c>
      <c r="L3409" s="1" t="s">
        <v>92</v>
      </c>
      <c r="M3409" s="1" t="str">
        <f>"辽宁省 沈阳市 辽中区 蒲东街道"</f>
        <v>辽宁省 沈阳市 辽中区 蒲东街道</v>
      </c>
      <c r="N3409" s="1" t="str">
        <f t="shared" si="1128"/>
        <v>凡华云仓-城南圆通-快手</v>
      </c>
      <c r="O3409" s="5" t="s">
        <v>3441</v>
      </c>
      <c r="P3409" s="6">
        <v>0.35</v>
      </c>
      <c r="Q3409" s="11">
        <v>2.2999999999999998</v>
      </c>
      <c r="R3409" s="11"/>
      <c r="S3409" s="11"/>
      <c r="T3409" s="11"/>
      <c r="U3409" s="11">
        <f t="shared" si="1120"/>
        <v>2.2999999999999998</v>
      </c>
      <c r="W3409">
        <v>2.5</v>
      </c>
      <c r="X3409" s="1" t="s">
        <v>92</v>
      </c>
    </row>
    <row r="3410" spans="1:24" x14ac:dyDescent="0.25">
      <c r="A3410" s="1" t="str">
        <f t="shared" si="1123"/>
        <v>卡卡杜-凤凰仓</v>
      </c>
      <c r="B3410" s="1" t="str">
        <f>"CK2024102372"</f>
        <v>CK2024102372</v>
      </c>
      <c r="C3410" s="1" t="str">
        <f>"DD2024102317216"</f>
        <v>DD2024102317216</v>
      </c>
      <c r="D3410" s="1" t="str">
        <f>"CK2024102322324"</f>
        <v>CK2024102322324</v>
      </c>
      <c r="E3410" s="1" t="str">
        <f>"2429701946611097"</f>
        <v>2429701946611097</v>
      </c>
      <c r="F3410" s="1" t="str">
        <f t="shared" si="1124"/>
        <v>花都四部-凤凰仓</v>
      </c>
      <c r="G3410" s="1" t="str">
        <f t="shared" si="1121"/>
        <v>卡卡杜佳旺专卖店（快手店）</v>
      </c>
      <c r="H3410" s="1" t="str">
        <f t="shared" si="1125"/>
        <v>正常订单</v>
      </c>
      <c r="I3410" s="1" t="str">
        <f t="shared" si="1126"/>
        <v>已发货</v>
      </c>
      <c r="J3410" s="1" t="str">
        <f>"5"</f>
        <v>5</v>
      </c>
      <c r="K3410" s="1">
        <v>2</v>
      </c>
      <c r="L3410" s="1" t="s">
        <v>710</v>
      </c>
      <c r="M3410" s="1" t="str">
        <f>"上海市 上海市 金山区 朱泾镇"</f>
        <v>上海市 上海市 金山区 朱泾镇</v>
      </c>
      <c r="N3410" s="1" t="str">
        <f t="shared" si="1128"/>
        <v>凡华云仓-城南圆通-快手</v>
      </c>
      <c r="O3410" s="5" t="s">
        <v>3442</v>
      </c>
      <c r="P3410" s="6">
        <v>0.59</v>
      </c>
      <c r="Q3410" s="11">
        <f>CEILING(P3410-0.5,0.1)*10*0.15+2.3</f>
        <v>2.4499999999999997</v>
      </c>
      <c r="R3410" s="11"/>
      <c r="S3410" s="11"/>
      <c r="T3410" s="11"/>
      <c r="U3410" s="11">
        <f t="shared" si="1120"/>
        <v>2.4499999999999997</v>
      </c>
      <c r="V3410" t="s">
        <v>15</v>
      </c>
      <c r="W3410">
        <v>2.4500000000000002</v>
      </c>
      <c r="X3410" s="1" t="s">
        <v>710</v>
      </c>
    </row>
    <row r="3411" spans="1:24" x14ac:dyDescent="0.25">
      <c r="A3411" s="1" t="str">
        <f t="shared" si="1123"/>
        <v>卡卡杜-凤凰仓</v>
      </c>
      <c r="B3411" s="1" t="str">
        <f>"CK2024102304"</f>
        <v>CK2024102304</v>
      </c>
      <c r="C3411" s="1" t="str">
        <f>"DD2024102317125"</f>
        <v>DD2024102317125</v>
      </c>
      <c r="D3411" s="1" t="str">
        <f>"CK2024102322323"</f>
        <v>CK2024102322323</v>
      </c>
      <c r="E3411" s="1" t="str">
        <f>"2429701624424107"</f>
        <v>2429701624424107</v>
      </c>
      <c r="F3411" s="1" t="str">
        <f t="shared" si="1124"/>
        <v>花都四部-凤凰仓</v>
      </c>
      <c r="G3411" s="1" t="str">
        <f t="shared" si="1121"/>
        <v>卡卡杜佳旺专卖店（快手店）</v>
      </c>
      <c r="H3411" s="1" t="str">
        <f t="shared" si="1125"/>
        <v>正常订单</v>
      </c>
      <c r="I3411" s="1" t="str">
        <f t="shared" si="1126"/>
        <v>已发货</v>
      </c>
      <c r="J3411" s="1" t="str">
        <f t="shared" ref="J3411:J3418" si="1130">"3"</f>
        <v>3</v>
      </c>
      <c r="K3411" s="1">
        <v>2</v>
      </c>
      <c r="L3411" s="1" t="s">
        <v>18</v>
      </c>
      <c r="M3411" s="1" t="str">
        <f>"广东省 深圳市 宝安区 沙井街道"</f>
        <v>广东省 深圳市 宝安区 沙井街道</v>
      </c>
      <c r="N3411" s="1" t="str">
        <f t="shared" si="1128"/>
        <v>凡华云仓-城南圆通-快手</v>
      </c>
      <c r="O3411" s="5" t="s">
        <v>3443</v>
      </c>
      <c r="P3411" s="6">
        <v>0.35</v>
      </c>
      <c r="Q3411" s="11">
        <v>2.2999999999999998</v>
      </c>
      <c r="R3411" s="11"/>
      <c r="S3411" s="11"/>
      <c r="T3411" s="11"/>
      <c r="U3411" s="11">
        <f t="shared" si="1120"/>
        <v>2.2999999999999998</v>
      </c>
      <c r="W3411">
        <v>2.5</v>
      </c>
      <c r="X3411" s="1" t="s">
        <v>18</v>
      </c>
    </row>
    <row r="3412" spans="1:24" x14ac:dyDescent="0.25">
      <c r="A3412" s="1" t="str">
        <f t="shared" si="1123"/>
        <v>卡卡杜-凤凰仓</v>
      </c>
      <c r="B3412" s="1" t="str">
        <f>"CK2024102354"</f>
        <v>CK2024102354</v>
      </c>
      <c r="C3412" s="1" t="str">
        <f>"DD2024102317198"</f>
        <v>DD2024102317198</v>
      </c>
      <c r="D3412" s="1" t="str">
        <f>"CK2024102322322"</f>
        <v>CK2024102322322</v>
      </c>
      <c r="E3412" s="1" t="str">
        <f>"2429702097257896"</f>
        <v>2429702097257896</v>
      </c>
      <c r="F3412" s="1" t="str">
        <f t="shared" si="1124"/>
        <v>花都四部-凤凰仓</v>
      </c>
      <c r="G3412" s="1" t="str">
        <f t="shared" si="1121"/>
        <v>卡卡杜佳旺专卖店（快手店）</v>
      </c>
      <c r="H3412" s="1" t="str">
        <f t="shared" si="1125"/>
        <v>正常订单</v>
      </c>
      <c r="I3412" s="1" t="str">
        <f t="shared" si="1126"/>
        <v>已发货</v>
      </c>
      <c r="J3412" s="1" t="str">
        <f t="shared" si="1130"/>
        <v>3</v>
      </c>
      <c r="K3412" s="1">
        <v>2</v>
      </c>
      <c r="L3412" s="1" t="s">
        <v>18</v>
      </c>
      <c r="M3412" s="1" t="str">
        <f>"广东省 深圳市 光明区 马田街道"</f>
        <v>广东省 深圳市 光明区 马田街道</v>
      </c>
      <c r="N3412" s="1" t="str">
        <f t="shared" si="1128"/>
        <v>凡华云仓-城南圆通-快手</v>
      </c>
      <c r="O3412" s="5" t="s">
        <v>3444</v>
      </c>
      <c r="P3412" s="6">
        <v>0.35</v>
      </c>
      <c r="Q3412" s="11">
        <v>2.2999999999999998</v>
      </c>
      <c r="R3412" s="11"/>
      <c r="S3412" s="11"/>
      <c r="T3412" s="11"/>
      <c r="U3412" s="11">
        <f t="shared" si="1120"/>
        <v>2.2999999999999998</v>
      </c>
      <c r="W3412">
        <v>2.5</v>
      </c>
      <c r="X3412" s="1" t="s">
        <v>18</v>
      </c>
    </row>
    <row r="3413" spans="1:24" x14ac:dyDescent="0.25">
      <c r="A3413" s="1" t="str">
        <f t="shared" si="1123"/>
        <v>卡卡杜-凤凰仓</v>
      </c>
      <c r="B3413" s="1" t="str">
        <f>"CK2024102359"</f>
        <v>CK2024102359</v>
      </c>
      <c r="C3413" s="1" t="str">
        <f>"DD2024102317202"</f>
        <v>DD2024102317202</v>
      </c>
      <c r="D3413" s="1" t="str">
        <f>"CK2024102322321"</f>
        <v>CK2024102322321</v>
      </c>
      <c r="E3413" s="1" t="str">
        <f>"2429701612504675"</f>
        <v>2429701612504675</v>
      </c>
      <c r="F3413" s="1" t="str">
        <f t="shared" si="1124"/>
        <v>花都四部-凤凰仓</v>
      </c>
      <c r="G3413" s="1" t="str">
        <f t="shared" si="1121"/>
        <v>卡卡杜佳旺专卖店（快手店）</v>
      </c>
      <c r="H3413" s="1" t="str">
        <f t="shared" si="1125"/>
        <v>正常订单</v>
      </c>
      <c r="I3413" s="1" t="str">
        <f t="shared" si="1126"/>
        <v>已发货</v>
      </c>
      <c r="J3413" s="1" t="str">
        <f t="shared" si="1130"/>
        <v>3</v>
      </c>
      <c r="K3413" s="1">
        <v>2</v>
      </c>
      <c r="L3413" s="1" t="s">
        <v>16</v>
      </c>
      <c r="M3413" s="1" t="str">
        <f>"河北省 石家庄市 藁城区 兴安镇"</f>
        <v>河北省 石家庄市 藁城区 兴安镇</v>
      </c>
      <c r="N3413" s="1" t="str">
        <f t="shared" si="1128"/>
        <v>凡华云仓-城南圆通-快手</v>
      </c>
      <c r="O3413" s="5" t="s">
        <v>3445</v>
      </c>
      <c r="P3413" s="6">
        <v>0.35</v>
      </c>
      <c r="Q3413" s="11">
        <v>2.2999999999999998</v>
      </c>
      <c r="R3413" s="11"/>
      <c r="S3413" s="11"/>
      <c r="T3413" s="11"/>
      <c r="U3413" s="11">
        <f t="shared" si="1120"/>
        <v>2.2999999999999998</v>
      </c>
      <c r="W3413">
        <v>2.5</v>
      </c>
      <c r="X3413" s="1" t="s">
        <v>16</v>
      </c>
    </row>
    <row r="3414" spans="1:24" x14ac:dyDescent="0.25">
      <c r="A3414" s="1" t="str">
        <f t="shared" si="1123"/>
        <v>卡卡杜-凤凰仓</v>
      </c>
      <c r="B3414" s="1" t="str">
        <f>"CK2024102365"</f>
        <v>CK2024102365</v>
      </c>
      <c r="C3414" s="1" t="str">
        <f>"DD2024102317208"</f>
        <v>DD2024102317208</v>
      </c>
      <c r="D3414" s="1" t="str">
        <f>"CK2024102322320"</f>
        <v>CK2024102322320</v>
      </c>
      <c r="E3414" s="1" t="str">
        <f>"2429701859723692"</f>
        <v>2429701859723692</v>
      </c>
      <c r="F3414" s="1" t="str">
        <f t="shared" si="1124"/>
        <v>花都四部-凤凰仓</v>
      </c>
      <c r="G3414" s="1" t="str">
        <f t="shared" si="1121"/>
        <v>卡卡杜佳旺专卖店（快手店）</v>
      </c>
      <c r="H3414" s="1" t="str">
        <f t="shared" si="1125"/>
        <v>正常订单</v>
      </c>
      <c r="I3414" s="1" t="str">
        <f t="shared" si="1126"/>
        <v>已发货</v>
      </c>
      <c r="J3414" s="1" t="str">
        <f t="shared" si="1130"/>
        <v>3</v>
      </c>
      <c r="K3414" s="1">
        <v>2</v>
      </c>
      <c r="L3414" s="1" t="s">
        <v>54</v>
      </c>
      <c r="M3414" s="1" t="str">
        <f>"黑龙江省 牡丹江市 绥芬河市 绥芬河镇"</f>
        <v>黑龙江省 牡丹江市 绥芬河市 绥芬河镇</v>
      </c>
      <c r="N3414" s="1" t="str">
        <f t="shared" si="1128"/>
        <v>凡华云仓-城南圆通-快手</v>
      </c>
      <c r="O3414" s="5" t="s">
        <v>3446</v>
      </c>
      <c r="P3414" s="6">
        <v>0.35</v>
      </c>
      <c r="Q3414" s="11">
        <v>2.2999999999999998</v>
      </c>
      <c r="R3414" s="11"/>
      <c r="S3414" s="11"/>
      <c r="T3414" s="11"/>
      <c r="U3414" s="11">
        <f t="shared" si="1120"/>
        <v>2.2999999999999998</v>
      </c>
      <c r="W3414">
        <v>2.5</v>
      </c>
      <c r="X3414" s="1" t="s">
        <v>54</v>
      </c>
    </row>
    <row r="3415" spans="1:24" x14ac:dyDescent="0.25">
      <c r="A3415" s="1" t="str">
        <f t="shared" si="1123"/>
        <v>卡卡杜-凤凰仓</v>
      </c>
      <c r="B3415" s="1" t="str">
        <f>"CK2024102357"</f>
        <v>CK2024102357</v>
      </c>
      <c r="C3415" s="1" t="str">
        <f>"DD2024102317201"</f>
        <v>DD2024102317201</v>
      </c>
      <c r="D3415" s="1" t="str">
        <f>"CK2024102322319"</f>
        <v>CK2024102322319</v>
      </c>
      <c r="E3415" s="1" t="str">
        <f>"2429702007184707"</f>
        <v>2429702007184707</v>
      </c>
      <c r="F3415" s="1" t="str">
        <f t="shared" si="1124"/>
        <v>花都四部-凤凰仓</v>
      </c>
      <c r="G3415" s="1" t="str">
        <f t="shared" si="1121"/>
        <v>卡卡杜佳旺专卖店（快手店）</v>
      </c>
      <c r="H3415" s="1" t="str">
        <f t="shared" si="1125"/>
        <v>正常订单</v>
      </c>
      <c r="I3415" s="1" t="str">
        <f t="shared" si="1126"/>
        <v>已发货</v>
      </c>
      <c r="J3415" s="1" t="str">
        <f t="shared" si="1130"/>
        <v>3</v>
      </c>
      <c r="K3415" s="1">
        <v>2</v>
      </c>
      <c r="L3415" s="1" t="s">
        <v>18</v>
      </c>
      <c r="M3415" s="1" t="str">
        <f>"广东省 东莞市 石排镇 石排镇"</f>
        <v>广东省 东莞市 石排镇 石排镇</v>
      </c>
      <c r="N3415" s="1" t="str">
        <f t="shared" si="1128"/>
        <v>凡华云仓-城南圆通-快手</v>
      </c>
      <c r="O3415" s="5" t="s">
        <v>3447</v>
      </c>
      <c r="P3415" s="6">
        <v>0.35</v>
      </c>
      <c r="Q3415" s="11">
        <v>2.2999999999999998</v>
      </c>
      <c r="R3415" s="11"/>
      <c r="S3415" s="11"/>
      <c r="T3415" s="11"/>
      <c r="U3415" s="11">
        <f t="shared" si="1120"/>
        <v>2.2999999999999998</v>
      </c>
      <c r="W3415">
        <v>2.5</v>
      </c>
      <c r="X3415" s="1" t="s">
        <v>18</v>
      </c>
    </row>
    <row r="3416" spans="1:24" x14ac:dyDescent="0.25">
      <c r="A3416" s="1" t="str">
        <f t="shared" si="1123"/>
        <v>卡卡杜-凤凰仓</v>
      </c>
      <c r="B3416" s="1" t="str">
        <f>"CK2024102356"</f>
        <v>CK2024102356</v>
      </c>
      <c r="C3416" s="1" t="str">
        <f>"DD2024102317199"</f>
        <v>DD2024102317199</v>
      </c>
      <c r="D3416" s="1" t="str">
        <f>"CK2024102322318"</f>
        <v>CK2024102322318</v>
      </c>
      <c r="E3416" s="1" t="str">
        <f>"2429702009635225"</f>
        <v>2429702009635225</v>
      </c>
      <c r="F3416" s="1" t="str">
        <f t="shared" si="1124"/>
        <v>花都四部-凤凰仓</v>
      </c>
      <c r="G3416" s="1" t="str">
        <f t="shared" si="1121"/>
        <v>卡卡杜佳旺专卖店（快手店）</v>
      </c>
      <c r="H3416" s="1" t="str">
        <f t="shared" si="1125"/>
        <v>正常订单</v>
      </c>
      <c r="I3416" s="1" t="str">
        <f t="shared" si="1126"/>
        <v>已发货</v>
      </c>
      <c r="J3416" s="1" t="str">
        <f t="shared" si="1130"/>
        <v>3</v>
      </c>
      <c r="K3416" s="1">
        <v>2</v>
      </c>
      <c r="L3416" s="1" t="s">
        <v>18</v>
      </c>
      <c r="M3416" s="1" t="str">
        <f>"广东省 惠州市 惠阳区 秋长街道"</f>
        <v>广东省 惠州市 惠阳区 秋长街道</v>
      </c>
      <c r="N3416" s="1" t="str">
        <f t="shared" si="1128"/>
        <v>凡华云仓-城南圆通-快手</v>
      </c>
      <c r="O3416" s="5" t="s">
        <v>3448</v>
      </c>
      <c r="P3416" s="6">
        <v>0.35</v>
      </c>
      <c r="Q3416" s="11">
        <v>2.2999999999999998</v>
      </c>
      <c r="R3416" s="11"/>
      <c r="S3416" s="11"/>
      <c r="T3416" s="11"/>
      <c r="U3416" s="11">
        <f t="shared" si="1120"/>
        <v>2.2999999999999998</v>
      </c>
      <c r="W3416">
        <v>2.5</v>
      </c>
      <c r="X3416" s="1" t="s">
        <v>18</v>
      </c>
    </row>
    <row r="3417" spans="1:24" x14ac:dyDescent="0.25">
      <c r="A3417" s="1" t="str">
        <f t="shared" si="1123"/>
        <v>卡卡杜-凤凰仓</v>
      </c>
      <c r="B3417" s="1" t="str">
        <f>"CK2024102360"</f>
        <v>CK2024102360</v>
      </c>
      <c r="C3417" s="1" t="str">
        <f>"DD2024102317204"</f>
        <v>DD2024102317204</v>
      </c>
      <c r="D3417" s="1" t="str">
        <f>"CK2024102322317"</f>
        <v>CK2024102322317</v>
      </c>
      <c r="E3417" s="1" t="str">
        <f>"2429702403242482"</f>
        <v>2429702403242482</v>
      </c>
      <c r="F3417" s="1" t="str">
        <f t="shared" si="1124"/>
        <v>花都四部-凤凰仓</v>
      </c>
      <c r="G3417" s="1" t="str">
        <f t="shared" si="1121"/>
        <v>卡卡杜佳旺专卖店（快手店）</v>
      </c>
      <c r="H3417" s="1" t="str">
        <f t="shared" si="1125"/>
        <v>正常订单</v>
      </c>
      <c r="I3417" s="1" t="str">
        <f t="shared" si="1126"/>
        <v>已发货</v>
      </c>
      <c r="J3417" s="1" t="str">
        <f t="shared" si="1130"/>
        <v>3</v>
      </c>
      <c r="K3417" s="1">
        <v>2</v>
      </c>
      <c r="L3417" s="1" t="s">
        <v>18</v>
      </c>
      <c r="M3417" s="1" t="str">
        <f>"广东省 深圳市 宝安区 福海街道"</f>
        <v>广东省 深圳市 宝安区 福海街道</v>
      </c>
      <c r="N3417" s="1" t="str">
        <f t="shared" si="1128"/>
        <v>凡华云仓-城南圆通-快手</v>
      </c>
      <c r="O3417" s="5" t="s">
        <v>3449</v>
      </c>
      <c r="P3417" s="6">
        <v>0.35</v>
      </c>
      <c r="Q3417" s="11">
        <v>2.2999999999999998</v>
      </c>
      <c r="R3417" s="11"/>
      <c r="S3417" s="11"/>
      <c r="T3417" s="11"/>
      <c r="U3417" s="11">
        <f t="shared" si="1120"/>
        <v>2.2999999999999998</v>
      </c>
      <c r="W3417">
        <v>2.5</v>
      </c>
      <c r="X3417" s="1" t="s">
        <v>18</v>
      </c>
    </row>
    <row r="3418" spans="1:24" x14ac:dyDescent="0.25">
      <c r="A3418" s="1" t="str">
        <f t="shared" si="1123"/>
        <v>卡卡杜-凤凰仓</v>
      </c>
      <c r="B3418" s="1" t="str">
        <f>"CK2024102364"</f>
        <v>CK2024102364</v>
      </c>
      <c r="C3418" s="1" t="str">
        <f>"DD2024102317209"</f>
        <v>DD2024102317209</v>
      </c>
      <c r="D3418" s="1" t="str">
        <f>"CK2024102322316"</f>
        <v>CK2024102322316</v>
      </c>
      <c r="E3418" s="1" t="str">
        <f>"2429602502595704"</f>
        <v>2429602502595704</v>
      </c>
      <c r="F3418" s="1" t="str">
        <f t="shared" si="1124"/>
        <v>花都四部-凤凰仓</v>
      </c>
      <c r="G3418" s="1" t="str">
        <f t="shared" si="1121"/>
        <v>卡卡杜佳旺专卖店（快手店）</v>
      </c>
      <c r="H3418" s="1" t="str">
        <f t="shared" si="1125"/>
        <v>正常订单</v>
      </c>
      <c r="I3418" s="1" t="str">
        <f t="shared" si="1126"/>
        <v>已发货</v>
      </c>
      <c r="J3418" s="1" t="str">
        <f t="shared" si="1130"/>
        <v>3</v>
      </c>
      <c r="K3418" s="1">
        <v>2</v>
      </c>
      <c r="L3418" s="1" t="s">
        <v>24</v>
      </c>
      <c r="M3418" s="1" t="str">
        <f>"福建省 宁德市 福鼎市 山前街道"</f>
        <v>福建省 宁德市 福鼎市 山前街道</v>
      </c>
      <c r="N3418" s="1" t="str">
        <f t="shared" si="1128"/>
        <v>凡华云仓-城南圆通-快手</v>
      </c>
      <c r="O3418" s="5" t="s">
        <v>3450</v>
      </c>
      <c r="P3418" s="6">
        <v>0.35</v>
      </c>
      <c r="Q3418" s="11">
        <v>2.2999999999999998</v>
      </c>
      <c r="R3418" s="11"/>
      <c r="S3418" s="11"/>
      <c r="T3418" s="11"/>
      <c r="U3418" s="11">
        <f t="shared" si="1120"/>
        <v>2.2999999999999998</v>
      </c>
      <c r="W3418">
        <v>2.5</v>
      </c>
      <c r="X3418" s="1" t="s">
        <v>24</v>
      </c>
    </row>
    <row r="3419" spans="1:24" x14ac:dyDescent="0.25">
      <c r="A3419" s="1" t="str">
        <f t="shared" si="1123"/>
        <v>卡卡杜-凤凰仓</v>
      </c>
      <c r="B3419" s="1" t="str">
        <f>"CK2024102369"</f>
        <v>CK2024102369</v>
      </c>
      <c r="C3419" s="1" t="str">
        <f>"DD2024102317213"</f>
        <v>DD2024102317213</v>
      </c>
      <c r="D3419" s="1" t="str">
        <f>"CK2024102322315"</f>
        <v>CK2024102322315</v>
      </c>
      <c r="E3419" s="1" t="str">
        <f>"2429602097499993"</f>
        <v>2429602097499993</v>
      </c>
      <c r="F3419" s="1" t="str">
        <f t="shared" si="1124"/>
        <v>花都四部-凤凰仓</v>
      </c>
      <c r="G3419" s="1" t="str">
        <f t="shared" si="1121"/>
        <v>卡卡杜佳旺专卖店（快手店）</v>
      </c>
      <c r="H3419" s="1" t="str">
        <f t="shared" si="1125"/>
        <v>正常订单</v>
      </c>
      <c r="I3419" s="1" t="str">
        <f t="shared" si="1126"/>
        <v>已发货</v>
      </c>
      <c r="J3419" s="1" t="str">
        <f>"5"</f>
        <v>5</v>
      </c>
      <c r="K3419" s="1">
        <v>2</v>
      </c>
      <c r="L3419" s="1" t="s">
        <v>161</v>
      </c>
      <c r="M3419" s="1" t="str">
        <f>"四川省 内江市 市中区 城西街道"</f>
        <v>四川省 内江市 市中区 城西街道</v>
      </c>
      <c r="N3419" s="1" t="str">
        <f t="shared" si="1128"/>
        <v>凡华云仓-城南圆通-快手</v>
      </c>
      <c r="O3419" s="5" t="s">
        <v>3451</v>
      </c>
      <c r="P3419" s="6">
        <v>0.59</v>
      </c>
      <c r="Q3419" s="11">
        <f>CEILING(P3419-0.5,0.1)*10*0.15+2.3</f>
        <v>2.4499999999999997</v>
      </c>
      <c r="R3419" s="11"/>
      <c r="S3419" s="11"/>
      <c r="T3419" s="11"/>
      <c r="U3419" s="11">
        <f t="shared" si="1120"/>
        <v>2.4499999999999997</v>
      </c>
      <c r="V3419" t="s">
        <v>15</v>
      </c>
      <c r="W3419">
        <v>2.4500000000000002</v>
      </c>
      <c r="X3419" s="1" t="s">
        <v>161</v>
      </c>
    </row>
    <row r="3420" spans="1:24" x14ac:dyDescent="0.25">
      <c r="A3420" s="1" t="str">
        <f t="shared" si="1123"/>
        <v>卡卡杜-凤凰仓</v>
      </c>
      <c r="B3420" s="1" t="str">
        <f>"CK2024102366"</f>
        <v>CK2024102366</v>
      </c>
      <c r="C3420" s="1" t="str">
        <f>"DD2024102317212"</f>
        <v>DD2024102317212</v>
      </c>
      <c r="D3420" s="1" t="str">
        <f>"CK2024102322314"</f>
        <v>CK2024102322314</v>
      </c>
      <c r="E3420" s="1" t="str">
        <f>"2429602100840512"</f>
        <v>2429602100840512</v>
      </c>
      <c r="F3420" s="1" t="str">
        <f t="shared" si="1124"/>
        <v>花都四部-凤凰仓</v>
      </c>
      <c r="G3420" s="1" t="str">
        <f t="shared" si="1121"/>
        <v>卡卡杜佳旺专卖店（快手店）</v>
      </c>
      <c r="H3420" s="1" t="str">
        <f t="shared" si="1125"/>
        <v>正常订单</v>
      </c>
      <c r="I3420" s="1" t="str">
        <f t="shared" si="1126"/>
        <v>已发货</v>
      </c>
      <c r="J3420" s="1" t="str">
        <f t="shared" ref="J3420:J3422" si="1131">"3"</f>
        <v>3</v>
      </c>
      <c r="K3420" s="1">
        <v>2</v>
      </c>
      <c r="L3420" s="1" t="s">
        <v>32</v>
      </c>
      <c r="M3420" s="1" t="str">
        <f>"陕西省 咸阳市 秦都区 钓台街道"</f>
        <v>陕西省 咸阳市 秦都区 钓台街道</v>
      </c>
      <c r="N3420" s="1" t="str">
        <f t="shared" si="1128"/>
        <v>凡华云仓-城南圆通-快手</v>
      </c>
      <c r="O3420" s="5" t="s">
        <v>3452</v>
      </c>
      <c r="P3420" s="6">
        <v>0.35</v>
      </c>
      <c r="Q3420" s="11">
        <v>2.2999999999999998</v>
      </c>
      <c r="R3420" s="11"/>
      <c r="S3420" s="11"/>
      <c r="T3420" s="11"/>
      <c r="U3420" s="11">
        <f t="shared" si="1120"/>
        <v>2.2999999999999998</v>
      </c>
      <c r="W3420">
        <v>2.5</v>
      </c>
      <c r="X3420" s="1" t="s">
        <v>32</v>
      </c>
    </row>
    <row r="3421" spans="1:24" x14ac:dyDescent="0.25">
      <c r="A3421" s="1" t="str">
        <f t="shared" si="1123"/>
        <v>卡卡杜-凤凰仓</v>
      </c>
      <c r="B3421" s="1" t="str">
        <f>"CK2024102362"</f>
        <v>CK2024102362</v>
      </c>
      <c r="C3421" s="1" t="str">
        <f>"DD2024102317206"</f>
        <v>DD2024102317206</v>
      </c>
      <c r="D3421" s="1" t="str">
        <f>"CK2024102322313"</f>
        <v>CK2024102322313</v>
      </c>
      <c r="E3421" s="1" t="str">
        <f>"2429601620698097"</f>
        <v>2429601620698097</v>
      </c>
      <c r="F3421" s="1" t="str">
        <f t="shared" si="1124"/>
        <v>花都四部-凤凰仓</v>
      </c>
      <c r="G3421" s="1" t="str">
        <f t="shared" si="1121"/>
        <v>卡卡杜佳旺专卖店（快手店）</v>
      </c>
      <c r="H3421" s="1" t="str">
        <f t="shared" si="1125"/>
        <v>正常订单</v>
      </c>
      <c r="I3421" s="1" t="str">
        <f t="shared" si="1126"/>
        <v>已发货</v>
      </c>
      <c r="J3421" s="1" t="str">
        <f t="shared" si="1131"/>
        <v>3</v>
      </c>
      <c r="K3421" s="1">
        <v>2</v>
      </c>
      <c r="L3421" s="1" t="s">
        <v>24</v>
      </c>
      <c r="M3421" s="1" t="str">
        <f>"福建省 福州市 闽侯县 青口镇"</f>
        <v>福建省 福州市 闽侯县 青口镇</v>
      </c>
      <c r="N3421" s="1" t="str">
        <f t="shared" si="1128"/>
        <v>凡华云仓-城南圆通-快手</v>
      </c>
      <c r="O3421" s="5" t="s">
        <v>3453</v>
      </c>
      <c r="P3421" s="6">
        <v>0.35</v>
      </c>
      <c r="Q3421" s="11">
        <v>2.2999999999999998</v>
      </c>
      <c r="R3421" s="11"/>
      <c r="S3421" s="11"/>
      <c r="T3421" s="11"/>
      <c r="U3421" s="11">
        <f t="shared" si="1120"/>
        <v>2.2999999999999998</v>
      </c>
      <c r="W3421">
        <v>2.5</v>
      </c>
      <c r="X3421" s="1" t="s">
        <v>24</v>
      </c>
    </row>
    <row r="3422" spans="1:24" x14ac:dyDescent="0.25">
      <c r="A3422" s="1" t="str">
        <f t="shared" si="1123"/>
        <v>卡卡杜-凤凰仓</v>
      </c>
      <c r="B3422" s="1" t="str">
        <f>"CK2024102361"</f>
        <v>CK2024102361</v>
      </c>
      <c r="C3422" s="1" t="str">
        <f>"DD2024102317205"</f>
        <v>DD2024102317205</v>
      </c>
      <c r="D3422" s="1" t="str">
        <f>"CK2024102322312"</f>
        <v>CK2024102322312</v>
      </c>
      <c r="E3422" s="1" t="str">
        <f>"2429602418114480"</f>
        <v>2429602418114480</v>
      </c>
      <c r="F3422" s="1" t="str">
        <f t="shared" si="1124"/>
        <v>花都四部-凤凰仓</v>
      </c>
      <c r="G3422" s="1" t="str">
        <f t="shared" si="1121"/>
        <v>卡卡杜佳旺专卖店（快手店）</v>
      </c>
      <c r="H3422" s="1" t="str">
        <f t="shared" si="1125"/>
        <v>正常订单</v>
      </c>
      <c r="I3422" s="1" t="str">
        <f t="shared" si="1126"/>
        <v>已发货</v>
      </c>
      <c r="J3422" s="1" t="str">
        <f t="shared" si="1131"/>
        <v>3</v>
      </c>
      <c r="K3422" s="1">
        <v>2</v>
      </c>
      <c r="L3422" s="1" t="s">
        <v>20</v>
      </c>
      <c r="M3422" s="1" t="str">
        <f>"浙江省 宁波市 北仑区 新碶街道"</f>
        <v>浙江省 宁波市 北仑区 新碶街道</v>
      </c>
      <c r="N3422" s="1" t="str">
        <f t="shared" si="1128"/>
        <v>凡华云仓-城南圆通-快手</v>
      </c>
      <c r="O3422" s="5" t="s">
        <v>3454</v>
      </c>
      <c r="P3422" s="6">
        <v>0.35</v>
      </c>
      <c r="Q3422" s="11">
        <v>2.2999999999999998</v>
      </c>
      <c r="R3422" s="11"/>
      <c r="S3422" s="11"/>
      <c r="T3422" s="11"/>
      <c r="U3422" s="11">
        <f t="shared" si="1120"/>
        <v>2.2999999999999998</v>
      </c>
      <c r="W3422">
        <v>2.5</v>
      </c>
      <c r="X3422" s="1" t="s">
        <v>20</v>
      </c>
    </row>
    <row r="3423" spans="1:24" x14ac:dyDescent="0.25">
      <c r="A3423" s="1" t="str">
        <f t="shared" si="1123"/>
        <v>卡卡杜-凤凰仓</v>
      </c>
      <c r="B3423" s="1" t="str">
        <f>"CK2024102373"</f>
        <v>CK2024102373</v>
      </c>
      <c r="C3423" s="1" t="str">
        <f>"DD2024102317218"</f>
        <v>DD2024102317218</v>
      </c>
      <c r="D3423" s="1" t="str">
        <f>"CK2024102322311"</f>
        <v>CK2024102322311</v>
      </c>
      <c r="E3423" s="1" t="str">
        <f>"2429601615978292"</f>
        <v>2429601615978292</v>
      </c>
      <c r="F3423" s="1" t="str">
        <f t="shared" si="1124"/>
        <v>花都四部-凤凰仓</v>
      </c>
      <c r="G3423" s="1" t="str">
        <f t="shared" si="1121"/>
        <v>卡卡杜佳旺专卖店（快手店）</v>
      </c>
      <c r="H3423" s="1" t="str">
        <f t="shared" si="1125"/>
        <v>正常订单</v>
      </c>
      <c r="I3423" s="1" t="str">
        <f t="shared" si="1126"/>
        <v>已发货</v>
      </c>
      <c r="J3423" s="1" t="str">
        <f>"5"</f>
        <v>5</v>
      </c>
      <c r="K3423" s="1">
        <v>2</v>
      </c>
      <c r="L3423" s="1" t="s">
        <v>710</v>
      </c>
      <c r="M3423" s="1" t="str">
        <f>"上海市 上海市 浦东新区 航头镇"</f>
        <v>上海市 上海市 浦东新区 航头镇</v>
      </c>
      <c r="N3423" s="1" t="str">
        <f t="shared" si="1128"/>
        <v>凡华云仓-城南圆通-快手</v>
      </c>
      <c r="O3423" s="5" t="s">
        <v>3455</v>
      </c>
      <c r="P3423" s="6">
        <v>0.59</v>
      </c>
      <c r="Q3423" s="11">
        <f>CEILING(P3423-0.5,0.1)*10*0.15+2.3</f>
        <v>2.4499999999999997</v>
      </c>
      <c r="R3423" s="11"/>
      <c r="S3423" s="11"/>
      <c r="T3423" s="11"/>
      <c r="U3423" s="11">
        <f t="shared" si="1120"/>
        <v>2.4499999999999997</v>
      </c>
      <c r="V3423" t="s">
        <v>15</v>
      </c>
      <c r="W3423">
        <v>2.4500000000000002</v>
      </c>
      <c r="X3423" s="1" t="s">
        <v>710</v>
      </c>
    </row>
    <row r="3424" spans="1:24" x14ac:dyDescent="0.25">
      <c r="A3424" s="1" t="str">
        <f t="shared" si="1123"/>
        <v>卡卡杜-凤凰仓</v>
      </c>
      <c r="B3424" s="1" t="str">
        <f>"CK2024102323"</f>
        <v>CK2024102323</v>
      </c>
      <c r="C3424" s="1" t="str">
        <f>"DD2024102317162"</f>
        <v>DD2024102317162</v>
      </c>
      <c r="D3424" s="1" t="str">
        <f>"CK2024102322310"</f>
        <v>CK2024102322310</v>
      </c>
      <c r="E3424" s="1" t="str">
        <f>"2429601778201500"</f>
        <v>2429601778201500</v>
      </c>
      <c r="F3424" s="1" t="str">
        <f t="shared" si="1124"/>
        <v>花都四部-凤凰仓</v>
      </c>
      <c r="G3424" s="1" t="str">
        <f t="shared" si="1121"/>
        <v>卡卡杜佳旺专卖店（快手店）</v>
      </c>
      <c r="H3424" s="1" t="str">
        <f t="shared" si="1125"/>
        <v>正常订单</v>
      </c>
      <c r="I3424" s="1" t="str">
        <f t="shared" si="1126"/>
        <v>已发货</v>
      </c>
      <c r="J3424" s="1" t="str">
        <f t="shared" ref="J3424:J3427" si="1132">"3"</f>
        <v>3</v>
      </c>
      <c r="K3424" s="1">
        <v>2</v>
      </c>
      <c r="L3424" s="1" t="s">
        <v>30</v>
      </c>
      <c r="M3424" s="1" t="str">
        <f>"山东省 威海市 环翠区 张村镇"</f>
        <v>山东省 威海市 环翠区 张村镇</v>
      </c>
      <c r="N3424" s="1" t="str">
        <f t="shared" si="1128"/>
        <v>凡华云仓-城南圆通-快手</v>
      </c>
      <c r="O3424" s="5" t="s">
        <v>3456</v>
      </c>
      <c r="P3424" s="6">
        <v>0.35</v>
      </c>
      <c r="Q3424" s="11">
        <v>2.2999999999999998</v>
      </c>
      <c r="R3424" s="11"/>
      <c r="S3424" s="11"/>
      <c r="T3424" s="11"/>
      <c r="U3424" s="11">
        <f t="shared" si="1120"/>
        <v>2.2999999999999998</v>
      </c>
      <c r="W3424">
        <v>2.5</v>
      </c>
      <c r="X3424" s="1" t="s">
        <v>30</v>
      </c>
    </row>
    <row r="3425" spans="1:24" x14ac:dyDescent="0.25">
      <c r="A3425" s="1" t="str">
        <f t="shared" si="1123"/>
        <v>卡卡杜-凤凰仓</v>
      </c>
      <c r="B3425" s="1" t="str">
        <f>"CK2024102351"</f>
        <v>CK2024102351</v>
      </c>
      <c r="C3425" s="1" t="str">
        <f>"DD2024102317195"</f>
        <v>DD2024102317195</v>
      </c>
      <c r="D3425" s="1" t="str">
        <f>"CK2024102322309"</f>
        <v>CK2024102322309</v>
      </c>
      <c r="E3425" s="1" t="str">
        <f>"2429601694810208"</f>
        <v>2429601694810208</v>
      </c>
      <c r="F3425" s="1" t="str">
        <f t="shared" si="1124"/>
        <v>花都四部-凤凰仓</v>
      </c>
      <c r="G3425" s="1" t="str">
        <f t="shared" si="1121"/>
        <v>卡卡杜佳旺专卖店（快手店）</v>
      </c>
      <c r="H3425" s="1" t="str">
        <f t="shared" si="1125"/>
        <v>正常订单</v>
      </c>
      <c r="I3425" s="1" t="str">
        <f t="shared" si="1126"/>
        <v>已发货</v>
      </c>
      <c r="J3425" s="1" t="str">
        <f t="shared" si="1132"/>
        <v>3</v>
      </c>
      <c r="K3425" s="1">
        <v>2</v>
      </c>
      <c r="L3425" s="1" t="s">
        <v>32</v>
      </c>
      <c r="M3425" s="1" t="str">
        <f>"陕西省 咸阳市 秦都区 钓台街道"</f>
        <v>陕西省 咸阳市 秦都区 钓台街道</v>
      </c>
      <c r="N3425" s="1" t="str">
        <f t="shared" si="1128"/>
        <v>凡华云仓-城南圆通-快手</v>
      </c>
      <c r="O3425" s="5" t="s">
        <v>3457</v>
      </c>
      <c r="P3425" s="6">
        <v>0.35</v>
      </c>
      <c r="Q3425" s="11">
        <v>2.2999999999999998</v>
      </c>
      <c r="R3425" s="11"/>
      <c r="S3425" s="11"/>
      <c r="T3425" s="11"/>
      <c r="U3425" s="11">
        <f t="shared" si="1120"/>
        <v>2.2999999999999998</v>
      </c>
      <c r="W3425">
        <v>2.5</v>
      </c>
      <c r="X3425" s="1" t="s">
        <v>32</v>
      </c>
    </row>
    <row r="3426" spans="1:24" x14ac:dyDescent="0.25">
      <c r="A3426" s="1" t="str">
        <f t="shared" si="1123"/>
        <v>卡卡杜-凤凰仓</v>
      </c>
      <c r="B3426" s="1" t="str">
        <f>"CK2024102315"</f>
        <v>CK2024102315</v>
      </c>
      <c r="C3426" s="1" t="str">
        <f>"DD2024102317149"</f>
        <v>DD2024102317149</v>
      </c>
      <c r="D3426" s="1" t="str">
        <f>"CK2024102322308"</f>
        <v>CK2024102322308</v>
      </c>
      <c r="E3426" s="1" t="str">
        <f>"2429602020611728"</f>
        <v>2429602020611728</v>
      </c>
      <c r="F3426" s="1" t="str">
        <f t="shared" si="1124"/>
        <v>花都四部-凤凰仓</v>
      </c>
      <c r="G3426" s="1" t="str">
        <f t="shared" si="1121"/>
        <v>卡卡杜佳旺专卖店（快手店）</v>
      </c>
      <c r="H3426" s="1" t="str">
        <f t="shared" si="1125"/>
        <v>正常订单</v>
      </c>
      <c r="I3426" s="1" t="str">
        <f t="shared" si="1126"/>
        <v>已发货</v>
      </c>
      <c r="J3426" s="1" t="str">
        <f t="shared" si="1132"/>
        <v>3</v>
      </c>
      <c r="K3426" s="1">
        <v>2</v>
      </c>
      <c r="L3426" s="1" t="s">
        <v>44</v>
      </c>
      <c r="M3426" s="1" t="str">
        <f>"海南省 省直辖县级行政区划 澄迈县 加乐镇"</f>
        <v>海南省 省直辖县级行政区划 澄迈县 加乐镇</v>
      </c>
      <c r="N3426" s="1" t="str">
        <f t="shared" si="1128"/>
        <v>凡华云仓-城南圆通-快手</v>
      </c>
      <c r="O3426" s="5" t="s">
        <v>3458</v>
      </c>
      <c r="P3426" s="6">
        <v>0.35</v>
      </c>
      <c r="Q3426" s="11">
        <v>2.2999999999999998</v>
      </c>
      <c r="R3426" s="11"/>
      <c r="S3426" s="11"/>
      <c r="T3426" s="11"/>
      <c r="U3426" s="11">
        <f t="shared" si="1120"/>
        <v>2.2999999999999998</v>
      </c>
      <c r="W3426">
        <v>2.5</v>
      </c>
      <c r="X3426" s="1" t="s">
        <v>44</v>
      </c>
    </row>
    <row r="3427" spans="1:24" x14ac:dyDescent="0.25">
      <c r="A3427" s="1" t="str">
        <f t="shared" si="1123"/>
        <v>卡卡杜-凤凰仓</v>
      </c>
      <c r="B3427" s="1" t="str">
        <f>"CK2024102342"</f>
        <v>CK2024102342</v>
      </c>
      <c r="C3427" s="1" t="str">
        <f>"DD2024102317186"</f>
        <v>DD2024102317186</v>
      </c>
      <c r="D3427" s="1" t="str">
        <f>"CK2024102322307"</f>
        <v>CK2024102322307</v>
      </c>
      <c r="E3427" s="1" t="str">
        <f>"2429601937259165"</f>
        <v>2429601937259165</v>
      </c>
      <c r="F3427" s="1" t="str">
        <f t="shared" si="1124"/>
        <v>花都四部-凤凰仓</v>
      </c>
      <c r="G3427" s="1" t="str">
        <f t="shared" si="1121"/>
        <v>卡卡杜佳旺专卖店（快手店）</v>
      </c>
      <c r="H3427" s="1" t="str">
        <f t="shared" si="1125"/>
        <v>正常订单</v>
      </c>
      <c r="I3427" s="1" t="str">
        <f t="shared" si="1126"/>
        <v>已发货</v>
      </c>
      <c r="J3427" s="1" t="str">
        <f t="shared" si="1132"/>
        <v>3</v>
      </c>
      <c r="K3427" s="1">
        <v>2</v>
      </c>
      <c r="L3427" s="1" t="s">
        <v>13</v>
      </c>
      <c r="M3427" s="1" t="str">
        <f>"江苏省 苏州市 昆山市 锦溪镇"</f>
        <v>江苏省 苏州市 昆山市 锦溪镇</v>
      </c>
      <c r="N3427" s="1" t="str">
        <f t="shared" si="1128"/>
        <v>凡华云仓-城南圆通-快手</v>
      </c>
      <c r="O3427" s="5" t="s">
        <v>3459</v>
      </c>
      <c r="P3427" s="6">
        <v>0.35</v>
      </c>
      <c r="Q3427" s="11">
        <v>2.2999999999999998</v>
      </c>
      <c r="R3427" s="11"/>
      <c r="S3427" s="11"/>
      <c r="T3427" s="11"/>
      <c r="U3427" s="11">
        <f t="shared" si="1120"/>
        <v>2.2999999999999998</v>
      </c>
      <c r="W3427">
        <v>2.5</v>
      </c>
      <c r="X3427" s="1" t="s">
        <v>13</v>
      </c>
    </row>
    <row r="3428" spans="1:24" x14ac:dyDescent="0.25">
      <c r="A3428" s="1" t="str">
        <f t="shared" si="1123"/>
        <v>卡卡杜-凤凰仓</v>
      </c>
      <c r="B3428" s="1" t="str">
        <f>"CK2024102371"</f>
        <v>CK2024102371</v>
      </c>
      <c r="C3428" s="1" t="str">
        <f>"DD2024102317215"</f>
        <v>DD2024102317215</v>
      </c>
      <c r="D3428" s="1" t="str">
        <f>"CK2024102322306"</f>
        <v>CK2024102322306</v>
      </c>
      <c r="E3428" s="1" t="str">
        <f>"2429602337089627"</f>
        <v>2429602337089627</v>
      </c>
      <c r="F3428" s="1" t="str">
        <f t="shared" si="1124"/>
        <v>花都四部-凤凰仓</v>
      </c>
      <c r="G3428" s="1" t="str">
        <f t="shared" si="1121"/>
        <v>卡卡杜佳旺专卖店（快手店）</v>
      </c>
      <c r="H3428" s="1" t="str">
        <f t="shared" si="1125"/>
        <v>正常订单</v>
      </c>
      <c r="I3428" s="1" t="str">
        <f t="shared" si="1126"/>
        <v>已发货</v>
      </c>
      <c r="J3428" s="1" t="str">
        <f>"5"</f>
        <v>5</v>
      </c>
      <c r="K3428" s="1">
        <v>2</v>
      </c>
      <c r="L3428" s="1" t="s">
        <v>109</v>
      </c>
      <c r="M3428" s="1" t="str">
        <f>"山西省 太原市 清徐县 西谷乡"</f>
        <v>山西省 太原市 清徐县 西谷乡</v>
      </c>
      <c r="N3428" s="1" t="str">
        <f t="shared" si="1128"/>
        <v>凡华云仓-城南圆通-快手</v>
      </c>
      <c r="O3428" s="5" t="s">
        <v>3460</v>
      </c>
      <c r="P3428" s="6">
        <v>0.59</v>
      </c>
      <c r="Q3428" s="11">
        <f>CEILING(P3428-0.5,0.1)*10*0.15+2.3</f>
        <v>2.4499999999999997</v>
      </c>
      <c r="R3428" s="11"/>
      <c r="S3428" s="11"/>
      <c r="T3428" s="11"/>
      <c r="U3428" s="11">
        <f t="shared" si="1120"/>
        <v>2.4499999999999997</v>
      </c>
      <c r="V3428" t="s">
        <v>15</v>
      </c>
      <c r="W3428">
        <v>2.4500000000000002</v>
      </c>
      <c r="X3428" s="1" t="s">
        <v>109</v>
      </c>
    </row>
    <row r="3429" spans="1:24" x14ac:dyDescent="0.25">
      <c r="A3429" s="1" t="str">
        <f t="shared" si="1123"/>
        <v>卡卡杜-凤凰仓</v>
      </c>
      <c r="B3429" s="1" t="str">
        <f>"CK2024102350"</f>
        <v>CK2024102350</v>
      </c>
      <c r="C3429" s="1" t="str">
        <f>"DD2024102317194"</f>
        <v>DD2024102317194</v>
      </c>
      <c r="D3429" s="1" t="str">
        <f>"CK2024102322305"</f>
        <v>CK2024102322305</v>
      </c>
      <c r="E3429" s="1" t="str">
        <f>"2429601697153078"</f>
        <v>2429601697153078</v>
      </c>
      <c r="F3429" s="1" t="str">
        <f t="shared" si="1124"/>
        <v>花都四部-凤凰仓</v>
      </c>
      <c r="G3429" s="1" t="str">
        <f t="shared" si="1121"/>
        <v>卡卡杜佳旺专卖店（快手店）</v>
      </c>
      <c r="H3429" s="1" t="str">
        <f t="shared" si="1125"/>
        <v>正常订单</v>
      </c>
      <c r="I3429" s="1" t="str">
        <f t="shared" si="1126"/>
        <v>已发货</v>
      </c>
      <c r="J3429" s="1" t="str">
        <f t="shared" ref="J3429:J3433" si="1133">"3"</f>
        <v>3</v>
      </c>
      <c r="K3429" s="1">
        <v>2</v>
      </c>
      <c r="L3429" s="1" t="s">
        <v>13</v>
      </c>
      <c r="M3429" s="1" t="str">
        <f>"江苏省 苏州市 昆山市 锦溪镇"</f>
        <v>江苏省 苏州市 昆山市 锦溪镇</v>
      </c>
      <c r="N3429" s="1" t="str">
        <f t="shared" si="1128"/>
        <v>凡华云仓-城南圆通-快手</v>
      </c>
      <c r="O3429" s="5" t="s">
        <v>3461</v>
      </c>
      <c r="P3429" s="6">
        <v>0.35</v>
      </c>
      <c r="Q3429" s="11">
        <v>2.2999999999999998</v>
      </c>
      <c r="R3429" s="11"/>
      <c r="S3429" s="11"/>
      <c r="T3429" s="11"/>
      <c r="U3429" s="11">
        <f t="shared" si="1120"/>
        <v>2.2999999999999998</v>
      </c>
      <c r="W3429">
        <v>2.5</v>
      </c>
      <c r="X3429" s="1" t="s">
        <v>13</v>
      </c>
    </row>
    <row r="3430" spans="1:24" x14ac:dyDescent="0.25">
      <c r="A3430" s="1" t="str">
        <f t="shared" si="1123"/>
        <v>卡卡杜-凤凰仓</v>
      </c>
      <c r="B3430" s="1" t="str">
        <f>"CK2024102337"</f>
        <v>CK2024102337</v>
      </c>
      <c r="C3430" s="1" t="str">
        <f>"DD2024102317179"</f>
        <v>DD2024102317179</v>
      </c>
      <c r="D3430" s="1" t="str">
        <f>"CK2024102322304"</f>
        <v>CK2024102322304</v>
      </c>
      <c r="E3430" s="1" t="str">
        <f>"2429602091560196"</f>
        <v>2429602091560196</v>
      </c>
      <c r="F3430" s="1" t="str">
        <f t="shared" si="1124"/>
        <v>花都四部-凤凰仓</v>
      </c>
      <c r="G3430" s="1" t="str">
        <f t="shared" si="1121"/>
        <v>卡卡杜佳旺专卖店（快手店）</v>
      </c>
      <c r="H3430" s="1" t="str">
        <f t="shared" si="1125"/>
        <v>正常订单</v>
      </c>
      <c r="I3430" s="1" t="str">
        <f t="shared" si="1126"/>
        <v>已发货</v>
      </c>
      <c r="J3430" s="1" t="str">
        <f t="shared" si="1133"/>
        <v>3</v>
      </c>
      <c r="K3430" s="1">
        <v>2</v>
      </c>
      <c r="L3430" s="1" t="s">
        <v>24</v>
      </c>
      <c r="M3430" s="1" t="str">
        <f>"福建省 厦门市 海沧区 海沧街道"</f>
        <v>福建省 厦门市 海沧区 海沧街道</v>
      </c>
      <c r="N3430" s="1" t="str">
        <f t="shared" si="1128"/>
        <v>凡华云仓-城南圆通-快手</v>
      </c>
      <c r="O3430" s="5" t="s">
        <v>3462</v>
      </c>
      <c r="P3430" s="6">
        <v>0.35</v>
      </c>
      <c r="Q3430" s="11">
        <v>2.2999999999999998</v>
      </c>
      <c r="R3430" s="11"/>
      <c r="S3430" s="11"/>
      <c r="T3430" s="11"/>
      <c r="U3430" s="11">
        <f t="shared" si="1120"/>
        <v>2.2999999999999998</v>
      </c>
      <c r="W3430">
        <v>2.5</v>
      </c>
      <c r="X3430" s="1" t="s">
        <v>24</v>
      </c>
    </row>
    <row r="3431" spans="1:24" x14ac:dyDescent="0.25">
      <c r="A3431" s="1" t="str">
        <f t="shared" si="1123"/>
        <v>卡卡杜-凤凰仓</v>
      </c>
      <c r="B3431" s="1" t="str">
        <f>"CK20241023146"</f>
        <v>CK20241023146</v>
      </c>
      <c r="C3431" s="1" t="str">
        <f>"DD2024102317307"</f>
        <v>DD2024102317307</v>
      </c>
      <c r="D3431" s="1" t="str">
        <f>"CK2024102322303"</f>
        <v>CK2024102322303</v>
      </c>
      <c r="E3431" s="1" t="str">
        <f>"2429602492355604"</f>
        <v>2429602492355604</v>
      </c>
      <c r="F3431" s="1" t="str">
        <f t="shared" si="1124"/>
        <v>花都四部-凤凰仓</v>
      </c>
      <c r="G3431" s="1" t="str">
        <f t="shared" si="1121"/>
        <v>卡卡杜佳旺专卖店（快手店）</v>
      </c>
      <c r="H3431" s="1" t="str">
        <f t="shared" si="1125"/>
        <v>正常订单</v>
      </c>
      <c r="I3431" s="1" t="str">
        <f t="shared" si="1126"/>
        <v>已发货</v>
      </c>
      <c r="J3431" s="1" t="str">
        <f t="shared" si="1133"/>
        <v>3</v>
      </c>
      <c r="K3431" s="1">
        <v>3</v>
      </c>
      <c r="L3431" s="1" t="s">
        <v>187</v>
      </c>
      <c r="M3431" s="1" t="str">
        <f>"吉林省 白城市 镇赉县 镇赉镇"</f>
        <v>吉林省 白城市 镇赉县 镇赉镇</v>
      </c>
      <c r="N3431" s="1" t="str">
        <f t="shared" si="1128"/>
        <v>凡华云仓-城南圆通-快手</v>
      </c>
      <c r="O3431" s="5" t="s">
        <v>3463</v>
      </c>
      <c r="P3431" s="6">
        <v>0.34</v>
      </c>
      <c r="Q3431" s="11">
        <v>2.2999999999999998</v>
      </c>
      <c r="R3431" s="11"/>
      <c r="S3431" s="11"/>
      <c r="T3431" s="11"/>
      <c r="U3431" s="11">
        <f t="shared" si="1120"/>
        <v>2.2999999999999998</v>
      </c>
      <c r="W3431">
        <v>2.5</v>
      </c>
      <c r="X3431" s="1" t="s">
        <v>187</v>
      </c>
    </row>
    <row r="3432" spans="1:24" x14ac:dyDescent="0.25">
      <c r="A3432" s="1" t="str">
        <f t="shared" si="1123"/>
        <v>卡卡杜-凤凰仓</v>
      </c>
      <c r="B3432" s="1" t="str">
        <f>"CK2024102326"</f>
        <v>CK2024102326</v>
      </c>
      <c r="C3432" s="1" t="str">
        <f>"DD2024102317165"</f>
        <v>DD2024102317165</v>
      </c>
      <c r="D3432" s="1" t="str">
        <f>"CK2024102322302"</f>
        <v>CK2024102322302</v>
      </c>
      <c r="E3432" s="1" t="str">
        <f>"2429602496379190"</f>
        <v>2429602496379190</v>
      </c>
      <c r="F3432" s="1" t="str">
        <f t="shared" si="1124"/>
        <v>花都四部-凤凰仓</v>
      </c>
      <c r="G3432" s="1" t="str">
        <f t="shared" si="1121"/>
        <v>卡卡杜佳旺专卖店（快手店）</v>
      </c>
      <c r="H3432" s="1" t="str">
        <f t="shared" si="1125"/>
        <v>正常订单</v>
      </c>
      <c r="I3432" s="1" t="str">
        <f t="shared" si="1126"/>
        <v>已发货</v>
      </c>
      <c r="J3432" s="1" t="str">
        <f t="shared" si="1133"/>
        <v>3</v>
      </c>
      <c r="K3432" s="1">
        <v>2</v>
      </c>
      <c r="L3432" s="1" t="s">
        <v>20</v>
      </c>
      <c r="M3432" s="1" t="str">
        <f>"浙江省 宁波市 鄞州区 钟公庙街道"</f>
        <v>浙江省 宁波市 鄞州区 钟公庙街道</v>
      </c>
      <c r="N3432" s="1" t="str">
        <f t="shared" si="1128"/>
        <v>凡华云仓-城南圆通-快手</v>
      </c>
      <c r="O3432" s="5" t="s">
        <v>3464</v>
      </c>
      <c r="P3432" s="6">
        <v>0.35</v>
      </c>
      <c r="Q3432" s="11">
        <v>2.2999999999999998</v>
      </c>
      <c r="R3432" s="11"/>
      <c r="S3432" s="11"/>
      <c r="T3432" s="11"/>
      <c r="U3432" s="11">
        <f t="shared" si="1120"/>
        <v>2.2999999999999998</v>
      </c>
      <c r="W3432">
        <v>2.5</v>
      </c>
      <c r="X3432" s="1" t="s">
        <v>20</v>
      </c>
    </row>
    <row r="3433" spans="1:24" x14ac:dyDescent="0.25">
      <c r="A3433" s="1" t="str">
        <f t="shared" si="1123"/>
        <v>卡卡杜-凤凰仓</v>
      </c>
      <c r="B3433" s="1" t="str">
        <f>"CK2024102335"</f>
        <v>CK2024102335</v>
      </c>
      <c r="C3433" s="1" t="str">
        <f>"DD2024102317182"</f>
        <v>DD2024102317182</v>
      </c>
      <c r="D3433" s="1" t="str">
        <f>"CK2024102322301"</f>
        <v>CK2024102322301</v>
      </c>
      <c r="E3433" s="1" t="str">
        <f>"2429602181722483"</f>
        <v>2429602181722483</v>
      </c>
      <c r="F3433" s="1" t="str">
        <f t="shared" si="1124"/>
        <v>花都四部-凤凰仓</v>
      </c>
      <c r="G3433" s="1" t="str">
        <f t="shared" si="1121"/>
        <v>卡卡杜佳旺专卖店（快手店）</v>
      </c>
      <c r="H3433" s="1" t="str">
        <f t="shared" si="1125"/>
        <v>正常订单</v>
      </c>
      <c r="I3433" s="1" t="str">
        <f t="shared" si="1126"/>
        <v>已发货</v>
      </c>
      <c r="J3433" s="1" t="str">
        <f t="shared" si="1133"/>
        <v>3</v>
      </c>
      <c r="K3433" s="1">
        <v>2</v>
      </c>
      <c r="L3433" s="1" t="s">
        <v>24</v>
      </c>
      <c r="M3433" s="1" t="str">
        <f>"福建省 福州市 仓山区 城门镇"</f>
        <v>福建省 福州市 仓山区 城门镇</v>
      </c>
      <c r="N3433" s="1" t="str">
        <f t="shared" si="1128"/>
        <v>凡华云仓-城南圆通-快手</v>
      </c>
      <c r="O3433" s="5" t="s">
        <v>3465</v>
      </c>
      <c r="P3433" s="6">
        <v>0.35</v>
      </c>
      <c r="Q3433" s="11">
        <v>2.2999999999999998</v>
      </c>
      <c r="R3433" s="11"/>
      <c r="S3433" s="11"/>
      <c r="T3433" s="11"/>
      <c r="U3433" s="11">
        <f t="shared" si="1120"/>
        <v>2.2999999999999998</v>
      </c>
      <c r="W3433">
        <v>2.5</v>
      </c>
      <c r="X3433" s="1" t="s">
        <v>24</v>
      </c>
    </row>
    <row r="3434" spans="1:24" x14ac:dyDescent="0.25">
      <c r="A3434" s="1" t="str">
        <f t="shared" si="1123"/>
        <v>卡卡杜-凤凰仓</v>
      </c>
      <c r="B3434" s="1" t="str">
        <f>"CK2024102370"</f>
        <v>CK2024102370</v>
      </c>
      <c r="C3434" s="1" t="str">
        <f>"DD2024102317214"</f>
        <v>DD2024102317214</v>
      </c>
      <c r="D3434" s="1" t="str">
        <f>"CK2024102322300"</f>
        <v>CK2024102322300</v>
      </c>
      <c r="E3434" s="1" t="str">
        <f>"2429602500338526"</f>
        <v>2429602500338526</v>
      </c>
      <c r="F3434" s="1" t="str">
        <f t="shared" si="1124"/>
        <v>花都四部-凤凰仓</v>
      </c>
      <c r="G3434" s="1" t="str">
        <f t="shared" si="1121"/>
        <v>卡卡杜佳旺专卖店（快手店）</v>
      </c>
      <c r="H3434" s="1" t="str">
        <f t="shared" si="1125"/>
        <v>正常订单</v>
      </c>
      <c r="I3434" s="1" t="str">
        <f t="shared" si="1126"/>
        <v>已发货</v>
      </c>
      <c r="J3434" s="1" t="str">
        <f>"5"</f>
        <v>5</v>
      </c>
      <c r="K3434" s="1">
        <v>2</v>
      </c>
      <c r="L3434" s="1" t="s">
        <v>136</v>
      </c>
      <c r="M3434" s="1" t="str">
        <f>"北京市 北京市 朝阳区 呼家楼街道"</f>
        <v>北京市 北京市 朝阳区 呼家楼街道</v>
      </c>
      <c r="N3434" s="1" t="str">
        <f t="shared" si="1128"/>
        <v>凡华云仓-城南圆通-快手</v>
      </c>
      <c r="O3434" s="5" t="s">
        <v>3466</v>
      </c>
      <c r="P3434" s="6">
        <v>0.59</v>
      </c>
      <c r="Q3434" s="11">
        <f>CEILING(P3434-0.5,0.1)*10*0.15+2.3</f>
        <v>2.4499999999999997</v>
      </c>
      <c r="R3434" s="11"/>
      <c r="S3434" s="11"/>
      <c r="T3434" s="11"/>
      <c r="U3434" s="11">
        <f t="shared" si="1120"/>
        <v>2.4499999999999997</v>
      </c>
      <c r="V3434" t="s">
        <v>15</v>
      </c>
      <c r="W3434">
        <v>2.4500000000000002</v>
      </c>
      <c r="X3434" s="1" t="s">
        <v>136</v>
      </c>
    </row>
    <row r="3435" spans="1:24" x14ac:dyDescent="0.25">
      <c r="A3435" s="1" t="str">
        <f t="shared" si="1123"/>
        <v>卡卡杜-凤凰仓</v>
      </c>
      <c r="B3435" s="1" t="str">
        <f>"CK2024102346"</f>
        <v>CK2024102346</v>
      </c>
      <c r="C3435" s="1" t="str">
        <f>"DD2024102317190"</f>
        <v>DD2024102317190</v>
      </c>
      <c r="D3435" s="1" t="str">
        <f>"CK2024102322299"</f>
        <v>CK2024102322299</v>
      </c>
      <c r="E3435" s="1" t="str">
        <f>"2429602498544726"</f>
        <v>2429602498544726</v>
      </c>
      <c r="F3435" s="1" t="str">
        <f t="shared" si="1124"/>
        <v>花都四部-凤凰仓</v>
      </c>
      <c r="G3435" s="1" t="str">
        <f t="shared" si="1121"/>
        <v>卡卡杜佳旺专卖店（快手店）</v>
      </c>
      <c r="H3435" s="1" t="str">
        <f t="shared" si="1125"/>
        <v>正常订单</v>
      </c>
      <c r="I3435" s="1" t="str">
        <f t="shared" si="1126"/>
        <v>已发货</v>
      </c>
      <c r="J3435" s="1" t="str">
        <f t="shared" ref="J3435:J3440" si="1134">"3"</f>
        <v>3</v>
      </c>
      <c r="K3435" s="1">
        <v>2</v>
      </c>
      <c r="L3435" s="1" t="s">
        <v>109</v>
      </c>
      <c r="M3435" s="1" t="str">
        <f>"山西省 临汾市 尧都区 刘村镇"</f>
        <v>山西省 临汾市 尧都区 刘村镇</v>
      </c>
      <c r="N3435" s="1" t="str">
        <f t="shared" si="1128"/>
        <v>凡华云仓-城南圆通-快手</v>
      </c>
      <c r="O3435" s="5" t="s">
        <v>3467</v>
      </c>
      <c r="P3435" s="6">
        <v>0.35</v>
      </c>
      <c r="Q3435" s="11">
        <v>2.2999999999999998</v>
      </c>
      <c r="R3435" s="11"/>
      <c r="S3435" s="11"/>
      <c r="T3435" s="11"/>
      <c r="U3435" s="11">
        <f t="shared" si="1120"/>
        <v>2.2999999999999998</v>
      </c>
      <c r="W3435">
        <v>2.5</v>
      </c>
      <c r="X3435" s="1" t="s">
        <v>109</v>
      </c>
    </row>
    <row r="3436" spans="1:24" x14ac:dyDescent="0.25">
      <c r="A3436" s="1" t="str">
        <f t="shared" si="1123"/>
        <v>卡卡杜-凤凰仓</v>
      </c>
      <c r="B3436" s="1" t="str">
        <f>"CK2024102367"</f>
        <v>CK2024102367</v>
      </c>
      <c r="C3436" s="1" t="str">
        <f>"DD2024102317211"</f>
        <v>DD2024102317211</v>
      </c>
      <c r="D3436" s="1" t="str">
        <f>"CK2024102322298"</f>
        <v>CK2024102322298</v>
      </c>
      <c r="E3436" s="1" t="str">
        <f>"2429602263408785"</f>
        <v>2429602263408785</v>
      </c>
      <c r="F3436" s="1" t="str">
        <f t="shared" si="1124"/>
        <v>花都四部-凤凰仓</v>
      </c>
      <c r="G3436" s="1" t="str">
        <f t="shared" si="1121"/>
        <v>卡卡杜佳旺专卖店（快手店）</v>
      </c>
      <c r="H3436" s="1" t="str">
        <f t="shared" si="1125"/>
        <v>正常订单</v>
      </c>
      <c r="I3436" s="1" t="str">
        <f t="shared" si="1126"/>
        <v>已发货</v>
      </c>
      <c r="J3436" s="1" t="str">
        <f>"9"</f>
        <v>9</v>
      </c>
      <c r="K3436" s="1">
        <v>2</v>
      </c>
      <c r="L3436" s="1" t="s">
        <v>80</v>
      </c>
      <c r="M3436" s="1" t="str">
        <f>"河南省 平顶山市 汝州市 钟楼街道"</f>
        <v>河南省 平顶山市 汝州市 钟楼街道</v>
      </c>
      <c r="N3436" s="1" t="str">
        <f t="shared" si="1128"/>
        <v>凡华云仓-城南圆通-快手</v>
      </c>
      <c r="O3436" s="5" t="s">
        <v>3468</v>
      </c>
      <c r="P3436" s="6">
        <v>1.1200000000000001</v>
      </c>
      <c r="Q3436" s="11">
        <f>CEILING(P3436-0.5,0.1)*10*0.15+2.3</f>
        <v>3.3499999999999996</v>
      </c>
      <c r="R3436" s="11"/>
      <c r="S3436" s="11"/>
      <c r="T3436" s="11"/>
      <c r="U3436" s="11">
        <f t="shared" si="1120"/>
        <v>3.3499999999999996</v>
      </c>
      <c r="V3436" t="s">
        <v>15</v>
      </c>
      <c r="W3436">
        <v>3.35</v>
      </c>
      <c r="X3436" s="1" t="s">
        <v>80</v>
      </c>
    </row>
    <row r="3437" spans="1:24" x14ac:dyDescent="0.25">
      <c r="A3437" s="1" t="str">
        <f t="shared" si="1123"/>
        <v>卡卡杜-凤凰仓</v>
      </c>
      <c r="B3437" s="1" t="str">
        <f>"CK2024102324"</f>
        <v>CK2024102324</v>
      </c>
      <c r="C3437" s="1" t="str">
        <f>"DD2024102317163"</f>
        <v>DD2024102317163</v>
      </c>
      <c r="D3437" s="1" t="str">
        <f>"CK2024102322297"</f>
        <v>CK2024102322297</v>
      </c>
      <c r="E3437" s="1" t="str">
        <f>"2429602412024948"</f>
        <v>2429602412024948</v>
      </c>
      <c r="F3437" s="1" t="str">
        <f t="shared" si="1124"/>
        <v>花都四部-凤凰仓</v>
      </c>
      <c r="G3437" s="1" t="str">
        <f t="shared" si="1121"/>
        <v>卡卡杜佳旺专卖店（快手店）</v>
      </c>
      <c r="H3437" s="1" t="str">
        <f t="shared" si="1125"/>
        <v>正常订单</v>
      </c>
      <c r="I3437" s="1" t="str">
        <f t="shared" si="1126"/>
        <v>已发货</v>
      </c>
      <c r="J3437" s="1" t="str">
        <f t="shared" si="1134"/>
        <v>3</v>
      </c>
      <c r="K3437" s="1">
        <v>2</v>
      </c>
      <c r="L3437" s="1" t="s">
        <v>187</v>
      </c>
      <c r="M3437" s="1" t="str">
        <f>"吉林省 长春市 二道区 英俊镇"</f>
        <v>吉林省 长春市 二道区 英俊镇</v>
      </c>
      <c r="N3437" s="1" t="str">
        <f t="shared" si="1128"/>
        <v>凡华云仓-城南圆通-快手</v>
      </c>
      <c r="O3437" s="5" t="s">
        <v>3469</v>
      </c>
      <c r="P3437" s="6">
        <v>0.35</v>
      </c>
      <c r="Q3437" s="11">
        <v>2.2999999999999998</v>
      </c>
      <c r="R3437" s="11"/>
      <c r="S3437" s="11"/>
      <c r="T3437" s="11"/>
      <c r="U3437" s="11">
        <f t="shared" si="1120"/>
        <v>2.2999999999999998</v>
      </c>
      <c r="W3437">
        <v>2.5</v>
      </c>
      <c r="X3437" s="1" t="s">
        <v>187</v>
      </c>
    </row>
    <row r="3438" spans="1:24" x14ac:dyDescent="0.25">
      <c r="A3438" s="1" t="str">
        <f t="shared" si="1123"/>
        <v>卡卡杜-凤凰仓</v>
      </c>
      <c r="B3438" s="1" t="str">
        <f>"CK2024102330"</f>
        <v>CK2024102330</v>
      </c>
      <c r="C3438" s="1" t="str">
        <f>"DD2024102317173"</f>
        <v>DD2024102317173</v>
      </c>
      <c r="D3438" s="1" t="str">
        <f>"CK2024102322296"</f>
        <v>CK2024102322296</v>
      </c>
      <c r="E3438" s="1" t="str">
        <f>"2429602011393944"</f>
        <v>2429602011393944</v>
      </c>
      <c r="F3438" s="1" t="str">
        <f t="shared" si="1124"/>
        <v>花都四部-凤凰仓</v>
      </c>
      <c r="G3438" s="1" t="str">
        <f t="shared" si="1121"/>
        <v>卡卡杜佳旺专卖店（快手店）</v>
      </c>
      <c r="H3438" s="1" t="str">
        <f t="shared" si="1125"/>
        <v>正常订单</v>
      </c>
      <c r="I3438" s="1" t="str">
        <f t="shared" si="1126"/>
        <v>已发货</v>
      </c>
      <c r="J3438" s="1" t="str">
        <f t="shared" si="1134"/>
        <v>3</v>
      </c>
      <c r="K3438" s="1">
        <v>2</v>
      </c>
      <c r="L3438" s="1" t="s">
        <v>41</v>
      </c>
      <c r="M3438" s="1" t="str">
        <f>"湖北省 咸宁市 咸安区 永安街道"</f>
        <v>湖北省 咸宁市 咸安区 永安街道</v>
      </c>
      <c r="N3438" s="1" t="str">
        <f t="shared" si="1128"/>
        <v>凡华云仓-城南圆通-快手</v>
      </c>
      <c r="O3438" s="5" t="s">
        <v>3470</v>
      </c>
      <c r="P3438" s="6">
        <v>0.35</v>
      </c>
      <c r="Q3438" s="11">
        <v>2.2999999999999998</v>
      </c>
      <c r="R3438" s="11"/>
      <c r="S3438" s="11"/>
      <c r="T3438" s="11"/>
      <c r="U3438" s="11">
        <f t="shared" si="1120"/>
        <v>2.2999999999999998</v>
      </c>
      <c r="W3438">
        <v>2.5</v>
      </c>
      <c r="X3438" s="1" t="s">
        <v>41</v>
      </c>
    </row>
    <row r="3439" spans="1:24" x14ac:dyDescent="0.25">
      <c r="A3439" s="1" t="str">
        <f t="shared" si="1123"/>
        <v>卡卡杜-凤凰仓</v>
      </c>
      <c r="B3439" s="1" t="str">
        <f>"CK2024102327"</f>
        <v>CK2024102327</v>
      </c>
      <c r="C3439" s="1" t="str">
        <f>"DD2024102317176"</f>
        <v>DD2024102317176</v>
      </c>
      <c r="D3439" s="1" t="str">
        <f>"CK2024102322295"</f>
        <v>CK2024102322295</v>
      </c>
      <c r="E3439" s="1" t="str">
        <f>"2429602409737214"</f>
        <v>2429602409737214</v>
      </c>
      <c r="F3439" s="1" t="str">
        <f t="shared" si="1124"/>
        <v>花都四部-凤凰仓</v>
      </c>
      <c r="G3439" s="1" t="str">
        <f t="shared" si="1121"/>
        <v>卡卡杜佳旺专卖店（快手店）</v>
      </c>
      <c r="H3439" s="1" t="str">
        <f t="shared" si="1125"/>
        <v>正常订单</v>
      </c>
      <c r="I3439" s="1" t="str">
        <f t="shared" si="1126"/>
        <v>已发货</v>
      </c>
      <c r="J3439" s="1" t="str">
        <f t="shared" si="1134"/>
        <v>3</v>
      </c>
      <c r="K3439" s="1">
        <v>2</v>
      </c>
      <c r="L3439" s="1" t="s">
        <v>30</v>
      </c>
      <c r="M3439" s="1" t="str">
        <f>"山东省 威海市 威海火炬高技术产业开发区 初村镇"</f>
        <v>山东省 威海市 威海火炬高技术产业开发区 初村镇</v>
      </c>
      <c r="N3439" s="1" t="str">
        <f t="shared" si="1128"/>
        <v>凡华云仓-城南圆通-快手</v>
      </c>
      <c r="O3439" s="5" t="s">
        <v>3471</v>
      </c>
      <c r="P3439" s="6">
        <v>0.35</v>
      </c>
      <c r="Q3439" s="11">
        <v>2.2999999999999998</v>
      </c>
      <c r="R3439" s="11"/>
      <c r="S3439" s="11"/>
      <c r="T3439" s="11"/>
      <c r="U3439" s="11">
        <f t="shared" si="1120"/>
        <v>2.2999999999999998</v>
      </c>
      <c r="W3439">
        <v>2.5</v>
      </c>
      <c r="X3439" s="1" t="s">
        <v>30</v>
      </c>
    </row>
    <row r="3440" spans="1:24" x14ac:dyDescent="0.25">
      <c r="A3440" s="1" t="str">
        <f t="shared" si="1123"/>
        <v>卡卡杜-凤凰仓</v>
      </c>
      <c r="B3440" s="1" t="str">
        <f>"CK2024102332"</f>
        <v>CK2024102332</v>
      </c>
      <c r="C3440" s="1" t="str">
        <f>"DD2024102317175"</f>
        <v>DD2024102317175</v>
      </c>
      <c r="D3440" s="1" t="str">
        <f>"CK2024102322294"</f>
        <v>CK2024102322294</v>
      </c>
      <c r="E3440" s="1" t="str">
        <f>"2429602252771637"</f>
        <v>2429602252771637</v>
      </c>
      <c r="F3440" s="1" t="str">
        <f t="shared" si="1124"/>
        <v>花都四部-凤凰仓</v>
      </c>
      <c r="G3440" s="1" t="str">
        <f t="shared" si="1121"/>
        <v>卡卡杜佳旺专卖店（快手店）</v>
      </c>
      <c r="H3440" s="1" t="str">
        <f t="shared" si="1125"/>
        <v>正常订单</v>
      </c>
      <c r="I3440" s="1" t="str">
        <f t="shared" si="1126"/>
        <v>已发货</v>
      </c>
      <c r="J3440" s="1" t="str">
        <f t="shared" si="1134"/>
        <v>3</v>
      </c>
      <c r="K3440" s="1">
        <v>2</v>
      </c>
      <c r="L3440" s="1" t="s">
        <v>66</v>
      </c>
      <c r="M3440" s="1" t="str">
        <f>"内蒙古自治区 乌兰察布市 兴和县 城关镇"</f>
        <v>内蒙古自治区 乌兰察布市 兴和县 城关镇</v>
      </c>
      <c r="N3440" s="1" t="str">
        <f t="shared" si="1128"/>
        <v>凡华云仓-城南圆通-快手</v>
      </c>
      <c r="O3440" s="5" t="s">
        <v>3472</v>
      </c>
      <c r="P3440" s="6">
        <v>0.35</v>
      </c>
      <c r="Q3440" s="11">
        <v>2.2999999999999998</v>
      </c>
      <c r="R3440" s="11"/>
      <c r="S3440" s="11"/>
      <c r="T3440" s="11"/>
      <c r="U3440" s="11">
        <f t="shared" si="1120"/>
        <v>2.2999999999999998</v>
      </c>
      <c r="W3440">
        <v>2.5</v>
      </c>
      <c r="X3440" s="1" t="s">
        <v>66</v>
      </c>
    </row>
    <row r="3441" spans="1:24" x14ac:dyDescent="0.25">
      <c r="A3441" s="1" t="str">
        <f t="shared" si="1123"/>
        <v>卡卡杜-凤凰仓</v>
      </c>
      <c r="B3441" s="1" t="str">
        <f>"CK2024102374"</f>
        <v>CK2024102374</v>
      </c>
      <c r="C3441" s="1" t="str">
        <f>"DD2024102317217"</f>
        <v>DD2024102317217</v>
      </c>
      <c r="D3441" s="1" t="str">
        <f>"CK2024102322293"</f>
        <v>CK2024102322293</v>
      </c>
      <c r="E3441" s="1" t="str">
        <f>"2429602174328363"</f>
        <v>2429602174328363</v>
      </c>
      <c r="F3441" s="1" t="str">
        <f t="shared" si="1124"/>
        <v>花都四部-凤凰仓</v>
      </c>
      <c r="G3441" s="1" t="str">
        <f t="shared" si="1121"/>
        <v>卡卡杜佳旺专卖店（快手店）</v>
      </c>
      <c r="H3441" s="1" t="str">
        <f t="shared" si="1125"/>
        <v>正常订单</v>
      </c>
      <c r="I3441" s="1" t="str">
        <f t="shared" si="1126"/>
        <v>已发货</v>
      </c>
      <c r="J3441" s="1" t="str">
        <f>"5"</f>
        <v>5</v>
      </c>
      <c r="K3441" s="1">
        <v>2</v>
      </c>
      <c r="L3441" s="1" t="s">
        <v>710</v>
      </c>
      <c r="M3441" s="1" t="str">
        <f>"上海市 上海市 普陀区 宜川路街道"</f>
        <v>上海市 上海市 普陀区 宜川路街道</v>
      </c>
      <c r="N3441" s="1" t="str">
        <f t="shared" si="1128"/>
        <v>凡华云仓-城南圆通-快手</v>
      </c>
      <c r="O3441" s="5" t="s">
        <v>3473</v>
      </c>
      <c r="P3441" s="6">
        <v>0.59</v>
      </c>
      <c r="Q3441" s="11">
        <f t="shared" ref="Q3441:Q3446" si="1135">CEILING(P3441-0.5,0.1)*10*0.15+2.3</f>
        <v>2.4499999999999997</v>
      </c>
      <c r="R3441" s="11"/>
      <c r="S3441" s="11"/>
      <c r="T3441" s="11"/>
      <c r="U3441" s="11">
        <f t="shared" si="1120"/>
        <v>2.4499999999999997</v>
      </c>
      <c r="V3441" t="s">
        <v>15</v>
      </c>
      <c r="W3441">
        <v>2.4500000000000002</v>
      </c>
      <c r="X3441" s="1" t="s">
        <v>710</v>
      </c>
    </row>
    <row r="3442" spans="1:24" x14ac:dyDescent="0.25">
      <c r="A3442" s="1" t="str">
        <f t="shared" si="1123"/>
        <v>卡卡杜-凤凰仓</v>
      </c>
      <c r="B3442" s="1" t="str">
        <f>"CK2024102334"</f>
        <v>CK2024102334</v>
      </c>
      <c r="C3442" s="1" t="str">
        <f>"DD2024102317180"</f>
        <v>DD2024102317180</v>
      </c>
      <c r="D3442" s="1" t="str">
        <f>"CK2024102322292"</f>
        <v>CK2024102322292</v>
      </c>
      <c r="E3442" s="1" t="str">
        <f>"2429602013496878"</f>
        <v>2429602013496878</v>
      </c>
      <c r="F3442" s="1" t="str">
        <f t="shared" si="1124"/>
        <v>花都四部-凤凰仓</v>
      </c>
      <c r="G3442" s="1" t="str">
        <f t="shared" si="1121"/>
        <v>卡卡杜佳旺专卖店（快手店）</v>
      </c>
      <c r="H3442" s="1" t="str">
        <f t="shared" si="1125"/>
        <v>正常订单</v>
      </c>
      <c r="I3442" s="1" t="str">
        <f t="shared" si="1126"/>
        <v>已发货</v>
      </c>
      <c r="J3442" s="1" t="str">
        <f t="shared" ref="J3442:J3452" si="1136">"3"</f>
        <v>3</v>
      </c>
      <c r="K3442" s="1">
        <v>2</v>
      </c>
      <c r="L3442" s="1" t="s">
        <v>20</v>
      </c>
      <c r="M3442" s="1" t="str">
        <f>"浙江省 金华市 婺城区 洋埠镇"</f>
        <v>浙江省 金华市 婺城区 洋埠镇</v>
      </c>
      <c r="N3442" s="1" t="str">
        <f>"凡华云仓-竹料中通-快手"</f>
        <v>凡华云仓-竹料中通-快手</v>
      </c>
      <c r="O3442" s="5">
        <v>75934899366093</v>
      </c>
      <c r="P3442" s="6">
        <v>0.35</v>
      </c>
      <c r="Q3442" s="11">
        <v>2.6</v>
      </c>
      <c r="R3442" s="11"/>
      <c r="S3442" s="11"/>
      <c r="T3442" s="11"/>
      <c r="U3442" s="11">
        <f t="shared" si="1120"/>
        <v>2.6</v>
      </c>
      <c r="W3442">
        <v>2.6</v>
      </c>
      <c r="X3442" s="1" t="s">
        <v>20</v>
      </c>
    </row>
    <row r="3443" spans="1:24" x14ac:dyDescent="0.25">
      <c r="A3443" s="1" t="str">
        <f t="shared" si="1123"/>
        <v>卡卡杜-凤凰仓</v>
      </c>
      <c r="B3443" s="1" t="str">
        <f>"CK2024102355"</f>
        <v>CK2024102355</v>
      </c>
      <c r="C3443" s="1" t="str">
        <f>"DD2024102317200"</f>
        <v>DD2024102317200</v>
      </c>
      <c r="D3443" s="1" t="str">
        <f>"CK2024102322291"</f>
        <v>CK2024102322291</v>
      </c>
      <c r="E3443" s="1" t="str">
        <f>"2429602250248830"</f>
        <v>2429602250248830</v>
      </c>
      <c r="F3443" s="1" t="str">
        <f t="shared" si="1124"/>
        <v>花都四部-凤凰仓</v>
      </c>
      <c r="G3443" s="1" t="str">
        <f t="shared" si="1121"/>
        <v>卡卡杜佳旺专卖店（快手店）</v>
      </c>
      <c r="H3443" s="1" t="str">
        <f t="shared" si="1125"/>
        <v>正常订单</v>
      </c>
      <c r="I3443" s="1" t="str">
        <f t="shared" si="1126"/>
        <v>已发货</v>
      </c>
      <c r="J3443" s="1" t="str">
        <f t="shared" si="1136"/>
        <v>3</v>
      </c>
      <c r="K3443" s="1">
        <v>2</v>
      </c>
      <c r="L3443" s="1" t="s">
        <v>13</v>
      </c>
      <c r="M3443" s="1" t="str">
        <f>"江苏省 镇江市 京口区 健康路街道"</f>
        <v>江苏省 镇江市 京口区 健康路街道</v>
      </c>
      <c r="N3443" s="1" t="str">
        <f t="shared" ref="N3443:N3450" si="1137">"凡华云仓-城南圆通-快手"</f>
        <v>凡华云仓-城南圆通-快手</v>
      </c>
      <c r="O3443" s="5" t="s">
        <v>3474</v>
      </c>
      <c r="P3443" s="6">
        <v>0.35</v>
      </c>
      <c r="Q3443" s="11">
        <v>2.2999999999999998</v>
      </c>
      <c r="R3443" s="11"/>
      <c r="S3443" s="11"/>
      <c r="T3443" s="11"/>
      <c r="U3443" s="11">
        <f t="shared" si="1120"/>
        <v>2.2999999999999998</v>
      </c>
      <c r="W3443">
        <v>2.5</v>
      </c>
      <c r="X3443" s="1" t="s">
        <v>13</v>
      </c>
    </row>
    <row r="3444" spans="1:24" x14ac:dyDescent="0.25">
      <c r="A3444" s="1" t="str">
        <f t="shared" si="1123"/>
        <v>卡卡杜-凤凰仓</v>
      </c>
      <c r="B3444" s="1" t="str">
        <f>"CK2024102216486"</f>
        <v>CK2024102216486</v>
      </c>
      <c r="C3444" s="1" t="str">
        <f>"DD20241022115320"</f>
        <v>DD20241022115320</v>
      </c>
      <c r="D3444" s="1" t="str">
        <f>"CK2024102294553"</f>
        <v>CK2024102294553</v>
      </c>
      <c r="E3444" s="1" t="str">
        <f>"KKD20241022YP010"</f>
        <v>KKD20241022YP010</v>
      </c>
      <c r="F3444" s="1" t="str">
        <f t="shared" si="1124"/>
        <v>花都四部-凤凰仓</v>
      </c>
      <c r="G3444" s="1" t="str">
        <f t="shared" ref="G3444:G3446" si="1138">"卡卡杜全欣样品"</f>
        <v>卡卡杜全欣样品</v>
      </c>
      <c r="H3444" s="1" t="str">
        <f t="shared" si="1125"/>
        <v>正常订单</v>
      </c>
      <c r="I3444" s="1" t="str">
        <f t="shared" si="1126"/>
        <v>已发货</v>
      </c>
      <c r="J3444" s="1" t="str">
        <f t="shared" ref="J3444:J3446" si="1139">"6"</f>
        <v>6</v>
      </c>
      <c r="K3444" s="1">
        <v>3</v>
      </c>
      <c r="L3444" s="1" t="s">
        <v>18</v>
      </c>
      <c r="M3444" s="1" t="str">
        <f>"广东省 佛山市 南海区 "</f>
        <v xml:space="preserve">广东省 佛山市 南海区 </v>
      </c>
      <c r="N3444" s="1" t="str">
        <f t="shared" ref="N3444:N3446" si="1140">"凡华云仓-城南圆通-淘宝"</f>
        <v>凡华云仓-城南圆通-淘宝</v>
      </c>
      <c r="O3444" s="3" t="s">
        <v>3475</v>
      </c>
      <c r="P3444" s="6">
        <v>0.81</v>
      </c>
      <c r="Q3444" s="11">
        <f t="shared" si="1135"/>
        <v>2.9</v>
      </c>
      <c r="R3444" s="11"/>
      <c r="S3444" s="11">
        <v>0.15</v>
      </c>
      <c r="T3444" s="11"/>
      <c r="U3444" s="11">
        <f t="shared" si="1120"/>
        <v>3.05</v>
      </c>
      <c r="V3444" t="s">
        <v>15</v>
      </c>
      <c r="W3444">
        <v>3.05</v>
      </c>
      <c r="X3444" s="1" t="s">
        <v>18</v>
      </c>
    </row>
    <row r="3445" spans="1:24" x14ac:dyDescent="0.25">
      <c r="A3445" s="1" t="str">
        <f t="shared" si="1123"/>
        <v>卡卡杜-凤凰仓</v>
      </c>
      <c r="B3445" s="1" t="str">
        <f>"CK2024102216488"</f>
        <v>CK2024102216488</v>
      </c>
      <c r="C3445" s="1" t="str">
        <f>"DD20241022115318"</f>
        <v>DD20241022115318</v>
      </c>
      <c r="D3445" s="1" t="str">
        <f>"CK2024102294552"</f>
        <v>CK2024102294552</v>
      </c>
      <c r="E3445" s="1" t="str">
        <f>"KKD20241022YP008"</f>
        <v>KKD20241022YP008</v>
      </c>
      <c r="F3445" s="1" t="str">
        <f t="shared" si="1124"/>
        <v>花都四部-凤凰仓</v>
      </c>
      <c r="G3445" s="1" t="str">
        <f t="shared" si="1138"/>
        <v>卡卡杜全欣样品</v>
      </c>
      <c r="H3445" s="1" t="str">
        <f t="shared" si="1125"/>
        <v>正常订单</v>
      </c>
      <c r="I3445" s="1" t="str">
        <f t="shared" si="1126"/>
        <v>已发货</v>
      </c>
      <c r="J3445" s="1" t="str">
        <f t="shared" si="1139"/>
        <v>6</v>
      </c>
      <c r="K3445" s="1">
        <v>3</v>
      </c>
      <c r="L3445" s="1" t="s">
        <v>80</v>
      </c>
      <c r="M3445" s="1" t="str">
        <f>"河南省 郑州市 新郑市 "</f>
        <v xml:space="preserve">河南省 郑州市 新郑市 </v>
      </c>
      <c r="N3445" s="1" t="str">
        <f t="shared" si="1140"/>
        <v>凡华云仓-城南圆通-淘宝</v>
      </c>
      <c r="O3445" s="3" t="s">
        <v>3476</v>
      </c>
      <c r="P3445" s="6">
        <v>0.81</v>
      </c>
      <c r="Q3445" s="11">
        <f t="shared" si="1135"/>
        <v>2.9</v>
      </c>
      <c r="R3445" s="11"/>
      <c r="S3445" s="11">
        <v>0.15</v>
      </c>
      <c r="T3445" s="11"/>
      <c r="U3445" s="11">
        <f t="shared" si="1120"/>
        <v>3.05</v>
      </c>
      <c r="V3445" t="s">
        <v>15</v>
      </c>
      <c r="W3445">
        <v>3.05</v>
      </c>
      <c r="X3445" s="1" t="s">
        <v>80</v>
      </c>
    </row>
    <row r="3446" spans="1:24" x14ac:dyDescent="0.25">
      <c r="A3446" s="1" t="str">
        <f t="shared" si="1123"/>
        <v>卡卡杜-凤凰仓</v>
      </c>
      <c r="B3446" s="1" t="str">
        <f>"CK2024102216487"</f>
        <v>CK2024102216487</v>
      </c>
      <c r="C3446" s="1" t="str">
        <f>"DD20241022115319"</f>
        <v>DD20241022115319</v>
      </c>
      <c r="D3446" s="1" t="str">
        <f>"CK2024102294551"</f>
        <v>CK2024102294551</v>
      </c>
      <c r="E3446" s="1" t="str">
        <f>"KKD20241022YP009"</f>
        <v>KKD20241022YP009</v>
      </c>
      <c r="F3446" s="1" t="str">
        <f t="shared" si="1124"/>
        <v>花都四部-凤凰仓</v>
      </c>
      <c r="G3446" s="1" t="str">
        <f t="shared" si="1138"/>
        <v>卡卡杜全欣样品</v>
      </c>
      <c r="H3446" s="1" t="str">
        <f t="shared" si="1125"/>
        <v>正常订单</v>
      </c>
      <c r="I3446" s="1" t="str">
        <f t="shared" si="1126"/>
        <v>已发货</v>
      </c>
      <c r="J3446" s="1" t="str">
        <f t="shared" si="1139"/>
        <v>6</v>
      </c>
      <c r="K3446" s="1">
        <v>3</v>
      </c>
      <c r="L3446" s="1" t="s">
        <v>80</v>
      </c>
      <c r="M3446" s="1" t="str">
        <f>"河南省 商丘市 永城市 "</f>
        <v xml:space="preserve">河南省 商丘市 永城市 </v>
      </c>
      <c r="N3446" s="1" t="str">
        <f t="shared" si="1140"/>
        <v>凡华云仓-城南圆通-淘宝</v>
      </c>
      <c r="O3446" s="3" t="s">
        <v>3477</v>
      </c>
      <c r="P3446" s="6">
        <v>0.81</v>
      </c>
      <c r="Q3446" s="11">
        <f t="shared" si="1135"/>
        <v>2.9</v>
      </c>
      <c r="R3446" s="11"/>
      <c r="S3446" s="11">
        <v>0.15</v>
      </c>
      <c r="T3446" s="11"/>
      <c r="U3446" s="11">
        <f t="shared" si="1120"/>
        <v>3.05</v>
      </c>
      <c r="V3446" t="s">
        <v>15</v>
      </c>
      <c r="W3446">
        <v>3.05</v>
      </c>
      <c r="X3446" s="1" t="s">
        <v>80</v>
      </c>
    </row>
    <row r="3447" spans="1:24" x14ac:dyDescent="0.25">
      <c r="A3447" s="1" t="str">
        <f t="shared" si="1123"/>
        <v>卡卡杜-凤凰仓</v>
      </c>
      <c r="B3447" s="1" t="str">
        <f>"CK2024102216416"</f>
        <v>CK2024102216416</v>
      </c>
      <c r="C3447" s="1" t="str">
        <f>"DD20241022112962"</f>
        <v>DD20241022112962</v>
      </c>
      <c r="D3447" s="1" t="str">
        <f>"CK2024102293954"</f>
        <v>CK2024102293954</v>
      </c>
      <c r="E3447" s="1" t="str">
        <f>"2429601619042786"</f>
        <v>2429601619042786</v>
      </c>
      <c r="F3447" s="1" t="str">
        <f t="shared" si="1124"/>
        <v>花都四部-凤凰仓</v>
      </c>
      <c r="G3447" s="1" t="str">
        <f t="shared" ref="G3447:G3450" si="1141">"卡卡杜佳旺专卖店（快手店）"</f>
        <v>卡卡杜佳旺专卖店（快手店）</v>
      </c>
      <c r="H3447" s="1" t="str">
        <f t="shared" si="1125"/>
        <v>正常订单</v>
      </c>
      <c r="I3447" s="1" t="str">
        <f t="shared" si="1126"/>
        <v>已发货</v>
      </c>
      <c r="J3447" s="1" t="str">
        <f t="shared" si="1136"/>
        <v>3</v>
      </c>
      <c r="K3447" s="1">
        <v>2</v>
      </c>
      <c r="L3447" s="1" t="s">
        <v>92</v>
      </c>
      <c r="M3447" s="1" t="str">
        <f>"辽宁省 营口市 西市区 滨海街道"</f>
        <v>辽宁省 营口市 西市区 滨海街道</v>
      </c>
      <c r="N3447" s="1" t="str">
        <f t="shared" si="1137"/>
        <v>凡华云仓-城南圆通-快手</v>
      </c>
      <c r="O3447" s="5" t="s">
        <v>3478</v>
      </c>
      <c r="P3447" s="6">
        <v>0.35</v>
      </c>
      <c r="Q3447" s="11">
        <v>2.2999999999999998</v>
      </c>
      <c r="R3447" s="11"/>
      <c r="S3447" s="11"/>
      <c r="T3447" s="11"/>
      <c r="U3447" s="11">
        <f t="shared" si="1120"/>
        <v>2.2999999999999998</v>
      </c>
      <c r="W3447">
        <v>2.5</v>
      </c>
      <c r="X3447" s="1" t="s">
        <v>92</v>
      </c>
    </row>
    <row r="3448" spans="1:24" x14ac:dyDescent="0.25">
      <c r="A3448" s="1" t="str">
        <f t="shared" si="1123"/>
        <v>卡卡杜-凤凰仓</v>
      </c>
      <c r="B3448" s="1" t="str">
        <f>"CK2024102216418"</f>
        <v>CK2024102216418</v>
      </c>
      <c r="C3448" s="1" t="str">
        <f>"DD20241022112963"</f>
        <v>DD20241022112963</v>
      </c>
      <c r="D3448" s="1" t="str">
        <f>"CK2024102293953"</f>
        <v>CK2024102293953</v>
      </c>
      <c r="E3448" s="1" t="str">
        <f>"2429601618986378"</f>
        <v>2429601618986378</v>
      </c>
      <c r="F3448" s="1" t="str">
        <f t="shared" si="1124"/>
        <v>花都四部-凤凰仓</v>
      </c>
      <c r="G3448" s="1" t="str">
        <f t="shared" si="1141"/>
        <v>卡卡杜佳旺专卖店（快手店）</v>
      </c>
      <c r="H3448" s="1" t="str">
        <f t="shared" si="1125"/>
        <v>正常订单</v>
      </c>
      <c r="I3448" s="1" t="str">
        <f t="shared" si="1126"/>
        <v>已发货</v>
      </c>
      <c r="J3448" s="1" t="str">
        <f t="shared" si="1136"/>
        <v>3</v>
      </c>
      <c r="K3448" s="1">
        <v>2</v>
      </c>
      <c r="L3448" s="1" t="s">
        <v>13</v>
      </c>
      <c r="M3448" s="1" t="str">
        <f>"江苏省 苏州市 昆山市 锦溪镇"</f>
        <v>江苏省 苏州市 昆山市 锦溪镇</v>
      </c>
      <c r="N3448" s="1" t="str">
        <f t="shared" si="1137"/>
        <v>凡华云仓-城南圆通-快手</v>
      </c>
      <c r="O3448" s="5" t="s">
        <v>3479</v>
      </c>
      <c r="P3448" s="6">
        <v>0.35</v>
      </c>
      <c r="Q3448" s="11">
        <v>2.2999999999999998</v>
      </c>
      <c r="R3448" s="11"/>
      <c r="S3448" s="11"/>
      <c r="T3448" s="11"/>
      <c r="U3448" s="11">
        <f t="shared" si="1120"/>
        <v>2.2999999999999998</v>
      </c>
      <c r="W3448">
        <v>2.5</v>
      </c>
      <c r="X3448" s="1" t="s">
        <v>13</v>
      </c>
    </row>
    <row r="3449" spans="1:24" x14ac:dyDescent="0.25">
      <c r="A3449" s="1" t="str">
        <f t="shared" si="1123"/>
        <v>卡卡杜-凤凰仓</v>
      </c>
      <c r="B3449" s="1" t="str">
        <f>"CK2024102216419"</f>
        <v>CK2024102216419</v>
      </c>
      <c r="C3449" s="1" t="str">
        <f>"DD20241022112961"</f>
        <v>DD20241022112961</v>
      </c>
      <c r="D3449" s="1" t="str">
        <f>"CK2024102293952"</f>
        <v>CK2024102293952</v>
      </c>
      <c r="E3449" s="1" t="str">
        <f>"2429602419698144"</f>
        <v>2429602419698144</v>
      </c>
      <c r="F3449" s="1" t="str">
        <f t="shared" si="1124"/>
        <v>花都四部-凤凰仓</v>
      </c>
      <c r="G3449" s="1" t="str">
        <f t="shared" si="1141"/>
        <v>卡卡杜佳旺专卖店（快手店）</v>
      </c>
      <c r="H3449" s="1" t="str">
        <f t="shared" si="1125"/>
        <v>正常订单</v>
      </c>
      <c r="I3449" s="1" t="str">
        <f t="shared" si="1126"/>
        <v>已发货</v>
      </c>
      <c r="J3449" s="1" t="str">
        <f t="shared" si="1136"/>
        <v>3</v>
      </c>
      <c r="K3449" s="1">
        <v>2</v>
      </c>
      <c r="L3449" s="1" t="s">
        <v>136</v>
      </c>
      <c r="M3449" s="1" t="str">
        <f>"北京市 北京市 通州区 中仓街道"</f>
        <v>北京市 北京市 通州区 中仓街道</v>
      </c>
      <c r="N3449" s="1" t="str">
        <f t="shared" si="1137"/>
        <v>凡华云仓-城南圆通-快手</v>
      </c>
      <c r="O3449" s="5" t="s">
        <v>3480</v>
      </c>
      <c r="P3449" s="6">
        <v>0.35</v>
      </c>
      <c r="Q3449" s="11">
        <v>2.2999999999999998</v>
      </c>
      <c r="R3449" s="11"/>
      <c r="S3449" s="11"/>
      <c r="T3449" s="11"/>
      <c r="U3449" s="11">
        <f t="shared" si="1120"/>
        <v>2.2999999999999998</v>
      </c>
      <c r="W3449">
        <v>2.5</v>
      </c>
      <c r="X3449" s="1" t="s">
        <v>136</v>
      </c>
    </row>
    <row r="3450" spans="1:24" x14ac:dyDescent="0.25">
      <c r="A3450" s="1" t="str">
        <f t="shared" si="1123"/>
        <v>卡卡杜-凤凰仓</v>
      </c>
      <c r="B3450" s="1" t="str">
        <f>"CK2024102216420"</f>
        <v>CK2024102216420</v>
      </c>
      <c r="C3450" s="1" t="str">
        <f>"DD20241022112966"</f>
        <v>DD20241022112966</v>
      </c>
      <c r="D3450" s="1" t="str">
        <f>"CK2024102293951"</f>
        <v>CK2024102293951</v>
      </c>
      <c r="E3450" s="1" t="str">
        <f>"2429602420386162"</f>
        <v>2429602420386162</v>
      </c>
      <c r="F3450" s="1" t="str">
        <f t="shared" si="1124"/>
        <v>花都四部-凤凰仓</v>
      </c>
      <c r="G3450" s="1" t="str">
        <f t="shared" si="1141"/>
        <v>卡卡杜佳旺专卖店（快手店）</v>
      </c>
      <c r="H3450" s="1" t="str">
        <f t="shared" si="1125"/>
        <v>正常订单</v>
      </c>
      <c r="I3450" s="1" t="str">
        <f t="shared" si="1126"/>
        <v>已发货</v>
      </c>
      <c r="J3450" s="1" t="str">
        <f t="shared" si="1136"/>
        <v>3</v>
      </c>
      <c r="K3450" s="1">
        <v>2</v>
      </c>
      <c r="L3450" s="1" t="s">
        <v>1099</v>
      </c>
      <c r="M3450" s="1" t="str">
        <f>"重庆市 重庆市 璧山区 璧泉街道"</f>
        <v>重庆市 重庆市 璧山区 璧泉街道</v>
      </c>
      <c r="N3450" s="1" t="str">
        <f t="shared" si="1137"/>
        <v>凡华云仓-城南圆通-快手</v>
      </c>
      <c r="O3450" s="5" t="s">
        <v>3481</v>
      </c>
      <c r="P3450" s="6">
        <v>0.35</v>
      </c>
      <c r="Q3450" s="11">
        <v>2.2999999999999998</v>
      </c>
      <c r="R3450" s="11"/>
      <c r="S3450" s="11"/>
      <c r="T3450" s="11"/>
      <c r="U3450" s="11">
        <f t="shared" si="1120"/>
        <v>2.2999999999999998</v>
      </c>
      <c r="W3450">
        <v>2.5</v>
      </c>
      <c r="X3450" s="1" t="s">
        <v>1099</v>
      </c>
    </row>
    <row r="3451" spans="1:24" x14ac:dyDescent="0.25">
      <c r="A3451" s="1" t="str">
        <f t="shared" si="1123"/>
        <v>卡卡杜-凤凰仓</v>
      </c>
      <c r="B3451" s="1" t="str">
        <f>"CK2024102216421"</f>
        <v>CK2024102216421</v>
      </c>
      <c r="C3451" s="1" t="str">
        <f>"DD20241022112965"</f>
        <v>DD20241022112965</v>
      </c>
      <c r="D3451" s="1" t="str">
        <f>"CK2024102293950"</f>
        <v>CK2024102293950</v>
      </c>
      <c r="E3451" s="1" t="str">
        <f>"6935326948705834764"</f>
        <v>6935326948705834764</v>
      </c>
      <c r="F3451" s="1" t="str">
        <f t="shared" si="1124"/>
        <v>花都四部-凤凰仓</v>
      </c>
      <c r="G3451" s="1" t="str">
        <f>"卡卡杜个人护理店（抖店）"</f>
        <v>卡卡杜个人护理店（抖店）</v>
      </c>
      <c r="H3451" s="1" t="str">
        <f t="shared" si="1125"/>
        <v>正常订单</v>
      </c>
      <c r="I3451" s="1" t="str">
        <f t="shared" si="1126"/>
        <v>已发货</v>
      </c>
      <c r="J3451" s="1" t="str">
        <f t="shared" si="1136"/>
        <v>3</v>
      </c>
      <c r="K3451" s="1">
        <v>2</v>
      </c>
      <c r="L3451" s="1" t="s">
        <v>52</v>
      </c>
      <c r="M3451" s="1" t="str">
        <f>"甘肃省 兰州市 城关区 皋兰路街道"</f>
        <v>甘肃省 兰州市 城关区 皋兰路街道</v>
      </c>
      <c r="N3451" s="1" t="str">
        <f>"凡华云仓-城南圆通-抖音"</f>
        <v>凡华云仓-城南圆通-抖音</v>
      </c>
      <c r="O3451" s="5" t="s">
        <v>3482</v>
      </c>
      <c r="P3451" s="6">
        <v>0.35</v>
      </c>
      <c r="Q3451" s="11">
        <v>2.2999999999999998</v>
      </c>
      <c r="R3451" s="11"/>
      <c r="S3451" s="11"/>
      <c r="T3451" s="11"/>
      <c r="U3451" s="11">
        <f t="shared" si="1120"/>
        <v>2.2999999999999998</v>
      </c>
      <c r="W3451">
        <v>2.5</v>
      </c>
      <c r="X3451" s="1" t="s">
        <v>52</v>
      </c>
    </row>
    <row r="3452" spans="1:24" x14ac:dyDescent="0.25">
      <c r="A3452" s="1" t="str">
        <f t="shared" si="1123"/>
        <v>卡卡杜-凤凰仓</v>
      </c>
      <c r="B3452" s="1" t="str">
        <f>"CK2024102215711"</f>
        <v>CK2024102215711</v>
      </c>
      <c r="C3452" s="1" t="str">
        <f>"DD20241022105471"</f>
        <v>DD20241022105471</v>
      </c>
      <c r="D3452" s="1" t="str">
        <f>"CK2024102289433"</f>
        <v>CK2024102289433</v>
      </c>
      <c r="E3452" s="1" t="str">
        <f>"KKD20241022YP007"</f>
        <v>KKD20241022YP007</v>
      </c>
      <c r="F3452" s="1" t="str">
        <f t="shared" si="1124"/>
        <v>花都四部-凤凰仓</v>
      </c>
      <c r="G3452" s="1" t="str">
        <f t="shared" ref="G3452:G3455" si="1142">"卡卡杜全欣样品"</f>
        <v>卡卡杜全欣样品</v>
      </c>
      <c r="H3452" s="1" t="str">
        <f t="shared" si="1125"/>
        <v>正常订单</v>
      </c>
      <c r="I3452" s="1" t="str">
        <f t="shared" si="1126"/>
        <v>已发货</v>
      </c>
      <c r="J3452" s="1" t="str">
        <f t="shared" si="1136"/>
        <v>3</v>
      </c>
      <c r="K3452" s="1">
        <v>2</v>
      </c>
      <c r="L3452" s="1" t="s">
        <v>24</v>
      </c>
      <c r="M3452" s="1" t="str">
        <f>"福建省 泉州市 晋江市 "</f>
        <v xml:space="preserve">福建省 泉州市 晋江市 </v>
      </c>
      <c r="N3452" s="1" t="str">
        <f t="shared" ref="N3452:N3461" si="1143">"凡华云仓-城南圆通-淘宝"</f>
        <v>凡华云仓-城南圆通-淘宝</v>
      </c>
      <c r="O3452" s="3" t="s">
        <v>3483</v>
      </c>
      <c r="P3452" s="6">
        <v>0.24</v>
      </c>
      <c r="Q3452" s="11">
        <v>2</v>
      </c>
      <c r="R3452" s="11"/>
      <c r="S3452" s="11"/>
      <c r="T3452" s="11"/>
      <c r="U3452" s="11">
        <f t="shared" si="1120"/>
        <v>2</v>
      </c>
      <c r="W3452">
        <v>2.2000000000000002</v>
      </c>
      <c r="X3452" s="1" t="s">
        <v>24</v>
      </c>
    </row>
    <row r="3453" spans="1:24" x14ac:dyDescent="0.25">
      <c r="A3453" s="1" t="str">
        <f t="shared" si="1123"/>
        <v>卡卡杜-凤凰仓</v>
      </c>
      <c r="B3453" s="1" t="str">
        <f>"CK2024102215680"</f>
        <v>CK2024102215680</v>
      </c>
      <c r="C3453" s="1" t="str">
        <f>"DD20241022105440"</f>
        <v>DD20241022105440</v>
      </c>
      <c r="D3453" s="1" t="str">
        <f>"CK2024102289432"</f>
        <v>CK2024102289432</v>
      </c>
      <c r="E3453" s="1" t="str">
        <f>"KKD20241022YP005"</f>
        <v>KKD20241022YP005</v>
      </c>
      <c r="F3453" s="1" t="str">
        <f t="shared" si="1124"/>
        <v>花都四部-凤凰仓</v>
      </c>
      <c r="G3453" s="1" t="str">
        <f t="shared" si="1142"/>
        <v>卡卡杜全欣样品</v>
      </c>
      <c r="H3453" s="1" t="str">
        <f t="shared" si="1125"/>
        <v>正常订单</v>
      </c>
      <c r="I3453" s="1" t="str">
        <f t="shared" si="1126"/>
        <v>已发货</v>
      </c>
      <c r="J3453" s="1" t="str">
        <f>"10"</f>
        <v>10</v>
      </c>
      <c r="K3453" s="1">
        <v>7</v>
      </c>
      <c r="L3453" s="1" t="s">
        <v>18</v>
      </c>
      <c r="M3453" s="1" t="str">
        <f>"广东省 广州市 白云区 "</f>
        <v xml:space="preserve">广东省 广州市 白云区 </v>
      </c>
      <c r="N3453" s="1" t="str">
        <f t="shared" si="1143"/>
        <v>凡华云仓-城南圆通-淘宝</v>
      </c>
      <c r="O3453" s="3" t="s">
        <v>3484</v>
      </c>
      <c r="P3453" s="6">
        <v>1.18</v>
      </c>
      <c r="Q3453" s="11">
        <f t="shared" ref="Q3453:Q3455" si="1144">CEILING(P3453-0.5,0.1)*10*0.15+2.3</f>
        <v>3.3499999999999996</v>
      </c>
      <c r="R3453" s="11">
        <f t="shared" ref="R3453:R3457" si="1145">(K3453-3)*0.1</f>
        <v>0.4</v>
      </c>
      <c r="S3453" s="11">
        <v>0.15</v>
      </c>
      <c r="T3453" s="11"/>
      <c r="U3453" s="11">
        <f t="shared" si="1120"/>
        <v>3.8999999999999995</v>
      </c>
      <c r="V3453" t="s">
        <v>15</v>
      </c>
      <c r="W3453">
        <v>3.9</v>
      </c>
      <c r="X3453" s="1" t="s">
        <v>18</v>
      </c>
    </row>
    <row r="3454" spans="1:24" x14ac:dyDescent="0.25">
      <c r="A3454" s="1" t="str">
        <f t="shared" si="1123"/>
        <v>卡卡杜-凤凰仓</v>
      </c>
      <c r="B3454" s="1" t="str">
        <f>"CK2024102413300"</f>
        <v>CK2024102413300</v>
      </c>
      <c r="C3454" s="1" t="str">
        <f>"DD2024102459735"</f>
        <v>DD2024102459735</v>
      </c>
      <c r="D3454" s="1" t="str">
        <f>"CK2024102453074"</f>
        <v>CK2024102453074</v>
      </c>
      <c r="E3454" s="1" t="str">
        <f>"kkd20241024yp005"</f>
        <v>kkd20241024yp005</v>
      </c>
      <c r="F3454" s="1" t="str">
        <f t="shared" si="1124"/>
        <v>花都四部-凤凰仓</v>
      </c>
      <c r="G3454" s="1" t="str">
        <f t="shared" si="1142"/>
        <v>卡卡杜全欣样品</v>
      </c>
      <c r="H3454" s="1" t="str">
        <f t="shared" si="1125"/>
        <v>正常订单</v>
      </c>
      <c r="I3454" s="1" t="str">
        <f t="shared" si="1126"/>
        <v>已发货</v>
      </c>
      <c r="J3454" s="1" t="str">
        <f>"5"</f>
        <v>5</v>
      </c>
      <c r="K3454" s="1">
        <v>4</v>
      </c>
      <c r="L3454" s="1" t="s">
        <v>92</v>
      </c>
      <c r="M3454" s="1" t="str">
        <f>"辽宁省 沈阳市 铁西区 "</f>
        <v xml:space="preserve">辽宁省 沈阳市 铁西区 </v>
      </c>
      <c r="N3454" s="1" t="str">
        <f t="shared" si="1143"/>
        <v>凡华云仓-城南圆通-淘宝</v>
      </c>
      <c r="O3454" s="3" t="s">
        <v>3485</v>
      </c>
      <c r="P3454" s="6">
        <v>0.56000000000000005</v>
      </c>
      <c r="Q3454" s="11">
        <f t="shared" si="1144"/>
        <v>2.4499999999999997</v>
      </c>
      <c r="R3454" s="11"/>
      <c r="S3454" s="11">
        <v>0.15</v>
      </c>
      <c r="T3454" s="11"/>
      <c r="U3454" s="11">
        <f t="shared" si="1120"/>
        <v>2.5999999999999996</v>
      </c>
      <c r="V3454" t="s">
        <v>15</v>
      </c>
      <c r="W3454">
        <v>2.6</v>
      </c>
      <c r="X3454" s="1" t="s">
        <v>92</v>
      </c>
    </row>
    <row r="3455" spans="1:24" x14ac:dyDescent="0.25">
      <c r="A3455" s="1" t="str">
        <f t="shared" si="1123"/>
        <v>卡卡杜-凤凰仓</v>
      </c>
      <c r="B3455" s="1" t="str">
        <f>"CK2024102215675"</f>
        <v>CK2024102215675</v>
      </c>
      <c r="C3455" s="1" t="str">
        <f>"DD20241022105437"</f>
        <v>DD20241022105437</v>
      </c>
      <c r="D3455" s="1" t="str">
        <f>"CK2024102289430"</f>
        <v>CK2024102289430</v>
      </c>
      <c r="E3455" s="1" t="str">
        <f>"KKD20241022YP002"</f>
        <v>KKD20241022YP002</v>
      </c>
      <c r="F3455" s="1" t="str">
        <f t="shared" si="1124"/>
        <v>花都四部-凤凰仓</v>
      </c>
      <c r="G3455" s="1" t="str">
        <f t="shared" si="1142"/>
        <v>卡卡杜全欣样品</v>
      </c>
      <c r="H3455" s="1" t="str">
        <f t="shared" si="1125"/>
        <v>正常订单</v>
      </c>
      <c r="I3455" s="1" t="str">
        <f t="shared" si="1126"/>
        <v>已发货</v>
      </c>
      <c r="J3455" s="1" t="str">
        <f>"7"</f>
        <v>7</v>
      </c>
      <c r="K3455" s="1">
        <v>5</v>
      </c>
      <c r="L3455" s="1" t="s">
        <v>18</v>
      </c>
      <c r="M3455" s="1" t="str">
        <f>"广东省 深圳市 宝安区 "</f>
        <v xml:space="preserve">广东省 深圳市 宝安区 </v>
      </c>
      <c r="N3455" s="1" t="str">
        <f t="shared" si="1143"/>
        <v>凡华云仓-城南圆通-淘宝</v>
      </c>
      <c r="O3455" s="3" t="s">
        <v>3486</v>
      </c>
      <c r="P3455" s="6">
        <v>0.8</v>
      </c>
      <c r="Q3455" s="11">
        <f t="shared" si="1144"/>
        <v>2.75</v>
      </c>
      <c r="R3455" s="11">
        <f t="shared" si="1145"/>
        <v>0.2</v>
      </c>
      <c r="S3455" s="11">
        <v>0.15</v>
      </c>
      <c r="T3455" s="11"/>
      <c r="U3455" s="11">
        <f t="shared" si="1120"/>
        <v>3.1</v>
      </c>
      <c r="V3455" t="s">
        <v>15</v>
      </c>
      <c r="W3455">
        <v>3.1</v>
      </c>
      <c r="X3455" s="1" t="s">
        <v>18</v>
      </c>
    </row>
    <row r="3456" spans="1:24" x14ac:dyDescent="0.25">
      <c r="A3456" s="1" t="str">
        <f t="shared" si="1123"/>
        <v>卡卡杜-凤凰仓</v>
      </c>
      <c r="B3456" s="1" t="str">
        <f>"CK2024102215712"</f>
        <v>CK2024102215712</v>
      </c>
      <c r="C3456" s="1" t="str">
        <f>"DD20241022105473"</f>
        <v>DD20241022105473</v>
      </c>
      <c r="D3456" s="1" t="str">
        <f>"CK2024102289429"</f>
        <v>CK2024102289429</v>
      </c>
      <c r="E3456" s="1" t="str">
        <f>"KKD20241022QX001"</f>
        <v>KKD20241022QX001</v>
      </c>
      <c r="F3456" s="1" t="str">
        <f t="shared" si="1124"/>
        <v>花都四部-凤凰仓</v>
      </c>
      <c r="G3456" s="1" t="str">
        <f t="shared" ref="G3456:G3461" si="1146">"卡卡杜（全欣）"</f>
        <v>卡卡杜（全欣）</v>
      </c>
      <c r="H3456" s="1" t="str">
        <f t="shared" si="1125"/>
        <v>正常订单</v>
      </c>
      <c r="I3456" s="1" t="str">
        <f t="shared" si="1126"/>
        <v>已发货</v>
      </c>
      <c r="J3456" s="1" t="str">
        <f>"2"</f>
        <v>2</v>
      </c>
      <c r="K3456" s="1">
        <v>2</v>
      </c>
      <c r="L3456" s="1" t="s">
        <v>22</v>
      </c>
      <c r="M3456" s="1" t="str">
        <f>"江西省 吉安市 青原区 "</f>
        <v xml:space="preserve">江西省 吉安市 青原区 </v>
      </c>
      <c r="N3456" s="1" t="str">
        <f t="shared" si="1143"/>
        <v>凡华云仓-城南圆通-淘宝</v>
      </c>
      <c r="O3456" s="5" t="s">
        <v>3487</v>
      </c>
      <c r="P3456" s="6">
        <v>0.17</v>
      </c>
      <c r="Q3456" s="11">
        <v>2</v>
      </c>
      <c r="R3456" s="11"/>
      <c r="S3456" s="11"/>
      <c r="T3456" s="11"/>
      <c r="U3456" s="11">
        <f t="shared" si="1120"/>
        <v>2</v>
      </c>
      <c r="W3456">
        <v>2.2000000000000002</v>
      </c>
      <c r="X3456" s="1" t="s">
        <v>22</v>
      </c>
    </row>
    <row r="3457" spans="1:24" x14ac:dyDescent="0.25">
      <c r="A3457" s="1" t="str">
        <f t="shared" si="1123"/>
        <v>卡卡杜-凤凰仓</v>
      </c>
      <c r="B3457" s="1" t="str">
        <f>"CK2024102215679"</f>
        <v>CK2024102215679</v>
      </c>
      <c r="C3457" s="1" t="str">
        <f>"DD20241022105441"</f>
        <v>DD20241022105441</v>
      </c>
      <c r="D3457" s="1" t="str">
        <f>"CK2024102289427"</f>
        <v>CK2024102289427</v>
      </c>
      <c r="E3457" s="1" t="str">
        <f>"KKD20241022YP001-1"</f>
        <v>KKD20241022YP001-1</v>
      </c>
      <c r="F3457" s="1" t="str">
        <f t="shared" si="1124"/>
        <v>花都四部-凤凰仓</v>
      </c>
      <c r="G3457" s="1" t="str">
        <f>"卡卡杜全欣样品"</f>
        <v>卡卡杜全欣样品</v>
      </c>
      <c r="H3457" s="1" t="str">
        <f t="shared" si="1125"/>
        <v>正常订单</v>
      </c>
      <c r="I3457" s="1" t="str">
        <f t="shared" si="1126"/>
        <v>已发货</v>
      </c>
      <c r="J3457" s="1" t="str">
        <f>"10"</f>
        <v>10</v>
      </c>
      <c r="K3457" s="1">
        <v>7</v>
      </c>
      <c r="L3457" s="1" t="s">
        <v>18</v>
      </c>
      <c r="M3457" s="1" t="str">
        <f>"广东省 广州市 花都区 "</f>
        <v xml:space="preserve">广东省 广州市 花都区 </v>
      </c>
      <c r="N3457" s="1" t="str">
        <f t="shared" si="1143"/>
        <v>凡华云仓-城南圆通-淘宝</v>
      </c>
      <c r="O3457" s="3" t="s">
        <v>3488</v>
      </c>
      <c r="P3457" s="6">
        <v>1.18</v>
      </c>
      <c r="Q3457" s="11">
        <f t="shared" ref="Q3457:Q3459" si="1147">CEILING(P3457-0.5,0.1)*10*0.15+2.3</f>
        <v>3.3499999999999996</v>
      </c>
      <c r="R3457" s="11">
        <f t="shared" si="1145"/>
        <v>0.4</v>
      </c>
      <c r="S3457" s="11">
        <v>0.15</v>
      </c>
      <c r="T3457" s="11"/>
      <c r="U3457" s="11">
        <f t="shared" si="1120"/>
        <v>3.8999999999999995</v>
      </c>
      <c r="V3457" t="s">
        <v>15</v>
      </c>
      <c r="W3457">
        <v>3.9</v>
      </c>
      <c r="X3457" s="1" t="s">
        <v>18</v>
      </c>
    </row>
    <row r="3458" spans="1:24" x14ac:dyDescent="0.25">
      <c r="A3458" s="1" t="str">
        <f t="shared" si="1123"/>
        <v>卡卡杜-凤凰仓</v>
      </c>
      <c r="B3458" s="1" t="str">
        <f>"CK2024102215724"</f>
        <v>CK2024102215724</v>
      </c>
      <c r="C3458" s="1" t="str">
        <f>"DD20241022105484"</f>
        <v>DD20241022105484</v>
      </c>
      <c r="D3458" s="1" t="str">
        <f>"CK2024102289426"</f>
        <v>CK2024102289426</v>
      </c>
      <c r="E3458" s="1" t="str">
        <f>"KKD20241022QX003"</f>
        <v>KKD20241022QX003</v>
      </c>
      <c r="F3458" s="1" t="str">
        <f t="shared" si="1124"/>
        <v>花都四部-凤凰仓</v>
      </c>
      <c r="G3458" s="1" t="str">
        <f t="shared" si="1146"/>
        <v>卡卡杜（全欣）</v>
      </c>
      <c r="H3458" s="1" t="str">
        <f t="shared" si="1125"/>
        <v>正常订单</v>
      </c>
      <c r="I3458" s="1" t="str">
        <f t="shared" si="1126"/>
        <v>已发货</v>
      </c>
      <c r="J3458" s="1" t="str">
        <f>"5"</f>
        <v>5</v>
      </c>
      <c r="K3458" s="1">
        <v>2</v>
      </c>
      <c r="L3458" s="1" t="s">
        <v>18</v>
      </c>
      <c r="M3458" s="1" t="str">
        <f>"广东省 珠海市 金湾区 "</f>
        <v xml:space="preserve">广东省 珠海市 金湾区 </v>
      </c>
      <c r="N3458" s="1" t="str">
        <f t="shared" si="1143"/>
        <v>凡华云仓-城南圆通-淘宝</v>
      </c>
      <c r="O3458" s="5" t="s">
        <v>3489</v>
      </c>
      <c r="P3458" s="6">
        <v>0.59</v>
      </c>
      <c r="Q3458" s="11">
        <f t="shared" si="1147"/>
        <v>2.4499999999999997</v>
      </c>
      <c r="R3458" s="11"/>
      <c r="S3458" s="11"/>
      <c r="T3458" s="11"/>
      <c r="U3458" s="11">
        <f t="shared" si="1120"/>
        <v>2.4499999999999997</v>
      </c>
      <c r="V3458" t="s">
        <v>15</v>
      </c>
      <c r="W3458">
        <v>2.4500000000000002</v>
      </c>
      <c r="X3458" s="1" t="s">
        <v>18</v>
      </c>
    </row>
    <row r="3459" spans="1:24" x14ac:dyDescent="0.25">
      <c r="A3459" s="1" t="str">
        <f t="shared" si="1123"/>
        <v>卡卡杜-凤凰仓</v>
      </c>
      <c r="B3459" s="1" t="str">
        <f>"CK2024102215723"</f>
        <v>CK2024102215723</v>
      </c>
      <c r="C3459" s="1" t="str">
        <f>"DD20241022105483"</f>
        <v>DD20241022105483</v>
      </c>
      <c r="D3459" s="1" t="str">
        <f>"CK2024102289425"</f>
        <v>CK2024102289425</v>
      </c>
      <c r="E3459" s="1" t="str">
        <f>"KKD20241022QX002"</f>
        <v>KKD20241022QX002</v>
      </c>
      <c r="F3459" s="1" t="str">
        <f t="shared" si="1124"/>
        <v>花都四部-凤凰仓</v>
      </c>
      <c r="G3459" s="1" t="str">
        <f t="shared" si="1146"/>
        <v>卡卡杜（全欣）</v>
      </c>
      <c r="H3459" s="1" t="str">
        <f t="shared" si="1125"/>
        <v>正常订单</v>
      </c>
      <c r="I3459" s="1" t="str">
        <f t="shared" si="1126"/>
        <v>已发货</v>
      </c>
      <c r="J3459" s="1" t="str">
        <f>"5"</f>
        <v>5</v>
      </c>
      <c r="K3459" s="1">
        <v>2</v>
      </c>
      <c r="L3459" s="1" t="s">
        <v>18</v>
      </c>
      <c r="M3459" s="1" t="str">
        <f>"广东省 深圳市 罗湖区 "</f>
        <v xml:space="preserve">广东省 深圳市 罗湖区 </v>
      </c>
      <c r="N3459" s="1" t="str">
        <f t="shared" si="1143"/>
        <v>凡华云仓-城南圆通-淘宝</v>
      </c>
      <c r="O3459" s="5" t="s">
        <v>3490</v>
      </c>
      <c r="P3459" s="6">
        <v>0.59</v>
      </c>
      <c r="Q3459" s="11">
        <f t="shared" si="1147"/>
        <v>2.4499999999999997</v>
      </c>
      <c r="R3459" s="11"/>
      <c r="S3459" s="11"/>
      <c r="T3459" s="11"/>
      <c r="U3459" s="11">
        <f t="shared" ref="U3459:U3522" si="1148">T3459+S3459+R3459+Q3459</f>
        <v>2.4499999999999997</v>
      </c>
      <c r="V3459" t="s">
        <v>15</v>
      </c>
      <c r="W3459">
        <v>2.4500000000000002</v>
      </c>
      <c r="X3459" s="1" t="s">
        <v>18</v>
      </c>
    </row>
    <row r="3460" spans="1:24" x14ac:dyDescent="0.25">
      <c r="A3460" s="1" t="str">
        <f t="shared" si="1123"/>
        <v>卡卡杜-凤凰仓</v>
      </c>
      <c r="B3460" s="1" t="str">
        <f>"CK2024102215685"</f>
        <v>CK2024102215685</v>
      </c>
      <c r="C3460" s="1" t="str">
        <f>"DD20241022105447"</f>
        <v>DD20241022105447</v>
      </c>
      <c r="D3460" s="1" t="str">
        <f>"CK2024102289424"</f>
        <v>CK2024102289424</v>
      </c>
      <c r="E3460" s="1" t="str">
        <f>"KKD20241022QX005"</f>
        <v>KKD20241022QX005</v>
      </c>
      <c r="F3460" s="1" t="str">
        <f t="shared" si="1124"/>
        <v>花都四部-凤凰仓</v>
      </c>
      <c r="G3460" s="1" t="str">
        <f t="shared" si="1146"/>
        <v>卡卡杜（全欣）</v>
      </c>
      <c r="H3460" s="1" t="str">
        <f t="shared" si="1125"/>
        <v>正常订单</v>
      </c>
      <c r="I3460" s="1" t="str">
        <f t="shared" si="1126"/>
        <v>已发货</v>
      </c>
      <c r="J3460" s="1" t="str">
        <f t="shared" ref="J3460:J3463" si="1149">"3"</f>
        <v>3</v>
      </c>
      <c r="K3460" s="1">
        <v>3</v>
      </c>
      <c r="L3460" s="1" t="s">
        <v>20</v>
      </c>
      <c r="M3460" s="1" t="str">
        <f>"浙江省 温州市 龙湾区 "</f>
        <v xml:space="preserve">浙江省 温州市 龙湾区 </v>
      </c>
      <c r="N3460" s="1" t="str">
        <f t="shared" si="1143"/>
        <v>凡华云仓-城南圆通-淘宝</v>
      </c>
      <c r="O3460" s="5" t="s">
        <v>3491</v>
      </c>
      <c r="P3460" s="6">
        <v>0.34</v>
      </c>
      <c r="Q3460" s="11">
        <v>2.2999999999999998</v>
      </c>
      <c r="R3460" s="11"/>
      <c r="S3460" s="11"/>
      <c r="T3460" s="11"/>
      <c r="U3460" s="11">
        <f t="shared" si="1148"/>
        <v>2.2999999999999998</v>
      </c>
      <c r="W3460">
        <v>2.5</v>
      </c>
      <c r="X3460" s="1" t="s">
        <v>20</v>
      </c>
    </row>
    <row r="3461" spans="1:24" x14ac:dyDescent="0.25">
      <c r="A3461" s="1" t="str">
        <f t="shared" ref="A3461:A3524" si="1150">"卡卡杜-凤凰仓"</f>
        <v>卡卡杜-凤凰仓</v>
      </c>
      <c r="B3461" s="1" t="str">
        <f>"CK2024102215725"</f>
        <v>CK2024102215725</v>
      </c>
      <c r="C3461" s="1" t="str">
        <f>"DD20241022105485"</f>
        <v>DD20241022105485</v>
      </c>
      <c r="D3461" s="1" t="str">
        <f>"CK2024102289422"</f>
        <v>CK2024102289422</v>
      </c>
      <c r="E3461" s="1" t="str">
        <f>"KKD20241022QX004"</f>
        <v>KKD20241022QX004</v>
      </c>
      <c r="F3461" s="1" t="str">
        <f t="shared" ref="F3461:F3524" si="1151">"花都四部-凤凰仓"</f>
        <v>花都四部-凤凰仓</v>
      </c>
      <c r="G3461" s="1" t="str">
        <f t="shared" si="1146"/>
        <v>卡卡杜（全欣）</v>
      </c>
      <c r="H3461" s="1" t="str">
        <f t="shared" ref="H3461:H3524" si="1152">"正常订单"</f>
        <v>正常订单</v>
      </c>
      <c r="I3461" s="1" t="str">
        <f t="shared" ref="I3461:I3524" si="1153">"已发货"</f>
        <v>已发货</v>
      </c>
      <c r="J3461" s="1" t="str">
        <f>"5"</f>
        <v>5</v>
      </c>
      <c r="K3461" s="1">
        <v>2</v>
      </c>
      <c r="L3461" s="1" t="s">
        <v>74</v>
      </c>
      <c r="M3461" s="1" t="str">
        <f>"上海 上海市 浦东新区 "</f>
        <v xml:space="preserve">上海 上海市 浦东新区 </v>
      </c>
      <c r="N3461" s="1" t="str">
        <f t="shared" si="1143"/>
        <v>凡华云仓-城南圆通-淘宝</v>
      </c>
      <c r="O3461" s="5" t="s">
        <v>3492</v>
      </c>
      <c r="P3461" s="6">
        <v>0.59</v>
      </c>
      <c r="Q3461" s="11">
        <f>CEILING(P3461-0.5,0.1)*10*0.15+2.3</f>
        <v>2.4499999999999997</v>
      </c>
      <c r="R3461" s="11"/>
      <c r="S3461" s="11"/>
      <c r="T3461" s="11"/>
      <c r="U3461" s="11">
        <f t="shared" si="1148"/>
        <v>2.4499999999999997</v>
      </c>
      <c r="V3461" t="s">
        <v>15</v>
      </c>
      <c r="W3461">
        <v>2.4500000000000002</v>
      </c>
      <c r="X3461" s="1" t="s">
        <v>74</v>
      </c>
    </row>
    <row r="3462" spans="1:24" x14ac:dyDescent="0.25">
      <c r="A3462" s="1" t="str">
        <f t="shared" si="1150"/>
        <v>卡卡杜-凤凰仓</v>
      </c>
      <c r="B3462" s="1" t="str">
        <f>"CK2024102215703"</f>
        <v>CK2024102215703</v>
      </c>
      <c r="C3462" s="1" t="str">
        <f>"DD20241022105463"</f>
        <v>DD20241022105463</v>
      </c>
      <c r="D3462" s="1" t="str">
        <f>"CK2024102289421"</f>
        <v>CK2024102289421</v>
      </c>
      <c r="E3462" s="1" t="str">
        <f>"6935326036734121758"</f>
        <v>6935326036734121758</v>
      </c>
      <c r="F3462" s="1" t="str">
        <f t="shared" si="1151"/>
        <v>花都四部-凤凰仓</v>
      </c>
      <c r="G3462" s="1" t="str">
        <f>"卡卡杜个人护理店（抖店）"</f>
        <v>卡卡杜个人护理店（抖店）</v>
      </c>
      <c r="H3462" s="1" t="str">
        <f t="shared" si="1152"/>
        <v>正常订单</v>
      </c>
      <c r="I3462" s="1" t="str">
        <f t="shared" si="1153"/>
        <v>已发货</v>
      </c>
      <c r="J3462" s="1" t="str">
        <f t="shared" si="1149"/>
        <v>3</v>
      </c>
      <c r="K3462" s="1">
        <v>2</v>
      </c>
      <c r="L3462" s="1" t="s">
        <v>66</v>
      </c>
      <c r="M3462" s="1" t="str">
        <f>"内蒙古自治区 巴彦淖尔市 临河区 新华街道"</f>
        <v>内蒙古自治区 巴彦淖尔市 临河区 新华街道</v>
      </c>
      <c r="N3462" s="1" t="str">
        <f>"凡华云仓-城南圆通-抖音"</f>
        <v>凡华云仓-城南圆通-抖音</v>
      </c>
      <c r="O3462" s="5" t="s">
        <v>3493</v>
      </c>
      <c r="P3462" s="6">
        <v>0.35</v>
      </c>
      <c r="Q3462" s="11">
        <v>2.2999999999999998</v>
      </c>
      <c r="R3462" s="11"/>
      <c r="S3462" s="11"/>
      <c r="T3462" s="11"/>
      <c r="U3462" s="11">
        <f t="shared" si="1148"/>
        <v>2.2999999999999998</v>
      </c>
      <c r="W3462">
        <v>2.5</v>
      </c>
      <c r="X3462" s="1" t="s">
        <v>66</v>
      </c>
    </row>
    <row r="3463" spans="1:24" x14ac:dyDescent="0.25">
      <c r="A3463" s="1" t="str">
        <f t="shared" si="1150"/>
        <v>卡卡杜-凤凰仓</v>
      </c>
      <c r="B3463" s="1" t="str">
        <f>"CK2024102215686"</f>
        <v>CK2024102215686</v>
      </c>
      <c r="C3463" s="1" t="str">
        <f>"DD20241022105446"</f>
        <v>DD20241022105446</v>
      </c>
      <c r="D3463" s="1" t="str">
        <f>"CK2024102289317"</f>
        <v>CK2024102289317</v>
      </c>
      <c r="E3463" s="1" t="str">
        <f>"3723483524513793536"</f>
        <v>3723483524513793536</v>
      </c>
      <c r="F3463" s="1" t="str">
        <f t="shared" si="1151"/>
        <v>花都四部-凤凰仓</v>
      </c>
      <c r="G3463" s="1" t="str">
        <f t="shared" ref="G3463:G3466" si="1154">"卡卡杜企业店（视频号）"</f>
        <v>卡卡杜企业店（视频号）</v>
      </c>
      <c r="H3463" s="1" t="str">
        <f t="shared" si="1152"/>
        <v>正常订单</v>
      </c>
      <c r="I3463" s="1" t="str">
        <f t="shared" si="1153"/>
        <v>已发货</v>
      </c>
      <c r="J3463" s="1" t="str">
        <f t="shared" si="1149"/>
        <v>3</v>
      </c>
      <c r="K3463" s="1">
        <v>3</v>
      </c>
      <c r="L3463" s="1" t="s">
        <v>74</v>
      </c>
      <c r="M3463" s="1" t="str">
        <f>"上海 上海市 宝山区 "</f>
        <v xml:space="preserve">上海 上海市 宝山区 </v>
      </c>
      <c r="N3463" s="1" t="str">
        <f t="shared" ref="N3463:N3466" si="1155">"凡华云仓-城南圆通-微信视频号"</f>
        <v>凡华云仓-城南圆通-微信视频号</v>
      </c>
      <c r="O3463" s="5" t="s">
        <v>3494</v>
      </c>
      <c r="P3463" s="6">
        <v>0.34</v>
      </c>
      <c r="Q3463" s="11">
        <v>2.2999999999999998</v>
      </c>
      <c r="R3463" s="11"/>
      <c r="S3463" s="11"/>
      <c r="T3463" s="11"/>
      <c r="U3463" s="11">
        <f t="shared" si="1148"/>
        <v>2.2999999999999998</v>
      </c>
      <c r="W3463">
        <v>2.5</v>
      </c>
      <c r="X3463" s="1" t="s">
        <v>74</v>
      </c>
    </row>
    <row r="3464" spans="1:24" x14ac:dyDescent="0.25">
      <c r="A3464" s="1" t="str">
        <f t="shared" si="1150"/>
        <v>卡卡杜-凤凰仓</v>
      </c>
      <c r="B3464" s="1" t="str">
        <f>"CK2024102215714"</f>
        <v>CK2024102215714</v>
      </c>
      <c r="C3464" s="1" t="str">
        <f>"DD20241022105475"</f>
        <v>DD20241022105475</v>
      </c>
      <c r="D3464" s="1" t="str">
        <f>"CK2024102289316"</f>
        <v>CK2024102289316</v>
      </c>
      <c r="E3464" s="1" t="str">
        <f>"3723481479538151424"</f>
        <v>3723481479538151424</v>
      </c>
      <c r="F3464" s="1" t="str">
        <f t="shared" si="1151"/>
        <v>花都四部-凤凰仓</v>
      </c>
      <c r="G3464" s="1" t="str">
        <f t="shared" si="1154"/>
        <v>卡卡杜企业店（视频号）</v>
      </c>
      <c r="H3464" s="1" t="str">
        <f t="shared" si="1152"/>
        <v>正常订单</v>
      </c>
      <c r="I3464" s="1" t="str">
        <f t="shared" si="1153"/>
        <v>已发货</v>
      </c>
      <c r="J3464" s="1" t="str">
        <f>"5"</f>
        <v>5</v>
      </c>
      <c r="K3464" s="1">
        <v>3</v>
      </c>
      <c r="L3464" s="1" t="s">
        <v>74</v>
      </c>
      <c r="M3464" s="1" t="str">
        <f>"上海 上海市 普陀区 "</f>
        <v xml:space="preserve">上海 上海市 普陀区 </v>
      </c>
      <c r="N3464" s="1" t="str">
        <f t="shared" si="1155"/>
        <v>凡华云仓-城南圆通-微信视频号</v>
      </c>
      <c r="O3464" s="5" t="s">
        <v>3495</v>
      </c>
      <c r="P3464" s="6">
        <v>0.56000000000000005</v>
      </c>
      <c r="Q3464" s="11">
        <f>CEILING(P3464-0.5,0.1)*10*0.15+2.3</f>
        <v>2.4499999999999997</v>
      </c>
      <c r="R3464" s="11"/>
      <c r="S3464" s="11"/>
      <c r="T3464" s="11"/>
      <c r="U3464" s="11">
        <f t="shared" si="1148"/>
        <v>2.4499999999999997</v>
      </c>
      <c r="V3464" t="s">
        <v>15</v>
      </c>
      <c r="W3464">
        <v>2.4500000000000002</v>
      </c>
      <c r="X3464" s="1" t="s">
        <v>74</v>
      </c>
    </row>
    <row r="3465" spans="1:24" x14ac:dyDescent="0.25">
      <c r="A3465" s="1" t="str">
        <f t="shared" si="1150"/>
        <v>卡卡杜-凤凰仓</v>
      </c>
      <c r="B3465" s="1" t="str">
        <f>"CK2024102215684"</f>
        <v>CK2024102215684</v>
      </c>
      <c r="C3465" s="1" t="str">
        <f>"DD20241022105445"</f>
        <v>DD20241022105445</v>
      </c>
      <c r="D3465" s="1" t="str">
        <f>"CK2024102289315"</f>
        <v>CK2024102289315</v>
      </c>
      <c r="E3465" s="1" t="str">
        <f>"3723480843294737664"</f>
        <v>3723480843294737664</v>
      </c>
      <c r="F3465" s="1" t="str">
        <f t="shared" si="1151"/>
        <v>花都四部-凤凰仓</v>
      </c>
      <c r="G3465" s="1" t="str">
        <f t="shared" si="1154"/>
        <v>卡卡杜企业店（视频号）</v>
      </c>
      <c r="H3465" s="1" t="str">
        <f t="shared" si="1152"/>
        <v>正常订单</v>
      </c>
      <c r="I3465" s="1" t="str">
        <f t="shared" si="1153"/>
        <v>已发货</v>
      </c>
      <c r="J3465" s="1" t="str">
        <f t="shared" ref="J3465:J3467" si="1156">"3"</f>
        <v>3</v>
      </c>
      <c r="K3465" s="1">
        <v>3</v>
      </c>
      <c r="L3465" s="1" t="s">
        <v>18</v>
      </c>
      <c r="M3465" s="1" t="str">
        <f>"广东省 东莞市 塘厦镇 "</f>
        <v xml:space="preserve">广东省 东莞市 塘厦镇 </v>
      </c>
      <c r="N3465" s="1" t="str">
        <f t="shared" si="1155"/>
        <v>凡华云仓-城南圆通-微信视频号</v>
      </c>
      <c r="O3465" s="5" t="s">
        <v>3496</v>
      </c>
      <c r="P3465" s="6">
        <v>0.34</v>
      </c>
      <c r="Q3465" s="11">
        <v>2.2999999999999998</v>
      </c>
      <c r="R3465" s="11"/>
      <c r="S3465" s="11"/>
      <c r="T3465" s="11"/>
      <c r="U3465" s="11">
        <f t="shared" si="1148"/>
        <v>2.2999999999999998</v>
      </c>
      <c r="W3465">
        <v>2.5</v>
      </c>
      <c r="X3465" s="1" t="s">
        <v>18</v>
      </c>
    </row>
    <row r="3466" spans="1:24" x14ac:dyDescent="0.25">
      <c r="A3466" s="1" t="str">
        <f t="shared" si="1150"/>
        <v>卡卡杜-凤凰仓</v>
      </c>
      <c r="B3466" s="1" t="str">
        <f>"CK202410221031-1"</f>
        <v>CK202410221031-1</v>
      </c>
      <c r="C3466" s="1" t="str">
        <f>"DD20241022105489"</f>
        <v>DD20241022105489</v>
      </c>
      <c r="D3466" s="1" t="str">
        <f>"CK2024102289314"</f>
        <v>CK2024102289314</v>
      </c>
      <c r="E3466" s="1" t="str">
        <f>"3723480778787128576"</f>
        <v>3723480778787128576</v>
      </c>
      <c r="F3466" s="1" t="str">
        <f t="shared" si="1151"/>
        <v>花都四部-凤凰仓</v>
      </c>
      <c r="G3466" s="1" t="str">
        <f t="shared" si="1154"/>
        <v>卡卡杜企业店（视频号）</v>
      </c>
      <c r="H3466" s="1" t="str">
        <f t="shared" si="1152"/>
        <v>正常订单</v>
      </c>
      <c r="I3466" s="1" t="str">
        <f t="shared" si="1153"/>
        <v>已发货</v>
      </c>
      <c r="J3466" s="1" t="str">
        <f t="shared" si="1156"/>
        <v>3</v>
      </c>
      <c r="K3466" s="1">
        <v>3</v>
      </c>
      <c r="L3466" s="1" t="s">
        <v>16</v>
      </c>
      <c r="M3466" s="1" t="str">
        <f>"河北省 保定市 曲阳县 "</f>
        <v xml:space="preserve">河北省 保定市 曲阳县 </v>
      </c>
      <c r="N3466" s="1" t="str">
        <f t="shared" si="1155"/>
        <v>凡华云仓-城南圆通-微信视频号</v>
      </c>
      <c r="O3466" s="5" t="s">
        <v>3497</v>
      </c>
      <c r="P3466" s="6">
        <v>0.34</v>
      </c>
      <c r="Q3466" s="11">
        <v>2.2999999999999998</v>
      </c>
      <c r="R3466" s="11"/>
      <c r="S3466" s="11"/>
      <c r="T3466" s="11"/>
      <c r="U3466" s="11">
        <f t="shared" si="1148"/>
        <v>2.2999999999999998</v>
      </c>
      <c r="W3466">
        <v>2.5</v>
      </c>
      <c r="X3466" s="1" t="s">
        <v>16</v>
      </c>
    </row>
    <row r="3467" spans="1:24" x14ac:dyDescent="0.25">
      <c r="A3467" s="1" t="str">
        <f t="shared" si="1150"/>
        <v>卡卡杜-凤凰仓</v>
      </c>
      <c r="B3467" s="1" t="str">
        <f>"CK2024102215707"</f>
        <v>CK2024102215707</v>
      </c>
      <c r="C3467" s="1" t="str">
        <f>"DD20241022105468"</f>
        <v>DD20241022105468</v>
      </c>
      <c r="D3467" s="1" t="str">
        <f>"CK2024102289313"</f>
        <v>CK2024102289313</v>
      </c>
      <c r="E3467" s="1" t="str">
        <f>"2429602172866298"</f>
        <v>2429602172866298</v>
      </c>
      <c r="F3467" s="1" t="str">
        <f t="shared" si="1151"/>
        <v>花都四部-凤凰仓</v>
      </c>
      <c r="G3467" s="1" t="str">
        <f t="shared" ref="G3467:G3496" si="1157">"卡卡杜佳旺专卖店（快手店）"</f>
        <v>卡卡杜佳旺专卖店（快手店）</v>
      </c>
      <c r="H3467" s="1" t="str">
        <f t="shared" si="1152"/>
        <v>正常订单</v>
      </c>
      <c r="I3467" s="1" t="str">
        <f t="shared" si="1153"/>
        <v>已发货</v>
      </c>
      <c r="J3467" s="1" t="str">
        <f t="shared" si="1156"/>
        <v>3</v>
      </c>
      <c r="K3467" s="1">
        <v>2</v>
      </c>
      <c r="L3467" s="1" t="s">
        <v>18</v>
      </c>
      <c r="M3467" s="1" t="str">
        <f>"广东省 深圳市 光明区 玉塘街道"</f>
        <v>广东省 深圳市 光明区 玉塘街道</v>
      </c>
      <c r="N3467" s="1" t="str">
        <f t="shared" ref="N3467:N3496" si="1158">"凡华云仓-城南圆通-快手"</f>
        <v>凡华云仓-城南圆通-快手</v>
      </c>
      <c r="O3467" s="5" t="s">
        <v>3498</v>
      </c>
      <c r="P3467" s="6">
        <v>0.35</v>
      </c>
      <c r="Q3467" s="11">
        <v>2.2999999999999998</v>
      </c>
      <c r="R3467" s="11"/>
      <c r="S3467" s="11"/>
      <c r="T3467" s="11"/>
      <c r="U3467" s="11">
        <f t="shared" si="1148"/>
        <v>2.2999999999999998</v>
      </c>
      <c r="W3467">
        <v>2.5</v>
      </c>
      <c r="X3467" s="1" t="s">
        <v>18</v>
      </c>
    </row>
    <row r="3468" spans="1:24" x14ac:dyDescent="0.25">
      <c r="A3468" s="1" t="str">
        <f t="shared" si="1150"/>
        <v>卡卡杜-凤凰仓</v>
      </c>
      <c r="B3468" s="1" t="str">
        <f>"CK2024102215722"</f>
        <v>CK2024102215722</v>
      </c>
      <c r="C3468" s="1" t="str">
        <f>"DD20241022105482"</f>
        <v>DD20241022105482</v>
      </c>
      <c r="D3468" s="1" t="str">
        <f>"CK2024102289312"</f>
        <v>CK2024102289312</v>
      </c>
      <c r="E3468" s="1" t="str">
        <f>"2429602255241064"</f>
        <v>2429602255241064</v>
      </c>
      <c r="F3468" s="1" t="str">
        <f t="shared" si="1151"/>
        <v>花都四部-凤凰仓</v>
      </c>
      <c r="G3468" s="1" t="str">
        <f t="shared" si="1157"/>
        <v>卡卡杜佳旺专卖店（快手店）</v>
      </c>
      <c r="H3468" s="1" t="str">
        <f t="shared" si="1152"/>
        <v>正常订单</v>
      </c>
      <c r="I3468" s="1" t="str">
        <f t="shared" si="1153"/>
        <v>已发货</v>
      </c>
      <c r="J3468" s="1" t="str">
        <f t="shared" ref="J3468:J3474" si="1159">"5"</f>
        <v>5</v>
      </c>
      <c r="K3468" s="1">
        <v>2</v>
      </c>
      <c r="L3468" s="1" t="s">
        <v>18</v>
      </c>
      <c r="M3468" s="1" t="str">
        <f>"广东省 深圳市 宝安区 石岩街道"</f>
        <v>广东省 深圳市 宝安区 石岩街道</v>
      </c>
      <c r="N3468" s="1" t="str">
        <f t="shared" si="1158"/>
        <v>凡华云仓-城南圆通-快手</v>
      </c>
      <c r="O3468" s="5" t="s">
        <v>3499</v>
      </c>
      <c r="P3468" s="6">
        <v>0.59</v>
      </c>
      <c r="Q3468" s="11">
        <f t="shared" ref="Q3468:Q3474" si="1160">CEILING(P3468-0.5,0.1)*10*0.15+2.3</f>
        <v>2.4499999999999997</v>
      </c>
      <c r="R3468" s="11"/>
      <c r="S3468" s="11"/>
      <c r="T3468" s="11"/>
      <c r="U3468" s="11">
        <f t="shared" si="1148"/>
        <v>2.4499999999999997</v>
      </c>
      <c r="V3468" t="s">
        <v>15</v>
      </c>
      <c r="W3468">
        <v>2.4500000000000002</v>
      </c>
      <c r="X3468" s="1" t="s">
        <v>18</v>
      </c>
    </row>
    <row r="3469" spans="1:24" x14ac:dyDescent="0.25">
      <c r="A3469" s="1" t="str">
        <f t="shared" si="1150"/>
        <v>卡卡杜-凤凰仓</v>
      </c>
      <c r="B3469" s="1" t="str">
        <f>"CK2024102215701"</f>
        <v>CK2024102215701</v>
      </c>
      <c r="C3469" s="1" t="str">
        <f>"DD20241022105462"</f>
        <v>DD20241022105462</v>
      </c>
      <c r="D3469" s="1" t="str">
        <f>"CK2024102289311"</f>
        <v>CK2024102289311</v>
      </c>
      <c r="E3469" s="1" t="str">
        <f>"2429602493688066"</f>
        <v>2429602493688066</v>
      </c>
      <c r="F3469" s="1" t="str">
        <f t="shared" si="1151"/>
        <v>花都四部-凤凰仓</v>
      </c>
      <c r="G3469" s="1" t="str">
        <f t="shared" si="1157"/>
        <v>卡卡杜佳旺专卖店（快手店）</v>
      </c>
      <c r="H3469" s="1" t="str">
        <f t="shared" si="1152"/>
        <v>正常订单</v>
      </c>
      <c r="I3469" s="1" t="str">
        <f t="shared" si="1153"/>
        <v>已发货</v>
      </c>
      <c r="J3469" s="1" t="str">
        <f t="shared" ref="J3469:J3471" si="1161">"3"</f>
        <v>3</v>
      </c>
      <c r="K3469" s="1">
        <v>2</v>
      </c>
      <c r="L3469" s="1" t="s">
        <v>18</v>
      </c>
      <c r="M3469" s="1" t="str">
        <f>"广东省 茂名市 高州市 长坡镇"</f>
        <v>广东省 茂名市 高州市 长坡镇</v>
      </c>
      <c r="N3469" s="1" t="str">
        <f t="shared" si="1158"/>
        <v>凡华云仓-城南圆通-快手</v>
      </c>
      <c r="O3469" s="5" t="s">
        <v>3500</v>
      </c>
      <c r="P3469" s="6">
        <v>0.35</v>
      </c>
      <c r="Q3469" s="11">
        <v>2.2999999999999998</v>
      </c>
      <c r="R3469" s="11"/>
      <c r="S3469" s="11"/>
      <c r="T3469" s="11"/>
      <c r="U3469" s="11">
        <f t="shared" si="1148"/>
        <v>2.2999999999999998</v>
      </c>
      <c r="W3469">
        <v>2.5</v>
      </c>
      <c r="X3469" s="1" t="s">
        <v>18</v>
      </c>
    </row>
    <row r="3470" spans="1:24" x14ac:dyDescent="0.25">
      <c r="A3470" s="1" t="str">
        <f t="shared" si="1150"/>
        <v>卡卡杜-凤凰仓</v>
      </c>
      <c r="B3470" s="1" t="str">
        <f>"CK2024102215706"</f>
        <v>CK2024102215706</v>
      </c>
      <c r="C3470" s="1" t="str">
        <f>"DD20241022105466"</f>
        <v>DD20241022105466</v>
      </c>
      <c r="D3470" s="1" t="str">
        <f>"CK2024102289310"</f>
        <v>CK2024102289310</v>
      </c>
      <c r="E3470" s="1" t="str">
        <f>"2429601612136567"</f>
        <v>2429601612136567</v>
      </c>
      <c r="F3470" s="1" t="str">
        <f t="shared" si="1151"/>
        <v>花都四部-凤凰仓</v>
      </c>
      <c r="G3470" s="1" t="str">
        <f t="shared" si="1157"/>
        <v>卡卡杜佳旺专卖店（快手店）</v>
      </c>
      <c r="H3470" s="1" t="str">
        <f t="shared" si="1152"/>
        <v>正常订单</v>
      </c>
      <c r="I3470" s="1" t="str">
        <f t="shared" si="1153"/>
        <v>已发货</v>
      </c>
      <c r="J3470" s="1" t="str">
        <f t="shared" si="1161"/>
        <v>3</v>
      </c>
      <c r="K3470" s="1">
        <v>2</v>
      </c>
      <c r="L3470" s="1" t="s">
        <v>32</v>
      </c>
      <c r="M3470" s="1" t="str">
        <f>"陕西省 西安市 雁塔区 长延堡街道"</f>
        <v>陕西省 西安市 雁塔区 长延堡街道</v>
      </c>
      <c r="N3470" s="1" t="str">
        <f t="shared" si="1158"/>
        <v>凡华云仓-城南圆通-快手</v>
      </c>
      <c r="O3470" s="5" t="s">
        <v>3501</v>
      </c>
      <c r="P3470" s="6">
        <v>0.35</v>
      </c>
      <c r="Q3470" s="11">
        <v>2.2999999999999998</v>
      </c>
      <c r="R3470" s="11"/>
      <c r="S3470" s="11"/>
      <c r="T3470" s="11"/>
      <c r="U3470" s="11">
        <f t="shared" si="1148"/>
        <v>2.2999999999999998</v>
      </c>
      <c r="W3470">
        <v>2.5</v>
      </c>
      <c r="X3470" s="1" t="s">
        <v>32</v>
      </c>
    </row>
    <row r="3471" spans="1:24" x14ac:dyDescent="0.25">
      <c r="A3471" s="1" t="str">
        <f t="shared" si="1150"/>
        <v>卡卡杜-凤凰仓</v>
      </c>
      <c r="B3471" s="1" t="str">
        <f>"CK2024102215708"</f>
        <v>CK2024102215708</v>
      </c>
      <c r="C3471" s="1" t="str">
        <f>"DD20241022105469"</f>
        <v>DD20241022105469</v>
      </c>
      <c r="D3471" s="1" t="str">
        <f>"CK2024102289309"</f>
        <v>CK2024102289309</v>
      </c>
      <c r="E3471" s="1" t="str">
        <f>"2429601925529479"</f>
        <v>2429601925529479</v>
      </c>
      <c r="F3471" s="1" t="str">
        <f t="shared" si="1151"/>
        <v>花都四部-凤凰仓</v>
      </c>
      <c r="G3471" s="1" t="str">
        <f t="shared" si="1157"/>
        <v>卡卡杜佳旺专卖店（快手店）</v>
      </c>
      <c r="H3471" s="1" t="str">
        <f t="shared" si="1152"/>
        <v>正常订单</v>
      </c>
      <c r="I3471" s="1" t="str">
        <f t="shared" si="1153"/>
        <v>已发货</v>
      </c>
      <c r="J3471" s="1" t="str">
        <f t="shared" si="1161"/>
        <v>3</v>
      </c>
      <c r="K3471" s="1">
        <v>2</v>
      </c>
      <c r="L3471" s="1" t="s">
        <v>32</v>
      </c>
      <c r="M3471" s="1" t="str">
        <f>"陕西省 咸阳市 武功县 小村镇"</f>
        <v>陕西省 咸阳市 武功县 小村镇</v>
      </c>
      <c r="N3471" s="1" t="str">
        <f t="shared" si="1158"/>
        <v>凡华云仓-城南圆通-快手</v>
      </c>
      <c r="O3471" s="5" t="s">
        <v>3502</v>
      </c>
      <c r="P3471" s="6">
        <v>0.35</v>
      </c>
      <c r="Q3471" s="11">
        <v>2.2999999999999998</v>
      </c>
      <c r="R3471" s="11"/>
      <c r="S3471" s="11"/>
      <c r="T3471" s="11"/>
      <c r="U3471" s="11">
        <f t="shared" si="1148"/>
        <v>2.2999999999999998</v>
      </c>
      <c r="W3471">
        <v>2.5</v>
      </c>
      <c r="X3471" s="1" t="s">
        <v>32</v>
      </c>
    </row>
    <row r="3472" spans="1:24" x14ac:dyDescent="0.25">
      <c r="A3472" s="1" t="str">
        <f t="shared" si="1150"/>
        <v>卡卡杜-凤凰仓</v>
      </c>
      <c r="B3472" s="1" t="str">
        <f>"CK2024102215718"</f>
        <v>CK2024102215718</v>
      </c>
      <c r="C3472" s="1" t="str">
        <f>"DD20241022105478"</f>
        <v>DD20241022105478</v>
      </c>
      <c r="D3472" s="1" t="str">
        <f>"CK2024102289308"</f>
        <v>CK2024102289308</v>
      </c>
      <c r="E3472" s="1" t="str">
        <f>"2429602170392264"</f>
        <v>2429602170392264</v>
      </c>
      <c r="F3472" s="1" t="str">
        <f t="shared" si="1151"/>
        <v>花都四部-凤凰仓</v>
      </c>
      <c r="G3472" s="1" t="str">
        <f t="shared" si="1157"/>
        <v>卡卡杜佳旺专卖店（快手店）</v>
      </c>
      <c r="H3472" s="1" t="str">
        <f t="shared" si="1152"/>
        <v>正常订单</v>
      </c>
      <c r="I3472" s="1" t="str">
        <f t="shared" si="1153"/>
        <v>已发货</v>
      </c>
      <c r="J3472" s="1" t="str">
        <f t="shared" si="1159"/>
        <v>5</v>
      </c>
      <c r="K3472" s="1">
        <v>2</v>
      </c>
      <c r="L3472" s="1" t="s">
        <v>32</v>
      </c>
      <c r="M3472" s="1" t="str">
        <f>"陕西省 咸阳市 渭城区 周陵街道"</f>
        <v>陕西省 咸阳市 渭城区 周陵街道</v>
      </c>
      <c r="N3472" s="1" t="str">
        <f t="shared" si="1158"/>
        <v>凡华云仓-城南圆通-快手</v>
      </c>
      <c r="O3472" s="5" t="s">
        <v>3503</v>
      </c>
      <c r="P3472" s="6">
        <v>0.59</v>
      </c>
      <c r="Q3472" s="11">
        <f t="shared" si="1160"/>
        <v>2.4499999999999997</v>
      </c>
      <c r="R3472" s="11"/>
      <c r="S3472" s="11"/>
      <c r="T3472" s="11"/>
      <c r="U3472" s="11">
        <f t="shared" si="1148"/>
        <v>2.4499999999999997</v>
      </c>
      <c r="V3472" t="s">
        <v>15</v>
      </c>
      <c r="W3472">
        <v>2.4500000000000002</v>
      </c>
      <c r="X3472" s="1" t="s">
        <v>32</v>
      </c>
    </row>
    <row r="3473" spans="1:24" x14ac:dyDescent="0.25">
      <c r="A3473" s="1" t="str">
        <f t="shared" si="1150"/>
        <v>卡卡杜-凤凰仓</v>
      </c>
      <c r="B3473" s="1" t="str">
        <f>"CK2024102215717"</f>
        <v>CK2024102215717</v>
      </c>
      <c r="C3473" s="1" t="str">
        <f>"DD20241022105477"</f>
        <v>DD20241022105477</v>
      </c>
      <c r="D3473" s="1" t="str">
        <f>"CK2024102289307"</f>
        <v>CK2024102289307</v>
      </c>
      <c r="E3473" s="1" t="str">
        <f>"2429601693641229"</f>
        <v>2429601693641229</v>
      </c>
      <c r="F3473" s="1" t="str">
        <f t="shared" si="1151"/>
        <v>花都四部-凤凰仓</v>
      </c>
      <c r="G3473" s="1" t="str">
        <f t="shared" si="1157"/>
        <v>卡卡杜佳旺专卖店（快手店）</v>
      </c>
      <c r="H3473" s="1" t="str">
        <f t="shared" si="1152"/>
        <v>正常订单</v>
      </c>
      <c r="I3473" s="1" t="str">
        <f t="shared" si="1153"/>
        <v>已发货</v>
      </c>
      <c r="J3473" s="1" t="str">
        <f t="shared" si="1159"/>
        <v>5</v>
      </c>
      <c r="K3473" s="1">
        <v>2</v>
      </c>
      <c r="L3473" s="1" t="s">
        <v>41</v>
      </c>
      <c r="M3473" s="1" t="str">
        <f>"湖北省 襄阳市 老河口市 酂阳街道"</f>
        <v>湖北省 襄阳市 老河口市 酂阳街道</v>
      </c>
      <c r="N3473" s="1" t="str">
        <f t="shared" si="1158"/>
        <v>凡华云仓-城南圆通-快手</v>
      </c>
      <c r="O3473" s="5" t="s">
        <v>3504</v>
      </c>
      <c r="P3473" s="6">
        <v>0.59</v>
      </c>
      <c r="Q3473" s="11">
        <f t="shared" si="1160"/>
        <v>2.4499999999999997</v>
      </c>
      <c r="R3473" s="11"/>
      <c r="S3473" s="11"/>
      <c r="T3473" s="11"/>
      <c r="U3473" s="11">
        <f t="shared" si="1148"/>
        <v>2.4499999999999997</v>
      </c>
      <c r="V3473" t="s">
        <v>15</v>
      </c>
      <c r="W3473">
        <v>2.4500000000000002</v>
      </c>
      <c r="X3473" s="1" t="s">
        <v>41</v>
      </c>
    </row>
    <row r="3474" spans="1:24" x14ac:dyDescent="0.25">
      <c r="A3474" s="1" t="str">
        <f t="shared" si="1150"/>
        <v>卡卡杜-凤凰仓</v>
      </c>
      <c r="B3474" s="1" t="str">
        <f>"CK2024102215716"</f>
        <v>CK2024102215716</v>
      </c>
      <c r="C3474" s="1" t="str">
        <f>"DD20241022105476"</f>
        <v>DD20241022105476</v>
      </c>
      <c r="D3474" s="1" t="str">
        <f>"CK2024102289306"</f>
        <v>CK2024102289306</v>
      </c>
      <c r="E3474" s="1" t="str">
        <f>"2429602495226709"</f>
        <v>2429602495226709</v>
      </c>
      <c r="F3474" s="1" t="str">
        <f t="shared" si="1151"/>
        <v>花都四部-凤凰仓</v>
      </c>
      <c r="G3474" s="1" t="str">
        <f t="shared" si="1157"/>
        <v>卡卡杜佳旺专卖店（快手店）</v>
      </c>
      <c r="H3474" s="1" t="str">
        <f t="shared" si="1152"/>
        <v>正常订单</v>
      </c>
      <c r="I3474" s="1" t="str">
        <f t="shared" si="1153"/>
        <v>已发货</v>
      </c>
      <c r="J3474" s="1" t="str">
        <f t="shared" si="1159"/>
        <v>5</v>
      </c>
      <c r="K3474" s="1">
        <v>2</v>
      </c>
      <c r="L3474" s="1" t="s">
        <v>13</v>
      </c>
      <c r="M3474" s="1" t="str">
        <f>"江苏省 无锡市 梁溪区 山北街道"</f>
        <v>江苏省 无锡市 梁溪区 山北街道</v>
      </c>
      <c r="N3474" s="1" t="str">
        <f t="shared" si="1158"/>
        <v>凡华云仓-城南圆通-快手</v>
      </c>
      <c r="O3474" s="5" t="s">
        <v>3505</v>
      </c>
      <c r="P3474" s="6">
        <v>0.59</v>
      </c>
      <c r="Q3474" s="11">
        <f t="shared" si="1160"/>
        <v>2.4499999999999997</v>
      </c>
      <c r="R3474" s="11"/>
      <c r="S3474" s="11"/>
      <c r="T3474" s="11"/>
      <c r="U3474" s="11">
        <f t="shared" si="1148"/>
        <v>2.4499999999999997</v>
      </c>
      <c r="V3474" t="s">
        <v>15</v>
      </c>
      <c r="W3474">
        <v>2.4500000000000002</v>
      </c>
      <c r="X3474" s="1" t="s">
        <v>13</v>
      </c>
    </row>
    <row r="3475" spans="1:24" x14ac:dyDescent="0.25">
      <c r="A3475" s="1" t="str">
        <f t="shared" si="1150"/>
        <v>卡卡杜-凤凰仓</v>
      </c>
      <c r="B3475" s="1" t="str">
        <f>"CK2024102215704"</f>
        <v>CK2024102215704</v>
      </c>
      <c r="C3475" s="1" t="str">
        <f>"DD20241022105464"</f>
        <v>DD20241022105464</v>
      </c>
      <c r="D3475" s="1" t="str">
        <f>"CK2024102289305"</f>
        <v>CK2024102289305</v>
      </c>
      <c r="E3475" s="1" t="str">
        <f>"2429601609387536"</f>
        <v>2429601609387536</v>
      </c>
      <c r="F3475" s="1" t="str">
        <f t="shared" si="1151"/>
        <v>花都四部-凤凰仓</v>
      </c>
      <c r="G3475" s="1" t="str">
        <f t="shared" si="1157"/>
        <v>卡卡杜佳旺专卖店（快手店）</v>
      </c>
      <c r="H3475" s="1" t="str">
        <f t="shared" si="1152"/>
        <v>正常订单</v>
      </c>
      <c r="I3475" s="1" t="str">
        <f t="shared" si="1153"/>
        <v>已发货</v>
      </c>
      <c r="J3475" s="1" t="str">
        <f t="shared" ref="J3475:J3479" si="1162">"3"</f>
        <v>3</v>
      </c>
      <c r="K3475" s="1">
        <v>2</v>
      </c>
      <c r="L3475" s="1" t="s">
        <v>18</v>
      </c>
      <c r="M3475" s="1" t="str">
        <f>"广东省 惠州市 惠城区 小金口街道"</f>
        <v>广东省 惠州市 惠城区 小金口街道</v>
      </c>
      <c r="N3475" s="1" t="str">
        <f t="shared" si="1158"/>
        <v>凡华云仓-城南圆通-快手</v>
      </c>
      <c r="O3475" s="5" t="s">
        <v>3506</v>
      </c>
      <c r="P3475" s="6">
        <v>0.35</v>
      </c>
      <c r="Q3475" s="11">
        <v>2.2999999999999998</v>
      </c>
      <c r="R3475" s="11"/>
      <c r="S3475" s="11"/>
      <c r="T3475" s="11"/>
      <c r="U3475" s="11">
        <f t="shared" si="1148"/>
        <v>2.2999999999999998</v>
      </c>
      <c r="W3475">
        <v>2.5</v>
      </c>
      <c r="X3475" s="1" t="s">
        <v>18</v>
      </c>
    </row>
    <row r="3476" spans="1:24" x14ac:dyDescent="0.25">
      <c r="A3476" s="1" t="str">
        <f t="shared" si="1150"/>
        <v>卡卡杜-凤凰仓</v>
      </c>
      <c r="B3476" s="1" t="str">
        <f>"CK2024102215702"</f>
        <v>CK2024102215702</v>
      </c>
      <c r="C3476" s="1" t="str">
        <f>"DD20241022105465"</f>
        <v>DD20241022105465</v>
      </c>
      <c r="D3476" s="1" t="str">
        <f>"CK2024102289304"</f>
        <v>CK2024102289304</v>
      </c>
      <c r="E3476" s="1" t="str">
        <f>"2429601769257569"</f>
        <v>2429601769257569</v>
      </c>
      <c r="F3476" s="1" t="str">
        <f t="shared" si="1151"/>
        <v>花都四部-凤凰仓</v>
      </c>
      <c r="G3476" s="1" t="str">
        <f t="shared" si="1157"/>
        <v>卡卡杜佳旺专卖店（快手店）</v>
      </c>
      <c r="H3476" s="1" t="str">
        <f t="shared" si="1152"/>
        <v>正常订单</v>
      </c>
      <c r="I3476" s="1" t="str">
        <f t="shared" si="1153"/>
        <v>已发货</v>
      </c>
      <c r="J3476" s="1" t="str">
        <f t="shared" si="1162"/>
        <v>3</v>
      </c>
      <c r="K3476" s="1">
        <v>2</v>
      </c>
      <c r="L3476" s="1" t="s">
        <v>20</v>
      </c>
      <c r="M3476" s="1" t="str">
        <f>"浙江省 宁波市 江北区 洪塘街道"</f>
        <v>浙江省 宁波市 江北区 洪塘街道</v>
      </c>
      <c r="N3476" s="1" t="str">
        <f t="shared" si="1158"/>
        <v>凡华云仓-城南圆通-快手</v>
      </c>
      <c r="O3476" s="5" t="s">
        <v>3507</v>
      </c>
      <c r="P3476" s="6">
        <v>0.35</v>
      </c>
      <c r="Q3476" s="11">
        <v>2.2999999999999998</v>
      </c>
      <c r="R3476" s="11"/>
      <c r="S3476" s="11"/>
      <c r="T3476" s="11"/>
      <c r="U3476" s="11">
        <f t="shared" si="1148"/>
        <v>2.2999999999999998</v>
      </c>
      <c r="W3476">
        <v>2.5</v>
      </c>
      <c r="X3476" s="1" t="s">
        <v>20</v>
      </c>
    </row>
    <row r="3477" spans="1:24" x14ac:dyDescent="0.25">
      <c r="A3477" s="1" t="str">
        <f t="shared" si="1150"/>
        <v>卡卡杜-凤凰仓</v>
      </c>
      <c r="B3477" s="1" t="str">
        <f>"CK2024102215710"</f>
        <v>CK2024102215710</v>
      </c>
      <c r="C3477" s="1" t="str">
        <f>"DD20241022105472"</f>
        <v>DD20241022105472</v>
      </c>
      <c r="D3477" s="1" t="str">
        <f>"CK2024102289303"</f>
        <v>CK2024102289303</v>
      </c>
      <c r="E3477" s="1" t="str">
        <f>"2429602242897477"</f>
        <v>2429602242897477</v>
      </c>
      <c r="F3477" s="1" t="str">
        <f t="shared" si="1151"/>
        <v>花都四部-凤凰仓</v>
      </c>
      <c r="G3477" s="1" t="str">
        <f t="shared" si="1157"/>
        <v>卡卡杜佳旺专卖店（快手店）</v>
      </c>
      <c r="H3477" s="1" t="str">
        <f t="shared" si="1152"/>
        <v>正常订单</v>
      </c>
      <c r="I3477" s="1" t="str">
        <f t="shared" si="1153"/>
        <v>已发货</v>
      </c>
      <c r="J3477" s="1" t="str">
        <f t="shared" si="1162"/>
        <v>3</v>
      </c>
      <c r="K3477" s="1">
        <v>2</v>
      </c>
      <c r="L3477" s="1" t="s">
        <v>18</v>
      </c>
      <c r="M3477" s="1" t="str">
        <f>"广东省 汕头市 龙湖区 龙祥街道"</f>
        <v>广东省 汕头市 龙湖区 龙祥街道</v>
      </c>
      <c r="N3477" s="1" t="str">
        <f t="shared" si="1158"/>
        <v>凡华云仓-城南圆通-快手</v>
      </c>
      <c r="O3477" s="5" t="s">
        <v>3508</v>
      </c>
      <c r="P3477" s="6">
        <v>0.35</v>
      </c>
      <c r="Q3477" s="11">
        <v>2.2999999999999998</v>
      </c>
      <c r="R3477" s="11"/>
      <c r="S3477" s="11"/>
      <c r="T3477" s="11"/>
      <c r="U3477" s="11">
        <f t="shared" si="1148"/>
        <v>2.2999999999999998</v>
      </c>
      <c r="W3477">
        <v>2.5</v>
      </c>
      <c r="X3477" s="1" t="s">
        <v>18</v>
      </c>
    </row>
    <row r="3478" spans="1:24" x14ac:dyDescent="0.25">
      <c r="A3478" s="1" t="str">
        <f t="shared" si="1150"/>
        <v>卡卡杜-凤凰仓</v>
      </c>
      <c r="B3478" s="1" t="str">
        <f>"CK2024102215705"</f>
        <v>CK2024102215705</v>
      </c>
      <c r="C3478" s="1" t="str">
        <f>"DD20241022105467"</f>
        <v>DD20241022105467</v>
      </c>
      <c r="D3478" s="1" t="str">
        <f>"CK2024102289302"</f>
        <v>CK2024102289302</v>
      </c>
      <c r="E3478" s="1" t="str">
        <f>"2429602015339002"</f>
        <v>2429602015339002</v>
      </c>
      <c r="F3478" s="1" t="str">
        <f t="shared" si="1151"/>
        <v>花都四部-凤凰仓</v>
      </c>
      <c r="G3478" s="1" t="str">
        <f t="shared" si="1157"/>
        <v>卡卡杜佳旺专卖店（快手店）</v>
      </c>
      <c r="H3478" s="1" t="str">
        <f t="shared" si="1152"/>
        <v>正常订单</v>
      </c>
      <c r="I3478" s="1" t="str">
        <f t="shared" si="1153"/>
        <v>已发货</v>
      </c>
      <c r="J3478" s="1" t="str">
        <f t="shared" si="1162"/>
        <v>3</v>
      </c>
      <c r="K3478" s="1">
        <v>2</v>
      </c>
      <c r="L3478" s="1" t="s">
        <v>20</v>
      </c>
      <c r="M3478" s="1" t="str">
        <f>"浙江省 温州市 乐清市 柳市镇"</f>
        <v>浙江省 温州市 乐清市 柳市镇</v>
      </c>
      <c r="N3478" s="1" t="str">
        <f t="shared" si="1158"/>
        <v>凡华云仓-城南圆通-快手</v>
      </c>
      <c r="O3478" s="5" t="s">
        <v>3509</v>
      </c>
      <c r="P3478" s="6">
        <v>0.35</v>
      </c>
      <c r="Q3478" s="11">
        <v>2.2999999999999998</v>
      </c>
      <c r="R3478" s="11"/>
      <c r="S3478" s="11"/>
      <c r="T3478" s="11"/>
      <c r="U3478" s="11">
        <f t="shared" si="1148"/>
        <v>2.2999999999999998</v>
      </c>
      <c r="W3478">
        <v>2.5</v>
      </c>
      <c r="X3478" s="1" t="s">
        <v>20</v>
      </c>
    </row>
    <row r="3479" spans="1:24" x14ac:dyDescent="0.25">
      <c r="A3479" s="1" t="str">
        <f t="shared" si="1150"/>
        <v>卡卡杜-凤凰仓</v>
      </c>
      <c r="B3479" s="1" t="str">
        <f>"CK2024102215709"</f>
        <v>CK2024102215709</v>
      </c>
      <c r="C3479" s="1" t="str">
        <f>"DD20241022105470"</f>
        <v>DD20241022105470</v>
      </c>
      <c r="D3479" s="1" t="str">
        <f>"CK2024102289301"</f>
        <v>CK2024102289301</v>
      </c>
      <c r="E3479" s="1" t="str">
        <f>"2429602420048239"</f>
        <v>2429602420048239</v>
      </c>
      <c r="F3479" s="1" t="str">
        <f t="shared" si="1151"/>
        <v>花都四部-凤凰仓</v>
      </c>
      <c r="G3479" s="1" t="str">
        <f t="shared" si="1157"/>
        <v>卡卡杜佳旺专卖店（快手店）</v>
      </c>
      <c r="H3479" s="1" t="str">
        <f t="shared" si="1152"/>
        <v>正常订单</v>
      </c>
      <c r="I3479" s="1" t="str">
        <f t="shared" si="1153"/>
        <v>已发货</v>
      </c>
      <c r="J3479" s="1" t="str">
        <f t="shared" si="1162"/>
        <v>3</v>
      </c>
      <c r="K3479" s="1">
        <v>2</v>
      </c>
      <c r="L3479" s="1" t="s">
        <v>18</v>
      </c>
      <c r="M3479" s="1" t="str">
        <f>"广东省 深圳市 龙岗区 横岗街道"</f>
        <v>广东省 深圳市 龙岗区 横岗街道</v>
      </c>
      <c r="N3479" s="1" t="str">
        <f t="shared" si="1158"/>
        <v>凡华云仓-城南圆通-快手</v>
      </c>
      <c r="O3479" s="5" t="s">
        <v>3510</v>
      </c>
      <c r="P3479" s="6">
        <v>0.35</v>
      </c>
      <c r="Q3479" s="11">
        <v>2.2999999999999998</v>
      </c>
      <c r="R3479" s="11"/>
      <c r="S3479" s="11"/>
      <c r="T3479" s="11"/>
      <c r="U3479" s="11">
        <f t="shared" si="1148"/>
        <v>2.2999999999999998</v>
      </c>
      <c r="W3479">
        <v>2.5</v>
      </c>
      <c r="X3479" s="1" t="s">
        <v>18</v>
      </c>
    </row>
    <row r="3480" spans="1:24" x14ac:dyDescent="0.25">
      <c r="A3480" s="1" t="str">
        <f t="shared" si="1150"/>
        <v>卡卡杜-凤凰仓</v>
      </c>
      <c r="B3480" s="1" t="str">
        <f>"CK2024102215688"</f>
        <v>CK2024102215688</v>
      </c>
      <c r="C3480" s="1" t="str">
        <f>"DD20241022105450"</f>
        <v>DD20241022105450</v>
      </c>
      <c r="D3480" s="1" t="str">
        <f>"CK2024102289300"</f>
        <v>CK2024102289300</v>
      </c>
      <c r="E3480" s="1" t="str">
        <f>"2429602012208754"</f>
        <v>2429602012208754</v>
      </c>
      <c r="F3480" s="1" t="str">
        <f t="shared" si="1151"/>
        <v>花都四部-凤凰仓</v>
      </c>
      <c r="G3480" s="1" t="str">
        <f t="shared" si="1157"/>
        <v>卡卡杜佳旺专卖店（快手店）</v>
      </c>
      <c r="H3480" s="1" t="str">
        <f t="shared" si="1152"/>
        <v>正常订单</v>
      </c>
      <c r="I3480" s="1" t="str">
        <f t="shared" si="1153"/>
        <v>已发货</v>
      </c>
      <c r="J3480" s="1" t="str">
        <f t="shared" ref="J3480:J3485" si="1163">"5"</f>
        <v>5</v>
      </c>
      <c r="K3480" s="1">
        <v>3</v>
      </c>
      <c r="L3480" s="1" t="s">
        <v>13</v>
      </c>
      <c r="M3480" s="1" t="str">
        <f>"江苏省 镇江市 京口区 象山街道"</f>
        <v>江苏省 镇江市 京口区 象山街道</v>
      </c>
      <c r="N3480" s="1" t="str">
        <f t="shared" si="1158"/>
        <v>凡华云仓-城南圆通-快手</v>
      </c>
      <c r="O3480" s="5" t="s">
        <v>3511</v>
      </c>
      <c r="P3480" s="6">
        <v>0.47</v>
      </c>
      <c r="Q3480" s="11">
        <v>2.2999999999999998</v>
      </c>
      <c r="R3480" s="11"/>
      <c r="S3480" s="11"/>
      <c r="T3480" s="11"/>
      <c r="U3480" s="11">
        <f t="shared" si="1148"/>
        <v>2.2999999999999998</v>
      </c>
      <c r="W3480">
        <v>2.5</v>
      </c>
      <c r="X3480" s="1" t="s">
        <v>13</v>
      </c>
    </row>
    <row r="3481" spans="1:24" x14ac:dyDescent="0.25">
      <c r="A3481" s="1" t="str">
        <f t="shared" si="1150"/>
        <v>卡卡杜-凤凰仓</v>
      </c>
      <c r="B3481" s="1" t="str">
        <f>"CK2024102215720"</f>
        <v>CK2024102215720</v>
      </c>
      <c r="C3481" s="1" t="str">
        <f>"DD20241022105481"</f>
        <v>DD20241022105481</v>
      </c>
      <c r="D3481" s="1" t="str">
        <f>"CK2024102289299"</f>
        <v>CK2024102289299</v>
      </c>
      <c r="E3481" s="1" t="str">
        <f>"2429601778651240"</f>
        <v>2429601778651240</v>
      </c>
      <c r="F3481" s="1" t="str">
        <f t="shared" si="1151"/>
        <v>花都四部-凤凰仓</v>
      </c>
      <c r="G3481" s="1" t="str">
        <f t="shared" si="1157"/>
        <v>卡卡杜佳旺专卖店（快手店）</v>
      </c>
      <c r="H3481" s="1" t="str">
        <f t="shared" si="1152"/>
        <v>正常订单</v>
      </c>
      <c r="I3481" s="1" t="str">
        <f t="shared" si="1153"/>
        <v>已发货</v>
      </c>
      <c r="J3481" s="1" t="str">
        <f t="shared" si="1163"/>
        <v>5</v>
      </c>
      <c r="K3481" s="1">
        <v>2</v>
      </c>
      <c r="L3481" s="1" t="s">
        <v>18</v>
      </c>
      <c r="M3481" s="1" t="str">
        <f>"广东省 广州市 荔湾区 彩虹街道"</f>
        <v>广东省 广州市 荔湾区 彩虹街道</v>
      </c>
      <c r="N3481" s="1" t="str">
        <f t="shared" si="1158"/>
        <v>凡华云仓-城南圆通-快手</v>
      </c>
      <c r="O3481" s="5" t="s">
        <v>3512</v>
      </c>
      <c r="P3481" s="6">
        <v>0.59</v>
      </c>
      <c r="Q3481" s="11">
        <f t="shared" ref="Q3481:Q3485" si="1164">CEILING(P3481-0.5,0.1)*10*0.15+2.3</f>
        <v>2.4499999999999997</v>
      </c>
      <c r="R3481" s="11"/>
      <c r="S3481" s="11"/>
      <c r="T3481" s="11"/>
      <c r="U3481" s="11">
        <f t="shared" si="1148"/>
        <v>2.4499999999999997</v>
      </c>
      <c r="V3481" t="s">
        <v>15</v>
      </c>
      <c r="W3481">
        <v>2.4500000000000002</v>
      </c>
      <c r="X3481" s="1" t="s">
        <v>18</v>
      </c>
    </row>
    <row r="3482" spans="1:24" x14ac:dyDescent="0.25">
      <c r="A3482" s="1" t="str">
        <f t="shared" si="1150"/>
        <v>卡卡杜-凤凰仓</v>
      </c>
      <c r="B3482" s="1" t="str">
        <f>"CK2024102215694"</f>
        <v>CK2024102215694</v>
      </c>
      <c r="C3482" s="1" t="str">
        <f>"DD20241022105455"</f>
        <v>DD20241022105455</v>
      </c>
      <c r="D3482" s="1" t="str">
        <f>"CK2024102289298"</f>
        <v>CK2024102289298</v>
      </c>
      <c r="E3482" s="1" t="str">
        <f>"2429602406698235"</f>
        <v>2429602406698235</v>
      </c>
      <c r="F3482" s="1" t="str">
        <f t="shared" si="1151"/>
        <v>花都四部-凤凰仓</v>
      </c>
      <c r="G3482" s="1" t="str">
        <f t="shared" si="1157"/>
        <v>卡卡杜佳旺专卖店（快手店）</v>
      </c>
      <c r="H3482" s="1" t="str">
        <f t="shared" si="1152"/>
        <v>正常订单</v>
      </c>
      <c r="I3482" s="1" t="str">
        <f t="shared" si="1153"/>
        <v>已发货</v>
      </c>
      <c r="J3482" s="1" t="str">
        <f t="shared" ref="J3482:J3489" si="1165">"3"</f>
        <v>3</v>
      </c>
      <c r="K3482" s="1">
        <v>2</v>
      </c>
      <c r="L3482" s="1" t="s">
        <v>30</v>
      </c>
      <c r="M3482" s="1" t="str">
        <f>"山东省 青岛市 平度市 旧店镇"</f>
        <v>山东省 青岛市 平度市 旧店镇</v>
      </c>
      <c r="N3482" s="1" t="str">
        <f t="shared" si="1158"/>
        <v>凡华云仓-城南圆通-快手</v>
      </c>
      <c r="O3482" s="5" t="s">
        <v>3513</v>
      </c>
      <c r="P3482" s="6">
        <v>0.35</v>
      </c>
      <c r="Q3482" s="11">
        <v>2.2999999999999998</v>
      </c>
      <c r="R3482" s="11"/>
      <c r="S3482" s="11"/>
      <c r="T3482" s="11"/>
      <c r="U3482" s="11">
        <f t="shared" si="1148"/>
        <v>2.2999999999999998</v>
      </c>
      <c r="W3482">
        <v>2.5</v>
      </c>
      <c r="X3482" s="1" t="s">
        <v>30</v>
      </c>
    </row>
    <row r="3483" spans="1:24" x14ac:dyDescent="0.25">
      <c r="A3483" s="1" t="str">
        <f t="shared" si="1150"/>
        <v>卡卡杜-凤凰仓</v>
      </c>
      <c r="B3483" s="1" t="str">
        <f>"CK2024102215681"</f>
        <v>CK2024102215681</v>
      </c>
      <c r="C3483" s="1" t="str">
        <f>"DD20241022105442"</f>
        <v>DD20241022105442</v>
      </c>
      <c r="D3483" s="1" t="str">
        <f>"CK2024102289297"</f>
        <v>CK2024102289297</v>
      </c>
      <c r="E3483" s="1" t="str">
        <f>"2429601933024355"</f>
        <v>2429601933024355</v>
      </c>
      <c r="F3483" s="1" t="str">
        <f t="shared" si="1151"/>
        <v>花都四部-凤凰仓</v>
      </c>
      <c r="G3483" s="1" t="str">
        <f t="shared" si="1157"/>
        <v>卡卡杜佳旺专卖店（快手店）</v>
      </c>
      <c r="H3483" s="1" t="str">
        <f t="shared" si="1152"/>
        <v>正常订单</v>
      </c>
      <c r="I3483" s="1" t="str">
        <f t="shared" si="1153"/>
        <v>已发货</v>
      </c>
      <c r="J3483" s="1" t="str">
        <f t="shared" si="1165"/>
        <v>3</v>
      </c>
      <c r="K3483" s="1">
        <v>3</v>
      </c>
      <c r="L3483" s="1" t="s">
        <v>30</v>
      </c>
      <c r="M3483" s="1" t="str">
        <f>"山东省 青岛市 李沧区 虎山路街道"</f>
        <v>山东省 青岛市 李沧区 虎山路街道</v>
      </c>
      <c r="N3483" s="1" t="str">
        <f t="shared" si="1158"/>
        <v>凡华云仓-城南圆通-快手</v>
      </c>
      <c r="O3483" s="5" t="s">
        <v>3514</v>
      </c>
      <c r="P3483" s="6">
        <v>0.34</v>
      </c>
      <c r="Q3483" s="11">
        <v>2.2999999999999998</v>
      </c>
      <c r="R3483" s="11"/>
      <c r="S3483" s="11"/>
      <c r="T3483" s="11"/>
      <c r="U3483" s="11">
        <f t="shared" si="1148"/>
        <v>2.2999999999999998</v>
      </c>
      <c r="W3483">
        <v>2.5</v>
      </c>
      <c r="X3483" s="1" t="s">
        <v>30</v>
      </c>
    </row>
    <row r="3484" spans="1:24" x14ac:dyDescent="0.25">
      <c r="A3484" s="1" t="str">
        <f t="shared" si="1150"/>
        <v>卡卡杜-凤凰仓</v>
      </c>
      <c r="B3484" s="1" t="str">
        <f>"CK2024102215727"</f>
        <v>CK2024102215727</v>
      </c>
      <c r="C3484" s="1" t="str">
        <f>"DD20241022105487"</f>
        <v>DD20241022105487</v>
      </c>
      <c r="D3484" s="1" t="str">
        <f>"CK2024102289296"</f>
        <v>CK2024102289296</v>
      </c>
      <c r="E3484" s="1" t="str">
        <f>"2429602418817741"</f>
        <v>2429602418817741</v>
      </c>
      <c r="F3484" s="1" t="str">
        <f t="shared" si="1151"/>
        <v>花都四部-凤凰仓</v>
      </c>
      <c r="G3484" s="1" t="str">
        <f t="shared" si="1157"/>
        <v>卡卡杜佳旺专卖店（快手店）</v>
      </c>
      <c r="H3484" s="1" t="str">
        <f t="shared" si="1152"/>
        <v>正常订单</v>
      </c>
      <c r="I3484" s="1" t="str">
        <f t="shared" si="1153"/>
        <v>已发货</v>
      </c>
      <c r="J3484" s="1" t="str">
        <f t="shared" si="1163"/>
        <v>5</v>
      </c>
      <c r="K3484" s="1">
        <v>2</v>
      </c>
      <c r="L3484" s="1" t="s">
        <v>36</v>
      </c>
      <c r="M3484" s="1" t="str">
        <f>"安徽省 阜阳市 颍上县 垂岗乡"</f>
        <v>安徽省 阜阳市 颍上县 垂岗乡</v>
      </c>
      <c r="N3484" s="1" t="str">
        <f t="shared" si="1158"/>
        <v>凡华云仓-城南圆通-快手</v>
      </c>
      <c r="O3484" s="5" t="s">
        <v>3515</v>
      </c>
      <c r="P3484" s="6">
        <v>0.59</v>
      </c>
      <c r="Q3484" s="11">
        <f t="shared" si="1164"/>
        <v>2.4499999999999997</v>
      </c>
      <c r="R3484" s="11"/>
      <c r="S3484" s="11"/>
      <c r="T3484" s="11"/>
      <c r="U3484" s="11">
        <f t="shared" si="1148"/>
        <v>2.4499999999999997</v>
      </c>
      <c r="V3484" t="s">
        <v>15</v>
      </c>
      <c r="W3484">
        <v>2.4500000000000002</v>
      </c>
      <c r="X3484" s="1" t="s">
        <v>36</v>
      </c>
    </row>
    <row r="3485" spans="1:24" x14ac:dyDescent="0.25">
      <c r="A3485" s="1" t="str">
        <f t="shared" si="1150"/>
        <v>卡卡杜-凤凰仓</v>
      </c>
      <c r="B3485" s="1" t="str">
        <f>"CK2024102215726"</f>
        <v>CK2024102215726</v>
      </c>
      <c r="C3485" s="1" t="str">
        <f>"DD20241022105486"</f>
        <v>DD20241022105486</v>
      </c>
      <c r="D3485" s="1" t="str">
        <f>"CK2024102289295"</f>
        <v>CK2024102289295</v>
      </c>
      <c r="E3485" s="1" t="str">
        <f>"2429601609153741"</f>
        <v>2429601609153741</v>
      </c>
      <c r="F3485" s="1" t="str">
        <f t="shared" si="1151"/>
        <v>花都四部-凤凰仓</v>
      </c>
      <c r="G3485" s="1" t="str">
        <f t="shared" si="1157"/>
        <v>卡卡杜佳旺专卖店（快手店）</v>
      </c>
      <c r="H3485" s="1" t="str">
        <f t="shared" si="1152"/>
        <v>正常订单</v>
      </c>
      <c r="I3485" s="1" t="str">
        <f t="shared" si="1153"/>
        <v>已发货</v>
      </c>
      <c r="J3485" s="1" t="str">
        <f t="shared" si="1163"/>
        <v>5</v>
      </c>
      <c r="K3485" s="1">
        <v>2</v>
      </c>
      <c r="L3485" s="1" t="s">
        <v>36</v>
      </c>
      <c r="M3485" s="1" t="str">
        <f>"安徽省 阜阳市 颍上县 垂岗乡"</f>
        <v>安徽省 阜阳市 颍上县 垂岗乡</v>
      </c>
      <c r="N3485" s="1" t="str">
        <f t="shared" si="1158"/>
        <v>凡华云仓-城南圆通-快手</v>
      </c>
      <c r="O3485" s="5" t="s">
        <v>3516</v>
      </c>
      <c r="P3485" s="6">
        <v>0.59</v>
      </c>
      <c r="Q3485" s="11">
        <f t="shared" si="1164"/>
        <v>2.4499999999999997</v>
      </c>
      <c r="R3485" s="11"/>
      <c r="S3485" s="11"/>
      <c r="T3485" s="11"/>
      <c r="U3485" s="11">
        <f t="shared" si="1148"/>
        <v>2.4499999999999997</v>
      </c>
      <c r="V3485" t="s">
        <v>15</v>
      </c>
      <c r="W3485">
        <v>2.4500000000000002</v>
      </c>
      <c r="X3485" s="1" t="s">
        <v>36</v>
      </c>
    </row>
    <row r="3486" spans="1:24" x14ac:dyDescent="0.25">
      <c r="A3486" s="1" t="str">
        <f t="shared" si="1150"/>
        <v>卡卡杜-凤凰仓</v>
      </c>
      <c r="B3486" s="1" t="str">
        <f>"CK2024102215693"</f>
        <v>CK2024102215693</v>
      </c>
      <c r="C3486" s="1" t="str">
        <f>"DD20241022105454"</f>
        <v>DD20241022105454</v>
      </c>
      <c r="D3486" s="1" t="str">
        <f>"CK2024102289294"</f>
        <v>CK2024102289294</v>
      </c>
      <c r="E3486" s="1" t="str">
        <f>"2429602336224661"</f>
        <v>2429602336224661</v>
      </c>
      <c r="F3486" s="1" t="str">
        <f t="shared" si="1151"/>
        <v>花都四部-凤凰仓</v>
      </c>
      <c r="G3486" s="1" t="str">
        <f t="shared" si="1157"/>
        <v>卡卡杜佳旺专卖店（快手店）</v>
      </c>
      <c r="H3486" s="1" t="str">
        <f t="shared" si="1152"/>
        <v>正常订单</v>
      </c>
      <c r="I3486" s="1" t="str">
        <f t="shared" si="1153"/>
        <v>已发货</v>
      </c>
      <c r="J3486" s="1" t="str">
        <f t="shared" si="1165"/>
        <v>3</v>
      </c>
      <c r="K3486" s="1">
        <v>2</v>
      </c>
      <c r="L3486" s="1" t="s">
        <v>94</v>
      </c>
      <c r="M3486" s="1" t="str">
        <f>"湖南省 岳阳市 平江县 汉昌街道"</f>
        <v>湖南省 岳阳市 平江县 汉昌街道</v>
      </c>
      <c r="N3486" s="1" t="str">
        <f t="shared" si="1158"/>
        <v>凡华云仓-城南圆通-快手</v>
      </c>
      <c r="O3486" s="5" t="s">
        <v>3517</v>
      </c>
      <c r="P3486" s="6">
        <v>0.35</v>
      </c>
      <c r="Q3486" s="11">
        <v>2.2999999999999998</v>
      </c>
      <c r="R3486" s="11"/>
      <c r="S3486" s="11"/>
      <c r="T3486" s="11"/>
      <c r="U3486" s="11">
        <f t="shared" si="1148"/>
        <v>2.2999999999999998</v>
      </c>
      <c r="W3486">
        <v>2.5</v>
      </c>
      <c r="X3486" s="1" t="s">
        <v>94</v>
      </c>
    </row>
    <row r="3487" spans="1:24" x14ac:dyDescent="0.25">
      <c r="A3487" s="1" t="str">
        <f t="shared" si="1150"/>
        <v>卡卡杜-凤凰仓</v>
      </c>
      <c r="B3487" s="1" t="str">
        <f>"CK2024102215690"</f>
        <v>CK2024102215690</v>
      </c>
      <c r="C3487" s="1" t="str">
        <f>"DD20241022105451"</f>
        <v>DD20241022105451</v>
      </c>
      <c r="D3487" s="1" t="str">
        <f>"CK2024102289293"</f>
        <v>CK2024102289293</v>
      </c>
      <c r="E3487" s="1" t="str">
        <f>"2429601688994445"</f>
        <v>2429601688994445</v>
      </c>
      <c r="F3487" s="1" t="str">
        <f t="shared" si="1151"/>
        <v>花都四部-凤凰仓</v>
      </c>
      <c r="G3487" s="1" t="str">
        <f t="shared" si="1157"/>
        <v>卡卡杜佳旺专卖店（快手店）</v>
      </c>
      <c r="H3487" s="1" t="str">
        <f t="shared" si="1152"/>
        <v>正常订单</v>
      </c>
      <c r="I3487" s="1" t="str">
        <f t="shared" si="1153"/>
        <v>已发货</v>
      </c>
      <c r="J3487" s="1" t="str">
        <f t="shared" si="1165"/>
        <v>3</v>
      </c>
      <c r="K3487" s="1">
        <v>2</v>
      </c>
      <c r="L3487" s="1" t="s">
        <v>13</v>
      </c>
      <c r="M3487" s="1" t="str">
        <f>"江苏省 盐城市 阜宁县 花园街道"</f>
        <v>江苏省 盐城市 阜宁县 花园街道</v>
      </c>
      <c r="N3487" s="1" t="str">
        <f t="shared" si="1158"/>
        <v>凡华云仓-城南圆通-快手</v>
      </c>
      <c r="O3487" s="5" t="s">
        <v>3518</v>
      </c>
      <c r="P3487" s="6">
        <v>0.35</v>
      </c>
      <c r="Q3487" s="11">
        <v>2.2999999999999998</v>
      </c>
      <c r="R3487" s="11"/>
      <c r="S3487" s="11"/>
      <c r="T3487" s="11"/>
      <c r="U3487" s="11">
        <f t="shared" si="1148"/>
        <v>2.2999999999999998</v>
      </c>
      <c r="W3487">
        <v>2.5</v>
      </c>
      <c r="X3487" s="1" t="s">
        <v>13</v>
      </c>
    </row>
    <row r="3488" spans="1:24" x14ac:dyDescent="0.25">
      <c r="A3488" s="1" t="str">
        <f t="shared" si="1150"/>
        <v>卡卡杜-凤凰仓</v>
      </c>
      <c r="B3488" s="1" t="str">
        <f>"CK2024102215687"</f>
        <v>CK2024102215687</v>
      </c>
      <c r="C3488" s="1" t="str">
        <f>"DD20241022105448"</f>
        <v>DD20241022105448</v>
      </c>
      <c r="D3488" s="1" t="str">
        <f>"CK2024102289292"</f>
        <v>CK2024102289292</v>
      </c>
      <c r="E3488" s="1" t="str">
        <f>"2429601853027951"</f>
        <v>2429601853027951</v>
      </c>
      <c r="F3488" s="1" t="str">
        <f t="shared" si="1151"/>
        <v>花都四部-凤凰仓</v>
      </c>
      <c r="G3488" s="1" t="str">
        <f t="shared" si="1157"/>
        <v>卡卡杜佳旺专卖店（快手店）</v>
      </c>
      <c r="H3488" s="1" t="str">
        <f t="shared" si="1152"/>
        <v>正常订单</v>
      </c>
      <c r="I3488" s="1" t="str">
        <f t="shared" si="1153"/>
        <v>已发货</v>
      </c>
      <c r="J3488" s="1" t="str">
        <f t="shared" si="1165"/>
        <v>3</v>
      </c>
      <c r="K3488" s="1">
        <v>3</v>
      </c>
      <c r="L3488" s="1" t="s">
        <v>92</v>
      </c>
      <c r="M3488" s="1" t="str">
        <f>"辽宁省 沈阳市 大东区 东塔街道"</f>
        <v>辽宁省 沈阳市 大东区 东塔街道</v>
      </c>
      <c r="N3488" s="1" t="str">
        <f t="shared" si="1158"/>
        <v>凡华云仓-城南圆通-快手</v>
      </c>
      <c r="O3488" s="5" t="s">
        <v>3519</v>
      </c>
      <c r="P3488" s="6">
        <v>0.34</v>
      </c>
      <c r="Q3488" s="11">
        <v>2.2999999999999998</v>
      </c>
      <c r="R3488" s="11"/>
      <c r="S3488" s="11"/>
      <c r="T3488" s="11"/>
      <c r="U3488" s="11">
        <f t="shared" si="1148"/>
        <v>2.2999999999999998</v>
      </c>
      <c r="W3488">
        <v>2.5</v>
      </c>
      <c r="X3488" s="1" t="s">
        <v>92</v>
      </c>
    </row>
    <row r="3489" spans="1:24" x14ac:dyDescent="0.25">
      <c r="A3489" s="1" t="str">
        <f t="shared" si="1150"/>
        <v>卡卡杜-凤凰仓</v>
      </c>
      <c r="B3489" s="1" t="str">
        <f>"CK2024102215695"</f>
        <v>CK2024102215695</v>
      </c>
      <c r="C3489" s="1" t="str">
        <f>"DD20241022105456"</f>
        <v>DD20241022105456</v>
      </c>
      <c r="D3489" s="1" t="str">
        <f>"CK2024102289291"</f>
        <v>CK2024102289291</v>
      </c>
      <c r="E3489" s="1" t="str">
        <f>"2429602327562950"</f>
        <v>2429602327562950</v>
      </c>
      <c r="F3489" s="1" t="str">
        <f t="shared" si="1151"/>
        <v>花都四部-凤凰仓</v>
      </c>
      <c r="G3489" s="1" t="str">
        <f t="shared" si="1157"/>
        <v>卡卡杜佳旺专卖店（快手店）</v>
      </c>
      <c r="H3489" s="1" t="str">
        <f t="shared" si="1152"/>
        <v>正常订单</v>
      </c>
      <c r="I3489" s="1" t="str">
        <f t="shared" si="1153"/>
        <v>已发货</v>
      </c>
      <c r="J3489" s="1" t="str">
        <f t="shared" si="1165"/>
        <v>3</v>
      </c>
      <c r="K3489" s="1">
        <v>2</v>
      </c>
      <c r="L3489" s="1" t="s">
        <v>187</v>
      </c>
      <c r="M3489" s="1" t="str">
        <f>"吉林省 四平市 铁东区 平南街道"</f>
        <v>吉林省 四平市 铁东区 平南街道</v>
      </c>
      <c r="N3489" s="1" t="str">
        <f t="shared" si="1158"/>
        <v>凡华云仓-城南圆通-快手</v>
      </c>
      <c r="O3489" s="5" t="s">
        <v>3520</v>
      </c>
      <c r="P3489" s="6">
        <v>0.35</v>
      </c>
      <c r="Q3489" s="11">
        <v>2.2999999999999998</v>
      </c>
      <c r="R3489" s="11"/>
      <c r="S3489" s="11"/>
      <c r="T3489" s="11"/>
      <c r="U3489" s="11">
        <f t="shared" si="1148"/>
        <v>2.2999999999999998</v>
      </c>
      <c r="W3489">
        <v>2.5</v>
      </c>
      <c r="X3489" s="1" t="s">
        <v>187</v>
      </c>
    </row>
    <row r="3490" spans="1:24" x14ac:dyDescent="0.25">
      <c r="A3490" s="1" t="str">
        <f t="shared" si="1150"/>
        <v>卡卡杜-凤凰仓</v>
      </c>
      <c r="B3490" s="1" t="str">
        <f>"CK2024102215719"</f>
        <v>CK2024102215719</v>
      </c>
      <c r="C3490" s="1" t="str">
        <f>"DD20241022105479"</f>
        <v>DD20241022105479</v>
      </c>
      <c r="D3490" s="1" t="str">
        <f>"CK2024102289290"</f>
        <v>CK2024102289290</v>
      </c>
      <c r="E3490" s="1" t="str">
        <f>"2429601771514536"</f>
        <v>2429601771514536</v>
      </c>
      <c r="F3490" s="1" t="str">
        <f t="shared" si="1151"/>
        <v>花都四部-凤凰仓</v>
      </c>
      <c r="G3490" s="1" t="str">
        <f t="shared" si="1157"/>
        <v>卡卡杜佳旺专卖店（快手店）</v>
      </c>
      <c r="H3490" s="1" t="str">
        <f t="shared" si="1152"/>
        <v>正常订单</v>
      </c>
      <c r="I3490" s="1" t="str">
        <f t="shared" si="1153"/>
        <v>已发货</v>
      </c>
      <c r="J3490" s="1" t="str">
        <f>"5"</f>
        <v>5</v>
      </c>
      <c r="K3490" s="1">
        <v>2</v>
      </c>
      <c r="L3490" s="1" t="s">
        <v>92</v>
      </c>
      <c r="M3490" s="1" t="str">
        <f>"辽宁省 营口市 西市区 清华街道"</f>
        <v>辽宁省 营口市 西市区 清华街道</v>
      </c>
      <c r="N3490" s="1" t="str">
        <f t="shared" si="1158"/>
        <v>凡华云仓-城南圆通-快手</v>
      </c>
      <c r="O3490" s="5" t="s">
        <v>3521</v>
      </c>
      <c r="P3490" s="6">
        <v>0.59</v>
      </c>
      <c r="Q3490" s="11">
        <f>CEILING(P3490-0.5,0.1)*10*0.15+2.3</f>
        <v>2.4499999999999997</v>
      </c>
      <c r="R3490" s="11"/>
      <c r="S3490" s="11"/>
      <c r="T3490" s="11"/>
      <c r="U3490" s="11">
        <f t="shared" si="1148"/>
        <v>2.4499999999999997</v>
      </c>
      <c r="V3490" t="s">
        <v>15</v>
      </c>
      <c r="W3490">
        <v>2.4500000000000002</v>
      </c>
      <c r="X3490" s="1" t="s">
        <v>92</v>
      </c>
    </row>
    <row r="3491" spans="1:24" x14ac:dyDescent="0.25">
      <c r="A3491" s="1" t="str">
        <f t="shared" si="1150"/>
        <v>卡卡杜-凤凰仓</v>
      </c>
      <c r="B3491" s="1" t="str">
        <f>"CK2024102215689"</f>
        <v>CK2024102215689</v>
      </c>
      <c r="C3491" s="1" t="str">
        <f>"DD20241022105449"</f>
        <v>DD20241022105449</v>
      </c>
      <c r="D3491" s="1" t="str">
        <f>"CK2024102289289"</f>
        <v>CK2024102289289</v>
      </c>
      <c r="E3491" s="1" t="str">
        <f>"2429602173089409"</f>
        <v>2429602173089409</v>
      </c>
      <c r="F3491" s="1" t="str">
        <f t="shared" si="1151"/>
        <v>花都四部-凤凰仓</v>
      </c>
      <c r="G3491" s="1" t="str">
        <f t="shared" si="1157"/>
        <v>卡卡杜佳旺专卖店（快手店）</v>
      </c>
      <c r="H3491" s="1" t="str">
        <f t="shared" si="1152"/>
        <v>正常订单</v>
      </c>
      <c r="I3491" s="1" t="str">
        <f t="shared" si="1153"/>
        <v>已发货</v>
      </c>
      <c r="J3491" s="1" t="str">
        <f t="shared" ref="J3491:J3501" si="1166">"3"</f>
        <v>3</v>
      </c>
      <c r="K3491" s="1">
        <v>2</v>
      </c>
      <c r="L3491" s="1" t="s">
        <v>18</v>
      </c>
      <c r="M3491" s="1" t="str">
        <f>"广东省 广州市 天河区 凤凰街道"</f>
        <v>广东省 广州市 天河区 凤凰街道</v>
      </c>
      <c r="N3491" s="1" t="str">
        <f t="shared" si="1158"/>
        <v>凡华云仓-城南圆通-快手</v>
      </c>
      <c r="O3491" s="5" t="s">
        <v>3522</v>
      </c>
      <c r="P3491" s="6">
        <v>0.35</v>
      </c>
      <c r="Q3491" s="11">
        <v>2.2999999999999998</v>
      </c>
      <c r="R3491" s="11"/>
      <c r="S3491" s="11"/>
      <c r="T3491" s="11"/>
      <c r="U3491" s="11">
        <f t="shared" si="1148"/>
        <v>2.2999999999999998</v>
      </c>
      <c r="W3491">
        <v>2.5</v>
      </c>
      <c r="X3491" s="1" t="s">
        <v>18</v>
      </c>
    </row>
    <row r="3492" spans="1:24" x14ac:dyDescent="0.25">
      <c r="A3492" s="1" t="str">
        <f t="shared" si="1150"/>
        <v>卡卡杜-凤凰仓</v>
      </c>
      <c r="B3492" s="1" t="str">
        <f>"CK2024102215691"</f>
        <v>CK2024102215691</v>
      </c>
      <c r="C3492" s="1" t="str">
        <f>"DD20241022105452"</f>
        <v>DD20241022105452</v>
      </c>
      <c r="D3492" s="1" t="str">
        <f>"CK2024102289288"</f>
        <v>CK2024102289288</v>
      </c>
      <c r="E3492" s="1" t="str">
        <f>"2429601850707158"</f>
        <v>2429601850707158</v>
      </c>
      <c r="F3492" s="1" t="str">
        <f t="shared" si="1151"/>
        <v>花都四部-凤凰仓</v>
      </c>
      <c r="G3492" s="1" t="str">
        <f t="shared" si="1157"/>
        <v>卡卡杜佳旺专卖店（快手店）</v>
      </c>
      <c r="H3492" s="1" t="str">
        <f t="shared" si="1152"/>
        <v>正常订单</v>
      </c>
      <c r="I3492" s="1" t="str">
        <f t="shared" si="1153"/>
        <v>已发货</v>
      </c>
      <c r="J3492" s="1" t="str">
        <f t="shared" si="1166"/>
        <v>3</v>
      </c>
      <c r="K3492" s="1">
        <v>2</v>
      </c>
      <c r="L3492" s="1" t="s">
        <v>52</v>
      </c>
      <c r="M3492" s="1" t="str">
        <f>"甘肃省 陇南市 徽县 城关镇"</f>
        <v>甘肃省 陇南市 徽县 城关镇</v>
      </c>
      <c r="N3492" s="1" t="str">
        <f t="shared" si="1158"/>
        <v>凡华云仓-城南圆通-快手</v>
      </c>
      <c r="O3492" s="5" t="s">
        <v>3523</v>
      </c>
      <c r="P3492" s="6">
        <v>0.35</v>
      </c>
      <c r="Q3492" s="11">
        <v>2.2999999999999998</v>
      </c>
      <c r="R3492" s="11"/>
      <c r="S3492" s="11"/>
      <c r="T3492" s="11"/>
      <c r="U3492" s="11">
        <f t="shared" si="1148"/>
        <v>2.2999999999999998</v>
      </c>
      <c r="W3492">
        <v>2.5</v>
      </c>
      <c r="X3492" s="1" t="s">
        <v>52</v>
      </c>
    </row>
    <row r="3493" spans="1:24" x14ac:dyDescent="0.25">
      <c r="A3493" s="1" t="str">
        <f t="shared" si="1150"/>
        <v>卡卡杜-凤凰仓</v>
      </c>
      <c r="B3493" s="1" t="str">
        <f>"CK2024102215721"</f>
        <v>CK2024102215721</v>
      </c>
      <c r="C3493" s="1" t="str">
        <f>"DD20241022105480"</f>
        <v>DD20241022105480</v>
      </c>
      <c r="D3493" s="1" t="str">
        <f>"CK2024102289287"</f>
        <v>CK2024102289287</v>
      </c>
      <c r="E3493" s="1" t="str">
        <f>"2429601933729198"</f>
        <v>2429601933729198</v>
      </c>
      <c r="F3493" s="1" t="str">
        <f t="shared" si="1151"/>
        <v>花都四部-凤凰仓</v>
      </c>
      <c r="G3493" s="1" t="str">
        <f t="shared" si="1157"/>
        <v>卡卡杜佳旺专卖店（快手店）</v>
      </c>
      <c r="H3493" s="1" t="str">
        <f t="shared" si="1152"/>
        <v>正常订单</v>
      </c>
      <c r="I3493" s="1" t="str">
        <f t="shared" si="1153"/>
        <v>已发货</v>
      </c>
      <c r="J3493" s="1" t="str">
        <f>"5"</f>
        <v>5</v>
      </c>
      <c r="K3493" s="1">
        <v>2</v>
      </c>
      <c r="L3493" s="1" t="s">
        <v>18</v>
      </c>
      <c r="M3493" s="1" t="str">
        <f>"广东省 东莞市 长安镇 长安镇"</f>
        <v>广东省 东莞市 长安镇 长安镇</v>
      </c>
      <c r="N3493" s="1" t="str">
        <f t="shared" si="1158"/>
        <v>凡华云仓-城南圆通-快手</v>
      </c>
      <c r="O3493" s="5" t="s">
        <v>3524</v>
      </c>
      <c r="P3493" s="6">
        <v>0.59</v>
      </c>
      <c r="Q3493" s="11">
        <f>CEILING(P3493-0.5,0.1)*10*0.15+2.3</f>
        <v>2.4499999999999997</v>
      </c>
      <c r="R3493" s="11"/>
      <c r="S3493" s="11"/>
      <c r="T3493" s="11"/>
      <c r="U3493" s="11">
        <f t="shared" si="1148"/>
        <v>2.4499999999999997</v>
      </c>
      <c r="V3493" t="s">
        <v>15</v>
      </c>
      <c r="W3493">
        <v>2.4500000000000002</v>
      </c>
      <c r="X3493" s="1" t="s">
        <v>18</v>
      </c>
    </row>
    <row r="3494" spans="1:24" x14ac:dyDescent="0.25">
      <c r="A3494" s="1" t="str">
        <f t="shared" si="1150"/>
        <v>卡卡杜-凤凰仓</v>
      </c>
      <c r="B3494" s="1" t="str">
        <f>"CK2024102215692"</f>
        <v>CK2024102215692</v>
      </c>
      <c r="C3494" s="1" t="str">
        <f>"DD20241022105453"</f>
        <v>DD20241022105453</v>
      </c>
      <c r="D3494" s="1" t="str">
        <f>"CK2024102289286"</f>
        <v>CK2024102289286</v>
      </c>
      <c r="E3494" s="1" t="str">
        <f>"2429602171328537"</f>
        <v>2429602171328537</v>
      </c>
      <c r="F3494" s="1" t="str">
        <f t="shared" si="1151"/>
        <v>花都四部-凤凰仓</v>
      </c>
      <c r="G3494" s="1" t="str">
        <f t="shared" si="1157"/>
        <v>卡卡杜佳旺专卖店（快手店）</v>
      </c>
      <c r="H3494" s="1" t="str">
        <f t="shared" si="1152"/>
        <v>正常订单</v>
      </c>
      <c r="I3494" s="1" t="str">
        <f t="shared" si="1153"/>
        <v>已发货</v>
      </c>
      <c r="J3494" s="1" t="str">
        <f t="shared" si="1166"/>
        <v>3</v>
      </c>
      <c r="K3494" s="1">
        <v>2</v>
      </c>
      <c r="L3494" s="1" t="s">
        <v>20</v>
      </c>
      <c r="M3494" s="1" t="str">
        <f>"浙江省 台州市 路桥区 路桥街道"</f>
        <v>浙江省 台州市 路桥区 路桥街道</v>
      </c>
      <c r="N3494" s="1" t="str">
        <f t="shared" si="1158"/>
        <v>凡华云仓-城南圆通-快手</v>
      </c>
      <c r="O3494" s="5" t="s">
        <v>3525</v>
      </c>
      <c r="P3494" s="6">
        <v>0.35</v>
      </c>
      <c r="Q3494" s="11">
        <v>2.2999999999999998</v>
      </c>
      <c r="R3494" s="11"/>
      <c r="S3494" s="11"/>
      <c r="T3494" s="11"/>
      <c r="U3494" s="11">
        <f t="shared" si="1148"/>
        <v>2.2999999999999998</v>
      </c>
      <c r="W3494">
        <v>2.5</v>
      </c>
      <c r="X3494" s="1" t="s">
        <v>20</v>
      </c>
    </row>
    <row r="3495" spans="1:24" x14ac:dyDescent="0.25">
      <c r="A3495" s="1" t="str">
        <f t="shared" si="1150"/>
        <v>卡卡杜-凤凰仓</v>
      </c>
      <c r="B3495" s="1" t="str">
        <f>"CK2024102215699"</f>
        <v>CK2024102215699</v>
      </c>
      <c r="C3495" s="1" t="str">
        <f>"DD20241022105460"</f>
        <v>DD20241022105460</v>
      </c>
      <c r="D3495" s="1" t="str">
        <f>"CK2024102289285"</f>
        <v>CK2024102289285</v>
      </c>
      <c r="E3495" s="1" t="str">
        <f>"2429602248835729"</f>
        <v>2429602248835729</v>
      </c>
      <c r="F3495" s="1" t="str">
        <f t="shared" si="1151"/>
        <v>花都四部-凤凰仓</v>
      </c>
      <c r="G3495" s="1" t="str">
        <f t="shared" si="1157"/>
        <v>卡卡杜佳旺专卖店（快手店）</v>
      </c>
      <c r="H3495" s="1" t="str">
        <f t="shared" si="1152"/>
        <v>正常订单</v>
      </c>
      <c r="I3495" s="1" t="str">
        <f t="shared" si="1153"/>
        <v>已发货</v>
      </c>
      <c r="J3495" s="1" t="str">
        <f t="shared" si="1166"/>
        <v>3</v>
      </c>
      <c r="K3495" s="1">
        <v>2</v>
      </c>
      <c r="L3495" s="1" t="s">
        <v>109</v>
      </c>
      <c r="M3495" s="1" t="str">
        <f>"山西省 阳泉市 郊区 开发区"</f>
        <v>山西省 阳泉市 郊区 开发区</v>
      </c>
      <c r="N3495" s="1" t="str">
        <f t="shared" si="1158"/>
        <v>凡华云仓-城南圆通-快手</v>
      </c>
      <c r="O3495" s="5" t="s">
        <v>3526</v>
      </c>
      <c r="P3495" s="6">
        <v>0.35</v>
      </c>
      <c r="Q3495" s="11">
        <v>2.2999999999999998</v>
      </c>
      <c r="R3495" s="11"/>
      <c r="S3495" s="11"/>
      <c r="T3495" s="11"/>
      <c r="U3495" s="11">
        <f t="shared" si="1148"/>
        <v>2.2999999999999998</v>
      </c>
      <c r="W3495">
        <v>2.5</v>
      </c>
      <c r="X3495" s="1" t="s">
        <v>109</v>
      </c>
    </row>
    <row r="3496" spans="1:24" x14ac:dyDescent="0.25">
      <c r="A3496" s="1" t="str">
        <f t="shared" si="1150"/>
        <v>卡卡杜-凤凰仓</v>
      </c>
      <c r="B3496" s="1" t="str">
        <f>"CK2024102215698"</f>
        <v>CK2024102215698</v>
      </c>
      <c r="C3496" s="1" t="str">
        <f>"DD20241022105458"</f>
        <v>DD20241022105458</v>
      </c>
      <c r="D3496" s="1" t="str">
        <f>"CK2024102289284"</f>
        <v>CK2024102289284</v>
      </c>
      <c r="E3496" s="1" t="str">
        <f>"2429602257722720"</f>
        <v>2429602257722720</v>
      </c>
      <c r="F3496" s="1" t="str">
        <f t="shared" si="1151"/>
        <v>花都四部-凤凰仓</v>
      </c>
      <c r="G3496" s="1" t="str">
        <f t="shared" si="1157"/>
        <v>卡卡杜佳旺专卖店（快手店）</v>
      </c>
      <c r="H3496" s="1" t="str">
        <f t="shared" si="1152"/>
        <v>正常订单</v>
      </c>
      <c r="I3496" s="1" t="str">
        <f t="shared" si="1153"/>
        <v>已发货</v>
      </c>
      <c r="J3496" s="1" t="str">
        <f t="shared" si="1166"/>
        <v>3</v>
      </c>
      <c r="K3496" s="1">
        <v>2</v>
      </c>
      <c r="L3496" s="1" t="s">
        <v>92</v>
      </c>
      <c r="M3496" s="1" t="str">
        <f>"辽宁省 大连市 甘井子区 中华路街道"</f>
        <v>辽宁省 大连市 甘井子区 中华路街道</v>
      </c>
      <c r="N3496" s="1" t="str">
        <f t="shared" si="1158"/>
        <v>凡华云仓-城南圆通-快手</v>
      </c>
      <c r="O3496" s="5" t="s">
        <v>3527</v>
      </c>
      <c r="P3496" s="6">
        <v>0.35</v>
      </c>
      <c r="Q3496" s="11">
        <v>2.2999999999999998</v>
      </c>
      <c r="R3496" s="11"/>
      <c r="S3496" s="11"/>
      <c r="T3496" s="11"/>
      <c r="U3496" s="11">
        <f t="shared" si="1148"/>
        <v>2.2999999999999998</v>
      </c>
      <c r="W3496">
        <v>2.5</v>
      </c>
      <c r="X3496" s="1" t="s">
        <v>92</v>
      </c>
    </row>
    <row r="3497" spans="1:24" x14ac:dyDescent="0.25">
      <c r="A3497" s="1" t="str">
        <f t="shared" si="1150"/>
        <v>卡卡杜-凤凰仓</v>
      </c>
      <c r="B3497" s="1" t="str">
        <f>"CK2024102215700"</f>
        <v>CK2024102215700</v>
      </c>
      <c r="C3497" s="1" t="str">
        <f>"DD20241022105461"</f>
        <v>DD20241022105461</v>
      </c>
      <c r="D3497" s="1" t="str">
        <f>"CK2024102289282"</f>
        <v>CK2024102289282</v>
      </c>
      <c r="E3497" s="1" t="str">
        <f>"6935308661592889163"</f>
        <v>6935308661592889163</v>
      </c>
      <c r="F3497" s="1" t="str">
        <f t="shared" si="1151"/>
        <v>花都四部-凤凰仓</v>
      </c>
      <c r="G3497" s="1" t="str">
        <f t="shared" ref="G3497:G3502" si="1167">"卡卡杜个人护理店（抖店）"</f>
        <v>卡卡杜个人护理店（抖店）</v>
      </c>
      <c r="H3497" s="1" t="str">
        <f t="shared" si="1152"/>
        <v>正常订单</v>
      </c>
      <c r="I3497" s="1" t="str">
        <f t="shared" si="1153"/>
        <v>已发货</v>
      </c>
      <c r="J3497" s="1" t="str">
        <f t="shared" si="1166"/>
        <v>3</v>
      </c>
      <c r="K3497" s="1">
        <v>2</v>
      </c>
      <c r="L3497" s="1" t="s">
        <v>80</v>
      </c>
      <c r="M3497" s="1" t="str">
        <f>"河南省 周口市 太康县 老冢镇"</f>
        <v>河南省 周口市 太康县 老冢镇</v>
      </c>
      <c r="N3497" s="1" t="str">
        <f t="shared" ref="N3497:N3502" si="1168">"凡华云仓-城南圆通-抖音"</f>
        <v>凡华云仓-城南圆通-抖音</v>
      </c>
      <c r="O3497" s="5" t="s">
        <v>3528</v>
      </c>
      <c r="P3497" s="6">
        <v>0.35</v>
      </c>
      <c r="Q3497" s="11">
        <v>2.2999999999999998</v>
      </c>
      <c r="R3497" s="11"/>
      <c r="S3497" s="11"/>
      <c r="T3497" s="11"/>
      <c r="U3497" s="11">
        <f t="shared" si="1148"/>
        <v>2.2999999999999998</v>
      </c>
      <c r="W3497">
        <v>2.5</v>
      </c>
      <c r="X3497" s="1" t="s">
        <v>80</v>
      </c>
    </row>
    <row r="3498" spans="1:24" x14ac:dyDescent="0.25">
      <c r="A3498" s="1" t="str">
        <f t="shared" si="1150"/>
        <v>卡卡杜-凤凰仓</v>
      </c>
      <c r="B3498" s="1" t="str">
        <f>"CK2024102215697"</f>
        <v>CK2024102215697</v>
      </c>
      <c r="C3498" s="1" t="str">
        <f>"DD20241022105459"</f>
        <v>DD20241022105459</v>
      </c>
      <c r="D3498" s="1" t="str">
        <f>"CK2024102289281"</f>
        <v>CK2024102289281</v>
      </c>
      <c r="E3498" s="1" t="str">
        <f>"6935339934831351419"</f>
        <v>6935339934831351419</v>
      </c>
      <c r="F3498" s="1" t="str">
        <f t="shared" si="1151"/>
        <v>花都四部-凤凰仓</v>
      </c>
      <c r="G3498" s="1" t="str">
        <f t="shared" si="1167"/>
        <v>卡卡杜个人护理店（抖店）</v>
      </c>
      <c r="H3498" s="1" t="str">
        <f t="shared" si="1152"/>
        <v>正常订单</v>
      </c>
      <c r="I3498" s="1" t="str">
        <f t="shared" si="1153"/>
        <v>已发货</v>
      </c>
      <c r="J3498" s="1" t="str">
        <f t="shared" si="1166"/>
        <v>3</v>
      </c>
      <c r="K3498" s="1">
        <v>2</v>
      </c>
      <c r="L3498" s="1" t="s">
        <v>41</v>
      </c>
      <c r="M3498" s="1" t="str">
        <f>"湖北省 咸宁市 嘉鱼县 鱼岳镇"</f>
        <v>湖北省 咸宁市 嘉鱼县 鱼岳镇</v>
      </c>
      <c r="N3498" s="1" t="str">
        <f t="shared" si="1168"/>
        <v>凡华云仓-城南圆通-抖音</v>
      </c>
      <c r="O3498" s="5" t="s">
        <v>3529</v>
      </c>
      <c r="P3498" s="6">
        <v>0.35</v>
      </c>
      <c r="Q3498" s="11">
        <v>2.2999999999999998</v>
      </c>
      <c r="R3498" s="11"/>
      <c r="S3498" s="11"/>
      <c r="T3498" s="11"/>
      <c r="U3498" s="11">
        <f t="shared" si="1148"/>
        <v>2.2999999999999998</v>
      </c>
      <c r="W3498">
        <v>2.5</v>
      </c>
      <c r="X3498" s="1" t="s">
        <v>41</v>
      </c>
    </row>
    <row r="3499" spans="1:24" x14ac:dyDescent="0.25">
      <c r="A3499" s="1" t="str">
        <f t="shared" si="1150"/>
        <v>卡卡杜-凤凰仓</v>
      </c>
      <c r="B3499" s="1" t="str">
        <f>"CK2024102215683"</f>
        <v>CK2024102215683</v>
      </c>
      <c r="C3499" s="1" t="str">
        <f>"DD20241022105444"</f>
        <v>DD20241022105444</v>
      </c>
      <c r="D3499" s="1" t="str">
        <f>"CK2024102289280"</f>
        <v>CK2024102289280</v>
      </c>
      <c r="E3499" s="1" t="str">
        <f>"6935312724751619794"</f>
        <v>6935312724751619794</v>
      </c>
      <c r="F3499" s="1" t="str">
        <f t="shared" si="1151"/>
        <v>花都四部-凤凰仓</v>
      </c>
      <c r="G3499" s="1" t="str">
        <f t="shared" si="1167"/>
        <v>卡卡杜个人护理店（抖店）</v>
      </c>
      <c r="H3499" s="1" t="str">
        <f t="shared" si="1152"/>
        <v>正常订单</v>
      </c>
      <c r="I3499" s="1" t="str">
        <f t="shared" si="1153"/>
        <v>已发货</v>
      </c>
      <c r="J3499" s="1" t="str">
        <f t="shared" si="1166"/>
        <v>3</v>
      </c>
      <c r="K3499" s="1">
        <v>3</v>
      </c>
      <c r="L3499" s="1" t="s">
        <v>105</v>
      </c>
      <c r="M3499" s="1" t="str">
        <f>"北京 北京市 通州区 潞城镇"</f>
        <v>北京 北京市 通州区 潞城镇</v>
      </c>
      <c r="N3499" s="1" t="str">
        <f t="shared" si="1168"/>
        <v>凡华云仓-城南圆通-抖音</v>
      </c>
      <c r="O3499" s="5" t="s">
        <v>3530</v>
      </c>
      <c r="P3499" s="6">
        <v>0.34</v>
      </c>
      <c r="Q3499" s="11">
        <v>2.2999999999999998</v>
      </c>
      <c r="R3499" s="11"/>
      <c r="S3499" s="11"/>
      <c r="T3499" s="11"/>
      <c r="U3499" s="11">
        <f t="shared" si="1148"/>
        <v>2.2999999999999998</v>
      </c>
      <c r="W3499">
        <v>2.5</v>
      </c>
      <c r="X3499" s="1" t="s">
        <v>105</v>
      </c>
    </row>
    <row r="3500" spans="1:24" x14ac:dyDescent="0.25">
      <c r="A3500" s="1" t="str">
        <f t="shared" si="1150"/>
        <v>卡卡杜-凤凰仓</v>
      </c>
      <c r="B3500" s="1" t="str">
        <f>"CK2024102215682"</f>
        <v>CK2024102215682</v>
      </c>
      <c r="C3500" s="1" t="str">
        <f>"DD20241022105443"</f>
        <v>DD20241022105443</v>
      </c>
      <c r="D3500" s="1" t="str">
        <f>"CK2024102289279"</f>
        <v>CK2024102289279</v>
      </c>
      <c r="E3500" s="1" t="str">
        <f>"6935310567418107872"</f>
        <v>6935310567418107872</v>
      </c>
      <c r="F3500" s="1" t="str">
        <f t="shared" si="1151"/>
        <v>花都四部-凤凰仓</v>
      </c>
      <c r="G3500" s="1" t="str">
        <f t="shared" si="1167"/>
        <v>卡卡杜个人护理店（抖店）</v>
      </c>
      <c r="H3500" s="1" t="str">
        <f t="shared" si="1152"/>
        <v>正常订单</v>
      </c>
      <c r="I3500" s="1" t="str">
        <f t="shared" si="1153"/>
        <v>已发货</v>
      </c>
      <c r="J3500" s="1" t="str">
        <f t="shared" si="1166"/>
        <v>3</v>
      </c>
      <c r="K3500" s="1">
        <v>3</v>
      </c>
      <c r="L3500" s="1" t="s">
        <v>18</v>
      </c>
      <c r="M3500" s="1" t="str">
        <f>"广东省 中山市 中山市 沙溪镇"</f>
        <v>广东省 中山市 中山市 沙溪镇</v>
      </c>
      <c r="N3500" s="1" t="str">
        <f t="shared" si="1168"/>
        <v>凡华云仓-城南圆通-抖音</v>
      </c>
      <c r="O3500" s="5" t="s">
        <v>3531</v>
      </c>
      <c r="P3500" s="6">
        <v>0.34</v>
      </c>
      <c r="Q3500" s="11">
        <v>2.2999999999999998</v>
      </c>
      <c r="R3500" s="11"/>
      <c r="S3500" s="11"/>
      <c r="T3500" s="11"/>
      <c r="U3500" s="11">
        <f t="shared" si="1148"/>
        <v>2.2999999999999998</v>
      </c>
      <c r="W3500">
        <v>2.5</v>
      </c>
      <c r="X3500" s="1" t="s">
        <v>18</v>
      </c>
    </row>
    <row r="3501" spans="1:24" x14ac:dyDescent="0.25">
      <c r="A3501" s="1" t="str">
        <f t="shared" si="1150"/>
        <v>卡卡杜-凤凰仓</v>
      </c>
      <c r="B3501" s="1" t="str">
        <f>"CK2024102215696"</f>
        <v>CK2024102215696</v>
      </c>
      <c r="C3501" s="1" t="str">
        <f>"DD20241022105457"</f>
        <v>DD20241022105457</v>
      </c>
      <c r="D3501" s="1" t="str">
        <f>"CK2024102289278"</f>
        <v>CK2024102289278</v>
      </c>
      <c r="E3501" s="1" t="str">
        <f>"6935339863959082305"</f>
        <v>6935339863959082305</v>
      </c>
      <c r="F3501" s="1" t="str">
        <f t="shared" si="1151"/>
        <v>花都四部-凤凰仓</v>
      </c>
      <c r="G3501" s="1" t="str">
        <f t="shared" si="1167"/>
        <v>卡卡杜个人护理店（抖店）</v>
      </c>
      <c r="H3501" s="1" t="str">
        <f t="shared" si="1152"/>
        <v>正常订单</v>
      </c>
      <c r="I3501" s="1" t="str">
        <f t="shared" si="1153"/>
        <v>已发货</v>
      </c>
      <c r="J3501" s="1" t="str">
        <f t="shared" si="1166"/>
        <v>3</v>
      </c>
      <c r="K3501" s="1">
        <v>2</v>
      </c>
      <c r="L3501" s="1" t="s">
        <v>80</v>
      </c>
      <c r="M3501" s="1" t="str">
        <f>"河南省 焦作市 解放区 民生街道"</f>
        <v>河南省 焦作市 解放区 民生街道</v>
      </c>
      <c r="N3501" s="1" t="str">
        <f t="shared" si="1168"/>
        <v>凡华云仓-城南圆通-抖音</v>
      </c>
      <c r="O3501" s="5" t="s">
        <v>3532</v>
      </c>
      <c r="P3501" s="6">
        <v>0.35</v>
      </c>
      <c r="Q3501" s="11">
        <v>2.2999999999999998</v>
      </c>
      <c r="R3501" s="11"/>
      <c r="S3501" s="11"/>
      <c r="T3501" s="11"/>
      <c r="U3501" s="11">
        <f t="shared" si="1148"/>
        <v>2.2999999999999998</v>
      </c>
      <c r="W3501">
        <v>2.5</v>
      </c>
      <c r="X3501" s="1" t="s">
        <v>80</v>
      </c>
    </row>
    <row r="3502" spans="1:24" x14ac:dyDescent="0.25">
      <c r="A3502" s="1" t="str">
        <f t="shared" si="1150"/>
        <v>卡卡杜-凤凰仓</v>
      </c>
      <c r="B3502" s="1" t="str">
        <f>"CK2024102215715"</f>
        <v>CK2024102215715</v>
      </c>
      <c r="C3502" s="1" t="str">
        <f>"DD20241022105474"</f>
        <v>DD20241022105474</v>
      </c>
      <c r="D3502" s="1" t="str">
        <f>"CK2024102289277"</f>
        <v>CK2024102289277</v>
      </c>
      <c r="E3502" s="1" t="str">
        <f>"6935319842817512517"</f>
        <v>6935319842817512517</v>
      </c>
      <c r="F3502" s="1" t="str">
        <f t="shared" si="1151"/>
        <v>花都四部-凤凰仓</v>
      </c>
      <c r="G3502" s="1" t="str">
        <f t="shared" si="1167"/>
        <v>卡卡杜个人护理店（抖店）</v>
      </c>
      <c r="H3502" s="1" t="str">
        <f t="shared" si="1152"/>
        <v>正常订单</v>
      </c>
      <c r="I3502" s="1" t="str">
        <f t="shared" si="1153"/>
        <v>已发货</v>
      </c>
      <c r="J3502" s="1" t="str">
        <f>"5"</f>
        <v>5</v>
      </c>
      <c r="K3502" s="1">
        <v>2</v>
      </c>
      <c r="L3502" s="1" t="s">
        <v>20</v>
      </c>
      <c r="M3502" s="1" t="str">
        <f>"浙江省 宁波市 鄞州区 姜山镇"</f>
        <v>浙江省 宁波市 鄞州区 姜山镇</v>
      </c>
      <c r="N3502" s="1" t="str">
        <f t="shared" si="1168"/>
        <v>凡华云仓-城南圆通-抖音</v>
      </c>
      <c r="O3502" s="5" t="s">
        <v>3533</v>
      </c>
      <c r="P3502" s="6">
        <v>0.59</v>
      </c>
      <c r="Q3502" s="11">
        <f>CEILING(P3502-0.5,0.1)*10*0.15+2.3</f>
        <v>2.4499999999999997</v>
      </c>
      <c r="R3502" s="11"/>
      <c r="S3502" s="11"/>
      <c r="T3502" s="11"/>
      <c r="U3502" s="11">
        <f t="shared" si="1148"/>
        <v>2.4499999999999997</v>
      </c>
      <c r="V3502" t="s">
        <v>15</v>
      </c>
      <c r="W3502">
        <v>2.4500000000000002</v>
      </c>
      <c r="X3502" s="1" t="s">
        <v>20</v>
      </c>
    </row>
    <row r="3503" spans="1:24" x14ac:dyDescent="0.25">
      <c r="A3503" s="1" t="str">
        <f t="shared" si="1150"/>
        <v>卡卡杜-凤凰仓</v>
      </c>
      <c r="B3503" s="1" t="str">
        <f>"CK202410221026"</f>
        <v>CK202410221026</v>
      </c>
      <c r="C3503" s="1" t="str">
        <f>"DD2024102261307"</f>
        <v>DD2024102261307</v>
      </c>
      <c r="D3503" s="1" t="str">
        <f>"CK2024102255145"</f>
        <v>CK2024102255145</v>
      </c>
      <c r="E3503" s="1" t="str">
        <f>"2335500048069206398"</f>
        <v>2335500048069206398</v>
      </c>
      <c r="F3503" s="1" t="str">
        <f t="shared" si="1151"/>
        <v>花都四部-凤凰仓</v>
      </c>
      <c r="G3503" s="1" t="str">
        <f>"卡卡杜旗舰店(天猫）"</f>
        <v>卡卡杜旗舰店(天猫）</v>
      </c>
      <c r="H3503" s="1" t="str">
        <f t="shared" si="1152"/>
        <v>正常订单</v>
      </c>
      <c r="I3503" s="1" t="str">
        <f t="shared" si="1153"/>
        <v>已发货</v>
      </c>
      <c r="J3503" s="1" t="str">
        <f>"2"</f>
        <v>2</v>
      </c>
      <c r="K3503" s="1">
        <v>2</v>
      </c>
      <c r="L3503" s="1" t="s">
        <v>740</v>
      </c>
      <c r="M3503" s="1" t="str">
        <f>"宁夏回族自治区 银川市 西夏区 "</f>
        <v xml:space="preserve">宁夏回族自治区 银川市 西夏区 </v>
      </c>
      <c r="N3503" s="1" t="str">
        <f>"凡华云仓-城南圆通-淘宝"</f>
        <v>凡华云仓-城南圆通-淘宝</v>
      </c>
      <c r="O3503" s="5" t="s">
        <v>3534</v>
      </c>
      <c r="P3503" s="6">
        <v>0.2</v>
      </c>
      <c r="Q3503" s="11">
        <v>2</v>
      </c>
      <c r="R3503" s="11"/>
      <c r="S3503" s="11"/>
      <c r="T3503" s="11"/>
      <c r="U3503" s="11">
        <f t="shared" si="1148"/>
        <v>2</v>
      </c>
      <c r="W3503">
        <v>2.2000000000000002</v>
      </c>
      <c r="X3503" s="1" t="s">
        <v>740</v>
      </c>
    </row>
    <row r="3504" spans="1:24" x14ac:dyDescent="0.25">
      <c r="A3504" s="1" t="str">
        <f t="shared" si="1150"/>
        <v>卡卡杜-凤凰仓</v>
      </c>
      <c r="B3504" s="1" t="str">
        <f>"CK20241022570"</f>
        <v>CK20241022570</v>
      </c>
      <c r="C3504" s="1" t="str">
        <f>"DD2024102256749"</f>
        <v>DD2024102256749</v>
      </c>
      <c r="D3504" s="1" t="str">
        <f>"CK2024102254779"</f>
        <v>CK2024102254779</v>
      </c>
      <c r="E3504" s="1" t="str">
        <f>"6935308434099541790"</f>
        <v>6935308434099541790</v>
      </c>
      <c r="F3504" s="1" t="str">
        <f t="shared" si="1151"/>
        <v>花都四部-凤凰仓</v>
      </c>
      <c r="G3504" s="1" t="str">
        <f t="shared" ref="G3504:G3532" si="1169">"卡卡杜个人护理店（抖店）"</f>
        <v>卡卡杜个人护理店（抖店）</v>
      </c>
      <c r="H3504" s="1" t="str">
        <f t="shared" si="1152"/>
        <v>正常订单</v>
      </c>
      <c r="I3504" s="1" t="str">
        <f t="shared" si="1153"/>
        <v>已发货</v>
      </c>
      <c r="J3504" s="1" t="str">
        <f t="shared" ref="J3504:J3507" si="1170">"3"</f>
        <v>3</v>
      </c>
      <c r="K3504" s="1">
        <v>2</v>
      </c>
      <c r="L3504" s="1" t="s">
        <v>30</v>
      </c>
      <c r="M3504" s="1" t="str">
        <f>"山东省 烟台市 莱州市 文昌路街道"</f>
        <v>山东省 烟台市 莱州市 文昌路街道</v>
      </c>
      <c r="N3504" s="1" t="str">
        <f t="shared" ref="N3504:N3532" si="1171">"凡华云仓-城南圆通-抖音"</f>
        <v>凡华云仓-城南圆通-抖音</v>
      </c>
      <c r="O3504" s="5" t="s">
        <v>3535</v>
      </c>
      <c r="P3504" s="6">
        <v>0.35</v>
      </c>
      <c r="Q3504" s="11">
        <v>2.2999999999999998</v>
      </c>
      <c r="R3504" s="11"/>
      <c r="S3504" s="11"/>
      <c r="T3504" s="11"/>
      <c r="U3504" s="11">
        <f t="shared" si="1148"/>
        <v>2.2999999999999998</v>
      </c>
      <c r="W3504">
        <v>2.5</v>
      </c>
      <c r="X3504" s="1" t="s">
        <v>30</v>
      </c>
    </row>
    <row r="3505" spans="1:24" x14ac:dyDescent="0.25">
      <c r="A3505" s="1" t="str">
        <f t="shared" si="1150"/>
        <v>卡卡杜-凤凰仓</v>
      </c>
      <c r="B3505" s="1" t="str">
        <f>"CK20241022535"</f>
        <v>CK20241022535</v>
      </c>
      <c r="C3505" s="1" t="str">
        <f>"DD2024102256713"</f>
        <v>DD2024102256713</v>
      </c>
      <c r="D3505" s="1" t="str">
        <f>"CK2024102254778"</f>
        <v>CK2024102254778</v>
      </c>
      <c r="E3505" s="1" t="str">
        <f>"6935323306785904399"</f>
        <v>6935323306785904399</v>
      </c>
      <c r="F3505" s="1" t="str">
        <f t="shared" si="1151"/>
        <v>花都四部-凤凰仓</v>
      </c>
      <c r="G3505" s="1" t="str">
        <f t="shared" si="1169"/>
        <v>卡卡杜个人护理店（抖店）</v>
      </c>
      <c r="H3505" s="1" t="str">
        <f t="shared" si="1152"/>
        <v>正常订单</v>
      </c>
      <c r="I3505" s="1" t="str">
        <f t="shared" si="1153"/>
        <v>已发货</v>
      </c>
      <c r="J3505" s="1" t="str">
        <f t="shared" ref="J3505:J3511" si="1172">"5"</f>
        <v>5</v>
      </c>
      <c r="K3505" s="1">
        <v>2</v>
      </c>
      <c r="L3505" s="1" t="s">
        <v>18</v>
      </c>
      <c r="M3505" s="1" t="str">
        <f>"广东省 深圳市 龙岗区 吉华街道"</f>
        <v>广东省 深圳市 龙岗区 吉华街道</v>
      </c>
      <c r="N3505" s="1" t="str">
        <f t="shared" si="1171"/>
        <v>凡华云仓-城南圆通-抖音</v>
      </c>
      <c r="O3505" s="5" t="s">
        <v>3536</v>
      </c>
      <c r="P3505" s="6">
        <v>0.59</v>
      </c>
      <c r="Q3505" s="11">
        <f t="shared" ref="Q3505:Q3511" si="1173">CEILING(P3505-0.5,0.1)*10*0.15+2.3</f>
        <v>2.4499999999999997</v>
      </c>
      <c r="R3505" s="11"/>
      <c r="S3505" s="11"/>
      <c r="T3505" s="11"/>
      <c r="U3505" s="11">
        <f t="shared" si="1148"/>
        <v>2.4499999999999997</v>
      </c>
      <c r="V3505" t="s">
        <v>15</v>
      </c>
      <c r="W3505">
        <v>2.4500000000000002</v>
      </c>
      <c r="X3505" s="1" t="s">
        <v>18</v>
      </c>
    </row>
    <row r="3506" spans="1:24" x14ac:dyDescent="0.25">
      <c r="A3506" s="1" t="str">
        <f t="shared" si="1150"/>
        <v>卡卡杜-凤凰仓</v>
      </c>
      <c r="B3506" s="1" t="str">
        <f>"CK20241022573"</f>
        <v>CK20241022573</v>
      </c>
      <c r="C3506" s="1" t="str">
        <f>"DD2024102256752"</f>
        <v>DD2024102256752</v>
      </c>
      <c r="D3506" s="1" t="str">
        <f>"CK2024102254777"</f>
        <v>CK2024102254777</v>
      </c>
      <c r="E3506" s="1" t="str">
        <f>"6935319273004406569"</f>
        <v>6935319273004406569</v>
      </c>
      <c r="F3506" s="1" t="str">
        <f t="shared" si="1151"/>
        <v>花都四部-凤凰仓</v>
      </c>
      <c r="G3506" s="1" t="str">
        <f t="shared" si="1169"/>
        <v>卡卡杜个人护理店（抖店）</v>
      </c>
      <c r="H3506" s="1" t="str">
        <f t="shared" si="1152"/>
        <v>正常订单</v>
      </c>
      <c r="I3506" s="1" t="str">
        <f t="shared" si="1153"/>
        <v>已发货</v>
      </c>
      <c r="J3506" s="1" t="str">
        <f t="shared" si="1170"/>
        <v>3</v>
      </c>
      <c r="K3506" s="1">
        <v>2</v>
      </c>
      <c r="L3506" s="1" t="s">
        <v>20</v>
      </c>
      <c r="M3506" s="1" t="str">
        <f>"浙江省 杭州市 拱墅区 祥符街道"</f>
        <v>浙江省 杭州市 拱墅区 祥符街道</v>
      </c>
      <c r="N3506" s="1" t="str">
        <f t="shared" si="1171"/>
        <v>凡华云仓-城南圆通-抖音</v>
      </c>
      <c r="O3506" s="5" t="s">
        <v>3537</v>
      </c>
      <c r="P3506" s="6">
        <v>0.35</v>
      </c>
      <c r="Q3506" s="11">
        <v>2.2999999999999998</v>
      </c>
      <c r="R3506" s="11"/>
      <c r="S3506" s="11"/>
      <c r="T3506" s="11"/>
      <c r="U3506" s="11">
        <f t="shared" si="1148"/>
        <v>2.2999999999999998</v>
      </c>
      <c r="W3506">
        <v>2.5</v>
      </c>
      <c r="X3506" s="1" t="s">
        <v>20</v>
      </c>
    </row>
    <row r="3507" spans="1:24" x14ac:dyDescent="0.25">
      <c r="A3507" s="1" t="str">
        <f t="shared" si="1150"/>
        <v>卡卡杜-凤凰仓</v>
      </c>
      <c r="B3507" s="1" t="str">
        <f>"CK20241022575"</f>
        <v>CK20241022575</v>
      </c>
      <c r="C3507" s="1" t="str">
        <f>"DD2024102256755"</f>
        <v>DD2024102256755</v>
      </c>
      <c r="D3507" s="1" t="str">
        <f>"CK2024102254776"</f>
        <v>CK2024102254776</v>
      </c>
      <c r="E3507" s="1" t="str">
        <f>"6935321436120618030"</f>
        <v>6935321436120618030</v>
      </c>
      <c r="F3507" s="1" t="str">
        <f t="shared" si="1151"/>
        <v>花都四部-凤凰仓</v>
      </c>
      <c r="G3507" s="1" t="str">
        <f t="shared" si="1169"/>
        <v>卡卡杜个人护理店（抖店）</v>
      </c>
      <c r="H3507" s="1" t="str">
        <f t="shared" si="1152"/>
        <v>正常订单</v>
      </c>
      <c r="I3507" s="1" t="str">
        <f t="shared" si="1153"/>
        <v>已发货</v>
      </c>
      <c r="J3507" s="1" t="str">
        <f t="shared" si="1170"/>
        <v>3</v>
      </c>
      <c r="K3507" s="1">
        <v>2</v>
      </c>
      <c r="L3507" s="1" t="s">
        <v>20</v>
      </c>
      <c r="M3507" s="1" t="str">
        <f>"浙江省 嘉兴市 海盐县 武原街道"</f>
        <v>浙江省 嘉兴市 海盐县 武原街道</v>
      </c>
      <c r="N3507" s="1" t="str">
        <f t="shared" si="1171"/>
        <v>凡华云仓-城南圆通-抖音</v>
      </c>
      <c r="O3507" s="5" t="s">
        <v>3538</v>
      </c>
      <c r="P3507" s="6">
        <v>0.35</v>
      </c>
      <c r="Q3507" s="11">
        <v>2.2999999999999998</v>
      </c>
      <c r="R3507" s="11"/>
      <c r="S3507" s="11"/>
      <c r="T3507" s="11"/>
      <c r="U3507" s="11">
        <f t="shared" si="1148"/>
        <v>2.2999999999999998</v>
      </c>
      <c r="W3507">
        <v>2.5</v>
      </c>
      <c r="X3507" s="1" t="s">
        <v>20</v>
      </c>
    </row>
    <row r="3508" spans="1:24" x14ac:dyDescent="0.25">
      <c r="A3508" s="1" t="str">
        <f t="shared" si="1150"/>
        <v>卡卡杜-凤凰仓</v>
      </c>
      <c r="B3508" s="1" t="str">
        <f>"CK20241022537"</f>
        <v>CK20241022537</v>
      </c>
      <c r="C3508" s="1" t="str">
        <f>"DD2024102256710"</f>
        <v>DD2024102256710</v>
      </c>
      <c r="D3508" s="1" t="str">
        <f>"CK2024102254775"</f>
        <v>CK2024102254775</v>
      </c>
      <c r="E3508" s="1" t="str">
        <f>"6935310228973623070"</f>
        <v>6935310228973623070</v>
      </c>
      <c r="F3508" s="1" t="str">
        <f t="shared" si="1151"/>
        <v>花都四部-凤凰仓</v>
      </c>
      <c r="G3508" s="1" t="str">
        <f t="shared" si="1169"/>
        <v>卡卡杜个人护理店（抖店）</v>
      </c>
      <c r="H3508" s="1" t="str">
        <f t="shared" si="1152"/>
        <v>正常订单</v>
      </c>
      <c r="I3508" s="1" t="str">
        <f t="shared" si="1153"/>
        <v>已发货</v>
      </c>
      <c r="J3508" s="1" t="str">
        <f t="shared" si="1172"/>
        <v>5</v>
      </c>
      <c r="K3508" s="1">
        <v>2</v>
      </c>
      <c r="L3508" s="1" t="s">
        <v>94</v>
      </c>
      <c r="M3508" s="1" t="str">
        <f>"湖南省 常德市 临澧县 安福街道"</f>
        <v>湖南省 常德市 临澧县 安福街道</v>
      </c>
      <c r="N3508" s="1" t="str">
        <f t="shared" si="1171"/>
        <v>凡华云仓-城南圆通-抖音</v>
      </c>
      <c r="O3508" s="5" t="s">
        <v>3539</v>
      </c>
      <c r="P3508" s="6">
        <v>0.59</v>
      </c>
      <c r="Q3508" s="11">
        <f t="shared" si="1173"/>
        <v>2.4499999999999997</v>
      </c>
      <c r="R3508" s="11"/>
      <c r="S3508" s="11"/>
      <c r="T3508" s="11"/>
      <c r="U3508" s="11">
        <f t="shared" si="1148"/>
        <v>2.4499999999999997</v>
      </c>
      <c r="V3508" t="s">
        <v>15</v>
      </c>
      <c r="W3508">
        <v>2.4500000000000002</v>
      </c>
      <c r="X3508" s="1" t="s">
        <v>94</v>
      </c>
    </row>
    <row r="3509" spans="1:24" x14ac:dyDescent="0.25">
      <c r="A3509" s="1" t="str">
        <f t="shared" si="1150"/>
        <v>卡卡杜-凤凰仓</v>
      </c>
      <c r="B3509" s="1" t="str">
        <f>"CK20241022542"</f>
        <v>CK20241022542</v>
      </c>
      <c r="C3509" s="1" t="str">
        <f>"DD2024102256719"</f>
        <v>DD2024102256719</v>
      </c>
      <c r="D3509" s="1" t="str">
        <f>"CK2024102254774"</f>
        <v>CK2024102254774</v>
      </c>
      <c r="E3509" s="1" t="str">
        <f>"6935321402492065365"</f>
        <v>6935321402492065365</v>
      </c>
      <c r="F3509" s="1" t="str">
        <f t="shared" si="1151"/>
        <v>花都四部-凤凰仓</v>
      </c>
      <c r="G3509" s="1" t="str">
        <f t="shared" si="1169"/>
        <v>卡卡杜个人护理店（抖店）</v>
      </c>
      <c r="H3509" s="1" t="str">
        <f t="shared" si="1152"/>
        <v>正常订单</v>
      </c>
      <c r="I3509" s="1" t="str">
        <f t="shared" si="1153"/>
        <v>已发货</v>
      </c>
      <c r="J3509" s="1" t="str">
        <f t="shared" si="1172"/>
        <v>5</v>
      </c>
      <c r="K3509" s="1">
        <v>2</v>
      </c>
      <c r="L3509" s="1" t="s">
        <v>13</v>
      </c>
      <c r="M3509" s="1" t="str">
        <f>"江苏省 徐州市 鼓楼区 九里街道"</f>
        <v>江苏省 徐州市 鼓楼区 九里街道</v>
      </c>
      <c r="N3509" s="1" t="str">
        <f t="shared" si="1171"/>
        <v>凡华云仓-城南圆通-抖音</v>
      </c>
      <c r="O3509" s="5" t="s">
        <v>3540</v>
      </c>
      <c r="P3509" s="6">
        <v>0.59</v>
      </c>
      <c r="Q3509" s="11">
        <f t="shared" si="1173"/>
        <v>2.4499999999999997</v>
      </c>
      <c r="R3509" s="11"/>
      <c r="S3509" s="11"/>
      <c r="T3509" s="11"/>
      <c r="U3509" s="11">
        <f t="shared" si="1148"/>
        <v>2.4499999999999997</v>
      </c>
      <c r="V3509" t="s">
        <v>15</v>
      </c>
      <c r="W3509">
        <v>2.4500000000000002</v>
      </c>
      <c r="X3509" s="1" t="s">
        <v>13</v>
      </c>
    </row>
    <row r="3510" spans="1:24" x14ac:dyDescent="0.25">
      <c r="A3510" s="1" t="str">
        <f t="shared" si="1150"/>
        <v>卡卡杜-凤凰仓</v>
      </c>
      <c r="B3510" s="1" t="str">
        <f>"CK20241022545"</f>
        <v>CK20241022545</v>
      </c>
      <c r="C3510" s="1" t="str">
        <f>"DD2024102256723"</f>
        <v>DD2024102256723</v>
      </c>
      <c r="D3510" s="1" t="str">
        <f>"CK2024102254773"</f>
        <v>CK2024102254773</v>
      </c>
      <c r="E3510" s="1" t="str">
        <f>"6935318963153474716"</f>
        <v>6935318963153474716</v>
      </c>
      <c r="F3510" s="1" t="str">
        <f t="shared" si="1151"/>
        <v>花都四部-凤凰仓</v>
      </c>
      <c r="G3510" s="1" t="str">
        <f t="shared" si="1169"/>
        <v>卡卡杜个人护理店（抖店）</v>
      </c>
      <c r="H3510" s="1" t="str">
        <f t="shared" si="1152"/>
        <v>正常订单</v>
      </c>
      <c r="I3510" s="1" t="str">
        <f t="shared" si="1153"/>
        <v>已发货</v>
      </c>
      <c r="J3510" s="1" t="str">
        <f t="shared" si="1172"/>
        <v>5</v>
      </c>
      <c r="K3510" s="1">
        <v>2</v>
      </c>
      <c r="L3510" s="1" t="s">
        <v>41</v>
      </c>
      <c r="M3510" s="1" t="str">
        <f>"湖北省 仙桃市 仙桃市 沙嘴街道"</f>
        <v>湖北省 仙桃市 仙桃市 沙嘴街道</v>
      </c>
      <c r="N3510" s="1" t="str">
        <f t="shared" si="1171"/>
        <v>凡华云仓-城南圆通-抖音</v>
      </c>
      <c r="O3510" s="5" t="s">
        <v>3541</v>
      </c>
      <c r="P3510" s="6">
        <v>0.59</v>
      </c>
      <c r="Q3510" s="11">
        <f t="shared" si="1173"/>
        <v>2.4499999999999997</v>
      </c>
      <c r="R3510" s="11"/>
      <c r="S3510" s="11"/>
      <c r="T3510" s="11"/>
      <c r="U3510" s="11">
        <f t="shared" si="1148"/>
        <v>2.4499999999999997</v>
      </c>
      <c r="V3510" t="s">
        <v>15</v>
      </c>
      <c r="W3510">
        <v>2.4500000000000002</v>
      </c>
      <c r="X3510" s="1" t="s">
        <v>41</v>
      </c>
    </row>
    <row r="3511" spans="1:24" x14ac:dyDescent="0.25">
      <c r="A3511" s="1" t="str">
        <f t="shared" si="1150"/>
        <v>卡卡杜-凤凰仓</v>
      </c>
      <c r="B3511" s="1" t="str">
        <f>"CK20241022549"</f>
        <v>CK20241022549</v>
      </c>
      <c r="C3511" s="1" t="str">
        <f>"DD2024102256725"</f>
        <v>DD2024102256725</v>
      </c>
      <c r="D3511" s="1" t="str">
        <f>"CK2024102254772"</f>
        <v>CK2024102254772</v>
      </c>
      <c r="E3511" s="1" t="str">
        <f>"6935321168405665556"</f>
        <v>6935321168405665556</v>
      </c>
      <c r="F3511" s="1" t="str">
        <f t="shared" si="1151"/>
        <v>花都四部-凤凰仓</v>
      </c>
      <c r="G3511" s="1" t="str">
        <f t="shared" si="1169"/>
        <v>卡卡杜个人护理店（抖店）</v>
      </c>
      <c r="H3511" s="1" t="str">
        <f t="shared" si="1152"/>
        <v>正常订单</v>
      </c>
      <c r="I3511" s="1" t="str">
        <f t="shared" si="1153"/>
        <v>已发货</v>
      </c>
      <c r="J3511" s="1" t="str">
        <f t="shared" si="1172"/>
        <v>5</v>
      </c>
      <c r="K3511" s="1">
        <v>2</v>
      </c>
      <c r="L3511" s="1" t="s">
        <v>18</v>
      </c>
      <c r="M3511" s="1" t="str">
        <f>"广东省 广州市 番禺区 市桥街道"</f>
        <v>广东省 广州市 番禺区 市桥街道</v>
      </c>
      <c r="N3511" s="1" t="str">
        <f t="shared" si="1171"/>
        <v>凡华云仓-城南圆通-抖音</v>
      </c>
      <c r="O3511" s="5" t="s">
        <v>3542</v>
      </c>
      <c r="P3511" s="6">
        <v>0.59</v>
      </c>
      <c r="Q3511" s="11">
        <f t="shared" si="1173"/>
        <v>2.4499999999999997</v>
      </c>
      <c r="R3511" s="11"/>
      <c r="S3511" s="11"/>
      <c r="T3511" s="11"/>
      <c r="U3511" s="11">
        <f t="shared" si="1148"/>
        <v>2.4499999999999997</v>
      </c>
      <c r="V3511" t="s">
        <v>15</v>
      </c>
      <c r="W3511">
        <v>2.4500000000000002</v>
      </c>
      <c r="X3511" s="1" t="s">
        <v>18</v>
      </c>
    </row>
    <row r="3512" spans="1:24" x14ac:dyDescent="0.25">
      <c r="A3512" s="1" t="str">
        <f t="shared" si="1150"/>
        <v>卡卡杜-凤凰仓</v>
      </c>
      <c r="B3512" s="1" t="str">
        <f>"CK20241022592"</f>
        <v>CK20241022592</v>
      </c>
      <c r="C3512" s="1" t="str">
        <f>"DD2024102256771"</f>
        <v>DD2024102256771</v>
      </c>
      <c r="D3512" s="1" t="str">
        <f>"CK2024102254771"</f>
        <v>CK2024102254771</v>
      </c>
      <c r="E3512" s="1" t="str">
        <f>"6935301334681261254"</f>
        <v>6935301334681261254</v>
      </c>
      <c r="F3512" s="1" t="str">
        <f t="shared" si="1151"/>
        <v>花都四部-凤凰仓</v>
      </c>
      <c r="G3512" s="1" t="str">
        <f t="shared" si="1169"/>
        <v>卡卡杜个人护理店（抖店）</v>
      </c>
      <c r="H3512" s="1" t="str">
        <f t="shared" si="1152"/>
        <v>正常订单</v>
      </c>
      <c r="I3512" s="1" t="str">
        <f t="shared" si="1153"/>
        <v>已发货</v>
      </c>
      <c r="J3512" s="1" t="str">
        <f t="shared" ref="J3512:J3533" si="1174">"3"</f>
        <v>3</v>
      </c>
      <c r="K3512" s="1">
        <v>2</v>
      </c>
      <c r="L3512" s="1" t="s">
        <v>24</v>
      </c>
      <c r="M3512" s="1" t="str">
        <f>"福建省 漳州市 云霄县 莆美镇"</f>
        <v>福建省 漳州市 云霄县 莆美镇</v>
      </c>
      <c r="N3512" s="1" t="str">
        <f t="shared" si="1171"/>
        <v>凡华云仓-城南圆通-抖音</v>
      </c>
      <c r="O3512" s="5" t="s">
        <v>3543</v>
      </c>
      <c r="P3512" s="6">
        <v>0.35</v>
      </c>
      <c r="Q3512" s="11">
        <v>2.2999999999999998</v>
      </c>
      <c r="R3512" s="11"/>
      <c r="S3512" s="11"/>
      <c r="T3512" s="11"/>
      <c r="U3512" s="11">
        <f t="shared" si="1148"/>
        <v>2.2999999999999998</v>
      </c>
      <c r="W3512">
        <v>2.5</v>
      </c>
      <c r="X3512" s="1" t="s">
        <v>24</v>
      </c>
    </row>
    <row r="3513" spans="1:24" x14ac:dyDescent="0.25">
      <c r="A3513" s="1" t="str">
        <f t="shared" si="1150"/>
        <v>卡卡杜-凤凰仓</v>
      </c>
      <c r="B3513" s="1" t="str">
        <f>"CK20241022286"</f>
        <v>CK20241022286</v>
      </c>
      <c r="C3513" s="1" t="str">
        <f>"DD2024102253840"</f>
        <v>DD2024102253840</v>
      </c>
      <c r="D3513" s="1" t="str">
        <f>"CK2024102254770"</f>
        <v>CK2024102254770</v>
      </c>
      <c r="E3513" s="1" t="str">
        <f>"6935303611422676013"</f>
        <v>6935303611422676013</v>
      </c>
      <c r="F3513" s="1" t="str">
        <f t="shared" si="1151"/>
        <v>花都四部-凤凰仓</v>
      </c>
      <c r="G3513" s="1" t="str">
        <f t="shared" si="1169"/>
        <v>卡卡杜个人护理店（抖店）</v>
      </c>
      <c r="H3513" s="1" t="str">
        <f t="shared" si="1152"/>
        <v>正常订单</v>
      </c>
      <c r="I3513" s="1" t="str">
        <f t="shared" si="1153"/>
        <v>已发货</v>
      </c>
      <c r="J3513" s="1" t="str">
        <f t="shared" si="1174"/>
        <v>3</v>
      </c>
      <c r="K3513" s="1">
        <v>3</v>
      </c>
      <c r="L3513" s="1" t="s">
        <v>20</v>
      </c>
      <c r="M3513" s="1" t="str">
        <f>"浙江省 温州市 龙港市 "</f>
        <v xml:space="preserve">浙江省 温州市 龙港市 </v>
      </c>
      <c r="N3513" s="1" t="str">
        <f t="shared" si="1171"/>
        <v>凡华云仓-城南圆通-抖音</v>
      </c>
      <c r="O3513" s="5" t="s">
        <v>3544</v>
      </c>
      <c r="P3513" s="6">
        <v>0.34</v>
      </c>
      <c r="Q3513" s="11">
        <v>2.2999999999999998</v>
      </c>
      <c r="R3513" s="11"/>
      <c r="S3513" s="11"/>
      <c r="T3513" s="11"/>
      <c r="U3513" s="11">
        <f t="shared" si="1148"/>
        <v>2.2999999999999998</v>
      </c>
      <c r="W3513">
        <v>2.5</v>
      </c>
      <c r="X3513" s="1" t="s">
        <v>20</v>
      </c>
    </row>
    <row r="3514" spans="1:24" x14ac:dyDescent="0.25">
      <c r="A3514" s="1" t="str">
        <f t="shared" si="1150"/>
        <v>卡卡杜-凤凰仓</v>
      </c>
      <c r="B3514" s="1" t="str">
        <f>"CK20241022595"</f>
        <v>CK20241022595</v>
      </c>
      <c r="C3514" s="1" t="str">
        <f>"DD2024102256775"</f>
        <v>DD2024102256775</v>
      </c>
      <c r="D3514" s="1" t="str">
        <f>"CK2024102254769"</f>
        <v>CK2024102254769</v>
      </c>
      <c r="E3514" s="1" t="str">
        <f>"6935309752720037336"</f>
        <v>6935309752720037336</v>
      </c>
      <c r="F3514" s="1" t="str">
        <f t="shared" si="1151"/>
        <v>花都四部-凤凰仓</v>
      </c>
      <c r="G3514" s="1" t="str">
        <f t="shared" si="1169"/>
        <v>卡卡杜个人护理店（抖店）</v>
      </c>
      <c r="H3514" s="1" t="str">
        <f t="shared" si="1152"/>
        <v>正常订单</v>
      </c>
      <c r="I3514" s="1" t="str">
        <f t="shared" si="1153"/>
        <v>已发货</v>
      </c>
      <c r="J3514" s="1" t="str">
        <f t="shared" si="1174"/>
        <v>3</v>
      </c>
      <c r="K3514" s="1">
        <v>2</v>
      </c>
      <c r="L3514" s="1" t="s">
        <v>13</v>
      </c>
      <c r="M3514" s="1" t="str">
        <f>"江苏省 徐州市 邳州市 "</f>
        <v xml:space="preserve">江苏省 徐州市 邳州市 </v>
      </c>
      <c r="N3514" s="1" t="str">
        <f t="shared" si="1171"/>
        <v>凡华云仓-城南圆通-抖音</v>
      </c>
      <c r="O3514" s="5" t="s">
        <v>3545</v>
      </c>
      <c r="P3514" s="6">
        <v>0.35</v>
      </c>
      <c r="Q3514" s="11">
        <v>2.2999999999999998</v>
      </c>
      <c r="R3514" s="11"/>
      <c r="S3514" s="11"/>
      <c r="T3514" s="11"/>
      <c r="U3514" s="11">
        <f t="shared" si="1148"/>
        <v>2.2999999999999998</v>
      </c>
      <c r="W3514">
        <v>2.5</v>
      </c>
      <c r="X3514" s="1" t="s">
        <v>13</v>
      </c>
    </row>
    <row r="3515" spans="1:24" x14ac:dyDescent="0.25">
      <c r="A3515" s="1" t="str">
        <f t="shared" si="1150"/>
        <v>卡卡杜-凤凰仓</v>
      </c>
      <c r="B3515" s="1" t="str">
        <f>"CK20241022596"</f>
        <v>CK20241022596</v>
      </c>
      <c r="C3515" s="1" t="str">
        <f>"DD2024102256776"</f>
        <v>DD2024102256776</v>
      </c>
      <c r="D3515" s="1" t="str">
        <f>"CK2024102254768"</f>
        <v>CK2024102254768</v>
      </c>
      <c r="E3515" s="1" t="str">
        <f>"6935294446806439304"</f>
        <v>6935294446806439304</v>
      </c>
      <c r="F3515" s="1" t="str">
        <f t="shared" si="1151"/>
        <v>花都四部-凤凰仓</v>
      </c>
      <c r="G3515" s="1" t="str">
        <f t="shared" si="1169"/>
        <v>卡卡杜个人护理店（抖店）</v>
      </c>
      <c r="H3515" s="1" t="str">
        <f t="shared" si="1152"/>
        <v>正常订单</v>
      </c>
      <c r="I3515" s="1" t="str">
        <f t="shared" si="1153"/>
        <v>已发货</v>
      </c>
      <c r="J3515" s="1" t="str">
        <f t="shared" si="1174"/>
        <v>3</v>
      </c>
      <c r="K3515" s="1">
        <v>2</v>
      </c>
      <c r="L3515" s="1" t="s">
        <v>52</v>
      </c>
      <c r="M3515" s="1" t="str">
        <f>"甘肃省 兰州市 兰州新区 秦川镇"</f>
        <v>甘肃省 兰州市 兰州新区 秦川镇</v>
      </c>
      <c r="N3515" s="1" t="str">
        <f t="shared" si="1171"/>
        <v>凡华云仓-城南圆通-抖音</v>
      </c>
      <c r="O3515" s="5" t="s">
        <v>3546</v>
      </c>
      <c r="P3515" s="6">
        <v>0.35</v>
      </c>
      <c r="Q3515" s="11">
        <v>2.2999999999999998</v>
      </c>
      <c r="R3515" s="11"/>
      <c r="S3515" s="11"/>
      <c r="T3515" s="11"/>
      <c r="U3515" s="11">
        <f t="shared" si="1148"/>
        <v>2.2999999999999998</v>
      </c>
      <c r="W3515">
        <v>2.5</v>
      </c>
      <c r="X3515" s="1" t="s">
        <v>52</v>
      </c>
    </row>
    <row r="3516" spans="1:24" x14ac:dyDescent="0.25">
      <c r="A3516" s="1" t="str">
        <f t="shared" si="1150"/>
        <v>卡卡杜-凤凰仓</v>
      </c>
      <c r="B3516" s="1" t="str">
        <f>"CK20241022598"</f>
        <v>CK20241022598</v>
      </c>
      <c r="C3516" s="1" t="str">
        <f>"DD2024102256777"</f>
        <v>DD2024102256777</v>
      </c>
      <c r="D3516" s="1" t="str">
        <f>"CK2024102254767"</f>
        <v>CK2024102254767</v>
      </c>
      <c r="E3516" s="1" t="str">
        <f>"6935301085117159127"</f>
        <v>6935301085117159127</v>
      </c>
      <c r="F3516" s="1" t="str">
        <f t="shared" si="1151"/>
        <v>花都四部-凤凰仓</v>
      </c>
      <c r="G3516" s="1" t="str">
        <f t="shared" si="1169"/>
        <v>卡卡杜个人护理店（抖店）</v>
      </c>
      <c r="H3516" s="1" t="str">
        <f t="shared" si="1152"/>
        <v>正常订单</v>
      </c>
      <c r="I3516" s="1" t="str">
        <f t="shared" si="1153"/>
        <v>已发货</v>
      </c>
      <c r="J3516" s="1" t="str">
        <f t="shared" si="1174"/>
        <v>3</v>
      </c>
      <c r="K3516" s="1">
        <v>2</v>
      </c>
      <c r="L3516" s="1" t="s">
        <v>96</v>
      </c>
      <c r="M3516" s="1" t="str">
        <f>"广西壮族自治区 贺州市 昭平县 昭平镇"</f>
        <v>广西壮族自治区 贺州市 昭平县 昭平镇</v>
      </c>
      <c r="N3516" s="1" t="str">
        <f t="shared" si="1171"/>
        <v>凡华云仓-城南圆通-抖音</v>
      </c>
      <c r="O3516" s="5" t="s">
        <v>3547</v>
      </c>
      <c r="P3516" s="6">
        <v>0.35</v>
      </c>
      <c r="Q3516" s="11">
        <v>2.2999999999999998</v>
      </c>
      <c r="R3516" s="11"/>
      <c r="S3516" s="11"/>
      <c r="T3516" s="11"/>
      <c r="U3516" s="11">
        <f t="shared" si="1148"/>
        <v>2.2999999999999998</v>
      </c>
      <c r="W3516">
        <v>2.5</v>
      </c>
      <c r="X3516" s="1" t="s">
        <v>96</v>
      </c>
    </row>
    <row r="3517" spans="1:24" x14ac:dyDescent="0.25">
      <c r="A3517" s="1" t="str">
        <f t="shared" si="1150"/>
        <v>卡卡杜-凤凰仓</v>
      </c>
      <c r="B3517" s="1" t="str">
        <f>"CK20241022599"</f>
        <v>CK20241022599</v>
      </c>
      <c r="C3517" s="1" t="str">
        <f>"DD2024102256779"</f>
        <v>DD2024102256779</v>
      </c>
      <c r="D3517" s="1" t="str">
        <f>"CK2024102254766"</f>
        <v>CK2024102254766</v>
      </c>
      <c r="E3517" s="1" t="str">
        <f>"6935300990313501744"</f>
        <v>6935300990313501744</v>
      </c>
      <c r="F3517" s="1" t="str">
        <f t="shared" si="1151"/>
        <v>花都四部-凤凰仓</v>
      </c>
      <c r="G3517" s="1" t="str">
        <f t="shared" si="1169"/>
        <v>卡卡杜个人护理店（抖店）</v>
      </c>
      <c r="H3517" s="1" t="str">
        <f t="shared" si="1152"/>
        <v>正常订单</v>
      </c>
      <c r="I3517" s="1" t="str">
        <f t="shared" si="1153"/>
        <v>已发货</v>
      </c>
      <c r="J3517" s="1" t="str">
        <f t="shared" si="1174"/>
        <v>3</v>
      </c>
      <c r="K3517" s="1">
        <v>2</v>
      </c>
      <c r="L3517" s="1" t="s">
        <v>13</v>
      </c>
      <c r="M3517" s="1" t="str">
        <f>"江苏省 宿迁市 宿城区 "</f>
        <v xml:space="preserve">江苏省 宿迁市 宿城区 </v>
      </c>
      <c r="N3517" s="1" t="str">
        <f t="shared" si="1171"/>
        <v>凡华云仓-城南圆通-抖音</v>
      </c>
      <c r="O3517" s="5" t="s">
        <v>3548</v>
      </c>
      <c r="P3517" s="6">
        <v>0.35</v>
      </c>
      <c r="Q3517" s="11">
        <v>2.2999999999999998</v>
      </c>
      <c r="R3517" s="11"/>
      <c r="S3517" s="11"/>
      <c r="T3517" s="11"/>
      <c r="U3517" s="11">
        <f t="shared" si="1148"/>
        <v>2.2999999999999998</v>
      </c>
      <c r="W3517">
        <v>2.5</v>
      </c>
      <c r="X3517" s="1" t="s">
        <v>13</v>
      </c>
    </row>
    <row r="3518" spans="1:24" x14ac:dyDescent="0.25">
      <c r="A3518" s="1" t="str">
        <f t="shared" si="1150"/>
        <v>卡卡杜-凤凰仓</v>
      </c>
      <c r="B3518" s="1" t="str">
        <f>"CK20241022600"</f>
        <v>CK20241022600</v>
      </c>
      <c r="C3518" s="1" t="str">
        <f>"DD2024102256780"</f>
        <v>DD2024102256780</v>
      </c>
      <c r="D3518" s="1" t="str">
        <f>"CK2024102254765"</f>
        <v>CK2024102254765</v>
      </c>
      <c r="E3518" s="1" t="str">
        <f>"6935305334415430763"</f>
        <v>6935305334415430763</v>
      </c>
      <c r="F3518" s="1" t="str">
        <f t="shared" si="1151"/>
        <v>花都四部-凤凰仓</v>
      </c>
      <c r="G3518" s="1" t="str">
        <f t="shared" si="1169"/>
        <v>卡卡杜个人护理店（抖店）</v>
      </c>
      <c r="H3518" s="1" t="str">
        <f t="shared" si="1152"/>
        <v>正常订单</v>
      </c>
      <c r="I3518" s="1" t="str">
        <f t="shared" si="1153"/>
        <v>已发货</v>
      </c>
      <c r="J3518" s="1" t="str">
        <f t="shared" si="1174"/>
        <v>3</v>
      </c>
      <c r="K3518" s="1">
        <v>2</v>
      </c>
      <c r="L3518" s="1" t="s">
        <v>13</v>
      </c>
      <c r="M3518" s="1" t="str">
        <f>"江苏省 苏州市 常熟市 琴川街道"</f>
        <v>江苏省 苏州市 常熟市 琴川街道</v>
      </c>
      <c r="N3518" s="1" t="str">
        <f t="shared" si="1171"/>
        <v>凡华云仓-城南圆通-抖音</v>
      </c>
      <c r="O3518" s="5" t="s">
        <v>3549</v>
      </c>
      <c r="P3518" s="6">
        <v>0.35</v>
      </c>
      <c r="Q3518" s="11">
        <v>2.2999999999999998</v>
      </c>
      <c r="R3518" s="11"/>
      <c r="S3518" s="11"/>
      <c r="T3518" s="11"/>
      <c r="U3518" s="11">
        <f t="shared" si="1148"/>
        <v>2.2999999999999998</v>
      </c>
      <c r="W3518">
        <v>2.5</v>
      </c>
      <c r="X3518" s="1" t="s">
        <v>13</v>
      </c>
    </row>
    <row r="3519" spans="1:24" x14ac:dyDescent="0.25">
      <c r="A3519" s="1" t="str">
        <f t="shared" si="1150"/>
        <v>卡卡杜-凤凰仓</v>
      </c>
      <c r="B3519" s="1" t="str">
        <f>"CK20241022604"</f>
        <v>CK20241022604</v>
      </c>
      <c r="C3519" s="1" t="str">
        <f>"DD2024102256783"</f>
        <v>DD2024102256783</v>
      </c>
      <c r="D3519" s="1" t="str">
        <f>"CK2024102254764"</f>
        <v>CK2024102254764</v>
      </c>
      <c r="E3519" s="1" t="str">
        <f>"6935291861431686502"</f>
        <v>6935291861431686502</v>
      </c>
      <c r="F3519" s="1" t="str">
        <f t="shared" si="1151"/>
        <v>花都四部-凤凰仓</v>
      </c>
      <c r="G3519" s="1" t="str">
        <f t="shared" si="1169"/>
        <v>卡卡杜个人护理店（抖店）</v>
      </c>
      <c r="H3519" s="1" t="str">
        <f t="shared" si="1152"/>
        <v>正常订单</v>
      </c>
      <c r="I3519" s="1" t="str">
        <f t="shared" si="1153"/>
        <v>已发货</v>
      </c>
      <c r="J3519" s="1" t="str">
        <f t="shared" si="1174"/>
        <v>3</v>
      </c>
      <c r="K3519" s="1">
        <v>2</v>
      </c>
      <c r="L3519" s="1" t="s">
        <v>32</v>
      </c>
      <c r="M3519" s="1" t="str">
        <f>"陕西省 榆林市 榆阳区 鱼河镇"</f>
        <v>陕西省 榆林市 榆阳区 鱼河镇</v>
      </c>
      <c r="N3519" s="1" t="str">
        <f t="shared" si="1171"/>
        <v>凡华云仓-城南圆通-抖音</v>
      </c>
      <c r="O3519" s="5" t="s">
        <v>3550</v>
      </c>
      <c r="P3519" s="6">
        <v>0.35</v>
      </c>
      <c r="Q3519" s="11">
        <v>2.2999999999999998</v>
      </c>
      <c r="R3519" s="11"/>
      <c r="S3519" s="11"/>
      <c r="T3519" s="11"/>
      <c r="U3519" s="11">
        <f t="shared" si="1148"/>
        <v>2.2999999999999998</v>
      </c>
      <c r="W3519">
        <v>2.5</v>
      </c>
      <c r="X3519" s="1" t="s">
        <v>32</v>
      </c>
    </row>
    <row r="3520" spans="1:24" x14ac:dyDescent="0.25">
      <c r="A3520" s="1" t="str">
        <f t="shared" si="1150"/>
        <v>卡卡杜-凤凰仓</v>
      </c>
      <c r="B3520" s="1" t="str">
        <f>"CK20241022606"</f>
        <v>CK20241022606</v>
      </c>
      <c r="C3520" s="1" t="str">
        <f>"DD2024102256786"</f>
        <v>DD2024102256786</v>
      </c>
      <c r="D3520" s="1" t="str">
        <f>"CK2024102254763"</f>
        <v>CK2024102254763</v>
      </c>
      <c r="E3520" s="1" t="str">
        <f>"6935296010407384345"</f>
        <v>6935296010407384345</v>
      </c>
      <c r="F3520" s="1" t="str">
        <f t="shared" si="1151"/>
        <v>花都四部-凤凰仓</v>
      </c>
      <c r="G3520" s="1" t="str">
        <f t="shared" si="1169"/>
        <v>卡卡杜个人护理店（抖店）</v>
      </c>
      <c r="H3520" s="1" t="str">
        <f t="shared" si="1152"/>
        <v>正常订单</v>
      </c>
      <c r="I3520" s="1" t="str">
        <f t="shared" si="1153"/>
        <v>已发货</v>
      </c>
      <c r="J3520" s="1" t="str">
        <f t="shared" si="1174"/>
        <v>3</v>
      </c>
      <c r="K3520" s="1">
        <v>2</v>
      </c>
      <c r="L3520" s="1" t="s">
        <v>36</v>
      </c>
      <c r="M3520" s="1" t="str">
        <f>"安徽省 淮北市 相山区 曲阳街道"</f>
        <v>安徽省 淮北市 相山区 曲阳街道</v>
      </c>
      <c r="N3520" s="1" t="str">
        <f t="shared" si="1171"/>
        <v>凡华云仓-城南圆通-抖音</v>
      </c>
      <c r="O3520" s="5" t="s">
        <v>3551</v>
      </c>
      <c r="P3520" s="6">
        <v>0.35</v>
      </c>
      <c r="Q3520" s="11">
        <v>2.2999999999999998</v>
      </c>
      <c r="R3520" s="11"/>
      <c r="S3520" s="11"/>
      <c r="T3520" s="11"/>
      <c r="U3520" s="11">
        <f t="shared" si="1148"/>
        <v>2.2999999999999998</v>
      </c>
      <c r="W3520">
        <v>2.5</v>
      </c>
      <c r="X3520" s="1" t="s">
        <v>36</v>
      </c>
    </row>
    <row r="3521" spans="1:24" x14ac:dyDescent="0.25">
      <c r="A3521" s="1" t="str">
        <f t="shared" si="1150"/>
        <v>卡卡杜-凤凰仓</v>
      </c>
      <c r="B3521" s="1" t="str">
        <f>"CK20241022608"</f>
        <v>CK20241022608</v>
      </c>
      <c r="C3521" s="1" t="str">
        <f>"DD2024102256789"</f>
        <v>DD2024102256789</v>
      </c>
      <c r="D3521" s="1" t="str">
        <f>"CK2024102254762"</f>
        <v>CK2024102254762</v>
      </c>
      <c r="E3521" s="1" t="str">
        <f>"6935298306526156598"</f>
        <v>6935298306526156598</v>
      </c>
      <c r="F3521" s="1" t="str">
        <f t="shared" si="1151"/>
        <v>花都四部-凤凰仓</v>
      </c>
      <c r="G3521" s="1" t="str">
        <f t="shared" si="1169"/>
        <v>卡卡杜个人护理店（抖店）</v>
      </c>
      <c r="H3521" s="1" t="str">
        <f t="shared" si="1152"/>
        <v>正常订单</v>
      </c>
      <c r="I3521" s="1" t="str">
        <f t="shared" si="1153"/>
        <v>已发货</v>
      </c>
      <c r="J3521" s="1" t="str">
        <f t="shared" si="1174"/>
        <v>3</v>
      </c>
      <c r="K3521" s="1">
        <v>2</v>
      </c>
      <c r="L3521" s="1" t="s">
        <v>218</v>
      </c>
      <c r="M3521" s="1" t="str">
        <f>"天津 天津市 滨海新区 杭州道街道"</f>
        <v>天津 天津市 滨海新区 杭州道街道</v>
      </c>
      <c r="N3521" s="1" t="str">
        <f t="shared" si="1171"/>
        <v>凡华云仓-城南圆通-抖音</v>
      </c>
      <c r="O3521" s="5" t="s">
        <v>3552</v>
      </c>
      <c r="P3521" s="6">
        <v>0.35</v>
      </c>
      <c r="Q3521" s="11">
        <v>2.2999999999999998</v>
      </c>
      <c r="R3521" s="11"/>
      <c r="S3521" s="11"/>
      <c r="T3521" s="11"/>
      <c r="U3521" s="11">
        <f t="shared" si="1148"/>
        <v>2.2999999999999998</v>
      </c>
      <c r="W3521">
        <v>2.5</v>
      </c>
      <c r="X3521" s="1" t="s">
        <v>218</v>
      </c>
    </row>
    <row r="3522" spans="1:24" x14ac:dyDescent="0.25">
      <c r="A3522" s="1" t="str">
        <f t="shared" si="1150"/>
        <v>卡卡杜-凤凰仓</v>
      </c>
      <c r="B3522" s="1" t="str">
        <f>"CK20241022609"</f>
        <v>CK20241022609</v>
      </c>
      <c r="C3522" s="1" t="str">
        <f>"DD2024102256788"</f>
        <v>DD2024102256788</v>
      </c>
      <c r="D3522" s="1" t="str">
        <f>"CK2024102254761"</f>
        <v>CK2024102254761</v>
      </c>
      <c r="E3522" s="1" t="str">
        <f>"6935289342221882972"</f>
        <v>6935289342221882972</v>
      </c>
      <c r="F3522" s="1" t="str">
        <f t="shared" si="1151"/>
        <v>花都四部-凤凰仓</v>
      </c>
      <c r="G3522" s="1" t="str">
        <f t="shared" si="1169"/>
        <v>卡卡杜个人护理店（抖店）</v>
      </c>
      <c r="H3522" s="1" t="str">
        <f t="shared" si="1152"/>
        <v>正常订单</v>
      </c>
      <c r="I3522" s="1" t="str">
        <f t="shared" si="1153"/>
        <v>已发货</v>
      </c>
      <c r="J3522" s="1" t="str">
        <f t="shared" si="1174"/>
        <v>3</v>
      </c>
      <c r="K3522" s="1">
        <v>2</v>
      </c>
      <c r="L3522" s="1" t="s">
        <v>16</v>
      </c>
      <c r="M3522" s="1" t="str">
        <f>"河北省 石家庄市 藁城区 廉州镇"</f>
        <v>河北省 石家庄市 藁城区 廉州镇</v>
      </c>
      <c r="N3522" s="1" t="str">
        <f t="shared" si="1171"/>
        <v>凡华云仓-城南圆通-抖音</v>
      </c>
      <c r="O3522" s="5" t="s">
        <v>3553</v>
      </c>
      <c r="P3522" s="6">
        <v>0.35</v>
      </c>
      <c r="Q3522" s="11">
        <v>2.2999999999999998</v>
      </c>
      <c r="R3522" s="11"/>
      <c r="S3522" s="11"/>
      <c r="T3522" s="11"/>
      <c r="U3522" s="11">
        <f t="shared" si="1148"/>
        <v>2.2999999999999998</v>
      </c>
      <c r="W3522">
        <v>2.5</v>
      </c>
      <c r="X3522" s="1" t="s">
        <v>16</v>
      </c>
    </row>
    <row r="3523" spans="1:24" x14ac:dyDescent="0.25">
      <c r="A3523" s="1" t="str">
        <f t="shared" si="1150"/>
        <v>卡卡杜-凤凰仓</v>
      </c>
      <c r="B3523" s="1" t="str">
        <f>"CK20241022610"</f>
        <v>CK20241022610</v>
      </c>
      <c r="C3523" s="1" t="str">
        <f>"DD2024102256790"</f>
        <v>DD2024102256790</v>
      </c>
      <c r="D3523" s="1" t="str">
        <f>"CK2024102254760"</f>
        <v>CK2024102254760</v>
      </c>
      <c r="E3523" s="1" t="str">
        <f>"6935320831213966638"</f>
        <v>6935320831213966638</v>
      </c>
      <c r="F3523" s="1" t="str">
        <f t="shared" si="1151"/>
        <v>花都四部-凤凰仓</v>
      </c>
      <c r="G3523" s="1" t="str">
        <f t="shared" si="1169"/>
        <v>卡卡杜个人护理店（抖店）</v>
      </c>
      <c r="H3523" s="1" t="str">
        <f t="shared" si="1152"/>
        <v>正常订单</v>
      </c>
      <c r="I3523" s="1" t="str">
        <f t="shared" si="1153"/>
        <v>已发货</v>
      </c>
      <c r="J3523" s="1" t="str">
        <f t="shared" si="1174"/>
        <v>3</v>
      </c>
      <c r="K3523" s="1">
        <v>2</v>
      </c>
      <c r="L3523" s="1" t="s">
        <v>80</v>
      </c>
      <c r="M3523" s="1" t="str">
        <f>"河南省 驻马店市 上蔡县 塔桥镇"</f>
        <v>河南省 驻马店市 上蔡县 塔桥镇</v>
      </c>
      <c r="N3523" s="1" t="str">
        <f t="shared" si="1171"/>
        <v>凡华云仓-城南圆通-抖音</v>
      </c>
      <c r="O3523" s="5" t="s">
        <v>3554</v>
      </c>
      <c r="P3523" s="6">
        <v>0.35</v>
      </c>
      <c r="Q3523" s="11">
        <v>2.2999999999999998</v>
      </c>
      <c r="R3523" s="11"/>
      <c r="S3523" s="11"/>
      <c r="T3523" s="11"/>
      <c r="U3523" s="11">
        <f t="shared" ref="U3523:U3586" si="1175">T3523+S3523+R3523+Q3523</f>
        <v>2.2999999999999998</v>
      </c>
      <c r="W3523">
        <v>2.5</v>
      </c>
      <c r="X3523" s="1" t="s">
        <v>80</v>
      </c>
    </row>
    <row r="3524" spans="1:24" x14ac:dyDescent="0.25">
      <c r="A3524" s="1" t="str">
        <f t="shared" si="1150"/>
        <v>卡卡杜-凤凰仓</v>
      </c>
      <c r="B3524" s="1" t="str">
        <f>"CK20241022611"</f>
        <v>CK20241022611</v>
      </c>
      <c r="C3524" s="1" t="str">
        <f>"DD2024102256791"</f>
        <v>DD2024102256791</v>
      </c>
      <c r="D3524" s="1" t="str">
        <f>"CK2024102254759"</f>
        <v>CK2024102254759</v>
      </c>
      <c r="E3524" s="1" t="str">
        <f>"6935318419938416178"</f>
        <v>6935318419938416178</v>
      </c>
      <c r="F3524" s="1" t="str">
        <f t="shared" si="1151"/>
        <v>花都四部-凤凰仓</v>
      </c>
      <c r="G3524" s="1" t="str">
        <f t="shared" si="1169"/>
        <v>卡卡杜个人护理店（抖店）</v>
      </c>
      <c r="H3524" s="1" t="str">
        <f t="shared" si="1152"/>
        <v>正常订单</v>
      </c>
      <c r="I3524" s="1" t="str">
        <f t="shared" si="1153"/>
        <v>已发货</v>
      </c>
      <c r="J3524" s="1" t="str">
        <f t="shared" si="1174"/>
        <v>3</v>
      </c>
      <c r="K3524" s="1">
        <v>2</v>
      </c>
      <c r="L3524" s="1" t="s">
        <v>13</v>
      </c>
      <c r="M3524" s="1" t="str">
        <f>"江苏省 苏州市 吴中区 木渎镇"</f>
        <v>江苏省 苏州市 吴中区 木渎镇</v>
      </c>
      <c r="N3524" s="1" t="str">
        <f t="shared" si="1171"/>
        <v>凡华云仓-城南圆通-抖音</v>
      </c>
      <c r="O3524" s="5" t="s">
        <v>3555</v>
      </c>
      <c r="P3524" s="6">
        <v>0.35</v>
      </c>
      <c r="Q3524" s="11">
        <v>2.2999999999999998</v>
      </c>
      <c r="R3524" s="11"/>
      <c r="S3524" s="11"/>
      <c r="T3524" s="11"/>
      <c r="U3524" s="11">
        <f t="shared" si="1175"/>
        <v>2.2999999999999998</v>
      </c>
      <c r="W3524">
        <v>2.5</v>
      </c>
      <c r="X3524" s="1" t="s">
        <v>13</v>
      </c>
    </row>
    <row r="3525" spans="1:24" x14ac:dyDescent="0.25">
      <c r="A3525" s="1" t="str">
        <f t="shared" ref="A3525:A3588" si="1176">"卡卡杜-凤凰仓"</f>
        <v>卡卡杜-凤凰仓</v>
      </c>
      <c r="B3525" s="1" t="str">
        <f>"CK20241022614"</f>
        <v>CK20241022614</v>
      </c>
      <c r="C3525" s="1" t="str">
        <f>"DD2024102256794"</f>
        <v>DD2024102256794</v>
      </c>
      <c r="D3525" s="1" t="str">
        <f>"CK2024102254758"</f>
        <v>CK2024102254758</v>
      </c>
      <c r="E3525" s="1" t="str">
        <f>"6935298024769983873"</f>
        <v>6935298024769983873</v>
      </c>
      <c r="F3525" s="1" t="str">
        <f t="shared" ref="F3525:F3588" si="1177">"花都四部-凤凰仓"</f>
        <v>花都四部-凤凰仓</v>
      </c>
      <c r="G3525" s="1" t="str">
        <f t="shared" si="1169"/>
        <v>卡卡杜个人护理店（抖店）</v>
      </c>
      <c r="H3525" s="1" t="str">
        <f t="shared" ref="H3525:H3588" si="1178">"正常订单"</f>
        <v>正常订单</v>
      </c>
      <c r="I3525" s="1" t="str">
        <f t="shared" ref="I3525:I3588" si="1179">"已发货"</f>
        <v>已发货</v>
      </c>
      <c r="J3525" s="1" t="str">
        <f t="shared" si="1174"/>
        <v>3</v>
      </c>
      <c r="K3525" s="1">
        <v>2</v>
      </c>
      <c r="L3525" s="1" t="s">
        <v>13</v>
      </c>
      <c r="M3525" s="1" t="str">
        <f>"江苏省 镇江市 润州区 南山街道"</f>
        <v>江苏省 镇江市 润州区 南山街道</v>
      </c>
      <c r="N3525" s="1" t="str">
        <f t="shared" si="1171"/>
        <v>凡华云仓-城南圆通-抖音</v>
      </c>
      <c r="O3525" s="5" t="s">
        <v>3556</v>
      </c>
      <c r="P3525" s="6">
        <v>0.35</v>
      </c>
      <c r="Q3525" s="11">
        <v>2.2999999999999998</v>
      </c>
      <c r="R3525" s="11"/>
      <c r="S3525" s="11"/>
      <c r="T3525" s="11"/>
      <c r="U3525" s="11">
        <f t="shared" si="1175"/>
        <v>2.2999999999999998</v>
      </c>
      <c r="W3525">
        <v>2.5</v>
      </c>
      <c r="X3525" s="1" t="s">
        <v>13</v>
      </c>
    </row>
    <row r="3526" spans="1:24" x14ac:dyDescent="0.25">
      <c r="A3526" s="1" t="str">
        <f t="shared" si="1176"/>
        <v>卡卡杜-凤凰仓</v>
      </c>
      <c r="B3526" s="1" t="str">
        <f>"CK20241022615"</f>
        <v>CK20241022615</v>
      </c>
      <c r="C3526" s="1" t="str">
        <f>"DD2024102256796"</f>
        <v>DD2024102256796</v>
      </c>
      <c r="D3526" s="1" t="str">
        <f>"CK2024102254757"</f>
        <v>CK2024102254757</v>
      </c>
      <c r="E3526" s="1" t="str">
        <f>"6935311622384849981"</f>
        <v>6935311622384849981</v>
      </c>
      <c r="F3526" s="1" t="str">
        <f t="shared" si="1177"/>
        <v>花都四部-凤凰仓</v>
      </c>
      <c r="G3526" s="1" t="str">
        <f t="shared" si="1169"/>
        <v>卡卡杜个人护理店（抖店）</v>
      </c>
      <c r="H3526" s="1" t="str">
        <f t="shared" si="1178"/>
        <v>正常订单</v>
      </c>
      <c r="I3526" s="1" t="str">
        <f t="shared" si="1179"/>
        <v>已发货</v>
      </c>
      <c r="J3526" s="1" t="str">
        <f t="shared" si="1174"/>
        <v>3</v>
      </c>
      <c r="K3526" s="1">
        <v>2</v>
      </c>
      <c r="L3526" s="1" t="s">
        <v>74</v>
      </c>
      <c r="M3526" s="1" t="str">
        <f>"上海 上海市 青浦区 华新镇"</f>
        <v>上海 上海市 青浦区 华新镇</v>
      </c>
      <c r="N3526" s="1" t="str">
        <f t="shared" si="1171"/>
        <v>凡华云仓-城南圆通-抖音</v>
      </c>
      <c r="O3526" s="5" t="s">
        <v>3557</v>
      </c>
      <c r="P3526" s="6">
        <v>0.35</v>
      </c>
      <c r="Q3526" s="11">
        <v>2.2999999999999998</v>
      </c>
      <c r="R3526" s="11"/>
      <c r="S3526" s="11"/>
      <c r="T3526" s="11"/>
      <c r="U3526" s="11">
        <f t="shared" si="1175"/>
        <v>2.2999999999999998</v>
      </c>
      <c r="W3526">
        <v>2.5</v>
      </c>
      <c r="X3526" s="1" t="s">
        <v>74</v>
      </c>
    </row>
    <row r="3527" spans="1:24" x14ac:dyDescent="0.25">
      <c r="A3527" s="1" t="str">
        <f t="shared" si="1176"/>
        <v>卡卡杜-凤凰仓</v>
      </c>
      <c r="B3527" s="1" t="str">
        <f>"CK20241022616"</f>
        <v>CK20241022616</v>
      </c>
      <c r="C3527" s="1" t="str">
        <f>"DD2024102256795"</f>
        <v>DD2024102256795</v>
      </c>
      <c r="D3527" s="1" t="str">
        <f>"CK2024102254756"</f>
        <v>CK2024102254756</v>
      </c>
      <c r="E3527" s="1" t="str">
        <f>"6935291834706761019"</f>
        <v>6935291834706761019</v>
      </c>
      <c r="F3527" s="1" t="str">
        <f t="shared" si="1177"/>
        <v>花都四部-凤凰仓</v>
      </c>
      <c r="G3527" s="1" t="str">
        <f t="shared" si="1169"/>
        <v>卡卡杜个人护理店（抖店）</v>
      </c>
      <c r="H3527" s="1" t="str">
        <f t="shared" si="1178"/>
        <v>正常订单</v>
      </c>
      <c r="I3527" s="1" t="str">
        <f t="shared" si="1179"/>
        <v>已发货</v>
      </c>
      <c r="J3527" s="1" t="str">
        <f t="shared" si="1174"/>
        <v>3</v>
      </c>
      <c r="K3527" s="1">
        <v>2</v>
      </c>
      <c r="L3527" s="1" t="s">
        <v>22</v>
      </c>
      <c r="M3527" s="1" t="str">
        <f>"江西省 鹰潭市 余江区 邓埠街道"</f>
        <v>江西省 鹰潭市 余江区 邓埠街道</v>
      </c>
      <c r="N3527" s="1" t="str">
        <f t="shared" si="1171"/>
        <v>凡华云仓-城南圆通-抖音</v>
      </c>
      <c r="O3527" s="5" t="s">
        <v>3558</v>
      </c>
      <c r="P3527" s="6">
        <v>0.35</v>
      </c>
      <c r="Q3527" s="11">
        <v>2.2999999999999998</v>
      </c>
      <c r="R3527" s="11"/>
      <c r="S3527" s="11"/>
      <c r="T3527" s="11"/>
      <c r="U3527" s="11">
        <f t="shared" si="1175"/>
        <v>2.2999999999999998</v>
      </c>
      <c r="W3527">
        <v>2.5</v>
      </c>
      <c r="X3527" s="1" t="s">
        <v>22</v>
      </c>
    </row>
    <row r="3528" spans="1:24" x14ac:dyDescent="0.25">
      <c r="A3528" s="1" t="str">
        <f t="shared" si="1176"/>
        <v>卡卡杜-凤凰仓</v>
      </c>
      <c r="B3528" s="1" t="str">
        <f>"CK20241022617"</f>
        <v>CK20241022617</v>
      </c>
      <c r="C3528" s="1" t="str">
        <f>"DD2024102256797"</f>
        <v>DD2024102256797</v>
      </c>
      <c r="D3528" s="1" t="str">
        <f>"CK2024102254755"</f>
        <v>CK2024102254755</v>
      </c>
      <c r="E3528" s="1" t="str">
        <f>"6935313822059861087"</f>
        <v>6935313822059861087</v>
      </c>
      <c r="F3528" s="1" t="str">
        <f t="shared" si="1177"/>
        <v>花都四部-凤凰仓</v>
      </c>
      <c r="G3528" s="1" t="str">
        <f t="shared" si="1169"/>
        <v>卡卡杜个人护理店（抖店）</v>
      </c>
      <c r="H3528" s="1" t="str">
        <f t="shared" si="1178"/>
        <v>正常订单</v>
      </c>
      <c r="I3528" s="1" t="str">
        <f t="shared" si="1179"/>
        <v>已发货</v>
      </c>
      <c r="J3528" s="1" t="str">
        <f t="shared" si="1174"/>
        <v>3</v>
      </c>
      <c r="K3528" s="1">
        <v>2</v>
      </c>
      <c r="L3528" s="1" t="s">
        <v>60</v>
      </c>
      <c r="M3528" s="1" t="str">
        <f>"云南省 丽江市 古城区 西安街道"</f>
        <v>云南省 丽江市 古城区 西安街道</v>
      </c>
      <c r="N3528" s="1" t="str">
        <f t="shared" si="1171"/>
        <v>凡华云仓-城南圆通-抖音</v>
      </c>
      <c r="O3528" s="5" t="s">
        <v>3559</v>
      </c>
      <c r="P3528" s="6">
        <v>0.35</v>
      </c>
      <c r="Q3528" s="11">
        <v>2.2999999999999998</v>
      </c>
      <c r="R3528" s="11"/>
      <c r="S3528" s="11"/>
      <c r="T3528" s="11"/>
      <c r="U3528" s="11">
        <f t="shared" si="1175"/>
        <v>2.2999999999999998</v>
      </c>
      <c r="W3528">
        <v>2.5</v>
      </c>
      <c r="X3528" s="1" t="s">
        <v>60</v>
      </c>
    </row>
    <row r="3529" spans="1:24" x14ac:dyDescent="0.25">
      <c r="A3529" s="1" t="str">
        <f t="shared" si="1176"/>
        <v>卡卡杜-凤凰仓</v>
      </c>
      <c r="B3529" s="1" t="str">
        <f>"CK20241022618"</f>
        <v>CK20241022618</v>
      </c>
      <c r="C3529" s="1" t="str">
        <f>"DD2024102256798"</f>
        <v>DD2024102256798</v>
      </c>
      <c r="D3529" s="1" t="str">
        <f>"CK2024102254754"</f>
        <v>CK2024102254754</v>
      </c>
      <c r="E3529" s="1" t="str">
        <f>"6935318317989238370"</f>
        <v>6935318317989238370</v>
      </c>
      <c r="F3529" s="1" t="str">
        <f t="shared" si="1177"/>
        <v>花都四部-凤凰仓</v>
      </c>
      <c r="G3529" s="1" t="str">
        <f t="shared" si="1169"/>
        <v>卡卡杜个人护理店（抖店）</v>
      </c>
      <c r="H3529" s="1" t="str">
        <f t="shared" si="1178"/>
        <v>正常订单</v>
      </c>
      <c r="I3529" s="1" t="str">
        <f t="shared" si="1179"/>
        <v>已发货</v>
      </c>
      <c r="J3529" s="1" t="str">
        <f t="shared" si="1174"/>
        <v>3</v>
      </c>
      <c r="K3529" s="1">
        <v>2</v>
      </c>
      <c r="L3529" s="1" t="s">
        <v>18</v>
      </c>
      <c r="M3529" s="1" t="str">
        <f>"广东省 汕头市 潮南区 陈店镇"</f>
        <v>广东省 汕头市 潮南区 陈店镇</v>
      </c>
      <c r="N3529" s="1" t="str">
        <f t="shared" si="1171"/>
        <v>凡华云仓-城南圆通-抖音</v>
      </c>
      <c r="O3529" s="5" t="s">
        <v>3560</v>
      </c>
      <c r="P3529" s="6">
        <v>0.35</v>
      </c>
      <c r="Q3529" s="11">
        <v>2.2999999999999998</v>
      </c>
      <c r="R3529" s="11"/>
      <c r="S3529" s="11"/>
      <c r="T3529" s="11"/>
      <c r="U3529" s="11">
        <f t="shared" si="1175"/>
        <v>2.2999999999999998</v>
      </c>
      <c r="W3529">
        <v>2.5</v>
      </c>
      <c r="X3529" s="1" t="s">
        <v>18</v>
      </c>
    </row>
    <row r="3530" spans="1:24" x14ac:dyDescent="0.25">
      <c r="A3530" s="1" t="str">
        <f t="shared" si="1176"/>
        <v>卡卡杜-凤凰仓</v>
      </c>
      <c r="B3530" s="1" t="str">
        <f>"CK20241022621"</f>
        <v>CK20241022621</v>
      </c>
      <c r="C3530" s="1" t="str">
        <f>"DD2024102256800"</f>
        <v>DD2024102256800</v>
      </c>
      <c r="D3530" s="1" t="str">
        <f>"CK2024102254753"</f>
        <v>CK2024102254753</v>
      </c>
      <c r="E3530" s="1" t="str">
        <f>"6935294088548062217"</f>
        <v>6935294088548062217</v>
      </c>
      <c r="F3530" s="1" t="str">
        <f t="shared" si="1177"/>
        <v>花都四部-凤凰仓</v>
      </c>
      <c r="G3530" s="1" t="str">
        <f t="shared" si="1169"/>
        <v>卡卡杜个人护理店（抖店）</v>
      </c>
      <c r="H3530" s="1" t="str">
        <f t="shared" si="1178"/>
        <v>正常订单</v>
      </c>
      <c r="I3530" s="1" t="str">
        <f t="shared" si="1179"/>
        <v>已发货</v>
      </c>
      <c r="J3530" s="1" t="str">
        <f t="shared" si="1174"/>
        <v>3</v>
      </c>
      <c r="K3530" s="1">
        <v>2</v>
      </c>
      <c r="L3530" s="1" t="s">
        <v>52</v>
      </c>
      <c r="M3530" s="1" t="str">
        <f>"甘肃省 兰州市 安宁区 孔家崖街道"</f>
        <v>甘肃省 兰州市 安宁区 孔家崖街道</v>
      </c>
      <c r="N3530" s="1" t="str">
        <f t="shared" si="1171"/>
        <v>凡华云仓-城南圆通-抖音</v>
      </c>
      <c r="O3530" s="5" t="s">
        <v>3561</v>
      </c>
      <c r="P3530" s="6">
        <v>0.35</v>
      </c>
      <c r="Q3530" s="11">
        <v>2.2999999999999998</v>
      </c>
      <c r="R3530" s="11"/>
      <c r="S3530" s="11"/>
      <c r="T3530" s="11"/>
      <c r="U3530" s="11">
        <f t="shared" si="1175"/>
        <v>2.2999999999999998</v>
      </c>
      <c r="W3530">
        <v>2.5</v>
      </c>
      <c r="X3530" s="1" t="s">
        <v>52</v>
      </c>
    </row>
    <row r="3531" spans="1:24" x14ac:dyDescent="0.25">
      <c r="A3531" s="1" t="str">
        <f t="shared" si="1176"/>
        <v>卡卡杜-凤凰仓</v>
      </c>
      <c r="B3531" s="1" t="str">
        <f>"CK20241022624"</f>
        <v>CK20241022624</v>
      </c>
      <c r="C3531" s="1" t="str">
        <f>"DD2024102256805"</f>
        <v>DD2024102256805</v>
      </c>
      <c r="D3531" s="1" t="str">
        <f>"CK2024102254752"</f>
        <v>CK2024102254752</v>
      </c>
      <c r="E3531" s="1" t="str">
        <f>"6935300590219106215"</f>
        <v>6935300590219106215</v>
      </c>
      <c r="F3531" s="1" t="str">
        <f t="shared" si="1177"/>
        <v>花都四部-凤凰仓</v>
      </c>
      <c r="G3531" s="1" t="str">
        <f t="shared" si="1169"/>
        <v>卡卡杜个人护理店（抖店）</v>
      </c>
      <c r="H3531" s="1" t="str">
        <f t="shared" si="1178"/>
        <v>正常订单</v>
      </c>
      <c r="I3531" s="1" t="str">
        <f t="shared" si="1179"/>
        <v>已发货</v>
      </c>
      <c r="J3531" s="1" t="str">
        <f t="shared" si="1174"/>
        <v>3</v>
      </c>
      <c r="K3531" s="1">
        <v>2</v>
      </c>
      <c r="L3531" s="1" t="s">
        <v>109</v>
      </c>
      <c r="M3531" s="1" t="str">
        <f>"山西省 晋中市 和顺县 义兴镇"</f>
        <v>山西省 晋中市 和顺县 义兴镇</v>
      </c>
      <c r="N3531" s="1" t="str">
        <f t="shared" si="1171"/>
        <v>凡华云仓-城南圆通-抖音</v>
      </c>
      <c r="O3531" s="5" t="s">
        <v>3562</v>
      </c>
      <c r="P3531" s="6">
        <v>0.35</v>
      </c>
      <c r="Q3531" s="11">
        <v>2.2999999999999998</v>
      </c>
      <c r="R3531" s="11"/>
      <c r="S3531" s="11"/>
      <c r="T3531" s="11"/>
      <c r="U3531" s="11">
        <f t="shared" si="1175"/>
        <v>2.2999999999999998</v>
      </c>
      <c r="W3531">
        <v>2.5</v>
      </c>
      <c r="X3531" s="1" t="s">
        <v>109</v>
      </c>
    </row>
    <row r="3532" spans="1:24" x14ac:dyDescent="0.25">
      <c r="A3532" s="1" t="str">
        <f t="shared" si="1176"/>
        <v>卡卡杜-凤凰仓</v>
      </c>
      <c r="B3532" s="1" t="str">
        <f>"CK20241022625"</f>
        <v>CK20241022625</v>
      </c>
      <c r="C3532" s="1" t="str">
        <f>"DD2024102256804"</f>
        <v>DD2024102256804</v>
      </c>
      <c r="D3532" s="1" t="str">
        <f>"CK2024102254751"</f>
        <v>CK2024102254751</v>
      </c>
      <c r="E3532" s="1" t="str">
        <f>"6935300634370316180"</f>
        <v>6935300634370316180</v>
      </c>
      <c r="F3532" s="1" t="str">
        <f t="shared" si="1177"/>
        <v>花都四部-凤凰仓</v>
      </c>
      <c r="G3532" s="1" t="str">
        <f t="shared" si="1169"/>
        <v>卡卡杜个人护理店（抖店）</v>
      </c>
      <c r="H3532" s="1" t="str">
        <f t="shared" si="1178"/>
        <v>正常订单</v>
      </c>
      <c r="I3532" s="1" t="str">
        <f t="shared" si="1179"/>
        <v>已发货</v>
      </c>
      <c r="J3532" s="1" t="str">
        <f t="shared" si="1174"/>
        <v>3</v>
      </c>
      <c r="K3532" s="1">
        <v>2</v>
      </c>
      <c r="L3532" s="1" t="s">
        <v>66</v>
      </c>
      <c r="M3532" s="1" t="str">
        <f>"内蒙古自治区 包头市 东河区 南圪洞街道"</f>
        <v>内蒙古自治区 包头市 东河区 南圪洞街道</v>
      </c>
      <c r="N3532" s="1" t="str">
        <f t="shared" si="1171"/>
        <v>凡华云仓-城南圆通-抖音</v>
      </c>
      <c r="O3532" s="5" t="s">
        <v>3563</v>
      </c>
      <c r="P3532" s="6">
        <v>0.35</v>
      </c>
      <c r="Q3532" s="11">
        <v>2.2999999999999998</v>
      </c>
      <c r="R3532" s="11"/>
      <c r="S3532" s="11"/>
      <c r="T3532" s="11"/>
      <c r="U3532" s="11">
        <f t="shared" si="1175"/>
        <v>2.2999999999999998</v>
      </c>
      <c r="W3532">
        <v>2.5</v>
      </c>
      <c r="X3532" s="1" t="s">
        <v>66</v>
      </c>
    </row>
    <row r="3533" spans="1:24" x14ac:dyDescent="0.25">
      <c r="A3533" s="1" t="str">
        <f t="shared" si="1176"/>
        <v>卡卡杜-凤凰仓</v>
      </c>
      <c r="B3533" s="1" t="str">
        <f>"CK20241022622"</f>
        <v>CK20241022622</v>
      </c>
      <c r="C3533" s="1" t="str">
        <f>"DD2024102256802"</f>
        <v>DD2024102256802</v>
      </c>
      <c r="D3533" s="1" t="str">
        <f>"CK2024102254733"</f>
        <v>CK2024102254733</v>
      </c>
      <c r="E3533" s="1" t="str">
        <f>"2429502175657521"</f>
        <v>2429502175657521</v>
      </c>
      <c r="F3533" s="1" t="str">
        <f t="shared" si="1177"/>
        <v>花都四部-凤凰仓</v>
      </c>
      <c r="G3533" s="1" t="str">
        <f t="shared" ref="G3533:G3596" si="1180">"卡卡杜佳旺专卖店（快手店）"</f>
        <v>卡卡杜佳旺专卖店（快手店）</v>
      </c>
      <c r="H3533" s="1" t="str">
        <f t="shared" si="1178"/>
        <v>正常订单</v>
      </c>
      <c r="I3533" s="1" t="str">
        <f t="shared" si="1179"/>
        <v>已发货</v>
      </c>
      <c r="J3533" s="1" t="str">
        <f t="shared" si="1174"/>
        <v>3</v>
      </c>
      <c r="K3533" s="1">
        <v>2</v>
      </c>
      <c r="L3533" s="1" t="s">
        <v>36</v>
      </c>
      <c r="M3533" s="1" t="str">
        <f>"安徽省 合肥市 庐江县 同大镇"</f>
        <v>安徽省 合肥市 庐江县 同大镇</v>
      </c>
      <c r="N3533" s="1" t="str">
        <f t="shared" ref="N3533:N3596" si="1181">"凡华云仓-城南圆通-快手"</f>
        <v>凡华云仓-城南圆通-快手</v>
      </c>
      <c r="O3533" s="5" t="s">
        <v>3564</v>
      </c>
      <c r="P3533" s="6">
        <v>0.35</v>
      </c>
      <c r="Q3533" s="11">
        <v>2.2999999999999998</v>
      </c>
      <c r="R3533" s="11"/>
      <c r="S3533" s="11"/>
      <c r="T3533" s="11"/>
      <c r="U3533" s="11">
        <f t="shared" si="1175"/>
        <v>2.2999999999999998</v>
      </c>
      <c r="W3533">
        <v>2.5</v>
      </c>
      <c r="X3533" s="1" t="s">
        <v>36</v>
      </c>
    </row>
    <row r="3534" spans="1:24" x14ac:dyDescent="0.25">
      <c r="A3534" s="1" t="str">
        <f t="shared" si="1176"/>
        <v>卡卡杜-凤凰仓</v>
      </c>
      <c r="B3534" s="1" t="str">
        <f>"CK20241022551"</f>
        <v>CK20241022551</v>
      </c>
      <c r="C3534" s="1" t="str">
        <f>"DD2024102256728"</f>
        <v>DD2024102256728</v>
      </c>
      <c r="D3534" s="1" t="str">
        <f>"CK2024102254732"</f>
        <v>CK2024102254732</v>
      </c>
      <c r="E3534" s="1" t="str">
        <f>"2429501702849863"</f>
        <v>2429501702849863</v>
      </c>
      <c r="F3534" s="1" t="str">
        <f t="shared" si="1177"/>
        <v>花都四部-凤凰仓</v>
      </c>
      <c r="G3534" s="1" t="str">
        <f t="shared" si="1180"/>
        <v>卡卡杜佳旺专卖店（快手店）</v>
      </c>
      <c r="H3534" s="1" t="str">
        <f t="shared" si="1178"/>
        <v>正常订单</v>
      </c>
      <c r="I3534" s="1" t="str">
        <f t="shared" si="1179"/>
        <v>已发货</v>
      </c>
      <c r="J3534" s="1" t="str">
        <f t="shared" ref="J3534:J3538" si="1182">"5"</f>
        <v>5</v>
      </c>
      <c r="K3534" s="1">
        <v>2</v>
      </c>
      <c r="L3534" s="1" t="s">
        <v>13</v>
      </c>
      <c r="M3534" s="1" t="str">
        <f>"江苏省 苏州市 吴江区 黎里镇"</f>
        <v>江苏省 苏州市 吴江区 黎里镇</v>
      </c>
      <c r="N3534" s="1" t="str">
        <f t="shared" si="1181"/>
        <v>凡华云仓-城南圆通-快手</v>
      </c>
      <c r="O3534" s="5" t="s">
        <v>3565</v>
      </c>
      <c r="P3534" s="6">
        <v>0.59</v>
      </c>
      <c r="Q3534" s="11">
        <f t="shared" ref="Q3534:Q3538" si="1183">CEILING(P3534-0.5,0.1)*10*0.15+2.3</f>
        <v>2.4499999999999997</v>
      </c>
      <c r="R3534" s="11"/>
      <c r="S3534" s="11"/>
      <c r="T3534" s="11"/>
      <c r="U3534" s="11">
        <f t="shared" si="1175"/>
        <v>2.4499999999999997</v>
      </c>
      <c r="V3534" t="s">
        <v>15</v>
      </c>
      <c r="W3534">
        <v>2.4500000000000002</v>
      </c>
      <c r="X3534" s="1" t="s">
        <v>13</v>
      </c>
    </row>
    <row r="3535" spans="1:24" x14ac:dyDescent="0.25">
      <c r="A3535" s="1" t="str">
        <f t="shared" si="1176"/>
        <v>卡卡杜-凤凰仓</v>
      </c>
      <c r="B3535" s="1" t="str">
        <f>"CK20241022556"</f>
        <v>CK20241022556</v>
      </c>
      <c r="C3535" s="1" t="str">
        <f>"DD2024102256733"</f>
        <v>DD2024102256733</v>
      </c>
      <c r="D3535" s="1" t="str">
        <f>"CK2024102254731"</f>
        <v>CK2024102254731</v>
      </c>
      <c r="E3535" s="1" t="str">
        <f>"2429501939562479"</f>
        <v>2429501939562479</v>
      </c>
      <c r="F3535" s="1" t="str">
        <f t="shared" si="1177"/>
        <v>花都四部-凤凰仓</v>
      </c>
      <c r="G3535" s="1" t="str">
        <f t="shared" si="1180"/>
        <v>卡卡杜佳旺专卖店（快手店）</v>
      </c>
      <c r="H3535" s="1" t="str">
        <f t="shared" si="1178"/>
        <v>正常订单</v>
      </c>
      <c r="I3535" s="1" t="str">
        <f t="shared" si="1179"/>
        <v>已发货</v>
      </c>
      <c r="J3535" s="1" t="str">
        <f t="shared" si="1182"/>
        <v>5</v>
      </c>
      <c r="K3535" s="1">
        <v>2</v>
      </c>
      <c r="L3535" s="1" t="s">
        <v>36</v>
      </c>
      <c r="M3535" s="1" t="str">
        <f>"安徽省 合肥市 肥东县 撮镇镇"</f>
        <v>安徽省 合肥市 肥东县 撮镇镇</v>
      </c>
      <c r="N3535" s="1" t="str">
        <f t="shared" si="1181"/>
        <v>凡华云仓-城南圆通-快手</v>
      </c>
      <c r="O3535" s="5" t="s">
        <v>3566</v>
      </c>
      <c r="P3535" s="6">
        <v>0.59</v>
      </c>
      <c r="Q3535" s="11">
        <f t="shared" si="1183"/>
        <v>2.4499999999999997</v>
      </c>
      <c r="R3535" s="11"/>
      <c r="S3535" s="11"/>
      <c r="T3535" s="11"/>
      <c r="U3535" s="11">
        <f t="shared" si="1175"/>
        <v>2.4499999999999997</v>
      </c>
      <c r="V3535" t="s">
        <v>15</v>
      </c>
      <c r="W3535">
        <v>2.4500000000000002</v>
      </c>
      <c r="X3535" s="1" t="s">
        <v>36</v>
      </c>
    </row>
    <row r="3536" spans="1:24" x14ac:dyDescent="0.25">
      <c r="A3536" s="1" t="str">
        <f t="shared" si="1176"/>
        <v>卡卡杜-凤凰仓</v>
      </c>
      <c r="B3536" s="1" t="str">
        <f>"CK20241022552"</f>
        <v>CK20241022552</v>
      </c>
      <c r="C3536" s="1" t="str">
        <f>"DD2024102256729"</f>
        <v>DD2024102256729</v>
      </c>
      <c r="D3536" s="1" t="str">
        <f>"CK2024102254730"</f>
        <v>CK2024102254730</v>
      </c>
      <c r="E3536" s="1" t="str">
        <f>"2429502014475478"</f>
        <v>2429502014475478</v>
      </c>
      <c r="F3536" s="1" t="str">
        <f t="shared" si="1177"/>
        <v>花都四部-凤凰仓</v>
      </c>
      <c r="G3536" s="1" t="str">
        <f t="shared" si="1180"/>
        <v>卡卡杜佳旺专卖店（快手店）</v>
      </c>
      <c r="H3536" s="1" t="str">
        <f t="shared" si="1178"/>
        <v>正常订单</v>
      </c>
      <c r="I3536" s="1" t="str">
        <f t="shared" si="1179"/>
        <v>已发货</v>
      </c>
      <c r="J3536" s="1" t="str">
        <f t="shared" si="1182"/>
        <v>5</v>
      </c>
      <c r="K3536" s="1">
        <v>2</v>
      </c>
      <c r="L3536" s="1" t="s">
        <v>16</v>
      </c>
      <c r="M3536" s="1" t="str">
        <f>"河北省 石家庄市 裕华区 建华南街道"</f>
        <v>河北省 石家庄市 裕华区 建华南街道</v>
      </c>
      <c r="N3536" s="1" t="str">
        <f t="shared" si="1181"/>
        <v>凡华云仓-城南圆通-快手</v>
      </c>
      <c r="O3536" s="5" t="s">
        <v>3567</v>
      </c>
      <c r="P3536" s="6">
        <v>0.59</v>
      </c>
      <c r="Q3536" s="11">
        <f t="shared" si="1183"/>
        <v>2.4499999999999997</v>
      </c>
      <c r="R3536" s="11"/>
      <c r="S3536" s="11"/>
      <c r="T3536" s="11"/>
      <c r="U3536" s="11">
        <f t="shared" si="1175"/>
        <v>2.4499999999999997</v>
      </c>
      <c r="V3536" t="s">
        <v>15</v>
      </c>
      <c r="W3536">
        <v>2.4500000000000002</v>
      </c>
      <c r="X3536" s="1" t="s">
        <v>16</v>
      </c>
    </row>
    <row r="3537" spans="1:24" x14ac:dyDescent="0.25">
      <c r="A3537" s="1" t="str">
        <f t="shared" si="1176"/>
        <v>卡卡杜-凤凰仓</v>
      </c>
      <c r="B3537" s="1" t="str">
        <f>"CK20241022553"</f>
        <v>CK20241022553</v>
      </c>
      <c r="C3537" s="1" t="str">
        <f>"DD2024102256730"</f>
        <v>DD2024102256730</v>
      </c>
      <c r="D3537" s="1" t="str">
        <f>"CK2024102254729"</f>
        <v>CK2024102254729</v>
      </c>
      <c r="E3537" s="1" t="str">
        <f>"2429501861675658"</f>
        <v>2429501861675658</v>
      </c>
      <c r="F3537" s="1" t="str">
        <f t="shared" si="1177"/>
        <v>花都四部-凤凰仓</v>
      </c>
      <c r="G3537" s="1" t="str">
        <f t="shared" si="1180"/>
        <v>卡卡杜佳旺专卖店（快手店）</v>
      </c>
      <c r="H3537" s="1" t="str">
        <f t="shared" si="1178"/>
        <v>正常订单</v>
      </c>
      <c r="I3537" s="1" t="str">
        <f t="shared" si="1179"/>
        <v>已发货</v>
      </c>
      <c r="J3537" s="1" t="str">
        <f t="shared" si="1182"/>
        <v>5</v>
      </c>
      <c r="K3537" s="1">
        <v>2</v>
      </c>
      <c r="L3537" s="1" t="s">
        <v>60</v>
      </c>
      <c r="M3537" s="1" t="str">
        <f>"云南省 曲靖市 麒麟区 南宁街道"</f>
        <v>云南省 曲靖市 麒麟区 南宁街道</v>
      </c>
      <c r="N3537" s="1" t="str">
        <f t="shared" si="1181"/>
        <v>凡华云仓-城南圆通-快手</v>
      </c>
      <c r="O3537" s="5" t="s">
        <v>3568</v>
      </c>
      <c r="P3537" s="6">
        <v>0.59</v>
      </c>
      <c r="Q3537" s="11">
        <f t="shared" si="1183"/>
        <v>2.4499999999999997</v>
      </c>
      <c r="R3537" s="11"/>
      <c r="S3537" s="11"/>
      <c r="T3537" s="11"/>
      <c r="U3537" s="11">
        <f t="shared" si="1175"/>
        <v>2.4499999999999997</v>
      </c>
      <c r="V3537" t="s">
        <v>15</v>
      </c>
      <c r="W3537">
        <v>2.4500000000000002</v>
      </c>
      <c r="X3537" s="1" t="s">
        <v>60</v>
      </c>
    </row>
    <row r="3538" spans="1:24" x14ac:dyDescent="0.25">
      <c r="A3538" s="1" t="str">
        <f t="shared" si="1176"/>
        <v>卡卡杜-凤凰仓</v>
      </c>
      <c r="B3538" s="1" t="str">
        <f>"CK20241022554"</f>
        <v>CK20241022554</v>
      </c>
      <c r="C3538" s="1" t="str">
        <f>"DD2024102256731"</f>
        <v>DD2024102256731</v>
      </c>
      <c r="D3538" s="1" t="str">
        <f>"CK2024102254728"</f>
        <v>CK2024102254728</v>
      </c>
      <c r="E3538" s="1" t="str">
        <f>"2429501613490200"</f>
        <v>2429501613490200</v>
      </c>
      <c r="F3538" s="1" t="str">
        <f t="shared" si="1177"/>
        <v>花都四部-凤凰仓</v>
      </c>
      <c r="G3538" s="1" t="str">
        <f t="shared" si="1180"/>
        <v>卡卡杜佳旺专卖店（快手店）</v>
      </c>
      <c r="H3538" s="1" t="str">
        <f t="shared" si="1178"/>
        <v>正常订单</v>
      </c>
      <c r="I3538" s="1" t="str">
        <f t="shared" si="1179"/>
        <v>已发货</v>
      </c>
      <c r="J3538" s="1" t="str">
        <f t="shared" si="1182"/>
        <v>5</v>
      </c>
      <c r="K3538" s="1">
        <v>2</v>
      </c>
      <c r="L3538" s="1" t="s">
        <v>18</v>
      </c>
      <c r="M3538" s="1" t="str">
        <f>"广东省 广州市 南沙区 珠江街道"</f>
        <v>广东省 广州市 南沙区 珠江街道</v>
      </c>
      <c r="N3538" s="1" t="str">
        <f t="shared" si="1181"/>
        <v>凡华云仓-城南圆通-快手</v>
      </c>
      <c r="O3538" s="5" t="s">
        <v>3569</v>
      </c>
      <c r="P3538" s="6">
        <v>0.59</v>
      </c>
      <c r="Q3538" s="11">
        <f t="shared" si="1183"/>
        <v>2.4499999999999997</v>
      </c>
      <c r="R3538" s="11"/>
      <c r="S3538" s="11"/>
      <c r="T3538" s="11"/>
      <c r="U3538" s="11">
        <f t="shared" si="1175"/>
        <v>2.4499999999999997</v>
      </c>
      <c r="V3538" t="s">
        <v>15</v>
      </c>
      <c r="W3538">
        <v>2.4500000000000002</v>
      </c>
      <c r="X3538" s="1" t="s">
        <v>18</v>
      </c>
    </row>
    <row r="3539" spans="1:24" x14ac:dyDescent="0.25">
      <c r="A3539" s="1" t="str">
        <f t="shared" si="1176"/>
        <v>卡卡杜-凤凰仓</v>
      </c>
      <c r="B3539" s="1" t="str">
        <f>"CK20241022597"</f>
        <v>CK20241022597</v>
      </c>
      <c r="C3539" s="1" t="str">
        <f>"DD2024102256778"</f>
        <v>DD2024102256778</v>
      </c>
      <c r="D3539" s="1" t="str">
        <f>"CK2024102254727"</f>
        <v>CK2024102254727</v>
      </c>
      <c r="E3539" s="1" t="str">
        <f>"2429502031395986"</f>
        <v>2429502031395986</v>
      </c>
      <c r="F3539" s="1" t="str">
        <f t="shared" si="1177"/>
        <v>花都四部-凤凰仓</v>
      </c>
      <c r="G3539" s="1" t="str">
        <f t="shared" si="1180"/>
        <v>卡卡杜佳旺专卖店（快手店）</v>
      </c>
      <c r="H3539" s="1" t="str">
        <f t="shared" si="1178"/>
        <v>正常订单</v>
      </c>
      <c r="I3539" s="1" t="str">
        <f t="shared" si="1179"/>
        <v>已发货</v>
      </c>
      <c r="J3539" s="1" t="str">
        <f t="shared" ref="J3539:J3542" si="1184">"3"</f>
        <v>3</v>
      </c>
      <c r="K3539" s="1">
        <v>2</v>
      </c>
      <c r="L3539" s="1" t="s">
        <v>18</v>
      </c>
      <c r="M3539" s="1" t="str">
        <f>"广东省 广州市 海珠区 瑞宝街道"</f>
        <v>广东省 广州市 海珠区 瑞宝街道</v>
      </c>
      <c r="N3539" s="1" t="str">
        <f t="shared" si="1181"/>
        <v>凡华云仓-城南圆通-快手</v>
      </c>
      <c r="O3539" s="5" t="s">
        <v>3570</v>
      </c>
      <c r="P3539" s="6">
        <v>0.35</v>
      </c>
      <c r="Q3539" s="11">
        <v>2.2999999999999998</v>
      </c>
      <c r="R3539" s="11"/>
      <c r="S3539" s="11"/>
      <c r="T3539" s="11"/>
      <c r="U3539" s="11">
        <f t="shared" si="1175"/>
        <v>2.2999999999999998</v>
      </c>
      <c r="W3539">
        <v>2.5</v>
      </c>
      <c r="X3539" s="1" t="s">
        <v>18</v>
      </c>
    </row>
    <row r="3540" spans="1:24" x14ac:dyDescent="0.25">
      <c r="A3540" s="1" t="str">
        <f t="shared" si="1176"/>
        <v>卡卡杜-凤凰仓</v>
      </c>
      <c r="B3540" s="1" t="str">
        <f>"CK20241022626"</f>
        <v>CK20241022626</v>
      </c>
      <c r="C3540" s="1" t="str">
        <f>"DD2024102256806"</f>
        <v>DD2024102256806</v>
      </c>
      <c r="D3540" s="1" t="str">
        <f>"CK2024102254726"</f>
        <v>CK2024102254726</v>
      </c>
      <c r="E3540" s="1" t="str">
        <f>"2429502167000929"</f>
        <v>2429502167000929</v>
      </c>
      <c r="F3540" s="1" t="str">
        <f t="shared" si="1177"/>
        <v>花都四部-凤凰仓</v>
      </c>
      <c r="G3540" s="1" t="str">
        <f t="shared" si="1180"/>
        <v>卡卡杜佳旺专卖店（快手店）</v>
      </c>
      <c r="H3540" s="1" t="str">
        <f t="shared" si="1178"/>
        <v>正常订单</v>
      </c>
      <c r="I3540" s="1" t="str">
        <f t="shared" si="1179"/>
        <v>已发货</v>
      </c>
      <c r="J3540" s="1" t="str">
        <f t="shared" si="1184"/>
        <v>3</v>
      </c>
      <c r="K3540" s="1">
        <v>2</v>
      </c>
      <c r="L3540" s="1" t="s">
        <v>92</v>
      </c>
      <c r="M3540" s="1" t="str">
        <f>"辽宁省 大连市 甘井子区 辛寨子街道"</f>
        <v>辽宁省 大连市 甘井子区 辛寨子街道</v>
      </c>
      <c r="N3540" s="1" t="str">
        <f t="shared" si="1181"/>
        <v>凡华云仓-城南圆通-快手</v>
      </c>
      <c r="O3540" s="5" t="s">
        <v>3571</v>
      </c>
      <c r="P3540" s="6">
        <v>0.35</v>
      </c>
      <c r="Q3540" s="11">
        <v>2.2999999999999998</v>
      </c>
      <c r="R3540" s="11"/>
      <c r="S3540" s="11"/>
      <c r="T3540" s="11"/>
      <c r="U3540" s="11">
        <f t="shared" si="1175"/>
        <v>2.2999999999999998</v>
      </c>
      <c r="W3540">
        <v>2.5</v>
      </c>
      <c r="X3540" s="1" t="s">
        <v>92</v>
      </c>
    </row>
    <row r="3541" spans="1:24" x14ac:dyDescent="0.25">
      <c r="A3541" s="1" t="str">
        <f t="shared" si="1176"/>
        <v>卡卡杜-凤凰仓</v>
      </c>
      <c r="B3541" s="1" t="str">
        <f>"CK20241022601"</f>
        <v>CK20241022601</v>
      </c>
      <c r="C3541" s="1" t="str">
        <f>"DD2024102256781"</f>
        <v>DD2024102256781</v>
      </c>
      <c r="D3541" s="1" t="str">
        <f>"CK2024102254725"</f>
        <v>CK2024102254725</v>
      </c>
      <c r="E3541" s="1" t="str">
        <f>"2429502104569608"</f>
        <v>2429502104569608</v>
      </c>
      <c r="F3541" s="1" t="str">
        <f t="shared" si="1177"/>
        <v>花都四部-凤凰仓</v>
      </c>
      <c r="G3541" s="1" t="str">
        <f t="shared" si="1180"/>
        <v>卡卡杜佳旺专卖店（快手店）</v>
      </c>
      <c r="H3541" s="1" t="str">
        <f t="shared" si="1178"/>
        <v>正常订单</v>
      </c>
      <c r="I3541" s="1" t="str">
        <f t="shared" si="1179"/>
        <v>已发货</v>
      </c>
      <c r="J3541" s="1" t="str">
        <f t="shared" si="1184"/>
        <v>3</v>
      </c>
      <c r="K3541" s="1">
        <v>2</v>
      </c>
      <c r="L3541" s="1" t="s">
        <v>80</v>
      </c>
      <c r="M3541" s="1" t="str">
        <f>"河南省 南阳市 邓州市 张村镇"</f>
        <v>河南省 南阳市 邓州市 张村镇</v>
      </c>
      <c r="N3541" s="1" t="str">
        <f t="shared" si="1181"/>
        <v>凡华云仓-城南圆通-快手</v>
      </c>
      <c r="O3541" s="5" t="s">
        <v>3572</v>
      </c>
      <c r="P3541" s="6">
        <v>0.35</v>
      </c>
      <c r="Q3541" s="11">
        <v>2.2999999999999998</v>
      </c>
      <c r="R3541" s="11"/>
      <c r="S3541" s="11"/>
      <c r="T3541" s="11"/>
      <c r="U3541" s="11">
        <f t="shared" si="1175"/>
        <v>2.2999999999999998</v>
      </c>
      <c r="W3541">
        <v>2.5</v>
      </c>
      <c r="X3541" s="1" t="s">
        <v>80</v>
      </c>
    </row>
    <row r="3542" spans="1:24" x14ac:dyDescent="0.25">
      <c r="A3542" s="1" t="str">
        <f t="shared" si="1176"/>
        <v>卡卡杜-凤凰仓</v>
      </c>
      <c r="B3542" s="1" t="str">
        <f>"CK20241022591"</f>
        <v>CK20241022591</v>
      </c>
      <c r="C3542" s="1" t="str">
        <f>"DD2024102256772"</f>
        <v>DD2024102256772</v>
      </c>
      <c r="D3542" s="1" t="str">
        <f>"CK2024102254724"</f>
        <v>CK2024102254724</v>
      </c>
      <c r="E3542" s="1" t="str">
        <f>"2429602161608617"</f>
        <v>2429602161608617</v>
      </c>
      <c r="F3542" s="1" t="str">
        <f t="shared" si="1177"/>
        <v>花都四部-凤凰仓</v>
      </c>
      <c r="G3542" s="1" t="str">
        <f t="shared" si="1180"/>
        <v>卡卡杜佳旺专卖店（快手店）</v>
      </c>
      <c r="H3542" s="1" t="str">
        <f t="shared" si="1178"/>
        <v>正常订单</v>
      </c>
      <c r="I3542" s="1" t="str">
        <f t="shared" si="1179"/>
        <v>已发货</v>
      </c>
      <c r="J3542" s="1" t="str">
        <f t="shared" si="1184"/>
        <v>3</v>
      </c>
      <c r="K3542" s="1">
        <v>2</v>
      </c>
      <c r="L3542" s="1" t="s">
        <v>18</v>
      </c>
      <c r="M3542" s="1" t="str">
        <f>"广东省 深圳市 宝安区 福海街道"</f>
        <v>广东省 深圳市 宝安区 福海街道</v>
      </c>
      <c r="N3542" s="1" t="str">
        <f t="shared" si="1181"/>
        <v>凡华云仓-城南圆通-快手</v>
      </c>
      <c r="O3542" s="5" t="s">
        <v>3573</v>
      </c>
      <c r="P3542" s="6">
        <v>0.35</v>
      </c>
      <c r="Q3542" s="11">
        <v>2.2999999999999998</v>
      </c>
      <c r="R3542" s="11"/>
      <c r="S3542" s="11"/>
      <c r="T3542" s="11"/>
      <c r="U3542" s="11">
        <f t="shared" si="1175"/>
        <v>2.2999999999999998</v>
      </c>
      <c r="W3542">
        <v>2.5</v>
      </c>
      <c r="X3542" s="1" t="s">
        <v>18</v>
      </c>
    </row>
    <row r="3543" spans="1:24" x14ac:dyDescent="0.25">
      <c r="A3543" s="1" t="str">
        <f t="shared" si="1176"/>
        <v>卡卡杜-凤凰仓</v>
      </c>
      <c r="B3543" s="1" t="str">
        <f>"CK20241022557"</f>
        <v>CK20241022557</v>
      </c>
      <c r="C3543" s="1" t="str">
        <f>"DD2024102256734"</f>
        <v>DD2024102256734</v>
      </c>
      <c r="D3543" s="1" t="str">
        <f>"CK2024102254723"</f>
        <v>CK2024102254723</v>
      </c>
      <c r="E3543" s="1" t="str">
        <f>"2429501690642391"</f>
        <v>2429501690642391</v>
      </c>
      <c r="F3543" s="1" t="str">
        <f t="shared" si="1177"/>
        <v>花都四部-凤凰仓</v>
      </c>
      <c r="G3543" s="1" t="str">
        <f t="shared" si="1180"/>
        <v>卡卡杜佳旺专卖店（快手店）</v>
      </c>
      <c r="H3543" s="1" t="str">
        <f t="shared" si="1178"/>
        <v>正常订单</v>
      </c>
      <c r="I3543" s="1" t="str">
        <f t="shared" si="1179"/>
        <v>已发货</v>
      </c>
      <c r="J3543" s="1" t="str">
        <f>"5"</f>
        <v>5</v>
      </c>
      <c r="K3543" s="1">
        <v>2</v>
      </c>
      <c r="L3543" s="1" t="s">
        <v>94</v>
      </c>
      <c r="M3543" s="1" t="str">
        <f>"湖南省 长沙市 雨花区 侯家塘街道"</f>
        <v>湖南省 长沙市 雨花区 侯家塘街道</v>
      </c>
      <c r="N3543" s="1" t="str">
        <f t="shared" si="1181"/>
        <v>凡华云仓-城南圆通-快手</v>
      </c>
      <c r="O3543" s="5" t="s">
        <v>3574</v>
      </c>
      <c r="P3543" s="6">
        <v>0.59</v>
      </c>
      <c r="Q3543" s="11">
        <f>CEILING(P3543-0.5,0.1)*10*0.15+2.3</f>
        <v>2.4499999999999997</v>
      </c>
      <c r="R3543" s="11"/>
      <c r="S3543" s="11"/>
      <c r="T3543" s="11"/>
      <c r="U3543" s="11">
        <f t="shared" si="1175"/>
        <v>2.4499999999999997</v>
      </c>
      <c r="V3543" t="s">
        <v>15</v>
      </c>
      <c r="W3543">
        <v>2.4500000000000002</v>
      </c>
      <c r="X3543" s="1" t="s">
        <v>94</v>
      </c>
    </row>
    <row r="3544" spans="1:24" x14ac:dyDescent="0.25">
      <c r="A3544" s="1" t="str">
        <f t="shared" si="1176"/>
        <v>卡卡杜-凤凰仓</v>
      </c>
      <c r="B3544" s="1" t="str">
        <f>"CK20241022593"</f>
        <v>CK20241022593</v>
      </c>
      <c r="C3544" s="1" t="str">
        <f>"DD2024102256773"</f>
        <v>DD2024102256773</v>
      </c>
      <c r="D3544" s="1" t="str">
        <f>"CK2024102254722"</f>
        <v>CK2024102254722</v>
      </c>
      <c r="E3544" s="1" t="str">
        <f>"2429602164019923"</f>
        <v>2429602164019923</v>
      </c>
      <c r="F3544" s="1" t="str">
        <f t="shared" si="1177"/>
        <v>花都四部-凤凰仓</v>
      </c>
      <c r="G3544" s="1" t="str">
        <f t="shared" si="1180"/>
        <v>卡卡杜佳旺专卖店（快手店）</v>
      </c>
      <c r="H3544" s="1" t="str">
        <f t="shared" si="1178"/>
        <v>正常订单</v>
      </c>
      <c r="I3544" s="1" t="str">
        <f t="shared" si="1179"/>
        <v>已发货</v>
      </c>
      <c r="J3544" s="1" t="str">
        <f t="shared" ref="J3544:J3556" si="1185">"3"</f>
        <v>3</v>
      </c>
      <c r="K3544" s="1">
        <v>2</v>
      </c>
      <c r="L3544" s="1" t="s">
        <v>36</v>
      </c>
      <c r="M3544" s="1" t="str">
        <f>"安徽省 亳州市 谯城区 亳州市经济开发区"</f>
        <v>安徽省 亳州市 谯城区 亳州市经济开发区</v>
      </c>
      <c r="N3544" s="1" t="str">
        <f t="shared" si="1181"/>
        <v>凡华云仓-城南圆通-快手</v>
      </c>
      <c r="O3544" s="5" t="s">
        <v>3575</v>
      </c>
      <c r="P3544" s="6">
        <v>0.35</v>
      </c>
      <c r="Q3544" s="11">
        <v>2.2999999999999998</v>
      </c>
      <c r="R3544" s="11"/>
      <c r="S3544" s="11"/>
      <c r="T3544" s="11"/>
      <c r="U3544" s="11">
        <f t="shared" si="1175"/>
        <v>2.2999999999999998</v>
      </c>
      <c r="W3544">
        <v>2.5</v>
      </c>
      <c r="X3544" s="1" t="s">
        <v>36</v>
      </c>
    </row>
    <row r="3545" spans="1:24" x14ac:dyDescent="0.25">
      <c r="A3545" s="1" t="str">
        <f t="shared" si="1176"/>
        <v>卡卡杜-凤凰仓</v>
      </c>
      <c r="B3545" s="1" t="str">
        <f>"CK20241022550"</f>
        <v>CK20241022550</v>
      </c>
      <c r="C3545" s="1" t="str">
        <f>"DD2024102256726"</f>
        <v>DD2024102256726</v>
      </c>
      <c r="D3545" s="1" t="str">
        <f>"CK2024102254721"</f>
        <v>CK2024102254721</v>
      </c>
      <c r="E3545" s="1" t="str">
        <f>"2429501702585077"</f>
        <v>2429501702585077</v>
      </c>
      <c r="F3545" s="1" t="str">
        <f t="shared" si="1177"/>
        <v>花都四部-凤凰仓</v>
      </c>
      <c r="G3545" s="1" t="str">
        <f t="shared" si="1180"/>
        <v>卡卡杜佳旺专卖店（快手店）</v>
      </c>
      <c r="H3545" s="1" t="str">
        <f t="shared" si="1178"/>
        <v>正常订单</v>
      </c>
      <c r="I3545" s="1" t="str">
        <f t="shared" si="1179"/>
        <v>已发货</v>
      </c>
      <c r="J3545" s="1" t="str">
        <f>"5"</f>
        <v>5</v>
      </c>
      <c r="K3545" s="1">
        <v>2</v>
      </c>
      <c r="L3545" s="1" t="s">
        <v>24</v>
      </c>
      <c r="M3545" s="1" t="str">
        <f>"福建省 厦门市 同安区 新民镇"</f>
        <v>福建省 厦门市 同安区 新民镇</v>
      </c>
      <c r="N3545" s="1" t="str">
        <f t="shared" si="1181"/>
        <v>凡华云仓-城南圆通-快手</v>
      </c>
      <c r="O3545" s="5" t="s">
        <v>3576</v>
      </c>
      <c r="P3545" s="6">
        <v>0.59</v>
      </c>
      <c r="Q3545" s="11">
        <f>CEILING(P3545-0.5,0.1)*10*0.15+2.3</f>
        <v>2.4499999999999997</v>
      </c>
      <c r="R3545" s="11"/>
      <c r="S3545" s="11"/>
      <c r="T3545" s="11"/>
      <c r="U3545" s="11">
        <f t="shared" si="1175"/>
        <v>2.4499999999999997</v>
      </c>
      <c r="V3545" t="s">
        <v>15</v>
      </c>
      <c r="W3545">
        <v>2.4500000000000002</v>
      </c>
      <c r="X3545" s="1" t="s">
        <v>24</v>
      </c>
    </row>
    <row r="3546" spans="1:24" x14ac:dyDescent="0.25">
      <c r="A3546" s="1" t="str">
        <f t="shared" si="1176"/>
        <v>卡卡杜-凤凰仓</v>
      </c>
      <c r="B3546" s="1" t="str">
        <f>"CK20241022627"</f>
        <v>CK20241022627</v>
      </c>
      <c r="C3546" s="1" t="str">
        <f>"DD2024102256807"</f>
        <v>DD2024102256807</v>
      </c>
      <c r="D3546" s="1" t="str">
        <f>"CK2024102254720"</f>
        <v>CK2024102254720</v>
      </c>
      <c r="E3546" s="1" t="str">
        <f>"2429502181139390"</f>
        <v>2429502181139390</v>
      </c>
      <c r="F3546" s="1" t="str">
        <f t="shared" si="1177"/>
        <v>花都四部-凤凰仓</v>
      </c>
      <c r="G3546" s="1" t="str">
        <f t="shared" si="1180"/>
        <v>卡卡杜佳旺专卖店（快手店）</v>
      </c>
      <c r="H3546" s="1" t="str">
        <f t="shared" si="1178"/>
        <v>正常订单</v>
      </c>
      <c r="I3546" s="1" t="str">
        <f t="shared" si="1179"/>
        <v>已发货</v>
      </c>
      <c r="J3546" s="1" t="str">
        <f t="shared" si="1185"/>
        <v>3</v>
      </c>
      <c r="K3546" s="1">
        <v>2</v>
      </c>
      <c r="L3546" s="1" t="s">
        <v>60</v>
      </c>
      <c r="M3546" s="1" t="str">
        <f>"云南省 红河哈尼族彝族自治州 建水县 临安镇"</f>
        <v>云南省 红河哈尼族彝族自治州 建水县 临安镇</v>
      </c>
      <c r="N3546" s="1" t="str">
        <f t="shared" si="1181"/>
        <v>凡华云仓-城南圆通-快手</v>
      </c>
      <c r="O3546" s="5" t="s">
        <v>3577</v>
      </c>
      <c r="P3546" s="6">
        <v>0.35</v>
      </c>
      <c r="Q3546" s="11">
        <v>2.2999999999999998</v>
      </c>
      <c r="R3546" s="11"/>
      <c r="S3546" s="11"/>
      <c r="T3546" s="11"/>
      <c r="U3546" s="11">
        <f t="shared" si="1175"/>
        <v>2.2999999999999998</v>
      </c>
      <c r="W3546">
        <v>2.5</v>
      </c>
      <c r="X3546" s="1" t="s">
        <v>60</v>
      </c>
    </row>
    <row r="3547" spans="1:24" x14ac:dyDescent="0.25">
      <c r="A3547" s="1" t="str">
        <f t="shared" si="1176"/>
        <v>卡卡杜-凤凰仓</v>
      </c>
      <c r="B3547" s="1" t="str">
        <f>"CK20241022594"</f>
        <v>CK20241022594</v>
      </c>
      <c r="C3547" s="1" t="str">
        <f>"DD2024102256774"</f>
        <v>DD2024102256774</v>
      </c>
      <c r="D3547" s="1" t="str">
        <f>"CK2024102254719"</f>
        <v>CK2024102254719</v>
      </c>
      <c r="E3547" s="1" t="str">
        <f>"2429502322418326"</f>
        <v>2429502322418326</v>
      </c>
      <c r="F3547" s="1" t="str">
        <f t="shared" si="1177"/>
        <v>花都四部-凤凰仓</v>
      </c>
      <c r="G3547" s="1" t="str">
        <f t="shared" si="1180"/>
        <v>卡卡杜佳旺专卖店（快手店）</v>
      </c>
      <c r="H3547" s="1" t="str">
        <f t="shared" si="1178"/>
        <v>正常订单</v>
      </c>
      <c r="I3547" s="1" t="str">
        <f t="shared" si="1179"/>
        <v>已发货</v>
      </c>
      <c r="J3547" s="1" t="str">
        <f t="shared" si="1185"/>
        <v>3</v>
      </c>
      <c r="K3547" s="1">
        <v>2</v>
      </c>
      <c r="L3547" s="1" t="s">
        <v>13</v>
      </c>
      <c r="M3547" s="1" t="str">
        <f>"江苏省 常州市 武进区 横山桥镇"</f>
        <v>江苏省 常州市 武进区 横山桥镇</v>
      </c>
      <c r="N3547" s="1" t="str">
        <f t="shared" si="1181"/>
        <v>凡华云仓-城南圆通-快手</v>
      </c>
      <c r="O3547" s="5" t="s">
        <v>3578</v>
      </c>
      <c r="P3547" s="6">
        <v>0.35</v>
      </c>
      <c r="Q3547" s="11">
        <v>2.2999999999999998</v>
      </c>
      <c r="R3547" s="11"/>
      <c r="S3547" s="11"/>
      <c r="T3547" s="11"/>
      <c r="U3547" s="11">
        <f t="shared" si="1175"/>
        <v>2.2999999999999998</v>
      </c>
      <c r="W3547">
        <v>2.5</v>
      </c>
      <c r="X3547" s="1" t="s">
        <v>13</v>
      </c>
    </row>
    <row r="3548" spans="1:24" x14ac:dyDescent="0.25">
      <c r="A3548" s="1" t="str">
        <f t="shared" si="1176"/>
        <v>卡卡杜-凤凰仓</v>
      </c>
      <c r="B3548" s="1" t="str">
        <f>"CK20241022602"</f>
        <v>CK20241022602</v>
      </c>
      <c r="C3548" s="1" t="str">
        <f>"DD2024102256782"</f>
        <v>DD2024102256782</v>
      </c>
      <c r="D3548" s="1" t="str">
        <f>"CK2024102254718"</f>
        <v>CK2024102254718</v>
      </c>
      <c r="E3548" s="1" t="str">
        <f>"2429502020066930"</f>
        <v>2429502020066930</v>
      </c>
      <c r="F3548" s="1" t="str">
        <f t="shared" si="1177"/>
        <v>花都四部-凤凰仓</v>
      </c>
      <c r="G3548" s="1" t="str">
        <f t="shared" si="1180"/>
        <v>卡卡杜佳旺专卖店（快手店）</v>
      </c>
      <c r="H3548" s="1" t="str">
        <f t="shared" si="1178"/>
        <v>正常订单</v>
      </c>
      <c r="I3548" s="1" t="str">
        <f t="shared" si="1179"/>
        <v>已发货</v>
      </c>
      <c r="J3548" s="1" t="str">
        <f t="shared" si="1185"/>
        <v>3</v>
      </c>
      <c r="K3548" s="1">
        <v>2</v>
      </c>
      <c r="L3548" s="1" t="s">
        <v>18</v>
      </c>
      <c r="M3548" s="1" t="str">
        <f>"广东省 中山市 大涌镇 大涌镇"</f>
        <v>广东省 中山市 大涌镇 大涌镇</v>
      </c>
      <c r="N3548" s="1" t="str">
        <f t="shared" si="1181"/>
        <v>凡华云仓-城南圆通-快手</v>
      </c>
      <c r="O3548" s="5" t="s">
        <v>3579</v>
      </c>
      <c r="P3548" s="6">
        <v>0.35</v>
      </c>
      <c r="Q3548" s="11">
        <v>2.2999999999999998</v>
      </c>
      <c r="R3548" s="11"/>
      <c r="S3548" s="11"/>
      <c r="T3548" s="11"/>
      <c r="U3548" s="11">
        <f t="shared" si="1175"/>
        <v>2.2999999999999998</v>
      </c>
      <c r="W3548">
        <v>2.5</v>
      </c>
      <c r="X3548" s="1" t="s">
        <v>18</v>
      </c>
    </row>
    <row r="3549" spans="1:24" x14ac:dyDescent="0.25">
      <c r="A3549" s="1" t="str">
        <f t="shared" si="1176"/>
        <v>卡卡杜-凤凰仓</v>
      </c>
      <c r="B3549" s="1" t="str">
        <f>"CK20241022619"</f>
        <v>CK20241022619</v>
      </c>
      <c r="C3549" s="1" t="str">
        <f>"DD2024102256799"</f>
        <v>DD2024102256799</v>
      </c>
      <c r="D3549" s="1" t="str">
        <f>"CK2024102254717"</f>
        <v>CK2024102254717</v>
      </c>
      <c r="E3549" s="1" t="str">
        <f>"2429501692587830"</f>
        <v>2429501692587830</v>
      </c>
      <c r="F3549" s="1" t="str">
        <f t="shared" si="1177"/>
        <v>花都四部-凤凰仓</v>
      </c>
      <c r="G3549" s="1" t="str">
        <f t="shared" si="1180"/>
        <v>卡卡杜佳旺专卖店（快手店）</v>
      </c>
      <c r="H3549" s="1" t="str">
        <f t="shared" si="1178"/>
        <v>正常订单</v>
      </c>
      <c r="I3549" s="1" t="str">
        <f t="shared" si="1179"/>
        <v>已发货</v>
      </c>
      <c r="J3549" s="1" t="str">
        <f t="shared" si="1185"/>
        <v>3</v>
      </c>
      <c r="K3549" s="1">
        <v>2</v>
      </c>
      <c r="L3549" s="1" t="s">
        <v>20</v>
      </c>
      <c r="M3549" s="1" t="str">
        <f>"浙江省 嘉兴市 海宁市 海昌街道"</f>
        <v>浙江省 嘉兴市 海宁市 海昌街道</v>
      </c>
      <c r="N3549" s="1" t="str">
        <f t="shared" si="1181"/>
        <v>凡华云仓-城南圆通-快手</v>
      </c>
      <c r="O3549" s="5" t="s">
        <v>3580</v>
      </c>
      <c r="P3549" s="6">
        <v>0.35</v>
      </c>
      <c r="Q3549" s="11">
        <v>2.2999999999999998</v>
      </c>
      <c r="R3549" s="11"/>
      <c r="S3549" s="11"/>
      <c r="T3549" s="11"/>
      <c r="U3549" s="11">
        <f t="shared" si="1175"/>
        <v>2.2999999999999998</v>
      </c>
      <c r="W3549">
        <v>2.5</v>
      </c>
      <c r="X3549" s="1" t="s">
        <v>20</v>
      </c>
    </row>
    <row r="3550" spans="1:24" x14ac:dyDescent="0.25">
      <c r="A3550" s="1" t="str">
        <f t="shared" si="1176"/>
        <v>卡卡杜-凤凰仓</v>
      </c>
      <c r="B3550" s="1" t="str">
        <f>"CK20241022620"</f>
        <v>CK20241022620</v>
      </c>
      <c r="C3550" s="1" t="str">
        <f>"DD2024102256801"</f>
        <v>DD2024102256801</v>
      </c>
      <c r="D3550" s="1" t="str">
        <f>"CK2024102254716"</f>
        <v>CK2024102254716</v>
      </c>
      <c r="E3550" s="1" t="str">
        <f>"2429501857523829"</f>
        <v>2429501857523829</v>
      </c>
      <c r="F3550" s="1" t="str">
        <f t="shared" si="1177"/>
        <v>花都四部-凤凰仓</v>
      </c>
      <c r="G3550" s="1" t="str">
        <f t="shared" si="1180"/>
        <v>卡卡杜佳旺专卖店（快手店）</v>
      </c>
      <c r="H3550" s="1" t="str">
        <f t="shared" si="1178"/>
        <v>正常订单</v>
      </c>
      <c r="I3550" s="1" t="str">
        <f t="shared" si="1179"/>
        <v>已发货</v>
      </c>
      <c r="J3550" s="1" t="str">
        <f t="shared" si="1185"/>
        <v>3</v>
      </c>
      <c r="K3550" s="1">
        <v>2</v>
      </c>
      <c r="L3550" s="1" t="s">
        <v>1099</v>
      </c>
      <c r="M3550" s="1" t="str">
        <f>"重庆市 重庆市 江北区 铁山坪街道"</f>
        <v>重庆市 重庆市 江北区 铁山坪街道</v>
      </c>
      <c r="N3550" s="1" t="str">
        <f t="shared" si="1181"/>
        <v>凡华云仓-城南圆通-快手</v>
      </c>
      <c r="O3550" s="5" t="s">
        <v>3581</v>
      </c>
      <c r="P3550" s="6">
        <v>0.35</v>
      </c>
      <c r="Q3550" s="11">
        <v>2.2999999999999998</v>
      </c>
      <c r="R3550" s="11"/>
      <c r="S3550" s="11"/>
      <c r="T3550" s="11"/>
      <c r="U3550" s="11">
        <f t="shared" si="1175"/>
        <v>2.2999999999999998</v>
      </c>
      <c r="W3550">
        <v>2.5</v>
      </c>
      <c r="X3550" s="1" t="s">
        <v>1099</v>
      </c>
    </row>
    <row r="3551" spans="1:24" x14ac:dyDescent="0.25">
      <c r="A3551" s="1" t="str">
        <f t="shared" si="1176"/>
        <v>卡卡杜-凤凰仓</v>
      </c>
      <c r="B3551" s="1" t="str">
        <f>"CK20241022623"</f>
        <v>CK20241022623</v>
      </c>
      <c r="C3551" s="1" t="str">
        <f>"DD2024102256803"</f>
        <v>DD2024102256803</v>
      </c>
      <c r="D3551" s="1" t="str">
        <f>"CK2024102254715"</f>
        <v>CK2024102254715</v>
      </c>
      <c r="E3551" s="1" t="str">
        <f>"2429501699545348"</f>
        <v>2429501699545348</v>
      </c>
      <c r="F3551" s="1" t="str">
        <f t="shared" si="1177"/>
        <v>花都四部-凤凰仓</v>
      </c>
      <c r="G3551" s="1" t="str">
        <f t="shared" si="1180"/>
        <v>卡卡杜佳旺专卖店（快手店）</v>
      </c>
      <c r="H3551" s="1" t="str">
        <f t="shared" si="1178"/>
        <v>正常订单</v>
      </c>
      <c r="I3551" s="1" t="str">
        <f t="shared" si="1179"/>
        <v>已发货</v>
      </c>
      <c r="J3551" s="1" t="str">
        <f t="shared" si="1185"/>
        <v>3</v>
      </c>
      <c r="K3551" s="1">
        <v>2</v>
      </c>
      <c r="L3551" s="1" t="s">
        <v>109</v>
      </c>
      <c r="M3551" s="1" t="str">
        <f>"山西省 太原市 小店区 小店街道"</f>
        <v>山西省 太原市 小店区 小店街道</v>
      </c>
      <c r="N3551" s="1" t="str">
        <f t="shared" si="1181"/>
        <v>凡华云仓-城南圆通-快手</v>
      </c>
      <c r="O3551" s="5" t="s">
        <v>3582</v>
      </c>
      <c r="P3551" s="6">
        <v>0.35</v>
      </c>
      <c r="Q3551" s="11">
        <v>2.2999999999999998</v>
      </c>
      <c r="R3551" s="11"/>
      <c r="S3551" s="11"/>
      <c r="T3551" s="11"/>
      <c r="U3551" s="11">
        <f t="shared" si="1175"/>
        <v>2.2999999999999998</v>
      </c>
      <c r="W3551">
        <v>2.5</v>
      </c>
      <c r="X3551" s="1" t="s">
        <v>109</v>
      </c>
    </row>
    <row r="3552" spans="1:24" x14ac:dyDescent="0.25">
      <c r="A3552" s="1" t="str">
        <f t="shared" si="1176"/>
        <v>卡卡杜-凤凰仓</v>
      </c>
      <c r="B3552" s="1" t="str">
        <f>"CK20241022603"</f>
        <v>CK20241022603</v>
      </c>
      <c r="C3552" s="1" t="str">
        <f>"DD2024102256784"</f>
        <v>DD2024102256784</v>
      </c>
      <c r="D3552" s="1" t="str">
        <f>"CK2024102254714"</f>
        <v>CK2024102254714</v>
      </c>
      <c r="E3552" s="1" t="str">
        <f>"2429502321609259"</f>
        <v>2429502321609259</v>
      </c>
      <c r="F3552" s="1" t="str">
        <f t="shared" si="1177"/>
        <v>花都四部-凤凰仓</v>
      </c>
      <c r="G3552" s="1" t="str">
        <f t="shared" si="1180"/>
        <v>卡卡杜佳旺专卖店（快手店）</v>
      </c>
      <c r="H3552" s="1" t="str">
        <f t="shared" si="1178"/>
        <v>正常订单</v>
      </c>
      <c r="I3552" s="1" t="str">
        <f t="shared" si="1179"/>
        <v>已发货</v>
      </c>
      <c r="J3552" s="1" t="str">
        <f t="shared" si="1185"/>
        <v>3</v>
      </c>
      <c r="K3552" s="1">
        <v>2</v>
      </c>
      <c r="L3552" s="1" t="s">
        <v>161</v>
      </c>
      <c r="M3552" s="1" t="str">
        <f>"四川省 泸州市 古蔺县 金兰街道"</f>
        <v>四川省 泸州市 古蔺县 金兰街道</v>
      </c>
      <c r="N3552" s="1" t="str">
        <f t="shared" si="1181"/>
        <v>凡华云仓-城南圆通-快手</v>
      </c>
      <c r="O3552" s="5" t="s">
        <v>3583</v>
      </c>
      <c r="P3552" s="6">
        <v>0.35</v>
      </c>
      <c r="Q3552" s="11">
        <v>2.2999999999999998</v>
      </c>
      <c r="R3552" s="11"/>
      <c r="S3552" s="11"/>
      <c r="T3552" s="11"/>
      <c r="U3552" s="11">
        <f t="shared" si="1175"/>
        <v>2.2999999999999998</v>
      </c>
      <c r="W3552">
        <v>2.5</v>
      </c>
      <c r="X3552" s="1" t="s">
        <v>161</v>
      </c>
    </row>
    <row r="3553" spans="1:24" x14ac:dyDescent="0.25">
      <c r="A3553" s="1" t="str">
        <f t="shared" si="1176"/>
        <v>卡卡杜-凤凰仓</v>
      </c>
      <c r="B3553" s="1" t="str">
        <f>"CK20241022613"</f>
        <v>CK20241022613</v>
      </c>
      <c r="C3553" s="1" t="str">
        <f>"DD2024102256793"</f>
        <v>DD2024102256793</v>
      </c>
      <c r="D3553" s="1" t="str">
        <f>"CK2024102254713"</f>
        <v>CK2024102254713</v>
      </c>
      <c r="E3553" s="1" t="str">
        <f>"2429501855105396"</f>
        <v>2429501855105396</v>
      </c>
      <c r="F3553" s="1" t="str">
        <f t="shared" si="1177"/>
        <v>花都四部-凤凰仓</v>
      </c>
      <c r="G3553" s="1" t="str">
        <f t="shared" si="1180"/>
        <v>卡卡杜佳旺专卖店（快手店）</v>
      </c>
      <c r="H3553" s="1" t="str">
        <f t="shared" si="1178"/>
        <v>正常订单</v>
      </c>
      <c r="I3553" s="1" t="str">
        <f t="shared" si="1179"/>
        <v>已发货</v>
      </c>
      <c r="J3553" s="1" t="str">
        <f t="shared" si="1185"/>
        <v>3</v>
      </c>
      <c r="K3553" s="1">
        <v>2</v>
      </c>
      <c r="L3553" s="1" t="s">
        <v>22</v>
      </c>
      <c r="M3553" s="1" t="str">
        <f>"江西省 南昌市 青山湖区 湖坊镇"</f>
        <v>江西省 南昌市 青山湖区 湖坊镇</v>
      </c>
      <c r="N3553" s="1" t="str">
        <f t="shared" si="1181"/>
        <v>凡华云仓-城南圆通-快手</v>
      </c>
      <c r="O3553" s="5" t="s">
        <v>3584</v>
      </c>
      <c r="P3553" s="6">
        <v>0.35</v>
      </c>
      <c r="Q3553" s="11">
        <v>2.2999999999999998</v>
      </c>
      <c r="R3553" s="11"/>
      <c r="S3553" s="11"/>
      <c r="T3553" s="11"/>
      <c r="U3553" s="11">
        <f t="shared" si="1175"/>
        <v>2.2999999999999998</v>
      </c>
      <c r="W3553">
        <v>2.5</v>
      </c>
      <c r="X3553" s="1" t="s">
        <v>22</v>
      </c>
    </row>
    <row r="3554" spans="1:24" x14ac:dyDescent="0.25">
      <c r="A3554" s="1" t="str">
        <f t="shared" si="1176"/>
        <v>卡卡杜-凤凰仓</v>
      </c>
      <c r="B3554" s="1" t="str">
        <f>"CK20241022605"</f>
        <v>CK20241022605</v>
      </c>
      <c r="C3554" s="1" t="str">
        <f>"DD2024102256785"</f>
        <v>DD2024102256785</v>
      </c>
      <c r="D3554" s="1" t="str">
        <f>"CK2024102254712"</f>
        <v>CK2024102254712</v>
      </c>
      <c r="E3554" s="1" t="str">
        <f>"2429501942074638"</f>
        <v>2429501942074638</v>
      </c>
      <c r="F3554" s="1" t="str">
        <f t="shared" si="1177"/>
        <v>花都四部-凤凰仓</v>
      </c>
      <c r="G3554" s="1" t="str">
        <f t="shared" si="1180"/>
        <v>卡卡杜佳旺专卖店（快手店）</v>
      </c>
      <c r="H3554" s="1" t="str">
        <f t="shared" si="1178"/>
        <v>正常订单</v>
      </c>
      <c r="I3554" s="1" t="str">
        <f t="shared" si="1179"/>
        <v>已发货</v>
      </c>
      <c r="J3554" s="1" t="str">
        <f t="shared" si="1185"/>
        <v>3</v>
      </c>
      <c r="K3554" s="1">
        <v>2</v>
      </c>
      <c r="L3554" s="1" t="s">
        <v>1495</v>
      </c>
      <c r="M3554" s="1" t="str">
        <f>"天津市 天津市 武清区 汊沽港镇"</f>
        <v>天津市 天津市 武清区 汊沽港镇</v>
      </c>
      <c r="N3554" s="1" t="str">
        <f t="shared" si="1181"/>
        <v>凡华云仓-城南圆通-快手</v>
      </c>
      <c r="O3554" s="5" t="s">
        <v>3585</v>
      </c>
      <c r="P3554" s="6">
        <v>0.35</v>
      </c>
      <c r="Q3554" s="11">
        <v>2.2999999999999998</v>
      </c>
      <c r="R3554" s="11"/>
      <c r="S3554" s="11"/>
      <c r="T3554" s="11"/>
      <c r="U3554" s="11">
        <f t="shared" si="1175"/>
        <v>2.2999999999999998</v>
      </c>
      <c r="W3554">
        <v>2.5</v>
      </c>
      <c r="X3554" s="1" t="s">
        <v>1495</v>
      </c>
    </row>
    <row r="3555" spans="1:24" x14ac:dyDescent="0.25">
      <c r="A3555" s="1" t="str">
        <f t="shared" si="1176"/>
        <v>卡卡杜-凤凰仓</v>
      </c>
      <c r="B3555" s="1" t="str">
        <f>"CK20241022607"</f>
        <v>CK20241022607</v>
      </c>
      <c r="C3555" s="1" t="str">
        <f>"DD2024102256787"</f>
        <v>DD2024102256787</v>
      </c>
      <c r="D3555" s="1" t="str">
        <f>"CK2024102254711"</f>
        <v>CK2024102254711</v>
      </c>
      <c r="E3555" s="1" t="str">
        <f>"2429502014890355"</f>
        <v>2429502014890355</v>
      </c>
      <c r="F3555" s="1" t="str">
        <f t="shared" si="1177"/>
        <v>花都四部-凤凰仓</v>
      </c>
      <c r="G3555" s="1" t="str">
        <f t="shared" si="1180"/>
        <v>卡卡杜佳旺专卖店（快手店）</v>
      </c>
      <c r="H3555" s="1" t="str">
        <f t="shared" si="1178"/>
        <v>正常订单</v>
      </c>
      <c r="I3555" s="1" t="str">
        <f t="shared" si="1179"/>
        <v>已发货</v>
      </c>
      <c r="J3555" s="1" t="str">
        <f t="shared" si="1185"/>
        <v>3</v>
      </c>
      <c r="K3555" s="1">
        <v>2</v>
      </c>
      <c r="L3555" s="1" t="s">
        <v>18</v>
      </c>
      <c r="M3555" s="1" t="str">
        <f>"广东省 深圳市 龙华区 大浪街道"</f>
        <v>广东省 深圳市 龙华区 大浪街道</v>
      </c>
      <c r="N3555" s="1" t="str">
        <f t="shared" si="1181"/>
        <v>凡华云仓-城南圆通-快手</v>
      </c>
      <c r="O3555" s="5" t="s">
        <v>3586</v>
      </c>
      <c r="P3555" s="6">
        <v>0.35</v>
      </c>
      <c r="Q3555" s="11">
        <v>2.2999999999999998</v>
      </c>
      <c r="R3555" s="11"/>
      <c r="S3555" s="11"/>
      <c r="T3555" s="11"/>
      <c r="U3555" s="11">
        <f t="shared" si="1175"/>
        <v>2.2999999999999998</v>
      </c>
      <c r="W3555">
        <v>2.5</v>
      </c>
      <c r="X3555" s="1" t="s">
        <v>18</v>
      </c>
    </row>
    <row r="3556" spans="1:24" x14ac:dyDescent="0.25">
      <c r="A3556" s="1" t="str">
        <f t="shared" si="1176"/>
        <v>卡卡杜-凤凰仓</v>
      </c>
      <c r="B3556" s="1" t="str">
        <f>"CK20241022612"</f>
        <v>CK20241022612</v>
      </c>
      <c r="C3556" s="1" t="str">
        <f>"DD2024102256792"</f>
        <v>DD2024102256792</v>
      </c>
      <c r="D3556" s="1" t="str">
        <f>"CK2024102254710"</f>
        <v>CK2024102254710</v>
      </c>
      <c r="E3556" s="1" t="str">
        <f>"2429501939259082"</f>
        <v>2429501939259082</v>
      </c>
      <c r="F3556" s="1" t="str">
        <f t="shared" si="1177"/>
        <v>花都四部-凤凰仓</v>
      </c>
      <c r="G3556" s="1" t="str">
        <f t="shared" si="1180"/>
        <v>卡卡杜佳旺专卖店（快手店）</v>
      </c>
      <c r="H3556" s="1" t="str">
        <f t="shared" si="1178"/>
        <v>正常订单</v>
      </c>
      <c r="I3556" s="1" t="str">
        <f t="shared" si="1179"/>
        <v>已发货</v>
      </c>
      <c r="J3556" s="1" t="str">
        <f t="shared" si="1185"/>
        <v>3</v>
      </c>
      <c r="K3556" s="1">
        <v>2</v>
      </c>
      <c r="L3556" s="1" t="s">
        <v>710</v>
      </c>
      <c r="M3556" s="1" t="str">
        <f>"上海市 上海市 浦东新区 北蔡镇"</f>
        <v>上海市 上海市 浦东新区 北蔡镇</v>
      </c>
      <c r="N3556" s="1" t="str">
        <f t="shared" si="1181"/>
        <v>凡华云仓-城南圆通-快手</v>
      </c>
      <c r="O3556" s="5" t="s">
        <v>3587</v>
      </c>
      <c r="P3556" s="6">
        <v>0.35</v>
      </c>
      <c r="Q3556" s="11">
        <v>2.2999999999999998</v>
      </c>
      <c r="R3556" s="11"/>
      <c r="S3556" s="11"/>
      <c r="T3556" s="11"/>
      <c r="U3556" s="11">
        <f t="shared" si="1175"/>
        <v>2.2999999999999998</v>
      </c>
      <c r="W3556">
        <v>2.5</v>
      </c>
      <c r="X3556" s="1" t="s">
        <v>710</v>
      </c>
    </row>
    <row r="3557" spans="1:24" x14ac:dyDescent="0.25">
      <c r="A3557" s="1" t="str">
        <f t="shared" si="1176"/>
        <v>卡卡杜-凤凰仓</v>
      </c>
      <c r="B3557" s="1" t="str">
        <f>"CK20241022547"</f>
        <v>CK20241022547</v>
      </c>
      <c r="C3557" s="1" t="str">
        <f>"DD2024102256724"</f>
        <v>DD2024102256724</v>
      </c>
      <c r="D3557" s="1" t="str">
        <f>"CK2024102254709"</f>
        <v>CK2024102254709</v>
      </c>
      <c r="E3557" s="1" t="str">
        <f>"2429601923273324"</f>
        <v>2429601923273324</v>
      </c>
      <c r="F3557" s="1" t="str">
        <f t="shared" si="1177"/>
        <v>花都四部-凤凰仓</v>
      </c>
      <c r="G3557" s="1" t="str">
        <f t="shared" si="1180"/>
        <v>卡卡杜佳旺专卖店（快手店）</v>
      </c>
      <c r="H3557" s="1" t="str">
        <f t="shared" si="1178"/>
        <v>正常订单</v>
      </c>
      <c r="I3557" s="1" t="str">
        <f t="shared" si="1179"/>
        <v>已发货</v>
      </c>
      <c r="J3557" s="1" t="str">
        <f t="shared" ref="J3557:J3561" si="1186">"5"</f>
        <v>5</v>
      </c>
      <c r="K3557" s="1">
        <v>2</v>
      </c>
      <c r="L3557" s="1" t="s">
        <v>20</v>
      </c>
      <c r="M3557" s="1" t="str">
        <f>"浙江省 舟山市 定海区 环南街道"</f>
        <v>浙江省 舟山市 定海区 环南街道</v>
      </c>
      <c r="N3557" s="1" t="str">
        <f t="shared" si="1181"/>
        <v>凡华云仓-城南圆通-快手</v>
      </c>
      <c r="O3557" s="5" t="s">
        <v>3588</v>
      </c>
      <c r="P3557" s="6">
        <v>0.59</v>
      </c>
      <c r="Q3557" s="11">
        <f t="shared" ref="Q3557:Q3561" si="1187">CEILING(P3557-0.5,0.1)*10*0.15+2.3</f>
        <v>2.4499999999999997</v>
      </c>
      <c r="R3557" s="11"/>
      <c r="S3557" s="11"/>
      <c r="T3557" s="11"/>
      <c r="U3557" s="11">
        <f t="shared" si="1175"/>
        <v>2.4499999999999997</v>
      </c>
      <c r="V3557" t="s">
        <v>15</v>
      </c>
      <c r="W3557">
        <v>2.4500000000000002</v>
      </c>
      <c r="X3557" s="1" t="s">
        <v>20</v>
      </c>
    </row>
    <row r="3558" spans="1:24" x14ac:dyDescent="0.25">
      <c r="A3558" s="1" t="str">
        <f t="shared" si="1176"/>
        <v>卡卡杜-凤凰仓</v>
      </c>
      <c r="B3558" s="1" t="str">
        <f>"CK20241022555"</f>
        <v>CK20241022555</v>
      </c>
      <c r="C3558" s="1" t="str">
        <f>"DD2024102256732"</f>
        <v>DD2024102256732</v>
      </c>
      <c r="D3558" s="1" t="str">
        <f>"CK2024102254708"</f>
        <v>CK2024102254708</v>
      </c>
      <c r="E3558" s="1" t="str">
        <f>"2429501778163075"</f>
        <v>2429501778163075</v>
      </c>
      <c r="F3558" s="1" t="str">
        <f t="shared" si="1177"/>
        <v>花都四部-凤凰仓</v>
      </c>
      <c r="G3558" s="1" t="str">
        <f t="shared" si="1180"/>
        <v>卡卡杜佳旺专卖店（快手店）</v>
      </c>
      <c r="H3558" s="1" t="str">
        <f t="shared" si="1178"/>
        <v>正常订单</v>
      </c>
      <c r="I3558" s="1" t="str">
        <f t="shared" si="1179"/>
        <v>已发货</v>
      </c>
      <c r="J3558" s="1" t="str">
        <f t="shared" si="1186"/>
        <v>5</v>
      </c>
      <c r="K3558" s="1">
        <v>2</v>
      </c>
      <c r="L3558" s="1" t="s">
        <v>1099</v>
      </c>
      <c r="M3558" s="1" t="str">
        <f>"重庆市 重庆市 沙坪坝区 西永街道"</f>
        <v>重庆市 重庆市 沙坪坝区 西永街道</v>
      </c>
      <c r="N3558" s="1" t="str">
        <f t="shared" si="1181"/>
        <v>凡华云仓-城南圆通-快手</v>
      </c>
      <c r="O3558" s="5" t="s">
        <v>3589</v>
      </c>
      <c r="P3558" s="6">
        <v>0.59</v>
      </c>
      <c r="Q3558" s="11">
        <f t="shared" si="1187"/>
        <v>2.4499999999999997</v>
      </c>
      <c r="R3558" s="11"/>
      <c r="S3558" s="11"/>
      <c r="T3558" s="11"/>
      <c r="U3558" s="11">
        <f t="shared" si="1175"/>
        <v>2.4499999999999997</v>
      </c>
      <c r="V3558" t="s">
        <v>15</v>
      </c>
      <c r="W3558">
        <v>2.4500000000000002</v>
      </c>
      <c r="X3558" s="1" t="s">
        <v>1099</v>
      </c>
    </row>
    <row r="3559" spans="1:24" x14ac:dyDescent="0.25">
      <c r="A3559" s="1" t="str">
        <f t="shared" si="1176"/>
        <v>卡卡杜-凤凰仓</v>
      </c>
      <c r="B3559" s="1" t="str">
        <f>"CK20241022590"</f>
        <v>CK20241022590</v>
      </c>
      <c r="C3559" s="1" t="str">
        <f>"DD2024102256770"</f>
        <v>DD2024102256770</v>
      </c>
      <c r="D3559" s="1" t="str">
        <f>"CK2024102254707"</f>
        <v>CK2024102254707</v>
      </c>
      <c r="E3559" s="1" t="str">
        <f>"2429601604851319"</f>
        <v>2429601604851319</v>
      </c>
      <c r="F3559" s="1" t="str">
        <f t="shared" si="1177"/>
        <v>花都四部-凤凰仓</v>
      </c>
      <c r="G3559" s="1" t="str">
        <f t="shared" si="1180"/>
        <v>卡卡杜佳旺专卖店（快手店）</v>
      </c>
      <c r="H3559" s="1" t="str">
        <f t="shared" si="1178"/>
        <v>正常订单</v>
      </c>
      <c r="I3559" s="1" t="str">
        <f t="shared" si="1179"/>
        <v>已发货</v>
      </c>
      <c r="J3559" s="1" t="str">
        <f t="shared" ref="J3559:J3571" si="1188">"3"</f>
        <v>3</v>
      </c>
      <c r="K3559" s="1">
        <v>2</v>
      </c>
      <c r="L3559" s="1" t="s">
        <v>13</v>
      </c>
      <c r="M3559" s="1" t="str">
        <f>"江苏省 苏州市 昆山市 昆山开发区"</f>
        <v>江苏省 苏州市 昆山市 昆山开发区</v>
      </c>
      <c r="N3559" s="1" t="str">
        <f t="shared" si="1181"/>
        <v>凡华云仓-城南圆通-快手</v>
      </c>
      <c r="O3559" s="5" t="s">
        <v>3590</v>
      </c>
      <c r="P3559" s="6">
        <v>0.35</v>
      </c>
      <c r="Q3559" s="11">
        <v>2.2999999999999998</v>
      </c>
      <c r="R3559" s="11"/>
      <c r="S3559" s="11"/>
      <c r="T3559" s="11"/>
      <c r="U3559" s="11">
        <f t="shared" si="1175"/>
        <v>2.2999999999999998</v>
      </c>
      <c r="W3559">
        <v>2.5</v>
      </c>
      <c r="X3559" s="1" t="s">
        <v>13</v>
      </c>
    </row>
    <row r="3560" spans="1:24" x14ac:dyDescent="0.25">
      <c r="A3560" s="1" t="str">
        <f t="shared" si="1176"/>
        <v>卡卡杜-凤凰仓</v>
      </c>
      <c r="B3560" s="1" t="str">
        <f>"CK20241022548"</f>
        <v>CK20241022548</v>
      </c>
      <c r="C3560" s="1" t="str">
        <f>"DD2024102256727"</f>
        <v>DD2024102256727</v>
      </c>
      <c r="D3560" s="1" t="str">
        <f>"CK2024102254706"</f>
        <v>CK2024102254706</v>
      </c>
      <c r="E3560" s="1" t="str">
        <f>"2429601687562071"</f>
        <v>2429601687562071</v>
      </c>
      <c r="F3560" s="1" t="str">
        <f t="shared" si="1177"/>
        <v>花都四部-凤凰仓</v>
      </c>
      <c r="G3560" s="1" t="str">
        <f t="shared" si="1180"/>
        <v>卡卡杜佳旺专卖店（快手店）</v>
      </c>
      <c r="H3560" s="1" t="str">
        <f t="shared" si="1178"/>
        <v>正常订单</v>
      </c>
      <c r="I3560" s="1" t="str">
        <f t="shared" si="1179"/>
        <v>已发货</v>
      </c>
      <c r="J3560" s="1" t="str">
        <f t="shared" si="1186"/>
        <v>5</v>
      </c>
      <c r="K3560" s="1">
        <v>2</v>
      </c>
      <c r="L3560" s="1" t="s">
        <v>30</v>
      </c>
      <c r="M3560" s="1" t="str">
        <f>"山东省 聊城市 东昌府区 侯营镇"</f>
        <v>山东省 聊城市 东昌府区 侯营镇</v>
      </c>
      <c r="N3560" s="1" t="str">
        <f t="shared" si="1181"/>
        <v>凡华云仓-城南圆通-快手</v>
      </c>
      <c r="O3560" s="5" t="s">
        <v>3591</v>
      </c>
      <c r="P3560" s="6">
        <v>0.59</v>
      </c>
      <c r="Q3560" s="11">
        <f t="shared" si="1187"/>
        <v>2.4499999999999997</v>
      </c>
      <c r="R3560" s="11"/>
      <c r="S3560" s="11"/>
      <c r="T3560" s="11"/>
      <c r="U3560" s="11">
        <f t="shared" si="1175"/>
        <v>2.4499999999999997</v>
      </c>
      <c r="V3560" t="s">
        <v>15</v>
      </c>
      <c r="W3560">
        <v>2.4500000000000002</v>
      </c>
      <c r="X3560" s="1" t="s">
        <v>30</v>
      </c>
    </row>
    <row r="3561" spans="1:24" x14ac:dyDescent="0.25">
      <c r="A3561" s="1" t="str">
        <f t="shared" si="1176"/>
        <v>卡卡杜-凤凰仓</v>
      </c>
      <c r="B3561" s="1" t="str">
        <f>"CK20241022536"</f>
        <v>CK20241022536</v>
      </c>
      <c r="C3561" s="1" t="str">
        <f>"DD2024102256714"</f>
        <v>DD2024102256714</v>
      </c>
      <c r="D3561" s="1" t="str">
        <f>"CK2024102254705"</f>
        <v>CK2024102254705</v>
      </c>
      <c r="E3561" s="1" t="str">
        <f>"2429601770810080"</f>
        <v>2429601770810080</v>
      </c>
      <c r="F3561" s="1" t="str">
        <f t="shared" si="1177"/>
        <v>花都四部-凤凰仓</v>
      </c>
      <c r="G3561" s="1" t="str">
        <f t="shared" si="1180"/>
        <v>卡卡杜佳旺专卖店（快手店）</v>
      </c>
      <c r="H3561" s="1" t="str">
        <f t="shared" si="1178"/>
        <v>正常订单</v>
      </c>
      <c r="I3561" s="1" t="str">
        <f t="shared" si="1179"/>
        <v>已发货</v>
      </c>
      <c r="J3561" s="1" t="str">
        <f t="shared" si="1186"/>
        <v>5</v>
      </c>
      <c r="K3561" s="1">
        <v>2</v>
      </c>
      <c r="L3561" s="1" t="s">
        <v>13</v>
      </c>
      <c r="M3561" s="1" t="str">
        <f>"江苏省 苏州市 吴中区 胥口镇"</f>
        <v>江苏省 苏州市 吴中区 胥口镇</v>
      </c>
      <c r="N3561" s="1" t="str">
        <f t="shared" si="1181"/>
        <v>凡华云仓-城南圆通-快手</v>
      </c>
      <c r="O3561" s="5" t="s">
        <v>3592</v>
      </c>
      <c r="P3561" s="6">
        <v>0.59</v>
      </c>
      <c r="Q3561" s="11">
        <f t="shared" si="1187"/>
        <v>2.4499999999999997</v>
      </c>
      <c r="R3561" s="11"/>
      <c r="S3561" s="11"/>
      <c r="T3561" s="11"/>
      <c r="U3561" s="11">
        <f t="shared" si="1175"/>
        <v>2.4499999999999997</v>
      </c>
      <c r="V3561" t="s">
        <v>15</v>
      </c>
      <c r="W3561">
        <v>2.4500000000000002</v>
      </c>
      <c r="X3561" s="1" t="s">
        <v>13</v>
      </c>
    </row>
    <row r="3562" spans="1:24" x14ac:dyDescent="0.25">
      <c r="A3562" s="1" t="str">
        <f t="shared" si="1176"/>
        <v>卡卡杜-凤凰仓</v>
      </c>
      <c r="B3562" s="1" t="str">
        <f>"CK202410221009"</f>
        <v>CK202410221009</v>
      </c>
      <c r="C3562" s="1" t="str">
        <f>"DD2024102259319"</f>
        <v>DD2024102259319</v>
      </c>
      <c r="D3562" s="1" t="str">
        <f>"CK2024102254704"</f>
        <v>CK2024102254704</v>
      </c>
      <c r="E3562" s="1" t="str">
        <f>"2429602007106897"</f>
        <v>2429602007106897</v>
      </c>
      <c r="F3562" s="1" t="str">
        <f t="shared" si="1177"/>
        <v>花都四部-凤凰仓</v>
      </c>
      <c r="G3562" s="1" t="str">
        <f t="shared" si="1180"/>
        <v>卡卡杜佳旺专卖店（快手店）</v>
      </c>
      <c r="H3562" s="1" t="str">
        <f t="shared" si="1178"/>
        <v>正常订单</v>
      </c>
      <c r="I3562" s="1" t="str">
        <f t="shared" si="1179"/>
        <v>已发货</v>
      </c>
      <c r="J3562" s="1" t="str">
        <f t="shared" si="1188"/>
        <v>3</v>
      </c>
      <c r="K3562" s="1">
        <v>2</v>
      </c>
      <c r="L3562" s="1" t="s">
        <v>1099</v>
      </c>
      <c r="M3562" s="1" t="str">
        <f>"重庆市 重庆市 沙坪坝区 覃家岗街道"</f>
        <v>重庆市 重庆市 沙坪坝区 覃家岗街道</v>
      </c>
      <c r="N3562" s="1" t="str">
        <f t="shared" si="1181"/>
        <v>凡华云仓-城南圆通-快手</v>
      </c>
      <c r="O3562" s="5" t="s">
        <v>3593</v>
      </c>
      <c r="P3562" s="6">
        <v>0.35</v>
      </c>
      <c r="Q3562" s="11">
        <v>2.2999999999999998</v>
      </c>
      <c r="R3562" s="11"/>
      <c r="S3562" s="11"/>
      <c r="T3562" s="11"/>
      <c r="U3562" s="11">
        <f t="shared" si="1175"/>
        <v>2.2999999999999998</v>
      </c>
      <c r="W3562">
        <v>2.5</v>
      </c>
      <c r="X3562" s="1" t="s">
        <v>1099</v>
      </c>
    </row>
    <row r="3563" spans="1:24" x14ac:dyDescent="0.25">
      <c r="A3563" s="1" t="str">
        <f t="shared" si="1176"/>
        <v>卡卡杜-凤凰仓</v>
      </c>
      <c r="B3563" s="1" t="str">
        <f>"CK20241022571"</f>
        <v>CK20241022571</v>
      </c>
      <c r="C3563" s="1" t="str">
        <f>"DD2024102256753"</f>
        <v>DD2024102256753</v>
      </c>
      <c r="D3563" s="1" t="str">
        <f>"CK2024102254703"</f>
        <v>CK2024102254703</v>
      </c>
      <c r="E3563" s="1" t="str">
        <f>"2429601764304537"</f>
        <v>2429601764304537</v>
      </c>
      <c r="F3563" s="1" t="str">
        <f t="shared" si="1177"/>
        <v>花都四部-凤凰仓</v>
      </c>
      <c r="G3563" s="1" t="str">
        <f t="shared" si="1180"/>
        <v>卡卡杜佳旺专卖店（快手店）</v>
      </c>
      <c r="H3563" s="1" t="str">
        <f t="shared" si="1178"/>
        <v>正常订单</v>
      </c>
      <c r="I3563" s="1" t="str">
        <f t="shared" si="1179"/>
        <v>已发货</v>
      </c>
      <c r="J3563" s="1" t="str">
        <f t="shared" si="1188"/>
        <v>3</v>
      </c>
      <c r="K3563" s="1">
        <v>2</v>
      </c>
      <c r="L3563" s="1" t="s">
        <v>20</v>
      </c>
      <c r="M3563" s="1" t="str">
        <f>"浙江省 温州市 瑞安市 陶山镇"</f>
        <v>浙江省 温州市 瑞安市 陶山镇</v>
      </c>
      <c r="N3563" s="1" t="str">
        <f t="shared" si="1181"/>
        <v>凡华云仓-城南圆通-快手</v>
      </c>
      <c r="O3563" s="5" t="s">
        <v>3594</v>
      </c>
      <c r="P3563" s="6">
        <v>0.35</v>
      </c>
      <c r="Q3563" s="11">
        <v>2.2999999999999998</v>
      </c>
      <c r="R3563" s="11"/>
      <c r="S3563" s="11"/>
      <c r="T3563" s="11"/>
      <c r="U3563" s="11">
        <f t="shared" si="1175"/>
        <v>2.2999999999999998</v>
      </c>
      <c r="W3563">
        <v>2.5</v>
      </c>
      <c r="X3563" s="1" t="s">
        <v>20</v>
      </c>
    </row>
    <row r="3564" spans="1:24" x14ac:dyDescent="0.25">
      <c r="A3564" s="1" t="str">
        <f t="shared" si="1176"/>
        <v>卡卡杜-凤凰仓</v>
      </c>
      <c r="B3564" s="1" t="str">
        <f>"CK20241022574"</f>
        <v>CK20241022574</v>
      </c>
      <c r="C3564" s="1" t="str">
        <f>"DD2024102256754"</f>
        <v>DD2024102256754</v>
      </c>
      <c r="D3564" s="1" t="str">
        <f>"CK2024102254702"</f>
        <v>CK2024102254702</v>
      </c>
      <c r="E3564" s="1" t="str">
        <f>"2429602322657306"</f>
        <v>2429602322657306</v>
      </c>
      <c r="F3564" s="1" t="str">
        <f t="shared" si="1177"/>
        <v>花都四部-凤凰仓</v>
      </c>
      <c r="G3564" s="1" t="str">
        <f t="shared" si="1180"/>
        <v>卡卡杜佳旺专卖店（快手店）</v>
      </c>
      <c r="H3564" s="1" t="str">
        <f t="shared" si="1178"/>
        <v>正常订单</v>
      </c>
      <c r="I3564" s="1" t="str">
        <f t="shared" si="1179"/>
        <v>已发货</v>
      </c>
      <c r="J3564" s="1" t="str">
        <f t="shared" si="1188"/>
        <v>3</v>
      </c>
      <c r="K3564" s="1">
        <v>2</v>
      </c>
      <c r="L3564" s="1" t="s">
        <v>41</v>
      </c>
      <c r="M3564" s="1" t="str">
        <f>"湖北省 省直辖县级行政区划 仙桃市 干河街道"</f>
        <v>湖北省 省直辖县级行政区划 仙桃市 干河街道</v>
      </c>
      <c r="N3564" s="1" t="str">
        <f t="shared" si="1181"/>
        <v>凡华云仓-城南圆通-快手</v>
      </c>
      <c r="O3564" s="5" t="s">
        <v>3595</v>
      </c>
      <c r="P3564" s="6">
        <v>0.35</v>
      </c>
      <c r="Q3564" s="11">
        <v>2.2999999999999998</v>
      </c>
      <c r="R3564" s="11"/>
      <c r="S3564" s="11"/>
      <c r="T3564" s="11"/>
      <c r="U3564" s="11">
        <f t="shared" si="1175"/>
        <v>2.2999999999999998</v>
      </c>
      <c r="W3564">
        <v>2.5</v>
      </c>
      <c r="X3564" s="1" t="s">
        <v>41</v>
      </c>
    </row>
    <row r="3565" spans="1:24" x14ac:dyDescent="0.25">
      <c r="A3565" s="1" t="str">
        <f t="shared" si="1176"/>
        <v>卡卡杜-凤凰仓</v>
      </c>
      <c r="B3565" s="1" t="str">
        <f>"CK20241022576"</f>
        <v>CK20241022576</v>
      </c>
      <c r="C3565" s="1" t="str">
        <f>"DD2024102256758"</f>
        <v>DD2024102256758</v>
      </c>
      <c r="D3565" s="1" t="str">
        <f>"CK2024102254701"</f>
        <v>CK2024102254701</v>
      </c>
      <c r="E3565" s="1" t="str">
        <f>"2429602485082562"</f>
        <v>2429602485082562</v>
      </c>
      <c r="F3565" s="1" t="str">
        <f t="shared" si="1177"/>
        <v>花都四部-凤凰仓</v>
      </c>
      <c r="G3565" s="1" t="str">
        <f t="shared" si="1180"/>
        <v>卡卡杜佳旺专卖店（快手店）</v>
      </c>
      <c r="H3565" s="1" t="str">
        <f t="shared" si="1178"/>
        <v>正常订单</v>
      </c>
      <c r="I3565" s="1" t="str">
        <f t="shared" si="1179"/>
        <v>已发货</v>
      </c>
      <c r="J3565" s="1" t="str">
        <f t="shared" si="1188"/>
        <v>3</v>
      </c>
      <c r="K3565" s="1">
        <v>2</v>
      </c>
      <c r="L3565" s="1" t="s">
        <v>18</v>
      </c>
      <c r="M3565" s="1" t="str">
        <f>"广东省 韶关市 浈江区 十里亭镇"</f>
        <v>广东省 韶关市 浈江区 十里亭镇</v>
      </c>
      <c r="N3565" s="1" t="str">
        <f t="shared" si="1181"/>
        <v>凡华云仓-城南圆通-快手</v>
      </c>
      <c r="O3565" s="5" t="s">
        <v>3596</v>
      </c>
      <c r="P3565" s="6">
        <v>0.35</v>
      </c>
      <c r="Q3565" s="11">
        <v>2.2999999999999998</v>
      </c>
      <c r="R3565" s="11"/>
      <c r="S3565" s="11"/>
      <c r="T3565" s="11"/>
      <c r="U3565" s="11">
        <f t="shared" si="1175"/>
        <v>2.2999999999999998</v>
      </c>
      <c r="W3565">
        <v>2.5</v>
      </c>
      <c r="X3565" s="1" t="s">
        <v>18</v>
      </c>
    </row>
    <row r="3566" spans="1:24" x14ac:dyDescent="0.25">
      <c r="A3566" s="1" t="str">
        <f t="shared" si="1176"/>
        <v>卡卡杜-凤凰仓</v>
      </c>
      <c r="B3566" s="1" t="str">
        <f>"CK20241022577"</f>
        <v>CK20241022577</v>
      </c>
      <c r="C3566" s="1" t="str">
        <f>"DD2024102256757"</f>
        <v>DD2024102256757</v>
      </c>
      <c r="D3566" s="1" t="str">
        <f>"CK2024102254700"</f>
        <v>CK2024102254700</v>
      </c>
      <c r="E3566" s="1" t="str">
        <f>"2429602405827539"</f>
        <v>2429602405827539</v>
      </c>
      <c r="F3566" s="1" t="str">
        <f t="shared" si="1177"/>
        <v>花都四部-凤凰仓</v>
      </c>
      <c r="G3566" s="1" t="str">
        <f t="shared" si="1180"/>
        <v>卡卡杜佳旺专卖店（快手店）</v>
      </c>
      <c r="H3566" s="1" t="str">
        <f t="shared" si="1178"/>
        <v>正常订单</v>
      </c>
      <c r="I3566" s="1" t="str">
        <f t="shared" si="1179"/>
        <v>已发货</v>
      </c>
      <c r="J3566" s="1" t="str">
        <f t="shared" si="1188"/>
        <v>3</v>
      </c>
      <c r="K3566" s="1">
        <v>2</v>
      </c>
      <c r="L3566" s="1" t="s">
        <v>20</v>
      </c>
      <c r="M3566" s="1" t="str">
        <f>"浙江省 绍兴市 越城区 沥海街道"</f>
        <v>浙江省 绍兴市 越城区 沥海街道</v>
      </c>
      <c r="N3566" s="1" t="str">
        <f t="shared" si="1181"/>
        <v>凡华云仓-城南圆通-快手</v>
      </c>
      <c r="O3566" s="5" t="s">
        <v>3597</v>
      </c>
      <c r="P3566" s="6">
        <v>0.35</v>
      </c>
      <c r="Q3566" s="11">
        <v>2.2999999999999998</v>
      </c>
      <c r="R3566" s="11"/>
      <c r="S3566" s="11"/>
      <c r="T3566" s="11"/>
      <c r="U3566" s="11">
        <f t="shared" si="1175"/>
        <v>2.2999999999999998</v>
      </c>
      <c r="W3566">
        <v>2.5</v>
      </c>
      <c r="X3566" s="1" t="s">
        <v>20</v>
      </c>
    </row>
    <row r="3567" spans="1:24" x14ac:dyDescent="0.25">
      <c r="A3567" s="1" t="str">
        <f t="shared" si="1176"/>
        <v>卡卡杜-凤凰仓</v>
      </c>
      <c r="B3567" s="1" t="str">
        <f>"CK20241022572"</f>
        <v>CK20241022572</v>
      </c>
      <c r="C3567" s="1" t="str">
        <f>"DD2024102256750"</f>
        <v>DD2024102256750</v>
      </c>
      <c r="D3567" s="1" t="str">
        <f>"CK2024102254699"</f>
        <v>CK2024102254699</v>
      </c>
      <c r="E3567" s="1" t="str">
        <f>"2429602326675668"</f>
        <v>2429602326675668</v>
      </c>
      <c r="F3567" s="1" t="str">
        <f t="shared" si="1177"/>
        <v>花都四部-凤凰仓</v>
      </c>
      <c r="G3567" s="1" t="str">
        <f t="shared" si="1180"/>
        <v>卡卡杜佳旺专卖店（快手店）</v>
      </c>
      <c r="H3567" s="1" t="str">
        <f t="shared" si="1178"/>
        <v>正常订单</v>
      </c>
      <c r="I3567" s="1" t="str">
        <f t="shared" si="1179"/>
        <v>已发货</v>
      </c>
      <c r="J3567" s="1" t="str">
        <f t="shared" si="1188"/>
        <v>3</v>
      </c>
      <c r="K3567" s="1">
        <v>2</v>
      </c>
      <c r="L3567" s="1" t="s">
        <v>92</v>
      </c>
      <c r="M3567" s="1" t="str">
        <f>"辽宁省 沈阳市 铁西区 凌空街道"</f>
        <v>辽宁省 沈阳市 铁西区 凌空街道</v>
      </c>
      <c r="N3567" s="1" t="str">
        <f t="shared" si="1181"/>
        <v>凡华云仓-城南圆通-快手</v>
      </c>
      <c r="O3567" s="5" t="s">
        <v>3598</v>
      </c>
      <c r="P3567" s="6">
        <v>0.35</v>
      </c>
      <c r="Q3567" s="11">
        <v>2.2999999999999998</v>
      </c>
      <c r="R3567" s="11"/>
      <c r="S3567" s="11"/>
      <c r="T3567" s="11"/>
      <c r="U3567" s="11">
        <f t="shared" si="1175"/>
        <v>2.2999999999999998</v>
      </c>
      <c r="W3567">
        <v>2.5</v>
      </c>
      <c r="X3567" s="1" t="s">
        <v>92</v>
      </c>
    </row>
    <row r="3568" spans="1:24" x14ac:dyDescent="0.25">
      <c r="A3568" s="1" t="str">
        <f t="shared" si="1176"/>
        <v>卡卡杜-凤凰仓</v>
      </c>
      <c r="B3568" s="1" t="str">
        <f>"CK20241022578"</f>
        <v>CK20241022578</v>
      </c>
      <c r="C3568" s="1" t="str">
        <f>"DD2024102256756"</f>
        <v>DD2024102256756</v>
      </c>
      <c r="D3568" s="1" t="str">
        <f>"CK2024102254698"</f>
        <v>CK2024102254698</v>
      </c>
      <c r="E3568" s="1" t="str">
        <f>"2429601772411240"</f>
        <v>2429601772411240</v>
      </c>
      <c r="F3568" s="1" t="str">
        <f t="shared" si="1177"/>
        <v>花都四部-凤凰仓</v>
      </c>
      <c r="G3568" s="1" t="str">
        <f t="shared" si="1180"/>
        <v>卡卡杜佳旺专卖店（快手店）</v>
      </c>
      <c r="H3568" s="1" t="str">
        <f t="shared" si="1178"/>
        <v>正常订单</v>
      </c>
      <c r="I3568" s="1" t="str">
        <f t="shared" si="1179"/>
        <v>已发货</v>
      </c>
      <c r="J3568" s="1" t="str">
        <f t="shared" si="1188"/>
        <v>3</v>
      </c>
      <c r="K3568" s="1">
        <v>2</v>
      </c>
      <c r="L3568" s="1" t="s">
        <v>54</v>
      </c>
      <c r="M3568" s="1" t="str">
        <f>"黑龙江省 伊春市 铁力市 铁力林业局"</f>
        <v>黑龙江省 伊春市 铁力市 铁力林业局</v>
      </c>
      <c r="N3568" s="1" t="str">
        <f t="shared" si="1181"/>
        <v>凡华云仓-城南圆通-快手</v>
      </c>
      <c r="O3568" s="5" t="s">
        <v>3599</v>
      </c>
      <c r="P3568" s="6">
        <v>0.35</v>
      </c>
      <c r="Q3568" s="11">
        <v>2.2999999999999998</v>
      </c>
      <c r="R3568" s="11"/>
      <c r="S3568" s="11"/>
      <c r="T3568" s="11"/>
      <c r="U3568" s="11">
        <f t="shared" si="1175"/>
        <v>2.2999999999999998</v>
      </c>
      <c r="W3568">
        <v>2.5</v>
      </c>
      <c r="X3568" s="1" t="s">
        <v>54</v>
      </c>
    </row>
    <row r="3569" spans="1:24" x14ac:dyDescent="0.25">
      <c r="A3569" s="1" t="str">
        <f t="shared" si="1176"/>
        <v>卡卡杜-凤凰仓</v>
      </c>
      <c r="B3569" s="1" t="str">
        <f>"CK20241022564"</f>
        <v>CK20241022564</v>
      </c>
      <c r="C3569" s="1" t="str">
        <f>"DD2024102256744"</f>
        <v>DD2024102256744</v>
      </c>
      <c r="D3569" s="1" t="str">
        <f>"CK2024102254697"</f>
        <v>CK2024102254697</v>
      </c>
      <c r="E3569" s="1" t="str">
        <f>"2429602326931105"</f>
        <v>2429602326931105</v>
      </c>
      <c r="F3569" s="1" t="str">
        <f t="shared" si="1177"/>
        <v>花都四部-凤凰仓</v>
      </c>
      <c r="G3569" s="1" t="str">
        <f t="shared" si="1180"/>
        <v>卡卡杜佳旺专卖店（快手店）</v>
      </c>
      <c r="H3569" s="1" t="str">
        <f t="shared" si="1178"/>
        <v>正常订单</v>
      </c>
      <c r="I3569" s="1" t="str">
        <f t="shared" si="1179"/>
        <v>已发货</v>
      </c>
      <c r="J3569" s="1" t="str">
        <f t="shared" si="1188"/>
        <v>3</v>
      </c>
      <c r="K3569" s="1">
        <v>2</v>
      </c>
      <c r="L3569" s="1" t="s">
        <v>30</v>
      </c>
      <c r="M3569" s="1" t="str">
        <f>"山东省 德州市 齐河县 祝阿镇"</f>
        <v>山东省 德州市 齐河县 祝阿镇</v>
      </c>
      <c r="N3569" s="1" t="str">
        <f t="shared" si="1181"/>
        <v>凡华云仓-城南圆通-快手</v>
      </c>
      <c r="O3569" s="5" t="s">
        <v>3600</v>
      </c>
      <c r="P3569" s="6">
        <v>0.35</v>
      </c>
      <c r="Q3569" s="11">
        <v>2.2999999999999998</v>
      </c>
      <c r="R3569" s="11"/>
      <c r="S3569" s="11"/>
      <c r="T3569" s="11"/>
      <c r="U3569" s="11">
        <f t="shared" si="1175"/>
        <v>2.2999999999999998</v>
      </c>
      <c r="W3569">
        <v>2.5</v>
      </c>
      <c r="X3569" s="1" t="s">
        <v>30</v>
      </c>
    </row>
    <row r="3570" spans="1:24" x14ac:dyDescent="0.25">
      <c r="A3570" s="1" t="str">
        <f t="shared" si="1176"/>
        <v>卡卡杜-凤凰仓</v>
      </c>
      <c r="B3570" s="1" t="str">
        <f>"CK20241022565"</f>
        <v>CK20241022565</v>
      </c>
      <c r="C3570" s="1" t="str">
        <f>"DD2024102256748"</f>
        <v>DD2024102256748</v>
      </c>
      <c r="D3570" s="1" t="str">
        <f>"CK2024102254696"</f>
        <v>CK2024102254696</v>
      </c>
      <c r="E3570" s="1" t="str">
        <f>"2429601685258262"</f>
        <v>2429601685258262</v>
      </c>
      <c r="F3570" s="1" t="str">
        <f t="shared" si="1177"/>
        <v>花都四部-凤凰仓</v>
      </c>
      <c r="G3570" s="1" t="str">
        <f t="shared" si="1180"/>
        <v>卡卡杜佳旺专卖店（快手店）</v>
      </c>
      <c r="H3570" s="1" t="str">
        <f t="shared" si="1178"/>
        <v>正常订单</v>
      </c>
      <c r="I3570" s="1" t="str">
        <f t="shared" si="1179"/>
        <v>已发货</v>
      </c>
      <c r="J3570" s="1" t="str">
        <f t="shared" si="1188"/>
        <v>3</v>
      </c>
      <c r="K3570" s="1">
        <v>2</v>
      </c>
      <c r="L3570" s="1" t="s">
        <v>92</v>
      </c>
      <c r="M3570" s="1" t="str">
        <f>"辽宁省 朝阳市 北票市 城关街道"</f>
        <v>辽宁省 朝阳市 北票市 城关街道</v>
      </c>
      <c r="N3570" s="1" t="str">
        <f t="shared" si="1181"/>
        <v>凡华云仓-城南圆通-快手</v>
      </c>
      <c r="O3570" s="5" t="s">
        <v>3601</v>
      </c>
      <c r="P3570" s="6">
        <v>0.35</v>
      </c>
      <c r="Q3570" s="11">
        <v>2.2999999999999998</v>
      </c>
      <c r="R3570" s="11"/>
      <c r="S3570" s="11"/>
      <c r="T3570" s="11"/>
      <c r="U3570" s="11">
        <f t="shared" si="1175"/>
        <v>2.2999999999999998</v>
      </c>
      <c r="W3570">
        <v>2.5</v>
      </c>
      <c r="X3570" s="1" t="s">
        <v>92</v>
      </c>
    </row>
    <row r="3571" spans="1:24" x14ac:dyDescent="0.25">
      <c r="A3571" s="1" t="str">
        <f t="shared" si="1176"/>
        <v>卡卡杜-凤凰仓</v>
      </c>
      <c r="B3571" s="1" t="str">
        <f>"CK202410221010"</f>
        <v>CK202410221010</v>
      </c>
      <c r="C3571" s="1" t="str">
        <f>"DD2024102259317"</f>
        <v>DD2024102259317</v>
      </c>
      <c r="D3571" s="1" t="str">
        <f>"CK2024102254695"</f>
        <v>CK2024102254695</v>
      </c>
      <c r="E3571" s="1" t="str">
        <f>"2429601684593696"</f>
        <v>2429601684593696</v>
      </c>
      <c r="F3571" s="1" t="str">
        <f t="shared" si="1177"/>
        <v>花都四部-凤凰仓</v>
      </c>
      <c r="G3571" s="1" t="str">
        <f t="shared" si="1180"/>
        <v>卡卡杜佳旺专卖店（快手店）</v>
      </c>
      <c r="H3571" s="1" t="str">
        <f t="shared" si="1178"/>
        <v>正常订单</v>
      </c>
      <c r="I3571" s="1" t="str">
        <f t="shared" si="1179"/>
        <v>已发货</v>
      </c>
      <c r="J3571" s="1" t="str">
        <f t="shared" si="1188"/>
        <v>3</v>
      </c>
      <c r="K3571" s="1">
        <v>2</v>
      </c>
      <c r="L3571" s="1" t="s">
        <v>20</v>
      </c>
      <c r="M3571" s="1" t="str">
        <f>"浙江省 宁波市 慈溪市 桥头镇"</f>
        <v>浙江省 宁波市 慈溪市 桥头镇</v>
      </c>
      <c r="N3571" s="1" t="str">
        <f t="shared" si="1181"/>
        <v>凡华云仓-城南圆通-快手</v>
      </c>
      <c r="O3571" s="5" t="s">
        <v>3602</v>
      </c>
      <c r="P3571" s="6">
        <v>0.35</v>
      </c>
      <c r="Q3571" s="11">
        <v>2.2999999999999998</v>
      </c>
      <c r="R3571" s="11"/>
      <c r="S3571" s="11"/>
      <c r="T3571" s="11"/>
      <c r="U3571" s="11">
        <f t="shared" si="1175"/>
        <v>2.2999999999999998</v>
      </c>
      <c r="W3571">
        <v>2.5</v>
      </c>
      <c r="X3571" s="1" t="s">
        <v>20</v>
      </c>
    </row>
    <row r="3572" spans="1:24" x14ac:dyDescent="0.25">
      <c r="A3572" s="1" t="str">
        <f t="shared" si="1176"/>
        <v>卡卡杜-凤凰仓</v>
      </c>
      <c r="B3572" s="1" t="str">
        <f>"CK20241022534"</f>
        <v>CK20241022534</v>
      </c>
      <c r="C3572" s="1" t="str">
        <f>"DD2024102256709"</f>
        <v>DD2024102256709</v>
      </c>
      <c r="D3572" s="1" t="str">
        <f>"CK2024102254694"</f>
        <v>CK2024102254694</v>
      </c>
      <c r="E3572" s="1" t="str">
        <f>"2429601844362768"</f>
        <v>2429601844362768</v>
      </c>
      <c r="F3572" s="1" t="str">
        <f t="shared" si="1177"/>
        <v>花都四部-凤凰仓</v>
      </c>
      <c r="G3572" s="1" t="str">
        <f t="shared" si="1180"/>
        <v>卡卡杜佳旺专卖店（快手店）</v>
      </c>
      <c r="H3572" s="1" t="str">
        <f t="shared" si="1178"/>
        <v>正常订单</v>
      </c>
      <c r="I3572" s="1" t="str">
        <f t="shared" si="1179"/>
        <v>已发货</v>
      </c>
      <c r="J3572" s="1" t="str">
        <f>"5"</f>
        <v>5</v>
      </c>
      <c r="K3572" s="1">
        <v>2</v>
      </c>
      <c r="L3572" s="1" t="s">
        <v>54</v>
      </c>
      <c r="M3572" s="1" t="str">
        <f>"黑龙江省 哈尔滨市 尚志市 尚志镇"</f>
        <v>黑龙江省 哈尔滨市 尚志市 尚志镇</v>
      </c>
      <c r="N3572" s="1" t="str">
        <f t="shared" si="1181"/>
        <v>凡华云仓-城南圆通-快手</v>
      </c>
      <c r="O3572" s="5" t="s">
        <v>3603</v>
      </c>
      <c r="P3572" s="6">
        <v>0.59</v>
      </c>
      <c r="Q3572" s="11">
        <f>CEILING(P3572-0.5,0.1)*10*0.15+2.3</f>
        <v>2.4499999999999997</v>
      </c>
      <c r="R3572" s="11"/>
      <c r="S3572" s="11"/>
      <c r="T3572" s="11"/>
      <c r="U3572" s="11">
        <f t="shared" si="1175"/>
        <v>2.4499999999999997</v>
      </c>
      <c r="V3572" t="s">
        <v>15</v>
      </c>
      <c r="W3572">
        <v>2.4500000000000002</v>
      </c>
      <c r="X3572" s="1" t="s">
        <v>54</v>
      </c>
    </row>
    <row r="3573" spans="1:24" x14ac:dyDescent="0.25">
      <c r="A3573" s="1" t="str">
        <f t="shared" si="1176"/>
        <v>卡卡杜-凤凰仓</v>
      </c>
      <c r="B3573" s="1" t="str">
        <f>"CK20241022533"</f>
        <v>CK20241022533</v>
      </c>
      <c r="C3573" s="1" t="str">
        <f>"DD2024102256712"</f>
        <v>DD2024102256712</v>
      </c>
      <c r="D3573" s="1" t="str">
        <f>"CK2024102254693"</f>
        <v>CK2024102254693</v>
      </c>
      <c r="E3573" s="1" t="str">
        <f>"2429601688472527"</f>
        <v>2429601688472527</v>
      </c>
      <c r="F3573" s="1" t="str">
        <f t="shared" si="1177"/>
        <v>花都四部-凤凰仓</v>
      </c>
      <c r="G3573" s="1" t="str">
        <f t="shared" si="1180"/>
        <v>卡卡杜佳旺专卖店（快手店）</v>
      </c>
      <c r="H3573" s="1" t="str">
        <f t="shared" si="1178"/>
        <v>正常订单</v>
      </c>
      <c r="I3573" s="1" t="str">
        <f t="shared" si="1179"/>
        <v>已发货</v>
      </c>
      <c r="J3573" s="1" t="str">
        <f>"5"</f>
        <v>5</v>
      </c>
      <c r="K3573" s="1">
        <v>2</v>
      </c>
      <c r="L3573" s="1" t="s">
        <v>94</v>
      </c>
      <c r="M3573" s="1" t="str">
        <f>"湖南省 衡阳市 珠晖区 和平乡"</f>
        <v>湖南省 衡阳市 珠晖区 和平乡</v>
      </c>
      <c r="N3573" s="1" t="str">
        <f t="shared" si="1181"/>
        <v>凡华云仓-城南圆通-快手</v>
      </c>
      <c r="O3573" s="5" t="s">
        <v>3604</v>
      </c>
      <c r="P3573" s="6">
        <v>0.59</v>
      </c>
      <c r="Q3573" s="11">
        <f>CEILING(P3573-0.5,0.1)*10*0.15+2.3</f>
        <v>2.4499999999999997</v>
      </c>
      <c r="R3573" s="11"/>
      <c r="S3573" s="11"/>
      <c r="T3573" s="11"/>
      <c r="U3573" s="11">
        <f t="shared" si="1175"/>
        <v>2.4499999999999997</v>
      </c>
      <c r="V3573" t="s">
        <v>15</v>
      </c>
      <c r="W3573">
        <v>2.4500000000000002</v>
      </c>
      <c r="X3573" s="1" t="s">
        <v>94</v>
      </c>
    </row>
    <row r="3574" spans="1:24" x14ac:dyDescent="0.25">
      <c r="A3574" s="1" t="str">
        <f t="shared" si="1176"/>
        <v>卡卡杜-凤凰仓</v>
      </c>
      <c r="B3574" s="1" t="str">
        <f>"CK20241022567"</f>
        <v>CK20241022567</v>
      </c>
      <c r="C3574" s="1" t="str">
        <f>"DD2024102256745"</f>
        <v>DD2024102256745</v>
      </c>
      <c r="D3574" s="1" t="str">
        <f>"CK2024102254692"</f>
        <v>CK2024102254692</v>
      </c>
      <c r="E3574" s="1" t="str">
        <f>"2429602006960401"</f>
        <v>2429602006960401</v>
      </c>
      <c r="F3574" s="1" t="str">
        <f t="shared" si="1177"/>
        <v>花都四部-凤凰仓</v>
      </c>
      <c r="G3574" s="1" t="str">
        <f t="shared" si="1180"/>
        <v>卡卡杜佳旺专卖店（快手店）</v>
      </c>
      <c r="H3574" s="1" t="str">
        <f t="shared" si="1178"/>
        <v>正常订单</v>
      </c>
      <c r="I3574" s="1" t="str">
        <f t="shared" si="1179"/>
        <v>已发货</v>
      </c>
      <c r="J3574" s="1" t="str">
        <f t="shared" ref="J3574:J3578" si="1189">"3"</f>
        <v>3</v>
      </c>
      <c r="K3574" s="1">
        <v>2</v>
      </c>
      <c r="L3574" s="1" t="s">
        <v>109</v>
      </c>
      <c r="M3574" s="1" t="str">
        <f>"山西省 晋城市 城区 西街街道"</f>
        <v>山西省 晋城市 城区 西街街道</v>
      </c>
      <c r="N3574" s="1" t="str">
        <f t="shared" si="1181"/>
        <v>凡华云仓-城南圆通-快手</v>
      </c>
      <c r="O3574" s="5" t="s">
        <v>3605</v>
      </c>
      <c r="P3574" s="6">
        <v>0.35</v>
      </c>
      <c r="Q3574" s="11">
        <v>2.2999999999999998</v>
      </c>
      <c r="R3574" s="11"/>
      <c r="S3574" s="11"/>
      <c r="T3574" s="11"/>
      <c r="U3574" s="11">
        <f t="shared" si="1175"/>
        <v>2.2999999999999998</v>
      </c>
      <c r="W3574">
        <v>2.5</v>
      </c>
      <c r="X3574" s="1" t="s">
        <v>109</v>
      </c>
    </row>
    <row r="3575" spans="1:24" x14ac:dyDescent="0.25">
      <c r="A3575" s="1" t="str">
        <f t="shared" si="1176"/>
        <v>卡卡杜-凤凰仓</v>
      </c>
      <c r="B3575" s="1" t="str">
        <f>"CK20241022568"</f>
        <v>CK20241022568</v>
      </c>
      <c r="C3575" s="1" t="str">
        <f>"DD2024102256746"</f>
        <v>DD2024102256746</v>
      </c>
      <c r="D3575" s="1" t="str">
        <f>"CK2024102254691"</f>
        <v>CK2024102254691</v>
      </c>
      <c r="E3575" s="1" t="str">
        <f>"2429602402738573"</f>
        <v>2429602402738573</v>
      </c>
      <c r="F3575" s="1" t="str">
        <f t="shared" si="1177"/>
        <v>花都四部-凤凰仓</v>
      </c>
      <c r="G3575" s="1" t="str">
        <f t="shared" si="1180"/>
        <v>卡卡杜佳旺专卖店（快手店）</v>
      </c>
      <c r="H3575" s="1" t="str">
        <f t="shared" si="1178"/>
        <v>正常订单</v>
      </c>
      <c r="I3575" s="1" t="str">
        <f t="shared" si="1179"/>
        <v>已发货</v>
      </c>
      <c r="J3575" s="1" t="str">
        <f t="shared" si="1189"/>
        <v>3</v>
      </c>
      <c r="K3575" s="1">
        <v>2</v>
      </c>
      <c r="L3575" s="1" t="s">
        <v>18</v>
      </c>
      <c r="M3575" s="1" t="str">
        <f>"广东省 深圳市 宝安区 福海街道"</f>
        <v>广东省 深圳市 宝安区 福海街道</v>
      </c>
      <c r="N3575" s="1" t="str">
        <f t="shared" si="1181"/>
        <v>凡华云仓-城南圆通-快手</v>
      </c>
      <c r="O3575" s="5" t="s">
        <v>3606</v>
      </c>
      <c r="P3575" s="6">
        <v>0.35</v>
      </c>
      <c r="Q3575" s="11">
        <v>2.2999999999999998</v>
      </c>
      <c r="R3575" s="11"/>
      <c r="S3575" s="11"/>
      <c r="T3575" s="11"/>
      <c r="U3575" s="11">
        <f t="shared" si="1175"/>
        <v>2.2999999999999998</v>
      </c>
      <c r="W3575">
        <v>2.5</v>
      </c>
      <c r="X3575" s="1" t="s">
        <v>18</v>
      </c>
    </row>
    <row r="3576" spans="1:24" x14ac:dyDescent="0.25">
      <c r="A3576" s="1" t="str">
        <f t="shared" si="1176"/>
        <v>卡卡杜-凤凰仓</v>
      </c>
      <c r="B3576" s="1" t="str">
        <f>"CK20241022569"</f>
        <v>CK20241022569</v>
      </c>
      <c r="C3576" s="1" t="str">
        <f>"DD2024102256751"</f>
        <v>DD2024102256751</v>
      </c>
      <c r="D3576" s="1" t="str">
        <f>"CK2024102254690"</f>
        <v>CK2024102254690</v>
      </c>
      <c r="E3576" s="1" t="str">
        <f>"2429601606235098"</f>
        <v>2429601606235098</v>
      </c>
      <c r="F3576" s="1" t="str">
        <f t="shared" si="1177"/>
        <v>花都四部-凤凰仓</v>
      </c>
      <c r="G3576" s="1" t="str">
        <f t="shared" si="1180"/>
        <v>卡卡杜佳旺专卖店（快手店）</v>
      </c>
      <c r="H3576" s="1" t="str">
        <f t="shared" si="1178"/>
        <v>正常订单</v>
      </c>
      <c r="I3576" s="1" t="str">
        <f t="shared" si="1179"/>
        <v>已发货</v>
      </c>
      <c r="J3576" s="1" t="str">
        <f t="shared" si="1189"/>
        <v>3</v>
      </c>
      <c r="K3576" s="1">
        <v>2</v>
      </c>
      <c r="L3576" s="1" t="s">
        <v>710</v>
      </c>
      <c r="M3576" s="1" t="str">
        <f>"上海市 上海市 嘉定区 菊园新区"</f>
        <v>上海市 上海市 嘉定区 菊园新区</v>
      </c>
      <c r="N3576" s="1" t="str">
        <f t="shared" si="1181"/>
        <v>凡华云仓-城南圆通-快手</v>
      </c>
      <c r="O3576" s="5" t="s">
        <v>3607</v>
      </c>
      <c r="P3576" s="6">
        <v>0.35</v>
      </c>
      <c r="Q3576" s="11">
        <v>2.2999999999999998</v>
      </c>
      <c r="R3576" s="11"/>
      <c r="S3576" s="11"/>
      <c r="T3576" s="11"/>
      <c r="U3576" s="11">
        <f t="shared" si="1175"/>
        <v>2.2999999999999998</v>
      </c>
      <c r="W3576">
        <v>2.5</v>
      </c>
      <c r="X3576" s="1" t="s">
        <v>710</v>
      </c>
    </row>
    <row r="3577" spans="1:24" x14ac:dyDescent="0.25">
      <c r="A3577" s="1" t="str">
        <f t="shared" si="1176"/>
        <v>卡卡杜-凤凰仓</v>
      </c>
      <c r="B3577" s="1" t="str">
        <f>"CK20241022563"</f>
        <v>CK20241022563</v>
      </c>
      <c r="C3577" s="1" t="str">
        <f>"DD2024102256743"</f>
        <v>DD2024102256743</v>
      </c>
      <c r="D3577" s="1" t="str">
        <f>"CK2024102254689"</f>
        <v>CK2024102254689</v>
      </c>
      <c r="E3577" s="1" t="str">
        <f>"2429601687009711"</f>
        <v>2429601687009711</v>
      </c>
      <c r="F3577" s="1" t="str">
        <f t="shared" si="1177"/>
        <v>花都四部-凤凰仓</v>
      </c>
      <c r="G3577" s="1" t="str">
        <f t="shared" si="1180"/>
        <v>卡卡杜佳旺专卖店（快手店）</v>
      </c>
      <c r="H3577" s="1" t="str">
        <f t="shared" si="1178"/>
        <v>正常订单</v>
      </c>
      <c r="I3577" s="1" t="str">
        <f t="shared" si="1179"/>
        <v>已发货</v>
      </c>
      <c r="J3577" s="1" t="str">
        <f t="shared" si="1189"/>
        <v>3</v>
      </c>
      <c r="K3577" s="1">
        <v>2</v>
      </c>
      <c r="L3577" s="1" t="s">
        <v>36</v>
      </c>
      <c r="M3577" s="1" t="str">
        <f>"安徽省 宿州市 灵璧县 向阳镇"</f>
        <v>安徽省 宿州市 灵璧县 向阳镇</v>
      </c>
      <c r="N3577" s="1" t="str">
        <f t="shared" si="1181"/>
        <v>凡华云仓-城南圆通-快手</v>
      </c>
      <c r="O3577" s="5" t="s">
        <v>3608</v>
      </c>
      <c r="P3577" s="6">
        <v>0.35</v>
      </c>
      <c r="Q3577" s="11">
        <v>2.2999999999999998</v>
      </c>
      <c r="R3577" s="11"/>
      <c r="S3577" s="11"/>
      <c r="T3577" s="11"/>
      <c r="U3577" s="11">
        <f t="shared" si="1175"/>
        <v>2.2999999999999998</v>
      </c>
      <c r="W3577">
        <v>2.5</v>
      </c>
      <c r="X3577" s="1" t="s">
        <v>36</v>
      </c>
    </row>
    <row r="3578" spans="1:24" x14ac:dyDescent="0.25">
      <c r="A3578" s="1" t="str">
        <f t="shared" si="1176"/>
        <v>卡卡杜-凤凰仓</v>
      </c>
      <c r="B3578" s="1" t="str">
        <f>"CK20241022566"</f>
        <v>CK20241022566</v>
      </c>
      <c r="C3578" s="1" t="str">
        <f>"DD2024102256747"</f>
        <v>DD2024102256747</v>
      </c>
      <c r="D3578" s="1" t="str">
        <f>"CK2024102254688"</f>
        <v>CK2024102254688</v>
      </c>
      <c r="E3578" s="1" t="str">
        <f>"2429602007722242"</f>
        <v>2429602007722242</v>
      </c>
      <c r="F3578" s="1" t="str">
        <f t="shared" si="1177"/>
        <v>花都四部-凤凰仓</v>
      </c>
      <c r="G3578" s="1" t="str">
        <f t="shared" si="1180"/>
        <v>卡卡杜佳旺专卖店（快手店）</v>
      </c>
      <c r="H3578" s="1" t="str">
        <f t="shared" si="1178"/>
        <v>正常订单</v>
      </c>
      <c r="I3578" s="1" t="str">
        <f t="shared" si="1179"/>
        <v>已发货</v>
      </c>
      <c r="J3578" s="1" t="str">
        <f t="shared" si="1189"/>
        <v>3</v>
      </c>
      <c r="K3578" s="1">
        <v>2</v>
      </c>
      <c r="L3578" s="1" t="s">
        <v>24</v>
      </c>
      <c r="M3578" s="1" t="str">
        <f>"福建省 宁德市 蕉城区 城南镇"</f>
        <v>福建省 宁德市 蕉城区 城南镇</v>
      </c>
      <c r="N3578" s="1" t="str">
        <f t="shared" si="1181"/>
        <v>凡华云仓-城南圆通-快手</v>
      </c>
      <c r="O3578" s="5" t="s">
        <v>3609</v>
      </c>
      <c r="P3578" s="6">
        <v>0.35</v>
      </c>
      <c r="Q3578" s="11">
        <v>2.2999999999999998</v>
      </c>
      <c r="R3578" s="11"/>
      <c r="S3578" s="11"/>
      <c r="T3578" s="11"/>
      <c r="U3578" s="11">
        <f t="shared" si="1175"/>
        <v>2.2999999999999998</v>
      </c>
      <c r="W3578">
        <v>2.5</v>
      </c>
      <c r="X3578" s="1" t="s">
        <v>24</v>
      </c>
    </row>
    <row r="3579" spans="1:24" x14ac:dyDescent="0.25">
      <c r="A3579" s="1" t="str">
        <f t="shared" si="1176"/>
        <v>卡卡杜-凤凰仓</v>
      </c>
      <c r="B3579" s="1" t="str">
        <f>"CK20241022538"</f>
        <v>CK20241022538</v>
      </c>
      <c r="C3579" s="1" t="str">
        <f>"DD2024102256715"</f>
        <v>DD2024102256715</v>
      </c>
      <c r="D3579" s="1" t="str">
        <f>"CK2024102254687"</f>
        <v>CK2024102254687</v>
      </c>
      <c r="E3579" s="1" t="str">
        <f>"2429602085138809"</f>
        <v>2429602085138809</v>
      </c>
      <c r="F3579" s="1" t="str">
        <f t="shared" si="1177"/>
        <v>花都四部-凤凰仓</v>
      </c>
      <c r="G3579" s="1" t="str">
        <f t="shared" si="1180"/>
        <v>卡卡杜佳旺专卖店（快手店）</v>
      </c>
      <c r="H3579" s="1" t="str">
        <f t="shared" si="1178"/>
        <v>正常订单</v>
      </c>
      <c r="I3579" s="1" t="str">
        <f t="shared" si="1179"/>
        <v>已发货</v>
      </c>
      <c r="J3579" s="1" t="str">
        <f>"5"</f>
        <v>5</v>
      </c>
      <c r="K3579" s="1">
        <v>2</v>
      </c>
      <c r="L3579" s="1" t="s">
        <v>20</v>
      </c>
      <c r="M3579" s="1" t="str">
        <f>"浙江省 杭州市 西湖区 古荡街道"</f>
        <v>浙江省 杭州市 西湖区 古荡街道</v>
      </c>
      <c r="N3579" s="1" t="str">
        <f t="shared" si="1181"/>
        <v>凡华云仓-城南圆通-快手</v>
      </c>
      <c r="O3579" s="5" t="s">
        <v>3610</v>
      </c>
      <c r="P3579" s="6">
        <v>0.59</v>
      </c>
      <c r="Q3579" s="11">
        <f>CEILING(P3579-0.5,0.1)*10*0.15+2.3</f>
        <v>2.4499999999999997</v>
      </c>
      <c r="R3579" s="11"/>
      <c r="S3579" s="11"/>
      <c r="T3579" s="11"/>
      <c r="U3579" s="11">
        <f t="shared" si="1175"/>
        <v>2.4499999999999997</v>
      </c>
      <c r="V3579" t="s">
        <v>15</v>
      </c>
      <c r="W3579">
        <v>2.4500000000000002</v>
      </c>
      <c r="X3579" s="1" t="s">
        <v>20</v>
      </c>
    </row>
    <row r="3580" spans="1:24" x14ac:dyDescent="0.25">
      <c r="A3580" s="1" t="str">
        <f t="shared" si="1176"/>
        <v>卡卡杜-凤凰仓</v>
      </c>
      <c r="B3580" s="1" t="str">
        <f>"CK20241022580"</f>
        <v>CK20241022580</v>
      </c>
      <c r="C3580" s="1" t="str">
        <f>"DD2024102256759"</f>
        <v>DD2024102256759</v>
      </c>
      <c r="D3580" s="1" t="str">
        <f>"CK2024102254686"</f>
        <v>CK2024102254686</v>
      </c>
      <c r="E3580" s="1" t="str">
        <f>"2429602321904485"</f>
        <v>2429602321904485</v>
      </c>
      <c r="F3580" s="1" t="str">
        <f t="shared" si="1177"/>
        <v>花都四部-凤凰仓</v>
      </c>
      <c r="G3580" s="1" t="str">
        <f t="shared" si="1180"/>
        <v>卡卡杜佳旺专卖店（快手店）</v>
      </c>
      <c r="H3580" s="1" t="str">
        <f t="shared" si="1178"/>
        <v>正常订单</v>
      </c>
      <c r="I3580" s="1" t="str">
        <f t="shared" si="1179"/>
        <v>已发货</v>
      </c>
      <c r="J3580" s="1" t="str">
        <f t="shared" ref="J3580:J3585" si="1190">"3"</f>
        <v>3</v>
      </c>
      <c r="K3580" s="1">
        <v>2</v>
      </c>
      <c r="L3580" s="1" t="s">
        <v>18</v>
      </c>
      <c r="M3580" s="1" t="str">
        <f>"广东省 惠州市 惠阳区 镇隆镇"</f>
        <v>广东省 惠州市 惠阳区 镇隆镇</v>
      </c>
      <c r="N3580" s="1" t="str">
        <f t="shared" si="1181"/>
        <v>凡华云仓-城南圆通-快手</v>
      </c>
      <c r="O3580" s="5" t="s">
        <v>3611</v>
      </c>
      <c r="P3580" s="6">
        <v>0.35</v>
      </c>
      <c r="Q3580" s="11">
        <v>2.2999999999999998</v>
      </c>
      <c r="R3580" s="11"/>
      <c r="S3580" s="11"/>
      <c r="T3580" s="11"/>
      <c r="U3580" s="11">
        <f t="shared" si="1175"/>
        <v>2.2999999999999998</v>
      </c>
      <c r="W3580">
        <v>2.5</v>
      </c>
      <c r="X3580" s="1" t="s">
        <v>18</v>
      </c>
    </row>
    <row r="3581" spans="1:24" x14ac:dyDescent="0.25">
      <c r="A3581" s="1" t="str">
        <f t="shared" si="1176"/>
        <v>卡卡杜-凤凰仓</v>
      </c>
      <c r="B3581" s="1" t="str">
        <f>"CK20241022585"</f>
        <v>CK20241022585</v>
      </c>
      <c r="C3581" s="1" t="str">
        <f>"DD2024102256765"</f>
        <v>DD2024102256765</v>
      </c>
      <c r="D3581" s="1" t="str">
        <f>"CK2024102254685"</f>
        <v>CK2024102254685</v>
      </c>
      <c r="E3581" s="1" t="str">
        <f>"2429602484274844"</f>
        <v>2429602484274844</v>
      </c>
      <c r="F3581" s="1" t="str">
        <f t="shared" si="1177"/>
        <v>花都四部-凤凰仓</v>
      </c>
      <c r="G3581" s="1" t="str">
        <f t="shared" si="1180"/>
        <v>卡卡杜佳旺专卖店（快手店）</v>
      </c>
      <c r="H3581" s="1" t="str">
        <f t="shared" si="1178"/>
        <v>正常订单</v>
      </c>
      <c r="I3581" s="1" t="str">
        <f t="shared" si="1179"/>
        <v>已发货</v>
      </c>
      <c r="J3581" s="1" t="str">
        <f t="shared" si="1190"/>
        <v>3</v>
      </c>
      <c r="K3581" s="1">
        <v>2</v>
      </c>
      <c r="L3581" s="1" t="s">
        <v>32</v>
      </c>
      <c r="M3581" s="1" t="str">
        <f>"陕西省 西安市 碑林区 张家村街道"</f>
        <v>陕西省 西安市 碑林区 张家村街道</v>
      </c>
      <c r="N3581" s="1" t="str">
        <f t="shared" si="1181"/>
        <v>凡华云仓-城南圆通-快手</v>
      </c>
      <c r="O3581" s="5" t="s">
        <v>3612</v>
      </c>
      <c r="P3581" s="6">
        <v>0.35</v>
      </c>
      <c r="Q3581" s="11">
        <v>2.2999999999999998</v>
      </c>
      <c r="R3581" s="11"/>
      <c r="S3581" s="11"/>
      <c r="T3581" s="11"/>
      <c r="U3581" s="11">
        <f t="shared" si="1175"/>
        <v>2.2999999999999998</v>
      </c>
      <c r="W3581">
        <v>2.5</v>
      </c>
      <c r="X3581" s="1" t="s">
        <v>32</v>
      </c>
    </row>
    <row r="3582" spans="1:24" x14ac:dyDescent="0.25">
      <c r="A3582" s="1" t="str">
        <f t="shared" si="1176"/>
        <v>卡卡杜-凤凰仓</v>
      </c>
      <c r="B3582" s="1" t="str">
        <f>"CK20241022544"</f>
        <v>CK20241022544</v>
      </c>
      <c r="C3582" s="1" t="str">
        <f>"DD2024102256721"</f>
        <v>DD2024102256721</v>
      </c>
      <c r="D3582" s="1" t="str">
        <f>"CK2024102254684"</f>
        <v>CK2024102254684</v>
      </c>
      <c r="E3582" s="1" t="str">
        <f>"2429601684153764"</f>
        <v>2429601684153764</v>
      </c>
      <c r="F3582" s="1" t="str">
        <f t="shared" si="1177"/>
        <v>花都四部-凤凰仓</v>
      </c>
      <c r="G3582" s="1" t="str">
        <f t="shared" si="1180"/>
        <v>卡卡杜佳旺专卖店（快手店）</v>
      </c>
      <c r="H3582" s="1" t="str">
        <f t="shared" si="1178"/>
        <v>正常订单</v>
      </c>
      <c r="I3582" s="1" t="str">
        <f t="shared" si="1179"/>
        <v>已发货</v>
      </c>
      <c r="J3582" s="1" t="str">
        <f>"5"</f>
        <v>5</v>
      </c>
      <c r="K3582" s="1">
        <v>2</v>
      </c>
      <c r="L3582" s="1" t="s">
        <v>22</v>
      </c>
      <c r="M3582" s="1" t="str">
        <f>"江西省 南昌市 进贤县 民和镇"</f>
        <v>江西省 南昌市 进贤县 民和镇</v>
      </c>
      <c r="N3582" s="1" t="str">
        <f t="shared" si="1181"/>
        <v>凡华云仓-城南圆通-快手</v>
      </c>
      <c r="O3582" s="5" t="s">
        <v>3613</v>
      </c>
      <c r="P3582" s="6">
        <v>0.59</v>
      </c>
      <c r="Q3582" s="11">
        <f>CEILING(P3582-0.5,0.1)*10*0.15+2.3</f>
        <v>2.4499999999999997</v>
      </c>
      <c r="R3582" s="11"/>
      <c r="S3582" s="11"/>
      <c r="T3582" s="11"/>
      <c r="U3582" s="11">
        <f t="shared" si="1175"/>
        <v>2.4499999999999997</v>
      </c>
      <c r="V3582" t="s">
        <v>15</v>
      </c>
      <c r="W3582">
        <v>2.4500000000000002</v>
      </c>
      <c r="X3582" s="1" t="s">
        <v>22</v>
      </c>
    </row>
    <row r="3583" spans="1:24" x14ac:dyDescent="0.25">
      <c r="A3583" s="1" t="str">
        <f t="shared" si="1176"/>
        <v>卡卡杜-凤凰仓</v>
      </c>
      <c r="B3583" s="1" t="str">
        <f>"CK20241022586"</f>
        <v>CK20241022586</v>
      </c>
      <c r="C3583" s="1" t="str">
        <f>"DD2024102256766"</f>
        <v>DD2024102256766</v>
      </c>
      <c r="D3583" s="1" t="str">
        <f>"CK2024102254683"</f>
        <v>CK2024102254683</v>
      </c>
      <c r="E3583" s="1" t="str">
        <f>"2429601764995909"</f>
        <v>2429601764995909</v>
      </c>
      <c r="F3583" s="1" t="str">
        <f t="shared" si="1177"/>
        <v>花都四部-凤凰仓</v>
      </c>
      <c r="G3583" s="1" t="str">
        <f t="shared" si="1180"/>
        <v>卡卡杜佳旺专卖店（快手店）</v>
      </c>
      <c r="H3583" s="1" t="str">
        <f t="shared" si="1178"/>
        <v>正常订单</v>
      </c>
      <c r="I3583" s="1" t="str">
        <f t="shared" si="1179"/>
        <v>已发货</v>
      </c>
      <c r="J3583" s="1" t="str">
        <f t="shared" si="1190"/>
        <v>3</v>
      </c>
      <c r="K3583" s="1">
        <v>2</v>
      </c>
      <c r="L3583" s="1" t="s">
        <v>54</v>
      </c>
      <c r="M3583" s="1" t="str">
        <f>"黑龙江省 哈尔滨市 延寿县 延寿镇"</f>
        <v>黑龙江省 哈尔滨市 延寿县 延寿镇</v>
      </c>
      <c r="N3583" s="1" t="str">
        <f t="shared" si="1181"/>
        <v>凡华云仓-城南圆通-快手</v>
      </c>
      <c r="O3583" s="5" t="s">
        <v>3614</v>
      </c>
      <c r="P3583" s="6">
        <v>0.35</v>
      </c>
      <c r="Q3583" s="11">
        <v>2.2999999999999998</v>
      </c>
      <c r="R3583" s="11"/>
      <c r="S3583" s="11"/>
      <c r="T3583" s="11"/>
      <c r="U3583" s="11">
        <f t="shared" si="1175"/>
        <v>2.2999999999999998</v>
      </c>
      <c r="W3583">
        <v>2.5</v>
      </c>
      <c r="X3583" s="1" t="s">
        <v>54</v>
      </c>
    </row>
    <row r="3584" spans="1:24" x14ac:dyDescent="0.25">
      <c r="A3584" s="1" t="str">
        <f t="shared" si="1176"/>
        <v>卡卡杜-凤凰仓</v>
      </c>
      <c r="B3584" s="1" t="str">
        <f>"CK20241022579"</f>
        <v>CK20241022579</v>
      </c>
      <c r="C3584" s="1" t="str">
        <f>"DD2024102256760"</f>
        <v>DD2024102256760</v>
      </c>
      <c r="D3584" s="1" t="str">
        <f>"CK2024102254682"</f>
        <v>CK2024102254682</v>
      </c>
      <c r="E3584" s="1" t="str">
        <f>"2429601605890509"</f>
        <v>2429601605890509</v>
      </c>
      <c r="F3584" s="1" t="str">
        <f t="shared" si="1177"/>
        <v>花都四部-凤凰仓</v>
      </c>
      <c r="G3584" s="1" t="str">
        <f t="shared" si="1180"/>
        <v>卡卡杜佳旺专卖店（快手店）</v>
      </c>
      <c r="H3584" s="1" t="str">
        <f t="shared" si="1178"/>
        <v>正常订单</v>
      </c>
      <c r="I3584" s="1" t="str">
        <f t="shared" si="1179"/>
        <v>已发货</v>
      </c>
      <c r="J3584" s="1" t="str">
        <f t="shared" si="1190"/>
        <v>3</v>
      </c>
      <c r="K3584" s="1">
        <v>2</v>
      </c>
      <c r="L3584" s="1" t="s">
        <v>18</v>
      </c>
      <c r="M3584" s="1" t="str">
        <f>"广东省 茂名市 茂南区 河西街道"</f>
        <v>广东省 茂名市 茂南区 河西街道</v>
      </c>
      <c r="N3584" s="1" t="str">
        <f t="shared" si="1181"/>
        <v>凡华云仓-城南圆通-快手</v>
      </c>
      <c r="O3584" s="5" t="s">
        <v>3615</v>
      </c>
      <c r="P3584" s="6">
        <v>0.35</v>
      </c>
      <c r="Q3584" s="11">
        <v>2.2999999999999998</v>
      </c>
      <c r="R3584" s="11"/>
      <c r="S3584" s="11"/>
      <c r="T3584" s="11"/>
      <c r="U3584" s="11">
        <f t="shared" si="1175"/>
        <v>2.2999999999999998</v>
      </c>
      <c r="W3584">
        <v>2.5</v>
      </c>
      <c r="X3584" s="1" t="s">
        <v>18</v>
      </c>
    </row>
    <row r="3585" spans="1:24" x14ac:dyDescent="0.25">
      <c r="A3585" s="1" t="str">
        <f t="shared" si="1176"/>
        <v>卡卡杜-凤凰仓</v>
      </c>
      <c r="B3585" s="1" t="str">
        <f>"CK20241022588"</f>
        <v>CK20241022588</v>
      </c>
      <c r="C3585" s="1" t="str">
        <f>"DD2024102256769"</f>
        <v>DD2024102256769</v>
      </c>
      <c r="D3585" s="1" t="str">
        <f>"CK2024102254681"</f>
        <v>CK2024102254681</v>
      </c>
      <c r="E3585" s="1" t="str">
        <f>"2429601844306338"</f>
        <v>2429601844306338</v>
      </c>
      <c r="F3585" s="1" t="str">
        <f t="shared" si="1177"/>
        <v>花都四部-凤凰仓</v>
      </c>
      <c r="G3585" s="1" t="str">
        <f t="shared" si="1180"/>
        <v>卡卡杜佳旺专卖店（快手店）</v>
      </c>
      <c r="H3585" s="1" t="str">
        <f t="shared" si="1178"/>
        <v>正常订单</v>
      </c>
      <c r="I3585" s="1" t="str">
        <f t="shared" si="1179"/>
        <v>已发货</v>
      </c>
      <c r="J3585" s="1" t="str">
        <f t="shared" si="1190"/>
        <v>3</v>
      </c>
      <c r="K3585" s="1">
        <v>2</v>
      </c>
      <c r="L3585" s="1" t="s">
        <v>24</v>
      </c>
      <c r="M3585" s="1" t="str">
        <f>"福建省 泉州市 安溪县 城厢镇"</f>
        <v>福建省 泉州市 安溪县 城厢镇</v>
      </c>
      <c r="N3585" s="1" t="str">
        <f t="shared" si="1181"/>
        <v>凡华云仓-城南圆通-快手</v>
      </c>
      <c r="O3585" s="5" t="s">
        <v>3616</v>
      </c>
      <c r="P3585" s="6">
        <v>0.35</v>
      </c>
      <c r="Q3585" s="11">
        <v>2.2999999999999998</v>
      </c>
      <c r="R3585" s="11"/>
      <c r="S3585" s="11"/>
      <c r="T3585" s="11"/>
      <c r="U3585" s="11">
        <f t="shared" si="1175"/>
        <v>2.2999999999999998</v>
      </c>
      <c r="W3585">
        <v>2.5</v>
      </c>
      <c r="X3585" s="1" t="s">
        <v>24</v>
      </c>
    </row>
    <row r="3586" spans="1:24" x14ac:dyDescent="0.25">
      <c r="A3586" s="1" t="str">
        <f t="shared" si="1176"/>
        <v>卡卡杜-凤凰仓</v>
      </c>
      <c r="B3586" s="1" t="str">
        <f>"CK20241022546"</f>
        <v>CK20241022546</v>
      </c>
      <c r="C3586" s="1" t="str">
        <f>"DD2024102256722"</f>
        <v>DD2024102256722</v>
      </c>
      <c r="D3586" s="1" t="str">
        <f>"CK2024102254680"</f>
        <v>CK2024102254680</v>
      </c>
      <c r="E3586" s="1" t="str">
        <f>"2429602008057857"</f>
        <v>2429602008057857</v>
      </c>
      <c r="F3586" s="1" t="str">
        <f t="shared" si="1177"/>
        <v>花都四部-凤凰仓</v>
      </c>
      <c r="G3586" s="1" t="str">
        <f t="shared" si="1180"/>
        <v>卡卡杜佳旺专卖店（快手店）</v>
      </c>
      <c r="H3586" s="1" t="str">
        <f t="shared" si="1178"/>
        <v>正常订单</v>
      </c>
      <c r="I3586" s="1" t="str">
        <f t="shared" si="1179"/>
        <v>已发货</v>
      </c>
      <c r="J3586" s="1" t="str">
        <f t="shared" ref="J3586:J3591" si="1191">"5"</f>
        <v>5</v>
      </c>
      <c r="K3586" s="1">
        <v>2</v>
      </c>
      <c r="L3586" s="1" t="s">
        <v>41</v>
      </c>
      <c r="M3586" s="1" t="str">
        <f>"湖北省 黄冈市 麻城市 白果镇"</f>
        <v>湖北省 黄冈市 麻城市 白果镇</v>
      </c>
      <c r="N3586" s="1" t="str">
        <f t="shared" si="1181"/>
        <v>凡华云仓-城南圆通-快手</v>
      </c>
      <c r="O3586" s="5" t="s">
        <v>3617</v>
      </c>
      <c r="P3586" s="6">
        <v>0.59</v>
      </c>
      <c r="Q3586" s="11">
        <f t="shared" ref="Q3586:Q3591" si="1192">CEILING(P3586-0.5,0.1)*10*0.15+2.3</f>
        <v>2.4499999999999997</v>
      </c>
      <c r="R3586" s="11"/>
      <c r="S3586" s="11"/>
      <c r="T3586" s="11"/>
      <c r="U3586" s="11">
        <f t="shared" si="1175"/>
        <v>2.4499999999999997</v>
      </c>
      <c r="V3586" t="s">
        <v>15</v>
      </c>
      <c r="W3586">
        <v>2.4500000000000002</v>
      </c>
      <c r="X3586" s="1" t="s">
        <v>41</v>
      </c>
    </row>
    <row r="3587" spans="1:24" x14ac:dyDescent="0.25">
      <c r="A3587" s="1" t="str">
        <f t="shared" si="1176"/>
        <v>卡卡杜-凤凰仓</v>
      </c>
      <c r="B3587" s="1" t="str">
        <f>"CK20241022589"</f>
        <v>CK20241022589</v>
      </c>
      <c r="C3587" s="1" t="str">
        <f>"DD2024102256768"</f>
        <v>DD2024102256768</v>
      </c>
      <c r="D3587" s="1" t="str">
        <f>"CK2024102254679"</f>
        <v>CK2024102254679</v>
      </c>
      <c r="E3587" s="1" t="str">
        <f>"2429601843489034"</f>
        <v>2429601843489034</v>
      </c>
      <c r="F3587" s="1" t="str">
        <f t="shared" si="1177"/>
        <v>花都四部-凤凰仓</v>
      </c>
      <c r="G3587" s="1" t="str">
        <f t="shared" si="1180"/>
        <v>卡卡杜佳旺专卖店（快手店）</v>
      </c>
      <c r="H3587" s="1" t="str">
        <f t="shared" si="1178"/>
        <v>正常订单</v>
      </c>
      <c r="I3587" s="1" t="str">
        <f t="shared" si="1179"/>
        <v>已发货</v>
      </c>
      <c r="J3587" s="1" t="str">
        <f t="shared" ref="J3587:J3590" si="1193">"3"</f>
        <v>3</v>
      </c>
      <c r="K3587" s="1">
        <v>2</v>
      </c>
      <c r="L3587" s="1" t="s">
        <v>20</v>
      </c>
      <c r="M3587" s="1" t="str">
        <f>"浙江省 温州市 瓯海区 梧田街道"</f>
        <v>浙江省 温州市 瓯海区 梧田街道</v>
      </c>
      <c r="N3587" s="1" t="str">
        <f t="shared" si="1181"/>
        <v>凡华云仓-城南圆通-快手</v>
      </c>
      <c r="O3587" s="5" t="s">
        <v>3618</v>
      </c>
      <c r="P3587" s="6">
        <v>0.35</v>
      </c>
      <c r="Q3587" s="11">
        <v>2.2999999999999998</v>
      </c>
      <c r="R3587" s="11"/>
      <c r="S3587" s="11"/>
      <c r="T3587" s="11"/>
      <c r="U3587" s="11">
        <f t="shared" ref="U3587:U3650" si="1194">T3587+S3587+R3587+Q3587</f>
        <v>2.2999999999999998</v>
      </c>
      <c r="W3587">
        <v>2.5</v>
      </c>
      <c r="X3587" s="1" t="s">
        <v>20</v>
      </c>
    </row>
    <row r="3588" spans="1:24" x14ac:dyDescent="0.25">
      <c r="A3588" s="1" t="str">
        <f t="shared" si="1176"/>
        <v>卡卡杜-凤凰仓</v>
      </c>
      <c r="B3588" s="1" t="str">
        <f>"CK20241022543"</f>
        <v>CK20241022543</v>
      </c>
      <c r="C3588" s="1" t="str">
        <f>"DD2024102256720"</f>
        <v>DD2024102256720</v>
      </c>
      <c r="D3588" s="1" t="str">
        <f>"CK2024102254678"</f>
        <v>CK2024102254678</v>
      </c>
      <c r="E3588" s="1" t="str">
        <f>"2429601605881081"</f>
        <v>2429601605881081</v>
      </c>
      <c r="F3588" s="1" t="str">
        <f t="shared" si="1177"/>
        <v>花都四部-凤凰仓</v>
      </c>
      <c r="G3588" s="1" t="str">
        <f t="shared" si="1180"/>
        <v>卡卡杜佳旺专卖店（快手店）</v>
      </c>
      <c r="H3588" s="1" t="str">
        <f t="shared" si="1178"/>
        <v>正常订单</v>
      </c>
      <c r="I3588" s="1" t="str">
        <f t="shared" si="1179"/>
        <v>已发货</v>
      </c>
      <c r="J3588" s="1" t="str">
        <f t="shared" si="1191"/>
        <v>5</v>
      </c>
      <c r="K3588" s="1">
        <v>2</v>
      </c>
      <c r="L3588" s="1" t="s">
        <v>20</v>
      </c>
      <c r="M3588" s="1" t="str">
        <f>"浙江省 舟山市 定海区 城东街道"</f>
        <v>浙江省 舟山市 定海区 城东街道</v>
      </c>
      <c r="N3588" s="1" t="str">
        <f t="shared" si="1181"/>
        <v>凡华云仓-城南圆通-快手</v>
      </c>
      <c r="O3588" s="5" t="s">
        <v>3619</v>
      </c>
      <c r="P3588" s="6">
        <v>0.59</v>
      </c>
      <c r="Q3588" s="11">
        <f t="shared" si="1192"/>
        <v>2.4499999999999997</v>
      </c>
      <c r="R3588" s="11"/>
      <c r="S3588" s="11"/>
      <c r="T3588" s="11"/>
      <c r="U3588" s="11">
        <f t="shared" si="1194"/>
        <v>2.4499999999999997</v>
      </c>
      <c r="V3588" t="s">
        <v>15</v>
      </c>
      <c r="W3588">
        <v>2.4500000000000002</v>
      </c>
      <c r="X3588" s="1" t="s">
        <v>20</v>
      </c>
    </row>
    <row r="3589" spans="1:24" x14ac:dyDescent="0.25">
      <c r="A3589" s="1" t="str">
        <f t="shared" ref="A3589:A3652" si="1195">"卡卡杜-凤凰仓"</f>
        <v>卡卡杜-凤凰仓</v>
      </c>
      <c r="B3589" s="1" t="str">
        <f>"CK20241022587"</f>
        <v>CK20241022587</v>
      </c>
      <c r="C3589" s="1" t="str">
        <f>"DD2024102256767"</f>
        <v>DD2024102256767</v>
      </c>
      <c r="D3589" s="1" t="str">
        <f>"CK2024102254677"</f>
        <v>CK2024102254677</v>
      </c>
      <c r="E3589" s="1" t="str">
        <f>"2429601844953787"</f>
        <v>2429601844953787</v>
      </c>
      <c r="F3589" s="1" t="str">
        <f t="shared" ref="F3589:F3652" si="1196">"花都四部-凤凰仓"</f>
        <v>花都四部-凤凰仓</v>
      </c>
      <c r="G3589" s="1" t="str">
        <f t="shared" si="1180"/>
        <v>卡卡杜佳旺专卖店（快手店）</v>
      </c>
      <c r="H3589" s="1" t="str">
        <f t="shared" ref="H3589:H3652" si="1197">"正常订单"</f>
        <v>正常订单</v>
      </c>
      <c r="I3589" s="1" t="str">
        <f t="shared" ref="I3589:I3652" si="1198">"已发货"</f>
        <v>已发货</v>
      </c>
      <c r="J3589" s="1" t="str">
        <f t="shared" si="1193"/>
        <v>3</v>
      </c>
      <c r="K3589" s="1">
        <v>2</v>
      </c>
      <c r="L3589" s="1" t="s">
        <v>18</v>
      </c>
      <c r="M3589" s="1" t="str">
        <f>"广东省 深圳市 龙华区 福城街道"</f>
        <v>广东省 深圳市 龙华区 福城街道</v>
      </c>
      <c r="N3589" s="1" t="str">
        <f t="shared" si="1181"/>
        <v>凡华云仓-城南圆通-快手</v>
      </c>
      <c r="O3589" s="5" t="s">
        <v>3620</v>
      </c>
      <c r="P3589" s="6">
        <v>0.35</v>
      </c>
      <c r="Q3589" s="11">
        <v>2.2999999999999998</v>
      </c>
      <c r="R3589" s="11"/>
      <c r="S3589" s="11"/>
      <c r="T3589" s="11"/>
      <c r="U3589" s="11">
        <f t="shared" si="1194"/>
        <v>2.2999999999999998</v>
      </c>
      <c r="W3589">
        <v>2.5</v>
      </c>
      <c r="X3589" s="1" t="s">
        <v>18</v>
      </c>
    </row>
    <row r="3590" spans="1:24" x14ac:dyDescent="0.25">
      <c r="A3590" s="1" t="str">
        <f t="shared" si="1195"/>
        <v>卡卡杜-凤凰仓</v>
      </c>
      <c r="B3590" s="1" t="str">
        <f>"CK20241022584"</f>
        <v>CK20241022584</v>
      </c>
      <c r="C3590" s="1" t="str">
        <f>"DD2024102256764"</f>
        <v>DD2024102256764</v>
      </c>
      <c r="D3590" s="1" t="str">
        <f>"CK2024102254676"</f>
        <v>CK2024102254676</v>
      </c>
      <c r="E3590" s="1" t="str">
        <f>"2429602245888954"</f>
        <v>2429602245888954</v>
      </c>
      <c r="F3590" s="1" t="str">
        <f t="shared" si="1196"/>
        <v>花都四部-凤凰仓</v>
      </c>
      <c r="G3590" s="1" t="str">
        <f t="shared" si="1180"/>
        <v>卡卡杜佳旺专卖店（快手店）</v>
      </c>
      <c r="H3590" s="1" t="str">
        <f t="shared" si="1197"/>
        <v>正常订单</v>
      </c>
      <c r="I3590" s="1" t="str">
        <f t="shared" si="1198"/>
        <v>已发货</v>
      </c>
      <c r="J3590" s="1" t="str">
        <f t="shared" si="1193"/>
        <v>3</v>
      </c>
      <c r="K3590" s="1">
        <v>2</v>
      </c>
      <c r="L3590" s="1" t="s">
        <v>13</v>
      </c>
      <c r="M3590" s="1" t="str">
        <f>"江苏省 苏州市 张家港市 大新镇"</f>
        <v>江苏省 苏州市 张家港市 大新镇</v>
      </c>
      <c r="N3590" s="1" t="str">
        <f t="shared" si="1181"/>
        <v>凡华云仓-城南圆通-快手</v>
      </c>
      <c r="O3590" s="5" t="s">
        <v>3621</v>
      </c>
      <c r="P3590" s="6">
        <v>0.35</v>
      </c>
      <c r="Q3590" s="11">
        <v>2.2999999999999998</v>
      </c>
      <c r="R3590" s="11"/>
      <c r="S3590" s="11"/>
      <c r="T3590" s="11"/>
      <c r="U3590" s="11">
        <f t="shared" si="1194"/>
        <v>2.2999999999999998</v>
      </c>
      <c r="W3590">
        <v>2.5</v>
      </c>
      <c r="X3590" s="1" t="s">
        <v>13</v>
      </c>
    </row>
    <row r="3591" spans="1:24" x14ac:dyDescent="0.25">
      <c r="A3591" s="1" t="str">
        <f t="shared" si="1195"/>
        <v>卡卡杜-凤凰仓</v>
      </c>
      <c r="B3591" s="1" t="str">
        <f>"CK20241022532"</f>
        <v>CK20241022532</v>
      </c>
      <c r="C3591" s="1" t="str">
        <f>"DD2024102256711"</f>
        <v>DD2024102256711</v>
      </c>
      <c r="D3591" s="1" t="str">
        <f>"CK2024102254675"</f>
        <v>CK2024102254675</v>
      </c>
      <c r="E3591" s="1" t="str">
        <f>"2429602088377673"</f>
        <v>2429602088377673</v>
      </c>
      <c r="F3591" s="1" t="str">
        <f t="shared" si="1196"/>
        <v>花都四部-凤凰仓</v>
      </c>
      <c r="G3591" s="1" t="str">
        <f t="shared" si="1180"/>
        <v>卡卡杜佳旺专卖店（快手店）</v>
      </c>
      <c r="H3591" s="1" t="str">
        <f t="shared" si="1197"/>
        <v>正常订单</v>
      </c>
      <c r="I3591" s="1" t="str">
        <f t="shared" si="1198"/>
        <v>已发货</v>
      </c>
      <c r="J3591" s="1" t="str">
        <f t="shared" si="1191"/>
        <v>5</v>
      </c>
      <c r="K3591" s="1">
        <v>2</v>
      </c>
      <c r="L3591" s="1" t="s">
        <v>710</v>
      </c>
      <c r="M3591" s="1" t="str">
        <f>"上海市 上海市 嘉定区 徐行镇"</f>
        <v>上海市 上海市 嘉定区 徐行镇</v>
      </c>
      <c r="N3591" s="1" t="str">
        <f t="shared" si="1181"/>
        <v>凡华云仓-城南圆通-快手</v>
      </c>
      <c r="O3591" s="5" t="s">
        <v>3622</v>
      </c>
      <c r="P3591" s="6">
        <v>0.59</v>
      </c>
      <c r="Q3591" s="11">
        <f t="shared" si="1192"/>
        <v>2.4499999999999997</v>
      </c>
      <c r="R3591" s="11"/>
      <c r="S3591" s="11"/>
      <c r="T3591" s="11"/>
      <c r="U3591" s="11">
        <f t="shared" si="1194"/>
        <v>2.4499999999999997</v>
      </c>
      <c r="V3591" t="s">
        <v>15</v>
      </c>
      <c r="W3591">
        <v>2.4500000000000002</v>
      </c>
      <c r="X3591" s="1" t="s">
        <v>710</v>
      </c>
    </row>
    <row r="3592" spans="1:24" x14ac:dyDescent="0.25">
      <c r="A3592" s="1" t="str">
        <f t="shared" si="1195"/>
        <v>卡卡杜-凤凰仓</v>
      </c>
      <c r="B3592" s="1" t="str">
        <f>"CK20241022582"</f>
        <v>CK20241022582</v>
      </c>
      <c r="C3592" s="1" t="str">
        <f>"DD2024102256762"</f>
        <v>DD2024102256762</v>
      </c>
      <c r="D3592" s="1" t="str">
        <f>"CK2024102254674"</f>
        <v>CK2024102254674</v>
      </c>
      <c r="E3592" s="1" t="str">
        <f>"2429601926032236"</f>
        <v>2429601926032236</v>
      </c>
      <c r="F3592" s="1" t="str">
        <f t="shared" si="1196"/>
        <v>花都四部-凤凰仓</v>
      </c>
      <c r="G3592" s="1" t="str">
        <f t="shared" si="1180"/>
        <v>卡卡杜佳旺专卖店（快手店）</v>
      </c>
      <c r="H3592" s="1" t="str">
        <f t="shared" si="1197"/>
        <v>正常订单</v>
      </c>
      <c r="I3592" s="1" t="str">
        <f t="shared" si="1198"/>
        <v>已发货</v>
      </c>
      <c r="J3592" s="1" t="str">
        <f t="shared" ref="J3592:J3596" si="1199">"3"</f>
        <v>3</v>
      </c>
      <c r="K3592" s="1">
        <v>2</v>
      </c>
      <c r="L3592" s="1" t="s">
        <v>13</v>
      </c>
      <c r="M3592" s="1" t="str">
        <f>"江苏省 南通市 海门区 三星镇（叠石桥家纺产业园区）"</f>
        <v>江苏省 南通市 海门区 三星镇（叠石桥家纺产业园区）</v>
      </c>
      <c r="N3592" s="1" t="str">
        <f t="shared" si="1181"/>
        <v>凡华云仓-城南圆通-快手</v>
      </c>
      <c r="O3592" s="5" t="s">
        <v>3623</v>
      </c>
      <c r="P3592" s="6">
        <v>0.35</v>
      </c>
      <c r="Q3592" s="11">
        <v>2.2999999999999998</v>
      </c>
      <c r="R3592" s="11"/>
      <c r="S3592" s="11"/>
      <c r="T3592" s="11"/>
      <c r="U3592" s="11">
        <f t="shared" si="1194"/>
        <v>2.2999999999999998</v>
      </c>
      <c r="W3592">
        <v>2.5</v>
      </c>
      <c r="X3592" s="1" t="s">
        <v>13</v>
      </c>
    </row>
    <row r="3593" spans="1:24" x14ac:dyDescent="0.25">
      <c r="A3593" s="1" t="str">
        <f t="shared" si="1195"/>
        <v>卡卡杜-凤凰仓</v>
      </c>
      <c r="B3593" s="1" t="str">
        <f>"CK20241022539"</f>
        <v>CK20241022539</v>
      </c>
      <c r="C3593" s="1" t="str">
        <f>"DD2024102256716"</f>
        <v>DD2024102256716</v>
      </c>
      <c r="D3593" s="1" t="str">
        <f>"CK2024102254673"</f>
        <v>CK2024102254673</v>
      </c>
      <c r="E3593" s="1" t="str">
        <f>"2429602403306445"</f>
        <v>2429602403306445</v>
      </c>
      <c r="F3593" s="1" t="str">
        <f t="shared" si="1196"/>
        <v>花都四部-凤凰仓</v>
      </c>
      <c r="G3593" s="1" t="str">
        <f t="shared" si="1180"/>
        <v>卡卡杜佳旺专卖店（快手店）</v>
      </c>
      <c r="H3593" s="1" t="str">
        <f t="shared" si="1197"/>
        <v>正常订单</v>
      </c>
      <c r="I3593" s="1" t="str">
        <f t="shared" si="1198"/>
        <v>已发货</v>
      </c>
      <c r="J3593" s="1" t="str">
        <f t="shared" ref="J3593:J3597" si="1200">"5"</f>
        <v>5</v>
      </c>
      <c r="K3593" s="1">
        <v>2</v>
      </c>
      <c r="L3593" s="1" t="s">
        <v>18</v>
      </c>
      <c r="M3593" s="1" t="str">
        <f>"广东省 梅州市 梅县区 程江镇"</f>
        <v>广东省 梅州市 梅县区 程江镇</v>
      </c>
      <c r="N3593" s="1" t="str">
        <f t="shared" si="1181"/>
        <v>凡华云仓-城南圆通-快手</v>
      </c>
      <c r="O3593" s="5" t="s">
        <v>3624</v>
      </c>
      <c r="P3593" s="6">
        <v>0.59</v>
      </c>
      <c r="Q3593" s="11">
        <f t="shared" ref="Q3593:Q3597" si="1201">CEILING(P3593-0.5,0.1)*10*0.15+2.3</f>
        <v>2.4499999999999997</v>
      </c>
      <c r="R3593" s="11"/>
      <c r="S3593" s="11"/>
      <c r="T3593" s="11"/>
      <c r="U3593" s="11">
        <f t="shared" si="1194"/>
        <v>2.4499999999999997</v>
      </c>
      <c r="V3593" t="s">
        <v>15</v>
      </c>
      <c r="W3593">
        <v>2.4500000000000002</v>
      </c>
      <c r="X3593" s="1" t="s">
        <v>18</v>
      </c>
    </row>
    <row r="3594" spans="1:24" x14ac:dyDescent="0.25">
      <c r="A3594" s="1" t="str">
        <f t="shared" si="1195"/>
        <v>卡卡杜-凤凰仓</v>
      </c>
      <c r="B3594" s="1" t="str">
        <f>"CK20241022583"</f>
        <v>CK20241022583</v>
      </c>
      <c r="C3594" s="1" t="str">
        <f>"DD2024102256763"</f>
        <v>DD2024102256763</v>
      </c>
      <c r="D3594" s="1" t="str">
        <f>"CK2024102254672"</f>
        <v>CK2024102254672</v>
      </c>
      <c r="E3594" s="1" t="str">
        <f>"2429602008264691"</f>
        <v>2429602008264691</v>
      </c>
      <c r="F3594" s="1" t="str">
        <f t="shared" si="1196"/>
        <v>花都四部-凤凰仓</v>
      </c>
      <c r="G3594" s="1" t="str">
        <f t="shared" si="1180"/>
        <v>卡卡杜佳旺专卖店（快手店）</v>
      </c>
      <c r="H3594" s="1" t="str">
        <f t="shared" si="1197"/>
        <v>正常订单</v>
      </c>
      <c r="I3594" s="1" t="str">
        <f t="shared" si="1198"/>
        <v>已发货</v>
      </c>
      <c r="J3594" s="1" t="str">
        <f t="shared" si="1199"/>
        <v>3</v>
      </c>
      <c r="K3594" s="1">
        <v>2</v>
      </c>
      <c r="L3594" s="1" t="s">
        <v>52</v>
      </c>
      <c r="M3594" s="1" t="str">
        <f>"甘肃省 白银市 景泰县 一条山镇"</f>
        <v>甘肃省 白银市 景泰县 一条山镇</v>
      </c>
      <c r="N3594" s="1" t="str">
        <f t="shared" si="1181"/>
        <v>凡华云仓-城南圆通-快手</v>
      </c>
      <c r="O3594" s="5" t="s">
        <v>3625</v>
      </c>
      <c r="P3594" s="6">
        <v>0.35</v>
      </c>
      <c r="Q3594" s="11">
        <v>2.2999999999999998</v>
      </c>
      <c r="R3594" s="11"/>
      <c r="S3594" s="11"/>
      <c r="T3594" s="11"/>
      <c r="U3594" s="11">
        <f t="shared" si="1194"/>
        <v>2.2999999999999998</v>
      </c>
      <c r="W3594">
        <v>2.5</v>
      </c>
      <c r="X3594" s="1" t="s">
        <v>52</v>
      </c>
    </row>
    <row r="3595" spans="1:24" x14ac:dyDescent="0.25">
      <c r="A3595" s="1" t="str">
        <f t="shared" si="1195"/>
        <v>卡卡杜-凤凰仓</v>
      </c>
      <c r="B3595" s="1" t="str">
        <f>"CK20241022540"</f>
        <v>CK20241022540</v>
      </c>
      <c r="C3595" s="1" t="str">
        <f>"DD2024102256717"</f>
        <v>DD2024102256717</v>
      </c>
      <c r="D3595" s="1" t="str">
        <f>"CK2024102254671"</f>
        <v>CK2024102254671</v>
      </c>
      <c r="E3595" s="1" t="str">
        <f>"2429601609011815"</f>
        <v>2429601609011815</v>
      </c>
      <c r="F3595" s="1" t="str">
        <f t="shared" si="1196"/>
        <v>花都四部-凤凰仓</v>
      </c>
      <c r="G3595" s="1" t="str">
        <f t="shared" si="1180"/>
        <v>卡卡杜佳旺专卖店（快手店）</v>
      </c>
      <c r="H3595" s="1" t="str">
        <f t="shared" si="1197"/>
        <v>正常订单</v>
      </c>
      <c r="I3595" s="1" t="str">
        <f t="shared" si="1198"/>
        <v>已发货</v>
      </c>
      <c r="J3595" s="1" t="str">
        <f t="shared" si="1200"/>
        <v>5</v>
      </c>
      <c r="K3595" s="1">
        <v>2</v>
      </c>
      <c r="L3595" s="1" t="s">
        <v>16</v>
      </c>
      <c r="M3595" s="1" t="str">
        <f>"河北省 张家口市 宣化区 南大街街道"</f>
        <v>河北省 张家口市 宣化区 南大街街道</v>
      </c>
      <c r="N3595" s="1" t="str">
        <f t="shared" si="1181"/>
        <v>凡华云仓-城南圆通-快手</v>
      </c>
      <c r="O3595" s="5" t="s">
        <v>3626</v>
      </c>
      <c r="P3595" s="6">
        <v>0.59</v>
      </c>
      <c r="Q3595" s="11">
        <f t="shared" si="1201"/>
        <v>2.4499999999999997</v>
      </c>
      <c r="R3595" s="11"/>
      <c r="S3595" s="11"/>
      <c r="T3595" s="11"/>
      <c r="U3595" s="11">
        <f t="shared" si="1194"/>
        <v>2.4499999999999997</v>
      </c>
      <c r="V3595" t="s">
        <v>15</v>
      </c>
      <c r="W3595">
        <v>2.4500000000000002</v>
      </c>
      <c r="X3595" s="1" t="s">
        <v>16</v>
      </c>
    </row>
    <row r="3596" spans="1:24" x14ac:dyDescent="0.25">
      <c r="A3596" s="1" t="str">
        <f t="shared" si="1195"/>
        <v>卡卡杜-凤凰仓</v>
      </c>
      <c r="B3596" s="1" t="str">
        <f>"CK20241022581"</f>
        <v>CK20241022581</v>
      </c>
      <c r="C3596" s="1" t="str">
        <f>"DD2024102256761"</f>
        <v>DD2024102256761</v>
      </c>
      <c r="D3596" s="1" t="str">
        <f>"CK2024102254670"</f>
        <v>CK2024102254670</v>
      </c>
      <c r="E3596" s="1" t="str">
        <f>"2429602169954988"</f>
        <v>2429602169954988</v>
      </c>
      <c r="F3596" s="1" t="str">
        <f t="shared" si="1196"/>
        <v>花都四部-凤凰仓</v>
      </c>
      <c r="G3596" s="1" t="str">
        <f t="shared" si="1180"/>
        <v>卡卡杜佳旺专卖店（快手店）</v>
      </c>
      <c r="H3596" s="1" t="str">
        <f t="shared" si="1197"/>
        <v>正常订单</v>
      </c>
      <c r="I3596" s="1" t="str">
        <f t="shared" si="1198"/>
        <v>已发货</v>
      </c>
      <c r="J3596" s="1" t="str">
        <f t="shared" si="1199"/>
        <v>3</v>
      </c>
      <c r="K3596" s="1">
        <v>2</v>
      </c>
      <c r="L3596" s="1" t="s">
        <v>109</v>
      </c>
      <c r="M3596" s="1" t="str">
        <f>"山西省 太原市 小店区 小店街道"</f>
        <v>山西省 太原市 小店区 小店街道</v>
      </c>
      <c r="N3596" s="1" t="str">
        <f t="shared" si="1181"/>
        <v>凡华云仓-城南圆通-快手</v>
      </c>
      <c r="O3596" s="5" t="s">
        <v>3627</v>
      </c>
      <c r="P3596" s="6">
        <v>0.35</v>
      </c>
      <c r="Q3596" s="11">
        <v>2.2999999999999998</v>
      </c>
      <c r="R3596" s="11"/>
      <c r="S3596" s="11"/>
      <c r="T3596" s="11"/>
      <c r="U3596" s="11">
        <f t="shared" si="1194"/>
        <v>2.2999999999999998</v>
      </c>
      <c r="W3596">
        <v>2.5</v>
      </c>
      <c r="X3596" s="1" t="s">
        <v>109</v>
      </c>
    </row>
    <row r="3597" spans="1:24" x14ac:dyDescent="0.25">
      <c r="A3597" s="1" t="str">
        <f t="shared" si="1195"/>
        <v>卡卡杜-凤凰仓</v>
      </c>
      <c r="B3597" s="1" t="str">
        <f>"CK20241022541"</f>
        <v>CK20241022541</v>
      </c>
      <c r="C3597" s="1" t="str">
        <f>"DD2024102256718"</f>
        <v>DD2024102256718</v>
      </c>
      <c r="D3597" s="1" t="str">
        <f>"CK2024102254669"</f>
        <v>CK2024102254669</v>
      </c>
      <c r="E3597" s="1" t="str">
        <f>"2429601605856040"</f>
        <v>2429601605856040</v>
      </c>
      <c r="F3597" s="1" t="str">
        <f t="shared" si="1196"/>
        <v>花都四部-凤凰仓</v>
      </c>
      <c r="G3597" s="1" t="str">
        <f>"卡卡杜佳旺专卖店（快手店）"</f>
        <v>卡卡杜佳旺专卖店（快手店）</v>
      </c>
      <c r="H3597" s="1" t="str">
        <f t="shared" si="1197"/>
        <v>正常订单</v>
      </c>
      <c r="I3597" s="1" t="str">
        <f t="shared" si="1198"/>
        <v>已发货</v>
      </c>
      <c r="J3597" s="1" t="str">
        <f t="shared" si="1200"/>
        <v>5</v>
      </c>
      <c r="K3597" s="1">
        <v>2</v>
      </c>
      <c r="L3597" s="1" t="s">
        <v>13</v>
      </c>
      <c r="M3597" s="1" t="str">
        <f>"江苏省 徐州市 泉山区 湖滨街道"</f>
        <v>江苏省 徐州市 泉山区 湖滨街道</v>
      </c>
      <c r="N3597" s="1" t="str">
        <f>"凡华云仓-城南圆通-快手"</f>
        <v>凡华云仓-城南圆通-快手</v>
      </c>
      <c r="O3597" s="5" t="s">
        <v>3628</v>
      </c>
      <c r="P3597" s="6">
        <v>0.59</v>
      </c>
      <c r="Q3597" s="11">
        <f t="shared" si="1201"/>
        <v>2.4499999999999997</v>
      </c>
      <c r="R3597" s="11"/>
      <c r="S3597" s="11"/>
      <c r="T3597" s="11"/>
      <c r="U3597" s="11">
        <f t="shared" si="1194"/>
        <v>2.4499999999999997</v>
      </c>
      <c r="V3597" t="s">
        <v>15</v>
      </c>
      <c r="W3597">
        <v>2.4500000000000002</v>
      </c>
      <c r="X3597" s="1" t="s">
        <v>13</v>
      </c>
    </row>
    <row r="3598" spans="1:24" x14ac:dyDescent="0.25">
      <c r="A3598" s="1" t="str">
        <f t="shared" si="1195"/>
        <v>卡卡杜-凤凰仓</v>
      </c>
      <c r="B3598" s="1" t="str">
        <f>"CK202410221028"</f>
        <v>CK202410221028</v>
      </c>
      <c r="C3598" s="1" t="str">
        <f>"DD2024102261350"</f>
        <v>DD2024102261350</v>
      </c>
      <c r="D3598" s="1" t="str">
        <f>"CK2024102251304"</f>
        <v>CK2024102251304</v>
      </c>
      <c r="E3598" s="1" t="str">
        <f>"3723480824580281344"</f>
        <v>3723480824580281344</v>
      </c>
      <c r="F3598" s="1" t="str">
        <f t="shared" si="1196"/>
        <v>花都四部-凤凰仓</v>
      </c>
      <c r="G3598" s="1" t="str">
        <f t="shared" ref="G3598:G3661" si="1202">"卡卡杜企业店（视频号）"</f>
        <v>卡卡杜企业店（视频号）</v>
      </c>
      <c r="H3598" s="1" t="str">
        <f t="shared" si="1197"/>
        <v>正常订单</v>
      </c>
      <c r="I3598" s="1" t="str">
        <f t="shared" si="1198"/>
        <v>已发货</v>
      </c>
      <c r="J3598" s="1" t="str">
        <f t="shared" ref="J3598:J3606" si="1203">"3"</f>
        <v>3</v>
      </c>
      <c r="K3598" s="1">
        <v>3</v>
      </c>
      <c r="L3598" s="1" t="s">
        <v>20</v>
      </c>
      <c r="M3598" s="1" t="str">
        <f>"浙江省 杭州市 钱塘区 "</f>
        <v xml:space="preserve">浙江省 杭州市 钱塘区 </v>
      </c>
      <c r="N3598" s="1" t="str">
        <f t="shared" ref="N3598:N3661" si="1204">"凡华云仓-城南圆通-微信视频号"</f>
        <v>凡华云仓-城南圆通-微信视频号</v>
      </c>
      <c r="O3598" s="5" t="s">
        <v>3629</v>
      </c>
      <c r="P3598" s="6">
        <v>0.34</v>
      </c>
      <c r="Q3598" s="11">
        <v>2.2999999999999998</v>
      </c>
      <c r="R3598" s="11"/>
      <c r="S3598" s="11"/>
      <c r="T3598" s="11"/>
      <c r="U3598" s="11">
        <f t="shared" si="1194"/>
        <v>2.2999999999999998</v>
      </c>
      <c r="W3598">
        <v>2.5</v>
      </c>
      <c r="X3598" s="1" t="s">
        <v>20</v>
      </c>
    </row>
    <row r="3599" spans="1:24" x14ac:dyDescent="0.25">
      <c r="A3599" s="1" t="str">
        <f t="shared" si="1195"/>
        <v>卡卡杜-凤凰仓</v>
      </c>
      <c r="B3599" s="1" t="str">
        <f>"CK202410221029"</f>
        <v>CK202410221029</v>
      </c>
      <c r="C3599" s="1" t="str">
        <f>"DD2024102261351"</f>
        <v>DD2024102261351</v>
      </c>
      <c r="D3599" s="1" t="str">
        <f>"CK2024102251303"</f>
        <v>CK2024102251303</v>
      </c>
      <c r="E3599" s="1" t="str">
        <f>"3723480815873428480"</f>
        <v>3723480815873428480</v>
      </c>
      <c r="F3599" s="1" t="str">
        <f t="shared" si="1196"/>
        <v>花都四部-凤凰仓</v>
      </c>
      <c r="G3599" s="1" t="str">
        <f t="shared" si="1202"/>
        <v>卡卡杜企业店（视频号）</v>
      </c>
      <c r="H3599" s="1" t="str">
        <f t="shared" si="1197"/>
        <v>正常订单</v>
      </c>
      <c r="I3599" s="1" t="str">
        <f t="shared" si="1198"/>
        <v>已发货</v>
      </c>
      <c r="J3599" s="1" t="str">
        <f t="shared" si="1203"/>
        <v>3</v>
      </c>
      <c r="K3599" s="1">
        <v>3</v>
      </c>
      <c r="L3599" s="1" t="s">
        <v>92</v>
      </c>
      <c r="M3599" s="1" t="str">
        <f>"辽宁省 鞍山市 铁西区 "</f>
        <v xml:space="preserve">辽宁省 鞍山市 铁西区 </v>
      </c>
      <c r="N3599" s="1" t="str">
        <f t="shared" si="1204"/>
        <v>凡华云仓-城南圆通-微信视频号</v>
      </c>
      <c r="O3599" s="5" t="s">
        <v>3630</v>
      </c>
      <c r="P3599" s="6">
        <v>0.34</v>
      </c>
      <c r="Q3599" s="11">
        <v>2.2999999999999998</v>
      </c>
      <c r="R3599" s="11"/>
      <c r="S3599" s="11"/>
      <c r="T3599" s="11"/>
      <c r="U3599" s="11">
        <f t="shared" si="1194"/>
        <v>2.2999999999999998</v>
      </c>
      <c r="W3599">
        <v>2.5</v>
      </c>
      <c r="X3599" s="1" t="s">
        <v>92</v>
      </c>
    </row>
    <row r="3600" spans="1:24" x14ac:dyDescent="0.25">
      <c r="A3600" s="1" t="str">
        <f t="shared" si="1195"/>
        <v>卡卡杜-凤凰仓</v>
      </c>
      <c r="B3600" s="1" t="str">
        <f>"CK202410221030"</f>
        <v>CK202410221030</v>
      </c>
      <c r="C3600" s="1" t="str">
        <f>"DD2024102261349"</f>
        <v>DD2024102261349</v>
      </c>
      <c r="D3600" s="1" t="str">
        <f>"CK2024102251302"</f>
        <v>CK2024102251302</v>
      </c>
      <c r="E3600" s="1" t="str">
        <f>"3723480806485526016"</f>
        <v>3723480806485526016</v>
      </c>
      <c r="F3600" s="1" t="str">
        <f t="shared" si="1196"/>
        <v>花都四部-凤凰仓</v>
      </c>
      <c r="G3600" s="1" t="str">
        <f t="shared" si="1202"/>
        <v>卡卡杜企业店（视频号）</v>
      </c>
      <c r="H3600" s="1" t="str">
        <f t="shared" si="1197"/>
        <v>正常订单</v>
      </c>
      <c r="I3600" s="1" t="str">
        <f t="shared" si="1198"/>
        <v>已发货</v>
      </c>
      <c r="J3600" s="1" t="str">
        <f t="shared" si="1203"/>
        <v>3</v>
      </c>
      <c r="K3600" s="1">
        <v>3</v>
      </c>
      <c r="L3600" s="1" t="s">
        <v>105</v>
      </c>
      <c r="M3600" s="1" t="str">
        <f>"北京 北京市 通州区 "</f>
        <v xml:space="preserve">北京 北京市 通州区 </v>
      </c>
      <c r="N3600" s="1" t="str">
        <f t="shared" si="1204"/>
        <v>凡华云仓-城南圆通-微信视频号</v>
      </c>
      <c r="O3600" s="5" t="s">
        <v>3631</v>
      </c>
      <c r="P3600" s="6">
        <v>0.34</v>
      </c>
      <c r="Q3600" s="11">
        <v>2.2999999999999998</v>
      </c>
      <c r="R3600" s="11"/>
      <c r="S3600" s="11"/>
      <c r="T3600" s="11"/>
      <c r="U3600" s="11">
        <f t="shared" si="1194"/>
        <v>2.2999999999999998</v>
      </c>
      <c r="W3600">
        <v>2.5</v>
      </c>
      <c r="X3600" s="1" t="s">
        <v>105</v>
      </c>
    </row>
    <row r="3601" spans="1:24" x14ac:dyDescent="0.25">
      <c r="A3601" s="1" t="str">
        <f t="shared" si="1195"/>
        <v>卡卡杜-凤凰仓</v>
      </c>
      <c r="B3601" s="1" t="str">
        <f>"CK202410221033"</f>
        <v>CK202410221033</v>
      </c>
      <c r="C3601" s="1" t="str">
        <f>"DD2024102261353"</f>
        <v>DD2024102261353</v>
      </c>
      <c r="D3601" s="1" t="str">
        <f>"CK2024102251301"</f>
        <v>CK2024102251301</v>
      </c>
      <c r="E3601" s="1" t="str">
        <f>"3723480775578225664"</f>
        <v>3723480775578225664</v>
      </c>
      <c r="F3601" s="1" t="str">
        <f t="shared" si="1196"/>
        <v>花都四部-凤凰仓</v>
      </c>
      <c r="G3601" s="1" t="str">
        <f t="shared" si="1202"/>
        <v>卡卡杜企业店（视频号）</v>
      </c>
      <c r="H3601" s="1" t="str">
        <f t="shared" si="1197"/>
        <v>正常订单</v>
      </c>
      <c r="I3601" s="1" t="str">
        <f t="shared" si="1198"/>
        <v>已发货</v>
      </c>
      <c r="J3601" s="1" t="str">
        <f t="shared" si="1203"/>
        <v>3</v>
      </c>
      <c r="K3601" s="1">
        <v>3</v>
      </c>
      <c r="L3601" s="1" t="s">
        <v>92</v>
      </c>
      <c r="M3601" s="1" t="str">
        <f>"辽宁省 营口市 盖州市 "</f>
        <v xml:space="preserve">辽宁省 营口市 盖州市 </v>
      </c>
      <c r="N3601" s="1" t="str">
        <f t="shared" si="1204"/>
        <v>凡华云仓-城南圆通-微信视频号</v>
      </c>
      <c r="O3601" s="5" t="s">
        <v>3632</v>
      </c>
      <c r="P3601" s="6">
        <v>0.34</v>
      </c>
      <c r="Q3601" s="11">
        <v>2.2999999999999998</v>
      </c>
      <c r="R3601" s="11"/>
      <c r="S3601" s="11"/>
      <c r="T3601" s="11"/>
      <c r="U3601" s="11">
        <f t="shared" si="1194"/>
        <v>2.2999999999999998</v>
      </c>
      <c r="W3601">
        <v>2.5</v>
      </c>
      <c r="X3601" s="1" t="s">
        <v>92</v>
      </c>
    </row>
    <row r="3602" spans="1:24" x14ac:dyDescent="0.25">
      <c r="A3602" s="1" t="str">
        <f t="shared" si="1195"/>
        <v>卡卡杜-凤凰仓</v>
      </c>
      <c r="B3602" s="1" t="str">
        <f>"CK202410221032"</f>
        <v>CK202410221032</v>
      </c>
      <c r="C3602" s="1" t="str">
        <f>"DD2024102261352"</f>
        <v>DD2024102261352</v>
      </c>
      <c r="D3602" s="1" t="str">
        <f>"CK2024102251300"</f>
        <v>CK2024102251300</v>
      </c>
      <c r="E3602" s="1" t="str">
        <f>"3723480789751039488"</f>
        <v>3723480789751039488</v>
      </c>
      <c r="F3602" s="1" t="str">
        <f t="shared" si="1196"/>
        <v>花都四部-凤凰仓</v>
      </c>
      <c r="G3602" s="1" t="str">
        <f t="shared" si="1202"/>
        <v>卡卡杜企业店（视频号）</v>
      </c>
      <c r="H3602" s="1" t="str">
        <f t="shared" si="1197"/>
        <v>正常订单</v>
      </c>
      <c r="I3602" s="1" t="str">
        <f t="shared" si="1198"/>
        <v>已发货</v>
      </c>
      <c r="J3602" s="1" t="str">
        <f t="shared" si="1203"/>
        <v>3</v>
      </c>
      <c r="K3602" s="1">
        <v>3</v>
      </c>
      <c r="L3602" s="1" t="s">
        <v>16</v>
      </c>
      <c r="M3602" s="1" t="str">
        <f>"河北省 张家口市 宣化区 "</f>
        <v xml:space="preserve">河北省 张家口市 宣化区 </v>
      </c>
      <c r="N3602" s="1" t="str">
        <f t="shared" si="1204"/>
        <v>凡华云仓-城南圆通-微信视频号</v>
      </c>
      <c r="O3602" s="5" t="s">
        <v>3633</v>
      </c>
      <c r="P3602" s="6">
        <v>0.34</v>
      </c>
      <c r="Q3602" s="11">
        <v>2.2999999999999998</v>
      </c>
      <c r="R3602" s="11"/>
      <c r="S3602" s="11"/>
      <c r="T3602" s="11"/>
      <c r="U3602" s="11">
        <f t="shared" si="1194"/>
        <v>2.2999999999999998</v>
      </c>
      <c r="W3602">
        <v>2.5</v>
      </c>
      <c r="X3602" s="1" t="s">
        <v>16</v>
      </c>
    </row>
    <row r="3603" spans="1:24" x14ac:dyDescent="0.25">
      <c r="A3603" s="1" t="str">
        <f t="shared" si="1195"/>
        <v>卡卡杜-凤凰仓</v>
      </c>
      <c r="B3603" s="1" t="str">
        <f>"CK202410221034"</f>
        <v>CK202410221034</v>
      </c>
      <c r="C3603" s="1" t="str">
        <f>"DD2024102261354"</f>
        <v>DD2024102261354</v>
      </c>
      <c r="D3603" s="1" t="str">
        <f>"CK2024102251299"</f>
        <v>CK2024102251299</v>
      </c>
      <c r="E3603" s="1" t="str">
        <f>"3723480779436199936"</f>
        <v>3723480779436199936</v>
      </c>
      <c r="F3603" s="1" t="str">
        <f t="shared" si="1196"/>
        <v>花都四部-凤凰仓</v>
      </c>
      <c r="G3603" s="1" t="str">
        <f t="shared" si="1202"/>
        <v>卡卡杜企业店（视频号）</v>
      </c>
      <c r="H3603" s="1" t="str">
        <f t="shared" si="1197"/>
        <v>正常订单</v>
      </c>
      <c r="I3603" s="1" t="str">
        <f t="shared" si="1198"/>
        <v>已发货</v>
      </c>
      <c r="J3603" s="1" t="str">
        <f t="shared" si="1203"/>
        <v>3</v>
      </c>
      <c r="K3603" s="1">
        <v>3</v>
      </c>
      <c r="L3603" s="1" t="s">
        <v>30</v>
      </c>
      <c r="M3603" s="1" t="str">
        <f>"山东省 泰安市 肥城市 "</f>
        <v xml:space="preserve">山东省 泰安市 肥城市 </v>
      </c>
      <c r="N3603" s="1" t="str">
        <f t="shared" si="1204"/>
        <v>凡华云仓-城南圆通-微信视频号</v>
      </c>
      <c r="O3603" s="5" t="s">
        <v>3634</v>
      </c>
      <c r="P3603" s="6">
        <v>0.34</v>
      </c>
      <c r="Q3603" s="11">
        <v>2.2999999999999998</v>
      </c>
      <c r="R3603" s="11"/>
      <c r="S3603" s="11"/>
      <c r="T3603" s="11"/>
      <c r="U3603" s="11">
        <f t="shared" si="1194"/>
        <v>2.2999999999999998</v>
      </c>
      <c r="W3603">
        <v>2.5</v>
      </c>
      <c r="X3603" s="1" t="s">
        <v>30</v>
      </c>
    </row>
    <row r="3604" spans="1:24" x14ac:dyDescent="0.25">
      <c r="A3604" s="1" t="str">
        <f t="shared" si="1195"/>
        <v>卡卡杜-凤凰仓</v>
      </c>
      <c r="B3604" s="1" t="str">
        <f>"CK202410221012"</f>
        <v>CK202410221012</v>
      </c>
      <c r="C3604" s="1" t="str">
        <f>"DD2024102259316"</f>
        <v>DD2024102259316</v>
      </c>
      <c r="D3604" s="1" t="str">
        <f>"CK2024102251297"</f>
        <v>CK2024102251297</v>
      </c>
      <c r="E3604" s="1" t="str">
        <f>"3723480764011119872"</f>
        <v>3723480764011119872</v>
      </c>
      <c r="F3604" s="1" t="str">
        <f t="shared" si="1196"/>
        <v>花都四部-凤凰仓</v>
      </c>
      <c r="G3604" s="1" t="str">
        <f t="shared" si="1202"/>
        <v>卡卡杜企业店（视频号）</v>
      </c>
      <c r="H3604" s="1" t="str">
        <f t="shared" si="1197"/>
        <v>正常订单</v>
      </c>
      <c r="I3604" s="1" t="str">
        <f t="shared" si="1198"/>
        <v>已发货</v>
      </c>
      <c r="J3604" s="1" t="str">
        <f t="shared" si="1203"/>
        <v>3</v>
      </c>
      <c r="K3604" s="1">
        <v>3</v>
      </c>
      <c r="L3604" s="1" t="s">
        <v>30</v>
      </c>
      <c r="M3604" s="1" t="str">
        <f>"山东省 烟台市 芝罘区 "</f>
        <v xml:space="preserve">山东省 烟台市 芝罘区 </v>
      </c>
      <c r="N3604" s="1" t="str">
        <f t="shared" si="1204"/>
        <v>凡华云仓-城南圆通-微信视频号</v>
      </c>
      <c r="O3604" s="5" t="s">
        <v>3635</v>
      </c>
      <c r="P3604" s="6">
        <v>0.34</v>
      </c>
      <c r="Q3604" s="11">
        <v>2.2999999999999998</v>
      </c>
      <c r="R3604" s="11"/>
      <c r="S3604" s="11"/>
      <c r="T3604" s="11"/>
      <c r="U3604" s="11">
        <f t="shared" si="1194"/>
        <v>2.2999999999999998</v>
      </c>
      <c r="W3604">
        <v>2.5</v>
      </c>
      <c r="X3604" s="1" t="s">
        <v>30</v>
      </c>
    </row>
    <row r="3605" spans="1:24" x14ac:dyDescent="0.25">
      <c r="A3605" s="1" t="str">
        <f t="shared" si="1195"/>
        <v>卡卡杜-凤凰仓</v>
      </c>
      <c r="B3605" s="1" t="str">
        <f>"CK202410221013"</f>
        <v>CK202410221013</v>
      </c>
      <c r="C3605" s="1" t="str">
        <f>"DD2024102259314"</f>
        <v>DD2024102259314</v>
      </c>
      <c r="D3605" s="1" t="str">
        <f>"CK2024102251296"</f>
        <v>CK2024102251296</v>
      </c>
      <c r="E3605" s="1" t="str">
        <f>"3723480770070318080"</f>
        <v>3723480770070318080</v>
      </c>
      <c r="F3605" s="1" t="str">
        <f t="shared" si="1196"/>
        <v>花都四部-凤凰仓</v>
      </c>
      <c r="G3605" s="1" t="str">
        <f t="shared" si="1202"/>
        <v>卡卡杜企业店（视频号）</v>
      </c>
      <c r="H3605" s="1" t="str">
        <f t="shared" si="1197"/>
        <v>正常订单</v>
      </c>
      <c r="I3605" s="1" t="str">
        <f t="shared" si="1198"/>
        <v>已发货</v>
      </c>
      <c r="J3605" s="1" t="str">
        <f t="shared" si="1203"/>
        <v>3</v>
      </c>
      <c r="K3605" s="1">
        <v>3</v>
      </c>
      <c r="L3605" s="1" t="s">
        <v>36</v>
      </c>
      <c r="M3605" s="1" t="str">
        <f>"安徽省 宿州市 砀山县 "</f>
        <v xml:space="preserve">安徽省 宿州市 砀山县 </v>
      </c>
      <c r="N3605" s="1" t="str">
        <f t="shared" si="1204"/>
        <v>凡华云仓-城南圆通-微信视频号</v>
      </c>
      <c r="O3605" s="5" t="s">
        <v>3636</v>
      </c>
      <c r="P3605" s="6">
        <v>0.34</v>
      </c>
      <c r="Q3605" s="11">
        <v>2.2999999999999998</v>
      </c>
      <c r="R3605" s="11"/>
      <c r="S3605" s="11"/>
      <c r="T3605" s="11"/>
      <c r="U3605" s="11">
        <f t="shared" si="1194"/>
        <v>2.2999999999999998</v>
      </c>
      <c r="W3605">
        <v>2.5</v>
      </c>
      <c r="X3605" s="1" t="s">
        <v>36</v>
      </c>
    </row>
    <row r="3606" spans="1:24" x14ac:dyDescent="0.25">
      <c r="A3606" s="1" t="str">
        <f t="shared" si="1195"/>
        <v>卡卡杜-凤凰仓</v>
      </c>
      <c r="B3606" s="1" t="str">
        <f>"CK202410221016"</f>
        <v>CK202410221016</v>
      </c>
      <c r="C3606" s="1" t="str">
        <f>"DD2024102259323"</f>
        <v>DD2024102259323</v>
      </c>
      <c r="D3606" s="1" t="str">
        <f>"CK2024102251295"</f>
        <v>CK2024102251295</v>
      </c>
      <c r="E3606" s="1" t="str">
        <f>"3723480761536745472"</f>
        <v>3723480761536745472</v>
      </c>
      <c r="F3606" s="1" t="str">
        <f t="shared" si="1196"/>
        <v>花都四部-凤凰仓</v>
      </c>
      <c r="G3606" s="1" t="str">
        <f t="shared" si="1202"/>
        <v>卡卡杜企业店（视频号）</v>
      </c>
      <c r="H3606" s="1" t="str">
        <f t="shared" si="1197"/>
        <v>正常订单</v>
      </c>
      <c r="I3606" s="1" t="str">
        <f t="shared" si="1198"/>
        <v>已发货</v>
      </c>
      <c r="J3606" s="1" t="str">
        <f t="shared" si="1203"/>
        <v>3</v>
      </c>
      <c r="K3606" s="1">
        <v>3</v>
      </c>
      <c r="L3606" s="1" t="s">
        <v>13</v>
      </c>
      <c r="M3606" s="1" t="str">
        <f>"江苏省 苏州市 吴江区 "</f>
        <v xml:space="preserve">江苏省 苏州市 吴江区 </v>
      </c>
      <c r="N3606" s="1" t="str">
        <f t="shared" si="1204"/>
        <v>凡华云仓-城南圆通-微信视频号</v>
      </c>
      <c r="O3606" s="5" t="s">
        <v>3637</v>
      </c>
      <c r="P3606" s="6">
        <v>0.34</v>
      </c>
      <c r="Q3606" s="11">
        <v>2.2999999999999998</v>
      </c>
      <c r="R3606" s="11"/>
      <c r="S3606" s="11"/>
      <c r="T3606" s="11"/>
      <c r="U3606" s="11">
        <f t="shared" si="1194"/>
        <v>2.2999999999999998</v>
      </c>
      <c r="W3606">
        <v>2.5</v>
      </c>
      <c r="X3606" s="1" t="s">
        <v>13</v>
      </c>
    </row>
    <row r="3607" spans="1:24" x14ac:dyDescent="0.25">
      <c r="A3607" s="1" t="str">
        <f t="shared" si="1195"/>
        <v>卡卡杜-凤凰仓</v>
      </c>
      <c r="B3607" s="1" t="str">
        <f>"CK202410221022"</f>
        <v>CK202410221022</v>
      </c>
      <c r="C3607" s="1" t="str">
        <f>"DD2024102261305"</f>
        <v>DD2024102261305</v>
      </c>
      <c r="D3607" s="1" t="str">
        <f>"CK2024102251294"</f>
        <v>CK2024102251294</v>
      </c>
      <c r="E3607" s="1" t="str">
        <f>"3723480768232689664"</f>
        <v>3723480768232689664</v>
      </c>
      <c r="F3607" s="1" t="str">
        <f t="shared" si="1196"/>
        <v>花都四部-凤凰仓</v>
      </c>
      <c r="G3607" s="1" t="str">
        <f t="shared" si="1202"/>
        <v>卡卡杜企业店（视频号）</v>
      </c>
      <c r="H3607" s="1" t="str">
        <f t="shared" si="1197"/>
        <v>正常订单</v>
      </c>
      <c r="I3607" s="1" t="str">
        <f t="shared" si="1198"/>
        <v>已发货</v>
      </c>
      <c r="J3607" s="1" t="str">
        <f>"5"</f>
        <v>5</v>
      </c>
      <c r="K3607" s="1">
        <v>3</v>
      </c>
      <c r="L3607" s="1" t="s">
        <v>16</v>
      </c>
      <c r="M3607" s="1" t="str">
        <f>"河北省 衡水市 桃城区 "</f>
        <v xml:space="preserve">河北省 衡水市 桃城区 </v>
      </c>
      <c r="N3607" s="1" t="str">
        <f t="shared" si="1204"/>
        <v>凡华云仓-城南圆通-微信视频号</v>
      </c>
      <c r="O3607" s="5" t="s">
        <v>3638</v>
      </c>
      <c r="P3607" s="6">
        <v>0.56000000000000005</v>
      </c>
      <c r="Q3607" s="11">
        <f>CEILING(P3607-0.5,0.1)*10*0.15+2.3</f>
        <v>2.4499999999999997</v>
      </c>
      <c r="R3607" s="11"/>
      <c r="S3607" s="11"/>
      <c r="T3607" s="11"/>
      <c r="U3607" s="11">
        <f t="shared" si="1194"/>
        <v>2.4499999999999997</v>
      </c>
      <c r="V3607" t="s">
        <v>15</v>
      </c>
      <c r="W3607">
        <v>2.4500000000000002</v>
      </c>
      <c r="X3607" s="1" t="s">
        <v>16</v>
      </c>
    </row>
    <row r="3608" spans="1:24" x14ac:dyDescent="0.25">
      <c r="A3608" s="1" t="str">
        <f t="shared" si="1195"/>
        <v>卡卡杜-凤凰仓</v>
      </c>
      <c r="B3608" s="1" t="str">
        <f>"CK202410221023"</f>
        <v>CK202410221023</v>
      </c>
      <c r="C3608" s="1" t="str">
        <f>"DD2024102261306"</f>
        <v>DD2024102261306</v>
      </c>
      <c r="D3608" s="1" t="str">
        <f>"CK2024102251293"</f>
        <v>CK2024102251293</v>
      </c>
      <c r="E3608" s="1" t="str">
        <f>"3723480766784603648"</f>
        <v>3723480766784603648</v>
      </c>
      <c r="F3608" s="1" t="str">
        <f t="shared" si="1196"/>
        <v>花都四部-凤凰仓</v>
      </c>
      <c r="G3608" s="1" t="str">
        <f t="shared" si="1202"/>
        <v>卡卡杜企业店（视频号）</v>
      </c>
      <c r="H3608" s="1" t="str">
        <f t="shared" si="1197"/>
        <v>正常订单</v>
      </c>
      <c r="I3608" s="1" t="str">
        <f t="shared" si="1198"/>
        <v>已发货</v>
      </c>
      <c r="J3608" s="1" t="str">
        <f>"5"</f>
        <v>5</v>
      </c>
      <c r="K3608" s="1">
        <v>3</v>
      </c>
      <c r="L3608" s="1" t="s">
        <v>13</v>
      </c>
      <c r="M3608" s="1" t="str">
        <f>"江苏省 南京市 鼓楼区 "</f>
        <v xml:space="preserve">江苏省 南京市 鼓楼区 </v>
      </c>
      <c r="N3608" s="1" t="str">
        <f t="shared" si="1204"/>
        <v>凡华云仓-城南圆通-微信视频号</v>
      </c>
      <c r="O3608" s="5" t="s">
        <v>3639</v>
      </c>
      <c r="P3608" s="6">
        <v>0.56000000000000005</v>
      </c>
      <c r="Q3608" s="11">
        <f>CEILING(P3608-0.5,0.1)*10*0.15+2.3</f>
        <v>2.4499999999999997</v>
      </c>
      <c r="R3608" s="11"/>
      <c r="S3608" s="11"/>
      <c r="T3608" s="11"/>
      <c r="U3608" s="11">
        <f t="shared" si="1194"/>
        <v>2.4499999999999997</v>
      </c>
      <c r="V3608" t="s">
        <v>15</v>
      </c>
      <c r="W3608">
        <v>2.4500000000000002</v>
      </c>
      <c r="X3608" s="1" t="s">
        <v>13</v>
      </c>
    </row>
    <row r="3609" spans="1:24" x14ac:dyDescent="0.25">
      <c r="A3609" s="1" t="str">
        <f t="shared" si="1195"/>
        <v>卡卡杜-凤凰仓</v>
      </c>
      <c r="B3609" s="1" t="str">
        <f>"CK202410221017"</f>
        <v>CK202410221017</v>
      </c>
      <c r="C3609" s="1" t="str">
        <f>"DD2024102259321"</f>
        <v>DD2024102259321</v>
      </c>
      <c r="D3609" s="1" t="str">
        <f>"CK2024102251292"</f>
        <v>CK2024102251292</v>
      </c>
      <c r="E3609" s="1" t="str">
        <f>"3723480763643857920"</f>
        <v>3723480763643857920</v>
      </c>
      <c r="F3609" s="1" t="str">
        <f t="shared" si="1196"/>
        <v>花都四部-凤凰仓</v>
      </c>
      <c r="G3609" s="1" t="str">
        <f t="shared" si="1202"/>
        <v>卡卡杜企业店（视频号）</v>
      </c>
      <c r="H3609" s="1" t="str">
        <f t="shared" si="1197"/>
        <v>正常订单</v>
      </c>
      <c r="I3609" s="1" t="str">
        <f t="shared" si="1198"/>
        <v>已发货</v>
      </c>
      <c r="J3609" s="1" t="str">
        <f t="shared" ref="J3609:J3612" si="1205">"3"</f>
        <v>3</v>
      </c>
      <c r="K3609" s="1">
        <v>3</v>
      </c>
      <c r="L3609" s="1" t="s">
        <v>94</v>
      </c>
      <c r="M3609" s="1" t="str">
        <f>"湖南省 长沙市 岳麓区 "</f>
        <v xml:space="preserve">湖南省 长沙市 岳麓区 </v>
      </c>
      <c r="N3609" s="1" t="str">
        <f t="shared" si="1204"/>
        <v>凡华云仓-城南圆通-微信视频号</v>
      </c>
      <c r="O3609" s="5" t="s">
        <v>3640</v>
      </c>
      <c r="P3609" s="6">
        <v>0.34</v>
      </c>
      <c r="Q3609" s="11">
        <v>2.2999999999999998</v>
      </c>
      <c r="R3609" s="11"/>
      <c r="S3609" s="11"/>
      <c r="T3609" s="11"/>
      <c r="U3609" s="11">
        <f t="shared" si="1194"/>
        <v>2.2999999999999998</v>
      </c>
      <c r="W3609">
        <v>2.5</v>
      </c>
      <c r="X3609" s="1" t="s">
        <v>94</v>
      </c>
    </row>
    <row r="3610" spans="1:24" x14ac:dyDescent="0.25">
      <c r="A3610" s="1" t="str">
        <f t="shared" si="1195"/>
        <v>卡卡杜-凤凰仓</v>
      </c>
      <c r="B3610" s="1" t="str">
        <f>"CK202410221018"</f>
        <v>CK202410221018</v>
      </c>
      <c r="C3610" s="1" t="str">
        <f>"DD2024102259322"</f>
        <v>DD2024102259322</v>
      </c>
      <c r="D3610" s="1" t="str">
        <f>"CK2024102251291"</f>
        <v>CK2024102251291</v>
      </c>
      <c r="E3610" s="1" t="str">
        <f>"3723480762008864256"</f>
        <v>3723480762008864256</v>
      </c>
      <c r="F3610" s="1" t="str">
        <f t="shared" si="1196"/>
        <v>花都四部-凤凰仓</v>
      </c>
      <c r="G3610" s="1" t="str">
        <f t="shared" si="1202"/>
        <v>卡卡杜企业店（视频号）</v>
      </c>
      <c r="H3610" s="1" t="str">
        <f t="shared" si="1197"/>
        <v>正常订单</v>
      </c>
      <c r="I3610" s="1" t="str">
        <f t="shared" si="1198"/>
        <v>已发货</v>
      </c>
      <c r="J3610" s="1" t="str">
        <f t="shared" si="1205"/>
        <v>3</v>
      </c>
      <c r="K3610" s="1">
        <v>3</v>
      </c>
      <c r="L3610" s="1" t="s">
        <v>54</v>
      </c>
      <c r="M3610" s="1" t="str">
        <f>"黑龙江省 哈尔滨市 南岗区 "</f>
        <v xml:space="preserve">黑龙江省 哈尔滨市 南岗区 </v>
      </c>
      <c r="N3610" s="1" t="str">
        <f t="shared" si="1204"/>
        <v>凡华云仓-城南圆通-微信视频号</v>
      </c>
      <c r="O3610" s="5" t="s">
        <v>3641</v>
      </c>
      <c r="P3610" s="6">
        <v>0.34</v>
      </c>
      <c r="Q3610" s="11">
        <v>2.2999999999999998</v>
      </c>
      <c r="R3610" s="11"/>
      <c r="S3610" s="11"/>
      <c r="T3610" s="11"/>
      <c r="U3610" s="11">
        <f t="shared" si="1194"/>
        <v>2.2999999999999998</v>
      </c>
      <c r="W3610">
        <v>2.5</v>
      </c>
      <c r="X3610" s="1" t="s">
        <v>54</v>
      </c>
    </row>
    <row r="3611" spans="1:24" x14ac:dyDescent="0.25">
      <c r="A3611" s="1" t="str">
        <f t="shared" si="1195"/>
        <v>卡卡杜-凤凰仓</v>
      </c>
      <c r="B3611" s="1" t="str">
        <f>"CK202410221014"</f>
        <v>CK202410221014</v>
      </c>
      <c r="C3611" s="1" t="str">
        <f>"DD2024102259318"</f>
        <v>DD2024102259318</v>
      </c>
      <c r="D3611" s="1" t="str">
        <f>"CK2024102251290"</f>
        <v>CK2024102251290</v>
      </c>
      <c r="E3611" s="1" t="str">
        <f>"3723480762302992384"</f>
        <v>3723480762302992384</v>
      </c>
      <c r="F3611" s="1" t="str">
        <f t="shared" si="1196"/>
        <v>花都四部-凤凰仓</v>
      </c>
      <c r="G3611" s="1" t="str">
        <f t="shared" si="1202"/>
        <v>卡卡杜企业店（视频号）</v>
      </c>
      <c r="H3611" s="1" t="str">
        <f t="shared" si="1197"/>
        <v>正常订单</v>
      </c>
      <c r="I3611" s="1" t="str">
        <f t="shared" si="1198"/>
        <v>已发货</v>
      </c>
      <c r="J3611" s="1" t="str">
        <f t="shared" si="1205"/>
        <v>3</v>
      </c>
      <c r="K3611" s="1">
        <v>3</v>
      </c>
      <c r="L3611" s="1" t="s">
        <v>36</v>
      </c>
      <c r="M3611" s="1" t="str">
        <f>"安徽省 亳州市 谯城区 "</f>
        <v xml:space="preserve">安徽省 亳州市 谯城区 </v>
      </c>
      <c r="N3611" s="1" t="str">
        <f t="shared" si="1204"/>
        <v>凡华云仓-城南圆通-微信视频号</v>
      </c>
      <c r="O3611" s="5" t="s">
        <v>3642</v>
      </c>
      <c r="P3611" s="6">
        <v>0.34</v>
      </c>
      <c r="Q3611" s="11">
        <v>2.2999999999999998</v>
      </c>
      <c r="R3611" s="11"/>
      <c r="S3611" s="11"/>
      <c r="T3611" s="11"/>
      <c r="U3611" s="11">
        <f t="shared" si="1194"/>
        <v>2.2999999999999998</v>
      </c>
      <c r="W3611">
        <v>2.5</v>
      </c>
      <c r="X3611" s="1" t="s">
        <v>36</v>
      </c>
    </row>
    <row r="3612" spans="1:24" x14ac:dyDescent="0.25">
      <c r="A3612" s="1" t="str">
        <f t="shared" si="1195"/>
        <v>卡卡杜-凤凰仓</v>
      </c>
      <c r="B3612" s="1" t="str">
        <f>"CK202410221015"</f>
        <v>CK202410221015</v>
      </c>
      <c r="C3612" s="1" t="str">
        <f>"DD2024102259320"</f>
        <v>DD2024102259320</v>
      </c>
      <c r="D3612" s="1" t="str">
        <f>"CK2024102251289"</f>
        <v>CK2024102251289</v>
      </c>
      <c r="E3612" s="1" t="str">
        <f>"3723480763390362880"</f>
        <v>3723480763390362880</v>
      </c>
      <c r="F3612" s="1" t="str">
        <f t="shared" si="1196"/>
        <v>花都四部-凤凰仓</v>
      </c>
      <c r="G3612" s="1" t="str">
        <f t="shared" si="1202"/>
        <v>卡卡杜企业店（视频号）</v>
      </c>
      <c r="H3612" s="1" t="str">
        <f t="shared" si="1197"/>
        <v>正常订单</v>
      </c>
      <c r="I3612" s="1" t="str">
        <f t="shared" si="1198"/>
        <v>已发货</v>
      </c>
      <c r="J3612" s="1" t="str">
        <f t="shared" si="1205"/>
        <v>3</v>
      </c>
      <c r="K3612" s="1">
        <v>3</v>
      </c>
      <c r="L3612" s="1" t="s">
        <v>41</v>
      </c>
      <c r="M3612" s="1" t="str">
        <f>"湖北省 孝感市 孝昌县 "</f>
        <v xml:space="preserve">湖北省 孝感市 孝昌县 </v>
      </c>
      <c r="N3612" s="1" t="str">
        <f t="shared" si="1204"/>
        <v>凡华云仓-城南圆通-微信视频号</v>
      </c>
      <c r="O3612" s="5" t="s">
        <v>3643</v>
      </c>
      <c r="P3612" s="6">
        <v>0.34</v>
      </c>
      <c r="Q3612" s="11">
        <v>2.2999999999999998</v>
      </c>
      <c r="R3612" s="11"/>
      <c r="S3612" s="11"/>
      <c r="T3612" s="11"/>
      <c r="U3612" s="11">
        <f t="shared" si="1194"/>
        <v>2.2999999999999998</v>
      </c>
      <c r="W3612">
        <v>2.5</v>
      </c>
      <c r="X3612" s="1" t="s">
        <v>41</v>
      </c>
    </row>
    <row r="3613" spans="1:24" x14ac:dyDescent="0.25">
      <c r="A3613" s="1" t="str">
        <f t="shared" si="1195"/>
        <v>卡卡杜-凤凰仓</v>
      </c>
      <c r="B3613" s="1" t="str">
        <f>"CK202410221025"</f>
        <v>CK202410221025</v>
      </c>
      <c r="C3613" s="1" t="str">
        <f>"DD2024102261308"</f>
        <v>DD2024102261308</v>
      </c>
      <c r="D3613" s="1" t="str">
        <f>"CK2024102251288"</f>
        <v>CK2024102251288</v>
      </c>
      <c r="E3613" s="1" t="str">
        <f>"3723480760355261440"</f>
        <v>3723480760355261440</v>
      </c>
      <c r="F3613" s="1" t="str">
        <f t="shared" si="1196"/>
        <v>花都四部-凤凰仓</v>
      </c>
      <c r="G3613" s="1" t="str">
        <f t="shared" si="1202"/>
        <v>卡卡杜企业店（视频号）</v>
      </c>
      <c r="H3613" s="1" t="str">
        <f t="shared" si="1197"/>
        <v>正常订单</v>
      </c>
      <c r="I3613" s="1" t="str">
        <f t="shared" si="1198"/>
        <v>已发货</v>
      </c>
      <c r="J3613" s="1" t="str">
        <f>"5"</f>
        <v>5</v>
      </c>
      <c r="K3613" s="1">
        <v>3</v>
      </c>
      <c r="L3613" s="1" t="s">
        <v>13</v>
      </c>
      <c r="M3613" s="1" t="str">
        <f>"江苏省 南京市 秦淮区 "</f>
        <v xml:space="preserve">江苏省 南京市 秦淮区 </v>
      </c>
      <c r="N3613" s="1" t="str">
        <f t="shared" si="1204"/>
        <v>凡华云仓-城南圆通-微信视频号</v>
      </c>
      <c r="O3613" s="5" t="s">
        <v>3644</v>
      </c>
      <c r="P3613" s="6">
        <v>0.56000000000000005</v>
      </c>
      <c r="Q3613" s="11">
        <f>CEILING(P3613-0.5,0.1)*10*0.15+2.3</f>
        <v>2.4499999999999997</v>
      </c>
      <c r="R3613" s="11"/>
      <c r="S3613" s="11"/>
      <c r="T3613" s="11"/>
      <c r="U3613" s="11">
        <f t="shared" si="1194"/>
        <v>2.4499999999999997</v>
      </c>
      <c r="V3613" t="s">
        <v>15</v>
      </c>
      <c r="W3613">
        <v>2.4500000000000002</v>
      </c>
      <c r="X3613" s="1" t="s">
        <v>13</v>
      </c>
    </row>
    <row r="3614" spans="1:24" x14ac:dyDescent="0.25">
      <c r="A3614" s="1" t="str">
        <f t="shared" si="1195"/>
        <v>卡卡杜-凤凰仓</v>
      </c>
      <c r="B3614" s="1" t="str">
        <f>"CK2024102218"</f>
        <v>CK2024102218</v>
      </c>
      <c r="C3614" s="1" t="str">
        <f>"DD2024102253570"</f>
        <v>DD2024102253570</v>
      </c>
      <c r="D3614" s="1" t="str">
        <f>"CK2024102251287"</f>
        <v>CK2024102251287</v>
      </c>
      <c r="E3614" s="1" t="str">
        <f>"3723480562409804800"</f>
        <v>3723480562409804800</v>
      </c>
      <c r="F3614" s="1" t="str">
        <f t="shared" si="1196"/>
        <v>花都四部-凤凰仓</v>
      </c>
      <c r="G3614" s="1" t="str">
        <f t="shared" si="1202"/>
        <v>卡卡杜企业店（视频号）</v>
      </c>
      <c r="H3614" s="1" t="str">
        <f t="shared" si="1197"/>
        <v>正常订单</v>
      </c>
      <c r="I3614" s="1" t="str">
        <f t="shared" si="1198"/>
        <v>已发货</v>
      </c>
      <c r="J3614" s="1" t="str">
        <f t="shared" ref="J3614:J3634" si="1206">"3"</f>
        <v>3</v>
      </c>
      <c r="K3614" s="1">
        <v>3</v>
      </c>
      <c r="L3614" s="1" t="s">
        <v>30</v>
      </c>
      <c r="M3614" s="1" t="str">
        <f>"山东省 临沂市 兰山区 "</f>
        <v xml:space="preserve">山东省 临沂市 兰山区 </v>
      </c>
      <c r="N3614" s="1" t="str">
        <f t="shared" si="1204"/>
        <v>凡华云仓-城南圆通-微信视频号</v>
      </c>
      <c r="O3614" s="5" t="s">
        <v>3645</v>
      </c>
      <c r="P3614" s="6">
        <v>0.34</v>
      </c>
      <c r="Q3614" s="11">
        <v>2.2999999999999998</v>
      </c>
      <c r="R3614" s="11"/>
      <c r="S3614" s="11"/>
      <c r="T3614" s="11"/>
      <c r="U3614" s="11">
        <f t="shared" si="1194"/>
        <v>2.2999999999999998</v>
      </c>
      <c r="W3614">
        <v>2.5</v>
      </c>
      <c r="X3614" s="1" t="s">
        <v>30</v>
      </c>
    </row>
    <row r="3615" spans="1:24" x14ac:dyDescent="0.25">
      <c r="A3615" s="1" t="str">
        <f t="shared" si="1195"/>
        <v>卡卡杜-凤凰仓</v>
      </c>
      <c r="B3615" s="1" t="str">
        <f>"CK202410221024"</f>
        <v>CK202410221024</v>
      </c>
      <c r="C3615" s="1" t="str">
        <f>"DD2024102261309"</f>
        <v>DD2024102261309</v>
      </c>
      <c r="D3615" s="1" t="str">
        <f>"CK2024102251286"</f>
        <v>CK2024102251286</v>
      </c>
      <c r="E3615" s="1" t="str">
        <f>"3723480542381475073"</f>
        <v>3723480542381475073</v>
      </c>
      <c r="F3615" s="1" t="str">
        <f t="shared" si="1196"/>
        <v>花都四部-凤凰仓</v>
      </c>
      <c r="G3615" s="1" t="str">
        <f t="shared" si="1202"/>
        <v>卡卡杜企业店（视频号）</v>
      </c>
      <c r="H3615" s="1" t="str">
        <f t="shared" si="1197"/>
        <v>正常订单</v>
      </c>
      <c r="I3615" s="1" t="str">
        <f t="shared" si="1198"/>
        <v>已发货</v>
      </c>
      <c r="J3615" s="1" t="str">
        <f>"5"</f>
        <v>5</v>
      </c>
      <c r="K3615" s="1">
        <v>3</v>
      </c>
      <c r="L3615" s="1" t="s">
        <v>92</v>
      </c>
      <c r="M3615" s="1" t="str">
        <f>"辽宁省 大连市 沙河口区 "</f>
        <v xml:space="preserve">辽宁省 大连市 沙河口区 </v>
      </c>
      <c r="N3615" s="1" t="str">
        <f t="shared" si="1204"/>
        <v>凡华云仓-城南圆通-微信视频号</v>
      </c>
      <c r="O3615" s="5" t="s">
        <v>3646</v>
      </c>
      <c r="P3615" s="6">
        <v>0.56000000000000005</v>
      </c>
      <c r="Q3615" s="11">
        <f>CEILING(P3615-0.5,0.1)*10*0.15+2.3</f>
        <v>2.4499999999999997</v>
      </c>
      <c r="R3615" s="11"/>
      <c r="S3615" s="11"/>
      <c r="T3615" s="11"/>
      <c r="U3615" s="11">
        <f t="shared" si="1194"/>
        <v>2.4499999999999997</v>
      </c>
      <c r="V3615" t="s">
        <v>15</v>
      </c>
      <c r="W3615">
        <v>2.4500000000000002</v>
      </c>
      <c r="X3615" s="1" t="s">
        <v>92</v>
      </c>
    </row>
    <row r="3616" spans="1:24" x14ac:dyDescent="0.25">
      <c r="A3616" s="1" t="str">
        <f t="shared" si="1195"/>
        <v>卡卡杜-凤凰仓</v>
      </c>
      <c r="B3616" s="1" t="str">
        <f>"CK2024102219"</f>
        <v>CK2024102219</v>
      </c>
      <c r="C3616" s="1" t="str">
        <f>"DD2024102253572"</f>
        <v>DD2024102253572</v>
      </c>
      <c r="D3616" s="1" t="str">
        <f>"CK2024102251285"</f>
        <v>CK2024102251285</v>
      </c>
      <c r="E3616" s="1" t="str">
        <f>"3723480544057103360"</f>
        <v>3723480544057103360</v>
      </c>
      <c r="F3616" s="1" t="str">
        <f t="shared" si="1196"/>
        <v>花都四部-凤凰仓</v>
      </c>
      <c r="G3616" s="1" t="str">
        <f t="shared" si="1202"/>
        <v>卡卡杜企业店（视频号）</v>
      </c>
      <c r="H3616" s="1" t="str">
        <f t="shared" si="1197"/>
        <v>正常订单</v>
      </c>
      <c r="I3616" s="1" t="str">
        <f t="shared" si="1198"/>
        <v>已发货</v>
      </c>
      <c r="J3616" s="1" t="str">
        <f t="shared" si="1206"/>
        <v>3</v>
      </c>
      <c r="K3616" s="1">
        <v>3</v>
      </c>
      <c r="L3616" s="1" t="s">
        <v>30</v>
      </c>
      <c r="M3616" s="1" t="str">
        <f>"山东省 潍坊市 高密市 "</f>
        <v xml:space="preserve">山东省 潍坊市 高密市 </v>
      </c>
      <c r="N3616" s="1" t="str">
        <f t="shared" si="1204"/>
        <v>凡华云仓-城南圆通-微信视频号</v>
      </c>
      <c r="O3616" s="5" t="s">
        <v>3647</v>
      </c>
      <c r="P3616" s="6">
        <v>0.34</v>
      </c>
      <c r="Q3616" s="11">
        <v>2.2999999999999998</v>
      </c>
      <c r="R3616" s="11"/>
      <c r="S3616" s="11"/>
      <c r="T3616" s="11"/>
      <c r="U3616" s="11">
        <f t="shared" si="1194"/>
        <v>2.2999999999999998</v>
      </c>
      <c r="W3616">
        <v>2.5</v>
      </c>
      <c r="X3616" s="1" t="s">
        <v>30</v>
      </c>
    </row>
    <row r="3617" spans="1:24" x14ac:dyDescent="0.25">
      <c r="A3617" s="1" t="str">
        <f t="shared" si="1195"/>
        <v>卡卡杜-凤凰仓</v>
      </c>
      <c r="B3617" s="1" t="str">
        <f>"CK2024102220"</f>
        <v>CK2024102220</v>
      </c>
      <c r="C3617" s="1" t="str">
        <f>"DD2024102253574"</f>
        <v>DD2024102253574</v>
      </c>
      <c r="D3617" s="1" t="str">
        <f>"CK2024102251284"</f>
        <v>CK2024102251284</v>
      </c>
      <c r="E3617" s="1" t="str">
        <f>"3723480542403495424"</f>
        <v>3723480542403495424</v>
      </c>
      <c r="F3617" s="1" t="str">
        <f t="shared" si="1196"/>
        <v>花都四部-凤凰仓</v>
      </c>
      <c r="G3617" s="1" t="str">
        <f t="shared" si="1202"/>
        <v>卡卡杜企业店（视频号）</v>
      </c>
      <c r="H3617" s="1" t="str">
        <f t="shared" si="1197"/>
        <v>正常订单</v>
      </c>
      <c r="I3617" s="1" t="str">
        <f t="shared" si="1198"/>
        <v>已发货</v>
      </c>
      <c r="J3617" s="1" t="str">
        <f t="shared" si="1206"/>
        <v>3</v>
      </c>
      <c r="K3617" s="1">
        <v>3</v>
      </c>
      <c r="L3617" s="1" t="s">
        <v>16</v>
      </c>
      <c r="M3617" s="1" t="str">
        <f>"河北省 沧州市 黄骅市 "</f>
        <v xml:space="preserve">河北省 沧州市 黄骅市 </v>
      </c>
      <c r="N3617" s="1" t="str">
        <f t="shared" si="1204"/>
        <v>凡华云仓-城南圆通-微信视频号</v>
      </c>
      <c r="O3617" s="5" t="s">
        <v>3648</v>
      </c>
      <c r="P3617" s="6">
        <v>0.34</v>
      </c>
      <c r="Q3617" s="11">
        <v>2.2999999999999998</v>
      </c>
      <c r="R3617" s="11"/>
      <c r="S3617" s="11"/>
      <c r="T3617" s="11"/>
      <c r="U3617" s="11">
        <f t="shared" si="1194"/>
        <v>2.2999999999999998</v>
      </c>
      <c r="W3617">
        <v>2.5</v>
      </c>
      <c r="X3617" s="1" t="s">
        <v>16</v>
      </c>
    </row>
    <row r="3618" spans="1:24" x14ac:dyDescent="0.25">
      <c r="A3618" s="1" t="str">
        <f t="shared" si="1195"/>
        <v>卡卡杜-凤凰仓</v>
      </c>
      <c r="B3618" s="1" t="str">
        <f>"CK2024102222"</f>
        <v>CK2024102222</v>
      </c>
      <c r="C3618" s="1" t="str">
        <f>"DD2024102253573"</f>
        <v>DD2024102253573</v>
      </c>
      <c r="D3618" s="1" t="str">
        <f>"CK2024102251283"</f>
        <v>CK2024102251283</v>
      </c>
      <c r="E3618" s="1" t="str">
        <f>"3723480541316123648"</f>
        <v>3723480541316123648</v>
      </c>
      <c r="F3618" s="1" t="str">
        <f t="shared" si="1196"/>
        <v>花都四部-凤凰仓</v>
      </c>
      <c r="G3618" s="1" t="str">
        <f t="shared" si="1202"/>
        <v>卡卡杜企业店（视频号）</v>
      </c>
      <c r="H3618" s="1" t="str">
        <f t="shared" si="1197"/>
        <v>正常订单</v>
      </c>
      <c r="I3618" s="1" t="str">
        <f t="shared" si="1198"/>
        <v>已发货</v>
      </c>
      <c r="J3618" s="1" t="str">
        <f t="shared" si="1206"/>
        <v>3</v>
      </c>
      <c r="K3618" s="1">
        <v>3</v>
      </c>
      <c r="L3618" s="1" t="s">
        <v>30</v>
      </c>
      <c r="M3618" s="1" t="str">
        <f>"山东省 临沂市 兰山区 "</f>
        <v xml:space="preserve">山东省 临沂市 兰山区 </v>
      </c>
      <c r="N3618" s="1" t="str">
        <f t="shared" si="1204"/>
        <v>凡华云仓-城南圆通-微信视频号</v>
      </c>
      <c r="O3618" s="5" t="s">
        <v>3649</v>
      </c>
      <c r="P3618" s="6">
        <v>0.34</v>
      </c>
      <c r="Q3618" s="11">
        <v>2.2999999999999998</v>
      </c>
      <c r="R3618" s="11"/>
      <c r="S3618" s="11"/>
      <c r="T3618" s="11"/>
      <c r="U3618" s="11">
        <f t="shared" si="1194"/>
        <v>2.2999999999999998</v>
      </c>
      <c r="W3618">
        <v>2.5</v>
      </c>
      <c r="X3618" s="1" t="s">
        <v>30</v>
      </c>
    </row>
    <row r="3619" spans="1:24" x14ac:dyDescent="0.25">
      <c r="A3619" s="1" t="str">
        <f t="shared" si="1195"/>
        <v>卡卡杜-凤凰仓</v>
      </c>
      <c r="B3619" s="1" t="str">
        <f>"CK2024102221"</f>
        <v>CK2024102221</v>
      </c>
      <c r="C3619" s="1" t="str">
        <f>"DD2024102253576"</f>
        <v>DD2024102253576</v>
      </c>
      <c r="D3619" s="1" t="str">
        <f>"CK2024102251282"</f>
        <v>CK2024102251282</v>
      </c>
      <c r="E3619" s="1" t="str">
        <f>"3723480539456999424"</f>
        <v>3723480539456999424</v>
      </c>
      <c r="F3619" s="1" t="str">
        <f t="shared" si="1196"/>
        <v>花都四部-凤凰仓</v>
      </c>
      <c r="G3619" s="1" t="str">
        <f t="shared" si="1202"/>
        <v>卡卡杜企业店（视频号）</v>
      </c>
      <c r="H3619" s="1" t="str">
        <f t="shared" si="1197"/>
        <v>正常订单</v>
      </c>
      <c r="I3619" s="1" t="str">
        <f t="shared" si="1198"/>
        <v>已发货</v>
      </c>
      <c r="J3619" s="1" t="str">
        <f t="shared" si="1206"/>
        <v>3</v>
      </c>
      <c r="K3619" s="1">
        <v>3</v>
      </c>
      <c r="L3619" s="1" t="s">
        <v>13</v>
      </c>
      <c r="M3619" s="1" t="str">
        <f>"江苏省 常州市 新北区 "</f>
        <v xml:space="preserve">江苏省 常州市 新北区 </v>
      </c>
      <c r="N3619" s="1" t="str">
        <f t="shared" si="1204"/>
        <v>凡华云仓-城南圆通-微信视频号</v>
      </c>
      <c r="O3619" s="5" t="s">
        <v>3650</v>
      </c>
      <c r="P3619" s="6">
        <v>0.34</v>
      </c>
      <c r="Q3619" s="11">
        <v>2.2999999999999998</v>
      </c>
      <c r="R3619" s="11"/>
      <c r="S3619" s="11"/>
      <c r="T3619" s="11"/>
      <c r="U3619" s="11">
        <f t="shared" si="1194"/>
        <v>2.2999999999999998</v>
      </c>
      <c r="W3619">
        <v>2.5</v>
      </c>
      <c r="X3619" s="1" t="s">
        <v>13</v>
      </c>
    </row>
    <row r="3620" spans="1:24" x14ac:dyDescent="0.25">
      <c r="A3620" s="1" t="str">
        <f t="shared" si="1195"/>
        <v>卡卡杜-凤凰仓</v>
      </c>
      <c r="B3620" s="1" t="str">
        <f>"CK2024102223"</f>
        <v>CK2024102223</v>
      </c>
      <c r="C3620" s="1" t="str">
        <f>"DD2024102253575"</f>
        <v>DD2024102253575</v>
      </c>
      <c r="D3620" s="1" t="str">
        <f>"CK2024102251281"</f>
        <v>CK2024102251281</v>
      </c>
      <c r="E3620" s="1" t="str">
        <f>"3723480539521485825"</f>
        <v>3723480539521485825</v>
      </c>
      <c r="F3620" s="1" t="str">
        <f t="shared" si="1196"/>
        <v>花都四部-凤凰仓</v>
      </c>
      <c r="G3620" s="1" t="str">
        <f t="shared" si="1202"/>
        <v>卡卡杜企业店（视频号）</v>
      </c>
      <c r="H3620" s="1" t="str">
        <f t="shared" si="1197"/>
        <v>正常订单</v>
      </c>
      <c r="I3620" s="1" t="str">
        <f t="shared" si="1198"/>
        <v>已发货</v>
      </c>
      <c r="J3620" s="1" t="str">
        <f t="shared" si="1206"/>
        <v>3</v>
      </c>
      <c r="K3620" s="1">
        <v>3</v>
      </c>
      <c r="L3620" s="1" t="s">
        <v>30</v>
      </c>
      <c r="M3620" s="1" t="str">
        <f>"山东省 淄博市 周村区 "</f>
        <v xml:space="preserve">山东省 淄博市 周村区 </v>
      </c>
      <c r="N3620" s="1" t="str">
        <f t="shared" si="1204"/>
        <v>凡华云仓-城南圆通-微信视频号</v>
      </c>
      <c r="O3620" s="5" t="s">
        <v>3651</v>
      </c>
      <c r="P3620" s="6">
        <v>0.34</v>
      </c>
      <c r="Q3620" s="11">
        <v>2.2999999999999998</v>
      </c>
      <c r="R3620" s="11"/>
      <c r="S3620" s="11"/>
      <c r="T3620" s="11"/>
      <c r="U3620" s="11">
        <f t="shared" si="1194"/>
        <v>2.2999999999999998</v>
      </c>
      <c r="W3620">
        <v>2.5</v>
      </c>
      <c r="X3620" s="1" t="s">
        <v>30</v>
      </c>
    </row>
    <row r="3621" spans="1:24" x14ac:dyDescent="0.25">
      <c r="A3621" s="1" t="str">
        <f t="shared" si="1195"/>
        <v>卡卡杜-凤凰仓</v>
      </c>
      <c r="B3621" s="1" t="str">
        <f>"CK2024102224"</f>
        <v>CK2024102224</v>
      </c>
      <c r="C3621" s="1" t="str">
        <f>"DD2024102253571"</f>
        <v>DD2024102253571</v>
      </c>
      <c r="D3621" s="1" t="str">
        <f>"CK2024102251280"</f>
        <v>CK2024102251280</v>
      </c>
      <c r="E3621" s="1" t="str">
        <f>"3723480539049890817"</f>
        <v>3723480539049890817</v>
      </c>
      <c r="F3621" s="1" t="str">
        <f t="shared" si="1196"/>
        <v>花都四部-凤凰仓</v>
      </c>
      <c r="G3621" s="1" t="str">
        <f t="shared" si="1202"/>
        <v>卡卡杜企业店（视频号）</v>
      </c>
      <c r="H3621" s="1" t="str">
        <f t="shared" si="1197"/>
        <v>正常订单</v>
      </c>
      <c r="I3621" s="1" t="str">
        <f t="shared" si="1198"/>
        <v>已发货</v>
      </c>
      <c r="J3621" s="1" t="str">
        <f t="shared" si="1206"/>
        <v>3</v>
      </c>
      <c r="K3621" s="1">
        <v>3</v>
      </c>
      <c r="L3621" s="1" t="s">
        <v>13</v>
      </c>
      <c r="M3621" s="1" t="str">
        <f>"江苏省 无锡市 宜兴市 "</f>
        <v xml:space="preserve">江苏省 无锡市 宜兴市 </v>
      </c>
      <c r="N3621" s="1" t="str">
        <f t="shared" si="1204"/>
        <v>凡华云仓-城南圆通-微信视频号</v>
      </c>
      <c r="O3621" s="5" t="s">
        <v>3652</v>
      </c>
      <c r="P3621" s="6">
        <v>0.34</v>
      </c>
      <c r="Q3621" s="11">
        <v>2.2999999999999998</v>
      </c>
      <c r="R3621" s="11"/>
      <c r="S3621" s="11"/>
      <c r="T3621" s="11"/>
      <c r="U3621" s="11">
        <f t="shared" si="1194"/>
        <v>2.2999999999999998</v>
      </c>
      <c r="W3621">
        <v>2.5</v>
      </c>
      <c r="X3621" s="1" t="s">
        <v>13</v>
      </c>
    </row>
    <row r="3622" spans="1:24" x14ac:dyDescent="0.25">
      <c r="A3622" s="1" t="str">
        <f t="shared" si="1195"/>
        <v>卡卡杜-凤凰仓</v>
      </c>
      <c r="B3622" s="1" t="str">
        <f>"CK2024102225"</f>
        <v>CK2024102225</v>
      </c>
      <c r="C3622" s="1" t="str">
        <f>"DD2024102253577"</f>
        <v>DD2024102253577</v>
      </c>
      <c r="D3622" s="1" t="str">
        <f>"CK2024102251279"</f>
        <v>CK2024102251279</v>
      </c>
      <c r="E3622" s="1" t="str">
        <f>"3723480536829006848"</f>
        <v>3723480536829006848</v>
      </c>
      <c r="F3622" s="1" t="str">
        <f t="shared" si="1196"/>
        <v>花都四部-凤凰仓</v>
      </c>
      <c r="G3622" s="1" t="str">
        <f t="shared" si="1202"/>
        <v>卡卡杜企业店（视频号）</v>
      </c>
      <c r="H3622" s="1" t="str">
        <f t="shared" si="1197"/>
        <v>正常订单</v>
      </c>
      <c r="I3622" s="1" t="str">
        <f t="shared" si="1198"/>
        <v>已发货</v>
      </c>
      <c r="J3622" s="1" t="str">
        <f t="shared" si="1206"/>
        <v>3</v>
      </c>
      <c r="K3622" s="1">
        <v>3</v>
      </c>
      <c r="L3622" s="1" t="s">
        <v>182</v>
      </c>
      <c r="M3622" s="1" t="str">
        <f>"新疆维吾尔自治区 吐鲁番市 托克逊县 "</f>
        <v xml:space="preserve">新疆维吾尔自治区 吐鲁番市 托克逊县 </v>
      </c>
      <c r="N3622" s="1" t="str">
        <f t="shared" si="1204"/>
        <v>凡华云仓-城南圆通-微信视频号</v>
      </c>
      <c r="O3622" s="5" t="s">
        <v>3653</v>
      </c>
      <c r="P3622" s="6">
        <v>0.34</v>
      </c>
      <c r="Q3622" s="11">
        <v>17</v>
      </c>
      <c r="R3622" s="11"/>
      <c r="S3622" s="11"/>
      <c r="T3622" s="11"/>
      <c r="U3622" s="11">
        <f t="shared" si="1194"/>
        <v>17</v>
      </c>
      <c r="W3622">
        <v>17</v>
      </c>
      <c r="X3622" s="1" t="s">
        <v>182</v>
      </c>
    </row>
    <row r="3623" spans="1:24" x14ac:dyDescent="0.25">
      <c r="A3623" s="1" t="str">
        <f t="shared" si="1195"/>
        <v>卡卡杜-凤凰仓</v>
      </c>
      <c r="B3623" s="1" t="str">
        <f>"CK2024102226"</f>
        <v>CK2024102226</v>
      </c>
      <c r="C3623" s="1" t="str">
        <f>"DD2024102253581"</f>
        <v>DD2024102253581</v>
      </c>
      <c r="D3623" s="1" t="str">
        <f>"CK2024102251278"</f>
        <v>CK2024102251278</v>
      </c>
      <c r="E3623" s="1" t="str">
        <f>"3723480531058692096"</f>
        <v>3723480531058692096</v>
      </c>
      <c r="F3623" s="1" t="str">
        <f t="shared" si="1196"/>
        <v>花都四部-凤凰仓</v>
      </c>
      <c r="G3623" s="1" t="str">
        <f t="shared" si="1202"/>
        <v>卡卡杜企业店（视频号）</v>
      </c>
      <c r="H3623" s="1" t="str">
        <f t="shared" si="1197"/>
        <v>正常订单</v>
      </c>
      <c r="I3623" s="1" t="str">
        <f t="shared" si="1198"/>
        <v>已发货</v>
      </c>
      <c r="J3623" s="1" t="str">
        <f t="shared" si="1206"/>
        <v>3</v>
      </c>
      <c r="K3623" s="1">
        <v>3</v>
      </c>
      <c r="L3623" s="1" t="s">
        <v>105</v>
      </c>
      <c r="M3623" s="1" t="str">
        <f>"北京 北京市 西城区 "</f>
        <v xml:space="preserve">北京 北京市 西城区 </v>
      </c>
      <c r="N3623" s="1" t="str">
        <f t="shared" si="1204"/>
        <v>凡华云仓-城南圆通-微信视频号</v>
      </c>
      <c r="O3623" s="5" t="s">
        <v>3654</v>
      </c>
      <c r="P3623" s="6">
        <v>0.34</v>
      </c>
      <c r="Q3623" s="11">
        <v>2.2999999999999998</v>
      </c>
      <c r="R3623" s="11"/>
      <c r="S3623" s="11"/>
      <c r="T3623" s="11"/>
      <c r="U3623" s="11">
        <f t="shared" si="1194"/>
        <v>2.2999999999999998</v>
      </c>
      <c r="W3623">
        <v>2.5</v>
      </c>
      <c r="X3623" s="1" t="s">
        <v>105</v>
      </c>
    </row>
    <row r="3624" spans="1:24" x14ac:dyDescent="0.25">
      <c r="A3624" s="1" t="str">
        <f t="shared" si="1195"/>
        <v>卡卡杜-凤凰仓</v>
      </c>
      <c r="B3624" s="1" t="str">
        <f>"CK2024102227"</f>
        <v>CK2024102227</v>
      </c>
      <c r="C3624" s="1" t="str">
        <f>"DD2024102253578"</f>
        <v>DD2024102253578</v>
      </c>
      <c r="D3624" s="1" t="str">
        <f>"CK2024102251277"</f>
        <v>CK2024102251277</v>
      </c>
      <c r="E3624" s="1" t="str">
        <f>"3723480524828840960"</f>
        <v>3723480524828840960</v>
      </c>
      <c r="F3624" s="1" t="str">
        <f t="shared" si="1196"/>
        <v>花都四部-凤凰仓</v>
      </c>
      <c r="G3624" s="1" t="str">
        <f t="shared" si="1202"/>
        <v>卡卡杜企业店（视频号）</v>
      </c>
      <c r="H3624" s="1" t="str">
        <f t="shared" si="1197"/>
        <v>正常订单</v>
      </c>
      <c r="I3624" s="1" t="str">
        <f t="shared" si="1198"/>
        <v>已发货</v>
      </c>
      <c r="J3624" s="1" t="str">
        <f t="shared" si="1206"/>
        <v>3</v>
      </c>
      <c r="K3624" s="1">
        <v>3</v>
      </c>
      <c r="L3624" s="1" t="s">
        <v>94</v>
      </c>
      <c r="M3624" s="1" t="str">
        <f>"湖南省 永州市 冷水滩区 "</f>
        <v xml:space="preserve">湖南省 永州市 冷水滩区 </v>
      </c>
      <c r="N3624" s="1" t="str">
        <f t="shared" si="1204"/>
        <v>凡华云仓-城南圆通-微信视频号</v>
      </c>
      <c r="O3624" s="5" t="s">
        <v>3655</v>
      </c>
      <c r="P3624" s="6">
        <v>0.34</v>
      </c>
      <c r="Q3624" s="11">
        <v>2.2999999999999998</v>
      </c>
      <c r="R3624" s="11"/>
      <c r="S3624" s="11"/>
      <c r="T3624" s="11"/>
      <c r="U3624" s="11">
        <f t="shared" si="1194"/>
        <v>2.2999999999999998</v>
      </c>
      <c r="W3624">
        <v>2.5</v>
      </c>
      <c r="X3624" s="1" t="s">
        <v>94</v>
      </c>
    </row>
    <row r="3625" spans="1:24" x14ac:dyDescent="0.25">
      <c r="A3625" s="1" t="str">
        <f t="shared" si="1195"/>
        <v>卡卡杜-凤凰仓</v>
      </c>
      <c r="B3625" s="1" t="str">
        <f>"CK2024102229"</f>
        <v>CK2024102229</v>
      </c>
      <c r="C3625" s="1" t="str">
        <f>"DD2024102253579"</f>
        <v>DD2024102253579</v>
      </c>
      <c r="D3625" s="1" t="str">
        <f>"CK2024102251275"</f>
        <v>CK2024102251275</v>
      </c>
      <c r="E3625" s="1" t="str">
        <f>"3723480525298340864"</f>
        <v>3723480525298340864</v>
      </c>
      <c r="F3625" s="1" t="str">
        <f t="shared" si="1196"/>
        <v>花都四部-凤凰仓</v>
      </c>
      <c r="G3625" s="1" t="str">
        <f t="shared" si="1202"/>
        <v>卡卡杜企业店（视频号）</v>
      </c>
      <c r="H3625" s="1" t="str">
        <f t="shared" si="1197"/>
        <v>正常订单</v>
      </c>
      <c r="I3625" s="1" t="str">
        <f t="shared" si="1198"/>
        <v>已发货</v>
      </c>
      <c r="J3625" s="1" t="str">
        <f t="shared" si="1206"/>
        <v>3</v>
      </c>
      <c r="K3625" s="1">
        <v>3</v>
      </c>
      <c r="L3625" s="1" t="s">
        <v>218</v>
      </c>
      <c r="M3625" s="1" t="str">
        <f>"天津 天津市 西青区 "</f>
        <v xml:space="preserve">天津 天津市 西青区 </v>
      </c>
      <c r="N3625" s="1" t="str">
        <f t="shared" si="1204"/>
        <v>凡华云仓-城南圆通-微信视频号</v>
      </c>
      <c r="O3625" s="5" t="s">
        <v>3656</v>
      </c>
      <c r="P3625" s="6">
        <v>0.34</v>
      </c>
      <c r="Q3625" s="11">
        <v>2.2999999999999998</v>
      </c>
      <c r="R3625" s="11"/>
      <c r="S3625" s="11"/>
      <c r="T3625" s="11"/>
      <c r="U3625" s="11">
        <f t="shared" si="1194"/>
        <v>2.2999999999999998</v>
      </c>
      <c r="W3625">
        <v>2.5</v>
      </c>
      <c r="X3625" s="1" t="s">
        <v>218</v>
      </c>
    </row>
    <row r="3626" spans="1:24" x14ac:dyDescent="0.25">
      <c r="A3626" s="1" t="str">
        <f t="shared" si="1195"/>
        <v>卡卡杜-凤凰仓</v>
      </c>
      <c r="B3626" s="1" t="str">
        <f>"CK2024102232"</f>
        <v>CK2024102232</v>
      </c>
      <c r="C3626" s="1" t="str">
        <f>"DD2024102253584"</f>
        <v>DD2024102253584</v>
      </c>
      <c r="D3626" s="1" t="str">
        <f>"CK2024102251274"</f>
        <v>CK2024102251274</v>
      </c>
      <c r="E3626" s="1" t="str">
        <f>"3723480520913193984"</f>
        <v>3723480520913193984</v>
      </c>
      <c r="F3626" s="1" t="str">
        <f t="shared" si="1196"/>
        <v>花都四部-凤凰仓</v>
      </c>
      <c r="G3626" s="1" t="str">
        <f t="shared" si="1202"/>
        <v>卡卡杜企业店（视频号）</v>
      </c>
      <c r="H3626" s="1" t="str">
        <f t="shared" si="1197"/>
        <v>正常订单</v>
      </c>
      <c r="I3626" s="1" t="str">
        <f t="shared" si="1198"/>
        <v>已发货</v>
      </c>
      <c r="J3626" s="1" t="str">
        <f t="shared" si="1206"/>
        <v>3</v>
      </c>
      <c r="K3626" s="1">
        <v>3</v>
      </c>
      <c r="L3626" s="1" t="s">
        <v>30</v>
      </c>
      <c r="M3626" s="1" t="str">
        <f>"山东省 烟台市 蓬莱区 "</f>
        <v xml:space="preserve">山东省 烟台市 蓬莱区 </v>
      </c>
      <c r="N3626" s="1" t="str">
        <f t="shared" si="1204"/>
        <v>凡华云仓-城南圆通-微信视频号</v>
      </c>
      <c r="O3626" s="5" t="s">
        <v>3657</v>
      </c>
      <c r="P3626" s="6">
        <v>0.34</v>
      </c>
      <c r="Q3626" s="11">
        <v>2.2999999999999998</v>
      </c>
      <c r="R3626" s="11"/>
      <c r="S3626" s="11"/>
      <c r="T3626" s="11"/>
      <c r="U3626" s="11">
        <f t="shared" si="1194"/>
        <v>2.2999999999999998</v>
      </c>
      <c r="W3626">
        <v>2.5</v>
      </c>
      <c r="X3626" s="1" t="s">
        <v>30</v>
      </c>
    </row>
    <row r="3627" spans="1:24" x14ac:dyDescent="0.25">
      <c r="A3627" s="1" t="str">
        <f t="shared" si="1195"/>
        <v>卡卡杜-凤凰仓</v>
      </c>
      <c r="B3627" s="1" t="str">
        <f>"CK2024102230"</f>
        <v>CK2024102230</v>
      </c>
      <c r="C3627" s="1" t="str">
        <f>"DD2024102253582"</f>
        <v>DD2024102253582</v>
      </c>
      <c r="D3627" s="1" t="str">
        <f>"CK2024102251273"</f>
        <v>CK2024102251273</v>
      </c>
      <c r="E3627" s="1" t="str">
        <f>"3723480522845196288"</f>
        <v>3723480522845196288</v>
      </c>
      <c r="F3627" s="1" t="str">
        <f t="shared" si="1196"/>
        <v>花都四部-凤凰仓</v>
      </c>
      <c r="G3627" s="1" t="str">
        <f t="shared" si="1202"/>
        <v>卡卡杜企业店（视频号）</v>
      </c>
      <c r="H3627" s="1" t="str">
        <f t="shared" si="1197"/>
        <v>正常订单</v>
      </c>
      <c r="I3627" s="1" t="str">
        <f t="shared" si="1198"/>
        <v>已发货</v>
      </c>
      <c r="J3627" s="1" t="str">
        <f t="shared" si="1206"/>
        <v>3</v>
      </c>
      <c r="K3627" s="1">
        <v>3</v>
      </c>
      <c r="L3627" s="1" t="s">
        <v>74</v>
      </c>
      <c r="M3627" s="1" t="str">
        <f>"上海 上海市 浦东新区 "</f>
        <v xml:space="preserve">上海 上海市 浦东新区 </v>
      </c>
      <c r="N3627" s="1" t="str">
        <f t="shared" si="1204"/>
        <v>凡华云仓-城南圆通-微信视频号</v>
      </c>
      <c r="O3627" s="5" t="s">
        <v>3658</v>
      </c>
      <c r="P3627" s="6">
        <v>0.34</v>
      </c>
      <c r="Q3627" s="11">
        <v>2.2999999999999998</v>
      </c>
      <c r="R3627" s="11"/>
      <c r="S3627" s="11"/>
      <c r="T3627" s="11"/>
      <c r="U3627" s="11">
        <f t="shared" si="1194"/>
        <v>2.2999999999999998</v>
      </c>
      <c r="W3627">
        <v>2.5</v>
      </c>
      <c r="X3627" s="1" t="s">
        <v>74</v>
      </c>
    </row>
    <row r="3628" spans="1:24" x14ac:dyDescent="0.25">
      <c r="A3628" s="1" t="str">
        <f t="shared" si="1195"/>
        <v>卡卡杜-凤凰仓</v>
      </c>
      <c r="B3628" s="1" t="str">
        <f>"CK2024102247"</f>
        <v>CK2024102247</v>
      </c>
      <c r="C3628" s="1" t="str">
        <f>"DD2024102253598"</f>
        <v>DD2024102253598</v>
      </c>
      <c r="D3628" s="1" t="str">
        <f>"CK2024102251272"</f>
        <v>CK2024102251272</v>
      </c>
      <c r="E3628" s="1" t="str">
        <f>"3723480505713034496"</f>
        <v>3723480505713034496</v>
      </c>
      <c r="F3628" s="1" t="str">
        <f t="shared" si="1196"/>
        <v>花都四部-凤凰仓</v>
      </c>
      <c r="G3628" s="1" t="str">
        <f t="shared" si="1202"/>
        <v>卡卡杜企业店（视频号）</v>
      </c>
      <c r="H3628" s="1" t="str">
        <f t="shared" si="1197"/>
        <v>正常订单</v>
      </c>
      <c r="I3628" s="1" t="str">
        <f t="shared" si="1198"/>
        <v>已发货</v>
      </c>
      <c r="J3628" s="1" t="str">
        <f t="shared" si="1206"/>
        <v>3</v>
      </c>
      <c r="K3628" s="1">
        <v>3</v>
      </c>
      <c r="L3628" s="1" t="s">
        <v>92</v>
      </c>
      <c r="M3628" s="1" t="str">
        <f>"辽宁省 鞍山市 海城市 "</f>
        <v xml:space="preserve">辽宁省 鞍山市 海城市 </v>
      </c>
      <c r="N3628" s="1" t="str">
        <f t="shared" si="1204"/>
        <v>凡华云仓-城南圆通-微信视频号</v>
      </c>
      <c r="O3628" s="5" t="s">
        <v>3659</v>
      </c>
      <c r="P3628" s="6">
        <v>0.34</v>
      </c>
      <c r="Q3628" s="11">
        <v>2.2999999999999998</v>
      </c>
      <c r="R3628" s="11"/>
      <c r="S3628" s="11"/>
      <c r="T3628" s="11"/>
      <c r="U3628" s="11">
        <f t="shared" si="1194"/>
        <v>2.2999999999999998</v>
      </c>
      <c r="W3628">
        <v>2.5</v>
      </c>
      <c r="X3628" s="1" t="s">
        <v>92</v>
      </c>
    </row>
    <row r="3629" spans="1:24" x14ac:dyDescent="0.25">
      <c r="A3629" s="1" t="str">
        <f t="shared" si="1195"/>
        <v>卡卡杜-凤凰仓</v>
      </c>
      <c r="B3629" s="1" t="str">
        <f>"CK2024102231"</f>
        <v>CK2024102231</v>
      </c>
      <c r="C3629" s="1" t="str">
        <f>"DD2024102253583"</f>
        <v>DD2024102253583</v>
      </c>
      <c r="D3629" s="1" t="str">
        <f>"CK2024102251271"</f>
        <v>CK2024102251271</v>
      </c>
      <c r="E3629" s="1" t="str">
        <f>"3723480521007565824"</f>
        <v>3723480521007565824</v>
      </c>
      <c r="F3629" s="1" t="str">
        <f t="shared" si="1196"/>
        <v>花都四部-凤凰仓</v>
      </c>
      <c r="G3629" s="1" t="str">
        <f t="shared" si="1202"/>
        <v>卡卡杜企业店（视频号）</v>
      </c>
      <c r="H3629" s="1" t="str">
        <f t="shared" si="1197"/>
        <v>正常订单</v>
      </c>
      <c r="I3629" s="1" t="str">
        <f t="shared" si="1198"/>
        <v>已发货</v>
      </c>
      <c r="J3629" s="1" t="str">
        <f t="shared" si="1206"/>
        <v>3</v>
      </c>
      <c r="K3629" s="1">
        <v>3</v>
      </c>
      <c r="L3629" s="1" t="s">
        <v>187</v>
      </c>
      <c r="M3629" s="1" t="str">
        <f>"吉林省 松原市 宁江区 "</f>
        <v xml:space="preserve">吉林省 松原市 宁江区 </v>
      </c>
      <c r="N3629" s="1" t="str">
        <f t="shared" si="1204"/>
        <v>凡华云仓-城南圆通-微信视频号</v>
      </c>
      <c r="O3629" s="5" t="s">
        <v>3660</v>
      </c>
      <c r="P3629" s="6">
        <v>0.34</v>
      </c>
      <c r="Q3629" s="11">
        <v>2.2999999999999998</v>
      </c>
      <c r="R3629" s="11"/>
      <c r="S3629" s="11"/>
      <c r="T3629" s="11"/>
      <c r="U3629" s="11">
        <f t="shared" si="1194"/>
        <v>2.2999999999999998</v>
      </c>
      <c r="W3629">
        <v>2.5</v>
      </c>
      <c r="X3629" s="1" t="s">
        <v>187</v>
      </c>
    </row>
    <row r="3630" spans="1:24" x14ac:dyDescent="0.25">
      <c r="A3630" s="1" t="str">
        <f t="shared" si="1195"/>
        <v>卡卡杜-凤凰仓</v>
      </c>
      <c r="B3630" s="1" t="str">
        <f>"CK2024102235"</f>
        <v>CK2024102235</v>
      </c>
      <c r="C3630" s="1" t="str">
        <f>"DD2024102253586"</f>
        <v>DD2024102253586</v>
      </c>
      <c r="D3630" s="1" t="str">
        <f>"CK2024102251270"</f>
        <v>CK2024102251270</v>
      </c>
      <c r="E3630" s="1" t="str">
        <f>"3723480518009162752"</f>
        <v>3723480518009162752</v>
      </c>
      <c r="F3630" s="1" t="str">
        <f t="shared" si="1196"/>
        <v>花都四部-凤凰仓</v>
      </c>
      <c r="G3630" s="1" t="str">
        <f t="shared" si="1202"/>
        <v>卡卡杜企业店（视频号）</v>
      </c>
      <c r="H3630" s="1" t="str">
        <f t="shared" si="1197"/>
        <v>正常订单</v>
      </c>
      <c r="I3630" s="1" t="str">
        <f t="shared" si="1198"/>
        <v>已发货</v>
      </c>
      <c r="J3630" s="1" t="str">
        <f t="shared" si="1206"/>
        <v>3</v>
      </c>
      <c r="K3630" s="1">
        <v>3</v>
      </c>
      <c r="L3630" s="1" t="s">
        <v>80</v>
      </c>
      <c r="M3630" s="1" t="str">
        <f>"河南省 焦作市 解放区 "</f>
        <v xml:space="preserve">河南省 焦作市 解放区 </v>
      </c>
      <c r="N3630" s="1" t="str">
        <f t="shared" si="1204"/>
        <v>凡华云仓-城南圆通-微信视频号</v>
      </c>
      <c r="O3630" s="5" t="s">
        <v>3661</v>
      </c>
      <c r="P3630" s="6">
        <v>0.34</v>
      </c>
      <c r="Q3630" s="11">
        <v>2.2999999999999998</v>
      </c>
      <c r="R3630" s="11"/>
      <c r="S3630" s="11"/>
      <c r="T3630" s="11"/>
      <c r="U3630" s="11">
        <f t="shared" si="1194"/>
        <v>2.2999999999999998</v>
      </c>
      <c r="W3630">
        <v>2.5</v>
      </c>
      <c r="X3630" s="1" t="s">
        <v>80</v>
      </c>
    </row>
    <row r="3631" spans="1:24" x14ac:dyDescent="0.25">
      <c r="A3631" s="1" t="str">
        <f t="shared" si="1195"/>
        <v>卡卡杜-凤凰仓</v>
      </c>
      <c r="B3631" s="1" t="str">
        <f>"CK2024102234"</f>
        <v>CK2024102234</v>
      </c>
      <c r="C3631" s="1" t="str">
        <f>"DD2024102253587"</f>
        <v>DD2024102253587</v>
      </c>
      <c r="D3631" s="1" t="str">
        <f>"CK2024102251268"</f>
        <v>CK2024102251268</v>
      </c>
      <c r="E3631" s="1" t="str">
        <f>"3723480520237912064"</f>
        <v>3723480520237912064</v>
      </c>
      <c r="F3631" s="1" t="str">
        <f t="shared" si="1196"/>
        <v>花都四部-凤凰仓</v>
      </c>
      <c r="G3631" s="1" t="str">
        <f t="shared" si="1202"/>
        <v>卡卡杜企业店（视频号）</v>
      </c>
      <c r="H3631" s="1" t="str">
        <f t="shared" si="1197"/>
        <v>正常订单</v>
      </c>
      <c r="I3631" s="1" t="str">
        <f t="shared" si="1198"/>
        <v>已发货</v>
      </c>
      <c r="J3631" s="1" t="str">
        <f t="shared" si="1206"/>
        <v>3</v>
      </c>
      <c r="K3631" s="1">
        <v>3</v>
      </c>
      <c r="L3631" s="1" t="s">
        <v>187</v>
      </c>
      <c r="M3631" s="1" t="str">
        <f>"吉林省 长春市 宽城区 "</f>
        <v xml:space="preserve">吉林省 长春市 宽城区 </v>
      </c>
      <c r="N3631" s="1" t="str">
        <f t="shared" si="1204"/>
        <v>凡华云仓-城南圆通-微信视频号</v>
      </c>
      <c r="O3631" s="5" t="s">
        <v>3662</v>
      </c>
      <c r="P3631" s="6">
        <v>0.34</v>
      </c>
      <c r="Q3631" s="11">
        <v>2.2999999999999998</v>
      </c>
      <c r="R3631" s="11"/>
      <c r="S3631" s="11"/>
      <c r="T3631" s="11"/>
      <c r="U3631" s="11">
        <f t="shared" si="1194"/>
        <v>2.2999999999999998</v>
      </c>
      <c r="W3631">
        <v>2.5</v>
      </c>
      <c r="X3631" s="1" t="s">
        <v>187</v>
      </c>
    </row>
    <row r="3632" spans="1:24" x14ac:dyDescent="0.25">
      <c r="A3632" s="1" t="str">
        <f t="shared" si="1195"/>
        <v>卡卡杜-凤凰仓</v>
      </c>
      <c r="B3632" s="1" t="str">
        <f>"CK2024102239"</f>
        <v>CK2024102239</v>
      </c>
      <c r="C3632" s="1" t="str">
        <f>"DD2024102253590"</f>
        <v>DD2024102253590</v>
      </c>
      <c r="D3632" s="1" t="str">
        <f>"CK2024102251267"</f>
        <v>CK2024102251267</v>
      </c>
      <c r="E3632" s="1" t="str">
        <f>"3723480507802060032"</f>
        <v>3723480507802060032</v>
      </c>
      <c r="F3632" s="1" t="str">
        <f t="shared" si="1196"/>
        <v>花都四部-凤凰仓</v>
      </c>
      <c r="G3632" s="1" t="str">
        <f t="shared" si="1202"/>
        <v>卡卡杜企业店（视频号）</v>
      </c>
      <c r="H3632" s="1" t="str">
        <f t="shared" si="1197"/>
        <v>正常订单</v>
      </c>
      <c r="I3632" s="1" t="str">
        <f t="shared" si="1198"/>
        <v>已发货</v>
      </c>
      <c r="J3632" s="1" t="str">
        <f t="shared" si="1206"/>
        <v>3</v>
      </c>
      <c r="K3632" s="1">
        <v>3</v>
      </c>
      <c r="L3632" s="1" t="s">
        <v>41</v>
      </c>
      <c r="M3632" s="1" t="str">
        <f>"湖北省 武汉市 江岸区 "</f>
        <v xml:space="preserve">湖北省 武汉市 江岸区 </v>
      </c>
      <c r="N3632" s="1" t="str">
        <f t="shared" si="1204"/>
        <v>凡华云仓-城南圆通-微信视频号</v>
      </c>
      <c r="O3632" s="5" t="s">
        <v>3663</v>
      </c>
      <c r="P3632" s="6">
        <v>0.34</v>
      </c>
      <c r="Q3632" s="11">
        <v>2.2999999999999998</v>
      </c>
      <c r="R3632" s="11"/>
      <c r="S3632" s="11"/>
      <c r="T3632" s="11"/>
      <c r="U3632" s="11">
        <f t="shared" si="1194"/>
        <v>2.2999999999999998</v>
      </c>
      <c r="W3632">
        <v>2.5</v>
      </c>
      <c r="X3632" s="1" t="s">
        <v>41</v>
      </c>
    </row>
    <row r="3633" spans="1:24" x14ac:dyDescent="0.25">
      <c r="A3633" s="1" t="str">
        <f t="shared" si="1195"/>
        <v>卡卡杜-凤凰仓</v>
      </c>
      <c r="B3633" s="1" t="str">
        <f>"CK2024102236"</f>
        <v>CK2024102236</v>
      </c>
      <c r="C3633" s="1" t="str">
        <f>"DD2024102253588"</f>
        <v>DD2024102253588</v>
      </c>
      <c r="D3633" s="1" t="str">
        <f>"CK2024102251266"</f>
        <v>CK2024102251266</v>
      </c>
      <c r="E3633" s="1" t="str">
        <f>"3723480519320671232"</f>
        <v>3723480519320671232</v>
      </c>
      <c r="F3633" s="1" t="str">
        <f t="shared" si="1196"/>
        <v>花都四部-凤凰仓</v>
      </c>
      <c r="G3633" s="1" t="str">
        <f t="shared" si="1202"/>
        <v>卡卡杜企业店（视频号）</v>
      </c>
      <c r="H3633" s="1" t="str">
        <f t="shared" si="1197"/>
        <v>正常订单</v>
      </c>
      <c r="I3633" s="1" t="str">
        <f t="shared" si="1198"/>
        <v>已发货</v>
      </c>
      <c r="J3633" s="1" t="str">
        <f t="shared" si="1206"/>
        <v>3</v>
      </c>
      <c r="K3633" s="1">
        <v>3</v>
      </c>
      <c r="L3633" s="1" t="s">
        <v>92</v>
      </c>
      <c r="M3633" s="1" t="str">
        <f>"辽宁省 大连市 中山区 "</f>
        <v xml:space="preserve">辽宁省 大连市 中山区 </v>
      </c>
      <c r="N3633" s="1" t="str">
        <f t="shared" si="1204"/>
        <v>凡华云仓-城南圆通-微信视频号</v>
      </c>
      <c r="O3633" s="5" t="s">
        <v>3664</v>
      </c>
      <c r="P3633" s="6">
        <v>0.34</v>
      </c>
      <c r="Q3633" s="11">
        <v>2.2999999999999998</v>
      </c>
      <c r="R3633" s="11"/>
      <c r="S3633" s="11"/>
      <c r="T3633" s="11"/>
      <c r="U3633" s="11">
        <f t="shared" si="1194"/>
        <v>2.2999999999999998</v>
      </c>
      <c r="W3633">
        <v>2.5</v>
      </c>
      <c r="X3633" s="1" t="s">
        <v>92</v>
      </c>
    </row>
    <row r="3634" spans="1:24" x14ac:dyDescent="0.25">
      <c r="A3634" s="1" t="str">
        <f t="shared" si="1195"/>
        <v>卡卡杜-凤凰仓</v>
      </c>
      <c r="B3634" s="1" t="str">
        <f>"CK2024102255"</f>
        <v>CK2024102255</v>
      </c>
      <c r="C3634" s="1" t="str">
        <f>"DD2024102253606"</f>
        <v>DD2024102253606</v>
      </c>
      <c r="D3634" s="1" t="str">
        <f>"CK2024102251265"</f>
        <v>CK2024102251265</v>
      </c>
      <c r="E3634" s="1" t="str">
        <f>"3723480499188008192"</f>
        <v>3723480499188008192</v>
      </c>
      <c r="F3634" s="1" t="str">
        <f t="shared" si="1196"/>
        <v>花都四部-凤凰仓</v>
      </c>
      <c r="G3634" s="1" t="str">
        <f t="shared" si="1202"/>
        <v>卡卡杜企业店（视频号）</v>
      </c>
      <c r="H3634" s="1" t="str">
        <f t="shared" si="1197"/>
        <v>正常订单</v>
      </c>
      <c r="I3634" s="1" t="str">
        <f t="shared" si="1198"/>
        <v>已发货</v>
      </c>
      <c r="J3634" s="1" t="str">
        <f t="shared" si="1206"/>
        <v>3</v>
      </c>
      <c r="K3634" s="1">
        <v>3</v>
      </c>
      <c r="L3634" s="1" t="s">
        <v>16</v>
      </c>
      <c r="M3634" s="1" t="str">
        <f>"河北省 廊坊市 广阳区 "</f>
        <v xml:space="preserve">河北省 廊坊市 广阳区 </v>
      </c>
      <c r="N3634" s="1" t="str">
        <f t="shared" si="1204"/>
        <v>凡华云仓-城南圆通-微信视频号</v>
      </c>
      <c r="O3634" s="5" t="s">
        <v>3665</v>
      </c>
      <c r="P3634" s="6">
        <v>0.34</v>
      </c>
      <c r="Q3634" s="11">
        <v>2.2999999999999998</v>
      </c>
      <c r="R3634" s="11"/>
      <c r="S3634" s="11"/>
      <c r="T3634" s="11"/>
      <c r="U3634" s="11">
        <f t="shared" si="1194"/>
        <v>2.2999999999999998</v>
      </c>
      <c r="W3634">
        <v>2.5</v>
      </c>
      <c r="X3634" s="1" t="s">
        <v>16</v>
      </c>
    </row>
    <row r="3635" spans="1:24" x14ac:dyDescent="0.25">
      <c r="A3635" s="1" t="str">
        <f t="shared" si="1195"/>
        <v>卡卡杜-凤凰仓</v>
      </c>
      <c r="B3635" s="1" t="str">
        <f>"CK2024102215"</f>
        <v>CK2024102215</v>
      </c>
      <c r="C3635" s="1" t="str">
        <f>"DD2024102253565"</f>
        <v>DD2024102253565</v>
      </c>
      <c r="D3635" s="1" t="str">
        <f>"CK2024102251264"</f>
        <v>CK2024102251264</v>
      </c>
      <c r="E3635" s="1" t="str">
        <f>"3723480518604489984"</f>
        <v>3723480518604489984</v>
      </c>
      <c r="F3635" s="1" t="str">
        <f t="shared" si="1196"/>
        <v>花都四部-凤凰仓</v>
      </c>
      <c r="G3635" s="1" t="str">
        <f t="shared" si="1202"/>
        <v>卡卡杜企业店（视频号）</v>
      </c>
      <c r="H3635" s="1" t="str">
        <f t="shared" si="1197"/>
        <v>正常订单</v>
      </c>
      <c r="I3635" s="1" t="str">
        <f t="shared" si="1198"/>
        <v>已发货</v>
      </c>
      <c r="J3635" s="1" t="str">
        <f>"5"</f>
        <v>5</v>
      </c>
      <c r="K3635" s="1">
        <v>3</v>
      </c>
      <c r="L3635" s="1" t="s">
        <v>92</v>
      </c>
      <c r="M3635" s="1" t="str">
        <f>"辽宁省 阜新市 细河区 "</f>
        <v xml:space="preserve">辽宁省 阜新市 细河区 </v>
      </c>
      <c r="N3635" s="1" t="str">
        <f t="shared" si="1204"/>
        <v>凡华云仓-城南圆通-微信视频号</v>
      </c>
      <c r="O3635" s="5" t="s">
        <v>3666</v>
      </c>
      <c r="P3635" s="6">
        <v>0.56000000000000005</v>
      </c>
      <c r="Q3635" s="11">
        <f>CEILING(P3635-0.5,0.1)*10*0.15+2.3</f>
        <v>2.4499999999999997</v>
      </c>
      <c r="R3635" s="11"/>
      <c r="S3635" s="11"/>
      <c r="T3635" s="11"/>
      <c r="U3635" s="11">
        <f t="shared" si="1194"/>
        <v>2.4499999999999997</v>
      </c>
      <c r="V3635" t="s">
        <v>15</v>
      </c>
      <c r="W3635">
        <v>2.4500000000000002</v>
      </c>
      <c r="X3635" s="1" t="s">
        <v>92</v>
      </c>
    </row>
    <row r="3636" spans="1:24" x14ac:dyDescent="0.25">
      <c r="A3636" s="1" t="str">
        <f t="shared" si="1195"/>
        <v>卡卡杜-凤凰仓</v>
      </c>
      <c r="B3636" s="1" t="str">
        <f>"CK2024102237"</f>
        <v>CK2024102237</v>
      </c>
      <c r="C3636" s="1" t="str">
        <f>"DD2024102253589"</f>
        <v>DD2024102253589</v>
      </c>
      <c r="D3636" s="1" t="str">
        <f>"CK2024102251263"</f>
        <v>CK2024102251263</v>
      </c>
      <c r="E3636" s="1" t="str">
        <f>"3723480517235576832"</f>
        <v>3723480517235576832</v>
      </c>
      <c r="F3636" s="1" t="str">
        <f t="shared" si="1196"/>
        <v>花都四部-凤凰仓</v>
      </c>
      <c r="G3636" s="1" t="str">
        <f t="shared" si="1202"/>
        <v>卡卡杜企业店（视频号）</v>
      </c>
      <c r="H3636" s="1" t="str">
        <f t="shared" si="1197"/>
        <v>正常订单</v>
      </c>
      <c r="I3636" s="1" t="str">
        <f t="shared" si="1198"/>
        <v>已发货</v>
      </c>
      <c r="J3636" s="1" t="str">
        <f t="shared" ref="J3636:J3645" si="1207">"3"</f>
        <v>3</v>
      </c>
      <c r="K3636" s="1">
        <v>3</v>
      </c>
      <c r="L3636" s="1" t="s">
        <v>16</v>
      </c>
      <c r="M3636" s="1" t="str">
        <f>"河北省 唐山市 开平区 "</f>
        <v xml:space="preserve">河北省 唐山市 开平区 </v>
      </c>
      <c r="N3636" s="1" t="str">
        <f t="shared" si="1204"/>
        <v>凡华云仓-城南圆通-微信视频号</v>
      </c>
      <c r="O3636" s="5" t="s">
        <v>3667</v>
      </c>
      <c r="P3636" s="6">
        <v>0.34</v>
      </c>
      <c r="Q3636" s="11">
        <v>2.2999999999999998</v>
      </c>
      <c r="R3636" s="11"/>
      <c r="S3636" s="11"/>
      <c r="T3636" s="11"/>
      <c r="U3636" s="11">
        <f t="shared" si="1194"/>
        <v>2.2999999999999998</v>
      </c>
      <c r="W3636">
        <v>2.5</v>
      </c>
      <c r="X3636" s="1" t="s">
        <v>16</v>
      </c>
    </row>
    <row r="3637" spans="1:24" x14ac:dyDescent="0.25">
      <c r="A3637" s="1" t="str">
        <f t="shared" si="1195"/>
        <v>卡卡杜-凤凰仓</v>
      </c>
      <c r="B3637" s="1" t="str">
        <f>"CK2024102238"</f>
        <v>CK2024102238</v>
      </c>
      <c r="C3637" s="1" t="str">
        <f>"DD2024102253592"</f>
        <v>DD2024102253592</v>
      </c>
      <c r="D3637" s="1" t="str">
        <f>"CK2024102251262"</f>
        <v>CK2024102251262</v>
      </c>
      <c r="E3637" s="1" t="str">
        <f>"3723480516676684800"</f>
        <v>3723480516676684800</v>
      </c>
      <c r="F3637" s="1" t="str">
        <f t="shared" si="1196"/>
        <v>花都四部-凤凰仓</v>
      </c>
      <c r="G3637" s="1" t="str">
        <f t="shared" si="1202"/>
        <v>卡卡杜企业店（视频号）</v>
      </c>
      <c r="H3637" s="1" t="str">
        <f t="shared" si="1197"/>
        <v>正常订单</v>
      </c>
      <c r="I3637" s="1" t="str">
        <f t="shared" si="1198"/>
        <v>已发货</v>
      </c>
      <c r="J3637" s="1" t="str">
        <f t="shared" si="1207"/>
        <v>3</v>
      </c>
      <c r="K3637" s="1">
        <v>3</v>
      </c>
      <c r="L3637" s="1" t="s">
        <v>30</v>
      </c>
      <c r="M3637" s="1" t="str">
        <f>"山东省 德州市 陵城区 "</f>
        <v xml:space="preserve">山东省 德州市 陵城区 </v>
      </c>
      <c r="N3637" s="1" t="str">
        <f t="shared" si="1204"/>
        <v>凡华云仓-城南圆通-微信视频号</v>
      </c>
      <c r="O3637" s="5" t="s">
        <v>3668</v>
      </c>
      <c r="P3637" s="6">
        <v>0.34</v>
      </c>
      <c r="Q3637" s="11">
        <v>2.2999999999999998</v>
      </c>
      <c r="R3637" s="11"/>
      <c r="S3637" s="11"/>
      <c r="T3637" s="11"/>
      <c r="U3637" s="11">
        <f t="shared" si="1194"/>
        <v>2.2999999999999998</v>
      </c>
      <c r="W3637">
        <v>2.5</v>
      </c>
      <c r="X3637" s="1" t="s">
        <v>30</v>
      </c>
    </row>
    <row r="3638" spans="1:24" x14ac:dyDescent="0.25">
      <c r="A3638" s="1" t="str">
        <f t="shared" si="1195"/>
        <v>卡卡杜-凤凰仓</v>
      </c>
      <c r="B3638" s="1" t="str">
        <f>"CK2024102241"</f>
        <v>CK2024102241</v>
      </c>
      <c r="C3638" s="1" t="str">
        <f>"DD2024102253594"</f>
        <v>DD2024102253594</v>
      </c>
      <c r="D3638" s="1" t="str">
        <f>"CK2024102251261"</f>
        <v>CK2024102251261</v>
      </c>
      <c r="E3638" s="1" t="str">
        <f>"3723480512834965504"</f>
        <v>3723480512834965504</v>
      </c>
      <c r="F3638" s="1" t="str">
        <f t="shared" si="1196"/>
        <v>花都四部-凤凰仓</v>
      </c>
      <c r="G3638" s="1" t="str">
        <f t="shared" si="1202"/>
        <v>卡卡杜企业店（视频号）</v>
      </c>
      <c r="H3638" s="1" t="str">
        <f t="shared" si="1197"/>
        <v>正常订单</v>
      </c>
      <c r="I3638" s="1" t="str">
        <f t="shared" si="1198"/>
        <v>已发货</v>
      </c>
      <c r="J3638" s="1" t="str">
        <f t="shared" si="1207"/>
        <v>3</v>
      </c>
      <c r="K3638" s="1">
        <v>3</v>
      </c>
      <c r="L3638" s="1" t="s">
        <v>218</v>
      </c>
      <c r="M3638" s="1" t="str">
        <f>"天津 天津市 武清区 "</f>
        <v xml:space="preserve">天津 天津市 武清区 </v>
      </c>
      <c r="N3638" s="1" t="str">
        <f t="shared" si="1204"/>
        <v>凡华云仓-城南圆通-微信视频号</v>
      </c>
      <c r="O3638" s="5" t="s">
        <v>3669</v>
      </c>
      <c r="P3638" s="6">
        <v>0.34</v>
      </c>
      <c r="Q3638" s="11">
        <v>2.2999999999999998</v>
      </c>
      <c r="R3638" s="11"/>
      <c r="S3638" s="11"/>
      <c r="T3638" s="11"/>
      <c r="U3638" s="11">
        <f t="shared" si="1194"/>
        <v>2.2999999999999998</v>
      </c>
      <c r="W3638">
        <v>2.5</v>
      </c>
      <c r="X3638" s="1" t="s">
        <v>218</v>
      </c>
    </row>
    <row r="3639" spans="1:24" x14ac:dyDescent="0.25">
      <c r="A3639" s="1" t="str">
        <f t="shared" si="1195"/>
        <v>卡卡杜-凤凰仓</v>
      </c>
      <c r="B3639" s="1" t="str">
        <f>"CK2024102243"</f>
        <v>CK2024102243</v>
      </c>
      <c r="C3639" s="1" t="str">
        <f>"DD2024102253596"</f>
        <v>DD2024102253596</v>
      </c>
      <c r="D3639" s="1" t="str">
        <f>"CK2024102251260"</f>
        <v>CK2024102251260</v>
      </c>
      <c r="E3639" s="1" t="str">
        <f>"3723480511666062592"</f>
        <v>3723480511666062592</v>
      </c>
      <c r="F3639" s="1" t="str">
        <f t="shared" si="1196"/>
        <v>花都四部-凤凰仓</v>
      </c>
      <c r="G3639" s="1" t="str">
        <f t="shared" si="1202"/>
        <v>卡卡杜企业店（视频号）</v>
      </c>
      <c r="H3639" s="1" t="str">
        <f t="shared" si="1197"/>
        <v>正常订单</v>
      </c>
      <c r="I3639" s="1" t="str">
        <f t="shared" si="1198"/>
        <v>已发货</v>
      </c>
      <c r="J3639" s="1" t="str">
        <f t="shared" si="1207"/>
        <v>3</v>
      </c>
      <c r="K3639" s="1">
        <v>3</v>
      </c>
      <c r="L3639" s="1" t="s">
        <v>30</v>
      </c>
      <c r="M3639" s="1" t="str">
        <f>"山东省 青岛市 市北区 "</f>
        <v xml:space="preserve">山东省 青岛市 市北区 </v>
      </c>
      <c r="N3639" s="1" t="str">
        <f t="shared" si="1204"/>
        <v>凡华云仓-城南圆通-微信视频号</v>
      </c>
      <c r="O3639" s="5" t="s">
        <v>3670</v>
      </c>
      <c r="P3639" s="6">
        <v>0.34</v>
      </c>
      <c r="Q3639" s="11">
        <v>2.2999999999999998</v>
      </c>
      <c r="R3639" s="11"/>
      <c r="S3639" s="11"/>
      <c r="T3639" s="11"/>
      <c r="U3639" s="11">
        <f t="shared" si="1194"/>
        <v>2.2999999999999998</v>
      </c>
      <c r="W3639">
        <v>2.5</v>
      </c>
      <c r="X3639" s="1" t="s">
        <v>30</v>
      </c>
    </row>
    <row r="3640" spans="1:24" x14ac:dyDescent="0.25">
      <c r="A3640" s="1" t="str">
        <f t="shared" si="1195"/>
        <v>卡卡杜-凤凰仓</v>
      </c>
      <c r="B3640" s="1" t="str">
        <f>"CK2024102240"</f>
        <v>CK2024102240</v>
      </c>
      <c r="C3640" s="1" t="str">
        <f>"DD2024102253591"</f>
        <v>DD2024102253591</v>
      </c>
      <c r="D3640" s="1" t="str">
        <f>"CK2024102251259"</f>
        <v>CK2024102251259</v>
      </c>
      <c r="E3640" s="1" t="str">
        <f>"3723480510366615040"</f>
        <v>3723480510366615040</v>
      </c>
      <c r="F3640" s="1" t="str">
        <f t="shared" si="1196"/>
        <v>花都四部-凤凰仓</v>
      </c>
      <c r="G3640" s="1" t="str">
        <f t="shared" si="1202"/>
        <v>卡卡杜企业店（视频号）</v>
      </c>
      <c r="H3640" s="1" t="str">
        <f t="shared" si="1197"/>
        <v>正常订单</v>
      </c>
      <c r="I3640" s="1" t="str">
        <f t="shared" si="1198"/>
        <v>已发货</v>
      </c>
      <c r="J3640" s="1" t="str">
        <f t="shared" si="1207"/>
        <v>3</v>
      </c>
      <c r="K3640" s="1">
        <v>3</v>
      </c>
      <c r="L3640" s="1" t="s">
        <v>94</v>
      </c>
      <c r="M3640" s="1" t="str">
        <f>"湖南省 常德市 鼎城区 "</f>
        <v xml:space="preserve">湖南省 常德市 鼎城区 </v>
      </c>
      <c r="N3640" s="1" t="str">
        <f t="shared" si="1204"/>
        <v>凡华云仓-城南圆通-微信视频号</v>
      </c>
      <c r="O3640" s="5" t="s">
        <v>3671</v>
      </c>
      <c r="P3640" s="6">
        <v>0.34</v>
      </c>
      <c r="Q3640" s="11">
        <v>2.2999999999999998</v>
      </c>
      <c r="R3640" s="11"/>
      <c r="S3640" s="11"/>
      <c r="T3640" s="11"/>
      <c r="U3640" s="11">
        <f t="shared" si="1194"/>
        <v>2.2999999999999998</v>
      </c>
      <c r="W3640">
        <v>2.5</v>
      </c>
      <c r="X3640" s="1" t="s">
        <v>94</v>
      </c>
    </row>
    <row r="3641" spans="1:24" x14ac:dyDescent="0.25">
      <c r="A3641" s="1" t="str">
        <f t="shared" si="1195"/>
        <v>卡卡杜-凤凰仓</v>
      </c>
      <c r="B3641" s="1" t="str">
        <f>"CK2024102242"</f>
        <v>CK2024102242</v>
      </c>
      <c r="C3641" s="1" t="str">
        <f>"DD2024102253593"</f>
        <v>DD2024102253593</v>
      </c>
      <c r="D3641" s="1" t="str">
        <f>"CK2024102251258"</f>
        <v>CK2024102251258</v>
      </c>
      <c r="E3641" s="1" t="str">
        <f>"3723480511590042624"</f>
        <v>3723480511590042624</v>
      </c>
      <c r="F3641" s="1" t="str">
        <f t="shared" si="1196"/>
        <v>花都四部-凤凰仓</v>
      </c>
      <c r="G3641" s="1" t="str">
        <f t="shared" si="1202"/>
        <v>卡卡杜企业店（视频号）</v>
      </c>
      <c r="H3641" s="1" t="str">
        <f t="shared" si="1197"/>
        <v>正常订单</v>
      </c>
      <c r="I3641" s="1" t="str">
        <f t="shared" si="1198"/>
        <v>已发货</v>
      </c>
      <c r="J3641" s="1" t="str">
        <f t="shared" si="1207"/>
        <v>3</v>
      </c>
      <c r="K3641" s="1">
        <v>3</v>
      </c>
      <c r="L3641" s="1" t="s">
        <v>105</v>
      </c>
      <c r="M3641" s="1" t="str">
        <f>"北京 北京市 西城区 "</f>
        <v xml:space="preserve">北京 北京市 西城区 </v>
      </c>
      <c r="N3641" s="1" t="str">
        <f t="shared" si="1204"/>
        <v>凡华云仓-城南圆通-微信视频号</v>
      </c>
      <c r="O3641" s="5" t="s">
        <v>3672</v>
      </c>
      <c r="P3641" s="6">
        <v>0.34</v>
      </c>
      <c r="Q3641" s="11">
        <v>2.2999999999999998</v>
      </c>
      <c r="R3641" s="11"/>
      <c r="S3641" s="11"/>
      <c r="T3641" s="11"/>
      <c r="U3641" s="11">
        <f t="shared" si="1194"/>
        <v>2.2999999999999998</v>
      </c>
      <c r="W3641">
        <v>2.5</v>
      </c>
      <c r="X3641" s="1" t="s">
        <v>105</v>
      </c>
    </row>
    <row r="3642" spans="1:24" x14ac:dyDescent="0.25">
      <c r="A3642" s="1" t="str">
        <f t="shared" si="1195"/>
        <v>卡卡杜-凤凰仓</v>
      </c>
      <c r="B3642" s="1" t="str">
        <f>"CK2024102244"</f>
        <v>CK2024102244</v>
      </c>
      <c r="C3642" s="1" t="str">
        <f>"DD2024102253595"</f>
        <v>DD2024102253595</v>
      </c>
      <c r="D3642" s="1" t="str">
        <f>"CK2024102251257"</f>
        <v>CK2024102251257</v>
      </c>
      <c r="E3642" s="1" t="str">
        <f>"3723480512974427136"</f>
        <v>3723480512974427136</v>
      </c>
      <c r="F3642" s="1" t="str">
        <f t="shared" si="1196"/>
        <v>花都四部-凤凰仓</v>
      </c>
      <c r="G3642" s="1" t="str">
        <f t="shared" si="1202"/>
        <v>卡卡杜企业店（视频号）</v>
      </c>
      <c r="H3642" s="1" t="str">
        <f t="shared" si="1197"/>
        <v>正常订单</v>
      </c>
      <c r="I3642" s="1" t="str">
        <f t="shared" si="1198"/>
        <v>已发货</v>
      </c>
      <c r="J3642" s="1" t="str">
        <f t="shared" si="1207"/>
        <v>3</v>
      </c>
      <c r="K3642" s="1">
        <v>3</v>
      </c>
      <c r="L3642" s="1" t="s">
        <v>105</v>
      </c>
      <c r="M3642" s="1" t="str">
        <f>"北京 北京市 丰台区 "</f>
        <v xml:space="preserve">北京 北京市 丰台区 </v>
      </c>
      <c r="N3642" s="1" t="str">
        <f t="shared" si="1204"/>
        <v>凡华云仓-城南圆通-微信视频号</v>
      </c>
      <c r="O3642" s="5" t="s">
        <v>3673</v>
      </c>
      <c r="P3642" s="6">
        <v>0.34</v>
      </c>
      <c r="Q3642" s="11">
        <v>2.2999999999999998</v>
      </c>
      <c r="R3642" s="11"/>
      <c r="S3642" s="11"/>
      <c r="T3642" s="11"/>
      <c r="U3642" s="11">
        <f t="shared" si="1194"/>
        <v>2.2999999999999998</v>
      </c>
      <c r="W3642">
        <v>2.5</v>
      </c>
      <c r="X3642" s="1" t="s">
        <v>105</v>
      </c>
    </row>
    <row r="3643" spans="1:24" x14ac:dyDescent="0.25">
      <c r="A3643" s="1" t="str">
        <f t="shared" si="1195"/>
        <v>卡卡杜-凤凰仓</v>
      </c>
      <c r="B3643" s="1" t="str">
        <f>"CK20241022437"</f>
        <v>CK20241022437</v>
      </c>
      <c r="C3643" s="1" t="str">
        <f>"DD2024102254278"</f>
        <v>DD2024102254278</v>
      </c>
      <c r="D3643" s="1" t="str">
        <f>"CK2024102251256"</f>
        <v>CK2024102251256</v>
      </c>
      <c r="E3643" s="1" t="str">
        <f>"3723480512191139841"</f>
        <v>3723480512191139841</v>
      </c>
      <c r="F3643" s="1" t="str">
        <f t="shared" si="1196"/>
        <v>花都四部-凤凰仓</v>
      </c>
      <c r="G3643" s="1" t="str">
        <f t="shared" si="1202"/>
        <v>卡卡杜企业店（视频号）</v>
      </c>
      <c r="H3643" s="1" t="str">
        <f t="shared" si="1197"/>
        <v>正常订单</v>
      </c>
      <c r="I3643" s="1" t="str">
        <f t="shared" si="1198"/>
        <v>已发货</v>
      </c>
      <c r="J3643" s="1" t="str">
        <f t="shared" si="1207"/>
        <v>3</v>
      </c>
      <c r="K3643" s="1">
        <v>3</v>
      </c>
      <c r="L3643" s="1" t="s">
        <v>74</v>
      </c>
      <c r="M3643" s="1" t="str">
        <f>"上海 上海市 徐汇区 "</f>
        <v xml:space="preserve">上海 上海市 徐汇区 </v>
      </c>
      <c r="N3643" s="1" t="str">
        <f t="shared" si="1204"/>
        <v>凡华云仓-城南圆通-微信视频号</v>
      </c>
      <c r="O3643" s="5" t="s">
        <v>3674</v>
      </c>
      <c r="P3643" s="6">
        <v>0.34</v>
      </c>
      <c r="Q3643" s="11">
        <v>2.2999999999999998</v>
      </c>
      <c r="R3643" s="11"/>
      <c r="S3643" s="11"/>
      <c r="T3643" s="11"/>
      <c r="U3643" s="11">
        <f t="shared" si="1194"/>
        <v>2.2999999999999998</v>
      </c>
      <c r="W3643">
        <v>2.5</v>
      </c>
      <c r="X3643" s="1" t="s">
        <v>74</v>
      </c>
    </row>
    <row r="3644" spans="1:24" x14ac:dyDescent="0.25">
      <c r="A3644" s="1" t="str">
        <f t="shared" si="1195"/>
        <v>卡卡杜-凤凰仓</v>
      </c>
      <c r="B3644" s="1" t="str">
        <f>"CK2024102249"</f>
        <v>CK2024102249</v>
      </c>
      <c r="C3644" s="1" t="str">
        <f>"DD2024102253601"</f>
        <v>DD2024102253601</v>
      </c>
      <c r="D3644" s="1" t="str">
        <f>"CK2024102251255"</f>
        <v>CK2024102251255</v>
      </c>
      <c r="E3644" s="1" t="str">
        <f>"3723480509548989441"</f>
        <v>3723480509548989441</v>
      </c>
      <c r="F3644" s="1" t="str">
        <f t="shared" si="1196"/>
        <v>花都四部-凤凰仓</v>
      </c>
      <c r="G3644" s="1" t="str">
        <f t="shared" si="1202"/>
        <v>卡卡杜企业店（视频号）</v>
      </c>
      <c r="H3644" s="1" t="str">
        <f t="shared" si="1197"/>
        <v>正常订单</v>
      </c>
      <c r="I3644" s="1" t="str">
        <f t="shared" si="1198"/>
        <v>已发货</v>
      </c>
      <c r="J3644" s="1" t="str">
        <f t="shared" si="1207"/>
        <v>3</v>
      </c>
      <c r="K3644" s="1">
        <v>3</v>
      </c>
      <c r="L3644" s="1" t="s">
        <v>30</v>
      </c>
      <c r="M3644" s="1" t="str">
        <f>"山东省 青岛市 市南区 "</f>
        <v xml:space="preserve">山东省 青岛市 市南区 </v>
      </c>
      <c r="N3644" s="1" t="str">
        <f t="shared" si="1204"/>
        <v>凡华云仓-城南圆通-微信视频号</v>
      </c>
      <c r="O3644" s="5" t="s">
        <v>3675</v>
      </c>
      <c r="P3644" s="6">
        <v>0.34</v>
      </c>
      <c r="Q3644" s="11">
        <v>2.2999999999999998</v>
      </c>
      <c r="R3644" s="11"/>
      <c r="S3644" s="11"/>
      <c r="T3644" s="11"/>
      <c r="U3644" s="11">
        <f t="shared" si="1194"/>
        <v>2.2999999999999998</v>
      </c>
      <c r="W3644">
        <v>2.5</v>
      </c>
      <c r="X3644" s="1" t="s">
        <v>30</v>
      </c>
    </row>
    <row r="3645" spans="1:24" x14ac:dyDescent="0.25">
      <c r="A3645" s="1" t="str">
        <f t="shared" si="1195"/>
        <v>卡卡杜-凤凰仓</v>
      </c>
      <c r="B3645" s="1" t="str">
        <f>"CK2024102245"</f>
        <v>CK2024102245</v>
      </c>
      <c r="C3645" s="1" t="str">
        <f>"DD2024102253597"</f>
        <v>DD2024102253597</v>
      </c>
      <c r="D3645" s="1" t="str">
        <f>"CK2024102251254"</f>
        <v>CK2024102251254</v>
      </c>
      <c r="E3645" s="1" t="str">
        <f>"3723480504154592256"</f>
        <v>3723480504154592256</v>
      </c>
      <c r="F3645" s="1" t="str">
        <f t="shared" si="1196"/>
        <v>花都四部-凤凰仓</v>
      </c>
      <c r="G3645" s="1" t="str">
        <f t="shared" si="1202"/>
        <v>卡卡杜企业店（视频号）</v>
      </c>
      <c r="H3645" s="1" t="str">
        <f t="shared" si="1197"/>
        <v>正常订单</v>
      </c>
      <c r="I3645" s="1" t="str">
        <f t="shared" si="1198"/>
        <v>已发货</v>
      </c>
      <c r="J3645" s="1" t="str">
        <f t="shared" si="1207"/>
        <v>3</v>
      </c>
      <c r="K3645" s="1">
        <v>3</v>
      </c>
      <c r="L3645" s="1" t="s">
        <v>27</v>
      </c>
      <c r="M3645" s="1" t="str">
        <f>"贵州省 遵义市 桐梓县 "</f>
        <v xml:space="preserve">贵州省 遵义市 桐梓县 </v>
      </c>
      <c r="N3645" s="1" t="str">
        <f t="shared" si="1204"/>
        <v>凡华云仓-城南圆通-微信视频号</v>
      </c>
      <c r="O3645" s="5" t="s">
        <v>3676</v>
      </c>
      <c r="P3645" s="6">
        <v>0.34</v>
      </c>
      <c r="Q3645" s="11">
        <v>2.2999999999999998</v>
      </c>
      <c r="R3645" s="11"/>
      <c r="S3645" s="11"/>
      <c r="T3645" s="11"/>
      <c r="U3645" s="11">
        <f t="shared" si="1194"/>
        <v>2.2999999999999998</v>
      </c>
      <c r="W3645">
        <v>2.5</v>
      </c>
      <c r="X3645" s="1" t="s">
        <v>27</v>
      </c>
    </row>
    <row r="3646" spans="1:24" x14ac:dyDescent="0.25">
      <c r="A3646" s="1" t="str">
        <f t="shared" si="1195"/>
        <v>卡卡杜-凤凰仓</v>
      </c>
      <c r="B3646" s="1" t="str">
        <f>"CK2024102202"</f>
        <v>CK2024102202</v>
      </c>
      <c r="C3646" s="1" t="str">
        <f>"DD2024102253556"</f>
        <v>DD2024102253556</v>
      </c>
      <c r="D3646" s="1" t="str">
        <f>"CK2024102251253"</f>
        <v>CK2024102251253</v>
      </c>
      <c r="E3646" s="1" t="str">
        <f>"3723480508552316160"</f>
        <v>3723480508552316160</v>
      </c>
      <c r="F3646" s="1" t="str">
        <f t="shared" si="1196"/>
        <v>花都四部-凤凰仓</v>
      </c>
      <c r="G3646" s="1" t="str">
        <f t="shared" si="1202"/>
        <v>卡卡杜企业店（视频号）</v>
      </c>
      <c r="H3646" s="1" t="str">
        <f t="shared" si="1197"/>
        <v>正常订单</v>
      </c>
      <c r="I3646" s="1" t="str">
        <f t="shared" si="1198"/>
        <v>已发货</v>
      </c>
      <c r="J3646" s="1" t="str">
        <f>"5"</f>
        <v>5</v>
      </c>
      <c r="K3646" s="1">
        <v>3</v>
      </c>
      <c r="L3646" s="1" t="s">
        <v>92</v>
      </c>
      <c r="M3646" s="1" t="str">
        <f>"辽宁省 沈阳市 于洪区 "</f>
        <v xml:space="preserve">辽宁省 沈阳市 于洪区 </v>
      </c>
      <c r="N3646" s="1" t="str">
        <f t="shared" si="1204"/>
        <v>凡华云仓-城南圆通-微信视频号</v>
      </c>
      <c r="O3646" s="5" t="s">
        <v>3677</v>
      </c>
      <c r="P3646" s="6">
        <v>0.56000000000000005</v>
      </c>
      <c r="Q3646" s="11">
        <f>CEILING(P3646-0.5,0.1)*10*0.15+2.3</f>
        <v>2.4499999999999997</v>
      </c>
      <c r="R3646" s="11"/>
      <c r="S3646" s="11"/>
      <c r="T3646" s="11"/>
      <c r="U3646" s="11">
        <f t="shared" si="1194"/>
        <v>2.4499999999999997</v>
      </c>
      <c r="V3646" t="s">
        <v>15</v>
      </c>
      <c r="W3646">
        <v>2.4500000000000002</v>
      </c>
      <c r="X3646" s="1" t="s">
        <v>92</v>
      </c>
    </row>
    <row r="3647" spans="1:24" x14ac:dyDescent="0.25">
      <c r="A3647" s="1" t="str">
        <f t="shared" si="1195"/>
        <v>卡卡杜-凤凰仓</v>
      </c>
      <c r="B3647" s="1" t="str">
        <f>"CK2024102246"</f>
        <v>CK2024102246</v>
      </c>
      <c r="C3647" s="1" t="str">
        <f>"DD2024102253599"</f>
        <v>DD2024102253599</v>
      </c>
      <c r="D3647" s="1" t="str">
        <f>"CK2024102251252"</f>
        <v>CK2024102251252</v>
      </c>
      <c r="E3647" s="1" t="str">
        <f>"3723480509270069248"</f>
        <v>3723480509270069248</v>
      </c>
      <c r="F3647" s="1" t="str">
        <f t="shared" si="1196"/>
        <v>花都四部-凤凰仓</v>
      </c>
      <c r="G3647" s="1" t="str">
        <f t="shared" si="1202"/>
        <v>卡卡杜企业店（视频号）</v>
      </c>
      <c r="H3647" s="1" t="str">
        <f t="shared" si="1197"/>
        <v>正常订单</v>
      </c>
      <c r="I3647" s="1" t="str">
        <f t="shared" si="1198"/>
        <v>已发货</v>
      </c>
      <c r="J3647" s="1" t="str">
        <f t="shared" ref="J3647:J3657" si="1208">"3"</f>
        <v>3</v>
      </c>
      <c r="K3647" s="1">
        <v>3</v>
      </c>
      <c r="L3647" s="1" t="s">
        <v>30</v>
      </c>
      <c r="M3647" s="1" t="str">
        <f>"山东省 青岛市 市北区 "</f>
        <v xml:space="preserve">山东省 青岛市 市北区 </v>
      </c>
      <c r="N3647" s="1" t="str">
        <f t="shared" si="1204"/>
        <v>凡华云仓-城南圆通-微信视频号</v>
      </c>
      <c r="O3647" s="5" t="s">
        <v>3678</v>
      </c>
      <c r="P3647" s="6">
        <v>0.34</v>
      </c>
      <c r="Q3647" s="11">
        <v>2.2999999999999998</v>
      </c>
      <c r="R3647" s="11"/>
      <c r="S3647" s="11"/>
      <c r="T3647" s="11"/>
      <c r="U3647" s="11">
        <f t="shared" si="1194"/>
        <v>2.2999999999999998</v>
      </c>
      <c r="W3647">
        <v>2.5</v>
      </c>
      <c r="X3647" s="1" t="s">
        <v>30</v>
      </c>
    </row>
    <row r="3648" spans="1:24" x14ac:dyDescent="0.25">
      <c r="A3648" s="1" t="str">
        <f t="shared" si="1195"/>
        <v>卡卡杜-凤凰仓</v>
      </c>
      <c r="B3648" s="1" t="str">
        <f>"CK2024102248"</f>
        <v>CK2024102248</v>
      </c>
      <c r="C3648" s="1" t="str">
        <f>"DD2024102253600"</f>
        <v>DD2024102253600</v>
      </c>
      <c r="D3648" s="1" t="str">
        <f>"CK2024102251251"</f>
        <v>CK2024102251251</v>
      </c>
      <c r="E3648" s="1" t="str">
        <f>"3723480511383212032"</f>
        <v>3723480511383212032</v>
      </c>
      <c r="F3648" s="1" t="str">
        <f t="shared" si="1196"/>
        <v>花都四部-凤凰仓</v>
      </c>
      <c r="G3648" s="1" t="str">
        <f t="shared" si="1202"/>
        <v>卡卡杜企业店（视频号）</v>
      </c>
      <c r="H3648" s="1" t="str">
        <f t="shared" si="1197"/>
        <v>正常订单</v>
      </c>
      <c r="I3648" s="1" t="str">
        <f t="shared" si="1198"/>
        <v>已发货</v>
      </c>
      <c r="J3648" s="1" t="str">
        <f t="shared" si="1208"/>
        <v>3</v>
      </c>
      <c r="K3648" s="1">
        <v>3</v>
      </c>
      <c r="L3648" s="1" t="s">
        <v>218</v>
      </c>
      <c r="M3648" s="1" t="str">
        <f>"天津 天津市 武清区 "</f>
        <v xml:space="preserve">天津 天津市 武清区 </v>
      </c>
      <c r="N3648" s="1" t="str">
        <f t="shared" si="1204"/>
        <v>凡华云仓-城南圆通-微信视频号</v>
      </c>
      <c r="O3648" s="5" t="s">
        <v>3679</v>
      </c>
      <c r="P3648" s="6">
        <v>0.34</v>
      </c>
      <c r="Q3648" s="11">
        <v>2.2999999999999998</v>
      </c>
      <c r="R3648" s="11"/>
      <c r="S3648" s="11"/>
      <c r="T3648" s="11"/>
      <c r="U3648" s="11">
        <f t="shared" si="1194"/>
        <v>2.2999999999999998</v>
      </c>
      <c r="W3648">
        <v>2.5</v>
      </c>
      <c r="X3648" s="1" t="s">
        <v>218</v>
      </c>
    </row>
    <row r="3649" spans="1:24" x14ac:dyDescent="0.25">
      <c r="A3649" s="1" t="str">
        <f t="shared" si="1195"/>
        <v>卡卡杜-凤凰仓</v>
      </c>
      <c r="B3649" s="1" t="str">
        <f>"CK2024102250"</f>
        <v>CK2024102250</v>
      </c>
      <c r="C3649" s="1" t="str">
        <f>"DD2024102253602"</f>
        <v>DD2024102253602</v>
      </c>
      <c r="D3649" s="1" t="str">
        <f>"CK2024102251250"</f>
        <v>CK2024102251250</v>
      </c>
      <c r="E3649" s="1" t="str">
        <f>"3723480510121513984"</f>
        <v>3723480510121513984</v>
      </c>
      <c r="F3649" s="1" t="str">
        <f t="shared" si="1196"/>
        <v>花都四部-凤凰仓</v>
      </c>
      <c r="G3649" s="1" t="str">
        <f t="shared" si="1202"/>
        <v>卡卡杜企业店（视频号）</v>
      </c>
      <c r="H3649" s="1" t="str">
        <f t="shared" si="1197"/>
        <v>正常订单</v>
      </c>
      <c r="I3649" s="1" t="str">
        <f t="shared" si="1198"/>
        <v>已发货</v>
      </c>
      <c r="J3649" s="1" t="str">
        <f t="shared" si="1208"/>
        <v>3</v>
      </c>
      <c r="K3649" s="1">
        <v>3</v>
      </c>
      <c r="L3649" s="1" t="s">
        <v>30</v>
      </c>
      <c r="M3649" s="1" t="str">
        <f>"山东省 滨州市 滨城区 "</f>
        <v xml:space="preserve">山东省 滨州市 滨城区 </v>
      </c>
      <c r="N3649" s="1" t="str">
        <f t="shared" si="1204"/>
        <v>凡华云仓-城南圆通-微信视频号</v>
      </c>
      <c r="O3649" s="5" t="s">
        <v>3680</v>
      </c>
      <c r="P3649" s="6">
        <v>0.34</v>
      </c>
      <c r="Q3649" s="11">
        <v>2.2999999999999998</v>
      </c>
      <c r="R3649" s="11"/>
      <c r="S3649" s="11"/>
      <c r="T3649" s="11"/>
      <c r="U3649" s="11">
        <f t="shared" si="1194"/>
        <v>2.2999999999999998</v>
      </c>
      <c r="W3649">
        <v>2.5</v>
      </c>
      <c r="X3649" s="1" t="s">
        <v>30</v>
      </c>
    </row>
    <row r="3650" spans="1:24" x14ac:dyDescent="0.25">
      <c r="A3650" s="1" t="str">
        <f t="shared" si="1195"/>
        <v>卡卡杜-凤凰仓</v>
      </c>
      <c r="B3650" s="1" t="str">
        <f>"CK2024102253"</f>
        <v>CK2024102253</v>
      </c>
      <c r="C3650" s="1" t="str">
        <f>"DD2024102253605"</f>
        <v>DD2024102253605</v>
      </c>
      <c r="D3650" s="1" t="str">
        <f>"CK2024102251249"</f>
        <v>CK2024102251249</v>
      </c>
      <c r="E3650" s="1" t="str">
        <f>"3723480508172472320"</f>
        <v>3723480508172472320</v>
      </c>
      <c r="F3650" s="1" t="str">
        <f t="shared" si="1196"/>
        <v>花都四部-凤凰仓</v>
      </c>
      <c r="G3650" s="1" t="str">
        <f t="shared" si="1202"/>
        <v>卡卡杜企业店（视频号）</v>
      </c>
      <c r="H3650" s="1" t="str">
        <f t="shared" si="1197"/>
        <v>正常订单</v>
      </c>
      <c r="I3650" s="1" t="str">
        <f t="shared" si="1198"/>
        <v>已发货</v>
      </c>
      <c r="J3650" s="1" t="str">
        <f t="shared" si="1208"/>
        <v>3</v>
      </c>
      <c r="K3650" s="1">
        <v>3</v>
      </c>
      <c r="L3650" s="1" t="s">
        <v>30</v>
      </c>
      <c r="M3650" s="1" t="str">
        <f>"山东省 济宁市 泗水县 "</f>
        <v xml:space="preserve">山东省 济宁市 泗水县 </v>
      </c>
      <c r="N3650" s="1" t="str">
        <f t="shared" si="1204"/>
        <v>凡华云仓-城南圆通-微信视频号</v>
      </c>
      <c r="O3650" s="5" t="s">
        <v>3681</v>
      </c>
      <c r="P3650" s="6">
        <v>0.34</v>
      </c>
      <c r="Q3650" s="11">
        <v>2.2999999999999998</v>
      </c>
      <c r="R3650" s="11"/>
      <c r="S3650" s="11"/>
      <c r="T3650" s="11"/>
      <c r="U3650" s="11">
        <f t="shared" si="1194"/>
        <v>2.2999999999999998</v>
      </c>
      <c r="W3650">
        <v>2.5</v>
      </c>
      <c r="X3650" s="1" t="s">
        <v>30</v>
      </c>
    </row>
    <row r="3651" spans="1:24" x14ac:dyDescent="0.25">
      <c r="A3651" s="1" t="str">
        <f t="shared" si="1195"/>
        <v>卡卡杜-凤凰仓</v>
      </c>
      <c r="B3651" s="1" t="str">
        <f>"CK2024102252"</f>
        <v>CK2024102252</v>
      </c>
      <c r="C3651" s="1" t="str">
        <f>"DD2024102253604"</f>
        <v>DD2024102253604</v>
      </c>
      <c r="D3651" s="1" t="str">
        <f>"CK2024102251248"</f>
        <v>CK2024102251248</v>
      </c>
      <c r="E3651" s="1" t="str">
        <f>"3723480509753459968"</f>
        <v>3723480509753459968</v>
      </c>
      <c r="F3651" s="1" t="str">
        <f t="shared" si="1196"/>
        <v>花都四部-凤凰仓</v>
      </c>
      <c r="G3651" s="1" t="str">
        <f t="shared" si="1202"/>
        <v>卡卡杜企业店（视频号）</v>
      </c>
      <c r="H3651" s="1" t="str">
        <f t="shared" si="1197"/>
        <v>正常订单</v>
      </c>
      <c r="I3651" s="1" t="str">
        <f t="shared" si="1198"/>
        <v>已发货</v>
      </c>
      <c r="J3651" s="1" t="str">
        <f t="shared" si="1208"/>
        <v>3</v>
      </c>
      <c r="K3651" s="1">
        <v>3</v>
      </c>
      <c r="L3651" s="1" t="s">
        <v>30</v>
      </c>
      <c r="M3651" s="1" t="str">
        <f>"山东省 淄博市 张店区 "</f>
        <v xml:space="preserve">山东省 淄博市 张店区 </v>
      </c>
      <c r="N3651" s="1" t="str">
        <f t="shared" si="1204"/>
        <v>凡华云仓-城南圆通-微信视频号</v>
      </c>
      <c r="O3651" s="5" t="s">
        <v>3682</v>
      </c>
      <c r="P3651" s="6">
        <v>0.34</v>
      </c>
      <c r="Q3651" s="11">
        <v>2.2999999999999998</v>
      </c>
      <c r="R3651" s="11"/>
      <c r="S3651" s="11"/>
      <c r="T3651" s="11"/>
      <c r="U3651" s="11">
        <f t="shared" ref="U3651:U3714" si="1209">T3651+S3651+R3651+Q3651</f>
        <v>2.2999999999999998</v>
      </c>
      <c r="W3651">
        <v>2.5</v>
      </c>
      <c r="X3651" s="1" t="s">
        <v>30</v>
      </c>
    </row>
    <row r="3652" spans="1:24" x14ac:dyDescent="0.25">
      <c r="A3652" s="1" t="str">
        <f t="shared" si="1195"/>
        <v>卡卡杜-凤凰仓</v>
      </c>
      <c r="B3652" s="1" t="str">
        <f>"CK2024102282"</f>
        <v>CK2024102282</v>
      </c>
      <c r="C3652" s="1" t="str">
        <f>"DD2024102253634"</f>
        <v>DD2024102253634</v>
      </c>
      <c r="D3652" s="1" t="str">
        <f>"CK2024102251247"</f>
        <v>CK2024102251247</v>
      </c>
      <c r="E3652" s="1" t="str">
        <f>"3723480501367999488"</f>
        <v>3723480501367999488</v>
      </c>
      <c r="F3652" s="1" t="str">
        <f t="shared" si="1196"/>
        <v>花都四部-凤凰仓</v>
      </c>
      <c r="G3652" s="1" t="str">
        <f t="shared" si="1202"/>
        <v>卡卡杜企业店（视频号）</v>
      </c>
      <c r="H3652" s="1" t="str">
        <f t="shared" si="1197"/>
        <v>正常订单</v>
      </c>
      <c r="I3652" s="1" t="str">
        <f t="shared" si="1198"/>
        <v>已发货</v>
      </c>
      <c r="J3652" s="1" t="str">
        <f t="shared" si="1208"/>
        <v>3</v>
      </c>
      <c r="K3652" s="1">
        <v>3</v>
      </c>
      <c r="L3652" s="1" t="s">
        <v>30</v>
      </c>
      <c r="M3652" s="1" t="str">
        <f>"山东省 泰安市 新泰市 "</f>
        <v xml:space="preserve">山东省 泰安市 新泰市 </v>
      </c>
      <c r="N3652" s="1" t="str">
        <f t="shared" si="1204"/>
        <v>凡华云仓-城南圆通-微信视频号</v>
      </c>
      <c r="O3652" s="5" t="s">
        <v>3683</v>
      </c>
      <c r="P3652" s="6">
        <v>0.34</v>
      </c>
      <c r="Q3652" s="11">
        <v>2.2999999999999998</v>
      </c>
      <c r="R3652" s="11"/>
      <c r="S3652" s="11"/>
      <c r="T3652" s="11"/>
      <c r="U3652" s="11">
        <f t="shared" si="1209"/>
        <v>2.2999999999999998</v>
      </c>
      <c r="W3652">
        <v>2.5</v>
      </c>
      <c r="X3652" s="1" t="s">
        <v>30</v>
      </c>
    </row>
    <row r="3653" spans="1:24" x14ac:dyDescent="0.25">
      <c r="A3653" s="1" t="str">
        <f t="shared" ref="A3653:A3716" si="1210">"卡卡杜-凤凰仓"</f>
        <v>卡卡杜-凤凰仓</v>
      </c>
      <c r="B3653" s="1" t="str">
        <f>"CK2024102251"</f>
        <v>CK2024102251</v>
      </c>
      <c r="C3653" s="1" t="str">
        <f>"DD2024102253603"</f>
        <v>DD2024102253603</v>
      </c>
      <c r="D3653" s="1" t="str">
        <f>"CK2024102251246"</f>
        <v>CK2024102251246</v>
      </c>
      <c r="E3653" s="1" t="str">
        <f>"3723480510418783232"</f>
        <v>3723480510418783232</v>
      </c>
      <c r="F3653" s="1" t="str">
        <f t="shared" ref="F3653:F3716" si="1211">"花都四部-凤凰仓"</f>
        <v>花都四部-凤凰仓</v>
      </c>
      <c r="G3653" s="1" t="str">
        <f t="shared" si="1202"/>
        <v>卡卡杜企业店（视频号）</v>
      </c>
      <c r="H3653" s="1" t="str">
        <f t="shared" ref="H3653:H3716" si="1212">"正常订单"</f>
        <v>正常订单</v>
      </c>
      <c r="I3653" s="1" t="str">
        <f t="shared" ref="I3653:I3716" si="1213">"已发货"</f>
        <v>已发货</v>
      </c>
      <c r="J3653" s="1" t="str">
        <f t="shared" si="1208"/>
        <v>3</v>
      </c>
      <c r="K3653" s="1">
        <v>3</v>
      </c>
      <c r="L3653" s="1" t="s">
        <v>80</v>
      </c>
      <c r="M3653" s="1" t="str">
        <f>"河南省 洛阳市 老城区 "</f>
        <v xml:space="preserve">河南省 洛阳市 老城区 </v>
      </c>
      <c r="N3653" s="1" t="str">
        <f t="shared" si="1204"/>
        <v>凡华云仓-城南圆通-微信视频号</v>
      </c>
      <c r="O3653" s="5" t="s">
        <v>3684</v>
      </c>
      <c r="P3653" s="6">
        <v>0.34</v>
      </c>
      <c r="Q3653" s="11">
        <v>2.2999999999999998</v>
      </c>
      <c r="R3653" s="11"/>
      <c r="S3653" s="11"/>
      <c r="T3653" s="11"/>
      <c r="U3653" s="11">
        <f t="shared" si="1209"/>
        <v>2.2999999999999998</v>
      </c>
      <c r="W3653">
        <v>2.5</v>
      </c>
      <c r="X3653" s="1" t="s">
        <v>80</v>
      </c>
    </row>
    <row r="3654" spans="1:24" x14ac:dyDescent="0.25">
      <c r="A3654" s="1" t="str">
        <f t="shared" si="1210"/>
        <v>卡卡杜-凤凰仓</v>
      </c>
      <c r="B3654" s="1" t="str">
        <f>"CK2024102256"</f>
        <v>CK2024102256</v>
      </c>
      <c r="C3654" s="1" t="str">
        <f>"DD2024102253609"</f>
        <v>DD2024102253609</v>
      </c>
      <c r="D3654" s="1" t="str">
        <f>"CK2024102251245"</f>
        <v>CK2024102251245</v>
      </c>
      <c r="E3654" s="1" t="str">
        <f>"3723480509209249280"</f>
        <v>3723480509209249280</v>
      </c>
      <c r="F3654" s="1" t="str">
        <f t="shared" si="1211"/>
        <v>花都四部-凤凰仓</v>
      </c>
      <c r="G3654" s="1" t="str">
        <f t="shared" si="1202"/>
        <v>卡卡杜企业店（视频号）</v>
      </c>
      <c r="H3654" s="1" t="str">
        <f t="shared" si="1212"/>
        <v>正常订单</v>
      </c>
      <c r="I3654" s="1" t="str">
        <f t="shared" si="1213"/>
        <v>已发货</v>
      </c>
      <c r="J3654" s="1" t="str">
        <f t="shared" si="1208"/>
        <v>3</v>
      </c>
      <c r="K3654" s="1">
        <v>3</v>
      </c>
      <c r="L3654" s="1" t="s">
        <v>92</v>
      </c>
      <c r="M3654" s="1" t="str">
        <f>"辽宁省 大连市 甘井子区 "</f>
        <v xml:space="preserve">辽宁省 大连市 甘井子区 </v>
      </c>
      <c r="N3654" s="1" t="str">
        <f t="shared" si="1204"/>
        <v>凡华云仓-城南圆通-微信视频号</v>
      </c>
      <c r="O3654" s="5" t="s">
        <v>3685</v>
      </c>
      <c r="P3654" s="6">
        <v>0.34</v>
      </c>
      <c r="Q3654" s="11">
        <v>2.2999999999999998</v>
      </c>
      <c r="R3654" s="11"/>
      <c r="S3654" s="11"/>
      <c r="T3654" s="11"/>
      <c r="U3654" s="11">
        <f t="shared" si="1209"/>
        <v>2.2999999999999998</v>
      </c>
      <c r="W3654">
        <v>2.5</v>
      </c>
      <c r="X3654" s="1" t="s">
        <v>92</v>
      </c>
    </row>
    <row r="3655" spans="1:24" x14ac:dyDescent="0.25">
      <c r="A3655" s="1" t="str">
        <f t="shared" si="1210"/>
        <v>卡卡杜-凤凰仓</v>
      </c>
      <c r="B3655" s="1" t="str">
        <f>"CK2024102254"</f>
        <v>CK2024102254</v>
      </c>
      <c r="C3655" s="1" t="str">
        <f>"DD2024102253607"</f>
        <v>DD2024102253607</v>
      </c>
      <c r="D3655" s="1" t="str">
        <f>"CK2024102251244"</f>
        <v>CK2024102251244</v>
      </c>
      <c r="E3655" s="1" t="str">
        <f>"3723480508995080192"</f>
        <v>3723480508995080192</v>
      </c>
      <c r="F3655" s="1" t="str">
        <f t="shared" si="1211"/>
        <v>花都四部-凤凰仓</v>
      </c>
      <c r="G3655" s="1" t="str">
        <f t="shared" si="1202"/>
        <v>卡卡杜企业店（视频号）</v>
      </c>
      <c r="H3655" s="1" t="str">
        <f t="shared" si="1212"/>
        <v>正常订单</v>
      </c>
      <c r="I3655" s="1" t="str">
        <f t="shared" si="1213"/>
        <v>已发货</v>
      </c>
      <c r="J3655" s="1" t="str">
        <f t="shared" si="1208"/>
        <v>3</v>
      </c>
      <c r="K3655" s="1">
        <v>3</v>
      </c>
      <c r="L3655" s="1" t="s">
        <v>30</v>
      </c>
      <c r="M3655" s="1" t="str">
        <f>"山东省 德州市 夏津县 "</f>
        <v xml:space="preserve">山东省 德州市 夏津县 </v>
      </c>
      <c r="N3655" s="1" t="str">
        <f t="shared" si="1204"/>
        <v>凡华云仓-城南圆通-微信视频号</v>
      </c>
      <c r="O3655" s="5" t="s">
        <v>3686</v>
      </c>
      <c r="P3655" s="6">
        <v>0.34</v>
      </c>
      <c r="Q3655" s="11">
        <v>2.2999999999999998</v>
      </c>
      <c r="R3655" s="11"/>
      <c r="S3655" s="11"/>
      <c r="T3655" s="11"/>
      <c r="U3655" s="11">
        <f t="shared" si="1209"/>
        <v>2.2999999999999998</v>
      </c>
      <c r="W3655">
        <v>2.5</v>
      </c>
      <c r="X3655" s="1" t="s">
        <v>30</v>
      </c>
    </row>
    <row r="3656" spans="1:24" x14ac:dyDescent="0.25">
      <c r="A3656" s="1" t="str">
        <f t="shared" si="1210"/>
        <v>卡卡杜-凤凰仓</v>
      </c>
      <c r="B3656" s="1" t="str">
        <f>"CK2024102258"</f>
        <v>CK2024102258</v>
      </c>
      <c r="C3656" s="1" t="str">
        <f>"DD2024102253611"</f>
        <v>DD2024102253611</v>
      </c>
      <c r="D3656" s="1" t="str">
        <f>"CK2024102251243"</f>
        <v>CK2024102251243</v>
      </c>
      <c r="E3656" s="1" t="str">
        <f>"3723480508409712640"</f>
        <v>3723480508409712640</v>
      </c>
      <c r="F3656" s="1" t="str">
        <f t="shared" si="1211"/>
        <v>花都四部-凤凰仓</v>
      </c>
      <c r="G3656" s="1" t="str">
        <f t="shared" si="1202"/>
        <v>卡卡杜企业店（视频号）</v>
      </c>
      <c r="H3656" s="1" t="str">
        <f t="shared" si="1212"/>
        <v>正常订单</v>
      </c>
      <c r="I3656" s="1" t="str">
        <f t="shared" si="1213"/>
        <v>已发货</v>
      </c>
      <c r="J3656" s="1" t="str">
        <f t="shared" si="1208"/>
        <v>3</v>
      </c>
      <c r="K3656" s="1">
        <v>3</v>
      </c>
      <c r="L3656" s="1" t="s">
        <v>13</v>
      </c>
      <c r="M3656" s="1" t="str">
        <f>"江苏省 南通市 如皋市 "</f>
        <v xml:space="preserve">江苏省 南通市 如皋市 </v>
      </c>
      <c r="N3656" s="1" t="str">
        <f t="shared" si="1204"/>
        <v>凡华云仓-城南圆通-微信视频号</v>
      </c>
      <c r="O3656" s="5" t="s">
        <v>3687</v>
      </c>
      <c r="P3656" s="6">
        <v>0.34</v>
      </c>
      <c r="Q3656" s="11">
        <v>2.2999999999999998</v>
      </c>
      <c r="R3656" s="11"/>
      <c r="S3656" s="11"/>
      <c r="T3656" s="11"/>
      <c r="U3656" s="11">
        <f t="shared" si="1209"/>
        <v>2.2999999999999998</v>
      </c>
      <c r="W3656">
        <v>2.5</v>
      </c>
      <c r="X3656" s="1" t="s">
        <v>13</v>
      </c>
    </row>
    <row r="3657" spans="1:24" x14ac:dyDescent="0.25">
      <c r="A3657" s="1" t="str">
        <f t="shared" si="1210"/>
        <v>卡卡杜-凤凰仓</v>
      </c>
      <c r="B3657" s="1" t="str">
        <f>"CK2024102257"</f>
        <v>CK2024102257</v>
      </c>
      <c r="C3657" s="1" t="str">
        <f>"DD2024102253608"</f>
        <v>DD2024102253608</v>
      </c>
      <c r="D3657" s="1" t="str">
        <f>"CK2024102251242"</f>
        <v>CK2024102251242</v>
      </c>
      <c r="E3657" s="1" t="str">
        <f>"3723480509190637056"</f>
        <v>3723480509190637056</v>
      </c>
      <c r="F3657" s="1" t="str">
        <f t="shared" si="1211"/>
        <v>花都四部-凤凰仓</v>
      </c>
      <c r="G3657" s="1" t="str">
        <f t="shared" si="1202"/>
        <v>卡卡杜企业店（视频号）</v>
      </c>
      <c r="H3657" s="1" t="str">
        <f t="shared" si="1212"/>
        <v>正常订单</v>
      </c>
      <c r="I3657" s="1" t="str">
        <f t="shared" si="1213"/>
        <v>已发货</v>
      </c>
      <c r="J3657" s="1" t="str">
        <f t="shared" si="1208"/>
        <v>3</v>
      </c>
      <c r="K3657" s="1">
        <v>3</v>
      </c>
      <c r="L3657" s="1" t="s">
        <v>187</v>
      </c>
      <c r="M3657" s="1" t="str">
        <f>"吉林省 延边朝鲜族自治州 安图县 "</f>
        <v xml:space="preserve">吉林省 延边朝鲜族自治州 安图县 </v>
      </c>
      <c r="N3657" s="1" t="str">
        <f t="shared" si="1204"/>
        <v>凡华云仓-城南圆通-微信视频号</v>
      </c>
      <c r="O3657" s="5" t="s">
        <v>3688</v>
      </c>
      <c r="P3657" s="6">
        <v>0.34</v>
      </c>
      <c r="Q3657" s="11">
        <v>2.2999999999999998</v>
      </c>
      <c r="R3657" s="11"/>
      <c r="S3657" s="11"/>
      <c r="T3657" s="11"/>
      <c r="U3657" s="11">
        <f t="shared" si="1209"/>
        <v>2.2999999999999998</v>
      </c>
      <c r="W3657">
        <v>2.5</v>
      </c>
      <c r="X3657" s="1" t="s">
        <v>187</v>
      </c>
    </row>
    <row r="3658" spans="1:24" x14ac:dyDescent="0.25">
      <c r="A3658" s="1" t="str">
        <f t="shared" si="1210"/>
        <v>卡卡杜-凤凰仓</v>
      </c>
      <c r="B3658" s="1" t="str">
        <f>"CK2024102201"</f>
        <v>CK2024102201</v>
      </c>
      <c r="C3658" s="1" t="str">
        <f>"DD2024102253553"</f>
        <v>DD2024102253553</v>
      </c>
      <c r="D3658" s="1" t="str">
        <f>"CK2024102251241"</f>
        <v>CK2024102251241</v>
      </c>
      <c r="E3658" s="1" t="str">
        <f>"3723480509050652160"</f>
        <v>3723480509050652160</v>
      </c>
      <c r="F3658" s="1" t="str">
        <f t="shared" si="1211"/>
        <v>花都四部-凤凰仓</v>
      </c>
      <c r="G3658" s="1" t="str">
        <f t="shared" si="1202"/>
        <v>卡卡杜企业店（视频号）</v>
      </c>
      <c r="H3658" s="1" t="str">
        <f t="shared" si="1212"/>
        <v>正常订单</v>
      </c>
      <c r="I3658" s="1" t="str">
        <f t="shared" si="1213"/>
        <v>已发货</v>
      </c>
      <c r="J3658" s="1" t="str">
        <f>"5"</f>
        <v>5</v>
      </c>
      <c r="K3658" s="1">
        <v>3</v>
      </c>
      <c r="L3658" s="1" t="s">
        <v>30</v>
      </c>
      <c r="M3658" s="1" t="str">
        <f>"山东省 济南市 历下区 "</f>
        <v xml:space="preserve">山东省 济南市 历下区 </v>
      </c>
      <c r="N3658" s="1" t="str">
        <f t="shared" si="1204"/>
        <v>凡华云仓-城南圆通-微信视频号</v>
      </c>
      <c r="O3658" s="5" t="s">
        <v>3689</v>
      </c>
      <c r="P3658" s="6">
        <v>0.56000000000000005</v>
      </c>
      <c r="Q3658" s="11">
        <f>CEILING(P3658-0.5,0.1)*10*0.15+2.3</f>
        <v>2.4499999999999997</v>
      </c>
      <c r="R3658" s="11"/>
      <c r="S3658" s="11"/>
      <c r="T3658" s="11"/>
      <c r="U3658" s="11">
        <f t="shared" si="1209"/>
        <v>2.4499999999999997</v>
      </c>
      <c r="V3658" t="s">
        <v>15</v>
      </c>
      <c r="W3658">
        <v>2.4500000000000002</v>
      </c>
      <c r="X3658" s="1" t="s">
        <v>30</v>
      </c>
    </row>
    <row r="3659" spans="1:24" x14ac:dyDescent="0.25">
      <c r="A3659" s="1" t="str">
        <f t="shared" si="1210"/>
        <v>卡卡杜-凤凰仓</v>
      </c>
      <c r="B3659" s="1" t="str">
        <f>"CK2024102259"</f>
        <v>CK2024102259</v>
      </c>
      <c r="C3659" s="1" t="str">
        <f>"DD2024102253610"</f>
        <v>DD2024102253610</v>
      </c>
      <c r="D3659" s="1" t="str">
        <f>"CK2024102251240"</f>
        <v>CK2024102251240</v>
      </c>
      <c r="E3659" s="1" t="str">
        <f>"3723480507628782848"</f>
        <v>3723480507628782848</v>
      </c>
      <c r="F3659" s="1" t="str">
        <f t="shared" si="1211"/>
        <v>花都四部-凤凰仓</v>
      </c>
      <c r="G3659" s="1" t="str">
        <f t="shared" si="1202"/>
        <v>卡卡杜企业店（视频号）</v>
      </c>
      <c r="H3659" s="1" t="str">
        <f t="shared" si="1212"/>
        <v>正常订单</v>
      </c>
      <c r="I3659" s="1" t="str">
        <f t="shared" si="1213"/>
        <v>已发货</v>
      </c>
      <c r="J3659" s="1" t="str">
        <f t="shared" ref="J3659:J3682" si="1214">"3"</f>
        <v>3</v>
      </c>
      <c r="K3659" s="1">
        <v>3</v>
      </c>
      <c r="L3659" s="1" t="s">
        <v>105</v>
      </c>
      <c r="M3659" s="1" t="str">
        <f>"北京 北京市 朝阳区 "</f>
        <v xml:space="preserve">北京 北京市 朝阳区 </v>
      </c>
      <c r="N3659" s="1" t="str">
        <f t="shared" si="1204"/>
        <v>凡华云仓-城南圆通-微信视频号</v>
      </c>
      <c r="O3659" s="5" t="s">
        <v>3690</v>
      </c>
      <c r="P3659" s="6">
        <v>0.34</v>
      </c>
      <c r="Q3659" s="11">
        <v>2.2999999999999998</v>
      </c>
      <c r="R3659" s="11"/>
      <c r="S3659" s="11"/>
      <c r="T3659" s="11"/>
      <c r="U3659" s="11">
        <f t="shared" si="1209"/>
        <v>2.2999999999999998</v>
      </c>
      <c r="W3659">
        <v>2.5</v>
      </c>
      <c r="X3659" s="1" t="s">
        <v>105</v>
      </c>
    </row>
    <row r="3660" spans="1:24" x14ac:dyDescent="0.25">
      <c r="A3660" s="1" t="str">
        <f t="shared" si="1210"/>
        <v>卡卡杜-凤凰仓</v>
      </c>
      <c r="B3660" s="1" t="str">
        <f>"CK2024102260"</f>
        <v>CK2024102260</v>
      </c>
      <c r="C3660" s="1" t="str">
        <f>"DD2024102253612"</f>
        <v>DD2024102253612</v>
      </c>
      <c r="D3660" s="1" t="str">
        <f>"CK2024102251239"</f>
        <v>CK2024102251239</v>
      </c>
      <c r="E3660" s="1" t="str">
        <f>"3723480507813856513"</f>
        <v>3723480507813856513</v>
      </c>
      <c r="F3660" s="1" t="str">
        <f t="shared" si="1211"/>
        <v>花都四部-凤凰仓</v>
      </c>
      <c r="G3660" s="1" t="str">
        <f t="shared" si="1202"/>
        <v>卡卡杜企业店（视频号）</v>
      </c>
      <c r="H3660" s="1" t="str">
        <f t="shared" si="1212"/>
        <v>正常订单</v>
      </c>
      <c r="I3660" s="1" t="str">
        <f t="shared" si="1213"/>
        <v>已发货</v>
      </c>
      <c r="J3660" s="1" t="str">
        <f t="shared" si="1214"/>
        <v>3</v>
      </c>
      <c r="K3660" s="1">
        <v>3</v>
      </c>
      <c r="L3660" s="1" t="s">
        <v>74</v>
      </c>
      <c r="M3660" s="1" t="str">
        <f>"上海 上海市 徐汇区 "</f>
        <v xml:space="preserve">上海 上海市 徐汇区 </v>
      </c>
      <c r="N3660" s="1" t="str">
        <f t="shared" si="1204"/>
        <v>凡华云仓-城南圆通-微信视频号</v>
      </c>
      <c r="O3660" s="5" t="s">
        <v>3691</v>
      </c>
      <c r="P3660" s="6">
        <v>0.34</v>
      </c>
      <c r="Q3660" s="11">
        <v>2.2999999999999998</v>
      </c>
      <c r="R3660" s="11"/>
      <c r="S3660" s="11"/>
      <c r="T3660" s="11"/>
      <c r="U3660" s="11">
        <f t="shared" si="1209"/>
        <v>2.2999999999999998</v>
      </c>
      <c r="W3660">
        <v>2.5</v>
      </c>
      <c r="X3660" s="1" t="s">
        <v>74</v>
      </c>
    </row>
    <row r="3661" spans="1:24" x14ac:dyDescent="0.25">
      <c r="A3661" s="1" t="str">
        <f t="shared" si="1210"/>
        <v>卡卡杜-凤凰仓</v>
      </c>
      <c r="B3661" s="1" t="str">
        <f>"CK2024102263"</f>
        <v>CK2024102263</v>
      </c>
      <c r="C3661" s="1" t="str">
        <f>"DD2024102253618"</f>
        <v>DD2024102253618</v>
      </c>
      <c r="D3661" s="1" t="str">
        <f>"CK2024102251238"</f>
        <v>CK2024102251238</v>
      </c>
      <c r="E3661" s="1" t="str">
        <f>"3723480506869092352"</f>
        <v>3723480506869092352</v>
      </c>
      <c r="F3661" s="1" t="str">
        <f t="shared" si="1211"/>
        <v>花都四部-凤凰仓</v>
      </c>
      <c r="G3661" s="1" t="str">
        <f t="shared" si="1202"/>
        <v>卡卡杜企业店（视频号）</v>
      </c>
      <c r="H3661" s="1" t="str">
        <f t="shared" si="1212"/>
        <v>正常订单</v>
      </c>
      <c r="I3661" s="1" t="str">
        <f t="shared" si="1213"/>
        <v>已发货</v>
      </c>
      <c r="J3661" s="1" t="str">
        <f t="shared" si="1214"/>
        <v>3</v>
      </c>
      <c r="K3661" s="1">
        <v>3</v>
      </c>
      <c r="L3661" s="1" t="s">
        <v>20</v>
      </c>
      <c r="M3661" s="1" t="str">
        <f>"浙江省 杭州市 上城区 "</f>
        <v xml:space="preserve">浙江省 杭州市 上城区 </v>
      </c>
      <c r="N3661" s="1" t="str">
        <f t="shared" si="1204"/>
        <v>凡华云仓-城南圆通-微信视频号</v>
      </c>
      <c r="O3661" s="5" t="s">
        <v>3692</v>
      </c>
      <c r="P3661" s="6">
        <v>0.34</v>
      </c>
      <c r="Q3661" s="11">
        <v>2.2999999999999998</v>
      </c>
      <c r="R3661" s="11"/>
      <c r="S3661" s="11"/>
      <c r="T3661" s="11"/>
      <c r="U3661" s="11">
        <f t="shared" si="1209"/>
        <v>2.2999999999999998</v>
      </c>
      <c r="W3661">
        <v>2.5</v>
      </c>
      <c r="X3661" s="1" t="s">
        <v>20</v>
      </c>
    </row>
    <row r="3662" spans="1:24" x14ac:dyDescent="0.25">
      <c r="A3662" s="1" t="str">
        <f t="shared" si="1210"/>
        <v>卡卡杜-凤凰仓</v>
      </c>
      <c r="B3662" s="1" t="str">
        <f>"CK2024102261"</f>
        <v>CK2024102261</v>
      </c>
      <c r="C3662" s="1" t="str">
        <f>"DD2024102253613"</f>
        <v>DD2024102253613</v>
      </c>
      <c r="D3662" s="1" t="str">
        <f>"CK2024102251237"</f>
        <v>CK2024102251237</v>
      </c>
      <c r="E3662" s="1" t="str">
        <f>"3723480508069972992"</f>
        <v>3723480508069972992</v>
      </c>
      <c r="F3662" s="1" t="str">
        <f t="shared" si="1211"/>
        <v>花都四部-凤凰仓</v>
      </c>
      <c r="G3662" s="1" t="str">
        <f t="shared" ref="G3662:G3725" si="1215">"卡卡杜企业店（视频号）"</f>
        <v>卡卡杜企业店（视频号）</v>
      </c>
      <c r="H3662" s="1" t="str">
        <f t="shared" si="1212"/>
        <v>正常订单</v>
      </c>
      <c r="I3662" s="1" t="str">
        <f t="shared" si="1213"/>
        <v>已发货</v>
      </c>
      <c r="J3662" s="1" t="str">
        <f t="shared" si="1214"/>
        <v>3</v>
      </c>
      <c r="K3662" s="1">
        <v>3</v>
      </c>
      <c r="L3662" s="1" t="s">
        <v>30</v>
      </c>
      <c r="M3662" s="1" t="str">
        <f>"山东省 济南市 槐荫区 "</f>
        <v xml:space="preserve">山东省 济南市 槐荫区 </v>
      </c>
      <c r="N3662" s="1" t="str">
        <f t="shared" ref="N3662:N3725" si="1216">"凡华云仓-城南圆通-微信视频号"</f>
        <v>凡华云仓-城南圆通-微信视频号</v>
      </c>
      <c r="O3662" s="5" t="s">
        <v>3693</v>
      </c>
      <c r="P3662" s="6">
        <v>0.34</v>
      </c>
      <c r="Q3662" s="11">
        <v>2.2999999999999998</v>
      </c>
      <c r="R3662" s="11"/>
      <c r="S3662" s="11"/>
      <c r="T3662" s="11"/>
      <c r="U3662" s="11">
        <f t="shared" si="1209"/>
        <v>2.2999999999999998</v>
      </c>
      <c r="W3662">
        <v>2.5</v>
      </c>
      <c r="X3662" s="1" t="s">
        <v>30</v>
      </c>
    </row>
    <row r="3663" spans="1:24" x14ac:dyDescent="0.25">
      <c r="A3663" s="1" t="str">
        <f t="shared" si="1210"/>
        <v>卡卡杜-凤凰仓</v>
      </c>
      <c r="B3663" s="1" t="str">
        <f>"CK2024102262"</f>
        <v>CK2024102262</v>
      </c>
      <c r="C3663" s="1" t="str">
        <f>"DD2024102253614"</f>
        <v>DD2024102253614</v>
      </c>
      <c r="D3663" s="1" t="str">
        <f>"CK2024102251236"</f>
        <v>CK2024102251236</v>
      </c>
      <c r="E3663" s="1" t="str">
        <f>"3723480507301103104"</f>
        <v>3723480507301103104</v>
      </c>
      <c r="F3663" s="1" t="str">
        <f t="shared" si="1211"/>
        <v>花都四部-凤凰仓</v>
      </c>
      <c r="G3663" s="1" t="str">
        <f t="shared" si="1215"/>
        <v>卡卡杜企业店（视频号）</v>
      </c>
      <c r="H3663" s="1" t="str">
        <f t="shared" si="1212"/>
        <v>正常订单</v>
      </c>
      <c r="I3663" s="1" t="str">
        <f t="shared" si="1213"/>
        <v>已发货</v>
      </c>
      <c r="J3663" s="1" t="str">
        <f t="shared" si="1214"/>
        <v>3</v>
      </c>
      <c r="K3663" s="1">
        <v>3</v>
      </c>
      <c r="L3663" s="1" t="s">
        <v>109</v>
      </c>
      <c r="M3663" s="1" t="str">
        <f>"山西省 太原市 杏花岭区 "</f>
        <v xml:space="preserve">山西省 太原市 杏花岭区 </v>
      </c>
      <c r="N3663" s="1" t="str">
        <f t="shared" si="1216"/>
        <v>凡华云仓-城南圆通-微信视频号</v>
      </c>
      <c r="O3663" s="5" t="s">
        <v>3694</v>
      </c>
      <c r="P3663" s="6">
        <v>0.34</v>
      </c>
      <c r="Q3663" s="11">
        <v>2.2999999999999998</v>
      </c>
      <c r="R3663" s="11"/>
      <c r="S3663" s="11"/>
      <c r="T3663" s="11"/>
      <c r="U3663" s="11">
        <f t="shared" si="1209"/>
        <v>2.2999999999999998</v>
      </c>
      <c r="W3663">
        <v>2.5</v>
      </c>
      <c r="X3663" s="1" t="s">
        <v>109</v>
      </c>
    </row>
    <row r="3664" spans="1:24" x14ac:dyDescent="0.25">
      <c r="A3664" s="1" t="str">
        <f t="shared" si="1210"/>
        <v>卡卡杜-凤凰仓</v>
      </c>
      <c r="B3664" s="1" t="str">
        <f>"CK2024102266"</f>
        <v>CK2024102266</v>
      </c>
      <c r="C3664" s="1" t="str">
        <f>"DD2024102253617"</f>
        <v>DD2024102253617</v>
      </c>
      <c r="D3664" s="1" t="str">
        <f>"CK2024102251235"</f>
        <v>CK2024102251235</v>
      </c>
      <c r="E3664" s="1" t="str">
        <f>"3723480506776290816"</f>
        <v>3723480506776290816</v>
      </c>
      <c r="F3664" s="1" t="str">
        <f t="shared" si="1211"/>
        <v>花都四部-凤凰仓</v>
      </c>
      <c r="G3664" s="1" t="str">
        <f t="shared" si="1215"/>
        <v>卡卡杜企业店（视频号）</v>
      </c>
      <c r="H3664" s="1" t="str">
        <f t="shared" si="1212"/>
        <v>正常订单</v>
      </c>
      <c r="I3664" s="1" t="str">
        <f t="shared" si="1213"/>
        <v>已发货</v>
      </c>
      <c r="J3664" s="1" t="str">
        <f t="shared" si="1214"/>
        <v>3</v>
      </c>
      <c r="K3664" s="1">
        <v>3</v>
      </c>
      <c r="L3664" s="1" t="s">
        <v>218</v>
      </c>
      <c r="M3664" s="1" t="str">
        <f>"天津 天津市 西青区 "</f>
        <v xml:space="preserve">天津 天津市 西青区 </v>
      </c>
      <c r="N3664" s="1" t="str">
        <f t="shared" si="1216"/>
        <v>凡华云仓-城南圆通-微信视频号</v>
      </c>
      <c r="O3664" s="5" t="s">
        <v>3695</v>
      </c>
      <c r="P3664" s="6">
        <v>0.34</v>
      </c>
      <c r="Q3664" s="11">
        <v>2.2999999999999998</v>
      </c>
      <c r="R3664" s="11"/>
      <c r="S3664" s="11"/>
      <c r="T3664" s="11"/>
      <c r="U3664" s="11">
        <f t="shared" si="1209"/>
        <v>2.2999999999999998</v>
      </c>
      <c r="W3664">
        <v>2.5</v>
      </c>
      <c r="X3664" s="1" t="s">
        <v>218</v>
      </c>
    </row>
    <row r="3665" spans="1:24" x14ac:dyDescent="0.25">
      <c r="A3665" s="1" t="str">
        <f t="shared" si="1210"/>
        <v>卡卡杜-凤凰仓</v>
      </c>
      <c r="B3665" s="1" t="str">
        <f>"CK2024102271"</f>
        <v>CK2024102271</v>
      </c>
      <c r="C3665" s="1" t="str">
        <f>"DD2024102253622"</f>
        <v>DD2024102253622</v>
      </c>
      <c r="D3665" s="1" t="str">
        <f>"CK2024102251234"</f>
        <v>CK2024102251234</v>
      </c>
      <c r="E3665" s="1" t="str">
        <f>"3723480504874175488"</f>
        <v>3723480504874175488</v>
      </c>
      <c r="F3665" s="1" t="str">
        <f t="shared" si="1211"/>
        <v>花都四部-凤凰仓</v>
      </c>
      <c r="G3665" s="1" t="str">
        <f t="shared" si="1215"/>
        <v>卡卡杜企业店（视频号）</v>
      </c>
      <c r="H3665" s="1" t="str">
        <f t="shared" si="1212"/>
        <v>正常订单</v>
      </c>
      <c r="I3665" s="1" t="str">
        <f t="shared" si="1213"/>
        <v>已发货</v>
      </c>
      <c r="J3665" s="1" t="str">
        <f t="shared" si="1214"/>
        <v>3</v>
      </c>
      <c r="K3665" s="1">
        <v>3</v>
      </c>
      <c r="L3665" s="1" t="s">
        <v>41</v>
      </c>
      <c r="M3665" s="1" t="str">
        <f>"湖北省 武汉市 洪山区 "</f>
        <v xml:space="preserve">湖北省 武汉市 洪山区 </v>
      </c>
      <c r="N3665" s="1" t="str">
        <f t="shared" si="1216"/>
        <v>凡华云仓-城南圆通-微信视频号</v>
      </c>
      <c r="O3665" s="5" t="s">
        <v>3696</v>
      </c>
      <c r="P3665" s="6">
        <v>0.34</v>
      </c>
      <c r="Q3665" s="11">
        <v>2.2999999999999998</v>
      </c>
      <c r="R3665" s="11"/>
      <c r="S3665" s="11"/>
      <c r="T3665" s="11"/>
      <c r="U3665" s="11">
        <f t="shared" si="1209"/>
        <v>2.2999999999999998</v>
      </c>
      <c r="W3665">
        <v>2.5</v>
      </c>
      <c r="X3665" s="1" t="s">
        <v>41</v>
      </c>
    </row>
    <row r="3666" spans="1:24" x14ac:dyDescent="0.25">
      <c r="A3666" s="1" t="str">
        <f t="shared" si="1210"/>
        <v>卡卡杜-凤凰仓</v>
      </c>
      <c r="B3666" s="1" t="str">
        <f>"CK2024102264"</f>
        <v>CK2024102264</v>
      </c>
      <c r="C3666" s="1" t="str">
        <f>"DD2024102253616"</f>
        <v>DD2024102253616</v>
      </c>
      <c r="D3666" s="1" t="str">
        <f>"CK2024102251233"</f>
        <v>CK2024102251233</v>
      </c>
      <c r="E3666" s="1" t="str">
        <f>"3723480507440301568"</f>
        <v>3723480507440301568</v>
      </c>
      <c r="F3666" s="1" t="str">
        <f t="shared" si="1211"/>
        <v>花都四部-凤凰仓</v>
      </c>
      <c r="G3666" s="1" t="str">
        <f t="shared" si="1215"/>
        <v>卡卡杜企业店（视频号）</v>
      </c>
      <c r="H3666" s="1" t="str">
        <f t="shared" si="1212"/>
        <v>正常订单</v>
      </c>
      <c r="I3666" s="1" t="str">
        <f t="shared" si="1213"/>
        <v>已发货</v>
      </c>
      <c r="J3666" s="1" t="str">
        <f t="shared" si="1214"/>
        <v>3</v>
      </c>
      <c r="K3666" s="1">
        <v>3</v>
      </c>
      <c r="L3666" s="1" t="s">
        <v>182</v>
      </c>
      <c r="M3666" s="1" t="str">
        <f>"新疆维吾尔自治区 塔城地区 额敏县 "</f>
        <v xml:space="preserve">新疆维吾尔自治区 塔城地区 额敏县 </v>
      </c>
      <c r="N3666" s="1" t="str">
        <f t="shared" si="1216"/>
        <v>凡华云仓-城南圆通-微信视频号</v>
      </c>
      <c r="O3666" s="5" t="s">
        <v>3697</v>
      </c>
      <c r="P3666" s="6">
        <v>0.34</v>
      </c>
      <c r="Q3666" s="11">
        <v>17</v>
      </c>
      <c r="R3666" s="11"/>
      <c r="S3666" s="11"/>
      <c r="T3666" s="11"/>
      <c r="U3666" s="11">
        <f t="shared" si="1209"/>
        <v>17</v>
      </c>
      <c r="W3666">
        <v>17</v>
      </c>
      <c r="X3666" s="1" t="s">
        <v>182</v>
      </c>
    </row>
    <row r="3667" spans="1:24" x14ac:dyDescent="0.25">
      <c r="A3667" s="1" t="str">
        <f t="shared" si="1210"/>
        <v>卡卡杜-凤凰仓</v>
      </c>
      <c r="B3667" s="1" t="str">
        <f>"CK2024102269"</f>
        <v>CK2024102269</v>
      </c>
      <c r="C3667" s="1" t="str">
        <f>"DD2024102253621"</f>
        <v>DD2024102253621</v>
      </c>
      <c r="D3667" s="1" t="str">
        <f>"CK2024102251232"</f>
        <v>CK2024102251232</v>
      </c>
      <c r="E3667" s="1" t="str">
        <f>"3723480505962071296"</f>
        <v>3723480505962071296</v>
      </c>
      <c r="F3667" s="1" t="str">
        <f t="shared" si="1211"/>
        <v>花都四部-凤凰仓</v>
      </c>
      <c r="G3667" s="1" t="str">
        <f t="shared" si="1215"/>
        <v>卡卡杜企业店（视频号）</v>
      </c>
      <c r="H3667" s="1" t="str">
        <f t="shared" si="1212"/>
        <v>正常订单</v>
      </c>
      <c r="I3667" s="1" t="str">
        <f t="shared" si="1213"/>
        <v>已发货</v>
      </c>
      <c r="J3667" s="1" t="str">
        <f t="shared" si="1214"/>
        <v>3</v>
      </c>
      <c r="K3667" s="1">
        <v>3</v>
      </c>
      <c r="L3667" s="1" t="s">
        <v>13</v>
      </c>
      <c r="M3667" s="1" t="str">
        <f>"江苏省 南通市 海门市 "</f>
        <v xml:space="preserve">江苏省 南通市 海门市 </v>
      </c>
      <c r="N3667" s="1" t="str">
        <f t="shared" si="1216"/>
        <v>凡华云仓-城南圆通-微信视频号</v>
      </c>
      <c r="O3667" s="5" t="s">
        <v>3698</v>
      </c>
      <c r="P3667" s="6">
        <v>0.34</v>
      </c>
      <c r="Q3667" s="11">
        <v>2.2999999999999998</v>
      </c>
      <c r="R3667" s="11"/>
      <c r="S3667" s="11"/>
      <c r="T3667" s="11"/>
      <c r="U3667" s="11">
        <f t="shared" si="1209"/>
        <v>2.2999999999999998</v>
      </c>
      <c r="W3667">
        <v>2.5</v>
      </c>
      <c r="X3667" s="1" t="s">
        <v>13</v>
      </c>
    </row>
    <row r="3668" spans="1:24" x14ac:dyDescent="0.25">
      <c r="A3668" s="1" t="str">
        <f t="shared" si="1210"/>
        <v>卡卡杜-凤凰仓</v>
      </c>
      <c r="B3668" s="1" t="str">
        <f>"CK2024102272"</f>
        <v>CK2024102272</v>
      </c>
      <c r="C3668" s="1" t="str">
        <f>"DD2024102253624"</f>
        <v>DD2024102253624</v>
      </c>
      <c r="D3668" s="1" t="str">
        <f>"CK2024102251231"</f>
        <v>CK2024102251231</v>
      </c>
      <c r="E3668" s="1" t="str">
        <f>"3723480505974918144"</f>
        <v>3723480505974918144</v>
      </c>
      <c r="F3668" s="1" t="str">
        <f t="shared" si="1211"/>
        <v>花都四部-凤凰仓</v>
      </c>
      <c r="G3668" s="1" t="str">
        <f t="shared" si="1215"/>
        <v>卡卡杜企业店（视频号）</v>
      </c>
      <c r="H3668" s="1" t="str">
        <f t="shared" si="1212"/>
        <v>正常订单</v>
      </c>
      <c r="I3668" s="1" t="str">
        <f t="shared" si="1213"/>
        <v>已发货</v>
      </c>
      <c r="J3668" s="1" t="str">
        <f t="shared" si="1214"/>
        <v>3</v>
      </c>
      <c r="K3668" s="1">
        <v>3</v>
      </c>
      <c r="L3668" s="1" t="s">
        <v>105</v>
      </c>
      <c r="M3668" s="1" t="str">
        <f>"北京 北京市 西城区 "</f>
        <v xml:space="preserve">北京 北京市 西城区 </v>
      </c>
      <c r="N3668" s="1" t="str">
        <f t="shared" si="1216"/>
        <v>凡华云仓-城南圆通-微信视频号</v>
      </c>
      <c r="O3668" s="5" t="s">
        <v>3699</v>
      </c>
      <c r="P3668" s="6">
        <v>0.34</v>
      </c>
      <c r="Q3668" s="11">
        <v>2.2999999999999998</v>
      </c>
      <c r="R3668" s="11"/>
      <c r="S3668" s="11"/>
      <c r="T3668" s="11"/>
      <c r="U3668" s="11">
        <f t="shared" si="1209"/>
        <v>2.2999999999999998</v>
      </c>
      <c r="W3668">
        <v>2.5</v>
      </c>
      <c r="X3668" s="1" t="s">
        <v>105</v>
      </c>
    </row>
    <row r="3669" spans="1:24" x14ac:dyDescent="0.25">
      <c r="A3669" s="1" t="str">
        <f t="shared" si="1210"/>
        <v>卡卡杜-凤凰仓</v>
      </c>
      <c r="B3669" s="1" t="str">
        <f>"CK2024102285"</f>
        <v>CK2024102285</v>
      </c>
      <c r="C3669" s="1" t="str">
        <f>"DD2024102253637"</f>
        <v>DD2024102253637</v>
      </c>
      <c r="D3669" s="1" t="str">
        <f>"CK2024102251230"</f>
        <v>CK2024102251230</v>
      </c>
      <c r="E3669" s="1" t="str">
        <f>"3723480501651378176"</f>
        <v>3723480501651378176</v>
      </c>
      <c r="F3669" s="1" t="str">
        <f t="shared" si="1211"/>
        <v>花都四部-凤凰仓</v>
      </c>
      <c r="G3669" s="1" t="str">
        <f t="shared" si="1215"/>
        <v>卡卡杜企业店（视频号）</v>
      </c>
      <c r="H3669" s="1" t="str">
        <f t="shared" si="1212"/>
        <v>正常订单</v>
      </c>
      <c r="I3669" s="1" t="str">
        <f t="shared" si="1213"/>
        <v>已发货</v>
      </c>
      <c r="J3669" s="1" t="str">
        <f t="shared" si="1214"/>
        <v>3</v>
      </c>
      <c r="K3669" s="1">
        <v>3</v>
      </c>
      <c r="L3669" s="1" t="s">
        <v>30</v>
      </c>
      <c r="M3669" s="1" t="str">
        <f>"山东省 威海市 环翠区 "</f>
        <v xml:space="preserve">山东省 威海市 环翠区 </v>
      </c>
      <c r="N3669" s="1" t="str">
        <f t="shared" si="1216"/>
        <v>凡华云仓-城南圆通-微信视频号</v>
      </c>
      <c r="O3669" s="5" t="s">
        <v>3700</v>
      </c>
      <c r="P3669" s="6">
        <v>0.34</v>
      </c>
      <c r="Q3669" s="11">
        <v>2.2999999999999998</v>
      </c>
      <c r="R3669" s="11"/>
      <c r="S3669" s="11"/>
      <c r="T3669" s="11"/>
      <c r="U3669" s="11">
        <f t="shared" si="1209"/>
        <v>2.2999999999999998</v>
      </c>
      <c r="W3669">
        <v>2.5</v>
      </c>
      <c r="X3669" s="1" t="s">
        <v>30</v>
      </c>
    </row>
    <row r="3670" spans="1:24" x14ac:dyDescent="0.25">
      <c r="A3670" s="1" t="str">
        <f t="shared" si="1210"/>
        <v>卡卡杜-凤凰仓</v>
      </c>
      <c r="B3670" s="1" t="str">
        <f>"CK2024102265"</f>
        <v>CK2024102265</v>
      </c>
      <c r="C3670" s="1" t="str">
        <f>"DD2024102253615"</f>
        <v>DD2024102253615</v>
      </c>
      <c r="D3670" s="1" t="str">
        <f>"CK2024102251229"</f>
        <v>CK2024102251229</v>
      </c>
      <c r="E3670" s="1" t="str">
        <f>"3723480506701319169"</f>
        <v>3723480506701319169</v>
      </c>
      <c r="F3670" s="1" t="str">
        <f t="shared" si="1211"/>
        <v>花都四部-凤凰仓</v>
      </c>
      <c r="G3670" s="1" t="str">
        <f t="shared" si="1215"/>
        <v>卡卡杜企业店（视频号）</v>
      </c>
      <c r="H3670" s="1" t="str">
        <f t="shared" si="1212"/>
        <v>正常订单</v>
      </c>
      <c r="I3670" s="1" t="str">
        <f t="shared" si="1213"/>
        <v>已发货</v>
      </c>
      <c r="J3670" s="1" t="str">
        <f t="shared" si="1214"/>
        <v>3</v>
      </c>
      <c r="K3670" s="1">
        <v>3</v>
      </c>
      <c r="L3670" s="1" t="s">
        <v>16</v>
      </c>
      <c r="M3670" s="1" t="str">
        <f>"河北省 张家口市 万全区 "</f>
        <v xml:space="preserve">河北省 张家口市 万全区 </v>
      </c>
      <c r="N3670" s="1" t="str">
        <f t="shared" si="1216"/>
        <v>凡华云仓-城南圆通-微信视频号</v>
      </c>
      <c r="O3670" s="5" t="s">
        <v>3701</v>
      </c>
      <c r="P3670" s="6">
        <v>0.34</v>
      </c>
      <c r="Q3670" s="11">
        <v>2.2999999999999998</v>
      </c>
      <c r="R3670" s="11"/>
      <c r="S3670" s="11"/>
      <c r="T3670" s="11"/>
      <c r="U3670" s="11">
        <f t="shared" si="1209"/>
        <v>2.2999999999999998</v>
      </c>
      <c r="W3670">
        <v>2.5</v>
      </c>
      <c r="X3670" s="1" t="s">
        <v>16</v>
      </c>
    </row>
    <row r="3671" spans="1:24" x14ac:dyDescent="0.25">
      <c r="A3671" s="1" t="str">
        <f t="shared" si="1210"/>
        <v>卡卡杜-凤凰仓</v>
      </c>
      <c r="B3671" s="1" t="str">
        <f>"CK2024102267"</f>
        <v>CK2024102267</v>
      </c>
      <c r="C3671" s="1" t="str">
        <f>"DD2024102253619"</f>
        <v>DD2024102253619</v>
      </c>
      <c r="D3671" s="1" t="str">
        <f>"CK2024102251228"</f>
        <v>CK2024102251228</v>
      </c>
      <c r="E3671" s="1" t="str">
        <f>"3723480506378882048"</f>
        <v>3723480506378882048</v>
      </c>
      <c r="F3671" s="1" t="str">
        <f t="shared" si="1211"/>
        <v>花都四部-凤凰仓</v>
      </c>
      <c r="G3671" s="1" t="str">
        <f t="shared" si="1215"/>
        <v>卡卡杜企业店（视频号）</v>
      </c>
      <c r="H3671" s="1" t="str">
        <f t="shared" si="1212"/>
        <v>正常订单</v>
      </c>
      <c r="I3671" s="1" t="str">
        <f t="shared" si="1213"/>
        <v>已发货</v>
      </c>
      <c r="J3671" s="1" t="str">
        <f t="shared" si="1214"/>
        <v>3</v>
      </c>
      <c r="K3671" s="1">
        <v>3</v>
      </c>
      <c r="L3671" s="1" t="s">
        <v>54</v>
      </c>
      <c r="M3671" s="1" t="str">
        <f>"黑龙江省 哈尔滨市 南岗区 "</f>
        <v xml:space="preserve">黑龙江省 哈尔滨市 南岗区 </v>
      </c>
      <c r="N3671" s="1" t="str">
        <f t="shared" si="1216"/>
        <v>凡华云仓-城南圆通-微信视频号</v>
      </c>
      <c r="O3671" s="5" t="s">
        <v>3702</v>
      </c>
      <c r="P3671" s="6">
        <v>0.34</v>
      </c>
      <c r="Q3671" s="11">
        <v>2.2999999999999998</v>
      </c>
      <c r="R3671" s="11"/>
      <c r="S3671" s="11"/>
      <c r="T3671" s="11"/>
      <c r="U3671" s="11">
        <f t="shared" si="1209"/>
        <v>2.2999999999999998</v>
      </c>
      <c r="W3671">
        <v>2.5</v>
      </c>
      <c r="X3671" s="1" t="s">
        <v>54</v>
      </c>
    </row>
    <row r="3672" spans="1:24" x14ac:dyDescent="0.25">
      <c r="A3672" s="1" t="str">
        <f t="shared" si="1210"/>
        <v>卡卡杜-凤凰仓</v>
      </c>
      <c r="B3672" s="1" t="str">
        <f>"CK2024102270"</f>
        <v>CK2024102270</v>
      </c>
      <c r="C3672" s="1" t="str">
        <f>"DD2024102253623"</f>
        <v>DD2024102253623</v>
      </c>
      <c r="D3672" s="1" t="str">
        <f>"CK2024102251227"</f>
        <v>CK2024102251227</v>
      </c>
      <c r="E3672" s="1" t="str">
        <f>"3723480503071151104"</f>
        <v>3723480503071151104</v>
      </c>
      <c r="F3672" s="1" t="str">
        <f t="shared" si="1211"/>
        <v>花都四部-凤凰仓</v>
      </c>
      <c r="G3672" s="1" t="str">
        <f t="shared" si="1215"/>
        <v>卡卡杜企业店（视频号）</v>
      </c>
      <c r="H3672" s="1" t="str">
        <f t="shared" si="1212"/>
        <v>正常订单</v>
      </c>
      <c r="I3672" s="1" t="str">
        <f t="shared" si="1213"/>
        <v>已发货</v>
      </c>
      <c r="J3672" s="1" t="str">
        <f t="shared" si="1214"/>
        <v>3</v>
      </c>
      <c r="K3672" s="1">
        <v>3</v>
      </c>
      <c r="L3672" s="1" t="s">
        <v>32</v>
      </c>
      <c r="M3672" s="1" t="str">
        <f>"陕西省 西安市 雁塔区 "</f>
        <v xml:space="preserve">陕西省 西安市 雁塔区 </v>
      </c>
      <c r="N3672" s="1" t="str">
        <f t="shared" si="1216"/>
        <v>凡华云仓-城南圆通-微信视频号</v>
      </c>
      <c r="O3672" s="5" t="s">
        <v>3703</v>
      </c>
      <c r="P3672" s="6">
        <v>0.34</v>
      </c>
      <c r="Q3672" s="11">
        <v>2.2999999999999998</v>
      </c>
      <c r="R3672" s="11"/>
      <c r="S3672" s="11"/>
      <c r="T3672" s="11"/>
      <c r="U3672" s="11">
        <f t="shared" si="1209"/>
        <v>2.2999999999999998</v>
      </c>
      <c r="W3672">
        <v>2.5</v>
      </c>
      <c r="X3672" s="1" t="s">
        <v>32</v>
      </c>
    </row>
    <row r="3673" spans="1:24" x14ac:dyDescent="0.25">
      <c r="A3673" s="1" t="str">
        <f t="shared" si="1210"/>
        <v>卡卡杜-凤凰仓</v>
      </c>
      <c r="B3673" s="1" t="str">
        <f>"CK2024102273"</f>
        <v>CK2024102273</v>
      </c>
      <c r="C3673" s="1" t="str">
        <f>"DD2024102253625"</f>
        <v>DD2024102253625</v>
      </c>
      <c r="D3673" s="1" t="str">
        <f>"CK2024102251226"</f>
        <v>CK2024102251226</v>
      </c>
      <c r="E3673" s="1" t="str">
        <f>"3723480506099700736"</f>
        <v>3723480506099700736</v>
      </c>
      <c r="F3673" s="1" t="str">
        <f t="shared" si="1211"/>
        <v>花都四部-凤凰仓</v>
      </c>
      <c r="G3673" s="1" t="str">
        <f t="shared" si="1215"/>
        <v>卡卡杜企业店（视频号）</v>
      </c>
      <c r="H3673" s="1" t="str">
        <f t="shared" si="1212"/>
        <v>正常订单</v>
      </c>
      <c r="I3673" s="1" t="str">
        <f t="shared" si="1213"/>
        <v>已发货</v>
      </c>
      <c r="J3673" s="1" t="str">
        <f t="shared" si="1214"/>
        <v>3</v>
      </c>
      <c r="K3673" s="1">
        <v>3</v>
      </c>
      <c r="L3673" s="1" t="s">
        <v>20</v>
      </c>
      <c r="M3673" s="1" t="str">
        <f>"浙江省 台州市 天台县 "</f>
        <v xml:space="preserve">浙江省 台州市 天台县 </v>
      </c>
      <c r="N3673" s="1" t="str">
        <f t="shared" si="1216"/>
        <v>凡华云仓-城南圆通-微信视频号</v>
      </c>
      <c r="O3673" s="5" t="s">
        <v>3704</v>
      </c>
      <c r="P3673" s="6">
        <v>0.34</v>
      </c>
      <c r="Q3673" s="11">
        <v>2.2999999999999998</v>
      </c>
      <c r="R3673" s="11"/>
      <c r="S3673" s="11"/>
      <c r="T3673" s="11"/>
      <c r="U3673" s="11">
        <f t="shared" si="1209"/>
        <v>2.2999999999999998</v>
      </c>
      <c r="W3673">
        <v>2.5</v>
      </c>
      <c r="X3673" s="1" t="s">
        <v>20</v>
      </c>
    </row>
    <row r="3674" spans="1:24" x14ac:dyDescent="0.25">
      <c r="A3674" s="1" t="str">
        <f t="shared" si="1210"/>
        <v>卡卡杜-凤凰仓</v>
      </c>
      <c r="B3674" s="1" t="str">
        <f>"CK2024102277"</f>
        <v>CK2024102277</v>
      </c>
      <c r="C3674" s="1" t="str">
        <f>"DD2024102253629"</f>
        <v>DD2024102253629</v>
      </c>
      <c r="D3674" s="1" t="str">
        <f>"CK2024102251225"</f>
        <v>CK2024102251225</v>
      </c>
      <c r="E3674" s="1" t="str">
        <f>"3723480502954231296"</f>
        <v>3723480502954231296</v>
      </c>
      <c r="F3674" s="1" t="str">
        <f t="shared" si="1211"/>
        <v>花都四部-凤凰仓</v>
      </c>
      <c r="G3674" s="1" t="str">
        <f t="shared" si="1215"/>
        <v>卡卡杜企业店（视频号）</v>
      </c>
      <c r="H3674" s="1" t="str">
        <f t="shared" si="1212"/>
        <v>正常订单</v>
      </c>
      <c r="I3674" s="1" t="str">
        <f t="shared" si="1213"/>
        <v>已发货</v>
      </c>
      <c r="J3674" s="1" t="str">
        <f t="shared" si="1214"/>
        <v>3</v>
      </c>
      <c r="K3674" s="1">
        <v>3</v>
      </c>
      <c r="L3674" s="1" t="s">
        <v>54</v>
      </c>
      <c r="M3674" s="1" t="str">
        <f>"黑龙江省 哈尔滨市 道里区 "</f>
        <v xml:space="preserve">黑龙江省 哈尔滨市 道里区 </v>
      </c>
      <c r="N3674" s="1" t="str">
        <f t="shared" si="1216"/>
        <v>凡华云仓-城南圆通-微信视频号</v>
      </c>
      <c r="O3674" s="5" t="s">
        <v>3705</v>
      </c>
      <c r="P3674" s="6">
        <v>0.34</v>
      </c>
      <c r="Q3674" s="11">
        <v>2.2999999999999998</v>
      </c>
      <c r="R3674" s="11"/>
      <c r="S3674" s="11"/>
      <c r="T3674" s="11"/>
      <c r="U3674" s="11">
        <f t="shared" si="1209"/>
        <v>2.2999999999999998</v>
      </c>
      <c r="W3674">
        <v>2.5</v>
      </c>
      <c r="X3674" s="1" t="s">
        <v>54</v>
      </c>
    </row>
    <row r="3675" spans="1:24" x14ac:dyDescent="0.25">
      <c r="A3675" s="1" t="str">
        <f t="shared" si="1210"/>
        <v>卡卡杜-凤凰仓</v>
      </c>
      <c r="B3675" s="1" t="str">
        <f>"CK2024102275"</f>
        <v>CK2024102275</v>
      </c>
      <c r="C3675" s="1" t="str">
        <f>"DD2024102253627"</f>
        <v>DD2024102253627</v>
      </c>
      <c r="D3675" s="1" t="str">
        <f>"CK2024102251224"</f>
        <v>CK2024102251224</v>
      </c>
      <c r="E3675" s="1" t="str">
        <f>"3723480503992325120"</f>
        <v>3723480503992325120</v>
      </c>
      <c r="F3675" s="1" t="str">
        <f t="shared" si="1211"/>
        <v>花都四部-凤凰仓</v>
      </c>
      <c r="G3675" s="1" t="str">
        <f t="shared" si="1215"/>
        <v>卡卡杜企业店（视频号）</v>
      </c>
      <c r="H3675" s="1" t="str">
        <f t="shared" si="1212"/>
        <v>正常订单</v>
      </c>
      <c r="I3675" s="1" t="str">
        <f t="shared" si="1213"/>
        <v>已发货</v>
      </c>
      <c r="J3675" s="1" t="str">
        <f t="shared" si="1214"/>
        <v>3</v>
      </c>
      <c r="K3675" s="1">
        <v>3</v>
      </c>
      <c r="L3675" s="1" t="s">
        <v>41</v>
      </c>
      <c r="M3675" s="1" t="str">
        <f>"湖北省 黄石市 黄石港区 "</f>
        <v xml:space="preserve">湖北省 黄石市 黄石港区 </v>
      </c>
      <c r="N3675" s="1" t="str">
        <f t="shared" si="1216"/>
        <v>凡华云仓-城南圆通-微信视频号</v>
      </c>
      <c r="O3675" s="5" t="s">
        <v>3706</v>
      </c>
      <c r="P3675" s="6">
        <v>0.34</v>
      </c>
      <c r="Q3675" s="11">
        <v>2.2999999999999998</v>
      </c>
      <c r="R3675" s="11"/>
      <c r="S3675" s="11"/>
      <c r="T3675" s="11"/>
      <c r="U3675" s="11">
        <f t="shared" si="1209"/>
        <v>2.2999999999999998</v>
      </c>
      <c r="W3675">
        <v>2.5</v>
      </c>
      <c r="X3675" s="1" t="s">
        <v>41</v>
      </c>
    </row>
    <row r="3676" spans="1:24" x14ac:dyDescent="0.25">
      <c r="A3676" s="1" t="str">
        <f t="shared" si="1210"/>
        <v>卡卡杜-凤凰仓</v>
      </c>
      <c r="B3676" s="1" t="str">
        <f>"CK2024102274"</f>
        <v>CK2024102274</v>
      </c>
      <c r="C3676" s="1" t="str">
        <f>"DD2024102253626"</f>
        <v>DD2024102253626</v>
      </c>
      <c r="D3676" s="1" t="str">
        <f>"CK2024102251223"</f>
        <v>CK2024102251223</v>
      </c>
      <c r="E3676" s="1" t="str">
        <f>"3723480505561253120"</f>
        <v>3723480505561253120</v>
      </c>
      <c r="F3676" s="1" t="str">
        <f t="shared" si="1211"/>
        <v>花都四部-凤凰仓</v>
      </c>
      <c r="G3676" s="1" t="str">
        <f t="shared" si="1215"/>
        <v>卡卡杜企业店（视频号）</v>
      </c>
      <c r="H3676" s="1" t="str">
        <f t="shared" si="1212"/>
        <v>正常订单</v>
      </c>
      <c r="I3676" s="1" t="str">
        <f t="shared" si="1213"/>
        <v>已发货</v>
      </c>
      <c r="J3676" s="1" t="str">
        <f t="shared" si="1214"/>
        <v>3</v>
      </c>
      <c r="K3676" s="1">
        <v>3</v>
      </c>
      <c r="L3676" s="1" t="s">
        <v>18</v>
      </c>
      <c r="M3676" s="1" t="str">
        <f>"广东省 佛山市 顺德区 "</f>
        <v xml:space="preserve">广东省 佛山市 顺德区 </v>
      </c>
      <c r="N3676" s="1" t="str">
        <f t="shared" si="1216"/>
        <v>凡华云仓-城南圆通-微信视频号</v>
      </c>
      <c r="O3676" s="5" t="s">
        <v>3707</v>
      </c>
      <c r="P3676" s="6">
        <v>0.34</v>
      </c>
      <c r="Q3676" s="11">
        <v>2.2999999999999998</v>
      </c>
      <c r="R3676" s="11"/>
      <c r="S3676" s="11"/>
      <c r="T3676" s="11"/>
      <c r="U3676" s="11">
        <f t="shared" si="1209"/>
        <v>2.2999999999999998</v>
      </c>
      <c r="W3676">
        <v>2.5</v>
      </c>
      <c r="X3676" s="1" t="s">
        <v>18</v>
      </c>
    </row>
    <row r="3677" spans="1:24" x14ac:dyDescent="0.25">
      <c r="A3677" s="1" t="str">
        <f t="shared" si="1210"/>
        <v>卡卡杜-凤凰仓</v>
      </c>
      <c r="B3677" s="1" t="str">
        <f>"CK2024102276"</f>
        <v>CK2024102276</v>
      </c>
      <c r="C3677" s="1" t="str">
        <f>"DD2024102253628"</f>
        <v>DD2024102253628</v>
      </c>
      <c r="D3677" s="1" t="str">
        <f>"CK2024102251222"</f>
        <v>CK2024102251222</v>
      </c>
      <c r="E3677" s="1" t="str">
        <f>"3723480505256906752"</f>
        <v>3723480505256906752</v>
      </c>
      <c r="F3677" s="1" t="str">
        <f t="shared" si="1211"/>
        <v>花都四部-凤凰仓</v>
      </c>
      <c r="G3677" s="1" t="str">
        <f t="shared" si="1215"/>
        <v>卡卡杜企业店（视频号）</v>
      </c>
      <c r="H3677" s="1" t="str">
        <f t="shared" si="1212"/>
        <v>正常订单</v>
      </c>
      <c r="I3677" s="1" t="str">
        <f t="shared" si="1213"/>
        <v>已发货</v>
      </c>
      <c r="J3677" s="1" t="str">
        <f t="shared" si="1214"/>
        <v>3</v>
      </c>
      <c r="K3677" s="1">
        <v>3</v>
      </c>
      <c r="L3677" s="1" t="s">
        <v>80</v>
      </c>
      <c r="M3677" s="1" t="str">
        <f>"河南省 郑州市 二七区 "</f>
        <v xml:space="preserve">河南省 郑州市 二七区 </v>
      </c>
      <c r="N3677" s="1" t="str">
        <f t="shared" si="1216"/>
        <v>凡华云仓-城南圆通-微信视频号</v>
      </c>
      <c r="O3677" s="5" t="s">
        <v>3708</v>
      </c>
      <c r="P3677" s="6">
        <v>0.34</v>
      </c>
      <c r="Q3677" s="11">
        <v>2.2999999999999998</v>
      </c>
      <c r="R3677" s="11"/>
      <c r="S3677" s="11"/>
      <c r="T3677" s="11"/>
      <c r="U3677" s="11">
        <f t="shared" si="1209"/>
        <v>2.2999999999999998</v>
      </c>
      <c r="W3677">
        <v>2.5</v>
      </c>
      <c r="X3677" s="1" t="s">
        <v>80</v>
      </c>
    </row>
    <row r="3678" spans="1:24" x14ac:dyDescent="0.25">
      <c r="A3678" s="1" t="str">
        <f t="shared" si="1210"/>
        <v>卡卡杜-凤凰仓</v>
      </c>
      <c r="B3678" s="1" t="str">
        <f>"CK2024102279"</f>
        <v>CK2024102279</v>
      </c>
      <c r="C3678" s="1" t="str">
        <f>"DD2024102253630"</f>
        <v>DD2024102253630</v>
      </c>
      <c r="D3678" s="1" t="str">
        <f>"CK2024102251221"</f>
        <v>CK2024102251221</v>
      </c>
      <c r="E3678" s="1" t="str">
        <f>"3723480500026869248"</f>
        <v>3723480500026869248</v>
      </c>
      <c r="F3678" s="1" t="str">
        <f t="shared" si="1211"/>
        <v>花都四部-凤凰仓</v>
      </c>
      <c r="G3678" s="1" t="str">
        <f t="shared" si="1215"/>
        <v>卡卡杜企业店（视频号）</v>
      </c>
      <c r="H3678" s="1" t="str">
        <f t="shared" si="1212"/>
        <v>正常订单</v>
      </c>
      <c r="I3678" s="1" t="str">
        <f t="shared" si="1213"/>
        <v>已发货</v>
      </c>
      <c r="J3678" s="1" t="str">
        <f t="shared" si="1214"/>
        <v>3</v>
      </c>
      <c r="K3678" s="1">
        <v>3</v>
      </c>
      <c r="L3678" s="1" t="s">
        <v>22</v>
      </c>
      <c r="M3678" s="1" t="str">
        <f>"江西省 南昌市 西湖区 "</f>
        <v xml:space="preserve">江西省 南昌市 西湖区 </v>
      </c>
      <c r="N3678" s="1" t="str">
        <f t="shared" si="1216"/>
        <v>凡华云仓-城南圆通-微信视频号</v>
      </c>
      <c r="O3678" s="5" t="s">
        <v>3709</v>
      </c>
      <c r="P3678" s="6">
        <v>0.34</v>
      </c>
      <c r="Q3678" s="11">
        <v>2.2999999999999998</v>
      </c>
      <c r="R3678" s="11"/>
      <c r="S3678" s="11"/>
      <c r="T3678" s="11"/>
      <c r="U3678" s="11">
        <f t="shared" si="1209"/>
        <v>2.2999999999999998</v>
      </c>
      <c r="W3678">
        <v>2.5</v>
      </c>
      <c r="X3678" s="1" t="s">
        <v>22</v>
      </c>
    </row>
    <row r="3679" spans="1:24" x14ac:dyDescent="0.25">
      <c r="A3679" s="1" t="str">
        <f t="shared" si="1210"/>
        <v>卡卡杜-凤凰仓</v>
      </c>
      <c r="B3679" s="1" t="str">
        <f>"CK2024102278"</f>
        <v>CK2024102278</v>
      </c>
      <c r="C3679" s="1" t="str">
        <f>"DD2024102253631"</f>
        <v>DD2024102253631</v>
      </c>
      <c r="D3679" s="1" t="str">
        <f>"CK2024102251220"</f>
        <v>CK2024102251220</v>
      </c>
      <c r="E3679" s="1" t="str">
        <f>"3723480504607576064"</f>
        <v>3723480504607576064</v>
      </c>
      <c r="F3679" s="1" t="str">
        <f t="shared" si="1211"/>
        <v>花都四部-凤凰仓</v>
      </c>
      <c r="G3679" s="1" t="str">
        <f t="shared" si="1215"/>
        <v>卡卡杜企业店（视频号）</v>
      </c>
      <c r="H3679" s="1" t="str">
        <f t="shared" si="1212"/>
        <v>正常订单</v>
      </c>
      <c r="I3679" s="1" t="str">
        <f t="shared" si="1213"/>
        <v>已发货</v>
      </c>
      <c r="J3679" s="1" t="str">
        <f t="shared" si="1214"/>
        <v>3</v>
      </c>
      <c r="K3679" s="1">
        <v>3</v>
      </c>
      <c r="L3679" s="1" t="s">
        <v>105</v>
      </c>
      <c r="M3679" s="1" t="str">
        <f>"北京 北京市 朝阳区 "</f>
        <v xml:space="preserve">北京 北京市 朝阳区 </v>
      </c>
      <c r="N3679" s="1" t="str">
        <f t="shared" si="1216"/>
        <v>凡华云仓-城南圆通-微信视频号</v>
      </c>
      <c r="O3679" s="5" t="s">
        <v>3710</v>
      </c>
      <c r="P3679" s="6">
        <v>0.34</v>
      </c>
      <c r="Q3679" s="11">
        <v>2.2999999999999998</v>
      </c>
      <c r="R3679" s="11"/>
      <c r="S3679" s="11"/>
      <c r="T3679" s="11"/>
      <c r="U3679" s="11">
        <f t="shared" si="1209"/>
        <v>2.2999999999999998</v>
      </c>
      <c r="W3679">
        <v>2.5</v>
      </c>
      <c r="X3679" s="1" t="s">
        <v>105</v>
      </c>
    </row>
    <row r="3680" spans="1:24" x14ac:dyDescent="0.25">
      <c r="A3680" s="1" t="str">
        <f t="shared" si="1210"/>
        <v>卡卡杜-凤凰仓</v>
      </c>
      <c r="B3680" s="1" t="str">
        <f>"CK2024102280"</f>
        <v>CK2024102280</v>
      </c>
      <c r="C3680" s="1" t="str">
        <f>"DD2024102253632"</f>
        <v>DD2024102253632</v>
      </c>
      <c r="D3680" s="1" t="str">
        <f>"CK2024102251219"</f>
        <v>CK2024102251219</v>
      </c>
      <c r="E3680" s="1" t="str">
        <f>"3723480504468378624"</f>
        <v>3723480504468378624</v>
      </c>
      <c r="F3680" s="1" t="str">
        <f t="shared" si="1211"/>
        <v>花都四部-凤凰仓</v>
      </c>
      <c r="G3680" s="1" t="str">
        <f t="shared" si="1215"/>
        <v>卡卡杜企业店（视频号）</v>
      </c>
      <c r="H3680" s="1" t="str">
        <f t="shared" si="1212"/>
        <v>正常订单</v>
      </c>
      <c r="I3680" s="1" t="str">
        <f t="shared" si="1213"/>
        <v>已发货</v>
      </c>
      <c r="J3680" s="1" t="str">
        <f t="shared" si="1214"/>
        <v>3</v>
      </c>
      <c r="K3680" s="1">
        <v>3</v>
      </c>
      <c r="L3680" s="1" t="s">
        <v>109</v>
      </c>
      <c r="M3680" s="1" t="str">
        <f>"山西省 阳泉市 矿区 "</f>
        <v xml:space="preserve">山西省 阳泉市 矿区 </v>
      </c>
      <c r="N3680" s="1" t="str">
        <f t="shared" si="1216"/>
        <v>凡华云仓-城南圆通-微信视频号</v>
      </c>
      <c r="O3680" s="5" t="s">
        <v>3711</v>
      </c>
      <c r="P3680" s="6">
        <v>0.34</v>
      </c>
      <c r="Q3680" s="11">
        <v>2.2999999999999998</v>
      </c>
      <c r="R3680" s="11"/>
      <c r="S3680" s="11"/>
      <c r="T3680" s="11"/>
      <c r="U3680" s="11">
        <f t="shared" si="1209"/>
        <v>2.2999999999999998</v>
      </c>
      <c r="W3680">
        <v>2.5</v>
      </c>
      <c r="X3680" s="1" t="s">
        <v>109</v>
      </c>
    </row>
    <row r="3681" spans="1:24" x14ac:dyDescent="0.25">
      <c r="A3681" s="1" t="str">
        <f t="shared" si="1210"/>
        <v>卡卡杜-凤凰仓</v>
      </c>
      <c r="B3681" s="1" t="str">
        <f>"CK2024102284"</f>
        <v>CK2024102284</v>
      </c>
      <c r="C3681" s="1" t="str">
        <f>"DD2024102253636"</f>
        <v>DD2024102253636</v>
      </c>
      <c r="D3681" s="1" t="str">
        <f>"CK2024102251218"</f>
        <v>CK2024102251218</v>
      </c>
      <c r="E3681" s="1" t="str">
        <f>"3723480502625243136"</f>
        <v>3723480502625243136</v>
      </c>
      <c r="F3681" s="1" t="str">
        <f t="shared" si="1211"/>
        <v>花都四部-凤凰仓</v>
      </c>
      <c r="G3681" s="1" t="str">
        <f t="shared" si="1215"/>
        <v>卡卡杜企业店（视频号）</v>
      </c>
      <c r="H3681" s="1" t="str">
        <f t="shared" si="1212"/>
        <v>正常订单</v>
      </c>
      <c r="I3681" s="1" t="str">
        <f t="shared" si="1213"/>
        <v>已发货</v>
      </c>
      <c r="J3681" s="1" t="str">
        <f t="shared" si="1214"/>
        <v>3</v>
      </c>
      <c r="K3681" s="1">
        <v>3</v>
      </c>
      <c r="L3681" s="1" t="s">
        <v>161</v>
      </c>
      <c r="M3681" s="1" t="str">
        <f>"四川省 成都市 邛崃市 "</f>
        <v xml:space="preserve">四川省 成都市 邛崃市 </v>
      </c>
      <c r="N3681" s="1" t="str">
        <f t="shared" si="1216"/>
        <v>凡华云仓-城南圆通-微信视频号</v>
      </c>
      <c r="O3681" s="5" t="s">
        <v>3712</v>
      </c>
      <c r="P3681" s="6">
        <v>0.34</v>
      </c>
      <c r="Q3681" s="11">
        <v>2.2999999999999998</v>
      </c>
      <c r="R3681" s="11"/>
      <c r="S3681" s="11"/>
      <c r="T3681" s="11"/>
      <c r="U3681" s="11">
        <f t="shared" si="1209"/>
        <v>2.2999999999999998</v>
      </c>
      <c r="W3681">
        <v>2.5</v>
      </c>
      <c r="X3681" s="1" t="s">
        <v>161</v>
      </c>
    </row>
    <row r="3682" spans="1:24" x14ac:dyDescent="0.25">
      <c r="A3682" s="1" t="str">
        <f t="shared" si="1210"/>
        <v>卡卡杜-凤凰仓</v>
      </c>
      <c r="B3682" s="1" t="str">
        <f>"CK2024102281"</f>
        <v>CK2024102281</v>
      </c>
      <c r="C3682" s="1" t="str">
        <f>"DD2024102253633"</f>
        <v>DD2024102253633</v>
      </c>
      <c r="D3682" s="1" t="str">
        <f>"CK2024102251217"</f>
        <v>CK2024102251217</v>
      </c>
      <c r="E3682" s="1" t="str">
        <f>"3723480503758488832"</f>
        <v>3723480503758488832</v>
      </c>
      <c r="F3682" s="1" t="str">
        <f t="shared" si="1211"/>
        <v>花都四部-凤凰仓</v>
      </c>
      <c r="G3682" s="1" t="str">
        <f t="shared" si="1215"/>
        <v>卡卡杜企业店（视频号）</v>
      </c>
      <c r="H3682" s="1" t="str">
        <f t="shared" si="1212"/>
        <v>正常订单</v>
      </c>
      <c r="I3682" s="1" t="str">
        <f t="shared" si="1213"/>
        <v>已发货</v>
      </c>
      <c r="J3682" s="1" t="str">
        <f t="shared" si="1214"/>
        <v>3</v>
      </c>
      <c r="K3682" s="1">
        <v>3</v>
      </c>
      <c r="L3682" s="1" t="s">
        <v>16</v>
      </c>
      <c r="M3682" s="1" t="str">
        <f>"河北省 衡水市 景县 "</f>
        <v xml:space="preserve">河北省 衡水市 景县 </v>
      </c>
      <c r="N3682" s="1" t="str">
        <f t="shared" si="1216"/>
        <v>凡华云仓-城南圆通-微信视频号</v>
      </c>
      <c r="O3682" s="5" t="s">
        <v>3713</v>
      </c>
      <c r="P3682" s="6">
        <v>0.34</v>
      </c>
      <c r="Q3682" s="11">
        <v>2.2999999999999998</v>
      </c>
      <c r="R3682" s="11"/>
      <c r="S3682" s="11"/>
      <c r="T3682" s="11"/>
      <c r="U3682" s="11">
        <f t="shared" si="1209"/>
        <v>2.2999999999999998</v>
      </c>
      <c r="W3682">
        <v>2.5</v>
      </c>
      <c r="X3682" s="1" t="s">
        <v>16</v>
      </c>
    </row>
    <row r="3683" spans="1:24" x14ac:dyDescent="0.25">
      <c r="A3683" s="1" t="str">
        <f t="shared" si="1210"/>
        <v>卡卡杜-凤凰仓</v>
      </c>
      <c r="B3683" s="1" t="str">
        <f>"CK2024102203"</f>
        <v>CK2024102203</v>
      </c>
      <c r="C3683" s="1" t="str">
        <f>"DD2024102253555"</f>
        <v>DD2024102253555</v>
      </c>
      <c r="D3683" s="1" t="str">
        <f>"CK2024102251216"</f>
        <v>CK2024102251216</v>
      </c>
      <c r="E3683" s="1" t="str">
        <f>"3723480503539860992"</f>
        <v>3723480503539860992</v>
      </c>
      <c r="F3683" s="1" t="str">
        <f t="shared" si="1211"/>
        <v>花都四部-凤凰仓</v>
      </c>
      <c r="G3683" s="1" t="str">
        <f t="shared" si="1215"/>
        <v>卡卡杜企业店（视频号）</v>
      </c>
      <c r="H3683" s="1" t="str">
        <f t="shared" si="1212"/>
        <v>正常订单</v>
      </c>
      <c r="I3683" s="1" t="str">
        <f t="shared" si="1213"/>
        <v>已发货</v>
      </c>
      <c r="J3683" s="1" t="str">
        <f>"5"</f>
        <v>5</v>
      </c>
      <c r="K3683" s="1">
        <v>3</v>
      </c>
      <c r="L3683" s="1" t="s">
        <v>218</v>
      </c>
      <c r="M3683" s="1" t="str">
        <f>"天津 天津市 南开区 "</f>
        <v xml:space="preserve">天津 天津市 南开区 </v>
      </c>
      <c r="N3683" s="1" t="str">
        <f t="shared" si="1216"/>
        <v>凡华云仓-城南圆通-微信视频号</v>
      </c>
      <c r="O3683" s="5" t="s">
        <v>3714</v>
      </c>
      <c r="P3683" s="6">
        <v>0.56000000000000005</v>
      </c>
      <c r="Q3683" s="11">
        <f>CEILING(P3683-0.5,0.1)*10*0.15+2.3</f>
        <v>2.4499999999999997</v>
      </c>
      <c r="R3683" s="11"/>
      <c r="S3683" s="11"/>
      <c r="T3683" s="11"/>
      <c r="U3683" s="11">
        <f t="shared" si="1209"/>
        <v>2.4499999999999997</v>
      </c>
      <c r="V3683" t="s">
        <v>15</v>
      </c>
      <c r="W3683">
        <v>2.4500000000000002</v>
      </c>
      <c r="X3683" s="1" t="s">
        <v>218</v>
      </c>
    </row>
    <row r="3684" spans="1:24" x14ac:dyDescent="0.25">
      <c r="A3684" s="1" t="str">
        <f t="shared" si="1210"/>
        <v>卡卡杜-凤凰仓</v>
      </c>
      <c r="B3684" s="1" t="str">
        <f>"CK20241022100"</f>
        <v>CK20241022100</v>
      </c>
      <c r="C3684" s="1" t="str">
        <f>"DD2024102253652"</f>
        <v>DD2024102253652</v>
      </c>
      <c r="D3684" s="1" t="str">
        <f>"CK2024102251215"</f>
        <v>CK2024102251215</v>
      </c>
      <c r="E3684" s="1" t="str">
        <f>"3723480498655333377"</f>
        <v>3723480498655333377</v>
      </c>
      <c r="F3684" s="1" t="str">
        <f t="shared" si="1211"/>
        <v>花都四部-凤凰仓</v>
      </c>
      <c r="G3684" s="1" t="str">
        <f t="shared" si="1215"/>
        <v>卡卡杜企业店（视频号）</v>
      </c>
      <c r="H3684" s="1" t="str">
        <f t="shared" si="1212"/>
        <v>正常订单</v>
      </c>
      <c r="I3684" s="1" t="str">
        <f t="shared" si="1213"/>
        <v>已发货</v>
      </c>
      <c r="J3684" s="1" t="str">
        <f t="shared" ref="J3684:J3693" si="1217">"3"</f>
        <v>3</v>
      </c>
      <c r="K3684" s="1">
        <v>3</v>
      </c>
      <c r="L3684" s="1" t="s">
        <v>218</v>
      </c>
      <c r="M3684" s="1" t="str">
        <f>"天津 天津市 河北区 "</f>
        <v xml:space="preserve">天津 天津市 河北区 </v>
      </c>
      <c r="N3684" s="1" t="str">
        <f t="shared" si="1216"/>
        <v>凡华云仓-城南圆通-微信视频号</v>
      </c>
      <c r="O3684" s="5" t="s">
        <v>3715</v>
      </c>
      <c r="P3684" s="6">
        <v>0.34</v>
      </c>
      <c r="Q3684" s="11">
        <v>2.2999999999999998</v>
      </c>
      <c r="R3684" s="11"/>
      <c r="S3684" s="11"/>
      <c r="T3684" s="11"/>
      <c r="U3684" s="11">
        <f t="shared" si="1209"/>
        <v>2.2999999999999998</v>
      </c>
      <c r="W3684">
        <v>2.5</v>
      </c>
      <c r="X3684" s="1" t="s">
        <v>218</v>
      </c>
    </row>
    <row r="3685" spans="1:24" x14ac:dyDescent="0.25">
      <c r="A3685" s="1" t="str">
        <f t="shared" si="1210"/>
        <v>卡卡杜-凤凰仓</v>
      </c>
      <c r="B3685" s="1" t="str">
        <f>"CK2024102283"</f>
        <v>CK2024102283</v>
      </c>
      <c r="C3685" s="1" t="str">
        <f>"DD2024102253635"</f>
        <v>DD2024102253635</v>
      </c>
      <c r="D3685" s="1" t="str">
        <f>"CK2024102251214"</f>
        <v>CK2024102251214</v>
      </c>
      <c r="E3685" s="1" t="str">
        <f>"3723480500608568320"</f>
        <v>3723480500608568320</v>
      </c>
      <c r="F3685" s="1" t="str">
        <f t="shared" si="1211"/>
        <v>花都四部-凤凰仓</v>
      </c>
      <c r="G3685" s="1" t="str">
        <f t="shared" si="1215"/>
        <v>卡卡杜企业店（视频号）</v>
      </c>
      <c r="H3685" s="1" t="str">
        <f t="shared" si="1212"/>
        <v>正常订单</v>
      </c>
      <c r="I3685" s="1" t="str">
        <f t="shared" si="1213"/>
        <v>已发货</v>
      </c>
      <c r="J3685" s="1" t="str">
        <f t="shared" si="1217"/>
        <v>3</v>
      </c>
      <c r="K3685" s="1">
        <v>3</v>
      </c>
      <c r="L3685" s="1" t="s">
        <v>218</v>
      </c>
      <c r="M3685" s="1" t="str">
        <f>"天津 天津市 南开区 "</f>
        <v xml:space="preserve">天津 天津市 南开区 </v>
      </c>
      <c r="N3685" s="1" t="str">
        <f t="shared" si="1216"/>
        <v>凡华云仓-城南圆通-微信视频号</v>
      </c>
      <c r="O3685" s="5" t="s">
        <v>3716</v>
      </c>
      <c r="P3685" s="6">
        <v>0.34</v>
      </c>
      <c r="Q3685" s="11">
        <v>2.2999999999999998</v>
      </c>
      <c r="R3685" s="11"/>
      <c r="S3685" s="11"/>
      <c r="T3685" s="11"/>
      <c r="U3685" s="11">
        <f t="shared" si="1209"/>
        <v>2.2999999999999998</v>
      </c>
      <c r="W3685">
        <v>2.5</v>
      </c>
      <c r="X3685" s="1" t="s">
        <v>218</v>
      </c>
    </row>
    <row r="3686" spans="1:24" x14ac:dyDescent="0.25">
      <c r="A3686" s="1" t="str">
        <f t="shared" si="1210"/>
        <v>卡卡杜-凤凰仓</v>
      </c>
      <c r="B3686" s="1" t="str">
        <f>"CK2024102287"</f>
        <v>CK2024102287</v>
      </c>
      <c r="C3686" s="1" t="str">
        <f>"DD2024102253639"</f>
        <v>DD2024102253639</v>
      </c>
      <c r="D3686" s="1" t="str">
        <f>"CK2024102251213"</f>
        <v>CK2024102251213</v>
      </c>
      <c r="E3686" s="1" t="str">
        <f>"3723480501661862912"</f>
        <v>3723480501661862912</v>
      </c>
      <c r="F3686" s="1" t="str">
        <f t="shared" si="1211"/>
        <v>花都四部-凤凰仓</v>
      </c>
      <c r="G3686" s="1" t="str">
        <f t="shared" si="1215"/>
        <v>卡卡杜企业店（视频号）</v>
      </c>
      <c r="H3686" s="1" t="str">
        <f t="shared" si="1212"/>
        <v>正常订单</v>
      </c>
      <c r="I3686" s="1" t="str">
        <f t="shared" si="1213"/>
        <v>已发货</v>
      </c>
      <c r="J3686" s="1" t="str">
        <f t="shared" si="1217"/>
        <v>3</v>
      </c>
      <c r="K3686" s="1">
        <v>3</v>
      </c>
      <c r="L3686" s="1" t="s">
        <v>80</v>
      </c>
      <c r="M3686" s="1" t="str">
        <f>"河南省 南阳市 卧龙区 "</f>
        <v xml:space="preserve">河南省 南阳市 卧龙区 </v>
      </c>
      <c r="N3686" s="1" t="str">
        <f t="shared" si="1216"/>
        <v>凡华云仓-城南圆通-微信视频号</v>
      </c>
      <c r="O3686" s="5" t="s">
        <v>3717</v>
      </c>
      <c r="P3686" s="6">
        <v>0.34</v>
      </c>
      <c r="Q3686" s="11">
        <v>2.2999999999999998</v>
      </c>
      <c r="R3686" s="11"/>
      <c r="S3686" s="11"/>
      <c r="T3686" s="11"/>
      <c r="U3686" s="11">
        <f t="shared" si="1209"/>
        <v>2.2999999999999998</v>
      </c>
      <c r="W3686">
        <v>2.5</v>
      </c>
      <c r="X3686" s="1" t="s">
        <v>80</v>
      </c>
    </row>
    <row r="3687" spans="1:24" x14ac:dyDescent="0.25">
      <c r="A3687" s="1" t="str">
        <f t="shared" si="1210"/>
        <v>卡卡杜-凤凰仓</v>
      </c>
      <c r="B3687" s="1" t="str">
        <f>"CK2024102286"</f>
        <v>CK2024102286</v>
      </c>
      <c r="C3687" s="1" t="str">
        <f>"DD2024102253638"</f>
        <v>DD2024102253638</v>
      </c>
      <c r="D3687" s="1" t="str">
        <f>"CK2024102251212"</f>
        <v>CK2024102251212</v>
      </c>
      <c r="E3687" s="1" t="str">
        <f>"3723480501536032001"</f>
        <v>3723480501536032001</v>
      </c>
      <c r="F3687" s="1" t="str">
        <f t="shared" si="1211"/>
        <v>花都四部-凤凰仓</v>
      </c>
      <c r="G3687" s="1" t="str">
        <f t="shared" si="1215"/>
        <v>卡卡杜企业店（视频号）</v>
      </c>
      <c r="H3687" s="1" t="str">
        <f t="shared" si="1212"/>
        <v>正常订单</v>
      </c>
      <c r="I3687" s="1" t="str">
        <f t="shared" si="1213"/>
        <v>已发货</v>
      </c>
      <c r="J3687" s="1" t="str">
        <f t="shared" si="1217"/>
        <v>3</v>
      </c>
      <c r="K3687" s="1">
        <v>3</v>
      </c>
      <c r="L3687" s="1" t="s">
        <v>218</v>
      </c>
      <c r="M3687" s="1" t="str">
        <f>"天津 天津市 河西区 "</f>
        <v xml:space="preserve">天津 天津市 河西区 </v>
      </c>
      <c r="N3687" s="1" t="str">
        <f t="shared" si="1216"/>
        <v>凡华云仓-城南圆通-微信视频号</v>
      </c>
      <c r="O3687" s="5" t="s">
        <v>3718</v>
      </c>
      <c r="P3687" s="6">
        <v>0.34</v>
      </c>
      <c r="Q3687" s="11">
        <v>2.2999999999999998</v>
      </c>
      <c r="R3687" s="11"/>
      <c r="S3687" s="11"/>
      <c r="T3687" s="11"/>
      <c r="U3687" s="11">
        <f t="shared" si="1209"/>
        <v>2.2999999999999998</v>
      </c>
      <c r="W3687">
        <v>2.5</v>
      </c>
      <c r="X3687" s="1" t="s">
        <v>218</v>
      </c>
    </row>
    <row r="3688" spans="1:24" x14ac:dyDescent="0.25">
      <c r="A3688" s="1" t="str">
        <f t="shared" si="1210"/>
        <v>卡卡杜-凤凰仓</v>
      </c>
      <c r="B3688" s="1" t="str">
        <f>"CK2024102288"</f>
        <v>CK2024102288</v>
      </c>
      <c r="C3688" s="1" t="str">
        <f>"DD2024102253640"</f>
        <v>DD2024102253640</v>
      </c>
      <c r="D3688" s="1" t="str">
        <f>"CK2024102251211"</f>
        <v>CK2024102251211</v>
      </c>
      <c r="E3688" s="1" t="str">
        <f>"3723480502681342976"</f>
        <v>3723480502681342976</v>
      </c>
      <c r="F3688" s="1" t="str">
        <f t="shared" si="1211"/>
        <v>花都四部-凤凰仓</v>
      </c>
      <c r="G3688" s="1" t="str">
        <f t="shared" si="1215"/>
        <v>卡卡杜企业店（视频号）</v>
      </c>
      <c r="H3688" s="1" t="str">
        <f t="shared" si="1212"/>
        <v>正常订单</v>
      </c>
      <c r="I3688" s="1" t="str">
        <f t="shared" si="1213"/>
        <v>已发货</v>
      </c>
      <c r="J3688" s="1" t="str">
        <f t="shared" si="1217"/>
        <v>3</v>
      </c>
      <c r="K3688" s="1">
        <v>3</v>
      </c>
      <c r="L3688" s="1" t="s">
        <v>13</v>
      </c>
      <c r="M3688" s="1" t="str">
        <f>"江苏省 南京市 江宁区 "</f>
        <v xml:space="preserve">江苏省 南京市 江宁区 </v>
      </c>
      <c r="N3688" s="1" t="str">
        <f t="shared" si="1216"/>
        <v>凡华云仓-城南圆通-微信视频号</v>
      </c>
      <c r="O3688" s="5" t="s">
        <v>3719</v>
      </c>
      <c r="P3688" s="6">
        <v>0.34</v>
      </c>
      <c r="Q3688" s="11">
        <v>2.2999999999999998</v>
      </c>
      <c r="R3688" s="11"/>
      <c r="S3688" s="11"/>
      <c r="T3688" s="11"/>
      <c r="U3688" s="11">
        <f t="shared" si="1209"/>
        <v>2.2999999999999998</v>
      </c>
      <c r="W3688">
        <v>2.5</v>
      </c>
      <c r="X3688" s="1" t="s">
        <v>13</v>
      </c>
    </row>
    <row r="3689" spans="1:24" x14ac:dyDescent="0.25">
      <c r="A3689" s="1" t="str">
        <f t="shared" si="1210"/>
        <v>卡卡杜-凤凰仓</v>
      </c>
      <c r="B3689" s="1" t="str">
        <f>"CK2024102289"</f>
        <v>CK2024102289</v>
      </c>
      <c r="C3689" s="1" t="str">
        <f>"DD2024102253641"</f>
        <v>DD2024102253641</v>
      </c>
      <c r="D3689" s="1" t="str">
        <f>"CK2024102251210"</f>
        <v>CK2024102251210</v>
      </c>
      <c r="E3689" s="1" t="str">
        <f>"3723480501891761664"</f>
        <v>3723480501891761664</v>
      </c>
      <c r="F3689" s="1" t="str">
        <f t="shared" si="1211"/>
        <v>花都四部-凤凰仓</v>
      </c>
      <c r="G3689" s="1" t="str">
        <f t="shared" si="1215"/>
        <v>卡卡杜企业店（视频号）</v>
      </c>
      <c r="H3689" s="1" t="str">
        <f t="shared" si="1212"/>
        <v>正常订单</v>
      </c>
      <c r="I3689" s="1" t="str">
        <f t="shared" si="1213"/>
        <v>已发货</v>
      </c>
      <c r="J3689" s="1" t="str">
        <f t="shared" si="1217"/>
        <v>3</v>
      </c>
      <c r="K3689" s="1">
        <v>3</v>
      </c>
      <c r="L3689" s="1" t="s">
        <v>105</v>
      </c>
      <c r="M3689" s="1" t="str">
        <f>"北京 北京市 石景山区 "</f>
        <v xml:space="preserve">北京 北京市 石景山区 </v>
      </c>
      <c r="N3689" s="1" t="str">
        <f t="shared" si="1216"/>
        <v>凡华云仓-城南圆通-微信视频号</v>
      </c>
      <c r="O3689" s="5" t="s">
        <v>3720</v>
      </c>
      <c r="P3689" s="6">
        <v>0.34</v>
      </c>
      <c r="Q3689" s="11">
        <v>2.2999999999999998</v>
      </c>
      <c r="R3689" s="11"/>
      <c r="S3689" s="11"/>
      <c r="T3689" s="11"/>
      <c r="U3689" s="11">
        <f t="shared" si="1209"/>
        <v>2.2999999999999998</v>
      </c>
      <c r="W3689">
        <v>2.5</v>
      </c>
      <c r="X3689" s="1" t="s">
        <v>105</v>
      </c>
    </row>
    <row r="3690" spans="1:24" x14ac:dyDescent="0.25">
      <c r="A3690" s="1" t="str">
        <f t="shared" si="1210"/>
        <v>卡卡杜-凤凰仓</v>
      </c>
      <c r="B3690" s="1" t="str">
        <f>"CK2024102291"</f>
        <v>CK2024102291</v>
      </c>
      <c r="C3690" s="1" t="str">
        <f>"DD2024102253643"</f>
        <v>DD2024102253643</v>
      </c>
      <c r="D3690" s="1" t="str">
        <f>"CK2024102251209"</f>
        <v>CK2024102251209</v>
      </c>
      <c r="E3690" s="1" t="str">
        <f>"3723480500019528960"</f>
        <v>3723480500019528960</v>
      </c>
      <c r="F3690" s="1" t="str">
        <f t="shared" si="1211"/>
        <v>花都四部-凤凰仓</v>
      </c>
      <c r="G3690" s="1" t="str">
        <f t="shared" si="1215"/>
        <v>卡卡杜企业店（视频号）</v>
      </c>
      <c r="H3690" s="1" t="str">
        <f t="shared" si="1212"/>
        <v>正常订单</v>
      </c>
      <c r="I3690" s="1" t="str">
        <f t="shared" si="1213"/>
        <v>已发货</v>
      </c>
      <c r="J3690" s="1" t="str">
        <f t="shared" si="1217"/>
        <v>3</v>
      </c>
      <c r="K3690" s="1">
        <v>3</v>
      </c>
      <c r="L3690" s="1" t="s">
        <v>218</v>
      </c>
      <c r="M3690" s="1" t="str">
        <f>"天津 天津市 滨海新区 "</f>
        <v xml:space="preserve">天津 天津市 滨海新区 </v>
      </c>
      <c r="N3690" s="1" t="str">
        <f t="shared" si="1216"/>
        <v>凡华云仓-城南圆通-微信视频号</v>
      </c>
      <c r="O3690" s="5" t="s">
        <v>3721</v>
      </c>
      <c r="P3690" s="6">
        <v>0.34</v>
      </c>
      <c r="Q3690" s="11">
        <v>2.2999999999999998</v>
      </c>
      <c r="R3690" s="11"/>
      <c r="S3690" s="11"/>
      <c r="T3690" s="11"/>
      <c r="U3690" s="11">
        <f t="shared" si="1209"/>
        <v>2.2999999999999998</v>
      </c>
      <c r="W3690">
        <v>2.5</v>
      </c>
      <c r="X3690" s="1" t="s">
        <v>218</v>
      </c>
    </row>
    <row r="3691" spans="1:24" x14ac:dyDescent="0.25">
      <c r="A3691" s="1" t="str">
        <f t="shared" si="1210"/>
        <v>卡卡杜-凤凰仓</v>
      </c>
      <c r="B3691" s="1" t="str">
        <f>"CK2024102292"</f>
        <v>CK2024102292</v>
      </c>
      <c r="C3691" s="1" t="str">
        <f>"DD2024102253644"</f>
        <v>DD2024102253644</v>
      </c>
      <c r="D3691" s="1" t="str">
        <f>"CK2024102251208"</f>
        <v>CK2024102251208</v>
      </c>
      <c r="E3691" s="1" t="str">
        <f>"3723480500528612864"</f>
        <v>3723480500528612864</v>
      </c>
      <c r="F3691" s="1" t="str">
        <f t="shared" si="1211"/>
        <v>花都四部-凤凰仓</v>
      </c>
      <c r="G3691" s="1" t="str">
        <f t="shared" si="1215"/>
        <v>卡卡杜企业店（视频号）</v>
      </c>
      <c r="H3691" s="1" t="str">
        <f t="shared" si="1212"/>
        <v>正常订单</v>
      </c>
      <c r="I3691" s="1" t="str">
        <f t="shared" si="1213"/>
        <v>已发货</v>
      </c>
      <c r="J3691" s="1" t="str">
        <f t="shared" si="1217"/>
        <v>3</v>
      </c>
      <c r="K3691" s="1">
        <v>3</v>
      </c>
      <c r="L3691" s="1" t="s">
        <v>41</v>
      </c>
      <c r="M3691" s="1" t="str">
        <f>"湖北省 武汉市 黄陂区 "</f>
        <v xml:space="preserve">湖北省 武汉市 黄陂区 </v>
      </c>
      <c r="N3691" s="1" t="str">
        <f t="shared" si="1216"/>
        <v>凡华云仓-城南圆通-微信视频号</v>
      </c>
      <c r="O3691" s="5" t="s">
        <v>3722</v>
      </c>
      <c r="P3691" s="6">
        <v>0.34</v>
      </c>
      <c r="Q3691" s="11">
        <v>2.2999999999999998</v>
      </c>
      <c r="R3691" s="11"/>
      <c r="S3691" s="11"/>
      <c r="T3691" s="11"/>
      <c r="U3691" s="11">
        <f t="shared" si="1209"/>
        <v>2.2999999999999998</v>
      </c>
      <c r="W3691">
        <v>2.5</v>
      </c>
      <c r="X3691" s="1" t="s">
        <v>41</v>
      </c>
    </row>
    <row r="3692" spans="1:24" x14ac:dyDescent="0.25">
      <c r="A3692" s="1" t="str">
        <f t="shared" si="1210"/>
        <v>卡卡杜-凤凰仓</v>
      </c>
      <c r="B3692" s="1" t="str">
        <f>"CK2024102294"</f>
        <v>CK2024102294</v>
      </c>
      <c r="C3692" s="1" t="str">
        <f>"DD2024102253645"</f>
        <v>DD2024102253645</v>
      </c>
      <c r="D3692" s="1" t="str">
        <f>"CK2024102251207"</f>
        <v>CK2024102251207</v>
      </c>
      <c r="E3692" s="1" t="str">
        <f>"3723480499893437696"</f>
        <v>3723480499893437696</v>
      </c>
      <c r="F3692" s="1" t="str">
        <f t="shared" si="1211"/>
        <v>花都四部-凤凰仓</v>
      </c>
      <c r="G3692" s="1" t="str">
        <f t="shared" si="1215"/>
        <v>卡卡杜企业店（视频号）</v>
      </c>
      <c r="H3692" s="1" t="str">
        <f t="shared" si="1212"/>
        <v>正常订单</v>
      </c>
      <c r="I3692" s="1" t="str">
        <f t="shared" si="1213"/>
        <v>已发货</v>
      </c>
      <c r="J3692" s="1" t="str">
        <f t="shared" si="1217"/>
        <v>3</v>
      </c>
      <c r="K3692" s="1">
        <v>3</v>
      </c>
      <c r="L3692" s="1" t="s">
        <v>92</v>
      </c>
      <c r="M3692" s="1" t="str">
        <f>"辽宁省 大连市 瓦房店市 "</f>
        <v xml:space="preserve">辽宁省 大连市 瓦房店市 </v>
      </c>
      <c r="N3692" s="1" t="str">
        <f t="shared" si="1216"/>
        <v>凡华云仓-城南圆通-微信视频号</v>
      </c>
      <c r="O3692" s="5" t="s">
        <v>3723</v>
      </c>
      <c r="P3692" s="6">
        <v>0.34</v>
      </c>
      <c r="Q3692" s="11">
        <v>2.2999999999999998</v>
      </c>
      <c r="R3692" s="11"/>
      <c r="S3692" s="11"/>
      <c r="T3692" s="11"/>
      <c r="U3692" s="11">
        <f t="shared" si="1209"/>
        <v>2.2999999999999998</v>
      </c>
      <c r="W3692">
        <v>2.5</v>
      </c>
      <c r="X3692" s="1" t="s">
        <v>92</v>
      </c>
    </row>
    <row r="3693" spans="1:24" x14ac:dyDescent="0.25">
      <c r="A3693" s="1" t="str">
        <f t="shared" si="1210"/>
        <v>卡卡杜-凤凰仓</v>
      </c>
      <c r="B3693" s="1" t="str">
        <f>"CK2024102298"</f>
        <v>CK2024102298</v>
      </c>
      <c r="C3693" s="1" t="str">
        <f>"DD2024102253653"</f>
        <v>DD2024102253653</v>
      </c>
      <c r="D3693" s="1" t="str">
        <f>"CK2024102251206"</f>
        <v>CK2024102251206</v>
      </c>
      <c r="E3693" s="1" t="str">
        <f>"3723480499310693376"</f>
        <v>3723480499310693376</v>
      </c>
      <c r="F3693" s="1" t="str">
        <f t="shared" si="1211"/>
        <v>花都四部-凤凰仓</v>
      </c>
      <c r="G3693" s="1" t="str">
        <f t="shared" si="1215"/>
        <v>卡卡杜企业店（视频号）</v>
      </c>
      <c r="H3693" s="1" t="str">
        <f t="shared" si="1212"/>
        <v>正常订单</v>
      </c>
      <c r="I3693" s="1" t="str">
        <f t="shared" si="1213"/>
        <v>已发货</v>
      </c>
      <c r="J3693" s="1" t="str">
        <f t="shared" si="1217"/>
        <v>3</v>
      </c>
      <c r="K3693" s="1">
        <v>3</v>
      </c>
      <c r="L3693" s="1" t="s">
        <v>30</v>
      </c>
      <c r="M3693" s="1" t="str">
        <f>"山东省 威海市 文登区 "</f>
        <v xml:space="preserve">山东省 威海市 文登区 </v>
      </c>
      <c r="N3693" s="1" t="str">
        <f t="shared" si="1216"/>
        <v>凡华云仓-城南圆通-微信视频号</v>
      </c>
      <c r="O3693" s="5" t="s">
        <v>3724</v>
      </c>
      <c r="P3693" s="6">
        <v>0.34</v>
      </c>
      <c r="Q3693" s="11">
        <v>2.2999999999999998</v>
      </c>
      <c r="R3693" s="11"/>
      <c r="S3693" s="11"/>
      <c r="T3693" s="11"/>
      <c r="U3693" s="11">
        <f t="shared" si="1209"/>
        <v>2.2999999999999998</v>
      </c>
      <c r="W3693">
        <v>2.5</v>
      </c>
      <c r="X3693" s="1" t="s">
        <v>30</v>
      </c>
    </row>
    <row r="3694" spans="1:24" x14ac:dyDescent="0.25">
      <c r="A3694" s="1" t="str">
        <f t="shared" si="1210"/>
        <v>卡卡杜-凤凰仓</v>
      </c>
      <c r="B3694" s="1" t="str">
        <f>"CK2024102216"</f>
        <v>CK2024102216</v>
      </c>
      <c r="C3694" s="1" t="str">
        <f>"DD2024102253568"</f>
        <v>DD2024102253568</v>
      </c>
      <c r="D3694" s="1" t="str">
        <f>"CK2024102251205"</f>
        <v>CK2024102251205</v>
      </c>
      <c r="E3694" s="1" t="str">
        <f>"3723480500320470272"</f>
        <v>3723480500320470272</v>
      </c>
      <c r="F3694" s="1" t="str">
        <f t="shared" si="1211"/>
        <v>花都四部-凤凰仓</v>
      </c>
      <c r="G3694" s="1" t="str">
        <f t="shared" si="1215"/>
        <v>卡卡杜企业店（视频号）</v>
      </c>
      <c r="H3694" s="1" t="str">
        <f t="shared" si="1212"/>
        <v>正常订单</v>
      </c>
      <c r="I3694" s="1" t="str">
        <f t="shared" si="1213"/>
        <v>已发货</v>
      </c>
      <c r="J3694" s="1" t="str">
        <f>"5"</f>
        <v>5</v>
      </c>
      <c r="K3694" s="1">
        <v>3</v>
      </c>
      <c r="L3694" s="1" t="s">
        <v>92</v>
      </c>
      <c r="M3694" s="1" t="str">
        <f>"辽宁省 阜新市 细河区 "</f>
        <v xml:space="preserve">辽宁省 阜新市 细河区 </v>
      </c>
      <c r="N3694" s="1" t="str">
        <f t="shared" si="1216"/>
        <v>凡华云仓-城南圆通-微信视频号</v>
      </c>
      <c r="O3694" s="5" t="s">
        <v>3725</v>
      </c>
      <c r="P3694" s="6">
        <v>0.56000000000000005</v>
      </c>
      <c r="Q3694" s="11">
        <f>CEILING(P3694-0.5,0.1)*10*0.15+2.3</f>
        <v>2.4499999999999997</v>
      </c>
      <c r="R3694" s="11"/>
      <c r="S3694" s="11"/>
      <c r="T3694" s="11"/>
      <c r="U3694" s="11">
        <f t="shared" si="1209"/>
        <v>2.4499999999999997</v>
      </c>
      <c r="V3694" t="s">
        <v>15</v>
      </c>
      <c r="W3694">
        <v>2.4500000000000002</v>
      </c>
      <c r="X3694" s="1" t="s">
        <v>92</v>
      </c>
    </row>
    <row r="3695" spans="1:24" x14ac:dyDescent="0.25">
      <c r="A3695" s="1" t="str">
        <f t="shared" si="1210"/>
        <v>卡卡杜-凤凰仓</v>
      </c>
      <c r="B3695" s="1" t="str">
        <f>"CK2024102295"</f>
        <v>CK2024102295</v>
      </c>
      <c r="C3695" s="1" t="str">
        <f>"DD2024102253647"</f>
        <v>DD2024102253647</v>
      </c>
      <c r="D3695" s="1" t="str">
        <f>"CK2024102251204"</f>
        <v>CK2024102251204</v>
      </c>
      <c r="E3695" s="1" t="str">
        <f>"3723480500566361344"</f>
        <v>3723480500566361344</v>
      </c>
      <c r="F3695" s="1" t="str">
        <f t="shared" si="1211"/>
        <v>花都四部-凤凰仓</v>
      </c>
      <c r="G3695" s="1" t="str">
        <f t="shared" si="1215"/>
        <v>卡卡杜企业店（视频号）</v>
      </c>
      <c r="H3695" s="1" t="str">
        <f t="shared" si="1212"/>
        <v>正常订单</v>
      </c>
      <c r="I3695" s="1" t="str">
        <f t="shared" si="1213"/>
        <v>已发货</v>
      </c>
      <c r="J3695" s="1" t="str">
        <f t="shared" ref="J3695:J3714" si="1218">"3"</f>
        <v>3</v>
      </c>
      <c r="K3695" s="1">
        <v>3</v>
      </c>
      <c r="L3695" s="1" t="s">
        <v>16</v>
      </c>
      <c r="M3695" s="1" t="str">
        <f>"河北省 石家庄市 栾城区 "</f>
        <v xml:space="preserve">河北省 石家庄市 栾城区 </v>
      </c>
      <c r="N3695" s="1" t="str">
        <f t="shared" si="1216"/>
        <v>凡华云仓-城南圆通-微信视频号</v>
      </c>
      <c r="O3695" s="5" t="s">
        <v>3726</v>
      </c>
      <c r="P3695" s="6">
        <v>0.34</v>
      </c>
      <c r="Q3695" s="11">
        <v>2.2999999999999998</v>
      </c>
      <c r="R3695" s="11"/>
      <c r="S3695" s="11"/>
      <c r="T3695" s="11"/>
      <c r="U3695" s="11">
        <f t="shared" si="1209"/>
        <v>2.2999999999999998</v>
      </c>
      <c r="W3695">
        <v>2.5</v>
      </c>
      <c r="X3695" s="1" t="s">
        <v>16</v>
      </c>
    </row>
    <row r="3696" spans="1:24" x14ac:dyDescent="0.25">
      <c r="A3696" s="1" t="str">
        <f t="shared" si="1210"/>
        <v>卡卡杜-凤凰仓</v>
      </c>
      <c r="B3696" s="1" t="str">
        <f>"CK2024102296"</f>
        <v>CK2024102296</v>
      </c>
      <c r="C3696" s="1" t="str">
        <f>"DD2024102253648"</f>
        <v>DD2024102253648</v>
      </c>
      <c r="D3696" s="1" t="str">
        <f>"CK2024102251203"</f>
        <v>CK2024102251203</v>
      </c>
      <c r="E3696" s="1" t="str">
        <f>"3723480499905238016"</f>
        <v>3723480499905238016</v>
      </c>
      <c r="F3696" s="1" t="str">
        <f t="shared" si="1211"/>
        <v>花都四部-凤凰仓</v>
      </c>
      <c r="G3696" s="1" t="str">
        <f t="shared" si="1215"/>
        <v>卡卡杜企业店（视频号）</v>
      </c>
      <c r="H3696" s="1" t="str">
        <f t="shared" si="1212"/>
        <v>正常订单</v>
      </c>
      <c r="I3696" s="1" t="str">
        <f t="shared" si="1213"/>
        <v>已发货</v>
      </c>
      <c r="J3696" s="1" t="str">
        <f t="shared" si="1218"/>
        <v>3</v>
      </c>
      <c r="K3696" s="1">
        <v>3</v>
      </c>
      <c r="L3696" s="1" t="s">
        <v>41</v>
      </c>
      <c r="M3696" s="1" t="str">
        <f>"湖北省 宜昌市 枝江市 "</f>
        <v xml:space="preserve">湖北省 宜昌市 枝江市 </v>
      </c>
      <c r="N3696" s="1" t="str">
        <f t="shared" si="1216"/>
        <v>凡华云仓-城南圆通-微信视频号</v>
      </c>
      <c r="O3696" s="5" t="s">
        <v>3727</v>
      </c>
      <c r="P3696" s="6">
        <v>0.34</v>
      </c>
      <c r="Q3696" s="11">
        <v>2.2999999999999998</v>
      </c>
      <c r="R3696" s="11"/>
      <c r="S3696" s="11"/>
      <c r="T3696" s="11"/>
      <c r="U3696" s="11">
        <f t="shared" si="1209"/>
        <v>2.2999999999999998</v>
      </c>
      <c r="W3696">
        <v>2.5</v>
      </c>
      <c r="X3696" s="1" t="s">
        <v>41</v>
      </c>
    </row>
    <row r="3697" spans="1:24" x14ac:dyDescent="0.25">
      <c r="A3697" s="1" t="str">
        <f t="shared" si="1210"/>
        <v>卡卡杜-凤凰仓</v>
      </c>
      <c r="B3697" s="1" t="str">
        <f>"CK2024102297"</f>
        <v>CK2024102297</v>
      </c>
      <c r="C3697" s="1" t="str">
        <f>"DD2024102253649"</f>
        <v>DD2024102253649</v>
      </c>
      <c r="D3697" s="1" t="str">
        <f>"CK2024102251202"</f>
        <v>CK2024102251202</v>
      </c>
      <c r="E3697" s="1" t="str">
        <f>"3723480500671219200"</f>
        <v>3723480500671219200</v>
      </c>
      <c r="F3697" s="1" t="str">
        <f t="shared" si="1211"/>
        <v>花都四部-凤凰仓</v>
      </c>
      <c r="G3697" s="1" t="str">
        <f t="shared" si="1215"/>
        <v>卡卡杜企业店（视频号）</v>
      </c>
      <c r="H3697" s="1" t="str">
        <f t="shared" si="1212"/>
        <v>正常订单</v>
      </c>
      <c r="I3697" s="1" t="str">
        <f t="shared" si="1213"/>
        <v>已发货</v>
      </c>
      <c r="J3697" s="1" t="str">
        <f t="shared" si="1218"/>
        <v>3</v>
      </c>
      <c r="K3697" s="1">
        <v>3</v>
      </c>
      <c r="L3697" s="1" t="s">
        <v>30</v>
      </c>
      <c r="M3697" s="1" t="str">
        <f>"山东省 东营市 东营区 "</f>
        <v xml:space="preserve">山东省 东营市 东营区 </v>
      </c>
      <c r="N3697" s="1" t="str">
        <f t="shared" si="1216"/>
        <v>凡华云仓-城南圆通-微信视频号</v>
      </c>
      <c r="O3697" s="5" t="s">
        <v>3728</v>
      </c>
      <c r="P3697" s="6">
        <v>0.34</v>
      </c>
      <c r="Q3697" s="11">
        <v>2.2999999999999998</v>
      </c>
      <c r="R3697" s="11"/>
      <c r="S3697" s="11"/>
      <c r="T3697" s="11"/>
      <c r="U3697" s="11">
        <f t="shared" si="1209"/>
        <v>2.2999999999999998</v>
      </c>
      <c r="W3697">
        <v>2.5</v>
      </c>
      <c r="X3697" s="1" t="s">
        <v>30</v>
      </c>
    </row>
    <row r="3698" spans="1:24" x14ac:dyDescent="0.25">
      <c r="A3698" s="1" t="str">
        <f t="shared" si="1210"/>
        <v>卡卡杜-凤凰仓</v>
      </c>
      <c r="B3698" s="1" t="str">
        <f>"CK2024102293"</f>
        <v>CK2024102293</v>
      </c>
      <c r="C3698" s="1" t="str">
        <f>"DD2024102253646"</f>
        <v>DD2024102253646</v>
      </c>
      <c r="D3698" s="1" t="str">
        <f>"CK2024102251201"</f>
        <v>CK2024102251201</v>
      </c>
      <c r="E3698" s="1" t="str">
        <f>"3723480499144496128"</f>
        <v>3723480499144496128</v>
      </c>
      <c r="F3698" s="1" t="str">
        <f t="shared" si="1211"/>
        <v>花都四部-凤凰仓</v>
      </c>
      <c r="G3698" s="1" t="str">
        <f t="shared" si="1215"/>
        <v>卡卡杜企业店（视频号）</v>
      </c>
      <c r="H3698" s="1" t="str">
        <f t="shared" si="1212"/>
        <v>正常订单</v>
      </c>
      <c r="I3698" s="1" t="str">
        <f t="shared" si="1213"/>
        <v>已发货</v>
      </c>
      <c r="J3698" s="1" t="str">
        <f t="shared" si="1218"/>
        <v>3</v>
      </c>
      <c r="K3698" s="1">
        <v>3</v>
      </c>
      <c r="L3698" s="1" t="s">
        <v>16</v>
      </c>
      <c r="M3698" s="1" t="str">
        <f>"河北省 石家庄市 栾城区 "</f>
        <v xml:space="preserve">河北省 石家庄市 栾城区 </v>
      </c>
      <c r="N3698" s="1" t="str">
        <f t="shared" si="1216"/>
        <v>凡华云仓-城南圆通-微信视频号</v>
      </c>
      <c r="O3698" s="5" t="s">
        <v>3729</v>
      </c>
      <c r="P3698" s="6">
        <v>0.34</v>
      </c>
      <c r="Q3698" s="11">
        <v>2.2999999999999998</v>
      </c>
      <c r="R3698" s="11"/>
      <c r="S3698" s="11"/>
      <c r="T3698" s="11"/>
      <c r="U3698" s="11">
        <f t="shared" si="1209"/>
        <v>2.2999999999999998</v>
      </c>
      <c r="W3698">
        <v>2.5</v>
      </c>
      <c r="X3698" s="1" t="s">
        <v>16</v>
      </c>
    </row>
    <row r="3699" spans="1:24" x14ac:dyDescent="0.25">
      <c r="A3699" s="1" t="str">
        <f t="shared" si="1210"/>
        <v>卡卡杜-凤凰仓</v>
      </c>
      <c r="B3699" s="1" t="str">
        <f>"CK2024102299"</f>
        <v>CK2024102299</v>
      </c>
      <c r="C3699" s="1" t="str">
        <f>"DD2024102253650"</f>
        <v>DD2024102253650</v>
      </c>
      <c r="D3699" s="1" t="str">
        <f>"CK2024102251200"</f>
        <v>CK2024102251200</v>
      </c>
      <c r="E3699" s="1" t="str">
        <f>"3723480499068998656"</f>
        <v>3723480499068998656</v>
      </c>
      <c r="F3699" s="1" t="str">
        <f t="shared" si="1211"/>
        <v>花都四部-凤凰仓</v>
      </c>
      <c r="G3699" s="1" t="str">
        <f t="shared" si="1215"/>
        <v>卡卡杜企业店（视频号）</v>
      </c>
      <c r="H3699" s="1" t="str">
        <f t="shared" si="1212"/>
        <v>正常订单</v>
      </c>
      <c r="I3699" s="1" t="str">
        <f t="shared" si="1213"/>
        <v>已发货</v>
      </c>
      <c r="J3699" s="1" t="str">
        <f t="shared" si="1218"/>
        <v>3</v>
      </c>
      <c r="K3699" s="1">
        <v>3</v>
      </c>
      <c r="L3699" s="1" t="s">
        <v>30</v>
      </c>
      <c r="M3699" s="1" t="str">
        <f>"山东省 济南市 市中区 "</f>
        <v xml:space="preserve">山东省 济南市 市中区 </v>
      </c>
      <c r="N3699" s="1" t="str">
        <f t="shared" si="1216"/>
        <v>凡华云仓-城南圆通-微信视频号</v>
      </c>
      <c r="O3699" s="5" t="s">
        <v>3730</v>
      </c>
      <c r="P3699" s="6">
        <v>0.34</v>
      </c>
      <c r="Q3699" s="11">
        <v>2.2999999999999998</v>
      </c>
      <c r="R3699" s="11"/>
      <c r="S3699" s="11"/>
      <c r="T3699" s="11"/>
      <c r="U3699" s="11">
        <f t="shared" si="1209"/>
        <v>2.2999999999999998</v>
      </c>
      <c r="W3699">
        <v>2.5</v>
      </c>
      <c r="X3699" s="1" t="s">
        <v>30</v>
      </c>
    </row>
    <row r="3700" spans="1:24" x14ac:dyDescent="0.25">
      <c r="A3700" s="1" t="str">
        <f t="shared" si="1210"/>
        <v>卡卡杜-凤凰仓</v>
      </c>
      <c r="B3700" s="1" t="str">
        <f>"CK20241022101"</f>
        <v>CK20241022101</v>
      </c>
      <c r="C3700" s="1" t="str">
        <f>"DD2024102253654"</f>
        <v>DD2024102253654</v>
      </c>
      <c r="D3700" s="1" t="str">
        <f>"CK2024102251199"</f>
        <v>CK2024102251199</v>
      </c>
      <c r="E3700" s="1" t="str">
        <f>"3723480498915644416"</f>
        <v>3723480498915644416</v>
      </c>
      <c r="F3700" s="1" t="str">
        <f t="shared" si="1211"/>
        <v>花都四部-凤凰仓</v>
      </c>
      <c r="G3700" s="1" t="str">
        <f t="shared" si="1215"/>
        <v>卡卡杜企业店（视频号）</v>
      </c>
      <c r="H3700" s="1" t="str">
        <f t="shared" si="1212"/>
        <v>正常订单</v>
      </c>
      <c r="I3700" s="1" t="str">
        <f t="shared" si="1213"/>
        <v>已发货</v>
      </c>
      <c r="J3700" s="1" t="str">
        <f t="shared" si="1218"/>
        <v>3</v>
      </c>
      <c r="K3700" s="1">
        <v>3</v>
      </c>
      <c r="L3700" s="1" t="s">
        <v>13</v>
      </c>
      <c r="M3700" s="1" t="str">
        <f>"江苏省 盐城市 阜宁县 "</f>
        <v xml:space="preserve">江苏省 盐城市 阜宁县 </v>
      </c>
      <c r="N3700" s="1" t="str">
        <f t="shared" si="1216"/>
        <v>凡华云仓-城南圆通-微信视频号</v>
      </c>
      <c r="O3700" s="5" t="s">
        <v>3731</v>
      </c>
      <c r="P3700" s="6">
        <v>0.34</v>
      </c>
      <c r="Q3700" s="11">
        <v>2.2999999999999998</v>
      </c>
      <c r="R3700" s="11"/>
      <c r="S3700" s="11"/>
      <c r="T3700" s="11"/>
      <c r="U3700" s="11">
        <f t="shared" si="1209"/>
        <v>2.2999999999999998</v>
      </c>
      <c r="W3700">
        <v>2.5</v>
      </c>
      <c r="X3700" s="1" t="s">
        <v>13</v>
      </c>
    </row>
    <row r="3701" spans="1:24" x14ac:dyDescent="0.25">
      <c r="A3701" s="1" t="str">
        <f t="shared" si="1210"/>
        <v>卡卡杜-凤凰仓</v>
      </c>
      <c r="B3701" s="1" t="str">
        <f>"CK20241022102"</f>
        <v>CK20241022102</v>
      </c>
      <c r="C3701" s="1" t="str">
        <f>"DD2024102253651"</f>
        <v>DD2024102253651</v>
      </c>
      <c r="D3701" s="1" t="str">
        <f>"CK2024102251198"</f>
        <v>CK2024102251198</v>
      </c>
      <c r="E3701" s="1" t="str">
        <f>"3723480102030675968"</f>
        <v>3723480102030675968</v>
      </c>
      <c r="F3701" s="1" t="str">
        <f t="shared" si="1211"/>
        <v>花都四部-凤凰仓</v>
      </c>
      <c r="G3701" s="1" t="str">
        <f t="shared" si="1215"/>
        <v>卡卡杜企业店（视频号）</v>
      </c>
      <c r="H3701" s="1" t="str">
        <f t="shared" si="1212"/>
        <v>正常订单</v>
      </c>
      <c r="I3701" s="1" t="str">
        <f t="shared" si="1213"/>
        <v>已发货</v>
      </c>
      <c r="J3701" s="1" t="str">
        <f t="shared" si="1218"/>
        <v>3</v>
      </c>
      <c r="K3701" s="1">
        <v>3</v>
      </c>
      <c r="L3701" s="1" t="s">
        <v>32</v>
      </c>
      <c r="M3701" s="1" t="str">
        <f>"陕西省 西安市 雁塔区 "</f>
        <v xml:space="preserve">陕西省 西安市 雁塔区 </v>
      </c>
      <c r="N3701" s="1" t="str">
        <f t="shared" si="1216"/>
        <v>凡华云仓-城南圆通-微信视频号</v>
      </c>
      <c r="O3701" s="5" t="s">
        <v>3732</v>
      </c>
      <c r="P3701" s="6">
        <v>0.34</v>
      </c>
      <c r="Q3701" s="11">
        <v>2.2999999999999998</v>
      </c>
      <c r="R3701" s="11"/>
      <c r="S3701" s="11"/>
      <c r="T3701" s="11"/>
      <c r="U3701" s="11">
        <f t="shared" si="1209"/>
        <v>2.2999999999999998</v>
      </c>
      <c r="W3701">
        <v>2.5</v>
      </c>
      <c r="X3701" s="1" t="s">
        <v>32</v>
      </c>
    </row>
    <row r="3702" spans="1:24" x14ac:dyDescent="0.25">
      <c r="A3702" s="1" t="str">
        <f t="shared" si="1210"/>
        <v>卡卡杜-凤凰仓</v>
      </c>
      <c r="B3702" s="1" t="str">
        <f>"CK20241022103"</f>
        <v>CK20241022103</v>
      </c>
      <c r="C3702" s="1" t="str">
        <f>"DD2024102253655"</f>
        <v>DD2024102253655</v>
      </c>
      <c r="D3702" s="1" t="str">
        <f>"CK2024102251197"</f>
        <v>CK2024102251197</v>
      </c>
      <c r="E3702" s="1" t="str">
        <f>"3723480059077069824"</f>
        <v>3723480059077069824</v>
      </c>
      <c r="F3702" s="1" t="str">
        <f t="shared" si="1211"/>
        <v>花都四部-凤凰仓</v>
      </c>
      <c r="G3702" s="1" t="str">
        <f t="shared" si="1215"/>
        <v>卡卡杜企业店（视频号）</v>
      </c>
      <c r="H3702" s="1" t="str">
        <f t="shared" si="1212"/>
        <v>正常订单</v>
      </c>
      <c r="I3702" s="1" t="str">
        <f t="shared" si="1213"/>
        <v>已发货</v>
      </c>
      <c r="J3702" s="1" t="str">
        <f t="shared" si="1218"/>
        <v>3</v>
      </c>
      <c r="K3702" s="1">
        <v>3</v>
      </c>
      <c r="L3702" s="1" t="s">
        <v>1111</v>
      </c>
      <c r="M3702" s="1" t="str">
        <f>"青海省 西宁市 城中区 "</f>
        <v xml:space="preserve">青海省 西宁市 城中区 </v>
      </c>
      <c r="N3702" s="1" t="str">
        <f t="shared" si="1216"/>
        <v>凡华云仓-城南圆通-微信视频号</v>
      </c>
      <c r="O3702" s="5" t="s">
        <v>3733</v>
      </c>
      <c r="P3702" s="6">
        <v>0.34</v>
      </c>
      <c r="Q3702" s="11">
        <v>2.2999999999999998</v>
      </c>
      <c r="R3702" s="11"/>
      <c r="S3702" s="11"/>
      <c r="T3702" s="11"/>
      <c r="U3702" s="11">
        <f t="shared" si="1209"/>
        <v>2.2999999999999998</v>
      </c>
      <c r="W3702">
        <v>2.5</v>
      </c>
      <c r="X3702" s="1" t="s">
        <v>1111</v>
      </c>
    </row>
    <row r="3703" spans="1:24" x14ac:dyDescent="0.25">
      <c r="A3703" s="1" t="str">
        <f t="shared" si="1210"/>
        <v>卡卡杜-凤凰仓</v>
      </c>
      <c r="B3703" s="1" t="str">
        <f>"CK20241022104"</f>
        <v>CK20241022104</v>
      </c>
      <c r="C3703" s="1" t="str">
        <f>"DD2024102253658"</f>
        <v>DD2024102253658</v>
      </c>
      <c r="D3703" s="1" t="str">
        <f>"CK2024102251196"</f>
        <v>CK2024102251196</v>
      </c>
      <c r="E3703" s="1" t="str">
        <f>"3723480056257188864"</f>
        <v>3723480056257188864</v>
      </c>
      <c r="F3703" s="1" t="str">
        <f t="shared" si="1211"/>
        <v>花都四部-凤凰仓</v>
      </c>
      <c r="G3703" s="1" t="str">
        <f t="shared" si="1215"/>
        <v>卡卡杜企业店（视频号）</v>
      </c>
      <c r="H3703" s="1" t="str">
        <f t="shared" si="1212"/>
        <v>正常订单</v>
      </c>
      <c r="I3703" s="1" t="str">
        <f t="shared" si="1213"/>
        <v>已发货</v>
      </c>
      <c r="J3703" s="1" t="str">
        <f t="shared" si="1218"/>
        <v>3</v>
      </c>
      <c r="K3703" s="1">
        <v>3</v>
      </c>
      <c r="L3703" s="1" t="s">
        <v>74</v>
      </c>
      <c r="M3703" s="1" t="str">
        <f>"上海 上海市 虹口区 "</f>
        <v xml:space="preserve">上海 上海市 虹口区 </v>
      </c>
      <c r="N3703" s="1" t="str">
        <f t="shared" si="1216"/>
        <v>凡华云仓-城南圆通-微信视频号</v>
      </c>
      <c r="O3703" s="5" t="s">
        <v>3734</v>
      </c>
      <c r="P3703" s="6">
        <v>0.34</v>
      </c>
      <c r="Q3703" s="11">
        <v>2.2999999999999998</v>
      </c>
      <c r="R3703" s="11"/>
      <c r="S3703" s="11"/>
      <c r="T3703" s="11"/>
      <c r="U3703" s="11">
        <f t="shared" si="1209"/>
        <v>2.2999999999999998</v>
      </c>
      <c r="W3703">
        <v>2.5</v>
      </c>
      <c r="X3703" s="1" t="s">
        <v>74</v>
      </c>
    </row>
    <row r="3704" spans="1:24" x14ac:dyDescent="0.25">
      <c r="A3704" s="1" t="str">
        <f t="shared" si="1210"/>
        <v>卡卡杜-凤凰仓</v>
      </c>
      <c r="B3704" s="1" t="str">
        <f>"CK20241022110"</f>
        <v>CK20241022110</v>
      </c>
      <c r="C3704" s="1" t="str">
        <f>"DD2024102253662"</f>
        <v>DD2024102253662</v>
      </c>
      <c r="D3704" s="1" t="str">
        <f>"CK2024102251195"</f>
        <v>CK2024102251195</v>
      </c>
      <c r="E3704" s="1" t="str">
        <f>"3723480043321954304"</f>
        <v>3723480043321954304</v>
      </c>
      <c r="F3704" s="1" t="str">
        <f t="shared" si="1211"/>
        <v>花都四部-凤凰仓</v>
      </c>
      <c r="G3704" s="1" t="str">
        <f t="shared" si="1215"/>
        <v>卡卡杜企业店（视频号）</v>
      </c>
      <c r="H3704" s="1" t="str">
        <f t="shared" si="1212"/>
        <v>正常订单</v>
      </c>
      <c r="I3704" s="1" t="str">
        <f t="shared" si="1213"/>
        <v>已发货</v>
      </c>
      <c r="J3704" s="1" t="str">
        <f t="shared" si="1218"/>
        <v>3</v>
      </c>
      <c r="K3704" s="1">
        <v>3</v>
      </c>
      <c r="L3704" s="1" t="s">
        <v>105</v>
      </c>
      <c r="M3704" s="1" t="str">
        <f>"北京 北京市 海淀区 "</f>
        <v xml:space="preserve">北京 北京市 海淀区 </v>
      </c>
      <c r="N3704" s="1" t="str">
        <f t="shared" si="1216"/>
        <v>凡华云仓-城南圆通-微信视频号</v>
      </c>
      <c r="O3704" s="5" t="s">
        <v>3735</v>
      </c>
      <c r="P3704" s="6">
        <v>0.34</v>
      </c>
      <c r="Q3704" s="11">
        <v>2.2999999999999998</v>
      </c>
      <c r="R3704" s="11"/>
      <c r="S3704" s="11"/>
      <c r="T3704" s="11"/>
      <c r="U3704" s="11">
        <f t="shared" si="1209"/>
        <v>2.2999999999999998</v>
      </c>
      <c r="W3704">
        <v>2.5</v>
      </c>
      <c r="X3704" s="1" t="s">
        <v>105</v>
      </c>
    </row>
    <row r="3705" spans="1:24" x14ac:dyDescent="0.25">
      <c r="A3705" s="1" t="str">
        <f t="shared" si="1210"/>
        <v>卡卡杜-凤凰仓</v>
      </c>
      <c r="B3705" s="1" t="str">
        <f>"CK20241022123"</f>
        <v>CK20241022123</v>
      </c>
      <c r="C3705" s="1" t="str">
        <f>"DD2024102253675"</f>
        <v>DD2024102253675</v>
      </c>
      <c r="D3705" s="1" t="str">
        <f>"CK2024102251194"</f>
        <v>CK2024102251194</v>
      </c>
      <c r="E3705" s="1" t="str">
        <f>"3723480027684802560"</f>
        <v>3723480027684802560</v>
      </c>
      <c r="F3705" s="1" t="str">
        <f t="shared" si="1211"/>
        <v>花都四部-凤凰仓</v>
      </c>
      <c r="G3705" s="1" t="str">
        <f t="shared" si="1215"/>
        <v>卡卡杜企业店（视频号）</v>
      </c>
      <c r="H3705" s="1" t="str">
        <f t="shared" si="1212"/>
        <v>正常订单</v>
      </c>
      <c r="I3705" s="1" t="str">
        <f t="shared" si="1213"/>
        <v>已发货</v>
      </c>
      <c r="J3705" s="1" t="str">
        <f t="shared" si="1218"/>
        <v>3</v>
      </c>
      <c r="K3705" s="1">
        <v>3</v>
      </c>
      <c r="L3705" s="1" t="s">
        <v>105</v>
      </c>
      <c r="M3705" s="1" t="str">
        <f>"北京 北京市 大兴区 "</f>
        <v xml:space="preserve">北京 北京市 大兴区 </v>
      </c>
      <c r="N3705" s="1" t="str">
        <f t="shared" si="1216"/>
        <v>凡华云仓-城南圆通-微信视频号</v>
      </c>
      <c r="O3705" s="5" t="s">
        <v>3736</v>
      </c>
      <c r="P3705" s="6">
        <v>0.34</v>
      </c>
      <c r="Q3705" s="11">
        <v>2.2999999999999998</v>
      </c>
      <c r="R3705" s="11"/>
      <c r="S3705" s="11"/>
      <c r="T3705" s="11"/>
      <c r="U3705" s="11">
        <f t="shared" si="1209"/>
        <v>2.2999999999999998</v>
      </c>
      <c r="W3705">
        <v>2.5</v>
      </c>
      <c r="X3705" s="1" t="s">
        <v>105</v>
      </c>
    </row>
    <row r="3706" spans="1:24" x14ac:dyDescent="0.25">
      <c r="A3706" s="1" t="str">
        <f t="shared" si="1210"/>
        <v>卡卡杜-凤凰仓</v>
      </c>
      <c r="B3706" s="1" t="str">
        <f>"CK20241022105"</f>
        <v>CK20241022105</v>
      </c>
      <c r="C3706" s="1" t="str">
        <f>"DD2024102253657"</f>
        <v>DD2024102253657</v>
      </c>
      <c r="D3706" s="1" t="str">
        <f>"CK2024102251193"</f>
        <v>CK2024102251193</v>
      </c>
      <c r="E3706" s="1" t="str">
        <f>"3723480049908846592"</f>
        <v>3723480049908846592</v>
      </c>
      <c r="F3706" s="1" t="str">
        <f t="shared" si="1211"/>
        <v>花都四部-凤凰仓</v>
      </c>
      <c r="G3706" s="1" t="str">
        <f t="shared" si="1215"/>
        <v>卡卡杜企业店（视频号）</v>
      </c>
      <c r="H3706" s="1" t="str">
        <f t="shared" si="1212"/>
        <v>正常订单</v>
      </c>
      <c r="I3706" s="1" t="str">
        <f t="shared" si="1213"/>
        <v>已发货</v>
      </c>
      <c r="J3706" s="1" t="str">
        <f t="shared" si="1218"/>
        <v>3</v>
      </c>
      <c r="K3706" s="1">
        <v>3</v>
      </c>
      <c r="L3706" s="1" t="s">
        <v>109</v>
      </c>
      <c r="M3706" s="1" t="str">
        <f>"山西省 晋中市 榆次区 "</f>
        <v xml:space="preserve">山西省 晋中市 榆次区 </v>
      </c>
      <c r="N3706" s="1" t="str">
        <f t="shared" si="1216"/>
        <v>凡华云仓-城南圆通-微信视频号</v>
      </c>
      <c r="O3706" s="5" t="s">
        <v>3737</v>
      </c>
      <c r="P3706" s="6">
        <v>0.34</v>
      </c>
      <c r="Q3706" s="11">
        <v>2.2999999999999998</v>
      </c>
      <c r="R3706" s="11"/>
      <c r="S3706" s="11"/>
      <c r="T3706" s="11"/>
      <c r="U3706" s="11">
        <f t="shared" si="1209"/>
        <v>2.2999999999999998</v>
      </c>
      <c r="W3706">
        <v>2.5</v>
      </c>
      <c r="X3706" s="1" t="s">
        <v>109</v>
      </c>
    </row>
    <row r="3707" spans="1:24" x14ac:dyDescent="0.25">
      <c r="A3707" s="1" t="str">
        <f t="shared" si="1210"/>
        <v>卡卡杜-凤凰仓</v>
      </c>
      <c r="B3707" s="1" t="str">
        <f>"CK20241022106"</f>
        <v>CK20241022106</v>
      </c>
      <c r="C3707" s="1" t="str">
        <f>"DD2024102253656"</f>
        <v>DD2024102253656</v>
      </c>
      <c r="D3707" s="1" t="str">
        <f>"CK2024102251192"</f>
        <v>CK2024102251192</v>
      </c>
      <c r="E3707" s="1" t="str">
        <f>"3723480049030926336"</f>
        <v>3723480049030926336</v>
      </c>
      <c r="F3707" s="1" t="str">
        <f t="shared" si="1211"/>
        <v>花都四部-凤凰仓</v>
      </c>
      <c r="G3707" s="1" t="str">
        <f t="shared" si="1215"/>
        <v>卡卡杜企业店（视频号）</v>
      </c>
      <c r="H3707" s="1" t="str">
        <f t="shared" si="1212"/>
        <v>正常订单</v>
      </c>
      <c r="I3707" s="1" t="str">
        <f t="shared" si="1213"/>
        <v>已发货</v>
      </c>
      <c r="J3707" s="1" t="str">
        <f t="shared" si="1218"/>
        <v>3</v>
      </c>
      <c r="K3707" s="1">
        <v>3</v>
      </c>
      <c r="L3707" s="1" t="s">
        <v>54</v>
      </c>
      <c r="M3707" s="1" t="str">
        <f>"黑龙江省 哈尔滨市 香坊区 "</f>
        <v xml:space="preserve">黑龙江省 哈尔滨市 香坊区 </v>
      </c>
      <c r="N3707" s="1" t="str">
        <f t="shared" si="1216"/>
        <v>凡华云仓-城南圆通-微信视频号</v>
      </c>
      <c r="O3707" s="5" t="s">
        <v>3738</v>
      </c>
      <c r="P3707" s="6">
        <v>0.34</v>
      </c>
      <c r="Q3707" s="11">
        <v>2.2999999999999998</v>
      </c>
      <c r="R3707" s="11"/>
      <c r="S3707" s="11"/>
      <c r="T3707" s="11"/>
      <c r="U3707" s="11">
        <f t="shared" si="1209"/>
        <v>2.2999999999999998</v>
      </c>
      <c r="W3707">
        <v>2.5</v>
      </c>
      <c r="X3707" s="1" t="s">
        <v>54</v>
      </c>
    </row>
    <row r="3708" spans="1:24" x14ac:dyDescent="0.25">
      <c r="A3708" s="1" t="str">
        <f t="shared" si="1210"/>
        <v>卡卡杜-凤凰仓</v>
      </c>
      <c r="B3708" s="1" t="str">
        <f>"CK20241022112"</f>
        <v>CK20241022112</v>
      </c>
      <c r="C3708" s="1" t="str">
        <f>"DD2024102253666"</f>
        <v>DD2024102253666</v>
      </c>
      <c r="D3708" s="1" t="str">
        <f>"CK2024102251191"</f>
        <v>CK2024102251191</v>
      </c>
      <c r="E3708" s="1" t="str">
        <f>"3723480042803168512"</f>
        <v>3723480042803168512</v>
      </c>
      <c r="F3708" s="1" t="str">
        <f t="shared" si="1211"/>
        <v>花都四部-凤凰仓</v>
      </c>
      <c r="G3708" s="1" t="str">
        <f t="shared" si="1215"/>
        <v>卡卡杜企业店（视频号）</v>
      </c>
      <c r="H3708" s="1" t="str">
        <f t="shared" si="1212"/>
        <v>正常订单</v>
      </c>
      <c r="I3708" s="1" t="str">
        <f t="shared" si="1213"/>
        <v>已发货</v>
      </c>
      <c r="J3708" s="1" t="str">
        <f t="shared" si="1218"/>
        <v>3</v>
      </c>
      <c r="K3708" s="1">
        <v>3</v>
      </c>
      <c r="L3708" s="1" t="s">
        <v>16</v>
      </c>
      <c r="M3708" s="1" t="str">
        <f>"河北省 唐山市 滦南县 "</f>
        <v xml:space="preserve">河北省 唐山市 滦南县 </v>
      </c>
      <c r="N3708" s="1" t="str">
        <f t="shared" si="1216"/>
        <v>凡华云仓-城南圆通-微信视频号</v>
      </c>
      <c r="O3708" s="5" t="s">
        <v>3739</v>
      </c>
      <c r="P3708" s="6">
        <v>0.34</v>
      </c>
      <c r="Q3708" s="11">
        <v>2.2999999999999998</v>
      </c>
      <c r="R3708" s="11"/>
      <c r="S3708" s="11"/>
      <c r="T3708" s="11"/>
      <c r="U3708" s="11">
        <f t="shared" si="1209"/>
        <v>2.2999999999999998</v>
      </c>
      <c r="W3708">
        <v>2.5</v>
      </c>
      <c r="X3708" s="1" t="s">
        <v>16</v>
      </c>
    </row>
    <row r="3709" spans="1:24" x14ac:dyDescent="0.25">
      <c r="A3709" s="1" t="str">
        <f t="shared" si="1210"/>
        <v>卡卡杜-凤凰仓</v>
      </c>
      <c r="B3709" s="1" t="str">
        <f>"CK20241022107"</f>
        <v>CK20241022107</v>
      </c>
      <c r="C3709" s="1" t="str">
        <f>"DD2024102253659"</f>
        <v>DD2024102253659</v>
      </c>
      <c r="D3709" s="1" t="str">
        <f>"CK2024102251190"</f>
        <v>CK2024102251190</v>
      </c>
      <c r="E3709" s="1" t="str">
        <f>"3723480047077168128"</f>
        <v>3723480047077168128</v>
      </c>
      <c r="F3709" s="1" t="str">
        <f t="shared" si="1211"/>
        <v>花都四部-凤凰仓</v>
      </c>
      <c r="G3709" s="1" t="str">
        <f t="shared" si="1215"/>
        <v>卡卡杜企业店（视频号）</v>
      </c>
      <c r="H3709" s="1" t="str">
        <f t="shared" si="1212"/>
        <v>正常订单</v>
      </c>
      <c r="I3709" s="1" t="str">
        <f t="shared" si="1213"/>
        <v>已发货</v>
      </c>
      <c r="J3709" s="1" t="str">
        <f t="shared" si="1218"/>
        <v>3</v>
      </c>
      <c r="K3709" s="1">
        <v>3</v>
      </c>
      <c r="L3709" s="1" t="s">
        <v>74</v>
      </c>
      <c r="M3709" s="1" t="str">
        <f>"上海 上海市 浦东新区 "</f>
        <v xml:space="preserve">上海 上海市 浦东新区 </v>
      </c>
      <c r="N3709" s="1" t="str">
        <f t="shared" si="1216"/>
        <v>凡华云仓-城南圆通-微信视频号</v>
      </c>
      <c r="O3709" s="5" t="s">
        <v>3740</v>
      </c>
      <c r="P3709" s="6">
        <v>0.34</v>
      </c>
      <c r="Q3709" s="11">
        <v>2.2999999999999998</v>
      </c>
      <c r="R3709" s="11"/>
      <c r="S3709" s="11"/>
      <c r="T3709" s="11"/>
      <c r="U3709" s="11">
        <f t="shared" si="1209"/>
        <v>2.2999999999999998</v>
      </c>
      <c r="W3709">
        <v>2.5</v>
      </c>
      <c r="X3709" s="1" t="s">
        <v>74</v>
      </c>
    </row>
    <row r="3710" spans="1:24" x14ac:dyDescent="0.25">
      <c r="A3710" s="1" t="str">
        <f t="shared" si="1210"/>
        <v>卡卡杜-凤凰仓</v>
      </c>
      <c r="B3710" s="1" t="str">
        <f>"CK20241022108"</f>
        <v>CK20241022108</v>
      </c>
      <c r="C3710" s="1" t="str">
        <f>"DD2024102253660"</f>
        <v>DD2024102253660</v>
      </c>
      <c r="D3710" s="1" t="str">
        <f>"CK2024102251189"</f>
        <v>CK2024102251189</v>
      </c>
      <c r="E3710" s="1" t="str">
        <f>"3723480046955009024"</f>
        <v>3723480046955009024</v>
      </c>
      <c r="F3710" s="1" t="str">
        <f t="shared" si="1211"/>
        <v>花都四部-凤凰仓</v>
      </c>
      <c r="G3710" s="1" t="str">
        <f t="shared" si="1215"/>
        <v>卡卡杜企业店（视频号）</v>
      </c>
      <c r="H3710" s="1" t="str">
        <f t="shared" si="1212"/>
        <v>正常订单</v>
      </c>
      <c r="I3710" s="1" t="str">
        <f t="shared" si="1213"/>
        <v>已发货</v>
      </c>
      <c r="J3710" s="1" t="str">
        <f t="shared" si="1218"/>
        <v>3</v>
      </c>
      <c r="K3710" s="1">
        <v>3</v>
      </c>
      <c r="L3710" s="1" t="s">
        <v>30</v>
      </c>
      <c r="M3710" s="1" t="str">
        <f>"山东省 临沂市 蒙阴县 "</f>
        <v xml:space="preserve">山东省 临沂市 蒙阴县 </v>
      </c>
      <c r="N3710" s="1" t="str">
        <f t="shared" si="1216"/>
        <v>凡华云仓-城南圆通-微信视频号</v>
      </c>
      <c r="O3710" s="5" t="s">
        <v>3741</v>
      </c>
      <c r="P3710" s="6">
        <v>0.34</v>
      </c>
      <c r="Q3710" s="11">
        <v>2.2999999999999998</v>
      </c>
      <c r="R3710" s="11"/>
      <c r="S3710" s="11"/>
      <c r="T3710" s="11"/>
      <c r="U3710" s="11">
        <f t="shared" si="1209"/>
        <v>2.2999999999999998</v>
      </c>
      <c r="W3710">
        <v>2.5</v>
      </c>
      <c r="X3710" s="1" t="s">
        <v>30</v>
      </c>
    </row>
    <row r="3711" spans="1:24" x14ac:dyDescent="0.25">
      <c r="A3711" s="1" t="str">
        <f t="shared" si="1210"/>
        <v>卡卡杜-凤凰仓</v>
      </c>
      <c r="B3711" s="1" t="str">
        <f>"CK20241022157"</f>
        <v>CK20241022157</v>
      </c>
      <c r="C3711" s="1" t="str">
        <f>"DD2024102253709"</f>
        <v>DD2024102253709</v>
      </c>
      <c r="D3711" s="1" t="str">
        <f>"CK2024102251188"</f>
        <v>CK2024102251188</v>
      </c>
      <c r="E3711" s="1" t="str">
        <f>"3723480025347526656"</f>
        <v>3723480025347526656</v>
      </c>
      <c r="F3711" s="1" t="str">
        <f t="shared" si="1211"/>
        <v>花都四部-凤凰仓</v>
      </c>
      <c r="G3711" s="1" t="str">
        <f t="shared" si="1215"/>
        <v>卡卡杜企业店（视频号）</v>
      </c>
      <c r="H3711" s="1" t="str">
        <f t="shared" si="1212"/>
        <v>正常订单</v>
      </c>
      <c r="I3711" s="1" t="str">
        <f t="shared" si="1213"/>
        <v>已发货</v>
      </c>
      <c r="J3711" s="1" t="str">
        <f t="shared" si="1218"/>
        <v>3</v>
      </c>
      <c r="K3711" s="1">
        <v>3</v>
      </c>
      <c r="L3711" s="1" t="s">
        <v>218</v>
      </c>
      <c r="M3711" s="1" t="str">
        <f>"天津 天津市 红桥区 "</f>
        <v xml:space="preserve">天津 天津市 红桥区 </v>
      </c>
      <c r="N3711" s="1" t="str">
        <f t="shared" si="1216"/>
        <v>凡华云仓-城南圆通-微信视频号</v>
      </c>
      <c r="O3711" s="5" t="s">
        <v>3742</v>
      </c>
      <c r="P3711" s="6">
        <v>0.34</v>
      </c>
      <c r="Q3711" s="11">
        <v>2.2999999999999998</v>
      </c>
      <c r="R3711" s="11"/>
      <c r="S3711" s="11"/>
      <c r="T3711" s="11"/>
      <c r="U3711" s="11">
        <f t="shared" si="1209"/>
        <v>2.2999999999999998</v>
      </c>
      <c r="W3711">
        <v>2.5</v>
      </c>
      <c r="X3711" s="1" t="s">
        <v>218</v>
      </c>
    </row>
    <row r="3712" spans="1:24" x14ac:dyDescent="0.25">
      <c r="A3712" s="1" t="str">
        <f t="shared" si="1210"/>
        <v>卡卡杜-凤凰仓</v>
      </c>
      <c r="B3712" s="1" t="str">
        <f>"CK20241022111"</f>
        <v>CK20241022111</v>
      </c>
      <c r="C3712" s="1" t="str">
        <f>"DD2024102253663"</f>
        <v>DD2024102253663</v>
      </c>
      <c r="D3712" s="1" t="str">
        <f>"CK2024102251187"</f>
        <v>CK2024102251187</v>
      </c>
      <c r="E3712" s="1" t="str">
        <f>"3723480043684237312"</f>
        <v>3723480043684237312</v>
      </c>
      <c r="F3712" s="1" t="str">
        <f t="shared" si="1211"/>
        <v>花都四部-凤凰仓</v>
      </c>
      <c r="G3712" s="1" t="str">
        <f t="shared" si="1215"/>
        <v>卡卡杜企业店（视频号）</v>
      </c>
      <c r="H3712" s="1" t="str">
        <f t="shared" si="1212"/>
        <v>正常订单</v>
      </c>
      <c r="I3712" s="1" t="str">
        <f t="shared" si="1213"/>
        <v>已发货</v>
      </c>
      <c r="J3712" s="1" t="str">
        <f t="shared" si="1218"/>
        <v>3</v>
      </c>
      <c r="K3712" s="1">
        <v>3</v>
      </c>
      <c r="L3712" s="1" t="s">
        <v>3743</v>
      </c>
      <c r="M3712" s="1" t="str">
        <f>"西藏自治区 拉萨市 城关区 "</f>
        <v xml:space="preserve">西藏自治区 拉萨市 城关区 </v>
      </c>
      <c r="N3712" s="1" t="str">
        <f t="shared" si="1216"/>
        <v>凡华云仓-城南圆通-微信视频号</v>
      </c>
      <c r="O3712" s="5" t="s">
        <v>3744</v>
      </c>
      <c r="P3712" s="6">
        <v>0.34</v>
      </c>
      <c r="Q3712" s="11">
        <v>17</v>
      </c>
      <c r="R3712" s="11"/>
      <c r="S3712" s="11"/>
      <c r="T3712" s="11"/>
      <c r="U3712" s="11">
        <f t="shared" si="1209"/>
        <v>17</v>
      </c>
      <c r="W3712">
        <v>17</v>
      </c>
      <c r="X3712" s="1" t="s">
        <v>3743</v>
      </c>
    </row>
    <row r="3713" spans="1:24" x14ac:dyDescent="0.25">
      <c r="A3713" s="1" t="str">
        <f t="shared" si="1210"/>
        <v>卡卡杜-凤凰仓</v>
      </c>
      <c r="B3713" s="1" t="str">
        <f>"CK20241022502"</f>
        <v>CK20241022502</v>
      </c>
      <c r="C3713" s="1" t="str">
        <f>"DD2024102255629"</f>
        <v>DD2024102255629</v>
      </c>
      <c r="D3713" s="1" t="str">
        <f>"CK2024102251186"</f>
        <v>CK2024102251186</v>
      </c>
      <c r="E3713" s="1" t="str">
        <f>"3723480040437847040"</f>
        <v>3723480040437847040</v>
      </c>
      <c r="F3713" s="1" t="str">
        <f t="shared" si="1211"/>
        <v>花都四部-凤凰仓</v>
      </c>
      <c r="G3713" s="1" t="str">
        <f t="shared" si="1215"/>
        <v>卡卡杜企业店（视频号）</v>
      </c>
      <c r="H3713" s="1" t="str">
        <f t="shared" si="1212"/>
        <v>正常订单</v>
      </c>
      <c r="I3713" s="1" t="str">
        <f t="shared" si="1213"/>
        <v>已发货</v>
      </c>
      <c r="J3713" s="1" t="str">
        <f t="shared" si="1218"/>
        <v>3</v>
      </c>
      <c r="K3713" s="1">
        <v>3</v>
      </c>
      <c r="L3713" s="1" t="s">
        <v>74</v>
      </c>
      <c r="M3713" s="1" t="str">
        <f>"上海 上海市 徐汇区 "</f>
        <v xml:space="preserve">上海 上海市 徐汇区 </v>
      </c>
      <c r="N3713" s="1" t="str">
        <f t="shared" si="1216"/>
        <v>凡华云仓-城南圆通-微信视频号</v>
      </c>
      <c r="O3713" s="5" t="s">
        <v>3745</v>
      </c>
      <c r="P3713" s="6">
        <v>0.34</v>
      </c>
      <c r="Q3713" s="11">
        <v>2.2999999999999998</v>
      </c>
      <c r="R3713" s="11"/>
      <c r="S3713" s="11"/>
      <c r="T3713" s="11"/>
      <c r="U3713" s="11">
        <f t="shared" si="1209"/>
        <v>2.2999999999999998</v>
      </c>
      <c r="W3713">
        <v>2.5</v>
      </c>
      <c r="X3713" s="1" t="s">
        <v>74</v>
      </c>
    </row>
    <row r="3714" spans="1:24" x14ac:dyDescent="0.25">
      <c r="A3714" s="1" t="str">
        <f t="shared" si="1210"/>
        <v>卡卡杜-凤凰仓</v>
      </c>
      <c r="B3714" s="1" t="str">
        <f>"CK20241022113"</f>
        <v>CK20241022113</v>
      </c>
      <c r="C3714" s="1" t="str">
        <f>"DD2024102253664"</f>
        <v>DD2024102253664</v>
      </c>
      <c r="D3714" s="1" t="str">
        <f>"CK2024102251185"</f>
        <v>CK2024102251185</v>
      </c>
      <c r="E3714" s="1" t="str">
        <f>"3723480035678884864"</f>
        <v>3723480035678884864</v>
      </c>
      <c r="F3714" s="1" t="str">
        <f t="shared" si="1211"/>
        <v>花都四部-凤凰仓</v>
      </c>
      <c r="G3714" s="1" t="str">
        <f t="shared" si="1215"/>
        <v>卡卡杜企业店（视频号）</v>
      </c>
      <c r="H3714" s="1" t="str">
        <f t="shared" si="1212"/>
        <v>正常订单</v>
      </c>
      <c r="I3714" s="1" t="str">
        <f t="shared" si="1213"/>
        <v>已发货</v>
      </c>
      <c r="J3714" s="1" t="str">
        <f t="shared" si="1218"/>
        <v>3</v>
      </c>
      <c r="K3714" s="1">
        <v>3</v>
      </c>
      <c r="L3714" s="1" t="s">
        <v>74</v>
      </c>
      <c r="M3714" s="1" t="str">
        <f>"上海 上海市 长宁区 "</f>
        <v xml:space="preserve">上海 上海市 长宁区 </v>
      </c>
      <c r="N3714" s="1" t="str">
        <f t="shared" si="1216"/>
        <v>凡华云仓-城南圆通-微信视频号</v>
      </c>
      <c r="O3714" s="5" t="s">
        <v>3746</v>
      </c>
      <c r="P3714" s="6">
        <v>0.34</v>
      </c>
      <c r="Q3714" s="11">
        <v>2.2999999999999998</v>
      </c>
      <c r="R3714" s="11"/>
      <c r="S3714" s="11"/>
      <c r="T3714" s="11"/>
      <c r="U3714" s="11">
        <f t="shared" si="1209"/>
        <v>2.2999999999999998</v>
      </c>
      <c r="W3714">
        <v>2.5</v>
      </c>
      <c r="X3714" s="1" t="s">
        <v>74</v>
      </c>
    </row>
    <row r="3715" spans="1:24" x14ac:dyDescent="0.25">
      <c r="A3715" s="1" t="str">
        <f t="shared" si="1210"/>
        <v>卡卡杜-凤凰仓</v>
      </c>
      <c r="B3715" s="1" t="str">
        <f>"CK2024102204"</f>
        <v>CK2024102204</v>
      </c>
      <c r="C3715" s="1" t="str">
        <f>"DD2024102253558"</f>
        <v>DD2024102253558</v>
      </c>
      <c r="D3715" s="1" t="str">
        <f>"CK2024102251184"</f>
        <v>CK2024102251184</v>
      </c>
      <c r="E3715" s="1" t="str">
        <f>"3723480037122511872"</f>
        <v>3723480037122511872</v>
      </c>
      <c r="F3715" s="1" t="str">
        <f t="shared" si="1211"/>
        <v>花都四部-凤凰仓</v>
      </c>
      <c r="G3715" s="1" t="str">
        <f t="shared" si="1215"/>
        <v>卡卡杜企业店（视频号）</v>
      </c>
      <c r="H3715" s="1" t="str">
        <f t="shared" si="1212"/>
        <v>正常订单</v>
      </c>
      <c r="I3715" s="1" t="str">
        <f t="shared" si="1213"/>
        <v>已发货</v>
      </c>
      <c r="J3715" s="1" t="str">
        <f>"5"</f>
        <v>5</v>
      </c>
      <c r="K3715" s="1">
        <v>3</v>
      </c>
      <c r="L3715" s="1" t="s">
        <v>18</v>
      </c>
      <c r="M3715" s="1" t="str">
        <f>"广东省 梅州市 梅江区 "</f>
        <v xml:space="preserve">广东省 梅州市 梅江区 </v>
      </c>
      <c r="N3715" s="1" t="str">
        <f t="shared" si="1216"/>
        <v>凡华云仓-城南圆通-微信视频号</v>
      </c>
      <c r="O3715" s="5" t="s">
        <v>3747</v>
      </c>
      <c r="P3715" s="6">
        <v>0.56000000000000005</v>
      </c>
      <c r="Q3715" s="11">
        <f>CEILING(P3715-0.5,0.1)*10*0.15+2.3</f>
        <v>2.4499999999999997</v>
      </c>
      <c r="R3715" s="11"/>
      <c r="S3715" s="11"/>
      <c r="T3715" s="11"/>
      <c r="U3715" s="11">
        <f t="shared" ref="U3715:U3778" si="1219">T3715+S3715+R3715+Q3715</f>
        <v>2.4499999999999997</v>
      </c>
      <c r="V3715" t="s">
        <v>15</v>
      </c>
      <c r="W3715">
        <v>2.4500000000000002</v>
      </c>
      <c r="X3715" s="1" t="s">
        <v>18</v>
      </c>
    </row>
    <row r="3716" spans="1:24" x14ac:dyDescent="0.25">
      <c r="A3716" s="1" t="str">
        <f t="shared" si="1210"/>
        <v>卡卡杜-凤凰仓</v>
      </c>
      <c r="B3716" s="1" t="str">
        <f>"CK20241022114"</f>
        <v>CK20241022114</v>
      </c>
      <c r="C3716" s="1" t="str">
        <f>"DD2024102253665"</f>
        <v>DD2024102253665</v>
      </c>
      <c r="D3716" s="1" t="str">
        <f>"CK2024102251183"</f>
        <v>CK2024102251183</v>
      </c>
      <c r="E3716" s="1" t="str">
        <f>"3723480038969576448"</f>
        <v>3723480038969576448</v>
      </c>
      <c r="F3716" s="1" t="str">
        <f t="shared" si="1211"/>
        <v>花都四部-凤凰仓</v>
      </c>
      <c r="G3716" s="1" t="str">
        <f t="shared" si="1215"/>
        <v>卡卡杜企业店（视频号）</v>
      </c>
      <c r="H3716" s="1" t="str">
        <f t="shared" si="1212"/>
        <v>正常订单</v>
      </c>
      <c r="I3716" s="1" t="str">
        <f t="shared" si="1213"/>
        <v>已发货</v>
      </c>
      <c r="J3716" s="1" t="str">
        <f t="shared" ref="J3716:J3725" si="1220">"3"</f>
        <v>3</v>
      </c>
      <c r="K3716" s="1">
        <v>3</v>
      </c>
      <c r="L3716" s="1" t="s">
        <v>30</v>
      </c>
      <c r="M3716" s="1" t="str">
        <f>"山东省 青岛市 市南区 "</f>
        <v xml:space="preserve">山东省 青岛市 市南区 </v>
      </c>
      <c r="N3716" s="1" t="str">
        <f t="shared" si="1216"/>
        <v>凡华云仓-城南圆通-微信视频号</v>
      </c>
      <c r="O3716" s="5" t="s">
        <v>3748</v>
      </c>
      <c r="P3716" s="6">
        <v>0.34</v>
      </c>
      <c r="Q3716" s="11">
        <v>2.2999999999999998</v>
      </c>
      <c r="R3716" s="11"/>
      <c r="S3716" s="11"/>
      <c r="T3716" s="11"/>
      <c r="U3716" s="11">
        <f t="shared" si="1219"/>
        <v>2.2999999999999998</v>
      </c>
      <c r="W3716">
        <v>2.5</v>
      </c>
      <c r="X3716" s="1" t="s">
        <v>30</v>
      </c>
    </row>
    <row r="3717" spans="1:24" x14ac:dyDescent="0.25">
      <c r="A3717" s="1" t="str">
        <f t="shared" ref="A3717:A3780" si="1221">"卡卡杜-凤凰仓"</f>
        <v>卡卡杜-凤凰仓</v>
      </c>
      <c r="B3717" s="1" t="str">
        <f>"CK20241022116"</f>
        <v>CK20241022116</v>
      </c>
      <c r="C3717" s="1" t="str">
        <f>"DD2024102253669"</f>
        <v>DD2024102253669</v>
      </c>
      <c r="D3717" s="1" t="str">
        <f>"CK2024102251182"</f>
        <v>CK2024102251182</v>
      </c>
      <c r="E3717" s="1" t="str">
        <f>"3723480035302966528"</f>
        <v>3723480035302966528</v>
      </c>
      <c r="F3717" s="1" t="str">
        <f t="shared" ref="F3717:F3780" si="1222">"花都四部-凤凰仓"</f>
        <v>花都四部-凤凰仓</v>
      </c>
      <c r="G3717" s="1" t="str">
        <f t="shared" si="1215"/>
        <v>卡卡杜企业店（视频号）</v>
      </c>
      <c r="H3717" s="1" t="str">
        <f t="shared" ref="H3717:H3780" si="1223">"正常订单"</f>
        <v>正常订单</v>
      </c>
      <c r="I3717" s="1" t="str">
        <f t="shared" ref="I3717:I3780" si="1224">"已发货"</f>
        <v>已发货</v>
      </c>
      <c r="J3717" s="1" t="str">
        <f t="shared" si="1220"/>
        <v>3</v>
      </c>
      <c r="K3717" s="1">
        <v>3</v>
      </c>
      <c r="L3717" s="1" t="s">
        <v>47</v>
      </c>
      <c r="M3717" s="1" t="str">
        <f>"重庆 重庆市 巴南区 "</f>
        <v xml:space="preserve">重庆 重庆市 巴南区 </v>
      </c>
      <c r="N3717" s="1" t="str">
        <f t="shared" si="1216"/>
        <v>凡华云仓-城南圆通-微信视频号</v>
      </c>
      <c r="O3717" s="5" t="s">
        <v>3749</v>
      </c>
      <c r="P3717" s="6">
        <v>0.34</v>
      </c>
      <c r="Q3717" s="11">
        <v>2.2999999999999998</v>
      </c>
      <c r="R3717" s="11"/>
      <c r="S3717" s="11"/>
      <c r="T3717" s="11"/>
      <c r="U3717" s="11">
        <f t="shared" si="1219"/>
        <v>2.2999999999999998</v>
      </c>
      <c r="W3717">
        <v>2.5</v>
      </c>
      <c r="X3717" s="1" t="s">
        <v>47</v>
      </c>
    </row>
    <row r="3718" spans="1:24" x14ac:dyDescent="0.25">
      <c r="A3718" s="1" t="str">
        <f t="shared" si="1221"/>
        <v>卡卡杜-凤凰仓</v>
      </c>
      <c r="B3718" s="1" t="str">
        <f>"CK2024102205"</f>
        <v>CK2024102205</v>
      </c>
      <c r="C3718" s="1" t="str">
        <f>"DD2024102253554"</f>
        <v>DD2024102253554</v>
      </c>
      <c r="D3718" s="1" t="str">
        <f>"CK2024102251181"</f>
        <v>CK2024102251181</v>
      </c>
      <c r="E3718" s="1" t="str">
        <f>"3723480035320268288"</f>
        <v>3723480035320268288</v>
      </c>
      <c r="F3718" s="1" t="str">
        <f t="shared" si="1222"/>
        <v>花都四部-凤凰仓</v>
      </c>
      <c r="G3718" s="1" t="str">
        <f t="shared" si="1215"/>
        <v>卡卡杜企业店（视频号）</v>
      </c>
      <c r="H3718" s="1" t="str">
        <f t="shared" si="1223"/>
        <v>正常订单</v>
      </c>
      <c r="I3718" s="1" t="str">
        <f t="shared" si="1224"/>
        <v>已发货</v>
      </c>
      <c r="J3718" s="1" t="str">
        <f>"5"</f>
        <v>5</v>
      </c>
      <c r="K3718" s="1">
        <v>3</v>
      </c>
      <c r="L3718" s="1" t="s">
        <v>13</v>
      </c>
      <c r="M3718" s="1" t="str">
        <f>"江苏省 苏州市 张家港市 "</f>
        <v xml:space="preserve">江苏省 苏州市 张家港市 </v>
      </c>
      <c r="N3718" s="1" t="str">
        <f t="shared" si="1216"/>
        <v>凡华云仓-城南圆通-微信视频号</v>
      </c>
      <c r="O3718" s="5" t="s">
        <v>3750</v>
      </c>
      <c r="P3718" s="6">
        <v>0.56000000000000005</v>
      </c>
      <c r="Q3718" s="11">
        <f>CEILING(P3718-0.5,0.1)*10*0.15+2.3</f>
        <v>2.4499999999999997</v>
      </c>
      <c r="R3718" s="11"/>
      <c r="S3718" s="11"/>
      <c r="T3718" s="11"/>
      <c r="U3718" s="11">
        <f t="shared" si="1219"/>
        <v>2.4499999999999997</v>
      </c>
      <c r="V3718" t="s">
        <v>15</v>
      </c>
      <c r="W3718">
        <v>2.4500000000000002</v>
      </c>
      <c r="X3718" s="1" t="s">
        <v>13</v>
      </c>
    </row>
    <row r="3719" spans="1:24" x14ac:dyDescent="0.25">
      <c r="A3719" s="1" t="str">
        <f t="shared" si="1221"/>
        <v>卡卡杜-凤凰仓</v>
      </c>
      <c r="B3719" s="1" t="str">
        <f>"CK20241022115"</f>
        <v>CK20241022115</v>
      </c>
      <c r="C3719" s="1" t="str">
        <f>"DD2024102253667"</f>
        <v>DD2024102253667</v>
      </c>
      <c r="D3719" s="1" t="str">
        <f>"CK2024102251180"</f>
        <v>CK2024102251180</v>
      </c>
      <c r="E3719" s="1" t="str">
        <f>"3723480037996758528"</f>
        <v>3723480037996758528</v>
      </c>
      <c r="F3719" s="1" t="str">
        <f t="shared" si="1222"/>
        <v>花都四部-凤凰仓</v>
      </c>
      <c r="G3719" s="1" t="str">
        <f t="shared" si="1215"/>
        <v>卡卡杜企业店（视频号）</v>
      </c>
      <c r="H3719" s="1" t="str">
        <f t="shared" si="1223"/>
        <v>正常订单</v>
      </c>
      <c r="I3719" s="1" t="str">
        <f t="shared" si="1224"/>
        <v>已发货</v>
      </c>
      <c r="J3719" s="1" t="str">
        <f t="shared" si="1220"/>
        <v>3</v>
      </c>
      <c r="K3719" s="1">
        <v>3</v>
      </c>
      <c r="L3719" s="1" t="s">
        <v>13</v>
      </c>
      <c r="M3719" s="1" t="str">
        <f>"江苏省 常州市 钟楼区 "</f>
        <v xml:space="preserve">江苏省 常州市 钟楼区 </v>
      </c>
      <c r="N3719" s="1" t="str">
        <f t="shared" si="1216"/>
        <v>凡华云仓-城南圆通-微信视频号</v>
      </c>
      <c r="O3719" s="5" t="s">
        <v>3751</v>
      </c>
      <c r="P3719" s="6">
        <v>0.34</v>
      </c>
      <c r="Q3719" s="11">
        <v>2.2999999999999998</v>
      </c>
      <c r="R3719" s="11"/>
      <c r="S3719" s="11"/>
      <c r="T3719" s="11"/>
      <c r="U3719" s="11">
        <f t="shared" si="1219"/>
        <v>2.2999999999999998</v>
      </c>
      <c r="W3719">
        <v>2.5</v>
      </c>
      <c r="X3719" s="1" t="s">
        <v>13</v>
      </c>
    </row>
    <row r="3720" spans="1:24" x14ac:dyDescent="0.25">
      <c r="A3720" s="1" t="str">
        <f t="shared" si="1221"/>
        <v>卡卡杜-凤凰仓</v>
      </c>
      <c r="B3720" s="1" t="str">
        <f>"CK20241022121"</f>
        <v>CK20241022121</v>
      </c>
      <c r="C3720" s="1" t="str">
        <f>"DD2024102253673"</f>
        <v>DD2024102253673</v>
      </c>
      <c r="D3720" s="1" t="str">
        <f>"CK2024102251179"</f>
        <v>CK2024102251179</v>
      </c>
      <c r="E3720" s="1" t="str">
        <f>"3723480035005698048"</f>
        <v>3723480035005698048</v>
      </c>
      <c r="F3720" s="1" t="str">
        <f t="shared" si="1222"/>
        <v>花都四部-凤凰仓</v>
      </c>
      <c r="G3720" s="1" t="str">
        <f t="shared" si="1215"/>
        <v>卡卡杜企业店（视频号）</v>
      </c>
      <c r="H3720" s="1" t="str">
        <f t="shared" si="1223"/>
        <v>正常订单</v>
      </c>
      <c r="I3720" s="1" t="str">
        <f t="shared" si="1224"/>
        <v>已发货</v>
      </c>
      <c r="J3720" s="1" t="str">
        <f t="shared" si="1220"/>
        <v>3</v>
      </c>
      <c r="K3720" s="1">
        <v>3</v>
      </c>
      <c r="L3720" s="1" t="s">
        <v>13</v>
      </c>
      <c r="M3720" s="1" t="str">
        <f>"江苏省 南京市 浦口区 "</f>
        <v xml:space="preserve">江苏省 南京市 浦口区 </v>
      </c>
      <c r="N3720" s="1" t="str">
        <f t="shared" si="1216"/>
        <v>凡华云仓-城南圆通-微信视频号</v>
      </c>
      <c r="O3720" s="5" t="s">
        <v>3752</v>
      </c>
      <c r="P3720" s="6">
        <v>0.34</v>
      </c>
      <c r="Q3720" s="11">
        <v>2.2999999999999998</v>
      </c>
      <c r="R3720" s="11"/>
      <c r="S3720" s="11"/>
      <c r="T3720" s="11"/>
      <c r="U3720" s="11">
        <f t="shared" si="1219"/>
        <v>2.2999999999999998</v>
      </c>
      <c r="W3720">
        <v>2.5</v>
      </c>
      <c r="X3720" s="1" t="s">
        <v>13</v>
      </c>
    </row>
    <row r="3721" spans="1:24" x14ac:dyDescent="0.25">
      <c r="A3721" s="1" t="str">
        <f t="shared" si="1221"/>
        <v>卡卡杜-凤凰仓</v>
      </c>
      <c r="B3721" s="1" t="str">
        <f>"CK20241022117"</f>
        <v>CK20241022117</v>
      </c>
      <c r="C3721" s="1" t="str">
        <f>"DD2024102253668"</f>
        <v>DD2024102253668</v>
      </c>
      <c r="D3721" s="1" t="str">
        <f>"CK2024102251178"</f>
        <v>CK2024102251178</v>
      </c>
      <c r="E3721" s="1" t="str">
        <f>"3723480025557241856"</f>
        <v>3723480025557241856</v>
      </c>
      <c r="F3721" s="1" t="str">
        <f t="shared" si="1222"/>
        <v>花都四部-凤凰仓</v>
      </c>
      <c r="G3721" s="1" t="str">
        <f t="shared" si="1215"/>
        <v>卡卡杜企业店（视频号）</v>
      </c>
      <c r="H3721" s="1" t="str">
        <f t="shared" si="1223"/>
        <v>正常订单</v>
      </c>
      <c r="I3721" s="1" t="str">
        <f t="shared" si="1224"/>
        <v>已发货</v>
      </c>
      <c r="J3721" s="1" t="str">
        <f t="shared" si="1220"/>
        <v>3</v>
      </c>
      <c r="K3721" s="1">
        <v>3</v>
      </c>
      <c r="L3721" s="1" t="s">
        <v>74</v>
      </c>
      <c r="M3721" s="1" t="str">
        <f>"上海 上海市 虹口区 "</f>
        <v xml:space="preserve">上海 上海市 虹口区 </v>
      </c>
      <c r="N3721" s="1" t="str">
        <f t="shared" si="1216"/>
        <v>凡华云仓-城南圆通-微信视频号</v>
      </c>
      <c r="O3721" s="5" t="s">
        <v>3753</v>
      </c>
      <c r="P3721" s="6">
        <v>0.34</v>
      </c>
      <c r="Q3721" s="11">
        <v>2.2999999999999998</v>
      </c>
      <c r="R3721" s="11"/>
      <c r="S3721" s="11"/>
      <c r="T3721" s="11"/>
      <c r="U3721" s="11">
        <f t="shared" si="1219"/>
        <v>2.2999999999999998</v>
      </c>
      <c r="W3721">
        <v>2.5</v>
      </c>
      <c r="X3721" s="1" t="s">
        <v>74</v>
      </c>
    </row>
    <row r="3722" spans="1:24" x14ac:dyDescent="0.25">
      <c r="A3722" s="1" t="str">
        <f t="shared" si="1221"/>
        <v>卡卡杜-凤凰仓</v>
      </c>
      <c r="B3722" s="1" t="str">
        <f>"CK20241022118"</f>
        <v>CK20241022118</v>
      </c>
      <c r="C3722" s="1" t="str">
        <f>"DD2024102253670"</f>
        <v>DD2024102253670</v>
      </c>
      <c r="D3722" s="1" t="str">
        <f>"CK2024102251177"</f>
        <v>CK2024102251177</v>
      </c>
      <c r="E3722" s="1" t="str">
        <f>"3723480035284096000"</f>
        <v>3723480035284096000</v>
      </c>
      <c r="F3722" s="1" t="str">
        <f t="shared" si="1222"/>
        <v>花都四部-凤凰仓</v>
      </c>
      <c r="G3722" s="1" t="str">
        <f t="shared" si="1215"/>
        <v>卡卡杜企业店（视频号）</v>
      </c>
      <c r="H3722" s="1" t="str">
        <f t="shared" si="1223"/>
        <v>正常订单</v>
      </c>
      <c r="I3722" s="1" t="str">
        <f t="shared" si="1224"/>
        <v>已发货</v>
      </c>
      <c r="J3722" s="1" t="str">
        <f t="shared" si="1220"/>
        <v>3</v>
      </c>
      <c r="K3722" s="1">
        <v>3</v>
      </c>
      <c r="L3722" s="1" t="s">
        <v>218</v>
      </c>
      <c r="M3722" s="1" t="str">
        <f>"天津 天津市 静海区 "</f>
        <v xml:space="preserve">天津 天津市 静海区 </v>
      </c>
      <c r="N3722" s="1" t="str">
        <f t="shared" si="1216"/>
        <v>凡华云仓-城南圆通-微信视频号</v>
      </c>
      <c r="O3722" s="5" t="s">
        <v>3754</v>
      </c>
      <c r="P3722" s="6">
        <v>0.34</v>
      </c>
      <c r="Q3722" s="11">
        <v>2.2999999999999998</v>
      </c>
      <c r="R3722" s="11"/>
      <c r="S3722" s="11"/>
      <c r="T3722" s="11"/>
      <c r="U3722" s="11">
        <f t="shared" si="1219"/>
        <v>2.2999999999999998</v>
      </c>
      <c r="W3722">
        <v>2.5</v>
      </c>
      <c r="X3722" s="1" t="s">
        <v>218</v>
      </c>
    </row>
    <row r="3723" spans="1:24" x14ac:dyDescent="0.25">
      <c r="A3723" s="1" t="str">
        <f t="shared" si="1221"/>
        <v>卡卡杜-凤凰仓</v>
      </c>
      <c r="B3723" s="1" t="str">
        <f>"CK20241022119"</f>
        <v>CK20241022119</v>
      </c>
      <c r="C3723" s="1" t="str">
        <f>"DD2024102253671"</f>
        <v>DD2024102253671</v>
      </c>
      <c r="D3723" s="1" t="str">
        <f>"CK2024102251176"</f>
        <v>CK2024102251176</v>
      </c>
      <c r="E3723" s="1" t="str">
        <f>"3723480035522905600"</f>
        <v>3723480035522905600</v>
      </c>
      <c r="F3723" s="1" t="str">
        <f t="shared" si="1222"/>
        <v>花都四部-凤凰仓</v>
      </c>
      <c r="G3723" s="1" t="str">
        <f t="shared" si="1215"/>
        <v>卡卡杜企业店（视频号）</v>
      </c>
      <c r="H3723" s="1" t="str">
        <f t="shared" si="1223"/>
        <v>正常订单</v>
      </c>
      <c r="I3723" s="1" t="str">
        <f t="shared" si="1224"/>
        <v>已发货</v>
      </c>
      <c r="J3723" s="1" t="str">
        <f t="shared" si="1220"/>
        <v>3</v>
      </c>
      <c r="K3723" s="1">
        <v>3</v>
      </c>
      <c r="L3723" s="1" t="s">
        <v>30</v>
      </c>
      <c r="M3723" s="1" t="str">
        <f>"山东省 菏泽市 牡丹区 "</f>
        <v xml:space="preserve">山东省 菏泽市 牡丹区 </v>
      </c>
      <c r="N3723" s="1" t="str">
        <f t="shared" si="1216"/>
        <v>凡华云仓-城南圆通-微信视频号</v>
      </c>
      <c r="O3723" s="5" t="s">
        <v>3755</v>
      </c>
      <c r="P3723" s="6">
        <v>0.34</v>
      </c>
      <c r="Q3723" s="11">
        <v>2.2999999999999998</v>
      </c>
      <c r="R3723" s="11"/>
      <c r="S3723" s="11"/>
      <c r="T3723" s="11"/>
      <c r="U3723" s="11">
        <f t="shared" si="1219"/>
        <v>2.2999999999999998</v>
      </c>
      <c r="W3723">
        <v>2.5</v>
      </c>
      <c r="X3723" s="1" t="s">
        <v>30</v>
      </c>
    </row>
    <row r="3724" spans="1:24" x14ac:dyDescent="0.25">
      <c r="A3724" s="1" t="str">
        <f t="shared" si="1221"/>
        <v>卡卡杜-凤凰仓</v>
      </c>
      <c r="B3724" s="1" t="str">
        <f>"CK20241022120"</f>
        <v>CK20241022120</v>
      </c>
      <c r="C3724" s="1" t="str">
        <f>"DD2024102253672"</f>
        <v>DD2024102253672</v>
      </c>
      <c r="D3724" s="1" t="str">
        <f>"CK2024102251175"</f>
        <v>CK2024102251175</v>
      </c>
      <c r="E3724" s="1" t="str">
        <f>"3723480034762953728"</f>
        <v>3723480034762953728</v>
      </c>
      <c r="F3724" s="1" t="str">
        <f t="shared" si="1222"/>
        <v>花都四部-凤凰仓</v>
      </c>
      <c r="G3724" s="1" t="str">
        <f t="shared" si="1215"/>
        <v>卡卡杜企业店（视频号）</v>
      </c>
      <c r="H3724" s="1" t="str">
        <f t="shared" si="1223"/>
        <v>正常订单</v>
      </c>
      <c r="I3724" s="1" t="str">
        <f t="shared" si="1224"/>
        <v>已发货</v>
      </c>
      <c r="J3724" s="1" t="str">
        <f t="shared" si="1220"/>
        <v>3</v>
      </c>
      <c r="K3724" s="1">
        <v>3</v>
      </c>
      <c r="L3724" s="1" t="s">
        <v>16</v>
      </c>
      <c r="M3724" s="1" t="str">
        <f>"河北省 保定市 定州市 "</f>
        <v xml:space="preserve">河北省 保定市 定州市 </v>
      </c>
      <c r="N3724" s="1" t="str">
        <f t="shared" si="1216"/>
        <v>凡华云仓-城南圆通-微信视频号</v>
      </c>
      <c r="O3724" s="5" t="s">
        <v>3756</v>
      </c>
      <c r="P3724" s="6">
        <v>0.34</v>
      </c>
      <c r="Q3724" s="11">
        <v>2.2999999999999998</v>
      </c>
      <c r="R3724" s="11"/>
      <c r="S3724" s="11"/>
      <c r="T3724" s="11"/>
      <c r="U3724" s="11">
        <f t="shared" si="1219"/>
        <v>2.2999999999999998</v>
      </c>
      <c r="W3724">
        <v>2.5</v>
      </c>
      <c r="X3724" s="1" t="s">
        <v>16</v>
      </c>
    </row>
    <row r="3725" spans="1:24" x14ac:dyDescent="0.25">
      <c r="A3725" s="1" t="str">
        <f t="shared" si="1221"/>
        <v>卡卡杜-凤凰仓</v>
      </c>
      <c r="B3725" s="1" t="str">
        <f>"CK20241022122"</f>
        <v>CK20241022122</v>
      </c>
      <c r="C3725" s="1" t="str">
        <f>"DD2024102253676"</f>
        <v>DD2024102253676</v>
      </c>
      <c r="D3725" s="1" t="str">
        <f>"CK2024102251174"</f>
        <v>CK2024102251174</v>
      </c>
      <c r="E3725" s="1" t="str">
        <f>"3723480035003598336"</f>
        <v>3723480035003598336</v>
      </c>
      <c r="F3725" s="1" t="str">
        <f t="shared" si="1222"/>
        <v>花都四部-凤凰仓</v>
      </c>
      <c r="G3725" s="1" t="str">
        <f t="shared" si="1215"/>
        <v>卡卡杜企业店（视频号）</v>
      </c>
      <c r="H3725" s="1" t="str">
        <f t="shared" si="1223"/>
        <v>正常订单</v>
      </c>
      <c r="I3725" s="1" t="str">
        <f t="shared" si="1224"/>
        <v>已发货</v>
      </c>
      <c r="J3725" s="1" t="str">
        <f t="shared" si="1220"/>
        <v>3</v>
      </c>
      <c r="K3725" s="1">
        <v>3</v>
      </c>
      <c r="L3725" s="1" t="s">
        <v>16</v>
      </c>
      <c r="M3725" s="1" t="str">
        <f>"河北省 沧州市 肃宁县 "</f>
        <v xml:space="preserve">河北省 沧州市 肃宁县 </v>
      </c>
      <c r="N3725" s="1" t="str">
        <f t="shared" si="1216"/>
        <v>凡华云仓-城南圆通-微信视频号</v>
      </c>
      <c r="O3725" s="5" t="s">
        <v>3757</v>
      </c>
      <c r="P3725" s="6">
        <v>0.34</v>
      </c>
      <c r="Q3725" s="11">
        <v>2.2999999999999998</v>
      </c>
      <c r="R3725" s="11"/>
      <c r="S3725" s="11"/>
      <c r="T3725" s="11"/>
      <c r="U3725" s="11">
        <f t="shared" si="1219"/>
        <v>2.2999999999999998</v>
      </c>
      <c r="W3725">
        <v>2.5</v>
      </c>
      <c r="X3725" s="1" t="s">
        <v>16</v>
      </c>
    </row>
    <row r="3726" spans="1:24" x14ac:dyDescent="0.25">
      <c r="A3726" s="1" t="str">
        <f t="shared" si="1221"/>
        <v>卡卡杜-凤凰仓</v>
      </c>
      <c r="B3726" s="1" t="str">
        <f>"CK2024102206"</f>
        <v>CK2024102206</v>
      </c>
      <c r="C3726" s="1" t="str">
        <f>"DD2024102253557"</f>
        <v>DD2024102253557</v>
      </c>
      <c r="D3726" s="1" t="str">
        <f>"CK2024102251173"</f>
        <v>CK2024102251173</v>
      </c>
      <c r="E3726" s="1" t="str">
        <f>"3723480032898583552"</f>
        <v>3723480032898583552</v>
      </c>
      <c r="F3726" s="1" t="str">
        <f t="shared" si="1222"/>
        <v>花都四部-凤凰仓</v>
      </c>
      <c r="G3726" s="1" t="str">
        <f t="shared" ref="G3726:G3789" si="1225">"卡卡杜企业店（视频号）"</f>
        <v>卡卡杜企业店（视频号）</v>
      </c>
      <c r="H3726" s="1" t="str">
        <f t="shared" si="1223"/>
        <v>正常订单</v>
      </c>
      <c r="I3726" s="1" t="str">
        <f t="shared" si="1224"/>
        <v>已发货</v>
      </c>
      <c r="J3726" s="1" t="str">
        <f>"5"</f>
        <v>5</v>
      </c>
      <c r="K3726" s="1">
        <v>3</v>
      </c>
      <c r="L3726" s="1" t="s">
        <v>30</v>
      </c>
      <c r="M3726" s="1" t="str">
        <f>"山东省 济南市 历城区 "</f>
        <v xml:space="preserve">山东省 济南市 历城区 </v>
      </c>
      <c r="N3726" s="1" t="str">
        <f t="shared" ref="N3726:N3789" si="1226">"凡华云仓-城南圆通-微信视频号"</f>
        <v>凡华云仓-城南圆通-微信视频号</v>
      </c>
      <c r="O3726" s="5" t="s">
        <v>3758</v>
      </c>
      <c r="P3726" s="6">
        <v>0.56000000000000005</v>
      </c>
      <c r="Q3726" s="11">
        <f>CEILING(P3726-0.5,0.1)*10*0.15+2.3</f>
        <v>2.4499999999999997</v>
      </c>
      <c r="R3726" s="11"/>
      <c r="S3726" s="11"/>
      <c r="T3726" s="11"/>
      <c r="U3726" s="11">
        <f t="shared" si="1219"/>
        <v>2.4499999999999997</v>
      </c>
      <c r="V3726" t="s">
        <v>15</v>
      </c>
      <c r="W3726">
        <v>2.4500000000000002</v>
      </c>
      <c r="X3726" s="1" t="s">
        <v>30</v>
      </c>
    </row>
    <row r="3727" spans="1:24" x14ac:dyDescent="0.25">
      <c r="A3727" s="1" t="str">
        <f t="shared" si="1221"/>
        <v>卡卡杜-凤凰仓</v>
      </c>
      <c r="B3727" s="1" t="str">
        <f>"CK20241022461"</f>
        <v>CK20241022461</v>
      </c>
      <c r="C3727" s="1" t="str">
        <f>"DD2024102255469"</f>
        <v>DD2024102255469</v>
      </c>
      <c r="D3727" s="1" t="str">
        <f>"CK2024102251172"</f>
        <v>CK2024102251172</v>
      </c>
      <c r="E3727" s="1" t="str">
        <f>"3723480033940344832"</f>
        <v>3723480033940344832</v>
      </c>
      <c r="F3727" s="1" t="str">
        <f t="shared" si="1222"/>
        <v>花都四部-凤凰仓</v>
      </c>
      <c r="G3727" s="1" t="str">
        <f t="shared" si="1225"/>
        <v>卡卡杜企业店（视频号）</v>
      </c>
      <c r="H3727" s="1" t="str">
        <f t="shared" si="1223"/>
        <v>正常订单</v>
      </c>
      <c r="I3727" s="1" t="str">
        <f t="shared" si="1224"/>
        <v>已发货</v>
      </c>
      <c r="J3727" s="1" t="str">
        <f t="shared" ref="J3727:J3743" si="1227">"3"</f>
        <v>3</v>
      </c>
      <c r="K3727" s="1">
        <v>3</v>
      </c>
      <c r="L3727" s="1" t="s">
        <v>27</v>
      </c>
      <c r="M3727" s="1" t="str">
        <f>"贵州省 贵阳市 云岩区 "</f>
        <v xml:space="preserve">贵州省 贵阳市 云岩区 </v>
      </c>
      <c r="N3727" s="1" t="str">
        <f t="shared" si="1226"/>
        <v>凡华云仓-城南圆通-微信视频号</v>
      </c>
      <c r="O3727" s="5" t="s">
        <v>3759</v>
      </c>
      <c r="P3727" s="6">
        <v>0.34</v>
      </c>
      <c r="Q3727" s="11">
        <v>2.2999999999999998</v>
      </c>
      <c r="R3727" s="11"/>
      <c r="S3727" s="11"/>
      <c r="T3727" s="11"/>
      <c r="U3727" s="11">
        <f t="shared" si="1219"/>
        <v>2.2999999999999998</v>
      </c>
      <c r="W3727">
        <v>2.5</v>
      </c>
      <c r="X3727" s="1" t="s">
        <v>27</v>
      </c>
    </row>
    <row r="3728" spans="1:24" x14ac:dyDescent="0.25">
      <c r="A3728" s="1" t="str">
        <f t="shared" si="1221"/>
        <v>卡卡杜-凤凰仓</v>
      </c>
      <c r="B3728" s="1" t="str">
        <f>"CK20241022124"</f>
        <v>CK20241022124</v>
      </c>
      <c r="C3728" s="1" t="str">
        <f>"DD2024102253674"</f>
        <v>DD2024102253674</v>
      </c>
      <c r="D3728" s="1" t="str">
        <f>"CK2024102251171"</f>
        <v>CK2024102251171</v>
      </c>
      <c r="E3728" s="1" t="str">
        <f>"3723480034673559040"</f>
        <v>3723480034673559040</v>
      </c>
      <c r="F3728" s="1" t="str">
        <f t="shared" si="1222"/>
        <v>花都四部-凤凰仓</v>
      </c>
      <c r="G3728" s="1" t="str">
        <f t="shared" si="1225"/>
        <v>卡卡杜企业店（视频号）</v>
      </c>
      <c r="H3728" s="1" t="str">
        <f t="shared" si="1223"/>
        <v>正常订单</v>
      </c>
      <c r="I3728" s="1" t="str">
        <f t="shared" si="1224"/>
        <v>已发货</v>
      </c>
      <c r="J3728" s="1" t="str">
        <f t="shared" si="1227"/>
        <v>3</v>
      </c>
      <c r="K3728" s="1">
        <v>3</v>
      </c>
      <c r="L3728" s="1" t="s">
        <v>30</v>
      </c>
      <c r="M3728" s="1" t="str">
        <f>"山东省 济南市 天桥区 "</f>
        <v xml:space="preserve">山东省 济南市 天桥区 </v>
      </c>
      <c r="N3728" s="1" t="str">
        <f t="shared" si="1226"/>
        <v>凡华云仓-城南圆通-微信视频号</v>
      </c>
      <c r="O3728" s="5" t="s">
        <v>3760</v>
      </c>
      <c r="P3728" s="6">
        <v>0.34</v>
      </c>
      <c r="Q3728" s="11">
        <v>2.2999999999999998</v>
      </c>
      <c r="R3728" s="11"/>
      <c r="S3728" s="11"/>
      <c r="T3728" s="11"/>
      <c r="U3728" s="11">
        <f t="shared" si="1219"/>
        <v>2.2999999999999998</v>
      </c>
      <c r="W3728">
        <v>2.5</v>
      </c>
      <c r="X3728" s="1" t="s">
        <v>30</v>
      </c>
    </row>
    <row r="3729" spans="1:24" x14ac:dyDescent="0.25">
      <c r="A3729" s="1" t="str">
        <f t="shared" si="1221"/>
        <v>卡卡杜-凤凰仓</v>
      </c>
      <c r="B3729" s="1" t="str">
        <f>"CK20241022125"</f>
        <v>CK20241022125</v>
      </c>
      <c r="C3729" s="1" t="str">
        <f>"DD2024102253677"</f>
        <v>DD2024102253677</v>
      </c>
      <c r="D3729" s="1" t="str">
        <f>"CK2024102251170"</f>
        <v>CK2024102251170</v>
      </c>
      <c r="E3729" s="1" t="str">
        <f>"3723480035011986944"</f>
        <v>3723480035011986944</v>
      </c>
      <c r="F3729" s="1" t="str">
        <f t="shared" si="1222"/>
        <v>花都四部-凤凰仓</v>
      </c>
      <c r="G3729" s="1" t="str">
        <f t="shared" si="1225"/>
        <v>卡卡杜企业店（视频号）</v>
      </c>
      <c r="H3729" s="1" t="str">
        <f t="shared" si="1223"/>
        <v>正常订单</v>
      </c>
      <c r="I3729" s="1" t="str">
        <f t="shared" si="1224"/>
        <v>已发货</v>
      </c>
      <c r="J3729" s="1" t="str">
        <f t="shared" si="1227"/>
        <v>3</v>
      </c>
      <c r="K3729" s="1">
        <v>3</v>
      </c>
      <c r="L3729" s="1" t="s">
        <v>30</v>
      </c>
      <c r="M3729" s="1" t="str">
        <f>"山东省 济南市 市中区 "</f>
        <v xml:space="preserve">山东省 济南市 市中区 </v>
      </c>
      <c r="N3729" s="1" t="str">
        <f t="shared" si="1226"/>
        <v>凡华云仓-城南圆通-微信视频号</v>
      </c>
      <c r="O3729" s="5" t="s">
        <v>3761</v>
      </c>
      <c r="P3729" s="6">
        <v>0.34</v>
      </c>
      <c r="Q3729" s="11">
        <v>2.2999999999999998</v>
      </c>
      <c r="R3729" s="11"/>
      <c r="S3729" s="11"/>
      <c r="T3729" s="11"/>
      <c r="U3729" s="11">
        <f t="shared" si="1219"/>
        <v>2.2999999999999998</v>
      </c>
      <c r="W3729">
        <v>2.5</v>
      </c>
      <c r="X3729" s="1" t="s">
        <v>30</v>
      </c>
    </row>
    <row r="3730" spans="1:24" x14ac:dyDescent="0.25">
      <c r="A3730" s="1" t="str">
        <f t="shared" si="1221"/>
        <v>卡卡杜-凤凰仓</v>
      </c>
      <c r="B3730" s="1" t="str">
        <f>"CK20241022129"</f>
        <v>CK20241022129</v>
      </c>
      <c r="C3730" s="1" t="str">
        <f>"DD2024102253682"</f>
        <v>DD2024102253682</v>
      </c>
      <c r="D3730" s="1" t="str">
        <f>"CK2024102251169"</f>
        <v>CK2024102251169</v>
      </c>
      <c r="E3730" s="1" t="str">
        <f>"3723480023307781376"</f>
        <v>3723480023307781376</v>
      </c>
      <c r="F3730" s="1" t="str">
        <f t="shared" si="1222"/>
        <v>花都四部-凤凰仓</v>
      </c>
      <c r="G3730" s="1" t="str">
        <f t="shared" si="1225"/>
        <v>卡卡杜企业店（视频号）</v>
      </c>
      <c r="H3730" s="1" t="str">
        <f t="shared" si="1223"/>
        <v>正常订单</v>
      </c>
      <c r="I3730" s="1" t="str">
        <f t="shared" si="1224"/>
        <v>已发货</v>
      </c>
      <c r="J3730" s="1" t="str">
        <f t="shared" si="1227"/>
        <v>3</v>
      </c>
      <c r="K3730" s="1">
        <v>3</v>
      </c>
      <c r="L3730" s="1" t="s">
        <v>92</v>
      </c>
      <c r="M3730" s="1" t="str">
        <f>"辽宁省 抚顺市 东洲区 "</f>
        <v xml:space="preserve">辽宁省 抚顺市 东洲区 </v>
      </c>
      <c r="N3730" s="1" t="str">
        <f t="shared" si="1226"/>
        <v>凡华云仓-城南圆通-微信视频号</v>
      </c>
      <c r="O3730" s="5" t="s">
        <v>3762</v>
      </c>
      <c r="P3730" s="6">
        <v>0.34</v>
      </c>
      <c r="Q3730" s="11">
        <v>2.2999999999999998</v>
      </c>
      <c r="R3730" s="11"/>
      <c r="S3730" s="11"/>
      <c r="T3730" s="11"/>
      <c r="U3730" s="11">
        <f t="shared" si="1219"/>
        <v>2.2999999999999998</v>
      </c>
      <c r="W3730">
        <v>2.5</v>
      </c>
      <c r="X3730" s="1" t="s">
        <v>92</v>
      </c>
    </row>
    <row r="3731" spans="1:24" x14ac:dyDescent="0.25">
      <c r="A3731" s="1" t="str">
        <f t="shared" si="1221"/>
        <v>卡卡杜-凤凰仓</v>
      </c>
      <c r="B3731" s="1" t="str">
        <f>"CK20241022131"</f>
        <v>CK20241022131</v>
      </c>
      <c r="C3731" s="1" t="str">
        <f>"DD2024102253683"</f>
        <v>DD2024102253683</v>
      </c>
      <c r="D3731" s="1" t="str">
        <f>"CK2024102251168"</f>
        <v>CK2024102251168</v>
      </c>
      <c r="E3731" s="1" t="str">
        <f>"3723480029963619328"</f>
        <v>3723480029963619328</v>
      </c>
      <c r="F3731" s="1" t="str">
        <f t="shared" si="1222"/>
        <v>花都四部-凤凰仓</v>
      </c>
      <c r="G3731" s="1" t="str">
        <f t="shared" si="1225"/>
        <v>卡卡杜企业店（视频号）</v>
      </c>
      <c r="H3731" s="1" t="str">
        <f t="shared" si="1223"/>
        <v>正常订单</v>
      </c>
      <c r="I3731" s="1" t="str">
        <f t="shared" si="1224"/>
        <v>已发货</v>
      </c>
      <c r="J3731" s="1" t="str">
        <f t="shared" si="1227"/>
        <v>3</v>
      </c>
      <c r="K3731" s="1">
        <v>3</v>
      </c>
      <c r="L3731" s="1" t="s">
        <v>92</v>
      </c>
      <c r="M3731" s="1" t="str">
        <f>"辽宁省 沈阳市 浑南区 "</f>
        <v xml:space="preserve">辽宁省 沈阳市 浑南区 </v>
      </c>
      <c r="N3731" s="1" t="str">
        <f t="shared" si="1226"/>
        <v>凡华云仓-城南圆通-微信视频号</v>
      </c>
      <c r="O3731" s="5" t="s">
        <v>3763</v>
      </c>
      <c r="P3731" s="6">
        <v>0.34</v>
      </c>
      <c r="Q3731" s="11">
        <v>2.2999999999999998</v>
      </c>
      <c r="R3731" s="11"/>
      <c r="S3731" s="11"/>
      <c r="T3731" s="11"/>
      <c r="U3731" s="11">
        <f t="shared" si="1219"/>
        <v>2.2999999999999998</v>
      </c>
      <c r="W3731">
        <v>2.5</v>
      </c>
      <c r="X3731" s="1" t="s">
        <v>92</v>
      </c>
    </row>
    <row r="3732" spans="1:24" x14ac:dyDescent="0.25">
      <c r="A3732" s="1" t="str">
        <f t="shared" si="1221"/>
        <v>卡卡杜-凤凰仓</v>
      </c>
      <c r="B3732" s="1" t="str">
        <f>"CK20241022126"</f>
        <v>CK20241022126</v>
      </c>
      <c r="C3732" s="1" t="str">
        <f>"DD2024102253678"</f>
        <v>DD2024102253678</v>
      </c>
      <c r="D3732" s="1" t="str">
        <f>"CK2024102251167"</f>
        <v>CK2024102251167</v>
      </c>
      <c r="E3732" s="1" t="str">
        <f>"3723480034300790272"</f>
        <v>3723480034300790272</v>
      </c>
      <c r="F3732" s="1" t="str">
        <f t="shared" si="1222"/>
        <v>花都四部-凤凰仓</v>
      </c>
      <c r="G3732" s="1" t="str">
        <f t="shared" si="1225"/>
        <v>卡卡杜企业店（视频号）</v>
      </c>
      <c r="H3732" s="1" t="str">
        <f t="shared" si="1223"/>
        <v>正常订单</v>
      </c>
      <c r="I3732" s="1" t="str">
        <f t="shared" si="1224"/>
        <v>已发货</v>
      </c>
      <c r="J3732" s="1" t="str">
        <f t="shared" si="1227"/>
        <v>3</v>
      </c>
      <c r="K3732" s="1">
        <v>3</v>
      </c>
      <c r="L3732" s="1" t="s">
        <v>80</v>
      </c>
      <c r="M3732" s="1" t="str">
        <f>"河南省 商丘市 睢县 "</f>
        <v xml:space="preserve">河南省 商丘市 睢县 </v>
      </c>
      <c r="N3732" s="1" t="str">
        <f t="shared" si="1226"/>
        <v>凡华云仓-城南圆通-微信视频号</v>
      </c>
      <c r="O3732" s="5" t="s">
        <v>3764</v>
      </c>
      <c r="P3732" s="6">
        <v>0.34</v>
      </c>
      <c r="Q3732" s="11">
        <v>2.2999999999999998</v>
      </c>
      <c r="R3732" s="11"/>
      <c r="S3732" s="11"/>
      <c r="T3732" s="11"/>
      <c r="U3732" s="11">
        <f t="shared" si="1219"/>
        <v>2.2999999999999998</v>
      </c>
      <c r="W3732">
        <v>2.5</v>
      </c>
      <c r="X3732" s="1" t="s">
        <v>80</v>
      </c>
    </row>
    <row r="3733" spans="1:24" x14ac:dyDescent="0.25">
      <c r="A3733" s="1" t="str">
        <f t="shared" si="1221"/>
        <v>卡卡杜-凤凰仓</v>
      </c>
      <c r="B3733" s="1" t="str">
        <f>"CK20241022127"</f>
        <v>CK20241022127</v>
      </c>
      <c r="C3733" s="1" t="str">
        <f>"DD2024102253679"</f>
        <v>DD2024102253679</v>
      </c>
      <c r="D3733" s="1" t="str">
        <f>"CK2024102251166"</f>
        <v>CK2024102251166</v>
      </c>
      <c r="E3733" s="1" t="str">
        <f>"3723480033089687552"</f>
        <v>3723480033089687552</v>
      </c>
      <c r="F3733" s="1" t="str">
        <f t="shared" si="1222"/>
        <v>花都四部-凤凰仓</v>
      </c>
      <c r="G3733" s="1" t="str">
        <f t="shared" si="1225"/>
        <v>卡卡杜企业店（视频号）</v>
      </c>
      <c r="H3733" s="1" t="str">
        <f t="shared" si="1223"/>
        <v>正常订单</v>
      </c>
      <c r="I3733" s="1" t="str">
        <f t="shared" si="1224"/>
        <v>已发货</v>
      </c>
      <c r="J3733" s="1" t="str">
        <f t="shared" si="1227"/>
        <v>3</v>
      </c>
      <c r="K3733" s="1">
        <v>3</v>
      </c>
      <c r="L3733" s="1" t="s">
        <v>66</v>
      </c>
      <c r="M3733" s="1" t="str">
        <f>"内蒙古自治区 呼和浩特市 清水河县 "</f>
        <v xml:space="preserve">内蒙古自治区 呼和浩特市 清水河县 </v>
      </c>
      <c r="N3733" s="1" t="str">
        <f t="shared" si="1226"/>
        <v>凡华云仓-城南圆通-微信视频号</v>
      </c>
      <c r="O3733" s="5" t="s">
        <v>3765</v>
      </c>
      <c r="P3733" s="6">
        <v>0.34</v>
      </c>
      <c r="Q3733" s="11">
        <v>2.2999999999999998</v>
      </c>
      <c r="R3733" s="11"/>
      <c r="S3733" s="11"/>
      <c r="T3733" s="11"/>
      <c r="U3733" s="11">
        <f t="shared" si="1219"/>
        <v>2.2999999999999998</v>
      </c>
      <c r="W3733">
        <v>2.5</v>
      </c>
      <c r="X3733" s="1" t="s">
        <v>66</v>
      </c>
    </row>
    <row r="3734" spans="1:24" x14ac:dyDescent="0.25">
      <c r="A3734" s="1" t="str">
        <f t="shared" si="1221"/>
        <v>卡卡杜-凤凰仓</v>
      </c>
      <c r="B3734" s="1" t="str">
        <f>"CK20241022128"</f>
        <v>CK20241022128</v>
      </c>
      <c r="C3734" s="1" t="str">
        <f>"DD2024102253680"</f>
        <v>DD2024102253680</v>
      </c>
      <c r="D3734" s="1" t="str">
        <f>"CK2024102251165"</f>
        <v>CK2024102251165</v>
      </c>
      <c r="E3734" s="1" t="str">
        <f>"3723480033242514688"</f>
        <v>3723480033242514688</v>
      </c>
      <c r="F3734" s="1" t="str">
        <f t="shared" si="1222"/>
        <v>花都四部-凤凰仓</v>
      </c>
      <c r="G3734" s="1" t="str">
        <f t="shared" si="1225"/>
        <v>卡卡杜企业店（视频号）</v>
      </c>
      <c r="H3734" s="1" t="str">
        <f t="shared" si="1223"/>
        <v>正常订单</v>
      </c>
      <c r="I3734" s="1" t="str">
        <f t="shared" si="1224"/>
        <v>已发货</v>
      </c>
      <c r="J3734" s="1" t="str">
        <f t="shared" si="1227"/>
        <v>3</v>
      </c>
      <c r="K3734" s="1">
        <v>3</v>
      </c>
      <c r="L3734" s="1" t="s">
        <v>187</v>
      </c>
      <c r="M3734" s="1" t="str">
        <f>"吉林省 吉林市 磐石市 "</f>
        <v xml:space="preserve">吉林省 吉林市 磐石市 </v>
      </c>
      <c r="N3734" s="1" t="str">
        <f t="shared" si="1226"/>
        <v>凡华云仓-城南圆通-微信视频号</v>
      </c>
      <c r="O3734" s="5" t="s">
        <v>3766</v>
      </c>
      <c r="P3734" s="6">
        <v>0.34</v>
      </c>
      <c r="Q3734" s="11">
        <v>2.2999999999999998</v>
      </c>
      <c r="R3734" s="11"/>
      <c r="S3734" s="11"/>
      <c r="T3734" s="11"/>
      <c r="U3734" s="11">
        <f t="shared" si="1219"/>
        <v>2.2999999999999998</v>
      </c>
      <c r="W3734">
        <v>2.5</v>
      </c>
      <c r="X3734" s="1" t="s">
        <v>187</v>
      </c>
    </row>
    <row r="3735" spans="1:24" x14ac:dyDescent="0.25">
      <c r="A3735" s="1" t="str">
        <f t="shared" si="1221"/>
        <v>卡卡杜-凤凰仓</v>
      </c>
      <c r="B3735" s="1" t="str">
        <f>"CK20241022130"</f>
        <v>CK20241022130</v>
      </c>
      <c r="C3735" s="1" t="str">
        <f>"DD2024102253681"</f>
        <v>DD2024102253681</v>
      </c>
      <c r="D3735" s="1" t="str">
        <f>"CK2024102251164"</f>
        <v>CK2024102251164</v>
      </c>
      <c r="E3735" s="1" t="str">
        <f>"3723480031863113216"</f>
        <v>3723480031863113216</v>
      </c>
      <c r="F3735" s="1" t="str">
        <f t="shared" si="1222"/>
        <v>花都四部-凤凰仓</v>
      </c>
      <c r="G3735" s="1" t="str">
        <f t="shared" si="1225"/>
        <v>卡卡杜企业店（视频号）</v>
      </c>
      <c r="H3735" s="1" t="str">
        <f t="shared" si="1223"/>
        <v>正常订单</v>
      </c>
      <c r="I3735" s="1" t="str">
        <f t="shared" si="1224"/>
        <v>已发货</v>
      </c>
      <c r="J3735" s="1" t="str">
        <f t="shared" si="1227"/>
        <v>3</v>
      </c>
      <c r="K3735" s="1">
        <v>3</v>
      </c>
      <c r="L3735" s="1" t="s">
        <v>30</v>
      </c>
      <c r="M3735" s="1" t="str">
        <f>"山东省 日照市 莒县 "</f>
        <v xml:space="preserve">山东省 日照市 莒县 </v>
      </c>
      <c r="N3735" s="1" t="str">
        <f t="shared" si="1226"/>
        <v>凡华云仓-城南圆通-微信视频号</v>
      </c>
      <c r="O3735" s="5" t="s">
        <v>3767</v>
      </c>
      <c r="P3735" s="6">
        <v>0.34</v>
      </c>
      <c r="Q3735" s="11">
        <v>2.2999999999999998</v>
      </c>
      <c r="R3735" s="11"/>
      <c r="S3735" s="11"/>
      <c r="T3735" s="11"/>
      <c r="U3735" s="11">
        <f t="shared" si="1219"/>
        <v>2.2999999999999998</v>
      </c>
      <c r="W3735">
        <v>2.5</v>
      </c>
      <c r="X3735" s="1" t="s">
        <v>30</v>
      </c>
    </row>
    <row r="3736" spans="1:24" x14ac:dyDescent="0.25">
      <c r="A3736" s="1" t="str">
        <f t="shared" si="1221"/>
        <v>卡卡杜-凤凰仓</v>
      </c>
      <c r="B3736" s="1" t="str">
        <f>"CK20241022132"</f>
        <v>CK20241022132</v>
      </c>
      <c r="C3736" s="1" t="str">
        <f>"DD2024102253684"</f>
        <v>DD2024102253684</v>
      </c>
      <c r="D3736" s="1" t="str">
        <f>"CK2024102251163"</f>
        <v>CK2024102251163</v>
      </c>
      <c r="E3736" s="1" t="str">
        <f>"3723480032808669184"</f>
        <v>3723480032808669184</v>
      </c>
      <c r="F3736" s="1" t="str">
        <f t="shared" si="1222"/>
        <v>花都四部-凤凰仓</v>
      </c>
      <c r="G3736" s="1" t="str">
        <f t="shared" si="1225"/>
        <v>卡卡杜企业店（视频号）</v>
      </c>
      <c r="H3736" s="1" t="str">
        <f t="shared" si="1223"/>
        <v>正常订单</v>
      </c>
      <c r="I3736" s="1" t="str">
        <f t="shared" si="1224"/>
        <v>已发货</v>
      </c>
      <c r="J3736" s="1" t="str">
        <f t="shared" si="1227"/>
        <v>3</v>
      </c>
      <c r="K3736" s="1">
        <v>3</v>
      </c>
      <c r="L3736" s="1" t="s">
        <v>30</v>
      </c>
      <c r="M3736" s="1" t="str">
        <f>"山东省 青岛市 胶州市 "</f>
        <v xml:space="preserve">山东省 青岛市 胶州市 </v>
      </c>
      <c r="N3736" s="1" t="str">
        <f t="shared" si="1226"/>
        <v>凡华云仓-城南圆通-微信视频号</v>
      </c>
      <c r="O3736" s="5" t="s">
        <v>3768</v>
      </c>
      <c r="P3736" s="6">
        <v>0.34</v>
      </c>
      <c r="Q3736" s="11">
        <v>2.2999999999999998</v>
      </c>
      <c r="R3736" s="11"/>
      <c r="S3736" s="11"/>
      <c r="T3736" s="11"/>
      <c r="U3736" s="11">
        <f t="shared" si="1219"/>
        <v>2.2999999999999998</v>
      </c>
      <c r="W3736">
        <v>2.5</v>
      </c>
      <c r="X3736" s="1" t="s">
        <v>30</v>
      </c>
    </row>
    <row r="3737" spans="1:24" x14ac:dyDescent="0.25">
      <c r="A3737" s="1" t="str">
        <f t="shared" si="1221"/>
        <v>卡卡杜-凤凰仓</v>
      </c>
      <c r="B3737" s="1" t="str">
        <f>"CK20241022133"</f>
        <v>CK20241022133</v>
      </c>
      <c r="C3737" s="1" t="str">
        <f>"DD2024102253685"</f>
        <v>DD2024102253685</v>
      </c>
      <c r="D3737" s="1" t="str">
        <f>"CK2024102251162"</f>
        <v>CK2024102251162</v>
      </c>
      <c r="E3737" s="1" t="str">
        <f>"3723480030676127744"</f>
        <v>3723480030676127744</v>
      </c>
      <c r="F3737" s="1" t="str">
        <f t="shared" si="1222"/>
        <v>花都四部-凤凰仓</v>
      </c>
      <c r="G3737" s="1" t="str">
        <f t="shared" si="1225"/>
        <v>卡卡杜企业店（视频号）</v>
      </c>
      <c r="H3737" s="1" t="str">
        <f t="shared" si="1223"/>
        <v>正常订单</v>
      </c>
      <c r="I3737" s="1" t="str">
        <f t="shared" si="1224"/>
        <v>已发货</v>
      </c>
      <c r="J3737" s="1" t="str">
        <f t="shared" si="1227"/>
        <v>3</v>
      </c>
      <c r="K3737" s="1">
        <v>3</v>
      </c>
      <c r="L3737" s="1" t="s">
        <v>30</v>
      </c>
      <c r="M3737" s="1" t="str">
        <f>"山东省 济南市 市中区 "</f>
        <v xml:space="preserve">山东省 济南市 市中区 </v>
      </c>
      <c r="N3737" s="1" t="str">
        <f t="shared" si="1226"/>
        <v>凡华云仓-城南圆通-微信视频号</v>
      </c>
      <c r="O3737" s="5" t="s">
        <v>3769</v>
      </c>
      <c r="P3737" s="6">
        <v>0.34</v>
      </c>
      <c r="Q3737" s="11">
        <v>2.2999999999999998</v>
      </c>
      <c r="R3737" s="11"/>
      <c r="S3737" s="11"/>
      <c r="T3737" s="11"/>
      <c r="U3737" s="11">
        <f t="shared" si="1219"/>
        <v>2.2999999999999998</v>
      </c>
      <c r="W3737">
        <v>2.5</v>
      </c>
      <c r="X3737" s="1" t="s">
        <v>30</v>
      </c>
    </row>
    <row r="3738" spans="1:24" x14ac:dyDescent="0.25">
      <c r="A3738" s="1" t="str">
        <f t="shared" si="1221"/>
        <v>卡卡杜-凤凰仓</v>
      </c>
      <c r="B3738" s="1" t="str">
        <f>"CK20241022186"</f>
        <v>CK20241022186</v>
      </c>
      <c r="C3738" s="1" t="str">
        <f>"DD2024102253739"</f>
        <v>DD2024102253739</v>
      </c>
      <c r="D3738" s="1" t="str">
        <f>"CK2024102251161"</f>
        <v>CK2024102251161</v>
      </c>
      <c r="E3738" s="1" t="str">
        <f>"3723480022813902336"</f>
        <v>3723480022813902336</v>
      </c>
      <c r="F3738" s="1" t="str">
        <f t="shared" si="1222"/>
        <v>花都四部-凤凰仓</v>
      </c>
      <c r="G3738" s="1" t="str">
        <f t="shared" si="1225"/>
        <v>卡卡杜企业店（视频号）</v>
      </c>
      <c r="H3738" s="1" t="str">
        <f t="shared" si="1223"/>
        <v>正常订单</v>
      </c>
      <c r="I3738" s="1" t="str">
        <f t="shared" si="1224"/>
        <v>已发货</v>
      </c>
      <c r="J3738" s="1" t="str">
        <f t="shared" si="1227"/>
        <v>3</v>
      </c>
      <c r="K3738" s="1">
        <v>3</v>
      </c>
      <c r="L3738" s="1" t="s">
        <v>105</v>
      </c>
      <c r="M3738" s="1" t="str">
        <f>"北京 北京市 石景山区 "</f>
        <v xml:space="preserve">北京 北京市 石景山区 </v>
      </c>
      <c r="N3738" s="1" t="str">
        <f t="shared" si="1226"/>
        <v>凡华云仓-城南圆通-微信视频号</v>
      </c>
      <c r="O3738" s="5" t="s">
        <v>3770</v>
      </c>
      <c r="P3738" s="6">
        <v>0.34</v>
      </c>
      <c r="Q3738" s="11">
        <v>2.2999999999999998</v>
      </c>
      <c r="R3738" s="11"/>
      <c r="S3738" s="11"/>
      <c r="T3738" s="11"/>
      <c r="U3738" s="11">
        <f t="shared" si="1219"/>
        <v>2.2999999999999998</v>
      </c>
      <c r="W3738">
        <v>2.5</v>
      </c>
      <c r="X3738" s="1" t="s">
        <v>105</v>
      </c>
    </row>
    <row r="3739" spans="1:24" x14ac:dyDescent="0.25">
      <c r="A3739" s="1" t="str">
        <f t="shared" si="1221"/>
        <v>卡卡杜-凤凰仓</v>
      </c>
      <c r="B3739" s="1" t="str">
        <f>"CK20241022136"</f>
        <v>CK20241022136</v>
      </c>
      <c r="C3739" s="1" t="str">
        <f>"DD2024102253688"</f>
        <v>DD2024102253688</v>
      </c>
      <c r="D3739" s="1" t="str">
        <f>"CK2024102251159"</f>
        <v>CK2024102251159</v>
      </c>
      <c r="E3739" s="1" t="str">
        <f>"3723480025627497472"</f>
        <v>3723480025627497472</v>
      </c>
      <c r="F3739" s="1" t="str">
        <f t="shared" si="1222"/>
        <v>花都四部-凤凰仓</v>
      </c>
      <c r="G3739" s="1" t="str">
        <f t="shared" si="1225"/>
        <v>卡卡杜企业店（视频号）</v>
      </c>
      <c r="H3739" s="1" t="str">
        <f t="shared" si="1223"/>
        <v>正常订单</v>
      </c>
      <c r="I3739" s="1" t="str">
        <f t="shared" si="1224"/>
        <v>已发货</v>
      </c>
      <c r="J3739" s="1" t="str">
        <f t="shared" si="1227"/>
        <v>3</v>
      </c>
      <c r="K3739" s="1">
        <v>3</v>
      </c>
      <c r="L3739" s="1" t="s">
        <v>30</v>
      </c>
      <c r="M3739" s="1" t="str">
        <f>"山东省 济南市 市中区 "</f>
        <v xml:space="preserve">山东省 济南市 市中区 </v>
      </c>
      <c r="N3739" s="1" t="str">
        <f t="shared" si="1226"/>
        <v>凡华云仓-城南圆通-微信视频号</v>
      </c>
      <c r="O3739" s="5" t="s">
        <v>3771</v>
      </c>
      <c r="P3739" s="6">
        <v>0.34</v>
      </c>
      <c r="Q3739" s="11">
        <v>2.2999999999999998</v>
      </c>
      <c r="R3739" s="11"/>
      <c r="S3739" s="11"/>
      <c r="T3739" s="11"/>
      <c r="U3739" s="11">
        <f t="shared" si="1219"/>
        <v>2.2999999999999998</v>
      </c>
      <c r="W3739">
        <v>2.5</v>
      </c>
      <c r="X3739" s="1" t="s">
        <v>30</v>
      </c>
    </row>
    <row r="3740" spans="1:24" x14ac:dyDescent="0.25">
      <c r="A3740" s="1" t="str">
        <f t="shared" si="1221"/>
        <v>卡卡杜-凤凰仓</v>
      </c>
      <c r="B3740" s="1" t="str">
        <f>"CK20241022148"</f>
        <v>CK20241022148</v>
      </c>
      <c r="C3740" s="1" t="str">
        <f>"DD2024102253700"</f>
        <v>DD2024102253700</v>
      </c>
      <c r="D3740" s="1" t="str">
        <f>"CK2024102251157"</f>
        <v>CK2024102251157</v>
      </c>
      <c r="E3740" s="1" t="str">
        <f>"3723480025371903232"</f>
        <v>3723480025371903232</v>
      </c>
      <c r="F3740" s="1" t="str">
        <f t="shared" si="1222"/>
        <v>花都四部-凤凰仓</v>
      </c>
      <c r="G3740" s="1" t="str">
        <f t="shared" si="1225"/>
        <v>卡卡杜企业店（视频号）</v>
      </c>
      <c r="H3740" s="1" t="str">
        <f t="shared" si="1223"/>
        <v>正常订单</v>
      </c>
      <c r="I3740" s="1" t="str">
        <f t="shared" si="1224"/>
        <v>已发货</v>
      </c>
      <c r="J3740" s="1" t="str">
        <f t="shared" si="1227"/>
        <v>3</v>
      </c>
      <c r="K3740" s="1">
        <v>3</v>
      </c>
      <c r="L3740" s="1" t="s">
        <v>18</v>
      </c>
      <c r="M3740" s="1" t="str">
        <f>"广东省 湛江市 赤坎区 "</f>
        <v xml:space="preserve">广东省 湛江市 赤坎区 </v>
      </c>
      <c r="N3740" s="1" t="str">
        <f t="shared" si="1226"/>
        <v>凡华云仓-城南圆通-微信视频号</v>
      </c>
      <c r="O3740" s="5" t="s">
        <v>3772</v>
      </c>
      <c r="P3740" s="6">
        <v>0.34</v>
      </c>
      <c r="Q3740" s="11">
        <v>2.2999999999999998</v>
      </c>
      <c r="R3740" s="11"/>
      <c r="S3740" s="11"/>
      <c r="T3740" s="11"/>
      <c r="U3740" s="11">
        <f t="shared" si="1219"/>
        <v>2.2999999999999998</v>
      </c>
      <c r="W3740">
        <v>2.5</v>
      </c>
      <c r="X3740" s="1" t="s">
        <v>18</v>
      </c>
    </row>
    <row r="3741" spans="1:24" x14ac:dyDescent="0.25">
      <c r="A3741" s="1" t="str">
        <f t="shared" si="1221"/>
        <v>卡卡杜-凤凰仓</v>
      </c>
      <c r="B3741" s="1" t="str">
        <f>"CK20241022135"</f>
        <v>CK20241022135</v>
      </c>
      <c r="C3741" s="1" t="str">
        <f>"DD2024102253687"</f>
        <v>DD2024102253687</v>
      </c>
      <c r="D3741" s="1" t="str">
        <f>"CK2024102251156"</f>
        <v>CK2024102251156</v>
      </c>
      <c r="E3741" s="1" t="str">
        <f>"3723480030893180160"</f>
        <v>3723480030893180160</v>
      </c>
      <c r="F3741" s="1" t="str">
        <f t="shared" si="1222"/>
        <v>花都四部-凤凰仓</v>
      </c>
      <c r="G3741" s="1" t="str">
        <f t="shared" si="1225"/>
        <v>卡卡杜企业店（视频号）</v>
      </c>
      <c r="H3741" s="1" t="str">
        <f t="shared" si="1223"/>
        <v>正常订单</v>
      </c>
      <c r="I3741" s="1" t="str">
        <f t="shared" si="1224"/>
        <v>已发货</v>
      </c>
      <c r="J3741" s="1" t="str">
        <f t="shared" si="1227"/>
        <v>3</v>
      </c>
      <c r="K3741" s="1">
        <v>3</v>
      </c>
      <c r="L3741" s="1" t="s">
        <v>105</v>
      </c>
      <c r="M3741" s="1" t="str">
        <f>"北京 北京市 大兴区 "</f>
        <v xml:space="preserve">北京 北京市 大兴区 </v>
      </c>
      <c r="N3741" s="1" t="str">
        <f t="shared" si="1226"/>
        <v>凡华云仓-城南圆通-微信视频号</v>
      </c>
      <c r="O3741" s="5" t="s">
        <v>3773</v>
      </c>
      <c r="P3741" s="6">
        <v>0.34</v>
      </c>
      <c r="Q3741" s="11">
        <v>2.2999999999999998</v>
      </c>
      <c r="R3741" s="11"/>
      <c r="S3741" s="11"/>
      <c r="T3741" s="11"/>
      <c r="U3741" s="11">
        <f t="shared" si="1219"/>
        <v>2.2999999999999998</v>
      </c>
      <c r="W3741">
        <v>2.5</v>
      </c>
      <c r="X3741" s="1" t="s">
        <v>105</v>
      </c>
    </row>
    <row r="3742" spans="1:24" x14ac:dyDescent="0.25">
      <c r="A3742" s="1" t="str">
        <f t="shared" si="1221"/>
        <v>卡卡杜-凤凰仓</v>
      </c>
      <c r="B3742" s="1" t="str">
        <f>"CK20241022137"</f>
        <v>CK20241022137</v>
      </c>
      <c r="C3742" s="1" t="str">
        <f>"DD2024102253689"</f>
        <v>DD2024102253689</v>
      </c>
      <c r="D3742" s="1" t="str">
        <f>"CK2024102251155"</f>
        <v>CK2024102251155</v>
      </c>
      <c r="E3742" s="1" t="str">
        <f>"3723480023387211008"</f>
        <v>3723480023387211008</v>
      </c>
      <c r="F3742" s="1" t="str">
        <f t="shared" si="1222"/>
        <v>花都四部-凤凰仓</v>
      </c>
      <c r="G3742" s="1" t="str">
        <f t="shared" si="1225"/>
        <v>卡卡杜企业店（视频号）</v>
      </c>
      <c r="H3742" s="1" t="str">
        <f t="shared" si="1223"/>
        <v>正常订单</v>
      </c>
      <c r="I3742" s="1" t="str">
        <f t="shared" si="1224"/>
        <v>已发货</v>
      </c>
      <c r="J3742" s="1" t="str">
        <f t="shared" si="1227"/>
        <v>3</v>
      </c>
      <c r="K3742" s="1">
        <v>3</v>
      </c>
      <c r="L3742" s="1" t="s">
        <v>30</v>
      </c>
      <c r="M3742" s="1" t="str">
        <f>"山东省 滨州市 滨城区 "</f>
        <v xml:space="preserve">山东省 滨州市 滨城区 </v>
      </c>
      <c r="N3742" s="1" t="str">
        <f t="shared" si="1226"/>
        <v>凡华云仓-城南圆通-微信视频号</v>
      </c>
      <c r="O3742" s="5" t="s">
        <v>3774</v>
      </c>
      <c r="P3742" s="6">
        <v>0.34</v>
      </c>
      <c r="Q3742" s="11">
        <v>2.2999999999999998</v>
      </c>
      <c r="R3742" s="11"/>
      <c r="S3742" s="11"/>
      <c r="T3742" s="11"/>
      <c r="U3742" s="11">
        <f t="shared" si="1219"/>
        <v>2.2999999999999998</v>
      </c>
      <c r="W3742">
        <v>2.5</v>
      </c>
      <c r="X3742" s="1" t="s">
        <v>30</v>
      </c>
    </row>
    <row r="3743" spans="1:24" x14ac:dyDescent="0.25">
      <c r="A3743" s="1" t="str">
        <f t="shared" si="1221"/>
        <v>卡卡杜-凤凰仓</v>
      </c>
      <c r="B3743" s="1" t="str">
        <f>"CK20241022144"</f>
        <v>CK20241022144</v>
      </c>
      <c r="C3743" s="1" t="str">
        <f>"DD2024102253696"</f>
        <v>DD2024102253696</v>
      </c>
      <c r="D3743" s="1" t="str">
        <f>"CK2024102251154"</f>
        <v>CK2024102251154</v>
      </c>
      <c r="E3743" s="1" t="str">
        <f>"3723480029530031360"</f>
        <v>3723480029530031360</v>
      </c>
      <c r="F3743" s="1" t="str">
        <f t="shared" si="1222"/>
        <v>花都四部-凤凰仓</v>
      </c>
      <c r="G3743" s="1" t="str">
        <f t="shared" si="1225"/>
        <v>卡卡杜企业店（视频号）</v>
      </c>
      <c r="H3743" s="1" t="str">
        <f t="shared" si="1223"/>
        <v>正常订单</v>
      </c>
      <c r="I3743" s="1" t="str">
        <f t="shared" si="1224"/>
        <v>已发货</v>
      </c>
      <c r="J3743" s="1" t="str">
        <f t="shared" si="1227"/>
        <v>3</v>
      </c>
      <c r="K3743" s="1">
        <v>3</v>
      </c>
      <c r="L3743" s="1" t="s">
        <v>16</v>
      </c>
      <c r="M3743" s="1" t="str">
        <f>"河北省 秦皇岛市 海港区 "</f>
        <v xml:space="preserve">河北省 秦皇岛市 海港区 </v>
      </c>
      <c r="N3743" s="1" t="str">
        <f t="shared" si="1226"/>
        <v>凡华云仓-城南圆通-微信视频号</v>
      </c>
      <c r="O3743" s="5" t="s">
        <v>3775</v>
      </c>
      <c r="P3743" s="6">
        <v>0.34</v>
      </c>
      <c r="Q3743" s="11">
        <v>2.2999999999999998</v>
      </c>
      <c r="R3743" s="11"/>
      <c r="S3743" s="11"/>
      <c r="T3743" s="11"/>
      <c r="U3743" s="11">
        <f t="shared" si="1219"/>
        <v>2.2999999999999998</v>
      </c>
      <c r="W3743">
        <v>2.5</v>
      </c>
      <c r="X3743" s="1" t="s">
        <v>16</v>
      </c>
    </row>
    <row r="3744" spans="1:24" x14ac:dyDescent="0.25">
      <c r="A3744" s="1" t="str">
        <f t="shared" si="1221"/>
        <v>卡卡杜-凤凰仓</v>
      </c>
      <c r="B3744" s="1" t="str">
        <f>"CK2024102207"</f>
        <v>CK2024102207</v>
      </c>
      <c r="C3744" s="1" t="str">
        <f>"DD2024102253559"</f>
        <v>DD2024102253559</v>
      </c>
      <c r="D3744" s="1" t="str">
        <f>"CK2024102251153"</f>
        <v>CK2024102251153</v>
      </c>
      <c r="E3744" s="1" t="str">
        <f>"3723480024446798848"</f>
        <v>3723480024446798848</v>
      </c>
      <c r="F3744" s="1" t="str">
        <f t="shared" si="1222"/>
        <v>花都四部-凤凰仓</v>
      </c>
      <c r="G3744" s="1" t="str">
        <f t="shared" si="1225"/>
        <v>卡卡杜企业店（视频号）</v>
      </c>
      <c r="H3744" s="1" t="str">
        <f t="shared" si="1223"/>
        <v>正常订单</v>
      </c>
      <c r="I3744" s="1" t="str">
        <f t="shared" si="1224"/>
        <v>已发货</v>
      </c>
      <c r="J3744" s="1" t="str">
        <f>"5"</f>
        <v>5</v>
      </c>
      <c r="K3744" s="1">
        <v>3</v>
      </c>
      <c r="L3744" s="1" t="s">
        <v>740</v>
      </c>
      <c r="M3744" s="1" t="str">
        <f>"宁夏回族自治区 中卫市 中宁县 "</f>
        <v xml:space="preserve">宁夏回族自治区 中卫市 中宁县 </v>
      </c>
      <c r="N3744" s="1" t="str">
        <f t="shared" si="1226"/>
        <v>凡华云仓-城南圆通-微信视频号</v>
      </c>
      <c r="O3744" s="5" t="s">
        <v>3776</v>
      </c>
      <c r="P3744" s="6">
        <v>0.56000000000000005</v>
      </c>
      <c r="Q3744" s="11">
        <f>CEILING(P3744-0.5,0.1)*10*0.15+2.3</f>
        <v>2.4499999999999997</v>
      </c>
      <c r="R3744" s="11"/>
      <c r="S3744" s="11"/>
      <c r="T3744" s="11"/>
      <c r="U3744" s="11">
        <f t="shared" si="1219"/>
        <v>2.4499999999999997</v>
      </c>
      <c r="V3744" t="s">
        <v>15</v>
      </c>
      <c r="W3744">
        <v>2.4500000000000002</v>
      </c>
      <c r="X3744" s="1" t="s">
        <v>740</v>
      </c>
    </row>
    <row r="3745" spans="1:24" x14ac:dyDescent="0.25">
      <c r="A3745" s="1" t="str">
        <f t="shared" si="1221"/>
        <v>卡卡杜-凤凰仓</v>
      </c>
      <c r="B3745" s="1" t="str">
        <f>"CK20241022138"</f>
        <v>CK20241022138</v>
      </c>
      <c r="C3745" s="1" t="str">
        <f>"DD2024102253690"</f>
        <v>DD2024102253690</v>
      </c>
      <c r="D3745" s="1" t="str">
        <f>"CK2024102251152"</f>
        <v>CK2024102251152</v>
      </c>
      <c r="E3745" s="1" t="str">
        <f>"3723480030752936960"</f>
        <v>3723480030752936960</v>
      </c>
      <c r="F3745" s="1" t="str">
        <f t="shared" si="1222"/>
        <v>花都四部-凤凰仓</v>
      </c>
      <c r="G3745" s="1" t="str">
        <f t="shared" si="1225"/>
        <v>卡卡杜企业店（视频号）</v>
      </c>
      <c r="H3745" s="1" t="str">
        <f t="shared" si="1223"/>
        <v>正常订单</v>
      </c>
      <c r="I3745" s="1" t="str">
        <f t="shared" si="1224"/>
        <v>已发货</v>
      </c>
      <c r="J3745" s="1" t="str">
        <f t="shared" ref="J3745:J3762" si="1228">"3"</f>
        <v>3</v>
      </c>
      <c r="K3745" s="1">
        <v>3</v>
      </c>
      <c r="L3745" s="1" t="s">
        <v>36</v>
      </c>
      <c r="M3745" s="1" t="str">
        <f>"安徽省 宿州市 砀山县 "</f>
        <v xml:space="preserve">安徽省 宿州市 砀山县 </v>
      </c>
      <c r="N3745" s="1" t="str">
        <f t="shared" si="1226"/>
        <v>凡华云仓-城南圆通-微信视频号</v>
      </c>
      <c r="O3745" s="5" t="s">
        <v>3777</v>
      </c>
      <c r="P3745" s="6">
        <v>0.34</v>
      </c>
      <c r="Q3745" s="11">
        <v>2.2999999999999998</v>
      </c>
      <c r="R3745" s="11"/>
      <c r="S3745" s="11"/>
      <c r="T3745" s="11"/>
      <c r="U3745" s="11">
        <f t="shared" si="1219"/>
        <v>2.2999999999999998</v>
      </c>
      <c r="W3745">
        <v>2.5</v>
      </c>
      <c r="X3745" s="1" t="s">
        <v>36</v>
      </c>
    </row>
    <row r="3746" spans="1:24" x14ac:dyDescent="0.25">
      <c r="A3746" s="1" t="str">
        <f t="shared" si="1221"/>
        <v>卡卡杜-凤凰仓</v>
      </c>
      <c r="B3746" s="1" t="str">
        <f>"CK20241022147"</f>
        <v>CK20241022147</v>
      </c>
      <c r="C3746" s="1" t="str">
        <f>"DD2024102253698"</f>
        <v>DD2024102253698</v>
      </c>
      <c r="D3746" s="1" t="str">
        <f>"CK2024102251150"</f>
        <v>CK2024102251150</v>
      </c>
      <c r="E3746" s="1" t="str">
        <f>"3723480029249802240"</f>
        <v>3723480029249802240</v>
      </c>
      <c r="F3746" s="1" t="str">
        <f t="shared" si="1222"/>
        <v>花都四部-凤凰仓</v>
      </c>
      <c r="G3746" s="1" t="str">
        <f t="shared" si="1225"/>
        <v>卡卡杜企业店（视频号）</v>
      </c>
      <c r="H3746" s="1" t="str">
        <f t="shared" si="1223"/>
        <v>正常订单</v>
      </c>
      <c r="I3746" s="1" t="str">
        <f t="shared" si="1224"/>
        <v>已发货</v>
      </c>
      <c r="J3746" s="1" t="str">
        <f t="shared" si="1228"/>
        <v>3</v>
      </c>
      <c r="K3746" s="1">
        <v>3</v>
      </c>
      <c r="L3746" s="1" t="s">
        <v>105</v>
      </c>
      <c r="M3746" s="1" t="str">
        <f>"北京 北京市 丰台区 "</f>
        <v xml:space="preserve">北京 北京市 丰台区 </v>
      </c>
      <c r="N3746" s="1" t="str">
        <f t="shared" si="1226"/>
        <v>凡华云仓-城南圆通-微信视频号</v>
      </c>
      <c r="O3746" s="5" t="s">
        <v>3778</v>
      </c>
      <c r="P3746" s="6">
        <v>0.34</v>
      </c>
      <c r="Q3746" s="11">
        <v>2.2999999999999998</v>
      </c>
      <c r="R3746" s="11"/>
      <c r="S3746" s="11"/>
      <c r="T3746" s="11"/>
      <c r="U3746" s="11">
        <f t="shared" si="1219"/>
        <v>2.2999999999999998</v>
      </c>
      <c r="W3746">
        <v>2.5</v>
      </c>
      <c r="X3746" s="1" t="s">
        <v>105</v>
      </c>
    </row>
    <row r="3747" spans="1:24" x14ac:dyDescent="0.25">
      <c r="A3747" s="1" t="str">
        <f t="shared" si="1221"/>
        <v>卡卡杜-凤凰仓</v>
      </c>
      <c r="B3747" s="1" t="str">
        <f>"CK20241022146"</f>
        <v>CK20241022146</v>
      </c>
      <c r="C3747" s="1" t="str">
        <f>"DD2024102253699"</f>
        <v>DD2024102253699</v>
      </c>
      <c r="D3747" s="1" t="str">
        <f>"CK2024102251149"</f>
        <v>CK2024102251149</v>
      </c>
      <c r="E3747" s="1" t="str">
        <f>"3723480028657092096"</f>
        <v>3723480028657092096</v>
      </c>
      <c r="F3747" s="1" t="str">
        <f t="shared" si="1222"/>
        <v>花都四部-凤凰仓</v>
      </c>
      <c r="G3747" s="1" t="str">
        <f t="shared" si="1225"/>
        <v>卡卡杜企业店（视频号）</v>
      </c>
      <c r="H3747" s="1" t="str">
        <f t="shared" si="1223"/>
        <v>正常订单</v>
      </c>
      <c r="I3747" s="1" t="str">
        <f t="shared" si="1224"/>
        <v>已发货</v>
      </c>
      <c r="J3747" s="1" t="str">
        <f t="shared" si="1228"/>
        <v>3</v>
      </c>
      <c r="K3747" s="1">
        <v>3</v>
      </c>
      <c r="L3747" s="1" t="s">
        <v>1111</v>
      </c>
      <c r="M3747" s="1" t="str">
        <f>"青海省 西宁市 城东区 "</f>
        <v xml:space="preserve">青海省 西宁市 城东区 </v>
      </c>
      <c r="N3747" s="1" t="str">
        <f t="shared" si="1226"/>
        <v>凡华云仓-城南圆通-微信视频号</v>
      </c>
      <c r="O3747" s="5" t="s">
        <v>3779</v>
      </c>
      <c r="P3747" s="6">
        <v>0.34</v>
      </c>
      <c r="Q3747" s="11">
        <v>2.2999999999999998</v>
      </c>
      <c r="R3747" s="11"/>
      <c r="S3747" s="11"/>
      <c r="T3747" s="11"/>
      <c r="U3747" s="11">
        <f t="shared" si="1219"/>
        <v>2.2999999999999998</v>
      </c>
      <c r="W3747">
        <v>2.5</v>
      </c>
      <c r="X3747" s="1" t="s">
        <v>1111</v>
      </c>
    </row>
    <row r="3748" spans="1:24" x14ac:dyDescent="0.25">
      <c r="A3748" s="1" t="str">
        <f t="shared" si="1221"/>
        <v>卡卡杜-凤凰仓</v>
      </c>
      <c r="B3748" s="1" t="str">
        <f>"CK20241022140"</f>
        <v>CK20241022140</v>
      </c>
      <c r="C3748" s="1" t="str">
        <f>"DD2024102253692"</f>
        <v>DD2024102253692</v>
      </c>
      <c r="D3748" s="1" t="str">
        <f>"CK2024102251148"</f>
        <v>CK2024102251148</v>
      </c>
      <c r="E3748" s="1" t="str">
        <f>"3723480026602409984"</f>
        <v>3723480026602409984</v>
      </c>
      <c r="F3748" s="1" t="str">
        <f t="shared" si="1222"/>
        <v>花都四部-凤凰仓</v>
      </c>
      <c r="G3748" s="1" t="str">
        <f t="shared" si="1225"/>
        <v>卡卡杜企业店（视频号）</v>
      </c>
      <c r="H3748" s="1" t="str">
        <f t="shared" si="1223"/>
        <v>正常订单</v>
      </c>
      <c r="I3748" s="1" t="str">
        <f t="shared" si="1224"/>
        <v>已发货</v>
      </c>
      <c r="J3748" s="1" t="str">
        <f t="shared" si="1228"/>
        <v>3</v>
      </c>
      <c r="K3748" s="1">
        <v>3</v>
      </c>
      <c r="L3748" s="1" t="s">
        <v>80</v>
      </c>
      <c r="M3748" s="1" t="str">
        <f>"河南省 南阳市 卧龙区 "</f>
        <v xml:space="preserve">河南省 南阳市 卧龙区 </v>
      </c>
      <c r="N3748" s="1" t="str">
        <f t="shared" si="1226"/>
        <v>凡华云仓-城南圆通-微信视频号</v>
      </c>
      <c r="O3748" s="5" t="s">
        <v>3780</v>
      </c>
      <c r="P3748" s="6">
        <v>0.34</v>
      </c>
      <c r="Q3748" s="11">
        <v>2.2999999999999998</v>
      </c>
      <c r="R3748" s="11"/>
      <c r="S3748" s="11"/>
      <c r="T3748" s="11"/>
      <c r="U3748" s="11">
        <f t="shared" si="1219"/>
        <v>2.2999999999999998</v>
      </c>
      <c r="W3748">
        <v>2.5</v>
      </c>
      <c r="X3748" s="1" t="s">
        <v>80</v>
      </c>
    </row>
    <row r="3749" spans="1:24" x14ac:dyDescent="0.25">
      <c r="A3749" s="1" t="str">
        <f t="shared" si="1221"/>
        <v>卡卡杜-凤凰仓</v>
      </c>
      <c r="B3749" s="1" t="str">
        <f>"CK20241022139"</f>
        <v>CK20241022139</v>
      </c>
      <c r="C3749" s="1" t="str">
        <f>"DD2024102253691"</f>
        <v>DD2024102253691</v>
      </c>
      <c r="D3749" s="1" t="str">
        <f>"CK2024102251147"</f>
        <v>CK2024102251147</v>
      </c>
      <c r="E3749" s="1" t="str">
        <f>"3723480028632712448"</f>
        <v>3723480028632712448</v>
      </c>
      <c r="F3749" s="1" t="str">
        <f t="shared" si="1222"/>
        <v>花都四部-凤凰仓</v>
      </c>
      <c r="G3749" s="1" t="str">
        <f t="shared" si="1225"/>
        <v>卡卡杜企业店（视频号）</v>
      </c>
      <c r="H3749" s="1" t="str">
        <f t="shared" si="1223"/>
        <v>正常订单</v>
      </c>
      <c r="I3749" s="1" t="str">
        <f t="shared" si="1224"/>
        <v>已发货</v>
      </c>
      <c r="J3749" s="1" t="str">
        <f t="shared" si="1228"/>
        <v>3</v>
      </c>
      <c r="K3749" s="1">
        <v>3</v>
      </c>
      <c r="L3749" s="1" t="s">
        <v>80</v>
      </c>
      <c r="M3749" s="1" t="str">
        <f>"河南省 南阳市 方城县 "</f>
        <v xml:space="preserve">河南省 南阳市 方城县 </v>
      </c>
      <c r="N3749" s="1" t="str">
        <f t="shared" si="1226"/>
        <v>凡华云仓-城南圆通-微信视频号</v>
      </c>
      <c r="O3749" s="5" t="s">
        <v>3781</v>
      </c>
      <c r="P3749" s="6">
        <v>0.34</v>
      </c>
      <c r="Q3749" s="11">
        <v>2.2999999999999998</v>
      </c>
      <c r="R3749" s="11"/>
      <c r="S3749" s="11"/>
      <c r="T3749" s="11"/>
      <c r="U3749" s="11">
        <f t="shared" si="1219"/>
        <v>2.2999999999999998</v>
      </c>
      <c r="W3749">
        <v>2.5</v>
      </c>
      <c r="X3749" s="1" t="s">
        <v>80</v>
      </c>
    </row>
    <row r="3750" spans="1:24" x14ac:dyDescent="0.25">
      <c r="A3750" s="1" t="str">
        <f t="shared" si="1221"/>
        <v>卡卡杜-凤凰仓</v>
      </c>
      <c r="B3750" s="1" t="str">
        <f>"CK20241022149"</f>
        <v>CK20241022149</v>
      </c>
      <c r="C3750" s="1" t="str">
        <f>"DD2024102253701"</f>
        <v>DD2024102253701</v>
      </c>
      <c r="D3750" s="1" t="str">
        <f>"CK2024102251146"</f>
        <v>CK2024102251146</v>
      </c>
      <c r="E3750" s="1" t="str">
        <f>"3723480024693998848"</f>
        <v>3723480024693998848</v>
      </c>
      <c r="F3750" s="1" t="str">
        <f t="shared" si="1222"/>
        <v>花都四部-凤凰仓</v>
      </c>
      <c r="G3750" s="1" t="str">
        <f t="shared" si="1225"/>
        <v>卡卡杜企业店（视频号）</v>
      </c>
      <c r="H3750" s="1" t="str">
        <f t="shared" si="1223"/>
        <v>正常订单</v>
      </c>
      <c r="I3750" s="1" t="str">
        <f t="shared" si="1224"/>
        <v>已发货</v>
      </c>
      <c r="J3750" s="1" t="str">
        <f t="shared" si="1228"/>
        <v>3</v>
      </c>
      <c r="K3750" s="1">
        <v>3</v>
      </c>
      <c r="L3750" s="1" t="s">
        <v>16</v>
      </c>
      <c r="M3750" s="1" t="str">
        <f>"河北省 保定市 涞水县 "</f>
        <v xml:space="preserve">河北省 保定市 涞水县 </v>
      </c>
      <c r="N3750" s="1" t="str">
        <f t="shared" si="1226"/>
        <v>凡华云仓-城南圆通-微信视频号</v>
      </c>
      <c r="O3750" s="5" t="s">
        <v>3782</v>
      </c>
      <c r="P3750" s="6">
        <v>0.34</v>
      </c>
      <c r="Q3750" s="11">
        <v>2.2999999999999998</v>
      </c>
      <c r="R3750" s="11"/>
      <c r="S3750" s="11"/>
      <c r="T3750" s="11"/>
      <c r="U3750" s="11">
        <f t="shared" si="1219"/>
        <v>2.2999999999999998</v>
      </c>
      <c r="W3750">
        <v>2.5</v>
      </c>
      <c r="X3750" s="1" t="s">
        <v>16</v>
      </c>
    </row>
    <row r="3751" spans="1:24" x14ac:dyDescent="0.25">
      <c r="A3751" s="1" t="str">
        <f t="shared" si="1221"/>
        <v>卡卡杜-凤凰仓</v>
      </c>
      <c r="B3751" s="1" t="str">
        <f>"CK20241022145"</f>
        <v>CK20241022145</v>
      </c>
      <c r="C3751" s="1" t="str">
        <f>"DD2024102253697"</f>
        <v>DD2024102253697</v>
      </c>
      <c r="D3751" s="1" t="str">
        <f>"CK2024102251145"</f>
        <v>CK2024102251145</v>
      </c>
      <c r="E3751" s="1" t="str">
        <f>"3723480028658664704"</f>
        <v>3723480028658664704</v>
      </c>
      <c r="F3751" s="1" t="str">
        <f t="shared" si="1222"/>
        <v>花都四部-凤凰仓</v>
      </c>
      <c r="G3751" s="1" t="str">
        <f t="shared" si="1225"/>
        <v>卡卡杜企业店（视频号）</v>
      </c>
      <c r="H3751" s="1" t="str">
        <f t="shared" si="1223"/>
        <v>正常订单</v>
      </c>
      <c r="I3751" s="1" t="str">
        <f t="shared" si="1224"/>
        <v>已发货</v>
      </c>
      <c r="J3751" s="1" t="str">
        <f t="shared" si="1228"/>
        <v>3</v>
      </c>
      <c r="K3751" s="1">
        <v>3</v>
      </c>
      <c r="L3751" s="1" t="s">
        <v>66</v>
      </c>
      <c r="M3751" s="1" t="str">
        <f>"内蒙古自治区 呼和浩特市 玉泉区 "</f>
        <v xml:space="preserve">内蒙古自治区 呼和浩特市 玉泉区 </v>
      </c>
      <c r="N3751" s="1" t="str">
        <f t="shared" si="1226"/>
        <v>凡华云仓-城南圆通-微信视频号</v>
      </c>
      <c r="O3751" s="5" t="s">
        <v>3783</v>
      </c>
      <c r="P3751" s="6">
        <v>0.34</v>
      </c>
      <c r="Q3751" s="11">
        <v>2.2999999999999998</v>
      </c>
      <c r="R3751" s="11"/>
      <c r="S3751" s="11"/>
      <c r="T3751" s="11"/>
      <c r="U3751" s="11">
        <f t="shared" si="1219"/>
        <v>2.2999999999999998</v>
      </c>
      <c r="W3751">
        <v>2.5</v>
      </c>
      <c r="X3751" s="1" t="s">
        <v>66</v>
      </c>
    </row>
    <row r="3752" spans="1:24" x14ac:dyDescent="0.25">
      <c r="A3752" s="1" t="str">
        <f t="shared" si="1221"/>
        <v>卡卡杜-凤凰仓</v>
      </c>
      <c r="B3752" s="1" t="str">
        <f>"CK20241022161"</f>
        <v>CK20241022161</v>
      </c>
      <c r="C3752" s="1" t="str">
        <f>"DD2024102253713"</f>
        <v>DD2024102253713</v>
      </c>
      <c r="D3752" s="1" t="str">
        <f>"CK2024102251144"</f>
        <v>CK2024102251144</v>
      </c>
      <c r="E3752" s="1" t="str">
        <f>"3723480023533751296"</f>
        <v>3723480023533751296</v>
      </c>
      <c r="F3752" s="1" t="str">
        <f t="shared" si="1222"/>
        <v>花都四部-凤凰仓</v>
      </c>
      <c r="G3752" s="1" t="str">
        <f t="shared" si="1225"/>
        <v>卡卡杜企业店（视频号）</v>
      </c>
      <c r="H3752" s="1" t="str">
        <f t="shared" si="1223"/>
        <v>正常订单</v>
      </c>
      <c r="I3752" s="1" t="str">
        <f t="shared" si="1224"/>
        <v>已发货</v>
      </c>
      <c r="J3752" s="1" t="str">
        <f t="shared" si="1228"/>
        <v>3</v>
      </c>
      <c r="K3752" s="1">
        <v>3</v>
      </c>
      <c r="L3752" s="1" t="s">
        <v>92</v>
      </c>
      <c r="M3752" s="1" t="str">
        <f>"辽宁省 沈阳市 于洪区 "</f>
        <v xml:space="preserve">辽宁省 沈阳市 于洪区 </v>
      </c>
      <c r="N3752" s="1" t="str">
        <f t="shared" si="1226"/>
        <v>凡华云仓-城南圆通-微信视频号</v>
      </c>
      <c r="O3752" s="5" t="s">
        <v>3784</v>
      </c>
      <c r="P3752" s="6">
        <v>0.34</v>
      </c>
      <c r="Q3752" s="11">
        <v>2.2999999999999998</v>
      </c>
      <c r="R3752" s="11"/>
      <c r="S3752" s="11"/>
      <c r="T3752" s="11"/>
      <c r="U3752" s="11">
        <f t="shared" si="1219"/>
        <v>2.2999999999999998</v>
      </c>
      <c r="W3752">
        <v>2.5</v>
      </c>
      <c r="X3752" s="1" t="s">
        <v>92</v>
      </c>
    </row>
    <row r="3753" spans="1:24" x14ac:dyDescent="0.25">
      <c r="A3753" s="1" t="str">
        <f t="shared" si="1221"/>
        <v>卡卡杜-凤凰仓</v>
      </c>
      <c r="B3753" s="1" t="str">
        <f>"CK20241022152"</f>
        <v>CK20241022152</v>
      </c>
      <c r="C3753" s="1" t="str">
        <f>"DD2024102253704"</f>
        <v>DD2024102253704</v>
      </c>
      <c r="D3753" s="1" t="str">
        <f>"CK2024102251143"</f>
        <v>CK2024102251143</v>
      </c>
      <c r="E3753" s="1" t="str">
        <f>"3723480027556350976"</f>
        <v>3723480027556350976</v>
      </c>
      <c r="F3753" s="1" t="str">
        <f t="shared" si="1222"/>
        <v>花都四部-凤凰仓</v>
      </c>
      <c r="G3753" s="1" t="str">
        <f t="shared" si="1225"/>
        <v>卡卡杜企业店（视频号）</v>
      </c>
      <c r="H3753" s="1" t="str">
        <f t="shared" si="1223"/>
        <v>正常订单</v>
      </c>
      <c r="I3753" s="1" t="str">
        <f t="shared" si="1224"/>
        <v>已发货</v>
      </c>
      <c r="J3753" s="1" t="str">
        <f t="shared" si="1228"/>
        <v>3</v>
      </c>
      <c r="K3753" s="1">
        <v>3</v>
      </c>
      <c r="L3753" s="1" t="s">
        <v>30</v>
      </c>
      <c r="M3753" s="1" t="str">
        <f>"山东省 菏泽市 牡丹区 "</f>
        <v xml:space="preserve">山东省 菏泽市 牡丹区 </v>
      </c>
      <c r="N3753" s="1" t="str">
        <f t="shared" si="1226"/>
        <v>凡华云仓-城南圆通-微信视频号</v>
      </c>
      <c r="O3753" s="5" t="s">
        <v>3785</v>
      </c>
      <c r="P3753" s="6">
        <v>0.34</v>
      </c>
      <c r="Q3753" s="11">
        <v>2.2999999999999998</v>
      </c>
      <c r="R3753" s="11"/>
      <c r="S3753" s="11"/>
      <c r="T3753" s="11"/>
      <c r="U3753" s="11">
        <f t="shared" si="1219"/>
        <v>2.2999999999999998</v>
      </c>
      <c r="W3753">
        <v>2.5</v>
      </c>
      <c r="X3753" s="1" t="s">
        <v>30</v>
      </c>
    </row>
    <row r="3754" spans="1:24" x14ac:dyDescent="0.25">
      <c r="A3754" s="1" t="str">
        <f t="shared" si="1221"/>
        <v>卡卡杜-凤凰仓</v>
      </c>
      <c r="B3754" s="1" t="str">
        <f>"CK20241022150"</f>
        <v>CK20241022150</v>
      </c>
      <c r="C3754" s="1" t="str">
        <f>"DD2024102253702"</f>
        <v>DD2024102253702</v>
      </c>
      <c r="D3754" s="1" t="str">
        <f>"CK2024102251142"</f>
        <v>CK2024102251142</v>
      </c>
      <c r="E3754" s="1" t="str">
        <f>"3723480029422554112"</f>
        <v>3723480029422554112</v>
      </c>
      <c r="F3754" s="1" t="str">
        <f t="shared" si="1222"/>
        <v>花都四部-凤凰仓</v>
      </c>
      <c r="G3754" s="1" t="str">
        <f t="shared" si="1225"/>
        <v>卡卡杜企业店（视频号）</v>
      </c>
      <c r="H3754" s="1" t="str">
        <f t="shared" si="1223"/>
        <v>正常订单</v>
      </c>
      <c r="I3754" s="1" t="str">
        <f t="shared" si="1224"/>
        <v>已发货</v>
      </c>
      <c r="J3754" s="1" t="str">
        <f t="shared" si="1228"/>
        <v>3</v>
      </c>
      <c r="K3754" s="1">
        <v>3</v>
      </c>
      <c r="L3754" s="1" t="s">
        <v>41</v>
      </c>
      <c r="M3754" s="1" t="str">
        <f>"湖北省 武汉市 江汉区 "</f>
        <v xml:space="preserve">湖北省 武汉市 江汉区 </v>
      </c>
      <c r="N3754" s="1" t="str">
        <f t="shared" si="1226"/>
        <v>凡华云仓-城南圆通-微信视频号</v>
      </c>
      <c r="O3754" s="5" t="s">
        <v>3786</v>
      </c>
      <c r="P3754" s="6">
        <v>0.34</v>
      </c>
      <c r="Q3754" s="11">
        <v>2.2999999999999998</v>
      </c>
      <c r="R3754" s="11"/>
      <c r="S3754" s="11"/>
      <c r="T3754" s="11"/>
      <c r="U3754" s="11">
        <f t="shared" si="1219"/>
        <v>2.2999999999999998</v>
      </c>
      <c r="W3754">
        <v>2.5</v>
      </c>
      <c r="X3754" s="1" t="s">
        <v>41</v>
      </c>
    </row>
    <row r="3755" spans="1:24" x14ac:dyDescent="0.25">
      <c r="A3755" s="1" t="str">
        <f t="shared" si="1221"/>
        <v>卡卡杜-凤凰仓</v>
      </c>
      <c r="B3755" s="1" t="str">
        <f>"CK20241022151"</f>
        <v>CK20241022151</v>
      </c>
      <c r="C3755" s="1" t="str">
        <f>"DD2024102253703"</f>
        <v>DD2024102253703</v>
      </c>
      <c r="D3755" s="1" t="str">
        <f>"CK2024102251141"</f>
        <v>CK2024102251141</v>
      </c>
      <c r="E3755" s="1" t="str">
        <f>"3723480027922830336"</f>
        <v>3723480027922830336</v>
      </c>
      <c r="F3755" s="1" t="str">
        <f t="shared" si="1222"/>
        <v>花都四部-凤凰仓</v>
      </c>
      <c r="G3755" s="1" t="str">
        <f t="shared" si="1225"/>
        <v>卡卡杜企业店（视频号）</v>
      </c>
      <c r="H3755" s="1" t="str">
        <f t="shared" si="1223"/>
        <v>正常订单</v>
      </c>
      <c r="I3755" s="1" t="str">
        <f t="shared" si="1224"/>
        <v>已发货</v>
      </c>
      <c r="J3755" s="1" t="str">
        <f t="shared" si="1228"/>
        <v>3</v>
      </c>
      <c r="K3755" s="1">
        <v>3</v>
      </c>
      <c r="L3755" s="1" t="s">
        <v>30</v>
      </c>
      <c r="M3755" s="1" t="str">
        <f>"山东省 滨州市 博兴县 "</f>
        <v xml:space="preserve">山东省 滨州市 博兴县 </v>
      </c>
      <c r="N3755" s="1" t="str">
        <f t="shared" si="1226"/>
        <v>凡华云仓-城南圆通-微信视频号</v>
      </c>
      <c r="O3755" s="5" t="s">
        <v>3787</v>
      </c>
      <c r="P3755" s="6">
        <v>0.34</v>
      </c>
      <c r="Q3755" s="11">
        <v>2.2999999999999998</v>
      </c>
      <c r="R3755" s="11"/>
      <c r="S3755" s="11"/>
      <c r="T3755" s="11"/>
      <c r="U3755" s="11">
        <f t="shared" si="1219"/>
        <v>2.2999999999999998</v>
      </c>
      <c r="W3755">
        <v>2.5</v>
      </c>
      <c r="X3755" s="1" t="s">
        <v>30</v>
      </c>
    </row>
    <row r="3756" spans="1:24" x14ac:dyDescent="0.25">
      <c r="A3756" s="1" t="str">
        <f t="shared" si="1221"/>
        <v>卡卡杜-凤凰仓</v>
      </c>
      <c r="B3756" s="1" t="str">
        <f>"CK20241022160"</f>
        <v>CK20241022160</v>
      </c>
      <c r="C3756" s="1" t="str">
        <f>"DD2024102253712"</f>
        <v>DD2024102253712</v>
      </c>
      <c r="D3756" s="1" t="str">
        <f>"CK2024102251140"</f>
        <v>CK2024102251140</v>
      </c>
      <c r="E3756" s="1" t="str">
        <f>"3723480025273339904"</f>
        <v>3723480025273339904</v>
      </c>
      <c r="F3756" s="1" t="str">
        <f t="shared" si="1222"/>
        <v>花都四部-凤凰仓</v>
      </c>
      <c r="G3756" s="1" t="str">
        <f t="shared" si="1225"/>
        <v>卡卡杜企业店（视频号）</v>
      </c>
      <c r="H3756" s="1" t="str">
        <f t="shared" si="1223"/>
        <v>正常订单</v>
      </c>
      <c r="I3756" s="1" t="str">
        <f t="shared" si="1224"/>
        <v>已发货</v>
      </c>
      <c r="J3756" s="1" t="str">
        <f t="shared" si="1228"/>
        <v>3</v>
      </c>
      <c r="K3756" s="1">
        <v>3</v>
      </c>
      <c r="L3756" s="1" t="s">
        <v>30</v>
      </c>
      <c r="M3756" s="1" t="str">
        <f>"山东省 潍坊市 昌邑市 "</f>
        <v xml:space="preserve">山东省 潍坊市 昌邑市 </v>
      </c>
      <c r="N3756" s="1" t="str">
        <f t="shared" si="1226"/>
        <v>凡华云仓-城南圆通-微信视频号</v>
      </c>
      <c r="O3756" s="5" t="s">
        <v>3788</v>
      </c>
      <c r="P3756" s="6">
        <v>0.34</v>
      </c>
      <c r="Q3756" s="11">
        <v>2.2999999999999998</v>
      </c>
      <c r="R3756" s="11"/>
      <c r="S3756" s="11"/>
      <c r="T3756" s="11"/>
      <c r="U3756" s="11">
        <f t="shared" si="1219"/>
        <v>2.2999999999999998</v>
      </c>
      <c r="W3756">
        <v>2.5</v>
      </c>
      <c r="X3756" s="1" t="s">
        <v>30</v>
      </c>
    </row>
    <row r="3757" spans="1:24" x14ac:dyDescent="0.25">
      <c r="A3757" s="1" t="str">
        <f t="shared" si="1221"/>
        <v>卡卡杜-凤凰仓</v>
      </c>
      <c r="B3757" s="1" t="str">
        <f>"CK20241022153"</f>
        <v>CK20241022153</v>
      </c>
      <c r="C3757" s="1" t="str">
        <f>"DD2024102253705"</f>
        <v>DD2024102253705</v>
      </c>
      <c r="D3757" s="1" t="str">
        <f>"CK2024102251139"</f>
        <v>CK2024102251139</v>
      </c>
      <c r="E3757" s="1" t="str">
        <f>"3723480027457521152"</f>
        <v>3723480027457521152</v>
      </c>
      <c r="F3757" s="1" t="str">
        <f t="shared" si="1222"/>
        <v>花都四部-凤凰仓</v>
      </c>
      <c r="G3757" s="1" t="str">
        <f t="shared" si="1225"/>
        <v>卡卡杜企业店（视频号）</v>
      </c>
      <c r="H3757" s="1" t="str">
        <f t="shared" si="1223"/>
        <v>正常订单</v>
      </c>
      <c r="I3757" s="1" t="str">
        <f t="shared" si="1224"/>
        <v>已发货</v>
      </c>
      <c r="J3757" s="1" t="str">
        <f t="shared" si="1228"/>
        <v>3</v>
      </c>
      <c r="K3757" s="1">
        <v>3</v>
      </c>
      <c r="L3757" s="1" t="s">
        <v>13</v>
      </c>
      <c r="M3757" s="1" t="str">
        <f>"江苏省 常州市 新北区 "</f>
        <v xml:space="preserve">江苏省 常州市 新北区 </v>
      </c>
      <c r="N3757" s="1" t="str">
        <f t="shared" si="1226"/>
        <v>凡华云仓-城南圆通-微信视频号</v>
      </c>
      <c r="O3757" s="5" t="s">
        <v>3789</v>
      </c>
      <c r="P3757" s="6">
        <v>0.34</v>
      </c>
      <c r="Q3757" s="11">
        <v>2.2999999999999998</v>
      </c>
      <c r="R3757" s="11"/>
      <c r="S3757" s="11"/>
      <c r="T3757" s="11"/>
      <c r="U3757" s="11">
        <f t="shared" si="1219"/>
        <v>2.2999999999999998</v>
      </c>
      <c r="W3757">
        <v>2.5</v>
      </c>
      <c r="X3757" s="1" t="s">
        <v>13</v>
      </c>
    </row>
    <row r="3758" spans="1:24" x14ac:dyDescent="0.25">
      <c r="A3758" s="1" t="str">
        <f t="shared" si="1221"/>
        <v>卡卡杜-凤凰仓</v>
      </c>
      <c r="B3758" s="1" t="str">
        <f>"CK20241022154"</f>
        <v>CK20241022154</v>
      </c>
      <c r="C3758" s="1" t="str">
        <f>"DD2024102253706"</f>
        <v>DD2024102253706</v>
      </c>
      <c r="D3758" s="1" t="str">
        <f>"CK2024102251138"</f>
        <v>CK2024102251138</v>
      </c>
      <c r="E3758" s="1" t="str">
        <f>"3723480028313424896"</f>
        <v>3723480028313424896</v>
      </c>
      <c r="F3758" s="1" t="str">
        <f t="shared" si="1222"/>
        <v>花都四部-凤凰仓</v>
      </c>
      <c r="G3758" s="1" t="str">
        <f t="shared" si="1225"/>
        <v>卡卡杜企业店（视频号）</v>
      </c>
      <c r="H3758" s="1" t="str">
        <f t="shared" si="1223"/>
        <v>正常订单</v>
      </c>
      <c r="I3758" s="1" t="str">
        <f t="shared" si="1224"/>
        <v>已发货</v>
      </c>
      <c r="J3758" s="1" t="str">
        <f t="shared" si="1228"/>
        <v>3</v>
      </c>
      <c r="K3758" s="1">
        <v>3</v>
      </c>
      <c r="L3758" s="1" t="s">
        <v>105</v>
      </c>
      <c r="M3758" s="1" t="str">
        <f>"北京 北京市 丰台区 "</f>
        <v xml:space="preserve">北京 北京市 丰台区 </v>
      </c>
      <c r="N3758" s="1" t="str">
        <f t="shared" si="1226"/>
        <v>凡华云仓-城南圆通-微信视频号</v>
      </c>
      <c r="O3758" s="5" t="s">
        <v>3790</v>
      </c>
      <c r="P3758" s="6">
        <v>0.34</v>
      </c>
      <c r="Q3758" s="11">
        <v>2.2999999999999998</v>
      </c>
      <c r="R3758" s="11"/>
      <c r="S3758" s="11"/>
      <c r="T3758" s="11"/>
      <c r="U3758" s="11">
        <f t="shared" si="1219"/>
        <v>2.2999999999999998</v>
      </c>
      <c r="W3758">
        <v>2.5</v>
      </c>
      <c r="X3758" s="1" t="s">
        <v>105</v>
      </c>
    </row>
    <row r="3759" spans="1:24" x14ac:dyDescent="0.25">
      <c r="A3759" s="1" t="str">
        <f t="shared" si="1221"/>
        <v>卡卡杜-凤凰仓</v>
      </c>
      <c r="B3759" s="1" t="str">
        <f>"CK20241022158"</f>
        <v>CK20241022158</v>
      </c>
      <c r="C3759" s="1" t="str">
        <f>"DD2024102253710"</f>
        <v>DD2024102253710</v>
      </c>
      <c r="D3759" s="1" t="str">
        <f>"CK2024102251137"</f>
        <v>CK2024102251137</v>
      </c>
      <c r="E3759" s="1" t="str">
        <f>"3723480027792018432"</f>
        <v>3723480027792018432</v>
      </c>
      <c r="F3759" s="1" t="str">
        <f t="shared" si="1222"/>
        <v>花都四部-凤凰仓</v>
      </c>
      <c r="G3759" s="1" t="str">
        <f t="shared" si="1225"/>
        <v>卡卡杜企业店（视频号）</v>
      </c>
      <c r="H3759" s="1" t="str">
        <f t="shared" si="1223"/>
        <v>正常订单</v>
      </c>
      <c r="I3759" s="1" t="str">
        <f t="shared" si="1224"/>
        <v>已发货</v>
      </c>
      <c r="J3759" s="1" t="str">
        <f t="shared" si="1228"/>
        <v>3</v>
      </c>
      <c r="K3759" s="1">
        <v>3</v>
      </c>
      <c r="L3759" s="1" t="s">
        <v>32</v>
      </c>
      <c r="M3759" s="1" t="str">
        <f>"陕西省 西安市 新城区 "</f>
        <v xml:space="preserve">陕西省 西安市 新城区 </v>
      </c>
      <c r="N3759" s="1" t="str">
        <f t="shared" si="1226"/>
        <v>凡华云仓-城南圆通-微信视频号</v>
      </c>
      <c r="O3759" s="5" t="s">
        <v>3791</v>
      </c>
      <c r="P3759" s="6">
        <v>0.34</v>
      </c>
      <c r="Q3759" s="11">
        <v>2.2999999999999998</v>
      </c>
      <c r="R3759" s="11"/>
      <c r="S3759" s="11"/>
      <c r="T3759" s="11"/>
      <c r="U3759" s="11">
        <f t="shared" si="1219"/>
        <v>2.2999999999999998</v>
      </c>
      <c r="W3759">
        <v>2.5</v>
      </c>
      <c r="X3759" s="1" t="s">
        <v>32</v>
      </c>
    </row>
    <row r="3760" spans="1:24" x14ac:dyDescent="0.25">
      <c r="A3760" s="1" t="str">
        <f t="shared" si="1221"/>
        <v>卡卡杜-凤凰仓</v>
      </c>
      <c r="B3760" s="1" t="str">
        <f>"CK20241022159"</f>
        <v>CK20241022159</v>
      </c>
      <c r="C3760" s="1" t="str">
        <f>"DD2024102253711"</f>
        <v>DD2024102253711</v>
      </c>
      <c r="D3760" s="1" t="str">
        <f>"CK2024102251136"</f>
        <v>CK2024102251136</v>
      </c>
      <c r="E3760" s="1" t="str">
        <f>"3723480024869901312"</f>
        <v>3723480024869901312</v>
      </c>
      <c r="F3760" s="1" t="str">
        <f t="shared" si="1222"/>
        <v>花都四部-凤凰仓</v>
      </c>
      <c r="G3760" s="1" t="str">
        <f t="shared" si="1225"/>
        <v>卡卡杜企业店（视频号）</v>
      </c>
      <c r="H3760" s="1" t="str">
        <f t="shared" si="1223"/>
        <v>正常订单</v>
      </c>
      <c r="I3760" s="1" t="str">
        <f t="shared" si="1224"/>
        <v>已发货</v>
      </c>
      <c r="J3760" s="1" t="str">
        <f t="shared" si="1228"/>
        <v>3</v>
      </c>
      <c r="K3760" s="1">
        <v>3</v>
      </c>
      <c r="L3760" s="1" t="s">
        <v>44</v>
      </c>
      <c r="M3760" s="1" t="str">
        <f>"海南省 省直辖县级行政区划 万宁市 "</f>
        <v xml:space="preserve">海南省 省直辖县级行政区划 万宁市 </v>
      </c>
      <c r="N3760" s="1" t="str">
        <f t="shared" si="1226"/>
        <v>凡华云仓-城南圆通-微信视频号</v>
      </c>
      <c r="O3760" s="5" t="s">
        <v>3792</v>
      </c>
      <c r="P3760" s="6">
        <v>0.34</v>
      </c>
      <c r="Q3760" s="11">
        <v>2.2999999999999998</v>
      </c>
      <c r="R3760" s="11"/>
      <c r="S3760" s="11"/>
      <c r="T3760" s="11"/>
      <c r="U3760" s="11">
        <f t="shared" si="1219"/>
        <v>2.2999999999999998</v>
      </c>
      <c r="W3760">
        <v>2.5</v>
      </c>
      <c r="X3760" s="1" t="s">
        <v>44</v>
      </c>
    </row>
    <row r="3761" spans="1:24" x14ac:dyDescent="0.25">
      <c r="A3761" s="1" t="str">
        <f t="shared" si="1221"/>
        <v>卡卡杜-凤凰仓</v>
      </c>
      <c r="B3761" s="1" t="str">
        <f>"CK20241022155"</f>
        <v>CK20241022155</v>
      </c>
      <c r="C3761" s="1" t="str">
        <f>"DD2024102253707"</f>
        <v>DD2024102253707</v>
      </c>
      <c r="D3761" s="1" t="str">
        <f>"CK2024102251135"</f>
        <v>CK2024102251135</v>
      </c>
      <c r="E3761" s="1" t="str">
        <f>"3723480028033451264"</f>
        <v>3723480028033451264</v>
      </c>
      <c r="F3761" s="1" t="str">
        <f t="shared" si="1222"/>
        <v>花都四部-凤凰仓</v>
      </c>
      <c r="G3761" s="1" t="str">
        <f t="shared" si="1225"/>
        <v>卡卡杜企业店（视频号）</v>
      </c>
      <c r="H3761" s="1" t="str">
        <f t="shared" si="1223"/>
        <v>正常订单</v>
      </c>
      <c r="I3761" s="1" t="str">
        <f t="shared" si="1224"/>
        <v>已发货</v>
      </c>
      <c r="J3761" s="1" t="str">
        <f t="shared" si="1228"/>
        <v>3</v>
      </c>
      <c r="K3761" s="1">
        <v>3</v>
      </c>
      <c r="L3761" s="1" t="s">
        <v>36</v>
      </c>
      <c r="M3761" s="1" t="str">
        <f>"安徽省 阜阳市 颍州区 "</f>
        <v xml:space="preserve">安徽省 阜阳市 颍州区 </v>
      </c>
      <c r="N3761" s="1" t="str">
        <f t="shared" si="1226"/>
        <v>凡华云仓-城南圆通-微信视频号</v>
      </c>
      <c r="O3761" s="5" t="s">
        <v>3793</v>
      </c>
      <c r="P3761" s="6">
        <v>0.34</v>
      </c>
      <c r="Q3761" s="11">
        <v>2.2999999999999998</v>
      </c>
      <c r="R3761" s="11"/>
      <c r="S3761" s="11"/>
      <c r="T3761" s="11"/>
      <c r="U3761" s="11">
        <f t="shared" si="1219"/>
        <v>2.2999999999999998</v>
      </c>
      <c r="W3761">
        <v>2.5</v>
      </c>
      <c r="X3761" s="1" t="s">
        <v>36</v>
      </c>
    </row>
    <row r="3762" spans="1:24" x14ac:dyDescent="0.25">
      <c r="A3762" s="1" t="str">
        <f t="shared" si="1221"/>
        <v>卡卡杜-凤凰仓</v>
      </c>
      <c r="B3762" s="1" t="str">
        <f>"CK20241022163"</f>
        <v>CK20241022163</v>
      </c>
      <c r="C3762" s="1" t="str">
        <f>"DD2024102253715"</f>
        <v>DD2024102253715</v>
      </c>
      <c r="D3762" s="1" t="str">
        <f>"CK2024102251134"</f>
        <v>CK2024102251134</v>
      </c>
      <c r="E3762" s="1" t="str">
        <f>"3723480024636591104"</f>
        <v>3723480024636591104</v>
      </c>
      <c r="F3762" s="1" t="str">
        <f t="shared" si="1222"/>
        <v>花都四部-凤凰仓</v>
      </c>
      <c r="G3762" s="1" t="str">
        <f t="shared" si="1225"/>
        <v>卡卡杜企业店（视频号）</v>
      </c>
      <c r="H3762" s="1" t="str">
        <f t="shared" si="1223"/>
        <v>正常订单</v>
      </c>
      <c r="I3762" s="1" t="str">
        <f t="shared" si="1224"/>
        <v>已发货</v>
      </c>
      <c r="J3762" s="1" t="str">
        <f t="shared" si="1228"/>
        <v>3</v>
      </c>
      <c r="K3762" s="1">
        <v>3</v>
      </c>
      <c r="L3762" s="1" t="s">
        <v>109</v>
      </c>
      <c r="M3762" s="1" t="str">
        <f>"山西省 临汾市 曲沃县 "</f>
        <v xml:space="preserve">山西省 临汾市 曲沃县 </v>
      </c>
      <c r="N3762" s="1" t="str">
        <f t="shared" si="1226"/>
        <v>凡华云仓-城南圆通-微信视频号</v>
      </c>
      <c r="O3762" s="5" t="s">
        <v>3794</v>
      </c>
      <c r="P3762" s="6">
        <v>0.34</v>
      </c>
      <c r="Q3762" s="11">
        <v>2.2999999999999998</v>
      </c>
      <c r="R3762" s="11"/>
      <c r="S3762" s="11"/>
      <c r="T3762" s="11"/>
      <c r="U3762" s="11">
        <f t="shared" si="1219"/>
        <v>2.2999999999999998</v>
      </c>
      <c r="W3762">
        <v>2.5</v>
      </c>
      <c r="X3762" s="1" t="s">
        <v>109</v>
      </c>
    </row>
    <row r="3763" spans="1:24" x14ac:dyDescent="0.25">
      <c r="A3763" s="1" t="str">
        <f t="shared" si="1221"/>
        <v>卡卡杜-凤凰仓</v>
      </c>
      <c r="B3763" s="1" t="str">
        <f>"CK2024102208"</f>
        <v>CK2024102208</v>
      </c>
      <c r="C3763" s="1" t="str">
        <f>"DD2024102253560"</f>
        <v>DD2024102253560</v>
      </c>
      <c r="D3763" s="1" t="str">
        <f>"CK2024102251133"</f>
        <v>CK2024102251133</v>
      </c>
      <c r="E3763" s="1" t="str">
        <f>"3723480027238106624"</f>
        <v>3723480027238106624</v>
      </c>
      <c r="F3763" s="1" t="str">
        <f t="shared" si="1222"/>
        <v>花都四部-凤凰仓</v>
      </c>
      <c r="G3763" s="1" t="str">
        <f t="shared" si="1225"/>
        <v>卡卡杜企业店（视频号）</v>
      </c>
      <c r="H3763" s="1" t="str">
        <f t="shared" si="1223"/>
        <v>正常订单</v>
      </c>
      <c r="I3763" s="1" t="str">
        <f t="shared" si="1224"/>
        <v>已发货</v>
      </c>
      <c r="J3763" s="1" t="str">
        <f>"5"</f>
        <v>5</v>
      </c>
      <c r="K3763" s="1">
        <v>3</v>
      </c>
      <c r="L3763" s="1" t="s">
        <v>105</v>
      </c>
      <c r="M3763" s="1" t="str">
        <f>"北京 北京市 通州区 "</f>
        <v xml:space="preserve">北京 北京市 通州区 </v>
      </c>
      <c r="N3763" s="1" t="str">
        <f t="shared" si="1226"/>
        <v>凡华云仓-城南圆通-微信视频号</v>
      </c>
      <c r="O3763" s="5" t="s">
        <v>3795</v>
      </c>
      <c r="P3763" s="6">
        <v>0.56000000000000005</v>
      </c>
      <c r="Q3763" s="11">
        <f>CEILING(P3763-0.5,0.1)*10*0.15+2.3</f>
        <v>2.4499999999999997</v>
      </c>
      <c r="R3763" s="11"/>
      <c r="S3763" s="11"/>
      <c r="T3763" s="11"/>
      <c r="U3763" s="11">
        <f t="shared" si="1219"/>
        <v>2.4499999999999997</v>
      </c>
      <c r="V3763" t="s">
        <v>15</v>
      </c>
      <c r="W3763">
        <v>2.4500000000000002</v>
      </c>
      <c r="X3763" s="1" t="s">
        <v>105</v>
      </c>
    </row>
    <row r="3764" spans="1:24" x14ac:dyDescent="0.25">
      <c r="A3764" s="1" t="str">
        <f t="shared" si="1221"/>
        <v>卡卡杜-凤凰仓</v>
      </c>
      <c r="B3764" s="1" t="str">
        <f>"CK20241022156"</f>
        <v>CK20241022156</v>
      </c>
      <c r="C3764" s="1" t="str">
        <f>"DD2024102253708"</f>
        <v>DD2024102253708</v>
      </c>
      <c r="D3764" s="1" t="str">
        <f>"CK2024102251132"</f>
        <v>CK2024102251132</v>
      </c>
      <c r="E3764" s="1" t="str">
        <f>"3723480028137264128"</f>
        <v>3723480028137264128</v>
      </c>
      <c r="F3764" s="1" t="str">
        <f t="shared" si="1222"/>
        <v>花都四部-凤凰仓</v>
      </c>
      <c r="G3764" s="1" t="str">
        <f t="shared" si="1225"/>
        <v>卡卡杜企业店（视频号）</v>
      </c>
      <c r="H3764" s="1" t="str">
        <f t="shared" si="1223"/>
        <v>正常订单</v>
      </c>
      <c r="I3764" s="1" t="str">
        <f t="shared" si="1224"/>
        <v>已发货</v>
      </c>
      <c r="J3764" s="1" t="str">
        <f t="shared" ref="J3764:J3776" si="1229">"3"</f>
        <v>3</v>
      </c>
      <c r="K3764" s="1">
        <v>3</v>
      </c>
      <c r="L3764" s="1" t="s">
        <v>105</v>
      </c>
      <c r="M3764" s="1" t="str">
        <f>"北京 北京市 石景山区 "</f>
        <v xml:space="preserve">北京 北京市 石景山区 </v>
      </c>
      <c r="N3764" s="1" t="str">
        <f t="shared" si="1226"/>
        <v>凡华云仓-城南圆通-微信视频号</v>
      </c>
      <c r="O3764" s="5" t="s">
        <v>3796</v>
      </c>
      <c r="P3764" s="6">
        <v>0.34</v>
      </c>
      <c r="Q3764" s="11">
        <v>2.2999999999999998</v>
      </c>
      <c r="R3764" s="11"/>
      <c r="S3764" s="11"/>
      <c r="T3764" s="11"/>
      <c r="U3764" s="11">
        <f t="shared" si="1219"/>
        <v>2.2999999999999998</v>
      </c>
      <c r="W3764">
        <v>2.5</v>
      </c>
      <c r="X3764" s="1" t="s">
        <v>105</v>
      </c>
    </row>
    <row r="3765" spans="1:24" x14ac:dyDescent="0.25">
      <c r="A3765" s="1" t="str">
        <f t="shared" si="1221"/>
        <v>卡卡杜-凤凰仓</v>
      </c>
      <c r="B3765" s="1" t="str">
        <f>"CK20241022162"</f>
        <v>CK20241022162</v>
      </c>
      <c r="C3765" s="1" t="str">
        <f>"DD2024102253714"</f>
        <v>DD2024102253714</v>
      </c>
      <c r="D3765" s="1" t="str">
        <f>"CK2024102251131"</f>
        <v>CK2024102251131</v>
      </c>
      <c r="E3765" s="1" t="str">
        <f>"3723480025804966912"</f>
        <v>3723480025804966912</v>
      </c>
      <c r="F3765" s="1" t="str">
        <f t="shared" si="1222"/>
        <v>花都四部-凤凰仓</v>
      </c>
      <c r="G3765" s="1" t="str">
        <f t="shared" si="1225"/>
        <v>卡卡杜企业店（视频号）</v>
      </c>
      <c r="H3765" s="1" t="str">
        <f t="shared" si="1223"/>
        <v>正常订单</v>
      </c>
      <c r="I3765" s="1" t="str">
        <f t="shared" si="1224"/>
        <v>已发货</v>
      </c>
      <c r="J3765" s="1" t="str">
        <f t="shared" si="1229"/>
        <v>3</v>
      </c>
      <c r="K3765" s="1">
        <v>3</v>
      </c>
      <c r="L3765" s="1" t="s">
        <v>13</v>
      </c>
      <c r="M3765" s="1" t="str">
        <f>"江苏省 南京市 六合区 "</f>
        <v xml:space="preserve">江苏省 南京市 六合区 </v>
      </c>
      <c r="N3765" s="1" t="str">
        <f t="shared" si="1226"/>
        <v>凡华云仓-城南圆通-微信视频号</v>
      </c>
      <c r="O3765" s="5" t="s">
        <v>3797</v>
      </c>
      <c r="P3765" s="6">
        <v>0.34</v>
      </c>
      <c r="Q3765" s="11">
        <v>2.2999999999999998</v>
      </c>
      <c r="R3765" s="11"/>
      <c r="S3765" s="11"/>
      <c r="T3765" s="11"/>
      <c r="U3765" s="11">
        <f t="shared" si="1219"/>
        <v>2.2999999999999998</v>
      </c>
      <c r="W3765">
        <v>2.5</v>
      </c>
      <c r="X3765" s="1" t="s">
        <v>13</v>
      </c>
    </row>
    <row r="3766" spans="1:24" x14ac:dyDescent="0.25">
      <c r="A3766" s="1" t="str">
        <f t="shared" si="1221"/>
        <v>卡卡杜-凤凰仓</v>
      </c>
      <c r="B3766" s="1" t="str">
        <f>"CK20241022168"</f>
        <v>CK20241022168</v>
      </c>
      <c r="C3766" s="1" t="str">
        <f>"DD2024102253719"</f>
        <v>DD2024102253719</v>
      </c>
      <c r="D3766" s="1" t="str">
        <f>"CK2024102251130"</f>
        <v>CK2024102251130</v>
      </c>
      <c r="E3766" s="1" t="str">
        <f>"3723480024868064256"</f>
        <v>3723480024868064256</v>
      </c>
      <c r="F3766" s="1" t="str">
        <f t="shared" si="1222"/>
        <v>花都四部-凤凰仓</v>
      </c>
      <c r="G3766" s="1" t="str">
        <f t="shared" si="1225"/>
        <v>卡卡杜企业店（视频号）</v>
      </c>
      <c r="H3766" s="1" t="str">
        <f t="shared" si="1223"/>
        <v>正常订单</v>
      </c>
      <c r="I3766" s="1" t="str">
        <f t="shared" si="1224"/>
        <v>已发货</v>
      </c>
      <c r="J3766" s="1" t="str">
        <f t="shared" si="1229"/>
        <v>3</v>
      </c>
      <c r="K3766" s="1">
        <v>3</v>
      </c>
      <c r="L3766" s="1" t="s">
        <v>30</v>
      </c>
      <c r="M3766" s="1" t="str">
        <f>"山东省 东营市 广饶县 "</f>
        <v xml:space="preserve">山东省 东营市 广饶县 </v>
      </c>
      <c r="N3766" s="1" t="str">
        <f t="shared" si="1226"/>
        <v>凡华云仓-城南圆通-微信视频号</v>
      </c>
      <c r="O3766" s="5" t="s">
        <v>3798</v>
      </c>
      <c r="P3766" s="6">
        <v>0.34</v>
      </c>
      <c r="Q3766" s="11">
        <v>2.2999999999999998</v>
      </c>
      <c r="R3766" s="11"/>
      <c r="S3766" s="11"/>
      <c r="T3766" s="11"/>
      <c r="U3766" s="11">
        <f t="shared" si="1219"/>
        <v>2.2999999999999998</v>
      </c>
      <c r="W3766">
        <v>2.5</v>
      </c>
      <c r="X3766" s="1" t="s">
        <v>30</v>
      </c>
    </row>
    <row r="3767" spans="1:24" x14ac:dyDescent="0.25">
      <c r="A3767" s="1" t="str">
        <f t="shared" si="1221"/>
        <v>卡卡杜-凤凰仓</v>
      </c>
      <c r="B3767" s="1" t="str">
        <f>"CK20241022166"</f>
        <v>CK20241022166</v>
      </c>
      <c r="C3767" s="1" t="str">
        <f>"DD2024102253717"</f>
        <v>DD2024102253717</v>
      </c>
      <c r="D3767" s="1" t="str">
        <f>"CK2024102251129"</f>
        <v>CK2024102251129</v>
      </c>
      <c r="E3767" s="1" t="str">
        <f>"3723480025783209984"</f>
        <v>3723480025783209984</v>
      </c>
      <c r="F3767" s="1" t="str">
        <f t="shared" si="1222"/>
        <v>花都四部-凤凰仓</v>
      </c>
      <c r="G3767" s="1" t="str">
        <f t="shared" si="1225"/>
        <v>卡卡杜企业店（视频号）</v>
      </c>
      <c r="H3767" s="1" t="str">
        <f t="shared" si="1223"/>
        <v>正常订单</v>
      </c>
      <c r="I3767" s="1" t="str">
        <f t="shared" si="1224"/>
        <v>已发货</v>
      </c>
      <c r="J3767" s="1" t="str">
        <f t="shared" si="1229"/>
        <v>3</v>
      </c>
      <c r="K3767" s="1">
        <v>3</v>
      </c>
      <c r="L3767" s="1" t="s">
        <v>105</v>
      </c>
      <c r="M3767" s="1" t="str">
        <f>"北京 北京市 朝阳区 "</f>
        <v xml:space="preserve">北京 北京市 朝阳区 </v>
      </c>
      <c r="N3767" s="1" t="str">
        <f t="shared" si="1226"/>
        <v>凡华云仓-城南圆通-微信视频号</v>
      </c>
      <c r="O3767" s="5" t="s">
        <v>3799</v>
      </c>
      <c r="P3767" s="6">
        <v>0.34</v>
      </c>
      <c r="Q3767" s="11">
        <v>2.2999999999999998</v>
      </c>
      <c r="R3767" s="11"/>
      <c r="S3767" s="11"/>
      <c r="T3767" s="11"/>
      <c r="U3767" s="11">
        <f t="shared" si="1219"/>
        <v>2.2999999999999998</v>
      </c>
      <c r="W3767">
        <v>2.5</v>
      </c>
      <c r="X3767" s="1" t="s">
        <v>105</v>
      </c>
    </row>
    <row r="3768" spans="1:24" x14ac:dyDescent="0.25">
      <c r="A3768" s="1" t="str">
        <f t="shared" si="1221"/>
        <v>卡卡杜-凤凰仓</v>
      </c>
      <c r="B3768" s="1" t="str">
        <f>"CK20241022164"</f>
        <v>CK20241022164</v>
      </c>
      <c r="C3768" s="1" t="str">
        <f>"DD2024102253716"</f>
        <v>DD2024102253716</v>
      </c>
      <c r="D3768" s="1" t="str">
        <f>"CK2024102251128"</f>
        <v>CK2024102251128</v>
      </c>
      <c r="E3768" s="1" t="str">
        <f>"3723480024257791232"</f>
        <v>3723480024257791232</v>
      </c>
      <c r="F3768" s="1" t="str">
        <f t="shared" si="1222"/>
        <v>花都四部-凤凰仓</v>
      </c>
      <c r="G3768" s="1" t="str">
        <f t="shared" si="1225"/>
        <v>卡卡杜企业店（视频号）</v>
      </c>
      <c r="H3768" s="1" t="str">
        <f t="shared" si="1223"/>
        <v>正常订单</v>
      </c>
      <c r="I3768" s="1" t="str">
        <f t="shared" si="1224"/>
        <v>已发货</v>
      </c>
      <c r="J3768" s="1" t="str">
        <f t="shared" si="1229"/>
        <v>3</v>
      </c>
      <c r="K3768" s="1">
        <v>3</v>
      </c>
      <c r="L3768" s="1" t="s">
        <v>94</v>
      </c>
      <c r="M3768" s="1" t="str">
        <f>"湖南省 常德市 汉寿县 "</f>
        <v xml:space="preserve">湖南省 常德市 汉寿县 </v>
      </c>
      <c r="N3768" s="1" t="str">
        <f t="shared" si="1226"/>
        <v>凡华云仓-城南圆通-微信视频号</v>
      </c>
      <c r="O3768" s="5" t="s">
        <v>3800</v>
      </c>
      <c r="P3768" s="6">
        <v>0.34</v>
      </c>
      <c r="Q3768" s="11">
        <v>2.2999999999999998</v>
      </c>
      <c r="R3768" s="11"/>
      <c r="S3768" s="11"/>
      <c r="T3768" s="11"/>
      <c r="U3768" s="11">
        <f t="shared" si="1219"/>
        <v>2.2999999999999998</v>
      </c>
      <c r="W3768">
        <v>2.5</v>
      </c>
      <c r="X3768" s="1" t="s">
        <v>94</v>
      </c>
    </row>
    <row r="3769" spans="1:24" x14ac:dyDescent="0.25">
      <c r="A3769" s="1" t="str">
        <f t="shared" si="1221"/>
        <v>卡卡杜-凤凰仓</v>
      </c>
      <c r="B3769" s="1" t="str">
        <f>"CK20241022181"</f>
        <v>CK20241022181</v>
      </c>
      <c r="C3769" s="1" t="str">
        <f>"DD2024102253733"</f>
        <v>DD2024102253733</v>
      </c>
      <c r="D3769" s="1" t="str">
        <f>"CK2024102251127"</f>
        <v>CK2024102251127</v>
      </c>
      <c r="E3769" s="1" t="str">
        <f>"3723480023639396352"</f>
        <v>3723480023639396352</v>
      </c>
      <c r="F3769" s="1" t="str">
        <f t="shared" si="1222"/>
        <v>花都四部-凤凰仓</v>
      </c>
      <c r="G3769" s="1" t="str">
        <f t="shared" si="1225"/>
        <v>卡卡杜企业店（视频号）</v>
      </c>
      <c r="H3769" s="1" t="str">
        <f t="shared" si="1223"/>
        <v>正常订单</v>
      </c>
      <c r="I3769" s="1" t="str">
        <f t="shared" si="1224"/>
        <v>已发货</v>
      </c>
      <c r="J3769" s="1" t="str">
        <f t="shared" si="1229"/>
        <v>3</v>
      </c>
      <c r="K3769" s="1">
        <v>3</v>
      </c>
      <c r="L3769" s="1" t="s">
        <v>16</v>
      </c>
      <c r="M3769" s="1" t="str">
        <f>"河北省 张家口市 阳原县 "</f>
        <v xml:space="preserve">河北省 张家口市 阳原县 </v>
      </c>
      <c r="N3769" s="1" t="str">
        <f t="shared" si="1226"/>
        <v>凡华云仓-城南圆通-微信视频号</v>
      </c>
      <c r="O3769" s="5" t="s">
        <v>3801</v>
      </c>
      <c r="P3769" s="6">
        <v>0.34</v>
      </c>
      <c r="Q3769" s="11">
        <v>2.2999999999999998</v>
      </c>
      <c r="R3769" s="11"/>
      <c r="S3769" s="11"/>
      <c r="T3769" s="11"/>
      <c r="U3769" s="11">
        <f t="shared" si="1219"/>
        <v>2.2999999999999998</v>
      </c>
      <c r="W3769">
        <v>2.5</v>
      </c>
      <c r="X3769" s="1" t="s">
        <v>16</v>
      </c>
    </row>
    <row r="3770" spans="1:24" x14ac:dyDescent="0.25">
      <c r="A3770" s="1" t="str">
        <f t="shared" si="1221"/>
        <v>卡卡杜-凤凰仓</v>
      </c>
      <c r="B3770" s="1" t="str">
        <f>"CK20241022167"</f>
        <v>CK20241022167</v>
      </c>
      <c r="C3770" s="1" t="str">
        <f>"DD2024102253720"</f>
        <v>DD2024102253720</v>
      </c>
      <c r="D3770" s="1" t="str">
        <f>"CK2024102251126"</f>
        <v>CK2024102251126</v>
      </c>
      <c r="E3770" s="1" t="str">
        <f>"3723480026238817280"</f>
        <v>3723480026238817280</v>
      </c>
      <c r="F3770" s="1" t="str">
        <f t="shared" si="1222"/>
        <v>花都四部-凤凰仓</v>
      </c>
      <c r="G3770" s="1" t="str">
        <f t="shared" si="1225"/>
        <v>卡卡杜企业店（视频号）</v>
      </c>
      <c r="H3770" s="1" t="str">
        <f t="shared" si="1223"/>
        <v>正常订单</v>
      </c>
      <c r="I3770" s="1" t="str">
        <f t="shared" si="1224"/>
        <v>已发货</v>
      </c>
      <c r="J3770" s="1" t="str">
        <f t="shared" si="1229"/>
        <v>3</v>
      </c>
      <c r="K3770" s="1">
        <v>3</v>
      </c>
      <c r="L3770" s="1" t="s">
        <v>30</v>
      </c>
      <c r="M3770" s="1" t="str">
        <f>"山东省 东营市 东营区 "</f>
        <v xml:space="preserve">山东省 东营市 东营区 </v>
      </c>
      <c r="N3770" s="1" t="str">
        <f t="shared" si="1226"/>
        <v>凡华云仓-城南圆通-微信视频号</v>
      </c>
      <c r="O3770" s="5" t="s">
        <v>3802</v>
      </c>
      <c r="P3770" s="6">
        <v>0.34</v>
      </c>
      <c r="Q3770" s="11">
        <v>2.2999999999999998</v>
      </c>
      <c r="R3770" s="11"/>
      <c r="S3770" s="11"/>
      <c r="T3770" s="11"/>
      <c r="U3770" s="11">
        <f t="shared" si="1219"/>
        <v>2.2999999999999998</v>
      </c>
      <c r="W3770">
        <v>2.5</v>
      </c>
      <c r="X3770" s="1" t="s">
        <v>30</v>
      </c>
    </row>
    <row r="3771" spans="1:24" x14ac:dyDescent="0.25">
      <c r="A3771" s="1" t="str">
        <f t="shared" si="1221"/>
        <v>卡卡杜-凤凰仓</v>
      </c>
      <c r="B3771" s="1" t="str">
        <f>"CK20241022190"</f>
        <v>CK20241022190</v>
      </c>
      <c r="C3771" s="1" t="str">
        <f>"DD2024102253743"</f>
        <v>DD2024102253743</v>
      </c>
      <c r="D3771" s="1" t="str">
        <f>"CK2024102251125"</f>
        <v>CK2024102251125</v>
      </c>
      <c r="E3771" s="1" t="str">
        <f>"3723480022820718080"</f>
        <v>3723480022820718080</v>
      </c>
      <c r="F3771" s="1" t="str">
        <f t="shared" si="1222"/>
        <v>花都四部-凤凰仓</v>
      </c>
      <c r="G3771" s="1" t="str">
        <f t="shared" si="1225"/>
        <v>卡卡杜企业店（视频号）</v>
      </c>
      <c r="H3771" s="1" t="str">
        <f t="shared" si="1223"/>
        <v>正常订单</v>
      </c>
      <c r="I3771" s="1" t="str">
        <f t="shared" si="1224"/>
        <v>已发货</v>
      </c>
      <c r="J3771" s="1" t="str">
        <f t="shared" si="1229"/>
        <v>3</v>
      </c>
      <c r="K3771" s="1">
        <v>3</v>
      </c>
      <c r="L3771" s="1" t="s">
        <v>105</v>
      </c>
      <c r="M3771" s="1" t="str">
        <f>"北京 北京市 丰台区 "</f>
        <v xml:space="preserve">北京 北京市 丰台区 </v>
      </c>
      <c r="N3771" s="1" t="str">
        <f t="shared" si="1226"/>
        <v>凡华云仓-城南圆通-微信视频号</v>
      </c>
      <c r="O3771" s="5" t="s">
        <v>3803</v>
      </c>
      <c r="P3771" s="6">
        <v>0.34</v>
      </c>
      <c r="Q3771" s="11">
        <v>2.2999999999999998</v>
      </c>
      <c r="R3771" s="11"/>
      <c r="S3771" s="11"/>
      <c r="T3771" s="11"/>
      <c r="U3771" s="11">
        <f t="shared" si="1219"/>
        <v>2.2999999999999998</v>
      </c>
      <c r="W3771">
        <v>2.5</v>
      </c>
      <c r="X3771" s="1" t="s">
        <v>105</v>
      </c>
    </row>
    <row r="3772" spans="1:24" x14ac:dyDescent="0.25">
      <c r="A3772" s="1" t="str">
        <f t="shared" si="1221"/>
        <v>卡卡杜-凤凰仓</v>
      </c>
      <c r="B3772" s="1" t="str">
        <f>"CK20241022165"</f>
        <v>CK20241022165</v>
      </c>
      <c r="C3772" s="1" t="str">
        <f>"DD2024102253718"</f>
        <v>DD2024102253718</v>
      </c>
      <c r="D3772" s="1" t="str">
        <f>"CK2024102251124"</f>
        <v>CK2024102251124</v>
      </c>
      <c r="E3772" s="1" t="str">
        <f>"3723480026196608512"</f>
        <v>3723480026196608512</v>
      </c>
      <c r="F3772" s="1" t="str">
        <f t="shared" si="1222"/>
        <v>花都四部-凤凰仓</v>
      </c>
      <c r="G3772" s="1" t="str">
        <f t="shared" si="1225"/>
        <v>卡卡杜企业店（视频号）</v>
      </c>
      <c r="H3772" s="1" t="str">
        <f t="shared" si="1223"/>
        <v>正常订单</v>
      </c>
      <c r="I3772" s="1" t="str">
        <f t="shared" si="1224"/>
        <v>已发货</v>
      </c>
      <c r="J3772" s="1" t="str">
        <f t="shared" si="1229"/>
        <v>3</v>
      </c>
      <c r="K3772" s="1">
        <v>3</v>
      </c>
      <c r="L3772" s="1" t="s">
        <v>105</v>
      </c>
      <c r="M3772" s="1" t="str">
        <f>"北京 北京市 昌平区 "</f>
        <v xml:space="preserve">北京 北京市 昌平区 </v>
      </c>
      <c r="N3772" s="1" t="str">
        <f t="shared" si="1226"/>
        <v>凡华云仓-城南圆通-微信视频号</v>
      </c>
      <c r="O3772" s="5" t="s">
        <v>3804</v>
      </c>
      <c r="P3772" s="6">
        <v>0.34</v>
      </c>
      <c r="Q3772" s="11">
        <v>2.2999999999999998</v>
      </c>
      <c r="R3772" s="11"/>
      <c r="S3772" s="11"/>
      <c r="T3772" s="11"/>
      <c r="U3772" s="11">
        <f t="shared" si="1219"/>
        <v>2.2999999999999998</v>
      </c>
      <c r="W3772">
        <v>2.5</v>
      </c>
      <c r="X3772" s="1" t="s">
        <v>105</v>
      </c>
    </row>
    <row r="3773" spans="1:24" x14ac:dyDescent="0.25">
      <c r="A3773" s="1" t="str">
        <f t="shared" si="1221"/>
        <v>卡卡杜-凤凰仓</v>
      </c>
      <c r="B3773" s="1" t="str">
        <f>"CK20241022174"</f>
        <v>CK20241022174</v>
      </c>
      <c r="C3773" s="1" t="str">
        <f>"DD2024102253726"</f>
        <v>DD2024102253726</v>
      </c>
      <c r="D3773" s="1" t="str">
        <f>"CK2024102251123"</f>
        <v>CK2024102251123</v>
      </c>
      <c r="E3773" s="1" t="str">
        <f>"3723480024419272192"</f>
        <v>3723480024419272192</v>
      </c>
      <c r="F3773" s="1" t="str">
        <f t="shared" si="1222"/>
        <v>花都四部-凤凰仓</v>
      </c>
      <c r="G3773" s="1" t="str">
        <f t="shared" si="1225"/>
        <v>卡卡杜企业店（视频号）</v>
      </c>
      <c r="H3773" s="1" t="str">
        <f t="shared" si="1223"/>
        <v>正常订单</v>
      </c>
      <c r="I3773" s="1" t="str">
        <f t="shared" si="1224"/>
        <v>已发货</v>
      </c>
      <c r="J3773" s="1" t="str">
        <f t="shared" si="1229"/>
        <v>3</v>
      </c>
      <c r="K3773" s="1">
        <v>3</v>
      </c>
      <c r="L3773" s="1" t="s">
        <v>30</v>
      </c>
      <c r="M3773" s="1" t="str">
        <f>"山东省 东营市 东营区 "</f>
        <v xml:space="preserve">山东省 东营市 东营区 </v>
      </c>
      <c r="N3773" s="1" t="str">
        <f t="shared" si="1226"/>
        <v>凡华云仓-城南圆通-微信视频号</v>
      </c>
      <c r="O3773" s="5" t="s">
        <v>3805</v>
      </c>
      <c r="P3773" s="6">
        <v>0.34</v>
      </c>
      <c r="Q3773" s="11">
        <v>2.2999999999999998</v>
      </c>
      <c r="R3773" s="11"/>
      <c r="S3773" s="11"/>
      <c r="T3773" s="11"/>
      <c r="U3773" s="11">
        <f t="shared" si="1219"/>
        <v>2.2999999999999998</v>
      </c>
      <c r="W3773">
        <v>2.5</v>
      </c>
      <c r="X3773" s="1" t="s">
        <v>30</v>
      </c>
    </row>
    <row r="3774" spans="1:24" x14ac:dyDescent="0.25">
      <c r="A3774" s="1" t="str">
        <f t="shared" si="1221"/>
        <v>卡卡杜-凤凰仓</v>
      </c>
      <c r="B3774" s="1" t="str">
        <f>"CK20241022170"</f>
        <v>CK20241022170</v>
      </c>
      <c r="C3774" s="1" t="str">
        <f>"DD2024102253721"</f>
        <v>DD2024102253721</v>
      </c>
      <c r="D3774" s="1" t="str">
        <f>"CK2024102251122"</f>
        <v>CK2024102251122</v>
      </c>
      <c r="E3774" s="1" t="str">
        <f>"3723480023877686272"</f>
        <v>3723480023877686272</v>
      </c>
      <c r="F3774" s="1" t="str">
        <f t="shared" si="1222"/>
        <v>花都四部-凤凰仓</v>
      </c>
      <c r="G3774" s="1" t="str">
        <f t="shared" si="1225"/>
        <v>卡卡杜企业店（视频号）</v>
      </c>
      <c r="H3774" s="1" t="str">
        <f t="shared" si="1223"/>
        <v>正常订单</v>
      </c>
      <c r="I3774" s="1" t="str">
        <f t="shared" si="1224"/>
        <v>已发货</v>
      </c>
      <c r="J3774" s="1" t="str">
        <f t="shared" si="1229"/>
        <v>3</v>
      </c>
      <c r="K3774" s="1">
        <v>3</v>
      </c>
      <c r="L3774" s="1" t="s">
        <v>105</v>
      </c>
      <c r="M3774" s="1" t="str">
        <f>"北京 北京市 海淀区 "</f>
        <v xml:space="preserve">北京 北京市 海淀区 </v>
      </c>
      <c r="N3774" s="1" t="str">
        <f t="shared" si="1226"/>
        <v>凡华云仓-城南圆通-微信视频号</v>
      </c>
      <c r="O3774" s="5" t="s">
        <v>3806</v>
      </c>
      <c r="P3774" s="6">
        <v>0.34</v>
      </c>
      <c r="Q3774" s="11">
        <v>2.2999999999999998</v>
      </c>
      <c r="R3774" s="11"/>
      <c r="S3774" s="11"/>
      <c r="T3774" s="11"/>
      <c r="U3774" s="11">
        <f t="shared" si="1219"/>
        <v>2.2999999999999998</v>
      </c>
      <c r="W3774">
        <v>2.5</v>
      </c>
      <c r="X3774" s="1" t="s">
        <v>105</v>
      </c>
    </row>
    <row r="3775" spans="1:24" x14ac:dyDescent="0.25">
      <c r="A3775" s="1" t="str">
        <f t="shared" si="1221"/>
        <v>卡卡杜-凤凰仓</v>
      </c>
      <c r="B3775" s="1" t="str">
        <f>"CK20241022169"</f>
        <v>CK20241022169</v>
      </c>
      <c r="C3775" s="1" t="str">
        <f>"DD2024102253722"</f>
        <v>DD2024102253722</v>
      </c>
      <c r="D3775" s="1" t="str">
        <f>"CK2024102251121"</f>
        <v>CK2024102251121</v>
      </c>
      <c r="E3775" s="1" t="str">
        <f>"3723480025336253440"</f>
        <v>3723480025336253440</v>
      </c>
      <c r="F3775" s="1" t="str">
        <f t="shared" si="1222"/>
        <v>花都四部-凤凰仓</v>
      </c>
      <c r="G3775" s="1" t="str">
        <f t="shared" si="1225"/>
        <v>卡卡杜企业店（视频号）</v>
      </c>
      <c r="H3775" s="1" t="str">
        <f t="shared" si="1223"/>
        <v>正常订单</v>
      </c>
      <c r="I3775" s="1" t="str">
        <f t="shared" si="1224"/>
        <v>已发货</v>
      </c>
      <c r="J3775" s="1" t="str">
        <f t="shared" si="1229"/>
        <v>3</v>
      </c>
      <c r="K3775" s="1">
        <v>3</v>
      </c>
      <c r="L3775" s="1" t="s">
        <v>30</v>
      </c>
      <c r="M3775" s="1" t="str">
        <f>"山东省 济南市 市中区 "</f>
        <v xml:space="preserve">山东省 济南市 市中区 </v>
      </c>
      <c r="N3775" s="1" t="str">
        <f t="shared" si="1226"/>
        <v>凡华云仓-城南圆通-微信视频号</v>
      </c>
      <c r="O3775" s="5" t="s">
        <v>3807</v>
      </c>
      <c r="P3775" s="6">
        <v>0.34</v>
      </c>
      <c r="Q3775" s="11">
        <v>2.2999999999999998</v>
      </c>
      <c r="R3775" s="11"/>
      <c r="S3775" s="11"/>
      <c r="T3775" s="11"/>
      <c r="U3775" s="11">
        <f t="shared" si="1219"/>
        <v>2.2999999999999998</v>
      </c>
      <c r="W3775">
        <v>2.5</v>
      </c>
      <c r="X3775" s="1" t="s">
        <v>30</v>
      </c>
    </row>
    <row r="3776" spans="1:24" x14ac:dyDescent="0.25">
      <c r="A3776" s="1" t="str">
        <f t="shared" si="1221"/>
        <v>卡卡杜-凤凰仓</v>
      </c>
      <c r="B3776" s="1" t="str">
        <f>"CK20241022171"</f>
        <v>CK20241022171</v>
      </c>
      <c r="C3776" s="1" t="str">
        <f>"DD2024102253723"</f>
        <v>DD2024102253723</v>
      </c>
      <c r="D3776" s="1" t="str">
        <f>"CK2024102251120"</f>
        <v>CK2024102251120</v>
      </c>
      <c r="E3776" s="1" t="str">
        <f>"3723480024288201728"</f>
        <v>3723480024288201728</v>
      </c>
      <c r="F3776" s="1" t="str">
        <f t="shared" si="1222"/>
        <v>花都四部-凤凰仓</v>
      </c>
      <c r="G3776" s="1" t="str">
        <f t="shared" si="1225"/>
        <v>卡卡杜企业店（视频号）</v>
      </c>
      <c r="H3776" s="1" t="str">
        <f t="shared" si="1223"/>
        <v>正常订单</v>
      </c>
      <c r="I3776" s="1" t="str">
        <f t="shared" si="1224"/>
        <v>已发货</v>
      </c>
      <c r="J3776" s="1" t="str">
        <f t="shared" si="1229"/>
        <v>3</v>
      </c>
      <c r="K3776" s="1">
        <v>3</v>
      </c>
      <c r="L3776" s="1" t="s">
        <v>60</v>
      </c>
      <c r="M3776" s="1" t="str">
        <f>"云南省 大理白族自治州 大理市 "</f>
        <v xml:space="preserve">云南省 大理白族自治州 大理市 </v>
      </c>
      <c r="N3776" s="1" t="str">
        <f t="shared" si="1226"/>
        <v>凡华云仓-城南圆通-微信视频号</v>
      </c>
      <c r="O3776" s="5" t="s">
        <v>3808</v>
      </c>
      <c r="P3776" s="6">
        <v>0.34</v>
      </c>
      <c r="Q3776" s="11">
        <v>2.2999999999999998</v>
      </c>
      <c r="R3776" s="11"/>
      <c r="S3776" s="11"/>
      <c r="T3776" s="11"/>
      <c r="U3776" s="11">
        <f t="shared" si="1219"/>
        <v>2.2999999999999998</v>
      </c>
      <c r="W3776">
        <v>2.5</v>
      </c>
      <c r="X3776" s="1" t="s">
        <v>60</v>
      </c>
    </row>
    <row r="3777" spans="1:24" x14ac:dyDescent="0.25">
      <c r="A3777" s="1" t="str">
        <f t="shared" si="1221"/>
        <v>卡卡杜-凤凰仓</v>
      </c>
      <c r="B3777" s="1" t="str">
        <f>"CK2024102209"</f>
        <v>CK2024102209</v>
      </c>
      <c r="C3777" s="1" t="str">
        <f>"DD2024102253563"</f>
        <v>DD2024102253563</v>
      </c>
      <c r="D3777" s="1" t="str">
        <f>"CK2024102251119"</f>
        <v>CK2024102251119</v>
      </c>
      <c r="E3777" s="1" t="str">
        <f>"3723480025270715649"</f>
        <v>3723480025270715649</v>
      </c>
      <c r="F3777" s="1" t="str">
        <f t="shared" si="1222"/>
        <v>花都四部-凤凰仓</v>
      </c>
      <c r="G3777" s="1" t="str">
        <f t="shared" si="1225"/>
        <v>卡卡杜企业店（视频号）</v>
      </c>
      <c r="H3777" s="1" t="str">
        <f t="shared" si="1223"/>
        <v>正常订单</v>
      </c>
      <c r="I3777" s="1" t="str">
        <f t="shared" si="1224"/>
        <v>已发货</v>
      </c>
      <c r="J3777" s="1" t="str">
        <f>"5"</f>
        <v>5</v>
      </c>
      <c r="K3777" s="1">
        <v>3</v>
      </c>
      <c r="L3777" s="1" t="s">
        <v>30</v>
      </c>
      <c r="M3777" s="1" t="str">
        <f>"山东省 青岛市 崂山区 "</f>
        <v xml:space="preserve">山东省 青岛市 崂山区 </v>
      </c>
      <c r="N3777" s="1" t="str">
        <f t="shared" si="1226"/>
        <v>凡华云仓-城南圆通-微信视频号</v>
      </c>
      <c r="O3777" s="5" t="s">
        <v>3809</v>
      </c>
      <c r="P3777" s="6">
        <v>0.56000000000000005</v>
      </c>
      <c r="Q3777" s="11">
        <f>CEILING(P3777-0.5,0.1)*10*0.15+2.3</f>
        <v>2.4499999999999997</v>
      </c>
      <c r="R3777" s="11"/>
      <c r="S3777" s="11"/>
      <c r="T3777" s="11"/>
      <c r="U3777" s="11">
        <f t="shared" si="1219"/>
        <v>2.4499999999999997</v>
      </c>
      <c r="V3777" t="s">
        <v>15</v>
      </c>
      <c r="W3777">
        <v>2.4500000000000002</v>
      </c>
      <c r="X3777" s="1" t="s">
        <v>30</v>
      </c>
    </row>
    <row r="3778" spans="1:24" x14ac:dyDescent="0.25">
      <c r="A3778" s="1" t="str">
        <f t="shared" si="1221"/>
        <v>卡卡杜-凤凰仓</v>
      </c>
      <c r="B3778" s="1" t="str">
        <f>"CK20241022176"</f>
        <v>CK20241022176</v>
      </c>
      <c r="C3778" s="1" t="str">
        <f>"DD2024102253727"</f>
        <v>DD2024102253727</v>
      </c>
      <c r="D3778" s="1" t="str">
        <f>"CK2024102251118"</f>
        <v>CK2024102251118</v>
      </c>
      <c r="E3778" s="1" t="str">
        <f>"3723480024711300608"</f>
        <v>3723480024711300608</v>
      </c>
      <c r="F3778" s="1" t="str">
        <f t="shared" si="1222"/>
        <v>花都四部-凤凰仓</v>
      </c>
      <c r="G3778" s="1" t="str">
        <f t="shared" si="1225"/>
        <v>卡卡杜企业店（视频号）</v>
      </c>
      <c r="H3778" s="1" t="str">
        <f t="shared" si="1223"/>
        <v>正常订单</v>
      </c>
      <c r="I3778" s="1" t="str">
        <f t="shared" si="1224"/>
        <v>已发货</v>
      </c>
      <c r="J3778" s="1" t="str">
        <f t="shared" ref="J3778:J3796" si="1230">"3"</f>
        <v>3</v>
      </c>
      <c r="K3778" s="1">
        <v>3</v>
      </c>
      <c r="L3778" s="1" t="s">
        <v>36</v>
      </c>
      <c r="M3778" s="1" t="str">
        <f>"安徽省 合肥市 包河区 "</f>
        <v xml:space="preserve">安徽省 合肥市 包河区 </v>
      </c>
      <c r="N3778" s="1" t="str">
        <f t="shared" si="1226"/>
        <v>凡华云仓-城南圆通-微信视频号</v>
      </c>
      <c r="O3778" s="5" t="s">
        <v>3810</v>
      </c>
      <c r="P3778" s="6">
        <v>0.34</v>
      </c>
      <c r="Q3778" s="11">
        <v>2.2999999999999998</v>
      </c>
      <c r="R3778" s="11"/>
      <c r="S3778" s="11"/>
      <c r="T3778" s="11"/>
      <c r="U3778" s="11">
        <f t="shared" si="1219"/>
        <v>2.2999999999999998</v>
      </c>
      <c r="W3778">
        <v>2.5</v>
      </c>
      <c r="X3778" s="1" t="s">
        <v>36</v>
      </c>
    </row>
    <row r="3779" spans="1:24" x14ac:dyDescent="0.25">
      <c r="A3779" s="1" t="str">
        <f t="shared" si="1221"/>
        <v>卡卡杜-凤凰仓</v>
      </c>
      <c r="B3779" s="1" t="str">
        <f>"CK20241022177"</f>
        <v>CK20241022177</v>
      </c>
      <c r="C3779" s="1" t="str">
        <f>"DD2024102253729"</f>
        <v>DD2024102253729</v>
      </c>
      <c r="D3779" s="1" t="str">
        <f>"CK2024102251117"</f>
        <v>CK2024102251117</v>
      </c>
      <c r="E3779" s="1" t="str">
        <f>"3723480024560570368"</f>
        <v>3723480024560570368</v>
      </c>
      <c r="F3779" s="1" t="str">
        <f t="shared" si="1222"/>
        <v>花都四部-凤凰仓</v>
      </c>
      <c r="G3779" s="1" t="str">
        <f t="shared" si="1225"/>
        <v>卡卡杜企业店（视频号）</v>
      </c>
      <c r="H3779" s="1" t="str">
        <f t="shared" si="1223"/>
        <v>正常订单</v>
      </c>
      <c r="I3779" s="1" t="str">
        <f t="shared" si="1224"/>
        <v>已发货</v>
      </c>
      <c r="J3779" s="1" t="str">
        <f t="shared" si="1230"/>
        <v>3</v>
      </c>
      <c r="K3779" s="1">
        <v>3</v>
      </c>
      <c r="L3779" s="1" t="s">
        <v>109</v>
      </c>
      <c r="M3779" s="1" t="str">
        <f>"山西省 大同市 平城区 "</f>
        <v xml:space="preserve">山西省 大同市 平城区 </v>
      </c>
      <c r="N3779" s="1" t="str">
        <f t="shared" si="1226"/>
        <v>凡华云仓-城南圆通-微信视频号</v>
      </c>
      <c r="O3779" s="5" t="s">
        <v>3811</v>
      </c>
      <c r="P3779" s="6">
        <v>0.34</v>
      </c>
      <c r="Q3779" s="11">
        <v>2.2999999999999998</v>
      </c>
      <c r="R3779" s="11"/>
      <c r="S3779" s="11"/>
      <c r="T3779" s="11"/>
      <c r="U3779" s="11">
        <f t="shared" ref="U3779:U3842" si="1231">T3779+S3779+R3779+Q3779</f>
        <v>2.2999999999999998</v>
      </c>
      <c r="W3779">
        <v>2.5</v>
      </c>
      <c r="X3779" s="1" t="s">
        <v>109</v>
      </c>
    </row>
    <row r="3780" spans="1:24" x14ac:dyDescent="0.25">
      <c r="A3780" s="1" t="str">
        <f t="shared" si="1221"/>
        <v>卡卡杜-凤凰仓</v>
      </c>
      <c r="B3780" s="1" t="str">
        <f>"CK20241022179"</f>
        <v>CK20241022179</v>
      </c>
      <c r="C3780" s="1" t="str">
        <f>"DD2024102253731"</f>
        <v>DD2024102253731</v>
      </c>
      <c r="D3780" s="1" t="str">
        <f>"CK2024102251116"</f>
        <v>CK2024102251116</v>
      </c>
      <c r="E3780" s="1" t="str">
        <f>"3723480024135111680"</f>
        <v>3723480024135111680</v>
      </c>
      <c r="F3780" s="1" t="str">
        <f t="shared" si="1222"/>
        <v>花都四部-凤凰仓</v>
      </c>
      <c r="G3780" s="1" t="str">
        <f t="shared" si="1225"/>
        <v>卡卡杜企业店（视频号）</v>
      </c>
      <c r="H3780" s="1" t="str">
        <f t="shared" si="1223"/>
        <v>正常订单</v>
      </c>
      <c r="I3780" s="1" t="str">
        <f t="shared" si="1224"/>
        <v>已发货</v>
      </c>
      <c r="J3780" s="1" t="str">
        <f t="shared" si="1230"/>
        <v>3</v>
      </c>
      <c r="K3780" s="1">
        <v>3</v>
      </c>
      <c r="L3780" s="1" t="s">
        <v>74</v>
      </c>
      <c r="M3780" s="1" t="str">
        <f>"上海 上海市 浦东新区 "</f>
        <v xml:space="preserve">上海 上海市 浦东新区 </v>
      </c>
      <c r="N3780" s="1" t="str">
        <f t="shared" si="1226"/>
        <v>凡华云仓-城南圆通-微信视频号</v>
      </c>
      <c r="O3780" s="5" t="s">
        <v>3812</v>
      </c>
      <c r="P3780" s="6">
        <v>0.34</v>
      </c>
      <c r="Q3780" s="11">
        <v>2.2999999999999998</v>
      </c>
      <c r="R3780" s="11"/>
      <c r="S3780" s="11"/>
      <c r="T3780" s="11"/>
      <c r="U3780" s="11">
        <f t="shared" si="1231"/>
        <v>2.2999999999999998</v>
      </c>
      <c r="W3780">
        <v>2.5</v>
      </c>
      <c r="X3780" s="1" t="s">
        <v>74</v>
      </c>
    </row>
    <row r="3781" spans="1:24" x14ac:dyDescent="0.25">
      <c r="A3781" s="1" t="str">
        <f t="shared" ref="A3781:A3844" si="1232">"卡卡杜-凤凰仓"</f>
        <v>卡卡杜-凤凰仓</v>
      </c>
      <c r="B3781" s="1" t="str">
        <f>"CK20241022172"</f>
        <v>CK20241022172</v>
      </c>
      <c r="C3781" s="1" t="str">
        <f>"DD2024102253724"</f>
        <v>DD2024102253724</v>
      </c>
      <c r="D3781" s="1" t="str">
        <f>"CK2024102251115"</f>
        <v>CK2024102251115</v>
      </c>
      <c r="E3781" s="1" t="str">
        <f>"3723480025317901824"</f>
        <v>3723480025317901824</v>
      </c>
      <c r="F3781" s="1" t="str">
        <f t="shared" ref="F3781:F3844" si="1233">"花都四部-凤凰仓"</f>
        <v>花都四部-凤凰仓</v>
      </c>
      <c r="G3781" s="1" t="str">
        <f t="shared" si="1225"/>
        <v>卡卡杜企业店（视频号）</v>
      </c>
      <c r="H3781" s="1" t="str">
        <f t="shared" ref="H3781:H3844" si="1234">"正常订单"</f>
        <v>正常订单</v>
      </c>
      <c r="I3781" s="1" t="str">
        <f t="shared" ref="I3781:I3844" si="1235">"已发货"</f>
        <v>已发货</v>
      </c>
      <c r="J3781" s="1" t="str">
        <f t="shared" si="1230"/>
        <v>3</v>
      </c>
      <c r="K3781" s="1">
        <v>3</v>
      </c>
      <c r="L3781" s="1" t="s">
        <v>30</v>
      </c>
      <c r="M3781" s="1" t="str">
        <f>"山东省 滨州市 邹平市 "</f>
        <v xml:space="preserve">山东省 滨州市 邹平市 </v>
      </c>
      <c r="N3781" s="1" t="str">
        <f t="shared" si="1226"/>
        <v>凡华云仓-城南圆通-微信视频号</v>
      </c>
      <c r="O3781" s="5" t="s">
        <v>3813</v>
      </c>
      <c r="P3781" s="6">
        <v>0.34</v>
      </c>
      <c r="Q3781" s="11">
        <v>2.2999999999999998</v>
      </c>
      <c r="R3781" s="11"/>
      <c r="S3781" s="11"/>
      <c r="T3781" s="11"/>
      <c r="U3781" s="11">
        <f t="shared" si="1231"/>
        <v>2.2999999999999998</v>
      </c>
      <c r="W3781">
        <v>2.5</v>
      </c>
      <c r="X3781" s="1" t="s">
        <v>30</v>
      </c>
    </row>
    <row r="3782" spans="1:24" x14ac:dyDescent="0.25">
      <c r="A3782" s="1" t="str">
        <f t="shared" si="1232"/>
        <v>卡卡杜-凤凰仓</v>
      </c>
      <c r="B3782" s="1" t="str">
        <f>"CK20241022173"</f>
        <v>CK20241022173</v>
      </c>
      <c r="C3782" s="1" t="str">
        <f>"DD2024102253725"</f>
        <v>DD2024102253725</v>
      </c>
      <c r="D3782" s="1" t="str">
        <f>"CK2024102251114"</f>
        <v>CK2024102251114</v>
      </c>
      <c r="E3782" s="1" t="str">
        <f>"3723480024957715968"</f>
        <v>3723480024957715968</v>
      </c>
      <c r="F3782" s="1" t="str">
        <f t="shared" si="1233"/>
        <v>花都四部-凤凰仓</v>
      </c>
      <c r="G3782" s="1" t="str">
        <f t="shared" si="1225"/>
        <v>卡卡杜企业店（视频号）</v>
      </c>
      <c r="H3782" s="1" t="str">
        <f t="shared" si="1234"/>
        <v>正常订单</v>
      </c>
      <c r="I3782" s="1" t="str">
        <f t="shared" si="1235"/>
        <v>已发货</v>
      </c>
      <c r="J3782" s="1" t="str">
        <f t="shared" si="1230"/>
        <v>3</v>
      </c>
      <c r="K3782" s="1">
        <v>3</v>
      </c>
      <c r="L3782" s="1" t="s">
        <v>105</v>
      </c>
      <c r="M3782" s="1" t="str">
        <f>"北京 北京市 朝阳区 "</f>
        <v xml:space="preserve">北京 北京市 朝阳区 </v>
      </c>
      <c r="N3782" s="1" t="str">
        <f t="shared" si="1226"/>
        <v>凡华云仓-城南圆通-微信视频号</v>
      </c>
      <c r="O3782" s="5" t="s">
        <v>3814</v>
      </c>
      <c r="P3782" s="6">
        <v>0.34</v>
      </c>
      <c r="Q3782" s="11">
        <v>2.2999999999999998</v>
      </c>
      <c r="R3782" s="11"/>
      <c r="S3782" s="11"/>
      <c r="T3782" s="11"/>
      <c r="U3782" s="11">
        <f t="shared" si="1231"/>
        <v>2.2999999999999998</v>
      </c>
      <c r="W3782">
        <v>2.5</v>
      </c>
      <c r="X3782" s="1" t="s">
        <v>105</v>
      </c>
    </row>
    <row r="3783" spans="1:24" x14ac:dyDescent="0.25">
      <c r="A3783" s="1" t="str">
        <f t="shared" si="1232"/>
        <v>卡卡杜-凤凰仓</v>
      </c>
      <c r="B3783" s="1" t="str">
        <f>"CK20241022180"</f>
        <v>CK20241022180</v>
      </c>
      <c r="C3783" s="1" t="str">
        <f>"DD2024102253732"</f>
        <v>DD2024102253732</v>
      </c>
      <c r="D3783" s="1" t="str">
        <f>"CK2024102251113"</f>
        <v>CK2024102251113</v>
      </c>
      <c r="E3783" s="1" t="str">
        <f>"3723480024066165760"</f>
        <v>3723480024066165760</v>
      </c>
      <c r="F3783" s="1" t="str">
        <f t="shared" si="1233"/>
        <v>花都四部-凤凰仓</v>
      </c>
      <c r="G3783" s="1" t="str">
        <f t="shared" si="1225"/>
        <v>卡卡杜企业店（视频号）</v>
      </c>
      <c r="H3783" s="1" t="str">
        <f t="shared" si="1234"/>
        <v>正常订单</v>
      </c>
      <c r="I3783" s="1" t="str">
        <f t="shared" si="1235"/>
        <v>已发货</v>
      </c>
      <c r="J3783" s="1" t="str">
        <f t="shared" si="1230"/>
        <v>3</v>
      </c>
      <c r="K3783" s="1">
        <v>3</v>
      </c>
      <c r="L3783" s="1" t="s">
        <v>105</v>
      </c>
      <c r="M3783" s="1" t="str">
        <f>"北京 北京市 朝阳区 "</f>
        <v xml:space="preserve">北京 北京市 朝阳区 </v>
      </c>
      <c r="N3783" s="1" t="str">
        <f t="shared" si="1226"/>
        <v>凡华云仓-城南圆通-微信视频号</v>
      </c>
      <c r="O3783" s="5" t="s">
        <v>3815</v>
      </c>
      <c r="P3783" s="6">
        <v>0.34</v>
      </c>
      <c r="Q3783" s="11">
        <v>2.2999999999999998</v>
      </c>
      <c r="R3783" s="11"/>
      <c r="S3783" s="11"/>
      <c r="T3783" s="11"/>
      <c r="U3783" s="11">
        <f t="shared" si="1231"/>
        <v>2.2999999999999998</v>
      </c>
      <c r="W3783">
        <v>2.5</v>
      </c>
      <c r="X3783" s="1" t="s">
        <v>105</v>
      </c>
    </row>
    <row r="3784" spans="1:24" x14ac:dyDescent="0.25">
      <c r="A3784" s="1" t="str">
        <f t="shared" si="1232"/>
        <v>卡卡杜-凤凰仓</v>
      </c>
      <c r="B3784" s="1" t="str">
        <f>"CK20241022183"</f>
        <v>CK20241022183</v>
      </c>
      <c r="C3784" s="1" t="str">
        <f>"DD2024102253735"</f>
        <v>DD2024102253735</v>
      </c>
      <c r="D3784" s="1" t="str">
        <f>"CK2024102251111"</f>
        <v>CK2024102251111</v>
      </c>
      <c r="E3784" s="1" t="str">
        <f>"3723480024135369984"</f>
        <v>3723480024135369984</v>
      </c>
      <c r="F3784" s="1" t="str">
        <f t="shared" si="1233"/>
        <v>花都四部-凤凰仓</v>
      </c>
      <c r="G3784" s="1" t="str">
        <f t="shared" si="1225"/>
        <v>卡卡杜企业店（视频号）</v>
      </c>
      <c r="H3784" s="1" t="str">
        <f t="shared" si="1234"/>
        <v>正常订单</v>
      </c>
      <c r="I3784" s="1" t="str">
        <f t="shared" si="1235"/>
        <v>已发货</v>
      </c>
      <c r="J3784" s="1" t="str">
        <f t="shared" si="1230"/>
        <v>3</v>
      </c>
      <c r="K3784" s="1">
        <v>3</v>
      </c>
      <c r="L3784" s="1" t="s">
        <v>13</v>
      </c>
      <c r="M3784" s="1" t="str">
        <f>"江苏省 盐城市 亭湖区 "</f>
        <v xml:space="preserve">江苏省 盐城市 亭湖区 </v>
      </c>
      <c r="N3784" s="1" t="str">
        <f t="shared" si="1226"/>
        <v>凡华云仓-城南圆通-微信视频号</v>
      </c>
      <c r="O3784" s="5" t="s">
        <v>3816</v>
      </c>
      <c r="P3784" s="6">
        <v>0.34</v>
      </c>
      <c r="Q3784" s="11">
        <v>2.2999999999999998</v>
      </c>
      <c r="R3784" s="11"/>
      <c r="S3784" s="11"/>
      <c r="T3784" s="11"/>
      <c r="U3784" s="11">
        <f t="shared" si="1231"/>
        <v>2.2999999999999998</v>
      </c>
      <c r="W3784">
        <v>2.5</v>
      </c>
      <c r="X3784" s="1" t="s">
        <v>13</v>
      </c>
    </row>
    <row r="3785" spans="1:24" x14ac:dyDescent="0.25">
      <c r="A3785" s="1" t="str">
        <f t="shared" si="1232"/>
        <v>卡卡杜-凤凰仓</v>
      </c>
      <c r="B3785" s="1" t="str">
        <f>"CK20241022178"</f>
        <v>CK20241022178</v>
      </c>
      <c r="C3785" s="1" t="str">
        <f>"DD2024102253730"</f>
        <v>DD2024102253730</v>
      </c>
      <c r="D3785" s="1" t="str">
        <f>"CK2024102251110"</f>
        <v>CK2024102251110</v>
      </c>
      <c r="E3785" s="1" t="str">
        <f>"3723480024587834368"</f>
        <v>3723480024587834368</v>
      </c>
      <c r="F3785" s="1" t="str">
        <f t="shared" si="1233"/>
        <v>花都四部-凤凰仓</v>
      </c>
      <c r="G3785" s="1" t="str">
        <f t="shared" si="1225"/>
        <v>卡卡杜企业店（视频号）</v>
      </c>
      <c r="H3785" s="1" t="str">
        <f t="shared" si="1234"/>
        <v>正常订单</v>
      </c>
      <c r="I3785" s="1" t="str">
        <f t="shared" si="1235"/>
        <v>已发货</v>
      </c>
      <c r="J3785" s="1" t="str">
        <f t="shared" si="1230"/>
        <v>3</v>
      </c>
      <c r="K3785" s="1">
        <v>3</v>
      </c>
      <c r="L3785" s="1" t="s">
        <v>30</v>
      </c>
      <c r="M3785" s="1" t="str">
        <f>"山东省 济南市 莱芜区 "</f>
        <v xml:space="preserve">山东省 济南市 莱芜区 </v>
      </c>
      <c r="N3785" s="1" t="str">
        <f t="shared" si="1226"/>
        <v>凡华云仓-城南圆通-微信视频号</v>
      </c>
      <c r="O3785" s="5" t="s">
        <v>3817</v>
      </c>
      <c r="P3785" s="6">
        <v>0.34</v>
      </c>
      <c r="Q3785" s="11">
        <v>2.2999999999999998</v>
      </c>
      <c r="R3785" s="11"/>
      <c r="S3785" s="11"/>
      <c r="T3785" s="11"/>
      <c r="U3785" s="11">
        <f t="shared" si="1231"/>
        <v>2.2999999999999998</v>
      </c>
      <c r="W3785">
        <v>2.5</v>
      </c>
      <c r="X3785" s="1" t="s">
        <v>30</v>
      </c>
    </row>
    <row r="3786" spans="1:24" x14ac:dyDescent="0.25">
      <c r="A3786" s="1" t="str">
        <f t="shared" si="1232"/>
        <v>卡卡杜-凤凰仓</v>
      </c>
      <c r="B3786" s="1" t="str">
        <f>"CK20241022175"</f>
        <v>CK20241022175</v>
      </c>
      <c r="C3786" s="1" t="str">
        <f>"DD2024102253728"</f>
        <v>DD2024102253728</v>
      </c>
      <c r="D3786" s="1" t="str">
        <f>"CK2024102251109"</f>
        <v>CK2024102251109</v>
      </c>
      <c r="E3786" s="1" t="str">
        <f>"3723480023715153152"</f>
        <v>3723480023715153152</v>
      </c>
      <c r="F3786" s="1" t="str">
        <f t="shared" si="1233"/>
        <v>花都四部-凤凰仓</v>
      </c>
      <c r="G3786" s="1" t="str">
        <f t="shared" si="1225"/>
        <v>卡卡杜企业店（视频号）</v>
      </c>
      <c r="H3786" s="1" t="str">
        <f t="shared" si="1234"/>
        <v>正常订单</v>
      </c>
      <c r="I3786" s="1" t="str">
        <f t="shared" si="1235"/>
        <v>已发货</v>
      </c>
      <c r="J3786" s="1" t="str">
        <f t="shared" si="1230"/>
        <v>3</v>
      </c>
      <c r="K3786" s="1">
        <v>3</v>
      </c>
      <c r="L3786" s="1" t="s">
        <v>30</v>
      </c>
      <c r="M3786" s="1" t="str">
        <f>"山东省 济南市 市中区 "</f>
        <v xml:space="preserve">山东省 济南市 市中区 </v>
      </c>
      <c r="N3786" s="1" t="str">
        <f t="shared" si="1226"/>
        <v>凡华云仓-城南圆通-微信视频号</v>
      </c>
      <c r="O3786" s="5" t="s">
        <v>3818</v>
      </c>
      <c r="P3786" s="6">
        <v>0.34</v>
      </c>
      <c r="Q3786" s="11">
        <v>2.2999999999999998</v>
      </c>
      <c r="R3786" s="11"/>
      <c r="S3786" s="11"/>
      <c r="T3786" s="11"/>
      <c r="U3786" s="11">
        <f t="shared" si="1231"/>
        <v>2.2999999999999998</v>
      </c>
      <c r="W3786">
        <v>2.5</v>
      </c>
      <c r="X3786" s="1" t="s">
        <v>30</v>
      </c>
    </row>
    <row r="3787" spans="1:24" x14ac:dyDescent="0.25">
      <c r="A3787" s="1" t="str">
        <f t="shared" si="1232"/>
        <v>卡卡杜-凤凰仓</v>
      </c>
      <c r="B3787" s="1" t="str">
        <f>"CK20241022515"</f>
        <v>CK20241022515</v>
      </c>
      <c r="C3787" s="1" t="str">
        <f>"DD2024102255671"</f>
        <v>DD2024102255671</v>
      </c>
      <c r="D3787" s="1" t="str">
        <f>"CK2024102251108"</f>
        <v>CK2024102251108</v>
      </c>
      <c r="E3787" s="1" t="str">
        <f>"3723480022589771776"</f>
        <v>3723480022589771776</v>
      </c>
      <c r="F3787" s="1" t="str">
        <f t="shared" si="1233"/>
        <v>花都四部-凤凰仓</v>
      </c>
      <c r="G3787" s="1" t="str">
        <f t="shared" si="1225"/>
        <v>卡卡杜企业店（视频号）</v>
      </c>
      <c r="H3787" s="1" t="str">
        <f t="shared" si="1234"/>
        <v>正常订单</v>
      </c>
      <c r="I3787" s="1" t="str">
        <f t="shared" si="1235"/>
        <v>已发货</v>
      </c>
      <c r="J3787" s="1" t="str">
        <f t="shared" si="1230"/>
        <v>3</v>
      </c>
      <c r="K3787" s="1">
        <v>3</v>
      </c>
      <c r="L3787" s="1" t="s">
        <v>27</v>
      </c>
      <c r="M3787" s="1" t="str">
        <f>"贵州省 贵阳市 云岩区 "</f>
        <v xml:space="preserve">贵州省 贵阳市 云岩区 </v>
      </c>
      <c r="N3787" s="1" t="str">
        <f t="shared" si="1226"/>
        <v>凡华云仓-城南圆通-微信视频号</v>
      </c>
      <c r="O3787" s="5" t="s">
        <v>3819</v>
      </c>
      <c r="P3787" s="6">
        <v>0.34</v>
      </c>
      <c r="Q3787" s="11">
        <v>2.2999999999999998</v>
      </c>
      <c r="R3787" s="11"/>
      <c r="S3787" s="11"/>
      <c r="T3787" s="11"/>
      <c r="U3787" s="11">
        <f t="shared" si="1231"/>
        <v>2.2999999999999998</v>
      </c>
      <c r="W3787">
        <v>2.5</v>
      </c>
      <c r="X3787" s="1" t="s">
        <v>27</v>
      </c>
    </row>
    <row r="3788" spans="1:24" x14ac:dyDescent="0.25">
      <c r="A3788" s="1" t="str">
        <f t="shared" si="1232"/>
        <v>卡卡杜-凤凰仓</v>
      </c>
      <c r="B3788" s="1" t="str">
        <f>"CK20241022184"</f>
        <v>CK20241022184</v>
      </c>
      <c r="C3788" s="1" t="str">
        <f>"DD2024102253737"</f>
        <v>DD2024102253737</v>
      </c>
      <c r="D3788" s="1" t="str">
        <f>"CK2024102251107"</f>
        <v>CK2024102251107</v>
      </c>
      <c r="E3788" s="1" t="str">
        <f>"3723480023287860224"</f>
        <v>3723480023287860224</v>
      </c>
      <c r="F3788" s="1" t="str">
        <f t="shared" si="1233"/>
        <v>花都四部-凤凰仓</v>
      </c>
      <c r="G3788" s="1" t="str">
        <f t="shared" si="1225"/>
        <v>卡卡杜企业店（视频号）</v>
      </c>
      <c r="H3788" s="1" t="str">
        <f t="shared" si="1234"/>
        <v>正常订单</v>
      </c>
      <c r="I3788" s="1" t="str">
        <f t="shared" si="1235"/>
        <v>已发货</v>
      </c>
      <c r="J3788" s="1" t="str">
        <f t="shared" si="1230"/>
        <v>3</v>
      </c>
      <c r="K3788" s="1">
        <v>3</v>
      </c>
      <c r="L3788" s="1" t="s">
        <v>66</v>
      </c>
      <c r="M3788" s="1" t="str">
        <f>"内蒙古自治区 巴彦淖尔市 临河区 "</f>
        <v xml:space="preserve">内蒙古自治区 巴彦淖尔市 临河区 </v>
      </c>
      <c r="N3788" s="1" t="str">
        <f t="shared" si="1226"/>
        <v>凡华云仓-城南圆通-微信视频号</v>
      </c>
      <c r="O3788" s="5" t="s">
        <v>3820</v>
      </c>
      <c r="P3788" s="6">
        <v>0.34</v>
      </c>
      <c r="Q3788" s="11">
        <v>2.2999999999999998</v>
      </c>
      <c r="R3788" s="11"/>
      <c r="S3788" s="11"/>
      <c r="T3788" s="11"/>
      <c r="U3788" s="11">
        <f t="shared" si="1231"/>
        <v>2.2999999999999998</v>
      </c>
      <c r="W3788">
        <v>2.5</v>
      </c>
      <c r="X3788" s="1" t="s">
        <v>66</v>
      </c>
    </row>
    <row r="3789" spans="1:24" x14ac:dyDescent="0.25">
      <c r="A3789" s="1" t="str">
        <f t="shared" si="1232"/>
        <v>卡卡杜-凤凰仓</v>
      </c>
      <c r="B3789" s="1" t="str">
        <f>"CK20241022185"</f>
        <v>CK20241022185</v>
      </c>
      <c r="C3789" s="1" t="str">
        <f>"DD2024102253738"</f>
        <v>DD2024102253738</v>
      </c>
      <c r="D3789" s="1" t="str">
        <f>"CK2024102251106"</f>
        <v>CK2024102251106</v>
      </c>
      <c r="E3789" s="1" t="str">
        <f>"3723480023483942400"</f>
        <v>3723480023483942400</v>
      </c>
      <c r="F3789" s="1" t="str">
        <f t="shared" si="1233"/>
        <v>花都四部-凤凰仓</v>
      </c>
      <c r="G3789" s="1" t="str">
        <f t="shared" si="1225"/>
        <v>卡卡杜企业店（视频号）</v>
      </c>
      <c r="H3789" s="1" t="str">
        <f t="shared" si="1234"/>
        <v>正常订单</v>
      </c>
      <c r="I3789" s="1" t="str">
        <f t="shared" si="1235"/>
        <v>已发货</v>
      </c>
      <c r="J3789" s="1" t="str">
        <f t="shared" si="1230"/>
        <v>3</v>
      </c>
      <c r="K3789" s="1">
        <v>3</v>
      </c>
      <c r="L3789" s="1" t="s">
        <v>16</v>
      </c>
      <c r="M3789" s="1" t="str">
        <f>"河北省 张家口市 桥东区 "</f>
        <v xml:space="preserve">河北省 张家口市 桥东区 </v>
      </c>
      <c r="N3789" s="1" t="str">
        <f t="shared" si="1226"/>
        <v>凡华云仓-城南圆通-微信视频号</v>
      </c>
      <c r="O3789" s="5" t="s">
        <v>3821</v>
      </c>
      <c r="P3789" s="6">
        <v>0.34</v>
      </c>
      <c r="Q3789" s="11">
        <v>2.2999999999999998</v>
      </c>
      <c r="R3789" s="11"/>
      <c r="S3789" s="11"/>
      <c r="T3789" s="11"/>
      <c r="U3789" s="11">
        <f t="shared" si="1231"/>
        <v>2.2999999999999998</v>
      </c>
      <c r="W3789">
        <v>2.5</v>
      </c>
      <c r="X3789" s="1" t="s">
        <v>16</v>
      </c>
    </row>
    <row r="3790" spans="1:24" x14ac:dyDescent="0.25">
      <c r="A3790" s="1" t="str">
        <f t="shared" si="1232"/>
        <v>卡卡杜-凤凰仓</v>
      </c>
      <c r="B3790" s="1" t="str">
        <f>"CK20241022197"</f>
        <v>CK20241022197</v>
      </c>
      <c r="C3790" s="1" t="str">
        <f>"DD2024102253749"</f>
        <v>DD2024102253749</v>
      </c>
      <c r="D3790" s="1" t="str">
        <f>"CK2024102251105"</f>
        <v>CK2024102251105</v>
      </c>
      <c r="E3790" s="1" t="str">
        <f>"3723480022097464320"</f>
        <v>3723480022097464320</v>
      </c>
      <c r="F3790" s="1" t="str">
        <f t="shared" si="1233"/>
        <v>花都四部-凤凰仓</v>
      </c>
      <c r="G3790" s="1" t="str">
        <f t="shared" ref="G3790:G3853" si="1236">"卡卡杜企业店（视频号）"</f>
        <v>卡卡杜企业店（视频号）</v>
      </c>
      <c r="H3790" s="1" t="str">
        <f t="shared" si="1234"/>
        <v>正常订单</v>
      </c>
      <c r="I3790" s="1" t="str">
        <f t="shared" si="1235"/>
        <v>已发货</v>
      </c>
      <c r="J3790" s="1" t="str">
        <f t="shared" si="1230"/>
        <v>3</v>
      </c>
      <c r="K3790" s="1">
        <v>3</v>
      </c>
      <c r="L3790" s="1" t="s">
        <v>13</v>
      </c>
      <c r="M3790" s="1" t="str">
        <f>"江苏省 无锡市 江阴市 "</f>
        <v xml:space="preserve">江苏省 无锡市 江阴市 </v>
      </c>
      <c r="N3790" s="1" t="str">
        <f t="shared" ref="N3790:N3853" si="1237">"凡华云仓-城南圆通-微信视频号"</f>
        <v>凡华云仓-城南圆通-微信视频号</v>
      </c>
      <c r="O3790" s="5" t="s">
        <v>3822</v>
      </c>
      <c r="P3790" s="6">
        <v>0.34</v>
      </c>
      <c r="Q3790" s="11">
        <v>2.2999999999999998</v>
      </c>
      <c r="R3790" s="11"/>
      <c r="S3790" s="11"/>
      <c r="T3790" s="11"/>
      <c r="U3790" s="11">
        <f t="shared" si="1231"/>
        <v>2.2999999999999998</v>
      </c>
      <c r="W3790">
        <v>2.5</v>
      </c>
      <c r="X3790" s="1" t="s">
        <v>13</v>
      </c>
    </row>
    <row r="3791" spans="1:24" x14ac:dyDescent="0.25">
      <c r="A3791" s="1" t="str">
        <f t="shared" si="1232"/>
        <v>卡卡杜-凤凰仓</v>
      </c>
      <c r="B3791" s="1" t="str">
        <f>"CK20241022189"</f>
        <v>CK20241022189</v>
      </c>
      <c r="C3791" s="1" t="str">
        <f>"DD2024102253741"</f>
        <v>DD2024102253741</v>
      </c>
      <c r="D3791" s="1" t="str">
        <f>"CK2024102251104"</f>
        <v>CK2024102251104</v>
      </c>
      <c r="E3791" s="1" t="str">
        <f>"3723480023636775936"</f>
        <v>3723480023636775936</v>
      </c>
      <c r="F3791" s="1" t="str">
        <f t="shared" si="1233"/>
        <v>花都四部-凤凰仓</v>
      </c>
      <c r="G3791" s="1" t="str">
        <f t="shared" si="1236"/>
        <v>卡卡杜企业店（视频号）</v>
      </c>
      <c r="H3791" s="1" t="str">
        <f t="shared" si="1234"/>
        <v>正常订单</v>
      </c>
      <c r="I3791" s="1" t="str">
        <f t="shared" si="1235"/>
        <v>已发货</v>
      </c>
      <c r="J3791" s="1" t="str">
        <f t="shared" si="1230"/>
        <v>3</v>
      </c>
      <c r="K3791" s="1">
        <v>3</v>
      </c>
      <c r="L3791" s="1" t="s">
        <v>30</v>
      </c>
      <c r="M3791" s="1" t="str">
        <f>"山东省 临沂市 兰陵县 "</f>
        <v xml:space="preserve">山东省 临沂市 兰陵县 </v>
      </c>
      <c r="N3791" s="1" t="str">
        <f t="shared" si="1237"/>
        <v>凡华云仓-城南圆通-微信视频号</v>
      </c>
      <c r="O3791" s="5" t="s">
        <v>3823</v>
      </c>
      <c r="P3791" s="6">
        <v>0.34</v>
      </c>
      <c r="Q3791" s="11">
        <v>2.2999999999999998</v>
      </c>
      <c r="R3791" s="11"/>
      <c r="S3791" s="11"/>
      <c r="T3791" s="11"/>
      <c r="U3791" s="11">
        <f t="shared" si="1231"/>
        <v>2.2999999999999998</v>
      </c>
      <c r="W3791">
        <v>2.5</v>
      </c>
      <c r="X3791" s="1" t="s">
        <v>30</v>
      </c>
    </row>
    <row r="3792" spans="1:24" x14ac:dyDescent="0.25">
      <c r="A3792" s="1" t="str">
        <f t="shared" si="1232"/>
        <v>卡卡杜-凤凰仓</v>
      </c>
      <c r="B3792" s="1" t="str">
        <f>"CK20241022187"</f>
        <v>CK20241022187</v>
      </c>
      <c r="C3792" s="1" t="str">
        <f>"DD2024102253742"</f>
        <v>DD2024102253742</v>
      </c>
      <c r="D3792" s="1" t="str">
        <f>"CK2024102251103"</f>
        <v>CK2024102251103</v>
      </c>
      <c r="E3792" s="1" t="str">
        <f>"3723480022677062912"</f>
        <v>3723480022677062912</v>
      </c>
      <c r="F3792" s="1" t="str">
        <f t="shared" si="1233"/>
        <v>花都四部-凤凰仓</v>
      </c>
      <c r="G3792" s="1" t="str">
        <f t="shared" si="1236"/>
        <v>卡卡杜企业店（视频号）</v>
      </c>
      <c r="H3792" s="1" t="str">
        <f t="shared" si="1234"/>
        <v>正常订单</v>
      </c>
      <c r="I3792" s="1" t="str">
        <f t="shared" si="1235"/>
        <v>已发货</v>
      </c>
      <c r="J3792" s="1" t="str">
        <f t="shared" si="1230"/>
        <v>3</v>
      </c>
      <c r="K3792" s="1">
        <v>3</v>
      </c>
      <c r="L3792" s="1" t="s">
        <v>36</v>
      </c>
      <c r="M3792" s="1" t="str">
        <f>"安徽省 滁州市 南谯区 "</f>
        <v xml:space="preserve">安徽省 滁州市 南谯区 </v>
      </c>
      <c r="N3792" s="1" t="str">
        <f t="shared" si="1237"/>
        <v>凡华云仓-城南圆通-微信视频号</v>
      </c>
      <c r="O3792" s="5" t="s">
        <v>3824</v>
      </c>
      <c r="P3792" s="6">
        <v>0.34</v>
      </c>
      <c r="Q3792" s="11">
        <v>2.2999999999999998</v>
      </c>
      <c r="R3792" s="11"/>
      <c r="S3792" s="11"/>
      <c r="T3792" s="11"/>
      <c r="U3792" s="11">
        <f t="shared" si="1231"/>
        <v>2.2999999999999998</v>
      </c>
      <c r="W3792">
        <v>2.5</v>
      </c>
      <c r="X3792" s="1" t="s">
        <v>36</v>
      </c>
    </row>
    <row r="3793" spans="1:24" x14ac:dyDescent="0.25">
      <c r="A3793" s="1" t="str">
        <f t="shared" si="1232"/>
        <v>卡卡杜-凤凰仓</v>
      </c>
      <c r="B3793" s="1" t="str">
        <f>"CK20241022191"</f>
        <v>CK20241022191</v>
      </c>
      <c r="C3793" s="1" t="str">
        <f>"DD2024102253745"</f>
        <v>DD2024102253745</v>
      </c>
      <c r="D3793" s="1" t="str">
        <f>"CK2024102251102"</f>
        <v>CK2024102251102</v>
      </c>
      <c r="E3793" s="1" t="str">
        <f>"3723480022242954240"</f>
        <v>3723480022242954240</v>
      </c>
      <c r="F3793" s="1" t="str">
        <f t="shared" si="1233"/>
        <v>花都四部-凤凰仓</v>
      </c>
      <c r="G3793" s="1" t="str">
        <f t="shared" si="1236"/>
        <v>卡卡杜企业店（视频号）</v>
      </c>
      <c r="H3793" s="1" t="str">
        <f t="shared" si="1234"/>
        <v>正常订单</v>
      </c>
      <c r="I3793" s="1" t="str">
        <f t="shared" si="1235"/>
        <v>已发货</v>
      </c>
      <c r="J3793" s="1" t="str">
        <f t="shared" si="1230"/>
        <v>3</v>
      </c>
      <c r="K3793" s="1">
        <v>3</v>
      </c>
      <c r="L3793" s="1" t="s">
        <v>30</v>
      </c>
      <c r="M3793" s="1" t="str">
        <f>"山东省 德州市 禹城市 "</f>
        <v xml:space="preserve">山东省 德州市 禹城市 </v>
      </c>
      <c r="N3793" s="1" t="str">
        <f t="shared" si="1237"/>
        <v>凡华云仓-城南圆通-微信视频号</v>
      </c>
      <c r="O3793" s="5" t="s">
        <v>3825</v>
      </c>
      <c r="P3793" s="6">
        <v>0.34</v>
      </c>
      <c r="Q3793" s="11">
        <v>2.2999999999999998</v>
      </c>
      <c r="R3793" s="11"/>
      <c r="S3793" s="11"/>
      <c r="T3793" s="11"/>
      <c r="U3793" s="11">
        <f t="shared" si="1231"/>
        <v>2.2999999999999998</v>
      </c>
      <c r="W3793">
        <v>2.5</v>
      </c>
      <c r="X3793" s="1" t="s">
        <v>30</v>
      </c>
    </row>
    <row r="3794" spans="1:24" x14ac:dyDescent="0.25">
      <c r="A3794" s="1" t="str">
        <f t="shared" si="1232"/>
        <v>卡卡杜-凤凰仓</v>
      </c>
      <c r="B3794" s="1" t="str">
        <f>"CK20241022192"</f>
        <v>CK20241022192</v>
      </c>
      <c r="C3794" s="1" t="str">
        <f>"DD2024102253744"</f>
        <v>DD2024102253744</v>
      </c>
      <c r="D3794" s="1" t="str">
        <f>"CK2024102251101"</f>
        <v>CK2024102251101</v>
      </c>
      <c r="E3794" s="1" t="str">
        <f>"3723480023055601664"</f>
        <v>3723480023055601664</v>
      </c>
      <c r="F3794" s="1" t="str">
        <f t="shared" si="1233"/>
        <v>花都四部-凤凰仓</v>
      </c>
      <c r="G3794" s="1" t="str">
        <f t="shared" si="1236"/>
        <v>卡卡杜企业店（视频号）</v>
      </c>
      <c r="H3794" s="1" t="str">
        <f t="shared" si="1234"/>
        <v>正常订单</v>
      </c>
      <c r="I3794" s="1" t="str">
        <f t="shared" si="1235"/>
        <v>已发货</v>
      </c>
      <c r="J3794" s="1" t="str">
        <f t="shared" si="1230"/>
        <v>3</v>
      </c>
      <c r="K3794" s="1">
        <v>3</v>
      </c>
      <c r="L3794" s="1" t="s">
        <v>16</v>
      </c>
      <c r="M3794" s="1" t="str">
        <f>"河北省 承德市 双桥区 "</f>
        <v xml:space="preserve">河北省 承德市 双桥区 </v>
      </c>
      <c r="N3794" s="1" t="str">
        <f t="shared" si="1237"/>
        <v>凡华云仓-城南圆通-微信视频号</v>
      </c>
      <c r="O3794" s="5" t="s">
        <v>3826</v>
      </c>
      <c r="P3794" s="6">
        <v>0.34</v>
      </c>
      <c r="Q3794" s="11">
        <v>2.2999999999999998</v>
      </c>
      <c r="R3794" s="11"/>
      <c r="S3794" s="11"/>
      <c r="T3794" s="11"/>
      <c r="U3794" s="11">
        <f t="shared" si="1231"/>
        <v>2.2999999999999998</v>
      </c>
      <c r="W3794">
        <v>2.5</v>
      </c>
      <c r="X3794" s="1" t="s">
        <v>16</v>
      </c>
    </row>
    <row r="3795" spans="1:24" x14ac:dyDescent="0.25">
      <c r="A3795" s="1" t="str">
        <f t="shared" si="1232"/>
        <v>卡卡杜-凤凰仓</v>
      </c>
      <c r="B3795" s="1" t="str">
        <f>"CK20241022193"</f>
        <v>CK20241022193</v>
      </c>
      <c r="C3795" s="1" t="str">
        <f>"DD2024102253746"</f>
        <v>DD2024102253746</v>
      </c>
      <c r="D3795" s="1" t="str">
        <f>"CK2024102251100"</f>
        <v>CK2024102251100</v>
      </c>
      <c r="E3795" s="1" t="str">
        <f>"3723480022679949312"</f>
        <v>3723480022679949312</v>
      </c>
      <c r="F3795" s="1" t="str">
        <f t="shared" si="1233"/>
        <v>花都四部-凤凰仓</v>
      </c>
      <c r="G3795" s="1" t="str">
        <f t="shared" si="1236"/>
        <v>卡卡杜企业店（视频号）</v>
      </c>
      <c r="H3795" s="1" t="str">
        <f t="shared" si="1234"/>
        <v>正常订单</v>
      </c>
      <c r="I3795" s="1" t="str">
        <f t="shared" si="1235"/>
        <v>已发货</v>
      </c>
      <c r="J3795" s="1" t="str">
        <f t="shared" si="1230"/>
        <v>3</v>
      </c>
      <c r="K3795" s="1">
        <v>3</v>
      </c>
      <c r="L3795" s="1" t="s">
        <v>66</v>
      </c>
      <c r="M3795" s="1" t="str">
        <f>"内蒙古自治区 呼和浩特市 新城区 "</f>
        <v xml:space="preserve">内蒙古自治区 呼和浩特市 新城区 </v>
      </c>
      <c r="N3795" s="1" t="str">
        <f t="shared" si="1237"/>
        <v>凡华云仓-城南圆通-微信视频号</v>
      </c>
      <c r="O3795" s="5" t="s">
        <v>3827</v>
      </c>
      <c r="P3795" s="6">
        <v>0.34</v>
      </c>
      <c r="Q3795" s="11">
        <v>2.2999999999999998</v>
      </c>
      <c r="R3795" s="11"/>
      <c r="S3795" s="11"/>
      <c r="T3795" s="11"/>
      <c r="U3795" s="11">
        <f t="shared" si="1231"/>
        <v>2.2999999999999998</v>
      </c>
      <c r="W3795">
        <v>2.5</v>
      </c>
      <c r="X3795" s="1" t="s">
        <v>66</v>
      </c>
    </row>
    <row r="3796" spans="1:24" x14ac:dyDescent="0.25">
      <c r="A3796" s="1" t="str">
        <f t="shared" si="1232"/>
        <v>卡卡杜-凤凰仓</v>
      </c>
      <c r="B3796" s="1" t="str">
        <f>"CK20241022196"</f>
        <v>CK20241022196</v>
      </c>
      <c r="C3796" s="1" t="str">
        <f>"DD2024102253750"</f>
        <v>DD2024102253750</v>
      </c>
      <c r="D3796" s="1" t="str">
        <f>"CK2024102251099"</f>
        <v>CK2024102251099</v>
      </c>
      <c r="E3796" s="1" t="str">
        <f>"3723480022364849408"</f>
        <v>3723480022364849408</v>
      </c>
      <c r="F3796" s="1" t="str">
        <f t="shared" si="1233"/>
        <v>花都四部-凤凰仓</v>
      </c>
      <c r="G3796" s="1" t="str">
        <f t="shared" si="1236"/>
        <v>卡卡杜企业店（视频号）</v>
      </c>
      <c r="H3796" s="1" t="str">
        <f t="shared" si="1234"/>
        <v>正常订单</v>
      </c>
      <c r="I3796" s="1" t="str">
        <f t="shared" si="1235"/>
        <v>已发货</v>
      </c>
      <c r="J3796" s="1" t="str">
        <f t="shared" si="1230"/>
        <v>3</v>
      </c>
      <c r="K3796" s="1">
        <v>3</v>
      </c>
      <c r="L3796" s="1" t="s">
        <v>105</v>
      </c>
      <c r="M3796" s="1" t="str">
        <f>"北京 北京市 丰台区 "</f>
        <v xml:space="preserve">北京 北京市 丰台区 </v>
      </c>
      <c r="N3796" s="1" t="str">
        <f t="shared" si="1237"/>
        <v>凡华云仓-城南圆通-微信视频号</v>
      </c>
      <c r="O3796" s="5" t="s">
        <v>3828</v>
      </c>
      <c r="P3796" s="6">
        <v>0.34</v>
      </c>
      <c r="Q3796" s="11">
        <v>2.2999999999999998</v>
      </c>
      <c r="R3796" s="11"/>
      <c r="S3796" s="11"/>
      <c r="T3796" s="11"/>
      <c r="U3796" s="11">
        <f t="shared" si="1231"/>
        <v>2.2999999999999998</v>
      </c>
      <c r="W3796">
        <v>2.5</v>
      </c>
      <c r="X3796" s="1" t="s">
        <v>105</v>
      </c>
    </row>
    <row r="3797" spans="1:24" x14ac:dyDescent="0.25">
      <c r="A3797" s="1" t="str">
        <f t="shared" si="1232"/>
        <v>卡卡杜-凤凰仓</v>
      </c>
      <c r="B3797" s="1" t="str">
        <f>"CK2024102210"</f>
        <v>CK2024102210</v>
      </c>
      <c r="C3797" s="1" t="str">
        <f>"DD2024102253561"</f>
        <v>DD2024102253561</v>
      </c>
      <c r="D3797" s="1" t="str">
        <f>"CK2024102251098"</f>
        <v>CK2024102251098</v>
      </c>
      <c r="E3797" s="1" t="str">
        <f>"3723480023247490048"</f>
        <v>3723480023247490048</v>
      </c>
      <c r="F3797" s="1" t="str">
        <f t="shared" si="1233"/>
        <v>花都四部-凤凰仓</v>
      </c>
      <c r="G3797" s="1" t="str">
        <f t="shared" si="1236"/>
        <v>卡卡杜企业店（视频号）</v>
      </c>
      <c r="H3797" s="1" t="str">
        <f t="shared" si="1234"/>
        <v>正常订单</v>
      </c>
      <c r="I3797" s="1" t="str">
        <f t="shared" si="1235"/>
        <v>已发货</v>
      </c>
      <c r="J3797" s="1" t="str">
        <f>"5"</f>
        <v>5</v>
      </c>
      <c r="K3797" s="1">
        <v>3</v>
      </c>
      <c r="L3797" s="1" t="s">
        <v>105</v>
      </c>
      <c r="M3797" s="1" t="str">
        <f>"北京 北京市 朝阳区 "</f>
        <v xml:space="preserve">北京 北京市 朝阳区 </v>
      </c>
      <c r="N3797" s="1" t="str">
        <f t="shared" si="1237"/>
        <v>凡华云仓-城南圆通-微信视频号</v>
      </c>
      <c r="O3797" s="5" t="s">
        <v>3829</v>
      </c>
      <c r="P3797" s="6">
        <v>0.56000000000000005</v>
      </c>
      <c r="Q3797" s="11">
        <f>CEILING(P3797-0.5,0.1)*10*0.15+2.3</f>
        <v>2.4499999999999997</v>
      </c>
      <c r="R3797" s="11"/>
      <c r="S3797" s="11"/>
      <c r="T3797" s="11"/>
      <c r="U3797" s="11">
        <f t="shared" si="1231"/>
        <v>2.4499999999999997</v>
      </c>
      <c r="V3797" t="s">
        <v>15</v>
      </c>
      <c r="W3797">
        <v>2.4500000000000002</v>
      </c>
      <c r="X3797" s="1" t="s">
        <v>105</v>
      </c>
    </row>
    <row r="3798" spans="1:24" x14ac:dyDescent="0.25">
      <c r="A3798" s="1" t="str">
        <f t="shared" si="1232"/>
        <v>卡卡杜-凤凰仓</v>
      </c>
      <c r="B3798" s="1" t="str">
        <f>"CK20241022188"</f>
        <v>CK20241022188</v>
      </c>
      <c r="C3798" s="1" t="str">
        <f>"DD2024102253740"</f>
        <v>DD2024102253740</v>
      </c>
      <c r="D3798" s="1" t="str">
        <f>"CK2024102251097"</f>
        <v>CK2024102251097</v>
      </c>
      <c r="E3798" s="1" t="str">
        <f>"3723480022716908800"</f>
        <v>3723480022716908800</v>
      </c>
      <c r="F3798" s="1" t="str">
        <f t="shared" si="1233"/>
        <v>花都四部-凤凰仓</v>
      </c>
      <c r="G3798" s="1" t="str">
        <f t="shared" si="1236"/>
        <v>卡卡杜企业店（视频号）</v>
      </c>
      <c r="H3798" s="1" t="str">
        <f t="shared" si="1234"/>
        <v>正常订单</v>
      </c>
      <c r="I3798" s="1" t="str">
        <f t="shared" si="1235"/>
        <v>已发货</v>
      </c>
      <c r="J3798" s="1" t="str">
        <f t="shared" ref="J3798:J3801" si="1238">"3"</f>
        <v>3</v>
      </c>
      <c r="K3798" s="1">
        <v>3</v>
      </c>
      <c r="L3798" s="1" t="s">
        <v>18</v>
      </c>
      <c r="M3798" s="1" t="str">
        <f>"广东省 广州市 荔湾区 "</f>
        <v xml:space="preserve">广东省 广州市 荔湾区 </v>
      </c>
      <c r="N3798" s="1" t="str">
        <f t="shared" si="1237"/>
        <v>凡华云仓-城南圆通-微信视频号</v>
      </c>
      <c r="O3798" s="5" t="s">
        <v>3830</v>
      </c>
      <c r="P3798" s="6">
        <v>0.34</v>
      </c>
      <c r="Q3798" s="11">
        <v>2.2999999999999998</v>
      </c>
      <c r="R3798" s="11"/>
      <c r="S3798" s="11"/>
      <c r="T3798" s="11"/>
      <c r="U3798" s="11">
        <f t="shared" si="1231"/>
        <v>2.2999999999999998</v>
      </c>
      <c r="W3798">
        <v>2.5</v>
      </c>
      <c r="X3798" s="1" t="s">
        <v>18</v>
      </c>
    </row>
    <row r="3799" spans="1:24" x14ac:dyDescent="0.25">
      <c r="A3799" s="1" t="str">
        <f t="shared" si="1232"/>
        <v>卡卡杜-凤凰仓</v>
      </c>
      <c r="B3799" s="1" t="str">
        <f>"CK20241022194"</f>
        <v>CK20241022194</v>
      </c>
      <c r="C3799" s="1" t="str">
        <f>"DD2024102253748"</f>
        <v>DD2024102253748</v>
      </c>
      <c r="D3799" s="1" t="str">
        <f>"CK2024102251096"</f>
        <v>CK2024102251096</v>
      </c>
      <c r="E3799" s="1" t="str">
        <f>"3723480022814688768"</f>
        <v>3723480022814688768</v>
      </c>
      <c r="F3799" s="1" t="str">
        <f t="shared" si="1233"/>
        <v>花都四部-凤凰仓</v>
      </c>
      <c r="G3799" s="1" t="str">
        <f t="shared" si="1236"/>
        <v>卡卡杜企业店（视频号）</v>
      </c>
      <c r="H3799" s="1" t="str">
        <f t="shared" si="1234"/>
        <v>正常订单</v>
      </c>
      <c r="I3799" s="1" t="str">
        <f t="shared" si="1235"/>
        <v>已发货</v>
      </c>
      <c r="J3799" s="1" t="str">
        <f t="shared" si="1238"/>
        <v>3</v>
      </c>
      <c r="K3799" s="1">
        <v>3</v>
      </c>
      <c r="L3799" s="1" t="s">
        <v>16</v>
      </c>
      <c r="M3799" s="1" t="str">
        <f>"河北省 保定市 定州市 "</f>
        <v xml:space="preserve">河北省 保定市 定州市 </v>
      </c>
      <c r="N3799" s="1" t="str">
        <f t="shared" si="1237"/>
        <v>凡华云仓-城南圆通-微信视频号</v>
      </c>
      <c r="O3799" s="5" t="s">
        <v>3831</v>
      </c>
      <c r="P3799" s="6">
        <v>0.34</v>
      </c>
      <c r="Q3799" s="11">
        <v>2.2999999999999998</v>
      </c>
      <c r="R3799" s="11"/>
      <c r="S3799" s="11"/>
      <c r="T3799" s="11"/>
      <c r="U3799" s="11">
        <f t="shared" si="1231"/>
        <v>2.2999999999999998</v>
      </c>
      <c r="W3799">
        <v>2.5</v>
      </c>
      <c r="X3799" s="1" t="s">
        <v>16</v>
      </c>
    </row>
    <row r="3800" spans="1:24" x14ac:dyDescent="0.25">
      <c r="A3800" s="1" t="str">
        <f t="shared" si="1232"/>
        <v>卡卡杜-凤凰仓</v>
      </c>
      <c r="B3800" s="1" t="str">
        <f>"CK20241022195"</f>
        <v>CK20241022195</v>
      </c>
      <c r="C3800" s="1" t="str">
        <f>"DD2024102253747"</f>
        <v>DD2024102253747</v>
      </c>
      <c r="D3800" s="1" t="str">
        <f>"CK2024102251095"</f>
        <v>CK2024102251095</v>
      </c>
      <c r="E3800" s="1" t="str">
        <f>"3723480022711143424"</f>
        <v>3723480022711143424</v>
      </c>
      <c r="F3800" s="1" t="str">
        <f t="shared" si="1233"/>
        <v>花都四部-凤凰仓</v>
      </c>
      <c r="G3800" s="1" t="str">
        <f t="shared" si="1236"/>
        <v>卡卡杜企业店（视频号）</v>
      </c>
      <c r="H3800" s="1" t="str">
        <f t="shared" si="1234"/>
        <v>正常订单</v>
      </c>
      <c r="I3800" s="1" t="str">
        <f t="shared" si="1235"/>
        <v>已发货</v>
      </c>
      <c r="J3800" s="1" t="str">
        <f t="shared" si="1238"/>
        <v>3</v>
      </c>
      <c r="K3800" s="1">
        <v>3</v>
      </c>
      <c r="L3800" s="1" t="s">
        <v>94</v>
      </c>
      <c r="M3800" s="1" t="str">
        <f>"湖南省 长沙市 岳麓区 "</f>
        <v xml:space="preserve">湖南省 长沙市 岳麓区 </v>
      </c>
      <c r="N3800" s="1" t="str">
        <f t="shared" si="1237"/>
        <v>凡华云仓-城南圆通-微信视频号</v>
      </c>
      <c r="O3800" s="5" t="s">
        <v>3832</v>
      </c>
      <c r="P3800" s="6">
        <v>0.34</v>
      </c>
      <c r="Q3800" s="11">
        <v>2.2999999999999998</v>
      </c>
      <c r="R3800" s="11"/>
      <c r="S3800" s="11"/>
      <c r="T3800" s="11"/>
      <c r="U3800" s="11">
        <f t="shared" si="1231"/>
        <v>2.2999999999999998</v>
      </c>
      <c r="W3800">
        <v>2.5</v>
      </c>
      <c r="X3800" s="1" t="s">
        <v>94</v>
      </c>
    </row>
    <row r="3801" spans="1:24" x14ac:dyDescent="0.25">
      <c r="A3801" s="1" t="str">
        <f t="shared" si="1232"/>
        <v>卡卡杜-凤凰仓</v>
      </c>
      <c r="B3801" s="1" t="str">
        <f>"CK20241022198"</f>
        <v>CK20241022198</v>
      </c>
      <c r="C3801" s="1" t="str">
        <f>"DD2024102253751"</f>
        <v>DD2024102253751</v>
      </c>
      <c r="D3801" s="1" t="str">
        <f>"CK2024102251094"</f>
        <v>CK2024102251094</v>
      </c>
      <c r="E3801" s="1" t="str">
        <f>"3723480021227668736"</f>
        <v>3723480021227668736</v>
      </c>
      <c r="F3801" s="1" t="str">
        <f t="shared" si="1233"/>
        <v>花都四部-凤凰仓</v>
      </c>
      <c r="G3801" s="1" t="str">
        <f t="shared" si="1236"/>
        <v>卡卡杜企业店（视频号）</v>
      </c>
      <c r="H3801" s="1" t="str">
        <f t="shared" si="1234"/>
        <v>正常订单</v>
      </c>
      <c r="I3801" s="1" t="str">
        <f t="shared" si="1235"/>
        <v>已发货</v>
      </c>
      <c r="J3801" s="1" t="str">
        <f t="shared" si="1238"/>
        <v>3</v>
      </c>
      <c r="K3801" s="1">
        <v>3</v>
      </c>
      <c r="L3801" s="1" t="s">
        <v>20</v>
      </c>
      <c r="M3801" s="1" t="str">
        <f>"浙江省 杭州市 西湖区 "</f>
        <v xml:space="preserve">浙江省 杭州市 西湖区 </v>
      </c>
      <c r="N3801" s="1" t="str">
        <f t="shared" si="1237"/>
        <v>凡华云仓-城南圆通-微信视频号</v>
      </c>
      <c r="O3801" s="5" t="s">
        <v>3833</v>
      </c>
      <c r="P3801" s="6">
        <v>0.34</v>
      </c>
      <c r="Q3801" s="11">
        <v>2.2999999999999998</v>
      </c>
      <c r="R3801" s="11"/>
      <c r="S3801" s="11"/>
      <c r="T3801" s="11"/>
      <c r="U3801" s="11">
        <f t="shared" si="1231"/>
        <v>2.2999999999999998</v>
      </c>
      <c r="W3801">
        <v>2.5</v>
      </c>
      <c r="X3801" s="1" t="s">
        <v>20</v>
      </c>
    </row>
    <row r="3802" spans="1:24" x14ac:dyDescent="0.25">
      <c r="A3802" s="1" t="str">
        <f t="shared" si="1232"/>
        <v>卡卡杜-凤凰仓</v>
      </c>
      <c r="B3802" s="1" t="str">
        <f>"CK20241022199"</f>
        <v>CK20241022199</v>
      </c>
      <c r="C3802" s="1" t="str">
        <f>"DD2024102253753"</f>
        <v>DD2024102253753</v>
      </c>
      <c r="D3802" s="1" t="str">
        <f>"CK2024102251093"</f>
        <v>CK2024102251093</v>
      </c>
      <c r="E3802" s="1" t="str">
        <f>"3723479647398532096"</f>
        <v>3723479647398532096</v>
      </c>
      <c r="F3802" s="1" t="str">
        <f t="shared" si="1233"/>
        <v>花都四部-凤凰仓</v>
      </c>
      <c r="G3802" s="1" t="str">
        <f t="shared" si="1236"/>
        <v>卡卡杜企业店（视频号）</v>
      </c>
      <c r="H3802" s="1" t="str">
        <f t="shared" si="1234"/>
        <v>正常订单</v>
      </c>
      <c r="I3802" s="1" t="str">
        <f t="shared" si="1235"/>
        <v>已发货</v>
      </c>
      <c r="J3802" s="1" t="str">
        <f>"5"</f>
        <v>5</v>
      </c>
      <c r="K3802" s="1">
        <v>3</v>
      </c>
      <c r="L3802" s="1" t="s">
        <v>30</v>
      </c>
      <c r="M3802" s="1" t="str">
        <f>"山东省 淄博市 桓台县 "</f>
        <v xml:space="preserve">山东省 淄博市 桓台县 </v>
      </c>
      <c r="N3802" s="1" t="str">
        <f t="shared" si="1237"/>
        <v>凡华云仓-城南圆通-微信视频号</v>
      </c>
      <c r="O3802" s="5" t="s">
        <v>3834</v>
      </c>
      <c r="P3802" s="6">
        <v>0.56000000000000005</v>
      </c>
      <c r="Q3802" s="11">
        <f>CEILING(P3802-0.5,0.1)*10*0.15+2.3</f>
        <v>2.4499999999999997</v>
      </c>
      <c r="R3802" s="11"/>
      <c r="S3802" s="11"/>
      <c r="T3802" s="11"/>
      <c r="U3802" s="11">
        <f t="shared" si="1231"/>
        <v>2.4499999999999997</v>
      </c>
      <c r="V3802" t="s">
        <v>15</v>
      </c>
      <c r="W3802">
        <v>2.4500000000000002</v>
      </c>
      <c r="X3802" s="1" t="s">
        <v>30</v>
      </c>
    </row>
    <row r="3803" spans="1:24" x14ac:dyDescent="0.25">
      <c r="A3803" s="1" t="str">
        <f t="shared" si="1232"/>
        <v>卡卡杜-凤凰仓</v>
      </c>
      <c r="B3803" s="1" t="str">
        <f>"CK20241022200"</f>
        <v>CK20241022200</v>
      </c>
      <c r="C3803" s="1" t="str">
        <f>"DD2024102253752"</f>
        <v>DD2024102253752</v>
      </c>
      <c r="D3803" s="1" t="str">
        <f>"CK2024102251092"</f>
        <v>CK2024102251092</v>
      </c>
      <c r="E3803" s="1" t="str">
        <f>"3723479642821757952"</f>
        <v>3723479642821757952</v>
      </c>
      <c r="F3803" s="1" t="str">
        <f t="shared" si="1233"/>
        <v>花都四部-凤凰仓</v>
      </c>
      <c r="G3803" s="1" t="str">
        <f t="shared" si="1236"/>
        <v>卡卡杜企业店（视频号）</v>
      </c>
      <c r="H3803" s="1" t="str">
        <f t="shared" si="1234"/>
        <v>正常订单</v>
      </c>
      <c r="I3803" s="1" t="str">
        <f t="shared" si="1235"/>
        <v>已发货</v>
      </c>
      <c r="J3803" s="1" t="str">
        <f t="shared" ref="J3803:J3866" si="1239">"3"</f>
        <v>3</v>
      </c>
      <c r="K3803" s="1">
        <v>3</v>
      </c>
      <c r="L3803" s="1" t="s">
        <v>94</v>
      </c>
      <c r="M3803" s="1" t="str">
        <f>"湖南省 常德市 武陵区 "</f>
        <v xml:space="preserve">湖南省 常德市 武陵区 </v>
      </c>
      <c r="N3803" s="1" t="str">
        <f t="shared" si="1237"/>
        <v>凡华云仓-城南圆通-微信视频号</v>
      </c>
      <c r="O3803" s="5" t="s">
        <v>3835</v>
      </c>
      <c r="P3803" s="6">
        <v>0.34</v>
      </c>
      <c r="Q3803" s="11">
        <v>2.2999999999999998</v>
      </c>
      <c r="R3803" s="11"/>
      <c r="S3803" s="11"/>
      <c r="T3803" s="11"/>
      <c r="U3803" s="11">
        <f t="shared" si="1231"/>
        <v>2.2999999999999998</v>
      </c>
      <c r="W3803">
        <v>2.5</v>
      </c>
      <c r="X3803" s="1" t="s">
        <v>94</v>
      </c>
    </row>
    <row r="3804" spans="1:24" x14ac:dyDescent="0.25">
      <c r="A3804" s="1" t="str">
        <f t="shared" si="1232"/>
        <v>卡卡杜-凤凰仓</v>
      </c>
      <c r="B3804" s="1" t="str">
        <f>"CK20241022202"</f>
        <v>CK20241022202</v>
      </c>
      <c r="C3804" s="1" t="str">
        <f>"DD2024102253755"</f>
        <v>DD2024102253755</v>
      </c>
      <c r="D3804" s="1" t="str">
        <f>"CK2024102251091"</f>
        <v>CK2024102251091</v>
      </c>
      <c r="E3804" s="1" t="str">
        <f>"3723479607865902592"</f>
        <v>3723479607865902592</v>
      </c>
      <c r="F3804" s="1" t="str">
        <f t="shared" si="1233"/>
        <v>花都四部-凤凰仓</v>
      </c>
      <c r="G3804" s="1" t="str">
        <f t="shared" si="1236"/>
        <v>卡卡杜企业店（视频号）</v>
      </c>
      <c r="H3804" s="1" t="str">
        <f t="shared" si="1234"/>
        <v>正常订单</v>
      </c>
      <c r="I3804" s="1" t="str">
        <f t="shared" si="1235"/>
        <v>已发货</v>
      </c>
      <c r="J3804" s="1" t="str">
        <f t="shared" si="1239"/>
        <v>3</v>
      </c>
      <c r="K3804" s="1">
        <v>3</v>
      </c>
      <c r="L3804" s="1" t="s">
        <v>105</v>
      </c>
      <c r="M3804" s="1" t="str">
        <f>"北京 北京市 通州区 "</f>
        <v xml:space="preserve">北京 北京市 通州区 </v>
      </c>
      <c r="N3804" s="1" t="str">
        <f t="shared" si="1237"/>
        <v>凡华云仓-城南圆通-微信视频号</v>
      </c>
      <c r="O3804" s="5" t="s">
        <v>3836</v>
      </c>
      <c r="P3804" s="6">
        <v>0.34</v>
      </c>
      <c r="Q3804" s="11">
        <v>2.2999999999999998</v>
      </c>
      <c r="R3804" s="11"/>
      <c r="S3804" s="11"/>
      <c r="T3804" s="11"/>
      <c r="U3804" s="11">
        <f t="shared" si="1231"/>
        <v>2.2999999999999998</v>
      </c>
      <c r="W3804">
        <v>2.5</v>
      </c>
      <c r="X3804" s="1" t="s">
        <v>105</v>
      </c>
    </row>
    <row r="3805" spans="1:24" x14ac:dyDescent="0.25">
      <c r="A3805" s="1" t="str">
        <f t="shared" si="1232"/>
        <v>卡卡杜-凤凰仓</v>
      </c>
      <c r="B3805" s="1" t="str">
        <f>"CK20241022201"</f>
        <v>CK20241022201</v>
      </c>
      <c r="C3805" s="1" t="str">
        <f>"DD2024102253754"</f>
        <v>DD2024102253754</v>
      </c>
      <c r="D3805" s="1" t="str">
        <f>"CK2024102251090"</f>
        <v>CK2024102251090</v>
      </c>
      <c r="E3805" s="1" t="str">
        <f>"3723479610970477568"</f>
        <v>3723479610970477568</v>
      </c>
      <c r="F3805" s="1" t="str">
        <f t="shared" si="1233"/>
        <v>花都四部-凤凰仓</v>
      </c>
      <c r="G3805" s="1" t="str">
        <f t="shared" si="1236"/>
        <v>卡卡杜企业店（视频号）</v>
      </c>
      <c r="H3805" s="1" t="str">
        <f t="shared" si="1234"/>
        <v>正常订单</v>
      </c>
      <c r="I3805" s="1" t="str">
        <f t="shared" si="1235"/>
        <v>已发货</v>
      </c>
      <c r="J3805" s="1" t="str">
        <f t="shared" si="1239"/>
        <v>3</v>
      </c>
      <c r="K3805" s="1">
        <v>3</v>
      </c>
      <c r="L3805" s="1" t="s">
        <v>92</v>
      </c>
      <c r="M3805" s="1" t="str">
        <f>"辽宁省 大连市 中山区 "</f>
        <v xml:space="preserve">辽宁省 大连市 中山区 </v>
      </c>
      <c r="N3805" s="1" t="str">
        <f t="shared" si="1237"/>
        <v>凡华云仓-城南圆通-微信视频号</v>
      </c>
      <c r="O3805" s="5" t="s">
        <v>3837</v>
      </c>
      <c r="P3805" s="6">
        <v>0.34</v>
      </c>
      <c r="Q3805" s="11">
        <v>2.2999999999999998</v>
      </c>
      <c r="R3805" s="11"/>
      <c r="S3805" s="11"/>
      <c r="T3805" s="11"/>
      <c r="U3805" s="11">
        <f t="shared" si="1231"/>
        <v>2.2999999999999998</v>
      </c>
      <c r="W3805">
        <v>2.5</v>
      </c>
      <c r="X3805" s="1" t="s">
        <v>92</v>
      </c>
    </row>
    <row r="3806" spans="1:24" x14ac:dyDescent="0.25">
      <c r="A3806" s="1" t="str">
        <f t="shared" si="1232"/>
        <v>卡卡杜-凤凰仓</v>
      </c>
      <c r="B3806" s="1" t="str">
        <f>"CK20241022203"</f>
        <v>CK20241022203</v>
      </c>
      <c r="C3806" s="1" t="str">
        <f>"DD2024102253756"</f>
        <v>DD2024102253756</v>
      </c>
      <c r="D3806" s="1" t="str">
        <f>"CK2024102251089"</f>
        <v>CK2024102251089</v>
      </c>
      <c r="E3806" s="1" t="str">
        <f>"3723479578693733376"</f>
        <v>3723479578693733376</v>
      </c>
      <c r="F3806" s="1" t="str">
        <f t="shared" si="1233"/>
        <v>花都四部-凤凰仓</v>
      </c>
      <c r="G3806" s="1" t="str">
        <f t="shared" si="1236"/>
        <v>卡卡杜企业店（视频号）</v>
      </c>
      <c r="H3806" s="1" t="str">
        <f t="shared" si="1234"/>
        <v>正常订单</v>
      </c>
      <c r="I3806" s="1" t="str">
        <f t="shared" si="1235"/>
        <v>已发货</v>
      </c>
      <c r="J3806" s="1" t="str">
        <f t="shared" si="1239"/>
        <v>3</v>
      </c>
      <c r="K3806" s="1">
        <v>3</v>
      </c>
      <c r="L3806" s="1" t="s">
        <v>74</v>
      </c>
      <c r="M3806" s="1" t="str">
        <f>"上海 上海市 浦东新区 "</f>
        <v xml:space="preserve">上海 上海市 浦东新区 </v>
      </c>
      <c r="N3806" s="1" t="str">
        <f t="shared" si="1237"/>
        <v>凡华云仓-城南圆通-微信视频号</v>
      </c>
      <c r="O3806" s="5" t="s">
        <v>3838</v>
      </c>
      <c r="P3806" s="6">
        <v>0.34</v>
      </c>
      <c r="Q3806" s="11">
        <v>2.2999999999999998</v>
      </c>
      <c r="R3806" s="11"/>
      <c r="S3806" s="11"/>
      <c r="T3806" s="11"/>
      <c r="U3806" s="11">
        <f t="shared" si="1231"/>
        <v>2.2999999999999998</v>
      </c>
      <c r="W3806">
        <v>2.5</v>
      </c>
      <c r="X3806" s="1" t="s">
        <v>74</v>
      </c>
    </row>
    <row r="3807" spans="1:24" x14ac:dyDescent="0.25">
      <c r="A3807" s="1" t="str">
        <f t="shared" si="1232"/>
        <v>卡卡杜-凤凰仓</v>
      </c>
      <c r="B3807" s="1" t="str">
        <f>"CK20241022204"</f>
        <v>CK20241022204</v>
      </c>
      <c r="C3807" s="1" t="str">
        <f>"DD2024102253757"</f>
        <v>DD2024102253757</v>
      </c>
      <c r="D3807" s="1" t="str">
        <f>"CK2024102251088"</f>
        <v>CK2024102251088</v>
      </c>
      <c r="E3807" s="1" t="str">
        <f>"3723479570087283712"</f>
        <v>3723479570087283712</v>
      </c>
      <c r="F3807" s="1" t="str">
        <f t="shared" si="1233"/>
        <v>花都四部-凤凰仓</v>
      </c>
      <c r="G3807" s="1" t="str">
        <f t="shared" si="1236"/>
        <v>卡卡杜企业店（视频号）</v>
      </c>
      <c r="H3807" s="1" t="str">
        <f t="shared" si="1234"/>
        <v>正常订单</v>
      </c>
      <c r="I3807" s="1" t="str">
        <f t="shared" si="1235"/>
        <v>已发货</v>
      </c>
      <c r="J3807" s="1" t="str">
        <f t="shared" si="1239"/>
        <v>3</v>
      </c>
      <c r="K3807" s="1">
        <v>3</v>
      </c>
      <c r="L3807" s="1" t="s">
        <v>92</v>
      </c>
      <c r="M3807" s="1" t="str">
        <f>"辽宁省 大连市 中山区 "</f>
        <v xml:space="preserve">辽宁省 大连市 中山区 </v>
      </c>
      <c r="N3807" s="1" t="str">
        <f t="shared" si="1237"/>
        <v>凡华云仓-城南圆通-微信视频号</v>
      </c>
      <c r="O3807" s="5" t="s">
        <v>3839</v>
      </c>
      <c r="P3807" s="6">
        <v>0.34</v>
      </c>
      <c r="Q3807" s="11">
        <v>2.2999999999999998</v>
      </c>
      <c r="R3807" s="11"/>
      <c r="S3807" s="11"/>
      <c r="T3807" s="11"/>
      <c r="U3807" s="11">
        <f t="shared" si="1231"/>
        <v>2.2999999999999998</v>
      </c>
      <c r="W3807">
        <v>2.5</v>
      </c>
      <c r="X3807" s="1" t="s">
        <v>92</v>
      </c>
    </row>
    <row r="3808" spans="1:24" x14ac:dyDescent="0.25">
      <c r="A3808" s="1" t="str">
        <f t="shared" si="1232"/>
        <v>卡卡杜-凤凰仓</v>
      </c>
      <c r="B3808" s="1" t="str">
        <f>"CK20241022205"</f>
        <v>CK20241022205</v>
      </c>
      <c r="C3808" s="1" t="str">
        <f>"DD2024102253759"</f>
        <v>DD2024102253759</v>
      </c>
      <c r="D3808" s="1" t="str">
        <f>"CK2024102251087"</f>
        <v>CK2024102251087</v>
      </c>
      <c r="E3808" s="1" t="str">
        <f>"3723479562572401665"</f>
        <v>3723479562572401665</v>
      </c>
      <c r="F3808" s="1" t="str">
        <f t="shared" si="1233"/>
        <v>花都四部-凤凰仓</v>
      </c>
      <c r="G3808" s="1" t="str">
        <f t="shared" si="1236"/>
        <v>卡卡杜企业店（视频号）</v>
      </c>
      <c r="H3808" s="1" t="str">
        <f t="shared" si="1234"/>
        <v>正常订单</v>
      </c>
      <c r="I3808" s="1" t="str">
        <f t="shared" si="1235"/>
        <v>已发货</v>
      </c>
      <c r="J3808" s="1" t="str">
        <f t="shared" si="1239"/>
        <v>3</v>
      </c>
      <c r="K3808" s="1">
        <v>3</v>
      </c>
      <c r="L3808" s="1" t="s">
        <v>16</v>
      </c>
      <c r="M3808" s="1" t="str">
        <f>"河北省 沧州市 任丘市 "</f>
        <v xml:space="preserve">河北省 沧州市 任丘市 </v>
      </c>
      <c r="N3808" s="1" t="str">
        <f t="shared" si="1237"/>
        <v>凡华云仓-城南圆通-微信视频号</v>
      </c>
      <c r="O3808" s="5" t="s">
        <v>3840</v>
      </c>
      <c r="P3808" s="6">
        <v>0.34</v>
      </c>
      <c r="Q3808" s="11">
        <v>2.2999999999999998</v>
      </c>
      <c r="R3808" s="11"/>
      <c r="S3808" s="11"/>
      <c r="T3808" s="11"/>
      <c r="U3808" s="11">
        <f t="shared" si="1231"/>
        <v>2.2999999999999998</v>
      </c>
      <c r="W3808">
        <v>2.5</v>
      </c>
      <c r="X3808" s="1" t="s">
        <v>16</v>
      </c>
    </row>
    <row r="3809" spans="1:24" x14ac:dyDescent="0.25">
      <c r="A3809" s="1" t="str">
        <f t="shared" si="1232"/>
        <v>卡卡杜-凤凰仓</v>
      </c>
      <c r="B3809" s="1" t="str">
        <f>"CK20241022206"</f>
        <v>CK20241022206</v>
      </c>
      <c r="C3809" s="1" t="str">
        <f>"DD2024102253758"</f>
        <v>DD2024102253758</v>
      </c>
      <c r="D3809" s="1" t="str">
        <f>"CK2024102251086"</f>
        <v>CK2024102251086</v>
      </c>
      <c r="E3809" s="1" t="str">
        <f>"3723479559265977856"</f>
        <v>3723479559265977856</v>
      </c>
      <c r="F3809" s="1" t="str">
        <f t="shared" si="1233"/>
        <v>花都四部-凤凰仓</v>
      </c>
      <c r="G3809" s="1" t="str">
        <f t="shared" si="1236"/>
        <v>卡卡杜企业店（视频号）</v>
      </c>
      <c r="H3809" s="1" t="str">
        <f t="shared" si="1234"/>
        <v>正常订单</v>
      </c>
      <c r="I3809" s="1" t="str">
        <f t="shared" si="1235"/>
        <v>已发货</v>
      </c>
      <c r="J3809" s="1" t="str">
        <f t="shared" si="1239"/>
        <v>3</v>
      </c>
      <c r="K3809" s="1">
        <v>3</v>
      </c>
      <c r="L3809" s="1" t="s">
        <v>80</v>
      </c>
      <c r="M3809" s="1" t="str">
        <f>"河南省 新乡市 延津县 "</f>
        <v xml:space="preserve">河南省 新乡市 延津县 </v>
      </c>
      <c r="N3809" s="1" t="str">
        <f t="shared" si="1237"/>
        <v>凡华云仓-城南圆通-微信视频号</v>
      </c>
      <c r="O3809" s="5" t="s">
        <v>3841</v>
      </c>
      <c r="P3809" s="6">
        <v>0.34</v>
      </c>
      <c r="Q3809" s="11">
        <v>2.2999999999999998</v>
      </c>
      <c r="R3809" s="11"/>
      <c r="S3809" s="11"/>
      <c r="T3809" s="11"/>
      <c r="U3809" s="11">
        <f t="shared" si="1231"/>
        <v>2.2999999999999998</v>
      </c>
      <c r="W3809">
        <v>2.5</v>
      </c>
      <c r="X3809" s="1" t="s">
        <v>80</v>
      </c>
    </row>
    <row r="3810" spans="1:24" x14ac:dyDescent="0.25">
      <c r="A3810" s="1" t="str">
        <f t="shared" si="1232"/>
        <v>卡卡杜-凤凰仓</v>
      </c>
      <c r="B3810" s="1" t="str">
        <f>"CK20241022208"</f>
        <v>CK20241022208</v>
      </c>
      <c r="C3810" s="1" t="str">
        <f>"DD2024102253761"</f>
        <v>DD2024102253761</v>
      </c>
      <c r="D3810" s="1" t="str">
        <f>"CK2024102251085"</f>
        <v>CK2024102251085</v>
      </c>
      <c r="E3810" s="1" t="str">
        <f>"3723479557051385088"</f>
        <v>3723479557051385088</v>
      </c>
      <c r="F3810" s="1" t="str">
        <f t="shared" si="1233"/>
        <v>花都四部-凤凰仓</v>
      </c>
      <c r="G3810" s="1" t="str">
        <f t="shared" si="1236"/>
        <v>卡卡杜企业店（视频号）</v>
      </c>
      <c r="H3810" s="1" t="str">
        <f t="shared" si="1234"/>
        <v>正常订单</v>
      </c>
      <c r="I3810" s="1" t="str">
        <f t="shared" si="1235"/>
        <v>已发货</v>
      </c>
      <c r="J3810" s="1" t="str">
        <f t="shared" si="1239"/>
        <v>3</v>
      </c>
      <c r="K3810" s="1">
        <v>3</v>
      </c>
      <c r="L3810" s="1" t="s">
        <v>218</v>
      </c>
      <c r="M3810" s="1" t="str">
        <f>"天津 天津市 滨海新区 "</f>
        <v xml:space="preserve">天津 天津市 滨海新区 </v>
      </c>
      <c r="N3810" s="1" t="str">
        <f t="shared" si="1237"/>
        <v>凡华云仓-城南圆通-微信视频号</v>
      </c>
      <c r="O3810" s="5" t="s">
        <v>3842</v>
      </c>
      <c r="P3810" s="6">
        <v>0.34</v>
      </c>
      <c r="Q3810" s="11">
        <v>2.2999999999999998</v>
      </c>
      <c r="R3810" s="11"/>
      <c r="S3810" s="11"/>
      <c r="T3810" s="11"/>
      <c r="U3810" s="11">
        <f t="shared" si="1231"/>
        <v>2.2999999999999998</v>
      </c>
      <c r="W3810">
        <v>2.5</v>
      </c>
      <c r="X3810" s="1" t="s">
        <v>218</v>
      </c>
    </row>
    <row r="3811" spans="1:24" x14ac:dyDescent="0.25">
      <c r="A3811" s="1" t="str">
        <f t="shared" si="1232"/>
        <v>卡卡杜-凤凰仓</v>
      </c>
      <c r="B3811" s="1" t="str">
        <f>"CK20241022207"</f>
        <v>CK20241022207</v>
      </c>
      <c r="C3811" s="1" t="str">
        <f>"DD2024102253760"</f>
        <v>DD2024102253760</v>
      </c>
      <c r="D3811" s="1" t="str">
        <f>"CK2024102251084"</f>
        <v>CK2024102251084</v>
      </c>
      <c r="E3811" s="1" t="str">
        <f>"3723479556334947329"</f>
        <v>3723479556334947329</v>
      </c>
      <c r="F3811" s="1" t="str">
        <f t="shared" si="1233"/>
        <v>花都四部-凤凰仓</v>
      </c>
      <c r="G3811" s="1" t="str">
        <f t="shared" si="1236"/>
        <v>卡卡杜企业店（视频号）</v>
      </c>
      <c r="H3811" s="1" t="str">
        <f t="shared" si="1234"/>
        <v>正常订单</v>
      </c>
      <c r="I3811" s="1" t="str">
        <f t="shared" si="1235"/>
        <v>已发货</v>
      </c>
      <c r="J3811" s="1" t="str">
        <f t="shared" si="1239"/>
        <v>3</v>
      </c>
      <c r="K3811" s="1">
        <v>3</v>
      </c>
      <c r="L3811" s="1" t="s">
        <v>94</v>
      </c>
      <c r="M3811" s="1" t="str">
        <f>"湖南省 邵阳市 隆回县 "</f>
        <v xml:space="preserve">湖南省 邵阳市 隆回县 </v>
      </c>
      <c r="N3811" s="1" t="str">
        <f t="shared" si="1237"/>
        <v>凡华云仓-城南圆通-微信视频号</v>
      </c>
      <c r="O3811" s="5" t="s">
        <v>3843</v>
      </c>
      <c r="P3811" s="6">
        <v>0.34</v>
      </c>
      <c r="Q3811" s="11">
        <v>2.2999999999999998</v>
      </c>
      <c r="R3811" s="11"/>
      <c r="S3811" s="11"/>
      <c r="T3811" s="11"/>
      <c r="U3811" s="11">
        <f t="shared" si="1231"/>
        <v>2.2999999999999998</v>
      </c>
      <c r="W3811">
        <v>2.5</v>
      </c>
      <c r="X3811" s="1" t="s">
        <v>94</v>
      </c>
    </row>
    <row r="3812" spans="1:24" x14ac:dyDescent="0.25">
      <c r="A3812" s="1" t="str">
        <f t="shared" si="1232"/>
        <v>卡卡杜-凤凰仓</v>
      </c>
      <c r="B3812" s="1" t="str">
        <f>"CK20241022213"</f>
        <v>CK20241022213</v>
      </c>
      <c r="C3812" s="1" t="str">
        <f>"DD2024102253766"</f>
        <v>DD2024102253766</v>
      </c>
      <c r="D3812" s="1" t="str">
        <f>"CK2024102251083"</f>
        <v>CK2024102251083</v>
      </c>
      <c r="E3812" s="1" t="str">
        <f>"3723479547758380288"</f>
        <v>3723479547758380288</v>
      </c>
      <c r="F3812" s="1" t="str">
        <f t="shared" si="1233"/>
        <v>花都四部-凤凰仓</v>
      </c>
      <c r="G3812" s="1" t="str">
        <f t="shared" si="1236"/>
        <v>卡卡杜企业店（视频号）</v>
      </c>
      <c r="H3812" s="1" t="str">
        <f t="shared" si="1234"/>
        <v>正常订单</v>
      </c>
      <c r="I3812" s="1" t="str">
        <f t="shared" si="1235"/>
        <v>已发货</v>
      </c>
      <c r="J3812" s="1" t="str">
        <f t="shared" si="1239"/>
        <v>3</v>
      </c>
      <c r="K3812" s="1">
        <v>3</v>
      </c>
      <c r="L3812" s="1" t="s">
        <v>187</v>
      </c>
      <c r="M3812" s="1" t="str">
        <f>"吉林省 延边朝鲜族自治州 敦化市 "</f>
        <v xml:space="preserve">吉林省 延边朝鲜族自治州 敦化市 </v>
      </c>
      <c r="N3812" s="1" t="str">
        <f t="shared" si="1237"/>
        <v>凡华云仓-城南圆通-微信视频号</v>
      </c>
      <c r="O3812" s="5" t="s">
        <v>3844</v>
      </c>
      <c r="P3812" s="6">
        <v>0.34</v>
      </c>
      <c r="Q3812" s="11">
        <v>2.2999999999999998</v>
      </c>
      <c r="R3812" s="11"/>
      <c r="S3812" s="11"/>
      <c r="T3812" s="11"/>
      <c r="U3812" s="11">
        <f t="shared" si="1231"/>
        <v>2.2999999999999998</v>
      </c>
      <c r="W3812">
        <v>2.5</v>
      </c>
      <c r="X3812" s="1" t="s">
        <v>187</v>
      </c>
    </row>
    <row r="3813" spans="1:24" x14ac:dyDescent="0.25">
      <c r="A3813" s="1" t="str">
        <f t="shared" si="1232"/>
        <v>卡卡杜-凤凰仓</v>
      </c>
      <c r="B3813" s="1" t="str">
        <f>"CK20241022236"</f>
        <v>CK20241022236</v>
      </c>
      <c r="C3813" s="1" t="str">
        <f>"DD2024102253789"</f>
        <v>DD2024102253789</v>
      </c>
      <c r="D3813" s="1" t="str">
        <f>"CK2024102251082"</f>
        <v>CK2024102251082</v>
      </c>
      <c r="E3813" s="1" t="str">
        <f>"3723479537897051136"</f>
        <v>3723479537897051136</v>
      </c>
      <c r="F3813" s="1" t="str">
        <f t="shared" si="1233"/>
        <v>花都四部-凤凰仓</v>
      </c>
      <c r="G3813" s="1" t="str">
        <f t="shared" si="1236"/>
        <v>卡卡杜企业店（视频号）</v>
      </c>
      <c r="H3813" s="1" t="str">
        <f t="shared" si="1234"/>
        <v>正常订单</v>
      </c>
      <c r="I3813" s="1" t="str">
        <f t="shared" si="1235"/>
        <v>已发货</v>
      </c>
      <c r="J3813" s="1" t="str">
        <f t="shared" si="1239"/>
        <v>3</v>
      </c>
      <c r="K3813" s="1">
        <v>3</v>
      </c>
      <c r="L3813" s="1" t="s">
        <v>30</v>
      </c>
      <c r="M3813" s="1" t="str">
        <f>"山东省 临沂市 兰山区 "</f>
        <v xml:space="preserve">山东省 临沂市 兰山区 </v>
      </c>
      <c r="N3813" s="1" t="str">
        <f t="shared" si="1237"/>
        <v>凡华云仓-城南圆通-微信视频号</v>
      </c>
      <c r="O3813" s="5" t="s">
        <v>3845</v>
      </c>
      <c r="P3813" s="6">
        <v>0.34</v>
      </c>
      <c r="Q3813" s="11">
        <v>2.2999999999999998</v>
      </c>
      <c r="R3813" s="11"/>
      <c r="S3813" s="11"/>
      <c r="T3813" s="11"/>
      <c r="U3813" s="11">
        <f t="shared" si="1231"/>
        <v>2.2999999999999998</v>
      </c>
      <c r="W3813">
        <v>2.5</v>
      </c>
      <c r="X3813" s="1" t="s">
        <v>30</v>
      </c>
    </row>
    <row r="3814" spans="1:24" x14ac:dyDescent="0.25">
      <c r="A3814" s="1" t="str">
        <f t="shared" si="1232"/>
        <v>卡卡杜-凤凰仓</v>
      </c>
      <c r="B3814" s="1" t="str">
        <f>"CK20241022230"</f>
        <v>CK20241022230</v>
      </c>
      <c r="C3814" s="1" t="str">
        <f>"DD2024102253782"</f>
        <v>DD2024102253782</v>
      </c>
      <c r="D3814" s="1" t="str">
        <f>"CK2024102251081"</f>
        <v>CK2024102251081</v>
      </c>
      <c r="E3814" s="1" t="str">
        <f>"3723479541965522176"</f>
        <v>3723479541965522176</v>
      </c>
      <c r="F3814" s="1" t="str">
        <f t="shared" si="1233"/>
        <v>花都四部-凤凰仓</v>
      </c>
      <c r="G3814" s="1" t="str">
        <f t="shared" si="1236"/>
        <v>卡卡杜企业店（视频号）</v>
      </c>
      <c r="H3814" s="1" t="str">
        <f t="shared" si="1234"/>
        <v>正常订单</v>
      </c>
      <c r="I3814" s="1" t="str">
        <f t="shared" si="1235"/>
        <v>已发货</v>
      </c>
      <c r="J3814" s="1" t="str">
        <f t="shared" si="1239"/>
        <v>3</v>
      </c>
      <c r="K3814" s="1">
        <v>3</v>
      </c>
      <c r="L3814" s="1" t="s">
        <v>218</v>
      </c>
      <c r="M3814" s="1" t="str">
        <f>"天津 天津市 滨海新区 "</f>
        <v xml:space="preserve">天津 天津市 滨海新区 </v>
      </c>
      <c r="N3814" s="1" t="str">
        <f t="shared" si="1237"/>
        <v>凡华云仓-城南圆通-微信视频号</v>
      </c>
      <c r="O3814" s="5" t="s">
        <v>3846</v>
      </c>
      <c r="P3814" s="6">
        <v>0.34</v>
      </c>
      <c r="Q3814" s="11">
        <v>2.2999999999999998</v>
      </c>
      <c r="R3814" s="11"/>
      <c r="S3814" s="11"/>
      <c r="T3814" s="11"/>
      <c r="U3814" s="11">
        <f t="shared" si="1231"/>
        <v>2.2999999999999998</v>
      </c>
      <c r="W3814">
        <v>2.5</v>
      </c>
      <c r="X3814" s="1" t="s">
        <v>218</v>
      </c>
    </row>
    <row r="3815" spans="1:24" x14ac:dyDescent="0.25">
      <c r="A3815" s="1" t="str">
        <f t="shared" si="1232"/>
        <v>卡卡杜-凤凰仓</v>
      </c>
      <c r="B3815" s="1" t="str">
        <f>"CK20241022209"</f>
        <v>CK20241022209</v>
      </c>
      <c r="C3815" s="1" t="str">
        <f>"DD2024102253762"</f>
        <v>DD2024102253762</v>
      </c>
      <c r="D3815" s="1" t="str">
        <f>"CK2024102251080"</f>
        <v>CK2024102251080</v>
      </c>
      <c r="E3815" s="1" t="str">
        <f>"3723479554595097600"</f>
        <v>3723479554595097600</v>
      </c>
      <c r="F3815" s="1" t="str">
        <f t="shared" si="1233"/>
        <v>花都四部-凤凰仓</v>
      </c>
      <c r="G3815" s="1" t="str">
        <f t="shared" si="1236"/>
        <v>卡卡杜企业店（视频号）</v>
      </c>
      <c r="H3815" s="1" t="str">
        <f t="shared" si="1234"/>
        <v>正常订单</v>
      </c>
      <c r="I3815" s="1" t="str">
        <f t="shared" si="1235"/>
        <v>已发货</v>
      </c>
      <c r="J3815" s="1" t="str">
        <f t="shared" si="1239"/>
        <v>3</v>
      </c>
      <c r="K3815" s="1">
        <v>3</v>
      </c>
      <c r="L3815" s="1" t="s">
        <v>30</v>
      </c>
      <c r="M3815" s="1" t="str">
        <f>"山东省 济南市 济阳区 "</f>
        <v xml:space="preserve">山东省 济南市 济阳区 </v>
      </c>
      <c r="N3815" s="1" t="str">
        <f t="shared" si="1237"/>
        <v>凡华云仓-城南圆通-微信视频号</v>
      </c>
      <c r="O3815" s="5" t="s">
        <v>3847</v>
      </c>
      <c r="P3815" s="6">
        <v>0.34</v>
      </c>
      <c r="Q3815" s="11">
        <v>2.2999999999999998</v>
      </c>
      <c r="R3815" s="11"/>
      <c r="S3815" s="11"/>
      <c r="T3815" s="11"/>
      <c r="U3815" s="11">
        <f t="shared" si="1231"/>
        <v>2.2999999999999998</v>
      </c>
      <c r="W3815">
        <v>2.5</v>
      </c>
      <c r="X3815" s="1" t="s">
        <v>30</v>
      </c>
    </row>
    <row r="3816" spans="1:24" x14ac:dyDescent="0.25">
      <c r="A3816" s="1" t="str">
        <f t="shared" si="1232"/>
        <v>卡卡杜-凤凰仓</v>
      </c>
      <c r="B3816" s="1" t="str">
        <f>"CK20241022215"</f>
        <v>CK20241022215</v>
      </c>
      <c r="C3816" s="1" t="str">
        <f>"DD2024102253768"</f>
        <v>DD2024102253768</v>
      </c>
      <c r="D3816" s="1" t="str">
        <f>"CK2024102251079"</f>
        <v>CK2024102251079</v>
      </c>
      <c r="E3816" s="1" t="str">
        <f>"3723479542869921792"</f>
        <v>3723479542869921792</v>
      </c>
      <c r="F3816" s="1" t="str">
        <f t="shared" si="1233"/>
        <v>花都四部-凤凰仓</v>
      </c>
      <c r="G3816" s="1" t="str">
        <f t="shared" si="1236"/>
        <v>卡卡杜企业店（视频号）</v>
      </c>
      <c r="H3816" s="1" t="str">
        <f t="shared" si="1234"/>
        <v>正常订单</v>
      </c>
      <c r="I3816" s="1" t="str">
        <f t="shared" si="1235"/>
        <v>已发货</v>
      </c>
      <c r="J3816" s="1" t="str">
        <f t="shared" si="1239"/>
        <v>3</v>
      </c>
      <c r="K3816" s="1">
        <v>3</v>
      </c>
      <c r="L3816" s="1" t="s">
        <v>30</v>
      </c>
      <c r="M3816" s="1" t="str">
        <f>"山东省 德州市 陵城区 "</f>
        <v xml:space="preserve">山东省 德州市 陵城区 </v>
      </c>
      <c r="N3816" s="1" t="str">
        <f t="shared" si="1237"/>
        <v>凡华云仓-城南圆通-微信视频号</v>
      </c>
      <c r="O3816" s="5" t="s">
        <v>3848</v>
      </c>
      <c r="P3816" s="6">
        <v>0.34</v>
      </c>
      <c r="Q3816" s="11">
        <v>2.2999999999999998</v>
      </c>
      <c r="R3816" s="11"/>
      <c r="S3816" s="11"/>
      <c r="T3816" s="11"/>
      <c r="U3816" s="11">
        <f t="shared" si="1231"/>
        <v>2.2999999999999998</v>
      </c>
      <c r="W3816">
        <v>2.5</v>
      </c>
      <c r="X3816" s="1" t="s">
        <v>30</v>
      </c>
    </row>
    <row r="3817" spans="1:24" x14ac:dyDescent="0.25">
      <c r="A3817" s="1" t="str">
        <f t="shared" si="1232"/>
        <v>卡卡杜-凤凰仓</v>
      </c>
      <c r="B3817" s="1" t="str">
        <f>"CK20241022210"</f>
        <v>CK20241022210</v>
      </c>
      <c r="C3817" s="1" t="str">
        <f>"DD2024102253765"</f>
        <v>DD2024102253765</v>
      </c>
      <c r="D3817" s="1" t="str">
        <f>"CK2024102251078"</f>
        <v>CK2024102251078</v>
      </c>
      <c r="E3817" s="1" t="str">
        <f>"3723479554240414976"</f>
        <v>3723479554240414976</v>
      </c>
      <c r="F3817" s="1" t="str">
        <f t="shared" si="1233"/>
        <v>花都四部-凤凰仓</v>
      </c>
      <c r="G3817" s="1" t="str">
        <f t="shared" si="1236"/>
        <v>卡卡杜企业店（视频号）</v>
      </c>
      <c r="H3817" s="1" t="str">
        <f t="shared" si="1234"/>
        <v>正常订单</v>
      </c>
      <c r="I3817" s="1" t="str">
        <f t="shared" si="1235"/>
        <v>已发货</v>
      </c>
      <c r="J3817" s="1" t="str">
        <f t="shared" si="1239"/>
        <v>3</v>
      </c>
      <c r="K3817" s="1">
        <v>3</v>
      </c>
      <c r="L3817" s="1" t="s">
        <v>30</v>
      </c>
      <c r="M3817" s="1" t="str">
        <f>"山东省 临沂市 莒南县 "</f>
        <v xml:space="preserve">山东省 临沂市 莒南县 </v>
      </c>
      <c r="N3817" s="1" t="str">
        <f t="shared" si="1237"/>
        <v>凡华云仓-城南圆通-微信视频号</v>
      </c>
      <c r="O3817" s="5" t="s">
        <v>3849</v>
      </c>
      <c r="P3817" s="6">
        <v>0.34</v>
      </c>
      <c r="Q3817" s="11">
        <v>2.2999999999999998</v>
      </c>
      <c r="R3817" s="11"/>
      <c r="S3817" s="11"/>
      <c r="T3817" s="11"/>
      <c r="U3817" s="11">
        <f t="shared" si="1231"/>
        <v>2.2999999999999998</v>
      </c>
      <c r="W3817">
        <v>2.5</v>
      </c>
      <c r="X3817" s="1" t="s">
        <v>30</v>
      </c>
    </row>
    <row r="3818" spans="1:24" x14ac:dyDescent="0.25">
      <c r="A3818" s="1" t="str">
        <f t="shared" si="1232"/>
        <v>卡卡杜-凤凰仓</v>
      </c>
      <c r="B3818" s="1" t="str">
        <f>"CK20241022212"</f>
        <v>CK20241022212</v>
      </c>
      <c r="C3818" s="1" t="str">
        <f>"DD2024102253763"</f>
        <v>DD2024102253763</v>
      </c>
      <c r="D3818" s="1" t="str">
        <f>"CK2024102251077"</f>
        <v>CK2024102251077</v>
      </c>
      <c r="E3818" s="1" t="str">
        <f>"3723479547929822720"</f>
        <v>3723479547929822720</v>
      </c>
      <c r="F3818" s="1" t="str">
        <f t="shared" si="1233"/>
        <v>花都四部-凤凰仓</v>
      </c>
      <c r="G3818" s="1" t="str">
        <f t="shared" si="1236"/>
        <v>卡卡杜企业店（视频号）</v>
      </c>
      <c r="H3818" s="1" t="str">
        <f t="shared" si="1234"/>
        <v>正常订单</v>
      </c>
      <c r="I3818" s="1" t="str">
        <f t="shared" si="1235"/>
        <v>已发货</v>
      </c>
      <c r="J3818" s="1" t="str">
        <f t="shared" si="1239"/>
        <v>3</v>
      </c>
      <c r="K3818" s="1">
        <v>3</v>
      </c>
      <c r="L3818" s="1" t="s">
        <v>187</v>
      </c>
      <c r="M3818" s="1" t="str">
        <f>"吉林省 白城市 洮北区 "</f>
        <v xml:space="preserve">吉林省 白城市 洮北区 </v>
      </c>
      <c r="N3818" s="1" t="str">
        <f t="shared" si="1237"/>
        <v>凡华云仓-城南圆通-微信视频号</v>
      </c>
      <c r="O3818" s="5" t="s">
        <v>3850</v>
      </c>
      <c r="P3818" s="6">
        <v>0.34</v>
      </c>
      <c r="Q3818" s="11">
        <v>2.2999999999999998</v>
      </c>
      <c r="R3818" s="11"/>
      <c r="S3818" s="11"/>
      <c r="T3818" s="11"/>
      <c r="U3818" s="11">
        <f t="shared" si="1231"/>
        <v>2.2999999999999998</v>
      </c>
      <c r="W3818">
        <v>2.5</v>
      </c>
      <c r="X3818" s="1" t="s">
        <v>187</v>
      </c>
    </row>
    <row r="3819" spans="1:24" x14ac:dyDescent="0.25">
      <c r="A3819" s="1" t="str">
        <f t="shared" si="1232"/>
        <v>卡卡杜-凤凰仓</v>
      </c>
      <c r="B3819" s="1" t="str">
        <f>"CK20241022218"</f>
        <v>CK20241022218</v>
      </c>
      <c r="C3819" s="1" t="str">
        <f>"DD2024102253770"</f>
        <v>DD2024102253770</v>
      </c>
      <c r="D3819" s="1" t="str">
        <f>"CK2024102251076"</f>
        <v>CK2024102251076</v>
      </c>
      <c r="E3819" s="1" t="str">
        <f>"3723479547006027265"</f>
        <v>3723479547006027265</v>
      </c>
      <c r="F3819" s="1" t="str">
        <f t="shared" si="1233"/>
        <v>花都四部-凤凰仓</v>
      </c>
      <c r="G3819" s="1" t="str">
        <f t="shared" si="1236"/>
        <v>卡卡杜企业店（视频号）</v>
      </c>
      <c r="H3819" s="1" t="str">
        <f t="shared" si="1234"/>
        <v>正常订单</v>
      </c>
      <c r="I3819" s="1" t="str">
        <f t="shared" si="1235"/>
        <v>已发货</v>
      </c>
      <c r="J3819" s="1" t="str">
        <f t="shared" si="1239"/>
        <v>3</v>
      </c>
      <c r="K3819" s="1">
        <v>3</v>
      </c>
      <c r="L3819" s="1" t="s">
        <v>30</v>
      </c>
      <c r="M3819" s="1" t="str">
        <f>"山东省 潍坊市 奎文区 "</f>
        <v xml:space="preserve">山东省 潍坊市 奎文区 </v>
      </c>
      <c r="N3819" s="1" t="str">
        <f t="shared" si="1237"/>
        <v>凡华云仓-城南圆通-微信视频号</v>
      </c>
      <c r="O3819" s="5" t="s">
        <v>3851</v>
      </c>
      <c r="P3819" s="6">
        <v>0.34</v>
      </c>
      <c r="Q3819" s="11">
        <v>2.2999999999999998</v>
      </c>
      <c r="R3819" s="11"/>
      <c r="S3819" s="11"/>
      <c r="T3819" s="11"/>
      <c r="U3819" s="11">
        <f t="shared" si="1231"/>
        <v>2.2999999999999998</v>
      </c>
      <c r="W3819">
        <v>2.5</v>
      </c>
      <c r="X3819" s="1" t="s">
        <v>30</v>
      </c>
    </row>
    <row r="3820" spans="1:24" x14ac:dyDescent="0.25">
      <c r="A3820" s="1" t="str">
        <f t="shared" si="1232"/>
        <v>卡卡杜-凤凰仓</v>
      </c>
      <c r="B3820" s="1" t="str">
        <f>"CK20241022211"</f>
        <v>CK20241022211</v>
      </c>
      <c r="C3820" s="1" t="str">
        <f>"DD2024102253764"</f>
        <v>DD2024102253764</v>
      </c>
      <c r="D3820" s="1" t="str">
        <f>"CK2024102251075"</f>
        <v>CK2024102251075</v>
      </c>
      <c r="E3820" s="1" t="str">
        <f>"3723479551235722240"</f>
        <v>3723479551235722240</v>
      </c>
      <c r="F3820" s="1" t="str">
        <f t="shared" si="1233"/>
        <v>花都四部-凤凰仓</v>
      </c>
      <c r="G3820" s="1" t="str">
        <f t="shared" si="1236"/>
        <v>卡卡杜企业店（视频号）</v>
      </c>
      <c r="H3820" s="1" t="str">
        <f t="shared" si="1234"/>
        <v>正常订单</v>
      </c>
      <c r="I3820" s="1" t="str">
        <f t="shared" si="1235"/>
        <v>已发货</v>
      </c>
      <c r="J3820" s="1" t="str">
        <f t="shared" si="1239"/>
        <v>3</v>
      </c>
      <c r="K3820" s="1">
        <v>3</v>
      </c>
      <c r="L3820" s="1" t="s">
        <v>18</v>
      </c>
      <c r="M3820" s="1" t="str">
        <f>"广东省 佛山市 南海区 "</f>
        <v xml:space="preserve">广东省 佛山市 南海区 </v>
      </c>
      <c r="N3820" s="1" t="str">
        <f t="shared" si="1237"/>
        <v>凡华云仓-城南圆通-微信视频号</v>
      </c>
      <c r="O3820" s="5" t="s">
        <v>3852</v>
      </c>
      <c r="P3820" s="6">
        <v>0.34</v>
      </c>
      <c r="Q3820" s="11">
        <v>2.2999999999999998</v>
      </c>
      <c r="R3820" s="11"/>
      <c r="S3820" s="11"/>
      <c r="T3820" s="11"/>
      <c r="U3820" s="11">
        <f t="shared" si="1231"/>
        <v>2.2999999999999998</v>
      </c>
      <c r="W3820">
        <v>2.5</v>
      </c>
      <c r="X3820" s="1" t="s">
        <v>18</v>
      </c>
    </row>
    <row r="3821" spans="1:24" x14ac:dyDescent="0.25">
      <c r="A3821" s="1" t="str">
        <f t="shared" si="1232"/>
        <v>卡卡杜-凤凰仓</v>
      </c>
      <c r="B3821" s="1" t="str">
        <f>"CK20241022220"</f>
        <v>CK20241022220</v>
      </c>
      <c r="C3821" s="1" t="str">
        <f>"DD2024102253773"</f>
        <v>DD2024102253773</v>
      </c>
      <c r="D3821" s="1" t="str">
        <f>"CK2024102251074"</f>
        <v>CK2024102251074</v>
      </c>
      <c r="E3821" s="1" t="str">
        <f>"3723479539975062784"</f>
        <v>3723479539975062784</v>
      </c>
      <c r="F3821" s="1" t="str">
        <f t="shared" si="1233"/>
        <v>花都四部-凤凰仓</v>
      </c>
      <c r="G3821" s="1" t="str">
        <f t="shared" si="1236"/>
        <v>卡卡杜企业店（视频号）</v>
      </c>
      <c r="H3821" s="1" t="str">
        <f t="shared" si="1234"/>
        <v>正常订单</v>
      </c>
      <c r="I3821" s="1" t="str">
        <f t="shared" si="1235"/>
        <v>已发货</v>
      </c>
      <c r="J3821" s="1" t="str">
        <f t="shared" si="1239"/>
        <v>3</v>
      </c>
      <c r="K3821" s="1">
        <v>3</v>
      </c>
      <c r="L3821" s="1" t="s">
        <v>30</v>
      </c>
      <c r="M3821" s="1" t="str">
        <f>"山东省 烟台市 烟台高新技术产业开发区 "</f>
        <v xml:space="preserve">山东省 烟台市 烟台高新技术产业开发区 </v>
      </c>
      <c r="N3821" s="1" t="str">
        <f t="shared" si="1237"/>
        <v>凡华云仓-城南圆通-微信视频号</v>
      </c>
      <c r="O3821" s="5" t="s">
        <v>3853</v>
      </c>
      <c r="P3821" s="6">
        <v>0.34</v>
      </c>
      <c r="Q3821" s="11">
        <v>2.2999999999999998</v>
      </c>
      <c r="R3821" s="11"/>
      <c r="S3821" s="11"/>
      <c r="T3821" s="11"/>
      <c r="U3821" s="11">
        <f t="shared" si="1231"/>
        <v>2.2999999999999998</v>
      </c>
      <c r="W3821">
        <v>2.5</v>
      </c>
      <c r="X3821" s="1" t="s">
        <v>30</v>
      </c>
    </row>
    <row r="3822" spans="1:24" x14ac:dyDescent="0.25">
      <c r="A3822" s="1" t="str">
        <f t="shared" si="1232"/>
        <v>卡卡杜-凤凰仓</v>
      </c>
      <c r="B3822" s="1" t="str">
        <f>"CK20241022214"</f>
        <v>CK20241022214</v>
      </c>
      <c r="C3822" s="1" t="str">
        <f>"DD2024102253767"</f>
        <v>DD2024102253767</v>
      </c>
      <c r="D3822" s="1" t="str">
        <f>"CK2024102251073"</f>
        <v>CK2024102251073</v>
      </c>
      <c r="E3822" s="1" t="str">
        <f>"3723479552025299968"</f>
        <v>3723479552025299968</v>
      </c>
      <c r="F3822" s="1" t="str">
        <f t="shared" si="1233"/>
        <v>花都四部-凤凰仓</v>
      </c>
      <c r="G3822" s="1" t="str">
        <f t="shared" si="1236"/>
        <v>卡卡杜企业店（视频号）</v>
      </c>
      <c r="H3822" s="1" t="str">
        <f t="shared" si="1234"/>
        <v>正常订单</v>
      </c>
      <c r="I3822" s="1" t="str">
        <f t="shared" si="1235"/>
        <v>已发货</v>
      </c>
      <c r="J3822" s="1" t="str">
        <f t="shared" si="1239"/>
        <v>3</v>
      </c>
      <c r="K3822" s="1">
        <v>3</v>
      </c>
      <c r="L3822" s="1" t="s">
        <v>30</v>
      </c>
      <c r="M3822" s="1" t="str">
        <f>"山东省 威海市 荣成市 "</f>
        <v xml:space="preserve">山东省 威海市 荣成市 </v>
      </c>
      <c r="N3822" s="1" t="str">
        <f t="shared" si="1237"/>
        <v>凡华云仓-城南圆通-微信视频号</v>
      </c>
      <c r="O3822" s="5" t="s">
        <v>3854</v>
      </c>
      <c r="P3822" s="6">
        <v>0.34</v>
      </c>
      <c r="Q3822" s="11">
        <v>2.2999999999999998</v>
      </c>
      <c r="R3822" s="11"/>
      <c r="S3822" s="11"/>
      <c r="T3822" s="11"/>
      <c r="U3822" s="11">
        <f t="shared" si="1231"/>
        <v>2.2999999999999998</v>
      </c>
      <c r="W3822">
        <v>2.5</v>
      </c>
      <c r="X3822" s="1" t="s">
        <v>30</v>
      </c>
    </row>
    <row r="3823" spans="1:24" x14ac:dyDescent="0.25">
      <c r="A3823" s="1" t="str">
        <f t="shared" si="1232"/>
        <v>卡卡杜-凤凰仓</v>
      </c>
      <c r="B3823" s="1" t="str">
        <f>"CK20241022217"</f>
        <v>CK20241022217</v>
      </c>
      <c r="C3823" s="1" t="str">
        <f>"DD2024102253769"</f>
        <v>DD2024102253769</v>
      </c>
      <c r="D3823" s="1" t="str">
        <f>"CK2024102251072"</f>
        <v>CK2024102251072</v>
      </c>
      <c r="E3823" s="1" t="str">
        <f>"3723479549651059968"</f>
        <v>3723479549651059968</v>
      </c>
      <c r="F3823" s="1" t="str">
        <f t="shared" si="1233"/>
        <v>花都四部-凤凰仓</v>
      </c>
      <c r="G3823" s="1" t="str">
        <f t="shared" si="1236"/>
        <v>卡卡杜企业店（视频号）</v>
      </c>
      <c r="H3823" s="1" t="str">
        <f t="shared" si="1234"/>
        <v>正常订单</v>
      </c>
      <c r="I3823" s="1" t="str">
        <f t="shared" si="1235"/>
        <v>已发货</v>
      </c>
      <c r="J3823" s="1" t="str">
        <f t="shared" si="1239"/>
        <v>3</v>
      </c>
      <c r="K3823" s="1">
        <v>3</v>
      </c>
      <c r="L3823" s="1" t="s">
        <v>105</v>
      </c>
      <c r="M3823" s="1" t="str">
        <f>"北京 北京市 通州区 "</f>
        <v xml:space="preserve">北京 北京市 通州区 </v>
      </c>
      <c r="N3823" s="1" t="str">
        <f t="shared" si="1237"/>
        <v>凡华云仓-城南圆通-微信视频号</v>
      </c>
      <c r="O3823" s="5" t="s">
        <v>3855</v>
      </c>
      <c r="P3823" s="6">
        <v>0.34</v>
      </c>
      <c r="Q3823" s="11">
        <v>2.2999999999999998</v>
      </c>
      <c r="R3823" s="11"/>
      <c r="S3823" s="11"/>
      <c r="T3823" s="11"/>
      <c r="U3823" s="11">
        <f t="shared" si="1231"/>
        <v>2.2999999999999998</v>
      </c>
      <c r="W3823">
        <v>2.5</v>
      </c>
      <c r="X3823" s="1" t="s">
        <v>105</v>
      </c>
    </row>
    <row r="3824" spans="1:24" x14ac:dyDescent="0.25">
      <c r="A3824" s="1" t="str">
        <f t="shared" si="1232"/>
        <v>卡卡杜-凤凰仓</v>
      </c>
      <c r="B3824" s="1" t="str">
        <f>"CK20241022216"</f>
        <v>CK20241022216</v>
      </c>
      <c r="C3824" s="1" t="str">
        <f>"DD2024102253771"</f>
        <v>DD2024102253771</v>
      </c>
      <c r="D3824" s="1" t="str">
        <f>"CK2024102251071"</f>
        <v>CK2024102251071</v>
      </c>
      <c r="E3824" s="1" t="str">
        <f>"3723479547226231808"</f>
        <v>3723479547226231808</v>
      </c>
      <c r="F3824" s="1" t="str">
        <f t="shared" si="1233"/>
        <v>花都四部-凤凰仓</v>
      </c>
      <c r="G3824" s="1" t="str">
        <f t="shared" si="1236"/>
        <v>卡卡杜企业店（视频号）</v>
      </c>
      <c r="H3824" s="1" t="str">
        <f t="shared" si="1234"/>
        <v>正常订单</v>
      </c>
      <c r="I3824" s="1" t="str">
        <f t="shared" si="1235"/>
        <v>已发货</v>
      </c>
      <c r="J3824" s="1" t="str">
        <f t="shared" si="1239"/>
        <v>3</v>
      </c>
      <c r="K3824" s="1">
        <v>3</v>
      </c>
      <c r="L3824" s="1" t="s">
        <v>16</v>
      </c>
      <c r="M3824" s="1" t="str">
        <f>"河北省 保定市 涿州市 "</f>
        <v xml:space="preserve">河北省 保定市 涿州市 </v>
      </c>
      <c r="N3824" s="1" t="str">
        <f t="shared" si="1237"/>
        <v>凡华云仓-城南圆通-微信视频号</v>
      </c>
      <c r="O3824" s="5" t="s">
        <v>3856</v>
      </c>
      <c r="P3824" s="6">
        <v>0.34</v>
      </c>
      <c r="Q3824" s="11">
        <v>2.2999999999999998</v>
      </c>
      <c r="R3824" s="11"/>
      <c r="S3824" s="11"/>
      <c r="T3824" s="11"/>
      <c r="U3824" s="11">
        <f t="shared" si="1231"/>
        <v>2.2999999999999998</v>
      </c>
      <c r="W3824">
        <v>2.5</v>
      </c>
      <c r="X3824" s="1" t="s">
        <v>16</v>
      </c>
    </row>
    <row r="3825" spans="1:24" x14ac:dyDescent="0.25">
      <c r="A3825" s="1" t="str">
        <f t="shared" si="1232"/>
        <v>卡卡杜-凤凰仓</v>
      </c>
      <c r="B3825" s="1" t="str">
        <f>"CK20241022222"</f>
        <v>CK20241022222</v>
      </c>
      <c r="C3825" s="1" t="str">
        <f>"DD2024102253777"</f>
        <v>DD2024102253777</v>
      </c>
      <c r="D3825" s="1" t="str">
        <f>"CK2024102251070"</f>
        <v>CK2024102251070</v>
      </c>
      <c r="E3825" s="1" t="str">
        <f>"3723479546993444096"</f>
        <v>3723479546993444096</v>
      </c>
      <c r="F3825" s="1" t="str">
        <f t="shared" si="1233"/>
        <v>花都四部-凤凰仓</v>
      </c>
      <c r="G3825" s="1" t="str">
        <f t="shared" si="1236"/>
        <v>卡卡杜企业店（视频号）</v>
      </c>
      <c r="H3825" s="1" t="str">
        <f t="shared" si="1234"/>
        <v>正常订单</v>
      </c>
      <c r="I3825" s="1" t="str">
        <f t="shared" si="1235"/>
        <v>已发货</v>
      </c>
      <c r="J3825" s="1" t="str">
        <f t="shared" si="1239"/>
        <v>3</v>
      </c>
      <c r="K3825" s="1">
        <v>3</v>
      </c>
      <c r="L3825" s="1" t="s">
        <v>16</v>
      </c>
      <c r="M3825" s="1" t="str">
        <f>"河北省 廊坊市 三河市 "</f>
        <v xml:space="preserve">河北省 廊坊市 三河市 </v>
      </c>
      <c r="N3825" s="1" t="str">
        <f t="shared" si="1237"/>
        <v>凡华云仓-城南圆通-微信视频号</v>
      </c>
      <c r="O3825" s="5" t="s">
        <v>3857</v>
      </c>
      <c r="P3825" s="6">
        <v>0.34</v>
      </c>
      <c r="Q3825" s="11">
        <v>2.2999999999999998</v>
      </c>
      <c r="R3825" s="11"/>
      <c r="S3825" s="11"/>
      <c r="T3825" s="11"/>
      <c r="U3825" s="11">
        <f t="shared" si="1231"/>
        <v>2.2999999999999998</v>
      </c>
      <c r="W3825">
        <v>2.5</v>
      </c>
      <c r="X3825" s="1" t="s">
        <v>16</v>
      </c>
    </row>
    <row r="3826" spans="1:24" x14ac:dyDescent="0.25">
      <c r="A3826" s="1" t="str">
        <f t="shared" si="1232"/>
        <v>卡卡杜-凤凰仓</v>
      </c>
      <c r="B3826" s="1" t="str">
        <f>"CK20241022228"</f>
        <v>CK20241022228</v>
      </c>
      <c r="C3826" s="1" t="str">
        <f>"DD2024102253783"</f>
        <v>DD2024102253783</v>
      </c>
      <c r="D3826" s="1" t="str">
        <f>"CK2024102251069"</f>
        <v>CK2024102251069</v>
      </c>
      <c r="E3826" s="1" t="str">
        <f>"3723479544541349376"</f>
        <v>3723479544541349376</v>
      </c>
      <c r="F3826" s="1" t="str">
        <f t="shared" si="1233"/>
        <v>花都四部-凤凰仓</v>
      </c>
      <c r="G3826" s="1" t="str">
        <f t="shared" si="1236"/>
        <v>卡卡杜企业店（视频号）</v>
      </c>
      <c r="H3826" s="1" t="str">
        <f t="shared" si="1234"/>
        <v>正常订单</v>
      </c>
      <c r="I3826" s="1" t="str">
        <f t="shared" si="1235"/>
        <v>已发货</v>
      </c>
      <c r="J3826" s="1" t="str">
        <f t="shared" si="1239"/>
        <v>3</v>
      </c>
      <c r="K3826" s="1">
        <v>3</v>
      </c>
      <c r="L3826" s="1" t="s">
        <v>92</v>
      </c>
      <c r="M3826" s="1" t="str">
        <f>"辽宁省 大连市 西岗区 "</f>
        <v xml:space="preserve">辽宁省 大连市 西岗区 </v>
      </c>
      <c r="N3826" s="1" t="str">
        <f t="shared" si="1237"/>
        <v>凡华云仓-城南圆通-微信视频号</v>
      </c>
      <c r="O3826" s="5" t="s">
        <v>3858</v>
      </c>
      <c r="P3826" s="6">
        <v>0.34</v>
      </c>
      <c r="Q3826" s="11">
        <v>2.2999999999999998</v>
      </c>
      <c r="R3826" s="11"/>
      <c r="S3826" s="11"/>
      <c r="T3826" s="11"/>
      <c r="U3826" s="11">
        <f t="shared" si="1231"/>
        <v>2.2999999999999998</v>
      </c>
      <c r="W3826">
        <v>2.5</v>
      </c>
      <c r="X3826" s="1" t="s">
        <v>92</v>
      </c>
    </row>
    <row r="3827" spans="1:24" x14ac:dyDescent="0.25">
      <c r="A3827" s="1" t="str">
        <f t="shared" si="1232"/>
        <v>卡卡杜-凤凰仓</v>
      </c>
      <c r="B3827" s="1" t="str">
        <f>"CK20241022219"</f>
        <v>CK20241022219</v>
      </c>
      <c r="C3827" s="1" t="str">
        <f>"DD2024102253772"</f>
        <v>DD2024102253772</v>
      </c>
      <c r="D3827" s="1" t="str">
        <f>"CK2024102251068"</f>
        <v>CK2024102251068</v>
      </c>
      <c r="E3827" s="1" t="str">
        <f>"3723479548354498560"</f>
        <v>3723479548354498560</v>
      </c>
      <c r="F3827" s="1" t="str">
        <f t="shared" si="1233"/>
        <v>花都四部-凤凰仓</v>
      </c>
      <c r="G3827" s="1" t="str">
        <f t="shared" si="1236"/>
        <v>卡卡杜企业店（视频号）</v>
      </c>
      <c r="H3827" s="1" t="str">
        <f t="shared" si="1234"/>
        <v>正常订单</v>
      </c>
      <c r="I3827" s="1" t="str">
        <f t="shared" si="1235"/>
        <v>已发货</v>
      </c>
      <c r="J3827" s="1" t="str">
        <f t="shared" si="1239"/>
        <v>3</v>
      </c>
      <c r="K3827" s="1">
        <v>3</v>
      </c>
      <c r="L3827" s="1" t="s">
        <v>13</v>
      </c>
      <c r="M3827" s="1" t="str">
        <f>"江苏省 常州市 新北区 "</f>
        <v xml:space="preserve">江苏省 常州市 新北区 </v>
      </c>
      <c r="N3827" s="1" t="str">
        <f t="shared" si="1237"/>
        <v>凡华云仓-城南圆通-微信视频号</v>
      </c>
      <c r="O3827" s="5" t="s">
        <v>3859</v>
      </c>
      <c r="P3827" s="6">
        <v>0.34</v>
      </c>
      <c r="Q3827" s="11">
        <v>2.2999999999999998</v>
      </c>
      <c r="R3827" s="11"/>
      <c r="S3827" s="11"/>
      <c r="T3827" s="11"/>
      <c r="U3827" s="11">
        <f t="shared" si="1231"/>
        <v>2.2999999999999998</v>
      </c>
      <c r="W3827">
        <v>2.5</v>
      </c>
      <c r="X3827" s="1" t="s">
        <v>13</v>
      </c>
    </row>
    <row r="3828" spans="1:24" x14ac:dyDescent="0.25">
      <c r="A3828" s="1" t="str">
        <f t="shared" si="1232"/>
        <v>卡卡杜-凤凰仓</v>
      </c>
      <c r="B3828" s="1" t="str">
        <f>"CK20241022223"</f>
        <v>CK20241022223</v>
      </c>
      <c r="C3828" s="1" t="str">
        <f>"DD2024102253776"</f>
        <v>DD2024102253776</v>
      </c>
      <c r="D3828" s="1" t="str">
        <f>"CK2024102251067"</f>
        <v>CK2024102251067</v>
      </c>
      <c r="E3828" s="1" t="str">
        <f>"3723479547073399808"</f>
        <v>3723479547073399808</v>
      </c>
      <c r="F3828" s="1" t="str">
        <f t="shared" si="1233"/>
        <v>花都四部-凤凰仓</v>
      </c>
      <c r="G3828" s="1" t="str">
        <f t="shared" si="1236"/>
        <v>卡卡杜企业店（视频号）</v>
      </c>
      <c r="H3828" s="1" t="str">
        <f t="shared" si="1234"/>
        <v>正常订单</v>
      </c>
      <c r="I3828" s="1" t="str">
        <f t="shared" si="1235"/>
        <v>已发货</v>
      </c>
      <c r="J3828" s="1" t="str">
        <f t="shared" si="1239"/>
        <v>3</v>
      </c>
      <c r="K3828" s="1">
        <v>3</v>
      </c>
      <c r="L3828" s="1" t="s">
        <v>20</v>
      </c>
      <c r="M3828" s="1" t="str">
        <f>"浙江省 嘉兴市 桐乡市 "</f>
        <v xml:space="preserve">浙江省 嘉兴市 桐乡市 </v>
      </c>
      <c r="N3828" s="1" t="str">
        <f t="shared" si="1237"/>
        <v>凡华云仓-城南圆通-微信视频号</v>
      </c>
      <c r="O3828" s="5" t="s">
        <v>3860</v>
      </c>
      <c r="P3828" s="6">
        <v>0.34</v>
      </c>
      <c r="Q3828" s="11">
        <v>2.2999999999999998</v>
      </c>
      <c r="R3828" s="11"/>
      <c r="S3828" s="11"/>
      <c r="T3828" s="11"/>
      <c r="U3828" s="11">
        <f t="shared" si="1231"/>
        <v>2.2999999999999998</v>
      </c>
      <c r="W3828">
        <v>2.5</v>
      </c>
      <c r="X3828" s="1" t="s">
        <v>20</v>
      </c>
    </row>
    <row r="3829" spans="1:24" x14ac:dyDescent="0.25">
      <c r="A3829" s="1" t="str">
        <f t="shared" si="1232"/>
        <v>卡卡杜-凤凰仓</v>
      </c>
      <c r="B3829" s="1" t="str">
        <f>"CK20241022244"</f>
        <v>CK20241022244</v>
      </c>
      <c r="C3829" s="1" t="str">
        <f>"DD2024102253798"</f>
        <v>DD2024102253798</v>
      </c>
      <c r="D3829" s="1" t="str">
        <f>"CK2024102251066"</f>
        <v>CK2024102251066</v>
      </c>
      <c r="E3829" s="1" t="str">
        <f>"3723479540611025920"</f>
        <v>3723479540611025920</v>
      </c>
      <c r="F3829" s="1" t="str">
        <f t="shared" si="1233"/>
        <v>花都四部-凤凰仓</v>
      </c>
      <c r="G3829" s="1" t="str">
        <f t="shared" si="1236"/>
        <v>卡卡杜企业店（视频号）</v>
      </c>
      <c r="H3829" s="1" t="str">
        <f t="shared" si="1234"/>
        <v>正常订单</v>
      </c>
      <c r="I3829" s="1" t="str">
        <f t="shared" si="1235"/>
        <v>已发货</v>
      </c>
      <c r="J3829" s="1" t="str">
        <f t="shared" si="1239"/>
        <v>3</v>
      </c>
      <c r="K3829" s="1">
        <v>3</v>
      </c>
      <c r="L3829" s="1" t="s">
        <v>30</v>
      </c>
      <c r="M3829" s="1" t="str">
        <f>"山东省 滨州市 惠民县 "</f>
        <v xml:space="preserve">山东省 滨州市 惠民县 </v>
      </c>
      <c r="N3829" s="1" t="str">
        <f t="shared" si="1237"/>
        <v>凡华云仓-城南圆通-微信视频号</v>
      </c>
      <c r="O3829" s="5" t="s">
        <v>3861</v>
      </c>
      <c r="P3829" s="6">
        <v>0.34</v>
      </c>
      <c r="Q3829" s="11">
        <v>2.2999999999999998</v>
      </c>
      <c r="R3829" s="11"/>
      <c r="S3829" s="11"/>
      <c r="T3829" s="11"/>
      <c r="U3829" s="11">
        <f t="shared" si="1231"/>
        <v>2.2999999999999998</v>
      </c>
      <c r="W3829">
        <v>2.5</v>
      </c>
      <c r="X3829" s="1" t="s">
        <v>30</v>
      </c>
    </row>
    <row r="3830" spans="1:24" x14ac:dyDescent="0.25">
      <c r="A3830" s="1" t="str">
        <f t="shared" si="1232"/>
        <v>卡卡杜-凤凰仓</v>
      </c>
      <c r="B3830" s="1" t="str">
        <f>"CK20241022221"</f>
        <v>CK20241022221</v>
      </c>
      <c r="C3830" s="1" t="str">
        <f>"DD2024102253774"</f>
        <v>DD2024102253774</v>
      </c>
      <c r="D3830" s="1" t="str">
        <f>"CK2024102251065"</f>
        <v>CK2024102251065</v>
      </c>
      <c r="E3830" s="1" t="str">
        <f>"3723479547009438720"</f>
        <v>3723479547009438720</v>
      </c>
      <c r="F3830" s="1" t="str">
        <f t="shared" si="1233"/>
        <v>花都四部-凤凰仓</v>
      </c>
      <c r="G3830" s="1" t="str">
        <f t="shared" si="1236"/>
        <v>卡卡杜企业店（视频号）</v>
      </c>
      <c r="H3830" s="1" t="str">
        <f t="shared" si="1234"/>
        <v>正常订单</v>
      </c>
      <c r="I3830" s="1" t="str">
        <f t="shared" si="1235"/>
        <v>已发货</v>
      </c>
      <c r="J3830" s="1" t="str">
        <f t="shared" si="1239"/>
        <v>3</v>
      </c>
      <c r="K3830" s="1">
        <v>3</v>
      </c>
      <c r="L3830" s="1" t="s">
        <v>13</v>
      </c>
      <c r="M3830" s="1" t="str">
        <f>"江苏省 扬州市 江都区 "</f>
        <v xml:space="preserve">江苏省 扬州市 江都区 </v>
      </c>
      <c r="N3830" s="1" t="str">
        <f t="shared" si="1237"/>
        <v>凡华云仓-城南圆通-微信视频号</v>
      </c>
      <c r="O3830" s="5" t="s">
        <v>3862</v>
      </c>
      <c r="P3830" s="6">
        <v>0.34</v>
      </c>
      <c r="Q3830" s="11">
        <v>2.2999999999999998</v>
      </c>
      <c r="R3830" s="11"/>
      <c r="S3830" s="11"/>
      <c r="T3830" s="11"/>
      <c r="U3830" s="11">
        <f t="shared" si="1231"/>
        <v>2.2999999999999998</v>
      </c>
      <c r="W3830">
        <v>2.5</v>
      </c>
      <c r="X3830" s="1" t="s">
        <v>13</v>
      </c>
    </row>
    <row r="3831" spans="1:24" x14ac:dyDescent="0.25">
      <c r="A3831" s="1" t="str">
        <f t="shared" si="1232"/>
        <v>卡卡杜-凤凰仓</v>
      </c>
      <c r="B3831" s="1" t="str">
        <f>"CK20241022233"</f>
        <v>CK20241022233</v>
      </c>
      <c r="C3831" s="1" t="str">
        <f>"DD2024102253785"</f>
        <v>DD2024102253785</v>
      </c>
      <c r="D3831" s="1" t="str">
        <f>"CK2024102251064"</f>
        <v>CK2024102251064</v>
      </c>
      <c r="E3831" s="1" t="str">
        <f>"3723479542787868160"</f>
        <v>3723479542787868160</v>
      </c>
      <c r="F3831" s="1" t="str">
        <f t="shared" si="1233"/>
        <v>花都四部-凤凰仓</v>
      </c>
      <c r="G3831" s="1" t="str">
        <f t="shared" si="1236"/>
        <v>卡卡杜企业店（视频号）</v>
      </c>
      <c r="H3831" s="1" t="str">
        <f t="shared" si="1234"/>
        <v>正常订单</v>
      </c>
      <c r="I3831" s="1" t="str">
        <f t="shared" si="1235"/>
        <v>已发货</v>
      </c>
      <c r="J3831" s="1" t="str">
        <f t="shared" si="1239"/>
        <v>3</v>
      </c>
      <c r="K3831" s="1">
        <v>3</v>
      </c>
      <c r="L3831" s="1" t="s">
        <v>92</v>
      </c>
      <c r="M3831" s="1" t="str">
        <f>"辽宁省 葫芦岛市 龙港区 "</f>
        <v xml:space="preserve">辽宁省 葫芦岛市 龙港区 </v>
      </c>
      <c r="N3831" s="1" t="str">
        <f t="shared" si="1237"/>
        <v>凡华云仓-城南圆通-微信视频号</v>
      </c>
      <c r="O3831" s="5" t="s">
        <v>3863</v>
      </c>
      <c r="P3831" s="6">
        <v>0.34</v>
      </c>
      <c r="Q3831" s="11">
        <v>2.2999999999999998</v>
      </c>
      <c r="R3831" s="11"/>
      <c r="S3831" s="11"/>
      <c r="T3831" s="11"/>
      <c r="U3831" s="11">
        <f t="shared" si="1231"/>
        <v>2.2999999999999998</v>
      </c>
      <c r="W3831">
        <v>2.5</v>
      </c>
      <c r="X3831" s="1" t="s">
        <v>92</v>
      </c>
    </row>
    <row r="3832" spans="1:24" x14ac:dyDescent="0.25">
      <c r="A3832" s="1" t="str">
        <f t="shared" si="1232"/>
        <v>卡卡杜-凤凰仓</v>
      </c>
      <c r="B3832" s="1" t="str">
        <f>"CK20241022225"</f>
        <v>CK20241022225</v>
      </c>
      <c r="C3832" s="1" t="str">
        <f>"DD2024102253778"</f>
        <v>DD2024102253778</v>
      </c>
      <c r="D3832" s="1" t="str">
        <f>"CK2024102251063"</f>
        <v>CK2024102251063</v>
      </c>
      <c r="E3832" s="1" t="str">
        <f>"3723479546089833984"</f>
        <v>3723479546089833984</v>
      </c>
      <c r="F3832" s="1" t="str">
        <f t="shared" si="1233"/>
        <v>花都四部-凤凰仓</v>
      </c>
      <c r="G3832" s="1" t="str">
        <f t="shared" si="1236"/>
        <v>卡卡杜企业店（视频号）</v>
      </c>
      <c r="H3832" s="1" t="str">
        <f t="shared" si="1234"/>
        <v>正常订单</v>
      </c>
      <c r="I3832" s="1" t="str">
        <f t="shared" si="1235"/>
        <v>已发货</v>
      </c>
      <c r="J3832" s="1" t="str">
        <f t="shared" si="1239"/>
        <v>3</v>
      </c>
      <c r="K3832" s="1">
        <v>3</v>
      </c>
      <c r="L3832" s="1" t="s">
        <v>218</v>
      </c>
      <c r="M3832" s="1" t="str">
        <f>"天津 天津市 南开区 "</f>
        <v xml:space="preserve">天津 天津市 南开区 </v>
      </c>
      <c r="N3832" s="1" t="str">
        <f t="shared" si="1237"/>
        <v>凡华云仓-城南圆通-微信视频号</v>
      </c>
      <c r="O3832" s="5" t="s">
        <v>3864</v>
      </c>
      <c r="P3832" s="6">
        <v>0.34</v>
      </c>
      <c r="Q3832" s="11">
        <v>2.2999999999999998</v>
      </c>
      <c r="R3832" s="11"/>
      <c r="S3832" s="11"/>
      <c r="T3832" s="11"/>
      <c r="U3832" s="11">
        <f t="shared" si="1231"/>
        <v>2.2999999999999998</v>
      </c>
      <c r="W3832">
        <v>2.5</v>
      </c>
      <c r="X3832" s="1" t="s">
        <v>218</v>
      </c>
    </row>
    <row r="3833" spans="1:24" x14ac:dyDescent="0.25">
      <c r="A3833" s="1" t="str">
        <f t="shared" si="1232"/>
        <v>卡卡杜-凤凰仓</v>
      </c>
      <c r="B3833" s="1" t="str">
        <f>"CK20241022224"</f>
        <v>CK20241022224</v>
      </c>
      <c r="C3833" s="1" t="str">
        <f>"DD2024102253775"</f>
        <v>DD2024102253775</v>
      </c>
      <c r="D3833" s="1" t="str">
        <f>"CK2024102251062"</f>
        <v>CK2024102251062</v>
      </c>
      <c r="E3833" s="1" t="str">
        <f>"3723479546991348736"</f>
        <v>3723479546991348736</v>
      </c>
      <c r="F3833" s="1" t="str">
        <f t="shared" si="1233"/>
        <v>花都四部-凤凰仓</v>
      </c>
      <c r="G3833" s="1" t="str">
        <f t="shared" si="1236"/>
        <v>卡卡杜企业店（视频号）</v>
      </c>
      <c r="H3833" s="1" t="str">
        <f t="shared" si="1234"/>
        <v>正常订单</v>
      </c>
      <c r="I3833" s="1" t="str">
        <f t="shared" si="1235"/>
        <v>已发货</v>
      </c>
      <c r="J3833" s="1" t="str">
        <f t="shared" si="1239"/>
        <v>3</v>
      </c>
      <c r="K3833" s="1">
        <v>3</v>
      </c>
      <c r="L3833" s="1" t="s">
        <v>13</v>
      </c>
      <c r="M3833" s="1" t="str">
        <f>"江苏省 连云港市 东海县 "</f>
        <v xml:space="preserve">江苏省 连云港市 东海县 </v>
      </c>
      <c r="N3833" s="1" t="str">
        <f t="shared" si="1237"/>
        <v>凡华云仓-城南圆通-微信视频号</v>
      </c>
      <c r="O3833" s="5" t="s">
        <v>3865</v>
      </c>
      <c r="P3833" s="6">
        <v>0.34</v>
      </c>
      <c r="Q3833" s="11">
        <v>2.2999999999999998</v>
      </c>
      <c r="R3833" s="11"/>
      <c r="S3833" s="11"/>
      <c r="T3833" s="11"/>
      <c r="U3833" s="11">
        <f t="shared" si="1231"/>
        <v>2.2999999999999998</v>
      </c>
      <c r="W3833">
        <v>2.5</v>
      </c>
      <c r="X3833" s="1" t="s">
        <v>13</v>
      </c>
    </row>
    <row r="3834" spans="1:24" x14ac:dyDescent="0.25">
      <c r="A3834" s="1" t="str">
        <f t="shared" si="1232"/>
        <v>卡卡杜-凤凰仓</v>
      </c>
      <c r="B3834" s="1" t="str">
        <f>"CK20241022226"</f>
        <v>CK20241022226</v>
      </c>
      <c r="C3834" s="1" t="str">
        <f>"DD2024102253779"</f>
        <v>DD2024102253779</v>
      </c>
      <c r="D3834" s="1" t="str">
        <f>"CK2024102251061"</f>
        <v>CK2024102251061</v>
      </c>
      <c r="E3834" s="1" t="str">
        <f>"3723479546169529344"</f>
        <v>3723479546169529344</v>
      </c>
      <c r="F3834" s="1" t="str">
        <f t="shared" si="1233"/>
        <v>花都四部-凤凰仓</v>
      </c>
      <c r="G3834" s="1" t="str">
        <f t="shared" si="1236"/>
        <v>卡卡杜企业店（视频号）</v>
      </c>
      <c r="H3834" s="1" t="str">
        <f t="shared" si="1234"/>
        <v>正常订单</v>
      </c>
      <c r="I3834" s="1" t="str">
        <f t="shared" si="1235"/>
        <v>已发货</v>
      </c>
      <c r="J3834" s="1" t="str">
        <f t="shared" si="1239"/>
        <v>3</v>
      </c>
      <c r="K3834" s="1">
        <v>3</v>
      </c>
      <c r="L3834" s="1" t="s">
        <v>30</v>
      </c>
      <c r="M3834" s="1" t="str">
        <f>"山东省 青岛市 市南区 "</f>
        <v xml:space="preserve">山东省 青岛市 市南区 </v>
      </c>
      <c r="N3834" s="1" t="str">
        <f t="shared" si="1237"/>
        <v>凡华云仓-城南圆通-微信视频号</v>
      </c>
      <c r="O3834" s="5" t="s">
        <v>3866</v>
      </c>
      <c r="P3834" s="6">
        <v>0.34</v>
      </c>
      <c r="Q3834" s="11">
        <v>2.2999999999999998</v>
      </c>
      <c r="R3834" s="11"/>
      <c r="S3834" s="11"/>
      <c r="T3834" s="11"/>
      <c r="U3834" s="11">
        <f t="shared" si="1231"/>
        <v>2.2999999999999998</v>
      </c>
      <c r="W3834">
        <v>2.5</v>
      </c>
      <c r="X3834" s="1" t="s">
        <v>30</v>
      </c>
    </row>
    <row r="3835" spans="1:24" x14ac:dyDescent="0.25">
      <c r="A3835" s="1" t="str">
        <f t="shared" si="1232"/>
        <v>卡卡杜-凤凰仓</v>
      </c>
      <c r="B3835" s="1" t="str">
        <f>"CK20241022227"</f>
        <v>CK20241022227</v>
      </c>
      <c r="C3835" s="1" t="str">
        <f>"DD2024102253780"</f>
        <v>DD2024102253780</v>
      </c>
      <c r="D3835" s="1" t="str">
        <f>"CK2024102251060"</f>
        <v>CK2024102251060</v>
      </c>
      <c r="E3835" s="1" t="str">
        <f>"3723479542851834880"</f>
        <v>3723479542851834880</v>
      </c>
      <c r="F3835" s="1" t="str">
        <f t="shared" si="1233"/>
        <v>花都四部-凤凰仓</v>
      </c>
      <c r="G3835" s="1" t="str">
        <f t="shared" si="1236"/>
        <v>卡卡杜企业店（视频号）</v>
      </c>
      <c r="H3835" s="1" t="str">
        <f t="shared" si="1234"/>
        <v>正常订单</v>
      </c>
      <c r="I3835" s="1" t="str">
        <f t="shared" si="1235"/>
        <v>已发货</v>
      </c>
      <c r="J3835" s="1" t="str">
        <f t="shared" si="1239"/>
        <v>3</v>
      </c>
      <c r="K3835" s="1">
        <v>3</v>
      </c>
      <c r="L3835" s="1" t="s">
        <v>30</v>
      </c>
      <c r="M3835" s="1" t="str">
        <f>"山东省 济南市 历下区 "</f>
        <v xml:space="preserve">山东省 济南市 历下区 </v>
      </c>
      <c r="N3835" s="1" t="str">
        <f t="shared" si="1237"/>
        <v>凡华云仓-城南圆通-微信视频号</v>
      </c>
      <c r="O3835" s="5" t="s">
        <v>3867</v>
      </c>
      <c r="P3835" s="6">
        <v>0.34</v>
      </c>
      <c r="Q3835" s="11">
        <v>2.2999999999999998</v>
      </c>
      <c r="R3835" s="11"/>
      <c r="S3835" s="11"/>
      <c r="T3835" s="11"/>
      <c r="U3835" s="11">
        <f t="shared" si="1231"/>
        <v>2.2999999999999998</v>
      </c>
      <c r="W3835">
        <v>2.5</v>
      </c>
      <c r="X3835" s="1" t="s">
        <v>30</v>
      </c>
    </row>
    <row r="3836" spans="1:24" x14ac:dyDescent="0.25">
      <c r="A3836" s="1" t="str">
        <f t="shared" si="1232"/>
        <v>卡卡杜-凤凰仓</v>
      </c>
      <c r="B3836" s="1" t="str">
        <f>"CK20241022229"</f>
        <v>CK20241022229</v>
      </c>
      <c r="C3836" s="1" t="str">
        <f>"DD2024102253781"</f>
        <v>DD2024102253781</v>
      </c>
      <c r="D3836" s="1" t="str">
        <f>"CK2024102251059"</f>
        <v>CK2024102251059</v>
      </c>
      <c r="E3836" s="1" t="str">
        <f>"3723479544123231232"</f>
        <v>3723479544123231232</v>
      </c>
      <c r="F3836" s="1" t="str">
        <f t="shared" si="1233"/>
        <v>花都四部-凤凰仓</v>
      </c>
      <c r="G3836" s="1" t="str">
        <f t="shared" si="1236"/>
        <v>卡卡杜企业店（视频号）</v>
      </c>
      <c r="H3836" s="1" t="str">
        <f t="shared" si="1234"/>
        <v>正常订单</v>
      </c>
      <c r="I3836" s="1" t="str">
        <f t="shared" si="1235"/>
        <v>已发货</v>
      </c>
      <c r="J3836" s="1" t="str">
        <f t="shared" si="1239"/>
        <v>3</v>
      </c>
      <c r="K3836" s="1">
        <v>3</v>
      </c>
      <c r="L3836" s="1" t="s">
        <v>13</v>
      </c>
      <c r="M3836" s="1" t="str">
        <f>"江苏省 连云港市 连云区 "</f>
        <v xml:space="preserve">江苏省 连云港市 连云区 </v>
      </c>
      <c r="N3836" s="1" t="str">
        <f t="shared" si="1237"/>
        <v>凡华云仓-城南圆通-微信视频号</v>
      </c>
      <c r="O3836" s="5" t="s">
        <v>3868</v>
      </c>
      <c r="P3836" s="6">
        <v>0.34</v>
      </c>
      <c r="Q3836" s="11">
        <v>2.2999999999999998</v>
      </c>
      <c r="R3836" s="11"/>
      <c r="S3836" s="11"/>
      <c r="T3836" s="11"/>
      <c r="U3836" s="11">
        <f t="shared" si="1231"/>
        <v>2.2999999999999998</v>
      </c>
      <c r="W3836">
        <v>2.5</v>
      </c>
      <c r="X3836" s="1" t="s">
        <v>13</v>
      </c>
    </row>
    <row r="3837" spans="1:24" x14ac:dyDescent="0.25">
      <c r="A3837" s="1" t="str">
        <f t="shared" si="1232"/>
        <v>卡卡杜-凤凰仓</v>
      </c>
      <c r="B3837" s="1" t="str">
        <f>"CK20241022231"</f>
        <v>CK20241022231</v>
      </c>
      <c r="C3837" s="1" t="str">
        <f>"DD2024102253784"</f>
        <v>DD2024102253784</v>
      </c>
      <c r="D3837" s="1" t="str">
        <f>"CK2024102251058"</f>
        <v>CK2024102251058</v>
      </c>
      <c r="E3837" s="1" t="str">
        <f>"3723479543475474432"</f>
        <v>3723479543475474432</v>
      </c>
      <c r="F3837" s="1" t="str">
        <f t="shared" si="1233"/>
        <v>花都四部-凤凰仓</v>
      </c>
      <c r="G3837" s="1" t="str">
        <f t="shared" si="1236"/>
        <v>卡卡杜企业店（视频号）</v>
      </c>
      <c r="H3837" s="1" t="str">
        <f t="shared" si="1234"/>
        <v>正常订单</v>
      </c>
      <c r="I3837" s="1" t="str">
        <f t="shared" si="1235"/>
        <v>已发货</v>
      </c>
      <c r="J3837" s="1" t="str">
        <f t="shared" si="1239"/>
        <v>3</v>
      </c>
      <c r="K3837" s="1">
        <v>3</v>
      </c>
      <c r="L3837" s="1" t="s">
        <v>30</v>
      </c>
      <c r="M3837" s="1" t="str">
        <f>"山东省 日照市 东港区 "</f>
        <v xml:space="preserve">山东省 日照市 东港区 </v>
      </c>
      <c r="N3837" s="1" t="str">
        <f t="shared" si="1237"/>
        <v>凡华云仓-城南圆通-微信视频号</v>
      </c>
      <c r="O3837" s="5" t="s">
        <v>3869</v>
      </c>
      <c r="P3837" s="6">
        <v>0.34</v>
      </c>
      <c r="Q3837" s="11">
        <v>2.2999999999999998</v>
      </c>
      <c r="R3837" s="11"/>
      <c r="S3837" s="11"/>
      <c r="T3837" s="11"/>
      <c r="U3837" s="11">
        <f t="shared" si="1231"/>
        <v>2.2999999999999998</v>
      </c>
      <c r="W3837">
        <v>2.5</v>
      </c>
      <c r="X3837" s="1" t="s">
        <v>30</v>
      </c>
    </row>
    <row r="3838" spans="1:24" x14ac:dyDescent="0.25">
      <c r="A3838" s="1" t="str">
        <f t="shared" si="1232"/>
        <v>卡卡杜-凤凰仓</v>
      </c>
      <c r="B3838" s="1" t="str">
        <f>"CK20241022232"</f>
        <v>CK20241022232</v>
      </c>
      <c r="C3838" s="1" t="str">
        <f>"DD2024102253786"</f>
        <v>DD2024102253786</v>
      </c>
      <c r="D3838" s="1" t="str">
        <f>"CK2024102251057"</f>
        <v>CK2024102251057</v>
      </c>
      <c r="E3838" s="1" t="str">
        <f>"3723479544696542208"</f>
        <v>3723479544696542208</v>
      </c>
      <c r="F3838" s="1" t="str">
        <f t="shared" si="1233"/>
        <v>花都四部-凤凰仓</v>
      </c>
      <c r="G3838" s="1" t="str">
        <f t="shared" si="1236"/>
        <v>卡卡杜企业店（视频号）</v>
      </c>
      <c r="H3838" s="1" t="str">
        <f t="shared" si="1234"/>
        <v>正常订单</v>
      </c>
      <c r="I3838" s="1" t="str">
        <f t="shared" si="1235"/>
        <v>已发货</v>
      </c>
      <c r="J3838" s="1" t="str">
        <f t="shared" si="1239"/>
        <v>3</v>
      </c>
      <c r="K3838" s="1">
        <v>3</v>
      </c>
      <c r="L3838" s="1" t="s">
        <v>13</v>
      </c>
      <c r="M3838" s="1" t="str">
        <f>"江苏省 盐城市 射阳县 "</f>
        <v xml:space="preserve">江苏省 盐城市 射阳县 </v>
      </c>
      <c r="N3838" s="1" t="str">
        <f t="shared" si="1237"/>
        <v>凡华云仓-城南圆通-微信视频号</v>
      </c>
      <c r="O3838" s="5" t="s">
        <v>3870</v>
      </c>
      <c r="P3838" s="6">
        <v>0.34</v>
      </c>
      <c r="Q3838" s="11">
        <v>2.2999999999999998</v>
      </c>
      <c r="R3838" s="11"/>
      <c r="S3838" s="11"/>
      <c r="T3838" s="11"/>
      <c r="U3838" s="11">
        <f t="shared" si="1231"/>
        <v>2.2999999999999998</v>
      </c>
      <c r="W3838">
        <v>2.5</v>
      </c>
      <c r="X3838" s="1" t="s">
        <v>13</v>
      </c>
    </row>
    <row r="3839" spans="1:24" x14ac:dyDescent="0.25">
      <c r="A3839" s="1" t="str">
        <f t="shared" si="1232"/>
        <v>卡卡杜-凤凰仓</v>
      </c>
      <c r="B3839" s="1" t="str">
        <f>"CK20241022250"</f>
        <v>CK20241022250</v>
      </c>
      <c r="C3839" s="1" t="str">
        <f>"DD2024102253804"</f>
        <v>DD2024102253804</v>
      </c>
      <c r="D3839" s="1" t="str">
        <f>"CK2024102251056"</f>
        <v>CK2024102251056</v>
      </c>
      <c r="E3839" s="1" t="str">
        <f>"3723479538403771904"</f>
        <v>3723479538403771904</v>
      </c>
      <c r="F3839" s="1" t="str">
        <f t="shared" si="1233"/>
        <v>花都四部-凤凰仓</v>
      </c>
      <c r="G3839" s="1" t="str">
        <f t="shared" si="1236"/>
        <v>卡卡杜企业店（视频号）</v>
      </c>
      <c r="H3839" s="1" t="str">
        <f t="shared" si="1234"/>
        <v>正常订单</v>
      </c>
      <c r="I3839" s="1" t="str">
        <f t="shared" si="1235"/>
        <v>已发货</v>
      </c>
      <c r="J3839" s="1" t="str">
        <f t="shared" si="1239"/>
        <v>3</v>
      </c>
      <c r="K3839" s="1">
        <v>3</v>
      </c>
      <c r="L3839" s="1" t="s">
        <v>30</v>
      </c>
      <c r="M3839" s="1" t="str">
        <f>"山东省 威海市 文登市 "</f>
        <v xml:space="preserve">山东省 威海市 文登市 </v>
      </c>
      <c r="N3839" s="1" t="str">
        <f t="shared" si="1237"/>
        <v>凡华云仓-城南圆通-微信视频号</v>
      </c>
      <c r="O3839" s="5" t="s">
        <v>3871</v>
      </c>
      <c r="P3839" s="6">
        <v>0.34</v>
      </c>
      <c r="Q3839" s="11">
        <v>2.2999999999999998</v>
      </c>
      <c r="R3839" s="11"/>
      <c r="S3839" s="11"/>
      <c r="T3839" s="11"/>
      <c r="U3839" s="11">
        <f t="shared" si="1231"/>
        <v>2.2999999999999998</v>
      </c>
      <c r="W3839">
        <v>2.5</v>
      </c>
      <c r="X3839" s="1" t="s">
        <v>30</v>
      </c>
    </row>
    <row r="3840" spans="1:24" x14ac:dyDescent="0.25">
      <c r="A3840" s="1" t="str">
        <f t="shared" si="1232"/>
        <v>卡卡杜-凤凰仓</v>
      </c>
      <c r="B3840" s="1" t="str">
        <f>"CK20241022235"</f>
        <v>CK20241022235</v>
      </c>
      <c r="C3840" s="1" t="str">
        <f>"DD2024102253787"</f>
        <v>DD2024102253787</v>
      </c>
      <c r="D3840" s="1" t="str">
        <f>"CK2024102251055"</f>
        <v>CK2024102251055</v>
      </c>
      <c r="E3840" s="1" t="str">
        <f>"3723479544160453888"</f>
        <v>3723479544160453888</v>
      </c>
      <c r="F3840" s="1" t="str">
        <f t="shared" si="1233"/>
        <v>花都四部-凤凰仓</v>
      </c>
      <c r="G3840" s="1" t="str">
        <f t="shared" si="1236"/>
        <v>卡卡杜企业店（视频号）</v>
      </c>
      <c r="H3840" s="1" t="str">
        <f t="shared" si="1234"/>
        <v>正常订单</v>
      </c>
      <c r="I3840" s="1" t="str">
        <f t="shared" si="1235"/>
        <v>已发货</v>
      </c>
      <c r="J3840" s="1" t="str">
        <f t="shared" si="1239"/>
        <v>3</v>
      </c>
      <c r="K3840" s="1">
        <v>3</v>
      </c>
      <c r="L3840" s="1" t="s">
        <v>13</v>
      </c>
      <c r="M3840" s="1" t="str">
        <f>"江苏省 常州市 溧阳市 "</f>
        <v xml:space="preserve">江苏省 常州市 溧阳市 </v>
      </c>
      <c r="N3840" s="1" t="str">
        <f t="shared" si="1237"/>
        <v>凡华云仓-城南圆通-微信视频号</v>
      </c>
      <c r="O3840" s="5" t="s">
        <v>3872</v>
      </c>
      <c r="P3840" s="6">
        <v>0.34</v>
      </c>
      <c r="Q3840" s="11">
        <v>2.2999999999999998</v>
      </c>
      <c r="R3840" s="11"/>
      <c r="S3840" s="11"/>
      <c r="T3840" s="11"/>
      <c r="U3840" s="11">
        <f t="shared" si="1231"/>
        <v>2.2999999999999998</v>
      </c>
      <c r="W3840">
        <v>2.5</v>
      </c>
      <c r="X3840" s="1" t="s">
        <v>13</v>
      </c>
    </row>
    <row r="3841" spans="1:24" x14ac:dyDescent="0.25">
      <c r="A3841" s="1" t="str">
        <f t="shared" si="1232"/>
        <v>卡卡杜-凤凰仓</v>
      </c>
      <c r="B3841" s="1" t="str">
        <f>"CK20241022234"</f>
        <v>CK20241022234</v>
      </c>
      <c r="C3841" s="1" t="str">
        <f>"DD2024102253788"</f>
        <v>DD2024102253788</v>
      </c>
      <c r="D3841" s="1" t="str">
        <f>"CK2024102251054"</f>
        <v>CK2024102251054</v>
      </c>
      <c r="E3841" s="1" t="str">
        <f>"3723479542373942528"</f>
        <v>3723479542373942528</v>
      </c>
      <c r="F3841" s="1" t="str">
        <f t="shared" si="1233"/>
        <v>花都四部-凤凰仓</v>
      </c>
      <c r="G3841" s="1" t="str">
        <f t="shared" si="1236"/>
        <v>卡卡杜企业店（视频号）</v>
      </c>
      <c r="H3841" s="1" t="str">
        <f t="shared" si="1234"/>
        <v>正常订单</v>
      </c>
      <c r="I3841" s="1" t="str">
        <f t="shared" si="1235"/>
        <v>已发货</v>
      </c>
      <c r="J3841" s="1" t="str">
        <f t="shared" si="1239"/>
        <v>3</v>
      </c>
      <c r="K3841" s="1">
        <v>3</v>
      </c>
      <c r="L3841" s="1" t="s">
        <v>41</v>
      </c>
      <c r="M3841" s="1" t="str">
        <f>"湖北省 黄石市 大冶市 "</f>
        <v xml:space="preserve">湖北省 黄石市 大冶市 </v>
      </c>
      <c r="N3841" s="1" t="str">
        <f t="shared" si="1237"/>
        <v>凡华云仓-城南圆通-微信视频号</v>
      </c>
      <c r="O3841" s="5" t="s">
        <v>3873</v>
      </c>
      <c r="P3841" s="6">
        <v>0.34</v>
      </c>
      <c r="Q3841" s="11">
        <v>2.2999999999999998</v>
      </c>
      <c r="R3841" s="11"/>
      <c r="S3841" s="11"/>
      <c r="T3841" s="11"/>
      <c r="U3841" s="11">
        <f t="shared" si="1231"/>
        <v>2.2999999999999998</v>
      </c>
      <c r="W3841">
        <v>2.5</v>
      </c>
      <c r="X3841" s="1" t="s">
        <v>41</v>
      </c>
    </row>
    <row r="3842" spans="1:24" x14ac:dyDescent="0.25">
      <c r="A3842" s="1" t="str">
        <f t="shared" si="1232"/>
        <v>卡卡杜-凤凰仓</v>
      </c>
      <c r="B3842" s="1" t="str">
        <f>"CK20241022249"</f>
        <v>CK20241022249</v>
      </c>
      <c r="C3842" s="1" t="str">
        <f>"DD2024102253803"</f>
        <v>DD2024102253803</v>
      </c>
      <c r="D3842" s="1" t="str">
        <f>"CK2024102251053"</f>
        <v>CK2024102251053</v>
      </c>
      <c r="E3842" s="1" t="str">
        <f>"3723479538290266112"</f>
        <v>3723479538290266112</v>
      </c>
      <c r="F3842" s="1" t="str">
        <f t="shared" si="1233"/>
        <v>花都四部-凤凰仓</v>
      </c>
      <c r="G3842" s="1" t="str">
        <f t="shared" si="1236"/>
        <v>卡卡杜企业店（视频号）</v>
      </c>
      <c r="H3842" s="1" t="str">
        <f t="shared" si="1234"/>
        <v>正常订单</v>
      </c>
      <c r="I3842" s="1" t="str">
        <f t="shared" si="1235"/>
        <v>已发货</v>
      </c>
      <c r="J3842" s="1" t="str">
        <f t="shared" si="1239"/>
        <v>3</v>
      </c>
      <c r="K3842" s="1">
        <v>3</v>
      </c>
      <c r="L3842" s="1" t="s">
        <v>16</v>
      </c>
      <c r="M3842" s="1" t="str">
        <f>"河北省 廊坊市 固安县 "</f>
        <v xml:space="preserve">河北省 廊坊市 固安县 </v>
      </c>
      <c r="N3842" s="1" t="str">
        <f t="shared" si="1237"/>
        <v>凡华云仓-城南圆通-微信视频号</v>
      </c>
      <c r="O3842" s="5" t="s">
        <v>3874</v>
      </c>
      <c r="P3842" s="6">
        <v>0.34</v>
      </c>
      <c r="Q3842" s="11">
        <v>2.2999999999999998</v>
      </c>
      <c r="R3842" s="11"/>
      <c r="S3842" s="11"/>
      <c r="T3842" s="11"/>
      <c r="U3842" s="11">
        <f t="shared" si="1231"/>
        <v>2.2999999999999998</v>
      </c>
      <c r="W3842">
        <v>2.5</v>
      </c>
      <c r="X3842" s="1" t="s">
        <v>16</v>
      </c>
    </row>
    <row r="3843" spans="1:24" x14ac:dyDescent="0.25">
      <c r="A3843" s="1" t="str">
        <f t="shared" si="1232"/>
        <v>卡卡杜-凤凰仓</v>
      </c>
      <c r="B3843" s="1" t="str">
        <f>"CK20241022237"</f>
        <v>CK20241022237</v>
      </c>
      <c r="C3843" s="1" t="str">
        <f>"DD2024102253790"</f>
        <v>DD2024102253790</v>
      </c>
      <c r="D3843" s="1" t="str">
        <f>"CK2024102251052"</f>
        <v>CK2024102251052</v>
      </c>
      <c r="E3843" s="1" t="str">
        <f>"3723479541783860224"</f>
        <v>3723479541783860224</v>
      </c>
      <c r="F3843" s="1" t="str">
        <f t="shared" si="1233"/>
        <v>花都四部-凤凰仓</v>
      </c>
      <c r="G3843" s="1" t="str">
        <f t="shared" si="1236"/>
        <v>卡卡杜企业店（视频号）</v>
      </c>
      <c r="H3843" s="1" t="str">
        <f t="shared" si="1234"/>
        <v>正常订单</v>
      </c>
      <c r="I3843" s="1" t="str">
        <f t="shared" si="1235"/>
        <v>已发货</v>
      </c>
      <c r="J3843" s="1" t="str">
        <f t="shared" si="1239"/>
        <v>3</v>
      </c>
      <c r="K3843" s="1">
        <v>3</v>
      </c>
      <c r="L3843" s="1" t="s">
        <v>13</v>
      </c>
      <c r="M3843" s="1" t="str">
        <f>"江苏省 苏州市 吴中区 "</f>
        <v xml:space="preserve">江苏省 苏州市 吴中区 </v>
      </c>
      <c r="N3843" s="1" t="str">
        <f t="shared" si="1237"/>
        <v>凡华云仓-城南圆通-微信视频号</v>
      </c>
      <c r="O3843" s="5" t="s">
        <v>3875</v>
      </c>
      <c r="P3843" s="6">
        <v>0.34</v>
      </c>
      <c r="Q3843" s="11">
        <v>2.2999999999999998</v>
      </c>
      <c r="R3843" s="11"/>
      <c r="S3843" s="11"/>
      <c r="T3843" s="11"/>
      <c r="U3843" s="11">
        <f t="shared" ref="U3843:U3906" si="1240">T3843+S3843+R3843+Q3843</f>
        <v>2.2999999999999998</v>
      </c>
      <c r="W3843">
        <v>2.5</v>
      </c>
      <c r="X3843" s="1" t="s">
        <v>13</v>
      </c>
    </row>
    <row r="3844" spans="1:24" x14ac:dyDescent="0.25">
      <c r="A3844" s="1" t="str">
        <f t="shared" si="1232"/>
        <v>卡卡杜-凤凰仓</v>
      </c>
      <c r="B3844" s="1" t="str">
        <f>"CK20241022238"</f>
        <v>CK20241022238</v>
      </c>
      <c r="C3844" s="1" t="str">
        <f>"DD2024102253791"</f>
        <v>DD2024102253791</v>
      </c>
      <c r="D3844" s="1" t="str">
        <f>"CK2024102251051"</f>
        <v>CK2024102251051</v>
      </c>
      <c r="E3844" s="1" t="str">
        <f>"3723479540061046016"</f>
        <v>3723479540061046016</v>
      </c>
      <c r="F3844" s="1" t="str">
        <f t="shared" si="1233"/>
        <v>花都四部-凤凰仓</v>
      </c>
      <c r="G3844" s="1" t="str">
        <f t="shared" si="1236"/>
        <v>卡卡杜企业店（视频号）</v>
      </c>
      <c r="H3844" s="1" t="str">
        <f t="shared" si="1234"/>
        <v>正常订单</v>
      </c>
      <c r="I3844" s="1" t="str">
        <f t="shared" si="1235"/>
        <v>已发货</v>
      </c>
      <c r="J3844" s="1" t="str">
        <f t="shared" si="1239"/>
        <v>3</v>
      </c>
      <c r="K3844" s="1">
        <v>3</v>
      </c>
      <c r="L3844" s="1" t="s">
        <v>13</v>
      </c>
      <c r="M3844" s="1" t="str">
        <f>"江苏省 常州市 新北区 "</f>
        <v xml:space="preserve">江苏省 常州市 新北区 </v>
      </c>
      <c r="N3844" s="1" t="str">
        <f t="shared" si="1237"/>
        <v>凡华云仓-城南圆通-微信视频号</v>
      </c>
      <c r="O3844" s="5" t="s">
        <v>3876</v>
      </c>
      <c r="P3844" s="6">
        <v>0.34</v>
      </c>
      <c r="Q3844" s="11">
        <v>2.2999999999999998</v>
      </c>
      <c r="R3844" s="11"/>
      <c r="S3844" s="11"/>
      <c r="T3844" s="11"/>
      <c r="U3844" s="11">
        <f t="shared" si="1240"/>
        <v>2.2999999999999998</v>
      </c>
      <c r="W3844">
        <v>2.5</v>
      </c>
      <c r="X3844" s="1" t="s">
        <v>13</v>
      </c>
    </row>
    <row r="3845" spans="1:24" x14ac:dyDescent="0.25">
      <c r="A3845" s="1" t="str">
        <f t="shared" ref="A3845:A3908" si="1241">"卡卡杜-凤凰仓"</f>
        <v>卡卡杜-凤凰仓</v>
      </c>
      <c r="B3845" s="1" t="str">
        <f>"CK20241022278"</f>
        <v>CK20241022278</v>
      </c>
      <c r="C3845" s="1" t="str">
        <f>"DD2024102253832"</f>
        <v>DD2024102253832</v>
      </c>
      <c r="D3845" s="1" t="str">
        <f>"CK2024102251050"</f>
        <v>CK2024102251050</v>
      </c>
      <c r="E3845" s="1" t="str">
        <f>"3723479537505404416"</f>
        <v>3723479537505404416</v>
      </c>
      <c r="F3845" s="1" t="str">
        <f t="shared" ref="F3845:F3908" si="1242">"花都四部-凤凰仓"</f>
        <v>花都四部-凤凰仓</v>
      </c>
      <c r="G3845" s="1" t="str">
        <f t="shared" si="1236"/>
        <v>卡卡杜企业店（视频号）</v>
      </c>
      <c r="H3845" s="1" t="str">
        <f t="shared" ref="H3845:H3908" si="1243">"正常订单"</f>
        <v>正常订单</v>
      </c>
      <c r="I3845" s="1" t="str">
        <f t="shared" ref="I3845:I3908" si="1244">"已发货"</f>
        <v>已发货</v>
      </c>
      <c r="J3845" s="1" t="str">
        <f t="shared" si="1239"/>
        <v>3</v>
      </c>
      <c r="K3845" s="1">
        <v>3</v>
      </c>
      <c r="L3845" s="1" t="s">
        <v>13</v>
      </c>
      <c r="M3845" s="1" t="str">
        <f>"江苏省 淮安市 淮安区 "</f>
        <v xml:space="preserve">江苏省 淮安市 淮安区 </v>
      </c>
      <c r="N3845" s="1" t="str">
        <f t="shared" si="1237"/>
        <v>凡华云仓-城南圆通-微信视频号</v>
      </c>
      <c r="O3845" s="5" t="s">
        <v>3877</v>
      </c>
      <c r="P3845" s="6">
        <v>0.34</v>
      </c>
      <c r="Q3845" s="11">
        <v>2.2999999999999998</v>
      </c>
      <c r="R3845" s="11"/>
      <c r="S3845" s="11"/>
      <c r="T3845" s="11"/>
      <c r="U3845" s="11">
        <f t="shared" si="1240"/>
        <v>2.2999999999999998</v>
      </c>
      <c r="W3845">
        <v>2.5</v>
      </c>
      <c r="X3845" s="1" t="s">
        <v>13</v>
      </c>
    </row>
    <row r="3846" spans="1:24" x14ac:dyDescent="0.25">
      <c r="A3846" s="1" t="str">
        <f t="shared" si="1241"/>
        <v>卡卡杜-凤凰仓</v>
      </c>
      <c r="B3846" s="1" t="str">
        <f>"CK20241022239"</f>
        <v>CK20241022239</v>
      </c>
      <c r="C3846" s="1" t="str">
        <f>"DD2024102253792"</f>
        <v>DD2024102253792</v>
      </c>
      <c r="D3846" s="1" t="str">
        <f>"CK2024102251049"</f>
        <v>CK2024102251049</v>
      </c>
      <c r="E3846" s="1" t="str">
        <f>"3723479542302118913"</f>
        <v>3723479542302118913</v>
      </c>
      <c r="F3846" s="1" t="str">
        <f t="shared" si="1242"/>
        <v>花都四部-凤凰仓</v>
      </c>
      <c r="G3846" s="1" t="str">
        <f t="shared" si="1236"/>
        <v>卡卡杜企业店（视频号）</v>
      </c>
      <c r="H3846" s="1" t="str">
        <f t="shared" si="1243"/>
        <v>正常订单</v>
      </c>
      <c r="I3846" s="1" t="str">
        <f t="shared" si="1244"/>
        <v>已发货</v>
      </c>
      <c r="J3846" s="1" t="str">
        <f t="shared" si="1239"/>
        <v>3</v>
      </c>
      <c r="K3846" s="1">
        <v>3</v>
      </c>
      <c r="L3846" s="1" t="s">
        <v>105</v>
      </c>
      <c r="M3846" s="1" t="str">
        <f>"北京 北京市 海淀区 "</f>
        <v xml:space="preserve">北京 北京市 海淀区 </v>
      </c>
      <c r="N3846" s="1" t="str">
        <f t="shared" si="1237"/>
        <v>凡华云仓-城南圆通-微信视频号</v>
      </c>
      <c r="O3846" s="5" t="s">
        <v>3878</v>
      </c>
      <c r="P3846" s="6">
        <v>0.34</v>
      </c>
      <c r="Q3846" s="11">
        <v>2.2999999999999998</v>
      </c>
      <c r="R3846" s="11"/>
      <c r="S3846" s="11"/>
      <c r="T3846" s="11"/>
      <c r="U3846" s="11">
        <f t="shared" si="1240"/>
        <v>2.2999999999999998</v>
      </c>
      <c r="W3846">
        <v>2.5</v>
      </c>
      <c r="X3846" s="1" t="s">
        <v>105</v>
      </c>
    </row>
    <row r="3847" spans="1:24" x14ac:dyDescent="0.25">
      <c r="A3847" s="1" t="str">
        <f t="shared" si="1241"/>
        <v>卡卡杜-凤凰仓</v>
      </c>
      <c r="B3847" s="1" t="str">
        <f>"CK20241022240"</f>
        <v>CK20241022240</v>
      </c>
      <c r="C3847" s="1" t="str">
        <f>"DD2024102253793"</f>
        <v>DD2024102253793</v>
      </c>
      <c r="D3847" s="1" t="str">
        <f>"CK2024102251048"</f>
        <v>CK2024102251048</v>
      </c>
      <c r="E3847" s="1" t="str">
        <f>"3723479540400522496"</f>
        <v>3723479540400522496</v>
      </c>
      <c r="F3847" s="1" t="str">
        <f t="shared" si="1242"/>
        <v>花都四部-凤凰仓</v>
      </c>
      <c r="G3847" s="1" t="str">
        <f t="shared" si="1236"/>
        <v>卡卡杜企业店（视频号）</v>
      </c>
      <c r="H3847" s="1" t="str">
        <f t="shared" si="1243"/>
        <v>正常订单</v>
      </c>
      <c r="I3847" s="1" t="str">
        <f t="shared" si="1244"/>
        <v>已发货</v>
      </c>
      <c r="J3847" s="1" t="str">
        <f t="shared" si="1239"/>
        <v>3</v>
      </c>
      <c r="K3847" s="1">
        <v>3</v>
      </c>
      <c r="L3847" s="1" t="s">
        <v>92</v>
      </c>
      <c r="M3847" s="1" t="str">
        <f>"辽宁省 丹东市 振安区 "</f>
        <v xml:space="preserve">辽宁省 丹东市 振安区 </v>
      </c>
      <c r="N3847" s="1" t="str">
        <f t="shared" si="1237"/>
        <v>凡华云仓-城南圆通-微信视频号</v>
      </c>
      <c r="O3847" s="5" t="s">
        <v>3879</v>
      </c>
      <c r="P3847" s="6">
        <v>0.34</v>
      </c>
      <c r="Q3847" s="11">
        <v>2.2999999999999998</v>
      </c>
      <c r="R3847" s="11"/>
      <c r="S3847" s="11"/>
      <c r="T3847" s="11"/>
      <c r="U3847" s="11">
        <f t="shared" si="1240"/>
        <v>2.2999999999999998</v>
      </c>
      <c r="W3847">
        <v>2.5</v>
      </c>
      <c r="X3847" s="1" t="s">
        <v>92</v>
      </c>
    </row>
    <row r="3848" spans="1:24" x14ac:dyDescent="0.25">
      <c r="A3848" s="1" t="str">
        <f t="shared" si="1241"/>
        <v>卡卡杜-凤凰仓</v>
      </c>
      <c r="B3848" s="1" t="str">
        <f>"CK20241022247"</f>
        <v>CK20241022247</v>
      </c>
      <c r="C3848" s="1" t="str">
        <f>"DD2024102253801"</f>
        <v>DD2024102253801</v>
      </c>
      <c r="D3848" s="1" t="str">
        <f>"CK2024102251047"</f>
        <v>CK2024102251047</v>
      </c>
      <c r="E3848" s="1" t="str">
        <f>"3723479540019631104"</f>
        <v>3723479540019631104</v>
      </c>
      <c r="F3848" s="1" t="str">
        <f t="shared" si="1242"/>
        <v>花都四部-凤凰仓</v>
      </c>
      <c r="G3848" s="1" t="str">
        <f t="shared" si="1236"/>
        <v>卡卡杜企业店（视频号）</v>
      </c>
      <c r="H3848" s="1" t="str">
        <f t="shared" si="1243"/>
        <v>正常订单</v>
      </c>
      <c r="I3848" s="1" t="str">
        <f t="shared" si="1244"/>
        <v>已发货</v>
      </c>
      <c r="J3848" s="1" t="str">
        <f t="shared" si="1239"/>
        <v>3</v>
      </c>
      <c r="K3848" s="1">
        <v>3</v>
      </c>
      <c r="L3848" s="1" t="s">
        <v>36</v>
      </c>
      <c r="M3848" s="1" t="str">
        <f>"安徽省 合肥市 包河区 "</f>
        <v xml:space="preserve">安徽省 合肥市 包河区 </v>
      </c>
      <c r="N3848" s="1" t="str">
        <f t="shared" si="1237"/>
        <v>凡华云仓-城南圆通-微信视频号</v>
      </c>
      <c r="O3848" s="5" t="s">
        <v>3880</v>
      </c>
      <c r="P3848" s="6">
        <v>0.34</v>
      </c>
      <c r="Q3848" s="11">
        <v>2.2999999999999998</v>
      </c>
      <c r="R3848" s="11"/>
      <c r="S3848" s="11"/>
      <c r="T3848" s="11"/>
      <c r="U3848" s="11">
        <f t="shared" si="1240"/>
        <v>2.2999999999999998</v>
      </c>
      <c r="W3848">
        <v>2.5</v>
      </c>
      <c r="X3848" s="1" t="s">
        <v>36</v>
      </c>
    </row>
    <row r="3849" spans="1:24" x14ac:dyDescent="0.25">
      <c r="A3849" s="1" t="str">
        <f t="shared" si="1241"/>
        <v>卡卡杜-凤凰仓</v>
      </c>
      <c r="B3849" s="1" t="str">
        <f>"CK20241022242"</f>
        <v>CK20241022242</v>
      </c>
      <c r="C3849" s="1" t="str">
        <f>"DD2024102253795"</f>
        <v>DD2024102253795</v>
      </c>
      <c r="D3849" s="1" t="str">
        <f>"CK2024102251046"</f>
        <v>CK2024102251046</v>
      </c>
      <c r="E3849" s="1" t="str">
        <f>"3723479540868452352"</f>
        <v>3723479540868452352</v>
      </c>
      <c r="F3849" s="1" t="str">
        <f t="shared" si="1242"/>
        <v>花都四部-凤凰仓</v>
      </c>
      <c r="G3849" s="1" t="str">
        <f t="shared" si="1236"/>
        <v>卡卡杜企业店（视频号）</v>
      </c>
      <c r="H3849" s="1" t="str">
        <f t="shared" si="1243"/>
        <v>正常订单</v>
      </c>
      <c r="I3849" s="1" t="str">
        <f t="shared" si="1244"/>
        <v>已发货</v>
      </c>
      <c r="J3849" s="1" t="str">
        <f t="shared" si="1239"/>
        <v>3</v>
      </c>
      <c r="K3849" s="1">
        <v>3</v>
      </c>
      <c r="L3849" s="1" t="s">
        <v>18</v>
      </c>
      <c r="M3849" s="1" t="str">
        <f>"广东省 惠州市 惠阳区 "</f>
        <v xml:space="preserve">广东省 惠州市 惠阳区 </v>
      </c>
      <c r="N3849" s="1" t="str">
        <f t="shared" si="1237"/>
        <v>凡华云仓-城南圆通-微信视频号</v>
      </c>
      <c r="O3849" s="5" t="s">
        <v>3881</v>
      </c>
      <c r="P3849" s="6">
        <v>0.34</v>
      </c>
      <c r="Q3849" s="11">
        <v>2.2999999999999998</v>
      </c>
      <c r="R3849" s="11"/>
      <c r="S3849" s="11"/>
      <c r="T3849" s="11"/>
      <c r="U3849" s="11">
        <f t="shared" si="1240"/>
        <v>2.2999999999999998</v>
      </c>
      <c r="W3849">
        <v>2.5</v>
      </c>
      <c r="X3849" s="1" t="s">
        <v>18</v>
      </c>
    </row>
    <row r="3850" spans="1:24" x14ac:dyDescent="0.25">
      <c r="A3850" s="1" t="str">
        <f t="shared" si="1241"/>
        <v>卡卡杜-凤凰仓</v>
      </c>
      <c r="B3850" s="1" t="str">
        <f>"CK20241022241"</f>
        <v>CK20241022241</v>
      </c>
      <c r="C3850" s="1" t="str">
        <f>"DD2024102253794"</f>
        <v>DD2024102253794</v>
      </c>
      <c r="D3850" s="1" t="str">
        <f>"CK2024102251045"</f>
        <v>CK2024102251045</v>
      </c>
      <c r="E3850" s="1" t="str">
        <f>"3723479540689669120"</f>
        <v>3723479540689669120</v>
      </c>
      <c r="F3850" s="1" t="str">
        <f t="shared" si="1242"/>
        <v>花都四部-凤凰仓</v>
      </c>
      <c r="G3850" s="1" t="str">
        <f t="shared" si="1236"/>
        <v>卡卡杜企业店（视频号）</v>
      </c>
      <c r="H3850" s="1" t="str">
        <f t="shared" si="1243"/>
        <v>正常订单</v>
      </c>
      <c r="I3850" s="1" t="str">
        <f t="shared" si="1244"/>
        <v>已发货</v>
      </c>
      <c r="J3850" s="1" t="str">
        <f t="shared" si="1239"/>
        <v>3</v>
      </c>
      <c r="K3850" s="1">
        <v>3</v>
      </c>
      <c r="L3850" s="1" t="s">
        <v>105</v>
      </c>
      <c r="M3850" s="1" t="str">
        <f>"北京 北京市 通州区 "</f>
        <v xml:space="preserve">北京 北京市 通州区 </v>
      </c>
      <c r="N3850" s="1" t="str">
        <f t="shared" si="1237"/>
        <v>凡华云仓-城南圆通-微信视频号</v>
      </c>
      <c r="O3850" s="5" t="s">
        <v>3882</v>
      </c>
      <c r="P3850" s="6">
        <v>0.34</v>
      </c>
      <c r="Q3850" s="11">
        <v>2.2999999999999998</v>
      </c>
      <c r="R3850" s="11"/>
      <c r="S3850" s="11"/>
      <c r="T3850" s="11"/>
      <c r="U3850" s="11">
        <f t="shared" si="1240"/>
        <v>2.2999999999999998</v>
      </c>
      <c r="W3850">
        <v>2.5</v>
      </c>
      <c r="X3850" s="1" t="s">
        <v>105</v>
      </c>
    </row>
    <row r="3851" spans="1:24" x14ac:dyDescent="0.25">
      <c r="A3851" s="1" t="str">
        <f t="shared" si="1241"/>
        <v>卡卡杜-凤凰仓</v>
      </c>
      <c r="B3851" s="1" t="str">
        <f>"CK20241022243"</f>
        <v>CK20241022243</v>
      </c>
      <c r="C3851" s="1" t="str">
        <f>"DD2024102253796"</f>
        <v>DD2024102253796</v>
      </c>
      <c r="D3851" s="1" t="str">
        <f>"CK2024102251044"</f>
        <v>CK2024102251044</v>
      </c>
      <c r="E3851" s="1" t="str">
        <f>"3723479540859540480"</f>
        <v>3723479540859540480</v>
      </c>
      <c r="F3851" s="1" t="str">
        <f t="shared" si="1242"/>
        <v>花都四部-凤凰仓</v>
      </c>
      <c r="G3851" s="1" t="str">
        <f t="shared" si="1236"/>
        <v>卡卡杜企业店（视频号）</v>
      </c>
      <c r="H3851" s="1" t="str">
        <f t="shared" si="1243"/>
        <v>正常订单</v>
      </c>
      <c r="I3851" s="1" t="str">
        <f t="shared" si="1244"/>
        <v>已发货</v>
      </c>
      <c r="J3851" s="1" t="str">
        <f t="shared" si="1239"/>
        <v>3</v>
      </c>
      <c r="K3851" s="1">
        <v>3</v>
      </c>
      <c r="L3851" s="1" t="s">
        <v>74</v>
      </c>
      <c r="M3851" s="1" t="str">
        <f>"上海 上海市 黄浦区 "</f>
        <v xml:space="preserve">上海 上海市 黄浦区 </v>
      </c>
      <c r="N3851" s="1" t="str">
        <f t="shared" si="1237"/>
        <v>凡华云仓-城南圆通-微信视频号</v>
      </c>
      <c r="O3851" s="5" t="s">
        <v>3883</v>
      </c>
      <c r="P3851" s="6">
        <v>0.34</v>
      </c>
      <c r="Q3851" s="11">
        <v>2.2999999999999998</v>
      </c>
      <c r="R3851" s="11"/>
      <c r="S3851" s="11"/>
      <c r="T3851" s="11"/>
      <c r="U3851" s="11">
        <f t="shared" si="1240"/>
        <v>2.2999999999999998</v>
      </c>
      <c r="W3851">
        <v>2.5</v>
      </c>
      <c r="X3851" s="1" t="s">
        <v>74</v>
      </c>
    </row>
    <row r="3852" spans="1:24" x14ac:dyDescent="0.25">
      <c r="A3852" s="1" t="str">
        <f t="shared" si="1241"/>
        <v>卡卡杜-凤凰仓</v>
      </c>
      <c r="B3852" s="1" t="str">
        <f>"CK20241022252"</f>
        <v>CK20241022252</v>
      </c>
      <c r="C3852" s="1" t="str">
        <f>"DD2024102253806"</f>
        <v>DD2024102253806</v>
      </c>
      <c r="D3852" s="1" t="str">
        <f>"CK2024102251043"</f>
        <v>CK2024102251043</v>
      </c>
      <c r="E3852" s="1" t="str">
        <f>"3723479536201241600"</f>
        <v>3723479536201241600</v>
      </c>
      <c r="F3852" s="1" t="str">
        <f t="shared" si="1242"/>
        <v>花都四部-凤凰仓</v>
      </c>
      <c r="G3852" s="1" t="str">
        <f t="shared" si="1236"/>
        <v>卡卡杜企业店（视频号）</v>
      </c>
      <c r="H3852" s="1" t="str">
        <f t="shared" si="1243"/>
        <v>正常订单</v>
      </c>
      <c r="I3852" s="1" t="str">
        <f t="shared" si="1244"/>
        <v>已发货</v>
      </c>
      <c r="J3852" s="1" t="str">
        <f t="shared" si="1239"/>
        <v>3</v>
      </c>
      <c r="K3852" s="1">
        <v>3</v>
      </c>
      <c r="L3852" s="1" t="s">
        <v>13</v>
      </c>
      <c r="M3852" s="1" t="str">
        <f>"江苏省 泰州市 靖江市 "</f>
        <v xml:space="preserve">江苏省 泰州市 靖江市 </v>
      </c>
      <c r="N3852" s="1" t="str">
        <f t="shared" si="1237"/>
        <v>凡华云仓-城南圆通-微信视频号</v>
      </c>
      <c r="O3852" s="5" t="s">
        <v>3884</v>
      </c>
      <c r="P3852" s="6">
        <v>0.34</v>
      </c>
      <c r="Q3852" s="11">
        <v>2.2999999999999998</v>
      </c>
      <c r="R3852" s="11"/>
      <c r="S3852" s="11"/>
      <c r="T3852" s="11"/>
      <c r="U3852" s="11">
        <f t="shared" si="1240"/>
        <v>2.2999999999999998</v>
      </c>
      <c r="W3852">
        <v>2.5</v>
      </c>
      <c r="X3852" s="1" t="s">
        <v>13</v>
      </c>
    </row>
    <row r="3853" spans="1:24" x14ac:dyDescent="0.25">
      <c r="A3853" s="1" t="str">
        <f t="shared" si="1241"/>
        <v>卡卡杜-凤凰仓</v>
      </c>
      <c r="B3853" s="1" t="str">
        <f>"CK20241022255"</f>
        <v>CK20241022255</v>
      </c>
      <c r="C3853" s="1" t="str">
        <f>"DD2024102253808"</f>
        <v>DD2024102253808</v>
      </c>
      <c r="D3853" s="1" t="str">
        <f>"CK2024102251042"</f>
        <v>CK2024102251042</v>
      </c>
      <c r="E3853" s="1" t="str">
        <f>"3723479538270080000"</f>
        <v>3723479538270080000</v>
      </c>
      <c r="F3853" s="1" t="str">
        <f t="shared" si="1242"/>
        <v>花都四部-凤凰仓</v>
      </c>
      <c r="G3853" s="1" t="str">
        <f t="shared" si="1236"/>
        <v>卡卡杜企业店（视频号）</v>
      </c>
      <c r="H3853" s="1" t="str">
        <f t="shared" si="1243"/>
        <v>正常订单</v>
      </c>
      <c r="I3853" s="1" t="str">
        <f t="shared" si="1244"/>
        <v>已发货</v>
      </c>
      <c r="J3853" s="1" t="str">
        <f t="shared" si="1239"/>
        <v>3</v>
      </c>
      <c r="K3853" s="1">
        <v>3</v>
      </c>
      <c r="L3853" s="1" t="s">
        <v>44</v>
      </c>
      <c r="M3853" s="1" t="str">
        <f>"海南省 三亚市 吉阳区 "</f>
        <v xml:space="preserve">海南省 三亚市 吉阳区 </v>
      </c>
      <c r="N3853" s="1" t="str">
        <f t="shared" si="1237"/>
        <v>凡华云仓-城南圆通-微信视频号</v>
      </c>
      <c r="O3853" s="5" t="s">
        <v>3885</v>
      </c>
      <c r="P3853" s="6">
        <v>0.34</v>
      </c>
      <c r="Q3853" s="11">
        <v>2.2999999999999998</v>
      </c>
      <c r="R3853" s="11"/>
      <c r="S3853" s="11"/>
      <c r="T3853" s="11"/>
      <c r="U3853" s="11">
        <f t="shared" si="1240"/>
        <v>2.2999999999999998</v>
      </c>
      <c r="W3853">
        <v>2.5</v>
      </c>
      <c r="X3853" s="1" t="s">
        <v>44</v>
      </c>
    </row>
    <row r="3854" spans="1:24" x14ac:dyDescent="0.25">
      <c r="A3854" s="1" t="str">
        <f t="shared" si="1241"/>
        <v>卡卡杜-凤凰仓</v>
      </c>
      <c r="B3854" s="1" t="str">
        <f>"CK20241022245"</f>
        <v>CK20241022245</v>
      </c>
      <c r="C3854" s="1" t="str">
        <f>"DD2024102253797"</f>
        <v>DD2024102253797</v>
      </c>
      <c r="D3854" s="1" t="str">
        <f>"CK2024102251041"</f>
        <v>CK2024102251041</v>
      </c>
      <c r="E3854" s="1" t="str">
        <f>"3723479539898782720"</f>
        <v>3723479539898782720</v>
      </c>
      <c r="F3854" s="1" t="str">
        <f t="shared" si="1242"/>
        <v>花都四部-凤凰仓</v>
      </c>
      <c r="G3854" s="1" t="str">
        <f t="shared" ref="G3854:G3917" si="1245">"卡卡杜企业店（视频号）"</f>
        <v>卡卡杜企业店（视频号）</v>
      </c>
      <c r="H3854" s="1" t="str">
        <f t="shared" si="1243"/>
        <v>正常订单</v>
      </c>
      <c r="I3854" s="1" t="str">
        <f t="shared" si="1244"/>
        <v>已发货</v>
      </c>
      <c r="J3854" s="1" t="str">
        <f t="shared" si="1239"/>
        <v>3</v>
      </c>
      <c r="K3854" s="1">
        <v>3</v>
      </c>
      <c r="L3854" s="1" t="s">
        <v>30</v>
      </c>
      <c r="M3854" s="1" t="str">
        <f>"山东省 淄博市 桓台县 "</f>
        <v xml:space="preserve">山东省 淄博市 桓台县 </v>
      </c>
      <c r="N3854" s="1" t="str">
        <f t="shared" ref="N3854:N3917" si="1246">"凡华云仓-城南圆通-微信视频号"</f>
        <v>凡华云仓-城南圆通-微信视频号</v>
      </c>
      <c r="O3854" s="5" t="s">
        <v>3886</v>
      </c>
      <c r="P3854" s="6">
        <v>0.34</v>
      </c>
      <c r="Q3854" s="11">
        <v>2.2999999999999998</v>
      </c>
      <c r="R3854" s="11"/>
      <c r="S3854" s="11"/>
      <c r="T3854" s="11"/>
      <c r="U3854" s="11">
        <f t="shared" si="1240"/>
        <v>2.2999999999999998</v>
      </c>
      <c r="W3854">
        <v>2.5</v>
      </c>
      <c r="X3854" s="1" t="s">
        <v>30</v>
      </c>
    </row>
    <row r="3855" spans="1:24" x14ac:dyDescent="0.25">
      <c r="A3855" s="1" t="str">
        <f t="shared" si="1241"/>
        <v>卡卡杜-凤凰仓</v>
      </c>
      <c r="B3855" s="1" t="str">
        <f>"CK20241022246"</f>
        <v>CK20241022246</v>
      </c>
      <c r="C3855" s="1" t="str">
        <f>"DD2024102253800"</f>
        <v>DD2024102253800</v>
      </c>
      <c r="D3855" s="1" t="str">
        <f>"CK2024102251040"</f>
        <v>CK2024102251040</v>
      </c>
      <c r="E3855" s="1" t="str">
        <f>"3723479539583419904"</f>
        <v>3723479539583419904</v>
      </c>
      <c r="F3855" s="1" t="str">
        <f t="shared" si="1242"/>
        <v>花都四部-凤凰仓</v>
      </c>
      <c r="G3855" s="1" t="str">
        <f t="shared" si="1245"/>
        <v>卡卡杜企业店（视频号）</v>
      </c>
      <c r="H3855" s="1" t="str">
        <f t="shared" si="1243"/>
        <v>正常订单</v>
      </c>
      <c r="I3855" s="1" t="str">
        <f t="shared" si="1244"/>
        <v>已发货</v>
      </c>
      <c r="J3855" s="1" t="str">
        <f t="shared" si="1239"/>
        <v>3</v>
      </c>
      <c r="K3855" s="1">
        <v>3</v>
      </c>
      <c r="L3855" s="1" t="s">
        <v>30</v>
      </c>
      <c r="M3855" s="1" t="str">
        <f>"山东省 临沂市 河东区 "</f>
        <v xml:space="preserve">山东省 临沂市 河东区 </v>
      </c>
      <c r="N3855" s="1" t="str">
        <f t="shared" si="1246"/>
        <v>凡华云仓-城南圆通-微信视频号</v>
      </c>
      <c r="O3855" s="5" t="s">
        <v>3887</v>
      </c>
      <c r="P3855" s="6">
        <v>0.34</v>
      </c>
      <c r="Q3855" s="11">
        <v>2.2999999999999998</v>
      </c>
      <c r="R3855" s="11"/>
      <c r="S3855" s="11"/>
      <c r="T3855" s="11"/>
      <c r="U3855" s="11">
        <f t="shared" si="1240"/>
        <v>2.2999999999999998</v>
      </c>
      <c r="W3855">
        <v>2.5</v>
      </c>
      <c r="X3855" s="1" t="s">
        <v>30</v>
      </c>
    </row>
    <row r="3856" spans="1:24" x14ac:dyDescent="0.25">
      <c r="A3856" s="1" t="str">
        <f t="shared" si="1241"/>
        <v>卡卡杜-凤凰仓</v>
      </c>
      <c r="B3856" s="1" t="str">
        <f>"CK20241022248"</f>
        <v>CK20241022248</v>
      </c>
      <c r="C3856" s="1" t="str">
        <f>"DD2024102253802"</f>
        <v>DD2024102253802</v>
      </c>
      <c r="D3856" s="1" t="str">
        <f>"CK2024102251039"</f>
        <v>CK2024102251039</v>
      </c>
      <c r="E3856" s="1" t="str">
        <f>"3723479539286675456"</f>
        <v>3723479539286675456</v>
      </c>
      <c r="F3856" s="1" t="str">
        <f t="shared" si="1242"/>
        <v>花都四部-凤凰仓</v>
      </c>
      <c r="G3856" s="1" t="str">
        <f t="shared" si="1245"/>
        <v>卡卡杜企业店（视频号）</v>
      </c>
      <c r="H3856" s="1" t="str">
        <f t="shared" si="1243"/>
        <v>正常订单</v>
      </c>
      <c r="I3856" s="1" t="str">
        <f t="shared" si="1244"/>
        <v>已发货</v>
      </c>
      <c r="J3856" s="1" t="str">
        <f t="shared" si="1239"/>
        <v>3</v>
      </c>
      <c r="K3856" s="1">
        <v>3</v>
      </c>
      <c r="L3856" s="1" t="s">
        <v>30</v>
      </c>
      <c r="M3856" s="1" t="str">
        <f>"山东省 青岛市 城阳区 "</f>
        <v xml:space="preserve">山东省 青岛市 城阳区 </v>
      </c>
      <c r="N3856" s="1" t="str">
        <f t="shared" si="1246"/>
        <v>凡华云仓-城南圆通-微信视频号</v>
      </c>
      <c r="O3856" s="5" t="s">
        <v>3888</v>
      </c>
      <c r="P3856" s="6">
        <v>0.34</v>
      </c>
      <c r="Q3856" s="11">
        <v>2.2999999999999998</v>
      </c>
      <c r="R3856" s="11"/>
      <c r="S3856" s="11"/>
      <c r="T3856" s="11"/>
      <c r="U3856" s="11">
        <f t="shared" si="1240"/>
        <v>2.2999999999999998</v>
      </c>
      <c r="W3856">
        <v>2.5</v>
      </c>
      <c r="X3856" s="1" t="s">
        <v>30</v>
      </c>
    </row>
    <row r="3857" spans="1:24" x14ac:dyDescent="0.25">
      <c r="A3857" s="1" t="str">
        <f t="shared" si="1241"/>
        <v>卡卡杜-凤凰仓</v>
      </c>
      <c r="B3857" s="1" t="str">
        <f>"CK20241022251"</f>
        <v>CK20241022251</v>
      </c>
      <c r="C3857" s="1" t="str">
        <f>"DD2024102253805"</f>
        <v>DD2024102253805</v>
      </c>
      <c r="D3857" s="1" t="str">
        <f>"CK2024102251038"</f>
        <v>CK2024102251038</v>
      </c>
      <c r="E3857" s="1" t="str">
        <f>"3723479538777329664"</f>
        <v>3723479538777329664</v>
      </c>
      <c r="F3857" s="1" t="str">
        <f t="shared" si="1242"/>
        <v>花都四部-凤凰仓</v>
      </c>
      <c r="G3857" s="1" t="str">
        <f t="shared" si="1245"/>
        <v>卡卡杜企业店（视频号）</v>
      </c>
      <c r="H3857" s="1" t="str">
        <f t="shared" si="1243"/>
        <v>正常订单</v>
      </c>
      <c r="I3857" s="1" t="str">
        <f t="shared" si="1244"/>
        <v>已发货</v>
      </c>
      <c r="J3857" s="1" t="str">
        <f t="shared" si="1239"/>
        <v>3</v>
      </c>
      <c r="K3857" s="1">
        <v>3</v>
      </c>
      <c r="L3857" s="1" t="s">
        <v>13</v>
      </c>
      <c r="M3857" s="1" t="str">
        <f>"江苏省 盐城市 射阳县 "</f>
        <v xml:space="preserve">江苏省 盐城市 射阳县 </v>
      </c>
      <c r="N3857" s="1" t="str">
        <f t="shared" si="1246"/>
        <v>凡华云仓-城南圆通-微信视频号</v>
      </c>
      <c r="O3857" s="5" t="s">
        <v>3889</v>
      </c>
      <c r="P3857" s="6">
        <v>0.34</v>
      </c>
      <c r="Q3857" s="11">
        <v>2.2999999999999998</v>
      </c>
      <c r="R3857" s="11"/>
      <c r="S3857" s="11"/>
      <c r="T3857" s="11"/>
      <c r="U3857" s="11">
        <f t="shared" si="1240"/>
        <v>2.2999999999999998</v>
      </c>
      <c r="W3857">
        <v>2.5</v>
      </c>
      <c r="X3857" s="1" t="s">
        <v>13</v>
      </c>
    </row>
    <row r="3858" spans="1:24" x14ac:dyDescent="0.25">
      <c r="A3858" s="1" t="str">
        <f t="shared" si="1241"/>
        <v>卡卡杜-凤凰仓</v>
      </c>
      <c r="B3858" s="1" t="str">
        <f>"CK20241022269"</f>
        <v>CK20241022269</v>
      </c>
      <c r="C3858" s="1" t="str">
        <f>"DD2024102253822"</f>
        <v>DD2024102253822</v>
      </c>
      <c r="D3858" s="1" t="str">
        <f>"CK2024102251037"</f>
        <v>CK2024102251037</v>
      </c>
      <c r="E3858" s="1" t="str">
        <f>"3723479537919329536"</f>
        <v>3723479537919329536</v>
      </c>
      <c r="F3858" s="1" t="str">
        <f t="shared" si="1242"/>
        <v>花都四部-凤凰仓</v>
      </c>
      <c r="G3858" s="1" t="str">
        <f t="shared" si="1245"/>
        <v>卡卡杜企业店（视频号）</v>
      </c>
      <c r="H3858" s="1" t="str">
        <f t="shared" si="1243"/>
        <v>正常订单</v>
      </c>
      <c r="I3858" s="1" t="str">
        <f t="shared" si="1244"/>
        <v>已发货</v>
      </c>
      <c r="J3858" s="1" t="str">
        <f t="shared" si="1239"/>
        <v>3</v>
      </c>
      <c r="K3858" s="1">
        <v>3</v>
      </c>
      <c r="L3858" s="1" t="s">
        <v>13</v>
      </c>
      <c r="M3858" s="1" t="str">
        <f>"江苏省 宿迁市 泗阳县 "</f>
        <v xml:space="preserve">江苏省 宿迁市 泗阳县 </v>
      </c>
      <c r="N3858" s="1" t="str">
        <f t="shared" si="1246"/>
        <v>凡华云仓-城南圆通-微信视频号</v>
      </c>
      <c r="O3858" s="5" t="s">
        <v>3890</v>
      </c>
      <c r="P3858" s="6">
        <v>0.34</v>
      </c>
      <c r="Q3858" s="11">
        <v>2.2999999999999998</v>
      </c>
      <c r="R3858" s="11"/>
      <c r="S3858" s="11"/>
      <c r="T3858" s="11"/>
      <c r="U3858" s="11">
        <f t="shared" si="1240"/>
        <v>2.2999999999999998</v>
      </c>
      <c r="W3858">
        <v>2.5</v>
      </c>
      <c r="X3858" s="1" t="s">
        <v>13</v>
      </c>
    </row>
    <row r="3859" spans="1:24" x14ac:dyDescent="0.25">
      <c r="A3859" s="1" t="str">
        <f t="shared" si="1241"/>
        <v>卡卡杜-凤凰仓</v>
      </c>
      <c r="B3859" s="1" t="str">
        <f>"CK20241022262"</f>
        <v>CK20241022262</v>
      </c>
      <c r="C3859" s="1" t="str">
        <f>"DD2024102253814"</f>
        <v>DD2024102253814</v>
      </c>
      <c r="D3859" s="1" t="str">
        <f>"CK2024102251036"</f>
        <v>CK2024102251036</v>
      </c>
      <c r="E3859" s="1" t="str">
        <f>"3723479538013963520"</f>
        <v>3723479538013963520</v>
      </c>
      <c r="F3859" s="1" t="str">
        <f t="shared" si="1242"/>
        <v>花都四部-凤凰仓</v>
      </c>
      <c r="G3859" s="1" t="str">
        <f t="shared" si="1245"/>
        <v>卡卡杜企业店（视频号）</v>
      </c>
      <c r="H3859" s="1" t="str">
        <f t="shared" si="1243"/>
        <v>正常订单</v>
      </c>
      <c r="I3859" s="1" t="str">
        <f t="shared" si="1244"/>
        <v>已发货</v>
      </c>
      <c r="J3859" s="1" t="str">
        <f t="shared" si="1239"/>
        <v>3</v>
      </c>
      <c r="K3859" s="1">
        <v>3</v>
      </c>
      <c r="L3859" s="1" t="s">
        <v>18</v>
      </c>
      <c r="M3859" s="1" t="str">
        <f>"广东省 深圳市 宝安区 "</f>
        <v xml:space="preserve">广东省 深圳市 宝安区 </v>
      </c>
      <c r="N3859" s="1" t="str">
        <f t="shared" si="1246"/>
        <v>凡华云仓-城南圆通-微信视频号</v>
      </c>
      <c r="O3859" s="5" t="s">
        <v>3891</v>
      </c>
      <c r="P3859" s="6">
        <v>0.34</v>
      </c>
      <c r="Q3859" s="11">
        <v>2.2999999999999998</v>
      </c>
      <c r="R3859" s="11"/>
      <c r="S3859" s="11"/>
      <c r="T3859" s="11"/>
      <c r="U3859" s="11">
        <f t="shared" si="1240"/>
        <v>2.2999999999999998</v>
      </c>
      <c r="W3859">
        <v>2.5</v>
      </c>
      <c r="X3859" s="1" t="s">
        <v>18</v>
      </c>
    </row>
    <row r="3860" spans="1:24" x14ac:dyDescent="0.25">
      <c r="A3860" s="1" t="str">
        <f t="shared" si="1241"/>
        <v>卡卡杜-凤凰仓</v>
      </c>
      <c r="B3860" s="1" t="str">
        <f>"CK20241022265"</f>
        <v>CK20241022265</v>
      </c>
      <c r="C3860" s="1" t="str">
        <f>"DD2024102253818"</f>
        <v>DD2024102253818</v>
      </c>
      <c r="D3860" s="1" t="str">
        <f>"CK2024102251035"</f>
        <v>CK2024102251035</v>
      </c>
      <c r="E3860" s="1" t="str">
        <f>"3723479538114364928"</f>
        <v>3723479538114364928</v>
      </c>
      <c r="F3860" s="1" t="str">
        <f t="shared" si="1242"/>
        <v>花都四部-凤凰仓</v>
      </c>
      <c r="G3860" s="1" t="str">
        <f t="shared" si="1245"/>
        <v>卡卡杜企业店（视频号）</v>
      </c>
      <c r="H3860" s="1" t="str">
        <f t="shared" si="1243"/>
        <v>正常订单</v>
      </c>
      <c r="I3860" s="1" t="str">
        <f t="shared" si="1244"/>
        <v>已发货</v>
      </c>
      <c r="J3860" s="1" t="str">
        <f t="shared" si="1239"/>
        <v>3</v>
      </c>
      <c r="K3860" s="1">
        <v>3</v>
      </c>
      <c r="L3860" s="1" t="s">
        <v>16</v>
      </c>
      <c r="M3860" s="1" t="str">
        <f>"河北省 保定市 安国市 "</f>
        <v xml:space="preserve">河北省 保定市 安国市 </v>
      </c>
      <c r="N3860" s="1" t="str">
        <f t="shared" si="1246"/>
        <v>凡华云仓-城南圆通-微信视频号</v>
      </c>
      <c r="O3860" s="5" t="s">
        <v>3892</v>
      </c>
      <c r="P3860" s="6">
        <v>0.34</v>
      </c>
      <c r="Q3860" s="11">
        <v>2.2999999999999998</v>
      </c>
      <c r="R3860" s="11"/>
      <c r="S3860" s="11"/>
      <c r="T3860" s="11"/>
      <c r="U3860" s="11">
        <f t="shared" si="1240"/>
        <v>2.2999999999999998</v>
      </c>
      <c r="W3860">
        <v>2.5</v>
      </c>
      <c r="X3860" s="1" t="s">
        <v>16</v>
      </c>
    </row>
    <row r="3861" spans="1:24" x14ac:dyDescent="0.25">
      <c r="A3861" s="1" t="str">
        <f t="shared" si="1241"/>
        <v>卡卡杜-凤凰仓</v>
      </c>
      <c r="B3861" s="1" t="str">
        <f>"CK20241022273"</f>
        <v>CK20241022273</v>
      </c>
      <c r="C3861" s="1" t="str">
        <f>"DD2024102253827"</f>
        <v>DD2024102253827</v>
      </c>
      <c r="D3861" s="1" t="str">
        <f>"CK2024102251034"</f>
        <v>CK2024102251034</v>
      </c>
      <c r="E3861" s="1" t="str">
        <f>"3723479537664004096"</f>
        <v>3723479537664004096</v>
      </c>
      <c r="F3861" s="1" t="str">
        <f t="shared" si="1242"/>
        <v>花都四部-凤凰仓</v>
      </c>
      <c r="G3861" s="1" t="str">
        <f t="shared" si="1245"/>
        <v>卡卡杜企业店（视频号）</v>
      </c>
      <c r="H3861" s="1" t="str">
        <f t="shared" si="1243"/>
        <v>正常订单</v>
      </c>
      <c r="I3861" s="1" t="str">
        <f t="shared" si="1244"/>
        <v>已发货</v>
      </c>
      <c r="J3861" s="1" t="str">
        <f t="shared" si="1239"/>
        <v>3</v>
      </c>
      <c r="K3861" s="1">
        <v>3</v>
      </c>
      <c r="L3861" s="1" t="s">
        <v>30</v>
      </c>
      <c r="M3861" s="1" t="str">
        <f>"山东省 东营市 河口区 "</f>
        <v xml:space="preserve">山东省 东营市 河口区 </v>
      </c>
      <c r="N3861" s="1" t="str">
        <f t="shared" si="1246"/>
        <v>凡华云仓-城南圆通-微信视频号</v>
      </c>
      <c r="O3861" s="5" t="s">
        <v>3893</v>
      </c>
      <c r="P3861" s="6">
        <v>0.34</v>
      </c>
      <c r="Q3861" s="11">
        <v>2.2999999999999998</v>
      </c>
      <c r="R3861" s="11"/>
      <c r="S3861" s="11"/>
      <c r="T3861" s="11"/>
      <c r="U3861" s="11">
        <f t="shared" si="1240"/>
        <v>2.2999999999999998</v>
      </c>
      <c r="W3861">
        <v>2.5</v>
      </c>
      <c r="X3861" s="1" t="s">
        <v>30</v>
      </c>
    </row>
    <row r="3862" spans="1:24" x14ac:dyDescent="0.25">
      <c r="A3862" s="1" t="str">
        <f t="shared" si="1241"/>
        <v>卡卡杜-凤凰仓</v>
      </c>
      <c r="B3862" s="1" t="str">
        <f>"CK20241022474"</f>
        <v>CK20241022474</v>
      </c>
      <c r="C3862" s="1" t="str">
        <f>"DD2024102255538"</f>
        <v>DD2024102255538</v>
      </c>
      <c r="D3862" s="1" t="str">
        <f>"CK2024102251033"</f>
        <v>CK2024102251033</v>
      </c>
      <c r="E3862" s="1" t="str">
        <f>"3723479537713546496"</f>
        <v>3723479537713546496</v>
      </c>
      <c r="F3862" s="1" t="str">
        <f t="shared" si="1242"/>
        <v>花都四部-凤凰仓</v>
      </c>
      <c r="G3862" s="1" t="str">
        <f t="shared" si="1245"/>
        <v>卡卡杜企业店（视频号）</v>
      </c>
      <c r="H3862" s="1" t="str">
        <f t="shared" si="1243"/>
        <v>正常订单</v>
      </c>
      <c r="I3862" s="1" t="str">
        <f t="shared" si="1244"/>
        <v>已发货</v>
      </c>
      <c r="J3862" s="1" t="str">
        <f t="shared" si="1239"/>
        <v>3</v>
      </c>
      <c r="K3862" s="1">
        <v>3</v>
      </c>
      <c r="L3862" s="1" t="s">
        <v>109</v>
      </c>
      <c r="M3862" s="1" t="str">
        <f>"山西省 临汾市 尧都区 "</f>
        <v xml:space="preserve">山西省 临汾市 尧都区 </v>
      </c>
      <c r="N3862" s="1" t="str">
        <f t="shared" si="1246"/>
        <v>凡华云仓-城南圆通-微信视频号</v>
      </c>
      <c r="O3862" s="5" t="s">
        <v>3894</v>
      </c>
      <c r="P3862" s="6">
        <v>0.34</v>
      </c>
      <c r="Q3862" s="11">
        <v>2.2999999999999998</v>
      </c>
      <c r="R3862" s="11"/>
      <c r="S3862" s="11"/>
      <c r="T3862" s="11"/>
      <c r="U3862" s="11">
        <f t="shared" si="1240"/>
        <v>2.2999999999999998</v>
      </c>
      <c r="W3862">
        <v>2.5</v>
      </c>
      <c r="X3862" s="1" t="s">
        <v>109</v>
      </c>
    </row>
    <row r="3863" spans="1:24" x14ac:dyDescent="0.25">
      <c r="A3863" s="1" t="str">
        <f t="shared" si="1241"/>
        <v>卡卡杜-凤凰仓</v>
      </c>
      <c r="B3863" s="1" t="str">
        <f>"CK20241022254"</f>
        <v>CK20241022254</v>
      </c>
      <c r="C3863" s="1" t="str">
        <f>"DD2024102253810"</f>
        <v>DD2024102253810</v>
      </c>
      <c r="D3863" s="1" t="str">
        <f>"CK2024102251032"</f>
        <v>CK2024102251032</v>
      </c>
      <c r="E3863" s="1" t="str">
        <f>"3723479538710218240"</f>
        <v>3723479538710218240</v>
      </c>
      <c r="F3863" s="1" t="str">
        <f t="shared" si="1242"/>
        <v>花都四部-凤凰仓</v>
      </c>
      <c r="G3863" s="1" t="str">
        <f t="shared" si="1245"/>
        <v>卡卡杜企业店（视频号）</v>
      </c>
      <c r="H3863" s="1" t="str">
        <f t="shared" si="1243"/>
        <v>正常订单</v>
      </c>
      <c r="I3863" s="1" t="str">
        <f t="shared" si="1244"/>
        <v>已发货</v>
      </c>
      <c r="J3863" s="1" t="str">
        <f t="shared" si="1239"/>
        <v>3</v>
      </c>
      <c r="K3863" s="1">
        <v>3</v>
      </c>
      <c r="L3863" s="1" t="s">
        <v>16</v>
      </c>
      <c r="M3863" s="1" t="str">
        <f>"河北省 沧州市 南皮县 "</f>
        <v xml:space="preserve">河北省 沧州市 南皮县 </v>
      </c>
      <c r="N3863" s="1" t="str">
        <f t="shared" si="1246"/>
        <v>凡华云仓-城南圆通-微信视频号</v>
      </c>
      <c r="O3863" s="5" t="s">
        <v>3895</v>
      </c>
      <c r="P3863" s="6">
        <v>0.34</v>
      </c>
      <c r="Q3863" s="11">
        <v>2.2999999999999998</v>
      </c>
      <c r="R3863" s="11"/>
      <c r="S3863" s="11"/>
      <c r="T3863" s="11"/>
      <c r="U3863" s="11">
        <f t="shared" si="1240"/>
        <v>2.2999999999999998</v>
      </c>
      <c r="W3863">
        <v>2.5</v>
      </c>
      <c r="X3863" s="1" t="s">
        <v>16</v>
      </c>
    </row>
    <row r="3864" spans="1:24" x14ac:dyDescent="0.25">
      <c r="A3864" s="1" t="str">
        <f t="shared" si="1241"/>
        <v>卡卡杜-凤凰仓</v>
      </c>
      <c r="B3864" s="1" t="str">
        <f>"CK20241022253"</f>
        <v>CK20241022253</v>
      </c>
      <c r="C3864" s="1" t="str">
        <f>"DD2024102253807"</f>
        <v>DD2024102253807</v>
      </c>
      <c r="D3864" s="1" t="str">
        <f>"CK2024102251031"</f>
        <v>CK2024102251031</v>
      </c>
      <c r="E3864" s="1" t="str">
        <f>"3723479538941953280"</f>
        <v>3723479538941953280</v>
      </c>
      <c r="F3864" s="1" t="str">
        <f t="shared" si="1242"/>
        <v>花都四部-凤凰仓</v>
      </c>
      <c r="G3864" s="1" t="str">
        <f t="shared" si="1245"/>
        <v>卡卡杜企业店（视频号）</v>
      </c>
      <c r="H3864" s="1" t="str">
        <f t="shared" si="1243"/>
        <v>正常订单</v>
      </c>
      <c r="I3864" s="1" t="str">
        <f t="shared" si="1244"/>
        <v>已发货</v>
      </c>
      <c r="J3864" s="1" t="str">
        <f t="shared" si="1239"/>
        <v>3</v>
      </c>
      <c r="K3864" s="1">
        <v>3</v>
      </c>
      <c r="L3864" s="1" t="s">
        <v>94</v>
      </c>
      <c r="M3864" s="1" t="str">
        <f>"湖南省 株洲市 天元区 "</f>
        <v xml:space="preserve">湖南省 株洲市 天元区 </v>
      </c>
      <c r="N3864" s="1" t="str">
        <f t="shared" si="1246"/>
        <v>凡华云仓-城南圆通-微信视频号</v>
      </c>
      <c r="O3864" s="5" t="s">
        <v>3896</v>
      </c>
      <c r="P3864" s="6">
        <v>0.34</v>
      </c>
      <c r="Q3864" s="11">
        <v>2.2999999999999998</v>
      </c>
      <c r="R3864" s="11"/>
      <c r="S3864" s="11"/>
      <c r="T3864" s="11"/>
      <c r="U3864" s="11">
        <f t="shared" si="1240"/>
        <v>2.2999999999999998</v>
      </c>
      <c r="W3864">
        <v>2.5</v>
      </c>
      <c r="X3864" s="1" t="s">
        <v>94</v>
      </c>
    </row>
    <row r="3865" spans="1:24" x14ac:dyDescent="0.25">
      <c r="A3865" s="1" t="str">
        <f t="shared" si="1241"/>
        <v>卡卡杜-凤凰仓</v>
      </c>
      <c r="B3865" s="1" t="str">
        <f>"CK20241022257"</f>
        <v>CK20241022257</v>
      </c>
      <c r="C3865" s="1" t="str">
        <f>"DD2024102253811"</f>
        <v>DD2024102253811</v>
      </c>
      <c r="D3865" s="1" t="str">
        <f>"CK2024102251030"</f>
        <v>CK2024102251030</v>
      </c>
      <c r="E3865" s="1" t="str">
        <f>"3723479538693181440"</f>
        <v>3723479538693181440</v>
      </c>
      <c r="F3865" s="1" t="str">
        <f t="shared" si="1242"/>
        <v>花都四部-凤凰仓</v>
      </c>
      <c r="G3865" s="1" t="str">
        <f t="shared" si="1245"/>
        <v>卡卡杜企业店（视频号）</v>
      </c>
      <c r="H3865" s="1" t="str">
        <f t="shared" si="1243"/>
        <v>正常订单</v>
      </c>
      <c r="I3865" s="1" t="str">
        <f t="shared" si="1244"/>
        <v>已发货</v>
      </c>
      <c r="J3865" s="1" t="str">
        <f t="shared" si="1239"/>
        <v>3</v>
      </c>
      <c r="K3865" s="1">
        <v>3</v>
      </c>
      <c r="L3865" s="1" t="s">
        <v>18</v>
      </c>
      <c r="M3865" s="1" t="str">
        <f>"广东省 东莞市 厚街镇 "</f>
        <v xml:space="preserve">广东省 东莞市 厚街镇 </v>
      </c>
      <c r="N3865" s="1" t="str">
        <f t="shared" si="1246"/>
        <v>凡华云仓-城南圆通-微信视频号</v>
      </c>
      <c r="O3865" s="5" t="s">
        <v>3897</v>
      </c>
      <c r="P3865" s="6">
        <v>0.34</v>
      </c>
      <c r="Q3865" s="11">
        <v>2.2999999999999998</v>
      </c>
      <c r="R3865" s="11"/>
      <c r="S3865" s="11"/>
      <c r="T3865" s="11"/>
      <c r="U3865" s="11">
        <f t="shared" si="1240"/>
        <v>2.2999999999999998</v>
      </c>
      <c r="W3865">
        <v>2.5</v>
      </c>
      <c r="X3865" s="1" t="s">
        <v>18</v>
      </c>
    </row>
    <row r="3866" spans="1:24" x14ac:dyDescent="0.25">
      <c r="A3866" s="1" t="str">
        <f t="shared" si="1241"/>
        <v>卡卡杜-凤凰仓</v>
      </c>
      <c r="B3866" s="1" t="str">
        <f>"CK20241022258"</f>
        <v>CK20241022258</v>
      </c>
      <c r="C3866" s="1" t="str">
        <f>"DD2024102253812"</f>
        <v>DD2024102253812</v>
      </c>
      <c r="D3866" s="1" t="str">
        <f>"CK2024102251029"</f>
        <v>CK2024102251029</v>
      </c>
      <c r="E3866" s="1" t="str">
        <f>"3723479538117510400"</f>
        <v>3723479538117510400</v>
      </c>
      <c r="F3866" s="1" t="str">
        <f t="shared" si="1242"/>
        <v>花都四部-凤凰仓</v>
      </c>
      <c r="G3866" s="1" t="str">
        <f t="shared" si="1245"/>
        <v>卡卡杜企业店（视频号）</v>
      </c>
      <c r="H3866" s="1" t="str">
        <f t="shared" si="1243"/>
        <v>正常订单</v>
      </c>
      <c r="I3866" s="1" t="str">
        <f t="shared" si="1244"/>
        <v>已发货</v>
      </c>
      <c r="J3866" s="1" t="str">
        <f t="shared" si="1239"/>
        <v>3</v>
      </c>
      <c r="K3866" s="1">
        <v>3</v>
      </c>
      <c r="L3866" s="1" t="s">
        <v>18</v>
      </c>
      <c r="M3866" s="1" t="str">
        <f>"广东省 深圳市 龙华区 "</f>
        <v xml:space="preserve">广东省 深圳市 龙华区 </v>
      </c>
      <c r="N3866" s="1" t="str">
        <f t="shared" si="1246"/>
        <v>凡华云仓-城南圆通-微信视频号</v>
      </c>
      <c r="O3866" s="5" t="s">
        <v>3898</v>
      </c>
      <c r="P3866" s="6">
        <v>0.34</v>
      </c>
      <c r="Q3866" s="11">
        <v>2.2999999999999998</v>
      </c>
      <c r="R3866" s="11"/>
      <c r="S3866" s="11"/>
      <c r="T3866" s="11"/>
      <c r="U3866" s="11">
        <f t="shared" si="1240"/>
        <v>2.2999999999999998</v>
      </c>
      <c r="W3866">
        <v>2.5</v>
      </c>
      <c r="X3866" s="1" t="s">
        <v>18</v>
      </c>
    </row>
    <row r="3867" spans="1:24" x14ac:dyDescent="0.25">
      <c r="A3867" s="1" t="str">
        <f t="shared" si="1241"/>
        <v>卡卡杜-凤凰仓</v>
      </c>
      <c r="B3867" s="1" t="str">
        <f>"CK20241022259"</f>
        <v>CK20241022259</v>
      </c>
      <c r="C3867" s="1" t="str">
        <f>"DD2024102253813"</f>
        <v>DD2024102253813</v>
      </c>
      <c r="D3867" s="1" t="str">
        <f>"CK2024102251028"</f>
        <v>CK2024102251028</v>
      </c>
      <c r="E3867" s="1" t="str">
        <f>"3723479538552931584"</f>
        <v>3723479538552931584</v>
      </c>
      <c r="F3867" s="1" t="str">
        <f t="shared" si="1242"/>
        <v>花都四部-凤凰仓</v>
      </c>
      <c r="G3867" s="1" t="str">
        <f t="shared" si="1245"/>
        <v>卡卡杜企业店（视频号）</v>
      </c>
      <c r="H3867" s="1" t="str">
        <f t="shared" si="1243"/>
        <v>正常订单</v>
      </c>
      <c r="I3867" s="1" t="str">
        <f t="shared" si="1244"/>
        <v>已发货</v>
      </c>
      <c r="J3867" s="1" t="str">
        <f t="shared" ref="J3867:J3874" si="1247">"3"</f>
        <v>3</v>
      </c>
      <c r="K3867" s="1">
        <v>3</v>
      </c>
      <c r="L3867" s="1" t="s">
        <v>30</v>
      </c>
      <c r="M3867" s="1" t="str">
        <f>"山东省 聊城市 莘县 "</f>
        <v xml:space="preserve">山东省 聊城市 莘县 </v>
      </c>
      <c r="N3867" s="1" t="str">
        <f t="shared" si="1246"/>
        <v>凡华云仓-城南圆通-微信视频号</v>
      </c>
      <c r="O3867" s="5" t="s">
        <v>3899</v>
      </c>
      <c r="P3867" s="6">
        <v>0.34</v>
      </c>
      <c r="Q3867" s="11">
        <v>2.2999999999999998</v>
      </c>
      <c r="R3867" s="11"/>
      <c r="S3867" s="11"/>
      <c r="T3867" s="11"/>
      <c r="U3867" s="11">
        <f t="shared" si="1240"/>
        <v>2.2999999999999998</v>
      </c>
      <c r="W3867">
        <v>2.5</v>
      </c>
      <c r="X3867" s="1" t="s">
        <v>30</v>
      </c>
    </row>
    <row r="3868" spans="1:24" x14ac:dyDescent="0.25">
      <c r="A3868" s="1" t="str">
        <f t="shared" si="1241"/>
        <v>卡卡杜-凤凰仓</v>
      </c>
      <c r="B3868" s="1" t="str">
        <f>"CK20241022261"</f>
        <v>CK20241022261</v>
      </c>
      <c r="C3868" s="1" t="str">
        <f>"DD2024102253815"</f>
        <v>DD2024102253815</v>
      </c>
      <c r="D3868" s="1" t="str">
        <f>"CK2024102251027"</f>
        <v>CK2024102251027</v>
      </c>
      <c r="E3868" s="1" t="str">
        <f>"3723479538465903616"</f>
        <v>3723479538465903616</v>
      </c>
      <c r="F3868" s="1" t="str">
        <f t="shared" si="1242"/>
        <v>花都四部-凤凰仓</v>
      </c>
      <c r="G3868" s="1" t="str">
        <f t="shared" si="1245"/>
        <v>卡卡杜企业店（视频号）</v>
      </c>
      <c r="H3868" s="1" t="str">
        <f t="shared" si="1243"/>
        <v>正常订单</v>
      </c>
      <c r="I3868" s="1" t="str">
        <f t="shared" si="1244"/>
        <v>已发货</v>
      </c>
      <c r="J3868" s="1" t="str">
        <f t="shared" si="1247"/>
        <v>3</v>
      </c>
      <c r="K3868" s="1">
        <v>3</v>
      </c>
      <c r="L3868" s="1" t="s">
        <v>30</v>
      </c>
      <c r="M3868" s="1" t="str">
        <f>"山东省 德州市 乐陵市 "</f>
        <v xml:space="preserve">山东省 德州市 乐陵市 </v>
      </c>
      <c r="N3868" s="1" t="str">
        <f t="shared" si="1246"/>
        <v>凡华云仓-城南圆通-微信视频号</v>
      </c>
      <c r="O3868" s="5" t="s">
        <v>3900</v>
      </c>
      <c r="P3868" s="6">
        <v>0.34</v>
      </c>
      <c r="Q3868" s="11">
        <v>2.2999999999999998</v>
      </c>
      <c r="R3868" s="11"/>
      <c r="S3868" s="11"/>
      <c r="T3868" s="11"/>
      <c r="U3868" s="11">
        <f t="shared" si="1240"/>
        <v>2.2999999999999998</v>
      </c>
      <c r="W3868">
        <v>2.5</v>
      </c>
      <c r="X3868" s="1" t="s">
        <v>30</v>
      </c>
    </row>
    <row r="3869" spans="1:24" x14ac:dyDescent="0.25">
      <c r="A3869" s="1" t="str">
        <f t="shared" si="1241"/>
        <v>卡卡杜-凤凰仓</v>
      </c>
      <c r="B3869" s="1" t="str">
        <f>"CK20241022263"</f>
        <v>CK20241022263</v>
      </c>
      <c r="C3869" s="1" t="str">
        <f>"DD2024102253817"</f>
        <v>DD2024102253817</v>
      </c>
      <c r="D3869" s="1" t="str">
        <f>"CK2024102251026"</f>
        <v>CK2024102251026</v>
      </c>
      <c r="E3869" s="1" t="str">
        <f>"3723479538601952512"</f>
        <v>3723479538601952512</v>
      </c>
      <c r="F3869" s="1" t="str">
        <f t="shared" si="1242"/>
        <v>花都四部-凤凰仓</v>
      </c>
      <c r="G3869" s="1" t="str">
        <f t="shared" si="1245"/>
        <v>卡卡杜企业店（视频号）</v>
      </c>
      <c r="H3869" s="1" t="str">
        <f t="shared" si="1243"/>
        <v>正常订单</v>
      </c>
      <c r="I3869" s="1" t="str">
        <f t="shared" si="1244"/>
        <v>已发货</v>
      </c>
      <c r="J3869" s="1" t="str">
        <f t="shared" si="1247"/>
        <v>3</v>
      </c>
      <c r="K3869" s="1">
        <v>3</v>
      </c>
      <c r="L3869" s="1" t="s">
        <v>30</v>
      </c>
      <c r="M3869" s="1" t="str">
        <f>"山东省 济南市 槐荫区 "</f>
        <v xml:space="preserve">山东省 济南市 槐荫区 </v>
      </c>
      <c r="N3869" s="1" t="str">
        <f t="shared" si="1246"/>
        <v>凡华云仓-城南圆通-微信视频号</v>
      </c>
      <c r="O3869" s="5" t="s">
        <v>3901</v>
      </c>
      <c r="P3869" s="6">
        <v>0.34</v>
      </c>
      <c r="Q3869" s="11">
        <v>2.2999999999999998</v>
      </c>
      <c r="R3869" s="11"/>
      <c r="S3869" s="11"/>
      <c r="T3869" s="11"/>
      <c r="U3869" s="11">
        <f t="shared" si="1240"/>
        <v>2.2999999999999998</v>
      </c>
      <c r="W3869">
        <v>2.5</v>
      </c>
      <c r="X3869" s="1" t="s">
        <v>30</v>
      </c>
    </row>
    <row r="3870" spans="1:24" x14ac:dyDescent="0.25">
      <c r="A3870" s="1" t="str">
        <f t="shared" si="1241"/>
        <v>卡卡杜-凤凰仓</v>
      </c>
      <c r="B3870" s="1" t="str">
        <f>"CK20241022266"</f>
        <v>CK20241022266</v>
      </c>
      <c r="C3870" s="1" t="str">
        <f>"DD2024102253820"</f>
        <v>DD2024102253820</v>
      </c>
      <c r="D3870" s="1" t="str">
        <f>"CK2024102251025"</f>
        <v>CK2024102251025</v>
      </c>
      <c r="E3870" s="1" t="str">
        <f>"3723479538127737856"</f>
        <v>3723479538127737856</v>
      </c>
      <c r="F3870" s="1" t="str">
        <f t="shared" si="1242"/>
        <v>花都四部-凤凰仓</v>
      </c>
      <c r="G3870" s="1" t="str">
        <f t="shared" si="1245"/>
        <v>卡卡杜企业店（视频号）</v>
      </c>
      <c r="H3870" s="1" t="str">
        <f t="shared" si="1243"/>
        <v>正常订单</v>
      </c>
      <c r="I3870" s="1" t="str">
        <f t="shared" si="1244"/>
        <v>已发货</v>
      </c>
      <c r="J3870" s="1" t="str">
        <f t="shared" si="1247"/>
        <v>3</v>
      </c>
      <c r="K3870" s="1">
        <v>3</v>
      </c>
      <c r="L3870" s="1" t="s">
        <v>187</v>
      </c>
      <c r="M3870" s="1" t="str">
        <f>"吉林省 松原市 扶余市 "</f>
        <v xml:space="preserve">吉林省 松原市 扶余市 </v>
      </c>
      <c r="N3870" s="1" t="str">
        <f t="shared" si="1246"/>
        <v>凡华云仓-城南圆通-微信视频号</v>
      </c>
      <c r="O3870" s="5" t="s">
        <v>3902</v>
      </c>
      <c r="P3870" s="6">
        <v>0.34</v>
      </c>
      <c r="Q3870" s="11">
        <v>2.2999999999999998</v>
      </c>
      <c r="R3870" s="11"/>
      <c r="S3870" s="11"/>
      <c r="T3870" s="11"/>
      <c r="U3870" s="11">
        <f t="shared" si="1240"/>
        <v>2.2999999999999998</v>
      </c>
      <c r="W3870">
        <v>2.5</v>
      </c>
      <c r="X3870" s="1" t="s">
        <v>187</v>
      </c>
    </row>
    <row r="3871" spans="1:24" x14ac:dyDescent="0.25">
      <c r="A3871" s="1" t="str">
        <f t="shared" si="1241"/>
        <v>卡卡杜-凤凰仓</v>
      </c>
      <c r="B3871" s="1" t="str">
        <f>"CK20241022281"</f>
        <v>CK20241022281</v>
      </c>
      <c r="C3871" s="1" t="str">
        <f>"DD2024102253835"</f>
        <v>DD2024102253835</v>
      </c>
      <c r="D3871" s="1" t="str">
        <f>"CK2024102251024"</f>
        <v>CK2024102251024</v>
      </c>
      <c r="E3871" s="1" t="str">
        <f>"3723479537311155712"</f>
        <v>3723479537311155712</v>
      </c>
      <c r="F3871" s="1" t="str">
        <f t="shared" si="1242"/>
        <v>花都四部-凤凰仓</v>
      </c>
      <c r="G3871" s="1" t="str">
        <f t="shared" si="1245"/>
        <v>卡卡杜企业店（视频号）</v>
      </c>
      <c r="H3871" s="1" t="str">
        <f t="shared" si="1243"/>
        <v>正常订单</v>
      </c>
      <c r="I3871" s="1" t="str">
        <f t="shared" si="1244"/>
        <v>已发货</v>
      </c>
      <c r="J3871" s="1" t="str">
        <f t="shared" si="1247"/>
        <v>3</v>
      </c>
      <c r="K3871" s="1">
        <v>3</v>
      </c>
      <c r="L3871" s="1" t="s">
        <v>13</v>
      </c>
      <c r="M3871" s="1" t="str">
        <f>"江苏省 徐州市 新沂市 "</f>
        <v xml:space="preserve">江苏省 徐州市 新沂市 </v>
      </c>
      <c r="N3871" s="1" t="str">
        <f t="shared" si="1246"/>
        <v>凡华云仓-城南圆通-微信视频号</v>
      </c>
      <c r="O3871" s="5" t="s">
        <v>3903</v>
      </c>
      <c r="P3871" s="6">
        <v>0.34</v>
      </c>
      <c r="Q3871" s="11">
        <v>2.2999999999999998</v>
      </c>
      <c r="R3871" s="11"/>
      <c r="S3871" s="11"/>
      <c r="T3871" s="11"/>
      <c r="U3871" s="11">
        <f t="shared" si="1240"/>
        <v>2.2999999999999998</v>
      </c>
      <c r="W3871">
        <v>2.5</v>
      </c>
      <c r="X3871" s="1" t="s">
        <v>13</v>
      </c>
    </row>
    <row r="3872" spans="1:24" x14ac:dyDescent="0.25">
      <c r="A3872" s="1" t="str">
        <f t="shared" si="1241"/>
        <v>卡卡杜-凤凰仓</v>
      </c>
      <c r="B3872" s="1" t="str">
        <f>"CK20241022256"</f>
        <v>CK20241022256</v>
      </c>
      <c r="C3872" s="1" t="str">
        <f>"DD2024102253809"</f>
        <v>DD2024102253809</v>
      </c>
      <c r="D3872" s="1" t="str">
        <f>"CK2024102251023"</f>
        <v>CK2024102251023</v>
      </c>
      <c r="E3872" s="1" t="str">
        <f>"3723479538562895872"</f>
        <v>3723479538562895872</v>
      </c>
      <c r="F3872" s="1" t="str">
        <f t="shared" si="1242"/>
        <v>花都四部-凤凰仓</v>
      </c>
      <c r="G3872" s="1" t="str">
        <f t="shared" si="1245"/>
        <v>卡卡杜企业店（视频号）</v>
      </c>
      <c r="H3872" s="1" t="str">
        <f t="shared" si="1243"/>
        <v>正常订单</v>
      </c>
      <c r="I3872" s="1" t="str">
        <f t="shared" si="1244"/>
        <v>已发货</v>
      </c>
      <c r="J3872" s="1" t="str">
        <f t="shared" si="1247"/>
        <v>3</v>
      </c>
      <c r="K3872" s="1">
        <v>3</v>
      </c>
      <c r="L3872" s="1" t="s">
        <v>20</v>
      </c>
      <c r="M3872" s="1" t="str">
        <f>"浙江省 杭州市 江干区 "</f>
        <v xml:space="preserve">浙江省 杭州市 江干区 </v>
      </c>
      <c r="N3872" s="1" t="str">
        <f t="shared" si="1246"/>
        <v>凡华云仓-城南圆通-微信视频号</v>
      </c>
      <c r="O3872" s="5" t="s">
        <v>3904</v>
      </c>
      <c r="P3872" s="6">
        <v>0.34</v>
      </c>
      <c r="Q3872" s="11">
        <v>2.2999999999999998</v>
      </c>
      <c r="R3872" s="11"/>
      <c r="S3872" s="11"/>
      <c r="T3872" s="11"/>
      <c r="U3872" s="11">
        <f t="shared" si="1240"/>
        <v>2.2999999999999998</v>
      </c>
      <c r="W3872">
        <v>2.5</v>
      </c>
      <c r="X3872" s="1" t="s">
        <v>20</v>
      </c>
    </row>
    <row r="3873" spans="1:24" x14ac:dyDescent="0.25">
      <c r="A3873" s="1" t="str">
        <f t="shared" si="1241"/>
        <v>卡卡杜-凤凰仓</v>
      </c>
      <c r="B3873" s="1" t="str">
        <f>"CK20241022260"</f>
        <v>CK20241022260</v>
      </c>
      <c r="C3873" s="1" t="str">
        <f>"DD2024102253816"</f>
        <v>DD2024102253816</v>
      </c>
      <c r="D3873" s="1" t="str">
        <f>"CK2024102251022"</f>
        <v>CK2024102251022</v>
      </c>
      <c r="E3873" s="1" t="str">
        <f>"3723479538301801472"</f>
        <v>3723479538301801472</v>
      </c>
      <c r="F3873" s="1" t="str">
        <f t="shared" si="1242"/>
        <v>花都四部-凤凰仓</v>
      </c>
      <c r="G3873" s="1" t="str">
        <f t="shared" si="1245"/>
        <v>卡卡杜企业店（视频号）</v>
      </c>
      <c r="H3873" s="1" t="str">
        <f t="shared" si="1243"/>
        <v>正常订单</v>
      </c>
      <c r="I3873" s="1" t="str">
        <f t="shared" si="1244"/>
        <v>已发货</v>
      </c>
      <c r="J3873" s="1" t="str">
        <f t="shared" si="1247"/>
        <v>3</v>
      </c>
      <c r="K3873" s="1">
        <v>3</v>
      </c>
      <c r="L3873" s="1" t="s">
        <v>41</v>
      </c>
      <c r="M3873" s="1" t="str">
        <f>"湖北省 黄冈市 浠水县 "</f>
        <v xml:space="preserve">湖北省 黄冈市 浠水县 </v>
      </c>
      <c r="N3873" s="1" t="str">
        <f t="shared" si="1246"/>
        <v>凡华云仓-城南圆通-微信视频号</v>
      </c>
      <c r="O3873" s="5" t="s">
        <v>3905</v>
      </c>
      <c r="P3873" s="6">
        <v>0.34</v>
      </c>
      <c r="Q3873" s="11">
        <v>2.2999999999999998</v>
      </c>
      <c r="R3873" s="11"/>
      <c r="S3873" s="11"/>
      <c r="T3873" s="11"/>
      <c r="U3873" s="11">
        <f t="shared" si="1240"/>
        <v>2.2999999999999998</v>
      </c>
      <c r="W3873">
        <v>2.5</v>
      </c>
      <c r="X3873" s="1" t="s">
        <v>41</v>
      </c>
    </row>
    <row r="3874" spans="1:24" x14ac:dyDescent="0.25">
      <c r="A3874" s="1" t="str">
        <f t="shared" si="1241"/>
        <v>卡卡杜-凤凰仓</v>
      </c>
      <c r="B3874" s="1" t="str">
        <f>"CK20241022268"</f>
        <v>CK20241022268</v>
      </c>
      <c r="C3874" s="1" t="str">
        <f>"DD2024102253823"</f>
        <v>DD2024102253823</v>
      </c>
      <c r="D3874" s="1" t="str">
        <f>"CK2024102251021"</f>
        <v>CK2024102251021</v>
      </c>
      <c r="E3874" s="1" t="str">
        <f>"3723479537966256128"</f>
        <v>3723479537966256128</v>
      </c>
      <c r="F3874" s="1" t="str">
        <f t="shared" si="1242"/>
        <v>花都四部-凤凰仓</v>
      </c>
      <c r="G3874" s="1" t="str">
        <f t="shared" si="1245"/>
        <v>卡卡杜企业店（视频号）</v>
      </c>
      <c r="H3874" s="1" t="str">
        <f t="shared" si="1243"/>
        <v>正常订单</v>
      </c>
      <c r="I3874" s="1" t="str">
        <f t="shared" si="1244"/>
        <v>已发货</v>
      </c>
      <c r="J3874" s="1" t="str">
        <f t="shared" si="1247"/>
        <v>3</v>
      </c>
      <c r="K3874" s="1">
        <v>3</v>
      </c>
      <c r="L3874" s="1" t="s">
        <v>13</v>
      </c>
      <c r="M3874" s="1" t="str">
        <f>"江苏省 连云港市 东海县 "</f>
        <v xml:space="preserve">江苏省 连云港市 东海县 </v>
      </c>
      <c r="N3874" s="1" t="str">
        <f t="shared" si="1246"/>
        <v>凡华云仓-城南圆通-微信视频号</v>
      </c>
      <c r="O3874" s="5" t="s">
        <v>3906</v>
      </c>
      <c r="P3874" s="6">
        <v>0.34</v>
      </c>
      <c r="Q3874" s="11">
        <v>2.2999999999999998</v>
      </c>
      <c r="R3874" s="11"/>
      <c r="S3874" s="11"/>
      <c r="T3874" s="11"/>
      <c r="U3874" s="11">
        <f t="shared" si="1240"/>
        <v>2.2999999999999998</v>
      </c>
      <c r="W3874">
        <v>2.5</v>
      </c>
      <c r="X3874" s="1" t="s">
        <v>13</v>
      </c>
    </row>
    <row r="3875" spans="1:24" x14ac:dyDescent="0.25">
      <c r="A3875" s="1" t="str">
        <f t="shared" si="1241"/>
        <v>卡卡杜-凤凰仓</v>
      </c>
      <c r="B3875" s="1" t="str">
        <f>"CK2024102217"</f>
        <v>CK2024102217</v>
      </c>
      <c r="C3875" s="1" t="str">
        <f>"DD2024102253569"</f>
        <v>DD2024102253569</v>
      </c>
      <c r="D3875" s="1" t="str">
        <f>"CK2024102251020"</f>
        <v>CK2024102251020</v>
      </c>
      <c r="E3875" s="1" t="str">
        <f>"3723479538522522880"</f>
        <v>3723479538522522880</v>
      </c>
      <c r="F3875" s="1" t="str">
        <f t="shared" si="1242"/>
        <v>花都四部-凤凰仓</v>
      </c>
      <c r="G3875" s="1" t="str">
        <f t="shared" si="1245"/>
        <v>卡卡杜企业店（视频号）</v>
      </c>
      <c r="H3875" s="1" t="str">
        <f t="shared" si="1243"/>
        <v>正常订单</v>
      </c>
      <c r="I3875" s="1" t="str">
        <f t="shared" si="1244"/>
        <v>已发货</v>
      </c>
      <c r="J3875" s="1" t="str">
        <f>"5"</f>
        <v>5</v>
      </c>
      <c r="K3875" s="1">
        <v>3</v>
      </c>
      <c r="L3875" s="1" t="s">
        <v>13</v>
      </c>
      <c r="M3875" s="1" t="str">
        <f>"江苏省 常州市 溧阳市 "</f>
        <v xml:space="preserve">江苏省 常州市 溧阳市 </v>
      </c>
      <c r="N3875" s="1" t="str">
        <f t="shared" si="1246"/>
        <v>凡华云仓-城南圆通-微信视频号</v>
      </c>
      <c r="O3875" s="5" t="s">
        <v>3907</v>
      </c>
      <c r="P3875" s="6">
        <v>0.56000000000000005</v>
      </c>
      <c r="Q3875" s="11">
        <f>CEILING(P3875-0.5,0.1)*10*0.15+2.3</f>
        <v>2.4499999999999997</v>
      </c>
      <c r="R3875" s="11"/>
      <c r="S3875" s="11"/>
      <c r="T3875" s="11"/>
      <c r="U3875" s="11">
        <f t="shared" si="1240"/>
        <v>2.4499999999999997</v>
      </c>
      <c r="V3875" t="s">
        <v>15</v>
      </c>
      <c r="W3875">
        <v>2.4500000000000002</v>
      </c>
      <c r="X3875" s="1" t="s">
        <v>13</v>
      </c>
    </row>
    <row r="3876" spans="1:24" x14ac:dyDescent="0.25">
      <c r="A3876" s="1" t="str">
        <f t="shared" si="1241"/>
        <v>卡卡杜-凤凰仓</v>
      </c>
      <c r="B3876" s="1" t="str">
        <f>"CK20241022267"</f>
        <v>CK20241022267</v>
      </c>
      <c r="C3876" s="1" t="str">
        <f>"DD2024102253821"</f>
        <v>DD2024102253821</v>
      </c>
      <c r="D3876" s="1" t="str">
        <f>"CK2024102251019"</f>
        <v>CK2024102251019</v>
      </c>
      <c r="E3876" s="1" t="str">
        <f>"3723479538271915008"</f>
        <v>3723479538271915008</v>
      </c>
      <c r="F3876" s="1" t="str">
        <f t="shared" si="1242"/>
        <v>花都四部-凤凰仓</v>
      </c>
      <c r="G3876" s="1" t="str">
        <f t="shared" si="1245"/>
        <v>卡卡杜企业店（视频号）</v>
      </c>
      <c r="H3876" s="1" t="str">
        <f t="shared" si="1243"/>
        <v>正常订单</v>
      </c>
      <c r="I3876" s="1" t="str">
        <f t="shared" si="1244"/>
        <v>已发货</v>
      </c>
      <c r="J3876" s="1" t="str">
        <f t="shared" ref="J3876:J3887" si="1248">"3"</f>
        <v>3</v>
      </c>
      <c r="K3876" s="1">
        <v>3</v>
      </c>
      <c r="L3876" s="1" t="s">
        <v>41</v>
      </c>
      <c r="M3876" s="1" t="str">
        <f>"湖北省 宜昌市 当阳市 "</f>
        <v xml:space="preserve">湖北省 宜昌市 当阳市 </v>
      </c>
      <c r="N3876" s="1" t="str">
        <f t="shared" si="1246"/>
        <v>凡华云仓-城南圆通-微信视频号</v>
      </c>
      <c r="O3876" s="5" t="s">
        <v>3908</v>
      </c>
      <c r="P3876" s="6">
        <v>0.34</v>
      </c>
      <c r="Q3876" s="11">
        <v>2.2999999999999998</v>
      </c>
      <c r="R3876" s="11"/>
      <c r="S3876" s="11"/>
      <c r="T3876" s="11"/>
      <c r="U3876" s="11">
        <f t="shared" si="1240"/>
        <v>2.2999999999999998</v>
      </c>
      <c r="W3876">
        <v>2.5</v>
      </c>
      <c r="X3876" s="1" t="s">
        <v>41</v>
      </c>
    </row>
    <row r="3877" spans="1:24" x14ac:dyDescent="0.25">
      <c r="A3877" s="1" t="str">
        <f t="shared" si="1241"/>
        <v>卡卡杜-凤凰仓</v>
      </c>
      <c r="B3877" s="1" t="str">
        <f>"CK20241022264"</f>
        <v>CK20241022264</v>
      </c>
      <c r="C3877" s="1" t="str">
        <f>"DD2024102253819"</f>
        <v>DD2024102253819</v>
      </c>
      <c r="D3877" s="1" t="str">
        <f>"CK2024102251018"</f>
        <v>CK2024102251018</v>
      </c>
      <c r="E3877" s="1" t="str">
        <f>"3723479538398793728"</f>
        <v>3723479538398793728</v>
      </c>
      <c r="F3877" s="1" t="str">
        <f t="shared" si="1242"/>
        <v>花都四部-凤凰仓</v>
      </c>
      <c r="G3877" s="1" t="str">
        <f t="shared" si="1245"/>
        <v>卡卡杜企业店（视频号）</v>
      </c>
      <c r="H3877" s="1" t="str">
        <f t="shared" si="1243"/>
        <v>正常订单</v>
      </c>
      <c r="I3877" s="1" t="str">
        <f t="shared" si="1244"/>
        <v>已发货</v>
      </c>
      <c r="J3877" s="1" t="str">
        <f t="shared" si="1248"/>
        <v>3</v>
      </c>
      <c r="K3877" s="1">
        <v>3</v>
      </c>
      <c r="L3877" s="1" t="s">
        <v>20</v>
      </c>
      <c r="M3877" s="1" t="str">
        <f>"浙江省 杭州市 西湖区 "</f>
        <v xml:space="preserve">浙江省 杭州市 西湖区 </v>
      </c>
      <c r="N3877" s="1" t="str">
        <f t="shared" si="1246"/>
        <v>凡华云仓-城南圆通-微信视频号</v>
      </c>
      <c r="O3877" s="5" t="s">
        <v>3909</v>
      </c>
      <c r="P3877" s="6">
        <v>0.34</v>
      </c>
      <c r="Q3877" s="11">
        <v>2.2999999999999998</v>
      </c>
      <c r="R3877" s="11"/>
      <c r="S3877" s="11"/>
      <c r="T3877" s="11"/>
      <c r="U3877" s="11">
        <f t="shared" si="1240"/>
        <v>2.2999999999999998</v>
      </c>
      <c r="W3877">
        <v>2.5</v>
      </c>
      <c r="X3877" s="1" t="s">
        <v>20</v>
      </c>
    </row>
    <row r="3878" spans="1:24" x14ac:dyDescent="0.25">
      <c r="A3878" s="1" t="str">
        <f t="shared" si="1241"/>
        <v>卡卡杜-凤凰仓</v>
      </c>
      <c r="B3878" s="1" t="str">
        <f>"CK20241022271"</f>
        <v>CK20241022271</v>
      </c>
      <c r="C3878" s="1" t="str">
        <f>"DD2024102253825"</f>
        <v>DD2024102253825</v>
      </c>
      <c r="D3878" s="1" t="str">
        <f>"CK2024102251017"</f>
        <v>CK2024102251017</v>
      </c>
      <c r="E3878" s="1" t="str">
        <f>"3723479537597679104"</f>
        <v>3723479537597679104</v>
      </c>
      <c r="F3878" s="1" t="str">
        <f t="shared" si="1242"/>
        <v>花都四部-凤凰仓</v>
      </c>
      <c r="G3878" s="1" t="str">
        <f t="shared" si="1245"/>
        <v>卡卡杜企业店（视频号）</v>
      </c>
      <c r="H3878" s="1" t="str">
        <f t="shared" si="1243"/>
        <v>正常订单</v>
      </c>
      <c r="I3878" s="1" t="str">
        <f t="shared" si="1244"/>
        <v>已发货</v>
      </c>
      <c r="J3878" s="1" t="str">
        <f t="shared" si="1248"/>
        <v>3</v>
      </c>
      <c r="K3878" s="1">
        <v>3</v>
      </c>
      <c r="L3878" s="1" t="s">
        <v>80</v>
      </c>
      <c r="M3878" s="1" t="str">
        <f>"河南省 安阳市 文峰区 "</f>
        <v xml:space="preserve">河南省 安阳市 文峰区 </v>
      </c>
      <c r="N3878" s="1" t="str">
        <f t="shared" si="1246"/>
        <v>凡华云仓-城南圆通-微信视频号</v>
      </c>
      <c r="O3878" s="5" t="s">
        <v>3910</v>
      </c>
      <c r="P3878" s="6">
        <v>0.34</v>
      </c>
      <c r="Q3878" s="11">
        <v>2.2999999999999998</v>
      </c>
      <c r="R3878" s="11"/>
      <c r="S3878" s="11"/>
      <c r="T3878" s="11"/>
      <c r="U3878" s="11">
        <f t="shared" si="1240"/>
        <v>2.2999999999999998</v>
      </c>
      <c r="W3878">
        <v>2.5</v>
      </c>
      <c r="X3878" s="1" t="s">
        <v>80</v>
      </c>
    </row>
    <row r="3879" spans="1:24" x14ac:dyDescent="0.25">
      <c r="A3879" s="1" t="str">
        <f t="shared" si="1241"/>
        <v>卡卡杜-凤凰仓</v>
      </c>
      <c r="B3879" s="1" t="str">
        <f>"CK20241022274"</f>
        <v>CK20241022274</v>
      </c>
      <c r="C3879" s="1" t="str">
        <f>"DD2024102253828"</f>
        <v>DD2024102253828</v>
      </c>
      <c r="D3879" s="1" t="str">
        <f>"CK2024102251016"</f>
        <v>CK2024102251016</v>
      </c>
      <c r="E3879" s="1" t="str">
        <f>"3723479537625204224"</f>
        <v>3723479537625204224</v>
      </c>
      <c r="F3879" s="1" t="str">
        <f t="shared" si="1242"/>
        <v>花都四部-凤凰仓</v>
      </c>
      <c r="G3879" s="1" t="str">
        <f t="shared" si="1245"/>
        <v>卡卡杜企业店（视频号）</v>
      </c>
      <c r="H3879" s="1" t="str">
        <f t="shared" si="1243"/>
        <v>正常订单</v>
      </c>
      <c r="I3879" s="1" t="str">
        <f t="shared" si="1244"/>
        <v>已发货</v>
      </c>
      <c r="J3879" s="1" t="str">
        <f t="shared" si="1248"/>
        <v>3</v>
      </c>
      <c r="K3879" s="1">
        <v>3</v>
      </c>
      <c r="L3879" s="1" t="s">
        <v>80</v>
      </c>
      <c r="M3879" s="1" t="str">
        <f>"河南省 郑州市 中牟县 "</f>
        <v xml:space="preserve">河南省 郑州市 中牟县 </v>
      </c>
      <c r="N3879" s="1" t="str">
        <f t="shared" si="1246"/>
        <v>凡华云仓-城南圆通-微信视频号</v>
      </c>
      <c r="O3879" s="5" t="s">
        <v>3911</v>
      </c>
      <c r="P3879" s="6">
        <v>0.34</v>
      </c>
      <c r="Q3879" s="11">
        <v>2.2999999999999998</v>
      </c>
      <c r="R3879" s="11"/>
      <c r="S3879" s="11"/>
      <c r="T3879" s="11"/>
      <c r="U3879" s="11">
        <f t="shared" si="1240"/>
        <v>2.2999999999999998</v>
      </c>
      <c r="W3879">
        <v>2.5</v>
      </c>
      <c r="X3879" s="1" t="s">
        <v>80</v>
      </c>
    </row>
    <row r="3880" spans="1:24" x14ac:dyDescent="0.25">
      <c r="A3880" s="1" t="str">
        <f t="shared" si="1241"/>
        <v>卡卡杜-凤凰仓</v>
      </c>
      <c r="B3880" s="1" t="str">
        <f>"CK20241022277"</f>
        <v>CK20241022277</v>
      </c>
      <c r="C3880" s="1" t="str">
        <f>"DD2024102253831"</f>
        <v>DD2024102253831</v>
      </c>
      <c r="D3880" s="1" t="str">
        <f>"CK2024102251015"</f>
        <v>CK2024102251015</v>
      </c>
      <c r="E3880" s="1" t="str">
        <f>"3723479537504883712"</f>
        <v>3723479537504883712</v>
      </c>
      <c r="F3880" s="1" t="str">
        <f t="shared" si="1242"/>
        <v>花都四部-凤凰仓</v>
      </c>
      <c r="G3880" s="1" t="str">
        <f t="shared" si="1245"/>
        <v>卡卡杜企业店（视频号）</v>
      </c>
      <c r="H3880" s="1" t="str">
        <f t="shared" si="1243"/>
        <v>正常订单</v>
      </c>
      <c r="I3880" s="1" t="str">
        <f t="shared" si="1244"/>
        <v>已发货</v>
      </c>
      <c r="J3880" s="1" t="str">
        <f t="shared" si="1248"/>
        <v>3</v>
      </c>
      <c r="K3880" s="1">
        <v>3</v>
      </c>
      <c r="L3880" s="1" t="s">
        <v>16</v>
      </c>
      <c r="M3880" s="1" t="str">
        <f>"河北省 廊坊市 三河市 "</f>
        <v xml:space="preserve">河北省 廊坊市 三河市 </v>
      </c>
      <c r="N3880" s="1" t="str">
        <f t="shared" si="1246"/>
        <v>凡华云仓-城南圆通-微信视频号</v>
      </c>
      <c r="O3880" s="5" t="s">
        <v>3912</v>
      </c>
      <c r="P3880" s="6">
        <v>0.34</v>
      </c>
      <c r="Q3880" s="11">
        <v>2.2999999999999998</v>
      </c>
      <c r="R3880" s="11"/>
      <c r="S3880" s="11"/>
      <c r="T3880" s="11"/>
      <c r="U3880" s="11">
        <f t="shared" si="1240"/>
        <v>2.2999999999999998</v>
      </c>
      <c r="W3880">
        <v>2.5</v>
      </c>
      <c r="X3880" s="1" t="s">
        <v>16</v>
      </c>
    </row>
    <row r="3881" spans="1:24" x14ac:dyDescent="0.25">
      <c r="A3881" s="1" t="str">
        <f t="shared" si="1241"/>
        <v>卡卡杜-凤凰仓</v>
      </c>
      <c r="B3881" s="1" t="str">
        <f>"CK20241022270"</f>
        <v>CK20241022270</v>
      </c>
      <c r="C3881" s="1" t="str">
        <f>"DD2024102253824"</f>
        <v>DD2024102253824</v>
      </c>
      <c r="D3881" s="1" t="str">
        <f>"CK2024102251014"</f>
        <v>CK2024102251014</v>
      </c>
      <c r="E3881" s="1" t="str">
        <f>"3723479538144250880"</f>
        <v>3723479538144250880</v>
      </c>
      <c r="F3881" s="1" t="str">
        <f t="shared" si="1242"/>
        <v>花都四部-凤凰仓</v>
      </c>
      <c r="G3881" s="1" t="str">
        <f t="shared" si="1245"/>
        <v>卡卡杜企业店（视频号）</v>
      </c>
      <c r="H3881" s="1" t="str">
        <f t="shared" si="1243"/>
        <v>正常订单</v>
      </c>
      <c r="I3881" s="1" t="str">
        <f t="shared" si="1244"/>
        <v>已发货</v>
      </c>
      <c r="J3881" s="1" t="str">
        <f t="shared" si="1248"/>
        <v>3</v>
      </c>
      <c r="K3881" s="1">
        <v>3</v>
      </c>
      <c r="L3881" s="1" t="s">
        <v>105</v>
      </c>
      <c r="M3881" s="1" t="str">
        <f>"北京 北京市 海淀区 "</f>
        <v xml:space="preserve">北京 北京市 海淀区 </v>
      </c>
      <c r="N3881" s="1" t="str">
        <f t="shared" si="1246"/>
        <v>凡华云仓-城南圆通-微信视频号</v>
      </c>
      <c r="O3881" s="5" t="s">
        <v>3913</v>
      </c>
      <c r="P3881" s="6">
        <v>0.34</v>
      </c>
      <c r="Q3881" s="11">
        <v>2.2999999999999998</v>
      </c>
      <c r="R3881" s="11"/>
      <c r="S3881" s="11"/>
      <c r="T3881" s="11"/>
      <c r="U3881" s="11">
        <f t="shared" si="1240"/>
        <v>2.2999999999999998</v>
      </c>
      <c r="W3881">
        <v>2.5</v>
      </c>
      <c r="X3881" s="1" t="s">
        <v>105</v>
      </c>
    </row>
    <row r="3882" spans="1:24" x14ac:dyDescent="0.25">
      <c r="A3882" s="1" t="str">
        <f t="shared" si="1241"/>
        <v>卡卡杜-凤凰仓</v>
      </c>
      <c r="B3882" s="1" t="str">
        <f>"CK20241022272"</f>
        <v>CK20241022272</v>
      </c>
      <c r="C3882" s="1" t="str">
        <f>"DD2024102253826"</f>
        <v>DD2024102253826</v>
      </c>
      <c r="D3882" s="1" t="str">
        <f>"CK2024102251013"</f>
        <v>CK2024102251013</v>
      </c>
      <c r="E3882" s="1" t="str">
        <f>"3723479537867949312"</f>
        <v>3723479537867949312</v>
      </c>
      <c r="F3882" s="1" t="str">
        <f t="shared" si="1242"/>
        <v>花都四部-凤凰仓</v>
      </c>
      <c r="G3882" s="1" t="str">
        <f t="shared" si="1245"/>
        <v>卡卡杜企业店（视频号）</v>
      </c>
      <c r="H3882" s="1" t="str">
        <f t="shared" si="1243"/>
        <v>正常订单</v>
      </c>
      <c r="I3882" s="1" t="str">
        <f t="shared" si="1244"/>
        <v>已发货</v>
      </c>
      <c r="J3882" s="1" t="str">
        <f t="shared" si="1248"/>
        <v>3</v>
      </c>
      <c r="K3882" s="1">
        <v>3</v>
      </c>
      <c r="L3882" s="1" t="s">
        <v>30</v>
      </c>
      <c r="M3882" s="1" t="str">
        <f>"山东省 烟台市 莱州市 "</f>
        <v xml:space="preserve">山东省 烟台市 莱州市 </v>
      </c>
      <c r="N3882" s="1" t="str">
        <f t="shared" si="1246"/>
        <v>凡华云仓-城南圆通-微信视频号</v>
      </c>
      <c r="O3882" s="5" t="s">
        <v>3914</v>
      </c>
      <c r="P3882" s="6">
        <v>0.34</v>
      </c>
      <c r="Q3882" s="11">
        <v>2.2999999999999998</v>
      </c>
      <c r="R3882" s="11"/>
      <c r="S3882" s="11"/>
      <c r="T3882" s="11"/>
      <c r="U3882" s="11">
        <f t="shared" si="1240"/>
        <v>2.2999999999999998</v>
      </c>
      <c r="W3882">
        <v>2.5</v>
      </c>
      <c r="X3882" s="1" t="s">
        <v>30</v>
      </c>
    </row>
    <row r="3883" spans="1:24" x14ac:dyDescent="0.25">
      <c r="A3883" s="1" t="str">
        <f t="shared" si="1241"/>
        <v>卡卡杜-凤凰仓</v>
      </c>
      <c r="B3883" s="1" t="str">
        <f>"CK20241022275"</f>
        <v>CK20241022275</v>
      </c>
      <c r="C3883" s="1" t="str">
        <f>"DD2024102253829"</f>
        <v>DD2024102253829</v>
      </c>
      <c r="D3883" s="1" t="str">
        <f>"CK2024102251012"</f>
        <v>CK2024102251012</v>
      </c>
      <c r="E3883" s="1" t="str">
        <f>"3723479537527952384"</f>
        <v>3723479537527952384</v>
      </c>
      <c r="F3883" s="1" t="str">
        <f t="shared" si="1242"/>
        <v>花都四部-凤凰仓</v>
      </c>
      <c r="G3883" s="1" t="str">
        <f t="shared" si="1245"/>
        <v>卡卡杜企业店（视频号）</v>
      </c>
      <c r="H3883" s="1" t="str">
        <f t="shared" si="1243"/>
        <v>正常订单</v>
      </c>
      <c r="I3883" s="1" t="str">
        <f t="shared" si="1244"/>
        <v>已发货</v>
      </c>
      <c r="J3883" s="1" t="str">
        <f t="shared" si="1248"/>
        <v>3</v>
      </c>
      <c r="K3883" s="1">
        <v>3</v>
      </c>
      <c r="L3883" s="1" t="s">
        <v>30</v>
      </c>
      <c r="M3883" s="1" t="str">
        <f>"山东省 德州市 德城区 "</f>
        <v xml:space="preserve">山东省 德州市 德城区 </v>
      </c>
      <c r="N3883" s="1" t="str">
        <f t="shared" si="1246"/>
        <v>凡华云仓-城南圆通-微信视频号</v>
      </c>
      <c r="O3883" s="5" t="s">
        <v>3915</v>
      </c>
      <c r="P3883" s="6">
        <v>0.34</v>
      </c>
      <c r="Q3883" s="11">
        <v>2.2999999999999998</v>
      </c>
      <c r="R3883" s="11"/>
      <c r="S3883" s="11"/>
      <c r="T3883" s="11"/>
      <c r="U3883" s="11">
        <f t="shared" si="1240"/>
        <v>2.2999999999999998</v>
      </c>
      <c r="W3883">
        <v>2.5</v>
      </c>
      <c r="X3883" s="1" t="s">
        <v>30</v>
      </c>
    </row>
    <row r="3884" spans="1:24" x14ac:dyDescent="0.25">
      <c r="A3884" s="1" t="str">
        <f t="shared" si="1241"/>
        <v>卡卡杜-凤凰仓</v>
      </c>
      <c r="B3884" s="1" t="str">
        <f>"CK20241022276"</f>
        <v>CK20241022276</v>
      </c>
      <c r="C3884" s="1" t="str">
        <f>"DD2024102253830"</f>
        <v>DD2024102253830</v>
      </c>
      <c r="D3884" s="1" t="str">
        <f>"CK2024102251011"</f>
        <v>CK2024102251011</v>
      </c>
      <c r="E3884" s="1" t="str">
        <f>"3723479537527686656"</f>
        <v>3723479537527686656</v>
      </c>
      <c r="F3884" s="1" t="str">
        <f t="shared" si="1242"/>
        <v>花都四部-凤凰仓</v>
      </c>
      <c r="G3884" s="1" t="str">
        <f t="shared" si="1245"/>
        <v>卡卡杜企业店（视频号）</v>
      </c>
      <c r="H3884" s="1" t="str">
        <f t="shared" si="1243"/>
        <v>正常订单</v>
      </c>
      <c r="I3884" s="1" t="str">
        <f t="shared" si="1244"/>
        <v>已发货</v>
      </c>
      <c r="J3884" s="1" t="str">
        <f t="shared" si="1248"/>
        <v>3</v>
      </c>
      <c r="K3884" s="1">
        <v>3</v>
      </c>
      <c r="L3884" s="1" t="s">
        <v>32</v>
      </c>
      <c r="M3884" s="1" t="str">
        <f>"陕西省 渭南市 临渭区 "</f>
        <v xml:space="preserve">陕西省 渭南市 临渭区 </v>
      </c>
      <c r="N3884" s="1" t="str">
        <f t="shared" si="1246"/>
        <v>凡华云仓-城南圆通-微信视频号</v>
      </c>
      <c r="O3884" s="5" t="s">
        <v>3916</v>
      </c>
      <c r="P3884" s="6">
        <v>0.34</v>
      </c>
      <c r="Q3884" s="11">
        <v>2.2999999999999998</v>
      </c>
      <c r="R3884" s="11"/>
      <c r="S3884" s="11"/>
      <c r="T3884" s="11"/>
      <c r="U3884" s="11">
        <f t="shared" si="1240"/>
        <v>2.2999999999999998</v>
      </c>
      <c r="W3884">
        <v>2.5</v>
      </c>
      <c r="X3884" s="1" t="s">
        <v>32</v>
      </c>
    </row>
    <row r="3885" spans="1:24" x14ac:dyDescent="0.25">
      <c r="A3885" s="1" t="str">
        <f t="shared" si="1241"/>
        <v>卡卡杜-凤凰仓</v>
      </c>
      <c r="B3885" s="1" t="str">
        <f>"CK20241022279"</f>
        <v>CK20241022279</v>
      </c>
      <c r="C3885" s="1" t="str">
        <f>"DD2024102253833"</f>
        <v>DD2024102253833</v>
      </c>
      <c r="D3885" s="1" t="str">
        <f>"CK2024102251010"</f>
        <v>CK2024102251010</v>
      </c>
      <c r="E3885" s="1" t="str">
        <f>"3723479537591387392"</f>
        <v>3723479537591387392</v>
      </c>
      <c r="F3885" s="1" t="str">
        <f t="shared" si="1242"/>
        <v>花都四部-凤凰仓</v>
      </c>
      <c r="G3885" s="1" t="str">
        <f t="shared" si="1245"/>
        <v>卡卡杜企业店（视频号）</v>
      </c>
      <c r="H3885" s="1" t="str">
        <f t="shared" si="1243"/>
        <v>正常订单</v>
      </c>
      <c r="I3885" s="1" t="str">
        <f t="shared" si="1244"/>
        <v>已发货</v>
      </c>
      <c r="J3885" s="1" t="str">
        <f t="shared" si="1248"/>
        <v>3</v>
      </c>
      <c r="K3885" s="1">
        <v>3</v>
      </c>
      <c r="L3885" s="1" t="s">
        <v>218</v>
      </c>
      <c r="M3885" s="1" t="str">
        <f>"天津 天津市 河西区 "</f>
        <v xml:space="preserve">天津 天津市 河西区 </v>
      </c>
      <c r="N3885" s="1" t="str">
        <f t="shared" si="1246"/>
        <v>凡华云仓-城南圆通-微信视频号</v>
      </c>
      <c r="O3885" s="5" t="s">
        <v>3917</v>
      </c>
      <c r="P3885" s="6">
        <v>0.34</v>
      </c>
      <c r="Q3885" s="11">
        <v>2.2999999999999998</v>
      </c>
      <c r="R3885" s="11"/>
      <c r="S3885" s="11"/>
      <c r="T3885" s="11"/>
      <c r="U3885" s="11">
        <f t="shared" si="1240"/>
        <v>2.2999999999999998</v>
      </c>
      <c r="W3885">
        <v>2.5</v>
      </c>
      <c r="X3885" s="1" t="s">
        <v>218</v>
      </c>
    </row>
    <row r="3886" spans="1:24" x14ac:dyDescent="0.25">
      <c r="A3886" s="1" t="str">
        <f t="shared" si="1241"/>
        <v>卡卡杜-凤凰仓</v>
      </c>
      <c r="B3886" s="1" t="str">
        <f>"CK20241022283"</f>
        <v>CK20241022283</v>
      </c>
      <c r="C3886" s="1" t="str">
        <f>"DD2024102253837"</f>
        <v>DD2024102253837</v>
      </c>
      <c r="D3886" s="1" t="str">
        <f>"CK2024102251009"</f>
        <v>CK2024102251009</v>
      </c>
      <c r="E3886" s="1" t="str">
        <f>"3723479537276817409"</f>
        <v>3723479537276817409</v>
      </c>
      <c r="F3886" s="1" t="str">
        <f t="shared" si="1242"/>
        <v>花都四部-凤凰仓</v>
      </c>
      <c r="G3886" s="1" t="str">
        <f t="shared" si="1245"/>
        <v>卡卡杜企业店（视频号）</v>
      </c>
      <c r="H3886" s="1" t="str">
        <f t="shared" si="1243"/>
        <v>正常订单</v>
      </c>
      <c r="I3886" s="1" t="str">
        <f t="shared" si="1244"/>
        <v>已发货</v>
      </c>
      <c r="J3886" s="1" t="str">
        <f t="shared" si="1248"/>
        <v>3</v>
      </c>
      <c r="K3886" s="1">
        <v>3</v>
      </c>
      <c r="L3886" s="1" t="s">
        <v>36</v>
      </c>
      <c r="M3886" s="1" t="str">
        <f>"安徽省 滁州市 琅琊区 "</f>
        <v xml:space="preserve">安徽省 滁州市 琅琊区 </v>
      </c>
      <c r="N3886" s="1" t="str">
        <f t="shared" si="1246"/>
        <v>凡华云仓-城南圆通-微信视频号</v>
      </c>
      <c r="O3886" s="5" t="s">
        <v>3918</v>
      </c>
      <c r="P3886" s="6">
        <v>0.34</v>
      </c>
      <c r="Q3886" s="11">
        <v>2.2999999999999998</v>
      </c>
      <c r="R3886" s="11"/>
      <c r="S3886" s="11"/>
      <c r="T3886" s="11"/>
      <c r="U3886" s="11">
        <f t="shared" si="1240"/>
        <v>2.2999999999999998</v>
      </c>
      <c r="W3886">
        <v>2.5</v>
      </c>
      <c r="X3886" s="1" t="s">
        <v>36</v>
      </c>
    </row>
    <row r="3887" spans="1:24" x14ac:dyDescent="0.25">
      <c r="A3887" s="1" t="str">
        <f t="shared" si="1241"/>
        <v>卡卡杜-凤凰仓</v>
      </c>
      <c r="B3887" s="1" t="str">
        <f>"CK20241022284"</f>
        <v>CK20241022284</v>
      </c>
      <c r="C3887" s="1" t="str">
        <f>"DD2024102253838"</f>
        <v>DD2024102253838</v>
      </c>
      <c r="D3887" s="1" t="str">
        <f>"CK2024102251008"</f>
        <v>CK2024102251008</v>
      </c>
      <c r="E3887" s="1" t="str">
        <f>"3723479536849783808"</f>
        <v>3723479536849783808</v>
      </c>
      <c r="F3887" s="1" t="str">
        <f t="shared" si="1242"/>
        <v>花都四部-凤凰仓</v>
      </c>
      <c r="G3887" s="1" t="str">
        <f t="shared" si="1245"/>
        <v>卡卡杜企业店（视频号）</v>
      </c>
      <c r="H3887" s="1" t="str">
        <f t="shared" si="1243"/>
        <v>正常订单</v>
      </c>
      <c r="I3887" s="1" t="str">
        <f t="shared" si="1244"/>
        <v>已发货</v>
      </c>
      <c r="J3887" s="1" t="str">
        <f t="shared" si="1248"/>
        <v>3</v>
      </c>
      <c r="K3887" s="1">
        <v>3</v>
      </c>
      <c r="L3887" s="1" t="s">
        <v>105</v>
      </c>
      <c r="M3887" s="1" t="str">
        <f>"北京 北京市 大兴区 "</f>
        <v xml:space="preserve">北京 北京市 大兴区 </v>
      </c>
      <c r="N3887" s="1" t="str">
        <f t="shared" si="1246"/>
        <v>凡华云仓-城南圆通-微信视频号</v>
      </c>
      <c r="O3887" s="5" t="s">
        <v>3919</v>
      </c>
      <c r="P3887" s="6">
        <v>0.34</v>
      </c>
      <c r="Q3887" s="11">
        <v>2.2999999999999998</v>
      </c>
      <c r="R3887" s="11"/>
      <c r="S3887" s="11"/>
      <c r="T3887" s="11"/>
      <c r="U3887" s="11">
        <f t="shared" si="1240"/>
        <v>2.2999999999999998</v>
      </c>
      <c r="W3887">
        <v>2.5</v>
      </c>
      <c r="X3887" s="1" t="s">
        <v>105</v>
      </c>
    </row>
    <row r="3888" spans="1:24" x14ac:dyDescent="0.25">
      <c r="A3888" s="1" t="str">
        <f t="shared" si="1241"/>
        <v>卡卡杜-凤凰仓</v>
      </c>
      <c r="B3888" s="1" t="str">
        <f>"CK2024102211"</f>
        <v>CK2024102211</v>
      </c>
      <c r="C3888" s="1" t="str">
        <f>"DD2024102253562"</f>
        <v>DD2024102253562</v>
      </c>
      <c r="D3888" s="1" t="str">
        <f>"CK2024102251007"</f>
        <v>CK2024102251007</v>
      </c>
      <c r="E3888" s="1" t="str">
        <f>"3723479537194763520"</f>
        <v>3723479537194763520</v>
      </c>
      <c r="F3888" s="1" t="str">
        <f t="shared" si="1242"/>
        <v>花都四部-凤凰仓</v>
      </c>
      <c r="G3888" s="1" t="str">
        <f t="shared" si="1245"/>
        <v>卡卡杜企业店（视频号）</v>
      </c>
      <c r="H3888" s="1" t="str">
        <f t="shared" si="1243"/>
        <v>正常订单</v>
      </c>
      <c r="I3888" s="1" t="str">
        <f t="shared" si="1244"/>
        <v>已发货</v>
      </c>
      <c r="J3888" s="1" t="str">
        <f>"5"</f>
        <v>5</v>
      </c>
      <c r="K3888" s="1">
        <v>3</v>
      </c>
      <c r="L3888" s="1" t="s">
        <v>92</v>
      </c>
      <c r="M3888" s="1" t="str">
        <f>"辽宁省 沈阳市 大东区 "</f>
        <v xml:space="preserve">辽宁省 沈阳市 大东区 </v>
      </c>
      <c r="N3888" s="1" t="str">
        <f t="shared" si="1246"/>
        <v>凡华云仓-城南圆通-微信视频号</v>
      </c>
      <c r="O3888" s="5" t="s">
        <v>3920</v>
      </c>
      <c r="P3888" s="6">
        <v>0.56000000000000005</v>
      </c>
      <c r="Q3888" s="11">
        <f>CEILING(P3888-0.5,0.1)*10*0.15+2.3</f>
        <v>2.4499999999999997</v>
      </c>
      <c r="R3888" s="11"/>
      <c r="S3888" s="11"/>
      <c r="T3888" s="11"/>
      <c r="U3888" s="11">
        <f t="shared" si="1240"/>
        <v>2.4499999999999997</v>
      </c>
      <c r="V3888" t="s">
        <v>15</v>
      </c>
      <c r="W3888">
        <v>2.4500000000000002</v>
      </c>
      <c r="X3888" s="1" t="s">
        <v>92</v>
      </c>
    </row>
    <row r="3889" spans="1:24" x14ac:dyDescent="0.25">
      <c r="A3889" s="1" t="str">
        <f t="shared" si="1241"/>
        <v>卡卡杜-凤凰仓</v>
      </c>
      <c r="B3889" s="1" t="str">
        <f>"CK20241022280"</f>
        <v>CK20241022280</v>
      </c>
      <c r="C3889" s="1" t="str">
        <f>"DD2024102253834"</f>
        <v>DD2024102253834</v>
      </c>
      <c r="D3889" s="1" t="str">
        <f>"CK2024102251006"</f>
        <v>CK2024102251006</v>
      </c>
      <c r="E3889" s="1" t="str">
        <f>"3723479537500164096"</f>
        <v>3723479537500164096</v>
      </c>
      <c r="F3889" s="1" t="str">
        <f t="shared" si="1242"/>
        <v>花都四部-凤凰仓</v>
      </c>
      <c r="G3889" s="1" t="str">
        <f t="shared" si="1245"/>
        <v>卡卡杜企业店（视频号）</v>
      </c>
      <c r="H3889" s="1" t="str">
        <f t="shared" si="1243"/>
        <v>正常订单</v>
      </c>
      <c r="I3889" s="1" t="str">
        <f t="shared" si="1244"/>
        <v>已发货</v>
      </c>
      <c r="J3889" s="1" t="str">
        <f t="shared" ref="J3889:J3892" si="1249">"3"</f>
        <v>3</v>
      </c>
      <c r="K3889" s="1">
        <v>3</v>
      </c>
      <c r="L3889" s="1" t="s">
        <v>20</v>
      </c>
      <c r="M3889" s="1" t="str">
        <f>"浙江省 杭州市 上城区 "</f>
        <v xml:space="preserve">浙江省 杭州市 上城区 </v>
      </c>
      <c r="N3889" s="1" t="str">
        <f t="shared" si="1246"/>
        <v>凡华云仓-城南圆通-微信视频号</v>
      </c>
      <c r="O3889" s="5" t="s">
        <v>3921</v>
      </c>
      <c r="P3889" s="6">
        <v>0.34</v>
      </c>
      <c r="Q3889" s="11">
        <v>2.2999999999999998</v>
      </c>
      <c r="R3889" s="11"/>
      <c r="S3889" s="11"/>
      <c r="T3889" s="11"/>
      <c r="U3889" s="11">
        <f t="shared" si="1240"/>
        <v>2.2999999999999998</v>
      </c>
      <c r="W3889">
        <v>2.5</v>
      </c>
      <c r="X3889" s="1" t="s">
        <v>20</v>
      </c>
    </row>
    <row r="3890" spans="1:24" x14ac:dyDescent="0.25">
      <c r="A3890" s="1" t="str">
        <f t="shared" si="1241"/>
        <v>卡卡杜-凤凰仓</v>
      </c>
      <c r="B3890" s="1" t="str">
        <f>"CK20241022282"</f>
        <v>CK20241022282</v>
      </c>
      <c r="C3890" s="1" t="str">
        <f>"DD2024102253836"</f>
        <v>DD2024102253836</v>
      </c>
      <c r="D3890" s="1" t="str">
        <f>"CK2024102251005"</f>
        <v>CK2024102251005</v>
      </c>
      <c r="E3890" s="1" t="str">
        <f>"3723479536894608640"</f>
        <v>3723479536894608640</v>
      </c>
      <c r="F3890" s="1" t="str">
        <f t="shared" si="1242"/>
        <v>花都四部-凤凰仓</v>
      </c>
      <c r="G3890" s="1" t="str">
        <f t="shared" si="1245"/>
        <v>卡卡杜企业店（视频号）</v>
      </c>
      <c r="H3890" s="1" t="str">
        <f t="shared" si="1243"/>
        <v>正常订单</v>
      </c>
      <c r="I3890" s="1" t="str">
        <f t="shared" si="1244"/>
        <v>已发货</v>
      </c>
      <c r="J3890" s="1" t="str">
        <f t="shared" si="1249"/>
        <v>3</v>
      </c>
      <c r="K3890" s="1">
        <v>3</v>
      </c>
      <c r="L3890" s="1" t="s">
        <v>13</v>
      </c>
      <c r="M3890" s="1" t="str">
        <f>"江苏省 南京市 栖霞区 "</f>
        <v xml:space="preserve">江苏省 南京市 栖霞区 </v>
      </c>
      <c r="N3890" s="1" t="str">
        <f t="shared" si="1246"/>
        <v>凡华云仓-城南圆通-微信视频号</v>
      </c>
      <c r="O3890" s="5" t="s">
        <v>3922</v>
      </c>
      <c r="P3890" s="6">
        <v>0.34</v>
      </c>
      <c r="Q3890" s="11">
        <v>2.2999999999999998</v>
      </c>
      <c r="R3890" s="11"/>
      <c r="S3890" s="11"/>
      <c r="T3890" s="11"/>
      <c r="U3890" s="11">
        <f t="shared" si="1240"/>
        <v>2.2999999999999998</v>
      </c>
      <c r="W3890">
        <v>2.5</v>
      </c>
      <c r="X3890" s="1" t="s">
        <v>13</v>
      </c>
    </row>
    <row r="3891" spans="1:24" x14ac:dyDescent="0.25">
      <c r="A3891" s="1" t="str">
        <f t="shared" si="1241"/>
        <v>卡卡杜-凤凰仓</v>
      </c>
      <c r="B3891" s="1" t="str">
        <f>"CK20241022528"</f>
        <v>CK20241022528</v>
      </c>
      <c r="C3891" s="1" t="str">
        <f>"DD2024102255715"</f>
        <v>DD2024102255715</v>
      </c>
      <c r="D3891" s="1" t="str">
        <f>"CK2024102251004"</f>
        <v>CK2024102251004</v>
      </c>
      <c r="E3891" s="1" t="str">
        <f>"3723479168958992384"</f>
        <v>3723479168958992384</v>
      </c>
      <c r="F3891" s="1" t="str">
        <f t="shared" si="1242"/>
        <v>花都四部-凤凰仓</v>
      </c>
      <c r="G3891" s="1" t="str">
        <f t="shared" si="1245"/>
        <v>卡卡杜企业店（视频号）</v>
      </c>
      <c r="H3891" s="1" t="str">
        <f t="shared" si="1243"/>
        <v>正常订单</v>
      </c>
      <c r="I3891" s="1" t="str">
        <f t="shared" si="1244"/>
        <v>已发货</v>
      </c>
      <c r="J3891" s="1" t="str">
        <f t="shared" si="1249"/>
        <v>3</v>
      </c>
      <c r="K3891" s="1">
        <v>3</v>
      </c>
      <c r="L3891" s="1" t="s">
        <v>109</v>
      </c>
      <c r="M3891" s="1" t="str">
        <f>"山西省 临汾市 尧都区 "</f>
        <v xml:space="preserve">山西省 临汾市 尧都区 </v>
      </c>
      <c r="N3891" s="1" t="str">
        <f t="shared" si="1246"/>
        <v>凡华云仓-城南圆通-微信视频号</v>
      </c>
      <c r="O3891" s="5" t="s">
        <v>3923</v>
      </c>
      <c r="P3891" s="6">
        <v>0.34</v>
      </c>
      <c r="Q3891" s="11">
        <v>2.2999999999999998</v>
      </c>
      <c r="R3891" s="11"/>
      <c r="S3891" s="11"/>
      <c r="T3891" s="11"/>
      <c r="U3891" s="11">
        <f t="shared" si="1240"/>
        <v>2.2999999999999998</v>
      </c>
      <c r="W3891">
        <v>2.5</v>
      </c>
      <c r="X3891" s="1" t="s">
        <v>109</v>
      </c>
    </row>
    <row r="3892" spans="1:24" x14ac:dyDescent="0.25">
      <c r="A3892" s="1" t="str">
        <f t="shared" si="1241"/>
        <v>卡卡杜-凤凰仓</v>
      </c>
      <c r="B3892" s="1" t="str">
        <f>"CK20241022285"</f>
        <v>CK20241022285</v>
      </c>
      <c r="C3892" s="1" t="str">
        <f>"DD2024102253839"</f>
        <v>DD2024102253839</v>
      </c>
      <c r="D3892" s="1" t="str">
        <f>"CK2024102251003"</f>
        <v>CK2024102251003</v>
      </c>
      <c r="E3892" s="1" t="str">
        <f>"3723478924589925888"</f>
        <v>3723478924589925888</v>
      </c>
      <c r="F3892" s="1" t="str">
        <f t="shared" si="1242"/>
        <v>花都四部-凤凰仓</v>
      </c>
      <c r="G3892" s="1" t="str">
        <f t="shared" si="1245"/>
        <v>卡卡杜企业店（视频号）</v>
      </c>
      <c r="H3892" s="1" t="str">
        <f t="shared" si="1243"/>
        <v>正常订单</v>
      </c>
      <c r="I3892" s="1" t="str">
        <f t="shared" si="1244"/>
        <v>已发货</v>
      </c>
      <c r="J3892" s="1" t="str">
        <f t="shared" si="1249"/>
        <v>3</v>
      </c>
      <c r="K3892" s="1">
        <v>3</v>
      </c>
      <c r="L3892" s="1" t="s">
        <v>18</v>
      </c>
      <c r="M3892" s="1" t="str">
        <f>"广东省 深圳市 宝安区 "</f>
        <v xml:space="preserve">广东省 深圳市 宝安区 </v>
      </c>
      <c r="N3892" s="1" t="str">
        <f t="shared" si="1246"/>
        <v>凡华云仓-城南圆通-微信视频号</v>
      </c>
      <c r="O3892" s="5" t="s">
        <v>3924</v>
      </c>
      <c r="P3892" s="6">
        <v>0.34</v>
      </c>
      <c r="Q3892" s="11">
        <v>2.2999999999999998</v>
      </c>
      <c r="R3892" s="11"/>
      <c r="S3892" s="11"/>
      <c r="T3892" s="11"/>
      <c r="U3892" s="11">
        <f t="shared" si="1240"/>
        <v>2.2999999999999998</v>
      </c>
      <c r="W3892">
        <v>2.5</v>
      </c>
      <c r="X3892" s="1" t="s">
        <v>18</v>
      </c>
    </row>
    <row r="3893" spans="1:24" x14ac:dyDescent="0.25">
      <c r="A3893" s="1" t="str">
        <f t="shared" si="1241"/>
        <v>卡卡杜-凤凰仓</v>
      </c>
      <c r="B3893" s="1" t="str">
        <f>"CK202410221035"</f>
        <v>CK202410221035</v>
      </c>
      <c r="C3893" s="1" t="str">
        <f>"DD2024102261355"</f>
        <v>DD2024102261355</v>
      </c>
      <c r="D3893" s="1" t="str">
        <f>"CK2024102251002"</f>
        <v>CK2024102251002</v>
      </c>
      <c r="E3893" s="1" t="str">
        <f>"3723474636766317568"</f>
        <v>3723474636766317568</v>
      </c>
      <c r="F3893" s="1" t="str">
        <f t="shared" si="1242"/>
        <v>花都四部-凤凰仓</v>
      </c>
      <c r="G3893" s="1" t="str">
        <f t="shared" si="1245"/>
        <v>卡卡杜企业店（视频号）</v>
      </c>
      <c r="H3893" s="1" t="str">
        <f t="shared" si="1243"/>
        <v>正常订单</v>
      </c>
      <c r="I3893" s="1" t="str">
        <f t="shared" si="1244"/>
        <v>已发货</v>
      </c>
      <c r="J3893" s="1" t="str">
        <f>"5"</f>
        <v>5</v>
      </c>
      <c r="K3893" s="1">
        <v>3</v>
      </c>
      <c r="L3893" s="1" t="s">
        <v>18</v>
      </c>
      <c r="M3893" s="1" t="str">
        <f>"广东省 东莞市 虎门镇 "</f>
        <v xml:space="preserve">广东省 东莞市 虎门镇 </v>
      </c>
      <c r="N3893" s="1" t="str">
        <f t="shared" si="1246"/>
        <v>凡华云仓-城南圆通-微信视频号</v>
      </c>
      <c r="O3893" s="5" t="s">
        <v>3925</v>
      </c>
      <c r="P3893" s="6">
        <v>0.56000000000000005</v>
      </c>
      <c r="Q3893" s="11">
        <f>CEILING(P3893-0.5,0.1)*10*0.15+2.3</f>
        <v>2.4499999999999997</v>
      </c>
      <c r="R3893" s="11"/>
      <c r="S3893" s="11"/>
      <c r="T3893" s="11"/>
      <c r="U3893" s="11">
        <f t="shared" si="1240"/>
        <v>2.4499999999999997</v>
      </c>
      <c r="V3893" t="s">
        <v>15</v>
      </c>
      <c r="W3893">
        <v>2.4500000000000002</v>
      </c>
      <c r="X3893" s="1" t="s">
        <v>18</v>
      </c>
    </row>
    <row r="3894" spans="1:24" x14ac:dyDescent="0.25">
      <c r="A3894" s="1" t="str">
        <f t="shared" si="1241"/>
        <v>卡卡杜-凤凰仓</v>
      </c>
      <c r="B3894" s="1" t="str">
        <f>"CK20241022497"</f>
        <v>CK20241022497</v>
      </c>
      <c r="C3894" s="1" t="str">
        <f>"DD2024102255614"</f>
        <v>DD2024102255614</v>
      </c>
      <c r="D3894" s="1" t="str">
        <f>"CK2024102251001"</f>
        <v>CK2024102251001</v>
      </c>
      <c r="E3894" s="1" t="str">
        <f>"3723471488931464704"</f>
        <v>3723471488931464704</v>
      </c>
      <c r="F3894" s="1" t="str">
        <f t="shared" si="1242"/>
        <v>花都四部-凤凰仓</v>
      </c>
      <c r="G3894" s="1" t="str">
        <f t="shared" si="1245"/>
        <v>卡卡杜企业店（视频号）</v>
      </c>
      <c r="H3894" s="1" t="str">
        <f t="shared" si="1243"/>
        <v>正常订单</v>
      </c>
      <c r="I3894" s="1" t="str">
        <f t="shared" si="1244"/>
        <v>已发货</v>
      </c>
      <c r="J3894" s="1" t="str">
        <f t="shared" ref="J3894:J3897" si="1250">"3"</f>
        <v>3</v>
      </c>
      <c r="K3894" s="1">
        <v>3</v>
      </c>
      <c r="L3894" s="1" t="s">
        <v>54</v>
      </c>
      <c r="M3894" s="1" t="str">
        <f>"黑龙江省 哈尔滨市 阿城区 "</f>
        <v xml:space="preserve">黑龙江省 哈尔滨市 阿城区 </v>
      </c>
      <c r="N3894" s="1" t="str">
        <f t="shared" si="1246"/>
        <v>凡华云仓-城南圆通-微信视频号</v>
      </c>
      <c r="O3894" s="5" t="s">
        <v>3926</v>
      </c>
      <c r="P3894" s="6">
        <v>0.34</v>
      </c>
      <c r="Q3894" s="11">
        <v>2.2999999999999998</v>
      </c>
      <c r="R3894" s="11"/>
      <c r="S3894" s="11"/>
      <c r="T3894" s="11"/>
      <c r="U3894" s="11">
        <f t="shared" si="1240"/>
        <v>2.2999999999999998</v>
      </c>
      <c r="W3894">
        <v>2.5</v>
      </c>
      <c r="X3894" s="1" t="s">
        <v>54</v>
      </c>
    </row>
    <row r="3895" spans="1:24" x14ac:dyDescent="0.25">
      <c r="A3895" s="1" t="str">
        <f t="shared" si="1241"/>
        <v>卡卡杜-凤凰仓</v>
      </c>
      <c r="B3895" s="1" t="str">
        <f>"CK20241022840"</f>
        <v>CK20241022840</v>
      </c>
      <c r="C3895" s="1" t="str">
        <f>"DD2024102257273"</f>
        <v>DD2024102257273</v>
      </c>
      <c r="D3895" s="1" t="str">
        <f>"CK2024102251000"</f>
        <v>CK2024102251000</v>
      </c>
      <c r="E3895" s="1" t="str">
        <f>"3723471059919704064"</f>
        <v>3723471059919704064</v>
      </c>
      <c r="F3895" s="1" t="str">
        <f t="shared" si="1242"/>
        <v>花都四部-凤凰仓</v>
      </c>
      <c r="G3895" s="1" t="str">
        <f t="shared" si="1245"/>
        <v>卡卡杜企业店（视频号）</v>
      </c>
      <c r="H3895" s="1" t="str">
        <f t="shared" si="1243"/>
        <v>正常订单</v>
      </c>
      <c r="I3895" s="1" t="str">
        <f t="shared" si="1244"/>
        <v>已发货</v>
      </c>
      <c r="J3895" s="1" t="str">
        <f t="shared" si="1250"/>
        <v>3</v>
      </c>
      <c r="K3895" s="1">
        <v>2</v>
      </c>
      <c r="L3895" s="1" t="s">
        <v>66</v>
      </c>
      <c r="M3895" s="1" t="str">
        <f>"内蒙古自治区 呼和浩特市 赛罕区 "</f>
        <v xml:space="preserve">内蒙古自治区 呼和浩特市 赛罕区 </v>
      </c>
      <c r="N3895" s="1" t="str">
        <f t="shared" si="1246"/>
        <v>凡华云仓-城南圆通-微信视频号</v>
      </c>
      <c r="O3895" s="5" t="s">
        <v>3927</v>
      </c>
      <c r="P3895" s="6">
        <v>0.24</v>
      </c>
      <c r="Q3895" s="11">
        <v>2</v>
      </c>
      <c r="R3895" s="11"/>
      <c r="S3895" s="11"/>
      <c r="T3895" s="11"/>
      <c r="U3895" s="11">
        <f t="shared" si="1240"/>
        <v>2</v>
      </c>
      <c r="W3895">
        <v>2.2000000000000002</v>
      </c>
      <c r="X3895" s="1" t="s">
        <v>66</v>
      </c>
    </row>
    <row r="3896" spans="1:24" x14ac:dyDescent="0.25">
      <c r="A3896" s="1" t="str">
        <f t="shared" si="1241"/>
        <v>卡卡杜-凤凰仓</v>
      </c>
      <c r="B3896" s="1" t="str">
        <f>"CK20241022846"</f>
        <v>CK20241022846</v>
      </c>
      <c r="C3896" s="1" t="str">
        <f>"DD2024102257290"</f>
        <v>DD2024102257290</v>
      </c>
      <c r="D3896" s="1" t="str">
        <f>"CK2024102250999"</f>
        <v>CK2024102250999</v>
      </c>
      <c r="E3896" s="1" t="str">
        <f>"3723471025200301568"</f>
        <v>3723471025200301568</v>
      </c>
      <c r="F3896" s="1" t="str">
        <f t="shared" si="1242"/>
        <v>花都四部-凤凰仓</v>
      </c>
      <c r="G3896" s="1" t="str">
        <f t="shared" si="1245"/>
        <v>卡卡杜企业店（视频号）</v>
      </c>
      <c r="H3896" s="1" t="str">
        <f t="shared" si="1243"/>
        <v>正常订单</v>
      </c>
      <c r="I3896" s="1" t="str">
        <f t="shared" si="1244"/>
        <v>已发货</v>
      </c>
      <c r="J3896" s="1" t="str">
        <f t="shared" si="1250"/>
        <v>3</v>
      </c>
      <c r="K3896" s="1">
        <v>2</v>
      </c>
      <c r="L3896" s="1" t="s">
        <v>30</v>
      </c>
      <c r="M3896" s="1" t="str">
        <f>"山东省 济宁市 鱼台县 "</f>
        <v xml:space="preserve">山东省 济宁市 鱼台县 </v>
      </c>
      <c r="N3896" s="1" t="str">
        <f t="shared" si="1246"/>
        <v>凡华云仓-城南圆通-微信视频号</v>
      </c>
      <c r="O3896" s="5" t="s">
        <v>3928</v>
      </c>
      <c r="P3896" s="6">
        <v>0.24</v>
      </c>
      <c r="Q3896" s="11">
        <v>2</v>
      </c>
      <c r="R3896" s="11"/>
      <c r="S3896" s="11"/>
      <c r="T3896" s="11"/>
      <c r="U3896" s="11">
        <f t="shared" si="1240"/>
        <v>2</v>
      </c>
      <c r="W3896">
        <v>2.2000000000000002</v>
      </c>
      <c r="X3896" s="1" t="s">
        <v>30</v>
      </c>
    </row>
    <row r="3897" spans="1:24" x14ac:dyDescent="0.25">
      <c r="A3897" s="1" t="str">
        <f t="shared" si="1241"/>
        <v>卡卡杜-凤凰仓</v>
      </c>
      <c r="B3897" s="1" t="str">
        <f>"CK20241022847"</f>
        <v>CK20241022847</v>
      </c>
      <c r="C3897" s="1" t="str">
        <f>"DD2024102257302"</f>
        <v>DD2024102257302</v>
      </c>
      <c r="D3897" s="1" t="str">
        <f>"CK2024102250998"</f>
        <v>CK2024102250998</v>
      </c>
      <c r="E3897" s="1" t="str">
        <f>"3723471024774317568"</f>
        <v>3723471024774317568</v>
      </c>
      <c r="F3897" s="1" t="str">
        <f t="shared" si="1242"/>
        <v>花都四部-凤凰仓</v>
      </c>
      <c r="G3897" s="1" t="str">
        <f t="shared" si="1245"/>
        <v>卡卡杜企业店（视频号）</v>
      </c>
      <c r="H3897" s="1" t="str">
        <f t="shared" si="1243"/>
        <v>正常订单</v>
      </c>
      <c r="I3897" s="1" t="str">
        <f t="shared" si="1244"/>
        <v>已发货</v>
      </c>
      <c r="J3897" s="1" t="str">
        <f t="shared" si="1250"/>
        <v>3</v>
      </c>
      <c r="K3897" s="1">
        <v>2</v>
      </c>
      <c r="L3897" s="1" t="s">
        <v>13</v>
      </c>
      <c r="M3897" s="1" t="str">
        <f>"江苏省 苏州市 苏州工业园区 "</f>
        <v xml:space="preserve">江苏省 苏州市 苏州工业园区 </v>
      </c>
      <c r="N3897" s="1" t="str">
        <f t="shared" si="1246"/>
        <v>凡华云仓-城南圆通-微信视频号</v>
      </c>
      <c r="O3897" s="5" t="s">
        <v>3929</v>
      </c>
      <c r="P3897" s="6">
        <v>0.24</v>
      </c>
      <c r="Q3897" s="11">
        <v>2</v>
      </c>
      <c r="R3897" s="11"/>
      <c r="S3897" s="11"/>
      <c r="T3897" s="11"/>
      <c r="U3897" s="11">
        <f t="shared" si="1240"/>
        <v>2</v>
      </c>
      <c r="W3897">
        <v>2.2000000000000002</v>
      </c>
      <c r="X3897" s="1" t="s">
        <v>13</v>
      </c>
    </row>
    <row r="3898" spans="1:24" x14ac:dyDescent="0.25">
      <c r="A3898" s="1" t="str">
        <f t="shared" si="1241"/>
        <v>卡卡杜-凤凰仓</v>
      </c>
      <c r="B3898" s="1" t="str">
        <f>"CK20241022721"</f>
        <v>CK20241022721</v>
      </c>
      <c r="C3898" s="1" t="str">
        <f>"DD2024102257024"</f>
        <v>DD2024102257024</v>
      </c>
      <c r="D3898" s="1" t="str">
        <f>"CK2024102250997"</f>
        <v>CK2024102250997</v>
      </c>
      <c r="E3898" s="1" t="str">
        <f>"3723471019008461825"</f>
        <v>3723471019008461825</v>
      </c>
      <c r="F3898" s="1" t="str">
        <f t="shared" si="1242"/>
        <v>花都四部-凤凰仓</v>
      </c>
      <c r="G3898" s="1" t="str">
        <f t="shared" si="1245"/>
        <v>卡卡杜企业店（视频号）</v>
      </c>
      <c r="H3898" s="1" t="str">
        <f t="shared" si="1243"/>
        <v>正常订单</v>
      </c>
      <c r="I3898" s="1" t="str">
        <f t="shared" si="1244"/>
        <v>已发货</v>
      </c>
      <c r="J3898" s="1" t="str">
        <f>"2"</f>
        <v>2</v>
      </c>
      <c r="K3898" s="1">
        <v>2</v>
      </c>
      <c r="L3898" s="1" t="s">
        <v>94</v>
      </c>
      <c r="M3898" s="1" t="str">
        <f>"湖南省 长沙市 开福区 "</f>
        <v xml:space="preserve">湖南省 长沙市 开福区 </v>
      </c>
      <c r="N3898" s="1" t="str">
        <f t="shared" si="1246"/>
        <v>凡华云仓-城南圆通-微信视频号</v>
      </c>
      <c r="O3898" s="5" t="s">
        <v>3930</v>
      </c>
      <c r="P3898" s="6">
        <v>0.17</v>
      </c>
      <c r="Q3898" s="11">
        <v>2</v>
      </c>
      <c r="R3898" s="11"/>
      <c r="S3898" s="11"/>
      <c r="T3898" s="11"/>
      <c r="U3898" s="11">
        <f t="shared" si="1240"/>
        <v>2</v>
      </c>
      <c r="W3898">
        <v>2.2000000000000002</v>
      </c>
      <c r="X3898" s="1" t="s">
        <v>94</v>
      </c>
    </row>
    <row r="3899" spans="1:24" x14ac:dyDescent="0.25">
      <c r="A3899" s="1" t="str">
        <f t="shared" si="1241"/>
        <v>卡卡杜-凤凰仓</v>
      </c>
      <c r="B3899" s="1" t="str">
        <f>"CK20241022287"</f>
        <v>CK20241022287</v>
      </c>
      <c r="C3899" s="1" t="str">
        <f>"DD2024102253841"</f>
        <v>DD2024102253841</v>
      </c>
      <c r="D3899" s="1" t="str">
        <f>"CK2024102250996"</f>
        <v>CK2024102250996</v>
      </c>
      <c r="E3899" s="1" t="str">
        <f>"3723471018805822976"</f>
        <v>3723471018805822976</v>
      </c>
      <c r="F3899" s="1" t="str">
        <f t="shared" si="1242"/>
        <v>花都四部-凤凰仓</v>
      </c>
      <c r="G3899" s="1" t="str">
        <f t="shared" si="1245"/>
        <v>卡卡杜企业店（视频号）</v>
      </c>
      <c r="H3899" s="1" t="str">
        <f t="shared" si="1243"/>
        <v>正常订单</v>
      </c>
      <c r="I3899" s="1" t="str">
        <f t="shared" si="1244"/>
        <v>已发货</v>
      </c>
      <c r="J3899" s="1" t="str">
        <f t="shared" ref="J3899:J3904" si="1251">"3"</f>
        <v>3</v>
      </c>
      <c r="K3899" s="1">
        <v>3</v>
      </c>
      <c r="L3899" s="1" t="s">
        <v>30</v>
      </c>
      <c r="M3899" s="1" t="str">
        <f>"山东省 济南市 天桥区 "</f>
        <v xml:space="preserve">山东省 济南市 天桥区 </v>
      </c>
      <c r="N3899" s="1" t="str">
        <f t="shared" si="1246"/>
        <v>凡华云仓-城南圆通-微信视频号</v>
      </c>
      <c r="O3899" s="5" t="s">
        <v>3931</v>
      </c>
      <c r="P3899" s="6">
        <v>0.34</v>
      </c>
      <c r="Q3899" s="11">
        <v>2.2999999999999998</v>
      </c>
      <c r="R3899" s="11"/>
      <c r="S3899" s="11"/>
      <c r="T3899" s="11"/>
      <c r="U3899" s="11">
        <f t="shared" si="1240"/>
        <v>2.2999999999999998</v>
      </c>
      <c r="W3899">
        <v>2.5</v>
      </c>
      <c r="X3899" s="1" t="s">
        <v>30</v>
      </c>
    </row>
    <row r="3900" spans="1:24" x14ac:dyDescent="0.25">
      <c r="A3900" s="1" t="str">
        <f t="shared" si="1241"/>
        <v>卡卡杜-凤凰仓</v>
      </c>
      <c r="B3900" s="1" t="str">
        <f>"CK20241022816"</f>
        <v>CK20241022816</v>
      </c>
      <c r="C3900" s="1" t="str">
        <f>"DD2024102257186"</f>
        <v>DD2024102257186</v>
      </c>
      <c r="D3900" s="1" t="str">
        <f>"CK2024102250995"</f>
        <v>CK2024102250995</v>
      </c>
      <c r="E3900" s="1" t="str">
        <f>"3723471014054987008"</f>
        <v>3723471014054987008</v>
      </c>
      <c r="F3900" s="1" t="str">
        <f t="shared" si="1242"/>
        <v>花都四部-凤凰仓</v>
      </c>
      <c r="G3900" s="1" t="str">
        <f t="shared" si="1245"/>
        <v>卡卡杜企业店（视频号）</v>
      </c>
      <c r="H3900" s="1" t="str">
        <f t="shared" si="1243"/>
        <v>正常订单</v>
      </c>
      <c r="I3900" s="1" t="str">
        <f t="shared" si="1244"/>
        <v>已发货</v>
      </c>
      <c r="J3900" s="1" t="str">
        <f>"2"</f>
        <v>2</v>
      </c>
      <c r="K3900" s="1">
        <v>2</v>
      </c>
      <c r="L3900" s="1" t="s">
        <v>218</v>
      </c>
      <c r="M3900" s="1" t="str">
        <f>"天津 天津市 南开区 "</f>
        <v xml:space="preserve">天津 天津市 南开区 </v>
      </c>
      <c r="N3900" s="1" t="str">
        <f t="shared" si="1246"/>
        <v>凡华云仓-城南圆通-微信视频号</v>
      </c>
      <c r="O3900" s="5" t="s">
        <v>3932</v>
      </c>
      <c r="P3900" s="6">
        <v>0.17</v>
      </c>
      <c r="Q3900" s="11">
        <v>2</v>
      </c>
      <c r="R3900" s="11"/>
      <c r="S3900" s="11"/>
      <c r="T3900" s="11"/>
      <c r="U3900" s="11">
        <f t="shared" si="1240"/>
        <v>2</v>
      </c>
      <c r="W3900">
        <v>2.2000000000000002</v>
      </c>
      <c r="X3900" s="1" t="s">
        <v>218</v>
      </c>
    </row>
    <row r="3901" spans="1:24" x14ac:dyDescent="0.25">
      <c r="A3901" s="1" t="str">
        <f t="shared" si="1241"/>
        <v>卡卡杜-凤凰仓</v>
      </c>
      <c r="B3901" s="1" t="str">
        <f>"CK20241022852"</f>
        <v>CK20241022852</v>
      </c>
      <c r="C3901" s="1" t="str">
        <f>"DD2024102257317"</f>
        <v>DD2024102257317</v>
      </c>
      <c r="D3901" s="1" t="str">
        <f>"CK2024102250994"</f>
        <v>CK2024102250994</v>
      </c>
      <c r="E3901" s="1" t="str">
        <f>"3723471013870961920"</f>
        <v>3723471013870961920</v>
      </c>
      <c r="F3901" s="1" t="str">
        <f t="shared" si="1242"/>
        <v>花都四部-凤凰仓</v>
      </c>
      <c r="G3901" s="1" t="str">
        <f t="shared" si="1245"/>
        <v>卡卡杜企业店（视频号）</v>
      </c>
      <c r="H3901" s="1" t="str">
        <f t="shared" si="1243"/>
        <v>正常订单</v>
      </c>
      <c r="I3901" s="1" t="str">
        <f t="shared" si="1244"/>
        <v>已发货</v>
      </c>
      <c r="J3901" s="1" t="str">
        <f t="shared" si="1251"/>
        <v>3</v>
      </c>
      <c r="K3901" s="1">
        <v>2</v>
      </c>
      <c r="L3901" s="1" t="s">
        <v>92</v>
      </c>
      <c r="M3901" s="1" t="str">
        <f>"辽宁省 锦州市 古塔区 "</f>
        <v xml:space="preserve">辽宁省 锦州市 古塔区 </v>
      </c>
      <c r="N3901" s="1" t="str">
        <f t="shared" si="1246"/>
        <v>凡华云仓-城南圆通-微信视频号</v>
      </c>
      <c r="O3901" s="5" t="s">
        <v>3933</v>
      </c>
      <c r="P3901" s="6">
        <v>0.24</v>
      </c>
      <c r="Q3901" s="11">
        <v>2</v>
      </c>
      <c r="R3901" s="11"/>
      <c r="S3901" s="11"/>
      <c r="T3901" s="11"/>
      <c r="U3901" s="11">
        <f t="shared" si="1240"/>
        <v>2</v>
      </c>
      <c r="W3901">
        <v>2.2000000000000002</v>
      </c>
      <c r="X3901" s="1" t="s">
        <v>92</v>
      </c>
    </row>
    <row r="3902" spans="1:24" x14ac:dyDescent="0.25">
      <c r="A3902" s="1" t="str">
        <f t="shared" si="1241"/>
        <v>卡卡杜-凤凰仓</v>
      </c>
      <c r="B3902" s="1" t="str">
        <f>"CK20241022288"</f>
        <v>CK20241022288</v>
      </c>
      <c r="C3902" s="1" t="str">
        <f>"DD2024102253845"</f>
        <v>DD2024102253845</v>
      </c>
      <c r="D3902" s="1" t="str">
        <f>"CK2024102250993"</f>
        <v>CK2024102250993</v>
      </c>
      <c r="E3902" s="1" t="str">
        <f>"3723471006190929408"</f>
        <v>3723471006190929408</v>
      </c>
      <c r="F3902" s="1" t="str">
        <f t="shared" si="1242"/>
        <v>花都四部-凤凰仓</v>
      </c>
      <c r="G3902" s="1" t="str">
        <f t="shared" si="1245"/>
        <v>卡卡杜企业店（视频号）</v>
      </c>
      <c r="H3902" s="1" t="str">
        <f t="shared" si="1243"/>
        <v>正常订单</v>
      </c>
      <c r="I3902" s="1" t="str">
        <f t="shared" si="1244"/>
        <v>已发货</v>
      </c>
      <c r="J3902" s="1" t="str">
        <f t="shared" si="1251"/>
        <v>3</v>
      </c>
      <c r="K3902" s="1">
        <v>3</v>
      </c>
      <c r="L3902" s="1" t="s">
        <v>24</v>
      </c>
      <c r="M3902" s="1" t="str">
        <f>"福建省 厦门市 思明区 "</f>
        <v xml:space="preserve">福建省 厦门市 思明区 </v>
      </c>
      <c r="N3902" s="1" t="str">
        <f t="shared" si="1246"/>
        <v>凡华云仓-城南圆通-微信视频号</v>
      </c>
      <c r="O3902" s="5" t="s">
        <v>3934</v>
      </c>
      <c r="P3902" s="6">
        <v>0.34</v>
      </c>
      <c r="Q3902" s="11">
        <v>2.2999999999999998</v>
      </c>
      <c r="R3902" s="11"/>
      <c r="S3902" s="11"/>
      <c r="T3902" s="11"/>
      <c r="U3902" s="11">
        <f t="shared" si="1240"/>
        <v>2.2999999999999998</v>
      </c>
      <c r="W3902">
        <v>2.5</v>
      </c>
      <c r="X3902" s="1" t="s">
        <v>24</v>
      </c>
    </row>
    <row r="3903" spans="1:24" x14ac:dyDescent="0.25">
      <c r="A3903" s="1" t="str">
        <f t="shared" si="1241"/>
        <v>卡卡杜-凤凰仓</v>
      </c>
      <c r="B3903" s="1" t="str">
        <f>"CK20241022705"</f>
        <v>CK20241022705</v>
      </c>
      <c r="C3903" s="1" t="str">
        <f>"DD2024102257011"</f>
        <v>DD2024102257011</v>
      </c>
      <c r="D3903" s="1" t="str">
        <f>"CK2024102250992"</f>
        <v>CK2024102250992</v>
      </c>
      <c r="E3903" s="1" t="str">
        <f>"3723471006270883072"</f>
        <v>3723471006270883072</v>
      </c>
      <c r="F3903" s="1" t="str">
        <f t="shared" si="1242"/>
        <v>花都四部-凤凰仓</v>
      </c>
      <c r="G3903" s="1" t="str">
        <f t="shared" si="1245"/>
        <v>卡卡杜企业店（视频号）</v>
      </c>
      <c r="H3903" s="1" t="str">
        <f t="shared" si="1243"/>
        <v>正常订单</v>
      </c>
      <c r="I3903" s="1" t="str">
        <f t="shared" si="1244"/>
        <v>已发货</v>
      </c>
      <c r="J3903" s="1" t="str">
        <f t="shared" si="1251"/>
        <v>3</v>
      </c>
      <c r="K3903" s="1">
        <v>2</v>
      </c>
      <c r="L3903" s="1" t="s">
        <v>60</v>
      </c>
      <c r="M3903" s="1" t="str">
        <f>"云南省 昆明市 五华区 "</f>
        <v xml:space="preserve">云南省 昆明市 五华区 </v>
      </c>
      <c r="N3903" s="1" t="str">
        <f t="shared" si="1246"/>
        <v>凡华云仓-城南圆通-微信视频号</v>
      </c>
      <c r="O3903" s="5" t="s">
        <v>3935</v>
      </c>
      <c r="P3903" s="6">
        <v>0.24</v>
      </c>
      <c r="Q3903" s="11">
        <v>2</v>
      </c>
      <c r="R3903" s="11"/>
      <c r="S3903" s="11"/>
      <c r="T3903" s="11"/>
      <c r="U3903" s="11">
        <f t="shared" si="1240"/>
        <v>2</v>
      </c>
      <c r="W3903">
        <v>2.2000000000000002</v>
      </c>
      <c r="X3903" s="1" t="s">
        <v>60</v>
      </c>
    </row>
    <row r="3904" spans="1:24" x14ac:dyDescent="0.25">
      <c r="A3904" s="1" t="str">
        <f t="shared" si="1241"/>
        <v>卡卡杜-凤凰仓</v>
      </c>
      <c r="B3904" s="1" t="str">
        <f>"CK20241022877"</f>
        <v>CK20241022877</v>
      </c>
      <c r="C3904" s="1" t="str">
        <f>"DD2024102257409"</f>
        <v>DD2024102257409</v>
      </c>
      <c r="D3904" s="1" t="str">
        <f>"CK2024102250991"</f>
        <v>CK2024102250991</v>
      </c>
      <c r="E3904" s="1" t="str">
        <f>"3723471004462092288"</f>
        <v>3723471004462092288</v>
      </c>
      <c r="F3904" s="1" t="str">
        <f t="shared" si="1242"/>
        <v>花都四部-凤凰仓</v>
      </c>
      <c r="G3904" s="1" t="str">
        <f t="shared" si="1245"/>
        <v>卡卡杜企业店（视频号）</v>
      </c>
      <c r="H3904" s="1" t="str">
        <f t="shared" si="1243"/>
        <v>正常订单</v>
      </c>
      <c r="I3904" s="1" t="str">
        <f t="shared" si="1244"/>
        <v>已发货</v>
      </c>
      <c r="J3904" s="1" t="str">
        <f t="shared" si="1251"/>
        <v>3</v>
      </c>
      <c r="K3904" s="1">
        <v>2</v>
      </c>
      <c r="L3904" s="1" t="s">
        <v>161</v>
      </c>
      <c r="M3904" s="1" t="str">
        <f>"四川省 成都市 崇州市 "</f>
        <v xml:space="preserve">四川省 成都市 崇州市 </v>
      </c>
      <c r="N3904" s="1" t="str">
        <f t="shared" si="1246"/>
        <v>凡华云仓-城南圆通-微信视频号</v>
      </c>
      <c r="O3904" s="5" t="s">
        <v>3936</v>
      </c>
      <c r="P3904" s="6">
        <v>0.24</v>
      </c>
      <c r="Q3904" s="11">
        <v>2</v>
      </c>
      <c r="R3904" s="11"/>
      <c r="S3904" s="11"/>
      <c r="T3904" s="11"/>
      <c r="U3904" s="11">
        <f t="shared" si="1240"/>
        <v>2</v>
      </c>
      <c r="W3904">
        <v>2.2000000000000002</v>
      </c>
      <c r="X3904" s="1" t="s">
        <v>161</v>
      </c>
    </row>
    <row r="3905" spans="1:24" x14ac:dyDescent="0.25">
      <c r="A3905" s="1" t="str">
        <f t="shared" si="1241"/>
        <v>卡卡杜-凤凰仓</v>
      </c>
      <c r="B3905" s="1" t="str">
        <f>"CK20241022860"</f>
        <v>CK20241022860</v>
      </c>
      <c r="C3905" s="1" t="str">
        <f>"DD2024102257341"</f>
        <v>DD2024102257341</v>
      </c>
      <c r="D3905" s="1" t="str">
        <f>"CK2024102250990"</f>
        <v>CK2024102250990</v>
      </c>
      <c r="E3905" s="1" t="str">
        <f>"3723471004077526016"</f>
        <v>3723471004077526016</v>
      </c>
      <c r="F3905" s="1" t="str">
        <f t="shared" si="1242"/>
        <v>花都四部-凤凰仓</v>
      </c>
      <c r="G3905" s="1" t="str">
        <f t="shared" si="1245"/>
        <v>卡卡杜企业店（视频号）</v>
      </c>
      <c r="H3905" s="1" t="str">
        <f t="shared" si="1243"/>
        <v>正常订单</v>
      </c>
      <c r="I3905" s="1" t="str">
        <f t="shared" si="1244"/>
        <v>已发货</v>
      </c>
      <c r="J3905" s="1" t="str">
        <f t="shared" ref="J3905:J3908" si="1252">"2"</f>
        <v>2</v>
      </c>
      <c r="K3905" s="1">
        <v>2</v>
      </c>
      <c r="L3905" s="1" t="s">
        <v>187</v>
      </c>
      <c r="M3905" s="1" t="str">
        <f>"吉林省 长春市 南关区 "</f>
        <v xml:space="preserve">吉林省 长春市 南关区 </v>
      </c>
      <c r="N3905" s="1" t="str">
        <f t="shared" si="1246"/>
        <v>凡华云仓-城南圆通-微信视频号</v>
      </c>
      <c r="O3905" s="5" t="s">
        <v>3937</v>
      </c>
      <c r="P3905" s="6">
        <v>0.17</v>
      </c>
      <c r="Q3905" s="11">
        <v>2</v>
      </c>
      <c r="R3905" s="11"/>
      <c r="S3905" s="11"/>
      <c r="T3905" s="11"/>
      <c r="U3905" s="11">
        <f t="shared" si="1240"/>
        <v>2</v>
      </c>
      <c r="W3905">
        <v>2.2000000000000002</v>
      </c>
      <c r="X3905" s="1" t="s">
        <v>187</v>
      </c>
    </row>
    <row r="3906" spans="1:24" x14ac:dyDescent="0.25">
      <c r="A3906" s="1" t="str">
        <f t="shared" si="1241"/>
        <v>卡卡杜-凤凰仓</v>
      </c>
      <c r="B3906" s="1" t="str">
        <f>"CK20241022729"</f>
        <v>CK20241022729</v>
      </c>
      <c r="C3906" s="1" t="str">
        <f>"DD2024102257032"</f>
        <v>DD2024102257032</v>
      </c>
      <c r="D3906" s="1" t="str">
        <f>"CK2024102250989"</f>
        <v>CK2024102250989</v>
      </c>
      <c r="E3906" s="1" t="str">
        <f>"3723471004220130816"</f>
        <v>3723471004220130816</v>
      </c>
      <c r="F3906" s="1" t="str">
        <f t="shared" si="1242"/>
        <v>花都四部-凤凰仓</v>
      </c>
      <c r="G3906" s="1" t="str">
        <f t="shared" si="1245"/>
        <v>卡卡杜企业店（视频号）</v>
      </c>
      <c r="H3906" s="1" t="str">
        <f t="shared" si="1243"/>
        <v>正常订单</v>
      </c>
      <c r="I3906" s="1" t="str">
        <f t="shared" si="1244"/>
        <v>已发货</v>
      </c>
      <c r="J3906" s="1" t="str">
        <f t="shared" si="1252"/>
        <v>2</v>
      </c>
      <c r="K3906" s="1">
        <v>2</v>
      </c>
      <c r="L3906" s="1" t="s">
        <v>30</v>
      </c>
      <c r="M3906" s="1" t="str">
        <f>"山东省 威海市 环翠区 "</f>
        <v xml:space="preserve">山东省 威海市 环翠区 </v>
      </c>
      <c r="N3906" s="1" t="str">
        <f t="shared" si="1246"/>
        <v>凡华云仓-城南圆通-微信视频号</v>
      </c>
      <c r="O3906" s="5" t="s">
        <v>3938</v>
      </c>
      <c r="P3906" s="6">
        <v>0.17</v>
      </c>
      <c r="Q3906" s="11">
        <v>2</v>
      </c>
      <c r="R3906" s="11"/>
      <c r="S3906" s="11"/>
      <c r="T3906" s="11"/>
      <c r="U3906" s="11">
        <f t="shared" si="1240"/>
        <v>2</v>
      </c>
      <c r="W3906">
        <v>2.2000000000000002</v>
      </c>
      <c r="X3906" s="1" t="s">
        <v>30</v>
      </c>
    </row>
    <row r="3907" spans="1:24" x14ac:dyDescent="0.25">
      <c r="A3907" s="1" t="str">
        <f t="shared" si="1241"/>
        <v>卡卡杜-凤凰仓</v>
      </c>
      <c r="B3907" s="1" t="str">
        <f>"CK20241022853"</f>
        <v>CK20241022853</v>
      </c>
      <c r="C3907" s="1" t="str">
        <f>"DD2024102257319"</f>
        <v>DD2024102257319</v>
      </c>
      <c r="D3907" s="1" t="str">
        <f>"CK2024102250988"</f>
        <v>CK2024102250988</v>
      </c>
      <c r="E3907" s="1" t="str">
        <f>"3723471004344652800"</f>
        <v>3723471004344652800</v>
      </c>
      <c r="F3907" s="1" t="str">
        <f t="shared" si="1242"/>
        <v>花都四部-凤凰仓</v>
      </c>
      <c r="G3907" s="1" t="str">
        <f t="shared" si="1245"/>
        <v>卡卡杜企业店（视频号）</v>
      </c>
      <c r="H3907" s="1" t="str">
        <f t="shared" si="1243"/>
        <v>正常订单</v>
      </c>
      <c r="I3907" s="1" t="str">
        <f t="shared" si="1244"/>
        <v>已发货</v>
      </c>
      <c r="J3907" s="1" t="str">
        <f t="shared" si="1252"/>
        <v>2</v>
      </c>
      <c r="K3907" s="1">
        <v>2</v>
      </c>
      <c r="L3907" s="1" t="s">
        <v>105</v>
      </c>
      <c r="M3907" s="1" t="str">
        <f>"北京 北京市 通州区 "</f>
        <v xml:space="preserve">北京 北京市 通州区 </v>
      </c>
      <c r="N3907" s="1" t="str">
        <f t="shared" si="1246"/>
        <v>凡华云仓-城南圆通-微信视频号</v>
      </c>
      <c r="O3907" s="5" t="s">
        <v>3939</v>
      </c>
      <c r="P3907" s="6">
        <v>0.17</v>
      </c>
      <c r="Q3907" s="11">
        <v>2</v>
      </c>
      <c r="R3907" s="11"/>
      <c r="S3907" s="11"/>
      <c r="T3907" s="11"/>
      <c r="U3907" s="11">
        <f t="shared" ref="U3907:U3970" si="1253">T3907+S3907+R3907+Q3907</f>
        <v>2</v>
      </c>
      <c r="W3907">
        <v>2.2000000000000002</v>
      </c>
      <c r="X3907" s="1" t="s">
        <v>105</v>
      </c>
    </row>
    <row r="3908" spans="1:24" x14ac:dyDescent="0.25">
      <c r="A3908" s="1" t="str">
        <f t="shared" si="1241"/>
        <v>卡卡杜-凤凰仓</v>
      </c>
      <c r="B3908" s="1" t="str">
        <f>"CK20241022857"</f>
        <v>CK20241022857</v>
      </c>
      <c r="C3908" s="1" t="str">
        <f>"DD2024102257326"</f>
        <v>DD2024102257326</v>
      </c>
      <c r="D3908" s="1" t="str">
        <f>"CK2024102250987"</f>
        <v>CK2024102250987</v>
      </c>
      <c r="E3908" s="1" t="str">
        <f>"3723471004290912256"</f>
        <v>3723471004290912256</v>
      </c>
      <c r="F3908" s="1" t="str">
        <f t="shared" si="1242"/>
        <v>花都四部-凤凰仓</v>
      </c>
      <c r="G3908" s="1" t="str">
        <f t="shared" si="1245"/>
        <v>卡卡杜企业店（视频号）</v>
      </c>
      <c r="H3908" s="1" t="str">
        <f t="shared" si="1243"/>
        <v>正常订单</v>
      </c>
      <c r="I3908" s="1" t="str">
        <f t="shared" si="1244"/>
        <v>已发货</v>
      </c>
      <c r="J3908" s="1" t="str">
        <f t="shared" si="1252"/>
        <v>2</v>
      </c>
      <c r="K3908" s="1">
        <v>2</v>
      </c>
      <c r="L3908" s="1" t="s">
        <v>74</v>
      </c>
      <c r="M3908" s="1" t="str">
        <f>"上海 上海市 宝山区 "</f>
        <v xml:space="preserve">上海 上海市 宝山区 </v>
      </c>
      <c r="N3908" s="1" t="str">
        <f t="shared" si="1246"/>
        <v>凡华云仓-城南圆通-微信视频号</v>
      </c>
      <c r="O3908" s="5" t="s">
        <v>3940</v>
      </c>
      <c r="P3908" s="6">
        <v>0.17</v>
      </c>
      <c r="Q3908" s="11">
        <v>2</v>
      </c>
      <c r="R3908" s="11"/>
      <c r="S3908" s="11"/>
      <c r="T3908" s="11"/>
      <c r="U3908" s="11">
        <f t="shared" si="1253"/>
        <v>2</v>
      </c>
      <c r="W3908">
        <v>2.2000000000000002</v>
      </c>
      <c r="X3908" s="1" t="s">
        <v>74</v>
      </c>
    </row>
    <row r="3909" spans="1:24" x14ac:dyDescent="0.25">
      <c r="A3909" s="1" t="str">
        <f t="shared" ref="A3909:A3972" si="1254">"卡卡杜-凤凰仓"</f>
        <v>卡卡杜-凤凰仓</v>
      </c>
      <c r="B3909" s="1" t="str">
        <f>"CK20241022289"</f>
        <v>CK20241022289</v>
      </c>
      <c r="C3909" s="1" t="str">
        <f>"DD2024102253847"</f>
        <v>DD2024102253847</v>
      </c>
      <c r="D3909" s="1" t="str">
        <f>"CK2024102250986"</f>
        <v>CK2024102250986</v>
      </c>
      <c r="E3909" s="1" t="str">
        <f>"3723470925876827136"</f>
        <v>3723470925876827136</v>
      </c>
      <c r="F3909" s="1" t="str">
        <f t="shared" ref="F3909:F3972" si="1255">"花都四部-凤凰仓"</f>
        <v>花都四部-凤凰仓</v>
      </c>
      <c r="G3909" s="1" t="str">
        <f t="shared" si="1245"/>
        <v>卡卡杜企业店（视频号）</v>
      </c>
      <c r="H3909" s="1" t="str">
        <f t="shared" ref="H3909:H3972" si="1256">"正常订单"</f>
        <v>正常订单</v>
      </c>
      <c r="I3909" s="1" t="str">
        <f t="shared" ref="I3909:I3972" si="1257">"已发货"</f>
        <v>已发货</v>
      </c>
      <c r="J3909" s="1" t="str">
        <f t="shared" ref="J3909:J3913" si="1258">"3"</f>
        <v>3</v>
      </c>
      <c r="K3909" s="1">
        <v>3</v>
      </c>
      <c r="L3909" s="1" t="s">
        <v>20</v>
      </c>
      <c r="M3909" s="1" t="str">
        <f>"浙江省 绍兴市 柯桥区 "</f>
        <v xml:space="preserve">浙江省 绍兴市 柯桥区 </v>
      </c>
      <c r="N3909" s="1" t="str">
        <f t="shared" si="1246"/>
        <v>凡华云仓-城南圆通-微信视频号</v>
      </c>
      <c r="O3909" s="5" t="s">
        <v>3941</v>
      </c>
      <c r="P3909" s="6">
        <v>0.34</v>
      </c>
      <c r="Q3909" s="11">
        <v>2.2999999999999998</v>
      </c>
      <c r="R3909" s="11"/>
      <c r="S3909" s="11"/>
      <c r="T3909" s="11"/>
      <c r="U3909" s="11">
        <f t="shared" si="1253"/>
        <v>2.2999999999999998</v>
      </c>
      <c r="W3909">
        <v>2.5</v>
      </c>
      <c r="X3909" s="1" t="s">
        <v>20</v>
      </c>
    </row>
    <row r="3910" spans="1:24" x14ac:dyDescent="0.25">
      <c r="A3910" s="1" t="str">
        <f t="shared" si="1254"/>
        <v>卡卡杜-凤凰仓</v>
      </c>
      <c r="B3910" s="1" t="str">
        <f>"CK20241022290"</f>
        <v>CK20241022290</v>
      </c>
      <c r="C3910" s="1" t="str">
        <f>"DD2024102253848"</f>
        <v>DD2024102253848</v>
      </c>
      <c r="D3910" s="1" t="str">
        <f>"CK2024102250985"</f>
        <v>CK2024102250985</v>
      </c>
      <c r="E3910" s="1" t="str">
        <f>"3723470918117364737"</f>
        <v>3723470918117364737</v>
      </c>
      <c r="F3910" s="1" t="str">
        <f t="shared" si="1255"/>
        <v>花都四部-凤凰仓</v>
      </c>
      <c r="G3910" s="1" t="str">
        <f t="shared" si="1245"/>
        <v>卡卡杜企业店（视频号）</v>
      </c>
      <c r="H3910" s="1" t="str">
        <f t="shared" si="1256"/>
        <v>正常订单</v>
      </c>
      <c r="I3910" s="1" t="str">
        <f t="shared" si="1257"/>
        <v>已发货</v>
      </c>
      <c r="J3910" s="1" t="str">
        <f t="shared" si="1258"/>
        <v>3</v>
      </c>
      <c r="K3910" s="1">
        <v>3</v>
      </c>
      <c r="L3910" s="1" t="s">
        <v>16</v>
      </c>
      <c r="M3910" s="1" t="str">
        <f>"河北省 石家庄市 裕华区 "</f>
        <v xml:space="preserve">河北省 石家庄市 裕华区 </v>
      </c>
      <c r="N3910" s="1" t="str">
        <f t="shared" si="1246"/>
        <v>凡华云仓-城南圆通-微信视频号</v>
      </c>
      <c r="O3910" s="5" t="s">
        <v>3942</v>
      </c>
      <c r="P3910" s="6">
        <v>0.34</v>
      </c>
      <c r="Q3910" s="11">
        <v>2.2999999999999998</v>
      </c>
      <c r="R3910" s="11"/>
      <c r="S3910" s="11"/>
      <c r="T3910" s="11"/>
      <c r="U3910" s="11">
        <f t="shared" si="1253"/>
        <v>2.2999999999999998</v>
      </c>
      <c r="W3910">
        <v>2.5</v>
      </c>
      <c r="X3910" s="1" t="s">
        <v>16</v>
      </c>
    </row>
    <row r="3911" spans="1:24" x14ac:dyDescent="0.25">
      <c r="A3911" s="1" t="str">
        <f t="shared" si="1254"/>
        <v>卡卡杜-凤凰仓</v>
      </c>
      <c r="B3911" s="1" t="str">
        <f>"CK20241022456"</f>
        <v>CK20241022456</v>
      </c>
      <c r="C3911" s="1" t="str">
        <f>"DD2024102255449"</f>
        <v>DD2024102255449</v>
      </c>
      <c r="D3911" s="1" t="str">
        <f>"CK2024102250984"</f>
        <v>CK2024102250984</v>
      </c>
      <c r="E3911" s="1" t="str">
        <f>"3723470913067943168"</f>
        <v>3723470913067943168</v>
      </c>
      <c r="F3911" s="1" t="str">
        <f t="shared" si="1255"/>
        <v>花都四部-凤凰仓</v>
      </c>
      <c r="G3911" s="1" t="str">
        <f t="shared" si="1245"/>
        <v>卡卡杜企业店（视频号）</v>
      </c>
      <c r="H3911" s="1" t="str">
        <f t="shared" si="1256"/>
        <v>正常订单</v>
      </c>
      <c r="I3911" s="1" t="str">
        <f t="shared" si="1257"/>
        <v>已发货</v>
      </c>
      <c r="J3911" s="1" t="str">
        <f t="shared" ref="J3911:J3921" si="1259">"5"</f>
        <v>5</v>
      </c>
      <c r="K3911" s="1">
        <v>3</v>
      </c>
      <c r="L3911" s="1" t="s">
        <v>60</v>
      </c>
      <c r="M3911" s="1" t="str">
        <f>"云南省 昆明市 五华区 "</f>
        <v xml:space="preserve">云南省 昆明市 五华区 </v>
      </c>
      <c r="N3911" s="1" t="str">
        <f t="shared" si="1246"/>
        <v>凡华云仓-城南圆通-微信视频号</v>
      </c>
      <c r="O3911" s="5" t="s">
        <v>3943</v>
      </c>
      <c r="P3911" s="6">
        <v>0.56000000000000005</v>
      </c>
      <c r="Q3911" s="11">
        <f t="shared" ref="Q3911:Q3916" si="1260">CEILING(P3911-0.5,0.1)*10*0.15+2.3</f>
        <v>2.4499999999999997</v>
      </c>
      <c r="R3911" s="11"/>
      <c r="S3911" s="11"/>
      <c r="T3911" s="11"/>
      <c r="U3911" s="11">
        <f t="shared" si="1253"/>
        <v>2.4499999999999997</v>
      </c>
      <c r="V3911" t="s">
        <v>15</v>
      </c>
      <c r="W3911">
        <v>2.4500000000000002</v>
      </c>
      <c r="X3911" s="1" t="s">
        <v>60</v>
      </c>
    </row>
    <row r="3912" spans="1:24" x14ac:dyDescent="0.25">
      <c r="A3912" s="1" t="str">
        <f t="shared" si="1254"/>
        <v>卡卡杜-凤凰仓</v>
      </c>
      <c r="B3912" s="1" t="str">
        <f>"CK20241022291"</f>
        <v>CK20241022291</v>
      </c>
      <c r="C3912" s="1" t="str">
        <f>"DD2024102253850"</f>
        <v>DD2024102253850</v>
      </c>
      <c r="D3912" s="1" t="str">
        <f>"CK2024102250983"</f>
        <v>CK2024102250983</v>
      </c>
      <c r="E3912" s="1" t="str">
        <f>"3723470892322129152"</f>
        <v>3723470892322129152</v>
      </c>
      <c r="F3912" s="1" t="str">
        <f t="shared" si="1255"/>
        <v>花都四部-凤凰仓</v>
      </c>
      <c r="G3912" s="1" t="str">
        <f t="shared" si="1245"/>
        <v>卡卡杜企业店（视频号）</v>
      </c>
      <c r="H3912" s="1" t="str">
        <f t="shared" si="1256"/>
        <v>正常订单</v>
      </c>
      <c r="I3912" s="1" t="str">
        <f t="shared" si="1257"/>
        <v>已发货</v>
      </c>
      <c r="J3912" s="1" t="str">
        <f t="shared" si="1258"/>
        <v>3</v>
      </c>
      <c r="K3912" s="1">
        <v>3</v>
      </c>
      <c r="L3912" s="1" t="s">
        <v>218</v>
      </c>
      <c r="M3912" s="1" t="str">
        <f>"天津 天津市 西青区 "</f>
        <v xml:space="preserve">天津 天津市 西青区 </v>
      </c>
      <c r="N3912" s="1" t="str">
        <f t="shared" si="1246"/>
        <v>凡华云仓-城南圆通-微信视频号</v>
      </c>
      <c r="O3912" s="5" t="s">
        <v>3944</v>
      </c>
      <c r="P3912" s="6">
        <v>0.34</v>
      </c>
      <c r="Q3912" s="11">
        <v>2.2999999999999998</v>
      </c>
      <c r="R3912" s="11"/>
      <c r="S3912" s="11"/>
      <c r="T3912" s="11"/>
      <c r="U3912" s="11">
        <f t="shared" si="1253"/>
        <v>2.2999999999999998</v>
      </c>
      <c r="W3912">
        <v>2.5</v>
      </c>
      <c r="X3912" s="1" t="s">
        <v>218</v>
      </c>
    </row>
    <row r="3913" spans="1:24" x14ac:dyDescent="0.25">
      <c r="A3913" s="1" t="str">
        <f t="shared" si="1254"/>
        <v>卡卡杜-凤凰仓</v>
      </c>
      <c r="B3913" s="1" t="str">
        <f>"CK20241022292"</f>
        <v>CK20241022292</v>
      </c>
      <c r="C3913" s="1" t="str">
        <f>"DD2024102253854"</f>
        <v>DD2024102253854</v>
      </c>
      <c r="D3913" s="1" t="str">
        <f>"CK2024102250982"</f>
        <v>CK2024102250982</v>
      </c>
      <c r="E3913" s="1" t="str">
        <f>"3723470884820619264"</f>
        <v>3723470884820619264</v>
      </c>
      <c r="F3913" s="1" t="str">
        <f t="shared" si="1255"/>
        <v>花都四部-凤凰仓</v>
      </c>
      <c r="G3913" s="1" t="str">
        <f t="shared" si="1245"/>
        <v>卡卡杜企业店（视频号）</v>
      </c>
      <c r="H3913" s="1" t="str">
        <f t="shared" si="1256"/>
        <v>正常订单</v>
      </c>
      <c r="I3913" s="1" t="str">
        <f t="shared" si="1257"/>
        <v>已发货</v>
      </c>
      <c r="J3913" s="1" t="str">
        <f t="shared" si="1258"/>
        <v>3</v>
      </c>
      <c r="K3913" s="1">
        <v>3</v>
      </c>
      <c r="L3913" s="1" t="s">
        <v>18</v>
      </c>
      <c r="M3913" s="1" t="str">
        <f>"广东省 深圳市 南山区 "</f>
        <v xml:space="preserve">广东省 深圳市 南山区 </v>
      </c>
      <c r="N3913" s="1" t="str">
        <f t="shared" si="1246"/>
        <v>凡华云仓-城南圆通-微信视频号</v>
      </c>
      <c r="O3913" s="5" t="s">
        <v>3945</v>
      </c>
      <c r="P3913" s="6">
        <v>0.34</v>
      </c>
      <c r="Q3913" s="11">
        <v>2.2999999999999998</v>
      </c>
      <c r="R3913" s="11"/>
      <c r="S3913" s="11"/>
      <c r="T3913" s="11"/>
      <c r="U3913" s="11">
        <f t="shared" si="1253"/>
        <v>2.2999999999999998</v>
      </c>
      <c r="W3913">
        <v>2.5</v>
      </c>
      <c r="X3913" s="1" t="s">
        <v>18</v>
      </c>
    </row>
    <row r="3914" spans="1:24" x14ac:dyDescent="0.25">
      <c r="A3914" s="1" t="str">
        <f t="shared" si="1254"/>
        <v>卡卡杜-凤凰仓</v>
      </c>
      <c r="B3914" s="1" t="str">
        <f>"CK20241022510"</f>
        <v>CK20241022510</v>
      </c>
      <c r="C3914" s="1" t="str">
        <f>"DD2024102255658"</f>
        <v>DD2024102255658</v>
      </c>
      <c r="D3914" s="1" t="str">
        <f>"CK2024102250981"</f>
        <v>CK2024102250981</v>
      </c>
      <c r="E3914" s="1" t="str">
        <f>"3723470870293910528"</f>
        <v>3723470870293910528</v>
      </c>
      <c r="F3914" s="1" t="str">
        <f t="shared" si="1255"/>
        <v>花都四部-凤凰仓</v>
      </c>
      <c r="G3914" s="1" t="str">
        <f t="shared" si="1245"/>
        <v>卡卡杜企业店（视频号）</v>
      </c>
      <c r="H3914" s="1" t="str">
        <f t="shared" si="1256"/>
        <v>正常订单</v>
      </c>
      <c r="I3914" s="1" t="str">
        <f t="shared" si="1257"/>
        <v>已发货</v>
      </c>
      <c r="J3914" s="1" t="str">
        <f t="shared" si="1259"/>
        <v>5</v>
      </c>
      <c r="K3914" s="1">
        <v>3</v>
      </c>
      <c r="L3914" s="1" t="s">
        <v>41</v>
      </c>
      <c r="M3914" s="1" t="str">
        <f>"湖北省 省直辖县级行政区划 潜江市 "</f>
        <v xml:space="preserve">湖北省 省直辖县级行政区划 潜江市 </v>
      </c>
      <c r="N3914" s="1" t="str">
        <f t="shared" si="1246"/>
        <v>凡华云仓-城南圆通-微信视频号</v>
      </c>
      <c r="O3914" s="5" t="s">
        <v>3946</v>
      </c>
      <c r="P3914" s="6">
        <v>0.56000000000000005</v>
      </c>
      <c r="Q3914" s="11">
        <f t="shared" si="1260"/>
        <v>2.4499999999999997</v>
      </c>
      <c r="R3914" s="11"/>
      <c r="S3914" s="11"/>
      <c r="T3914" s="11"/>
      <c r="U3914" s="11">
        <f t="shared" si="1253"/>
        <v>2.4499999999999997</v>
      </c>
      <c r="V3914" t="s">
        <v>15</v>
      </c>
      <c r="W3914">
        <v>2.4500000000000002</v>
      </c>
      <c r="X3914" s="1" t="s">
        <v>41</v>
      </c>
    </row>
    <row r="3915" spans="1:24" x14ac:dyDescent="0.25">
      <c r="A3915" s="1" t="str">
        <f t="shared" si="1254"/>
        <v>卡卡杜-凤凰仓</v>
      </c>
      <c r="B3915" s="1" t="str">
        <f>"CK20241022468"</f>
        <v>CK20241022468</v>
      </c>
      <c r="C3915" s="1" t="str">
        <f>"DD2024102255503"</f>
        <v>DD2024102255503</v>
      </c>
      <c r="D3915" s="1" t="str">
        <f>"CK2024102250980"</f>
        <v>CK2024102250980</v>
      </c>
      <c r="E3915" s="1" t="str">
        <f>"3723470823325044737"</f>
        <v>3723470823325044737</v>
      </c>
      <c r="F3915" s="1" t="str">
        <f t="shared" si="1255"/>
        <v>花都四部-凤凰仓</v>
      </c>
      <c r="G3915" s="1" t="str">
        <f t="shared" si="1245"/>
        <v>卡卡杜企业店（视频号）</v>
      </c>
      <c r="H3915" s="1" t="str">
        <f t="shared" si="1256"/>
        <v>正常订单</v>
      </c>
      <c r="I3915" s="1" t="str">
        <f t="shared" si="1257"/>
        <v>已发货</v>
      </c>
      <c r="J3915" s="1" t="str">
        <f t="shared" si="1259"/>
        <v>5</v>
      </c>
      <c r="K3915" s="1">
        <v>3</v>
      </c>
      <c r="L3915" s="1" t="s">
        <v>47</v>
      </c>
      <c r="M3915" s="1" t="str">
        <f>"重庆 重庆市 渝北区 "</f>
        <v xml:space="preserve">重庆 重庆市 渝北区 </v>
      </c>
      <c r="N3915" s="1" t="str">
        <f t="shared" si="1246"/>
        <v>凡华云仓-城南圆通-微信视频号</v>
      </c>
      <c r="O3915" s="5" t="s">
        <v>3947</v>
      </c>
      <c r="P3915" s="6">
        <v>0.56000000000000005</v>
      </c>
      <c r="Q3915" s="11">
        <f t="shared" si="1260"/>
        <v>2.4499999999999997</v>
      </c>
      <c r="R3915" s="11"/>
      <c r="S3915" s="11"/>
      <c r="T3915" s="11"/>
      <c r="U3915" s="11">
        <f t="shared" si="1253"/>
        <v>2.4499999999999997</v>
      </c>
      <c r="V3915" t="s">
        <v>15</v>
      </c>
      <c r="W3915">
        <v>2.4500000000000002</v>
      </c>
      <c r="X3915" s="1" t="s">
        <v>47</v>
      </c>
    </row>
    <row r="3916" spans="1:24" x14ac:dyDescent="0.25">
      <c r="A3916" s="1" t="str">
        <f t="shared" si="1254"/>
        <v>卡卡杜-凤凰仓</v>
      </c>
      <c r="B3916" s="1" t="str">
        <f>"CK20241022522"</f>
        <v>CK20241022522</v>
      </c>
      <c r="C3916" s="1" t="str">
        <f>"DD2024102255706"</f>
        <v>DD2024102255706</v>
      </c>
      <c r="D3916" s="1" t="str">
        <f>"CK2024102250979"</f>
        <v>CK2024102250979</v>
      </c>
      <c r="E3916" s="1" t="str">
        <f>"3723470815841095680"</f>
        <v>3723470815841095680</v>
      </c>
      <c r="F3916" s="1" t="str">
        <f t="shared" si="1255"/>
        <v>花都四部-凤凰仓</v>
      </c>
      <c r="G3916" s="1" t="str">
        <f t="shared" si="1245"/>
        <v>卡卡杜企业店（视频号）</v>
      </c>
      <c r="H3916" s="1" t="str">
        <f t="shared" si="1256"/>
        <v>正常订单</v>
      </c>
      <c r="I3916" s="1" t="str">
        <f t="shared" si="1257"/>
        <v>已发货</v>
      </c>
      <c r="J3916" s="1" t="str">
        <f t="shared" si="1259"/>
        <v>5</v>
      </c>
      <c r="K3916" s="1">
        <v>3</v>
      </c>
      <c r="L3916" s="1" t="s">
        <v>18</v>
      </c>
      <c r="M3916" s="1" t="str">
        <f>"广东省 湛江市 赤坎区 "</f>
        <v xml:space="preserve">广东省 湛江市 赤坎区 </v>
      </c>
      <c r="N3916" s="1" t="str">
        <f t="shared" si="1246"/>
        <v>凡华云仓-城南圆通-微信视频号</v>
      </c>
      <c r="O3916" s="5" t="s">
        <v>3948</v>
      </c>
      <c r="P3916" s="6">
        <v>0.56000000000000005</v>
      </c>
      <c r="Q3916" s="11">
        <f t="shared" si="1260"/>
        <v>2.4499999999999997</v>
      </c>
      <c r="R3916" s="11"/>
      <c r="S3916" s="11"/>
      <c r="T3916" s="11"/>
      <c r="U3916" s="11">
        <f t="shared" si="1253"/>
        <v>2.4499999999999997</v>
      </c>
      <c r="V3916" t="s">
        <v>15</v>
      </c>
      <c r="W3916">
        <v>2.4500000000000002</v>
      </c>
      <c r="X3916" s="1" t="s">
        <v>18</v>
      </c>
    </row>
    <row r="3917" spans="1:24" x14ac:dyDescent="0.25">
      <c r="A3917" s="1" t="str">
        <f t="shared" si="1254"/>
        <v>卡卡杜-凤凰仓</v>
      </c>
      <c r="B3917" s="1" t="str">
        <f>"CK20241022666"</f>
        <v>CK20241022666</v>
      </c>
      <c r="C3917" s="1" t="str">
        <f>"DD2024102256861"</f>
        <v>DD2024102256861</v>
      </c>
      <c r="D3917" s="1" t="str">
        <f>"CK2024102250978"</f>
        <v>CK2024102250978</v>
      </c>
      <c r="E3917" s="1" t="str">
        <f>"3723470814817423360"</f>
        <v>3723470814817423360</v>
      </c>
      <c r="F3917" s="1" t="str">
        <f t="shared" si="1255"/>
        <v>花都四部-凤凰仓</v>
      </c>
      <c r="G3917" s="1" t="str">
        <f t="shared" si="1245"/>
        <v>卡卡杜企业店（视频号）</v>
      </c>
      <c r="H3917" s="1" t="str">
        <f t="shared" si="1256"/>
        <v>正常订单</v>
      </c>
      <c r="I3917" s="1" t="str">
        <f t="shared" si="1257"/>
        <v>已发货</v>
      </c>
      <c r="J3917" s="1" t="str">
        <f t="shared" si="1259"/>
        <v>5</v>
      </c>
      <c r="K3917" s="1">
        <v>3</v>
      </c>
      <c r="L3917" s="1" t="s">
        <v>24</v>
      </c>
      <c r="M3917" s="1" t="str">
        <f>"福建省 厦门市 湖里区 "</f>
        <v xml:space="preserve">福建省 厦门市 湖里区 </v>
      </c>
      <c r="N3917" s="1" t="str">
        <f t="shared" si="1246"/>
        <v>凡华云仓-城南圆通-微信视频号</v>
      </c>
      <c r="O3917" s="5" t="s">
        <v>3949</v>
      </c>
      <c r="P3917" s="6">
        <v>0.47</v>
      </c>
      <c r="Q3917" s="11">
        <v>2.2999999999999998</v>
      </c>
      <c r="R3917" s="11"/>
      <c r="S3917" s="11"/>
      <c r="T3917" s="11"/>
      <c r="U3917" s="11">
        <f t="shared" si="1253"/>
        <v>2.2999999999999998</v>
      </c>
      <c r="W3917">
        <v>2.5</v>
      </c>
      <c r="X3917" s="1" t="s">
        <v>24</v>
      </c>
    </row>
    <row r="3918" spans="1:24" x14ac:dyDescent="0.25">
      <c r="A3918" s="1" t="str">
        <f t="shared" si="1254"/>
        <v>卡卡杜-凤凰仓</v>
      </c>
      <c r="B3918" s="1" t="str">
        <f>"CK20241022293"</f>
        <v>CK20241022293</v>
      </c>
      <c r="C3918" s="1" t="str">
        <f>"DD2024102253857"</f>
        <v>DD2024102253857</v>
      </c>
      <c r="D3918" s="1" t="str">
        <f>"CK2024102250977"</f>
        <v>CK2024102250977</v>
      </c>
      <c r="E3918" s="1" t="str">
        <f>"3723470809767482368"</f>
        <v>3723470809767482368</v>
      </c>
      <c r="F3918" s="1" t="str">
        <f t="shared" si="1255"/>
        <v>花都四部-凤凰仓</v>
      </c>
      <c r="G3918" s="1" t="str">
        <f t="shared" ref="G3918:G3981" si="1261">"卡卡杜企业店（视频号）"</f>
        <v>卡卡杜企业店（视频号）</v>
      </c>
      <c r="H3918" s="1" t="str">
        <f t="shared" si="1256"/>
        <v>正常订单</v>
      </c>
      <c r="I3918" s="1" t="str">
        <f t="shared" si="1257"/>
        <v>已发货</v>
      </c>
      <c r="J3918" s="1" t="str">
        <f t="shared" si="1259"/>
        <v>5</v>
      </c>
      <c r="K3918" s="1">
        <v>3</v>
      </c>
      <c r="L3918" s="1" t="s">
        <v>47</v>
      </c>
      <c r="M3918" s="1" t="str">
        <f>"重庆 重庆市 渝北区 "</f>
        <v xml:space="preserve">重庆 重庆市 渝北区 </v>
      </c>
      <c r="N3918" s="1" t="str">
        <f t="shared" ref="N3918:N3951" si="1262">"凡华云仓-城南圆通-微信视频号"</f>
        <v>凡华云仓-城南圆通-微信视频号</v>
      </c>
      <c r="O3918" s="5" t="s">
        <v>3950</v>
      </c>
      <c r="P3918" s="6">
        <v>0.56000000000000005</v>
      </c>
      <c r="Q3918" s="11">
        <f t="shared" ref="Q3918:Q3921" si="1263">CEILING(P3918-0.5,0.1)*10*0.15+2.3</f>
        <v>2.4499999999999997</v>
      </c>
      <c r="R3918" s="11"/>
      <c r="S3918" s="11"/>
      <c r="T3918" s="11"/>
      <c r="U3918" s="11">
        <f t="shared" si="1253"/>
        <v>2.4499999999999997</v>
      </c>
      <c r="V3918" t="s">
        <v>15</v>
      </c>
      <c r="W3918">
        <v>2.4500000000000002</v>
      </c>
      <c r="X3918" s="1" t="s">
        <v>47</v>
      </c>
    </row>
    <row r="3919" spans="1:24" x14ac:dyDescent="0.25">
      <c r="A3919" s="1" t="str">
        <f t="shared" si="1254"/>
        <v>卡卡杜-凤凰仓</v>
      </c>
      <c r="B3919" s="1" t="str">
        <f>"CK20241022294"</f>
        <v>CK20241022294</v>
      </c>
      <c r="C3919" s="1" t="str">
        <f>"DD2024102253863"</f>
        <v>DD2024102253863</v>
      </c>
      <c r="D3919" s="1" t="str">
        <f>"CK2024102250976"</f>
        <v>CK2024102250976</v>
      </c>
      <c r="E3919" s="1" t="str">
        <f>"3723470808426352640"</f>
        <v>3723470808426352640</v>
      </c>
      <c r="F3919" s="1" t="str">
        <f t="shared" si="1255"/>
        <v>花都四部-凤凰仓</v>
      </c>
      <c r="G3919" s="1" t="str">
        <f t="shared" si="1261"/>
        <v>卡卡杜企业店（视频号）</v>
      </c>
      <c r="H3919" s="1" t="str">
        <f t="shared" si="1256"/>
        <v>正常订单</v>
      </c>
      <c r="I3919" s="1" t="str">
        <f t="shared" si="1257"/>
        <v>已发货</v>
      </c>
      <c r="J3919" s="1" t="str">
        <f t="shared" si="1259"/>
        <v>5</v>
      </c>
      <c r="K3919" s="1">
        <v>3</v>
      </c>
      <c r="L3919" s="1" t="s">
        <v>96</v>
      </c>
      <c r="M3919" s="1" t="str">
        <f>"广西壮族自治区 北海市 海城区 "</f>
        <v xml:space="preserve">广西壮族自治区 北海市 海城区 </v>
      </c>
      <c r="N3919" s="1" t="str">
        <f t="shared" si="1262"/>
        <v>凡华云仓-城南圆通-微信视频号</v>
      </c>
      <c r="O3919" s="5" t="s">
        <v>3951</v>
      </c>
      <c r="P3919" s="6">
        <v>0.56000000000000005</v>
      </c>
      <c r="Q3919" s="11">
        <f t="shared" si="1263"/>
        <v>2.4499999999999997</v>
      </c>
      <c r="R3919" s="11"/>
      <c r="S3919" s="11"/>
      <c r="T3919" s="11"/>
      <c r="U3919" s="11">
        <f t="shared" si="1253"/>
        <v>2.4499999999999997</v>
      </c>
      <c r="V3919" t="s">
        <v>15</v>
      </c>
      <c r="W3919">
        <v>2.4500000000000002</v>
      </c>
      <c r="X3919" s="1" t="s">
        <v>96</v>
      </c>
    </row>
    <row r="3920" spans="1:24" x14ac:dyDescent="0.25">
      <c r="A3920" s="1" t="str">
        <f t="shared" si="1254"/>
        <v>卡卡杜-凤凰仓</v>
      </c>
      <c r="B3920" s="1" t="str">
        <f>"CK20241022480"</f>
        <v>CK20241022480</v>
      </c>
      <c r="C3920" s="1" t="str">
        <f>"DD2024102255553"</f>
        <v>DD2024102255553</v>
      </c>
      <c r="D3920" s="1" t="str">
        <f>"CK2024102250974"</f>
        <v>CK2024102250974</v>
      </c>
      <c r="E3920" s="1" t="str">
        <f>"3723470809298505728"</f>
        <v>3723470809298505728</v>
      </c>
      <c r="F3920" s="1" t="str">
        <f t="shared" si="1255"/>
        <v>花都四部-凤凰仓</v>
      </c>
      <c r="G3920" s="1" t="str">
        <f t="shared" si="1261"/>
        <v>卡卡杜企业店（视频号）</v>
      </c>
      <c r="H3920" s="1" t="str">
        <f t="shared" si="1256"/>
        <v>正常订单</v>
      </c>
      <c r="I3920" s="1" t="str">
        <f t="shared" si="1257"/>
        <v>已发货</v>
      </c>
      <c r="J3920" s="1" t="str">
        <f t="shared" si="1259"/>
        <v>5</v>
      </c>
      <c r="K3920" s="1">
        <v>3</v>
      </c>
      <c r="L3920" s="1" t="s">
        <v>105</v>
      </c>
      <c r="M3920" s="1" t="str">
        <f>"北京 北京市 昌平区 "</f>
        <v xml:space="preserve">北京 北京市 昌平区 </v>
      </c>
      <c r="N3920" s="1" t="str">
        <f t="shared" si="1262"/>
        <v>凡华云仓-城南圆通-微信视频号</v>
      </c>
      <c r="O3920" s="5" t="s">
        <v>3952</v>
      </c>
      <c r="P3920" s="6">
        <v>0.56000000000000005</v>
      </c>
      <c r="Q3920" s="11">
        <f t="shared" si="1263"/>
        <v>2.4499999999999997</v>
      </c>
      <c r="R3920" s="11"/>
      <c r="S3920" s="11"/>
      <c r="T3920" s="11"/>
      <c r="U3920" s="11">
        <f t="shared" si="1253"/>
        <v>2.4499999999999997</v>
      </c>
      <c r="V3920" t="s">
        <v>15</v>
      </c>
      <c r="W3920">
        <v>2.4500000000000002</v>
      </c>
      <c r="X3920" s="1" t="s">
        <v>105</v>
      </c>
    </row>
    <row r="3921" spans="1:24" x14ac:dyDescent="0.25">
      <c r="A3921" s="1" t="str">
        <f t="shared" si="1254"/>
        <v>卡卡杜-凤凰仓</v>
      </c>
      <c r="B3921" s="1" t="str">
        <f>"CK20241022439"</f>
        <v>CK20241022439</v>
      </c>
      <c r="C3921" s="1" t="str">
        <f>"DD2024102254283"</f>
        <v>DD2024102254283</v>
      </c>
      <c r="D3921" s="1" t="str">
        <f>"CK2024102250973"</f>
        <v>CK2024102250973</v>
      </c>
      <c r="E3921" s="1" t="str">
        <f>"3723470808152409344"</f>
        <v>3723470808152409344</v>
      </c>
      <c r="F3921" s="1" t="str">
        <f t="shared" si="1255"/>
        <v>花都四部-凤凰仓</v>
      </c>
      <c r="G3921" s="1" t="str">
        <f t="shared" si="1261"/>
        <v>卡卡杜企业店（视频号）</v>
      </c>
      <c r="H3921" s="1" t="str">
        <f t="shared" si="1256"/>
        <v>正常订单</v>
      </c>
      <c r="I3921" s="1" t="str">
        <f t="shared" si="1257"/>
        <v>已发货</v>
      </c>
      <c r="J3921" s="1" t="str">
        <f t="shared" si="1259"/>
        <v>5</v>
      </c>
      <c r="K3921" s="1">
        <v>3</v>
      </c>
      <c r="L3921" s="1" t="s">
        <v>30</v>
      </c>
      <c r="M3921" s="1" t="str">
        <f>"山东省 威海市 环翠区 "</f>
        <v xml:space="preserve">山东省 威海市 环翠区 </v>
      </c>
      <c r="N3921" s="1" t="str">
        <f t="shared" si="1262"/>
        <v>凡华云仓-城南圆通-微信视频号</v>
      </c>
      <c r="O3921" s="5" t="s">
        <v>3953</v>
      </c>
      <c r="P3921" s="6">
        <v>0.56000000000000005</v>
      </c>
      <c r="Q3921" s="11">
        <f t="shared" si="1263"/>
        <v>2.4499999999999997</v>
      </c>
      <c r="R3921" s="11"/>
      <c r="S3921" s="11"/>
      <c r="T3921" s="11"/>
      <c r="U3921" s="11">
        <f t="shared" si="1253"/>
        <v>2.4499999999999997</v>
      </c>
      <c r="V3921" t="s">
        <v>15</v>
      </c>
      <c r="W3921">
        <v>2.4500000000000002</v>
      </c>
      <c r="X3921" s="1" t="s">
        <v>30</v>
      </c>
    </row>
    <row r="3922" spans="1:24" x14ac:dyDescent="0.25">
      <c r="A3922" s="1" t="str">
        <f t="shared" si="1254"/>
        <v>卡卡杜-凤凰仓</v>
      </c>
      <c r="B3922" s="1" t="str">
        <f>"CK20241022491"</f>
        <v>CK20241022491</v>
      </c>
      <c r="C3922" s="1" t="str">
        <f>"DD2024102255589"</f>
        <v>DD2024102255589</v>
      </c>
      <c r="D3922" s="1" t="str">
        <f>"CK2024102250972"</f>
        <v>CK2024102250972</v>
      </c>
      <c r="E3922" s="1" t="str">
        <f>"3723470798333283328"</f>
        <v>3723470798333283328</v>
      </c>
      <c r="F3922" s="1" t="str">
        <f t="shared" si="1255"/>
        <v>花都四部-凤凰仓</v>
      </c>
      <c r="G3922" s="1" t="str">
        <f t="shared" si="1261"/>
        <v>卡卡杜企业店（视频号）</v>
      </c>
      <c r="H3922" s="1" t="str">
        <f t="shared" si="1256"/>
        <v>正常订单</v>
      </c>
      <c r="I3922" s="1" t="str">
        <f t="shared" si="1257"/>
        <v>已发货</v>
      </c>
      <c r="J3922" s="1" t="str">
        <f>"3"</f>
        <v>3</v>
      </c>
      <c r="K3922" s="1">
        <v>3</v>
      </c>
      <c r="L3922" s="1" t="s">
        <v>161</v>
      </c>
      <c r="M3922" s="1" t="str">
        <f>"四川省 成都市 武侯区 "</f>
        <v xml:space="preserve">四川省 成都市 武侯区 </v>
      </c>
      <c r="N3922" s="1" t="str">
        <f t="shared" si="1262"/>
        <v>凡华云仓-城南圆通-微信视频号</v>
      </c>
      <c r="O3922" s="5" t="s">
        <v>3954</v>
      </c>
      <c r="P3922" s="6">
        <v>0.34</v>
      </c>
      <c r="Q3922" s="11">
        <v>2.2999999999999998</v>
      </c>
      <c r="R3922" s="11"/>
      <c r="S3922" s="11"/>
      <c r="T3922" s="11"/>
      <c r="U3922" s="11">
        <f t="shared" si="1253"/>
        <v>2.2999999999999998</v>
      </c>
      <c r="W3922">
        <v>2.5</v>
      </c>
      <c r="X3922" s="1" t="s">
        <v>161</v>
      </c>
    </row>
    <row r="3923" spans="1:24" x14ac:dyDescent="0.25">
      <c r="A3923" s="1" t="str">
        <f t="shared" si="1254"/>
        <v>卡卡杜-凤凰仓</v>
      </c>
      <c r="B3923" s="1" t="str">
        <f>"CK20241022855"</f>
        <v>CK20241022855</v>
      </c>
      <c r="C3923" s="1" t="str">
        <f>"DD2024102257325"</f>
        <v>DD2024102257325</v>
      </c>
      <c r="D3923" s="1" t="str">
        <f>"CK2024102250971"</f>
        <v>CK2024102250971</v>
      </c>
      <c r="E3923" s="1" t="str">
        <f>"3723470757980669184"</f>
        <v>3723470757980669184</v>
      </c>
      <c r="F3923" s="1" t="str">
        <f t="shared" si="1255"/>
        <v>花都四部-凤凰仓</v>
      </c>
      <c r="G3923" s="1" t="str">
        <f t="shared" si="1261"/>
        <v>卡卡杜企业店（视频号）</v>
      </c>
      <c r="H3923" s="1" t="str">
        <f t="shared" si="1256"/>
        <v>正常订单</v>
      </c>
      <c r="I3923" s="1" t="str">
        <f t="shared" si="1257"/>
        <v>已发货</v>
      </c>
      <c r="J3923" s="1" t="str">
        <f>"2"</f>
        <v>2</v>
      </c>
      <c r="K3923" s="1">
        <v>2</v>
      </c>
      <c r="L3923" s="1" t="s">
        <v>13</v>
      </c>
      <c r="M3923" s="1" t="str">
        <f>"江苏省 苏州市 苏州工业园区 "</f>
        <v xml:space="preserve">江苏省 苏州市 苏州工业园区 </v>
      </c>
      <c r="N3923" s="1" t="str">
        <f t="shared" si="1262"/>
        <v>凡华云仓-城南圆通-微信视频号</v>
      </c>
      <c r="O3923" s="5" t="s">
        <v>3955</v>
      </c>
      <c r="P3923" s="6">
        <v>0.17</v>
      </c>
      <c r="Q3923" s="11">
        <v>2</v>
      </c>
      <c r="R3923" s="11"/>
      <c r="S3923" s="11"/>
      <c r="T3923" s="11"/>
      <c r="U3923" s="11">
        <f t="shared" si="1253"/>
        <v>2</v>
      </c>
      <c r="W3923">
        <v>2.2000000000000002</v>
      </c>
      <c r="X3923" s="1" t="s">
        <v>13</v>
      </c>
    </row>
    <row r="3924" spans="1:24" x14ac:dyDescent="0.25">
      <c r="A3924" s="1" t="str">
        <f t="shared" si="1254"/>
        <v>卡卡杜-凤凰仓</v>
      </c>
      <c r="B3924" s="1" t="str">
        <f>"CK20241022655"</f>
        <v>CK20241022655</v>
      </c>
      <c r="C3924" s="1" t="str">
        <f>"DD2024102256850"</f>
        <v>DD2024102256850</v>
      </c>
      <c r="D3924" s="1" t="str">
        <f>"CK2024102250970"</f>
        <v>CK2024102250970</v>
      </c>
      <c r="E3924" s="1" t="str">
        <f>"3723470723511358464"</f>
        <v>3723470723511358464</v>
      </c>
      <c r="F3924" s="1" t="str">
        <f t="shared" si="1255"/>
        <v>花都四部-凤凰仓</v>
      </c>
      <c r="G3924" s="1" t="str">
        <f t="shared" si="1261"/>
        <v>卡卡杜企业店（视频号）</v>
      </c>
      <c r="H3924" s="1" t="str">
        <f t="shared" si="1256"/>
        <v>正常订单</v>
      </c>
      <c r="I3924" s="1" t="str">
        <f t="shared" si="1257"/>
        <v>已发货</v>
      </c>
      <c r="J3924" s="1" t="str">
        <f t="shared" ref="J3924:J3926" si="1264">"5"</f>
        <v>5</v>
      </c>
      <c r="K3924" s="1">
        <v>3</v>
      </c>
      <c r="L3924" s="1" t="s">
        <v>47</v>
      </c>
      <c r="M3924" s="1" t="str">
        <f>"重庆 重庆市 渝北区 "</f>
        <v xml:space="preserve">重庆 重庆市 渝北区 </v>
      </c>
      <c r="N3924" s="1" t="str">
        <f t="shared" si="1262"/>
        <v>凡华云仓-城南圆通-微信视频号</v>
      </c>
      <c r="O3924" s="5" t="s">
        <v>3956</v>
      </c>
      <c r="P3924" s="6">
        <v>0.47</v>
      </c>
      <c r="Q3924" s="11">
        <v>2.2999999999999998</v>
      </c>
      <c r="R3924" s="11"/>
      <c r="S3924" s="11"/>
      <c r="T3924" s="11"/>
      <c r="U3924" s="11">
        <f t="shared" si="1253"/>
        <v>2.2999999999999998</v>
      </c>
      <c r="W3924">
        <v>2.5</v>
      </c>
      <c r="X3924" s="1" t="s">
        <v>47</v>
      </c>
    </row>
    <row r="3925" spans="1:24" x14ac:dyDescent="0.25">
      <c r="A3925" s="1" t="str">
        <f t="shared" si="1254"/>
        <v>卡卡杜-凤凰仓</v>
      </c>
      <c r="B3925" s="1" t="str">
        <f>"CK20241022667"</f>
        <v>CK20241022667</v>
      </c>
      <c r="C3925" s="1" t="str">
        <f>"DD2024102256863"</f>
        <v>DD2024102256863</v>
      </c>
      <c r="D3925" s="1" t="str">
        <f>"CK2024102250969"</f>
        <v>CK2024102250969</v>
      </c>
      <c r="E3925" s="1" t="str">
        <f>"3723470703648969728"</f>
        <v>3723470703648969728</v>
      </c>
      <c r="F3925" s="1" t="str">
        <f t="shared" si="1255"/>
        <v>花都四部-凤凰仓</v>
      </c>
      <c r="G3925" s="1" t="str">
        <f t="shared" si="1261"/>
        <v>卡卡杜企业店（视频号）</v>
      </c>
      <c r="H3925" s="1" t="str">
        <f t="shared" si="1256"/>
        <v>正常订单</v>
      </c>
      <c r="I3925" s="1" t="str">
        <f t="shared" si="1257"/>
        <v>已发货</v>
      </c>
      <c r="J3925" s="1" t="str">
        <f t="shared" si="1264"/>
        <v>5</v>
      </c>
      <c r="K3925" s="1">
        <v>3</v>
      </c>
      <c r="L3925" s="1" t="s">
        <v>105</v>
      </c>
      <c r="M3925" s="1" t="str">
        <f>"北京 北京市 昌平区 "</f>
        <v xml:space="preserve">北京 北京市 昌平区 </v>
      </c>
      <c r="N3925" s="1" t="str">
        <f t="shared" si="1262"/>
        <v>凡华云仓-城南圆通-微信视频号</v>
      </c>
      <c r="O3925" s="5" t="s">
        <v>3957</v>
      </c>
      <c r="P3925" s="6">
        <v>0.47</v>
      </c>
      <c r="Q3925" s="11">
        <v>2.2999999999999998</v>
      </c>
      <c r="R3925" s="11"/>
      <c r="S3925" s="11"/>
      <c r="T3925" s="11"/>
      <c r="U3925" s="11">
        <f t="shared" si="1253"/>
        <v>2.2999999999999998</v>
      </c>
      <c r="W3925">
        <v>2.5</v>
      </c>
      <c r="X3925" s="1" t="s">
        <v>105</v>
      </c>
    </row>
    <row r="3926" spans="1:24" x14ac:dyDescent="0.25">
      <c r="A3926" s="1" t="str">
        <f t="shared" si="1254"/>
        <v>卡卡杜-凤凰仓</v>
      </c>
      <c r="B3926" s="1" t="str">
        <f>"CK20241022668"</f>
        <v>CK20241022668</v>
      </c>
      <c r="C3926" s="1" t="str">
        <f>"DD2024102256862"</f>
        <v>DD2024102256862</v>
      </c>
      <c r="D3926" s="1" t="str">
        <f>"CK2024102250968"</f>
        <v>CK2024102250968</v>
      </c>
      <c r="E3926" s="1" t="str">
        <f>"3723470695917294592"</f>
        <v>3723470695917294592</v>
      </c>
      <c r="F3926" s="1" t="str">
        <f t="shared" si="1255"/>
        <v>花都四部-凤凰仓</v>
      </c>
      <c r="G3926" s="1" t="str">
        <f t="shared" si="1261"/>
        <v>卡卡杜企业店（视频号）</v>
      </c>
      <c r="H3926" s="1" t="str">
        <f t="shared" si="1256"/>
        <v>正常订单</v>
      </c>
      <c r="I3926" s="1" t="str">
        <f t="shared" si="1257"/>
        <v>已发货</v>
      </c>
      <c r="J3926" s="1" t="str">
        <f t="shared" si="1264"/>
        <v>5</v>
      </c>
      <c r="K3926" s="1">
        <v>3</v>
      </c>
      <c r="L3926" s="1" t="s">
        <v>30</v>
      </c>
      <c r="M3926" s="1" t="str">
        <f>"山东省 威海市 环翠区 "</f>
        <v xml:space="preserve">山东省 威海市 环翠区 </v>
      </c>
      <c r="N3926" s="1" t="str">
        <f t="shared" si="1262"/>
        <v>凡华云仓-城南圆通-微信视频号</v>
      </c>
      <c r="O3926" s="5" t="s">
        <v>3958</v>
      </c>
      <c r="P3926" s="6">
        <v>0.47</v>
      </c>
      <c r="Q3926" s="11">
        <v>2.2999999999999998</v>
      </c>
      <c r="R3926" s="11"/>
      <c r="S3926" s="11"/>
      <c r="T3926" s="11"/>
      <c r="U3926" s="11">
        <f t="shared" si="1253"/>
        <v>2.2999999999999998</v>
      </c>
      <c r="W3926">
        <v>2.5</v>
      </c>
      <c r="X3926" s="1" t="s">
        <v>30</v>
      </c>
    </row>
    <row r="3927" spans="1:24" x14ac:dyDescent="0.25">
      <c r="A3927" s="1" t="str">
        <f t="shared" si="1254"/>
        <v>卡卡杜-凤凰仓</v>
      </c>
      <c r="B3927" s="1" t="str">
        <f>"CK20241022918"</f>
        <v>CK20241022918</v>
      </c>
      <c r="C3927" s="1" t="str">
        <f>"DD2024102257582"</f>
        <v>DD2024102257582</v>
      </c>
      <c r="D3927" s="1" t="str">
        <f>"CK2024102250967"</f>
        <v>CK2024102250967</v>
      </c>
      <c r="E3927" s="1" t="str">
        <f>"3723470665153383424"</f>
        <v>3723470665153383424</v>
      </c>
      <c r="F3927" s="1" t="str">
        <f t="shared" si="1255"/>
        <v>花都四部-凤凰仓</v>
      </c>
      <c r="G3927" s="1" t="str">
        <f t="shared" si="1261"/>
        <v>卡卡杜企业店（视频号）</v>
      </c>
      <c r="H3927" s="1" t="str">
        <f t="shared" si="1256"/>
        <v>正常订单</v>
      </c>
      <c r="I3927" s="1" t="str">
        <f t="shared" si="1257"/>
        <v>已发货</v>
      </c>
      <c r="J3927" s="1" t="str">
        <f t="shared" ref="J3927:J3931" si="1265">"3"</f>
        <v>3</v>
      </c>
      <c r="K3927" s="1">
        <v>2</v>
      </c>
      <c r="L3927" s="1" t="s">
        <v>92</v>
      </c>
      <c r="M3927" s="1" t="str">
        <f>"辽宁省 沈阳市 皇姑区 "</f>
        <v xml:space="preserve">辽宁省 沈阳市 皇姑区 </v>
      </c>
      <c r="N3927" s="1" t="str">
        <f t="shared" si="1262"/>
        <v>凡华云仓-城南圆通-微信视频号</v>
      </c>
      <c r="O3927" s="5" t="s">
        <v>3959</v>
      </c>
      <c r="P3927" s="6">
        <v>0.24</v>
      </c>
      <c r="Q3927" s="11">
        <v>2</v>
      </c>
      <c r="R3927" s="11"/>
      <c r="S3927" s="11"/>
      <c r="T3927" s="11"/>
      <c r="U3927" s="11">
        <f t="shared" si="1253"/>
        <v>2</v>
      </c>
      <c r="W3927">
        <v>2.2000000000000002</v>
      </c>
      <c r="X3927" s="1" t="s">
        <v>92</v>
      </c>
    </row>
    <row r="3928" spans="1:24" x14ac:dyDescent="0.25">
      <c r="A3928" s="1" t="str">
        <f t="shared" si="1254"/>
        <v>卡卡杜-凤凰仓</v>
      </c>
      <c r="B3928" s="1" t="str">
        <f>"CK20241022697"</f>
        <v>CK20241022697</v>
      </c>
      <c r="C3928" s="1" t="str">
        <f>"DD2024102257000"</f>
        <v>DD2024102257000</v>
      </c>
      <c r="D3928" s="1" t="str">
        <f>"CK2024102250966"</f>
        <v>CK2024102250966</v>
      </c>
      <c r="E3928" s="1" t="str">
        <f>"3723470655383275008"</f>
        <v>3723470655383275008</v>
      </c>
      <c r="F3928" s="1" t="str">
        <f t="shared" si="1255"/>
        <v>花都四部-凤凰仓</v>
      </c>
      <c r="G3928" s="1" t="str">
        <f t="shared" si="1261"/>
        <v>卡卡杜企业店（视频号）</v>
      </c>
      <c r="H3928" s="1" t="str">
        <f t="shared" si="1256"/>
        <v>正常订单</v>
      </c>
      <c r="I3928" s="1" t="str">
        <f t="shared" si="1257"/>
        <v>已发货</v>
      </c>
      <c r="J3928" s="1" t="str">
        <f>"2"</f>
        <v>2</v>
      </c>
      <c r="K3928" s="1">
        <v>2</v>
      </c>
      <c r="L3928" s="1" t="s">
        <v>161</v>
      </c>
      <c r="M3928" s="1" t="str">
        <f>"四川省 成都市 武侯区 "</f>
        <v xml:space="preserve">四川省 成都市 武侯区 </v>
      </c>
      <c r="N3928" s="1" t="str">
        <f t="shared" si="1262"/>
        <v>凡华云仓-城南圆通-微信视频号</v>
      </c>
      <c r="O3928" s="5" t="s">
        <v>3960</v>
      </c>
      <c r="P3928" s="6">
        <v>0.17</v>
      </c>
      <c r="Q3928" s="11">
        <v>2</v>
      </c>
      <c r="R3928" s="11"/>
      <c r="S3928" s="11"/>
      <c r="T3928" s="11"/>
      <c r="U3928" s="11">
        <f t="shared" si="1253"/>
        <v>2</v>
      </c>
      <c r="W3928">
        <v>2.2000000000000002</v>
      </c>
      <c r="X3928" s="1" t="s">
        <v>161</v>
      </c>
    </row>
    <row r="3929" spans="1:24" x14ac:dyDescent="0.25">
      <c r="A3929" s="1" t="str">
        <f t="shared" si="1254"/>
        <v>卡卡杜-凤凰仓</v>
      </c>
      <c r="B3929" s="1" t="str">
        <f>"CK20241022894"</f>
        <v>CK20241022894</v>
      </c>
      <c r="C3929" s="1" t="str">
        <f>"DD2024102257484"</f>
        <v>DD2024102257484</v>
      </c>
      <c r="D3929" s="1" t="str">
        <f>"CK2024102250965"</f>
        <v>CK2024102250965</v>
      </c>
      <c r="E3929" s="1" t="str">
        <f>"3723470638638564608"</f>
        <v>3723470638638564608</v>
      </c>
      <c r="F3929" s="1" t="str">
        <f t="shared" si="1255"/>
        <v>花都四部-凤凰仓</v>
      </c>
      <c r="G3929" s="1" t="str">
        <f t="shared" si="1261"/>
        <v>卡卡杜企业店（视频号）</v>
      </c>
      <c r="H3929" s="1" t="str">
        <f t="shared" si="1256"/>
        <v>正常订单</v>
      </c>
      <c r="I3929" s="1" t="str">
        <f t="shared" si="1257"/>
        <v>已发货</v>
      </c>
      <c r="J3929" s="1" t="str">
        <f t="shared" si="1265"/>
        <v>3</v>
      </c>
      <c r="K3929" s="1">
        <v>2</v>
      </c>
      <c r="L3929" s="1" t="s">
        <v>27</v>
      </c>
      <c r="M3929" s="1" t="str">
        <f>"贵州省 遵义市 汇川区 "</f>
        <v xml:space="preserve">贵州省 遵义市 汇川区 </v>
      </c>
      <c r="N3929" s="1" t="str">
        <f t="shared" si="1262"/>
        <v>凡华云仓-城南圆通-微信视频号</v>
      </c>
      <c r="O3929" s="5" t="s">
        <v>3961</v>
      </c>
      <c r="P3929" s="6">
        <v>0.24</v>
      </c>
      <c r="Q3929" s="11">
        <v>2</v>
      </c>
      <c r="R3929" s="11"/>
      <c r="S3929" s="11"/>
      <c r="T3929" s="11"/>
      <c r="U3929" s="11">
        <f t="shared" si="1253"/>
        <v>2</v>
      </c>
      <c r="W3929">
        <v>2.2000000000000002</v>
      </c>
      <c r="X3929" s="1" t="s">
        <v>27</v>
      </c>
    </row>
    <row r="3930" spans="1:24" x14ac:dyDescent="0.25">
      <c r="A3930" s="1" t="str">
        <f t="shared" si="1254"/>
        <v>卡卡杜-凤凰仓</v>
      </c>
      <c r="B3930" s="1" t="str">
        <f>"CK20241022762"</f>
        <v>CK20241022762</v>
      </c>
      <c r="C3930" s="1" t="str">
        <f>"DD2024102257065"</f>
        <v>DD2024102257065</v>
      </c>
      <c r="D3930" s="1" t="str">
        <f>"CK2024102250964"</f>
        <v>CK2024102250964</v>
      </c>
      <c r="E3930" s="1" t="str">
        <f>"3723470623821923584"</f>
        <v>3723470623821923584</v>
      </c>
      <c r="F3930" s="1" t="str">
        <f t="shared" si="1255"/>
        <v>花都四部-凤凰仓</v>
      </c>
      <c r="G3930" s="1" t="str">
        <f t="shared" si="1261"/>
        <v>卡卡杜企业店（视频号）</v>
      </c>
      <c r="H3930" s="1" t="str">
        <f t="shared" si="1256"/>
        <v>正常订单</v>
      </c>
      <c r="I3930" s="1" t="str">
        <f t="shared" si="1257"/>
        <v>已发货</v>
      </c>
      <c r="J3930" s="1" t="str">
        <f t="shared" si="1265"/>
        <v>3</v>
      </c>
      <c r="K3930" s="1">
        <v>2</v>
      </c>
      <c r="L3930" s="1" t="s">
        <v>41</v>
      </c>
      <c r="M3930" s="1" t="str">
        <f>"湖北省 省直辖县级行政区划 潜江市 "</f>
        <v xml:space="preserve">湖北省 省直辖县级行政区划 潜江市 </v>
      </c>
      <c r="N3930" s="1" t="str">
        <f t="shared" si="1262"/>
        <v>凡华云仓-城南圆通-微信视频号</v>
      </c>
      <c r="O3930" s="5" t="s">
        <v>3962</v>
      </c>
      <c r="P3930" s="6">
        <v>0.24</v>
      </c>
      <c r="Q3930" s="11">
        <v>2</v>
      </c>
      <c r="R3930" s="11"/>
      <c r="S3930" s="11"/>
      <c r="T3930" s="11"/>
      <c r="U3930" s="11">
        <f t="shared" si="1253"/>
        <v>2</v>
      </c>
      <c r="W3930">
        <v>2.2000000000000002</v>
      </c>
      <c r="X3930" s="1" t="s">
        <v>41</v>
      </c>
    </row>
    <row r="3931" spans="1:24" x14ac:dyDescent="0.25">
      <c r="A3931" s="1" t="str">
        <f t="shared" si="1254"/>
        <v>卡卡杜-凤凰仓</v>
      </c>
      <c r="B3931" s="1" t="str">
        <f>"CK20241022760"</f>
        <v>CK20241022760</v>
      </c>
      <c r="C3931" s="1" t="str">
        <f>"DD2024102257063"</f>
        <v>DD2024102257063</v>
      </c>
      <c r="D3931" s="1" t="str">
        <f>"CK2024102250963"</f>
        <v>CK2024102250963</v>
      </c>
      <c r="E3931" s="1" t="str">
        <f>"3723470628125017344"</f>
        <v>3723470628125017344</v>
      </c>
      <c r="F3931" s="1" t="str">
        <f t="shared" si="1255"/>
        <v>花都四部-凤凰仓</v>
      </c>
      <c r="G3931" s="1" t="str">
        <f t="shared" si="1261"/>
        <v>卡卡杜企业店（视频号）</v>
      </c>
      <c r="H3931" s="1" t="str">
        <f t="shared" si="1256"/>
        <v>正常订单</v>
      </c>
      <c r="I3931" s="1" t="str">
        <f t="shared" si="1257"/>
        <v>已发货</v>
      </c>
      <c r="J3931" s="1" t="str">
        <f t="shared" si="1265"/>
        <v>3</v>
      </c>
      <c r="K3931" s="1">
        <v>2</v>
      </c>
      <c r="L3931" s="1" t="s">
        <v>66</v>
      </c>
      <c r="M3931" s="1" t="str">
        <f>"内蒙古自治区 呼和浩特市 新城区 "</f>
        <v xml:space="preserve">内蒙古自治区 呼和浩特市 新城区 </v>
      </c>
      <c r="N3931" s="1" t="str">
        <f t="shared" si="1262"/>
        <v>凡华云仓-城南圆通-微信视频号</v>
      </c>
      <c r="O3931" s="5" t="s">
        <v>3963</v>
      </c>
      <c r="P3931" s="6">
        <v>0.24</v>
      </c>
      <c r="Q3931" s="11">
        <v>2</v>
      </c>
      <c r="R3931" s="11"/>
      <c r="S3931" s="11"/>
      <c r="T3931" s="11"/>
      <c r="U3931" s="11">
        <f t="shared" si="1253"/>
        <v>2</v>
      </c>
      <c r="W3931">
        <v>2.2000000000000002</v>
      </c>
      <c r="X3931" s="1" t="s">
        <v>66</v>
      </c>
    </row>
    <row r="3932" spans="1:24" x14ac:dyDescent="0.25">
      <c r="A3932" s="1" t="str">
        <f t="shared" si="1254"/>
        <v>卡卡杜-凤凰仓</v>
      </c>
      <c r="B3932" s="1" t="str">
        <f>"CK20241022759"</f>
        <v>CK20241022759</v>
      </c>
      <c r="C3932" s="1" t="str">
        <f>"DD2024102257064"</f>
        <v>DD2024102257064</v>
      </c>
      <c r="D3932" s="1" t="str">
        <f>"CK2024102250962"</f>
        <v>CK2024102250962</v>
      </c>
      <c r="E3932" s="1" t="str">
        <f>"3723470626733557248"</f>
        <v>3723470626733557248</v>
      </c>
      <c r="F3932" s="1" t="str">
        <f t="shared" si="1255"/>
        <v>花都四部-凤凰仓</v>
      </c>
      <c r="G3932" s="1" t="str">
        <f t="shared" si="1261"/>
        <v>卡卡杜企业店（视频号）</v>
      </c>
      <c r="H3932" s="1" t="str">
        <f t="shared" si="1256"/>
        <v>正常订单</v>
      </c>
      <c r="I3932" s="1" t="str">
        <f t="shared" si="1257"/>
        <v>已发货</v>
      </c>
      <c r="J3932" s="1" t="str">
        <f>"2"</f>
        <v>2</v>
      </c>
      <c r="K3932" s="1">
        <v>2</v>
      </c>
      <c r="L3932" s="1" t="s">
        <v>161</v>
      </c>
      <c r="M3932" s="1" t="str">
        <f>"四川省 绵阳市 涪城区 "</f>
        <v xml:space="preserve">四川省 绵阳市 涪城区 </v>
      </c>
      <c r="N3932" s="1" t="str">
        <f t="shared" si="1262"/>
        <v>凡华云仓-城南圆通-微信视频号</v>
      </c>
      <c r="O3932" s="5" t="s">
        <v>3964</v>
      </c>
      <c r="P3932" s="6">
        <v>0.17</v>
      </c>
      <c r="Q3932" s="11">
        <v>2</v>
      </c>
      <c r="R3932" s="11"/>
      <c r="S3932" s="11"/>
      <c r="T3932" s="11"/>
      <c r="U3932" s="11">
        <f t="shared" si="1253"/>
        <v>2</v>
      </c>
      <c r="W3932">
        <v>2.2000000000000002</v>
      </c>
      <c r="X3932" s="1" t="s">
        <v>161</v>
      </c>
    </row>
    <row r="3933" spans="1:24" x14ac:dyDescent="0.25">
      <c r="A3933" s="1" t="str">
        <f t="shared" si="1254"/>
        <v>卡卡杜-凤凰仓</v>
      </c>
      <c r="B3933" s="1" t="str">
        <f>"CK20241022844"</f>
        <v>CK20241022844</v>
      </c>
      <c r="C3933" s="1" t="str">
        <f>"DD2024102257286"</f>
        <v>DD2024102257286</v>
      </c>
      <c r="D3933" s="1" t="str">
        <f>"CK2024102250961"</f>
        <v>CK2024102250961</v>
      </c>
      <c r="E3933" s="1" t="str">
        <f>"3723470626732512256"</f>
        <v>3723470626732512256</v>
      </c>
      <c r="F3933" s="1" t="str">
        <f t="shared" si="1255"/>
        <v>花都四部-凤凰仓</v>
      </c>
      <c r="G3933" s="1" t="str">
        <f t="shared" si="1261"/>
        <v>卡卡杜企业店（视频号）</v>
      </c>
      <c r="H3933" s="1" t="str">
        <f t="shared" si="1256"/>
        <v>正常订单</v>
      </c>
      <c r="I3933" s="1" t="str">
        <f t="shared" si="1257"/>
        <v>已发货</v>
      </c>
      <c r="J3933" s="1" t="str">
        <f t="shared" ref="J3933:J3940" si="1266">"3"</f>
        <v>3</v>
      </c>
      <c r="K3933" s="1">
        <v>2</v>
      </c>
      <c r="L3933" s="1" t="s">
        <v>13</v>
      </c>
      <c r="M3933" s="1" t="str">
        <f>"江苏省 无锡市 梁溪区 "</f>
        <v xml:space="preserve">江苏省 无锡市 梁溪区 </v>
      </c>
      <c r="N3933" s="1" t="str">
        <f t="shared" si="1262"/>
        <v>凡华云仓-城南圆通-微信视频号</v>
      </c>
      <c r="O3933" s="5" t="s">
        <v>3965</v>
      </c>
      <c r="P3933" s="6">
        <v>0.24</v>
      </c>
      <c r="Q3933" s="11">
        <v>2</v>
      </c>
      <c r="R3933" s="11"/>
      <c r="S3933" s="11"/>
      <c r="T3933" s="11"/>
      <c r="U3933" s="11">
        <f t="shared" si="1253"/>
        <v>2</v>
      </c>
      <c r="W3933">
        <v>2.2000000000000002</v>
      </c>
      <c r="X3933" s="1" t="s">
        <v>13</v>
      </c>
    </row>
    <row r="3934" spans="1:24" x14ac:dyDescent="0.25">
      <c r="A3934" s="1" t="str">
        <f t="shared" si="1254"/>
        <v>卡卡杜-凤凰仓</v>
      </c>
      <c r="B3934" s="1" t="str">
        <f>"CK20241022733"</f>
        <v>CK20241022733</v>
      </c>
      <c r="C3934" s="1" t="str">
        <f>"DD2024102257036"</f>
        <v>DD2024102257036</v>
      </c>
      <c r="D3934" s="1" t="str">
        <f>"CK2024102250960"</f>
        <v>CK2024102250960</v>
      </c>
      <c r="E3934" s="1" t="str">
        <f>"3723470619308855296"</f>
        <v>3723470619308855296</v>
      </c>
      <c r="F3934" s="1" t="str">
        <f t="shared" si="1255"/>
        <v>花都四部-凤凰仓</v>
      </c>
      <c r="G3934" s="1" t="str">
        <f t="shared" si="1261"/>
        <v>卡卡杜企业店（视频号）</v>
      </c>
      <c r="H3934" s="1" t="str">
        <f t="shared" si="1256"/>
        <v>正常订单</v>
      </c>
      <c r="I3934" s="1" t="str">
        <f t="shared" si="1257"/>
        <v>已发货</v>
      </c>
      <c r="J3934" s="1" t="str">
        <f t="shared" si="1266"/>
        <v>3</v>
      </c>
      <c r="K3934" s="1">
        <v>2</v>
      </c>
      <c r="L3934" s="1" t="s">
        <v>30</v>
      </c>
      <c r="M3934" s="1" t="str">
        <f>"山东省 泰安市 泰山区 "</f>
        <v xml:space="preserve">山东省 泰安市 泰山区 </v>
      </c>
      <c r="N3934" s="1" t="str">
        <f t="shared" si="1262"/>
        <v>凡华云仓-城南圆通-微信视频号</v>
      </c>
      <c r="O3934" s="5" t="s">
        <v>3966</v>
      </c>
      <c r="P3934" s="6">
        <v>0.24</v>
      </c>
      <c r="Q3934" s="11">
        <v>2</v>
      </c>
      <c r="R3934" s="11"/>
      <c r="S3934" s="11"/>
      <c r="T3934" s="11"/>
      <c r="U3934" s="11">
        <f t="shared" si="1253"/>
        <v>2</v>
      </c>
      <c r="W3934">
        <v>2.2000000000000002</v>
      </c>
      <c r="X3934" s="1" t="s">
        <v>30</v>
      </c>
    </row>
    <row r="3935" spans="1:24" x14ac:dyDescent="0.25">
      <c r="A3935" s="1" t="str">
        <f t="shared" si="1254"/>
        <v>卡卡杜-凤凰仓</v>
      </c>
      <c r="B3935" s="1" t="str">
        <f>"CK20241022766"</f>
        <v>CK20241022766</v>
      </c>
      <c r="C3935" s="1" t="str">
        <f>"DD2024102257069"</f>
        <v>DD2024102257069</v>
      </c>
      <c r="D3935" s="1" t="str">
        <f>"CK2024102250959"</f>
        <v>CK2024102250959</v>
      </c>
      <c r="E3935" s="1" t="str">
        <f>"3723470624473616384"</f>
        <v>3723470624473616384</v>
      </c>
      <c r="F3935" s="1" t="str">
        <f t="shared" si="1255"/>
        <v>花都四部-凤凰仓</v>
      </c>
      <c r="G3935" s="1" t="str">
        <f t="shared" si="1261"/>
        <v>卡卡杜企业店（视频号）</v>
      </c>
      <c r="H3935" s="1" t="str">
        <f t="shared" si="1256"/>
        <v>正常订单</v>
      </c>
      <c r="I3935" s="1" t="str">
        <f t="shared" si="1257"/>
        <v>已发货</v>
      </c>
      <c r="J3935" s="1" t="str">
        <f t="shared" si="1266"/>
        <v>3</v>
      </c>
      <c r="K3935" s="1">
        <v>2</v>
      </c>
      <c r="L3935" s="1" t="s">
        <v>30</v>
      </c>
      <c r="M3935" s="1" t="str">
        <f>"山东省 威海市 环翠区 "</f>
        <v xml:space="preserve">山东省 威海市 环翠区 </v>
      </c>
      <c r="N3935" s="1" t="str">
        <f t="shared" si="1262"/>
        <v>凡华云仓-城南圆通-微信视频号</v>
      </c>
      <c r="O3935" s="5" t="s">
        <v>3967</v>
      </c>
      <c r="P3935" s="6">
        <v>0.24</v>
      </c>
      <c r="Q3935" s="11">
        <v>2</v>
      </c>
      <c r="R3935" s="11"/>
      <c r="S3935" s="11"/>
      <c r="T3935" s="11"/>
      <c r="U3935" s="11">
        <f t="shared" si="1253"/>
        <v>2</v>
      </c>
      <c r="W3935">
        <v>2.2000000000000002</v>
      </c>
      <c r="X3935" s="1" t="s">
        <v>30</v>
      </c>
    </row>
    <row r="3936" spans="1:24" x14ac:dyDescent="0.25">
      <c r="A3936" s="1" t="str">
        <f t="shared" si="1254"/>
        <v>卡卡杜-凤凰仓</v>
      </c>
      <c r="B3936" s="1" t="str">
        <f>"CK20241022895"</f>
        <v>CK20241022895</v>
      </c>
      <c r="C3936" s="1" t="str">
        <f>"DD2024102257486"</f>
        <v>DD2024102257486</v>
      </c>
      <c r="D3936" s="1" t="str">
        <f>"CK2024102250958"</f>
        <v>CK2024102250958</v>
      </c>
      <c r="E3936" s="1" t="str">
        <f>"3723470623636852736"</f>
        <v>3723470623636852736</v>
      </c>
      <c r="F3936" s="1" t="str">
        <f t="shared" si="1255"/>
        <v>花都四部-凤凰仓</v>
      </c>
      <c r="G3936" s="1" t="str">
        <f t="shared" si="1261"/>
        <v>卡卡杜企业店（视频号）</v>
      </c>
      <c r="H3936" s="1" t="str">
        <f t="shared" si="1256"/>
        <v>正常订单</v>
      </c>
      <c r="I3936" s="1" t="str">
        <f t="shared" si="1257"/>
        <v>已发货</v>
      </c>
      <c r="J3936" s="1" t="str">
        <f t="shared" si="1266"/>
        <v>3</v>
      </c>
      <c r="K3936" s="1">
        <v>2</v>
      </c>
      <c r="L3936" s="1" t="s">
        <v>74</v>
      </c>
      <c r="M3936" s="1" t="str">
        <f>"上海 上海市 松江区 "</f>
        <v xml:space="preserve">上海 上海市 松江区 </v>
      </c>
      <c r="N3936" s="1" t="str">
        <f t="shared" si="1262"/>
        <v>凡华云仓-城南圆通-微信视频号</v>
      </c>
      <c r="O3936" s="5" t="s">
        <v>3968</v>
      </c>
      <c r="P3936" s="6">
        <v>0.24</v>
      </c>
      <c r="Q3936" s="11">
        <v>2</v>
      </c>
      <c r="R3936" s="11"/>
      <c r="S3936" s="11"/>
      <c r="T3936" s="11"/>
      <c r="U3936" s="11">
        <f t="shared" si="1253"/>
        <v>2</v>
      </c>
      <c r="W3936">
        <v>2.2000000000000002</v>
      </c>
      <c r="X3936" s="1" t="s">
        <v>74</v>
      </c>
    </row>
    <row r="3937" spans="1:24" x14ac:dyDescent="0.25">
      <c r="A3937" s="1" t="str">
        <f t="shared" si="1254"/>
        <v>卡卡杜-凤凰仓</v>
      </c>
      <c r="B3937" s="1" t="str">
        <f>"CK20241022763"</f>
        <v>CK20241022763</v>
      </c>
      <c r="C3937" s="1" t="str">
        <f>"DD2024102257066"</f>
        <v>DD2024102257066</v>
      </c>
      <c r="D3937" s="1" t="str">
        <f>"CK2024102250957"</f>
        <v>CK2024102250957</v>
      </c>
      <c r="E3937" s="1" t="str">
        <f>"3723470622515660032"</f>
        <v>3723470622515660032</v>
      </c>
      <c r="F3937" s="1" t="str">
        <f t="shared" si="1255"/>
        <v>花都四部-凤凰仓</v>
      </c>
      <c r="G3937" s="1" t="str">
        <f t="shared" si="1261"/>
        <v>卡卡杜企业店（视频号）</v>
      </c>
      <c r="H3937" s="1" t="str">
        <f t="shared" si="1256"/>
        <v>正常订单</v>
      </c>
      <c r="I3937" s="1" t="str">
        <f t="shared" si="1257"/>
        <v>已发货</v>
      </c>
      <c r="J3937" s="1" t="str">
        <f t="shared" si="1266"/>
        <v>3</v>
      </c>
      <c r="K3937" s="1">
        <v>2</v>
      </c>
      <c r="L3937" s="1" t="s">
        <v>105</v>
      </c>
      <c r="M3937" s="1" t="str">
        <f>"北京 北京市 昌平区 "</f>
        <v xml:space="preserve">北京 北京市 昌平区 </v>
      </c>
      <c r="N3937" s="1" t="str">
        <f t="shared" si="1262"/>
        <v>凡华云仓-城南圆通-微信视频号</v>
      </c>
      <c r="O3937" s="5" t="s">
        <v>3969</v>
      </c>
      <c r="P3937" s="6">
        <v>0.24</v>
      </c>
      <c r="Q3937" s="11">
        <v>2</v>
      </c>
      <c r="R3937" s="11"/>
      <c r="S3937" s="11"/>
      <c r="T3937" s="11"/>
      <c r="U3937" s="11">
        <f t="shared" si="1253"/>
        <v>2</v>
      </c>
      <c r="W3937">
        <v>2.2000000000000002</v>
      </c>
      <c r="X3937" s="1" t="s">
        <v>105</v>
      </c>
    </row>
    <row r="3938" spans="1:24" x14ac:dyDescent="0.25">
      <c r="A3938" s="1" t="str">
        <f t="shared" si="1254"/>
        <v>卡卡杜-凤凰仓</v>
      </c>
      <c r="B3938" s="1" t="str">
        <f>"CK20241022892"</f>
        <v>CK20241022892</v>
      </c>
      <c r="C3938" s="1" t="str">
        <f>"DD2024102257474"</f>
        <v>DD2024102257474</v>
      </c>
      <c r="D3938" s="1" t="str">
        <f>"CK2024102250956"</f>
        <v>CK2024102250956</v>
      </c>
      <c r="E3938" s="1" t="str">
        <f>"3723470622212621824"</f>
        <v>3723470622212621824</v>
      </c>
      <c r="F3938" s="1" t="str">
        <f t="shared" si="1255"/>
        <v>花都四部-凤凰仓</v>
      </c>
      <c r="G3938" s="1" t="str">
        <f t="shared" si="1261"/>
        <v>卡卡杜企业店（视频号）</v>
      </c>
      <c r="H3938" s="1" t="str">
        <f t="shared" si="1256"/>
        <v>正常订单</v>
      </c>
      <c r="I3938" s="1" t="str">
        <f t="shared" si="1257"/>
        <v>已发货</v>
      </c>
      <c r="J3938" s="1" t="str">
        <f t="shared" si="1266"/>
        <v>3</v>
      </c>
      <c r="K3938" s="1">
        <v>2</v>
      </c>
      <c r="L3938" s="1" t="s">
        <v>109</v>
      </c>
      <c r="M3938" s="1" t="str">
        <f>"山西省 太原市 迎泽区 "</f>
        <v xml:space="preserve">山西省 太原市 迎泽区 </v>
      </c>
      <c r="N3938" s="1" t="str">
        <f t="shared" si="1262"/>
        <v>凡华云仓-城南圆通-微信视频号</v>
      </c>
      <c r="O3938" s="5" t="s">
        <v>3970</v>
      </c>
      <c r="P3938" s="6">
        <v>0.24</v>
      </c>
      <c r="Q3938" s="11">
        <v>2</v>
      </c>
      <c r="R3938" s="11"/>
      <c r="S3938" s="11"/>
      <c r="T3938" s="11"/>
      <c r="U3938" s="11">
        <f t="shared" si="1253"/>
        <v>2</v>
      </c>
      <c r="W3938">
        <v>2.2000000000000002</v>
      </c>
      <c r="X3938" s="1" t="s">
        <v>109</v>
      </c>
    </row>
    <row r="3939" spans="1:24" x14ac:dyDescent="0.25">
      <c r="A3939" s="1" t="str">
        <f t="shared" si="1254"/>
        <v>卡卡杜-凤凰仓</v>
      </c>
      <c r="B3939" s="1" t="str">
        <f>"CK20241022744"</f>
        <v>CK20241022744</v>
      </c>
      <c r="C3939" s="1" t="str">
        <f>"DD2024102257047"</f>
        <v>DD2024102257047</v>
      </c>
      <c r="D3939" s="1" t="str">
        <f>"CK2024102250955"</f>
        <v>CK2024102250955</v>
      </c>
      <c r="E3939" s="1" t="str">
        <f>"3723470618131828736"</f>
        <v>3723470618131828736</v>
      </c>
      <c r="F3939" s="1" t="str">
        <f t="shared" si="1255"/>
        <v>花都四部-凤凰仓</v>
      </c>
      <c r="G3939" s="1" t="str">
        <f t="shared" si="1261"/>
        <v>卡卡杜企业店（视频号）</v>
      </c>
      <c r="H3939" s="1" t="str">
        <f t="shared" si="1256"/>
        <v>正常订单</v>
      </c>
      <c r="I3939" s="1" t="str">
        <f t="shared" si="1257"/>
        <v>已发货</v>
      </c>
      <c r="J3939" s="1" t="str">
        <f t="shared" si="1266"/>
        <v>3</v>
      </c>
      <c r="K3939" s="1">
        <v>2</v>
      </c>
      <c r="L3939" s="1" t="s">
        <v>109</v>
      </c>
      <c r="M3939" s="1" t="str">
        <f>"山西省 太原市 小店区 "</f>
        <v xml:space="preserve">山西省 太原市 小店区 </v>
      </c>
      <c r="N3939" s="1" t="str">
        <f t="shared" si="1262"/>
        <v>凡华云仓-城南圆通-微信视频号</v>
      </c>
      <c r="O3939" s="5" t="s">
        <v>3971</v>
      </c>
      <c r="P3939" s="6">
        <v>0.24</v>
      </c>
      <c r="Q3939" s="11">
        <v>2</v>
      </c>
      <c r="R3939" s="11"/>
      <c r="S3939" s="11"/>
      <c r="T3939" s="11"/>
      <c r="U3939" s="11">
        <f t="shared" si="1253"/>
        <v>2</v>
      </c>
      <c r="W3939">
        <v>2.2000000000000002</v>
      </c>
      <c r="X3939" s="1" t="s">
        <v>109</v>
      </c>
    </row>
    <row r="3940" spans="1:24" x14ac:dyDescent="0.25">
      <c r="A3940" s="1" t="str">
        <f t="shared" si="1254"/>
        <v>卡卡杜-凤凰仓</v>
      </c>
      <c r="B3940" s="1" t="str">
        <f>"CK20241022887"</f>
        <v>CK20241022887</v>
      </c>
      <c r="C3940" s="1" t="str">
        <f>"DD2024102257461"</f>
        <v>DD2024102257461</v>
      </c>
      <c r="D3940" s="1" t="str">
        <f>"CK2024102250954"</f>
        <v>CK2024102250954</v>
      </c>
      <c r="E3940" s="1" t="str">
        <f>"3723470617096623105"</f>
        <v>3723470617096623105</v>
      </c>
      <c r="F3940" s="1" t="str">
        <f t="shared" si="1255"/>
        <v>花都四部-凤凰仓</v>
      </c>
      <c r="G3940" s="1" t="str">
        <f t="shared" si="1261"/>
        <v>卡卡杜企业店（视频号）</v>
      </c>
      <c r="H3940" s="1" t="str">
        <f t="shared" si="1256"/>
        <v>正常订单</v>
      </c>
      <c r="I3940" s="1" t="str">
        <f t="shared" si="1257"/>
        <v>已发货</v>
      </c>
      <c r="J3940" s="1" t="str">
        <f t="shared" si="1266"/>
        <v>3</v>
      </c>
      <c r="K3940" s="1">
        <v>2</v>
      </c>
      <c r="L3940" s="1" t="s">
        <v>105</v>
      </c>
      <c r="M3940" s="1" t="str">
        <f>"北京 北京市 海淀区 "</f>
        <v xml:space="preserve">北京 北京市 海淀区 </v>
      </c>
      <c r="N3940" s="1" t="str">
        <f t="shared" si="1262"/>
        <v>凡华云仓-城南圆通-微信视频号</v>
      </c>
      <c r="O3940" s="5" t="s">
        <v>3972</v>
      </c>
      <c r="P3940" s="6">
        <v>0.24</v>
      </c>
      <c r="Q3940" s="11">
        <v>2</v>
      </c>
      <c r="R3940" s="11"/>
      <c r="S3940" s="11"/>
      <c r="T3940" s="11"/>
      <c r="U3940" s="11">
        <f t="shared" si="1253"/>
        <v>2</v>
      </c>
      <c r="W3940">
        <v>2.2000000000000002</v>
      </c>
      <c r="X3940" s="1" t="s">
        <v>105</v>
      </c>
    </row>
    <row r="3941" spans="1:24" x14ac:dyDescent="0.25">
      <c r="A3941" s="1" t="str">
        <f t="shared" si="1254"/>
        <v>卡卡杜-凤凰仓</v>
      </c>
      <c r="B3941" s="1" t="str">
        <f>"CK20241022834"</f>
        <v>CK20241022834</v>
      </c>
      <c r="C3941" s="1" t="str">
        <f>"DD2024102257256"</f>
        <v>DD2024102257256</v>
      </c>
      <c r="D3941" s="1" t="str">
        <f>"CK2024102250953"</f>
        <v>CK2024102250953</v>
      </c>
      <c r="E3941" s="1" t="str">
        <f>"3723470615777512448"</f>
        <v>3723470615777512448</v>
      </c>
      <c r="F3941" s="1" t="str">
        <f t="shared" si="1255"/>
        <v>花都四部-凤凰仓</v>
      </c>
      <c r="G3941" s="1" t="str">
        <f t="shared" si="1261"/>
        <v>卡卡杜企业店（视频号）</v>
      </c>
      <c r="H3941" s="1" t="str">
        <f t="shared" si="1256"/>
        <v>正常订单</v>
      </c>
      <c r="I3941" s="1" t="str">
        <f t="shared" si="1257"/>
        <v>已发货</v>
      </c>
      <c r="J3941" s="1" t="str">
        <f>"2"</f>
        <v>2</v>
      </c>
      <c r="K3941" s="1">
        <v>2</v>
      </c>
      <c r="L3941" s="1" t="s">
        <v>105</v>
      </c>
      <c r="M3941" s="1" t="str">
        <f>"北京 北京市 朝阳区 "</f>
        <v xml:space="preserve">北京 北京市 朝阳区 </v>
      </c>
      <c r="N3941" s="1" t="str">
        <f t="shared" si="1262"/>
        <v>凡华云仓-城南圆通-微信视频号</v>
      </c>
      <c r="O3941" s="5" t="s">
        <v>3973</v>
      </c>
      <c r="P3941" s="6">
        <v>0.17</v>
      </c>
      <c r="Q3941" s="11">
        <v>2</v>
      </c>
      <c r="R3941" s="11"/>
      <c r="S3941" s="11"/>
      <c r="T3941" s="11"/>
      <c r="U3941" s="11">
        <f t="shared" si="1253"/>
        <v>2</v>
      </c>
      <c r="W3941">
        <v>2.2000000000000002</v>
      </c>
      <c r="X3941" s="1" t="s">
        <v>105</v>
      </c>
    </row>
    <row r="3942" spans="1:24" x14ac:dyDescent="0.25">
      <c r="A3942" s="1" t="str">
        <f t="shared" si="1254"/>
        <v>卡卡杜-凤凰仓</v>
      </c>
      <c r="B3942" s="1" t="str">
        <f>"CK20241022888"</f>
        <v>CK20241022888</v>
      </c>
      <c r="C3942" s="1" t="str">
        <f>"DD2024102257465"</f>
        <v>DD2024102257465</v>
      </c>
      <c r="D3942" s="1" t="str">
        <f>"CK2024102250952"</f>
        <v>CK2024102250952</v>
      </c>
      <c r="E3942" s="1" t="str">
        <f>"3723470616224994304"</f>
        <v>3723470616224994304</v>
      </c>
      <c r="F3942" s="1" t="str">
        <f t="shared" si="1255"/>
        <v>花都四部-凤凰仓</v>
      </c>
      <c r="G3942" s="1" t="str">
        <f t="shared" si="1261"/>
        <v>卡卡杜企业店（视频号）</v>
      </c>
      <c r="H3942" s="1" t="str">
        <f t="shared" si="1256"/>
        <v>正常订单</v>
      </c>
      <c r="I3942" s="1" t="str">
        <f t="shared" si="1257"/>
        <v>已发货</v>
      </c>
      <c r="J3942" s="1" t="str">
        <f t="shared" ref="J3942:J3945" si="1267">"3"</f>
        <v>3</v>
      </c>
      <c r="K3942" s="1">
        <v>2</v>
      </c>
      <c r="L3942" s="1" t="s">
        <v>24</v>
      </c>
      <c r="M3942" s="1" t="str">
        <f>"福建省 厦门市 思明区 "</f>
        <v xml:space="preserve">福建省 厦门市 思明区 </v>
      </c>
      <c r="N3942" s="1" t="str">
        <f t="shared" si="1262"/>
        <v>凡华云仓-城南圆通-微信视频号</v>
      </c>
      <c r="O3942" s="5" t="s">
        <v>3974</v>
      </c>
      <c r="P3942" s="6">
        <v>0.24</v>
      </c>
      <c r="Q3942" s="11">
        <v>2</v>
      </c>
      <c r="R3942" s="11"/>
      <c r="S3942" s="11"/>
      <c r="T3942" s="11"/>
      <c r="U3942" s="11">
        <f t="shared" si="1253"/>
        <v>2</v>
      </c>
      <c r="W3942">
        <v>2.2000000000000002</v>
      </c>
      <c r="X3942" s="1" t="s">
        <v>24</v>
      </c>
    </row>
    <row r="3943" spans="1:24" x14ac:dyDescent="0.25">
      <c r="A3943" s="1" t="str">
        <f t="shared" si="1254"/>
        <v>卡卡杜-凤凰仓</v>
      </c>
      <c r="B3943" s="1" t="str">
        <f>"CK20241022912"</f>
        <v>CK20241022912</v>
      </c>
      <c r="C3943" s="1" t="str">
        <f>"DD2024102257558"</f>
        <v>DD2024102257558</v>
      </c>
      <c r="D3943" s="1" t="str">
        <f>"CK2024102250951"</f>
        <v>CK2024102250951</v>
      </c>
      <c r="E3943" s="1" t="str">
        <f>"3723470566894208256"</f>
        <v>3723470566894208256</v>
      </c>
      <c r="F3943" s="1" t="str">
        <f t="shared" si="1255"/>
        <v>花都四部-凤凰仓</v>
      </c>
      <c r="G3943" s="1" t="str">
        <f t="shared" si="1261"/>
        <v>卡卡杜企业店（视频号）</v>
      </c>
      <c r="H3943" s="1" t="str">
        <f t="shared" si="1256"/>
        <v>正常订单</v>
      </c>
      <c r="I3943" s="1" t="str">
        <f t="shared" si="1257"/>
        <v>已发货</v>
      </c>
      <c r="J3943" s="1" t="str">
        <f t="shared" si="1267"/>
        <v>3</v>
      </c>
      <c r="K3943" s="1">
        <v>2</v>
      </c>
      <c r="L3943" s="1" t="s">
        <v>20</v>
      </c>
      <c r="M3943" s="1" t="str">
        <f>"浙江省 杭州市 滨江区 "</f>
        <v xml:space="preserve">浙江省 杭州市 滨江区 </v>
      </c>
      <c r="N3943" s="1" t="str">
        <f t="shared" si="1262"/>
        <v>凡华云仓-城南圆通-微信视频号</v>
      </c>
      <c r="O3943" s="5" t="s">
        <v>3975</v>
      </c>
      <c r="P3943" s="6">
        <v>0.24</v>
      </c>
      <c r="Q3943" s="11">
        <v>2</v>
      </c>
      <c r="R3943" s="11"/>
      <c r="S3943" s="11"/>
      <c r="T3943" s="11"/>
      <c r="U3943" s="11">
        <f t="shared" si="1253"/>
        <v>2</v>
      </c>
      <c r="W3943">
        <v>2.2000000000000002</v>
      </c>
      <c r="X3943" s="1" t="s">
        <v>20</v>
      </c>
    </row>
    <row r="3944" spans="1:24" x14ac:dyDescent="0.25">
      <c r="A3944" s="1" t="str">
        <f t="shared" si="1254"/>
        <v>卡卡杜-凤凰仓</v>
      </c>
      <c r="B3944" s="1" t="str">
        <f>"CK20241022296"</f>
        <v>CK20241022296</v>
      </c>
      <c r="C3944" s="1" t="str">
        <f>"DD2024102253865"</f>
        <v>DD2024102253865</v>
      </c>
      <c r="D3944" s="1" t="str">
        <f>"CK2024102250950"</f>
        <v>CK2024102250950</v>
      </c>
      <c r="E3944" s="1" t="str">
        <f>"3723470526078652416"</f>
        <v>3723470526078652416</v>
      </c>
      <c r="F3944" s="1" t="str">
        <f t="shared" si="1255"/>
        <v>花都四部-凤凰仓</v>
      </c>
      <c r="G3944" s="1" t="str">
        <f t="shared" si="1261"/>
        <v>卡卡杜企业店（视频号）</v>
      </c>
      <c r="H3944" s="1" t="str">
        <f t="shared" si="1256"/>
        <v>正常订单</v>
      </c>
      <c r="I3944" s="1" t="str">
        <f t="shared" si="1257"/>
        <v>已发货</v>
      </c>
      <c r="J3944" s="1" t="str">
        <f t="shared" si="1267"/>
        <v>3</v>
      </c>
      <c r="K3944" s="1">
        <v>3</v>
      </c>
      <c r="L3944" s="1" t="s">
        <v>30</v>
      </c>
      <c r="M3944" s="1" t="str">
        <f>"山东省 济南市 市中区 "</f>
        <v xml:space="preserve">山东省 济南市 市中区 </v>
      </c>
      <c r="N3944" s="1" t="str">
        <f t="shared" si="1262"/>
        <v>凡华云仓-城南圆通-微信视频号</v>
      </c>
      <c r="O3944" s="5" t="s">
        <v>3976</v>
      </c>
      <c r="P3944" s="6">
        <v>0.34</v>
      </c>
      <c r="Q3944" s="11">
        <v>2.2999999999999998</v>
      </c>
      <c r="R3944" s="11"/>
      <c r="S3944" s="11"/>
      <c r="T3944" s="11"/>
      <c r="U3944" s="11">
        <f t="shared" si="1253"/>
        <v>2.2999999999999998</v>
      </c>
      <c r="W3944">
        <v>2.5</v>
      </c>
      <c r="X3944" s="1" t="s">
        <v>30</v>
      </c>
    </row>
    <row r="3945" spans="1:24" x14ac:dyDescent="0.25">
      <c r="A3945" s="1" t="str">
        <f t="shared" si="1254"/>
        <v>卡卡杜-凤凰仓</v>
      </c>
      <c r="B3945" s="1" t="str">
        <f>"CK20241022450"</f>
        <v>CK20241022450</v>
      </c>
      <c r="C3945" s="1" t="str">
        <f>"DD2024102255415"</f>
        <v>DD2024102255415</v>
      </c>
      <c r="D3945" s="1" t="str">
        <f>"CK2024102250949"</f>
        <v>CK2024102250949</v>
      </c>
      <c r="E3945" s="1" t="str">
        <f>"3723470521037620736"</f>
        <v>3723470521037620736</v>
      </c>
      <c r="F3945" s="1" t="str">
        <f t="shared" si="1255"/>
        <v>花都四部-凤凰仓</v>
      </c>
      <c r="G3945" s="1" t="str">
        <f t="shared" si="1261"/>
        <v>卡卡杜企业店（视频号）</v>
      </c>
      <c r="H3945" s="1" t="str">
        <f t="shared" si="1256"/>
        <v>正常订单</v>
      </c>
      <c r="I3945" s="1" t="str">
        <f t="shared" si="1257"/>
        <v>已发货</v>
      </c>
      <c r="J3945" s="1" t="str">
        <f t="shared" si="1267"/>
        <v>3</v>
      </c>
      <c r="K3945" s="1">
        <v>3</v>
      </c>
      <c r="L3945" s="1" t="s">
        <v>30</v>
      </c>
      <c r="M3945" s="1" t="str">
        <f>"山东省 青岛市 市北区 "</f>
        <v xml:space="preserve">山东省 青岛市 市北区 </v>
      </c>
      <c r="N3945" s="1" t="str">
        <f t="shared" si="1262"/>
        <v>凡华云仓-城南圆通-微信视频号</v>
      </c>
      <c r="O3945" s="5" t="s">
        <v>3977</v>
      </c>
      <c r="P3945" s="6">
        <v>0.34</v>
      </c>
      <c r="Q3945" s="11">
        <v>2.2999999999999998</v>
      </c>
      <c r="R3945" s="11"/>
      <c r="S3945" s="11"/>
      <c r="T3945" s="11"/>
      <c r="U3945" s="11">
        <f t="shared" si="1253"/>
        <v>2.2999999999999998</v>
      </c>
      <c r="W3945">
        <v>2.5</v>
      </c>
      <c r="X3945" s="1" t="s">
        <v>30</v>
      </c>
    </row>
    <row r="3946" spans="1:24" x14ac:dyDescent="0.25">
      <c r="A3946" s="1" t="str">
        <f t="shared" si="1254"/>
        <v>卡卡杜-凤凰仓</v>
      </c>
      <c r="B3946" s="1" t="str">
        <f>"CK20241022297"</f>
        <v>CK20241022297</v>
      </c>
      <c r="C3946" s="1" t="str">
        <f>"DD2024102253864"</f>
        <v>DD2024102253864</v>
      </c>
      <c r="D3946" s="1" t="str">
        <f>"CK2024102250948"</f>
        <v>CK2024102250948</v>
      </c>
      <c r="E3946" s="1" t="str">
        <f>"3723470509571182592"</f>
        <v>3723470509571182592</v>
      </c>
      <c r="F3946" s="1" t="str">
        <f t="shared" si="1255"/>
        <v>花都四部-凤凰仓</v>
      </c>
      <c r="G3946" s="1" t="str">
        <f t="shared" si="1261"/>
        <v>卡卡杜企业店（视频号）</v>
      </c>
      <c r="H3946" s="1" t="str">
        <f t="shared" si="1256"/>
        <v>正常订单</v>
      </c>
      <c r="I3946" s="1" t="str">
        <f t="shared" si="1257"/>
        <v>已发货</v>
      </c>
      <c r="J3946" s="1" t="str">
        <f t="shared" ref="J3946:J3951" si="1268">"5"</f>
        <v>5</v>
      </c>
      <c r="K3946" s="1">
        <v>3</v>
      </c>
      <c r="L3946" s="1" t="s">
        <v>161</v>
      </c>
      <c r="M3946" s="1" t="str">
        <f>"四川省 成都市 武侯区 "</f>
        <v xml:space="preserve">四川省 成都市 武侯区 </v>
      </c>
      <c r="N3946" s="1" t="str">
        <f t="shared" si="1262"/>
        <v>凡华云仓-城南圆通-微信视频号</v>
      </c>
      <c r="O3946" s="5" t="s">
        <v>3978</v>
      </c>
      <c r="P3946" s="6">
        <v>0.56000000000000005</v>
      </c>
      <c r="Q3946" s="11">
        <f t="shared" ref="Q3946:Q3951" si="1269">CEILING(P3946-0.5,0.1)*10*0.15+2.3</f>
        <v>2.4499999999999997</v>
      </c>
      <c r="R3946" s="11"/>
      <c r="S3946" s="11"/>
      <c r="T3946" s="11"/>
      <c r="U3946" s="11">
        <f t="shared" si="1253"/>
        <v>2.4499999999999997</v>
      </c>
      <c r="V3946" t="s">
        <v>15</v>
      </c>
      <c r="W3946">
        <v>2.4500000000000002</v>
      </c>
      <c r="X3946" s="1" t="s">
        <v>161</v>
      </c>
    </row>
    <row r="3947" spans="1:24" x14ac:dyDescent="0.25">
      <c r="A3947" s="1" t="str">
        <f t="shared" si="1254"/>
        <v>卡卡杜-凤凰仓</v>
      </c>
      <c r="B3947" s="1" t="str">
        <f>"CK20241022504"</f>
        <v>CK20241022504</v>
      </c>
      <c r="C3947" s="1" t="str">
        <f>"DD2024102255636"</f>
        <v>DD2024102255636</v>
      </c>
      <c r="D3947" s="1" t="str">
        <f>"CK2024102250947"</f>
        <v>CK2024102250947</v>
      </c>
      <c r="E3947" s="1" t="str">
        <f>"3723470515197316096"</f>
        <v>3723470515197316096</v>
      </c>
      <c r="F3947" s="1" t="str">
        <f t="shared" si="1255"/>
        <v>花都四部-凤凰仓</v>
      </c>
      <c r="G3947" s="1" t="str">
        <f t="shared" si="1261"/>
        <v>卡卡杜企业店（视频号）</v>
      </c>
      <c r="H3947" s="1" t="str">
        <f t="shared" si="1256"/>
        <v>正常订单</v>
      </c>
      <c r="I3947" s="1" t="str">
        <f t="shared" si="1257"/>
        <v>已发货</v>
      </c>
      <c r="J3947" s="1" t="str">
        <f t="shared" si="1268"/>
        <v>5</v>
      </c>
      <c r="K3947" s="1">
        <v>3</v>
      </c>
      <c r="L3947" s="1" t="s">
        <v>161</v>
      </c>
      <c r="M3947" s="1" t="str">
        <f>"四川省 绵阳市 涪城区 "</f>
        <v xml:space="preserve">四川省 绵阳市 涪城区 </v>
      </c>
      <c r="N3947" s="1" t="str">
        <f t="shared" si="1262"/>
        <v>凡华云仓-城南圆通-微信视频号</v>
      </c>
      <c r="O3947" s="5" t="s">
        <v>3979</v>
      </c>
      <c r="P3947" s="6">
        <v>0.56000000000000005</v>
      </c>
      <c r="Q3947" s="11">
        <f t="shared" si="1269"/>
        <v>2.4499999999999997</v>
      </c>
      <c r="R3947" s="11"/>
      <c r="S3947" s="11"/>
      <c r="T3947" s="11"/>
      <c r="U3947" s="11">
        <f t="shared" si="1253"/>
        <v>2.4499999999999997</v>
      </c>
      <c r="V3947" t="s">
        <v>15</v>
      </c>
      <c r="W3947">
        <v>2.4500000000000002</v>
      </c>
      <c r="X3947" s="1" t="s">
        <v>161</v>
      </c>
    </row>
    <row r="3948" spans="1:24" x14ac:dyDescent="0.25">
      <c r="A3948" s="1" t="str">
        <f t="shared" si="1254"/>
        <v>卡卡杜-凤凰仓</v>
      </c>
      <c r="B3948" s="1" t="str">
        <f>"CK20241022463"</f>
        <v>CK20241022463</v>
      </c>
      <c r="C3948" s="1" t="str">
        <f>"DD2024102255481"</f>
        <v>DD2024102255481</v>
      </c>
      <c r="D3948" s="1" t="str">
        <f>"CK2024102250946"</f>
        <v>CK2024102250946</v>
      </c>
      <c r="E3948" s="1" t="str">
        <f>"3723470498286408705"</f>
        <v>3723470498286408705</v>
      </c>
      <c r="F3948" s="1" t="str">
        <f t="shared" si="1255"/>
        <v>花都四部-凤凰仓</v>
      </c>
      <c r="G3948" s="1" t="str">
        <f t="shared" si="1261"/>
        <v>卡卡杜企业店（视频号）</v>
      </c>
      <c r="H3948" s="1" t="str">
        <f t="shared" si="1256"/>
        <v>正常订单</v>
      </c>
      <c r="I3948" s="1" t="str">
        <f t="shared" si="1257"/>
        <v>已发货</v>
      </c>
      <c r="J3948" s="1" t="str">
        <f t="shared" ref="J3948:J3953" si="1270">"3"</f>
        <v>3</v>
      </c>
      <c r="K3948" s="1">
        <v>3</v>
      </c>
      <c r="L3948" s="1" t="s">
        <v>16</v>
      </c>
      <c r="M3948" s="1" t="str">
        <f>"河北省 保定市 竞秀区 "</f>
        <v xml:space="preserve">河北省 保定市 竞秀区 </v>
      </c>
      <c r="N3948" s="1" t="str">
        <f t="shared" si="1262"/>
        <v>凡华云仓-城南圆通-微信视频号</v>
      </c>
      <c r="O3948" s="5" t="s">
        <v>3980</v>
      </c>
      <c r="P3948" s="6">
        <v>0.34</v>
      </c>
      <c r="Q3948" s="11">
        <v>2.2999999999999998</v>
      </c>
      <c r="R3948" s="11"/>
      <c r="S3948" s="11"/>
      <c r="T3948" s="11"/>
      <c r="U3948" s="11">
        <f t="shared" si="1253"/>
        <v>2.2999999999999998</v>
      </c>
      <c r="W3948">
        <v>2.5</v>
      </c>
      <c r="X3948" s="1" t="s">
        <v>16</v>
      </c>
    </row>
    <row r="3949" spans="1:24" x14ac:dyDescent="0.25">
      <c r="A3949" s="1" t="str">
        <f t="shared" si="1254"/>
        <v>卡卡杜-凤凰仓</v>
      </c>
      <c r="B3949" s="1" t="str">
        <f>"CK20241022298"</f>
        <v>CK20241022298</v>
      </c>
      <c r="C3949" s="1" t="str">
        <f>"DD2024102253866"</f>
        <v>DD2024102253866</v>
      </c>
      <c r="D3949" s="1" t="str">
        <f>"CK2024102250945"</f>
        <v>CK2024102250945</v>
      </c>
      <c r="E3949" s="1" t="str">
        <f>"3723470508366105600"</f>
        <v>3723470508366105600</v>
      </c>
      <c r="F3949" s="1" t="str">
        <f t="shared" si="1255"/>
        <v>花都四部-凤凰仓</v>
      </c>
      <c r="G3949" s="1" t="str">
        <f t="shared" si="1261"/>
        <v>卡卡杜企业店（视频号）</v>
      </c>
      <c r="H3949" s="1" t="str">
        <f t="shared" si="1256"/>
        <v>正常订单</v>
      </c>
      <c r="I3949" s="1" t="str">
        <f t="shared" si="1257"/>
        <v>已发货</v>
      </c>
      <c r="J3949" s="1" t="str">
        <f t="shared" si="1268"/>
        <v>5</v>
      </c>
      <c r="K3949" s="1">
        <v>3</v>
      </c>
      <c r="L3949" s="1" t="s">
        <v>32</v>
      </c>
      <c r="M3949" s="1" t="str">
        <f>"陕西省 西安市 灞桥区 "</f>
        <v xml:space="preserve">陕西省 西安市 灞桥区 </v>
      </c>
      <c r="N3949" s="1" t="str">
        <f t="shared" si="1262"/>
        <v>凡华云仓-城南圆通-微信视频号</v>
      </c>
      <c r="O3949" s="5" t="s">
        <v>3981</v>
      </c>
      <c r="P3949" s="6">
        <v>0.56000000000000005</v>
      </c>
      <c r="Q3949" s="11">
        <f t="shared" si="1269"/>
        <v>2.4499999999999997</v>
      </c>
      <c r="R3949" s="11"/>
      <c r="S3949" s="11"/>
      <c r="T3949" s="11"/>
      <c r="U3949" s="11">
        <f t="shared" si="1253"/>
        <v>2.4499999999999997</v>
      </c>
      <c r="V3949" t="s">
        <v>15</v>
      </c>
      <c r="W3949">
        <v>2.4500000000000002</v>
      </c>
      <c r="X3949" s="1" t="s">
        <v>32</v>
      </c>
    </row>
    <row r="3950" spans="1:24" x14ac:dyDescent="0.25">
      <c r="A3950" s="1" t="str">
        <f t="shared" si="1254"/>
        <v>卡卡杜-凤凰仓</v>
      </c>
      <c r="B3950" s="1" t="str">
        <f>"CK20241022299"</f>
        <v>CK20241022299</v>
      </c>
      <c r="C3950" s="1" t="str">
        <f>"DD2024102253869"</f>
        <v>DD2024102253869</v>
      </c>
      <c r="D3950" s="1" t="str">
        <f>"CK2024102250944"</f>
        <v>CK2024102250944</v>
      </c>
      <c r="E3950" s="1" t="str">
        <f>"3723470497985465344"</f>
        <v>3723470497985465344</v>
      </c>
      <c r="F3950" s="1" t="str">
        <f t="shared" si="1255"/>
        <v>花都四部-凤凰仓</v>
      </c>
      <c r="G3950" s="1" t="str">
        <f t="shared" si="1261"/>
        <v>卡卡杜企业店（视频号）</v>
      </c>
      <c r="H3950" s="1" t="str">
        <f t="shared" si="1256"/>
        <v>正常订单</v>
      </c>
      <c r="I3950" s="1" t="str">
        <f t="shared" si="1257"/>
        <v>已发货</v>
      </c>
      <c r="J3950" s="1" t="str">
        <f t="shared" si="1268"/>
        <v>5</v>
      </c>
      <c r="K3950" s="1">
        <v>3</v>
      </c>
      <c r="L3950" s="1" t="s">
        <v>18</v>
      </c>
      <c r="M3950" s="1" t="str">
        <f>"广东省 深圳市 龙岗区 "</f>
        <v xml:space="preserve">广东省 深圳市 龙岗区 </v>
      </c>
      <c r="N3950" s="1" t="str">
        <f t="shared" si="1262"/>
        <v>凡华云仓-城南圆通-微信视频号</v>
      </c>
      <c r="O3950" s="5" t="s">
        <v>3982</v>
      </c>
      <c r="P3950" s="6">
        <v>0.56000000000000005</v>
      </c>
      <c r="Q3950" s="11">
        <f t="shared" si="1269"/>
        <v>2.4499999999999997</v>
      </c>
      <c r="R3950" s="11"/>
      <c r="S3950" s="11"/>
      <c r="T3950" s="11"/>
      <c r="U3950" s="11">
        <f t="shared" si="1253"/>
        <v>2.4499999999999997</v>
      </c>
      <c r="V3950" t="s">
        <v>15</v>
      </c>
      <c r="W3950">
        <v>2.4500000000000002</v>
      </c>
      <c r="X3950" s="1" t="s">
        <v>18</v>
      </c>
    </row>
    <row r="3951" spans="1:24" x14ac:dyDescent="0.25">
      <c r="A3951" s="1" t="str">
        <f t="shared" si="1254"/>
        <v>卡卡杜-凤凰仓</v>
      </c>
      <c r="B3951" s="1" t="str">
        <f>"CK20241022300"</f>
        <v>CK20241022300</v>
      </c>
      <c r="C3951" s="1" t="str">
        <f>"DD2024102253871"</f>
        <v>DD2024102253871</v>
      </c>
      <c r="D3951" s="1" t="str">
        <f>"CK2024102250943"</f>
        <v>CK2024102250943</v>
      </c>
      <c r="E3951" s="1" t="str">
        <f>"3723470504318600704"</f>
        <v>3723470504318600704</v>
      </c>
      <c r="F3951" s="1" t="str">
        <f t="shared" si="1255"/>
        <v>花都四部-凤凰仓</v>
      </c>
      <c r="G3951" s="1" t="str">
        <f t="shared" si="1261"/>
        <v>卡卡杜企业店（视频号）</v>
      </c>
      <c r="H3951" s="1" t="str">
        <f t="shared" si="1256"/>
        <v>正常订单</v>
      </c>
      <c r="I3951" s="1" t="str">
        <f t="shared" si="1257"/>
        <v>已发货</v>
      </c>
      <c r="J3951" s="1" t="str">
        <f t="shared" si="1268"/>
        <v>5</v>
      </c>
      <c r="K3951" s="1">
        <v>3</v>
      </c>
      <c r="L3951" s="1" t="s">
        <v>36</v>
      </c>
      <c r="M3951" s="1" t="str">
        <f>"安徽省 宿州市 埇桥区 "</f>
        <v xml:space="preserve">安徽省 宿州市 埇桥区 </v>
      </c>
      <c r="N3951" s="1" t="str">
        <f t="shared" si="1262"/>
        <v>凡华云仓-城南圆通-微信视频号</v>
      </c>
      <c r="O3951" s="5" t="s">
        <v>3983</v>
      </c>
      <c r="P3951" s="6">
        <v>0.56000000000000005</v>
      </c>
      <c r="Q3951" s="11">
        <f t="shared" si="1269"/>
        <v>2.4499999999999997</v>
      </c>
      <c r="R3951" s="11"/>
      <c r="S3951" s="11"/>
      <c r="T3951" s="11"/>
      <c r="U3951" s="11">
        <f t="shared" si="1253"/>
        <v>2.4499999999999997</v>
      </c>
      <c r="V3951" t="s">
        <v>15</v>
      </c>
      <c r="W3951">
        <v>2.4500000000000002</v>
      </c>
      <c r="X3951" s="1" t="s">
        <v>36</v>
      </c>
    </row>
    <row r="3952" spans="1:24" x14ac:dyDescent="0.25">
      <c r="A3952" s="1" t="str">
        <f t="shared" si="1254"/>
        <v>卡卡杜-凤凰仓</v>
      </c>
      <c r="B3952" s="1" t="str">
        <f>"CK20241022301"</f>
        <v>CK20241022301</v>
      </c>
      <c r="C3952" s="1" t="str">
        <f>"DD2024102253872"</f>
        <v>DD2024102253872</v>
      </c>
      <c r="D3952" s="1" t="str">
        <f>"CK2024102250942"</f>
        <v>CK2024102250942</v>
      </c>
      <c r="E3952" s="1" t="str">
        <f>"3723470502771428352"</f>
        <v>3723470502771428352</v>
      </c>
      <c r="F3952" s="1" t="str">
        <f t="shared" si="1255"/>
        <v>花都四部-凤凰仓</v>
      </c>
      <c r="G3952" s="1" t="str">
        <f t="shared" si="1261"/>
        <v>卡卡杜企业店（视频号）</v>
      </c>
      <c r="H3952" s="1" t="str">
        <f t="shared" si="1256"/>
        <v>正常订单</v>
      </c>
      <c r="I3952" s="1" t="str">
        <f t="shared" si="1257"/>
        <v>已发货</v>
      </c>
      <c r="J3952" s="1" t="str">
        <f t="shared" si="1270"/>
        <v>3</v>
      </c>
      <c r="K3952" s="1">
        <v>3</v>
      </c>
      <c r="L3952" s="1" t="s">
        <v>41</v>
      </c>
      <c r="M3952" s="1" t="str">
        <f>"湖北省 荆门市 沙洋县 "</f>
        <v xml:space="preserve">湖北省 荆门市 沙洋县 </v>
      </c>
      <c r="N3952" s="1" t="str">
        <f>"凡华云仓-竹料中通-微信视频号"</f>
        <v>凡华云仓-竹料中通-微信视频号</v>
      </c>
      <c r="O3952" s="5">
        <v>73613788933374</v>
      </c>
      <c r="P3952" s="6">
        <v>0.34</v>
      </c>
      <c r="Q3952" s="11">
        <v>2.6</v>
      </c>
      <c r="R3952" s="11"/>
      <c r="S3952" s="11"/>
      <c r="T3952" s="11"/>
      <c r="U3952" s="11">
        <f t="shared" si="1253"/>
        <v>2.6</v>
      </c>
      <c r="W3952">
        <v>2.6</v>
      </c>
      <c r="X3952" s="1" t="s">
        <v>41</v>
      </c>
    </row>
    <row r="3953" spans="1:24" x14ac:dyDescent="0.25">
      <c r="A3953" s="1" t="str">
        <f t="shared" si="1254"/>
        <v>卡卡杜-凤凰仓</v>
      </c>
      <c r="B3953" s="1" t="str">
        <f>"CK20241022302"</f>
        <v>CK20241022302</v>
      </c>
      <c r="C3953" s="1" t="str">
        <f>"DD2024102253873"</f>
        <v>DD2024102253873</v>
      </c>
      <c r="D3953" s="1" t="str">
        <f>"CK2024102250941"</f>
        <v>CK2024102250941</v>
      </c>
      <c r="E3953" s="1" t="str">
        <f>"3723470472478328320"</f>
        <v>3723470472478328320</v>
      </c>
      <c r="F3953" s="1" t="str">
        <f t="shared" si="1255"/>
        <v>花都四部-凤凰仓</v>
      </c>
      <c r="G3953" s="1" t="str">
        <f t="shared" si="1261"/>
        <v>卡卡杜企业店（视频号）</v>
      </c>
      <c r="H3953" s="1" t="str">
        <f t="shared" si="1256"/>
        <v>正常订单</v>
      </c>
      <c r="I3953" s="1" t="str">
        <f t="shared" si="1257"/>
        <v>已发货</v>
      </c>
      <c r="J3953" s="1" t="str">
        <f t="shared" si="1270"/>
        <v>3</v>
      </c>
      <c r="K3953" s="1">
        <v>3</v>
      </c>
      <c r="L3953" s="1" t="s">
        <v>74</v>
      </c>
      <c r="M3953" s="1" t="str">
        <f>"上海 上海市 徐汇区 "</f>
        <v xml:space="preserve">上海 上海市 徐汇区 </v>
      </c>
      <c r="N3953" s="1" t="str">
        <f t="shared" ref="N3953:N4016" si="1271">"凡华云仓-城南圆通-微信视频号"</f>
        <v>凡华云仓-城南圆通-微信视频号</v>
      </c>
      <c r="O3953" s="5" t="s">
        <v>3984</v>
      </c>
      <c r="P3953" s="6">
        <v>0.34</v>
      </c>
      <c r="Q3953" s="11">
        <v>2.2999999999999998</v>
      </c>
      <c r="R3953" s="11"/>
      <c r="S3953" s="11"/>
      <c r="T3953" s="11"/>
      <c r="U3953" s="11">
        <f t="shared" si="1253"/>
        <v>2.2999999999999998</v>
      </c>
      <c r="W3953">
        <v>2.5</v>
      </c>
      <c r="X3953" s="1" t="s">
        <v>74</v>
      </c>
    </row>
    <row r="3954" spans="1:24" x14ac:dyDescent="0.25">
      <c r="A3954" s="1" t="str">
        <f t="shared" si="1254"/>
        <v>卡卡杜-凤凰仓</v>
      </c>
      <c r="B3954" s="1" t="str">
        <f>"CK20241022303"</f>
        <v>CK20241022303</v>
      </c>
      <c r="C3954" s="1" t="str">
        <f>"DD2024102253874"</f>
        <v>DD2024102253874</v>
      </c>
      <c r="D3954" s="1" t="str">
        <f>"CK2024102250940"</f>
        <v>CK2024102250940</v>
      </c>
      <c r="E3954" s="1" t="str">
        <f>"3723470463693623296"</f>
        <v>3723470463693623296</v>
      </c>
      <c r="F3954" s="1" t="str">
        <f t="shared" si="1255"/>
        <v>花都四部-凤凰仓</v>
      </c>
      <c r="G3954" s="1" t="str">
        <f t="shared" si="1261"/>
        <v>卡卡杜企业店（视频号）</v>
      </c>
      <c r="H3954" s="1" t="str">
        <f t="shared" si="1256"/>
        <v>正常订单</v>
      </c>
      <c r="I3954" s="1" t="str">
        <f t="shared" si="1257"/>
        <v>已发货</v>
      </c>
      <c r="J3954" s="1" t="str">
        <f>"5"</f>
        <v>5</v>
      </c>
      <c r="K3954" s="1">
        <v>3</v>
      </c>
      <c r="L3954" s="1" t="s">
        <v>66</v>
      </c>
      <c r="M3954" s="1" t="str">
        <f>"内蒙古自治区 呼伦贝尔市 牙克石市 "</f>
        <v xml:space="preserve">内蒙古自治区 呼伦贝尔市 牙克石市 </v>
      </c>
      <c r="N3954" s="1" t="str">
        <f t="shared" si="1271"/>
        <v>凡华云仓-城南圆通-微信视频号</v>
      </c>
      <c r="O3954" s="5" t="s">
        <v>3985</v>
      </c>
      <c r="P3954" s="6">
        <v>0.56000000000000005</v>
      </c>
      <c r="Q3954" s="11">
        <f>CEILING(P3954-0.5,0.1)*10*0.15+2.3</f>
        <v>2.4499999999999997</v>
      </c>
      <c r="R3954" s="11"/>
      <c r="S3954" s="11"/>
      <c r="T3954" s="11"/>
      <c r="U3954" s="11">
        <f t="shared" si="1253"/>
        <v>2.4499999999999997</v>
      </c>
      <c r="V3954" t="s">
        <v>15</v>
      </c>
      <c r="W3954">
        <v>2.4500000000000002</v>
      </c>
      <c r="X3954" s="1" t="s">
        <v>66</v>
      </c>
    </row>
    <row r="3955" spans="1:24" x14ac:dyDescent="0.25">
      <c r="A3955" s="1" t="str">
        <f t="shared" si="1254"/>
        <v>卡卡杜-凤凰仓</v>
      </c>
      <c r="B3955" s="1" t="str">
        <f>"CK20241022304"</f>
        <v>CK20241022304</v>
      </c>
      <c r="C3955" s="1" t="str">
        <f>"DD2024102253879"</f>
        <v>DD2024102253879</v>
      </c>
      <c r="D3955" s="1" t="str">
        <f>"CK2024102250939"</f>
        <v>CK2024102250939</v>
      </c>
      <c r="E3955" s="1" t="str">
        <f>"3723470461259351296"</f>
        <v>3723470461259351296</v>
      </c>
      <c r="F3955" s="1" t="str">
        <f t="shared" si="1255"/>
        <v>花都四部-凤凰仓</v>
      </c>
      <c r="G3955" s="1" t="str">
        <f t="shared" si="1261"/>
        <v>卡卡杜企业店（视频号）</v>
      </c>
      <c r="H3955" s="1" t="str">
        <f t="shared" si="1256"/>
        <v>正常订单</v>
      </c>
      <c r="I3955" s="1" t="str">
        <f t="shared" si="1257"/>
        <v>已发货</v>
      </c>
      <c r="J3955" s="1" t="str">
        <f t="shared" ref="J3955:J3959" si="1272">"3"</f>
        <v>3</v>
      </c>
      <c r="K3955" s="1">
        <v>3</v>
      </c>
      <c r="L3955" s="1" t="s">
        <v>74</v>
      </c>
      <c r="M3955" s="1" t="str">
        <f>"上海 上海市 闵行区 "</f>
        <v xml:space="preserve">上海 上海市 闵行区 </v>
      </c>
      <c r="N3955" s="1" t="str">
        <f t="shared" si="1271"/>
        <v>凡华云仓-城南圆通-微信视频号</v>
      </c>
      <c r="O3955" s="5" t="s">
        <v>3986</v>
      </c>
      <c r="P3955" s="6">
        <v>0.34</v>
      </c>
      <c r="Q3955" s="11">
        <v>2.2999999999999998</v>
      </c>
      <c r="R3955" s="11"/>
      <c r="S3955" s="11"/>
      <c r="T3955" s="11"/>
      <c r="U3955" s="11">
        <f t="shared" si="1253"/>
        <v>2.2999999999999998</v>
      </c>
      <c r="W3955">
        <v>2.5</v>
      </c>
      <c r="X3955" s="1" t="s">
        <v>74</v>
      </c>
    </row>
    <row r="3956" spans="1:24" x14ac:dyDescent="0.25">
      <c r="A3956" s="1" t="str">
        <f t="shared" si="1254"/>
        <v>卡卡杜-凤凰仓</v>
      </c>
      <c r="B3956" s="1" t="str">
        <f>"CK20241022305"</f>
        <v>CK20241022305</v>
      </c>
      <c r="C3956" s="1" t="str">
        <f>"DD2024102253882"</f>
        <v>DD2024102253882</v>
      </c>
      <c r="D3956" s="1" t="str">
        <f>"CK2024102250938"</f>
        <v>CK2024102250938</v>
      </c>
      <c r="E3956" s="1" t="str">
        <f>"3723470445770836993"</f>
        <v>3723470445770836993</v>
      </c>
      <c r="F3956" s="1" t="str">
        <f t="shared" si="1255"/>
        <v>花都四部-凤凰仓</v>
      </c>
      <c r="G3956" s="1" t="str">
        <f t="shared" si="1261"/>
        <v>卡卡杜企业店（视频号）</v>
      </c>
      <c r="H3956" s="1" t="str">
        <f t="shared" si="1256"/>
        <v>正常订单</v>
      </c>
      <c r="I3956" s="1" t="str">
        <f t="shared" si="1257"/>
        <v>已发货</v>
      </c>
      <c r="J3956" s="1" t="str">
        <f t="shared" ref="J3956:J3968" si="1273">"5"</f>
        <v>5</v>
      </c>
      <c r="K3956" s="1">
        <v>3</v>
      </c>
      <c r="L3956" s="1" t="s">
        <v>18</v>
      </c>
      <c r="M3956" s="1" t="str">
        <f>"广东省 佛山市 禅城区 "</f>
        <v xml:space="preserve">广东省 佛山市 禅城区 </v>
      </c>
      <c r="N3956" s="1" t="str">
        <f t="shared" si="1271"/>
        <v>凡华云仓-城南圆通-微信视频号</v>
      </c>
      <c r="O3956" s="5" t="s">
        <v>3987</v>
      </c>
      <c r="P3956" s="6">
        <v>0.56000000000000005</v>
      </c>
      <c r="Q3956" s="11">
        <f t="shared" ref="Q3956:Q3961" si="1274">CEILING(P3956-0.5,0.1)*10*0.15+2.3</f>
        <v>2.4499999999999997</v>
      </c>
      <c r="R3956" s="11"/>
      <c r="S3956" s="11"/>
      <c r="T3956" s="11"/>
      <c r="U3956" s="11">
        <f t="shared" si="1253"/>
        <v>2.4499999999999997</v>
      </c>
      <c r="V3956" t="s">
        <v>15</v>
      </c>
      <c r="W3956">
        <v>2.4500000000000002</v>
      </c>
      <c r="X3956" s="1" t="s">
        <v>18</v>
      </c>
    </row>
    <row r="3957" spans="1:24" x14ac:dyDescent="0.25">
      <c r="A3957" s="1" t="str">
        <f t="shared" si="1254"/>
        <v>卡卡杜-凤凰仓</v>
      </c>
      <c r="B3957" s="1" t="str">
        <f>"CK20241022517"</f>
        <v>CK20241022517</v>
      </c>
      <c r="C3957" s="1" t="str">
        <f>"DD2024102255672"</f>
        <v>DD2024102255672</v>
      </c>
      <c r="D3957" s="1" t="str">
        <f>"CK2024102250937"</f>
        <v>CK2024102250937</v>
      </c>
      <c r="E3957" s="1" t="str">
        <f>"3723470410447981568"</f>
        <v>3723470410447981568</v>
      </c>
      <c r="F3957" s="1" t="str">
        <f t="shared" si="1255"/>
        <v>花都四部-凤凰仓</v>
      </c>
      <c r="G3957" s="1" t="str">
        <f t="shared" si="1261"/>
        <v>卡卡杜企业店（视频号）</v>
      </c>
      <c r="H3957" s="1" t="str">
        <f t="shared" si="1256"/>
        <v>正常订单</v>
      </c>
      <c r="I3957" s="1" t="str">
        <f t="shared" si="1257"/>
        <v>已发货</v>
      </c>
      <c r="J3957" s="1" t="str">
        <f t="shared" si="1272"/>
        <v>3</v>
      </c>
      <c r="K3957" s="1">
        <v>3</v>
      </c>
      <c r="L3957" s="1" t="s">
        <v>92</v>
      </c>
      <c r="M3957" s="1" t="str">
        <f>"辽宁省 大连市 甘井子区 "</f>
        <v xml:space="preserve">辽宁省 大连市 甘井子区 </v>
      </c>
      <c r="N3957" s="1" t="str">
        <f t="shared" si="1271"/>
        <v>凡华云仓-城南圆通-微信视频号</v>
      </c>
      <c r="O3957" s="5" t="s">
        <v>3988</v>
      </c>
      <c r="P3957" s="6">
        <v>0.34</v>
      </c>
      <c r="Q3957" s="11">
        <v>2.2999999999999998</v>
      </c>
      <c r="R3957" s="11"/>
      <c r="S3957" s="11"/>
      <c r="T3957" s="11"/>
      <c r="U3957" s="11">
        <f t="shared" si="1253"/>
        <v>2.2999999999999998</v>
      </c>
      <c r="W3957">
        <v>2.5</v>
      </c>
      <c r="X3957" s="1" t="s">
        <v>92</v>
      </c>
    </row>
    <row r="3958" spans="1:24" x14ac:dyDescent="0.25">
      <c r="A3958" s="1" t="str">
        <f t="shared" si="1254"/>
        <v>卡卡杜-凤凰仓</v>
      </c>
      <c r="B3958" s="1" t="str">
        <f>"CK20241022306"</f>
        <v>CK20241022306</v>
      </c>
      <c r="C3958" s="1" t="str">
        <f>"DD2024102253888"</f>
        <v>DD2024102253888</v>
      </c>
      <c r="D3958" s="1" t="str">
        <f>"CK2024102250936"</f>
        <v>CK2024102250936</v>
      </c>
      <c r="E3958" s="1" t="str">
        <f>"3723470409849245697"</f>
        <v>3723470409849245697</v>
      </c>
      <c r="F3958" s="1" t="str">
        <f t="shared" si="1255"/>
        <v>花都四部-凤凰仓</v>
      </c>
      <c r="G3958" s="1" t="str">
        <f t="shared" si="1261"/>
        <v>卡卡杜企业店（视频号）</v>
      </c>
      <c r="H3958" s="1" t="str">
        <f t="shared" si="1256"/>
        <v>正常订单</v>
      </c>
      <c r="I3958" s="1" t="str">
        <f t="shared" si="1257"/>
        <v>已发货</v>
      </c>
      <c r="J3958" s="1" t="str">
        <f t="shared" si="1272"/>
        <v>3</v>
      </c>
      <c r="K3958" s="1">
        <v>3</v>
      </c>
      <c r="L3958" s="1" t="s">
        <v>18</v>
      </c>
      <c r="M3958" s="1" t="str">
        <f>"广东省 深圳市 宝安区 "</f>
        <v xml:space="preserve">广东省 深圳市 宝安区 </v>
      </c>
      <c r="N3958" s="1" t="str">
        <f t="shared" si="1271"/>
        <v>凡华云仓-城南圆通-微信视频号</v>
      </c>
      <c r="O3958" s="5" t="s">
        <v>3989</v>
      </c>
      <c r="P3958" s="6">
        <v>0.34</v>
      </c>
      <c r="Q3958" s="11">
        <v>2.2999999999999998</v>
      </c>
      <c r="R3958" s="11"/>
      <c r="S3958" s="11"/>
      <c r="T3958" s="11"/>
      <c r="U3958" s="11">
        <f t="shared" si="1253"/>
        <v>2.2999999999999998</v>
      </c>
      <c r="W3958">
        <v>2.5</v>
      </c>
      <c r="X3958" s="1" t="s">
        <v>18</v>
      </c>
    </row>
    <row r="3959" spans="1:24" x14ac:dyDescent="0.25">
      <c r="A3959" s="1" t="str">
        <f t="shared" si="1254"/>
        <v>卡卡杜-凤凰仓</v>
      </c>
      <c r="B3959" s="1" t="str">
        <f>"CK20241022476"</f>
        <v>CK20241022476</v>
      </c>
      <c r="C3959" s="1" t="str">
        <f>"DD2024102255542"</f>
        <v>DD2024102255542</v>
      </c>
      <c r="D3959" s="1" t="str">
        <f>"CK2024102250935"</f>
        <v>CK2024102250935</v>
      </c>
      <c r="E3959" s="1" t="str">
        <f>"3723470403403386880"</f>
        <v>3723470403403386880</v>
      </c>
      <c r="F3959" s="1" t="str">
        <f t="shared" si="1255"/>
        <v>花都四部-凤凰仓</v>
      </c>
      <c r="G3959" s="1" t="str">
        <f t="shared" si="1261"/>
        <v>卡卡杜企业店（视频号）</v>
      </c>
      <c r="H3959" s="1" t="str">
        <f t="shared" si="1256"/>
        <v>正常订单</v>
      </c>
      <c r="I3959" s="1" t="str">
        <f t="shared" si="1257"/>
        <v>已发货</v>
      </c>
      <c r="J3959" s="1" t="str">
        <f t="shared" si="1272"/>
        <v>3</v>
      </c>
      <c r="K3959" s="1">
        <v>3</v>
      </c>
      <c r="L3959" s="1" t="s">
        <v>66</v>
      </c>
      <c r="M3959" s="1" t="str">
        <f>"内蒙古自治区 呼和浩特市 新城区 "</f>
        <v xml:space="preserve">内蒙古自治区 呼和浩特市 新城区 </v>
      </c>
      <c r="N3959" s="1" t="str">
        <f t="shared" si="1271"/>
        <v>凡华云仓-城南圆通-微信视频号</v>
      </c>
      <c r="O3959" s="5" t="s">
        <v>3990</v>
      </c>
      <c r="P3959" s="6">
        <v>0.34</v>
      </c>
      <c r="Q3959" s="11">
        <v>2.2999999999999998</v>
      </c>
      <c r="R3959" s="11"/>
      <c r="S3959" s="11"/>
      <c r="T3959" s="11"/>
      <c r="U3959" s="11">
        <f t="shared" si="1253"/>
        <v>2.2999999999999998</v>
      </c>
      <c r="W3959">
        <v>2.5</v>
      </c>
      <c r="X3959" s="1" t="s">
        <v>66</v>
      </c>
    </row>
    <row r="3960" spans="1:24" x14ac:dyDescent="0.25">
      <c r="A3960" s="1" t="str">
        <f t="shared" si="1254"/>
        <v>卡卡杜-凤凰仓</v>
      </c>
      <c r="B3960" s="1" t="str">
        <f>"CK20241022530"</f>
        <v>CK20241022530</v>
      </c>
      <c r="C3960" s="1" t="str">
        <f>"DD2024102255732"</f>
        <v>DD2024102255732</v>
      </c>
      <c r="D3960" s="1" t="str">
        <f>"CK2024102250934"</f>
        <v>CK2024102250934</v>
      </c>
      <c r="E3960" s="1" t="str">
        <f>"3723470395729642752"</f>
        <v>3723470395729642752</v>
      </c>
      <c r="F3960" s="1" t="str">
        <f t="shared" si="1255"/>
        <v>花都四部-凤凰仓</v>
      </c>
      <c r="G3960" s="1" t="str">
        <f t="shared" si="1261"/>
        <v>卡卡杜企业店（视频号）</v>
      </c>
      <c r="H3960" s="1" t="str">
        <f t="shared" si="1256"/>
        <v>正常订单</v>
      </c>
      <c r="I3960" s="1" t="str">
        <f t="shared" si="1257"/>
        <v>已发货</v>
      </c>
      <c r="J3960" s="1" t="str">
        <f t="shared" si="1273"/>
        <v>5</v>
      </c>
      <c r="K3960" s="1">
        <v>3</v>
      </c>
      <c r="L3960" s="1" t="s">
        <v>13</v>
      </c>
      <c r="M3960" s="1" t="str">
        <f>"江苏省 南京市 江宁区 "</f>
        <v xml:space="preserve">江苏省 南京市 江宁区 </v>
      </c>
      <c r="N3960" s="1" t="str">
        <f t="shared" si="1271"/>
        <v>凡华云仓-城南圆通-微信视频号</v>
      </c>
      <c r="O3960" s="5" t="s">
        <v>3991</v>
      </c>
      <c r="P3960" s="6">
        <v>0.56000000000000005</v>
      </c>
      <c r="Q3960" s="11">
        <f t="shared" si="1274"/>
        <v>2.4499999999999997</v>
      </c>
      <c r="R3960" s="11"/>
      <c r="S3960" s="11"/>
      <c r="T3960" s="11"/>
      <c r="U3960" s="11">
        <f t="shared" si="1253"/>
        <v>2.4499999999999997</v>
      </c>
      <c r="V3960" t="s">
        <v>15</v>
      </c>
      <c r="W3960">
        <v>2.4500000000000002</v>
      </c>
      <c r="X3960" s="1" t="s">
        <v>13</v>
      </c>
    </row>
    <row r="3961" spans="1:24" x14ac:dyDescent="0.25">
      <c r="A3961" s="1" t="str">
        <f t="shared" si="1254"/>
        <v>卡卡杜-凤凰仓</v>
      </c>
      <c r="B3961" s="1" t="str">
        <f>"CK20241022487"</f>
        <v>CK20241022487</v>
      </c>
      <c r="C3961" s="1" t="str">
        <f>"DD2024102255575"</f>
        <v>DD2024102255575</v>
      </c>
      <c r="D3961" s="1" t="str">
        <f>"CK2024102250933"</f>
        <v>CK2024102250933</v>
      </c>
      <c r="E3961" s="1" t="str">
        <f>"3723470358638888448"</f>
        <v>3723470358638888448</v>
      </c>
      <c r="F3961" s="1" t="str">
        <f t="shared" si="1255"/>
        <v>花都四部-凤凰仓</v>
      </c>
      <c r="G3961" s="1" t="str">
        <f t="shared" si="1261"/>
        <v>卡卡杜企业店（视频号）</v>
      </c>
      <c r="H3961" s="1" t="str">
        <f t="shared" si="1256"/>
        <v>正常订单</v>
      </c>
      <c r="I3961" s="1" t="str">
        <f t="shared" si="1257"/>
        <v>已发货</v>
      </c>
      <c r="J3961" s="1" t="str">
        <f t="shared" si="1273"/>
        <v>5</v>
      </c>
      <c r="K3961" s="1">
        <v>3</v>
      </c>
      <c r="L3961" s="1" t="s">
        <v>105</v>
      </c>
      <c r="M3961" s="1" t="str">
        <f>"北京 北京市 东城区 "</f>
        <v xml:space="preserve">北京 北京市 东城区 </v>
      </c>
      <c r="N3961" s="1" t="str">
        <f t="shared" si="1271"/>
        <v>凡华云仓-城南圆通-微信视频号</v>
      </c>
      <c r="O3961" s="5" t="s">
        <v>3992</v>
      </c>
      <c r="P3961" s="6">
        <v>0.56000000000000005</v>
      </c>
      <c r="Q3961" s="11">
        <f t="shared" si="1274"/>
        <v>2.4499999999999997</v>
      </c>
      <c r="R3961" s="11"/>
      <c r="S3961" s="11"/>
      <c r="T3961" s="11"/>
      <c r="U3961" s="11">
        <f t="shared" si="1253"/>
        <v>2.4499999999999997</v>
      </c>
      <c r="V3961" t="s">
        <v>15</v>
      </c>
      <c r="W3961">
        <v>2.4500000000000002</v>
      </c>
      <c r="X3961" s="1" t="s">
        <v>105</v>
      </c>
    </row>
    <row r="3962" spans="1:24" x14ac:dyDescent="0.25">
      <c r="A3962" s="1" t="str">
        <f t="shared" si="1254"/>
        <v>卡卡杜-凤凰仓</v>
      </c>
      <c r="B3962" s="1" t="str">
        <f>"CK20241022669"</f>
        <v>CK20241022669</v>
      </c>
      <c r="C3962" s="1" t="str">
        <f>"DD2024102256865"</f>
        <v>DD2024102256865</v>
      </c>
      <c r="D3962" s="1" t="str">
        <f>"CK2024102250932"</f>
        <v>CK2024102250932</v>
      </c>
      <c r="E3962" s="1" t="str">
        <f>"3723470332687683584"</f>
        <v>3723470332687683584</v>
      </c>
      <c r="F3962" s="1" t="str">
        <f t="shared" si="1255"/>
        <v>花都四部-凤凰仓</v>
      </c>
      <c r="G3962" s="1" t="str">
        <f t="shared" si="1261"/>
        <v>卡卡杜企业店（视频号）</v>
      </c>
      <c r="H3962" s="1" t="str">
        <f t="shared" si="1256"/>
        <v>正常订单</v>
      </c>
      <c r="I3962" s="1" t="str">
        <f t="shared" si="1257"/>
        <v>已发货</v>
      </c>
      <c r="J3962" s="1" t="str">
        <f t="shared" si="1273"/>
        <v>5</v>
      </c>
      <c r="K3962" s="1">
        <v>3</v>
      </c>
      <c r="L3962" s="1" t="s">
        <v>92</v>
      </c>
      <c r="M3962" s="1" t="str">
        <f>"辽宁省 大连市 甘井子区 "</f>
        <v xml:space="preserve">辽宁省 大连市 甘井子区 </v>
      </c>
      <c r="N3962" s="1" t="str">
        <f t="shared" si="1271"/>
        <v>凡华云仓-城南圆通-微信视频号</v>
      </c>
      <c r="O3962" s="5" t="s">
        <v>3993</v>
      </c>
      <c r="P3962" s="6">
        <v>0.47</v>
      </c>
      <c r="Q3962" s="11">
        <v>2.2999999999999998</v>
      </c>
      <c r="R3962" s="11"/>
      <c r="S3962" s="11"/>
      <c r="T3962" s="11"/>
      <c r="U3962" s="11">
        <f t="shared" si="1253"/>
        <v>2.2999999999999998</v>
      </c>
      <c r="W3962">
        <v>2.5</v>
      </c>
      <c r="X3962" s="1" t="s">
        <v>92</v>
      </c>
    </row>
    <row r="3963" spans="1:24" x14ac:dyDescent="0.25">
      <c r="A3963" s="1" t="str">
        <f t="shared" si="1254"/>
        <v>卡卡杜-凤凰仓</v>
      </c>
      <c r="B3963" s="1" t="str">
        <f>"CK20241022656"</f>
        <v>CK20241022656</v>
      </c>
      <c r="C3963" s="1" t="str">
        <f>"DD2024102256852"</f>
        <v>DD2024102256852</v>
      </c>
      <c r="D3963" s="1" t="str">
        <f>"CK2024102250931"</f>
        <v>CK2024102250931</v>
      </c>
      <c r="E3963" s="1" t="str">
        <f>"3723470324970161408"</f>
        <v>3723470324970161408</v>
      </c>
      <c r="F3963" s="1" t="str">
        <f t="shared" si="1255"/>
        <v>花都四部-凤凰仓</v>
      </c>
      <c r="G3963" s="1" t="str">
        <f t="shared" si="1261"/>
        <v>卡卡杜企业店（视频号）</v>
      </c>
      <c r="H3963" s="1" t="str">
        <f t="shared" si="1256"/>
        <v>正常订单</v>
      </c>
      <c r="I3963" s="1" t="str">
        <f t="shared" si="1257"/>
        <v>已发货</v>
      </c>
      <c r="J3963" s="1" t="str">
        <f t="shared" si="1273"/>
        <v>5</v>
      </c>
      <c r="K3963" s="1">
        <v>3</v>
      </c>
      <c r="L3963" s="1" t="s">
        <v>16</v>
      </c>
      <c r="M3963" s="1" t="str">
        <f>"河北省 保定市 竞秀区 "</f>
        <v xml:space="preserve">河北省 保定市 竞秀区 </v>
      </c>
      <c r="N3963" s="1" t="str">
        <f t="shared" si="1271"/>
        <v>凡华云仓-城南圆通-微信视频号</v>
      </c>
      <c r="O3963" s="5" t="s">
        <v>3994</v>
      </c>
      <c r="P3963" s="6">
        <v>0.47</v>
      </c>
      <c r="Q3963" s="11">
        <v>2.2999999999999998</v>
      </c>
      <c r="R3963" s="11"/>
      <c r="S3963" s="11"/>
      <c r="T3963" s="11"/>
      <c r="U3963" s="11">
        <f t="shared" si="1253"/>
        <v>2.2999999999999998</v>
      </c>
      <c r="W3963">
        <v>2.5</v>
      </c>
      <c r="X3963" s="1" t="s">
        <v>16</v>
      </c>
    </row>
    <row r="3964" spans="1:24" x14ac:dyDescent="0.25">
      <c r="A3964" s="1" t="str">
        <f t="shared" si="1254"/>
        <v>卡卡杜-凤凰仓</v>
      </c>
      <c r="B3964" s="1" t="str">
        <f>"CK20241022657"</f>
        <v>CK20241022657</v>
      </c>
      <c r="C3964" s="1" t="str">
        <f>"DD2024102256853"</f>
        <v>DD2024102256853</v>
      </c>
      <c r="D3964" s="1" t="str">
        <f>"CK2024102250930"</f>
        <v>CK2024102250930</v>
      </c>
      <c r="E3964" s="1" t="str">
        <f>"3723470310402035712"</f>
        <v>3723470310402035712</v>
      </c>
      <c r="F3964" s="1" t="str">
        <f t="shared" si="1255"/>
        <v>花都四部-凤凰仓</v>
      </c>
      <c r="G3964" s="1" t="str">
        <f t="shared" si="1261"/>
        <v>卡卡杜企业店（视频号）</v>
      </c>
      <c r="H3964" s="1" t="str">
        <f t="shared" si="1256"/>
        <v>正常订单</v>
      </c>
      <c r="I3964" s="1" t="str">
        <f t="shared" si="1257"/>
        <v>已发货</v>
      </c>
      <c r="J3964" s="1" t="str">
        <f t="shared" si="1273"/>
        <v>5</v>
      </c>
      <c r="K3964" s="1">
        <v>3</v>
      </c>
      <c r="L3964" s="1" t="s">
        <v>24</v>
      </c>
      <c r="M3964" s="1" t="str">
        <f>"福建省 福州市 鼓楼区 "</f>
        <v xml:space="preserve">福建省 福州市 鼓楼区 </v>
      </c>
      <c r="N3964" s="1" t="str">
        <f t="shared" si="1271"/>
        <v>凡华云仓-城南圆通-微信视频号</v>
      </c>
      <c r="O3964" s="5" t="s">
        <v>3995</v>
      </c>
      <c r="P3964" s="6">
        <v>0.47</v>
      </c>
      <c r="Q3964" s="11">
        <v>2.2999999999999998</v>
      </c>
      <c r="R3964" s="11"/>
      <c r="S3964" s="11"/>
      <c r="T3964" s="11"/>
      <c r="U3964" s="11">
        <f t="shared" si="1253"/>
        <v>2.2999999999999998</v>
      </c>
      <c r="W3964">
        <v>2.5</v>
      </c>
      <c r="X3964" s="1" t="s">
        <v>24</v>
      </c>
    </row>
    <row r="3965" spans="1:24" x14ac:dyDescent="0.25">
      <c r="A3965" s="1" t="str">
        <f t="shared" si="1254"/>
        <v>卡卡杜-凤凰仓</v>
      </c>
      <c r="B3965" s="1" t="str">
        <f>"CK20241022658"</f>
        <v>CK20241022658</v>
      </c>
      <c r="C3965" s="1" t="str">
        <f>"DD2024102256851"</f>
        <v>DD2024102256851</v>
      </c>
      <c r="D3965" s="1" t="str">
        <f>"CK2024102250929"</f>
        <v>CK2024102250929</v>
      </c>
      <c r="E3965" s="1" t="str">
        <f>"3723470310021400064"</f>
        <v>3723470310021400064</v>
      </c>
      <c r="F3965" s="1" t="str">
        <f t="shared" si="1255"/>
        <v>花都四部-凤凰仓</v>
      </c>
      <c r="G3965" s="1" t="str">
        <f t="shared" si="1261"/>
        <v>卡卡杜企业店（视频号）</v>
      </c>
      <c r="H3965" s="1" t="str">
        <f t="shared" si="1256"/>
        <v>正常订单</v>
      </c>
      <c r="I3965" s="1" t="str">
        <f t="shared" si="1257"/>
        <v>已发货</v>
      </c>
      <c r="J3965" s="1" t="str">
        <f t="shared" si="1273"/>
        <v>5</v>
      </c>
      <c r="K3965" s="1">
        <v>3</v>
      </c>
      <c r="L3965" s="1" t="s">
        <v>105</v>
      </c>
      <c r="M3965" s="1" t="str">
        <f>"北京 北京市 通州区 "</f>
        <v xml:space="preserve">北京 北京市 通州区 </v>
      </c>
      <c r="N3965" s="1" t="str">
        <f t="shared" si="1271"/>
        <v>凡华云仓-城南圆通-微信视频号</v>
      </c>
      <c r="O3965" s="5" t="s">
        <v>3996</v>
      </c>
      <c r="P3965" s="6">
        <v>0.47</v>
      </c>
      <c r="Q3965" s="11">
        <v>2.2999999999999998</v>
      </c>
      <c r="R3965" s="11"/>
      <c r="S3965" s="11"/>
      <c r="T3965" s="11"/>
      <c r="U3965" s="11">
        <f t="shared" si="1253"/>
        <v>2.2999999999999998</v>
      </c>
      <c r="W3965">
        <v>2.5</v>
      </c>
      <c r="X3965" s="1" t="s">
        <v>105</v>
      </c>
    </row>
    <row r="3966" spans="1:24" x14ac:dyDescent="0.25">
      <c r="A3966" s="1" t="str">
        <f t="shared" si="1254"/>
        <v>卡卡杜-凤凰仓</v>
      </c>
      <c r="B3966" s="1" t="str">
        <f>"CK20241022659"</f>
        <v>CK20241022659</v>
      </c>
      <c r="C3966" s="1" t="str">
        <f>"DD2024102256854"</f>
        <v>DD2024102256854</v>
      </c>
      <c r="D3966" s="1" t="str">
        <f>"CK2024102250928"</f>
        <v>CK2024102250928</v>
      </c>
      <c r="E3966" s="1" t="str">
        <f>"3723470295659582464"</f>
        <v>3723470295659582464</v>
      </c>
      <c r="F3966" s="1" t="str">
        <f t="shared" si="1255"/>
        <v>花都四部-凤凰仓</v>
      </c>
      <c r="G3966" s="1" t="str">
        <f t="shared" si="1261"/>
        <v>卡卡杜企业店（视频号）</v>
      </c>
      <c r="H3966" s="1" t="str">
        <f t="shared" si="1256"/>
        <v>正常订单</v>
      </c>
      <c r="I3966" s="1" t="str">
        <f t="shared" si="1257"/>
        <v>已发货</v>
      </c>
      <c r="J3966" s="1" t="str">
        <f t="shared" si="1273"/>
        <v>5</v>
      </c>
      <c r="K3966" s="1">
        <v>3</v>
      </c>
      <c r="L3966" s="1" t="s">
        <v>18</v>
      </c>
      <c r="M3966" s="1" t="str">
        <f>"广东省 惠州市 惠阳区 "</f>
        <v xml:space="preserve">广东省 惠州市 惠阳区 </v>
      </c>
      <c r="N3966" s="1" t="str">
        <f t="shared" si="1271"/>
        <v>凡华云仓-城南圆通-微信视频号</v>
      </c>
      <c r="O3966" s="5" t="s">
        <v>3997</v>
      </c>
      <c r="P3966" s="6">
        <v>0.47</v>
      </c>
      <c r="Q3966" s="11">
        <v>2.2999999999999998</v>
      </c>
      <c r="R3966" s="11"/>
      <c r="S3966" s="11"/>
      <c r="T3966" s="11"/>
      <c r="U3966" s="11">
        <f t="shared" si="1253"/>
        <v>2.2999999999999998</v>
      </c>
      <c r="W3966">
        <v>2.5</v>
      </c>
      <c r="X3966" s="1" t="s">
        <v>18</v>
      </c>
    </row>
    <row r="3967" spans="1:24" x14ac:dyDescent="0.25">
      <c r="A3967" s="1" t="str">
        <f t="shared" si="1254"/>
        <v>卡卡杜-凤凰仓</v>
      </c>
      <c r="B3967" s="1" t="str">
        <f>"CK20241022670"</f>
        <v>CK20241022670</v>
      </c>
      <c r="C3967" s="1" t="str">
        <f>"DD2024102256864"</f>
        <v>DD2024102256864</v>
      </c>
      <c r="D3967" s="1" t="str">
        <f>"CK2024102250927"</f>
        <v>CK2024102250927</v>
      </c>
      <c r="E3967" s="1" t="str">
        <f>"3723470307274392832"</f>
        <v>3723470307274392832</v>
      </c>
      <c r="F3967" s="1" t="str">
        <f t="shared" si="1255"/>
        <v>花都四部-凤凰仓</v>
      </c>
      <c r="G3967" s="1" t="str">
        <f t="shared" si="1261"/>
        <v>卡卡杜企业店（视频号）</v>
      </c>
      <c r="H3967" s="1" t="str">
        <f t="shared" si="1256"/>
        <v>正常订单</v>
      </c>
      <c r="I3967" s="1" t="str">
        <f t="shared" si="1257"/>
        <v>已发货</v>
      </c>
      <c r="J3967" s="1" t="str">
        <f t="shared" si="1273"/>
        <v>5</v>
      </c>
      <c r="K3967" s="1">
        <v>3</v>
      </c>
      <c r="L3967" s="1" t="s">
        <v>109</v>
      </c>
      <c r="M3967" s="1" t="str">
        <f>"山西省 太原市 小店区 "</f>
        <v xml:space="preserve">山西省 太原市 小店区 </v>
      </c>
      <c r="N3967" s="1" t="str">
        <f t="shared" si="1271"/>
        <v>凡华云仓-城南圆通-微信视频号</v>
      </c>
      <c r="O3967" s="5" t="s">
        <v>3998</v>
      </c>
      <c r="P3967" s="6">
        <v>0.47</v>
      </c>
      <c r="Q3967" s="11">
        <v>2.2999999999999998</v>
      </c>
      <c r="R3967" s="11"/>
      <c r="S3967" s="11"/>
      <c r="T3967" s="11"/>
      <c r="U3967" s="11">
        <f t="shared" si="1253"/>
        <v>2.2999999999999998</v>
      </c>
      <c r="W3967">
        <v>2.5</v>
      </c>
      <c r="X3967" s="1" t="s">
        <v>109</v>
      </c>
    </row>
    <row r="3968" spans="1:24" x14ac:dyDescent="0.25">
      <c r="A3968" s="1" t="str">
        <f t="shared" si="1254"/>
        <v>卡卡杜-凤凰仓</v>
      </c>
      <c r="B3968" s="1" t="str">
        <f>"CK20241022671"</f>
        <v>CK20241022671</v>
      </c>
      <c r="C3968" s="1" t="str">
        <f>"DD2024102256867"</f>
        <v>DD2024102256867</v>
      </c>
      <c r="D3968" s="1" t="str">
        <f>"CK2024102250926"</f>
        <v>CK2024102250926</v>
      </c>
      <c r="E3968" s="1" t="str">
        <f>"3723470292630244352"</f>
        <v>3723470292630244352</v>
      </c>
      <c r="F3968" s="1" t="str">
        <f t="shared" si="1255"/>
        <v>花都四部-凤凰仓</v>
      </c>
      <c r="G3968" s="1" t="str">
        <f t="shared" si="1261"/>
        <v>卡卡杜企业店（视频号）</v>
      </c>
      <c r="H3968" s="1" t="str">
        <f t="shared" si="1256"/>
        <v>正常订单</v>
      </c>
      <c r="I3968" s="1" t="str">
        <f t="shared" si="1257"/>
        <v>已发货</v>
      </c>
      <c r="J3968" s="1" t="str">
        <f t="shared" si="1273"/>
        <v>5</v>
      </c>
      <c r="K3968" s="1">
        <v>3</v>
      </c>
      <c r="L3968" s="1" t="s">
        <v>105</v>
      </c>
      <c r="M3968" s="1" t="str">
        <f>"北京 北京市 东城区 "</f>
        <v xml:space="preserve">北京 北京市 东城区 </v>
      </c>
      <c r="N3968" s="1" t="str">
        <f t="shared" si="1271"/>
        <v>凡华云仓-城南圆通-微信视频号</v>
      </c>
      <c r="O3968" s="5" t="s">
        <v>3999</v>
      </c>
      <c r="P3968" s="6">
        <v>0.47</v>
      </c>
      <c r="Q3968" s="11">
        <v>2.2999999999999998</v>
      </c>
      <c r="R3968" s="11"/>
      <c r="S3968" s="11"/>
      <c r="T3968" s="11"/>
      <c r="U3968" s="11">
        <f t="shared" si="1253"/>
        <v>2.2999999999999998</v>
      </c>
      <c r="W3968">
        <v>2.5</v>
      </c>
      <c r="X3968" s="1" t="s">
        <v>105</v>
      </c>
    </row>
    <row r="3969" spans="1:24" x14ac:dyDescent="0.25">
      <c r="A3969" s="1" t="str">
        <f t="shared" si="1254"/>
        <v>卡卡杜-凤凰仓</v>
      </c>
      <c r="B3969" s="1" t="str">
        <f>"CK20241022803"</f>
        <v>CK20241022803</v>
      </c>
      <c r="C3969" s="1" t="str">
        <f>"DD2024102257154"</f>
        <v>DD2024102257154</v>
      </c>
      <c r="D3969" s="1" t="str">
        <f>"CK2024102250925"</f>
        <v>CK2024102250925</v>
      </c>
      <c r="E3969" s="1" t="str">
        <f>"3723470273392281089"</f>
        <v>3723470273392281089</v>
      </c>
      <c r="F3969" s="1" t="str">
        <f t="shared" si="1255"/>
        <v>花都四部-凤凰仓</v>
      </c>
      <c r="G3969" s="1" t="str">
        <f t="shared" si="1261"/>
        <v>卡卡杜企业店（视频号）</v>
      </c>
      <c r="H3969" s="1" t="str">
        <f t="shared" si="1256"/>
        <v>正常订单</v>
      </c>
      <c r="I3969" s="1" t="str">
        <f t="shared" si="1257"/>
        <v>已发货</v>
      </c>
      <c r="J3969" s="1" t="str">
        <f t="shared" ref="J3969:J3975" si="1275">"2"</f>
        <v>2</v>
      </c>
      <c r="K3969" s="1">
        <v>2</v>
      </c>
      <c r="L3969" s="1" t="s">
        <v>30</v>
      </c>
      <c r="M3969" s="1" t="str">
        <f>"山东省 烟台市 莱阳市 "</f>
        <v xml:space="preserve">山东省 烟台市 莱阳市 </v>
      </c>
      <c r="N3969" s="1" t="str">
        <f t="shared" si="1271"/>
        <v>凡华云仓-城南圆通-微信视频号</v>
      </c>
      <c r="O3969" s="5" t="s">
        <v>4000</v>
      </c>
      <c r="P3969" s="6">
        <v>0.17</v>
      </c>
      <c r="Q3969" s="11">
        <v>2</v>
      </c>
      <c r="R3969" s="11"/>
      <c r="S3969" s="11"/>
      <c r="T3969" s="11"/>
      <c r="U3969" s="11">
        <f t="shared" si="1253"/>
        <v>2</v>
      </c>
      <c r="W3969">
        <v>2.2000000000000002</v>
      </c>
      <c r="X3969" s="1" t="s">
        <v>30</v>
      </c>
    </row>
    <row r="3970" spans="1:24" x14ac:dyDescent="0.25">
      <c r="A3970" s="1" t="str">
        <f t="shared" si="1254"/>
        <v>卡卡杜-凤凰仓</v>
      </c>
      <c r="B3970" s="1" t="str">
        <f>"CK20241022735"</f>
        <v>CK20241022735</v>
      </c>
      <c r="C3970" s="1" t="str">
        <f>"DD2024102257038"</f>
        <v>DD2024102257038</v>
      </c>
      <c r="D3970" s="1" t="str">
        <f>"CK2024102250924"</f>
        <v>CK2024102250924</v>
      </c>
      <c r="E3970" s="1" t="str">
        <f>"3723470232500700416"</f>
        <v>3723470232500700416</v>
      </c>
      <c r="F3970" s="1" t="str">
        <f t="shared" si="1255"/>
        <v>花都四部-凤凰仓</v>
      </c>
      <c r="G3970" s="1" t="str">
        <f t="shared" si="1261"/>
        <v>卡卡杜企业店（视频号）</v>
      </c>
      <c r="H3970" s="1" t="str">
        <f t="shared" si="1256"/>
        <v>正常订单</v>
      </c>
      <c r="I3970" s="1" t="str">
        <f t="shared" si="1257"/>
        <v>已发货</v>
      </c>
      <c r="J3970" s="1" t="str">
        <f t="shared" ref="J3970:J3973" si="1276">"3"</f>
        <v>3</v>
      </c>
      <c r="K3970" s="1">
        <v>2</v>
      </c>
      <c r="L3970" s="1" t="s">
        <v>80</v>
      </c>
      <c r="M3970" s="1" t="str">
        <f>"河南省 洛阳市 涧西区 "</f>
        <v xml:space="preserve">河南省 洛阳市 涧西区 </v>
      </c>
      <c r="N3970" s="1" t="str">
        <f t="shared" si="1271"/>
        <v>凡华云仓-城南圆通-微信视频号</v>
      </c>
      <c r="O3970" s="5" t="s">
        <v>4001</v>
      </c>
      <c r="P3970" s="6">
        <v>0.24</v>
      </c>
      <c r="Q3970" s="11">
        <v>2</v>
      </c>
      <c r="R3970" s="11"/>
      <c r="S3970" s="11"/>
      <c r="T3970" s="11"/>
      <c r="U3970" s="11">
        <f t="shared" si="1253"/>
        <v>2</v>
      </c>
      <c r="W3970">
        <v>2.2000000000000002</v>
      </c>
      <c r="X3970" s="1" t="s">
        <v>80</v>
      </c>
    </row>
    <row r="3971" spans="1:24" x14ac:dyDescent="0.25">
      <c r="A3971" s="1" t="str">
        <f t="shared" si="1254"/>
        <v>卡卡杜-凤凰仓</v>
      </c>
      <c r="B3971" s="1" t="str">
        <f>"CK20241022879"</f>
        <v>CK20241022879</v>
      </c>
      <c r="C3971" s="1" t="str">
        <f>"DD2024102257415"</f>
        <v>DD2024102257415</v>
      </c>
      <c r="D3971" s="1" t="str">
        <f>"CK2024102250923"</f>
        <v>CK2024102250923</v>
      </c>
      <c r="E3971" s="1" t="str">
        <f>"3723470257917134336"</f>
        <v>3723470257917134336</v>
      </c>
      <c r="F3971" s="1" t="str">
        <f t="shared" si="1255"/>
        <v>花都四部-凤凰仓</v>
      </c>
      <c r="G3971" s="1" t="str">
        <f t="shared" si="1261"/>
        <v>卡卡杜企业店（视频号）</v>
      </c>
      <c r="H3971" s="1" t="str">
        <f t="shared" si="1256"/>
        <v>正常订单</v>
      </c>
      <c r="I3971" s="1" t="str">
        <f t="shared" si="1257"/>
        <v>已发货</v>
      </c>
      <c r="J3971" s="1" t="str">
        <f t="shared" si="1276"/>
        <v>3</v>
      </c>
      <c r="K3971" s="1">
        <v>2</v>
      </c>
      <c r="L3971" s="1" t="s">
        <v>24</v>
      </c>
      <c r="M3971" s="1" t="str">
        <f>"福建省 厦门市 思明区 "</f>
        <v xml:space="preserve">福建省 厦门市 思明区 </v>
      </c>
      <c r="N3971" s="1" t="str">
        <f t="shared" si="1271"/>
        <v>凡华云仓-城南圆通-微信视频号</v>
      </c>
      <c r="O3971" s="5" t="s">
        <v>4002</v>
      </c>
      <c r="P3971" s="6">
        <v>0.24</v>
      </c>
      <c r="Q3971" s="11">
        <v>2</v>
      </c>
      <c r="R3971" s="11"/>
      <c r="S3971" s="11"/>
      <c r="T3971" s="11"/>
      <c r="U3971" s="11">
        <f t="shared" ref="U3971:U4034" si="1277">T3971+S3971+R3971+Q3971</f>
        <v>2</v>
      </c>
      <c r="W3971">
        <v>2.2000000000000002</v>
      </c>
      <c r="X3971" s="1" t="s">
        <v>24</v>
      </c>
    </row>
    <row r="3972" spans="1:24" x14ac:dyDescent="0.25">
      <c r="A3972" s="1" t="str">
        <f t="shared" si="1254"/>
        <v>卡卡杜-凤凰仓</v>
      </c>
      <c r="B3972" s="1" t="str">
        <f>"CK20241022809"</f>
        <v>CK20241022809</v>
      </c>
      <c r="C3972" s="1" t="str">
        <f>"DD2024102257170"</f>
        <v>DD2024102257170</v>
      </c>
      <c r="D3972" s="1" t="str">
        <f>"CK2024102250922"</f>
        <v>CK2024102250922</v>
      </c>
      <c r="E3972" s="1" t="str">
        <f>"3723470257824863232"</f>
        <v>3723470257824863232</v>
      </c>
      <c r="F3972" s="1" t="str">
        <f t="shared" si="1255"/>
        <v>花都四部-凤凰仓</v>
      </c>
      <c r="G3972" s="1" t="str">
        <f t="shared" si="1261"/>
        <v>卡卡杜企业店（视频号）</v>
      </c>
      <c r="H3972" s="1" t="str">
        <f t="shared" si="1256"/>
        <v>正常订单</v>
      </c>
      <c r="I3972" s="1" t="str">
        <f t="shared" si="1257"/>
        <v>已发货</v>
      </c>
      <c r="J3972" s="1" t="str">
        <f t="shared" si="1275"/>
        <v>2</v>
      </c>
      <c r="K3972" s="1">
        <v>2</v>
      </c>
      <c r="L3972" s="1" t="s">
        <v>74</v>
      </c>
      <c r="M3972" s="1" t="str">
        <f>"上海 上海市 徐汇区 "</f>
        <v xml:space="preserve">上海 上海市 徐汇区 </v>
      </c>
      <c r="N3972" s="1" t="str">
        <f t="shared" si="1271"/>
        <v>凡华云仓-城南圆通-微信视频号</v>
      </c>
      <c r="O3972" s="5" t="s">
        <v>4003</v>
      </c>
      <c r="P3972" s="6">
        <v>0.17</v>
      </c>
      <c r="Q3972" s="11">
        <v>2</v>
      </c>
      <c r="R3972" s="11"/>
      <c r="S3972" s="11"/>
      <c r="T3972" s="11"/>
      <c r="U3972" s="11">
        <f t="shared" si="1277"/>
        <v>2</v>
      </c>
      <c r="W3972">
        <v>2.2000000000000002</v>
      </c>
      <c r="X3972" s="1" t="s">
        <v>74</v>
      </c>
    </row>
    <row r="3973" spans="1:24" x14ac:dyDescent="0.25">
      <c r="A3973" s="1" t="str">
        <f t="shared" ref="A3973:A4036" si="1278">"卡卡杜-凤凰仓"</f>
        <v>卡卡杜-凤凰仓</v>
      </c>
      <c r="B3973" s="1" t="str">
        <f>"CK20241022851"</f>
        <v>CK20241022851</v>
      </c>
      <c r="C3973" s="1" t="str">
        <f>"DD2024102257304"</f>
        <v>DD2024102257304</v>
      </c>
      <c r="D3973" s="1" t="str">
        <f>"CK2024102250921"</f>
        <v>CK2024102250921</v>
      </c>
      <c r="E3973" s="1" t="str">
        <f>"3723470253663323648"</f>
        <v>3723470253663323648</v>
      </c>
      <c r="F3973" s="1" t="str">
        <f t="shared" ref="F3973:F4036" si="1279">"花都四部-凤凰仓"</f>
        <v>花都四部-凤凰仓</v>
      </c>
      <c r="G3973" s="1" t="str">
        <f t="shared" si="1261"/>
        <v>卡卡杜企业店（视频号）</v>
      </c>
      <c r="H3973" s="1" t="str">
        <f t="shared" ref="H3973:H4036" si="1280">"正常订单"</f>
        <v>正常订单</v>
      </c>
      <c r="I3973" s="1" t="str">
        <f t="shared" ref="I3973:I4036" si="1281">"已发货"</f>
        <v>已发货</v>
      </c>
      <c r="J3973" s="1" t="str">
        <f t="shared" si="1276"/>
        <v>3</v>
      </c>
      <c r="K3973" s="1">
        <v>2</v>
      </c>
      <c r="L3973" s="1" t="s">
        <v>92</v>
      </c>
      <c r="M3973" s="1" t="str">
        <f>"辽宁省 大连市 沙河口区 "</f>
        <v xml:space="preserve">辽宁省 大连市 沙河口区 </v>
      </c>
      <c r="N3973" s="1" t="str">
        <f t="shared" si="1271"/>
        <v>凡华云仓-城南圆通-微信视频号</v>
      </c>
      <c r="O3973" s="5" t="s">
        <v>4004</v>
      </c>
      <c r="P3973" s="6">
        <v>0.24</v>
      </c>
      <c r="Q3973" s="11">
        <v>2</v>
      </c>
      <c r="R3973" s="11"/>
      <c r="S3973" s="11"/>
      <c r="T3973" s="11"/>
      <c r="U3973" s="11">
        <f t="shared" si="1277"/>
        <v>2</v>
      </c>
      <c r="W3973">
        <v>2.2000000000000002</v>
      </c>
      <c r="X3973" s="1" t="s">
        <v>92</v>
      </c>
    </row>
    <row r="3974" spans="1:24" x14ac:dyDescent="0.25">
      <c r="A3974" s="1" t="str">
        <f t="shared" si="1278"/>
        <v>卡卡杜-凤凰仓</v>
      </c>
      <c r="B3974" s="1" t="str">
        <f>"CK20241022854"</f>
        <v>CK20241022854</v>
      </c>
      <c r="C3974" s="1" t="str">
        <f>"DD2024102257327"</f>
        <v>DD2024102257327</v>
      </c>
      <c r="D3974" s="1" t="str">
        <f>"CK2024102250920"</f>
        <v>CK2024102250920</v>
      </c>
      <c r="E3974" s="1" t="str">
        <f>"3723470254654231552"</f>
        <v>3723470254654231552</v>
      </c>
      <c r="F3974" s="1" t="str">
        <f t="shared" si="1279"/>
        <v>花都四部-凤凰仓</v>
      </c>
      <c r="G3974" s="1" t="str">
        <f t="shared" si="1261"/>
        <v>卡卡杜企业店（视频号）</v>
      </c>
      <c r="H3974" s="1" t="str">
        <f t="shared" si="1280"/>
        <v>正常订单</v>
      </c>
      <c r="I3974" s="1" t="str">
        <f t="shared" si="1281"/>
        <v>已发货</v>
      </c>
      <c r="J3974" s="1" t="str">
        <f t="shared" si="1275"/>
        <v>2</v>
      </c>
      <c r="K3974" s="1">
        <v>2</v>
      </c>
      <c r="L3974" s="1" t="s">
        <v>41</v>
      </c>
      <c r="M3974" s="1" t="str">
        <f>"湖北省 武汉市 洪山区 "</f>
        <v xml:space="preserve">湖北省 武汉市 洪山区 </v>
      </c>
      <c r="N3974" s="1" t="str">
        <f t="shared" si="1271"/>
        <v>凡华云仓-城南圆通-微信视频号</v>
      </c>
      <c r="O3974" s="5" t="s">
        <v>4005</v>
      </c>
      <c r="P3974" s="6">
        <v>0.17</v>
      </c>
      <c r="Q3974" s="11">
        <v>2</v>
      </c>
      <c r="R3974" s="11"/>
      <c r="S3974" s="11"/>
      <c r="T3974" s="11"/>
      <c r="U3974" s="11">
        <f t="shared" si="1277"/>
        <v>2</v>
      </c>
      <c r="W3974">
        <v>2.2000000000000002</v>
      </c>
      <c r="X3974" s="1" t="s">
        <v>41</v>
      </c>
    </row>
    <row r="3975" spans="1:24" x14ac:dyDescent="0.25">
      <c r="A3975" s="1" t="str">
        <f t="shared" si="1278"/>
        <v>卡卡杜-凤凰仓</v>
      </c>
      <c r="B3975" s="1" t="str">
        <f>"CK20241022720"</f>
        <v>CK20241022720</v>
      </c>
      <c r="C3975" s="1" t="str">
        <f>"DD2024102257023"</f>
        <v>DD2024102257023</v>
      </c>
      <c r="D3975" s="1" t="str">
        <f>"CK2024102250919"</f>
        <v>CK2024102250919</v>
      </c>
      <c r="E3975" s="1" t="str">
        <f>"3723470253889818624"</f>
        <v>3723470253889818624</v>
      </c>
      <c r="F3975" s="1" t="str">
        <f t="shared" si="1279"/>
        <v>花都四部-凤凰仓</v>
      </c>
      <c r="G3975" s="1" t="str">
        <f t="shared" si="1261"/>
        <v>卡卡杜企业店（视频号）</v>
      </c>
      <c r="H3975" s="1" t="str">
        <f t="shared" si="1280"/>
        <v>正常订单</v>
      </c>
      <c r="I3975" s="1" t="str">
        <f t="shared" si="1281"/>
        <v>已发货</v>
      </c>
      <c r="J3975" s="1" t="str">
        <f t="shared" si="1275"/>
        <v>2</v>
      </c>
      <c r="K3975" s="1">
        <v>2</v>
      </c>
      <c r="L3975" s="1" t="s">
        <v>13</v>
      </c>
      <c r="M3975" s="1" t="str">
        <f>"江苏省 南京市 江宁区 "</f>
        <v xml:space="preserve">江苏省 南京市 江宁区 </v>
      </c>
      <c r="N3975" s="1" t="str">
        <f t="shared" si="1271"/>
        <v>凡华云仓-城南圆通-微信视频号</v>
      </c>
      <c r="O3975" s="5" t="s">
        <v>4006</v>
      </c>
      <c r="P3975" s="6">
        <v>0.17</v>
      </c>
      <c r="Q3975" s="11">
        <v>2</v>
      </c>
      <c r="R3975" s="11"/>
      <c r="S3975" s="11"/>
      <c r="T3975" s="11"/>
      <c r="U3975" s="11">
        <f t="shared" si="1277"/>
        <v>2</v>
      </c>
      <c r="W3975">
        <v>2.2000000000000002</v>
      </c>
      <c r="X3975" s="1" t="s">
        <v>13</v>
      </c>
    </row>
    <row r="3976" spans="1:24" x14ac:dyDescent="0.25">
      <c r="A3976" s="1" t="str">
        <f t="shared" si="1278"/>
        <v>卡卡杜-凤凰仓</v>
      </c>
      <c r="B3976" s="1" t="str">
        <f>"CK20241022446"</f>
        <v>CK20241022446</v>
      </c>
      <c r="C3976" s="1" t="str">
        <f>"DD2024102255392"</f>
        <v>DD2024102255392</v>
      </c>
      <c r="D3976" s="1" t="str">
        <f>"CK2024102250918"</f>
        <v>CK2024102250918</v>
      </c>
      <c r="E3976" s="1" t="str">
        <f>"3723470253624002049"</f>
        <v>3723470253624002049</v>
      </c>
      <c r="F3976" s="1" t="str">
        <f t="shared" si="1279"/>
        <v>花都四部-凤凰仓</v>
      </c>
      <c r="G3976" s="1" t="str">
        <f t="shared" si="1261"/>
        <v>卡卡杜企业店（视频号）</v>
      </c>
      <c r="H3976" s="1" t="str">
        <f t="shared" si="1280"/>
        <v>正常订单</v>
      </c>
      <c r="I3976" s="1" t="str">
        <f t="shared" si="1281"/>
        <v>已发货</v>
      </c>
      <c r="J3976" s="1" t="str">
        <f t="shared" ref="J3976:J3978" si="1282">"3"</f>
        <v>3</v>
      </c>
      <c r="K3976" s="1">
        <v>3</v>
      </c>
      <c r="L3976" s="1" t="s">
        <v>66</v>
      </c>
      <c r="M3976" s="1" t="str">
        <f>"内蒙古自治区 巴彦淖尔市 乌拉特前旗 "</f>
        <v xml:space="preserve">内蒙古自治区 巴彦淖尔市 乌拉特前旗 </v>
      </c>
      <c r="N3976" s="1" t="str">
        <f t="shared" si="1271"/>
        <v>凡华云仓-城南圆通-微信视频号</v>
      </c>
      <c r="O3976" s="5" t="s">
        <v>4007</v>
      </c>
      <c r="P3976" s="6">
        <v>0.34</v>
      </c>
      <c r="Q3976" s="11">
        <v>2.2999999999999998</v>
      </c>
      <c r="R3976" s="11"/>
      <c r="S3976" s="11"/>
      <c r="T3976" s="11"/>
      <c r="U3976" s="11">
        <f t="shared" si="1277"/>
        <v>2.2999999999999998</v>
      </c>
      <c r="W3976">
        <v>2.5</v>
      </c>
      <c r="X3976" s="1" t="s">
        <v>66</v>
      </c>
    </row>
    <row r="3977" spans="1:24" x14ac:dyDescent="0.25">
      <c r="A3977" s="1" t="str">
        <f t="shared" si="1278"/>
        <v>卡卡杜-凤凰仓</v>
      </c>
      <c r="B3977" s="1" t="str">
        <f>"CK20241022904"</f>
        <v>CK20241022904</v>
      </c>
      <c r="C3977" s="1" t="str">
        <f>"DD2024102257526"</f>
        <v>DD2024102257526</v>
      </c>
      <c r="D3977" s="1" t="str">
        <f>"CK2024102250917"</f>
        <v>CK2024102250917</v>
      </c>
      <c r="E3977" s="1" t="str">
        <f>"3723470249908637696"</f>
        <v>3723470249908637696</v>
      </c>
      <c r="F3977" s="1" t="str">
        <f t="shared" si="1279"/>
        <v>花都四部-凤凰仓</v>
      </c>
      <c r="G3977" s="1" t="str">
        <f t="shared" si="1261"/>
        <v>卡卡杜企业店（视频号）</v>
      </c>
      <c r="H3977" s="1" t="str">
        <f t="shared" si="1280"/>
        <v>正常订单</v>
      </c>
      <c r="I3977" s="1" t="str">
        <f t="shared" si="1281"/>
        <v>已发货</v>
      </c>
      <c r="J3977" s="1" t="str">
        <f t="shared" si="1282"/>
        <v>3</v>
      </c>
      <c r="K3977" s="1">
        <v>2</v>
      </c>
      <c r="L3977" s="1" t="s">
        <v>24</v>
      </c>
      <c r="M3977" s="1" t="str">
        <f>"福建省 泉州市 丰泽区 "</f>
        <v xml:space="preserve">福建省 泉州市 丰泽区 </v>
      </c>
      <c r="N3977" s="1" t="str">
        <f t="shared" si="1271"/>
        <v>凡华云仓-城南圆通-微信视频号</v>
      </c>
      <c r="O3977" s="5" t="s">
        <v>4008</v>
      </c>
      <c r="P3977" s="6">
        <v>0.24</v>
      </c>
      <c r="Q3977" s="11">
        <v>2</v>
      </c>
      <c r="R3977" s="11"/>
      <c r="S3977" s="11"/>
      <c r="T3977" s="11"/>
      <c r="U3977" s="11">
        <f t="shared" si="1277"/>
        <v>2</v>
      </c>
      <c r="W3977">
        <v>2.2000000000000002</v>
      </c>
      <c r="X3977" s="1" t="s">
        <v>24</v>
      </c>
    </row>
    <row r="3978" spans="1:24" x14ac:dyDescent="0.25">
      <c r="A3978" s="1" t="str">
        <f t="shared" si="1278"/>
        <v>卡卡杜-凤凰仓</v>
      </c>
      <c r="B3978" s="1" t="str">
        <f>"CK20241022878"</f>
        <v>CK20241022878</v>
      </c>
      <c r="C3978" s="1" t="str">
        <f>"DD2024102257413"</f>
        <v>DD2024102257413</v>
      </c>
      <c r="D3978" s="1" t="str">
        <f>"CK2024102250916"</f>
        <v>CK2024102250916</v>
      </c>
      <c r="E3978" s="1" t="str">
        <f>"3723470249150256128"</f>
        <v>3723470249150256128</v>
      </c>
      <c r="F3978" s="1" t="str">
        <f t="shared" si="1279"/>
        <v>花都四部-凤凰仓</v>
      </c>
      <c r="G3978" s="1" t="str">
        <f t="shared" si="1261"/>
        <v>卡卡杜企业店（视频号）</v>
      </c>
      <c r="H3978" s="1" t="str">
        <f t="shared" si="1280"/>
        <v>正常订单</v>
      </c>
      <c r="I3978" s="1" t="str">
        <f t="shared" si="1281"/>
        <v>已发货</v>
      </c>
      <c r="J3978" s="1" t="str">
        <f t="shared" si="1282"/>
        <v>3</v>
      </c>
      <c r="K3978" s="1">
        <v>2</v>
      </c>
      <c r="L3978" s="1" t="s">
        <v>92</v>
      </c>
      <c r="M3978" s="1" t="str">
        <f>"辽宁省 抚顺市 新抚区 "</f>
        <v xml:space="preserve">辽宁省 抚顺市 新抚区 </v>
      </c>
      <c r="N3978" s="1" t="str">
        <f t="shared" si="1271"/>
        <v>凡华云仓-城南圆通-微信视频号</v>
      </c>
      <c r="O3978" s="5" t="s">
        <v>4009</v>
      </c>
      <c r="P3978" s="6">
        <v>0.24</v>
      </c>
      <c r="Q3978" s="11">
        <v>2</v>
      </c>
      <c r="R3978" s="11"/>
      <c r="S3978" s="11"/>
      <c r="T3978" s="11"/>
      <c r="U3978" s="11">
        <f t="shared" si="1277"/>
        <v>2</v>
      </c>
      <c r="W3978">
        <v>2.2000000000000002</v>
      </c>
      <c r="X3978" s="1" t="s">
        <v>92</v>
      </c>
    </row>
    <row r="3979" spans="1:24" x14ac:dyDescent="0.25">
      <c r="A3979" s="1" t="str">
        <f t="shared" si="1278"/>
        <v>卡卡杜-凤凰仓</v>
      </c>
      <c r="B3979" s="1" t="str">
        <f>"CK20241022693"</f>
        <v>CK20241022693</v>
      </c>
      <c r="C3979" s="1" t="str">
        <f>"DD2024102256995"</f>
        <v>DD2024102256995</v>
      </c>
      <c r="D3979" s="1" t="str">
        <f>"CK2024102250915"</f>
        <v>CK2024102250915</v>
      </c>
      <c r="E3979" s="1" t="str">
        <f>"3723470244734178304"</f>
        <v>3723470244734178304</v>
      </c>
      <c r="F3979" s="1" t="str">
        <f t="shared" si="1279"/>
        <v>花都四部-凤凰仓</v>
      </c>
      <c r="G3979" s="1" t="str">
        <f t="shared" si="1261"/>
        <v>卡卡杜企业店（视频号）</v>
      </c>
      <c r="H3979" s="1" t="str">
        <f t="shared" si="1280"/>
        <v>正常订单</v>
      </c>
      <c r="I3979" s="1" t="str">
        <f t="shared" si="1281"/>
        <v>已发货</v>
      </c>
      <c r="J3979" s="1" t="str">
        <f t="shared" ref="J3979:J3984" si="1283">"2"</f>
        <v>2</v>
      </c>
      <c r="K3979" s="1">
        <v>2</v>
      </c>
      <c r="L3979" s="1" t="s">
        <v>92</v>
      </c>
      <c r="M3979" s="1" t="str">
        <f>"辽宁省 大连市 甘井子区 "</f>
        <v xml:space="preserve">辽宁省 大连市 甘井子区 </v>
      </c>
      <c r="N3979" s="1" t="str">
        <f t="shared" si="1271"/>
        <v>凡华云仓-城南圆通-微信视频号</v>
      </c>
      <c r="O3979" s="5" t="s">
        <v>4010</v>
      </c>
      <c r="P3979" s="6">
        <v>0.17</v>
      </c>
      <c r="Q3979" s="11">
        <v>2</v>
      </c>
      <c r="R3979" s="11"/>
      <c r="S3979" s="11"/>
      <c r="T3979" s="11"/>
      <c r="U3979" s="11">
        <f t="shared" si="1277"/>
        <v>2</v>
      </c>
      <c r="W3979">
        <v>2.2000000000000002</v>
      </c>
      <c r="X3979" s="1" t="s">
        <v>92</v>
      </c>
    </row>
    <row r="3980" spans="1:24" x14ac:dyDescent="0.25">
      <c r="A3980" s="1" t="str">
        <f t="shared" si="1278"/>
        <v>卡卡杜-凤凰仓</v>
      </c>
      <c r="B3980" s="1" t="str">
        <f>"CK20241022833"</f>
        <v>CK20241022833</v>
      </c>
      <c r="C3980" s="1" t="str">
        <f>"DD2024102257247"</f>
        <v>DD2024102257247</v>
      </c>
      <c r="D3980" s="1" t="str">
        <f>"CK2024102250914"</f>
        <v>CK2024102250914</v>
      </c>
      <c r="E3980" s="1" t="str">
        <f>"3723470244756721664"</f>
        <v>3723470244756721664</v>
      </c>
      <c r="F3980" s="1" t="str">
        <f t="shared" si="1279"/>
        <v>花都四部-凤凰仓</v>
      </c>
      <c r="G3980" s="1" t="str">
        <f t="shared" si="1261"/>
        <v>卡卡杜企业店（视频号）</v>
      </c>
      <c r="H3980" s="1" t="str">
        <f t="shared" si="1280"/>
        <v>正常订单</v>
      </c>
      <c r="I3980" s="1" t="str">
        <f t="shared" si="1281"/>
        <v>已发货</v>
      </c>
      <c r="J3980" s="1" t="str">
        <f t="shared" si="1283"/>
        <v>2</v>
      </c>
      <c r="K3980" s="1">
        <v>2</v>
      </c>
      <c r="L3980" s="1" t="s">
        <v>96</v>
      </c>
      <c r="M3980" s="1" t="str">
        <f>"广西壮族自治区 柳州市 柳南区 "</f>
        <v xml:space="preserve">广西壮族自治区 柳州市 柳南区 </v>
      </c>
      <c r="N3980" s="1" t="str">
        <f t="shared" si="1271"/>
        <v>凡华云仓-城南圆通-微信视频号</v>
      </c>
      <c r="O3980" s="5" t="s">
        <v>4011</v>
      </c>
      <c r="P3980" s="6">
        <v>0.17</v>
      </c>
      <c r="Q3980" s="11">
        <v>2</v>
      </c>
      <c r="R3980" s="11"/>
      <c r="S3980" s="11"/>
      <c r="T3980" s="11"/>
      <c r="U3980" s="11">
        <f t="shared" si="1277"/>
        <v>2</v>
      </c>
      <c r="W3980">
        <v>2.2000000000000002</v>
      </c>
      <c r="X3980" s="1" t="s">
        <v>96</v>
      </c>
    </row>
    <row r="3981" spans="1:24" x14ac:dyDescent="0.25">
      <c r="A3981" s="1" t="str">
        <f t="shared" si="1278"/>
        <v>卡卡杜-凤凰仓</v>
      </c>
      <c r="B3981" s="1" t="str">
        <f>"CK20241022859"</f>
        <v>CK20241022859</v>
      </c>
      <c r="C3981" s="1" t="str">
        <f>"DD2024102257338"</f>
        <v>DD2024102257338</v>
      </c>
      <c r="D3981" s="1" t="str">
        <f>"CK2024102250913"</f>
        <v>CK2024102250913</v>
      </c>
      <c r="E3981" s="1" t="str">
        <f>"3723470243731738624"</f>
        <v>3723470243731738624</v>
      </c>
      <c r="F3981" s="1" t="str">
        <f t="shared" si="1279"/>
        <v>花都四部-凤凰仓</v>
      </c>
      <c r="G3981" s="1" t="str">
        <f t="shared" si="1261"/>
        <v>卡卡杜企业店（视频号）</v>
      </c>
      <c r="H3981" s="1" t="str">
        <f t="shared" si="1280"/>
        <v>正常订单</v>
      </c>
      <c r="I3981" s="1" t="str">
        <f t="shared" si="1281"/>
        <v>已发货</v>
      </c>
      <c r="J3981" s="1" t="str">
        <f t="shared" ref="J3981:J3986" si="1284">"3"</f>
        <v>3</v>
      </c>
      <c r="K3981" s="1">
        <v>2</v>
      </c>
      <c r="L3981" s="1" t="s">
        <v>18</v>
      </c>
      <c r="M3981" s="1" t="str">
        <f>"广东省 中山市 港口镇 "</f>
        <v xml:space="preserve">广东省 中山市 港口镇 </v>
      </c>
      <c r="N3981" s="1" t="str">
        <f t="shared" si="1271"/>
        <v>凡华云仓-城南圆通-微信视频号</v>
      </c>
      <c r="O3981" s="5" t="s">
        <v>4012</v>
      </c>
      <c r="P3981" s="6">
        <v>0.24</v>
      </c>
      <c r="Q3981" s="11">
        <v>2</v>
      </c>
      <c r="R3981" s="11"/>
      <c r="S3981" s="11"/>
      <c r="T3981" s="11"/>
      <c r="U3981" s="11">
        <f t="shared" si="1277"/>
        <v>2</v>
      </c>
      <c r="W3981">
        <v>2.2000000000000002</v>
      </c>
      <c r="X3981" s="1" t="s">
        <v>18</v>
      </c>
    </row>
    <row r="3982" spans="1:24" x14ac:dyDescent="0.25">
      <c r="A3982" s="1" t="str">
        <f t="shared" si="1278"/>
        <v>卡卡杜-凤凰仓</v>
      </c>
      <c r="B3982" s="1" t="str">
        <f>"CK20241022741"</f>
        <v>CK20241022741</v>
      </c>
      <c r="C3982" s="1" t="str">
        <f>"DD2024102257043"</f>
        <v>DD2024102257043</v>
      </c>
      <c r="D3982" s="1" t="str">
        <f>"CK2024102250912"</f>
        <v>CK2024102250912</v>
      </c>
      <c r="E3982" s="1" t="str">
        <f>"3723470238012278273"</f>
        <v>3723470238012278273</v>
      </c>
      <c r="F3982" s="1" t="str">
        <f t="shared" si="1279"/>
        <v>花都四部-凤凰仓</v>
      </c>
      <c r="G3982" s="1" t="str">
        <f t="shared" ref="G3982:G4045" si="1285">"卡卡杜企业店（视频号）"</f>
        <v>卡卡杜企业店（视频号）</v>
      </c>
      <c r="H3982" s="1" t="str">
        <f t="shared" si="1280"/>
        <v>正常订单</v>
      </c>
      <c r="I3982" s="1" t="str">
        <f t="shared" si="1281"/>
        <v>已发货</v>
      </c>
      <c r="J3982" s="1" t="str">
        <f t="shared" si="1284"/>
        <v>3</v>
      </c>
      <c r="K3982" s="1">
        <v>2</v>
      </c>
      <c r="L3982" s="1" t="s">
        <v>30</v>
      </c>
      <c r="M3982" s="1" t="str">
        <f>"山东省 青岛市 市北区 "</f>
        <v xml:space="preserve">山东省 青岛市 市北区 </v>
      </c>
      <c r="N3982" s="1" t="str">
        <f t="shared" si="1271"/>
        <v>凡华云仓-城南圆通-微信视频号</v>
      </c>
      <c r="O3982" s="5" t="s">
        <v>4013</v>
      </c>
      <c r="P3982" s="6">
        <v>0.24</v>
      </c>
      <c r="Q3982" s="11">
        <v>2</v>
      </c>
      <c r="R3982" s="11"/>
      <c r="S3982" s="11"/>
      <c r="T3982" s="11"/>
      <c r="U3982" s="11">
        <f t="shared" si="1277"/>
        <v>2</v>
      </c>
      <c r="W3982">
        <v>2.2000000000000002</v>
      </c>
      <c r="X3982" s="1" t="s">
        <v>30</v>
      </c>
    </row>
    <row r="3983" spans="1:24" x14ac:dyDescent="0.25">
      <c r="A3983" s="1" t="str">
        <f t="shared" si="1278"/>
        <v>卡卡杜-凤凰仓</v>
      </c>
      <c r="B3983" s="1" t="str">
        <f>"CK20241022837"</f>
        <v>CK20241022837</v>
      </c>
      <c r="C3983" s="1" t="str">
        <f>"DD2024102257263"</f>
        <v>DD2024102257263</v>
      </c>
      <c r="D3983" s="1" t="str">
        <f>"CK2024102250911"</f>
        <v>CK2024102250911</v>
      </c>
      <c r="E3983" s="1" t="str">
        <f>"3723470238757032960"</f>
        <v>3723470238757032960</v>
      </c>
      <c r="F3983" s="1" t="str">
        <f t="shared" si="1279"/>
        <v>花都四部-凤凰仓</v>
      </c>
      <c r="G3983" s="1" t="str">
        <f t="shared" si="1285"/>
        <v>卡卡杜企业店（视频号）</v>
      </c>
      <c r="H3983" s="1" t="str">
        <f t="shared" si="1280"/>
        <v>正常订单</v>
      </c>
      <c r="I3983" s="1" t="str">
        <f t="shared" si="1281"/>
        <v>已发货</v>
      </c>
      <c r="J3983" s="1" t="str">
        <f t="shared" si="1283"/>
        <v>2</v>
      </c>
      <c r="K3983" s="1">
        <v>2</v>
      </c>
      <c r="L3983" s="1" t="s">
        <v>16</v>
      </c>
      <c r="M3983" s="1" t="str">
        <f>"河北省 石家庄市 裕华区 "</f>
        <v xml:space="preserve">河北省 石家庄市 裕华区 </v>
      </c>
      <c r="N3983" s="1" t="str">
        <f t="shared" si="1271"/>
        <v>凡华云仓-城南圆通-微信视频号</v>
      </c>
      <c r="O3983" s="5" t="s">
        <v>4014</v>
      </c>
      <c r="P3983" s="6">
        <v>0.17</v>
      </c>
      <c r="Q3983" s="11">
        <v>2</v>
      </c>
      <c r="R3983" s="11"/>
      <c r="S3983" s="11"/>
      <c r="T3983" s="11"/>
      <c r="U3983" s="11">
        <f t="shared" si="1277"/>
        <v>2</v>
      </c>
      <c r="W3983">
        <v>2.2000000000000002</v>
      </c>
      <c r="X3983" s="1" t="s">
        <v>16</v>
      </c>
    </row>
    <row r="3984" spans="1:24" x14ac:dyDescent="0.25">
      <c r="A3984" s="1" t="str">
        <f t="shared" si="1278"/>
        <v>卡卡杜-凤凰仓</v>
      </c>
      <c r="B3984" s="1" t="str">
        <f>"CK20241022949"</f>
        <v>CK20241022949</v>
      </c>
      <c r="C3984" s="1" t="str">
        <f>"DD2024102257682"</f>
        <v>DD2024102257682</v>
      </c>
      <c r="D3984" s="1" t="str">
        <f>"CK2024102250910"</f>
        <v>CK2024102250910</v>
      </c>
      <c r="E3984" s="1" t="str">
        <f>"3723470237803613184"</f>
        <v>3723470237803613184</v>
      </c>
      <c r="F3984" s="1" t="str">
        <f t="shared" si="1279"/>
        <v>花都四部-凤凰仓</v>
      </c>
      <c r="G3984" s="1" t="str">
        <f t="shared" si="1285"/>
        <v>卡卡杜企业店（视频号）</v>
      </c>
      <c r="H3984" s="1" t="str">
        <f t="shared" si="1280"/>
        <v>正常订单</v>
      </c>
      <c r="I3984" s="1" t="str">
        <f t="shared" si="1281"/>
        <v>已发货</v>
      </c>
      <c r="J3984" s="1" t="str">
        <f t="shared" si="1283"/>
        <v>2</v>
      </c>
      <c r="K3984" s="1">
        <v>2</v>
      </c>
      <c r="L3984" s="1" t="s">
        <v>30</v>
      </c>
      <c r="M3984" s="1" t="str">
        <f>"山东省 东营市 东营区 "</f>
        <v xml:space="preserve">山东省 东营市 东营区 </v>
      </c>
      <c r="N3984" s="1" t="str">
        <f t="shared" si="1271"/>
        <v>凡华云仓-城南圆通-微信视频号</v>
      </c>
      <c r="O3984" s="5" t="s">
        <v>4015</v>
      </c>
      <c r="P3984" s="6">
        <v>0.17</v>
      </c>
      <c r="Q3984" s="11">
        <v>2</v>
      </c>
      <c r="R3984" s="11"/>
      <c r="S3984" s="11"/>
      <c r="T3984" s="11"/>
      <c r="U3984" s="11">
        <f t="shared" si="1277"/>
        <v>2</v>
      </c>
      <c r="W3984">
        <v>2.2000000000000002</v>
      </c>
      <c r="X3984" s="1" t="s">
        <v>30</v>
      </c>
    </row>
    <row r="3985" spans="1:24" x14ac:dyDescent="0.25">
      <c r="A3985" s="1" t="str">
        <f t="shared" si="1278"/>
        <v>卡卡杜-凤凰仓</v>
      </c>
      <c r="B3985" s="1" t="str">
        <f>"CK20241022899"</f>
        <v>CK20241022899</v>
      </c>
      <c r="C3985" s="1" t="str">
        <f>"DD2024102257510"</f>
        <v>DD2024102257510</v>
      </c>
      <c r="D3985" s="1" t="str">
        <f>"CK2024102250909"</f>
        <v>CK2024102250909</v>
      </c>
      <c r="E3985" s="1" t="str">
        <f>"3723470228755189760"</f>
        <v>3723470228755189760</v>
      </c>
      <c r="F3985" s="1" t="str">
        <f t="shared" si="1279"/>
        <v>花都四部-凤凰仓</v>
      </c>
      <c r="G3985" s="1" t="str">
        <f t="shared" si="1285"/>
        <v>卡卡杜企业店（视频号）</v>
      </c>
      <c r="H3985" s="1" t="str">
        <f t="shared" si="1280"/>
        <v>正常订单</v>
      </c>
      <c r="I3985" s="1" t="str">
        <f t="shared" si="1281"/>
        <v>已发货</v>
      </c>
      <c r="J3985" s="1" t="str">
        <f t="shared" si="1284"/>
        <v>3</v>
      </c>
      <c r="K3985" s="1">
        <v>2</v>
      </c>
      <c r="L3985" s="1" t="s">
        <v>13</v>
      </c>
      <c r="M3985" s="1" t="str">
        <f>"江苏省 南京市 鼓楼区 "</f>
        <v xml:space="preserve">江苏省 南京市 鼓楼区 </v>
      </c>
      <c r="N3985" s="1" t="str">
        <f t="shared" si="1271"/>
        <v>凡华云仓-城南圆通-微信视频号</v>
      </c>
      <c r="O3985" s="5" t="s">
        <v>4016</v>
      </c>
      <c r="P3985" s="6">
        <v>0.24</v>
      </c>
      <c r="Q3985" s="11">
        <v>2</v>
      </c>
      <c r="R3985" s="11"/>
      <c r="S3985" s="11"/>
      <c r="T3985" s="11"/>
      <c r="U3985" s="11">
        <f t="shared" si="1277"/>
        <v>2</v>
      </c>
      <c r="W3985">
        <v>2.2000000000000002</v>
      </c>
      <c r="X3985" s="1" t="s">
        <v>13</v>
      </c>
    </row>
    <row r="3986" spans="1:24" x14ac:dyDescent="0.25">
      <c r="A3986" s="1" t="str">
        <f t="shared" si="1278"/>
        <v>卡卡杜-凤凰仓</v>
      </c>
      <c r="B3986" s="1" t="str">
        <f>"CK20241022863"</f>
        <v>CK20241022863</v>
      </c>
      <c r="C3986" s="1" t="str">
        <f>"DD2024102257354"</f>
        <v>DD2024102257354</v>
      </c>
      <c r="D3986" s="1" t="str">
        <f>"CK2024102250908"</f>
        <v>CK2024102250908</v>
      </c>
      <c r="E3986" s="1" t="str">
        <f>"3723470227079566336"</f>
        <v>3723470227079566336</v>
      </c>
      <c r="F3986" s="1" t="str">
        <f t="shared" si="1279"/>
        <v>花都四部-凤凰仓</v>
      </c>
      <c r="G3986" s="1" t="str">
        <f t="shared" si="1285"/>
        <v>卡卡杜企业店（视频号）</v>
      </c>
      <c r="H3986" s="1" t="str">
        <f t="shared" si="1280"/>
        <v>正常订单</v>
      </c>
      <c r="I3986" s="1" t="str">
        <f t="shared" si="1281"/>
        <v>已发货</v>
      </c>
      <c r="J3986" s="1" t="str">
        <f t="shared" si="1284"/>
        <v>3</v>
      </c>
      <c r="K3986" s="1">
        <v>2</v>
      </c>
      <c r="L3986" s="1" t="s">
        <v>18</v>
      </c>
      <c r="M3986" s="1" t="str">
        <f>"广东省 珠海市 金湾区 "</f>
        <v xml:space="preserve">广东省 珠海市 金湾区 </v>
      </c>
      <c r="N3986" s="1" t="str">
        <f t="shared" si="1271"/>
        <v>凡华云仓-城南圆通-微信视频号</v>
      </c>
      <c r="O3986" s="5" t="s">
        <v>4017</v>
      </c>
      <c r="P3986" s="6">
        <v>0.24</v>
      </c>
      <c r="Q3986" s="11">
        <v>2</v>
      </c>
      <c r="R3986" s="11"/>
      <c r="S3986" s="11"/>
      <c r="T3986" s="11"/>
      <c r="U3986" s="11">
        <f t="shared" si="1277"/>
        <v>2</v>
      </c>
      <c r="W3986">
        <v>2.2000000000000002</v>
      </c>
      <c r="X3986" s="1" t="s">
        <v>18</v>
      </c>
    </row>
    <row r="3987" spans="1:24" x14ac:dyDescent="0.25">
      <c r="A3987" s="1" t="str">
        <f t="shared" si="1278"/>
        <v>卡卡杜-凤凰仓</v>
      </c>
      <c r="B3987" s="1" t="str">
        <f>"CK20241022806"</f>
        <v>CK20241022806</v>
      </c>
      <c r="C3987" s="1" t="str">
        <f>"DD2024102257159"</f>
        <v>DD2024102257159</v>
      </c>
      <c r="D3987" s="1" t="str">
        <f>"CK2024102250907"</f>
        <v>CK2024102250907</v>
      </c>
      <c r="E3987" s="1" t="str">
        <f>"3723470227888279552"</f>
        <v>3723470227888279552</v>
      </c>
      <c r="F3987" s="1" t="str">
        <f t="shared" si="1279"/>
        <v>花都四部-凤凰仓</v>
      </c>
      <c r="G3987" s="1" t="str">
        <f t="shared" si="1285"/>
        <v>卡卡杜企业店（视频号）</v>
      </c>
      <c r="H3987" s="1" t="str">
        <f t="shared" si="1280"/>
        <v>正常订单</v>
      </c>
      <c r="I3987" s="1" t="str">
        <f t="shared" si="1281"/>
        <v>已发货</v>
      </c>
      <c r="J3987" s="1" t="str">
        <f t="shared" ref="J3987:J3991" si="1286">"2"</f>
        <v>2</v>
      </c>
      <c r="K3987" s="1">
        <v>2</v>
      </c>
      <c r="L3987" s="1" t="s">
        <v>66</v>
      </c>
      <c r="M3987" s="1" t="str">
        <f>"内蒙古自治区 赤峰市 松山区 "</f>
        <v xml:space="preserve">内蒙古自治区 赤峰市 松山区 </v>
      </c>
      <c r="N3987" s="1" t="str">
        <f t="shared" si="1271"/>
        <v>凡华云仓-城南圆通-微信视频号</v>
      </c>
      <c r="O3987" s="5" t="s">
        <v>4018</v>
      </c>
      <c r="P3987" s="6">
        <v>0.17</v>
      </c>
      <c r="Q3987" s="11">
        <v>2</v>
      </c>
      <c r="R3987" s="11"/>
      <c r="S3987" s="11"/>
      <c r="T3987" s="11"/>
      <c r="U3987" s="11">
        <f t="shared" si="1277"/>
        <v>2</v>
      </c>
      <c r="W3987">
        <v>2.2000000000000002</v>
      </c>
      <c r="X3987" s="1" t="s">
        <v>66</v>
      </c>
    </row>
    <row r="3988" spans="1:24" x14ac:dyDescent="0.25">
      <c r="A3988" s="1" t="str">
        <f t="shared" si="1278"/>
        <v>卡卡杜-凤凰仓</v>
      </c>
      <c r="B3988" s="1" t="str">
        <f>"CK20241022722"</f>
        <v>CK20241022722</v>
      </c>
      <c r="C3988" s="1" t="str">
        <f>"DD2024102257025"</f>
        <v>DD2024102257025</v>
      </c>
      <c r="D3988" s="1" t="str">
        <f>"CK2024102250906"</f>
        <v>CK2024102250906</v>
      </c>
      <c r="E3988" s="1" t="str">
        <f>"3723470224189689856"</f>
        <v>3723470224189689856</v>
      </c>
      <c r="F3988" s="1" t="str">
        <f t="shared" si="1279"/>
        <v>花都四部-凤凰仓</v>
      </c>
      <c r="G3988" s="1" t="str">
        <f t="shared" si="1285"/>
        <v>卡卡杜企业店（视频号）</v>
      </c>
      <c r="H3988" s="1" t="str">
        <f t="shared" si="1280"/>
        <v>正常订单</v>
      </c>
      <c r="I3988" s="1" t="str">
        <f t="shared" si="1281"/>
        <v>已发货</v>
      </c>
      <c r="J3988" s="1" t="str">
        <f t="shared" ref="J3988:J3993" si="1287">"3"</f>
        <v>3</v>
      </c>
      <c r="K3988" s="1">
        <v>2</v>
      </c>
      <c r="L3988" s="1" t="s">
        <v>66</v>
      </c>
      <c r="M3988" s="1" t="str">
        <f>"内蒙古自治区 巴彦淖尔市 乌拉特前旗 "</f>
        <v xml:space="preserve">内蒙古自治区 巴彦淖尔市 乌拉特前旗 </v>
      </c>
      <c r="N3988" s="1" t="str">
        <f t="shared" si="1271"/>
        <v>凡华云仓-城南圆通-微信视频号</v>
      </c>
      <c r="O3988" s="5" t="s">
        <v>4019</v>
      </c>
      <c r="P3988" s="6">
        <v>0.24</v>
      </c>
      <c r="Q3988" s="11">
        <v>2</v>
      </c>
      <c r="R3988" s="11"/>
      <c r="S3988" s="11"/>
      <c r="T3988" s="11"/>
      <c r="U3988" s="11">
        <f t="shared" si="1277"/>
        <v>2</v>
      </c>
      <c r="W3988">
        <v>2.2000000000000002</v>
      </c>
      <c r="X3988" s="1" t="s">
        <v>66</v>
      </c>
    </row>
    <row r="3989" spans="1:24" x14ac:dyDescent="0.25">
      <c r="A3989" s="1" t="str">
        <f t="shared" si="1278"/>
        <v>卡卡杜-凤凰仓</v>
      </c>
      <c r="B3989" s="1" t="str">
        <f>"CK20241022688"</f>
        <v>CK20241022688</v>
      </c>
      <c r="C3989" s="1" t="str">
        <f>"DD2024102256988"</f>
        <v>DD2024102256988</v>
      </c>
      <c r="D3989" s="1" t="str">
        <f>"CK2024102250905"</f>
        <v>CK2024102250905</v>
      </c>
      <c r="E3989" s="1" t="str">
        <f>"3723470225033794560"</f>
        <v>3723470225033794560</v>
      </c>
      <c r="F3989" s="1" t="str">
        <f t="shared" si="1279"/>
        <v>花都四部-凤凰仓</v>
      </c>
      <c r="G3989" s="1" t="str">
        <f t="shared" si="1285"/>
        <v>卡卡杜企业店（视频号）</v>
      </c>
      <c r="H3989" s="1" t="str">
        <f t="shared" si="1280"/>
        <v>正常订单</v>
      </c>
      <c r="I3989" s="1" t="str">
        <f t="shared" si="1281"/>
        <v>已发货</v>
      </c>
      <c r="J3989" s="1" t="str">
        <f t="shared" si="1287"/>
        <v>3</v>
      </c>
      <c r="K3989" s="1">
        <v>2</v>
      </c>
      <c r="L3989" s="1" t="s">
        <v>32</v>
      </c>
      <c r="M3989" s="1" t="str">
        <f>"陕西省 西安市 未央区 "</f>
        <v xml:space="preserve">陕西省 西安市 未央区 </v>
      </c>
      <c r="N3989" s="1" t="str">
        <f t="shared" si="1271"/>
        <v>凡华云仓-城南圆通-微信视频号</v>
      </c>
      <c r="O3989" s="5" t="s">
        <v>4020</v>
      </c>
      <c r="P3989" s="6">
        <v>0.24</v>
      </c>
      <c r="Q3989" s="11">
        <v>2</v>
      </c>
      <c r="R3989" s="11"/>
      <c r="S3989" s="11"/>
      <c r="T3989" s="11"/>
      <c r="U3989" s="11">
        <f t="shared" si="1277"/>
        <v>2</v>
      </c>
      <c r="W3989">
        <v>2.2000000000000002</v>
      </c>
      <c r="X3989" s="1" t="s">
        <v>32</v>
      </c>
    </row>
    <row r="3990" spans="1:24" x14ac:dyDescent="0.25">
      <c r="A3990" s="1" t="str">
        <f t="shared" si="1278"/>
        <v>卡卡杜-凤凰仓</v>
      </c>
      <c r="B3990" s="1" t="str">
        <f>"CK20241022704"</f>
        <v>CK20241022704</v>
      </c>
      <c r="C3990" s="1" t="str">
        <f>"DD2024102257009"</f>
        <v>DD2024102257009</v>
      </c>
      <c r="D3990" s="1" t="str">
        <f>"CK2024102250904"</f>
        <v>CK2024102250904</v>
      </c>
      <c r="E3990" s="1" t="str">
        <f>"3723470223999636480"</f>
        <v>3723470223999636480</v>
      </c>
      <c r="F3990" s="1" t="str">
        <f t="shared" si="1279"/>
        <v>花都四部-凤凰仓</v>
      </c>
      <c r="G3990" s="1" t="str">
        <f t="shared" si="1285"/>
        <v>卡卡杜企业店（视频号）</v>
      </c>
      <c r="H3990" s="1" t="str">
        <f t="shared" si="1280"/>
        <v>正常订单</v>
      </c>
      <c r="I3990" s="1" t="str">
        <f t="shared" si="1281"/>
        <v>已发货</v>
      </c>
      <c r="J3990" s="1" t="str">
        <f t="shared" si="1286"/>
        <v>2</v>
      </c>
      <c r="K3990" s="1">
        <v>2</v>
      </c>
      <c r="L3990" s="1" t="s">
        <v>20</v>
      </c>
      <c r="M3990" s="1" t="str">
        <f>"浙江省 嘉兴市 嘉善县 "</f>
        <v xml:space="preserve">浙江省 嘉兴市 嘉善县 </v>
      </c>
      <c r="N3990" s="1" t="str">
        <f t="shared" si="1271"/>
        <v>凡华云仓-城南圆通-微信视频号</v>
      </c>
      <c r="O3990" s="5" t="s">
        <v>4021</v>
      </c>
      <c r="P3990" s="6">
        <v>0.17</v>
      </c>
      <c r="Q3990" s="11">
        <v>2</v>
      </c>
      <c r="R3990" s="11"/>
      <c r="S3990" s="11"/>
      <c r="T3990" s="11"/>
      <c r="U3990" s="11">
        <f t="shared" si="1277"/>
        <v>2</v>
      </c>
      <c r="W3990">
        <v>2.2000000000000002</v>
      </c>
      <c r="X3990" s="1" t="s">
        <v>20</v>
      </c>
    </row>
    <row r="3991" spans="1:24" x14ac:dyDescent="0.25">
      <c r="A3991" s="1" t="str">
        <f t="shared" si="1278"/>
        <v>卡卡杜-凤凰仓</v>
      </c>
      <c r="B3991" s="1" t="str">
        <f>"CK20241022831"</f>
        <v>CK20241022831</v>
      </c>
      <c r="C3991" s="1" t="str">
        <f>"DD2024102257241"</f>
        <v>DD2024102257241</v>
      </c>
      <c r="D3991" s="1" t="str">
        <f>"CK2024102250903"</f>
        <v>CK2024102250903</v>
      </c>
      <c r="E3991" s="1" t="str">
        <f>"3723470224529165312"</f>
        <v>3723470224529165312</v>
      </c>
      <c r="F3991" s="1" t="str">
        <f t="shared" si="1279"/>
        <v>花都四部-凤凰仓</v>
      </c>
      <c r="G3991" s="1" t="str">
        <f t="shared" si="1285"/>
        <v>卡卡杜企业店（视频号）</v>
      </c>
      <c r="H3991" s="1" t="str">
        <f t="shared" si="1280"/>
        <v>正常订单</v>
      </c>
      <c r="I3991" s="1" t="str">
        <f t="shared" si="1281"/>
        <v>已发货</v>
      </c>
      <c r="J3991" s="1" t="str">
        <f t="shared" si="1286"/>
        <v>2</v>
      </c>
      <c r="K3991" s="1">
        <v>2</v>
      </c>
      <c r="L3991" s="1" t="s">
        <v>30</v>
      </c>
      <c r="M3991" s="1" t="str">
        <f>"山东省 德州市 乐陵市 "</f>
        <v xml:space="preserve">山东省 德州市 乐陵市 </v>
      </c>
      <c r="N3991" s="1" t="str">
        <f t="shared" si="1271"/>
        <v>凡华云仓-城南圆通-微信视频号</v>
      </c>
      <c r="O3991" s="5" t="s">
        <v>4022</v>
      </c>
      <c r="P3991" s="6">
        <v>0.17</v>
      </c>
      <c r="Q3991" s="11">
        <v>2</v>
      </c>
      <c r="R3991" s="11"/>
      <c r="S3991" s="11"/>
      <c r="T3991" s="11"/>
      <c r="U3991" s="11">
        <f t="shared" si="1277"/>
        <v>2</v>
      </c>
      <c r="W3991">
        <v>2.2000000000000002</v>
      </c>
      <c r="X3991" s="1" t="s">
        <v>30</v>
      </c>
    </row>
    <row r="3992" spans="1:24" x14ac:dyDescent="0.25">
      <c r="A3992" s="1" t="str">
        <f t="shared" si="1278"/>
        <v>卡卡杜-凤凰仓</v>
      </c>
      <c r="B3992" s="1" t="str">
        <f>"CK20241022718"</f>
        <v>CK20241022718</v>
      </c>
      <c r="C3992" s="1" t="str">
        <f>"DD2024102257021"</f>
        <v>DD2024102257021</v>
      </c>
      <c r="D3992" s="1" t="str">
        <f>"CK2024102250902"</f>
        <v>CK2024102250902</v>
      </c>
      <c r="E3992" s="1" t="str">
        <f>"3723470224342255104"</f>
        <v>3723470224342255104</v>
      </c>
      <c r="F3992" s="1" t="str">
        <f t="shared" si="1279"/>
        <v>花都四部-凤凰仓</v>
      </c>
      <c r="G3992" s="1" t="str">
        <f t="shared" si="1285"/>
        <v>卡卡杜企业店（视频号）</v>
      </c>
      <c r="H3992" s="1" t="str">
        <f t="shared" si="1280"/>
        <v>正常订单</v>
      </c>
      <c r="I3992" s="1" t="str">
        <f t="shared" si="1281"/>
        <v>已发货</v>
      </c>
      <c r="J3992" s="1" t="str">
        <f t="shared" si="1287"/>
        <v>3</v>
      </c>
      <c r="K3992" s="1">
        <v>2</v>
      </c>
      <c r="L3992" s="1" t="s">
        <v>105</v>
      </c>
      <c r="M3992" s="1" t="str">
        <f>"北京 北京市 东城区 "</f>
        <v xml:space="preserve">北京 北京市 东城区 </v>
      </c>
      <c r="N3992" s="1" t="str">
        <f t="shared" si="1271"/>
        <v>凡华云仓-城南圆通-微信视频号</v>
      </c>
      <c r="O3992" s="5" t="s">
        <v>4023</v>
      </c>
      <c r="P3992" s="6">
        <v>0.24</v>
      </c>
      <c r="Q3992" s="11">
        <v>2</v>
      </c>
      <c r="R3992" s="11"/>
      <c r="S3992" s="11"/>
      <c r="T3992" s="11"/>
      <c r="U3992" s="11">
        <f t="shared" si="1277"/>
        <v>2</v>
      </c>
      <c r="W3992">
        <v>2.2000000000000002</v>
      </c>
      <c r="X3992" s="1" t="s">
        <v>105</v>
      </c>
    </row>
    <row r="3993" spans="1:24" x14ac:dyDescent="0.25">
      <c r="A3993" s="1" t="str">
        <f t="shared" si="1278"/>
        <v>卡卡杜-凤凰仓</v>
      </c>
      <c r="B3993" s="1" t="str">
        <f>"CK20241022966"</f>
        <v>CK20241022966</v>
      </c>
      <c r="C3993" s="1" t="str">
        <f>"DD2024102257731"</f>
        <v>DD2024102257731</v>
      </c>
      <c r="D3993" s="1" t="str">
        <f>"CK2024102250901"</f>
        <v>CK2024102250901</v>
      </c>
      <c r="E3993" s="1" t="str">
        <f>"3723470222500172800"</f>
        <v>3723470222500172800</v>
      </c>
      <c r="F3993" s="1" t="str">
        <f t="shared" si="1279"/>
        <v>花都四部-凤凰仓</v>
      </c>
      <c r="G3993" s="1" t="str">
        <f t="shared" si="1285"/>
        <v>卡卡杜企业店（视频号）</v>
      </c>
      <c r="H3993" s="1" t="str">
        <f t="shared" si="1280"/>
        <v>正常订单</v>
      </c>
      <c r="I3993" s="1" t="str">
        <f t="shared" si="1281"/>
        <v>已发货</v>
      </c>
      <c r="J3993" s="1" t="str">
        <f t="shared" si="1287"/>
        <v>3</v>
      </c>
      <c r="K3993" s="1">
        <v>2</v>
      </c>
      <c r="L3993" s="1" t="s">
        <v>161</v>
      </c>
      <c r="M3993" s="1" t="str">
        <f>"四川省 成都市 金牛区 "</f>
        <v xml:space="preserve">四川省 成都市 金牛区 </v>
      </c>
      <c r="N3993" s="1" t="str">
        <f t="shared" si="1271"/>
        <v>凡华云仓-城南圆通-微信视频号</v>
      </c>
      <c r="O3993" s="5" t="s">
        <v>4024</v>
      </c>
      <c r="P3993" s="6">
        <v>0.24</v>
      </c>
      <c r="Q3993" s="11">
        <v>2</v>
      </c>
      <c r="R3993" s="11"/>
      <c r="S3993" s="11"/>
      <c r="T3993" s="11"/>
      <c r="U3993" s="11">
        <f t="shared" si="1277"/>
        <v>2</v>
      </c>
      <c r="W3993">
        <v>2.2000000000000002</v>
      </c>
      <c r="X3993" s="1" t="s">
        <v>161</v>
      </c>
    </row>
    <row r="3994" spans="1:24" x14ac:dyDescent="0.25">
      <c r="A3994" s="1" t="str">
        <f t="shared" si="1278"/>
        <v>卡卡杜-凤凰仓</v>
      </c>
      <c r="B3994" s="1" t="str">
        <f>"CK20241022714"</f>
        <v>CK20241022714</v>
      </c>
      <c r="C3994" s="1" t="str">
        <f>"DD2024102257015"</f>
        <v>DD2024102257015</v>
      </c>
      <c r="D3994" s="1" t="str">
        <f>"CK2024102250900"</f>
        <v>CK2024102250900</v>
      </c>
      <c r="E3994" s="1" t="str">
        <f>"3723470223133508864"</f>
        <v>3723470223133508864</v>
      </c>
      <c r="F3994" s="1" t="str">
        <f t="shared" si="1279"/>
        <v>花都四部-凤凰仓</v>
      </c>
      <c r="G3994" s="1" t="str">
        <f t="shared" si="1285"/>
        <v>卡卡杜企业店（视频号）</v>
      </c>
      <c r="H3994" s="1" t="str">
        <f t="shared" si="1280"/>
        <v>正常订单</v>
      </c>
      <c r="I3994" s="1" t="str">
        <f t="shared" si="1281"/>
        <v>已发货</v>
      </c>
      <c r="J3994" s="1" t="str">
        <f t="shared" ref="J3994:J3997" si="1288">"2"</f>
        <v>2</v>
      </c>
      <c r="K3994" s="1">
        <v>2</v>
      </c>
      <c r="L3994" s="1" t="s">
        <v>18</v>
      </c>
      <c r="M3994" s="1" t="str">
        <f>"广东省 广州市 越秀区 "</f>
        <v xml:space="preserve">广东省 广州市 越秀区 </v>
      </c>
      <c r="N3994" s="1" t="str">
        <f t="shared" si="1271"/>
        <v>凡华云仓-城南圆通-微信视频号</v>
      </c>
      <c r="O3994" s="5" t="s">
        <v>4025</v>
      </c>
      <c r="P3994" s="6">
        <v>0.17</v>
      </c>
      <c r="Q3994" s="11">
        <v>2</v>
      </c>
      <c r="R3994" s="11"/>
      <c r="S3994" s="11"/>
      <c r="T3994" s="11"/>
      <c r="U3994" s="11">
        <f t="shared" si="1277"/>
        <v>2</v>
      </c>
      <c r="W3994">
        <v>2.2000000000000002</v>
      </c>
      <c r="X3994" s="1" t="s">
        <v>18</v>
      </c>
    </row>
    <row r="3995" spans="1:24" x14ac:dyDescent="0.25">
      <c r="A3995" s="1" t="str">
        <f t="shared" si="1278"/>
        <v>卡卡杜-凤凰仓</v>
      </c>
      <c r="B3995" s="1" t="str">
        <f>"CK20241022985"</f>
        <v>CK20241022985</v>
      </c>
      <c r="C3995" s="1" t="str">
        <f>"DD2024102257783"</f>
        <v>DD2024102257783</v>
      </c>
      <c r="D3995" s="1" t="str">
        <f>"CK2024102250899"</f>
        <v>CK2024102250899</v>
      </c>
      <c r="E3995" s="1" t="str">
        <f>"3723470223346109440"</f>
        <v>3723470223346109440</v>
      </c>
      <c r="F3995" s="1" t="str">
        <f t="shared" si="1279"/>
        <v>花都四部-凤凰仓</v>
      </c>
      <c r="G3995" s="1" t="str">
        <f t="shared" si="1285"/>
        <v>卡卡杜企业店（视频号）</v>
      </c>
      <c r="H3995" s="1" t="str">
        <f t="shared" si="1280"/>
        <v>正常订单</v>
      </c>
      <c r="I3995" s="1" t="str">
        <f t="shared" si="1281"/>
        <v>已发货</v>
      </c>
      <c r="J3995" s="1" t="str">
        <f t="shared" ref="J3995:J4000" si="1289">"3"</f>
        <v>3</v>
      </c>
      <c r="K3995" s="1">
        <v>2</v>
      </c>
      <c r="L3995" s="1" t="s">
        <v>41</v>
      </c>
      <c r="M3995" s="1" t="str">
        <f>"湖北省 襄阳市 襄城区 "</f>
        <v xml:space="preserve">湖北省 襄阳市 襄城区 </v>
      </c>
      <c r="N3995" s="1" t="str">
        <f t="shared" si="1271"/>
        <v>凡华云仓-城南圆通-微信视频号</v>
      </c>
      <c r="O3995" s="5" t="s">
        <v>4026</v>
      </c>
      <c r="P3995" s="6">
        <v>0.24</v>
      </c>
      <c r="Q3995" s="11">
        <v>2</v>
      </c>
      <c r="R3995" s="11"/>
      <c r="S3995" s="11"/>
      <c r="T3995" s="11"/>
      <c r="U3995" s="11">
        <f t="shared" si="1277"/>
        <v>2</v>
      </c>
      <c r="W3995">
        <v>2.2000000000000002</v>
      </c>
      <c r="X3995" s="1" t="s">
        <v>41</v>
      </c>
    </row>
    <row r="3996" spans="1:24" x14ac:dyDescent="0.25">
      <c r="A3996" s="1" t="str">
        <f t="shared" si="1278"/>
        <v>卡卡杜-凤凰仓</v>
      </c>
      <c r="B3996" s="1" t="str">
        <f>"CK20241022823"</f>
        <v>CK20241022823</v>
      </c>
      <c r="C3996" s="1" t="str">
        <f>"DD2024102257217"</f>
        <v>DD2024102257217</v>
      </c>
      <c r="D3996" s="1" t="str">
        <f>"CK2024102250898"</f>
        <v>CK2024102250898</v>
      </c>
      <c r="E3996" s="1" t="str">
        <f>"3723470223139276032"</f>
        <v>3723470223139276032</v>
      </c>
      <c r="F3996" s="1" t="str">
        <f t="shared" si="1279"/>
        <v>花都四部-凤凰仓</v>
      </c>
      <c r="G3996" s="1" t="str">
        <f t="shared" si="1285"/>
        <v>卡卡杜企业店（视频号）</v>
      </c>
      <c r="H3996" s="1" t="str">
        <f t="shared" si="1280"/>
        <v>正常订单</v>
      </c>
      <c r="I3996" s="1" t="str">
        <f t="shared" si="1281"/>
        <v>已发货</v>
      </c>
      <c r="J3996" s="1" t="str">
        <f t="shared" si="1288"/>
        <v>2</v>
      </c>
      <c r="K3996" s="1">
        <v>2</v>
      </c>
      <c r="L3996" s="1" t="s">
        <v>109</v>
      </c>
      <c r="M3996" s="1" t="str">
        <f>"山西省 长治市 潞州区 "</f>
        <v xml:space="preserve">山西省 长治市 潞州区 </v>
      </c>
      <c r="N3996" s="1" t="str">
        <f t="shared" si="1271"/>
        <v>凡华云仓-城南圆通-微信视频号</v>
      </c>
      <c r="O3996" s="5" t="s">
        <v>4027</v>
      </c>
      <c r="P3996" s="6">
        <v>0.17</v>
      </c>
      <c r="Q3996" s="11">
        <v>2</v>
      </c>
      <c r="R3996" s="11"/>
      <c r="S3996" s="11"/>
      <c r="T3996" s="11"/>
      <c r="U3996" s="11">
        <f t="shared" si="1277"/>
        <v>2</v>
      </c>
      <c r="W3996">
        <v>2.2000000000000002</v>
      </c>
      <c r="X3996" s="1" t="s">
        <v>109</v>
      </c>
    </row>
    <row r="3997" spans="1:24" x14ac:dyDescent="0.25">
      <c r="A3997" s="1" t="str">
        <f t="shared" si="1278"/>
        <v>卡卡杜-凤凰仓</v>
      </c>
      <c r="B3997" s="1" t="str">
        <f>"CK20241022827"</f>
        <v>CK20241022827</v>
      </c>
      <c r="C3997" s="1" t="str">
        <f>"DD2024102257232"</f>
        <v>DD2024102257232</v>
      </c>
      <c r="D3997" s="1" t="str">
        <f>"CK2024102250897"</f>
        <v>CK2024102250897</v>
      </c>
      <c r="E3997" s="1" t="str">
        <f>"3723470222974914560"</f>
        <v>3723470222974914560</v>
      </c>
      <c r="F3997" s="1" t="str">
        <f t="shared" si="1279"/>
        <v>花都四部-凤凰仓</v>
      </c>
      <c r="G3997" s="1" t="str">
        <f t="shared" si="1285"/>
        <v>卡卡杜企业店（视频号）</v>
      </c>
      <c r="H3997" s="1" t="str">
        <f t="shared" si="1280"/>
        <v>正常订单</v>
      </c>
      <c r="I3997" s="1" t="str">
        <f t="shared" si="1281"/>
        <v>已发货</v>
      </c>
      <c r="J3997" s="1" t="str">
        <f t="shared" si="1288"/>
        <v>2</v>
      </c>
      <c r="K3997" s="1">
        <v>2</v>
      </c>
      <c r="L3997" s="1" t="s">
        <v>30</v>
      </c>
      <c r="M3997" s="1" t="str">
        <f>"山东省 淄博市 淄川区 "</f>
        <v xml:space="preserve">山东省 淄博市 淄川区 </v>
      </c>
      <c r="N3997" s="1" t="str">
        <f t="shared" si="1271"/>
        <v>凡华云仓-城南圆通-微信视频号</v>
      </c>
      <c r="O3997" s="5" t="s">
        <v>4028</v>
      </c>
      <c r="P3997" s="6">
        <v>0.17</v>
      </c>
      <c r="Q3997" s="11">
        <v>2</v>
      </c>
      <c r="R3997" s="11"/>
      <c r="S3997" s="11"/>
      <c r="T3997" s="11"/>
      <c r="U3997" s="11">
        <f t="shared" si="1277"/>
        <v>2</v>
      </c>
      <c r="W3997">
        <v>2.2000000000000002</v>
      </c>
      <c r="X3997" s="1" t="s">
        <v>30</v>
      </c>
    </row>
    <row r="3998" spans="1:24" x14ac:dyDescent="0.25">
      <c r="A3998" s="1" t="str">
        <f t="shared" si="1278"/>
        <v>卡卡杜-凤凰仓</v>
      </c>
      <c r="B3998" s="1" t="str">
        <f>"CK20241022690"</f>
        <v>CK20241022690</v>
      </c>
      <c r="C3998" s="1" t="str">
        <f>"DD2024102256986"</f>
        <v>DD2024102256986</v>
      </c>
      <c r="D3998" s="1" t="str">
        <f>"CK2024102250896"</f>
        <v>CK2024102250896</v>
      </c>
      <c r="E3998" s="1" t="str">
        <f>"3723470192561229824"</f>
        <v>3723470192561229824</v>
      </c>
      <c r="F3998" s="1" t="str">
        <f t="shared" si="1279"/>
        <v>花都四部-凤凰仓</v>
      </c>
      <c r="G3998" s="1" t="str">
        <f t="shared" si="1285"/>
        <v>卡卡杜企业店（视频号）</v>
      </c>
      <c r="H3998" s="1" t="str">
        <f t="shared" si="1280"/>
        <v>正常订单</v>
      </c>
      <c r="I3998" s="1" t="str">
        <f t="shared" si="1281"/>
        <v>已发货</v>
      </c>
      <c r="J3998" s="1" t="str">
        <f t="shared" si="1289"/>
        <v>3</v>
      </c>
      <c r="K3998" s="1">
        <v>2</v>
      </c>
      <c r="L3998" s="1" t="s">
        <v>182</v>
      </c>
      <c r="M3998" s="1" t="str">
        <f>"新疆维吾尔自治区 喀什地区 喀什市 "</f>
        <v xml:space="preserve">新疆维吾尔自治区 喀什地区 喀什市 </v>
      </c>
      <c r="N3998" s="1" t="str">
        <f t="shared" si="1271"/>
        <v>凡华云仓-城南圆通-微信视频号</v>
      </c>
      <c r="O3998" s="5" t="s">
        <v>4029</v>
      </c>
      <c r="P3998" s="6">
        <v>0.24</v>
      </c>
      <c r="Q3998" s="11">
        <v>17</v>
      </c>
      <c r="R3998" s="11"/>
      <c r="S3998" s="11"/>
      <c r="T3998" s="11"/>
      <c r="U3998" s="11">
        <f t="shared" si="1277"/>
        <v>17</v>
      </c>
      <c r="W3998">
        <v>17</v>
      </c>
      <c r="X3998" s="1" t="s">
        <v>182</v>
      </c>
    </row>
    <row r="3999" spans="1:24" x14ac:dyDescent="0.25">
      <c r="A3999" s="1" t="str">
        <f t="shared" si="1278"/>
        <v>卡卡杜-凤凰仓</v>
      </c>
      <c r="B3999" s="1" t="str">
        <f>"CK20241022499"</f>
        <v>CK20241022499</v>
      </c>
      <c r="C3999" s="1" t="str">
        <f>"DD2024102255617"</f>
        <v>DD2024102255617</v>
      </c>
      <c r="D3999" s="1" t="str">
        <f>"CK2024102250895"</f>
        <v>CK2024102250895</v>
      </c>
      <c r="E3999" s="1" t="str">
        <f>"3723470192949201920"</f>
        <v>3723470192949201920</v>
      </c>
      <c r="F3999" s="1" t="str">
        <f t="shared" si="1279"/>
        <v>花都四部-凤凰仓</v>
      </c>
      <c r="G3999" s="1" t="str">
        <f t="shared" si="1285"/>
        <v>卡卡杜企业店（视频号）</v>
      </c>
      <c r="H3999" s="1" t="str">
        <f t="shared" si="1280"/>
        <v>正常订单</v>
      </c>
      <c r="I3999" s="1" t="str">
        <f t="shared" si="1281"/>
        <v>已发货</v>
      </c>
      <c r="J3999" s="1" t="str">
        <f>"5"</f>
        <v>5</v>
      </c>
      <c r="K3999" s="1">
        <v>3</v>
      </c>
      <c r="L3999" s="1" t="s">
        <v>13</v>
      </c>
      <c r="M3999" s="1" t="str">
        <f>"江苏省 南京市 秦淮区 "</f>
        <v xml:space="preserve">江苏省 南京市 秦淮区 </v>
      </c>
      <c r="N3999" s="1" t="str">
        <f t="shared" si="1271"/>
        <v>凡华云仓-城南圆通-微信视频号</v>
      </c>
      <c r="O3999" s="5" t="s">
        <v>4030</v>
      </c>
      <c r="P3999" s="6">
        <v>0.56000000000000005</v>
      </c>
      <c r="Q3999" s="11">
        <f>CEILING(P3999-0.5,0.1)*10*0.15+2.3</f>
        <v>2.4499999999999997</v>
      </c>
      <c r="R3999" s="11"/>
      <c r="S3999" s="11"/>
      <c r="T3999" s="11"/>
      <c r="U3999" s="11">
        <f t="shared" si="1277"/>
        <v>2.4499999999999997</v>
      </c>
      <c r="V3999" t="s">
        <v>15</v>
      </c>
      <c r="W3999">
        <v>2.4500000000000002</v>
      </c>
      <c r="X3999" s="1" t="s">
        <v>13</v>
      </c>
    </row>
    <row r="4000" spans="1:24" x14ac:dyDescent="0.25">
      <c r="A4000" s="1" t="str">
        <f t="shared" si="1278"/>
        <v>卡卡杜-凤凰仓</v>
      </c>
      <c r="B4000" s="1" t="str">
        <f>"CK20241022307"</f>
        <v>CK20241022307</v>
      </c>
      <c r="C4000" s="1" t="str">
        <f>"DD2024102253886"</f>
        <v>DD2024102253886</v>
      </c>
      <c r="D4000" s="1" t="str">
        <f>"CK2024102250894"</f>
        <v>CK2024102250894</v>
      </c>
      <c r="E4000" s="1" t="str">
        <f>"3723470150916509696"</f>
        <v>3723470150916509696</v>
      </c>
      <c r="F4000" s="1" t="str">
        <f t="shared" si="1279"/>
        <v>花都四部-凤凰仓</v>
      </c>
      <c r="G4000" s="1" t="str">
        <f t="shared" si="1285"/>
        <v>卡卡杜企业店（视频号）</v>
      </c>
      <c r="H4000" s="1" t="str">
        <f t="shared" si="1280"/>
        <v>正常订单</v>
      </c>
      <c r="I4000" s="1" t="str">
        <f t="shared" si="1281"/>
        <v>已发货</v>
      </c>
      <c r="J4000" s="1" t="str">
        <f t="shared" si="1289"/>
        <v>3</v>
      </c>
      <c r="K4000" s="1">
        <v>3</v>
      </c>
      <c r="L4000" s="1" t="s">
        <v>13</v>
      </c>
      <c r="M4000" s="1" t="str">
        <f>"江苏省 苏州市 太仓市 "</f>
        <v xml:space="preserve">江苏省 苏州市 太仓市 </v>
      </c>
      <c r="N4000" s="1" t="str">
        <f t="shared" si="1271"/>
        <v>凡华云仓-城南圆通-微信视频号</v>
      </c>
      <c r="O4000" s="5" t="s">
        <v>4031</v>
      </c>
      <c r="P4000" s="6">
        <v>0.34</v>
      </c>
      <c r="Q4000" s="11">
        <v>2.2999999999999998</v>
      </c>
      <c r="R4000" s="11"/>
      <c r="S4000" s="11"/>
      <c r="T4000" s="11"/>
      <c r="U4000" s="11">
        <f t="shared" si="1277"/>
        <v>2.2999999999999998</v>
      </c>
      <c r="W4000">
        <v>2.5</v>
      </c>
      <c r="X4000" s="1" t="s">
        <v>13</v>
      </c>
    </row>
    <row r="4001" spans="1:24" x14ac:dyDescent="0.25">
      <c r="A4001" s="1" t="str">
        <f t="shared" si="1278"/>
        <v>卡卡杜-凤凰仓</v>
      </c>
      <c r="B4001" s="1" t="str">
        <f>"CK20241022458"</f>
        <v>CK20241022458</v>
      </c>
      <c r="C4001" s="1" t="str">
        <f>"DD2024102255450"</f>
        <v>DD2024102255450</v>
      </c>
      <c r="D4001" s="1" t="str">
        <f>"CK2024102250893"</f>
        <v>CK2024102250893</v>
      </c>
      <c r="E4001" s="1" t="str">
        <f>"3723470137882448896"</f>
        <v>3723470137882448896</v>
      </c>
      <c r="F4001" s="1" t="str">
        <f t="shared" si="1279"/>
        <v>花都四部-凤凰仓</v>
      </c>
      <c r="G4001" s="1" t="str">
        <f t="shared" si="1285"/>
        <v>卡卡杜企业店（视频号）</v>
      </c>
      <c r="H4001" s="1" t="str">
        <f t="shared" si="1280"/>
        <v>正常订单</v>
      </c>
      <c r="I4001" s="1" t="str">
        <f t="shared" si="1281"/>
        <v>已发货</v>
      </c>
      <c r="J4001" s="1" t="str">
        <f t="shared" ref="J4001:J4006" si="1290">"5"</f>
        <v>5</v>
      </c>
      <c r="K4001" s="1">
        <v>3</v>
      </c>
      <c r="L4001" s="1" t="s">
        <v>182</v>
      </c>
      <c r="M4001" s="1" t="str">
        <f>"新疆维吾尔自治区 喀什地区 喀什市 "</f>
        <v xml:space="preserve">新疆维吾尔自治区 喀什地区 喀什市 </v>
      </c>
      <c r="N4001" s="1" t="str">
        <f t="shared" si="1271"/>
        <v>凡华云仓-城南圆通-微信视频号</v>
      </c>
      <c r="O4001" s="5" t="s">
        <v>4032</v>
      </c>
      <c r="P4001" s="6">
        <v>0.56000000000000005</v>
      </c>
      <c r="Q4001" s="11">
        <f>CEILING(P4001-0.5,0.1)*10*2+17</f>
        <v>19</v>
      </c>
      <c r="R4001" s="11"/>
      <c r="S4001" s="11"/>
      <c r="T4001" s="11"/>
      <c r="U4001" s="11">
        <f t="shared" si="1277"/>
        <v>19</v>
      </c>
      <c r="W4001">
        <v>19</v>
      </c>
      <c r="X4001" s="1" t="s">
        <v>182</v>
      </c>
    </row>
    <row r="4002" spans="1:24" x14ac:dyDescent="0.25">
      <c r="A4002" s="1" t="str">
        <f t="shared" si="1278"/>
        <v>卡卡杜-凤凰仓</v>
      </c>
      <c r="B4002" s="1" t="str">
        <f>"CK20241022308"</f>
        <v>CK20241022308</v>
      </c>
      <c r="C4002" s="1" t="str">
        <f>"DD2024102253885"</f>
        <v>DD2024102253885</v>
      </c>
      <c r="D4002" s="1" t="str">
        <f>"CK2024102250892"</f>
        <v>CK2024102250892</v>
      </c>
      <c r="E4002" s="1" t="str">
        <f>"3723470118520491008"</f>
        <v>3723470118520491008</v>
      </c>
      <c r="F4002" s="1" t="str">
        <f t="shared" si="1279"/>
        <v>花都四部-凤凰仓</v>
      </c>
      <c r="G4002" s="1" t="str">
        <f t="shared" si="1285"/>
        <v>卡卡杜企业店（视频号）</v>
      </c>
      <c r="H4002" s="1" t="str">
        <f t="shared" si="1280"/>
        <v>正常订单</v>
      </c>
      <c r="I4002" s="1" t="str">
        <f t="shared" si="1281"/>
        <v>已发货</v>
      </c>
      <c r="J4002" s="1" t="str">
        <f t="shared" ref="J4002:J4004" si="1291">"3"</f>
        <v>3</v>
      </c>
      <c r="K4002" s="1">
        <v>3</v>
      </c>
      <c r="L4002" s="1" t="s">
        <v>20</v>
      </c>
      <c r="M4002" s="1" t="str">
        <f>"浙江省 丽水市 龙泉市 "</f>
        <v xml:space="preserve">浙江省 丽水市 龙泉市 </v>
      </c>
      <c r="N4002" s="1" t="str">
        <f t="shared" si="1271"/>
        <v>凡华云仓-城南圆通-微信视频号</v>
      </c>
      <c r="O4002" s="5" t="s">
        <v>4033</v>
      </c>
      <c r="P4002" s="6">
        <v>0.34</v>
      </c>
      <c r="Q4002" s="11">
        <v>2.2999999999999998</v>
      </c>
      <c r="R4002" s="11"/>
      <c r="S4002" s="11"/>
      <c r="T4002" s="11"/>
      <c r="U4002" s="11">
        <f t="shared" si="1277"/>
        <v>2.2999999999999998</v>
      </c>
      <c r="W4002">
        <v>2.5</v>
      </c>
      <c r="X4002" s="1" t="s">
        <v>20</v>
      </c>
    </row>
    <row r="4003" spans="1:24" x14ac:dyDescent="0.25">
      <c r="A4003" s="1" t="str">
        <f t="shared" si="1278"/>
        <v>卡卡杜-凤凰仓</v>
      </c>
      <c r="B4003" s="1" t="str">
        <f>"CK20241022512"</f>
        <v>CK20241022512</v>
      </c>
      <c r="C4003" s="1" t="str">
        <f>"DD2024102255661"</f>
        <v>DD2024102255661</v>
      </c>
      <c r="D4003" s="1" t="str">
        <f>"CK2024102250891"</f>
        <v>CK2024102250891</v>
      </c>
      <c r="E4003" s="1" t="str">
        <f>"3723470111863342592"</f>
        <v>3723470111863342592</v>
      </c>
      <c r="F4003" s="1" t="str">
        <f t="shared" si="1279"/>
        <v>花都四部-凤凰仓</v>
      </c>
      <c r="G4003" s="1" t="str">
        <f t="shared" si="1285"/>
        <v>卡卡杜企业店（视频号）</v>
      </c>
      <c r="H4003" s="1" t="str">
        <f t="shared" si="1280"/>
        <v>正常订单</v>
      </c>
      <c r="I4003" s="1" t="str">
        <f t="shared" si="1281"/>
        <v>已发货</v>
      </c>
      <c r="J4003" s="1" t="str">
        <f t="shared" si="1291"/>
        <v>3</v>
      </c>
      <c r="K4003" s="1">
        <v>3</v>
      </c>
      <c r="L4003" s="1" t="s">
        <v>32</v>
      </c>
      <c r="M4003" s="1" t="str">
        <f>"陕西省 西安市 未央区 "</f>
        <v xml:space="preserve">陕西省 西安市 未央区 </v>
      </c>
      <c r="N4003" s="1" t="str">
        <f t="shared" si="1271"/>
        <v>凡华云仓-城南圆通-微信视频号</v>
      </c>
      <c r="O4003" s="5" t="s">
        <v>4034</v>
      </c>
      <c r="P4003" s="6">
        <v>0.34</v>
      </c>
      <c r="Q4003" s="11">
        <v>2.2999999999999998</v>
      </c>
      <c r="R4003" s="11"/>
      <c r="S4003" s="11"/>
      <c r="T4003" s="11"/>
      <c r="U4003" s="11">
        <f t="shared" si="1277"/>
        <v>2.2999999999999998</v>
      </c>
      <c r="W4003">
        <v>2.5</v>
      </c>
      <c r="X4003" s="1" t="s">
        <v>32</v>
      </c>
    </row>
    <row r="4004" spans="1:24" x14ac:dyDescent="0.25">
      <c r="A4004" s="1" t="str">
        <f t="shared" si="1278"/>
        <v>卡卡杜-凤凰仓</v>
      </c>
      <c r="B4004" s="1" t="str">
        <f>"CK20241022470"</f>
        <v>CK20241022470</v>
      </c>
      <c r="C4004" s="1" t="str">
        <f>"DD2024102255524"</f>
        <v>DD2024102255524</v>
      </c>
      <c r="D4004" s="1" t="str">
        <f>"CK2024102250890"</f>
        <v>CK2024102250890</v>
      </c>
      <c r="E4004" s="1" t="str">
        <f>"3723470104728306945"</f>
        <v>3723470104728306945</v>
      </c>
      <c r="F4004" s="1" t="str">
        <f t="shared" si="1279"/>
        <v>花都四部-凤凰仓</v>
      </c>
      <c r="G4004" s="1" t="str">
        <f t="shared" si="1285"/>
        <v>卡卡杜企业店（视频号）</v>
      </c>
      <c r="H4004" s="1" t="str">
        <f t="shared" si="1280"/>
        <v>正常订单</v>
      </c>
      <c r="I4004" s="1" t="str">
        <f t="shared" si="1281"/>
        <v>已发货</v>
      </c>
      <c r="J4004" s="1" t="str">
        <f t="shared" si="1291"/>
        <v>3</v>
      </c>
      <c r="K4004" s="1">
        <v>3</v>
      </c>
      <c r="L4004" s="1" t="s">
        <v>18</v>
      </c>
      <c r="M4004" s="1" t="str">
        <f>"广东省 广州市 越秀区 "</f>
        <v xml:space="preserve">广东省 广州市 越秀区 </v>
      </c>
      <c r="N4004" s="1" t="str">
        <f t="shared" si="1271"/>
        <v>凡华云仓-城南圆通-微信视频号</v>
      </c>
      <c r="O4004" s="5" t="s">
        <v>4035</v>
      </c>
      <c r="P4004" s="6">
        <v>0.34</v>
      </c>
      <c r="Q4004" s="11">
        <v>2.2999999999999998</v>
      </c>
      <c r="R4004" s="11"/>
      <c r="S4004" s="11"/>
      <c r="T4004" s="11"/>
      <c r="U4004" s="11">
        <f t="shared" si="1277"/>
        <v>2.2999999999999998</v>
      </c>
      <c r="W4004">
        <v>2.5</v>
      </c>
      <c r="X4004" s="1" t="s">
        <v>18</v>
      </c>
    </row>
    <row r="4005" spans="1:24" x14ac:dyDescent="0.25">
      <c r="A4005" s="1" t="str">
        <f t="shared" si="1278"/>
        <v>卡卡杜-凤凰仓</v>
      </c>
      <c r="B4005" s="1" t="str">
        <f>"CK20241022524"</f>
        <v>CK20241022524</v>
      </c>
      <c r="C4005" s="1" t="str">
        <f>"DD2024102255703"</f>
        <v>DD2024102255703</v>
      </c>
      <c r="D4005" s="1" t="str">
        <f>"CK2024102250889"</f>
        <v>CK2024102250889</v>
      </c>
      <c r="E4005" s="1" t="str">
        <f>"3723470078138258432"</f>
        <v>3723470078138258432</v>
      </c>
      <c r="F4005" s="1" t="str">
        <f t="shared" si="1279"/>
        <v>花都四部-凤凰仓</v>
      </c>
      <c r="G4005" s="1" t="str">
        <f t="shared" si="1285"/>
        <v>卡卡杜企业店（视频号）</v>
      </c>
      <c r="H4005" s="1" t="str">
        <f t="shared" si="1280"/>
        <v>正常订单</v>
      </c>
      <c r="I4005" s="1" t="str">
        <f t="shared" si="1281"/>
        <v>已发货</v>
      </c>
      <c r="J4005" s="1" t="str">
        <f t="shared" si="1290"/>
        <v>5</v>
      </c>
      <c r="K4005" s="1">
        <v>3</v>
      </c>
      <c r="L4005" s="1" t="s">
        <v>20</v>
      </c>
      <c r="M4005" s="1" t="str">
        <f>"浙江省 嘉兴市 嘉善县 "</f>
        <v xml:space="preserve">浙江省 嘉兴市 嘉善县 </v>
      </c>
      <c r="N4005" s="1" t="str">
        <f t="shared" si="1271"/>
        <v>凡华云仓-城南圆通-微信视频号</v>
      </c>
      <c r="O4005" s="5" t="s">
        <v>4036</v>
      </c>
      <c r="P4005" s="6">
        <v>0.56000000000000005</v>
      </c>
      <c r="Q4005" s="11">
        <f t="shared" ref="Q4005:Q4010" si="1292">CEILING(P4005-0.5,0.1)*10*0.15+2.3</f>
        <v>2.4499999999999997</v>
      </c>
      <c r="R4005" s="11"/>
      <c r="S4005" s="11"/>
      <c r="T4005" s="11"/>
      <c r="U4005" s="11">
        <f t="shared" si="1277"/>
        <v>2.4499999999999997</v>
      </c>
      <c r="V4005" t="s">
        <v>15</v>
      </c>
      <c r="W4005">
        <v>2.4500000000000002</v>
      </c>
      <c r="X4005" s="1" t="s">
        <v>20</v>
      </c>
    </row>
    <row r="4006" spans="1:24" x14ac:dyDescent="0.25">
      <c r="A4006" s="1" t="str">
        <f t="shared" si="1278"/>
        <v>卡卡杜-凤凰仓</v>
      </c>
      <c r="B4006" s="1" t="str">
        <f>"CK20241022309"</f>
        <v>CK20241022309</v>
      </c>
      <c r="C4006" s="1" t="str">
        <f>"DD2024102253887"</f>
        <v>DD2024102253887</v>
      </c>
      <c r="D4006" s="1" t="str">
        <f>"CK2024102250888"</f>
        <v>CK2024102250888</v>
      </c>
      <c r="E4006" s="1" t="str">
        <f>"3723470069191545856"</f>
        <v>3723470069191545856</v>
      </c>
      <c r="F4006" s="1" t="str">
        <f t="shared" si="1279"/>
        <v>花都四部-凤凰仓</v>
      </c>
      <c r="G4006" s="1" t="str">
        <f t="shared" si="1285"/>
        <v>卡卡杜企业店（视频号）</v>
      </c>
      <c r="H4006" s="1" t="str">
        <f t="shared" si="1280"/>
        <v>正常订单</v>
      </c>
      <c r="I4006" s="1" t="str">
        <f t="shared" si="1281"/>
        <v>已发货</v>
      </c>
      <c r="J4006" s="1" t="str">
        <f t="shared" si="1290"/>
        <v>5</v>
      </c>
      <c r="K4006" s="1">
        <v>3</v>
      </c>
      <c r="L4006" s="1" t="s">
        <v>47</v>
      </c>
      <c r="M4006" s="1" t="str">
        <f>"重庆 重庆市 渝北区 "</f>
        <v xml:space="preserve">重庆 重庆市 渝北区 </v>
      </c>
      <c r="N4006" s="1" t="str">
        <f t="shared" si="1271"/>
        <v>凡华云仓-城南圆通-微信视频号</v>
      </c>
      <c r="O4006" s="5" t="s">
        <v>4037</v>
      </c>
      <c r="P4006" s="6">
        <v>0.56000000000000005</v>
      </c>
      <c r="Q4006" s="11">
        <f t="shared" si="1292"/>
        <v>2.4499999999999997</v>
      </c>
      <c r="R4006" s="11"/>
      <c r="S4006" s="11"/>
      <c r="T4006" s="11"/>
      <c r="U4006" s="11">
        <f t="shared" si="1277"/>
        <v>2.4499999999999997</v>
      </c>
      <c r="V4006" t="s">
        <v>15</v>
      </c>
      <c r="W4006">
        <v>2.4500000000000002</v>
      </c>
      <c r="X4006" s="1" t="s">
        <v>47</v>
      </c>
    </row>
    <row r="4007" spans="1:24" x14ac:dyDescent="0.25">
      <c r="A4007" s="1" t="str">
        <f t="shared" si="1278"/>
        <v>卡卡杜-凤凰仓</v>
      </c>
      <c r="B4007" s="1" t="str">
        <f>"CK20241022310"</f>
        <v>CK20241022310</v>
      </c>
      <c r="C4007" s="1" t="str">
        <f>"DD2024102253893"</f>
        <v>DD2024102253893</v>
      </c>
      <c r="D4007" s="1" t="str">
        <f>"CK2024102250887"</f>
        <v>CK2024102250887</v>
      </c>
      <c r="E4007" s="1" t="str">
        <f>"3723470061471929344"</f>
        <v>3723470061471929344</v>
      </c>
      <c r="F4007" s="1" t="str">
        <f t="shared" si="1279"/>
        <v>花都四部-凤凰仓</v>
      </c>
      <c r="G4007" s="1" t="str">
        <f t="shared" si="1285"/>
        <v>卡卡杜企业店（视频号）</v>
      </c>
      <c r="H4007" s="1" t="str">
        <f t="shared" si="1280"/>
        <v>正常订单</v>
      </c>
      <c r="I4007" s="1" t="str">
        <f t="shared" si="1281"/>
        <v>已发货</v>
      </c>
      <c r="J4007" s="1" t="str">
        <f t="shared" ref="J4007:J4013" si="1293">"3"</f>
        <v>3</v>
      </c>
      <c r="K4007" s="1">
        <v>3</v>
      </c>
      <c r="L4007" s="1" t="s">
        <v>109</v>
      </c>
      <c r="M4007" s="1" t="str">
        <f>"山西省 太原市 迎泽区 "</f>
        <v xml:space="preserve">山西省 太原市 迎泽区 </v>
      </c>
      <c r="N4007" s="1" t="str">
        <f t="shared" si="1271"/>
        <v>凡华云仓-城南圆通-微信视频号</v>
      </c>
      <c r="O4007" s="5" t="s">
        <v>4038</v>
      </c>
      <c r="P4007" s="6">
        <v>0.34</v>
      </c>
      <c r="Q4007" s="11">
        <v>2.2999999999999998</v>
      </c>
      <c r="R4007" s="11"/>
      <c r="S4007" s="11"/>
      <c r="T4007" s="11"/>
      <c r="U4007" s="11">
        <f t="shared" si="1277"/>
        <v>2.2999999999999998</v>
      </c>
      <c r="W4007">
        <v>2.5</v>
      </c>
      <c r="X4007" s="1" t="s">
        <v>109</v>
      </c>
    </row>
    <row r="4008" spans="1:24" x14ac:dyDescent="0.25">
      <c r="A4008" s="1" t="str">
        <f t="shared" si="1278"/>
        <v>卡卡杜-凤凰仓</v>
      </c>
      <c r="B4008" s="1" t="str">
        <f>"CK20241022687"</f>
        <v>CK20241022687</v>
      </c>
      <c r="C4008" s="1" t="str">
        <f>"DD2024102256987"</f>
        <v>DD2024102256987</v>
      </c>
      <c r="D4008" s="1" t="str">
        <f>"CK2024102250886"</f>
        <v>CK2024102250886</v>
      </c>
      <c r="E4008" s="1" t="str">
        <f>"3723470060136041472"</f>
        <v>3723470060136041472</v>
      </c>
      <c r="F4008" s="1" t="str">
        <f t="shared" si="1279"/>
        <v>花都四部-凤凰仓</v>
      </c>
      <c r="G4008" s="1" t="str">
        <f t="shared" si="1285"/>
        <v>卡卡杜企业店（视频号）</v>
      </c>
      <c r="H4008" s="1" t="str">
        <f t="shared" si="1280"/>
        <v>正常订单</v>
      </c>
      <c r="I4008" s="1" t="str">
        <f t="shared" si="1281"/>
        <v>已发货</v>
      </c>
      <c r="J4008" s="1" t="str">
        <f>"2"</f>
        <v>2</v>
      </c>
      <c r="K4008" s="1">
        <v>2</v>
      </c>
      <c r="L4008" s="1" t="s">
        <v>74</v>
      </c>
      <c r="M4008" s="1" t="str">
        <f>"上海 上海市 杨浦区 "</f>
        <v xml:space="preserve">上海 上海市 杨浦区 </v>
      </c>
      <c r="N4008" s="1" t="str">
        <f t="shared" si="1271"/>
        <v>凡华云仓-城南圆通-微信视频号</v>
      </c>
      <c r="O4008" s="5" t="s">
        <v>4039</v>
      </c>
      <c r="P4008" s="6">
        <v>0.17</v>
      </c>
      <c r="Q4008" s="11">
        <v>2</v>
      </c>
      <c r="R4008" s="11"/>
      <c r="S4008" s="11"/>
      <c r="T4008" s="11"/>
      <c r="U4008" s="11">
        <f t="shared" si="1277"/>
        <v>2</v>
      </c>
      <c r="W4008">
        <v>2.2000000000000002</v>
      </c>
      <c r="X4008" s="1" t="s">
        <v>74</v>
      </c>
    </row>
    <row r="4009" spans="1:24" x14ac:dyDescent="0.25">
      <c r="A4009" s="1" t="str">
        <f t="shared" si="1278"/>
        <v>卡卡杜-凤凰仓</v>
      </c>
      <c r="B4009" s="1" t="str">
        <f>"CK20241022311"</f>
        <v>CK20241022311</v>
      </c>
      <c r="C4009" s="1" t="str">
        <f>"DD2024102253894"</f>
        <v>DD2024102253894</v>
      </c>
      <c r="D4009" s="1" t="str">
        <f>"CK2024102250885"</f>
        <v>CK2024102250885</v>
      </c>
      <c r="E4009" s="1" t="str">
        <f>"3723470049829850112"</f>
        <v>3723470049829850112</v>
      </c>
      <c r="F4009" s="1" t="str">
        <f t="shared" si="1279"/>
        <v>花都四部-凤凰仓</v>
      </c>
      <c r="G4009" s="1" t="str">
        <f t="shared" si="1285"/>
        <v>卡卡杜企业店（视频号）</v>
      </c>
      <c r="H4009" s="1" t="str">
        <f t="shared" si="1280"/>
        <v>正常订单</v>
      </c>
      <c r="I4009" s="1" t="str">
        <f t="shared" si="1281"/>
        <v>已发货</v>
      </c>
      <c r="J4009" s="1" t="str">
        <f t="shared" ref="J4009:J4014" si="1294">"5"</f>
        <v>5</v>
      </c>
      <c r="K4009" s="1">
        <v>3</v>
      </c>
      <c r="L4009" s="1" t="s">
        <v>20</v>
      </c>
      <c r="M4009" s="1" t="str">
        <f>"浙江省 温州市 平阳县 "</f>
        <v xml:space="preserve">浙江省 温州市 平阳县 </v>
      </c>
      <c r="N4009" s="1" t="str">
        <f t="shared" si="1271"/>
        <v>凡华云仓-城南圆通-微信视频号</v>
      </c>
      <c r="O4009" s="5" t="s">
        <v>4040</v>
      </c>
      <c r="P4009" s="6">
        <v>0.56000000000000005</v>
      </c>
      <c r="Q4009" s="11">
        <f t="shared" si="1292"/>
        <v>2.4499999999999997</v>
      </c>
      <c r="R4009" s="11"/>
      <c r="S4009" s="11"/>
      <c r="T4009" s="11"/>
      <c r="U4009" s="11">
        <f t="shared" si="1277"/>
        <v>2.4499999999999997</v>
      </c>
      <c r="V4009" t="s">
        <v>15</v>
      </c>
      <c r="W4009">
        <v>2.4500000000000002</v>
      </c>
      <c r="X4009" s="1" t="s">
        <v>20</v>
      </c>
    </row>
    <row r="4010" spans="1:24" x14ac:dyDescent="0.25">
      <c r="A4010" s="1" t="str">
        <f t="shared" si="1278"/>
        <v>卡卡杜-凤凰仓</v>
      </c>
      <c r="B4010" s="1" t="str">
        <f>"CK20241022312"</f>
        <v>CK20241022312</v>
      </c>
      <c r="C4010" s="1" t="str">
        <f>"DD2024102253897"</f>
        <v>DD2024102253897</v>
      </c>
      <c r="D4010" s="1" t="str">
        <f>"CK2024102250884"</f>
        <v>CK2024102250884</v>
      </c>
      <c r="E4010" s="1" t="str">
        <f>"3723470039090335744"</f>
        <v>3723470039090335744</v>
      </c>
      <c r="F4010" s="1" t="str">
        <f t="shared" si="1279"/>
        <v>花都四部-凤凰仓</v>
      </c>
      <c r="G4010" s="1" t="str">
        <f t="shared" si="1285"/>
        <v>卡卡杜企业店（视频号）</v>
      </c>
      <c r="H4010" s="1" t="str">
        <f t="shared" si="1280"/>
        <v>正常订单</v>
      </c>
      <c r="I4010" s="1" t="str">
        <f t="shared" si="1281"/>
        <v>已发货</v>
      </c>
      <c r="J4010" s="1" t="str">
        <f t="shared" si="1294"/>
        <v>5</v>
      </c>
      <c r="K4010" s="1">
        <v>3</v>
      </c>
      <c r="L4010" s="1" t="s">
        <v>92</v>
      </c>
      <c r="M4010" s="1" t="str">
        <f>"辽宁省 沈阳市 铁西区 "</f>
        <v xml:space="preserve">辽宁省 沈阳市 铁西区 </v>
      </c>
      <c r="N4010" s="1" t="str">
        <f t="shared" si="1271"/>
        <v>凡华云仓-城南圆通-微信视频号</v>
      </c>
      <c r="O4010" s="5" t="s">
        <v>4041</v>
      </c>
      <c r="P4010" s="6">
        <v>0.56000000000000005</v>
      </c>
      <c r="Q4010" s="11">
        <f t="shared" si="1292"/>
        <v>2.4499999999999997</v>
      </c>
      <c r="R4010" s="11"/>
      <c r="S4010" s="11"/>
      <c r="T4010" s="11"/>
      <c r="U4010" s="11">
        <f t="shared" si="1277"/>
        <v>2.4499999999999997</v>
      </c>
      <c r="V4010" t="s">
        <v>15</v>
      </c>
      <c r="W4010">
        <v>2.4500000000000002</v>
      </c>
      <c r="X4010" s="1" t="s">
        <v>92</v>
      </c>
    </row>
    <row r="4011" spans="1:24" x14ac:dyDescent="0.25">
      <c r="A4011" s="1" t="str">
        <f t="shared" si="1278"/>
        <v>卡卡杜-凤凰仓</v>
      </c>
      <c r="B4011" s="1" t="str">
        <f>"CK20241022313"</f>
        <v>CK20241022313</v>
      </c>
      <c r="C4011" s="1" t="str">
        <f>"DD2024102253901"</f>
        <v>DD2024102253901</v>
      </c>
      <c r="D4011" s="1" t="str">
        <f>"CK2024102250883"</f>
        <v>CK2024102250883</v>
      </c>
      <c r="E4011" s="1" t="str">
        <f>"3723470049148798464"</f>
        <v>3723470049148798464</v>
      </c>
      <c r="F4011" s="1" t="str">
        <f t="shared" si="1279"/>
        <v>花都四部-凤凰仓</v>
      </c>
      <c r="G4011" s="1" t="str">
        <f t="shared" si="1285"/>
        <v>卡卡杜企业店（视频号）</v>
      </c>
      <c r="H4011" s="1" t="str">
        <f t="shared" si="1280"/>
        <v>正常订单</v>
      </c>
      <c r="I4011" s="1" t="str">
        <f t="shared" si="1281"/>
        <v>已发货</v>
      </c>
      <c r="J4011" s="1" t="str">
        <f t="shared" si="1293"/>
        <v>3</v>
      </c>
      <c r="K4011" s="1">
        <v>3</v>
      </c>
      <c r="L4011" s="1" t="s">
        <v>41</v>
      </c>
      <c r="M4011" s="1" t="str">
        <f>"湖北省 武汉市 黄陂区 "</f>
        <v xml:space="preserve">湖北省 武汉市 黄陂区 </v>
      </c>
      <c r="N4011" s="1" t="str">
        <f t="shared" si="1271"/>
        <v>凡华云仓-城南圆通-微信视频号</v>
      </c>
      <c r="O4011" s="5" t="s">
        <v>4042</v>
      </c>
      <c r="P4011" s="6">
        <v>0.34</v>
      </c>
      <c r="Q4011" s="11">
        <v>2.2999999999999998</v>
      </c>
      <c r="R4011" s="11"/>
      <c r="S4011" s="11"/>
      <c r="T4011" s="11"/>
      <c r="U4011" s="11">
        <f t="shared" si="1277"/>
        <v>2.2999999999999998</v>
      </c>
      <c r="W4011">
        <v>2.5</v>
      </c>
      <c r="X4011" s="1" t="s">
        <v>41</v>
      </c>
    </row>
    <row r="4012" spans="1:24" x14ac:dyDescent="0.25">
      <c r="A4012" s="1" t="str">
        <f t="shared" si="1278"/>
        <v>卡卡杜-凤凰仓</v>
      </c>
      <c r="B4012" s="1" t="str">
        <f>"CK20241022314"</f>
        <v>CK20241022314</v>
      </c>
      <c r="C4012" s="1" t="str">
        <f>"DD2024102253903"</f>
        <v>DD2024102253903</v>
      </c>
      <c r="D4012" s="1" t="str">
        <f>"CK2024102250882"</f>
        <v>CK2024102250882</v>
      </c>
      <c r="E4012" s="1" t="str">
        <f>"3723470047527178240"</f>
        <v>3723470047527178240</v>
      </c>
      <c r="F4012" s="1" t="str">
        <f t="shared" si="1279"/>
        <v>花都四部-凤凰仓</v>
      </c>
      <c r="G4012" s="1" t="str">
        <f t="shared" si="1285"/>
        <v>卡卡杜企业店（视频号）</v>
      </c>
      <c r="H4012" s="1" t="str">
        <f t="shared" si="1280"/>
        <v>正常订单</v>
      </c>
      <c r="I4012" s="1" t="str">
        <f t="shared" si="1281"/>
        <v>已发货</v>
      </c>
      <c r="J4012" s="1" t="str">
        <f t="shared" si="1293"/>
        <v>3</v>
      </c>
      <c r="K4012" s="1">
        <v>3</v>
      </c>
      <c r="L4012" s="1" t="s">
        <v>182</v>
      </c>
      <c r="M4012" s="1" t="str">
        <f>"新疆维吾尔自治区 乌鲁木齐市 水磨沟区 "</f>
        <v xml:space="preserve">新疆维吾尔自治区 乌鲁木齐市 水磨沟区 </v>
      </c>
      <c r="N4012" s="1" t="str">
        <f t="shared" si="1271"/>
        <v>凡华云仓-城南圆通-微信视频号</v>
      </c>
      <c r="O4012" s="5" t="s">
        <v>4043</v>
      </c>
      <c r="P4012" s="6">
        <v>0.34</v>
      </c>
      <c r="Q4012" s="11">
        <v>17</v>
      </c>
      <c r="R4012" s="11"/>
      <c r="S4012" s="11"/>
      <c r="T4012" s="11"/>
      <c r="U4012" s="11">
        <f t="shared" si="1277"/>
        <v>17</v>
      </c>
      <c r="W4012">
        <v>17</v>
      </c>
      <c r="X4012" s="1" t="s">
        <v>182</v>
      </c>
    </row>
    <row r="4013" spans="1:24" x14ac:dyDescent="0.25">
      <c r="A4013" s="1" t="str">
        <f t="shared" si="1278"/>
        <v>卡卡杜-凤凰仓</v>
      </c>
      <c r="B4013" s="1" t="str">
        <f>"CK20241022315"</f>
        <v>CK20241022315</v>
      </c>
      <c r="C4013" s="1" t="str">
        <f>"DD2024102253902"</f>
        <v>DD2024102253902</v>
      </c>
      <c r="D4013" s="1" t="str">
        <f>"CK2024102250881"</f>
        <v>CK2024102250881</v>
      </c>
      <c r="E4013" s="1" t="str">
        <f>"3723470037001572352"</f>
        <v>3723470037001572352</v>
      </c>
      <c r="F4013" s="1" t="str">
        <f t="shared" si="1279"/>
        <v>花都四部-凤凰仓</v>
      </c>
      <c r="G4013" s="1" t="str">
        <f t="shared" si="1285"/>
        <v>卡卡杜企业店（视频号）</v>
      </c>
      <c r="H4013" s="1" t="str">
        <f t="shared" si="1280"/>
        <v>正常订单</v>
      </c>
      <c r="I4013" s="1" t="str">
        <f t="shared" si="1281"/>
        <v>已发货</v>
      </c>
      <c r="J4013" s="1" t="str">
        <f t="shared" si="1293"/>
        <v>3</v>
      </c>
      <c r="K4013" s="1">
        <v>3</v>
      </c>
      <c r="L4013" s="1" t="s">
        <v>27</v>
      </c>
      <c r="M4013" s="1" t="str">
        <f>"贵州省 贵阳市 云岩区 "</f>
        <v xml:space="preserve">贵州省 贵阳市 云岩区 </v>
      </c>
      <c r="N4013" s="1" t="str">
        <f t="shared" si="1271"/>
        <v>凡华云仓-城南圆通-微信视频号</v>
      </c>
      <c r="O4013" s="5" t="s">
        <v>4044</v>
      </c>
      <c r="P4013" s="6">
        <v>0.34</v>
      </c>
      <c r="Q4013" s="11">
        <v>2.2999999999999998</v>
      </c>
      <c r="R4013" s="11"/>
      <c r="S4013" s="11"/>
      <c r="T4013" s="11"/>
      <c r="U4013" s="11">
        <f t="shared" si="1277"/>
        <v>2.2999999999999998</v>
      </c>
      <c r="W4013">
        <v>2.5</v>
      </c>
      <c r="X4013" s="1" t="s">
        <v>27</v>
      </c>
    </row>
    <row r="4014" spans="1:24" x14ac:dyDescent="0.25">
      <c r="A4014" s="1" t="str">
        <f t="shared" si="1278"/>
        <v>卡卡杜-凤凰仓</v>
      </c>
      <c r="B4014" s="1" t="str">
        <f>"CK20241022482"</f>
        <v>CK20241022482</v>
      </c>
      <c r="C4014" s="1" t="str">
        <f>"DD2024102255559"</f>
        <v>DD2024102255559</v>
      </c>
      <c r="D4014" s="1" t="str">
        <f>"CK2024102250880"</f>
        <v>CK2024102250880</v>
      </c>
      <c r="E4014" s="1" t="str">
        <f>"3723470034053501952"</f>
        <v>3723470034053501952</v>
      </c>
      <c r="F4014" s="1" t="str">
        <f t="shared" si="1279"/>
        <v>花都四部-凤凰仓</v>
      </c>
      <c r="G4014" s="1" t="str">
        <f t="shared" si="1285"/>
        <v>卡卡杜企业店（视频号）</v>
      </c>
      <c r="H4014" s="1" t="str">
        <f t="shared" si="1280"/>
        <v>正常订单</v>
      </c>
      <c r="I4014" s="1" t="str">
        <f t="shared" si="1281"/>
        <v>已发货</v>
      </c>
      <c r="J4014" s="1" t="str">
        <f t="shared" si="1294"/>
        <v>5</v>
      </c>
      <c r="K4014" s="1">
        <v>3</v>
      </c>
      <c r="L4014" s="1" t="s">
        <v>60</v>
      </c>
      <c r="M4014" s="1" t="str">
        <f>"云南省 昆明市 盘龙区 "</f>
        <v xml:space="preserve">云南省 昆明市 盘龙区 </v>
      </c>
      <c r="N4014" s="1" t="str">
        <f t="shared" si="1271"/>
        <v>凡华云仓-城南圆通-微信视频号</v>
      </c>
      <c r="O4014" s="5" t="s">
        <v>4045</v>
      </c>
      <c r="P4014" s="6">
        <v>0.56000000000000005</v>
      </c>
      <c r="Q4014" s="11">
        <f>CEILING(P4014-0.5,0.1)*10*0.15+2.3</f>
        <v>2.4499999999999997</v>
      </c>
      <c r="R4014" s="11"/>
      <c r="S4014" s="11"/>
      <c r="T4014" s="11"/>
      <c r="U4014" s="11">
        <f t="shared" si="1277"/>
        <v>2.4499999999999997</v>
      </c>
      <c r="V4014" t="s">
        <v>15</v>
      </c>
      <c r="W4014">
        <v>2.4500000000000002</v>
      </c>
      <c r="X4014" s="1" t="s">
        <v>60</v>
      </c>
    </row>
    <row r="4015" spans="1:24" x14ac:dyDescent="0.25">
      <c r="A4015" s="1" t="str">
        <f t="shared" si="1278"/>
        <v>卡卡杜-凤凰仓</v>
      </c>
      <c r="B4015" s="1" t="str">
        <f>"CK20241022441"</f>
        <v>CK20241022441</v>
      </c>
      <c r="C4015" s="1" t="str">
        <f>"DD2024102254289"</f>
        <v>DD2024102254289</v>
      </c>
      <c r="D4015" s="1" t="str">
        <f>"CK2024102250879"</f>
        <v>CK2024102250879</v>
      </c>
      <c r="E4015" s="1" t="str">
        <f>"3723470035394628608"</f>
        <v>3723470035394628608</v>
      </c>
      <c r="F4015" s="1" t="str">
        <f t="shared" si="1279"/>
        <v>花都四部-凤凰仓</v>
      </c>
      <c r="G4015" s="1" t="str">
        <f t="shared" si="1285"/>
        <v>卡卡杜企业店（视频号）</v>
      </c>
      <c r="H4015" s="1" t="str">
        <f t="shared" si="1280"/>
        <v>正常订单</v>
      </c>
      <c r="I4015" s="1" t="str">
        <f t="shared" si="1281"/>
        <v>已发货</v>
      </c>
      <c r="J4015" s="1" t="str">
        <f t="shared" ref="J4015:J4017" si="1295">"3"</f>
        <v>3</v>
      </c>
      <c r="K4015" s="1">
        <v>3</v>
      </c>
      <c r="L4015" s="1" t="s">
        <v>161</v>
      </c>
      <c r="M4015" s="1" t="str">
        <f>"四川省 成都市 温江区 "</f>
        <v xml:space="preserve">四川省 成都市 温江区 </v>
      </c>
      <c r="N4015" s="1" t="str">
        <f t="shared" si="1271"/>
        <v>凡华云仓-城南圆通-微信视频号</v>
      </c>
      <c r="O4015" s="5" t="s">
        <v>4046</v>
      </c>
      <c r="P4015" s="6">
        <v>0.34</v>
      </c>
      <c r="Q4015" s="11">
        <v>2.2999999999999998</v>
      </c>
      <c r="R4015" s="11"/>
      <c r="S4015" s="11"/>
      <c r="T4015" s="11"/>
      <c r="U4015" s="11">
        <f t="shared" si="1277"/>
        <v>2.2999999999999998</v>
      </c>
      <c r="W4015">
        <v>2.5</v>
      </c>
      <c r="X4015" s="1" t="s">
        <v>161</v>
      </c>
    </row>
    <row r="4016" spans="1:24" x14ac:dyDescent="0.25">
      <c r="A4016" s="1" t="str">
        <f t="shared" si="1278"/>
        <v>卡卡杜-凤凰仓</v>
      </c>
      <c r="B4016" s="1" t="str">
        <f>"CK20241022920"</f>
        <v>CK20241022920</v>
      </c>
      <c r="C4016" s="1" t="str">
        <f>"DD2024102257588"</f>
        <v>DD2024102257588</v>
      </c>
      <c r="D4016" s="1" t="str">
        <f>"CK2024102250878"</f>
        <v>CK2024102250878</v>
      </c>
      <c r="E4016" s="1" t="str">
        <f>"3723469979489535232"</f>
        <v>3723469979489535232</v>
      </c>
      <c r="F4016" s="1" t="str">
        <f t="shared" si="1279"/>
        <v>花都四部-凤凰仓</v>
      </c>
      <c r="G4016" s="1" t="str">
        <f t="shared" si="1285"/>
        <v>卡卡杜企业店（视频号）</v>
      </c>
      <c r="H4016" s="1" t="str">
        <f t="shared" si="1280"/>
        <v>正常订单</v>
      </c>
      <c r="I4016" s="1" t="str">
        <f t="shared" si="1281"/>
        <v>已发货</v>
      </c>
      <c r="J4016" s="1" t="str">
        <f t="shared" si="1295"/>
        <v>3</v>
      </c>
      <c r="K4016" s="1">
        <v>2</v>
      </c>
      <c r="L4016" s="1" t="s">
        <v>18</v>
      </c>
      <c r="M4016" s="1" t="str">
        <f>"广东省 江门市 鹤山市 "</f>
        <v xml:space="preserve">广东省 江门市 鹤山市 </v>
      </c>
      <c r="N4016" s="1" t="str">
        <f t="shared" si="1271"/>
        <v>凡华云仓-城南圆通-微信视频号</v>
      </c>
      <c r="O4016" s="5" t="s">
        <v>4047</v>
      </c>
      <c r="P4016" s="6">
        <v>0.24</v>
      </c>
      <c r="Q4016" s="11">
        <v>2</v>
      </c>
      <c r="R4016" s="11"/>
      <c r="S4016" s="11"/>
      <c r="T4016" s="11"/>
      <c r="U4016" s="11">
        <f t="shared" si="1277"/>
        <v>2</v>
      </c>
      <c r="W4016">
        <v>2.2000000000000002</v>
      </c>
      <c r="X4016" s="1" t="s">
        <v>18</v>
      </c>
    </row>
    <row r="4017" spans="1:24" x14ac:dyDescent="0.25">
      <c r="A4017" s="1" t="str">
        <f t="shared" si="1278"/>
        <v>卡卡杜-凤凰仓</v>
      </c>
      <c r="B4017" s="1" t="str">
        <f>"CK20241022493"</f>
        <v>CK20241022493</v>
      </c>
      <c r="C4017" s="1" t="str">
        <f>"DD2024102255598"</f>
        <v>DD2024102255598</v>
      </c>
      <c r="D4017" s="1" t="str">
        <f>"CK2024102250877"</f>
        <v>CK2024102250877</v>
      </c>
      <c r="E4017" s="1" t="str">
        <f>"3723469939344016641"</f>
        <v>3723469939344016641</v>
      </c>
      <c r="F4017" s="1" t="str">
        <f t="shared" si="1279"/>
        <v>花都四部-凤凰仓</v>
      </c>
      <c r="G4017" s="1" t="str">
        <f t="shared" si="1285"/>
        <v>卡卡杜企业店（视频号）</v>
      </c>
      <c r="H4017" s="1" t="str">
        <f t="shared" si="1280"/>
        <v>正常订单</v>
      </c>
      <c r="I4017" s="1" t="str">
        <f t="shared" si="1281"/>
        <v>已发货</v>
      </c>
      <c r="J4017" s="1" t="str">
        <f t="shared" si="1295"/>
        <v>3</v>
      </c>
      <c r="K4017" s="1">
        <v>3</v>
      </c>
      <c r="L4017" s="1" t="s">
        <v>74</v>
      </c>
      <c r="M4017" s="1" t="str">
        <f>"上海 上海市 杨浦区 "</f>
        <v xml:space="preserve">上海 上海市 杨浦区 </v>
      </c>
      <c r="N4017" s="1" t="str">
        <f t="shared" ref="N4017:N4080" si="1296">"凡华云仓-城南圆通-微信视频号"</f>
        <v>凡华云仓-城南圆通-微信视频号</v>
      </c>
      <c r="O4017" s="5" t="s">
        <v>4048</v>
      </c>
      <c r="P4017" s="6">
        <v>0.34</v>
      </c>
      <c r="Q4017" s="11">
        <v>2.2999999999999998</v>
      </c>
      <c r="R4017" s="11"/>
      <c r="S4017" s="11"/>
      <c r="T4017" s="11"/>
      <c r="U4017" s="11">
        <f t="shared" si="1277"/>
        <v>2.2999999999999998</v>
      </c>
      <c r="W4017">
        <v>2.5</v>
      </c>
      <c r="X4017" s="1" t="s">
        <v>74</v>
      </c>
    </row>
    <row r="4018" spans="1:24" x14ac:dyDescent="0.25">
      <c r="A4018" s="1" t="str">
        <f t="shared" si="1278"/>
        <v>卡卡杜-凤凰仓</v>
      </c>
      <c r="B4018" s="1" t="str">
        <f>"CK20241022660"</f>
        <v>CK20241022660</v>
      </c>
      <c r="C4018" s="1" t="str">
        <f>"DD2024102256855"</f>
        <v>DD2024102256855</v>
      </c>
      <c r="D4018" s="1" t="str">
        <f>"CK2024102250876"</f>
        <v>CK2024102250876</v>
      </c>
      <c r="E4018" s="1" t="str">
        <f>"3723469911941843968"</f>
        <v>3723469911941843968</v>
      </c>
      <c r="F4018" s="1" t="str">
        <f t="shared" si="1279"/>
        <v>花都四部-凤凰仓</v>
      </c>
      <c r="G4018" s="1" t="str">
        <f t="shared" si="1285"/>
        <v>卡卡杜企业店（视频号）</v>
      </c>
      <c r="H4018" s="1" t="str">
        <f t="shared" si="1280"/>
        <v>正常订单</v>
      </c>
      <c r="I4018" s="1" t="str">
        <f t="shared" si="1281"/>
        <v>已发货</v>
      </c>
      <c r="J4018" s="1" t="str">
        <f t="shared" ref="J4018:J4024" si="1297">"5"</f>
        <v>5</v>
      </c>
      <c r="K4018" s="1">
        <v>3</v>
      </c>
      <c r="L4018" s="1" t="s">
        <v>18</v>
      </c>
      <c r="M4018" s="1" t="str">
        <f>"广东省 湛江市 赤坎区 "</f>
        <v xml:space="preserve">广东省 湛江市 赤坎区 </v>
      </c>
      <c r="N4018" s="1" t="str">
        <f t="shared" si="1296"/>
        <v>凡华云仓-城南圆通-微信视频号</v>
      </c>
      <c r="O4018" s="5" t="s">
        <v>4049</v>
      </c>
      <c r="P4018" s="6">
        <v>0.47</v>
      </c>
      <c r="Q4018" s="11">
        <v>2.2999999999999998</v>
      </c>
      <c r="R4018" s="11"/>
      <c r="S4018" s="11"/>
      <c r="T4018" s="11"/>
      <c r="U4018" s="11">
        <f t="shared" si="1277"/>
        <v>2.2999999999999998</v>
      </c>
      <c r="W4018">
        <v>2.5</v>
      </c>
      <c r="X4018" s="1" t="s">
        <v>18</v>
      </c>
    </row>
    <row r="4019" spans="1:24" x14ac:dyDescent="0.25">
      <c r="A4019" s="1" t="str">
        <f t="shared" si="1278"/>
        <v>卡卡杜-凤凰仓</v>
      </c>
      <c r="B4019" s="1" t="str">
        <f>"CK20241022672"</f>
        <v>CK20241022672</v>
      </c>
      <c r="C4019" s="1" t="str">
        <f>"DD2024102256866"</f>
        <v>DD2024102256866</v>
      </c>
      <c r="D4019" s="1" t="str">
        <f>"CK2024102250875"</f>
        <v>CK2024102250875</v>
      </c>
      <c r="E4019" s="1" t="str">
        <f>"3723469913611437312"</f>
        <v>3723469913611437312</v>
      </c>
      <c r="F4019" s="1" t="str">
        <f t="shared" si="1279"/>
        <v>花都四部-凤凰仓</v>
      </c>
      <c r="G4019" s="1" t="str">
        <f t="shared" si="1285"/>
        <v>卡卡杜企业店（视频号）</v>
      </c>
      <c r="H4019" s="1" t="str">
        <f t="shared" si="1280"/>
        <v>正常订单</v>
      </c>
      <c r="I4019" s="1" t="str">
        <f t="shared" si="1281"/>
        <v>已发货</v>
      </c>
      <c r="J4019" s="1" t="str">
        <f t="shared" si="1297"/>
        <v>5</v>
      </c>
      <c r="K4019" s="1">
        <v>3</v>
      </c>
      <c r="L4019" s="1" t="s">
        <v>16</v>
      </c>
      <c r="M4019" s="1" t="str">
        <f>"河北省 邢台市 宁晋县 "</f>
        <v xml:space="preserve">河北省 邢台市 宁晋县 </v>
      </c>
      <c r="N4019" s="1" t="str">
        <f t="shared" si="1296"/>
        <v>凡华云仓-城南圆通-微信视频号</v>
      </c>
      <c r="O4019" s="5" t="s">
        <v>4050</v>
      </c>
      <c r="P4019" s="6">
        <v>0.47</v>
      </c>
      <c r="Q4019" s="11">
        <v>2.2999999999999998</v>
      </c>
      <c r="R4019" s="11"/>
      <c r="S4019" s="11"/>
      <c r="T4019" s="11"/>
      <c r="U4019" s="11">
        <f t="shared" si="1277"/>
        <v>2.2999999999999998</v>
      </c>
      <c r="W4019">
        <v>2.5</v>
      </c>
      <c r="X4019" s="1" t="s">
        <v>16</v>
      </c>
    </row>
    <row r="4020" spans="1:24" x14ac:dyDescent="0.25">
      <c r="A4020" s="1" t="str">
        <f t="shared" si="1278"/>
        <v>卡卡杜-凤凰仓</v>
      </c>
      <c r="B4020" s="1" t="str">
        <f>"CK20241022674"</f>
        <v>CK20241022674</v>
      </c>
      <c r="C4020" s="1" t="str">
        <f>"DD2024102256868"</f>
        <v>DD2024102256868</v>
      </c>
      <c r="D4020" s="1" t="str">
        <f>"CK2024102250874"</f>
        <v>CK2024102250874</v>
      </c>
      <c r="E4020" s="1" t="str">
        <f>"3723469904466807808"</f>
        <v>3723469904466807808</v>
      </c>
      <c r="F4020" s="1" t="str">
        <f t="shared" si="1279"/>
        <v>花都四部-凤凰仓</v>
      </c>
      <c r="G4020" s="1" t="str">
        <f t="shared" si="1285"/>
        <v>卡卡杜企业店（视频号）</v>
      </c>
      <c r="H4020" s="1" t="str">
        <f t="shared" si="1280"/>
        <v>正常订单</v>
      </c>
      <c r="I4020" s="1" t="str">
        <f t="shared" si="1281"/>
        <v>已发货</v>
      </c>
      <c r="J4020" s="1" t="str">
        <f t="shared" si="1297"/>
        <v>5</v>
      </c>
      <c r="K4020" s="1">
        <v>3</v>
      </c>
      <c r="L4020" s="1" t="s">
        <v>30</v>
      </c>
      <c r="M4020" s="1" t="str">
        <f>"山东省 德州市 德城区 "</f>
        <v xml:space="preserve">山东省 德州市 德城区 </v>
      </c>
      <c r="N4020" s="1" t="str">
        <f t="shared" si="1296"/>
        <v>凡华云仓-城南圆通-微信视频号</v>
      </c>
      <c r="O4020" s="5" t="s">
        <v>4051</v>
      </c>
      <c r="P4020" s="6">
        <v>0.47</v>
      </c>
      <c r="Q4020" s="11">
        <v>2.2999999999999998</v>
      </c>
      <c r="R4020" s="11"/>
      <c r="S4020" s="11"/>
      <c r="T4020" s="11"/>
      <c r="U4020" s="11">
        <f t="shared" si="1277"/>
        <v>2.2999999999999998</v>
      </c>
      <c r="W4020">
        <v>2.5</v>
      </c>
      <c r="X4020" s="1" t="s">
        <v>30</v>
      </c>
    </row>
    <row r="4021" spans="1:24" x14ac:dyDescent="0.25">
      <c r="A4021" s="1" t="str">
        <f t="shared" si="1278"/>
        <v>卡卡杜-凤凰仓</v>
      </c>
      <c r="B4021" s="1" t="str">
        <f>"CK20241022673"</f>
        <v>CK20241022673</v>
      </c>
      <c r="C4021" s="1" t="str">
        <f>"DD2024102256869"</f>
        <v>DD2024102256869</v>
      </c>
      <c r="D4021" s="1" t="str">
        <f>"CK2024102250873"</f>
        <v>CK2024102250873</v>
      </c>
      <c r="E4021" s="1" t="str">
        <f>"3723469907182880256"</f>
        <v>3723469907182880256</v>
      </c>
      <c r="F4021" s="1" t="str">
        <f t="shared" si="1279"/>
        <v>花都四部-凤凰仓</v>
      </c>
      <c r="G4021" s="1" t="str">
        <f t="shared" si="1285"/>
        <v>卡卡杜企业店（视频号）</v>
      </c>
      <c r="H4021" s="1" t="str">
        <f t="shared" si="1280"/>
        <v>正常订单</v>
      </c>
      <c r="I4021" s="1" t="str">
        <f t="shared" si="1281"/>
        <v>已发货</v>
      </c>
      <c r="J4021" s="1" t="str">
        <f t="shared" si="1297"/>
        <v>5</v>
      </c>
      <c r="K4021" s="1">
        <v>3</v>
      </c>
      <c r="L4021" s="1" t="s">
        <v>218</v>
      </c>
      <c r="M4021" s="1" t="str">
        <f>"天津 天津市 南开区 "</f>
        <v xml:space="preserve">天津 天津市 南开区 </v>
      </c>
      <c r="N4021" s="1" t="str">
        <f t="shared" si="1296"/>
        <v>凡华云仓-城南圆通-微信视频号</v>
      </c>
      <c r="O4021" s="5" t="s">
        <v>4052</v>
      </c>
      <c r="P4021" s="6">
        <v>0.47</v>
      </c>
      <c r="Q4021" s="11">
        <v>2.2999999999999998</v>
      </c>
      <c r="R4021" s="11"/>
      <c r="S4021" s="11"/>
      <c r="T4021" s="11"/>
      <c r="U4021" s="11">
        <f t="shared" si="1277"/>
        <v>2.2999999999999998</v>
      </c>
      <c r="W4021">
        <v>2.5</v>
      </c>
      <c r="X4021" s="1" t="s">
        <v>218</v>
      </c>
    </row>
    <row r="4022" spans="1:24" x14ac:dyDescent="0.25">
      <c r="A4022" s="1" t="str">
        <f t="shared" si="1278"/>
        <v>卡卡杜-凤凰仓</v>
      </c>
      <c r="B4022" s="1" t="str">
        <f>"CK20241022661"</f>
        <v>CK20241022661</v>
      </c>
      <c r="C4022" s="1" t="str">
        <f>"DD2024102256858"</f>
        <v>DD2024102256858</v>
      </c>
      <c r="D4022" s="1" t="str">
        <f>"CK2024102250872"</f>
        <v>CK2024102250872</v>
      </c>
      <c r="E4022" s="1" t="str">
        <f>"3723469903518370816"</f>
        <v>3723469903518370816</v>
      </c>
      <c r="F4022" s="1" t="str">
        <f t="shared" si="1279"/>
        <v>花都四部-凤凰仓</v>
      </c>
      <c r="G4022" s="1" t="str">
        <f t="shared" si="1285"/>
        <v>卡卡杜企业店（视频号）</v>
      </c>
      <c r="H4022" s="1" t="str">
        <f t="shared" si="1280"/>
        <v>正常订单</v>
      </c>
      <c r="I4022" s="1" t="str">
        <f t="shared" si="1281"/>
        <v>已发货</v>
      </c>
      <c r="J4022" s="1" t="str">
        <f t="shared" si="1297"/>
        <v>5</v>
      </c>
      <c r="K4022" s="1">
        <v>3</v>
      </c>
      <c r="L4022" s="1" t="s">
        <v>60</v>
      </c>
      <c r="M4022" s="1" t="str">
        <f>"云南省 昆明市 盘龙区 "</f>
        <v xml:space="preserve">云南省 昆明市 盘龙区 </v>
      </c>
      <c r="N4022" s="1" t="str">
        <f t="shared" si="1296"/>
        <v>凡华云仓-城南圆通-微信视频号</v>
      </c>
      <c r="O4022" s="5" t="s">
        <v>4053</v>
      </c>
      <c r="P4022" s="6">
        <v>0.47</v>
      </c>
      <c r="Q4022" s="11">
        <v>2.2999999999999998</v>
      </c>
      <c r="R4022" s="11"/>
      <c r="S4022" s="11"/>
      <c r="T4022" s="11"/>
      <c r="U4022" s="11">
        <f t="shared" si="1277"/>
        <v>2.2999999999999998</v>
      </c>
      <c r="W4022">
        <v>2.5</v>
      </c>
      <c r="X4022" s="1" t="s">
        <v>60</v>
      </c>
    </row>
    <row r="4023" spans="1:24" x14ac:dyDescent="0.25">
      <c r="A4023" s="1" t="str">
        <f t="shared" si="1278"/>
        <v>卡卡杜-凤凰仓</v>
      </c>
      <c r="B4023" s="1" t="str">
        <f>"CK20241022662"</f>
        <v>CK20241022662</v>
      </c>
      <c r="C4023" s="1" t="str">
        <f>"DD2024102256857"</f>
        <v>DD2024102256857</v>
      </c>
      <c r="D4023" s="1" t="str">
        <f>"CK2024102250871"</f>
        <v>CK2024102250871</v>
      </c>
      <c r="E4023" s="1" t="str">
        <f>"3723469897013269504"</f>
        <v>3723469897013269504</v>
      </c>
      <c r="F4023" s="1" t="str">
        <f t="shared" si="1279"/>
        <v>花都四部-凤凰仓</v>
      </c>
      <c r="G4023" s="1" t="str">
        <f t="shared" si="1285"/>
        <v>卡卡杜企业店（视频号）</v>
      </c>
      <c r="H4023" s="1" t="str">
        <f t="shared" si="1280"/>
        <v>正常订单</v>
      </c>
      <c r="I4023" s="1" t="str">
        <f t="shared" si="1281"/>
        <v>已发货</v>
      </c>
      <c r="J4023" s="1" t="str">
        <f t="shared" si="1297"/>
        <v>5</v>
      </c>
      <c r="K4023" s="1">
        <v>3</v>
      </c>
      <c r="L4023" s="1" t="s">
        <v>36</v>
      </c>
      <c r="M4023" s="1" t="str">
        <f>"安徽省 阜阳市 颍泉区 "</f>
        <v xml:space="preserve">安徽省 阜阳市 颍泉区 </v>
      </c>
      <c r="N4023" s="1" t="str">
        <f t="shared" si="1296"/>
        <v>凡华云仓-城南圆通-微信视频号</v>
      </c>
      <c r="O4023" s="5" t="s">
        <v>4054</v>
      </c>
      <c r="P4023" s="6">
        <v>0.47</v>
      </c>
      <c r="Q4023" s="11">
        <v>2.2999999999999998</v>
      </c>
      <c r="R4023" s="11"/>
      <c r="S4023" s="11"/>
      <c r="T4023" s="11"/>
      <c r="U4023" s="11">
        <f t="shared" si="1277"/>
        <v>2.2999999999999998</v>
      </c>
      <c r="W4023">
        <v>2.5</v>
      </c>
      <c r="X4023" s="1" t="s">
        <v>36</v>
      </c>
    </row>
    <row r="4024" spans="1:24" x14ac:dyDescent="0.25">
      <c r="A4024" s="1" t="str">
        <f t="shared" si="1278"/>
        <v>卡卡杜-凤凰仓</v>
      </c>
      <c r="B4024" s="1" t="str">
        <f>"CK20241022675"</f>
        <v>CK20241022675</v>
      </c>
      <c r="C4024" s="1" t="str">
        <f>"DD2024102256870"</f>
        <v>DD2024102256870</v>
      </c>
      <c r="D4024" s="1" t="str">
        <f>"CK2024102250870"</f>
        <v>CK2024102250870</v>
      </c>
      <c r="E4024" s="1" t="str">
        <f>"3723469895025427968"</f>
        <v>3723469895025427968</v>
      </c>
      <c r="F4024" s="1" t="str">
        <f t="shared" si="1279"/>
        <v>花都四部-凤凰仓</v>
      </c>
      <c r="G4024" s="1" t="str">
        <f t="shared" si="1285"/>
        <v>卡卡杜企业店（视频号）</v>
      </c>
      <c r="H4024" s="1" t="str">
        <f t="shared" si="1280"/>
        <v>正常订单</v>
      </c>
      <c r="I4024" s="1" t="str">
        <f t="shared" si="1281"/>
        <v>已发货</v>
      </c>
      <c r="J4024" s="1" t="str">
        <f t="shared" si="1297"/>
        <v>5</v>
      </c>
      <c r="K4024" s="1">
        <v>3</v>
      </c>
      <c r="L4024" s="1" t="s">
        <v>80</v>
      </c>
      <c r="M4024" s="1" t="str">
        <f>"河南省 郑州市 金水区 "</f>
        <v xml:space="preserve">河南省 郑州市 金水区 </v>
      </c>
      <c r="N4024" s="1" t="str">
        <f t="shared" si="1296"/>
        <v>凡华云仓-城南圆通-微信视频号</v>
      </c>
      <c r="O4024" s="5" t="s">
        <v>4055</v>
      </c>
      <c r="P4024" s="6">
        <v>0.47</v>
      </c>
      <c r="Q4024" s="11">
        <v>2.2999999999999998</v>
      </c>
      <c r="R4024" s="11"/>
      <c r="S4024" s="11"/>
      <c r="T4024" s="11"/>
      <c r="U4024" s="11">
        <f t="shared" si="1277"/>
        <v>2.2999999999999998</v>
      </c>
      <c r="W4024">
        <v>2.5</v>
      </c>
      <c r="X4024" s="1" t="s">
        <v>80</v>
      </c>
    </row>
    <row r="4025" spans="1:24" x14ac:dyDescent="0.25">
      <c r="A4025" s="1" t="str">
        <f t="shared" si="1278"/>
        <v>卡卡杜-凤凰仓</v>
      </c>
      <c r="B4025" s="1" t="str">
        <f>"CK20241022835"</f>
        <v>CK20241022835</v>
      </c>
      <c r="C4025" s="1" t="str">
        <f>"DD2024102257253"</f>
        <v>DD2024102257253</v>
      </c>
      <c r="D4025" s="1" t="str">
        <f>"CK2024102250869"</f>
        <v>CK2024102250869</v>
      </c>
      <c r="E4025" s="1" t="str">
        <f>"3723469890012188672"</f>
        <v>3723469890012188672</v>
      </c>
      <c r="F4025" s="1" t="str">
        <f t="shared" si="1279"/>
        <v>花都四部-凤凰仓</v>
      </c>
      <c r="G4025" s="1" t="str">
        <f t="shared" si="1285"/>
        <v>卡卡杜企业店（视频号）</v>
      </c>
      <c r="H4025" s="1" t="str">
        <f t="shared" si="1280"/>
        <v>正常订单</v>
      </c>
      <c r="I4025" s="1" t="str">
        <f t="shared" si="1281"/>
        <v>已发货</v>
      </c>
      <c r="J4025" s="1" t="str">
        <f t="shared" ref="J4025:J4030" si="1298">"2"</f>
        <v>2</v>
      </c>
      <c r="K4025" s="1">
        <v>2</v>
      </c>
      <c r="L4025" s="1" t="s">
        <v>94</v>
      </c>
      <c r="M4025" s="1" t="str">
        <f>"湖南省 长沙市 天心区 "</f>
        <v xml:space="preserve">湖南省 长沙市 天心区 </v>
      </c>
      <c r="N4025" s="1" t="str">
        <f t="shared" si="1296"/>
        <v>凡华云仓-城南圆通-微信视频号</v>
      </c>
      <c r="O4025" s="5" t="s">
        <v>4056</v>
      </c>
      <c r="P4025" s="6">
        <v>0.17</v>
      </c>
      <c r="Q4025" s="11">
        <v>2</v>
      </c>
      <c r="R4025" s="11"/>
      <c r="S4025" s="11"/>
      <c r="T4025" s="11"/>
      <c r="U4025" s="11">
        <f t="shared" si="1277"/>
        <v>2</v>
      </c>
      <c r="W4025">
        <v>2.2000000000000002</v>
      </c>
      <c r="X4025" s="1" t="s">
        <v>94</v>
      </c>
    </row>
    <row r="4026" spans="1:24" x14ac:dyDescent="0.25">
      <c r="A4026" s="1" t="str">
        <f t="shared" si="1278"/>
        <v>卡卡杜-凤凰仓</v>
      </c>
      <c r="B4026" s="1" t="str">
        <f>"CK20241022952"</f>
        <v>CK20241022952</v>
      </c>
      <c r="C4026" s="1" t="str">
        <f>"DD2024102257693"</f>
        <v>DD2024102257693</v>
      </c>
      <c r="D4026" s="1" t="str">
        <f>"CK2024102250868"</f>
        <v>CK2024102250868</v>
      </c>
      <c r="E4026" s="1" t="str">
        <f>"3723469877286147072"</f>
        <v>3723469877286147072</v>
      </c>
      <c r="F4026" s="1" t="str">
        <f t="shared" si="1279"/>
        <v>花都四部-凤凰仓</v>
      </c>
      <c r="G4026" s="1" t="str">
        <f t="shared" si="1285"/>
        <v>卡卡杜企业店（视频号）</v>
      </c>
      <c r="H4026" s="1" t="str">
        <f t="shared" si="1280"/>
        <v>正常订单</v>
      </c>
      <c r="I4026" s="1" t="str">
        <f t="shared" si="1281"/>
        <v>已发货</v>
      </c>
      <c r="J4026" s="1" t="str">
        <f t="shared" si="1298"/>
        <v>2</v>
      </c>
      <c r="K4026" s="1">
        <v>2</v>
      </c>
      <c r="L4026" s="1" t="s">
        <v>47</v>
      </c>
      <c r="M4026" s="1" t="str">
        <f>"重庆 重庆市 九龙坡区 "</f>
        <v xml:space="preserve">重庆 重庆市 九龙坡区 </v>
      </c>
      <c r="N4026" s="1" t="str">
        <f t="shared" si="1296"/>
        <v>凡华云仓-城南圆通-微信视频号</v>
      </c>
      <c r="O4026" s="5" t="s">
        <v>4057</v>
      </c>
      <c r="P4026" s="6">
        <v>0.17</v>
      </c>
      <c r="Q4026" s="11">
        <v>2</v>
      </c>
      <c r="R4026" s="11"/>
      <c r="S4026" s="11"/>
      <c r="T4026" s="11"/>
      <c r="U4026" s="11">
        <f t="shared" si="1277"/>
        <v>2</v>
      </c>
      <c r="W4026">
        <v>2.2000000000000002</v>
      </c>
      <c r="X4026" s="1" t="s">
        <v>47</v>
      </c>
    </row>
    <row r="4027" spans="1:24" x14ac:dyDescent="0.25">
      <c r="A4027" s="1" t="str">
        <f t="shared" si="1278"/>
        <v>卡卡杜-凤凰仓</v>
      </c>
      <c r="B4027" s="1" t="str">
        <f>"CK20241022977"</f>
        <v>CK20241022977</v>
      </c>
      <c r="C4027" s="1" t="str">
        <f>"DD2024102257762"</f>
        <v>DD2024102257762</v>
      </c>
      <c r="D4027" s="1" t="str">
        <f>"CK2024102250867"</f>
        <v>CK2024102250867</v>
      </c>
      <c r="E4027" s="1" t="str">
        <f>"3723469884641381376"</f>
        <v>3723469884641381376</v>
      </c>
      <c r="F4027" s="1" t="str">
        <f t="shared" si="1279"/>
        <v>花都四部-凤凰仓</v>
      </c>
      <c r="G4027" s="1" t="str">
        <f t="shared" si="1285"/>
        <v>卡卡杜企业店（视频号）</v>
      </c>
      <c r="H4027" s="1" t="str">
        <f t="shared" si="1280"/>
        <v>正常订单</v>
      </c>
      <c r="I4027" s="1" t="str">
        <f t="shared" si="1281"/>
        <v>已发货</v>
      </c>
      <c r="J4027" s="1" t="str">
        <f>"3"</f>
        <v>3</v>
      </c>
      <c r="K4027" s="1">
        <v>2</v>
      </c>
      <c r="L4027" s="1" t="s">
        <v>30</v>
      </c>
      <c r="M4027" s="1" t="str">
        <f>"山东省 烟台市 莱山区 "</f>
        <v xml:space="preserve">山东省 烟台市 莱山区 </v>
      </c>
      <c r="N4027" s="1" t="str">
        <f t="shared" si="1296"/>
        <v>凡华云仓-城南圆通-微信视频号</v>
      </c>
      <c r="O4027" s="5" t="s">
        <v>4058</v>
      </c>
      <c r="P4027" s="6">
        <v>0.24</v>
      </c>
      <c r="Q4027" s="11">
        <v>2</v>
      </c>
      <c r="R4027" s="11"/>
      <c r="S4027" s="11"/>
      <c r="T4027" s="11"/>
      <c r="U4027" s="11">
        <f t="shared" si="1277"/>
        <v>2</v>
      </c>
      <c r="W4027">
        <v>2.2000000000000002</v>
      </c>
      <c r="X4027" s="1" t="s">
        <v>30</v>
      </c>
    </row>
    <row r="4028" spans="1:24" x14ac:dyDescent="0.25">
      <c r="A4028" s="1" t="str">
        <f t="shared" si="1278"/>
        <v>卡卡杜-凤凰仓</v>
      </c>
      <c r="B4028" s="1" t="str">
        <f>"CK20241022808"</f>
        <v>CK20241022808</v>
      </c>
      <c r="C4028" s="1" t="str">
        <f>"DD2024102257171"</f>
        <v>DD2024102257171</v>
      </c>
      <c r="D4028" s="1" t="str">
        <f>"CK2024102250866"</f>
        <v>CK2024102250866</v>
      </c>
      <c r="E4028" s="1" t="str">
        <f>"3723469878102462467"</f>
        <v>3723469878102462467</v>
      </c>
      <c r="F4028" s="1" t="str">
        <f t="shared" si="1279"/>
        <v>花都四部-凤凰仓</v>
      </c>
      <c r="G4028" s="1" t="str">
        <f t="shared" si="1285"/>
        <v>卡卡杜企业店（视频号）</v>
      </c>
      <c r="H4028" s="1" t="str">
        <f t="shared" si="1280"/>
        <v>正常订单</v>
      </c>
      <c r="I4028" s="1" t="str">
        <f t="shared" si="1281"/>
        <v>已发货</v>
      </c>
      <c r="J4028" s="1" t="str">
        <f t="shared" si="1298"/>
        <v>2</v>
      </c>
      <c r="K4028" s="1">
        <v>2</v>
      </c>
      <c r="L4028" s="1" t="s">
        <v>105</v>
      </c>
      <c r="M4028" s="1" t="str">
        <f>"北京 北京市 海淀区 "</f>
        <v xml:space="preserve">北京 北京市 海淀区 </v>
      </c>
      <c r="N4028" s="1" t="str">
        <f t="shared" si="1296"/>
        <v>凡华云仓-城南圆通-微信视频号</v>
      </c>
      <c r="O4028" s="5" t="s">
        <v>4059</v>
      </c>
      <c r="P4028" s="6">
        <v>0.17</v>
      </c>
      <c r="Q4028" s="11">
        <v>2</v>
      </c>
      <c r="R4028" s="11"/>
      <c r="S4028" s="11"/>
      <c r="T4028" s="11"/>
      <c r="U4028" s="11">
        <f t="shared" si="1277"/>
        <v>2</v>
      </c>
      <c r="W4028">
        <v>2.2000000000000002</v>
      </c>
      <c r="X4028" s="1" t="s">
        <v>105</v>
      </c>
    </row>
    <row r="4029" spans="1:24" x14ac:dyDescent="0.25">
      <c r="A4029" s="1" t="str">
        <f t="shared" si="1278"/>
        <v>卡卡杜-凤凰仓</v>
      </c>
      <c r="B4029" s="1" t="str">
        <f>"CK20241022821"</f>
        <v>CK20241022821</v>
      </c>
      <c r="C4029" s="1" t="str">
        <f>"DD2024102257210"</f>
        <v>DD2024102257210</v>
      </c>
      <c r="D4029" s="1" t="str">
        <f>"CK2024102250865"</f>
        <v>CK2024102250865</v>
      </c>
      <c r="E4029" s="1" t="str">
        <f>"3723469881179505921"</f>
        <v>3723469881179505921</v>
      </c>
      <c r="F4029" s="1" t="str">
        <f t="shared" si="1279"/>
        <v>花都四部-凤凰仓</v>
      </c>
      <c r="G4029" s="1" t="str">
        <f t="shared" si="1285"/>
        <v>卡卡杜企业店（视频号）</v>
      </c>
      <c r="H4029" s="1" t="str">
        <f t="shared" si="1280"/>
        <v>正常订单</v>
      </c>
      <c r="I4029" s="1" t="str">
        <f t="shared" si="1281"/>
        <v>已发货</v>
      </c>
      <c r="J4029" s="1" t="str">
        <f t="shared" si="1298"/>
        <v>2</v>
      </c>
      <c r="K4029" s="1">
        <v>2</v>
      </c>
      <c r="L4029" s="1" t="s">
        <v>105</v>
      </c>
      <c r="M4029" s="1" t="str">
        <f>"北京 北京市 丰台区 "</f>
        <v xml:space="preserve">北京 北京市 丰台区 </v>
      </c>
      <c r="N4029" s="1" t="str">
        <f t="shared" si="1296"/>
        <v>凡华云仓-城南圆通-微信视频号</v>
      </c>
      <c r="O4029" s="5" t="s">
        <v>4060</v>
      </c>
      <c r="P4029" s="6">
        <v>0.17</v>
      </c>
      <c r="Q4029" s="11">
        <v>2</v>
      </c>
      <c r="R4029" s="11"/>
      <c r="S4029" s="11"/>
      <c r="T4029" s="11"/>
      <c r="U4029" s="11">
        <f t="shared" si="1277"/>
        <v>2</v>
      </c>
      <c r="W4029">
        <v>2.2000000000000002</v>
      </c>
      <c r="X4029" s="1" t="s">
        <v>105</v>
      </c>
    </row>
    <row r="4030" spans="1:24" x14ac:dyDescent="0.25">
      <c r="A4030" s="1" t="str">
        <f t="shared" si="1278"/>
        <v>卡卡杜-凤凰仓</v>
      </c>
      <c r="B4030" s="1" t="str">
        <f>"CK20241022750"</f>
        <v>CK20241022750</v>
      </c>
      <c r="C4030" s="1" t="str">
        <f>"DD2024102257053"</f>
        <v>DD2024102257053</v>
      </c>
      <c r="D4030" s="1" t="str">
        <f>"CK2024102250864"</f>
        <v>CK2024102250864</v>
      </c>
      <c r="E4030" s="1" t="str">
        <f>"3723469874136486912"</f>
        <v>3723469874136486912</v>
      </c>
      <c r="F4030" s="1" t="str">
        <f t="shared" si="1279"/>
        <v>花都四部-凤凰仓</v>
      </c>
      <c r="G4030" s="1" t="str">
        <f t="shared" si="1285"/>
        <v>卡卡杜企业店（视频号）</v>
      </c>
      <c r="H4030" s="1" t="str">
        <f t="shared" si="1280"/>
        <v>正常订单</v>
      </c>
      <c r="I4030" s="1" t="str">
        <f t="shared" si="1281"/>
        <v>已发货</v>
      </c>
      <c r="J4030" s="1" t="str">
        <f t="shared" si="1298"/>
        <v>2</v>
      </c>
      <c r="K4030" s="1">
        <v>2</v>
      </c>
      <c r="L4030" s="1" t="s">
        <v>161</v>
      </c>
      <c r="M4030" s="1" t="str">
        <f>"四川省 绵阳市 涪城区 "</f>
        <v xml:space="preserve">四川省 绵阳市 涪城区 </v>
      </c>
      <c r="N4030" s="1" t="str">
        <f t="shared" si="1296"/>
        <v>凡华云仓-城南圆通-微信视频号</v>
      </c>
      <c r="O4030" s="5" t="s">
        <v>4061</v>
      </c>
      <c r="P4030" s="6">
        <v>0.17</v>
      </c>
      <c r="Q4030" s="11">
        <v>2</v>
      </c>
      <c r="R4030" s="11"/>
      <c r="S4030" s="11"/>
      <c r="T4030" s="11"/>
      <c r="U4030" s="11">
        <f t="shared" si="1277"/>
        <v>2</v>
      </c>
      <c r="W4030">
        <v>2.2000000000000002</v>
      </c>
      <c r="X4030" s="1" t="s">
        <v>161</v>
      </c>
    </row>
    <row r="4031" spans="1:24" x14ac:dyDescent="0.25">
      <c r="A4031" s="1" t="str">
        <f t="shared" si="1278"/>
        <v>卡卡杜-凤凰仓</v>
      </c>
      <c r="B4031" s="1" t="str">
        <f>"CK20241022317"</f>
        <v>CK20241022317</v>
      </c>
      <c r="C4031" s="1" t="str">
        <f>"DD2024102253906"</f>
        <v>DD2024102253906</v>
      </c>
      <c r="D4031" s="1" t="str">
        <f>"CK2024102250863"</f>
        <v>CK2024102250863</v>
      </c>
      <c r="E4031" s="1" t="str">
        <f>"3723469874006986752"</f>
        <v>3723469874006986752</v>
      </c>
      <c r="F4031" s="1" t="str">
        <f t="shared" si="1279"/>
        <v>花都四部-凤凰仓</v>
      </c>
      <c r="G4031" s="1" t="str">
        <f t="shared" si="1285"/>
        <v>卡卡杜企业店（视频号）</v>
      </c>
      <c r="H4031" s="1" t="str">
        <f t="shared" si="1280"/>
        <v>正常订单</v>
      </c>
      <c r="I4031" s="1" t="str">
        <f t="shared" si="1281"/>
        <v>已发货</v>
      </c>
      <c r="J4031" s="1" t="str">
        <f>"5"</f>
        <v>5</v>
      </c>
      <c r="K4031" s="1">
        <v>3</v>
      </c>
      <c r="L4031" s="1" t="s">
        <v>80</v>
      </c>
      <c r="M4031" s="1" t="str">
        <f>"河南省 周口市 川汇区 "</f>
        <v xml:space="preserve">河南省 周口市 川汇区 </v>
      </c>
      <c r="N4031" s="1" t="str">
        <f t="shared" si="1296"/>
        <v>凡华云仓-城南圆通-微信视频号</v>
      </c>
      <c r="O4031" s="5" t="s">
        <v>4062</v>
      </c>
      <c r="P4031" s="6">
        <v>0.56000000000000005</v>
      </c>
      <c r="Q4031" s="11">
        <f>CEILING(P4031-0.5,0.1)*10*0.15+2.3</f>
        <v>2.4499999999999997</v>
      </c>
      <c r="R4031" s="11"/>
      <c r="S4031" s="11"/>
      <c r="T4031" s="11"/>
      <c r="U4031" s="11">
        <f t="shared" si="1277"/>
        <v>2.4499999999999997</v>
      </c>
      <c r="V4031" t="s">
        <v>15</v>
      </c>
      <c r="W4031">
        <v>2.4500000000000002</v>
      </c>
      <c r="X4031" s="1" t="s">
        <v>80</v>
      </c>
    </row>
    <row r="4032" spans="1:24" x14ac:dyDescent="0.25">
      <c r="A4032" s="1" t="str">
        <f t="shared" si="1278"/>
        <v>卡卡杜-凤凰仓</v>
      </c>
      <c r="B4032" s="1" t="str">
        <f>"CK20241022739"</f>
        <v>CK20241022739</v>
      </c>
      <c r="C4032" s="1" t="str">
        <f>"DD2024102257042"</f>
        <v>DD2024102257042</v>
      </c>
      <c r="D4032" s="1" t="str">
        <f>"CK2024102250862"</f>
        <v>CK2024102250862</v>
      </c>
      <c r="E4032" s="1" t="str">
        <f>"3723469872157035520"</f>
        <v>3723469872157035520</v>
      </c>
      <c r="F4032" s="1" t="str">
        <f t="shared" si="1279"/>
        <v>花都四部-凤凰仓</v>
      </c>
      <c r="G4032" s="1" t="str">
        <f t="shared" si="1285"/>
        <v>卡卡杜企业店（视频号）</v>
      </c>
      <c r="H4032" s="1" t="str">
        <f t="shared" si="1280"/>
        <v>正常订单</v>
      </c>
      <c r="I4032" s="1" t="str">
        <f t="shared" si="1281"/>
        <v>已发货</v>
      </c>
      <c r="J4032" s="1" t="str">
        <f>"2"</f>
        <v>2</v>
      </c>
      <c r="K4032" s="1">
        <v>2</v>
      </c>
      <c r="L4032" s="1" t="s">
        <v>30</v>
      </c>
      <c r="M4032" s="1" t="str">
        <f>"山东省 德州市 德城区 "</f>
        <v xml:space="preserve">山东省 德州市 德城区 </v>
      </c>
      <c r="N4032" s="1" t="str">
        <f t="shared" si="1296"/>
        <v>凡华云仓-城南圆通-微信视频号</v>
      </c>
      <c r="O4032" s="5" t="s">
        <v>4063</v>
      </c>
      <c r="P4032" s="6">
        <v>0.17</v>
      </c>
      <c r="Q4032" s="11">
        <v>2</v>
      </c>
      <c r="R4032" s="11"/>
      <c r="S4032" s="11"/>
      <c r="T4032" s="11"/>
      <c r="U4032" s="11">
        <f t="shared" si="1277"/>
        <v>2</v>
      </c>
      <c r="W4032">
        <v>2.2000000000000002</v>
      </c>
      <c r="X4032" s="1" t="s">
        <v>30</v>
      </c>
    </row>
    <row r="4033" spans="1:24" x14ac:dyDescent="0.25">
      <c r="A4033" s="1" t="str">
        <f t="shared" si="1278"/>
        <v>卡卡杜-凤凰仓</v>
      </c>
      <c r="B4033" s="1" t="str">
        <f>"CK20241022872"</f>
        <v>CK20241022872</v>
      </c>
      <c r="C4033" s="1" t="str">
        <f>"DD2024102257390"</f>
        <v>DD2024102257390</v>
      </c>
      <c r="D4033" s="1" t="str">
        <f>"CK2024102250861"</f>
        <v>CK2024102250861</v>
      </c>
      <c r="E4033" s="1" t="str">
        <f>"3723469869775195136"</f>
        <v>3723469869775195136</v>
      </c>
      <c r="F4033" s="1" t="str">
        <f t="shared" si="1279"/>
        <v>花都四部-凤凰仓</v>
      </c>
      <c r="G4033" s="1" t="str">
        <f t="shared" si="1285"/>
        <v>卡卡杜企业店（视频号）</v>
      </c>
      <c r="H4033" s="1" t="str">
        <f t="shared" si="1280"/>
        <v>正常订单</v>
      </c>
      <c r="I4033" s="1" t="str">
        <f t="shared" si="1281"/>
        <v>已发货</v>
      </c>
      <c r="J4033" s="1" t="str">
        <f t="shared" ref="J4033:J4037" si="1299">"3"</f>
        <v>3</v>
      </c>
      <c r="K4033" s="1">
        <v>2</v>
      </c>
      <c r="L4033" s="1" t="s">
        <v>80</v>
      </c>
      <c r="M4033" s="1" t="str">
        <f>"河南省 洛阳市 西工区 "</f>
        <v xml:space="preserve">河南省 洛阳市 西工区 </v>
      </c>
      <c r="N4033" s="1" t="str">
        <f t="shared" si="1296"/>
        <v>凡华云仓-城南圆通-微信视频号</v>
      </c>
      <c r="O4033" s="5" t="s">
        <v>4064</v>
      </c>
      <c r="P4033" s="6">
        <v>0.24</v>
      </c>
      <c r="Q4033" s="11">
        <v>2</v>
      </c>
      <c r="R4033" s="11"/>
      <c r="S4033" s="11"/>
      <c r="T4033" s="11"/>
      <c r="U4033" s="11">
        <f t="shared" si="1277"/>
        <v>2</v>
      </c>
      <c r="W4033">
        <v>2.2000000000000002</v>
      </c>
      <c r="X4033" s="1" t="s">
        <v>80</v>
      </c>
    </row>
    <row r="4034" spans="1:24" x14ac:dyDescent="0.25">
      <c r="A4034" s="1" t="str">
        <f t="shared" si="1278"/>
        <v>卡卡杜-凤凰仓</v>
      </c>
      <c r="B4034" s="1" t="str">
        <f>"CK20241022867"</f>
        <v>CK20241022867</v>
      </c>
      <c r="C4034" s="1" t="str">
        <f>"DD2024102257362"</f>
        <v>DD2024102257362</v>
      </c>
      <c r="D4034" s="1" t="str">
        <f>"CK2024102250860"</f>
        <v>CK2024102250860</v>
      </c>
      <c r="E4034" s="1" t="str">
        <f>"3723469868654265856"</f>
        <v>3723469868654265856</v>
      </c>
      <c r="F4034" s="1" t="str">
        <f t="shared" si="1279"/>
        <v>花都四部-凤凰仓</v>
      </c>
      <c r="G4034" s="1" t="str">
        <f t="shared" si="1285"/>
        <v>卡卡杜企业店（视频号）</v>
      </c>
      <c r="H4034" s="1" t="str">
        <f t="shared" si="1280"/>
        <v>正常订单</v>
      </c>
      <c r="I4034" s="1" t="str">
        <f t="shared" si="1281"/>
        <v>已发货</v>
      </c>
      <c r="J4034" s="1" t="str">
        <f t="shared" si="1299"/>
        <v>3</v>
      </c>
      <c r="K4034" s="1">
        <v>2</v>
      </c>
      <c r="L4034" s="1" t="s">
        <v>41</v>
      </c>
      <c r="M4034" s="1" t="str">
        <f>"湖北省 武汉市 洪山区 "</f>
        <v xml:space="preserve">湖北省 武汉市 洪山区 </v>
      </c>
      <c r="N4034" s="1" t="str">
        <f t="shared" si="1296"/>
        <v>凡华云仓-城南圆通-微信视频号</v>
      </c>
      <c r="O4034" s="5" t="s">
        <v>4065</v>
      </c>
      <c r="P4034" s="6">
        <v>0.24</v>
      </c>
      <c r="Q4034" s="11">
        <v>2</v>
      </c>
      <c r="R4034" s="11"/>
      <c r="S4034" s="11"/>
      <c r="T4034" s="11"/>
      <c r="U4034" s="11">
        <f t="shared" si="1277"/>
        <v>2</v>
      </c>
      <c r="W4034">
        <v>2.2000000000000002</v>
      </c>
      <c r="X4034" s="1" t="s">
        <v>41</v>
      </c>
    </row>
    <row r="4035" spans="1:24" x14ac:dyDescent="0.25">
      <c r="A4035" s="1" t="str">
        <f t="shared" si="1278"/>
        <v>卡卡杜-凤凰仓</v>
      </c>
      <c r="B4035" s="1" t="str">
        <f>"CK20241022972"</f>
        <v>CK20241022972</v>
      </c>
      <c r="C4035" s="1" t="str">
        <f>"DD2024102257747"</f>
        <v>DD2024102257747</v>
      </c>
      <c r="D4035" s="1" t="str">
        <f>"CK2024102250859"</f>
        <v>CK2024102250859</v>
      </c>
      <c r="E4035" s="1" t="str">
        <f>"3723469866069004288"</f>
        <v>3723469866069004288</v>
      </c>
      <c r="F4035" s="1" t="str">
        <f t="shared" si="1279"/>
        <v>花都四部-凤凰仓</v>
      </c>
      <c r="G4035" s="1" t="str">
        <f t="shared" si="1285"/>
        <v>卡卡杜企业店（视频号）</v>
      </c>
      <c r="H4035" s="1" t="str">
        <f t="shared" si="1280"/>
        <v>正常订单</v>
      </c>
      <c r="I4035" s="1" t="str">
        <f t="shared" si="1281"/>
        <v>已发货</v>
      </c>
      <c r="J4035" s="1" t="str">
        <f t="shared" si="1299"/>
        <v>3</v>
      </c>
      <c r="K4035" s="1">
        <v>2</v>
      </c>
      <c r="L4035" s="1" t="s">
        <v>24</v>
      </c>
      <c r="M4035" s="1" t="str">
        <f>"福建省 莆田市 仙游县 "</f>
        <v xml:space="preserve">福建省 莆田市 仙游县 </v>
      </c>
      <c r="N4035" s="1" t="str">
        <f t="shared" si="1296"/>
        <v>凡华云仓-城南圆通-微信视频号</v>
      </c>
      <c r="O4035" s="5" t="s">
        <v>4066</v>
      </c>
      <c r="P4035" s="6">
        <v>0.24</v>
      </c>
      <c r="Q4035" s="11">
        <v>2</v>
      </c>
      <c r="R4035" s="11"/>
      <c r="S4035" s="11"/>
      <c r="T4035" s="11"/>
      <c r="U4035" s="11">
        <f t="shared" ref="U4035:U4098" si="1300">T4035+S4035+R4035+Q4035</f>
        <v>2</v>
      </c>
      <c r="W4035">
        <v>2.2000000000000002</v>
      </c>
      <c r="X4035" s="1" t="s">
        <v>24</v>
      </c>
    </row>
    <row r="4036" spans="1:24" x14ac:dyDescent="0.25">
      <c r="A4036" s="1" t="str">
        <f t="shared" si="1278"/>
        <v>卡卡杜-凤凰仓</v>
      </c>
      <c r="B4036" s="1" t="str">
        <f>"CK20241022979"</f>
        <v>CK20241022979</v>
      </c>
      <c r="C4036" s="1" t="str">
        <f>"DD2024102257766"</f>
        <v>DD2024102257766</v>
      </c>
      <c r="D4036" s="1" t="str">
        <f>"CK2024102250858"</f>
        <v>CK2024102250858</v>
      </c>
      <c r="E4036" s="1" t="str">
        <f>"3723469862150735360"</f>
        <v>3723469862150735360</v>
      </c>
      <c r="F4036" s="1" t="str">
        <f t="shared" si="1279"/>
        <v>花都四部-凤凰仓</v>
      </c>
      <c r="G4036" s="1" t="str">
        <f t="shared" si="1285"/>
        <v>卡卡杜企业店（视频号）</v>
      </c>
      <c r="H4036" s="1" t="str">
        <f t="shared" si="1280"/>
        <v>正常订单</v>
      </c>
      <c r="I4036" s="1" t="str">
        <f t="shared" si="1281"/>
        <v>已发货</v>
      </c>
      <c r="J4036" s="1" t="str">
        <f t="shared" si="1299"/>
        <v>3</v>
      </c>
      <c r="K4036" s="1">
        <v>2</v>
      </c>
      <c r="L4036" s="1" t="s">
        <v>96</v>
      </c>
      <c r="M4036" s="1" t="str">
        <f>"广西壮族自治区 南宁市 青秀区 "</f>
        <v xml:space="preserve">广西壮族自治区 南宁市 青秀区 </v>
      </c>
      <c r="N4036" s="1" t="str">
        <f t="shared" si="1296"/>
        <v>凡华云仓-城南圆通-微信视频号</v>
      </c>
      <c r="O4036" s="5" t="s">
        <v>4067</v>
      </c>
      <c r="P4036" s="6">
        <v>0.24</v>
      </c>
      <c r="Q4036" s="11">
        <v>2</v>
      </c>
      <c r="R4036" s="11"/>
      <c r="S4036" s="11"/>
      <c r="T4036" s="11"/>
      <c r="U4036" s="11">
        <f t="shared" si="1300"/>
        <v>2</v>
      </c>
      <c r="W4036">
        <v>2.2000000000000002</v>
      </c>
      <c r="X4036" s="1" t="s">
        <v>96</v>
      </c>
    </row>
    <row r="4037" spans="1:24" x14ac:dyDescent="0.25">
      <c r="A4037" s="1" t="str">
        <f t="shared" ref="A4037:A4100" si="1301">"卡卡杜-凤凰仓"</f>
        <v>卡卡杜-凤凰仓</v>
      </c>
      <c r="B4037" s="1" t="str">
        <f>"CK20241022968"</f>
        <v>CK20241022968</v>
      </c>
      <c r="C4037" s="1" t="str">
        <f>"DD2024102257737"</f>
        <v>DD2024102257737</v>
      </c>
      <c r="D4037" s="1" t="str">
        <f>"CK2024102250857"</f>
        <v>CK2024102250857</v>
      </c>
      <c r="E4037" s="1" t="str">
        <f>"3723469861173200129"</f>
        <v>3723469861173200129</v>
      </c>
      <c r="F4037" s="1" t="str">
        <f t="shared" ref="F4037:F4100" si="1302">"花都四部-凤凰仓"</f>
        <v>花都四部-凤凰仓</v>
      </c>
      <c r="G4037" s="1" t="str">
        <f t="shared" si="1285"/>
        <v>卡卡杜企业店（视频号）</v>
      </c>
      <c r="H4037" s="1" t="str">
        <f t="shared" ref="H4037:H4100" si="1303">"正常订单"</f>
        <v>正常订单</v>
      </c>
      <c r="I4037" s="1" t="str">
        <f t="shared" ref="I4037:I4100" si="1304">"已发货"</f>
        <v>已发货</v>
      </c>
      <c r="J4037" s="1" t="str">
        <f t="shared" si="1299"/>
        <v>3</v>
      </c>
      <c r="K4037" s="1">
        <v>2</v>
      </c>
      <c r="L4037" s="1" t="s">
        <v>16</v>
      </c>
      <c r="M4037" s="1" t="str">
        <f>"河北省 石家庄市 桥西区 "</f>
        <v xml:space="preserve">河北省 石家庄市 桥西区 </v>
      </c>
      <c r="N4037" s="1" t="str">
        <f t="shared" si="1296"/>
        <v>凡华云仓-城南圆通-微信视频号</v>
      </c>
      <c r="O4037" s="5" t="s">
        <v>4068</v>
      </c>
      <c r="P4037" s="6">
        <v>0.24</v>
      </c>
      <c r="Q4037" s="11">
        <v>2</v>
      </c>
      <c r="R4037" s="11"/>
      <c r="S4037" s="11"/>
      <c r="T4037" s="11"/>
      <c r="U4037" s="11">
        <f t="shared" si="1300"/>
        <v>2</v>
      </c>
      <c r="W4037">
        <v>2.2000000000000002</v>
      </c>
      <c r="X4037" s="1" t="s">
        <v>16</v>
      </c>
    </row>
    <row r="4038" spans="1:24" x14ac:dyDescent="0.25">
      <c r="A4038" s="1" t="str">
        <f t="shared" si="1301"/>
        <v>卡卡杜-凤凰仓</v>
      </c>
      <c r="B4038" s="1" t="str">
        <f>"CK20241022930"</f>
        <v>CK20241022930</v>
      </c>
      <c r="C4038" s="1" t="str">
        <f>"DD2024102257625"</f>
        <v>DD2024102257625</v>
      </c>
      <c r="D4038" s="1" t="str">
        <f>"CK2024102250856"</f>
        <v>CK2024102250856</v>
      </c>
      <c r="E4038" s="1" t="str">
        <f>"3723469860964274176"</f>
        <v>3723469860964274176</v>
      </c>
      <c r="F4038" s="1" t="str">
        <f t="shared" si="1302"/>
        <v>花都四部-凤凰仓</v>
      </c>
      <c r="G4038" s="1" t="str">
        <f t="shared" si="1285"/>
        <v>卡卡杜企业店（视频号）</v>
      </c>
      <c r="H4038" s="1" t="str">
        <f t="shared" si="1303"/>
        <v>正常订单</v>
      </c>
      <c r="I4038" s="1" t="str">
        <f t="shared" si="1304"/>
        <v>已发货</v>
      </c>
      <c r="J4038" s="1" t="str">
        <f>"2"</f>
        <v>2</v>
      </c>
      <c r="K4038" s="1">
        <v>2</v>
      </c>
      <c r="L4038" s="1" t="s">
        <v>18</v>
      </c>
      <c r="M4038" s="1" t="str">
        <f>"广东省 深圳市 宝安区 "</f>
        <v xml:space="preserve">广东省 深圳市 宝安区 </v>
      </c>
      <c r="N4038" s="1" t="str">
        <f t="shared" si="1296"/>
        <v>凡华云仓-城南圆通-微信视频号</v>
      </c>
      <c r="O4038" s="5" t="s">
        <v>4069</v>
      </c>
      <c r="P4038" s="6">
        <v>0.17</v>
      </c>
      <c r="Q4038" s="11">
        <v>2</v>
      </c>
      <c r="R4038" s="11"/>
      <c r="S4038" s="11"/>
      <c r="T4038" s="11"/>
      <c r="U4038" s="11">
        <f t="shared" si="1300"/>
        <v>2</v>
      </c>
      <c r="W4038">
        <v>2.2000000000000002</v>
      </c>
      <c r="X4038" s="1" t="s">
        <v>18</v>
      </c>
    </row>
    <row r="4039" spans="1:24" x14ac:dyDescent="0.25">
      <c r="A4039" s="1" t="str">
        <f t="shared" si="1301"/>
        <v>卡卡杜-凤凰仓</v>
      </c>
      <c r="B4039" s="1" t="str">
        <f>"CK20241022988"</f>
        <v>CK20241022988</v>
      </c>
      <c r="C4039" s="1" t="str">
        <f>"DD2024102257794"</f>
        <v>DD2024102257794</v>
      </c>
      <c r="D4039" s="1" t="str">
        <f>"CK2024102250855"</f>
        <v>CK2024102250855</v>
      </c>
      <c r="E4039" s="1" t="str">
        <f>"3723469856393528832"</f>
        <v>3723469856393528832</v>
      </c>
      <c r="F4039" s="1" t="str">
        <f t="shared" si="1302"/>
        <v>花都四部-凤凰仓</v>
      </c>
      <c r="G4039" s="1" t="str">
        <f t="shared" si="1285"/>
        <v>卡卡杜企业店（视频号）</v>
      </c>
      <c r="H4039" s="1" t="str">
        <f t="shared" si="1303"/>
        <v>正常订单</v>
      </c>
      <c r="I4039" s="1" t="str">
        <f t="shared" si="1304"/>
        <v>已发货</v>
      </c>
      <c r="J4039" s="1" t="str">
        <f t="shared" ref="J4039:J4042" si="1305">"3"</f>
        <v>3</v>
      </c>
      <c r="K4039" s="1">
        <v>2</v>
      </c>
      <c r="L4039" s="1" t="s">
        <v>54</v>
      </c>
      <c r="M4039" s="1" t="str">
        <f>"黑龙江省 鹤岗市 工农区 "</f>
        <v xml:space="preserve">黑龙江省 鹤岗市 工农区 </v>
      </c>
      <c r="N4039" s="1" t="str">
        <f t="shared" si="1296"/>
        <v>凡华云仓-城南圆通-微信视频号</v>
      </c>
      <c r="O4039" s="5" t="s">
        <v>4070</v>
      </c>
      <c r="P4039" s="6">
        <v>0.24</v>
      </c>
      <c r="Q4039" s="11">
        <v>2</v>
      </c>
      <c r="R4039" s="11"/>
      <c r="S4039" s="11"/>
      <c r="T4039" s="11"/>
      <c r="U4039" s="11">
        <f t="shared" si="1300"/>
        <v>2</v>
      </c>
      <c r="W4039">
        <v>2.2000000000000002</v>
      </c>
      <c r="X4039" s="1" t="s">
        <v>54</v>
      </c>
    </row>
    <row r="4040" spans="1:24" x14ac:dyDescent="0.25">
      <c r="A4040" s="1" t="str">
        <f t="shared" si="1301"/>
        <v>卡卡杜-凤凰仓</v>
      </c>
      <c r="B4040" s="1" t="str">
        <f>"CK20241022995"</f>
        <v>CK20241022995</v>
      </c>
      <c r="C4040" s="1" t="str">
        <f>"DD2024102257816"</f>
        <v>DD2024102257816</v>
      </c>
      <c r="D4040" s="1" t="str">
        <f>"CK2024102250854"</f>
        <v>CK2024102250854</v>
      </c>
      <c r="E4040" s="1" t="str">
        <f>"3723469856974443520"</f>
        <v>3723469856974443520</v>
      </c>
      <c r="F4040" s="1" t="str">
        <f t="shared" si="1302"/>
        <v>花都四部-凤凰仓</v>
      </c>
      <c r="G4040" s="1" t="str">
        <f t="shared" si="1285"/>
        <v>卡卡杜企业店（视频号）</v>
      </c>
      <c r="H4040" s="1" t="str">
        <f t="shared" si="1303"/>
        <v>正常订单</v>
      </c>
      <c r="I4040" s="1" t="str">
        <f t="shared" si="1304"/>
        <v>已发货</v>
      </c>
      <c r="J4040" s="1" t="str">
        <f t="shared" si="1305"/>
        <v>3</v>
      </c>
      <c r="K4040" s="1">
        <v>2</v>
      </c>
      <c r="L4040" s="1" t="s">
        <v>30</v>
      </c>
      <c r="M4040" s="1" t="str">
        <f>"山东省 青岛市 李沧区 "</f>
        <v xml:space="preserve">山东省 青岛市 李沧区 </v>
      </c>
      <c r="N4040" s="1" t="str">
        <f t="shared" si="1296"/>
        <v>凡华云仓-城南圆通-微信视频号</v>
      </c>
      <c r="O4040" s="5" t="s">
        <v>4071</v>
      </c>
      <c r="P4040" s="6">
        <v>0.24</v>
      </c>
      <c r="Q4040" s="11">
        <v>2</v>
      </c>
      <c r="R4040" s="11"/>
      <c r="S4040" s="11"/>
      <c r="T4040" s="11"/>
      <c r="U4040" s="11">
        <f t="shared" si="1300"/>
        <v>2</v>
      </c>
      <c r="W4040">
        <v>2.2000000000000002</v>
      </c>
      <c r="X4040" s="1" t="s">
        <v>30</v>
      </c>
    </row>
    <row r="4041" spans="1:24" x14ac:dyDescent="0.25">
      <c r="A4041" s="1" t="str">
        <f t="shared" si="1301"/>
        <v>卡卡杜-凤凰仓</v>
      </c>
      <c r="B4041" s="1" t="str">
        <f>"CK20241022452"</f>
        <v>CK20241022452</v>
      </c>
      <c r="C4041" s="1" t="str">
        <f>"DD2024102255417"</f>
        <v>DD2024102255417</v>
      </c>
      <c r="D4041" s="1" t="str">
        <f>"CK2024102250853"</f>
        <v>CK2024102250853</v>
      </c>
      <c r="E4041" s="1" t="str">
        <f>"3723469857697436672"</f>
        <v>3723469857697436672</v>
      </c>
      <c r="F4041" s="1" t="str">
        <f t="shared" si="1302"/>
        <v>花都四部-凤凰仓</v>
      </c>
      <c r="G4041" s="1" t="str">
        <f t="shared" si="1285"/>
        <v>卡卡杜企业店（视频号）</v>
      </c>
      <c r="H4041" s="1" t="str">
        <f t="shared" si="1303"/>
        <v>正常订单</v>
      </c>
      <c r="I4041" s="1" t="str">
        <f t="shared" si="1304"/>
        <v>已发货</v>
      </c>
      <c r="J4041" s="1" t="str">
        <f t="shared" si="1305"/>
        <v>3</v>
      </c>
      <c r="K4041" s="1">
        <v>3</v>
      </c>
      <c r="L4041" s="1" t="s">
        <v>36</v>
      </c>
      <c r="M4041" s="1" t="str">
        <f>"安徽省 阜阳市 颍泉区 "</f>
        <v xml:space="preserve">安徽省 阜阳市 颍泉区 </v>
      </c>
      <c r="N4041" s="1" t="str">
        <f t="shared" si="1296"/>
        <v>凡华云仓-城南圆通-微信视频号</v>
      </c>
      <c r="O4041" s="5" t="s">
        <v>4072</v>
      </c>
      <c r="P4041" s="6">
        <v>0.34</v>
      </c>
      <c r="Q4041" s="11">
        <v>2.2999999999999998</v>
      </c>
      <c r="R4041" s="11"/>
      <c r="S4041" s="11"/>
      <c r="T4041" s="11"/>
      <c r="U4041" s="11">
        <f t="shared" si="1300"/>
        <v>2.2999999999999998</v>
      </c>
      <c r="W4041">
        <v>2.5</v>
      </c>
      <c r="X4041" s="1" t="s">
        <v>36</v>
      </c>
    </row>
    <row r="4042" spans="1:24" x14ac:dyDescent="0.25">
      <c r="A4042" s="1" t="str">
        <f t="shared" si="1301"/>
        <v>卡卡杜-凤凰仓</v>
      </c>
      <c r="B4042" s="1" t="str">
        <f>"CK20241022999"</f>
        <v>CK20241022999</v>
      </c>
      <c r="C4042" s="1" t="str">
        <f>"DD2024102257829"</f>
        <v>DD2024102257829</v>
      </c>
      <c r="D4042" s="1" t="str">
        <f>"CK2024102250852"</f>
        <v>CK2024102250852</v>
      </c>
      <c r="E4042" s="1" t="str">
        <f>"3723469855612866560"</f>
        <v>3723469855612866560</v>
      </c>
      <c r="F4042" s="1" t="str">
        <f t="shared" si="1302"/>
        <v>花都四部-凤凰仓</v>
      </c>
      <c r="G4042" s="1" t="str">
        <f t="shared" si="1285"/>
        <v>卡卡杜企业店（视频号）</v>
      </c>
      <c r="H4042" s="1" t="str">
        <f t="shared" si="1303"/>
        <v>正常订单</v>
      </c>
      <c r="I4042" s="1" t="str">
        <f t="shared" si="1304"/>
        <v>已发货</v>
      </c>
      <c r="J4042" s="1" t="str">
        <f t="shared" si="1305"/>
        <v>3</v>
      </c>
      <c r="K4042" s="1">
        <v>2</v>
      </c>
      <c r="L4042" s="1" t="s">
        <v>18</v>
      </c>
      <c r="M4042" s="1" t="str">
        <f>"广东省 深圳市 福田区 "</f>
        <v xml:space="preserve">广东省 深圳市 福田区 </v>
      </c>
      <c r="N4042" s="1" t="str">
        <f t="shared" si="1296"/>
        <v>凡华云仓-城南圆通-微信视频号</v>
      </c>
      <c r="O4042" s="5" t="s">
        <v>4073</v>
      </c>
      <c r="P4042" s="6">
        <v>0.24</v>
      </c>
      <c r="Q4042" s="11">
        <v>2</v>
      </c>
      <c r="R4042" s="11"/>
      <c r="S4042" s="11"/>
      <c r="T4042" s="11"/>
      <c r="U4042" s="11">
        <f t="shared" si="1300"/>
        <v>2</v>
      </c>
      <c r="W4042">
        <v>2.2000000000000002</v>
      </c>
      <c r="X4042" s="1" t="s">
        <v>18</v>
      </c>
    </row>
    <row r="4043" spans="1:24" x14ac:dyDescent="0.25">
      <c r="A4043" s="1" t="str">
        <f t="shared" si="1301"/>
        <v>卡卡杜-凤凰仓</v>
      </c>
      <c r="B4043" s="1" t="str">
        <f>"CK20241022813"</f>
        <v>CK20241022813</v>
      </c>
      <c r="C4043" s="1" t="str">
        <f>"DD2024102257180"</f>
        <v>DD2024102257180</v>
      </c>
      <c r="D4043" s="1" t="str">
        <f>"CK2024102250851"</f>
        <v>CK2024102250851</v>
      </c>
      <c r="E4043" s="1" t="str">
        <f>"3723469835667640320"</f>
        <v>3723469835667640320</v>
      </c>
      <c r="F4043" s="1" t="str">
        <f t="shared" si="1302"/>
        <v>花都四部-凤凰仓</v>
      </c>
      <c r="G4043" s="1" t="str">
        <f t="shared" si="1285"/>
        <v>卡卡杜企业店（视频号）</v>
      </c>
      <c r="H4043" s="1" t="str">
        <f t="shared" si="1303"/>
        <v>正常订单</v>
      </c>
      <c r="I4043" s="1" t="str">
        <f t="shared" si="1304"/>
        <v>已发货</v>
      </c>
      <c r="J4043" s="1" t="str">
        <f t="shared" ref="J4043:J4047" si="1306">"2"</f>
        <v>2</v>
      </c>
      <c r="K4043" s="1">
        <v>2</v>
      </c>
      <c r="L4043" s="1" t="s">
        <v>74</v>
      </c>
      <c r="M4043" s="1" t="str">
        <f>"上海 上海市 长宁区 "</f>
        <v xml:space="preserve">上海 上海市 长宁区 </v>
      </c>
      <c r="N4043" s="1" t="str">
        <f t="shared" si="1296"/>
        <v>凡华云仓-城南圆通-微信视频号</v>
      </c>
      <c r="O4043" s="5" t="s">
        <v>4074</v>
      </c>
      <c r="P4043" s="6">
        <v>0.17</v>
      </c>
      <c r="Q4043" s="11">
        <v>2</v>
      </c>
      <c r="R4043" s="11"/>
      <c r="S4043" s="11"/>
      <c r="T4043" s="11"/>
      <c r="U4043" s="11">
        <f t="shared" si="1300"/>
        <v>2</v>
      </c>
      <c r="W4043">
        <v>2.2000000000000002</v>
      </c>
      <c r="X4043" s="1" t="s">
        <v>74</v>
      </c>
    </row>
    <row r="4044" spans="1:24" x14ac:dyDescent="0.25">
      <c r="A4044" s="1" t="str">
        <f t="shared" si="1301"/>
        <v>卡卡杜-凤凰仓</v>
      </c>
      <c r="B4044" s="1" t="str">
        <f>"CK20241022819"</f>
        <v>CK20241022819</v>
      </c>
      <c r="C4044" s="1" t="str">
        <f>"DD2024102257200"</f>
        <v>DD2024102257200</v>
      </c>
      <c r="D4044" s="1" t="str">
        <f>"CK2024102250850"</f>
        <v>CK2024102250850</v>
      </c>
      <c r="E4044" s="1" t="str">
        <f>"3723469799539213568"</f>
        <v>3723469799539213568</v>
      </c>
      <c r="F4044" s="1" t="str">
        <f t="shared" si="1302"/>
        <v>花都四部-凤凰仓</v>
      </c>
      <c r="G4044" s="1" t="str">
        <f t="shared" si="1285"/>
        <v>卡卡杜企业店（视频号）</v>
      </c>
      <c r="H4044" s="1" t="str">
        <f t="shared" si="1303"/>
        <v>正常订单</v>
      </c>
      <c r="I4044" s="1" t="str">
        <f t="shared" si="1304"/>
        <v>已发货</v>
      </c>
      <c r="J4044" s="1" t="str">
        <f t="shared" si="1306"/>
        <v>2</v>
      </c>
      <c r="K4044" s="1">
        <v>2</v>
      </c>
      <c r="L4044" s="1" t="s">
        <v>18</v>
      </c>
      <c r="M4044" s="1" t="str">
        <f>"广东省 珠海市 香洲区 "</f>
        <v xml:space="preserve">广东省 珠海市 香洲区 </v>
      </c>
      <c r="N4044" s="1" t="str">
        <f t="shared" si="1296"/>
        <v>凡华云仓-城南圆通-微信视频号</v>
      </c>
      <c r="O4044" s="5" t="s">
        <v>4075</v>
      </c>
      <c r="P4044" s="6">
        <v>0.17</v>
      </c>
      <c r="Q4044" s="11">
        <v>2</v>
      </c>
      <c r="R4044" s="11"/>
      <c r="S4044" s="11"/>
      <c r="T4044" s="11"/>
      <c r="U4044" s="11">
        <f t="shared" si="1300"/>
        <v>2</v>
      </c>
      <c r="W4044">
        <v>2.2000000000000002</v>
      </c>
      <c r="X4044" s="1" t="s">
        <v>18</v>
      </c>
    </row>
    <row r="4045" spans="1:24" x14ac:dyDescent="0.25">
      <c r="A4045" s="1" t="str">
        <f t="shared" si="1301"/>
        <v>卡卡杜-凤凰仓</v>
      </c>
      <c r="B4045" s="1" t="str">
        <f>"CK20241022318"</f>
        <v>CK20241022318</v>
      </c>
      <c r="C4045" s="1" t="str">
        <f>"DD2024102253910"</f>
        <v>DD2024102253910</v>
      </c>
      <c r="D4045" s="1" t="str">
        <f>"CK2024102250849"</f>
        <v>CK2024102250849</v>
      </c>
      <c r="E4045" s="1" t="str">
        <f>"3723469836742428160"</f>
        <v>3723469836742428160</v>
      </c>
      <c r="F4045" s="1" t="str">
        <f t="shared" si="1302"/>
        <v>花都四部-凤凰仓</v>
      </c>
      <c r="G4045" s="1" t="str">
        <f t="shared" si="1285"/>
        <v>卡卡杜企业店（视频号）</v>
      </c>
      <c r="H4045" s="1" t="str">
        <f t="shared" si="1303"/>
        <v>正常订单</v>
      </c>
      <c r="I4045" s="1" t="str">
        <f t="shared" si="1304"/>
        <v>已发货</v>
      </c>
      <c r="J4045" s="1" t="str">
        <f>"13"</f>
        <v>13</v>
      </c>
      <c r="K4045" s="1">
        <v>7</v>
      </c>
      <c r="L4045" s="1" t="s">
        <v>80</v>
      </c>
      <c r="M4045" s="1" t="str">
        <f>"河南省 郑州市 金水区 "</f>
        <v xml:space="preserve">河南省 郑州市 金水区 </v>
      </c>
      <c r="N4045" s="1" t="str">
        <f t="shared" si="1296"/>
        <v>凡华云仓-城南圆通-微信视频号</v>
      </c>
      <c r="O4045" s="5" t="s">
        <v>4076</v>
      </c>
      <c r="P4045" s="6">
        <v>1.02</v>
      </c>
      <c r="Q4045" s="11">
        <f>CEILING(P4045-0.5,0.1)*10*0.15+2.3</f>
        <v>3.2</v>
      </c>
      <c r="R4045" s="11">
        <f>(K4045-3)*0.1</f>
        <v>0.4</v>
      </c>
      <c r="S4045" s="11"/>
      <c r="T4045" s="11"/>
      <c r="U4045" s="11">
        <f t="shared" si="1300"/>
        <v>3.6</v>
      </c>
      <c r="V4045" t="s">
        <v>15</v>
      </c>
      <c r="W4045">
        <v>3.6</v>
      </c>
      <c r="X4045" s="1" t="s">
        <v>80</v>
      </c>
    </row>
    <row r="4046" spans="1:24" x14ac:dyDescent="0.25">
      <c r="A4046" s="1" t="str">
        <f t="shared" si="1301"/>
        <v>卡卡杜-凤凰仓</v>
      </c>
      <c r="B4046" s="1" t="str">
        <f>"CK20241022933"</f>
        <v>CK20241022933</v>
      </c>
      <c r="C4046" s="1" t="str">
        <f>"DD2024102257635"</f>
        <v>DD2024102257635</v>
      </c>
      <c r="D4046" s="1" t="str">
        <f>"CK2024102250848"</f>
        <v>CK2024102250848</v>
      </c>
      <c r="E4046" s="1" t="str">
        <f>"3723469836438605824"</f>
        <v>3723469836438605824</v>
      </c>
      <c r="F4046" s="1" t="str">
        <f t="shared" si="1302"/>
        <v>花都四部-凤凰仓</v>
      </c>
      <c r="G4046" s="1" t="str">
        <f t="shared" ref="G4046:G4109" si="1307">"卡卡杜企业店（视频号）"</f>
        <v>卡卡杜企业店（视频号）</v>
      </c>
      <c r="H4046" s="1" t="str">
        <f t="shared" si="1303"/>
        <v>正常订单</v>
      </c>
      <c r="I4046" s="1" t="str">
        <f t="shared" si="1304"/>
        <v>已发货</v>
      </c>
      <c r="J4046" s="1" t="str">
        <f t="shared" si="1306"/>
        <v>2</v>
      </c>
      <c r="K4046" s="1">
        <v>2</v>
      </c>
      <c r="L4046" s="1" t="s">
        <v>20</v>
      </c>
      <c r="M4046" s="1" t="str">
        <f>"浙江省 宁波市 鄞州区 "</f>
        <v xml:space="preserve">浙江省 宁波市 鄞州区 </v>
      </c>
      <c r="N4046" s="1" t="str">
        <f t="shared" si="1296"/>
        <v>凡华云仓-城南圆通-微信视频号</v>
      </c>
      <c r="O4046" s="5" t="s">
        <v>4077</v>
      </c>
      <c r="P4046" s="6">
        <v>0.17</v>
      </c>
      <c r="Q4046" s="11">
        <v>2</v>
      </c>
      <c r="R4046" s="11"/>
      <c r="S4046" s="11"/>
      <c r="T4046" s="11"/>
      <c r="U4046" s="11">
        <f t="shared" si="1300"/>
        <v>2</v>
      </c>
      <c r="W4046">
        <v>2.2000000000000002</v>
      </c>
      <c r="X4046" s="1" t="s">
        <v>20</v>
      </c>
    </row>
    <row r="4047" spans="1:24" x14ac:dyDescent="0.25">
      <c r="A4047" s="1" t="str">
        <f t="shared" si="1301"/>
        <v>卡卡杜-凤凰仓</v>
      </c>
      <c r="B4047" s="1" t="str">
        <f>"CK20241022829"</f>
        <v>CK20241022829</v>
      </c>
      <c r="C4047" s="1" t="str">
        <f>"DD2024102257236"</f>
        <v>DD2024102257236</v>
      </c>
      <c r="D4047" s="1" t="str">
        <f>"CK2024102250847"</f>
        <v>CK2024102250847</v>
      </c>
      <c r="E4047" s="1" t="str">
        <f>"3723469834117055744"</f>
        <v>3723469834117055744</v>
      </c>
      <c r="F4047" s="1" t="str">
        <f t="shared" si="1302"/>
        <v>花都四部-凤凰仓</v>
      </c>
      <c r="G4047" s="1" t="str">
        <f t="shared" si="1307"/>
        <v>卡卡杜企业店（视频号）</v>
      </c>
      <c r="H4047" s="1" t="str">
        <f t="shared" si="1303"/>
        <v>正常订单</v>
      </c>
      <c r="I4047" s="1" t="str">
        <f t="shared" si="1304"/>
        <v>已发货</v>
      </c>
      <c r="J4047" s="1" t="str">
        <f t="shared" si="1306"/>
        <v>2</v>
      </c>
      <c r="K4047" s="1">
        <v>2</v>
      </c>
      <c r="L4047" s="1" t="s">
        <v>47</v>
      </c>
      <c r="M4047" s="1" t="str">
        <f>"重庆 重庆市 沙坪坝区 "</f>
        <v xml:space="preserve">重庆 重庆市 沙坪坝区 </v>
      </c>
      <c r="N4047" s="1" t="str">
        <f t="shared" si="1296"/>
        <v>凡华云仓-城南圆通-微信视频号</v>
      </c>
      <c r="O4047" s="5" t="s">
        <v>4078</v>
      </c>
      <c r="P4047" s="6">
        <v>0.17</v>
      </c>
      <c r="Q4047" s="11">
        <v>2</v>
      </c>
      <c r="R4047" s="11"/>
      <c r="S4047" s="11"/>
      <c r="T4047" s="11"/>
      <c r="U4047" s="11">
        <f t="shared" si="1300"/>
        <v>2</v>
      </c>
      <c r="W4047">
        <v>2.2000000000000002</v>
      </c>
      <c r="X4047" s="1" t="s">
        <v>47</v>
      </c>
    </row>
    <row r="4048" spans="1:24" x14ac:dyDescent="0.25">
      <c r="A4048" s="1" t="str">
        <f t="shared" si="1301"/>
        <v>卡卡杜-凤凰仓</v>
      </c>
      <c r="B4048" s="1" t="str">
        <f>"CK20241022996"</f>
        <v>CK20241022996</v>
      </c>
      <c r="C4048" s="1" t="str">
        <f>"DD2024102257821"</f>
        <v>DD2024102257821</v>
      </c>
      <c r="D4048" s="1" t="str">
        <f>"CK2024102250846"</f>
        <v>CK2024102250846</v>
      </c>
      <c r="E4048" s="1" t="str">
        <f>"3723469831103975424"</f>
        <v>3723469831103975424</v>
      </c>
      <c r="F4048" s="1" t="str">
        <f t="shared" si="1302"/>
        <v>花都四部-凤凰仓</v>
      </c>
      <c r="G4048" s="1" t="str">
        <f t="shared" si="1307"/>
        <v>卡卡杜企业店（视频号）</v>
      </c>
      <c r="H4048" s="1" t="str">
        <f t="shared" si="1303"/>
        <v>正常订单</v>
      </c>
      <c r="I4048" s="1" t="str">
        <f t="shared" si="1304"/>
        <v>已发货</v>
      </c>
      <c r="J4048" s="1" t="str">
        <f t="shared" ref="J4048:J4053" si="1308">"3"</f>
        <v>3</v>
      </c>
      <c r="K4048" s="1">
        <v>2</v>
      </c>
      <c r="L4048" s="1" t="s">
        <v>27</v>
      </c>
      <c r="M4048" s="1" t="str">
        <f>"贵州省 黔西南布依族苗族自治州 兴义市 "</f>
        <v xml:space="preserve">贵州省 黔西南布依族苗族自治州 兴义市 </v>
      </c>
      <c r="N4048" s="1" t="str">
        <f t="shared" si="1296"/>
        <v>凡华云仓-城南圆通-微信视频号</v>
      </c>
      <c r="O4048" s="5" t="s">
        <v>4079</v>
      </c>
      <c r="P4048" s="6">
        <v>0.24</v>
      </c>
      <c r="Q4048" s="11">
        <v>2</v>
      </c>
      <c r="R4048" s="11"/>
      <c r="S4048" s="11"/>
      <c r="T4048" s="11"/>
      <c r="U4048" s="11">
        <f t="shared" si="1300"/>
        <v>2</v>
      </c>
      <c r="W4048">
        <v>2.2000000000000002</v>
      </c>
      <c r="X4048" s="1" t="s">
        <v>27</v>
      </c>
    </row>
    <row r="4049" spans="1:24" x14ac:dyDescent="0.25">
      <c r="A4049" s="1" t="str">
        <f t="shared" si="1301"/>
        <v>卡卡杜-凤凰仓</v>
      </c>
      <c r="B4049" s="1" t="str">
        <f>"CK20241022743"</f>
        <v>CK20241022743</v>
      </c>
      <c r="C4049" s="1" t="str">
        <f>"DD2024102257045"</f>
        <v>DD2024102257045</v>
      </c>
      <c r="D4049" s="1" t="str">
        <f>"CK2024102250845"</f>
        <v>CK2024102250845</v>
      </c>
      <c r="E4049" s="1" t="str">
        <f>"3723469830432885760"</f>
        <v>3723469830432885760</v>
      </c>
      <c r="F4049" s="1" t="str">
        <f t="shared" si="1302"/>
        <v>花都四部-凤凰仓</v>
      </c>
      <c r="G4049" s="1" t="str">
        <f t="shared" si="1307"/>
        <v>卡卡杜企业店（视频号）</v>
      </c>
      <c r="H4049" s="1" t="str">
        <f t="shared" si="1303"/>
        <v>正常订单</v>
      </c>
      <c r="I4049" s="1" t="str">
        <f t="shared" si="1304"/>
        <v>已发货</v>
      </c>
      <c r="J4049" s="1" t="str">
        <f t="shared" si="1308"/>
        <v>3</v>
      </c>
      <c r="K4049" s="1">
        <v>2</v>
      </c>
      <c r="L4049" s="1" t="s">
        <v>161</v>
      </c>
      <c r="M4049" s="1" t="str">
        <f>"四川省 成都市 温江区 "</f>
        <v xml:space="preserve">四川省 成都市 温江区 </v>
      </c>
      <c r="N4049" s="1" t="str">
        <f t="shared" si="1296"/>
        <v>凡华云仓-城南圆通-微信视频号</v>
      </c>
      <c r="O4049" s="5" t="s">
        <v>4080</v>
      </c>
      <c r="P4049" s="6">
        <v>0.24</v>
      </c>
      <c r="Q4049" s="11">
        <v>2</v>
      </c>
      <c r="R4049" s="11"/>
      <c r="S4049" s="11"/>
      <c r="T4049" s="11"/>
      <c r="U4049" s="11">
        <f t="shared" si="1300"/>
        <v>2</v>
      </c>
      <c r="W4049">
        <v>2.2000000000000002</v>
      </c>
      <c r="X4049" s="1" t="s">
        <v>161</v>
      </c>
    </row>
    <row r="4050" spans="1:24" x14ac:dyDescent="0.25">
      <c r="A4050" s="1" t="str">
        <f t="shared" si="1301"/>
        <v>卡卡杜-凤凰仓</v>
      </c>
      <c r="B4050" s="1" t="str">
        <f>"CK20241022708"</f>
        <v>CK20241022708</v>
      </c>
      <c r="C4050" s="1" t="str">
        <f>"DD2024102257010"</f>
        <v>DD2024102257010</v>
      </c>
      <c r="D4050" s="1" t="str">
        <f>"CK2024102250844"</f>
        <v>CK2024102250844</v>
      </c>
      <c r="E4050" s="1" t="str">
        <f>"3723469828131783936"</f>
        <v>3723469828131783936</v>
      </c>
      <c r="F4050" s="1" t="str">
        <f t="shared" si="1302"/>
        <v>花都四部-凤凰仓</v>
      </c>
      <c r="G4050" s="1" t="str">
        <f t="shared" si="1307"/>
        <v>卡卡杜企业店（视频号）</v>
      </c>
      <c r="H4050" s="1" t="str">
        <f t="shared" si="1303"/>
        <v>正常订单</v>
      </c>
      <c r="I4050" s="1" t="str">
        <f t="shared" si="1304"/>
        <v>已发货</v>
      </c>
      <c r="J4050" s="1" t="str">
        <f>"2"</f>
        <v>2</v>
      </c>
      <c r="K4050" s="1">
        <v>2</v>
      </c>
      <c r="L4050" s="1" t="s">
        <v>218</v>
      </c>
      <c r="M4050" s="1" t="str">
        <f>"天津 天津市 南开区 "</f>
        <v xml:space="preserve">天津 天津市 南开区 </v>
      </c>
      <c r="N4050" s="1" t="str">
        <f t="shared" si="1296"/>
        <v>凡华云仓-城南圆通-微信视频号</v>
      </c>
      <c r="O4050" s="5" t="s">
        <v>4081</v>
      </c>
      <c r="P4050" s="6">
        <v>0.17</v>
      </c>
      <c r="Q4050" s="11">
        <v>2</v>
      </c>
      <c r="R4050" s="11"/>
      <c r="S4050" s="11"/>
      <c r="T4050" s="11"/>
      <c r="U4050" s="11">
        <f t="shared" si="1300"/>
        <v>2</v>
      </c>
      <c r="W4050">
        <v>2.2000000000000002</v>
      </c>
      <c r="X4050" s="1" t="s">
        <v>218</v>
      </c>
    </row>
    <row r="4051" spans="1:24" x14ac:dyDescent="0.25">
      <c r="A4051" s="1" t="str">
        <f t="shared" si="1301"/>
        <v>卡卡杜-凤凰仓</v>
      </c>
      <c r="B4051" s="1" t="str">
        <f>"CK20241022758"</f>
        <v>CK20241022758</v>
      </c>
      <c r="C4051" s="1" t="str">
        <f>"DD2024102257061"</f>
        <v>DD2024102257061</v>
      </c>
      <c r="D4051" s="1" t="str">
        <f>"CK2024102250843"</f>
        <v>CK2024102250843</v>
      </c>
      <c r="E4051" s="1" t="str">
        <f>"3723469829403710464"</f>
        <v>3723469829403710464</v>
      </c>
      <c r="F4051" s="1" t="str">
        <f t="shared" si="1302"/>
        <v>花都四部-凤凰仓</v>
      </c>
      <c r="G4051" s="1" t="str">
        <f t="shared" si="1307"/>
        <v>卡卡杜企业店（视频号）</v>
      </c>
      <c r="H4051" s="1" t="str">
        <f t="shared" si="1303"/>
        <v>正常订单</v>
      </c>
      <c r="I4051" s="1" t="str">
        <f t="shared" si="1304"/>
        <v>已发货</v>
      </c>
      <c r="J4051" s="1" t="str">
        <f t="shared" si="1308"/>
        <v>3</v>
      </c>
      <c r="K4051" s="1">
        <v>2</v>
      </c>
      <c r="L4051" s="1" t="s">
        <v>105</v>
      </c>
      <c r="M4051" s="1" t="str">
        <f>"北京 北京市 海淀区 "</f>
        <v xml:space="preserve">北京 北京市 海淀区 </v>
      </c>
      <c r="N4051" s="1" t="str">
        <f t="shared" si="1296"/>
        <v>凡华云仓-城南圆通-微信视频号</v>
      </c>
      <c r="O4051" s="5" t="s">
        <v>4082</v>
      </c>
      <c r="P4051" s="6">
        <v>0.24</v>
      </c>
      <c r="Q4051" s="11">
        <v>2</v>
      </c>
      <c r="R4051" s="11"/>
      <c r="S4051" s="11"/>
      <c r="T4051" s="11"/>
      <c r="U4051" s="11">
        <f t="shared" si="1300"/>
        <v>2</v>
      </c>
      <c r="W4051">
        <v>2.2000000000000002</v>
      </c>
      <c r="X4051" s="1" t="s">
        <v>105</v>
      </c>
    </row>
    <row r="4052" spans="1:24" x14ac:dyDescent="0.25">
      <c r="A4052" s="1" t="str">
        <f t="shared" si="1301"/>
        <v>卡卡杜-凤凰仓</v>
      </c>
      <c r="B4052" s="1" t="str">
        <f>"CK20241022319"</f>
        <v>CK20241022319</v>
      </c>
      <c r="C4052" s="1" t="str">
        <f>"DD2024102253911"</f>
        <v>DD2024102253911</v>
      </c>
      <c r="D4052" s="1" t="str">
        <f>"CK2024102250842"</f>
        <v>CK2024102250842</v>
      </c>
      <c r="E4052" s="1" t="str">
        <f>"3723469771368957440"</f>
        <v>3723469771368957440</v>
      </c>
      <c r="F4052" s="1" t="str">
        <f t="shared" si="1302"/>
        <v>花都四部-凤凰仓</v>
      </c>
      <c r="G4052" s="1" t="str">
        <f t="shared" si="1307"/>
        <v>卡卡杜企业店（视频号）</v>
      </c>
      <c r="H4052" s="1" t="str">
        <f t="shared" si="1303"/>
        <v>正常订单</v>
      </c>
      <c r="I4052" s="1" t="str">
        <f t="shared" si="1304"/>
        <v>已发货</v>
      </c>
      <c r="J4052" s="1" t="str">
        <f t="shared" si="1308"/>
        <v>3</v>
      </c>
      <c r="K4052" s="1">
        <v>3</v>
      </c>
      <c r="L4052" s="1" t="s">
        <v>218</v>
      </c>
      <c r="M4052" s="1" t="str">
        <f>"天津 天津市 红桥区 "</f>
        <v xml:space="preserve">天津 天津市 红桥区 </v>
      </c>
      <c r="N4052" s="1" t="str">
        <f t="shared" si="1296"/>
        <v>凡华云仓-城南圆通-微信视频号</v>
      </c>
      <c r="O4052" s="5" t="s">
        <v>4083</v>
      </c>
      <c r="P4052" s="6">
        <v>0.34</v>
      </c>
      <c r="Q4052" s="11">
        <v>2.2999999999999998</v>
      </c>
      <c r="R4052" s="11"/>
      <c r="S4052" s="11"/>
      <c r="T4052" s="11"/>
      <c r="U4052" s="11">
        <f t="shared" si="1300"/>
        <v>2.2999999999999998</v>
      </c>
      <c r="W4052">
        <v>2.5</v>
      </c>
      <c r="X4052" s="1" t="s">
        <v>218</v>
      </c>
    </row>
    <row r="4053" spans="1:24" x14ac:dyDescent="0.25">
      <c r="A4053" s="1" t="str">
        <f t="shared" si="1301"/>
        <v>卡卡杜-凤凰仓</v>
      </c>
      <c r="B4053" s="1" t="str">
        <f>"CK20241022325"</f>
        <v>CK20241022325</v>
      </c>
      <c r="C4053" s="1" t="str">
        <f>"DD2024102253925"</f>
        <v>DD2024102253925</v>
      </c>
      <c r="D4053" s="1" t="str">
        <f>"CK2024102250841"</f>
        <v>CK2024102250841</v>
      </c>
      <c r="E4053" s="1" t="str">
        <f>"3723469706440609792"</f>
        <v>3723469706440609792</v>
      </c>
      <c r="F4053" s="1" t="str">
        <f t="shared" si="1302"/>
        <v>花都四部-凤凰仓</v>
      </c>
      <c r="G4053" s="1" t="str">
        <f t="shared" si="1307"/>
        <v>卡卡杜企业店（视频号）</v>
      </c>
      <c r="H4053" s="1" t="str">
        <f t="shared" si="1303"/>
        <v>正常订单</v>
      </c>
      <c r="I4053" s="1" t="str">
        <f t="shared" si="1304"/>
        <v>已发货</v>
      </c>
      <c r="J4053" s="1" t="str">
        <f t="shared" si="1308"/>
        <v>3</v>
      </c>
      <c r="K4053" s="1">
        <v>3</v>
      </c>
      <c r="L4053" s="1" t="s">
        <v>105</v>
      </c>
      <c r="M4053" s="1" t="str">
        <f>"北京 北京市 顺义区 "</f>
        <v xml:space="preserve">北京 北京市 顺义区 </v>
      </c>
      <c r="N4053" s="1" t="str">
        <f t="shared" si="1296"/>
        <v>凡华云仓-城南圆通-微信视频号</v>
      </c>
      <c r="O4053" s="5" t="s">
        <v>4084</v>
      </c>
      <c r="P4053" s="6">
        <v>0.34</v>
      </c>
      <c r="Q4053" s="11">
        <v>2.2999999999999998</v>
      </c>
      <c r="R4053" s="11"/>
      <c r="S4053" s="11"/>
      <c r="T4053" s="11"/>
      <c r="U4053" s="11">
        <f t="shared" si="1300"/>
        <v>2.2999999999999998</v>
      </c>
      <c r="W4053">
        <v>2.5</v>
      </c>
      <c r="X4053" s="1" t="s">
        <v>105</v>
      </c>
    </row>
    <row r="4054" spans="1:24" x14ac:dyDescent="0.25">
      <c r="A4054" s="1" t="str">
        <f t="shared" si="1301"/>
        <v>卡卡杜-凤凰仓</v>
      </c>
      <c r="B4054" s="1" t="str">
        <f>"CK20241022321"</f>
        <v>CK20241022321</v>
      </c>
      <c r="C4054" s="1" t="str">
        <f>"DD2024102253915"</f>
        <v>DD2024102253915</v>
      </c>
      <c r="D4054" s="1" t="str">
        <f>"CK2024102250840"</f>
        <v>CK2024102250840</v>
      </c>
      <c r="E4054" s="1" t="str">
        <f>"3723469725449718784"</f>
        <v>3723469725449718784</v>
      </c>
      <c r="F4054" s="1" t="str">
        <f t="shared" si="1302"/>
        <v>花都四部-凤凰仓</v>
      </c>
      <c r="G4054" s="1" t="str">
        <f t="shared" si="1307"/>
        <v>卡卡杜企业店（视频号）</v>
      </c>
      <c r="H4054" s="1" t="str">
        <f t="shared" si="1303"/>
        <v>正常订单</v>
      </c>
      <c r="I4054" s="1" t="str">
        <f t="shared" si="1304"/>
        <v>已发货</v>
      </c>
      <c r="J4054" s="1" t="str">
        <f t="shared" ref="J4054:J4056" si="1309">"5"</f>
        <v>5</v>
      </c>
      <c r="K4054" s="1">
        <v>3</v>
      </c>
      <c r="L4054" s="1" t="s">
        <v>105</v>
      </c>
      <c r="M4054" s="1" t="str">
        <f>"北京 北京市 朝阳区 "</f>
        <v xml:space="preserve">北京 北京市 朝阳区 </v>
      </c>
      <c r="N4054" s="1" t="str">
        <f t="shared" si="1296"/>
        <v>凡华云仓-城南圆通-微信视频号</v>
      </c>
      <c r="O4054" s="5" t="s">
        <v>4085</v>
      </c>
      <c r="P4054" s="6">
        <v>0.56000000000000005</v>
      </c>
      <c r="Q4054" s="11">
        <f t="shared" ref="Q4054:Q4056" si="1310">CEILING(P4054-0.5,0.1)*10*0.15+2.3</f>
        <v>2.4499999999999997</v>
      </c>
      <c r="R4054" s="11"/>
      <c r="S4054" s="11"/>
      <c r="T4054" s="11"/>
      <c r="U4054" s="11">
        <f t="shared" si="1300"/>
        <v>2.4499999999999997</v>
      </c>
      <c r="V4054" t="s">
        <v>15</v>
      </c>
      <c r="W4054">
        <v>2.4500000000000002</v>
      </c>
      <c r="X4054" s="1" t="s">
        <v>105</v>
      </c>
    </row>
    <row r="4055" spans="1:24" x14ac:dyDescent="0.25">
      <c r="A4055" s="1" t="str">
        <f t="shared" si="1301"/>
        <v>卡卡杜-凤凰仓</v>
      </c>
      <c r="B4055" s="1" t="str">
        <f>"CK20241022320"</f>
        <v>CK20241022320</v>
      </c>
      <c r="C4055" s="1" t="str">
        <f>"DD2024102253914"</f>
        <v>DD2024102253914</v>
      </c>
      <c r="D4055" s="1" t="str">
        <f>"CK2024102250839"</f>
        <v>CK2024102250839</v>
      </c>
      <c r="E4055" s="1" t="str">
        <f>"3723469734061412352"</f>
        <v>3723469734061412352</v>
      </c>
      <c r="F4055" s="1" t="str">
        <f t="shared" si="1302"/>
        <v>花都四部-凤凰仓</v>
      </c>
      <c r="G4055" s="1" t="str">
        <f t="shared" si="1307"/>
        <v>卡卡杜企业店（视频号）</v>
      </c>
      <c r="H4055" s="1" t="str">
        <f t="shared" si="1303"/>
        <v>正常订单</v>
      </c>
      <c r="I4055" s="1" t="str">
        <f t="shared" si="1304"/>
        <v>已发货</v>
      </c>
      <c r="J4055" s="1" t="str">
        <f t="shared" si="1309"/>
        <v>5</v>
      </c>
      <c r="K4055" s="1">
        <v>3</v>
      </c>
      <c r="L4055" s="1" t="s">
        <v>74</v>
      </c>
      <c r="M4055" s="1" t="str">
        <f>"上海 上海市 宝山区 "</f>
        <v xml:space="preserve">上海 上海市 宝山区 </v>
      </c>
      <c r="N4055" s="1" t="str">
        <f t="shared" si="1296"/>
        <v>凡华云仓-城南圆通-微信视频号</v>
      </c>
      <c r="O4055" s="5" t="s">
        <v>4086</v>
      </c>
      <c r="P4055" s="6">
        <v>0.56000000000000005</v>
      </c>
      <c r="Q4055" s="11">
        <f t="shared" si="1310"/>
        <v>2.4499999999999997</v>
      </c>
      <c r="R4055" s="11"/>
      <c r="S4055" s="11"/>
      <c r="T4055" s="11"/>
      <c r="U4055" s="11">
        <f t="shared" si="1300"/>
        <v>2.4499999999999997</v>
      </c>
      <c r="V4055" t="s">
        <v>15</v>
      </c>
      <c r="W4055">
        <v>2.4500000000000002</v>
      </c>
      <c r="X4055" s="1" t="s">
        <v>74</v>
      </c>
    </row>
    <row r="4056" spans="1:24" x14ac:dyDescent="0.25">
      <c r="A4056" s="1" t="str">
        <f t="shared" si="1301"/>
        <v>卡卡杜-凤凰仓</v>
      </c>
      <c r="B4056" s="1" t="str">
        <f>"CK20241022322"</f>
        <v>CK20241022322</v>
      </c>
      <c r="C4056" s="1" t="str">
        <f>"DD2024102253920"</f>
        <v>DD2024102253920</v>
      </c>
      <c r="D4056" s="1" t="str">
        <f>"CK2024102250838"</f>
        <v>CK2024102250838</v>
      </c>
      <c r="E4056" s="1" t="str">
        <f>"3723469726318465024"</f>
        <v>3723469726318465024</v>
      </c>
      <c r="F4056" s="1" t="str">
        <f t="shared" si="1302"/>
        <v>花都四部-凤凰仓</v>
      </c>
      <c r="G4056" s="1" t="str">
        <f t="shared" si="1307"/>
        <v>卡卡杜企业店（视频号）</v>
      </c>
      <c r="H4056" s="1" t="str">
        <f t="shared" si="1303"/>
        <v>正常订单</v>
      </c>
      <c r="I4056" s="1" t="str">
        <f t="shared" si="1304"/>
        <v>已发货</v>
      </c>
      <c r="J4056" s="1" t="str">
        <f t="shared" si="1309"/>
        <v>5</v>
      </c>
      <c r="K4056" s="1">
        <v>3</v>
      </c>
      <c r="L4056" s="1" t="s">
        <v>30</v>
      </c>
      <c r="M4056" s="1" t="str">
        <f>"山东省 泰安市 岱岳区 "</f>
        <v xml:space="preserve">山东省 泰安市 岱岳区 </v>
      </c>
      <c r="N4056" s="1" t="str">
        <f t="shared" si="1296"/>
        <v>凡华云仓-城南圆通-微信视频号</v>
      </c>
      <c r="O4056" s="5" t="s">
        <v>4087</v>
      </c>
      <c r="P4056" s="6">
        <v>0.56000000000000005</v>
      </c>
      <c r="Q4056" s="11">
        <f t="shared" si="1310"/>
        <v>2.4499999999999997</v>
      </c>
      <c r="R4056" s="11"/>
      <c r="S4056" s="11"/>
      <c r="T4056" s="11"/>
      <c r="U4056" s="11">
        <f t="shared" si="1300"/>
        <v>2.4499999999999997</v>
      </c>
      <c r="V4056" t="s">
        <v>15</v>
      </c>
      <c r="W4056">
        <v>2.4500000000000002</v>
      </c>
      <c r="X4056" s="1" t="s">
        <v>30</v>
      </c>
    </row>
    <row r="4057" spans="1:24" x14ac:dyDescent="0.25">
      <c r="A4057" s="1" t="str">
        <f t="shared" si="1301"/>
        <v>卡卡杜-凤凰仓</v>
      </c>
      <c r="B4057" s="1" t="str">
        <f>"CK20241022323"</f>
        <v>CK20241022323</v>
      </c>
      <c r="C4057" s="1" t="str">
        <f>"DD2024102253919"</f>
        <v>DD2024102253919</v>
      </c>
      <c r="D4057" s="1" t="str">
        <f>"CK2024102250837"</f>
        <v>CK2024102250837</v>
      </c>
      <c r="E4057" s="1" t="str">
        <f>"3723469718722057216"</f>
        <v>3723469718722057216</v>
      </c>
      <c r="F4057" s="1" t="str">
        <f t="shared" si="1302"/>
        <v>花都四部-凤凰仓</v>
      </c>
      <c r="G4057" s="1" t="str">
        <f t="shared" si="1307"/>
        <v>卡卡杜企业店（视频号）</v>
      </c>
      <c r="H4057" s="1" t="str">
        <f t="shared" si="1303"/>
        <v>正常订单</v>
      </c>
      <c r="I4057" s="1" t="str">
        <f t="shared" si="1304"/>
        <v>已发货</v>
      </c>
      <c r="J4057" s="1" t="str">
        <f t="shared" ref="J4057:J4060" si="1311">"3"</f>
        <v>3</v>
      </c>
      <c r="K4057" s="1">
        <v>3</v>
      </c>
      <c r="L4057" s="1" t="s">
        <v>96</v>
      </c>
      <c r="M4057" s="1" t="str">
        <f>"广西壮族自治区 贵港市 港北区 "</f>
        <v xml:space="preserve">广西壮族自治区 贵港市 港北区 </v>
      </c>
      <c r="N4057" s="1" t="str">
        <f t="shared" si="1296"/>
        <v>凡华云仓-城南圆通-微信视频号</v>
      </c>
      <c r="O4057" s="5" t="s">
        <v>4088</v>
      </c>
      <c r="P4057" s="6">
        <v>0.34</v>
      </c>
      <c r="Q4057" s="11">
        <v>2.2999999999999998</v>
      </c>
      <c r="R4057" s="11"/>
      <c r="S4057" s="11"/>
      <c r="T4057" s="11"/>
      <c r="U4057" s="11">
        <f t="shared" si="1300"/>
        <v>2.2999999999999998</v>
      </c>
      <c r="W4057">
        <v>2.5</v>
      </c>
      <c r="X4057" s="1" t="s">
        <v>96</v>
      </c>
    </row>
    <row r="4058" spans="1:24" x14ac:dyDescent="0.25">
      <c r="A4058" s="1" t="str">
        <f t="shared" si="1301"/>
        <v>卡卡杜-凤凰仓</v>
      </c>
      <c r="B4058" s="1" t="str">
        <f>"CK20241022324"</f>
        <v>CK20241022324</v>
      </c>
      <c r="C4058" s="1" t="str">
        <f>"DD2024102253926"</f>
        <v>DD2024102253926</v>
      </c>
      <c r="D4058" s="1" t="str">
        <f>"CK2024102250836"</f>
        <v>CK2024102250836</v>
      </c>
      <c r="E4058" s="1" t="str">
        <f>"3723469714579656706"</f>
        <v>3723469714579656706</v>
      </c>
      <c r="F4058" s="1" t="str">
        <f t="shared" si="1302"/>
        <v>花都四部-凤凰仓</v>
      </c>
      <c r="G4058" s="1" t="str">
        <f t="shared" si="1307"/>
        <v>卡卡杜企业店（视频号）</v>
      </c>
      <c r="H4058" s="1" t="str">
        <f t="shared" si="1303"/>
        <v>正常订单</v>
      </c>
      <c r="I4058" s="1" t="str">
        <f t="shared" si="1304"/>
        <v>已发货</v>
      </c>
      <c r="J4058" s="1" t="str">
        <f t="shared" si="1311"/>
        <v>3</v>
      </c>
      <c r="K4058" s="1">
        <v>3</v>
      </c>
      <c r="L4058" s="1" t="s">
        <v>182</v>
      </c>
      <c r="M4058" s="1" t="str">
        <f>"新疆维吾尔自治区 乌鲁木齐市 沙依巴克区 "</f>
        <v xml:space="preserve">新疆维吾尔自治区 乌鲁木齐市 沙依巴克区 </v>
      </c>
      <c r="N4058" s="1" t="str">
        <f t="shared" si="1296"/>
        <v>凡华云仓-城南圆通-微信视频号</v>
      </c>
      <c r="O4058" s="5" t="s">
        <v>4089</v>
      </c>
      <c r="P4058" s="6">
        <v>0.34</v>
      </c>
      <c r="Q4058" s="11">
        <v>17</v>
      </c>
      <c r="R4058" s="11"/>
      <c r="S4058" s="11"/>
      <c r="T4058" s="11"/>
      <c r="U4058" s="11">
        <f t="shared" si="1300"/>
        <v>17</v>
      </c>
      <c r="W4058">
        <v>17</v>
      </c>
      <c r="X4058" s="1" t="s">
        <v>182</v>
      </c>
    </row>
    <row r="4059" spans="1:24" x14ac:dyDescent="0.25">
      <c r="A4059" s="1" t="str">
        <f t="shared" si="1301"/>
        <v>卡卡杜-凤凰仓</v>
      </c>
      <c r="B4059" s="1" t="str">
        <f>"CK20241022506"</f>
        <v>CK20241022506</v>
      </c>
      <c r="C4059" s="1" t="str">
        <f>"DD2024102255638"</f>
        <v>DD2024102255638</v>
      </c>
      <c r="D4059" s="1" t="str">
        <f>"CK2024102250835"</f>
        <v>CK2024102250835</v>
      </c>
      <c r="E4059" s="1" t="str">
        <f>"3723469712898524672"</f>
        <v>3723469712898524672</v>
      </c>
      <c r="F4059" s="1" t="str">
        <f t="shared" si="1302"/>
        <v>花都四部-凤凰仓</v>
      </c>
      <c r="G4059" s="1" t="str">
        <f t="shared" si="1307"/>
        <v>卡卡杜企业店（视频号）</v>
      </c>
      <c r="H4059" s="1" t="str">
        <f t="shared" si="1303"/>
        <v>正常订单</v>
      </c>
      <c r="I4059" s="1" t="str">
        <f t="shared" si="1304"/>
        <v>已发货</v>
      </c>
      <c r="J4059" s="1" t="str">
        <f>"5"</f>
        <v>5</v>
      </c>
      <c r="K4059" s="1">
        <v>3</v>
      </c>
      <c r="L4059" s="1" t="s">
        <v>16</v>
      </c>
      <c r="M4059" s="1" t="str">
        <f>"河北省 唐山市 迁安市 "</f>
        <v xml:space="preserve">河北省 唐山市 迁安市 </v>
      </c>
      <c r="N4059" s="1" t="str">
        <f t="shared" si="1296"/>
        <v>凡华云仓-城南圆通-微信视频号</v>
      </c>
      <c r="O4059" s="5" t="s">
        <v>4090</v>
      </c>
      <c r="P4059" s="6">
        <v>0.56000000000000005</v>
      </c>
      <c r="Q4059" s="11">
        <f>CEILING(P4059-0.5,0.1)*10*0.15+2.3</f>
        <v>2.4499999999999997</v>
      </c>
      <c r="R4059" s="11"/>
      <c r="S4059" s="11"/>
      <c r="T4059" s="11"/>
      <c r="U4059" s="11">
        <f t="shared" si="1300"/>
        <v>2.4499999999999997</v>
      </c>
      <c r="V4059" t="s">
        <v>15</v>
      </c>
      <c r="W4059">
        <v>2.4500000000000002</v>
      </c>
      <c r="X4059" s="1" t="s">
        <v>16</v>
      </c>
    </row>
    <row r="4060" spans="1:24" x14ac:dyDescent="0.25">
      <c r="A4060" s="1" t="str">
        <f t="shared" si="1301"/>
        <v>卡卡杜-凤凰仓</v>
      </c>
      <c r="B4060" s="1" t="str">
        <f>"CK20241022464"</f>
        <v>CK20241022464</v>
      </c>
      <c r="C4060" s="1" t="str">
        <f>"DD2024102255487"</f>
        <v>DD2024102255487</v>
      </c>
      <c r="D4060" s="1" t="str">
        <f>"CK2024102250834"</f>
        <v>CK2024102250834</v>
      </c>
      <c r="E4060" s="1" t="str">
        <f>"3723469705687729664"</f>
        <v>3723469705687729664</v>
      </c>
      <c r="F4060" s="1" t="str">
        <f t="shared" si="1302"/>
        <v>花都四部-凤凰仓</v>
      </c>
      <c r="G4060" s="1" t="str">
        <f t="shared" si="1307"/>
        <v>卡卡杜企业店（视频号）</v>
      </c>
      <c r="H4060" s="1" t="str">
        <f t="shared" si="1303"/>
        <v>正常订单</v>
      </c>
      <c r="I4060" s="1" t="str">
        <f t="shared" si="1304"/>
        <v>已发货</v>
      </c>
      <c r="J4060" s="1" t="str">
        <f t="shared" si="1311"/>
        <v>3</v>
      </c>
      <c r="K4060" s="1">
        <v>3</v>
      </c>
      <c r="L4060" s="1" t="s">
        <v>27</v>
      </c>
      <c r="M4060" s="1" t="str">
        <f>"贵州省 黔东南苗族侗族自治州 凯里市 "</f>
        <v xml:space="preserve">贵州省 黔东南苗族侗族自治州 凯里市 </v>
      </c>
      <c r="N4060" s="1" t="str">
        <f t="shared" si="1296"/>
        <v>凡华云仓-城南圆通-微信视频号</v>
      </c>
      <c r="O4060" s="5" t="s">
        <v>4091</v>
      </c>
      <c r="P4060" s="6">
        <v>0.34</v>
      </c>
      <c r="Q4060" s="11">
        <v>2.2999999999999998</v>
      </c>
      <c r="R4060" s="11"/>
      <c r="S4060" s="11"/>
      <c r="T4060" s="11"/>
      <c r="U4060" s="11">
        <f t="shared" si="1300"/>
        <v>2.2999999999999998</v>
      </c>
      <c r="W4060">
        <v>2.5</v>
      </c>
      <c r="X4060" s="1" t="s">
        <v>27</v>
      </c>
    </row>
    <row r="4061" spans="1:24" x14ac:dyDescent="0.25">
      <c r="A4061" s="1" t="str">
        <f t="shared" si="1301"/>
        <v>卡卡杜-凤凰仓</v>
      </c>
      <c r="B4061" s="1" t="str">
        <f>"CK20241022326"</f>
        <v>CK20241022326</v>
      </c>
      <c r="C4061" s="1" t="str">
        <f>"DD2024102253927"</f>
        <v>DD2024102253927</v>
      </c>
      <c r="D4061" s="1" t="str">
        <f>"CK2024102250833"</f>
        <v>CK2024102250833</v>
      </c>
      <c r="E4061" s="1" t="str">
        <f>"3723469688114909185"</f>
        <v>3723469688114909185</v>
      </c>
      <c r="F4061" s="1" t="str">
        <f t="shared" si="1302"/>
        <v>花都四部-凤凰仓</v>
      </c>
      <c r="G4061" s="1" t="str">
        <f t="shared" si="1307"/>
        <v>卡卡杜企业店（视频号）</v>
      </c>
      <c r="H4061" s="1" t="str">
        <f t="shared" si="1303"/>
        <v>正常订单</v>
      </c>
      <c r="I4061" s="1" t="str">
        <f t="shared" si="1304"/>
        <v>已发货</v>
      </c>
      <c r="J4061" s="1" t="str">
        <f>"5"</f>
        <v>5</v>
      </c>
      <c r="K4061" s="1">
        <v>3</v>
      </c>
      <c r="L4061" s="1" t="s">
        <v>182</v>
      </c>
      <c r="M4061" s="1" t="str">
        <f>"新疆维吾尔自治区 克拉玛依市 克拉玛依区 "</f>
        <v xml:space="preserve">新疆维吾尔自治区 克拉玛依市 克拉玛依区 </v>
      </c>
      <c r="N4061" s="1" t="str">
        <f t="shared" si="1296"/>
        <v>凡华云仓-城南圆通-微信视频号</v>
      </c>
      <c r="O4061" s="5" t="s">
        <v>4092</v>
      </c>
      <c r="P4061" s="6">
        <v>0.56000000000000005</v>
      </c>
      <c r="Q4061" s="11">
        <f>CEILING(P4061-0.5,0.1)*10*2+17</f>
        <v>19</v>
      </c>
      <c r="R4061" s="11"/>
      <c r="S4061" s="11"/>
      <c r="T4061" s="11"/>
      <c r="U4061" s="11">
        <f t="shared" si="1300"/>
        <v>19</v>
      </c>
      <c r="W4061">
        <v>19</v>
      </c>
      <c r="X4061" s="1" t="s">
        <v>182</v>
      </c>
    </row>
    <row r="4062" spans="1:24" x14ac:dyDescent="0.25">
      <c r="A4062" s="1" t="str">
        <f t="shared" si="1301"/>
        <v>卡卡杜-凤凰仓</v>
      </c>
      <c r="B4062" s="1" t="str">
        <f>"CK20241022327"</f>
        <v>CK20241022327</v>
      </c>
      <c r="C4062" s="1" t="str">
        <f>"DD2024102253928"</f>
        <v>DD2024102253928</v>
      </c>
      <c r="D4062" s="1" t="str">
        <f>"CK2024102250832"</f>
        <v>CK2024102250832</v>
      </c>
      <c r="E4062" s="1" t="str">
        <f>"3723469700610526208"</f>
        <v>3723469700610526208</v>
      </c>
      <c r="F4062" s="1" t="str">
        <f t="shared" si="1302"/>
        <v>花都四部-凤凰仓</v>
      </c>
      <c r="G4062" s="1" t="str">
        <f t="shared" si="1307"/>
        <v>卡卡杜企业店（视频号）</v>
      </c>
      <c r="H4062" s="1" t="str">
        <f t="shared" si="1303"/>
        <v>正常订单</v>
      </c>
      <c r="I4062" s="1" t="str">
        <f t="shared" si="1304"/>
        <v>已发货</v>
      </c>
      <c r="J4062" s="1" t="str">
        <f t="shared" ref="J4062:J4065" si="1312">"3"</f>
        <v>3</v>
      </c>
      <c r="K4062" s="1">
        <v>3</v>
      </c>
      <c r="L4062" s="1" t="s">
        <v>161</v>
      </c>
      <c r="M4062" s="1" t="str">
        <f>"四川省 成都市 武侯区 "</f>
        <v xml:space="preserve">四川省 成都市 武侯区 </v>
      </c>
      <c r="N4062" s="1" t="str">
        <f t="shared" si="1296"/>
        <v>凡华云仓-城南圆通-微信视频号</v>
      </c>
      <c r="O4062" s="5" t="s">
        <v>4093</v>
      </c>
      <c r="P4062" s="6">
        <v>0.34</v>
      </c>
      <c r="Q4062" s="11">
        <v>2.2999999999999998</v>
      </c>
      <c r="R4062" s="11"/>
      <c r="S4062" s="11"/>
      <c r="T4062" s="11"/>
      <c r="U4062" s="11">
        <f t="shared" si="1300"/>
        <v>2.2999999999999998</v>
      </c>
      <c r="W4062">
        <v>2.5</v>
      </c>
      <c r="X4062" s="1" t="s">
        <v>161</v>
      </c>
    </row>
    <row r="4063" spans="1:24" x14ac:dyDescent="0.25">
      <c r="A4063" s="1" t="str">
        <f t="shared" si="1301"/>
        <v>卡卡杜-凤凰仓</v>
      </c>
      <c r="B4063" s="1" t="str">
        <f>"CK20241022328"</f>
        <v>CK20241022328</v>
      </c>
      <c r="C4063" s="1" t="str">
        <f>"DD2024102253936"</f>
        <v>DD2024102253936</v>
      </c>
      <c r="D4063" s="1" t="str">
        <f>"CK2024102250831"</f>
        <v>CK2024102250831</v>
      </c>
      <c r="E4063" s="1" t="str">
        <f>"3723469692919747584"</f>
        <v>3723469692919747584</v>
      </c>
      <c r="F4063" s="1" t="str">
        <f t="shared" si="1302"/>
        <v>花都四部-凤凰仓</v>
      </c>
      <c r="G4063" s="1" t="str">
        <f t="shared" si="1307"/>
        <v>卡卡杜企业店（视频号）</v>
      </c>
      <c r="H4063" s="1" t="str">
        <f t="shared" si="1303"/>
        <v>正常订单</v>
      </c>
      <c r="I4063" s="1" t="str">
        <f t="shared" si="1304"/>
        <v>已发货</v>
      </c>
      <c r="J4063" s="1" t="str">
        <f t="shared" si="1312"/>
        <v>3</v>
      </c>
      <c r="K4063" s="1">
        <v>3</v>
      </c>
      <c r="L4063" s="1" t="s">
        <v>41</v>
      </c>
      <c r="M4063" s="1" t="str">
        <f>"湖北省 武汉市 江岸区 "</f>
        <v xml:space="preserve">湖北省 武汉市 江岸区 </v>
      </c>
      <c r="N4063" s="1" t="str">
        <f t="shared" si="1296"/>
        <v>凡华云仓-城南圆通-微信视频号</v>
      </c>
      <c r="O4063" s="5" t="s">
        <v>4094</v>
      </c>
      <c r="P4063" s="6">
        <v>0.34</v>
      </c>
      <c r="Q4063" s="11">
        <v>2.2999999999999998</v>
      </c>
      <c r="R4063" s="11"/>
      <c r="S4063" s="11"/>
      <c r="T4063" s="11"/>
      <c r="U4063" s="11">
        <f t="shared" si="1300"/>
        <v>2.2999999999999998</v>
      </c>
      <c r="W4063">
        <v>2.5</v>
      </c>
      <c r="X4063" s="1" t="s">
        <v>41</v>
      </c>
    </row>
    <row r="4064" spans="1:24" x14ac:dyDescent="0.25">
      <c r="A4064" s="1" t="str">
        <f t="shared" si="1301"/>
        <v>卡卡杜-凤凰仓</v>
      </c>
      <c r="B4064" s="1" t="str">
        <f>"CK20241022329"</f>
        <v>CK20241022329</v>
      </c>
      <c r="C4064" s="1" t="str">
        <f>"DD2024102253938"</f>
        <v>DD2024102253938</v>
      </c>
      <c r="D4064" s="1" t="str">
        <f>"CK2024102250830"</f>
        <v>CK2024102250830</v>
      </c>
      <c r="E4064" s="1" t="str">
        <f>"3723469695556912640"</f>
        <v>3723469695556912640</v>
      </c>
      <c r="F4064" s="1" t="str">
        <f t="shared" si="1302"/>
        <v>花都四部-凤凰仓</v>
      </c>
      <c r="G4064" s="1" t="str">
        <f t="shared" si="1307"/>
        <v>卡卡杜企业店（视频号）</v>
      </c>
      <c r="H4064" s="1" t="str">
        <f t="shared" si="1303"/>
        <v>正常订单</v>
      </c>
      <c r="I4064" s="1" t="str">
        <f t="shared" si="1304"/>
        <v>已发货</v>
      </c>
      <c r="J4064" s="1" t="str">
        <f t="shared" si="1312"/>
        <v>3</v>
      </c>
      <c r="K4064" s="1">
        <v>3</v>
      </c>
      <c r="L4064" s="1" t="s">
        <v>66</v>
      </c>
      <c r="M4064" s="1" t="str">
        <f>"内蒙古自治区 兴安盟 乌兰浩特市 "</f>
        <v xml:space="preserve">内蒙古自治区 兴安盟 乌兰浩特市 </v>
      </c>
      <c r="N4064" s="1" t="str">
        <f t="shared" si="1296"/>
        <v>凡华云仓-城南圆通-微信视频号</v>
      </c>
      <c r="O4064" s="5" t="s">
        <v>4095</v>
      </c>
      <c r="P4064" s="6">
        <v>0.34</v>
      </c>
      <c r="Q4064" s="11">
        <v>2.2999999999999998</v>
      </c>
      <c r="R4064" s="11"/>
      <c r="S4064" s="11"/>
      <c r="T4064" s="11"/>
      <c r="U4064" s="11">
        <f t="shared" si="1300"/>
        <v>2.2999999999999998</v>
      </c>
      <c r="W4064">
        <v>2.5</v>
      </c>
      <c r="X4064" s="1" t="s">
        <v>66</v>
      </c>
    </row>
    <row r="4065" spans="1:24" x14ac:dyDescent="0.25">
      <c r="A4065" s="1" t="str">
        <f t="shared" si="1301"/>
        <v>卡卡杜-凤凰仓</v>
      </c>
      <c r="B4065" s="1" t="str">
        <f>"CK20241022330"</f>
        <v>CK20241022330</v>
      </c>
      <c r="C4065" s="1" t="str">
        <f>"DD2024102253941"</f>
        <v>DD2024102253941</v>
      </c>
      <c r="D4065" s="1" t="str">
        <f>"CK2024102250829"</f>
        <v>CK2024102250829</v>
      </c>
      <c r="E4065" s="1" t="str">
        <f>"3723469689761957376"</f>
        <v>3723469689761957376</v>
      </c>
      <c r="F4065" s="1" t="str">
        <f t="shared" si="1302"/>
        <v>花都四部-凤凰仓</v>
      </c>
      <c r="G4065" s="1" t="str">
        <f t="shared" si="1307"/>
        <v>卡卡杜企业店（视频号）</v>
      </c>
      <c r="H4065" s="1" t="str">
        <f t="shared" si="1303"/>
        <v>正常订单</v>
      </c>
      <c r="I4065" s="1" t="str">
        <f t="shared" si="1304"/>
        <v>已发货</v>
      </c>
      <c r="J4065" s="1" t="str">
        <f t="shared" si="1312"/>
        <v>3</v>
      </c>
      <c r="K4065" s="1">
        <v>3</v>
      </c>
      <c r="L4065" s="1" t="s">
        <v>161</v>
      </c>
      <c r="M4065" s="1" t="str">
        <f>"四川省 凉山彝族自治州 西昌市 "</f>
        <v xml:space="preserve">四川省 凉山彝族自治州 西昌市 </v>
      </c>
      <c r="N4065" s="1" t="str">
        <f t="shared" si="1296"/>
        <v>凡华云仓-城南圆通-微信视频号</v>
      </c>
      <c r="O4065" s="5" t="s">
        <v>4096</v>
      </c>
      <c r="P4065" s="6">
        <v>0.34</v>
      </c>
      <c r="Q4065" s="11">
        <v>2.2999999999999998</v>
      </c>
      <c r="R4065" s="11"/>
      <c r="S4065" s="11"/>
      <c r="T4065" s="11"/>
      <c r="U4065" s="11">
        <f t="shared" si="1300"/>
        <v>2.2999999999999998</v>
      </c>
      <c r="W4065">
        <v>2.5</v>
      </c>
      <c r="X4065" s="1" t="s">
        <v>161</v>
      </c>
    </row>
    <row r="4066" spans="1:24" x14ac:dyDescent="0.25">
      <c r="A4066" s="1" t="str">
        <f t="shared" si="1301"/>
        <v>卡卡杜-凤凰仓</v>
      </c>
      <c r="B4066" s="1" t="str">
        <f>"CK20241022331"</f>
        <v>CK20241022331</v>
      </c>
      <c r="C4066" s="1" t="str">
        <f>"DD2024102253943"</f>
        <v>DD2024102253943</v>
      </c>
      <c r="D4066" s="1" t="str">
        <f>"CK2024102250828"</f>
        <v>CK2024102250828</v>
      </c>
      <c r="E4066" s="1" t="str">
        <f>"3723469680697805824"</f>
        <v>3723469680697805824</v>
      </c>
      <c r="F4066" s="1" t="str">
        <f t="shared" si="1302"/>
        <v>花都四部-凤凰仓</v>
      </c>
      <c r="G4066" s="1" t="str">
        <f t="shared" si="1307"/>
        <v>卡卡杜企业店（视频号）</v>
      </c>
      <c r="H4066" s="1" t="str">
        <f t="shared" si="1303"/>
        <v>正常订单</v>
      </c>
      <c r="I4066" s="1" t="str">
        <f t="shared" si="1304"/>
        <v>已发货</v>
      </c>
      <c r="J4066" s="1" t="str">
        <f>"5"</f>
        <v>5</v>
      </c>
      <c r="K4066" s="1">
        <v>3</v>
      </c>
      <c r="L4066" s="1" t="s">
        <v>18</v>
      </c>
      <c r="M4066" s="1" t="str">
        <f>"广东省 江门市 蓬江区 "</f>
        <v xml:space="preserve">广东省 江门市 蓬江区 </v>
      </c>
      <c r="N4066" s="1" t="str">
        <f t="shared" si="1296"/>
        <v>凡华云仓-城南圆通-微信视频号</v>
      </c>
      <c r="O4066" s="5" t="s">
        <v>4097</v>
      </c>
      <c r="P4066" s="6">
        <v>0.56000000000000005</v>
      </c>
      <c r="Q4066" s="11">
        <f>CEILING(P4066-0.5,0.1)*10*0.15+2.3</f>
        <v>2.4499999999999997</v>
      </c>
      <c r="R4066" s="11"/>
      <c r="S4066" s="11"/>
      <c r="T4066" s="11"/>
      <c r="U4066" s="11">
        <f t="shared" si="1300"/>
        <v>2.4499999999999997</v>
      </c>
      <c r="V4066" t="s">
        <v>15</v>
      </c>
      <c r="W4066">
        <v>2.4500000000000002</v>
      </c>
      <c r="X4066" s="1" t="s">
        <v>18</v>
      </c>
    </row>
    <row r="4067" spans="1:24" x14ac:dyDescent="0.25">
      <c r="A4067" s="1" t="str">
        <f t="shared" si="1301"/>
        <v>卡卡杜-凤凰仓</v>
      </c>
      <c r="B4067" s="1" t="str">
        <f>"CK20241022332"</f>
        <v>CK20241022332</v>
      </c>
      <c r="C4067" s="1" t="str">
        <f>"DD2024102253944"</f>
        <v>DD2024102253944</v>
      </c>
      <c r="D4067" s="1" t="str">
        <f>"CK2024102250827"</f>
        <v>CK2024102250827</v>
      </c>
      <c r="E4067" s="1" t="str">
        <f>"3723469684930643456"</f>
        <v>3723469684930643456</v>
      </c>
      <c r="F4067" s="1" t="str">
        <f t="shared" si="1302"/>
        <v>花都四部-凤凰仓</v>
      </c>
      <c r="G4067" s="1" t="str">
        <f t="shared" si="1307"/>
        <v>卡卡杜企业店（视频号）</v>
      </c>
      <c r="H4067" s="1" t="str">
        <f t="shared" si="1303"/>
        <v>正常订单</v>
      </c>
      <c r="I4067" s="1" t="str">
        <f t="shared" si="1304"/>
        <v>已发货</v>
      </c>
      <c r="J4067" s="1" t="str">
        <f t="shared" ref="J4067:J4071" si="1313">"3"</f>
        <v>3</v>
      </c>
      <c r="K4067" s="1">
        <v>3</v>
      </c>
      <c r="L4067" s="1" t="s">
        <v>32</v>
      </c>
      <c r="M4067" s="1" t="str">
        <f>"陕西省 西安市 雁塔区 "</f>
        <v xml:space="preserve">陕西省 西安市 雁塔区 </v>
      </c>
      <c r="N4067" s="1" t="str">
        <f t="shared" si="1296"/>
        <v>凡华云仓-城南圆通-微信视频号</v>
      </c>
      <c r="O4067" s="5" t="s">
        <v>4098</v>
      </c>
      <c r="P4067" s="6">
        <v>0.34</v>
      </c>
      <c r="Q4067" s="11">
        <v>2.2999999999999998</v>
      </c>
      <c r="R4067" s="11"/>
      <c r="S4067" s="11"/>
      <c r="T4067" s="11"/>
      <c r="U4067" s="11">
        <f t="shared" si="1300"/>
        <v>2.2999999999999998</v>
      </c>
      <c r="W4067">
        <v>2.5</v>
      </c>
      <c r="X4067" s="1" t="s">
        <v>32</v>
      </c>
    </row>
    <row r="4068" spans="1:24" x14ac:dyDescent="0.25">
      <c r="A4068" s="1" t="str">
        <f t="shared" si="1301"/>
        <v>卡卡杜-凤凰仓</v>
      </c>
      <c r="B4068" s="1" t="str">
        <f>"CK20241022333"</f>
        <v>CK20241022333</v>
      </c>
      <c r="C4068" s="1" t="str">
        <f>"DD2024102253945"</f>
        <v>DD2024102253945</v>
      </c>
      <c r="D4068" s="1" t="str">
        <f>"CK2024102250826"</f>
        <v>CK2024102250826</v>
      </c>
      <c r="E4068" s="1" t="str">
        <f>"3723469683401819392"</f>
        <v>3723469683401819392</v>
      </c>
      <c r="F4068" s="1" t="str">
        <f t="shared" si="1302"/>
        <v>花都四部-凤凰仓</v>
      </c>
      <c r="G4068" s="1" t="str">
        <f t="shared" si="1307"/>
        <v>卡卡杜企业店（视频号）</v>
      </c>
      <c r="H4068" s="1" t="str">
        <f t="shared" si="1303"/>
        <v>正常订单</v>
      </c>
      <c r="I4068" s="1" t="str">
        <f t="shared" si="1304"/>
        <v>已发货</v>
      </c>
      <c r="J4068" s="1" t="str">
        <f>"5"</f>
        <v>5</v>
      </c>
      <c r="K4068" s="1">
        <v>3</v>
      </c>
      <c r="L4068" s="1" t="s">
        <v>16</v>
      </c>
      <c r="M4068" s="1" t="str">
        <f>"河北省 石家庄市 长安区 "</f>
        <v xml:space="preserve">河北省 石家庄市 长安区 </v>
      </c>
      <c r="N4068" s="1" t="str">
        <f t="shared" si="1296"/>
        <v>凡华云仓-城南圆通-微信视频号</v>
      </c>
      <c r="O4068" s="5" t="s">
        <v>4099</v>
      </c>
      <c r="P4068" s="6">
        <v>0.56000000000000005</v>
      </c>
      <c r="Q4068" s="11">
        <f>CEILING(P4068-0.5,0.1)*10*0.15+2.3</f>
        <v>2.4499999999999997</v>
      </c>
      <c r="R4068" s="11"/>
      <c r="S4068" s="11"/>
      <c r="T4068" s="11"/>
      <c r="U4068" s="11">
        <f t="shared" si="1300"/>
        <v>2.4499999999999997</v>
      </c>
      <c r="V4068" t="s">
        <v>15</v>
      </c>
      <c r="W4068">
        <v>2.4500000000000002</v>
      </c>
      <c r="X4068" s="1" t="s">
        <v>16</v>
      </c>
    </row>
    <row r="4069" spans="1:24" x14ac:dyDescent="0.25">
      <c r="A4069" s="1" t="str">
        <f t="shared" si="1301"/>
        <v>卡卡杜-凤凰仓</v>
      </c>
      <c r="B4069" s="1" t="str">
        <f>"CK20241022334"</f>
        <v>CK20241022334</v>
      </c>
      <c r="C4069" s="1" t="str">
        <f>"DD2024102253950"</f>
        <v>DD2024102253950</v>
      </c>
      <c r="D4069" s="1" t="str">
        <f>"CK2024102250825"</f>
        <v>CK2024102250825</v>
      </c>
      <c r="E4069" s="1" t="str">
        <f>"3723469684541101056"</f>
        <v>3723469684541101056</v>
      </c>
      <c r="F4069" s="1" t="str">
        <f t="shared" si="1302"/>
        <v>花都四部-凤凰仓</v>
      </c>
      <c r="G4069" s="1" t="str">
        <f t="shared" si="1307"/>
        <v>卡卡杜企业店（视频号）</v>
      </c>
      <c r="H4069" s="1" t="str">
        <f t="shared" si="1303"/>
        <v>正常订单</v>
      </c>
      <c r="I4069" s="1" t="str">
        <f t="shared" si="1304"/>
        <v>已发货</v>
      </c>
      <c r="J4069" s="1" t="str">
        <f t="shared" si="1313"/>
        <v>3</v>
      </c>
      <c r="K4069" s="1">
        <v>3</v>
      </c>
      <c r="L4069" s="1" t="s">
        <v>105</v>
      </c>
      <c r="M4069" s="1" t="str">
        <f>"北京 北京市 昌平区 "</f>
        <v xml:space="preserve">北京 北京市 昌平区 </v>
      </c>
      <c r="N4069" s="1" t="str">
        <f t="shared" si="1296"/>
        <v>凡华云仓-城南圆通-微信视频号</v>
      </c>
      <c r="O4069" s="5" t="s">
        <v>4100</v>
      </c>
      <c r="P4069" s="6">
        <v>0.34</v>
      </c>
      <c r="Q4069" s="11">
        <v>2.2999999999999998</v>
      </c>
      <c r="R4069" s="11"/>
      <c r="S4069" s="11"/>
      <c r="T4069" s="11"/>
      <c r="U4069" s="11">
        <f t="shared" si="1300"/>
        <v>2.2999999999999998</v>
      </c>
      <c r="W4069">
        <v>2.5</v>
      </c>
      <c r="X4069" s="1" t="s">
        <v>105</v>
      </c>
    </row>
    <row r="4070" spans="1:24" x14ac:dyDescent="0.25">
      <c r="A4070" s="1" t="str">
        <f t="shared" si="1301"/>
        <v>卡卡杜-凤凰仓</v>
      </c>
      <c r="B4070" s="1" t="str">
        <f>"CK20241022518"</f>
        <v>CK20241022518</v>
      </c>
      <c r="C4070" s="1" t="str">
        <f>"DD2024102255678"</f>
        <v>DD2024102255678</v>
      </c>
      <c r="D4070" s="1" t="str">
        <f>"CK2024102250824"</f>
        <v>CK2024102250824</v>
      </c>
      <c r="E4070" s="1" t="str">
        <f>"3723469681216587264"</f>
        <v>3723469681216587264</v>
      </c>
      <c r="F4070" s="1" t="str">
        <f t="shared" si="1302"/>
        <v>花都四部-凤凰仓</v>
      </c>
      <c r="G4070" s="1" t="str">
        <f t="shared" si="1307"/>
        <v>卡卡杜企业店（视频号）</v>
      </c>
      <c r="H4070" s="1" t="str">
        <f t="shared" si="1303"/>
        <v>正常订单</v>
      </c>
      <c r="I4070" s="1" t="str">
        <f t="shared" si="1304"/>
        <v>已发货</v>
      </c>
      <c r="J4070" s="1" t="str">
        <f t="shared" si="1313"/>
        <v>3</v>
      </c>
      <c r="K4070" s="1">
        <v>3</v>
      </c>
      <c r="L4070" s="1" t="s">
        <v>105</v>
      </c>
      <c r="M4070" s="1" t="str">
        <f>"北京 北京市 海淀区 "</f>
        <v xml:space="preserve">北京 北京市 海淀区 </v>
      </c>
      <c r="N4070" s="1" t="str">
        <f t="shared" si="1296"/>
        <v>凡华云仓-城南圆通-微信视频号</v>
      </c>
      <c r="O4070" s="5" t="s">
        <v>4101</v>
      </c>
      <c r="P4070" s="6">
        <v>0.34</v>
      </c>
      <c r="Q4070" s="11">
        <v>2.2999999999999998</v>
      </c>
      <c r="R4070" s="11"/>
      <c r="S4070" s="11"/>
      <c r="T4070" s="11"/>
      <c r="U4070" s="11">
        <f t="shared" si="1300"/>
        <v>2.2999999999999998</v>
      </c>
      <c r="W4070">
        <v>2.5</v>
      </c>
      <c r="X4070" s="1" t="s">
        <v>105</v>
      </c>
    </row>
    <row r="4071" spans="1:24" x14ac:dyDescent="0.25">
      <c r="A4071" s="1" t="str">
        <f t="shared" si="1301"/>
        <v>卡卡杜-凤凰仓</v>
      </c>
      <c r="B4071" s="1" t="str">
        <f>"CK20241022477"</f>
        <v>CK20241022477</v>
      </c>
      <c r="C4071" s="1" t="str">
        <f>"DD2024102255544"</f>
        <v>DD2024102255544</v>
      </c>
      <c r="D4071" s="1" t="str">
        <f>"CK2024102250823"</f>
        <v>CK2024102250823</v>
      </c>
      <c r="E4071" s="1" t="str">
        <f>"3723469674040659968"</f>
        <v>3723469674040659968</v>
      </c>
      <c r="F4071" s="1" t="str">
        <f t="shared" si="1302"/>
        <v>花都四部-凤凰仓</v>
      </c>
      <c r="G4071" s="1" t="str">
        <f t="shared" si="1307"/>
        <v>卡卡杜企业店（视频号）</v>
      </c>
      <c r="H4071" s="1" t="str">
        <f t="shared" si="1303"/>
        <v>正常订单</v>
      </c>
      <c r="I4071" s="1" t="str">
        <f t="shared" si="1304"/>
        <v>已发货</v>
      </c>
      <c r="J4071" s="1" t="str">
        <f t="shared" si="1313"/>
        <v>3</v>
      </c>
      <c r="K4071" s="1">
        <v>3</v>
      </c>
      <c r="L4071" s="1" t="s">
        <v>105</v>
      </c>
      <c r="M4071" s="1" t="str">
        <f>"北京 北京市 通州区 "</f>
        <v xml:space="preserve">北京 北京市 通州区 </v>
      </c>
      <c r="N4071" s="1" t="str">
        <f t="shared" si="1296"/>
        <v>凡华云仓-城南圆通-微信视频号</v>
      </c>
      <c r="O4071" s="5" t="s">
        <v>4102</v>
      </c>
      <c r="P4071" s="6">
        <v>0.34</v>
      </c>
      <c r="Q4071" s="11">
        <v>2.2999999999999998</v>
      </c>
      <c r="R4071" s="11"/>
      <c r="S4071" s="11"/>
      <c r="T4071" s="11"/>
      <c r="U4071" s="11">
        <f t="shared" si="1300"/>
        <v>2.2999999999999998</v>
      </c>
      <c r="W4071">
        <v>2.5</v>
      </c>
      <c r="X4071" s="1" t="s">
        <v>105</v>
      </c>
    </row>
    <row r="4072" spans="1:24" x14ac:dyDescent="0.25">
      <c r="A4072" s="1" t="str">
        <f t="shared" si="1301"/>
        <v>卡卡杜-凤凰仓</v>
      </c>
      <c r="B4072" s="1" t="str">
        <f>"CK20241022531"</f>
        <v>CK20241022531</v>
      </c>
      <c r="C4072" s="1" t="str">
        <f>"DD2024102255734"</f>
        <v>DD2024102255734</v>
      </c>
      <c r="D4072" s="1" t="str">
        <f>"CK2024102250822"</f>
        <v>CK2024102250822</v>
      </c>
      <c r="E4072" s="1" t="str">
        <f>"3723469670489916672"</f>
        <v>3723469670489916672</v>
      </c>
      <c r="F4072" s="1" t="str">
        <f t="shared" si="1302"/>
        <v>花都四部-凤凰仓</v>
      </c>
      <c r="G4072" s="1" t="str">
        <f t="shared" si="1307"/>
        <v>卡卡杜企业店（视频号）</v>
      </c>
      <c r="H4072" s="1" t="str">
        <f t="shared" si="1303"/>
        <v>正常订单</v>
      </c>
      <c r="I4072" s="1" t="str">
        <f t="shared" si="1304"/>
        <v>已发货</v>
      </c>
      <c r="J4072" s="1" t="str">
        <f>"5"</f>
        <v>5</v>
      </c>
      <c r="K4072" s="1">
        <v>3</v>
      </c>
      <c r="L4072" s="1" t="s">
        <v>218</v>
      </c>
      <c r="M4072" s="1" t="str">
        <f>"天津 天津市 南开区 "</f>
        <v xml:space="preserve">天津 天津市 南开区 </v>
      </c>
      <c r="N4072" s="1" t="str">
        <f t="shared" si="1296"/>
        <v>凡华云仓-城南圆通-微信视频号</v>
      </c>
      <c r="O4072" s="5" t="s">
        <v>4103</v>
      </c>
      <c r="P4072" s="6">
        <v>0.56000000000000005</v>
      </c>
      <c r="Q4072" s="11">
        <f>CEILING(P4072-0.5,0.1)*10*0.15+2.3</f>
        <v>2.4499999999999997</v>
      </c>
      <c r="R4072" s="11"/>
      <c r="S4072" s="11"/>
      <c r="T4072" s="11"/>
      <c r="U4072" s="11">
        <f t="shared" si="1300"/>
        <v>2.4499999999999997</v>
      </c>
      <c r="V4072" t="s">
        <v>15</v>
      </c>
      <c r="W4072">
        <v>2.4500000000000002</v>
      </c>
      <c r="X4072" s="1" t="s">
        <v>218</v>
      </c>
    </row>
    <row r="4073" spans="1:24" x14ac:dyDescent="0.25">
      <c r="A4073" s="1" t="str">
        <f t="shared" si="1301"/>
        <v>卡卡杜-凤凰仓</v>
      </c>
      <c r="B4073" s="1" t="str">
        <f>"CK20241022335"</f>
        <v>CK20241022335</v>
      </c>
      <c r="C4073" s="1" t="str">
        <f>"DD2024102253951"</f>
        <v>DD2024102253951</v>
      </c>
      <c r="D4073" s="1" t="str">
        <f>"CK2024102250821"</f>
        <v>CK2024102250821</v>
      </c>
      <c r="E4073" s="1" t="str">
        <f>"3723469672642384896"</f>
        <v>3723469672642384896</v>
      </c>
      <c r="F4073" s="1" t="str">
        <f t="shared" si="1302"/>
        <v>花都四部-凤凰仓</v>
      </c>
      <c r="G4073" s="1" t="str">
        <f t="shared" si="1307"/>
        <v>卡卡杜企业店（视频号）</v>
      </c>
      <c r="H4073" s="1" t="str">
        <f t="shared" si="1303"/>
        <v>正常订单</v>
      </c>
      <c r="I4073" s="1" t="str">
        <f t="shared" si="1304"/>
        <v>已发货</v>
      </c>
      <c r="J4073" s="1" t="str">
        <f t="shared" ref="J4073:J4076" si="1314">"3"</f>
        <v>3</v>
      </c>
      <c r="K4073" s="1">
        <v>3</v>
      </c>
      <c r="L4073" s="1" t="s">
        <v>32</v>
      </c>
      <c r="M4073" s="1" t="str">
        <f>"陕西省 西安市 新城区 "</f>
        <v xml:space="preserve">陕西省 西安市 新城区 </v>
      </c>
      <c r="N4073" s="1" t="str">
        <f t="shared" si="1296"/>
        <v>凡华云仓-城南圆通-微信视频号</v>
      </c>
      <c r="O4073" s="5" t="s">
        <v>4104</v>
      </c>
      <c r="P4073" s="6">
        <v>0.34</v>
      </c>
      <c r="Q4073" s="11">
        <v>2.2999999999999998</v>
      </c>
      <c r="R4073" s="11"/>
      <c r="S4073" s="11"/>
      <c r="T4073" s="11"/>
      <c r="U4073" s="11">
        <f t="shared" si="1300"/>
        <v>2.2999999999999998</v>
      </c>
      <c r="W4073">
        <v>2.5</v>
      </c>
      <c r="X4073" s="1" t="s">
        <v>32</v>
      </c>
    </row>
    <row r="4074" spans="1:24" x14ac:dyDescent="0.25">
      <c r="A4074" s="1" t="str">
        <f t="shared" si="1301"/>
        <v>卡卡杜-凤凰仓</v>
      </c>
      <c r="B4074" s="1" t="str">
        <f>"CK20241022488"</f>
        <v>CK20241022488</v>
      </c>
      <c r="C4074" s="1" t="str">
        <f>"DD2024102255577"</f>
        <v>DD2024102255577</v>
      </c>
      <c r="D4074" s="1" t="str">
        <f>"CK2024102250820"</f>
        <v>CK2024102250820</v>
      </c>
      <c r="E4074" s="1" t="str">
        <f>"3723469672257291776"</f>
        <v>3723469672257291776</v>
      </c>
      <c r="F4074" s="1" t="str">
        <f t="shared" si="1302"/>
        <v>花都四部-凤凰仓</v>
      </c>
      <c r="G4074" s="1" t="str">
        <f t="shared" si="1307"/>
        <v>卡卡杜企业店（视频号）</v>
      </c>
      <c r="H4074" s="1" t="str">
        <f t="shared" si="1303"/>
        <v>正常订单</v>
      </c>
      <c r="I4074" s="1" t="str">
        <f t="shared" si="1304"/>
        <v>已发货</v>
      </c>
      <c r="J4074" s="1" t="str">
        <f t="shared" si="1314"/>
        <v>3</v>
      </c>
      <c r="K4074" s="1">
        <v>3</v>
      </c>
      <c r="L4074" s="1" t="s">
        <v>52</v>
      </c>
      <c r="M4074" s="1" t="str">
        <f>"甘肃省 兰州市 七里河区 "</f>
        <v xml:space="preserve">甘肃省 兰州市 七里河区 </v>
      </c>
      <c r="N4074" s="1" t="str">
        <f t="shared" si="1296"/>
        <v>凡华云仓-城南圆通-微信视频号</v>
      </c>
      <c r="O4074" s="5" t="s">
        <v>4105</v>
      </c>
      <c r="P4074" s="6">
        <v>0.34</v>
      </c>
      <c r="Q4074" s="11">
        <v>2.2999999999999998</v>
      </c>
      <c r="R4074" s="11"/>
      <c r="S4074" s="11"/>
      <c r="T4074" s="11"/>
      <c r="U4074" s="11">
        <f t="shared" si="1300"/>
        <v>2.2999999999999998</v>
      </c>
      <c r="W4074">
        <v>2.5</v>
      </c>
      <c r="X4074" s="1" t="s">
        <v>52</v>
      </c>
    </row>
    <row r="4075" spans="1:24" x14ac:dyDescent="0.25">
      <c r="A4075" s="1" t="str">
        <f t="shared" si="1301"/>
        <v>卡卡杜-凤凰仓</v>
      </c>
      <c r="B4075" s="1" t="str">
        <f>"CK20241022447"</f>
        <v>CK20241022447</v>
      </c>
      <c r="C4075" s="1" t="str">
        <f>"DD2024102255398"</f>
        <v>DD2024102255398</v>
      </c>
      <c r="D4075" s="1" t="str">
        <f>"CK2024102250819"</f>
        <v>CK2024102250819</v>
      </c>
      <c r="E4075" s="1" t="str">
        <f>"3723469670547326465"</f>
        <v>3723469670547326465</v>
      </c>
      <c r="F4075" s="1" t="str">
        <f t="shared" si="1302"/>
        <v>花都四部-凤凰仓</v>
      </c>
      <c r="G4075" s="1" t="str">
        <f t="shared" si="1307"/>
        <v>卡卡杜企业店（视频号）</v>
      </c>
      <c r="H4075" s="1" t="str">
        <f t="shared" si="1303"/>
        <v>正常订单</v>
      </c>
      <c r="I4075" s="1" t="str">
        <f t="shared" si="1304"/>
        <v>已发货</v>
      </c>
      <c r="J4075" s="1" t="str">
        <f t="shared" si="1314"/>
        <v>3</v>
      </c>
      <c r="K4075" s="1">
        <v>3</v>
      </c>
      <c r="L4075" s="1" t="s">
        <v>16</v>
      </c>
      <c r="M4075" s="1" t="str">
        <f>"河北省 秦皇岛市 海港区 "</f>
        <v xml:space="preserve">河北省 秦皇岛市 海港区 </v>
      </c>
      <c r="N4075" s="1" t="str">
        <f t="shared" si="1296"/>
        <v>凡华云仓-城南圆通-微信视频号</v>
      </c>
      <c r="O4075" s="5" t="s">
        <v>4106</v>
      </c>
      <c r="P4075" s="6">
        <v>0.34</v>
      </c>
      <c r="Q4075" s="11">
        <v>2.2999999999999998</v>
      </c>
      <c r="R4075" s="11"/>
      <c r="S4075" s="11"/>
      <c r="T4075" s="11"/>
      <c r="U4075" s="11">
        <f t="shared" si="1300"/>
        <v>2.2999999999999998</v>
      </c>
      <c r="W4075">
        <v>2.5</v>
      </c>
      <c r="X4075" s="1" t="s">
        <v>16</v>
      </c>
    </row>
    <row r="4076" spans="1:24" x14ac:dyDescent="0.25">
      <c r="A4076" s="1" t="str">
        <f t="shared" si="1301"/>
        <v>卡卡杜-凤凰仓</v>
      </c>
      <c r="B4076" s="1" t="str">
        <f>"CK20241022336"</f>
        <v>CK20241022336</v>
      </c>
      <c r="C4076" s="1" t="str">
        <f>"DD2024102253954"</f>
        <v>DD2024102253954</v>
      </c>
      <c r="D4076" s="1" t="str">
        <f>"CK2024102250818"</f>
        <v>CK2024102250818</v>
      </c>
      <c r="E4076" s="1" t="str">
        <f>"3723469670139695104"</f>
        <v>3723469670139695104</v>
      </c>
      <c r="F4076" s="1" t="str">
        <f t="shared" si="1302"/>
        <v>花都四部-凤凰仓</v>
      </c>
      <c r="G4076" s="1" t="str">
        <f t="shared" si="1307"/>
        <v>卡卡杜企业店（视频号）</v>
      </c>
      <c r="H4076" s="1" t="str">
        <f t="shared" si="1303"/>
        <v>正常订单</v>
      </c>
      <c r="I4076" s="1" t="str">
        <f t="shared" si="1304"/>
        <v>已发货</v>
      </c>
      <c r="J4076" s="1" t="str">
        <f t="shared" si="1314"/>
        <v>3</v>
      </c>
      <c r="K4076" s="1">
        <v>3</v>
      </c>
      <c r="L4076" s="1" t="s">
        <v>32</v>
      </c>
      <c r="M4076" s="1" t="str">
        <f>"陕西省 西安市 雁塔区 "</f>
        <v xml:space="preserve">陕西省 西安市 雁塔区 </v>
      </c>
      <c r="N4076" s="1" t="str">
        <f t="shared" si="1296"/>
        <v>凡华云仓-城南圆通-微信视频号</v>
      </c>
      <c r="O4076" s="5" t="s">
        <v>4107</v>
      </c>
      <c r="P4076" s="6">
        <v>0.34</v>
      </c>
      <c r="Q4076" s="11">
        <v>2.2999999999999998</v>
      </c>
      <c r="R4076" s="11"/>
      <c r="S4076" s="11"/>
      <c r="T4076" s="11"/>
      <c r="U4076" s="11">
        <f t="shared" si="1300"/>
        <v>2.2999999999999998</v>
      </c>
      <c r="W4076">
        <v>2.5</v>
      </c>
      <c r="X4076" s="1" t="s">
        <v>32</v>
      </c>
    </row>
    <row r="4077" spans="1:24" x14ac:dyDescent="0.25">
      <c r="A4077" s="1" t="str">
        <f t="shared" si="1301"/>
        <v>卡卡杜-凤凰仓</v>
      </c>
      <c r="B4077" s="1" t="str">
        <f>"CK20241022676"</f>
        <v>CK20241022676</v>
      </c>
      <c r="C4077" s="1" t="str">
        <f>"DD2024102256871"</f>
        <v>DD2024102256871</v>
      </c>
      <c r="D4077" s="1" t="str">
        <f>"CK2024102250817"</f>
        <v>CK2024102250817</v>
      </c>
      <c r="E4077" s="1" t="str">
        <f>"3723469623853191168"</f>
        <v>3723469623853191168</v>
      </c>
      <c r="F4077" s="1" t="str">
        <f t="shared" si="1302"/>
        <v>花都四部-凤凰仓</v>
      </c>
      <c r="G4077" s="1" t="str">
        <f t="shared" si="1307"/>
        <v>卡卡杜企业店（视频号）</v>
      </c>
      <c r="H4077" s="1" t="str">
        <f t="shared" si="1303"/>
        <v>正常订单</v>
      </c>
      <c r="I4077" s="1" t="str">
        <f t="shared" si="1304"/>
        <v>已发货</v>
      </c>
      <c r="J4077" s="1" t="str">
        <f t="shared" ref="J4077:J4090" si="1315">"5"</f>
        <v>5</v>
      </c>
      <c r="K4077" s="1">
        <v>3</v>
      </c>
      <c r="L4077" s="1" t="s">
        <v>60</v>
      </c>
      <c r="M4077" s="1" t="str">
        <f>"云南省 昆明市 西山区 "</f>
        <v xml:space="preserve">云南省 昆明市 西山区 </v>
      </c>
      <c r="N4077" s="1" t="str">
        <f t="shared" si="1296"/>
        <v>凡华云仓-城南圆通-微信视频号</v>
      </c>
      <c r="O4077" s="5" t="s">
        <v>4108</v>
      </c>
      <c r="P4077" s="6">
        <v>0.47</v>
      </c>
      <c r="Q4077" s="11">
        <v>2.2999999999999998</v>
      </c>
      <c r="R4077" s="11"/>
      <c r="S4077" s="11"/>
      <c r="T4077" s="11"/>
      <c r="U4077" s="11">
        <f t="shared" si="1300"/>
        <v>2.2999999999999998</v>
      </c>
      <c r="W4077">
        <v>2.5</v>
      </c>
      <c r="X4077" s="1" t="s">
        <v>60</v>
      </c>
    </row>
    <row r="4078" spans="1:24" x14ac:dyDescent="0.25">
      <c r="A4078" s="1" t="str">
        <f t="shared" si="1301"/>
        <v>卡卡杜-凤凰仓</v>
      </c>
      <c r="B4078" s="1" t="str">
        <f>"CK20241022337"</f>
        <v>CK20241022337</v>
      </c>
      <c r="C4078" s="1" t="str">
        <f>"DD2024102253963"</f>
        <v>DD2024102253963</v>
      </c>
      <c r="D4078" s="1" t="str">
        <f>"CK2024102250816"</f>
        <v>CK2024102250816</v>
      </c>
      <c r="E4078" s="1" t="str">
        <f>"3723469614362789120"</f>
        <v>3723469614362789120</v>
      </c>
      <c r="F4078" s="1" t="str">
        <f t="shared" si="1302"/>
        <v>花都四部-凤凰仓</v>
      </c>
      <c r="G4078" s="1" t="str">
        <f t="shared" si="1307"/>
        <v>卡卡杜企业店（视频号）</v>
      </c>
      <c r="H4078" s="1" t="str">
        <f t="shared" si="1303"/>
        <v>正常订单</v>
      </c>
      <c r="I4078" s="1" t="str">
        <f t="shared" si="1304"/>
        <v>已发货</v>
      </c>
      <c r="J4078" s="1" t="str">
        <f>"3"</f>
        <v>3</v>
      </c>
      <c r="K4078" s="1">
        <v>3</v>
      </c>
      <c r="L4078" s="1" t="s">
        <v>44</v>
      </c>
      <c r="M4078" s="1" t="str">
        <f>"海南省 省直辖县级行政区划 乐东黎族自治县 "</f>
        <v xml:space="preserve">海南省 省直辖县级行政区划 乐东黎族自治县 </v>
      </c>
      <c r="N4078" s="1" t="str">
        <f t="shared" si="1296"/>
        <v>凡华云仓-城南圆通-微信视频号</v>
      </c>
      <c r="O4078" s="5" t="s">
        <v>4109</v>
      </c>
      <c r="P4078" s="6">
        <v>0.34</v>
      </c>
      <c r="Q4078" s="11">
        <v>2.2999999999999998</v>
      </c>
      <c r="R4078" s="11"/>
      <c r="S4078" s="11"/>
      <c r="T4078" s="11"/>
      <c r="U4078" s="11">
        <f t="shared" si="1300"/>
        <v>2.2999999999999998</v>
      </c>
      <c r="W4078">
        <v>2.5</v>
      </c>
      <c r="X4078" s="1" t="s">
        <v>44</v>
      </c>
    </row>
    <row r="4079" spans="1:24" x14ac:dyDescent="0.25">
      <c r="A4079" s="1" t="str">
        <f t="shared" si="1301"/>
        <v>卡卡杜-凤凰仓</v>
      </c>
      <c r="B4079" s="1" t="str">
        <f>"CK20241022822"</f>
        <v>CK20241022822</v>
      </c>
      <c r="C4079" s="1" t="str">
        <f>"DD2024102257212"</f>
        <v>DD2024102257212</v>
      </c>
      <c r="D4079" s="1" t="str">
        <f>"CK2024102250815"</f>
        <v>CK2024102250815</v>
      </c>
      <c r="E4079" s="1" t="str">
        <f>"3723469425027976192"</f>
        <v>3723469425027976192</v>
      </c>
      <c r="F4079" s="1" t="str">
        <f t="shared" si="1302"/>
        <v>花都四部-凤凰仓</v>
      </c>
      <c r="G4079" s="1" t="str">
        <f t="shared" si="1307"/>
        <v>卡卡杜企业店（视频号）</v>
      </c>
      <c r="H4079" s="1" t="str">
        <f t="shared" si="1303"/>
        <v>正常订单</v>
      </c>
      <c r="I4079" s="1" t="str">
        <f t="shared" si="1304"/>
        <v>已发货</v>
      </c>
      <c r="J4079" s="1" t="str">
        <f>"2"</f>
        <v>2</v>
      </c>
      <c r="K4079" s="1">
        <v>2</v>
      </c>
      <c r="L4079" s="1" t="s">
        <v>13</v>
      </c>
      <c r="M4079" s="1" t="str">
        <f>"江苏省 苏州市 相城区 "</f>
        <v xml:space="preserve">江苏省 苏州市 相城区 </v>
      </c>
      <c r="N4079" s="1" t="str">
        <f t="shared" si="1296"/>
        <v>凡华云仓-城南圆通-微信视频号</v>
      </c>
      <c r="O4079" s="5" t="s">
        <v>4110</v>
      </c>
      <c r="P4079" s="6">
        <v>0.17</v>
      </c>
      <c r="Q4079" s="11">
        <v>2</v>
      </c>
      <c r="R4079" s="11"/>
      <c r="S4079" s="11"/>
      <c r="T4079" s="11"/>
      <c r="U4079" s="11">
        <f t="shared" si="1300"/>
        <v>2</v>
      </c>
      <c r="W4079">
        <v>2.2000000000000002</v>
      </c>
      <c r="X4079" s="1" t="s">
        <v>13</v>
      </c>
    </row>
    <row r="4080" spans="1:24" x14ac:dyDescent="0.25">
      <c r="A4080" s="1" t="str">
        <f t="shared" si="1301"/>
        <v>卡卡杜-凤凰仓</v>
      </c>
      <c r="B4080" s="1" t="str">
        <f>"CK20241022677"</f>
        <v>CK20241022677</v>
      </c>
      <c r="C4080" s="1" t="str">
        <f>"DD2024102256872"</f>
        <v>DD2024102256872</v>
      </c>
      <c r="D4080" s="1" t="str">
        <f>"CK2024102250814"</f>
        <v>CK2024102250814</v>
      </c>
      <c r="E4080" s="1" t="str">
        <f>"3723469526688732160"</f>
        <v>3723469526688732160</v>
      </c>
      <c r="F4080" s="1" t="str">
        <f t="shared" si="1302"/>
        <v>花都四部-凤凰仓</v>
      </c>
      <c r="G4080" s="1" t="str">
        <f t="shared" si="1307"/>
        <v>卡卡杜企业店（视频号）</v>
      </c>
      <c r="H4080" s="1" t="str">
        <f t="shared" si="1303"/>
        <v>正常订单</v>
      </c>
      <c r="I4080" s="1" t="str">
        <f t="shared" si="1304"/>
        <v>已发货</v>
      </c>
      <c r="J4080" s="1" t="str">
        <f t="shared" si="1315"/>
        <v>5</v>
      </c>
      <c r="K4080" s="1">
        <v>3</v>
      </c>
      <c r="L4080" s="1" t="s">
        <v>80</v>
      </c>
      <c r="M4080" s="1" t="str">
        <f>"河南省 郑州市 郑州高新技术产业开发区 "</f>
        <v xml:space="preserve">河南省 郑州市 郑州高新技术产业开发区 </v>
      </c>
      <c r="N4080" s="1" t="str">
        <f t="shared" si="1296"/>
        <v>凡华云仓-城南圆通-微信视频号</v>
      </c>
      <c r="O4080" s="5" t="s">
        <v>4111</v>
      </c>
      <c r="P4080" s="6">
        <v>0.47</v>
      </c>
      <c r="Q4080" s="11">
        <v>2.2999999999999998</v>
      </c>
      <c r="R4080" s="11"/>
      <c r="S4080" s="11"/>
      <c r="T4080" s="11"/>
      <c r="U4080" s="11">
        <f t="shared" si="1300"/>
        <v>2.2999999999999998</v>
      </c>
      <c r="W4080">
        <v>2.5</v>
      </c>
      <c r="X4080" s="1" t="s">
        <v>80</v>
      </c>
    </row>
    <row r="4081" spans="1:24" x14ac:dyDescent="0.25">
      <c r="A4081" s="1" t="str">
        <f t="shared" si="1301"/>
        <v>卡卡杜-凤凰仓</v>
      </c>
      <c r="B4081" s="1" t="str">
        <f>"CK20241022663"</f>
        <v>CK20241022663</v>
      </c>
      <c r="C4081" s="1" t="str">
        <f>"DD2024102256856"</f>
        <v>DD2024102256856</v>
      </c>
      <c r="D4081" s="1" t="str">
        <f>"CK2024102250813"</f>
        <v>CK2024102250813</v>
      </c>
      <c r="E4081" s="1" t="str">
        <f>"3723469518670792192"</f>
        <v>3723469518670792192</v>
      </c>
      <c r="F4081" s="1" t="str">
        <f t="shared" si="1302"/>
        <v>花都四部-凤凰仓</v>
      </c>
      <c r="G4081" s="1" t="str">
        <f t="shared" si="1307"/>
        <v>卡卡杜企业店（视频号）</v>
      </c>
      <c r="H4081" s="1" t="str">
        <f t="shared" si="1303"/>
        <v>正常订单</v>
      </c>
      <c r="I4081" s="1" t="str">
        <f t="shared" si="1304"/>
        <v>已发货</v>
      </c>
      <c r="J4081" s="1" t="str">
        <f t="shared" si="1315"/>
        <v>5</v>
      </c>
      <c r="K4081" s="1">
        <v>3</v>
      </c>
      <c r="L4081" s="1" t="s">
        <v>16</v>
      </c>
      <c r="M4081" s="1" t="str">
        <f>"河北省 秦皇岛市 海港区 "</f>
        <v xml:space="preserve">河北省 秦皇岛市 海港区 </v>
      </c>
      <c r="N4081" s="1" t="str">
        <f t="shared" ref="N4081:N4144" si="1316">"凡华云仓-城南圆通-微信视频号"</f>
        <v>凡华云仓-城南圆通-微信视频号</v>
      </c>
      <c r="O4081" s="5" t="s">
        <v>4112</v>
      </c>
      <c r="P4081" s="6">
        <v>0.47</v>
      </c>
      <c r="Q4081" s="11">
        <v>2.2999999999999998</v>
      </c>
      <c r="R4081" s="11"/>
      <c r="S4081" s="11"/>
      <c r="T4081" s="11"/>
      <c r="U4081" s="11">
        <f t="shared" si="1300"/>
        <v>2.2999999999999998</v>
      </c>
      <c r="W4081">
        <v>2.5</v>
      </c>
      <c r="X4081" s="1" t="s">
        <v>16</v>
      </c>
    </row>
    <row r="4082" spans="1:24" x14ac:dyDescent="0.25">
      <c r="A4082" s="1" t="str">
        <f t="shared" si="1301"/>
        <v>卡卡杜-凤凰仓</v>
      </c>
      <c r="B4082" s="1" t="str">
        <f>"CK20241022664"</f>
        <v>CK20241022664</v>
      </c>
      <c r="C4082" s="1" t="str">
        <f>"DD2024102256859"</f>
        <v>DD2024102256859</v>
      </c>
      <c r="D4082" s="1" t="str">
        <f>"CK2024102250812"</f>
        <v>CK2024102250812</v>
      </c>
      <c r="E4082" s="1" t="str">
        <f>"3723469511932904704"</f>
        <v>3723469511932904704</v>
      </c>
      <c r="F4082" s="1" t="str">
        <f t="shared" si="1302"/>
        <v>花都四部-凤凰仓</v>
      </c>
      <c r="G4082" s="1" t="str">
        <f t="shared" si="1307"/>
        <v>卡卡杜企业店（视频号）</v>
      </c>
      <c r="H4082" s="1" t="str">
        <f t="shared" si="1303"/>
        <v>正常订单</v>
      </c>
      <c r="I4082" s="1" t="str">
        <f t="shared" si="1304"/>
        <v>已发货</v>
      </c>
      <c r="J4082" s="1" t="str">
        <f t="shared" si="1315"/>
        <v>5</v>
      </c>
      <c r="K4082" s="1">
        <v>3</v>
      </c>
      <c r="L4082" s="1" t="s">
        <v>218</v>
      </c>
      <c r="M4082" s="1" t="str">
        <f>"天津 天津市 西青区 "</f>
        <v xml:space="preserve">天津 天津市 西青区 </v>
      </c>
      <c r="N4082" s="1" t="str">
        <f t="shared" si="1316"/>
        <v>凡华云仓-城南圆通-微信视频号</v>
      </c>
      <c r="O4082" s="5" t="s">
        <v>4113</v>
      </c>
      <c r="P4082" s="6">
        <v>0.47</v>
      </c>
      <c r="Q4082" s="11">
        <v>2.2999999999999998</v>
      </c>
      <c r="R4082" s="11"/>
      <c r="S4082" s="11"/>
      <c r="T4082" s="11"/>
      <c r="U4082" s="11">
        <f t="shared" si="1300"/>
        <v>2.2999999999999998</v>
      </c>
      <c r="W4082">
        <v>2.5</v>
      </c>
      <c r="X4082" s="1" t="s">
        <v>218</v>
      </c>
    </row>
    <row r="4083" spans="1:24" x14ac:dyDescent="0.25">
      <c r="A4083" s="1" t="str">
        <f t="shared" si="1301"/>
        <v>卡卡杜-凤凰仓</v>
      </c>
      <c r="B4083" s="1" t="str">
        <f>"CK20241022665"</f>
        <v>CK20241022665</v>
      </c>
      <c r="C4083" s="1" t="str">
        <f>"DD2024102256860"</f>
        <v>DD2024102256860</v>
      </c>
      <c r="D4083" s="1" t="str">
        <f>"CK2024102250811"</f>
        <v>CK2024102250811</v>
      </c>
      <c r="E4083" s="1" t="str">
        <f>"3723469511159844864"</f>
        <v>3723469511159844864</v>
      </c>
      <c r="F4083" s="1" t="str">
        <f t="shared" si="1302"/>
        <v>花都四部-凤凰仓</v>
      </c>
      <c r="G4083" s="1" t="str">
        <f t="shared" si="1307"/>
        <v>卡卡杜企业店（视频号）</v>
      </c>
      <c r="H4083" s="1" t="str">
        <f t="shared" si="1303"/>
        <v>正常订单</v>
      </c>
      <c r="I4083" s="1" t="str">
        <f t="shared" si="1304"/>
        <v>已发货</v>
      </c>
      <c r="J4083" s="1" t="str">
        <f t="shared" si="1315"/>
        <v>5</v>
      </c>
      <c r="K4083" s="1">
        <v>3</v>
      </c>
      <c r="L4083" s="1" t="s">
        <v>18</v>
      </c>
      <c r="M4083" s="1" t="str">
        <f>"广东省 深圳市 光明区 "</f>
        <v xml:space="preserve">广东省 深圳市 光明区 </v>
      </c>
      <c r="N4083" s="1" t="str">
        <f t="shared" si="1316"/>
        <v>凡华云仓-城南圆通-微信视频号</v>
      </c>
      <c r="O4083" s="5" t="s">
        <v>4114</v>
      </c>
      <c r="P4083" s="6">
        <v>0.47</v>
      </c>
      <c r="Q4083" s="11">
        <v>2.2999999999999998</v>
      </c>
      <c r="R4083" s="11"/>
      <c r="S4083" s="11"/>
      <c r="T4083" s="11"/>
      <c r="U4083" s="11">
        <f t="shared" si="1300"/>
        <v>2.2999999999999998</v>
      </c>
      <c r="W4083">
        <v>2.5</v>
      </c>
      <c r="X4083" s="1" t="s">
        <v>18</v>
      </c>
    </row>
    <row r="4084" spans="1:24" x14ac:dyDescent="0.25">
      <c r="A4084" s="1" t="str">
        <f t="shared" si="1301"/>
        <v>卡卡杜-凤凰仓</v>
      </c>
      <c r="B4084" s="1" t="str">
        <f>"CK20241022678"</f>
        <v>CK20241022678</v>
      </c>
      <c r="C4084" s="1" t="str">
        <f>"DD2024102256873"</f>
        <v>DD2024102256873</v>
      </c>
      <c r="D4084" s="1" t="str">
        <f>"CK2024102250810"</f>
        <v>CK2024102250810</v>
      </c>
      <c r="E4084" s="1" t="str">
        <f>"3723469518159348992"</f>
        <v>3723469518159348992</v>
      </c>
      <c r="F4084" s="1" t="str">
        <f t="shared" si="1302"/>
        <v>花都四部-凤凰仓</v>
      </c>
      <c r="G4084" s="1" t="str">
        <f t="shared" si="1307"/>
        <v>卡卡杜企业店（视频号）</v>
      </c>
      <c r="H4084" s="1" t="str">
        <f t="shared" si="1303"/>
        <v>正常订单</v>
      </c>
      <c r="I4084" s="1" t="str">
        <f t="shared" si="1304"/>
        <v>已发货</v>
      </c>
      <c r="J4084" s="1" t="str">
        <f t="shared" si="1315"/>
        <v>5</v>
      </c>
      <c r="K4084" s="1">
        <v>3</v>
      </c>
      <c r="L4084" s="1" t="s">
        <v>47</v>
      </c>
      <c r="M4084" s="1" t="str">
        <f>"重庆 重庆市 南岸区 "</f>
        <v xml:space="preserve">重庆 重庆市 南岸区 </v>
      </c>
      <c r="N4084" s="1" t="str">
        <f t="shared" si="1316"/>
        <v>凡华云仓-城南圆通-微信视频号</v>
      </c>
      <c r="O4084" s="5" t="s">
        <v>4115</v>
      </c>
      <c r="P4084" s="6">
        <v>0.47</v>
      </c>
      <c r="Q4084" s="11">
        <v>2.2999999999999998</v>
      </c>
      <c r="R4084" s="11"/>
      <c r="S4084" s="11"/>
      <c r="T4084" s="11"/>
      <c r="U4084" s="11">
        <f t="shared" si="1300"/>
        <v>2.2999999999999998</v>
      </c>
      <c r="W4084">
        <v>2.5</v>
      </c>
      <c r="X4084" s="1" t="s">
        <v>47</v>
      </c>
    </row>
    <row r="4085" spans="1:24" x14ac:dyDescent="0.25">
      <c r="A4085" s="1" t="str">
        <f t="shared" si="1301"/>
        <v>卡卡杜-凤凰仓</v>
      </c>
      <c r="B4085" s="1" t="str">
        <f>"CK20241022680"</f>
        <v>CK20241022680</v>
      </c>
      <c r="C4085" s="1" t="str">
        <f>"DD2024102256875"</f>
        <v>DD2024102256875</v>
      </c>
      <c r="D4085" s="1" t="str">
        <f>"CK2024102250809"</f>
        <v>CK2024102250809</v>
      </c>
      <c r="E4085" s="1" t="str">
        <f>"3723469510809096194"</f>
        <v>3723469510809096194</v>
      </c>
      <c r="F4085" s="1" t="str">
        <f t="shared" si="1302"/>
        <v>花都四部-凤凰仓</v>
      </c>
      <c r="G4085" s="1" t="str">
        <f t="shared" si="1307"/>
        <v>卡卡杜企业店（视频号）</v>
      </c>
      <c r="H4085" s="1" t="str">
        <f t="shared" si="1303"/>
        <v>正常订单</v>
      </c>
      <c r="I4085" s="1" t="str">
        <f t="shared" si="1304"/>
        <v>已发货</v>
      </c>
      <c r="J4085" s="1" t="str">
        <f t="shared" si="1315"/>
        <v>5</v>
      </c>
      <c r="K4085" s="1">
        <v>3</v>
      </c>
      <c r="L4085" s="1" t="s">
        <v>80</v>
      </c>
      <c r="M4085" s="1" t="str">
        <f>"河南省 洛阳市 涧西区 "</f>
        <v xml:space="preserve">河南省 洛阳市 涧西区 </v>
      </c>
      <c r="N4085" s="1" t="str">
        <f t="shared" si="1316"/>
        <v>凡华云仓-城南圆通-微信视频号</v>
      </c>
      <c r="O4085" s="5" t="s">
        <v>4116</v>
      </c>
      <c r="P4085" s="6">
        <v>0.47</v>
      </c>
      <c r="Q4085" s="11">
        <v>2.2999999999999998</v>
      </c>
      <c r="R4085" s="11"/>
      <c r="S4085" s="11"/>
      <c r="T4085" s="11"/>
      <c r="U4085" s="11">
        <f t="shared" si="1300"/>
        <v>2.2999999999999998</v>
      </c>
      <c r="W4085">
        <v>2.5</v>
      </c>
      <c r="X4085" s="1" t="s">
        <v>80</v>
      </c>
    </row>
    <row r="4086" spans="1:24" x14ac:dyDescent="0.25">
      <c r="A4086" s="1" t="str">
        <f t="shared" si="1301"/>
        <v>卡卡杜-凤凰仓</v>
      </c>
      <c r="B4086" s="1" t="str">
        <f>"CK20241022679"</f>
        <v>CK20241022679</v>
      </c>
      <c r="C4086" s="1" t="str">
        <f>"DD2024102256874"</f>
        <v>DD2024102256874</v>
      </c>
      <c r="D4086" s="1" t="str">
        <f>"CK2024102250808"</f>
        <v>CK2024102250808</v>
      </c>
      <c r="E4086" s="1" t="str">
        <f>"3723469509972593664"</f>
        <v>3723469509972593664</v>
      </c>
      <c r="F4086" s="1" t="str">
        <f t="shared" si="1302"/>
        <v>花都四部-凤凰仓</v>
      </c>
      <c r="G4086" s="1" t="str">
        <f t="shared" si="1307"/>
        <v>卡卡杜企业店（视频号）</v>
      </c>
      <c r="H4086" s="1" t="str">
        <f t="shared" si="1303"/>
        <v>正常订单</v>
      </c>
      <c r="I4086" s="1" t="str">
        <f t="shared" si="1304"/>
        <v>已发货</v>
      </c>
      <c r="J4086" s="1" t="str">
        <f t="shared" si="1315"/>
        <v>5</v>
      </c>
      <c r="K4086" s="1">
        <v>3</v>
      </c>
      <c r="L4086" s="1" t="s">
        <v>66</v>
      </c>
      <c r="M4086" s="1" t="str">
        <f>"内蒙古自治区 呼和浩特市 回民区 "</f>
        <v xml:space="preserve">内蒙古自治区 呼和浩特市 回民区 </v>
      </c>
      <c r="N4086" s="1" t="str">
        <f t="shared" si="1316"/>
        <v>凡华云仓-城南圆通-微信视频号</v>
      </c>
      <c r="O4086" s="5" t="s">
        <v>4117</v>
      </c>
      <c r="P4086" s="6">
        <v>0.47</v>
      </c>
      <c r="Q4086" s="11">
        <v>2.2999999999999998</v>
      </c>
      <c r="R4086" s="11"/>
      <c r="S4086" s="11"/>
      <c r="T4086" s="11"/>
      <c r="U4086" s="11">
        <f t="shared" si="1300"/>
        <v>2.2999999999999998</v>
      </c>
      <c r="W4086">
        <v>2.5</v>
      </c>
      <c r="X4086" s="1" t="s">
        <v>66</v>
      </c>
    </row>
    <row r="4087" spans="1:24" x14ac:dyDescent="0.25">
      <c r="A4087" s="1" t="str">
        <f t="shared" si="1301"/>
        <v>卡卡杜-凤凰仓</v>
      </c>
      <c r="B4087" s="1" t="str">
        <f>"CK20241022681"</f>
        <v>CK20241022681</v>
      </c>
      <c r="C4087" s="1" t="str">
        <f>"DD2024102256876"</f>
        <v>DD2024102256876</v>
      </c>
      <c r="D4087" s="1" t="str">
        <f>"CK2024102250807"</f>
        <v>CK2024102250807</v>
      </c>
      <c r="E4087" s="1" t="str">
        <f>"3723469510835573760"</f>
        <v>3723469510835573760</v>
      </c>
      <c r="F4087" s="1" t="str">
        <f t="shared" si="1302"/>
        <v>花都四部-凤凰仓</v>
      </c>
      <c r="G4087" s="1" t="str">
        <f t="shared" si="1307"/>
        <v>卡卡杜企业店（视频号）</v>
      </c>
      <c r="H4087" s="1" t="str">
        <f t="shared" si="1303"/>
        <v>正常订单</v>
      </c>
      <c r="I4087" s="1" t="str">
        <f t="shared" si="1304"/>
        <v>已发货</v>
      </c>
      <c r="J4087" s="1" t="str">
        <f t="shared" si="1315"/>
        <v>5</v>
      </c>
      <c r="K4087" s="1">
        <v>3</v>
      </c>
      <c r="L4087" s="1" t="s">
        <v>30</v>
      </c>
      <c r="M4087" s="1" t="str">
        <f>"山东省 临沂市 兰山区 "</f>
        <v xml:space="preserve">山东省 临沂市 兰山区 </v>
      </c>
      <c r="N4087" s="1" t="str">
        <f t="shared" si="1316"/>
        <v>凡华云仓-城南圆通-微信视频号</v>
      </c>
      <c r="O4087" s="5" t="s">
        <v>4118</v>
      </c>
      <c r="P4087" s="6">
        <v>0.47</v>
      </c>
      <c r="Q4087" s="11">
        <v>2.2999999999999998</v>
      </c>
      <c r="R4087" s="11"/>
      <c r="S4087" s="11"/>
      <c r="T4087" s="11"/>
      <c r="U4087" s="11">
        <f t="shared" si="1300"/>
        <v>2.2999999999999998</v>
      </c>
      <c r="W4087">
        <v>2.5</v>
      </c>
      <c r="X4087" s="1" t="s">
        <v>30</v>
      </c>
    </row>
    <row r="4088" spans="1:24" x14ac:dyDescent="0.25">
      <c r="A4088" s="1" t="str">
        <f t="shared" si="1301"/>
        <v>卡卡杜-凤凰仓</v>
      </c>
      <c r="B4088" s="1" t="str">
        <f>"CK20241022682"</f>
        <v>CK20241022682</v>
      </c>
      <c r="C4088" s="1" t="str">
        <f>"DD2024102256877"</f>
        <v>DD2024102256877</v>
      </c>
      <c r="D4088" s="1" t="str">
        <f>"CK2024102250806"</f>
        <v>CK2024102250806</v>
      </c>
      <c r="E4088" s="1" t="str">
        <f>"3723469510346675200"</f>
        <v>3723469510346675200</v>
      </c>
      <c r="F4088" s="1" t="str">
        <f t="shared" si="1302"/>
        <v>花都四部-凤凰仓</v>
      </c>
      <c r="G4088" s="1" t="str">
        <f t="shared" si="1307"/>
        <v>卡卡杜企业店（视频号）</v>
      </c>
      <c r="H4088" s="1" t="str">
        <f t="shared" si="1303"/>
        <v>正常订单</v>
      </c>
      <c r="I4088" s="1" t="str">
        <f t="shared" si="1304"/>
        <v>已发货</v>
      </c>
      <c r="J4088" s="1" t="str">
        <f t="shared" si="1315"/>
        <v>5</v>
      </c>
      <c r="K4088" s="1">
        <v>3</v>
      </c>
      <c r="L4088" s="1" t="s">
        <v>60</v>
      </c>
      <c r="M4088" s="1" t="str">
        <f>"云南省 昆明市 西山区 "</f>
        <v xml:space="preserve">云南省 昆明市 西山区 </v>
      </c>
      <c r="N4088" s="1" t="str">
        <f t="shared" si="1316"/>
        <v>凡华云仓-城南圆通-微信视频号</v>
      </c>
      <c r="O4088" s="5" t="s">
        <v>4119</v>
      </c>
      <c r="P4088" s="6">
        <v>0.47</v>
      </c>
      <c r="Q4088" s="11">
        <v>2.2999999999999998</v>
      </c>
      <c r="R4088" s="11"/>
      <c r="S4088" s="11"/>
      <c r="T4088" s="11"/>
      <c r="U4088" s="11">
        <f t="shared" si="1300"/>
        <v>2.2999999999999998</v>
      </c>
      <c r="W4088">
        <v>2.5</v>
      </c>
      <c r="X4088" s="1" t="s">
        <v>60</v>
      </c>
    </row>
    <row r="4089" spans="1:24" x14ac:dyDescent="0.25">
      <c r="A4089" s="1" t="str">
        <f t="shared" si="1301"/>
        <v>卡卡杜-凤凰仓</v>
      </c>
      <c r="B4089" s="1" t="str">
        <f>"CK20241022683"</f>
        <v>CK20241022683</v>
      </c>
      <c r="C4089" s="1" t="str">
        <f>"DD2024102256879"</f>
        <v>DD2024102256879</v>
      </c>
      <c r="D4089" s="1" t="str">
        <f>"CK2024102250805"</f>
        <v>CK2024102250805</v>
      </c>
      <c r="E4089" s="1" t="str">
        <f>"3723469503990729728"</f>
        <v>3723469503990729728</v>
      </c>
      <c r="F4089" s="1" t="str">
        <f t="shared" si="1302"/>
        <v>花都四部-凤凰仓</v>
      </c>
      <c r="G4089" s="1" t="str">
        <f t="shared" si="1307"/>
        <v>卡卡杜企业店（视频号）</v>
      </c>
      <c r="H4089" s="1" t="str">
        <f t="shared" si="1303"/>
        <v>正常订单</v>
      </c>
      <c r="I4089" s="1" t="str">
        <f t="shared" si="1304"/>
        <v>已发货</v>
      </c>
      <c r="J4089" s="1" t="str">
        <f t="shared" si="1315"/>
        <v>5</v>
      </c>
      <c r="K4089" s="1">
        <v>3</v>
      </c>
      <c r="L4089" s="1" t="s">
        <v>74</v>
      </c>
      <c r="M4089" s="1" t="str">
        <f>"上海 上海市 虹口区 "</f>
        <v xml:space="preserve">上海 上海市 虹口区 </v>
      </c>
      <c r="N4089" s="1" t="str">
        <f t="shared" si="1316"/>
        <v>凡华云仓-城南圆通-微信视频号</v>
      </c>
      <c r="O4089" s="5" t="s">
        <v>4120</v>
      </c>
      <c r="P4089" s="6">
        <v>0.47</v>
      </c>
      <c r="Q4089" s="11">
        <v>2.2999999999999998</v>
      </c>
      <c r="R4089" s="11"/>
      <c r="S4089" s="11"/>
      <c r="T4089" s="11"/>
      <c r="U4089" s="11">
        <f t="shared" si="1300"/>
        <v>2.2999999999999998</v>
      </c>
      <c r="W4089">
        <v>2.5</v>
      </c>
      <c r="X4089" s="1" t="s">
        <v>74</v>
      </c>
    </row>
    <row r="4090" spans="1:24" x14ac:dyDescent="0.25">
      <c r="A4090" s="1" t="str">
        <f t="shared" si="1301"/>
        <v>卡卡杜-凤凰仓</v>
      </c>
      <c r="B4090" s="1" t="str">
        <f>"CK20241022684"</f>
        <v>CK20241022684</v>
      </c>
      <c r="C4090" s="1" t="str">
        <f>"DD2024102256878"</f>
        <v>DD2024102256878</v>
      </c>
      <c r="D4090" s="1" t="str">
        <f>"CK2024102250804"</f>
        <v>CK2024102250804</v>
      </c>
      <c r="E4090" s="1" t="str">
        <f>"3723469492662701056"</f>
        <v>3723469492662701056</v>
      </c>
      <c r="F4090" s="1" t="str">
        <f t="shared" si="1302"/>
        <v>花都四部-凤凰仓</v>
      </c>
      <c r="G4090" s="1" t="str">
        <f t="shared" si="1307"/>
        <v>卡卡杜企业店（视频号）</v>
      </c>
      <c r="H4090" s="1" t="str">
        <f t="shared" si="1303"/>
        <v>正常订单</v>
      </c>
      <c r="I4090" s="1" t="str">
        <f t="shared" si="1304"/>
        <v>已发货</v>
      </c>
      <c r="J4090" s="1" t="str">
        <f t="shared" si="1315"/>
        <v>5</v>
      </c>
      <c r="K4090" s="1">
        <v>3</v>
      </c>
      <c r="L4090" s="1" t="s">
        <v>54</v>
      </c>
      <c r="M4090" s="1" t="str">
        <f>"黑龙江省 齐齐哈尔市 龙沙区 "</f>
        <v xml:space="preserve">黑龙江省 齐齐哈尔市 龙沙区 </v>
      </c>
      <c r="N4090" s="1" t="str">
        <f t="shared" si="1316"/>
        <v>凡华云仓-城南圆通-微信视频号</v>
      </c>
      <c r="O4090" s="5" t="s">
        <v>4121</v>
      </c>
      <c r="P4090" s="6">
        <v>0.47</v>
      </c>
      <c r="Q4090" s="11">
        <v>2.2999999999999998</v>
      </c>
      <c r="R4090" s="11"/>
      <c r="S4090" s="11"/>
      <c r="T4090" s="11"/>
      <c r="U4090" s="11">
        <f t="shared" si="1300"/>
        <v>2.2999999999999998</v>
      </c>
      <c r="W4090">
        <v>2.5</v>
      </c>
      <c r="X4090" s="1" t="s">
        <v>54</v>
      </c>
    </row>
    <row r="4091" spans="1:24" x14ac:dyDescent="0.25">
      <c r="A4091" s="1" t="str">
        <f t="shared" si="1301"/>
        <v>卡卡杜-凤凰仓</v>
      </c>
      <c r="B4091" s="1" t="str">
        <f>"CK20241022983"</f>
        <v>CK20241022983</v>
      </c>
      <c r="C4091" s="1" t="str">
        <f>"DD2024102257779"</f>
        <v>DD2024102257779</v>
      </c>
      <c r="D4091" s="1" t="str">
        <f>"CK2024102250803"</f>
        <v>CK2024102250803</v>
      </c>
      <c r="E4091" s="1" t="str">
        <f>"3723469461206471680"</f>
        <v>3723469461206471680</v>
      </c>
      <c r="F4091" s="1" t="str">
        <f t="shared" si="1302"/>
        <v>花都四部-凤凰仓</v>
      </c>
      <c r="G4091" s="1" t="str">
        <f t="shared" si="1307"/>
        <v>卡卡杜企业店（视频号）</v>
      </c>
      <c r="H4091" s="1" t="str">
        <f t="shared" si="1303"/>
        <v>正常订单</v>
      </c>
      <c r="I4091" s="1" t="str">
        <f t="shared" si="1304"/>
        <v>已发货</v>
      </c>
      <c r="J4091" s="1" t="str">
        <f t="shared" ref="J4091:J4097" si="1317">"3"</f>
        <v>3</v>
      </c>
      <c r="K4091" s="1">
        <v>2</v>
      </c>
      <c r="L4091" s="1" t="s">
        <v>187</v>
      </c>
      <c r="M4091" s="1" t="str">
        <f>"吉林省 长春市 南关区 "</f>
        <v xml:space="preserve">吉林省 长春市 南关区 </v>
      </c>
      <c r="N4091" s="1" t="str">
        <f t="shared" si="1316"/>
        <v>凡华云仓-城南圆通-微信视频号</v>
      </c>
      <c r="O4091" s="5" t="s">
        <v>4122</v>
      </c>
      <c r="P4091" s="6">
        <v>0.24</v>
      </c>
      <c r="Q4091" s="11">
        <v>2</v>
      </c>
      <c r="R4091" s="11"/>
      <c r="S4091" s="11"/>
      <c r="T4091" s="11"/>
      <c r="U4091" s="11">
        <f t="shared" si="1300"/>
        <v>2</v>
      </c>
      <c r="W4091">
        <v>2.2000000000000002</v>
      </c>
      <c r="X4091" s="1" t="s">
        <v>187</v>
      </c>
    </row>
    <row r="4092" spans="1:24" x14ac:dyDescent="0.25">
      <c r="A4092" s="1" t="str">
        <f t="shared" si="1301"/>
        <v>卡卡杜-凤凰仓</v>
      </c>
      <c r="B4092" s="1" t="str">
        <f>"CK20241022757"</f>
        <v>CK20241022757</v>
      </c>
      <c r="C4092" s="1" t="str">
        <f>"DD2024102257060"</f>
        <v>DD2024102257060</v>
      </c>
      <c r="D4092" s="1" t="str">
        <f>"CK2024102250802"</f>
        <v>CK2024102250802</v>
      </c>
      <c r="E4092" s="1" t="str">
        <f>"3723469445332337920"</f>
        <v>3723469445332337920</v>
      </c>
      <c r="F4092" s="1" t="str">
        <f t="shared" si="1302"/>
        <v>花都四部-凤凰仓</v>
      </c>
      <c r="G4092" s="1" t="str">
        <f t="shared" si="1307"/>
        <v>卡卡杜企业店（视频号）</v>
      </c>
      <c r="H4092" s="1" t="str">
        <f t="shared" si="1303"/>
        <v>正常订单</v>
      </c>
      <c r="I4092" s="1" t="str">
        <f t="shared" si="1304"/>
        <v>已发货</v>
      </c>
      <c r="J4092" s="1" t="str">
        <f t="shared" si="1317"/>
        <v>3</v>
      </c>
      <c r="K4092" s="1">
        <v>2</v>
      </c>
      <c r="L4092" s="1" t="s">
        <v>66</v>
      </c>
      <c r="M4092" s="1" t="str">
        <f>"内蒙古自治区 呼和浩特市 回民区 "</f>
        <v xml:space="preserve">内蒙古自治区 呼和浩特市 回民区 </v>
      </c>
      <c r="N4092" s="1" t="str">
        <f t="shared" si="1316"/>
        <v>凡华云仓-城南圆通-微信视频号</v>
      </c>
      <c r="O4092" s="5" t="s">
        <v>4123</v>
      </c>
      <c r="P4092" s="6">
        <v>0.24</v>
      </c>
      <c r="Q4092" s="11">
        <v>2</v>
      </c>
      <c r="R4092" s="11"/>
      <c r="S4092" s="11"/>
      <c r="T4092" s="11"/>
      <c r="U4092" s="11">
        <f t="shared" si="1300"/>
        <v>2</v>
      </c>
      <c r="W4092">
        <v>2.2000000000000002</v>
      </c>
      <c r="X4092" s="1" t="s">
        <v>66</v>
      </c>
    </row>
    <row r="4093" spans="1:24" x14ac:dyDescent="0.25">
      <c r="A4093" s="1" t="str">
        <f t="shared" si="1301"/>
        <v>卡卡杜-凤凰仓</v>
      </c>
      <c r="B4093" s="1" t="str">
        <f>"CK20241022723"</f>
        <v>CK20241022723</v>
      </c>
      <c r="C4093" s="1" t="str">
        <f>"DD2024102257026"</f>
        <v>DD2024102257026</v>
      </c>
      <c r="D4093" s="1" t="str">
        <f>"CK2024102250801"</f>
        <v>CK2024102250801</v>
      </c>
      <c r="E4093" s="1" t="str">
        <f>"3723469428856063488"</f>
        <v>3723469428856063488</v>
      </c>
      <c r="F4093" s="1" t="str">
        <f t="shared" si="1302"/>
        <v>花都四部-凤凰仓</v>
      </c>
      <c r="G4093" s="1" t="str">
        <f t="shared" si="1307"/>
        <v>卡卡杜企业店（视频号）</v>
      </c>
      <c r="H4093" s="1" t="str">
        <f t="shared" si="1303"/>
        <v>正常订单</v>
      </c>
      <c r="I4093" s="1" t="str">
        <f t="shared" si="1304"/>
        <v>已发货</v>
      </c>
      <c r="J4093" s="1" t="str">
        <f t="shared" ref="J4093:J4099" si="1318">"2"</f>
        <v>2</v>
      </c>
      <c r="K4093" s="1">
        <v>2</v>
      </c>
      <c r="L4093" s="1" t="s">
        <v>161</v>
      </c>
      <c r="M4093" s="1" t="str">
        <f>"四川省 成都市 双流区 "</f>
        <v xml:space="preserve">四川省 成都市 双流区 </v>
      </c>
      <c r="N4093" s="1" t="str">
        <f t="shared" si="1316"/>
        <v>凡华云仓-城南圆通-微信视频号</v>
      </c>
      <c r="O4093" s="5" t="s">
        <v>4124</v>
      </c>
      <c r="P4093" s="6">
        <v>0.17</v>
      </c>
      <c r="Q4093" s="11">
        <v>2</v>
      </c>
      <c r="R4093" s="11"/>
      <c r="S4093" s="11"/>
      <c r="T4093" s="11"/>
      <c r="U4093" s="11">
        <f t="shared" si="1300"/>
        <v>2</v>
      </c>
      <c r="W4093">
        <v>2.2000000000000002</v>
      </c>
      <c r="X4093" s="1" t="s">
        <v>161</v>
      </c>
    </row>
    <row r="4094" spans="1:24" x14ac:dyDescent="0.25">
      <c r="A4094" s="1" t="str">
        <f t="shared" si="1301"/>
        <v>卡卡杜-凤凰仓</v>
      </c>
      <c r="B4094" s="1" t="str">
        <f>"CK20241022702"</f>
        <v>CK20241022702</v>
      </c>
      <c r="C4094" s="1" t="str">
        <f>"DD2024102257005"</f>
        <v>DD2024102257005</v>
      </c>
      <c r="D4094" s="1" t="str">
        <f>"CK2024102250800"</f>
        <v>CK2024102250800</v>
      </c>
      <c r="E4094" s="1" t="str">
        <f>"3723469421421136896"</f>
        <v>3723469421421136896</v>
      </c>
      <c r="F4094" s="1" t="str">
        <f t="shared" si="1302"/>
        <v>花都四部-凤凰仓</v>
      </c>
      <c r="G4094" s="1" t="str">
        <f t="shared" si="1307"/>
        <v>卡卡杜企业店（视频号）</v>
      </c>
      <c r="H4094" s="1" t="str">
        <f t="shared" si="1303"/>
        <v>正常订单</v>
      </c>
      <c r="I4094" s="1" t="str">
        <f t="shared" si="1304"/>
        <v>已发货</v>
      </c>
      <c r="J4094" s="1" t="str">
        <f t="shared" si="1318"/>
        <v>2</v>
      </c>
      <c r="K4094" s="1">
        <v>2</v>
      </c>
      <c r="L4094" s="1" t="s">
        <v>80</v>
      </c>
      <c r="M4094" s="1" t="str">
        <f>"河南省 郑州市 郑州高新技术产业开发区 "</f>
        <v xml:space="preserve">河南省 郑州市 郑州高新技术产业开发区 </v>
      </c>
      <c r="N4094" s="1" t="str">
        <f t="shared" si="1316"/>
        <v>凡华云仓-城南圆通-微信视频号</v>
      </c>
      <c r="O4094" s="5" t="s">
        <v>4125</v>
      </c>
      <c r="P4094" s="6">
        <v>0.17</v>
      </c>
      <c r="Q4094" s="11">
        <v>2</v>
      </c>
      <c r="R4094" s="11"/>
      <c r="S4094" s="11"/>
      <c r="T4094" s="11"/>
      <c r="U4094" s="11">
        <f t="shared" si="1300"/>
        <v>2</v>
      </c>
      <c r="W4094">
        <v>2.2000000000000002</v>
      </c>
      <c r="X4094" s="1" t="s">
        <v>80</v>
      </c>
    </row>
    <row r="4095" spans="1:24" x14ac:dyDescent="0.25">
      <c r="A4095" s="1" t="str">
        <f t="shared" si="1301"/>
        <v>卡卡杜-凤凰仓</v>
      </c>
      <c r="B4095" s="1" t="str">
        <f>"CK20241022692"</f>
        <v>CK20241022692</v>
      </c>
      <c r="C4095" s="1" t="str">
        <f>"DD2024102256996"</f>
        <v>DD2024102256996</v>
      </c>
      <c r="D4095" s="1" t="str">
        <f>"CK2024102250799"</f>
        <v>CK2024102250799</v>
      </c>
      <c r="E4095" s="1" t="str">
        <f>"3723469410416071680"</f>
        <v>3723469410416071680</v>
      </c>
      <c r="F4095" s="1" t="str">
        <f t="shared" si="1302"/>
        <v>花都四部-凤凰仓</v>
      </c>
      <c r="G4095" s="1" t="str">
        <f t="shared" si="1307"/>
        <v>卡卡杜企业店（视频号）</v>
      </c>
      <c r="H4095" s="1" t="str">
        <f t="shared" si="1303"/>
        <v>正常订单</v>
      </c>
      <c r="I4095" s="1" t="str">
        <f t="shared" si="1304"/>
        <v>已发货</v>
      </c>
      <c r="J4095" s="1" t="str">
        <f t="shared" si="1317"/>
        <v>3</v>
      </c>
      <c r="K4095" s="1">
        <v>2</v>
      </c>
      <c r="L4095" s="1" t="s">
        <v>41</v>
      </c>
      <c r="M4095" s="1" t="str">
        <f>"湖北省 武汉市 东西湖区 "</f>
        <v xml:space="preserve">湖北省 武汉市 东西湖区 </v>
      </c>
      <c r="N4095" s="1" t="str">
        <f t="shared" si="1316"/>
        <v>凡华云仓-城南圆通-微信视频号</v>
      </c>
      <c r="O4095" s="5" t="s">
        <v>4126</v>
      </c>
      <c r="P4095" s="6">
        <v>0.24</v>
      </c>
      <c r="Q4095" s="11">
        <v>2</v>
      </c>
      <c r="R4095" s="11"/>
      <c r="S4095" s="11"/>
      <c r="T4095" s="11"/>
      <c r="U4095" s="11">
        <f t="shared" si="1300"/>
        <v>2</v>
      </c>
      <c r="W4095">
        <v>2.2000000000000002</v>
      </c>
      <c r="X4095" s="1" t="s">
        <v>41</v>
      </c>
    </row>
    <row r="4096" spans="1:24" x14ac:dyDescent="0.25">
      <c r="A4096" s="1" t="str">
        <f t="shared" si="1301"/>
        <v>卡卡杜-凤凰仓</v>
      </c>
      <c r="B4096" s="1" t="str">
        <f>"CK20241022732"</f>
        <v>CK20241022732</v>
      </c>
      <c r="C4096" s="1" t="str">
        <f>"DD2024102257035"</f>
        <v>DD2024102257035</v>
      </c>
      <c r="D4096" s="1" t="str">
        <f>"CK2024102250798"</f>
        <v>CK2024102250798</v>
      </c>
      <c r="E4096" s="1" t="str">
        <f>"3723469412871570688"</f>
        <v>3723469412871570688</v>
      </c>
      <c r="F4096" s="1" t="str">
        <f t="shared" si="1302"/>
        <v>花都四部-凤凰仓</v>
      </c>
      <c r="G4096" s="1" t="str">
        <f t="shared" si="1307"/>
        <v>卡卡杜企业店（视频号）</v>
      </c>
      <c r="H4096" s="1" t="str">
        <f t="shared" si="1303"/>
        <v>正常订单</v>
      </c>
      <c r="I4096" s="1" t="str">
        <f t="shared" si="1304"/>
        <v>已发货</v>
      </c>
      <c r="J4096" s="1" t="str">
        <f t="shared" si="1317"/>
        <v>3</v>
      </c>
      <c r="K4096" s="1">
        <v>2</v>
      </c>
      <c r="L4096" s="1" t="s">
        <v>52</v>
      </c>
      <c r="M4096" s="1" t="str">
        <f>"甘肃省 兰州市 七里河区 "</f>
        <v xml:space="preserve">甘肃省 兰州市 七里河区 </v>
      </c>
      <c r="N4096" s="1" t="str">
        <f t="shared" si="1316"/>
        <v>凡华云仓-城南圆通-微信视频号</v>
      </c>
      <c r="O4096" s="5" t="s">
        <v>4127</v>
      </c>
      <c r="P4096" s="6">
        <v>0.24</v>
      </c>
      <c r="Q4096" s="11">
        <v>2</v>
      </c>
      <c r="R4096" s="11"/>
      <c r="S4096" s="11"/>
      <c r="T4096" s="11"/>
      <c r="U4096" s="11">
        <f t="shared" si="1300"/>
        <v>2</v>
      </c>
      <c r="W4096">
        <v>2.2000000000000002</v>
      </c>
      <c r="X4096" s="1" t="s">
        <v>52</v>
      </c>
    </row>
    <row r="4097" spans="1:24" x14ac:dyDescent="0.25">
      <c r="A4097" s="1" t="str">
        <f t="shared" si="1301"/>
        <v>卡卡杜-凤凰仓</v>
      </c>
      <c r="B4097" s="1" t="str">
        <f>"CK20241022911"</f>
        <v>CK20241022911</v>
      </c>
      <c r="C4097" s="1" t="str">
        <f>"DD2024102257550"</f>
        <v>DD2024102257550</v>
      </c>
      <c r="D4097" s="1" t="str">
        <f>"CK2024102250797"</f>
        <v>CK2024102250797</v>
      </c>
      <c r="E4097" s="1" t="str">
        <f>"3723469412396041472"</f>
        <v>3723469412396041472</v>
      </c>
      <c r="F4097" s="1" t="str">
        <f t="shared" si="1302"/>
        <v>花都四部-凤凰仓</v>
      </c>
      <c r="G4097" s="1" t="str">
        <f t="shared" si="1307"/>
        <v>卡卡杜企业店（视频号）</v>
      </c>
      <c r="H4097" s="1" t="str">
        <f t="shared" si="1303"/>
        <v>正常订单</v>
      </c>
      <c r="I4097" s="1" t="str">
        <f t="shared" si="1304"/>
        <v>已发货</v>
      </c>
      <c r="J4097" s="1" t="str">
        <f t="shared" si="1317"/>
        <v>3</v>
      </c>
      <c r="K4097" s="1">
        <v>2</v>
      </c>
      <c r="L4097" s="1" t="s">
        <v>24</v>
      </c>
      <c r="M4097" s="1" t="str">
        <f>"福建省 泉州市 丰泽区 "</f>
        <v xml:space="preserve">福建省 泉州市 丰泽区 </v>
      </c>
      <c r="N4097" s="1" t="str">
        <f t="shared" si="1316"/>
        <v>凡华云仓-城南圆通-微信视频号</v>
      </c>
      <c r="O4097" s="5" t="s">
        <v>4128</v>
      </c>
      <c r="P4097" s="6">
        <v>0.24</v>
      </c>
      <c r="Q4097" s="11">
        <v>2</v>
      </c>
      <c r="R4097" s="11"/>
      <c r="S4097" s="11"/>
      <c r="T4097" s="11"/>
      <c r="U4097" s="11">
        <f t="shared" si="1300"/>
        <v>2</v>
      </c>
      <c r="W4097">
        <v>2.2000000000000002</v>
      </c>
      <c r="X4097" s="1" t="s">
        <v>24</v>
      </c>
    </row>
    <row r="4098" spans="1:24" x14ac:dyDescent="0.25">
      <c r="A4098" s="1" t="str">
        <f t="shared" si="1301"/>
        <v>卡卡杜-凤凰仓</v>
      </c>
      <c r="B4098" s="1" t="str">
        <f>"CK20241022856"</f>
        <v>CK20241022856</v>
      </c>
      <c r="C4098" s="1" t="str">
        <f>"DD2024102257328"</f>
        <v>DD2024102257328</v>
      </c>
      <c r="D4098" s="1" t="str">
        <f>"CK2024102250796"</f>
        <v>CK2024102250796</v>
      </c>
      <c r="E4098" s="1" t="str">
        <f>"3723469410789101568"</f>
        <v>3723469410789101568</v>
      </c>
      <c r="F4098" s="1" t="str">
        <f t="shared" si="1302"/>
        <v>花都四部-凤凰仓</v>
      </c>
      <c r="G4098" s="1" t="str">
        <f t="shared" si="1307"/>
        <v>卡卡杜企业店（视频号）</v>
      </c>
      <c r="H4098" s="1" t="str">
        <f t="shared" si="1303"/>
        <v>正常订单</v>
      </c>
      <c r="I4098" s="1" t="str">
        <f t="shared" si="1304"/>
        <v>已发货</v>
      </c>
      <c r="J4098" s="1" t="str">
        <f t="shared" si="1318"/>
        <v>2</v>
      </c>
      <c r="K4098" s="1">
        <v>2</v>
      </c>
      <c r="L4098" s="1" t="s">
        <v>74</v>
      </c>
      <c r="M4098" s="1" t="str">
        <f>"上海 上海市 虹口区 "</f>
        <v xml:space="preserve">上海 上海市 虹口区 </v>
      </c>
      <c r="N4098" s="1" t="str">
        <f t="shared" si="1316"/>
        <v>凡华云仓-城南圆通-微信视频号</v>
      </c>
      <c r="O4098" s="5" t="s">
        <v>4129</v>
      </c>
      <c r="P4098" s="6">
        <v>0.17</v>
      </c>
      <c r="Q4098" s="11">
        <v>2</v>
      </c>
      <c r="R4098" s="11"/>
      <c r="S4098" s="11"/>
      <c r="T4098" s="11"/>
      <c r="U4098" s="11">
        <f t="shared" si="1300"/>
        <v>2</v>
      </c>
      <c r="W4098">
        <v>2.2000000000000002</v>
      </c>
      <c r="X4098" s="1" t="s">
        <v>74</v>
      </c>
    </row>
    <row r="4099" spans="1:24" x14ac:dyDescent="0.25">
      <c r="A4099" s="1" t="str">
        <f t="shared" si="1301"/>
        <v>卡卡杜-凤凰仓</v>
      </c>
      <c r="B4099" s="1" t="str">
        <f>"CK20241022703"</f>
        <v>CK20241022703</v>
      </c>
      <c r="C4099" s="1" t="str">
        <f>"DD2024102257006"</f>
        <v>DD2024102257006</v>
      </c>
      <c r="D4099" s="1" t="str">
        <f>"CK2024102250795"</f>
        <v>CK2024102250795</v>
      </c>
      <c r="E4099" s="1" t="str">
        <f>"3723469407338500096"</f>
        <v>3723469407338500096</v>
      </c>
      <c r="F4099" s="1" t="str">
        <f t="shared" si="1302"/>
        <v>花都四部-凤凰仓</v>
      </c>
      <c r="G4099" s="1" t="str">
        <f t="shared" si="1307"/>
        <v>卡卡杜企业店（视频号）</v>
      </c>
      <c r="H4099" s="1" t="str">
        <f t="shared" si="1303"/>
        <v>正常订单</v>
      </c>
      <c r="I4099" s="1" t="str">
        <f t="shared" si="1304"/>
        <v>已发货</v>
      </c>
      <c r="J4099" s="1" t="str">
        <f t="shared" si="1318"/>
        <v>2</v>
      </c>
      <c r="K4099" s="1">
        <v>2</v>
      </c>
      <c r="L4099" s="1" t="s">
        <v>47</v>
      </c>
      <c r="M4099" s="1" t="str">
        <f>"重庆 重庆市 南岸区 "</f>
        <v xml:space="preserve">重庆 重庆市 南岸区 </v>
      </c>
      <c r="N4099" s="1" t="str">
        <f t="shared" si="1316"/>
        <v>凡华云仓-城南圆通-微信视频号</v>
      </c>
      <c r="O4099" s="5" t="s">
        <v>4130</v>
      </c>
      <c r="P4099" s="6">
        <v>0.17</v>
      </c>
      <c r="Q4099" s="11">
        <v>2</v>
      </c>
      <c r="R4099" s="11"/>
      <c r="S4099" s="11"/>
      <c r="T4099" s="11"/>
      <c r="U4099" s="11">
        <f t="shared" ref="U4099:U4162" si="1319">T4099+S4099+R4099+Q4099</f>
        <v>2</v>
      </c>
      <c r="W4099">
        <v>2.2000000000000002</v>
      </c>
      <c r="X4099" s="1" t="s">
        <v>47</v>
      </c>
    </row>
    <row r="4100" spans="1:24" x14ac:dyDescent="0.25">
      <c r="A4100" s="1" t="str">
        <f t="shared" si="1301"/>
        <v>卡卡杜-凤凰仓</v>
      </c>
      <c r="B4100" s="1" t="str">
        <f>"CK20241022997"</f>
        <v>CK20241022997</v>
      </c>
      <c r="C4100" s="1" t="str">
        <f>"DD2024102257823"</f>
        <v>DD2024102257823</v>
      </c>
      <c r="D4100" s="1" t="str">
        <f>"CK2024102250794"</f>
        <v>CK2024102250794</v>
      </c>
      <c r="E4100" s="1" t="str">
        <f>"3723469405775336448"</f>
        <v>3723469405775336448</v>
      </c>
      <c r="F4100" s="1" t="str">
        <f t="shared" si="1302"/>
        <v>花都四部-凤凰仓</v>
      </c>
      <c r="G4100" s="1" t="str">
        <f t="shared" si="1307"/>
        <v>卡卡杜企业店（视频号）</v>
      </c>
      <c r="H4100" s="1" t="str">
        <f t="shared" si="1303"/>
        <v>正常订单</v>
      </c>
      <c r="I4100" s="1" t="str">
        <f t="shared" si="1304"/>
        <v>已发货</v>
      </c>
      <c r="J4100" s="1" t="str">
        <f t="shared" ref="J4100:J4107" si="1320">"3"</f>
        <v>3</v>
      </c>
      <c r="K4100" s="1">
        <v>2</v>
      </c>
      <c r="L4100" s="1" t="s">
        <v>27</v>
      </c>
      <c r="M4100" s="1" t="str">
        <f>"贵州省 贵阳市 云岩区 "</f>
        <v xml:space="preserve">贵州省 贵阳市 云岩区 </v>
      </c>
      <c r="N4100" s="1" t="str">
        <f t="shared" si="1316"/>
        <v>凡华云仓-城南圆通-微信视频号</v>
      </c>
      <c r="O4100" s="5" t="s">
        <v>4131</v>
      </c>
      <c r="P4100" s="6">
        <v>0.24</v>
      </c>
      <c r="Q4100" s="11">
        <v>2</v>
      </c>
      <c r="R4100" s="11"/>
      <c r="S4100" s="11"/>
      <c r="T4100" s="11"/>
      <c r="U4100" s="11">
        <f t="shared" si="1319"/>
        <v>2</v>
      </c>
      <c r="W4100">
        <v>2.2000000000000002</v>
      </c>
      <c r="X4100" s="1" t="s">
        <v>27</v>
      </c>
    </row>
    <row r="4101" spans="1:24" x14ac:dyDescent="0.25">
      <c r="A4101" s="1" t="str">
        <f t="shared" ref="A4101:A4164" si="1321">"卡卡杜-凤凰仓"</f>
        <v>卡卡杜-凤凰仓</v>
      </c>
      <c r="B4101" s="1" t="str">
        <f>"CK20241022734"</f>
        <v>CK20241022734</v>
      </c>
      <c r="C4101" s="1" t="str">
        <f>"DD2024102257037"</f>
        <v>DD2024102257037</v>
      </c>
      <c r="D4101" s="1" t="str">
        <f>"CK2024102250793"</f>
        <v>CK2024102250793</v>
      </c>
      <c r="E4101" s="1" t="str">
        <f>"3723469406860348416"</f>
        <v>3723469406860348416</v>
      </c>
      <c r="F4101" s="1" t="str">
        <f t="shared" ref="F4101:F4164" si="1322">"花都四部-凤凰仓"</f>
        <v>花都四部-凤凰仓</v>
      </c>
      <c r="G4101" s="1" t="str">
        <f t="shared" si="1307"/>
        <v>卡卡杜企业店（视频号）</v>
      </c>
      <c r="H4101" s="1" t="str">
        <f t="shared" ref="H4101:H4164" si="1323">"正常订单"</f>
        <v>正常订单</v>
      </c>
      <c r="I4101" s="1" t="str">
        <f t="shared" ref="I4101:I4164" si="1324">"已发货"</f>
        <v>已发货</v>
      </c>
      <c r="J4101" s="1" t="str">
        <f t="shared" si="1320"/>
        <v>3</v>
      </c>
      <c r="K4101" s="1">
        <v>2</v>
      </c>
      <c r="L4101" s="1" t="s">
        <v>24</v>
      </c>
      <c r="M4101" s="1" t="str">
        <f>"福建省 泉州市 洛江区 "</f>
        <v xml:space="preserve">福建省 泉州市 洛江区 </v>
      </c>
      <c r="N4101" s="1" t="str">
        <f t="shared" si="1316"/>
        <v>凡华云仓-城南圆通-微信视频号</v>
      </c>
      <c r="O4101" s="5" t="s">
        <v>4132</v>
      </c>
      <c r="P4101" s="6">
        <v>0.24</v>
      </c>
      <c r="Q4101" s="11">
        <v>2</v>
      </c>
      <c r="R4101" s="11"/>
      <c r="S4101" s="11"/>
      <c r="T4101" s="11"/>
      <c r="U4101" s="11">
        <f t="shared" si="1319"/>
        <v>2</v>
      </c>
      <c r="W4101">
        <v>2.2000000000000002</v>
      </c>
      <c r="X4101" s="1" t="s">
        <v>24</v>
      </c>
    </row>
    <row r="4102" spans="1:24" x14ac:dyDescent="0.25">
      <c r="A4102" s="1" t="str">
        <f t="shared" si="1321"/>
        <v>卡卡杜-凤凰仓</v>
      </c>
      <c r="B4102" s="1" t="str">
        <f>"CK20241022965"</f>
        <v>CK20241022965</v>
      </c>
      <c r="C4102" s="1" t="str">
        <f>"DD2024102257726"</f>
        <v>DD2024102257726</v>
      </c>
      <c r="D4102" s="1" t="str">
        <f>"CK2024102250792"</f>
        <v>CK2024102250792</v>
      </c>
      <c r="E4102" s="1" t="str">
        <f>"3723469406968351744"</f>
        <v>3723469406968351744</v>
      </c>
      <c r="F4102" s="1" t="str">
        <f t="shared" si="1322"/>
        <v>花都四部-凤凰仓</v>
      </c>
      <c r="G4102" s="1" t="str">
        <f t="shared" si="1307"/>
        <v>卡卡杜企业店（视频号）</v>
      </c>
      <c r="H4102" s="1" t="str">
        <f t="shared" si="1323"/>
        <v>正常订单</v>
      </c>
      <c r="I4102" s="1" t="str">
        <f t="shared" si="1324"/>
        <v>已发货</v>
      </c>
      <c r="J4102" s="1" t="str">
        <f>"2"</f>
        <v>2</v>
      </c>
      <c r="K4102" s="1">
        <v>2</v>
      </c>
      <c r="L4102" s="1" t="s">
        <v>105</v>
      </c>
      <c r="M4102" s="1" t="str">
        <f>"北京 北京市 丰台区 "</f>
        <v xml:space="preserve">北京 北京市 丰台区 </v>
      </c>
      <c r="N4102" s="1" t="str">
        <f t="shared" si="1316"/>
        <v>凡华云仓-城南圆通-微信视频号</v>
      </c>
      <c r="O4102" s="5" t="s">
        <v>4133</v>
      </c>
      <c r="P4102" s="6">
        <v>0.17</v>
      </c>
      <c r="Q4102" s="11">
        <v>2</v>
      </c>
      <c r="R4102" s="11"/>
      <c r="S4102" s="11"/>
      <c r="T4102" s="11"/>
      <c r="U4102" s="11">
        <f t="shared" si="1319"/>
        <v>2</v>
      </c>
      <c r="W4102">
        <v>2.2000000000000002</v>
      </c>
      <c r="X4102" s="1" t="s">
        <v>105</v>
      </c>
    </row>
    <row r="4103" spans="1:24" x14ac:dyDescent="0.25">
      <c r="A4103" s="1" t="str">
        <f t="shared" si="1321"/>
        <v>卡卡杜-凤凰仓</v>
      </c>
      <c r="B4103" s="1" t="str">
        <f>"CK20241022728"</f>
        <v>CK20241022728</v>
      </c>
      <c r="C4103" s="1" t="str">
        <f>"DD2024102257031"</f>
        <v>DD2024102257031</v>
      </c>
      <c r="D4103" s="1" t="str">
        <f>"CK2024102250791"</f>
        <v>CK2024102250791</v>
      </c>
      <c r="E4103" s="1" t="str">
        <f>"3723469398778447107"</f>
        <v>3723469398778447107</v>
      </c>
      <c r="F4103" s="1" t="str">
        <f t="shared" si="1322"/>
        <v>花都四部-凤凰仓</v>
      </c>
      <c r="G4103" s="1" t="str">
        <f t="shared" si="1307"/>
        <v>卡卡杜企业店（视频号）</v>
      </c>
      <c r="H4103" s="1" t="str">
        <f t="shared" si="1323"/>
        <v>正常订单</v>
      </c>
      <c r="I4103" s="1" t="str">
        <f t="shared" si="1324"/>
        <v>已发货</v>
      </c>
      <c r="J4103" s="1" t="str">
        <f>"2"</f>
        <v>2</v>
      </c>
      <c r="K4103" s="1">
        <v>2</v>
      </c>
      <c r="L4103" s="1" t="s">
        <v>27</v>
      </c>
      <c r="M4103" s="1" t="str">
        <f>"贵州省 黔东南苗族侗族自治州 凯里市 "</f>
        <v xml:space="preserve">贵州省 黔东南苗族侗族自治州 凯里市 </v>
      </c>
      <c r="N4103" s="1" t="str">
        <f t="shared" si="1316"/>
        <v>凡华云仓-城南圆通-微信视频号</v>
      </c>
      <c r="O4103" s="5" t="s">
        <v>4134</v>
      </c>
      <c r="P4103" s="6">
        <v>0.17</v>
      </c>
      <c r="Q4103" s="11">
        <v>2</v>
      </c>
      <c r="R4103" s="11"/>
      <c r="S4103" s="11"/>
      <c r="T4103" s="11"/>
      <c r="U4103" s="11">
        <f t="shared" si="1319"/>
        <v>2</v>
      </c>
      <c r="W4103">
        <v>2.2000000000000002</v>
      </c>
      <c r="X4103" s="1" t="s">
        <v>27</v>
      </c>
    </row>
    <row r="4104" spans="1:24" x14ac:dyDescent="0.25">
      <c r="A4104" s="1" t="str">
        <f t="shared" si="1321"/>
        <v>卡卡杜-凤凰仓</v>
      </c>
      <c r="B4104" s="1" t="str">
        <f>"CK20241022874"</f>
        <v>CK20241022874</v>
      </c>
      <c r="C4104" s="1" t="str">
        <f>"DD2024102257394"</f>
        <v>DD2024102257394</v>
      </c>
      <c r="D4104" s="1" t="str">
        <f>"CK2024102250790"</f>
        <v>CK2024102250790</v>
      </c>
      <c r="E4104" s="1" t="str">
        <f>"3723469398054929920"</f>
        <v>3723469398054929920</v>
      </c>
      <c r="F4104" s="1" t="str">
        <f t="shared" si="1322"/>
        <v>花都四部-凤凰仓</v>
      </c>
      <c r="G4104" s="1" t="str">
        <f t="shared" si="1307"/>
        <v>卡卡杜企业店（视频号）</v>
      </c>
      <c r="H4104" s="1" t="str">
        <f t="shared" si="1323"/>
        <v>正常订单</v>
      </c>
      <c r="I4104" s="1" t="str">
        <f t="shared" si="1324"/>
        <v>已发货</v>
      </c>
      <c r="J4104" s="1" t="str">
        <f t="shared" si="1320"/>
        <v>3</v>
      </c>
      <c r="K4104" s="1">
        <v>2</v>
      </c>
      <c r="L4104" s="1" t="s">
        <v>20</v>
      </c>
      <c r="M4104" s="1" t="str">
        <f>"浙江省 杭州市 拱墅区 "</f>
        <v xml:space="preserve">浙江省 杭州市 拱墅区 </v>
      </c>
      <c r="N4104" s="1" t="str">
        <f t="shared" si="1316"/>
        <v>凡华云仓-城南圆通-微信视频号</v>
      </c>
      <c r="O4104" s="5" t="s">
        <v>4135</v>
      </c>
      <c r="P4104" s="6">
        <v>0.24</v>
      </c>
      <c r="Q4104" s="11">
        <v>2</v>
      </c>
      <c r="R4104" s="11"/>
      <c r="S4104" s="11"/>
      <c r="T4104" s="11"/>
      <c r="U4104" s="11">
        <f t="shared" si="1319"/>
        <v>2</v>
      </c>
      <c r="W4104">
        <v>2.2000000000000002</v>
      </c>
      <c r="X4104" s="1" t="s">
        <v>20</v>
      </c>
    </row>
    <row r="4105" spans="1:24" x14ac:dyDescent="0.25">
      <c r="A4105" s="1" t="str">
        <f t="shared" si="1321"/>
        <v>卡卡杜-凤凰仓</v>
      </c>
      <c r="B4105" s="1" t="str">
        <f>"CK202410221006"</f>
        <v>CK202410221006</v>
      </c>
      <c r="C4105" s="1" t="str">
        <f>"DD2024102258471"</f>
        <v>DD2024102258471</v>
      </c>
      <c r="D4105" s="1" t="str">
        <f>"CK2024102250789"</f>
        <v>CK2024102250789</v>
      </c>
      <c r="E4105" s="1" t="str">
        <f>"3723469397198246912"</f>
        <v>3723469397198246912</v>
      </c>
      <c r="F4105" s="1" t="str">
        <f t="shared" si="1322"/>
        <v>花都四部-凤凰仓</v>
      </c>
      <c r="G4105" s="1" t="str">
        <f t="shared" si="1307"/>
        <v>卡卡杜企业店（视频号）</v>
      </c>
      <c r="H4105" s="1" t="str">
        <f t="shared" si="1323"/>
        <v>正常订单</v>
      </c>
      <c r="I4105" s="1" t="str">
        <f t="shared" si="1324"/>
        <v>已发货</v>
      </c>
      <c r="J4105" s="1" t="str">
        <f t="shared" si="1320"/>
        <v>3</v>
      </c>
      <c r="K4105" s="1">
        <v>2</v>
      </c>
      <c r="L4105" s="1" t="s">
        <v>47</v>
      </c>
      <c r="M4105" s="1" t="str">
        <f>"重庆 重庆市 南岸区 "</f>
        <v xml:space="preserve">重庆 重庆市 南岸区 </v>
      </c>
      <c r="N4105" s="1" t="str">
        <f t="shared" si="1316"/>
        <v>凡华云仓-城南圆通-微信视频号</v>
      </c>
      <c r="O4105" s="5" t="s">
        <v>4136</v>
      </c>
      <c r="P4105" s="6">
        <v>0.24</v>
      </c>
      <c r="Q4105" s="11">
        <v>2</v>
      </c>
      <c r="R4105" s="11"/>
      <c r="S4105" s="11"/>
      <c r="T4105" s="11"/>
      <c r="U4105" s="11">
        <f t="shared" si="1319"/>
        <v>2</v>
      </c>
      <c r="W4105">
        <v>2.2000000000000002</v>
      </c>
      <c r="X4105" s="1" t="s">
        <v>47</v>
      </c>
    </row>
    <row r="4106" spans="1:24" x14ac:dyDescent="0.25">
      <c r="A4106" s="1" t="str">
        <f t="shared" si="1321"/>
        <v>卡卡杜-凤凰仓</v>
      </c>
      <c r="B4106" s="1" t="str">
        <f>"CK20241022706"</f>
        <v>CK20241022706</v>
      </c>
      <c r="C4106" s="1" t="str">
        <f>"DD2024102257008"</f>
        <v>DD2024102257008</v>
      </c>
      <c r="D4106" s="1" t="str">
        <f>"CK2024102250788"</f>
        <v>CK2024102250788</v>
      </c>
      <c r="E4106" s="1" t="str">
        <f>"3723469396904379649"</f>
        <v>3723469396904379649</v>
      </c>
      <c r="F4106" s="1" t="str">
        <f t="shared" si="1322"/>
        <v>花都四部-凤凰仓</v>
      </c>
      <c r="G4106" s="1" t="str">
        <f t="shared" si="1307"/>
        <v>卡卡杜企业店（视频号）</v>
      </c>
      <c r="H4106" s="1" t="str">
        <f t="shared" si="1323"/>
        <v>正常订单</v>
      </c>
      <c r="I4106" s="1" t="str">
        <f t="shared" si="1324"/>
        <v>已发货</v>
      </c>
      <c r="J4106" s="1" t="str">
        <f t="shared" si="1320"/>
        <v>3</v>
      </c>
      <c r="K4106" s="1">
        <v>2</v>
      </c>
      <c r="L4106" s="1" t="s">
        <v>92</v>
      </c>
      <c r="M4106" s="1" t="str">
        <f>"辽宁省 沈阳市 和平区 "</f>
        <v xml:space="preserve">辽宁省 沈阳市 和平区 </v>
      </c>
      <c r="N4106" s="1" t="str">
        <f t="shared" si="1316"/>
        <v>凡华云仓-城南圆通-微信视频号</v>
      </c>
      <c r="O4106" s="5" t="s">
        <v>4137</v>
      </c>
      <c r="P4106" s="6">
        <v>0.24</v>
      </c>
      <c r="Q4106" s="11">
        <v>2</v>
      </c>
      <c r="R4106" s="11"/>
      <c r="S4106" s="11"/>
      <c r="T4106" s="11"/>
      <c r="U4106" s="11">
        <f t="shared" si="1319"/>
        <v>2</v>
      </c>
      <c r="W4106">
        <v>2.2000000000000002</v>
      </c>
      <c r="X4106" s="1" t="s">
        <v>92</v>
      </c>
    </row>
    <row r="4107" spans="1:24" x14ac:dyDescent="0.25">
      <c r="A4107" s="1" t="str">
        <f t="shared" si="1321"/>
        <v>卡卡杜-凤凰仓</v>
      </c>
      <c r="B4107" s="1" t="str">
        <f>"CK20241022993"</f>
        <v>CK20241022993</v>
      </c>
      <c r="C4107" s="1" t="str">
        <f>"DD2024102257809"</f>
        <v>DD2024102257809</v>
      </c>
      <c r="D4107" s="1" t="str">
        <f>"CK2024102250787"</f>
        <v>CK2024102250787</v>
      </c>
      <c r="E4107" s="1" t="str">
        <f>"3723469390759989248"</f>
        <v>3723469390759989248</v>
      </c>
      <c r="F4107" s="1" t="str">
        <f t="shared" si="1322"/>
        <v>花都四部-凤凰仓</v>
      </c>
      <c r="G4107" s="1" t="str">
        <f t="shared" si="1307"/>
        <v>卡卡杜企业店（视频号）</v>
      </c>
      <c r="H4107" s="1" t="str">
        <f t="shared" si="1323"/>
        <v>正常订单</v>
      </c>
      <c r="I4107" s="1" t="str">
        <f t="shared" si="1324"/>
        <v>已发货</v>
      </c>
      <c r="J4107" s="1" t="str">
        <f t="shared" si="1320"/>
        <v>3</v>
      </c>
      <c r="K4107" s="1">
        <v>2</v>
      </c>
      <c r="L4107" s="1" t="s">
        <v>218</v>
      </c>
      <c r="M4107" s="1" t="str">
        <f>"天津 天津市 河北区 "</f>
        <v xml:space="preserve">天津 天津市 河北区 </v>
      </c>
      <c r="N4107" s="1" t="str">
        <f t="shared" si="1316"/>
        <v>凡华云仓-城南圆通-微信视频号</v>
      </c>
      <c r="O4107" s="5" t="s">
        <v>4138</v>
      </c>
      <c r="P4107" s="6">
        <v>0.24</v>
      </c>
      <c r="Q4107" s="11">
        <v>2</v>
      </c>
      <c r="R4107" s="11"/>
      <c r="S4107" s="11"/>
      <c r="T4107" s="11"/>
      <c r="U4107" s="11">
        <f t="shared" si="1319"/>
        <v>2</v>
      </c>
      <c r="W4107">
        <v>2.2000000000000002</v>
      </c>
      <c r="X4107" s="1" t="s">
        <v>218</v>
      </c>
    </row>
    <row r="4108" spans="1:24" x14ac:dyDescent="0.25">
      <c r="A4108" s="1" t="str">
        <f t="shared" si="1321"/>
        <v>卡卡杜-凤凰仓</v>
      </c>
      <c r="B4108" s="1" t="str">
        <f>"CK20241022805"</f>
        <v>CK20241022805</v>
      </c>
      <c r="C4108" s="1" t="str">
        <f>"DD2024102257161"</f>
        <v>DD2024102257161</v>
      </c>
      <c r="D4108" s="1" t="str">
        <f>"CK2024102250786"</f>
        <v>CK2024102250786</v>
      </c>
      <c r="E4108" s="1" t="str">
        <f>"3723469389458967552"</f>
        <v>3723469389458967552</v>
      </c>
      <c r="F4108" s="1" t="str">
        <f t="shared" si="1322"/>
        <v>花都四部-凤凰仓</v>
      </c>
      <c r="G4108" s="1" t="str">
        <f t="shared" si="1307"/>
        <v>卡卡杜企业店（视频号）</v>
      </c>
      <c r="H4108" s="1" t="str">
        <f t="shared" si="1323"/>
        <v>正常订单</v>
      </c>
      <c r="I4108" s="1" t="str">
        <f t="shared" si="1324"/>
        <v>已发货</v>
      </c>
      <c r="J4108" s="1" t="str">
        <f>"2"</f>
        <v>2</v>
      </c>
      <c r="K4108" s="1">
        <v>2</v>
      </c>
      <c r="L4108" s="1" t="s">
        <v>18</v>
      </c>
      <c r="M4108" s="1" t="str">
        <f>"广东省 佛山市 禅城区 "</f>
        <v xml:space="preserve">广东省 佛山市 禅城区 </v>
      </c>
      <c r="N4108" s="1" t="str">
        <f t="shared" si="1316"/>
        <v>凡华云仓-城南圆通-微信视频号</v>
      </c>
      <c r="O4108" s="5" t="s">
        <v>4139</v>
      </c>
      <c r="P4108" s="6">
        <v>0.17</v>
      </c>
      <c r="Q4108" s="11">
        <v>2</v>
      </c>
      <c r="R4108" s="11"/>
      <c r="S4108" s="11"/>
      <c r="T4108" s="11"/>
      <c r="U4108" s="11">
        <f t="shared" si="1319"/>
        <v>2</v>
      </c>
      <c r="W4108">
        <v>2.2000000000000002</v>
      </c>
      <c r="X4108" s="1" t="s">
        <v>18</v>
      </c>
    </row>
    <row r="4109" spans="1:24" x14ac:dyDescent="0.25">
      <c r="A4109" s="1" t="str">
        <f t="shared" si="1321"/>
        <v>卡卡杜-凤凰仓</v>
      </c>
      <c r="B4109" s="1" t="str">
        <f>"CK20241022991"</f>
        <v>CK20241022991</v>
      </c>
      <c r="C4109" s="1" t="str">
        <f>"DD2024102257805"</f>
        <v>DD2024102257805</v>
      </c>
      <c r="D4109" s="1" t="str">
        <f>"CK2024102250785"</f>
        <v>CK2024102250785</v>
      </c>
      <c r="E4109" s="1" t="str">
        <f>"3723469390855409664"</f>
        <v>3723469390855409664</v>
      </c>
      <c r="F4109" s="1" t="str">
        <f t="shared" si="1322"/>
        <v>花都四部-凤凰仓</v>
      </c>
      <c r="G4109" s="1" t="str">
        <f t="shared" si="1307"/>
        <v>卡卡杜企业店（视频号）</v>
      </c>
      <c r="H4109" s="1" t="str">
        <f t="shared" si="1323"/>
        <v>正常订单</v>
      </c>
      <c r="I4109" s="1" t="str">
        <f t="shared" si="1324"/>
        <v>已发货</v>
      </c>
      <c r="J4109" s="1" t="str">
        <f t="shared" ref="J4109:J4112" si="1325">"3"</f>
        <v>3</v>
      </c>
      <c r="K4109" s="1">
        <v>2</v>
      </c>
      <c r="L4109" s="1" t="s">
        <v>105</v>
      </c>
      <c r="M4109" s="1" t="str">
        <f>"北京 北京市 朝阳区 "</f>
        <v xml:space="preserve">北京 北京市 朝阳区 </v>
      </c>
      <c r="N4109" s="1" t="str">
        <f t="shared" si="1316"/>
        <v>凡华云仓-城南圆通-微信视频号</v>
      </c>
      <c r="O4109" s="5" t="s">
        <v>4140</v>
      </c>
      <c r="P4109" s="6">
        <v>0.24</v>
      </c>
      <c r="Q4109" s="11">
        <v>2</v>
      </c>
      <c r="R4109" s="11"/>
      <c r="S4109" s="11"/>
      <c r="T4109" s="11"/>
      <c r="U4109" s="11">
        <f t="shared" si="1319"/>
        <v>2</v>
      </c>
      <c r="W4109">
        <v>2.2000000000000002</v>
      </c>
      <c r="X4109" s="1" t="s">
        <v>105</v>
      </c>
    </row>
    <row r="4110" spans="1:24" x14ac:dyDescent="0.25">
      <c r="A4110" s="1" t="str">
        <f t="shared" si="1321"/>
        <v>卡卡杜-凤凰仓</v>
      </c>
      <c r="B4110" s="1" t="str">
        <f>"CK20241022338"</f>
        <v>CK20241022338</v>
      </c>
      <c r="C4110" s="1" t="str">
        <f>"DD2024102253959"</f>
        <v>DD2024102253959</v>
      </c>
      <c r="D4110" s="1" t="str">
        <f>"CK2024102250784"</f>
        <v>CK2024102250784</v>
      </c>
      <c r="E4110" s="1" t="str">
        <f>"3723469390490764800"</f>
        <v>3723469390490764800</v>
      </c>
      <c r="F4110" s="1" t="str">
        <f t="shared" si="1322"/>
        <v>花都四部-凤凰仓</v>
      </c>
      <c r="G4110" s="1" t="str">
        <f t="shared" ref="G4110:G4173" si="1326">"卡卡杜企业店（视频号）"</f>
        <v>卡卡杜企业店（视频号）</v>
      </c>
      <c r="H4110" s="1" t="str">
        <f t="shared" si="1323"/>
        <v>正常订单</v>
      </c>
      <c r="I4110" s="1" t="str">
        <f t="shared" si="1324"/>
        <v>已发货</v>
      </c>
      <c r="J4110" s="1" t="str">
        <f t="shared" si="1325"/>
        <v>3</v>
      </c>
      <c r="K4110" s="1">
        <v>3</v>
      </c>
      <c r="L4110" s="1" t="s">
        <v>20</v>
      </c>
      <c r="M4110" s="1" t="str">
        <f>"浙江省 宁波市 宁海县 "</f>
        <v xml:space="preserve">浙江省 宁波市 宁海县 </v>
      </c>
      <c r="N4110" s="1" t="str">
        <f t="shared" si="1316"/>
        <v>凡华云仓-城南圆通-微信视频号</v>
      </c>
      <c r="O4110" s="5" t="s">
        <v>4141</v>
      </c>
      <c r="P4110" s="6">
        <v>0.34</v>
      </c>
      <c r="Q4110" s="11">
        <v>2.2999999999999998</v>
      </c>
      <c r="R4110" s="11"/>
      <c r="S4110" s="11"/>
      <c r="T4110" s="11"/>
      <c r="U4110" s="11">
        <f t="shared" si="1319"/>
        <v>2.2999999999999998</v>
      </c>
      <c r="W4110">
        <v>2.5</v>
      </c>
      <c r="X4110" s="1" t="s">
        <v>20</v>
      </c>
    </row>
    <row r="4111" spans="1:24" x14ac:dyDescent="0.25">
      <c r="A4111" s="1" t="str">
        <f t="shared" si="1321"/>
        <v>卡卡杜-凤凰仓</v>
      </c>
      <c r="B4111" s="1" t="str">
        <f>"CK20241022745"</f>
        <v>CK20241022745</v>
      </c>
      <c r="C4111" s="1" t="str">
        <f>"DD2024102257049"</f>
        <v>DD2024102257049</v>
      </c>
      <c r="D4111" s="1" t="str">
        <f>"CK2024102250783"</f>
        <v>CK2024102250783</v>
      </c>
      <c r="E4111" s="1" t="str">
        <f>"3723469389456609280"</f>
        <v>3723469389456609280</v>
      </c>
      <c r="F4111" s="1" t="str">
        <f t="shared" si="1322"/>
        <v>花都四部-凤凰仓</v>
      </c>
      <c r="G4111" s="1" t="str">
        <f t="shared" si="1326"/>
        <v>卡卡杜企业店（视频号）</v>
      </c>
      <c r="H4111" s="1" t="str">
        <f t="shared" si="1323"/>
        <v>正常订单</v>
      </c>
      <c r="I4111" s="1" t="str">
        <f t="shared" si="1324"/>
        <v>已发货</v>
      </c>
      <c r="J4111" s="1" t="str">
        <f t="shared" si="1325"/>
        <v>3</v>
      </c>
      <c r="K4111" s="1">
        <v>2</v>
      </c>
      <c r="L4111" s="1" t="s">
        <v>92</v>
      </c>
      <c r="M4111" s="1" t="str">
        <f>"辽宁省 铁岭市 铁岭县 "</f>
        <v xml:space="preserve">辽宁省 铁岭市 铁岭县 </v>
      </c>
      <c r="N4111" s="1" t="str">
        <f t="shared" si="1316"/>
        <v>凡华云仓-城南圆通-微信视频号</v>
      </c>
      <c r="O4111" s="5" t="s">
        <v>4142</v>
      </c>
      <c r="P4111" s="6">
        <v>0.24</v>
      </c>
      <c r="Q4111" s="11">
        <v>2</v>
      </c>
      <c r="R4111" s="11"/>
      <c r="S4111" s="11"/>
      <c r="T4111" s="11"/>
      <c r="U4111" s="11">
        <f t="shared" si="1319"/>
        <v>2</v>
      </c>
      <c r="W4111">
        <v>2.2000000000000002</v>
      </c>
      <c r="X4111" s="1" t="s">
        <v>92</v>
      </c>
    </row>
    <row r="4112" spans="1:24" x14ac:dyDescent="0.25">
      <c r="A4112" s="1" t="str">
        <f t="shared" si="1321"/>
        <v>卡卡杜-凤凰仓</v>
      </c>
      <c r="B4112" s="1" t="str">
        <f>"CK20241022984"</f>
        <v>CK20241022984</v>
      </c>
      <c r="C4112" s="1" t="str">
        <f>"DD2024102257781"</f>
        <v>DD2024102257781</v>
      </c>
      <c r="D4112" s="1" t="str">
        <f>"CK2024102250782"</f>
        <v>CK2024102250782</v>
      </c>
      <c r="E4112" s="1" t="str">
        <f>"3723469391225293824"</f>
        <v>3723469391225293824</v>
      </c>
      <c r="F4112" s="1" t="str">
        <f t="shared" si="1322"/>
        <v>花都四部-凤凰仓</v>
      </c>
      <c r="G4112" s="1" t="str">
        <f t="shared" si="1326"/>
        <v>卡卡杜企业店（视频号）</v>
      </c>
      <c r="H4112" s="1" t="str">
        <f t="shared" si="1323"/>
        <v>正常订单</v>
      </c>
      <c r="I4112" s="1" t="str">
        <f t="shared" si="1324"/>
        <v>已发货</v>
      </c>
      <c r="J4112" s="1" t="str">
        <f t="shared" si="1325"/>
        <v>3</v>
      </c>
      <c r="K4112" s="1">
        <v>2</v>
      </c>
      <c r="L4112" s="1" t="s">
        <v>74</v>
      </c>
      <c r="M4112" s="1" t="str">
        <f>"上海 上海市 杨浦区 "</f>
        <v xml:space="preserve">上海 上海市 杨浦区 </v>
      </c>
      <c r="N4112" s="1" t="str">
        <f t="shared" si="1316"/>
        <v>凡华云仓-城南圆通-微信视频号</v>
      </c>
      <c r="O4112" s="5" t="s">
        <v>4143</v>
      </c>
      <c r="P4112" s="6">
        <v>0.24</v>
      </c>
      <c r="Q4112" s="11">
        <v>2</v>
      </c>
      <c r="R4112" s="11"/>
      <c r="S4112" s="11"/>
      <c r="T4112" s="11"/>
      <c r="U4112" s="11">
        <f t="shared" si="1319"/>
        <v>2</v>
      </c>
      <c r="W4112">
        <v>2.2000000000000002</v>
      </c>
      <c r="X4112" s="1" t="s">
        <v>74</v>
      </c>
    </row>
    <row r="4113" spans="1:24" x14ac:dyDescent="0.25">
      <c r="A4113" s="1" t="str">
        <f t="shared" si="1321"/>
        <v>卡卡杜-凤凰仓</v>
      </c>
      <c r="B4113" s="1" t="str">
        <f>"CK20241022826"</f>
        <v>CK20241022826</v>
      </c>
      <c r="C4113" s="1" t="str">
        <f>"DD2024102257230"</f>
        <v>DD2024102257230</v>
      </c>
      <c r="D4113" s="1" t="str">
        <f>"CK2024102250781"</f>
        <v>CK2024102250781</v>
      </c>
      <c r="E4113" s="1" t="str">
        <f>"3723469389577192960"</f>
        <v>3723469389577192960</v>
      </c>
      <c r="F4113" s="1" t="str">
        <f t="shared" si="1322"/>
        <v>花都四部-凤凰仓</v>
      </c>
      <c r="G4113" s="1" t="str">
        <f t="shared" si="1326"/>
        <v>卡卡杜企业店（视频号）</v>
      </c>
      <c r="H4113" s="1" t="str">
        <f t="shared" si="1323"/>
        <v>正常订单</v>
      </c>
      <c r="I4113" s="1" t="str">
        <f t="shared" si="1324"/>
        <v>已发货</v>
      </c>
      <c r="J4113" s="1" t="str">
        <f>"2"</f>
        <v>2</v>
      </c>
      <c r="K4113" s="1">
        <v>2</v>
      </c>
      <c r="L4113" s="1" t="s">
        <v>24</v>
      </c>
      <c r="M4113" s="1" t="str">
        <f>"福建省 福州市 仓山区 "</f>
        <v xml:space="preserve">福建省 福州市 仓山区 </v>
      </c>
      <c r="N4113" s="1" t="str">
        <f t="shared" si="1316"/>
        <v>凡华云仓-城南圆通-微信视频号</v>
      </c>
      <c r="O4113" s="5" t="s">
        <v>4144</v>
      </c>
      <c r="P4113" s="6">
        <v>0.17</v>
      </c>
      <c r="Q4113" s="11">
        <v>2</v>
      </c>
      <c r="R4113" s="11"/>
      <c r="S4113" s="11"/>
      <c r="T4113" s="11"/>
      <c r="U4113" s="11">
        <f t="shared" si="1319"/>
        <v>2</v>
      </c>
      <c r="W4113">
        <v>2.2000000000000002</v>
      </c>
      <c r="X4113" s="1" t="s">
        <v>24</v>
      </c>
    </row>
    <row r="4114" spans="1:24" x14ac:dyDescent="0.25">
      <c r="A4114" s="1" t="str">
        <f t="shared" si="1321"/>
        <v>卡卡杜-凤凰仓</v>
      </c>
      <c r="B4114" s="1" t="str">
        <f>"CK202410221003"</f>
        <v>CK202410221003</v>
      </c>
      <c r="C4114" s="1" t="str">
        <f>"DD2024102258463"</f>
        <v>DD2024102258463</v>
      </c>
      <c r="D4114" s="1" t="str">
        <f>"CK2024102250780"</f>
        <v>CK2024102250780</v>
      </c>
      <c r="E4114" s="1" t="str">
        <f>"3723469388933370880"</f>
        <v>3723469388933370880</v>
      </c>
      <c r="F4114" s="1" t="str">
        <f t="shared" si="1322"/>
        <v>花都四部-凤凰仓</v>
      </c>
      <c r="G4114" s="1" t="str">
        <f t="shared" si="1326"/>
        <v>卡卡杜企业店（视频号）</v>
      </c>
      <c r="H4114" s="1" t="str">
        <f t="shared" si="1323"/>
        <v>正常订单</v>
      </c>
      <c r="I4114" s="1" t="str">
        <f t="shared" si="1324"/>
        <v>已发货</v>
      </c>
      <c r="J4114" s="1" t="str">
        <f t="shared" ref="J4114:J4121" si="1327">"3"</f>
        <v>3</v>
      </c>
      <c r="K4114" s="1">
        <v>2</v>
      </c>
      <c r="L4114" s="1" t="s">
        <v>47</v>
      </c>
      <c r="M4114" s="1" t="str">
        <f>"重庆 重庆市 南岸区 "</f>
        <v xml:space="preserve">重庆 重庆市 南岸区 </v>
      </c>
      <c r="N4114" s="1" t="str">
        <f t="shared" si="1316"/>
        <v>凡华云仓-城南圆通-微信视频号</v>
      </c>
      <c r="O4114" s="5" t="s">
        <v>4145</v>
      </c>
      <c r="P4114" s="6">
        <v>0.24</v>
      </c>
      <c r="Q4114" s="11">
        <v>2</v>
      </c>
      <c r="R4114" s="11"/>
      <c r="S4114" s="11"/>
      <c r="T4114" s="11"/>
      <c r="U4114" s="11">
        <f t="shared" si="1319"/>
        <v>2</v>
      </c>
      <c r="W4114">
        <v>2.2000000000000002</v>
      </c>
      <c r="X4114" s="1" t="s">
        <v>47</v>
      </c>
    </row>
    <row r="4115" spans="1:24" x14ac:dyDescent="0.25">
      <c r="A4115" s="1" t="str">
        <f t="shared" si="1321"/>
        <v>卡卡杜-凤凰仓</v>
      </c>
      <c r="B4115" s="1" t="str">
        <f>"CK20241022939"</f>
        <v>CK20241022939</v>
      </c>
      <c r="C4115" s="1" t="str">
        <f>"DD2024102257653"</f>
        <v>DD2024102257653</v>
      </c>
      <c r="D4115" s="1" t="str">
        <f>"CK2024102250779"</f>
        <v>CK2024102250779</v>
      </c>
      <c r="E4115" s="1" t="str">
        <f>"3723469388317070337"</f>
        <v>3723469388317070337</v>
      </c>
      <c r="F4115" s="1" t="str">
        <f t="shared" si="1322"/>
        <v>花都四部-凤凰仓</v>
      </c>
      <c r="G4115" s="1" t="str">
        <f t="shared" si="1326"/>
        <v>卡卡杜企业店（视频号）</v>
      </c>
      <c r="H4115" s="1" t="str">
        <f t="shared" si="1323"/>
        <v>正常订单</v>
      </c>
      <c r="I4115" s="1" t="str">
        <f t="shared" si="1324"/>
        <v>已发货</v>
      </c>
      <c r="J4115" s="1" t="str">
        <f t="shared" si="1327"/>
        <v>3</v>
      </c>
      <c r="K4115" s="1">
        <v>2</v>
      </c>
      <c r="L4115" s="1" t="s">
        <v>161</v>
      </c>
      <c r="M4115" s="1" t="str">
        <f>"四川省 成都市 都江堰市 "</f>
        <v xml:space="preserve">四川省 成都市 都江堰市 </v>
      </c>
      <c r="N4115" s="1" t="str">
        <f t="shared" si="1316"/>
        <v>凡华云仓-城南圆通-微信视频号</v>
      </c>
      <c r="O4115" s="5" t="s">
        <v>4146</v>
      </c>
      <c r="P4115" s="6">
        <v>0.24</v>
      </c>
      <c r="Q4115" s="11">
        <v>2</v>
      </c>
      <c r="R4115" s="11"/>
      <c r="S4115" s="11"/>
      <c r="T4115" s="11"/>
      <c r="U4115" s="11">
        <f t="shared" si="1319"/>
        <v>2</v>
      </c>
      <c r="W4115">
        <v>2.2000000000000002</v>
      </c>
      <c r="X4115" s="1" t="s">
        <v>161</v>
      </c>
    </row>
    <row r="4116" spans="1:24" x14ac:dyDescent="0.25">
      <c r="A4116" s="1" t="str">
        <f t="shared" si="1321"/>
        <v>卡卡杜-凤凰仓</v>
      </c>
      <c r="B4116" s="1" t="str">
        <f>"CK20241022752"</f>
        <v>CK20241022752</v>
      </c>
      <c r="C4116" s="1" t="str">
        <f>"DD2024102257056"</f>
        <v>DD2024102257056</v>
      </c>
      <c r="D4116" s="1" t="str">
        <f>"CK2024102250778"</f>
        <v>CK2024102250778</v>
      </c>
      <c r="E4116" s="1" t="str">
        <f>"3723469387931714816"</f>
        <v>3723469387931714816</v>
      </c>
      <c r="F4116" s="1" t="str">
        <f t="shared" si="1322"/>
        <v>花都四部-凤凰仓</v>
      </c>
      <c r="G4116" s="1" t="str">
        <f t="shared" si="1326"/>
        <v>卡卡杜企业店（视频号）</v>
      </c>
      <c r="H4116" s="1" t="str">
        <f t="shared" si="1323"/>
        <v>正常订单</v>
      </c>
      <c r="I4116" s="1" t="str">
        <f t="shared" si="1324"/>
        <v>已发货</v>
      </c>
      <c r="J4116" s="1" t="str">
        <f t="shared" si="1327"/>
        <v>3</v>
      </c>
      <c r="K4116" s="1">
        <v>2</v>
      </c>
      <c r="L4116" s="1" t="s">
        <v>16</v>
      </c>
      <c r="M4116" s="1" t="str">
        <f>"河北省 邢台市 宁晋县 "</f>
        <v xml:space="preserve">河北省 邢台市 宁晋县 </v>
      </c>
      <c r="N4116" s="1" t="str">
        <f t="shared" si="1316"/>
        <v>凡华云仓-城南圆通-微信视频号</v>
      </c>
      <c r="O4116" s="5" t="s">
        <v>4147</v>
      </c>
      <c r="P4116" s="6">
        <v>0.24</v>
      </c>
      <c r="Q4116" s="11">
        <v>2</v>
      </c>
      <c r="R4116" s="11"/>
      <c r="S4116" s="11"/>
      <c r="T4116" s="11"/>
      <c r="U4116" s="11">
        <f t="shared" si="1319"/>
        <v>2</v>
      </c>
      <c r="W4116">
        <v>2.2000000000000002</v>
      </c>
      <c r="X4116" s="1" t="s">
        <v>16</v>
      </c>
    </row>
    <row r="4117" spans="1:24" x14ac:dyDescent="0.25">
      <c r="A4117" s="1" t="str">
        <f t="shared" si="1321"/>
        <v>卡卡杜-凤凰仓</v>
      </c>
      <c r="B4117" s="1" t="str">
        <f>"CK20241022981"</f>
        <v>CK20241022981</v>
      </c>
      <c r="C4117" s="1" t="str">
        <f>"DD2024102257774"</f>
        <v>DD2024102257774</v>
      </c>
      <c r="D4117" s="1" t="str">
        <f>"CK2024102250777"</f>
        <v>CK2024102250777</v>
      </c>
      <c r="E4117" s="1" t="str">
        <f>"3723469386866364416"</f>
        <v>3723469386866364416</v>
      </c>
      <c r="F4117" s="1" t="str">
        <f t="shared" si="1322"/>
        <v>花都四部-凤凰仓</v>
      </c>
      <c r="G4117" s="1" t="str">
        <f t="shared" si="1326"/>
        <v>卡卡杜企业店（视频号）</v>
      </c>
      <c r="H4117" s="1" t="str">
        <f t="shared" si="1323"/>
        <v>正常订单</v>
      </c>
      <c r="I4117" s="1" t="str">
        <f t="shared" si="1324"/>
        <v>已发货</v>
      </c>
      <c r="J4117" s="1" t="str">
        <f t="shared" si="1327"/>
        <v>3</v>
      </c>
      <c r="K4117" s="1">
        <v>2</v>
      </c>
      <c r="L4117" s="1" t="s">
        <v>105</v>
      </c>
      <c r="M4117" s="1" t="str">
        <f>"北京 北京市 昌平区 "</f>
        <v xml:space="preserve">北京 北京市 昌平区 </v>
      </c>
      <c r="N4117" s="1" t="str">
        <f t="shared" si="1316"/>
        <v>凡华云仓-城南圆通-微信视频号</v>
      </c>
      <c r="O4117" s="5" t="s">
        <v>4148</v>
      </c>
      <c r="P4117" s="6">
        <v>0.24</v>
      </c>
      <c r="Q4117" s="11">
        <v>2</v>
      </c>
      <c r="R4117" s="11"/>
      <c r="S4117" s="11"/>
      <c r="T4117" s="11"/>
      <c r="U4117" s="11">
        <f t="shared" si="1319"/>
        <v>2</v>
      </c>
      <c r="W4117">
        <v>2.2000000000000002</v>
      </c>
      <c r="X4117" s="1" t="s">
        <v>105</v>
      </c>
    </row>
    <row r="4118" spans="1:24" x14ac:dyDescent="0.25">
      <c r="A4118" s="1" t="str">
        <f t="shared" si="1321"/>
        <v>卡卡杜-凤凰仓</v>
      </c>
      <c r="B4118" s="1" t="str">
        <f>"CK202410221005"</f>
        <v>CK202410221005</v>
      </c>
      <c r="C4118" s="1" t="str">
        <f>"DD2024102258465"</f>
        <v>DD2024102258465</v>
      </c>
      <c r="D4118" s="1" t="str">
        <f>"CK2024102250776"</f>
        <v>CK2024102250776</v>
      </c>
      <c r="E4118" s="1" t="str">
        <f>"3723469386294366208"</f>
        <v>3723469386294366208</v>
      </c>
      <c r="F4118" s="1" t="str">
        <f t="shared" si="1322"/>
        <v>花都四部-凤凰仓</v>
      </c>
      <c r="G4118" s="1" t="str">
        <f t="shared" si="1326"/>
        <v>卡卡杜企业店（视频号）</v>
      </c>
      <c r="H4118" s="1" t="str">
        <f t="shared" si="1323"/>
        <v>正常订单</v>
      </c>
      <c r="I4118" s="1" t="str">
        <f t="shared" si="1324"/>
        <v>已发货</v>
      </c>
      <c r="J4118" s="1" t="str">
        <f t="shared" si="1327"/>
        <v>3</v>
      </c>
      <c r="K4118" s="1">
        <v>2</v>
      </c>
      <c r="L4118" s="1" t="s">
        <v>30</v>
      </c>
      <c r="M4118" s="1" t="str">
        <f>"山东省 临沂市 兰山区 "</f>
        <v xml:space="preserve">山东省 临沂市 兰山区 </v>
      </c>
      <c r="N4118" s="1" t="str">
        <f t="shared" si="1316"/>
        <v>凡华云仓-城南圆通-微信视频号</v>
      </c>
      <c r="O4118" s="5" t="s">
        <v>4149</v>
      </c>
      <c r="P4118" s="6">
        <v>0.24</v>
      </c>
      <c r="Q4118" s="11">
        <v>2</v>
      </c>
      <c r="R4118" s="11"/>
      <c r="S4118" s="11"/>
      <c r="T4118" s="11"/>
      <c r="U4118" s="11">
        <f t="shared" si="1319"/>
        <v>2</v>
      </c>
      <c r="W4118">
        <v>2.2000000000000002</v>
      </c>
      <c r="X4118" s="1" t="s">
        <v>30</v>
      </c>
    </row>
    <row r="4119" spans="1:24" x14ac:dyDescent="0.25">
      <c r="A4119" s="1" t="str">
        <f t="shared" si="1321"/>
        <v>卡卡杜-凤凰仓</v>
      </c>
      <c r="B4119" s="1" t="str">
        <f>"CK20241022987"</f>
        <v>CK20241022987</v>
      </c>
      <c r="C4119" s="1" t="str">
        <f>"DD2024102257792"</f>
        <v>DD2024102257792</v>
      </c>
      <c r="D4119" s="1" t="str">
        <f>"CK2024102250775"</f>
        <v>CK2024102250775</v>
      </c>
      <c r="E4119" s="1" t="str">
        <f>"3723469382937086976"</f>
        <v>3723469382937086976</v>
      </c>
      <c r="F4119" s="1" t="str">
        <f t="shared" si="1322"/>
        <v>花都四部-凤凰仓</v>
      </c>
      <c r="G4119" s="1" t="str">
        <f t="shared" si="1326"/>
        <v>卡卡杜企业店（视频号）</v>
      </c>
      <c r="H4119" s="1" t="str">
        <f t="shared" si="1323"/>
        <v>正常订单</v>
      </c>
      <c r="I4119" s="1" t="str">
        <f t="shared" si="1324"/>
        <v>已发货</v>
      </c>
      <c r="J4119" s="1" t="str">
        <f t="shared" si="1327"/>
        <v>3</v>
      </c>
      <c r="K4119" s="1">
        <v>2</v>
      </c>
      <c r="L4119" s="1" t="s">
        <v>20</v>
      </c>
      <c r="M4119" s="1" t="str">
        <f>"浙江省 宁波市 鄞州区 "</f>
        <v xml:space="preserve">浙江省 宁波市 鄞州区 </v>
      </c>
      <c r="N4119" s="1" t="str">
        <f t="shared" si="1316"/>
        <v>凡华云仓-城南圆通-微信视频号</v>
      </c>
      <c r="O4119" s="5" t="s">
        <v>4150</v>
      </c>
      <c r="P4119" s="6">
        <v>0.24</v>
      </c>
      <c r="Q4119" s="11">
        <v>2</v>
      </c>
      <c r="R4119" s="11"/>
      <c r="S4119" s="11"/>
      <c r="T4119" s="11"/>
      <c r="U4119" s="11">
        <f t="shared" si="1319"/>
        <v>2</v>
      </c>
      <c r="W4119">
        <v>2.2000000000000002</v>
      </c>
      <c r="X4119" s="1" t="s">
        <v>20</v>
      </c>
    </row>
    <row r="4120" spans="1:24" x14ac:dyDescent="0.25">
      <c r="A4120" s="1" t="str">
        <f t="shared" si="1321"/>
        <v>卡卡杜-凤凰仓</v>
      </c>
      <c r="B4120" s="1" t="str">
        <f>"CK20241022339"</f>
        <v>CK20241022339</v>
      </c>
      <c r="C4120" s="1" t="str">
        <f>"DD2024102253958"</f>
        <v>DD2024102253958</v>
      </c>
      <c r="D4120" s="1" t="str">
        <f>"CK2024102250774"</f>
        <v>CK2024102250774</v>
      </c>
      <c r="E4120" s="1" t="str">
        <f>"3723469361427385344"</f>
        <v>3723469361427385344</v>
      </c>
      <c r="F4120" s="1" t="str">
        <f t="shared" si="1322"/>
        <v>花都四部-凤凰仓</v>
      </c>
      <c r="G4120" s="1" t="str">
        <f t="shared" si="1326"/>
        <v>卡卡杜企业店（视频号）</v>
      </c>
      <c r="H4120" s="1" t="str">
        <f t="shared" si="1323"/>
        <v>正常订单</v>
      </c>
      <c r="I4120" s="1" t="str">
        <f t="shared" si="1324"/>
        <v>已发货</v>
      </c>
      <c r="J4120" s="1" t="str">
        <f t="shared" si="1327"/>
        <v>3</v>
      </c>
      <c r="K4120" s="1">
        <v>3</v>
      </c>
      <c r="L4120" s="1" t="s">
        <v>16</v>
      </c>
      <c r="M4120" s="1" t="str">
        <f>"河北省 保定市 莲池区 "</f>
        <v xml:space="preserve">河北省 保定市 莲池区 </v>
      </c>
      <c r="N4120" s="1" t="str">
        <f t="shared" si="1316"/>
        <v>凡华云仓-城南圆通-微信视频号</v>
      </c>
      <c r="O4120" s="5" t="s">
        <v>4151</v>
      </c>
      <c r="P4120" s="6">
        <v>0.34</v>
      </c>
      <c r="Q4120" s="11">
        <v>2.2999999999999998</v>
      </c>
      <c r="R4120" s="11"/>
      <c r="S4120" s="11"/>
      <c r="T4120" s="11"/>
      <c r="U4120" s="11">
        <f t="shared" si="1319"/>
        <v>2.2999999999999998</v>
      </c>
      <c r="W4120">
        <v>2.5</v>
      </c>
      <c r="X4120" s="1" t="s">
        <v>16</v>
      </c>
    </row>
    <row r="4121" spans="1:24" x14ac:dyDescent="0.25">
      <c r="A4121" s="1" t="str">
        <f t="shared" si="1321"/>
        <v>卡卡杜-凤凰仓</v>
      </c>
      <c r="B4121" s="1" t="str">
        <f>"CK20241022761"</f>
        <v>CK20241022761</v>
      </c>
      <c r="C4121" s="1" t="str">
        <f>"DD2024102257062"</f>
        <v>DD2024102257062</v>
      </c>
      <c r="D4121" s="1" t="str">
        <f>"CK2024102250773"</f>
        <v>CK2024102250773</v>
      </c>
      <c r="E4121" s="1" t="str">
        <f>"3723469346504577024"</f>
        <v>3723469346504577024</v>
      </c>
      <c r="F4121" s="1" t="str">
        <f t="shared" si="1322"/>
        <v>花都四部-凤凰仓</v>
      </c>
      <c r="G4121" s="1" t="str">
        <f t="shared" si="1326"/>
        <v>卡卡杜企业店（视频号）</v>
      </c>
      <c r="H4121" s="1" t="str">
        <f t="shared" si="1323"/>
        <v>正常订单</v>
      </c>
      <c r="I4121" s="1" t="str">
        <f t="shared" si="1324"/>
        <v>已发货</v>
      </c>
      <c r="J4121" s="1" t="str">
        <f t="shared" si="1327"/>
        <v>3</v>
      </c>
      <c r="K4121" s="1">
        <v>2</v>
      </c>
      <c r="L4121" s="1" t="s">
        <v>13</v>
      </c>
      <c r="M4121" s="1" t="str">
        <f>"江苏省 苏州市 昆山市 "</f>
        <v xml:space="preserve">江苏省 苏州市 昆山市 </v>
      </c>
      <c r="N4121" s="1" t="str">
        <f t="shared" si="1316"/>
        <v>凡华云仓-城南圆通-微信视频号</v>
      </c>
      <c r="O4121" s="5" t="s">
        <v>4152</v>
      </c>
      <c r="P4121" s="6">
        <v>0.24</v>
      </c>
      <c r="Q4121" s="11">
        <v>2</v>
      </c>
      <c r="R4121" s="11"/>
      <c r="S4121" s="11"/>
      <c r="T4121" s="11"/>
      <c r="U4121" s="11">
        <f t="shared" si="1319"/>
        <v>2</v>
      </c>
      <c r="W4121">
        <v>2.2000000000000002</v>
      </c>
      <c r="X4121" s="1" t="s">
        <v>13</v>
      </c>
    </row>
    <row r="4122" spans="1:24" x14ac:dyDescent="0.25">
      <c r="A4122" s="1" t="str">
        <f t="shared" si="1321"/>
        <v>卡卡杜-凤凰仓</v>
      </c>
      <c r="B4122" s="1" t="str">
        <f>"CK20241022500"</f>
        <v>CK20241022500</v>
      </c>
      <c r="C4122" s="1" t="str">
        <f>"DD2024102255623"</f>
        <v>DD2024102255623</v>
      </c>
      <c r="D4122" s="1" t="str">
        <f>"CK2024102250772"</f>
        <v>CK2024102250772</v>
      </c>
      <c r="E4122" s="1" t="str">
        <f>"3723469332628768000"</f>
        <v>3723469332628768000</v>
      </c>
      <c r="F4122" s="1" t="str">
        <f t="shared" si="1322"/>
        <v>花都四部-凤凰仓</v>
      </c>
      <c r="G4122" s="1" t="str">
        <f t="shared" si="1326"/>
        <v>卡卡杜企业店（视频号）</v>
      </c>
      <c r="H4122" s="1" t="str">
        <f t="shared" si="1323"/>
        <v>正常订单</v>
      </c>
      <c r="I4122" s="1" t="str">
        <f t="shared" si="1324"/>
        <v>已发货</v>
      </c>
      <c r="J4122" s="1" t="str">
        <f t="shared" ref="J4122:J4124" si="1328">"5"</f>
        <v>5</v>
      </c>
      <c r="K4122" s="1">
        <v>3</v>
      </c>
      <c r="L4122" s="1" t="s">
        <v>16</v>
      </c>
      <c r="M4122" s="1" t="str">
        <f>"河北省 邢台市 宁晋县 "</f>
        <v xml:space="preserve">河北省 邢台市 宁晋县 </v>
      </c>
      <c r="N4122" s="1" t="str">
        <f t="shared" si="1316"/>
        <v>凡华云仓-城南圆通-微信视频号</v>
      </c>
      <c r="O4122" s="5" t="s">
        <v>4153</v>
      </c>
      <c r="P4122" s="6">
        <v>0.56000000000000005</v>
      </c>
      <c r="Q4122" s="11">
        <f t="shared" ref="Q4122:Q4124" si="1329">CEILING(P4122-0.5,0.1)*10*0.15+2.3</f>
        <v>2.4499999999999997</v>
      </c>
      <c r="R4122" s="11"/>
      <c r="S4122" s="11"/>
      <c r="T4122" s="11"/>
      <c r="U4122" s="11">
        <f t="shared" si="1319"/>
        <v>2.4499999999999997</v>
      </c>
      <c r="V4122" t="s">
        <v>15</v>
      </c>
      <c r="W4122">
        <v>2.4500000000000002</v>
      </c>
      <c r="X4122" s="1" t="s">
        <v>16</v>
      </c>
    </row>
    <row r="4123" spans="1:24" x14ac:dyDescent="0.25">
      <c r="A4123" s="1" t="str">
        <f t="shared" si="1321"/>
        <v>卡卡杜-凤凰仓</v>
      </c>
      <c r="B4123" s="1" t="str">
        <f>"CK20241022459"</f>
        <v>CK20241022459</v>
      </c>
      <c r="C4123" s="1" t="str">
        <f>"DD2024102255455"</f>
        <v>DD2024102255455</v>
      </c>
      <c r="D4123" s="1" t="str">
        <f>"CK2024102250771"</f>
        <v>CK2024102250771</v>
      </c>
      <c r="E4123" s="1" t="str">
        <f>"3723469327754989568"</f>
        <v>3723469327754989568</v>
      </c>
      <c r="F4123" s="1" t="str">
        <f t="shared" si="1322"/>
        <v>花都四部-凤凰仓</v>
      </c>
      <c r="G4123" s="1" t="str">
        <f t="shared" si="1326"/>
        <v>卡卡杜企业店（视频号）</v>
      </c>
      <c r="H4123" s="1" t="str">
        <f t="shared" si="1323"/>
        <v>正常订单</v>
      </c>
      <c r="I4123" s="1" t="str">
        <f t="shared" si="1324"/>
        <v>已发货</v>
      </c>
      <c r="J4123" s="1" t="str">
        <f t="shared" si="1328"/>
        <v>5</v>
      </c>
      <c r="K4123" s="1">
        <v>3</v>
      </c>
      <c r="L4123" s="1" t="s">
        <v>24</v>
      </c>
      <c r="M4123" s="1" t="str">
        <f>"福建省 泉州市 洛江区 "</f>
        <v xml:space="preserve">福建省 泉州市 洛江区 </v>
      </c>
      <c r="N4123" s="1" t="str">
        <f t="shared" si="1316"/>
        <v>凡华云仓-城南圆通-微信视频号</v>
      </c>
      <c r="O4123" s="5" t="s">
        <v>4154</v>
      </c>
      <c r="P4123" s="6">
        <v>0.56000000000000005</v>
      </c>
      <c r="Q4123" s="11">
        <f t="shared" si="1329"/>
        <v>2.4499999999999997</v>
      </c>
      <c r="R4123" s="11"/>
      <c r="S4123" s="11"/>
      <c r="T4123" s="11"/>
      <c r="U4123" s="11">
        <f t="shared" si="1319"/>
        <v>2.4499999999999997</v>
      </c>
      <c r="V4123" t="s">
        <v>15</v>
      </c>
      <c r="W4123">
        <v>2.4500000000000002</v>
      </c>
      <c r="X4123" s="1" t="s">
        <v>24</v>
      </c>
    </row>
    <row r="4124" spans="1:24" x14ac:dyDescent="0.25">
      <c r="A4124" s="1" t="str">
        <f t="shared" si="1321"/>
        <v>卡卡杜-凤凰仓</v>
      </c>
      <c r="B4124" s="1" t="str">
        <f>"CK20241022340"</f>
        <v>CK20241022340</v>
      </c>
      <c r="C4124" s="1" t="str">
        <f>"DD2024102253967"</f>
        <v>DD2024102253967</v>
      </c>
      <c r="D4124" s="1" t="str">
        <f>"CK2024102250770"</f>
        <v>CK2024102250770</v>
      </c>
      <c r="E4124" s="1" t="str">
        <f>"3723469311278191616"</f>
        <v>3723469311278191616</v>
      </c>
      <c r="F4124" s="1" t="str">
        <f t="shared" si="1322"/>
        <v>花都四部-凤凰仓</v>
      </c>
      <c r="G4124" s="1" t="str">
        <f t="shared" si="1326"/>
        <v>卡卡杜企业店（视频号）</v>
      </c>
      <c r="H4124" s="1" t="str">
        <f t="shared" si="1323"/>
        <v>正常订单</v>
      </c>
      <c r="I4124" s="1" t="str">
        <f t="shared" si="1324"/>
        <v>已发货</v>
      </c>
      <c r="J4124" s="1" t="str">
        <f t="shared" si="1328"/>
        <v>5</v>
      </c>
      <c r="K4124" s="1">
        <v>3</v>
      </c>
      <c r="L4124" s="1" t="s">
        <v>13</v>
      </c>
      <c r="M4124" s="1" t="str">
        <f>"江苏省 南京市 秦淮区 "</f>
        <v xml:space="preserve">江苏省 南京市 秦淮区 </v>
      </c>
      <c r="N4124" s="1" t="str">
        <f t="shared" si="1316"/>
        <v>凡华云仓-城南圆通-微信视频号</v>
      </c>
      <c r="O4124" s="5" t="s">
        <v>4155</v>
      </c>
      <c r="P4124" s="6">
        <v>0.56000000000000005</v>
      </c>
      <c r="Q4124" s="11">
        <f t="shared" si="1329"/>
        <v>2.4499999999999997</v>
      </c>
      <c r="R4124" s="11"/>
      <c r="S4124" s="11"/>
      <c r="T4124" s="11"/>
      <c r="U4124" s="11">
        <f t="shared" si="1319"/>
        <v>2.4499999999999997</v>
      </c>
      <c r="V4124" t="s">
        <v>15</v>
      </c>
      <c r="W4124">
        <v>2.4500000000000002</v>
      </c>
      <c r="X4124" s="1" t="s">
        <v>13</v>
      </c>
    </row>
    <row r="4125" spans="1:24" x14ac:dyDescent="0.25">
      <c r="A4125" s="1" t="str">
        <f t="shared" si="1321"/>
        <v>卡卡杜-凤凰仓</v>
      </c>
      <c r="B4125" s="1" t="str">
        <f>"CK20241022513"</f>
        <v>CK20241022513</v>
      </c>
      <c r="C4125" s="1" t="str">
        <f>"DD2024102255666"</f>
        <v>DD2024102255666</v>
      </c>
      <c r="D4125" s="1" t="str">
        <f>"CK2024102250769"</f>
        <v>CK2024102250769</v>
      </c>
      <c r="E4125" s="1" t="str">
        <f>"3723469310204445952"</f>
        <v>3723469310204445952</v>
      </c>
      <c r="F4125" s="1" t="str">
        <f t="shared" si="1322"/>
        <v>花都四部-凤凰仓</v>
      </c>
      <c r="G4125" s="1" t="str">
        <f t="shared" si="1326"/>
        <v>卡卡杜企业店（视频号）</v>
      </c>
      <c r="H4125" s="1" t="str">
        <f t="shared" si="1323"/>
        <v>正常订单</v>
      </c>
      <c r="I4125" s="1" t="str">
        <f t="shared" si="1324"/>
        <v>已发货</v>
      </c>
      <c r="J4125" s="1" t="str">
        <f t="shared" ref="J4125:J4127" si="1330">"3"</f>
        <v>3</v>
      </c>
      <c r="K4125" s="1">
        <v>3</v>
      </c>
      <c r="L4125" s="1" t="s">
        <v>161</v>
      </c>
      <c r="M4125" s="1" t="str">
        <f>"四川省 成都市 双流区 "</f>
        <v xml:space="preserve">四川省 成都市 双流区 </v>
      </c>
      <c r="N4125" s="1" t="str">
        <f t="shared" si="1316"/>
        <v>凡华云仓-城南圆通-微信视频号</v>
      </c>
      <c r="O4125" s="5" t="s">
        <v>4156</v>
      </c>
      <c r="P4125" s="6">
        <v>0.34</v>
      </c>
      <c r="Q4125" s="11">
        <v>2.2999999999999998</v>
      </c>
      <c r="R4125" s="11"/>
      <c r="S4125" s="11"/>
      <c r="T4125" s="11"/>
      <c r="U4125" s="11">
        <f t="shared" si="1319"/>
        <v>2.2999999999999998</v>
      </c>
      <c r="W4125">
        <v>2.5</v>
      </c>
      <c r="X4125" s="1" t="s">
        <v>161</v>
      </c>
    </row>
    <row r="4126" spans="1:24" x14ac:dyDescent="0.25">
      <c r="A4126" s="1" t="str">
        <f t="shared" si="1321"/>
        <v>卡卡杜-凤凰仓</v>
      </c>
      <c r="B4126" s="1" t="str">
        <f>"CK20241022341"</f>
        <v>CK20241022341</v>
      </c>
      <c r="C4126" s="1" t="str">
        <f>"DD2024102253971"</f>
        <v>DD2024102253971</v>
      </c>
      <c r="D4126" s="1" t="str">
        <f>"CK2024102250768"</f>
        <v>CK2024102250768</v>
      </c>
      <c r="E4126" s="1" t="str">
        <f>"3723469305441815552"</f>
        <v>3723469305441815552</v>
      </c>
      <c r="F4126" s="1" t="str">
        <f t="shared" si="1322"/>
        <v>花都四部-凤凰仓</v>
      </c>
      <c r="G4126" s="1" t="str">
        <f t="shared" si="1326"/>
        <v>卡卡杜企业店（视频号）</v>
      </c>
      <c r="H4126" s="1" t="str">
        <f t="shared" si="1323"/>
        <v>正常订单</v>
      </c>
      <c r="I4126" s="1" t="str">
        <f t="shared" si="1324"/>
        <v>已发货</v>
      </c>
      <c r="J4126" s="1" t="str">
        <f t="shared" si="1330"/>
        <v>3</v>
      </c>
      <c r="K4126" s="1">
        <v>3</v>
      </c>
      <c r="L4126" s="1" t="s">
        <v>74</v>
      </c>
      <c r="M4126" s="1" t="str">
        <f>"上海 上海市 浦东新区 "</f>
        <v xml:space="preserve">上海 上海市 浦东新区 </v>
      </c>
      <c r="N4126" s="1" t="str">
        <f t="shared" si="1316"/>
        <v>凡华云仓-城南圆通-微信视频号</v>
      </c>
      <c r="O4126" s="5" t="s">
        <v>4157</v>
      </c>
      <c r="P4126" s="6">
        <v>0.34</v>
      </c>
      <c r="Q4126" s="11">
        <v>2.2999999999999998</v>
      </c>
      <c r="R4126" s="11"/>
      <c r="S4126" s="11"/>
      <c r="T4126" s="11"/>
      <c r="U4126" s="11">
        <f t="shared" si="1319"/>
        <v>2.2999999999999998</v>
      </c>
      <c r="W4126">
        <v>2.5</v>
      </c>
      <c r="X4126" s="1" t="s">
        <v>74</v>
      </c>
    </row>
    <row r="4127" spans="1:24" x14ac:dyDescent="0.25">
      <c r="A4127" s="1" t="str">
        <f t="shared" si="1321"/>
        <v>卡卡杜-凤凰仓</v>
      </c>
      <c r="B4127" s="1" t="str">
        <f>"CK20241022471"</f>
        <v>CK20241022471</v>
      </c>
      <c r="C4127" s="1" t="str">
        <f>"DD2024102255519"</f>
        <v>DD2024102255519</v>
      </c>
      <c r="D4127" s="1" t="str">
        <f>"CK2024102250767"</f>
        <v>CK2024102250767</v>
      </c>
      <c r="E4127" s="1" t="str">
        <f>"3723469302501872640"</f>
        <v>3723469302501872640</v>
      </c>
      <c r="F4127" s="1" t="str">
        <f t="shared" si="1322"/>
        <v>花都四部-凤凰仓</v>
      </c>
      <c r="G4127" s="1" t="str">
        <f t="shared" si="1326"/>
        <v>卡卡杜企业店（视频号）</v>
      </c>
      <c r="H4127" s="1" t="str">
        <f t="shared" si="1323"/>
        <v>正常订单</v>
      </c>
      <c r="I4127" s="1" t="str">
        <f t="shared" si="1324"/>
        <v>已发货</v>
      </c>
      <c r="J4127" s="1" t="str">
        <f t="shared" si="1330"/>
        <v>3</v>
      </c>
      <c r="K4127" s="1">
        <v>3</v>
      </c>
      <c r="L4127" s="1" t="s">
        <v>47</v>
      </c>
      <c r="M4127" s="1" t="str">
        <f>"重庆 重庆市 南岸区 "</f>
        <v xml:space="preserve">重庆 重庆市 南岸区 </v>
      </c>
      <c r="N4127" s="1" t="str">
        <f t="shared" si="1316"/>
        <v>凡华云仓-城南圆通-微信视频号</v>
      </c>
      <c r="O4127" s="5" t="s">
        <v>4158</v>
      </c>
      <c r="P4127" s="6">
        <v>0.34</v>
      </c>
      <c r="Q4127" s="11">
        <v>2.2999999999999998</v>
      </c>
      <c r="R4127" s="11"/>
      <c r="S4127" s="11"/>
      <c r="T4127" s="11"/>
      <c r="U4127" s="11">
        <f t="shared" si="1319"/>
        <v>2.2999999999999998</v>
      </c>
      <c r="W4127">
        <v>2.5</v>
      </c>
      <c r="X4127" s="1" t="s">
        <v>47</v>
      </c>
    </row>
    <row r="4128" spans="1:24" x14ac:dyDescent="0.25">
      <c r="A4128" s="1" t="str">
        <f t="shared" si="1321"/>
        <v>卡卡杜-凤凰仓</v>
      </c>
      <c r="B4128" s="1" t="str">
        <f>"CK20241022442"</f>
        <v>CK20241022442</v>
      </c>
      <c r="C4128" s="1" t="str">
        <f>"DD2024102255400"</f>
        <v>DD2024102255400</v>
      </c>
      <c r="D4128" s="1" t="str">
        <f>"CK2024102250766"</f>
        <v>CK2024102250766</v>
      </c>
      <c r="E4128" s="1" t="str">
        <f>"3723469284139995136"</f>
        <v>3723469284139995136</v>
      </c>
      <c r="F4128" s="1" t="str">
        <f t="shared" si="1322"/>
        <v>花都四部-凤凰仓</v>
      </c>
      <c r="G4128" s="1" t="str">
        <f t="shared" si="1326"/>
        <v>卡卡杜企业店（视频号）</v>
      </c>
      <c r="H4128" s="1" t="str">
        <f t="shared" si="1323"/>
        <v>正常订单</v>
      </c>
      <c r="I4128" s="1" t="str">
        <f t="shared" si="1324"/>
        <v>已发货</v>
      </c>
      <c r="J4128" s="1" t="str">
        <f t="shared" ref="J4128:J4136" si="1331">"5"</f>
        <v>5</v>
      </c>
      <c r="K4128" s="1">
        <v>3</v>
      </c>
      <c r="L4128" s="1" t="s">
        <v>13</v>
      </c>
      <c r="M4128" s="1" t="str">
        <f>"江苏省 苏州市 昆山市 "</f>
        <v xml:space="preserve">江苏省 苏州市 昆山市 </v>
      </c>
      <c r="N4128" s="1" t="str">
        <f t="shared" si="1316"/>
        <v>凡华云仓-城南圆通-微信视频号</v>
      </c>
      <c r="O4128" s="5" t="s">
        <v>4159</v>
      </c>
      <c r="P4128" s="6">
        <v>0.56000000000000005</v>
      </c>
      <c r="Q4128" s="11">
        <f t="shared" ref="Q4128:Q4136" si="1332">CEILING(P4128-0.5,0.1)*10*0.15+2.3</f>
        <v>2.4499999999999997</v>
      </c>
      <c r="R4128" s="11"/>
      <c r="S4128" s="11"/>
      <c r="T4128" s="11"/>
      <c r="U4128" s="11">
        <f t="shared" si="1319"/>
        <v>2.4499999999999997</v>
      </c>
      <c r="V4128" t="s">
        <v>15</v>
      </c>
      <c r="W4128">
        <v>2.4500000000000002</v>
      </c>
      <c r="X4128" s="1" t="s">
        <v>13</v>
      </c>
    </row>
    <row r="4129" spans="1:24" x14ac:dyDescent="0.25">
      <c r="A4129" s="1" t="str">
        <f t="shared" si="1321"/>
        <v>卡卡杜-凤凰仓</v>
      </c>
      <c r="B4129" s="1" t="str">
        <f>"CK20241022343"</f>
        <v>CK20241022343</v>
      </c>
      <c r="C4129" s="1" t="str">
        <f>"DD2024102253975"</f>
        <v>DD2024102253975</v>
      </c>
      <c r="D4129" s="1" t="str">
        <f>"CK2024102250765"</f>
        <v>CK2024102250765</v>
      </c>
      <c r="E4129" s="1" t="str">
        <f>"3723469297745268736"</f>
        <v>3723469297745268736</v>
      </c>
      <c r="F4129" s="1" t="str">
        <f t="shared" si="1322"/>
        <v>花都四部-凤凰仓</v>
      </c>
      <c r="G4129" s="1" t="str">
        <f t="shared" si="1326"/>
        <v>卡卡杜企业店（视频号）</v>
      </c>
      <c r="H4129" s="1" t="str">
        <f t="shared" si="1323"/>
        <v>正常订单</v>
      </c>
      <c r="I4129" s="1" t="str">
        <f t="shared" si="1324"/>
        <v>已发货</v>
      </c>
      <c r="J4129" s="1" t="str">
        <f t="shared" ref="J4129:J4132" si="1333">"3"</f>
        <v>3</v>
      </c>
      <c r="K4129" s="1">
        <v>3</v>
      </c>
      <c r="L4129" s="1" t="s">
        <v>105</v>
      </c>
      <c r="M4129" s="1" t="str">
        <f>"北京 北京市 昌平区 "</f>
        <v xml:space="preserve">北京 北京市 昌平区 </v>
      </c>
      <c r="N4129" s="1" t="str">
        <f t="shared" si="1316"/>
        <v>凡华云仓-城南圆通-微信视频号</v>
      </c>
      <c r="O4129" s="5" t="s">
        <v>4160</v>
      </c>
      <c r="P4129" s="6">
        <v>0.34</v>
      </c>
      <c r="Q4129" s="11">
        <v>2.2999999999999998</v>
      </c>
      <c r="R4129" s="11"/>
      <c r="S4129" s="11"/>
      <c r="T4129" s="11"/>
      <c r="U4129" s="11">
        <f t="shared" si="1319"/>
        <v>2.2999999999999998</v>
      </c>
      <c r="W4129">
        <v>2.5</v>
      </c>
      <c r="X4129" s="1" t="s">
        <v>105</v>
      </c>
    </row>
    <row r="4130" spans="1:24" x14ac:dyDescent="0.25">
      <c r="A4130" s="1" t="str">
        <f t="shared" si="1321"/>
        <v>卡卡杜-凤凰仓</v>
      </c>
      <c r="B4130" s="1" t="str">
        <f>"CK20241022525"</f>
        <v>CK20241022525</v>
      </c>
      <c r="C4130" s="1" t="str">
        <f>"DD2024102255707"</f>
        <v>DD2024102255707</v>
      </c>
      <c r="D4130" s="1" t="str">
        <f>"CK2024102250764"</f>
        <v>CK2024102250764</v>
      </c>
      <c r="E4130" s="1" t="str">
        <f>"3723469286972984320"</f>
        <v>3723469286972984320</v>
      </c>
      <c r="F4130" s="1" t="str">
        <f t="shared" si="1322"/>
        <v>花都四部-凤凰仓</v>
      </c>
      <c r="G4130" s="1" t="str">
        <f t="shared" si="1326"/>
        <v>卡卡杜企业店（视频号）</v>
      </c>
      <c r="H4130" s="1" t="str">
        <f t="shared" si="1323"/>
        <v>正常订单</v>
      </c>
      <c r="I4130" s="1" t="str">
        <f t="shared" si="1324"/>
        <v>已发货</v>
      </c>
      <c r="J4130" s="1" t="str">
        <f t="shared" si="1331"/>
        <v>5</v>
      </c>
      <c r="K4130" s="1">
        <v>3</v>
      </c>
      <c r="L4130" s="1" t="s">
        <v>74</v>
      </c>
      <c r="M4130" s="1" t="str">
        <f>"上海 上海市 虹口区 "</f>
        <v xml:space="preserve">上海 上海市 虹口区 </v>
      </c>
      <c r="N4130" s="1" t="str">
        <f t="shared" si="1316"/>
        <v>凡华云仓-城南圆通-微信视频号</v>
      </c>
      <c r="O4130" s="5" t="s">
        <v>4161</v>
      </c>
      <c r="P4130" s="6">
        <v>0.56000000000000005</v>
      </c>
      <c r="Q4130" s="11">
        <f t="shared" si="1332"/>
        <v>2.4499999999999997</v>
      </c>
      <c r="R4130" s="11"/>
      <c r="S4130" s="11"/>
      <c r="T4130" s="11"/>
      <c r="U4130" s="11">
        <f t="shared" si="1319"/>
        <v>2.4499999999999997</v>
      </c>
      <c r="V4130" t="s">
        <v>15</v>
      </c>
      <c r="W4130">
        <v>2.4500000000000002</v>
      </c>
      <c r="X4130" s="1" t="s">
        <v>74</v>
      </c>
    </row>
    <row r="4131" spans="1:24" x14ac:dyDescent="0.25">
      <c r="A4131" s="1" t="str">
        <f t="shared" si="1321"/>
        <v>卡卡杜-凤凰仓</v>
      </c>
      <c r="B4131" s="1" t="str">
        <f>"CK20241022344"</f>
        <v>CK20241022344</v>
      </c>
      <c r="C4131" s="1" t="str">
        <f>"DD2024102253977"</f>
        <v>DD2024102253977</v>
      </c>
      <c r="D4131" s="1" t="str">
        <f>"CK2024102250763"</f>
        <v>CK2024102250763</v>
      </c>
      <c r="E4131" s="1" t="str">
        <f>"3723469286361403392"</f>
        <v>3723469286361403392</v>
      </c>
      <c r="F4131" s="1" t="str">
        <f t="shared" si="1322"/>
        <v>花都四部-凤凰仓</v>
      </c>
      <c r="G4131" s="1" t="str">
        <f t="shared" si="1326"/>
        <v>卡卡杜企业店（视频号）</v>
      </c>
      <c r="H4131" s="1" t="str">
        <f t="shared" si="1323"/>
        <v>正常订单</v>
      </c>
      <c r="I4131" s="1" t="str">
        <f t="shared" si="1324"/>
        <v>已发货</v>
      </c>
      <c r="J4131" s="1" t="str">
        <f t="shared" si="1333"/>
        <v>3</v>
      </c>
      <c r="K4131" s="1">
        <v>3</v>
      </c>
      <c r="L4131" s="1" t="s">
        <v>94</v>
      </c>
      <c r="M4131" s="1" t="str">
        <f>"湖南省 邵阳市 北塔区 "</f>
        <v xml:space="preserve">湖南省 邵阳市 北塔区 </v>
      </c>
      <c r="N4131" s="1" t="str">
        <f t="shared" si="1316"/>
        <v>凡华云仓-城南圆通-微信视频号</v>
      </c>
      <c r="O4131" s="5" t="s">
        <v>4162</v>
      </c>
      <c r="P4131" s="6">
        <v>0.34</v>
      </c>
      <c r="Q4131" s="11">
        <v>2.2999999999999998</v>
      </c>
      <c r="R4131" s="11"/>
      <c r="S4131" s="11"/>
      <c r="T4131" s="11"/>
      <c r="U4131" s="11">
        <f t="shared" si="1319"/>
        <v>2.2999999999999998</v>
      </c>
      <c r="W4131">
        <v>2.5</v>
      </c>
      <c r="X4131" s="1" t="s">
        <v>94</v>
      </c>
    </row>
    <row r="4132" spans="1:24" x14ac:dyDescent="0.25">
      <c r="A4132" s="1" t="str">
        <f t="shared" si="1321"/>
        <v>卡卡杜-凤凰仓</v>
      </c>
      <c r="B4132" s="1" t="str">
        <f>"CK20241022483"</f>
        <v>CK20241022483</v>
      </c>
      <c r="C4132" s="1" t="str">
        <f>"DD2024102255563"</f>
        <v>DD2024102255563</v>
      </c>
      <c r="D4132" s="1" t="str">
        <f>"CK2024102250762"</f>
        <v>CK2024102250762</v>
      </c>
      <c r="E4132" s="1" t="str">
        <f>"3723469286921604096"</f>
        <v>3723469286921604096</v>
      </c>
      <c r="F4132" s="1" t="str">
        <f t="shared" si="1322"/>
        <v>花都四部-凤凰仓</v>
      </c>
      <c r="G4132" s="1" t="str">
        <f t="shared" si="1326"/>
        <v>卡卡杜企业店（视频号）</v>
      </c>
      <c r="H4132" s="1" t="str">
        <f t="shared" si="1323"/>
        <v>正常订单</v>
      </c>
      <c r="I4132" s="1" t="str">
        <f t="shared" si="1324"/>
        <v>已发货</v>
      </c>
      <c r="J4132" s="1" t="str">
        <f t="shared" si="1333"/>
        <v>3</v>
      </c>
      <c r="K4132" s="1">
        <v>3</v>
      </c>
      <c r="L4132" s="1" t="s">
        <v>30</v>
      </c>
      <c r="M4132" s="1" t="str">
        <f>"山东省 威海市 环翠区 "</f>
        <v xml:space="preserve">山东省 威海市 环翠区 </v>
      </c>
      <c r="N4132" s="1" t="str">
        <f t="shared" si="1316"/>
        <v>凡华云仓-城南圆通-微信视频号</v>
      </c>
      <c r="O4132" s="5" t="s">
        <v>4163</v>
      </c>
      <c r="P4132" s="6">
        <v>0.34</v>
      </c>
      <c r="Q4132" s="11">
        <v>2.2999999999999998</v>
      </c>
      <c r="R4132" s="11"/>
      <c r="S4132" s="11"/>
      <c r="T4132" s="11"/>
      <c r="U4132" s="11">
        <f t="shared" si="1319"/>
        <v>2.2999999999999998</v>
      </c>
      <c r="W4132">
        <v>2.5</v>
      </c>
      <c r="X4132" s="1" t="s">
        <v>30</v>
      </c>
    </row>
    <row r="4133" spans="1:24" x14ac:dyDescent="0.25">
      <c r="A4133" s="1" t="str">
        <f t="shared" si="1321"/>
        <v>卡卡杜-凤凰仓</v>
      </c>
      <c r="B4133" s="1" t="str">
        <f>"CK20241022494"</f>
        <v>CK20241022494</v>
      </c>
      <c r="C4133" s="1" t="str">
        <f>"DD2024102255595"</f>
        <v>DD2024102255595</v>
      </c>
      <c r="D4133" s="1" t="str">
        <f>"CK2024102250761"</f>
        <v>CK2024102250761</v>
      </c>
      <c r="E4133" s="1" t="str">
        <f>"3723469279827726336"</f>
        <v>3723469279827726336</v>
      </c>
      <c r="F4133" s="1" t="str">
        <f t="shared" si="1322"/>
        <v>花都四部-凤凰仓</v>
      </c>
      <c r="G4133" s="1" t="str">
        <f t="shared" si="1326"/>
        <v>卡卡杜企业店（视频号）</v>
      </c>
      <c r="H4133" s="1" t="str">
        <f t="shared" si="1323"/>
        <v>正常订单</v>
      </c>
      <c r="I4133" s="1" t="str">
        <f t="shared" si="1324"/>
        <v>已发货</v>
      </c>
      <c r="J4133" s="1" t="str">
        <f t="shared" si="1331"/>
        <v>5</v>
      </c>
      <c r="K4133" s="1">
        <v>3</v>
      </c>
      <c r="L4133" s="1" t="s">
        <v>47</v>
      </c>
      <c r="M4133" s="1" t="str">
        <f>"重庆 重庆市 南岸区 "</f>
        <v xml:space="preserve">重庆 重庆市 南岸区 </v>
      </c>
      <c r="N4133" s="1" t="str">
        <f t="shared" si="1316"/>
        <v>凡华云仓-城南圆通-微信视频号</v>
      </c>
      <c r="O4133" s="5" t="s">
        <v>4164</v>
      </c>
      <c r="P4133" s="6">
        <v>0.56000000000000005</v>
      </c>
      <c r="Q4133" s="11">
        <f t="shared" si="1332"/>
        <v>2.4499999999999997</v>
      </c>
      <c r="R4133" s="11"/>
      <c r="S4133" s="11"/>
      <c r="T4133" s="11"/>
      <c r="U4133" s="11">
        <f t="shared" si="1319"/>
        <v>2.4499999999999997</v>
      </c>
      <c r="V4133" t="s">
        <v>15</v>
      </c>
      <c r="W4133">
        <v>2.4500000000000002</v>
      </c>
      <c r="X4133" s="1" t="s">
        <v>47</v>
      </c>
    </row>
    <row r="4134" spans="1:24" x14ac:dyDescent="0.25">
      <c r="A4134" s="1" t="str">
        <f t="shared" si="1321"/>
        <v>卡卡杜-凤凰仓</v>
      </c>
      <c r="B4134" s="1" t="str">
        <f>"CK20241022453"</f>
        <v>CK20241022453</v>
      </c>
      <c r="C4134" s="1" t="str">
        <f>"DD2024102255427"</f>
        <v>DD2024102255427</v>
      </c>
      <c r="D4134" s="1" t="str">
        <f>"CK2024102250760"</f>
        <v>CK2024102250760</v>
      </c>
      <c r="E4134" s="1" t="str">
        <f>"3723469269639496960"</f>
        <v>3723469269639496960</v>
      </c>
      <c r="F4134" s="1" t="str">
        <f t="shared" si="1322"/>
        <v>花都四部-凤凰仓</v>
      </c>
      <c r="G4134" s="1" t="str">
        <f t="shared" si="1326"/>
        <v>卡卡杜企业店（视频号）</v>
      </c>
      <c r="H4134" s="1" t="str">
        <f t="shared" si="1323"/>
        <v>正常订单</v>
      </c>
      <c r="I4134" s="1" t="str">
        <f t="shared" si="1324"/>
        <v>已发货</v>
      </c>
      <c r="J4134" s="1" t="str">
        <f t="shared" si="1331"/>
        <v>5</v>
      </c>
      <c r="K4134" s="1">
        <v>3</v>
      </c>
      <c r="L4134" s="1" t="s">
        <v>18</v>
      </c>
      <c r="M4134" s="1" t="str">
        <f>"广东省 东莞市 寮步镇 "</f>
        <v xml:space="preserve">广东省 东莞市 寮步镇 </v>
      </c>
      <c r="N4134" s="1" t="str">
        <f t="shared" si="1316"/>
        <v>凡华云仓-城南圆通-微信视频号</v>
      </c>
      <c r="O4134" s="5" t="s">
        <v>4165</v>
      </c>
      <c r="P4134" s="6">
        <v>0.56000000000000005</v>
      </c>
      <c r="Q4134" s="11">
        <f t="shared" si="1332"/>
        <v>2.4499999999999997</v>
      </c>
      <c r="R4134" s="11"/>
      <c r="S4134" s="11"/>
      <c r="T4134" s="11"/>
      <c r="U4134" s="11">
        <f t="shared" si="1319"/>
        <v>2.4499999999999997</v>
      </c>
      <c r="V4134" t="s">
        <v>15</v>
      </c>
      <c r="W4134">
        <v>2.4500000000000002</v>
      </c>
      <c r="X4134" s="1" t="s">
        <v>18</v>
      </c>
    </row>
    <row r="4135" spans="1:24" x14ac:dyDescent="0.25">
      <c r="A4135" s="1" t="str">
        <f t="shared" si="1321"/>
        <v>卡卡杜-凤凰仓</v>
      </c>
      <c r="B4135" s="1" t="str">
        <f>"CK20241022507"</f>
        <v>CK20241022507</v>
      </c>
      <c r="C4135" s="1" t="str">
        <f>"DD2024102255644"</f>
        <v>DD2024102255644</v>
      </c>
      <c r="D4135" s="1" t="str">
        <f>"CK2024102250759"</f>
        <v>CK2024102250759</v>
      </c>
      <c r="E4135" s="1" t="str">
        <f>"3723469265740104960"</f>
        <v>3723469265740104960</v>
      </c>
      <c r="F4135" s="1" t="str">
        <f t="shared" si="1322"/>
        <v>花都四部-凤凰仓</v>
      </c>
      <c r="G4135" s="1" t="str">
        <f t="shared" si="1326"/>
        <v>卡卡杜企业店（视频号）</v>
      </c>
      <c r="H4135" s="1" t="str">
        <f t="shared" si="1323"/>
        <v>正常订单</v>
      </c>
      <c r="I4135" s="1" t="str">
        <f t="shared" si="1324"/>
        <v>已发货</v>
      </c>
      <c r="J4135" s="1" t="str">
        <f t="shared" si="1331"/>
        <v>5</v>
      </c>
      <c r="K4135" s="1">
        <v>3</v>
      </c>
      <c r="L4135" s="1" t="s">
        <v>92</v>
      </c>
      <c r="M4135" s="1" t="str">
        <f>"辽宁省 铁岭市 铁岭县 "</f>
        <v xml:space="preserve">辽宁省 铁岭市 铁岭县 </v>
      </c>
      <c r="N4135" s="1" t="str">
        <f t="shared" si="1316"/>
        <v>凡华云仓-城南圆通-微信视频号</v>
      </c>
      <c r="O4135" s="5" t="s">
        <v>4166</v>
      </c>
      <c r="P4135" s="6">
        <v>0.56000000000000005</v>
      </c>
      <c r="Q4135" s="11">
        <f t="shared" si="1332"/>
        <v>2.4499999999999997</v>
      </c>
      <c r="R4135" s="11"/>
      <c r="S4135" s="11"/>
      <c r="T4135" s="11"/>
      <c r="U4135" s="11">
        <f t="shared" si="1319"/>
        <v>2.4499999999999997</v>
      </c>
      <c r="V4135" t="s">
        <v>15</v>
      </c>
      <c r="W4135">
        <v>2.4500000000000002</v>
      </c>
      <c r="X4135" s="1" t="s">
        <v>92</v>
      </c>
    </row>
    <row r="4136" spans="1:24" x14ac:dyDescent="0.25">
      <c r="A4136" s="1" t="str">
        <f t="shared" si="1321"/>
        <v>卡卡杜-凤凰仓</v>
      </c>
      <c r="B4136" s="1" t="str">
        <f>"CK20241022465"</f>
        <v>CK20241022465</v>
      </c>
      <c r="C4136" s="1" t="str">
        <f>"DD2024102255496"</f>
        <v>DD2024102255496</v>
      </c>
      <c r="D4136" s="1" t="str">
        <f>"CK2024102250758"</f>
        <v>CK2024102250758</v>
      </c>
      <c r="E4136" s="1" t="str">
        <f>"3723469260474944512"</f>
        <v>3723469260474944512</v>
      </c>
      <c r="F4136" s="1" t="str">
        <f t="shared" si="1322"/>
        <v>花都四部-凤凰仓</v>
      </c>
      <c r="G4136" s="1" t="str">
        <f t="shared" si="1326"/>
        <v>卡卡杜企业店（视频号）</v>
      </c>
      <c r="H4136" s="1" t="str">
        <f t="shared" si="1323"/>
        <v>正常订单</v>
      </c>
      <c r="I4136" s="1" t="str">
        <f t="shared" si="1324"/>
        <v>已发货</v>
      </c>
      <c r="J4136" s="1" t="str">
        <f t="shared" si="1331"/>
        <v>5</v>
      </c>
      <c r="K4136" s="1">
        <v>3</v>
      </c>
      <c r="L4136" s="1" t="s">
        <v>92</v>
      </c>
      <c r="M4136" s="1" t="str">
        <f>"辽宁省 沈阳市 和平区 "</f>
        <v xml:space="preserve">辽宁省 沈阳市 和平区 </v>
      </c>
      <c r="N4136" s="1" t="str">
        <f t="shared" si="1316"/>
        <v>凡华云仓-城南圆通-微信视频号</v>
      </c>
      <c r="O4136" s="5" t="s">
        <v>4167</v>
      </c>
      <c r="P4136" s="6">
        <v>0.56000000000000005</v>
      </c>
      <c r="Q4136" s="11">
        <f t="shared" si="1332"/>
        <v>2.4499999999999997</v>
      </c>
      <c r="R4136" s="11"/>
      <c r="S4136" s="11"/>
      <c r="T4136" s="11"/>
      <c r="U4136" s="11">
        <f t="shared" si="1319"/>
        <v>2.4499999999999997</v>
      </c>
      <c r="V4136" t="s">
        <v>15</v>
      </c>
      <c r="W4136">
        <v>2.4500000000000002</v>
      </c>
      <c r="X4136" s="1" t="s">
        <v>92</v>
      </c>
    </row>
    <row r="4137" spans="1:24" x14ac:dyDescent="0.25">
      <c r="A4137" s="1" t="str">
        <f t="shared" si="1321"/>
        <v>卡卡杜-凤凰仓</v>
      </c>
      <c r="B4137" s="1" t="str">
        <f>"CK20241022519"</f>
        <v>CK20241022519</v>
      </c>
      <c r="C4137" s="1" t="str">
        <f>"DD2024102255687"</f>
        <v>DD2024102255687</v>
      </c>
      <c r="D4137" s="1" t="str">
        <f>"CK2024102250757"</f>
        <v>CK2024102250757</v>
      </c>
      <c r="E4137" s="1" t="str">
        <f>"3723469259646829824"</f>
        <v>3723469259646829824</v>
      </c>
      <c r="F4137" s="1" t="str">
        <f t="shared" si="1322"/>
        <v>花都四部-凤凰仓</v>
      </c>
      <c r="G4137" s="1" t="str">
        <f t="shared" si="1326"/>
        <v>卡卡杜企业店（视频号）</v>
      </c>
      <c r="H4137" s="1" t="str">
        <f t="shared" si="1323"/>
        <v>正常订单</v>
      </c>
      <c r="I4137" s="1" t="str">
        <f t="shared" si="1324"/>
        <v>已发货</v>
      </c>
      <c r="J4137" s="1" t="str">
        <f t="shared" ref="J4137:J4143" si="1334">"3"</f>
        <v>3</v>
      </c>
      <c r="K4137" s="1">
        <v>3</v>
      </c>
      <c r="L4137" s="1" t="s">
        <v>27</v>
      </c>
      <c r="M4137" s="1" t="str">
        <f>"贵州省 贵阳市 南明区 "</f>
        <v xml:space="preserve">贵州省 贵阳市 南明区 </v>
      </c>
      <c r="N4137" s="1" t="str">
        <f t="shared" si="1316"/>
        <v>凡华云仓-城南圆通-微信视频号</v>
      </c>
      <c r="O4137" s="5" t="s">
        <v>4168</v>
      </c>
      <c r="P4137" s="6">
        <v>0.34</v>
      </c>
      <c r="Q4137" s="11">
        <v>2.2999999999999998</v>
      </c>
      <c r="R4137" s="11"/>
      <c r="S4137" s="11"/>
      <c r="T4137" s="11"/>
      <c r="U4137" s="11">
        <f t="shared" si="1319"/>
        <v>2.2999999999999998</v>
      </c>
      <c r="W4137">
        <v>2.5</v>
      </c>
      <c r="X4137" s="1" t="s">
        <v>27</v>
      </c>
    </row>
    <row r="4138" spans="1:24" x14ac:dyDescent="0.25">
      <c r="A4138" s="1" t="str">
        <f t="shared" si="1321"/>
        <v>卡卡杜-凤凰仓</v>
      </c>
      <c r="B4138" s="1" t="str">
        <f>"CK20241022345"</f>
        <v>CK20241022345</v>
      </c>
      <c r="C4138" s="1" t="str">
        <f>"DD2024102253980"</f>
        <v>DD2024102253980</v>
      </c>
      <c r="D4138" s="1" t="str">
        <f>"CK2024102250756"</f>
        <v>CK2024102250756</v>
      </c>
      <c r="E4138" s="1" t="str">
        <f>"3723469257401307136"</f>
        <v>3723469257401307136</v>
      </c>
      <c r="F4138" s="1" t="str">
        <f t="shared" si="1322"/>
        <v>花都四部-凤凰仓</v>
      </c>
      <c r="G4138" s="1" t="str">
        <f t="shared" si="1326"/>
        <v>卡卡杜企业店（视频号）</v>
      </c>
      <c r="H4138" s="1" t="str">
        <f t="shared" si="1323"/>
        <v>正常订单</v>
      </c>
      <c r="I4138" s="1" t="str">
        <f t="shared" si="1324"/>
        <v>已发货</v>
      </c>
      <c r="J4138" s="1" t="str">
        <f t="shared" si="1334"/>
        <v>3</v>
      </c>
      <c r="K4138" s="1">
        <v>3</v>
      </c>
      <c r="L4138" s="1" t="s">
        <v>80</v>
      </c>
      <c r="M4138" s="1" t="str">
        <f>"河南省 漯河市 郾城区 "</f>
        <v xml:space="preserve">河南省 漯河市 郾城区 </v>
      </c>
      <c r="N4138" s="1" t="str">
        <f t="shared" si="1316"/>
        <v>凡华云仓-城南圆通-微信视频号</v>
      </c>
      <c r="O4138" s="5" t="s">
        <v>4169</v>
      </c>
      <c r="P4138" s="6">
        <v>0.34</v>
      </c>
      <c r="Q4138" s="11">
        <v>2.2999999999999998</v>
      </c>
      <c r="R4138" s="11"/>
      <c r="S4138" s="11"/>
      <c r="T4138" s="11"/>
      <c r="U4138" s="11">
        <f t="shared" si="1319"/>
        <v>2.2999999999999998</v>
      </c>
      <c r="W4138">
        <v>2.5</v>
      </c>
      <c r="X4138" s="1" t="s">
        <v>80</v>
      </c>
    </row>
    <row r="4139" spans="1:24" x14ac:dyDescent="0.25">
      <c r="A4139" s="1" t="str">
        <f t="shared" si="1321"/>
        <v>卡卡杜-凤凰仓</v>
      </c>
      <c r="B4139" s="1" t="str">
        <f>"CK20241022472"</f>
        <v>CK20241022472</v>
      </c>
      <c r="C4139" s="1" t="str">
        <f>"DD2024102255536"</f>
        <v>DD2024102255536</v>
      </c>
      <c r="D4139" s="1" t="str">
        <f>"CK2024102250755"</f>
        <v>CK2024102250755</v>
      </c>
      <c r="E4139" s="1" t="str">
        <f>"3723469251210253312"</f>
        <v>3723469251210253312</v>
      </c>
      <c r="F4139" s="1" t="str">
        <f t="shared" si="1322"/>
        <v>花都四部-凤凰仓</v>
      </c>
      <c r="G4139" s="1" t="str">
        <f t="shared" si="1326"/>
        <v>卡卡杜企业店（视频号）</v>
      </c>
      <c r="H4139" s="1" t="str">
        <f t="shared" si="1323"/>
        <v>正常订单</v>
      </c>
      <c r="I4139" s="1" t="str">
        <f t="shared" si="1324"/>
        <v>已发货</v>
      </c>
      <c r="J4139" s="1" t="str">
        <f>"5"</f>
        <v>5</v>
      </c>
      <c r="K4139" s="1">
        <v>3</v>
      </c>
      <c r="L4139" s="1" t="s">
        <v>30</v>
      </c>
      <c r="M4139" s="1" t="str">
        <f>"山东省 临沂市 兰山区 "</f>
        <v xml:space="preserve">山东省 临沂市 兰山区 </v>
      </c>
      <c r="N4139" s="1" t="str">
        <f t="shared" si="1316"/>
        <v>凡华云仓-城南圆通-微信视频号</v>
      </c>
      <c r="O4139" s="5" t="s">
        <v>4170</v>
      </c>
      <c r="P4139" s="6">
        <v>0.56000000000000005</v>
      </c>
      <c r="Q4139" s="11">
        <f>CEILING(P4139-0.5,0.1)*10*0.15+2.3</f>
        <v>2.4499999999999997</v>
      </c>
      <c r="R4139" s="11"/>
      <c r="S4139" s="11"/>
      <c r="T4139" s="11"/>
      <c r="U4139" s="11">
        <f t="shared" si="1319"/>
        <v>2.4499999999999997</v>
      </c>
      <c r="V4139" t="s">
        <v>15</v>
      </c>
      <c r="W4139">
        <v>2.4500000000000002</v>
      </c>
      <c r="X4139" s="1" t="s">
        <v>30</v>
      </c>
    </row>
    <row r="4140" spans="1:24" x14ac:dyDescent="0.25">
      <c r="A4140" s="1" t="str">
        <f t="shared" si="1321"/>
        <v>卡卡杜-凤凰仓</v>
      </c>
      <c r="B4140" s="1" t="str">
        <f>"CK20241022346"</f>
        <v>CK20241022346</v>
      </c>
      <c r="C4140" s="1" t="str">
        <f>"DD2024102253988"</f>
        <v>DD2024102253988</v>
      </c>
      <c r="D4140" s="1" t="str">
        <f>"CK2024102250754"</f>
        <v>CK2024102250754</v>
      </c>
      <c r="E4140" s="1" t="str">
        <f>"3723469247212815616"</f>
        <v>3723469247212815616</v>
      </c>
      <c r="F4140" s="1" t="str">
        <f t="shared" si="1322"/>
        <v>花都四部-凤凰仓</v>
      </c>
      <c r="G4140" s="1" t="str">
        <f t="shared" si="1326"/>
        <v>卡卡杜企业店（视频号）</v>
      </c>
      <c r="H4140" s="1" t="str">
        <f t="shared" si="1323"/>
        <v>正常订单</v>
      </c>
      <c r="I4140" s="1" t="str">
        <f t="shared" si="1324"/>
        <v>已发货</v>
      </c>
      <c r="J4140" s="1" t="str">
        <f>"5"</f>
        <v>5</v>
      </c>
      <c r="K4140" s="1">
        <v>3</v>
      </c>
      <c r="L4140" s="1" t="s">
        <v>105</v>
      </c>
      <c r="M4140" s="1" t="str">
        <f>"北京 北京市 丰台区 "</f>
        <v xml:space="preserve">北京 北京市 丰台区 </v>
      </c>
      <c r="N4140" s="1" t="str">
        <f t="shared" si="1316"/>
        <v>凡华云仓-城南圆通-微信视频号</v>
      </c>
      <c r="O4140" s="5" t="s">
        <v>4171</v>
      </c>
      <c r="P4140" s="6">
        <v>0.56000000000000005</v>
      </c>
      <c r="Q4140" s="11">
        <f>CEILING(P4140-0.5,0.1)*10*0.15+2.3</f>
        <v>2.4499999999999997</v>
      </c>
      <c r="R4140" s="11"/>
      <c r="S4140" s="11"/>
      <c r="T4140" s="11"/>
      <c r="U4140" s="11">
        <f t="shared" si="1319"/>
        <v>2.4499999999999997</v>
      </c>
      <c r="V4140" t="s">
        <v>15</v>
      </c>
      <c r="W4140">
        <v>2.4500000000000002</v>
      </c>
      <c r="X4140" s="1" t="s">
        <v>105</v>
      </c>
    </row>
    <row r="4141" spans="1:24" x14ac:dyDescent="0.25">
      <c r="A4141" s="1" t="str">
        <f t="shared" si="1321"/>
        <v>卡卡杜-凤凰仓</v>
      </c>
      <c r="B4141" s="1" t="str">
        <f>"CK20241022526"</f>
        <v>CK20241022526</v>
      </c>
      <c r="C4141" s="1" t="str">
        <f>"DD2024102255712"</f>
        <v>DD2024102255712</v>
      </c>
      <c r="D4141" s="1" t="str">
        <f>"CK2024102250753"</f>
        <v>CK2024102250753</v>
      </c>
      <c r="E4141" s="1" t="str">
        <f>"3723469243513177600"</f>
        <v>3723469243513177600</v>
      </c>
      <c r="F4141" s="1" t="str">
        <f t="shared" si="1322"/>
        <v>花都四部-凤凰仓</v>
      </c>
      <c r="G4141" s="1" t="str">
        <f t="shared" si="1326"/>
        <v>卡卡杜企业店（视频号）</v>
      </c>
      <c r="H4141" s="1" t="str">
        <f t="shared" si="1323"/>
        <v>正常订单</v>
      </c>
      <c r="I4141" s="1" t="str">
        <f t="shared" si="1324"/>
        <v>已发货</v>
      </c>
      <c r="J4141" s="1" t="str">
        <f t="shared" si="1334"/>
        <v>3</v>
      </c>
      <c r="K4141" s="1">
        <v>3</v>
      </c>
      <c r="L4141" s="1" t="s">
        <v>22</v>
      </c>
      <c r="M4141" s="1" t="str">
        <f>"江西省 萍乡市 芦溪县 "</f>
        <v xml:space="preserve">江西省 萍乡市 芦溪县 </v>
      </c>
      <c r="N4141" s="1" t="str">
        <f t="shared" si="1316"/>
        <v>凡华云仓-城南圆通-微信视频号</v>
      </c>
      <c r="O4141" s="5" t="s">
        <v>4172</v>
      </c>
      <c r="P4141" s="6">
        <v>0.34</v>
      </c>
      <c r="Q4141" s="11">
        <v>2.2999999999999998</v>
      </c>
      <c r="R4141" s="11"/>
      <c r="S4141" s="11"/>
      <c r="T4141" s="11"/>
      <c r="U4141" s="11">
        <f t="shared" si="1319"/>
        <v>2.2999999999999998</v>
      </c>
      <c r="W4141">
        <v>2.5</v>
      </c>
      <c r="X4141" s="1" t="s">
        <v>22</v>
      </c>
    </row>
    <row r="4142" spans="1:24" x14ac:dyDescent="0.25">
      <c r="A4142" s="1" t="str">
        <f t="shared" si="1321"/>
        <v>卡卡杜-凤凰仓</v>
      </c>
      <c r="B4142" s="1" t="str">
        <f>"CK20241022347"</f>
        <v>CK20241022347</v>
      </c>
      <c r="C4142" s="1" t="str">
        <f>"DD2024102253987"</f>
        <v>DD2024102253987</v>
      </c>
      <c r="D4142" s="1" t="str">
        <f>"CK2024102250752"</f>
        <v>CK2024102250752</v>
      </c>
      <c r="E4142" s="1" t="str">
        <f>"3723469240173727744"</f>
        <v>3723469240173727744</v>
      </c>
      <c r="F4142" s="1" t="str">
        <f t="shared" si="1322"/>
        <v>花都四部-凤凰仓</v>
      </c>
      <c r="G4142" s="1" t="str">
        <f t="shared" si="1326"/>
        <v>卡卡杜企业店（视频号）</v>
      </c>
      <c r="H4142" s="1" t="str">
        <f t="shared" si="1323"/>
        <v>正常订单</v>
      </c>
      <c r="I4142" s="1" t="str">
        <f t="shared" si="1324"/>
        <v>已发货</v>
      </c>
      <c r="J4142" s="1" t="str">
        <f t="shared" si="1334"/>
        <v>3</v>
      </c>
      <c r="K4142" s="1">
        <v>3</v>
      </c>
      <c r="L4142" s="1" t="s">
        <v>218</v>
      </c>
      <c r="M4142" s="1" t="str">
        <f>"天津 天津市 津南区 "</f>
        <v xml:space="preserve">天津 天津市 津南区 </v>
      </c>
      <c r="N4142" s="1" t="str">
        <f t="shared" si="1316"/>
        <v>凡华云仓-城南圆通-微信视频号</v>
      </c>
      <c r="O4142" s="5" t="s">
        <v>4173</v>
      </c>
      <c r="P4142" s="6">
        <v>0.34</v>
      </c>
      <c r="Q4142" s="11">
        <v>2.2999999999999998</v>
      </c>
      <c r="R4142" s="11"/>
      <c r="S4142" s="11"/>
      <c r="T4142" s="11"/>
      <c r="U4142" s="11">
        <f t="shared" si="1319"/>
        <v>2.2999999999999998</v>
      </c>
      <c r="W4142">
        <v>2.5</v>
      </c>
      <c r="X4142" s="1" t="s">
        <v>218</v>
      </c>
    </row>
    <row r="4143" spans="1:24" x14ac:dyDescent="0.25">
      <c r="A4143" s="1" t="str">
        <f t="shared" si="1321"/>
        <v>卡卡杜-凤凰仓</v>
      </c>
      <c r="B4143" s="1" t="str">
        <f>"CK20241022484"</f>
        <v>CK20241022484</v>
      </c>
      <c r="C4143" s="1" t="str">
        <f>"DD2024102255573"</f>
        <v>DD2024102255573</v>
      </c>
      <c r="D4143" s="1" t="str">
        <f>"CK2024102250751"</f>
        <v>CK2024102250751</v>
      </c>
      <c r="E4143" s="1" t="str">
        <f>"3723469219896890368"</f>
        <v>3723469219896890368</v>
      </c>
      <c r="F4143" s="1" t="str">
        <f t="shared" si="1322"/>
        <v>花都四部-凤凰仓</v>
      </c>
      <c r="G4143" s="1" t="str">
        <f t="shared" si="1326"/>
        <v>卡卡杜企业店（视频号）</v>
      </c>
      <c r="H4143" s="1" t="str">
        <f t="shared" si="1323"/>
        <v>正常订单</v>
      </c>
      <c r="I4143" s="1" t="str">
        <f t="shared" si="1324"/>
        <v>已发货</v>
      </c>
      <c r="J4143" s="1" t="str">
        <f t="shared" si="1334"/>
        <v>3</v>
      </c>
      <c r="K4143" s="1">
        <v>3</v>
      </c>
      <c r="L4143" s="1" t="s">
        <v>18</v>
      </c>
      <c r="M4143" s="1" t="str">
        <f>"广东省 广州市 花都区 "</f>
        <v xml:space="preserve">广东省 广州市 花都区 </v>
      </c>
      <c r="N4143" s="1" t="str">
        <f t="shared" si="1316"/>
        <v>凡华云仓-城南圆通-微信视频号</v>
      </c>
      <c r="O4143" s="5" t="s">
        <v>4174</v>
      </c>
      <c r="P4143" s="6">
        <v>0.34</v>
      </c>
      <c r="Q4143" s="11">
        <v>2.2999999999999998</v>
      </c>
      <c r="R4143" s="11"/>
      <c r="S4143" s="11"/>
      <c r="T4143" s="11"/>
      <c r="U4143" s="11">
        <f t="shared" si="1319"/>
        <v>2.2999999999999998</v>
      </c>
      <c r="W4143">
        <v>2.5</v>
      </c>
      <c r="X4143" s="1" t="s">
        <v>18</v>
      </c>
    </row>
    <row r="4144" spans="1:24" x14ac:dyDescent="0.25">
      <c r="A4144" s="1" t="str">
        <f t="shared" si="1321"/>
        <v>卡卡杜-凤凰仓</v>
      </c>
      <c r="B4144" s="1" t="str">
        <f>"CK20241022776"</f>
        <v>CK20241022776</v>
      </c>
      <c r="C4144" s="1" t="str">
        <f>"DD2024102257079"</f>
        <v>DD2024102257079</v>
      </c>
      <c r="D4144" s="1" t="str">
        <f>"CK2024102250750"</f>
        <v>CK2024102250750</v>
      </c>
      <c r="E4144" s="1" t="str">
        <f>"3723469220245017600"</f>
        <v>3723469220245017600</v>
      </c>
      <c r="F4144" s="1" t="str">
        <f t="shared" si="1322"/>
        <v>花都四部-凤凰仓</v>
      </c>
      <c r="G4144" s="1" t="str">
        <f t="shared" si="1326"/>
        <v>卡卡杜企业店（视频号）</v>
      </c>
      <c r="H4144" s="1" t="str">
        <f t="shared" si="1323"/>
        <v>正常订单</v>
      </c>
      <c r="I4144" s="1" t="str">
        <f t="shared" si="1324"/>
        <v>已发货</v>
      </c>
      <c r="J4144" s="1" t="str">
        <f>"2"</f>
        <v>2</v>
      </c>
      <c r="K4144" s="1">
        <v>2</v>
      </c>
      <c r="L4144" s="1" t="s">
        <v>20</v>
      </c>
      <c r="M4144" s="1" t="str">
        <f>"浙江省 温州市 瑞安市 "</f>
        <v xml:space="preserve">浙江省 温州市 瑞安市 </v>
      </c>
      <c r="N4144" s="1" t="str">
        <f t="shared" si="1316"/>
        <v>凡华云仓-城南圆通-微信视频号</v>
      </c>
      <c r="O4144" s="5" t="s">
        <v>4175</v>
      </c>
      <c r="P4144" s="6">
        <v>0.17</v>
      </c>
      <c r="Q4144" s="11">
        <v>2</v>
      </c>
      <c r="R4144" s="11"/>
      <c r="S4144" s="11"/>
      <c r="T4144" s="11"/>
      <c r="U4144" s="11">
        <f t="shared" si="1319"/>
        <v>2</v>
      </c>
      <c r="W4144">
        <v>2.2000000000000002</v>
      </c>
      <c r="X4144" s="1" t="s">
        <v>20</v>
      </c>
    </row>
    <row r="4145" spans="1:24" x14ac:dyDescent="0.25">
      <c r="A4145" s="1" t="str">
        <f t="shared" si="1321"/>
        <v>卡卡杜-凤凰仓</v>
      </c>
      <c r="B4145" s="1" t="str">
        <f>"CK20241022443"</f>
        <v>CK20241022443</v>
      </c>
      <c r="C4145" s="1" t="str">
        <f>"DD2024102255397"</f>
        <v>DD2024102255397</v>
      </c>
      <c r="D4145" s="1" t="str">
        <f>"CK2024102250749"</f>
        <v>CK2024102250749</v>
      </c>
      <c r="E4145" s="1" t="str">
        <f>"3723469203579210752"</f>
        <v>3723469203579210752</v>
      </c>
      <c r="F4145" s="1" t="str">
        <f t="shared" si="1322"/>
        <v>花都四部-凤凰仓</v>
      </c>
      <c r="G4145" s="1" t="str">
        <f t="shared" si="1326"/>
        <v>卡卡杜企业店（视频号）</v>
      </c>
      <c r="H4145" s="1" t="str">
        <f t="shared" si="1323"/>
        <v>正常订单</v>
      </c>
      <c r="I4145" s="1" t="str">
        <f t="shared" si="1324"/>
        <v>已发货</v>
      </c>
      <c r="J4145" s="1" t="str">
        <f t="shared" ref="J4145:J4151" si="1335">"3"</f>
        <v>3</v>
      </c>
      <c r="K4145" s="1">
        <v>3</v>
      </c>
      <c r="L4145" s="1" t="s">
        <v>41</v>
      </c>
      <c r="M4145" s="1" t="str">
        <f>"湖北省 武汉市 东西湖区 "</f>
        <v xml:space="preserve">湖北省 武汉市 东西湖区 </v>
      </c>
      <c r="N4145" s="1" t="str">
        <f t="shared" ref="N4145:N4208" si="1336">"凡华云仓-城南圆通-微信视频号"</f>
        <v>凡华云仓-城南圆通-微信视频号</v>
      </c>
      <c r="O4145" s="5" t="s">
        <v>4176</v>
      </c>
      <c r="P4145" s="6">
        <v>0.34</v>
      </c>
      <c r="Q4145" s="11">
        <v>2.2999999999999998</v>
      </c>
      <c r="R4145" s="11"/>
      <c r="S4145" s="11"/>
      <c r="T4145" s="11"/>
      <c r="U4145" s="11">
        <f t="shared" si="1319"/>
        <v>2.2999999999999998</v>
      </c>
      <c r="W4145">
        <v>2.5</v>
      </c>
      <c r="X4145" s="1" t="s">
        <v>41</v>
      </c>
    </row>
    <row r="4146" spans="1:24" x14ac:dyDescent="0.25">
      <c r="A4146" s="1" t="str">
        <f t="shared" si="1321"/>
        <v>卡卡杜-凤凰仓</v>
      </c>
      <c r="B4146" s="1" t="str">
        <f>"CK20241022938"</f>
        <v>CK20241022938</v>
      </c>
      <c r="C4146" s="1" t="str">
        <f>"DD2024102257650"</f>
        <v>DD2024102257650</v>
      </c>
      <c r="D4146" s="1" t="str">
        <f>"CK2024102250748"</f>
        <v>CK2024102250748</v>
      </c>
      <c r="E4146" s="1" t="str">
        <f>"3723469181029585920"</f>
        <v>3723469181029585920</v>
      </c>
      <c r="F4146" s="1" t="str">
        <f t="shared" si="1322"/>
        <v>花都四部-凤凰仓</v>
      </c>
      <c r="G4146" s="1" t="str">
        <f t="shared" si="1326"/>
        <v>卡卡杜企业店（视频号）</v>
      </c>
      <c r="H4146" s="1" t="str">
        <f t="shared" si="1323"/>
        <v>正常订单</v>
      </c>
      <c r="I4146" s="1" t="str">
        <f t="shared" si="1324"/>
        <v>已发货</v>
      </c>
      <c r="J4146" s="1" t="str">
        <f t="shared" si="1335"/>
        <v>3</v>
      </c>
      <c r="K4146" s="1">
        <v>2</v>
      </c>
      <c r="L4146" s="1" t="s">
        <v>66</v>
      </c>
      <c r="M4146" s="1" t="str">
        <f>"内蒙古自治区 乌海市 海勃湾区 "</f>
        <v xml:space="preserve">内蒙古自治区 乌海市 海勃湾区 </v>
      </c>
      <c r="N4146" s="1" t="str">
        <f t="shared" si="1336"/>
        <v>凡华云仓-城南圆通-微信视频号</v>
      </c>
      <c r="O4146" s="5" t="s">
        <v>4177</v>
      </c>
      <c r="P4146" s="6">
        <v>0.24</v>
      </c>
      <c r="Q4146" s="11">
        <v>2</v>
      </c>
      <c r="R4146" s="11"/>
      <c r="S4146" s="11"/>
      <c r="T4146" s="11"/>
      <c r="U4146" s="11">
        <f t="shared" si="1319"/>
        <v>2</v>
      </c>
      <c r="W4146">
        <v>2.2000000000000002</v>
      </c>
      <c r="X4146" s="1" t="s">
        <v>66</v>
      </c>
    </row>
    <row r="4147" spans="1:24" x14ac:dyDescent="0.25">
      <c r="A4147" s="1" t="str">
        <f t="shared" si="1321"/>
        <v>卡卡杜-凤凰仓</v>
      </c>
      <c r="B4147" s="1" t="str">
        <f>"CK20241022937"</f>
        <v>CK20241022937</v>
      </c>
      <c r="C4147" s="1" t="str">
        <f>"DD2024102257647"</f>
        <v>DD2024102257647</v>
      </c>
      <c r="D4147" s="1" t="str">
        <f>"CK2024102250747"</f>
        <v>CK2024102250747</v>
      </c>
      <c r="E4147" s="1" t="str">
        <f>"3723469173651277312"</f>
        <v>3723469173651277312</v>
      </c>
      <c r="F4147" s="1" t="str">
        <f t="shared" si="1322"/>
        <v>花都四部-凤凰仓</v>
      </c>
      <c r="G4147" s="1" t="str">
        <f t="shared" si="1326"/>
        <v>卡卡杜企业店（视频号）</v>
      </c>
      <c r="H4147" s="1" t="str">
        <f t="shared" si="1323"/>
        <v>正常订单</v>
      </c>
      <c r="I4147" s="1" t="str">
        <f t="shared" si="1324"/>
        <v>已发货</v>
      </c>
      <c r="J4147" s="1" t="str">
        <f t="shared" si="1335"/>
        <v>3</v>
      </c>
      <c r="K4147" s="1">
        <v>2</v>
      </c>
      <c r="L4147" s="1" t="s">
        <v>92</v>
      </c>
      <c r="M4147" s="1" t="str">
        <f>"辽宁省 沈阳市 于洪区 "</f>
        <v xml:space="preserve">辽宁省 沈阳市 于洪区 </v>
      </c>
      <c r="N4147" s="1" t="str">
        <f t="shared" si="1336"/>
        <v>凡华云仓-城南圆通-微信视频号</v>
      </c>
      <c r="O4147" s="5" t="s">
        <v>4178</v>
      </c>
      <c r="P4147" s="6">
        <v>0.24</v>
      </c>
      <c r="Q4147" s="11">
        <v>2</v>
      </c>
      <c r="R4147" s="11"/>
      <c r="S4147" s="11"/>
      <c r="T4147" s="11"/>
      <c r="U4147" s="11">
        <f t="shared" si="1319"/>
        <v>2</v>
      </c>
      <c r="W4147">
        <v>2.2000000000000002</v>
      </c>
      <c r="X4147" s="1" t="s">
        <v>92</v>
      </c>
    </row>
    <row r="4148" spans="1:24" x14ac:dyDescent="0.25">
      <c r="A4148" s="1" t="str">
        <f t="shared" si="1321"/>
        <v>卡卡杜-凤凰仓</v>
      </c>
      <c r="B4148" s="1" t="str">
        <f>"CK20241022936"</f>
        <v>CK20241022936</v>
      </c>
      <c r="C4148" s="1" t="str">
        <f>"DD2024102257645"</f>
        <v>DD2024102257645</v>
      </c>
      <c r="D4148" s="1" t="str">
        <f>"CK2024102250746"</f>
        <v>CK2024102250746</v>
      </c>
      <c r="E4148" s="1" t="str">
        <f>"3723469158091720192"</f>
        <v>3723469158091720192</v>
      </c>
      <c r="F4148" s="1" t="str">
        <f t="shared" si="1322"/>
        <v>花都四部-凤凰仓</v>
      </c>
      <c r="G4148" s="1" t="str">
        <f t="shared" si="1326"/>
        <v>卡卡杜企业店（视频号）</v>
      </c>
      <c r="H4148" s="1" t="str">
        <f t="shared" si="1323"/>
        <v>正常订单</v>
      </c>
      <c r="I4148" s="1" t="str">
        <f t="shared" si="1324"/>
        <v>已发货</v>
      </c>
      <c r="J4148" s="1" t="str">
        <f t="shared" si="1335"/>
        <v>3</v>
      </c>
      <c r="K4148" s="1">
        <v>2</v>
      </c>
      <c r="L4148" s="1" t="s">
        <v>20</v>
      </c>
      <c r="M4148" s="1" t="str">
        <f>"浙江省 温州市 永嘉县 "</f>
        <v xml:space="preserve">浙江省 温州市 永嘉县 </v>
      </c>
      <c r="N4148" s="1" t="str">
        <f t="shared" si="1336"/>
        <v>凡华云仓-城南圆通-微信视频号</v>
      </c>
      <c r="O4148" s="5" t="s">
        <v>4179</v>
      </c>
      <c r="P4148" s="6">
        <v>0.24</v>
      </c>
      <c r="Q4148" s="11">
        <v>2</v>
      </c>
      <c r="R4148" s="11"/>
      <c r="S4148" s="11"/>
      <c r="T4148" s="11"/>
      <c r="U4148" s="11">
        <f t="shared" si="1319"/>
        <v>2</v>
      </c>
      <c r="W4148">
        <v>2.2000000000000002</v>
      </c>
      <c r="X4148" s="1" t="s">
        <v>20</v>
      </c>
    </row>
    <row r="4149" spans="1:24" x14ac:dyDescent="0.25">
      <c r="A4149" s="1" t="str">
        <f t="shared" si="1321"/>
        <v>卡卡杜-凤凰仓</v>
      </c>
      <c r="B4149" s="1" t="str">
        <f>"CK20241022737"</f>
        <v>CK20241022737</v>
      </c>
      <c r="C4149" s="1" t="str">
        <f>"DD2024102257040"</f>
        <v>DD2024102257040</v>
      </c>
      <c r="D4149" s="1" t="str">
        <f>"CK2024102250745"</f>
        <v>CK2024102250745</v>
      </c>
      <c r="E4149" s="1" t="str">
        <f>"3723469139000299520"</f>
        <v>3723469139000299520</v>
      </c>
      <c r="F4149" s="1" t="str">
        <f t="shared" si="1322"/>
        <v>花都四部-凤凰仓</v>
      </c>
      <c r="G4149" s="1" t="str">
        <f t="shared" si="1326"/>
        <v>卡卡杜企业店（视频号）</v>
      </c>
      <c r="H4149" s="1" t="str">
        <f t="shared" si="1323"/>
        <v>正常订单</v>
      </c>
      <c r="I4149" s="1" t="str">
        <f t="shared" si="1324"/>
        <v>已发货</v>
      </c>
      <c r="J4149" s="1" t="str">
        <f t="shared" si="1335"/>
        <v>3</v>
      </c>
      <c r="K4149" s="1">
        <v>2</v>
      </c>
      <c r="L4149" s="1" t="s">
        <v>18</v>
      </c>
      <c r="M4149" s="1" t="str">
        <f>"广东省 广州市 花都区 "</f>
        <v xml:space="preserve">广东省 广州市 花都区 </v>
      </c>
      <c r="N4149" s="1" t="str">
        <f t="shared" si="1336"/>
        <v>凡华云仓-城南圆通-微信视频号</v>
      </c>
      <c r="O4149" s="5" t="s">
        <v>4180</v>
      </c>
      <c r="P4149" s="6">
        <v>0.24</v>
      </c>
      <c r="Q4149" s="11">
        <v>2</v>
      </c>
      <c r="R4149" s="11"/>
      <c r="S4149" s="11"/>
      <c r="T4149" s="11"/>
      <c r="U4149" s="11">
        <f t="shared" si="1319"/>
        <v>2</v>
      </c>
      <c r="W4149">
        <v>2.2000000000000002</v>
      </c>
      <c r="X4149" s="1" t="s">
        <v>18</v>
      </c>
    </row>
    <row r="4150" spans="1:24" x14ac:dyDescent="0.25">
      <c r="A4150" s="1" t="str">
        <f t="shared" si="1321"/>
        <v>卡卡杜-凤凰仓</v>
      </c>
      <c r="B4150" s="1" t="str">
        <f>"CK20241022740"</f>
        <v>CK20241022740</v>
      </c>
      <c r="C4150" s="1" t="str">
        <f>"DD2024102257044"</f>
        <v>DD2024102257044</v>
      </c>
      <c r="D4150" s="1" t="str">
        <f>"CK2024102250744"</f>
        <v>CK2024102250744</v>
      </c>
      <c r="E4150" s="1" t="str">
        <f>"3723469142822880768"</f>
        <v>3723469142822880768</v>
      </c>
      <c r="F4150" s="1" t="str">
        <f t="shared" si="1322"/>
        <v>花都四部-凤凰仓</v>
      </c>
      <c r="G4150" s="1" t="str">
        <f t="shared" si="1326"/>
        <v>卡卡杜企业店（视频号）</v>
      </c>
      <c r="H4150" s="1" t="str">
        <f t="shared" si="1323"/>
        <v>正常订单</v>
      </c>
      <c r="I4150" s="1" t="str">
        <f t="shared" si="1324"/>
        <v>已发货</v>
      </c>
      <c r="J4150" s="1" t="str">
        <f t="shared" si="1335"/>
        <v>3</v>
      </c>
      <c r="K4150" s="1">
        <v>2</v>
      </c>
      <c r="L4150" s="1" t="s">
        <v>60</v>
      </c>
      <c r="M4150" s="1" t="str">
        <f>"云南省 昆明市 西山区 "</f>
        <v xml:space="preserve">云南省 昆明市 西山区 </v>
      </c>
      <c r="N4150" s="1" t="str">
        <f t="shared" si="1336"/>
        <v>凡华云仓-城南圆通-微信视频号</v>
      </c>
      <c r="O4150" s="5" t="s">
        <v>4181</v>
      </c>
      <c r="P4150" s="6">
        <v>0.24</v>
      </c>
      <c r="Q4150" s="11">
        <v>2</v>
      </c>
      <c r="R4150" s="11"/>
      <c r="S4150" s="11"/>
      <c r="T4150" s="11"/>
      <c r="U4150" s="11">
        <f t="shared" si="1319"/>
        <v>2</v>
      </c>
      <c r="W4150">
        <v>2.2000000000000002</v>
      </c>
      <c r="X4150" s="1" t="s">
        <v>60</v>
      </c>
    </row>
    <row r="4151" spans="1:24" x14ac:dyDescent="0.25">
      <c r="A4151" s="1" t="str">
        <f t="shared" si="1321"/>
        <v>卡卡杜-凤凰仓</v>
      </c>
      <c r="B4151" s="1" t="str">
        <f>"CK20241022935"</f>
        <v>CK20241022935</v>
      </c>
      <c r="C4151" s="1" t="str">
        <f>"DD2024102257642"</f>
        <v>DD2024102257642</v>
      </c>
      <c r="D4151" s="1" t="str">
        <f>"CK2024102250743"</f>
        <v>CK2024102250743</v>
      </c>
      <c r="E4151" s="1" t="str">
        <f>"3723469142680012032"</f>
        <v>3723469142680012032</v>
      </c>
      <c r="F4151" s="1" t="str">
        <f t="shared" si="1322"/>
        <v>花都四部-凤凰仓</v>
      </c>
      <c r="G4151" s="1" t="str">
        <f t="shared" si="1326"/>
        <v>卡卡杜企业店（视频号）</v>
      </c>
      <c r="H4151" s="1" t="str">
        <f t="shared" si="1323"/>
        <v>正常订单</v>
      </c>
      <c r="I4151" s="1" t="str">
        <f t="shared" si="1324"/>
        <v>已发货</v>
      </c>
      <c r="J4151" s="1" t="str">
        <f t="shared" si="1335"/>
        <v>3</v>
      </c>
      <c r="K4151" s="1">
        <v>2</v>
      </c>
      <c r="L4151" s="1" t="s">
        <v>54</v>
      </c>
      <c r="M4151" s="1" t="str">
        <f>"黑龙江省 齐齐哈尔市 龙沙区 "</f>
        <v xml:space="preserve">黑龙江省 齐齐哈尔市 龙沙区 </v>
      </c>
      <c r="N4151" s="1" t="str">
        <f t="shared" si="1336"/>
        <v>凡华云仓-城南圆通-微信视频号</v>
      </c>
      <c r="O4151" s="5" t="s">
        <v>4182</v>
      </c>
      <c r="P4151" s="6">
        <v>0.24</v>
      </c>
      <c r="Q4151" s="11">
        <v>2</v>
      </c>
      <c r="R4151" s="11"/>
      <c r="S4151" s="11"/>
      <c r="T4151" s="11"/>
      <c r="U4151" s="11">
        <f t="shared" si="1319"/>
        <v>2</v>
      </c>
      <c r="W4151">
        <v>2.2000000000000002</v>
      </c>
      <c r="X4151" s="1" t="s">
        <v>54</v>
      </c>
    </row>
    <row r="4152" spans="1:24" x14ac:dyDescent="0.25">
      <c r="A4152" s="1" t="str">
        <f t="shared" si="1321"/>
        <v>卡卡杜-凤凰仓</v>
      </c>
      <c r="B4152" s="1" t="str">
        <f>"CK20241022793"</f>
        <v>CK20241022793</v>
      </c>
      <c r="C4152" s="1" t="str">
        <f>"DD2024102257122"</f>
        <v>DD2024102257122</v>
      </c>
      <c r="D4152" s="1" t="str">
        <f>"CK2024102250742"</f>
        <v>CK2024102250742</v>
      </c>
      <c r="E4152" s="1" t="str">
        <f>"3723469138561205760"</f>
        <v>3723469138561205760</v>
      </c>
      <c r="F4152" s="1" t="str">
        <f t="shared" si="1322"/>
        <v>花都四部-凤凰仓</v>
      </c>
      <c r="G4152" s="1" t="str">
        <f t="shared" si="1326"/>
        <v>卡卡杜企业店（视频号）</v>
      </c>
      <c r="H4152" s="1" t="str">
        <f t="shared" si="1323"/>
        <v>正常订单</v>
      </c>
      <c r="I4152" s="1" t="str">
        <f t="shared" si="1324"/>
        <v>已发货</v>
      </c>
      <c r="J4152" s="1" t="str">
        <f>"2"</f>
        <v>2</v>
      </c>
      <c r="K4152" s="1">
        <v>2</v>
      </c>
      <c r="L4152" s="1" t="s">
        <v>92</v>
      </c>
      <c r="M4152" s="1" t="str">
        <f>"辽宁省 沈阳市 皇姑区 "</f>
        <v xml:space="preserve">辽宁省 沈阳市 皇姑区 </v>
      </c>
      <c r="N4152" s="1" t="str">
        <f t="shared" si="1336"/>
        <v>凡华云仓-城南圆通-微信视频号</v>
      </c>
      <c r="O4152" s="5" t="s">
        <v>4183</v>
      </c>
      <c r="P4152" s="6">
        <v>0.17</v>
      </c>
      <c r="Q4152" s="11">
        <v>2</v>
      </c>
      <c r="R4152" s="11"/>
      <c r="S4152" s="11"/>
      <c r="T4152" s="11"/>
      <c r="U4152" s="11">
        <f t="shared" si="1319"/>
        <v>2</v>
      </c>
      <c r="W4152">
        <v>2.2000000000000002</v>
      </c>
      <c r="X4152" s="1" t="s">
        <v>92</v>
      </c>
    </row>
    <row r="4153" spans="1:24" x14ac:dyDescent="0.25">
      <c r="A4153" s="1" t="str">
        <f t="shared" si="1321"/>
        <v>卡卡杜-凤凰仓</v>
      </c>
      <c r="B4153" s="1" t="str">
        <f>"CK20241022934"</f>
        <v>CK20241022934</v>
      </c>
      <c r="C4153" s="1" t="str">
        <f>"DD2024102257640"</f>
        <v>DD2024102257640</v>
      </c>
      <c r="D4153" s="1" t="str">
        <f>"CK2024102250741"</f>
        <v>CK2024102250741</v>
      </c>
      <c r="E4153" s="1" t="str">
        <f>"3723469142468465664"</f>
        <v>3723469142468465664</v>
      </c>
      <c r="F4153" s="1" t="str">
        <f t="shared" si="1322"/>
        <v>花都四部-凤凰仓</v>
      </c>
      <c r="G4153" s="1" t="str">
        <f t="shared" si="1326"/>
        <v>卡卡杜企业店（视频号）</v>
      </c>
      <c r="H4153" s="1" t="str">
        <f t="shared" si="1323"/>
        <v>正常订单</v>
      </c>
      <c r="I4153" s="1" t="str">
        <f t="shared" si="1324"/>
        <v>已发货</v>
      </c>
      <c r="J4153" s="1" t="str">
        <f t="shared" ref="J4153:J4155" si="1337">"3"</f>
        <v>3</v>
      </c>
      <c r="K4153" s="1">
        <v>2</v>
      </c>
      <c r="L4153" s="1" t="s">
        <v>47</v>
      </c>
      <c r="M4153" s="1" t="str">
        <f>"重庆 重庆市 长寿区 "</f>
        <v xml:space="preserve">重庆 重庆市 长寿区 </v>
      </c>
      <c r="N4153" s="1" t="str">
        <f t="shared" si="1336"/>
        <v>凡华云仓-城南圆通-微信视频号</v>
      </c>
      <c r="O4153" s="5" t="s">
        <v>4184</v>
      </c>
      <c r="P4153" s="6">
        <v>0.24</v>
      </c>
      <c r="Q4153" s="11">
        <v>2</v>
      </c>
      <c r="R4153" s="11"/>
      <c r="S4153" s="11"/>
      <c r="T4153" s="11"/>
      <c r="U4153" s="11">
        <f t="shared" si="1319"/>
        <v>2</v>
      </c>
      <c r="W4153">
        <v>2.2000000000000002</v>
      </c>
      <c r="X4153" s="1" t="s">
        <v>47</v>
      </c>
    </row>
    <row r="4154" spans="1:24" x14ac:dyDescent="0.25">
      <c r="A4154" s="1" t="str">
        <f t="shared" si="1321"/>
        <v>卡卡杜-凤凰仓</v>
      </c>
      <c r="B4154" s="1" t="str">
        <f>"CK202410221000"</f>
        <v>CK202410221000</v>
      </c>
      <c r="C4154" s="1" t="str">
        <f>"DD2024102257831"</f>
        <v>DD2024102257831</v>
      </c>
      <c r="D4154" s="1" t="str">
        <f>"CK2024102250740"</f>
        <v>CK2024102250740</v>
      </c>
      <c r="E4154" s="1" t="str">
        <f>"3723469123416360448"</f>
        <v>3723469123416360448</v>
      </c>
      <c r="F4154" s="1" t="str">
        <f t="shared" si="1322"/>
        <v>花都四部-凤凰仓</v>
      </c>
      <c r="G4154" s="1" t="str">
        <f t="shared" si="1326"/>
        <v>卡卡杜企业店（视频号）</v>
      </c>
      <c r="H4154" s="1" t="str">
        <f t="shared" si="1323"/>
        <v>正常订单</v>
      </c>
      <c r="I4154" s="1" t="str">
        <f t="shared" si="1324"/>
        <v>已发货</v>
      </c>
      <c r="J4154" s="1" t="str">
        <f t="shared" si="1337"/>
        <v>3</v>
      </c>
      <c r="K4154" s="1">
        <v>2</v>
      </c>
      <c r="L4154" s="1" t="s">
        <v>187</v>
      </c>
      <c r="M4154" s="1" t="str">
        <f>"吉林省 吉林市 船营区 "</f>
        <v xml:space="preserve">吉林省 吉林市 船营区 </v>
      </c>
      <c r="N4154" s="1" t="str">
        <f t="shared" si="1336"/>
        <v>凡华云仓-城南圆通-微信视频号</v>
      </c>
      <c r="O4154" s="5" t="s">
        <v>4185</v>
      </c>
      <c r="P4154" s="6">
        <v>0.24</v>
      </c>
      <c r="Q4154" s="11">
        <v>2</v>
      </c>
      <c r="R4154" s="11"/>
      <c r="S4154" s="11"/>
      <c r="T4154" s="11"/>
      <c r="U4154" s="11">
        <f t="shared" si="1319"/>
        <v>2</v>
      </c>
      <c r="W4154">
        <v>2.2000000000000002</v>
      </c>
      <c r="X4154" s="1" t="s">
        <v>187</v>
      </c>
    </row>
    <row r="4155" spans="1:24" x14ac:dyDescent="0.25">
      <c r="A4155" s="1" t="str">
        <f t="shared" si="1321"/>
        <v>卡卡杜-凤凰仓</v>
      </c>
      <c r="B4155" s="1" t="str">
        <f>"CK20241022746"</f>
        <v>CK20241022746</v>
      </c>
      <c r="C4155" s="1" t="str">
        <f>"DD2024102257048"</f>
        <v>DD2024102257048</v>
      </c>
      <c r="D4155" s="1" t="str">
        <f>"CK2024102250739"</f>
        <v>CK2024102250739</v>
      </c>
      <c r="E4155" s="1" t="str">
        <f>"3723469135810266368"</f>
        <v>3723469135810266368</v>
      </c>
      <c r="F4155" s="1" t="str">
        <f t="shared" si="1322"/>
        <v>花都四部-凤凰仓</v>
      </c>
      <c r="G4155" s="1" t="str">
        <f t="shared" si="1326"/>
        <v>卡卡杜企业店（视频号）</v>
      </c>
      <c r="H4155" s="1" t="str">
        <f t="shared" si="1323"/>
        <v>正常订单</v>
      </c>
      <c r="I4155" s="1" t="str">
        <f t="shared" si="1324"/>
        <v>已发货</v>
      </c>
      <c r="J4155" s="1" t="str">
        <f t="shared" si="1337"/>
        <v>3</v>
      </c>
      <c r="K4155" s="1">
        <v>2</v>
      </c>
      <c r="L4155" s="1" t="s">
        <v>74</v>
      </c>
      <c r="M4155" s="1" t="str">
        <f>"上海 上海市 虹口区 "</f>
        <v xml:space="preserve">上海 上海市 虹口区 </v>
      </c>
      <c r="N4155" s="1" t="str">
        <f t="shared" si="1336"/>
        <v>凡华云仓-城南圆通-微信视频号</v>
      </c>
      <c r="O4155" s="5" t="s">
        <v>4186</v>
      </c>
      <c r="P4155" s="6">
        <v>0.24</v>
      </c>
      <c r="Q4155" s="11">
        <v>2</v>
      </c>
      <c r="R4155" s="11"/>
      <c r="S4155" s="11"/>
      <c r="T4155" s="11"/>
      <c r="U4155" s="11">
        <f t="shared" si="1319"/>
        <v>2</v>
      </c>
      <c r="W4155">
        <v>2.2000000000000002</v>
      </c>
      <c r="X4155" s="1" t="s">
        <v>74</v>
      </c>
    </row>
    <row r="4156" spans="1:24" x14ac:dyDescent="0.25">
      <c r="A4156" s="1" t="str">
        <f t="shared" si="1321"/>
        <v>卡卡杜-凤凰仓</v>
      </c>
      <c r="B4156" s="1" t="str">
        <f>"CK20241022727"</f>
        <v>CK20241022727</v>
      </c>
      <c r="C4156" s="1" t="str">
        <f>"DD2024102257030"</f>
        <v>DD2024102257030</v>
      </c>
      <c r="D4156" s="1" t="str">
        <f>"CK2024102250738"</f>
        <v>CK2024102250738</v>
      </c>
      <c r="E4156" s="1" t="str">
        <f>"3723469130526233600"</f>
        <v>3723469130526233600</v>
      </c>
      <c r="F4156" s="1" t="str">
        <f t="shared" si="1322"/>
        <v>花都四部-凤凰仓</v>
      </c>
      <c r="G4156" s="1" t="str">
        <f t="shared" si="1326"/>
        <v>卡卡杜企业店（视频号）</v>
      </c>
      <c r="H4156" s="1" t="str">
        <f t="shared" si="1323"/>
        <v>正常订单</v>
      </c>
      <c r="I4156" s="1" t="str">
        <f t="shared" si="1324"/>
        <v>已发货</v>
      </c>
      <c r="J4156" s="1" t="str">
        <f>"2"</f>
        <v>2</v>
      </c>
      <c r="K4156" s="1">
        <v>2</v>
      </c>
      <c r="L4156" s="1" t="s">
        <v>54</v>
      </c>
      <c r="M4156" s="1" t="str">
        <f>"黑龙江省 哈尔滨市 阿城区 "</f>
        <v xml:space="preserve">黑龙江省 哈尔滨市 阿城区 </v>
      </c>
      <c r="N4156" s="1" t="str">
        <f t="shared" si="1336"/>
        <v>凡华云仓-城南圆通-微信视频号</v>
      </c>
      <c r="O4156" s="5" t="s">
        <v>4187</v>
      </c>
      <c r="P4156" s="6">
        <v>0.17</v>
      </c>
      <c r="Q4156" s="11">
        <v>2</v>
      </c>
      <c r="R4156" s="11"/>
      <c r="S4156" s="11"/>
      <c r="T4156" s="11"/>
      <c r="U4156" s="11">
        <f t="shared" si="1319"/>
        <v>2</v>
      </c>
      <c r="W4156">
        <v>2.2000000000000002</v>
      </c>
      <c r="X4156" s="1" t="s">
        <v>54</v>
      </c>
    </row>
    <row r="4157" spans="1:24" x14ac:dyDescent="0.25">
      <c r="A4157" s="1" t="str">
        <f t="shared" si="1321"/>
        <v>卡卡杜-凤凰仓</v>
      </c>
      <c r="B4157" s="1" t="str">
        <f>"CK20241022873"</f>
        <v>CK20241022873</v>
      </c>
      <c r="C4157" s="1" t="str">
        <f>"DD2024102257395"</f>
        <v>DD2024102257395</v>
      </c>
      <c r="D4157" s="1" t="str">
        <f>"CK2024102250737"</f>
        <v>CK2024102250737</v>
      </c>
      <c r="E4157" s="1" t="str">
        <f>"3723469119143151104"</f>
        <v>3723469119143151104</v>
      </c>
      <c r="F4157" s="1" t="str">
        <f t="shared" si="1322"/>
        <v>花都四部-凤凰仓</v>
      </c>
      <c r="G4157" s="1" t="str">
        <f t="shared" si="1326"/>
        <v>卡卡杜企业店（视频号）</v>
      </c>
      <c r="H4157" s="1" t="str">
        <f t="shared" si="1323"/>
        <v>正常订单</v>
      </c>
      <c r="I4157" s="1" t="str">
        <f t="shared" si="1324"/>
        <v>已发货</v>
      </c>
      <c r="J4157" s="1" t="str">
        <f t="shared" ref="J4157:J4160" si="1338">"3"</f>
        <v>3</v>
      </c>
      <c r="K4157" s="1">
        <v>2</v>
      </c>
      <c r="L4157" s="1" t="s">
        <v>24</v>
      </c>
      <c r="M4157" s="1" t="str">
        <f>"福建省 福州市 鼓楼区 "</f>
        <v xml:space="preserve">福建省 福州市 鼓楼区 </v>
      </c>
      <c r="N4157" s="1" t="str">
        <f t="shared" si="1336"/>
        <v>凡华云仓-城南圆通-微信视频号</v>
      </c>
      <c r="O4157" s="5" t="s">
        <v>4188</v>
      </c>
      <c r="P4157" s="6">
        <v>0.24</v>
      </c>
      <c r="Q4157" s="11">
        <v>2</v>
      </c>
      <c r="R4157" s="11"/>
      <c r="S4157" s="11"/>
      <c r="T4157" s="11"/>
      <c r="U4157" s="11">
        <f t="shared" si="1319"/>
        <v>2</v>
      </c>
      <c r="W4157">
        <v>2.2000000000000002</v>
      </c>
      <c r="X4157" s="1" t="s">
        <v>24</v>
      </c>
    </row>
    <row r="4158" spans="1:24" x14ac:dyDescent="0.25">
      <c r="A4158" s="1" t="str">
        <f t="shared" si="1321"/>
        <v>卡卡杜-凤凰仓</v>
      </c>
      <c r="B4158" s="1" t="str">
        <f>"CK20241022495"</f>
        <v>CK20241022495</v>
      </c>
      <c r="C4158" s="1" t="str">
        <f>"DD2024102255610"</f>
        <v>DD2024102255610</v>
      </c>
      <c r="D4158" s="1" t="str">
        <f>"CK2024102250736"</f>
        <v>CK2024102250736</v>
      </c>
      <c r="E4158" s="1" t="str">
        <f>"3723469122787478528"</f>
        <v>3723469122787478528</v>
      </c>
      <c r="F4158" s="1" t="str">
        <f t="shared" si="1322"/>
        <v>花都四部-凤凰仓</v>
      </c>
      <c r="G4158" s="1" t="str">
        <f t="shared" si="1326"/>
        <v>卡卡杜企业店（视频号）</v>
      </c>
      <c r="H4158" s="1" t="str">
        <f t="shared" si="1323"/>
        <v>正常订单</v>
      </c>
      <c r="I4158" s="1" t="str">
        <f t="shared" si="1324"/>
        <v>已发货</v>
      </c>
      <c r="J4158" s="1" t="str">
        <f t="shared" si="1338"/>
        <v>3</v>
      </c>
      <c r="K4158" s="1">
        <v>3</v>
      </c>
      <c r="L4158" s="1" t="s">
        <v>92</v>
      </c>
      <c r="M4158" s="1" t="str">
        <f>"辽宁省 沈阳市 沈河区 "</f>
        <v xml:space="preserve">辽宁省 沈阳市 沈河区 </v>
      </c>
      <c r="N4158" s="1" t="str">
        <f t="shared" si="1336"/>
        <v>凡华云仓-城南圆通-微信视频号</v>
      </c>
      <c r="O4158" s="5" t="s">
        <v>4189</v>
      </c>
      <c r="P4158" s="6">
        <v>0.34</v>
      </c>
      <c r="Q4158" s="11">
        <v>2.2999999999999998</v>
      </c>
      <c r="R4158" s="11"/>
      <c r="S4158" s="11"/>
      <c r="T4158" s="11"/>
      <c r="U4158" s="11">
        <f t="shared" si="1319"/>
        <v>2.2999999999999998</v>
      </c>
      <c r="W4158">
        <v>2.5</v>
      </c>
      <c r="X4158" s="1" t="s">
        <v>92</v>
      </c>
    </row>
    <row r="4159" spans="1:24" x14ac:dyDescent="0.25">
      <c r="A4159" s="1" t="str">
        <f t="shared" si="1321"/>
        <v>卡卡杜-凤凰仓</v>
      </c>
      <c r="B4159" s="1" t="str">
        <f>"CK20241022980"</f>
        <v>CK20241022980</v>
      </c>
      <c r="C4159" s="1" t="str">
        <f>"DD2024102257772"</f>
        <v>DD2024102257772</v>
      </c>
      <c r="D4159" s="1" t="str">
        <f>"CK2024102250735"</f>
        <v>CK2024102250735</v>
      </c>
      <c r="E4159" s="1" t="str">
        <f>"3723469115065503744"</f>
        <v>3723469115065503744</v>
      </c>
      <c r="F4159" s="1" t="str">
        <f t="shared" si="1322"/>
        <v>花都四部-凤凰仓</v>
      </c>
      <c r="G4159" s="1" t="str">
        <f t="shared" si="1326"/>
        <v>卡卡杜企业店（视频号）</v>
      </c>
      <c r="H4159" s="1" t="str">
        <f t="shared" si="1323"/>
        <v>正常订单</v>
      </c>
      <c r="I4159" s="1" t="str">
        <f t="shared" si="1324"/>
        <v>已发货</v>
      </c>
      <c r="J4159" s="1" t="str">
        <f t="shared" si="1338"/>
        <v>3</v>
      </c>
      <c r="K4159" s="1">
        <v>2</v>
      </c>
      <c r="L4159" s="1" t="s">
        <v>13</v>
      </c>
      <c r="M4159" s="1" t="str">
        <f>"江苏省 南京市 栖霞区 "</f>
        <v xml:space="preserve">江苏省 南京市 栖霞区 </v>
      </c>
      <c r="N4159" s="1" t="str">
        <f t="shared" si="1336"/>
        <v>凡华云仓-城南圆通-微信视频号</v>
      </c>
      <c r="O4159" s="5" t="s">
        <v>4190</v>
      </c>
      <c r="P4159" s="6">
        <v>0.24</v>
      </c>
      <c r="Q4159" s="11">
        <v>2</v>
      </c>
      <c r="R4159" s="11"/>
      <c r="S4159" s="11"/>
      <c r="T4159" s="11"/>
      <c r="U4159" s="11">
        <f t="shared" si="1319"/>
        <v>2</v>
      </c>
      <c r="W4159">
        <v>2.2000000000000002</v>
      </c>
      <c r="X4159" s="1" t="s">
        <v>13</v>
      </c>
    </row>
    <row r="4160" spans="1:24" x14ac:dyDescent="0.25">
      <c r="A4160" s="1" t="str">
        <f t="shared" si="1321"/>
        <v>卡卡杜-凤凰仓</v>
      </c>
      <c r="B4160" s="1" t="str">
        <f>"CK20241022348"</f>
        <v>CK20241022348</v>
      </c>
      <c r="C4160" s="1" t="str">
        <f>"DD2024102253986"</f>
        <v>DD2024102253986</v>
      </c>
      <c r="D4160" s="1" t="str">
        <f>"CK2024102250734"</f>
        <v>CK2024102250734</v>
      </c>
      <c r="E4160" s="1" t="str">
        <f>"3723469121835633664"</f>
        <v>3723469121835633664</v>
      </c>
      <c r="F4160" s="1" t="str">
        <f t="shared" si="1322"/>
        <v>花都四部-凤凰仓</v>
      </c>
      <c r="G4160" s="1" t="str">
        <f t="shared" si="1326"/>
        <v>卡卡杜企业店（视频号）</v>
      </c>
      <c r="H4160" s="1" t="str">
        <f t="shared" si="1323"/>
        <v>正常订单</v>
      </c>
      <c r="I4160" s="1" t="str">
        <f t="shared" si="1324"/>
        <v>已发货</v>
      </c>
      <c r="J4160" s="1" t="str">
        <f t="shared" si="1338"/>
        <v>3</v>
      </c>
      <c r="K4160" s="1">
        <v>3</v>
      </c>
      <c r="L4160" s="1" t="s">
        <v>47</v>
      </c>
      <c r="M4160" s="1" t="str">
        <f>"重庆 重庆市 沙坪坝区 "</f>
        <v xml:space="preserve">重庆 重庆市 沙坪坝区 </v>
      </c>
      <c r="N4160" s="1" t="str">
        <f t="shared" si="1336"/>
        <v>凡华云仓-城南圆通-微信视频号</v>
      </c>
      <c r="O4160" s="5" t="s">
        <v>4191</v>
      </c>
      <c r="P4160" s="6">
        <v>0.34</v>
      </c>
      <c r="Q4160" s="11">
        <v>2.2999999999999998</v>
      </c>
      <c r="R4160" s="11"/>
      <c r="S4160" s="11"/>
      <c r="T4160" s="11"/>
      <c r="U4160" s="11">
        <f t="shared" si="1319"/>
        <v>2.2999999999999998</v>
      </c>
      <c r="W4160">
        <v>2.5</v>
      </c>
      <c r="X4160" s="1" t="s">
        <v>47</v>
      </c>
    </row>
    <row r="4161" spans="1:24" x14ac:dyDescent="0.25">
      <c r="A4161" s="1" t="str">
        <f t="shared" si="1321"/>
        <v>卡卡杜-凤凰仓</v>
      </c>
      <c r="B4161" s="1" t="str">
        <f>"CK20241022781"</f>
        <v>CK20241022781</v>
      </c>
      <c r="C4161" s="1" t="str">
        <f>"DD2024102257098"</f>
        <v>DD2024102257098</v>
      </c>
      <c r="D4161" s="1" t="str">
        <f>"CK2024102250733"</f>
        <v>CK2024102250733</v>
      </c>
      <c r="E4161" s="1" t="str">
        <f>"3723469113621349632"</f>
        <v>3723469113621349632</v>
      </c>
      <c r="F4161" s="1" t="str">
        <f t="shared" si="1322"/>
        <v>花都四部-凤凰仓</v>
      </c>
      <c r="G4161" s="1" t="str">
        <f t="shared" si="1326"/>
        <v>卡卡杜企业店（视频号）</v>
      </c>
      <c r="H4161" s="1" t="str">
        <f t="shared" si="1323"/>
        <v>正常订单</v>
      </c>
      <c r="I4161" s="1" t="str">
        <f t="shared" si="1324"/>
        <v>已发货</v>
      </c>
      <c r="J4161" s="1" t="str">
        <f t="shared" ref="J4161:J4165" si="1339">"2"</f>
        <v>2</v>
      </c>
      <c r="K4161" s="1">
        <v>2</v>
      </c>
      <c r="L4161" s="1" t="s">
        <v>74</v>
      </c>
      <c r="M4161" s="1" t="str">
        <f>"上海 上海市 虹口区 "</f>
        <v xml:space="preserve">上海 上海市 虹口区 </v>
      </c>
      <c r="N4161" s="1" t="str">
        <f t="shared" si="1336"/>
        <v>凡华云仓-城南圆通-微信视频号</v>
      </c>
      <c r="O4161" s="5" t="s">
        <v>4192</v>
      </c>
      <c r="P4161" s="6">
        <v>0.17</v>
      </c>
      <c r="Q4161" s="11">
        <v>2</v>
      </c>
      <c r="R4161" s="11"/>
      <c r="S4161" s="11"/>
      <c r="T4161" s="11"/>
      <c r="U4161" s="11">
        <f t="shared" si="1319"/>
        <v>2</v>
      </c>
      <c r="W4161">
        <v>2.2000000000000002</v>
      </c>
      <c r="X4161" s="1" t="s">
        <v>74</v>
      </c>
    </row>
    <row r="4162" spans="1:24" x14ac:dyDescent="0.25">
      <c r="A4162" s="1" t="str">
        <f t="shared" si="1321"/>
        <v>卡卡杜-凤凰仓</v>
      </c>
      <c r="B4162" s="1" t="str">
        <f>"CK20241022908"</f>
        <v>CK20241022908</v>
      </c>
      <c r="C4162" s="1" t="str">
        <f>"DD2024102257545"</f>
        <v>DD2024102257545</v>
      </c>
      <c r="D4162" s="1" t="str">
        <f>"CK2024102250732"</f>
        <v>CK2024102250732</v>
      </c>
      <c r="E4162" s="1" t="str">
        <f>"3723469112823649280"</f>
        <v>3723469112823649280</v>
      </c>
      <c r="F4162" s="1" t="str">
        <f t="shared" si="1322"/>
        <v>花都四部-凤凰仓</v>
      </c>
      <c r="G4162" s="1" t="str">
        <f t="shared" si="1326"/>
        <v>卡卡杜企业店（视频号）</v>
      </c>
      <c r="H4162" s="1" t="str">
        <f t="shared" si="1323"/>
        <v>正常订单</v>
      </c>
      <c r="I4162" s="1" t="str">
        <f t="shared" si="1324"/>
        <v>已发货</v>
      </c>
      <c r="J4162" s="1" t="str">
        <f t="shared" ref="J4162:J4166" si="1340">"3"</f>
        <v>3</v>
      </c>
      <c r="K4162" s="1">
        <v>2</v>
      </c>
      <c r="L4162" s="1" t="s">
        <v>27</v>
      </c>
      <c r="M4162" s="1" t="str">
        <f>"贵州省 遵义市 红花岗区 "</f>
        <v xml:space="preserve">贵州省 遵义市 红花岗区 </v>
      </c>
      <c r="N4162" s="1" t="str">
        <f t="shared" si="1336"/>
        <v>凡华云仓-城南圆通-微信视频号</v>
      </c>
      <c r="O4162" s="5" t="s">
        <v>4193</v>
      </c>
      <c r="P4162" s="6">
        <v>0.24</v>
      </c>
      <c r="Q4162" s="11">
        <v>2</v>
      </c>
      <c r="R4162" s="11"/>
      <c r="S4162" s="11"/>
      <c r="T4162" s="11"/>
      <c r="U4162" s="11">
        <f t="shared" si="1319"/>
        <v>2</v>
      </c>
      <c r="W4162">
        <v>2.2000000000000002</v>
      </c>
      <c r="X4162" s="1" t="s">
        <v>27</v>
      </c>
    </row>
    <row r="4163" spans="1:24" x14ac:dyDescent="0.25">
      <c r="A4163" s="1" t="str">
        <f t="shared" si="1321"/>
        <v>卡卡杜-凤凰仓</v>
      </c>
      <c r="B4163" s="1" t="str">
        <f>"CK20241022798"</f>
        <v>CK20241022798</v>
      </c>
      <c r="C4163" s="1" t="str">
        <f>"DD2024102257136"</f>
        <v>DD2024102257136</v>
      </c>
      <c r="D4163" s="1" t="str">
        <f>"CK2024102250731"</f>
        <v>CK2024102250731</v>
      </c>
      <c r="E4163" s="1" t="str">
        <f>"3723469113114365952"</f>
        <v>3723469113114365952</v>
      </c>
      <c r="F4163" s="1" t="str">
        <f t="shared" si="1322"/>
        <v>花都四部-凤凰仓</v>
      </c>
      <c r="G4163" s="1" t="str">
        <f t="shared" si="1326"/>
        <v>卡卡杜企业店（视频号）</v>
      </c>
      <c r="H4163" s="1" t="str">
        <f t="shared" si="1323"/>
        <v>正常订单</v>
      </c>
      <c r="I4163" s="1" t="str">
        <f t="shared" si="1324"/>
        <v>已发货</v>
      </c>
      <c r="J4163" s="1" t="str">
        <f t="shared" si="1339"/>
        <v>2</v>
      </c>
      <c r="K4163" s="1">
        <v>2</v>
      </c>
      <c r="L4163" s="1" t="s">
        <v>24</v>
      </c>
      <c r="M4163" s="1" t="str">
        <f>"福建省 厦门市 思明区 "</f>
        <v xml:space="preserve">福建省 厦门市 思明区 </v>
      </c>
      <c r="N4163" s="1" t="str">
        <f t="shared" si="1336"/>
        <v>凡华云仓-城南圆通-微信视频号</v>
      </c>
      <c r="O4163" s="5" t="s">
        <v>4194</v>
      </c>
      <c r="P4163" s="6">
        <v>0.17</v>
      </c>
      <c r="Q4163" s="11">
        <v>2</v>
      </c>
      <c r="R4163" s="11"/>
      <c r="S4163" s="11"/>
      <c r="T4163" s="11"/>
      <c r="U4163" s="11">
        <f t="shared" ref="U4163:U4226" si="1341">T4163+S4163+R4163+Q4163</f>
        <v>2</v>
      </c>
      <c r="W4163">
        <v>2.2000000000000002</v>
      </c>
      <c r="X4163" s="1" t="s">
        <v>24</v>
      </c>
    </row>
    <row r="4164" spans="1:24" x14ac:dyDescent="0.25">
      <c r="A4164" s="1" t="str">
        <f t="shared" si="1321"/>
        <v>卡卡杜-凤凰仓</v>
      </c>
      <c r="B4164" s="1" t="str">
        <f>"CK20241022755"</f>
        <v>CK20241022755</v>
      </c>
      <c r="C4164" s="1" t="str">
        <f>"DD2024102257058"</f>
        <v>DD2024102257058</v>
      </c>
      <c r="D4164" s="1" t="str">
        <f>"CK2024102250730"</f>
        <v>CK2024102250730</v>
      </c>
      <c r="E4164" s="1" t="str">
        <f>"3723469110059075072"</f>
        <v>3723469110059075072</v>
      </c>
      <c r="F4164" s="1" t="str">
        <f t="shared" si="1322"/>
        <v>花都四部-凤凰仓</v>
      </c>
      <c r="G4164" s="1" t="str">
        <f t="shared" si="1326"/>
        <v>卡卡杜企业店（视频号）</v>
      </c>
      <c r="H4164" s="1" t="str">
        <f t="shared" si="1323"/>
        <v>正常订单</v>
      </c>
      <c r="I4164" s="1" t="str">
        <f t="shared" si="1324"/>
        <v>已发货</v>
      </c>
      <c r="J4164" s="1" t="str">
        <f t="shared" si="1340"/>
        <v>3</v>
      </c>
      <c r="K4164" s="1">
        <v>2</v>
      </c>
      <c r="L4164" s="1" t="s">
        <v>16</v>
      </c>
      <c r="M4164" s="1" t="str">
        <f>"河北省 唐山市 迁安市 "</f>
        <v xml:space="preserve">河北省 唐山市 迁安市 </v>
      </c>
      <c r="N4164" s="1" t="str">
        <f t="shared" si="1336"/>
        <v>凡华云仓-城南圆通-微信视频号</v>
      </c>
      <c r="O4164" s="5" t="s">
        <v>4195</v>
      </c>
      <c r="P4164" s="6">
        <v>0.24</v>
      </c>
      <c r="Q4164" s="11">
        <v>2</v>
      </c>
      <c r="R4164" s="11"/>
      <c r="S4164" s="11"/>
      <c r="T4164" s="11"/>
      <c r="U4164" s="11">
        <f t="shared" si="1341"/>
        <v>2</v>
      </c>
      <c r="W4164">
        <v>2.2000000000000002</v>
      </c>
      <c r="X4164" s="1" t="s">
        <v>16</v>
      </c>
    </row>
    <row r="4165" spans="1:24" x14ac:dyDescent="0.25">
      <c r="A4165" s="1" t="str">
        <f t="shared" ref="A4165:A4228" si="1342">"卡卡杜-凤凰仓"</f>
        <v>卡卡杜-凤凰仓</v>
      </c>
      <c r="B4165" s="1" t="str">
        <f>"CK20241022711"</f>
        <v>CK20241022711</v>
      </c>
      <c r="C4165" s="1" t="str">
        <f>"DD2024102257013"</f>
        <v>DD2024102257013</v>
      </c>
      <c r="D4165" s="1" t="str">
        <f>"CK2024102250729"</f>
        <v>CK2024102250729</v>
      </c>
      <c r="E4165" s="1" t="str">
        <f>"3723469108006225152"</f>
        <v>3723469108006225152</v>
      </c>
      <c r="F4165" s="1" t="str">
        <f t="shared" ref="F4165:F4228" si="1343">"花都四部-凤凰仓"</f>
        <v>花都四部-凤凰仓</v>
      </c>
      <c r="G4165" s="1" t="str">
        <f t="shared" si="1326"/>
        <v>卡卡杜企业店（视频号）</v>
      </c>
      <c r="H4165" s="1" t="str">
        <f t="shared" ref="H4165:H4228" si="1344">"正常订单"</f>
        <v>正常订单</v>
      </c>
      <c r="I4165" s="1" t="str">
        <f t="shared" ref="I4165:I4228" si="1345">"已发货"</f>
        <v>已发货</v>
      </c>
      <c r="J4165" s="1" t="str">
        <f t="shared" si="1339"/>
        <v>2</v>
      </c>
      <c r="K4165" s="1">
        <v>2</v>
      </c>
      <c r="L4165" s="1" t="s">
        <v>22</v>
      </c>
      <c r="M4165" s="1" t="str">
        <f>"江西省 萍乡市 芦溪县 "</f>
        <v xml:space="preserve">江西省 萍乡市 芦溪县 </v>
      </c>
      <c r="N4165" s="1" t="str">
        <f t="shared" si="1336"/>
        <v>凡华云仓-城南圆通-微信视频号</v>
      </c>
      <c r="O4165" s="5" t="s">
        <v>4196</v>
      </c>
      <c r="P4165" s="6">
        <v>0.17</v>
      </c>
      <c r="Q4165" s="11">
        <v>2</v>
      </c>
      <c r="R4165" s="11"/>
      <c r="S4165" s="11"/>
      <c r="T4165" s="11"/>
      <c r="U4165" s="11">
        <f t="shared" si="1341"/>
        <v>2</v>
      </c>
      <c r="W4165">
        <v>2.2000000000000002</v>
      </c>
      <c r="X4165" s="1" t="s">
        <v>22</v>
      </c>
    </row>
    <row r="4166" spans="1:24" x14ac:dyDescent="0.25">
      <c r="A4166" s="1" t="str">
        <f t="shared" si="1342"/>
        <v>卡卡杜-凤凰仓</v>
      </c>
      <c r="B4166" s="1" t="str">
        <f>"CK20241022890"</f>
        <v>CK20241022890</v>
      </c>
      <c r="C4166" s="1" t="str">
        <f>"DD2024102257467"</f>
        <v>DD2024102257467</v>
      </c>
      <c r="D4166" s="1" t="str">
        <f>"CK2024102250728"</f>
        <v>CK2024102250728</v>
      </c>
      <c r="E4166" s="1" t="str">
        <f>"3723469099873473537"</f>
        <v>3723469099873473537</v>
      </c>
      <c r="F4166" s="1" t="str">
        <f t="shared" si="1343"/>
        <v>花都四部-凤凰仓</v>
      </c>
      <c r="G4166" s="1" t="str">
        <f t="shared" si="1326"/>
        <v>卡卡杜企业店（视频号）</v>
      </c>
      <c r="H4166" s="1" t="str">
        <f t="shared" si="1344"/>
        <v>正常订单</v>
      </c>
      <c r="I4166" s="1" t="str">
        <f t="shared" si="1345"/>
        <v>已发货</v>
      </c>
      <c r="J4166" s="1" t="str">
        <f t="shared" si="1340"/>
        <v>3</v>
      </c>
      <c r="K4166" s="1">
        <v>2</v>
      </c>
      <c r="L4166" s="1" t="s">
        <v>18</v>
      </c>
      <c r="M4166" s="1" t="str">
        <f>"广东省 广州市 越秀区 "</f>
        <v xml:space="preserve">广东省 广州市 越秀区 </v>
      </c>
      <c r="N4166" s="1" t="str">
        <f t="shared" si="1336"/>
        <v>凡华云仓-城南圆通-微信视频号</v>
      </c>
      <c r="O4166" s="5" t="s">
        <v>4197</v>
      </c>
      <c r="P4166" s="6">
        <v>0.24</v>
      </c>
      <c r="Q4166" s="11">
        <v>2</v>
      </c>
      <c r="R4166" s="11"/>
      <c r="S4166" s="11"/>
      <c r="T4166" s="11"/>
      <c r="U4166" s="11">
        <f t="shared" si="1341"/>
        <v>2</v>
      </c>
      <c r="W4166">
        <v>2.2000000000000002</v>
      </c>
      <c r="X4166" s="1" t="s">
        <v>18</v>
      </c>
    </row>
    <row r="4167" spans="1:24" x14ac:dyDescent="0.25">
      <c r="A4167" s="1" t="str">
        <f t="shared" si="1342"/>
        <v>卡卡杜-凤凰仓</v>
      </c>
      <c r="B4167" s="1" t="str">
        <f>"CK20241022707"</f>
        <v>CK20241022707</v>
      </c>
      <c r="C4167" s="1" t="str">
        <f>"DD2024102257007"</f>
        <v>DD2024102257007</v>
      </c>
      <c r="D4167" s="1" t="str">
        <f>"CK2024102250727"</f>
        <v>CK2024102250727</v>
      </c>
      <c r="E4167" s="1" t="str">
        <f>"3723469093149738497"</f>
        <v>3723469093149738497</v>
      </c>
      <c r="F4167" s="1" t="str">
        <f t="shared" si="1343"/>
        <v>花都四部-凤凰仓</v>
      </c>
      <c r="G4167" s="1" t="str">
        <f t="shared" si="1326"/>
        <v>卡卡杜企业店（视频号）</v>
      </c>
      <c r="H4167" s="1" t="str">
        <f t="shared" si="1344"/>
        <v>正常订单</v>
      </c>
      <c r="I4167" s="1" t="str">
        <f t="shared" si="1345"/>
        <v>已发货</v>
      </c>
      <c r="J4167" s="1" t="str">
        <f t="shared" ref="J4167:J4171" si="1346">"2"</f>
        <v>2</v>
      </c>
      <c r="K4167" s="1">
        <v>2</v>
      </c>
      <c r="L4167" s="1" t="s">
        <v>52</v>
      </c>
      <c r="M4167" s="1" t="str">
        <f>"甘肃省 兰州市 安宁区 "</f>
        <v xml:space="preserve">甘肃省 兰州市 安宁区 </v>
      </c>
      <c r="N4167" s="1" t="str">
        <f t="shared" si="1336"/>
        <v>凡华云仓-城南圆通-微信视频号</v>
      </c>
      <c r="O4167" s="5" t="s">
        <v>4198</v>
      </c>
      <c r="P4167" s="6">
        <v>0.17</v>
      </c>
      <c r="Q4167" s="11">
        <v>2</v>
      </c>
      <c r="R4167" s="11"/>
      <c r="S4167" s="11"/>
      <c r="T4167" s="11"/>
      <c r="U4167" s="11">
        <f t="shared" si="1341"/>
        <v>2</v>
      </c>
      <c r="W4167">
        <v>2.2000000000000002</v>
      </c>
      <c r="X4167" s="1" t="s">
        <v>52</v>
      </c>
    </row>
    <row r="4168" spans="1:24" x14ac:dyDescent="0.25">
      <c r="A4168" s="1" t="str">
        <f t="shared" si="1342"/>
        <v>卡卡杜-凤凰仓</v>
      </c>
      <c r="B4168" s="1" t="str">
        <f>"CK20241022783"</f>
        <v>CK20241022783</v>
      </c>
      <c r="C4168" s="1" t="str">
        <f>"DD2024102257096"</f>
        <v>DD2024102257096</v>
      </c>
      <c r="D4168" s="1" t="str">
        <f>"CK2024102250726"</f>
        <v>CK2024102250726</v>
      </c>
      <c r="E4168" s="1" t="str">
        <f>"3723469093321970689"</f>
        <v>3723469093321970689</v>
      </c>
      <c r="F4168" s="1" t="str">
        <f t="shared" si="1343"/>
        <v>花都四部-凤凰仓</v>
      </c>
      <c r="G4168" s="1" t="str">
        <f t="shared" si="1326"/>
        <v>卡卡杜企业店（视频号）</v>
      </c>
      <c r="H4168" s="1" t="str">
        <f t="shared" si="1344"/>
        <v>正常订单</v>
      </c>
      <c r="I4168" s="1" t="str">
        <f t="shared" si="1345"/>
        <v>已发货</v>
      </c>
      <c r="J4168" s="1" t="str">
        <f t="shared" si="1346"/>
        <v>2</v>
      </c>
      <c r="K4168" s="1">
        <v>2</v>
      </c>
      <c r="L4168" s="1" t="s">
        <v>18</v>
      </c>
      <c r="M4168" s="1" t="str">
        <f>"广东省 广州市 越秀区 "</f>
        <v xml:space="preserve">广东省 广州市 越秀区 </v>
      </c>
      <c r="N4168" s="1" t="str">
        <f t="shared" si="1336"/>
        <v>凡华云仓-城南圆通-微信视频号</v>
      </c>
      <c r="O4168" s="5" t="s">
        <v>4199</v>
      </c>
      <c r="P4168" s="6">
        <v>0.17</v>
      </c>
      <c r="Q4168" s="11">
        <v>2</v>
      </c>
      <c r="R4168" s="11"/>
      <c r="S4168" s="11"/>
      <c r="T4168" s="11"/>
      <c r="U4168" s="11">
        <f t="shared" si="1341"/>
        <v>2</v>
      </c>
      <c r="W4168">
        <v>2.2000000000000002</v>
      </c>
      <c r="X4168" s="1" t="s">
        <v>18</v>
      </c>
    </row>
    <row r="4169" spans="1:24" x14ac:dyDescent="0.25">
      <c r="A4169" s="1" t="str">
        <f t="shared" si="1342"/>
        <v>卡卡杜-凤凰仓</v>
      </c>
      <c r="B4169" s="1" t="str">
        <f>"CK20241022774"</f>
        <v>CK20241022774</v>
      </c>
      <c r="C4169" s="1" t="str">
        <f>"DD2024102257077"</f>
        <v>DD2024102257077</v>
      </c>
      <c r="D4169" s="1" t="str">
        <f>"CK2024102250725"</f>
        <v>CK2024102250725</v>
      </c>
      <c r="E4169" s="1" t="str">
        <f>"3723469091625373696"</f>
        <v>3723469091625373696</v>
      </c>
      <c r="F4169" s="1" t="str">
        <f t="shared" si="1343"/>
        <v>花都四部-凤凰仓</v>
      </c>
      <c r="G4169" s="1" t="str">
        <f t="shared" si="1326"/>
        <v>卡卡杜企业店（视频号）</v>
      </c>
      <c r="H4169" s="1" t="str">
        <f t="shared" si="1344"/>
        <v>正常订单</v>
      </c>
      <c r="I4169" s="1" t="str">
        <f t="shared" si="1345"/>
        <v>已发货</v>
      </c>
      <c r="J4169" s="1" t="str">
        <f t="shared" si="1346"/>
        <v>2</v>
      </c>
      <c r="K4169" s="1">
        <v>2</v>
      </c>
      <c r="L4169" s="1" t="s">
        <v>30</v>
      </c>
      <c r="M4169" s="1" t="str">
        <f>"山东省 济南市 市中区 "</f>
        <v xml:space="preserve">山东省 济南市 市中区 </v>
      </c>
      <c r="N4169" s="1" t="str">
        <f t="shared" si="1336"/>
        <v>凡华云仓-城南圆通-微信视频号</v>
      </c>
      <c r="O4169" s="5" t="s">
        <v>4200</v>
      </c>
      <c r="P4169" s="6">
        <v>0.17</v>
      </c>
      <c r="Q4169" s="11">
        <v>2</v>
      </c>
      <c r="R4169" s="11"/>
      <c r="S4169" s="11"/>
      <c r="T4169" s="11"/>
      <c r="U4169" s="11">
        <f t="shared" si="1341"/>
        <v>2</v>
      </c>
      <c r="W4169">
        <v>2.2000000000000002</v>
      </c>
      <c r="X4169" s="1" t="s">
        <v>30</v>
      </c>
    </row>
    <row r="4170" spans="1:24" x14ac:dyDescent="0.25">
      <c r="A4170" s="1" t="str">
        <f t="shared" si="1342"/>
        <v>卡卡杜-凤凰仓</v>
      </c>
      <c r="B4170" s="1" t="str">
        <f>"CK20241022780"</f>
        <v>CK20241022780</v>
      </c>
      <c r="C4170" s="1" t="str">
        <f>"DD2024102257088"</f>
        <v>DD2024102257088</v>
      </c>
      <c r="D4170" s="1" t="str">
        <f>"CK2024102250724"</f>
        <v>CK2024102250724</v>
      </c>
      <c r="E4170" s="1" t="str">
        <f>"3723469089072091136"</f>
        <v>3723469089072091136</v>
      </c>
      <c r="F4170" s="1" t="str">
        <f t="shared" si="1343"/>
        <v>花都四部-凤凰仓</v>
      </c>
      <c r="G4170" s="1" t="str">
        <f t="shared" si="1326"/>
        <v>卡卡杜企业店（视频号）</v>
      </c>
      <c r="H4170" s="1" t="str">
        <f t="shared" si="1344"/>
        <v>正常订单</v>
      </c>
      <c r="I4170" s="1" t="str">
        <f t="shared" si="1345"/>
        <v>已发货</v>
      </c>
      <c r="J4170" s="1" t="str">
        <f t="shared" si="1346"/>
        <v>2</v>
      </c>
      <c r="K4170" s="1">
        <v>2</v>
      </c>
      <c r="L4170" s="1" t="s">
        <v>105</v>
      </c>
      <c r="M4170" s="1" t="str">
        <f>"北京 北京市 朝阳区 "</f>
        <v xml:space="preserve">北京 北京市 朝阳区 </v>
      </c>
      <c r="N4170" s="1" t="str">
        <f t="shared" si="1336"/>
        <v>凡华云仓-城南圆通-微信视频号</v>
      </c>
      <c r="O4170" s="5" t="s">
        <v>4201</v>
      </c>
      <c r="P4170" s="6">
        <v>0.17</v>
      </c>
      <c r="Q4170" s="11">
        <v>2</v>
      </c>
      <c r="R4170" s="11"/>
      <c r="S4170" s="11"/>
      <c r="T4170" s="11"/>
      <c r="U4170" s="11">
        <f t="shared" si="1341"/>
        <v>2</v>
      </c>
      <c r="W4170">
        <v>2.2000000000000002</v>
      </c>
      <c r="X4170" s="1" t="s">
        <v>105</v>
      </c>
    </row>
    <row r="4171" spans="1:24" x14ac:dyDescent="0.25">
      <c r="A4171" s="1" t="str">
        <f t="shared" si="1342"/>
        <v>卡卡杜-凤凰仓</v>
      </c>
      <c r="B4171" s="1" t="str">
        <f>"CK20241022924"</f>
        <v>CK20241022924</v>
      </c>
      <c r="C4171" s="1" t="str">
        <f>"DD2024102257597"</f>
        <v>DD2024102257597</v>
      </c>
      <c r="D4171" s="1" t="str">
        <f>"CK2024102250723"</f>
        <v>CK2024102250723</v>
      </c>
      <c r="E4171" s="1" t="str">
        <f>"3723469082088051714"</f>
        <v>3723469082088051714</v>
      </c>
      <c r="F4171" s="1" t="str">
        <f t="shared" si="1343"/>
        <v>花都四部-凤凰仓</v>
      </c>
      <c r="G4171" s="1" t="str">
        <f t="shared" si="1326"/>
        <v>卡卡杜企业店（视频号）</v>
      </c>
      <c r="H4171" s="1" t="str">
        <f t="shared" si="1344"/>
        <v>正常订单</v>
      </c>
      <c r="I4171" s="1" t="str">
        <f t="shared" si="1345"/>
        <v>已发货</v>
      </c>
      <c r="J4171" s="1" t="str">
        <f t="shared" si="1346"/>
        <v>2</v>
      </c>
      <c r="K4171" s="1">
        <v>2</v>
      </c>
      <c r="L4171" s="1" t="s">
        <v>18</v>
      </c>
      <c r="M4171" s="1" t="str">
        <f>"广东省 珠海市 香洲区 "</f>
        <v xml:space="preserve">广东省 珠海市 香洲区 </v>
      </c>
      <c r="N4171" s="1" t="str">
        <f t="shared" si="1336"/>
        <v>凡华云仓-城南圆通-微信视频号</v>
      </c>
      <c r="O4171" s="5" t="s">
        <v>4202</v>
      </c>
      <c r="P4171" s="6">
        <v>0.17</v>
      </c>
      <c r="Q4171" s="11">
        <v>2</v>
      </c>
      <c r="R4171" s="11"/>
      <c r="S4171" s="11"/>
      <c r="T4171" s="11"/>
      <c r="U4171" s="11">
        <f t="shared" si="1341"/>
        <v>2</v>
      </c>
      <c r="W4171">
        <v>2.2000000000000002</v>
      </c>
      <c r="X4171" s="1" t="s">
        <v>18</v>
      </c>
    </row>
    <row r="4172" spans="1:24" x14ac:dyDescent="0.25">
      <c r="A4172" s="1" t="str">
        <f t="shared" si="1342"/>
        <v>卡卡杜-凤凰仓</v>
      </c>
      <c r="B4172" s="1" t="str">
        <f>"CK20241022686"</f>
        <v>CK20241022686</v>
      </c>
      <c r="C4172" s="1" t="str">
        <f>"DD2024102256984"</f>
        <v>DD2024102256984</v>
      </c>
      <c r="D4172" s="1" t="str">
        <f>"CK2024102250722"</f>
        <v>CK2024102250722</v>
      </c>
      <c r="E4172" s="1" t="str">
        <f>"3723469083988854272"</f>
        <v>3723469083988854272</v>
      </c>
      <c r="F4172" s="1" t="str">
        <f t="shared" si="1343"/>
        <v>花都四部-凤凰仓</v>
      </c>
      <c r="G4172" s="1" t="str">
        <f t="shared" si="1326"/>
        <v>卡卡杜企业店（视频号）</v>
      </c>
      <c r="H4172" s="1" t="str">
        <f t="shared" si="1344"/>
        <v>正常订单</v>
      </c>
      <c r="I4172" s="1" t="str">
        <f t="shared" si="1345"/>
        <v>已发货</v>
      </c>
      <c r="J4172" s="1" t="str">
        <f t="shared" ref="J4172:J4174" si="1347">"3"</f>
        <v>3</v>
      </c>
      <c r="K4172" s="1">
        <v>2</v>
      </c>
      <c r="L4172" s="1" t="s">
        <v>60</v>
      </c>
      <c r="M4172" s="1" t="str">
        <f>"云南省 昆明市 西山区 "</f>
        <v xml:space="preserve">云南省 昆明市 西山区 </v>
      </c>
      <c r="N4172" s="1" t="str">
        <f t="shared" si="1336"/>
        <v>凡华云仓-城南圆通-微信视频号</v>
      </c>
      <c r="O4172" s="5" t="s">
        <v>4203</v>
      </c>
      <c r="P4172" s="6">
        <v>0.24</v>
      </c>
      <c r="Q4172" s="11">
        <v>2</v>
      </c>
      <c r="R4172" s="11"/>
      <c r="S4172" s="11"/>
      <c r="T4172" s="11"/>
      <c r="U4172" s="11">
        <f t="shared" si="1341"/>
        <v>2</v>
      </c>
      <c r="W4172">
        <v>2.2000000000000002</v>
      </c>
      <c r="X4172" s="1" t="s">
        <v>60</v>
      </c>
    </row>
    <row r="4173" spans="1:24" x14ac:dyDescent="0.25">
      <c r="A4173" s="1" t="str">
        <f t="shared" si="1342"/>
        <v>卡卡杜-凤凰仓</v>
      </c>
      <c r="B4173" s="1" t="str">
        <f>"CK20241022454"</f>
        <v>CK20241022454</v>
      </c>
      <c r="C4173" s="1" t="str">
        <f>"DD2024102255441"</f>
        <v>DD2024102255441</v>
      </c>
      <c r="D4173" s="1" t="str">
        <f>"CK2024102250721"</f>
        <v>CK2024102250721</v>
      </c>
      <c r="E4173" s="1" t="str">
        <f>"3723469084250214400"</f>
        <v>3723469084250214400</v>
      </c>
      <c r="F4173" s="1" t="str">
        <f t="shared" si="1343"/>
        <v>花都四部-凤凰仓</v>
      </c>
      <c r="G4173" s="1" t="str">
        <f t="shared" si="1326"/>
        <v>卡卡杜企业店（视频号）</v>
      </c>
      <c r="H4173" s="1" t="str">
        <f t="shared" si="1344"/>
        <v>正常订单</v>
      </c>
      <c r="I4173" s="1" t="str">
        <f t="shared" si="1345"/>
        <v>已发货</v>
      </c>
      <c r="J4173" s="1" t="str">
        <f t="shared" si="1347"/>
        <v>3</v>
      </c>
      <c r="K4173" s="1">
        <v>3</v>
      </c>
      <c r="L4173" s="1" t="s">
        <v>27</v>
      </c>
      <c r="M4173" s="1" t="str">
        <f>"贵州省 贵阳市 南明区 "</f>
        <v xml:space="preserve">贵州省 贵阳市 南明区 </v>
      </c>
      <c r="N4173" s="1" t="str">
        <f t="shared" si="1336"/>
        <v>凡华云仓-城南圆通-微信视频号</v>
      </c>
      <c r="O4173" s="5" t="s">
        <v>4204</v>
      </c>
      <c r="P4173" s="6">
        <v>0.34</v>
      </c>
      <c r="Q4173" s="11">
        <v>2.2999999999999998</v>
      </c>
      <c r="R4173" s="11"/>
      <c r="S4173" s="11"/>
      <c r="T4173" s="11"/>
      <c r="U4173" s="11">
        <f t="shared" si="1341"/>
        <v>2.2999999999999998</v>
      </c>
      <c r="W4173">
        <v>2.5</v>
      </c>
      <c r="X4173" s="1" t="s">
        <v>27</v>
      </c>
    </row>
    <row r="4174" spans="1:24" x14ac:dyDescent="0.25">
      <c r="A4174" s="1" t="str">
        <f t="shared" si="1342"/>
        <v>卡卡杜-凤凰仓</v>
      </c>
      <c r="B4174" s="1" t="str">
        <f>"CK20241022902"</f>
        <v>CK20241022902</v>
      </c>
      <c r="C4174" s="1" t="str">
        <f>"DD2024102257506"</f>
        <v>DD2024102257506</v>
      </c>
      <c r="D4174" s="1" t="str">
        <f>"CK2024102250720"</f>
        <v>CK2024102250720</v>
      </c>
      <c r="E4174" s="1" t="str">
        <f>"3723469081007754240"</f>
        <v>3723469081007754240</v>
      </c>
      <c r="F4174" s="1" t="str">
        <f t="shared" si="1343"/>
        <v>花都四部-凤凰仓</v>
      </c>
      <c r="G4174" s="1" t="str">
        <f t="shared" ref="G4174:G4237" si="1348">"卡卡杜企业店（视频号）"</f>
        <v>卡卡杜企业店（视频号）</v>
      </c>
      <c r="H4174" s="1" t="str">
        <f t="shared" si="1344"/>
        <v>正常订单</v>
      </c>
      <c r="I4174" s="1" t="str">
        <f t="shared" si="1345"/>
        <v>已发货</v>
      </c>
      <c r="J4174" s="1" t="str">
        <f t="shared" si="1347"/>
        <v>3</v>
      </c>
      <c r="K4174" s="1">
        <v>2</v>
      </c>
      <c r="L4174" s="1" t="s">
        <v>105</v>
      </c>
      <c r="M4174" s="1" t="str">
        <f>"北京 北京市 西城区 "</f>
        <v xml:space="preserve">北京 北京市 西城区 </v>
      </c>
      <c r="N4174" s="1" t="str">
        <f t="shared" si="1336"/>
        <v>凡华云仓-城南圆通-微信视频号</v>
      </c>
      <c r="O4174" s="5" t="s">
        <v>4205</v>
      </c>
      <c r="P4174" s="6">
        <v>0.24</v>
      </c>
      <c r="Q4174" s="11">
        <v>2</v>
      </c>
      <c r="R4174" s="11"/>
      <c r="S4174" s="11"/>
      <c r="T4174" s="11"/>
      <c r="U4174" s="11">
        <f t="shared" si="1341"/>
        <v>2</v>
      </c>
      <c r="W4174">
        <v>2.2000000000000002</v>
      </c>
      <c r="X4174" s="1" t="s">
        <v>105</v>
      </c>
    </row>
    <row r="4175" spans="1:24" x14ac:dyDescent="0.25">
      <c r="A4175" s="1" t="str">
        <f t="shared" si="1342"/>
        <v>卡卡杜-凤凰仓</v>
      </c>
      <c r="B4175" s="1" t="str">
        <f>"CK20241022717"</f>
        <v>CK20241022717</v>
      </c>
      <c r="C4175" s="1" t="str">
        <f>"DD2024102257020"</f>
        <v>DD2024102257020</v>
      </c>
      <c r="D4175" s="1" t="str">
        <f>"CK2024102250719"</f>
        <v>CK2024102250719</v>
      </c>
      <c r="E4175" s="1" t="str">
        <f>"3723469076320881664"</f>
        <v>3723469076320881664</v>
      </c>
      <c r="F4175" s="1" t="str">
        <f t="shared" si="1343"/>
        <v>花都四部-凤凰仓</v>
      </c>
      <c r="G4175" s="1" t="str">
        <f t="shared" si="1348"/>
        <v>卡卡杜企业店（视频号）</v>
      </c>
      <c r="H4175" s="1" t="str">
        <f t="shared" si="1344"/>
        <v>正常订单</v>
      </c>
      <c r="I4175" s="1" t="str">
        <f t="shared" si="1345"/>
        <v>已发货</v>
      </c>
      <c r="J4175" s="1" t="str">
        <f t="shared" ref="J4175:J4177" si="1349">"2"</f>
        <v>2</v>
      </c>
      <c r="K4175" s="1">
        <v>2</v>
      </c>
      <c r="L4175" s="1" t="s">
        <v>13</v>
      </c>
      <c r="M4175" s="1" t="str">
        <f>"江苏省 镇江市 润州区 "</f>
        <v xml:space="preserve">江苏省 镇江市 润州区 </v>
      </c>
      <c r="N4175" s="1" t="str">
        <f t="shared" si="1336"/>
        <v>凡华云仓-城南圆通-微信视频号</v>
      </c>
      <c r="O4175" s="5" t="s">
        <v>4206</v>
      </c>
      <c r="P4175" s="6">
        <v>0.17</v>
      </c>
      <c r="Q4175" s="11">
        <v>2</v>
      </c>
      <c r="R4175" s="11"/>
      <c r="S4175" s="11"/>
      <c r="T4175" s="11"/>
      <c r="U4175" s="11">
        <f t="shared" si="1341"/>
        <v>2</v>
      </c>
      <c r="W4175">
        <v>2.2000000000000002</v>
      </c>
      <c r="X4175" s="1" t="s">
        <v>13</v>
      </c>
    </row>
    <row r="4176" spans="1:24" x14ac:dyDescent="0.25">
      <c r="A4176" s="1" t="str">
        <f t="shared" si="1342"/>
        <v>卡卡杜-凤凰仓</v>
      </c>
      <c r="B4176" s="1" t="str">
        <f>"CK20241022777"</f>
        <v>CK20241022777</v>
      </c>
      <c r="C4176" s="1" t="str">
        <f>"DD2024102257081"</f>
        <v>DD2024102257081</v>
      </c>
      <c r="D4176" s="1" t="str">
        <f>"CK2024102250718"</f>
        <v>CK2024102250718</v>
      </c>
      <c r="E4176" s="1" t="str">
        <f>"3723469075561190400"</f>
        <v>3723469075561190400</v>
      </c>
      <c r="F4176" s="1" t="str">
        <f t="shared" si="1343"/>
        <v>花都四部-凤凰仓</v>
      </c>
      <c r="G4176" s="1" t="str">
        <f t="shared" si="1348"/>
        <v>卡卡杜企业店（视频号）</v>
      </c>
      <c r="H4176" s="1" t="str">
        <f t="shared" si="1344"/>
        <v>正常订单</v>
      </c>
      <c r="I4176" s="1" t="str">
        <f t="shared" si="1345"/>
        <v>已发货</v>
      </c>
      <c r="J4176" s="1" t="str">
        <f t="shared" si="1349"/>
        <v>2</v>
      </c>
      <c r="K4176" s="1">
        <v>2</v>
      </c>
      <c r="L4176" s="1" t="s">
        <v>161</v>
      </c>
      <c r="M4176" s="1" t="str">
        <f>"四川省 成都市 锦江区 "</f>
        <v xml:space="preserve">四川省 成都市 锦江区 </v>
      </c>
      <c r="N4176" s="1" t="str">
        <f t="shared" si="1336"/>
        <v>凡华云仓-城南圆通-微信视频号</v>
      </c>
      <c r="O4176" s="5" t="s">
        <v>4207</v>
      </c>
      <c r="P4176" s="6">
        <v>0.17</v>
      </c>
      <c r="Q4176" s="11">
        <v>2</v>
      </c>
      <c r="R4176" s="11"/>
      <c r="S4176" s="11"/>
      <c r="T4176" s="11"/>
      <c r="U4176" s="11">
        <f t="shared" si="1341"/>
        <v>2</v>
      </c>
      <c r="W4176">
        <v>2.2000000000000002</v>
      </c>
      <c r="X4176" s="1" t="s">
        <v>161</v>
      </c>
    </row>
    <row r="4177" spans="1:24" x14ac:dyDescent="0.25">
      <c r="A4177" s="1" t="str">
        <f t="shared" si="1342"/>
        <v>卡卡杜-凤凰仓</v>
      </c>
      <c r="B4177" s="1" t="str">
        <f>"CK20241022948"</f>
        <v>CK20241022948</v>
      </c>
      <c r="C4177" s="1" t="str">
        <f>"DD2024102257681"</f>
        <v>DD2024102257681</v>
      </c>
      <c r="D4177" s="1" t="str">
        <f>"CK2024102250717"</f>
        <v>CK2024102250717</v>
      </c>
      <c r="E4177" s="1" t="str">
        <f>"3723469073507028992"</f>
        <v>3723469073507028992</v>
      </c>
      <c r="F4177" s="1" t="str">
        <f t="shared" si="1343"/>
        <v>花都四部-凤凰仓</v>
      </c>
      <c r="G4177" s="1" t="str">
        <f t="shared" si="1348"/>
        <v>卡卡杜企业店（视频号）</v>
      </c>
      <c r="H4177" s="1" t="str">
        <f t="shared" si="1344"/>
        <v>正常订单</v>
      </c>
      <c r="I4177" s="1" t="str">
        <f t="shared" si="1345"/>
        <v>已发货</v>
      </c>
      <c r="J4177" s="1" t="str">
        <f t="shared" si="1349"/>
        <v>2</v>
      </c>
      <c r="K4177" s="1">
        <v>2</v>
      </c>
      <c r="L4177" s="1" t="s">
        <v>18</v>
      </c>
      <c r="M4177" s="1" t="str">
        <f>"广东省 深圳市 龙华区 "</f>
        <v xml:space="preserve">广东省 深圳市 龙华区 </v>
      </c>
      <c r="N4177" s="1" t="str">
        <f t="shared" si="1336"/>
        <v>凡华云仓-城南圆通-微信视频号</v>
      </c>
      <c r="O4177" s="5" t="s">
        <v>4208</v>
      </c>
      <c r="P4177" s="6">
        <v>0.17</v>
      </c>
      <c r="Q4177" s="11">
        <v>2</v>
      </c>
      <c r="R4177" s="11"/>
      <c r="S4177" s="11"/>
      <c r="T4177" s="11"/>
      <c r="U4177" s="11">
        <f t="shared" si="1341"/>
        <v>2</v>
      </c>
      <c r="W4177">
        <v>2.2000000000000002</v>
      </c>
      <c r="X4177" s="1" t="s">
        <v>18</v>
      </c>
    </row>
    <row r="4178" spans="1:24" x14ac:dyDescent="0.25">
      <c r="A4178" s="1" t="str">
        <f t="shared" si="1342"/>
        <v>卡卡杜-凤凰仓</v>
      </c>
      <c r="B4178" s="1" t="str">
        <f>"CK20241022747"</f>
        <v>CK20241022747</v>
      </c>
      <c r="C4178" s="1" t="str">
        <f>"DD2024102257050"</f>
        <v>DD2024102257050</v>
      </c>
      <c r="D4178" s="1" t="str">
        <f>"CK2024102250716"</f>
        <v>CK2024102250716</v>
      </c>
      <c r="E4178" s="1" t="str">
        <f>"3723469071451032576"</f>
        <v>3723469071451032576</v>
      </c>
      <c r="F4178" s="1" t="str">
        <f t="shared" si="1343"/>
        <v>花都四部-凤凰仓</v>
      </c>
      <c r="G4178" s="1" t="str">
        <f t="shared" si="1348"/>
        <v>卡卡杜企业店（视频号）</v>
      </c>
      <c r="H4178" s="1" t="str">
        <f t="shared" si="1344"/>
        <v>正常订单</v>
      </c>
      <c r="I4178" s="1" t="str">
        <f t="shared" si="1345"/>
        <v>已发货</v>
      </c>
      <c r="J4178" s="1" t="str">
        <f t="shared" ref="J4178:J4180" si="1350">"3"</f>
        <v>3</v>
      </c>
      <c r="K4178" s="1">
        <v>2</v>
      </c>
      <c r="L4178" s="1" t="s">
        <v>27</v>
      </c>
      <c r="M4178" s="1" t="str">
        <f>"贵州省 贵阳市 南明区 "</f>
        <v xml:space="preserve">贵州省 贵阳市 南明区 </v>
      </c>
      <c r="N4178" s="1" t="str">
        <f t="shared" si="1336"/>
        <v>凡华云仓-城南圆通-微信视频号</v>
      </c>
      <c r="O4178" s="5" t="s">
        <v>4209</v>
      </c>
      <c r="P4178" s="6">
        <v>0.24</v>
      </c>
      <c r="Q4178" s="11">
        <v>2</v>
      </c>
      <c r="R4178" s="11"/>
      <c r="S4178" s="11"/>
      <c r="T4178" s="11"/>
      <c r="U4178" s="11">
        <f t="shared" si="1341"/>
        <v>2</v>
      </c>
      <c r="W4178">
        <v>2.2000000000000002</v>
      </c>
      <c r="X4178" s="1" t="s">
        <v>27</v>
      </c>
    </row>
    <row r="4179" spans="1:24" x14ac:dyDescent="0.25">
      <c r="A4179" s="1" t="str">
        <f t="shared" si="1342"/>
        <v>卡卡杜-凤凰仓</v>
      </c>
      <c r="B4179" s="1" t="str">
        <f>"CK202410221004"</f>
        <v>CK202410221004</v>
      </c>
      <c r="C4179" s="1" t="str">
        <f>"DD2024102258466"</f>
        <v>DD2024102258466</v>
      </c>
      <c r="D4179" s="1" t="str">
        <f>"CK2024102250715"</f>
        <v>CK2024102250715</v>
      </c>
      <c r="E4179" s="1" t="str">
        <f>"3723469068096898304"</f>
        <v>3723469068096898304</v>
      </c>
      <c r="F4179" s="1" t="str">
        <f t="shared" si="1343"/>
        <v>花都四部-凤凰仓</v>
      </c>
      <c r="G4179" s="1" t="str">
        <f t="shared" si="1348"/>
        <v>卡卡杜企业店（视频号）</v>
      </c>
      <c r="H4179" s="1" t="str">
        <f t="shared" si="1344"/>
        <v>正常订单</v>
      </c>
      <c r="I4179" s="1" t="str">
        <f t="shared" si="1345"/>
        <v>已发货</v>
      </c>
      <c r="J4179" s="1" t="str">
        <f t="shared" si="1350"/>
        <v>3</v>
      </c>
      <c r="K4179" s="1">
        <v>2</v>
      </c>
      <c r="L4179" s="1" t="s">
        <v>30</v>
      </c>
      <c r="M4179" s="1" t="str">
        <f>"山东省 临沂市 兰山区 "</f>
        <v xml:space="preserve">山东省 临沂市 兰山区 </v>
      </c>
      <c r="N4179" s="1" t="str">
        <f t="shared" si="1336"/>
        <v>凡华云仓-城南圆通-微信视频号</v>
      </c>
      <c r="O4179" s="5" t="s">
        <v>4210</v>
      </c>
      <c r="P4179" s="6">
        <v>0.24</v>
      </c>
      <c r="Q4179" s="11">
        <v>2</v>
      </c>
      <c r="R4179" s="11"/>
      <c r="S4179" s="11"/>
      <c r="T4179" s="11"/>
      <c r="U4179" s="11">
        <f t="shared" si="1341"/>
        <v>2</v>
      </c>
      <c r="W4179">
        <v>2.2000000000000002</v>
      </c>
      <c r="X4179" s="1" t="s">
        <v>30</v>
      </c>
    </row>
    <row r="4180" spans="1:24" x14ac:dyDescent="0.25">
      <c r="A4180" s="1" t="str">
        <f t="shared" si="1342"/>
        <v>卡卡杜-凤凰仓</v>
      </c>
      <c r="B4180" s="1" t="str">
        <f>"CK20241022998"</f>
        <v>CK20241022998</v>
      </c>
      <c r="C4180" s="1" t="str">
        <f>"DD2024102257826"</f>
        <v>DD2024102257826</v>
      </c>
      <c r="D4180" s="1" t="str">
        <f>"CK2024102250714"</f>
        <v>CK2024102250714</v>
      </c>
      <c r="E4180" s="1" t="str">
        <f>"3723469070905775104"</f>
        <v>3723469070905775104</v>
      </c>
      <c r="F4180" s="1" t="str">
        <f t="shared" si="1343"/>
        <v>花都四部-凤凰仓</v>
      </c>
      <c r="G4180" s="1" t="str">
        <f t="shared" si="1348"/>
        <v>卡卡杜企业店（视频号）</v>
      </c>
      <c r="H4180" s="1" t="str">
        <f t="shared" si="1344"/>
        <v>正常订单</v>
      </c>
      <c r="I4180" s="1" t="str">
        <f t="shared" si="1345"/>
        <v>已发货</v>
      </c>
      <c r="J4180" s="1" t="str">
        <f t="shared" si="1350"/>
        <v>3</v>
      </c>
      <c r="K4180" s="1">
        <v>2</v>
      </c>
      <c r="L4180" s="1" t="s">
        <v>24</v>
      </c>
      <c r="M4180" s="1" t="str">
        <f>"福建省 龙岩市 新罗区 "</f>
        <v xml:space="preserve">福建省 龙岩市 新罗区 </v>
      </c>
      <c r="N4180" s="1" t="str">
        <f t="shared" si="1336"/>
        <v>凡华云仓-城南圆通-微信视频号</v>
      </c>
      <c r="O4180" s="5" t="s">
        <v>4211</v>
      </c>
      <c r="P4180" s="6">
        <v>0.24</v>
      </c>
      <c r="Q4180" s="11">
        <v>2</v>
      </c>
      <c r="R4180" s="11"/>
      <c r="S4180" s="11"/>
      <c r="T4180" s="11"/>
      <c r="U4180" s="11">
        <f t="shared" si="1341"/>
        <v>2</v>
      </c>
      <c r="W4180">
        <v>2.2000000000000002</v>
      </c>
      <c r="X4180" s="1" t="s">
        <v>24</v>
      </c>
    </row>
    <row r="4181" spans="1:24" x14ac:dyDescent="0.25">
      <c r="A4181" s="1" t="str">
        <f t="shared" si="1342"/>
        <v>卡卡杜-凤凰仓</v>
      </c>
      <c r="B4181" s="1" t="str">
        <f>"CK20241022349"</f>
        <v>CK20241022349</v>
      </c>
      <c r="C4181" s="1" t="str">
        <f>"DD2024102253994"</f>
        <v>DD2024102253994</v>
      </c>
      <c r="D4181" s="1" t="str">
        <f>"CK2024102250713"</f>
        <v>CK2024102250713</v>
      </c>
      <c r="E4181" s="1" t="str">
        <f>"3723469068851873025"</f>
        <v>3723469068851873025</v>
      </c>
      <c r="F4181" s="1" t="str">
        <f t="shared" si="1343"/>
        <v>花都四部-凤凰仓</v>
      </c>
      <c r="G4181" s="1" t="str">
        <f t="shared" si="1348"/>
        <v>卡卡杜企业店（视频号）</v>
      </c>
      <c r="H4181" s="1" t="str">
        <f t="shared" si="1344"/>
        <v>正常订单</v>
      </c>
      <c r="I4181" s="1" t="str">
        <f t="shared" si="1345"/>
        <v>已发货</v>
      </c>
      <c r="J4181" s="1" t="str">
        <f>"5"</f>
        <v>5</v>
      </c>
      <c r="K4181" s="1">
        <v>3</v>
      </c>
      <c r="L4181" s="1" t="s">
        <v>92</v>
      </c>
      <c r="M4181" s="1" t="str">
        <f>"辽宁省 沈阳市 法库县 "</f>
        <v xml:space="preserve">辽宁省 沈阳市 法库县 </v>
      </c>
      <c r="N4181" s="1" t="str">
        <f t="shared" si="1336"/>
        <v>凡华云仓-城南圆通-微信视频号</v>
      </c>
      <c r="O4181" s="5" t="s">
        <v>4212</v>
      </c>
      <c r="P4181" s="6">
        <v>0.56000000000000005</v>
      </c>
      <c r="Q4181" s="11">
        <f>CEILING(P4181-0.5,0.1)*10*0.15+2.3</f>
        <v>2.4499999999999997</v>
      </c>
      <c r="R4181" s="11"/>
      <c r="S4181" s="11"/>
      <c r="T4181" s="11"/>
      <c r="U4181" s="11">
        <f t="shared" si="1341"/>
        <v>2.4499999999999997</v>
      </c>
      <c r="V4181" t="s">
        <v>15</v>
      </c>
      <c r="W4181">
        <v>2.4500000000000002</v>
      </c>
      <c r="X4181" s="1" t="s">
        <v>92</v>
      </c>
    </row>
    <row r="4182" spans="1:24" x14ac:dyDescent="0.25">
      <c r="A4182" s="1" t="str">
        <f t="shared" si="1342"/>
        <v>卡卡杜-凤凰仓</v>
      </c>
      <c r="B4182" s="1" t="str">
        <f>"CK20241022731"</f>
        <v>CK20241022731</v>
      </c>
      <c r="C4182" s="1" t="str">
        <f>"DD2024102257034"</f>
        <v>DD2024102257034</v>
      </c>
      <c r="D4182" s="1" t="str">
        <f>"CK2024102250712"</f>
        <v>CK2024102250712</v>
      </c>
      <c r="E4182" s="1" t="str">
        <f>"3723469069667403264"</f>
        <v>3723469069667403264</v>
      </c>
      <c r="F4182" s="1" t="str">
        <f t="shared" si="1343"/>
        <v>花都四部-凤凰仓</v>
      </c>
      <c r="G4182" s="1" t="str">
        <f t="shared" si="1348"/>
        <v>卡卡杜企业店（视频号）</v>
      </c>
      <c r="H4182" s="1" t="str">
        <f t="shared" si="1344"/>
        <v>正常订单</v>
      </c>
      <c r="I4182" s="1" t="str">
        <f t="shared" si="1345"/>
        <v>已发货</v>
      </c>
      <c r="J4182" s="1" t="str">
        <f>"2"</f>
        <v>2</v>
      </c>
      <c r="K4182" s="1">
        <v>2</v>
      </c>
      <c r="L4182" s="1" t="s">
        <v>92</v>
      </c>
      <c r="M4182" s="1" t="str">
        <f>"辽宁省 沈阳市 沈河区 "</f>
        <v xml:space="preserve">辽宁省 沈阳市 沈河区 </v>
      </c>
      <c r="N4182" s="1" t="str">
        <f t="shared" si="1336"/>
        <v>凡华云仓-城南圆通-微信视频号</v>
      </c>
      <c r="O4182" s="5" t="s">
        <v>4213</v>
      </c>
      <c r="P4182" s="6">
        <v>0.17</v>
      </c>
      <c r="Q4182" s="11">
        <v>2</v>
      </c>
      <c r="R4182" s="11"/>
      <c r="S4182" s="11"/>
      <c r="T4182" s="11"/>
      <c r="U4182" s="11">
        <f t="shared" si="1341"/>
        <v>2</v>
      </c>
      <c r="W4182">
        <v>2.2000000000000002</v>
      </c>
      <c r="X4182" s="1" t="s">
        <v>92</v>
      </c>
    </row>
    <row r="4183" spans="1:24" x14ac:dyDescent="0.25">
      <c r="A4183" s="1" t="str">
        <f t="shared" si="1342"/>
        <v>卡卡杜-凤凰仓</v>
      </c>
      <c r="B4183" s="1" t="str">
        <f>"CK20241022736"</f>
        <v>CK20241022736</v>
      </c>
      <c r="C4183" s="1" t="str">
        <f>"DD2024102257039"</f>
        <v>DD2024102257039</v>
      </c>
      <c r="D4183" s="1" t="str">
        <f>"CK2024102250711"</f>
        <v>CK2024102250711</v>
      </c>
      <c r="E4183" s="1" t="str">
        <f>"3723469069780913152"</f>
        <v>3723469069780913152</v>
      </c>
      <c r="F4183" s="1" t="str">
        <f t="shared" si="1343"/>
        <v>花都四部-凤凰仓</v>
      </c>
      <c r="G4183" s="1" t="str">
        <f t="shared" si="1348"/>
        <v>卡卡杜企业店（视频号）</v>
      </c>
      <c r="H4183" s="1" t="str">
        <f t="shared" si="1344"/>
        <v>正常订单</v>
      </c>
      <c r="I4183" s="1" t="str">
        <f t="shared" si="1345"/>
        <v>已发货</v>
      </c>
      <c r="J4183" s="1" t="str">
        <f t="shared" ref="J4183:J4188" si="1351">"3"</f>
        <v>3</v>
      </c>
      <c r="K4183" s="1">
        <v>2</v>
      </c>
      <c r="L4183" s="1" t="s">
        <v>18</v>
      </c>
      <c r="M4183" s="1" t="str">
        <f>"广东省 深圳市 福田区 "</f>
        <v xml:space="preserve">广东省 深圳市 福田区 </v>
      </c>
      <c r="N4183" s="1" t="str">
        <f t="shared" si="1336"/>
        <v>凡华云仓-城南圆通-微信视频号</v>
      </c>
      <c r="O4183" s="5" t="s">
        <v>4214</v>
      </c>
      <c r="P4183" s="6">
        <v>0.24</v>
      </c>
      <c r="Q4183" s="11">
        <v>2</v>
      </c>
      <c r="R4183" s="11"/>
      <c r="S4183" s="11"/>
      <c r="T4183" s="11"/>
      <c r="U4183" s="11">
        <f t="shared" si="1341"/>
        <v>2</v>
      </c>
      <c r="W4183">
        <v>2.2000000000000002</v>
      </c>
      <c r="X4183" s="1" t="s">
        <v>18</v>
      </c>
    </row>
    <row r="4184" spans="1:24" x14ac:dyDescent="0.25">
      <c r="A4184" s="1" t="str">
        <f t="shared" si="1342"/>
        <v>卡卡杜-凤凰仓</v>
      </c>
      <c r="B4184" s="1" t="str">
        <f>"CK20241022893"</f>
        <v>CK20241022893</v>
      </c>
      <c r="C4184" s="1" t="str">
        <f>"DD2024102257488"</f>
        <v>DD2024102257488</v>
      </c>
      <c r="D4184" s="1" t="str">
        <f>"CK2024102250710"</f>
        <v>CK2024102250710</v>
      </c>
      <c r="E4184" s="1" t="str">
        <f>"3723469067863592960"</f>
        <v>3723469067863592960</v>
      </c>
      <c r="F4184" s="1" t="str">
        <f t="shared" si="1343"/>
        <v>花都四部-凤凰仓</v>
      </c>
      <c r="G4184" s="1" t="str">
        <f t="shared" si="1348"/>
        <v>卡卡杜企业店（视频号）</v>
      </c>
      <c r="H4184" s="1" t="str">
        <f t="shared" si="1344"/>
        <v>正常订单</v>
      </c>
      <c r="I4184" s="1" t="str">
        <f t="shared" si="1345"/>
        <v>已发货</v>
      </c>
      <c r="J4184" s="1" t="str">
        <f t="shared" si="1351"/>
        <v>3</v>
      </c>
      <c r="K4184" s="1">
        <v>2</v>
      </c>
      <c r="L4184" s="1" t="s">
        <v>92</v>
      </c>
      <c r="M4184" s="1" t="str">
        <f>"辽宁省 大连市 中山区 "</f>
        <v xml:space="preserve">辽宁省 大连市 中山区 </v>
      </c>
      <c r="N4184" s="1" t="str">
        <f t="shared" si="1336"/>
        <v>凡华云仓-城南圆通-微信视频号</v>
      </c>
      <c r="O4184" s="5" t="s">
        <v>4215</v>
      </c>
      <c r="P4184" s="6">
        <v>0.24</v>
      </c>
      <c r="Q4184" s="11">
        <v>2</v>
      </c>
      <c r="R4184" s="11"/>
      <c r="S4184" s="11"/>
      <c r="T4184" s="11"/>
      <c r="U4184" s="11">
        <f t="shared" si="1341"/>
        <v>2</v>
      </c>
      <c r="W4184">
        <v>2.2000000000000002</v>
      </c>
      <c r="X4184" s="1" t="s">
        <v>92</v>
      </c>
    </row>
    <row r="4185" spans="1:24" x14ac:dyDescent="0.25">
      <c r="A4185" s="1" t="str">
        <f t="shared" si="1342"/>
        <v>卡卡杜-凤凰仓</v>
      </c>
      <c r="B4185" s="1" t="str">
        <f>"CK20241022350"</f>
        <v>CK20241022350</v>
      </c>
      <c r="C4185" s="1" t="str">
        <f>"DD2024102253993"</f>
        <v>DD2024102253993</v>
      </c>
      <c r="D4185" s="1" t="str">
        <f>"CK2024102250709"</f>
        <v>CK2024102250709</v>
      </c>
      <c r="E4185" s="1" t="str">
        <f>"3723469040434415105"</f>
        <v>3723469040434415105</v>
      </c>
      <c r="F4185" s="1" t="str">
        <f t="shared" si="1343"/>
        <v>花都四部-凤凰仓</v>
      </c>
      <c r="G4185" s="1" t="str">
        <f t="shared" si="1348"/>
        <v>卡卡杜企业店（视频号）</v>
      </c>
      <c r="H4185" s="1" t="str">
        <f t="shared" si="1344"/>
        <v>正常订单</v>
      </c>
      <c r="I4185" s="1" t="str">
        <f t="shared" si="1345"/>
        <v>已发货</v>
      </c>
      <c r="J4185" s="1" t="str">
        <f t="shared" si="1351"/>
        <v>3</v>
      </c>
      <c r="K4185" s="1">
        <v>3</v>
      </c>
      <c r="L4185" s="1" t="s">
        <v>16</v>
      </c>
      <c r="M4185" s="1" t="str">
        <f>"河北省 唐山市 路北区 "</f>
        <v xml:space="preserve">河北省 唐山市 路北区 </v>
      </c>
      <c r="N4185" s="1" t="str">
        <f t="shared" si="1336"/>
        <v>凡华云仓-城南圆通-微信视频号</v>
      </c>
      <c r="O4185" s="5" t="s">
        <v>4216</v>
      </c>
      <c r="P4185" s="6">
        <v>0.34</v>
      </c>
      <c r="Q4185" s="11">
        <v>2.2999999999999998</v>
      </c>
      <c r="R4185" s="11"/>
      <c r="S4185" s="11"/>
      <c r="T4185" s="11"/>
      <c r="U4185" s="11">
        <f t="shared" si="1341"/>
        <v>2.2999999999999998</v>
      </c>
      <c r="W4185">
        <v>2.5</v>
      </c>
      <c r="X4185" s="1" t="s">
        <v>16</v>
      </c>
    </row>
    <row r="4186" spans="1:24" x14ac:dyDescent="0.25">
      <c r="A4186" s="1" t="str">
        <f t="shared" si="1342"/>
        <v>卡卡杜-凤凰仓</v>
      </c>
      <c r="B4186" s="1" t="str">
        <f>"CK202410221001"</f>
        <v>CK202410221001</v>
      </c>
      <c r="C4186" s="1" t="str">
        <f>"DD2024102258468"</f>
        <v>DD2024102258468</v>
      </c>
      <c r="D4186" s="1" t="str">
        <f>"CK2024102250708"</f>
        <v>CK2024102250708</v>
      </c>
      <c r="E4186" s="1" t="str">
        <f>"3723469031330155520"</f>
        <v>3723469031330155520</v>
      </c>
      <c r="F4186" s="1" t="str">
        <f t="shared" si="1343"/>
        <v>花都四部-凤凰仓</v>
      </c>
      <c r="G4186" s="1" t="str">
        <f t="shared" si="1348"/>
        <v>卡卡杜企业店（视频号）</v>
      </c>
      <c r="H4186" s="1" t="str">
        <f t="shared" si="1344"/>
        <v>正常订单</v>
      </c>
      <c r="I4186" s="1" t="str">
        <f t="shared" si="1345"/>
        <v>已发货</v>
      </c>
      <c r="J4186" s="1" t="str">
        <f t="shared" si="1351"/>
        <v>3</v>
      </c>
      <c r="K4186" s="1">
        <v>2</v>
      </c>
      <c r="L4186" s="1" t="s">
        <v>66</v>
      </c>
      <c r="M4186" s="1" t="str">
        <f>"内蒙古自治区 锡林郭勒盟 苏尼特右旗 "</f>
        <v xml:space="preserve">内蒙古自治区 锡林郭勒盟 苏尼特右旗 </v>
      </c>
      <c r="N4186" s="1" t="str">
        <f t="shared" si="1336"/>
        <v>凡华云仓-城南圆通-微信视频号</v>
      </c>
      <c r="O4186" s="5" t="s">
        <v>4217</v>
      </c>
      <c r="P4186" s="6">
        <v>0.24</v>
      </c>
      <c r="Q4186" s="11">
        <v>2</v>
      </c>
      <c r="R4186" s="11"/>
      <c r="S4186" s="11"/>
      <c r="T4186" s="11"/>
      <c r="U4186" s="11">
        <f t="shared" si="1341"/>
        <v>2</v>
      </c>
      <c r="W4186">
        <v>2.2000000000000002</v>
      </c>
      <c r="X4186" s="1" t="s">
        <v>66</v>
      </c>
    </row>
    <row r="4187" spans="1:24" x14ac:dyDescent="0.25">
      <c r="A4187" s="1" t="str">
        <f t="shared" si="1342"/>
        <v>卡卡杜-凤凰仓</v>
      </c>
      <c r="B4187" s="1" t="str">
        <f>"CK20241022351"</f>
        <v>CK20241022351</v>
      </c>
      <c r="C4187" s="1" t="str">
        <f>"DD2024102254002"</f>
        <v>DD2024102254002</v>
      </c>
      <c r="D4187" s="1" t="str">
        <f>"CK2024102250707"</f>
        <v>CK2024102250707</v>
      </c>
      <c r="E4187" s="1" t="str">
        <f>"3723469012155633664"</f>
        <v>3723469012155633664</v>
      </c>
      <c r="F4187" s="1" t="str">
        <f t="shared" si="1343"/>
        <v>花都四部-凤凰仓</v>
      </c>
      <c r="G4187" s="1" t="str">
        <f t="shared" si="1348"/>
        <v>卡卡杜企业店（视频号）</v>
      </c>
      <c r="H4187" s="1" t="str">
        <f t="shared" si="1344"/>
        <v>正常订单</v>
      </c>
      <c r="I4187" s="1" t="str">
        <f t="shared" si="1345"/>
        <v>已发货</v>
      </c>
      <c r="J4187" s="1" t="str">
        <f t="shared" si="1351"/>
        <v>3</v>
      </c>
      <c r="K4187" s="1">
        <v>3</v>
      </c>
      <c r="L4187" s="1" t="s">
        <v>105</v>
      </c>
      <c r="M4187" s="1" t="str">
        <f>"北京 北京市 朝阳区 "</f>
        <v xml:space="preserve">北京 北京市 朝阳区 </v>
      </c>
      <c r="N4187" s="1" t="str">
        <f t="shared" si="1336"/>
        <v>凡华云仓-城南圆通-微信视频号</v>
      </c>
      <c r="O4187" s="5" t="s">
        <v>4218</v>
      </c>
      <c r="P4187" s="6">
        <v>0.34</v>
      </c>
      <c r="Q4187" s="11">
        <v>2.2999999999999998</v>
      </c>
      <c r="R4187" s="11"/>
      <c r="S4187" s="11"/>
      <c r="T4187" s="11"/>
      <c r="U4187" s="11">
        <f t="shared" si="1341"/>
        <v>2.2999999999999998</v>
      </c>
      <c r="W4187">
        <v>2.5</v>
      </c>
      <c r="X4187" s="1" t="s">
        <v>105</v>
      </c>
    </row>
    <row r="4188" spans="1:24" x14ac:dyDescent="0.25">
      <c r="A4188" s="1" t="str">
        <f t="shared" si="1342"/>
        <v>卡卡杜-凤凰仓</v>
      </c>
      <c r="B4188" s="1" t="str">
        <f>"CK20241022352"</f>
        <v>CK20241022352</v>
      </c>
      <c r="C4188" s="1" t="str">
        <f>"DD2024102254004"</f>
        <v>DD2024102254004</v>
      </c>
      <c r="D4188" s="1" t="str">
        <f>"CK2024102250706"</f>
        <v>CK2024102250706</v>
      </c>
      <c r="E4188" s="1" t="str">
        <f>"3723469014088942848"</f>
        <v>3723469014088942848</v>
      </c>
      <c r="F4188" s="1" t="str">
        <f t="shared" si="1343"/>
        <v>花都四部-凤凰仓</v>
      </c>
      <c r="G4188" s="1" t="str">
        <f t="shared" si="1348"/>
        <v>卡卡杜企业店（视频号）</v>
      </c>
      <c r="H4188" s="1" t="str">
        <f t="shared" si="1344"/>
        <v>正常订单</v>
      </c>
      <c r="I4188" s="1" t="str">
        <f t="shared" si="1345"/>
        <v>已发货</v>
      </c>
      <c r="J4188" s="1" t="str">
        <f t="shared" si="1351"/>
        <v>3</v>
      </c>
      <c r="K4188" s="1">
        <v>3</v>
      </c>
      <c r="L4188" s="1" t="s">
        <v>16</v>
      </c>
      <c r="M4188" s="1" t="str">
        <f>"河北省 秦皇岛市 海港区 "</f>
        <v xml:space="preserve">河北省 秦皇岛市 海港区 </v>
      </c>
      <c r="N4188" s="1" t="str">
        <f t="shared" si="1336"/>
        <v>凡华云仓-城南圆通-微信视频号</v>
      </c>
      <c r="O4188" s="5" t="s">
        <v>4219</v>
      </c>
      <c r="P4188" s="6">
        <v>0.34</v>
      </c>
      <c r="Q4188" s="11">
        <v>2.2999999999999998</v>
      </c>
      <c r="R4188" s="11"/>
      <c r="S4188" s="11"/>
      <c r="T4188" s="11"/>
      <c r="U4188" s="11">
        <f t="shared" si="1341"/>
        <v>2.2999999999999998</v>
      </c>
      <c r="W4188">
        <v>2.5</v>
      </c>
      <c r="X4188" s="1" t="s">
        <v>16</v>
      </c>
    </row>
    <row r="4189" spans="1:24" x14ac:dyDescent="0.25">
      <c r="A4189" s="1" t="str">
        <f t="shared" si="1342"/>
        <v>卡卡杜-凤凰仓</v>
      </c>
      <c r="B4189" s="1" t="str">
        <f>"CK20241022508"</f>
        <v>CK20241022508</v>
      </c>
      <c r="C4189" s="1" t="str">
        <f>"DD2024102255645"</f>
        <v>DD2024102255645</v>
      </c>
      <c r="D4189" s="1" t="str">
        <f>"CK2024102250705"</f>
        <v>CK2024102250705</v>
      </c>
      <c r="E4189" s="1" t="str">
        <f>"3723468994417919488"</f>
        <v>3723468994417919488</v>
      </c>
      <c r="F4189" s="1" t="str">
        <f t="shared" si="1343"/>
        <v>花都四部-凤凰仓</v>
      </c>
      <c r="G4189" s="1" t="str">
        <f t="shared" si="1348"/>
        <v>卡卡杜企业店（视频号）</v>
      </c>
      <c r="H4189" s="1" t="str">
        <f t="shared" si="1344"/>
        <v>正常订单</v>
      </c>
      <c r="I4189" s="1" t="str">
        <f t="shared" si="1345"/>
        <v>已发货</v>
      </c>
      <c r="J4189" s="1" t="str">
        <f t="shared" ref="J4189:J4192" si="1352">"5"</f>
        <v>5</v>
      </c>
      <c r="K4189" s="1">
        <v>3</v>
      </c>
      <c r="L4189" s="1" t="s">
        <v>218</v>
      </c>
      <c r="M4189" s="1" t="str">
        <f>"天津 天津市 滨海新区 "</f>
        <v xml:space="preserve">天津 天津市 滨海新区 </v>
      </c>
      <c r="N4189" s="1" t="str">
        <f t="shared" si="1336"/>
        <v>凡华云仓-城南圆通-微信视频号</v>
      </c>
      <c r="O4189" s="5" t="s">
        <v>4220</v>
      </c>
      <c r="P4189" s="6">
        <v>0.56000000000000005</v>
      </c>
      <c r="Q4189" s="11">
        <f t="shared" ref="Q4189:Q4192" si="1353">CEILING(P4189-0.5,0.1)*10*0.15+2.3</f>
        <v>2.4499999999999997</v>
      </c>
      <c r="R4189" s="11"/>
      <c r="S4189" s="11"/>
      <c r="T4189" s="11"/>
      <c r="U4189" s="11">
        <f t="shared" si="1341"/>
        <v>2.4499999999999997</v>
      </c>
      <c r="V4189" t="s">
        <v>15</v>
      </c>
      <c r="W4189">
        <v>2.4500000000000002</v>
      </c>
      <c r="X4189" s="1" t="s">
        <v>218</v>
      </c>
    </row>
    <row r="4190" spans="1:24" x14ac:dyDescent="0.25">
      <c r="A4190" s="1" t="str">
        <f t="shared" si="1342"/>
        <v>卡卡杜-凤凰仓</v>
      </c>
      <c r="B4190" s="1" t="str">
        <f>"CK20241022466"</f>
        <v>CK20241022466</v>
      </c>
      <c r="C4190" s="1" t="str">
        <f>"DD2024102255492"</f>
        <v>DD2024102255492</v>
      </c>
      <c r="D4190" s="1" t="str">
        <f>"CK2024102250704"</f>
        <v>CK2024102250704</v>
      </c>
      <c r="E4190" s="1" t="str">
        <f>"3723468981461455872"</f>
        <v>3723468981461455872</v>
      </c>
      <c r="F4190" s="1" t="str">
        <f t="shared" si="1343"/>
        <v>花都四部-凤凰仓</v>
      </c>
      <c r="G4190" s="1" t="str">
        <f t="shared" si="1348"/>
        <v>卡卡杜企业店（视频号）</v>
      </c>
      <c r="H4190" s="1" t="str">
        <f t="shared" si="1344"/>
        <v>正常订单</v>
      </c>
      <c r="I4190" s="1" t="str">
        <f t="shared" si="1345"/>
        <v>已发货</v>
      </c>
      <c r="J4190" s="1" t="str">
        <f t="shared" ref="J4190:J4194" si="1354">"3"</f>
        <v>3</v>
      </c>
      <c r="K4190" s="1">
        <v>3</v>
      </c>
      <c r="L4190" s="1" t="s">
        <v>27</v>
      </c>
      <c r="M4190" s="1" t="str">
        <f>"贵州省 贵阳市 观山湖区 "</f>
        <v xml:space="preserve">贵州省 贵阳市 观山湖区 </v>
      </c>
      <c r="N4190" s="1" t="str">
        <f t="shared" si="1336"/>
        <v>凡华云仓-城南圆通-微信视频号</v>
      </c>
      <c r="O4190" s="5" t="s">
        <v>4221</v>
      </c>
      <c r="P4190" s="6">
        <v>0.34</v>
      </c>
      <c r="Q4190" s="11">
        <v>2.2999999999999998</v>
      </c>
      <c r="R4190" s="11"/>
      <c r="S4190" s="11"/>
      <c r="T4190" s="11"/>
      <c r="U4190" s="11">
        <f t="shared" si="1341"/>
        <v>2.2999999999999998</v>
      </c>
      <c r="W4190">
        <v>2.5</v>
      </c>
      <c r="X4190" s="1" t="s">
        <v>27</v>
      </c>
    </row>
    <row r="4191" spans="1:24" x14ac:dyDescent="0.25">
      <c r="A4191" s="1" t="str">
        <f t="shared" si="1342"/>
        <v>卡卡杜-凤凰仓</v>
      </c>
      <c r="B4191" s="1" t="str">
        <f>"CK20241022353"</f>
        <v>CK20241022353</v>
      </c>
      <c r="C4191" s="1" t="str">
        <f>"DD2024102254001"</f>
        <v>DD2024102254001</v>
      </c>
      <c r="D4191" s="1" t="str">
        <f>"CK2024102250703"</f>
        <v>CK2024102250703</v>
      </c>
      <c r="E4191" s="1" t="str">
        <f>"3723468980103022080"</f>
        <v>3723468980103022080</v>
      </c>
      <c r="F4191" s="1" t="str">
        <f t="shared" si="1343"/>
        <v>花都四部-凤凰仓</v>
      </c>
      <c r="G4191" s="1" t="str">
        <f t="shared" si="1348"/>
        <v>卡卡杜企业店（视频号）</v>
      </c>
      <c r="H4191" s="1" t="str">
        <f t="shared" si="1344"/>
        <v>正常订单</v>
      </c>
      <c r="I4191" s="1" t="str">
        <f t="shared" si="1345"/>
        <v>已发货</v>
      </c>
      <c r="J4191" s="1" t="str">
        <f t="shared" si="1352"/>
        <v>5</v>
      </c>
      <c r="K4191" s="1">
        <v>3</v>
      </c>
      <c r="L4191" s="1" t="s">
        <v>13</v>
      </c>
      <c r="M4191" s="1" t="str">
        <f>"江苏省 南通市 如东县 "</f>
        <v xml:space="preserve">江苏省 南通市 如东县 </v>
      </c>
      <c r="N4191" s="1" t="str">
        <f t="shared" si="1336"/>
        <v>凡华云仓-城南圆通-微信视频号</v>
      </c>
      <c r="O4191" s="5" t="s">
        <v>4222</v>
      </c>
      <c r="P4191" s="6">
        <v>0.56000000000000005</v>
      </c>
      <c r="Q4191" s="11">
        <f t="shared" si="1353"/>
        <v>2.4499999999999997</v>
      </c>
      <c r="R4191" s="11"/>
      <c r="S4191" s="11"/>
      <c r="T4191" s="11"/>
      <c r="U4191" s="11">
        <f t="shared" si="1341"/>
        <v>2.4499999999999997</v>
      </c>
      <c r="V4191" t="s">
        <v>15</v>
      </c>
      <c r="W4191">
        <v>2.4500000000000002</v>
      </c>
      <c r="X4191" s="1" t="s">
        <v>13</v>
      </c>
    </row>
    <row r="4192" spans="1:24" x14ac:dyDescent="0.25">
      <c r="A4192" s="1" t="str">
        <f t="shared" si="1342"/>
        <v>卡卡杜-凤凰仓</v>
      </c>
      <c r="B4192" s="1" t="str">
        <f>"CK20241022354"</f>
        <v>CK20241022354</v>
      </c>
      <c r="C4192" s="1" t="str">
        <f>"DD2024102254003"</f>
        <v>DD2024102254003</v>
      </c>
      <c r="D4192" s="1" t="str">
        <f>"CK2024102250702"</f>
        <v>CK2024102250702</v>
      </c>
      <c r="E4192" s="1" t="str">
        <f>"3723468941061129472"</f>
        <v>3723468941061129472</v>
      </c>
      <c r="F4192" s="1" t="str">
        <f t="shared" si="1343"/>
        <v>花都四部-凤凰仓</v>
      </c>
      <c r="G4192" s="1" t="str">
        <f t="shared" si="1348"/>
        <v>卡卡杜企业店（视频号）</v>
      </c>
      <c r="H4192" s="1" t="str">
        <f t="shared" si="1344"/>
        <v>正常订单</v>
      </c>
      <c r="I4192" s="1" t="str">
        <f t="shared" si="1345"/>
        <v>已发货</v>
      </c>
      <c r="J4192" s="1" t="str">
        <f t="shared" si="1352"/>
        <v>5</v>
      </c>
      <c r="K4192" s="1">
        <v>3</v>
      </c>
      <c r="L4192" s="1" t="s">
        <v>30</v>
      </c>
      <c r="M4192" s="1" t="str">
        <f>"山东省 青岛市 市北区 "</f>
        <v xml:space="preserve">山东省 青岛市 市北区 </v>
      </c>
      <c r="N4192" s="1" t="str">
        <f t="shared" si="1336"/>
        <v>凡华云仓-城南圆通-微信视频号</v>
      </c>
      <c r="O4192" s="5" t="s">
        <v>4223</v>
      </c>
      <c r="P4192" s="6">
        <v>0.56000000000000005</v>
      </c>
      <c r="Q4192" s="11">
        <f t="shared" si="1353"/>
        <v>2.4499999999999997</v>
      </c>
      <c r="R4192" s="11"/>
      <c r="S4192" s="11"/>
      <c r="T4192" s="11"/>
      <c r="U4192" s="11">
        <f t="shared" si="1341"/>
        <v>2.4499999999999997</v>
      </c>
      <c r="V4192" t="s">
        <v>15</v>
      </c>
      <c r="W4192">
        <v>2.4500000000000002</v>
      </c>
      <c r="X4192" s="1" t="s">
        <v>30</v>
      </c>
    </row>
    <row r="4193" spans="1:24" x14ac:dyDescent="0.25">
      <c r="A4193" s="1" t="str">
        <f t="shared" si="1342"/>
        <v>卡卡杜-凤凰仓</v>
      </c>
      <c r="B4193" s="1" t="str">
        <f>"CK20241022355"</f>
        <v>CK20241022355</v>
      </c>
      <c r="C4193" s="1" t="str">
        <f>"DD2024102254008"</f>
        <v>DD2024102254008</v>
      </c>
      <c r="D4193" s="1" t="str">
        <f>"CK2024102250701"</f>
        <v>CK2024102250701</v>
      </c>
      <c r="E4193" s="1" t="str">
        <f>"3723468940917738496"</f>
        <v>3723468940917738496</v>
      </c>
      <c r="F4193" s="1" t="str">
        <f t="shared" si="1343"/>
        <v>花都四部-凤凰仓</v>
      </c>
      <c r="G4193" s="1" t="str">
        <f t="shared" si="1348"/>
        <v>卡卡杜企业店（视频号）</v>
      </c>
      <c r="H4193" s="1" t="str">
        <f t="shared" si="1344"/>
        <v>正常订单</v>
      </c>
      <c r="I4193" s="1" t="str">
        <f t="shared" si="1345"/>
        <v>已发货</v>
      </c>
      <c r="J4193" s="1" t="str">
        <f t="shared" si="1354"/>
        <v>3</v>
      </c>
      <c r="K4193" s="1">
        <v>3</v>
      </c>
      <c r="L4193" s="1" t="s">
        <v>36</v>
      </c>
      <c r="M4193" s="1" t="str">
        <f>"安徽省 合肥市 包河区 "</f>
        <v xml:space="preserve">安徽省 合肥市 包河区 </v>
      </c>
      <c r="N4193" s="1" t="str">
        <f t="shared" si="1336"/>
        <v>凡华云仓-城南圆通-微信视频号</v>
      </c>
      <c r="O4193" s="5" t="s">
        <v>4224</v>
      </c>
      <c r="P4193" s="6">
        <v>0.34</v>
      </c>
      <c r="Q4193" s="11">
        <v>2.2999999999999998</v>
      </c>
      <c r="R4193" s="11"/>
      <c r="S4193" s="11"/>
      <c r="T4193" s="11"/>
      <c r="U4193" s="11">
        <f t="shared" si="1341"/>
        <v>2.2999999999999998</v>
      </c>
      <c r="W4193">
        <v>2.5</v>
      </c>
      <c r="X4193" s="1" t="s">
        <v>36</v>
      </c>
    </row>
    <row r="4194" spans="1:24" x14ac:dyDescent="0.25">
      <c r="A4194" s="1" t="str">
        <f t="shared" si="1342"/>
        <v>卡卡杜-凤凰仓</v>
      </c>
      <c r="B4194" s="1" t="str">
        <f>"CK20241022356"</f>
        <v>CK20241022356</v>
      </c>
      <c r="C4194" s="1" t="str">
        <f>"DD2024102254009"</f>
        <v>DD2024102254009</v>
      </c>
      <c r="D4194" s="1" t="str">
        <f>"CK2024102250700"</f>
        <v>CK2024102250700</v>
      </c>
      <c r="E4194" s="1" t="str">
        <f>"3723468932391765248"</f>
        <v>3723468932391765248</v>
      </c>
      <c r="F4194" s="1" t="str">
        <f t="shared" si="1343"/>
        <v>花都四部-凤凰仓</v>
      </c>
      <c r="G4194" s="1" t="str">
        <f t="shared" si="1348"/>
        <v>卡卡杜企业店（视频号）</v>
      </c>
      <c r="H4194" s="1" t="str">
        <f t="shared" si="1344"/>
        <v>正常订单</v>
      </c>
      <c r="I4194" s="1" t="str">
        <f t="shared" si="1345"/>
        <v>已发货</v>
      </c>
      <c r="J4194" s="1" t="str">
        <f t="shared" si="1354"/>
        <v>3</v>
      </c>
      <c r="K4194" s="1">
        <v>3</v>
      </c>
      <c r="L4194" s="1" t="s">
        <v>80</v>
      </c>
      <c r="M4194" s="1" t="str">
        <f>"河南省 平顶山市 汝州市 "</f>
        <v xml:space="preserve">河南省 平顶山市 汝州市 </v>
      </c>
      <c r="N4194" s="1" t="str">
        <f t="shared" si="1336"/>
        <v>凡华云仓-城南圆通-微信视频号</v>
      </c>
      <c r="O4194" s="5" t="s">
        <v>4225</v>
      </c>
      <c r="P4194" s="6">
        <v>0.34</v>
      </c>
      <c r="Q4194" s="11">
        <v>2.2999999999999998</v>
      </c>
      <c r="R4194" s="11"/>
      <c r="S4194" s="11"/>
      <c r="T4194" s="11"/>
      <c r="U4194" s="11">
        <f t="shared" si="1341"/>
        <v>2.2999999999999998</v>
      </c>
      <c r="W4194">
        <v>2.5</v>
      </c>
      <c r="X4194" s="1" t="s">
        <v>80</v>
      </c>
    </row>
    <row r="4195" spans="1:24" x14ac:dyDescent="0.25">
      <c r="A4195" s="1" t="str">
        <f t="shared" si="1342"/>
        <v>卡卡杜-凤凰仓</v>
      </c>
      <c r="B4195" s="1" t="str">
        <f>"CK20241022357"</f>
        <v>CK20241022357</v>
      </c>
      <c r="C4195" s="1" t="str">
        <f>"DD2024102254011"</f>
        <v>DD2024102254011</v>
      </c>
      <c r="D4195" s="1" t="str">
        <f>"CK2024102250699"</f>
        <v>CK2024102250699</v>
      </c>
      <c r="E4195" s="1" t="str">
        <f>"3723468922841074688"</f>
        <v>3723468922841074688</v>
      </c>
      <c r="F4195" s="1" t="str">
        <f t="shared" si="1343"/>
        <v>花都四部-凤凰仓</v>
      </c>
      <c r="G4195" s="1" t="str">
        <f t="shared" si="1348"/>
        <v>卡卡杜企业店（视频号）</v>
      </c>
      <c r="H4195" s="1" t="str">
        <f t="shared" si="1344"/>
        <v>正常订单</v>
      </c>
      <c r="I4195" s="1" t="str">
        <f t="shared" si="1345"/>
        <v>已发货</v>
      </c>
      <c r="J4195" s="1" t="str">
        <f>"5"</f>
        <v>5</v>
      </c>
      <c r="K4195" s="1">
        <v>3</v>
      </c>
      <c r="L4195" s="1" t="s">
        <v>92</v>
      </c>
      <c r="M4195" s="1" t="str">
        <f>"辽宁省 大连市 金州区 "</f>
        <v xml:space="preserve">辽宁省 大连市 金州区 </v>
      </c>
      <c r="N4195" s="1" t="str">
        <f t="shared" si="1336"/>
        <v>凡华云仓-城南圆通-微信视频号</v>
      </c>
      <c r="O4195" s="5" t="s">
        <v>4226</v>
      </c>
      <c r="P4195" s="6">
        <v>0.56000000000000005</v>
      </c>
      <c r="Q4195" s="11">
        <f>CEILING(P4195-0.5,0.1)*10*0.15+2.3</f>
        <v>2.4499999999999997</v>
      </c>
      <c r="R4195" s="11"/>
      <c r="S4195" s="11"/>
      <c r="T4195" s="11"/>
      <c r="U4195" s="11">
        <f t="shared" si="1341"/>
        <v>2.4499999999999997</v>
      </c>
      <c r="V4195" t="s">
        <v>15</v>
      </c>
      <c r="W4195">
        <v>2.4500000000000002</v>
      </c>
      <c r="X4195" s="1" t="s">
        <v>92</v>
      </c>
    </row>
    <row r="4196" spans="1:24" x14ac:dyDescent="0.25">
      <c r="A4196" s="1" t="str">
        <f t="shared" si="1342"/>
        <v>卡卡杜-凤凰仓</v>
      </c>
      <c r="B4196" s="1" t="str">
        <f>"CK20241022520"</f>
        <v>CK20241022520</v>
      </c>
      <c r="C4196" s="1" t="str">
        <f>"DD2024102255681"</f>
        <v>DD2024102255681</v>
      </c>
      <c r="D4196" s="1" t="str">
        <f>"CK2024102250698"</f>
        <v>CK2024102250698</v>
      </c>
      <c r="E4196" s="1" t="str">
        <f>"3723468917326091264"</f>
        <v>3723468917326091264</v>
      </c>
      <c r="F4196" s="1" t="str">
        <f t="shared" si="1343"/>
        <v>花都四部-凤凰仓</v>
      </c>
      <c r="G4196" s="1" t="str">
        <f t="shared" si="1348"/>
        <v>卡卡杜企业店（视频号）</v>
      </c>
      <c r="H4196" s="1" t="str">
        <f t="shared" si="1344"/>
        <v>正常订单</v>
      </c>
      <c r="I4196" s="1" t="str">
        <f t="shared" si="1345"/>
        <v>已发货</v>
      </c>
      <c r="J4196" s="1" t="str">
        <f t="shared" ref="J4196:J4199" si="1355">"3"</f>
        <v>3</v>
      </c>
      <c r="K4196" s="1">
        <v>3</v>
      </c>
      <c r="L4196" s="1" t="s">
        <v>52</v>
      </c>
      <c r="M4196" s="1" t="str">
        <f>"甘肃省 兰州市 安宁区 "</f>
        <v xml:space="preserve">甘肃省 兰州市 安宁区 </v>
      </c>
      <c r="N4196" s="1" t="str">
        <f t="shared" si="1336"/>
        <v>凡华云仓-城南圆通-微信视频号</v>
      </c>
      <c r="O4196" s="5" t="s">
        <v>4227</v>
      </c>
      <c r="P4196" s="6">
        <v>0.34</v>
      </c>
      <c r="Q4196" s="11">
        <v>2.2999999999999998</v>
      </c>
      <c r="R4196" s="11"/>
      <c r="S4196" s="11"/>
      <c r="T4196" s="11"/>
      <c r="U4196" s="11">
        <f t="shared" si="1341"/>
        <v>2.2999999999999998</v>
      </c>
      <c r="W4196">
        <v>2.5</v>
      </c>
      <c r="X4196" s="1" t="s">
        <v>52</v>
      </c>
    </row>
    <row r="4197" spans="1:24" x14ac:dyDescent="0.25">
      <c r="A4197" s="1" t="str">
        <f t="shared" si="1342"/>
        <v>卡卡杜-凤凰仓</v>
      </c>
      <c r="B4197" s="1" t="str">
        <f>"CK20241022358"</f>
        <v>CK20241022358</v>
      </c>
      <c r="C4197" s="1" t="str">
        <f>"DD2024102254040"</f>
        <v>DD2024102254040</v>
      </c>
      <c r="D4197" s="1" t="str">
        <f>"CK2024102250697"</f>
        <v>CK2024102250697</v>
      </c>
      <c r="E4197" s="1" t="str">
        <f>"3723468899391507456"</f>
        <v>3723468899391507456</v>
      </c>
      <c r="F4197" s="1" t="str">
        <f t="shared" si="1343"/>
        <v>花都四部-凤凰仓</v>
      </c>
      <c r="G4197" s="1" t="str">
        <f t="shared" si="1348"/>
        <v>卡卡杜企业店（视频号）</v>
      </c>
      <c r="H4197" s="1" t="str">
        <f t="shared" si="1344"/>
        <v>正常订单</v>
      </c>
      <c r="I4197" s="1" t="str">
        <f t="shared" si="1345"/>
        <v>已发货</v>
      </c>
      <c r="J4197" s="1" t="str">
        <f t="shared" si="1355"/>
        <v>3</v>
      </c>
      <c r="K4197" s="1">
        <v>3</v>
      </c>
      <c r="L4197" s="1" t="s">
        <v>30</v>
      </c>
      <c r="M4197" s="1" t="str">
        <f>"山东省 威海市 乳山市 "</f>
        <v xml:space="preserve">山东省 威海市 乳山市 </v>
      </c>
      <c r="N4197" s="1" t="str">
        <f t="shared" si="1336"/>
        <v>凡华云仓-城南圆通-微信视频号</v>
      </c>
      <c r="O4197" s="5" t="s">
        <v>4228</v>
      </c>
      <c r="P4197" s="6">
        <v>0.34</v>
      </c>
      <c r="Q4197" s="11">
        <v>2.2999999999999998</v>
      </c>
      <c r="R4197" s="11"/>
      <c r="S4197" s="11"/>
      <c r="T4197" s="11"/>
      <c r="U4197" s="11">
        <f t="shared" si="1341"/>
        <v>2.2999999999999998</v>
      </c>
      <c r="W4197">
        <v>2.5</v>
      </c>
      <c r="X4197" s="1" t="s">
        <v>30</v>
      </c>
    </row>
    <row r="4198" spans="1:24" x14ac:dyDescent="0.25">
      <c r="A4198" s="1" t="str">
        <f t="shared" si="1342"/>
        <v>卡卡杜-凤凰仓</v>
      </c>
      <c r="B4198" s="1" t="str">
        <f>"CK20241022478"</f>
        <v>CK20241022478</v>
      </c>
      <c r="C4198" s="1" t="str">
        <f>"DD2024102255543"</f>
        <v>DD2024102255543</v>
      </c>
      <c r="D4198" s="1" t="str">
        <f>"CK2024102250696"</f>
        <v>CK2024102250696</v>
      </c>
      <c r="E4198" s="1" t="str">
        <f>"3723468895988878336"</f>
        <v>3723468895988878336</v>
      </c>
      <c r="F4198" s="1" t="str">
        <f t="shared" si="1343"/>
        <v>花都四部-凤凰仓</v>
      </c>
      <c r="G4198" s="1" t="str">
        <f t="shared" si="1348"/>
        <v>卡卡杜企业店（视频号）</v>
      </c>
      <c r="H4198" s="1" t="str">
        <f t="shared" si="1344"/>
        <v>正常订单</v>
      </c>
      <c r="I4198" s="1" t="str">
        <f t="shared" si="1345"/>
        <v>已发货</v>
      </c>
      <c r="J4198" s="1" t="str">
        <f t="shared" si="1355"/>
        <v>3</v>
      </c>
      <c r="K4198" s="1">
        <v>3</v>
      </c>
      <c r="L4198" s="1" t="s">
        <v>18</v>
      </c>
      <c r="M4198" s="1" t="str">
        <f>"广东省 江门市 江海区 "</f>
        <v xml:space="preserve">广东省 江门市 江海区 </v>
      </c>
      <c r="N4198" s="1" t="str">
        <f t="shared" si="1336"/>
        <v>凡华云仓-城南圆通-微信视频号</v>
      </c>
      <c r="O4198" s="5" t="s">
        <v>4229</v>
      </c>
      <c r="P4198" s="6">
        <v>0.34</v>
      </c>
      <c r="Q4198" s="11">
        <v>2.2999999999999998</v>
      </c>
      <c r="R4198" s="11"/>
      <c r="S4198" s="11"/>
      <c r="T4198" s="11"/>
      <c r="U4198" s="11">
        <f t="shared" si="1341"/>
        <v>2.2999999999999998</v>
      </c>
      <c r="W4198">
        <v>2.5</v>
      </c>
      <c r="X4198" s="1" t="s">
        <v>18</v>
      </c>
    </row>
    <row r="4199" spans="1:24" x14ac:dyDescent="0.25">
      <c r="A4199" s="1" t="str">
        <f t="shared" si="1342"/>
        <v>卡卡杜-凤凰仓</v>
      </c>
      <c r="B4199" s="1" t="str">
        <f>"CK20241022436"</f>
        <v>CK20241022436</v>
      </c>
      <c r="C4199" s="1" t="str">
        <f>"DD2024102254270"</f>
        <v>DD2024102254270</v>
      </c>
      <c r="D4199" s="1" t="str">
        <f>"CK2024102250695"</f>
        <v>CK2024102250695</v>
      </c>
      <c r="E4199" s="1" t="str">
        <f>"3723468897454001153"</f>
        <v>3723468897454001153</v>
      </c>
      <c r="F4199" s="1" t="str">
        <f t="shared" si="1343"/>
        <v>花都四部-凤凰仓</v>
      </c>
      <c r="G4199" s="1" t="str">
        <f t="shared" si="1348"/>
        <v>卡卡杜企业店（视频号）</v>
      </c>
      <c r="H4199" s="1" t="str">
        <f t="shared" si="1344"/>
        <v>正常订单</v>
      </c>
      <c r="I4199" s="1" t="str">
        <f t="shared" si="1345"/>
        <v>已发货</v>
      </c>
      <c r="J4199" s="1" t="str">
        <f t="shared" si="1355"/>
        <v>3</v>
      </c>
      <c r="K4199" s="1">
        <v>3</v>
      </c>
      <c r="L4199" s="1" t="s">
        <v>18</v>
      </c>
      <c r="M4199" s="1" t="str">
        <f>"广东省 深圳市 光明区 "</f>
        <v xml:space="preserve">广东省 深圳市 光明区 </v>
      </c>
      <c r="N4199" s="1" t="str">
        <f t="shared" si="1336"/>
        <v>凡华云仓-城南圆通-微信视频号</v>
      </c>
      <c r="O4199" s="5" t="s">
        <v>4230</v>
      </c>
      <c r="P4199" s="6">
        <v>0.34</v>
      </c>
      <c r="Q4199" s="11">
        <v>2.2999999999999998</v>
      </c>
      <c r="R4199" s="11"/>
      <c r="S4199" s="11"/>
      <c r="T4199" s="11"/>
      <c r="U4199" s="11">
        <f t="shared" si="1341"/>
        <v>2.2999999999999998</v>
      </c>
      <c r="W4199">
        <v>2.5</v>
      </c>
      <c r="X4199" s="1" t="s">
        <v>18</v>
      </c>
    </row>
    <row r="4200" spans="1:24" x14ac:dyDescent="0.25">
      <c r="A4200" s="1" t="str">
        <f t="shared" si="1342"/>
        <v>卡卡杜-凤凰仓</v>
      </c>
      <c r="B4200" s="1" t="str">
        <f>"CK20241022489"</f>
        <v>CK20241022489</v>
      </c>
      <c r="C4200" s="1" t="str">
        <f>"DD2024102255584"</f>
        <v>DD2024102255584</v>
      </c>
      <c r="D4200" s="1" t="str">
        <f>"CK2024102250694"</f>
        <v>CK2024102250694</v>
      </c>
      <c r="E4200" s="1" t="str">
        <f>"3723468895629742080"</f>
        <v>3723468895629742080</v>
      </c>
      <c r="F4200" s="1" t="str">
        <f t="shared" si="1343"/>
        <v>花都四部-凤凰仓</v>
      </c>
      <c r="G4200" s="1" t="str">
        <f t="shared" si="1348"/>
        <v>卡卡杜企业店（视频号）</v>
      </c>
      <c r="H4200" s="1" t="str">
        <f t="shared" si="1344"/>
        <v>正常订单</v>
      </c>
      <c r="I4200" s="1" t="str">
        <f t="shared" si="1345"/>
        <v>已发货</v>
      </c>
      <c r="J4200" s="1" t="str">
        <f>"5"</f>
        <v>5</v>
      </c>
      <c r="K4200" s="1">
        <v>3</v>
      </c>
      <c r="L4200" s="1" t="s">
        <v>161</v>
      </c>
      <c r="M4200" s="1" t="str">
        <f>"四川省 绵阳市 涪城区 "</f>
        <v xml:space="preserve">四川省 绵阳市 涪城区 </v>
      </c>
      <c r="N4200" s="1" t="str">
        <f t="shared" si="1336"/>
        <v>凡华云仓-城南圆通-微信视频号</v>
      </c>
      <c r="O4200" s="5" t="s">
        <v>4231</v>
      </c>
      <c r="P4200" s="6">
        <v>0.56000000000000005</v>
      </c>
      <c r="Q4200" s="11">
        <f>CEILING(P4200-0.5,0.1)*10*0.15+2.3</f>
        <v>2.4499999999999997</v>
      </c>
      <c r="R4200" s="11"/>
      <c r="S4200" s="11"/>
      <c r="T4200" s="11"/>
      <c r="U4200" s="11">
        <f t="shared" si="1341"/>
        <v>2.4499999999999997</v>
      </c>
      <c r="V4200" t="s">
        <v>15</v>
      </c>
      <c r="W4200">
        <v>2.4500000000000002</v>
      </c>
      <c r="X4200" s="1" t="s">
        <v>161</v>
      </c>
    </row>
    <row r="4201" spans="1:24" x14ac:dyDescent="0.25">
      <c r="A4201" s="1" t="str">
        <f t="shared" si="1342"/>
        <v>卡卡杜-凤凰仓</v>
      </c>
      <c r="B4201" s="1" t="str">
        <f>"CK20241022359"</f>
        <v>CK20241022359</v>
      </c>
      <c r="C4201" s="1" t="str">
        <f>"DD2024102254042"</f>
        <v>DD2024102254042</v>
      </c>
      <c r="D4201" s="1" t="str">
        <f>"CK2024102250693"</f>
        <v>CK2024102250693</v>
      </c>
      <c r="E4201" s="1" t="str">
        <f>"3723468894425187840"</f>
        <v>3723468894425187840</v>
      </c>
      <c r="F4201" s="1" t="str">
        <f t="shared" si="1343"/>
        <v>花都四部-凤凰仓</v>
      </c>
      <c r="G4201" s="1" t="str">
        <f t="shared" si="1348"/>
        <v>卡卡杜企业店（视频号）</v>
      </c>
      <c r="H4201" s="1" t="str">
        <f t="shared" si="1344"/>
        <v>正常订单</v>
      </c>
      <c r="I4201" s="1" t="str">
        <f t="shared" si="1345"/>
        <v>已发货</v>
      </c>
      <c r="J4201" s="1" t="str">
        <f t="shared" ref="J4201:J4205" si="1356">"3"</f>
        <v>3</v>
      </c>
      <c r="K4201" s="1">
        <v>3</v>
      </c>
      <c r="L4201" s="1" t="s">
        <v>105</v>
      </c>
      <c r="M4201" s="1" t="str">
        <f>"北京 北京市 丰台区 "</f>
        <v xml:space="preserve">北京 北京市 丰台区 </v>
      </c>
      <c r="N4201" s="1" t="str">
        <f t="shared" si="1336"/>
        <v>凡华云仓-城南圆通-微信视频号</v>
      </c>
      <c r="O4201" s="5" t="s">
        <v>4232</v>
      </c>
      <c r="P4201" s="6">
        <v>0.34</v>
      </c>
      <c r="Q4201" s="11">
        <v>2.2999999999999998</v>
      </c>
      <c r="R4201" s="11"/>
      <c r="S4201" s="11"/>
      <c r="T4201" s="11"/>
      <c r="U4201" s="11">
        <f t="shared" si="1341"/>
        <v>2.2999999999999998</v>
      </c>
      <c r="W4201">
        <v>2.5</v>
      </c>
      <c r="X4201" s="1" t="s">
        <v>105</v>
      </c>
    </row>
    <row r="4202" spans="1:24" x14ac:dyDescent="0.25">
      <c r="A4202" s="1" t="str">
        <f t="shared" si="1342"/>
        <v>卡卡杜-凤凰仓</v>
      </c>
      <c r="B4202" s="1" t="str">
        <f>"CK20241022360"</f>
        <v>CK20241022360</v>
      </c>
      <c r="C4202" s="1" t="str">
        <f>"DD2024102254045"</f>
        <v>DD2024102254045</v>
      </c>
      <c r="D4202" s="1" t="str">
        <f>"CK2024102250692"</f>
        <v>CK2024102250692</v>
      </c>
      <c r="E4202" s="1" t="str">
        <f>"3723468891916469504"</f>
        <v>3723468891916469504</v>
      </c>
      <c r="F4202" s="1" t="str">
        <f t="shared" si="1343"/>
        <v>花都四部-凤凰仓</v>
      </c>
      <c r="G4202" s="1" t="str">
        <f t="shared" si="1348"/>
        <v>卡卡杜企业店（视频号）</v>
      </c>
      <c r="H4202" s="1" t="str">
        <f t="shared" si="1344"/>
        <v>正常订单</v>
      </c>
      <c r="I4202" s="1" t="str">
        <f t="shared" si="1345"/>
        <v>已发货</v>
      </c>
      <c r="J4202" s="1" t="str">
        <f t="shared" si="1356"/>
        <v>3</v>
      </c>
      <c r="K4202" s="1">
        <v>3</v>
      </c>
      <c r="L4202" s="1" t="s">
        <v>94</v>
      </c>
      <c r="M4202" s="1" t="str">
        <f>"湖南省 长沙市 芙蓉区 "</f>
        <v xml:space="preserve">湖南省 长沙市 芙蓉区 </v>
      </c>
      <c r="N4202" s="1" t="str">
        <f t="shared" si="1336"/>
        <v>凡华云仓-城南圆通-微信视频号</v>
      </c>
      <c r="O4202" s="5" t="s">
        <v>4233</v>
      </c>
      <c r="P4202" s="6">
        <v>0.34</v>
      </c>
      <c r="Q4202" s="11">
        <v>2.2999999999999998</v>
      </c>
      <c r="R4202" s="11"/>
      <c r="S4202" s="11"/>
      <c r="T4202" s="11"/>
      <c r="U4202" s="11">
        <f t="shared" si="1341"/>
        <v>2.2999999999999998</v>
      </c>
      <c r="W4202">
        <v>2.5</v>
      </c>
      <c r="X4202" s="1" t="s">
        <v>94</v>
      </c>
    </row>
    <row r="4203" spans="1:24" x14ac:dyDescent="0.25">
      <c r="A4203" s="1" t="str">
        <f t="shared" si="1342"/>
        <v>卡卡杜-凤凰仓</v>
      </c>
      <c r="B4203" s="1" t="str">
        <f>"CK20241022361"</f>
        <v>CK20241022361</v>
      </c>
      <c r="C4203" s="1" t="str">
        <f>"DD2024102254049"</f>
        <v>DD2024102254049</v>
      </c>
      <c r="D4203" s="1" t="str">
        <f>"CK2024102250691"</f>
        <v>CK2024102250691</v>
      </c>
      <c r="E4203" s="1" t="str">
        <f>"3723468872102577664"</f>
        <v>3723468872102577664</v>
      </c>
      <c r="F4203" s="1" t="str">
        <f t="shared" si="1343"/>
        <v>花都四部-凤凰仓</v>
      </c>
      <c r="G4203" s="1" t="str">
        <f t="shared" si="1348"/>
        <v>卡卡杜企业店（视频号）</v>
      </c>
      <c r="H4203" s="1" t="str">
        <f t="shared" si="1344"/>
        <v>正常订单</v>
      </c>
      <c r="I4203" s="1" t="str">
        <f t="shared" si="1345"/>
        <v>已发货</v>
      </c>
      <c r="J4203" s="1" t="str">
        <f>"5"</f>
        <v>5</v>
      </c>
      <c r="K4203" s="1">
        <v>3</v>
      </c>
      <c r="L4203" s="1" t="s">
        <v>47</v>
      </c>
      <c r="M4203" s="1" t="str">
        <f>"重庆 重庆市 渝北区 "</f>
        <v xml:space="preserve">重庆 重庆市 渝北区 </v>
      </c>
      <c r="N4203" s="1" t="str">
        <f t="shared" si="1336"/>
        <v>凡华云仓-城南圆通-微信视频号</v>
      </c>
      <c r="O4203" s="5" t="s">
        <v>4234</v>
      </c>
      <c r="P4203" s="6">
        <v>0.56000000000000005</v>
      </c>
      <c r="Q4203" s="11">
        <f>CEILING(P4203-0.5,0.1)*10*0.15+2.3</f>
        <v>2.4499999999999997</v>
      </c>
      <c r="R4203" s="11"/>
      <c r="S4203" s="11"/>
      <c r="T4203" s="11"/>
      <c r="U4203" s="11">
        <f t="shared" si="1341"/>
        <v>2.4499999999999997</v>
      </c>
      <c r="V4203" t="s">
        <v>15</v>
      </c>
      <c r="W4203">
        <v>2.4500000000000002</v>
      </c>
      <c r="X4203" s="1" t="s">
        <v>47</v>
      </c>
    </row>
    <row r="4204" spans="1:24" x14ac:dyDescent="0.25">
      <c r="A4204" s="1" t="str">
        <f t="shared" si="1342"/>
        <v>卡卡杜-凤凰仓</v>
      </c>
      <c r="B4204" s="1" t="str">
        <f>"CK20241022362"</f>
        <v>CK20241022362</v>
      </c>
      <c r="C4204" s="1" t="str">
        <f>"DD2024102254044"</f>
        <v>DD2024102254044</v>
      </c>
      <c r="D4204" s="1" t="str">
        <f>"CK2024102250690"</f>
        <v>CK2024102250690</v>
      </c>
      <c r="E4204" s="1" t="str">
        <f>"3723468871442502656"</f>
        <v>3723468871442502656</v>
      </c>
      <c r="F4204" s="1" t="str">
        <f t="shared" si="1343"/>
        <v>花都四部-凤凰仓</v>
      </c>
      <c r="G4204" s="1" t="str">
        <f t="shared" si="1348"/>
        <v>卡卡杜企业店（视频号）</v>
      </c>
      <c r="H4204" s="1" t="str">
        <f t="shared" si="1344"/>
        <v>正常订单</v>
      </c>
      <c r="I4204" s="1" t="str">
        <f t="shared" si="1345"/>
        <v>已发货</v>
      </c>
      <c r="J4204" s="1" t="str">
        <f t="shared" si="1356"/>
        <v>3</v>
      </c>
      <c r="K4204" s="1">
        <v>3</v>
      </c>
      <c r="L4204" s="1" t="s">
        <v>18</v>
      </c>
      <c r="M4204" s="1" t="str">
        <f>"广东省 江门市 蓬江区 "</f>
        <v xml:space="preserve">广东省 江门市 蓬江区 </v>
      </c>
      <c r="N4204" s="1" t="str">
        <f t="shared" si="1336"/>
        <v>凡华云仓-城南圆通-微信视频号</v>
      </c>
      <c r="O4204" s="5" t="s">
        <v>4235</v>
      </c>
      <c r="P4204" s="6">
        <v>0.34</v>
      </c>
      <c r="Q4204" s="11">
        <v>2.2999999999999998</v>
      </c>
      <c r="R4204" s="11"/>
      <c r="S4204" s="11"/>
      <c r="T4204" s="11"/>
      <c r="U4204" s="11">
        <f t="shared" si="1341"/>
        <v>2.2999999999999998</v>
      </c>
      <c r="W4204">
        <v>2.5</v>
      </c>
      <c r="X4204" s="1" t="s">
        <v>18</v>
      </c>
    </row>
    <row r="4205" spans="1:24" x14ac:dyDescent="0.25">
      <c r="A4205" s="1" t="str">
        <f t="shared" si="1342"/>
        <v>卡卡杜-凤凰仓</v>
      </c>
      <c r="B4205" s="1" t="str">
        <f>"CK20241022363"</f>
        <v>CK20241022363</v>
      </c>
      <c r="C4205" s="1" t="str">
        <f>"DD2024102254041"</f>
        <v>DD2024102254041</v>
      </c>
      <c r="D4205" s="1" t="str">
        <f>"CK2024102250689"</f>
        <v>CK2024102250689</v>
      </c>
      <c r="E4205" s="1" t="str">
        <f>"3723468851180342272"</f>
        <v>3723468851180342272</v>
      </c>
      <c r="F4205" s="1" t="str">
        <f t="shared" si="1343"/>
        <v>花都四部-凤凰仓</v>
      </c>
      <c r="G4205" s="1" t="str">
        <f t="shared" si="1348"/>
        <v>卡卡杜企业店（视频号）</v>
      </c>
      <c r="H4205" s="1" t="str">
        <f t="shared" si="1344"/>
        <v>正常订单</v>
      </c>
      <c r="I4205" s="1" t="str">
        <f t="shared" si="1345"/>
        <v>已发货</v>
      </c>
      <c r="J4205" s="1" t="str">
        <f t="shared" si="1356"/>
        <v>3</v>
      </c>
      <c r="K4205" s="1">
        <v>3</v>
      </c>
      <c r="L4205" s="1" t="s">
        <v>66</v>
      </c>
      <c r="M4205" s="1" t="str">
        <f>"内蒙古自治区 呼和浩特市 新城区 "</f>
        <v xml:space="preserve">内蒙古自治区 呼和浩特市 新城区 </v>
      </c>
      <c r="N4205" s="1" t="str">
        <f t="shared" si="1336"/>
        <v>凡华云仓-城南圆通-微信视频号</v>
      </c>
      <c r="O4205" s="5" t="s">
        <v>4236</v>
      </c>
      <c r="P4205" s="6">
        <v>0.34</v>
      </c>
      <c r="Q4205" s="11">
        <v>2.2999999999999998</v>
      </c>
      <c r="R4205" s="11"/>
      <c r="S4205" s="11"/>
      <c r="T4205" s="11"/>
      <c r="U4205" s="11">
        <f t="shared" si="1341"/>
        <v>2.2999999999999998</v>
      </c>
      <c r="W4205">
        <v>2.5</v>
      </c>
      <c r="X4205" s="1" t="s">
        <v>66</v>
      </c>
    </row>
    <row r="4206" spans="1:24" x14ac:dyDescent="0.25">
      <c r="A4206" s="1" t="str">
        <f t="shared" si="1342"/>
        <v>卡卡杜-凤凰仓</v>
      </c>
      <c r="B4206" s="1" t="str">
        <f>"CK20241022364"</f>
        <v>CK20241022364</v>
      </c>
      <c r="C4206" s="1" t="str">
        <f>"DD2024102254054"</f>
        <v>DD2024102254054</v>
      </c>
      <c r="D4206" s="1" t="str">
        <f>"CK2024102250688"</f>
        <v>CK2024102250688</v>
      </c>
      <c r="E4206" s="1" t="str">
        <f>"3723468814233244673"</f>
        <v>3723468814233244673</v>
      </c>
      <c r="F4206" s="1" t="str">
        <f t="shared" si="1343"/>
        <v>花都四部-凤凰仓</v>
      </c>
      <c r="G4206" s="1" t="str">
        <f t="shared" si="1348"/>
        <v>卡卡杜企业店（视频号）</v>
      </c>
      <c r="H4206" s="1" t="str">
        <f t="shared" si="1344"/>
        <v>正常订单</v>
      </c>
      <c r="I4206" s="1" t="str">
        <f t="shared" si="1345"/>
        <v>已发货</v>
      </c>
      <c r="J4206" s="1" t="str">
        <f>"7"</f>
        <v>7</v>
      </c>
      <c r="K4206" s="1">
        <v>5</v>
      </c>
      <c r="L4206" s="1" t="s">
        <v>74</v>
      </c>
      <c r="M4206" s="1" t="str">
        <f>"上海 上海市 普陀区 "</f>
        <v xml:space="preserve">上海 上海市 普陀区 </v>
      </c>
      <c r="N4206" s="1" t="str">
        <f t="shared" si="1336"/>
        <v>凡华云仓-城南圆通-微信视频号</v>
      </c>
      <c r="O4206" s="5" t="s">
        <v>4237</v>
      </c>
      <c r="P4206" s="6">
        <v>0.62</v>
      </c>
      <c r="Q4206" s="11">
        <f>CEILING(P4206-0.5,0.1)*10*0.15+2.3</f>
        <v>2.5999999999999996</v>
      </c>
      <c r="R4206" s="11">
        <f>(K4206-3)*0.1</f>
        <v>0.2</v>
      </c>
      <c r="S4206" s="11"/>
      <c r="T4206" s="11"/>
      <c r="U4206" s="11">
        <f t="shared" si="1341"/>
        <v>2.8</v>
      </c>
      <c r="V4206" t="s">
        <v>15</v>
      </c>
      <c r="W4206">
        <v>2.8</v>
      </c>
      <c r="X4206" s="1" t="s">
        <v>74</v>
      </c>
    </row>
    <row r="4207" spans="1:24" x14ac:dyDescent="0.25">
      <c r="A4207" s="1" t="str">
        <f t="shared" si="1342"/>
        <v>卡卡杜-凤凰仓</v>
      </c>
      <c r="B4207" s="1" t="str">
        <f>"CK20241022992"</f>
        <v>CK20241022992</v>
      </c>
      <c r="C4207" s="1" t="str">
        <f>"DD2024102257808"</f>
        <v>DD2024102257808</v>
      </c>
      <c r="D4207" s="1" t="str">
        <f>"CK2024102250687"</f>
        <v>CK2024102250687</v>
      </c>
      <c r="E4207" s="1" t="str">
        <f>"3723468829880882176"</f>
        <v>3723468829880882176</v>
      </c>
      <c r="F4207" s="1" t="str">
        <f t="shared" si="1343"/>
        <v>花都四部-凤凰仓</v>
      </c>
      <c r="G4207" s="1" t="str">
        <f t="shared" si="1348"/>
        <v>卡卡杜企业店（视频号）</v>
      </c>
      <c r="H4207" s="1" t="str">
        <f t="shared" si="1344"/>
        <v>正常订单</v>
      </c>
      <c r="I4207" s="1" t="str">
        <f t="shared" si="1345"/>
        <v>已发货</v>
      </c>
      <c r="J4207" s="1" t="str">
        <f>"3"</f>
        <v>3</v>
      </c>
      <c r="K4207" s="1">
        <v>2</v>
      </c>
      <c r="L4207" s="1" t="s">
        <v>92</v>
      </c>
      <c r="M4207" s="1" t="str">
        <f>"辽宁省 沈阳市 浑南区 "</f>
        <v xml:space="preserve">辽宁省 沈阳市 浑南区 </v>
      </c>
      <c r="N4207" s="1" t="str">
        <f t="shared" si="1336"/>
        <v>凡华云仓-城南圆通-微信视频号</v>
      </c>
      <c r="O4207" s="5" t="s">
        <v>4238</v>
      </c>
      <c r="P4207" s="6">
        <v>0.24</v>
      </c>
      <c r="Q4207" s="11">
        <v>2</v>
      </c>
      <c r="R4207" s="11"/>
      <c r="S4207" s="11"/>
      <c r="T4207" s="11"/>
      <c r="U4207" s="11">
        <f t="shared" si="1341"/>
        <v>2</v>
      </c>
      <c r="W4207">
        <v>2.2000000000000002</v>
      </c>
      <c r="X4207" s="1" t="s">
        <v>92</v>
      </c>
    </row>
    <row r="4208" spans="1:24" x14ac:dyDescent="0.25">
      <c r="A4208" s="1" t="str">
        <f t="shared" si="1342"/>
        <v>卡卡杜-凤凰仓</v>
      </c>
      <c r="B4208" s="1" t="str">
        <f>"CK20241022699"</f>
        <v>CK20241022699</v>
      </c>
      <c r="C4208" s="1" t="str">
        <f>"DD2024102257002"</f>
        <v>DD2024102257002</v>
      </c>
      <c r="D4208" s="1" t="str">
        <f>"CK2024102250686"</f>
        <v>CK2024102250686</v>
      </c>
      <c r="E4208" s="1" t="str">
        <f>"3723468805692068864"</f>
        <v>3723468805692068864</v>
      </c>
      <c r="F4208" s="1" t="str">
        <f t="shared" si="1343"/>
        <v>花都四部-凤凰仓</v>
      </c>
      <c r="G4208" s="1" t="str">
        <f t="shared" si="1348"/>
        <v>卡卡杜企业店（视频号）</v>
      </c>
      <c r="H4208" s="1" t="str">
        <f t="shared" si="1344"/>
        <v>正常订单</v>
      </c>
      <c r="I4208" s="1" t="str">
        <f t="shared" si="1345"/>
        <v>已发货</v>
      </c>
      <c r="J4208" s="1" t="str">
        <f t="shared" ref="J4208:J4210" si="1357">"2"</f>
        <v>2</v>
      </c>
      <c r="K4208" s="1">
        <v>2</v>
      </c>
      <c r="L4208" s="1" t="s">
        <v>18</v>
      </c>
      <c r="M4208" s="1" t="str">
        <f>"广东省 东莞市 寮步镇 "</f>
        <v xml:space="preserve">广东省 东莞市 寮步镇 </v>
      </c>
      <c r="N4208" s="1" t="str">
        <f t="shared" si="1336"/>
        <v>凡华云仓-城南圆通-微信视频号</v>
      </c>
      <c r="O4208" s="5" t="s">
        <v>4239</v>
      </c>
      <c r="P4208" s="6">
        <v>0.17</v>
      </c>
      <c r="Q4208" s="11">
        <v>2</v>
      </c>
      <c r="R4208" s="11"/>
      <c r="S4208" s="11"/>
      <c r="T4208" s="11"/>
      <c r="U4208" s="11">
        <f t="shared" si="1341"/>
        <v>2</v>
      </c>
      <c r="W4208">
        <v>2.2000000000000002</v>
      </c>
      <c r="X4208" s="1" t="s">
        <v>18</v>
      </c>
    </row>
    <row r="4209" spans="1:24" x14ac:dyDescent="0.25">
      <c r="A4209" s="1" t="str">
        <f t="shared" si="1342"/>
        <v>卡卡杜-凤凰仓</v>
      </c>
      <c r="B4209" s="1" t="str">
        <f>"CK20241022726"</f>
        <v>CK20241022726</v>
      </c>
      <c r="C4209" s="1" t="str">
        <f>"DD2024102257029"</f>
        <v>DD2024102257029</v>
      </c>
      <c r="D4209" s="1" t="str">
        <f>"CK2024102250685"</f>
        <v>CK2024102250685</v>
      </c>
      <c r="E4209" s="1" t="str">
        <f>"3723468804791077890"</f>
        <v>3723468804791077890</v>
      </c>
      <c r="F4209" s="1" t="str">
        <f t="shared" si="1343"/>
        <v>花都四部-凤凰仓</v>
      </c>
      <c r="G4209" s="1" t="str">
        <f t="shared" si="1348"/>
        <v>卡卡杜企业店（视频号）</v>
      </c>
      <c r="H4209" s="1" t="str">
        <f t="shared" si="1344"/>
        <v>正常订单</v>
      </c>
      <c r="I4209" s="1" t="str">
        <f t="shared" si="1345"/>
        <v>已发货</v>
      </c>
      <c r="J4209" s="1" t="str">
        <f t="shared" si="1357"/>
        <v>2</v>
      </c>
      <c r="K4209" s="1">
        <v>2</v>
      </c>
      <c r="L4209" s="1" t="s">
        <v>54</v>
      </c>
      <c r="M4209" s="1" t="str">
        <f>"黑龙江省 哈尔滨市 道里区 "</f>
        <v xml:space="preserve">黑龙江省 哈尔滨市 道里区 </v>
      </c>
      <c r="N4209" s="1" t="str">
        <f t="shared" ref="N4209:N4272" si="1358">"凡华云仓-城南圆通-微信视频号"</f>
        <v>凡华云仓-城南圆通-微信视频号</v>
      </c>
      <c r="O4209" s="5" t="s">
        <v>4240</v>
      </c>
      <c r="P4209" s="6">
        <v>0.17</v>
      </c>
      <c r="Q4209" s="11">
        <v>2</v>
      </c>
      <c r="R4209" s="11"/>
      <c r="S4209" s="11"/>
      <c r="T4209" s="11"/>
      <c r="U4209" s="11">
        <f t="shared" si="1341"/>
        <v>2</v>
      </c>
      <c r="W4209">
        <v>2.2000000000000002</v>
      </c>
      <c r="X4209" s="1" t="s">
        <v>54</v>
      </c>
    </row>
    <row r="4210" spans="1:24" x14ac:dyDescent="0.25">
      <c r="A4210" s="1" t="str">
        <f t="shared" si="1342"/>
        <v>卡卡杜-凤凰仓</v>
      </c>
      <c r="B4210" s="1" t="str">
        <f>"CK20241022778"</f>
        <v>CK20241022778</v>
      </c>
      <c r="C4210" s="1" t="str">
        <f>"DD2024102257080"</f>
        <v>DD2024102257080</v>
      </c>
      <c r="D4210" s="1" t="str">
        <f>"CK2024102250684"</f>
        <v>CK2024102250684</v>
      </c>
      <c r="E4210" s="1" t="str">
        <f>"3723468798069704192"</f>
        <v>3723468798069704192</v>
      </c>
      <c r="F4210" s="1" t="str">
        <f t="shared" si="1343"/>
        <v>花都四部-凤凰仓</v>
      </c>
      <c r="G4210" s="1" t="str">
        <f t="shared" si="1348"/>
        <v>卡卡杜企业店（视频号）</v>
      </c>
      <c r="H4210" s="1" t="str">
        <f t="shared" si="1344"/>
        <v>正常订单</v>
      </c>
      <c r="I4210" s="1" t="str">
        <f t="shared" si="1345"/>
        <v>已发货</v>
      </c>
      <c r="J4210" s="1" t="str">
        <f t="shared" si="1357"/>
        <v>2</v>
      </c>
      <c r="K4210" s="1">
        <v>2</v>
      </c>
      <c r="L4210" s="1" t="s">
        <v>27</v>
      </c>
      <c r="M4210" s="1" t="str">
        <f>"贵州省 贵阳市 乌当区 "</f>
        <v xml:space="preserve">贵州省 贵阳市 乌当区 </v>
      </c>
      <c r="N4210" s="1" t="str">
        <f t="shared" si="1358"/>
        <v>凡华云仓-城南圆通-微信视频号</v>
      </c>
      <c r="O4210" s="5" t="s">
        <v>4241</v>
      </c>
      <c r="P4210" s="6">
        <v>0.17</v>
      </c>
      <c r="Q4210" s="11">
        <v>2</v>
      </c>
      <c r="R4210" s="11"/>
      <c r="S4210" s="11"/>
      <c r="T4210" s="11"/>
      <c r="U4210" s="11">
        <f t="shared" si="1341"/>
        <v>2</v>
      </c>
      <c r="W4210">
        <v>2.2000000000000002</v>
      </c>
      <c r="X4210" s="1" t="s">
        <v>27</v>
      </c>
    </row>
    <row r="4211" spans="1:24" x14ac:dyDescent="0.25">
      <c r="A4211" s="1" t="str">
        <f t="shared" si="1342"/>
        <v>卡卡杜-凤凰仓</v>
      </c>
      <c r="B4211" s="1" t="str">
        <f>"CK20241022961"</f>
        <v>CK20241022961</v>
      </c>
      <c r="C4211" s="1" t="str">
        <f>"DD2024102257716"</f>
        <v>DD2024102257716</v>
      </c>
      <c r="D4211" s="1" t="str">
        <f>"CK2024102250683"</f>
        <v>CK2024102250683</v>
      </c>
      <c r="E4211" s="1" t="str">
        <f>"3723468799391696384"</f>
        <v>3723468799391696384</v>
      </c>
      <c r="F4211" s="1" t="str">
        <f t="shared" si="1343"/>
        <v>花都四部-凤凰仓</v>
      </c>
      <c r="G4211" s="1" t="str">
        <f t="shared" si="1348"/>
        <v>卡卡杜企业店（视频号）</v>
      </c>
      <c r="H4211" s="1" t="str">
        <f t="shared" si="1344"/>
        <v>正常订单</v>
      </c>
      <c r="I4211" s="1" t="str">
        <f t="shared" si="1345"/>
        <v>已发货</v>
      </c>
      <c r="J4211" s="1" t="str">
        <f>"3"</f>
        <v>3</v>
      </c>
      <c r="K4211" s="1">
        <v>2</v>
      </c>
      <c r="L4211" s="1" t="s">
        <v>74</v>
      </c>
      <c r="M4211" s="1" t="str">
        <f>"上海 上海市 静安区 "</f>
        <v xml:space="preserve">上海 上海市 静安区 </v>
      </c>
      <c r="N4211" s="1" t="str">
        <f t="shared" si="1358"/>
        <v>凡华云仓-城南圆通-微信视频号</v>
      </c>
      <c r="O4211" s="5" t="s">
        <v>4242</v>
      </c>
      <c r="P4211" s="6">
        <v>0.24</v>
      </c>
      <c r="Q4211" s="11">
        <v>2</v>
      </c>
      <c r="R4211" s="11"/>
      <c r="S4211" s="11"/>
      <c r="T4211" s="11"/>
      <c r="U4211" s="11">
        <f t="shared" si="1341"/>
        <v>2</v>
      </c>
      <c r="W4211">
        <v>2.2000000000000002</v>
      </c>
      <c r="X4211" s="1" t="s">
        <v>74</v>
      </c>
    </row>
    <row r="4212" spans="1:24" x14ac:dyDescent="0.25">
      <c r="A4212" s="1" t="str">
        <f t="shared" si="1342"/>
        <v>卡卡杜-凤凰仓</v>
      </c>
      <c r="B4212" s="1" t="str">
        <f>"CK20241022771"</f>
        <v>CK20241022771</v>
      </c>
      <c r="C4212" s="1" t="str">
        <f>"DD2024102257074"</f>
        <v>DD2024102257074</v>
      </c>
      <c r="D4212" s="1" t="str">
        <f>"CK2024102250682"</f>
        <v>CK2024102250682</v>
      </c>
      <c r="E4212" s="1" t="str">
        <f>"3723468797956983808"</f>
        <v>3723468797956983808</v>
      </c>
      <c r="F4212" s="1" t="str">
        <f t="shared" si="1343"/>
        <v>花都四部-凤凰仓</v>
      </c>
      <c r="G4212" s="1" t="str">
        <f t="shared" si="1348"/>
        <v>卡卡杜企业店（视频号）</v>
      </c>
      <c r="H4212" s="1" t="str">
        <f t="shared" si="1344"/>
        <v>正常订单</v>
      </c>
      <c r="I4212" s="1" t="str">
        <f t="shared" si="1345"/>
        <v>已发货</v>
      </c>
      <c r="J4212" s="1" t="str">
        <f t="shared" ref="J4212:J4215" si="1359">"2"</f>
        <v>2</v>
      </c>
      <c r="K4212" s="1">
        <v>2</v>
      </c>
      <c r="L4212" s="1" t="s">
        <v>60</v>
      </c>
      <c r="M4212" s="1" t="str">
        <f>"云南省 红河哈尼族彝族自治州 个旧市 "</f>
        <v xml:space="preserve">云南省 红河哈尼族彝族自治州 个旧市 </v>
      </c>
      <c r="N4212" s="1" t="str">
        <f t="shared" si="1358"/>
        <v>凡华云仓-城南圆通-微信视频号</v>
      </c>
      <c r="O4212" s="5" t="s">
        <v>4243</v>
      </c>
      <c r="P4212" s="6">
        <v>0.17</v>
      </c>
      <c r="Q4212" s="11">
        <v>2</v>
      </c>
      <c r="R4212" s="11"/>
      <c r="S4212" s="11"/>
      <c r="T4212" s="11"/>
      <c r="U4212" s="11">
        <f t="shared" si="1341"/>
        <v>2</v>
      </c>
      <c r="W4212">
        <v>2.2000000000000002</v>
      </c>
      <c r="X4212" s="1" t="s">
        <v>60</v>
      </c>
    </row>
    <row r="4213" spans="1:24" x14ac:dyDescent="0.25">
      <c r="A4213" s="1" t="str">
        <f t="shared" si="1342"/>
        <v>卡卡杜-凤凰仓</v>
      </c>
      <c r="B4213" s="1" t="str">
        <f>"CK20241022802"</f>
        <v>CK20241022802</v>
      </c>
      <c r="C4213" s="1" t="str">
        <f>"DD2024102257150"</f>
        <v>DD2024102257150</v>
      </c>
      <c r="D4213" s="1" t="str">
        <f>"CK2024102250681"</f>
        <v>CK2024102250681</v>
      </c>
      <c r="E4213" s="1" t="str">
        <f>"3723468780063294976"</f>
        <v>3723468780063294976</v>
      </c>
      <c r="F4213" s="1" t="str">
        <f t="shared" si="1343"/>
        <v>花都四部-凤凰仓</v>
      </c>
      <c r="G4213" s="1" t="str">
        <f t="shared" si="1348"/>
        <v>卡卡杜企业店（视频号）</v>
      </c>
      <c r="H4213" s="1" t="str">
        <f t="shared" si="1344"/>
        <v>正常订单</v>
      </c>
      <c r="I4213" s="1" t="str">
        <f t="shared" si="1345"/>
        <v>已发货</v>
      </c>
      <c r="J4213" s="1" t="str">
        <f t="shared" si="1359"/>
        <v>2</v>
      </c>
      <c r="K4213" s="1">
        <v>2</v>
      </c>
      <c r="L4213" s="1" t="s">
        <v>18</v>
      </c>
      <c r="M4213" s="1" t="str">
        <f>"广东省 深圳市 罗湖区 "</f>
        <v xml:space="preserve">广东省 深圳市 罗湖区 </v>
      </c>
      <c r="N4213" s="1" t="str">
        <f t="shared" si="1358"/>
        <v>凡华云仓-城南圆通-微信视频号</v>
      </c>
      <c r="O4213" s="5" t="s">
        <v>4244</v>
      </c>
      <c r="P4213" s="6">
        <v>0.17</v>
      </c>
      <c r="Q4213" s="11">
        <v>2</v>
      </c>
      <c r="R4213" s="11"/>
      <c r="S4213" s="11"/>
      <c r="T4213" s="11"/>
      <c r="U4213" s="11">
        <f t="shared" si="1341"/>
        <v>2</v>
      </c>
      <c r="W4213">
        <v>2.2000000000000002</v>
      </c>
      <c r="X4213" s="1" t="s">
        <v>18</v>
      </c>
    </row>
    <row r="4214" spans="1:24" x14ac:dyDescent="0.25">
      <c r="A4214" s="1" t="str">
        <f t="shared" si="1342"/>
        <v>卡卡杜-凤凰仓</v>
      </c>
      <c r="B4214" s="1" t="str">
        <f>"CK20241022770"</f>
        <v>CK20241022770</v>
      </c>
      <c r="C4214" s="1" t="str">
        <f>"DD2024102257075"</f>
        <v>DD2024102257075</v>
      </c>
      <c r="D4214" s="1" t="str">
        <f>"CK2024102250680"</f>
        <v>CK2024102250680</v>
      </c>
      <c r="E4214" s="1" t="str">
        <f>"3723468793267228673"</f>
        <v>3723468793267228673</v>
      </c>
      <c r="F4214" s="1" t="str">
        <f t="shared" si="1343"/>
        <v>花都四部-凤凰仓</v>
      </c>
      <c r="G4214" s="1" t="str">
        <f t="shared" si="1348"/>
        <v>卡卡杜企业店（视频号）</v>
      </c>
      <c r="H4214" s="1" t="str">
        <f t="shared" si="1344"/>
        <v>正常订单</v>
      </c>
      <c r="I4214" s="1" t="str">
        <f t="shared" si="1345"/>
        <v>已发货</v>
      </c>
      <c r="J4214" s="1" t="str">
        <f t="shared" si="1359"/>
        <v>2</v>
      </c>
      <c r="K4214" s="1">
        <v>2</v>
      </c>
      <c r="L4214" s="1" t="s">
        <v>32</v>
      </c>
      <c r="M4214" s="1" t="str">
        <f>"陕西省 西安市 灞桥区 "</f>
        <v xml:space="preserve">陕西省 西安市 灞桥区 </v>
      </c>
      <c r="N4214" s="1" t="str">
        <f t="shared" si="1358"/>
        <v>凡华云仓-城南圆通-微信视频号</v>
      </c>
      <c r="O4214" s="5" t="s">
        <v>4245</v>
      </c>
      <c r="P4214" s="6">
        <v>0.17</v>
      </c>
      <c r="Q4214" s="11">
        <v>2</v>
      </c>
      <c r="R4214" s="11"/>
      <c r="S4214" s="11"/>
      <c r="T4214" s="11"/>
      <c r="U4214" s="11">
        <f t="shared" si="1341"/>
        <v>2</v>
      </c>
      <c r="W4214">
        <v>2.2000000000000002</v>
      </c>
      <c r="X4214" s="1" t="s">
        <v>32</v>
      </c>
    </row>
    <row r="4215" spans="1:24" x14ac:dyDescent="0.25">
      <c r="A4215" s="1" t="str">
        <f t="shared" si="1342"/>
        <v>卡卡杜-凤凰仓</v>
      </c>
      <c r="B4215" s="1" t="str">
        <f>"CK20241022779"</f>
        <v>CK20241022779</v>
      </c>
      <c r="C4215" s="1" t="str">
        <f>"DD2024102257082"</f>
        <v>DD2024102257082</v>
      </c>
      <c r="D4215" s="1" t="str">
        <f>"CK2024102250679"</f>
        <v>CK2024102250679</v>
      </c>
      <c r="E4215" s="1" t="str">
        <f>"3723468792181951488"</f>
        <v>3723468792181951488</v>
      </c>
      <c r="F4215" s="1" t="str">
        <f t="shared" si="1343"/>
        <v>花都四部-凤凰仓</v>
      </c>
      <c r="G4215" s="1" t="str">
        <f t="shared" si="1348"/>
        <v>卡卡杜企业店（视频号）</v>
      </c>
      <c r="H4215" s="1" t="str">
        <f t="shared" si="1344"/>
        <v>正常订单</v>
      </c>
      <c r="I4215" s="1" t="str">
        <f t="shared" si="1345"/>
        <v>已发货</v>
      </c>
      <c r="J4215" s="1" t="str">
        <f t="shared" si="1359"/>
        <v>2</v>
      </c>
      <c r="K4215" s="1">
        <v>2</v>
      </c>
      <c r="L4215" s="1" t="s">
        <v>18</v>
      </c>
      <c r="M4215" s="1" t="str">
        <f>"广东省 广州市 海珠区 "</f>
        <v xml:space="preserve">广东省 广州市 海珠区 </v>
      </c>
      <c r="N4215" s="1" t="str">
        <f t="shared" si="1358"/>
        <v>凡华云仓-城南圆通-微信视频号</v>
      </c>
      <c r="O4215" s="5" t="s">
        <v>4246</v>
      </c>
      <c r="P4215" s="6">
        <v>0.17</v>
      </c>
      <c r="Q4215" s="11">
        <v>2</v>
      </c>
      <c r="R4215" s="11"/>
      <c r="S4215" s="11"/>
      <c r="T4215" s="11"/>
      <c r="U4215" s="11">
        <f t="shared" si="1341"/>
        <v>2</v>
      </c>
      <c r="W4215">
        <v>2.2000000000000002</v>
      </c>
      <c r="X4215" s="1" t="s">
        <v>18</v>
      </c>
    </row>
    <row r="4216" spans="1:24" x14ac:dyDescent="0.25">
      <c r="A4216" s="1" t="str">
        <f t="shared" si="1342"/>
        <v>卡卡杜-凤凰仓</v>
      </c>
      <c r="B4216" s="1" t="str">
        <f>"CK20241022963"</f>
        <v>CK20241022963</v>
      </c>
      <c r="C4216" s="1" t="str">
        <f>"DD2024102257724"</f>
        <v>DD2024102257724</v>
      </c>
      <c r="D4216" s="1" t="str">
        <f>"CK2024102250678"</f>
        <v>CK2024102250678</v>
      </c>
      <c r="E4216" s="1" t="str">
        <f>"3723468785366471680"</f>
        <v>3723468785366471680</v>
      </c>
      <c r="F4216" s="1" t="str">
        <f t="shared" si="1343"/>
        <v>花都四部-凤凰仓</v>
      </c>
      <c r="G4216" s="1" t="str">
        <f t="shared" si="1348"/>
        <v>卡卡杜企业店（视频号）</v>
      </c>
      <c r="H4216" s="1" t="str">
        <f t="shared" si="1344"/>
        <v>正常订单</v>
      </c>
      <c r="I4216" s="1" t="str">
        <f t="shared" si="1345"/>
        <v>已发货</v>
      </c>
      <c r="J4216" s="1" t="str">
        <f>"3"</f>
        <v>3</v>
      </c>
      <c r="K4216" s="1">
        <v>2</v>
      </c>
      <c r="L4216" s="1" t="s">
        <v>74</v>
      </c>
      <c r="M4216" s="1" t="str">
        <f>"上海 上海市 嘉定区 "</f>
        <v xml:space="preserve">上海 上海市 嘉定区 </v>
      </c>
      <c r="N4216" s="1" t="str">
        <f t="shared" si="1358"/>
        <v>凡华云仓-城南圆通-微信视频号</v>
      </c>
      <c r="O4216" s="5" t="s">
        <v>4247</v>
      </c>
      <c r="P4216" s="6">
        <v>0.24</v>
      </c>
      <c r="Q4216" s="11">
        <v>2</v>
      </c>
      <c r="R4216" s="11"/>
      <c r="S4216" s="11"/>
      <c r="T4216" s="11"/>
      <c r="U4216" s="11">
        <f t="shared" si="1341"/>
        <v>2</v>
      </c>
      <c r="W4216">
        <v>2.2000000000000002</v>
      </c>
      <c r="X4216" s="1" t="s">
        <v>74</v>
      </c>
    </row>
    <row r="4217" spans="1:24" x14ac:dyDescent="0.25">
      <c r="A4217" s="1" t="str">
        <f t="shared" si="1342"/>
        <v>卡卡杜-凤凰仓</v>
      </c>
      <c r="B4217" s="1" t="str">
        <f>"CK20241022964"</f>
        <v>CK20241022964</v>
      </c>
      <c r="C4217" s="1" t="str">
        <f>"DD2024102257725"</f>
        <v>DD2024102257725</v>
      </c>
      <c r="D4217" s="1" t="str">
        <f>"CK2024102250677"</f>
        <v>CK2024102250677</v>
      </c>
      <c r="E4217" s="1" t="str">
        <f>"3723468781078840576"</f>
        <v>3723468781078840576</v>
      </c>
      <c r="F4217" s="1" t="str">
        <f t="shared" si="1343"/>
        <v>花都四部-凤凰仓</v>
      </c>
      <c r="G4217" s="1" t="str">
        <f t="shared" si="1348"/>
        <v>卡卡杜企业店（视频号）</v>
      </c>
      <c r="H4217" s="1" t="str">
        <f t="shared" si="1344"/>
        <v>正常订单</v>
      </c>
      <c r="I4217" s="1" t="str">
        <f t="shared" si="1345"/>
        <v>已发货</v>
      </c>
      <c r="J4217" s="1" t="str">
        <f>"3"</f>
        <v>3</v>
      </c>
      <c r="K4217" s="1">
        <v>2</v>
      </c>
      <c r="L4217" s="1" t="s">
        <v>109</v>
      </c>
      <c r="M4217" s="1" t="str">
        <f>"山西省 太原市 迎泽区 "</f>
        <v xml:space="preserve">山西省 太原市 迎泽区 </v>
      </c>
      <c r="N4217" s="1" t="str">
        <f t="shared" si="1358"/>
        <v>凡华云仓-城南圆通-微信视频号</v>
      </c>
      <c r="O4217" s="5" t="s">
        <v>4248</v>
      </c>
      <c r="P4217" s="6">
        <v>0.24</v>
      </c>
      <c r="Q4217" s="11">
        <v>2</v>
      </c>
      <c r="R4217" s="11"/>
      <c r="S4217" s="11"/>
      <c r="T4217" s="11"/>
      <c r="U4217" s="11">
        <f t="shared" si="1341"/>
        <v>2</v>
      </c>
      <c r="W4217">
        <v>2.2000000000000002</v>
      </c>
      <c r="X4217" s="1" t="s">
        <v>109</v>
      </c>
    </row>
    <row r="4218" spans="1:24" x14ac:dyDescent="0.25">
      <c r="A4218" s="1" t="str">
        <f t="shared" si="1342"/>
        <v>卡卡杜-凤凰仓</v>
      </c>
      <c r="B4218" s="1" t="str">
        <f>"CK20241022946"</f>
        <v>CK20241022946</v>
      </c>
      <c r="C4218" s="1" t="str">
        <f>"DD2024102257676"</f>
        <v>DD2024102257676</v>
      </c>
      <c r="D4218" s="1" t="str">
        <f>"CK2024102250676"</f>
        <v>CK2024102250676</v>
      </c>
      <c r="E4218" s="1" t="str">
        <f>"3723468779206086656"</f>
        <v>3723468779206086656</v>
      </c>
      <c r="F4218" s="1" t="str">
        <f t="shared" si="1343"/>
        <v>花都四部-凤凰仓</v>
      </c>
      <c r="G4218" s="1" t="str">
        <f t="shared" si="1348"/>
        <v>卡卡杜企业店（视频号）</v>
      </c>
      <c r="H4218" s="1" t="str">
        <f t="shared" si="1344"/>
        <v>正常订单</v>
      </c>
      <c r="I4218" s="1" t="str">
        <f t="shared" si="1345"/>
        <v>已发货</v>
      </c>
      <c r="J4218" s="1" t="str">
        <f t="shared" ref="J4218:J4222" si="1360">"2"</f>
        <v>2</v>
      </c>
      <c r="K4218" s="1">
        <v>2</v>
      </c>
      <c r="L4218" s="1" t="s">
        <v>20</v>
      </c>
      <c r="M4218" s="1" t="str">
        <f>"浙江省 杭州市 下城区 "</f>
        <v xml:space="preserve">浙江省 杭州市 下城区 </v>
      </c>
      <c r="N4218" s="1" t="str">
        <f t="shared" si="1358"/>
        <v>凡华云仓-城南圆通-微信视频号</v>
      </c>
      <c r="O4218" s="5" t="s">
        <v>4249</v>
      </c>
      <c r="P4218" s="6">
        <v>0.17</v>
      </c>
      <c r="Q4218" s="11">
        <v>2</v>
      </c>
      <c r="R4218" s="11"/>
      <c r="S4218" s="11"/>
      <c r="T4218" s="11"/>
      <c r="U4218" s="11">
        <f t="shared" si="1341"/>
        <v>2</v>
      </c>
      <c r="W4218">
        <v>2.2000000000000002</v>
      </c>
      <c r="X4218" s="1" t="s">
        <v>20</v>
      </c>
    </row>
    <row r="4219" spans="1:24" x14ac:dyDescent="0.25">
      <c r="A4219" s="1" t="str">
        <f t="shared" si="1342"/>
        <v>卡卡杜-凤凰仓</v>
      </c>
      <c r="B4219" s="1" t="str">
        <f>"CK20241022786"</f>
        <v>CK20241022786</v>
      </c>
      <c r="C4219" s="1" t="str">
        <f>"DD2024102257103"</f>
        <v>DD2024102257103</v>
      </c>
      <c r="D4219" s="1" t="str">
        <f>"CK2024102250675"</f>
        <v>CK2024102250675</v>
      </c>
      <c r="E4219" s="1" t="str">
        <f>"3723468776426310656"</f>
        <v>3723468776426310656</v>
      </c>
      <c r="F4219" s="1" t="str">
        <f t="shared" si="1343"/>
        <v>花都四部-凤凰仓</v>
      </c>
      <c r="G4219" s="1" t="str">
        <f t="shared" si="1348"/>
        <v>卡卡杜企业店（视频号）</v>
      </c>
      <c r="H4219" s="1" t="str">
        <f t="shared" si="1344"/>
        <v>正常订单</v>
      </c>
      <c r="I4219" s="1" t="str">
        <f t="shared" si="1345"/>
        <v>已发货</v>
      </c>
      <c r="J4219" s="1" t="str">
        <f t="shared" si="1360"/>
        <v>2</v>
      </c>
      <c r="K4219" s="1">
        <v>2</v>
      </c>
      <c r="L4219" s="1" t="s">
        <v>105</v>
      </c>
      <c r="M4219" s="1" t="str">
        <f>"北京 北京市 石景山区 "</f>
        <v xml:space="preserve">北京 北京市 石景山区 </v>
      </c>
      <c r="N4219" s="1" t="str">
        <f t="shared" si="1358"/>
        <v>凡华云仓-城南圆通-微信视频号</v>
      </c>
      <c r="O4219" s="5" t="s">
        <v>4250</v>
      </c>
      <c r="P4219" s="6">
        <v>0.17</v>
      </c>
      <c r="Q4219" s="11">
        <v>2</v>
      </c>
      <c r="R4219" s="11"/>
      <c r="S4219" s="11"/>
      <c r="T4219" s="11"/>
      <c r="U4219" s="11">
        <f t="shared" si="1341"/>
        <v>2</v>
      </c>
      <c r="W4219">
        <v>2.2000000000000002</v>
      </c>
      <c r="X4219" s="1" t="s">
        <v>105</v>
      </c>
    </row>
    <row r="4220" spans="1:24" x14ac:dyDescent="0.25">
      <c r="A4220" s="1" t="str">
        <f t="shared" si="1342"/>
        <v>卡卡杜-凤凰仓</v>
      </c>
      <c r="B4220" s="1" t="str">
        <f>"CK20241022797"</f>
        <v>CK20241022797</v>
      </c>
      <c r="C4220" s="1" t="str">
        <f>"DD2024102257129"</f>
        <v>DD2024102257129</v>
      </c>
      <c r="D4220" s="1" t="str">
        <f>"CK2024102250674"</f>
        <v>CK2024102250674</v>
      </c>
      <c r="E4220" s="1" t="str">
        <f>"3723468774953324544"</f>
        <v>3723468774953324544</v>
      </c>
      <c r="F4220" s="1" t="str">
        <f t="shared" si="1343"/>
        <v>花都四部-凤凰仓</v>
      </c>
      <c r="G4220" s="1" t="str">
        <f t="shared" si="1348"/>
        <v>卡卡杜企业店（视频号）</v>
      </c>
      <c r="H4220" s="1" t="str">
        <f t="shared" si="1344"/>
        <v>正常订单</v>
      </c>
      <c r="I4220" s="1" t="str">
        <f t="shared" si="1345"/>
        <v>已发货</v>
      </c>
      <c r="J4220" s="1" t="str">
        <f t="shared" si="1360"/>
        <v>2</v>
      </c>
      <c r="K4220" s="1">
        <v>2</v>
      </c>
      <c r="L4220" s="1" t="s">
        <v>74</v>
      </c>
      <c r="M4220" s="1" t="str">
        <f>"上海 上海市 静安区 "</f>
        <v xml:space="preserve">上海 上海市 静安区 </v>
      </c>
      <c r="N4220" s="1" t="str">
        <f t="shared" si="1358"/>
        <v>凡华云仓-城南圆通-微信视频号</v>
      </c>
      <c r="O4220" s="5" t="s">
        <v>4251</v>
      </c>
      <c r="P4220" s="6">
        <v>0.17</v>
      </c>
      <c r="Q4220" s="11">
        <v>2</v>
      </c>
      <c r="R4220" s="11"/>
      <c r="S4220" s="11"/>
      <c r="T4220" s="11"/>
      <c r="U4220" s="11">
        <f t="shared" si="1341"/>
        <v>2</v>
      </c>
      <c r="W4220">
        <v>2.2000000000000002</v>
      </c>
      <c r="X4220" s="1" t="s">
        <v>74</v>
      </c>
    </row>
    <row r="4221" spans="1:24" x14ac:dyDescent="0.25">
      <c r="A4221" s="1" t="str">
        <f t="shared" si="1342"/>
        <v>卡卡杜-凤凰仓</v>
      </c>
      <c r="B4221" s="1" t="str">
        <f>"CK20241022795"</f>
        <v>CK20241022795</v>
      </c>
      <c r="C4221" s="1" t="str">
        <f>"DD2024102257133"</f>
        <v>DD2024102257133</v>
      </c>
      <c r="D4221" s="1" t="str">
        <f>"CK2024102250673"</f>
        <v>CK2024102250673</v>
      </c>
      <c r="E4221" s="1" t="str">
        <f>"3723468738589756416"</f>
        <v>3723468738589756416</v>
      </c>
      <c r="F4221" s="1" t="str">
        <f t="shared" si="1343"/>
        <v>花都四部-凤凰仓</v>
      </c>
      <c r="G4221" s="1" t="str">
        <f t="shared" si="1348"/>
        <v>卡卡杜企业店（视频号）</v>
      </c>
      <c r="H4221" s="1" t="str">
        <f t="shared" si="1344"/>
        <v>正常订单</v>
      </c>
      <c r="I4221" s="1" t="str">
        <f t="shared" si="1345"/>
        <v>已发货</v>
      </c>
      <c r="J4221" s="1" t="str">
        <f t="shared" si="1360"/>
        <v>2</v>
      </c>
      <c r="K4221" s="1">
        <v>2</v>
      </c>
      <c r="L4221" s="1" t="s">
        <v>36</v>
      </c>
      <c r="M4221" s="1" t="str">
        <f>"安徽省 亳州市 谯城区 "</f>
        <v xml:space="preserve">安徽省 亳州市 谯城区 </v>
      </c>
      <c r="N4221" s="1" t="str">
        <f t="shared" si="1358"/>
        <v>凡华云仓-城南圆通-微信视频号</v>
      </c>
      <c r="O4221" s="5" t="s">
        <v>4252</v>
      </c>
      <c r="P4221" s="6">
        <v>0.17</v>
      </c>
      <c r="Q4221" s="11">
        <v>2</v>
      </c>
      <c r="R4221" s="11"/>
      <c r="S4221" s="11"/>
      <c r="T4221" s="11"/>
      <c r="U4221" s="11">
        <f t="shared" si="1341"/>
        <v>2</v>
      </c>
      <c r="W4221">
        <v>2.2000000000000002</v>
      </c>
      <c r="X4221" s="1" t="s">
        <v>36</v>
      </c>
    </row>
    <row r="4222" spans="1:24" x14ac:dyDescent="0.25">
      <c r="A4222" s="1" t="str">
        <f t="shared" si="1342"/>
        <v>卡卡杜-凤凰仓</v>
      </c>
      <c r="B4222" s="1" t="str">
        <f>"CK20241022773"</f>
        <v>CK20241022773</v>
      </c>
      <c r="C4222" s="1" t="str">
        <f>"DD2024102257073"</f>
        <v>DD2024102257073</v>
      </c>
      <c r="D4222" s="1" t="str">
        <f>"CK2024102250672"</f>
        <v>CK2024102250672</v>
      </c>
      <c r="E4222" s="1" t="str">
        <f>"3723468771423293440"</f>
        <v>3723468771423293440</v>
      </c>
      <c r="F4222" s="1" t="str">
        <f t="shared" si="1343"/>
        <v>花都四部-凤凰仓</v>
      </c>
      <c r="G4222" s="1" t="str">
        <f t="shared" si="1348"/>
        <v>卡卡杜企业店（视频号）</v>
      </c>
      <c r="H4222" s="1" t="str">
        <f t="shared" si="1344"/>
        <v>正常订单</v>
      </c>
      <c r="I4222" s="1" t="str">
        <f t="shared" si="1345"/>
        <v>已发货</v>
      </c>
      <c r="J4222" s="1" t="str">
        <f t="shared" si="1360"/>
        <v>2</v>
      </c>
      <c r="K4222" s="1">
        <v>2</v>
      </c>
      <c r="L4222" s="1" t="s">
        <v>30</v>
      </c>
      <c r="M4222" s="1" t="str">
        <f>"山东省 济宁市 任城区 "</f>
        <v xml:space="preserve">山东省 济宁市 任城区 </v>
      </c>
      <c r="N4222" s="1" t="str">
        <f t="shared" si="1358"/>
        <v>凡华云仓-城南圆通-微信视频号</v>
      </c>
      <c r="O4222" s="5" t="s">
        <v>4253</v>
      </c>
      <c r="P4222" s="6">
        <v>0.17</v>
      </c>
      <c r="Q4222" s="11">
        <v>2</v>
      </c>
      <c r="R4222" s="11"/>
      <c r="S4222" s="11"/>
      <c r="T4222" s="11"/>
      <c r="U4222" s="11">
        <f t="shared" si="1341"/>
        <v>2</v>
      </c>
      <c r="W4222">
        <v>2.2000000000000002</v>
      </c>
      <c r="X4222" s="1" t="s">
        <v>30</v>
      </c>
    </row>
    <row r="4223" spans="1:24" x14ac:dyDescent="0.25">
      <c r="A4223" s="1" t="str">
        <f t="shared" si="1342"/>
        <v>卡卡杜-凤凰仓</v>
      </c>
      <c r="B4223" s="1" t="str">
        <f>"CK20241022870"</f>
        <v>CK20241022870</v>
      </c>
      <c r="C4223" s="1" t="str">
        <f>"DD2024102257380"</f>
        <v>DD2024102257380</v>
      </c>
      <c r="D4223" s="1" t="str">
        <f>"CK2024102250671"</f>
        <v>CK2024102250671</v>
      </c>
      <c r="E4223" s="1" t="str">
        <f>"3723468769714639872"</f>
        <v>3723468769714639872</v>
      </c>
      <c r="F4223" s="1" t="str">
        <f t="shared" si="1343"/>
        <v>花都四部-凤凰仓</v>
      </c>
      <c r="G4223" s="1" t="str">
        <f t="shared" si="1348"/>
        <v>卡卡杜企业店（视频号）</v>
      </c>
      <c r="H4223" s="1" t="str">
        <f t="shared" si="1344"/>
        <v>正常订单</v>
      </c>
      <c r="I4223" s="1" t="str">
        <f t="shared" si="1345"/>
        <v>已发货</v>
      </c>
      <c r="J4223" s="1" t="str">
        <f t="shared" ref="J4223:J4225" si="1361">"3"</f>
        <v>3</v>
      </c>
      <c r="K4223" s="1">
        <v>2</v>
      </c>
      <c r="L4223" s="1" t="s">
        <v>30</v>
      </c>
      <c r="M4223" s="1" t="str">
        <f>"山东省 淄博市 张店区 "</f>
        <v xml:space="preserve">山东省 淄博市 张店区 </v>
      </c>
      <c r="N4223" s="1" t="str">
        <f t="shared" si="1358"/>
        <v>凡华云仓-城南圆通-微信视频号</v>
      </c>
      <c r="O4223" s="5" t="s">
        <v>4254</v>
      </c>
      <c r="P4223" s="6">
        <v>0.24</v>
      </c>
      <c r="Q4223" s="11">
        <v>2</v>
      </c>
      <c r="R4223" s="11"/>
      <c r="S4223" s="11"/>
      <c r="T4223" s="11"/>
      <c r="U4223" s="11">
        <f t="shared" si="1341"/>
        <v>2</v>
      </c>
      <c r="W4223">
        <v>2.2000000000000002</v>
      </c>
      <c r="X4223" s="1" t="s">
        <v>30</v>
      </c>
    </row>
    <row r="4224" spans="1:24" x14ac:dyDescent="0.25">
      <c r="A4224" s="1" t="str">
        <f t="shared" si="1342"/>
        <v>卡卡杜-凤凰仓</v>
      </c>
      <c r="B4224" s="1" t="str">
        <f>"CK20241022866"</f>
        <v>CK20241022866</v>
      </c>
      <c r="C4224" s="1" t="str">
        <f>"DD2024102257368"</f>
        <v>DD2024102257368</v>
      </c>
      <c r="D4224" s="1" t="str">
        <f>"CK2024102250670"</f>
        <v>CK2024102250670</v>
      </c>
      <c r="E4224" s="1" t="str">
        <f>"3723468760535663872"</f>
        <v>3723468760535663872</v>
      </c>
      <c r="F4224" s="1" t="str">
        <f t="shared" si="1343"/>
        <v>花都四部-凤凰仓</v>
      </c>
      <c r="G4224" s="1" t="str">
        <f t="shared" si="1348"/>
        <v>卡卡杜企业店（视频号）</v>
      </c>
      <c r="H4224" s="1" t="str">
        <f t="shared" si="1344"/>
        <v>正常订单</v>
      </c>
      <c r="I4224" s="1" t="str">
        <f t="shared" si="1345"/>
        <v>已发货</v>
      </c>
      <c r="J4224" s="1" t="str">
        <f t="shared" si="1361"/>
        <v>3</v>
      </c>
      <c r="K4224" s="1">
        <v>2</v>
      </c>
      <c r="L4224" s="1" t="s">
        <v>41</v>
      </c>
      <c r="M4224" s="1" t="str">
        <f>"湖北省 武汉市 洪山区 "</f>
        <v xml:space="preserve">湖北省 武汉市 洪山区 </v>
      </c>
      <c r="N4224" s="1" t="str">
        <f t="shared" si="1358"/>
        <v>凡华云仓-城南圆通-微信视频号</v>
      </c>
      <c r="O4224" s="5" t="s">
        <v>4255</v>
      </c>
      <c r="P4224" s="6">
        <v>0.24</v>
      </c>
      <c r="Q4224" s="11">
        <v>2</v>
      </c>
      <c r="R4224" s="11"/>
      <c r="S4224" s="11"/>
      <c r="T4224" s="11"/>
      <c r="U4224" s="11">
        <f t="shared" si="1341"/>
        <v>2</v>
      </c>
      <c r="W4224">
        <v>2.2000000000000002</v>
      </c>
      <c r="X4224" s="1" t="s">
        <v>41</v>
      </c>
    </row>
    <row r="4225" spans="1:24" x14ac:dyDescent="0.25">
      <c r="A4225" s="1" t="str">
        <f t="shared" si="1342"/>
        <v>卡卡杜-凤凰仓</v>
      </c>
      <c r="B4225" s="1" t="str">
        <f>"CK20241022982"</f>
        <v>CK20241022982</v>
      </c>
      <c r="C4225" s="1" t="str">
        <f>"DD2024102257777"</f>
        <v>DD2024102257777</v>
      </c>
      <c r="D4225" s="1" t="str">
        <f>"CK2024102250669"</f>
        <v>CK2024102250669</v>
      </c>
      <c r="E4225" s="1" t="str">
        <f>"3723468761661310208"</f>
        <v>3723468761661310208</v>
      </c>
      <c r="F4225" s="1" t="str">
        <f t="shared" si="1343"/>
        <v>花都四部-凤凰仓</v>
      </c>
      <c r="G4225" s="1" t="str">
        <f t="shared" si="1348"/>
        <v>卡卡杜企业店（视频号）</v>
      </c>
      <c r="H4225" s="1" t="str">
        <f t="shared" si="1344"/>
        <v>正常订单</v>
      </c>
      <c r="I4225" s="1" t="str">
        <f t="shared" si="1345"/>
        <v>已发货</v>
      </c>
      <c r="J4225" s="1" t="str">
        <f t="shared" si="1361"/>
        <v>3</v>
      </c>
      <c r="K4225" s="1">
        <v>2</v>
      </c>
      <c r="L4225" s="1" t="s">
        <v>13</v>
      </c>
      <c r="M4225" s="1" t="str">
        <f>"江苏省 苏州市 姑苏区 "</f>
        <v xml:space="preserve">江苏省 苏州市 姑苏区 </v>
      </c>
      <c r="N4225" s="1" t="str">
        <f t="shared" si="1358"/>
        <v>凡华云仓-城南圆通-微信视频号</v>
      </c>
      <c r="O4225" s="5" t="s">
        <v>4256</v>
      </c>
      <c r="P4225" s="6">
        <v>0.24</v>
      </c>
      <c r="Q4225" s="11">
        <v>2</v>
      </c>
      <c r="R4225" s="11"/>
      <c r="S4225" s="11"/>
      <c r="T4225" s="11"/>
      <c r="U4225" s="11">
        <f t="shared" si="1341"/>
        <v>2</v>
      </c>
      <c r="W4225">
        <v>2.2000000000000002</v>
      </c>
      <c r="X4225" s="1" t="s">
        <v>13</v>
      </c>
    </row>
    <row r="4226" spans="1:24" x14ac:dyDescent="0.25">
      <c r="A4226" s="1" t="str">
        <f t="shared" si="1342"/>
        <v>卡卡杜-凤凰仓</v>
      </c>
      <c r="B4226" s="1" t="str">
        <f>"CK20241022801"</f>
        <v>CK20241022801</v>
      </c>
      <c r="C4226" s="1" t="str">
        <f>"DD2024102257148"</f>
        <v>DD2024102257148</v>
      </c>
      <c r="D4226" s="1" t="str">
        <f>"CK2024102250668"</f>
        <v>CK2024102250668</v>
      </c>
      <c r="E4226" s="1" t="str">
        <f>"3723468760576820736"</f>
        <v>3723468760576820736</v>
      </c>
      <c r="F4226" s="1" t="str">
        <f t="shared" si="1343"/>
        <v>花都四部-凤凰仓</v>
      </c>
      <c r="G4226" s="1" t="str">
        <f t="shared" si="1348"/>
        <v>卡卡杜企业店（视频号）</v>
      </c>
      <c r="H4226" s="1" t="str">
        <f t="shared" si="1344"/>
        <v>正常订单</v>
      </c>
      <c r="I4226" s="1" t="str">
        <f t="shared" si="1345"/>
        <v>已发货</v>
      </c>
      <c r="J4226" s="1" t="str">
        <f>"2"</f>
        <v>2</v>
      </c>
      <c r="K4226" s="1">
        <v>2</v>
      </c>
      <c r="L4226" s="1" t="s">
        <v>66</v>
      </c>
      <c r="M4226" s="1" t="str">
        <f>"内蒙古自治区 通辽市 科尔沁区 "</f>
        <v xml:space="preserve">内蒙古自治区 通辽市 科尔沁区 </v>
      </c>
      <c r="N4226" s="1" t="str">
        <f t="shared" si="1358"/>
        <v>凡华云仓-城南圆通-微信视频号</v>
      </c>
      <c r="O4226" s="5" t="s">
        <v>4257</v>
      </c>
      <c r="P4226" s="6">
        <v>0.17</v>
      </c>
      <c r="Q4226" s="11">
        <v>2</v>
      </c>
      <c r="R4226" s="11"/>
      <c r="S4226" s="11"/>
      <c r="T4226" s="11"/>
      <c r="U4226" s="11">
        <f t="shared" si="1341"/>
        <v>2</v>
      </c>
      <c r="W4226">
        <v>2.2000000000000002</v>
      </c>
      <c r="X4226" s="1" t="s">
        <v>66</v>
      </c>
    </row>
    <row r="4227" spans="1:24" x14ac:dyDescent="0.25">
      <c r="A4227" s="1" t="str">
        <f t="shared" si="1342"/>
        <v>卡卡杜-凤凰仓</v>
      </c>
      <c r="B4227" s="1" t="str">
        <f>"CK20241022969"</f>
        <v>CK20241022969</v>
      </c>
      <c r="C4227" s="1" t="str">
        <f>"DD2024102257739"</f>
        <v>DD2024102257739</v>
      </c>
      <c r="D4227" s="1" t="str">
        <f>"CK2024102250667"</f>
        <v>CK2024102250667</v>
      </c>
      <c r="E4227" s="1" t="str">
        <f>"3723468754124149760"</f>
        <v>3723468754124149760</v>
      </c>
      <c r="F4227" s="1" t="str">
        <f t="shared" si="1343"/>
        <v>花都四部-凤凰仓</v>
      </c>
      <c r="G4227" s="1" t="str">
        <f t="shared" si="1348"/>
        <v>卡卡杜企业店（视频号）</v>
      </c>
      <c r="H4227" s="1" t="str">
        <f t="shared" si="1344"/>
        <v>正常订单</v>
      </c>
      <c r="I4227" s="1" t="str">
        <f t="shared" si="1345"/>
        <v>已发货</v>
      </c>
      <c r="J4227" s="1" t="str">
        <f t="shared" ref="J4227:J4231" si="1362">"3"</f>
        <v>3</v>
      </c>
      <c r="K4227" s="1">
        <v>2</v>
      </c>
      <c r="L4227" s="1" t="s">
        <v>74</v>
      </c>
      <c r="M4227" s="1" t="str">
        <f>"上海 上海市 杨浦区 "</f>
        <v xml:space="preserve">上海 上海市 杨浦区 </v>
      </c>
      <c r="N4227" s="1" t="str">
        <f t="shared" si="1358"/>
        <v>凡华云仓-城南圆通-微信视频号</v>
      </c>
      <c r="O4227" s="5" t="s">
        <v>4258</v>
      </c>
      <c r="P4227" s="6">
        <v>0.24</v>
      </c>
      <c r="Q4227" s="11">
        <v>2</v>
      </c>
      <c r="R4227" s="11"/>
      <c r="S4227" s="11"/>
      <c r="T4227" s="11"/>
      <c r="U4227" s="11">
        <f t="shared" ref="U4227:U4290" si="1363">T4227+S4227+R4227+Q4227</f>
        <v>2</v>
      </c>
      <c r="W4227">
        <v>2.2000000000000002</v>
      </c>
      <c r="X4227" s="1" t="s">
        <v>74</v>
      </c>
    </row>
    <row r="4228" spans="1:24" x14ac:dyDescent="0.25">
      <c r="A4228" s="1" t="str">
        <f t="shared" si="1342"/>
        <v>卡卡杜-凤凰仓</v>
      </c>
      <c r="B4228" s="1" t="str">
        <f>"CK20241022975"</f>
        <v>CK20241022975</v>
      </c>
      <c r="C4228" s="1" t="str">
        <f>"DD2024102257755"</f>
        <v>DD2024102257755</v>
      </c>
      <c r="D4228" s="1" t="str">
        <f>"CK2024102250666"</f>
        <v>CK2024102250666</v>
      </c>
      <c r="E4228" s="1" t="str">
        <f>"3723468751120500225"</f>
        <v>3723468751120500225</v>
      </c>
      <c r="F4228" s="1" t="str">
        <f t="shared" si="1343"/>
        <v>花都四部-凤凰仓</v>
      </c>
      <c r="G4228" s="1" t="str">
        <f t="shared" si="1348"/>
        <v>卡卡杜企业店（视频号）</v>
      </c>
      <c r="H4228" s="1" t="str">
        <f t="shared" si="1344"/>
        <v>正常订单</v>
      </c>
      <c r="I4228" s="1" t="str">
        <f t="shared" si="1345"/>
        <v>已发货</v>
      </c>
      <c r="J4228" s="1" t="str">
        <f t="shared" si="1362"/>
        <v>3</v>
      </c>
      <c r="K4228" s="1">
        <v>2</v>
      </c>
      <c r="L4228" s="1" t="s">
        <v>109</v>
      </c>
      <c r="M4228" s="1" t="str">
        <f>"山西省 太原市 晋源区 "</f>
        <v xml:space="preserve">山西省 太原市 晋源区 </v>
      </c>
      <c r="N4228" s="1" t="str">
        <f t="shared" si="1358"/>
        <v>凡华云仓-城南圆通-微信视频号</v>
      </c>
      <c r="O4228" s="5" t="s">
        <v>4259</v>
      </c>
      <c r="P4228" s="6">
        <v>0.24</v>
      </c>
      <c r="Q4228" s="11">
        <v>2</v>
      </c>
      <c r="R4228" s="11"/>
      <c r="S4228" s="11"/>
      <c r="T4228" s="11"/>
      <c r="U4228" s="11">
        <f t="shared" si="1363"/>
        <v>2</v>
      </c>
      <c r="W4228">
        <v>2.2000000000000002</v>
      </c>
      <c r="X4228" s="1" t="s">
        <v>109</v>
      </c>
    </row>
    <row r="4229" spans="1:24" x14ac:dyDescent="0.25">
      <c r="A4229" s="1" t="str">
        <f t="shared" ref="A4229:A4292" si="1364">"卡卡杜-凤凰仓"</f>
        <v>卡卡杜-凤凰仓</v>
      </c>
      <c r="B4229" s="1" t="str">
        <f>"CK20241022970"</f>
        <v>CK20241022970</v>
      </c>
      <c r="C4229" s="1" t="str">
        <f>"DD2024102257741"</f>
        <v>DD2024102257741</v>
      </c>
      <c r="D4229" s="1" t="str">
        <f>"CK2024102250665"</f>
        <v>CK2024102250665</v>
      </c>
      <c r="E4229" s="1" t="str">
        <f>"3723468747968220160"</f>
        <v>3723468747968220160</v>
      </c>
      <c r="F4229" s="1" t="str">
        <f t="shared" ref="F4229:F4292" si="1365">"花都四部-凤凰仓"</f>
        <v>花都四部-凤凰仓</v>
      </c>
      <c r="G4229" s="1" t="str">
        <f t="shared" si="1348"/>
        <v>卡卡杜企业店（视频号）</v>
      </c>
      <c r="H4229" s="1" t="str">
        <f t="shared" ref="H4229:H4292" si="1366">"正常订单"</f>
        <v>正常订单</v>
      </c>
      <c r="I4229" s="1" t="str">
        <f t="shared" ref="I4229:I4292" si="1367">"已发货"</f>
        <v>已发货</v>
      </c>
      <c r="J4229" s="1" t="str">
        <f t="shared" si="1362"/>
        <v>3</v>
      </c>
      <c r="K4229" s="1">
        <v>2</v>
      </c>
      <c r="L4229" s="1" t="s">
        <v>41</v>
      </c>
      <c r="M4229" s="1" t="str">
        <f>"湖北省 咸宁市 赤壁市 "</f>
        <v xml:space="preserve">湖北省 咸宁市 赤壁市 </v>
      </c>
      <c r="N4229" s="1" t="str">
        <f t="shared" si="1358"/>
        <v>凡华云仓-城南圆通-微信视频号</v>
      </c>
      <c r="O4229" s="5" t="s">
        <v>4260</v>
      </c>
      <c r="P4229" s="6">
        <v>0.24</v>
      </c>
      <c r="Q4229" s="11">
        <v>2</v>
      </c>
      <c r="R4229" s="11"/>
      <c r="S4229" s="11"/>
      <c r="T4229" s="11"/>
      <c r="U4229" s="11">
        <f t="shared" si="1363"/>
        <v>2</v>
      </c>
      <c r="W4229">
        <v>2.2000000000000002</v>
      </c>
      <c r="X4229" s="1" t="s">
        <v>41</v>
      </c>
    </row>
    <row r="4230" spans="1:24" x14ac:dyDescent="0.25">
      <c r="A4230" s="1" t="str">
        <f t="shared" si="1364"/>
        <v>卡卡杜-凤凰仓</v>
      </c>
      <c r="B4230" s="1" t="str">
        <f>"CK20241022971"</f>
        <v>CK20241022971</v>
      </c>
      <c r="C4230" s="1" t="str">
        <f>"DD2024102257743"</f>
        <v>DD2024102257743</v>
      </c>
      <c r="D4230" s="1" t="str">
        <f>"CK2024102250664"</f>
        <v>CK2024102250664</v>
      </c>
      <c r="E4230" s="1" t="str">
        <f>"3723468747424010240"</f>
        <v>3723468747424010240</v>
      </c>
      <c r="F4230" s="1" t="str">
        <f t="shared" si="1365"/>
        <v>花都四部-凤凰仓</v>
      </c>
      <c r="G4230" s="1" t="str">
        <f t="shared" si="1348"/>
        <v>卡卡杜企业店（视频号）</v>
      </c>
      <c r="H4230" s="1" t="str">
        <f t="shared" si="1366"/>
        <v>正常订单</v>
      </c>
      <c r="I4230" s="1" t="str">
        <f t="shared" si="1367"/>
        <v>已发货</v>
      </c>
      <c r="J4230" s="1" t="str">
        <f t="shared" si="1362"/>
        <v>3</v>
      </c>
      <c r="K4230" s="1">
        <v>2</v>
      </c>
      <c r="L4230" s="1" t="s">
        <v>218</v>
      </c>
      <c r="M4230" s="1" t="str">
        <f>"天津 天津市 河西区 "</f>
        <v xml:space="preserve">天津 天津市 河西区 </v>
      </c>
      <c r="N4230" s="1" t="str">
        <f t="shared" si="1358"/>
        <v>凡华云仓-城南圆通-微信视频号</v>
      </c>
      <c r="O4230" s="5" t="s">
        <v>4261</v>
      </c>
      <c r="P4230" s="6">
        <v>0.24</v>
      </c>
      <c r="Q4230" s="11">
        <v>2</v>
      </c>
      <c r="R4230" s="11"/>
      <c r="S4230" s="11"/>
      <c r="T4230" s="11"/>
      <c r="U4230" s="11">
        <f t="shared" si="1363"/>
        <v>2</v>
      </c>
      <c r="W4230">
        <v>2.2000000000000002</v>
      </c>
      <c r="X4230" s="1" t="s">
        <v>218</v>
      </c>
    </row>
    <row r="4231" spans="1:24" x14ac:dyDescent="0.25">
      <c r="A4231" s="1" t="str">
        <f t="shared" si="1364"/>
        <v>卡卡杜-凤凰仓</v>
      </c>
      <c r="B4231" s="1" t="str">
        <f>"CK20241022976"</f>
        <v>CK20241022976</v>
      </c>
      <c r="C4231" s="1" t="str">
        <f>"DD2024102257759"</f>
        <v>DD2024102257759</v>
      </c>
      <c r="D4231" s="1" t="str">
        <f>"CK2024102250663"</f>
        <v>CK2024102250663</v>
      </c>
      <c r="E4231" s="1" t="str">
        <f>"3723468746931180544"</f>
        <v>3723468746931180544</v>
      </c>
      <c r="F4231" s="1" t="str">
        <f t="shared" si="1365"/>
        <v>花都四部-凤凰仓</v>
      </c>
      <c r="G4231" s="1" t="str">
        <f t="shared" si="1348"/>
        <v>卡卡杜企业店（视频号）</v>
      </c>
      <c r="H4231" s="1" t="str">
        <f t="shared" si="1366"/>
        <v>正常订单</v>
      </c>
      <c r="I4231" s="1" t="str">
        <f t="shared" si="1367"/>
        <v>已发货</v>
      </c>
      <c r="J4231" s="1" t="str">
        <f t="shared" si="1362"/>
        <v>3</v>
      </c>
      <c r="K4231" s="1">
        <v>2</v>
      </c>
      <c r="L4231" s="1" t="s">
        <v>16</v>
      </c>
      <c r="M4231" s="1" t="str">
        <f>"河北省 石家庄市 新华区 "</f>
        <v xml:space="preserve">河北省 石家庄市 新华区 </v>
      </c>
      <c r="N4231" s="1" t="str">
        <f t="shared" si="1358"/>
        <v>凡华云仓-城南圆通-微信视频号</v>
      </c>
      <c r="O4231" s="5" t="s">
        <v>4262</v>
      </c>
      <c r="P4231" s="6">
        <v>0.24</v>
      </c>
      <c r="Q4231" s="11">
        <v>2</v>
      </c>
      <c r="R4231" s="11"/>
      <c r="S4231" s="11"/>
      <c r="T4231" s="11"/>
      <c r="U4231" s="11">
        <f t="shared" si="1363"/>
        <v>2</v>
      </c>
      <c r="W4231">
        <v>2.2000000000000002</v>
      </c>
      <c r="X4231" s="1" t="s">
        <v>16</v>
      </c>
    </row>
    <row r="4232" spans="1:24" x14ac:dyDescent="0.25">
      <c r="A4232" s="1" t="str">
        <f t="shared" si="1364"/>
        <v>卡卡杜-凤凰仓</v>
      </c>
      <c r="B4232" s="1" t="str">
        <f>"CK20241022696"</f>
        <v>CK20241022696</v>
      </c>
      <c r="C4232" s="1" t="str">
        <f>"DD2024102256998"</f>
        <v>DD2024102256998</v>
      </c>
      <c r="D4232" s="1" t="str">
        <f>"CK2024102250662"</f>
        <v>CK2024102250662</v>
      </c>
      <c r="E4232" s="1" t="str">
        <f>"3723468724305265920"</f>
        <v>3723468724305265920</v>
      </c>
      <c r="F4232" s="1" t="str">
        <f t="shared" si="1365"/>
        <v>花都四部-凤凰仓</v>
      </c>
      <c r="G4232" s="1" t="str">
        <f t="shared" si="1348"/>
        <v>卡卡杜企业店（视频号）</v>
      </c>
      <c r="H4232" s="1" t="str">
        <f t="shared" si="1366"/>
        <v>正常订单</v>
      </c>
      <c r="I4232" s="1" t="str">
        <f t="shared" si="1367"/>
        <v>已发货</v>
      </c>
      <c r="J4232" s="1" t="str">
        <f t="shared" ref="J4232:J4237" si="1368">"2"</f>
        <v>2</v>
      </c>
      <c r="K4232" s="1">
        <v>2</v>
      </c>
      <c r="L4232" s="1" t="s">
        <v>74</v>
      </c>
      <c r="M4232" s="1" t="str">
        <f>"上海 上海市 徐汇区 "</f>
        <v xml:space="preserve">上海 上海市 徐汇区 </v>
      </c>
      <c r="N4232" s="1" t="str">
        <f t="shared" si="1358"/>
        <v>凡华云仓-城南圆通-微信视频号</v>
      </c>
      <c r="O4232" s="5" t="s">
        <v>4263</v>
      </c>
      <c r="P4232" s="6">
        <v>0.17</v>
      </c>
      <c r="Q4232" s="11">
        <v>2</v>
      </c>
      <c r="R4232" s="11"/>
      <c r="S4232" s="11"/>
      <c r="T4232" s="11"/>
      <c r="U4232" s="11">
        <f t="shared" si="1363"/>
        <v>2</v>
      </c>
      <c r="W4232">
        <v>2.2000000000000002</v>
      </c>
      <c r="X4232" s="1" t="s">
        <v>74</v>
      </c>
    </row>
    <row r="4233" spans="1:24" x14ac:dyDescent="0.25">
      <c r="A4233" s="1" t="str">
        <f t="shared" si="1364"/>
        <v>卡卡杜-凤凰仓</v>
      </c>
      <c r="B4233" s="1" t="str">
        <f>"CK20241022974"</f>
        <v>CK20241022974</v>
      </c>
      <c r="C4233" s="1" t="str">
        <f>"DD2024102257753"</f>
        <v>DD2024102257753</v>
      </c>
      <c r="D4233" s="1" t="str">
        <f>"CK2024102250661"</f>
        <v>CK2024102250661</v>
      </c>
      <c r="E4233" s="1" t="str">
        <f>"3723468727253861632"</f>
        <v>3723468727253861632</v>
      </c>
      <c r="F4233" s="1" t="str">
        <f t="shared" si="1365"/>
        <v>花都四部-凤凰仓</v>
      </c>
      <c r="G4233" s="1" t="str">
        <f t="shared" si="1348"/>
        <v>卡卡杜企业店（视频号）</v>
      </c>
      <c r="H4233" s="1" t="str">
        <f t="shared" si="1366"/>
        <v>正常订单</v>
      </c>
      <c r="I4233" s="1" t="str">
        <f t="shared" si="1367"/>
        <v>已发货</v>
      </c>
      <c r="J4233" s="1" t="str">
        <f t="shared" ref="J4233:J4238" si="1369">"3"</f>
        <v>3</v>
      </c>
      <c r="K4233" s="1">
        <v>2</v>
      </c>
      <c r="L4233" s="1" t="s">
        <v>13</v>
      </c>
      <c r="M4233" s="1" t="str">
        <f>"江苏省 南京市 玄武区 "</f>
        <v xml:space="preserve">江苏省 南京市 玄武区 </v>
      </c>
      <c r="N4233" s="1" t="str">
        <f t="shared" si="1358"/>
        <v>凡华云仓-城南圆通-微信视频号</v>
      </c>
      <c r="O4233" s="5" t="s">
        <v>4264</v>
      </c>
      <c r="P4233" s="6">
        <v>0.24</v>
      </c>
      <c r="Q4233" s="11">
        <v>2</v>
      </c>
      <c r="R4233" s="11"/>
      <c r="S4233" s="11"/>
      <c r="T4233" s="11"/>
      <c r="U4233" s="11">
        <f t="shared" si="1363"/>
        <v>2</v>
      </c>
      <c r="W4233">
        <v>2.2000000000000002</v>
      </c>
      <c r="X4233" s="1" t="s">
        <v>13</v>
      </c>
    </row>
    <row r="4234" spans="1:24" x14ac:dyDescent="0.25">
      <c r="A4234" s="1" t="str">
        <f t="shared" si="1364"/>
        <v>卡卡杜-凤凰仓</v>
      </c>
      <c r="B4234" s="1" t="str">
        <f>"CK20241022710"</f>
        <v>CK20241022710</v>
      </c>
      <c r="C4234" s="1" t="str">
        <f>"DD2024102257014"</f>
        <v>DD2024102257014</v>
      </c>
      <c r="D4234" s="1" t="str">
        <f>"CK2024102250660"</f>
        <v>CK2024102250660</v>
      </c>
      <c r="E4234" s="1" t="str">
        <f>"3723468726765487616"</f>
        <v>3723468726765487616</v>
      </c>
      <c r="F4234" s="1" t="str">
        <f t="shared" si="1365"/>
        <v>花都四部-凤凰仓</v>
      </c>
      <c r="G4234" s="1" t="str">
        <f t="shared" si="1348"/>
        <v>卡卡杜企业店（视频号）</v>
      </c>
      <c r="H4234" s="1" t="str">
        <f t="shared" si="1366"/>
        <v>正常订单</v>
      </c>
      <c r="I4234" s="1" t="str">
        <f t="shared" si="1367"/>
        <v>已发货</v>
      </c>
      <c r="J4234" s="1" t="str">
        <f t="shared" si="1369"/>
        <v>3</v>
      </c>
      <c r="K4234" s="1">
        <v>2</v>
      </c>
      <c r="L4234" s="1" t="s">
        <v>161</v>
      </c>
      <c r="M4234" s="1" t="str">
        <f>"四川省 成都市 新都区 "</f>
        <v xml:space="preserve">四川省 成都市 新都区 </v>
      </c>
      <c r="N4234" s="1" t="str">
        <f t="shared" si="1358"/>
        <v>凡华云仓-城南圆通-微信视频号</v>
      </c>
      <c r="O4234" s="5" t="s">
        <v>4265</v>
      </c>
      <c r="P4234" s="6">
        <v>0.24</v>
      </c>
      <c r="Q4234" s="11">
        <v>2</v>
      </c>
      <c r="R4234" s="11"/>
      <c r="S4234" s="11"/>
      <c r="T4234" s="11"/>
      <c r="U4234" s="11">
        <f t="shared" si="1363"/>
        <v>2</v>
      </c>
      <c r="W4234">
        <v>2.2000000000000002</v>
      </c>
      <c r="X4234" s="1" t="s">
        <v>161</v>
      </c>
    </row>
    <row r="4235" spans="1:24" x14ac:dyDescent="0.25">
      <c r="A4235" s="1" t="str">
        <f t="shared" si="1364"/>
        <v>卡卡杜-凤凰仓</v>
      </c>
      <c r="B4235" s="1" t="str">
        <f>"CK20241022787"</f>
        <v>CK20241022787</v>
      </c>
      <c r="C4235" s="1" t="str">
        <f>"DD2024102257105"</f>
        <v>DD2024102257105</v>
      </c>
      <c r="D4235" s="1" t="str">
        <f>"CK2024102250659"</f>
        <v>CK2024102250659</v>
      </c>
      <c r="E4235" s="1" t="str">
        <f>"3723468725647443201"</f>
        <v>3723468725647443201</v>
      </c>
      <c r="F4235" s="1" t="str">
        <f t="shared" si="1365"/>
        <v>花都四部-凤凰仓</v>
      </c>
      <c r="G4235" s="1" t="str">
        <f t="shared" si="1348"/>
        <v>卡卡杜企业店（视频号）</v>
      </c>
      <c r="H4235" s="1" t="str">
        <f t="shared" si="1366"/>
        <v>正常订单</v>
      </c>
      <c r="I4235" s="1" t="str">
        <f t="shared" si="1367"/>
        <v>已发货</v>
      </c>
      <c r="J4235" s="1" t="str">
        <f t="shared" si="1368"/>
        <v>2</v>
      </c>
      <c r="K4235" s="1">
        <v>2</v>
      </c>
      <c r="L4235" s="1" t="s">
        <v>13</v>
      </c>
      <c r="M4235" s="1" t="str">
        <f>"江苏省 徐州市 泉山区 "</f>
        <v xml:space="preserve">江苏省 徐州市 泉山区 </v>
      </c>
      <c r="N4235" s="1" t="str">
        <f t="shared" si="1358"/>
        <v>凡华云仓-城南圆通-微信视频号</v>
      </c>
      <c r="O4235" s="5" t="s">
        <v>4266</v>
      </c>
      <c r="P4235" s="6">
        <v>0.17</v>
      </c>
      <c r="Q4235" s="11">
        <v>2</v>
      </c>
      <c r="R4235" s="11"/>
      <c r="S4235" s="11"/>
      <c r="T4235" s="11"/>
      <c r="U4235" s="11">
        <f t="shared" si="1363"/>
        <v>2</v>
      </c>
      <c r="W4235">
        <v>2.2000000000000002</v>
      </c>
      <c r="X4235" s="1" t="s">
        <v>13</v>
      </c>
    </row>
    <row r="4236" spans="1:24" x14ac:dyDescent="0.25">
      <c r="A4236" s="1" t="str">
        <f t="shared" si="1364"/>
        <v>卡卡杜-凤凰仓</v>
      </c>
      <c r="B4236" s="1" t="str">
        <f>"CK20241022712"</f>
        <v>CK20241022712</v>
      </c>
      <c r="C4236" s="1" t="str">
        <f>"DD2024102257016"</f>
        <v>DD2024102257016</v>
      </c>
      <c r="D4236" s="1" t="str">
        <f>"CK2024102250658"</f>
        <v>CK2024102250658</v>
      </c>
      <c r="E4236" s="1" t="str">
        <f>"3723468724425067520"</f>
        <v>3723468724425067520</v>
      </c>
      <c r="F4236" s="1" t="str">
        <f t="shared" si="1365"/>
        <v>花都四部-凤凰仓</v>
      </c>
      <c r="G4236" s="1" t="str">
        <f t="shared" si="1348"/>
        <v>卡卡杜企业店（视频号）</v>
      </c>
      <c r="H4236" s="1" t="str">
        <f t="shared" si="1366"/>
        <v>正常订单</v>
      </c>
      <c r="I4236" s="1" t="str">
        <f t="shared" si="1367"/>
        <v>已发货</v>
      </c>
      <c r="J4236" s="1" t="str">
        <f t="shared" si="1368"/>
        <v>2</v>
      </c>
      <c r="K4236" s="1">
        <v>2</v>
      </c>
      <c r="L4236" s="1" t="s">
        <v>18</v>
      </c>
      <c r="M4236" s="1" t="str">
        <f>"广东省 东莞市 凤岗镇 "</f>
        <v xml:space="preserve">广东省 东莞市 凤岗镇 </v>
      </c>
      <c r="N4236" s="1" t="str">
        <f t="shared" si="1358"/>
        <v>凡华云仓-城南圆通-微信视频号</v>
      </c>
      <c r="O4236" s="5" t="s">
        <v>4267</v>
      </c>
      <c r="P4236" s="6">
        <v>0.17</v>
      </c>
      <c r="Q4236" s="11">
        <v>2</v>
      </c>
      <c r="R4236" s="11"/>
      <c r="S4236" s="11"/>
      <c r="T4236" s="11"/>
      <c r="U4236" s="11">
        <f t="shared" si="1363"/>
        <v>2</v>
      </c>
      <c r="W4236">
        <v>2.2000000000000002</v>
      </c>
      <c r="X4236" s="1" t="s">
        <v>18</v>
      </c>
    </row>
    <row r="4237" spans="1:24" x14ac:dyDescent="0.25">
      <c r="A4237" s="1" t="str">
        <f t="shared" si="1364"/>
        <v>卡卡杜-凤凰仓</v>
      </c>
      <c r="B4237" s="1" t="str">
        <f>"CK20241022799"</f>
        <v>CK20241022799</v>
      </c>
      <c r="C4237" s="1" t="str">
        <f>"DD2024102257139"</f>
        <v>DD2024102257139</v>
      </c>
      <c r="D4237" s="1" t="str">
        <f>"CK2024102250657"</f>
        <v>CK2024102250657</v>
      </c>
      <c r="E4237" s="1" t="str">
        <f>"3723468722796893184"</f>
        <v>3723468722796893184</v>
      </c>
      <c r="F4237" s="1" t="str">
        <f t="shared" si="1365"/>
        <v>花都四部-凤凰仓</v>
      </c>
      <c r="G4237" s="1" t="str">
        <f t="shared" si="1348"/>
        <v>卡卡杜企业店（视频号）</v>
      </c>
      <c r="H4237" s="1" t="str">
        <f t="shared" si="1366"/>
        <v>正常订单</v>
      </c>
      <c r="I4237" s="1" t="str">
        <f t="shared" si="1367"/>
        <v>已发货</v>
      </c>
      <c r="J4237" s="1" t="str">
        <f t="shared" si="1368"/>
        <v>2</v>
      </c>
      <c r="K4237" s="1">
        <v>2</v>
      </c>
      <c r="L4237" s="1" t="s">
        <v>18</v>
      </c>
      <c r="M4237" s="1" t="str">
        <f>"广东省 江门市 蓬江区 "</f>
        <v xml:space="preserve">广东省 江门市 蓬江区 </v>
      </c>
      <c r="N4237" s="1" t="str">
        <f t="shared" si="1358"/>
        <v>凡华云仓-城南圆通-微信视频号</v>
      </c>
      <c r="O4237" s="5" t="s">
        <v>4268</v>
      </c>
      <c r="P4237" s="6">
        <v>0.17</v>
      </c>
      <c r="Q4237" s="11">
        <v>2</v>
      </c>
      <c r="R4237" s="11"/>
      <c r="S4237" s="11"/>
      <c r="T4237" s="11"/>
      <c r="U4237" s="11">
        <f t="shared" si="1363"/>
        <v>2</v>
      </c>
      <c r="W4237">
        <v>2.2000000000000002</v>
      </c>
      <c r="X4237" s="1" t="s">
        <v>18</v>
      </c>
    </row>
    <row r="4238" spans="1:24" x14ac:dyDescent="0.25">
      <c r="A4238" s="1" t="str">
        <f t="shared" si="1364"/>
        <v>卡卡杜-凤凰仓</v>
      </c>
      <c r="B4238" s="1" t="str">
        <f>"CK20241022725"</f>
        <v>CK20241022725</v>
      </c>
      <c r="C4238" s="1" t="str">
        <f>"DD2024102257028"</f>
        <v>DD2024102257028</v>
      </c>
      <c r="D4238" s="1" t="str">
        <f>"CK2024102250656"</f>
        <v>CK2024102250656</v>
      </c>
      <c r="E4238" s="1" t="str">
        <f>"3723468721173955840"</f>
        <v>3723468721173955840</v>
      </c>
      <c r="F4238" s="1" t="str">
        <f t="shared" si="1365"/>
        <v>花都四部-凤凰仓</v>
      </c>
      <c r="G4238" s="1" t="str">
        <f t="shared" ref="G4238:G4301" si="1370">"卡卡杜企业店（视频号）"</f>
        <v>卡卡杜企业店（视频号）</v>
      </c>
      <c r="H4238" s="1" t="str">
        <f t="shared" si="1366"/>
        <v>正常订单</v>
      </c>
      <c r="I4238" s="1" t="str">
        <f t="shared" si="1367"/>
        <v>已发货</v>
      </c>
      <c r="J4238" s="1" t="str">
        <f t="shared" si="1369"/>
        <v>3</v>
      </c>
      <c r="K4238" s="1">
        <v>2</v>
      </c>
      <c r="L4238" s="1" t="s">
        <v>18</v>
      </c>
      <c r="M4238" s="1" t="str">
        <f>"广东省 惠州市 惠城区 "</f>
        <v xml:space="preserve">广东省 惠州市 惠城区 </v>
      </c>
      <c r="N4238" s="1" t="str">
        <f t="shared" si="1358"/>
        <v>凡华云仓-城南圆通-微信视频号</v>
      </c>
      <c r="O4238" s="5" t="s">
        <v>4269</v>
      </c>
      <c r="P4238" s="6">
        <v>0.24</v>
      </c>
      <c r="Q4238" s="11">
        <v>2</v>
      </c>
      <c r="R4238" s="11"/>
      <c r="S4238" s="11"/>
      <c r="T4238" s="11"/>
      <c r="U4238" s="11">
        <f t="shared" si="1363"/>
        <v>2</v>
      </c>
      <c r="W4238">
        <v>2.2000000000000002</v>
      </c>
      <c r="X4238" s="1" t="s">
        <v>18</v>
      </c>
    </row>
    <row r="4239" spans="1:24" x14ac:dyDescent="0.25">
      <c r="A4239" s="1" t="str">
        <f t="shared" si="1364"/>
        <v>卡卡杜-凤凰仓</v>
      </c>
      <c r="B4239" s="1" t="str">
        <f>"CK20241022719"</f>
        <v>CK20241022719</v>
      </c>
      <c r="C4239" s="1" t="str">
        <f>"DD2024102257022"</f>
        <v>DD2024102257022</v>
      </c>
      <c r="D4239" s="1" t="str">
        <f>"CK2024102250655"</f>
        <v>CK2024102250655</v>
      </c>
      <c r="E4239" s="1" t="str">
        <f>"3723468714952496128"</f>
        <v>3723468714952496128</v>
      </c>
      <c r="F4239" s="1" t="str">
        <f t="shared" si="1365"/>
        <v>花都四部-凤凰仓</v>
      </c>
      <c r="G4239" s="1" t="str">
        <f t="shared" si="1370"/>
        <v>卡卡杜企业店（视频号）</v>
      </c>
      <c r="H4239" s="1" t="str">
        <f t="shared" si="1366"/>
        <v>正常订单</v>
      </c>
      <c r="I4239" s="1" t="str">
        <f t="shared" si="1367"/>
        <v>已发货</v>
      </c>
      <c r="J4239" s="1" t="str">
        <f t="shared" ref="J4239:J4244" si="1371">"2"</f>
        <v>2</v>
      </c>
      <c r="K4239" s="1">
        <v>2</v>
      </c>
      <c r="L4239" s="1" t="s">
        <v>74</v>
      </c>
      <c r="M4239" s="1" t="str">
        <f>"上海 上海市 浦东新区 "</f>
        <v xml:space="preserve">上海 上海市 浦东新区 </v>
      </c>
      <c r="N4239" s="1" t="str">
        <f t="shared" si="1358"/>
        <v>凡华云仓-城南圆通-微信视频号</v>
      </c>
      <c r="O4239" s="5" t="s">
        <v>4270</v>
      </c>
      <c r="P4239" s="6">
        <v>0.17</v>
      </c>
      <c r="Q4239" s="11">
        <v>2</v>
      </c>
      <c r="R4239" s="11"/>
      <c r="S4239" s="11"/>
      <c r="T4239" s="11"/>
      <c r="U4239" s="11">
        <f t="shared" si="1363"/>
        <v>2</v>
      </c>
      <c r="W4239">
        <v>2.2000000000000002</v>
      </c>
      <c r="X4239" s="1" t="s">
        <v>74</v>
      </c>
    </row>
    <row r="4240" spans="1:24" x14ac:dyDescent="0.25">
      <c r="A4240" s="1" t="str">
        <f t="shared" si="1364"/>
        <v>卡卡杜-凤凰仓</v>
      </c>
      <c r="B4240" s="1" t="str">
        <f>"CK20241022978"</f>
        <v>CK20241022978</v>
      </c>
      <c r="C4240" s="1" t="str">
        <f>"DD2024102257764"</f>
        <v>DD2024102257764</v>
      </c>
      <c r="D4240" s="1" t="str">
        <f>"CK2024102250654"</f>
        <v>CK2024102250654</v>
      </c>
      <c r="E4240" s="1" t="str">
        <f>"3723468715007542784"</f>
        <v>3723468715007542784</v>
      </c>
      <c r="F4240" s="1" t="str">
        <f t="shared" si="1365"/>
        <v>花都四部-凤凰仓</v>
      </c>
      <c r="G4240" s="1" t="str">
        <f t="shared" si="1370"/>
        <v>卡卡杜企业店（视频号）</v>
      </c>
      <c r="H4240" s="1" t="str">
        <f t="shared" si="1366"/>
        <v>正常订单</v>
      </c>
      <c r="I4240" s="1" t="str">
        <f t="shared" si="1367"/>
        <v>已发货</v>
      </c>
      <c r="J4240" s="1" t="str">
        <f t="shared" ref="J4240:J4245" si="1372">"3"</f>
        <v>3</v>
      </c>
      <c r="K4240" s="1">
        <v>2</v>
      </c>
      <c r="L4240" s="1" t="s">
        <v>18</v>
      </c>
      <c r="M4240" s="1" t="str">
        <f>"广东省 深圳市 罗湖区 "</f>
        <v xml:space="preserve">广东省 深圳市 罗湖区 </v>
      </c>
      <c r="N4240" s="1" t="str">
        <f t="shared" si="1358"/>
        <v>凡华云仓-城南圆通-微信视频号</v>
      </c>
      <c r="O4240" s="5" t="s">
        <v>4271</v>
      </c>
      <c r="P4240" s="6">
        <v>0.24</v>
      </c>
      <c r="Q4240" s="11">
        <v>2</v>
      </c>
      <c r="R4240" s="11"/>
      <c r="S4240" s="11"/>
      <c r="T4240" s="11"/>
      <c r="U4240" s="11">
        <f t="shared" si="1363"/>
        <v>2</v>
      </c>
      <c r="W4240">
        <v>2.2000000000000002</v>
      </c>
      <c r="X4240" s="1" t="s">
        <v>18</v>
      </c>
    </row>
    <row r="4241" spans="1:24" x14ac:dyDescent="0.25">
      <c r="A4241" s="1" t="str">
        <f t="shared" si="1364"/>
        <v>卡卡杜-凤凰仓</v>
      </c>
      <c r="B4241" s="1" t="str">
        <f>"CK20241022923"</f>
        <v>CK20241022923</v>
      </c>
      <c r="C4241" s="1" t="str">
        <f>"DD2024102257601"</f>
        <v>DD2024102257601</v>
      </c>
      <c r="D4241" s="1" t="str">
        <f>"CK2024102250653"</f>
        <v>CK2024102250653</v>
      </c>
      <c r="E4241" s="1" t="str">
        <f>"3723468710942475776"</f>
        <v>3723468710942475776</v>
      </c>
      <c r="F4241" s="1" t="str">
        <f t="shared" si="1365"/>
        <v>花都四部-凤凰仓</v>
      </c>
      <c r="G4241" s="1" t="str">
        <f t="shared" si="1370"/>
        <v>卡卡杜企业店（视频号）</v>
      </c>
      <c r="H4241" s="1" t="str">
        <f t="shared" si="1366"/>
        <v>正常订单</v>
      </c>
      <c r="I4241" s="1" t="str">
        <f t="shared" si="1367"/>
        <v>已发货</v>
      </c>
      <c r="J4241" s="1" t="str">
        <f t="shared" si="1372"/>
        <v>3</v>
      </c>
      <c r="K4241" s="1">
        <v>2</v>
      </c>
      <c r="L4241" s="1" t="s">
        <v>27</v>
      </c>
      <c r="M4241" s="1" t="str">
        <f>"贵州省 贵阳市 观山湖区 "</f>
        <v xml:space="preserve">贵州省 贵阳市 观山湖区 </v>
      </c>
      <c r="N4241" s="1" t="str">
        <f t="shared" si="1358"/>
        <v>凡华云仓-城南圆通-微信视频号</v>
      </c>
      <c r="O4241" s="5" t="s">
        <v>4272</v>
      </c>
      <c r="P4241" s="6">
        <v>0.24</v>
      </c>
      <c r="Q4241" s="11">
        <v>2</v>
      </c>
      <c r="R4241" s="11"/>
      <c r="S4241" s="11"/>
      <c r="T4241" s="11"/>
      <c r="U4241" s="11">
        <f t="shared" si="1363"/>
        <v>2</v>
      </c>
      <c r="W4241">
        <v>2.2000000000000002</v>
      </c>
      <c r="X4241" s="1" t="s">
        <v>27</v>
      </c>
    </row>
    <row r="4242" spans="1:24" x14ac:dyDescent="0.25">
      <c r="A4242" s="1" t="str">
        <f t="shared" si="1364"/>
        <v>卡卡杜-凤凰仓</v>
      </c>
      <c r="B4242" s="1" t="str">
        <f>"CK20241022796"</f>
        <v>CK20241022796</v>
      </c>
      <c r="C4242" s="1" t="str">
        <f>"DD2024102257132"</f>
        <v>DD2024102257132</v>
      </c>
      <c r="D4242" s="1" t="str">
        <f>"CK2024102250652"</f>
        <v>CK2024102250652</v>
      </c>
      <c r="E4242" s="1" t="str">
        <f>"3723468703593008128"</f>
        <v>3723468703593008128</v>
      </c>
      <c r="F4242" s="1" t="str">
        <f t="shared" si="1365"/>
        <v>花都四部-凤凰仓</v>
      </c>
      <c r="G4242" s="1" t="str">
        <f t="shared" si="1370"/>
        <v>卡卡杜企业店（视频号）</v>
      </c>
      <c r="H4242" s="1" t="str">
        <f t="shared" si="1366"/>
        <v>正常订单</v>
      </c>
      <c r="I4242" s="1" t="str">
        <f t="shared" si="1367"/>
        <v>已发货</v>
      </c>
      <c r="J4242" s="1" t="str">
        <f t="shared" si="1371"/>
        <v>2</v>
      </c>
      <c r="K4242" s="1">
        <v>2</v>
      </c>
      <c r="L4242" s="1" t="s">
        <v>105</v>
      </c>
      <c r="M4242" s="1" t="str">
        <f>"北京 北京市 东城区 "</f>
        <v xml:space="preserve">北京 北京市 东城区 </v>
      </c>
      <c r="N4242" s="1" t="str">
        <f t="shared" si="1358"/>
        <v>凡华云仓-城南圆通-微信视频号</v>
      </c>
      <c r="O4242" s="5" t="s">
        <v>4273</v>
      </c>
      <c r="P4242" s="6">
        <v>0.17</v>
      </c>
      <c r="Q4242" s="11">
        <v>2</v>
      </c>
      <c r="R4242" s="11"/>
      <c r="S4242" s="11"/>
      <c r="T4242" s="11"/>
      <c r="U4242" s="11">
        <f t="shared" si="1363"/>
        <v>2</v>
      </c>
      <c r="W4242">
        <v>2.2000000000000002</v>
      </c>
      <c r="X4242" s="1" t="s">
        <v>105</v>
      </c>
    </row>
    <row r="4243" spans="1:24" x14ac:dyDescent="0.25">
      <c r="A4243" s="1" t="str">
        <f t="shared" si="1364"/>
        <v>卡卡杜-凤凰仓</v>
      </c>
      <c r="B4243" s="1" t="str">
        <f>"CK20241022789"</f>
        <v>CK20241022789</v>
      </c>
      <c r="C4243" s="1" t="str">
        <f>"DD2024102257110"</f>
        <v>DD2024102257110</v>
      </c>
      <c r="D4243" s="1" t="str">
        <f>"CK2024102250651"</f>
        <v>CK2024102250651</v>
      </c>
      <c r="E4243" s="1" t="str">
        <f>"3723468702465000960"</f>
        <v>3723468702465000960</v>
      </c>
      <c r="F4243" s="1" t="str">
        <f t="shared" si="1365"/>
        <v>花都四部-凤凰仓</v>
      </c>
      <c r="G4243" s="1" t="str">
        <f t="shared" si="1370"/>
        <v>卡卡杜企业店（视频号）</v>
      </c>
      <c r="H4243" s="1" t="str">
        <f t="shared" si="1366"/>
        <v>正常订单</v>
      </c>
      <c r="I4243" s="1" t="str">
        <f t="shared" si="1367"/>
        <v>已发货</v>
      </c>
      <c r="J4243" s="1" t="str">
        <f t="shared" si="1371"/>
        <v>2</v>
      </c>
      <c r="K4243" s="1">
        <v>2</v>
      </c>
      <c r="L4243" s="1" t="s">
        <v>740</v>
      </c>
      <c r="M4243" s="1" t="str">
        <f>"宁夏回族自治区 银川市 兴庆区 "</f>
        <v xml:space="preserve">宁夏回族自治区 银川市 兴庆区 </v>
      </c>
      <c r="N4243" s="1" t="str">
        <f t="shared" si="1358"/>
        <v>凡华云仓-城南圆通-微信视频号</v>
      </c>
      <c r="O4243" s="5" t="s">
        <v>4274</v>
      </c>
      <c r="P4243" s="6">
        <v>0.17</v>
      </c>
      <c r="Q4243" s="11">
        <v>2</v>
      </c>
      <c r="R4243" s="11"/>
      <c r="S4243" s="11"/>
      <c r="T4243" s="11"/>
      <c r="U4243" s="11">
        <f t="shared" si="1363"/>
        <v>2</v>
      </c>
      <c r="W4243">
        <v>2.2000000000000002</v>
      </c>
      <c r="X4243" s="1" t="s">
        <v>740</v>
      </c>
    </row>
    <row r="4244" spans="1:24" x14ac:dyDescent="0.25">
      <c r="A4244" s="1" t="str">
        <f t="shared" si="1364"/>
        <v>卡卡杜-凤凰仓</v>
      </c>
      <c r="B4244" s="1" t="str">
        <f>"CK20241022772"</f>
        <v>CK20241022772</v>
      </c>
      <c r="C4244" s="1" t="str">
        <f>"DD2024102257072"</f>
        <v>DD2024102257072</v>
      </c>
      <c r="D4244" s="1" t="str">
        <f>"CK2024102250650"</f>
        <v>CK2024102250650</v>
      </c>
      <c r="E4244" s="1" t="str">
        <f>"3723468699768591360"</f>
        <v>3723468699768591360</v>
      </c>
      <c r="F4244" s="1" t="str">
        <f t="shared" si="1365"/>
        <v>花都四部-凤凰仓</v>
      </c>
      <c r="G4244" s="1" t="str">
        <f t="shared" si="1370"/>
        <v>卡卡杜企业店（视频号）</v>
      </c>
      <c r="H4244" s="1" t="str">
        <f t="shared" si="1366"/>
        <v>正常订单</v>
      </c>
      <c r="I4244" s="1" t="str">
        <f t="shared" si="1367"/>
        <v>已发货</v>
      </c>
      <c r="J4244" s="1" t="str">
        <f t="shared" si="1371"/>
        <v>2</v>
      </c>
      <c r="K4244" s="1">
        <v>2</v>
      </c>
      <c r="L4244" s="1" t="s">
        <v>109</v>
      </c>
      <c r="M4244" s="1" t="str">
        <f>"山西省 运城市 盐湖区 "</f>
        <v xml:space="preserve">山西省 运城市 盐湖区 </v>
      </c>
      <c r="N4244" s="1" t="str">
        <f t="shared" si="1358"/>
        <v>凡华云仓-城南圆通-微信视频号</v>
      </c>
      <c r="O4244" s="5" t="s">
        <v>4275</v>
      </c>
      <c r="P4244" s="6">
        <v>0.17</v>
      </c>
      <c r="Q4244" s="11">
        <v>2</v>
      </c>
      <c r="R4244" s="11"/>
      <c r="S4244" s="11"/>
      <c r="T4244" s="11"/>
      <c r="U4244" s="11">
        <f t="shared" si="1363"/>
        <v>2</v>
      </c>
      <c r="W4244">
        <v>2.2000000000000002</v>
      </c>
      <c r="X4244" s="1" t="s">
        <v>109</v>
      </c>
    </row>
    <row r="4245" spans="1:24" x14ac:dyDescent="0.25">
      <c r="A4245" s="1" t="str">
        <f t="shared" si="1364"/>
        <v>卡卡杜-凤凰仓</v>
      </c>
      <c r="B4245" s="1" t="str">
        <f>"CK20241022871"</f>
        <v>CK20241022871</v>
      </c>
      <c r="C4245" s="1" t="str">
        <f>"DD2024102257385"</f>
        <v>DD2024102257385</v>
      </c>
      <c r="D4245" s="1" t="str">
        <f>"CK2024102250649"</f>
        <v>CK2024102250649</v>
      </c>
      <c r="E4245" s="1" t="str">
        <f>"3723468694609333248"</f>
        <v>3723468694609333248</v>
      </c>
      <c r="F4245" s="1" t="str">
        <f t="shared" si="1365"/>
        <v>花都四部-凤凰仓</v>
      </c>
      <c r="G4245" s="1" t="str">
        <f t="shared" si="1370"/>
        <v>卡卡杜企业店（视频号）</v>
      </c>
      <c r="H4245" s="1" t="str">
        <f t="shared" si="1366"/>
        <v>正常订单</v>
      </c>
      <c r="I4245" s="1" t="str">
        <f t="shared" si="1367"/>
        <v>已发货</v>
      </c>
      <c r="J4245" s="1" t="str">
        <f t="shared" si="1372"/>
        <v>3</v>
      </c>
      <c r="K4245" s="1">
        <v>2</v>
      </c>
      <c r="L4245" s="1" t="s">
        <v>94</v>
      </c>
      <c r="M4245" s="1" t="str">
        <f>"湖南省 郴州市 资兴市 "</f>
        <v xml:space="preserve">湖南省 郴州市 资兴市 </v>
      </c>
      <c r="N4245" s="1" t="str">
        <f t="shared" si="1358"/>
        <v>凡华云仓-城南圆通-微信视频号</v>
      </c>
      <c r="O4245" s="5" t="s">
        <v>4276</v>
      </c>
      <c r="P4245" s="6">
        <v>0.24</v>
      </c>
      <c r="Q4245" s="11">
        <v>2</v>
      </c>
      <c r="R4245" s="11"/>
      <c r="S4245" s="11"/>
      <c r="T4245" s="11"/>
      <c r="U4245" s="11">
        <f t="shared" si="1363"/>
        <v>2</v>
      </c>
      <c r="W4245">
        <v>2.2000000000000002</v>
      </c>
      <c r="X4245" s="1" t="s">
        <v>94</v>
      </c>
    </row>
    <row r="4246" spans="1:24" x14ac:dyDescent="0.25">
      <c r="A4246" s="1" t="str">
        <f t="shared" si="1364"/>
        <v>卡卡杜-凤凰仓</v>
      </c>
      <c r="B4246" s="1" t="str">
        <f>"CK20241022685"</f>
        <v>CK20241022685</v>
      </c>
      <c r="C4246" s="1" t="str">
        <f>"DD2024102256985"</f>
        <v>DD2024102256985</v>
      </c>
      <c r="D4246" s="1" t="str">
        <f>"CK2024102250648"</f>
        <v>CK2024102250648</v>
      </c>
      <c r="E4246" s="1" t="str">
        <f>"3723468696286528768"</f>
        <v>3723468696286528768</v>
      </c>
      <c r="F4246" s="1" t="str">
        <f t="shared" si="1365"/>
        <v>花都四部-凤凰仓</v>
      </c>
      <c r="G4246" s="1" t="str">
        <f t="shared" si="1370"/>
        <v>卡卡杜企业店（视频号）</v>
      </c>
      <c r="H4246" s="1" t="str">
        <f t="shared" si="1366"/>
        <v>正常订单</v>
      </c>
      <c r="I4246" s="1" t="str">
        <f t="shared" si="1367"/>
        <v>已发货</v>
      </c>
      <c r="J4246" s="1" t="str">
        <f>"2"</f>
        <v>2</v>
      </c>
      <c r="K4246" s="1">
        <v>2</v>
      </c>
      <c r="L4246" s="1" t="s">
        <v>18</v>
      </c>
      <c r="M4246" s="1" t="str">
        <f>"广东省 江门市 江海区 "</f>
        <v xml:space="preserve">广东省 江门市 江海区 </v>
      </c>
      <c r="N4246" s="1" t="str">
        <f t="shared" si="1358"/>
        <v>凡华云仓-城南圆通-微信视频号</v>
      </c>
      <c r="O4246" s="5" t="s">
        <v>4277</v>
      </c>
      <c r="P4246" s="6">
        <v>0.17</v>
      </c>
      <c r="Q4246" s="11">
        <v>2</v>
      </c>
      <c r="R4246" s="11"/>
      <c r="S4246" s="11"/>
      <c r="T4246" s="11"/>
      <c r="U4246" s="11">
        <f t="shared" si="1363"/>
        <v>2</v>
      </c>
      <c r="W4246">
        <v>2.2000000000000002</v>
      </c>
      <c r="X4246" s="1" t="s">
        <v>18</v>
      </c>
    </row>
    <row r="4247" spans="1:24" x14ac:dyDescent="0.25">
      <c r="A4247" s="1" t="str">
        <f t="shared" si="1364"/>
        <v>卡卡杜-凤凰仓</v>
      </c>
      <c r="B4247" s="1" t="str">
        <f>"CK20241022861"</f>
        <v>CK20241022861</v>
      </c>
      <c r="C4247" s="1" t="str">
        <f>"DD2024102257344"</f>
        <v>DD2024102257344</v>
      </c>
      <c r="D4247" s="1" t="str">
        <f>"CK2024102250647"</f>
        <v>CK2024102250647</v>
      </c>
      <c r="E4247" s="1" t="str">
        <f>"3723468693259031553"</f>
        <v>3723468693259031553</v>
      </c>
      <c r="F4247" s="1" t="str">
        <f t="shared" si="1365"/>
        <v>花都四部-凤凰仓</v>
      </c>
      <c r="G4247" s="1" t="str">
        <f t="shared" si="1370"/>
        <v>卡卡杜企业店（视频号）</v>
      </c>
      <c r="H4247" s="1" t="str">
        <f t="shared" si="1366"/>
        <v>正常订单</v>
      </c>
      <c r="I4247" s="1" t="str">
        <f t="shared" si="1367"/>
        <v>已发货</v>
      </c>
      <c r="J4247" s="1" t="str">
        <f t="shared" ref="J4247:J4250" si="1373">"3"</f>
        <v>3</v>
      </c>
      <c r="K4247" s="1">
        <v>2</v>
      </c>
      <c r="L4247" s="1" t="s">
        <v>18</v>
      </c>
      <c r="M4247" s="1" t="str">
        <f>"广东省 广州市 海珠区 "</f>
        <v xml:space="preserve">广东省 广州市 海珠区 </v>
      </c>
      <c r="N4247" s="1" t="str">
        <f t="shared" si="1358"/>
        <v>凡华云仓-城南圆通-微信视频号</v>
      </c>
      <c r="O4247" s="5" t="s">
        <v>4278</v>
      </c>
      <c r="P4247" s="6">
        <v>0.24</v>
      </c>
      <c r="Q4247" s="11">
        <v>2</v>
      </c>
      <c r="R4247" s="11"/>
      <c r="S4247" s="11"/>
      <c r="T4247" s="11"/>
      <c r="U4247" s="11">
        <f t="shared" si="1363"/>
        <v>2</v>
      </c>
      <c r="W4247">
        <v>2.2000000000000002</v>
      </c>
      <c r="X4247" s="1" t="s">
        <v>18</v>
      </c>
    </row>
    <row r="4248" spans="1:24" x14ac:dyDescent="0.25">
      <c r="A4248" s="1" t="str">
        <f t="shared" si="1364"/>
        <v>卡卡杜-凤凰仓</v>
      </c>
      <c r="B4248" s="1" t="str">
        <f>"CK20241022689"</f>
        <v>CK20241022689</v>
      </c>
      <c r="C4248" s="1" t="str">
        <f>"DD2024102256989"</f>
        <v>DD2024102256989</v>
      </c>
      <c r="D4248" s="1" t="str">
        <f>"CK2024102250646"</f>
        <v>CK2024102250646</v>
      </c>
      <c r="E4248" s="1" t="str">
        <f>"3723468687648623616"</f>
        <v>3723468687648623616</v>
      </c>
      <c r="F4248" s="1" t="str">
        <f t="shared" si="1365"/>
        <v>花都四部-凤凰仓</v>
      </c>
      <c r="G4248" s="1" t="str">
        <f t="shared" si="1370"/>
        <v>卡卡杜企业店（视频号）</v>
      </c>
      <c r="H4248" s="1" t="str">
        <f t="shared" si="1366"/>
        <v>正常订单</v>
      </c>
      <c r="I4248" s="1" t="str">
        <f t="shared" si="1367"/>
        <v>已发货</v>
      </c>
      <c r="J4248" s="1" t="str">
        <f t="shared" si="1373"/>
        <v>3</v>
      </c>
      <c r="K4248" s="1">
        <v>2</v>
      </c>
      <c r="L4248" s="1" t="s">
        <v>218</v>
      </c>
      <c r="M4248" s="1" t="str">
        <f>"天津 天津市 滨海新区 "</f>
        <v xml:space="preserve">天津 天津市 滨海新区 </v>
      </c>
      <c r="N4248" s="1" t="str">
        <f t="shared" si="1358"/>
        <v>凡华云仓-城南圆通-微信视频号</v>
      </c>
      <c r="O4248" s="5" t="s">
        <v>4279</v>
      </c>
      <c r="P4248" s="6">
        <v>0.24</v>
      </c>
      <c r="Q4248" s="11">
        <v>2</v>
      </c>
      <c r="R4248" s="11"/>
      <c r="S4248" s="11"/>
      <c r="T4248" s="11"/>
      <c r="U4248" s="11">
        <f t="shared" si="1363"/>
        <v>2</v>
      </c>
      <c r="W4248">
        <v>2.2000000000000002</v>
      </c>
      <c r="X4248" s="1" t="s">
        <v>218</v>
      </c>
    </row>
    <row r="4249" spans="1:24" x14ac:dyDescent="0.25">
      <c r="A4249" s="1" t="str">
        <f t="shared" si="1364"/>
        <v>卡卡杜-凤凰仓</v>
      </c>
      <c r="B4249" s="1" t="str">
        <f>"CK20241022967"</f>
        <v>CK20241022967</v>
      </c>
      <c r="C4249" s="1" t="str">
        <f>"DD2024102257734"</f>
        <v>DD2024102257734</v>
      </c>
      <c r="D4249" s="1" t="str">
        <f>"CK2024102250645"</f>
        <v>CK2024102250645</v>
      </c>
      <c r="E4249" s="1" t="str">
        <f>"3723468688554067200"</f>
        <v>3723468688554067200</v>
      </c>
      <c r="F4249" s="1" t="str">
        <f t="shared" si="1365"/>
        <v>花都四部-凤凰仓</v>
      </c>
      <c r="G4249" s="1" t="str">
        <f t="shared" si="1370"/>
        <v>卡卡杜企业店（视频号）</v>
      </c>
      <c r="H4249" s="1" t="str">
        <f t="shared" si="1366"/>
        <v>正常订单</v>
      </c>
      <c r="I4249" s="1" t="str">
        <f t="shared" si="1367"/>
        <v>已发货</v>
      </c>
      <c r="J4249" s="1" t="str">
        <f t="shared" si="1373"/>
        <v>3</v>
      </c>
      <c r="K4249" s="1">
        <v>2</v>
      </c>
      <c r="L4249" s="1" t="s">
        <v>66</v>
      </c>
      <c r="M4249" s="1" t="str">
        <f>"内蒙古自治区 呼和浩特市 新城区 "</f>
        <v xml:space="preserve">内蒙古自治区 呼和浩特市 新城区 </v>
      </c>
      <c r="N4249" s="1" t="str">
        <f t="shared" si="1358"/>
        <v>凡华云仓-城南圆通-微信视频号</v>
      </c>
      <c r="O4249" s="5" t="s">
        <v>4280</v>
      </c>
      <c r="P4249" s="6">
        <v>0.24</v>
      </c>
      <c r="Q4249" s="11">
        <v>2</v>
      </c>
      <c r="R4249" s="11"/>
      <c r="S4249" s="11"/>
      <c r="T4249" s="11"/>
      <c r="U4249" s="11">
        <f t="shared" si="1363"/>
        <v>2</v>
      </c>
      <c r="W4249">
        <v>2.2000000000000002</v>
      </c>
      <c r="X4249" s="1" t="s">
        <v>66</v>
      </c>
    </row>
    <row r="4250" spans="1:24" x14ac:dyDescent="0.25">
      <c r="A4250" s="1" t="str">
        <f t="shared" si="1364"/>
        <v>卡卡杜-凤凰仓</v>
      </c>
      <c r="B4250" s="1" t="str">
        <f>"CK20241022900"</f>
        <v>CK20241022900</v>
      </c>
      <c r="C4250" s="1" t="str">
        <f>"DD2024102257517"</f>
        <v>DD2024102257517</v>
      </c>
      <c r="D4250" s="1" t="str">
        <f>"CK2024102250644"</f>
        <v>CK2024102250644</v>
      </c>
      <c r="E4250" s="1" t="str">
        <f>"3723468688404124672"</f>
        <v>3723468688404124672</v>
      </c>
      <c r="F4250" s="1" t="str">
        <f t="shared" si="1365"/>
        <v>花都四部-凤凰仓</v>
      </c>
      <c r="G4250" s="1" t="str">
        <f t="shared" si="1370"/>
        <v>卡卡杜企业店（视频号）</v>
      </c>
      <c r="H4250" s="1" t="str">
        <f t="shared" si="1366"/>
        <v>正常订单</v>
      </c>
      <c r="I4250" s="1" t="str">
        <f t="shared" si="1367"/>
        <v>已发货</v>
      </c>
      <c r="J4250" s="1" t="str">
        <f t="shared" si="1373"/>
        <v>3</v>
      </c>
      <c r="K4250" s="1">
        <v>2</v>
      </c>
      <c r="L4250" s="1" t="s">
        <v>161</v>
      </c>
      <c r="M4250" s="1" t="str">
        <f>"四川省 成都市 成华区 "</f>
        <v xml:space="preserve">四川省 成都市 成华区 </v>
      </c>
      <c r="N4250" s="1" t="str">
        <f t="shared" si="1358"/>
        <v>凡华云仓-城南圆通-微信视频号</v>
      </c>
      <c r="O4250" s="5" t="s">
        <v>4281</v>
      </c>
      <c r="P4250" s="6">
        <v>0.24</v>
      </c>
      <c r="Q4250" s="11">
        <v>2</v>
      </c>
      <c r="R4250" s="11"/>
      <c r="S4250" s="11"/>
      <c r="T4250" s="11"/>
      <c r="U4250" s="11">
        <f t="shared" si="1363"/>
        <v>2</v>
      </c>
      <c r="W4250">
        <v>2.2000000000000002</v>
      </c>
      <c r="X4250" s="1" t="s">
        <v>161</v>
      </c>
    </row>
    <row r="4251" spans="1:24" x14ac:dyDescent="0.25">
      <c r="A4251" s="1" t="str">
        <f t="shared" si="1364"/>
        <v>卡卡杜-凤凰仓</v>
      </c>
      <c r="B4251" s="1" t="str">
        <f>"CK20241022785"</f>
        <v>CK20241022785</v>
      </c>
      <c r="C4251" s="1" t="str">
        <f>"DD2024102257101"</f>
        <v>DD2024102257101</v>
      </c>
      <c r="D4251" s="1" t="str">
        <f>"CK2024102250643"</f>
        <v>CK2024102250643</v>
      </c>
      <c r="E4251" s="1" t="str">
        <f>"3723468674811694080"</f>
        <v>3723468674811694080</v>
      </c>
      <c r="F4251" s="1" t="str">
        <f t="shared" si="1365"/>
        <v>花都四部-凤凰仓</v>
      </c>
      <c r="G4251" s="1" t="str">
        <f t="shared" si="1370"/>
        <v>卡卡杜企业店（视频号）</v>
      </c>
      <c r="H4251" s="1" t="str">
        <f t="shared" si="1366"/>
        <v>正常订单</v>
      </c>
      <c r="I4251" s="1" t="str">
        <f t="shared" si="1367"/>
        <v>已发货</v>
      </c>
      <c r="J4251" s="1" t="str">
        <f t="shared" ref="J4251:J4256" si="1374">"2"</f>
        <v>2</v>
      </c>
      <c r="K4251" s="1">
        <v>2</v>
      </c>
      <c r="L4251" s="1" t="s">
        <v>32</v>
      </c>
      <c r="M4251" s="1" t="str">
        <f>"陕西省 西安市 未央区 "</f>
        <v xml:space="preserve">陕西省 西安市 未央区 </v>
      </c>
      <c r="N4251" s="1" t="str">
        <f t="shared" si="1358"/>
        <v>凡华云仓-城南圆通-微信视频号</v>
      </c>
      <c r="O4251" s="5" t="s">
        <v>4282</v>
      </c>
      <c r="P4251" s="6">
        <v>0.17</v>
      </c>
      <c r="Q4251" s="11">
        <v>2</v>
      </c>
      <c r="R4251" s="11"/>
      <c r="S4251" s="11"/>
      <c r="T4251" s="11"/>
      <c r="U4251" s="11">
        <f t="shared" si="1363"/>
        <v>2</v>
      </c>
      <c r="W4251">
        <v>2.2000000000000002</v>
      </c>
      <c r="X4251" s="1" t="s">
        <v>32</v>
      </c>
    </row>
    <row r="4252" spans="1:24" x14ac:dyDescent="0.25">
      <c r="A4252" s="1" t="str">
        <f t="shared" si="1364"/>
        <v>卡卡杜-凤凰仓</v>
      </c>
      <c r="B4252" s="1" t="str">
        <f>"CK20241022715"</f>
        <v>CK20241022715</v>
      </c>
      <c r="C4252" s="1" t="str">
        <f>"DD2024102257018"</f>
        <v>DD2024102257018</v>
      </c>
      <c r="D4252" s="1" t="str">
        <f>"CK2024102250642"</f>
        <v>CK2024102250642</v>
      </c>
      <c r="E4252" s="1" t="str">
        <f>"3723468683503340544"</f>
        <v>3723468683503340544</v>
      </c>
      <c r="F4252" s="1" t="str">
        <f t="shared" si="1365"/>
        <v>花都四部-凤凰仓</v>
      </c>
      <c r="G4252" s="1" t="str">
        <f t="shared" si="1370"/>
        <v>卡卡杜企业店（视频号）</v>
      </c>
      <c r="H4252" s="1" t="str">
        <f t="shared" si="1366"/>
        <v>正常订单</v>
      </c>
      <c r="I4252" s="1" t="str">
        <f t="shared" si="1367"/>
        <v>已发货</v>
      </c>
      <c r="J4252" s="1" t="str">
        <f t="shared" ref="J4252:J4254" si="1375">"3"</f>
        <v>3</v>
      </c>
      <c r="K4252" s="1">
        <v>2</v>
      </c>
      <c r="L4252" s="1" t="s">
        <v>20</v>
      </c>
      <c r="M4252" s="1" t="str">
        <f>"浙江省 湖州市 安吉县 "</f>
        <v xml:space="preserve">浙江省 湖州市 安吉县 </v>
      </c>
      <c r="N4252" s="1" t="str">
        <f t="shared" si="1358"/>
        <v>凡华云仓-城南圆通-微信视频号</v>
      </c>
      <c r="O4252" s="5" t="s">
        <v>4283</v>
      </c>
      <c r="P4252" s="6">
        <v>0.24</v>
      </c>
      <c r="Q4252" s="11">
        <v>2</v>
      </c>
      <c r="R4252" s="11"/>
      <c r="S4252" s="11"/>
      <c r="T4252" s="11"/>
      <c r="U4252" s="11">
        <f t="shared" si="1363"/>
        <v>2</v>
      </c>
      <c r="W4252">
        <v>2.2000000000000002</v>
      </c>
      <c r="X4252" s="1" t="s">
        <v>20</v>
      </c>
    </row>
    <row r="4253" spans="1:24" x14ac:dyDescent="0.25">
      <c r="A4253" s="1" t="str">
        <f t="shared" si="1364"/>
        <v>卡卡杜-凤凰仓</v>
      </c>
      <c r="B4253" s="1" t="str">
        <f>"CK20241022962"</f>
        <v>CK20241022962</v>
      </c>
      <c r="C4253" s="1" t="str">
        <f>"DD2024102257723"</f>
        <v>DD2024102257723</v>
      </c>
      <c r="D4253" s="1" t="str">
        <f>"CK2024102250641"</f>
        <v>CK2024102250641</v>
      </c>
      <c r="E4253" s="1" t="str">
        <f>"3723468677753475072"</f>
        <v>3723468677753475072</v>
      </c>
      <c r="F4253" s="1" t="str">
        <f t="shared" si="1365"/>
        <v>花都四部-凤凰仓</v>
      </c>
      <c r="G4253" s="1" t="str">
        <f t="shared" si="1370"/>
        <v>卡卡杜企业店（视频号）</v>
      </c>
      <c r="H4253" s="1" t="str">
        <f t="shared" si="1366"/>
        <v>正常订单</v>
      </c>
      <c r="I4253" s="1" t="str">
        <f t="shared" si="1367"/>
        <v>已发货</v>
      </c>
      <c r="J4253" s="1" t="str">
        <f t="shared" si="1375"/>
        <v>3</v>
      </c>
      <c r="K4253" s="1">
        <v>2</v>
      </c>
      <c r="L4253" s="1" t="s">
        <v>54</v>
      </c>
      <c r="M4253" s="1" t="str">
        <f>"黑龙江省 哈尔滨市 松北区 "</f>
        <v xml:space="preserve">黑龙江省 哈尔滨市 松北区 </v>
      </c>
      <c r="N4253" s="1" t="str">
        <f t="shared" si="1358"/>
        <v>凡华云仓-城南圆通-微信视频号</v>
      </c>
      <c r="O4253" s="5" t="s">
        <v>4284</v>
      </c>
      <c r="P4253" s="6">
        <v>0.24</v>
      </c>
      <c r="Q4253" s="11">
        <v>2</v>
      </c>
      <c r="R4253" s="11"/>
      <c r="S4253" s="11"/>
      <c r="T4253" s="11"/>
      <c r="U4253" s="11">
        <f t="shared" si="1363"/>
        <v>2</v>
      </c>
      <c r="W4253">
        <v>2.2000000000000002</v>
      </c>
      <c r="X4253" s="1" t="s">
        <v>54</v>
      </c>
    </row>
    <row r="4254" spans="1:24" x14ac:dyDescent="0.25">
      <c r="A4254" s="1" t="str">
        <f t="shared" si="1364"/>
        <v>卡卡杜-凤凰仓</v>
      </c>
      <c r="B4254" s="1" t="str">
        <f>"CK20241022989"</f>
        <v>CK20241022989</v>
      </c>
      <c r="C4254" s="1" t="str">
        <f>"DD2024102257798"</f>
        <v>DD2024102257798</v>
      </c>
      <c r="D4254" s="1" t="str">
        <f>"CK2024102250640"</f>
        <v>CK2024102250640</v>
      </c>
      <c r="E4254" s="1" t="str">
        <f>"3723468677931205888"</f>
        <v>3723468677931205888</v>
      </c>
      <c r="F4254" s="1" t="str">
        <f t="shared" si="1365"/>
        <v>花都四部-凤凰仓</v>
      </c>
      <c r="G4254" s="1" t="str">
        <f t="shared" si="1370"/>
        <v>卡卡杜企业店（视频号）</v>
      </c>
      <c r="H4254" s="1" t="str">
        <f t="shared" si="1366"/>
        <v>正常订单</v>
      </c>
      <c r="I4254" s="1" t="str">
        <f t="shared" si="1367"/>
        <v>已发货</v>
      </c>
      <c r="J4254" s="1" t="str">
        <f t="shared" si="1375"/>
        <v>3</v>
      </c>
      <c r="K4254" s="1">
        <v>2</v>
      </c>
      <c r="L4254" s="1" t="s">
        <v>27</v>
      </c>
      <c r="M4254" s="1" t="str">
        <f>"贵州省 贵阳市 云岩区 "</f>
        <v xml:space="preserve">贵州省 贵阳市 云岩区 </v>
      </c>
      <c r="N4254" s="1" t="str">
        <f t="shared" si="1358"/>
        <v>凡华云仓-城南圆通-微信视频号</v>
      </c>
      <c r="O4254" s="5" t="s">
        <v>4285</v>
      </c>
      <c r="P4254" s="6">
        <v>0.24</v>
      </c>
      <c r="Q4254" s="11">
        <v>2</v>
      </c>
      <c r="R4254" s="11"/>
      <c r="S4254" s="11"/>
      <c r="T4254" s="11"/>
      <c r="U4254" s="11">
        <f t="shared" si="1363"/>
        <v>2</v>
      </c>
      <c r="W4254">
        <v>2.2000000000000002</v>
      </c>
      <c r="X4254" s="1" t="s">
        <v>27</v>
      </c>
    </row>
    <row r="4255" spans="1:24" x14ac:dyDescent="0.25">
      <c r="A4255" s="1" t="str">
        <f t="shared" si="1364"/>
        <v>卡卡杜-凤凰仓</v>
      </c>
      <c r="B4255" s="1" t="str">
        <f>"CK20241022691"</f>
        <v>CK20241022691</v>
      </c>
      <c r="C4255" s="1" t="str">
        <f>"DD2024102256994"</f>
        <v>DD2024102256994</v>
      </c>
      <c r="D4255" s="1" t="str">
        <f>"CK2024102250639"</f>
        <v>CK2024102250639</v>
      </c>
      <c r="E4255" s="1" t="str">
        <f>"3723468673867714560"</f>
        <v>3723468673867714560</v>
      </c>
      <c r="F4255" s="1" t="str">
        <f t="shared" si="1365"/>
        <v>花都四部-凤凰仓</v>
      </c>
      <c r="G4255" s="1" t="str">
        <f t="shared" si="1370"/>
        <v>卡卡杜企业店（视频号）</v>
      </c>
      <c r="H4255" s="1" t="str">
        <f t="shared" si="1366"/>
        <v>正常订单</v>
      </c>
      <c r="I4255" s="1" t="str">
        <f t="shared" si="1367"/>
        <v>已发货</v>
      </c>
      <c r="J4255" s="1" t="str">
        <f t="shared" si="1374"/>
        <v>2</v>
      </c>
      <c r="K4255" s="1">
        <v>2</v>
      </c>
      <c r="L4255" s="1" t="s">
        <v>18</v>
      </c>
      <c r="M4255" s="1" t="str">
        <f>"广东省 深圳市 盐田区 "</f>
        <v xml:space="preserve">广东省 深圳市 盐田区 </v>
      </c>
      <c r="N4255" s="1" t="str">
        <f t="shared" si="1358"/>
        <v>凡华云仓-城南圆通-微信视频号</v>
      </c>
      <c r="O4255" s="5" t="s">
        <v>4286</v>
      </c>
      <c r="P4255" s="6">
        <v>0.17</v>
      </c>
      <c r="Q4255" s="11">
        <v>2</v>
      </c>
      <c r="R4255" s="11"/>
      <c r="S4255" s="11"/>
      <c r="T4255" s="11"/>
      <c r="U4255" s="11">
        <f t="shared" si="1363"/>
        <v>2</v>
      </c>
      <c r="W4255">
        <v>2.2000000000000002</v>
      </c>
      <c r="X4255" s="1" t="s">
        <v>18</v>
      </c>
    </row>
    <row r="4256" spans="1:24" x14ac:dyDescent="0.25">
      <c r="A4256" s="1" t="str">
        <f t="shared" si="1364"/>
        <v>卡卡杜-凤凰仓</v>
      </c>
      <c r="B4256" s="1" t="str">
        <f>"CK20241022782"</f>
        <v>CK20241022782</v>
      </c>
      <c r="C4256" s="1" t="str">
        <f>"DD2024102257089"</f>
        <v>DD2024102257089</v>
      </c>
      <c r="D4256" s="1" t="str">
        <f>"CK2024102250638"</f>
        <v>CK2024102250638</v>
      </c>
      <c r="E4256" s="1" t="str">
        <f>"3723468676004189184"</f>
        <v>3723468676004189184</v>
      </c>
      <c r="F4256" s="1" t="str">
        <f t="shared" si="1365"/>
        <v>花都四部-凤凰仓</v>
      </c>
      <c r="G4256" s="1" t="str">
        <f t="shared" si="1370"/>
        <v>卡卡杜企业店（视频号）</v>
      </c>
      <c r="H4256" s="1" t="str">
        <f t="shared" si="1366"/>
        <v>正常订单</v>
      </c>
      <c r="I4256" s="1" t="str">
        <f t="shared" si="1367"/>
        <v>已发货</v>
      </c>
      <c r="J4256" s="1" t="str">
        <f t="shared" si="1374"/>
        <v>2</v>
      </c>
      <c r="K4256" s="1">
        <v>2</v>
      </c>
      <c r="L4256" s="1" t="s">
        <v>47</v>
      </c>
      <c r="M4256" s="1" t="str">
        <f>"重庆 重庆市 南岸区 "</f>
        <v xml:space="preserve">重庆 重庆市 南岸区 </v>
      </c>
      <c r="N4256" s="1" t="str">
        <f t="shared" si="1358"/>
        <v>凡华云仓-城南圆通-微信视频号</v>
      </c>
      <c r="O4256" s="5" t="s">
        <v>4287</v>
      </c>
      <c r="P4256" s="6">
        <v>0.17</v>
      </c>
      <c r="Q4256" s="11">
        <v>2</v>
      </c>
      <c r="R4256" s="11"/>
      <c r="S4256" s="11"/>
      <c r="T4256" s="11"/>
      <c r="U4256" s="11">
        <f t="shared" si="1363"/>
        <v>2</v>
      </c>
      <c r="W4256">
        <v>2.2000000000000002</v>
      </c>
      <c r="X4256" s="1" t="s">
        <v>47</v>
      </c>
    </row>
    <row r="4257" spans="1:24" x14ac:dyDescent="0.25">
      <c r="A4257" s="1" t="str">
        <f t="shared" si="1364"/>
        <v>卡卡杜-凤凰仓</v>
      </c>
      <c r="B4257" s="1" t="str">
        <f>"CK20241022973"</f>
        <v>CK20241022973</v>
      </c>
      <c r="C4257" s="1" t="str">
        <f>"DD2024102257750"</f>
        <v>DD2024102257750</v>
      </c>
      <c r="D4257" s="1" t="str">
        <f>"CK2024102250637"</f>
        <v>CK2024102250637</v>
      </c>
      <c r="E4257" s="1" t="str">
        <f>"3723468674342980608"</f>
        <v>3723468674342980608</v>
      </c>
      <c r="F4257" s="1" t="str">
        <f t="shared" si="1365"/>
        <v>花都四部-凤凰仓</v>
      </c>
      <c r="G4257" s="1" t="str">
        <f t="shared" si="1370"/>
        <v>卡卡杜企业店（视频号）</v>
      </c>
      <c r="H4257" s="1" t="str">
        <f t="shared" si="1366"/>
        <v>正常订单</v>
      </c>
      <c r="I4257" s="1" t="str">
        <f t="shared" si="1367"/>
        <v>已发货</v>
      </c>
      <c r="J4257" s="1" t="str">
        <f t="shared" ref="J4257:J4264" si="1376">"3"</f>
        <v>3</v>
      </c>
      <c r="K4257" s="1">
        <v>2</v>
      </c>
      <c r="L4257" s="1" t="s">
        <v>161</v>
      </c>
      <c r="M4257" s="1" t="str">
        <f>"四川省 绵阳市 安州区 "</f>
        <v xml:space="preserve">四川省 绵阳市 安州区 </v>
      </c>
      <c r="N4257" s="1" t="str">
        <f t="shared" si="1358"/>
        <v>凡华云仓-城南圆通-微信视频号</v>
      </c>
      <c r="O4257" s="5" t="s">
        <v>4288</v>
      </c>
      <c r="P4257" s="6">
        <v>0.24</v>
      </c>
      <c r="Q4257" s="11">
        <v>2</v>
      </c>
      <c r="R4257" s="11"/>
      <c r="S4257" s="11"/>
      <c r="T4257" s="11"/>
      <c r="U4257" s="11">
        <f t="shared" si="1363"/>
        <v>2</v>
      </c>
      <c r="W4257">
        <v>2.2000000000000002</v>
      </c>
      <c r="X4257" s="1" t="s">
        <v>161</v>
      </c>
    </row>
    <row r="4258" spans="1:24" x14ac:dyDescent="0.25">
      <c r="A4258" s="1" t="str">
        <f t="shared" si="1364"/>
        <v>卡卡杜-凤凰仓</v>
      </c>
      <c r="B4258" s="1" t="str">
        <f>"CK20241022986"</f>
        <v>CK20241022986</v>
      </c>
      <c r="C4258" s="1" t="str">
        <f>"DD2024102257793"</f>
        <v>DD2024102257793</v>
      </c>
      <c r="D4258" s="1" t="str">
        <f>"CK2024102250636"</f>
        <v>CK2024102250636</v>
      </c>
      <c r="E4258" s="1" t="str">
        <f>"3723468672911150080"</f>
        <v>3723468672911150080</v>
      </c>
      <c r="F4258" s="1" t="str">
        <f t="shared" si="1365"/>
        <v>花都四部-凤凰仓</v>
      </c>
      <c r="G4258" s="1" t="str">
        <f t="shared" si="1370"/>
        <v>卡卡杜企业店（视频号）</v>
      </c>
      <c r="H4258" s="1" t="str">
        <f t="shared" si="1366"/>
        <v>正常订单</v>
      </c>
      <c r="I4258" s="1" t="str">
        <f t="shared" si="1367"/>
        <v>已发货</v>
      </c>
      <c r="J4258" s="1" t="str">
        <f t="shared" si="1376"/>
        <v>3</v>
      </c>
      <c r="K4258" s="1">
        <v>2</v>
      </c>
      <c r="L4258" s="1" t="s">
        <v>74</v>
      </c>
      <c r="M4258" s="1" t="str">
        <f>"上海 上海市 长宁区 "</f>
        <v xml:space="preserve">上海 上海市 长宁区 </v>
      </c>
      <c r="N4258" s="1" t="str">
        <f t="shared" si="1358"/>
        <v>凡华云仓-城南圆通-微信视频号</v>
      </c>
      <c r="O4258" s="5" t="s">
        <v>4289</v>
      </c>
      <c r="P4258" s="6">
        <v>0.24</v>
      </c>
      <c r="Q4258" s="11">
        <v>2</v>
      </c>
      <c r="R4258" s="11"/>
      <c r="S4258" s="11"/>
      <c r="T4258" s="11"/>
      <c r="U4258" s="11">
        <f t="shared" si="1363"/>
        <v>2</v>
      </c>
      <c r="W4258">
        <v>2.2000000000000002</v>
      </c>
      <c r="X4258" s="1" t="s">
        <v>74</v>
      </c>
    </row>
    <row r="4259" spans="1:24" x14ac:dyDescent="0.25">
      <c r="A4259" s="1" t="str">
        <f t="shared" si="1364"/>
        <v>卡卡杜-凤凰仓</v>
      </c>
      <c r="B4259" s="1" t="str">
        <f>"CK20241022701"</f>
        <v>CK20241022701</v>
      </c>
      <c r="C4259" s="1" t="str">
        <f>"DD2024102257004"</f>
        <v>DD2024102257004</v>
      </c>
      <c r="D4259" s="1" t="str">
        <f>"CK2024102250635"</f>
        <v>CK2024102250635</v>
      </c>
      <c r="E4259" s="1" t="str">
        <f>"3723468674666990592"</f>
        <v>3723468674666990592</v>
      </c>
      <c r="F4259" s="1" t="str">
        <f t="shared" si="1365"/>
        <v>花都四部-凤凰仓</v>
      </c>
      <c r="G4259" s="1" t="str">
        <f t="shared" si="1370"/>
        <v>卡卡杜企业店（视频号）</v>
      </c>
      <c r="H4259" s="1" t="str">
        <f t="shared" si="1366"/>
        <v>正常订单</v>
      </c>
      <c r="I4259" s="1" t="str">
        <f t="shared" si="1367"/>
        <v>已发货</v>
      </c>
      <c r="J4259" s="1" t="str">
        <f>"2"</f>
        <v>2</v>
      </c>
      <c r="K4259" s="1">
        <v>2</v>
      </c>
      <c r="L4259" s="1" t="s">
        <v>47</v>
      </c>
      <c r="M4259" s="1" t="str">
        <f>"重庆 重庆市 渝北区 "</f>
        <v xml:space="preserve">重庆 重庆市 渝北区 </v>
      </c>
      <c r="N4259" s="1" t="str">
        <f t="shared" si="1358"/>
        <v>凡华云仓-城南圆通-微信视频号</v>
      </c>
      <c r="O4259" s="5" t="s">
        <v>4290</v>
      </c>
      <c r="P4259" s="6">
        <v>0.17</v>
      </c>
      <c r="Q4259" s="11">
        <v>2</v>
      </c>
      <c r="R4259" s="11"/>
      <c r="S4259" s="11"/>
      <c r="T4259" s="11"/>
      <c r="U4259" s="11">
        <f t="shared" si="1363"/>
        <v>2</v>
      </c>
      <c r="W4259">
        <v>2.2000000000000002</v>
      </c>
      <c r="X4259" s="1" t="s">
        <v>47</v>
      </c>
    </row>
    <row r="4260" spans="1:24" x14ac:dyDescent="0.25">
      <c r="A4260" s="1" t="str">
        <f t="shared" si="1364"/>
        <v>卡卡杜-凤凰仓</v>
      </c>
      <c r="B4260" s="1" t="str">
        <f>"CK20241022448"</f>
        <v>CK20241022448</v>
      </c>
      <c r="C4260" s="1" t="str">
        <f>"DD2024102255409"</f>
        <v>DD2024102255409</v>
      </c>
      <c r="D4260" s="1" t="str">
        <f>"CK2024102250634"</f>
        <v>CK2024102250634</v>
      </c>
      <c r="E4260" s="1" t="str">
        <f>"3723468614484759553"</f>
        <v>3723468614484759553</v>
      </c>
      <c r="F4260" s="1" t="str">
        <f t="shared" si="1365"/>
        <v>花都四部-凤凰仓</v>
      </c>
      <c r="G4260" s="1" t="str">
        <f t="shared" si="1370"/>
        <v>卡卡杜企业店（视频号）</v>
      </c>
      <c r="H4260" s="1" t="str">
        <f t="shared" si="1366"/>
        <v>正常订单</v>
      </c>
      <c r="I4260" s="1" t="str">
        <f t="shared" si="1367"/>
        <v>已发货</v>
      </c>
      <c r="J4260" s="1" t="str">
        <f t="shared" si="1376"/>
        <v>3</v>
      </c>
      <c r="K4260" s="1">
        <v>3</v>
      </c>
      <c r="L4260" s="1" t="s">
        <v>161</v>
      </c>
      <c r="M4260" s="1" t="str">
        <f>"四川省 成都市 新都区 "</f>
        <v xml:space="preserve">四川省 成都市 新都区 </v>
      </c>
      <c r="N4260" s="1" t="str">
        <f t="shared" si="1358"/>
        <v>凡华云仓-城南圆通-微信视频号</v>
      </c>
      <c r="O4260" s="5" t="s">
        <v>4291</v>
      </c>
      <c r="P4260" s="6">
        <v>0.34</v>
      </c>
      <c r="Q4260" s="11">
        <v>2.2999999999999998</v>
      </c>
      <c r="R4260" s="11"/>
      <c r="S4260" s="11"/>
      <c r="T4260" s="11"/>
      <c r="U4260" s="11">
        <f t="shared" si="1363"/>
        <v>2.2999999999999998</v>
      </c>
      <c r="W4260">
        <v>2.5</v>
      </c>
      <c r="X4260" s="1" t="s">
        <v>161</v>
      </c>
    </row>
    <row r="4261" spans="1:24" x14ac:dyDescent="0.25">
      <c r="A4261" s="1" t="str">
        <f t="shared" si="1364"/>
        <v>卡卡杜-凤凰仓</v>
      </c>
      <c r="B4261" s="1" t="str">
        <f>"CK20241022501"</f>
        <v>CK20241022501</v>
      </c>
      <c r="C4261" s="1" t="str">
        <f>"DD2024102255628"</f>
        <v>DD2024102255628</v>
      </c>
      <c r="D4261" s="1" t="str">
        <f>"CK2024102250633"</f>
        <v>CK2024102250633</v>
      </c>
      <c r="E4261" s="1" t="str">
        <f>"3723468597518013440"</f>
        <v>3723468597518013440</v>
      </c>
      <c r="F4261" s="1" t="str">
        <f t="shared" si="1365"/>
        <v>花都四部-凤凰仓</v>
      </c>
      <c r="G4261" s="1" t="str">
        <f t="shared" si="1370"/>
        <v>卡卡杜企业店（视频号）</v>
      </c>
      <c r="H4261" s="1" t="str">
        <f t="shared" si="1366"/>
        <v>正常订单</v>
      </c>
      <c r="I4261" s="1" t="str">
        <f t="shared" si="1367"/>
        <v>已发货</v>
      </c>
      <c r="J4261" s="1" t="str">
        <f t="shared" si="1376"/>
        <v>3</v>
      </c>
      <c r="K4261" s="1">
        <v>3</v>
      </c>
      <c r="L4261" s="1" t="s">
        <v>18</v>
      </c>
      <c r="M4261" s="1" t="str">
        <f>"广东省 韶关市 武江区 "</f>
        <v xml:space="preserve">广东省 韶关市 武江区 </v>
      </c>
      <c r="N4261" s="1" t="str">
        <f t="shared" si="1358"/>
        <v>凡华云仓-城南圆通-微信视频号</v>
      </c>
      <c r="O4261" s="5" t="s">
        <v>4292</v>
      </c>
      <c r="P4261" s="6">
        <v>0.34</v>
      </c>
      <c r="Q4261" s="11">
        <v>2.2999999999999998</v>
      </c>
      <c r="R4261" s="11"/>
      <c r="S4261" s="11"/>
      <c r="T4261" s="11"/>
      <c r="U4261" s="11">
        <f t="shared" si="1363"/>
        <v>2.2999999999999998</v>
      </c>
      <c r="W4261">
        <v>2.5</v>
      </c>
      <c r="X4261" s="1" t="s">
        <v>18</v>
      </c>
    </row>
    <row r="4262" spans="1:24" x14ac:dyDescent="0.25">
      <c r="A4262" s="1" t="str">
        <f t="shared" si="1364"/>
        <v>卡卡杜-凤凰仓</v>
      </c>
      <c r="B4262" s="1" t="str">
        <f>"CK20241022460"</f>
        <v>CK20241022460</v>
      </c>
      <c r="C4262" s="1" t="str">
        <f>"DD2024102255466"</f>
        <v>DD2024102255466</v>
      </c>
      <c r="D4262" s="1" t="str">
        <f>"CK2024102250632"</f>
        <v>CK2024102250632</v>
      </c>
      <c r="E4262" s="1" t="str">
        <f>"3723468572179170816"</f>
        <v>3723468572179170816</v>
      </c>
      <c r="F4262" s="1" t="str">
        <f t="shared" si="1365"/>
        <v>花都四部-凤凰仓</v>
      </c>
      <c r="G4262" s="1" t="str">
        <f t="shared" si="1370"/>
        <v>卡卡杜企业店（视频号）</v>
      </c>
      <c r="H4262" s="1" t="str">
        <f t="shared" si="1366"/>
        <v>正常订单</v>
      </c>
      <c r="I4262" s="1" t="str">
        <f t="shared" si="1367"/>
        <v>已发货</v>
      </c>
      <c r="J4262" s="1" t="str">
        <f t="shared" si="1376"/>
        <v>3</v>
      </c>
      <c r="K4262" s="1">
        <v>3</v>
      </c>
      <c r="L4262" s="1" t="s">
        <v>47</v>
      </c>
      <c r="M4262" s="1" t="str">
        <f>"重庆 重庆市 渝北区 "</f>
        <v xml:space="preserve">重庆 重庆市 渝北区 </v>
      </c>
      <c r="N4262" s="1" t="str">
        <f t="shared" si="1358"/>
        <v>凡华云仓-城南圆通-微信视频号</v>
      </c>
      <c r="O4262" s="5" t="s">
        <v>4293</v>
      </c>
      <c r="P4262" s="6">
        <v>0.34</v>
      </c>
      <c r="Q4262" s="11">
        <v>2.2999999999999998</v>
      </c>
      <c r="R4262" s="11"/>
      <c r="S4262" s="11"/>
      <c r="T4262" s="11"/>
      <c r="U4262" s="11">
        <f t="shared" si="1363"/>
        <v>2.2999999999999998</v>
      </c>
      <c r="W4262">
        <v>2.5</v>
      </c>
      <c r="X4262" s="1" t="s">
        <v>47</v>
      </c>
    </row>
    <row r="4263" spans="1:24" x14ac:dyDescent="0.25">
      <c r="A4263" s="1" t="str">
        <f t="shared" si="1364"/>
        <v>卡卡杜-凤凰仓</v>
      </c>
      <c r="B4263" s="1" t="str">
        <f>"CK20241022367"</f>
        <v>CK20241022367</v>
      </c>
      <c r="C4263" s="1" t="str">
        <f>"DD2024102254060"</f>
        <v>DD2024102254060</v>
      </c>
      <c r="D4263" s="1" t="str">
        <f>"CK2024102250631"</f>
        <v>CK2024102250631</v>
      </c>
      <c r="E4263" s="1" t="str">
        <f>"3723468556800234496"</f>
        <v>3723468556800234496</v>
      </c>
      <c r="F4263" s="1" t="str">
        <f t="shared" si="1365"/>
        <v>花都四部-凤凰仓</v>
      </c>
      <c r="G4263" s="1" t="str">
        <f t="shared" si="1370"/>
        <v>卡卡杜企业店（视频号）</v>
      </c>
      <c r="H4263" s="1" t="str">
        <f t="shared" si="1366"/>
        <v>正常订单</v>
      </c>
      <c r="I4263" s="1" t="str">
        <f t="shared" si="1367"/>
        <v>已发货</v>
      </c>
      <c r="J4263" s="1" t="str">
        <f t="shared" si="1376"/>
        <v>3</v>
      </c>
      <c r="K4263" s="1">
        <v>3</v>
      </c>
      <c r="L4263" s="1" t="s">
        <v>96</v>
      </c>
      <c r="M4263" s="1" t="str">
        <f>"广西壮族自治区 百色市 平果县 "</f>
        <v xml:space="preserve">广西壮族自治区 百色市 平果县 </v>
      </c>
      <c r="N4263" s="1" t="str">
        <f t="shared" si="1358"/>
        <v>凡华云仓-城南圆通-微信视频号</v>
      </c>
      <c r="O4263" s="5" t="s">
        <v>4294</v>
      </c>
      <c r="P4263" s="6">
        <v>0.34</v>
      </c>
      <c r="Q4263" s="11">
        <v>2.2999999999999998</v>
      </c>
      <c r="R4263" s="11"/>
      <c r="S4263" s="11"/>
      <c r="T4263" s="11"/>
      <c r="U4263" s="11">
        <f t="shared" si="1363"/>
        <v>2.2999999999999998</v>
      </c>
      <c r="W4263">
        <v>2.5</v>
      </c>
      <c r="X4263" s="1" t="s">
        <v>96</v>
      </c>
    </row>
    <row r="4264" spans="1:24" x14ac:dyDescent="0.25">
      <c r="A4264" s="1" t="str">
        <f t="shared" si="1364"/>
        <v>卡卡杜-凤凰仓</v>
      </c>
      <c r="B4264" s="1" t="str">
        <f>"CK20241022371"</f>
        <v>CK20241022371</v>
      </c>
      <c r="C4264" s="1" t="str">
        <f>"DD2024102254074"</f>
        <v>DD2024102254074</v>
      </c>
      <c r="D4264" s="1" t="str">
        <f>"CK2024102250630"</f>
        <v>CK2024102250630</v>
      </c>
      <c r="E4264" s="1" t="str">
        <f>"3723468495091272704"</f>
        <v>3723468495091272704</v>
      </c>
      <c r="F4264" s="1" t="str">
        <f t="shared" si="1365"/>
        <v>花都四部-凤凰仓</v>
      </c>
      <c r="G4264" s="1" t="str">
        <f t="shared" si="1370"/>
        <v>卡卡杜企业店（视频号）</v>
      </c>
      <c r="H4264" s="1" t="str">
        <f t="shared" si="1366"/>
        <v>正常订单</v>
      </c>
      <c r="I4264" s="1" t="str">
        <f t="shared" si="1367"/>
        <v>已发货</v>
      </c>
      <c r="J4264" s="1" t="str">
        <f t="shared" si="1376"/>
        <v>3</v>
      </c>
      <c r="K4264" s="1">
        <v>3</v>
      </c>
      <c r="L4264" s="1" t="s">
        <v>105</v>
      </c>
      <c r="M4264" s="1" t="str">
        <f>"北京 北京市 朝阳区 "</f>
        <v xml:space="preserve">北京 北京市 朝阳区 </v>
      </c>
      <c r="N4264" s="1" t="str">
        <f t="shared" si="1358"/>
        <v>凡华云仓-城南圆通-微信视频号</v>
      </c>
      <c r="O4264" s="5" t="s">
        <v>4295</v>
      </c>
      <c r="P4264" s="6">
        <v>0.34</v>
      </c>
      <c r="Q4264" s="11">
        <v>2.2999999999999998</v>
      </c>
      <c r="R4264" s="11"/>
      <c r="S4264" s="11"/>
      <c r="T4264" s="11"/>
      <c r="U4264" s="11">
        <f t="shared" si="1363"/>
        <v>2.2999999999999998</v>
      </c>
      <c r="W4264">
        <v>2.5</v>
      </c>
      <c r="X4264" s="1" t="s">
        <v>105</v>
      </c>
    </row>
    <row r="4265" spans="1:24" x14ac:dyDescent="0.25">
      <c r="A4265" s="1" t="str">
        <f t="shared" si="1364"/>
        <v>卡卡杜-凤凰仓</v>
      </c>
      <c r="B4265" s="1" t="str">
        <f>"CK20241022514"</f>
        <v>CK20241022514</v>
      </c>
      <c r="C4265" s="1" t="str">
        <f>"DD2024102255668"</f>
        <v>DD2024102255668</v>
      </c>
      <c r="D4265" s="1" t="str">
        <f>"CK2024102250629"</f>
        <v>CK2024102250629</v>
      </c>
      <c r="E4265" s="1" t="str">
        <f>"3723468563866846720"</f>
        <v>3723468563866846720</v>
      </c>
      <c r="F4265" s="1" t="str">
        <f t="shared" si="1365"/>
        <v>花都四部-凤凰仓</v>
      </c>
      <c r="G4265" s="1" t="str">
        <f t="shared" si="1370"/>
        <v>卡卡杜企业店（视频号）</v>
      </c>
      <c r="H4265" s="1" t="str">
        <f t="shared" si="1366"/>
        <v>正常订单</v>
      </c>
      <c r="I4265" s="1" t="str">
        <f t="shared" si="1367"/>
        <v>已发货</v>
      </c>
      <c r="J4265" s="1" t="str">
        <f t="shared" ref="J4265:J4270" si="1377">"5"</f>
        <v>5</v>
      </c>
      <c r="K4265" s="1">
        <v>3</v>
      </c>
      <c r="L4265" s="1" t="s">
        <v>18</v>
      </c>
      <c r="M4265" s="1" t="str">
        <f>"广东省 惠州市 惠城区 "</f>
        <v xml:space="preserve">广东省 惠州市 惠城区 </v>
      </c>
      <c r="N4265" s="1" t="str">
        <f t="shared" si="1358"/>
        <v>凡华云仓-城南圆通-微信视频号</v>
      </c>
      <c r="O4265" s="5" t="s">
        <v>4296</v>
      </c>
      <c r="P4265" s="6">
        <v>0.56000000000000005</v>
      </c>
      <c r="Q4265" s="11">
        <f t="shared" ref="Q4265:Q4270" si="1378">CEILING(P4265-0.5,0.1)*10*0.15+2.3</f>
        <v>2.4499999999999997</v>
      </c>
      <c r="R4265" s="11"/>
      <c r="S4265" s="11"/>
      <c r="T4265" s="11"/>
      <c r="U4265" s="11">
        <f t="shared" si="1363"/>
        <v>2.4499999999999997</v>
      </c>
      <c r="V4265" t="s">
        <v>15</v>
      </c>
      <c r="W4265">
        <v>2.4500000000000002</v>
      </c>
      <c r="X4265" s="1" t="s">
        <v>18</v>
      </c>
    </row>
    <row r="4266" spans="1:24" x14ac:dyDescent="0.25">
      <c r="A4266" s="1" t="str">
        <f t="shared" si="1364"/>
        <v>卡卡杜-凤凰仓</v>
      </c>
      <c r="B4266" s="1" t="str">
        <f>"CK20241022365"</f>
        <v>CK20241022365</v>
      </c>
      <c r="C4266" s="1" t="str">
        <f>"DD2024102254057"</f>
        <v>DD2024102254057</v>
      </c>
      <c r="D4266" s="1" t="str">
        <f>"CK2024102250628"</f>
        <v>CK2024102250628</v>
      </c>
      <c r="E4266" s="1" t="str">
        <f>"3723468564471350528"</f>
        <v>3723468564471350528</v>
      </c>
      <c r="F4266" s="1" t="str">
        <f t="shared" si="1365"/>
        <v>花都四部-凤凰仓</v>
      </c>
      <c r="G4266" s="1" t="str">
        <f t="shared" si="1370"/>
        <v>卡卡杜企业店（视频号）</v>
      </c>
      <c r="H4266" s="1" t="str">
        <f t="shared" si="1366"/>
        <v>正常订单</v>
      </c>
      <c r="I4266" s="1" t="str">
        <f t="shared" si="1367"/>
        <v>已发货</v>
      </c>
      <c r="J4266" s="1" t="str">
        <f t="shared" ref="J4266:J4268" si="1379">"3"</f>
        <v>3</v>
      </c>
      <c r="K4266" s="1">
        <v>3</v>
      </c>
      <c r="L4266" s="1" t="s">
        <v>13</v>
      </c>
      <c r="M4266" s="1" t="str">
        <f>"江苏省 连云港市 赣榆区 "</f>
        <v xml:space="preserve">江苏省 连云港市 赣榆区 </v>
      </c>
      <c r="N4266" s="1" t="str">
        <f t="shared" si="1358"/>
        <v>凡华云仓-城南圆通-微信视频号</v>
      </c>
      <c r="O4266" s="5" t="s">
        <v>4297</v>
      </c>
      <c r="P4266" s="6">
        <v>0.34</v>
      </c>
      <c r="Q4266" s="11">
        <v>2.2999999999999998</v>
      </c>
      <c r="R4266" s="11"/>
      <c r="S4266" s="11"/>
      <c r="T4266" s="11"/>
      <c r="U4266" s="11">
        <f t="shared" si="1363"/>
        <v>2.2999999999999998</v>
      </c>
      <c r="W4266">
        <v>2.5</v>
      </c>
      <c r="X4266" s="1" t="s">
        <v>13</v>
      </c>
    </row>
    <row r="4267" spans="1:24" x14ac:dyDescent="0.25">
      <c r="A4267" s="1" t="str">
        <f t="shared" si="1364"/>
        <v>卡卡杜-凤凰仓</v>
      </c>
      <c r="B4267" s="1" t="str">
        <f>"CK20241022366"</f>
        <v>CK20241022366</v>
      </c>
      <c r="C4267" s="1" t="str">
        <f>"DD2024102254055"</f>
        <v>DD2024102254055</v>
      </c>
      <c r="D4267" s="1" t="str">
        <f>"CK2024102250627"</f>
        <v>CK2024102250627</v>
      </c>
      <c r="E4267" s="1" t="str">
        <f>"3723468557123716352"</f>
        <v>3723468557123716352</v>
      </c>
      <c r="F4267" s="1" t="str">
        <f t="shared" si="1365"/>
        <v>花都四部-凤凰仓</v>
      </c>
      <c r="G4267" s="1" t="str">
        <f t="shared" si="1370"/>
        <v>卡卡杜企业店（视频号）</v>
      </c>
      <c r="H4267" s="1" t="str">
        <f t="shared" si="1366"/>
        <v>正常订单</v>
      </c>
      <c r="I4267" s="1" t="str">
        <f t="shared" si="1367"/>
        <v>已发货</v>
      </c>
      <c r="J4267" s="1" t="str">
        <f t="shared" si="1379"/>
        <v>3</v>
      </c>
      <c r="K4267" s="1">
        <v>3</v>
      </c>
      <c r="L4267" s="1" t="s">
        <v>74</v>
      </c>
      <c r="M4267" s="1" t="str">
        <f>"上海 上海市 普陀区 "</f>
        <v xml:space="preserve">上海 上海市 普陀区 </v>
      </c>
      <c r="N4267" s="1" t="str">
        <f t="shared" si="1358"/>
        <v>凡华云仓-城南圆通-微信视频号</v>
      </c>
      <c r="O4267" s="5" t="s">
        <v>4298</v>
      </c>
      <c r="P4267" s="6">
        <v>0.34</v>
      </c>
      <c r="Q4267" s="11">
        <v>2.2999999999999998</v>
      </c>
      <c r="R4267" s="11"/>
      <c r="S4267" s="11"/>
      <c r="T4267" s="11"/>
      <c r="U4267" s="11">
        <f t="shared" si="1363"/>
        <v>2.2999999999999998</v>
      </c>
      <c r="W4267">
        <v>2.5</v>
      </c>
      <c r="X4267" s="1" t="s">
        <v>74</v>
      </c>
    </row>
    <row r="4268" spans="1:24" x14ac:dyDescent="0.25">
      <c r="A4268" s="1" t="str">
        <f t="shared" si="1364"/>
        <v>卡卡杜-凤凰仓</v>
      </c>
      <c r="B4268" s="1" t="str">
        <f>"CK20241022368"</f>
        <v>CK20241022368</v>
      </c>
      <c r="C4268" s="1" t="str">
        <f>"DD2024102254061"</f>
        <v>DD2024102254061</v>
      </c>
      <c r="D4268" s="1" t="str">
        <f>"CK2024102250626"</f>
        <v>CK2024102250626</v>
      </c>
      <c r="E4268" s="1" t="str">
        <f>"3723468556050761216"</f>
        <v>3723468556050761216</v>
      </c>
      <c r="F4268" s="1" t="str">
        <f t="shared" si="1365"/>
        <v>花都四部-凤凰仓</v>
      </c>
      <c r="G4268" s="1" t="str">
        <f t="shared" si="1370"/>
        <v>卡卡杜企业店（视频号）</v>
      </c>
      <c r="H4268" s="1" t="str">
        <f t="shared" si="1366"/>
        <v>正常订单</v>
      </c>
      <c r="I4268" s="1" t="str">
        <f t="shared" si="1367"/>
        <v>已发货</v>
      </c>
      <c r="J4268" s="1" t="str">
        <f t="shared" si="1379"/>
        <v>3</v>
      </c>
      <c r="K4268" s="1">
        <v>3</v>
      </c>
      <c r="L4268" s="1" t="s">
        <v>105</v>
      </c>
      <c r="M4268" s="1" t="str">
        <f>"北京 北京市 大兴区 "</f>
        <v xml:space="preserve">北京 北京市 大兴区 </v>
      </c>
      <c r="N4268" s="1" t="str">
        <f t="shared" si="1358"/>
        <v>凡华云仓-城南圆通-微信视频号</v>
      </c>
      <c r="O4268" s="5" t="s">
        <v>4299</v>
      </c>
      <c r="P4268" s="6">
        <v>0.34</v>
      </c>
      <c r="Q4268" s="11">
        <v>2.2999999999999998</v>
      </c>
      <c r="R4268" s="11"/>
      <c r="S4268" s="11"/>
      <c r="T4268" s="11"/>
      <c r="U4268" s="11">
        <f t="shared" si="1363"/>
        <v>2.2999999999999998</v>
      </c>
      <c r="W4268">
        <v>2.5</v>
      </c>
      <c r="X4268" s="1" t="s">
        <v>105</v>
      </c>
    </row>
    <row r="4269" spans="1:24" x14ac:dyDescent="0.25">
      <c r="A4269" s="1" t="str">
        <f t="shared" si="1364"/>
        <v>卡卡杜-凤凰仓</v>
      </c>
      <c r="B4269" s="1" t="str">
        <f>"CK20241022369"</f>
        <v>CK20241022369</v>
      </c>
      <c r="C4269" s="1" t="str">
        <f>"DD2024102254062"</f>
        <v>DD2024102254062</v>
      </c>
      <c r="D4269" s="1" t="str">
        <f>"CK2024102250625"</f>
        <v>CK2024102250625</v>
      </c>
      <c r="E4269" s="1" t="str">
        <f>"3723468540034028544"</f>
        <v>3723468540034028544</v>
      </c>
      <c r="F4269" s="1" t="str">
        <f t="shared" si="1365"/>
        <v>花都四部-凤凰仓</v>
      </c>
      <c r="G4269" s="1" t="str">
        <f t="shared" si="1370"/>
        <v>卡卡杜企业店（视频号）</v>
      </c>
      <c r="H4269" s="1" t="str">
        <f t="shared" si="1366"/>
        <v>正常订单</v>
      </c>
      <c r="I4269" s="1" t="str">
        <f t="shared" si="1367"/>
        <v>已发货</v>
      </c>
      <c r="J4269" s="1" t="str">
        <f t="shared" si="1377"/>
        <v>5</v>
      </c>
      <c r="K4269" s="1">
        <v>3</v>
      </c>
      <c r="L4269" s="1" t="s">
        <v>36</v>
      </c>
      <c r="M4269" s="1" t="str">
        <f>"安徽省 合肥市 蜀山区 "</f>
        <v xml:space="preserve">安徽省 合肥市 蜀山区 </v>
      </c>
      <c r="N4269" s="1" t="str">
        <f t="shared" si="1358"/>
        <v>凡华云仓-城南圆通-微信视频号</v>
      </c>
      <c r="O4269" s="5" t="s">
        <v>4300</v>
      </c>
      <c r="P4269" s="6">
        <v>0.56000000000000005</v>
      </c>
      <c r="Q4269" s="11">
        <f t="shared" si="1378"/>
        <v>2.4499999999999997</v>
      </c>
      <c r="R4269" s="11"/>
      <c r="S4269" s="11"/>
      <c r="T4269" s="11"/>
      <c r="U4269" s="11">
        <f t="shared" si="1363"/>
        <v>2.4499999999999997</v>
      </c>
      <c r="V4269" t="s">
        <v>15</v>
      </c>
      <c r="W4269">
        <v>2.4500000000000002</v>
      </c>
      <c r="X4269" s="1" t="s">
        <v>36</v>
      </c>
    </row>
    <row r="4270" spans="1:24" x14ac:dyDescent="0.25">
      <c r="A4270" s="1" t="str">
        <f t="shared" si="1364"/>
        <v>卡卡杜-凤凰仓</v>
      </c>
      <c r="B4270" s="1" t="str">
        <f>"CK20241022370"</f>
        <v>CK20241022370</v>
      </c>
      <c r="C4270" s="1" t="str">
        <f>"DD2024102254070"</f>
        <v>DD2024102254070</v>
      </c>
      <c r="D4270" s="1" t="str">
        <f>"CK2024102250624"</f>
        <v>CK2024102250624</v>
      </c>
      <c r="E4270" s="1" t="str">
        <f>"3723468538699187712"</f>
        <v>3723468538699187712</v>
      </c>
      <c r="F4270" s="1" t="str">
        <f t="shared" si="1365"/>
        <v>花都四部-凤凰仓</v>
      </c>
      <c r="G4270" s="1" t="str">
        <f t="shared" si="1370"/>
        <v>卡卡杜企业店（视频号）</v>
      </c>
      <c r="H4270" s="1" t="str">
        <f t="shared" si="1366"/>
        <v>正常订单</v>
      </c>
      <c r="I4270" s="1" t="str">
        <f t="shared" si="1367"/>
        <v>已发货</v>
      </c>
      <c r="J4270" s="1" t="str">
        <f t="shared" si="1377"/>
        <v>5</v>
      </c>
      <c r="K4270" s="1">
        <v>3</v>
      </c>
      <c r="L4270" s="1" t="s">
        <v>20</v>
      </c>
      <c r="M4270" s="1" t="str">
        <f>"浙江省 杭州市 西湖区 "</f>
        <v xml:space="preserve">浙江省 杭州市 西湖区 </v>
      </c>
      <c r="N4270" s="1" t="str">
        <f t="shared" si="1358"/>
        <v>凡华云仓-城南圆通-微信视频号</v>
      </c>
      <c r="O4270" s="5" t="s">
        <v>4301</v>
      </c>
      <c r="P4270" s="6">
        <v>0.56000000000000005</v>
      </c>
      <c r="Q4270" s="11">
        <f t="shared" si="1378"/>
        <v>2.4499999999999997</v>
      </c>
      <c r="R4270" s="11"/>
      <c r="S4270" s="11"/>
      <c r="T4270" s="11"/>
      <c r="U4270" s="11">
        <f t="shared" si="1363"/>
        <v>2.4499999999999997</v>
      </c>
      <c r="V4270" t="s">
        <v>15</v>
      </c>
      <c r="W4270">
        <v>2.4500000000000002</v>
      </c>
      <c r="X4270" s="1" t="s">
        <v>20</v>
      </c>
    </row>
    <row r="4271" spans="1:24" x14ac:dyDescent="0.25">
      <c r="A4271" s="1" t="str">
        <f t="shared" si="1364"/>
        <v>卡卡杜-凤凰仓</v>
      </c>
      <c r="B4271" s="1" t="str">
        <f>"CK20241022473"</f>
        <v>CK20241022473</v>
      </c>
      <c r="C4271" s="1" t="str">
        <f>"DD2024102255523"</f>
        <v>DD2024102255523</v>
      </c>
      <c r="D4271" s="1" t="str">
        <f>"CK2024102250623"</f>
        <v>CK2024102250623</v>
      </c>
      <c r="E4271" s="1" t="str">
        <f>"3723468509935965184"</f>
        <v>3723468509935965184</v>
      </c>
      <c r="F4271" s="1" t="str">
        <f t="shared" si="1365"/>
        <v>花都四部-凤凰仓</v>
      </c>
      <c r="G4271" s="1" t="str">
        <f t="shared" si="1370"/>
        <v>卡卡杜企业店（视频号）</v>
      </c>
      <c r="H4271" s="1" t="str">
        <f t="shared" si="1366"/>
        <v>正常订单</v>
      </c>
      <c r="I4271" s="1" t="str">
        <f t="shared" si="1367"/>
        <v>已发货</v>
      </c>
      <c r="J4271" s="1" t="str">
        <f t="shared" ref="J4271:J4275" si="1380">"3"</f>
        <v>3</v>
      </c>
      <c r="K4271" s="1">
        <v>3</v>
      </c>
      <c r="L4271" s="1" t="s">
        <v>20</v>
      </c>
      <c r="M4271" s="1" t="str">
        <f>"浙江省 湖州市 安吉县 "</f>
        <v xml:space="preserve">浙江省 湖州市 安吉县 </v>
      </c>
      <c r="N4271" s="1" t="str">
        <f t="shared" si="1358"/>
        <v>凡华云仓-城南圆通-微信视频号</v>
      </c>
      <c r="O4271" s="5" t="s">
        <v>4302</v>
      </c>
      <c r="P4271" s="6">
        <v>0.34</v>
      </c>
      <c r="Q4271" s="11">
        <v>2.2999999999999998</v>
      </c>
      <c r="R4271" s="11"/>
      <c r="S4271" s="11"/>
      <c r="T4271" s="11"/>
      <c r="U4271" s="11">
        <f t="shared" si="1363"/>
        <v>2.2999999999999998</v>
      </c>
      <c r="W4271">
        <v>2.5</v>
      </c>
      <c r="X4271" s="1" t="s">
        <v>20</v>
      </c>
    </row>
    <row r="4272" spans="1:24" x14ac:dyDescent="0.25">
      <c r="A4272" s="1" t="str">
        <f t="shared" si="1364"/>
        <v>卡卡杜-凤凰仓</v>
      </c>
      <c r="B4272" s="1" t="str">
        <f>"CK20241022372"</f>
        <v>CK20241022372</v>
      </c>
      <c r="C4272" s="1" t="str">
        <f>"DD2024102254083"</f>
        <v>DD2024102254083</v>
      </c>
      <c r="D4272" s="1" t="str">
        <f>"CK2024102250622"</f>
        <v>CK2024102250622</v>
      </c>
      <c r="E4272" s="1" t="str">
        <f>"3723468484476801024"</f>
        <v>3723468484476801024</v>
      </c>
      <c r="F4272" s="1" t="str">
        <f t="shared" si="1365"/>
        <v>花都四部-凤凰仓</v>
      </c>
      <c r="G4272" s="1" t="str">
        <f t="shared" si="1370"/>
        <v>卡卡杜企业店（视频号）</v>
      </c>
      <c r="H4272" s="1" t="str">
        <f t="shared" si="1366"/>
        <v>正常订单</v>
      </c>
      <c r="I4272" s="1" t="str">
        <f t="shared" si="1367"/>
        <v>已发货</v>
      </c>
      <c r="J4272" s="1" t="str">
        <f>"5"</f>
        <v>5</v>
      </c>
      <c r="K4272" s="1">
        <v>3</v>
      </c>
      <c r="L4272" s="1" t="s">
        <v>24</v>
      </c>
      <c r="M4272" s="1" t="str">
        <f>"福建省 福州市 马尾区 "</f>
        <v xml:space="preserve">福建省 福州市 马尾区 </v>
      </c>
      <c r="N4272" s="1" t="str">
        <f t="shared" si="1358"/>
        <v>凡华云仓-城南圆通-微信视频号</v>
      </c>
      <c r="O4272" s="5" t="s">
        <v>4303</v>
      </c>
      <c r="P4272" s="6">
        <v>0.56000000000000005</v>
      </c>
      <c r="Q4272" s="11">
        <f>CEILING(P4272-0.5,0.1)*10*0.15+2.3</f>
        <v>2.4499999999999997</v>
      </c>
      <c r="R4272" s="11"/>
      <c r="S4272" s="11"/>
      <c r="T4272" s="11"/>
      <c r="U4272" s="11">
        <f t="shared" si="1363"/>
        <v>2.4499999999999997</v>
      </c>
      <c r="V4272" t="s">
        <v>15</v>
      </c>
      <c r="W4272">
        <v>2.4500000000000002</v>
      </c>
      <c r="X4272" s="1" t="s">
        <v>24</v>
      </c>
    </row>
    <row r="4273" spans="1:24" x14ac:dyDescent="0.25">
      <c r="A4273" s="1" t="str">
        <f t="shared" si="1364"/>
        <v>卡卡杜-凤凰仓</v>
      </c>
      <c r="B4273" s="1" t="str">
        <f>"CK20241022527"</f>
        <v>CK20241022527</v>
      </c>
      <c r="C4273" s="1" t="str">
        <f>"DD2024102255710"</f>
        <v>DD2024102255710</v>
      </c>
      <c r="D4273" s="1" t="str">
        <f>"CK2024102250621"</f>
        <v>CK2024102250621</v>
      </c>
      <c r="E4273" s="1" t="str">
        <f>"3723468469047002369"</f>
        <v>3723468469047002369</v>
      </c>
      <c r="F4273" s="1" t="str">
        <f t="shared" si="1365"/>
        <v>花都四部-凤凰仓</v>
      </c>
      <c r="G4273" s="1" t="str">
        <f t="shared" si="1370"/>
        <v>卡卡杜企业店（视频号）</v>
      </c>
      <c r="H4273" s="1" t="str">
        <f t="shared" si="1366"/>
        <v>正常订单</v>
      </c>
      <c r="I4273" s="1" t="str">
        <f t="shared" si="1367"/>
        <v>已发货</v>
      </c>
      <c r="J4273" s="1" t="str">
        <f t="shared" si="1380"/>
        <v>3</v>
      </c>
      <c r="K4273" s="1">
        <v>3</v>
      </c>
      <c r="L4273" s="1" t="s">
        <v>18</v>
      </c>
      <c r="M4273" s="1" t="str">
        <f>"广东省 东莞市 凤岗镇 "</f>
        <v xml:space="preserve">广东省 东莞市 凤岗镇 </v>
      </c>
      <c r="N4273" s="1" t="str">
        <f t="shared" ref="N4273:N4311" si="1381">"凡华云仓-城南圆通-微信视频号"</f>
        <v>凡华云仓-城南圆通-微信视频号</v>
      </c>
      <c r="O4273" s="5" t="s">
        <v>4304</v>
      </c>
      <c r="P4273" s="6">
        <v>0.34</v>
      </c>
      <c r="Q4273" s="11">
        <v>2.2999999999999998</v>
      </c>
      <c r="R4273" s="11"/>
      <c r="S4273" s="11"/>
      <c r="T4273" s="11"/>
      <c r="U4273" s="11">
        <f t="shared" si="1363"/>
        <v>2.2999999999999998</v>
      </c>
      <c r="W4273">
        <v>2.5</v>
      </c>
      <c r="X4273" s="1" t="s">
        <v>18</v>
      </c>
    </row>
    <row r="4274" spans="1:24" x14ac:dyDescent="0.25">
      <c r="A4274" s="1" t="str">
        <f t="shared" si="1364"/>
        <v>卡卡杜-凤凰仓</v>
      </c>
      <c r="B4274" s="1" t="str">
        <f>"CK20241022373"</f>
        <v>CK20241022373</v>
      </c>
      <c r="C4274" s="1" t="str">
        <f>"DD2024102254073"</f>
        <v>DD2024102254073</v>
      </c>
      <c r="D4274" s="1" t="str">
        <f>"CK2024102250620"</f>
        <v>CK2024102250620</v>
      </c>
      <c r="E4274" s="1" t="str">
        <f>"3723468473267521024"</f>
        <v>3723468473267521024</v>
      </c>
      <c r="F4274" s="1" t="str">
        <f t="shared" si="1365"/>
        <v>花都四部-凤凰仓</v>
      </c>
      <c r="G4274" s="1" t="str">
        <f t="shared" si="1370"/>
        <v>卡卡杜企业店（视频号）</v>
      </c>
      <c r="H4274" s="1" t="str">
        <f t="shared" si="1366"/>
        <v>正常订单</v>
      </c>
      <c r="I4274" s="1" t="str">
        <f t="shared" si="1367"/>
        <v>已发货</v>
      </c>
      <c r="J4274" s="1" t="str">
        <f t="shared" si="1380"/>
        <v>3</v>
      </c>
      <c r="K4274" s="1">
        <v>3</v>
      </c>
      <c r="L4274" s="1" t="s">
        <v>30</v>
      </c>
      <c r="M4274" s="1" t="str">
        <f>"山东省 青岛市 市北区 "</f>
        <v xml:space="preserve">山东省 青岛市 市北区 </v>
      </c>
      <c r="N4274" s="1" t="str">
        <f t="shared" si="1381"/>
        <v>凡华云仓-城南圆通-微信视频号</v>
      </c>
      <c r="O4274" s="5" t="s">
        <v>4305</v>
      </c>
      <c r="P4274" s="6">
        <v>0.34</v>
      </c>
      <c r="Q4274" s="11">
        <v>2.2999999999999998</v>
      </c>
      <c r="R4274" s="11"/>
      <c r="S4274" s="11"/>
      <c r="T4274" s="11"/>
      <c r="U4274" s="11">
        <f t="shared" si="1363"/>
        <v>2.2999999999999998</v>
      </c>
      <c r="W4274">
        <v>2.5</v>
      </c>
      <c r="X4274" s="1" t="s">
        <v>30</v>
      </c>
    </row>
    <row r="4275" spans="1:24" x14ac:dyDescent="0.25">
      <c r="A4275" s="1" t="str">
        <f t="shared" si="1364"/>
        <v>卡卡杜-凤凰仓</v>
      </c>
      <c r="B4275" s="1" t="str">
        <f>"CK20241022374"</f>
        <v>CK20241022374</v>
      </c>
      <c r="C4275" s="1" t="str">
        <f>"DD2024102254077"</f>
        <v>DD2024102254077</v>
      </c>
      <c r="D4275" s="1" t="str">
        <f>"CK2024102250619"</f>
        <v>CK2024102250619</v>
      </c>
      <c r="E4275" s="1" t="str">
        <f>"3723468473528619008"</f>
        <v>3723468473528619008</v>
      </c>
      <c r="F4275" s="1" t="str">
        <f t="shared" si="1365"/>
        <v>花都四部-凤凰仓</v>
      </c>
      <c r="G4275" s="1" t="str">
        <f t="shared" si="1370"/>
        <v>卡卡杜企业店（视频号）</v>
      </c>
      <c r="H4275" s="1" t="str">
        <f t="shared" si="1366"/>
        <v>正常订单</v>
      </c>
      <c r="I4275" s="1" t="str">
        <f t="shared" si="1367"/>
        <v>已发货</v>
      </c>
      <c r="J4275" s="1" t="str">
        <f t="shared" si="1380"/>
        <v>3</v>
      </c>
      <c r="K4275" s="1">
        <v>3</v>
      </c>
      <c r="L4275" s="1" t="s">
        <v>18</v>
      </c>
      <c r="M4275" s="1" t="str">
        <f>"广东省 惠州市 惠城区 "</f>
        <v xml:space="preserve">广东省 惠州市 惠城区 </v>
      </c>
      <c r="N4275" s="1" t="str">
        <f t="shared" si="1381"/>
        <v>凡华云仓-城南圆通-微信视频号</v>
      </c>
      <c r="O4275" s="5" t="s">
        <v>4306</v>
      </c>
      <c r="P4275" s="6">
        <v>0.34</v>
      </c>
      <c r="Q4275" s="11">
        <v>2.2999999999999998</v>
      </c>
      <c r="R4275" s="11"/>
      <c r="S4275" s="11"/>
      <c r="T4275" s="11"/>
      <c r="U4275" s="11">
        <f t="shared" si="1363"/>
        <v>2.2999999999999998</v>
      </c>
      <c r="W4275">
        <v>2.5</v>
      </c>
      <c r="X4275" s="1" t="s">
        <v>18</v>
      </c>
    </row>
    <row r="4276" spans="1:24" x14ac:dyDescent="0.25">
      <c r="A4276" s="1" t="str">
        <f t="shared" si="1364"/>
        <v>卡卡杜-凤凰仓</v>
      </c>
      <c r="B4276" s="1" t="str">
        <f>"CK20241022375"</f>
        <v>CK20241022375</v>
      </c>
      <c r="C4276" s="1" t="str">
        <f>"DD2024102254078"</f>
        <v>DD2024102254078</v>
      </c>
      <c r="D4276" s="1" t="str">
        <f>"CK2024102250618"</f>
        <v>CK2024102250618</v>
      </c>
      <c r="E4276" s="1" t="str">
        <f>"3723468455425213952"</f>
        <v>3723468455425213952</v>
      </c>
      <c r="F4276" s="1" t="str">
        <f t="shared" si="1365"/>
        <v>花都四部-凤凰仓</v>
      </c>
      <c r="G4276" s="1" t="str">
        <f t="shared" si="1370"/>
        <v>卡卡杜企业店（视频号）</v>
      </c>
      <c r="H4276" s="1" t="str">
        <f t="shared" si="1366"/>
        <v>正常订单</v>
      </c>
      <c r="I4276" s="1" t="str">
        <f t="shared" si="1367"/>
        <v>已发货</v>
      </c>
      <c r="J4276" s="1" t="str">
        <f t="shared" ref="J4276:J4279" si="1382">"5"</f>
        <v>5</v>
      </c>
      <c r="K4276" s="1">
        <v>3</v>
      </c>
      <c r="L4276" s="1" t="s">
        <v>20</v>
      </c>
      <c r="M4276" s="1" t="str">
        <f>"浙江省 嘉兴市 南湖区 "</f>
        <v xml:space="preserve">浙江省 嘉兴市 南湖区 </v>
      </c>
      <c r="N4276" s="1" t="str">
        <f t="shared" si="1381"/>
        <v>凡华云仓-城南圆通-微信视频号</v>
      </c>
      <c r="O4276" s="5" t="s">
        <v>4307</v>
      </c>
      <c r="P4276" s="6">
        <v>0.56000000000000005</v>
      </c>
      <c r="Q4276" s="11">
        <f t="shared" ref="Q4276:Q4279" si="1383">CEILING(P4276-0.5,0.1)*10*0.15+2.3</f>
        <v>2.4499999999999997</v>
      </c>
      <c r="R4276" s="11"/>
      <c r="S4276" s="11"/>
      <c r="T4276" s="11"/>
      <c r="U4276" s="11">
        <f t="shared" si="1363"/>
        <v>2.4499999999999997</v>
      </c>
      <c r="V4276" t="s">
        <v>15</v>
      </c>
      <c r="W4276">
        <v>2.4500000000000002</v>
      </c>
      <c r="X4276" s="1" t="s">
        <v>20</v>
      </c>
    </row>
    <row r="4277" spans="1:24" x14ac:dyDescent="0.25">
      <c r="A4277" s="1" t="str">
        <f t="shared" si="1364"/>
        <v>卡卡杜-凤凰仓</v>
      </c>
      <c r="B4277" s="1" t="str">
        <f>"CK20241022376"</f>
        <v>CK20241022376</v>
      </c>
      <c r="C4277" s="1" t="str">
        <f>"DD2024102254080"</f>
        <v>DD2024102254080</v>
      </c>
      <c r="D4277" s="1" t="str">
        <f>"CK2024102250617"</f>
        <v>CK2024102250617</v>
      </c>
      <c r="E4277" s="1" t="str">
        <f>"3723468457478852608"</f>
        <v>3723468457478852608</v>
      </c>
      <c r="F4277" s="1" t="str">
        <f t="shared" si="1365"/>
        <v>花都四部-凤凰仓</v>
      </c>
      <c r="G4277" s="1" t="str">
        <f t="shared" si="1370"/>
        <v>卡卡杜企业店（视频号）</v>
      </c>
      <c r="H4277" s="1" t="str">
        <f t="shared" si="1366"/>
        <v>正常订单</v>
      </c>
      <c r="I4277" s="1" t="str">
        <f t="shared" si="1367"/>
        <v>已发货</v>
      </c>
      <c r="J4277" s="1" t="str">
        <f t="shared" ref="J4277:J4284" si="1384">"3"</f>
        <v>3</v>
      </c>
      <c r="K4277" s="1">
        <v>3</v>
      </c>
      <c r="L4277" s="1" t="s">
        <v>41</v>
      </c>
      <c r="M4277" s="1" t="str">
        <f>"湖北省 荆门市 东宝区 "</f>
        <v xml:space="preserve">湖北省 荆门市 东宝区 </v>
      </c>
      <c r="N4277" s="1" t="str">
        <f t="shared" si="1381"/>
        <v>凡华云仓-城南圆通-微信视频号</v>
      </c>
      <c r="O4277" s="5" t="s">
        <v>4308</v>
      </c>
      <c r="P4277" s="6">
        <v>0.34</v>
      </c>
      <c r="Q4277" s="11">
        <v>2.2999999999999998</v>
      </c>
      <c r="R4277" s="11"/>
      <c r="S4277" s="11"/>
      <c r="T4277" s="11"/>
      <c r="U4277" s="11">
        <f t="shared" si="1363"/>
        <v>2.2999999999999998</v>
      </c>
      <c r="W4277">
        <v>2.5</v>
      </c>
      <c r="X4277" s="1" t="s">
        <v>41</v>
      </c>
    </row>
    <row r="4278" spans="1:24" x14ac:dyDescent="0.25">
      <c r="A4278" s="1" t="str">
        <f t="shared" si="1364"/>
        <v>卡卡杜-凤凰仓</v>
      </c>
      <c r="B4278" s="1" t="str">
        <f>"CK20241022485"</f>
        <v>CK20241022485</v>
      </c>
      <c r="C4278" s="1" t="str">
        <f>"DD2024102255565"</f>
        <v>DD2024102255565</v>
      </c>
      <c r="D4278" s="1" t="str">
        <f>"CK2024102250616"</f>
        <v>CK2024102250616</v>
      </c>
      <c r="E4278" s="1" t="str">
        <f>"3723468454277549056"</f>
        <v>3723468454277549056</v>
      </c>
      <c r="F4278" s="1" t="str">
        <f t="shared" si="1365"/>
        <v>花都四部-凤凰仓</v>
      </c>
      <c r="G4278" s="1" t="str">
        <f t="shared" si="1370"/>
        <v>卡卡杜企业店（视频号）</v>
      </c>
      <c r="H4278" s="1" t="str">
        <f t="shared" si="1366"/>
        <v>正常订单</v>
      </c>
      <c r="I4278" s="1" t="str">
        <f t="shared" si="1367"/>
        <v>已发货</v>
      </c>
      <c r="J4278" s="1" t="str">
        <f t="shared" si="1382"/>
        <v>5</v>
      </c>
      <c r="K4278" s="1">
        <v>3</v>
      </c>
      <c r="L4278" s="1" t="s">
        <v>18</v>
      </c>
      <c r="M4278" s="1" t="str">
        <f>"广东省 深圳市 盐田区 "</f>
        <v xml:space="preserve">广东省 深圳市 盐田区 </v>
      </c>
      <c r="N4278" s="1" t="str">
        <f t="shared" si="1381"/>
        <v>凡华云仓-城南圆通-微信视频号</v>
      </c>
      <c r="O4278" s="5" t="s">
        <v>4309</v>
      </c>
      <c r="P4278" s="6">
        <v>0.56000000000000005</v>
      </c>
      <c r="Q4278" s="11">
        <f t="shared" si="1383"/>
        <v>2.4499999999999997</v>
      </c>
      <c r="R4278" s="11"/>
      <c r="S4278" s="11"/>
      <c r="T4278" s="11"/>
      <c r="U4278" s="11">
        <f t="shared" si="1363"/>
        <v>2.4499999999999997</v>
      </c>
      <c r="V4278" t="s">
        <v>15</v>
      </c>
      <c r="W4278">
        <v>2.4500000000000002</v>
      </c>
      <c r="X4278" s="1" t="s">
        <v>18</v>
      </c>
    </row>
    <row r="4279" spans="1:24" x14ac:dyDescent="0.25">
      <c r="A4279" s="1" t="str">
        <f t="shared" si="1364"/>
        <v>卡卡杜-凤凰仓</v>
      </c>
      <c r="B4279" s="1" t="str">
        <f>"CK20241022444"</f>
        <v>CK20241022444</v>
      </c>
      <c r="C4279" s="1" t="str">
        <f>"DD2024102255399"</f>
        <v>DD2024102255399</v>
      </c>
      <c r="D4279" s="1" t="str">
        <f>"CK2024102250615"</f>
        <v>CK2024102250615</v>
      </c>
      <c r="E4279" s="1" t="str">
        <f>"3723468454847451136"</f>
        <v>3723468454847451136</v>
      </c>
      <c r="F4279" s="1" t="str">
        <f t="shared" si="1365"/>
        <v>花都四部-凤凰仓</v>
      </c>
      <c r="G4279" s="1" t="str">
        <f t="shared" si="1370"/>
        <v>卡卡杜企业店（视频号）</v>
      </c>
      <c r="H4279" s="1" t="str">
        <f t="shared" si="1366"/>
        <v>正常订单</v>
      </c>
      <c r="I4279" s="1" t="str">
        <f t="shared" si="1367"/>
        <v>已发货</v>
      </c>
      <c r="J4279" s="1" t="str">
        <f t="shared" si="1382"/>
        <v>5</v>
      </c>
      <c r="K4279" s="1">
        <v>3</v>
      </c>
      <c r="L4279" s="1" t="s">
        <v>94</v>
      </c>
      <c r="M4279" s="1" t="str">
        <f>"湖南省 长沙市 开福区 "</f>
        <v xml:space="preserve">湖南省 长沙市 开福区 </v>
      </c>
      <c r="N4279" s="1" t="str">
        <f t="shared" si="1381"/>
        <v>凡华云仓-城南圆通-微信视频号</v>
      </c>
      <c r="O4279" s="5" t="s">
        <v>4310</v>
      </c>
      <c r="P4279" s="6">
        <v>0.56000000000000005</v>
      </c>
      <c r="Q4279" s="11">
        <f t="shared" si="1383"/>
        <v>2.4499999999999997</v>
      </c>
      <c r="R4279" s="11"/>
      <c r="S4279" s="11"/>
      <c r="T4279" s="11"/>
      <c r="U4279" s="11">
        <f t="shared" si="1363"/>
        <v>2.4499999999999997</v>
      </c>
      <c r="V4279" t="s">
        <v>15</v>
      </c>
      <c r="W4279">
        <v>2.4500000000000002</v>
      </c>
      <c r="X4279" s="1" t="s">
        <v>94</v>
      </c>
    </row>
    <row r="4280" spans="1:24" x14ac:dyDescent="0.25">
      <c r="A4280" s="1" t="str">
        <f t="shared" si="1364"/>
        <v>卡卡杜-凤凰仓</v>
      </c>
      <c r="B4280" s="1" t="str">
        <f>"CK20241022377"</f>
        <v>CK20241022377</v>
      </c>
      <c r="C4280" s="1" t="str">
        <f>"DD2024102254087"</f>
        <v>DD2024102254087</v>
      </c>
      <c r="D4280" s="1" t="str">
        <f>"CK2024102250614"</f>
        <v>CK2024102250614</v>
      </c>
      <c r="E4280" s="1" t="str">
        <f>"3723468454245827840"</f>
        <v>3723468454245827840</v>
      </c>
      <c r="F4280" s="1" t="str">
        <f t="shared" si="1365"/>
        <v>花都四部-凤凰仓</v>
      </c>
      <c r="G4280" s="1" t="str">
        <f t="shared" si="1370"/>
        <v>卡卡杜企业店（视频号）</v>
      </c>
      <c r="H4280" s="1" t="str">
        <f t="shared" si="1366"/>
        <v>正常订单</v>
      </c>
      <c r="I4280" s="1" t="str">
        <f t="shared" si="1367"/>
        <v>已发货</v>
      </c>
      <c r="J4280" s="1" t="str">
        <f t="shared" si="1384"/>
        <v>3</v>
      </c>
      <c r="K4280" s="1">
        <v>3</v>
      </c>
      <c r="L4280" s="1" t="s">
        <v>161</v>
      </c>
      <c r="M4280" s="1" t="str">
        <f>"四川省 凉山彝族自治州 西昌市 "</f>
        <v xml:space="preserve">四川省 凉山彝族自治州 西昌市 </v>
      </c>
      <c r="N4280" s="1" t="str">
        <f t="shared" si="1381"/>
        <v>凡华云仓-城南圆通-微信视频号</v>
      </c>
      <c r="O4280" s="5" t="s">
        <v>4311</v>
      </c>
      <c r="P4280" s="6">
        <v>0.34</v>
      </c>
      <c r="Q4280" s="11">
        <v>2.2999999999999998</v>
      </c>
      <c r="R4280" s="11"/>
      <c r="S4280" s="11"/>
      <c r="T4280" s="11"/>
      <c r="U4280" s="11">
        <f t="shared" si="1363"/>
        <v>2.2999999999999998</v>
      </c>
      <c r="W4280">
        <v>2.5</v>
      </c>
      <c r="X4280" s="1" t="s">
        <v>161</v>
      </c>
    </row>
    <row r="4281" spans="1:24" x14ac:dyDescent="0.25">
      <c r="A4281" s="1" t="str">
        <f t="shared" si="1364"/>
        <v>卡卡杜-凤凰仓</v>
      </c>
      <c r="B4281" s="1" t="str">
        <f>"CK20241022378"</f>
        <v>CK20241022378</v>
      </c>
      <c r="C4281" s="1" t="str">
        <f>"DD2024102254089"</f>
        <v>DD2024102254089</v>
      </c>
      <c r="D4281" s="1" t="str">
        <f>"CK2024102250613"</f>
        <v>CK2024102250613</v>
      </c>
      <c r="E4281" s="1" t="str">
        <f>"3723468452189832704"</f>
        <v>3723468452189832704</v>
      </c>
      <c r="F4281" s="1" t="str">
        <f t="shared" si="1365"/>
        <v>花都四部-凤凰仓</v>
      </c>
      <c r="G4281" s="1" t="str">
        <f t="shared" si="1370"/>
        <v>卡卡杜企业店（视频号）</v>
      </c>
      <c r="H4281" s="1" t="str">
        <f t="shared" si="1366"/>
        <v>正常订单</v>
      </c>
      <c r="I4281" s="1" t="str">
        <f t="shared" si="1367"/>
        <v>已发货</v>
      </c>
      <c r="J4281" s="1" t="str">
        <f t="shared" ref="J4281:J4287" si="1385">"5"</f>
        <v>5</v>
      </c>
      <c r="K4281" s="1">
        <v>3</v>
      </c>
      <c r="L4281" s="1" t="s">
        <v>218</v>
      </c>
      <c r="M4281" s="1" t="str">
        <f>"天津 天津市 河西区 "</f>
        <v xml:space="preserve">天津 天津市 河西区 </v>
      </c>
      <c r="N4281" s="1" t="str">
        <f t="shared" si="1381"/>
        <v>凡华云仓-城南圆通-微信视频号</v>
      </c>
      <c r="O4281" s="5" t="s">
        <v>4312</v>
      </c>
      <c r="P4281" s="6">
        <v>0.56000000000000005</v>
      </c>
      <c r="Q4281" s="11">
        <f t="shared" ref="Q4281:Q4287" si="1386">CEILING(P4281-0.5,0.1)*10*0.15+2.3</f>
        <v>2.4499999999999997</v>
      </c>
      <c r="R4281" s="11"/>
      <c r="S4281" s="11"/>
      <c r="T4281" s="11"/>
      <c r="U4281" s="11">
        <f t="shared" si="1363"/>
        <v>2.4499999999999997</v>
      </c>
      <c r="V4281" t="s">
        <v>15</v>
      </c>
      <c r="W4281">
        <v>2.4500000000000002</v>
      </c>
      <c r="X4281" s="1" t="s">
        <v>218</v>
      </c>
    </row>
    <row r="4282" spans="1:24" x14ac:dyDescent="0.25">
      <c r="A4282" s="1" t="str">
        <f t="shared" si="1364"/>
        <v>卡卡杜-凤凰仓</v>
      </c>
      <c r="B4282" s="1" t="str">
        <f>"CK20241022379"</f>
        <v>CK20241022379</v>
      </c>
      <c r="C4282" s="1" t="str">
        <f>"DD2024102254092"</f>
        <v>DD2024102254092</v>
      </c>
      <c r="D4282" s="1" t="str">
        <f>"CK2024102250612"</f>
        <v>CK2024102250612</v>
      </c>
      <c r="E4282" s="1" t="str">
        <f>"3723468450513162240"</f>
        <v>3723468450513162240</v>
      </c>
      <c r="F4282" s="1" t="str">
        <f t="shared" si="1365"/>
        <v>花都四部-凤凰仓</v>
      </c>
      <c r="G4282" s="1" t="str">
        <f t="shared" si="1370"/>
        <v>卡卡杜企业店（视频号）</v>
      </c>
      <c r="H4282" s="1" t="str">
        <f t="shared" si="1366"/>
        <v>正常订单</v>
      </c>
      <c r="I4282" s="1" t="str">
        <f t="shared" si="1367"/>
        <v>已发货</v>
      </c>
      <c r="J4282" s="1" t="str">
        <f t="shared" si="1384"/>
        <v>3</v>
      </c>
      <c r="K4282" s="1">
        <v>3</v>
      </c>
      <c r="L4282" s="1" t="s">
        <v>105</v>
      </c>
      <c r="M4282" s="1" t="str">
        <f>"北京 北京市 丰台区 "</f>
        <v xml:space="preserve">北京 北京市 丰台区 </v>
      </c>
      <c r="N4282" s="1" t="str">
        <f t="shared" si="1381"/>
        <v>凡华云仓-城南圆通-微信视频号</v>
      </c>
      <c r="O4282" s="5" t="s">
        <v>4313</v>
      </c>
      <c r="P4282" s="6">
        <v>0.34</v>
      </c>
      <c r="Q4282" s="11">
        <v>2.2999999999999998</v>
      </c>
      <c r="R4282" s="11"/>
      <c r="S4282" s="11"/>
      <c r="T4282" s="11"/>
      <c r="U4282" s="11">
        <f t="shared" si="1363"/>
        <v>2.2999999999999998</v>
      </c>
      <c r="W4282">
        <v>2.5</v>
      </c>
      <c r="X4282" s="1" t="s">
        <v>105</v>
      </c>
    </row>
    <row r="4283" spans="1:24" x14ac:dyDescent="0.25">
      <c r="A4283" s="1" t="str">
        <f t="shared" si="1364"/>
        <v>卡卡杜-凤凰仓</v>
      </c>
      <c r="B4283" s="1" t="str">
        <f>"CK20241022380"</f>
        <v>CK20241022380</v>
      </c>
      <c r="C4283" s="1" t="str">
        <f>"DD2024102254093"</f>
        <v>DD2024102254093</v>
      </c>
      <c r="D4283" s="1" t="str">
        <f>"CK2024102250611"</f>
        <v>CK2024102250611</v>
      </c>
      <c r="E4283" s="1" t="str">
        <f>"3723468451163276800"</f>
        <v>3723468451163276800</v>
      </c>
      <c r="F4283" s="1" t="str">
        <f t="shared" si="1365"/>
        <v>花都四部-凤凰仓</v>
      </c>
      <c r="G4283" s="1" t="str">
        <f t="shared" si="1370"/>
        <v>卡卡杜企业店（视频号）</v>
      </c>
      <c r="H4283" s="1" t="str">
        <f t="shared" si="1366"/>
        <v>正常订单</v>
      </c>
      <c r="I4283" s="1" t="str">
        <f t="shared" si="1367"/>
        <v>已发货</v>
      </c>
      <c r="J4283" s="1" t="str">
        <f t="shared" si="1384"/>
        <v>3</v>
      </c>
      <c r="K4283" s="1">
        <v>3</v>
      </c>
      <c r="L4283" s="1" t="s">
        <v>74</v>
      </c>
      <c r="M4283" s="1" t="str">
        <f>"上海 上海市 静安区 "</f>
        <v xml:space="preserve">上海 上海市 静安区 </v>
      </c>
      <c r="N4283" s="1" t="str">
        <f t="shared" si="1381"/>
        <v>凡华云仓-城南圆通-微信视频号</v>
      </c>
      <c r="O4283" s="5" t="s">
        <v>4314</v>
      </c>
      <c r="P4283" s="6">
        <v>0.34</v>
      </c>
      <c r="Q4283" s="11">
        <v>2.2999999999999998</v>
      </c>
      <c r="R4283" s="11"/>
      <c r="S4283" s="11"/>
      <c r="T4283" s="11"/>
      <c r="U4283" s="11">
        <f t="shared" si="1363"/>
        <v>2.2999999999999998</v>
      </c>
      <c r="W4283">
        <v>2.5</v>
      </c>
      <c r="X4283" s="1" t="s">
        <v>74</v>
      </c>
    </row>
    <row r="4284" spans="1:24" x14ac:dyDescent="0.25">
      <c r="A4284" s="1" t="str">
        <f t="shared" si="1364"/>
        <v>卡卡杜-凤凰仓</v>
      </c>
      <c r="B4284" s="1" t="str">
        <f>"CK20241022381"</f>
        <v>CK20241022381</v>
      </c>
      <c r="C4284" s="1" t="str">
        <f>"DD2024102254096"</f>
        <v>DD2024102254096</v>
      </c>
      <c r="D4284" s="1" t="str">
        <f>"CK2024102250610"</f>
        <v>CK2024102250610</v>
      </c>
      <c r="E4284" s="1" t="str">
        <f>"3723468449166527488"</f>
        <v>3723468449166527488</v>
      </c>
      <c r="F4284" s="1" t="str">
        <f t="shared" si="1365"/>
        <v>花都四部-凤凰仓</v>
      </c>
      <c r="G4284" s="1" t="str">
        <f t="shared" si="1370"/>
        <v>卡卡杜企业店（视频号）</v>
      </c>
      <c r="H4284" s="1" t="str">
        <f t="shared" si="1366"/>
        <v>正常订单</v>
      </c>
      <c r="I4284" s="1" t="str">
        <f t="shared" si="1367"/>
        <v>已发货</v>
      </c>
      <c r="J4284" s="1" t="str">
        <f t="shared" si="1384"/>
        <v>3</v>
      </c>
      <c r="K4284" s="1">
        <v>3</v>
      </c>
      <c r="L4284" s="1" t="s">
        <v>109</v>
      </c>
      <c r="M4284" s="1" t="str">
        <f>"山西省 太原市 迎泽区 "</f>
        <v xml:space="preserve">山西省 太原市 迎泽区 </v>
      </c>
      <c r="N4284" s="1" t="str">
        <f t="shared" si="1381"/>
        <v>凡华云仓-城南圆通-微信视频号</v>
      </c>
      <c r="O4284" s="5" t="s">
        <v>4315</v>
      </c>
      <c r="P4284" s="6">
        <v>0.34</v>
      </c>
      <c r="Q4284" s="11">
        <v>2.2999999999999998</v>
      </c>
      <c r="R4284" s="11"/>
      <c r="S4284" s="11"/>
      <c r="T4284" s="11"/>
      <c r="U4284" s="11">
        <f t="shared" si="1363"/>
        <v>2.2999999999999998</v>
      </c>
      <c r="W4284">
        <v>2.5</v>
      </c>
      <c r="X4284" s="1" t="s">
        <v>109</v>
      </c>
    </row>
    <row r="4285" spans="1:24" x14ac:dyDescent="0.25">
      <c r="A4285" s="1" t="str">
        <f t="shared" si="1364"/>
        <v>卡卡杜-凤凰仓</v>
      </c>
      <c r="B4285" s="1" t="str">
        <f>"CK20241022382"</f>
        <v>CK20241022382</v>
      </c>
      <c r="C4285" s="1" t="str">
        <f>"DD2024102254097"</f>
        <v>DD2024102254097</v>
      </c>
      <c r="D4285" s="1" t="str">
        <f>"CK2024102250609"</f>
        <v>CK2024102250609</v>
      </c>
      <c r="E4285" s="1" t="str">
        <f>"3723468432791442432"</f>
        <v>3723468432791442432</v>
      </c>
      <c r="F4285" s="1" t="str">
        <f t="shared" si="1365"/>
        <v>花都四部-凤凰仓</v>
      </c>
      <c r="G4285" s="1" t="str">
        <f t="shared" si="1370"/>
        <v>卡卡杜企业店（视频号）</v>
      </c>
      <c r="H4285" s="1" t="str">
        <f t="shared" si="1366"/>
        <v>正常订单</v>
      </c>
      <c r="I4285" s="1" t="str">
        <f t="shared" si="1367"/>
        <v>已发货</v>
      </c>
      <c r="J4285" s="1" t="str">
        <f t="shared" si="1385"/>
        <v>5</v>
      </c>
      <c r="K4285" s="1">
        <v>3</v>
      </c>
      <c r="L4285" s="1" t="s">
        <v>105</v>
      </c>
      <c r="M4285" s="1" t="str">
        <f>"北京 北京市 朝阳区 "</f>
        <v xml:space="preserve">北京 北京市 朝阳区 </v>
      </c>
      <c r="N4285" s="1" t="str">
        <f t="shared" si="1381"/>
        <v>凡华云仓-城南圆通-微信视频号</v>
      </c>
      <c r="O4285" s="5" t="s">
        <v>4316</v>
      </c>
      <c r="P4285" s="6">
        <v>0.56000000000000005</v>
      </c>
      <c r="Q4285" s="11">
        <f t="shared" si="1386"/>
        <v>2.4499999999999997</v>
      </c>
      <c r="R4285" s="11"/>
      <c r="S4285" s="11"/>
      <c r="T4285" s="11"/>
      <c r="U4285" s="11">
        <f t="shared" si="1363"/>
        <v>2.4499999999999997</v>
      </c>
      <c r="V4285" t="s">
        <v>15</v>
      </c>
      <c r="W4285">
        <v>2.4500000000000002</v>
      </c>
      <c r="X4285" s="1" t="s">
        <v>105</v>
      </c>
    </row>
    <row r="4286" spans="1:24" x14ac:dyDescent="0.25">
      <c r="A4286" s="1" t="str">
        <f t="shared" si="1364"/>
        <v>卡卡杜-凤凰仓</v>
      </c>
      <c r="B4286" s="1" t="str">
        <f>"CK20241022383"</f>
        <v>CK20241022383</v>
      </c>
      <c r="C4286" s="1" t="str">
        <f>"DD2024102254103"</f>
        <v>DD2024102254103</v>
      </c>
      <c r="D4286" s="1" t="str">
        <f>"CK2024102250608"</f>
        <v>CK2024102250608</v>
      </c>
      <c r="E4286" s="1" t="str">
        <f>"3723468401203088384"</f>
        <v>3723468401203088384</v>
      </c>
      <c r="F4286" s="1" t="str">
        <f t="shared" si="1365"/>
        <v>花都四部-凤凰仓</v>
      </c>
      <c r="G4286" s="1" t="str">
        <f t="shared" si="1370"/>
        <v>卡卡杜企业店（视频号）</v>
      </c>
      <c r="H4286" s="1" t="str">
        <f t="shared" si="1366"/>
        <v>正常订单</v>
      </c>
      <c r="I4286" s="1" t="str">
        <f t="shared" si="1367"/>
        <v>已发货</v>
      </c>
      <c r="J4286" s="1" t="str">
        <f t="shared" si="1385"/>
        <v>5</v>
      </c>
      <c r="K4286" s="1">
        <v>3</v>
      </c>
      <c r="L4286" s="1" t="s">
        <v>218</v>
      </c>
      <c r="M4286" s="1" t="str">
        <f>"天津 天津市 南开区 "</f>
        <v xml:space="preserve">天津 天津市 南开区 </v>
      </c>
      <c r="N4286" s="1" t="str">
        <f t="shared" si="1381"/>
        <v>凡华云仓-城南圆通-微信视频号</v>
      </c>
      <c r="O4286" s="5" t="s">
        <v>4317</v>
      </c>
      <c r="P4286" s="6">
        <v>0.56000000000000005</v>
      </c>
      <c r="Q4286" s="11">
        <f t="shared" si="1386"/>
        <v>2.4499999999999997</v>
      </c>
      <c r="R4286" s="11"/>
      <c r="S4286" s="11"/>
      <c r="T4286" s="11"/>
      <c r="U4286" s="11">
        <f t="shared" si="1363"/>
        <v>2.4499999999999997</v>
      </c>
      <c r="V4286" t="s">
        <v>15</v>
      </c>
      <c r="W4286">
        <v>2.4500000000000002</v>
      </c>
      <c r="X4286" s="1" t="s">
        <v>218</v>
      </c>
    </row>
    <row r="4287" spans="1:24" x14ac:dyDescent="0.25">
      <c r="A4287" s="1" t="str">
        <f t="shared" si="1364"/>
        <v>卡卡杜-凤凰仓</v>
      </c>
      <c r="B4287" s="1" t="str">
        <f>"CK20241022384"</f>
        <v>CK20241022384</v>
      </c>
      <c r="C4287" s="1" t="str">
        <f>"DD2024102254105"</f>
        <v>DD2024102254105</v>
      </c>
      <c r="D4287" s="1" t="str">
        <f>"CK2024102250607"</f>
        <v>CK2024102250607</v>
      </c>
      <c r="E4287" s="1" t="str">
        <f>"3723468387605939712"</f>
        <v>3723468387605939712</v>
      </c>
      <c r="F4287" s="1" t="str">
        <f t="shared" si="1365"/>
        <v>花都四部-凤凰仓</v>
      </c>
      <c r="G4287" s="1" t="str">
        <f t="shared" si="1370"/>
        <v>卡卡杜企业店（视频号）</v>
      </c>
      <c r="H4287" s="1" t="str">
        <f t="shared" si="1366"/>
        <v>正常订单</v>
      </c>
      <c r="I4287" s="1" t="str">
        <f t="shared" si="1367"/>
        <v>已发货</v>
      </c>
      <c r="J4287" s="1" t="str">
        <f t="shared" si="1385"/>
        <v>5</v>
      </c>
      <c r="K4287" s="1">
        <v>3</v>
      </c>
      <c r="L4287" s="1" t="s">
        <v>66</v>
      </c>
      <c r="M4287" s="1" t="str">
        <f>"内蒙古自治区 呼伦贝尔市 满洲里市 "</f>
        <v xml:space="preserve">内蒙古自治区 呼伦贝尔市 满洲里市 </v>
      </c>
      <c r="N4287" s="1" t="str">
        <f t="shared" si="1381"/>
        <v>凡华云仓-城南圆通-微信视频号</v>
      </c>
      <c r="O4287" s="5" t="s">
        <v>4318</v>
      </c>
      <c r="P4287" s="6">
        <v>0.56000000000000005</v>
      </c>
      <c r="Q4287" s="11">
        <f t="shared" si="1386"/>
        <v>2.4499999999999997</v>
      </c>
      <c r="R4287" s="11"/>
      <c r="S4287" s="11"/>
      <c r="T4287" s="11"/>
      <c r="U4287" s="11">
        <f t="shared" si="1363"/>
        <v>2.4499999999999997</v>
      </c>
      <c r="V4287" t="s">
        <v>15</v>
      </c>
      <c r="W4287">
        <v>2.4500000000000002</v>
      </c>
      <c r="X4287" s="1" t="s">
        <v>66</v>
      </c>
    </row>
    <row r="4288" spans="1:24" x14ac:dyDescent="0.25">
      <c r="A4288" s="1" t="str">
        <f t="shared" si="1364"/>
        <v>卡卡杜-凤凰仓</v>
      </c>
      <c r="B4288" s="1" t="str">
        <f>"CK20241022385"</f>
        <v>CK20241022385</v>
      </c>
      <c r="C4288" s="1" t="str">
        <f>"DD2024102254108"</f>
        <v>DD2024102254108</v>
      </c>
      <c r="D4288" s="1" t="str">
        <f>"CK2024102250606"</f>
        <v>CK2024102250606</v>
      </c>
      <c r="E4288" s="1" t="str">
        <f>"3723468384849761280"</f>
        <v>3723468384849761280</v>
      </c>
      <c r="F4288" s="1" t="str">
        <f t="shared" si="1365"/>
        <v>花都四部-凤凰仓</v>
      </c>
      <c r="G4288" s="1" t="str">
        <f t="shared" si="1370"/>
        <v>卡卡杜企业店（视频号）</v>
      </c>
      <c r="H4288" s="1" t="str">
        <f t="shared" si="1366"/>
        <v>正常订单</v>
      </c>
      <c r="I4288" s="1" t="str">
        <f t="shared" si="1367"/>
        <v>已发货</v>
      </c>
      <c r="J4288" s="1" t="str">
        <f t="shared" ref="J4288:J4290" si="1387">"3"</f>
        <v>3</v>
      </c>
      <c r="K4288" s="1">
        <v>3</v>
      </c>
      <c r="L4288" s="1" t="s">
        <v>161</v>
      </c>
      <c r="M4288" s="1" t="str">
        <f>"四川省 成都市 温江区 "</f>
        <v xml:space="preserve">四川省 成都市 温江区 </v>
      </c>
      <c r="N4288" s="1" t="str">
        <f t="shared" si="1381"/>
        <v>凡华云仓-城南圆通-微信视频号</v>
      </c>
      <c r="O4288" s="5" t="s">
        <v>4319</v>
      </c>
      <c r="P4288" s="6">
        <v>0.34</v>
      </c>
      <c r="Q4288" s="11">
        <v>2.2999999999999998</v>
      </c>
      <c r="R4288" s="11"/>
      <c r="S4288" s="11"/>
      <c r="T4288" s="11"/>
      <c r="U4288" s="11">
        <f t="shared" si="1363"/>
        <v>2.2999999999999998</v>
      </c>
      <c r="W4288">
        <v>2.5</v>
      </c>
      <c r="X4288" s="1" t="s">
        <v>161</v>
      </c>
    </row>
    <row r="4289" spans="1:24" x14ac:dyDescent="0.25">
      <c r="A4289" s="1" t="str">
        <f t="shared" si="1364"/>
        <v>卡卡杜-凤凰仓</v>
      </c>
      <c r="B4289" s="1" t="str">
        <f>"CK20241022919"</f>
        <v>CK20241022919</v>
      </c>
      <c r="C4289" s="1" t="str">
        <f>"DD2024102257578"</f>
        <v>DD2024102257578</v>
      </c>
      <c r="D4289" s="1" t="str">
        <f>"CK2024102250605"</f>
        <v>CK2024102250605</v>
      </c>
      <c r="E4289" s="1" t="str">
        <f>"3723468375806577664"</f>
        <v>3723468375806577664</v>
      </c>
      <c r="F4289" s="1" t="str">
        <f t="shared" si="1365"/>
        <v>花都四部-凤凰仓</v>
      </c>
      <c r="G4289" s="1" t="str">
        <f t="shared" si="1370"/>
        <v>卡卡杜企业店（视频号）</v>
      </c>
      <c r="H4289" s="1" t="str">
        <f t="shared" si="1366"/>
        <v>正常订单</v>
      </c>
      <c r="I4289" s="1" t="str">
        <f t="shared" si="1367"/>
        <v>已发货</v>
      </c>
      <c r="J4289" s="1" t="str">
        <f t="shared" si="1387"/>
        <v>3</v>
      </c>
      <c r="K4289" s="1">
        <v>2</v>
      </c>
      <c r="L4289" s="1" t="s">
        <v>74</v>
      </c>
      <c r="M4289" s="1" t="str">
        <f>"上海 上海市 闵行区 "</f>
        <v xml:space="preserve">上海 上海市 闵行区 </v>
      </c>
      <c r="N4289" s="1" t="str">
        <f t="shared" si="1381"/>
        <v>凡华云仓-城南圆通-微信视频号</v>
      </c>
      <c r="O4289" s="5" t="s">
        <v>4320</v>
      </c>
      <c r="P4289" s="6">
        <v>0.24</v>
      </c>
      <c r="Q4289" s="11">
        <v>2</v>
      </c>
      <c r="R4289" s="11"/>
      <c r="S4289" s="11"/>
      <c r="T4289" s="11"/>
      <c r="U4289" s="11">
        <f t="shared" si="1363"/>
        <v>2</v>
      </c>
      <c r="W4289">
        <v>2.2000000000000002</v>
      </c>
      <c r="X4289" s="1" t="s">
        <v>74</v>
      </c>
    </row>
    <row r="4290" spans="1:24" x14ac:dyDescent="0.25">
      <c r="A4290" s="1" t="str">
        <f t="shared" si="1364"/>
        <v>卡卡杜-凤凰仓</v>
      </c>
      <c r="B4290" s="1" t="str">
        <f>"CK20241022386"</f>
        <v>CK20241022386</v>
      </c>
      <c r="C4290" s="1" t="str">
        <f>"DD2024102254107"</f>
        <v>DD2024102254107</v>
      </c>
      <c r="D4290" s="1" t="str">
        <f>"CK2024102250604"</f>
        <v>CK2024102250604</v>
      </c>
      <c r="E4290" s="1" t="str">
        <f>"3723468360021050881"</f>
        <v>3723468360021050881</v>
      </c>
      <c r="F4290" s="1" t="str">
        <f t="shared" si="1365"/>
        <v>花都四部-凤凰仓</v>
      </c>
      <c r="G4290" s="1" t="str">
        <f t="shared" si="1370"/>
        <v>卡卡杜企业店（视频号）</v>
      </c>
      <c r="H4290" s="1" t="str">
        <f t="shared" si="1366"/>
        <v>正常订单</v>
      </c>
      <c r="I4290" s="1" t="str">
        <f t="shared" si="1367"/>
        <v>已发货</v>
      </c>
      <c r="J4290" s="1" t="str">
        <f t="shared" si="1387"/>
        <v>3</v>
      </c>
      <c r="K4290" s="1">
        <v>3</v>
      </c>
      <c r="L4290" s="1" t="s">
        <v>47</v>
      </c>
      <c r="M4290" s="1" t="str">
        <f>"重庆 重庆市 大渡口区 "</f>
        <v xml:space="preserve">重庆 重庆市 大渡口区 </v>
      </c>
      <c r="N4290" s="1" t="str">
        <f t="shared" si="1381"/>
        <v>凡华云仓-城南圆通-微信视频号</v>
      </c>
      <c r="O4290" s="5" t="s">
        <v>4321</v>
      </c>
      <c r="P4290" s="6">
        <v>0.34</v>
      </c>
      <c r="Q4290" s="11">
        <v>2.2999999999999998</v>
      </c>
      <c r="R4290" s="11"/>
      <c r="S4290" s="11"/>
      <c r="T4290" s="11"/>
      <c r="U4290" s="11">
        <f t="shared" si="1363"/>
        <v>2.2999999999999998</v>
      </c>
      <c r="W4290">
        <v>2.5</v>
      </c>
      <c r="X4290" s="1" t="s">
        <v>47</v>
      </c>
    </row>
    <row r="4291" spans="1:24" x14ac:dyDescent="0.25">
      <c r="A4291" s="1" t="str">
        <f t="shared" si="1364"/>
        <v>卡卡杜-凤凰仓</v>
      </c>
      <c r="B4291" s="1" t="str">
        <f>"CK20241022389"</f>
        <v>CK20241022389</v>
      </c>
      <c r="C4291" s="1" t="str">
        <f>"DD2024102254121"</f>
        <v>DD2024102254121</v>
      </c>
      <c r="D4291" s="1" t="str">
        <f>"CK2024102250603"</f>
        <v>CK2024102250603</v>
      </c>
      <c r="E4291" s="1" t="str">
        <f>"3723468345983239424"</f>
        <v>3723468345983239424</v>
      </c>
      <c r="F4291" s="1" t="str">
        <f t="shared" si="1365"/>
        <v>花都四部-凤凰仓</v>
      </c>
      <c r="G4291" s="1" t="str">
        <f t="shared" si="1370"/>
        <v>卡卡杜企业店（视频号）</v>
      </c>
      <c r="H4291" s="1" t="str">
        <f t="shared" si="1366"/>
        <v>正常订单</v>
      </c>
      <c r="I4291" s="1" t="str">
        <f t="shared" si="1367"/>
        <v>已发货</v>
      </c>
      <c r="J4291" s="1" t="str">
        <f>"5"</f>
        <v>5</v>
      </c>
      <c r="K4291" s="1">
        <v>3</v>
      </c>
      <c r="L4291" s="1" t="s">
        <v>60</v>
      </c>
      <c r="M4291" s="1" t="str">
        <f>"云南省 昆明市 五华区 "</f>
        <v xml:space="preserve">云南省 昆明市 五华区 </v>
      </c>
      <c r="N4291" s="1" t="str">
        <f t="shared" si="1381"/>
        <v>凡华云仓-城南圆通-微信视频号</v>
      </c>
      <c r="O4291" s="5" t="s">
        <v>4322</v>
      </c>
      <c r="P4291" s="6">
        <v>0.56000000000000005</v>
      </c>
      <c r="Q4291" s="11">
        <f>CEILING(P4291-0.5,0.1)*10*0.15+2.3</f>
        <v>2.4499999999999997</v>
      </c>
      <c r="R4291" s="11"/>
      <c r="S4291" s="11"/>
      <c r="T4291" s="11"/>
      <c r="U4291" s="11">
        <f t="shared" ref="U4291:U4354" si="1388">T4291+S4291+R4291+Q4291</f>
        <v>2.4499999999999997</v>
      </c>
      <c r="V4291" t="s">
        <v>15</v>
      </c>
      <c r="W4291">
        <v>2.4500000000000002</v>
      </c>
      <c r="X4291" s="1" t="s">
        <v>60</v>
      </c>
    </row>
    <row r="4292" spans="1:24" x14ac:dyDescent="0.25">
      <c r="A4292" s="1" t="str">
        <f t="shared" si="1364"/>
        <v>卡卡杜-凤凰仓</v>
      </c>
      <c r="B4292" s="1" t="str">
        <f>"CK20241022388"</f>
        <v>CK20241022388</v>
      </c>
      <c r="C4292" s="1" t="str">
        <f>"DD2024102254113"</f>
        <v>DD2024102254113</v>
      </c>
      <c r="D4292" s="1" t="str">
        <f>"CK2024102250602"</f>
        <v>CK2024102250602</v>
      </c>
      <c r="E4292" s="1" t="str">
        <f>"3723468348786871296"</f>
        <v>3723468348786871296</v>
      </c>
      <c r="F4292" s="1" t="str">
        <f t="shared" si="1365"/>
        <v>花都四部-凤凰仓</v>
      </c>
      <c r="G4292" s="1" t="str">
        <f t="shared" si="1370"/>
        <v>卡卡杜企业店（视频号）</v>
      </c>
      <c r="H4292" s="1" t="str">
        <f t="shared" si="1366"/>
        <v>正常订单</v>
      </c>
      <c r="I4292" s="1" t="str">
        <f t="shared" si="1367"/>
        <v>已发货</v>
      </c>
      <c r="J4292" s="1" t="str">
        <f t="shared" ref="J4292:J4298" si="1389">"3"</f>
        <v>3</v>
      </c>
      <c r="K4292" s="1">
        <v>3</v>
      </c>
      <c r="L4292" s="1" t="s">
        <v>187</v>
      </c>
      <c r="M4292" s="1" t="str">
        <f>"吉林省 吉林市 丰满区 "</f>
        <v xml:space="preserve">吉林省 吉林市 丰满区 </v>
      </c>
      <c r="N4292" s="1" t="str">
        <f t="shared" si="1381"/>
        <v>凡华云仓-城南圆通-微信视频号</v>
      </c>
      <c r="O4292" s="5" t="s">
        <v>4323</v>
      </c>
      <c r="P4292" s="6">
        <v>0.34</v>
      </c>
      <c r="Q4292" s="11">
        <v>2.2999999999999998</v>
      </c>
      <c r="R4292" s="11"/>
      <c r="S4292" s="11"/>
      <c r="T4292" s="11"/>
      <c r="U4292" s="11">
        <f t="shared" si="1388"/>
        <v>2.2999999999999998</v>
      </c>
      <c r="W4292">
        <v>2.5</v>
      </c>
      <c r="X4292" s="1" t="s">
        <v>187</v>
      </c>
    </row>
    <row r="4293" spans="1:24" x14ac:dyDescent="0.25">
      <c r="A4293" s="1" t="str">
        <f t="shared" ref="A4293:A4356" si="1390">"卡卡杜-凤凰仓"</f>
        <v>卡卡杜-凤凰仓</v>
      </c>
      <c r="B4293" s="1" t="str">
        <f>"CK20241022387"</f>
        <v>CK20241022387</v>
      </c>
      <c r="C4293" s="1" t="str">
        <f>"DD2024102254110"</f>
        <v>DD2024102254110</v>
      </c>
      <c r="D4293" s="1" t="str">
        <f>"CK2024102250601"</f>
        <v>CK2024102250601</v>
      </c>
      <c r="E4293" s="1" t="str">
        <f>"3723468353211074048"</f>
        <v>3723468353211074048</v>
      </c>
      <c r="F4293" s="1" t="str">
        <f t="shared" ref="F4293:F4356" si="1391">"花都四部-凤凰仓"</f>
        <v>花都四部-凤凰仓</v>
      </c>
      <c r="G4293" s="1" t="str">
        <f t="shared" si="1370"/>
        <v>卡卡杜企业店（视频号）</v>
      </c>
      <c r="H4293" s="1" t="str">
        <f t="shared" ref="H4293:H4356" si="1392">"正常订单"</f>
        <v>正常订单</v>
      </c>
      <c r="I4293" s="1" t="str">
        <f t="shared" ref="I4293:I4356" si="1393">"已发货"</f>
        <v>已发货</v>
      </c>
      <c r="J4293" s="1" t="str">
        <f t="shared" si="1389"/>
        <v>3</v>
      </c>
      <c r="K4293" s="1">
        <v>3</v>
      </c>
      <c r="L4293" s="1" t="s">
        <v>27</v>
      </c>
      <c r="M4293" s="1" t="str">
        <f>"贵州省 黔西南布依族苗族自治州 兴义市 "</f>
        <v xml:space="preserve">贵州省 黔西南布依族苗族自治州 兴义市 </v>
      </c>
      <c r="N4293" s="1" t="str">
        <f t="shared" si="1381"/>
        <v>凡华云仓-城南圆通-微信视频号</v>
      </c>
      <c r="O4293" s="5" t="s">
        <v>4324</v>
      </c>
      <c r="P4293" s="6">
        <v>0.34</v>
      </c>
      <c r="Q4293" s="11">
        <v>2.2999999999999998</v>
      </c>
      <c r="R4293" s="11"/>
      <c r="S4293" s="11"/>
      <c r="T4293" s="11"/>
      <c r="U4293" s="11">
        <f t="shared" si="1388"/>
        <v>2.2999999999999998</v>
      </c>
      <c r="W4293">
        <v>2.5</v>
      </c>
      <c r="X4293" s="1" t="s">
        <v>27</v>
      </c>
    </row>
    <row r="4294" spans="1:24" x14ac:dyDescent="0.25">
      <c r="A4294" s="1" t="str">
        <f t="shared" si="1390"/>
        <v>卡卡杜-凤凰仓</v>
      </c>
      <c r="B4294" s="1" t="str">
        <f>"CK20241022390"</f>
        <v>CK20241022390</v>
      </c>
      <c r="C4294" s="1" t="str">
        <f>"DD2024102254120"</f>
        <v>DD2024102254120</v>
      </c>
      <c r="D4294" s="1" t="str">
        <f>"CK2024102250600"</f>
        <v>CK2024102250600</v>
      </c>
      <c r="E4294" s="1" t="str">
        <f>"3723468330272428032"</f>
        <v>3723468330272428032</v>
      </c>
      <c r="F4294" s="1" t="str">
        <f t="shared" si="1391"/>
        <v>花都四部-凤凰仓</v>
      </c>
      <c r="G4294" s="1" t="str">
        <f t="shared" si="1370"/>
        <v>卡卡杜企业店（视频号）</v>
      </c>
      <c r="H4294" s="1" t="str">
        <f t="shared" si="1392"/>
        <v>正常订单</v>
      </c>
      <c r="I4294" s="1" t="str">
        <f t="shared" si="1393"/>
        <v>已发货</v>
      </c>
      <c r="J4294" s="1" t="str">
        <f>"5"</f>
        <v>5</v>
      </c>
      <c r="K4294" s="1">
        <v>3</v>
      </c>
      <c r="L4294" s="1" t="s">
        <v>24</v>
      </c>
      <c r="M4294" s="1" t="str">
        <f>"福建省 厦门市 思明区 "</f>
        <v xml:space="preserve">福建省 厦门市 思明区 </v>
      </c>
      <c r="N4294" s="1" t="str">
        <f t="shared" si="1381"/>
        <v>凡华云仓-城南圆通-微信视频号</v>
      </c>
      <c r="O4294" s="5" t="s">
        <v>4325</v>
      </c>
      <c r="P4294" s="6">
        <v>0.56000000000000005</v>
      </c>
      <c r="Q4294" s="11">
        <f>CEILING(P4294-0.5,0.1)*10*0.15+2.3</f>
        <v>2.4499999999999997</v>
      </c>
      <c r="R4294" s="11"/>
      <c r="S4294" s="11"/>
      <c r="T4294" s="11"/>
      <c r="U4294" s="11">
        <f t="shared" si="1388"/>
        <v>2.4499999999999997</v>
      </c>
      <c r="V4294" t="s">
        <v>15</v>
      </c>
      <c r="W4294">
        <v>2.4500000000000002</v>
      </c>
      <c r="X4294" s="1" t="s">
        <v>24</v>
      </c>
    </row>
    <row r="4295" spans="1:24" x14ac:dyDescent="0.25">
      <c r="A4295" s="1" t="str">
        <f t="shared" si="1390"/>
        <v>卡卡杜-凤凰仓</v>
      </c>
      <c r="B4295" s="1" t="str">
        <f>"CK20241022391"</f>
        <v>CK20241022391</v>
      </c>
      <c r="C4295" s="1" t="str">
        <f>"DD2024102254130"</f>
        <v>DD2024102254130</v>
      </c>
      <c r="D4295" s="1" t="str">
        <f>"CK2024102250599"</f>
        <v>CK2024102250599</v>
      </c>
      <c r="E4295" s="1" t="str">
        <f>"3723468311781836032"</f>
        <v>3723468311781836032</v>
      </c>
      <c r="F4295" s="1" t="str">
        <f t="shared" si="1391"/>
        <v>花都四部-凤凰仓</v>
      </c>
      <c r="G4295" s="1" t="str">
        <f t="shared" si="1370"/>
        <v>卡卡杜企业店（视频号）</v>
      </c>
      <c r="H4295" s="1" t="str">
        <f t="shared" si="1392"/>
        <v>正常订单</v>
      </c>
      <c r="I4295" s="1" t="str">
        <f t="shared" si="1393"/>
        <v>已发货</v>
      </c>
      <c r="J4295" s="1" t="str">
        <f t="shared" si="1389"/>
        <v>3</v>
      </c>
      <c r="K4295" s="1">
        <v>3</v>
      </c>
      <c r="L4295" s="1" t="s">
        <v>161</v>
      </c>
      <c r="M4295" s="1" t="str">
        <f>"四川省 成都市 青羊区 "</f>
        <v xml:space="preserve">四川省 成都市 青羊区 </v>
      </c>
      <c r="N4295" s="1" t="str">
        <f t="shared" si="1381"/>
        <v>凡华云仓-城南圆通-微信视频号</v>
      </c>
      <c r="O4295" s="5" t="s">
        <v>4326</v>
      </c>
      <c r="P4295" s="6">
        <v>0.34</v>
      </c>
      <c r="Q4295" s="11">
        <v>2.2999999999999998</v>
      </c>
      <c r="R4295" s="11"/>
      <c r="S4295" s="11"/>
      <c r="T4295" s="11"/>
      <c r="U4295" s="11">
        <f t="shared" si="1388"/>
        <v>2.2999999999999998</v>
      </c>
      <c r="W4295">
        <v>2.5</v>
      </c>
      <c r="X4295" s="1" t="s">
        <v>161</v>
      </c>
    </row>
    <row r="4296" spans="1:24" x14ac:dyDescent="0.25">
      <c r="A4296" s="1" t="str">
        <f t="shared" si="1390"/>
        <v>卡卡杜-凤凰仓</v>
      </c>
      <c r="B4296" s="1" t="str">
        <f>"CK20241022392"</f>
        <v>CK20241022392</v>
      </c>
      <c r="C4296" s="1" t="str">
        <f>"DD2024102254123"</f>
        <v>DD2024102254123</v>
      </c>
      <c r="D4296" s="1" t="str">
        <f>"CK2024102250598"</f>
        <v>CK2024102250598</v>
      </c>
      <c r="E4296" s="1" t="str">
        <f>"3723468299675505664"</f>
        <v>3723468299675505664</v>
      </c>
      <c r="F4296" s="1" t="str">
        <f t="shared" si="1391"/>
        <v>花都四部-凤凰仓</v>
      </c>
      <c r="G4296" s="1" t="str">
        <f t="shared" si="1370"/>
        <v>卡卡杜企业店（视频号）</v>
      </c>
      <c r="H4296" s="1" t="str">
        <f t="shared" si="1392"/>
        <v>正常订单</v>
      </c>
      <c r="I4296" s="1" t="str">
        <f t="shared" si="1393"/>
        <v>已发货</v>
      </c>
      <c r="J4296" s="1" t="str">
        <f t="shared" si="1389"/>
        <v>3</v>
      </c>
      <c r="K4296" s="1">
        <v>3</v>
      </c>
      <c r="L4296" s="1" t="s">
        <v>20</v>
      </c>
      <c r="M4296" s="1" t="str">
        <f>"浙江省 宁波市 余姚市 "</f>
        <v xml:space="preserve">浙江省 宁波市 余姚市 </v>
      </c>
      <c r="N4296" s="1" t="str">
        <f t="shared" si="1381"/>
        <v>凡华云仓-城南圆通-微信视频号</v>
      </c>
      <c r="O4296" s="5" t="s">
        <v>4327</v>
      </c>
      <c r="P4296" s="6">
        <v>0.34</v>
      </c>
      <c r="Q4296" s="11">
        <v>2.2999999999999998</v>
      </c>
      <c r="R4296" s="11"/>
      <c r="S4296" s="11"/>
      <c r="T4296" s="11"/>
      <c r="U4296" s="11">
        <f t="shared" si="1388"/>
        <v>2.2999999999999998</v>
      </c>
      <c r="W4296">
        <v>2.5</v>
      </c>
      <c r="X4296" s="1" t="s">
        <v>20</v>
      </c>
    </row>
    <row r="4297" spans="1:24" x14ac:dyDescent="0.25">
      <c r="A4297" s="1" t="str">
        <f t="shared" si="1390"/>
        <v>卡卡杜-凤凰仓</v>
      </c>
      <c r="B4297" s="1" t="str">
        <f>"CK20241022496"</f>
        <v>CK20241022496</v>
      </c>
      <c r="C4297" s="1" t="str">
        <f>"DD2024102255613"</f>
        <v>DD2024102255613</v>
      </c>
      <c r="D4297" s="1" t="str">
        <f>"CK2024102250597"</f>
        <v>CK2024102250597</v>
      </c>
      <c r="E4297" s="1" t="str">
        <f>"3723468298687222784"</f>
        <v>3723468298687222784</v>
      </c>
      <c r="F4297" s="1" t="str">
        <f t="shared" si="1391"/>
        <v>花都四部-凤凰仓</v>
      </c>
      <c r="G4297" s="1" t="str">
        <f t="shared" si="1370"/>
        <v>卡卡杜企业店（视频号）</v>
      </c>
      <c r="H4297" s="1" t="str">
        <f t="shared" si="1392"/>
        <v>正常订单</v>
      </c>
      <c r="I4297" s="1" t="str">
        <f t="shared" si="1393"/>
        <v>已发货</v>
      </c>
      <c r="J4297" s="1" t="str">
        <f t="shared" si="1389"/>
        <v>3</v>
      </c>
      <c r="K4297" s="1">
        <v>3</v>
      </c>
      <c r="L4297" s="1" t="s">
        <v>74</v>
      </c>
      <c r="M4297" s="1" t="str">
        <f>"上海 上海市 静安区 "</f>
        <v xml:space="preserve">上海 上海市 静安区 </v>
      </c>
      <c r="N4297" s="1" t="str">
        <f t="shared" si="1381"/>
        <v>凡华云仓-城南圆通-微信视频号</v>
      </c>
      <c r="O4297" s="5" t="s">
        <v>4328</v>
      </c>
      <c r="P4297" s="6">
        <v>0.34</v>
      </c>
      <c r="Q4297" s="11">
        <v>2.2999999999999998</v>
      </c>
      <c r="R4297" s="11"/>
      <c r="S4297" s="11"/>
      <c r="T4297" s="11"/>
      <c r="U4297" s="11">
        <f t="shared" si="1388"/>
        <v>2.2999999999999998</v>
      </c>
      <c r="W4297">
        <v>2.5</v>
      </c>
      <c r="X4297" s="1" t="s">
        <v>74</v>
      </c>
    </row>
    <row r="4298" spans="1:24" x14ac:dyDescent="0.25">
      <c r="A4298" s="1" t="str">
        <f t="shared" si="1390"/>
        <v>卡卡杜-凤凰仓</v>
      </c>
      <c r="B4298" s="1" t="str">
        <f>"CK20241022455"</f>
        <v>CK20241022455</v>
      </c>
      <c r="C4298" s="1" t="str">
        <f>"DD2024102255435"</f>
        <v>DD2024102255435</v>
      </c>
      <c r="D4298" s="1" t="str">
        <f>"CK2024102250596"</f>
        <v>CK2024102250596</v>
      </c>
      <c r="E4298" s="1" t="str">
        <f>"3723468290100431872"</f>
        <v>3723468290100431872</v>
      </c>
      <c r="F4298" s="1" t="str">
        <f t="shared" si="1391"/>
        <v>花都四部-凤凰仓</v>
      </c>
      <c r="G4298" s="1" t="str">
        <f t="shared" si="1370"/>
        <v>卡卡杜企业店（视频号）</v>
      </c>
      <c r="H4298" s="1" t="str">
        <f t="shared" si="1392"/>
        <v>正常订单</v>
      </c>
      <c r="I4298" s="1" t="str">
        <f t="shared" si="1393"/>
        <v>已发货</v>
      </c>
      <c r="J4298" s="1" t="str">
        <f t="shared" si="1389"/>
        <v>3</v>
      </c>
      <c r="K4298" s="1">
        <v>3</v>
      </c>
      <c r="L4298" s="1" t="s">
        <v>74</v>
      </c>
      <c r="M4298" s="1" t="str">
        <f>"上海 上海市 徐汇区 "</f>
        <v xml:space="preserve">上海 上海市 徐汇区 </v>
      </c>
      <c r="N4298" s="1" t="str">
        <f t="shared" si="1381"/>
        <v>凡华云仓-城南圆通-微信视频号</v>
      </c>
      <c r="O4298" s="5" t="s">
        <v>4329</v>
      </c>
      <c r="P4298" s="6">
        <v>0.34</v>
      </c>
      <c r="Q4298" s="11">
        <v>2.2999999999999998</v>
      </c>
      <c r="R4298" s="11"/>
      <c r="S4298" s="11"/>
      <c r="T4298" s="11"/>
      <c r="U4298" s="11">
        <f t="shared" si="1388"/>
        <v>2.2999999999999998</v>
      </c>
      <c r="W4298">
        <v>2.5</v>
      </c>
      <c r="X4298" s="1" t="s">
        <v>74</v>
      </c>
    </row>
    <row r="4299" spans="1:24" x14ac:dyDescent="0.25">
      <c r="A4299" s="1" t="str">
        <f t="shared" si="1390"/>
        <v>卡卡杜-凤凰仓</v>
      </c>
      <c r="B4299" s="1" t="str">
        <f>"CK20241022393"</f>
        <v>CK20241022393</v>
      </c>
      <c r="C4299" s="1" t="str">
        <f>"DD2024102254126"</f>
        <v>DD2024102254126</v>
      </c>
      <c r="D4299" s="1" t="str">
        <f>"CK2024102250595"</f>
        <v>CK2024102250595</v>
      </c>
      <c r="E4299" s="1" t="str">
        <f>"3723468292009103360"</f>
        <v>3723468292009103360</v>
      </c>
      <c r="F4299" s="1" t="str">
        <f t="shared" si="1391"/>
        <v>花都四部-凤凰仓</v>
      </c>
      <c r="G4299" s="1" t="str">
        <f t="shared" si="1370"/>
        <v>卡卡杜企业店（视频号）</v>
      </c>
      <c r="H4299" s="1" t="str">
        <f t="shared" si="1392"/>
        <v>正常订单</v>
      </c>
      <c r="I4299" s="1" t="str">
        <f t="shared" si="1393"/>
        <v>已发货</v>
      </c>
      <c r="J4299" s="1" t="str">
        <f t="shared" ref="J4299:J4303" si="1394">"5"</f>
        <v>5</v>
      </c>
      <c r="K4299" s="1">
        <v>3</v>
      </c>
      <c r="L4299" s="1" t="s">
        <v>32</v>
      </c>
      <c r="M4299" s="1" t="str">
        <f>"陕西省 西安市 未央区 "</f>
        <v xml:space="preserve">陕西省 西安市 未央区 </v>
      </c>
      <c r="N4299" s="1" t="str">
        <f t="shared" si="1381"/>
        <v>凡华云仓-城南圆通-微信视频号</v>
      </c>
      <c r="O4299" s="5" t="s">
        <v>4330</v>
      </c>
      <c r="P4299" s="6">
        <v>0.56000000000000005</v>
      </c>
      <c r="Q4299" s="11">
        <f t="shared" ref="Q4299:Q4303" si="1395">CEILING(P4299-0.5,0.1)*10*0.15+2.3</f>
        <v>2.4499999999999997</v>
      </c>
      <c r="R4299" s="11"/>
      <c r="S4299" s="11"/>
      <c r="T4299" s="11"/>
      <c r="U4299" s="11">
        <f t="shared" si="1388"/>
        <v>2.4499999999999997</v>
      </c>
      <c r="V4299" t="s">
        <v>15</v>
      </c>
      <c r="W4299">
        <v>2.4500000000000002</v>
      </c>
      <c r="X4299" s="1" t="s">
        <v>32</v>
      </c>
    </row>
    <row r="4300" spans="1:24" x14ac:dyDescent="0.25">
      <c r="A4300" s="1" t="str">
        <f t="shared" si="1390"/>
        <v>卡卡杜-凤凰仓</v>
      </c>
      <c r="B4300" s="1" t="str">
        <f>"CK20241022394"</f>
        <v>CK20241022394</v>
      </c>
      <c r="C4300" s="1" t="str">
        <f>"DD2024102254124"</f>
        <v>DD2024102254124</v>
      </c>
      <c r="D4300" s="1" t="str">
        <f>"CK2024102250594"</f>
        <v>CK2024102250594</v>
      </c>
      <c r="E4300" s="1" t="str">
        <f>"3723468286948676608"</f>
        <v>3723468286948676608</v>
      </c>
      <c r="F4300" s="1" t="str">
        <f t="shared" si="1391"/>
        <v>花都四部-凤凰仓</v>
      </c>
      <c r="G4300" s="1" t="str">
        <f t="shared" si="1370"/>
        <v>卡卡杜企业店（视频号）</v>
      </c>
      <c r="H4300" s="1" t="str">
        <f t="shared" si="1392"/>
        <v>正常订单</v>
      </c>
      <c r="I4300" s="1" t="str">
        <f t="shared" si="1393"/>
        <v>已发货</v>
      </c>
      <c r="J4300" s="1" t="str">
        <f t="shared" ref="J4300:J4308" si="1396">"3"</f>
        <v>3</v>
      </c>
      <c r="K4300" s="1">
        <v>3</v>
      </c>
      <c r="L4300" s="1" t="s">
        <v>18</v>
      </c>
      <c r="M4300" s="1" t="str">
        <f>"广东省 广州市 越秀区 "</f>
        <v xml:space="preserve">广东省 广州市 越秀区 </v>
      </c>
      <c r="N4300" s="1" t="str">
        <f t="shared" si="1381"/>
        <v>凡华云仓-城南圆通-微信视频号</v>
      </c>
      <c r="O4300" s="5" t="s">
        <v>4331</v>
      </c>
      <c r="P4300" s="6">
        <v>0.34</v>
      </c>
      <c r="Q4300" s="11">
        <v>2.2999999999999998</v>
      </c>
      <c r="R4300" s="11"/>
      <c r="S4300" s="11"/>
      <c r="T4300" s="11"/>
      <c r="U4300" s="11">
        <f t="shared" si="1388"/>
        <v>2.2999999999999998</v>
      </c>
      <c r="W4300">
        <v>2.5</v>
      </c>
      <c r="X4300" s="1" t="s">
        <v>18</v>
      </c>
    </row>
    <row r="4301" spans="1:24" x14ac:dyDescent="0.25">
      <c r="A4301" s="1" t="str">
        <f t="shared" si="1390"/>
        <v>卡卡杜-凤凰仓</v>
      </c>
      <c r="B4301" s="1" t="str">
        <f>"CK20241022395"</f>
        <v>CK20241022395</v>
      </c>
      <c r="C4301" s="1" t="str">
        <f>"DD2024102254132"</f>
        <v>DD2024102254132</v>
      </c>
      <c r="D4301" s="1" t="str">
        <f>"CK2024102250593"</f>
        <v>CK2024102250593</v>
      </c>
      <c r="E4301" s="1" t="str">
        <f>"3723468285129397248"</f>
        <v>3723468285129397248</v>
      </c>
      <c r="F4301" s="1" t="str">
        <f t="shared" si="1391"/>
        <v>花都四部-凤凰仓</v>
      </c>
      <c r="G4301" s="1" t="str">
        <f t="shared" si="1370"/>
        <v>卡卡杜企业店（视频号）</v>
      </c>
      <c r="H4301" s="1" t="str">
        <f t="shared" si="1392"/>
        <v>正常订单</v>
      </c>
      <c r="I4301" s="1" t="str">
        <f t="shared" si="1393"/>
        <v>已发货</v>
      </c>
      <c r="J4301" s="1" t="str">
        <f t="shared" si="1394"/>
        <v>5</v>
      </c>
      <c r="K4301" s="1">
        <v>3</v>
      </c>
      <c r="L4301" s="1" t="s">
        <v>16</v>
      </c>
      <c r="M4301" s="1" t="str">
        <f>"河北省 廊坊市 三河市 "</f>
        <v xml:space="preserve">河北省 廊坊市 三河市 </v>
      </c>
      <c r="N4301" s="1" t="str">
        <f t="shared" si="1381"/>
        <v>凡华云仓-城南圆通-微信视频号</v>
      </c>
      <c r="O4301" s="5" t="s">
        <v>4332</v>
      </c>
      <c r="P4301" s="6">
        <v>0.56000000000000005</v>
      </c>
      <c r="Q4301" s="11">
        <f t="shared" si="1395"/>
        <v>2.4499999999999997</v>
      </c>
      <c r="R4301" s="11"/>
      <c r="S4301" s="11"/>
      <c r="T4301" s="11"/>
      <c r="U4301" s="11">
        <f t="shared" si="1388"/>
        <v>2.4499999999999997</v>
      </c>
      <c r="V4301" t="s">
        <v>15</v>
      </c>
      <c r="W4301">
        <v>2.4500000000000002</v>
      </c>
      <c r="X4301" s="1" t="s">
        <v>16</v>
      </c>
    </row>
    <row r="4302" spans="1:24" x14ac:dyDescent="0.25">
      <c r="A4302" s="1" t="str">
        <f t="shared" si="1390"/>
        <v>卡卡杜-凤凰仓</v>
      </c>
      <c r="B4302" s="1" t="str">
        <f>"CK20241022396"</f>
        <v>CK20241022396</v>
      </c>
      <c r="C4302" s="1" t="str">
        <f>"DD2024102254133"</f>
        <v>DD2024102254133</v>
      </c>
      <c r="D4302" s="1" t="str">
        <f>"CK2024102250592"</f>
        <v>CK2024102250592</v>
      </c>
      <c r="E4302" s="1" t="str">
        <f>"3723468279049752576"</f>
        <v>3723468279049752576</v>
      </c>
      <c r="F4302" s="1" t="str">
        <f t="shared" si="1391"/>
        <v>花都四部-凤凰仓</v>
      </c>
      <c r="G4302" s="1" t="str">
        <f t="shared" ref="G4302:G4365" si="1397">"卡卡杜企业店（视频号）"</f>
        <v>卡卡杜企业店（视频号）</v>
      </c>
      <c r="H4302" s="1" t="str">
        <f t="shared" si="1392"/>
        <v>正常订单</v>
      </c>
      <c r="I4302" s="1" t="str">
        <f t="shared" si="1393"/>
        <v>已发货</v>
      </c>
      <c r="J4302" s="1" t="str">
        <f t="shared" si="1396"/>
        <v>3</v>
      </c>
      <c r="K4302" s="1">
        <v>3</v>
      </c>
      <c r="L4302" s="1" t="s">
        <v>105</v>
      </c>
      <c r="M4302" s="1" t="str">
        <f>"北京 北京市 海淀区 "</f>
        <v xml:space="preserve">北京 北京市 海淀区 </v>
      </c>
      <c r="N4302" s="1" t="str">
        <f t="shared" si="1381"/>
        <v>凡华云仓-城南圆通-微信视频号</v>
      </c>
      <c r="O4302" s="5" t="s">
        <v>4333</v>
      </c>
      <c r="P4302" s="6">
        <v>0.34</v>
      </c>
      <c r="Q4302" s="11">
        <v>2.2999999999999998</v>
      </c>
      <c r="R4302" s="11"/>
      <c r="S4302" s="11"/>
      <c r="T4302" s="11"/>
      <c r="U4302" s="11">
        <f t="shared" si="1388"/>
        <v>2.2999999999999998</v>
      </c>
      <c r="W4302">
        <v>2.5</v>
      </c>
      <c r="X4302" s="1" t="s">
        <v>105</v>
      </c>
    </row>
    <row r="4303" spans="1:24" x14ac:dyDescent="0.25">
      <c r="A4303" s="1" t="str">
        <f t="shared" si="1390"/>
        <v>卡卡杜-凤凰仓</v>
      </c>
      <c r="B4303" s="1" t="str">
        <f>"CK20241022397"</f>
        <v>CK20241022397</v>
      </c>
      <c r="C4303" s="1" t="str">
        <f>"DD2024102254139"</f>
        <v>DD2024102254139</v>
      </c>
      <c r="D4303" s="1" t="str">
        <f>"CK2024102250591"</f>
        <v>CK2024102250591</v>
      </c>
      <c r="E4303" s="1" t="str">
        <f>"3723468277546619904"</f>
        <v>3723468277546619904</v>
      </c>
      <c r="F4303" s="1" t="str">
        <f t="shared" si="1391"/>
        <v>花都四部-凤凰仓</v>
      </c>
      <c r="G4303" s="1" t="str">
        <f t="shared" si="1397"/>
        <v>卡卡杜企业店（视频号）</v>
      </c>
      <c r="H4303" s="1" t="str">
        <f t="shared" si="1392"/>
        <v>正常订单</v>
      </c>
      <c r="I4303" s="1" t="str">
        <f t="shared" si="1393"/>
        <v>已发货</v>
      </c>
      <c r="J4303" s="1" t="str">
        <f t="shared" si="1394"/>
        <v>5</v>
      </c>
      <c r="K4303" s="1">
        <v>3</v>
      </c>
      <c r="L4303" s="1" t="s">
        <v>105</v>
      </c>
      <c r="M4303" s="1" t="str">
        <f>"北京 北京市 昌平区 "</f>
        <v xml:space="preserve">北京 北京市 昌平区 </v>
      </c>
      <c r="N4303" s="1" t="str">
        <f t="shared" si="1381"/>
        <v>凡华云仓-城南圆通-微信视频号</v>
      </c>
      <c r="O4303" s="5" t="s">
        <v>4334</v>
      </c>
      <c r="P4303" s="6">
        <v>0.56000000000000005</v>
      </c>
      <c r="Q4303" s="11">
        <f t="shared" si="1395"/>
        <v>2.4499999999999997</v>
      </c>
      <c r="R4303" s="11"/>
      <c r="S4303" s="11"/>
      <c r="T4303" s="11"/>
      <c r="U4303" s="11">
        <f t="shared" si="1388"/>
        <v>2.4499999999999997</v>
      </c>
      <c r="V4303" t="s">
        <v>15</v>
      </c>
      <c r="W4303">
        <v>2.4500000000000002</v>
      </c>
      <c r="X4303" s="1" t="s">
        <v>105</v>
      </c>
    </row>
    <row r="4304" spans="1:24" x14ac:dyDescent="0.25">
      <c r="A4304" s="1" t="str">
        <f t="shared" si="1390"/>
        <v>卡卡杜-凤凰仓</v>
      </c>
      <c r="B4304" s="1" t="str">
        <f>"CK20241022398"</f>
        <v>CK20241022398</v>
      </c>
      <c r="C4304" s="1" t="str">
        <f>"DD2024102254140"</f>
        <v>DD2024102254140</v>
      </c>
      <c r="D4304" s="1" t="str">
        <f>"CK2024102250590"</f>
        <v>CK2024102250590</v>
      </c>
      <c r="E4304" s="1" t="str">
        <f>"3723468280213670912"</f>
        <v>3723468280213670912</v>
      </c>
      <c r="F4304" s="1" t="str">
        <f t="shared" si="1391"/>
        <v>花都四部-凤凰仓</v>
      </c>
      <c r="G4304" s="1" t="str">
        <f t="shared" si="1397"/>
        <v>卡卡杜企业店（视频号）</v>
      </c>
      <c r="H4304" s="1" t="str">
        <f t="shared" si="1392"/>
        <v>正常订单</v>
      </c>
      <c r="I4304" s="1" t="str">
        <f t="shared" si="1393"/>
        <v>已发货</v>
      </c>
      <c r="J4304" s="1" t="str">
        <f t="shared" si="1396"/>
        <v>3</v>
      </c>
      <c r="K4304" s="1">
        <v>3</v>
      </c>
      <c r="L4304" s="1" t="s">
        <v>74</v>
      </c>
      <c r="M4304" s="1" t="str">
        <f>"上海 上海市 虹口区 "</f>
        <v xml:space="preserve">上海 上海市 虹口区 </v>
      </c>
      <c r="N4304" s="1" t="str">
        <f t="shared" si="1381"/>
        <v>凡华云仓-城南圆通-微信视频号</v>
      </c>
      <c r="O4304" s="5" t="s">
        <v>4335</v>
      </c>
      <c r="P4304" s="6">
        <v>0.34</v>
      </c>
      <c r="Q4304" s="11">
        <v>2.2999999999999998</v>
      </c>
      <c r="R4304" s="11"/>
      <c r="S4304" s="11"/>
      <c r="T4304" s="11"/>
      <c r="U4304" s="11">
        <f t="shared" si="1388"/>
        <v>2.2999999999999998</v>
      </c>
      <c r="W4304">
        <v>2.5</v>
      </c>
      <c r="X4304" s="1" t="s">
        <v>74</v>
      </c>
    </row>
    <row r="4305" spans="1:24" x14ac:dyDescent="0.25">
      <c r="A4305" s="1" t="str">
        <f t="shared" si="1390"/>
        <v>卡卡杜-凤凰仓</v>
      </c>
      <c r="B4305" s="1" t="str">
        <f>"CK20241022399"</f>
        <v>CK20241022399</v>
      </c>
      <c r="C4305" s="1" t="str">
        <f>"DD2024102254142"</f>
        <v>DD2024102254142</v>
      </c>
      <c r="D4305" s="1" t="str">
        <f>"CK2024102250589"</f>
        <v>CK2024102250589</v>
      </c>
      <c r="E4305" s="1" t="str">
        <f>"3723468276528976896"</f>
        <v>3723468276528976896</v>
      </c>
      <c r="F4305" s="1" t="str">
        <f t="shared" si="1391"/>
        <v>花都四部-凤凰仓</v>
      </c>
      <c r="G4305" s="1" t="str">
        <f t="shared" si="1397"/>
        <v>卡卡杜企业店（视频号）</v>
      </c>
      <c r="H4305" s="1" t="str">
        <f t="shared" si="1392"/>
        <v>正常订单</v>
      </c>
      <c r="I4305" s="1" t="str">
        <f t="shared" si="1393"/>
        <v>已发货</v>
      </c>
      <c r="J4305" s="1" t="str">
        <f t="shared" si="1396"/>
        <v>3</v>
      </c>
      <c r="K4305" s="1">
        <v>3</v>
      </c>
      <c r="L4305" s="1" t="s">
        <v>66</v>
      </c>
      <c r="M4305" s="1" t="str">
        <f>"内蒙古自治区 包头市 昆都仑区 "</f>
        <v xml:space="preserve">内蒙古自治区 包头市 昆都仑区 </v>
      </c>
      <c r="N4305" s="1" t="str">
        <f t="shared" si="1381"/>
        <v>凡华云仓-城南圆通-微信视频号</v>
      </c>
      <c r="O4305" s="5" t="s">
        <v>4336</v>
      </c>
      <c r="P4305" s="6">
        <v>0.34</v>
      </c>
      <c r="Q4305" s="11">
        <v>2.2999999999999998</v>
      </c>
      <c r="R4305" s="11"/>
      <c r="S4305" s="11"/>
      <c r="T4305" s="11"/>
      <c r="U4305" s="11">
        <f t="shared" si="1388"/>
        <v>2.2999999999999998</v>
      </c>
      <c r="W4305">
        <v>2.5</v>
      </c>
      <c r="X4305" s="1" t="s">
        <v>66</v>
      </c>
    </row>
    <row r="4306" spans="1:24" x14ac:dyDescent="0.25">
      <c r="A4306" s="1" t="str">
        <f t="shared" si="1390"/>
        <v>卡卡杜-凤凰仓</v>
      </c>
      <c r="B4306" s="1" t="str">
        <f>"CK20241022400"</f>
        <v>CK20241022400</v>
      </c>
      <c r="C4306" s="1" t="str">
        <f>"DD2024102254146"</f>
        <v>DD2024102254146</v>
      </c>
      <c r="D4306" s="1" t="str">
        <f>"CK2024102250588"</f>
        <v>CK2024102250588</v>
      </c>
      <c r="E4306" s="1" t="str">
        <f>"3723468275478828032"</f>
        <v>3723468275478828032</v>
      </c>
      <c r="F4306" s="1" t="str">
        <f t="shared" si="1391"/>
        <v>花都四部-凤凰仓</v>
      </c>
      <c r="G4306" s="1" t="str">
        <f t="shared" si="1397"/>
        <v>卡卡杜企业店（视频号）</v>
      </c>
      <c r="H4306" s="1" t="str">
        <f t="shared" si="1392"/>
        <v>正常订单</v>
      </c>
      <c r="I4306" s="1" t="str">
        <f t="shared" si="1393"/>
        <v>已发货</v>
      </c>
      <c r="J4306" s="1" t="str">
        <f t="shared" si="1396"/>
        <v>3</v>
      </c>
      <c r="K4306" s="1">
        <v>3</v>
      </c>
      <c r="L4306" s="1" t="s">
        <v>60</v>
      </c>
      <c r="M4306" s="1" t="str">
        <f>"云南省 昆明市 盘龙区 "</f>
        <v xml:space="preserve">云南省 昆明市 盘龙区 </v>
      </c>
      <c r="N4306" s="1" t="str">
        <f t="shared" si="1381"/>
        <v>凡华云仓-城南圆通-微信视频号</v>
      </c>
      <c r="O4306" s="5" t="s">
        <v>4337</v>
      </c>
      <c r="P4306" s="6">
        <v>0.34</v>
      </c>
      <c r="Q4306" s="11">
        <v>2.2999999999999998</v>
      </c>
      <c r="R4306" s="11"/>
      <c r="S4306" s="11"/>
      <c r="T4306" s="11"/>
      <c r="U4306" s="11">
        <f t="shared" si="1388"/>
        <v>2.2999999999999998</v>
      </c>
      <c r="W4306">
        <v>2.5</v>
      </c>
      <c r="X4306" s="1" t="s">
        <v>60</v>
      </c>
    </row>
    <row r="4307" spans="1:24" x14ac:dyDescent="0.25">
      <c r="A4307" s="1" t="str">
        <f t="shared" si="1390"/>
        <v>卡卡杜-凤凰仓</v>
      </c>
      <c r="B4307" s="1" t="str">
        <f>"CK20241022401"</f>
        <v>CK20241022401</v>
      </c>
      <c r="C4307" s="1" t="str">
        <f>"DD2024102254150"</f>
        <v>DD2024102254150</v>
      </c>
      <c r="D4307" s="1" t="str">
        <f>"CK2024102250587"</f>
        <v>CK2024102250587</v>
      </c>
      <c r="E4307" s="1" t="str">
        <f>"3723468268335928320"</f>
        <v>3723468268335928320</v>
      </c>
      <c r="F4307" s="1" t="str">
        <f t="shared" si="1391"/>
        <v>花都四部-凤凰仓</v>
      </c>
      <c r="G4307" s="1" t="str">
        <f t="shared" si="1397"/>
        <v>卡卡杜企业店（视频号）</v>
      </c>
      <c r="H4307" s="1" t="str">
        <f t="shared" si="1392"/>
        <v>正常订单</v>
      </c>
      <c r="I4307" s="1" t="str">
        <f t="shared" si="1393"/>
        <v>已发货</v>
      </c>
      <c r="J4307" s="1" t="str">
        <f t="shared" si="1396"/>
        <v>3</v>
      </c>
      <c r="K4307" s="1">
        <v>3</v>
      </c>
      <c r="L4307" s="1" t="s">
        <v>18</v>
      </c>
      <c r="M4307" s="1" t="str">
        <f>"广东省 佛山市 顺德区 "</f>
        <v xml:space="preserve">广东省 佛山市 顺德区 </v>
      </c>
      <c r="N4307" s="1" t="str">
        <f t="shared" si="1381"/>
        <v>凡华云仓-城南圆通-微信视频号</v>
      </c>
      <c r="O4307" s="5" t="s">
        <v>4338</v>
      </c>
      <c r="P4307" s="6">
        <v>0.34</v>
      </c>
      <c r="Q4307" s="11">
        <v>2.2999999999999998</v>
      </c>
      <c r="R4307" s="11"/>
      <c r="S4307" s="11"/>
      <c r="T4307" s="11"/>
      <c r="U4307" s="11">
        <f t="shared" si="1388"/>
        <v>2.2999999999999998</v>
      </c>
      <c r="W4307">
        <v>2.5</v>
      </c>
      <c r="X4307" s="1" t="s">
        <v>18</v>
      </c>
    </row>
    <row r="4308" spans="1:24" x14ac:dyDescent="0.25">
      <c r="A4308" s="1" t="str">
        <f t="shared" si="1390"/>
        <v>卡卡杜-凤凰仓</v>
      </c>
      <c r="B4308" s="1" t="str">
        <f>"CK20241022402"</f>
        <v>CK20241022402</v>
      </c>
      <c r="C4308" s="1" t="str">
        <f>"DD2024102254148"</f>
        <v>DD2024102254148</v>
      </c>
      <c r="D4308" s="1" t="str">
        <f>"CK2024102250586"</f>
        <v>CK2024102250586</v>
      </c>
      <c r="E4308" s="1" t="str">
        <f>"3723468259362735616"</f>
        <v>3723468259362735616</v>
      </c>
      <c r="F4308" s="1" t="str">
        <f t="shared" si="1391"/>
        <v>花都四部-凤凰仓</v>
      </c>
      <c r="G4308" s="1" t="str">
        <f t="shared" si="1397"/>
        <v>卡卡杜企业店（视频号）</v>
      </c>
      <c r="H4308" s="1" t="str">
        <f t="shared" si="1392"/>
        <v>正常订单</v>
      </c>
      <c r="I4308" s="1" t="str">
        <f t="shared" si="1393"/>
        <v>已发货</v>
      </c>
      <c r="J4308" s="1" t="str">
        <f t="shared" si="1396"/>
        <v>3</v>
      </c>
      <c r="K4308" s="1">
        <v>3</v>
      </c>
      <c r="L4308" s="1" t="s">
        <v>161</v>
      </c>
      <c r="M4308" s="1" t="str">
        <f>"四川省 成都市 武侯区 "</f>
        <v xml:space="preserve">四川省 成都市 武侯区 </v>
      </c>
      <c r="N4308" s="1" t="str">
        <f t="shared" si="1381"/>
        <v>凡华云仓-城南圆通-微信视频号</v>
      </c>
      <c r="O4308" s="5" t="s">
        <v>4339</v>
      </c>
      <c r="P4308" s="6">
        <v>0.34</v>
      </c>
      <c r="Q4308" s="11">
        <v>2.2999999999999998</v>
      </c>
      <c r="R4308" s="11"/>
      <c r="S4308" s="11"/>
      <c r="T4308" s="11"/>
      <c r="U4308" s="11">
        <f t="shared" si="1388"/>
        <v>2.2999999999999998</v>
      </c>
      <c r="W4308">
        <v>2.5</v>
      </c>
      <c r="X4308" s="1" t="s">
        <v>161</v>
      </c>
    </row>
    <row r="4309" spans="1:24" x14ac:dyDescent="0.25">
      <c r="A4309" s="1" t="str">
        <f t="shared" si="1390"/>
        <v>卡卡杜-凤凰仓</v>
      </c>
      <c r="B4309" s="1" t="str">
        <f>"CK20241022509"</f>
        <v>CK20241022509</v>
      </c>
      <c r="C4309" s="1" t="str">
        <f>"DD2024102255650"</f>
        <v>DD2024102255650</v>
      </c>
      <c r="D4309" s="1" t="str">
        <f>"CK2024102250585"</f>
        <v>CK2024102250585</v>
      </c>
      <c r="E4309" s="1" t="str">
        <f>"3723468251723597312"</f>
        <v>3723468251723597312</v>
      </c>
      <c r="F4309" s="1" t="str">
        <f t="shared" si="1391"/>
        <v>花都四部-凤凰仓</v>
      </c>
      <c r="G4309" s="1" t="str">
        <f t="shared" si="1397"/>
        <v>卡卡杜企业店（视频号）</v>
      </c>
      <c r="H4309" s="1" t="str">
        <f t="shared" si="1392"/>
        <v>正常订单</v>
      </c>
      <c r="I4309" s="1" t="str">
        <f t="shared" si="1393"/>
        <v>已发货</v>
      </c>
      <c r="J4309" s="1" t="str">
        <f t="shared" ref="J4309:J4314" si="1398">"5"</f>
        <v>5</v>
      </c>
      <c r="K4309" s="1">
        <v>3</v>
      </c>
      <c r="L4309" s="1" t="s">
        <v>18</v>
      </c>
      <c r="M4309" s="1" t="str">
        <f>"广东省 深圳市 福田区 "</f>
        <v xml:space="preserve">广东省 深圳市 福田区 </v>
      </c>
      <c r="N4309" s="1" t="str">
        <f t="shared" si="1381"/>
        <v>凡华云仓-城南圆通-微信视频号</v>
      </c>
      <c r="O4309" s="5" t="s">
        <v>4340</v>
      </c>
      <c r="P4309" s="6">
        <v>0.56000000000000005</v>
      </c>
      <c r="Q4309" s="11">
        <f t="shared" ref="Q4309:Q4314" si="1399">CEILING(P4309-0.5,0.1)*10*0.15+2.3</f>
        <v>2.4499999999999997</v>
      </c>
      <c r="R4309" s="11"/>
      <c r="S4309" s="11"/>
      <c r="T4309" s="11"/>
      <c r="U4309" s="11">
        <f t="shared" si="1388"/>
        <v>2.4499999999999997</v>
      </c>
      <c r="V4309" t="s">
        <v>15</v>
      </c>
      <c r="W4309">
        <v>2.4500000000000002</v>
      </c>
      <c r="X4309" s="1" t="s">
        <v>18</v>
      </c>
    </row>
    <row r="4310" spans="1:24" x14ac:dyDescent="0.25">
      <c r="A4310" s="1" t="str">
        <f t="shared" si="1390"/>
        <v>卡卡杜-凤凰仓</v>
      </c>
      <c r="B4310" s="1" t="str">
        <f>"CK20241022403"</f>
        <v>CK20241022403</v>
      </c>
      <c r="C4310" s="1" t="str">
        <f>"DD2024102254155"</f>
        <v>DD2024102254155</v>
      </c>
      <c r="D4310" s="1" t="str">
        <f>"CK2024102250584"</f>
        <v>CK2024102250584</v>
      </c>
      <c r="E4310" s="1" t="str">
        <f>"3723468251140328448"</f>
        <v>3723468251140328448</v>
      </c>
      <c r="F4310" s="1" t="str">
        <f t="shared" si="1391"/>
        <v>花都四部-凤凰仓</v>
      </c>
      <c r="G4310" s="1" t="str">
        <f t="shared" si="1397"/>
        <v>卡卡杜企业店（视频号）</v>
      </c>
      <c r="H4310" s="1" t="str">
        <f t="shared" si="1392"/>
        <v>正常订单</v>
      </c>
      <c r="I4310" s="1" t="str">
        <f t="shared" si="1393"/>
        <v>已发货</v>
      </c>
      <c r="J4310" s="1" t="str">
        <f t="shared" ref="J4310:J4316" si="1400">"3"</f>
        <v>3</v>
      </c>
      <c r="K4310" s="1">
        <v>3</v>
      </c>
      <c r="L4310" s="1" t="s">
        <v>60</v>
      </c>
      <c r="M4310" s="1" t="str">
        <f>"云南省 昆明市 官渡区 "</f>
        <v xml:space="preserve">云南省 昆明市 官渡区 </v>
      </c>
      <c r="N4310" s="1" t="str">
        <f t="shared" si="1381"/>
        <v>凡华云仓-城南圆通-微信视频号</v>
      </c>
      <c r="O4310" s="5" t="s">
        <v>4341</v>
      </c>
      <c r="P4310" s="6">
        <v>0.34</v>
      </c>
      <c r="Q4310" s="11">
        <v>2.2999999999999998</v>
      </c>
      <c r="R4310" s="11"/>
      <c r="S4310" s="11"/>
      <c r="T4310" s="11"/>
      <c r="U4310" s="11">
        <f t="shared" si="1388"/>
        <v>2.2999999999999998</v>
      </c>
      <c r="W4310">
        <v>2.5</v>
      </c>
      <c r="X4310" s="1" t="s">
        <v>60</v>
      </c>
    </row>
    <row r="4311" spans="1:24" x14ac:dyDescent="0.25">
      <c r="A4311" s="1" t="str">
        <f t="shared" si="1390"/>
        <v>卡卡杜-凤凰仓</v>
      </c>
      <c r="B4311" s="1" t="str">
        <f>"CK20241022404"</f>
        <v>CK20241022404</v>
      </c>
      <c r="C4311" s="1" t="str">
        <f>"DD2024102254161"</f>
        <v>DD2024102254161</v>
      </c>
      <c r="D4311" s="1" t="str">
        <f>"CK2024102250583"</f>
        <v>CK2024102250583</v>
      </c>
      <c r="E4311" s="1" t="str">
        <f>"3723468248149526016"</f>
        <v>3723468248149526016</v>
      </c>
      <c r="F4311" s="1" t="str">
        <f t="shared" si="1391"/>
        <v>花都四部-凤凰仓</v>
      </c>
      <c r="G4311" s="1" t="str">
        <f t="shared" si="1397"/>
        <v>卡卡杜企业店（视频号）</v>
      </c>
      <c r="H4311" s="1" t="str">
        <f t="shared" si="1392"/>
        <v>正常订单</v>
      </c>
      <c r="I4311" s="1" t="str">
        <f t="shared" si="1393"/>
        <v>已发货</v>
      </c>
      <c r="J4311" s="1" t="str">
        <f t="shared" si="1400"/>
        <v>3</v>
      </c>
      <c r="K4311" s="1">
        <v>3</v>
      </c>
      <c r="L4311" s="1" t="s">
        <v>105</v>
      </c>
      <c r="M4311" s="1" t="str">
        <f>"北京 北京市 东城区 "</f>
        <v xml:space="preserve">北京 北京市 东城区 </v>
      </c>
      <c r="N4311" s="1" t="str">
        <f t="shared" si="1381"/>
        <v>凡华云仓-城南圆通-微信视频号</v>
      </c>
      <c r="O4311" s="5" t="s">
        <v>4342</v>
      </c>
      <c r="P4311" s="6">
        <v>0.34</v>
      </c>
      <c r="Q4311" s="11">
        <v>2.2999999999999998</v>
      </c>
      <c r="R4311" s="11"/>
      <c r="S4311" s="11"/>
      <c r="T4311" s="11"/>
      <c r="U4311" s="11">
        <f t="shared" si="1388"/>
        <v>2.2999999999999998</v>
      </c>
      <c r="W4311">
        <v>2.5</v>
      </c>
      <c r="X4311" s="1" t="s">
        <v>105</v>
      </c>
    </row>
    <row r="4312" spans="1:24" x14ac:dyDescent="0.25">
      <c r="A4312" s="1" t="str">
        <f t="shared" si="1390"/>
        <v>卡卡杜-凤凰仓</v>
      </c>
      <c r="B4312" s="1" t="str">
        <f>"CK2024102212"</f>
        <v>CK2024102212</v>
      </c>
      <c r="C4312" s="1" t="str">
        <f>"DD2024102253564"</f>
        <v>DD2024102253564</v>
      </c>
      <c r="D4312" s="1" t="str">
        <f>"CK2024102250582"</f>
        <v>CK2024102250582</v>
      </c>
      <c r="E4312" s="1" t="str">
        <f>"3723468248353735938"</f>
        <v>3723468248353735938</v>
      </c>
      <c r="F4312" s="1" t="str">
        <f t="shared" si="1391"/>
        <v>花都四部-凤凰仓</v>
      </c>
      <c r="G4312" s="1" t="str">
        <f t="shared" si="1397"/>
        <v>卡卡杜企业店（视频号）</v>
      </c>
      <c r="H4312" s="1" t="str">
        <f t="shared" si="1392"/>
        <v>正常订单</v>
      </c>
      <c r="I4312" s="1" t="str">
        <f t="shared" si="1393"/>
        <v>已发货</v>
      </c>
      <c r="J4312" s="1" t="str">
        <f t="shared" si="1398"/>
        <v>5</v>
      </c>
      <c r="K4312" s="1">
        <v>3</v>
      </c>
      <c r="L4312" s="1" t="s">
        <v>30</v>
      </c>
      <c r="M4312" s="1" t="str">
        <f>"山东省 青岛市 崂山区 "</f>
        <v xml:space="preserve">山东省 青岛市 崂山区 </v>
      </c>
      <c r="N4312" s="1" t="str">
        <f>"凡华云仓-竹料中通-微信视频号"</f>
        <v>凡华云仓-竹料中通-微信视频号</v>
      </c>
      <c r="O4312" s="5">
        <v>73613788933188</v>
      </c>
      <c r="P4312" s="6">
        <v>0.56000000000000005</v>
      </c>
      <c r="Q4312" s="11">
        <f>CEILING(P4312-0.5,0.1)*10*0.15+2.6</f>
        <v>2.75</v>
      </c>
      <c r="R4312" s="11"/>
      <c r="S4312" s="11"/>
      <c r="T4312" s="11"/>
      <c r="U4312" s="11">
        <f t="shared" si="1388"/>
        <v>2.75</v>
      </c>
      <c r="V4312" t="s">
        <v>15</v>
      </c>
      <c r="W4312">
        <v>2.75</v>
      </c>
      <c r="X4312" s="1" t="s">
        <v>30</v>
      </c>
    </row>
    <row r="4313" spans="1:24" x14ac:dyDescent="0.25">
      <c r="A4313" s="1" t="str">
        <f t="shared" si="1390"/>
        <v>卡卡杜-凤凰仓</v>
      </c>
      <c r="B4313" s="1" t="str">
        <f>"CK20241022405"</f>
        <v>CK20241022405</v>
      </c>
      <c r="C4313" s="1" t="str">
        <f>"DD2024102254163"</f>
        <v>DD2024102254163</v>
      </c>
      <c r="D4313" s="1" t="str">
        <f>"CK2024102250581"</f>
        <v>CK2024102250581</v>
      </c>
      <c r="E4313" s="1" t="str">
        <f>"3723468241916003584"</f>
        <v>3723468241916003584</v>
      </c>
      <c r="F4313" s="1" t="str">
        <f t="shared" si="1391"/>
        <v>花都四部-凤凰仓</v>
      </c>
      <c r="G4313" s="1" t="str">
        <f t="shared" si="1397"/>
        <v>卡卡杜企业店（视频号）</v>
      </c>
      <c r="H4313" s="1" t="str">
        <f t="shared" si="1392"/>
        <v>正常订单</v>
      </c>
      <c r="I4313" s="1" t="str">
        <f t="shared" si="1393"/>
        <v>已发货</v>
      </c>
      <c r="J4313" s="1" t="str">
        <f t="shared" si="1398"/>
        <v>5</v>
      </c>
      <c r="K4313" s="1">
        <v>3</v>
      </c>
      <c r="L4313" s="1" t="s">
        <v>187</v>
      </c>
      <c r="M4313" s="1" t="str">
        <f>"吉林省 长春市 绿园区 "</f>
        <v xml:space="preserve">吉林省 长春市 绿园区 </v>
      </c>
      <c r="N4313" s="1" t="str">
        <f t="shared" ref="N4313:N4376" si="1401">"凡华云仓-城南圆通-微信视频号"</f>
        <v>凡华云仓-城南圆通-微信视频号</v>
      </c>
      <c r="O4313" s="5" t="s">
        <v>4343</v>
      </c>
      <c r="P4313" s="6">
        <v>0.56000000000000005</v>
      </c>
      <c r="Q4313" s="11">
        <f t="shared" si="1399"/>
        <v>2.4499999999999997</v>
      </c>
      <c r="R4313" s="11"/>
      <c r="S4313" s="11"/>
      <c r="T4313" s="11"/>
      <c r="U4313" s="11">
        <f t="shared" si="1388"/>
        <v>2.4499999999999997</v>
      </c>
      <c r="V4313" t="s">
        <v>15</v>
      </c>
      <c r="W4313">
        <v>2.4500000000000002</v>
      </c>
      <c r="X4313" s="1" t="s">
        <v>187</v>
      </c>
    </row>
    <row r="4314" spans="1:24" x14ac:dyDescent="0.25">
      <c r="A4314" s="1" t="str">
        <f t="shared" si="1390"/>
        <v>卡卡杜-凤凰仓</v>
      </c>
      <c r="B4314" s="1" t="str">
        <f>"CK20241022406"</f>
        <v>CK20241022406</v>
      </c>
      <c r="C4314" s="1" t="str">
        <f>"DD2024102254168"</f>
        <v>DD2024102254168</v>
      </c>
      <c r="D4314" s="1" t="str">
        <f>"CK2024102250580"</f>
        <v>CK2024102250580</v>
      </c>
      <c r="E4314" s="1" t="str">
        <f>"3723468211964744704"</f>
        <v>3723468211964744704</v>
      </c>
      <c r="F4314" s="1" t="str">
        <f t="shared" si="1391"/>
        <v>花都四部-凤凰仓</v>
      </c>
      <c r="G4314" s="1" t="str">
        <f t="shared" si="1397"/>
        <v>卡卡杜企业店（视频号）</v>
      </c>
      <c r="H4314" s="1" t="str">
        <f t="shared" si="1392"/>
        <v>正常订单</v>
      </c>
      <c r="I4314" s="1" t="str">
        <f t="shared" si="1393"/>
        <v>已发货</v>
      </c>
      <c r="J4314" s="1" t="str">
        <f t="shared" si="1398"/>
        <v>5</v>
      </c>
      <c r="K4314" s="1">
        <v>3</v>
      </c>
      <c r="L4314" s="1" t="s">
        <v>20</v>
      </c>
      <c r="M4314" s="1" t="str">
        <f>"浙江省 温州市 鹿城区 "</f>
        <v xml:space="preserve">浙江省 温州市 鹿城区 </v>
      </c>
      <c r="N4314" s="1" t="str">
        <f t="shared" si="1401"/>
        <v>凡华云仓-城南圆通-微信视频号</v>
      </c>
      <c r="O4314" s="5" t="s">
        <v>4344</v>
      </c>
      <c r="P4314" s="6">
        <v>0.56000000000000005</v>
      </c>
      <c r="Q4314" s="11">
        <f t="shared" si="1399"/>
        <v>2.4499999999999997</v>
      </c>
      <c r="R4314" s="11"/>
      <c r="S4314" s="11"/>
      <c r="T4314" s="11"/>
      <c r="U4314" s="11">
        <f t="shared" si="1388"/>
        <v>2.4499999999999997</v>
      </c>
      <c r="V4314" t="s">
        <v>15</v>
      </c>
      <c r="W4314">
        <v>2.4500000000000002</v>
      </c>
      <c r="X4314" s="1" t="s">
        <v>20</v>
      </c>
    </row>
    <row r="4315" spans="1:24" x14ac:dyDescent="0.25">
      <c r="A4315" s="1" t="str">
        <f t="shared" si="1390"/>
        <v>卡卡杜-凤凰仓</v>
      </c>
      <c r="B4315" s="1" t="str">
        <f>"CK20241022467"</f>
        <v>CK20241022467</v>
      </c>
      <c r="C4315" s="1" t="str">
        <f>"DD2024102255489"</f>
        <v>DD2024102255489</v>
      </c>
      <c r="D4315" s="1" t="str">
        <f>"CK2024102250579"</f>
        <v>CK2024102250579</v>
      </c>
      <c r="E4315" s="1" t="str">
        <f>"3723468233201029120"</f>
        <v>3723468233201029120</v>
      </c>
      <c r="F4315" s="1" t="str">
        <f t="shared" si="1391"/>
        <v>花都四部-凤凰仓</v>
      </c>
      <c r="G4315" s="1" t="str">
        <f t="shared" si="1397"/>
        <v>卡卡杜企业店（视频号）</v>
      </c>
      <c r="H4315" s="1" t="str">
        <f t="shared" si="1392"/>
        <v>正常订单</v>
      </c>
      <c r="I4315" s="1" t="str">
        <f t="shared" si="1393"/>
        <v>已发货</v>
      </c>
      <c r="J4315" s="1" t="str">
        <f t="shared" si="1400"/>
        <v>3</v>
      </c>
      <c r="K4315" s="1">
        <v>3</v>
      </c>
      <c r="L4315" s="1" t="s">
        <v>24</v>
      </c>
      <c r="M4315" s="1" t="str">
        <f>"福建省 厦门市 湖里区 "</f>
        <v xml:space="preserve">福建省 厦门市 湖里区 </v>
      </c>
      <c r="N4315" s="1" t="str">
        <f t="shared" si="1401"/>
        <v>凡华云仓-城南圆通-微信视频号</v>
      </c>
      <c r="O4315" s="5" t="s">
        <v>4345</v>
      </c>
      <c r="P4315" s="6">
        <v>0.34</v>
      </c>
      <c r="Q4315" s="11">
        <v>2.2999999999999998</v>
      </c>
      <c r="R4315" s="11"/>
      <c r="S4315" s="11"/>
      <c r="T4315" s="11"/>
      <c r="U4315" s="11">
        <f t="shared" si="1388"/>
        <v>2.2999999999999998</v>
      </c>
      <c r="W4315">
        <v>2.5</v>
      </c>
      <c r="X4315" s="1" t="s">
        <v>24</v>
      </c>
    </row>
    <row r="4316" spans="1:24" x14ac:dyDescent="0.25">
      <c r="A4316" s="1" t="str">
        <f t="shared" si="1390"/>
        <v>卡卡杜-凤凰仓</v>
      </c>
      <c r="B4316" s="1" t="str">
        <f>"CK20241022407"</f>
        <v>CK20241022407</v>
      </c>
      <c r="C4316" s="1" t="str">
        <f>"DD2024102254175"</f>
        <v>DD2024102254175</v>
      </c>
      <c r="D4316" s="1" t="str">
        <f>"CK2024102250578"</f>
        <v>CK2024102250578</v>
      </c>
      <c r="E4316" s="1" t="str">
        <f>"3723468224093095168"</f>
        <v>3723468224093095168</v>
      </c>
      <c r="F4316" s="1" t="str">
        <f t="shared" si="1391"/>
        <v>花都四部-凤凰仓</v>
      </c>
      <c r="G4316" s="1" t="str">
        <f t="shared" si="1397"/>
        <v>卡卡杜企业店（视频号）</v>
      </c>
      <c r="H4316" s="1" t="str">
        <f t="shared" si="1392"/>
        <v>正常订单</v>
      </c>
      <c r="I4316" s="1" t="str">
        <f t="shared" si="1393"/>
        <v>已发货</v>
      </c>
      <c r="J4316" s="1" t="str">
        <f t="shared" si="1400"/>
        <v>3</v>
      </c>
      <c r="K4316" s="1">
        <v>3</v>
      </c>
      <c r="L4316" s="1" t="s">
        <v>20</v>
      </c>
      <c r="M4316" s="1" t="str">
        <f>"浙江省 嘉兴市 嘉善县 "</f>
        <v xml:space="preserve">浙江省 嘉兴市 嘉善县 </v>
      </c>
      <c r="N4316" s="1" t="str">
        <f t="shared" si="1401"/>
        <v>凡华云仓-城南圆通-微信视频号</v>
      </c>
      <c r="O4316" s="5" t="s">
        <v>4346</v>
      </c>
      <c r="P4316" s="6">
        <v>0.34</v>
      </c>
      <c r="Q4316" s="11">
        <v>2.2999999999999998</v>
      </c>
      <c r="R4316" s="11"/>
      <c r="S4316" s="11"/>
      <c r="T4316" s="11"/>
      <c r="U4316" s="11">
        <f t="shared" si="1388"/>
        <v>2.2999999999999998</v>
      </c>
      <c r="W4316">
        <v>2.5</v>
      </c>
      <c r="X4316" s="1" t="s">
        <v>20</v>
      </c>
    </row>
    <row r="4317" spans="1:24" x14ac:dyDescent="0.25">
      <c r="A4317" s="1" t="str">
        <f t="shared" si="1390"/>
        <v>卡卡杜-凤凰仓</v>
      </c>
      <c r="B4317" s="1" t="str">
        <f>"CK20241022408"</f>
        <v>CK20241022408</v>
      </c>
      <c r="C4317" s="1" t="str">
        <f>"DD2024102254170"</f>
        <v>DD2024102254170</v>
      </c>
      <c r="D4317" s="1" t="str">
        <f>"CK2024102250577"</f>
        <v>CK2024102250577</v>
      </c>
      <c r="E4317" s="1" t="str">
        <f>"3723468214135031296"</f>
        <v>3723468214135031296</v>
      </c>
      <c r="F4317" s="1" t="str">
        <f t="shared" si="1391"/>
        <v>花都四部-凤凰仓</v>
      </c>
      <c r="G4317" s="1" t="str">
        <f t="shared" si="1397"/>
        <v>卡卡杜企业店（视频号）</v>
      </c>
      <c r="H4317" s="1" t="str">
        <f t="shared" si="1392"/>
        <v>正常订单</v>
      </c>
      <c r="I4317" s="1" t="str">
        <f t="shared" si="1393"/>
        <v>已发货</v>
      </c>
      <c r="J4317" s="1" t="str">
        <f>"5"</f>
        <v>5</v>
      </c>
      <c r="K4317" s="1">
        <v>3</v>
      </c>
      <c r="L4317" s="1" t="s">
        <v>105</v>
      </c>
      <c r="M4317" s="1" t="str">
        <f>"北京 北京市 昌平区 "</f>
        <v xml:space="preserve">北京 北京市 昌平区 </v>
      </c>
      <c r="N4317" s="1" t="str">
        <f t="shared" si="1401"/>
        <v>凡华云仓-城南圆通-微信视频号</v>
      </c>
      <c r="O4317" s="5" t="s">
        <v>4347</v>
      </c>
      <c r="P4317" s="6">
        <v>0.56000000000000005</v>
      </c>
      <c r="Q4317" s="11">
        <f>CEILING(P4317-0.5,0.1)*10*0.15+2.3</f>
        <v>2.4499999999999997</v>
      </c>
      <c r="R4317" s="11"/>
      <c r="S4317" s="11"/>
      <c r="T4317" s="11"/>
      <c r="U4317" s="11">
        <f t="shared" si="1388"/>
        <v>2.4499999999999997</v>
      </c>
      <c r="V4317" t="s">
        <v>15</v>
      </c>
      <c r="W4317">
        <v>2.4500000000000002</v>
      </c>
      <c r="X4317" s="1" t="s">
        <v>105</v>
      </c>
    </row>
    <row r="4318" spans="1:24" x14ac:dyDescent="0.25">
      <c r="A4318" s="1" t="str">
        <f t="shared" si="1390"/>
        <v>卡卡杜-凤凰仓</v>
      </c>
      <c r="B4318" s="1" t="str">
        <f>"CK20241022521"</f>
        <v>CK20241022521</v>
      </c>
      <c r="C4318" s="1" t="str">
        <f>"DD2024102255691"</f>
        <v>DD2024102255691</v>
      </c>
      <c r="D4318" s="1" t="str">
        <f>"CK2024102250576"</f>
        <v>CK2024102250576</v>
      </c>
      <c r="E4318" s="1" t="str">
        <f>"3723468195813789696"</f>
        <v>3723468195813789696</v>
      </c>
      <c r="F4318" s="1" t="str">
        <f t="shared" si="1391"/>
        <v>花都四部-凤凰仓</v>
      </c>
      <c r="G4318" s="1" t="str">
        <f t="shared" si="1397"/>
        <v>卡卡杜企业店（视频号）</v>
      </c>
      <c r="H4318" s="1" t="str">
        <f t="shared" si="1392"/>
        <v>正常订单</v>
      </c>
      <c r="I4318" s="1" t="str">
        <f t="shared" si="1393"/>
        <v>已发货</v>
      </c>
      <c r="J4318" s="1" t="str">
        <f t="shared" ref="J4318:J4320" si="1402">"3"</f>
        <v>3</v>
      </c>
      <c r="K4318" s="1">
        <v>3</v>
      </c>
      <c r="L4318" s="1" t="s">
        <v>66</v>
      </c>
      <c r="M4318" s="1" t="str">
        <f>"内蒙古自治区 包头市 青山区 "</f>
        <v xml:space="preserve">内蒙古自治区 包头市 青山区 </v>
      </c>
      <c r="N4318" s="1" t="str">
        <f t="shared" si="1401"/>
        <v>凡华云仓-城南圆通-微信视频号</v>
      </c>
      <c r="O4318" s="5" t="s">
        <v>4348</v>
      </c>
      <c r="P4318" s="6">
        <v>0.34</v>
      </c>
      <c r="Q4318" s="11">
        <v>2.2999999999999998</v>
      </c>
      <c r="R4318" s="11"/>
      <c r="S4318" s="11"/>
      <c r="T4318" s="11"/>
      <c r="U4318" s="11">
        <f t="shared" si="1388"/>
        <v>2.2999999999999998</v>
      </c>
      <c r="W4318">
        <v>2.5</v>
      </c>
      <c r="X4318" s="1" t="s">
        <v>66</v>
      </c>
    </row>
    <row r="4319" spans="1:24" x14ac:dyDescent="0.25">
      <c r="A4319" s="1" t="str">
        <f t="shared" si="1390"/>
        <v>卡卡杜-凤凰仓</v>
      </c>
      <c r="B4319" s="1" t="str">
        <f>"CK20241022479"</f>
        <v>CK20241022479</v>
      </c>
      <c r="C4319" s="1" t="str">
        <f>"DD2024102255548"</f>
        <v>DD2024102255548</v>
      </c>
      <c r="D4319" s="1" t="str">
        <f>"CK2024102250575"</f>
        <v>CK2024102250575</v>
      </c>
      <c r="E4319" s="1" t="str">
        <f>"3723468193092472833"</f>
        <v>3723468193092472833</v>
      </c>
      <c r="F4319" s="1" t="str">
        <f t="shared" si="1391"/>
        <v>花都四部-凤凰仓</v>
      </c>
      <c r="G4319" s="1" t="str">
        <f t="shared" si="1397"/>
        <v>卡卡杜企业店（视频号）</v>
      </c>
      <c r="H4319" s="1" t="str">
        <f t="shared" si="1392"/>
        <v>正常订单</v>
      </c>
      <c r="I4319" s="1" t="str">
        <f t="shared" si="1393"/>
        <v>已发货</v>
      </c>
      <c r="J4319" s="1" t="str">
        <f t="shared" si="1402"/>
        <v>3</v>
      </c>
      <c r="K4319" s="1">
        <v>3</v>
      </c>
      <c r="L4319" s="1" t="s">
        <v>94</v>
      </c>
      <c r="M4319" s="1" t="str">
        <f>"湖南省 衡阳市 珠晖区 "</f>
        <v xml:space="preserve">湖南省 衡阳市 珠晖区 </v>
      </c>
      <c r="N4319" s="1" t="str">
        <f t="shared" si="1401"/>
        <v>凡华云仓-城南圆通-微信视频号</v>
      </c>
      <c r="O4319" s="5" t="s">
        <v>4349</v>
      </c>
      <c r="P4319" s="6">
        <v>0.34</v>
      </c>
      <c r="Q4319" s="11">
        <v>2.2999999999999998</v>
      </c>
      <c r="R4319" s="11"/>
      <c r="S4319" s="11"/>
      <c r="T4319" s="11"/>
      <c r="U4319" s="11">
        <f t="shared" si="1388"/>
        <v>2.2999999999999998</v>
      </c>
      <c r="W4319">
        <v>2.5</v>
      </c>
      <c r="X4319" s="1" t="s">
        <v>94</v>
      </c>
    </row>
    <row r="4320" spans="1:24" x14ac:dyDescent="0.25">
      <c r="A4320" s="1" t="str">
        <f t="shared" si="1390"/>
        <v>卡卡杜-凤凰仓</v>
      </c>
      <c r="B4320" s="1" t="str">
        <f>"CK20241022409"</f>
        <v>CK20241022409</v>
      </c>
      <c r="C4320" s="1" t="str">
        <f>"DD2024102254169"</f>
        <v>DD2024102254169</v>
      </c>
      <c r="D4320" s="1" t="str">
        <f>"CK2024102250574"</f>
        <v>CK2024102250574</v>
      </c>
      <c r="E4320" s="1" t="str">
        <f>"3723468192014796288"</f>
        <v>3723468192014796288</v>
      </c>
      <c r="F4320" s="1" t="str">
        <f t="shared" si="1391"/>
        <v>花都四部-凤凰仓</v>
      </c>
      <c r="G4320" s="1" t="str">
        <f t="shared" si="1397"/>
        <v>卡卡杜企业店（视频号）</v>
      </c>
      <c r="H4320" s="1" t="str">
        <f t="shared" si="1392"/>
        <v>正常订单</v>
      </c>
      <c r="I4320" s="1" t="str">
        <f t="shared" si="1393"/>
        <v>已发货</v>
      </c>
      <c r="J4320" s="1" t="str">
        <f t="shared" si="1402"/>
        <v>3</v>
      </c>
      <c r="K4320" s="1">
        <v>3</v>
      </c>
      <c r="L4320" s="1" t="s">
        <v>218</v>
      </c>
      <c r="M4320" s="1" t="str">
        <f>"天津 天津市 武清区 "</f>
        <v xml:space="preserve">天津 天津市 武清区 </v>
      </c>
      <c r="N4320" s="1" t="str">
        <f t="shared" si="1401"/>
        <v>凡华云仓-城南圆通-微信视频号</v>
      </c>
      <c r="O4320" s="5" t="s">
        <v>4350</v>
      </c>
      <c r="P4320" s="6">
        <v>0.34</v>
      </c>
      <c r="Q4320" s="11">
        <v>2.2999999999999998</v>
      </c>
      <c r="R4320" s="11"/>
      <c r="S4320" s="11"/>
      <c r="T4320" s="11"/>
      <c r="U4320" s="11">
        <f t="shared" si="1388"/>
        <v>2.2999999999999998</v>
      </c>
      <c r="W4320">
        <v>2.5</v>
      </c>
      <c r="X4320" s="1" t="s">
        <v>218</v>
      </c>
    </row>
    <row r="4321" spans="1:24" x14ac:dyDescent="0.25">
      <c r="A4321" s="1" t="str">
        <f t="shared" si="1390"/>
        <v>卡卡杜-凤凰仓</v>
      </c>
      <c r="B4321" s="1" t="str">
        <f>"CK2024102213"</f>
        <v>CK2024102213</v>
      </c>
      <c r="C4321" s="1" t="str">
        <f>"DD2024102253567"</f>
        <v>DD2024102253567</v>
      </c>
      <c r="D4321" s="1" t="str">
        <f>"CK2024102250573"</f>
        <v>CK2024102250573</v>
      </c>
      <c r="E4321" s="1" t="str">
        <f>"3723468191616602113"</f>
        <v>3723468191616602113</v>
      </c>
      <c r="F4321" s="1" t="str">
        <f t="shared" si="1391"/>
        <v>花都四部-凤凰仓</v>
      </c>
      <c r="G4321" s="1" t="str">
        <f t="shared" si="1397"/>
        <v>卡卡杜企业店（视频号）</v>
      </c>
      <c r="H4321" s="1" t="str">
        <f t="shared" si="1392"/>
        <v>正常订单</v>
      </c>
      <c r="I4321" s="1" t="str">
        <f t="shared" si="1393"/>
        <v>已发货</v>
      </c>
      <c r="J4321" s="1" t="str">
        <f t="shared" ref="J4321:J4326" si="1403">"5"</f>
        <v>5</v>
      </c>
      <c r="K4321" s="1">
        <v>3</v>
      </c>
      <c r="L4321" s="1" t="s">
        <v>74</v>
      </c>
      <c r="M4321" s="1" t="str">
        <f>"上海 上海市 嘉定区 "</f>
        <v xml:space="preserve">上海 上海市 嘉定区 </v>
      </c>
      <c r="N4321" s="1" t="str">
        <f t="shared" si="1401"/>
        <v>凡华云仓-城南圆通-微信视频号</v>
      </c>
      <c r="O4321" s="5" t="s">
        <v>4351</v>
      </c>
      <c r="P4321" s="6">
        <v>0.56000000000000005</v>
      </c>
      <c r="Q4321" s="11">
        <f t="shared" ref="Q4321:Q4326" si="1404">CEILING(P4321-0.5,0.1)*10*0.15+2.3</f>
        <v>2.4499999999999997</v>
      </c>
      <c r="R4321" s="11"/>
      <c r="S4321" s="11"/>
      <c r="T4321" s="11"/>
      <c r="U4321" s="11">
        <f t="shared" si="1388"/>
        <v>2.4499999999999997</v>
      </c>
      <c r="V4321" t="s">
        <v>15</v>
      </c>
      <c r="W4321">
        <v>2.4500000000000002</v>
      </c>
      <c r="X4321" s="1" t="s">
        <v>74</v>
      </c>
    </row>
    <row r="4322" spans="1:24" x14ac:dyDescent="0.25">
      <c r="A4322" s="1" t="str">
        <f t="shared" si="1390"/>
        <v>卡卡杜-凤凰仓</v>
      </c>
      <c r="B4322" s="1" t="str">
        <f>"CK20241022410"</f>
        <v>CK20241022410</v>
      </c>
      <c r="C4322" s="1" t="str">
        <f>"DD2024102254178"</f>
        <v>DD2024102254178</v>
      </c>
      <c r="D4322" s="1" t="str">
        <f>"CK2024102250572"</f>
        <v>CK2024102250572</v>
      </c>
      <c r="E4322" s="1" t="str">
        <f>"3723468183582934528"</f>
        <v>3723468183582934528</v>
      </c>
      <c r="F4322" s="1" t="str">
        <f t="shared" si="1391"/>
        <v>花都四部-凤凰仓</v>
      </c>
      <c r="G4322" s="1" t="str">
        <f t="shared" si="1397"/>
        <v>卡卡杜企业店（视频号）</v>
      </c>
      <c r="H4322" s="1" t="str">
        <f t="shared" si="1392"/>
        <v>正常订单</v>
      </c>
      <c r="I4322" s="1" t="str">
        <f t="shared" si="1393"/>
        <v>已发货</v>
      </c>
      <c r="J4322" s="1" t="str">
        <f t="shared" ref="J4322:J4328" si="1405">"3"</f>
        <v>3</v>
      </c>
      <c r="K4322" s="1">
        <v>3</v>
      </c>
      <c r="L4322" s="1" t="s">
        <v>20</v>
      </c>
      <c r="M4322" s="1" t="str">
        <f>"浙江省 杭州市 余杭区 "</f>
        <v xml:space="preserve">浙江省 杭州市 余杭区 </v>
      </c>
      <c r="N4322" s="1" t="str">
        <f t="shared" si="1401"/>
        <v>凡华云仓-城南圆通-微信视频号</v>
      </c>
      <c r="O4322" s="5" t="s">
        <v>4352</v>
      </c>
      <c r="P4322" s="6">
        <v>0.34</v>
      </c>
      <c r="Q4322" s="11">
        <v>2.2999999999999998</v>
      </c>
      <c r="R4322" s="11"/>
      <c r="S4322" s="11"/>
      <c r="T4322" s="11"/>
      <c r="U4322" s="11">
        <f t="shared" si="1388"/>
        <v>2.2999999999999998</v>
      </c>
      <c r="W4322">
        <v>2.5</v>
      </c>
      <c r="X4322" s="1" t="s">
        <v>20</v>
      </c>
    </row>
    <row r="4323" spans="1:24" x14ac:dyDescent="0.25">
      <c r="A4323" s="1" t="str">
        <f t="shared" si="1390"/>
        <v>卡卡杜-凤凰仓</v>
      </c>
      <c r="B4323" s="1" t="str">
        <f>"CK20241022438"</f>
        <v>CK20241022438</v>
      </c>
      <c r="C4323" s="1" t="str">
        <f>"DD2024102254284"</f>
        <v>DD2024102254284</v>
      </c>
      <c r="D4323" s="1" t="str">
        <f>"CK2024102250571"</f>
        <v>CK2024102250571</v>
      </c>
      <c r="E4323" s="1" t="str">
        <f>"3723468177550214400"</f>
        <v>3723468177550214400</v>
      </c>
      <c r="F4323" s="1" t="str">
        <f t="shared" si="1391"/>
        <v>花都四部-凤凰仓</v>
      </c>
      <c r="G4323" s="1" t="str">
        <f t="shared" si="1397"/>
        <v>卡卡杜企业店（视频号）</v>
      </c>
      <c r="H4323" s="1" t="str">
        <f t="shared" si="1392"/>
        <v>正常订单</v>
      </c>
      <c r="I4323" s="1" t="str">
        <f t="shared" si="1393"/>
        <v>已发货</v>
      </c>
      <c r="J4323" s="1" t="str">
        <f t="shared" si="1403"/>
        <v>5</v>
      </c>
      <c r="K4323" s="1">
        <v>3</v>
      </c>
      <c r="L4323" s="1" t="s">
        <v>18</v>
      </c>
      <c r="M4323" s="1" t="str">
        <f>"广东省 深圳市 罗湖区 "</f>
        <v xml:space="preserve">广东省 深圳市 罗湖区 </v>
      </c>
      <c r="N4323" s="1" t="str">
        <f t="shared" si="1401"/>
        <v>凡华云仓-城南圆通-微信视频号</v>
      </c>
      <c r="O4323" s="5" t="s">
        <v>4353</v>
      </c>
      <c r="P4323" s="6">
        <v>0.56000000000000005</v>
      </c>
      <c r="Q4323" s="11">
        <f t="shared" si="1404"/>
        <v>2.4499999999999997</v>
      </c>
      <c r="R4323" s="11"/>
      <c r="S4323" s="11"/>
      <c r="T4323" s="11"/>
      <c r="U4323" s="11">
        <f t="shared" si="1388"/>
        <v>2.4499999999999997</v>
      </c>
      <c r="V4323" t="s">
        <v>15</v>
      </c>
      <c r="W4323">
        <v>2.4500000000000002</v>
      </c>
      <c r="X4323" s="1" t="s">
        <v>18</v>
      </c>
    </row>
    <row r="4324" spans="1:24" x14ac:dyDescent="0.25">
      <c r="A4324" s="1" t="str">
        <f t="shared" si="1390"/>
        <v>卡卡杜-凤凰仓</v>
      </c>
      <c r="B4324" s="1" t="str">
        <f>"CK20241022449"</f>
        <v>CK20241022449</v>
      </c>
      <c r="C4324" s="1" t="str">
        <f>"DD2024102255419"</f>
        <v>DD2024102255419</v>
      </c>
      <c r="D4324" s="1" t="str">
        <f>"CK2024102250570"</f>
        <v>CK2024102250570</v>
      </c>
      <c r="E4324" s="1" t="str">
        <f>"3723468178540332544"</f>
        <v>3723468178540332544</v>
      </c>
      <c r="F4324" s="1" t="str">
        <f t="shared" si="1391"/>
        <v>花都四部-凤凰仓</v>
      </c>
      <c r="G4324" s="1" t="str">
        <f t="shared" si="1397"/>
        <v>卡卡杜企业店（视频号）</v>
      </c>
      <c r="H4324" s="1" t="str">
        <f t="shared" si="1392"/>
        <v>正常订单</v>
      </c>
      <c r="I4324" s="1" t="str">
        <f t="shared" si="1393"/>
        <v>已发货</v>
      </c>
      <c r="J4324" s="1" t="str">
        <f t="shared" si="1405"/>
        <v>3</v>
      </c>
      <c r="K4324" s="1">
        <v>3</v>
      </c>
      <c r="L4324" s="1" t="s">
        <v>13</v>
      </c>
      <c r="M4324" s="1" t="str">
        <f>"江苏省 镇江市 润州区 "</f>
        <v xml:space="preserve">江苏省 镇江市 润州区 </v>
      </c>
      <c r="N4324" s="1" t="str">
        <f t="shared" si="1401"/>
        <v>凡华云仓-城南圆通-微信视频号</v>
      </c>
      <c r="O4324" s="5" t="s">
        <v>4354</v>
      </c>
      <c r="P4324" s="6">
        <v>0.34</v>
      </c>
      <c r="Q4324" s="11">
        <v>2.2999999999999998</v>
      </c>
      <c r="R4324" s="11"/>
      <c r="S4324" s="11"/>
      <c r="T4324" s="11"/>
      <c r="U4324" s="11">
        <f t="shared" si="1388"/>
        <v>2.2999999999999998</v>
      </c>
      <c r="W4324">
        <v>2.5</v>
      </c>
      <c r="X4324" s="1" t="s">
        <v>13</v>
      </c>
    </row>
    <row r="4325" spans="1:24" x14ac:dyDescent="0.25">
      <c r="A4325" s="1" t="str">
        <f t="shared" si="1390"/>
        <v>卡卡杜-凤凰仓</v>
      </c>
      <c r="B4325" s="1" t="str">
        <f>"CK20241022490"</f>
        <v>CK20241022490</v>
      </c>
      <c r="C4325" s="1" t="str">
        <f>"DD2024102255587"</f>
        <v>DD2024102255587</v>
      </c>
      <c r="D4325" s="1" t="str">
        <f>"CK2024102250569"</f>
        <v>CK2024102250569</v>
      </c>
      <c r="E4325" s="1" t="str">
        <f>"3723468179807012097"</f>
        <v>3723468179807012097</v>
      </c>
      <c r="F4325" s="1" t="str">
        <f t="shared" si="1391"/>
        <v>花都四部-凤凰仓</v>
      </c>
      <c r="G4325" s="1" t="str">
        <f t="shared" si="1397"/>
        <v>卡卡杜企业店（视频号）</v>
      </c>
      <c r="H4325" s="1" t="str">
        <f t="shared" si="1392"/>
        <v>正常订单</v>
      </c>
      <c r="I4325" s="1" t="str">
        <f t="shared" si="1393"/>
        <v>已发货</v>
      </c>
      <c r="J4325" s="1" t="str">
        <f>"10"</f>
        <v>10</v>
      </c>
      <c r="K4325" s="1">
        <v>3</v>
      </c>
      <c r="L4325" s="1" t="s">
        <v>105</v>
      </c>
      <c r="M4325" s="1" t="str">
        <f>"北京 北京市 顺义区 "</f>
        <v xml:space="preserve">北京 北京市 顺义区 </v>
      </c>
      <c r="N4325" s="1" t="str">
        <f t="shared" si="1401"/>
        <v>凡华云仓-城南圆通-微信视频号</v>
      </c>
      <c r="O4325" s="5" t="s">
        <v>4355</v>
      </c>
      <c r="P4325" s="6">
        <v>1.05</v>
      </c>
      <c r="Q4325" s="11">
        <f t="shared" si="1404"/>
        <v>3.2</v>
      </c>
      <c r="R4325" s="11"/>
      <c r="S4325" s="11"/>
      <c r="T4325" s="11"/>
      <c r="U4325" s="11">
        <f t="shared" si="1388"/>
        <v>3.2</v>
      </c>
      <c r="V4325" t="s">
        <v>15</v>
      </c>
      <c r="W4325">
        <v>3.2</v>
      </c>
      <c r="X4325" s="1" t="s">
        <v>105</v>
      </c>
    </row>
    <row r="4326" spans="1:24" x14ac:dyDescent="0.25">
      <c r="A4326" s="1" t="str">
        <f t="shared" si="1390"/>
        <v>卡卡杜-凤凰仓</v>
      </c>
      <c r="B4326" s="1" t="str">
        <f>"CK20241022411"</f>
        <v>CK20241022411</v>
      </c>
      <c r="C4326" s="1" t="str">
        <f>"DD2024102254184"</f>
        <v>DD2024102254184</v>
      </c>
      <c r="D4326" s="1" t="str">
        <f>"CK2024102250568"</f>
        <v>CK2024102250568</v>
      </c>
      <c r="E4326" s="1" t="str">
        <f>"3723468181589069824"</f>
        <v>3723468181589069824</v>
      </c>
      <c r="F4326" s="1" t="str">
        <f t="shared" si="1391"/>
        <v>花都四部-凤凰仓</v>
      </c>
      <c r="G4326" s="1" t="str">
        <f t="shared" si="1397"/>
        <v>卡卡杜企业店（视频号）</v>
      </c>
      <c r="H4326" s="1" t="str">
        <f t="shared" si="1392"/>
        <v>正常订单</v>
      </c>
      <c r="I4326" s="1" t="str">
        <f t="shared" si="1393"/>
        <v>已发货</v>
      </c>
      <c r="J4326" s="1" t="str">
        <f t="shared" si="1403"/>
        <v>5</v>
      </c>
      <c r="K4326" s="1">
        <v>3</v>
      </c>
      <c r="L4326" s="1" t="s">
        <v>41</v>
      </c>
      <c r="M4326" s="1" t="str">
        <f>"湖北省 省直辖县级行政区划 仙桃市 "</f>
        <v xml:space="preserve">湖北省 省直辖县级行政区划 仙桃市 </v>
      </c>
      <c r="N4326" s="1" t="str">
        <f t="shared" si="1401"/>
        <v>凡华云仓-城南圆通-微信视频号</v>
      </c>
      <c r="O4326" s="5" t="s">
        <v>4356</v>
      </c>
      <c r="P4326" s="6">
        <v>0.56000000000000005</v>
      </c>
      <c r="Q4326" s="11">
        <f t="shared" si="1404"/>
        <v>2.4499999999999997</v>
      </c>
      <c r="R4326" s="11"/>
      <c r="S4326" s="11"/>
      <c r="T4326" s="11"/>
      <c r="U4326" s="11">
        <f t="shared" si="1388"/>
        <v>2.4499999999999997</v>
      </c>
      <c r="V4326" t="s">
        <v>15</v>
      </c>
      <c r="W4326">
        <v>2.4500000000000002</v>
      </c>
      <c r="X4326" s="1" t="s">
        <v>41</v>
      </c>
    </row>
    <row r="4327" spans="1:24" x14ac:dyDescent="0.25">
      <c r="A4327" s="1" t="str">
        <f t="shared" si="1390"/>
        <v>卡卡杜-凤凰仓</v>
      </c>
      <c r="B4327" s="1" t="str">
        <f>"CK20241022503"</f>
        <v>CK20241022503</v>
      </c>
      <c r="C4327" s="1" t="str">
        <f>"DD2024102255634"</f>
        <v>DD2024102255634</v>
      </c>
      <c r="D4327" s="1" t="str">
        <f>"CK2024102250567"</f>
        <v>CK2024102250567</v>
      </c>
      <c r="E4327" s="1" t="str">
        <f>"3723468168136889344"</f>
        <v>3723468168136889344</v>
      </c>
      <c r="F4327" s="1" t="str">
        <f t="shared" si="1391"/>
        <v>花都四部-凤凰仓</v>
      </c>
      <c r="G4327" s="1" t="str">
        <f t="shared" si="1397"/>
        <v>卡卡杜企业店（视频号）</v>
      </c>
      <c r="H4327" s="1" t="str">
        <f t="shared" si="1392"/>
        <v>正常订单</v>
      </c>
      <c r="I4327" s="1" t="str">
        <f t="shared" si="1393"/>
        <v>已发货</v>
      </c>
      <c r="J4327" s="1" t="str">
        <f t="shared" si="1405"/>
        <v>3</v>
      </c>
      <c r="K4327" s="1">
        <v>3</v>
      </c>
      <c r="L4327" s="1" t="s">
        <v>94</v>
      </c>
      <c r="M4327" s="1" t="str">
        <f>"湖南省 长沙市 浏阳市 "</f>
        <v xml:space="preserve">湖南省 长沙市 浏阳市 </v>
      </c>
      <c r="N4327" s="1" t="str">
        <f t="shared" si="1401"/>
        <v>凡华云仓-城南圆通-微信视频号</v>
      </c>
      <c r="O4327" s="5" t="s">
        <v>4357</v>
      </c>
      <c r="P4327" s="6">
        <v>0.34</v>
      </c>
      <c r="Q4327" s="11">
        <v>2.2999999999999998</v>
      </c>
      <c r="R4327" s="11"/>
      <c r="S4327" s="11"/>
      <c r="T4327" s="11"/>
      <c r="U4327" s="11">
        <f t="shared" si="1388"/>
        <v>2.2999999999999998</v>
      </c>
      <c r="W4327">
        <v>2.5</v>
      </c>
      <c r="X4327" s="1" t="s">
        <v>94</v>
      </c>
    </row>
    <row r="4328" spans="1:24" x14ac:dyDescent="0.25">
      <c r="A4328" s="1" t="str">
        <f t="shared" si="1390"/>
        <v>卡卡杜-凤凰仓</v>
      </c>
      <c r="B4328" s="1" t="str">
        <f>"CK20241022412"</f>
        <v>CK20241022412</v>
      </c>
      <c r="C4328" s="1" t="str">
        <f>"DD2024102254192"</f>
        <v>DD2024102254192</v>
      </c>
      <c r="D4328" s="1" t="str">
        <f>"CK2024102250566"</f>
        <v>CK2024102250566</v>
      </c>
      <c r="E4328" s="1" t="str">
        <f>"3723468166597054464"</f>
        <v>3723468166597054464</v>
      </c>
      <c r="F4328" s="1" t="str">
        <f t="shared" si="1391"/>
        <v>花都四部-凤凰仓</v>
      </c>
      <c r="G4328" s="1" t="str">
        <f t="shared" si="1397"/>
        <v>卡卡杜企业店（视频号）</v>
      </c>
      <c r="H4328" s="1" t="str">
        <f t="shared" si="1392"/>
        <v>正常订单</v>
      </c>
      <c r="I4328" s="1" t="str">
        <f t="shared" si="1393"/>
        <v>已发货</v>
      </c>
      <c r="J4328" s="1" t="str">
        <f t="shared" si="1405"/>
        <v>3</v>
      </c>
      <c r="K4328" s="1">
        <v>3</v>
      </c>
      <c r="L4328" s="1" t="s">
        <v>13</v>
      </c>
      <c r="M4328" s="1" t="str">
        <f>"江苏省 南通市 崇川区 "</f>
        <v xml:space="preserve">江苏省 南通市 崇川区 </v>
      </c>
      <c r="N4328" s="1" t="str">
        <f t="shared" si="1401"/>
        <v>凡华云仓-城南圆通-微信视频号</v>
      </c>
      <c r="O4328" s="5" t="s">
        <v>4358</v>
      </c>
      <c r="P4328" s="6">
        <v>0.34</v>
      </c>
      <c r="Q4328" s="11">
        <v>2.2999999999999998</v>
      </c>
      <c r="R4328" s="11"/>
      <c r="S4328" s="11"/>
      <c r="T4328" s="11"/>
      <c r="U4328" s="11">
        <f t="shared" si="1388"/>
        <v>2.2999999999999998</v>
      </c>
      <c r="W4328">
        <v>2.5</v>
      </c>
      <c r="X4328" s="1" t="s">
        <v>13</v>
      </c>
    </row>
    <row r="4329" spans="1:24" x14ac:dyDescent="0.25">
      <c r="A4329" s="1" t="str">
        <f t="shared" si="1390"/>
        <v>卡卡杜-凤凰仓</v>
      </c>
      <c r="B4329" s="1" t="str">
        <f>"CK20241022516"</f>
        <v>CK20241022516</v>
      </c>
      <c r="C4329" s="1" t="str">
        <f>"DD2024102255677"</f>
        <v>DD2024102255677</v>
      </c>
      <c r="D4329" s="1" t="str">
        <f>"CK2024102250565"</f>
        <v>CK2024102250565</v>
      </c>
      <c r="E4329" s="1" t="str">
        <f>"3723468169389412352"</f>
        <v>3723468169389412352</v>
      </c>
      <c r="F4329" s="1" t="str">
        <f t="shared" si="1391"/>
        <v>花都四部-凤凰仓</v>
      </c>
      <c r="G4329" s="1" t="str">
        <f t="shared" si="1397"/>
        <v>卡卡杜企业店（视频号）</v>
      </c>
      <c r="H4329" s="1" t="str">
        <f t="shared" si="1392"/>
        <v>正常订单</v>
      </c>
      <c r="I4329" s="1" t="str">
        <f t="shared" si="1393"/>
        <v>已发货</v>
      </c>
      <c r="J4329" s="1" t="str">
        <f t="shared" ref="J4329:J4333" si="1406">"5"</f>
        <v>5</v>
      </c>
      <c r="K4329" s="1">
        <v>3</v>
      </c>
      <c r="L4329" s="1" t="s">
        <v>161</v>
      </c>
      <c r="M4329" s="1" t="str">
        <f>"四川省 成都市 武侯区 "</f>
        <v xml:space="preserve">四川省 成都市 武侯区 </v>
      </c>
      <c r="N4329" s="1" t="str">
        <f t="shared" si="1401"/>
        <v>凡华云仓-城南圆通-微信视频号</v>
      </c>
      <c r="O4329" s="5" t="s">
        <v>4359</v>
      </c>
      <c r="P4329" s="6">
        <v>0.56000000000000005</v>
      </c>
      <c r="Q4329" s="11">
        <f t="shared" ref="Q4329:Q4333" si="1407">CEILING(P4329-0.5,0.1)*10*0.15+2.3</f>
        <v>2.4499999999999997</v>
      </c>
      <c r="R4329" s="11"/>
      <c r="S4329" s="11"/>
      <c r="T4329" s="11"/>
      <c r="U4329" s="11">
        <f t="shared" si="1388"/>
        <v>2.4499999999999997</v>
      </c>
      <c r="V4329" t="s">
        <v>15</v>
      </c>
      <c r="W4329">
        <v>2.4500000000000002</v>
      </c>
      <c r="X4329" s="1" t="s">
        <v>161</v>
      </c>
    </row>
    <row r="4330" spans="1:24" x14ac:dyDescent="0.25">
      <c r="A4330" s="1" t="str">
        <f t="shared" si="1390"/>
        <v>卡卡杜-凤凰仓</v>
      </c>
      <c r="B4330" s="1" t="str">
        <f>"CK20241022462"</f>
        <v>CK20241022462</v>
      </c>
      <c r="C4330" s="1" t="str">
        <f>"DD2024102255477"</f>
        <v>DD2024102255477</v>
      </c>
      <c r="D4330" s="1" t="str">
        <f>"CK2024102250564"</f>
        <v>CK2024102250564</v>
      </c>
      <c r="E4330" s="1" t="str">
        <f>"3723468168846513152"</f>
        <v>3723468168846513152</v>
      </c>
      <c r="F4330" s="1" t="str">
        <f t="shared" si="1391"/>
        <v>花都四部-凤凰仓</v>
      </c>
      <c r="G4330" s="1" t="str">
        <f t="shared" si="1397"/>
        <v>卡卡杜企业店（视频号）</v>
      </c>
      <c r="H4330" s="1" t="str">
        <f t="shared" si="1392"/>
        <v>正常订单</v>
      </c>
      <c r="I4330" s="1" t="str">
        <f t="shared" si="1393"/>
        <v>已发货</v>
      </c>
      <c r="J4330" s="1" t="str">
        <f t="shared" si="1406"/>
        <v>5</v>
      </c>
      <c r="K4330" s="1">
        <v>3</v>
      </c>
      <c r="L4330" s="1" t="s">
        <v>30</v>
      </c>
      <c r="M4330" s="1" t="str">
        <f>"山东省 泰安市 泰山区 "</f>
        <v xml:space="preserve">山东省 泰安市 泰山区 </v>
      </c>
      <c r="N4330" s="1" t="str">
        <f t="shared" si="1401"/>
        <v>凡华云仓-城南圆通-微信视频号</v>
      </c>
      <c r="O4330" s="5" t="s">
        <v>4360</v>
      </c>
      <c r="P4330" s="6">
        <v>0.56000000000000005</v>
      </c>
      <c r="Q4330" s="11">
        <f t="shared" si="1407"/>
        <v>2.4499999999999997</v>
      </c>
      <c r="R4330" s="11"/>
      <c r="S4330" s="11"/>
      <c r="T4330" s="11"/>
      <c r="U4330" s="11">
        <f t="shared" si="1388"/>
        <v>2.4499999999999997</v>
      </c>
      <c r="V4330" t="s">
        <v>15</v>
      </c>
      <c r="W4330">
        <v>2.4500000000000002</v>
      </c>
      <c r="X4330" s="1" t="s">
        <v>30</v>
      </c>
    </row>
    <row r="4331" spans="1:24" x14ac:dyDescent="0.25">
      <c r="A4331" s="1" t="str">
        <f t="shared" si="1390"/>
        <v>卡卡杜-凤凰仓</v>
      </c>
      <c r="B4331" s="1" t="str">
        <f>"CK20241022486"</f>
        <v>CK20241022486</v>
      </c>
      <c r="C4331" s="1" t="str">
        <f>"DD2024102255571"</f>
        <v>DD2024102255571</v>
      </c>
      <c r="D4331" s="1" t="str">
        <f>"CK2024102250563"</f>
        <v>CK2024102250563</v>
      </c>
      <c r="E4331" s="1" t="str">
        <f>"3723468155222103040"</f>
        <v>3723468155222103040</v>
      </c>
      <c r="F4331" s="1" t="str">
        <f t="shared" si="1391"/>
        <v>花都四部-凤凰仓</v>
      </c>
      <c r="G4331" s="1" t="str">
        <f t="shared" si="1397"/>
        <v>卡卡杜企业店（视频号）</v>
      </c>
      <c r="H4331" s="1" t="str">
        <f t="shared" si="1392"/>
        <v>正常订单</v>
      </c>
      <c r="I4331" s="1" t="str">
        <f t="shared" si="1393"/>
        <v>已发货</v>
      </c>
      <c r="J4331" s="1" t="str">
        <f t="shared" ref="J4331:J4334" si="1408">"3"</f>
        <v>3</v>
      </c>
      <c r="K4331" s="1">
        <v>3</v>
      </c>
      <c r="L4331" s="1" t="s">
        <v>54</v>
      </c>
      <c r="M4331" s="1" t="str">
        <f>"黑龙江省 哈尔滨市 道里区 "</f>
        <v xml:space="preserve">黑龙江省 哈尔滨市 道里区 </v>
      </c>
      <c r="N4331" s="1" t="str">
        <f t="shared" si="1401"/>
        <v>凡华云仓-城南圆通-微信视频号</v>
      </c>
      <c r="O4331" s="5" t="s">
        <v>4361</v>
      </c>
      <c r="P4331" s="6">
        <v>0.34</v>
      </c>
      <c r="Q4331" s="11">
        <v>2.2999999999999998</v>
      </c>
      <c r="R4331" s="11"/>
      <c r="S4331" s="11"/>
      <c r="T4331" s="11"/>
      <c r="U4331" s="11">
        <f t="shared" si="1388"/>
        <v>2.2999999999999998</v>
      </c>
      <c r="W4331">
        <v>2.5</v>
      </c>
      <c r="X4331" s="1" t="s">
        <v>54</v>
      </c>
    </row>
    <row r="4332" spans="1:24" x14ac:dyDescent="0.25">
      <c r="A4332" s="1" t="str">
        <f t="shared" si="1390"/>
        <v>卡卡杜-凤凰仓</v>
      </c>
      <c r="B4332" s="1" t="str">
        <f>"CK20241022413"</f>
        <v>CK20241022413</v>
      </c>
      <c r="C4332" s="1" t="str">
        <f>"DD2024102254187"</f>
        <v>DD2024102254187</v>
      </c>
      <c r="D4332" s="1" t="str">
        <f>"CK2024102250562"</f>
        <v>CK2024102250562</v>
      </c>
      <c r="E4332" s="1" t="str">
        <f>"3723468168258782721"</f>
        <v>3723468168258782721</v>
      </c>
      <c r="F4332" s="1" t="str">
        <f t="shared" si="1391"/>
        <v>花都四部-凤凰仓</v>
      </c>
      <c r="G4332" s="1" t="str">
        <f t="shared" si="1397"/>
        <v>卡卡杜企业店（视频号）</v>
      </c>
      <c r="H4332" s="1" t="str">
        <f t="shared" si="1392"/>
        <v>正常订单</v>
      </c>
      <c r="I4332" s="1" t="str">
        <f t="shared" si="1393"/>
        <v>已发货</v>
      </c>
      <c r="J4332" s="1" t="str">
        <f t="shared" si="1408"/>
        <v>3</v>
      </c>
      <c r="K4332" s="1">
        <v>3</v>
      </c>
      <c r="L4332" s="1" t="s">
        <v>18</v>
      </c>
      <c r="M4332" s="1" t="str">
        <f>"广东省 广州市 番禺区 "</f>
        <v xml:space="preserve">广东省 广州市 番禺区 </v>
      </c>
      <c r="N4332" s="1" t="str">
        <f t="shared" si="1401"/>
        <v>凡华云仓-城南圆通-微信视频号</v>
      </c>
      <c r="O4332" s="5" t="s">
        <v>4362</v>
      </c>
      <c r="P4332" s="6">
        <v>0.34</v>
      </c>
      <c r="Q4332" s="11">
        <v>2.2999999999999998</v>
      </c>
      <c r="R4332" s="11"/>
      <c r="S4332" s="11"/>
      <c r="T4332" s="11"/>
      <c r="U4332" s="11">
        <f t="shared" si="1388"/>
        <v>2.2999999999999998</v>
      </c>
      <c r="W4332">
        <v>2.5</v>
      </c>
      <c r="X4332" s="1" t="s">
        <v>18</v>
      </c>
    </row>
    <row r="4333" spans="1:24" x14ac:dyDescent="0.25">
      <c r="A4333" s="1" t="str">
        <f t="shared" si="1390"/>
        <v>卡卡杜-凤凰仓</v>
      </c>
      <c r="B4333" s="1" t="str">
        <f>"CK20241022475"</f>
        <v>CK20241022475</v>
      </c>
      <c r="C4333" s="1" t="str">
        <f>"DD2024102255528"</f>
        <v>DD2024102255528</v>
      </c>
      <c r="D4333" s="1" t="str">
        <f>"CK2024102250561"</f>
        <v>CK2024102250561</v>
      </c>
      <c r="E4333" s="1" t="str">
        <f>"3723468165136647424"</f>
        <v>3723468165136647424</v>
      </c>
      <c r="F4333" s="1" t="str">
        <f t="shared" si="1391"/>
        <v>花都四部-凤凰仓</v>
      </c>
      <c r="G4333" s="1" t="str">
        <f t="shared" si="1397"/>
        <v>卡卡杜企业店（视频号）</v>
      </c>
      <c r="H4333" s="1" t="str">
        <f t="shared" si="1392"/>
        <v>正常订单</v>
      </c>
      <c r="I4333" s="1" t="str">
        <f t="shared" si="1393"/>
        <v>已发货</v>
      </c>
      <c r="J4333" s="1" t="str">
        <f t="shared" si="1406"/>
        <v>5</v>
      </c>
      <c r="K4333" s="1">
        <v>3</v>
      </c>
      <c r="L4333" s="1" t="s">
        <v>27</v>
      </c>
      <c r="M4333" s="1" t="str">
        <f>"贵州省 贵阳市 花溪区 "</f>
        <v xml:space="preserve">贵州省 贵阳市 花溪区 </v>
      </c>
      <c r="N4333" s="1" t="str">
        <f t="shared" si="1401"/>
        <v>凡华云仓-城南圆通-微信视频号</v>
      </c>
      <c r="O4333" s="5" t="s">
        <v>4363</v>
      </c>
      <c r="P4333" s="6">
        <v>0.56000000000000005</v>
      </c>
      <c r="Q4333" s="11">
        <f t="shared" si="1407"/>
        <v>2.4499999999999997</v>
      </c>
      <c r="R4333" s="11"/>
      <c r="S4333" s="11"/>
      <c r="T4333" s="11"/>
      <c r="U4333" s="11">
        <f t="shared" si="1388"/>
        <v>2.4499999999999997</v>
      </c>
      <c r="V4333" t="s">
        <v>15</v>
      </c>
      <c r="W4333">
        <v>2.4500000000000002</v>
      </c>
      <c r="X4333" s="1" t="s">
        <v>27</v>
      </c>
    </row>
    <row r="4334" spans="1:24" x14ac:dyDescent="0.25">
      <c r="A4334" s="1" t="str">
        <f t="shared" si="1390"/>
        <v>卡卡杜-凤凰仓</v>
      </c>
      <c r="B4334" s="1" t="str">
        <f>"CK20241022529"</f>
        <v>CK20241022529</v>
      </c>
      <c r="C4334" s="1" t="str">
        <f>"DD2024102255729"</f>
        <v>DD2024102255729</v>
      </c>
      <c r="D4334" s="1" t="str">
        <f>"CK2024102250559"</f>
        <v>CK2024102250559</v>
      </c>
      <c r="E4334" s="1" t="str">
        <f>"3723468165534846976"</f>
        <v>3723468165534846976</v>
      </c>
      <c r="F4334" s="1" t="str">
        <f t="shared" si="1391"/>
        <v>花都四部-凤凰仓</v>
      </c>
      <c r="G4334" s="1" t="str">
        <f t="shared" si="1397"/>
        <v>卡卡杜企业店（视频号）</v>
      </c>
      <c r="H4334" s="1" t="str">
        <f t="shared" si="1392"/>
        <v>正常订单</v>
      </c>
      <c r="I4334" s="1" t="str">
        <f t="shared" si="1393"/>
        <v>已发货</v>
      </c>
      <c r="J4334" s="1" t="str">
        <f t="shared" si="1408"/>
        <v>3</v>
      </c>
      <c r="K4334" s="1">
        <v>3</v>
      </c>
      <c r="L4334" s="1" t="s">
        <v>105</v>
      </c>
      <c r="M4334" s="1" t="str">
        <f>"北京 北京市 朝阳区 "</f>
        <v xml:space="preserve">北京 北京市 朝阳区 </v>
      </c>
      <c r="N4334" s="1" t="str">
        <f t="shared" si="1401"/>
        <v>凡华云仓-城南圆通-微信视频号</v>
      </c>
      <c r="O4334" s="5" t="s">
        <v>4364</v>
      </c>
      <c r="P4334" s="6">
        <v>0.34</v>
      </c>
      <c r="Q4334" s="11">
        <v>2.2999999999999998</v>
      </c>
      <c r="R4334" s="11"/>
      <c r="S4334" s="11"/>
      <c r="T4334" s="11"/>
      <c r="U4334" s="11">
        <f t="shared" si="1388"/>
        <v>2.2999999999999998</v>
      </c>
      <c r="W4334">
        <v>2.5</v>
      </c>
      <c r="X4334" s="1" t="s">
        <v>105</v>
      </c>
    </row>
    <row r="4335" spans="1:24" x14ac:dyDescent="0.25">
      <c r="A4335" s="1" t="str">
        <f t="shared" si="1390"/>
        <v>卡卡杜-凤凰仓</v>
      </c>
      <c r="B4335" s="1" t="str">
        <f>"CK20241022414"</f>
        <v>CK20241022414</v>
      </c>
      <c r="C4335" s="1" t="str">
        <f>"DD2024102254197"</f>
        <v>DD2024102254197</v>
      </c>
      <c r="D4335" s="1" t="str">
        <f>"CK2024102250558"</f>
        <v>CK2024102250558</v>
      </c>
      <c r="E4335" s="1" t="str">
        <f>"3723468161208681728"</f>
        <v>3723468161208681728</v>
      </c>
      <c r="F4335" s="1" t="str">
        <f t="shared" si="1391"/>
        <v>花都四部-凤凰仓</v>
      </c>
      <c r="G4335" s="1" t="str">
        <f t="shared" si="1397"/>
        <v>卡卡杜企业店（视频号）</v>
      </c>
      <c r="H4335" s="1" t="str">
        <f t="shared" si="1392"/>
        <v>正常订单</v>
      </c>
      <c r="I4335" s="1" t="str">
        <f t="shared" si="1393"/>
        <v>已发货</v>
      </c>
      <c r="J4335" s="1" t="str">
        <f t="shared" ref="J4335:J4337" si="1409">"5"</f>
        <v>5</v>
      </c>
      <c r="K4335" s="1">
        <v>3</v>
      </c>
      <c r="L4335" s="1" t="s">
        <v>47</v>
      </c>
      <c r="M4335" s="1" t="str">
        <f>"重庆 重庆市 九龙坡区 "</f>
        <v xml:space="preserve">重庆 重庆市 九龙坡区 </v>
      </c>
      <c r="N4335" s="1" t="str">
        <f t="shared" si="1401"/>
        <v>凡华云仓-城南圆通-微信视频号</v>
      </c>
      <c r="O4335" s="5" t="s">
        <v>4365</v>
      </c>
      <c r="P4335" s="6">
        <v>0.56000000000000005</v>
      </c>
      <c r="Q4335" s="11">
        <f t="shared" ref="Q4335:Q4337" si="1410">CEILING(P4335-0.5,0.1)*10*0.15+2.3</f>
        <v>2.4499999999999997</v>
      </c>
      <c r="R4335" s="11"/>
      <c r="S4335" s="11"/>
      <c r="T4335" s="11"/>
      <c r="U4335" s="11">
        <f t="shared" si="1388"/>
        <v>2.4499999999999997</v>
      </c>
      <c r="V4335" t="s">
        <v>15</v>
      </c>
      <c r="W4335">
        <v>2.4500000000000002</v>
      </c>
      <c r="X4335" s="1" t="s">
        <v>47</v>
      </c>
    </row>
    <row r="4336" spans="1:24" x14ac:dyDescent="0.25">
      <c r="A4336" s="1" t="str">
        <f t="shared" si="1390"/>
        <v>卡卡杜-凤凰仓</v>
      </c>
      <c r="B4336" s="1" t="str">
        <f>"CK20241022418"</f>
        <v>CK20241022418</v>
      </c>
      <c r="C4336" s="1" t="str">
        <f>"DD2024102254211"</f>
        <v>DD2024102254211</v>
      </c>
      <c r="D4336" s="1" t="str">
        <f>"CK2024102250557"</f>
        <v>CK2024102250557</v>
      </c>
      <c r="E4336" s="1" t="str">
        <f>"3723468147488329728"</f>
        <v>3723468147488329728</v>
      </c>
      <c r="F4336" s="1" t="str">
        <f t="shared" si="1391"/>
        <v>花都四部-凤凰仓</v>
      </c>
      <c r="G4336" s="1" t="str">
        <f t="shared" si="1397"/>
        <v>卡卡杜企业店（视频号）</v>
      </c>
      <c r="H4336" s="1" t="str">
        <f t="shared" si="1392"/>
        <v>正常订单</v>
      </c>
      <c r="I4336" s="1" t="str">
        <f t="shared" si="1393"/>
        <v>已发货</v>
      </c>
      <c r="J4336" s="1" t="str">
        <f t="shared" si="1409"/>
        <v>5</v>
      </c>
      <c r="K4336" s="1">
        <v>3</v>
      </c>
      <c r="L4336" s="1" t="s">
        <v>92</v>
      </c>
      <c r="M4336" s="1" t="str">
        <f>"辽宁省 沈阳市 浑南区 "</f>
        <v xml:space="preserve">辽宁省 沈阳市 浑南区 </v>
      </c>
      <c r="N4336" s="1" t="str">
        <f t="shared" si="1401"/>
        <v>凡华云仓-城南圆通-微信视频号</v>
      </c>
      <c r="O4336" s="5" t="s">
        <v>4366</v>
      </c>
      <c r="P4336" s="6">
        <v>0.56000000000000005</v>
      </c>
      <c r="Q4336" s="11">
        <f t="shared" si="1410"/>
        <v>2.4499999999999997</v>
      </c>
      <c r="R4336" s="11"/>
      <c r="S4336" s="11"/>
      <c r="T4336" s="11"/>
      <c r="U4336" s="11">
        <f t="shared" si="1388"/>
        <v>2.4499999999999997</v>
      </c>
      <c r="V4336" t="s">
        <v>15</v>
      </c>
      <c r="W4336">
        <v>2.4500000000000002</v>
      </c>
      <c r="X4336" s="1" t="s">
        <v>92</v>
      </c>
    </row>
    <row r="4337" spans="1:24" x14ac:dyDescent="0.25">
      <c r="A4337" s="1" t="str">
        <f t="shared" si="1390"/>
        <v>卡卡杜-凤凰仓</v>
      </c>
      <c r="B4337" s="1" t="str">
        <f>"CK20241022416"</f>
        <v>CK20241022416</v>
      </c>
      <c r="C4337" s="1" t="str">
        <f>"DD2024102254198"</f>
        <v>DD2024102254198</v>
      </c>
      <c r="D4337" s="1" t="str">
        <f>"CK2024102250556"</f>
        <v>CK2024102250556</v>
      </c>
      <c r="E4337" s="1" t="str">
        <f>"3723468152380986368"</f>
        <v>3723468152380986368</v>
      </c>
      <c r="F4337" s="1" t="str">
        <f t="shared" si="1391"/>
        <v>花都四部-凤凰仓</v>
      </c>
      <c r="G4337" s="1" t="str">
        <f t="shared" si="1397"/>
        <v>卡卡杜企业店（视频号）</v>
      </c>
      <c r="H4337" s="1" t="str">
        <f t="shared" si="1392"/>
        <v>正常订单</v>
      </c>
      <c r="I4337" s="1" t="str">
        <f t="shared" si="1393"/>
        <v>已发货</v>
      </c>
      <c r="J4337" s="1" t="str">
        <f t="shared" si="1409"/>
        <v>5</v>
      </c>
      <c r="K4337" s="1">
        <v>3</v>
      </c>
      <c r="L4337" s="1" t="s">
        <v>13</v>
      </c>
      <c r="M4337" s="1" t="str">
        <f>"江苏省 南京市 浦口区 "</f>
        <v xml:space="preserve">江苏省 南京市 浦口区 </v>
      </c>
      <c r="N4337" s="1" t="str">
        <f t="shared" si="1401"/>
        <v>凡华云仓-城南圆通-微信视频号</v>
      </c>
      <c r="O4337" s="5" t="s">
        <v>4367</v>
      </c>
      <c r="P4337" s="6">
        <v>0.56000000000000005</v>
      </c>
      <c r="Q4337" s="11">
        <f t="shared" si="1410"/>
        <v>2.4499999999999997</v>
      </c>
      <c r="R4337" s="11"/>
      <c r="S4337" s="11"/>
      <c r="T4337" s="11"/>
      <c r="U4337" s="11">
        <f t="shared" si="1388"/>
        <v>2.4499999999999997</v>
      </c>
      <c r="V4337" t="s">
        <v>15</v>
      </c>
      <c r="W4337">
        <v>2.4500000000000002</v>
      </c>
      <c r="X4337" s="1" t="s">
        <v>13</v>
      </c>
    </row>
    <row r="4338" spans="1:24" x14ac:dyDescent="0.25">
      <c r="A4338" s="1" t="str">
        <f t="shared" si="1390"/>
        <v>卡卡杜-凤凰仓</v>
      </c>
      <c r="B4338" s="1" t="str">
        <f>"CK20241022417"</f>
        <v>CK20241022417</v>
      </c>
      <c r="C4338" s="1" t="str">
        <f>"DD2024102254204"</f>
        <v>DD2024102254204</v>
      </c>
      <c r="D4338" s="1" t="str">
        <f>"CK2024102250555"</f>
        <v>CK2024102250555</v>
      </c>
      <c r="E4338" s="1" t="str">
        <f>"3723468150744155648"</f>
        <v>3723468150744155648</v>
      </c>
      <c r="F4338" s="1" t="str">
        <f t="shared" si="1391"/>
        <v>花都四部-凤凰仓</v>
      </c>
      <c r="G4338" s="1" t="str">
        <f t="shared" si="1397"/>
        <v>卡卡杜企业店（视频号）</v>
      </c>
      <c r="H4338" s="1" t="str">
        <f t="shared" si="1392"/>
        <v>正常订单</v>
      </c>
      <c r="I4338" s="1" t="str">
        <f t="shared" si="1393"/>
        <v>已发货</v>
      </c>
      <c r="J4338" s="1" t="str">
        <f t="shared" ref="J4338:J4343" si="1411">"3"</f>
        <v>3</v>
      </c>
      <c r="K4338" s="1">
        <v>3</v>
      </c>
      <c r="L4338" s="1" t="s">
        <v>92</v>
      </c>
      <c r="M4338" s="1" t="str">
        <f>"辽宁省 沈阳市 大东区 "</f>
        <v xml:space="preserve">辽宁省 沈阳市 大东区 </v>
      </c>
      <c r="N4338" s="1" t="str">
        <f t="shared" si="1401"/>
        <v>凡华云仓-城南圆通-微信视频号</v>
      </c>
      <c r="O4338" s="5" t="s">
        <v>4368</v>
      </c>
      <c r="P4338" s="6">
        <v>0.34</v>
      </c>
      <c r="Q4338" s="11">
        <v>2.2999999999999998</v>
      </c>
      <c r="R4338" s="11"/>
      <c r="S4338" s="11"/>
      <c r="T4338" s="11"/>
      <c r="U4338" s="11">
        <f t="shared" si="1388"/>
        <v>2.2999999999999998</v>
      </c>
      <c r="W4338">
        <v>2.5</v>
      </c>
      <c r="X4338" s="1" t="s">
        <v>92</v>
      </c>
    </row>
    <row r="4339" spans="1:24" x14ac:dyDescent="0.25">
      <c r="A4339" s="1" t="str">
        <f t="shared" si="1390"/>
        <v>卡卡杜-凤凰仓</v>
      </c>
      <c r="B4339" s="1" t="str">
        <f>"CK20241022445"</f>
        <v>CK20241022445</v>
      </c>
      <c r="C4339" s="1" t="str">
        <f>"DD2024102255402"</f>
        <v>DD2024102255402</v>
      </c>
      <c r="D4339" s="1" t="str">
        <f>"CK2024102250554"</f>
        <v>CK2024102250554</v>
      </c>
      <c r="E4339" s="1" t="str">
        <f>"3723468147093014016"</f>
        <v>3723468147093014016</v>
      </c>
      <c r="F4339" s="1" t="str">
        <f t="shared" si="1391"/>
        <v>花都四部-凤凰仓</v>
      </c>
      <c r="G4339" s="1" t="str">
        <f t="shared" si="1397"/>
        <v>卡卡杜企业店（视频号）</v>
      </c>
      <c r="H4339" s="1" t="str">
        <f t="shared" si="1392"/>
        <v>正常订单</v>
      </c>
      <c r="I4339" s="1" t="str">
        <f t="shared" si="1393"/>
        <v>已发货</v>
      </c>
      <c r="J4339" s="1" t="str">
        <f t="shared" si="1411"/>
        <v>3</v>
      </c>
      <c r="K4339" s="1">
        <v>3</v>
      </c>
      <c r="L4339" s="1" t="s">
        <v>36</v>
      </c>
      <c r="M4339" s="1" t="str">
        <f>"安徽省 六安市 叶集区 "</f>
        <v xml:space="preserve">安徽省 六安市 叶集区 </v>
      </c>
      <c r="N4339" s="1" t="str">
        <f t="shared" si="1401"/>
        <v>凡华云仓-城南圆通-微信视频号</v>
      </c>
      <c r="O4339" s="5" t="s">
        <v>4369</v>
      </c>
      <c r="P4339" s="6">
        <v>0.34</v>
      </c>
      <c r="Q4339" s="11">
        <v>2.2999999999999998</v>
      </c>
      <c r="R4339" s="11"/>
      <c r="S4339" s="11"/>
      <c r="T4339" s="11"/>
      <c r="U4339" s="11">
        <f t="shared" si="1388"/>
        <v>2.2999999999999998</v>
      </c>
      <c r="W4339">
        <v>2.5</v>
      </c>
      <c r="X4339" s="1" t="s">
        <v>36</v>
      </c>
    </row>
    <row r="4340" spans="1:24" x14ac:dyDescent="0.25">
      <c r="A4340" s="1" t="str">
        <f t="shared" si="1390"/>
        <v>卡卡杜-凤凰仓</v>
      </c>
      <c r="B4340" s="1" t="str">
        <f>"CK20241022498"</f>
        <v>CK20241022498</v>
      </c>
      <c r="C4340" s="1" t="str">
        <f>"DD2024102255618"</f>
        <v>DD2024102255618</v>
      </c>
      <c r="D4340" s="1" t="str">
        <f>"CK2024102250553"</f>
        <v>CK2024102250553</v>
      </c>
      <c r="E4340" s="1" t="str">
        <f>"3723468145613735424"</f>
        <v>3723468145613735424</v>
      </c>
      <c r="F4340" s="1" t="str">
        <f t="shared" si="1391"/>
        <v>花都四部-凤凰仓</v>
      </c>
      <c r="G4340" s="1" t="str">
        <f t="shared" si="1397"/>
        <v>卡卡杜企业店（视频号）</v>
      </c>
      <c r="H4340" s="1" t="str">
        <f t="shared" si="1392"/>
        <v>正常订单</v>
      </c>
      <c r="I4340" s="1" t="str">
        <f t="shared" si="1393"/>
        <v>已发货</v>
      </c>
      <c r="J4340" s="1" t="str">
        <f t="shared" si="1411"/>
        <v>3</v>
      </c>
      <c r="K4340" s="1">
        <v>3</v>
      </c>
      <c r="L4340" s="1" t="s">
        <v>54</v>
      </c>
      <c r="M4340" s="1" t="str">
        <f>"黑龙江省 齐齐哈尔市 龙沙区 "</f>
        <v xml:space="preserve">黑龙江省 齐齐哈尔市 龙沙区 </v>
      </c>
      <c r="N4340" s="1" t="str">
        <f t="shared" si="1401"/>
        <v>凡华云仓-城南圆通-微信视频号</v>
      </c>
      <c r="O4340" s="5" t="s">
        <v>4370</v>
      </c>
      <c r="P4340" s="6">
        <v>0.34</v>
      </c>
      <c r="Q4340" s="11">
        <v>2.2999999999999998</v>
      </c>
      <c r="R4340" s="11"/>
      <c r="S4340" s="11"/>
      <c r="T4340" s="11"/>
      <c r="U4340" s="11">
        <f t="shared" si="1388"/>
        <v>2.2999999999999998</v>
      </c>
      <c r="W4340">
        <v>2.5</v>
      </c>
      <c r="X4340" s="1" t="s">
        <v>54</v>
      </c>
    </row>
    <row r="4341" spans="1:24" x14ac:dyDescent="0.25">
      <c r="A4341" s="1" t="str">
        <f t="shared" si="1390"/>
        <v>卡卡杜-凤凰仓</v>
      </c>
      <c r="B4341" s="1" t="str">
        <f>"CK20241022419"</f>
        <v>CK20241022419</v>
      </c>
      <c r="C4341" s="1" t="str">
        <f>"DD2024102254210"</f>
        <v>DD2024102254210</v>
      </c>
      <c r="D4341" s="1" t="str">
        <f>"CK2024102250552"</f>
        <v>CK2024102250552</v>
      </c>
      <c r="E4341" s="1" t="str">
        <f>"3723468144568567296"</f>
        <v>3723468144568567296</v>
      </c>
      <c r="F4341" s="1" t="str">
        <f t="shared" si="1391"/>
        <v>花都四部-凤凰仓</v>
      </c>
      <c r="G4341" s="1" t="str">
        <f t="shared" si="1397"/>
        <v>卡卡杜企业店（视频号）</v>
      </c>
      <c r="H4341" s="1" t="str">
        <f t="shared" si="1392"/>
        <v>正常订单</v>
      </c>
      <c r="I4341" s="1" t="str">
        <f t="shared" si="1393"/>
        <v>已发货</v>
      </c>
      <c r="J4341" s="1" t="str">
        <f t="shared" si="1411"/>
        <v>3</v>
      </c>
      <c r="K4341" s="1">
        <v>3</v>
      </c>
      <c r="L4341" s="1" t="s">
        <v>109</v>
      </c>
      <c r="M4341" s="1" t="str">
        <f>"山西省 阳泉市 郊区 "</f>
        <v xml:space="preserve">山西省 阳泉市 郊区 </v>
      </c>
      <c r="N4341" s="1" t="str">
        <f t="shared" si="1401"/>
        <v>凡华云仓-城南圆通-微信视频号</v>
      </c>
      <c r="O4341" s="5" t="s">
        <v>4371</v>
      </c>
      <c r="P4341" s="6">
        <v>0.34</v>
      </c>
      <c r="Q4341" s="11">
        <v>2.2999999999999998</v>
      </c>
      <c r="R4341" s="11"/>
      <c r="S4341" s="11"/>
      <c r="T4341" s="11"/>
      <c r="U4341" s="11">
        <f t="shared" si="1388"/>
        <v>2.2999999999999998</v>
      </c>
      <c r="W4341">
        <v>2.5</v>
      </c>
      <c r="X4341" s="1" t="s">
        <v>109</v>
      </c>
    </row>
    <row r="4342" spans="1:24" x14ac:dyDescent="0.25">
      <c r="A4342" s="1" t="str">
        <f t="shared" si="1390"/>
        <v>卡卡杜-凤凰仓</v>
      </c>
      <c r="B4342" s="1" t="str">
        <f>"CK20241022420"</f>
        <v>CK20241022420</v>
      </c>
      <c r="C4342" s="1" t="str">
        <f>"DD2024102254215"</f>
        <v>DD2024102254215</v>
      </c>
      <c r="D4342" s="1" t="str">
        <f>"CK2024102250551"</f>
        <v>CK2024102250551</v>
      </c>
      <c r="E4342" s="1" t="str">
        <f>"3723468140753323264"</f>
        <v>3723468140753323264</v>
      </c>
      <c r="F4342" s="1" t="str">
        <f t="shared" si="1391"/>
        <v>花都四部-凤凰仓</v>
      </c>
      <c r="G4342" s="1" t="str">
        <f t="shared" si="1397"/>
        <v>卡卡杜企业店（视频号）</v>
      </c>
      <c r="H4342" s="1" t="str">
        <f t="shared" si="1392"/>
        <v>正常订单</v>
      </c>
      <c r="I4342" s="1" t="str">
        <f t="shared" si="1393"/>
        <v>已发货</v>
      </c>
      <c r="J4342" s="1" t="str">
        <f t="shared" si="1411"/>
        <v>3</v>
      </c>
      <c r="K4342" s="1">
        <v>3</v>
      </c>
      <c r="L4342" s="1" t="s">
        <v>92</v>
      </c>
      <c r="M4342" s="1" t="str">
        <f>"辽宁省 大连市 沙河口区 "</f>
        <v xml:space="preserve">辽宁省 大连市 沙河口区 </v>
      </c>
      <c r="N4342" s="1" t="str">
        <f t="shared" si="1401"/>
        <v>凡华云仓-城南圆通-微信视频号</v>
      </c>
      <c r="O4342" s="5" t="s">
        <v>4372</v>
      </c>
      <c r="P4342" s="6">
        <v>0.34</v>
      </c>
      <c r="Q4342" s="11">
        <v>2.2999999999999998</v>
      </c>
      <c r="R4342" s="11"/>
      <c r="S4342" s="11"/>
      <c r="T4342" s="11"/>
      <c r="U4342" s="11">
        <f t="shared" si="1388"/>
        <v>2.2999999999999998</v>
      </c>
      <c r="W4342">
        <v>2.5</v>
      </c>
      <c r="X4342" s="1" t="s">
        <v>92</v>
      </c>
    </row>
    <row r="4343" spans="1:24" x14ac:dyDescent="0.25">
      <c r="A4343" s="1" t="str">
        <f t="shared" si="1390"/>
        <v>卡卡杜-凤凰仓</v>
      </c>
      <c r="B4343" s="1" t="str">
        <f>"CK20241022421"</f>
        <v>CK20241022421</v>
      </c>
      <c r="C4343" s="1" t="str">
        <f>"DD2024102254225"</f>
        <v>DD2024102254225</v>
      </c>
      <c r="D4343" s="1" t="str">
        <f>"CK2024102250550"</f>
        <v>CK2024102250550</v>
      </c>
      <c r="E4343" s="1" t="str">
        <f>"3723468140432460800"</f>
        <v>3723468140432460800</v>
      </c>
      <c r="F4343" s="1" t="str">
        <f t="shared" si="1391"/>
        <v>花都四部-凤凰仓</v>
      </c>
      <c r="G4343" s="1" t="str">
        <f t="shared" si="1397"/>
        <v>卡卡杜企业店（视频号）</v>
      </c>
      <c r="H4343" s="1" t="str">
        <f t="shared" si="1392"/>
        <v>正常订单</v>
      </c>
      <c r="I4343" s="1" t="str">
        <f t="shared" si="1393"/>
        <v>已发货</v>
      </c>
      <c r="J4343" s="1" t="str">
        <f t="shared" si="1411"/>
        <v>3</v>
      </c>
      <c r="K4343" s="1">
        <v>3</v>
      </c>
      <c r="L4343" s="1" t="s">
        <v>1111</v>
      </c>
      <c r="M4343" s="1" t="str">
        <f>"青海省 西宁市 城东区 "</f>
        <v xml:space="preserve">青海省 西宁市 城东区 </v>
      </c>
      <c r="N4343" s="1" t="str">
        <f t="shared" si="1401"/>
        <v>凡华云仓-城南圆通-微信视频号</v>
      </c>
      <c r="O4343" s="5" t="s">
        <v>4373</v>
      </c>
      <c r="P4343" s="6">
        <v>0.34</v>
      </c>
      <c r="Q4343" s="11">
        <v>2.2999999999999998</v>
      </c>
      <c r="R4343" s="11"/>
      <c r="S4343" s="11"/>
      <c r="T4343" s="11"/>
      <c r="U4343" s="11">
        <f t="shared" si="1388"/>
        <v>2.2999999999999998</v>
      </c>
      <c r="W4343">
        <v>2.5</v>
      </c>
      <c r="X4343" s="1" t="s">
        <v>1111</v>
      </c>
    </row>
    <row r="4344" spans="1:24" x14ac:dyDescent="0.25">
      <c r="A4344" s="1" t="str">
        <f t="shared" si="1390"/>
        <v>卡卡杜-凤凰仓</v>
      </c>
      <c r="B4344" s="1" t="str">
        <f>"CK20241022423"</f>
        <v>CK20241022423</v>
      </c>
      <c r="C4344" s="1" t="str">
        <f>"DD2024102254228"</f>
        <v>DD2024102254228</v>
      </c>
      <c r="D4344" s="1" t="str">
        <f>"CK2024102250549"</f>
        <v>CK2024102250549</v>
      </c>
      <c r="E4344" s="1" t="str">
        <f>"3723468139234985216"</f>
        <v>3723468139234985216</v>
      </c>
      <c r="F4344" s="1" t="str">
        <f t="shared" si="1391"/>
        <v>花都四部-凤凰仓</v>
      </c>
      <c r="G4344" s="1" t="str">
        <f t="shared" si="1397"/>
        <v>卡卡杜企业店（视频号）</v>
      </c>
      <c r="H4344" s="1" t="str">
        <f t="shared" si="1392"/>
        <v>正常订单</v>
      </c>
      <c r="I4344" s="1" t="str">
        <f t="shared" si="1393"/>
        <v>已发货</v>
      </c>
      <c r="J4344" s="1" t="str">
        <f>"5"</f>
        <v>5</v>
      </c>
      <c r="K4344" s="1">
        <v>3</v>
      </c>
      <c r="L4344" s="1" t="s">
        <v>94</v>
      </c>
      <c r="M4344" s="1" t="str">
        <f>"湖南省 长沙市 开福区 "</f>
        <v xml:space="preserve">湖南省 长沙市 开福区 </v>
      </c>
      <c r="N4344" s="1" t="str">
        <f t="shared" si="1401"/>
        <v>凡华云仓-城南圆通-微信视频号</v>
      </c>
      <c r="O4344" s="5" t="s">
        <v>4374</v>
      </c>
      <c r="P4344" s="6">
        <v>0.56000000000000005</v>
      </c>
      <c r="Q4344" s="11">
        <f>CEILING(P4344-0.5,0.1)*10*0.15+2.3</f>
        <v>2.4499999999999997</v>
      </c>
      <c r="R4344" s="11"/>
      <c r="S4344" s="11"/>
      <c r="T4344" s="11"/>
      <c r="U4344" s="11">
        <f t="shared" si="1388"/>
        <v>2.4499999999999997</v>
      </c>
      <c r="V4344" t="s">
        <v>15</v>
      </c>
      <c r="W4344">
        <v>2.4500000000000002</v>
      </c>
      <c r="X4344" s="1" t="s">
        <v>94</v>
      </c>
    </row>
    <row r="4345" spans="1:24" x14ac:dyDescent="0.25">
      <c r="A4345" s="1" t="str">
        <f t="shared" si="1390"/>
        <v>卡卡杜-凤凰仓</v>
      </c>
      <c r="B4345" s="1" t="str">
        <f>"CK20241022426"</f>
        <v>CK20241022426</v>
      </c>
      <c r="C4345" s="1" t="str">
        <f>"DD2024102254248"</f>
        <v>DD2024102254248</v>
      </c>
      <c r="D4345" s="1" t="str">
        <f>"CK2024102250548"</f>
        <v>CK2024102250548</v>
      </c>
      <c r="E4345" s="1" t="str">
        <f>"3723468135799850240"</f>
        <v>3723468135799850240</v>
      </c>
      <c r="F4345" s="1" t="str">
        <f t="shared" si="1391"/>
        <v>花都四部-凤凰仓</v>
      </c>
      <c r="G4345" s="1" t="str">
        <f t="shared" si="1397"/>
        <v>卡卡杜企业店（视频号）</v>
      </c>
      <c r="H4345" s="1" t="str">
        <f t="shared" si="1392"/>
        <v>正常订单</v>
      </c>
      <c r="I4345" s="1" t="str">
        <f t="shared" si="1393"/>
        <v>已发货</v>
      </c>
      <c r="J4345" s="1" t="str">
        <f t="shared" ref="J4345:J4356" si="1412">"3"</f>
        <v>3</v>
      </c>
      <c r="K4345" s="1">
        <v>3</v>
      </c>
      <c r="L4345" s="1" t="s">
        <v>94</v>
      </c>
      <c r="M4345" s="1" t="str">
        <f>"湖南省 岳阳市 岳阳楼区 "</f>
        <v xml:space="preserve">湖南省 岳阳市 岳阳楼区 </v>
      </c>
      <c r="N4345" s="1" t="str">
        <f t="shared" si="1401"/>
        <v>凡华云仓-城南圆通-微信视频号</v>
      </c>
      <c r="O4345" s="5" t="s">
        <v>4375</v>
      </c>
      <c r="P4345" s="6">
        <v>0.34</v>
      </c>
      <c r="Q4345" s="11">
        <v>2.2999999999999998</v>
      </c>
      <c r="R4345" s="11"/>
      <c r="S4345" s="11"/>
      <c r="T4345" s="11"/>
      <c r="U4345" s="11">
        <f t="shared" si="1388"/>
        <v>2.2999999999999998</v>
      </c>
      <c r="W4345">
        <v>2.5</v>
      </c>
      <c r="X4345" s="1" t="s">
        <v>94</v>
      </c>
    </row>
    <row r="4346" spans="1:24" x14ac:dyDescent="0.25">
      <c r="A4346" s="1" t="str">
        <f t="shared" si="1390"/>
        <v>卡卡杜-凤凰仓</v>
      </c>
      <c r="B4346" s="1" t="str">
        <f>"CK20241022422"</f>
        <v>CK20241022422</v>
      </c>
      <c r="C4346" s="1" t="str">
        <f>"DD2024102254222"</f>
        <v>DD2024102254222</v>
      </c>
      <c r="D4346" s="1" t="str">
        <f>"CK2024102250547"</f>
        <v>CK2024102250547</v>
      </c>
      <c r="E4346" s="1" t="str">
        <f>"3723468138646996480"</f>
        <v>3723468138646996480</v>
      </c>
      <c r="F4346" s="1" t="str">
        <f t="shared" si="1391"/>
        <v>花都四部-凤凰仓</v>
      </c>
      <c r="G4346" s="1" t="str">
        <f t="shared" si="1397"/>
        <v>卡卡杜企业店（视频号）</v>
      </c>
      <c r="H4346" s="1" t="str">
        <f t="shared" si="1392"/>
        <v>正常订单</v>
      </c>
      <c r="I4346" s="1" t="str">
        <f t="shared" si="1393"/>
        <v>已发货</v>
      </c>
      <c r="J4346" s="1" t="str">
        <f t="shared" si="1412"/>
        <v>3</v>
      </c>
      <c r="K4346" s="1">
        <v>3</v>
      </c>
      <c r="L4346" s="1" t="s">
        <v>18</v>
      </c>
      <c r="M4346" s="1" t="str">
        <f>"广东省 广州市 荔湾区 "</f>
        <v xml:space="preserve">广东省 广州市 荔湾区 </v>
      </c>
      <c r="N4346" s="1" t="str">
        <f t="shared" si="1401"/>
        <v>凡华云仓-城南圆通-微信视频号</v>
      </c>
      <c r="O4346" s="5" t="s">
        <v>4376</v>
      </c>
      <c r="P4346" s="6">
        <v>0.34</v>
      </c>
      <c r="Q4346" s="11">
        <v>2.2999999999999998</v>
      </c>
      <c r="R4346" s="11"/>
      <c r="S4346" s="11"/>
      <c r="T4346" s="11"/>
      <c r="U4346" s="11">
        <f t="shared" si="1388"/>
        <v>2.2999999999999998</v>
      </c>
      <c r="W4346">
        <v>2.5</v>
      </c>
      <c r="X4346" s="1" t="s">
        <v>18</v>
      </c>
    </row>
    <row r="4347" spans="1:24" x14ac:dyDescent="0.25">
      <c r="A4347" s="1" t="str">
        <f t="shared" si="1390"/>
        <v>卡卡杜-凤凰仓</v>
      </c>
      <c r="B4347" s="1" t="str">
        <f>"CK20241022511"</f>
        <v>CK20241022511</v>
      </c>
      <c r="C4347" s="1" t="str">
        <f>"DD2024102255653"</f>
        <v>DD2024102255653</v>
      </c>
      <c r="D4347" s="1" t="str">
        <f>"CK2024102250546"</f>
        <v>CK2024102250546</v>
      </c>
      <c r="E4347" s="1" t="str">
        <f>"3723468137962800640"</f>
        <v>3723468137962800640</v>
      </c>
      <c r="F4347" s="1" t="str">
        <f t="shared" si="1391"/>
        <v>花都四部-凤凰仓</v>
      </c>
      <c r="G4347" s="1" t="str">
        <f t="shared" si="1397"/>
        <v>卡卡杜企业店（视频号）</v>
      </c>
      <c r="H4347" s="1" t="str">
        <f t="shared" si="1392"/>
        <v>正常订单</v>
      </c>
      <c r="I4347" s="1" t="str">
        <f t="shared" si="1393"/>
        <v>已发货</v>
      </c>
      <c r="J4347" s="1" t="str">
        <f>"5"</f>
        <v>5</v>
      </c>
      <c r="K4347" s="1">
        <v>3</v>
      </c>
      <c r="L4347" s="1" t="s">
        <v>105</v>
      </c>
      <c r="M4347" s="1" t="str">
        <f>"北京 北京市 通州区 "</f>
        <v xml:space="preserve">北京 北京市 通州区 </v>
      </c>
      <c r="N4347" s="1" t="str">
        <f t="shared" si="1401"/>
        <v>凡华云仓-城南圆通-微信视频号</v>
      </c>
      <c r="O4347" s="5" t="s">
        <v>4377</v>
      </c>
      <c r="P4347" s="6">
        <v>0.56000000000000005</v>
      </c>
      <c r="Q4347" s="11">
        <f>CEILING(P4347-0.5,0.1)*10*0.15+2.3</f>
        <v>2.4499999999999997</v>
      </c>
      <c r="R4347" s="11"/>
      <c r="S4347" s="11"/>
      <c r="T4347" s="11"/>
      <c r="U4347" s="11">
        <f t="shared" si="1388"/>
        <v>2.4499999999999997</v>
      </c>
      <c r="V4347" t="s">
        <v>15</v>
      </c>
      <c r="W4347">
        <v>2.4500000000000002</v>
      </c>
      <c r="X4347" s="1" t="s">
        <v>105</v>
      </c>
    </row>
    <row r="4348" spans="1:24" x14ac:dyDescent="0.25">
      <c r="A4348" s="1" t="str">
        <f t="shared" si="1390"/>
        <v>卡卡杜-凤凰仓</v>
      </c>
      <c r="B4348" s="1" t="str">
        <f>"CK20241022457"</f>
        <v>CK20241022457</v>
      </c>
      <c r="C4348" s="1" t="str">
        <f>"DD2024102255452"</f>
        <v>DD2024102255452</v>
      </c>
      <c r="D4348" s="1" t="str">
        <f>"CK2024102250545"</f>
        <v>CK2024102250545</v>
      </c>
      <c r="E4348" s="1" t="str">
        <f>"3723468127957553152"</f>
        <v>3723468127957553152</v>
      </c>
      <c r="F4348" s="1" t="str">
        <f t="shared" si="1391"/>
        <v>花都四部-凤凰仓</v>
      </c>
      <c r="G4348" s="1" t="str">
        <f t="shared" si="1397"/>
        <v>卡卡杜企业店（视频号）</v>
      </c>
      <c r="H4348" s="1" t="str">
        <f t="shared" si="1392"/>
        <v>正常订单</v>
      </c>
      <c r="I4348" s="1" t="str">
        <f t="shared" si="1393"/>
        <v>已发货</v>
      </c>
      <c r="J4348" s="1" t="str">
        <f t="shared" si="1412"/>
        <v>3</v>
      </c>
      <c r="K4348" s="1">
        <v>3</v>
      </c>
      <c r="L4348" s="1" t="s">
        <v>47</v>
      </c>
      <c r="M4348" s="1" t="str">
        <f>"重庆 重庆市 江津区 "</f>
        <v xml:space="preserve">重庆 重庆市 江津区 </v>
      </c>
      <c r="N4348" s="1" t="str">
        <f t="shared" si="1401"/>
        <v>凡华云仓-城南圆通-微信视频号</v>
      </c>
      <c r="O4348" s="5" t="s">
        <v>4378</v>
      </c>
      <c r="P4348" s="6">
        <v>0.34</v>
      </c>
      <c r="Q4348" s="11">
        <v>2.2999999999999998</v>
      </c>
      <c r="R4348" s="11"/>
      <c r="S4348" s="11"/>
      <c r="T4348" s="11"/>
      <c r="U4348" s="11">
        <f t="shared" si="1388"/>
        <v>2.2999999999999998</v>
      </c>
      <c r="W4348">
        <v>2.5</v>
      </c>
      <c r="X4348" s="1" t="s">
        <v>47</v>
      </c>
    </row>
    <row r="4349" spans="1:24" x14ac:dyDescent="0.25">
      <c r="A4349" s="1" t="str">
        <f t="shared" si="1390"/>
        <v>卡卡杜-凤凰仓</v>
      </c>
      <c r="B4349" s="1" t="str">
        <f>"CK20241022469"</f>
        <v>CK20241022469</v>
      </c>
      <c r="C4349" s="1" t="str">
        <f>"DD2024102255506"</f>
        <v>DD2024102255506</v>
      </c>
      <c r="D4349" s="1" t="str">
        <f>"CK2024102250544"</f>
        <v>CK2024102250544</v>
      </c>
      <c r="E4349" s="1" t="str">
        <f>"3723468131714337792"</f>
        <v>3723468131714337792</v>
      </c>
      <c r="F4349" s="1" t="str">
        <f t="shared" si="1391"/>
        <v>花都四部-凤凰仓</v>
      </c>
      <c r="G4349" s="1" t="str">
        <f t="shared" si="1397"/>
        <v>卡卡杜企业店（视频号）</v>
      </c>
      <c r="H4349" s="1" t="str">
        <f t="shared" si="1392"/>
        <v>正常订单</v>
      </c>
      <c r="I4349" s="1" t="str">
        <f t="shared" si="1393"/>
        <v>已发货</v>
      </c>
      <c r="J4349" s="1" t="str">
        <f t="shared" si="1412"/>
        <v>3</v>
      </c>
      <c r="K4349" s="1">
        <v>3</v>
      </c>
      <c r="L4349" s="1" t="s">
        <v>44</v>
      </c>
      <c r="M4349" s="1" t="str">
        <f>"海南省 省直辖县级行政区划 乐东黎族自治县 "</f>
        <v xml:space="preserve">海南省 省直辖县级行政区划 乐东黎族自治县 </v>
      </c>
      <c r="N4349" s="1" t="str">
        <f t="shared" si="1401"/>
        <v>凡华云仓-城南圆通-微信视频号</v>
      </c>
      <c r="O4349" s="5" t="s">
        <v>4379</v>
      </c>
      <c r="P4349" s="6">
        <v>0.34</v>
      </c>
      <c r="Q4349" s="11">
        <v>2.2999999999999998</v>
      </c>
      <c r="R4349" s="11"/>
      <c r="S4349" s="11"/>
      <c r="T4349" s="11"/>
      <c r="U4349" s="11">
        <f t="shared" si="1388"/>
        <v>2.2999999999999998</v>
      </c>
      <c r="W4349">
        <v>2.5</v>
      </c>
      <c r="X4349" s="1" t="s">
        <v>44</v>
      </c>
    </row>
    <row r="4350" spans="1:24" x14ac:dyDescent="0.25">
      <c r="A4350" s="1" t="str">
        <f t="shared" si="1390"/>
        <v>卡卡杜-凤凰仓</v>
      </c>
      <c r="B4350" s="1" t="str">
        <f>"CK20241022424"</f>
        <v>CK20241022424</v>
      </c>
      <c r="C4350" s="1" t="str">
        <f>"DD2024102254231"</f>
        <v>DD2024102254231</v>
      </c>
      <c r="D4350" s="1" t="str">
        <f>"CK2024102250543"</f>
        <v>CK2024102250543</v>
      </c>
      <c r="E4350" s="1" t="str">
        <f>"3723468137134691328"</f>
        <v>3723468137134691328</v>
      </c>
      <c r="F4350" s="1" t="str">
        <f t="shared" si="1391"/>
        <v>花都四部-凤凰仓</v>
      </c>
      <c r="G4350" s="1" t="str">
        <f t="shared" si="1397"/>
        <v>卡卡杜企业店（视频号）</v>
      </c>
      <c r="H4350" s="1" t="str">
        <f t="shared" si="1392"/>
        <v>正常订单</v>
      </c>
      <c r="I4350" s="1" t="str">
        <f t="shared" si="1393"/>
        <v>已发货</v>
      </c>
      <c r="J4350" s="1" t="str">
        <f t="shared" si="1412"/>
        <v>3</v>
      </c>
      <c r="K4350" s="1">
        <v>3</v>
      </c>
      <c r="L4350" s="1" t="s">
        <v>13</v>
      </c>
      <c r="M4350" s="1" t="str">
        <f>"江苏省 无锡市 新吴区 "</f>
        <v xml:space="preserve">江苏省 无锡市 新吴区 </v>
      </c>
      <c r="N4350" s="1" t="str">
        <f t="shared" si="1401"/>
        <v>凡华云仓-城南圆通-微信视频号</v>
      </c>
      <c r="O4350" s="5" t="s">
        <v>4380</v>
      </c>
      <c r="P4350" s="6">
        <v>0.34</v>
      </c>
      <c r="Q4350" s="11">
        <v>2.2999999999999998</v>
      </c>
      <c r="R4350" s="11"/>
      <c r="S4350" s="11"/>
      <c r="T4350" s="11"/>
      <c r="U4350" s="11">
        <f t="shared" si="1388"/>
        <v>2.2999999999999998</v>
      </c>
      <c r="W4350">
        <v>2.5</v>
      </c>
      <c r="X4350" s="1" t="s">
        <v>13</v>
      </c>
    </row>
    <row r="4351" spans="1:24" x14ac:dyDescent="0.25">
      <c r="A4351" s="1" t="str">
        <f t="shared" si="1390"/>
        <v>卡卡杜-凤凰仓</v>
      </c>
      <c r="B4351" s="1" t="str">
        <f>"CK20241022425"</f>
        <v>CK20241022425</v>
      </c>
      <c r="C4351" s="1" t="str">
        <f>"DD2024102254232"</f>
        <v>DD2024102254232</v>
      </c>
      <c r="D4351" s="1" t="str">
        <f>"CK2024102250542"</f>
        <v>CK2024102250542</v>
      </c>
      <c r="E4351" s="1" t="str">
        <f>"3723468136893777408"</f>
        <v>3723468136893777408</v>
      </c>
      <c r="F4351" s="1" t="str">
        <f t="shared" si="1391"/>
        <v>花都四部-凤凰仓</v>
      </c>
      <c r="G4351" s="1" t="str">
        <f t="shared" si="1397"/>
        <v>卡卡杜企业店（视频号）</v>
      </c>
      <c r="H4351" s="1" t="str">
        <f t="shared" si="1392"/>
        <v>正常订单</v>
      </c>
      <c r="I4351" s="1" t="str">
        <f t="shared" si="1393"/>
        <v>已发货</v>
      </c>
      <c r="J4351" s="1" t="str">
        <f t="shared" si="1412"/>
        <v>3</v>
      </c>
      <c r="K4351" s="1">
        <v>3</v>
      </c>
      <c r="L4351" s="1" t="s">
        <v>36</v>
      </c>
      <c r="M4351" s="1" t="str">
        <f>"安徽省 蚌埠市 蚌山区 "</f>
        <v xml:space="preserve">安徽省 蚌埠市 蚌山区 </v>
      </c>
      <c r="N4351" s="1" t="str">
        <f t="shared" si="1401"/>
        <v>凡华云仓-城南圆通-微信视频号</v>
      </c>
      <c r="O4351" s="5" t="s">
        <v>4381</v>
      </c>
      <c r="P4351" s="6">
        <v>0.34</v>
      </c>
      <c r="Q4351" s="11">
        <v>2.2999999999999998</v>
      </c>
      <c r="R4351" s="11"/>
      <c r="S4351" s="11"/>
      <c r="T4351" s="11"/>
      <c r="U4351" s="11">
        <f t="shared" si="1388"/>
        <v>2.2999999999999998</v>
      </c>
      <c r="W4351">
        <v>2.5</v>
      </c>
      <c r="X4351" s="1" t="s">
        <v>36</v>
      </c>
    </row>
    <row r="4352" spans="1:24" x14ac:dyDescent="0.25">
      <c r="A4352" s="1" t="str">
        <f t="shared" si="1390"/>
        <v>卡卡杜-凤凰仓</v>
      </c>
      <c r="B4352" s="1" t="str">
        <f>"CK20241022523"</f>
        <v>CK20241022523</v>
      </c>
      <c r="C4352" s="1" t="str">
        <f>"DD2024102255695"</f>
        <v>DD2024102255695</v>
      </c>
      <c r="D4352" s="1" t="str">
        <f>"CK2024102250541"</f>
        <v>CK2024102250541</v>
      </c>
      <c r="E4352" s="1" t="str">
        <f>"3723468134812353792"</f>
        <v>3723468134812353792</v>
      </c>
      <c r="F4352" s="1" t="str">
        <f t="shared" si="1391"/>
        <v>花都四部-凤凰仓</v>
      </c>
      <c r="G4352" s="1" t="str">
        <f t="shared" si="1397"/>
        <v>卡卡杜企业店（视频号）</v>
      </c>
      <c r="H4352" s="1" t="str">
        <f t="shared" si="1392"/>
        <v>正常订单</v>
      </c>
      <c r="I4352" s="1" t="str">
        <f t="shared" si="1393"/>
        <v>已发货</v>
      </c>
      <c r="J4352" s="1" t="str">
        <f t="shared" si="1412"/>
        <v>3</v>
      </c>
      <c r="K4352" s="1">
        <v>3</v>
      </c>
      <c r="L4352" s="1" t="s">
        <v>74</v>
      </c>
      <c r="M4352" s="1" t="str">
        <f>"上海 上海市 浦东新区 "</f>
        <v xml:space="preserve">上海 上海市 浦东新区 </v>
      </c>
      <c r="N4352" s="1" t="str">
        <f t="shared" si="1401"/>
        <v>凡华云仓-城南圆通-微信视频号</v>
      </c>
      <c r="O4352" s="5" t="s">
        <v>4382</v>
      </c>
      <c r="P4352" s="6">
        <v>0.34</v>
      </c>
      <c r="Q4352" s="11">
        <v>2.2999999999999998</v>
      </c>
      <c r="R4352" s="11"/>
      <c r="S4352" s="11"/>
      <c r="T4352" s="11"/>
      <c r="U4352" s="11">
        <f t="shared" si="1388"/>
        <v>2.2999999999999998</v>
      </c>
      <c r="W4352">
        <v>2.5</v>
      </c>
      <c r="X4352" s="1" t="s">
        <v>74</v>
      </c>
    </row>
    <row r="4353" spans="1:24" x14ac:dyDescent="0.25">
      <c r="A4353" s="1" t="str">
        <f t="shared" si="1390"/>
        <v>卡卡杜-凤凰仓</v>
      </c>
      <c r="B4353" s="1" t="str">
        <f>"CK20241022427"</f>
        <v>CK20241022427</v>
      </c>
      <c r="C4353" s="1" t="str">
        <f>"DD2024102254243"</f>
        <v>DD2024102254243</v>
      </c>
      <c r="D4353" s="1" t="str">
        <f>"CK2024102250540"</f>
        <v>CK2024102250540</v>
      </c>
      <c r="E4353" s="1" t="str">
        <f>"3723468134855347200"</f>
        <v>3723468134855347200</v>
      </c>
      <c r="F4353" s="1" t="str">
        <f t="shared" si="1391"/>
        <v>花都四部-凤凰仓</v>
      </c>
      <c r="G4353" s="1" t="str">
        <f t="shared" si="1397"/>
        <v>卡卡杜企业店（视频号）</v>
      </c>
      <c r="H4353" s="1" t="str">
        <f t="shared" si="1392"/>
        <v>正常订单</v>
      </c>
      <c r="I4353" s="1" t="str">
        <f t="shared" si="1393"/>
        <v>已发货</v>
      </c>
      <c r="J4353" s="1" t="str">
        <f t="shared" si="1412"/>
        <v>3</v>
      </c>
      <c r="K4353" s="1">
        <v>3</v>
      </c>
      <c r="L4353" s="1" t="s">
        <v>27</v>
      </c>
      <c r="M4353" s="1" t="str">
        <f>"贵州省 贵阳市 南明区 "</f>
        <v xml:space="preserve">贵州省 贵阳市 南明区 </v>
      </c>
      <c r="N4353" s="1" t="str">
        <f t="shared" si="1401"/>
        <v>凡华云仓-城南圆通-微信视频号</v>
      </c>
      <c r="O4353" s="5" t="s">
        <v>4383</v>
      </c>
      <c r="P4353" s="6">
        <v>0.34</v>
      </c>
      <c r="Q4353" s="11">
        <v>2.2999999999999998</v>
      </c>
      <c r="R4353" s="11"/>
      <c r="S4353" s="11"/>
      <c r="T4353" s="11"/>
      <c r="U4353" s="11">
        <f t="shared" si="1388"/>
        <v>2.2999999999999998</v>
      </c>
      <c r="W4353">
        <v>2.5</v>
      </c>
      <c r="X4353" s="1" t="s">
        <v>27</v>
      </c>
    </row>
    <row r="4354" spans="1:24" x14ac:dyDescent="0.25">
      <c r="A4354" s="1" t="str">
        <f t="shared" si="1390"/>
        <v>卡卡杜-凤凰仓</v>
      </c>
      <c r="B4354" s="1" t="str">
        <f>"CK20241022428"</f>
        <v>CK20241022428</v>
      </c>
      <c r="C4354" s="1" t="str">
        <f>"DD2024102254247"</f>
        <v>DD2024102254247</v>
      </c>
      <c r="D4354" s="1" t="str">
        <f>"CK2024102250539"</f>
        <v>CK2024102250539</v>
      </c>
      <c r="E4354" s="1" t="str">
        <f>"3723468135234667776"</f>
        <v>3723468135234667776</v>
      </c>
      <c r="F4354" s="1" t="str">
        <f t="shared" si="1391"/>
        <v>花都四部-凤凰仓</v>
      </c>
      <c r="G4354" s="1" t="str">
        <f t="shared" si="1397"/>
        <v>卡卡杜企业店（视频号）</v>
      </c>
      <c r="H4354" s="1" t="str">
        <f t="shared" si="1392"/>
        <v>正常订单</v>
      </c>
      <c r="I4354" s="1" t="str">
        <f t="shared" si="1393"/>
        <v>已发货</v>
      </c>
      <c r="J4354" s="1" t="str">
        <f t="shared" si="1412"/>
        <v>3</v>
      </c>
      <c r="K4354" s="1">
        <v>3</v>
      </c>
      <c r="L4354" s="1" t="s">
        <v>218</v>
      </c>
      <c r="M4354" s="1" t="str">
        <f>"天津 天津市 和平区 "</f>
        <v xml:space="preserve">天津 天津市 和平区 </v>
      </c>
      <c r="N4354" s="1" t="str">
        <f t="shared" si="1401"/>
        <v>凡华云仓-城南圆通-微信视频号</v>
      </c>
      <c r="O4354" s="5" t="s">
        <v>4384</v>
      </c>
      <c r="P4354" s="6">
        <v>0.34</v>
      </c>
      <c r="Q4354" s="11">
        <v>2.2999999999999998</v>
      </c>
      <c r="R4354" s="11"/>
      <c r="S4354" s="11"/>
      <c r="T4354" s="11"/>
      <c r="U4354" s="11">
        <f t="shared" si="1388"/>
        <v>2.2999999999999998</v>
      </c>
      <c r="W4354">
        <v>2.5</v>
      </c>
      <c r="X4354" s="1" t="s">
        <v>218</v>
      </c>
    </row>
    <row r="4355" spans="1:24" x14ac:dyDescent="0.25">
      <c r="A4355" s="1" t="str">
        <f t="shared" si="1390"/>
        <v>卡卡杜-凤凰仓</v>
      </c>
      <c r="B4355" s="1" t="str">
        <f>"CK20241022429"</f>
        <v>CK20241022429</v>
      </c>
      <c r="C4355" s="1" t="str">
        <f>"DD2024102254246"</f>
        <v>DD2024102254246</v>
      </c>
      <c r="D4355" s="1" t="str">
        <f>"CK2024102250538"</f>
        <v>CK2024102250538</v>
      </c>
      <c r="E4355" s="1" t="str">
        <f>"3723468133022696961"</f>
        <v>3723468133022696961</v>
      </c>
      <c r="F4355" s="1" t="str">
        <f t="shared" si="1391"/>
        <v>花都四部-凤凰仓</v>
      </c>
      <c r="G4355" s="1" t="str">
        <f t="shared" si="1397"/>
        <v>卡卡杜企业店（视频号）</v>
      </c>
      <c r="H4355" s="1" t="str">
        <f t="shared" si="1392"/>
        <v>正常订单</v>
      </c>
      <c r="I4355" s="1" t="str">
        <f t="shared" si="1393"/>
        <v>已发货</v>
      </c>
      <c r="J4355" s="1" t="str">
        <f t="shared" si="1412"/>
        <v>3</v>
      </c>
      <c r="K4355" s="1">
        <v>3</v>
      </c>
      <c r="L4355" s="1" t="s">
        <v>18</v>
      </c>
      <c r="M4355" s="1" t="str">
        <f>"广东省 韶关市 浈江区 "</f>
        <v xml:space="preserve">广东省 韶关市 浈江区 </v>
      </c>
      <c r="N4355" s="1" t="str">
        <f t="shared" si="1401"/>
        <v>凡华云仓-城南圆通-微信视频号</v>
      </c>
      <c r="O4355" s="5" t="s">
        <v>4385</v>
      </c>
      <c r="P4355" s="6">
        <v>0.34</v>
      </c>
      <c r="Q4355" s="11">
        <v>2.2999999999999998</v>
      </c>
      <c r="R4355" s="11"/>
      <c r="S4355" s="11"/>
      <c r="T4355" s="11"/>
      <c r="U4355" s="11">
        <f t="shared" ref="U4355:U4418" si="1413">T4355+S4355+R4355+Q4355</f>
        <v>2.2999999999999998</v>
      </c>
      <c r="W4355">
        <v>2.5</v>
      </c>
      <c r="X4355" s="1" t="s">
        <v>18</v>
      </c>
    </row>
    <row r="4356" spans="1:24" x14ac:dyDescent="0.25">
      <c r="A4356" s="1" t="str">
        <f t="shared" si="1390"/>
        <v>卡卡杜-凤凰仓</v>
      </c>
      <c r="B4356" s="1" t="str">
        <f>"CK20241022481"</f>
        <v>CK20241022481</v>
      </c>
      <c r="C4356" s="1" t="str">
        <f>"DD2024102255554"</f>
        <v>DD2024102255554</v>
      </c>
      <c r="D4356" s="1" t="str">
        <f>"CK2024102250537"</f>
        <v>CK2024102250537</v>
      </c>
      <c r="E4356" s="1" t="str">
        <f>"3723468133417485824"</f>
        <v>3723468133417485824</v>
      </c>
      <c r="F4356" s="1" t="str">
        <f t="shared" si="1391"/>
        <v>花都四部-凤凰仓</v>
      </c>
      <c r="G4356" s="1" t="str">
        <f t="shared" si="1397"/>
        <v>卡卡杜企业店（视频号）</v>
      </c>
      <c r="H4356" s="1" t="str">
        <f t="shared" si="1392"/>
        <v>正常订单</v>
      </c>
      <c r="I4356" s="1" t="str">
        <f t="shared" si="1393"/>
        <v>已发货</v>
      </c>
      <c r="J4356" s="1" t="str">
        <f t="shared" si="1412"/>
        <v>3</v>
      </c>
      <c r="K4356" s="1">
        <v>3</v>
      </c>
      <c r="L4356" s="1" t="s">
        <v>80</v>
      </c>
      <c r="M4356" s="1" t="str">
        <f>"河南省 郑州市 金水区 "</f>
        <v xml:space="preserve">河南省 郑州市 金水区 </v>
      </c>
      <c r="N4356" s="1" t="str">
        <f t="shared" si="1401"/>
        <v>凡华云仓-城南圆通-微信视频号</v>
      </c>
      <c r="O4356" s="5" t="s">
        <v>4386</v>
      </c>
      <c r="P4356" s="6">
        <v>0.34</v>
      </c>
      <c r="Q4356" s="11">
        <v>2.2999999999999998</v>
      </c>
      <c r="R4356" s="11"/>
      <c r="S4356" s="11"/>
      <c r="T4356" s="11"/>
      <c r="U4356" s="11">
        <f t="shared" si="1413"/>
        <v>2.2999999999999998</v>
      </c>
      <c r="W4356">
        <v>2.5</v>
      </c>
      <c r="X4356" s="1" t="s">
        <v>80</v>
      </c>
    </row>
    <row r="4357" spans="1:24" x14ac:dyDescent="0.25">
      <c r="A4357" s="1" t="str">
        <f t="shared" ref="A4357:A4420" si="1414">"卡卡杜-凤凰仓"</f>
        <v>卡卡杜-凤凰仓</v>
      </c>
      <c r="B4357" s="1" t="str">
        <f>"CK20241022440"</f>
        <v>CK20241022440</v>
      </c>
      <c r="C4357" s="1" t="str">
        <f>"DD2024102254291"</f>
        <v>DD2024102254291</v>
      </c>
      <c r="D4357" s="1" t="str">
        <f>"CK2024102250536"</f>
        <v>CK2024102250536</v>
      </c>
      <c r="E4357" s="1" t="str">
        <f>"3723468131901769216"</f>
        <v>3723468131901769216</v>
      </c>
      <c r="F4357" s="1" t="str">
        <f t="shared" ref="F4357:F4420" si="1415">"花都四部-凤凰仓"</f>
        <v>花都四部-凤凰仓</v>
      </c>
      <c r="G4357" s="1" t="str">
        <f t="shared" si="1397"/>
        <v>卡卡杜企业店（视频号）</v>
      </c>
      <c r="H4357" s="1" t="str">
        <f t="shared" ref="H4357:H4420" si="1416">"正常订单"</f>
        <v>正常订单</v>
      </c>
      <c r="I4357" s="1" t="str">
        <f t="shared" ref="I4357:I4420" si="1417">"已发货"</f>
        <v>已发货</v>
      </c>
      <c r="J4357" s="1" t="str">
        <f>"5"</f>
        <v>5</v>
      </c>
      <c r="K4357" s="1">
        <v>3</v>
      </c>
      <c r="L4357" s="1" t="s">
        <v>161</v>
      </c>
      <c r="M4357" s="1" t="str">
        <f>"四川省 成都市 青羊区 "</f>
        <v xml:space="preserve">四川省 成都市 青羊区 </v>
      </c>
      <c r="N4357" s="1" t="str">
        <f t="shared" si="1401"/>
        <v>凡华云仓-城南圆通-微信视频号</v>
      </c>
      <c r="O4357" s="5" t="s">
        <v>4387</v>
      </c>
      <c r="P4357" s="6">
        <v>0.56000000000000005</v>
      </c>
      <c r="Q4357" s="11">
        <f>CEILING(P4357-0.5,0.1)*10*0.15+2.3</f>
        <v>2.4499999999999997</v>
      </c>
      <c r="R4357" s="11"/>
      <c r="S4357" s="11"/>
      <c r="T4357" s="11"/>
      <c r="U4357" s="11">
        <f t="shared" si="1413"/>
        <v>2.4499999999999997</v>
      </c>
      <c r="V4357" t="s">
        <v>15</v>
      </c>
      <c r="W4357">
        <v>2.4500000000000002</v>
      </c>
      <c r="X4357" s="1" t="s">
        <v>161</v>
      </c>
    </row>
    <row r="4358" spans="1:24" x14ac:dyDescent="0.25">
      <c r="A4358" s="1" t="str">
        <f t="shared" si="1414"/>
        <v>卡卡杜-凤凰仓</v>
      </c>
      <c r="B4358" s="1" t="str">
        <f>"CK20241022430"</f>
        <v>CK20241022430</v>
      </c>
      <c r="C4358" s="1" t="str">
        <f>"DD2024102254249"</f>
        <v>DD2024102254249</v>
      </c>
      <c r="D4358" s="1" t="str">
        <f>"CK2024102250535"</f>
        <v>CK2024102250535</v>
      </c>
      <c r="E4358" s="1" t="str">
        <f>"3723468130970633728"</f>
        <v>3723468130970633728</v>
      </c>
      <c r="F4358" s="1" t="str">
        <f t="shared" si="1415"/>
        <v>花都四部-凤凰仓</v>
      </c>
      <c r="G4358" s="1" t="str">
        <f t="shared" si="1397"/>
        <v>卡卡杜企业店（视频号）</v>
      </c>
      <c r="H4358" s="1" t="str">
        <f t="shared" si="1416"/>
        <v>正常订单</v>
      </c>
      <c r="I4358" s="1" t="str">
        <f t="shared" si="1417"/>
        <v>已发货</v>
      </c>
      <c r="J4358" s="1" t="str">
        <f t="shared" ref="J4358:J4361" si="1418">"3"</f>
        <v>3</v>
      </c>
      <c r="K4358" s="1">
        <v>3</v>
      </c>
      <c r="L4358" s="1" t="s">
        <v>96</v>
      </c>
      <c r="M4358" s="1" t="str">
        <f>"广西壮族自治区 桂林市 阳朔县 "</f>
        <v xml:space="preserve">广西壮族自治区 桂林市 阳朔县 </v>
      </c>
      <c r="N4358" s="1" t="str">
        <f t="shared" si="1401"/>
        <v>凡华云仓-城南圆通-微信视频号</v>
      </c>
      <c r="O4358" s="5" t="s">
        <v>4388</v>
      </c>
      <c r="P4358" s="6">
        <v>0.34</v>
      </c>
      <c r="Q4358" s="11">
        <v>2.2999999999999998</v>
      </c>
      <c r="R4358" s="11"/>
      <c r="S4358" s="11"/>
      <c r="T4358" s="11"/>
      <c r="U4358" s="11">
        <f t="shared" si="1413"/>
        <v>2.2999999999999998</v>
      </c>
      <c r="W4358">
        <v>2.5</v>
      </c>
      <c r="X4358" s="1" t="s">
        <v>96</v>
      </c>
    </row>
    <row r="4359" spans="1:24" x14ac:dyDescent="0.25">
      <c r="A4359" s="1" t="str">
        <f t="shared" si="1414"/>
        <v>卡卡杜-凤凰仓</v>
      </c>
      <c r="B4359" s="1" t="str">
        <f>"CK20241022492"</f>
        <v>CK20241022492</v>
      </c>
      <c r="C4359" s="1" t="str">
        <f>"DD2024102255591"</f>
        <v>DD2024102255591</v>
      </c>
      <c r="D4359" s="1" t="str">
        <f>"CK2024102250534"</f>
        <v>CK2024102250534</v>
      </c>
      <c r="E4359" s="1" t="str">
        <f>"3723468128984106496"</f>
        <v>3723468128984106496</v>
      </c>
      <c r="F4359" s="1" t="str">
        <f t="shared" si="1415"/>
        <v>花都四部-凤凰仓</v>
      </c>
      <c r="G4359" s="1" t="str">
        <f t="shared" si="1397"/>
        <v>卡卡杜企业店（视频号）</v>
      </c>
      <c r="H4359" s="1" t="str">
        <f t="shared" si="1416"/>
        <v>正常订单</v>
      </c>
      <c r="I4359" s="1" t="str">
        <f t="shared" si="1417"/>
        <v>已发货</v>
      </c>
      <c r="J4359" s="1" t="str">
        <f t="shared" si="1418"/>
        <v>3</v>
      </c>
      <c r="K4359" s="1">
        <v>3</v>
      </c>
      <c r="L4359" s="1" t="s">
        <v>161</v>
      </c>
      <c r="M4359" s="1" t="str">
        <f>"四川省 成都市 新津区 "</f>
        <v xml:space="preserve">四川省 成都市 新津区 </v>
      </c>
      <c r="N4359" s="1" t="str">
        <f t="shared" si="1401"/>
        <v>凡华云仓-城南圆通-微信视频号</v>
      </c>
      <c r="O4359" s="5" t="s">
        <v>4389</v>
      </c>
      <c r="P4359" s="6">
        <v>0.34</v>
      </c>
      <c r="Q4359" s="11">
        <v>2.2999999999999998</v>
      </c>
      <c r="R4359" s="11"/>
      <c r="S4359" s="11"/>
      <c r="T4359" s="11"/>
      <c r="U4359" s="11">
        <f t="shared" si="1413"/>
        <v>2.2999999999999998</v>
      </c>
      <c r="W4359">
        <v>2.5</v>
      </c>
      <c r="X4359" s="1" t="s">
        <v>161</v>
      </c>
    </row>
    <row r="4360" spans="1:24" x14ac:dyDescent="0.25">
      <c r="A4360" s="1" t="str">
        <f t="shared" si="1414"/>
        <v>卡卡杜-凤凰仓</v>
      </c>
      <c r="B4360" s="1" t="str">
        <f>"CK20241022431"</f>
        <v>CK20241022431</v>
      </c>
      <c r="C4360" s="1" t="str">
        <f>"DD2024102254253"</f>
        <v>DD2024102254253</v>
      </c>
      <c r="D4360" s="1" t="str">
        <f>"CK2024102250533"</f>
        <v>CK2024102250533</v>
      </c>
      <c r="E4360" s="1" t="str">
        <f>"3723468128721438208"</f>
        <v>3723468128721438208</v>
      </c>
      <c r="F4360" s="1" t="str">
        <f t="shared" si="1415"/>
        <v>花都四部-凤凰仓</v>
      </c>
      <c r="G4360" s="1" t="str">
        <f t="shared" si="1397"/>
        <v>卡卡杜企业店（视频号）</v>
      </c>
      <c r="H4360" s="1" t="str">
        <f t="shared" si="1416"/>
        <v>正常订单</v>
      </c>
      <c r="I4360" s="1" t="str">
        <f t="shared" si="1417"/>
        <v>已发货</v>
      </c>
      <c r="J4360" s="1" t="str">
        <f t="shared" si="1418"/>
        <v>3</v>
      </c>
      <c r="K4360" s="1">
        <v>3</v>
      </c>
      <c r="L4360" s="1" t="s">
        <v>96</v>
      </c>
      <c r="M4360" s="1" t="str">
        <f>"广西壮族自治区 南宁市 青秀区 "</f>
        <v xml:space="preserve">广西壮族自治区 南宁市 青秀区 </v>
      </c>
      <c r="N4360" s="1" t="str">
        <f t="shared" si="1401"/>
        <v>凡华云仓-城南圆通-微信视频号</v>
      </c>
      <c r="O4360" s="5" t="s">
        <v>4390</v>
      </c>
      <c r="P4360" s="6">
        <v>0.34</v>
      </c>
      <c r="Q4360" s="11">
        <v>2.2999999999999998</v>
      </c>
      <c r="R4360" s="11"/>
      <c r="S4360" s="11"/>
      <c r="T4360" s="11"/>
      <c r="U4360" s="11">
        <f t="shared" si="1413"/>
        <v>2.2999999999999998</v>
      </c>
      <c r="W4360">
        <v>2.5</v>
      </c>
      <c r="X4360" s="1" t="s">
        <v>96</v>
      </c>
    </row>
    <row r="4361" spans="1:24" x14ac:dyDescent="0.25">
      <c r="A4361" s="1" t="str">
        <f t="shared" si="1414"/>
        <v>卡卡杜-凤凰仓</v>
      </c>
      <c r="B4361" s="1" t="str">
        <f>"CK20241022432"</f>
        <v>CK20241022432</v>
      </c>
      <c r="C4361" s="1" t="str">
        <f>"DD2024102254257"</f>
        <v>DD2024102254257</v>
      </c>
      <c r="D4361" s="1" t="str">
        <f>"CK2024102250532"</f>
        <v>CK2024102250532</v>
      </c>
      <c r="E4361" s="1" t="str">
        <f>"3723468107696704512"</f>
        <v>3723468107696704512</v>
      </c>
      <c r="F4361" s="1" t="str">
        <f t="shared" si="1415"/>
        <v>花都四部-凤凰仓</v>
      </c>
      <c r="G4361" s="1" t="str">
        <f t="shared" si="1397"/>
        <v>卡卡杜企业店（视频号）</v>
      </c>
      <c r="H4361" s="1" t="str">
        <f t="shared" si="1416"/>
        <v>正常订单</v>
      </c>
      <c r="I4361" s="1" t="str">
        <f t="shared" si="1417"/>
        <v>已发货</v>
      </c>
      <c r="J4361" s="1" t="str">
        <f t="shared" si="1418"/>
        <v>3</v>
      </c>
      <c r="K4361" s="1">
        <v>3</v>
      </c>
      <c r="L4361" s="1" t="s">
        <v>92</v>
      </c>
      <c r="M4361" s="1" t="str">
        <f>"辽宁省 丹东市 振安区 "</f>
        <v xml:space="preserve">辽宁省 丹东市 振安区 </v>
      </c>
      <c r="N4361" s="1" t="str">
        <f t="shared" si="1401"/>
        <v>凡华云仓-城南圆通-微信视频号</v>
      </c>
      <c r="O4361" s="5" t="s">
        <v>4391</v>
      </c>
      <c r="P4361" s="6">
        <v>0.34</v>
      </c>
      <c r="Q4361" s="11">
        <v>2.2999999999999998</v>
      </c>
      <c r="R4361" s="11"/>
      <c r="S4361" s="11"/>
      <c r="T4361" s="11"/>
      <c r="U4361" s="11">
        <f t="shared" si="1413"/>
        <v>2.2999999999999998</v>
      </c>
      <c r="W4361">
        <v>2.5</v>
      </c>
      <c r="X4361" s="1" t="s">
        <v>92</v>
      </c>
    </row>
    <row r="4362" spans="1:24" x14ac:dyDescent="0.25">
      <c r="A4362" s="1" t="str">
        <f t="shared" si="1414"/>
        <v>卡卡杜-凤凰仓</v>
      </c>
      <c r="B4362" s="1" t="str">
        <f>"CK20241022791"</f>
        <v>CK20241022791</v>
      </c>
      <c r="C4362" s="1" t="str">
        <f>"DD2024102257112"</f>
        <v>DD2024102257112</v>
      </c>
      <c r="D4362" s="1" t="str">
        <f>"CK2024102250531"</f>
        <v>CK2024102250531</v>
      </c>
      <c r="E4362" s="1" t="str">
        <f>"3723468064745459712"</f>
        <v>3723468064745459712</v>
      </c>
      <c r="F4362" s="1" t="str">
        <f t="shared" si="1415"/>
        <v>花都四部-凤凰仓</v>
      </c>
      <c r="G4362" s="1" t="str">
        <f t="shared" si="1397"/>
        <v>卡卡杜企业店（视频号）</v>
      </c>
      <c r="H4362" s="1" t="str">
        <f t="shared" si="1416"/>
        <v>正常订单</v>
      </c>
      <c r="I4362" s="1" t="str">
        <f t="shared" si="1417"/>
        <v>已发货</v>
      </c>
      <c r="J4362" s="1" t="str">
        <f t="shared" ref="J4362:J4366" si="1419">"2"</f>
        <v>2</v>
      </c>
      <c r="K4362" s="1">
        <v>2</v>
      </c>
      <c r="L4362" s="1" t="s">
        <v>18</v>
      </c>
      <c r="M4362" s="1" t="str">
        <f>"广东省 深圳市 坪山区 "</f>
        <v xml:space="preserve">广东省 深圳市 坪山区 </v>
      </c>
      <c r="N4362" s="1" t="str">
        <f t="shared" si="1401"/>
        <v>凡华云仓-城南圆通-微信视频号</v>
      </c>
      <c r="O4362" s="5" t="s">
        <v>4392</v>
      </c>
      <c r="P4362" s="6">
        <v>0.17</v>
      </c>
      <c r="Q4362" s="11">
        <v>2</v>
      </c>
      <c r="R4362" s="11"/>
      <c r="S4362" s="11"/>
      <c r="T4362" s="11"/>
      <c r="U4362" s="11">
        <f t="shared" si="1413"/>
        <v>2</v>
      </c>
      <c r="W4362">
        <v>2.2000000000000002</v>
      </c>
      <c r="X4362" s="1" t="s">
        <v>18</v>
      </c>
    </row>
    <row r="4363" spans="1:24" x14ac:dyDescent="0.25">
      <c r="A4363" s="1" t="str">
        <f t="shared" si="1414"/>
        <v>卡卡杜-凤凰仓</v>
      </c>
      <c r="B4363" s="1" t="str">
        <f>"CK20241022800"</f>
        <v>CK20241022800</v>
      </c>
      <c r="C4363" s="1" t="str">
        <f>"DD2024102257141"</f>
        <v>DD2024102257141</v>
      </c>
      <c r="D4363" s="1" t="str">
        <f>"CK2024102250530"</f>
        <v>CK2024102250530</v>
      </c>
      <c r="E4363" s="1" t="str">
        <f>"3723468035393721344"</f>
        <v>3723468035393721344</v>
      </c>
      <c r="F4363" s="1" t="str">
        <f t="shared" si="1415"/>
        <v>花都四部-凤凰仓</v>
      </c>
      <c r="G4363" s="1" t="str">
        <f t="shared" si="1397"/>
        <v>卡卡杜企业店（视频号）</v>
      </c>
      <c r="H4363" s="1" t="str">
        <f t="shared" si="1416"/>
        <v>正常订单</v>
      </c>
      <c r="I4363" s="1" t="str">
        <f t="shared" si="1417"/>
        <v>已发货</v>
      </c>
      <c r="J4363" s="1" t="str">
        <f t="shared" si="1419"/>
        <v>2</v>
      </c>
      <c r="K4363" s="1">
        <v>2</v>
      </c>
      <c r="L4363" s="1" t="s">
        <v>32</v>
      </c>
      <c r="M4363" s="1" t="str">
        <f>"陕西省 咸阳市 秦都区 "</f>
        <v xml:space="preserve">陕西省 咸阳市 秦都区 </v>
      </c>
      <c r="N4363" s="1" t="str">
        <f t="shared" si="1401"/>
        <v>凡华云仓-城南圆通-微信视频号</v>
      </c>
      <c r="O4363" s="5" t="s">
        <v>4393</v>
      </c>
      <c r="P4363" s="6">
        <v>0.17</v>
      </c>
      <c r="Q4363" s="11">
        <v>2</v>
      </c>
      <c r="R4363" s="11"/>
      <c r="S4363" s="11"/>
      <c r="T4363" s="11"/>
      <c r="U4363" s="11">
        <f t="shared" si="1413"/>
        <v>2</v>
      </c>
      <c r="W4363">
        <v>2.2000000000000002</v>
      </c>
      <c r="X4363" s="1" t="s">
        <v>32</v>
      </c>
    </row>
    <row r="4364" spans="1:24" x14ac:dyDescent="0.25">
      <c r="A4364" s="1" t="str">
        <f t="shared" si="1414"/>
        <v>卡卡杜-凤凰仓</v>
      </c>
      <c r="B4364" s="1" t="str">
        <f>"CK20241022869"</f>
        <v>CK20241022869</v>
      </c>
      <c r="C4364" s="1" t="str">
        <f>"DD2024102257375"</f>
        <v>DD2024102257375</v>
      </c>
      <c r="D4364" s="1" t="str">
        <f>"CK2024102250529"</f>
        <v>CK2024102250529</v>
      </c>
      <c r="E4364" s="1" t="str">
        <f>"3723467958908225024"</f>
        <v>3723467958908225024</v>
      </c>
      <c r="F4364" s="1" t="str">
        <f t="shared" si="1415"/>
        <v>花都四部-凤凰仓</v>
      </c>
      <c r="G4364" s="1" t="str">
        <f t="shared" si="1397"/>
        <v>卡卡杜企业店（视频号）</v>
      </c>
      <c r="H4364" s="1" t="str">
        <f t="shared" si="1416"/>
        <v>正常订单</v>
      </c>
      <c r="I4364" s="1" t="str">
        <f t="shared" si="1417"/>
        <v>已发货</v>
      </c>
      <c r="J4364" s="1" t="str">
        <f t="shared" ref="J4364:J4369" si="1420">"3"</f>
        <v>3</v>
      </c>
      <c r="K4364" s="1">
        <v>2</v>
      </c>
      <c r="L4364" s="1" t="s">
        <v>47</v>
      </c>
      <c r="M4364" s="1" t="str">
        <f>"重庆 重庆市 沙坪坝区 "</f>
        <v xml:space="preserve">重庆 重庆市 沙坪坝区 </v>
      </c>
      <c r="N4364" s="1" t="str">
        <f t="shared" si="1401"/>
        <v>凡华云仓-城南圆通-微信视频号</v>
      </c>
      <c r="O4364" s="5" t="s">
        <v>4394</v>
      </c>
      <c r="P4364" s="6">
        <v>0.24</v>
      </c>
      <c r="Q4364" s="11">
        <v>2</v>
      </c>
      <c r="R4364" s="11"/>
      <c r="S4364" s="11"/>
      <c r="T4364" s="11"/>
      <c r="U4364" s="11">
        <f t="shared" si="1413"/>
        <v>2</v>
      </c>
      <c r="W4364">
        <v>2.2000000000000002</v>
      </c>
      <c r="X4364" s="1" t="s">
        <v>47</v>
      </c>
    </row>
    <row r="4365" spans="1:24" x14ac:dyDescent="0.25">
      <c r="A4365" s="1" t="str">
        <f t="shared" si="1414"/>
        <v>卡卡杜-凤凰仓</v>
      </c>
      <c r="B4365" s="1" t="str">
        <f>"CK20241022794"</f>
        <v>CK20241022794</v>
      </c>
      <c r="C4365" s="1" t="str">
        <f>"DD2024102257123"</f>
        <v>DD2024102257123</v>
      </c>
      <c r="D4365" s="1" t="str">
        <f>"CK2024102250528"</f>
        <v>CK2024102250528</v>
      </c>
      <c r="E4365" s="1" t="str">
        <f>"3723467983648851456"</f>
        <v>3723467983648851456</v>
      </c>
      <c r="F4365" s="1" t="str">
        <f t="shared" si="1415"/>
        <v>花都四部-凤凰仓</v>
      </c>
      <c r="G4365" s="1" t="str">
        <f t="shared" si="1397"/>
        <v>卡卡杜企业店（视频号）</v>
      </c>
      <c r="H4365" s="1" t="str">
        <f t="shared" si="1416"/>
        <v>正常订单</v>
      </c>
      <c r="I4365" s="1" t="str">
        <f t="shared" si="1417"/>
        <v>已发货</v>
      </c>
      <c r="J4365" s="1" t="str">
        <f t="shared" si="1419"/>
        <v>2</v>
      </c>
      <c r="K4365" s="1">
        <v>2</v>
      </c>
      <c r="L4365" s="1" t="s">
        <v>47</v>
      </c>
      <c r="M4365" s="1" t="str">
        <f>"重庆 重庆市 巴南区 "</f>
        <v xml:space="preserve">重庆 重庆市 巴南区 </v>
      </c>
      <c r="N4365" s="1" t="str">
        <f t="shared" si="1401"/>
        <v>凡华云仓-城南圆通-微信视频号</v>
      </c>
      <c r="O4365" s="5" t="s">
        <v>4395</v>
      </c>
      <c r="P4365" s="6">
        <v>0.17</v>
      </c>
      <c r="Q4365" s="11">
        <v>2</v>
      </c>
      <c r="R4365" s="11"/>
      <c r="S4365" s="11"/>
      <c r="T4365" s="11"/>
      <c r="U4365" s="11">
        <f t="shared" si="1413"/>
        <v>2</v>
      </c>
      <c r="W4365">
        <v>2.2000000000000002</v>
      </c>
      <c r="X4365" s="1" t="s">
        <v>47</v>
      </c>
    </row>
    <row r="4366" spans="1:24" x14ac:dyDescent="0.25">
      <c r="A4366" s="1" t="str">
        <f t="shared" si="1414"/>
        <v>卡卡杜-凤凰仓</v>
      </c>
      <c r="B4366" s="1" t="str">
        <f>"CK20241022709"</f>
        <v>CK20241022709</v>
      </c>
      <c r="C4366" s="1" t="str">
        <f>"DD2024102257012"</f>
        <v>DD2024102257012</v>
      </c>
      <c r="D4366" s="1" t="str">
        <f>"CK2024102250527"</f>
        <v>CK2024102250527</v>
      </c>
      <c r="E4366" s="1" t="str">
        <f>"3723467965964095488"</f>
        <v>3723467965964095488</v>
      </c>
      <c r="F4366" s="1" t="str">
        <f t="shared" si="1415"/>
        <v>花都四部-凤凰仓</v>
      </c>
      <c r="G4366" s="1" t="str">
        <f t="shared" ref="G4366:G4429" si="1421">"卡卡杜企业店（视频号）"</f>
        <v>卡卡杜企业店（视频号）</v>
      </c>
      <c r="H4366" s="1" t="str">
        <f t="shared" si="1416"/>
        <v>正常订单</v>
      </c>
      <c r="I4366" s="1" t="str">
        <f t="shared" si="1417"/>
        <v>已发货</v>
      </c>
      <c r="J4366" s="1" t="str">
        <f t="shared" si="1419"/>
        <v>2</v>
      </c>
      <c r="K4366" s="1">
        <v>2</v>
      </c>
      <c r="L4366" s="1" t="s">
        <v>24</v>
      </c>
      <c r="M4366" s="1" t="str">
        <f>"福建省 厦门市 湖里区 "</f>
        <v xml:space="preserve">福建省 厦门市 湖里区 </v>
      </c>
      <c r="N4366" s="1" t="str">
        <f t="shared" si="1401"/>
        <v>凡华云仓-城南圆通-微信视频号</v>
      </c>
      <c r="O4366" s="5" t="s">
        <v>4396</v>
      </c>
      <c r="P4366" s="6">
        <v>0.17</v>
      </c>
      <c r="Q4366" s="11">
        <v>2</v>
      </c>
      <c r="R4366" s="11"/>
      <c r="S4366" s="11"/>
      <c r="T4366" s="11"/>
      <c r="U4366" s="11">
        <f t="shared" si="1413"/>
        <v>2</v>
      </c>
      <c r="W4366">
        <v>2.2000000000000002</v>
      </c>
      <c r="X4366" s="1" t="s">
        <v>24</v>
      </c>
    </row>
    <row r="4367" spans="1:24" x14ac:dyDescent="0.25">
      <c r="A4367" s="1" t="str">
        <f t="shared" si="1414"/>
        <v>卡卡杜-凤凰仓</v>
      </c>
      <c r="B4367" s="1" t="str">
        <f>"CK20241022868"</f>
        <v>CK20241022868</v>
      </c>
      <c r="C4367" s="1" t="str">
        <f>"DD2024102257374"</f>
        <v>DD2024102257374</v>
      </c>
      <c r="D4367" s="1" t="str">
        <f>"CK2024102250526"</f>
        <v>CK2024102250526</v>
      </c>
      <c r="E4367" s="1" t="str">
        <f>"3723467946766763264"</f>
        <v>3723467946766763264</v>
      </c>
      <c r="F4367" s="1" t="str">
        <f t="shared" si="1415"/>
        <v>花都四部-凤凰仓</v>
      </c>
      <c r="G4367" s="1" t="str">
        <f t="shared" si="1421"/>
        <v>卡卡杜企业店（视频号）</v>
      </c>
      <c r="H4367" s="1" t="str">
        <f t="shared" si="1416"/>
        <v>正常订单</v>
      </c>
      <c r="I4367" s="1" t="str">
        <f t="shared" si="1417"/>
        <v>已发货</v>
      </c>
      <c r="J4367" s="1" t="str">
        <f t="shared" si="1420"/>
        <v>3</v>
      </c>
      <c r="K4367" s="1">
        <v>2</v>
      </c>
      <c r="L4367" s="1" t="s">
        <v>66</v>
      </c>
      <c r="M4367" s="1" t="str">
        <f>"内蒙古自治区 赤峰市 红山区 "</f>
        <v xml:space="preserve">内蒙古自治区 赤峰市 红山区 </v>
      </c>
      <c r="N4367" s="1" t="str">
        <f t="shared" si="1401"/>
        <v>凡华云仓-城南圆通-微信视频号</v>
      </c>
      <c r="O4367" s="5" t="s">
        <v>4397</v>
      </c>
      <c r="P4367" s="6">
        <v>0.24</v>
      </c>
      <c r="Q4367" s="11">
        <v>2</v>
      </c>
      <c r="R4367" s="11"/>
      <c r="S4367" s="11"/>
      <c r="T4367" s="11"/>
      <c r="U4367" s="11">
        <f t="shared" si="1413"/>
        <v>2</v>
      </c>
      <c r="W4367">
        <v>2.2000000000000002</v>
      </c>
      <c r="X4367" s="1" t="s">
        <v>66</v>
      </c>
    </row>
    <row r="4368" spans="1:24" x14ac:dyDescent="0.25">
      <c r="A4368" s="1" t="str">
        <f t="shared" si="1414"/>
        <v>卡卡杜-凤凰仓</v>
      </c>
      <c r="B4368" s="1" t="str">
        <f>"CK20241022749"</f>
        <v>CK20241022749</v>
      </c>
      <c r="C4368" s="1" t="str">
        <f>"DD2024102257052"</f>
        <v>DD2024102257052</v>
      </c>
      <c r="D4368" s="1" t="str">
        <f>"CK2024102250525"</f>
        <v>CK2024102250525</v>
      </c>
      <c r="E4368" s="1" t="str">
        <f>"3723467952868427264"</f>
        <v>3723467952868427264</v>
      </c>
      <c r="F4368" s="1" t="str">
        <f t="shared" si="1415"/>
        <v>花都四部-凤凰仓</v>
      </c>
      <c r="G4368" s="1" t="str">
        <f t="shared" si="1421"/>
        <v>卡卡杜企业店（视频号）</v>
      </c>
      <c r="H4368" s="1" t="str">
        <f t="shared" si="1416"/>
        <v>正常订单</v>
      </c>
      <c r="I4368" s="1" t="str">
        <f t="shared" si="1417"/>
        <v>已发货</v>
      </c>
      <c r="J4368" s="1" t="str">
        <f t="shared" si="1420"/>
        <v>3</v>
      </c>
      <c r="K4368" s="1">
        <v>2</v>
      </c>
      <c r="L4368" s="1" t="s">
        <v>18</v>
      </c>
      <c r="M4368" s="1" t="str">
        <f>"广东省 深圳市 罗湖区 "</f>
        <v xml:space="preserve">广东省 深圳市 罗湖区 </v>
      </c>
      <c r="N4368" s="1" t="str">
        <f t="shared" si="1401"/>
        <v>凡华云仓-城南圆通-微信视频号</v>
      </c>
      <c r="O4368" s="5" t="s">
        <v>4398</v>
      </c>
      <c r="P4368" s="6">
        <v>0.24</v>
      </c>
      <c r="Q4368" s="11">
        <v>2</v>
      </c>
      <c r="R4368" s="11"/>
      <c r="S4368" s="11"/>
      <c r="T4368" s="11"/>
      <c r="U4368" s="11">
        <f t="shared" si="1413"/>
        <v>2</v>
      </c>
      <c r="W4368">
        <v>2.2000000000000002</v>
      </c>
      <c r="X4368" s="1" t="s">
        <v>18</v>
      </c>
    </row>
    <row r="4369" spans="1:24" x14ac:dyDescent="0.25">
      <c r="A4369" s="1" t="str">
        <f t="shared" si="1414"/>
        <v>卡卡杜-凤凰仓</v>
      </c>
      <c r="B4369" s="1" t="str">
        <f>"CK20241022695"</f>
        <v>CK20241022695</v>
      </c>
      <c r="C4369" s="1" t="str">
        <f>"DD2024102256999"</f>
        <v>DD2024102256999</v>
      </c>
      <c r="D4369" s="1" t="str">
        <f>"CK2024102250524"</f>
        <v>CK2024102250524</v>
      </c>
      <c r="E4369" s="1" t="str">
        <f>"3723467946068936192"</f>
        <v>3723467946068936192</v>
      </c>
      <c r="F4369" s="1" t="str">
        <f t="shared" si="1415"/>
        <v>花都四部-凤凰仓</v>
      </c>
      <c r="G4369" s="1" t="str">
        <f t="shared" si="1421"/>
        <v>卡卡杜企业店（视频号）</v>
      </c>
      <c r="H4369" s="1" t="str">
        <f t="shared" si="1416"/>
        <v>正常订单</v>
      </c>
      <c r="I4369" s="1" t="str">
        <f t="shared" si="1417"/>
        <v>已发货</v>
      </c>
      <c r="J4369" s="1" t="str">
        <f t="shared" si="1420"/>
        <v>3</v>
      </c>
      <c r="K4369" s="1">
        <v>2</v>
      </c>
      <c r="L4369" s="1" t="s">
        <v>80</v>
      </c>
      <c r="M4369" s="1" t="str">
        <f>"河南省 郑州市 金水区 "</f>
        <v xml:space="preserve">河南省 郑州市 金水区 </v>
      </c>
      <c r="N4369" s="1" t="str">
        <f t="shared" si="1401"/>
        <v>凡华云仓-城南圆通-微信视频号</v>
      </c>
      <c r="O4369" s="5" t="s">
        <v>4399</v>
      </c>
      <c r="P4369" s="6">
        <v>0.24</v>
      </c>
      <c r="Q4369" s="11">
        <v>2</v>
      </c>
      <c r="R4369" s="11"/>
      <c r="S4369" s="11"/>
      <c r="T4369" s="11"/>
      <c r="U4369" s="11">
        <f t="shared" si="1413"/>
        <v>2</v>
      </c>
      <c r="W4369">
        <v>2.2000000000000002</v>
      </c>
      <c r="X4369" s="1" t="s">
        <v>80</v>
      </c>
    </row>
    <row r="4370" spans="1:24" x14ac:dyDescent="0.25">
      <c r="A4370" s="1" t="str">
        <f t="shared" si="1414"/>
        <v>卡卡杜-凤凰仓</v>
      </c>
      <c r="B4370" s="1" t="str">
        <f>"CK20241022792"</f>
        <v>CK20241022792</v>
      </c>
      <c r="C4370" s="1" t="str">
        <f>"DD2024102257119"</f>
        <v>DD2024102257119</v>
      </c>
      <c r="D4370" s="1" t="str">
        <f>"CK2024102250523"</f>
        <v>CK2024102250523</v>
      </c>
      <c r="E4370" s="1" t="str">
        <f>"3723467945370322432"</f>
        <v>3723467945370322432</v>
      </c>
      <c r="F4370" s="1" t="str">
        <f t="shared" si="1415"/>
        <v>花都四部-凤凰仓</v>
      </c>
      <c r="G4370" s="1" t="str">
        <f t="shared" si="1421"/>
        <v>卡卡杜企业店（视频号）</v>
      </c>
      <c r="H4370" s="1" t="str">
        <f t="shared" si="1416"/>
        <v>正常订单</v>
      </c>
      <c r="I4370" s="1" t="str">
        <f t="shared" si="1417"/>
        <v>已发货</v>
      </c>
      <c r="J4370" s="1" t="str">
        <f t="shared" ref="J4370:J4374" si="1422">"2"</f>
        <v>2</v>
      </c>
      <c r="K4370" s="1">
        <v>2</v>
      </c>
      <c r="L4370" s="1" t="s">
        <v>60</v>
      </c>
      <c r="M4370" s="1" t="str">
        <f>"云南省 昆明市 富民县 "</f>
        <v xml:space="preserve">云南省 昆明市 富民县 </v>
      </c>
      <c r="N4370" s="1" t="str">
        <f t="shared" si="1401"/>
        <v>凡华云仓-城南圆通-微信视频号</v>
      </c>
      <c r="O4370" s="5" t="s">
        <v>4400</v>
      </c>
      <c r="P4370" s="6">
        <v>0.17</v>
      </c>
      <c r="Q4370" s="11">
        <v>2</v>
      </c>
      <c r="R4370" s="11"/>
      <c r="S4370" s="11"/>
      <c r="T4370" s="11"/>
      <c r="U4370" s="11">
        <f t="shared" si="1413"/>
        <v>2</v>
      </c>
      <c r="W4370">
        <v>2.2000000000000002</v>
      </c>
      <c r="X4370" s="1" t="s">
        <v>60</v>
      </c>
    </row>
    <row r="4371" spans="1:24" x14ac:dyDescent="0.25">
      <c r="A4371" s="1" t="str">
        <f t="shared" si="1414"/>
        <v>卡卡杜-凤凰仓</v>
      </c>
      <c r="B4371" s="1" t="str">
        <f>"CK20241022944"</f>
        <v>CK20241022944</v>
      </c>
      <c r="C4371" s="1" t="str">
        <f>"DD2024102257669"</f>
        <v>DD2024102257669</v>
      </c>
      <c r="D4371" s="1" t="str">
        <f>"CK2024102250522"</f>
        <v>CK2024102250522</v>
      </c>
      <c r="E4371" s="1" t="str">
        <f>"3723467946255059968"</f>
        <v>3723467946255059968</v>
      </c>
      <c r="F4371" s="1" t="str">
        <f t="shared" si="1415"/>
        <v>花都四部-凤凰仓</v>
      </c>
      <c r="G4371" s="1" t="str">
        <f t="shared" si="1421"/>
        <v>卡卡杜企业店（视频号）</v>
      </c>
      <c r="H4371" s="1" t="str">
        <f t="shared" si="1416"/>
        <v>正常订单</v>
      </c>
      <c r="I4371" s="1" t="str">
        <f t="shared" si="1417"/>
        <v>已发货</v>
      </c>
      <c r="J4371" s="1" t="str">
        <f t="shared" si="1422"/>
        <v>2</v>
      </c>
      <c r="K4371" s="1">
        <v>2</v>
      </c>
      <c r="L4371" s="1" t="s">
        <v>47</v>
      </c>
      <c r="M4371" s="1" t="str">
        <f>"重庆 重庆市 万州区 "</f>
        <v xml:space="preserve">重庆 重庆市 万州区 </v>
      </c>
      <c r="N4371" s="1" t="str">
        <f t="shared" si="1401"/>
        <v>凡华云仓-城南圆通-微信视频号</v>
      </c>
      <c r="O4371" s="5" t="s">
        <v>4401</v>
      </c>
      <c r="P4371" s="6">
        <v>0.17</v>
      </c>
      <c r="Q4371" s="11">
        <v>2</v>
      </c>
      <c r="R4371" s="11"/>
      <c r="S4371" s="11"/>
      <c r="T4371" s="11"/>
      <c r="U4371" s="11">
        <f t="shared" si="1413"/>
        <v>2</v>
      </c>
      <c r="W4371">
        <v>2.2000000000000002</v>
      </c>
      <c r="X4371" s="1" t="s">
        <v>47</v>
      </c>
    </row>
    <row r="4372" spans="1:24" x14ac:dyDescent="0.25">
      <c r="A4372" s="1" t="str">
        <f t="shared" si="1414"/>
        <v>卡卡杜-凤凰仓</v>
      </c>
      <c r="B4372" s="1" t="str">
        <f>"CK20241022864"</f>
        <v>CK20241022864</v>
      </c>
      <c r="C4372" s="1" t="str">
        <f>"DD2024102257365"</f>
        <v>DD2024102257365</v>
      </c>
      <c r="D4372" s="1" t="str">
        <f>"CK2024102250521"</f>
        <v>CK2024102250521</v>
      </c>
      <c r="E4372" s="1" t="str">
        <f>"3723467943869287424"</f>
        <v>3723467943869287424</v>
      </c>
      <c r="F4372" s="1" t="str">
        <f t="shared" si="1415"/>
        <v>花都四部-凤凰仓</v>
      </c>
      <c r="G4372" s="1" t="str">
        <f t="shared" si="1421"/>
        <v>卡卡杜企业店（视频号）</v>
      </c>
      <c r="H4372" s="1" t="str">
        <f t="shared" si="1416"/>
        <v>正常订单</v>
      </c>
      <c r="I4372" s="1" t="str">
        <f t="shared" si="1417"/>
        <v>已发货</v>
      </c>
      <c r="J4372" s="1" t="str">
        <f>"3"</f>
        <v>3</v>
      </c>
      <c r="K4372" s="1">
        <v>2</v>
      </c>
      <c r="L4372" s="1" t="s">
        <v>13</v>
      </c>
      <c r="M4372" s="1" t="str">
        <f>"江苏省 苏州市 昆山市 "</f>
        <v xml:space="preserve">江苏省 苏州市 昆山市 </v>
      </c>
      <c r="N4372" s="1" t="str">
        <f t="shared" si="1401"/>
        <v>凡华云仓-城南圆通-微信视频号</v>
      </c>
      <c r="O4372" s="5" t="s">
        <v>4402</v>
      </c>
      <c r="P4372" s="6">
        <v>0.24</v>
      </c>
      <c r="Q4372" s="11">
        <v>2</v>
      </c>
      <c r="R4372" s="11"/>
      <c r="S4372" s="11"/>
      <c r="T4372" s="11"/>
      <c r="U4372" s="11">
        <f t="shared" si="1413"/>
        <v>2</v>
      </c>
      <c r="W4372">
        <v>2.2000000000000002</v>
      </c>
      <c r="X4372" s="1" t="s">
        <v>13</v>
      </c>
    </row>
    <row r="4373" spans="1:24" x14ac:dyDescent="0.25">
      <c r="A4373" s="1" t="str">
        <f t="shared" si="1414"/>
        <v>卡卡杜-凤凰仓</v>
      </c>
      <c r="B4373" s="1" t="str">
        <f>"CK20241022838"</f>
        <v>CK20241022838</v>
      </c>
      <c r="C4373" s="1" t="str">
        <f>"DD2024102257267"</f>
        <v>DD2024102257267</v>
      </c>
      <c r="D4373" s="1" t="str">
        <f>"CK2024102250520"</f>
        <v>CK2024102250520</v>
      </c>
      <c r="E4373" s="1" t="str">
        <f>"3723467939562262529"</f>
        <v>3723467939562262529</v>
      </c>
      <c r="F4373" s="1" t="str">
        <f t="shared" si="1415"/>
        <v>花都四部-凤凰仓</v>
      </c>
      <c r="G4373" s="1" t="str">
        <f t="shared" si="1421"/>
        <v>卡卡杜企业店（视频号）</v>
      </c>
      <c r="H4373" s="1" t="str">
        <f t="shared" si="1416"/>
        <v>正常订单</v>
      </c>
      <c r="I4373" s="1" t="str">
        <f t="shared" si="1417"/>
        <v>已发货</v>
      </c>
      <c r="J4373" s="1" t="str">
        <f t="shared" si="1422"/>
        <v>2</v>
      </c>
      <c r="K4373" s="1">
        <v>2</v>
      </c>
      <c r="L4373" s="1" t="s">
        <v>18</v>
      </c>
      <c r="M4373" s="1" t="str">
        <f>"广东省 湛江市 赤坎区 "</f>
        <v xml:space="preserve">广东省 湛江市 赤坎区 </v>
      </c>
      <c r="N4373" s="1" t="str">
        <f t="shared" si="1401"/>
        <v>凡华云仓-城南圆通-微信视频号</v>
      </c>
      <c r="O4373" s="5" t="s">
        <v>4403</v>
      </c>
      <c r="P4373" s="6">
        <v>0.17</v>
      </c>
      <c r="Q4373" s="11">
        <v>2</v>
      </c>
      <c r="R4373" s="11"/>
      <c r="S4373" s="11"/>
      <c r="T4373" s="11"/>
      <c r="U4373" s="11">
        <f t="shared" si="1413"/>
        <v>2</v>
      </c>
      <c r="W4373">
        <v>2.2000000000000002</v>
      </c>
      <c r="X4373" s="1" t="s">
        <v>18</v>
      </c>
    </row>
    <row r="4374" spans="1:24" x14ac:dyDescent="0.25">
      <c r="A4374" s="1" t="str">
        <f t="shared" si="1414"/>
        <v>卡卡杜-凤凰仓</v>
      </c>
      <c r="B4374" s="1" t="str">
        <f>"CK20241022953"</f>
        <v>CK20241022953</v>
      </c>
      <c r="C4374" s="1" t="str">
        <f>"DD2024102257690"</f>
        <v>DD2024102257690</v>
      </c>
      <c r="D4374" s="1" t="str">
        <f>"CK2024102250519"</f>
        <v>CK2024102250519</v>
      </c>
      <c r="E4374" s="1" t="str">
        <f>"3723467942872617985"</f>
        <v>3723467942872617985</v>
      </c>
      <c r="F4374" s="1" t="str">
        <f t="shared" si="1415"/>
        <v>花都四部-凤凰仓</v>
      </c>
      <c r="G4374" s="1" t="str">
        <f t="shared" si="1421"/>
        <v>卡卡杜企业店（视频号）</v>
      </c>
      <c r="H4374" s="1" t="str">
        <f t="shared" si="1416"/>
        <v>正常订单</v>
      </c>
      <c r="I4374" s="1" t="str">
        <f t="shared" si="1417"/>
        <v>已发货</v>
      </c>
      <c r="J4374" s="1" t="str">
        <f t="shared" si="1422"/>
        <v>2</v>
      </c>
      <c r="K4374" s="1">
        <v>2</v>
      </c>
      <c r="L4374" s="1" t="s">
        <v>44</v>
      </c>
      <c r="M4374" s="1" t="str">
        <f>"海南省 海口市 龙华区 "</f>
        <v xml:space="preserve">海南省 海口市 龙华区 </v>
      </c>
      <c r="N4374" s="1" t="str">
        <f t="shared" si="1401"/>
        <v>凡华云仓-城南圆通-微信视频号</v>
      </c>
      <c r="O4374" s="5" t="s">
        <v>4404</v>
      </c>
      <c r="P4374" s="6">
        <v>0.17</v>
      </c>
      <c r="Q4374" s="11">
        <v>2</v>
      </c>
      <c r="R4374" s="11"/>
      <c r="S4374" s="11"/>
      <c r="T4374" s="11"/>
      <c r="U4374" s="11">
        <f t="shared" si="1413"/>
        <v>2</v>
      </c>
      <c r="W4374">
        <v>2.2000000000000002</v>
      </c>
      <c r="X4374" s="1" t="s">
        <v>44</v>
      </c>
    </row>
    <row r="4375" spans="1:24" x14ac:dyDescent="0.25">
      <c r="A4375" s="1" t="str">
        <f t="shared" si="1414"/>
        <v>卡卡杜-凤凰仓</v>
      </c>
      <c r="B4375" s="1" t="str">
        <f>"CK20241022865"</f>
        <v>CK20241022865</v>
      </c>
      <c r="C4375" s="1" t="str">
        <f>"DD2024102257359"</f>
        <v>DD2024102257359</v>
      </c>
      <c r="D4375" s="1" t="str">
        <f>"CK2024102250518"</f>
        <v>CK2024102250518</v>
      </c>
      <c r="E4375" s="1" t="str">
        <f>"3723467939796092416"</f>
        <v>3723467939796092416</v>
      </c>
      <c r="F4375" s="1" t="str">
        <f t="shared" si="1415"/>
        <v>花都四部-凤凰仓</v>
      </c>
      <c r="G4375" s="1" t="str">
        <f t="shared" si="1421"/>
        <v>卡卡杜企业店（视频号）</v>
      </c>
      <c r="H4375" s="1" t="str">
        <f t="shared" si="1416"/>
        <v>正常订单</v>
      </c>
      <c r="I4375" s="1" t="str">
        <f t="shared" si="1417"/>
        <v>已发货</v>
      </c>
      <c r="J4375" s="1" t="str">
        <f t="shared" ref="J4375:J4382" si="1423">"3"</f>
        <v>3</v>
      </c>
      <c r="K4375" s="1">
        <v>2</v>
      </c>
      <c r="L4375" s="1" t="s">
        <v>41</v>
      </c>
      <c r="M4375" s="1" t="str">
        <f>"湖北省 武汉市 洪山区 "</f>
        <v xml:space="preserve">湖北省 武汉市 洪山区 </v>
      </c>
      <c r="N4375" s="1" t="str">
        <f t="shared" si="1401"/>
        <v>凡华云仓-城南圆通-微信视频号</v>
      </c>
      <c r="O4375" s="5" t="s">
        <v>4405</v>
      </c>
      <c r="P4375" s="6">
        <v>0.24</v>
      </c>
      <c r="Q4375" s="11">
        <v>2</v>
      </c>
      <c r="R4375" s="11"/>
      <c r="S4375" s="11"/>
      <c r="T4375" s="11"/>
      <c r="U4375" s="11">
        <f t="shared" si="1413"/>
        <v>2</v>
      </c>
      <c r="W4375">
        <v>2.2000000000000002</v>
      </c>
      <c r="X4375" s="1" t="s">
        <v>41</v>
      </c>
    </row>
    <row r="4376" spans="1:24" x14ac:dyDescent="0.25">
      <c r="A4376" s="1" t="str">
        <f t="shared" si="1414"/>
        <v>卡卡杜-凤凰仓</v>
      </c>
      <c r="B4376" s="1" t="str">
        <f>"CK20241022768"</f>
        <v>CK20241022768</v>
      </c>
      <c r="C4376" s="1" t="str">
        <f>"DD2024102257071"</f>
        <v>DD2024102257071</v>
      </c>
      <c r="D4376" s="1" t="str">
        <f>"CK2024102250517"</f>
        <v>CK2024102250517</v>
      </c>
      <c r="E4376" s="1" t="str">
        <f>"3723467940885038336"</f>
        <v>3723467940885038336</v>
      </c>
      <c r="F4376" s="1" t="str">
        <f t="shared" si="1415"/>
        <v>花都四部-凤凰仓</v>
      </c>
      <c r="G4376" s="1" t="str">
        <f t="shared" si="1421"/>
        <v>卡卡杜企业店（视频号）</v>
      </c>
      <c r="H4376" s="1" t="str">
        <f t="shared" si="1416"/>
        <v>正常订单</v>
      </c>
      <c r="I4376" s="1" t="str">
        <f t="shared" si="1417"/>
        <v>已发货</v>
      </c>
      <c r="J4376" s="1" t="str">
        <f t="shared" ref="J4376:J4378" si="1424">"2"</f>
        <v>2</v>
      </c>
      <c r="K4376" s="1">
        <v>2</v>
      </c>
      <c r="L4376" s="1" t="s">
        <v>13</v>
      </c>
      <c r="M4376" s="1" t="str">
        <f>"江苏省 南京市 秦淮区 "</f>
        <v xml:space="preserve">江苏省 南京市 秦淮区 </v>
      </c>
      <c r="N4376" s="1" t="str">
        <f t="shared" si="1401"/>
        <v>凡华云仓-城南圆通-微信视频号</v>
      </c>
      <c r="O4376" s="5" t="s">
        <v>4406</v>
      </c>
      <c r="P4376" s="6">
        <v>0.17</v>
      </c>
      <c r="Q4376" s="11">
        <v>2</v>
      </c>
      <c r="R4376" s="11"/>
      <c r="S4376" s="11"/>
      <c r="T4376" s="11"/>
      <c r="U4376" s="11">
        <f t="shared" si="1413"/>
        <v>2</v>
      </c>
      <c r="W4376">
        <v>2.2000000000000002</v>
      </c>
      <c r="X4376" s="1" t="s">
        <v>13</v>
      </c>
    </row>
    <row r="4377" spans="1:24" x14ac:dyDescent="0.25">
      <c r="A4377" s="1" t="str">
        <f t="shared" si="1414"/>
        <v>卡卡杜-凤凰仓</v>
      </c>
      <c r="B4377" s="1" t="str">
        <f>"CK20241022812"</f>
        <v>CK20241022812</v>
      </c>
      <c r="C4377" s="1" t="str">
        <f>"DD2024102257177"</f>
        <v>DD2024102257177</v>
      </c>
      <c r="D4377" s="1" t="str">
        <f>"CK2024102250516"</f>
        <v>CK2024102250516</v>
      </c>
      <c r="E4377" s="1" t="str">
        <f>"3723467938188625408"</f>
        <v>3723467938188625408</v>
      </c>
      <c r="F4377" s="1" t="str">
        <f t="shared" si="1415"/>
        <v>花都四部-凤凰仓</v>
      </c>
      <c r="G4377" s="1" t="str">
        <f t="shared" si="1421"/>
        <v>卡卡杜企业店（视频号）</v>
      </c>
      <c r="H4377" s="1" t="str">
        <f t="shared" si="1416"/>
        <v>正常订单</v>
      </c>
      <c r="I4377" s="1" t="str">
        <f t="shared" si="1417"/>
        <v>已发货</v>
      </c>
      <c r="J4377" s="1" t="str">
        <f t="shared" si="1424"/>
        <v>2</v>
      </c>
      <c r="K4377" s="1">
        <v>2</v>
      </c>
      <c r="L4377" s="1" t="s">
        <v>74</v>
      </c>
      <c r="M4377" s="1" t="str">
        <f>"上海 上海市 静安区 "</f>
        <v xml:space="preserve">上海 上海市 静安区 </v>
      </c>
      <c r="N4377" s="1" t="str">
        <f t="shared" ref="N4377:N4440" si="1425">"凡华云仓-城南圆通-微信视频号"</f>
        <v>凡华云仓-城南圆通-微信视频号</v>
      </c>
      <c r="O4377" s="5" t="s">
        <v>4407</v>
      </c>
      <c r="P4377" s="6">
        <v>0.17</v>
      </c>
      <c r="Q4377" s="11">
        <v>2</v>
      </c>
      <c r="R4377" s="11"/>
      <c r="S4377" s="11"/>
      <c r="T4377" s="11"/>
      <c r="U4377" s="11">
        <f t="shared" si="1413"/>
        <v>2</v>
      </c>
      <c r="W4377">
        <v>2.2000000000000002</v>
      </c>
      <c r="X4377" s="1" t="s">
        <v>74</v>
      </c>
    </row>
    <row r="4378" spans="1:24" x14ac:dyDescent="0.25">
      <c r="A4378" s="1" t="str">
        <f t="shared" si="1414"/>
        <v>卡卡杜-凤凰仓</v>
      </c>
      <c r="B4378" s="1" t="str">
        <f>"CK20241022947"</f>
        <v>CK20241022947</v>
      </c>
      <c r="C4378" s="1" t="str">
        <f>"DD2024102257675"</f>
        <v>DD2024102257675</v>
      </c>
      <c r="D4378" s="1" t="str">
        <f>"CK2024102250515"</f>
        <v>CK2024102250515</v>
      </c>
      <c r="E4378" s="1" t="str">
        <f>"3723467938145109505"</f>
        <v>3723467938145109505</v>
      </c>
      <c r="F4378" s="1" t="str">
        <f t="shared" si="1415"/>
        <v>花都四部-凤凰仓</v>
      </c>
      <c r="G4378" s="1" t="str">
        <f t="shared" si="1421"/>
        <v>卡卡杜企业店（视频号）</v>
      </c>
      <c r="H4378" s="1" t="str">
        <f t="shared" si="1416"/>
        <v>正常订单</v>
      </c>
      <c r="I4378" s="1" t="str">
        <f t="shared" si="1417"/>
        <v>已发货</v>
      </c>
      <c r="J4378" s="1" t="str">
        <f t="shared" si="1424"/>
        <v>2</v>
      </c>
      <c r="K4378" s="1">
        <v>2</v>
      </c>
      <c r="L4378" s="1" t="s">
        <v>92</v>
      </c>
      <c r="M4378" s="1" t="str">
        <f>"辽宁省 营口市 鲅鱼圈区 "</f>
        <v xml:space="preserve">辽宁省 营口市 鲅鱼圈区 </v>
      </c>
      <c r="N4378" s="1" t="str">
        <f t="shared" si="1425"/>
        <v>凡华云仓-城南圆通-微信视频号</v>
      </c>
      <c r="O4378" s="5" t="s">
        <v>4408</v>
      </c>
      <c r="P4378" s="6">
        <v>0.17</v>
      </c>
      <c r="Q4378" s="11">
        <v>2</v>
      </c>
      <c r="R4378" s="11"/>
      <c r="S4378" s="11"/>
      <c r="T4378" s="11"/>
      <c r="U4378" s="11">
        <f t="shared" si="1413"/>
        <v>2</v>
      </c>
      <c r="W4378">
        <v>2.2000000000000002</v>
      </c>
      <c r="X4378" s="1" t="s">
        <v>92</v>
      </c>
    </row>
    <row r="4379" spans="1:24" x14ac:dyDescent="0.25">
      <c r="A4379" s="1" t="str">
        <f t="shared" si="1414"/>
        <v>卡卡杜-凤凰仓</v>
      </c>
      <c r="B4379" s="1" t="str">
        <f>"CK20241022942"</f>
        <v>CK20241022942</v>
      </c>
      <c r="C4379" s="1" t="str">
        <f>"DD2024102257662"</f>
        <v>DD2024102257662</v>
      </c>
      <c r="D4379" s="1" t="str">
        <f>"CK2024102250514"</f>
        <v>CK2024102250514</v>
      </c>
      <c r="E4379" s="1" t="str">
        <f>"3723467937636549888"</f>
        <v>3723467937636549888</v>
      </c>
      <c r="F4379" s="1" t="str">
        <f t="shared" si="1415"/>
        <v>花都四部-凤凰仓</v>
      </c>
      <c r="G4379" s="1" t="str">
        <f t="shared" si="1421"/>
        <v>卡卡杜企业店（视频号）</v>
      </c>
      <c r="H4379" s="1" t="str">
        <f t="shared" si="1416"/>
        <v>正常订单</v>
      </c>
      <c r="I4379" s="1" t="str">
        <f t="shared" si="1417"/>
        <v>已发货</v>
      </c>
      <c r="J4379" s="1" t="str">
        <f t="shared" si="1423"/>
        <v>3</v>
      </c>
      <c r="K4379" s="1">
        <v>2</v>
      </c>
      <c r="L4379" s="1" t="s">
        <v>20</v>
      </c>
      <c r="M4379" s="1" t="str">
        <f>"浙江省 舟山市 普陀区 "</f>
        <v xml:space="preserve">浙江省 舟山市 普陀区 </v>
      </c>
      <c r="N4379" s="1" t="str">
        <f t="shared" si="1425"/>
        <v>凡华云仓-城南圆通-微信视频号</v>
      </c>
      <c r="O4379" s="5" t="s">
        <v>4409</v>
      </c>
      <c r="P4379" s="6">
        <v>0.24</v>
      </c>
      <c r="Q4379" s="11">
        <v>2</v>
      </c>
      <c r="R4379" s="11"/>
      <c r="S4379" s="11"/>
      <c r="T4379" s="11"/>
      <c r="U4379" s="11">
        <f t="shared" si="1413"/>
        <v>2</v>
      </c>
      <c r="W4379">
        <v>2.2000000000000002</v>
      </c>
      <c r="X4379" s="1" t="s">
        <v>20</v>
      </c>
    </row>
    <row r="4380" spans="1:24" x14ac:dyDescent="0.25">
      <c r="A4380" s="1" t="str">
        <f t="shared" si="1414"/>
        <v>卡卡杜-凤凰仓</v>
      </c>
      <c r="B4380" s="1" t="str">
        <f>"CK20241022756"</f>
        <v>CK20241022756</v>
      </c>
      <c r="C4380" s="1" t="str">
        <f>"DD2024102257059"</f>
        <v>DD2024102257059</v>
      </c>
      <c r="D4380" s="1" t="str">
        <f>"CK2024102250513"</f>
        <v>CK2024102250513</v>
      </c>
      <c r="E4380" s="1" t="str">
        <f>"3723467936335795200"</f>
        <v>3723467936335795200</v>
      </c>
      <c r="F4380" s="1" t="str">
        <f t="shared" si="1415"/>
        <v>花都四部-凤凰仓</v>
      </c>
      <c r="G4380" s="1" t="str">
        <f t="shared" si="1421"/>
        <v>卡卡杜企业店（视频号）</v>
      </c>
      <c r="H4380" s="1" t="str">
        <f t="shared" si="1416"/>
        <v>正常订单</v>
      </c>
      <c r="I4380" s="1" t="str">
        <f t="shared" si="1417"/>
        <v>已发货</v>
      </c>
      <c r="J4380" s="1" t="str">
        <f t="shared" si="1423"/>
        <v>3</v>
      </c>
      <c r="K4380" s="1">
        <v>2</v>
      </c>
      <c r="L4380" s="1" t="s">
        <v>80</v>
      </c>
      <c r="M4380" s="1" t="str">
        <f>"河南省 郑州市 金水区 "</f>
        <v xml:space="preserve">河南省 郑州市 金水区 </v>
      </c>
      <c r="N4380" s="1" t="str">
        <f t="shared" si="1425"/>
        <v>凡华云仓-城南圆通-微信视频号</v>
      </c>
      <c r="O4380" s="5" t="s">
        <v>4410</v>
      </c>
      <c r="P4380" s="6">
        <v>0.24</v>
      </c>
      <c r="Q4380" s="11">
        <v>2</v>
      </c>
      <c r="R4380" s="11"/>
      <c r="S4380" s="11"/>
      <c r="T4380" s="11"/>
      <c r="U4380" s="11">
        <f t="shared" si="1413"/>
        <v>2</v>
      </c>
      <c r="W4380">
        <v>2.2000000000000002</v>
      </c>
      <c r="X4380" s="1" t="s">
        <v>80</v>
      </c>
    </row>
    <row r="4381" spans="1:24" x14ac:dyDescent="0.25">
      <c r="A4381" s="1" t="str">
        <f t="shared" si="1414"/>
        <v>卡卡杜-凤凰仓</v>
      </c>
      <c r="B4381" s="1" t="str">
        <f>"CK20241022698"</f>
        <v>CK20241022698</v>
      </c>
      <c r="C4381" s="1" t="str">
        <f>"DD2024102257001"</f>
        <v>DD2024102257001</v>
      </c>
      <c r="D4381" s="1" t="str">
        <f>"CK2024102250512"</f>
        <v>CK2024102250512</v>
      </c>
      <c r="E4381" s="1" t="str">
        <f>"3723467932441904384"</f>
        <v>3723467932441904384</v>
      </c>
      <c r="F4381" s="1" t="str">
        <f t="shared" si="1415"/>
        <v>花都四部-凤凰仓</v>
      </c>
      <c r="G4381" s="1" t="str">
        <f t="shared" si="1421"/>
        <v>卡卡杜企业店（视频号）</v>
      </c>
      <c r="H4381" s="1" t="str">
        <f t="shared" si="1416"/>
        <v>正常订单</v>
      </c>
      <c r="I4381" s="1" t="str">
        <f t="shared" si="1417"/>
        <v>已发货</v>
      </c>
      <c r="J4381" s="1" t="str">
        <f t="shared" si="1423"/>
        <v>3</v>
      </c>
      <c r="K4381" s="1">
        <v>2</v>
      </c>
      <c r="L4381" s="1" t="s">
        <v>66</v>
      </c>
      <c r="M4381" s="1" t="str">
        <f>"内蒙古自治区 包头市 青山区 "</f>
        <v xml:space="preserve">内蒙古自治区 包头市 青山区 </v>
      </c>
      <c r="N4381" s="1" t="str">
        <f t="shared" si="1425"/>
        <v>凡华云仓-城南圆通-微信视频号</v>
      </c>
      <c r="O4381" s="5" t="s">
        <v>4411</v>
      </c>
      <c r="P4381" s="6">
        <v>0.24</v>
      </c>
      <c r="Q4381" s="11">
        <v>2</v>
      </c>
      <c r="R4381" s="11"/>
      <c r="S4381" s="11"/>
      <c r="T4381" s="11"/>
      <c r="U4381" s="11">
        <f t="shared" si="1413"/>
        <v>2</v>
      </c>
      <c r="W4381">
        <v>2.2000000000000002</v>
      </c>
      <c r="X4381" s="1" t="s">
        <v>66</v>
      </c>
    </row>
    <row r="4382" spans="1:24" x14ac:dyDescent="0.25">
      <c r="A4382" s="1" t="str">
        <f t="shared" si="1414"/>
        <v>卡卡杜-凤凰仓</v>
      </c>
      <c r="B4382" s="1" t="str">
        <f>"CK20241022842"</f>
        <v>CK20241022842</v>
      </c>
      <c r="C4382" s="1" t="str">
        <f>"DD2024102257279"</f>
        <v>DD2024102257279</v>
      </c>
      <c r="D4382" s="1" t="str">
        <f>"CK2024102250511"</f>
        <v>CK2024102250511</v>
      </c>
      <c r="E4382" s="1" t="str">
        <f>"3723467920279736321"</f>
        <v>3723467920279736321</v>
      </c>
      <c r="F4382" s="1" t="str">
        <f t="shared" si="1415"/>
        <v>花都四部-凤凰仓</v>
      </c>
      <c r="G4382" s="1" t="str">
        <f t="shared" si="1421"/>
        <v>卡卡杜企业店（视频号）</v>
      </c>
      <c r="H4382" s="1" t="str">
        <f t="shared" si="1416"/>
        <v>正常订单</v>
      </c>
      <c r="I4382" s="1" t="str">
        <f t="shared" si="1417"/>
        <v>已发货</v>
      </c>
      <c r="J4382" s="1" t="str">
        <f t="shared" si="1423"/>
        <v>3</v>
      </c>
      <c r="K4382" s="1">
        <v>2</v>
      </c>
      <c r="L4382" s="1" t="s">
        <v>18</v>
      </c>
      <c r="M4382" s="1" t="str">
        <f>"广东省 珠海市 香洲区 "</f>
        <v xml:space="preserve">广东省 珠海市 香洲区 </v>
      </c>
      <c r="N4382" s="1" t="str">
        <f t="shared" si="1425"/>
        <v>凡华云仓-城南圆通-微信视频号</v>
      </c>
      <c r="O4382" s="5" t="s">
        <v>4412</v>
      </c>
      <c r="P4382" s="6">
        <v>0.24</v>
      </c>
      <c r="Q4382" s="11">
        <v>2</v>
      </c>
      <c r="R4382" s="11"/>
      <c r="S4382" s="11"/>
      <c r="T4382" s="11"/>
      <c r="U4382" s="11">
        <f t="shared" si="1413"/>
        <v>2</v>
      </c>
      <c r="W4382">
        <v>2.2000000000000002</v>
      </c>
      <c r="X4382" s="1" t="s">
        <v>18</v>
      </c>
    </row>
    <row r="4383" spans="1:24" x14ac:dyDescent="0.25">
      <c r="A4383" s="1" t="str">
        <f t="shared" si="1414"/>
        <v>卡卡杜-凤凰仓</v>
      </c>
      <c r="B4383" s="1" t="str">
        <f>"CK20241022957"</f>
        <v>CK20241022957</v>
      </c>
      <c r="C4383" s="1" t="str">
        <f>"DD2024102257708"</f>
        <v>DD2024102257708</v>
      </c>
      <c r="D4383" s="1" t="str">
        <f>"CK2024102250510"</f>
        <v>CK2024102250510</v>
      </c>
      <c r="E4383" s="1" t="str">
        <f>"3723467899236387840"</f>
        <v>3723467899236387840</v>
      </c>
      <c r="F4383" s="1" t="str">
        <f t="shared" si="1415"/>
        <v>花都四部-凤凰仓</v>
      </c>
      <c r="G4383" s="1" t="str">
        <f t="shared" si="1421"/>
        <v>卡卡杜企业店（视频号）</v>
      </c>
      <c r="H4383" s="1" t="str">
        <f t="shared" si="1416"/>
        <v>正常订单</v>
      </c>
      <c r="I4383" s="1" t="str">
        <f t="shared" si="1417"/>
        <v>已发货</v>
      </c>
      <c r="J4383" s="1" t="str">
        <f>"2"</f>
        <v>2</v>
      </c>
      <c r="K4383" s="1">
        <v>2</v>
      </c>
      <c r="L4383" s="1" t="s">
        <v>92</v>
      </c>
      <c r="M4383" s="1" t="str">
        <f>"辽宁省 大连市 甘井子区 "</f>
        <v xml:space="preserve">辽宁省 大连市 甘井子区 </v>
      </c>
      <c r="N4383" s="1" t="str">
        <f t="shared" si="1425"/>
        <v>凡华云仓-城南圆通-微信视频号</v>
      </c>
      <c r="O4383" s="5" t="s">
        <v>4413</v>
      </c>
      <c r="P4383" s="6">
        <v>0.17</v>
      </c>
      <c r="Q4383" s="11">
        <v>2</v>
      </c>
      <c r="R4383" s="11"/>
      <c r="S4383" s="11"/>
      <c r="T4383" s="11"/>
      <c r="U4383" s="11">
        <f t="shared" si="1413"/>
        <v>2</v>
      </c>
      <c r="W4383">
        <v>2.2000000000000002</v>
      </c>
      <c r="X4383" s="1" t="s">
        <v>92</v>
      </c>
    </row>
    <row r="4384" spans="1:24" x14ac:dyDescent="0.25">
      <c r="A4384" s="1" t="str">
        <f t="shared" si="1414"/>
        <v>卡卡杜-凤凰仓</v>
      </c>
      <c r="B4384" s="1" t="str">
        <f>"CK20241022858"</f>
        <v>CK20241022858</v>
      </c>
      <c r="C4384" s="1" t="str">
        <f>"DD2024102257356"</f>
        <v>DD2024102257356</v>
      </c>
      <c r="D4384" s="1" t="str">
        <f>"CK2024102250509"</f>
        <v>CK2024102250509</v>
      </c>
      <c r="E4384" s="1" t="str">
        <f>"3723467885785518080"</f>
        <v>3723467885785518080</v>
      </c>
      <c r="F4384" s="1" t="str">
        <f t="shared" si="1415"/>
        <v>花都四部-凤凰仓</v>
      </c>
      <c r="G4384" s="1" t="str">
        <f t="shared" si="1421"/>
        <v>卡卡杜企业店（视频号）</v>
      </c>
      <c r="H4384" s="1" t="str">
        <f t="shared" si="1416"/>
        <v>正常订单</v>
      </c>
      <c r="I4384" s="1" t="str">
        <f t="shared" si="1417"/>
        <v>已发货</v>
      </c>
      <c r="J4384" s="1" t="str">
        <f t="shared" ref="J4384:J4387" si="1426">"3"</f>
        <v>3</v>
      </c>
      <c r="K4384" s="1">
        <v>2</v>
      </c>
      <c r="L4384" s="1" t="s">
        <v>13</v>
      </c>
      <c r="M4384" s="1" t="str">
        <f>"江苏省 南京市 江宁区 "</f>
        <v xml:space="preserve">江苏省 南京市 江宁区 </v>
      </c>
      <c r="N4384" s="1" t="str">
        <f t="shared" si="1425"/>
        <v>凡华云仓-城南圆通-微信视频号</v>
      </c>
      <c r="O4384" s="5" t="s">
        <v>4414</v>
      </c>
      <c r="P4384" s="6">
        <v>0.24</v>
      </c>
      <c r="Q4384" s="11">
        <v>2</v>
      </c>
      <c r="R4384" s="11"/>
      <c r="S4384" s="11"/>
      <c r="T4384" s="11"/>
      <c r="U4384" s="11">
        <f t="shared" si="1413"/>
        <v>2</v>
      </c>
      <c r="W4384">
        <v>2.2000000000000002</v>
      </c>
      <c r="X4384" s="1" t="s">
        <v>13</v>
      </c>
    </row>
    <row r="4385" spans="1:24" x14ac:dyDescent="0.25">
      <c r="A4385" s="1" t="str">
        <f t="shared" si="1414"/>
        <v>卡卡杜-凤凰仓</v>
      </c>
      <c r="B4385" s="1" t="str">
        <f>"CK20241022990"</f>
        <v>CK20241022990</v>
      </c>
      <c r="C4385" s="1" t="str">
        <f>"DD2024102257801"</f>
        <v>DD2024102257801</v>
      </c>
      <c r="D4385" s="1" t="str">
        <f>"CK2024102250508"</f>
        <v>CK2024102250508</v>
      </c>
      <c r="E4385" s="1" t="str">
        <f>"3723467872400966912"</f>
        <v>3723467872400966912</v>
      </c>
      <c r="F4385" s="1" t="str">
        <f t="shared" si="1415"/>
        <v>花都四部-凤凰仓</v>
      </c>
      <c r="G4385" s="1" t="str">
        <f t="shared" si="1421"/>
        <v>卡卡杜企业店（视频号）</v>
      </c>
      <c r="H4385" s="1" t="str">
        <f t="shared" si="1416"/>
        <v>正常订单</v>
      </c>
      <c r="I4385" s="1" t="str">
        <f t="shared" si="1417"/>
        <v>已发货</v>
      </c>
      <c r="J4385" s="1" t="str">
        <f t="shared" si="1426"/>
        <v>3</v>
      </c>
      <c r="K4385" s="1">
        <v>2</v>
      </c>
      <c r="L4385" s="1" t="s">
        <v>74</v>
      </c>
      <c r="M4385" s="1" t="str">
        <f>"上海 上海市 普陀区 "</f>
        <v xml:space="preserve">上海 上海市 普陀区 </v>
      </c>
      <c r="N4385" s="1" t="str">
        <f t="shared" si="1425"/>
        <v>凡华云仓-城南圆通-微信视频号</v>
      </c>
      <c r="O4385" s="5" t="s">
        <v>4415</v>
      </c>
      <c r="P4385" s="6">
        <v>0.24</v>
      </c>
      <c r="Q4385" s="11">
        <v>2</v>
      </c>
      <c r="R4385" s="11"/>
      <c r="S4385" s="11"/>
      <c r="T4385" s="11"/>
      <c r="U4385" s="11">
        <f t="shared" si="1413"/>
        <v>2</v>
      </c>
      <c r="W4385">
        <v>2.2000000000000002</v>
      </c>
      <c r="X4385" s="1" t="s">
        <v>74</v>
      </c>
    </row>
    <row r="4386" spans="1:24" x14ac:dyDescent="0.25">
      <c r="A4386" s="1" t="str">
        <f t="shared" si="1414"/>
        <v>卡卡杜-凤凰仓</v>
      </c>
      <c r="B4386" s="1" t="str">
        <f>"CK20241022931"</f>
        <v>CK20241022931</v>
      </c>
      <c r="C4386" s="1" t="str">
        <f>"DD2024102257627"</f>
        <v>DD2024102257627</v>
      </c>
      <c r="D4386" s="1" t="str">
        <f>"CK2024102250507"</f>
        <v>CK2024102250507</v>
      </c>
      <c r="E4386" s="1" t="str">
        <f>"3723467870232777728"</f>
        <v>3723467870232777728</v>
      </c>
      <c r="F4386" s="1" t="str">
        <f t="shared" si="1415"/>
        <v>花都四部-凤凰仓</v>
      </c>
      <c r="G4386" s="1" t="str">
        <f t="shared" si="1421"/>
        <v>卡卡杜企业店（视频号）</v>
      </c>
      <c r="H4386" s="1" t="str">
        <f t="shared" si="1416"/>
        <v>正常订单</v>
      </c>
      <c r="I4386" s="1" t="str">
        <f t="shared" si="1417"/>
        <v>已发货</v>
      </c>
      <c r="J4386" s="1" t="str">
        <f t="shared" si="1426"/>
        <v>3</v>
      </c>
      <c r="K4386" s="1">
        <v>2</v>
      </c>
      <c r="L4386" s="1" t="s">
        <v>74</v>
      </c>
      <c r="M4386" s="1" t="str">
        <f>"上海 上海市 虹口区 "</f>
        <v xml:space="preserve">上海 上海市 虹口区 </v>
      </c>
      <c r="N4386" s="1" t="str">
        <f t="shared" si="1425"/>
        <v>凡华云仓-城南圆通-微信视频号</v>
      </c>
      <c r="O4386" s="5" t="s">
        <v>4416</v>
      </c>
      <c r="P4386" s="6">
        <v>0.24</v>
      </c>
      <c r="Q4386" s="11">
        <v>2</v>
      </c>
      <c r="R4386" s="11"/>
      <c r="S4386" s="11"/>
      <c r="T4386" s="11"/>
      <c r="U4386" s="11">
        <f t="shared" si="1413"/>
        <v>2</v>
      </c>
      <c r="W4386">
        <v>2.2000000000000002</v>
      </c>
      <c r="X4386" s="1" t="s">
        <v>74</v>
      </c>
    </row>
    <row r="4387" spans="1:24" x14ac:dyDescent="0.25">
      <c r="A4387" s="1" t="str">
        <f t="shared" si="1414"/>
        <v>卡卡杜-凤凰仓</v>
      </c>
      <c r="B4387" s="1" t="str">
        <f>"CK20241022883"</f>
        <v>CK20241022883</v>
      </c>
      <c r="C4387" s="1" t="str">
        <f>"DD2024102257435"</f>
        <v>DD2024102257435</v>
      </c>
      <c r="D4387" s="1" t="str">
        <f>"CK2024102250506"</f>
        <v>CK2024102250506</v>
      </c>
      <c r="E4387" s="1" t="str">
        <f>"3723467862011154432"</f>
        <v>3723467862011154432</v>
      </c>
      <c r="F4387" s="1" t="str">
        <f t="shared" si="1415"/>
        <v>花都四部-凤凰仓</v>
      </c>
      <c r="G4387" s="1" t="str">
        <f t="shared" si="1421"/>
        <v>卡卡杜企业店（视频号）</v>
      </c>
      <c r="H4387" s="1" t="str">
        <f t="shared" si="1416"/>
        <v>正常订单</v>
      </c>
      <c r="I4387" s="1" t="str">
        <f t="shared" si="1417"/>
        <v>已发货</v>
      </c>
      <c r="J4387" s="1" t="str">
        <f t="shared" si="1426"/>
        <v>3</v>
      </c>
      <c r="K4387" s="1">
        <v>2</v>
      </c>
      <c r="L4387" s="1" t="s">
        <v>13</v>
      </c>
      <c r="M4387" s="1" t="str">
        <f>"江苏省 苏州市 吴中区 "</f>
        <v xml:space="preserve">江苏省 苏州市 吴中区 </v>
      </c>
      <c r="N4387" s="1" t="str">
        <f t="shared" si="1425"/>
        <v>凡华云仓-城南圆通-微信视频号</v>
      </c>
      <c r="O4387" s="5" t="s">
        <v>4417</v>
      </c>
      <c r="P4387" s="6">
        <v>0.24</v>
      </c>
      <c r="Q4387" s="11">
        <v>2</v>
      </c>
      <c r="R4387" s="11"/>
      <c r="S4387" s="11"/>
      <c r="T4387" s="11"/>
      <c r="U4387" s="11">
        <f t="shared" si="1413"/>
        <v>2</v>
      </c>
      <c r="W4387">
        <v>2.2000000000000002</v>
      </c>
      <c r="X4387" s="1" t="s">
        <v>13</v>
      </c>
    </row>
    <row r="4388" spans="1:24" x14ac:dyDescent="0.25">
      <c r="A4388" s="1" t="str">
        <f t="shared" si="1414"/>
        <v>卡卡杜-凤凰仓</v>
      </c>
      <c r="B4388" s="1" t="str">
        <f>"CK20241022753"</f>
        <v>CK20241022753</v>
      </c>
      <c r="C4388" s="1" t="str">
        <f>"DD2024102257055"</f>
        <v>DD2024102257055</v>
      </c>
      <c r="D4388" s="1" t="str">
        <f>"CK2024102250505"</f>
        <v>CK2024102250505</v>
      </c>
      <c r="E4388" s="1" t="str">
        <f>"3723467853169562625"</f>
        <v>3723467853169562625</v>
      </c>
      <c r="F4388" s="1" t="str">
        <f t="shared" si="1415"/>
        <v>花都四部-凤凰仓</v>
      </c>
      <c r="G4388" s="1" t="str">
        <f t="shared" si="1421"/>
        <v>卡卡杜企业店（视频号）</v>
      </c>
      <c r="H4388" s="1" t="str">
        <f t="shared" si="1416"/>
        <v>正常订单</v>
      </c>
      <c r="I4388" s="1" t="str">
        <f t="shared" si="1417"/>
        <v>已发货</v>
      </c>
      <c r="J4388" s="1" t="str">
        <f t="shared" ref="J4388:J4392" si="1427">"2"</f>
        <v>2</v>
      </c>
      <c r="K4388" s="1">
        <v>2</v>
      </c>
      <c r="L4388" s="1" t="s">
        <v>105</v>
      </c>
      <c r="M4388" s="1" t="str">
        <f>"北京 北京市 通州区 "</f>
        <v xml:space="preserve">北京 北京市 通州区 </v>
      </c>
      <c r="N4388" s="1" t="str">
        <f t="shared" si="1425"/>
        <v>凡华云仓-城南圆通-微信视频号</v>
      </c>
      <c r="O4388" s="5" t="s">
        <v>4418</v>
      </c>
      <c r="P4388" s="6">
        <v>0.17</v>
      </c>
      <c r="Q4388" s="11">
        <v>2</v>
      </c>
      <c r="R4388" s="11"/>
      <c r="S4388" s="11"/>
      <c r="T4388" s="11"/>
      <c r="U4388" s="11">
        <f t="shared" si="1413"/>
        <v>2</v>
      </c>
      <c r="W4388">
        <v>2.2000000000000002</v>
      </c>
      <c r="X4388" s="1" t="s">
        <v>105</v>
      </c>
    </row>
    <row r="4389" spans="1:24" x14ac:dyDescent="0.25">
      <c r="A4389" s="1" t="str">
        <f t="shared" si="1414"/>
        <v>卡卡杜-凤凰仓</v>
      </c>
      <c r="B4389" s="1" t="str">
        <f>"CK20241022843"</f>
        <v>CK20241022843</v>
      </c>
      <c r="C4389" s="1" t="str">
        <f>"DD2024102257281"</f>
        <v>DD2024102257281</v>
      </c>
      <c r="D4389" s="1" t="str">
        <f>"CK2024102250504"</f>
        <v>CK2024102250504</v>
      </c>
      <c r="E4389" s="1" t="str">
        <f>"3723467831168864257"</f>
        <v>3723467831168864257</v>
      </c>
      <c r="F4389" s="1" t="str">
        <f t="shared" si="1415"/>
        <v>花都四部-凤凰仓</v>
      </c>
      <c r="G4389" s="1" t="str">
        <f t="shared" si="1421"/>
        <v>卡卡杜企业店（视频号）</v>
      </c>
      <c r="H4389" s="1" t="str">
        <f t="shared" si="1416"/>
        <v>正常订单</v>
      </c>
      <c r="I4389" s="1" t="str">
        <f t="shared" si="1417"/>
        <v>已发货</v>
      </c>
      <c r="J4389" s="1" t="str">
        <f t="shared" ref="J4389:J4396" si="1428">"3"</f>
        <v>3</v>
      </c>
      <c r="K4389" s="1">
        <v>2</v>
      </c>
      <c r="L4389" s="1" t="s">
        <v>109</v>
      </c>
      <c r="M4389" s="1" t="str">
        <f>"山西省 太原市 晋源区 "</f>
        <v xml:space="preserve">山西省 太原市 晋源区 </v>
      </c>
      <c r="N4389" s="1" t="str">
        <f t="shared" si="1425"/>
        <v>凡华云仓-城南圆通-微信视频号</v>
      </c>
      <c r="O4389" s="5" t="s">
        <v>4419</v>
      </c>
      <c r="P4389" s="6">
        <v>0.24</v>
      </c>
      <c r="Q4389" s="11">
        <v>2</v>
      </c>
      <c r="R4389" s="11"/>
      <c r="S4389" s="11"/>
      <c r="T4389" s="11"/>
      <c r="U4389" s="11">
        <f t="shared" si="1413"/>
        <v>2</v>
      </c>
      <c r="W4389">
        <v>2.2000000000000002</v>
      </c>
      <c r="X4389" s="1" t="s">
        <v>109</v>
      </c>
    </row>
    <row r="4390" spans="1:24" x14ac:dyDescent="0.25">
      <c r="A4390" s="1" t="str">
        <f t="shared" si="1414"/>
        <v>卡卡杜-凤凰仓</v>
      </c>
      <c r="B4390" s="1" t="str">
        <f>"CK20241022951"</f>
        <v>CK20241022951</v>
      </c>
      <c r="C4390" s="1" t="str">
        <f>"DD2024102257689"</f>
        <v>DD2024102257689</v>
      </c>
      <c r="D4390" s="1" t="str">
        <f>"CK2024102250503"</f>
        <v>CK2024102250503</v>
      </c>
      <c r="E4390" s="1" t="str">
        <f>"3723467847947650560"</f>
        <v>3723467847947650560</v>
      </c>
      <c r="F4390" s="1" t="str">
        <f t="shared" si="1415"/>
        <v>花都四部-凤凰仓</v>
      </c>
      <c r="G4390" s="1" t="str">
        <f t="shared" si="1421"/>
        <v>卡卡杜企业店（视频号）</v>
      </c>
      <c r="H4390" s="1" t="str">
        <f t="shared" si="1416"/>
        <v>正常订单</v>
      </c>
      <c r="I4390" s="1" t="str">
        <f t="shared" si="1417"/>
        <v>已发货</v>
      </c>
      <c r="J4390" s="1" t="str">
        <f t="shared" si="1427"/>
        <v>2</v>
      </c>
      <c r="K4390" s="1">
        <v>2</v>
      </c>
      <c r="L4390" s="1" t="s">
        <v>187</v>
      </c>
      <c r="M4390" s="1" t="str">
        <f>"吉林省 长春市 二道区 "</f>
        <v xml:space="preserve">吉林省 长春市 二道区 </v>
      </c>
      <c r="N4390" s="1" t="str">
        <f t="shared" si="1425"/>
        <v>凡华云仓-城南圆通-微信视频号</v>
      </c>
      <c r="O4390" s="5" t="s">
        <v>4420</v>
      </c>
      <c r="P4390" s="6">
        <v>0.17</v>
      </c>
      <c r="Q4390" s="11">
        <v>2</v>
      </c>
      <c r="R4390" s="11"/>
      <c r="S4390" s="11"/>
      <c r="T4390" s="11"/>
      <c r="U4390" s="11">
        <f t="shared" si="1413"/>
        <v>2</v>
      </c>
      <c r="W4390">
        <v>2.2000000000000002</v>
      </c>
      <c r="X4390" s="1" t="s">
        <v>187</v>
      </c>
    </row>
    <row r="4391" spans="1:24" x14ac:dyDescent="0.25">
      <c r="A4391" s="1" t="str">
        <f t="shared" si="1414"/>
        <v>卡卡杜-凤凰仓</v>
      </c>
      <c r="B4391" s="1" t="str">
        <f>"CK20241022906"</f>
        <v>CK20241022906</v>
      </c>
      <c r="C4391" s="1" t="str">
        <f>"DD2024102257536"</f>
        <v>DD2024102257536</v>
      </c>
      <c r="D4391" s="1" t="str">
        <f>"CK2024102250502"</f>
        <v>CK2024102250502</v>
      </c>
      <c r="E4391" s="1" t="str">
        <f>"3723467841199016960"</f>
        <v>3723467841199016960</v>
      </c>
      <c r="F4391" s="1" t="str">
        <f t="shared" si="1415"/>
        <v>花都四部-凤凰仓</v>
      </c>
      <c r="G4391" s="1" t="str">
        <f t="shared" si="1421"/>
        <v>卡卡杜企业店（视频号）</v>
      </c>
      <c r="H4391" s="1" t="str">
        <f t="shared" si="1416"/>
        <v>正常订单</v>
      </c>
      <c r="I4391" s="1" t="str">
        <f t="shared" si="1417"/>
        <v>已发货</v>
      </c>
      <c r="J4391" s="1" t="str">
        <f t="shared" si="1428"/>
        <v>3</v>
      </c>
      <c r="K4391" s="1">
        <v>2</v>
      </c>
      <c r="L4391" s="1" t="s">
        <v>109</v>
      </c>
      <c r="M4391" s="1" t="str">
        <f>"山西省 太原市 杏花岭区 "</f>
        <v xml:space="preserve">山西省 太原市 杏花岭区 </v>
      </c>
      <c r="N4391" s="1" t="str">
        <f t="shared" si="1425"/>
        <v>凡华云仓-城南圆通-微信视频号</v>
      </c>
      <c r="O4391" s="5" t="s">
        <v>4421</v>
      </c>
      <c r="P4391" s="6">
        <v>0.24</v>
      </c>
      <c r="Q4391" s="11">
        <v>2</v>
      </c>
      <c r="R4391" s="11"/>
      <c r="S4391" s="11"/>
      <c r="T4391" s="11"/>
      <c r="U4391" s="11">
        <f t="shared" si="1413"/>
        <v>2</v>
      </c>
      <c r="W4391">
        <v>2.2000000000000002</v>
      </c>
      <c r="X4391" s="1" t="s">
        <v>109</v>
      </c>
    </row>
    <row r="4392" spans="1:24" x14ac:dyDescent="0.25">
      <c r="A4392" s="1" t="str">
        <f t="shared" si="1414"/>
        <v>卡卡杜-凤凰仓</v>
      </c>
      <c r="B4392" s="1" t="str">
        <f>"CK20241022950"</f>
        <v>CK20241022950</v>
      </c>
      <c r="C4392" s="1" t="str">
        <f>"DD2024102257691"</f>
        <v>DD2024102257691</v>
      </c>
      <c r="D4392" s="1" t="str">
        <f>"CK2024102250501"</f>
        <v>CK2024102250501</v>
      </c>
      <c r="E4392" s="1" t="str">
        <f>"3723467837507503360"</f>
        <v>3723467837507503360</v>
      </c>
      <c r="F4392" s="1" t="str">
        <f t="shared" si="1415"/>
        <v>花都四部-凤凰仓</v>
      </c>
      <c r="G4392" s="1" t="str">
        <f t="shared" si="1421"/>
        <v>卡卡杜企业店（视频号）</v>
      </c>
      <c r="H4392" s="1" t="str">
        <f t="shared" si="1416"/>
        <v>正常订单</v>
      </c>
      <c r="I4392" s="1" t="str">
        <f t="shared" si="1417"/>
        <v>已发货</v>
      </c>
      <c r="J4392" s="1" t="str">
        <f t="shared" si="1427"/>
        <v>2</v>
      </c>
      <c r="K4392" s="1">
        <v>2</v>
      </c>
      <c r="L4392" s="1" t="s">
        <v>60</v>
      </c>
      <c r="M4392" s="1" t="str">
        <f>"云南省 丽江市 古城区 "</f>
        <v xml:space="preserve">云南省 丽江市 古城区 </v>
      </c>
      <c r="N4392" s="1" t="str">
        <f t="shared" si="1425"/>
        <v>凡华云仓-城南圆通-微信视频号</v>
      </c>
      <c r="O4392" s="5" t="s">
        <v>4422</v>
      </c>
      <c r="P4392" s="6">
        <v>0.17</v>
      </c>
      <c r="Q4392" s="11">
        <v>2</v>
      </c>
      <c r="R4392" s="11"/>
      <c r="S4392" s="11"/>
      <c r="T4392" s="11"/>
      <c r="U4392" s="11">
        <f t="shared" si="1413"/>
        <v>2</v>
      </c>
      <c r="W4392">
        <v>2.2000000000000002</v>
      </c>
      <c r="X4392" s="1" t="s">
        <v>60</v>
      </c>
    </row>
    <row r="4393" spans="1:24" x14ac:dyDescent="0.25">
      <c r="A4393" s="1" t="str">
        <f t="shared" si="1414"/>
        <v>卡卡杜-凤凰仓</v>
      </c>
      <c r="B4393" s="1" t="str">
        <f>"CK20241022845"</f>
        <v>CK20241022845</v>
      </c>
      <c r="C4393" s="1" t="str">
        <f>"DD2024102257285"</f>
        <v>DD2024102257285</v>
      </c>
      <c r="D4393" s="1" t="str">
        <f>"CK2024102250500"</f>
        <v>CK2024102250500</v>
      </c>
      <c r="E4393" s="1" t="str">
        <f>"3723467834299912192"</f>
        <v>3723467834299912192</v>
      </c>
      <c r="F4393" s="1" t="str">
        <f t="shared" si="1415"/>
        <v>花都四部-凤凰仓</v>
      </c>
      <c r="G4393" s="1" t="str">
        <f t="shared" si="1421"/>
        <v>卡卡杜企业店（视频号）</v>
      </c>
      <c r="H4393" s="1" t="str">
        <f t="shared" si="1416"/>
        <v>正常订单</v>
      </c>
      <c r="I4393" s="1" t="str">
        <f t="shared" si="1417"/>
        <v>已发货</v>
      </c>
      <c r="J4393" s="1" t="str">
        <f t="shared" si="1428"/>
        <v>3</v>
      </c>
      <c r="K4393" s="1">
        <v>2</v>
      </c>
      <c r="L4393" s="1" t="s">
        <v>24</v>
      </c>
      <c r="M4393" s="1" t="str">
        <f>"福建省 泉州市 石狮市 "</f>
        <v xml:space="preserve">福建省 泉州市 石狮市 </v>
      </c>
      <c r="N4393" s="1" t="str">
        <f t="shared" si="1425"/>
        <v>凡华云仓-城南圆通-微信视频号</v>
      </c>
      <c r="O4393" s="5" t="s">
        <v>4423</v>
      </c>
      <c r="P4393" s="6">
        <v>0.24</v>
      </c>
      <c r="Q4393" s="11">
        <v>2</v>
      </c>
      <c r="R4393" s="11"/>
      <c r="S4393" s="11"/>
      <c r="T4393" s="11"/>
      <c r="U4393" s="11">
        <f t="shared" si="1413"/>
        <v>2</v>
      </c>
      <c r="W4393">
        <v>2.2000000000000002</v>
      </c>
      <c r="X4393" s="1" t="s">
        <v>24</v>
      </c>
    </row>
    <row r="4394" spans="1:24" x14ac:dyDescent="0.25">
      <c r="A4394" s="1" t="str">
        <f t="shared" si="1414"/>
        <v>卡卡杜-凤凰仓</v>
      </c>
      <c r="B4394" s="1" t="str">
        <f>"CK20241022738"</f>
        <v>CK20241022738</v>
      </c>
      <c r="C4394" s="1" t="str">
        <f>"DD2024102257041"</f>
        <v>DD2024102257041</v>
      </c>
      <c r="D4394" s="1" t="str">
        <f>"CK2024102250499"</f>
        <v>CK2024102250499</v>
      </c>
      <c r="E4394" s="1" t="str">
        <f>"3723467832583654400"</f>
        <v>3723467832583654400</v>
      </c>
      <c r="F4394" s="1" t="str">
        <f t="shared" si="1415"/>
        <v>花都四部-凤凰仓</v>
      </c>
      <c r="G4394" s="1" t="str">
        <f t="shared" si="1421"/>
        <v>卡卡杜企业店（视频号）</v>
      </c>
      <c r="H4394" s="1" t="str">
        <f t="shared" si="1416"/>
        <v>正常订单</v>
      </c>
      <c r="I4394" s="1" t="str">
        <f t="shared" si="1417"/>
        <v>已发货</v>
      </c>
      <c r="J4394" s="1" t="str">
        <f t="shared" si="1428"/>
        <v>3</v>
      </c>
      <c r="K4394" s="1">
        <v>2</v>
      </c>
      <c r="L4394" s="1" t="s">
        <v>36</v>
      </c>
      <c r="M4394" s="1" t="str">
        <f>"安徽省 六安市 叶集区 "</f>
        <v xml:space="preserve">安徽省 六安市 叶集区 </v>
      </c>
      <c r="N4394" s="1" t="str">
        <f t="shared" si="1425"/>
        <v>凡华云仓-城南圆通-微信视频号</v>
      </c>
      <c r="O4394" s="5" t="s">
        <v>4424</v>
      </c>
      <c r="P4394" s="6">
        <v>0.24</v>
      </c>
      <c r="Q4394" s="11">
        <v>2</v>
      </c>
      <c r="R4394" s="11"/>
      <c r="S4394" s="11"/>
      <c r="T4394" s="11"/>
      <c r="U4394" s="11">
        <f t="shared" si="1413"/>
        <v>2</v>
      </c>
      <c r="W4394">
        <v>2.2000000000000002</v>
      </c>
      <c r="X4394" s="1" t="s">
        <v>36</v>
      </c>
    </row>
    <row r="4395" spans="1:24" x14ac:dyDescent="0.25">
      <c r="A4395" s="1" t="str">
        <f t="shared" si="1414"/>
        <v>卡卡杜-凤凰仓</v>
      </c>
      <c r="B4395" s="1" t="str">
        <f>"CK20241022724"</f>
        <v>CK20241022724</v>
      </c>
      <c r="C4395" s="1" t="str">
        <f>"DD2024102257027"</f>
        <v>DD2024102257027</v>
      </c>
      <c r="D4395" s="1" t="str">
        <f>"CK2024102250498"</f>
        <v>CK2024102250498</v>
      </c>
      <c r="E4395" s="1" t="str">
        <f>"3723467823434827009"</f>
        <v>3723467823434827009</v>
      </c>
      <c r="F4395" s="1" t="str">
        <f t="shared" si="1415"/>
        <v>花都四部-凤凰仓</v>
      </c>
      <c r="G4395" s="1" t="str">
        <f t="shared" si="1421"/>
        <v>卡卡杜企业店（视频号）</v>
      </c>
      <c r="H4395" s="1" t="str">
        <f t="shared" si="1416"/>
        <v>正常订单</v>
      </c>
      <c r="I4395" s="1" t="str">
        <f t="shared" si="1417"/>
        <v>已发货</v>
      </c>
      <c r="J4395" s="1" t="str">
        <f t="shared" si="1428"/>
        <v>3</v>
      </c>
      <c r="K4395" s="1">
        <v>2</v>
      </c>
      <c r="L4395" s="1" t="s">
        <v>74</v>
      </c>
      <c r="M4395" s="1" t="str">
        <f>"上海 上海市 静安区 "</f>
        <v xml:space="preserve">上海 上海市 静安区 </v>
      </c>
      <c r="N4395" s="1" t="str">
        <f t="shared" si="1425"/>
        <v>凡华云仓-城南圆通-微信视频号</v>
      </c>
      <c r="O4395" s="5" t="s">
        <v>4425</v>
      </c>
      <c r="P4395" s="6">
        <v>0.24</v>
      </c>
      <c r="Q4395" s="11">
        <v>2</v>
      </c>
      <c r="R4395" s="11"/>
      <c r="S4395" s="11"/>
      <c r="T4395" s="11"/>
      <c r="U4395" s="11">
        <f t="shared" si="1413"/>
        <v>2</v>
      </c>
      <c r="W4395">
        <v>2.2000000000000002</v>
      </c>
      <c r="X4395" s="1" t="s">
        <v>74</v>
      </c>
    </row>
    <row r="4396" spans="1:24" x14ac:dyDescent="0.25">
      <c r="A4396" s="1" t="str">
        <f t="shared" si="1414"/>
        <v>卡卡杜-凤凰仓</v>
      </c>
      <c r="B4396" s="1" t="str">
        <f>"CK202410221002"</f>
        <v>CK202410221002</v>
      </c>
      <c r="C4396" s="1" t="str">
        <f>"DD2024102258470"</f>
        <v>DD2024102258470</v>
      </c>
      <c r="D4396" s="1" t="str">
        <f>"CK2024102250497"</f>
        <v>CK2024102250497</v>
      </c>
      <c r="E4396" s="1" t="str">
        <f>"3723467827206555136"</f>
        <v>3723467827206555136</v>
      </c>
      <c r="F4396" s="1" t="str">
        <f t="shared" si="1415"/>
        <v>花都四部-凤凰仓</v>
      </c>
      <c r="G4396" s="1" t="str">
        <f t="shared" si="1421"/>
        <v>卡卡杜企业店（视频号）</v>
      </c>
      <c r="H4396" s="1" t="str">
        <f t="shared" si="1416"/>
        <v>正常订单</v>
      </c>
      <c r="I4396" s="1" t="str">
        <f t="shared" si="1417"/>
        <v>已发货</v>
      </c>
      <c r="J4396" s="1" t="str">
        <f t="shared" si="1428"/>
        <v>3</v>
      </c>
      <c r="K4396" s="1">
        <v>2</v>
      </c>
      <c r="L4396" s="1" t="s">
        <v>30</v>
      </c>
      <c r="M4396" s="1" t="str">
        <f>"山东省 烟台市 莱山区 "</f>
        <v xml:space="preserve">山东省 烟台市 莱山区 </v>
      </c>
      <c r="N4396" s="1" t="str">
        <f t="shared" si="1425"/>
        <v>凡华云仓-城南圆通-微信视频号</v>
      </c>
      <c r="O4396" s="5" t="s">
        <v>4426</v>
      </c>
      <c r="P4396" s="6">
        <v>0.24</v>
      </c>
      <c r="Q4396" s="11">
        <v>2</v>
      </c>
      <c r="R4396" s="11"/>
      <c r="S4396" s="11"/>
      <c r="T4396" s="11"/>
      <c r="U4396" s="11">
        <f t="shared" si="1413"/>
        <v>2</v>
      </c>
      <c r="W4396">
        <v>2.2000000000000002</v>
      </c>
      <c r="X4396" s="1" t="s">
        <v>30</v>
      </c>
    </row>
    <row r="4397" spans="1:24" x14ac:dyDescent="0.25">
      <c r="A4397" s="1" t="str">
        <f t="shared" si="1414"/>
        <v>卡卡杜-凤凰仓</v>
      </c>
      <c r="B4397" s="1" t="str">
        <f>"CK20241022825"</f>
        <v>CK20241022825</v>
      </c>
      <c r="C4397" s="1" t="str">
        <f>"DD2024102257221"</f>
        <v>DD2024102257221</v>
      </c>
      <c r="D4397" s="1" t="str">
        <f>"CK2024102250496"</f>
        <v>CK2024102250496</v>
      </c>
      <c r="E4397" s="1" t="str">
        <f>"3723467826330211328"</f>
        <v>3723467826330211328</v>
      </c>
      <c r="F4397" s="1" t="str">
        <f t="shared" si="1415"/>
        <v>花都四部-凤凰仓</v>
      </c>
      <c r="G4397" s="1" t="str">
        <f t="shared" si="1421"/>
        <v>卡卡杜企业店（视频号）</v>
      </c>
      <c r="H4397" s="1" t="str">
        <f t="shared" si="1416"/>
        <v>正常订单</v>
      </c>
      <c r="I4397" s="1" t="str">
        <f t="shared" si="1417"/>
        <v>已发货</v>
      </c>
      <c r="J4397" s="1" t="str">
        <f t="shared" ref="J4397:J4400" si="1429">"2"</f>
        <v>2</v>
      </c>
      <c r="K4397" s="1">
        <v>2</v>
      </c>
      <c r="L4397" s="1" t="s">
        <v>13</v>
      </c>
      <c r="M4397" s="1" t="str">
        <f>"江苏省 无锡市 梁溪区 "</f>
        <v xml:space="preserve">江苏省 无锡市 梁溪区 </v>
      </c>
      <c r="N4397" s="1" t="str">
        <f t="shared" si="1425"/>
        <v>凡华云仓-城南圆通-微信视频号</v>
      </c>
      <c r="O4397" s="5" t="s">
        <v>4427</v>
      </c>
      <c r="P4397" s="6">
        <v>0.17</v>
      </c>
      <c r="Q4397" s="11">
        <v>2</v>
      </c>
      <c r="R4397" s="11"/>
      <c r="S4397" s="11"/>
      <c r="T4397" s="11"/>
      <c r="U4397" s="11">
        <f t="shared" si="1413"/>
        <v>2</v>
      </c>
      <c r="W4397">
        <v>2.2000000000000002</v>
      </c>
      <c r="X4397" s="1" t="s">
        <v>13</v>
      </c>
    </row>
    <row r="4398" spans="1:24" x14ac:dyDescent="0.25">
      <c r="A4398" s="1" t="str">
        <f t="shared" si="1414"/>
        <v>卡卡杜-凤凰仓</v>
      </c>
      <c r="B4398" s="1" t="str">
        <f>"CK20241022881"</f>
        <v>CK20241022881</v>
      </c>
      <c r="C4398" s="1" t="str">
        <f>"DD2024102257427"</f>
        <v>DD2024102257427</v>
      </c>
      <c r="D4398" s="1" t="str">
        <f>"CK2024102250495"</f>
        <v>CK2024102250495</v>
      </c>
      <c r="E4398" s="1" t="str">
        <f>"3723467822534888448"</f>
        <v>3723467822534888448</v>
      </c>
      <c r="F4398" s="1" t="str">
        <f t="shared" si="1415"/>
        <v>花都四部-凤凰仓</v>
      </c>
      <c r="G4398" s="1" t="str">
        <f t="shared" si="1421"/>
        <v>卡卡杜企业店（视频号）</v>
      </c>
      <c r="H4398" s="1" t="str">
        <f t="shared" si="1416"/>
        <v>正常订单</v>
      </c>
      <c r="I4398" s="1" t="str">
        <f t="shared" si="1417"/>
        <v>已发货</v>
      </c>
      <c r="J4398" s="1" t="str">
        <f t="shared" ref="J4398:J4404" si="1430">"3"</f>
        <v>3</v>
      </c>
      <c r="K4398" s="1">
        <v>2</v>
      </c>
      <c r="L4398" s="1" t="s">
        <v>74</v>
      </c>
      <c r="M4398" s="1" t="str">
        <f>"上海 上海市 青浦区 "</f>
        <v xml:space="preserve">上海 上海市 青浦区 </v>
      </c>
      <c r="N4398" s="1" t="str">
        <f t="shared" si="1425"/>
        <v>凡华云仓-城南圆通-微信视频号</v>
      </c>
      <c r="O4398" s="5" t="s">
        <v>4428</v>
      </c>
      <c r="P4398" s="6">
        <v>0.24</v>
      </c>
      <c r="Q4398" s="11">
        <v>2</v>
      </c>
      <c r="R4398" s="11"/>
      <c r="S4398" s="11"/>
      <c r="T4398" s="11"/>
      <c r="U4398" s="11">
        <f t="shared" si="1413"/>
        <v>2</v>
      </c>
      <c r="W4398">
        <v>2.2000000000000002</v>
      </c>
      <c r="X4398" s="1" t="s">
        <v>74</v>
      </c>
    </row>
    <row r="4399" spans="1:24" x14ac:dyDescent="0.25">
      <c r="A4399" s="1" t="str">
        <f t="shared" si="1414"/>
        <v>卡卡杜-凤凰仓</v>
      </c>
      <c r="B4399" s="1" t="str">
        <f>"CK20241022956"</f>
        <v>CK20241022956</v>
      </c>
      <c r="C4399" s="1" t="str">
        <f>"DD2024102257705"</f>
        <v>DD2024102257705</v>
      </c>
      <c r="D4399" s="1" t="str">
        <f>"CK2024102250494"</f>
        <v>CK2024102250494</v>
      </c>
      <c r="E4399" s="1" t="str">
        <f>"3723467826148282368"</f>
        <v>3723467826148282368</v>
      </c>
      <c r="F4399" s="1" t="str">
        <f t="shared" si="1415"/>
        <v>花都四部-凤凰仓</v>
      </c>
      <c r="G4399" s="1" t="str">
        <f t="shared" si="1421"/>
        <v>卡卡杜企业店（视频号）</v>
      </c>
      <c r="H4399" s="1" t="str">
        <f t="shared" si="1416"/>
        <v>正常订单</v>
      </c>
      <c r="I4399" s="1" t="str">
        <f t="shared" si="1417"/>
        <v>已发货</v>
      </c>
      <c r="J4399" s="1" t="str">
        <f t="shared" si="1429"/>
        <v>2</v>
      </c>
      <c r="K4399" s="1">
        <v>2</v>
      </c>
      <c r="L4399" s="1" t="s">
        <v>74</v>
      </c>
      <c r="M4399" s="1" t="str">
        <f>"上海 上海市 徐汇区 "</f>
        <v xml:space="preserve">上海 上海市 徐汇区 </v>
      </c>
      <c r="N4399" s="1" t="str">
        <f t="shared" si="1425"/>
        <v>凡华云仓-城南圆通-微信视频号</v>
      </c>
      <c r="O4399" s="5" t="s">
        <v>4429</v>
      </c>
      <c r="P4399" s="6">
        <v>0.17</v>
      </c>
      <c r="Q4399" s="11">
        <v>2</v>
      </c>
      <c r="R4399" s="11"/>
      <c r="S4399" s="11"/>
      <c r="T4399" s="11"/>
      <c r="U4399" s="11">
        <f t="shared" si="1413"/>
        <v>2</v>
      </c>
      <c r="W4399">
        <v>2.2000000000000002</v>
      </c>
      <c r="X4399" s="1" t="s">
        <v>74</v>
      </c>
    </row>
    <row r="4400" spans="1:24" x14ac:dyDescent="0.25">
      <c r="A4400" s="1" t="str">
        <f t="shared" si="1414"/>
        <v>卡卡杜-凤凰仓</v>
      </c>
      <c r="B4400" s="1" t="str">
        <f>"CK20241022943"</f>
        <v>CK20241022943</v>
      </c>
      <c r="C4400" s="1" t="str">
        <f>"DD2024102257664"</f>
        <v>DD2024102257664</v>
      </c>
      <c r="D4400" s="1" t="str">
        <f>"CK2024102250493"</f>
        <v>CK2024102250493</v>
      </c>
      <c r="E4400" s="1" t="str">
        <f>"3723467823581368320"</f>
        <v>3723467823581368320</v>
      </c>
      <c r="F4400" s="1" t="str">
        <f t="shared" si="1415"/>
        <v>花都四部-凤凰仓</v>
      </c>
      <c r="G4400" s="1" t="str">
        <f t="shared" si="1421"/>
        <v>卡卡杜企业店（视频号）</v>
      </c>
      <c r="H4400" s="1" t="str">
        <f t="shared" si="1416"/>
        <v>正常订单</v>
      </c>
      <c r="I4400" s="1" t="str">
        <f t="shared" si="1417"/>
        <v>已发货</v>
      </c>
      <c r="J4400" s="1" t="str">
        <f t="shared" si="1429"/>
        <v>2</v>
      </c>
      <c r="K4400" s="1">
        <v>2</v>
      </c>
      <c r="L4400" s="1" t="s">
        <v>30</v>
      </c>
      <c r="M4400" s="1" t="str">
        <f>"山东省 威海市 荣成市 "</f>
        <v xml:space="preserve">山东省 威海市 荣成市 </v>
      </c>
      <c r="N4400" s="1" t="str">
        <f t="shared" si="1425"/>
        <v>凡华云仓-城南圆通-微信视频号</v>
      </c>
      <c r="O4400" s="5" t="s">
        <v>4430</v>
      </c>
      <c r="P4400" s="6">
        <v>0.17</v>
      </c>
      <c r="Q4400" s="11">
        <v>2</v>
      </c>
      <c r="R4400" s="11"/>
      <c r="S4400" s="11"/>
      <c r="T4400" s="11"/>
      <c r="U4400" s="11">
        <f t="shared" si="1413"/>
        <v>2</v>
      </c>
      <c r="W4400">
        <v>2.2000000000000002</v>
      </c>
      <c r="X4400" s="1" t="s">
        <v>30</v>
      </c>
    </row>
    <row r="4401" spans="1:24" x14ac:dyDescent="0.25">
      <c r="A4401" s="1" t="str">
        <f t="shared" si="1414"/>
        <v>卡卡杜-凤凰仓</v>
      </c>
      <c r="B4401" s="1" t="str">
        <f>"CK20241022907"</f>
        <v>CK20241022907</v>
      </c>
      <c r="C4401" s="1" t="str">
        <f>"DD2024102257533"</f>
        <v>DD2024102257533</v>
      </c>
      <c r="D4401" s="1" t="str">
        <f>"CK2024102250492"</f>
        <v>CK2024102250492</v>
      </c>
      <c r="E4401" s="1" t="str">
        <f>"3723467815116213248"</f>
        <v>3723467815116213248</v>
      </c>
      <c r="F4401" s="1" t="str">
        <f t="shared" si="1415"/>
        <v>花都四部-凤凰仓</v>
      </c>
      <c r="G4401" s="1" t="str">
        <f t="shared" si="1421"/>
        <v>卡卡杜企业店（视频号）</v>
      </c>
      <c r="H4401" s="1" t="str">
        <f t="shared" si="1416"/>
        <v>正常订单</v>
      </c>
      <c r="I4401" s="1" t="str">
        <f t="shared" si="1417"/>
        <v>已发货</v>
      </c>
      <c r="J4401" s="1" t="str">
        <f t="shared" si="1430"/>
        <v>3</v>
      </c>
      <c r="K4401" s="1">
        <v>2</v>
      </c>
      <c r="L4401" s="1" t="s">
        <v>27</v>
      </c>
      <c r="M4401" s="1" t="str">
        <f>"贵州省 贵阳市 观山湖区 "</f>
        <v xml:space="preserve">贵州省 贵阳市 观山湖区 </v>
      </c>
      <c r="N4401" s="1" t="str">
        <f t="shared" si="1425"/>
        <v>凡华云仓-城南圆通-微信视频号</v>
      </c>
      <c r="O4401" s="5" t="s">
        <v>4431</v>
      </c>
      <c r="P4401" s="6">
        <v>0.24</v>
      </c>
      <c r="Q4401" s="11">
        <v>2</v>
      </c>
      <c r="R4401" s="11"/>
      <c r="S4401" s="11"/>
      <c r="T4401" s="11"/>
      <c r="U4401" s="11">
        <f t="shared" si="1413"/>
        <v>2</v>
      </c>
      <c r="W4401">
        <v>2.2000000000000002</v>
      </c>
      <c r="X4401" s="1" t="s">
        <v>27</v>
      </c>
    </row>
    <row r="4402" spans="1:24" x14ac:dyDescent="0.25">
      <c r="A4402" s="1" t="str">
        <f t="shared" si="1414"/>
        <v>卡卡杜-凤凰仓</v>
      </c>
      <c r="B4402" s="1" t="str">
        <f>"CK20241022790"</f>
        <v>CK20241022790</v>
      </c>
      <c r="C4402" s="1" t="str">
        <f>"DD2024102257113"</f>
        <v>DD2024102257113</v>
      </c>
      <c r="D4402" s="1" t="str">
        <f>"CK2024102250491"</f>
        <v>CK2024102250491</v>
      </c>
      <c r="E4402" s="1" t="str">
        <f>"3723467814864815616"</f>
        <v>3723467814864815616</v>
      </c>
      <c r="F4402" s="1" t="str">
        <f t="shared" si="1415"/>
        <v>花都四部-凤凰仓</v>
      </c>
      <c r="G4402" s="1" t="str">
        <f t="shared" si="1421"/>
        <v>卡卡杜企业店（视频号）</v>
      </c>
      <c r="H4402" s="1" t="str">
        <f t="shared" si="1416"/>
        <v>正常订单</v>
      </c>
      <c r="I4402" s="1" t="str">
        <f t="shared" si="1417"/>
        <v>已发货</v>
      </c>
      <c r="J4402" s="1" t="str">
        <f t="shared" ref="J4402:J4406" si="1431">"2"</f>
        <v>2</v>
      </c>
      <c r="K4402" s="1">
        <v>2</v>
      </c>
      <c r="L4402" s="1" t="s">
        <v>109</v>
      </c>
      <c r="M4402" s="1" t="str">
        <f>"山西省 太原市 小店区 "</f>
        <v xml:space="preserve">山西省 太原市 小店区 </v>
      </c>
      <c r="N4402" s="1" t="str">
        <f t="shared" si="1425"/>
        <v>凡华云仓-城南圆通-微信视频号</v>
      </c>
      <c r="O4402" s="5" t="s">
        <v>4432</v>
      </c>
      <c r="P4402" s="6">
        <v>0.17</v>
      </c>
      <c r="Q4402" s="11">
        <v>2</v>
      </c>
      <c r="R4402" s="11"/>
      <c r="S4402" s="11"/>
      <c r="T4402" s="11"/>
      <c r="U4402" s="11">
        <f t="shared" si="1413"/>
        <v>2</v>
      </c>
      <c r="W4402">
        <v>2.2000000000000002</v>
      </c>
      <c r="X4402" s="1" t="s">
        <v>109</v>
      </c>
    </row>
    <row r="4403" spans="1:24" x14ac:dyDescent="0.25">
      <c r="A4403" s="1" t="str">
        <f t="shared" si="1414"/>
        <v>卡卡杜-凤凰仓</v>
      </c>
      <c r="B4403" s="1" t="str">
        <f>"CK20241022716"</f>
        <v>CK20241022716</v>
      </c>
      <c r="C4403" s="1" t="str">
        <f>"DD2024102257019"</f>
        <v>DD2024102257019</v>
      </c>
      <c r="D4403" s="1" t="str">
        <f>"CK2024102250490"</f>
        <v>CK2024102250490</v>
      </c>
      <c r="E4403" s="1" t="str">
        <f>"3723467813522377728"</f>
        <v>3723467813522377728</v>
      </c>
      <c r="F4403" s="1" t="str">
        <f t="shared" si="1415"/>
        <v>花都四部-凤凰仓</v>
      </c>
      <c r="G4403" s="1" t="str">
        <f t="shared" si="1421"/>
        <v>卡卡杜企业店（视频号）</v>
      </c>
      <c r="H4403" s="1" t="str">
        <f t="shared" si="1416"/>
        <v>正常订单</v>
      </c>
      <c r="I4403" s="1" t="str">
        <f t="shared" si="1417"/>
        <v>已发货</v>
      </c>
      <c r="J4403" s="1" t="str">
        <f t="shared" si="1430"/>
        <v>3</v>
      </c>
      <c r="K4403" s="1">
        <v>2</v>
      </c>
      <c r="L4403" s="1" t="s">
        <v>105</v>
      </c>
      <c r="M4403" s="1" t="str">
        <f>"北京 北京市 朝阳区 "</f>
        <v xml:space="preserve">北京 北京市 朝阳区 </v>
      </c>
      <c r="N4403" s="1" t="str">
        <f t="shared" si="1425"/>
        <v>凡华云仓-城南圆通-微信视频号</v>
      </c>
      <c r="O4403" s="5" t="s">
        <v>4433</v>
      </c>
      <c r="P4403" s="6">
        <v>0.24</v>
      </c>
      <c r="Q4403" s="11">
        <v>2</v>
      </c>
      <c r="R4403" s="11"/>
      <c r="S4403" s="11"/>
      <c r="T4403" s="11"/>
      <c r="U4403" s="11">
        <f t="shared" si="1413"/>
        <v>2</v>
      </c>
      <c r="W4403">
        <v>2.2000000000000002</v>
      </c>
      <c r="X4403" s="1" t="s">
        <v>105</v>
      </c>
    </row>
    <row r="4404" spans="1:24" x14ac:dyDescent="0.25">
      <c r="A4404" s="1" t="str">
        <f t="shared" si="1414"/>
        <v>卡卡杜-凤凰仓</v>
      </c>
      <c r="B4404" s="1" t="str">
        <f>"CK20241022713"</f>
        <v>CK20241022713</v>
      </c>
      <c r="C4404" s="1" t="str">
        <f>"DD2024102257017"</f>
        <v>DD2024102257017</v>
      </c>
      <c r="D4404" s="1" t="str">
        <f>"CK2024102250489"</f>
        <v>CK2024102250489</v>
      </c>
      <c r="E4404" s="1" t="str">
        <f>"3723467810982202368"</f>
        <v>3723467810982202368</v>
      </c>
      <c r="F4404" s="1" t="str">
        <f t="shared" si="1415"/>
        <v>花都四部-凤凰仓</v>
      </c>
      <c r="G4404" s="1" t="str">
        <f t="shared" si="1421"/>
        <v>卡卡杜企业店（视频号）</v>
      </c>
      <c r="H4404" s="1" t="str">
        <f t="shared" si="1416"/>
        <v>正常订单</v>
      </c>
      <c r="I4404" s="1" t="str">
        <f t="shared" si="1417"/>
        <v>已发货</v>
      </c>
      <c r="J4404" s="1" t="str">
        <f t="shared" si="1430"/>
        <v>3</v>
      </c>
      <c r="K4404" s="1">
        <v>2</v>
      </c>
      <c r="L4404" s="1" t="s">
        <v>94</v>
      </c>
      <c r="M4404" s="1" t="str">
        <f>"湖南省 长沙市 浏阳市 "</f>
        <v xml:space="preserve">湖南省 长沙市 浏阳市 </v>
      </c>
      <c r="N4404" s="1" t="str">
        <f t="shared" si="1425"/>
        <v>凡华云仓-城南圆通-微信视频号</v>
      </c>
      <c r="O4404" s="5" t="s">
        <v>4434</v>
      </c>
      <c r="P4404" s="6">
        <v>0.24</v>
      </c>
      <c r="Q4404" s="11">
        <v>2</v>
      </c>
      <c r="R4404" s="11"/>
      <c r="S4404" s="11"/>
      <c r="T4404" s="11"/>
      <c r="U4404" s="11">
        <f t="shared" si="1413"/>
        <v>2</v>
      </c>
      <c r="W4404">
        <v>2.2000000000000002</v>
      </c>
      <c r="X4404" s="1" t="s">
        <v>94</v>
      </c>
    </row>
    <row r="4405" spans="1:24" x14ac:dyDescent="0.25">
      <c r="A4405" s="1" t="str">
        <f t="shared" si="1414"/>
        <v>卡卡杜-凤凰仓</v>
      </c>
      <c r="B4405" s="1" t="str">
        <f>"CK20241022954"</f>
        <v>CK20241022954</v>
      </c>
      <c r="C4405" s="1" t="str">
        <f>"DD2024102257697"</f>
        <v>DD2024102257697</v>
      </c>
      <c r="D4405" s="1" t="str">
        <f>"CK2024102250488"</f>
        <v>CK2024102250488</v>
      </c>
      <c r="E4405" s="1" t="str">
        <f>"3723467811075264512"</f>
        <v>3723467811075264512</v>
      </c>
      <c r="F4405" s="1" t="str">
        <f t="shared" si="1415"/>
        <v>花都四部-凤凰仓</v>
      </c>
      <c r="G4405" s="1" t="str">
        <f t="shared" si="1421"/>
        <v>卡卡杜企业店（视频号）</v>
      </c>
      <c r="H4405" s="1" t="str">
        <f t="shared" si="1416"/>
        <v>正常订单</v>
      </c>
      <c r="I4405" s="1" t="str">
        <f t="shared" si="1417"/>
        <v>已发货</v>
      </c>
      <c r="J4405" s="1" t="str">
        <f t="shared" si="1431"/>
        <v>2</v>
      </c>
      <c r="K4405" s="1">
        <v>2</v>
      </c>
      <c r="L4405" s="1" t="s">
        <v>74</v>
      </c>
      <c r="M4405" s="1" t="str">
        <f>"上海 上海市 普陀区 "</f>
        <v xml:space="preserve">上海 上海市 普陀区 </v>
      </c>
      <c r="N4405" s="1" t="str">
        <f t="shared" si="1425"/>
        <v>凡华云仓-城南圆通-微信视频号</v>
      </c>
      <c r="O4405" s="5" t="s">
        <v>4435</v>
      </c>
      <c r="P4405" s="6">
        <v>0.17</v>
      </c>
      <c r="Q4405" s="11">
        <v>2</v>
      </c>
      <c r="R4405" s="11"/>
      <c r="S4405" s="11"/>
      <c r="T4405" s="11"/>
      <c r="U4405" s="11">
        <f t="shared" si="1413"/>
        <v>2</v>
      </c>
      <c r="W4405">
        <v>2.2000000000000002</v>
      </c>
      <c r="X4405" s="1" t="s">
        <v>74</v>
      </c>
    </row>
    <row r="4406" spans="1:24" x14ac:dyDescent="0.25">
      <c r="A4406" s="1" t="str">
        <f t="shared" si="1414"/>
        <v>卡卡杜-凤凰仓</v>
      </c>
      <c r="B4406" s="1" t="str">
        <f>"CK20241022810"</f>
        <v>CK20241022810</v>
      </c>
      <c r="C4406" s="1" t="str">
        <f>"DD2024102257172"</f>
        <v>DD2024102257172</v>
      </c>
      <c r="D4406" s="1" t="str">
        <f>"CK2024102250487"</f>
        <v>CK2024102250487</v>
      </c>
      <c r="E4406" s="1" t="str">
        <f>"3723467811139749376"</f>
        <v>3723467811139749376</v>
      </c>
      <c r="F4406" s="1" t="str">
        <f t="shared" si="1415"/>
        <v>花都四部-凤凰仓</v>
      </c>
      <c r="G4406" s="1" t="str">
        <f t="shared" si="1421"/>
        <v>卡卡杜企业店（视频号）</v>
      </c>
      <c r="H4406" s="1" t="str">
        <f t="shared" si="1416"/>
        <v>正常订单</v>
      </c>
      <c r="I4406" s="1" t="str">
        <f t="shared" si="1417"/>
        <v>已发货</v>
      </c>
      <c r="J4406" s="1" t="str">
        <f t="shared" si="1431"/>
        <v>2</v>
      </c>
      <c r="K4406" s="1">
        <v>2</v>
      </c>
      <c r="L4406" s="1" t="s">
        <v>218</v>
      </c>
      <c r="M4406" s="1" t="str">
        <f>"天津 天津市 南开区 "</f>
        <v xml:space="preserve">天津 天津市 南开区 </v>
      </c>
      <c r="N4406" s="1" t="str">
        <f t="shared" si="1425"/>
        <v>凡华云仓-城南圆通-微信视频号</v>
      </c>
      <c r="O4406" s="5" t="s">
        <v>4436</v>
      </c>
      <c r="P4406" s="6">
        <v>0.17</v>
      </c>
      <c r="Q4406" s="11">
        <v>2</v>
      </c>
      <c r="R4406" s="11"/>
      <c r="S4406" s="11"/>
      <c r="T4406" s="11"/>
      <c r="U4406" s="11">
        <f t="shared" si="1413"/>
        <v>2</v>
      </c>
      <c r="W4406">
        <v>2.2000000000000002</v>
      </c>
      <c r="X4406" s="1" t="s">
        <v>218</v>
      </c>
    </row>
    <row r="4407" spans="1:24" x14ac:dyDescent="0.25">
      <c r="A4407" s="1" t="str">
        <f t="shared" si="1414"/>
        <v>卡卡杜-凤凰仓</v>
      </c>
      <c r="B4407" s="1" t="str">
        <f>"CK20241022862"</f>
        <v>CK20241022862</v>
      </c>
      <c r="C4407" s="1" t="str">
        <f>"DD2024102257342"</f>
        <v>DD2024102257342</v>
      </c>
      <c r="D4407" s="1" t="str">
        <f>"CK2024102250486"</f>
        <v>CK2024102250486</v>
      </c>
      <c r="E4407" s="1" t="str">
        <f>"3723467808876399616"</f>
        <v>3723467808876399616</v>
      </c>
      <c r="F4407" s="1" t="str">
        <f t="shared" si="1415"/>
        <v>花都四部-凤凰仓</v>
      </c>
      <c r="G4407" s="1" t="str">
        <f t="shared" si="1421"/>
        <v>卡卡杜企业店（视频号）</v>
      </c>
      <c r="H4407" s="1" t="str">
        <f t="shared" si="1416"/>
        <v>正常订单</v>
      </c>
      <c r="I4407" s="1" t="str">
        <f t="shared" si="1417"/>
        <v>已发货</v>
      </c>
      <c r="J4407" s="1" t="str">
        <f t="shared" ref="J4407:J4409" si="1432">"3"</f>
        <v>3</v>
      </c>
      <c r="K4407" s="1">
        <v>2</v>
      </c>
      <c r="L4407" s="1" t="s">
        <v>218</v>
      </c>
      <c r="M4407" s="1" t="str">
        <f>"天津 天津市 滨海新区 "</f>
        <v xml:space="preserve">天津 天津市 滨海新区 </v>
      </c>
      <c r="N4407" s="1" t="str">
        <f t="shared" si="1425"/>
        <v>凡华云仓-城南圆通-微信视频号</v>
      </c>
      <c r="O4407" s="5" t="s">
        <v>4437</v>
      </c>
      <c r="P4407" s="6">
        <v>0.24</v>
      </c>
      <c r="Q4407" s="11">
        <v>2</v>
      </c>
      <c r="R4407" s="11"/>
      <c r="S4407" s="11"/>
      <c r="T4407" s="11"/>
      <c r="U4407" s="11">
        <f t="shared" si="1413"/>
        <v>2</v>
      </c>
      <c r="W4407">
        <v>2.2000000000000002</v>
      </c>
      <c r="X4407" s="1" t="s">
        <v>218</v>
      </c>
    </row>
    <row r="4408" spans="1:24" x14ac:dyDescent="0.25">
      <c r="A4408" s="1" t="str">
        <f t="shared" si="1414"/>
        <v>卡卡杜-凤凰仓</v>
      </c>
      <c r="B4408" s="1" t="str">
        <f>"CK20241022848"</f>
        <v>CK20241022848</v>
      </c>
      <c r="C4408" s="1" t="str">
        <f>"DD2024102257300"</f>
        <v>DD2024102257300</v>
      </c>
      <c r="D4408" s="1" t="str">
        <f>"CK2024102250485"</f>
        <v>CK2024102250485</v>
      </c>
      <c r="E4408" s="1" t="str">
        <f>"3723467804871363584"</f>
        <v>3723467804871363584</v>
      </c>
      <c r="F4408" s="1" t="str">
        <f t="shared" si="1415"/>
        <v>花都四部-凤凰仓</v>
      </c>
      <c r="G4408" s="1" t="str">
        <f t="shared" si="1421"/>
        <v>卡卡杜企业店（视频号）</v>
      </c>
      <c r="H4408" s="1" t="str">
        <f t="shared" si="1416"/>
        <v>正常订单</v>
      </c>
      <c r="I4408" s="1" t="str">
        <f t="shared" si="1417"/>
        <v>已发货</v>
      </c>
      <c r="J4408" s="1" t="str">
        <f t="shared" si="1432"/>
        <v>3</v>
      </c>
      <c r="K4408" s="1">
        <v>2</v>
      </c>
      <c r="L4408" s="1" t="s">
        <v>80</v>
      </c>
      <c r="M4408" s="1" t="str">
        <f>"河南省 洛阳市 涧西区 "</f>
        <v xml:space="preserve">河南省 洛阳市 涧西区 </v>
      </c>
      <c r="N4408" s="1" t="str">
        <f t="shared" si="1425"/>
        <v>凡华云仓-城南圆通-微信视频号</v>
      </c>
      <c r="O4408" s="5" t="s">
        <v>4438</v>
      </c>
      <c r="P4408" s="6">
        <v>0.24</v>
      </c>
      <c r="Q4408" s="11">
        <v>2</v>
      </c>
      <c r="R4408" s="11"/>
      <c r="S4408" s="11"/>
      <c r="T4408" s="11"/>
      <c r="U4408" s="11">
        <f t="shared" si="1413"/>
        <v>2</v>
      </c>
      <c r="W4408">
        <v>2.2000000000000002</v>
      </c>
      <c r="X4408" s="1" t="s">
        <v>80</v>
      </c>
    </row>
    <row r="4409" spans="1:24" x14ac:dyDescent="0.25">
      <c r="A4409" s="1" t="str">
        <f t="shared" si="1414"/>
        <v>卡卡杜-凤凰仓</v>
      </c>
      <c r="B4409" s="1" t="str">
        <f>"CK20241022694"</f>
        <v>CK20241022694</v>
      </c>
      <c r="C4409" s="1" t="str">
        <f>"DD2024102256997"</f>
        <v>DD2024102256997</v>
      </c>
      <c r="D4409" s="1" t="str">
        <f>"CK2024102250484"</f>
        <v>CK2024102250484</v>
      </c>
      <c r="E4409" s="1" t="str">
        <f>"3723467801430461440"</f>
        <v>3723467801430461440</v>
      </c>
      <c r="F4409" s="1" t="str">
        <f t="shared" si="1415"/>
        <v>花都四部-凤凰仓</v>
      </c>
      <c r="G4409" s="1" t="str">
        <f t="shared" si="1421"/>
        <v>卡卡杜企业店（视频号）</v>
      </c>
      <c r="H4409" s="1" t="str">
        <f t="shared" si="1416"/>
        <v>正常订单</v>
      </c>
      <c r="I4409" s="1" t="str">
        <f t="shared" si="1417"/>
        <v>已发货</v>
      </c>
      <c r="J4409" s="1" t="str">
        <f t="shared" si="1432"/>
        <v>3</v>
      </c>
      <c r="K4409" s="1">
        <v>2</v>
      </c>
      <c r="L4409" s="1" t="s">
        <v>54</v>
      </c>
      <c r="M4409" s="1" t="str">
        <f>"黑龙江省 齐齐哈尔市 龙沙区 "</f>
        <v xml:space="preserve">黑龙江省 齐齐哈尔市 龙沙区 </v>
      </c>
      <c r="N4409" s="1" t="str">
        <f t="shared" si="1425"/>
        <v>凡华云仓-城南圆通-微信视频号</v>
      </c>
      <c r="O4409" s="5" t="s">
        <v>4439</v>
      </c>
      <c r="P4409" s="6">
        <v>0.24</v>
      </c>
      <c r="Q4409" s="11">
        <v>2</v>
      </c>
      <c r="R4409" s="11"/>
      <c r="S4409" s="11"/>
      <c r="T4409" s="11"/>
      <c r="U4409" s="11">
        <f t="shared" si="1413"/>
        <v>2</v>
      </c>
      <c r="W4409">
        <v>2.2000000000000002</v>
      </c>
      <c r="X4409" s="1" t="s">
        <v>54</v>
      </c>
    </row>
    <row r="4410" spans="1:24" x14ac:dyDescent="0.25">
      <c r="A4410" s="1" t="str">
        <f t="shared" si="1414"/>
        <v>卡卡杜-凤凰仓</v>
      </c>
      <c r="B4410" s="1" t="str">
        <f>"CK20241022828"</f>
        <v>CK20241022828</v>
      </c>
      <c r="C4410" s="1" t="str">
        <f>"DD2024102257235"</f>
        <v>DD2024102257235</v>
      </c>
      <c r="D4410" s="1" t="str">
        <f>"CK2024102250483"</f>
        <v>CK2024102250483</v>
      </c>
      <c r="E4410" s="1" t="str">
        <f>"3723467800316349441"</f>
        <v>3723467800316349441</v>
      </c>
      <c r="F4410" s="1" t="str">
        <f t="shared" si="1415"/>
        <v>花都四部-凤凰仓</v>
      </c>
      <c r="G4410" s="1" t="str">
        <f t="shared" si="1421"/>
        <v>卡卡杜企业店（视频号）</v>
      </c>
      <c r="H4410" s="1" t="str">
        <f t="shared" si="1416"/>
        <v>正常订单</v>
      </c>
      <c r="I4410" s="1" t="str">
        <f t="shared" si="1417"/>
        <v>已发货</v>
      </c>
      <c r="J4410" s="1" t="str">
        <f t="shared" ref="J4410:J4413" si="1433">"2"</f>
        <v>2</v>
      </c>
      <c r="K4410" s="1">
        <v>2</v>
      </c>
      <c r="L4410" s="1" t="s">
        <v>161</v>
      </c>
      <c r="M4410" s="1" t="str">
        <f>"四川省 成都市 郫都区 "</f>
        <v xml:space="preserve">四川省 成都市 郫都区 </v>
      </c>
      <c r="N4410" s="1" t="str">
        <f t="shared" si="1425"/>
        <v>凡华云仓-城南圆通-微信视频号</v>
      </c>
      <c r="O4410" s="5" t="s">
        <v>4440</v>
      </c>
      <c r="P4410" s="6">
        <v>0.17</v>
      </c>
      <c r="Q4410" s="11">
        <v>2</v>
      </c>
      <c r="R4410" s="11"/>
      <c r="S4410" s="11"/>
      <c r="T4410" s="11"/>
      <c r="U4410" s="11">
        <f t="shared" si="1413"/>
        <v>2</v>
      </c>
      <c r="W4410">
        <v>2.2000000000000002</v>
      </c>
      <c r="X4410" s="1" t="s">
        <v>161</v>
      </c>
    </row>
    <row r="4411" spans="1:24" x14ac:dyDescent="0.25">
      <c r="A4411" s="1" t="str">
        <f t="shared" si="1414"/>
        <v>卡卡杜-凤凰仓</v>
      </c>
      <c r="B4411" s="1" t="str">
        <f>"CK20241022811"</f>
        <v>CK20241022811</v>
      </c>
      <c r="C4411" s="1" t="str">
        <f>"DD2024102257175"</f>
        <v>DD2024102257175</v>
      </c>
      <c r="D4411" s="1" t="str">
        <f>"CK2024102250482"</f>
        <v>CK2024102250482</v>
      </c>
      <c r="E4411" s="1" t="str">
        <f>"3723467800300357120"</f>
        <v>3723467800300357120</v>
      </c>
      <c r="F4411" s="1" t="str">
        <f t="shared" si="1415"/>
        <v>花都四部-凤凰仓</v>
      </c>
      <c r="G4411" s="1" t="str">
        <f t="shared" si="1421"/>
        <v>卡卡杜企业店（视频号）</v>
      </c>
      <c r="H4411" s="1" t="str">
        <f t="shared" si="1416"/>
        <v>正常订单</v>
      </c>
      <c r="I4411" s="1" t="str">
        <f t="shared" si="1417"/>
        <v>已发货</v>
      </c>
      <c r="J4411" s="1" t="str">
        <f t="shared" si="1433"/>
        <v>2</v>
      </c>
      <c r="K4411" s="1">
        <v>2</v>
      </c>
      <c r="L4411" s="1" t="s">
        <v>20</v>
      </c>
      <c r="M4411" s="1" t="str">
        <f>"浙江省 杭州市 上城区 "</f>
        <v xml:space="preserve">浙江省 杭州市 上城区 </v>
      </c>
      <c r="N4411" s="1" t="str">
        <f t="shared" si="1425"/>
        <v>凡华云仓-城南圆通-微信视频号</v>
      </c>
      <c r="O4411" s="5" t="s">
        <v>4441</v>
      </c>
      <c r="P4411" s="6">
        <v>0.17</v>
      </c>
      <c r="Q4411" s="11">
        <v>2</v>
      </c>
      <c r="R4411" s="11"/>
      <c r="S4411" s="11"/>
      <c r="T4411" s="11"/>
      <c r="U4411" s="11">
        <f t="shared" si="1413"/>
        <v>2</v>
      </c>
      <c r="W4411">
        <v>2.2000000000000002</v>
      </c>
      <c r="X4411" s="1" t="s">
        <v>20</v>
      </c>
    </row>
    <row r="4412" spans="1:24" x14ac:dyDescent="0.25">
      <c r="A4412" s="1" t="str">
        <f t="shared" si="1414"/>
        <v>卡卡杜-凤凰仓</v>
      </c>
      <c r="B4412" s="1" t="str">
        <f>"CK20241022903"</f>
        <v>CK20241022903</v>
      </c>
      <c r="C4412" s="1" t="str">
        <f>"DD2024102257512"</f>
        <v>DD2024102257512</v>
      </c>
      <c r="D4412" s="1" t="str">
        <f>"CK2024102250481"</f>
        <v>CK2024102250481</v>
      </c>
      <c r="E4412" s="1" t="str">
        <f>"3723467799993648640"</f>
        <v>3723467799993648640</v>
      </c>
      <c r="F4412" s="1" t="str">
        <f t="shared" si="1415"/>
        <v>花都四部-凤凰仓</v>
      </c>
      <c r="G4412" s="1" t="str">
        <f t="shared" si="1421"/>
        <v>卡卡杜企业店（视频号）</v>
      </c>
      <c r="H4412" s="1" t="str">
        <f t="shared" si="1416"/>
        <v>正常订单</v>
      </c>
      <c r="I4412" s="1" t="str">
        <f t="shared" si="1417"/>
        <v>已发货</v>
      </c>
      <c r="J4412" s="1" t="str">
        <f t="shared" ref="J4412:J4429" si="1434">"3"</f>
        <v>3</v>
      </c>
      <c r="K4412" s="1">
        <v>2</v>
      </c>
      <c r="L4412" s="1" t="s">
        <v>96</v>
      </c>
      <c r="M4412" s="1" t="str">
        <f>"广西壮族自治区 来宾市 兴宾区 "</f>
        <v xml:space="preserve">广西壮族自治区 来宾市 兴宾区 </v>
      </c>
      <c r="N4412" s="1" t="str">
        <f t="shared" si="1425"/>
        <v>凡华云仓-城南圆通-微信视频号</v>
      </c>
      <c r="O4412" s="5" t="s">
        <v>4442</v>
      </c>
      <c r="P4412" s="6">
        <v>0.24</v>
      </c>
      <c r="Q4412" s="11">
        <v>2</v>
      </c>
      <c r="R4412" s="11"/>
      <c r="S4412" s="11"/>
      <c r="T4412" s="11"/>
      <c r="U4412" s="11">
        <f t="shared" si="1413"/>
        <v>2</v>
      </c>
      <c r="W4412">
        <v>2.2000000000000002</v>
      </c>
      <c r="X4412" s="1" t="s">
        <v>96</v>
      </c>
    </row>
    <row r="4413" spans="1:24" x14ac:dyDescent="0.25">
      <c r="A4413" s="1" t="str">
        <f t="shared" si="1414"/>
        <v>卡卡杜-凤凰仓</v>
      </c>
      <c r="B4413" s="1" t="str">
        <f>"CK20241022832"</f>
        <v>CK20241022832</v>
      </c>
      <c r="C4413" s="1" t="str">
        <f>"DD2024102257249"</f>
        <v>DD2024102257249</v>
      </c>
      <c r="D4413" s="1" t="str">
        <f>"CK2024102250480"</f>
        <v>CK2024102250480</v>
      </c>
      <c r="E4413" s="1" t="str">
        <f>"3723467799287435264"</f>
        <v>3723467799287435264</v>
      </c>
      <c r="F4413" s="1" t="str">
        <f t="shared" si="1415"/>
        <v>花都四部-凤凰仓</v>
      </c>
      <c r="G4413" s="1" t="str">
        <f t="shared" si="1421"/>
        <v>卡卡杜企业店（视频号）</v>
      </c>
      <c r="H4413" s="1" t="str">
        <f t="shared" si="1416"/>
        <v>正常订单</v>
      </c>
      <c r="I4413" s="1" t="str">
        <f t="shared" si="1417"/>
        <v>已发货</v>
      </c>
      <c r="J4413" s="1" t="str">
        <f t="shared" si="1433"/>
        <v>2</v>
      </c>
      <c r="K4413" s="1">
        <v>2</v>
      </c>
      <c r="L4413" s="1" t="s">
        <v>161</v>
      </c>
      <c r="M4413" s="1" t="str">
        <f>"四川省 成都市 锦江区 "</f>
        <v xml:space="preserve">四川省 成都市 锦江区 </v>
      </c>
      <c r="N4413" s="1" t="str">
        <f t="shared" si="1425"/>
        <v>凡华云仓-城南圆通-微信视频号</v>
      </c>
      <c r="O4413" s="5" t="s">
        <v>4443</v>
      </c>
      <c r="P4413" s="6">
        <v>0.17</v>
      </c>
      <c r="Q4413" s="11">
        <v>2</v>
      </c>
      <c r="R4413" s="11"/>
      <c r="S4413" s="11"/>
      <c r="T4413" s="11"/>
      <c r="U4413" s="11">
        <f t="shared" si="1413"/>
        <v>2</v>
      </c>
      <c r="W4413">
        <v>2.2000000000000002</v>
      </c>
      <c r="X4413" s="1" t="s">
        <v>161</v>
      </c>
    </row>
    <row r="4414" spans="1:24" x14ac:dyDescent="0.25">
      <c r="A4414" s="1" t="str">
        <f t="shared" si="1414"/>
        <v>卡卡杜-凤凰仓</v>
      </c>
      <c r="B4414" s="1" t="str">
        <f>"CK20241022901"</f>
        <v>CK20241022901</v>
      </c>
      <c r="C4414" s="1" t="str">
        <f>"DD2024102257529"</f>
        <v>DD2024102257529</v>
      </c>
      <c r="D4414" s="1" t="str">
        <f>"CK2024102250479"</f>
        <v>CK2024102250479</v>
      </c>
      <c r="E4414" s="1" t="str">
        <f>"3723467798159164928"</f>
        <v>3723467798159164928</v>
      </c>
      <c r="F4414" s="1" t="str">
        <f t="shared" si="1415"/>
        <v>花都四部-凤凰仓</v>
      </c>
      <c r="G4414" s="1" t="str">
        <f t="shared" si="1421"/>
        <v>卡卡杜企业店（视频号）</v>
      </c>
      <c r="H4414" s="1" t="str">
        <f t="shared" si="1416"/>
        <v>正常订单</v>
      </c>
      <c r="I4414" s="1" t="str">
        <f t="shared" si="1417"/>
        <v>已发货</v>
      </c>
      <c r="J4414" s="1" t="str">
        <f t="shared" si="1434"/>
        <v>3</v>
      </c>
      <c r="K4414" s="1">
        <v>2</v>
      </c>
      <c r="L4414" s="1" t="s">
        <v>161</v>
      </c>
      <c r="M4414" s="1" t="str">
        <f>"四川省 成都市 双流区 "</f>
        <v xml:space="preserve">四川省 成都市 双流区 </v>
      </c>
      <c r="N4414" s="1" t="str">
        <f t="shared" si="1425"/>
        <v>凡华云仓-城南圆通-微信视频号</v>
      </c>
      <c r="O4414" s="5" t="s">
        <v>4444</v>
      </c>
      <c r="P4414" s="6">
        <v>0.24</v>
      </c>
      <c r="Q4414" s="11">
        <v>2</v>
      </c>
      <c r="R4414" s="11"/>
      <c r="S4414" s="11"/>
      <c r="T4414" s="11"/>
      <c r="U4414" s="11">
        <f t="shared" si="1413"/>
        <v>2</v>
      </c>
      <c r="W4414">
        <v>2.2000000000000002</v>
      </c>
      <c r="X4414" s="1" t="s">
        <v>161</v>
      </c>
    </row>
    <row r="4415" spans="1:24" x14ac:dyDescent="0.25">
      <c r="A4415" s="1" t="str">
        <f t="shared" si="1414"/>
        <v>卡卡杜-凤凰仓</v>
      </c>
      <c r="B4415" s="1" t="str">
        <f>"CK20241022814"</f>
        <v>CK20241022814</v>
      </c>
      <c r="C4415" s="1" t="str">
        <f>"DD2024102257183"</f>
        <v>DD2024102257183</v>
      </c>
      <c r="D4415" s="1" t="str">
        <f>"CK2024102250478"</f>
        <v>CK2024102250478</v>
      </c>
      <c r="E4415" s="1" t="str">
        <f>"3723467745746617600"</f>
        <v>3723467745746617600</v>
      </c>
      <c r="F4415" s="1" t="str">
        <f t="shared" si="1415"/>
        <v>花都四部-凤凰仓</v>
      </c>
      <c r="G4415" s="1" t="str">
        <f t="shared" si="1421"/>
        <v>卡卡杜企业店（视频号）</v>
      </c>
      <c r="H4415" s="1" t="str">
        <f t="shared" si="1416"/>
        <v>正常订单</v>
      </c>
      <c r="I4415" s="1" t="str">
        <f t="shared" si="1417"/>
        <v>已发货</v>
      </c>
      <c r="J4415" s="1" t="str">
        <f>"2"</f>
        <v>2</v>
      </c>
      <c r="K4415" s="1">
        <v>2</v>
      </c>
      <c r="L4415" s="1" t="s">
        <v>80</v>
      </c>
      <c r="M4415" s="1" t="str">
        <f>"河南省 郑州市 金水区 "</f>
        <v xml:space="preserve">河南省 郑州市 金水区 </v>
      </c>
      <c r="N4415" s="1" t="str">
        <f t="shared" si="1425"/>
        <v>凡华云仓-城南圆通-微信视频号</v>
      </c>
      <c r="O4415" s="5" t="s">
        <v>4445</v>
      </c>
      <c r="P4415" s="6">
        <v>0.17</v>
      </c>
      <c r="Q4415" s="11">
        <v>2</v>
      </c>
      <c r="R4415" s="11"/>
      <c r="S4415" s="11"/>
      <c r="T4415" s="11"/>
      <c r="U4415" s="11">
        <f t="shared" si="1413"/>
        <v>2</v>
      </c>
      <c r="W4415">
        <v>2.2000000000000002</v>
      </c>
      <c r="X4415" s="1" t="s">
        <v>80</v>
      </c>
    </row>
    <row r="4416" spans="1:24" x14ac:dyDescent="0.25">
      <c r="A4416" s="1" t="str">
        <f t="shared" si="1414"/>
        <v>卡卡杜-凤凰仓</v>
      </c>
      <c r="B4416" s="1" t="str">
        <f>"CK20241022767"</f>
        <v>CK20241022767</v>
      </c>
      <c r="C4416" s="1" t="str">
        <f>"DD2024102257070"</f>
        <v>DD2024102257070</v>
      </c>
      <c r="D4416" s="1" t="str">
        <f>"CK2024102250477"</f>
        <v>CK2024102250477</v>
      </c>
      <c r="E4416" s="1" t="str">
        <f>"3723467795002166272"</f>
        <v>3723467795002166272</v>
      </c>
      <c r="F4416" s="1" t="str">
        <f t="shared" si="1415"/>
        <v>花都四部-凤凰仓</v>
      </c>
      <c r="G4416" s="1" t="str">
        <f t="shared" si="1421"/>
        <v>卡卡杜企业店（视频号）</v>
      </c>
      <c r="H4416" s="1" t="str">
        <f t="shared" si="1416"/>
        <v>正常订单</v>
      </c>
      <c r="I4416" s="1" t="str">
        <f t="shared" si="1417"/>
        <v>已发货</v>
      </c>
      <c r="J4416" s="1" t="str">
        <f t="shared" si="1434"/>
        <v>3</v>
      </c>
      <c r="K4416" s="1">
        <v>2</v>
      </c>
      <c r="L4416" s="1" t="s">
        <v>161</v>
      </c>
      <c r="M4416" s="1" t="str">
        <f>"四川省 成都市 新津区 "</f>
        <v xml:space="preserve">四川省 成都市 新津区 </v>
      </c>
      <c r="N4416" s="1" t="str">
        <f t="shared" si="1425"/>
        <v>凡华云仓-城南圆通-微信视频号</v>
      </c>
      <c r="O4416" s="5" t="s">
        <v>4446</v>
      </c>
      <c r="P4416" s="6">
        <v>0.24</v>
      </c>
      <c r="Q4416" s="11">
        <v>2</v>
      </c>
      <c r="R4416" s="11"/>
      <c r="S4416" s="11"/>
      <c r="T4416" s="11"/>
      <c r="U4416" s="11">
        <f t="shared" si="1413"/>
        <v>2</v>
      </c>
      <c r="W4416">
        <v>2.2000000000000002</v>
      </c>
      <c r="X4416" s="1" t="s">
        <v>161</v>
      </c>
    </row>
    <row r="4417" spans="1:24" x14ac:dyDescent="0.25">
      <c r="A4417" s="1" t="str">
        <f t="shared" si="1414"/>
        <v>卡卡杜-凤凰仓</v>
      </c>
      <c r="B4417" s="1" t="str">
        <f>"CK20241022916"</f>
        <v>CK20241022916</v>
      </c>
      <c r="C4417" s="1" t="str">
        <f>"DD2024102257570"</f>
        <v>DD2024102257570</v>
      </c>
      <c r="D4417" s="1" t="str">
        <f>"CK2024102250476"</f>
        <v>CK2024102250476</v>
      </c>
      <c r="E4417" s="1" t="str">
        <f>"3723467789416403968"</f>
        <v>3723467789416403968</v>
      </c>
      <c r="F4417" s="1" t="str">
        <f t="shared" si="1415"/>
        <v>花都四部-凤凰仓</v>
      </c>
      <c r="G4417" s="1" t="str">
        <f t="shared" si="1421"/>
        <v>卡卡杜企业店（视频号）</v>
      </c>
      <c r="H4417" s="1" t="str">
        <f t="shared" si="1416"/>
        <v>正常订单</v>
      </c>
      <c r="I4417" s="1" t="str">
        <f t="shared" si="1417"/>
        <v>已发货</v>
      </c>
      <c r="J4417" s="1" t="str">
        <f t="shared" si="1434"/>
        <v>3</v>
      </c>
      <c r="K4417" s="1">
        <v>2</v>
      </c>
      <c r="L4417" s="1" t="s">
        <v>30</v>
      </c>
      <c r="M4417" s="1" t="str">
        <f>"山东省 青岛市 黄岛区 "</f>
        <v xml:space="preserve">山东省 青岛市 黄岛区 </v>
      </c>
      <c r="N4417" s="1" t="str">
        <f t="shared" si="1425"/>
        <v>凡华云仓-城南圆通-微信视频号</v>
      </c>
      <c r="O4417" s="5" t="s">
        <v>4447</v>
      </c>
      <c r="P4417" s="6">
        <v>0.24</v>
      </c>
      <c r="Q4417" s="11">
        <v>2</v>
      </c>
      <c r="R4417" s="11"/>
      <c r="S4417" s="11"/>
      <c r="T4417" s="11"/>
      <c r="U4417" s="11">
        <f t="shared" si="1413"/>
        <v>2</v>
      </c>
      <c r="W4417">
        <v>2.2000000000000002</v>
      </c>
      <c r="X4417" s="1" t="s">
        <v>30</v>
      </c>
    </row>
    <row r="4418" spans="1:24" x14ac:dyDescent="0.25">
      <c r="A4418" s="1" t="str">
        <f t="shared" si="1414"/>
        <v>卡卡杜-凤凰仓</v>
      </c>
      <c r="B4418" s="1" t="str">
        <f>"CK20241022891"</f>
        <v>CK20241022891</v>
      </c>
      <c r="C4418" s="1" t="str">
        <f>"DD2024102257472"</f>
        <v>DD2024102257472</v>
      </c>
      <c r="D4418" s="1" t="str">
        <f>"CK2024102250475"</f>
        <v>CK2024102250475</v>
      </c>
      <c r="E4418" s="1" t="str">
        <f>"3723467785700773888"</f>
        <v>3723467785700773888</v>
      </c>
      <c r="F4418" s="1" t="str">
        <f t="shared" si="1415"/>
        <v>花都四部-凤凰仓</v>
      </c>
      <c r="G4418" s="1" t="str">
        <f t="shared" si="1421"/>
        <v>卡卡杜企业店（视频号）</v>
      </c>
      <c r="H4418" s="1" t="str">
        <f t="shared" si="1416"/>
        <v>正常订单</v>
      </c>
      <c r="I4418" s="1" t="str">
        <f t="shared" si="1417"/>
        <v>已发货</v>
      </c>
      <c r="J4418" s="1" t="str">
        <f t="shared" si="1434"/>
        <v>3</v>
      </c>
      <c r="K4418" s="1">
        <v>2</v>
      </c>
      <c r="L4418" s="1" t="s">
        <v>94</v>
      </c>
      <c r="M4418" s="1" t="str">
        <f>"湖南省 长沙市 天心区 "</f>
        <v xml:space="preserve">湖南省 长沙市 天心区 </v>
      </c>
      <c r="N4418" s="1" t="str">
        <f t="shared" si="1425"/>
        <v>凡华云仓-城南圆通-微信视频号</v>
      </c>
      <c r="O4418" s="5" t="s">
        <v>4448</v>
      </c>
      <c r="P4418" s="6">
        <v>0.24</v>
      </c>
      <c r="Q4418" s="11">
        <v>2</v>
      </c>
      <c r="R4418" s="11"/>
      <c r="S4418" s="11"/>
      <c r="T4418" s="11"/>
      <c r="U4418" s="11">
        <f t="shared" si="1413"/>
        <v>2</v>
      </c>
      <c r="W4418">
        <v>2.2000000000000002</v>
      </c>
      <c r="X4418" s="1" t="s">
        <v>94</v>
      </c>
    </row>
    <row r="4419" spans="1:24" x14ac:dyDescent="0.25">
      <c r="A4419" s="1" t="str">
        <f t="shared" si="1414"/>
        <v>卡卡杜-凤凰仓</v>
      </c>
      <c r="B4419" s="1" t="str">
        <f>"CK202410221007"</f>
        <v>CK202410221007</v>
      </c>
      <c r="C4419" s="1" t="str">
        <f>"DD2024102258484"</f>
        <v>DD2024102258484</v>
      </c>
      <c r="D4419" s="1" t="str">
        <f>"CK2024102250474"</f>
        <v>CK2024102250474</v>
      </c>
      <c r="E4419" s="1" t="str">
        <f>"3723467784350991872"</f>
        <v>3723467784350991872</v>
      </c>
      <c r="F4419" s="1" t="str">
        <f t="shared" si="1415"/>
        <v>花都四部-凤凰仓</v>
      </c>
      <c r="G4419" s="1" t="str">
        <f t="shared" si="1421"/>
        <v>卡卡杜企业店（视频号）</v>
      </c>
      <c r="H4419" s="1" t="str">
        <f t="shared" si="1416"/>
        <v>正常订单</v>
      </c>
      <c r="I4419" s="1" t="str">
        <f t="shared" si="1417"/>
        <v>已发货</v>
      </c>
      <c r="J4419" s="1" t="str">
        <f t="shared" si="1434"/>
        <v>3</v>
      </c>
      <c r="K4419" s="1">
        <v>2</v>
      </c>
      <c r="L4419" s="1" t="s">
        <v>30</v>
      </c>
      <c r="M4419" s="1" t="str">
        <f>"山东省 烟台市 莱山区 "</f>
        <v xml:space="preserve">山东省 烟台市 莱山区 </v>
      </c>
      <c r="N4419" s="1" t="str">
        <f t="shared" si="1425"/>
        <v>凡华云仓-城南圆通-微信视频号</v>
      </c>
      <c r="O4419" s="5" t="s">
        <v>4449</v>
      </c>
      <c r="P4419" s="6">
        <v>0.24</v>
      </c>
      <c r="Q4419" s="11">
        <v>2</v>
      </c>
      <c r="R4419" s="11"/>
      <c r="S4419" s="11"/>
      <c r="T4419" s="11"/>
      <c r="U4419" s="11">
        <f t="shared" ref="U4419:U4482" si="1435">T4419+S4419+R4419+Q4419</f>
        <v>2</v>
      </c>
      <c r="W4419">
        <v>2.2000000000000002</v>
      </c>
      <c r="X4419" s="1" t="s">
        <v>30</v>
      </c>
    </row>
    <row r="4420" spans="1:24" x14ac:dyDescent="0.25">
      <c r="A4420" s="1" t="str">
        <f t="shared" si="1414"/>
        <v>卡卡杜-凤凰仓</v>
      </c>
      <c r="B4420" s="1" t="str">
        <f>"CK20241022885"</f>
        <v>CK20241022885</v>
      </c>
      <c r="C4420" s="1" t="str">
        <f>"DD2024102257450"</f>
        <v>DD2024102257450</v>
      </c>
      <c r="D4420" s="1" t="str">
        <f>"CK2024102250473"</f>
        <v>CK2024102250473</v>
      </c>
      <c r="E4420" s="1" t="str">
        <f>"3723467780680455168"</f>
        <v>3723467780680455168</v>
      </c>
      <c r="F4420" s="1" t="str">
        <f t="shared" si="1415"/>
        <v>花都四部-凤凰仓</v>
      </c>
      <c r="G4420" s="1" t="str">
        <f t="shared" si="1421"/>
        <v>卡卡杜企业店（视频号）</v>
      </c>
      <c r="H4420" s="1" t="str">
        <f t="shared" si="1416"/>
        <v>正常订单</v>
      </c>
      <c r="I4420" s="1" t="str">
        <f t="shared" si="1417"/>
        <v>已发货</v>
      </c>
      <c r="J4420" s="1" t="str">
        <f t="shared" si="1434"/>
        <v>3</v>
      </c>
      <c r="K4420" s="1">
        <v>2</v>
      </c>
      <c r="L4420" s="1" t="s">
        <v>20</v>
      </c>
      <c r="M4420" s="1" t="str">
        <f>"浙江省 绍兴市 越城区 "</f>
        <v xml:space="preserve">浙江省 绍兴市 越城区 </v>
      </c>
      <c r="N4420" s="1" t="str">
        <f t="shared" si="1425"/>
        <v>凡华云仓-城南圆通-微信视频号</v>
      </c>
      <c r="O4420" s="5" t="s">
        <v>4450</v>
      </c>
      <c r="P4420" s="6">
        <v>0.24</v>
      </c>
      <c r="Q4420" s="11">
        <v>2</v>
      </c>
      <c r="R4420" s="11"/>
      <c r="S4420" s="11"/>
      <c r="T4420" s="11"/>
      <c r="U4420" s="11">
        <f t="shared" si="1435"/>
        <v>2</v>
      </c>
      <c r="W4420">
        <v>2.2000000000000002</v>
      </c>
      <c r="X4420" s="1" t="s">
        <v>20</v>
      </c>
    </row>
    <row r="4421" spans="1:24" x14ac:dyDescent="0.25">
      <c r="A4421" s="1" t="str">
        <f t="shared" ref="A4421:A4484" si="1436">"卡卡杜-凤凰仓"</f>
        <v>卡卡杜-凤凰仓</v>
      </c>
      <c r="B4421" s="1" t="str">
        <f>"CK20241022754"</f>
        <v>CK20241022754</v>
      </c>
      <c r="C4421" s="1" t="str">
        <f>"DD2024102257057"</f>
        <v>DD2024102257057</v>
      </c>
      <c r="D4421" s="1" t="str">
        <f>"CK2024102250472"</f>
        <v>CK2024102250472</v>
      </c>
      <c r="E4421" s="1" t="str">
        <f>"3723467774562276352"</f>
        <v>3723467774562276352</v>
      </c>
      <c r="F4421" s="1" t="str">
        <f t="shared" ref="F4421:F4484" si="1437">"花都四部-凤凰仓"</f>
        <v>花都四部-凤凰仓</v>
      </c>
      <c r="G4421" s="1" t="str">
        <f t="shared" si="1421"/>
        <v>卡卡杜企业店（视频号）</v>
      </c>
      <c r="H4421" s="1" t="str">
        <f t="shared" ref="H4421:H4484" si="1438">"正常订单"</f>
        <v>正常订单</v>
      </c>
      <c r="I4421" s="1" t="str">
        <f t="shared" ref="I4421:I4484" si="1439">"已发货"</f>
        <v>已发货</v>
      </c>
      <c r="J4421" s="1" t="str">
        <f t="shared" si="1434"/>
        <v>3</v>
      </c>
      <c r="K4421" s="1">
        <v>2</v>
      </c>
      <c r="L4421" s="1" t="s">
        <v>18</v>
      </c>
      <c r="M4421" s="1" t="str">
        <f>"广东省 韶关市 武江区 "</f>
        <v xml:space="preserve">广东省 韶关市 武江区 </v>
      </c>
      <c r="N4421" s="1" t="str">
        <f t="shared" si="1425"/>
        <v>凡华云仓-城南圆通-微信视频号</v>
      </c>
      <c r="O4421" s="5" t="s">
        <v>4451</v>
      </c>
      <c r="P4421" s="6">
        <v>0.24</v>
      </c>
      <c r="Q4421" s="11">
        <v>2</v>
      </c>
      <c r="R4421" s="11"/>
      <c r="S4421" s="11"/>
      <c r="T4421" s="11"/>
      <c r="U4421" s="11">
        <f t="shared" si="1435"/>
        <v>2</v>
      </c>
      <c r="W4421">
        <v>2.2000000000000002</v>
      </c>
      <c r="X4421" s="1" t="s">
        <v>18</v>
      </c>
    </row>
    <row r="4422" spans="1:24" x14ac:dyDescent="0.25">
      <c r="A4422" s="1" t="str">
        <f t="shared" si="1436"/>
        <v>卡卡杜-凤凰仓</v>
      </c>
      <c r="B4422" s="1" t="str">
        <f>"CK20241022915"</f>
        <v>CK20241022915</v>
      </c>
      <c r="C4422" s="1" t="str">
        <f>"DD2024102257571"</f>
        <v>DD2024102257571</v>
      </c>
      <c r="D4422" s="1" t="str">
        <f>"CK2024102250471"</f>
        <v>CK2024102250471</v>
      </c>
      <c r="E4422" s="1" t="str">
        <f>"3723467776413798400"</f>
        <v>3723467776413798400</v>
      </c>
      <c r="F4422" s="1" t="str">
        <f t="shared" si="1437"/>
        <v>花都四部-凤凰仓</v>
      </c>
      <c r="G4422" s="1" t="str">
        <f t="shared" si="1421"/>
        <v>卡卡杜企业店（视频号）</v>
      </c>
      <c r="H4422" s="1" t="str">
        <f t="shared" si="1438"/>
        <v>正常订单</v>
      </c>
      <c r="I4422" s="1" t="str">
        <f t="shared" si="1439"/>
        <v>已发货</v>
      </c>
      <c r="J4422" s="1" t="str">
        <f t="shared" si="1434"/>
        <v>3</v>
      </c>
      <c r="K4422" s="1">
        <v>2</v>
      </c>
      <c r="L4422" s="1" t="s">
        <v>105</v>
      </c>
      <c r="M4422" s="1" t="str">
        <f>"北京 北京市 海淀区 "</f>
        <v xml:space="preserve">北京 北京市 海淀区 </v>
      </c>
      <c r="N4422" s="1" t="str">
        <f t="shared" si="1425"/>
        <v>凡华云仓-城南圆通-微信视频号</v>
      </c>
      <c r="O4422" s="5" t="s">
        <v>4452</v>
      </c>
      <c r="P4422" s="6">
        <v>0.24</v>
      </c>
      <c r="Q4422" s="11">
        <v>2</v>
      </c>
      <c r="R4422" s="11"/>
      <c r="S4422" s="11"/>
      <c r="T4422" s="11"/>
      <c r="U4422" s="11">
        <f t="shared" si="1435"/>
        <v>2</v>
      </c>
      <c r="W4422">
        <v>2.2000000000000002</v>
      </c>
      <c r="X4422" s="1" t="s">
        <v>105</v>
      </c>
    </row>
    <row r="4423" spans="1:24" x14ac:dyDescent="0.25">
      <c r="A4423" s="1" t="str">
        <f t="shared" si="1436"/>
        <v>卡卡杜-凤凰仓</v>
      </c>
      <c r="B4423" s="1" t="str">
        <f>"CK20241022884"</f>
        <v>CK20241022884</v>
      </c>
      <c r="C4423" s="1" t="str">
        <f>"DD2024102257440"</f>
        <v>DD2024102257440</v>
      </c>
      <c r="D4423" s="1" t="str">
        <f>"CK2024102250470"</f>
        <v>CK2024102250470</v>
      </c>
      <c r="E4423" s="1" t="str">
        <f>"3723467771479461888"</f>
        <v>3723467771479461888</v>
      </c>
      <c r="F4423" s="1" t="str">
        <f t="shared" si="1437"/>
        <v>花都四部-凤凰仓</v>
      </c>
      <c r="G4423" s="1" t="str">
        <f t="shared" si="1421"/>
        <v>卡卡杜企业店（视频号）</v>
      </c>
      <c r="H4423" s="1" t="str">
        <f t="shared" si="1438"/>
        <v>正常订单</v>
      </c>
      <c r="I4423" s="1" t="str">
        <f t="shared" si="1439"/>
        <v>已发货</v>
      </c>
      <c r="J4423" s="1" t="str">
        <f t="shared" si="1434"/>
        <v>3</v>
      </c>
      <c r="K4423" s="1">
        <v>2</v>
      </c>
      <c r="L4423" s="1" t="s">
        <v>187</v>
      </c>
      <c r="M4423" s="1" t="str">
        <f>"吉林省 辽源市 龙山区 "</f>
        <v xml:space="preserve">吉林省 辽源市 龙山区 </v>
      </c>
      <c r="N4423" s="1" t="str">
        <f t="shared" si="1425"/>
        <v>凡华云仓-城南圆通-微信视频号</v>
      </c>
      <c r="O4423" s="5" t="s">
        <v>4453</v>
      </c>
      <c r="P4423" s="6">
        <v>0.24</v>
      </c>
      <c r="Q4423" s="11">
        <v>2</v>
      </c>
      <c r="R4423" s="11"/>
      <c r="S4423" s="11"/>
      <c r="T4423" s="11"/>
      <c r="U4423" s="11">
        <f t="shared" si="1435"/>
        <v>2</v>
      </c>
      <c r="W4423">
        <v>2.2000000000000002</v>
      </c>
      <c r="X4423" s="1" t="s">
        <v>187</v>
      </c>
    </row>
    <row r="4424" spans="1:24" x14ac:dyDescent="0.25">
      <c r="A4424" s="1" t="str">
        <f t="shared" si="1436"/>
        <v>卡卡杜-凤凰仓</v>
      </c>
      <c r="B4424" s="1" t="str">
        <f>"CK20241022910"</f>
        <v>CK20241022910</v>
      </c>
      <c r="C4424" s="1" t="str">
        <f>"DD2024102257551"</f>
        <v>DD2024102257551</v>
      </c>
      <c r="D4424" s="1" t="str">
        <f>"CK2024102250469"</f>
        <v>CK2024102250469</v>
      </c>
      <c r="E4424" s="1" t="str">
        <f>"3723467768832591360"</f>
        <v>3723467768832591360</v>
      </c>
      <c r="F4424" s="1" t="str">
        <f t="shared" si="1437"/>
        <v>花都四部-凤凰仓</v>
      </c>
      <c r="G4424" s="1" t="str">
        <f t="shared" si="1421"/>
        <v>卡卡杜企业店（视频号）</v>
      </c>
      <c r="H4424" s="1" t="str">
        <f t="shared" si="1438"/>
        <v>正常订单</v>
      </c>
      <c r="I4424" s="1" t="str">
        <f t="shared" si="1439"/>
        <v>已发货</v>
      </c>
      <c r="J4424" s="1" t="str">
        <f t="shared" si="1434"/>
        <v>3</v>
      </c>
      <c r="K4424" s="1">
        <v>2</v>
      </c>
      <c r="L4424" s="1" t="s">
        <v>18</v>
      </c>
      <c r="M4424" s="1" t="str">
        <f>"广东省 中山市 南头镇 "</f>
        <v xml:space="preserve">广东省 中山市 南头镇 </v>
      </c>
      <c r="N4424" s="1" t="str">
        <f t="shared" si="1425"/>
        <v>凡华云仓-城南圆通-微信视频号</v>
      </c>
      <c r="O4424" s="5" t="s">
        <v>4454</v>
      </c>
      <c r="P4424" s="6">
        <v>0.24</v>
      </c>
      <c r="Q4424" s="11">
        <v>2</v>
      </c>
      <c r="R4424" s="11"/>
      <c r="S4424" s="11"/>
      <c r="T4424" s="11"/>
      <c r="U4424" s="11">
        <f t="shared" si="1435"/>
        <v>2</v>
      </c>
      <c r="W4424">
        <v>2.2000000000000002</v>
      </c>
      <c r="X4424" s="1" t="s">
        <v>18</v>
      </c>
    </row>
    <row r="4425" spans="1:24" x14ac:dyDescent="0.25">
      <c r="A4425" s="1" t="str">
        <f t="shared" si="1436"/>
        <v>卡卡杜-凤凰仓</v>
      </c>
      <c r="B4425" s="1" t="str">
        <f>"CK20241022994"</f>
        <v>CK20241022994</v>
      </c>
      <c r="C4425" s="1" t="str">
        <f>"DD2024102257812"</f>
        <v>DD2024102257812</v>
      </c>
      <c r="D4425" s="1" t="str">
        <f>"CK2024102250468"</f>
        <v>CK2024102250468</v>
      </c>
      <c r="E4425" s="1" t="str">
        <f>"3723467731801605632"</f>
        <v>3723467731801605632</v>
      </c>
      <c r="F4425" s="1" t="str">
        <f t="shared" si="1437"/>
        <v>花都四部-凤凰仓</v>
      </c>
      <c r="G4425" s="1" t="str">
        <f t="shared" si="1421"/>
        <v>卡卡杜企业店（视频号）</v>
      </c>
      <c r="H4425" s="1" t="str">
        <f t="shared" si="1438"/>
        <v>正常订单</v>
      </c>
      <c r="I4425" s="1" t="str">
        <f t="shared" si="1439"/>
        <v>已发货</v>
      </c>
      <c r="J4425" s="1" t="str">
        <f t="shared" si="1434"/>
        <v>3</v>
      </c>
      <c r="K4425" s="1">
        <v>2</v>
      </c>
      <c r="L4425" s="1" t="s">
        <v>218</v>
      </c>
      <c r="M4425" s="1" t="str">
        <f>"天津 天津市 河北区 "</f>
        <v xml:space="preserve">天津 天津市 河北区 </v>
      </c>
      <c r="N4425" s="1" t="str">
        <f t="shared" si="1425"/>
        <v>凡华云仓-城南圆通-微信视频号</v>
      </c>
      <c r="O4425" s="5" t="s">
        <v>4455</v>
      </c>
      <c r="P4425" s="6">
        <v>0.24</v>
      </c>
      <c r="Q4425" s="11">
        <v>2</v>
      </c>
      <c r="R4425" s="11"/>
      <c r="S4425" s="11"/>
      <c r="T4425" s="11"/>
      <c r="U4425" s="11">
        <f t="shared" si="1435"/>
        <v>2</v>
      </c>
      <c r="W4425">
        <v>2.2000000000000002</v>
      </c>
      <c r="X4425" s="1" t="s">
        <v>218</v>
      </c>
    </row>
    <row r="4426" spans="1:24" x14ac:dyDescent="0.25">
      <c r="A4426" s="1" t="str">
        <f t="shared" si="1436"/>
        <v>卡卡杜-凤凰仓</v>
      </c>
      <c r="B4426" s="1" t="str">
        <f>"CK20241022751"</f>
        <v>CK20241022751</v>
      </c>
      <c r="C4426" s="1" t="str">
        <f>"DD2024102257054"</f>
        <v>DD2024102257054</v>
      </c>
      <c r="D4426" s="1" t="str">
        <f>"CK2024102250467"</f>
        <v>CK2024102250467</v>
      </c>
      <c r="E4426" s="1" t="str">
        <f>"3723467757583467776"</f>
        <v>3723467757583467776</v>
      </c>
      <c r="F4426" s="1" t="str">
        <f t="shared" si="1437"/>
        <v>花都四部-凤凰仓</v>
      </c>
      <c r="G4426" s="1" t="str">
        <f t="shared" si="1421"/>
        <v>卡卡杜企业店（视频号）</v>
      </c>
      <c r="H4426" s="1" t="str">
        <f t="shared" si="1438"/>
        <v>正常订单</v>
      </c>
      <c r="I4426" s="1" t="str">
        <f t="shared" si="1439"/>
        <v>已发货</v>
      </c>
      <c r="J4426" s="1" t="str">
        <f t="shared" si="1434"/>
        <v>3</v>
      </c>
      <c r="K4426" s="1">
        <v>2</v>
      </c>
      <c r="L4426" s="1" t="s">
        <v>47</v>
      </c>
      <c r="M4426" s="1" t="str">
        <f>"重庆 重庆市 江津区 "</f>
        <v xml:space="preserve">重庆 重庆市 江津区 </v>
      </c>
      <c r="N4426" s="1" t="str">
        <f t="shared" si="1425"/>
        <v>凡华云仓-城南圆通-微信视频号</v>
      </c>
      <c r="O4426" s="5" t="s">
        <v>4456</v>
      </c>
      <c r="P4426" s="6">
        <v>0.24</v>
      </c>
      <c r="Q4426" s="11">
        <v>2</v>
      </c>
      <c r="R4426" s="11"/>
      <c r="S4426" s="11"/>
      <c r="T4426" s="11"/>
      <c r="U4426" s="11">
        <f t="shared" si="1435"/>
        <v>2</v>
      </c>
      <c r="W4426">
        <v>2.2000000000000002</v>
      </c>
      <c r="X4426" s="1" t="s">
        <v>47</v>
      </c>
    </row>
    <row r="4427" spans="1:24" x14ac:dyDescent="0.25">
      <c r="A4427" s="1" t="str">
        <f t="shared" si="1436"/>
        <v>卡卡杜-凤凰仓</v>
      </c>
      <c r="B4427" s="1" t="str">
        <f>"CK20241022913"</f>
        <v>CK20241022913</v>
      </c>
      <c r="C4427" s="1" t="str">
        <f>"DD2024102257559"</f>
        <v>DD2024102257559</v>
      </c>
      <c r="D4427" s="1" t="str">
        <f>"CK2024102250466"</f>
        <v>CK2024102250466</v>
      </c>
      <c r="E4427" s="1" t="str">
        <f>"3723467734365115392"</f>
        <v>3723467734365115392</v>
      </c>
      <c r="F4427" s="1" t="str">
        <f t="shared" si="1437"/>
        <v>花都四部-凤凰仓</v>
      </c>
      <c r="G4427" s="1" t="str">
        <f t="shared" si="1421"/>
        <v>卡卡杜企业店（视频号）</v>
      </c>
      <c r="H4427" s="1" t="str">
        <f t="shared" si="1438"/>
        <v>正常订单</v>
      </c>
      <c r="I4427" s="1" t="str">
        <f t="shared" si="1439"/>
        <v>已发货</v>
      </c>
      <c r="J4427" s="1" t="str">
        <f t="shared" si="1434"/>
        <v>3</v>
      </c>
      <c r="K4427" s="1">
        <v>2</v>
      </c>
      <c r="L4427" s="1" t="s">
        <v>54</v>
      </c>
      <c r="M4427" s="1" t="str">
        <f>"黑龙江省 哈尔滨市 香坊区 "</f>
        <v xml:space="preserve">黑龙江省 哈尔滨市 香坊区 </v>
      </c>
      <c r="N4427" s="1" t="str">
        <f t="shared" si="1425"/>
        <v>凡华云仓-城南圆通-微信视频号</v>
      </c>
      <c r="O4427" s="5" t="s">
        <v>4457</v>
      </c>
      <c r="P4427" s="6">
        <v>0.24</v>
      </c>
      <c r="Q4427" s="11">
        <v>2</v>
      </c>
      <c r="R4427" s="11"/>
      <c r="S4427" s="11"/>
      <c r="T4427" s="11"/>
      <c r="U4427" s="11">
        <f t="shared" si="1435"/>
        <v>2</v>
      </c>
      <c r="W4427">
        <v>2.2000000000000002</v>
      </c>
      <c r="X4427" s="1" t="s">
        <v>54</v>
      </c>
    </row>
    <row r="4428" spans="1:24" x14ac:dyDescent="0.25">
      <c r="A4428" s="1" t="str">
        <f t="shared" si="1436"/>
        <v>卡卡杜-凤凰仓</v>
      </c>
      <c r="B4428" s="1" t="str">
        <f>"CK20241022898"</f>
        <v>CK20241022898</v>
      </c>
      <c r="C4428" s="1" t="str">
        <f>"DD2024102257499"</f>
        <v>DD2024102257499</v>
      </c>
      <c r="D4428" s="1" t="str">
        <f>"CK2024102250465"</f>
        <v>CK2024102250465</v>
      </c>
      <c r="E4428" s="1" t="str">
        <f>"3723467750803375616"</f>
        <v>3723467750803375616</v>
      </c>
      <c r="F4428" s="1" t="str">
        <f t="shared" si="1437"/>
        <v>花都四部-凤凰仓</v>
      </c>
      <c r="G4428" s="1" t="str">
        <f t="shared" si="1421"/>
        <v>卡卡杜企业店（视频号）</v>
      </c>
      <c r="H4428" s="1" t="str">
        <f t="shared" si="1438"/>
        <v>正常订单</v>
      </c>
      <c r="I4428" s="1" t="str">
        <f t="shared" si="1439"/>
        <v>已发货</v>
      </c>
      <c r="J4428" s="1" t="str">
        <f t="shared" si="1434"/>
        <v>3</v>
      </c>
      <c r="K4428" s="1">
        <v>2</v>
      </c>
      <c r="L4428" s="1" t="s">
        <v>74</v>
      </c>
      <c r="M4428" s="1" t="str">
        <f>"上海 上海市 杨浦区 "</f>
        <v xml:space="preserve">上海 上海市 杨浦区 </v>
      </c>
      <c r="N4428" s="1" t="str">
        <f t="shared" si="1425"/>
        <v>凡华云仓-城南圆通-微信视频号</v>
      </c>
      <c r="O4428" s="5" t="s">
        <v>4458</v>
      </c>
      <c r="P4428" s="6">
        <v>0.24</v>
      </c>
      <c r="Q4428" s="11">
        <v>2</v>
      </c>
      <c r="R4428" s="11"/>
      <c r="S4428" s="11"/>
      <c r="T4428" s="11"/>
      <c r="U4428" s="11">
        <f t="shared" si="1435"/>
        <v>2</v>
      </c>
      <c r="W4428">
        <v>2.2000000000000002</v>
      </c>
      <c r="X4428" s="1" t="s">
        <v>74</v>
      </c>
    </row>
    <row r="4429" spans="1:24" x14ac:dyDescent="0.25">
      <c r="A4429" s="1" t="str">
        <f t="shared" si="1436"/>
        <v>卡卡杜-凤凰仓</v>
      </c>
      <c r="B4429" s="1" t="str">
        <f>"CK20241022875"</f>
        <v>CK20241022875</v>
      </c>
      <c r="C4429" s="1" t="str">
        <f>"DD2024102257396"</f>
        <v>DD2024102257396</v>
      </c>
      <c r="D4429" s="1" t="str">
        <f>"CK2024102250464"</f>
        <v>CK2024102250464</v>
      </c>
      <c r="E4429" s="1" t="str">
        <f>"3723467750510564352"</f>
        <v>3723467750510564352</v>
      </c>
      <c r="F4429" s="1" t="str">
        <f t="shared" si="1437"/>
        <v>花都四部-凤凰仓</v>
      </c>
      <c r="G4429" s="1" t="str">
        <f t="shared" si="1421"/>
        <v>卡卡杜企业店（视频号）</v>
      </c>
      <c r="H4429" s="1" t="str">
        <f t="shared" si="1438"/>
        <v>正常订单</v>
      </c>
      <c r="I4429" s="1" t="str">
        <f t="shared" si="1439"/>
        <v>已发货</v>
      </c>
      <c r="J4429" s="1" t="str">
        <f t="shared" si="1434"/>
        <v>3</v>
      </c>
      <c r="K4429" s="1">
        <v>2</v>
      </c>
      <c r="L4429" s="1" t="s">
        <v>20</v>
      </c>
      <c r="M4429" s="1" t="str">
        <f>"浙江省 嘉兴市 平湖市 "</f>
        <v xml:space="preserve">浙江省 嘉兴市 平湖市 </v>
      </c>
      <c r="N4429" s="1" t="str">
        <f t="shared" si="1425"/>
        <v>凡华云仓-城南圆通-微信视频号</v>
      </c>
      <c r="O4429" s="5" t="s">
        <v>4459</v>
      </c>
      <c r="P4429" s="6">
        <v>0.24</v>
      </c>
      <c r="Q4429" s="11">
        <v>2</v>
      </c>
      <c r="R4429" s="11"/>
      <c r="S4429" s="11"/>
      <c r="T4429" s="11"/>
      <c r="U4429" s="11">
        <f t="shared" si="1435"/>
        <v>2</v>
      </c>
      <c r="W4429">
        <v>2.2000000000000002</v>
      </c>
      <c r="X4429" s="1" t="s">
        <v>20</v>
      </c>
    </row>
    <row r="4430" spans="1:24" x14ac:dyDescent="0.25">
      <c r="A4430" s="1" t="str">
        <f t="shared" si="1436"/>
        <v>卡卡杜-凤凰仓</v>
      </c>
      <c r="B4430" s="1" t="str">
        <f>"CK20241022830"</f>
        <v>CK20241022830</v>
      </c>
      <c r="C4430" s="1" t="str">
        <f>"DD2024102257237"</f>
        <v>DD2024102257237</v>
      </c>
      <c r="D4430" s="1" t="str">
        <f>"CK2024102250463"</f>
        <v>CK2024102250463</v>
      </c>
      <c r="E4430" s="1" t="str">
        <f>"3723467720016923648"</f>
        <v>3723467720016923648</v>
      </c>
      <c r="F4430" s="1" t="str">
        <f t="shared" si="1437"/>
        <v>花都四部-凤凰仓</v>
      </c>
      <c r="G4430" s="1" t="str">
        <f t="shared" ref="G4430:G4480" si="1440">"卡卡杜企业店（视频号）"</f>
        <v>卡卡杜企业店（视频号）</v>
      </c>
      <c r="H4430" s="1" t="str">
        <f t="shared" si="1438"/>
        <v>正常订单</v>
      </c>
      <c r="I4430" s="1" t="str">
        <f t="shared" si="1439"/>
        <v>已发货</v>
      </c>
      <c r="J4430" s="1" t="str">
        <f>"2"</f>
        <v>2</v>
      </c>
      <c r="K4430" s="1">
        <v>2</v>
      </c>
      <c r="L4430" s="1" t="s">
        <v>13</v>
      </c>
      <c r="M4430" s="1" t="str">
        <f>"江苏省 苏州市 苏州工业园区 "</f>
        <v xml:space="preserve">江苏省 苏州市 苏州工业园区 </v>
      </c>
      <c r="N4430" s="1" t="str">
        <f t="shared" si="1425"/>
        <v>凡华云仓-城南圆通-微信视频号</v>
      </c>
      <c r="O4430" s="5" t="s">
        <v>4460</v>
      </c>
      <c r="P4430" s="6">
        <v>0.17</v>
      </c>
      <c r="Q4430" s="11">
        <v>2</v>
      </c>
      <c r="R4430" s="11"/>
      <c r="S4430" s="11"/>
      <c r="T4430" s="11"/>
      <c r="U4430" s="11">
        <f t="shared" si="1435"/>
        <v>2</v>
      </c>
      <c r="W4430">
        <v>2.2000000000000002</v>
      </c>
      <c r="X4430" s="1" t="s">
        <v>13</v>
      </c>
    </row>
    <row r="4431" spans="1:24" x14ac:dyDescent="0.25">
      <c r="A4431" s="1" t="str">
        <f t="shared" si="1436"/>
        <v>卡卡杜-凤凰仓</v>
      </c>
      <c r="B4431" s="1" t="str">
        <f>"CK20241022914"</f>
        <v>CK20241022914</v>
      </c>
      <c r="C4431" s="1" t="str">
        <f>"DD2024102257568"</f>
        <v>DD2024102257568</v>
      </c>
      <c r="D4431" s="1" t="str">
        <f>"CK2024102226481"</f>
        <v>CK2024102226481</v>
      </c>
      <c r="E4431" s="1" t="str">
        <f>"3723467743653397760"</f>
        <v>3723467743653397760</v>
      </c>
      <c r="F4431" s="1" t="str">
        <f t="shared" si="1437"/>
        <v>花都四部-凤凰仓</v>
      </c>
      <c r="G4431" s="1" t="str">
        <f t="shared" si="1440"/>
        <v>卡卡杜企业店（视频号）</v>
      </c>
      <c r="H4431" s="1" t="str">
        <f t="shared" si="1438"/>
        <v>正常订单</v>
      </c>
      <c r="I4431" s="1" t="str">
        <f t="shared" si="1439"/>
        <v>已发货</v>
      </c>
      <c r="J4431" s="1" t="str">
        <f t="shared" ref="J4431:J4435" si="1441">"3"</f>
        <v>3</v>
      </c>
      <c r="K4431" s="1">
        <v>2</v>
      </c>
      <c r="L4431" s="1" t="s">
        <v>18</v>
      </c>
      <c r="M4431" s="1" t="str">
        <f>"广东省 珠海市 香洲区 "</f>
        <v xml:space="preserve">广东省 珠海市 香洲区 </v>
      </c>
      <c r="N4431" s="1" t="str">
        <f t="shared" si="1425"/>
        <v>凡华云仓-城南圆通-微信视频号</v>
      </c>
      <c r="O4431" s="5" t="s">
        <v>4461</v>
      </c>
      <c r="P4431" s="6">
        <v>0.24</v>
      </c>
      <c r="Q4431" s="11">
        <v>2</v>
      </c>
      <c r="R4431" s="11"/>
      <c r="S4431" s="11"/>
      <c r="T4431" s="11"/>
      <c r="U4431" s="11">
        <f t="shared" si="1435"/>
        <v>2</v>
      </c>
      <c r="W4431">
        <v>2.2000000000000002</v>
      </c>
      <c r="X4431" s="1" t="s">
        <v>18</v>
      </c>
    </row>
    <row r="4432" spans="1:24" x14ac:dyDescent="0.25">
      <c r="A4432" s="1" t="str">
        <f t="shared" si="1436"/>
        <v>卡卡杜-凤凰仓</v>
      </c>
      <c r="B4432" s="1" t="str">
        <f>"CK20241022817"</f>
        <v>CK20241022817</v>
      </c>
      <c r="C4432" s="1" t="str">
        <f>"DD2024102257199"</f>
        <v>DD2024102257199</v>
      </c>
      <c r="D4432" s="1" t="str">
        <f>"CK2024102226480"</f>
        <v>CK2024102226480</v>
      </c>
      <c r="E4432" s="1" t="str">
        <f>"3723467742322230528"</f>
        <v>3723467742322230528</v>
      </c>
      <c r="F4432" s="1" t="str">
        <f t="shared" si="1437"/>
        <v>花都四部-凤凰仓</v>
      </c>
      <c r="G4432" s="1" t="str">
        <f t="shared" si="1440"/>
        <v>卡卡杜企业店（视频号）</v>
      </c>
      <c r="H4432" s="1" t="str">
        <f t="shared" si="1438"/>
        <v>正常订单</v>
      </c>
      <c r="I4432" s="1" t="str">
        <f t="shared" si="1439"/>
        <v>已发货</v>
      </c>
      <c r="J4432" s="1" t="str">
        <f>"2"</f>
        <v>2</v>
      </c>
      <c r="K4432" s="1">
        <v>2</v>
      </c>
      <c r="L4432" s="1" t="s">
        <v>74</v>
      </c>
      <c r="M4432" s="1" t="str">
        <f>"上海 上海市 浦东新区 "</f>
        <v xml:space="preserve">上海 上海市 浦东新区 </v>
      </c>
      <c r="N4432" s="1" t="str">
        <f t="shared" si="1425"/>
        <v>凡华云仓-城南圆通-微信视频号</v>
      </c>
      <c r="O4432" s="5" t="s">
        <v>4462</v>
      </c>
      <c r="P4432" s="6">
        <v>0.17</v>
      </c>
      <c r="Q4432" s="11">
        <v>2</v>
      </c>
      <c r="R4432" s="11"/>
      <c r="S4432" s="11"/>
      <c r="T4432" s="11"/>
      <c r="U4432" s="11">
        <f t="shared" si="1435"/>
        <v>2</v>
      </c>
      <c r="W4432">
        <v>2.2000000000000002</v>
      </c>
      <c r="X4432" s="1" t="s">
        <v>74</v>
      </c>
    </row>
    <row r="4433" spans="1:24" x14ac:dyDescent="0.25">
      <c r="A4433" s="1" t="str">
        <f t="shared" si="1436"/>
        <v>卡卡杜-凤凰仓</v>
      </c>
      <c r="B4433" s="1" t="str">
        <f>"CK20241022917"</f>
        <v>CK20241022917</v>
      </c>
      <c r="C4433" s="1" t="str">
        <f>"DD2024102257577"</f>
        <v>DD2024102257577</v>
      </c>
      <c r="D4433" s="1" t="str">
        <f>"CK2024102226479"</f>
        <v>CK2024102226479</v>
      </c>
      <c r="E4433" s="1" t="str">
        <f>"3723467740754349056"</f>
        <v>3723467740754349056</v>
      </c>
      <c r="F4433" s="1" t="str">
        <f t="shared" si="1437"/>
        <v>花都四部-凤凰仓</v>
      </c>
      <c r="G4433" s="1" t="str">
        <f t="shared" si="1440"/>
        <v>卡卡杜企业店（视频号）</v>
      </c>
      <c r="H4433" s="1" t="str">
        <f t="shared" si="1438"/>
        <v>正常订单</v>
      </c>
      <c r="I4433" s="1" t="str">
        <f t="shared" si="1439"/>
        <v>已发货</v>
      </c>
      <c r="J4433" s="1" t="str">
        <f t="shared" si="1441"/>
        <v>3</v>
      </c>
      <c r="K4433" s="1">
        <v>2</v>
      </c>
      <c r="L4433" s="1" t="s">
        <v>41</v>
      </c>
      <c r="M4433" s="1" t="str">
        <f>"湖北省 襄阳市 樊城区 "</f>
        <v xml:space="preserve">湖北省 襄阳市 樊城区 </v>
      </c>
      <c r="N4433" s="1" t="str">
        <f t="shared" si="1425"/>
        <v>凡华云仓-城南圆通-微信视频号</v>
      </c>
      <c r="O4433" s="5" t="s">
        <v>4463</v>
      </c>
      <c r="P4433" s="6">
        <v>0.24</v>
      </c>
      <c r="Q4433" s="11">
        <v>2</v>
      </c>
      <c r="R4433" s="11"/>
      <c r="S4433" s="11"/>
      <c r="T4433" s="11"/>
      <c r="U4433" s="11">
        <f t="shared" si="1435"/>
        <v>2</v>
      </c>
      <c r="W4433">
        <v>2.2000000000000002</v>
      </c>
      <c r="X4433" s="1" t="s">
        <v>41</v>
      </c>
    </row>
    <row r="4434" spans="1:24" x14ac:dyDescent="0.25">
      <c r="A4434" s="1" t="str">
        <f t="shared" si="1436"/>
        <v>卡卡杜-凤凰仓</v>
      </c>
      <c r="B4434" s="1" t="str">
        <f>"CK20241022882"</f>
        <v>CK20241022882</v>
      </c>
      <c r="C4434" s="1" t="str">
        <f>"DD2024102257434"</f>
        <v>DD2024102257434</v>
      </c>
      <c r="D4434" s="1" t="str">
        <f>"CK2024102226478"</f>
        <v>CK2024102226478</v>
      </c>
      <c r="E4434" s="1" t="str">
        <f>"3723467739251738112"</f>
        <v>3723467739251738112</v>
      </c>
      <c r="F4434" s="1" t="str">
        <f t="shared" si="1437"/>
        <v>花都四部-凤凰仓</v>
      </c>
      <c r="G4434" s="1" t="str">
        <f t="shared" si="1440"/>
        <v>卡卡杜企业店（视频号）</v>
      </c>
      <c r="H4434" s="1" t="str">
        <f t="shared" si="1438"/>
        <v>正常订单</v>
      </c>
      <c r="I4434" s="1" t="str">
        <f t="shared" si="1439"/>
        <v>已发货</v>
      </c>
      <c r="J4434" s="1" t="str">
        <f t="shared" si="1441"/>
        <v>3</v>
      </c>
      <c r="K4434" s="1">
        <v>2</v>
      </c>
      <c r="L4434" s="1" t="s">
        <v>16</v>
      </c>
      <c r="M4434" s="1" t="str">
        <f>"河北省 张家口市 万全区 "</f>
        <v xml:space="preserve">河北省 张家口市 万全区 </v>
      </c>
      <c r="N4434" s="1" t="str">
        <f t="shared" si="1425"/>
        <v>凡华云仓-城南圆通-微信视频号</v>
      </c>
      <c r="O4434" s="5" t="s">
        <v>4464</v>
      </c>
      <c r="P4434" s="6">
        <v>0.24</v>
      </c>
      <c r="Q4434" s="11">
        <v>2</v>
      </c>
      <c r="R4434" s="11"/>
      <c r="S4434" s="11"/>
      <c r="T4434" s="11"/>
      <c r="U4434" s="11">
        <f t="shared" si="1435"/>
        <v>2</v>
      </c>
      <c r="W4434">
        <v>2.2000000000000002</v>
      </c>
      <c r="X4434" s="1" t="s">
        <v>16</v>
      </c>
    </row>
    <row r="4435" spans="1:24" x14ac:dyDescent="0.25">
      <c r="A4435" s="1" t="str">
        <f t="shared" si="1436"/>
        <v>卡卡杜-凤凰仓</v>
      </c>
      <c r="B4435" s="1" t="str">
        <f>"CK20241022909"</f>
        <v>CK20241022909</v>
      </c>
      <c r="C4435" s="1" t="str">
        <f>"DD2024102257556"</f>
        <v>DD2024102257556</v>
      </c>
      <c r="D4435" s="1" t="str">
        <f>"CK2024102226477"</f>
        <v>CK2024102226477</v>
      </c>
      <c r="E4435" s="1" t="str">
        <f>"3723467734761997824"</f>
        <v>3723467734761997824</v>
      </c>
      <c r="F4435" s="1" t="str">
        <f t="shared" si="1437"/>
        <v>花都四部-凤凰仓</v>
      </c>
      <c r="G4435" s="1" t="str">
        <f t="shared" si="1440"/>
        <v>卡卡杜企业店（视频号）</v>
      </c>
      <c r="H4435" s="1" t="str">
        <f t="shared" si="1438"/>
        <v>正常订单</v>
      </c>
      <c r="I4435" s="1" t="str">
        <f t="shared" si="1439"/>
        <v>已发货</v>
      </c>
      <c r="J4435" s="1" t="str">
        <f t="shared" si="1441"/>
        <v>3</v>
      </c>
      <c r="K4435" s="1">
        <v>2</v>
      </c>
      <c r="L4435" s="1" t="s">
        <v>161</v>
      </c>
      <c r="M4435" s="1" t="str">
        <f>"四川省 成都市 青羊区 "</f>
        <v xml:space="preserve">四川省 成都市 青羊区 </v>
      </c>
      <c r="N4435" s="1" t="str">
        <f t="shared" si="1425"/>
        <v>凡华云仓-城南圆通-微信视频号</v>
      </c>
      <c r="O4435" s="5" t="s">
        <v>4465</v>
      </c>
      <c r="P4435" s="6">
        <v>0.24</v>
      </c>
      <c r="Q4435" s="11">
        <v>2</v>
      </c>
      <c r="R4435" s="11"/>
      <c r="S4435" s="11"/>
      <c r="T4435" s="11"/>
      <c r="U4435" s="11">
        <f t="shared" si="1435"/>
        <v>2</v>
      </c>
      <c r="W4435">
        <v>2.2000000000000002</v>
      </c>
      <c r="X4435" s="1" t="s">
        <v>161</v>
      </c>
    </row>
    <row r="4436" spans="1:24" x14ac:dyDescent="0.25">
      <c r="A4436" s="1" t="str">
        <f t="shared" si="1436"/>
        <v>卡卡杜-凤凰仓</v>
      </c>
      <c r="B4436" s="1" t="str">
        <f>"CK20241022807"</f>
        <v>CK20241022807</v>
      </c>
      <c r="C4436" s="1" t="str">
        <f>"DD2024102257163"</f>
        <v>DD2024102257163</v>
      </c>
      <c r="D4436" s="1" t="str">
        <f>"CK2024102226476"</f>
        <v>CK2024102226476</v>
      </c>
      <c r="E4436" s="1" t="str">
        <f>"3723467732851758080"</f>
        <v>3723467732851758080</v>
      </c>
      <c r="F4436" s="1" t="str">
        <f t="shared" si="1437"/>
        <v>花都四部-凤凰仓</v>
      </c>
      <c r="G4436" s="1" t="str">
        <f t="shared" si="1440"/>
        <v>卡卡杜企业店（视频号）</v>
      </c>
      <c r="H4436" s="1" t="str">
        <f t="shared" si="1438"/>
        <v>正常订单</v>
      </c>
      <c r="I4436" s="1" t="str">
        <f t="shared" si="1439"/>
        <v>已发货</v>
      </c>
      <c r="J4436" s="1" t="str">
        <f t="shared" ref="J4436:J4439" si="1442">"2"</f>
        <v>2</v>
      </c>
      <c r="K4436" s="1">
        <v>2</v>
      </c>
      <c r="L4436" s="1" t="s">
        <v>92</v>
      </c>
      <c r="M4436" s="1" t="str">
        <f>"辽宁省 丹东市 宽甸满族自治县 "</f>
        <v xml:space="preserve">辽宁省 丹东市 宽甸满族自治县 </v>
      </c>
      <c r="N4436" s="1" t="str">
        <f t="shared" si="1425"/>
        <v>凡华云仓-城南圆通-微信视频号</v>
      </c>
      <c r="O4436" s="5" t="s">
        <v>4466</v>
      </c>
      <c r="P4436" s="6">
        <v>0.17</v>
      </c>
      <c r="Q4436" s="11">
        <v>2</v>
      </c>
      <c r="R4436" s="11"/>
      <c r="S4436" s="11"/>
      <c r="T4436" s="11"/>
      <c r="U4436" s="11">
        <f t="shared" si="1435"/>
        <v>2</v>
      </c>
      <c r="W4436">
        <v>2.2000000000000002</v>
      </c>
      <c r="X4436" s="1" t="s">
        <v>92</v>
      </c>
    </row>
    <row r="4437" spans="1:24" x14ac:dyDescent="0.25">
      <c r="A4437" s="1" t="str">
        <f t="shared" si="1436"/>
        <v>卡卡杜-凤凰仓</v>
      </c>
      <c r="B4437" s="1" t="str">
        <f>"CK20241022880"</f>
        <v>CK20241022880</v>
      </c>
      <c r="C4437" s="1" t="str">
        <f>"DD2024102257426"</f>
        <v>DD2024102257426</v>
      </c>
      <c r="D4437" s="1" t="str">
        <f>"CK2024102226475"</f>
        <v>CK2024102226475</v>
      </c>
      <c r="E4437" s="1" t="str">
        <f>"3723467734451356928"</f>
        <v>3723467734451356928</v>
      </c>
      <c r="F4437" s="1" t="str">
        <f t="shared" si="1437"/>
        <v>花都四部-凤凰仓</v>
      </c>
      <c r="G4437" s="1" t="str">
        <f t="shared" si="1440"/>
        <v>卡卡杜企业店（视频号）</v>
      </c>
      <c r="H4437" s="1" t="str">
        <f t="shared" si="1438"/>
        <v>正常订单</v>
      </c>
      <c r="I4437" s="1" t="str">
        <f t="shared" si="1439"/>
        <v>已发货</v>
      </c>
      <c r="J4437" s="1" t="str">
        <f t="shared" ref="J4437:J4441" si="1443">"3"</f>
        <v>3</v>
      </c>
      <c r="K4437" s="1">
        <v>2</v>
      </c>
      <c r="L4437" s="1" t="s">
        <v>24</v>
      </c>
      <c r="M4437" s="1" t="str">
        <f>"福建省 厦门市 思明区 "</f>
        <v xml:space="preserve">福建省 厦门市 思明区 </v>
      </c>
      <c r="N4437" s="1" t="str">
        <f t="shared" si="1425"/>
        <v>凡华云仓-城南圆通-微信视频号</v>
      </c>
      <c r="O4437" s="5" t="s">
        <v>4467</v>
      </c>
      <c r="P4437" s="6">
        <v>0.24</v>
      </c>
      <c r="Q4437" s="11">
        <v>2</v>
      </c>
      <c r="R4437" s="11"/>
      <c r="S4437" s="11"/>
      <c r="T4437" s="11"/>
      <c r="U4437" s="11">
        <f t="shared" si="1435"/>
        <v>2</v>
      </c>
      <c r="W4437">
        <v>2.2000000000000002</v>
      </c>
      <c r="X4437" s="1" t="s">
        <v>24</v>
      </c>
    </row>
    <row r="4438" spans="1:24" x14ac:dyDescent="0.25">
      <c r="A4438" s="1" t="str">
        <f t="shared" si="1436"/>
        <v>卡卡杜-凤凰仓</v>
      </c>
      <c r="B4438" s="1" t="str">
        <f>"CK20241022818"</f>
        <v>CK20241022818</v>
      </c>
      <c r="C4438" s="1" t="str">
        <f>"DD2024102257198"</f>
        <v>DD2024102257198</v>
      </c>
      <c r="D4438" s="1" t="str">
        <f>"CK2024102226474"</f>
        <v>CK2024102226474</v>
      </c>
      <c r="E4438" s="1" t="str">
        <f>"3723467732463784960"</f>
        <v>3723467732463784960</v>
      </c>
      <c r="F4438" s="1" t="str">
        <f t="shared" si="1437"/>
        <v>花都四部-凤凰仓</v>
      </c>
      <c r="G4438" s="1" t="str">
        <f t="shared" si="1440"/>
        <v>卡卡杜企业店（视频号）</v>
      </c>
      <c r="H4438" s="1" t="str">
        <f t="shared" si="1438"/>
        <v>正常订单</v>
      </c>
      <c r="I4438" s="1" t="str">
        <f t="shared" si="1439"/>
        <v>已发货</v>
      </c>
      <c r="J4438" s="1" t="str">
        <f t="shared" si="1442"/>
        <v>2</v>
      </c>
      <c r="K4438" s="1">
        <v>2</v>
      </c>
      <c r="L4438" s="1" t="s">
        <v>218</v>
      </c>
      <c r="M4438" s="1" t="str">
        <f>"天津 天津市 河东区 "</f>
        <v xml:space="preserve">天津 天津市 河东区 </v>
      </c>
      <c r="N4438" s="1" t="str">
        <f t="shared" si="1425"/>
        <v>凡华云仓-城南圆通-微信视频号</v>
      </c>
      <c r="O4438" s="5" t="s">
        <v>4468</v>
      </c>
      <c r="P4438" s="6">
        <v>0.17</v>
      </c>
      <c r="Q4438" s="11">
        <v>2</v>
      </c>
      <c r="R4438" s="11"/>
      <c r="S4438" s="11"/>
      <c r="T4438" s="11"/>
      <c r="U4438" s="11">
        <f t="shared" si="1435"/>
        <v>2</v>
      </c>
      <c r="W4438">
        <v>2.2000000000000002</v>
      </c>
      <c r="X4438" s="1" t="s">
        <v>218</v>
      </c>
    </row>
    <row r="4439" spans="1:24" x14ac:dyDescent="0.25">
      <c r="A4439" s="1" t="str">
        <f t="shared" si="1436"/>
        <v>卡卡杜-凤凰仓</v>
      </c>
      <c r="B4439" s="1" t="str">
        <f>"CK20241022815"</f>
        <v>CK20241022815</v>
      </c>
      <c r="C4439" s="1" t="str">
        <f>"DD2024102257184"</f>
        <v>DD2024102257184</v>
      </c>
      <c r="D4439" s="1" t="str">
        <f>"CK2024102226473"</f>
        <v>CK2024102226473</v>
      </c>
      <c r="E4439" s="1" t="str">
        <f>"3723467731686525952"</f>
        <v>3723467731686525952</v>
      </c>
      <c r="F4439" s="1" t="str">
        <f t="shared" si="1437"/>
        <v>花都四部-凤凰仓</v>
      </c>
      <c r="G4439" s="1" t="str">
        <f t="shared" si="1440"/>
        <v>卡卡杜企业店（视频号）</v>
      </c>
      <c r="H4439" s="1" t="str">
        <f t="shared" si="1438"/>
        <v>正常订单</v>
      </c>
      <c r="I4439" s="1" t="str">
        <f t="shared" si="1439"/>
        <v>已发货</v>
      </c>
      <c r="J4439" s="1" t="str">
        <f t="shared" si="1442"/>
        <v>2</v>
      </c>
      <c r="K4439" s="1">
        <v>2</v>
      </c>
      <c r="L4439" s="1" t="s">
        <v>52</v>
      </c>
      <c r="M4439" s="1" t="str">
        <f>"甘肃省 兰州市 城关区 "</f>
        <v xml:space="preserve">甘肃省 兰州市 城关区 </v>
      </c>
      <c r="N4439" s="1" t="str">
        <f t="shared" si="1425"/>
        <v>凡华云仓-城南圆通-微信视频号</v>
      </c>
      <c r="O4439" s="5" t="s">
        <v>4469</v>
      </c>
      <c r="P4439" s="6">
        <v>0.17</v>
      </c>
      <c r="Q4439" s="11">
        <v>2</v>
      </c>
      <c r="R4439" s="11"/>
      <c r="S4439" s="11"/>
      <c r="T4439" s="11"/>
      <c r="U4439" s="11">
        <f t="shared" si="1435"/>
        <v>2</v>
      </c>
      <c r="W4439">
        <v>2.2000000000000002</v>
      </c>
      <c r="X4439" s="1" t="s">
        <v>52</v>
      </c>
    </row>
    <row r="4440" spans="1:24" x14ac:dyDescent="0.25">
      <c r="A4440" s="1" t="str">
        <f t="shared" si="1436"/>
        <v>卡卡杜-凤凰仓</v>
      </c>
      <c r="B4440" s="1" t="str">
        <f>"CK20241022897"</f>
        <v>CK20241022897</v>
      </c>
      <c r="C4440" s="1" t="str">
        <f>"DD2024102257493"</f>
        <v>DD2024102257493</v>
      </c>
      <c r="D4440" s="1" t="str">
        <f>"CK2024102226472"</f>
        <v>CK2024102226472</v>
      </c>
      <c r="E4440" s="1" t="str">
        <f>"3723467732424983808"</f>
        <v>3723467732424983808</v>
      </c>
      <c r="F4440" s="1" t="str">
        <f t="shared" si="1437"/>
        <v>花都四部-凤凰仓</v>
      </c>
      <c r="G4440" s="1" t="str">
        <f t="shared" si="1440"/>
        <v>卡卡杜企业店（视频号）</v>
      </c>
      <c r="H4440" s="1" t="str">
        <f t="shared" si="1438"/>
        <v>正常订单</v>
      </c>
      <c r="I4440" s="1" t="str">
        <f t="shared" si="1439"/>
        <v>已发货</v>
      </c>
      <c r="J4440" s="1" t="str">
        <f t="shared" si="1443"/>
        <v>3</v>
      </c>
      <c r="K4440" s="1">
        <v>2</v>
      </c>
      <c r="L4440" s="1" t="s">
        <v>92</v>
      </c>
      <c r="M4440" s="1" t="str">
        <f>"辽宁省 沈阳市 皇姑区 "</f>
        <v xml:space="preserve">辽宁省 沈阳市 皇姑区 </v>
      </c>
      <c r="N4440" s="1" t="str">
        <f t="shared" si="1425"/>
        <v>凡华云仓-城南圆通-微信视频号</v>
      </c>
      <c r="O4440" s="5" t="s">
        <v>4470</v>
      </c>
      <c r="P4440" s="6">
        <v>0.24</v>
      </c>
      <c r="Q4440" s="11">
        <v>2</v>
      </c>
      <c r="R4440" s="11"/>
      <c r="S4440" s="11"/>
      <c r="T4440" s="11"/>
      <c r="U4440" s="11">
        <f t="shared" si="1435"/>
        <v>2</v>
      </c>
      <c r="W4440">
        <v>2.2000000000000002</v>
      </c>
      <c r="X4440" s="1" t="s">
        <v>92</v>
      </c>
    </row>
    <row r="4441" spans="1:24" x14ac:dyDescent="0.25">
      <c r="A4441" s="1" t="str">
        <f t="shared" si="1436"/>
        <v>卡卡杜-凤凰仓</v>
      </c>
      <c r="B4441" s="1" t="str">
        <f>"CK20241022889"</f>
        <v>CK20241022889</v>
      </c>
      <c r="C4441" s="1" t="str">
        <f>"DD2024102257464"</f>
        <v>DD2024102257464</v>
      </c>
      <c r="D4441" s="1" t="str">
        <f>"CK2024102226471"</f>
        <v>CK2024102226471</v>
      </c>
      <c r="E4441" s="1" t="str">
        <f>"3723467731468685312"</f>
        <v>3723467731468685312</v>
      </c>
      <c r="F4441" s="1" t="str">
        <f t="shared" si="1437"/>
        <v>花都四部-凤凰仓</v>
      </c>
      <c r="G4441" s="1" t="str">
        <f t="shared" si="1440"/>
        <v>卡卡杜企业店（视频号）</v>
      </c>
      <c r="H4441" s="1" t="str">
        <f t="shared" si="1438"/>
        <v>正常订单</v>
      </c>
      <c r="I4441" s="1" t="str">
        <f t="shared" si="1439"/>
        <v>已发货</v>
      </c>
      <c r="J4441" s="1" t="str">
        <f t="shared" si="1443"/>
        <v>3</v>
      </c>
      <c r="K4441" s="1">
        <v>2</v>
      </c>
      <c r="L4441" s="1" t="s">
        <v>18</v>
      </c>
      <c r="M4441" s="1" t="str">
        <f>"广东省 深圳市 南山区 "</f>
        <v xml:space="preserve">广东省 深圳市 南山区 </v>
      </c>
      <c r="N4441" s="1" t="str">
        <f t="shared" ref="N4441:N4480" si="1444">"凡华云仓-城南圆通-微信视频号"</f>
        <v>凡华云仓-城南圆通-微信视频号</v>
      </c>
      <c r="O4441" s="5" t="s">
        <v>4471</v>
      </c>
      <c r="P4441" s="6">
        <v>0.24</v>
      </c>
      <c r="Q4441" s="11">
        <v>2</v>
      </c>
      <c r="R4441" s="11"/>
      <c r="S4441" s="11"/>
      <c r="T4441" s="11"/>
      <c r="U4441" s="11">
        <f t="shared" si="1435"/>
        <v>2</v>
      </c>
      <c r="W4441">
        <v>2.2000000000000002</v>
      </c>
      <c r="X4441" s="1" t="s">
        <v>18</v>
      </c>
    </row>
    <row r="4442" spans="1:24" x14ac:dyDescent="0.25">
      <c r="A4442" s="1" t="str">
        <f t="shared" si="1436"/>
        <v>卡卡杜-凤凰仓</v>
      </c>
      <c r="B4442" s="1" t="str">
        <f>"CK202410221008"</f>
        <v>CK202410221008</v>
      </c>
      <c r="C4442" s="1" t="str">
        <f>"DD2024102258485"</f>
        <v>DD2024102258485</v>
      </c>
      <c r="D4442" s="1" t="str">
        <f>"CK2024102226470"</f>
        <v>CK2024102226470</v>
      </c>
      <c r="E4442" s="1" t="str">
        <f>"3723467732065060352"</f>
        <v>3723467732065060352</v>
      </c>
      <c r="F4442" s="1" t="str">
        <f t="shared" si="1437"/>
        <v>花都四部-凤凰仓</v>
      </c>
      <c r="G4442" s="1" t="str">
        <f t="shared" si="1440"/>
        <v>卡卡杜企业店（视频号）</v>
      </c>
      <c r="H4442" s="1" t="str">
        <f t="shared" si="1438"/>
        <v>正常订单</v>
      </c>
      <c r="I4442" s="1" t="str">
        <f t="shared" si="1439"/>
        <v>已发货</v>
      </c>
      <c r="J4442" s="1" t="str">
        <f t="shared" ref="J4442:J4445" si="1445">"2"</f>
        <v>2</v>
      </c>
      <c r="K4442" s="1">
        <v>2</v>
      </c>
      <c r="L4442" s="1" t="s">
        <v>66</v>
      </c>
      <c r="M4442" s="1" t="str">
        <f>"内蒙古自治区 锡林郭勒盟 苏尼特右旗 "</f>
        <v xml:space="preserve">内蒙古自治区 锡林郭勒盟 苏尼特右旗 </v>
      </c>
      <c r="N4442" s="1" t="str">
        <f t="shared" si="1444"/>
        <v>凡华云仓-城南圆通-微信视频号</v>
      </c>
      <c r="O4442" s="5" t="s">
        <v>4472</v>
      </c>
      <c r="P4442" s="6">
        <v>0.17</v>
      </c>
      <c r="Q4442" s="11">
        <v>2</v>
      </c>
      <c r="R4442" s="11"/>
      <c r="S4442" s="11"/>
      <c r="T4442" s="11"/>
      <c r="U4442" s="11">
        <f t="shared" si="1435"/>
        <v>2</v>
      </c>
      <c r="W4442">
        <v>2.2000000000000002</v>
      </c>
      <c r="X4442" s="1" t="s">
        <v>66</v>
      </c>
    </row>
    <row r="4443" spans="1:24" x14ac:dyDescent="0.25">
      <c r="A4443" s="1" t="str">
        <f t="shared" si="1436"/>
        <v>卡卡杜-凤凰仓</v>
      </c>
      <c r="B4443" s="1" t="str">
        <f>"CK20241022836"</f>
        <v>CK20241022836</v>
      </c>
      <c r="C4443" s="1" t="str">
        <f>"DD2024102257254"</f>
        <v>DD2024102257254</v>
      </c>
      <c r="D4443" s="1" t="str">
        <f>"CK2024102226469"</f>
        <v>CK2024102226469</v>
      </c>
      <c r="E4443" s="1" t="str">
        <f>"3723467729377563648"</f>
        <v>3723467729377563648</v>
      </c>
      <c r="F4443" s="1" t="str">
        <f t="shared" si="1437"/>
        <v>花都四部-凤凰仓</v>
      </c>
      <c r="G4443" s="1" t="str">
        <f t="shared" si="1440"/>
        <v>卡卡杜企业店（视频号）</v>
      </c>
      <c r="H4443" s="1" t="str">
        <f t="shared" si="1438"/>
        <v>正常订单</v>
      </c>
      <c r="I4443" s="1" t="str">
        <f t="shared" si="1439"/>
        <v>已发货</v>
      </c>
      <c r="J4443" s="1" t="str">
        <f t="shared" si="1445"/>
        <v>2</v>
      </c>
      <c r="K4443" s="1">
        <v>2</v>
      </c>
      <c r="L4443" s="1" t="s">
        <v>20</v>
      </c>
      <c r="M4443" s="1" t="str">
        <f>"浙江省 杭州市 余杭区 "</f>
        <v xml:space="preserve">浙江省 杭州市 余杭区 </v>
      </c>
      <c r="N4443" s="1" t="str">
        <f t="shared" si="1444"/>
        <v>凡华云仓-城南圆通-微信视频号</v>
      </c>
      <c r="O4443" s="5" t="s">
        <v>4473</v>
      </c>
      <c r="P4443" s="6">
        <v>0.17</v>
      </c>
      <c r="Q4443" s="11">
        <v>2</v>
      </c>
      <c r="R4443" s="11"/>
      <c r="S4443" s="11"/>
      <c r="T4443" s="11"/>
      <c r="U4443" s="11">
        <f t="shared" si="1435"/>
        <v>2</v>
      </c>
      <c r="W4443">
        <v>2.2000000000000002</v>
      </c>
      <c r="X4443" s="1" t="s">
        <v>20</v>
      </c>
    </row>
    <row r="4444" spans="1:24" x14ac:dyDescent="0.25">
      <c r="A4444" s="1" t="str">
        <f t="shared" si="1436"/>
        <v>卡卡杜-凤凰仓</v>
      </c>
      <c r="B4444" s="1" t="str">
        <f>"CK20241022824"</f>
        <v>CK20241022824</v>
      </c>
      <c r="C4444" s="1" t="str">
        <f>"DD2024102257216"</f>
        <v>DD2024102257216</v>
      </c>
      <c r="D4444" s="1" t="str">
        <f>"CK2024102226468"</f>
        <v>CK2024102226468</v>
      </c>
      <c r="E4444" s="1" t="str">
        <f>"3723467728809756160"</f>
        <v>3723467728809756160</v>
      </c>
      <c r="F4444" s="1" t="str">
        <f t="shared" si="1437"/>
        <v>花都四部-凤凰仓</v>
      </c>
      <c r="G4444" s="1" t="str">
        <f t="shared" si="1440"/>
        <v>卡卡杜企业店（视频号）</v>
      </c>
      <c r="H4444" s="1" t="str">
        <f t="shared" si="1438"/>
        <v>正常订单</v>
      </c>
      <c r="I4444" s="1" t="str">
        <f t="shared" si="1439"/>
        <v>已发货</v>
      </c>
      <c r="J4444" s="1" t="str">
        <f t="shared" si="1445"/>
        <v>2</v>
      </c>
      <c r="K4444" s="1">
        <v>2</v>
      </c>
      <c r="L4444" s="1" t="s">
        <v>74</v>
      </c>
      <c r="M4444" s="1" t="str">
        <f>"上海 上海市 徐汇区 "</f>
        <v xml:space="preserve">上海 上海市 徐汇区 </v>
      </c>
      <c r="N4444" s="1" t="str">
        <f t="shared" si="1444"/>
        <v>凡华云仓-城南圆通-微信视频号</v>
      </c>
      <c r="O4444" s="5" t="s">
        <v>4474</v>
      </c>
      <c r="P4444" s="6">
        <v>0.17</v>
      </c>
      <c r="Q4444" s="11">
        <v>2</v>
      </c>
      <c r="R4444" s="11"/>
      <c r="S4444" s="11"/>
      <c r="T4444" s="11"/>
      <c r="U4444" s="11">
        <f t="shared" si="1435"/>
        <v>2</v>
      </c>
      <c r="W4444">
        <v>2.2000000000000002</v>
      </c>
      <c r="X4444" s="1" t="s">
        <v>74</v>
      </c>
    </row>
    <row r="4445" spans="1:24" x14ac:dyDescent="0.25">
      <c r="A4445" s="1" t="str">
        <f t="shared" si="1436"/>
        <v>卡卡杜-凤凰仓</v>
      </c>
      <c r="B4445" s="1" t="str">
        <f>"CK20241022804"</f>
        <v>CK20241022804</v>
      </c>
      <c r="C4445" s="1" t="str">
        <f>"DD2024102257153"</f>
        <v>DD2024102257153</v>
      </c>
      <c r="D4445" s="1" t="str">
        <f>"CK2024102226467"</f>
        <v>CK2024102226467</v>
      </c>
      <c r="E4445" s="1" t="str">
        <f>"3723467726395409920"</f>
        <v>3723467726395409920</v>
      </c>
      <c r="F4445" s="1" t="str">
        <f t="shared" si="1437"/>
        <v>花都四部-凤凰仓</v>
      </c>
      <c r="G4445" s="1" t="str">
        <f t="shared" si="1440"/>
        <v>卡卡杜企业店（视频号）</v>
      </c>
      <c r="H4445" s="1" t="str">
        <f t="shared" si="1438"/>
        <v>正常订单</v>
      </c>
      <c r="I4445" s="1" t="str">
        <f t="shared" si="1439"/>
        <v>已发货</v>
      </c>
      <c r="J4445" s="1" t="str">
        <f t="shared" si="1445"/>
        <v>2</v>
      </c>
      <c r="K4445" s="1">
        <v>2</v>
      </c>
      <c r="L4445" s="1" t="s">
        <v>92</v>
      </c>
      <c r="M4445" s="1" t="str">
        <f>"辽宁省 大连市 西岗区 "</f>
        <v xml:space="preserve">辽宁省 大连市 西岗区 </v>
      </c>
      <c r="N4445" s="1" t="str">
        <f t="shared" si="1444"/>
        <v>凡华云仓-城南圆通-微信视频号</v>
      </c>
      <c r="O4445" s="5" t="s">
        <v>4475</v>
      </c>
      <c r="P4445" s="6">
        <v>0.17</v>
      </c>
      <c r="Q4445" s="11">
        <v>2</v>
      </c>
      <c r="R4445" s="11"/>
      <c r="S4445" s="11"/>
      <c r="T4445" s="11"/>
      <c r="U4445" s="11">
        <f t="shared" si="1435"/>
        <v>2</v>
      </c>
      <c r="W4445">
        <v>2.2000000000000002</v>
      </c>
      <c r="X4445" s="1" t="s">
        <v>92</v>
      </c>
    </row>
    <row r="4446" spans="1:24" x14ac:dyDescent="0.25">
      <c r="A4446" s="1" t="str">
        <f t="shared" si="1436"/>
        <v>卡卡杜-凤凰仓</v>
      </c>
      <c r="B4446" s="1" t="str">
        <f>"CK20241022764"</f>
        <v>CK20241022764</v>
      </c>
      <c r="C4446" s="1" t="str">
        <f>"DD2024102257067"</f>
        <v>DD2024102257067</v>
      </c>
      <c r="D4446" s="1" t="str">
        <f>"CK2024102226466"</f>
        <v>CK2024102226466</v>
      </c>
      <c r="E4446" s="1" t="str">
        <f>"3723467730291395584"</f>
        <v>3723467730291395584</v>
      </c>
      <c r="F4446" s="1" t="str">
        <f t="shared" si="1437"/>
        <v>花都四部-凤凰仓</v>
      </c>
      <c r="G4446" s="1" t="str">
        <f t="shared" si="1440"/>
        <v>卡卡杜企业店（视频号）</v>
      </c>
      <c r="H4446" s="1" t="str">
        <f t="shared" si="1438"/>
        <v>正常订单</v>
      </c>
      <c r="I4446" s="1" t="str">
        <f t="shared" si="1439"/>
        <v>已发货</v>
      </c>
      <c r="J4446" s="1" t="str">
        <f t="shared" ref="J4446:J4449" si="1446">"3"</f>
        <v>3</v>
      </c>
      <c r="K4446" s="1">
        <v>2</v>
      </c>
      <c r="L4446" s="1" t="s">
        <v>161</v>
      </c>
      <c r="M4446" s="1" t="str">
        <f>"四川省 成都市 青羊区 "</f>
        <v xml:space="preserve">四川省 成都市 青羊区 </v>
      </c>
      <c r="N4446" s="1" t="str">
        <f t="shared" si="1444"/>
        <v>凡华云仓-城南圆通-微信视频号</v>
      </c>
      <c r="O4446" s="5" t="s">
        <v>4476</v>
      </c>
      <c r="P4446" s="6">
        <v>0.24</v>
      </c>
      <c r="Q4446" s="11">
        <v>2</v>
      </c>
      <c r="R4446" s="11"/>
      <c r="S4446" s="11"/>
      <c r="T4446" s="11"/>
      <c r="U4446" s="11">
        <f t="shared" si="1435"/>
        <v>2</v>
      </c>
      <c r="W4446">
        <v>2.2000000000000002</v>
      </c>
      <c r="X4446" s="1" t="s">
        <v>161</v>
      </c>
    </row>
    <row r="4447" spans="1:24" x14ac:dyDescent="0.25">
      <c r="A4447" s="1" t="str">
        <f t="shared" si="1436"/>
        <v>卡卡杜-凤凰仓</v>
      </c>
      <c r="B4447" s="1" t="str">
        <f>"CK20241022896"</f>
        <v>CK20241022896</v>
      </c>
      <c r="C4447" s="1" t="str">
        <f>"DD2024102257487"</f>
        <v>DD2024102257487</v>
      </c>
      <c r="D4447" s="1" t="str">
        <f>"CK2024102226465"</f>
        <v>CK2024102226465</v>
      </c>
      <c r="E4447" s="1" t="str">
        <f>"3723467729866196224"</f>
        <v>3723467729866196224</v>
      </c>
      <c r="F4447" s="1" t="str">
        <f t="shared" si="1437"/>
        <v>花都四部-凤凰仓</v>
      </c>
      <c r="G4447" s="1" t="str">
        <f t="shared" si="1440"/>
        <v>卡卡杜企业店（视频号）</v>
      </c>
      <c r="H4447" s="1" t="str">
        <f t="shared" si="1438"/>
        <v>正常订单</v>
      </c>
      <c r="I4447" s="1" t="str">
        <f t="shared" si="1439"/>
        <v>已发货</v>
      </c>
      <c r="J4447" s="1" t="str">
        <f t="shared" si="1446"/>
        <v>3</v>
      </c>
      <c r="K4447" s="1">
        <v>2</v>
      </c>
      <c r="L4447" s="1" t="s">
        <v>60</v>
      </c>
      <c r="M4447" s="1" t="str">
        <f>"云南省 昆明市 西山区 "</f>
        <v xml:space="preserve">云南省 昆明市 西山区 </v>
      </c>
      <c r="N4447" s="1" t="str">
        <f t="shared" si="1444"/>
        <v>凡华云仓-城南圆通-微信视频号</v>
      </c>
      <c r="O4447" s="5" t="s">
        <v>4477</v>
      </c>
      <c r="P4447" s="6">
        <v>0.24</v>
      </c>
      <c r="Q4447" s="11">
        <v>2</v>
      </c>
      <c r="R4447" s="11"/>
      <c r="S4447" s="11"/>
      <c r="T4447" s="11"/>
      <c r="U4447" s="11">
        <f t="shared" si="1435"/>
        <v>2</v>
      </c>
      <c r="W4447">
        <v>2.2000000000000002</v>
      </c>
      <c r="X4447" s="1" t="s">
        <v>60</v>
      </c>
    </row>
    <row r="4448" spans="1:24" x14ac:dyDescent="0.25">
      <c r="A4448" s="1" t="str">
        <f t="shared" si="1436"/>
        <v>卡卡杜-凤凰仓</v>
      </c>
      <c r="B4448" s="1" t="str">
        <f>"CK20241022929"</f>
        <v>CK20241022929</v>
      </c>
      <c r="C4448" s="1" t="str">
        <f>"DD2024102257615"</f>
        <v>DD2024102257615</v>
      </c>
      <c r="D4448" s="1" t="str">
        <f>"CK2024102226464"</f>
        <v>CK2024102226464</v>
      </c>
      <c r="E4448" s="1" t="str">
        <f>"3723467727690404864"</f>
        <v>3723467727690404864</v>
      </c>
      <c r="F4448" s="1" t="str">
        <f t="shared" si="1437"/>
        <v>花都四部-凤凰仓</v>
      </c>
      <c r="G4448" s="1" t="str">
        <f t="shared" si="1440"/>
        <v>卡卡杜企业店（视频号）</v>
      </c>
      <c r="H4448" s="1" t="str">
        <f t="shared" si="1438"/>
        <v>正常订单</v>
      </c>
      <c r="I4448" s="1" t="str">
        <f t="shared" si="1439"/>
        <v>已发货</v>
      </c>
      <c r="J4448" s="1" t="str">
        <f t="shared" ref="J4448:J4454" si="1447">"2"</f>
        <v>2</v>
      </c>
      <c r="K4448" s="1">
        <v>2</v>
      </c>
      <c r="L4448" s="1" t="s">
        <v>47</v>
      </c>
      <c r="M4448" s="1" t="str">
        <f>"重庆 重庆市 渝北区 "</f>
        <v xml:space="preserve">重庆 重庆市 渝北区 </v>
      </c>
      <c r="N4448" s="1" t="str">
        <f t="shared" si="1444"/>
        <v>凡华云仓-城南圆通-微信视频号</v>
      </c>
      <c r="O4448" s="5" t="s">
        <v>4478</v>
      </c>
      <c r="P4448" s="6">
        <v>0.17</v>
      </c>
      <c r="Q4448" s="11">
        <v>2</v>
      </c>
      <c r="R4448" s="11"/>
      <c r="S4448" s="11"/>
      <c r="T4448" s="11"/>
      <c r="U4448" s="11">
        <f t="shared" si="1435"/>
        <v>2</v>
      </c>
      <c r="W4448">
        <v>2.2000000000000002</v>
      </c>
      <c r="X4448" s="1" t="s">
        <v>47</v>
      </c>
    </row>
    <row r="4449" spans="1:24" x14ac:dyDescent="0.25">
      <c r="A4449" s="1" t="str">
        <f t="shared" si="1436"/>
        <v>卡卡杜-凤凰仓</v>
      </c>
      <c r="B4449" s="1" t="str">
        <f>"CK20241022921"</f>
        <v>CK20241022921</v>
      </c>
      <c r="C4449" s="1" t="str">
        <f>"DD2024102257592"</f>
        <v>DD2024102257592</v>
      </c>
      <c r="D4449" s="1" t="str">
        <f>"CK2024102226463"</f>
        <v>CK2024102226463</v>
      </c>
      <c r="E4449" s="1" t="str">
        <f>"3723467727839300608"</f>
        <v>3723467727839300608</v>
      </c>
      <c r="F4449" s="1" t="str">
        <f t="shared" si="1437"/>
        <v>花都四部-凤凰仓</v>
      </c>
      <c r="G4449" s="1" t="str">
        <f t="shared" si="1440"/>
        <v>卡卡杜企业店（视频号）</v>
      </c>
      <c r="H4449" s="1" t="str">
        <f t="shared" si="1438"/>
        <v>正常订单</v>
      </c>
      <c r="I4449" s="1" t="str">
        <f t="shared" si="1439"/>
        <v>已发货</v>
      </c>
      <c r="J4449" s="1" t="str">
        <f t="shared" si="1446"/>
        <v>3</v>
      </c>
      <c r="K4449" s="1">
        <v>2</v>
      </c>
      <c r="L4449" s="1" t="s">
        <v>60</v>
      </c>
      <c r="M4449" s="1" t="str">
        <f>"云南省 丽江市 玉龙纳西族自治县 "</f>
        <v xml:space="preserve">云南省 丽江市 玉龙纳西族自治县 </v>
      </c>
      <c r="N4449" s="1" t="str">
        <f t="shared" si="1444"/>
        <v>凡华云仓-城南圆通-微信视频号</v>
      </c>
      <c r="O4449" s="5" t="s">
        <v>4479</v>
      </c>
      <c r="P4449" s="6">
        <v>0.24</v>
      </c>
      <c r="Q4449" s="11">
        <v>2</v>
      </c>
      <c r="R4449" s="11"/>
      <c r="S4449" s="11"/>
      <c r="T4449" s="11"/>
      <c r="U4449" s="11">
        <f t="shared" si="1435"/>
        <v>2</v>
      </c>
      <c r="W4449">
        <v>2.2000000000000002</v>
      </c>
      <c r="X4449" s="1" t="s">
        <v>60</v>
      </c>
    </row>
    <row r="4450" spans="1:24" x14ac:dyDescent="0.25">
      <c r="A4450" s="1" t="str">
        <f t="shared" si="1436"/>
        <v>卡卡杜-凤凰仓</v>
      </c>
      <c r="B4450" s="1" t="str">
        <f>"CK20241022925"</f>
        <v>CK20241022925</v>
      </c>
      <c r="C4450" s="1" t="str">
        <f>"DD2024102257602"</f>
        <v>DD2024102257602</v>
      </c>
      <c r="D4450" s="1" t="str">
        <f>"CK2024102226462"</f>
        <v>CK2024102226462</v>
      </c>
      <c r="E4450" s="1" t="str">
        <f>"3723467727673101312"</f>
        <v>3723467727673101312</v>
      </c>
      <c r="F4450" s="1" t="str">
        <f t="shared" si="1437"/>
        <v>花都四部-凤凰仓</v>
      </c>
      <c r="G4450" s="1" t="str">
        <f t="shared" si="1440"/>
        <v>卡卡杜企业店（视频号）</v>
      </c>
      <c r="H4450" s="1" t="str">
        <f t="shared" si="1438"/>
        <v>正常订单</v>
      </c>
      <c r="I4450" s="1" t="str">
        <f t="shared" si="1439"/>
        <v>已发货</v>
      </c>
      <c r="J4450" s="1" t="str">
        <f t="shared" si="1447"/>
        <v>2</v>
      </c>
      <c r="K4450" s="1">
        <v>2</v>
      </c>
      <c r="L4450" s="1" t="s">
        <v>105</v>
      </c>
      <c r="M4450" s="1" t="str">
        <f>"北京 北京市 西城区 "</f>
        <v xml:space="preserve">北京 北京市 西城区 </v>
      </c>
      <c r="N4450" s="1" t="str">
        <f t="shared" si="1444"/>
        <v>凡华云仓-城南圆通-微信视频号</v>
      </c>
      <c r="O4450" s="5" t="s">
        <v>4480</v>
      </c>
      <c r="P4450" s="6">
        <v>0.17</v>
      </c>
      <c r="Q4450" s="11">
        <v>2</v>
      </c>
      <c r="R4450" s="11"/>
      <c r="S4450" s="11"/>
      <c r="T4450" s="11"/>
      <c r="U4450" s="11">
        <f t="shared" si="1435"/>
        <v>2</v>
      </c>
      <c r="W4450">
        <v>2.2000000000000002</v>
      </c>
      <c r="X4450" s="1" t="s">
        <v>105</v>
      </c>
    </row>
    <row r="4451" spans="1:24" x14ac:dyDescent="0.25">
      <c r="A4451" s="1" t="str">
        <f t="shared" si="1436"/>
        <v>卡卡杜-凤凰仓</v>
      </c>
      <c r="B4451" s="1" t="str">
        <f>"CK20241022926"</f>
        <v>CK20241022926</v>
      </c>
      <c r="C4451" s="1" t="str">
        <f>"DD2024102257610"</f>
        <v>DD2024102257610</v>
      </c>
      <c r="D4451" s="1" t="str">
        <f>"CK2024102226461"</f>
        <v>CK2024102226461</v>
      </c>
      <c r="E4451" s="1" t="str">
        <f>"3723467727636141056"</f>
        <v>3723467727636141056</v>
      </c>
      <c r="F4451" s="1" t="str">
        <f t="shared" si="1437"/>
        <v>花都四部-凤凰仓</v>
      </c>
      <c r="G4451" s="1" t="str">
        <f t="shared" si="1440"/>
        <v>卡卡杜企业店（视频号）</v>
      </c>
      <c r="H4451" s="1" t="str">
        <f t="shared" si="1438"/>
        <v>正常订单</v>
      </c>
      <c r="I4451" s="1" t="str">
        <f t="shared" si="1439"/>
        <v>已发货</v>
      </c>
      <c r="J4451" s="1" t="str">
        <f t="shared" si="1447"/>
        <v>2</v>
      </c>
      <c r="K4451" s="1">
        <v>2</v>
      </c>
      <c r="L4451" s="1" t="s">
        <v>13</v>
      </c>
      <c r="M4451" s="1" t="str">
        <f>"江苏省 苏州市 苏州市 "</f>
        <v xml:space="preserve">江苏省 苏州市 苏州市 </v>
      </c>
      <c r="N4451" s="1" t="str">
        <f t="shared" si="1444"/>
        <v>凡华云仓-城南圆通-微信视频号</v>
      </c>
      <c r="O4451" s="5" t="s">
        <v>4481</v>
      </c>
      <c r="P4451" s="6">
        <v>0.17</v>
      </c>
      <c r="Q4451" s="11">
        <v>2</v>
      </c>
      <c r="R4451" s="11"/>
      <c r="S4451" s="11"/>
      <c r="T4451" s="11"/>
      <c r="U4451" s="11">
        <f t="shared" si="1435"/>
        <v>2</v>
      </c>
      <c r="W4451">
        <v>2.2000000000000002</v>
      </c>
      <c r="X4451" s="1" t="s">
        <v>13</v>
      </c>
    </row>
    <row r="4452" spans="1:24" x14ac:dyDescent="0.25">
      <c r="A4452" s="1" t="str">
        <f t="shared" si="1436"/>
        <v>卡卡杜-凤凰仓</v>
      </c>
      <c r="B4452" s="1" t="str">
        <f>"CK20241022775"</f>
        <v>CK20241022775</v>
      </c>
      <c r="C4452" s="1" t="str">
        <f>"DD2024102257078"</f>
        <v>DD2024102257078</v>
      </c>
      <c r="D4452" s="1" t="str">
        <f>"CK2024102226460"</f>
        <v>CK2024102226460</v>
      </c>
      <c r="E4452" s="1" t="str">
        <f>"3723467724229051648"</f>
        <v>3723467724229051648</v>
      </c>
      <c r="F4452" s="1" t="str">
        <f t="shared" si="1437"/>
        <v>花都四部-凤凰仓</v>
      </c>
      <c r="G4452" s="1" t="str">
        <f t="shared" si="1440"/>
        <v>卡卡杜企业店（视频号）</v>
      </c>
      <c r="H4452" s="1" t="str">
        <f t="shared" si="1438"/>
        <v>正常订单</v>
      </c>
      <c r="I4452" s="1" t="str">
        <f t="shared" si="1439"/>
        <v>已发货</v>
      </c>
      <c r="J4452" s="1" t="str">
        <f t="shared" si="1447"/>
        <v>2</v>
      </c>
      <c r="K4452" s="1">
        <v>2</v>
      </c>
      <c r="L4452" s="1" t="s">
        <v>22</v>
      </c>
      <c r="M4452" s="1" t="str">
        <f>"江西省 九江市 濂溪区 "</f>
        <v xml:space="preserve">江西省 九江市 濂溪区 </v>
      </c>
      <c r="N4452" s="1" t="str">
        <f t="shared" si="1444"/>
        <v>凡华云仓-城南圆通-微信视频号</v>
      </c>
      <c r="O4452" s="5" t="s">
        <v>4482</v>
      </c>
      <c r="P4452" s="6">
        <v>0.17</v>
      </c>
      <c r="Q4452" s="11">
        <v>2</v>
      </c>
      <c r="R4452" s="11"/>
      <c r="S4452" s="11"/>
      <c r="T4452" s="11"/>
      <c r="U4452" s="11">
        <f t="shared" si="1435"/>
        <v>2</v>
      </c>
      <c r="W4452">
        <v>2.2000000000000002</v>
      </c>
      <c r="X4452" s="1" t="s">
        <v>22</v>
      </c>
    </row>
    <row r="4453" spans="1:24" x14ac:dyDescent="0.25">
      <c r="A4453" s="1" t="str">
        <f t="shared" si="1436"/>
        <v>卡卡杜-凤凰仓</v>
      </c>
      <c r="B4453" s="1" t="str">
        <f>"CK20241022958"</f>
        <v>CK20241022958</v>
      </c>
      <c r="C4453" s="1" t="str">
        <f>"DD2024102257710"</f>
        <v>DD2024102257710</v>
      </c>
      <c r="D4453" s="1" t="str">
        <f>"CK2024102226459"</f>
        <v>CK2024102226459</v>
      </c>
      <c r="E4453" s="1" t="str">
        <f>"3723467726479557888"</f>
        <v>3723467726479557888</v>
      </c>
      <c r="F4453" s="1" t="str">
        <f t="shared" si="1437"/>
        <v>花都四部-凤凰仓</v>
      </c>
      <c r="G4453" s="1" t="str">
        <f t="shared" si="1440"/>
        <v>卡卡杜企业店（视频号）</v>
      </c>
      <c r="H4453" s="1" t="str">
        <f t="shared" si="1438"/>
        <v>正常订单</v>
      </c>
      <c r="I4453" s="1" t="str">
        <f t="shared" si="1439"/>
        <v>已发货</v>
      </c>
      <c r="J4453" s="1" t="str">
        <f t="shared" si="1447"/>
        <v>2</v>
      </c>
      <c r="K4453" s="1">
        <v>2</v>
      </c>
      <c r="L4453" s="1" t="s">
        <v>13</v>
      </c>
      <c r="M4453" s="1" t="str">
        <f>"江苏省 连云港市 东海县 "</f>
        <v xml:space="preserve">江苏省 连云港市 东海县 </v>
      </c>
      <c r="N4453" s="1" t="str">
        <f t="shared" si="1444"/>
        <v>凡华云仓-城南圆通-微信视频号</v>
      </c>
      <c r="O4453" s="5" t="s">
        <v>4483</v>
      </c>
      <c r="P4453" s="6">
        <v>0.17</v>
      </c>
      <c r="Q4453" s="11">
        <v>2</v>
      </c>
      <c r="R4453" s="11"/>
      <c r="S4453" s="11"/>
      <c r="T4453" s="11"/>
      <c r="U4453" s="11">
        <f t="shared" si="1435"/>
        <v>2</v>
      </c>
      <c r="W4453">
        <v>2.2000000000000002</v>
      </c>
      <c r="X4453" s="1" t="s">
        <v>13</v>
      </c>
    </row>
    <row r="4454" spans="1:24" x14ac:dyDescent="0.25">
      <c r="A4454" s="1" t="str">
        <f t="shared" si="1436"/>
        <v>卡卡杜-凤凰仓</v>
      </c>
      <c r="B4454" s="1" t="str">
        <f>"CK20241022960"</f>
        <v>CK20241022960</v>
      </c>
      <c r="C4454" s="1" t="str">
        <f>"DD2024102257713"</f>
        <v>DD2024102257713</v>
      </c>
      <c r="D4454" s="1" t="str">
        <f>"CK2024102226458"</f>
        <v>CK2024102226458</v>
      </c>
      <c r="E4454" s="1" t="str">
        <f>"3723467723207738880"</f>
        <v>3723467723207738880</v>
      </c>
      <c r="F4454" s="1" t="str">
        <f t="shared" si="1437"/>
        <v>花都四部-凤凰仓</v>
      </c>
      <c r="G4454" s="1" t="str">
        <f t="shared" si="1440"/>
        <v>卡卡杜企业店（视频号）</v>
      </c>
      <c r="H4454" s="1" t="str">
        <f t="shared" si="1438"/>
        <v>正常订单</v>
      </c>
      <c r="I4454" s="1" t="str">
        <f t="shared" si="1439"/>
        <v>已发货</v>
      </c>
      <c r="J4454" s="1" t="str">
        <f t="shared" si="1447"/>
        <v>2</v>
      </c>
      <c r="K4454" s="1">
        <v>2</v>
      </c>
      <c r="L4454" s="1" t="s">
        <v>218</v>
      </c>
      <c r="M4454" s="1" t="str">
        <f>"天津 天津市 河西区 "</f>
        <v xml:space="preserve">天津 天津市 河西区 </v>
      </c>
      <c r="N4454" s="1" t="str">
        <f t="shared" si="1444"/>
        <v>凡华云仓-城南圆通-微信视频号</v>
      </c>
      <c r="O4454" s="5" t="s">
        <v>4484</v>
      </c>
      <c r="P4454" s="6">
        <v>0.17</v>
      </c>
      <c r="Q4454" s="11">
        <v>2</v>
      </c>
      <c r="R4454" s="11"/>
      <c r="S4454" s="11"/>
      <c r="T4454" s="11"/>
      <c r="U4454" s="11">
        <f t="shared" si="1435"/>
        <v>2</v>
      </c>
      <c r="W4454">
        <v>2.2000000000000002</v>
      </c>
      <c r="X4454" s="1" t="s">
        <v>218</v>
      </c>
    </row>
    <row r="4455" spans="1:24" x14ac:dyDescent="0.25">
      <c r="A4455" s="1" t="str">
        <f t="shared" si="1436"/>
        <v>卡卡杜-凤凰仓</v>
      </c>
      <c r="B4455" s="1" t="str">
        <f>"CK20241022748"</f>
        <v>CK20241022748</v>
      </c>
      <c r="C4455" s="1" t="str">
        <f>"DD2024102257051"</f>
        <v>DD2024102257051</v>
      </c>
      <c r="D4455" s="1" t="str">
        <f>"CK2024102226457"</f>
        <v>CK2024102226457</v>
      </c>
      <c r="E4455" s="1" t="str">
        <f>"3723467722427860224"</f>
        <v>3723467722427860224</v>
      </c>
      <c r="F4455" s="1" t="str">
        <f t="shared" si="1437"/>
        <v>花都四部-凤凰仓</v>
      </c>
      <c r="G4455" s="1" t="str">
        <f t="shared" si="1440"/>
        <v>卡卡杜企业店（视频号）</v>
      </c>
      <c r="H4455" s="1" t="str">
        <f t="shared" si="1438"/>
        <v>正常订单</v>
      </c>
      <c r="I4455" s="1" t="str">
        <f t="shared" si="1439"/>
        <v>已发货</v>
      </c>
      <c r="J4455" s="1" t="str">
        <f t="shared" ref="J4455:J4457" si="1448">"3"</f>
        <v>3</v>
      </c>
      <c r="K4455" s="1">
        <v>2</v>
      </c>
      <c r="L4455" s="1" t="s">
        <v>44</v>
      </c>
      <c r="M4455" s="1" t="str">
        <f>"海南省 省直辖县级行政区划 乐东黎族自治县 "</f>
        <v xml:space="preserve">海南省 省直辖县级行政区划 乐东黎族自治县 </v>
      </c>
      <c r="N4455" s="1" t="str">
        <f t="shared" si="1444"/>
        <v>凡华云仓-城南圆通-微信视频号</v>
      </c>
      <c r="O4455" s="5" t="s">
        <v>4485</v>
      </c>
      <c r="P4455" s="6">
        <v>0.24</v>
      </c>
      <c r="Q4455" s="11">
        <v>2</v>
      </c>
      <c r="R4455" s="11"/>
      <c r="S4455" s="11"/>
      <c r="T4455" s="11"/>
      <c r="U4455" s="11">
        <f t="shared" si="1435"/>
        <v>2</v>
      </c>
      <c r="W4455">
        <v>2.2000000000000002</v>
      </c>
      <c r="X4455" s="1" t="s">
        <v>44</v>
      </c>
    </row>
    <row r="4456" spans="1:24" x14ac:dyDescent="0.25">
      <c r="A4456" s="1" t="str">
        <f t="shared" si="1436"/>
        <v>卡卡杜-凤凰仓</v>
      </c>
      <c r="B4456" s="1" t="str">
        <f>"CK20241022765"</f>
        <v>CK20241022765</v>
      </c>
      <c r="C4456" s="1" t="str">
        <f>"DD2024102257068"</f>
        <v>DD2024102257068</v>
      </c>
      <c r="D4456" s="1" t="str">
        <f>"CK2024102226456"</f>
        <v>CK2024102226456</v>
      </c>
      <c r="E4456" s="1" t="str">
        <f>"3723467725538199040"</f>
        <v>3723467725538199040</v>
      </c>
      <c r="F4456" s="1" t="str">
        <f t="shared" si="1437"/>
        <v>花都四部-凤凰仓</v>
      </c>
      <c r="G4456" s="1" t="str">
        <f t="shared" si="1440"/>
        <v>卡卡杜企业店（视频号）</v>
      </c>
      <c r="H4456" s="1" t="str">
        <f t="shared" si="1438"/>
        <v>正常订单</v>
      </c>
      <c r="I4456" s="1" t="str">
        <f t="shared" si="1439"/>
        <v>已发货</v>
      </c>
      <c r="J4456" s="1" t="str">
        <f t="shared" si="1448"/>
        <v>3</v>
      </c>
      <c r="K4456" s="1">
        <v>2</v>
      </c>
      <c r="L4456" s="1" t="s">
        <v>105</v>
      </c>
      <c r="M4456" s="1" t="str">
        <f>"北京 北京市 顺义区 "</f>
        <v xml:space="preserve">北京 北京市 顺义区 </v>
      </c>
      <c r="N4456" s="1" t="str">
        <f t="shared" si="1444"/>
        <v>凡华云仓-城南圆通-微信视频号</v>
      </c>
      <c r="O4456" s="5" t="s">
        <v>4486</v>
      </c>
      <c r="P4456" s="6">
        <v>0.24</v>
      </c>
      <c r="Q4456" s="11">
        <v>2</v>
      </c>
      <c r="R4456" s="11"/>
      <c r="S4456" s="11"/>
      <c r="T4456" s="11"/>
      <c r="U4456" s="11">
        <f t="shared" si="1435"/>
        <v>2</v>
      </c>
      <c r="W4456">
        <v>2.2000000000000002</v>
      </c>
      <c r="X4456" s="1" t="s">
        <v>105</v>
      </c>
    </row>
    <row r="4457" spans="1:24" x14ac:dyDescent="0.25">
      <c r="A4457" s="1" t="str">
        <f t="shared" si="1436"/>
        <v>卡卡杜-凤凰仓</v>
      </c>
      <c r="B4457" s="1" t="str">
        <f>"CK20241022886"</f>
        <v>CK20241022886</v>
      </c>
      <c r="C4457" s="1" t="str">
        <f>"DD2024102257452"</f>
        <v>DD2024102257452</v>
      </c>
      <c r="D4457" s="1" t="str">
        <f>"CK2024102226455"</f>
        <v>CK2024102226455</v>
      </c>
      <c r="E4457" s="1" t="str">
        <f>"3723467725293621248"</f>
        <v>3723467725293621248</v>
      </c>
      <c r="F4457" s="1" t="str">
        <f t="shared" si="1437"/>
        <v>花都四部-凤凰仓</v>
      </c>
      <c r="G4457" s="1" t="str">
        <f t="shared" si="1440"/>
        <v>卡卡杜企业店（视频号）</v>
      </c>
      <c r="H4457" s="1" t="str">
        <f t="shared" si="1438"/>
        <v>正常订单</v>
      </c>
      <c r="I4457" s="1" t="str">
        <f t="shared" si="1439"/>
        <v>已发货</v>
      </c>
      <c r="J4457" s="1" t="str">
        <f t="shared" si="1448"/>
        <v>3</v>
      </c>
      <c r="K4457" s="1">
        <v>2</v>
      </c>
      <c r="L4457" s="1" t="s">
        <v>24</v>
      </c>
      <c r="M4457" s="1" t="str">
        <f>"福建省 福州市 鼓楼区 "</f>
        <v xml:space="preserve">福建省 福州市 鼓楼区 </v>
      </c>
      <c r="N4457" s="1" t="str">
        <f t="shared" si="1444"/>
        <v>凡华云仓-城南圆通-微信视频号</v>
      </c>
      <c r="O4457" s="5" t="s">
        <v>4487</v>
      </c>
      <c r="P4457" s="6">
        <v>0.24</v>
      </c>
      <c r="Q4457" s="11">
        <v>2</v>
      </c>
      <c r="R4457" s="11"/>
      <c r="S4457" s="11"/>
      <c r="T4457" s="11"/>
      <c r="U4457" s="11">
        <f t="shared" si="1435"/>
        <v>2</v>
      </c>
      <c r="W4457">
        <v>2.2000000000000002</v>
      </c>
      <c r="X4457" s="1" t="s">
        <v>24</v>
      </c>
    </row>
    <row r="4458" spans="1:24" x14ac:dyDescent="0.25">
      <c r="A4458" s="1" t="str">
        <f t="shared" si="1436"/>
        <v>卡卡杜-凤凰仓</v>
      </c>
      <c r="B4458" s="1" t="str">
        <f>"CK20241022927"</f>
        <v>CK20241022927</v>
      </c>
      <c r="C4458" s="1" t="str">
        <f>"DD2024102257616"</f>
        <v>DD2024102257616</v>
      </c>
      <c r="D4458" s="1" t="str">
        <f>"CK2024102226454"</f>
        <v>CK2024102226454</v>
      </c>
      <c r="E4458" s="1" t="str">
        <f>"3723467722074230784"</f>
        <v>3723467722074230784</v>
      </c>
      <c r="F4458" s="1" t="str">
        <f t="shared" si="1437"/>
        <v>花都四部-凤凰仓</v>
      </c>
      <c r="G4458" s="1" t="str">
        <f t="shared" si="1440"/>
        <v>卡卡杜企业店（视频号）</v>
      </c>
      <c r="H4458" s="1" t="str">
        <f t="shared" si="1438"/>
        <v>正常订单</v>
      </c>
      <c r="I4458" s="1" t="str">
        <f t="shared" si="1439"/>
        <v>已发货</v>
      </c>
      <c r="J4458" s="1" t="str">
        <f t="shared" ref="J4458:J4466" si="1449">"2"</f>
        <v>2</v>
      </c>
      <c r="K4458" s="1">
        <v>2</v>
      </c>
      <c r="L4458" s="1" t="s">
        <v>18</v>
      </c>
      <c r="M4458" s="1" t="str">
        <f>"广东省 广州市 荔湾区 "</f>
        <v xml:space="preserve">广东省 广州市 荔湾区 </v>
      </c>
      <c r="N4458" s="1" t="str">
        <f t="shared" si="1444"/>
        <v>凡华云仓-城南圆通-微信视频号</v>
      </c>
      <c r="O4458" s="5" t="s">
        <v>4488</v>
      </c>
      <c r="P4458" s="6">
        <v>0.17</v>
      </c>
      <c r="Q4458" s="11">
        <v>2</v>
      </c>
      <c r="R4458" s="11"/>
      <c r="S4458" s="11"/>
      <c r="T4458" s="11"/>
      <c r="U4458" s="11">
        <f t="shared" si="1435"/>
        <v>2</v>
      </c>
      <c r="W4458">
        <v>2.2000000000000002</v>
      </c>
      <c r="X4458" s="1" t="s">
        <v>18</v>
      </c>
    </row>
    <row r="4459" spans="1:24" x14ac:dyDescent="0.25">
      <c r="A4459" s="1" t="str">
        <f t="shared" si="1436"/>
        <v>卡卡杜-凤凰仓</v>
      </c>
      <c r="B4459" s="1" t="str">
        <f>"CK20241022941"</f>
        <v>CK20241022941</v>
      </c>
      <c r="C4459" s="1" t="str">
        <f>"DD2024102257657"</f>
        <v>DD2024102257657</v>
      </c>
      <c r="D4459" s="1" t="str">
        <f>"CK2024102226453"</f>
        <v>CK2024102226453</v>
      </c>
      <c r="E4459" s="1" t="str">
        <f>"3723467724886508800"</f>
        <v>3723467724886508800</v>
      </c>
      <c r="F4459" s="1" t="str">
        <f t="shared" si="1437"/>
        <v>花都四部-凤凰仓</v>
      </c>
      <c r="G4459" s="1" t="str">
        <f t="shared" si="1440"/>
        <v>卡卡杜企业店（视频号）</v>
      </c>
      <c r="H4459" s="1" t="str">
        <f t="shared" si="1438"/>
        <v>正常订单</v>
      </c>
      <c r="I4459" s="1" t="str">
        <f t="shared" si="1439"/>
        <v>已发货</v>
      </c>
      <c r="J4459" s="1" t="str">
        <f t="shared" si="1449"/>
        <v>2</v>
      </c>
      <c r="K4459" s="1">
        <v>2</v>
      </c>
      <c r="L4459" s="1" t="s">
        <v>74</v>
      </c>
      <c r="M4459" s="1" t="str">
        <f>"上海 上海市 宝山区 "</f>
        <v xml:space="preserve">上海 上海市 宝山区 </v>
      </c>
      <c r="N4459" s="1" t="str">
        <f t="shared" si="1444"/>
        <v>凡华云仓-城南圆通-微信视频号</v>
      </c>
      <c r="O4459" s="5" t="s">
        <v>4489</v>
      </c>
      <c r="P4459" s="6">
        <v>0.17</v>
      </c>
      <c r="Q4459" s="11">
        <v>2</v>
      </c>
      <c r="R4459" s="11"/>
      <c r="S4459" s="11"/>
      <c r="T4459" s="11"/>
      <c r="U4459" s="11">
        <f t="shared" si="1435"/>
        <v>2</v>
      </c>
      <c r="W4459">
        <v>2.2000000000000002</v>
      </c>
      <c r="X4459" s="1" t="s">
        <v>74</v>
      </c>
    </row>
    <row r="4460" spans="1:24" x14ac:dyDescent="0.25">
      <c r="A4460" s="1" t="str">
        <f t="shared" si="1436"/>
        <v>卡卡杜-凤凰仓</v>
      </c>
      <c r="B4460" s="1" t="str">
        <f>"CK20241022959"</f>
        <v>CK20241022959</v>
      </c>
      <c r="C4460" s="1" t="str">
        <f>"DD2024102257712"</f>
        <v>DD2024102257712</v>
      </c>
      <c r="D4460" s="1" t="str">
        <f>"CK2024102226452"</f>
        <v>CK2024102226452</v>
      </c>
      <c r="E4460" s="1" t="str">
        <f>"3723467725190336512"</f>
        <v>3723467725190336512</v>
      </c>
      <c r="F4460" s="1" t="str">
        <f t="shared" si="1437"/>
        <v>花都四部-凤凰仓</v>
      </c>
      <c r="G4460" s="1" t="str">
        <f t="shared" si="1440"/>
        <v>卡卡杜企业店（视频号）</v>
      </c>
      <c r="H4460" s="1" t="str">
        <f t="shared" si="1438"/>
        <v>正常订单</v>
      </c>
      <c r="I4460" s="1" t="str">
        <f t="shared" si="1439"/>
        <v>已发货</v>
      </c>
      <c r="J4460" s="1" t="str">
        <f t="shared" si="1449"/>
        <v>2</v>
      </c>
      <c r="K4460" s="1">
        <v>2</v>
      </c>
      <c r="L4460" s="1" t="s">
        <v>92</v>
      </c>
      <c r="M4460" s="1" t="str">
        <f>"辽宁省 锦州市 太和区 "</f>
        <v xml:space="preserve">辽宁省 锦州市 太和区 </v>
      </c>
      <c r="N4460" s="1" t="str">
        <f t="shared" si="1444"/>
        <v>凡华云仓-城南圆通-微信视频号</v>
      </c>
      <c r="O4460" s="5" t="s">
        <v>4490</v>
      </c>
      <c r="P4460" s="6">
        <v>0.17</v>
      </c>
      <c r="Q4460" s="11">
        <v>2</v>
      </c>
      <c r="R4460" s="11"/>
      <c r="S4460" s="11"/>
      <c r="T4460" s="11"/>
      <c r="U4460" s="11">
        <f t="shared" si="1435"/>
        <v>2</v>
      </c>
      <c r="W4460">
        <v>2.2000000000000002</v>
      </c>
      <c r="X4460" s="1" t="s">
        <v>92</v>
      </c>
    </row>
    <row r="4461" spans="1:24" x14ac:dyDescent="0.25">
      <c r="A4461" s="1" t="str">
        <f t="shared" si="1436"/>
        <v>卡卡杜-凤凰仓</v>
      </c>
      <c r="B4461" s="1" t="str">
        <f>"CK20241022784"</f>
        <v>CK20241022784</v>
      </c>
      <c r="C4461" s="1" t="str">
        <f>"DD2024102257091"</f>
        <v>DD2024102257091</v>
      </c>
      <c r="D4461" s="1" t="str">
        <f>"CK2024102226451"</f>
        <v>CK2024102226451</v>
      </c>
      <c r="E4461" s="1" t="str">
        <f>"3723467722686338048"</f>
        <v>3723467722686338048</v>
      </c>
      <c r="F4461" s="1" t="str">
        <f t="shared" si="1437"/>
        <v>花都四部-凤凰仓</v>
      </c>
      <c r="G4461" s="1" t="str">
        <f t="shared" si="1440"/>
        <v>卡卡杜企业店（视频号）</v>
      </c>
      <c r="H4461" s="1" t="str">
        <f t="shared" si="1438"/>
        <v>正常订单</v>
      </c>
      <c r="I4461" s="1" t="str">
        <f t="shared" si="1439"/>
        <v>已发货</v>
      </c>
      <c r="J4461" s="1" t="str">
        <f t="shared" si="1449"/>
        <v>2</v>
      </c>
      <c r="K4461" s="1">
        <v>2</v>
      </c>
      <c r="L4461" s="1" t="s">
        <v>13</v>
      </c>
      <c r="M4461" s="1" t="str">
        <f>"江苏省 南通市 海门区 "</f>
        <v xml:space="preserve">江苏省 南通市 海门区 </v>
      </c>
      <c r="N4461" s="1" t="str">
        <f t="shared" si="1444"/>
        <v>凡华云仓-城南圆通-微信视频号</v>
      </c>
      <c r="O4461" s="5" t="s">
        <v>4491</v>
      </c>
      <c r="P4461" s="6">
        <v>0.17</v>
      </c>
      <c r="Q4461" s="11">
        <v>2</v>
      </c>
      <c r="R4461" s="11"/>
      <c r="S4461" s="11"/>
      <c r="T4461" s="11"/>
      <c r="U4461" s="11">
        <f t="shared" si="1435"/>
        <v>2</v>
      </c>
      <c r="W4461">
        <v>2.2000000000000002</v>
      </c>
      <c r="X4461" s="1" t="s">
        <v>13</v>
      </c>
    </row>
    <row r="4462" spans="1:24" x14ac:dyDescent="0.25">
      <c r="A4462" s="1" t="str">
        <f t="shared" si="1436"/>
        <v>卡卡杜-凤凰仓</v>
      </c>
      <c r="B4462" s="1" t="str">
        <f>"CK20241022839"</f>
        <v>CK20241022839</v>
      </c>
      <c r="C4462" s="1" t="str">
        <f>"DD2024102257271"</f>
        <v>DD2024102257271</v>
      </c>
      <c r="D4462" s="1" t="str">
        <f>"CK2024102226450"</f>
        <v>CK2024102226450</v>
      </c>
      <c r="E4462" s="1" t="str">
        <f>"3723467723038397440"</f>
        <v>3723467723038397440</v>
      </c>
      <c r="F4462" s="1" t="str">
        <f t="shared" si="1437"/>
        <v>花都四部-凤凰仓</v>
      </c>
      <c r="G4462" s="1" t="str">
        <f t="shared" si="1440"/>
        <v>卡卡杜企业店（视频号）</v>
      </c>
      <c r="H4462" s="1" t="str">
        <f t="shared" si="1438"/>
        <v>正常订单</v>
      </c>
      <c r="I4462" s="1" t="str">
        <f t="shared" si="1439"/>
        <v>已发货</v>
      </c>
      <c r="J4462" s="1" t="str">
        <f t="shared" si="1449"/>
        <v>2</v>
      </c>
      <c r="K4462" s="1">
        <v>2</v>
      </c>
      <c r="L4462" s="1" t="s">
        <v>20</v>
      </c>
      <c r="M4462" s="1" t="str">
        <f>"浙江省 杭州市 上城区 "</f>
        <v xml:space="preserve">浙江省 杭州市 上城区 </v>
      </c>
      <c r="N4462" s="1" t="str">
        <f t="shared" si="1444"/>
        <v>凡华云仓-城南圆通-微信视频号</v>
      </c>
      <c r="O4462" s="5" t="s">
        <v>4492</v>
      </c>
      <c r="P4462" s="6">
        <v>0.17</v>
      </c>
      <c r="Q4462" s="11">
        <v>2</v>
      </c>
      <c r="R4462" s="11"/>
      <c r="S4462" s="11"/>
      <c r="T4462" s="11"/>
      <c r="U4462" s="11">
        <f t="shared" si="1435"/>
        <v>2</v>
      </c>
      <c r="W4462">
        <v>2.2000000000000002</v>
      </c>
      <c r="X4462" s="1" t="s">
        <v>20</v>
      </c>
    </row>
    <row r="4463" spans="1:24" x14ac:dyDescent="0.25">
      <c r="A4463" s="1" t="str">
        <f t="shared" si="1436"/>
        <v>卡卡杜-凤凰仓</v>
      </c>
      <c r="B4463" s="1" t="str">
        <f>"CK20241022820"</f>
        <v>CK20241022820</v>
      </c>
      <c r="C4463" s="1" t="str">
        <f>"DD2024102257205"</f>
        <v>DD2024102257205</v>
      </c>
      <c r="D4463" s="1" t="str">
        <f>"CK2024102226449"</f>
        <v>CK2024102226449</v>
      </c>
      <c r="E4463" s="1" t="str">
        <f>"3723467720433734657"</f>
        <v>3723467720433734657</v>
      </c>
      <c r="F4463" s="1" t="str">
        <f t="shared" si="1437"/>
        <v>花都四部-凤凰仓</v>
      </c>
      <c r="G4463" s="1" t="str">
        <f t="shared" si="1440"/>
        <v>卡卡杜企业店（视频号）</v>
      </c>
      <c r="H4463" s="1" t="str">
        <f t="shared" si="1438"/>
        <v>正常订单</v>
      </c>
      <c r="I4463" s="1" t="str">
        <f t="shared" si="1439"/>
        <v>已发货</v>
      </c>
      <c r="J4463" s="1" t="str">
        <f t="shared" si="1449"/>
        <v>2</v>
      </c>
      <c r="K4463" s="1">
        <v>2</v>
      </c>
      <c r="L4463" s="1" t="s">
        <v>74</v>
      </c>
      <c r="M4463" s="1" t="str">
        <f>"上海 上海市 浦东新区 "</f>
        <v xml:space="preserve">上海 上海市 浦东新区 </v>
      </c>
      <c r="N4463" s="1" t="str">
        <f t="shared" si="1444"/>
        <v>凡华云仓-城南圆通-微信视频号</v>
      </c>
      <c r="O4463" s="5" t="s">
        <v>4493</v>
      </c>
      <c r="P4463" s="6">
        <v>0.17</v>
      </c>
      <c r="Q4463" s="11">
        <v>2</v>
      </c>
      <c r="R4463" s="11"/>
      <c r="S4463" s="11"/>
      <c r="T4463" s="11"/>
      <c r="U4463" s="11">
        <f t="shared" si="1435"/>
        <v>2</v>
      </c>
      <c r="W4463">
        <v>2.2000000000000002</v>
      </c>
      <c r="X4463" s="1" t="s">
        <v>74</v>
      </c>
    </row>
    <row r="4464" spans="1:24" x14ac:dyDescent="0.25">
      <c r="A4464" s="1" t="str">
        <f t="shared" si="1436"/>
        <v>卡卡杜-凤凰仓</v>
      </c>
      <c r="B4464" s="1" t="str">
        <f>"CK20241022928"</f>
        <v>CK20241022928</v>
      </c>
      <c r="C4464" s="1" t="str">
        <f>"DD2024102257614"</f>
        <v>DD2024102257614</v>
      </c>
      <c r="D4464" s="1" t="str">
        <f>"CK2024102226448"</f>
        <v>CK2024102226448</v>
      </c>
      <c r="E4464" s="1" t="str">
        <f>"3723467723080601600"</f>
        <v>3723467723080601600</v>
      </c>
      <c r="F4464" s="1" t="str">
        <f t="shared" si="1437"/>
        <v>花都四部-凤凰仓</v>
      </c>
      <c r="G4464" s="1" t="str">
        <f t="shared" si="1440"/>
        <v>卡卡杜企业店（视频号）</v>
      </c>
      <c r="H4464" s="1" t="str">
        <f t="shared" si="1438"/>
        <v>正常订单</v>
      </c>
      <c r="I4464" s="1" t="str">
        <f t="shared" si="1439"/>
        <v>已发货</v>
      </c>
      <c r="J4464" s="1" t="str">
        <f t="shared" si="1449"/>
        <v>2</v>
      </c>
      <c r="K4464" s="1">
        <v>2</v>
      </c>
      <c r="L4464" s="1" t="s">
        <v>13</v>
      </c>
      <c r="M4464" s="1" t="str">
        <f>"江苏省 南京市 玄武区 "</f>
        <v xml:space="preserve">江苏省 南京市 玄武区 </v>
      </c>
      <c r="N4464" s="1" t="str">
        <f t="shared" si="1444"/>
        <v>凡华云仓-城南圆通-微信视频号</v>
      </c>
      <c r="O4464" s="5" t="s">
        <v>4494</v>
      </c>
      <c r="P4464" s="6">
        <v>0.17</v>
      </c>
      <c r="Q4464" s="11">
        <v>2</v>
      </c>
      <c r="R4464" s="11"/>
      <c r="S4464" s="11"/>
      <c r="T4464" s="11"/>
      <c r="U4464" s="11">
        <f t="shared" si="1435"/>
        <v>2</v>
      </c>
      <c r="W4464">
        <v>2.2000000000000002</v>
      </c>
      <c r="X4464" s="1" t="s">
        <v>13</v>
      </c>
    </row>
    <row r="4465" spans="1:24" x14ac:dyDescent="0.25">
      <c r="A4465" s="1" t="str">
        <f t="shared" si="1436"/>
        <v>卡卡杜-凤凰仓</v>
      </c>
      <c r="B4465" s="1" t="str">
        <f>"CK20241022788"</f>
        <v>CK20241022788</v>
      </c>
      <c r="C4465" s="1" t="str">
        <f>"DD2024102257109"</f>
        <v>DD2024102257109</v>
      </c>
      <c r="D4465" s="1" t="str">
        <f>"CK2024102226447"</f>
        <v>CK2024102226447</v>
      </c>
      <c r="E4465" s="1" t="str">
        <f>"3723467723302637569"</f>
        <v>3723467723302637569</v>
      </c>
      <c r="F4465" s="1" t="str">
        <f t="shared" si="1437"/>
        <v>花都四部-凤凰仓</v>
      </c>
      <c r="G4465" s="1" t="str">
        <f t="shared" si="1440"/>
        <v>卡卡杜企业店（视频号）</v>
      </c>
      <c r="H4465" s="1" t="str">
        <f t="shared" si="1438"/>
        <v>正常订单</v>
      </c>
      <c r="I4465" s="1" t="str">
        <f t="shared" si="1439"/>
        <v>已发货</v>
      </c>
      <c r="J4465" s="1" t="str">
        <f t="shared" si="1449"/>
        <v>2</v>
      </c>
      <c r="K4465" s="1">
        <v>2</v>
      </c>
      <c r="L4465" s="1" t="s">
        <v>161</v>
      </c>
      <c r="M4465" s="1" t="str">
        <f>"四川省 德阳市 绵竹市 "</f>
        <v xml:space="preserve">四川省 德阳市 绵竹市 </v>
      </c>
      <c r="N4465" s="1" t="str">
        <f t="shared" si="1444"/>
        <v>凡华云仓-城南圆通-微信视频号</v>
      </c>
      <c r="O4465" s="5" t="s">
        <v>4495</v>
      </c>
      <c r="P4465" s="6">
        <v>0.17</v>
      </c>
      <c r="Q4465" s="11">
        <v>2</v>
      </c>
      <c r="R4465" s="11"/>
      <c r="S4465" s="11"/>
      <c r="T4465" s="11"/>
      <c r="U4465" s="11">
        <f t="shared" si="1435"/>
        <v>2</v>
      </c>
      <c r="W4465">
        <v>2.2000000000000002</v>
      </c>
      <c r="X4465" s="1" t="s">
        <v>161</v>
      </c>
    </row>
    <row r="4466" spans="1:24" x14ac:dyDescent="0.25">
      <c r="A4466" s="1" t="str">
        <f t="shared" si="1436"/>
        <v>卡卡杜-凤凰仓</v>
      </c>
      <c r="B4466" s="1" t="str">
        <f>"CK20241022841"</f>
        <v>CK20241022841</v>
      </c>
      <c r="C4466" s="1" t="str">
        <f>"DD2024102257272"</f>
        <v>DD2024102257272</v>
      </c>
      <c r="D4466" s="1" t="str">
        <f>"CK2024102226446"</f>
        <v>CK2024102226446</v>
      </c>
      <c r="E4466" s="1" t="str">
        <f>"3723467722602713088"</f>
        <v>3723467722602713088</v>
      </c>
      <c r="F4466" s="1" t="str">
        <f t="shared" si="1437"/>
        <v>花都四部-凤凰仓</v>
      </c>
      <c r="G4466" s="1" t="str">
        <f t="shared" si="1440"/>
        <v>卡卡杜企业店（视频号）</v>
      </c>
      <c r="H4466" s="1" t="str">
        <f t="shared" si="1438"/>
        <v>正常订单</v>
      </c>
      <c r="I4466" s="1" t="str">
        <f t="shared" si="1439"/>
        <v>已发货</v>
      </c>
      <c r="J4466" s="1" t="str">
        <f t="shared" si="1449"/>
        <v>2</v>
      </c>
      <c r="K4466" s="1">
        <v>2</v>
      </c>
      <c r="L4466" s="1" t="s">
        <v>41</v>
      </c>
      <c r="M4466" s="1" t="str">
        <f>"湖北省 武汉市 黄陂区 "</f>
        <v xml:space="preserve">湖北省 武汉市 黄陂区 </v>
      </c>
      <c r="N4466" s="1" t="str">
        <f t="shared" si="1444"/>
        <v>凡华云仓-城南圆通-微信视频号</v>
      </c>
      <c r="O4466" s="5" t="s">
        <v>4496</v>
      </c>
      <c r="P4466" s="6">
        <v>0.17</v>
      </c>
      <c r="Q4466" s="11">
        <v>2</v>
      </c>
      <c r="R4466" s="11"/>
      <c r="S4466" s="11"/>
      <c r="T4466" s="11"/>
      <c r="U4466" s="11">
        <f t="shared" si="1435"/>
        <v>2</v>
      </c>
      <c r="W4466">
        <v>2.2000000000000002</v>
      </c>
      <c r="X4466" s="1" t="s">
        <v>41</v>
      </c>
    </row>
    <row r="4467" spans="1:24" x14ac:dyDescent="0.25">
      <c r="A4467" s="1" t="str">
        <f t="shared" si="1436"/>
        <v>卡卡杜-凤凰仓</v>
      </c>
      <c r="B4467" s="1" t="str">
        <f>"CK20241022876"</f>
        <v>CK20241022876</v>
      </c>
      <c r="C4467" s="1" t="str">
        <f>"DD2024102257407"</f>
        <v>DD2024102257407</v>
      </c>
      <c r="D4467" s="1" t="str">
        <f>"CK2024102226445"</f>
        <v>CK2024102226445</v>
      </c>
      <c r="E4467" s="1" t="str">
        <f>"3723467723523622144"</f>
        <v>3723467723523622144</v>
      </c>
      <c r="F4467" s="1" t="str">
        <f t="shared" si="1437"/>
        <v>花都四部-凤凰仓</v>
      </c>
      <c r="G4467" s="1" t="str">
        <f t="shared" si="1440"/>
        <v>卡卡杜企业店（视频号）</v>
      </c>
      <c r="H4467" s="1" t="str">
        <f t="shared" si="1438"/>
        <v>正常订单</v>
      </c>
      <c r="I4467" s="1" t="str">
        <f t="shared" si="1439"/>
        <v>已发货</v>
      </c>
      <c r="J4467" s="1" t="str">
        <f t="shared" ref="J4467:J4473" si="1450">"3"</f>
        <v>3</v>
      </c>
      <c r="K4467" s="1">
        <v>2</v>
      </c>
      <c r="L4467" s="1" t="s">
        <v>161</v>
      </c>
      <c r="M4467" s="1" t="str">
        <f>"四川省 成都市 武侯区 "</f>
        <v xml:space="preserve">四川省 成都市 武侯区 </v>
      </c>
      <c r="N4467" s="1" t="str">
        <f t="shared" si="1444"/>
        <v>凡华云仓-城南圆通-微信视频号</v>
      </c>
      <c r="O4467" s="5" t="s">
        <v>4497</v>
      </c>
      <c r="P4467" s="6">
        <v>0.24</v>
      </c>
      <c r="Q4467" s="11">
        <v>2</v>
      </c>
      <c r="R4467" s="11"/>
      <c r="S4467" s="11"/>
      <c r="T4467" s="11"/>
      <c r="U4467" s="11">
        <f t="shared" si="1435"/>
        <v>2</v>
      </c>
      <c r="W4467">
        <v>2.2000000000000002</v>
      </c>
      <c r="X4467" s="1" t="s">
        <v>161</v>
      </c>
    </row>
    <row r="4468" spans="1:24" x14ac:dyDescent="0.25">
      <c r="A4468" s="1" t="str">
        <f t="shared" si="1436"/>
        <v>卡卡杜-凤凰仓</v>
      </c>
      <c r="B4468" s="1" t="str">
        <f>"CK20241022945"</f>
        <v>CK20241022945</v>
      </c>
      <c r="C4468" s="1" t="str">
        <f>"DD2024102257670"</f>
        <v>DD2024102257670</v>
      </c>
      <c r="D4468" s="1" t="str">
        <f>"CK2024102226444"</f>
        <v>CK2024102226444</v>
      </c>
      <c r="E4468" s="1" t="str">
        <f>"3723467721954166272"</f>
        <v>3723467721954166272</v>
      </c>
      <c r="F4468" s="1" t="str">
        <f t="shared" si="1437"/>
        <v>花都四部-凤凰仓</v>
      </c>
      <c r="G4468" s="1" t="str">
        <f t="shared" si="1440"/>
        <v>卡卡杜企业店（视频号）</v>
      </c>
      <c r="H4468" s="1" t="str">
        <f t="shared" si="1438"/>
        <v>正常订单</v>
      </c>
      <c r="I4468" s="1" t="str">
        <f t="shared" si="1439"/>
        <v>已发货</v>
      </c>
      <c r="J4468" s="1" t="str">
        <f t="shared" ref="J4468:J4471" si="1451">"2"</f>
        <v>2</v>
      </c>
      <c r="K4468" s="1">
        <v>2</v>
      </c>
      <c r="L4468" s="1" t="s">
        <v>105</v>
      </c>
      <c r="M4468" s="1" t="str">
        <f>"北京 北京市 昌平区 "</f>
        <v xml:space="preserve">北京 北京市 昌平区 </v>
      </c>
      <c r="N4468" s="1" t="str">
        <f t="shared" si="1444"/>
        <v>凡华云仓-城南圆通-微信视频号</v>
      </c>
      <c r="O4468" s="5" t="s">
        <v>4498</v>
      </c>
      <c r="P4468" s="6">
        <v>0.17</v>
      </c>
      <c r="Q4468" s="11">
        <v>2</v>
      </c>
      <c r="R4468" s="11"/>
      <c r="S4468" s="11"/>
      <c r="T4468" s="11"/>
      <c r="U4468" s="11">
        <f t="shared" si="1435"/>
        <v>2</v>
      </c>
      <c r="W4468">
        <v>2.2000000000000002</v>
      </c>
      <c r="X4468" s="1" t="s">
        <v>105</v>
      </c>
    </row>
    <row r="4469" spans="1:24" x14ac:dyDescent="0.25">
      <c r="A4469" s="1" t="str">
        <f t="shared" si="1436"/>
        <v>卡卡杜-凤凰仓</v>
      </c>
      <c r="B4469" s="1" t="str">
        <f>"CK20241022922"</f>
        <v>CK20241022922</v>
      </c>
      <c r="C4469" s="1" t="str">
        <f>"DD2024102257591"</f>
        <v>DD2024102257591</v>
      </c>
      <c r="D4469" s="1" t="str">
        <f>"CK2024102226443"</f>
        <v>CK2024102226443</v>
      </c>
      <c r="E4469" s="1" t="str">
        <f>"3723467723123592193"</f>
        <v>3723467723123592193</v>
      </c>
      <c r="F4469" s="1" t="str">
        <f t="shared" si="1437"/>
        <v>花都四部-凤凰仓</v>
      </c>
      <c r="G4469" s="1" t="str">
        <f t="shared" si="1440"/>
        <v>卡卡杜企业店（视频号）</v>
      </c>
      <c r="H4469" s="1" t="str">
        <f t="shared" si="1438"/>
        <v>正常订单</v>
      </c>
      <c r="I4469" s="1" t="str">
        <f t="shared" si="1439"/>
        <v>已发货</v>
      </c>
      <c r="J4469" s="1" t="str">
        <f t="shared" si="1451"/>
        <v>2</v>
      </c>
      <c r="K4469" s="1">
        <v>2</v>
      </c>
      <c r="L4469" s="1" t="s">
        <v>20</v>
      </c>
      <c r="M4469" s="1" t="str">
        <f>"浙江省 嘉兴市 桐乡市 "</f>
        <v xml:space="preserve">浙江省 嘉兴市 桐乡市 </v>
      </c>
      <c r="N4469" s="1" t="str">
        <f t="shared" si="1444"/>
        <v>凡华云仓-城南圆通-微信视频号</v>
      </c>
      <c r="O4469" s="5" t="s">
        <v>4499</v>
      </c>
      <c r="P4469" s="6">
        <v>0.17</v>
      </c>
      <c r="Q4469" s="11">
        <v>2</v>
      </c>
      <c r="R4469" s="11"/>
      <c r="S4469" s="11"/>
      <c r="T4469" s="11"/>
      <c r="U4469" s="11">
        <f t="shared" si="1435"/>
        <v>2</v>
      </c>
      <c r="W4469">
        <v>2.2000000000000002</v>
      </c>
      <c r="X4469" s="1" t="s">
        <v>20</v>
      </c>
    </row>
    <row r="4470" spans="1:24" x14ac:dyDescent="0.25">
      <c r="A4470" s="1" t="str">
        <f t="shared" si="1436"/>
        <v>卡卡杜-凤凰仓</v>
      </c>
      <c r="B4470" s="1" t="str">
        <f>"CK20241022849"</f>
        <v>CK20241022849</v>
      </c>
      <c r="C4470" s="1" t="str">
        <f>"DD2024102257301"</f>
        <v>DD2024102257301</v>
      </c>
      <c r="D4470" s="1" t="str">
        <f>"CK2024102226442"</f>
        <v>CK2024102226442</v>
      </c>
      <c r="E4470" s="1" t="str">
        <f>"3723467722536653824"</f>
        <v>3723467722536653824</v>
      </c>
      <c r="F4470" s="1" t="str">
        <f t="shared" si="1437"/>
        <v>花都四部-凤凰仓</v>
      </c>
      <c r="G4470" s="1" t="str">
        <f t="shared" si="1440"/>
        <v>卡卡杜企业店（视频号）</v>
      </c>
      <c r="H4470" s="1" t="str">
        <f t="shared" si="1438"/>
        <v>正常订单</v>
      </c>
      <c r="I4470" s="1" t="str">
        <f t="shared" si="1439"/>
        <v>已发货</v>
      </c>
      <c r="J4470" s="1" t="str">
        <f t="shared" si="1450"/>
        <v>3</v>
      </c>
      <c r="K4470" s="1">
        <v>2</v>
      </c>
      <c r="L4470" s="1" t="s">
        <v>74</v>
      </c>
      <c r="M4470" s="1" t="str">
        <f>"上海 上海市 静安区 "</f>
        <v xml:space="preserve">上海 上海市 静安区 </v>
      </c>
      <c r="N4470" s="1" t="str">
        <f t="shared" si="1444"/>
        <v>凡华云仓-城南圆通-微信视频号</v>
      </c>
      <c r="O4470" s="5" t="s">
        <v>4500</v>
      </c>
      <c r="P4470" s="6">
        <v>0.24</v>
      </c>
      <c r="Q4470" s="11">
        <v>2</v>
      </c>
      <c r="R4470" s="11"/>
      <c r="S4470" s="11"/>
      <c r="T4470" s="11"/>
      <c r="U4470" s="11">
        <f t="shared" si="1435"/>
        <v>2</v>
      </c>
      <c r="W4470">
        <v>2.2000000000000002</v>
      </c>
      <c r="X4470" s="1" t="s">
        <v>74</v>
      </c>
    </row>
    <row r="4471" spans="1:24" x14ac:dyDescent="0.25">
      <c r="A4471" s="1" t="str">
        <f t="shared" si="1436"/>
        <v>卡卡杜-凤凰仓</v>
      </c>
      <c r="B4471" s="1" t="str">
        <f>"CK20241022730"</f>
        <v>CK20241022730</v>
      </c>
      <c r="C4471" s="1" t="str">
        <f>"DD2024102257033"</f>
        <v>DD2024102257033</v>
      </c>
      <c r="D4471" s="1" t="str">
        <f>"CK2024102226441"</f>
        <v>CK2024102226441</v>
      </c>
      <c r="E4471" s="1" t="str">
        <f>"3723467721139426304"</f>
        <v>3723467721139426304</v>
      </c>
      <c r="F4471" s="1" t="str">
        <f t="shared" si="1437"/>
        <v>花都四部-凤凰仓</v>
      </c>
      <c r="G4471" s="1" t="str">
        <f t="shared" si="1440"/>
        <v>卡卡杜企业店（视频号）</v>
      </c>
      <c r="H4471" s="1" t="str">
        <f t="shared" si="1438"/>
        <v>正常订单</v>
      </c>
      <c r="I4471" s="1" t="str">
        <f t="shared" si="1439"/>
        <v>已发货</v>
      </c>
      <c r="J4471" s="1" t="str">
        <f t="shared" si="1451"/>
        <v>2</v>
      </c>
      <c r="K4471" s="1">
        <v>2</v>
      </c>
      <c r="L4471" s="1" t="s">
        <v>94</v>
      </c>
      <c r="M4471" s="1" t="str">
        <f>"湖南省 衡阳市 珠晖区 "</f>
        <v xml:space="preserve">湖南省 衡阳市 珠晖区 </v>
      </c>
      <c r="N4471" s="1" t="str">
        <f t="shared" si="1444"/>
        <v>凡华云仓-城南圆通-微信视频号</v>
      </c>
      <c r="O4471" s="5" t="s">
        <v>4501</v>
      </c>
      <c r="P4471" s="6">
        <v>0.17</v>
      </c>
      <c r="Q4471" s="11">
        <v>2</v>
      </c>
      <c r="R4471" s="11"/>
      <c r="S4471" s="11"/>
      <c r="T4471" s="11"/>
      <c r="U4471" s="11">
        <f t="shared" si="1435"/>
        <v>2</v>
      </c>
      <c r="W4471">
        <v>2.2000000000000002</v>
      </c>
      <c r="X4471" s="1" t="s">
        <v>94</v>
      </c>
    </row>
    <row r="4472" spans="1:24" x14ac:dyDescent="0.25">
      <c r="A4472" s="1" t="str">
        <f t="shared" si="1436"/>
        <v>卡卡杜-凤凰仓</v>
      </c>
      <c r="B4472" s="1" t="str">
        <f>"CK20241022905"</f>
        <v>CK20241022905</v>
      </c>
      <c r="C4472" s="1" t="str">
        <f>"DD2024102257531"</f>
        <v>DD2024102257531</v>
      </c>
      <c r="D4472" s="1" t="str">
        <f>"CK2024102226440"</f>
        <v>CK2024102226440</v>
      </c>
      <c r="E4472" s="1" t="str">
        <f>"3723467722324579328"</f>
        <v>3723467722324579328</v>
      </c>
      <c r="F4472" s="1" t="str">
        <f t="shared" si="1437"/>
        <v>花都四部-凤凰仓</v>
      </c>
      <c r="G4472" s="1" t="str">
        <f t="shared" si="1440"/>
        <v>卡卡杜企业店（视频号）</v>
      </c>
      <c r="H4472" s="1" t="str">
        <f t="shared" si="1438"/>
        <v>正常订单</v>
      </c>
      <c r="I4472" s="1" t="str">
        <f t="shared" si="1439"/>
        <v>已发货</v>
      </c>
      <c r="J4472" s="1" t="str">
        <f t="shared" si="1450"/>
        <v>3</v>
      </c>
      <c r="K4472" s="1">
        <v>2</v>
      </c>
      <c r="L4472" s="1" t="s">
        <v>161</v>
      </c>
      <c r="M4472" s="1" t="str">
        <f>"四川省 宜宾市 叙州区 "</f>
        <v xml:space="preserve">四川省 宜宾市 叙州区 </v>
      </c>
      <c r="N4472" s="1" t="str">
        <f t="shared" si="1444"/>
        <v>凡华云仓-城南圆通-微信视频号</v>
      </c>
      <c r="O4472" s="5" t="s">
        <v>4502</v>
      </c>
      <c r="P4472" s="6">
        <v>0.24</v>
      </c>
      <c r="Q4472" s="11">
        <v>2</v>
      </c>
      <c r="R4472" s="11"/>
      <c r="S4472" s="11"/>
      <c r="T4472" s="11"/>
      <c r="U4472" s="11">
        <f t="shared" si="1435"/>
        <v>2</v>
      </c>
      <c r="W4472">
        <v>2.2000000000000002</v>
      </c>
      <c r="X4472" s="1" t="s">
        <v>161</v>
      </c>
    </row>
    <row r="4473" spans="1:24" x14ac:dyDescent="0.25">
      <c r="A4473" s="1" t="str">
        <f t="shared" si="1436"/>
        <v>卡卡杜-凤凰仓</v>
      </c>
      <c r="B4473" s="1" t="str">
        <f>"CK20241022742"</f>
        <v>CK20241022742</v>
      </c>
      <c r="C4473" s="1" t="str">
        <f>"DD2024102257046"</f>
        <v>DD2024102257046</v>
      </c>
      <c r="D4473" s="1" t="str">
        <f>"CK2024102226439"</f>
        <v>CK2024102226439</v>
      </c>
      <c r="E4473" s="1" t="str">
        <f>"3723467721336820736"</f>
        <v>3723467721336820736</v>
      </c>
      <c r="F4473" s="1" t="str">
        <f t="shared" si="1437"/>
        <v>花都四部-凤凰仓</v>
      </c>
      <c r="G4473" s="1" t="str">
        <f t="shared" si="1440"/>
        <v>卡卡杜企业店（视频号）</v>
      </c>
      <c r="H4473" s="1" t="str">
        <f t="shared" si="1438"/>
        <v>正常订单</v>
      </c>
      <c r="I4473" s="1" t="str">
        <f t="shared" si="1439"/>
        <v>已发货</v>
      </c>
      <c r="J4473" s="1" t="str">
        <f t="shared" si="1450"/>
        <v>3</v>
      </c>
      <c r="K4473" s="1">
        <v>2</v>
      </c>
      <c r="L4473" s="1" t="s">
        <v>27</v>
      </c>
      <c r="M4473" s="1" t="str">
        <f>"贵州省 贵阳市 花溪区 "</f>
        <v xml:space="preserve">贵州省 贵阳市 花溪区 </v>
      </c>
      <c r="N4473" s="1" t="str">
        <f t="shared" si="1444"/>
        <v>凡华云仓-城南圆通-微信视频号</v>
      </c>
      <c r="O4473" s="5" t="s">
        <v>4503</v>
      </c>
      <c r="P4473" s="6">
        <v>0.24</v>
      </c>
      <c r="Q4473" s="11">
        <v>2</v>
      </c>
      <c r="R4473" s="11"/>
      <c r="S4473" s="11"/>
      <c r="T4473" s="11"/>
      <c r="U4473" s="11">
        <f t="shared" si="1435"/>
        <v>2</v>
      </c>
      <c r="W4473">
        <v>2.2000000000000002</v>
      </c>
      <c r="X4473" s="1" t="s">
        <v>27</v>
      </c>
    </row>
    <row r="4474" spans="1:24" x14ac:dyDescent="0.25">
      <c r="A4474" s="1" t="str">
        <f t="shared" si="1436"/>
        <v>卡卡杜-凤凰仓</v>
      </c>
      <c r="B4474" s="1" t="str">
        <f>"CK20241022769"</f>
        <v>CK20241022769</v>
      </c>
      <c r="C4474" s="1" t="str">
        <f>"DD2024102257076"</f>
        <v>DD2024102257076</v>
      </c>
      <c r="D4474" s="1" t="str">
        <f>"CK2024102226438"</f>
        <v>CK2024102226438</v>
      </c>
      <c r="E4474" s="1" t="str">
        <f>"3723467720615137280"</f>
        <v>3723467720615137280</v>
      </c>
      <c r="F4474" s="1" t="str">
        <f t="shared" si="1437"/>
        <v>花都四部-凤凰仓</v>
      </c>
      <c r="G4474" s="1" t="str">
        <f t="shared" si="1440"/>
        <v>卡卡杜企业店（视频号）</v>
      </c>
      <c r="H4474" s="1" t="str">
        <f t="shared" si="1438"/>
        <v>正常订单</v>
      </c>
      <c r="I4474" s="1" t="str">
        <f t="shared" si="1439"/>
        <v>已发货</v>
      </c>
      <c r="J4474" s="1" t="str">
        <f t="shared" ref="J4474:J4477" si="1452">"2"</f>
        <v>2</v>
      </c>
      <c r="K4474" s="1">
        <v>2</v>
      </c>
      <c r="L4474" s="1" t="s">
        <v>27</v>
      </c>
      <c r="M4474" s="1" t="str">
        <f>"贵州省 贵阳市 观山湖区 "</f>
        <v xml:space="preserve">贵州省 贵阳市 观山湖区 </v>
      </c>
      <c r="N4474" s="1" t="str">
        <f t="shared" si="1444"/>
        <v>凡华云仓-城南圆通-微信视频号</v>
      </c>
      <c r="O4474" s="5" t="s">
        <v>4504</v>
      </c>
      <c r="P4474" s="6">
        <v>0.17</v>
      </c>
      <c r="Q4474" s="11">
        <v>2</v>
      </c>
      <c r="R4474" s="11"/>
      <c r="S4474" s="11"/>
      <c r="T4474" s="11"/>
      <c r="U4474" s="11">
        <f t="shared" si="1435"/>
        <v>2</v>
      </c>
      <c r="W4474">
        <v>2.2000000000000002</v>
      </c>
      <c r="X4474" s="1" t="s">
        <v>27</v>
      </c>
    </row>
    <row r="4475" spans="1:24" x14ac:dyDescent="0.25">
      <c r="A4475" s="1" t="str">
        <f t="shared" si="1436"/>
        <v>卡卡杜-凤凰仓</v>
      </c>
      <c r="B4475" s="1" t="str">
        <f>"CK20241022955"</f>
        <v>CK20241022955</v>
      </c>
      <c r="C4475" s="1" t="str">
        <f>"DD2024102257698"</f>
        <v>DD2024102257698</v>
      </c>
      <c r="D4475" s="1" t="str">
        <f>"CK2024102226437"</f>
        <v>CK2024102226437</v>
      </c>
      <c r="E4475" s="1" t="str">
        <f>"3723467720787887360"</f>
        <v>3723467720787887360</v>
      </c>
      <c r="F4475" s="1" t="str">
        <f t="shared" si="1437"/>
        <v>花都四部-凤凰仓</v>
      </c>
      <c r="G4475" s="1" t="str">
        <f t="shared" si="1440"/>
        <v>卡卡杜企业店（视频号）</v>
      </c>
      <c r="H4475" s="1" t="str">
        <f t="shared" si="1438"/>
        <v>正常订单</v>
      </c>
      <c r="I4475" s="1" t="str">
        <f t="shared" si="1439"/>
        <v>已发货</v>
      </c>
      <c r="J4475" s="1" t="str">
        <f t="shared" si="1452"/>
        <v>2</v>
      </c>
      <c r="K4475" s="1">
        <v>2</v>
      </c>
      <c r="L4475" s="1" t="s">
        <v>74</v>
      </c>
      <c r="M4475" s="1" t="str">
        <f>"上海 上海市 长宁区 "</f>
        <v xml:space="preserve">上海 上海市 长宁区 </v>
      </c>
      <c r="N4475" s="1" t="str">
        <f t="shared" si="1444"/>
        <v>凡华云仓-城南圆通-微信视频号</v>
      </c>
      <c r="O4475" s="5" t="s">
        <v>4505</v>
      </c>
      <c r="P4475" s="6">
        <v>0.17</v>
      </c>
      <c r="Q4475" s="11">
        <v>2</v>
      </c>
      <c r="R4475" s="11"/>
      <c r="S4475" s="11"/>
      <c r="T4475" s="11"/>
      <c r="U4475" s="11">
        <f t="shared" si="1435"/>
        <v>2</v>
      </c>
      <c r="W4475">
        <v>2.2000000000000002</v>
      </c>
      <c r="X4475" s="1" t="s">
        <v>74</v>
      </c>
    </row>
    <row r="4476" spans="1:24" x14ac:dyDescent="0.25">
      <c r="A4476" s="1" t="str">
        <f t="shared" si="1436"/>
        <v>卡卡杜-凤凰仓</v>
      </c>
      <c r="B4476" s="1" t="str">
        <f>"CK20241022700"</f>
        <v>CK20241022700</v>
      </c>
      <c r="C4476" s="1" t="str">
        <f>"DD2024102257003"</f>
        <v>DD2024102257003</v>
      </c>
      <c r="D4476" s="1" t="str">
        <f>"CK2024102226436"</f>
        <v>CK2024102226436</v>
      </c>
      <c r="E4476" s="1" t="str">
        <f>"3723467720919486464"</f>
        <v>3723467720919486464</v>
      </c>
      <c r="F4476" s="1" t="str">
        <f t="shared" si="1437"/>
        <v>花都四部-凤凰仓</v>
      </c>
      <c r="G4476" s="1" t="str">
        <f t="shared" si="1440"/>
        <v>卡卡杜企业店（视频号）</v>
      </c>
      <c r="H4476" s="1" t="str">
        <f t="shared" si="1438"/>
        <v>正常订单</v>
      </c>
      <c r="I4476" s="1" t="str">
        <f t="shared" si="1439"/>
        <v>已发货</v>
      </c>
      <c r="J4476" s="1" t="str">
        <f t="shared" ref="J4476:J4488" si="1453">"3"</f>
        <v>3</v>
      </c>
      <c r="K4476" s="1">
        <v>2</v>
      </c>
      <c r="L4476" s="1" t="s">
        <v>161</v>
      </c>
      <c r="M4476" s="1" t="str">
        <f>"四川省 成都市 武侯区 "</f>
        <v xml:space="preserve">四川省 成都市 武侯区 </v>
      </c>
      <c r="N4476" s="1" t="str">
        <f t="shared" si="1444"/>
        <v>凡华云仓-城南圆通-微信视频号</v>
      </c>
      <c r="O4476" s="5" t="s">
        <v>4506</v>
      </c>
      <c r="P4476" s="6">
        <v>0.24</v>
      </c>
      <c r="Q4476" s="11">
        <v>2</v>
      </c>
      <c r="R4476" s="11"/>
      <c r="S4476" s="11"/>
      <c r="T4476" s="11"/>
      <c r="U4476" s="11">
        <f t="shared" si="1435"/>
        <v>2</v>
      </c>
      <c r="W4476">
        <v>2.2000000000000002</v>
      </c>
      <c r="X4476" s="1" t="s">
        <v>161</v>
      </c>
    </row>
    <row r="4477" spans="1:24" x14ac:dyDescent="0.25">
      <c r="A4477" s="1" t="str">
        <f t="shared" si="1436"/>
        <v>卡卡杜-凤凰仓</v>
      </c>
      <c r="B4477" s="1" t="str">
        <f>"CK20241022932"</f>
        <v>CK20241022932</v>
      </c>
      <c r="C4477" s="1" t="str">
        <f>"DD2024102257626"</f>
        <v>DD2024102257626</v>
      </c>
      <c r="D4477" s="1" t="str">
        <f>"CK2024102226435"</f>
        <v>CK2024102226435</v>
      </c>
      <c r="E4477" s="1" t="str">
        <f>"3723467720712653824"</f>
        <v>3723467720712653824</v>
      </c>
      <c r="F4477" s="1" t="str">
        <f t="shared" si="1437"/>
        <v>花都四部-凤凰仓</v>
      </c>
      <c r="G4477" s="1" t="str">
        <f t="shared" si="1440"/>
        <v>卡卡杜企业店（视频号）</v>
      </c>
      <c r="H4477" s="1" t="str">
        <f t="shared" si="1438"/>
        <v>正常订单</v>
      </c>
      <c r="I4477" s="1" t="str">
        <f t="shared" si="1439"/>
        <v>已发货</v>
      </c>
      <c r="J4477" s="1" t="str">
        <f t="shared" si="1452"/>
        <v>2</v>
      </c>
      <c r="K4477" s="1">
        <v>2</v>
      </c>
      <c r="L4477" s="1" t="s">
        <v>74</v>
      </c>
      <c r="M4477" s="1" t="str">
        <f>"上海 上海市 普陀区 "</f>
        <v xml:space="preserve">上海 上海市 普陀区 </v>
      </c>
      <c r="N4477" s="1" t="str">
        <f t="shared" si="1444"/>
        <v>凡华云仓-城南圆通-微信视频号</v>
      </c>
      <c r="O4477" s="5" t="s">
        <v>4507</v>
      </c>
      <c r="P4477" s="6">
        <v>0.17</v>
      </c>
      <c r="Q4477" s="11">
        <v>2</v>
      </c>
      <c r="R4477" s="11"/>
      <c r="S4477" s="11"/>
      <c r="T4477" s="11"/>
      <c r="U4477" s="11">
        <f t="shared" si="1435"/>
        <v>2</v>
      </c>
      <c r="W4477">
        <v>2.2000000000000002</v>
      </c>
      <c r="X4477" s="1" t="s">
        <v>74</v>
      </c>
    </row>
    <row r="4478" spans="1:24" x14ac:dyDescent="0.25">
      <c r="A4478" s="1" t="str">
        <f t="shared" si="1436"/>
        <v>卡卡杜-凤凰仓</v>
      </c>
      <c r="B4478" s="1" t="str">
        <f>"CK20241022850"</f>
        <v>CK20241022850</v>
      </c>
      <c r="C4478" s="1" t="str">
        <f>"DD2024102257303"</f>
        <v>DD2024102257303</v>
      </c>
      <c r="D4478" s="1" t="str">
        <f>"CK2024102226434"</f>
        <v>CK2024102226434</v>
      </c>
      <c r="E4478" s="1" t="str">
        <f>"3723467719530386432"</f>
        <v>3723467719530386432</v>
      </c>
      <c r="F4478" s="1" t="str">
        <f t="shared" si="1437"/>
        <v>花都四部-凤凰仓</v>
      </c>
      <c r="G4478" s="1" t="str">
        <f t="shared" si="1440"/>
        <v>卡卡杜企业店（视频号）</v>
      </c>
      <c r="H4478" s="1" t="str">
        <f t="shared" si="1438"/>
        <v>正常订单</v>
      </c>
      <c r="I4478" s="1" t="str">
        <f t="shared" si="1439"/>
        <v>已发货</v>
      </c>
      <c r="J4478" s="1" t="str">
        <f t="shared" si="1453"/>
        <v>3</v>
      </c>
      <c r="K4478" s="1">
        <v>2</v>
      </c>
      <c r="L4478" s="1" t="s">
        <v>105</v>
      </c>
      <c r="M4478" s="1" t="str">
        <f>"北京 北京市 朝阳区 "</f>
        <v xml:space="preserve">北京 北京市 朝阳区 </v>
      </c>
      <c r="N4478" s="1" t="str">
        <f t="shared" si="1444"/>
        <v>凡华云仓-城南圆通-微信视频号</v>
      </c>
      <c r="O4478" s="5" t="s">
        <v>4508</v>
      </c>
      <c r="P4478" s="6">
        <v>0.24</v>
      </c>
      <c r="Q4478" s="11">
        <v>2</v>
      </c>
      <c r="R4478" s="11"/>
      <c r="S4478" s="11"/>
      <c r="T4478" s="11"/>
      <c r="U4478" s="11">
        <f t="shared" si="1435"/>
        <v>2</v>
      </c>
      <c r="W4478">
        <v>2.2000000000000002</v>
      </c>
      <c r="X4478" s="1" t="s">
        <v>105</v>
      </c>
    </row>
    <row r="4479" spans="1:24" x14ac:dyDescent="0.25">
      <c r="A4479" s="1" t="str">
        <f t="shared" si="1436"/>
        <v>卡卡杜-凤凰仓</v>
      </c>
      <c r="B4479" s="1" t="str">
        <f>"CK20241022940"</f>
        <v>CK20241022940</v>
      </c>
      <c r="C4479" s="1" t="str">
        <f>"DD2024102257656"</f>
        <v>DD2024102257656</v>
      </c>
      <c r="D4479" s="1" t="str">
        <f>"CK2024102226433"</f>
        <v>CK2024102226433</v>
      </c>
      <c r="E4479" s="1" t="str">
        <f>"3723467719986777088"</f>
        <v>3723467719986777088</v>
      </c>
      <c r="F4479" s="1" t="str">
        <f t="shared" si="1437"/>
        <v>花都四部-凤凰仓</v>
      </c>
      <c r="G4479" s="1" t="str">
        <f t="shared" si="1440"/>
        <v>卡卡杜企业店（视频号）</v>
      </c>
      <c r="H4479" s="1" t="str">
        <f t="shared" si="1438"/>
        <v>正常订单</v>
      </c>
      <c r="I4479" s="1" t="str">
        <f t="shared" si="1439"/>
        <v>已发货</v>
      </c>
      <c r="J4479" s="1" t="str">
        <f>"2"</f>
        <v>2</v>
      </c>
      <c r="K4479" s="1">
        <v>2</v>
      </c>
      <c r="L4479" s="1" t="s">
        <v>105</v>
      </c>
      <c r="M4479" s="1" t="str">
        <f>"北京 北京市 石景山区 "</f>
        <v xml:space="preserve">北京 北京市 石景山区 </v>
      </c>
      <c r="N4479" s="1" t="str">
        <f t="shared" si="1444"/>
        <v>凡华云仓-城南圆通-微信视频号</v>
      </c>
      <c r="O4479" s="5" t="s">
        <v>4509</v>
      </c>
      <c r="P4479" s="6">
        <v>0.17</v>
      </c>
      <c r="Q4479" s="11">
        <v>2</v>
      </c>
      <c r="R4479" s="11"/>
      <c r="S4479" s="11"/>
      <c r="T4479" s="11"/>
      <c r="U4479" s="11">
        <f t="shared" si="1435"/>
        <v>2</v>
      </c>
      <c r="W4479">
        <v>2.2000000000000002</v>
      </c>
      <c r="X4479" s="1" t="s">
        <v>105</v>
      </c>
    </row>
    <row r="4480" spans="1:24" x14ac:dyDescent="0.25">
      <c r="A4480" s="1" t="str">
        <f t="shared" si="1436"/>
        <v>卡卡杜-凤凰仓</v>
      </c>
      <c r="B4480" s="1" t="str">
        <f>"CK20241022433"</f>
        <v>CK20241022433</v>
      </c>
      <c r="C4480" s="1" t="str">
        <f>"DD2024102254263"</f>
        <v>DD2024102254263</v>
      </c>
      <c r="D4480" s="1" t="str">
        <f>"CK2024102226432"</f>
        <v>CK2024102226432</v>
      </c>
      <c r="E4480" s="1" t="str">
        <f>"3723467194167332864"</f>
        <v>3723467194167332864</v>
      </c>
      <c r="F4480" s="1" t="str">
        <f t="shared" si="1437"/>
        <v>花都四部-凤凰仓</v>
      </c>
      <c r="G4480" s="1" t="str">
        <f t="shared" si="1440"/>
        <v>卡卡杜企业店（视频号）</v>
      </c>
      <c r="H4480" s="1" t="str">
        <f t="shared" si="1438"/>
        <v>正常订单</v>
      </c>
      <c r="I4480" s="1" t="str">
        <f t="shared" si="1439"/>
        <v>已发货</v>
      </c>
      <c r="J4480" s="1" t="str">
        <f t="shared" si="1453"/>
        <v>3</v>
      </c>
      <c r="K4480" s="1">
        <v>3</v>
      </c>
      <c r="L4480" s="1" t="s">
        <v>18</v>
      </c>
      <c r="M4480" s="1" t="str">
        <f>"广东省 广州市 番禺区 "</f>
        <v xml:space="preserve">广东省 广州市 番禺区 </v>
      </c>
      <c r="N4480" s="1" t="str">
        <f t="shared" si="1444"/>
        <v>凡华云仓-城南圆通-微信视频号</v>
      </c>
      <c r="O4480" s="5" t="s">
        <v>4510</v>
      </c>
      <c r="P4480" s="6">
        <v>0.34</v>
      </c>
      <c r="Q4480" s="11">
        <v>2.2999999999999998</v>
      </c>
      <c r="R4480" s="11"/>
      <c r="S4480" s="11"/>
      <c r="T4480" s="11"/>
      <c r="U4480" s="11">
        <f t="shared" si="1435"/>
        <v>2.2999999999999998</v>
      </c>
      <c r="W4480">
        <v>2.5</v>
      </c>
      <c r="X4480" s="1" t="s">
        <v>18</v>
      </c>
    </row>
    <row r="4481" spans="1:24" x14ac:dyDescent="0.25">
      <c r="A4481" s="1" t="str">
        <f t="shared" si="1436"/>
        <v>卡卡杜-凤凰仓</v>
      </c>
      <c r="B4481" s="1" t="str">
        <f>"CK20241022628"</f>
        <v>CK20241022628</v>
      </c>
      <c r="C4481" s="1" t="str">
        <f>"DD2024102256808"</f>
        <v>DD2024102256808</v>
      </c>
      <c r="D4481" s="1" t="str">
        <f>"CK2024102226420"</f>
        <v>CK2024102226420</v>
      </c>
      <c r="E4481" s="1" t="str">
        <f>"2429501615547511"</f>
        <v>2429501615547511</v>
      </c>
      <c r="F4481" s="1" t="str">
        <f t="shared" si="1437"/>
        <v>花都四部-凤凰仓</v>
      </c>
      <c r="G4481" s="1" t="str">
        <f t="shared" ref="G4481:G4495" si="1454">"卡卡杜佳旺专卖店（快手店）"</f>
        <v>卡卡杜佳旺专卖店（快手店）</v>
      </c>
      <c r="H4481" s="1" t="str">
        <f t="shared" si="1438"/>
        <v>正常订单</v>
      </c>
      <c r="I4481" s="1" t="str">
        <f t="shared" si="1439"/>
        <v>已发货</v>
      </c>
      <c r="J4481" s="1" t="str">
        <f t="shared" si="1453"/>
        <v>3</v>
      </c>
      <c r="K4481" s="1">
        <v>2</v>
      </c>
      <c r="L4481" s="1" t="s">
        <v>30</v>
      </c>
      <c r="M4481" s="1" t="str">
        <f>"山东省 滨州市 无棣县 车王镇"</f>
        <v>山东省 滨州市 无棣县 车王镇</v>
      </c>
      <c r="N4481" s="1" t="str">
        <f t="shared" ref="N4481:N4495" si="1455">"凡华云仓-城南圆通-快手"</f>
        <v>凡华云仓-城南圆通-快手</v>
      </c>
      <c r="O4481" s="5" t="s">
        <v>4511</v>
      </c>
      <c r="P4481" s="6">
        <v>0.35</v>
      </c>
      <c r="Q4481" s="11">
        <v>2.2999999999999998</v>
      </c>
      <c r="R4481" s="11"/>
      <c r="S4481" s="11"/>
      <c r="T4481" s="11"/>
      <c r="U4481" s="11">
        <f t="shared" si="1435"/>
        <v>2.2999999999999998</v>
      </c>
      <c r="W4481">
        <v>2.5</v>
      </c>
      <c r="X4481" s="1" t="s">
        <v>30</v>
      </c>
    </row>
    <row r="4482" spans="1:24" x14ac:dyDescent="0.25">
      <c r="A4482" s="1" t="str">
        <f t="shared" si="1436"/>
        <v>卡卡杜-凤凰仓</v>
      </c>
      <c r="B4482" s="1" t="str">
        <f>"CK20241022632"</f>
        <v>CK20241022632</v>
      </c>
      <c r="C4482" s="1" t="str">
        <f>"DD2024102256812"</f>
        <v>DD2024102256812</v>
      </c>
      <c r="D4482" s="1" t="str">
        <f>"CK2024102226419"</f>
        <v>CK2024102226419</v>
      </c>
      <c r="E4482" s="1" t="str">
        <f>"2429501613939642"</f>
        <v>2429501613939642</v>
      </c>
      <c r="F4482" s="1" t="str">
        <f t="shared" si="1437"/>
        <v>花都四部-凤凰仓</v>
      </c>
      <c r="G4482" s="1" t="str">
        <f t="shared" si="1454"/>
        <v>卡卡杜佳旺专卖店（快手店）</v>
      </c>
      <c r="H4482" s="1" t="str">
        <f t="shared" si="1438"/>
        <v>正常订单</v>
      </c>
      <c r="I4482" s="1" t="str">
        <f t="shared" si="1439"/>
        <v>已发货</v>
      </c>
      <c r="J4482" s="1" t="str">
        <f t="shared" si="1453"/>
        <v>3</v>
      </c>
      <c r="K4482" s="1">
        <v>2</v>
      </c>
      <c r="L4482" s="1" t="s">
        <v>13</v>
      </c>
      <c r="M4482" s="1" t="str">
        <f>"江苏省 淮安市 涟水县 涟城街道"</f>
        <v>江苏省 淮安市 涟水县 涟城街道</v>
      </c>
      <c r="N4482" s="1" t="str">
        <f t="shared" si="1455"/>
        <v>凡华云仓-城南圆通-快手</v>
      </c>
      <c r="O4482" s="5" t="s">
        <v>4512</v>
      </c>
      <c r="P4482" s="6">
        <v>0.35</v>
      </c>
      <c r="Q4482" s="11">
        <v>2.2999999999999998</v>
      </c>
      <c r="R4482" s="11"/>
      <c r="S4482" s="11"/>
      <c r="T4482" s="11"/>
      <c r="U4482" s="11">
        <f t="shared" si="1435"/>
        <v>2.2999999999999998</v>
      </c>
      <c r="W4482">
        <v>2.5</v>
      </c>
      <c r="X4482" s="1" t="s">
        <v>13</v>
      </c>
    </row>
    <row r="4483" spans="1:24" x14ac:dyDescent="0.25">
      <c r="A4483" s="1" t="str">
        <f t="shared" si="1436"/>
        <v>卡卡杜-凤凰仓</v>
      </c>
      <c r="B4483" s="1" t="str">
        <f>"CK20241022633"</f>
        <v>CK20241022633</v>
      </c>
      <c r="C4483" s="1" t="str">
        <f>"DD2024102256813"</f>
        <v>DD2024102256813</v>
      </c>
      <c r="D4483" s="1" t="str">
        <f>"CK2024102226418"</f>
        <v>CK2024102226418</v>
      </c>
      <c r="E4483" s="1" t="str">
        <f>"2429501690576064"</f>
        <v>2429501690576064</v>
      </c>
      <c r="F4483" s="1" t="str">
        <f t="shared" si="1437"/>
        <v>花都四部-凤凰仓</v>
      </c>
      <c r="G4483" s="1" t="str">
        <f t="shared" si="1454"/>
        <v>卡卡杜佳旺专卖店（快手店）</v>
      </c>
      <c r="H4483" s="1" t="str">
        <f t="shared" si="1438"/>
        <v>正常订单</v>
      </c>
      <c r="I4483" s="1" t="str">
        <f t="shared" si="1439"/>
        <v>已发货</v>
      </c>
      <c r="J4483" s="1" t="str">
        <f t="shared" si="1453"/>
        <v>3</v>
      </c>
      <c r="K4483" s="1">
        <v>2</v>
      </c>
      <c r="L4483" s="1" t="s">
        <v>30</v>
      </c>
      <c r="M4483" s="1" t="str">
        <f>"山东省 烟台市 芝罘区 毓璜顶街道"</f>
        <v>山东省 烟台市 芝罘区 毓璜顶街道</v>
      </c>
      <c r="N4483" s="1" t="str">
        <f t="shared" si="1455"/>
        <v>凡华云仓-城南圆通-快手</v>
      </c>
      <c r="O4483" s="5" t="s">
        <v>4513</v>
      </c>
      <c r="P4483" s="6">
        <v>0.35</v>
      </c>
      <c r="Q4483" s="11">
        <v>2.2999999999999998</v>
      </c>
      <c r="R4483" s="11"/>
      <c r="S4483" s="11"/>
      <c r="T4483" s="11"/>
      <c r="U4483" s="11">
        <f t="shared" ref="U4483:U4546" si="1456">T4483+S4483+R4483+Q4483</f>
        <v>2.2999999999999998</v>
      </c>
      <c r="W4483">
        <v>2.5</v>
      </c>
      <c r="X4483" s="1" t="s">
        <v>30</v>
      </c>
    </row>
    <row r="4484" spans="1:24" x14ac:dyDescent="0.25">
      <c r="A4484" s="1" t="str">
        <f t="shared" si="1436"/>
        <v>卡卡杜-凤凰仓</v>
      </c>
      <c r="B4484" s="1" t="str">
        <f>"CK20241022634"</f>
        <v>CK20241022634</v>
      </c>
      <c r="C4484" s="1" t="str">
        <f>"DD2024102256814"</f>
        <v>DD2024102256814</v>
      </c>
      <c r="D4484" s="1" t="str">
        <f>"CK2024102226417"</f>
        <v>CK2024102226417</v>
      </c>
      <c r="E4484" s="1" t="str">
        <f>"2429502095274170"</f>
        <v>2429502095274170</v>
      </c>
      <c r="F4484" s="1" t="str">
        <f t="shared" si="1437"/>
        <v>花都四部-凤凰仓</v>
      </c>
      <c r="G4484" s="1" t="str">
        <f t="shared" si="1454"/>
        <v>卡卡杜佳旺专卖店（快手店）</v>
      </c>
      <c r="H4484" s="1" t="str">
        <f t="shared" si="1438"/>
        <v>正常订单</v>
      </c>
      <c r="I4484" s="1" t="str">
        <f t="shared" si="1439"/>
        <v>已发货</v>
      </c>
      <c r="J4484" s="1" t="str">
        <f t="shared" si="1453"/>
        <v>3</v>
      </c>
      <c r="K4484" s="1">
        <v>2</v>
      </c>
      <c r="L4484" s="1" t="s">
        <v>18</v>
      </c>
      <c r="M4484" s="1" t="str">
        <f>"广东省 深圳市 宝安区 燕罗街道"</f>
        <v>广东省 深圳市 宝安区 燕罗街道</v>
      </c>
      <c r="N4484" s="1" t="str">
        <f t="shared" si="1455"/>
        <v>凡华云仓-城南圆通-快手</v>
      </c>
      <c r="O4484" s="5" t="s">
        <v>4514</v>
      </c>
      <c r="P4484" s="6">
        <v>0.35</v>
      </c>
      <c r="Q4484" s="11">
        <v>2.2999999999999998</v>
      </c>
      <c r="R4484" s="11"/>
      <c r="S4484" s="11"/>
      <c r="T4484" s="11"/>
      <c r="U4484" s="11">
        <f t="shared" si="1456"/>
        <v>2.2999999999999998</v>
      </c>
      <c r="W4484">
        <v>2.5</v>
      </c>
      <c r="X4484" s="1" t="s">
        <v>18</v>
      </c>
    </row>
    <row r="4485" spans="1:24" x14ac:dyDescent="0.25">
      <c r="A4485" s="1" t="str">
        <f t="shared" ref="A4485:A4548" si="1457">"卡卡杜-凤凰仓"</f>
        <v>卡卡杜-凤凰仓</v>
      </c>
      <c r="B4485" s="1" t="str">
        <f>"CK20241022635"</f>
        <v>CK20241022635</v>
      </c>
      <c r="C4485" s="1" t="str">
        <f>"DD2024102256815"</f>
        <v>DD2024102256815</v>
      </c>
      <c r="D4485" s="1" t="str">
        <f>"CK2024102226416"</f>
        <v>CK2024102226416</v>
      </c>
      <c r="E4485" s="1" t="str">
        <f>"2429502169817380"</f>
        <v>2429502169817380</v>
      </c>
      <c r="F4485" s="1" t="str">
        <f t="shared" ref="F4485:F4548" si="1458">"花都四部-凤凰仓"</f>
        <v>花都四部-凤凰仓</v>
      </c>
      <c r="G4485" s="1" t="str">
        <f t="shared" si="1454"/>
        <v>卡卡杜佳旺专卖店（快手店）</v>
      </c>
      <c r="H4485" s="1" t="str">
        <f t="shared" ref="H4485:H4548" si="1459">"正常订单"</f>
        <v>正常订单</v>
      </c>
      <c r="I4485" s="1" t="str">
        <f t="shared" ref="I4485:I4548" si="1460">"已发货"</f>
        <v>已发货</v>
      </c>
      <c r="J4485" s="1" t="str">
        <f t="shared" si="1453"/>
        <v>3</v>
      </c>
      <c r="K4485" s="1">
        <v>2</v>
      </c>
      <c r="L4485" s="1" t="s">
        <v>94</v>
      </c>
      <c r="M4485" s="1" t="str">
        <f>"湖南省 常德市 桃源县 浔阳街道"</f>
        <v>湖南省 常德市 桃源县 浔阳街道</v>
      </c>
      <c r="N4485" s="1" t="str">
        <f t="shared" si="1455"/>
        <v>凡华云仓-城南圆通-快手</v>
      </c>
      <c r="O4485" s="5" t="s">
        <v>4515</v>
      </c>
      <c r="P4485" s="6">
        <v>0.35</v>
      </c>
      <c r="Q4485" s="11">
        <v>2.2999999999999998</v>
      </c>
      <c r="R4485" s="11"/>
      <c r="S4485" s="11"/>
      <c r="T4485" s="11"/>
      <c r="U4485" s="11">
        <f t="shared" si="1456"/>
        <v>2.2999999999999998</v>
      </c>
      <c r="W4485">
        <v>2.5</v>
      </c>
      <c r="X4485" s="1" t="s">
        <v>94</v>
      </c>
    </row>
    <row r="4486" spans="1:24" x14ac:dyDescent="0.25">
      <c r="A4486" s="1" t="str">
        <f t="shared" si="1457"/>
        <v>卡卡杜-凤凰仓</v>
      </c>
      <c r="B4486" s="1" t="str">
        <f>"CK20241022636"</f>
        <v>CK20241022636</v>
      </c>
      <c r="C4486" s="1" t="str">
        <f>"DD2024102256816"</f>
        <v>DD2024102256816</v>
      </c>
      <c r="D4486" s="1" t="str">
        <f>"CK2024102226415"</f>
        <v>CK2024102226415</v>
      </c>
      <c r="E4486" s="1" t="str">
        <f>"2429502018010967"</f>
        <v>2429502018010967</v>
      </c>
      <c r="F4486" s="1" t="str">
        <f t="shared" si="1458"/>
        <v>花都四部-凤凰仓</v>
      </c>
      <c r="G4486" s="1" t="str">
        <f t="shared" si="1454"/>
        <v>卡卡杜佳旺专卖店（快手店）</v>
      </c>
      <c r="H4486" s="1" t="str">
        <f t="shared" si="1459"/>
        <v>正常订单</v>
      </c>
      <c r="I4486" s="1" t="str">
        <f t="shared" si="1460"/>
        <v>已发货</v>
      </c>
      <c r="J4486" s="1" t="str">
        <f t="shared" si="1453"/>
        <v>3</v>
      </c>
      <c r="K4486" s="1">
        <v>2</v>
      </c>
      <c r="L4486" s="1" t="s">
        <v>32</v>
      </c>
      <c r="M4486" s="1" t="str">
        <f>"陕西省 宝鸡市 陈仓区 虢镇街道"</f>
        <v>陕西省 宝鸡市 陈仓区 虢镇街道</v>
      </c>
      <c r="N4486" s="1" t="str">
        <f t="shared" si="1455"/>
        <v>凡华云仓-城南圆通-快手</v>
      </c>
      <c r="O4486" s="5" t="s">
        <v>4516</v>
      </c>
      <c r="P4486" s="6">
        <v>0.35</v>
      </c>
      <c r="Q4486" s="11">
        <v>2.2999999999999998</v>
      </c>
      <c r="R4486" s="11"/>
      <c r="S4486" s="11"/>
      <c r="T4486" s="11"/>
      <c r="U4486" s="11">
        <f t="shared" si="1456"/>
        <v>2.2999999999999998</v>
      </c>
      <c r="W4486">
        <v>2.5</v>
      </c>
      <c r="X4486" s="1" t="s">
        <v>32</v>
      </c>
    </row>
    <row r="4487" spans="1:24" x14ac:dyDescent="0.25">
      <c r="A4487" s="1" t="str">
        <f t="shared" si="1457"/>
        <v>卡卡杜-凤凰仓</v>
      </c>
      <c r="B4487" s="1" t="str">
        <f>"CK20241022637"</f>
        <v>CK20241022637</v>
      </c>
      <c r="C4487" s="1" t="str">
        <f>"DD2024102256817"</f>
        <v>DD2024102256817</v>
      </c>
      <c r="D4487" s="1" t="str">
        <f>"CK2024102226414"</f>
        <v>CK2024102226414</v>
      </c>
      <c r="E4487" s="1" t="str">
        <f>"2429501857874037"</f>
        <v>2429501857874037</v>
      </c>
      <c r="F4487" s="1" t="str">
        <f t="shared" si="1458"/>
        <v>花都四部-凤凰仓</v>
      </c>
      <c r="G4487" s="1" t="str">
        <f t="shared" si="1454"/>
        <v>卡卡杜佳旺专卖店（快手店）</v>
      </c>
      <c r="H4487" s="1" t="str">
        <f t="shared" si="1459"/>
        <v>正常订单</v>
      </c>
      <c r="I4487" s="1" t="str">
        <f t="shared" si="1460"/>
        <v>已发货</v>
      </c>
      <c r="J4487" s="1" t="str">
        <f t="shared" si="1453"/>
        <v>3</v>
      </c>
      <c r="K4487" s="1">
        <v>2</v>
      </c>
      <c r="L4487" s="1" t="s">
        <v>41</v>
      </c>
      <c r="M4487" s="1" t="str">
        <f>"湖北省 武汉市 硚口区 长丰街道"</f>
        <v>湖北省 武汉市 硚口区 长丰街道</v>
      </c>
      <c r="N4487" s="1" t="str">
        <f t="shared" si="1455"/>
        <v>凡华云仓-城南圆通-快手</v>
      </c>
      <c r="O4487" s="5" t="s">
        <v>4517</v>
      </c>
      <c r="P4487" s="6">
        <v>0.35</v>
      </c>
      <c r="Q4487" s="11">
        <v>2.2999999999999998</v>
      </c>
      <c r="R4487" s="11"/>
      <c r="S4487" s="11"/>
      <c r="T4487" s="11"/>
      <c r="U4487" s="11">
        <f t="shared" si="1456"/>
        <v>2.2999999999999998</v>
      </c>
      <c r="W4487">
        <v>2.5</v>
      </c>
      <c r="X4487" s="1" t="s">
        <v>41</v>
      </c>
    </row>
    <row r="4488" spans="1:24" x14ac:dyDescent="0.25">
      <c r="A4488" s="1" t="str">
        <f t="shared" si="1457"/>
        <v>卡卡杜-凤凰仓</v>
      </c>
      <c r="B4488" s="1" t="str">
        <f>"CK20241022638"</f>
        <v>CK20241022638</v>
      </c>
      <c r="C4488" s="1" t="str">
        <f>"DD2024102256818"</f>
        <v>DD2024102256818</v>
      </c>
      <c r="D4488" s="1" t="str">
        <f>"CK2024102226413"</f>
        <v>CK2024102226413</v>
      </c>
      <c r="E4488" s="1" t="str">
        <f>"2429501864067243"</f>
        <v>2429501864067243</v>
      </c>
      <c r="F4488" s="1" t="str">
        <f t="shared" si="1458"/>
        <v>花都四部-凤凰仓</v>
      </c>
      <c r="G4488" s="1" t="str">
        <f t="shared" si="1454"/>
        <v>卡卡杜佳旺专卖店（快手店）</v>
      </c>
      <c r="H4488" s="1" t="str">
        <f t="shared" si="1459"/>
        <v>正常订单</v>
      </c>
      <c r="I4488" s="1" t="str">
        <f t="shared" si="1460"/>
        <v>已发货</v>
      </c>
      <c r="J4488" s="1" t="str">
        <f t="shared" si="1453"/>
        <v>3</v>
      </c>
      <c r="K4488" s="1">
        <v>2</v>
      </c>
      <c r="L4488" s="1" t="s">
        <v>44</v>
      </c>
      <c r="M4488" s="1" t="str">
        <f>"海南省 省直辖县级行政区划 东方市 新龙镇"</f>
        <v>海南省 省直辖县级行政区划 东方市 新龙镇</v>
      </c>
      <c r="N4488" s="1" t="str">
        <f t="shared" si="1455"/>
        <v>凡华云仓-城南圆通-快手</v>
      </c>
      <c r="O4488" s="5" t="s">
        <v>4518</v>
      </c>
      <c r="P4488" s="6">
        <v>0.35</v>
      </c>
      <c r="Q4488" s="11">
        <v>2.2999999999999998</v>
      </c>
      <c r="R4488" s="11"/>
      <c r="S4488" s="11"/>
      <c r="T4488" s="11"/>
      <c r="U4488" s="11">
        <f t="shared" si="1456"/>
        <v>2.2999999999999998</v>
      </c>
      <c r="W4488">
        <v>2.5</v>
      </c>
      <c r="X4488" s="1" t="s">
        <v>44</v>
      </c>
    </row>
    <row r="4489" spans="1:24" x14ac:dyDescent="0.25">
      <c r="A4489" s="1" t="str">
        <f t="shared" si="1457"/>
        <v>卡卡杜-凤凰仓</v>
      </c>
      <c r="B4489" s="1" t="str">
        <f>"CK20241022559"</f>
        <v>CK20241022559</v>
      </c>
      <c r="C4489" s="1" t="str">
        <f>"DD2024102256736"</f>
        <v>DD2024102256736</v>
      </c>
      <c r="D4489" s="1" t="str">
        <f>"CK2024102226412"</f>
        <v>CK2024102226412</v>
      </c>
      <c r="E4489" s="1" t="str">
        <f>"2429501603176734"</f>
        <v>2429501603176734</v>
      </c>
      <c r="F4489" s="1" t="str">
        <f t="shared" si="1458"/>
        <v>花都四部-凤凰仓</v>
      </c>
      <c r="G4489" s="1" t="str">
        <f t="shared" si="1454"/>
        <v>卡卡杜佳旺专卖店（快手店）</v>
      </c>
      <c r="H4489" s="1" t="str">
        <f t="shared" si="1459"/>
        <v>正常订单</v>
      </c>
      <c r="I4489" s="1" t="str">
        <f t="shared" si="1460"/>
        <v>已发货</v>
      </c>
      <c r="J4489" s="1" t="str">
        <f t="shared" ref="J4489:J4493" si="1461">"5"</f>
        <v>5</v>
      </c>
      <c r="K4489" s="1">
        <v>2</v>
      </c>
      <c r="L4489" s="1" t="s">
        <v>54</v>
      </c>
      <c r="M4489" s="1" t="str">
        <f>"黑龙江省 绥化市 青冈县 青冈镇"</f>
        <v>黑龙江省 绥化市 青冈县 青冈镇</v>
      </c>
      <c r="N4489" s="1" t="str">
        <f t="shared" si="1455"/>
        <v>凡华云仓-城南圆通-快手</v>
      </c>
      <c r="O4489" s="5" t="s">
        <v>4519</v>
      </c>
      <c r="P4489" s="6">
        <v>0.59</v>
      </c>
      <c r="Q4489" s="11">
        <f t="shared" ref="Q4489:Q4493" si="1462">CEILING(P4489-0.5,0.1)*10*0.15+2.3</f>
        <v>2.4499999999999997</v>
      </c>
      <c r="R4489" s="11"/>
      <c r="S4489" s="11"/>
      <c r="T4489" s="11"/>
      <c r="U4489" s="11">
        <f t="shared" si="1456"/>
        <v>2.4499999999999997</v>
      </c>
      <c r="V4489" t="s">
        <v>15</v>
      </c>
      <c r="W4489">
        <v>2.4500000000000002</v>
      </c>
      <c r="X4489" s="1" t="s">
        <v>54</v>
      </c>
    </row>
    <row r="4490" spans="1:24" x14ac:dyDescent="0.25">
      <c r="A4490" s="1" t="str">
        <f t="shared" si="1457"/>
        <v>卡卡杜-凤凰仓</v>
      </c>
      <c r="B4490" s="1" t="str">
        <f>"CK20241022640"</f>
        <v>CK20241022640</v>
      </c>
      <c r="C4490" s="1" t="str">
        <f>"DD2024102256820"</f>
        <v>DD2024102256820</v>
      </c>
      <c r="D4490" s="1" t="str">
        <f>"CK2024102226411"</f>
        <v>CK2024102226411</v>
      </c>
      <c r="E4490" s="1" t="str">
        <f>"2429502096840704"</f>
        <v>2429502096840704</v>
      </c>
      <c r="F4490" s="1" t="str">
        <f t="shared" si="1458"/>
        <v>花都四部-凤凰仓</v>
      </c>
      <c r="G4490" s="1" t="str">
        <f t="shared" si="1454"/>
        <v>卡卡杜佳旺专卖店（快手店）</v>
      </c>
      <c r="H4490" s="1" t="str">
        <f t="shared" si="1459"/>
        <v>正常订单</v>
      </c>
      <c r="I4490" s="1" t="str">
        <f t="shared" si="1460"/>
        <v>已发货</v>
      </c>
      <c r="J4490" s="1" t="str">
        <f t="shared" ref="J4490:J4501" si="1463">"3"</f>
        <v>3</v>
      </c>
      <c r="K4490" s="1">
        <v>2</v>
      </c>
      <c r="L4490" s="1" t="s">
        <v>41</v>
      </c>
      <c r="M4490" s="1" t="str">
        <f>"湖北省 襄阳市 襄城区 庞公街道"</f>
        <v>湖北省 襄阳市 襄城区 庞公街道</v>
      </c>
      <c r="N4490" s="1" t="str">
        <f t="shared" si="1455"/>
        <v>凡华云仓-城南圆通-快手</v>
      </c>
      <c r="O4490" s="5" t="s">
        <v>4520</v>
      </c>
      <c r="P4490" s="6">
        <v>0.35</v>
      </c>
      <c r="Q4490" s="11">
        <v>2.2999999999999998</v>
      </c>
      <c r="R4490" s="11"/>
      <c r="S4490" s="11"/>
      <c r="T4490" s="11"/>
      <c r="U4490" s="11">
        <f t="shared" si="1456"/>
        <v>2.2999999999999998</v>
      </c>
      <c r="W4490">
        <v>2.5</v>
      </c>
      <c r="X4490" s="1" t="s">
        <v>41</v>
      </c>
    </row>
    <row r="4491" spans="1:24" x14ac:dyDescent="0.25">
      <c r="A4491" s="1" t="str">
        <f t="shared" si="1457"/>
        <v>卡卡杜-凤凰仓</v>
      </c>
      <c r="B4491" s="1" t="str">
        <f>"CK20241022560"</f>
        <v>CK20241022560</v>
      </c>
      <c r="C4491" s="1" t="str">
        <f>"DD2024102256737"</f>
        <v>DD2024102256737</v>
      </c>
      <c r="D4491" s="1" t="str">
        <f>"CK2024102226410"</f>
        <v>CK2024102226410</v>
      </c>
      <c r="E4491" s="1" t="str">
        <f>"2429501694353852"</f>
        <v>2429501694353852</v>
      </c>
      <c r="F4491" s="1" t="str">
        <f t="shared" si="1458"/>
        <v>花都四部-凤凰仓</v>
      </c>
      <c r="G4491" s="1" t="str">
        <f t="shared" si="1454"/>
        <v>卡卡杜佳旺专卖店（快手店）</v>
      </c>
      <c r="H4491" s="1" t="str">
        <f t="shared" si="1459"/>
        <v>正常订单</v>
      </c>
      <c r="I4491" s="1" t="str">
        <f t="shared" si="1460"/>
        <v>已发货</v>
      </c>
      <c r="J4491" s="1" t="str">
        <f t="shared" si="1461"/>
        <v>5</v>
      </c>
      <c r="K4491" s="1">
        <v>2</v>
      </c>
      <c r="L4491" s="1" t="s">
        <v>32</v>
      </c>
      <c r="M4491" s="1" t="str">
        <f>"陕西省 西安市 莲湖区 红庙坡街道"</f>
        <v>陕西省 西安市 莲湖区 红庙坡街道</v>
      </c>
      <c r="N4491" s="1" t="str">
        <f t="shared" si="1455"/>
        <v>凡华云仓-城南圆通-快手</v>
      </c>
      <c r="O4491" s="5" t="s">
        <v>4521</v>
      </c>
      <c r="P4491" s="6">
        <v>0.59</v>
      </c>
      <c r="Q4491" s="11">
        <f t="shared" si="1462"/>
        <v>2.4499999999999997</v>
      </c>
      <c r="R4491" s="11"/>
      <c r="S4491" s="11"/>
      <c r="T4491" s="11"/>
      <c r="U4491" s="11">
        <f t="shared" si="1456"/>
        <v>2.4499999999999997</v>
      </c>
      <c r="V4491" t="s">
        <v>15</v>
      </c>
      <c r="W4491">
        <v>2.4500000000000002</v>
      </c>
      <c r="X4491" s="1" t="s">
        <v>32</v>
      </c>
    </row>
    <row r="4492" spans="1:24" x14ac:dyDescent="0.25">
      <c r="A4492" s="1" t="str">
        <f t="shared" si="1457"/>
        <v>卡卡杜-凤凰仓</v>
      </c>
      <c r="B4492" s="1" t="str">
        <f>"CK20241022641"</f>
        <v>CK20241022641</v>
      </c>
      <c r="C4492" s="1" t="str">
        <f>"DD2024102256821"</f>
        <v>DD2024102256821</v>
      </c>
      <c r="D4492" s="1" t="str">
        <f>"CK2024102226409"</f>
        <v>CK2024102226409</v>
      </c>
      <c r="E4492" s="1" t="str">
        <f>"2429502088793890"</f>
        <v>2429502088793890</v>
      </c>
      <c r="F4492" s="1" t="str">
        <f t="shared" si="1458"/>
        <v>花都四部-凤凰仓</v>
      </c>
      <c r="G4492" s="1" t="str">
        <f t="shared" si="1454"/>
        <v>卡卡杜佳旺专卖店（快手店）</v>
      </c>
      <c r="H4492" s="1" t="str">
        <f t="shared" si="1459"/>
        <v>正常订单</v>
      </c>
      <c r="I4492" s="1" t="str">
        <f t="shared" si="1460"/>
        <v>已发货</v>
      </c>
      <c r="J4492" s="1" t="str">
        <f t="shared" si="1463"/>
        <v>3</v>
      </c>
      <c r="K4492" s="1">
        <v>2</v>
      </c>
      <c r="L4492" s="1" t="s">
        <v>66</v>
      </c>
      <c r="M4492" s="1" t="str">
        <f>"内蒙古自治区 乌海市 乌达区 滨海街道"</f>
        <v>内蒙古自治区 乌海市 乌达区 滨海街道</v>
      </c>
      <c r="N4492" s="1" t="str">
        <f t="shared" si="1455"/>
        <v>凡华云仓-城南圆通-快手</v>
      </c>
      <c r="O4492" s="5" t="s">
        <v>4522</v>
      </c>
      <c r="P4492" s="6">
        <v>0.35</v>
      </c>
      <c r="Q4492" s="11">
        <v>2.2999999999999998</v>
      </c>
      <c r="R4492" s="11"/>
      <c r="S4492" s="11"/>
      <c r="T4492" s="11"/>
      <c r="U4492" s="11">
        <f t="shared" si="1456"/>
        <v>2.2999999999999998</v>
      </c>
      <c r="W4492">
        <v>2.5</v>
      </c>
      <c r="X4492" s="1" t="s">
        <v>66</v>
      </c>
    </row>
    <row r="4493" spans="1:24" x14ac:dyDescent="0.25">
      <c r="A4493" s="1" t="str">
        <f t="shared" si="1457"/>
        <v>卡卡杜-凤凰仓</v>
      </c>
      <c r="B4493" s="1" t="str">
        <f>"CK20241022561"</f>
        <v>CK20241022561</v>
      </c>
      <c r="C4493" s="1" t="str">
        <f>"DD2024102256738"</f>
        <v>DD2024102256738</v>
      </c>
      <c r="D4493" s="1" t="str">
        <f>"CK2024102226408"</f>
        <v>CK2024102226408</v>
      </c>
      <c r="E4493" s="1" t="str">
        <f>"2429502160704867"</f>
        <v>2429502160704867</v>
      </c>
      <c r="F4493" s="1" t="str">
        <f t="shared" si="1458"/>
        <v>花都四部-凤凰仓</v>
      </c>
      <c r="G4493" s="1" t="str">
        <f t="shared" si="1454"/>
        <v>卡卡杜佳旺专卖店（快手店）</v>
      </c>
      <c r="H4493" s="1" t="str">
        <f t="shared" si="1459"/>
        <v>正常订单</v>
      </c>
      <c r="I4493" s="1" t="str">
        <f t="shared" si="1460"/>
        <v>已发货</v>
      </c>
      <c r="J4493" s="1" t="str">
        <f t="shared" si="1461"/>
        <v>5</v>
      </c>
      <c r="K4493" s="1">
        <v>2</v>
      </c>
      <c r="L4493" s="1" t="s">
        <v>27</v>
      </c>
      <c r="M4493" s="1" t="str">
        <f>"贵州省 遵义市 赤水市 文华街道"</f>
        <v>贵州省 遵义市 赤水市 文华街道</v>
      </c>
      <c r="N4493" s="1" t="str">
        <f t="shared" si="1455"/>
        <v>凡华云仓-城南圆通-快手</v>
      </c>
      <c r="O4493" s="5" t="s">
        <v>4523</v>
      </c>
      <c r="P4493" s="6">
        <v>0.59</v>
      </c>
      <c r="Q4493" s="11">
        <f t="shared" si="1462"/>
        <v>2.4499999999999997</v>
      </c>
      <c r="R4493" s="11"/>
      <c r="S4493" s="11"/>
      <c r="T4493" s="11"/>
      <c r="U4493" s="11">
        <f t="shared" si="1456"/>
        <v>2.4499999999999997</v>
      </c>
      <c r="V4493" t="s">
        <v>15</v>
      </c>
      <c r="W4493">
        <v>2.4500000000000002</v>
      </c>
      <c r="X4493" s="1" t="s">
        <v>27</v>
      </c>
    </row>
    <row r="4494" spans="1:24" x14ac:dyDescent="0.25">
      <c r="A4494" s="1" t="str">
        <f t="shared" si="1457"/>
        <v>卡卡杜-凤凰仓</v>
      </c>
      <c r="B4494" s="1" t="str">
        <f>"CK20241022643"</f>
        <v>CK20241022643</v>
      </c>
      <c r="C4494" s="1" t="str">
        <f>"DD2024102256823"</f>
        <v>DD2024102256823</v>
      </c>
      <c r="D4494" s="1" t="str">
        <f>"CK2024102226407"</f>
        <v>CK2024102226407</v>
      </c>
      <c r="E4494" s="1" t="str">
        <f>"2429502088672685"</f>
        <v>2429502088672685</v>
      </c>
      <c r="F4494" s="1" t="str">
        <f t="shared" si="1458"/>
        <v>花都四部-凤凰仓</v>
      </c>
      <c r="G4494" s="1" t="str">
        <f t="shared" si="1454"/>
        <v>卡卡杜佳旺专卖店（快手店）</v>
      </c>
      <c r="H4494" s="1" t="str">
        <f t="shared" si="1459"/>
        <v>正常订单</v>
      </c>
      <c r="I4494" s="1" t="str">
        <f t="shared" si="1460"/>
        <v>已发货</v>
      </c>
      <c r="J4494" s="1" t="str">
        <f t="shared" si="1463"/>
        <v>3</v>
      </c>
      <c r="K4494" s="1">
        <v>2</v>
      </c>
      <c r="L4494" s="1" t="s">
        <v>32</v>
      </c>
      <c r="M4494" s="1" t="str">
        <f>"陕西省 汉中市 南郑区 新集镇"</f>
        <v>陕西省 汉中市 南郑区 新集镇</v>
      </c>
      <c r="N4494" s="1" t="str">
        <f t="shared" si="1455"/>
        <v>凡华云仓-城南圆通-快手</v>
      </c>
      <c r="O4494" s="5" t="s">
        <v>4524</v>
      </c>
      <c r="P4494" s="6">
        <v>0.35</v>
      </c>
      <c r="Q4494" s="11">
        <v>2.2999999999999998</v>
      </c>
      <c r="R4494" s="11"/>
      <c r="S4494" s="11"/>
      <c r="T4494" s="11"/>
      <c r="U4494" s="11">
        <f t="shared" si="1456"/>
        <v>2.2999999999999998</v>
      </c>
      <c r="W4494">
        <v>2.5</v>
      </c>
      <c r="X4494" s="1" t="s">
        <v>32</v>
      </c>
    </row>
    <row r="4495" spans="1:24" x14ac:dyDescent="0.25">
      <c r="A4495" s="1" t="str">
        <f t="shared" si="1457"/>
        <v>卡卡杜-凤凰仓</v>
      </c>
      <c r="B4495" s="1" t="str">
        <f>"CK20241022653"</f>
        <v>CK20241022653</v>
      </c>
      <c r="C4495" s="1" t="str">
        <f>"DD2024102256834"</f>
        <v>DD2024102256834</v>
      </c>
      <c r="D4495" s="1" t="str">
        <f>"CK2024102226406"</f>
        <v>CK2024102226406</v>
      </c>
      <c r="E4495" s="1" t="str">
        <f>"2429502006321968"</f>
        <v>2429502006321968</v>
      </c>
      <c r="F4495" s="1" t="str">
        <f t="shared" si="1458"/>
        <v>花都四部-凤凰仓</v>
      </c>
      <c r="G4495" s="1" t="str">
        <f t="shared" si="1454"/>
        <v>卡卡杜佳旺专卖店（快手店）</v>
      </c>
      <c r="H4495" s="1" t="str">
        <f t="shared" si="1459"/>
        <v>正常订单</v>
      </c>
      <c r="I4495" s="1" t="str">
        <f t="shared" si="1460"/>
        <v>已发货</v>
      </c>
      <c r="J4495" s="1" t="str">
        <f t="shared" si="1463"/>
        <v>3</v>
      </c>
      <c r="K4495" s="1">
        <v>2</v>
      </c>
      <c r="L4495" s="1" t="s">
        <v>18</v>
      </c>
      <c r="M4495" s="1" t="str">
        <f>"广东省 广州市 番禺区 石壁街道"</f>
        <v>广东省 广州市 番禺区 石壁街道</v>
      </c>
      <c r="N4495" s="1" t="str">
        <f t="shared" si="1455"/>
        <v>凡华云仓-城南圆通-快手</v>
      </c>
      <c r="O4495" s="5" t="s">
        <v>4525</v>
      </c>
      <c r="P4495" s="6">
        <v>0.35</v>
      </c>
      <c r="Q4495" s="11">
        <v>2.2999999999999998</v>
      </c>
      <c r="R4495" s="11"/>
      <c r="S4495" s="11"/>
      <c r="T4495" s="11"/>
      <c r="U4495" s="11">
        <f t="shared" si="1456"/>
        <v>2.2999999999999998</v>
      </c>
      <c r="W4495">
        <v>2.5</v>
      </c>
      <c r="X4495" s="1" t="s">
        <v>18</v>
      </c>
    </row>
    <row r="4496" spans="1:24" x14ac:dyDescent="0.25">
      <c r="A4496" s="1" t="str">
        <f t="shared" si="1457"/>
        <v>卡卡杜-凤凰仓</v>
      </c>
      <c r="B4496" s="1" t="str">
        <f>"CK20241022629"</f>
        <v>CK20241022629</v>
      </c>
      <c r="C4496" s="1" t="str">
        <f>"DD2024102256809"</f>
        <v>DD2024102256809</v>
      </c>
      <c r="D4496" s="1" t="str">
        <f>"CK2024102226405"</f>
        <v>CK2024102226405</v>
      </c>
      <c r="E4496" s="1" t="str">
        <f>"6935291486361687040"</f>
        <v>6935291486361687040</v>
      </c>
      <c r="F4496" s="1" t="str">
        <f t="shared" si="1458"/>
        <v>花都四部-凤凰仓</v>
      </c>
      <c r="G4496" s="1" t="str">
        <f t="shared" ref="G4496:G4517" si="1464">"卡卡杜个人护理店（抖店）"</f>
        <v>卡卡杜个人护理店（抖店）</v>
      </c>
      <c r="H4496" s="1" t="str">
        <f t="shared" si="1459"/>
        <v>正常订单</v>
      </c>
      <c r="I4496" s="1" t="str">
        <f t="shared" si="1460"/>
        <v>已发货</v>
      </c>
      <c r="J4496" s="1" t="str">
        <f t="shared" si="1463"/>
        <v>3</v>
      </c>
      <c r="K4496" s="1">
        <v>2</v>
      </c>
      <c r="L4496" s="1" t="s">
        <v>30</v>
      </c>
      <c r="M4496" s="1" t="str">
        <f>"山东省 烟台市 莱州市 永安路街道"</f>
        <v>山东省 烟台市 莱州市 永安路街道</v>
      </c>
      <c r="N4496" s="1" t="str">
        <f t="shared" ref="N4496:N4517" si="1465">"凡华云仓-城南圆通-抖音"</f>
        <v>凡华云仓-城南圆通-抖音</v>
      </c>
      <c r="O4496" s="5" t="s">
        <v>4526</v>
      </c>
      <c r="P4496" s="6">
        <v>0.35</v>
      </c>
      <c r="Q4496" s="11">
        <v>2.2999999999999998</v>
      </c>
      <c r="R4496" s="11"/>
      <c r="S4496" s="11"/>
      <c r="T4496" s="11"/>
      <c r="U4496" s="11">
        <f t="shared" si="1456"/>
        <v>2.2999999999999998</v>
      </c>
      <c r="W4496">
        <v>2.5</v>
      </c>
      <c r="X4496" s="1" t="s">
        <v>30</v>
      </c>
    </row>
    <row r="4497" spans="1:24" x14ac:dyDescent="0.25">
      <c r="A4497" s="1" t="str">
        <f t="shared" si="1457"/>
        <v>卡卡杜-凤凰仓</v>
      </c>
      <c r="B4497" s="1" t="str">
        <f>"CK20241022451"</f>
        <v>CK20241022451</v>
      </c>
      <c r="C4497" s="1" t="str">
        <f>"DD2024102255416"</f>
        <v>DD2024102255416</v>
      </c>
      <c r="D4497" s="1" t="str">
        <f>"CK2024102226404"</f>
        <v>CK2024102226404</v>
      </c>
      <c r="E4497" s="1" t="str">
        <f>"6935291374397953047"</f>
        <v>6935291374397953047</v>
      </c>
      <c r="F4497" s="1" t="str">
        <f t="shared" si="1458"/>
        <v>花都四部-凤凰仓</v>
      </c>
      <c r="G4497" s="1" t="str">
        <f t="shared" si="1464"/>
        <v>卡卡杜个人护理店（抖店）</v>
      </c>
      <c r="H4497" s="1" t="str">
        <f t="shared" si="1459"/>
        <v>正常订单</v>
      </c>
      <c r="I4497" s="1" t="str">
        <f t="shared" si="1460"/>
        <v>已发货</v>
      </c>
      <c r="J4497" s="1" t="str">
        <f t="shared" si="1463"/>
        <v>3</v>
      </c>
      <c r="K4497" s="1">
        <v>3</v>
      </c>
      <c r="L4497" s="1" t="s">
        <v>18</v>
      </c>
      <c r="M4497" s="1" t="str">
        <f>"广东省 江门市 新会区 会城街道"</f>
        <v>广东省 江门市 新会区 会城街道</v>
      </c>
      <c r="N4497" s="1" t="str">
        <f t="shared" si="1465"/>
        <v>凡华云仓-城南圆通-抖音</v>
      </c>
      <c r="O4497" s="5" t="s">
        <v>4527</v>
      </c>
      <c r="P4497" s="6">
        <v>0.34</v>
      </c>
      <c r="Q4497" s="11">
        <v>2.2999999999999998</v>
      </c>
      <c r="R4497" s="11"/>
      <c r="S4497" s="11"/>
      <c r="T4497" s="11"/>
      <c r="U4497" s="11">
        <f t="shared" si="1456"/>
        <v>2.2999999999999998</v>
      </c>
      <c r="W4497">
        <v>2.5</v>
      </c>
      <c r="X4497" s="1" t="s">
        <v>18</v>
      </c>
    </row>
    <row r="4498" spans="1:24" x14ac:dyDescent="0.25">
      <c r="A4498" s="1" t="str">
        <f t="shared" si="1457"/>
        <v>卡卡杜-凤凰仓</v>
      </c>
      <c r="B4498" s="1" t="str">
        <f>"CK20241022505"</f>
        <v>CK20241022505</v>
      </c>
      <c r="C4498" s="1" t="str">
        <f>"DD2024102255640"</f>
        <v>DD2024102255640</v>
      </c>
      <c r="D4498" s="1" t="str">
        <f>"CK2024102226403"</f>
        <v>CK2024102226403</v>
      </c>
      <c r="E4498" s="1" t="str">
        <f>"6935297892099494935"</f>
        <v>6935297892099494935</v>
      </c>
      <c r="F4498" s="1" t="str">
        <f t="shared" si="1458"/>
        <v>花都四部-凤凰仓</v>
      </c>
      <c r="G4498" s="1" t="str">
        <f t="shared" si="1464"/>
        <v>卡卡杜个人护理店（抖店）</v>
      </c>
      <c r="H4498" s="1" t="str">
        <f t="shared" si="1459"/>
        <v>正常订单</v>
      </c>
      <c r="I4498" s="1" t="str">
        <f t="shared" si="1460"/>
        <v>已发货</v>
      </c>
      <c r="J4498" s="1" t="str">
        <f t="shared" si="1463"/>
        <v>3</v>
      </c>
      <c r="K4498" s="1">
        <v>3</v>
      </c>
      <c r="L4498" s="1" t="s">
        <v>18</v>
      </c>
      <c r="M4498" s="1" t="str">
        <f>"广东省 江门市 新会区 会城街道"</f>
        <v>广东省 江门市 新会区 会城街道</v>
      </c>
      <c r="N4498" s="1" t="str">
        <f t="shared" si="1465"/>
        <v>凡华云仓-城南圆通-抖音</v>
      </c>
      <c r="O4498" s="5" t="s">
        <v>4528</v>
      </c>
      <c r="P4498" s="6">
        <v>0.34</v>
      </c>
      <c r="Q4498" s="11">
        <v>2.2999999999999998</v>
      </c>
      <c r="R4498" s="11"/>
      <c r="S4498" s="11"/>
      <c r="T4498" s="11"/>
      <c r="U4498" s="11">
        <f t="shared" si="1456"/>
        <v>2.2999999999999998</v>
      </c>
      <c r="W4498">
        <v>2.5</v>
      </c>
      <c r="X4498" s="1" t="s">
        <v>18</v>
      </c>
    </row>
    <row r="4499" spans="1:24" x14ac:dyDescent="0.25">
      <c r="A4499" s="1" t="str">
        <f t="shared" si="1457"/>
        <v>卡卡杜-凤凰仓</v>
      </c>
      <c r="B4499" s="1" t="str">
        <f>"CK20241022630"</f>
        <v>CK20241022630</v>
      </c>
      <c r="C4499" s="1" t="str">
        <f>"DD2024102256810"</f>
        <v>DD2024102256810</v>
      </c>
      <c r="D4499" s="1" t="str">
        <f>"CK2024102226402"</f>
        <v>CK2024102226402</v>
      </c>
      <c r="E4499" s="1" t="str">
        <f>"6935295547292587186"</f>
        <v>6935295547292587186</v>
      </c>
      <c r="F4499" s="1" t="str">
        <f t="shared" si="1458"/>
        <v>花都四部-凤凰仓</v>
      </c>
      <c r="G4499" s="1" t="str">
        <f t="shared" si="1464"/>
        <v>卡卡杜个人护理店（抖店）</v>
      </c>
      <c r="H4499" s="1" t="str">
        <f t="shared" si="1459"/>
        <v>正常订单</v>
      </c>
      <c r="I4499" s="1" t="str">
        <f t="shared" si="1460"/>
        <v>已发货</v>
      </c>
      <c r="J4499" s="1" t="str">
        <f t="shared" si="1463"/>
        <v>3</v>
      </c>
      <c r="K4499" s="1">
        <v>2</v>
      </c>
      <c r="L4499" s="1" t="s">
        <v>20</v>
      </c>
      <c r="M4499" s="1" t="str">
        <f>"浙江省 金华市 义乌市 福田街道"</f>
        <v>浙江省 金华市 义乌市 福田街道</v>
      </c>
      <c r="N4499" s="1" t="str">
        <f t="shared" si="1465"/>
        <v>凡华云仓-城南圆通-抖音</v>
      </c>
      <c r="O4499" s="5" t="s">
        <v>4529</v>
      </c>
      <c r="P4499" s="6">
        <v>0.35</v>
      </c>
      <c r="Q4499" s="11">
        <v>2.2999999999999998</v>
      </c>
      <c r="R4499" s="11"/>
      <c r="S4499" s="11"/>
      <c r="T4499" s="11"/>
      <c r="U4499" s="11">
        <f t="shared" si="1456"/>
        <v>2.2999999999999998</v>
      </c>
      <c r="W4499">
        <v>2.5</v>
      </c>
      <c r="X4499" s="1" t="s">
        <v>20</v>
      </c>
    </row>
    <row r="4500" spans="1:24" x14ac:dyDescent="0.25">
      <c r="A4500" s="1" t="str">
        <f t="shared" si="1457"/>
        <v>卡卡杜-凤凰仓</v>
      </c>
      <c r="B4500" s="1" t="str">
        <f>"CK20241022631"</f>
        <v>CK20241022631</v>
      </c>
      <c r="C4500" s="1" t="str">
        <f>"DD2024102256811"</f>
        <v>DD2024102256811</v>
      </c>
      <c r="D4500" s="1" t="str">
        <f>"CK2024102226401"</f>
        <v>CK2024102226401</v>
      </c>
      <c r="E4500" s="1" t="str">
        <f>"6935308935505450376"</f>
        <v>6935308935505450376</v>
      </c>
      <c r="F4500" s="1" t="str">
        <f t="shared" si="1458"/>
        <v>花都四部-凤凰仓</v>
      </c>
      <c r="G4500" s="1" t="str">
        <f t="shared" si="1464"/>
        <v>卡卡杜个人护理店（抖店）</v>
      </c>
      <c r="H4500" s="1" t="str">
        <f t="shared" si="1459"/>
        <v>正常订单</v>
      </c>
      <c r="I4500" s="1" t="str">
        <f t="shared" si="1460"/>
        <v>已发货</v>
      </c>
      <c r="J4500" s="1" t="str">
        <f t="shared" si="1463"/>
        <v>3</v>
      </c>
      <c r="K4500" s="1">
        <v>2</v>
      </c>
      <c r="L4500" s="1" t="s">
        <v>18</v>
      </c>
      <c r="M4500" s="1" t="str">
        <f>"广东省 揭阳市 榕城区 "</f>
        <v xml:space="preserve">广东省 揭阳市 榕城区 </v>
      </c>
      <c r="N4500" s="1" t="str">
        <f t="shared" si="1465"/>
        <v>凡华云仓-城南圆通-抖音</v>
      </c>
      <c r="O4500" s="5" t="s">
        <v>4530</v>
      </c>
      <c r="P4500" s="6">
        <v>0.35</v>
      </c>
      <c r="Q4500" s="11">
        <v>2.2999999999999998</v>
      </c>
      <c r="R4500" s="11"/>
      <c r="S4500" s="11"/>
      <c r="T4500" s="11"/>
      <c r="U4500" s="11">
        <f t="shared" si="1456"/>
        <v>2.2999999999999998</v>
      </c>
      <c r="W4500">
        <v>2.5</v>
      </c>
      <c r="X4500" s="1" t="s">
        <v>18</v>
      </c>
    </row>
    <row r="4501" spans="1:24" x14ac:dyDescent="0.25">
      <c r="A4501" s="1" t="str">
        <f t="shared" si="1457"/>
        <v>卡卡杜-凤凰仓</v>
      </c>
      <c r="B4501" s="1" t="str">
        <f>"CK20241022434"</f>
        <v>CK20241022434</v>
      </c>
      <c r="C4501" s="1" t="str">
        <f>"DD2024102254269"</f>
        <v>DD2024102254269</v>
      </c>
      <c r="D4501" s="1" t="str">
        <f>"CK2024102226400"</f>
        <v>CK2024102226400</v>
      </c>
      <c r="E4501" s="1" t="str">
        <f>"6935302795021784591"</f>
        <v>6935302795021784591</v>
      </c>
      <c r="F4501" s="1" t="str">
        <f t="shared" si="1458"/>
        <v>花都四部-凤凰仓</v>
      </c>
      <c r="G4501" s="1" t="str">
        <f t="shared" si="1464"/>
        <v>卡卡杜个人护理店（抖店）</v>
      </c>
      <c r="H4501" s="1" t="str">
        <f t="shared" si="1459"/>
        <v>正常订单</v>
      </c>
      <c r="I4501" s="1" t="str">
        <f t="shared" si="1460"/>
        <v>已发货</v>
      </c>
      <c r="J4501" s="1" t="str">
        <f t="shared" si="1463"/>
        <v>3</v>
      </c>
      <c r="K4501" s="1">
        <v>3</v>
      </c>
      <c r="L4501" s="1" t="s">
        <v>13</v>
      </c>
      <c r="M4501" s="1" t="str">
        <f>"江苏省 宿迁市 宿城区 支口街道"</f>
        <v>江苏省 宿迁市 宿城区 支口街道</v>
      </c>
      <c r="N4501" s="1" t="str">
        <f t="shared" si="1465"/>
        <v>凡华云仓-城南圆通-抖音</v>
      </c>
      <c r="O4501" s="5" t="s">
        <v>4531</v>
      </c>
      <c r="P4501" s="6">
        <v>0.34</v>
      </c>
      <c r="Q4501" s="11">
        <v>2.2999999999999998</v>
      </c>
      <c r="R4501" s="11"/>
      <c r="S4501" s="11"/>
      <c r="T4501" s="11"/>
      <c r="U4501" s="11">
        <f t="shared" si="1456"/>
        <v>2.2999999999999998</v>
      </c>
      <c r="W4501">
        <v>2.5</v>
      </c>
      <c r="X4501" s="1" t="s">
        <v>13</v>
      </c>
    </row>
    <row r="4502" spans="1:24" x14ac:dyDescent="0.25">
      <c r="A4502" s="1" t="str">
        <f t="shared" si="1457"/>
        <v>卡卡杜-凤凰仓</v>
      </c>
      <c r="B4502" s="1" t="str">
        <f>"CK2024102214"</f>
        <v>CK2024102214</v>
      </c>
      <c r="C4502" s="1" t="str">
        <f>"DD2024102253566"</f>
        <v>DD2024102253566</v>
      </c>
      <c r="D4502" s="1" t="str">
        <f>"CK2024102226399"</f>
        <v>CK2024102226399</v>
      </c>
      <c r="E4502" s="1" t="str">
        <f>"6935302720427202364"</f>
        <v>6935302720427202364</v>
      </c>
      <c r="F4502" s="1" t="str">
        <f t="shared" si="1458"/>
        <v>花都四部-凤凰仓</v>
      </c>
      <c r="G4502" s="1" t="str">
        <f t="shared" si="1464"/>
        <v>卡卡杜个人护理店（抖店）</v>
      </c>
      <c r="H4502" s="1" t="str">
        <f t="shared" si="1459"/>
        <v>正常订单</v>
      </c>
      <c r="I4502" s="1" t="str">
        <f t="shared" si="1460"/>
        <v>已发货</v>
      </c>
      <c r="J4502" s="1" t="str">
        <f>"5"</f>
        <v>5</v>
      </c>
      <c r="K4502" s="1">
        <v>3</v>
      </c>
      <c r="L4502" s="1" t="s">
        <v>105</v>
      </c>
      <c r="M4502" s="1" t="str">
        <f>"北京 北京市 朝阳区 麦子店街道"</f>
        <v>北京 北京市 朝阳区 麦子店街道</v>
      </c>
      <c r="N4502" s="1" t="str">
        <f t="shared" si="1465"/>
        <v>凡华云仓-城南圆通-抖音</v>
      </c>
      <c r="O4502" s="5" t="s">
        <v>4532</v>
      </c>
      <c r="P4502" s="6">
        <v>0.56000000000000005</v>
      </c>
      <c r="Q4502" s="11">
        <f>CEILING(P4502-0.5,0.1)*10*0.15+2.3</f>
        <v>2.4499999999999997</v>
      </c>
      <c r="R4502" s="11"/>
      <c r="S4502" s="11"/>
      <c r="T4502" s="11"/>
      <c r="U4502" s="11">
        <f t="shared" si="1456"/>
        <v>2.4499999999999997</v>
      </c>
      <c r="V4502" t="s">
        <v>15</v>
      </c>
      <c r="W4502">
        <v>2.4500000000000002</v>
      </c>
      <c r="X4502" s="1" t="s">
        <v>105</v>
      </c>
    </row>
    <row r="4503" spans="1:24" x14ac:dyDescent="0.25">
      <c r="A4503" s="1" t="str">
        <f t="shared" si="1457"/>
        <v>卡卡杜-凤凰仓</v>
      </c>
      <c r="B4503" s="1" t="str">
        <f>"CK20241022558"</f>
        <v>CK20241022558</v>
      </c>
      <c r="C4503" s="1" t="str">
        <f>"DD2024102256735"</f>
        <v>DD2024102256735</v>
      </c>
      <c r="D4503" s="1" t="str">
        <f>"CK2024102226398"</f>
        <v>CK2024102226398</v>
      </c>
      <c r="E4503" s="1" t="str">
        <f>"6935311086459229412"</f>
        <v>6935311086459229412</v>
      </c>
      <c r="F4503" s="1" t="str">
        <f t="shared" si="1458"/>
        <v>花都四部-凤凰仓</v>
      </c>
      <c r="G4503" s="1" t="str">
        <f t="shared" si="1464"/>
        <v>卡卡杜个人护理店（抖店）</v>
      </c>
      <c r="H4503" s="1" t="str">
        <f t="shared" si="1459"/>
        <v>正常订单</v>
      </c>
      <c r="I4503" s="1" t="str">
        <f t="shared" si="1460"/>
        <v>已发货</v>
      </c>
      <c r="J4503" s="1" t="str">
        <f>"5"</f>
        <v>5</v>
      </c>
      <c r="K4503" s="1">
        <v>2</v>
      </c>
      <c r="L4503" s="1" t="s">
        <v>22</v>
      </c>
      <c r="M4503" s="1" t="str">
        <f>"江西省 上饶市 信州区 东市街道"</f>
        <v>江西省 上饶市 信州区 东市街道</v>
      </c>
      <c r="N4503" s="1" t="str">
        <f t="shared" si="1465"/>
        <v>凡华云仓-城南圆通-抖音</v>
      </c>
      <c r="O4503" s="5" t="s">
        <v>4533</v>
      </c>
      <c r="P4503" s="6">
        <v>0.59</v>
      </c>
      <c r="Q4503" s="11">
        <f>CEILING(P4503-0.5,0.1)*10*0.15+2.3</f>
        <v>2.4499999999999997</v>
      </c>
      <c r="R4503" s="11"/>
      <c r="S4503" s="11"/>
      <c r="T4503" s="11"/>
      <c r="U4503" s="11">
        <f t="shared" si="1456"/>
        <v>2.4499999999999997</v>
      </c>
      <c r="V4503" t="s">
        <v>15</v>
      </c>
      <c r="W4503">
        <v>2.4500000000000002</v>
      </c>
      <c r="X4503" s="1" t="s">
        <v>22</v>
      </c>
    </row>
    <row r="4504" spans="1:24" x14ac:dyDescent="0.25">
      <c r="A4504" s="1" t="str">
        <f t="shared" si="1457"/>
        <v>卡卡杜-凤凰仓</v>
      </c>
      <c r="B4504" s="1" t="str">
        <f>"CK20241022639"</f>
        <v>CK20241022639</v>
      </c>
      <c r="C4504" s="1" t="str">
        <f>"DD2024102256819"</f>
        <v>DD2024102256819</v>
      </c>
      <c r="D4504" s="1" t="str">
        <f>"CK2024102226397"</f>
        <v>CK2024102226397</v>
      </c>
      <c r="E4504" s="1" t="str">
        <f>"6935306955549119957"</f>
        <v>6935306955549119957</v>
      </c>
      <c r="F4504" s="1" t="str">
        <f t="shared" si="1458"/>
        <v>花都四部-凤凰仓</v>
      </c>
      <c r="G4504" s="1" t="str">
        <f t="shared" si="1464"/>
        <v>卡卡杜个人护理店（抖店）</v>
      </c>
      <c r="H4504" s="1" t="str">
        <f t="shared" si="1459"/>
        <v>正常订单</v>
      </c>
      <c r="I4504" s="1" t="str">
        <f t="shared" si="1460"/>
        <v>已发货</v>
      </c>
      <c r="J4504" s="1" t="str">
        <f t="shared" ref="J4504:J4512" si="1466">"3"</f>
        <v>3</v>
      </c>
      <c r="K4504" s="1">
        <v>2</v>
      </c>
      <c r="L4504" s="1" t="s">
        <v>36</v>
      </c>
      <c r="M4504" s="1" t="str">
        <f>"安徽省 滁州市 明光市 "</f>
        <v xml:space="preserve">安徽省 滁州市 明光市 </v>
      </c>
      <c r="N4504" s="1" t="str">
        <f t="shared" si="1465"/>
        <v>凡华云仓-城南圆通-抖音</v>
      </c>
      <c r="O4504" s="5" t="s">
        <v>4534</v>
      </c>
      <c r="P4504" s="6">
        <v>0.35</v>
      </c>
      <c r="Q4504" s="11">
        <v>2.2999999999999998</v>
      </c>
      <c r="R4504" s="11"/>
      <c r="S4504" s="11"/>
      <c r="T4504" s="11"/>
      <c r="U4504" s="11">
        <f t="shared" si="1456"/>
        <v>2.2999999999999998</v>
      </c>
      <c r="W4504">
        <v>2.5</v>
      </c>
      <c r="X4504" s="1" t="s">
        <v>36</v>
      </c>
    </row>
    <row r="4505" spans="1:24" x14ac:dyDescent="0.25">
      <c r="A4505" s="1" t="str">
        <f t="shared" si="1457"/>
        <v>卡卡杜-凤凰仓</v>
      </c>
      <c r="B4505" s="1" t="str">
        <f>"CK20241022435"</f>
        <v>CK20241022435</v>
      </c>
      <c r="C4505" s="1" t="str">
        <f>"DD2024102254271"</f>
        <v>DD2024102254271</v>
      </c>
      <c r="D4505" s="1" t="str">
        <f>"CK2024102226396"</f>
        <v>CK2024102226396</v>
      </c>
      <c r="E4505" s="1" t="str">
        <f>"6935287397534668049"</f>
        <v>6935287397534668049</v>
      </c>
      <c r="F4505" s="1" t="str">
        <f t="shared" si="1458"/>
        <v>花都四部-凤凰仓</v>
      </c>
      <c r="G4505" s="1" t="str">
        <f t="shared" si="1464"/>
        <v>卡卡杜个人护理店（抖店）</v>
      </c>
      <c r="H4505" s="1" t="str">
        <f t="shared" si="1459"/>
        <v>正常订单</v>
      </c>
      <c r="I4505" s="1" t="str">
        <f t="shared" si="1460"/>
        <v>已发货</v>
      </c>
      <c r="J4505" s="1" t="str">
        <f t="shared" si="1466"/>
        <v>3</v>
      </c>
      <c r="K4505" s="1">
        <v>3</v>
      </c>
      <c r="L4505" s="1" t="s">
        <v>41</v>
      </c>
      <c r="M4505" s="1" t="str">
        <f>"湖北省 十堰市 张湾区 车城路街道"</f>
        <v>湖北省 十堰市 张湾区 车城路街道</v>
      </c>
      <c r="N4505" s="1" t="str">
        <f t="shared" si="1465"/>
        <v>凡华云仓-城南圆通-抖音</v>
      </c>
      <c r="O4505" s="5" t="s">
        <v>4535</v>
      </c>
      <c r="P4505" s="6">
        <v>0.34</v>
      </c>
      <c r="Q4505" s="11">
        <v>2.2999999999999998</v>
      </c>
      <c r="R4505" s="11"/>
      <c r="S4505" s="11"/>
      <c r="T4505" s="11"/>
      <c r="U4505" s="11">
        <f t="shared" si="1456"/>
        <v>2.2999999999999998</v>
      </c>
      <c r="W4505">
        <v>2.5</v>
      </c>
      <c r="X4505" s="1" t="s">
        <v>41</v>
      </c>
    </row>
    <row r="4506" spans="1:24" x14ac:dyDescent="0.25">
      <c r="A4506" s="1" t="str">
        <f t="shared" si="1457"/>
        <v>卡卡杜-凤凰仓</v>
      </c>
      <c r="B4506" s="1" t="str">
        <f>"CK20241022642"</f>
        <v>CK20241022642</v>
      </c>
      <c r="C4506" s="1" t="str">
        <f>"DD2024102256822"</f>
        <v>DD2024102256822</v>
      </c>
      <c r="D4506" s="1" t="str">
        <f>"CK2024102226395"</f>
        <v>CK2024102226395</v>
      </c>
      <c r="E4506" s="1" t="str">
        <f>"6935288671634527853"</f>
        <v>6935288671634527853</v>
      </c>
      <c r="F4506" s="1" t="str">
        <f t="shared" si="1458"/>
        <v>花都四部-凤凰仓</v>
      </c>
      <c r="G4506" s="1" t="str">
        <f t="shared" si="1464"/>
        <v>卡卡杜个人护理店（抖店）</v>
      </c>
      <c r="H4506" s="1" t="str">
        <f t="shared" si="1459"/>
        <v>正常订单</v>
      </c>
      <c r="I4506" s="1" t="str">
        <f t="shared" si="1460"/>
        <v>已发货</v>
      </c>
      <c r="J4506" s="1" t="str">
        <f t="shared" si="1466"/>
        <v>3</v>
      </c>
      <c r="K4506" s="1">
        <v>2</v>
      </c>
      <c r="L4506" s="1" t="s">
        <v>20</v>
      </c>
      <c r="M4506" s="1" t="str">
        <f>"浙江省 湖州市 吴兴区 织里镇"</f>
        <v>浙江省 湖州市 吴兴区 织里镇</v>
      </c>
      <c r="N4506" s="1" t="str">
        <f t="shared" si="1465"/>
        <v>凡华云仓-城南圆通-抖音</v>
      </c>
      <c r="O4506" s="5" t="s">
        <v>4536</v>
      </c>
      <c r="P4506" s="6">
        <v>0.35</v>
      </c>
      <c r="Q4506" s="11">
        <v>2.2999999999999998</v>
      </c>
      <c r="R4506" s="11"/>
      <c r="S4506" s="11"/>
      <c r="T4506" s="11"/>
      <c r="U4506" s="11">
        <f t="shared" si="1456"/>
        <v>2.2999999999999998</v>
      </c>
      <c r="W4506">
        <v>2.5</v>
      </c>
      <c r="X4506" s="1" t="s">
        <v>20</v>
      </c>
    </row>
    <row r="4507" spans="1:24" x14ac:dyDescent="0.25">
      <c r="A4507" s="1" t="str">
        <f t="shared" si="1457"/>
        <v>卡卡杜-凤凰仓</v>
      </c>
      <c r="B4507" s="1" t="str">
        <f>"CK20241022644"</f>
        <v>CK20241022644</v>
      </c>
      <c r="C4507" s="1" t="str">
        <f>"DD2024102256824"</f>
        <v>DD2024102256824</v>
      </c>
      <c r="D4507" s="1" t="str">
        <f>"CK2024102226394"</f>
        <v>CK2024102226394</v>
      </c>
      <c r="E4507" s="1" t="str">
        <f>"6935287280001357016"</f>
        <v>6935287280001357016</v>
      </c>
      <c r="F4507" s="1" t="str">
        <f t="shared" si="1458"/>
        <v>花都四部-凤凰仓</v>
      </c>
      <c r="G4507" s="1" t="str">
        <f t="shared" si="1464"/>
        <v>卡卡杜个人护理店（抖店）</v>
      </c>
      <c r="H4507" s="1" t="str">
        <f t="shared" si="1459"/>
        <v>正常订单</v>
      </c>
      <c r="I4507" s="1" t="str">
        <f t="shared" si="1460"/>
        <v>已发货</v>
      </c>
      <c r="J4507" s="1" t="str">
        <f t="shared" si="1466"/>
        <v>3</v>
      </c>
      <c r="K4507" s="1">
        <v>2</v>
      </c>
      <c r="L4507" s="1" t="s">
        <v>13</v>
      </c>
      <c r="M4507" s="1" t="str">
        <f>"江苏省 南京市 栖霞区 马群街道"</f>
        <v>江苏省 南京市 栖霞区 马群街道</v>
      </c>
      <c r="N4507" s="1" t="str">
        <f t="shared" si="1465"/>
        <v>凡华云仓-城南圆通-抖音</v>
      </c>
      <c r="O4507" s="5" t="s">
        <v>4537</v>
      </c>
      <c r="P4507" s="6">
        <v>0.35</v>
      </c>
      <c r="Q4507" s="11">
        <v>2.2999999999999998</v>
      </c>
      <c r="R4507" s="11"/>
      <c r="S4507" s="11"/>
      <c r="T4507" s="11"/>
      <c r="U4507" s="11">
        <f t="shared" si="1456"/>
        <v>2.2999999999999998</v>
      </c>
      <c r="W4507">
        <v>2.5</v>
      </c>
      <c r="X4507" s="1" t="s">
        <v>13</v>
      </c>
    </row>
    <row r="4508" spans="1:24" x14ac:dyDescent="0.25">
      <c r="A4508" s="1" t="str">
        <f t="shared" si="1457"/>
        <v>卡卡杜-凤凰仓</v>
      </c>
      <c r="B4508" s="1" t="str">
        <f>"CK20241022645"</f>
        <v>CK20241022645</v>
      </c>
      <c r="C4508" s="1" t="str">
        <f>"DD2024102256825"</f>
        <v>DD2024102256825</v>
      </c>
      <c r="D4508" s="1" t="str">
        <f>"CK2024102226393"</f>
        <v>CK2024102226393</v>
      </c>
      <c r="E4508" s="1" t="str">
        <f>"6935284699116934394"</f>
        <v>6935284699116934394</v>
      </c>
      <c r="F4508" s="1" t="str">
        <f t="shared" si="1458"/>
        <v>花都四部-凤凰仓</v>
      </c>
      <c r="G4508" s="1" t="str">
        <f t="shared" si="1464"/>
        <v>卡卡杜个人护理店（抖店）</v>
      </c>
      <c r="H4508" s="1" t="str">
        <f t="shared" si="1459"/>
        <v>正常订单</v>
      </c>
      <c r="I4508" s="1" t="str">
        <f t="shared" si="1460"/>
        <v>已发货</v>
      </c>
      <c r="J4508" s="1" t="str">
        <f t="shared" si="1466"/>
        <v>3</v>
      </c>
      <c r="K4508" s="1">
        <v>2</v>
      </c>
      <c r="L4508" s="1" t="s">
        <v>13</v>
      </c>
      <c r="M4508" s="1" t="str">
        <f>"江苏省 南通市 通州区 金新街道"</f>
        <v>江苏省 南通市 通州区 金新街道</v>
      </c>
      <c r="N4508" s="1" t="str">
        <f t="shared" si="1465"/>
        <v>凡华云仓-城南圆通-抖音</v>
      </c>
      <c r="O4508" s="5" t="s">
        <v>4538</v>
      </c>
      <c r="P4508" s="6">
        <v>0.35</v>
      </c>
      <c r="Q4508" s="11">
        <v>2.2999999999999998</v>
      </c>
      <c r="R4508" s="11"/>
      <c r="S4508" s="11"/>
      <c r="T4508" s="11"/>
      <c r="U4508" s="11">
        <f t="shared" si="1456"/>
        <v>2.2999999999999998</v>
      </c>
      <c r="W4508">
        <v>2.5</v>
      </c>
      <c r="X4508" s="1" t="s">
        <v>13</v>
      </c>
    </row>
    <row r="4509" spans="1:24" x14ac:dyDescent="0.25">
      <c r="A4509" s="1" t="str">
        <f t="shared" si="1457"/>
        <v>卡卡杜-凤凰仓</v>
      </c>
      <c r="B4509" s="1" t="str">
        <f>"CK20241022646"</f>
        <v>CK20241022646</v>
      </c>
      <c r="C4509" s="1" t="str">
        <f>"DD2024102256826"</f>
        <v>DD2024102256826</v>
      </c>
      <c r="D4509" s="1" t="str">
        <f>"CK2024102226392"</f>
        <v>CK2024102226392</v>
      </c>
      <c r="E4509" s="1" t="str">
        <f>"6918020800839843724"</f>
        <v>6918020800839843724</v>
      </c>
      <c r="F4509" s="1" t="str">
        <f t="shared" si="1458"/>
        <v>花都四部-凤凰仓</v>
      </c>
      <c r="G4509" s="1" t="str">
        <f t="shared" si="1464"/>
        <v>卡卡杜个人护理店（抖店）</v>
      </c>
      <c r="H4509" s="1" t="str">
        <f t="shared" si="1459"/>
        <v>正常订单</v>
      </c>
      <c r="I4509" s="1" t="str">
        <f t="shared" si="1460"/>
        <v>已发货</v>
      </c>
      <c r="J4509" s="1" t="str">
        <f t="shared" si="1466"/>
        <v>3</v>
      </c>
      <c r="K4509" s="1">
        <v>2</v>
      </c>
      <c r="L4509" s="1" t="s">
        <v>13</v>
      </c>
      <c r="M4509" s="1" t="str">
        <f>"江苏省 南京市 栖霞区 迈皋桥街道"</f>
        <v>江苏省 南京市 栖霞区 迈皋桥街道</v>
      </c>
      <c r="N4509" s="1" t="str">
        <f t="shared" si="1465"/>
        <v>凡华云仓-城南圆通-抖音</v>
      </c>
      <c r="O4509" s="5" t="s">
        <v>4539</v>
      </c>
      <c r="P4509" s="6">
        <v>0.35</v>
      </c>
      <c r="Q4509" s="11">
        <v>2.2999999999999998</v>
      </c>
      <c r="R4509" s="11"/>
      <c r="S4509" s="11"/>
      <c r="T4509" s="11"/>
      <c r="U4509" s="11">
        <f t="shared" si="1456"/>
        <v>2.2999999999999998</v>
      </c>
      <c r="W4509">
        <v>2.5</v>
      </c>
      <c r="X4509" s="1" t="s">
        <v>13</v>
      </c>
    </row>
    <row r="4510" spans="1:24" x14ac:dyDescent="0.25">
      <c r="A4510" s="1" t="str">
        <f t="shared" si="1457"/>
        <v>卡卡杜-凤凰仓</v>
      </c>
      <c r="B4510" s="1" t="str">
        <f>"CK20241022647"</f>
        <v>CK20241022647</v>
      </c>
      <c r="C4510" s="1" t="str">
        <f>"DD2024102256828"</f>
        <v>DD2024102256828</v>
      </c>
      <c r="D4510" s="1" t="str">
        <f>"CK2024102226391"</f>
        <v>CK2024102226391</v>
      </c>
      <c r="E4510" s="1" t="str">
        <f>"6935288606101804821"</f>
        <v>6935288606101804821</v>
      </c>
      <c r="F4510" s="1" t="str">
        <f t="shared" si="1458"/>
        <v>花都四部-凤凰仓</v>
      </c>
      <c r="G4510" s="1" t="str">
        <f t="shared" si="1464"/>
        <v>卡卡杜个人护理店（抖店）</v>
      </c>
      <c r="H4510" s="1" t="str">
        <f t="shared" si="1459"/>
        <v>正常订单</v>
      </c>
      <c r="I4510" s="1" t="str">
        <f t="shared" si="1460"/>
        <v>已发货</v>
      </c>
      <c r="J4510" s="1" t="str">
        <f t="shared" si="1466"/>
        <v>3</v>
      </c>
      <c r="K4510" s="1">
        <v>2</v>
      </c>
      <c r="L4510" s="1" t="s">
        <v>96</v>
      </c>
      <c r="M4510" s="1" t="str">
        <f>"广西壮族自治区 柳州市 柳南区 "</f>
        <v xml:space="preserve">广西壮族自治区 柳州市 柳南区 </v>
      </c>
      <c r="N4510" s="1" t="str">
        <f t="shared" si="1465"/>
        <v>凡华云仓-城南圆通-抖音</v>
      </c>
      <c r="O4510" s="5" t="s">
        <v>4540</v>
      </c>
      <c r="P4510" s="6">
        <v>0.35</v>
      </c>
      <c r="Q4510" s="11">
        <v>2.2999999999999998</v>
      </c>
      <c r="R4510" s="11"/>
      <c r="S4510" s="11"/>
      <c r="T4510" s="11"/>
      <c r="U4510" s="11">
        <f t="shared" si="1456"/>
        <v>2.2999999999999998</v>
      </c>
      <c r="W4510">
        <v>2.5</v>
      </c>
      <c r="X4510" s="1" t="s">
        <v>96</v>
      </c>
    </row>
    <row r="4511" spans="1:24" x14ac:dyDescent="0.25">
      <c r="A4511" s="1" t="str">
        <f t="shared" si="1457"/>
        <v>卡卡杜-凤凰仓</v>
      </c>
      <c r="B4511" s="1" t="str">
        <f>"CK20241022648"</f>
        <v>CK20241022648</v>
      </c>
      <c r="C4511" s="1" t="str">
        <f>"DD2024102256827"</f>
        <v>DD2024102256827</v>
      </c>
      <c r="D4511" s="1" t="str">
        <f>"CK2024102226390"</f>
        <v>CK2024102226390</v>
      </c>
      <c r="E4511" s="1" t="str">
        <f>"6935282314864039552"</f>
        <v>6935282314864039552</v>
      </c>
      <c r="F4511" s="1" t="str">
        <f t="shared" si="1458"/>
        <v>花都四部-凤凰仓</v>
      </c>
      <c r="G4511" s="1" t="str">
        <f t="shared" si="1464"/>
        <v>卡卡杜个人护理店（抖店）</v>
      </c>
      <c r="H4511" s="1" t="str">
        <f t="shared" si="1459"/>
        <v>正常订单</v>
      </c>
      <c r="I4511" s="1" t="str">
        <f t="shared" si="1460"/>
        <v>已发货</v>
      </c>
      <c r="J4511" s="1" t="str">
        <f t="shared" si="1466"/>
        <v>3</v>
      </c>
      <c r="K4511" s="1">
        <v>2</v>
      </c>
      <c r="L4511" s="1" t="s">
        <v>13</v>
      </c>
      <c r="M4511" s="1" t="str">
        <f>"江苏省 苏州市 吴中区 胥口镇"</f>
        <v>江苏省 苏州市 吴中区 胥口镇</v>
      </c>
      <c r="N4511" s="1" t="str">
        <f t="shared" si="1465"/>
        <v>凡华云仓-城南圆通-抖音</v>
      </c>
      <c r="O4511" s="5" t="s">
        <v>4541</v>
      </c>
      <c r="P4511" s="6">
        <v>0.35</v>
      </c>
      <c r="Q4511" s="11">
        <v>2.2999999999999998</v>
      </c>
      <c r="R4511" s="11"/>
      <c r="S4511" s="11"/>
      <c r="T4511" s="11"/>
      <c r="U4511" s="11">
        <f t="shared" si="1456"/>
        <v>2.2999999999999998</v>
      </c>
      <c r="W4511">
        <v>2.5</v>
      </c>
      <c r="X4511" s="1" t="s">
        <v>13</v>
      </c>
    </row>
    <row r="4512" spans="1:24" x14ac:dyDescent="0.25">
      <c r="A4512" s="1" t="str">
        <f t="shared" si="1457"/>
        <v>卡卡杜-凤凰仓</v>
      </c>
      <c r="B4512" s="1" t="str">
        <f>"CK20241022649"</f>
        <v>CK20241022649</v>
      </c>
      <c r="C4512" s="1" t="str">
        <f>"DD2024102256829"</f>
        <v>DD2024102256829</v>
      </c>
      <c r="D4512" s="1" t="str">
        <f>"CK2024102226389"</f>
        <v>CK2024102226389</v>
      </c>
      <c r="E4512" s="1" t="str">
        <f>"6935287193652106638"</f>
        <v>6935287193652106638</v>
      </c>
      <c r="F4512" s="1" t="str">
        <f t="shared" si="1458"/>
        <v>花都四部-凤凰仓</v>
      </c>
      <c r="G4512" s="1" t="str">
        <f t="shared" si="1464"/>
        <v>卡卡杜个人护理店（抖店）</v>
      </c>
      <c r="H4512" s="1" t="str">
        <f t="shared" si="1459"/>
        <v>正常订单</v>
      </c>
      <c r="I4512" s="1" t="str">
        <f t="shared" si="1460"/>
        <v>已发货</v>
      </c>
      <c r="J4512" s="1" t="str">
        <f t="shared" si="1466"/>
        <v>3</v>
      </c>
      <c r="K4512" s="1">
        <v>2</v>
      </c>
      <c r="L4512" s="1" t="s">
        <v>20</v>
      </c>
      <c r="M4512" s="1" t="str">
        <f>"浙江省 温州市 永嘉县 乌牛街道"</f>
        <v>浙江省 温州市 永嘉县 乌牛街道</v>
      </c>
      <c r="N4512" s="1" t="str">
        <f t="shared" si="1465"/>
        <v>凡华云仓-城南圆通-抖音</v>
      </c>
      <c r="O4512" s="5" t="s">
        <v>4542</v>
      </c>
      <c r="P4512" s="6">
        <v>0.35</v>
      </c>
      <c r="Q4512" s="11">
        <v>2.2999999999999998</v>
      </c>
      <c r="R4512" s="11"/>
      <c r="S4512" s="11"/>
      <c r="T4512" s="11"/>
      <c r="U4512" s="11">
        <f t="shared" si="1456"/>
        <v>2.2999999999999998</v>
      </c>
      <c r="W4512">
        <v>2.5</v>
      </c>
      <c r="X4512" s="1" t="s">
        <v>20</v>
      </c>
    </row>
    <row r="4513" spans="1:24" x14ac:dyDescent="0.25">
      <c r="A4513" s="1" t="str">
        <f t="shared" si="1457"/>
        <v>卡卡杜-凤凰仓</v>
      </c>
      <c r="B4513" s="1" t="str">
        <f>"CK20241022562"</f>
        <v>CK20241022562</v>
      </c>
      <c r="C4513" s="1" t="str">
        <f>"DD2024102256739"</f>
        <v>DD2024102256739</v>
      </c>
      <c r="D4513" s="1" t="str">
        <f>"CK2024102226388"</f>
        <v>CK2024102226388</v>
      </c>
      <c r="E4513" s="1" t="str">
        <f>"6935308770138068368"</f>
        <v>6935308770138068368</v>
      </c>
      <c r="F4513" s="1" t="str">
        <f t="shared" si="1458"/>
        <v>花都四部-凤凰仓</v>
      </c>
      <c r="G4513" s="1" t="str">
        <f t="shared" si="1464"/>
        <v>卡卡杜个人护理店（抖店）</v>
      </c>
      <c r="H4513" s="1" t="str">
        <f t="shared" si="1459"/>
        <v>正常订单</v>
      </c>
      <c r="I4513" s="1" t="str">
        <f t="shared" si="1460"/>
        <v>已发货</v>
      </c>
      <c r="J4513" s="1" t="str">
        <f>"5"</f>
        <v>5</v>
      </c>
      <c r="K4513" s="1">
        <v>2</v>
      </c>
      <c r="L4513" s="1" t="s">
        <v>13</v>
      </c>
      <c r="M4513" s="1" t="str">
        <f>"江苏省 苏州市 吴中区 唯亭街道"</f>
        <v>江苏省 苏州市 吴中区 唯亭街道</v>
      </c>
      <c r="N4513" s="1" t="str">
        <f t="shared" si="1465"/>
        <v>凡华云仓-城南圆通-抖音</v>
      </c>
      <c r="O4513" s="5" t="s">
        <v>4543</v>
      </c>
      <c r="P4513" s="6">
        <v>0.59</v>
      </c>
      <c r="Q4513" s="11">
        <f>CEILING(P4513-0.5,0.1)*10*0.15+2.3</f>
        <v>2.4499999999999997</v>
      </c>
      <c r="R4513" s="11"/>
      <c r="S4513" s="11"/>
      <c r="T4513" s="11"/>
      <c r="U4513" s="11">
        <f t="shared" si="1456"/>
        <v>2.4499999999999997</v>
      </c>
      <c r="V4513" t="s">
        <v>15</v>
      </c>
      <c r="W4513">
        <v>2.4500000000000002</v>
      </c>
      <c r="X4513" s="1" t="s">
        <v>13</v>
      </c>
    </row>
    <row r="4514" spans="1:24" x14ac:dyDescent="0.25">
      <c r="A4514" s="1" t="str">
        <f t="shared" si="1457"/>
        <v>卡卡杜-凤凰仓</v>
      </c>
      <c r="B4514" s="1" t="str">
        <f>"CK20241022650"</f>
        <v>CK20241022650</v>
      </c>
      <c r="C4514" s="1" t="str">
        <f>"DD2024102256830"</f>
        <v>DD2024102256830</v>
      </c>
      <c r="D4514" s="1" t="str">
        <f>"CK2024102226387"</f>
        <v>CK2024102226387</v>
      </c>
      <c r="E4514" s="1" t="str">
        <f>"6935297577621198021"</f>
        <v>6935297577621198021</v>
      </c>
      <c r="F4514" s="1" t="str">
        <f t="shared" si="1458"/>
        <v>花都四部-凤凰仓</v>
      </c>
      <c r="G4514" s="1" t="str">
        <f t="shared" si="1464"/>
        <v>卡卡杜个人护理店（抖店）</v>
      </c>
      <c r="H4514" s="1" t="str">
        <f t="shared" si="1459"/>
        <v>正常订单</v>
      </c>
      <c r="I4514" s="1" t="str">
        <f t="shared" si="1460"/>
        <v>已发货</v>
      </c>
      <c r="J4514" s="1" t="str">
        <f t="shared" ref="J4514:J4517" si="1467">"3"</f>
        <v>3</v>
      </c>
      <c r="K4514" s="1">
        <v>2</v>
      </c>
      <c r="L4514" s="1" t="s">
        <v>161</v>
      </c>
      <c r="M4514" s="1" t="str">
        <f>"四川省 绵阳市 盐亭县 "</f>
        <v xml:space="preserve">四川省 绵阳市 盐亭县 </v>
      </c>
      <c r="N4514" s="1" t="str">
        <f t="shared" si="1465"/>
        <v>凡华云仓-城南圆通-抖音</v>
      </c>
      <c r="O4514" s="5" t="s">
        <v>4544</v>
      </c>
      <c r="P4514" s="6">
        <v>0.35</v>
      </c>
      <c r="Q4514" s="11">
        <v>2.2999999999999998</v>
      </c>
      <c r="R4514" s="11"/>
      <c r="S4514" s="11"/>
      <c r="T4514" s="11"/>
      <c r="U4514" s="11">
        <f t="shared" si="1456"/>
        <v>2.2999999999999998</v>
      </c>
      <c r="W4514">
        <v>2.5</v>
      </c>
      <c r="X4514" s="1" t="s">
        <v>161</v>
      </c>
    </row>
    <row r="4515" spans="1:24" x14ac:dyDescent="0.25">
      <c r="A4515" s="1" t="str">
        <f t="shared" si="1457"/>
        <v>卡卡杜-凤凰仓</v>
      </c>
      <c r="B4515" s="1" t="str">
        <f>"CK20241022651"</f>
        <v>CK20241022651</v>
      </c>
      <c r="C4515" s="1" t="str">
        <f>"DD2024102256831"</f>
        <v>DD2024102256831</v>
      </c>
      <c r="D4515" s="1" t="str">
        <f>"CK2024102226386"</f>
        <v>CK2024102226386</v>
      </c>
      <c r="E4515" s="1" t="str">
        <f>"6935277801904150235"</f>
        <v>6935277801904150235</v>
      </c>
      <c r="F4515" s="1" t="str">
        <f t="shared" si="1458"/>
        <v>花都四部-凤凰仓</v>
      </c>
      <c r="G4515" s="1" t="str">
        <f t="shared" si="1464"/>
        <v>卡卡杜个人护理店（抖店）</v>
      </c>
      <c r="H4515" s="1" t="str">
        <f t="shared" si="1459"/>
        <v>正常订单</v>
      </c>
      <c r="I4515" s="1" t="str">
        <f t="shared" si="1460"/>
        <v>已发货</v>
      </c>
      <c r="J4515" s="1" t="str">
        <f t="shared" si="1467"/>
        <v>3</v>
      </c>
      <c r="K4515" s="1">
        <v>2</v>
      </c>
      <c r="L4515" s="1" t="s">
        <v>41</v>
      </c>
      <c r="M4515" s="1" t="str">
        <f>"湖北省 仙桃市 仙桃市 毛嘴镇"</f>
        <v>湖北省 仙桃市 仙桃市 毛嘴镇</v>
      </c>
      <c r="N4515" s="1" t="str">
        <f t="shared" si="1465"/>
        <v>凡华云仓-城南圆通-抖音</v>
      </c>
      <c r="O4515" s="5" t="s">
        <v>4545</v>
      </c>
      <c r="P4515" s="6">
        <v>0.35</v>
      </c>
      <c r="Q4515" s="11">
        <v>2.2999999999999998</v>
      </c>
      <c r="R4515" s="11"/>
      <c r="S4515" s="11"/>
      <c r="T4515" s="11"/>
      <c r="U4515" s="11">
        <f t="shared" si="1456"/>
        <v>2.2999999999999998</v>
      </c>
      <c r="W4515">
        <v>2.5</v>
      </c>
      <c r="X4515" s="1" t="s">
        <v>41</v>
      </c>
    </row>
    <row r="4516" spans="1:24" x14ac:dyDescent="0.25">
      <c r="A4516" s="1" t="str">
        <f t="shared" si="1457"/>
        <v>卡卡杜-凤凰仓</v>
      </c>
      <c r="B4516" s="1" t="str">
        <f>"CK20241022652"</f>
        <v>CK20241022652</v>
      </c>
      <c r="C4516" s="1" t="str">
        <f>"DD2024102256832"</f>
        <v>DD2024102256832</v>
      </c>
      <c r="D4516" s="1" t="str">
        <f>"CK2024102226385"</f>
        <v>CK2024102226385</v>
      </c>
      <c r="E4516" s="1" t="str">
        <f>"6935282303578215767"</f>
        <v>6935282303578215767</v>
      </c>
      <c r="F4516" s="1" t="str">
        <f t="shared" si="1458"/>
        <v>花都四部-凤凰仓</v>
      </c>
      <c r="G4516" s="1" t="str">
        <f t="shared" si="1464"/>
        <v>卡卡杜个人护理店（抖店）</v>
      </c>
      <c r="H4516" s="1" t="str">
        <f t="shared" si="1459"/>
        <v>正常订单</v>
      </c>
      <c r="I4516" s="1" t="str">
        <f t="shared" si="1460"/>
        <v>已发货</v>
      </c>
      <c r="J4516" s="1" t="str">
        <f t="shared" si="1467"/>
        <v>3</v>
      </c>
      <c r="K4516" s="1">
        <v>2</v>
      </c>
      <c r="L4516" s="1" t="s">
        <v>74</v>
      </c>
      <c r="M4516" s="1" t="str">
        <f>"上海 上海市 徐汇区 龙华街道"</f>
        <v>上海 上海市 徐汇区 龙华街道</v>
      </c>
      <c r="N4516" s="1" t="str">
        <f t="shared" si="1465"/>
        <v>凡华云仓-城南圆通-抖音</v>
      </c>
      <c r="O4516" s="5" t="s">
        <v>4546</v>
      </c>
      <c r="P4516" s="6">
        <v>0.35</v>
      </c>
      <c r="Q4516" s="11">
        <v>2.2999999999999998</v>
      </c>
      <c r="R4516" s="11"/>
      <c r="S4516" s="11"/>
      <c r="T4516" s="11"/>
      <c r="U4516" s="11">
        <f t="shared" si="1456"/>
        <v>2.2999999999999998</v>
      </c>
      <c r="W4516">
        <v>2.5</v>
      </c>
      <c r="X4516" s="1" t="s">
        <v>74</v>
      </c>
    </row>
    <row r="4517" spans="1:24" x14ac:dyDescent="0.25">
      <c r="A4517" s="1" t="str">
        <f t="shared" si="1457"/>
        <v>卡卡杜-凤凰仓</v>
      </c>
      <c r="B4517" s="1" t="str">
        <f>"CK20241022654"</f>
        <v>CK20241022654</v>
      </c>
      <c r="C4517" s="1" t="str">
        <f>"DD2024102256833"</f>
        <v>DD2024102256833</v>
      </c>
      <c r="D4517" s="1" t="str">
        <f>"CK2024102226384"</f>
        <v>CK2024102226384</v>
      </c>
      <c r="E4517" s="1" t="str">
        <f>"6935300033765971169"</f>
        <v>6935300033765971169</v>
      </c>
      <c r="F4517" s="1" t="str">
        <f t="shared" si="1458"/>
        <v>花都四部-凤凰仓</v>
      </c>
      <c r="G4517" s="1" t="str">
        <f t="shared" si="1464"/>
        <v>卡卡杜个人护理店（抖店）</v>
      </c>
      <c r="H4517" s="1" t="str">
        <f t="shared" si="1459"/>
        <v>正常订单</v>
      </c>
      <c r="I4517" s="1" t="str">
        <f t="shared" si="1460"/>
        <v>已发货</v>
      </c>
      <c r="J4517" s="1" t="str">
        <f t="shared" si="1467"/>
        <v>3</v>
      </c>
      <c r="K4517" s="1">
        <v>2</v>
      </c>
      <c r="L4517" s="1" t="s">
        <v>13</v>
      </c>
      <c r="M4517" s="1" t="str">
        <f>"江苏省 南通市 海安市 角斜镇"</f>
        <v>江苏省 南通市 海安市 角斜镇</v>
      </c>
      <c r="N4517" s="1" t="str">
        <f t="shared" si="1465"/>
        <v>凡华云仓-城南圆通-抖音</v>
      </c>
      <c r="O4517" s="5" t="s">
        <v>4547</v>
      </c>
      <c r="P4517" s="6">
        <v>0.35</v>
      </c>
      <c r="Q4517" s="11">
        <v>2.2999999999999998</v>
      </c>
      <c r="R4517" s="11"/>
      <c r="S4517" s="11"/>
      <c r="T4517" s="11"/>
      <c r="U4517" s="11">
        <f t="shared" si="1456"/>
        <v>2.2999999999999998</v>
      </c>
      <c r="W4517">
        <v>2.5</v>
      </c>
      <c r="X4517" s="1" t="s">
        <v>13</v>
      </c>
    </row>
    <row r="4518" spans="1:24" x14ac:dyDescent="0.25">
      <c r="A4518" s="1" t="str">
        <f t="shared" si="1457"/>
        <v>卡卡杜-凤凰仓</v>
      </c>
      <c r="B4518" s="1" t="str">
        <f>"CK2024100415748"</f>
        <v>CK2024100415748</v>
      </c>
      <c r="C4518" s="1" t="str">
        <f>"DD2024100445940"</f>
        <v>DD2024100445940</v>
      </c>
      <c r="D4518" s="1" t="str">
        <f>"CK2024100445702"</f>
        <v>CK2024100445702</v>
      </c>
      <c r="E4518" s="1" t="str">
        <f>"KKD20240104YP004"</f>
        <v>KKD20240104YP004</v>
      </c>
      <c r="F4518" s="1" t="str">
        <f t="shared" si="1458"/>
        <v>花都四部-凤凰仓</v>
      </c>
      <c r="G4518" s="1" t="str">
        <f>"卡卡杜全欣样品"</f>
        <v>卡卡杜全欣样品</v>
      </c>
      <c r="H4518" s="1" t="str">
        <f t="shared" si="1459"/>
        <v>正常订单</v>
      </c>
      <c r="I4518" s="1" t="str">
        <f t="shared" si="1460"/>
        <v>已发货</v>
      </c>
      <c r="J4518" s="1" t="str">
        <f>"7"</f>
        <v>7</v>
      </c>
      <c r="K4518" s="1">
        <v>5</v>
      </c>
      <c r="L4518" s="1" t="s">
        <v>16</v>
      </c>
      <c r="M4518" s="1" t="str">
        <f>"河北省 秦皇岛市 海港区 "</f>
        <v xml:space="preserve">河北省 秦皇岛市 海港区 </v>
      </c>
      <c r="N4518" s="1" t="str">
        <f>"凡华云仓-韵达-淘宝"</f>
        <v>凡华云仓-韵达-淘宝</v>
      </c>
      <c r="O4518" s="3">
        <v>434168906939591</v>
      </c>
      <c r="P4518" s="6">
        <v>0.95</v>
      </c>
      <c r="Q4518" s="11">
        <f t="shared" ref="Q4518:Q4527" si="1468">CEILING(P4518-0.5,0.1)*10*0.15+2.3</f>
        <v>3.05</v>
      </c>
      <c r="R4518" s="11">
        <f t="shared" ref="R4518:R4523" si="1469">(K4518-3)*0.1</f>
        <v>0.2</v>
      </c>
      <c r="S4518" s="11">
        <v>0.15</v>
      </c>
      <c r="T4518" s="11"/>
      <c r="U4518" s="11">
        <f t="shared" si="1456"/>
        <v>3.4</v>
      </c>
      <c r="V4518" t="s">
        <v>15</v>
      </c>
      <c r="W4518">
        <v>3.4</v>
      </c>
      <c r="X4518" s="1" t="s">
        <v>16</v>
      </c>
    </row>
    <row r="4519" spans="1:24" x14ac:dyDescent="0.25">
      <c r="A4519" s="1" t="str">
        <f t="shared" si="1457"/>
        <v>卡卡杜-凤凰仓</v>
      </c>
      <c r="B4519" s="1" t="str">
        <f>"CK2024102120337"</f>
        <v>CK2024102120337</v>
      </c>
      <c r="C4519" s="1" t="str">
        <f>"DD2024102153391"</f>
        <v>DD2024102153391</v>
      </c>
      <c r="D4519" s="1" t="str">
        <f>"CK2024102150349"</f>
        <v>CK2024102150349</v>
      </c>
      <c r="E4519" s="1" t="str">
        <f>"KKD20241021YP016"</f>
        <v>KKD20241021YP016</v>
      </c>
      <c r="F4519" s="1" t="str">
        <f t="shared" si="1458"/>
        <v>花都四部-凤凰仓</v>
      </c>
      <c r="G4519" s="1" t="str">
        <f t="shared" ref="G4519:G4527" si="1470">"卡卡杜全欣样品"</f>
        <v>卡卡杜全欣样品</v>
      </c>
      <c r="H4519" s="1" t="str">
        <f t="shared" si="1459"/>
        <v>正常订单</v>
      </c>
      <c r="I4519" s="1" t="str">
        <f t="shared" si="1460"/>
        <v>已发货</v>
      </c>
      <c r="J4519" s="1" t="str">
        <f>"10"</f>
        <v>10</v>
      </c>
      <c r="K4519" s="1">
        <v>6</v>
      </c>
      <c r="L4519" s="1" t="s">
        <v>30</v>
      </c>
      <c r="M4519" s="1" t="str">
        <f>"山东省 菏泽市 定陶区 "</f>
        <v xml:space="preserve">山东省 菏泽市 定陶区 </v>
      </c>
      <c r="N4519" s="1" t="str">
        <f t="shared" ref="N4519:N4527" si="1471">"凡华云仓-城南圆通-淘宝"</f>
        <v>凡华云仓-城南圆通-淘宝</v>
      </c>
      <c r="O4519" s="3" t="s">
        <v>4548</v>
      </c>
      <c r="P4519" s="6">
        <v>1.24</v>
      </c>
      <c r="Q4519" s="11">
        <f t="shared" si="1468"/>
        <v>3.5</v>
      </c>
      <c r="R4519" s="11">
        <f t="shared" si="1469"/>
        <v>0.30000000000000004</v>
      </c>
      <c r="S4519" s="11">
        <v>0.15</v>
      </c>
      <c r="T4519" s="11"/>
      <c r="U4519" s="11">
        <f t="shared" si="1456"/>
        <v>3.95</v>
      </c>
      <c r="V4519" t="s">
        <v>15</v>
      </c>
      <c r="W4519">
        <v>3.95</v>
      </c>
      <c r="X4519" s="1" t="s">
        <v>30</v>
      </c>
    </row>
    <row r="4520" spans="1:24" x14ac:dyDescent="0.25">
      <c r="A4520" s="1" t="str">
        <f t="shared" si="1457"/>
        <v>卡卡杜-凤凰仓</v>
      </c>
      <c r="B4520" s="1" t="str">
        <f>"CK2024102120338"</f>
        <v>CK2024102120338</v>
      </c>
      <c r="C4520" s="1" t="str">
        <f>"DD2024102153392"</f>
        <v>DD2024102153392</v>
      </c>
      <c r="D4520" s="1" t="str">
        <f>"CK2024102150348"</f>
        <v>CK2024102150348</v>
      </c>
      <c r="E4520" s="1" t="str">
        <f>"KKD20241021YP017"</f>
        <v>KKD20241021YP017</v>
      </c>
      <c r="F4520" s="1" t="str">
        <f t="shared" si="1458"/>
        <v>花都四部-凤凰仓</v>
      </c>
      <c r="G4520" s="1" t="str">
        <f t="shared" si="1470"/>
        <v>卡卡杜全欣样品</v>
      </c>
      <c r="H4520" s="1" t="str">
        <f t="shared" si="1459"/>
        <v>正常订单</v>
      </c>
      <c r="I4520" s="1" t="str">
        <f t="shared" si="1460"/>
        <v>已发货</v>
      </c>
      <c r="J4520" s="1" t="str">
        <f t="shared" ref="J4520:J4527" si="1472">"6"</f>
        <v>6</v>
      </c>
      <c r="K4520" s="1">
        <v>3</v>
      </c>
      <c r="L4520" s="1" t="s">
        <v>30</v>
      </c>
      <c r="M4520" s="1" t="str">
        <f>"山东省 临沂市 兰山区 "</f>
        <v xml:space="preserve">山东省 临沂市 兰山区 </v>
      </c>
      <c r="N4520" s="1" t="str">
        <f t="shared" si="1471"/>
        <v>凡华云仓-城南圆通-淘宝</v>
      </c>
      <c r="O4520" s="3" t="s">
        <v>4549</v>
      </c>
      <c r="P4520" s="6">
        <v>0.81</v>
      </c>
      <c r="Q4520" s="11">
        <f t="shared" si="1468"/>
        <v>2.9</v>
      </c>
      <c r="R4520" s="11"/>
      <c r="S4520" s="11">
        <v>0.15</v>
      </c>
      <c r="T4520" s="11"/>
      <c r="U4520" s="11">
        <f t="shared" si="1456"/>
        <v>3.05</v>
      </c>
      <c r="V4520" t="s">
        <v>15</v>
      </c>
      <c r="W4520">
        <v>3.05</v>
      </c>
      <c r="X4520" s="1" t="s">
        <v>30</v>
      </c>
    </row>
    <row r="4521" spans="1:24" x14ac:dyDescent="0.25">
      <c r="A4521" s="1" t="str">
        <f t="shared" si="1457"/>
        <v>卡卡杜-凤凰仓</v>
      </c>
      <c r="B4521" s="1" t="str">
        <f>"CK2024102120339"</f>
        <v>CK2024102120339</v>
      </c>
      <c r="C4521" s="1" t="str">
        <f>"DD2024102153393"</f>
        <v>DD2024102153393</v>
      </c>
      <c r="D4521" s="1" t="str">
        <f>"CK2024102150347"</f>
        <v>CK2024102150347</v>
      </c>
      <c r="E4521" s="1" t="str">
        <f>"KKD20241021YP018"</f>
        <v>KKD20241021YP018</v>
      </c>
      <c r="F4521" s="1" t="str">
        <f t="shared" si="1458"/>
        <v>花都四部-凤凰仓</v>
      </c>
      <c r="G4521" s="1" t="str">
        <f t="shared" si="1470"/>
        <v>卡卡杜全欣样品</v>
      </c>
      <c r="H4521" s="1" t="str">
        <f t="shared" si="1459"/>
        <v>正常订单</v>
      </c>
      <c r="I4521" s="1" t="str">
        <f t="shared" si="1460"/>
        <v>已发货</v>
      </c>
      <c r="J4521" s="1" t="str">
        <f t="shared" si="1472"/>
        <v>6</v>
      </c>
      <c r="K4521" s="1">
        <v>3</v>
      </c>
      <c r="L4521" s="1" t="s">
        <v>20</v>
      </c>
      <c r="M4521" s="1" t="str">
        <f>"浙江省 湖州市 吴兴区 "</f>
        <v xml:space="preserve">浙江省 湖州市 吴兴区 </v>
      </c>
      <c r="N4521" s="1" t="str">
        <f t="shared" si="1471"/>
        <v>凡华云仓-城南圆通-淘宝</v>
      </c>
      <c r="O4521" s="3" t="s">
        <v>4550</v>
      </c>
      <c r="P4521" s="6">
        <v>0.81</v>
      </c>
      <c r="Q4521" s="11">
        <f t="shared" si="1468"/>
        <v>2.9</v>
      </c>
      <c r="R4521" s="11"/>
      <c r="S4521" s="11">
        <v>0.15</v>
      </c>
      <c r="T4521" s="11"/>
      <c r="U4521" s="11">
        <f t="shared" si="1456"/>
        <v>3.05</v>
      </c>
      <c r="V4521" t="s">
        <v>15</v>
      </c>
      <c r="W4521">
        <v>3.05</v>
      </c>
      <c r="X4521" s="1" t="s">
        <v>20</v>
      </c>
    </row>
    <row r="4522" spans="1:24" x14ac:dyDescent="0.25">
      <c r="A4522" s="1" t="str">
        <f t="shared" si="1457"/>
        <v>卡卡杜-凤凰仓</v>
      </c>
      <c r="B4522" s="1" t="str">
        <f>"CK2024101413598"</f>
        <v>CK2024101413598</v>
      </c>
      <c r="C4522" s="1" t="str">
        <f>"DD2024101460099"</f>
        <v>DD2024101460099</v>
      </c>
      <c r="D4522" s="1" t="str">
        <f>"CK2024101455082"</f>
        <v>CK2024101455082</v>
      </c>
      <c r="E4522" s="1" t="str">
        <f>"KKD20241014YP005"</f>
        <v>KKD20241014YP005</v>
      </c>
      <c r="F4522" s="1" t="str">
        <f t="shared" si="1458"/>
        <v>花都四部-凤凰仓</v>
      </c>
      <c r="G4522" s="1" t="str">
        <f t="shared" si="1470"/>
        <v>卡卡杜全欣样品</v>
      </c>
      <c r="H4522" s="1" t="str">
        <f t="shared" si="1459"/>
        <v>正常订单</v>
      </c>
      <c r="I4522" s="1" t="str">
        <f t="shared" si="1460"/>
        <v>已发货</v>
      </c>
      <c r="J4522" s="1" t="str">
        <f>"4"</f>
        <v>4</v>
      </c>
      <c r="K4522" s="1">
        <v>3</v>
      </c>
      <c r="L4522" s="1" t="s">
        <v>74</v>
      </c>
      <c r="M4522" s="1" t="str">
        <f>"上海 上海市  "</f>
        <v xml:space="preserve">上海 上海市  </v>
      </c>
      <c r="N4522" s="1" t="str">
        <f>"凡华云仓-韵达-淘宝"</f>
        <v>凡华云仓-韵达-淘宝</v>
      </c>
      <c r="O4522" s="3">
        <v>434188971140211</v>
      </c>
      <c r="P4522" s="6">
        <v>0.57999999999999996</v>
      </c>
      <c r="Q4522" s="11">
        <f t="shared" si="1468"/>
        <v>2.4499999999999997</v>
      </c>
      <c r="R4522" s="11"/>
      <c r="S4522" s="11">
        <v>0.15</v>
      </c>
      <c r="T4522" s="11"/>
      <c r="U4522" s="11">
        <f t="shared" si="1456"/>
        <v>2.5999999999999996</v>
      </c>
      <c r="V4522" t="s">
        <v>15</v>
      </c>
      <c r="W4522">
        <v>2.6</v>
      </c>
      <c r="X4522" s="1" t="s">
        <v>74</v>
      </c>
    </row>
    <row r="4523" spans="1:24" x14ac:dyDescent="0.25">
      <c r="A4523" s="1" t="str">
        <f t="shared" si="1457"/>
        <v>卡卡杜-凤凰仓</v>
      </c>
      <c r="B4523" s="1" t="str">
        <f>"CK2024102120335"</f>
        <v>CK2024102120335</v>
      </c>
      <c r="C4523" s="1" t="str">
        <f>"DD2024102153395"</f>
        <v>DD2024102153395</v>
      </c>
      <c r="D4523" s="1" t="str">
        <f>"CK2024102150345"</f>
        <v>CK2024102150345</v>
      </c>
      <c r="E4523" s="1" t="str">
        <f>"KKD20241021YP014"</f>
        <v>KKD20241021YP014</v>
      </c>
      <c r="F4523" s="1" t="str">
        <f t="shared" si="1458"/>
        <v>花都四部-凤凰仓</v>
      </c>
      <c r="G4523" s="1" t="str">
        <f t="shared" si="1470"/>
        <v>卡卡杜全欣样品</v>
      </c>
      <c r="H4523" s="1" t="str">
        <f t="shared" si="1459"/>
        <v>正常订单</v>
      </c>
      <c r="I4523" s="1" t="str">
        <f t="shared" si="1460"/>
        <v>已发货</v>
      </c>
      <c r="J4523" s="1" t="str">
        <f>"10"</f>
        <v>10</v>
      </c>
      <c r="K4523" s="1">
        <v>7</v>
      </c>
      <c r="L4523" s="1" t="s">
        <v>20</v>
      </c>
      <c r="M4523" s="1" t="str">
        <f>"浙江省 丽水市 青田县 "</f>
        <v xml:space="preserve">浙江省 丽水市 青田县 </v>
      </c>
      <c r="N4523" s="1" t="str">
        <f t="shared" si="1471"/>
        <v>凡华云仓-城南圆通-淘宝</v>
      </c>
      <c r="O4523" s="3" t="s">
        <v>4551</v>
      </c>
      <c r="P4523" s="6">
        <v>1.0900000000000001</v>
      </c>
      <c r="Q4523" s="11">
        <f t="shared" si="1468"/>
        <v>3.2</v>
      </c>
      <c r="R4523" s="11">
        <f t="shared" si="1469"/>
        <v>0.4</v>
      </c>
      <c r="S4523" s="11">
        <v>0.15</v>
      </c>
      <c r="T4523" s="11"/>
      <c r="U4523" s="11">
        <f t="shared" si="1456"/>
        <v>3.75</v>
      </c>
      <c r="V4523" t="s">
        <v>15</v>
      </c>
      <c r="W4523">
        <v>3.75</v>
      </c>
      <c r="X4523" s="1" t="s">
        <v>20</v>
      </c>
    </row>
    <row r="4524" spans="1:24" x14ac:dyDescent="0.25">
      <c r="A4524" s="1" t="str">
        <f t="shared" si="1457"/>
        <v>卡卡杜-凤凰仓</v>
      </c>
      <c r="B4524" s="1" t="str">
        <f>"CK2024102120340"</f>
        <v>CK2024102120340</v>
      </c>
      <c r="C4524" s="1" t="str">
        <f>"DD2024102153396"</f>
        <v>DD2024102153396</v>
      </c>
      <c r="D4524" s="1" t="str">
        <f>"CK2024102150344"</f>
        <v>CK2024102150344</v>
      </c>
      <c r="E4524" s="1" t="str">
        <f>"KKD20241021YP019"</f>
        <v>KKD20241021YP019</v>
      </c>
      <c r="F4524" s="1" t="str">
        <f t="shared" si="1458"/>
        <v>花都四部-凤凰仓</v>
      </c>
      <c r="G4524" s="1" t="str">
        <f t="shared" si="1470"/>
        <v>卡卡杜全欣样品</v>
      </c>
      <c r="H4524" s="1" t="str">
        <f t="shared" si="1459"/>
        <v>正常订单</v>
      </c>
      <c r="I4524" s="1" t="str">
        <f t="shared" si="1460"/>
        <v>已发货</v>
      </c>
      <c r="J4524" s="1" t="str">
        <f t="shared" si="1472"/>
        <v>6</v>
      </c>
      <c r="K4524" s="1">
        <v>3</v>
      </c>
      <c r="L4524" s="1" t="s">
        <v>30</v>
      </c>
      <c r="M4524" s="1" t="str">
        <f>"山东省 济南市 莱芜区 "</f>
        <v xml:space="preserve">山东省 济南市 莱芜区 </v>
      </c>
      <c r="N4524" s="1" t="str">
        <f t="shared" si="1471"/>
        <v>凡华云仓-城南圆通-淘宝</v>
      </c>
      <c r="O4524" s="3" t="s">
        <v>4552</v>
      </c>
      <c r="P4524" s="6">
        <v>0.81</v>
      </c>
      <c r="Q4524" s="11">
        <f t="shared" si="1468"/>
        <v>2.9</v>
      </c>
      <c r="R4524" s="11"/>
      <c r="S4524" s="11">
        <v>0.15</v>
      </c>
      <c r="T4524" s="11"/>
      <c r="U4524" s="11">
        <f t="shared" si="1456"/>
        <v>3.05</v>
      </c>
      <c r="V4524" t="s">
        <v>15</v>
      </c>
      <c r="W4524">
        <v>3.05</v>
      </c>
      <c r="X4524" s="1" t="s">
        <v>30</v>
      </c>
    </row>
    <row r="4525" spans="1:24" x14ac:dyDescent="0.25">
      <c r="A4525" s="1" t="str">
        <f t="shared" si="1457"/>
        <v>卡卡杜-凤凰仓</v>
      </c>
      <c r="B4525" s="1" t="str">
        <f>"CK2024102120341"</f>
        <v>CK2024102120341</v>
      </c>
      <c r="C4525" s="1" t="str">
        <f>"DD2024102153397"</f>
        <v>DD2024102153397</v>
      </c>
      <c r="D4525" s="1" t="str">
        <f>"CK2024102150343"</f>
        <v>CK2024102150343</v>
      </c>
      <c r="E4525" s="1" t="str">
        <f>"KKD20241021YP020"</f>
        <v>KKD20241021YP020</v>
      </c>
      <c r="F4525" s="1" t="str">
        <f t="shared" si="1458"/>
        <v>花都四部-凤凰仓</v>
      </c>
      <c r="G4525" s="1" t="str">
        <f t="shared" si="1470"/>
        <v>卡卡杜全欣样品</v>
      </c>
      <c r="H4525" s="1" t="str">
        <f t="shared" si="1459"/>
        <v>正常订单</v>
      </c>
      <c r="I4525" s="1" t="str">
        <f t="shared" si="1460"/>
        <v>已发货</v>
      </c>
      <c r="J4525" s="1" t="str">
        <f t="shared" si="1472"/>
        <v>6</v>
      </c>
      <c r="K4525" s="1">
        <v>3</v>
      </c>
      <c r="L4525" s="1" t="s">
        <v>30</v>
      </c>
      <c r="M4525" s="1" t="str">
        <f>"山东省 济南市 历城区 "</f>
        <v xml:space="preserve">山东省 济南市 历城区 </v>
      </c>
      <c r="N4525" s="1" t="str">
        <f t="shared" si="1471"/>
        <v>凡华云仓-城南圆通-淘宝</v>
      </c>
      <c r="O4525" s="3" t="s">
        <v>4553</v>
      </c>
      <c r="P4525" s="6">
        <v>0.81</v>
      </c>
      <c r="Q4525" s="11">
        <f t="shared" si="1468"/>
        <v>2.9</v>
      </c>
      <c r="R4525" s="11"/>
      <c r="S4525" s="11">
        <v>0.15</v>
      </c>
      <c r="T4525" s="11"/>
      <c r="U4525" s="11">
        <f t="shared" si="1456"/>
        <v>3.05</v>
      </c>
      <c r="V4525" t="s">
        <v>15</v>
      </c>
      <c r="W4525">
        <v>3.05</v>
      </c>
      <c r="X4525" s="1" t="s">
        <v>30</v>
      </c>
    </row>
    <row r="4526" spans="1:24" x14ac:dyDescent="0.25">
      <c r="A4526" s="1" t="str">
        <f t="shared" si="1457"/>
        <v>卡卡杜-凤凰仓</v>
      </c>
      <c r="B4526" s="1" t="str">
        <f>"CK2024102120342"</f>
        <v>CK2024102120342</v>
      </c>
      <c r="C4526" s="1" t="str">
        <f>"DD2024102153398"</f>
        <v>DD2024102153398</v>
      </c>
      <c r="D4526" s="1" t="str">
        <f>"CK2024102150342"</f>
        <v>CK2024102150342</v>
      </c>
      <c r="E4526" s="1" t="str">
        <f>"KKD20241021YP021"</f>
        <v>KKD20241021YP021</v>
      </c>
      <c r="F4526" s="1" t="str">
        <f t="shared" si="1458"/>
        <v>花都四部-凤凰仓</v>
      </c>
      <c r="G4526" s="1" t="str">
        <f t="shared" si="1470"/>
        <v>卡卡杜全欣样品</v>
      </c>
      <c r="H4526" s="1" t="str">
        <f t="shared" si="1459"/>
        <v>正常订单</v>
      </c>
      <c r="I4526" s="1" t="str">
        <f t="shared" si="1460"/>
        <v>已发货</v>
      </c>
      <c r="J4526" s="1" t="str">
        <f t="shared" si="1472"/>
        <v>6</v>
      </c>
      <c r="K4526" s="1">
        <v>3</v>
      </c>
      <c r="L4526" s="1" t="s">
        <v>92</v>
      </c>
      <c r="M4526" s="1" t="str">
        <f>"辽宁省 沈阳市 铁西区 "</f>
        <v xml:space="preserve">辽宁省 沈阳市 铁西区 </v>
      </c>
      <c r="N4526" s="1" t="str">
        <f t="shared" si="1471"/>
        <v>凡华云仓-城南圆通-淘宝</v>
      </c>
      <c r="O4526" s="3" t="s">
        <v>4554</v>
      </c>
      <c r="P4526" s="6">
        <v>0.81</v>
      </c>
      <c r="Q4526" s="11">
        <f t="shared" si="1468"/>
        <v>2.9</v>
      </c>
      <c r="R4526" s="11"/>
      <c r="S4526" s="11">
        <v>0.15</v>
      </c>
      <c r="T4526" s="11"/>
      <c r="U4526" s="11">
        <f t="shared" si="1456"/>
        <v>3.05</v>
      </c>
      <c r="V4526" t="s">
        <v>15</v>
      </c>
      <c r="W4526">
        <v>3.05</v>
      </c>
      <c r="X4526" s="1" t="s">
        <v>92</v>
      </c>
    </row>
    <row r="4527" spans="1:24" x14ac:dyDescent="0.25">
      <c r="A4527" s="1" t="str">
        <f t="shared" si="1457"/>
        <v>卡卡杜-凤凰仓</v>
      </c>
      <c r="B4527" s="1" t="str">
        <f>"CK2024102120343"</f>
        <v>CK2024102120343</v>
      </c>
      <c r="C4527" s="1" t="str">
        <f>"DD2024102153399"</f>
        <v>DD2024102153399</v>
      </c>
      <c r="D4527" s="1" t="str">
        <f>"CK2024102150341"</f>
        <v>CK2024102150341</v>
      </c>
      <c r="E4527" s="1" t="str">
        <f>"KKD20241021YP022"</f>
        <v>KKD20241021YP022</v>
      </c>
      <c r="F4527" s="1" t="str">
        <f t="shared" si="1458"/>
        <v>花都四部-凤凰仓</v>
      </c>
      <c r="G4527" s="1" t="str">
        <f t="shared" si="1470"/>
        <v>卡卡杜全欣样品</v>
      </c>
      <c r="H4527" s="1" t="str">
        <f t="shared" si="1459"/>
        <v>正常订单</v>
      </c>
      <c r="I4527" s="1" t="str">
        <f t="shared" si="1460"/>
        <v>已发货</v>
      </c>
      <c r="J4527" s="1" t="str">
        <f t="shared" si="1472"/>
        <v>6</v>
      </c>
      <c r="K4527" s="1">
        <v>3</v>
      </c>
      <c r="L4527" s="1" t="s">
        <v>80</v>
      </c>
      <c r="M4527" s="1" t="str">
        <f>"河南省 郑州市 新郑市 "</f>
        <v xml:space="preserve">河南省 郑州市 新郑市 </v>
      </c>
      <c r="N4527" s="1" t="str">
        <f t="shared" si="1471"/>
        <v>凡华云仓-城南圆通-淘宝</v>
      </c>
      <c r="O4527" s="3" t="s">
        <v>4555</v>
      </c>
      <c r="P4527" s="6">
        <v>0.81</v>
      </c>
      <c r="Q4527" s="11">
        <f t="shared" si="1468"/>
        <v>2.9</v>
      </c>
      <c r="R4527" s="11"/>
      <c r="S4527" s="11">
        <v>0.15</v>
      </c>
      <c r="T4527" s="11"/>
      <c r="U4527" s="11">
        <f t="shared" si="1456"/>
        <v>3.05</v>
      </c>
      <c r="V4527" t="s">
        <v>15</v>
      </c>
      <c r="W4527">
        <v>3.05</v>
      </c>
      <c r="X4527" s="1" t="s">
        <v>80</v>
      </c>
    </row>
    <row r="4528" spans="1:24" x14ac:dyDescent="0.25">
      <c r="A4528" s="1" t="str">
        <f t="shared" si="1457"/>
        <v>卡卡杜-凤凰仓</v>
      </c>
      <c r="B4528" s="1" t="str">
        <f>"CK2024102119633"</f>
        <v>CK2024102119633</v>
      </c>
      <c r="C4528" s="1" t="str">
        <f>"DD2024102152017"</f>
        <v>DD2024102152017</v>
      </c>
      <c r="D4528" s="1" t="str">
        <f>"CK2024102149072"</f>
        <v>CK2024102149072</v>
      </c>
      <c r="E4528" s="1" t="str">
        <f>"6935145324345694034"</f>
        <v>6935145324345694034</v>
      </c>
      <c r="F4528" s="1" t="str">
        <f t="shared" si="1458"/>
        <v>花都四部-凤凰仓</v>
      </c>
      <c r="G4528" s="1" t="str">
        <f>"卡卡杜个人护理店（抖店）"</f>
        <v>卡卡杜个人护理店（抖店）</v>
      </c>
      <c r="H4528" s="1" t="str">
        <f t="shared" si="1459"/>
        <v>正常订单</v>
      </c>
      <c r="I4528" s="1" t="str">
        <f t="shared" si="1460"/>
        <v>已发货</v>
      </c>
      <c r="J4528" s="1" t="str">
        <f>"3"</f>
        <v>3</v>
      </c>
      <c r="K4528" s="1">
        <v>3</v>
      </c>
      <c r="L4528" s="1" t="s">
        <v>92</v>
      </c>
      <c r="M4528" s="1" t="str">
        <f>"辽宁省 葫芦岛市 兴城市 钓鱼台街道"</f>
        <v>辽宁省 葫芦岛市 兴城市 钓鱼台街道</v>
      </c>
      <c r="N4528" s="1" t="str">
        <f>"凡华云仓-城南圆通-抖音"</f>
        <v>凡华云仓-城南圆通-抖音</v>
      </c>
      <c r="O4528" s="5" t="s">
        <v>4556</v>
      </c>
      <c r="P4528" s="6">
        <v>0.28000000000000003</v>
      </c>
      <c r="Q4528" s="11">
        <v>2</v>
      </c>
      <c r="R4528" s="11"/>
      <c r="S4528" s="11"/>
      <c r="T4528" s="11"/>
      <c r="U4528" s="11">
        <f t="shared" si="1456"/>
        <v>2</v>
      </c>
      <c r="W4528">
        <v>2.2000000000000002</v>
      </c>
      <c r="X4528" s="1" t="s">
        <v>92</v>
      </c>
    </row>
    <row r="4529" spans="1:24" x14ac:dyDescent="0.25">
      <c r="A4529" s="1" t="str">
        <f t="shared" si="1457"/>
        <v>卡卡杜-凤凰仓</v>
      </c>
      <c r="B4529" s="1" t="str">
        <f>"CK2024102411018"</f>
        <v>CK2024102411018</v>
      </c>
      <c r="C4529" s="1" t="str">
        <f>"DD2024102454903"</f>
        <v>DD2024102454903</v>
      </c>
      <c r="D4529" s="1" t="str">
        <f>"CK2024102447950"</f>
        <v>CK2024102447950</v>
      </c>
      <c r="E4529" s="1" t="str">
        <f>"KKD20241024YP001"</f>
        <v>KKD20241024YP001</v>
      </c>
      <c r="F4529" s="1" t="str">
        <f t="shared" si="1458"/>
        <v>花都四部-凤凰仓</v>
      </c>
      <c r="G4529" s="1" t="str">
        <f t="shared" ref="G4529:G4538" si="1473">"卡卡杜全欣样品"</f>
        <v>卡卡杜全欣样品</v>
      </c>
      <c r="H4529" s="1" t="str">
        <f t="shared" si="1459"/>
        <v>正常订单</v>
      </c>
      <c r="I4529" s="1" t="str">
        <f t="shared" si="1460"/>
        <v>已发货</v>
      </c>
      <c r="J4529" s="1" t="str">
        <f>"5"</f>
        <v>5</v>
      </c>
      <c r="K4529" s="1">
        <v>4</v>
      </c>
      <c r="L4529" s="1" t="s">
        <v>66</v>
      </c>
      <c r="M4529" s="1" t="str">
        <f>"内蒙古自治区 包头市 青山区 "</f>
        <v xml:space="preserve">内蒙古自治区 包头市 青山区 </v>
      </c>
      <c r="N4529" s="1" t="str">
        <f t="shared" ref="N4529:N4538" si="1474">"凡华云仓-城南圆通-淘宝"</f>
        <v>凡华云仓-城南圆通-淘宝</v>
      </c>
      <c r="O4529" s="3" t="s">
        <v>4557</v>
      </c>
      <c r="P4529" s="6">
        <v>0.56000000000000005</v>
      </c>
      <c r="Q4529" s="11">
        <f t="shared" ref="Q4529:Q4538" si="1475">CEILING(P4529-0.5,0.1)*10*0.15+2.3</f>
        <v>2.4499999999999997</v>
      </c>
      <c r="R4529" s="11"/>
      <c r="S4529" s="11">
        <v>0.15</v>
      </c>
      <c r="T4529" s="11"/>
      <c r="U4529" s="11">
        <f t="shared" si="1456"/>
        <v>2.5999999999999996</v>
      </c>
      <c r="V4529" t="s">
        <v>15</v>
      </c>
      <c r="W4529">
        <v>2.6</v>
      </c>
      <c r="X4529" s="1" t="s">
        <v>66</v>
      </c>
    </row>
    <row r="4530" spans="1:24" x14ac:dyDescent="0.25">
      <c r="A4530" s="1" t="str">
        <f t="shared" si="1457"/>
        <v>卡卡杜-凤凰仓</v>
      </c>
      <c r="B4530" s="1" t="str">
        <f>"CK2024102411019"</f>
        <v>CK2024102411019</v>
      </c>
      <c r="C4530" s="1" t="str">
        <f>"DD2024102454899"</f>
        <v>DD2024102454899</v>
      </c>
      <c r="D4530" s="1" t="str">
        <f>"CK2024102447949"</f>
        <v>CK2024102447949</v>
      </c>
      <c r="E4530" s="1" t="str">
        <f>"kkd20241024YP002"</f>
        <v>kkd20241024YP002</v>
      </c>
      <c r="F4530" s="1" t="str">
        <f t="shared" si="1458"/>
        <v>花都四部-凤凰仓</v>
      </c>
      <c r="G4530" s="1" t="str">
        <f t="shared" si="1473"/>
        <v>卡卡杜全欣样品</v>
      </c>
      <c r="H4530" s="1" t="str">
        <f t="shared" si="1459"/>
        <v>正常订单</v>
      </c>
      <c r="I4530" s="1" t="str">
        <f t="shared" si="1460"/>
        <v>已发货</v>
      </c>
      <c r="J4530" s="1" t="str">
        <f>"5"</f>
        <v>5</v>
      </c>
      <c r="K4530" s="1">
        <v>4</v>
      </c>
      <c r="L4530" s="1" t="s">
        <v>20</v>
      </c>
      <c r="M4530" s="1" t="str">
        <f>"浙江省 杭州市 江干区 "</f>
        <v xml:space="preserve">浙江省 杭州市 江干区 </v>
      </c>
      <c r="N4530" s="1" t="str">
        <f t="shared" si="1474"/>
        <v>凡华云仓-城南圆通-淘宝</v>
      </c>
      <c r="O4530" s="3" t="s">
        <v>4558</v>
      </c>
      <c r="P4530" s="6">
        <v>0.56000000000000005</v>
      </c>
      <c r="Q4530" s="11">
        <f t="shared" si="1475"/>
        <v>2.4499999999999997</v>
      </c>
      <c r="R4530" s="11"/>
      <c r="S4530" s="11">
        <v>0.15</v>
      </c>
      <c r="T4530" s="11"/>
      <c r="U4530" s="11">
        <f t="shared" si="1456"/>
        <v>2.5999999999999996</v>
      </c>
      <c r="V4530" t="s">
        <v>15</v>
      </c>
      <c r="W4530">
        <v>2.6</v>
      </c>
      <c r="X4530" s="1" t="s">
        <v>20</v>
      </c>
    </row>
    <row r="4531" spans="1:24" x14ac:dyDescent="0.25">
      <c r="A4531" s="1" t="str">
        <f t="shared" si="1457"/>
        <v>卡卡杜-凤凰仓</v>
      </c>
      <c r="B4531" s="1" t="str">
        <f>"CK2024102119533"</f>
        <v>CK2024102119533</v>
      </c>
      <c r="C4531" s="1" t="str">
        <f>"DD2024102149806"</f>
        <v>DD2024102149806</v>
      </c>
      <c r="D4531" s="1" t="str">
        <f>"CK2024102148120"</f>
        <v>CK2024102148120</v>
      </c>
      <c r="E4531" s="1" t="str">
        <f>"KKD20241021YP008"</f>
        <v>KKD20241021YP008</v>
      </c>
      <c r="F4531" s="1" t="str">
        <f t="shared" si="1458"/>
        <v>花都四部-凤凰仓</v>
      </c>
      <c r="G4531" s="1" t="str">
        <f t="shared" si="1473"/>
        <v>卡卡杜全欣样品</v>
      </c>
      <c r="H4531" s="1" t="str">
        <f t="shared" si="1459"/>
        <v>正常订单</v>
      </c>
      <c r="I4531" s="1" t="str">
        <f t="shared" si="1460"/>
        <v>已发货</v>
      </c>
      <c r="J4531" s="1" t="str">
        <f>"5"</f>
        <v>5</v>
      </c>
      <c r="K4531" s="1">
        <v>4</v>
      </c>
      <c r="L4531" s="1" t="s">
        <v>30</v>
      </c>
      <c r="M4531" s="1" t="str">
        <f>"山东省 烟台市 芝罘区 "</f>
        <v xml:space="preserve">山东省 烟台市 芝罘区 </v>
      </c>
      <c r="N4531" s="1" t="str">
        <f t="shared" si="1474"/>
        <v>凡华云仓-城南圆通-淘宝</v>
      </c>
      <c r="O4531" s="3" t="s">
        <v>4559</v>
      </c>
      <c r="P4531" s="6">
        <v>0.56000000000000005</v>
      </c>
      <c r="Q4531" s="11">
        <f t="shared" si="1475"/>
        <v>2.4499999999999997</v>
      </c>
      <c r="R4531" s="11"/>
      <c r="S4531" s="11">
        <v>0.15</v>
      </c>
      <c r="T4531" s="11"/>
      <c r="U4531" s="11">
        <f t="shared" si="1456"/>
        <v>2.5999999999999996</v>
      </c>
      <c r="V4531" t="s">
        <v>15</v>
      </c>
      <c r="W4531">
        <v>2.6</v>
      </c>
      <c r="X4531" s="1" t="s">
        <v>30</v>
      </c>
    </row>
    <row r="4532" spans="1:24" x14ac:dyDescent="0.25">
      <c r="A4532" s="1" t="str">
        <f t="shared" si="1457"/>
        <v>卡卡杜-凤凰仓</v>
      </c>
      <c r="B4532" s="1" t="str">
        <f>"CK2024102119532"</f>
        <v>CK2024102119532</v>
      </c>
      <c r="C4532" s="1" t="str">
        <f>"DD2024102149808"</f>
        <v>DD2024102149808</v>
      </c>
      <c r="D4532" s="1" t="str">
        <f>"CK2024102148118"</f>
        <v>CK2024102148118</v>
      </c>
      <c r="E4532" s="1" t="str">
        <f>"KKD20241021YP007"</f>
        <v>KKD20241021YP007</v>
      </c>
      <c r="F4532" s="1" t="str">
        <f t="shared" si="1458"/>
        <v>花都四部-凤凰仓</v>
      </c>
      <c r="G4532" s="1" t="str">
        <f t="shared" si="1473"/>
        <v>卡卡杜全欣样品</v>
      </c>
      <c r="H4532" s="1" t="str">
        <f t="shared" si="1459"/>
        <v>正常订单</v>
      </c>
      <c r="I4532" s="1" t="str">
        <f t="shared" si="1460"/>
        <v>已发货</v>
      </c>
      <c r="J4532" s="1" t="str">
        <f>"8"</f>
        <v>8</v>
      </c>
      <c r="K4532" s="1">
        <v>6</v>
      </c>
      <c r="L4532" s="1" t="s">
        <v>24</v>
      </c>
      <c r="M4532" s="1" t="str">
        <f>"福建省 泉州市 安溪县 "</f>
        <v xml:space="preserve">福建省 泉州市 安溪县 </v>
      </c>
      <c r="N4532" s="1" t="str">
        <f t="shared" si="1474"/>
        <v>凡华云仓-城南圆通-淘宝</v>
      </c>
      <c r="O4532" s="3" t="s">
        <v>4560</v>
      </c>
      <c r="P4532" s="6">
        <v>0.98</v>
      </c>
      <c r="Q4532" s="11">
        <f t="shared" si="1475"/>
        <v>3.05</v>
      </c>
      <c r="R4532" s="11">
        <f t="shared" ref="R4532:R4538" si="1476">(K4532-3)*0.1</f>
        <v>0.30000000000000004</v>
      </c>
      <c r="S4532" s="11">
        <v>0.15</v>
      </c>
      <c r="T4532" s="11"/>
      <c r="U4532" s="11">
        <f t="shared" si="1456"/>
        <v>3.5</v>
      </c>
      <c r="V4532" t="s">
        <v>15</v>
      </c>
      <c r="W4532">
        <v>3.5</v>
      </c>
      <c r="X4532" s="1" t="s">
        <v>24</v>
      </c>
    </row>
    <row r="4533" spans="1:24" x14ac:dyDescent="0.25">
      <c r="A4533" s="1" t="str">
        <f t="shared" si="1457"/>
        <v>卡卡杜-凤凰仓</v>
      </c>
      <c r="B4533" s="1" t="str">
        <f>"CK2024102119534"</f>
        <v>CK2024102119534</v>
      </c>
      <c r="C4533" s="1" t="str">
        <f>"DD2024102149807"</f>
        <v>DD2024102149807</v>
      </c>
      <c r="D4533" s="1" t="str">
        <f>"CK2024102148119"</f>
        <v>CK2024102148119</v>
      </c>
      <c r="E4533" s="1" t="str">
        <f>"KKD20241021YP009"</f>
        <v>KKD20241021YP009</v>
      </c>
      <c r="F4533" s="1" t="str">
        <f t="shared" si="1458"/>
        <v>花都四部-凤凰仓</v>
      </c>
      <c r="G4533" s="1" t="str">
        <f t="shared" si="1473"/>
        <v>卡卡杜全欣样品</v>
      </c>
      <c r="H4533" s="1" t="str">
        <f t="shared" si="1459"/>
        <v>正常订单</v>
      </c>
      <c r="I4533" s="1" t="str">
        <f t="shared" si="1460"/>
        <v>已发货</v>
      </c>
      <c r="J4533" s="1" t="str">
        <f>"5"</f>
        <v>5</v>
      </c>
      <c r="K4533" s="1">
        <v>4</v>
      </c>
      <c r="L4533" s="1" t="s">
        <v>105</v>
      </c>
      <c r="M4533" s="1" t="str">
        <f>"北京 北京市 通州区 "</f>
        <v xml:space="preserve">北京 北京市 通州区 </v>
      </c>
      <c r="N4533" s="1" t="str">
        <f t="shared" si="1474"/>
        <v>凡华云仓-城南圆通-淘宝</v>
      </c>
      <c r="O4533" s="3" t="s">
        <v>4561</v>
      </c>
      <c r="P4533" s="6">
        <v>0.56000000000000005</v>
      </c>
      <c r="Q4533" s="11">
        <f t="shared" si="1475"/>
        <v>2.4499999999999997</v>
      </c>
      <c r="R4533" s="11"/>
      <c r="S4533" s="11">
        <v>0.15</v>
      </c>
      <c r="T4533" s="11"/>
      <c r="U4533" s="11">
        <f t="shared" si="1456"/>
        <v>2.5999999999999996</v>
      </c>
      <c r="V4533" t="s">
        <v>15</v>
      </c>
      <c r="W4533">
        <v>2.6</v>
      </c>
      <c r="X4533" s="1" t="s">
        <v>105</v>
      </c>
    </row>
    <row r="4534" spans="1:24" x14ac:dyDescent="0.25">
      <c r="A4534" s="1" t="str">
        <f t="shared" si="1457"/>
        <v>卡卡杜-凤凰仓</v>
      </c>
      <c r="B4534" s="1" t="str">
        <f>"CK2024102119536"</f>
        <v>CK2024102119536</v>
      </c>
      <c r="C4534" s="1" t="str">
        <f>"DD2024102149809"</f>
        <v>DD2024102149809</v>
      </c>
      <c r="D4534" s="1" t="str">
        <f>"CK2024102148117"</f>
        <v>CK2024102148117</v>
      </c>
      <c r="E4534" s="1" t="str">
        <f>"KKD20241021YP011"</f>
        <v>KKD20241021YP011</v>
      </c>
      <c r="F4534" s="1" t="str">
        <f t="shared" si="1458"/>
        <v>花都四部-凤凰仓</v>
      </c>
      <c r="G4534" s="1" t="str">
        <f t="shared" si="1473"/>
        <v>卡卡杜全欣样品</v>
      </c>
      <c r="H4534" s="1" t="str">
        <f t="shared" si="1459"/>
        <v>正常订单</v>
      </c>
      <c r="I4534" s="1" t="str">
        <f t="shared" si="1460"/>
        <v>已发货</v>
      </c>
      <c r="J4534" s="1" t="str">
        <f>"5"</f>
        <v>5</v>
      </c>
      <c r="K4534" s="1">
        <v>4</v>
      </c>
      <c r="L4534" s="1" t="s">
        <v>13</v>
      </c>
      <c r="M4534" s="1" t="str">
        <f>"江苏省 南京市 江宁区 "</f>
        <v xml:space="preserve">江苏省 南京市 江宁区 </v>
      </c>
      <c r="N4534" s="1" t="str">
        <f t="shared" si="1474"/>
        <v>凡华云仓-城南圆通-淘宝</v>
      </c>
      <c r="O4534" s="3" t="s">
        <v>4562</v>
      </c>
      <c r="P4534" s="6">
        <v>0.56000000000000005</v>
      </c>
      <c r="Q4534" s="11">
        <f t="shared" si="1475"/>
        <v>2.4499999999999997</v>
      </c>
      <c r="R4534" s="11"/>
      <c r="S4534" s="11">
        <v>0.15</v>
      </c>
      <c r="T4534" s="11"/>
      <c r="U4534" s="11">
        <f t="shared" si="1456"/>
        <v>2.5999999999999996</v>
      </c>
      <c r="V4534" t="s">
        <v>15</v>
      </c>
      <c r="W4534">
        <v>2.6</v>
      </c>
      <c r="X4534" s="1" t="s">
        <v>13</v>
      </c>
    </row>
    <row r="4535" spans="1:24" x14ac:dyDescent="0.25">
      <c r="A4535" s="1" t="str">
        <f t="shared" si="1457"/>
        <v>卡卡杜-凤凰仓</v>
      </c>
      <c r="B4535" s="1" t="str">
        <f>"CK2024102119537"</f>
        <v>CK2024102119537</v>
      </c>
      <c r="C4535" s="1" t="str">
        <f>"DD2024102149811"</f>
        <v>DD2024102149811</v>
      </c>
      <c r="D4535" s="1" t="str">
        <f>"CK2024102148115"</f>
        <v>CK2024102148115</v>
      </c>
      <c r="E4535" s="1" t="str">
        <f>"KKD20241021YP012"</f>
        <v>KKD20241021YP012</v>
      </c>
      <c r="F4535" s="1" t="str">
        <f t="shared" si="1458"/>
        <v>花都四部-凤凰仓</v>
      </c>
      <c r="G4535" s="1" t="str">
        <f t="shared" si="1473"/>
        <v>卡卡杜全欣样品</v>
      </c>
      <c r="H4535" s="1" t="str">
        <f t="shared" si="1459"/>
        <v>正常订单</v>
      </c>
      <c r="I4535" s="1" t="str">
        <f t="shared" si="1460"/>
        <v>已发货</v>
      </c>
      <c r="J4535" s="1" t="str">
        <f>"15"</f>
        <v>15</v>
      </c>
      <c r="K4535" s="1">
        <v>10</v>
      </c>
      <c r="L4535" s="1" t="s">
        <v>18</v>
      </c>
      <c r="M4535" s="1" t="str">
        <f>"广东省 深圳市 龙岗区 "</f>
        <v xml:space="preserve">广东省 深圳市 龙岗区 </v>
      </c>
      <c r="N4535" s="1" t="str">
        <f t="shared" si="1474"/>
        <v>凡华云仓-城南圆通-淘宝</v>
      </c>
      <c r="O4535" s="3" t="s">
        <v>4563</v>
      </c>
      <c r="P4535" s="6">
        <v>1.62</v>
      </c>
      <c r="Q4535" s="11">
        <f t="shared" si="1475"/>
        <v>4.0999999999999996</v>
      </c>
      <c r="R4535" s="11">
        <f t="shared" si="1476"/>
        <v>0.70000000000000007</v>
      </c>
      <c r="S4535" s="11">
        <v>0.15</v>
      </c>
      <c r="T4535" s="11"/>
      <c r="U4535" s="11">
        <f t="shared" si="1456"/>
        <v>4.9499999999999993</v>
      </c>
      <c r="V4535" t="s">
        <v>15</v>
      </c>
      <c r="W4535">
        <v>4.95</v>
      </c>
      <c r="X4535" s="1" t="s">
        <v>18</v>
      </c>
    </row>
    <row r="4536" spans="1:24" x14ac:dyDescent="0.25">
      <c r="A4536" s="1" t="str">
        <f t="shared" si="1457"/>
        <v>卡卡杜-凤凰仓</v>
      </c>
      <c r="B4536" s="1" t="str">
        <f>"CK2024102119535"</f>
        <v>CK2024102119535</v>
      </c>
      <c r="C4536" s="1" t="str">
        <f>"DD2024102149810"</f>
        <v>DD2024102149810</v>
      </c>
      <c r="D4536" s="1" t="str">
        <f>"CK2024102148116"</f>
        <v>CK2024102148116</v>
      </c>
      <c r="E4536" s="1" t="str">
        <f>"KKD20241021YP010"</f>
        <v>KKD20241021YP010</v>
      </c>
      <c r="F4536" s="1" t="str">
        <f t="shared" si="1458"/>
        <v>花都四部-凤凰仓</v>
      </c>
      <c r="G4536" s="1" t="str">
        <f t="shared" si="1473"/>
        <v>卡卡杜全欣样品</v>
      </c>
      <c r="H4536" s="1" t="str">
        <f t="shared" si="1459"/>
        <v>正常订单</v>
      </c>
      <c r="I4536" s="1" t="str">
        <f t="shared" si="1460"/>
        <v>已发货</v>
      </c>
      <c r="J4536" s="1" t="str">
        <f>"5"</f>
        <v>5</v>
      </c>
      <c r="K4536" s="1">
        <v>4</v>
      </c>
      <c r="L4536" s="1" t="s">
        <v>30</v>
      </c>
      <c r="M4536" s="1" t="str">
        <f>"山东省 济南市 市中区 "</f>
        <v xml:space="preserve">山东省 济南市 市中区 </v>
      </c>
      <c r="N4536" s="1" t="str">
        <f t="shared" si="1474"/>
        <v>凡华云仓-城南圆通-淘宝</v>
      </c>
      <c r="O4536" s="3" t="s">
        <v>4564</v>
      </c>
      <c r="P4536" s="6">
        <v>0.56000000000000005</v>
      </c>
      <c r="Q4536" s="11">
        <f t="shared" si="1475"/>
        <v>2.4499999999999997</v>
      </c>
      <c r="R4536" s="11"/>
      <c r="S4536" s="11">
        <v>0.15</v>
      </c>
      <c r="T4536" s="11"/>
      <c r="U4536" s="11">
        <f t="shared" si="1456"/>
        <v>2.5999999999999996</v>
      </c>
      <c r="V4536" t="s">
        <v>15</v>
      </c>
      <c r="W4536">
        <v>2.6</v>
      </c>
      <c r="X4536" s="1" t="s">
        <v>30</v>
      </c>
    </row>
    <row r="4537" spans="1:24" x14ac:dyDescent="0.25">
      <c r="A4537" s="1" t="str">
        <f t="shared" si="1457"/>
        <v>卡卡杜-凤凰仓</v>
      </c>
      <c r="B4537" s="1" t="str">
        <f>"CK2024102119526"</f>
        <v>CK2024102119526</v>
      </c>
      <c r="C4537" s="1" t="str">
        <f>"DD2024102149803"</f>
        <v>DD2024102149803</v>
      </c>
      <c r="D4537" s="1" t="str">
        <f>"CK2024102148113"</f>
        <v>CK2024102148113</v>
      </c>
      <c r="E4537" s="1" t="str">
        <f>"KKD20241021YP001"</f>
        <v>KKD20241021YP001</v>
      </c>
      <c r="F4537" s="1" t="str">
        <f t="shared" si="1458"/>
        <v>花都四部-凤凰仓</v>
      </c>
      <c r="G4537" s="1" t="str">
        <f t="shared" si="1473"/>
        <v>卡卡杜全欣样品</v>
      </c>
      <c r="H4537" s="1" t="str">
        <f t="shared" si="1459"/>
        <v>正常订单</v>
      </c>
      <c r="I4537" s="1" t="str">
        <f t="shared" si="1460"/>
        <v>已发货</v>
      </c>
      <c r="J4537" s="1" t="str">
        <f>"13"</f>
        <v>13</v>
      </c>
      <c r="K4537" s="1">
        <v>10</v>
      </c>
      <c r="L4537" s="1" t="s">
        <v>20</v>
      </c>
      <c r="M4537" s="1" t="str">
        <f>"浙江省 杭州市 萧山区 "</f>
        <v xml:space="preserve">浙江省 杭州市 萧山区 </v>
      </c>
      <c r="N4537" s="1" t="str">
        <f t="shared" si="1474"/>
        <v>凡华云仓-城南圆通-淘宝</v>
      </c>
      <c r="O4537" s="3" t="s">
        <v>4565</v>
      </c>
      <c r="P4537" s="6">
        <v>1.4</v>
      </c>
      <c r="Q4537" s="11">
        <f t="shared" si="1475"/>
        <v>3.6499999999999995</v>
      </c>
      <c r="R4537" s="11">
        <f t="shared" si="1476"/>
        <v>0.70000000000000007</v>
      </c>
      <c r="S4537" s="11">
        <v>0.15</v>
      </c>
      <c r="T4537" s="11"/>
      <c r="U4537" s="11">
        <f t="shared" si="1456"/>
        <v>4.5</v>
      </c>
      <c r="V4537" t="s">
        <v>15</v>
      </c>
      <c r="W4537">
        <v>4.5</v>
      </c>
      <c r="X4537" s="1" t="s">
        <v>20</v>
      </c>
    </row>
    <row r="4538" spans="1:24" x14ac:dyDescent="0.25">
      <c r="A4538" s="1" t="str">
        <f t="shared" si="1457"/>
        <v>卡卡杜-凤凰仓</v>
      </c>
      <c r="B4538" s="1" t="str">
        <f>"CK2024102119527"</f>
        <v>CK2024102119527</v>
      </c>
      <c r="C4538" s="1" t="str">
        <f>"DD2024102149804"</f>
        <v>DD2024102149804</v>
      </c>
      <c r="D4538" s="1" t="str">
        <f>"CK2024102148112"</f>
        <v>CK2024102148112</v>
      </c>
      <c r="E4538" s="1" t="str">
        <f>"KKD20241021YP002"</f>
        <v>KKD20241021YP002</v>
      </c>
      <c r="F4538" s="1" t="str">
        <f t="shared" si="1458"/>
        <v>花都四部-凤凰仓</v>
      </c>
      <c r="G4538" s="1" t="str">
        <f t="shared" si="1473"/>
        <v>卡卡杜全欣样品</v>
      </c>
      <c r="H4538" s="1" t="str">
        <f t="shared" si="1459"/>
        <v>正常订单</v>
      </c>
      <c r="I4538" s="1" t="str">
        <f t="shared" si="1460"/>
        <v>已发货</v>
      </c>
      <c r="J4538" s="1" t="str">
        <f>"13"</f>
        <v>13</v>
      </c>
      <c r="K4538" s="1">
        <v>10</v>
      </c>
      <c r="L4538" s="1" t="s">
        <v>24</v>
      </c>
      <c r="M4538" s="1" t="str">
        <f>"福建省 福州市  "</f>
        <v xml:space="preserve">福建省 福州市  </v>
      </c>
      <c r="N4538" s="1" t="str">
        <f t="shared" si="1474"/>
        <v>凡华云仓-城南圆通-淘宝</v>
      </c>
      <c r="O4538" s="3" t="s">
        <v>4566</v>
      </c>
      <c r="P4538" s="6">
        <v>1.4</v>
      </c>
      <c r="Q4538" s="11">
        <f t="shared" si="1475"/>
        <v>3.6499999999999995</v>
      </c>
      <c r="R4538" s="11">
        <f t="shared" si="1476"/>
        <v>0.70000000000000007</v>
      </c>
      <c r="S4538" s="11">
        <v>0.15</v>
      </c>
      <c r="T4538" s="11"/>
      <c r="U4538" s="11">
        <f t="shared" si="1456"/>
        <v>4.5</v>
      </c>
      <c r="V4538" t="s">
        <v>15</v>
      </c>
      <c r="W4538">
        <v>4.5</v>
      </c>
      <c r="X4538" s="1" t="s">
        <v>24</v>
      </c>
    </row>
    <row r="4539" spans="1:24" x14ac:dyDescent="0.25">
      <c r="A4539" s="1" t="str">
        <f t="shared" si="1457"/>
        <v>卡卡杜-凤凰仓</v>
      </c>
      <c r="B4539" s="1" t="str">
        <f>"CK2024102119579"</f>
        <v>CK2024102119579</v>
      </c>
      <c r="C4539" s="1" t="str">
        <f>"DD2024102149943"</f>
        <v>DD2024102149943</v>
      </c>
      <c r="D4539" s="1" t="str">
        <f>"CK2024102148111"</f>
        <v>CK2024102148111</v>
      </c>
      <c r="E4539" s="1" t="str">
        <f>"3723462053971234816"</f>
        <v>3723462053971234816</v>
      </c>
      <c r="F4539" s="1" t="str">
        <f t="shared" si="1458"/>
        <v>花都四部-凤凰仓</v>
      </c>
      <c r="G4539" s="1" t="str">
        <f t="shared" ref="G4539:G4542" si="1477">"卡卡杜企业店（视频号）"</f>
        <v>卡卡杜企业店（视频号）</v>
      </c>
      <c r="H4539" s="1" t="str">
        <f t="shared" si="1459"/>
        <v>正常订单</v>
      </c>
      <c r="I4539" s="1" t="str">
        <f t="shared" si="1460"/>
        <v>已发货</v>
      </c>
      <c r="J4539" s="1" t="str">
        <f>"5"</f>
        <v>5</v>
      </c>
      <c r="K4539" s="1">
        <v>3</v>
      </c>
      <c r="L4539" s="1" t="s">
        <v>94</v>
      </c>
      <c r="M4539" s="1" t="str">
        <f>"湖南省 张家界市 永定区 "</f>
        <v xml:space="preserve">湖南省 张家界市 永定区 </v>
      </c>
      <c r="N4539" s="1" t="str">
        <f t="shared" ref="N4539:N4542" si="1478">"凡华云仓-城南圆通-微信视频号"</f>
        <v>凡华云仓-城南圆通-微信视频号</v>
      </c>
      <c r="O4539" s="5" t="s">
        <v>4567</v>
      </c>
      <c r="P4539" s="6">
        <v>0.47</v>
      </c>
      <c r="Q4539" s="11">
        <v>2.2999999999999998</v>
      </c>
      <c r="R4539" s="11"/>
      <c r="S4539" s="11"/>
      <c r="T4539" s="11"/>
      <c r="U4539" s="11">
        <f t="shared" si="1456"/>
        <v>2.2999999999999998</v>
      </c>
      <c r="W4539">
        <v>2.5</v>
      </c>
      <c r="X4539" s="1" t="s">
        <v>94</v>
      </c>
    </row>
    <row r="4540" spans="1:24" x14ac:dyDescent="0.25">
      <c r="A4540" s="1" t="str">
        <f t="shared" si="1457"/>
        <v>卡卡杜-凤凰仓</v>
      </c>
      <c r="B4540" s="1" t="str">
        <f>"CK2024102119587"</f>
        <v>CK2024102119587</v>
      </c>
      <c r="C4540" s="1" t="str">
        <f>"DD2024102149951"</f>
        <v>DD2024102149951</v>
      </c>
      <c r="D4540" s="1" t="str">
        <f>"CK2024102148110"</f>
        <v>CK2024102148110</v>
      </c>
      <c r="E4540" s="1" t="str">
        <f>"3723461156927050752"</f>
        <v>3723461156927050752</v>
      </c>
      <c r="F4540" s="1" t="str">
        <f t="shared" si="1458"/>
        <v>花都四部-凤凰仓</v>
      </c>
      <c r="G4540" s="1" t="str">
        <f t="shared" si="1477"/>
        <v>卡卡杜企业店（视频号）</v>
      </c>
      <c r="H4540" s="1" t="str">
        <f t="shared" si="1459"/>
        <v>正常订单</v>
      </c>
      <c r="I4540" s="1" t="str">
        <f t="shared" si="1460"/>
        <v>已发货</v>
      </c>
      <c r="J4540" s="1" t="str">
        <f t="shared" ref="J4540:J4557" si="1479">"3"</f>
        <v>3</v>
      </c>
      <c r="K4540" s="1">
        <v>3</v>
      </c>
      <c r="L4540" s="1" t="s">
        <v>74</v>
      </c>
      <c r="M4540" s="1" t="str">
        <f>"上海 上海市 嘉定区 "</f>
        <v xml:space="preserve">上海 上海市 嘉定区 </v>
      </c>
      <c r="N4540" s="1" t="str">
        <f t="shared" si="1478"/>
        <v>凡华云仓-城南圆通-微信视频号</v>
      </c>
      <c r="O4540" s="5" t="s">
        <v>4568</v>
      </c>
      <c r="P4540" s="6">
        <v>0.34</v>
      </c>
      <c r="Q4540" s="11">
        <v>2.2999999999999998</v>
      </c>
      <c r="R4540" s="11"/>
      <c r="S4540" s="11"/>
      <c r="T4540" s="11"/>
      <c r="U4540" s="11">
        <f t="shared" si="1456"/>
        <v>2.2999999999999998</v>
      </c>
      <c r="W4540">
        <v>2.5</v>
      </c>
      <c r="X4540" s="1" t="s">
        <v>74</v>
      </c>
    </row>
    <row r="4541" spans="1:24" x14ac:dyDescent="0.25">
      <c r="A4541" s="1" t="str">
        <f t="shared" si="1457"/>
        <v>卡卡杜-凤凰仓</v>
      </c>
      <c r="B4541" s="1" t="str">
        <f>"CK2024102119605"</f>
        <v>CK2024102119605</v>
      </c>
      <c r="C4541" s="1" t="str">
        <f>"DD2024102149970"</f>
        <v>DD2024102149970</v>
      </c>
      <c r="D4541" s="1" t="str">
        <f>"CK2024102148109"</f>
        <v>CK2024102148109</v>
      </c>
      <c r="E4541" s="1" t="str">
        <f>"3723459284715574272"</f>
        <v>3723459284715574272</v>
      </c>
      <c r="F4541" s="1" t="str">
        <f t="shared" si="1458"/>
        <v>花都四部-凤凰仓</v>
      </c>
      <c r="G4541" s="1" t="str">
        <f t="shared" si="1477"/>
        <v>卡卡杜企业店（视频号）</v>
      </c>
      <c r="H4541" s="1" t="str">
        <f t="shared" si="1459"/>
        <v>正常订单</v>
      </c>
      <c r="I4541" s="1" t="str">
        <f t="shared" si="1460"/>
        <v>已发货</v>
      </c>
      <c r="J4541" s="1" t="str">
        <f t="shared" si="1479"/>
        <v>3</v>
      </c>
      <c r="K4541" s="1">
        <v>3</v>
      </c>
      <c r="L4541" s="1" t="s">
        <v>74</v>
      </c>
      <c r="M4541" s="1" t="str">
        <f>"上海 上海市 虹口区 "</f>
        <v xml:space="preserve">上海 上海市 虹口区 </v>
      </c>
      <c r="N4541" s="1" t="str">
        <f t="shared" si="1478"/>
        <v>凡华云仓-城南圆通-微信视频号</v>
      </c>
      <c r="O4541" s="5" t="s">
        <v>4569</v>
      </c>
      <c r="P4541" s="6">
        <v>0.34</v>
      </c>
      <c r="Q4541" s="11">
        <v>2.2999999999999998</v>
      </c>
      <c r="R4541" s="11"/>
      <c r="S4541" s="11"/>
      <c r="T4541" s="11"/>
      <c r="U4541" s="11">
        <f t="shared" si="1456"/>
        <v>2.2999999999999998</v>
      </c>
      <c r="W4541">
        <v>2.5</v>
      </c>
      <c r="X4541" s="1" t="s">
        <v>74</v>
      </c>
    </row>
    <row r="4542" spans="1:24" x14ac:dyDescent="0.25">
      <c r="A4542" s="1" t="str">
        <f t="shared" si="1457"/>
        <v>卡卡杜-凤凰仓</v>
      </c>
      <c r="B4542" s="1" t="str">
        <f>"CK2024102119609"</f>
        <v>CK2024102119609</v>
      </c>
      <c r="C4542" s="1" t="str">
        <f>"DD2024102149973"</f>
        <v>DD2024102149973</v>
      </c>
      <c r="D4542" s="1" t="str">
        <f>"CK2024102148108"</f>
        <v>CK2024102148108</v>
      </c>
      <c r="E4542" s="1" t="str">
        <f>"3723458832212559104"</f>
        <v>3723458832212559104</v>
      </c>
      <c r="F4542" s="1" t="str">
        <f t="shared" si="1458"/>
        <v>花都四部-凤凰仓</v>
      </c>
      <c r="G4542" s="1" t="str">
        <f t="shared" si="1477"/>
        <v>卡卡杜企业店（视频号）</v>
      </c>
      <c r="H4542" s="1" t="str">
        <f t="shared" si="1459"/>
        <v>正常订单</v>
      </c>
      <c r="I4542" s="1" t="str">
        <f t="shared" si="1460"/>
        <v>已发货</v>
      </c>
      <c r="J4542" s="1" t="str">
        <f t="shared" si="1479"/>
        <v>3</v>
      </c>
      <c r="K4542" s="1">
        <v>3</v>
      </c>
      <c r="L4542" s="1" t="s">
        <v>18</v>
      </c>
      <c r="M4542" s="1" t="str">
        <f>"广东省 佛山市 顺德区 "</f>
        <v xml:space="preserve">广东省 佛山市 顺德区 </v>
      </c>
      <c r="N4542" s="1" t="str">
        <f t="shared" si="1478"/>
        <v>凡华云仓-城南圆通-微信视频号</v>
      </c>
      <c r="O4542" s="5" t="s">
        <v>4570</v>
      </c>
      <c r="P4542" s="6">
        <v>0.34</v>
      </c>
      <c r="Q4542" s="11">
        <v>2.2999999999999998</v>
      </c>
      <c r="R4542" s="11"/>
      <c r="S4542" s="11"/>
      <c r="T4542" s="11"/>
      <c r="U4542" s="11">
        <f t="shared" si="1456"/>
        <v>2.2999999999999998</v>
      </c>
      <c r="W4542">
        <v>2.5</v>
      </c>
      <c r="X4542" s="1" t="s">
        <v>18</v>
      </c>
    </row>
    <row r="4543" spans="1:24" x14ac:dyDescent="0.25">
      <c r="A4543" s="1" t="str">
        <f t="shared" si="1457"/>
        <v>卡卡杜-凤凰仓</v>
      </c>
      <c r="B4543" s="1" t="str">
        <f>"CK2024102119538"</f>
        <v>CK2024102119538</v>
      </c>
      <c r="C4543" s="1" t="str">
        <f>"DD2024102149907"</f>
        <v>DD2024102149907</v>
      </c>
      <c r="D4543" s="1" t="str">
        <f>"CK2024102148086"</f>
        <v>CK2024102148086</v>
      </c>
      <c r="E4543" s="1" t="str">
        <f>"6935291056805647990"</f>
        <v>6935291056805647990</v>
      </c>
      <c r="F4543" s="1" t="str">
        <f t="shared" si="1458"/>
        <v>花都四部-凤凰仓</v>
      </c>
      <c r="G4543" s="1" t="str">
        <f t="shared" ref="G4543:G4586" si="1480">"卡卡杜个人护理店（抖店）"</f>
        <v>卡卡杜个人护理店（抖店）</v>
      </c>
      <c r="H4543" s="1" t="str">
        <f t="shared" si="1459"/>
        <v>正常订单</v>
      </c>
      <c r="I4543" s="1" t="str">
        <f t="shared" si="1460"/>
        <v>已发货</v>
      </c>
      <c r="J4543" s="1" t="str">
        <f t="shared" si="1479"/>
        <v>3</v>
      </c>
      <c r="K4543" s="1">
        <v>2</v>
      </c>
      <c r="L4543" s="1" t="s">
        <v>16</v>
      </c>
      <c r="M4543" s="1" t="str">
        <f>"河北省 唐山市 玉田县 孤树镇"</f>
        <v>河北省 唐山市 玉田县 孤树镇</v>
      </c>
      <c r="N4543" s="1" t="str">
        <f t="shared" ref="N4543:N4586" si="1481">"凡华云仓-城南圆通-抖音"</f>
        <v>凡华云仓-城南圆通-抖音</v>
      </c>
      <c r="O4543" s="5" t="s">
        <v>4571</v>
      </c>
      <c r="P4543" s="6">
        <v>0.35</v>
      </c>
      <c r="Q4543" s="11">
        <v>2.2999999999999998</v>
      </c>
      <c r="R4543" s="11"/>
      <c r="S4543" s="11"/>
      <c r="T4543" s="11"/>
      <c r="U4543" s="11">
        <f t="shared" si="1456"/>
        <v>2.2999999999999998</v>
      </c>
      <c r="W4543">
        <v>2.5</v>
      </c>
      <c r="X4543" s="1" t="s">
        <v>16</v>
      </c>
    </row>
    <row r="4544" spans="1:24" x14ac:dyDescent="0.25">
      <c r="A4544" s="1" t="str">
        <f t="shared" si="1457"/>
        <v>卡卡杜-凤凰仓</v>
      </c>
      <c r="B4544" s="1" t="str">
        <f>"CK2024102119539"</f>
        <v>CK2024102119539</v>
      </c>
      <c r="C4544" s="1" t="str">
        <f>"DD2024102149905"</f>
        <v>DD2024102149905</v>
      </c>
      <c r="D4544" s="1" t="str">
        <f>"CK2024102148085"</f>
        <v>CK2024102148085</v>
      </c>
      <c r="E4544" s="1" t="str">
        <f>"6935277605789570933"</f>
        <v>6935277605789570933</v>
      </c>
      <c r="F4544" s="1" t="str">
        <f t="shared" si="1458"/>
        <v>花都四部-凤凰仓</v>
      </c>
      <c r="G4544" s="1" t="str">
        <f t="shared" si="1480"/>
        <v>卡卡杜个人护理店（抖店）</v>
      </c>
      <c r="H4544" s="1" t="str">
        <f t="shared" si="1459"/>
        <v>正常订单</v>
      </c>
      <c r="I4544" s="1" t="str">
        <f t="shared" si="1460"/>
        <v>已发货</v>
      </c>
      <c r="J4544" s="1" t="str">
        <f t="shared" si="1479"/>
        <v>3</v>
      </c>
      <c r="K4544" s="1">
        <v>2</v>
      </c>
      <c r="L4544" s="1" t="s">
        <v>109</v>
      </c>
      <c r="M4544" s="1" t="str">
        <f>"山西省 太原市 小店区 平阳路街道"</f>
        <v>山西省 太原市 小店区 平阳路街道</v>
      </c>
      <c r="N4544" s="1" t="str">
        <f t="shared" si="1481"/>
        <v>凡华云仓-城南圆通-抖音</v>
      </c>
      <c r="O4544" s="5" t="s">
        <v>4572</v>
      </c>
      <c r="P4544" s="6">
        <v>0.35</v>
      </c>
      <c r="Q4544" s="11">
        <v>2.2999999999999998</v>
      </c>
      <c r="R4544" s="11"/>
      <c r="S4544" s="11"/>
      <c r="T4544" s="11"/>
      <c r="U4544" s="11">
        <f t="shared" si="1456"/>
        <v>2.2999999999999998</v>
      </c>
      <c r="W4544">
        <v>2.5</v>
      </c>
      <c r="X4544" s="1" t="s">
        <v>109</v>
      </c>
    </row>
    <row r="4545" spans="1:24" x14ac:dyDescent="0.25">
      <c r="A4545" s="1" t="str">
        <f t="shared" si="1457"/>
        <v>卡卡杜-凤凰仓</v>
      </c>
      <c r="B4545" s="1" t="str">
        <f>"CK2024102119540"</f>
        <v>CK2024102119540</v>
      </c>
      <c r="C4545" s="1" t="str">
        <f>"DD2024102149904"</f>
        <v>DD2024102149904</v>
      </c>
      <c r="D4545" s="1" t="str">
        <f>"CK2024102148084"</f>
        <v>CK2024102148084</v>
      </c>
      <c r="E4545" s="1" t="str">
        <f>"6935277813778224864"</f>
        <v>6935277813778224864</v>
      </c>
      <c r="F4545" s="1" t="str">
        <f t="shared" si="1458"/>
        <v>花都四部-凤凰仓</v>
      </c>
      <c r="G4545" s="1" t="str">
        <f t="shared" si="1480"/>
        <v>卡卡杜个人护理店（抖店）</v>
      </c>
      <c r="H4545" s="1" t="str">
        <f t="shared" si="1459"/>
        <v>正常订单</v>
      </c>
      <c r="I4545" s="1" t="str">
        <f t="shared" si="1460"/>
        <v>已发货</v>
      </c>
      <c r="J4545" s="1" t="str">
        <f t="shared" si="1479"/>
        <v>3</v>
      </c>
      <c r="K4545" s="1">
        <v>2</v>
      </c>
      <c r="L4545" s="1" t="s">
        <v>13</v>
      </c>
      <c r="M4545" s="1" t="str">
        <f>"江苏省 苏州市 姑苏区 沧浪街道"</f>
        <v>江苏省 苏州市 姑苏区 沧浪街道</v>
      </c>
      <c r="N4545" s="1" t="str">
        <f t="shared" si="1481"/>
        <v>凡华云仓-城南圆通-抖音</v>
      </c>
      <c r="O4545" s="5" t="s">
        <v>4573</v>
      </c>
      <c r="P4545" s="6">
        <v>0.35</v>
      </c>
      <c r="Q4545" s="11">
        <v>2.2999999999999998</v>
      </c>
      <c r="R4545" s="11"/>
      <c r="S4545" s="11"/>
      <c r="T4545" s="11"/>
      <c r="U4545" s="11">
        <f t="shared" si="1456"/>
        <v>2.2999999999999998</v>
      </c>
      <c r="W4545">
        <v>2.5</v>
      </c>
      <c r="X4545" s="1" t="s">
        <v>13</v>
      </c>
    </row>
    <row r="4546" spans="1:24" x14ac:dyDescent="0.25">
      <c r="A4546" s="1" t="str">
        <f t="shared" si="1457"/>
        <v>卡卡杜-凤凰仓</v>
      </c>
      <c r="B4546" s="1" t="str">
        <f>"CK2024102119541"</f>
        <v>CK2024102119541</v>
      </c>
      <c r="C4546" s="1" t="str">
        <f>"DD2024102149903"</f>
        <v>DD2024102149903</v>
      </c>
      <c r="D4546" s="1" t="str">
        <f>"CK2024102148083"</f>
        <v>CK2024102148083</v>
      </c>
      <c r="E4546" s="1" t="str">
        <f>"6935295093264029412"</f>
        <v>6935295093264029412</v>
      </c>
      <c r="F4546" s="1" t="str">
        <f t="shared" si="1458"/>
        <v>花都四部-凤凰仓</v>
      </c>
      <c r="G4546" s="1" t="str">
        <f t="shared" si="1480"/>
        <v>卡卡杜个人护理店（抖店）</v>
      </c>
      <c r="H4546" s="1" t="str">
        <f t="shared" si="1459"/>
        <v>正常订单</v>
      </c>
      <c r="I4546" s="1" t="str">
        <f t="shared" si="1460"/>
        <v>已发货</v>
      </c>
      <c r="J4546" s="1" t="str">
        <f t="shared" si="1479"/>
        <v>3</v>
      </c>
      <c r="K4546" s="1">
        <v>2</v>
      </c>
      <c r="L4546" s="1" t="s">
        <v>18</v>
      </c>
      <c r="M4546" s="1" t="str">
        <f>"广东省 东莞市 东莞市 谢岗镇"</f>
        <v>广东省 东莞市 东莞市 谢岗镇</v>
      </c>
      <c r="N4546" s="1" t="str">
        <f t="shared" si="1481"/>
        <v>凡华云仓-城南圆通-抖音</v>
      </c>
      <c r="O4546" s="5" t="s">
        <v>4574</v>
      </c>
      <c r="P4546" s="6">
        <v>0.35</v>
      </c>
      <c r="Q4546" s="11">
        <v>2.2999999999999998</v>
      </c>
      <c r="R4546" s="11"/>
      <c r="S4546" s="11"/>
      <c r="T4546" s="11"/>
      <c r="U4546" s="11">
        <f t="shared" si="1456"/>
        <v>2.2999999999999998</v>
      </c>
      <c r="W4546">
        <v>2.5</v>
      </c>
      <c r="X4546" s="1" t="s">
        <v>18</v>
      </c>
    </row>
    <row r="4547" spans="1:24" x14ac:dyDescent="0.25">
      <c r="A4547" s="1" t="str">
        <f t="shared" si="1457"/>
        <v>卡卡杜-凤凰仓</v>
      </c>
      <c r="B4547" s="1" t="str">
        <f>"CK2024102119542"</f>
        <v>CK2024102119542</v>
      </c>
      <c r="C4547" s="1" t="str">
        <f>"DD2024102149906"</f>
        <v>DD2024102149906</v>
      </c>
      <c r="D4547" s="1" t="str">
        <f>"CK2024102148082"</f>
        <v>CK2024102148082</v>
      </c>
      <c r="E4547" s="1" t="str">
        <f>"6935294985523565765"</f>
        <v>6935294985523565765</v>
      </c>
      <c r="F4547" s="1" t="str">
        <f t="shared" si="1458"/>
        <v>花都四部-凤凰仓</v>
      </c>
      <c r="G4547" s="1" t="str">
        <f t="shared" si="1480"/>
        <v>卡卡杜个人护理店（抖店）</v>
      </c>
      <c r="H4547" s="1" t="str">
        <f t="shared" si="1459"/>
        <v>正常订单</v>
      </c>
      <c r="I4547" s="1" t="str">
        <f t="shared" si="1460"/>
        <v>已发货</v>
      </c>
      <c r="J4547" s="1" t="str">
        <f t="shared" si="1479"/>
        <v>3</v>
      </c>
      <c r="K4547" s="1">
        <v>2</v>
      </c>
      <c r="L4547" s="1" t="s">
        <v>161</v>
      </c>
      <c r="M4547" s="1" t="str">
        <f>"四川省 绵阳市 盐亭县 "</f>
        <v xml:space="preserve">四川省 绵阳市 盐亭县 </v>
      </c>
      <c r="N4547" s="1" t="str">
        <f t="shared" si="1481"/>
        <v>凡华云仓-城南圆通-抖音</v>
      </c>
      <c r="O4547" s="5" t="s">
        <v>4575</v>
      </c>
      <c r="P4547" s="6">
        <v>0.35</v>
      </c>
      <c r="Q4547" s="11">
        <v>2.2999999999999998</v>
      </c>
      <c r="R4547" s="11"/>
      <c r="S4547" s="11"/>
      <c r="T4547" s="11"/>
      <c r="U4547" s="11">
        <f t="shared" ref="U4547:U4610" si="1482">T4547+S4547+R4547+Q4547</f>
        <v>2.2999999999999998</v>
      </c>
      <c r="W4547">
        <v>2.5</v>
      </c>
      <c r="X4547" s="1" t="s">
        <v>161</v>
      </c>
    </row>
    <row r="4548" spans="1:24" x14ac:dyDescent="0.25">
      <c r="A4548" s="1" t="str">
        <f t="shared" si="1457"/>
        <v>卡卡杜-凤凰仓</v>
      </c>
      <c r="B4548" s="1" t="str">
        <f>"CK2024102119544"</f>
        <v>CK2024102119544</v>
      </c>
      <c r="C4548" s="1" t="str">
        <f>"DD2024102149910"</f>
        <v>DD2024102149910</v>
      </c>
      <c r="D4548" s="1" t="str">
        <f>"CK2024102148081"</f>
        <v>CK2024102148081</v>
      </c>
      <c r="E4548" s="1" t="str">
        <f>"6935290600585630954"</f>
        <v>6935290600585630954</v>
      </c>
      <c r="F4548" s="1" t="str">
        <f t="shared" si="1458"/>
        <v>花都四部-凤凰仓</v>
      </c>
      <c r="G4548" s="1" t="str">
        <f t="shared" si="1480"/>
        <v>卡卡杜个人护理店（抖店）</v>
      </c>
      <c r="H4548" s="1" t="str">
        <f t="shared" si="1459"/>
        <v>正常订单</v>
      </c>
      <c r="I4548" s="1" t="str">
        <f t="shared" si="1460"/>
        <v>已发货</v>
      </c>
      <c r="J4548" s="1" t="str">
        <f t="shared" si="1479"/>
        <v>3</v>
      </c>
      <c r="K4548" s="1">
        <v>2</v>
      </c>
      <c r="L4548" s="1" t="s">
        <v>16</v>
      </c>
      <c r="M4548" s="1" t="str">
        <f>"河北省 石家庄市 桥西区 振头街道"</f>
        <v>河北省 石家庄市 桥西区 振头街道</v>
      </c>
      <c r="N4548" s="1" t="str">
        <f t="shared" si="1481"/>
        <v>凡华云仓-城南圆通-抖音</v>
      </c>
      <c r="O4548" s="5" t="s">
        <v>4576</v>
      </c>
      <c r="P4548" s="6">
        <v>0.35</v>
      </c>
      <c r="Q4548" s="11">
        <v>2.2999999999999998</v>
      </c>
      <c r="R4548" s="11"/>
      <c r="S4548" s="11"/>
      <c r="T4548" s="11"/>
      <c r="U4548" s="11">
        <f t="shared" si="1482"/>
        <v>2.2999999999999998</v>
      </c>
      <c r="W4548">
        <v>2.5</v>
      </c>
      <c r="X4548" s="1" t="s">
        <v>16</v>
      </c>
    </row>
    <row r="4549" spans="1:24" x14ac:dyDescent="0.25">
      <c r="A4549" s="1" t="str">
        <f t="shared" ref="A4549:A4612" si="1483">"卡卡杜-凤凰仓"</f>
        <v>卡卡杜-凤凰仓</v>
      </c>
      <c r="B4549" s="1" t="str">
        <f>"CK2024102119545"</f>
        <v>CK2024102119545</v>
      </c>
      <c r="C4549" s="1" t="str">
        <f>"DD2024102149914"</f>
        <v>DD2024102149914</v>
      </c>
      <c r="D4549" s="1" t="str">
        <f>"CK2024102148080"</f>
        <v>CK2024102148080</v>
      </c>
      <c r="E4549" s="1" t="str">
        <f>"6935299927021983584"</f>
        <v>6935299927021983584</v>
      </c>
      <c r="F4549" s="1" t="str">
        <f t="shared" ref="F4549:F4612" si="1484">"花都四部-凤凰仓"</f>
        <v>花都四部-凤凰仓</v>
      </c>
      <c r="G4549" s="1" t="str">
        <f t="shared" si="1480"/>
        <v>卡卡杜个人护理店（抖店）</v>
      </c>
      <c r="H4549" s="1" t="str">
        <f t="shared" ref="H4549:H4612" si="1485">"正常订单"</f>
        <v>正常订单</v>
      </c>
      <c r="I4549" s="1" t="str">
        <f t="shared" ref="I4549:I4612" si="1486">"已发货"</f>
        <v>已发货</v>
      </c>
      <c r="J4549" s="1" t="str">
        <f t="shared" si="1479"/>
        <v>3</v>
      </c>
      <c r="K4549" s="1">
        <v>2</v>
      </c>
      <c r="L4549" s="1" t="s">
        <v>36</v>
      </c>
      <c r="M4549" s="1" t="str">
        <f>"安徽省 滁州市 定远县 定城镇"</f>
        <v>安徽省 滁州市 定远县 定城镇</v>
      </c>
      <c r="N4549" s="1" t="str">
        <f t="shared" si="1481"/>
        <v>凡华云仓-城南圆通-抖音</v>
      </c>
      <c r="O4549" s="5" t="s">
        <v>4577</v>
      </c>
      <c r="P4549" s="6">
        <v>0.35</v>
      </c>
      <c r="Q4549" s="11">
        <v>2.2999999999999998</v>
      </c>
      <c r="R4549" s="11"/>
      <c r="S4549" s="11"/>
      <c r="T4549" s="11"/>
      <c r="U4549" s="11">
        <f t="shared" si="1482"/>
        <v>2.2999999999999998</v>
      </c>
      <c r="W4549">
        <v>2.5</v>
      </c>
      <c r="X4549" s="1" t="s">
        <v>36</v>
      </c>
    </row>
    <row r="4550" spans="1:24" x14ac:dyDescent="0.25">
      <c r="A4550" s="1" t="str">
        <f t="shared" si="1483"/>
        <v>卡卡杜-凤凰仓</v>
      </c>
      <c r="B4550" s="1" t="str">
        <f>"CK2024102119546"</f>
        <v>CK2024102119546</v>
      </c>
      <c r="C4550" s="1" t="str">
        <f>"DD2024102149911"</f>
        <v>DD2024102149911</v>
      </c>
      <c r="D4550" s="1" t="str">
        <f>"CK2024102148079"</f>
        <v>CK2024102148079</v>
      </c>
      <c r="E4550" s="1" t="str">
        <f>"6935306594291816052"</f>
        <v>6935306594291816052</v>
      </c>
      <c r="F4550" s="1" t="str">
        <f t="shared" si="1484"/>
        <v>花都四部-凤凰仓</v>
      </c>
      <c r="G4550" s="1" t="str">
        <f t="shared" si="1480"/>
        <v>卡卡杜个人护理店（抖店）</v>
      </c>
      <c r="H4550" s="1" t="str">
        <f t="shared" si="1485"/>
        <v>正常订单</v>
      </c>
      <c r="I4550" s="1" t="str">
        <f t="shared" si="1486"/>
        <v>已发货</v>
      </c>
      <c r="J4550" s="1" t="str">
        <f t="shared" si="1479"/>
        <v>3</v>
      </c>
      <c r="K4550" s="1">
        <v>2</v>
      </c>
      <c r="L4550" s="1" t="s">
        <v>13</v>
      </c>
      <c r="M4550" s="1" t="str">
        <f>"江苏省 南京市 高淳区 淳溪街道"</f>
        <v>江苏省 南京市 高淳区 淳溪街道</v>
      </c>
      <c r="N4550" s="1" t="str">
        <f t="shared" si="1481"/>
        <v>凡华云仓-城南圆通-抖音</v>
      </c>
      <c r="O4550" s="5" t="s">
        <v>4578</v>
      </c>
      <c r="P4550" s="6">
        <v>0.35</v>
      </c>
      <c r="Q4550" s="11">
        <v>2.2999999999999998</v>
      </c>
      <c r="R4550" s="11"/>
      <c r="S4550" s="11"/>
      <c r="T4550" s="11"/>
      <c r="U4550" s="11">
        <f t="shared" si="1482"/>
        <v>2.2999999999999998</v>
      </c>
      <c r="W4550">
        <v>2.5</v>
      </c>
      <c r="X4550" s="1" t="s">
        <v>13</v>
      </c>
    </row>
    <row r="4551" spans="1:24" x14ac:dyDescent="0.25">
      <c r="A4551" s="1" t="str">
        <f t="shared" si="1483"/>
        <v>卡卡杜-凤凰仓</v>
      </c>
      <c r="B4551" s="1" t="str">
        <f>"CK2024102119547"</f>
        <v>CK2024102119547</v>
      </c>
      <c r="C4551" s="1" t="str">
        <f>"DD2024102149909"</f>
        <v>DD2024102149909</v>
      </c>
      <c r="D4551" s="1" t="str">
        <f>"CK2024102148078"</f>
        <v>CK2024102148078</v>
      </c>
      <c r="E4551" s="1" t="str">
        <f>"6935295095464400701"</f>
        <v>6935295095464400701</v>
      </c>
      <c r="F4551" s="1" t="str">
        <f t="shared" si="1484"/>
        <v>花都四部-凤凰仓</v>
      </c>
      <c r="G4551" s="1" t="str">
        <f t="shared" si="1480"/>
        <v>卡卡杜个人护理店（抖店）</v>
      </c>
      <c r="H4551" s="1" t="str">
        <f t="shared" si="1485"/>
        <v>正常订单</v>
      </c>
      <c r="I4551" s="1" t="str">
        <f t="shared" si="1486"/>
        <v>已发货</v>
      </c>
      <c r="J4551" s="1" t="str">
        <f t="shared" si="1479"/>
        <v>3</v>
      </c>
      <c r="K4551" s="1">
        <v>2</v>
      </c>
      <c r="L4551" s="1" t="s">
        <v>36</v>
      </c>
      <c r="M4551" s="1" t="str">
        <f>"安徽省 池州市 贵池区 杏花村街道"</f>
        <v>安徽省 池州市 贵池区 杏花村街道</v>
      </c>
      <c r="N4551" s="1" t="str">
        <f t="shared" si="1481"/>
        <v>凡华云仓-城南圆通-抖音</v>
      </c>
      <c r="O4551" s="5" t="s">
        <v>4579</v>
      </c>
      <c r="P4551" s="6">
        <v>0.35</v>
      </c>
      <c r="Q4551" s="11">
        <v>2.2999999999999998</v>
      </c>
      <c r="R4551" s="11"/>
      <c r="S4551" s="11"/>
      <c r="T4551" s="11"/>
      <c r="U4551" s="11">
        <f t="shared" si="1482"/>
        <v>2.2999999999999998</v>
      </c>
      <c r="W4551">
        <v>2.5</v>
      </c>
      <c r="X4551" s="1" t="s">
        <v>36</v>
      </c>
    </row>
    <row r="4552" spans="1:24" x14ac:dyDescent="0.25">
      <c r="A4552" s="1" t="str">
        <f t="shared" si="1483"/>
        <v>卡卡杜-凤凰仓</v>
      </c>
      <c r="B4552" s="1" t="str">
        <f>"CK2024102119548"</f>
        <v>CK2024102119548</v>
      </c>
      <c r="C4552" s="1" t="str">
        <f>"DD2024102149912"</f>
        <v>DD2024102149912</v>
      </c>
      <c r="D4552" s="1" t="str">
        <f>"CK2024102148077"</f>
        <v>CK2024102148077</v>
      </c>
      <c r="E4552" s="1" t="str">
        <f>"6935288522947040566"</f>
        <v>6935288522947040566</v>
      </c>
      <c r="F4552" s="1" t="str">
        <f t="shared" si="1484"/>
        <v>花都四部-凤凰仓</v>
      </c>
      <c r="G4552" s="1" t="str">
        <f t="shared" si="1480"/>
        <v>卡卡杜个人护理店（抖店）</v>
      </c>
      <c r="H4552" s="1" t="str">
        <f t="shared" si="1485"/>
        <v>正常订单</v>
      </c>
      <c r="I4552" s="1" t="str">
        <f t="shared" si="1486"/>
        <v>已发货</v>
      </c>
      <c r="J4552" s="1" t="str">
        <f t="shared" si="1479"/>
        <v>3</v>
      </c>
      <c r="K4552" s="1">
        <v>2</v>
      </c>
      <c r="L4552" s="1" t="s">
        <v>16</v>
      </c>
      <c r="M4552" s="1" t="str">
        <f>"河北省 沧州市 黄骅市 骅中街道"</f>
        <v>河北省 沧州市 黄骅市 骅中街道</v>
      </c>
      <c r="N4552" s="1" t="str">
        <f t="shared" si="1481"/>
        <v>凡华云仓-城南圆通-抖音</v>
      </c>
      <c r="O4552" s="5" t="s">
        <v>4580</v>
      </c>
      <c r="P4552" s="6">
        <v>0.35</v>
      </c>
      <c r="Q4552" s="11">
        <v>2.2999999999999998</v>
      </c>
      <c r="R4552" s="11"/>
      <c r="S4552" s="11"/>
      <c r="T4552" s="11"/>
      <c r="U4552" s="11">
        <f t="shared" si="1482"/>
        <v>2.2999999999999998</v>
      </c>
      <c r="W4552">
        <v>2.5</v>
      </c>
      <c r="X4552" s="1" t="s">
        <v>16</v>
      </c>
    </row>
    <row r="4553" spans="1:24" x14ac:dyDescent="0.25">
      <c r="A4553" s="1" t="str">
        <f t="shared" si="1483"/>
        <v>卡卡杜-凤凰仓</v>
      </c>
      <c r="B4553" s="1" t="str">
        <f>"CK2024102119549"</f>
        <v>CK2024102119549</v>
      </c>
      <c r="C4553" s="1" t="str">
        <f>"DD2024102149913"</f>
        <v>DD2024102149913</v>
      </c>
      <c r="D4553" s="1" t="str">
        <f>"CK2024102148076"</f>
        <v>CK2024102148076</v>
      </c>
      <c r="E4553" s="1" t="str">
        <f>"6935293283841021196"</f>
        <v>6935293283841021196</v>
      </c>
      <c r="F4553" s="1" t="str">
        <f t="shared" si="1484"/>
        <v>花都四部-凤凰仓</v>
      </c>
      <c r="G4553" s="1" t="str">
        <f t="shared" si="1480"/>
        <v>卡卡杜个人护理店（抖店）</v>
      </c>
      <c r="H4553" s="1" t="str">
        <f t="shared" si="1485"/>
        <v>正常订单</v>
      </c>
      <c r="I4553" s="1" t="str">
        <f t="shared" si="1486"/>
        <v>已发货</v>
      </c>
      <c r="J4553" s="1" t="str">
        <f t="shared" si="1479"/>
        <v>3</v>
      </c>
      <c r="K4553" s="1">
        <v>2</v>
      </c>
      <c r="L4553" s="1" t="s">
        <v>13</v>
      </c>
      <c r="M4553" s="1" t="str">
        <f>"江苏省 苏州市 昆山市 昆山旅游度假区"</f>
        <v>江苏省 苏州市 昆山市 昆山旅游度假区</v>
      </c>
      <c r="N4553" s="1" t="str">
        <f t="shared" si="1481"/>
        <v>凡华云仓-城南圆通-抖音</v>
      </c>
      <c r="O4553" s="5" t="s">
        <v>4581</v>
      </c>
      <c r="P4553" s="6">
        <v>0.35</v>
      </c>
      <c r="Q4553" s="11">
        <v>2.2999999999999998</v>
      </c>
      <c r="R4553" s="11"/>
      <c r="S4553" s="11"/>
      <c r="T4553" s="11"/>
      <c r="U4553" s="11">
        <f t="shared" si="1482"/>
        <v>2.2999999999999998</v>
      </c>
      <c r="W4553">
        <v>2.5</v>
      </c>
      <c r="X4553" s="1" t="s">
        <v>13</v>
      </c>
    </row>
    <row r="4554" spans="1:24" x14ac:dyDescent="0.25">
      <c r="A4554" s="1" t="str">
        <f t="shared" si="1483"/>
        <v>卡卡杜-凤凰仓</v>
      </c>
      <c r="B4554" s="1" t="str">
        <f>"CK2024102119551"</f>
        <v>CK2024102119551</v>
      </c>
      <c r="C4554" s="1" t="str">
        <f>"DD2024102149916"</f>
        <v>DD2024102149916</v>
      </c>
      <c r="D4554" s="1" t="str">
        <f>"CK2024102148075"</f>
        <v>CK2024102148075</v>
      </c>
      <c r="E4554" s="1" t="str">
        <f>"6935279925313082721"</f>
        <v>6935279925313082721</v>
      </c>
      <c r="F4554" s="1" t="str">
        <f t="shared" si="1484"/>
        <v>花都四部-凤凰仓</v>
      </c>
      <c r="G4554" s="1" t="str">
        <f t="shared" si="1480"/>
        <v>卡卡杜个人护理店（抖店）</v>
      </c>
      <c r="H4554" s="1" t="str">
        <f t="shared" si="1485"/>
        <v>正常订单</v>
      </c>
      <c r="I4554" s="1" t="str">
        <f t="shared" si="1486"/>
        <v>已发货</v>
      </c>
      <c r="J4554" s="1" t="str">
        <f t="shared" si="1479"/>
        <v>3</v>
      </c>
      <c r="K4554" s="1">
        <v>2</v>
      </c>
      <c r="L4554" s="1" t="s">
        <v>20</v>
      </c>
      <c r="M4554" s="1" t="str">
        <f>"浙江省 金华市 浦江县 仙华街道"</f>
        <v>浙江省 金华市 浦江县 仙华街道</v>
      </c>
      <c r="N4554" s="1" t="str">
        <f t="shared" si="1481"/>
        <v>凡华云仓-城南圆通-抖音</v>
      </c>
      <c r="O4554" s="5" t="s">
        <v>4582</v>
      </c>
      <c r="P4554" s="6">
        <v>0.35</v>
      </c>
      <c r="Q4554" s="11">
        <v>2.2999999999999998</v>
      </c>
      <c r="R4554" s="11"/>
      <c r="S4554" s="11"/>
      <c r="T4554" s="11"/>
      <c r="U4554" s="11">
        <f t="shared" si="1482"/>
        <v>2.2999999999999998</v>
      </c>
      <c r="W4554">
        <v>2.5</v>
      </c>
      <c r="X4554" s="1" t="s">
        <v>20</v>
      </c>
    </row>
    <row r="4555" spans="1:24" x14ac:dyDescent="0.25">
      <c r="A4555" s="1" t="str">
        <f t="shared" si="1483"/>
        <v>卡卡杜-凤凰仓</v>
      </c>
      <c r="B4555" s="1" t="str">
        <f>"CK2024102119552"</f>
        <v>CK2024102119552</v>
      </c>
      <c r="C4555" s="1" t="str">
        <f>"DD2024102149917"</f>
        <v>DD2024102149917</v>
      </c>
      <c r="D4555" s="1" t="str">
        <f>"CK2024102148074"</f>
        <v>CK2024102148074</v>
      </c>
      <c r="E4555" s="1" t="str">
        <f>"6935290989651695280"</f>
        <v>6935290989651695280</v>
      </c>
      <c r="F4555" s="1" t="str">
        <f t="shared" si="1484"/>
        <v>花都四部-凤凰仓</v>
      </c>
      <c r="G4555" s="1" t="str">
        <f t="shared" si="1480"/>
        <v>卡卡杜个人护理店（抖店）</v>
      </c>
      <c r="H4555" s="1" t="str">
        <f t="shared" si="1485"/>
        <v>正常订单</v>
      </c>
      <c r="I4555" s="1" t="str">
        <f t="shared" si="1486"/>
        <v>已发货</v>
      </c>
      <c r="J4555" s="1" t="str">
        <f t="shared" si="1479"/>
        <v>3</v>
      </c>
      <c r="K4555" s="1">
        <v>2</v>
      </c>
      <c r="L4555" s="1" t="s">
        <v>30</v>
      </c>
      <c r="M4555" s="1" t="str">
        <f>"山东省 淄博市 周村区 "</f>
        <v xml:space="preserve">山东省 淄博市 周村区 </v>
      </c>
      <c r="N4555" s="1" t="str">
        <f t="shared" si="1481"/>
        <v>凡华云仓-城南圆通-抖音</v>
      </c>
      <c r="O4555" s="5" t="s">
        <v>4583</v>
      </c>
      <c r="P4555" s="6">
        <v>0.35</v>
      </c>
      <c r="Q4555" s="11">
        <v>2.2999999999999998</v>
      </c>
      <c r="R4555" s="11"/>
      <c r="S4555" s="11"/>
      <c r="T4555" s="11"/>
      <c r="U4555" s="11">
        <f t="shared" si="1482"/>
        <v>2.2999999999999998</v>
      </c>
      <c r="W4555">
        <v>2.5</v>
      </c>
      <c r="X4555" s="1" t="s">
        <v>30</v>
      </c>
    </row>
    <row r="4556" spans="1:24" x14ac:dyDescent="0.25">
      <c r="A4556" s="1" t="str">
        <f t="shared" si="1483"/>
        <v>卡卡杜-凤凰仓</v>
      </c>
      <c r="B4556" s="1" t="str">
        <f>"CK2024102119553"</f>
        <v>CK2024102119553</v>
      </c>
      <c r="C4556" s="1" t="str">
        <f>"DD2024102149919"</f>
        <v>DD2024102149919</v>
      </c>
      <c r="D4556" s="1" t="str">
        <f>"CK2024102148073"</f>
        <v>CK2024102148073</v>
      </c>
      <c r="E4556" s="1" t="str">
        <f>"6935304237645305245"</f>
        <v>6935304237645305245</v>
      </c>
      <c r="F4556" s="1" t="str">
        <f t="shared" si="1484"/>
        <v>花都四部-凤凰仓</v>
      </c>
      <c r="G4556" s="1" t="str">
        <f t="shared" si="1480"/>
        <v>卡卡杜个人护理店（抖店）</v>
      </c>
      <c r="H4556" s="1" t="str">
        <f t="shared" si="1485"/>
        <v>正常订单</v>
      </c>
      <c r="I4556" s="1" t="str">
        <f t="shared" si="1486"/>
        <v>已发货</v>
      </c>
      <c r="J4556" s="1" t="str">
        <f t="shared" si="1479"/>
        <v>3</v>
      </c>
      <c r="K4556" s="1">
        <v>2</v>
      </c>
      <c r="L4556" s="1" t="s">
        <v>13</v>
      </c>
      <c r="M4556" s="1" t="str">
        <f>"江苏省 南京市 秦淮区 红花街道"</f>
        <v>江苏省 南京市 秦淮区 红花街道</v>
      </c>
      <c r="N4556" s="1" t="str">
        <f t="shared" si="1481"/>
        <v>凡华云仓-城南圆通-抖音</v>
      </c>
      <c r="O4556" s="5" t="s">
        <v>4584</v>
      </c>
      <c r="P4556" s="6">
        <v>0.35</v>
      </c>
      <c r="Q4556" s="11">
        <v>2.2999999999999998</v>
      </c>
      <c r="R4556" s="11"/>
      <c r="S4556" s="11"/>
      <c r="T4556" s="11"/>
      <c r="U4556" s="11">
        <f t="shared" si="1482"/>
        <v>2.2999999999999998</v>
      </c>
      <c r="W4556">
        <v>2.5</v>
      </c>
      <c r="X4556" s="1" t="s">
        <v>13</v>
      </c>
    </row>
    <row r="4557" spans="1:24" x14ac:dyDescent="0.25">
      <c r="A4557" s="1" t="str">
        <f t="shared" si="1483"/>
        <v>卡卡杜-凤凰仓</v>
      </c>
      <c r="B4557" s="1" t="str">
        <f>"CK2024102119554"</f>
        <v>CK2024102119554</v>
      </c>
      <c r="C4557" s="1" t="str">
        <f>"DD2024102149918"</f>
        <v>DD2024102149918</v>
      </c>
      <c r="D4557" s="1" t="str">
        <f>"CK2024102148072"</f>
        <v>CK2024102148072</v>
      </c>
      <c r="E4557" s="1" t="str">
        <f>"6935277796957886114"</f>
        <v>6935277796957886114</v>
      </c>
      <c r="F4557" s="1" t="str">
        <f t="shared" si="1484"/>
        <v>花都四部-凤凰仓</v>
      </c>
      <c r="G4557" s="1" t="str">
        <f t="shared" si="1480"/>
        <v>卡卡杜个人护理店（抖店）</v>
      </c>
      <c r="H4557" s="1" t="str">
        <f t="shared" si="1485"/>
        <v>正常订单</v>
      </c>
      <c r="I4557" s="1" t="str">
        <f t="shared" si="1486"/>
        <v>已发货</v>
      </c>
      <c r="J4557" s="1" t="str">
        <f t="shared" si="1479"/>
        <v>3</v>
      </c>
      <c r="K4557" s="1">
        <v>2</v>
      </c>
      <c r="L4557" s="1" t="s">
        <v>80</v>
      </c>
      <c r="M4557" s="1" t="str">
        <f>"河南省 商丘市 睢阳区 新城街道"</f>
        <v>河南省 商丘市 睢阳区 新城街道</v>
      </c>
      <c r="N4557" s="1" t="str">
        <f t="shared" si="1481"/>
        <v>凡华云仓-城南圆通-抖音</v>
      </c>
      <c r="O4557" s="5" t="s">
        <v>4585</v>
      </c>
      <c r="P4557" s="6">
        <v>0.35</v>
      </c>
      <c r="Q4557" s="11">
        <v>2.2999999999999998</v>
      </c>
      <c r="R4557" s="11"/>
      <c r="S4557" s="11"/>
      <c r="T4557" s="11"/>
      <c r="U4557" s="11">
        <f t="shared" si="1482"/>
        <v>2.2999999999999998</v>
      </c>
      <c r="W4557">
        <v>2.5</v>
      </c>
      <c r="X4557" s="1" t="s">
        <v>80</v>
      </c>
    </row>
    <row r="4558" spans="1:24" x14ac:dyDescent="0.25">
      <c r="A4558" s="1" t="str">
        <f t="shared" si="1483"/>
        <v>卡卡杜-凤凰仓</v>
      </c>
      <c r="B4558" s="1" t="str">
        <f>"CK2024102119555"</f>
        <v>CK2024102119555</v>
      </c>
      <c r="C4558" s="1" t="str">
        <f>"DD2024102149920"</f>
        <v>DD2024102149920</v>
      </c>
      <c r="D4558" s="1" t="str">
        <f>"CK2024102148071"</f>
        <v>CK2024102148071</v>
      </c>
      <c r="E4558" s="1" t="str">
        <f>"6935282276052112760"</f>
        <v>6935282276052112760</v>
      </c>
      <c r="F4558" s="1" t="str">
        <f t="shared" si="1484"/>
        <v>花都四部-凤凰仓</v>
      </c>
      <c r="G4558" s="1" t="str">
        <f t="shared" si="1480"/>
        <v>卡卡杜个人护理店（抖店）</v>
      </c>
      <c r="H4558" s="1" t="str">
        <f t="shared" si="1485"/>
        <v>正常订单</v>
      </c>
      <c r="I4558" s="1" t="str">
        <f t="shared" si="1486"/>
        <v>已发货</v>
      </c>
      <c r="J4558" s="1" t="str">
        <f>"5"</f>
        <v>5</v>
      </c>
      <c r="K4558" s="1">
        <v>2</v>
      </c>
      <c r="L4558" s="1" t="s">
        <v>13</v>
      </c>
      <c r="M4558" s="1" t="str">
        <f>"江苏省 徐州市 睢宁县 沙集镇"</f>
        <v>江苏省 徐州市 睢宁县 沙集镇</v>
      </c>
      <c r="N4558" s="1" t="str">
        <f t="shared" si="1481"/>
        <v>凡华云仓-城南圆通-抖音</v>
      </c>
      <c r="O4558" s="5" t="s">
        <v>4586</v>
      </c>
      <c r="P4558" s="6">
        <v>0.59</v>
      </c>
      <c r="Q4558" s="11">
        <f>CEILING(P4558-0.5,0.1)*10*0.15+2.3</f>
        <v>2.4499999999999997</v>
      </c>
      <c r="R4558" s="11"/>
      <c r="S4558" s="11"/>
      <c r="T4558" s="11"/>
      <c r="U4558" s="11">
        <f t="shared" si="1482"/>
        <v>2.4499999999999997</v>
      </c>
      <c r="V4558" t="s">
        <v>15</v>
      </c>
      <c r="W4558">
        <v>2.4500000000000002</v>
      </c>
      <c r="X4558" s="1" t="s">
        <v>13</v>
      </c>
    </row>
    <row r="4559" spans="1:24" x14ac:dyDescent="0.25">
      <c r="A4559" s="1" t="str">
        <f t="shared" si="1483"/>
        <v>卡卡杜-凤凰仓</v>
      </c>
      <c r="B4559" s="1" t="str">
        <f>"CK2024102119556"</f>
        <v>CK2024102119556</v>
      </c>
      <c r="C4559" s="1" t="str">
        <f>"DD2024102149921"</f>
        <v>DD2024102149921</v>
      </c>
      <c r="D4559" s="1" t="str">
        <f>"CK2024102148070"</f>
        <v>CK2024102148070</v>
      </c>
      <c r="E4559" s="1" t="str">
        <f>"6935293280246502452"</f>
        <v>6935293280246502452</v>
      </c>
      <c r="F4559" s="1" t="str">
        <f t="shared" si="1484"/>
        <v>花都四部-凤凰仓</v>
      </c>
      <c r="G4559" s="1" t="str">
        <f t="shared" si="1480"/>
        <v>卡卡杜个人护理店（抖店）</v>
      </c>
      <c r="H4559" s="1" t="str">
        <f t="shared" si="1485"/>
        <v>正常订单</v>
      </c>
      <c r="I4559" s="1" t="str">
        <f t="shared" si="1486"/>
        <v>已发货</v>
      </c>
      <c r="J4559" s="1" t="str">
        <f t="shared" ref="J4559:J4563" si="1487">"3"</f>
        <v>3</v>
      </c>
      <c r="K4559" s="1">
        <v>2</v>
      </c>
      <c r="L4559" s="1" t="s">
        <v>13</v>
      </c>
      <c r="M4559" s="1" t="str">
        <f>"江苏省 宿迁市 宿豫区 豫新街道"</f>
        <v>江苏省 宿迁市 宿豫区 豫新街道</v>
      </c>
      <c r="N4559" s="1" t="str">
        <f t="shared" si="1481"/>
        <v>凡华云仓-城南圆通-抖音</v>
      </c>
      <c r="O4559" s="5" t="s">
        <v>4587</v>
      </c>
      <c r="P4559" s="6">
        <v>0.35</v>
      </c>
      <c r="Q4559" s="11">
        <v>2.2999999999999998</v>
      </c>
      <c r="R4559" s="11"/>
      <c r="S4559" s="11"/>
      <c r="T4559" s="11"/>
      <c r="U4559" s="11">
        <f t="shared" si="1482"/>
        <v>2.2999999999999998</v>
      </c>
      <c r="W4559">
        <v>2.5</v>
      </c>
      <c r="X4559" s="1" t="s">
        <v>13</v>
      </c>
    </row>
    <row r="4560" spans="1:24" x14ac:dyDescent="0.25">
      <c r="A4560" s="1" t="str">
        <f t="shared" si="1483"/>
        <v>卡卡杜-凤凰仓</v>
      </c>
      <c r="B4560" s="1" t="str">
        <f>"CK2024102119557"</f>
        <v>CK2024102119557</v>
      </c>
      <c r="C4560" s="1" t="str">
        <f>"DD2024102149922"</f>
        <v>DD2024102149922</v>
      </c>
      <c r="D4560" s="1" t="str">
        <f>"CK2024102148069"</f>
        <v>CK2024102148069</v>
      </c>
      <c r="E4560" s="1" t="str">
        <f>"6935290966030423879"</f>
        <v>6935290966030423879</v>
      </c>
      <c r="F4560" s="1" t="str">
        <f t="shared" si="1484"/>
        <v>花都四部-凤凰仓</v>
      </c>
      <c r="G4560" s="1" t="str">
        <f t="shared" si="1480"/>
        <v>卡卡杜个人护理店（抖店）</v>
      </c>
      <c r="H4560" s="1" t="str">
        <f t="shared" si="1485"/>
        <v>正常订单</v>
      </c>
      <c r="I4560" s="1" t="str">
        <f t="shared" si="1486"/>
        <v>已发货</v>
      </c>
      <c r="J4560" s="1" t="str">
        <f t="shared" si="1487"/>
        <v>3</v>
      </c>
      <c r="K4560" s="1">
        <v>2</v>
      </c>
      <c r="L4560" s="1" t="s">
        <v>13</v>
      </c>
      <c r="M4560" s="1" t="str">
        <f>"江苏省 无锡市 江阴市 澄江街道"</f>
        <v>江苏省 无锡市 江阴市 澄江街道</v>
      </c>
      <c r="N4560" s="1" t="str">
        <f t="shared" si="1481"/>
        <v>凡华云仓-城南圆通-抖音</v>
      </c>
      <c r="O4560" s="5" t="s">
        <v>4588</v>
      </c>
      <c r="P4560" s="6">
        <v>0.35</v>
      </c>
      <c r="Q4560" s="11">
        <v>2.2999999999999998</v>
      </c>
      <c r="R4560" s="11"/>
      <c r="S4560" s="11"/>
      <c r="T4560" s="11"/>
      <c r="U4560" s="11">
        <f t="shared" si="1482"/>
        <v>2.2999999999999998</v>
      </c>
      <c r="W4560">
        <v>2.5</v>
      </c>
      <c r="X4560" s="1" t="s">
        <v>13</v>
      </c>
    </row>
    <row r="4561" spans="1:24" x14ac:dyDescent="0.25">
      <c r="A4561" s="1" t="str">
        <f t="shared" si="1483"/>
        <v>卡卡杜-凤凰仓</v>
      </c>
      <c r="B4561" s="1" t="str">
        <f>"CK2024102119558"</f>
        <v>CK2024102119558</v>
      </c>
      <c r="C4561" s="1" t="str">
        <f>"DD2024102149923"</f>
        <v>DD2024102149923</v>
      </c>
      <c r="D4561" s="1" t="str">
        <f>"CK2024102148068"</f>
        <v>CK2024102148068</v>
      </c>
      <c r="E4561" s="1" t="str">
        <f>"6935277703393711680"</f>
        <v>6935277703393711680</v>
      </c>
      <c r="F4561" s="1" t="str">
        <f t="shared" si="1484"/>
        <v>花都四部-凤凰仓</v>
      </c>
      <c r="G4561" s="1" t="str">
        <f t="shared" si="1480"/>
        <v>卡卡杜个人护理店（抖店）</v>
      </c>
      <c r="H4561" s="1" t="str">
        <f t="shared" si="1485"/>
        <v>正常订单</v>
      </c>
      <c r="I4561" s="1" t="str">
        <f t="shared" si="1486"/>
        <v>已发货</v>
      </c>
      <c r="J4561" s="1" t="str">
        <f t="shared" si="1487"/>
        <v>3</v>
      </c>
      <c r="K4561" s="1">
        <v>2</v>
      </c>
      <c r="L4561" s="1" t="s">
        <v>13</v>
      </c>
      <c r="M4561" s="1" t="str">
        <f>"江苏省 苏州市 虎丘区 东渚街道"</f>
        <v>江苏省 苏州市 虎丘区 东渚街道</v>
      </c>
      <c r="N4561" s="1" t="str">
        <f t="shared" si="1481"/>
        <v>凡华云仓-城南圆通-抖音</v>
      </c>
      <c r="O4561" s="5" t="s">
        <v>4589</v>
      </c>
      <c r="P4561" s="6">
        <v>0.35</v>
      </c>
      <c r="Q4561" s="11">
        <v>2.2999999999999998</v>
      </c>
      <c r="R4561" s="11"/>
      <c r="S4561" s="11"/>
      <c r="T4561" s="11"/>
      <c r="U4561" s="11">
        <f t="shared" si="1482"/>
        <v>2.2999999999999998</v>
      </c>
      <c r="W4561">
        <v>2.5</v>
      </c>
      <c r="X4561" s="1" t="s">
        <v>13</v>
      </c>
    </row>
    <row r="4562" spans="1:24" x14ac:dyDescent="0.25">
      <c r="A4562" s="1" t="str">
        <f t="shared" si="1483"/>
        <v>卡卡杜-凤凰仓</v>
      </c>
      <c r="B4562" s="1" t="str">
        <f>"CK2024102119559"</f>
        <v>CK2024102119559</v>
      </c>
      <c r="C4562" s="1" t="str">
        <f>"DD2024102149925"</f>
        <v>DD2024102149925</v>
      </c>
      <c r="D4562" s="1" t="str">
        <f>"CK2024102148067"</f>
        <v>CK2024102148067</v>
      </c>
      <c r="E4562" s="1" t="str">
        <f>"6935290771504961124"</f>
        <v>6935290771504961124</v>
      </c>
      <c r="F4562" s="1" t="str">
        <f t="shared" si="1484"/>
        <v>花都四部-凤凰仓</v>
      </c>
      <c r="G4562" s="1" t="str">
        <f t="shared" si="1480"/>
        <v>卡卡杜个人护理店（抖店）</v>
      </c>
      <c r="H4562" s="1" t="str">
        <f t="shared" si="1485"/>
        <v>正常订单</v>
      </c>
      <c r="I4562" s="1" t="str">
        <f t="shared" si="1486"/>
        <v>已发货</v>
      </c>
      <c r="J4562" s="1" t="str">
        <f t="shared" si="1487"/>
        <v>3</v>
      </c>
      <c r="K4562" s="1">
        <v>2</v>
      </c>
      <c r="L4562" s="1" t="s">
        <v>13</v>
      </c>
      <c r="M4562" s="1" t="str">
        <f>"江苏省 扬州市 邗江区 "</f>
        <v xml:space="preserve">江苏省 扬州市 邗江区 </v>
      </c>
      <c r="N4562" s="1" t="str">
        <f t="shared" si="1481"/>
        <v>凡华云仓-城南圆通-抖音</v>
      </c>
      <c r="O4562" s="5" t="s">
        <v>4590</v>
      </c>
      <c r="P4562" s="6">
        <v>0.35</v>
      </c>
      <c r="Q4562" s="11">
        <v>2.2999999999999998</v>
      </c>
      <c r="R4562" s="11"/>
      <c r="S4562" s="11"/>
      <c r="T4562" s="11"/>
      <c r="U4562" s="11">
        <f t="shared" si="1482"/>
        <v>2.2999999999999998</v>
      </c>
      <c r="W4562">
        <v>2.5</v>
      </c>
      <c r="X4562" s="1" t="s">
        <v>13</v>
      </c>
    </row>
    <row r="4563" spans="1:24" x14ac:dyDescent="0.25">
      <c r="A4563" s="1" t="str">
        <f t="shared" si="1483"/>
        <v>卡卡杜-凤凰仓</v>
      </c>
      <c r="B4563" s="1" t="str">
        <f>"CK2024102119560"</f>
        <v>CK2024102119560</v>
      </c>
      <c r="C4563" s="1" t="str">
        <f>"DD2024102149924"</f>
        <v>DD2024102149924</v>
      </c>
      <c r="D4563" s="1" t="str">
        <f>"CK2024102148066"</f>
        <v>CK2024102148066</v>
      </c>
      <c r="E4563" s="1" t="str">
        <f>"6935293277239842084"</f>
        <v>6935293277239842084</v>
      </c>
      <c r="F4563" s="1" t="str">
        <f t="shared" si="1484"/>
        <v>花都四部-凤凰仓</v>
      </c>
      <c r="G4563" s="1" t="str">
        <f t="shared" si="1480"/>
        <v>卡卡杜个人护理店（抖店）</v>
      </c>
      <c r="H4563" s="1" t="str">
        <f t="shared" si="1485"/>
        <v>正常订单</v>
      </c>
      <c r="I4563" s="1" t="str">
        <f t="shared" si="1486"/>
        <v>已发货</v>
      </c>
      <c r="J4563" s="1" t="str">
        <f t="shared" si="1487"/>
        <v>3</v>
      </c>
      <c r="K4563" s="1">
        <v>2</v>
      </c>
      <c r="L4563" s="1" t="s">
        <v>92</v>
      </c>
      <c r="M4563" s="1" t="str">
        <f>"辽宁省 本溪市 明山区 "</f>
        <v xml:space="preserve">辽宁省 本溪市 明山区 </v>
      </c>
      <c r="N4563" s="1" t="str">
        <f t="shared" si="1481"/>
        <v>凡华云仓-城南圆通-抖音</v>
      </c>
      <c r="O4563" s="5" t="s">
        <v>4591</v>
      </c>
      <c r="P4563" s="6">
        <v>0.35</v>
      </c>
      <c r="Q4563" s="11">
        <v>2.2999999999999998</v>
      </c>
      <c r="R4563" s="11"/>
      <c r="S4563" s="11"/>
      <c r="T4563" s="11"/>
      <c r="U4563" s="11">
        <f t="shared" si="1482"/>
        <v>2.2999999999999998</v>
      </c>
      <c r="W4563">
        <v>2.5</v>
      </c>
      <c r="X4563" s="1" t="s">
        <v>92</v>
      </c>
    </row>
    <row r="4564" spans="1:24" x14ac:dyDescent="0.25">
      <c r="A4564" s="1" t="str">
        <f t="shared" si="1483"/>
        <v>卡卡杜-凤凰仓</v>
      </c>
      <c r="B4564" s="1" t="str">
        <f>"CK2024102119561"</f>
        <v>CK2024102119561</v>
      </c>
      <c r="C4564" s="1" t="str">
        <f>"DD2024102149926"</f>
        <v>DD2024102149926</v>
      </c>
      <c r="D4564" s="1" t="str">
        <f>"CK2024102148065"</f>
        <v>CK2024102148065</v>
      </c>
      <c r="E4564" s="1" t="str">
        <f>"6935290969587521402"</f>
        <v>6935290969587521402</v>
      </c>
      <c r="F4564" s="1" t="str">
        <f t="shared" si="1484"/>
        <v>花都四部-凤凰仓</v>
      </c>
      <c r="G4564" s="1" t="str">
        <f t="shared" si="1480"/>
        <v>卡卡杜个人护理店（抖店）</v>
      </c>
      <c r="H4564" s="1" t="str">
        <f t="shared" si="1485"/>
        <v>正常订单</v>
      </c>
      <c r="I4564" s="1" t="str">
        <f t="shared" si="1486"/>
        <v>已发货</v>
      </c>
      <c r="J4564" s="1" t="str">
        <f t="shared" ref="J4564:J4568" si="1488">"5"</f>
        <v>5</v>
      </c>
      <c r="K4564" s="1">
        <v>2</v>
      </c>
      <c r="L4564" s="1" t="s">
        <v>36</v>
      </c>
      <c r="M4564" s="1" t="str">
        <f>"安徽省 合肥市 包河区 大圩镇"</f>
        <v>安徽省 合肥市 包河区 大圩镇</v>
      </c>
      <c r="N4564" s="1" t="str">
        <f t="shared" si="1481"/>
        <v>凡华云仓-城南圆通-抖音</v>
      </c>
      <c r="O4564" s="5" t="s">
        <v>4592</v>
      </c>
      <c r="P4564" s="6">
        <v>0.59</v>
      </c>
      <c r="Q4564" s="11">
        <f t="shared" ref="Q4564:Q4568" si="1489">CEILING(P4564-0.5,0.1)*10*0.15+2.3</f>
        <v>2.4499999999999997</v>
      </c>
      <c r="R4564" s="11"/>
      <c r="S4564" s="11"/>
      <c r="T4564" s="11"/>
      <c r="U4564" s="11">
        <f t="shared" si="1482"/>
        <v>2.4499999999999997</v>
      </c>
      <c r="V4564" t="s">
        <v>15</v>
      </c>
      <c r="W4564">
        <v>2.4500000000000002</v>
      </c>
      <c r="X4564" s="1" t="s">
        <v>36</v>
      </c>
    </row>
    <row r="4565" spans="1:24" x14ac:dyDescent="0.25">
      <c r="A4565" s="1" t="str">
        <f t="shared" si="1483"/>
        <v>卡卡杜-凤凰仓</v>
      </c>
      <c r="B4565" s="1" t="str">
        <f>"CK2024102119562"</f>
        <v>CK2024102119562</v>
      </c>
      <c r="C4565" s="1" t="str">
        <f>"DD2024102149927"</f>
        <v>DD2024102149927</v>
      </c>
      <c r="D4565" s="1" t="str">
        <f>"CK2024102148064"</f>
        <v>CK2024102148064</v>
      </c>
      <c r="E4565" s="1" t="str">
        <f>"6935304292731655388"</f>
        <v>6935304292731655388</v>
      </c>
      <c r="F4565" s="1" t="str">
        <f t="shared" si="1484"/>
        <v>花都四部-凤凰仓</v>
      </c>
      <c r="G4565" s="1" t="str">
        <f t="shared" si="1480"/>
        <v>卡卡杜个人护理店（抖店）</v>
      </c>
      <c r="H4565" s="1" t="str">
        <f t="shared" si="1485"/>
        <v>正常订单</v>
      </c>
      <c r="I4565" s="1" t="str">
        <f t="shared" si="1486"/>
        <v>已发货</v>
      </c>
      <c r="J4565" s="1" t="str">
        <f t="shared" si="1488"/>
        <v>5</v>
      </c>
      <c r="K4565" s="1">
        <v>2</v>
      </c>
      <c r="L4565" s="1" t="s">
        <v>20</v>
      </c>
      <c r="M4565" s="1" t="str">
        <f>"浙江省 湖州市 长兴县 "</f>
        <v xml:space="preserve">浙江省 湖州市 长兴县 </v>
      </c>
      <c r="N4565" s="1" t="str">
        <f t="shared" si="1481"/>
        <v>凡华云仓-城南圆通-抖音</v>
      </c>
      <c r="O4565" s="5" t="s">
        <v>4593</v>
      </c>
      <c r="P4565" s="6">
        <v>0.59</v>
      </c>
      <c r="Q4565" s="11">
        <f t="shared" si="1489"/>
        <v>2.4499999999999997</v>
      </c>
      <c r="R4565" s="11"/>
      <c r="S4565" s="11"/>
      <c r="T4565" s="11"/>
      <c r="U4565" s="11">
        <f t="shared" si="1482"/>
        <v>2.4499999999999997</v>
      </c>
      <c r="V4565" t="s">
        <v>15</v>
      </c>
      <c r="W4565">
        <v>2.4500000000000002</v>
      </c>
      <c r="X4565" s="1" t="s">
        <v>20</v>
      </c>
    </row>
    <row r="4566" spans="1:24" x14ac:dyDescent="0.25">
      <c r="A4566" s="1" t="str">
        <f t="shared" si="1483"/>
        <v>卡卡杜-凤凰仓</v>
      </c>
      <c r="B4566" s="1" t="str">
        <f>"CK2024102119563"</f>
        <v>CK2024102119563</v>
      </c>
      <c r="C4566" s="1" t="str">
        <f>"DD2024102149929"</f>
        <v>DD2024102149929</v>
      </c>
      <c r="D4566" s="1" t="str">
        <f>"CK2024102148063"</f>
        <v>CK2024102148063</v>
      </c>
      <c r="E4566" s="1" t="str">
        <f>"6935293342766077564"</f>
        <v>6935293342766077564</v>
      </c>
      <c r="F4566" s="1" t="str">
        <f t="shared" si="1484"/>
        <v>花都四部-凤凰仓</v>
      </c>
      <c r="G4566" s="1" t="str">
        <f t="shared" si="1480"/>
        <v>卡卡杜个人护理店（抖店）</v>
      </c>
      <c r="H4566" s="1" t="str">
        <f t="shared" si="1485"/>
        <v>正常订单</v>
      </c>
      <c r="I4566" s="1" t="str">
        <f t="shared" si="1486"/>
        <v>已发货</v>
      </c>
      <c r="J4566" s="1" t="str">
        <f t="shared" ref="J4566:J4574" si="1490">"3"</f>
        <v>3</v>
      </c>
      <c r="K4566" s="1">
        <v>2</v>
      </c>
      <c r="L4566" s="1" t="s">
        <v>32</v>
      </c>
      <c r="M4566" s="1" t="str">
        <f>"陕西省 咸阳市 礼泉县 "</f>
        <v xml:space="preserve">陕西省 咸阳市 礼泉县 </v>
      </c>
      <c r="N4566" s="1" t="str">
        <f t="shared" si="1481"/>
        <v>凡华云仓-城南圆通-抖音</v>
      </c>
      <c r="O4566" s="5" t="s">
        <v>4594</v>
      </c>
      <c r="P4566" s="6">
        <v>0.35</v>
      </c>
      <c r="Q4566" s="11">
        <v>2.2999999999999998</v>
      </c>
      <c r="R4566" s="11"/>
      <c r="S4566" s="11"/>
      <c r="T4566" s="11"/>
      <c r="U4566" s="11">
        <f t="shared" si="1482"/>
        <v>2.2999999999999998</v>
      </c>
      <c r="W4566">
        <v>2.5</v>
      </c>
      <c r="X4566" s="1" t="s">
        <v>32</v>
      </c>
    </row>
    <row r="4567" spans="1:24" x14ac:dyDescent="0.25">
      <c r="A4567" s="1" t="str">
        <f t="shared" si="1483"/>
        <v>卡卡杜-凤凰仓</v>
      </c>
      <c r="B4567" s="1" t="str">
        <f>"CK2024102119564"</f>
        <v>CK2024102119564</v>
      </c>
      <c r="C4567" s="1" t="str">
        <f>"DD2024102149928"</f>
        <v>DD2024102149928</v>
      </c>
      <c r="D4567" s="1" t="str">
        <f>"CK2024102148062"</f>
        <v>CK2024102148062</v>
      </c>
      <c r="E4567" s="1" t="str">
        <f>"6935302357764936808"</f>
        <v>6935302357764936808</v>
      </c>
      <c r="F4567" s="1" t="str">
        <f t="shared" si="1484"/>
        <v>花都四部-凤凰仓</v>
      </c>
      <c r="G4567" s="1" t="str">
        <f t="shared" si="1480"/>
        <v>卡卡杜个人护理店（抖店）</v>
      </c>
      <c r="H4567" s="1" t="str">
        <f t="shared" si="1485"/>
        <v>正常订单</v>
      </c>
      <c r="I4567" s="1" t="str">
        <f t="shared" si="1486"/>
        <v>已发货</v>
      </c>
      <c r="J4567" s="1" t="str">
        <f t="shared" si="1490"/>
        <v>3</v>
      </c>
      <c r="K4567" s="1">
        <v>2</v>
      </c>
      <c r="L4567" s="1" t="s">
        <v>36</v>
      </c>
      <c r="M4567" s="1" t="str">
        <f>"安徽省 合肥市 长丰县 双墩镇"</f>
        <v>安徽省 合肥市 长丰县 双墩镇</v>
      </c>
      <c r="N4567" s="1" t="str">
        <f t="shared" si="1481"/>
        <v>凡华云仓-城南圆通-抖音</v>
      </c>
      <c r="O4567" s="5" t="s">
        <v>4595</v>
      </c>
      <c r="P4567" s="6">
        <v>0.35</v>
      </c>
      <c r="Q4567" s="11">
        <v>2.2999999999999998</v>
      </c>
      <c r="R4567" s="11"/>
      <c r="S4567" s="11"/>
      <c r="T4567" s="11"/>
      <c r="U4567" s="11">
        <f t="shared" si="1482"/>
        <v>2.2999999999999998</v>
      </c>
      <c r="W4567">
        <v>2.5</v>
      </c>
      <c r="X4567" s="1" t="s">
        <v>36</v>
      </c>
    </row>
    <row r="4568" spans="1:24" x14ac:dyDescent="0.25">
      <c r="A4568" s="1" t="str">
        <f t="shared" si="1483"/>
        <v>卡卡杜-凤凰仓</v>
      </c>
      <c r="B4568" s="1" t="str">
        <f>"CK2024102119565"</f>
        <v>CK2024102119565</v>
      </c>
      <c r="C4568" s="1" t="str">
        <f>"DD2024102149930"</f>
        <v>DD2024102149930</v>
      </c>
      <c r="D4568" s="1" t="str">
        <f>"CK2024102148061"</f>
        <v>CK2024102148061</v>
      </c>
      <c r="E4568" s="1" t="str">
        <f>"6935297254297834704"</f>
        <v>6935297254297834704</v>
      </c>
      <c r="F4568" s="1" t="str">
        <f t="shared" si="1484"/>
        <v>花都四部-凤凰仓</v>
      </c>
      <c r="G4568" s="1" t="str">
        <f t="shared" si="1480"/>
        <v>卡卡杜个人护理店（抖店）</v>
      </c>
      <c r="H4568" s="1" t="str">
        <f t="shared" si="1485"/>
        <v>正常订单</v>
      </c>
      <c r="I4568" s="1" t="str">
        <f t="shared" si="1486"/>
        <v>已发货</v>
      </c>
      <c r="J4568" s="1" t="str">
        <f t="shared" si="1488"/>
        <v>5</v>
      </c>
      <c r="K4568" s="1">
        <v>2</v>
      </c>
      <c r="L4568" s="1" t="s">
        <v>13</v>
      </c>
      <c r="M4568" s="1" t="str">
        <f>"江苏省 盐城市 射阳县 长荡镇"</f>
        <v>江苏省 盐城市 射阳县 长荡镇</v>
      </c>
      <c r="N4568" s="1" t="str">
        <f t="shared" si="1481"/>
        <v>凡华云仓-城南圆通-抖音</v>
      </c>
      <c r="O4568" s="5" t="s">
        <v>4596</v>
      </c>
      <c r="P4568" s="6">
        <v>0.59</v>
      </c>
      <c r="Q4568" s="11">
        <f t="shared" si="1489"/>
        <v>2.4499999999999997</v>
      </c>
      <c r="R4568" s="11"/>
      <c r="S4568" s="11"/>
      <c r="T4568" s="11"/>
      <c r="U4568" s="11">
        <f t="shared" si="1482"/>
        <v>2.4499999999999997</v>
      </c>
      <c r="V4568" t="s">
        <v>15</v>
      </c>
      <c r="W4568">
        <v>2.4500000000000002</v>
      </c>
      <c r="X4568" s="1" t="s">
        <v>13</v>
      </c>
    </row>
    <row r="4569" spans="1:24" x14ac:dyDescent="0.25">
      <c r="A4569" s="1" t="str">
        <f t="shared" si="1483"/>
        <v>卡卡杜-凤凰仓</v>
      </c>
      <c r="B4569" s="1" t="str">
        <f>"CK2024102119566"</f>
        <v>CK2024102119566</v>
      </c>
      <c r="C4569" s="1" t="str">
        <f>"DD2024102149932"</f>
        <v>DD2024102149932</v>
      </c>
      <c r="D4569" s="1" t="str">
        <f>"CK2024102148060"</f>
        <v>CK2024102148060</v>
      </c>
      <c r="E4569" s="1" t="str">
        <f>"6935306612286821943"</f>
        <v>6935306612286821943</v>
      </c>
      <c r="F4569" s="1" t="str">
        <f t="shared" si="1484"/>
        <v>花都四部-凤凰仓</v>
      </c>
      <c r="G4569" s="1" t="str">
        <f t="shared" si="1480"/>
        <v>卡卡杜个人护理店（抖店）</v>
      </c>
      <c r="H4569" s="1" t="str">
        <f t="shared" si="1485"/>
        <v>正常订单</v>
      </c>
      <c r="I4569" s="1" t="str">
        <f t="shared" si="1486"/>
        <v>已发货</v>
      </c>
      <c r="J4569" s="1" t="str">
        <f t="shared" si="1490"/>
        <v>3</v>
      </c>
      <c r="K4569" s="1">
        <v>2</v>
      </c>
      <c r="L4569" s="1" t="s">
        <v>94</v>
      </c>
      <c r="M4569" s="1" t="str">
        <f>"湖南省 长沙市 长沙县 星沙街道"</f>
        <v>湖南省 长沙市 长沙县 星沙街道</v>
      </c>
      <c r="N4569" s="1" t="str">
        <f t="shared" si="1481"/>
        <v>凡华云仓-城南圆通-抖音</v>
      </c>
      <c r="O4569" s="5" t="s">
        <v>4597</v>
      </c>
      <c r="P4569" s="6">
        <v>0.35</v>
      </c>
      <c r="Q4569" s="11">
        <v>2.2999999999999998</v>
      </c>
      <c r="R4569" s="11"/>
      <c r="S4569" s="11"/>
      <c r="T4569" s="11"/>
      <c r="U4569" s="11">
        <f t="shared" si="1482"/>
        <v>2.2999999999999998</v>
      </c>
      <c r="W4569">
        <v>2.5</v>
      </c>
      <c r="X4569" s="1" t="s">
        <v>94</v>
      </c>
    </row>
    <row r="4570" spans="1:24" x14ac:dyDescent="0.25">
      <c r="A4570" s="1" t="str">
        <f t="shared" si="1483"/>
        <v>卡卡杜-凤凰仓</v>
      </c>
      <c r="B4570" s="1" t="str">
        <f>"CK2024102119567"</f>
        <v>CK2024102119567</v>
      </c>
      <c r="C4570" s="1" t="str">
        <f>"DD2024102149931"</f>
        <v>DD2024102149931</v>
      </c>
      <c r="D4570" s="1" t="str">
        <f>"CK2024102148059"</f>
        <v>CK2024102148059</v>
      </c>
      <c r="E4570" s="1" t="str">
        <f>"6935277815520565012"</f>
        <v>6935277815520565012</v>
      </c>
      <c r="F4570" s="1" t="str">
        <f t="shared" si="1484"/>
        <v>花都四部-凤凰仓</v>
      </c>
      <c r="G4570" s="1" t="str">
        <f t="shared" si="1480"/>
        <v>卡卡杜个人护理店（抖店）</v>
      </c>
      <c r="H4570" s="1" t="str">
        <f t="shared" si="1485"/>
        <v>正常订单</v>
      </c>
      <c r="I4570" s="1" t="str">
        <f t="shared" si="1486"/>
        <v>已发货</v>
      </c>
      <c r="J4570" s="1" t="str">
        <f t="shared" si="1490"/>
        <v>3</v>
      </c>
      <c r="K4570" s="1">
        <v>2</v>
      </c>
      <c r="L4570" s="1" t="s">
        <v>13</v>
      </c>
      <c r="M4570" s="1" t="str">
        <f>"江苏省 扬州市 邗江区 西湖街道"</f>
        <v>江苏省 扬州市 邗江区 西湖街道</v>
      </c>
      <c r="N4570" s="1" t="str">
        <f t="shared" si="1481"/>
        <v>凡华云仓-城南圆通-抖音</v>
      </c>
      <c r="O4570" s="5" t="s">
        <v>4598</v>
      </c>
      <c r="P4570" s="6">
        <v>0.35</v>
      </c>
      <c r="Q4570" s="11">
        <v>2.2999999999999998</v>
      </c>
      <c r="R4570" s="11"/>
      <c r="S4570" s="11"/>
      <c r="T4570" s="11"/>
      <c r="U4570" s="11">
        <f t="shared" si="1482"/>
        <v>2.2999999999999998</v>
      </c>
      <c r="W4570">
        <v>2.5</v>
      </c>
      <c r="X4570" s="1" t="s">
        <v>13</v>
      </c>
    </row>
    <row r="4571" spans="1:24" x14ac:dyDescent="0.25">
      <c r="A4571" s="1" t="str">
        <f t="shared" si="1483"/>
        <v>卡卡杜-凤凰仓</v>
      </c>
      <c r="B4571" s="1" t="str">
        <f>"CK2024102119568"</f>
        <v>CK2024102119568</v>
      </c>
      <c r="C4571" s="1" t="str">
        <f>"DD2024102149933"</f>
        <v>DD2024102149933</v>
      </c>
      <c r="D4571" s="1" t="str">
        <f>"CK2024102148058"</f>
        <v>CK2024102148058</v>
      </c>
      <c r="E4571" s="1" t="str">
        <f>"6935306670862505684"</f>
        <v>6935306670862505684</v>
      </c>
      <c r="F4571" s="1" t="str">
        <f t="shared" si="1484"/>
        <v>花都四部-凤凰仓</v>
      </c>
      <c r="G4571" s="1" t="str">
        <f t="shared" si="1480"/>
        <v>卡卡杜个人护理店（抖店）</v>
      </c>
      <c r="H4571" s="1" t="str">
        <f t="shared" si="1485"/>
        <v>正常订单</v>
      </c>
      <c r="I4571" s="1" t="str">
        <f t="shared" si="1486"/>
        <v>已发货</v>
      </c>
      <c r="J4571" s="1" t="str">
        <f t="shared" si="1490"/>
        <v>3</v>
      </c>
      <c r="K4571" s="1">
        <v>2</v>
      </c>
      <c r="L4571" s="1" t="s">
        <v>105</v>
      </c>
      <c r="M4571" s="1" t="str">
        <f>"北京 北京市 大兴区 瀛海地区"</f>
        <v>北京 北京市 大兴区 瀛海地区</v>
      </c>
      <c r="N4571" s="1" t="str">
        <f t="shared" si="1481"/>
        <v>凡华云仓-城南圆通-抖音</v>
      </c>
      <c r="O4571" s="5" t="s">
        <v>4599</v>
      </c>
      <c r="P4571" s="6">
        <v>0.35</v>
      </c>
      <c r="Q4571" s="11">
        <v>2.2999999999999998</v>
      </c>
      <c r="R4571" s="11"/>
      <c r="S4571" s="11"/>
      <c r="T4571" s="11"/>
      <c r="U4571" s="11">
        <f t="shared" si="1482"/>
        <v>2.2999999999999998</v>
      </c>
      <c r="W4571">
        <v>2.5</v>
      </c>
      <c r="X4571" s="1" t="s">
        <v>105</v>
      </c>
    </row>
    <row r="4572" spans="1:24" x14ac:dyDescent="0.25">
      <c r="A4572" s="1" t="str">
        <f t="shared" si="1483"/>
        <v>卡卡杜-凤凰仓</v>
      </c>
      <c r="B4572" s="1" t="str">
        <f>"CK2024102119569"</f>
        <v>CK2024102119569</v>
      </c>
      <c r="C4572" s="1" t="str">
        <f>"DD2024102149934"</f>
        <v>DD2024102149934</v>
      </c>
      <c r="D4572" s="1" t="str">
        <f>"CK2024102148057"</f>
        <v>CK2024102148057</v>
      </c>
      <c r="E4572" s="1" t="str">
        <f>"6935299886718719378"</f>
        <v>6935299886718719378</v>
      </c>
      <c r="F4572" s="1" t="str">
        <f t="shared" si="1484"/>
        <v>花都四部-凤凰仓</v>
      </c>
      <c r="G4572" s="1" t="str">
        <f t="shared" si="1480"/>
        <v>卡卡杜个人护理店（抖店）</v>
      </c>
      <c r="H4572" s="1" t="str">
        <f t="shared" si="1485"/>
        <v>正常订单</v>
      </c>
      <c r="I4572" s="1" t="str">
        <f t="shared" si="1486"/>
        <v>已发货</v>
      </c>
      <c r="J4572" s="1" t="str">
        <f t="shared" si="1490"/>
        <v>3</v>
      </c>
      <c r="K4572" s="1">
        <v>2</v>
      </c>
      <c r="L4572" s="1" t="s">
        <v>41</v>
      </c>
      <c r="M4572" s="1" t="str">
        <f>"湖北省 襄阳市 襄州区 肖湾街道"</f>
        <v>湖北省 襄阳市 襄州区 肖湾街道</v>
      </c>
      <c r="N4572" s="1" t="str">
        <f t="shared" si="1481"/>
        <v>凡华云仓-城南圆通-抖音</v>
      </c>
      <c r="O4572" s="5" t="s">
        <v>4600</v>
      </c>
      <c r="P4572" s="6">
        <v>0.35</v>
      </c>
      <c r="Q4572" s="11">
        <v>2.2999999999999998</v>
      </c>
      <c r="R4572" s="11"/>
      <c r="S4572" s="11"/>
      <c r="T4572" s="11"/>
      <c r="U4572" s="11">
        <f t="shared" si="1482"/>
        <v>2.2999999999999998</v>
      </c>
      <c r="W4572">
        <v>2.5</v>
      </c>
      <c r="X4572" s="1" t="s">
        <v>41</v>
      </c>
    </row>
    <row r="4573" spans="1:24" x14ac:dyDescent="0.25">
      <c r="A4573" s="1" t="str">
        <f t="shared" si="1483"/>
        <v>卡卡杜-凤凰仓</v>
      </c>
      <c r="B4573" s="1" t="str">
        <f>"CK2024102119570"</f>
        <v>CK2024102119570</v>
      </c>
      <c r="C4573" s="1" t="str">
        <f>"DD2024102149935"</f>
        <v>DD2024102149935</v>
      </c>
      <c r="D4573" s="1" t="str">
        <f>"CK2024102148056"</f>
        <v>CK2024102148056</v>
      </c>
      <c r="E4573" s="1" t="str">
        <f>"6935273246771713169"</f>
        <v>6935273246771713169</v>
      </c>
      <c r="F4573" s="1" t="str">
        <f t="shared" si="1484"/>
        <v>花都四部-凤凰仓</v>
      </c>
      <c r="G4573" s="1" t="str">
        <f t="shared" si="1480"/>
        <v>卡卡杜个人护理店（抖店）</v>
      </c>
      <c r="H4573" s="1" t="str">
        <f t="shared" si="1485"/>
        <v>正常订单</v>
      </c>
      <c r="I4573" s="1" t="str">
        <f t="shared" si="1486"/>
        <v>已发货</v>
      </c>
      <c r="J4573" s="1" t="str">
        <f t="shared" si="1490"/>
        <v>3</v>
      </c>
      <c r="K4573" s="1">
        <v>2</v>
      </c>
      <c r="L4573" s="1" t="s">
        <v>13</v>
      </c>
      <c r="M4573" s="1" t="str">
        <f>"江苏省 南京市 栖霞区 西岗街道"</f>
        <v>江苏省 南京市 栖霞区 西岗街道</v>
      </c>
      <c r="N4573" s="1" t="str">
        <f t="shared" si="1481"/>
        <v>凡华云仓-城南圆通-抖音</v>
      </c>
      <c r="O4573" s="5" t="s">
        <v>4601</v>
      </c>
      <c r="P4573" s="6">
        <v>0.35</v>
      </c>
      <c r="Q4573" s="11">
        <v>2.2999999999999998</v>
      </c>
      <c r="R4573" s="11"/>
      <c r="S4573" s="11"/>
      <c r="T4573" s="11"/>
      <c r="U4573" s="11">
        <f t="shared" si="1482"/>
        <v>2.2999999999999998</v>
      </c>
      <c r="W4573">
        <v>2.5</v>
      </c>
      <c r="X4573" s="1" t="s">
        <v>13</v>
      </c>
    </row>
    <row r="4574" spans="1:24" x14ac:dyDescent="0.25">
      <c r="A4574" s="1" t="str">
        <f t="shared" si="1483"/>
        <v>卡卡杜-凤凰仓</v>
      </c>
      <c r="B4574" s="1" t="str">
        <f>"CK2024102119571"</f>
        <v>CK2024102119571</v>
      </c>
      <c r="C4574" s="1" t="str">
        <f>"DD2024102149937"</f>
        <v>DD2024102149937</v>
      </c>
      <c r="D4574" s="1" t="str">
        <f>"CK2024102148055"</f>
        <v>CK2024102148055</v>
      </c>
      <c r="E4574" s="1" t="str">
        <f>"6935277654137575245"</f>
        <v>6935277654137575245</v>
      </c>
      <c r="F4574" s="1" t="str">
        <f t="shared" si="1484"/>
        <v>花都四部-凤凰仓</v>
      </c>
      <c r="G4574" s="1" t="str">
        <f t="shared" si="1480"/>
        <v>卡卡杜个人护理店（抖店）</v>
      </c>
      <c r="H4574" s="1" t="str">
        <f t="shared" si="1485"/>
        <v>正常订单</v>
      </c>
      <c r="I4574" s="1" t="str">
        <f t="shared" si="1486"/>
        <v>已发货</v>
      </c>
      <c r="J4574" s="1" t="str">
        <f t="shared" si="1490"/>
        <v>3</v>
      </c>
      <c r="K4574" s="1">
        <v>3</v>
      </c>
      <c r="L4574" s="1" t="s">
        <v>18</v>
      </c>
      <c r="M4574" s="1" t="str">
        <f>"广东省 佛山市 南海区 大沥镇"</f>
        <v>广东省 佛山市 南海区 大沥镇</v>
      </c>
      <c r="N4574" s="1" t="str">
        <f t="shared" si="1481"/>
        <v>凡华云仓-城南圆通-抖音</v>
      </c>
      <c r="O4574" s="5" t="s">
        <v>4602</v>
      </c>
      <c r="P4574" s="6">
        <v>0.34</v>
      </c>
      <c r="Q4574" s="11">
        <v>2.2999999999999998</v>
      </c>
      <c r="R4574" s="11"/>
      <c r="S4574" s="11"/>
      <c r="T4574" s="11"/>
      <c r="U4574" s="11">
        <f t="shared" si="1482"/>
        <v>2.2999999999999998</v>
      </c>
      <c r="W4574">
        <v>2.5</v>
      </c>
      <c r="X4574" s="1" t="s">
        <v>18</v>
      </c>
    </row>
    <row r="4575" spans="1:24" x14ac:dyDescent="0.25">
      <c r="A4575" s="1" t="str">
        <f t="shared" si="1483"/>
        <v>卡卡杜-凤凰仓</v>
      </c>
      <c r="B4575" s="1" t="str">
        <f>"CK2024102119573"</f>
        <v>CK2024102119573</v>
      </c>
      <c r="C4575" s="1" t="str">
        <f>"DD2024102149939"</f>
        <v>DD2024102149939</v>
      </c>
      <c r="D4575" s="1" t="str">
        <f>"CK2024102148054"</f>
        <v>CK2024102148054</v>
      </c>
      <c r="E4575" s="1" t="str">
        <f>"6935293213582301147"</f>
        <v>6935293213582301147</v>
      </c>
      <c r="F4575" s="1" t="str">
        <f t="shared" si="1484"/>
        <v>花都四部-凤凰仓</v>
      </c>
      <c r="G4575" s="1" t="str">
        <f t="shared" si="1480"/>
        <v>卡卡杜个人护理店（抖店）</v>
      </c>
      <c r="H4575" s="1" t="str">
        <f t="shared" si="1485"/>
        <v>正常订单</v>
      </c>
      <c r="I4575" s="1" t="str">
        <f t="shared" si="1486"/>
        <v>已发货</v>
      </c>
      <c r="J4575" s="1" t="str">
        <f>"5"</f>
        <v>5</v>
      </c>
      <c r="K4575" s="1">
        <v>3</v>
      </c>
      <c r="L4575" s="1" t="s">
        <v>18</v>
      </c>
      <c r="M4575" s="1" t="str">
        <f>"广东省 潮州市 饶平县 黄冈镇"</f>
        <v>广东省 潮州市 饶平县 黄冈镇</v>
      </c>
      <c r="N4575" s="1" t="str">
        <f t="shared" si="1481"/>
        <v>凡华云仓-城南圆通-抖音</v>
      </c>
      <c r="O4575" s="5" t="s">
        <v>4603</v>
      </c>
      <c r="P4575" s="6">
        <v>0.47</v>
      </c>
      <c r="Q4575" s="11">
        <v>2.2999999999999998</v>
      </c>
      <c r="R4575" s="11"/>
      <c r="S4575" s="11"/>
      <c r="T4575" s="11"/>
      <c r="U4575" s="11">
        <f t="shared" si="1482"/>
        <v>2.2999999999999998</v>
      </c>
      <c r="W4575">
        <v>2.5</v>
      </c>
      <c r="X4575" s="1" t="s">
        <v>18</v>
      </c>
    </row>
    <row r="4576" spans="1:24" x14ac:dyDescent="0.25">
      <c r="A4576" s="1" t="str">
        <f t="shared" si="1483"/>
        <v>卡卡杜-凤凰仓</v>
      </c>
      <c r="B4576" s="1" t="str">
        <f>"CK2024102119574"</f>
        <v>CK2024102119574</v>
      </c>
      <c r="C4576" s="1" t="str">
        <f>"DD2024102149938"</f>
        <v>DD2024102149938</v>
      </c>
      <c r="D4576" s="1" t="str">
        <f>"CK2024102148053"</f>
        <v>CK2024102148053</v>
      </c>
      <c r="E4576" s="1" t="str">
        <f>"6935297223735187062"</f>
        <v>6935297223735187062</v>
      </c>
      <c r="F4576" s="1" t="str">
        <f t="shared" si="1484"/>
        <v>花都四部-凤凰仓</v>
      </c>
      <c r="G4576" s="1" t="str">
        <f t="shared" si="1480"/>
        <v>卡卡杜个人护理店（抖店）</v>
      </c>
      <c r="H4576" s="1" t="str">
        <f t="shared" si="1485"/>
        <v>正常订单</v>
      </c>
      <c r="I4576" s="1" t="str">
        <f t="shared" si="1486"/>
        <v>已发货</v>
      </c>
      <c r="J4576" s="1" t="str">
        <f>"5"</f>
        <v>5</v>
      </c>
      <c r="K4576" s="1">
        <v>2</v>
      </c>
      <c r="L4576" s="1" t="s">
        <v>94</v>
      </c>
      <c r="M4576" s="1" t="str">
        <f>"湖南省 永州市 道县 上关街道"</f>
        <v>湖南省 永州市 道县 上关街道</v>
      </c>
      <c r="N4576" s="1" t="str">
        <f t="shared" si="1481"/>
        <v>凡华云仓-城南圆通-抖音</v>
      </c>
      <c r="O4576" s="5" t="s">
        <v>4604</v>
      </c>
      <c r="P4576" s="6">
        <v>0.59</v>
      </c>
      <c r="Q4576" s="11">
        <f>CEILING(P4576-0.5,0.1)*10*0.15+2.3</f>
        <v>2.4499999999999997</v>
      </c>
      <c r="R4576" s="11"/>
      <c r="S4576" s="11"/>
      <c r="T4576" s="11"/>
      <c r="U4576" s="11">
        <f t="shared" si="1482"/>
        <v>2.4499999999999997</v>
      </c>
      <c r="V4576" t="s">
        <v>15</v>
      </c>
      <c r="W4576">
        <v>2.4500000000000002</v>
      </c>
      <c r="X4576" s="1" t="s">
        <v>94</v>
      </c>
    </row>
    <row r="4577" spans="1:24" x14ac:dyDescent="0.25">
      <c r="A4577" s="1" t="str">
        <f t="shared" si="1483"/>
        <v>卡卡杜-凤凰仓</v>
      </c>
      <c r="B4577" s="1" t="str">
        <f>"CK2024102119576"</f>
        <v>CK2024102119576</v>
      </c>
      <c r="C4577" s="1" t="str">
        <f>"DD2024102149941"</f>
        <v>DD2024102149941</v>
      </c>
      <c r="D4577" s="1" t="str">
        <f>"CK2024102148052"</f>
        <v>CK2024102148052</v>
      </c>
      <c r="E4577" s="1" t="str">
        <f>"6935273084522599995"</f>
        <v>6935273084522599995</v>
      </c>
      <c r="F4577" s="1" t="str">
        <f t="shared" si="1484"/>
        <v>花都四部-凤凰仓</v>
      </c>
      <c r="G4577" s="1" t="str">
        <f t="shared" si="1480"/>
        <v>卡卡杜个人护理店（抖店）</v>
      </c>
      <c r="H4577" s="1" t="str">
        <f t="shared" si="1485"/>
        <v>正常订单</v>
      </c>
      <c r="I4577" s="1" t="str">
        <f t="shared" si="1486"/>
        <v>已发货</v>
      </c>
      <c r="J4577" s="1" t="str">
        <f t="shared" ref="J4577:J4593" si="1491">"3"</f>
        <v>3</v>
      </c>
      <c r="K4577" s="1">
        <v>2</v>
      </c>
      <c r="L4577" s="1" t="s">
        <v>32</v>
      </c>
      <c r="M4577" s="1" t="str">
        <f>"陕西省 安康市 旬阳县 城关镇"</f>
        <v>陕西省 安康市 旬阳县 城关镇</v>
      </c>
      <c r="N4577" s="1" t="str">
        <f t="shared" si="1481"/>
        <v>凡华云仓-城南圆通-抖音</v>
      </c>
      <c r="O4577" s="5" t="s">
        <v>4605</v>
      </c>
      <c r="P4577" s="6">
        <v>0.35</v>
      </c>
      <c r="Q4577" s="11">
        <v>2.2999999999999998</v>
      </c>
      <c r="R4577" s="11"/>
      <c r="S4577" s="11"/>
      <c r="T4577" s="11"/>
      <c r="U4577" s="11">
        <f t="shared" si="1482"/>
        <v>2.2999999999999998</v>
      </c>
      <c r="W4577">
        <v>2.5</v>
      </c>
      <c r="X4577" s="1" t="s">
        <v>32</v>
      </c>
    </row>
    <row r="4578" spans="1:24" x14ac:dyDescent="0.25">
      <c r="A4578" s="1" t="str">
        <f t="shared" si="1483"/>
        <v>卡卡杜-凤凰仓</v>
      </c>
      <c r="B4578" s="1" t="str">
        <f>"CK2024102119577"</f>
        <v>CK2024102119577</v>
      </c>
      <c r="C4578" s="1" t="str">
        <f>"DD2024102149942"</f>
        <v>DD2024102149942</v>
      </c>
      <c r="D4578" s="1" t="str">
        <f>"CK2024102148051"</f>
        <v>CK2024102148051</v>
      </c>
      <c r="E4578" s="1" t="str">
        <f>"6935284320134435967"</f>
        <v>6935284320134435967</v>
      </c>
      <c r="F4578" s="1" t="str">
        <f t="shared" si="1484"/>
        <v>花都四部-凤凰仓</v>
      </c>
      <c r="G4578" s="1" t="str">
        <f t="shared" si="1480"/>
        <v>卡卡杜个人护理店（抖店）</v>
      </c>
      <c r="H4578" s="1" t="str">
        <f t="shared" si="1485"/>
        <v>正常订单</v>
      </c>
      <c r="I4578" s="1" t="str">
        <f t="shared" si="1486"/>
        <v>已发货</v>
      </c>
      <c r="J4578" s="1" t="str">
        <f t="shared" si="1491"/>
        <v>3</v>
      </c>
      <c r="K4578" s="1">
        <v>2</v>
      </c>
      <c r="L4578" s="1" t="s">
        <v>22</v>
      </c>
      <c r="M4578" s="1" t="str">
        <f>"江西省 上饶市 信州区 东市街道"</f>
        <v>江西省 上饶市 信州区 东市街道</v>
      </c>
      <c r="N4578" s="1" t="str">
        <f t="shared" si="1481"/>
        <v>凡华云仓-城南圆通-抖音</v>
      </c>
      <c r="O4578" s="5" t="s">
        <v>4606</v>
      </c>
      <c r="P4578" s="6">
        <v>0.35</v>
      </c>
      <c r="Q4578" s="11">
        <v>2.2999999999999998</v>
      </c>
      <c r="R4578" s="11"/>
      <c r="S4578" s="11"/>
      <c r="T4578" s="11"/>
      <c r="U4578" s="11">
        <f t="shared" si="1482"/>
        <v>2.2999999999999998</v>
      </c>
      <c r="W4578">
        <v>2.5</v>
      </c>
      <c r="X4578" s="1" t="s">
        <v>22</v>
      </c>
    </row>
    <row r="4579" spans="1:24" x14ac:dyDescent="0.25">
      <c r="A4579" s="1" t="str">
        <f t="shared" si="1483"/>
        <v>卡卡杜-凤凰仓</v>
      </c>
      <c r="B4579" s="1" t="str">
        <f>"CK2024102119580"</f>
        <v>CK2024102119580</v>
      </c>
      <c r="C4579" s="1" t="str">
        <f>"DD2024102149945"</f>
        <v>DD2024102149945</v>
      </c>
      <c r="D4579" s="1" t="str">
        <f>"CK2024102148050"</f>
        <v>CK2024102148050</v>
      </c>
      <c r="E4579" s="1" t="str">
        <f>"6935284360382256441"</f>
        <v>6935284360382256441</v>
      </c>
      <c r="F4579" s="1" t="str">
        <f t="shared" si="1484"/>
        <v>花都四部-凤凰仓</v>
      </c>
      <c r="G4579" s="1" t="str">
        <f t="shared" si="1480"/>
        <v>卡卡杜个人护理店（抖店）</v>
      </c>
      <c r="H4579" s="1" t="str">
        <f t="shared" si="1485"/>
        <v>正常订单</v>
      </c>
      <c r="I4579" s="1" t="str">
        <f t="shared" si="1486"/>
        <v>已发货</v>
      </c>
      <c r="J4579" s="1" t="str">
        <f t="shared" si="1491"/>
        <v>3</v>
      </c>
      <c r="K4579" s="1">
        <v>2</v>
      </c>
      <c r="L4579" s="1" t="s">
        <v>36</v>
      </c>
      <c r="M4579" s="1" t="str">
        <f>"安徽省 阜阳市 颍东区 向阳街道"</f>
        <v>安徽省 阜阳市 颍东区 向阳街道</v>
      </c>
      <c r="N4579" s="1" t="str">
        <f t="shared" si="1481"/>
        <v>凡华云仓-城南圆通-抖音</v>
      </c>
      <c r="O4579" s="5" t="s">
        <v>4607</v>
      </c>
      <c r="P4579" s="6">
        <v>0.35</v>
      </c>
      <c r="Q4579" s="11">
        <v>2.2999999999999998</v>
      </c>
      <c r="R4579" s="11"/>
      <c r="S4579" s="11"/>
      <c r="T4579" s="11"/>
      <c r="U4579" s="11">
        <f t="shared" si="1482"/>
        <v>2.2999999999999998</v>
      </c>
      <c r="W4579">
        <v>2.5</v>
      </c>
      <c r="X4579" s="1" t="s">
        <v>36</v>
      </c>
    </row>
    <row r="4580" spans="1:24" x14ac:dyDescent="0.25">
      <c r="A4580" s="1" t="str">
        <f t="shared" si="1483"/>
        <v>卡卡杜-凤凰仓</v>
      </c>
      <c r="B4580" s="1" t="str">
        <f>"CK2024102119594"</f>
        <v>CK2024102119594</v>
      </c>
      <c r="C4580" s="1" t="str">
        <f>"DD2024102149960"</f>
        <v>DD2024102149960</v>
      </c>
      <c r="D4580" s="1" t="str">
        <f>"CK2024102148049"</f>
        <v>CK2024102148049</v>
      </c>
      <c r="E4580" s="1" t="str">
        <f>"6935284183990081119"</f>
        <v>6935284183990081119</v>
      </c>
      <c r="F4580" s="1" t="str">
        <f t="shared" si="1484"/>
        <v>花都四部-凤凰仓</v>
      </c>
      <c r="G4580" s="1" t="str">
        <f t="shared" si="1480"/>
        <v>卡卡杜个人护理店（抖店）</v>
      </c>
      <c r="H4580" s="1" t="str">
        <f t="shared" si="1485"/>
        <v>正常订单</v>
      </c>
      <c r="I4580" s="1" t="str">
        <f t="shared" si="1486"/>
        <v>已发货</v>
      </c>
      <c r="J4580" s="1" t="str">
        <f t="shared" si="1491"/>
        <v>3</v>
      </c>
      <c r="K4580" s="1">
        <v>2</v>
      </c>
      <c r="L4580" s="1" t="s">
        <v>18</v>
      </c>
      <c r="M4580" s="1" t="str">
        <f>"广东省 东莞市 东莞市 虎门镇"</f>
        <v>广东省 东莞市 东莞市 虎门镇</v>
      </c>
      <c r="N4580" s="1" t="str">
        <f t="shared" si="1481"/>
        <v>凡华云仓-城南圆通-抖音</v>
      </c>
      <c r="O4580" s="5" t="s">
        <v>4608</v>
      </c>
      <c r="P4580" s="6">
        <v>0.35</v>
      </c>
      <c r="Q4580" s="11">
        <v>2.2999999999999998</v>
      </c>
      <c r="R4580" s="11"/>
      <c r="S4580" s="11"/>
      <c r="T4580" s="11"/>
      <c r="U4580" s="11">
        <f t="shared" si="1482"/>
        <v>2.2999999999999998</v>
      </c>
      <c r="W4580">
        <v>2.5</v>
      </c>
      <c r="X4580" s="1" t="s">
        <v>18</v>
      </c>
    </row>
    <row r="4581" spans="1:24" x14ac:dyDescent="0.25">
      <c r="A4581" s="1" t="str">
        <f t="shared" si="1483"/>
        <v>卡卡杜-凤凰仓</v>
      </c>
      <c r="B4581" s="1" t="str">
        <f>"CK2024102119596"</f>
        <v>CK2024102119596</v>
      </c>
      <c r="C4581" s="1" t="str">
        <f>"DD2024102149961"</f>
        <v>DD2024102149961</v>
      </c>
      <c r="D4581" s="1" t="str">
        <f>"CK2024102148048"</f>
        <v>CK2024102148048</v>
      </c>
      <c r="E4581" s="1" t="str">
        <f>"6935299369274315876"</f>
        <v>6935299369274315876</v>
      </c>
      <c r="F4581" s="1" t="str">
        <f t="shared" si="1484"/>
        <v>花都四部-凤凰仓</v>
      </c>
      <c r="G4581" s="1" t="str">
        <f t="shared" si="1480"/>
        <v>卡卡杜个人护理店（抖店）</v>
      </c>
      <c r="H4581" s="1" t="str">
        <f t="shared" si="1485"/>
        <v>正常订单</v>
      </c>
      <c r="I4581" s="1" t="str">
        <f t="shared" si="1486"/>
        <v>已发货</v>
      </c>
      <c r="J4581" s="1" t="str">
        <f t="shared" si="1491"/>
        <v>3</v>
      </c>
      <c r="K4581" s="1">
        <v>2</v>
      </c>
      <c r="L4581" s="1" t="s">
        <v>105</v>
      </c>
      <c r="M4581" s="1" t="str">
        <f>"北京 北京市 朝阳区 望京街道"</f>
        <v>北京 北京市 朝阳区 望京街道</v>
      </c>
      <c r="N4581" s="1" t="str">
        <f t="shared" si="1481"/>
        <v>凡华云仓-城南圆通-抖音</v>
      </c>
      <c r="O4581" s="5" t="s">
        <v>4609</v>
      </c>
      <c r="P4581" s="6">
        <v>0.35</v>
      </c>
      <c r="Q4581" s="11">
        <v>2.2999999999999998</v>
      </c>
      <c r="R4581" s="11"/>
      <c r="S4581" s="11"/>
      <c r="T4581" s="11"/>
      <c r="U4581" s="11">
        <f t="shared" si="1482"/>
        <v>2.2999999999999998</v>
      </c>
      <c r="W4581">
        <v>2.5</v>
      </c>
      <c r="X4581" s="1" t="s">
        <v>105</v>
      </c>
    </row>
    <row r="4582" spans="1:24" x14ac:dyDescent="0.25">
      <c r="A4582" s="1" t="str">
        <f t="shared" si="1483"/>
        <v>卡卡杜-凤凰仓</v>
      </c>
      <c r="B4582" s="1" t="str">
        <f>"CK2024102119606"</f>
        <v>CK2024102119606</v>
      </c>
      <c r="C4582" s="1" t="str">
        <f>"DD2024102149971"</f>
        <v>DD2024102149971</v>
      </c>
      <c r="D4582" s="1" t="str">
        <f>"CK2024102148047"</f>
        <v>CK2024102148047</v>
      </c>
      <c r="E4582" s="1" t="str">
        <f>"6935281693639840945"</f>
        <v>6935281693639840945</v>
      </c>
      <c r="F4582" s="1" t="str">
        <f t="shared" si="1484"/>
        <v>花都四部-凤凰仓</v>
      </c>
      <c r="G4582" s="1" t="str">
        <f t="shared" si="1480"/>
        <v>卡卡杜个人护理店（抖店）</v>
      </c>
      <c r="H4582" s="1" t="str">
        <f t="shared" si="1485"/>
        <v>正常订单</v>
      </c>
      <c r="I4582" s="1" t="str">
        <f t="shared" si="1486"/>
        <v>已发货</v>
      </c>
      <c r="J4582" s="1" t="str">
        <f t="shared" si="1491"/>
        <v>3</v>
      </c>
      <c r="K4582" s="1">
        <v>2</v>
      </c>
      <c r="L4582" s="1" t="s">
        <v>18</v>
      </c>
      <c r="M4582" s="1" t="str">
        <f>"广东省 中山市 中山市 黄圃镇"</f>
        <v>广东省 中山市 中山市 黄圃镇</v>
      </c>
      <c r="N4582" s="1" t="str">
        <f t="shared" si="1481"/>
        <v>凡华云仓-城南圆通-抖音</v>
      </c>
      <c r="O4582" s="5" t="s">
        <v>4610</v>
      </c>
      <c r="P4582" s="6">
        <v>0.35</v>
      </c>
      <c r="Q4582" s="11">
        <v>2.2999999999999998</v>
      </c>
      <c r="R4582" s="11"/>
      <c r="S4582" s="11"/>
      <c r="T4582" s="11"/>
      <c r="U4582" s="11">
        <f t="shared" si="1482"/>
        <v>2.2999999999999998</v>
      </c>
      <c r="W4582">
        <v>2.5</v>
      </c>
      <c r="X4582" s="1" t="s">
        <v>18</v>
      </c>
    </row>
    <row r="4583" spans="1:24" x14ac:dyDescent="0.25">
      <c r="A4583" s="1" t="str">
        <f t="shared" si="1483"/>
        <v>卡卡杜-凤凰仓</v>
      </c>
      <c r="B4583" s="1" t="str">
        <f>"CK2024102119607"</f>
        <v>CK2024102119607</v>
      </c>
      <c r="C4583" s="1" t="str">
        <f>"DD2024102149972"</f>
        <v>DD2024102149972</v>
      </c>
      <c r="D4583" s="1" t="str">
        <f>"CK2024102148046"</f>
        <v>CK2024102148046</v>
      </c>
      <c r="E4583" s="1" t="str">
        <f>"6935290203965429375"</f>
        <v>6935290203965429375</v>
      </c>
      <c r="F4583" s="1" t="str">
        <f t="shared" si="1484"/>
        <v>花都四部-凤凰仓</v>
      </c>
      <c r="G4583" s="1" t="str">
        <f t="shared" si="1480"/>
        <v>卡卡杜个人护理店（抖店）</v>
      </c>
      <c r="H4583" s="1" t="str">
        <f t="shared" si="1485"/>
        <v>正常订单</v>
      </c>
      <c r="I4583" s="1" t="str">
        <f t="shared" si="1486"/>
        <v>已发货</v>
      </c>
      <c r="J4583" s="1" t="str">
        <f t="shared" si="1491"/>
        <v>3</v>
      </c>
      <c r="K4583" s="1">
        <v>2</v>
      </c>
      <c r="L4583" s="1" t="s">
        <v>18</v>
      </c>
      <c r="M4583" s="1" t="str">
        <f>"广东省 广州市 南沙区 黄阁镇"</f>
        <v>广东省 广州市 南沙区 黄阁镇</v>
      </c>
      <c r="N4583" s="1" t="str">
        <f t="shared" si="1481"/>
        <v>凡华云仓-城南圆通-抖音</v>
      </c>
      <c r="O4583" s="5" t="s">
        <v>4611</v>
      </c>
      <c r="P4583" s="6">
        <v>0.35</v>
      </c>
      <c r="Q4583" s="11">
        <v>2.2999999999999998</v>
      </c>
      <c r="R4583" s="11"/>
      <c r="S4583" s="11"/>
      <c r="T4583" s="11"/>
      <c r="U4583" s="11">
        <f t="shared" si="1482"/>
        <v>2.2999999999999998</v>
      </c>
      <c r="W4583">
        <v>2.5</v>
      </c>
      <c r="X4583" s="1" t="s">
        <v>18</v>
      </c>
    </row>
    <row r="4584" spans="1:24" x14ac:dyDescent="0.25">
      <c r="A4584" s="1" t="str">
        <f t="shared" si="1483"/>
        <v>卡卡杜-凤凰仓</v>
      </c>
      <c r="B4584" s="1" t="str">
        <f>"CK2024102119608"</f>
        <v>CK2024102119608</v>
      </c>
      <c r="C4584" s="1" t="str">
        <f>"DD2024102149974"</f>
        <v>DD2024102149974</v>
      </c>
      <c r="D4584" s="1" t="str">
        <f>"CK2024102148045"</f>
        <v>CK2024102148045</v>
      </c>
      <c r="E4584" s="1" t="str">
        <f>"6935287877956605254"</f>
        <v>6935287877956605254</v>
      </c>
      <c r="F4584" s="1" t="str">
        <f t="shared" si="1484"/>
        <v>花都四部-凤凰仓</v>
      </c>
      <c r="G4584" s="1" t="str">
        <f t="shared" si="1480"/>
        <v>卡卡杜个人护理店（抖店）</v>
      </c>
      <c r="H4584" s="1" t="str">
        <f t="shared" si="1485"/>
        <v>正常订单</v>
      </c>
      <c r="I4584" s="1" t="str">
        <f t="shared" si="1486"/>
        <v>已发货</v>
      </c>
      <c r="J4584" s="1" t="str">
        <f t="shared" si="1491"/>
        <v>3</v>
      </c>
      <c r="K4584" s="1">
        <v>2</v>
      </c>
      <c r="L4584" s="1" t="s">
        <v>60</v>
      </c>
      <c r="M4584" s="1" t="str">
        <f>"云南省 昆明市 盘龙区 阿子营街道"</f>
        <v>云南省 昆明市 盘龙区 阿子营街道</v>
      </c>
      <c r="N4584" s="1" t="str">
        <f t="shared" si="1481"/>
        <v>凡华云仓-城南圆通-抖音</v>
      </c>
      <c r="O4584" s="5" t="s">
        <v>4612</v>
      </c>
      <c r="P4584" s="6">
        <v>0.35</v>
      </c>
      <c r="Q4584" s="11">
        <v>2.2999999999999998</v>
      </c>
      <c r="R4584" s="11"/>
      <c r="S4584" s="11"/>
      <c r="T4584" s="11"/>
      <c r="U4584" s="11">
        <f t="shared" si="1482"/>
        <v>2.2999999999999998</v>
      </c>
      <c r="W4584">
        <v>2.5</v>
      </c>
      <c r="X4584" s="1" t="s">
        <v>60</v>
      </c>
    </row>
    <row r="4585" spans="1:24" x14ac:dyDescent="0.25">
      <c r="A4585" s="1" t="str">
        <f t="shared" si="1483"/>
        <v>卡卡杜-凤凰仓</v>
      </c>
      <c r="B4585" s="1" t="str">
        <f>"CK2024102119611"</f>
        <v>CK2024102119611</v>
      </c>
      <c r="C4585" s="1" t="str">
        <f>"DD2024102149976"</f>
        <v>DD2024102149976</v>
      </c>
      <c r="D4585" s="1" t="str">
        <f>"CK2024102148044"</f>
        <v>CK2024102148044</v>
      </c>
      <c r="E4585" s="1" t="str">
        <f>"6935268186881135929"</f>
        <v>6935268186881135929</v>
      </c>
      <c r="F4585" s="1" t="str">
        <f t="shared" si="1484"/>
        <v>花都四部-凤凰仓</v>
      </c>
      <c r="G4585" s="1" t="str">
        <f t="shared" si="1480"/>
        <v>卡卡杜个人护理店（抖店）</v>
      </c>
      <c r="H4585" s="1" t="str">
        <f t="shared" si="1485"/>
        <v>正常订单</v>
      </c>
      <c r="I4585" s="1" t="str">
        <f t="shared" si="1486"/>
        <v>已发货</v>
      </c>
      <c r="J4585" s="1" t="str">
        <f t="shared" si="1491"/>
        <v>3</v>
      </c>
      <c r="K4585" s="1">
        <v>2</v>
      </c>
      <c r="L4585" s="1" t="s">
        <v>20</v>
      </c>
      <c r="M4585" s="1" t="str">
        <f>"浙江省 温州市 苍南县 灵溪镇"</f>
        <v>浙江省 温州市 苍南县 灵溪镇</v>
      </c>
      <c r="N4585" s="1" t="str">
        <f t="shared" si="1481"/>
        <v>凡华云仓-城南圆通-抖音</v>
      </c>
      <c r="O4585" s="5" t="s">
        <v>4613</v>
      </c>
      <c r="P4585" s="6">
        <v>0.35</v>
      </c>
      <c r="Q4585" s="11">
        <v>2.2999999999999998</v>
      </c>
      <c r="R4585" s="11"/>
      <c r="S4585" s="11"/>
      <c r="T4585" s="11"/>
      <c r="U4585" s="11">
        <f t="shared" si="1482"/>
        <v>2.2999999999999998</v>
      </c>
      <c r="W4585">
        <v>2.5</v>
      </c>
      <c r="X4585" s="1" t="s">
        <v>20</v>
      </c>
    </row>
    <row r="4586" spans="1:24" x14ac:dyDescent="0.25">
      <c r="A4586" s="1" t="str">
        <f t="shared" si="1483"/>
        <v>卡卡杜-凤凰仓</v>
      </c>
      <c r="B4586" s="1" t="str">
        <f>"CK2024102119612"</f>
        <v>CK2024102119612</v>
      </c>
      <c r="C4586" s="1" t="str">
        <f>"DD2024102149977"</f>
        <v>DD2024102149977</v>
      </c>
      <c r="D4586" s="1" t="str">
        <f>"CK2024102148043"</f>
        <v>CK2024102148043</v>
      </c>
      <c r="E4586" s="1" t="str">
        <f>"6935283887481951487"</f>
        <v>6935283887481951487</v>
      </c>
      <c r="F4586" s="1" t="str">
        <f t="shared" si="1484"/>
        <v>花都四部-凤凰仓</v>
      </c>
      <c r="G4586" s="1" t="str">
        <f t="shared" si="1480"/>
        <v>卡卡杜个人护理店（抖店）</v>
      </c>
      <c r="H4586" s="1" t="str">
        <f t="shared" si="1485"/>
        <v>正常订单</v>
      </c>
      <c r="I4586" s="1" t="str">
        <f t="shared" si="1486"/>
        <v>已发货</v>
      </c>
      <c r="J4586" s="1" t="str">
        <f t="shared" si="1491"/>
        <v>3</v>
      </c>
      <c r="K4586" s="1">
        <v>2</v>
      </c>
      <c r="L4586" s="1" t="s">
        <v>32</v>
      </c>
      <c r="M4586" s="1" t="str">
        <f>"陕西省 铜川市 耀州区 永安路街道"</f>
        <v>陕西省 铜川市 耀州区 永安路街道</v>
      </c>
      <c r="N4586" s="1" t="str">
        <f t="shared" si="1481"/>
        <v>凡华云仓-城南圆通-抖音</v>
      </c>
      <c r="O4586" s="5" t="s">
        <v>4614</v>
      </c>
      <c r="P4586" s="6">
        <v>0.35</v>
      </c>
      <c r="Q4586" s="11">
        <v>2.2999999999999998</v>
      </c>
      <c r="R4586" s="11"/>
      <c r="S4586" s="11"/>
      <c r="T4586" s="11"/>
      <c r="U4586" s="11">
        <f t="shared" si="1482"/>
        <v>2.2999999999999998</v>
      </c>
      <c r="W4586">
        <v>2.5</v>
      </c>
      <c r="X4586" s="1" t="s">
        <v>32</v>
      </c>
    </row>
    <row r="4587" spans="1:24" x14ac:dyDescent="0.25">
      <c r="A4587" s="1" t="str">
        <f t="shared" si="1483"/>
        <v>卡卡杜-凤凰仓</v>
      </c>
      <c r="B4587" s="1" t="str">
        <f>"CK2024102119543"</f>
        <v>CK2024102119543</v>
      </c>
      <c r="C4587" s="1" t="str">
        <f>"DD2024102149908"</f>
        <v>DD2024102149908</v>
      </c>
      <c r="D4587" s="1" t="str">
        <f>"CK2024102148042"</f>
        <v>CK2024102148042</v>
      </c>
      <c r="E4587" s="1" t="str">
        <f>"2429502002171558"</f>
        <v>2429502002171558</v>
      </c>
      <c r="F4587" s="1" t="str">
        <f t="shared" si="1484"/>
        <v>花都四部-凤凰仓</v>
      </c>
      <c r="G4587" s="1" t="str">
        <f t="shared" ref="G4587:G4613" si="1492">"卡卡杜佳旺专卖店（快手店）"</f>
        <v>卡卡杜佳旺专卖店（快手店）</v>
      </c>
      <c r="H4587" s="1" t="str">
        <f t="shared" si="1485"/>
        <v>正常订单</v>
      </c>
      <c r="I4587" s="1" t="str">
        <f t="shared" si="1486"/>
        <v>已发货</v>
      </c>
      <c r="J4587" s="1" t="str">
        <f t="shared" si="1491"/>
        <v>3</v>
      </c>
      <c r="K4587" s="1">
        <v>2</v>
      </c>
      <c r="L4587" s="1" t="s">
        <v>710</v>
      </c>
      <c r="M4587" s="1" t="str">
        <f>"上海市 上海市 徐汇区 徐家汇街道"</f>
        <v>上海市 上海市 徐汇区 徐家汇街道</v>
      </c>
      <c r="N4587" s="1" t="str">
        <f t="shared" ref="N4587:N4613" si="1493">"凡华云仓-城南圆通-快手"</f>
        <v>凡华云仓-城南圆通-快手</v>
      </c>
      <c r="O4587" s="5" t="s">
        <v>4615</v>
      </c>
      <c r="P4587" s="6">
        <v>0.35</v>
      </c>
      <c r="Q4587" s="11">
        <v>2.2999999999999998</v>
      </c>
      <c r="R4587" s="11"/>
      <c r="S4587" s="11"/>
      <c r="T4587" s="11"/>
      <c r="U4587" s="11">
        <f t="shared" si="1482"/>
        <v>2.2999999999999998</v>
      </c>
      <c r="W4587">
        <v>2.5</v>
      </c>
      <c r="X4587" s="1" t="s">
        <v>710</v>
      </c>
    </row>
    <row r="4588" spans="1:24" x14ac:dyDescent="0.25">
      <c r="A4588" s="1" t="str">
        <f t="shared" si="1483"/>
        <v>卡卡杜-凤凰仓</v>
      </c>
      <c r="B4588" s="1" t="str">
        <f>"CK2024102119550"</f>
        <v>CK2024102119550</v>
      </c>
      <c r="C4588" s="1" t="str">
        <f>"DD2024102149915"</f>
        <v>DD2024102149915</v>
      </c>
      <c r="D4588" s="1" t="str">
        <f>"CK2024102148041"</f>
        <v>CK2024102148041</v>
      </c>
      <c r="E4588" s="1" t="str">
        <f>"2429502093395618"</f>
        <v>2429502093395618</v>
      </c>
      <c r="F4588" s="1" t="str">
        <f t="shared" si="1484"/>
        <v>花都四部-凤凰仓</v>
      </c>
      <c r="G4588" s="1" t="str">
        <f t="shared" si="1492"/>
        <v>卡卡杜佳旺专卖店（快手店）</v>
      </c>
      <c r="H4588" s="1" t="str">
        <f t="shared" si="1485"/>
        <v>正常订单</v>
      </c>
      <c r="I4588" s="1" t="str">
        <f t="shared" si="1486"/>
        <v>已发货</v>
      </c>
      <c r="J4588" s="1" t="str">
        <f t="shared" si="1491"/>
        <v>3</v>
      </c>
      <c r="K4588" s="1">
        <v>2</v>
      </c>
      <c r="L4588" s="1" t="s">
        <v>1495</v>
      </c>
      <c r="M4588" s="1" t="str">
        <f>"天津市 天津市 宝坻区 大白庄镇"</f>
        <v>天津市 天津市 宝坻区 大白庄镇</v>
      </c>
      <c r="N4588" s="1" t="str">
        <f t="shared" si="1493"/>
        <v>凡华云仓-城南圆通-快手</v>
      </c>
      <c r="O4588" s="5" t="s">
        <v>4616</v>
      </c>
      <c r="P4588" s="6">
        <v>0.35</v>
      </c>
      <c r="Q4588" s="11">
        <v>2.2999999999999998</v>
      </c>
      <c r="R4588" s="11"/>
      <c r="S4588" s="11"/>
      <c r="T4588" s="11"/>
      <c r="U4588" s="11">
        <f t="shared" si="1482"/>
        <v>2.2999999999999998</v>
      </c>
      <c r="W4588">
        <v>2.5</v>
      </c>
      <c r="X4588" s="1" t="s">
        <v>1495</v>
      </c>
    </row>
    <row r="4589" spans="1:24" x14ac:dyDescent="0.25">
      <c r="A4589" s="1" t="str">
        <f t="shared" si="1483"/>
        <v>卡卡杜-凤凰仓</v>
      </c>
      <c r="B4589" s="1" t="str">
        <f>"CK2024102119572"</f>
        <v>CK2024102119572</v>
      </c>
      <c r="C4589" s="1" t="str">
        <f>"DD2024102149936"</f>
        <v>DD2024102149936</v>
      </c>
      <c r="D4589" s="1" t="str">
        <f>"CK2024102148040"</f>
        <v>CK2024102148040</v>
      </c>
      <c r="E4589" s="1" t="str">
        <f>"2429501849321605"</f>
        <v>2429501849321605</v>
      </c>
      <c r="F4589" s="1" t="str">
        <f t="shared" si="1484"/>
        <v>花都四部-凤凰仓</v>
      </c>
      <c r="G4589" s="1" t="str">
        <f t="shared" si="1492"/>
        <v>卡卡杜佳旺专卖店（快手店）</v>
      </c>
      <c r="H4589" s="1" t="str">
        <f t="shared" si="1485"/>
        <v>正常订单</v>
      </c>
      <c r="I4589" s="1" t="str">
        <f t="shared" si="1486"/>
        <v>已发货</v>
      </c>
      <c r="J4589" s="1" t="str">
        <f t="shared" si="1491"/>
        <v>3</v>
      </c>
      <c r="K4589" s="1">
        <v>2</v>
      </c>
      <c r="L4589" s="1" t="s">
        <v>18</v>
      </c>
      <c r="M4589" s="1" t="str">
        <f>"广东省 东莞市 虎门镇 虎门镇"</f>
        <v>广东省 东莞市 虎门镇 虎门镇</v>
      </c>
      <c r="N4589" s="1" t="str">
        <f t="shared" si="1493"/>
        <v>凡华云仓-城南圆通-快手</v>
      </c>
      <c r="O4589" s="5" t="s">
        <v>4617</v>
      </c>
      <c r="P4589" s="6">
        <v>0.35</v>
      </c>
      <c r="Q4589" s="11">
        <v>2.2999999999999998</v>
      </c>
      <c r="R4589" s="11"/>
      <c r="S4589" s="11"/>
      <c r="T4589" s="11"/>
      <c r="U4589" s="11">
        <f t="shared" si="1482"/>
        <v>2.2999999999999998</v>
      </c>
      <c r="W4589">
        <v>2.5</v>
      </c>
      <c r="X4589" s="1" t="s">
        <v>18</v>
      </c>
    </row>
    <row r="4590" spans="1:24" x14ac:dyDescent="0.25">
      <c r="A4590" s="1" t="str">
        <f t="shared" si="1483"/>
        <v>卡卡杜-凤凰仓</v>
      </c>
      <c r="B4590" s="1" t="str">
        <f>"CK2024102119575"</f>
        <v>CK2024102119575</v>
      </c>
      <c r="C4590" s="1" t="str">
        <f>"DD2024102149940"</f>
        <v>DD2024102149940</v>
      </c>
      <c r="D4590" s="1" t="str">
        <f>"CK2024102148039"</f>
        <v>CK2024102148039</v>
      </c>
      <c r="E4590" s="1" t="str">
        <f>"2429501923632795"</f>
        <v>2429501923632795</v>
      </c>
      <c r="F4590" s="1" t="str">
        <f t="shared" si="1484"/>
        <v>花都四部-凤凰仓</v>
      </c>
      <c r="G4590" s="1" t="str">
        <f t="shared" si="1492"/>
        <v>卡卡杜佳旺专卖店（快手店）</v>
      </c>
      <c r="H4590" s="1" t="str">
        <f t="shared" si="1485"/>
        <v>正常订单</v>
      </c>
      <c r="I4590" s="1" t="str">
        <f t="shared" si="1486"/>
        <v>已发货</v>
      </c>
      <c r="J4590" s="1" t="str">
        <f t="shared" si="1491"/>
        <v>3</v>
      </c>
      <c r="K4590" s="1">
        <v>2</v>
      </c>
      <c r="L4590" s="1" t="s">
        <v>80</v>
      </c>
      <c r="M4590" s="1" t="str">
        <f>"河南省 安阳市 北关区 柏庄镇"</f>
        <v>河南省 安阳市 北关区 柏庄镇</v>
      </c>
      <c r="N4590" s="1" t="str">
        <f t="shared" si="1493"/>
        <v>凡华云仓-城南圆通-快手</v>
      </c>
      <c r="O4590" s="5" t="s">
        <v>4618</v>
      </c>
      <c r="P4590" s="6">
        <v>0.35</v>
      </c>
      <c r="Q4590" s="11">
        <v>2.2999999999999998</v>
      </c>
      <c r="R4590" s="11"/>
      <c r="S4590" s="11"/>
      <c r="T4590" s="11"/>
      <c r="U4590" s="11">
        <f t="shared" si="1482"/>
        <v>2.2999999999999998</v>
      </c>
      <c r="W4590">
        <v>2.5</v>
      </c>
      <c r="X4590" s="1" t="s">
        <v>80</v>
      </c>
    </row>
    <row r="4591" spans="1:24" x14ac:dyDescent="0.25">
      <c r="A4591" s="1" t="str">
        <f t="shared" si="1483"/>
        <v>卡卡杜-凤凰仓</v>
      </c>
      <c r="B4591" s="1" t="str">
        <f>"CK2024102119578"</f>
        <v>CK2024102119578</v>
      </c>
      <c r="C4591" s="1" t="str">
        <f>"DD2024102149944"</f>
        <v>DD2024102149944</v>
      </c>
      <c r="D4591" s="1" t="str">
        <f>"CK2024102148038"</f>
        <v>CK2024102148038</v>
      </c>
      <c r="E4591" s="1" t="str">
        <f>"2429502005185631"</f>
        <v>2429502005185631</v>
      </c>
      <c r="F4591" s="1" t="str">
        <f t="shared" si="1484"/>
        <v>花都四部-凤凰仓</v>
      </c>
      <c r="G4591" s="1" t="str">
        <f t="shared" si="1492"/>
        <v>卡卡杜佳旺专卖店（快手店）</v>
      </c>
      <c r="H4591" s="1" t="str">
        <f t="shared" si="1485"/>
        <v>正常订单</v>
      </c>
      <c r="I4591" s="1" t="str">
        <f t="shared" si="1486"/>
        <v>已发货</v>
      </c>
      <c r="J4591" s="1" t="str">
        <f t="shared" si="1491"/>
        <v>3</v>
      </c>
      <c r="K4591" s="1">
        <v>2</v>
      </c>
      <c r="L4591" s="1" t="s">
        <v>32</v>
      </c>
      <c r="M4591" s="1" t="str">
        <f>"陕西省 咸阳市 渭城区 周陵街道"</f>
        <v>陕西省 咸阳市 渭城区 周陵街道</v>
      </c>
      <c r="N4591" s="1" t="str">
        <f t="shared" si="1493"/>
        <v>凡华云仓-城南圆通-快手</v>
      </c>
      <c r="O4591" s="5" t="s">
        <v>4619</v>
      </c>
      <c r="P4591" s="6">
        <v>0.35</v>
      </c>
      <c r="Q4591" s="11">
        <v>2.2999999999999998</v>
      </c>
      <c r="R4591" s="11"/>
      <c r="S4591" s="11"/>
      <c r="T4591" s="11"/>
      <c r="U4591" s="11">
        <f t="shared" si="1482"/>
        <v>2.2999999999999998</v>
      </c>
      <c r="W4591">
        <v>2.5</v>
      </c>
      <c r="X4591" s="1" t="s">
        <v>32</v>
      </c>
    </row>
    <row r="4592" spans="1:24" x14ac:dyDescent="0.25">
      <c r="A4592" s="1" t="str">
        <f t="shared" si="1483"/>
        <v>卡卡杜-凤凰仓</v>
      </c>
      <c r="B4592" s="1" t="str">
        <f>"CK2024102119581"</f>
        <v>CK2024102119581</v>
      </c>
      <c r="C4592" s="1" t="str">
        <f>"DD2024102149946"</f>
        <v>DD2024102149946</v>
      </c>
      <c r="D4592" s="1" t="str">
        <f>"CK2024102148037"</f>
        <v>CK2024102148037</v>
      </c>
      <c r="E4592" s="1" t="str">
        <f>"2429501761155570"</f>
        <v>2429501761155570</v>
      </c>
      <c r="F4592" s="1" t="str">
        <f t="shared" si="1484"/>
        <v>花都四部-凤凰仓</v>
      </c>
      <c r="G4592" s="1" t="str">
        <f t="shared" si="1492"/>
        <v>卡卡杜佳旺专卖店（快手店）</v>
      </c>
      <c r="H4592" s="1" t="str">
        <f t="shared" si="1485"/>
        <v>正常订单</v>
      </c>
      <c r="I4592" s="1" t="str">
        <f t="shared" si="1486"/>
        <v>已发货</v>
      </c>
      <c r="J4592" s="1" t="str">
        <f t="shared" si="1491"/>
        <v>3</v>
      </c>
      <c r="K4592" s="1">
        <v>2</v>
      </c>
      <c r="L4592" s="1" t="s">
        <v>13</v>
      </c>
      <c r="M4592" s="1" t="str">
        <f>"江苏省 苏州市 吴中区 郭巷街道"</f>
        <v>江苏省 苏州市 吴中区 郭巷街道</v>
      </c>
      <c r="N4592" s="1" t="str">
        <f t="shared" si="1493"/>
        <v>凡华云仓-城南圆通-快手</v>
      </c>
      <c r="O4592" s="5" t="s">
        <v>4620</v>
      </c>
      <c r="P4592" s="6">
        <v>0.35</v>
      </c>
      <c r="Q4592" s="11">
        <v>2.2999999999999998</v>
      </c>
      <c r="R4592" s="11"/>
      <c r="S4592" s="11"/>
      <c r="T4592" s="11"/>
      <c r="U4592" s="11">
        <f t="shared" si="1482"/>
        <v>2.2999999999999998</v>
      </c>
      <c r="W4592">
        <v>2.5</v>
      </c>
      <c r="X4592" s="1" t="s">
        <v>13</v>
      </c>
    </row>
    <row r="4593" spans="1:24" x14ac:dyDescent="0.25">
      <c r="A4593" s="1" t="str">
        <f t="shared" si="1483"/>
        <v>卡卡杜-凤凰仓</v>
      </c>
      <c r="B4593" s="1" t="str">
        <f>"CK2024102119583"</f>
        <v>CK2024102119583</v>
      </c>
      <c r="C4593" s="1" t="str">
        <f>"DD2024102149947"</f>
        <v>DD2024102149947</v>
      </c>
      <c r="D4593" s="1" t="str">
        <f>"CK2024102148036"</f>
        <v>CK2024102148036</v>
      </c>
      <c r="E4593" s="1" t="str">
        <f>"2429502162152951"</f>
        <v>2429502162152951</v>
      </c>
      <c r="F4593" s="1" t="str">
        <f t="shared" si="1484"/>
        <v>花都四部-凤凰仓</v>
      </c>
      <c r="G4593" s="1" t="str">
        <f t="shared" si="1492"/>
        <v>卡卡杜佳旺专卖店（快手店）</v>
      </c>
      <c r="H4593" s="1" t="str">
        <f t="shared" si="1485"/>
        <v>正常订单</v>
      </c>
      <c r="I4593" s="1" t="str">
        <f t="shared" si="1486"/>
        <v>已发货</v>
      </c>
      <c r="J4593" s="1" t="str">
        <f t="shared" si="1491"/>
        <v>3</v>
      </c>
      <c r="K4593" s="1">
        <v>3</v>
      </c>
      <c r="L4593" s="1" t="s">
        <v>13</v>
      </c>
      <c r="M4593" s="1" t="str">
        <f>"江苏省 南京市 溧水区 永阳街道"</f>
        <v>江苏省 南京市 溧水区 永阳街道</v>
      </c>
      <c r="N4593" s="1" t="str">
        <f t="shared" si="1493"/>
        <v>凡华云仓-城南圆通-快手</v>
      </c>
      <c r="O4593" s="5" t="s">
        <v>4621</v>
      </c>
      <c r="P4593" s="6">
        <v>0.34</v>
      </c>
      <c r="Q4593" s="11">
        <v>2.2999999999999998</v>
      </c>
      <c r="R4593" s="11"/>
      <c r="S4593" s="11"/>
      <c r="T4593" s="11"/>
      <c r="U4593" s="11">
        <f t="shared" si="1482"/>
        <v>2.2999999999999998</v>
      </c>
      <c r="W4593">
        <v>2.5</v>
      </c>
      <c r="X4593" s="1" t="s">
        <v>13</v>
      </c>
    </row>
    <row r="4594" spans="1:24" x14ac:dyDescent="0.25">
      <c r="A4594" s="1" t="str">
        <f t="shared" si="1483"/>
        <v>卡卡杜-凤凰仓</v>
      </c>
      <c r="B4594" s="1" t="str">
        <f>"CK2024102119584"</f>
        <v>CK2024102119584</v>
      </c>
      <c r="C4594" s="1" t="str">
        <f>"DD2024102149948"</f>
        <v>DD2024102149948</v>
      </c>
      <c r="D4594" s="1" t="str">
        <f>"CK2024102148035"</f>
        <v>CK2024102148035</v>
      </c>
      <c r="E4594" s="1" t="str">
        <f>"2429501601168982"</f>
        <v>2429501601168982</v>
      </c>
      <c r="F4594" s="1" t="str">
        <f t="shared" si="1484"/>
        <v>花都四部-凤凰仓</v>
      </c>
      <c r="G4594" s="1" t="str">
        <f t="shared" si="1492"/>
        <v>卡卡杜佳旺专卖店（快手店）</v>
      </c>
      <c r="H4594" s="1" t="str">
        <f t="shared" si="1485"/>
        <v>正常订单</v>
      </c>
      <c r="I4594" s="1" t="str">
        <f t="shared" si="1486"/>
        <v>已发货</v>
      </c>
      <c r="J4594" s="1" t="str">
        <f>"5"</f>
        <v>5</v>
      </c>
      <c r="K4594" s="1">
        <v>2</v>
      </c>
      <c r="L4594" s="1" t="s">
        <v>18</v>
      </c>
      <c r="M4594" s="1" t="str">
        <f>"广东省 惠州市 惠阳区 镇隆镇"</f>
        <v>广东省 惠州市 惠阳区 镇隆镇</v>
      </c>
      <c r="N4594" s="1" t="str">
        <f t="shared" si="1493"/>
        <v>凡华云仓-城南圆通-快手</v>
      </c>
      <c r="O4594" s="5" t="s">
        <v>4622</v>
      </c>
      <c r="P4594" s="6">
        <v>0.59</v>
      </c>
      <c r="Q4594" s="11">
        <f>CEILING(P4594-0.5,0.1)*10*0.15+2.3</f>
        <v>2.4499999999999997</v>
      </c>
      <c r="R4594" s="11"/>
      <c r="S4594" s="11"/>
      <c r="T4594" s="11"/>
      <c r="U4594" s="11">
        <f t="shared" si="1482"/>
        <v>2.4499999999999997</v>
      </c>
      <c r="V4594" t="s">
        <v>15</v>
      </c>
      <c r="W4594">
        <v>2.4500000000000002</v>
      </c>
      <c r="X4594" s="1" t="s">
        <v>18</v>
      </c>
    </row>
    <row r="4595" spans="1:24" x14ac:dyDescent="0.25">
      <c r="A4595" s="1" t="str">
        <f t="shared" si="1483"/>
        <v>卡卡杜-凤凰仓</v>
      </c>
      <c r="B4595" s="1" t="str">
        <f>"CK2024102119585"</f>
        <v>CK2024102119585</v>
      </c>
      <c r="C4595" s="1" t="str">
        <f>"DD2024102149949"</f>
        <v>DD2024102149949</v>
      </c>
      <c r="D4595" s="1" t="str">
        <f>"CK2024102148034"</f>
        <v>CK2024102148034</v>
      </c>
      <c r="E4595" s="1" t="str">
        <f>"2429502165344951"</f>
        <v>2429502165344951</v>
      </c>
      <c r="F4595" s="1" t="str">
        <f t="shared" si="1484"/>
        <v>花都四部-凤凰仓</v>
      </c>
      <c r="G4595" s="1" t="str">
        <f t="shared" si="1492"/>
        <v>卡卡杜佳旺专卖店（快手店）</v>
      </c>
      <c r="H4595" s="1" t="str">
        <f t="shared" si="1485"/>
        <v>正常订单</v>
      </c>
      <c r="I4595" s="1" t="str">
        <f t="shared" si="1486"/>
        <v>已发货</v>
      </c>
      <c r="J4595" s="1" t="str">
        <f t="shared" ref="J4595:J4601" si="1494">"3"</f>
        <v>3</v>
      </c>
      <c r="K4595" s="1">
        <v>3</v>
      </c>
      <c r="L4595" s="1" t="s">
        <v>1099</v>
      </c>
      <c r="M4595" s="1" t="str">
        <f>"重庆市 重庆市 九龙坡区 石坪桥街道"</f>
        <v>重庆市 重庆市 九龙坡区 石坪桥街道</v>
      </c>
      <c r="N4595" s="1" t="str">
        <f t="shared" si="1493"/>
        <v>凡华云仓-城南圆通-快手</v>
      </c>
      <c r="O4595" s="5" t="s">
        <v>4623</v>
      </c>
      <c r="P4595" s="6">
        <v>0.34</v>
      </c>
      <c r="Q4595" s="11">
        <v>2.2999999999999998</v>
      </c>
      <c r="R4595" s="11"/>
      <c r="S4595" s="11"/>
      <c r="T4595" s="11"/>
      <c r="U4595" s="11">
        <f t="shared" si="1482"/>
        <v>2.2999999999999998</v>
      </c>
      <c r="W4595">
        <v>2.5</v>
      </c>
      <c r="X4595" s="1" t="s">
        <v>1099</v>
      </c>
    </row>
    <row r="4596" spans="1:24" x14ac:dyDescent="0.25">
      <c r="A4596" s="1" t="str">
        <f t="shared" si="1483"/>
        <v>卡卡杜-凤凰仓</v>
      </c>
      <c r="B4596" s="1" t="str">
        <f>"CK2024102119586"</f>
        <v>CK2024102119586</v>
      </c>
      <c r="C4596" s="1" t="str">
        <f>"DD2024102149950"</f>
        <v>DD2024102149950</v>
      </c>
      <c r="D4596" s="1" t="str">
        <f>"CK2024102148033"</f>
        <v>CK2024102148033</v>
      </c>
      <c r="E4596" s="1" t="str">
        <f>"2429501604427951"</f>
        <v>2429501604427951</v>
      </c>
      <c r="F4596" s="1" t="str">
        <f t="shared" si="1484"/>
        <v>花都四部-凤凰仓</v>
      </c>
      <c r="G4596" s="1" t="str">
        <f t="shared" si="1492"/>
        <v>卡卡杜佳旺专卖店（快手店）</v>
      </c>
      <c r="H4596" s="1" t="str">
        <f t="shared" si="1485"/>
        <v>正常订单</v>
      </c>
      <c r="I4596" s="1" t="str">
        <f t="shared" si="1486"/>
        <v>已发货</v>
      </c>
      <c r="J4596" s="1" t="str">
        <f t="shared" si="1494"/>
        <v>3</v>
      </c>
      <c r="K4596" s="1">
        <v>2</v>
      </c>
      <c r="L4596" s="1" t="s">
        <v>109</v>
      </c>
      <c r="M4596" s="1" t="str">
        <f>"山西省 阳泉市 平定县 冠山镇"</f>
        <v>山西省 阳泉市 平定县 冠山镇</v>
      </c>
      <c r="N4596" s="1" t="str">
        <f t="shared" si="1493"/>
        <v>凡华云仓-城南圆通-快手</v>
      </c>
      <c r="O4596" s="5" t="s">
        <v>4624</v>
      </c>
      <c r="P4596" s="6">
        <v>0.35</v>
      </c>
      <c r="Q4596" s="11">
        <v>2.2999999999999998</v>
      </c>
      <c r="R4596" s="11"/>
      <c r="S4596" s="11"/>
      <c r="T4596" s="11"/>
      <c r="U4596" s="11">
        <f t="shared" si="1482"/>
        <v>2.2999999999999998</v>
      </c>
      <c r="W4596">
        <v>2.5</v>
      </c>
      <c r="X4596" s="1" t="s">
        <v>109</v>
      </c>
    </row>
    <row r="4597" spans="1:24" x14ac:dyDescent="0.25">
      <c r="A4597" s="1" t="str">
        <f t="shared" si="1483"/>
        <v>卡卡杜-凤凰仓</v>
      </c>
      <c r="B4597" s="1" t="str">
        <f>"CK2024102119588"</f>
        <v>CK2024102119588</v>
      </c>
      <c r="C4597" s="1" t="str">
        <f>"DD2024102149954"</f>
        <v>DD2024102149954</v>
      </c>
      <c r="D4597" s="1" t="str">
        <f>"CK2024102148032"</f>
        <v>CK2024102148032</v>
      </c>
      <c r="E4597" s="1" t="str">
        <f>"2429501840411972"</f>
        <v>2429501840411972</v>
      </c>
      <c r="F4597" s="1" t="str">
        <f t="shared" si="1484"/>
        <v>花都四部-凤凰仓</v>
      </c>
      <c r="G4597" s="1" t="str">
        <f t="shared" si="1492"/>
        <v>卡卡杜佳旺专卖店（快手店）</v>
      </c>
      <c r="H4597" s="1" t="str">
        <f t="shared" si="1485"/>
        <v>正常订单</v>
      </c>
      <c r="I4597" s="1" t="str">
        <f t="shared" si="1486"/>
        <v>已发货</v>
      </c>
      <c r="J4597" s="1" t="str">
        <f>"5"</f>
        <v>5</v>
      </c>
      <c r="K4597" s="1">
        <v>2</v>
      </c>
      <c r="L4597" s="1" t="s">
        <v>36</v>
      </c>
      <c r="M4597" s="1" t="str">
        <f>"安徽省 蚌埠市 蚌山区 青年街道"</f>
        <v>安徽省 蚌埠市 蚌山区 青年街道</v>
      </c>
      <c r="N4597" s="1" t="str">
        <f t="shared" si="1493"/>
        <v>凡华云仓-城南圆通-快手</v>
      </c>
      <c r="O4597" s="5" t="s">
        <v>4625</v>
      </c>
      <c r="P4597" s="6">
        <v>0.59</v>
      </c>
      <c r="Q4597" s="11">
        <f>CEILING(P4597-0.5,0.1)*10*0.15+2.3</f>
        <v>2.4499999999999997</v>
      </c>
      <c r="R4597" s="11"/>
      <c r="S4597" s="11"/>
      <c r="T4597" s="11"/>
      <c r="U4597" s="11">
        <f t="shared" si="1482"/>
        <v>2.4499999999999997</v>
      </c>
      <c r="V4597" t="s">
        <v>15</v>
      </c>
      <c r="W4597">
        <v>2.4500000000000002</v>
      </c>
      <c r="X4597" s="1" t="s">
        <v>36</v>
      </c>
    </row>
    <row r="4598" spans="1:24" x14ac:dyDescent="0.25">
      <c r="A4598" s="1" t="str">
        <f t="shared" si="1483"/>
        <v>卡卡杜-凤凰仓</v>
      </c>
      <c r="B4598" s="1" t="str">
        <f>"CK2024102119589"</f>
        <v>CK2024102119589</v>
      </c>
      <c r="C4598" s="1" t="str">
        <f>"DD2024102149953"</f>
        <v>DD2024102149953</v>
      </c>
      <c r="D4598" s="1" t="str">
        <f>"CK2024102148031"</f>
        <v>CK2024102148031</v>
      </c>
      <c r="E4598" s="1" t="str">
        <f>"2429502004387951"</f>
        <v>2429502004387951</v>
      </c>
      <c r="F4598" s="1" t="str">
        <f t="shared" si="1484"/>
        <v>花都四部-凤凰仓</v>
      </c>
      <c r="G4598" s="1" t="str">
        <f t="shared" si="1492"/>
        <v>卡卡杜佳旺专卖店（快手店）</v>
      </c>
      <c r="H4598" s="1" t="str">
        <f t="shared" si="1485"/>
        <v>正常订单</v>
      </c>
      <c r="I4598" s="1" t="str">
        <f t="shared" si="1486"/>
        <v>已发货</v>
      </c>
      <c r="J4598" s="1" t="str">
        <f t="shared" si="1494"/>
        <v>3</v>
      </c>
      <c r="K4598" s="1">
        <v>2</v>
      </c>
      <c r="L4598" s="1" t="s">
        <v>16</v>
      </c>
      <c r="M4598" s="1" t="str">
        <f>"河北省 廊坊市 三河市 燕郊镇"</f>
        <v>河北省 廊坊市 三河市 燕郊镇</v>
      </c>
      <c r="N4598" s="1" t="str">
        <f t="shared" si="1493"/>
        <v>凡华云仓-城南圆通-快手</v>
      </c>
      <c r="O4598" s="5" t="s">
        <v>4626</v>
      </c>
      <c r="P4598" s="6">
        <v>0.35</v>
      </c>
      <c r="Q4598" s="11">
        <v>2.2999999999999998</v>
      </c>
      <c r="R4598" s="11"/>
      <c r="S4598" s="11"/>
      <c r="T4598" s="11"/>
      <c r="U4598" s="11">
        <f t="shared" si="1482"/>
        <v>2.2999999999999998</v>
      </c>
      <c r="W4598">
        <v>2.5</v>
      </c>
      <c r="X4598" s="1" t="s">
        <v>16</v>
      </c>
    </row>
    <row r="4599" spans="1:24" x14ac:dyDescent="0.25">
      <c r="A4599" s="1" t="str">
        <f t="shared" si="1483"/>
        <v>卡卡杜-凤凰仓</v>
      </c>
      <c r="B4599" s="1" t="str">
        <f>"CK2024102119590"</f>
        <v>CK2024102119590</v>
      </c>
      <c r="C4599" s="1" t="str">
        <f>"DD2024102149956"</f>
        <v>DD2024102149956</v>
      </c>
      <c r="D4599" s="1" t="str">
        <f>"CK2024102148030"</f>
        <v>CK2024102148030</v>
      </c>
      <c r="E4599" s="1" t="str">
        <f>"2429501774194107"</f>
        <v>2429501774194107</v>
      </c>
      <c r="F4599" s="1" t="str">
        <f t="shared" si="1484"/>
        <v>花都四部-凤凰仓</v>
      </c>
      <c r="G4599" s="1" t="str">
        <f t="shared" si="1492"/>
        <v>卡卡杜佳旺专卖店（快手店）</v>
      </c>
      <c r="H4599" s="1" t="str">
        <f t="shared" si="1485"/>
        <v>正常订单</v>
      </c>
      <c r="I4599" s="1" t="str">
        <f t="shared" si="1486"/>
        <v>已发货</v>
      </c>
      <c r="J4599" s="1" t="str">
        <f t="shared" si="1494"/>
        <v>3</v>
      </c>
      <c r="K4599" s="1">
        <v>2</v>
      </c>
      <c r="L4599" s="1" t="s">
        <v>16</v>
      </c>
      <c r="M4599" s="1" t="str">
        <f>"河北省 保定市 涿州市 双塔街道"</f>
        <v>河北省 保定市 涿州市 双塔街道</v>
      </c>
      <c r="N4599" s="1" t="str">
        <f t="shared" si="1493"/>
        <v>凡华云仓-城南圆通-快手</v>
      </c>
      <c r="O4599" s="5" t="s">
        <v>4627</v>
      </c>
      <c r="P4599" s="6">
        <v>0.35</v>
      </c>
      <c r="Q4599" s="11">
        <v>2.2999999999999998</v>
      </c>
      <c r="R4599" s="11"/>
      <c r="S4599" s="11"/>
      <c r="T4599" s="11"/>
      <c r="U4599" s="11">
        <f t="shared" si="1482"/>
        <v>2.2999999999999998</v>
      </c>
      <c r="W4599">
        <v>2.5</v>
      </c>
      <c r="X4599" s="1" t="s">
        <v>16</v>
      </c>
    </row>
    <row r="4600" spans="1:24" x14ac:dyDescent="0.25">
      <c r="A4600" s="1" t="str">
        <f t="shared" si="1483"/>
        <v>卡卡杜-凤凰仓</v>
      </c>
      <c r="B4600" s="1" t="str">
        <f>"CK2024102119591"</f>
        <v>CK2024102119591</v>
      </c>
      <c r="C4600" s="1" t="str">
        <f>"DD2024102149955"</f>
        <v>DD2024102149955</v>
      </c>
      <c r="D4600" s="1" t="str">
        <f>"CK2024102148029"</f>
        <v>CK2024102148029</v>
      </c>
      <c r="E4600" s="1" t="str">
        <f>"2429502007650361"</f>
        <v>2429502007650361</v>
      </c>
      <c r="F4600" s="1" t="str">
        <f t="shared" si="1484"/>
        <v>花都四部-凤凰仓</v>
      </c>
      <c r="G4600" s="1" t="str">
        <f t="shared" si="1492"/>
        <v>卡卡杜佳旺专卖店（快手店）</v>
      </c>
      <c r="H4600" s="1" t="str">
        <f t="shared" si="1485"/>
        <v>正常订单</v>
      </c>
      <c r="I4600" s="1" t="str">
        <f t="shared" si="1486"/>
        <v>已发货</v>
      </c>
      <c r="J4600" s="1" t="str">
        <f t="shared" si="1494"/>
        <v>3</v>
      </c>
      <c r="K4600" s="1">
        <v>2</v>
      </c>
      <c r="L4600" s="1" t="s">
        <v>36</v>
      </c>
      <c r="M4600" s="1" t="str">
        <f>"安徽省 六安市 叶集区 孙岗乡"</f>
        <v>安徽省 六安市 叶集区 孙岗乡</v>
      </c>
      <c r="N4600" s="1" t="str">
        <f t="shared" si="1493"/>
        <v>凡华云仓-城南圆通-快手</v>
      </c>
      <c r="O4600" s="5" t="s">
        <v>4628</v>
      </c>
      <c r="P4600" s="6">
        <v>0.35</v>
      </c>
      <c r="Q4600" s="11">
        <v>2.2999999999999998</v>
      </c>
      <c r="R4600" s="11"/>
      <c r="S4600" s="11"/>
      <c r="T4600" s="11"/>
      <c r="U4600" s="11">
        <f t="shared" si="1482"/>
        <v>2.2999999999999998</v>
      </c>
      <c r="W4600">
        <v>2.5</v>
      </c>
      <c r="X4600" s="1" t="s">
        <v>36</v>
      </c>
    </row>
    <row r="4601" spans="1:24" x14ac:dyDescent="0.25">
      <c r="A4601" s="1" t="str">
        <f t="shared" si="1483"/>
        <v>卡卡杜-凤凰仓</v>
      </c>
      <c r="B4601" s="1" t="str">
        <f>"CK2024102119592"</f>
        <v>CK2024102119592</v>
      </c>
      <c r="C4601" s="1" t="str">
        <f>"DD2024102149957"</f>
        <v>DD2024102149957</v>
      </c>
      <c r="D4601" s="1" t="str">
        <f>"CK2024102148028"</f>
        <v>CK2024102148028</v>
      </c>
      <c r="E4601" s="1" t="str">
        <f>"2429501921331334"</f>
        <v>2429501921331334</v>
      </c>
      <c r="F4601" s="1" t="str">
        <f t="shared" si="1484"/>
        <v>花都四部-凤凰仓</v>
      </c>
      <c r="G4601" s="1" t="str">
        <f t="shared" si="1492"/>
        <v>卡卡杜佳旺专卖店（快手店）</v>
      </c>
      <c r="H4601" s="1" t="str">
        <f t="shared" si="1485"/>
        <v>正常订单</v>
      </c>
      <c r="I4601" s="1" t="str">
        <f t="shared" si="1486"/>
        <v>已发货</v>
      </c>
      <c r="J4601" s="1" t="str">
        <f t="shared" si="1494"/>
        <v>3</v>
      </c>
      <c r="K4601" s="1">
        <v>2</v>
      </c>
      <c r="L4601" s="1" t="s">
        <v>32</v>
      </c>
      <c r="M4601" s="1" t="str">
        <f>"陕西省 咸阳市 秦都区 钓台街道"</f>
        <v>陕西省 咸阳市 秦都区 钓台街道</v>
      </c>
      <c r="N4601" s="1" t="str">
        <f t="shared" si="1493"/>
        <v>凡华云仓-城南圆通-快手</v>
      </c>
      <c r="O4601" s="5" t="s">
        <v>4629</v>
      </c>
      <c r="P4601" s="6">
        <v>0.35</v>
      </c>
      <c r="Q4601" s="11">
        <v>2.2999999999999998</v>
      </c>
      <c r="R4601" s="11"/>
      <c r="S4601" s="11"/>
      <c r="T4601" s="11"/>
      <c r="U4601" s="11">
        <f t="shared" si="1482"/>
        <v>2.2999999999999998</v>
      </c>
      <c r="W4601">
        <v>2.5</v>
      </c>
      <c r="X4601" s="1" t="s">
        <v>32</v>
      </c>
    </row>
    <row r="4602" spans="1:24" x14ac:dyDescent="0.25">
      <c r="A4602" s="1" t="str">
        <f t="shared" si="1483"/>
        <v>卡卡杜-凤凰仓</v>
      </c>
      <c r="B4602" s="1" t="str">
        <f>"CK2024102119593"</f>
        <v>CK2024102119593</v>
      </c>
      <c r="C4602" s="1" t="str">
        <f>"DD2024102149958"</f>
        <v>DD2024102149958</v>
      </c>
      <c r="D4602" s="1" t="str">
        <f>"CK2024102148027"</f>
        <v>CK2024102148027</v>
      </c>
      <c r="E4602" s="1" t="str">
        <f>"2429501693921448"</f>
        <v>2429501693921448</v>
      </c>
      <c r="F4602" s="1" t="str">
        <f t="shared" si="1484"/>
        <v>花都四部-凤凰仓</v>
      </c>
      <c r="G4602" s="1" t="str">
        <f t="shared" si="1492"/>
        <v>卡卡杜佳旺专卖店（快手店）</v>
      </c>
      <c r="H4602" s="1" t="str">
        <f t="shared" si="1485"/>
        <v>正常订单</v>
      </c>
      <c r="I4602" s="1" t="str">
        <f t="shared" si="1486"/>
        <v>已发货</v>
      </c>
      <c r="J4602" s="1" t="str">
        <f>"5"</f>
        <v>5</v>
      </c>
      <c r="K4602" s="1">
        <v>2</v>
      </c>
      <c r="L4602" s="1" t="s">
        <v>13</v>
      </c>
      <c r="M4602" s="1" t="str">
        <f>"江苏省 盐城市 盐都区 盐渎街道"</f>
        <v>江苏省 盐城市 盐都区 盐渎街道</v>
      </c>
      <c r="N4602" s="1" t="str">
        <f t="shared" si="1493"/>
        <v>凡华云仓-城南圆通-快手</v>
      </c>
      <c r="O4602" s="5" t="s">
        <v>4630</v>
      </c>
      <c r="P4602" s="6">
        <v>0.59</v>
      </c>
      <c r="Q4602" s="11">
        <f>CEILING(P4602-0.5,0.1)*10*0.15+2.3</f>
        <v>2.4499999999999997</v>
      </c>
      <c r="R4602" s="11"/>
      <c r="S4602" s="11"/>
      <c r="T4602" s="11"/>
      <c r="U4602" s="11">
        <f t="shared" si="1482"/>
        <v>2.4499999999999997</v>
      </c>
      <c r="V4602" t="s">
        <v>15</v>
      </c>
      <c r="W4602">
        <v>2.4500000000000002</v>
      </c>
      <c r="X4602" s="1" t="s">
        <v>13</v>
      </c>
    </row>
    <row r="4603" spans="1:24" x14ac:dyDescent="0.25">
      <c r="A4603" s="1" t="str">
        <f t="shared" si="1483"/>
        <v>卡卡杜-凤凰仓</v>
      </c>
      <c r="B4603" s="1" t="str">
        <f>"CK2024102119595"</f>
        <v>CK2024102119595</v>
      </c>
      <c r="C4603" s="1" t="str">
        <f>"DD2024102149959"</f>
        <v>DD2024102149959</v>
      </c>
      <c r="D4603" s="1" t="str">
        <f>"CK2024102148026"</f>
        <v>CK2024102148026</v>
      </c>
      <c r="E4603" s="1" t="str">
        <f>"2429502010024675"</f>
        <v>2429502010024675</v>
      </c>
      <c r="F4603" s="1" t="str">
        <f t="shared" si="1484"/>
        <v>花都四部-凤凰仓</v>
      </c>
      <c r="G4603" s="1" t="str">
        <f t="shared" si="1492"/>
        <v>卡卡杜佳旺专卖店（快手店）</v>
      </c>
      <c r="H4603" s="1" t="str">
        <f t="shared" si="1485"/>
        <v>正常订单</v>
      </c>
      <c r="I4603" s="1" t="str">
        <f t="shared" si="1486"/>
        <v>已发货</v>
      </c>
      <c r="J4603" s="1" t="str">
        <f t="shared" ref="J4603:J4607" si="1495">"3"</f>
        <v>3</v>
      </c>
      <c r="K4603" s="1">
        <v>2</v>
      </c>
      <c r="L4603" s="1" t="s">
        <v>18</v>
      </c>
      <c r="M4603" s="1" t="str">
        <f>"广东省 潮州市 潮安区 江东镇"</f>
        <v>广东省 潮州市 潮安区 江东镇</v>
      </c>
      <c r="N4603" s="1" t="str">
        <f t="shared" si="1493"/>
        <v>凡华云仓-城南圆通-快手</v>
      </c>
      <c r="O4603" s="5" t="s">
        <v>4631</v>
      </c>
      <c r="P4603" s="6">
        <v>0.35</v>
      </c>
      <c r="Q4603" s="11">
        <v>2.2999999999999998</v>
      </c>
      <c r="R4603" s="11"/>
      <c r="S4603" s="11"/>
      <c r="T4603" s="11"/>
      <c r="U4603" s="11">
        <f t="shared" si="1482"/>
        <v>2.2999999999999998</v>
      </c>
      <c r="W4603">
        <v>2.5</v>
      </c>
      <c r="X4603" s="1" t="s">
        <v>18</v>
      </c>
    </row>
    <row r="4604" spans="1:24" x14ac:dyDescent="0.25">
      <c r="A4604" s="1" t="str">
        <f t="shared" si="1483"/>
        <v>卡卡杜-凤凰仓</v>
      </c>
      <c r="B4604" s="1" t="str">
        <f>"CK2024102119597"</f>
        <v>CK2024102119597</v>
      </c>
      <c r="C4604" s="1" t="str">
        <f>"DD2024102149964"</f>
        <v>DD2024102149964</v>
      </c>
      <c r="D4604" s="1" t="str">
        <f>"CK2024102148025"</f>
        <v>CK2024102148025</v>
      </c>
      <c r="E4604" s="1" t="str">
        <f>"2429501606736251"</f>
        <v>2429501606736251</v>
      </c>
      <c r="F4604" s="1" t="str">
        <f t="shared" si="1484"/>
        <v>花都四部-凤凰仓</v>
      </c>
      <c r="G4604" s="1" t="str">
        <f t="shared" si="1492"/>
        <v>卡卡杜佳旺专卖店（快手店）</v>
      </c>
      <c r="H4604" s="1" t="str">
        <f t="shared" si="1485"/>
        <v>正常订单</v>
      </c>
      <c r="I4604" s="1" t="str">
        <f t="shared" si="1486"/>
        <v>已发货</v>
      </c>
      <c r="J4604" s="1" t="str">
        <f t="shared" si="1495"/>
        <v>3</v>
      </c>
      <c r="K4604" s="1">
        <v>2</v>
      </c>
      <c r="L4604" s="1" t="s">
        <v>92</v>
      </c>
      <c r="M4604" s="1" t="str">
        <f>"辽宁省 铁岭市 昌图县 昌图镇"</f>
        <v>辽宁省 铁岭市 昌图县 昌图镇</v>
      </c>
      <c r="N4604" s="1" t="str">
        <f t="shared" si="1493"/>
        <v>凡华云仓-城南圆通-快手</v>
      </c>
      <c r="O4604" s="5" t="s">
        <v>4632</v>
      </c>
      <c r="P4604" s="6">
        <v>0.35</v>
      </c>
      <c r="Q4604" s="11">
        <v>2.2999999999999998</v>
      </c>
      <c r="R4604" s="11"/>
      <c r="S4604" s="11"/>
      <c r="T4604" s="11"/>
      <c r="U4604" s="11">
        <f t="shared" si="1482"/>
        <v>2.2999999999999998</v>
      </c>
      <c r="W4604">
        <v>2.5</v>
      </c>
      <c r="X4604" s="1" t="s">
        <v>92</v>
      </c>
    </row>
    <row r="4605" spans="1:24" x14ac:dyDescent="0.25">
      <c r="A4605" s="1" t="str">
        <f t="shared" si="1483"/>
        <v>卡卡杜-凤凰仓</v>
      </c>
      <c r="B4605" s="1" t="str">
        <f>"CK2024102119598"</f>
        <v>CK2024102119598</v>
      </c>
      <c r="C4605" s="1" t="str">
        <f>"DD2024102149962"</f>
        <v>DD2024102149962</v>
      </c>
      <c r="D4605" s="1" t="str">
        <f>"CK2024102148024"</f>
        <v>CK2024102148024</v>
      </c>
      <c r="E4605" s="1" t="str">
        <f>"2429502009930388"</f>
        <v>2429502009930388</v>
      </c>
      <c r="F4605" s="1" t="str">
        <f t="shared" si="1484"/>
        <v>花都四部-凤凰仓</v>
      </c>
      <c r="G4605" s="1" t="str">
        <f t="shared" si="1492"/>
        <v>卡卡杜佳旺专卖店（快手店）</v>
      </c>
      <c r="H4605" s="1" t="str">
        <f t="shared" si="1485"/>
        <v>正常订单</v>
      </c>
      <c r="I4605" s="1" t="str">
        <f t="shared" si="1486"/>
        <v>已发货</v>
      </c>
      <c r="J4605" s="1" t="str">
        <f t="shared" si="1495"/>
        <v>3</v>
      </c>
      <c r="K4605" s="1">
        <v>2</v>
      </c>
      <c r="L4605" s="1" t="s">
        <v>80</v>
      </c>
      <c r="M4605" s="1" t="str">
        <f>"河南省 南阳市 卧龙区 车站街道"</f>
        <v>河南省 南阳市 卧龙区 车站街道</v>
      </c>
      <c r="N4605" s="1" t="str">
        <f t="shared" si="1493"/>
        <v>凡华云仓-城南圆通-快手</v>
      </c>
      <c r="O4605" s="5" t="s">
        <v>4633</v>
      </c>
      <c r="P4605" s="6">
        <v>0.35</v>
      </c>
      <c r="Q4605" s="11">
        <v>2.2999999999999998</v>
      </c>
      <c r="R4605" s="11"/>
      <c r="S4605" s="11"/>
      <c r="T4605" s="11"/>
      <c r="U4605" s="11">
        <f t="shared" si="1482"/>
        <v>2.2999999999999998</v>
      </c>
      <c r="W4605">
        <v>2.5</v>
      </c>
      <c r="X4605" s="1" t="s">
        <v>80</v>
      </c>
    </row>
    <row r="4606" spans="1:24" x14ac:dyDescent="0.25">
      <c r="A4606" s="1" t="str">
        <f t="shared" si="1483"/>
        <v>卡卡杜-凤凰仓</v>
      </c>
      <c r="B4606" s="1" t="str">
        <f>"CK2024102119599"</f>
        <v>CK2024102119599</v>
      </c>
      <c r="C4606" s="1" t="str">
        <f>"DD2024102149963"</f>
        <v>DD2024102149963</v>
      </c>
      <c r="D4606" s="1" t="str">
        <f>"CK2024102148023"</f>
        <v>CK2024102148023</v>
      </c>
      <c r="E4606" s="1" t="str">
        <f>"2429501600418978"</f>
        <v>2429501600418978</v>
      </c>
      <c r="F4606" s="1" t="str">
        <f t="shared" si="1484"/>
        <v>花都四部-凤凰仓</v>
      </c>
      <c r="G4606" s="1" t="str">
        <f t="shared" si="1492"/>
        <v>卡卡杜佳旺专卖店（快手店）</v>
      </c>
      <c r="H4606" s="1" t="str">
        <f t="shared" si="1485"/>
        <v>正常订单</v>
      </c>
      <c r="I4606" s="1" t="str">
        <f t="shared" si="1486"/>
        <v>已发货</v>
      </c>
      <c r="J4606" s="1" t="str">
        <f t="shared" si="1495"/>
        <v>3</v>
      </c>
      <c r="K4606" s="1">
        <v>2</v>
      </c>
      <c r="L4606" s="1" t="s">
        <v>1099</v>
      </c>
      <c r="M4606" s="1" t="str">
        <f>"重庆市 重庆市 渝北区 "</f>
        <v xml:space="preserve">重庆市 重庆市 渝北区 </v>
      </c>
      <c r="N4606" s="1" t="str">
        <f t="shared" si="1493"/>
        <v>凡华云仓-城南圆通-快手</v>
      </c>
      <c r="O4606" s="5" t="s">
        <v>4634</v>
      </c>
      <c r="P4606" s="6">
        <v>0.35</v>
      </c>
      <c r="Q4606" s="11">
        <v>2.2999999999999998</v>
      </c>
      <c r="R4606" s="11"/>
      <c r="S4606" s="11"/>
      <c r="T4606" s="11"/>
      <c r="U4606" s="11">
        <f t="shared" si="1482"/>
        <v>2.2999999999999998</v>
      </c>
      <c r="W4606">
        <v>2.5</v>
      </c>
      <c r="X4606" s="1" t="s">
        <v>1099</v>
      </c>
    </row>
    <row r="4607" spans="1:24" x14ac:dyDescent="0.25">
      <c r="A4607" s="1" t="str">
        <f t="shared" si="1483"/>
        <v>卡卡杜-凤凰仓</v>
      </c>
      <c r="B4607" s="1" t="str">
        <f>"CK2024102119600"</f>
        <v>CK2024102119600</v>
      </c>
      <c r="C4607" s="1" t="str">
        <f>"DD2024102149965"</f>
        <v>DD2024102149965</v>
      </c>
      <c r="D4607" s="1" t="str">
        <f>"CK2024102148022"</f>
        <v>CK2024102148022</v>
      </c>
      <c r="E4607" s="1" t="str">
        <f>"2429501843626312"</f>
        <v>2429501843626312</v>
      </c>
      <c r="F4607" s="1" t="str">
        <f t="shared" si="1484"/>
        <v>花都四部-凤凰仓</v>
      </c>
      <c r="G4607" s="1" t="str">
        <f t="shared" si="1492"/>
        <v>卡卡杜佳旺专卖店（快手店）</v>
      </c>
      <c r="H4607" s="1" t="str">
        <f t="shared" si="1485"/>
        <v>正常订单</v>
      </c>
      <c r="I4607" s="1" t="str">
        <f t="shared" si="1486"/>
        <v>已发货</v>
      </c>
      <c r="J4607" s="1" t="str">
        <f t="shared" si="1495"/>
        <v>3</v>
      </c>
      <c r="K4607" s="1">
        <v>2</v>
      </c>
      <c r="L4607" s="1" t="s">
        <v>41</v>
      </c>
      <c r="M4607" s="1" t="str">
        <f>"湖北省 孝感市 汉川市 新河镇"</f>
        <v>湖北省 孝感市 汉川市 新河镇</v>
      </c>
      <c r="N4607" s="1" t="str">
        <f t="shared" si="1493"/>
        <v>凡华云仓-城南圆通-快手</v>
      </c>
      <c r="O4607" s="5" t="s">
        <v>4635</v>
      </c>
      <c r="P4607" s="6">
        <v>0.35</v>
      </c>
      <c r="Q4607" s="11">
        <v>2.2999999999999998</v>
      </c>
      <c r="R4607" s="11"/>
      <c r="S4607" s="11"/>
      <c r="T4607" s="11"/>
      <c r="U4607" s="11">
        <f t="shared" si="1482"/>
        <v>2.2999999999999998</v>
      </c>
      <c r="W4607">
        <v>2.5</v>
      </c>
      <c r="X4607" s="1" t="s">
        <v>41</v>
      </c>
    </row>
    <row r="4608" spans="1:24" x14ac:dyDescent="0.25">
      <c r="A4608" s="1" t="str">
        <f t="shared" si="1483"/>
        <v>卡卡杜-凤凰仓</v>
      </c>
      <c r="B4608" s="1" t="str">
        <f>"CK2024102119601"</f>
        <v>CK2024102119601</v>
      </c>
      <c r="C4608" s="1" t="str">
        <f>"DD2024102149966"</f>
        <v>DD2024102149966</v>
      </c>
      <c r="D4608" s="1" t="str">
        <f>"CK2024102148021"</f>
        <v>CK2024102148021</v>
      </c>
      <c r="E4608" s="1" t="str">
        <f>"2429501769856030"</f>
        <v>2429501769856030</v>
      </c>
      <c r="F4608" s="1" t="str">
        <f t="shared" si="1484"/>
        <v>花都四部-凤凰仓</v>
      </c>
      <c r="G4608" s="1" t="str">
        <f t="shared" si="1492"/>
        <v>卡卡杜佳旺专卖店（快手店）</v>
      </c>
      <c r="H4608" s="1" t="str">
        <f t="shared" si="1485"/>
        <v>正常订单</v>
      </c>
      <c r="I4608" s="1" t="str">
        <f t="shared" si="1486"/>
        <v>已发货</v>
      </c>
      <c r="J4608" s="1" t="str">
        <f>"5"</f>
        <v>5</v>
      </c>
      <c r="K4608" s="1">
        <v>2</v>
      </c>
      <c r="L4608" s="1" t="s">
        <v>54</v>
      </c>
      <c r="M4608" s="1" t="str">
        <f>"黑龙江省 哈尔滨市 松北区 松祥街道"</f>
        <v>黑龙江省 哈尔滨市 松北区 松祥街道</v>
      </c>
      <c r="N4608" s="1" t="str">
        <f t="shared" si="1493"/>
        <v>凡华云仓-城南圆通-快手</v>
      </c>
      <c r="O4608" s="5" t="s">
        <v>4636</v>
      </c>
      <c r="P4608" s="6">
        <v>0.59</v>
      </c>
      <c r="Q4608" s="11">
        <f>CEILING(P4608-0.5,0.1)*10*0.15+2.3</f>
        <v>2.4499999999999997</v>
      </c>
      <c r="R4608" s="11"/>
      <c r="S4608" s="11"/>
      <c r="T4608" s="11"/>
      <c r="U4608" s="11">
        <f t="shared" si="1482"/>
        <v>2.4499999999999997</v>
      </c>
      <c r="V4608" t="s">
        <v>15</v>
      </c>
      <c r="W4608">
        <v>2.4500000000000002</v>
      </c>
      <c r="X4608" s="1" t="s">
        <v>54</v>
      </c>
    </row>
    <row r="4609" spans="1:24" x14ac:dyDescent="0.25">
      <c r="A4609" s="1" t="str">
        <f t="shared" si="1483"/>
        <v>卡卡杜-凤凰仓</v>
      </c>
      <c r="B4609" s="1" t="str">
        <f>"CK2024102119602"</f>
        <v>CK2024102119602</v>
      </c>
      <c r="C4609" s="1" t="str">
        <f>"DD2024102149969"</f>
        <v>DD2024102149969</v>
      </c>
      <c r="D4609" s="1" t="str">
        <f>"CK2024102148020"</f>
        <v>CK2024102148020</v>
      </c>
      <c r="E4609" s="1" t="str">
        <f>"2429501692290619"</f>
        <v>2429501692290619</v>
      </c>
      <c r="F4609" s="1" t="str">
        <f t="shared" si="1484"/>
        <v>花都四部-凤凰仓</v>
      </c>
      <c r="G4609" s="1" t="str">
        <f t="shared" si="1492"/>
        <v>卡卡杜佳旺专卖店（快手店）</v>
      </c>
      <c r="H4609" s="1" t="str">
        <f t="shared" si="1485"/>
        <v>正常订单</v>
      </c>
      <c r="I4609" s="1" t="str">
        <f t="shared" si="1486"/>
        <v>已发货</v>
      </c>
      <c r="J4609" s="1" t="str">
        <f t="shared" ref="J4609:J4613" si="1496">"3"</f>
        <v>3</v>
      </c>
      <c r="K4609" s="1">
        <v>2</v>
      </c>
      <c r="L4609" s="1" t="s">
        <v>44</v>
      </c>
      <c r="M4609" s="1" t="str">
        <f>"海南省 海口市 琼山区 凤翔街道"</f>
        <v>海南省 海口市 琼山区 凤翔街道</v>
      </c>
      <c r="N4609" s="1" t="str">
        <f t="shared" si="1493"/>
        <v>凡华云仓-城南圆通-快手</v>
      </c>
      <c r="O4609" s="5" t="s">
        <v>4637</v>
      </c>
      <c r="P4609" s="6">
        <v>0.35</v>
      </c>
      <c r="Q4609" s="11">
        <v>2.2999999999999998</v>
      </c>
      <c r="R4609" s="11"/>
      <c r="S4609" s="11"/>
      <c r="T4609" s="11"/>
      <c r="U4609" s="11">
        <f t="shared" si="1482"/>
        <v>2.2999999999999998</v>
      </c>
      <c r="W4609">
        <v>2.5</v>
      </c>
      <c r="X4609" s="1" t="s">
        <v>44</v>
      </c>
    </row>
    <row r="4610" spans="1:24" x14ac:dyDescent="0.25">
      <c r="A4610" s="1" t="str">
        <f t="shared" si="1483"/>
        <v>卡卡杜-凤凰仓</v>
      </c>
      <c r="B4610" s="1" t="str">
        <f>"CK2024102119603"</f>
        <v>CK2024102119603</v>
      </c>
      <c r="C4610" s="1" t="str">
        <f>"DD2024102149967"</f>
        <v>DD2024102149967</v>
      </c>
      <c r="D4610" s="1" t="str">
        <f>"CK2024102148019"</f>
        <v>CK2024102148019</v>
      </c>
      <c r="E4610" s="1" t="str">
        <f>"2429501605955370"</f>
        <v>2429501605955370</v>
      </c>
      <c r="F4610" s="1" t="str">
        <f t="shared" si="1484"/>
        <v>花都四部-凤凰仓</v>
      </c>
      <c r="G4610" s="1" t="str">
        <f t="shared" si="1492"/>
        <v>卡卡杜佳旺专卖店（快手店）</v>
      </c>
      <c r="H4610" s="1" t="str">
        <f t="shared" si="1485"/>
        <v>正常订单</v>
      </c>
      <c r="I4610" s="1" t="str">
        <f t="shared" si="1486"/>
        <v>已发货</v>
      </c>
      <c r="J4610" s="1" t="str">
        <f t="shared" si="1496"/>
        <v>3</v>
      </c>
      <c r="K4610" s="1">
        <v>2</v>
      </c>
      <c r="L4610" s="1" t="s">
        <v>1099</v>
      </c>
      <c r="M4610" s="1" t="str">
        <f>"重庆市 重庆市 云阳县 凤鸣镇"</f>
        <v>重庆市 重庆市 云阳县 凤鸣镇</v>
      </c>
      <c r="N4610" s="1" t="str">
        <f t="shared" si="1493"/>
        <v>凡华云仓-城南圆通-快手</v>
      </c>
      <c r="O4610" s="5" t="s">
        <v>4638</v>
      </c>
      <c r="P4610" s="6">
        <v>0.35</v>
      </c>
      <c r="Q4610" s="11">
        <v>2.2999999999999998</v>
      </c>
      <c r="R4610" s="11"/>
      <c r="S4610" s="11"/>
      <c r="T4610" s="11"/>
      <c r="U4610" s="11">
        <f t="shared" si="1482"/>
        <v>2.2999999999999998</v>
      </c>
      <c r="W4610">
        <v>2.5</v>
      </c>
      <c r="X4610" s="1" t="s">
        <v>1099</v>
      </c>
    </row>
    <row r="4611" spans="1:24" x14ac:dyDescent="0.25">
      <c r="A4611" s="1" t="str">
        <f t="shared" si="1483"/>
        <v>卡卡杜-凤凰仓</v>
      </c>
      <c r="B4611" s="1" t="str">
        <f>"CK2024102119604"</f>
        <v>CK2024102119604</v>
      </c>
      <c r="C4611" s="1" t="str">
        <f>"DD2024102149968"</f>
        <v>DD2024102149968</v>
      </c>
      <c r="D4611" s="1" t="str">
        <f>"CK2024102148018"</f>
        <v>CK2024102148018</v>
      </c>
      <c r="E4611" s="1" t="str">
        <f>"2429501761904592"</f>
        <v>2429501761904592</v>
      </c>
      <c r="F4611" s="1" t="str">
        <f t="shared" si="1484"/>
        <v>花都四部-凤凰仓</v>
      </c>
      <c r="G4611" s="1" t="str">
        <f t="shared" si="1492"/>
        <v>卡卡杜佳旺专卖店（快手店）</v>
      </c>
      <c r="H4611" s="1" t="str">
        <f t="shared" si="1485"/>
        <v>正常订单</v>
      </c>
      <c r="I4611" s="1" t="str">
        <f t="shared" si="1486"/>
        <v>已发货</v>
      </c>
      <c r="J4611" s="1" t="str">
        <f t="shared" si="1496"/>
        <v>3</v>
      </c>
      <c r="K4611" s="1">
        <v>2</v>
      </c>
      <c r="L4611" s="1" t="s">
        <v>18</v>
      </c>
      <c r="M4611" s="1" t="str">
        <f>"广东省 中山市 阜沙镇 阜沙镇"</f>
        <v>广东省 中山市 阜沙镇 阜沙镇</v>
      </c>
      <c r="N4611" s="1" t="str">
        <f t="shared" si="1493"/>
        <v>凡华云仓-城南圆通-快手</v>
      </c>
      <c r="O4611" s="5" t="s">
        <v>4639</v>
      </c>
      <c r="P4611" s="6">
        <v>0.35</v>
      </c>
      <c r="Q4611" s="11">
        <v>2.2999999999999998</v>
      </c>
      <c r="R4611" s="11"/>
      <c r="S4611" s="11"/>
      <c r="T4611" s="11"/>
      <c r="U4611" s="11">
        <f t="shared" ref="U4611:U4674" si="1497">T4611+S4611+R4611+Q4611</f>
        <v>2.2999999999999998</v>
      </c>
      <c r="W4611">
        <v>2.5</v>
      </c>
      <c r="X4611" s="1" t="s">
        <v>18</v>
      </c>
    </row>
    <row r="4612" spans="1:24" x14ac:dyDescent="0.25">
      <c r="A4612" s="1" t="str">
        <f t="shared" si="1483"/>
        <v>卡卡杜-凤凰仓</v>
      </c>
      <c r="B4612" s="1" t="str">
        <f>"CK2024102119610"</f>
        <v>CK2024102119610</v>
      </c>
      <c r="C4612" s="1" t="str">
        <f>"DD2024102149975"</f>
        <v>DD2024102149975</v>
      </c>
      <c r="D4612" s="1" t="str">
        <f>"CK2024102148017"</f>
        <v>CK2024102148017</v>
      </c>
      <c r="E4612" s="1" t="str">
        <f>"2429501761032743"</f>
        <v>2429501761032743</v>
      </c>
      <c r="F4612" s="1" t="str">
        <f t="shared" si="1484"/>
        <v>花都四部-凤凰仓</v>
      </c>
      <c r="G4612" s="1" t="str">
        <f t="shared" si="1492"/>
        <v>卡卡杜佳旺专卖店（快手店）</v>
      </c>
      <c r="H4612" s="1" t="str">
        <f t="shared" si="1485"/>
        <v>正常订单</v>
      </c>
      <c r="I4612" s="1" t="str">
        <f t="shared" si="1486"/>
        <v>已发货</v>
      </c>
      <c r="J4612" s="1" t="str">
        <f t="shared" si="1496"/>
        <v>3</v>
      </c>
      <c r="K4612" s="1">
        <v>2</v>
      </c>
      <c r="L4612" s="1" t="s">
        <v>20</v>
      </c>
      <c r="M4612" s="1" t="str">
        <f>"浙江省 温州市 苍南县 金乡镇"</f>
        <v>浙江省 温州市 苍南县 金乡镇</v>
      </c>
      <c r="N4612" s="1" t="str">
        <f t="shared" si="1493"/>
        <v>凡华云仓-城南圆通-快手</v>
      </c>
      <c r="O4612" s="5" t="s">
        <v>4640</v>
      </c>
      <c r="P4612" s="6">
        <v>0.35</v>
      </c>
      <c r="Q4612" s="11">
        <v>2.2999999999999998</v>
      </c>
      <c r="R4612" s="11"/>
      <c r="S4612" s="11"/>
      <c r="T4612" s="11"/>
      <c r="U4612" s="11">
        <f t="shared" si="1497"/>
        <v>2.2999999999999998</v>
      </c>
      <c r="W4612">
        <v>2.5</v>
      </c>
      <c r="X4612" s="1" t="s">
        <v>20</v>
      </c>
    </row>
    <row r="4613" spans="1:24" x14ac:dyDescent="0.25">
      <c r="A4613" s="1" t="str">
        <f t="shared" ref="A4613:A4676" si="1498">"卡卡杜-凤凰仓"</f>
        <v>卡卡杜-凤凰仓</v>
      </c>
      <c r="B4613" s="1" t="str">
        <f>"CK2024102119613"</f>
        <v>CK2024102119613</v>
      </c>
      <c r="C4613" s="1" t="str">
        <f>"DD2024102149978"</f>
        <v>DD2024102149978</v>
      </c>
      <c r="D4613" s="1" t="str">
        <f>"CK2024102148016"</f>
        <v>CK2024102148016</v>
      </c>
      <c r="E4613" s="1" t="str">
        <f>"2429502080200192"</f>
        <v>2429502080200192</v>
      </c>
      <c r="F4613" s="1" t="str">
        <f t="shared" ref="F4613:F4676" si="1499">"花都四部-凤凰仓"</f>
        <v>花都四部-凤凰仓</v>
      </c>
      <c r="G4613" s="1" t="str">
        <f t="shared" si="1492"/>
        <v>卡卡杜佳旺专卖店（快手店）</v>
      </c>
      <c r="H4613" s="1" t="str">
        <f t="shared" ref="H4613:H4676" si="1500">"正常订单"</f>
        <v>正常订单</v>
      </c>
      <c r="I4613" s="1" t="str">
        <f t="shared" ref="I4613:I4676" si="1501">"已发货"</f>
        <v>已发货</v>
      </c>
      <c r="J4613" s="1" t="str">
        <f t="shared" si="1496"/>
        <v>3</v>
      </c>
      <c r="K4613" s="1">
        <v>2</v>
      </c>
      <c r="L4613" s="1" t="s">
        <v>187</v>
      </c>
      <c r="M4613" s="1" t="str">
        <f>"吉林省 长春市 德惠市 胜利街道"</f>
        <v>吉林省 长春市 德惠市 胜利街道</v>
      </c>
      <c r="N4613" s="1" t="str">
        <f t="shared" si="1493"/>
        <v>凡华云仓-城南圆通-快手</v>
      </c>
      <c r="O4613" s="5" t="s">
        <v>4641</v>
      </c>
      <c r="P4613" s="6">
        <v>0.35</v>
      </c>
      <c r="Q4613" s="11">
        <v>2.2999999999999998</v>
      </c>
      <c r="R4613" s="11"/>
      <c r="S4613" s="11"/>
      <c r="T4613" s="11"/>
      <c r="U4613" s="11">
        <f t="shared" si="1497"/>
        <v>2.2999999999999998</v>
      </c>
      <c r="W4613">
        <v>2.5</v>
      </c>
      <c r="X4613" s="1" t="s">
        <v>187</v>
      </c>
    </row>
    <row r="4614" spans="1:24" x14ac:dyDescent="0.25">
      <c r="A4614" s="1" t="str">
        <f t="shared" si="1498"/>
        <v>卡卡杜-凤凰仓</v>
      </c>
      <c r="B4614" s="1" t="str">
        <f>"CK2024102119132"</f>
        <v>CK2024102119132</v>
      </c>
      <c r="C4614" s="1" t="str">
        <f>"DD2024102148985"</f>
        <v>DD2024102148985</v>
      </c>
      <c r="D4614" s="1" t="str">
        <f>"CK2024102146366"</f>
        <v>CK2024102146366</v>
      </c>
      <c r="E4614" s="1" t="str">
        <f>"3723425268717457408"</f>
        <v>3723425268717457408</v>
      </c>
      <c r="F4614" s="1" t="str">
        <f t="shared" si="1499"/>
        <v>花都四部-凤凰仓</v>
      </c>
      <c r="G4614" s="1" t="str">
        <f>"RO橙心外贸供应链 （视频号）"</f>
        <v>RO橙心外贸供应链 （视频号）</v>
      </c>
      <c r="H4614" s="1" t="str">
        <f t="shared" si="1500"/>
        <v>正常订单</v>
      </c>
      <c r="I4614" s="1" t="str">
        <f t="shared" si="1501"/>
        <v>已发货</v>
      </c>
      <c r="J4614" s="1" t="str">
        <f>"5"</f>
        <v>5</v>
      </c>
      <c r="K4614" s="1">
        <v>3</v>
      </c>
      <c r="L4614" s="1" t="s">
        <v>13</v>
      </c>
      <c r="M4614" s="1" t="str">
        <f>"江苏省 常州市 新北区 "</f>
        <v xml:space="preserve">江苏省 常州市 新北区 </v>
      </c>
      <c r="N4614" s="1" t="str">
        <f t="shared" ref="N4614:N4677" si="1502">"凡华云仓-城南圆通-微信视频号"</f>
        <v>凡华云仓-城南圆通-微信视频号</v>
      </c>
      <c r="O4614" s="5" t="s">
        <v>4642</v>
      </c>
      <c r="P4614" s="6">
        <v>0.56000000000000005</v>
      </c>
      <c r="Q4614" s="11">
        <f>CEILING(P4614-0.5,0.1)*10*0.15+2.3</f>
        <v>2.4499999999999997</v>
      </c>
      <c r="R4614" s="11"/>
      <c r="S4614" s="11"/>
      <c r="T4614" s="11"/>
      <c r="U4614" s="11">
        <f t="shared" si="1497"/>
        <v>2.4499999999999997</v>
      </c>
      <c r="V4614" t="s">
        <v>15</v>
      </c>
      <c r="W4614">
        <v>2.4500000000000002</v>
      </c>
      <c r="X4614" s="1" t="s">
        <v>13</v>
      </c>
    </row>
    <row r="4615" spans="1:24" x14ac:dyDescent="0.25">
      <c r="A4615" s="1" t="str">
        <f t="shared" si="1498"/>
        <v>卡卡杜-凤凰仓</v>
      </c>
      <c r="B4615" s="1" t="str">
        <f>"CK202410214833"</f>
        <v>CK202410214833</v>
      </c>
      <c r="C4615" s="1" t="str">
        <f>"DD2024102110936"</f>
        <v>DD2024102110936</v>
      </c>
      <c r="D4615" s="1" t="str">
        <f>"CK2024102119846"</f>
        <v>CK2024102119846</v>
      </c>
      <c r="E4615" s="1" t="str">
        <f>"3723449235243664640"</f>
        <v>3723449235243664640</v>
      </c>
      <c r="F4615" s="1" t="str">
        <f t="shared" si="1499"/>
        <v>花都四部-凤凰仓</v>
      </c>
      <c r="G4615" s="1" t="str">
        <f t="shared" ref="G4615:G4678" si="1503">"卡卡杜企业店（视频号）"</f>
        <v>卡卡杜企业店（视频号）</v>
      </c>
      <c r="H4615" s="1" t="str">
        <f t="shared" si="1500"/>
        <v>正常订单</v>
      </c>
      <c r="I4615" s="1" t="str">
        <f t="shared" si="1501"/>
        <v>已发货</v>
      </c>
      <c r="J4615" s="1" t="str">
        <f t="shared" ref="J4615:J4619" si="1504">"3"</f>
        <v>3</v>
      </c>
      <c r="K4615" s="1">
        <v>3</v>
      </c>
      <c r="L4615" s="1" t="s">
        <v>80</v>
      </c>
      <c r="M4615" s="1" t="str">
        <f>"河南省 新乡市 卫滨区 "</f>
        <v xml:space="preserve">河南省 新乡市 卫滨区 </v>
      </c>
      <c r="N4615" s="1" t="str">
        <f t="shared" si="1502"/>
        <v>凡华云仓-城南圆通-微信视频号</v>
      </c>
      <c r="O4615" s="5" t="s">
        <v>4643</v>
      </c>
      <c r="P4615" s="6">
        <v>0.34</v>
      </c>
      <c r="Q4615" s="11">
        <v>2.2999999999999998</v>
      </c>
      <c r="R4615" s="11"/>
      <c r="S4615" s="11"/>
      <c r="T4615" s="11"/>
      <c r="U4615" s="11">
        <f t="shared" si="1497"/>
        <v>2.2999999999999998</v>
      </c>
      <c r="W4615">
        <v>2.5</v>
      </c>
      <c r="X4615" s="1" t="s">
        <v>80</v>
      </c>
    </row>
    <row r="4616" spans="1:24" x14ac:dyDescent="0.25">
      <c r="A4616" s="1" t="str">
        <f t="shared" si="1498"/>
        <v>卡卡杜-凤凰仓</v>
      </c>
      <c r="B4616" s="1" t="str">
        <f>"CK202410214844"</f>
        <v>CK202410214844</v>
      </c>
      <c r="C4616" s="1" t="str">
        <f>"DD2024102110947"</f>
        <v>DD2024102110947</v>
      </c>
      <c r="D4616" s="1" t="str">
        <f>"CK2024102119845"</f>
        <v>CK2024102119845</v>
      </c>
      <c r="E4616" s="1" t="str">
        <f>"3723449231720711424"</f>
        <v>3723449231720711424</v>
      </c>
      <c r="F4616" s="1" t="str">
        <f t="shared" si="1499"/>
        <v>花都四部-凤凰仓</v>
      </c>
      <c r="G4616" s="1" t="str">
        <f t="shared" si="1503"/>
        <v>卡卡杜企业店（视频号）</v>
      </c>
      <c r="H4616" s="1" t="str">
        <f t="shared" si="1500"/>
        <v>正常订单</v>
      </c>
      <c r="I4616" s="1" t="str">
        <f t="shared" si="1501"/>
        <v>已发货</v>
      </c>
      <c r="J4616" s="1" t="str">
        <f t="shared" si="1504"/>
        <v>3</v>
      </c>
      <c r="K4616" s="1">
        <v>3</v>
      </c>
      <c r="L4616" s="1" t="s">
        <v>18</v>
      </c>
      <c r="M4616" s="1" t="str">
        <f>"广东省 东莞市 东城街道 "</f>
        <v xml:space="preserve">广东省 东莞市 东城街道 </v>
      </c>
      <c r="N4616" s="1" t="str">
        <f t="shared" si="1502"/>
        <v>凡华云仓-城南圆通-微信视频号</v>
      </c>
      <c r="O4616" s="5" t="s">
        <v>4644</v>
      </c>
      <c r="P4616" s="6">
        <v>0.34</v>
      </c>
      <c r="Q4616" s="11">
        <v>2.2999999999999998</v>
      </c>
      <c r="R4616" s="11"/>
      <c r="S4616" s="11"/>
      <c r="T4616" s="11"/>
      <c r="U4616" s="11">
        <f t="shared" si="1497"/>
        <v>2.2999999999999998</v>
      </c>
      <c r="W4616">
        <v>2.5</v>
      </c>
      <c r="X4616" s="1" t="s">
        <v>18</v>
      </c>
    </row>
    <row r="4617" spans="1:24" x14ac:dyDescent="0.25">
      <c r="A4617" s="1" t="str">
        <f t="shared" si="1498"/>
        <v>卡卡杜-凤凰仓</v>
      </c>
      <c r="B4617" s="1" t="str">
        <f>"CK202410215045"</f>
        <v>CK202410215045</v>
      </c>
      <c r="C4617" s="1" t="str">
        <f>"DD2024102111148"</f>
        <v>DD2024102111148</v>
      </c>
      <c r="D4617" s="1" t="str">
        <f>"CK2024102119844"</f>
        <v>CK2024102119844</v>
      </c>
      <c r="E4617" s="1" t="str">
        <f>"3723449191358141440"</f>
        <v>3723449191358141440</v>
      </c>
      <c r="F4617" s="1" t="str">
        <f t="shared" si="1499"/>
        <v>花都四部-凤凰仓</v>
      </c>
      <c r="G4617" s="1" t="str">
        <f t="shared" si="1503"/>
        <v>卡卡杜企业店（视频号）</v>
      </c>
      <c r="H4617" s="1" t="str">
        <f t="shared" si="1500"/>
        <v>正常订单</v>
      </c>
      <c r="I4617" s="1" t="str">
        <f t="shared" si="1501"/>
        <v>已发货</v>
      </c>
      <c r="J4617" s="1" t="str">
        <f t="shared" ref="J4617:J4622" si="1505">"2"</f>
        <v>2</v>
      </c>
      <c r="K4617" s="1">
        <v>2</v>
      </c>
      <c r="L4617" s="1" t="s">
        <v>18</v>
      </c>
      <c r="M4617" s="1" t="str">
        <f>"广东省 深圳市 南山区 "</f>
        <v xml:space="preserve">广东省 深圳市 南山区 </v>
      </c>
      <c r="N4617" s="1" t="str">
        <f t="shared" si="1502"/>
        <v>凡华云仓-城南圆通-微信视频号</v>
      </c>
      <c r="O4617" s="5" t="s">
        <v>4645</v>
      </c>
      <c r="P4617" s="6">
        <v>0.17</v>
      </c>
      <c r="Q4617" s="11">
        <v>2</v>
      </c>
      <c r="R4617" s="11"/>
      <c r="S4617" s="11"/>
      <c r="T4617" s="11"/>
      <c r="U4617" s="11">
        <f t="shared" si="1497"/>
        <v>2</v>
      </c>
      <c r="W4617">
        <v>2.2000000000000002</v>
      </c>
      <c r="X4617" s="1" t="s">
        <v>18</v>
      </c>
    </row>
    <row r="4618" spans="1:24" x14ac:dyDescent="0.25">
      <c r="A4618" s="1" t="str">
        <f t="shared" si="1498"/>
        <v>卡卡杜-凤凰仓</v>
      </c>
      <c r="B4618" s="1" t="str">
        <f>"CK202410215052"</f>
        <v>CK202410215052</v>
      </c>
      <c r="C4618" s="1" t="str">
        <f>"DD2024102111161"</f>
        <v>DD2024102111161</v>
      </c>
      <c r="D4618" s="1" t="str">
        <f>"CK2024102119843"</f>
        <v>CK2024102119843</v>
      </c>
      <c r="E4618" s="1" t="str">
        <f>"3723449182435020800"</f>
        <v>3723449182435020800</v>
      </c>
      <c r="F4618" s="1" t="str">
        <f t="shared" si="1499"/>
        <v>花都四部-凤凰仓</v>
      </c>
      <c r="G4618" s="1" t="str">
        <f t="shared" si="1503"/>
        <v>卡卡杜企业店（视频号）</v>
      </c>
      <c r="H4618" s="1" t="str">
        <f t="shared" si="1500"/>
        <v>正常订单</v>
      </c>
      <c r="I4618" s="1" t="str">
        <f t="shared" si="1501"/>
        <v>已发货</v>
      </c>
      <c r="J4618" s="1" t="str">
        <f t="shared" si="1505"/>
        <v>2</v>
      </c>
      <c r="K4618" s="1">
        <v>2</v>
      </c>
      <c r="L4618" s="1" t="s">
        <v>74</v>
      </c>
      <c r="M4618" s="1" t="str">
        <f>"上海 上海市 闵行区 "</f>
        <v xml:space="preserve">上海 上海市 闵行区 </v>
      </c>
      <c r="N4618" s="1" t="str">
        <f t="shared" si="1502"/>
        <v>凡华云仓-城南圆通-微信视频号</v>
      </c>
      <c r="O4618" s="5" t="s">
        <v>4646</v>
      </c>
      <c r="P4618" s="6">
        <v>0.17</v>
      </c>
      <c r="Q4618" s="11">
        <v>2</v>
      </c>
      <c r="R4618" s="11"/>
      <c r="S4618" s="11"/>
      <c r="T4618" s="11"/>
      <c r="U4618" s="11">
        <f t="shared" si="1497"/>
        <v>2</v>
      </c>
      <c r="W4618">
        <v>2.2000000000000002</v>
      </c>
      <c r="X4618" s="1" t="s">
        <v>74</v>
      </c>
    </row>
    <row r="4619" spans="1:24" x14ac:dyDescent="0.25">
      <c r="A4619" s="1" t="str">
        <f t="shared" si="1498"/>
        <v>卡卡杜-凤凰仓</v>
      </c>
      <c r="B4619" s="1" t="str">
        <f>"CK202410215014"</f>
        <v>CK202410215014</v>
      </c>
      <c r="C4619" s="1" t="str">
        <f>"DD2024102111117"</f>
        <v>DD2024102111117</v>
      </c>
      <c r="D4619" s="1" t="str">
        <f>"CK2024102119842"</f>
        <v>CK2024102119842</v>
      </c>
      <c r="E4619" s="1" t="str">
        <f>"3723449183885724672"</f>
        <v>3723449183885724672</v>
      </c>
      <c r="F4619" s="1" t="str">
        <f t="shared" si="1499"/>
        <v>花都四部-凤凰仓</v>
      </c>
      <c r="G4619" s="1" t="str">
        <f t="shared" si="1503"/>
        <v>卡卡杜企业店（视频号）</v>
      </c>
      <c r="H4619" s="1" t="str">
        <f t="shared" si="1500"/>
        <v>正常订单</v>
      </c>
      <c r="I4619" s="1" t="str">
        <f t="shared" si="1501"/>
        <v>已发货</v>
      </c>
      <c r="J4619" s="1" t="str">
        <f t="shared" si="1504"/>
        <v>3</v>
      </c>
      <c r="K4619" s="1">
        <v>2</v>
      </c>
      <c r="L4619" s="1" t="s">
        <v>218</v>
      </c>
      <c r="M4619" s="1" t="str">
        <f>"天津 天津市 西青区 "</f>
        <v xml:space="preserve">天津 天津市 西青区 </v>
      </c>
      <c r="N4619" s="1" t="str">
        <f t="shared" si="1502"/>
        <v>凡华云仓-城南圆通-微信视频号</v>
      </c>
      <c r="O4619" s="5" t="s">
        <v>4647</v>
      </c>
      <c r="P4619" s="6">
        <v>0.24</v>
      </c>
      <c r="Q4619" s="11">
        <v>2</v>
      </c>
      <c r="R4619" s="11"/>
      <c r="S4619" s="11"/>
      <c r="T4619" s="11"/>
      <c r="U4619" s="11">
        <f t="shared" si="1497"/>
        <v>2</v>
      </c>
      <c r="W4619">
        <v>2.2000000000000002</v>
      </c>
      <c r="X4619" s="1" t="s">
        <v>218</v>
      </c>
    </row>
    <row r="4620" spans="1:24" x14ac:dyDescent="0.25">
      <c r="A4620" s="1" t="str">
        <f t="shared" si="1498"/>
        <v>卡卡杜-凤凰仓</v>
      </c>
      <c r="B4620" s="1" t="str">
        <f>"CK202410215058"</f>
        <v>CK202410215058</v>
      </c>
      <c r="C4620" s="1" t="str">
        <f>"DD2024102111165"</f>
        <v>DD2024102111165</v>
      </c>
      <c r="D4620" s="1" t="str">
        <f>"CK2024102119841"</f>
        <v>CK2024102119841</v>
      </c>
      <c r="E4620" s="1" t="str">
        <f>"3723449178477692160"</f>
        <v>3723449178477692160</v>
      </c>
      <c r="F4620" s="1" t="str">
        <f t="shared" si="1499"/>
        <v>花都四部-凤凰仓</v>
      </c>
      <c r="G4620" s="1" t="str">
        <f t="shared" si="1503"/>
        <v>卡卡杜企业店（视频号）</v>
      </c>
      <c r="H4620" s="1" t="str">
        <f t="shared" si="1500"/>
        <v>正常订单</v>
      </c>
      <c r="I4620" s="1" t="str">
        <f t="shared" si="1501"/>
        <v>已发货</v>
      </c>
      <c r="J4620" s="1" t="str">
        <f t="shared" si="1505"/>
        <v>2</v>
      </c>
      <c r="K4620" s="1">
        <v>2</v>
      </c>
      <c r="L4620" s="1" t="s">
        <v>54</v>
      </c>
      <c r="M4620" s="1" t="str">
        <f>"黑龙江省 鸡西市 虎林市 "</f>
        <v xml:space="preserve">黑龙江省 鸡西市 虎林市 </v>
      </c>
      <c r="N4620" s="1" t="str">
        <f t="shared" si="1502"/>
        <v>凡华云仓-城南圆通-微信视频号</v>
      </c>
      <c r="O4620" s="5" t="s">
        <v>4648</v>
      </c>
      <c r="P4620" s="6">
        <v>0.17</v>
      </c>
      <c r="Q4620" s="11">
        <v>2</v>
      </c>
      <c r="R4620" s="11"/>
      <c r="S4620" s="11"/>
      <c r="T4620" s="11"/>
      <c r="U4620" s="11">
        <f t="shared" si="1497"/>
        <v>2</v>
      </c>
      <c r="W4620">
        <v>2.2000000000000002</v>
      </c>
      <c r="X4620" s="1" t="s">
        <v>54</v>
      </c>
    </row>
    <row r="4621" spans="1:24" x14ac:dyDescent="0.25">
      <c r="A4621" s="1" t="str">
        <f t="shared" si="1498"/>
        <v>卡卡杜-凤凰仓</v>
      </c>
      <c r="B4621" s="1" t="str">
        <f>"CK202410215057"</f>
        <v>CK202410215057</v>
      </c>
      <c r="C4621" s="1" t="str">
        <f>"DD2024102111163"</f>
        <v>DD2024102111163</v>
      </c>
      <c r="D4621" s="1" t="str">
        <f>"CK2024102119840"</f>
        <v>CK2024102119840</v>
      </c>
      <c r="E4621" s="1" t="str">
        <f>"3723449149308142848"</f>
        <v>3723449149308142848</v>
      </c>
      <c r="F4621" s="1" t="str">
        <f t="shared" si="1499"/>
        <v>花都四部-凤凰仓</v>
      </c>
      <c r="G4621" s="1" t="str">
        <f t="shared" si="1503"/>
        <v>卡卡杜企业店（视频号）</v>
      </c>
      <c r="H4621" s="1" t="str">
        <f t="shared" si="1500"/>
        <v>正常订单</v>
      </c>
      <c r="I4621" s="1" t="str">
        <f t="shared" si="1501"/>
        <v>已发货</v>
      </c>
      <c r="J4621" s="1" t="str">
        <f t="shared" si="1505"/>
        <v>2</v>
      </c>
      <c r="K4621" s="1">
        <v>2</v>
      </c>
      <c r="L4621" s="1" t="s">
        <v>16</v>
      </c>
      <c r="M4621" s="1" t="str">
        <f>"河北省 石家庄市 裕华区 "</f>
        <v xml:space="preserve">河北省 石家庄市 裕华区 </v>
      </c>
      <c r="N4621" s="1" t="str">
        <f t="shared" si="1502"/>
        <v>凡华云仓-城南圆通-微信视频号</v>
      </c>
      <c r="O4621" s="5" t="s">
        <v>4649</v>
      </c>
      <c r="P4621" s="6">
        <v>0.17</v>
      </c>
      <c r="Q4621" s="11">
        <v>2</v>
      </c>
      <c r="R4621" s="11"/>
      <c r="S4621" s="11"/>
      <c r="T4621" s="11"/>
      <c r="U4621" s="11">
        <f t="shared" si="1497"/>
        <v>2</v>
      </c>
      <c r="W4621">
        <v>2.2000000000000002</v>
      </c>
      <c r="X4621" s="1" t="s">
        <v>16</v>
      </c>
    </row>
    <row r="4622" spans="1:24" x14ac:dyDescent="0.25">
      <c r="A4622" s="1" t="str">
        <f t="shared" si="1498"/>
        <v>卡卡杜-凤凰仓</v>
      </c>
      <c r="B4622" s="1" t="str">
        <f>"CK202410215039"</f>
        <v>CK202410215039</v>
      </c>
      <c r="C4622" s="1" t="str">
        <f>"DD2024102111142"</f>
        <v>DD2024102111142</v>
      </c>
      <c r="D4622" s="1" t="str">
        <f>"CK2024102119839"</f>
        <v>CK2024102119839</v>
      </c>
      <c r="E4622" s="1" t="str">
        <f>"3723449081992186880"</f>
        <v>3723449081992186880</v>
      </c>
      <c r="F4622" s="1" t="str">
        <f t="shared" si="1499"/>
        <v>花都四部-凤凰仓</v>
      </c>
      <c r="G4622" s="1" t="str">
        <f t="shared" si="1503"/>
        <v>卡卡杜企业店（视频号）</v>
      </c>
      <c r="H4622" s="1" t="str">
        <f t="shared" si="1500"/>
        <v>正常订单</v>
      </c>
      <c r="I4622" s="1" t="str">
        <f t="shared" si="1501"/>
        <v>已发货</v>
      </c>
      <c r="J4622" s="1" t="str">
        <f t="shared" si="1505"/>
        <v>2</v>
      </c>
      <c r="K4622" s="1">
        <v>2</v>
      </c>
      <c r="L4622" s="1" t="s">
        <v>161</v>
      </c>
      <c r="M4622" s="1" t="str">
        <f>"四川省 成都市 金牛区 "</f>
        <v xml:space="preserve">四川省 成都市 金牛区 </v>
      </c>
      <c r="N4622" s="1" t="str">
        <f t="shared" si="1502"/>
        <v>凡华云仓-城南圆通-微信视频号</v>
      </c>
      <c r="O4622" s="5" t="s">
        <v>4650</v>
      </c>
      <c r="P4622" s="6">
        <v>0.17</v>
      </c>
      <c r="Q4622" s="11">
        <v>2</v>
      </c>
      <c r="R4622" s="11"/>
      <c r="S4622" s="11"/>
      <c r="T4622" s="11"/>
      <c r="U4622" s="11">
        <f t="shared" si="1497"/>
        <v>2</v>
      </c>
      <c r="W4622">
        <v>2.2000000000000002</v>
      </c>
      <c r="X4622" s="1" t="s">
        <v>161</v>
      </c>
    </row>
    <row r="4623" spans="1:24" x14ac:dyDescent="0.25">
      <c r="A4623" s="1" t="str">
        <f t="shared" si="1498"/>
        <v>卡卡杜-凤凰仓</v>
      </c>
      <c r="B4623" s="1" t="str">
        <f>"CK202410215017"</f>
        <v>CK202410215017</v>
      </c>
      <c r="C4623" s="1" t="str">
        <f>"DD2024102111120"</f>
        <v>DD2024102111120</v>
      </c>
      <c r="D4623" s="1" t="str">
        <f>"CK2024102119838"</f>
        <v>CK2024102119838</v>
      </c>
      <c r="E4623" s="1" t="str">
        <f>"3723449063797294336"</f>
        <v>3723449063797294336</v>
      </c>
      <c r="F4623" s="1" t="str">
        <f t="shared" si="1499"/>
        <v>花都四部-凤凰仓</v>
      </c>
      <c r="G4623" s="1" t="str">
        <f t="shared" si="1503"/>
        <v>卡卡杜企业店（视频号）</v>
      </c>
      <c r="H4623" s="1" t="str">
        <f t="shared" si="1500"/>
        <v>正常订单</v>
      </c>
      <c r="I4623" s="1" t="str">
        <f t="shared" si="1501"/>
        <v>已发货</v>
      </c>
      <c r="J4623" s="1" t="str">
        <f t="shared" ref="J4623:J4641" si="1506">"3"</f>
        <v>3</v>
      </c>
      <c r="K4623" s="1">
        <v>2</v>
      </c>
      <c r="L4623" s="1" t="s">
        <v>187</v>
      </c>
      <c r="M4623" s="1" t="str">
        <f>"吉林省 长春市 南关区 "</f>
        <v xml:space="preserve">吉林省 长春市 南关区 </v>
      </c>
      <c r="N4623" s="1" t="str">
        <f t="shared" si="1502"/>
        <v>凡华云仓-城南圆通-微信视频号</v>
      </c>
      <c r="O4623" s="5" t="s">
        <v>4651</v>
      </c>
      <c r="P4623" s="6">
        <v>0.24</v>
      </c>
      <c r="Q4623" s="11">
        <v>2</v>
      </c>
      <c r="R4623" s="11"/>
      <c r="S4623" s="11"/>
      <c r="T4623" s="11"/>
      <c r="U4623" s="11">
        <f t="shared" si="1497"/>
        <v>2</v>
      </c>
      <c r="W4623">
        <v>2.2000000000000002</v>
      </c>
      <c r="X4623" s="1" t="s">
        <v>187</v>
      </c>
    </row>
    <row r="4624" spans="1:24" x14ac:dyDescent="0.25">
      <c r="A4624" s="1" t="str">
        <f t="shared" si="1498"/>
        <v>卡卡杜-凤凰仓</v>
      </c>
      <c r="B4624" s="1" t="str">
        <f>"CK202410214843"</f>
        <v>CK202410214843</v>
      </c>
      <c r="C4624" s="1" t="str">
        <f>"DD2024102110946"</f>
        <v>DD2024102110946</v>
      </c>
      <c r="D4624" s="1" t="str">
        <f>"CK2024102119837"</f>
        <v>CK2024102119837</v>
      </c>
      <c r="E4624" s="1" t="str">
        <f>"3723448999154420736"</f>
        <v>3723448999154420736</v>
      </c>
      <c r="F4624" s="1" t="str">
        <f t="shared" si="1499"/>
        <v>花都四部-凤凰仓</v>
      </c>
      <c r="G4624" s="1" t="str">
        <f t="shared" si="1503"/>
        <v>卡卡杜企业店（视频号）</v>
      </c>
      <c r="H4624" s="1" t="str">
        <f t="shared" si="1500"/>
        <v>正常订单</v>
      </c>
      <c r="I4624" s="1" t="str">
        <f t="shared" si="1501"/>
        <v>已发货</v>
      </c>
      <c r="J4624" s="1" t="str">
        <f t="shared" si="1506"/>
        <v>3</v>
      </c>
      <c r="K4624" s="1">
        <v>3</v>
      </c>
      <c r="L4624" s="1" t="s">
        <v>80</v>
      </c>
      <c r="M4624" s="1" t="str">
        <f>"河南省 三门峡市 陕州区 "</f>
        <v xml:space="preserve">河南省 三门峡市 陕州区 </v>
      </c>
      <c r="N4624" s="1" t="str">
        <f t="shared" si="1502"/>
        <v>凡华云仓-城南圆通-微信视频号</v>
      </c>
      <c r="O4624" s="5" t="s">
        <v>4652</v>
      </c>
      <c r="P4624" s="6">
        <v>0.34</v>
      </c>
      <c r="Q4624" s="11">
        <v>2.2999999999999998</v>
      </c>
      <c r="R4624" s="11"/>
      <c r="S4624" s="11"/>
      <c r="T4624" s="11"/>
      <c r="U4624" s="11">
        <f t="shared" si="1497"/>
        <v>2.2999999999999998</v>
      </c>
      <c r="W4624">
        <v>2.5</v>
      </c>
      <c r="X4624" s="1" t="s">
        <v>80</v>
      </c>
    </row>
    <row r="4625" spans="1:24" x14ac:dyDescent="0.25">
      <c r="A4625" s="1" t="str">
        <f t="shared" si="1498"/>
        <v>卡卡杜-凤凰仓</v>
      </c>
      <c r="B4625" s="1" t="str">
        <f>"CK202410214842"</f>
        <v>CK202410214842</v>
      </c>
      <c r="C4625" s="1" t="str">
        <f>"DD2024102110945"</f>
        <v>DD2024102110945</v>
      </c>
      <c r="D4625" s="1" t="str">
        <f>"CK2024102119836"</f>
        <v>CK2024102119836</v>
      </c>
      <c r="E4625" s="1" t="str">
        <f>"3723448957699494912"</f>
        <v>3723448957699494912</v>
      </c>
      <c r="F4625" s="1" t="str">
        <f t="shared" si="1499"/>
        <v>花都四部-凤凰仓</v>
      </c>
      <c r="G4625" s="1" t="str">
        <f t="shared" si="1503"/>
        <v>卡卡杜企业店（视频号）</v>
      </c>
      <c r="H4625" s="1" t="str">
        <f t="shared" si="1500"/>
        <v>正常订单</v>
      </c>
      <c r="I4625" s="1" t="str">
        <f t="shared" si="1501"/>
        <v>已发货</v>
      </c>
      <c r="J4625" s="1" t="str">
        <f t="shared" si="1506"/>
        <v>3</v>
      </c>
      <c r="K4625" s="1">
        <v>3</v>
      </c>
      <c r="L4625" s="1" t="s">
        <v>109</v>
      </c>
      <c r="M4625" s="1" t="str">
        <f>"山西省 长治市 屯留区 "</f>
        <v xml:space="preserve">山西省 长治市 屯留区 </v>
      </c>
      <c r="N4625" s="1" t="str">
        <f t="shared" si="1502"/>
        <v>凡华云仓-城南圆通-微信视频号</v>
      </c>
      <c r="O4625" s="5" t="s">
        <v>4653</v>
      </c>
      <c r="P4625" s="6">
        <v>0.34</v>
      </c>
      <c r="Q4625" s="11">
        <v>2.2999999999999998</v>
      </c>
      <c r="R4625" s="11"/>
      <c r="S4625" s="11"/>
      <c r="T4625" s="11"/>
      <c r="U4625" s="11">
        <f t="shared" si="1497"/>
        <v>2.2999999999999998</v>
      </c>
      <c r="W4625">
        <v>2.5</v>
      </c>
      <c r="X4625" s="1" t="s">
        <v>109</v>
      </c>
    </row>
    <row r="4626" spans="1:24" x14ac:dyDescent="0.25">
      <c r="A4626" s="1" t="str">
        <f t="shared" si="1498"/>
        <v>卡卡杜-凤凰仓</v>
      </c>
      <c r="B4626" s="1" t="str">
        <f>"CK202410215015"</f>
        <v>CK202410215015</v>
      </c>
      <c r="C4626" s="1" t="str">
        <f>"DD2024102111118"</f>
        <v>DD2024102111118</v>
      </c>
      <c r="D4626" s="1" t="str">
        <f>"CK2024102119835"</f>
        <v>CK2024102119835</v>
      </c>
      <c r="E4626" s="1" t="str">
        <f>"3723448948577144832"</f>
        <v>3723448948577144832</v>
      </c>
      <c r="F4626" s="1" t="str">
        <f t="shared" si="1499"/>
        <v>花都四部-凤凰仓</v>
      </c>
      <c r="G4626" s="1" t="str">
        <f t="shared" si="1503"/>
        <v>卡卡杜企业店（视频号）</v>
      </c>
      <c r="H4626" s="1" t="str">
        <f t="shared" si="1500"/>
        <v>正常订单</v>
      </c>
      <c r="I4626" s="1" t="str">
        <f t="shared" si="1501"/>
        <v>已发货</v>
      </c>
      <c r="J4626" s="1" t="str">
        <f t="shared" si="1506"/>
        <v>3</v>
      </c>
      <c r="K4626" s="1">
        <v>2</v>
      </c>
      <c r="L4626" s="1" t="s">
        <v>36</v>
      </c>
      <c r="M4626" s="1" t="str">
        <f>"安徽省 合肥市 包河区 "</f>
        <v xml:space="preserve">安徽省 合肥市 包河区 </v>
      </c>
      <c r="N4626" s="1" t="str">
        <f t="shared" si="1502"/>
        <v>凡华云仓-城南圆通-微信视频号</v>
      </c>
      <c r="O4626" s="5" t="s">
        <v>4654</v>
      </c>
      <c r="P4626" s="6">
        <v>0.24</v>
      </c>
      <c r="Q4626" s="11">
        <v>2</v>
      </c>
      <c r="R4626" s="11"/>
      <c r="S4626" s="11"/>
      <c r="T4626" s="11"/>
      <c r="U4626" s="11">
        <f t="shared" si="1497"/>
        <v>2</v>
      </c>
      <c r="W4626">
        <v>2.2000000000000002</v>
      </c>
      <c r="X4626" s="1" t="s">
        <v>36</v>
      </c>
    </row>
    <row r="4627" spans="1:24" x14ac:dyDescent="0.25">
      <c r="A4627" s="1" t="str">
        <f t="shared" si="1498"/>
        <v>卡卡杜-凤凰仓</v>
      </c>
      <c r="B4627" s="1" t="str">
        <f>"CK202410215108"</f>
        <v>CK202410215108</v>
      </c>
      <c r="C4627" s="1" t="str">
        <f>"DD2024102111213"</f>
        <v>DD2024102111213</v>
      </c>
      <c r="D4627" s="1" t="str">
        <f>"CK2024102119834"</f>
        <v>CK2024102119834</v>
      </c>
      <c r="E4627" s="1" t="str">
        <f>"3723448941755630848"</f>
        <v>3723448941755630848</v>
      </c>
      <c r="F4627" s="1" t="str">
        <f t="shared" si="1499"/>
        <v>花都四部-凤凰仓</v>
      </c>
      <c r="G4627" s="1" t="str">
        <f t="shared" si="1503"/>
        <v>卡卡杜企业店（视频号）</v>
      </c>
      <c r="H4627" s="1" t="str">
        <f t="shared" si="1500"/>
        <v>正常订单</v>
      </c>
      <c r="I4627" s="1" t="str">
        <f t="shared" si="1501"/>
        <v>已发货</v>
      </c>
      <c r="J4627" s="1" t="str">
        <f t="shared" si="1506"/>
        <v>3</v>
      </c>
      <c r="K4627" s="1">
        <v>3</v>
      </c>
      <c r="L4627" s="1" t="s">
        <v>105</v>
      </c>
      <c r="M4627" s="1" t="str">
        <f>"北京 北京市 顺义区 "</f>
        <v xml:space="preserve">北京 北京市 顺义区 </v>
      </c>
      <c r="N4627" s="1" t="str">
        <f t="shared" si="1502"/>
        <v>凡华云仓-城南圆通-微信视频号</v>
      </c>
      <c r="O4627" s="5" t="s">
        <v>4655</v>
      </c>
      <c r="P4627" s="6">
        <v>0.34</v>
      </c>
      <c r="Q4627" s="11">
        <v>2.2999999999999998</v>
      </c>
      <c r="R4627" s="11"/>
      <c r="S4627" s="11"/>
      <c r="T4627" s="11"/>
      <c r="U4627" s="11">
        <f t="shared" si="1497"/>
        <v>2.2999999999999998</v>
      </c>
      <c r="W4627">
        <v>2.5</v>
      </c>
      <c r="X4627" s="1" t="s">
        <v>105</v>
      </c>
    </row>
    <row r="4628" spans="1:24" x14ac:dyDescent="0.25">
      <c r="A4628" s="1" t="str">
        <f t="shared" si="1498"/>
        <v>卡卡杜-凤凰仓</v>
      </c>
      <c r="B4628" s="1" t="str">
        <f>"CK202410215109"</f>
        <v>CK202410215109</v>
      </c>
      <c r="C4628" s="1" t="str">
        <f>"DD2024102111215"</f>
        <v>DD2024102111215</v>
      </c>
      <c r="D4628" s="1" t="str">
        <f>"CK2024102119833"</f>
        <v>CK2024102119833</v>
      </c>
      <c r="E4628" s="1" t="str">
        <f>"3723448947347162368"</f>
        <v>3723448947347162368</v>
      </c>
      <c r="F4628" s="1" t="str">
        <f t="shared" si="1499"/>
        <v>花都四部-凤凰仓</v>
      </c>
      <c r="G4628" s="1" t="str">
        <f t="shared" si="1503"/>
        <v>卡卡杜企业店（视频号）</v>
      </c>
      <c r="H4628" s="1" t="str">
        <f t="shared" si="1500"/>
        <v>正常订单</v>
      </c>
      <c r="I4628" s="1" t="str">
        <f t="shared" si="1501"/>
        <v>已发货</v>
      </c>
      <c r="J4628" s="1" t="str">
        <f t="shared" si="1506"/>
        <v>3</v>
      </c>
      <c r="K4628" s="1">
        <v>3</v>
      </c>
      <c r="L4628" s="1" t="s">
        <v>30</v>
      </c>
      <c r="M4628" s="1" t="str">
        <f>"山东省 济南市 历下区 "</f>
        <v xml:space="preserve">山东省 济南市 历下区 </v>
      </c>
      <c r="N4628" s="1" t="str">
        <f t="shared" si="1502"/>
        <v>凡华云仓-城南圆通-微信视频号</v>
      </c>
      <c r="O4628" s="5" t="s">
        <v>4656</v>
      </c>
      <c r="P4628" s="6">
        <v>0.34</v>
      </c>
      <c r="Q4628" s="11">
        <v>2.2999999999999998</v>
      </c>
      <c r="R4628" s="11"/>
      <c r="S4628" s="11"/>
      <c r="T4628" s="11"/>
      <c r="U4628" s="11">
        <f t="shared" si="1497"/>
        <v>2.2999999999999998</v>
      </c>
      <c r="W4628">
        <v>2.5</v>
      </c>
      <c r="X4628" s="1" t="s">
        <v>30</v>
      </c>
    </row>
    <row r="4629" spans="1:24" x14ac:dyDescent="0.25">
      <c r="A4629" s="1" t="str">
        <f t="shared" si="1498"/>
        <v>卡卡杜-凤凰仓</v>
      </c>
      <c r="B4629" s="1" t="str">
        <f>"CK202410214836"</f>
        <v>CK202410214836</v>
      </c>
      <c r="C4629" s="1" t="str">
        <f>"DD2024102110939"</f>
        <v>DD2024102110939</v>
      </c>
      <c r="D4629" s="1" t="str">
        <f>"CK2024102119832"</f>
        <v>CK2024102119832</v>
      </c>
      <c r="E4629" s="1" t="str">
        <f>"3723448951150871808"</f>
        <v>3723448951150871808</v>
      </c>
      <c r="F4629" s="1" t="str">
        <f t="shared" si="1499"/>
        <v>花都四部-凤凰仓</v>
      </c>
      <c r="G4629" s="1" t="str">
        <f t="shared" si="1503"/>
        <v>卡卡杜企业店（视频号）</v>
      </c>
      <c r="H4629" s="1" t="str">
        <f t="shared" si="1500"/>
        <v>正常订单</v>
      </c>
      <c r="I4629" s="1" t="str">
        <f t="shared" si="1501"/>
        <v>已发货</v>
      </c>
      <c r="J4629" s="1" t="str">
        <f t="shared" si="1506"/>
        <v>3</v>
      </c>
      <c r="K4629" s="1">
        <v>3</v>
      </c>
      <c r="L4629" s="1" t="s">
        <v>30</v>
      </c>
      <c r="M4629" s="1" t="str">
        <f>"山东省 青岛市 黄岛区 "</f>
        <v xml:space="preserve">山东省 青岛市 黄岛区 </v>
      </c>
      <c r="N4629" s="1" t="str">
        <f t="shared" si="1502"/>
        <v>凡华云仓-城南圆通-微信视频号</v>
      </c>
      <c r="O4629" s="5" t="s">
        <v>4657</v>
      </c>
      <c r="P4629" s="6">
        <v>0.34</v>
      </c>
      <c r="Q4629" s="11">
        <v>2.2999999999999998</v>
      </c>
      <c r="R4629" s="11"/>
      <c r="S4629" s="11"/>
      <c r="T4629" s="11"/>
      <c r="U4629" s="11">
        <f t="shared" si="1497"/>
        <v>2.2999999999999998</v>
      </c>
      <c r="W4629">
        <v>2.5</v>
      </c>
      <c r="X4629" s="1" t="s">
        <v>30</v>
      </c>
    </row>
    <row r="4630" spans="1:24" x14ac:dyDescent="0.25">
      <c r="A4630" s="1" t="str">
        <f t="shared" si="1498"/>
        <v>卡卡杜-凤凰仓</v>
      </c>
      <c r="B4630" s="1" t="str">
        <f>"CK202410214840"</f>
        <v>CK202410214840</v>
      </c>
      <c r="C4630" s="1" t="str">
        <f>"DD2024102110943"</f>
        <v>DD2024102110943</v>
      </c>
      <c r="D4630" s="1" t="str">
        <f>"CK2024102119831"</f>
        <v>CK2024102119831</v>
      </c>
      <c r="E4630" s="1" t="str">
        <f>"3723448947632113152"</f>
        <v>3723448947632113152</v>
      </c>
      <c r="F4630" s="1" t="str">
        <f t="shared" si="1499"/>
        <v>花都四部-凤凰仓</v>
      </c>
      <c r="G4630" s="1" t="str">
        <f t="shared" si="1503"/>
        <v>卡卡杜企业店（视频号）</v>
      </c>
      <c r="H4630" s="1" t="str">
        <f t="shared" si="1500"/>
        <v>正常订单</v>
      </c>
      <c r="I4630" s="1" t="str">
        <f t="shared" si="1501"/>
        <v>已发货</v>
      </c>
      <c r="J4630" s="1" t="str">
        <f t="shared" si="1506"/>
        <v>3</v>
      </c>
      <c r="K4630" s="1">
        <v>3</v>
      </c>
      <c r="L4630" s="1" t="s">
        <v>36</v>
      </c>
      <c r="M4630" s="1" t="str">
        <f>"安徽省 安庆市 大观区 "</f>
        <v xml:space="preserve">安徽省 安庆市 大观区 </v>
      </c>
      <c r="N4630" s="1" t="str">
        <f t="shared" si="1502"/>
        <v>凡华云仓-城南圆通-微信视频号</v>
      </c>
      <c r="O4630" s="5" t="s">
        <v>4658</v>
      </c>
      <c r="P4630" s="6">
        <v>0.34</v>
      </c>
      <c r="Q4630" s="11">
        <v>2.2999999999999998</v>
      </c>
      <c r="R4630" s="11"/>
      <c r="S4630" s="11"/>
      <c r="T4630" s="11"/>
      <c r="U4630" s="11">
        <f t="shared" si="1497"/>
        <v>2.2999999999999998</v>
      </c>
      <c r="W4630">
        <v>2.5</v>
      </c>
      <c r="X4630" s="1" t="s">
        <v>36</v>
      </c>
    </row>
    <row r="4631" spans="1:24" x14ac:dyDescent="0.25">
      <c r="A4631" s="1" t="str">
        <f t="shared" si="1498"/>
        <v>卡卡杜-凤凰仓</v>
      </c>
      <c r="B4631" s="1" t="str">
        <f>"CK202410214839"</f>
        <v>CK202410214839</v>
      </c>
      <c r="C4631" s="1" t="str">
        <f>"DD2024102110942"</f>
        <v>DD2024102110942</v>
      </c>
      <c r="D4631" s="1" t="str">
        <f>"CK2024102119830"</f>
        <v>CK2024102119830</v>
      </c>
      <c r="E4631" s="1" t="str">
        <f>"3723448939146249472"</f>
        <v>3723448939146249472</v>
      </c>
      <c r="F4631" s="1" t="str">
        <f t="shared" si="1499"/>
        <v>花都四部-凤凰仓</v>
      </c>
      <c r="G4631" s="1" t="str">
        <f t="shared" si="1503"/>
        <v>卡卡杜企业店（视频号）</v>
      </c>
      <c r="H4631" s="1" t="str">
        <f t="shared" si="1500"/>
        <v>正常订单</v>
      </c>
      <c r="I4631" s="1" t="str">
        <f t="shared" si="1501"/>
        <v>已发货</v>
      </c>
      <c r="J4631" s="1" t="str">
        <f t="shared" si="1506"/>
        <v>3</v>
      </c>
      <c r="K4631" s="1">
        <v>3</v>
      </c>
      <c r="L4631" s="1" t="s">
        <v>96</v>
      </c>
      <c r="M4631" s="1" t="str">
        <f>"广西壮族自治区 南宁市 兴宁区 "</f>
        <v xml:space="preserve">广西壮族自治区 南宁市 兴宁区 </v>
      </c>
      <c r="N4631" s="1" t="str">
        <f t="shared" si="1502"/>
        <v>凡华云仓-城南圆通-微信视频号</v>
      </c>
      <c r="O4631" s="5" t="s">
        <v>4659</v>
      </c>
      <c r="P4631" s="6">
        <v>0.34</v>
      </c>
      <c r="Q4631" s="11">
        <v>2.2999999999999998</v>
      </c>
      <c r="R4631" s="11"/>
      <c r="S4631" s="11"/>
      <c r="T4631" s="11"/>
      <c r="U4631" s="11">
        <f t="shared" si="1497"/>
        <v>2.2999999999999998</v>
      </c>
      <c r="W4631">
        <v>2.5</v>
      </c>
      <c r="X4631" s="1" t="s">
        <v>96</v>
      </c>
    </row>
    <row r="4632" spans="1:24" x14ac:dyDescent="0.25">
      <c r="A4632" s="1" t="str">
        <f t="shared" si="1498"/>
        <v>卡卡杜-凤凰仓</v>
      </c>
      <c r="B4632" s="1" t="str">
        <f>"CK202410214845"</f>
        <v>CK202410214845</v>
      </c>
      <c r="C4632" s="1" t="str">
        <f>"DD2024102110948"</f>
        <v>DD2024102110948</v>
      </c>
      <c r="D4632" s="1" t="str">
        <f>"CK2024102119829"</f>
        <v>CK2024102119829</v>
      </c>
      <c r="E4632" s="1" t="str">
        <f>"3723448938659188736"</f>
        <v>3723448938659188736</v>
      </c>
      <c r="F4632" s="1" t="str">
        <f t="shared" si="1499"/>
        <v>花都四部-凤凰仓</v>
      </c>
      <c r="G4632" s="1" t="str">
        <f t="shared" si="1503"/>
        <v>卡卡杜企业店（视频号）</v>
      </c>
      <c r="H4632" s="1" t="str">
        <f t="shared" si="1500"/>
        <v>正常订单</v>
      </c>
      <c r="I4632" s="1" t="str">
        <f t="shared" si="1501"/>
        <v>已发货</v>
      </c>
      <c r="J4632" s="1" t="str">
        <f t="shared" si="1506"/>
        <v>3</v>
      </c>
      <c r="K4632" s="1">
        <v>3</v>
      </c>
      <c r="L4632" s="1" t="s">
        <v>218</v>
      </c>
      <c r="M4632" s="1" t="str">
        <f>"天津 天津市 西青区 "</f>
        <v xml:space="preserve">天津 天津市 西青区 </v>
      </c>
      <c r="N4632" s="1" t="str">
        <f t="shared" si="1502"/>
        <v>凡华云仓-城南圆通-微信视频号</v>
      </c>
      <c r="O4632" s="5" t="s">
        <v>4660</v>
      </c>
      <c r="P4632" s="6">
        <v>0.34</v>
      </c>
      <c r="Q4632" s="11">
        <v>2.2999999999999998</v>
      </c>
      <c r="R4632" s="11"/>
      <c r="S4632" s="11"/>
      <c r="T4632" s="11"/>
      <c r="U4632" s="11">
        <f t="shared" si="1497"/>
        <v>2.2999999999999998</v>
      </c>
      <c r="W4632">
        <v>2.5</v>
      </c>
      <c r="X4632" s="1" t="s">
        <v>218</v>
      </c>
    </row>
    <row r="4633" spans="1:24" x14ac:dyDescent="0.25">
      <c r="A4633" s="1" t="str">
        <f t="shared" si="1498"/>
        <v>卡卡杜-凤凰仓</v>
      </c>
      <c r="B4633" s="1" t="str">
        <f>"CK202410214837"</f>
        <v>CK202410214837</v>
      </c>
      <c r="C4633" s="1" t="str">
        <f>"DD2024102110940"</f>
        <v>DD2024102110940</v>
      </c>
      <c r="D4633" s="1" t="str">
        <f>"CK2024102119828"</f>
        <v>CK2024102119828</v>
      </c>
      <c r="E4633" s="1" t="str">
        <f>"3723448932520823808"</f>
        <v>3723448932520823808</v>
      </c>
      <c r="F4633" s="1" t="str">
        <f t="shared" si="1499"/>
        <v>花都四部-凤凰仓</v>
      </c>
      <c r="G4633" s="1" t="str">
        <f t="shared" si="1503"/>
        <v>卡卡杜企业店（视频号）</v>
      </c>
      <c r="H4633" s="1" t="str">
        <f t="shared" si="1500"/>
        <v>正常订单</v>
      </c>
      <c r="I4633" s="1" t="str">
        <f t="shared" si="1501"/>
        <v>已发货</v>
      </c>
      <c r="J4633" s="1" t="str">
        <f t="shared" si="1506"/>
        <v>3</v>
      </c>
      <c r="K4633" s="1">
        <v>3</v>
      </c>
      <c r="L4633" s="1" t="s">
        <v>105</v>
      </c>
      <c r="M4633" s="1" t="str">
        <f>"北京 北京市 海淀区 "</f>
        <v xml:space="preserve">北京 北京市 海淀区 </v>
      </c>
      <c r="N4633" s="1" t="str">
        <f t="shared" si="1502"/>
        <v>凡华云仓-城南圆通-微信视频号</v>
      </c>
      <c r="O4633" s="5" t="s">
        <v>4661</v>
      </c>
      <c r="P4633" s="6">
        <v>0.34</v>
      </c>
      <c r="Q4633" s="11">
        <v>2.2999999999999998</v>
      </c>
      <c r="R4633" s="11"/>
      <c r="S4633" s="11"/>
      <c r="T4633" s="11"/>
      <c r="U4633" s="11">
        <f t="shared" si="1497"/>
        <v>2.2999999999999998</v>
      </c>
      <c r="W4633">
        <v>2.5</v>
      </c>
      <c r="X4633" s="1" t="s">
        <v>105</v>
      </c>
    </row>
    <row r="4634" spans="1:24" x14ac:dyDescent="0.25">
      <c r="A4634" s="1" t="str">
        <f t="shared" si="1498"/>
        <v>卡卡杜-凤凰仓</v>
      </c>
      <c r="B4634" s="1" t="str">
        <f>"CK202410214831"</f>
        <v>CK202410214831</v>
      </c>
      <c r="C4634" s="1" t="str">
        <f>"DD2024102110934"</f>
        <v>DD2024102110934</v>
      </c>
      <c r="D4634" s="1" t="str">
        <f>"CK2024102119827"</f>
        <v>CK2024102119827</v>
      </c>
      <c r="E4634" s="1" t="str">
        <f>"3723448919734752256"</f>
        <v>3723448919734752256</v>
      </c>
      <c r="F4634" s="1" t="str">
        <f t="shared" si="1499"/>
        <v>花都四部-凤凰仓</v>
      </c>
      <c r="G4634" s="1" t="str">
        <f t="shared" si="1503"/>
        <v>卡卡杜企业店（视频号）</v>
      </c>
      <c r="H4634" s="1" t="str">
        <f t="shared" si="1500"/>
        <v>正常订单</v>
      </c>
      <c r="I4634" s="1" t="str">
        <f t="shared" si="1501"/>
        <v>已发货</v>
      </c>
      <c r="J4634" s="1" t="str">
        <f t="shared" si="1506"/>
        <v>3</v>
      </c>
      <c r="K4634" s="1">
        <v>3</v>
      </c>
      <c r="L4634" s="1" t="s">
        <v>105</v>
      </c>
      <c r="M4634" s="1" t="str">
        <f>"北京 北京市 朝阳区 "</f>
        <v xml:space="preserve">北京 北京市 朝阳区 </v>
      </c>
      <c r="N4634" s="1" t="str">
        <f t="shared" si="1502"/>
        <v>凡华云仓-城南圆通-微信视频号</v>
      </c>
      <c r="O4634" s="5" t="s">
        <v>4662</v>
      </c>
      <c r="P4634" s="6">
        <v>0.34</v>
      </c>
      <c r="Q4634" s="11">
        <v>2.2999999999999998</v>
      </c>
      <c r="R4634" s="11"/>
      <c r="S4634" s="11"/>
      <c r="T4634" s="11"/>
      <c r="U4634" s="11">
        <f t="shared" si="1497"/>
        <v>2.2999999999999998</v>
      </c>
      <c r="W4634">
        <v>2.5</v>
      </c>
      <c r="X4634" s="1" t="s">
        <v>105</v>
      </c>
    </row>
    <row r="4635" spans="1:24" x14ac:dyDescent="0.25">
      <c r="A4635" s="1" t="str">
        <f t="shared" si="1498"/>
        <v>卡卡杜-凤凰仓</v>
      </c>
      <c r="B4635" s="1" t="str">
        <f>"CK202410214830"</f>
        <v>CK202410214830</v>
      </c>
      <c r="C4635" s="1" t="str">
        <f>"DD2024102110933"</f>
        <v>DD2024102110933</v>
      </c>
      <c r="D4635" s="1" t="str">
        <f>"CK2024102119826"</f>
        <v>CK2024102119826</v>
      </c>
      <c r="E4635" s="1" t="str">
        <f>"3723448923838874880"</f>
        <v>3723448923838874880</v>
      </c>
      <c r="F4635" s="1" t="str">
        <f t="shared" si="1499"/>
        <v>花都四部-凤凰仓</v>
      </c>
      <c r="G4635" s="1" t="str">
        <f t="shared" si="1503"/>
        <v>卡卡杜企业店（视频号）</v>
      </c>
      <c r="H4635" s="1" t="str">
        <f t="shared" si="1500"/>
        <v>正常订单</v>
      </c>
      <c r="I4635" s="1" t="str">
        <f t="shared" si="1501"/>
        <v>已发货</v>
      </c>
      <c r="J4635" s="1" t="str">
        <f t="shared" si="1506"/>
        <v>3</v>
      </c>
      <c r="K4635" s="1">
        <v>3</v>
      </c>
      <c r="L4635" s="1" t="s">
        <v>32</v>
      </c>
      <c r="M4635" s="1" t="str">
        <f>"陕西省 宝鸡市 陈仓区 "</f>
        <v xml:space="preserve">陕西省 宝鸡市 陈仓区 </v>
      </c>
      <c r="N4635" s="1" t="str">
        <f t="shared" si="1502"/>
        <v>凡华云仓-城南圆通-微信视频号</v>
      </c>
      <c r="O4635" s="5" t="s">
        <v>4663</v>
      </c>
      <c r="P4635" s="6">
        <v>0.34</v>
      </c>
      <c r="Q4635" s="11">
        <v>2.2999999999999998</v>
      </c>
      <c r="R4635" s="11"/>
      <c r="S4635" s="11"/>
      <c r="T4635" s="11"/>
      <c r="U4635" s="11">
        <f t="shared" si="1497"/>
        <v>2.2999999999999998</v>
      </c>
      <c r="W4635">
        <v>2.5</v>
      </c>
      <c r="X4635" s="1" t="s">
        <v>32</v>
      </c>
    </row>
    <row r="4636" spans="1:24" x14ac:dyDescent="0.25">
      <c r="A4636" s="1" t="str">
        <f t="shared" si="1498"/>
        <v>卡卡杜-凤凰仓</v>
      </c>
      <c r="B4636" s="1" t="str">
        <f>"CK202410214832"</f>
        <v>CK202410214832</v>
      </c>
      <c r="C4636" s="1" t="str">
        <f>"DD2024102110935"</f>
        <v>DD2024102110935</v>
      </c>
      <c r="D4636" s="1" t="str">
        <f>"CK2024102119825"</f>
        <v>CK2024102119825</v>
      </c>
      <c r="E4636" s="1" t="str">
        <f>"3723448917066911744"</f>
        <v>3723448917066911744</v>
      </c>
      <c r="F4636" s="1" t="str">
        <f t="shared" si="1499"/>
        <v>花都四部-凤凰仓</v>
      </c>
      <c r="G4636" s="1" t="str">
        <f t="shared" si="1503"/>
        <v>卡卡杜企业店（视频号）</v>
      </c>
      <c r="H4636" s="1" t="str">
        <f t="shared" si="1500"/>
        <v>正常订单</v>
      </c>
      <c r="I4636" s="1" t="str">
        <f t="shared" si="1501"/>
        <v>已发货</v>
      </c>
      <c r="J4636" s="1" t="str">
        <f t="shared" si="1506"/>
        <v>3</v>
      </c>
      <c r="K4636" s="1">
        <v>3</v>
      </c>
      <c r="L4636" s="1" t="s">
        <v>47</v>
      </c>
      <c r="M4636" s="1" t="str">
        <f>"重庆 重庆市 九龙坡区 "</f>
        <v xml:space="preserve">重庆 重庆市 九龙坡区 </v>
      </c>
      <c r="N4636" s="1" t="str">
        <f t="shared" si="1502"/>
        <v>凡华云仓-城南圆通-微信视频号</v>
      </c>
      <c r="O4636" s="5" t="s">
        <v>4664</v>
      </c>
      <c r="P4636" s="6">
        <v>0.34</v>
      </c>
      <c r="Q4636" s="11">
        <v>2.2999999999999998</v>
      </c>
      <c r="R4636" s="11"/>
      <c r="S4636" s="11"/>
      <c r="T4636" s="11"/>
      <c r="U4636" s="11">
        <f t="shared" si="1497"/>
        <v>2.2999999999999998</v>
      </c>
      <c r="W4636">
        <v>2.5</v>
      </c>
      <c r="X4636" s="1" t="s">
        <v>47</v>
      </c>
    </row>
    <row r="4637" spans="1:24" x14ac:dyDescent="0.25">
      <c r="A4637" s="1" t="str">
        <f t="shared" si="1498"/>
        <v>卡卡杜-凤凰仓</v>
      </c>
      <c r="B4637" s="1" t="str">
        <f>"CK202410215106"</f>
        <v>CK202410215106</v>
      </c>
      <c r="C4637" s="1" t="str">
        <f>"DD2024102111210"</f>
        <v>DD2024102111210</v>
      </c>
      <c r="D4637" s="1" t="str">
        <f>"CK2024102119824"</f>
        <v>CK2024102119824</v>
      </c>
      <c r="E4637" s="1" t="str">
        <f>"3723448914613768192"</f>
        <v>3723448914613768192</v>
      </c>
      <c r="F4637" s="1" t="str">
        <f t="shared" si="1499"/>
        <v>花都四部-凤凰仓</v>
      </c>
      <c r="G4637" s="1" t="str">
        <f t="shared" si="1503"/>
        <v>卡卡杜企业店（视频号）</v>
      </c>
      <c r="H4637" s="1" t="str">
        <f t="shared" si="1500"/>
        <v>正常订单</v>
      </c>
      <c r="I4637" s="1" t="str">
        <f t="shared" si="1501"/>
        <v>已发货</v>
      </c>
      <c r="J4637" s="1" t="str">
        <f t="shared" si="1506"/>
        <v>3</v>
      </c>
      <c r="K4637" s="1">
        <v>3</v>
      </c>
      <c r="L4637" s="1" t="s">
        <v>30</v>
      </c>
      <c r="M4637" s="1" t="str">
        <f>"山东省 青岛市 市北区 "</f>
        <v xml:space="preserve">山东省 青岛市 市北区 </v>
      </c>
      <c r="N4637" s="1" t="str">
        <f t="shared" si="1502"/>
        <v>凡华云仓-城南圆通-微信视频号</v>
      </c>
      <c r="O4637" s="5" t="s">
        <v>4665</v>
      </c>
      <c r="P4637" s="6">
        <v>0.34</v>
      </c>
      <c r="Q4637" s="11">
        <v>2.2999999999999998</v>
      </c>
      <c r="R4637" s="11"/>
      <c r="S4637" s="11"/>
      <c r="T4637" s="11"/>
      <c r="U4637" s="11">
        <f t="shared" si="1497"/>
        <v>2.2999999999999998</v>
      </c>
      <c r="W4637">
        <v>2.5</v>
      </c>
      <c r="X4637" s="1" t="s">
        <v>30</v>
      </c>
    </row>
    <row r="4638" spans="1:24" x14ac:dyDescent="0.25">
      <c r="A4638" s="1" t="str">
        <f t="shared" si="1498"/>
        <v>卡卡杜-凤凰仓</v>
      </c>
      <c r="B4638" s="1" t="str">
        <f>"CK202410215105"</f>
        <v>CK202410215105</v>
      </c>
      <c r="C4638" s="1" t="str">
        <f>"DD2024102111209"</f>
        <v>DD2024102111209</v>
      </c>
      <c r="D4638" s="1" t="str">
        <f>"CK2024102119823"</f>
        <v>CK2024102119823</v>
      </c>
      <c r="E4638" s="1" t="str">
        <f>"3723448912425128960"</f>
        <v>3723448912425128960</v>
      </c>
      <c r="F4638" s="1" t="str">
        <f t="shared" si="1499"/>
        <v>花都四部-凤凰仓</v>
      </c>
      <c r="G4638" s="1" t="str">
        <f t="shared" si="1503"/>
        <v>卡卡杜企业店（视频号）</v>
      </c>
      <c r="H4638" s="1" t="str">
        <f t="shared" si="1500"/>
        <v>正常订单</v>
      </c>
      <c r="I4638" s="1" t="str">
        <f t="shared" si="1501"/>
        <v>已发货</v>
      </c>
      <c r="J4638" s="1" t="str">
        <f t="shared" si="1506"/>
        <v>3</v>
      </c>
      <c r="K4638" s="1">
        <v>3</v>
      </c>
      <c r="L4638" s="1" t="s">
        <v>74</v>
      </c>
      <c r="M4638" s="1" t="str">
        <f>"上海 上海市 浦东新区 "</f>
        <v xml:space="preserve">上海 上海市 浦东新区 </v>
      </c>
      <c r="N4638" s="1" t="str">
        <f t="shared" si="1502"/>
        <v>凡华云仓-城南圆通-微信视频号</v>
      </c>
      <c r="O4638" s="5" t="s">
        <v>4666</v>
      </c>
      <c r="P4638" s="6">
        <v>0.34</v>
      </c>
      <c r="Q4638" s="11">
        <v>2.2999999999999998</v>
      </c>
      <c r="R4638" s="11"/>
      <c r="S4638" s="11"/>
      <c r="T4638" s="11"/>
      <c r="U4638" s="11">
        <f t="shared" si="1497"/>
        <v>2.2999999999999998</v>
      </c>
      <c r="W4638">
        <v>2.5</v>
      </c>
      <c r="X4638" s="1" t="s">
        <v>74</v>
      </c>
    </row>
    <row r="4639" spans="1:24" x14ac:dyDescent="0.25">
      <c r="A4639" s="1" t="str">
        <f t="shared" si="1498"/>
        <v>卡卡杜-凤凰仓</v>
      </c>
      <c r="B4639" s="1" t="str">
        <f>"CK202410215107"</f>
        <v>CK202410215107</v>
      </c>
      <c r="C4639" s="1" t="str">
        <f>"DD2024102111214"</f>
        <v>DD2024102111214</v>
      </c>
      <c r="D4639" s="1" t="str">
        <f>"CK2024102119822"</f>
        <v>CK2024102119822</v>
      </c>
      <c r="E4639" s="1" t="str">
        <f>"3723448913575676928"</f>
        <v>3723448913575676928</v>
      </c>
      <c r="F4639" s="1" t="str">
        <f t="shared" si="1499"/>
        <v>花都四部-凤凰仓</v>
      </c>
      <c r="G4639" s="1" t="str">
        <f t="shared" si="1503"/>
        <v>卡卡杜企业店（视频号）</v>
      </c>
      <c r="H4639" s="1" t="str">
        <f t="shared" si="1500"/>
        <v>正常订单</v>
      </c>
      <c r="I4639" s="1" t="str">
        <f t="shared" si="1501"/>
        <v>已发货</v>
      </c>
      <c r="J4639" s="1" t="str">
        <f t="shared" si="1506"/>
        <v>3</v>
      </c>
      <c r="K4639" s="1">
        <v>3</v>
      </c>
      <c r="L4639" s="1" t="s">
        <v>18</v>
      </c>
      <c r="M4639" s="1" t="str">
        <f>"广东省 茂名市 茂南区 "</f>
        <v xml:space="preserve">广东省 茂名市 茂南区 </v>
      </c>
      <c r="N4639" s="1" t="str">
        <f t="shared" si="1502"/>
        <v>凡华云仓-城南圆通-微信视频号</v>
      </c>
      <c r="O4639" s="5" t="s">
        <v>4667</v>
      </c>
      <c r="P4639" s="6">
        <v>0.34</v>
      </c>
      <c r="Q4639" s="11">
        <v>2.2999999999999998</v>
      </c>
      <c r="R4639" s="11"/>
      <c r="S4639" s="11"/>
      <c r="T4639" s="11"/>
      <c r="U4639" s="11">
        <f t="shared" si="1497"/>
        <v>2.2999999999999998</v>
      </c>
      <c r="W4639">
        <v>2.5</v>
      </c>
      <c r="X4639" s="1" t="s">
        <v>18</v>
      </c>
    </row>
    <row r="4640" spans="1:24" x14ac:dyDescent="0.25">
      <c r="A4640" s="1" t="str">
        <f t="shared" si="1498"/>
        <v>卡卡杜-凤凰仓</v>
      </c>
      <c r="B4640" s="1" t="str">
        <f>"CK202410215012"</f>
        <v>CK202410215012</v>
      </c>
      <c r="C4640" s="1" t="str">
        <f>"DD2024102111115"</f>
        <v>DD2024102111115</v>
      </c>
      <c r="D4640" s="1" t="str">
        <f>"CK2024102119821"</f>
        <v>CK2024102119821</v>
      </c>
      <c r="E4640" s="1" t="str">
        <f>"3723448769634241536"</f>
        <v>3723448769634241536</v>
      </c>
      <c r="F4640" s="1" t="str">
        <f t="shared" si="1499"/>
        <v>花都四部-凤凰仓</v>
      </c>
      <c r="G4640" s="1" t="str">
        <f t="shared" si="1503"/>
        <v>卡卡杜企业店（视频号）</v>
      </c>
      <c r="H4640" s="1" t="str">
        <f t="shared" si="1500"/>
        <v>正常订单</v>
      </c>
      <c r="I4640" s="1" t="str">
        <f t="shared" si="1501"/>
        <v>已发货</v>
      </c>
      <c r="J4640" s="1" t="str">
        <f t="shared" si="1506"/>
        <v>3</v>
      </c>
      <c r="K4640" s="1">
        <v>2</v>
      </c>
      <c r="L4640" s="1" t="s">
        <v>30</v>
      </c>
      <c r="M4640" s="1" t="str">
        <f>"山东省 济南市 市中区 "</f>
        <v xml:space="preserve">山东省 济南市 市中区 </v>
      </c>
      <c r="N4640" s="1" t="str">
        <f t="shared" si="1502"/>
        <v>凡华云仓-城南圆通-微信视频号</v>
      </c>
      <c r="O4640" s="5" t="s">
        <v>4668</v>
      </c>
      <c r="P4640" s="6">
        <v>0.24</v>
      </c>
      <c r="Q4640" s="11">
        <v>2</v>
      </c>
      <c r="R4640" s="11"/>
      <c r="S4640" s="11"/>
      <c r="T4640" s="11"/>
      <c r="U4640" s="11">
        <f t="shared" si="1497"/>
        <v>2</v>
      </c>
      <c r="W4640">
        <v>2.2000000000000002</v>
      </c>
      <c r="X4640" s="1" t="s">
        <v>30</v>
      </c>
    </row>
    <row r="4641" spans="1:24" x14ac:dyDescent="0.25">
      <c r="A4641" s="1" t="str">
        <f t="shared" si="1498"/>
        <v>卡卡杜-凤凰仓</v>
      </c>
      <c r="B4641" s="1" t="str">
        <f>"CK202410215110"</f>
        <v>CK202410215110</v>
      </c>
      <c r="C4641" s="1" t="str">
        <f>"DD2024102111216"</f>
        <v>DD2024102111216</v>
      </c>
      <c r="D4641" s="1" t="str">
        <f>"CK2024102119820"</f>
        <v>CK2024102119820</v>
      </c>
      <c r="E4641" s="1" t="str">
        <f>"3723448767510351872"</f>
        <v>3723448767510351872</v>
      </c>
      <c r="F4641" s="1" t="str">
        <f t="shared" si="1499"/>
        <v>花都四部-凤凰仓</v>
      </c>
      <c r="G4641" s="1" t="str">
        <f t="shared" si="1503"/>
        <v>卡卡杜企业店（视频号）</v>
      </c>
      <c r="H4641" s="1" t="str">
        <f t="shared" si="1500"/>
        <v>正常订单</v>
      </c>
      <c r="I4641" s="1" t="str">
        <f t="shared" si="1501"/>
        <v>已发货</v>
      </c>
      <c r="J4641" s="1" t="str">
        <f t="shared" si="1506"/>
        <v>3</v>
      </c>
      <c r="K4641" s="1">
        <v>3</v>
      </c>
      <c r="L4641" s="1" t="s">
        <v>105</v>
      </c>
      <c r="M4641" s="1" t="str">
        <f>"北京 北京市 密云区 "</f>
        <v xml:space="preserve">北京 北京市 密云区 </v>
      </c>
      <c r="N4641" s="1" t="str">
        <f t="shared" si="1502"/>
        <v>凡华云仓-城南圆通-微信视频号</v>
      </c>
      <c r="O4641" s="5" t="s">
        <v>4669</v>
      </c>
      <c r="P4641" s="6">
        <v>0.34</v>
      </c>
      <c r="Q4641" s="11">
        <v>2.2999999999999998</v>
      </c>
      <c r="R4641" s="11"/>
      <c r="S4641" s="11"/>
      <c r="T4641" s="11"/>
      <c r="U4641" s="11">
        <f t="shared" si="1497"/>
        <v>2.2999999999999998</v>
      </c>
      <c r="W4641">
        <v>2.5</v>
      </c>
      <c r="X4641" s="1" t="s">
        <v>105</v>
      </c>
    </row>
    <row r="4642" spans="1:24" x14ac:dyDescent="0.25">
      <c r="A4642" s="1" t="str">
        <f t="shared" si="1498"/>
        <v>卡卡杜-凤凰仓</v>
      </c>
      <c r="B4642" s="1" t="str">
        <f>"CK202410215048"</f>
        <v>CK202410215048</v>
      </c>
      <c r="C4642" s="1" t="str">
        <f>"DD2024102111156"</f>
        <v>DD2024102111156</v>
      </c>
      <c r="D4642" s="1" t="str">
        <f>"CK2024102119819"</f>
        <v>CK2024102119819</v>
      </c>
      <c r="E4642" s="1" t="str">
        <f>"3723448732574418176"</f>
        <v>3723448732574418176</v>
      </c>
      <c r="F4642" s="1" t="str">
        <f t="shared" si="1499"/>
        <v>花都四部-凤凰仓</v>
      </c>
      <c r="G4642" s="1" t="str">
        <f t="shared" si="1503"/>
        <v>卡卡杜企业店（视频号）</v>
      </c>
      <c r="H4642" s="1" t="str">
        <f t="shared" si="1500"/>
        <v>正常订单</v>
      </c>
      <c r="I4642" s="1" t="str">
        <f t="shared" si="1501"/>
        <v>已发货</v>
      </c>
      <c r="J4642" s="1" t="str">
        <f t="shared" ref="J4642:J4645" si="1507">"2"</f>
        <v>2</v>
      </c>
      <c r="K4642" s="1">
        <v>2</v>
      </c>
      <c r="L4642" s="1" t="s">
        <v>218</v>
      </c>
      <c r="M4642" s="1" t="str">
        <f>"天津 天津市 河东区 "</f>
        <v xml:space="preserve">天津 天津市 河东区 </v>
      </c>
      <c r="N4642" s="1" t="str">
        <f t="shared" si="1502"/>
        <v>凡华云仓-城南圆通-微信视频号</v>
      </c>
      <c r="O4642" s="5" t="s">
        <v>4670</v>
      </c>
      <c r="P4642" s="6">
        <v>0.17</v>
      </c>
      <c r="Q4642" s="11">
        <v>2</v>
      </c>
      <c r="R4642" s="11"/>
      <c r="S4642" s="11"/>
      <c r="T4642" s="11"/>
      <c r="U4642" s="11">
        <f t="shared" si="1497"/>
        <v>2</v>
      </c>
      <c r="W4642">
        <v>2.2000000000000002</v>
      </c>
      <c r="X4642" s="1" t="s">
        <v>218</v>
      </c>
    </row>
    <row r="4643" spans="1:24" x14ac:dyDescent="0.25">
      <c r="A4643" s="1" t="str">
        <f t="shared" si="1498"/>
        <v>卡卡杜-凤凰仓</v>
      </c>
      <c r="B4643" s="1" t="str">
        <f>"CK202410215059"</f>
        <v>CK202410215059</v>
      </c>
      <c r="C4643" s="1" t="str">
        <f>"DD2024102111169"</f>
        <v>DD2024102111169</v>
      </c>
      <c r="D4643" s="1" t="str">
        <f>"CK2024102119818"</f>
        <v>CK2024102119818</v>
      </c>
      <c r="E4643" s="1" t="str">
        <f>"3723448716287413248"</f>
        <v>3723448716287413248</v>
      </c>
      <c r="F4643" s="1" t="str">
        <f t="shared" si="1499"/>
        <v>花都四部-凤凰仓</v>
      </c>
      <c r="G4643" s="1" t="str">
        <f t="shared" si="1503"/>
        <v>卡卡杜企业店（视频号）</v>
      </c>
      <c r="H4643" s="1" t="str">
        <f t="shared" si="1500"/>
        <v>正常订单</v>
      </c>
      <c r="I4643" s="1" t="str">
        <f t="shared" si="1501"/>
        <v>已发货</v>
      </c>
      <c r="J4643" s="1" t="str">
        <f t="shared" si="1507"/>
        <v>2</v>
      </c>
      <c r="K4643" s="1">
        <v>2</v>
      </c>
      <c r="L4643" s="1" t="s">
        <v>20</v>
      </c>
      <c r="M4643" s="1" t="str">
        <f>"浙江省 宁波市 余姚市 "</f>
        <v xml:space="preserve">浙江省 宁波市 余姚市 </v>
      </c>
      <c r="N4643" s="1" t="str">
        <f t="shared" si="1502"/>
        <v>凡华云仓-城南圆通-微信视频号</v>
      </c>
      <c r="O4643" s="5" t="s">
        <v>4671</v>
      </c>
      <c r="P4643" s="6">
        <v>0.17</v>
      </c>
      <c r="Q4643" s="11">
        <v>2</v>
      </c>
      <c r="R4643" s="11"/>
      <c r="S4643" s="11"/>
      <c r="T4643" s="11"/>
      <c r="U4643" s="11">
        <f t="shared" si="1497"/>
        <v>2</v>
      </c>
      <c r="W4643">
        <v>2.2000000000000002</v>
      </c>
      <c r="X4643" s="1" t="s">
        <v>20</v>
      </c>
    </row>
    <row r="4644" spans="1:24" x14ac:dyDescent="0.25">
      <c r="A4644" s="1" t="str">
        <f t="shared" si="1498"/>
        <v>卡卡杜-凤凰仓</v>
      </c>
      <c r="B4644" s="1" t="str">
        <f>"CK202410215047"</f>
        <v>CK202410215047</v>
      </c>
      <c r="C4644" s="1" t="str">
        <f>"DD2024102111155"</f>
        <v>DD2024102111155</v>
      </c>
      <c r="D4644" s="1" t="str">
        <f>"CK2024102119817"</f>
        <v>CK2024102119817</v>
      </c>
      <c r="E4644" s="1" t="str">
        <f>"3723448697607554304"</f>
        <v>3723448697607554304</v>
      </c>
      <c r="F4644" s="1" t="str">
        <f t="shared" si="1499"/>
        <v>花都四部-凤凰仓</v>
      </c>
      <c r="G4644" s="1" t="str">
        <f t="shared" si="1503"/>
        <v>卡卡杜企业店（视频号）</v>
      </c>
      <c r="H4644" s="1" t="str">
        <f t="shared" si="1500"/>
        <v>正常订单</v>
      </c>
      <c r="I4644" s="1" t="str">
        <f t="shared" si="1501"/>
        <v>已发货</v>
      </c>
      <c r="J4644" s="1" t="str">
        <f t="shared" si="1507"/>
        <v>2</v>
      </c>
      <c r="K4644" s="1">
        <v>2</v>
      </c>
      <c r="L4644" s="1" t="s">
        <v>13</v>
      </c>
      <c r="M4644" s="1" t="str">
        <f>"江苏省 苏州市 太仓市 "</f>
        <v xml:space="preserve">江苏省 苏州市 太仓市 </v>
      </c>
      <c r="N4644" s="1" t="str">
        <f t="shared" si="1502"/>
        <v>凡华云仓-城南圆通-微信视频号</v>
      </c>
      <c r="O4644" s="5" t="s">
        <v>4672</v>
      </c>
      <c r="P4644" s="6">
        <v>0.17</v>
      </c>
      <c r="Q4644" s="11">
        <v>2</v>
      </c>
      <c r="R4644" s="11"/>
      <c r="S4644" s="11"/>
      <c r="T4644" s="11"/>
      <c r="U4644" s="11">
        <f t="shared" si="1497"/>
        <v>2</v>
      </c>
      <c r="W4644">
        <v>2.2000000000000002</v>
      </c>
      <c r="X4644" s="1" t="s">
        <v>13</v>
      </c>
    </row>
    <row r="4645" spans="1:24" x14ac:dyDescent="0.25">
      <c r="A4645" s="1" t="str">
        <f t="shared" si="1498"/>
        <v>卡卡杜-凤凰仓</v>
      </c>
      <c r="B4645" s="1" t="str">
        <f>"CK202410215055"</f>
        <v>CK202410215055</v>
      </c>
      <c r="C4645" s="1" t="str">
        <f>"DD2024102111162"</f>
        <v>DD2024102111162</v>
      </c>
      <c r="D4645" s="1" t="str">
        <f>"CK2024102119816"</f>
        <v>CK2024102119816</v>
      </c>
      <c r="E4645" s="1" t="str">
        <f>"3723448695812918273"</f>
        <v>3723448695812918273</v>
      </c>
      <c r="F4645" s="1" t="str">
        <f t="shared" si="1499"/>
        <v>花都四部-凤凰仓</v>
      </c>
      <c r="G4645" s="1" t="str">
        <f t="shared" si="1503"/>
        <v>卡卡杜企业店（视频号）</v>
      </c>
      <c r="H4645" s="1" t="str">
        <f t="shared" si="1500"/>
        <v>正常订单</v>
      </c>
      <c r="I4645" s="1" t="str">
        <f t="shared" si="1501"/>
        <v>已发货</v>
      </c>
      <c r="J4645" s="1" t="str">
        <f t="shared" si="1507"/>
        <v>2</v>
      </c>
      <c r="K4645" s="1">
        <v>2</v>
      </c>
      <c r="L4645" s="1" t="s">
        <v>22</v>
      </c>
      <c r="M4645" s="1" t="str">
        <f>"江西省 抚州市 资溪县 "</f>
        <v xml:space="preserve">江西省 抚州市 资溪县 </v>
      </c>
      <c r="N4645" s="1" t="str">
        <f t="shared" si="1502"/>
        <v>凡华云仓-城南圆通-微信视频号</v>
      </c>
      <c r="O4645" s="5" t="s">
        <v>4673</v>
      </c>
      <c r="P4645" s="6">
        <v>0.17</v>
      </c>
      <c r="Q4645" s="11">
        <v>2</v>
      </c>
      <c r="R4645" s="11"/>
      <c r="S4645" s="11"/>
      <c r="T4645" s="11"/>
      <c r="U4645" s="11">
        <f t="shared" si="1497"/>
        <v>2</v>
      </c>
      <c r="W4645">
        <v>2.2000000000000002</v>
      </c>
      <c r="X4645" s="1" t="s">
        <v>22</v>
      </c>
    </row>
    <row r="4646" spans="1:24" x14ac:dyDescent="0.25">
      <c r="A4646" s="1" t="str">
        <f t="shared" si="1498"/>
        <v>卡卡杜-凤凰仓</v>
      </c>
      <c r="B4646" s="1" t="str">
        <f>"CK202410215114"</f>
        <v>CK202410215114</v>
      </c>
      <c r="C4646" s="1" t="str">
        <f>"DD2024102111220"</f>
        <v>DD2024102111220</v>
      </c>
      <c r="D4646" s="1" t="str">
        <f>"CK2024102119815"</f>
        <v>CK2024102119815</v>
      </c>
      <c r="E4646" s="1" t="str">
        <f>"3723448697639015424"</f>
        <v>3723448697639015424</v>
      </c>
      <c r="F4646" s="1" t="str">
        <f t="shared" si="1499"/>
        <v>花都四部-凤凰仓</v>
      </c>
      <c r="G4646" s="1" t="str">
        <f t="shared" si="1503"/>
        <v>卡卡杜企业店（视频号）</v>
      </c>
      <c r="H4646" s="1" t="str">
        <f t="shared" si="1500"/>
        <v>正常订单</v>
      </c>
      <c r="I4646" s="1" t="str">
        <f t="shared" si="1501"/>
        <v>已发货</v>
      </c>
      <c r="J4646" s="1" t="str">
        <f t="shared" ref="J4646:J4648" si="1508">"3"</f>
        <v>3</v>
      </c>
      <c r="K4646" s="1">
        <v>2</v>
      </c>
      <c r="L4646" s="1" t="s">
        <v>18</v>
      </c>
      <c r="M4646" s="1" t="str">
        <f>"广东省 茂名市 茂南区 "</f>
        <v xml:space="preserve">广东省 茂名市 茂南区 </v>
      </c>
      <c r="N4646" s="1" t="str">
        <f t="shared" si="1502"/>
        <v>凡华云仓-城南圆通-微信视频号</v>
      </c>
      <c r="O4646" s="5" t="s">
        <v>4674</v>
      </c>
      <c r="P4646" s="6">
        <v>0.24</v>
      </c>
      <c r="Q4646" s="11">
        <v>2</v>
      </c>
      <c r="R4646" s="11"/>
      <c r="S4646" s="11"/>
      <c r="T4646" s="11"/>
      <c r="U4646" s="11">
        <f t="shared" si="1497"/>
        <v>2</v>
      </c>
      <c r="W4646">
        <v>2.2000000000000002</v>
      </c>
      <c r="X4646" s="1" t="s">
        <v>18</v>
      </c>
    </row>
    <row r="4647" spans="1:24" x14ac:dyDescent="0.25">
      <c r="A4647" s="1" t="str">
        <f t="shared" si="1498"/>
        <v>卡卡杜-凤凰仓</v>
      </c>
      <c r="B4647" s="1" t="str">
        <f>"CK202410215011"</f>
        <v>CK202410215011</v>
      </c>
      <c r="C4647" s="1" t="str">
        <f>"DD2024102111114"</f>
        <v>DD2024102111114</v>
      </c>
      <c r="D4647" s="1" t="str">
        <f>"CK2024102119814"</f>
        <v>CK2024102119814</v>
      </c>
      <c r="E4647" s="1" t="str">
        <f>"3723448694593684736"</f>
        <v>3723448694593684736</v>
      </c>
      <c r="F4647" s="1" t="str">
        <f t="shared" si="1499"/>
        <v>花都四部-凤凰仓</v>
      </c>
      <c r="G4647" s="1" t="str">
        <f t="shared" si="1503"/>
        <v>卡卡杜企业店（视频号）</v>
      </c>
      <c r="H4647" s="1" t="str">
        <f t="shared" si="1500"/>
        <v>正常订单</v>
      </c>
      <c r="I4647" s="1" t="str">
        <f t="shared" si="1501"/>
        <v>已发货</v>
      </c>
      <c r="J4647" s="1" t="str">
        <f t="shared" si="1508"/>
        <v>3</v>
      </c>
      <c r="K4647" s="1">
        <v>2</v>
      </c>
      <c r="L4647" s="1" t="s">
        <v>41</v>
      </c>
      <c r="M4647" s="1" t="str">
        <f>"湖北省 武汉市 汉阳区 "</f>
        <v xml:space="preserve">湖北省 武汉市 汉阳区 </v>
      </c>
      <c r="N4647" s="1" t="str">
        <f t="shared" si="1502"/>
        <v>凡华云仓-城南圆通-微信视频号</v>
      </c>
      <c r="O4647" s="5" t="s">
        <v>4675</v>
      </c>
      <c r="P4647" s="6">
        <v>0.24</v>
      </c>
      <c r="Q4647" s="11">
        <v>2</v>
      </c>
      <c r="R4647" s="11"/>
      <c r="S4647" s="11"/>
      <c r="T4647" s="11"/>
      <c r="U4647" s="11">
        <f t="shared" si="1497"/>
        <v>2</v>
      </c>
      <c r="W4647">
        <v>2.2000000000000002</v>
      </c>
      <c r="X4647" s="1" t="s">
        <v>41</v>
      </c>
    </row>
    <row r="4648" spans="1:24" x14ac:dyDescent="0.25">
      <c r="A4648" s="1" t="str">
        <f t="shared" si="1498"/>
        <v>卡卡杜-凤凰仓</v>
      </c>
      <c r="B4648" s="1" t="str">
        <f>"CK202410215009"</f>
        <v>CK202410215009</v>
      </c>
      <c r="C4648" s="1" t="str">
        <f>"DD2024102111112"</f>
        <v>DD2024102111112</v>
      </c>
      <c r="D4648" s="1" t="str">
        <f>"CK2024102119813"</f>
        <v>CK2024102119813</v>
      </c>
      <c r="E4648" s="1" t="str">
        <f>"3723448693379960832"</f>
        <v>3723448693379960832</v>
      </c>
      <c r="F4648" s="1" t="str">
        <f t="shared" si="1499"/>
        <v>花都四部-凤凰仓</v>
      </c>
      <c r="G4648" s="1" t="str">
        <f t="shared" si="1503"/>
        <v>卡卡杜企业店（视频号）</v>
      </c>
      <c r="H4648" s="1" t="str">
        <f t="shared" si="1500"/>
        <v>正常订单</v>
      </c>
      <c r="I4648" s="1" t="str">
        <f t="shared" si="1501"/>
        <v>已发货</v>
      </c>
      <c r="J4648" s="1" t="str">
        <f t="shared" si="1508"/>
        <v>3</v>
      </c>
      <c r="K4648" s="1">
        <v>2</v>
      </c>
      <c r="L4648" s="1" t="s">
        <v>94</v>
      </c>
      <c r="M4648" s="1" t="str">
        <f>"湖南省 长沙市 雨花区 "</f>
        <v xml:space="preserve">湖南省 长沙市 雨花区 </v>
      </c>
      <c r="N4648" s="1" t="str">
        <f t="shared" si="1502"/>
        <v>凡华云仓-城南圆通-微信视频号</v>
      </c>
      <c r="O4648" s="5" t="s">
        <v>4676</v>
      </c>
      <c r="P4648" s="6">
        <v>0.24</v>
      </c>
      <c r="Q4648" s="11">
        <v>2</v>
      </c>
      <c r="R4648" s="11"/>
      <c r="S4648" s="11"/>
      <c r="T4648" s="11"/>
      <c r="U4648" s="11">
        <f t="shared" si="1497"/>
        <v>2</v>
      </c>
      <c r="W4648">
        <v>2.2000000000000002</v>
      </c>
      <c r="X4648" s="1" t="s">
        <v>94</v>
      </c>
    </row>
    <row r="4649" spans="1:24" x14ac:dyDescent="0.25">
      <c r="A4649" s="1" t="str">
        <f t="shared" si="1498"/>
        <v>卡卡杜-凤凰仓</v>
      </c>
      <c r="B4649" s="1" t="str">
        <f>"CK202410215053"</f>
        <v>CK202410215053</v>
      </c>
      <c r="C4649" s="1" t="str">
        <f>"DD2024102111164"</f>
        <v>DD2024102111164</v>
      </c>
      <c r="D4649" s="1" t="str">
        <f>"CK2024102119812"</f>
        <v>CK2024102119812</v>
      </c>
      <c r="E4649" s="1" t="str">
        <f>"3723448692553942528"</f>
        <v>3723448692553942528</v>
      </c>
      <c r="F4649" s="1" t="str">
        <f t="shared" si="1499"/>
        <v>花都四部-凤凰仓</v>
      </c>
      <c r="G4649" s="1" t="str">
        <f t="shared" si="1503"/>
        <v>卡卡杜企业店（视频号）</v>
      </c>
      <c r="H4649" s="1" t="str">
        <f t="shared" si="1500"/>
        <v>正常订单</v>
      </c>
      <c r="I4649" s="1" t="str">
        <f t="shared" si="1501"/>
        <v>已发货</v>
      </c>
      <c r="J4649" s="1" t="str">
        <f t="shared" ref="J4649:J4652" si="1509">"2"</f>
        <v>2</v>
      </c>
      <c r="K4649" s="1">
        <v>2</v>
      </c>
      <c r="L4649" s="1" t="s">
        <v>105</v>
      </c>
      <c r="M4649" s="1" t="str">
        <f>"北京 北京市 朝阳区 "</f>
        <v xml:space="preserve">北京 北京市 朝阳区 </v>
      </c>
      <c r="N4649" s="1" t="str">
        <f t="shared" si="1502"/>
        <v>凡华云仓-城南圆通-微信视频号</v>
      </c>
      <c r="O4649" s="5" t="s">
        <v>4677</v>
      </c>
      <c r="P4649" s="6">
        <v>0.17</v>
      </c>
      <c r="Q4649" s="11">
        <v>2</v>
      </c>
      <c r="R4649" s="11"/>
      <c r="S4649" s="11"/>
      <c r="T4649" s="11"/>
      <c r="U4649" s="11">
        <f t="shared" si="1497"/>
        <v>2</v>
      </c>
      <c r="W4649">
        <v>2.2000000000000002</v>
      </c>
      <c r="X4649" s="1" t="s">
        <v>105</v>
      </c>
    </row>
    <row r="4650" spans="1:24" x14ac:dyDescent="0.25">
      <c r="A4650" s="1" t="str">
        <f t="shared" si="1498"/>
        <v>卡卡杜-凤凰仓</v>
      </c>
      <c r="B4650" s="1" t="str">
        <f>"CK202410215030"</f>
        <v>CK202410215030</v>
      </c>
      <c r="C4650" s="1" t="str">
        <f>"DD2024102111132"</f>
        <v>DD2024102111132</v>
      </c>
      <c r="D4650" s="1" t="str">
        <f>"CK2024102119811"</f>
        <v>CK2024102119811</v>
      </c>
      <c r="E4650" s="1" t="str">
        <f>"3723448688878162944"</f>
        <v>3723448688878162944</v>
      </c>
      <c r="F4650" s="1" t="str">
        <f t="shared" si="1499"/>
        <v>花都四部-凤凰仓</v>
      </c>
      <c r="G4650" s="1" t="str">
        <f t="shared" si="1503"/>
        <v>卡卡杜企业店（视频号）</v>
      </c>
      <c r="H4650" s="1" t="str">
        <f t="shared" si="1500"/>
        <v>正常订单</v>
      </c>
      <c r="I4650" s="1" t="str">
        <f t="shared" si="1501"/>
        <v>已发货</v>
      </c>
      <c r="J4650" s="1" t="str">
        <f t="shared" si="1509"/>
        <v>2</v>
      </c>
      <c r="K4650" s="1">
        <v>2</v>
      </c>
      <c r="L4650" s="1" t="s">
        <v>47</v>
      </c>
      <c r="M4650" s="1" t="str">
        <f>"重庆 重庆市 沙坪坝区 "</f>
        <v xml:space="preserve">重庆 重庆市 沙坪坝区 </v>
      </c>
      <c r="N4650" s="1" t="str">
        <f t="shared" si="1502"/>
        <v>凡华云仓-城南圆通-微信视频号</v>
      </c>
      <c r="O4650" s="5" t="s">
        <v>4678</v>
      </c>
      <c r="P4650" s="6">
        <v>0.17</v>
      </c>
      <c r="Q4650" s="11">
        <v>2</v>
      </c>
      <c r="R4650" s="11"/>
      <c r="S4650" s="11"/>
      <c r="T4650" s="11"/>
      <c r="U4650" s="11">
        <f t="shared" si="1497"/>
        <v>2</v>
      </c>
      <c r="W4650">
        <v>2.2000000000000002</v>
      </c>
      <c r="X4650" s="1" t="s">
        <v>47</v>
      </c>
    </row>
    <row r="4651" spans="1:24" x14ac:dyDescent="0.25">
      <c r="A4651" s="1" t="str">
        <f t="shared" si="1498"/>
        <v>卡卡杜-凤凰仓</v>
      </c>
      <c r="B4651" s="1" t="str">
        <f>"CK202410215013"</f>
        <v>CK202410215013</v>
      </c>
      <c r="C4651" s="1" t="str">
        <f>"DD2024102111116"</f>
        <v>DD2024102111116</v>
      </c>
      <c r="D4651" s="1" t="str">
        <f>"CK2024102119810"</f>
        <v>CK2024102119810</v>
      </c>
      <c r="E4651" s="1" t="str">
        <f>"3723448691269964800"</f>
        <v>3723448691269964800</v>
      </c>
      <c r="F4651" s="1" t="str">
        <f t="shared" si="1499"/>
        <v>花都四部-凤凰仓</v>
      </c>
      <c r="G4651" s="1" t="str">
        <f t="shared" si="1503"/>
        <v>卡卡杜企业店（视频号）</v>
      </c>
      <c r="H4651" s="1" t="str">
        <f t="shared" si="1500"/>
        <v>正常订单</v>
      </c>
      <c r="I4651" s="1" t="str">
        <f t="shared" si="1501"/>
        <v>已发货</v>
      </c>
      <c r="J4651" s="1" t="str">
        <f t="shared" ref="J4651:J4656" si="1510">"3"</f>
        <v>3</v>
      </c>
      <c r="K4651" s="1">
        <v>2</v>
      </c>
      <c r="L4651" s="1" t="s">
        <v>74</v>
      </c>
      <c r="M4651" s="1" t="str">
        <f>"上海 上海市 黄浦区 "</f>
        <v xml:space="preserve">上海 上海市 黄浦区 </v>
      </c>
      <c r="N4651" s="1" t="str">
        <f t="shared" si="1502"/>
        <v>凡华云仓-城南圆通-微信视频号</v>
      </c>
      <c r="O4651" s="5" t="s">
        <v>4679</v>
      </c>
      <c r="P4651" s="6">
        <v>0.24</v>
      </c>
      <c r="Q4651" s="11">
        <v>2</v>
      </c>
      <c r="R4651" s="11"/>
      <c r="S4651" s="11"/>
      <c r="T4651" s="11"/>
      <c r="U4651" s="11">
        <f t="shared" si="1497"/>
        <v>2</v>
      </c>
      <c r="W4651">
        <v>2.2000000000000002</v>
      </c>
      <c r="X4651" s="1" t="s">
        <v>74</v>
      </c>
    </row>
    <row r="4652" spans="1:24" x14ac:dyDescent="0.25">
      <c r="A4652" s="1" t="str">
        <f t="shared" si="1498"/>
        <v>卡卡杜-凤凰仓</v>
      </c>
      <c r="B4652" s="1" t="str">
        <f>"CK202410215037"</f>
        <v>CK202410215037</v>
      </c>
      <c r="C4652" s="1" t="str">
        <f>"DD2024102111140"</f>
        <v>DD2024102111140</v>
      </c>
      <c r="D4652" s="1" t="str">
        <f>"CK2024102119809"</f>
        <v>CK2024102119809</v>
      </c>
      <c r="E4652" s="1" t="str">
        <f>"3723448690155850752"</f>
        <v>3723448690155850752</v>
      </c>
      <c r="F4652" s="1" t="str">
        <f t="shared" si="1499"/>
        <v>花都四部-凤凰仓</v>
      </c>
      <c r="G4652" s="1" t="str">
        <f t="shared" si="1503"/>
        <v>卡卡杜企业店（视频号）</v>
      </c>
      <c r="H4652" s="1" t="str">
        <f t="shared" si="1500"/>
        <v>正常订单</v>
      </c>
      <c r="I4652" s="1" t="str">
        <f t="shared" si="1501"/>
        <v>已发货</v>
      </c>
      <c r="J4652" s="1" t="str">
        <f t="shared" si="1509"/>
        <v>2</v>
      </c>
      <c r="K4652" s="1">
        <v>2</v>
      </c>
      <c r="L4652" s="1" t="s">
        <v>16</v>
      </c>
      <c r="M4652" s="1" t="str">
        <f>"河北省 邯郸市 丛台区 "</f>
        <v xml:space="preserve">河北省 邯郸市 丛台区 </v>
      </c>
      <c r="N4652" s="1" t="str">
        <f t="shared" si="1502"/>
        <v>凡华云仓-城南圆通-微信视频号</v>
      </c>
      <c r="O4652" s="5" t="s">
        <v>4680</v>
      </c>
      <c r="P4652" s="6">
        <v>0.17</v>
      </c>
      <c r="Q4652" s="11">
        <v>2</v>
      </c>
      <c r="R4652" s="11"/>
      <c r="S4652" s="11"/>
      <c r="T4652" s="11"/>
      <c r="U4652" s="11">
        <f t="shared" si="1497"/>
        <v>2</v>
      </c>
      <c r="W4652">
        <v>2.2000000000000002</v>
      </c>
      <c r="X4652" s="1" t="s">
        <v>16</v>
      </c>
    </row>
    <row r="4653" spans="1:24" x14ac:dyDescent="0.25">
      <c r="A4653" s="1" t="str">
        <f t="shared" si="1498"/>
        <v>卡卡杜-凤凰仓</v>
      </c>
      <c r="B4653" s="1" t="str">
        <f>"CK202410215010"</f>
        <v>CK202410215010</v>
      </c>
      <c r="C4653" s="1" t="str">
        <f>"DD2024102111113"</f>
        <v>DD2024102111113</v>
      </c>
      <c r="D4653" s="1" t="str">
        <f>"CK2024102119808"</f>
        <v>CK2024102119808</v>
      </c>
      <c r="E4653" s="1" t="str">
        <f>"3723448685350487296"</f>
        <v>3723448685350487296</v>
      </c>
      <c r="F4653" s="1" t="str">
        <f t="shared" si="1499"/>
        <v>花都四部-凤凰仓</v>
      </c>
      <c r="G4653" s="1" t="str">
        <f t="shared" si="1503"/>
        <v>卡卡杜企业店（视频号）</v>
      </c>
      <c r="H4653" s="1" t="str">
        <f t="shared" si="1500"/>
        <v>正常订单</v>
      </c>
      <c r="I4653" s="1" t="str">
        <f t="shared" si="1501"/>
        <v>已发货</v>
      </c>
      <c r="J4653" s="1" t="str">
        <f t="shared" si="1510"/>
        <v>3</v>
      </c>
      <c r="K4653" s="1">
        <v>2</v>
      </c>
      <c r="L4653" s="1" t="s">
        <v>74</v>
      </c>
      <c r="M4653" s="1" t="str">
        <f>"上海 上海市 黄浦区 "</f>
        <v xml:space="preserve">上海 上海市 黄浦区 </v>
      </c>
      <c r="N4653" s="1" t="str">
        <f t="shared" si="1502"/>
        <v>凡华云仓-城南圆通-微信视频号</v>
      </c>
      <c r="O4653" s="5" t="s">
        <v>4681</v>
      </c>
      <c r="P4653" s="6">
        <v>0.24</v>
      </c>
      <c r="Q4653" s="11">
        <v>2</v>
      </c>
      <c r="R4653" s="11"/>
      <c r="S4653" s="11"/>
      <c r="T4653" s="11"/>
      <c r="U4653" s="11">
        <f t="shared" si="1497"/>
        <v>2</v>
      </c>
      <c r="W4653">
        <v>2.2000000000000002</v>
      </c>
      <c r="X4653" s="1" t="s">
        <v>74</v>
      </c>
    </row>
    <row r="4654" spans="1:24" x14ac:dyDescent="0.25">
      <c r="A4654" s="1" t="str">
        <f t="shared" si="1498"/>
        <v>卡卡杜-凤凰仓</v>
      </c>
      <c r="B4654" s="1" t="str">
        <f>"CK202410214996"</f>
        <v>CK202410214996</v>
      </c>
      <c r="C4654" s="1" t="str">
        <f>"DD2024102111099"</f>
        <v>DD2024102111099</v>
      </c>
      <c r="D4654" s="1" t="str">
        <f>"CK2024102119807"</f>
        <v>CK2024102119807</v>
      </c>
      <c r="E4654" s="1" t="str">
        <f>"3723448686164706816"</f>
        <v>3723448686164706816</v>
      </c>
      <c r="F4654" s="1" t="str">
        <f t="shared" si="1499"/>
        <v>花都四部-凤凰仓</v>
      </c>
      <c r="G4654" s="1" t="str">
        <f t="shared" si="1503"/>
        <v>卡卡杜企业店（视频号）</v>
      </c>
      <c r="H4654" s="1" t="str">
        <f t="shared" si="1500"/>
        <v>正常订单</v>
      </c>
      <c r="I4654" s="1" t="str">
        <f t="shared" si="1501"/>
        <v>已发货</v>
      </c>
      <c r="J4654" s="1" t="str">
        <f t="shared" si="1510"/>
        <v>3</v>
      </c>
      <c r="K4654" s="1">
        <v>2</v>
      </c>
      <c r="L4654" s="1" t="s">
        <v>96</v>
      </c>
      <c r="M4654" s="1" t="str">
        <f>"广西壮族自治区 防城港市 港口区 "</f>
        <v xml:space="preserve">广西壮族自治区 防城港市 港口区 </v>
      </c>
      <c r="N4654" s="1" t="str">
        <f t="shared" si="1502"/>
        <v>凡华云仓-城南圆通-微信视频号</v>
      </c>
      <c r="O4654" s="5" t="s">
        <v>4682</v>
      </c>
      <c r="P4654" s="6">
        <v>0.24</v>
      </c>
      <c r="Q4654" s="11">
        <v>2</v>
      </c>
      <c r="R4654" s="11"/>
      <c r="S4654" s="11"/>
      <c r="T4654" s="11"/>
      <c r="U4654" s="11">
        <f t="shared" si="1497"/>
        <v>2</v>
      </c>
      <c r="W4654">
        <v>2.2000000000000002</v>
      </c>
      <c r="X4654" s="1" t="s">
        <v>96</v>
      </c>
    </row>
    <row r="4655" spans="1:24" x14ac:dyDescent="0.25">
      <c r="A4655" s="1" t="str">
        <f t="shared" si="1498"/>
        <v>卡卡杜-凤凰仓</v>
      </c>
      <c r="B4655" s="1" t="str">
        <f>"CK202410215003"</f>
        <v>CK202410215003</v>
      </c>
      <c r="C4655" s="1" t="str">
        <f>"DD2024102111107"</f>
        <v>DD2024102111107</v>
      </c>
      <c r="D4655" s="1" t="str">
        <f>"CK2024102119806"</f>
        <v>CK2024102119806</v>
      </c>
      <c r="E4655" s="1" t="str">
        <f>"3723448647088477184"</f>
        <v>3723448647088477184</v>
      </c>
      <c r="F4655" s="1" t="str">
        <f t="shared" si="1499"/>
        <v>花都四部-凤凰仓</v>
      </c>
      <c r="G4655" s="1" t="str">
        <f t="shared" si="1503"/>
        <v>卡卡杜企业店（视频号）</v>
      </c>
      <c r="H4655" s="1" t="str">
        <f t="shared" si="1500"/>
        <v>正常订单</v>
      </c>
      <c r="I4655" s="1" t="str">
        <f t="shared" si="1501"/>
        <v>已发货</v>
      </c>
      <c r="J4655" s="1" t="str">
        <f t="shared" si="1510"/>
        <v>3</v>
      </c>
      <c r="K4655" s="1">
        <v>2</v>
      </c>
      <c r="L4655" s="1" t="s">
        <v>18</v>
      </c>
      <c r="M4655" s="1" t="str">
        <f>"广东省 深圳市 福田区 "</f>
        <v xml:space="preserve">广东省 深圳市 福田区 </v>
      </c>
      <c r="N4655" s="1" t="str">
        <f t="shared" si="1502"/>
        <v>凡华云仓-城南圆通-微信视频号</v>
      </c>
      <c r="O4655" s="5" t="s">
        <v>4683</v>
      </c>
      <c r="P4655" s="6">
        <v>0.24</v>
      </c>
      <c r="Q4655" s="11">
        <v>2</v>
      </c>
      <c r="R4655" s="11"/>
      <c r="S4655" s="11"/>
      <c r="T4655" s="11"/>
      <c r="U4655" s="11">
        <f t="shared" si="1497"/>
        <v>2</v>
      </c>
      <c r="W4655">
        <v>2.2000000000000002</v>
      </c>
      <c r="X4655" s="1" t="s">
        <v>18</v>
      </c>
    </row>
    <row r="4656" spans="1:24" x14ac:dyDescent="0.25">
      <c r="A4656" s="1" t="str">
        <f t="shared" si="1498"/>
        <v>卡卡杜-凤凰仓</v>
      </c>
      <c r="B4656" s="1" t="str">
        <f>"CK202410215008"</f>
        <v>CK202410215008</v>
      </c>
      <c r="C4656" s="1" t="str">
        <f>"DD2024102111111"</f>
        <v>DD2024102111111</v>
      </c>
      <c r="D4656" s="1" t="str">
        <f>"CK2024102119805"</f>
        <v>CK2024102119805</v>
      </c>
      <c r="E4656" s="1" t="str">
        <f>"3723448682187459584"</f>
        <v>3723448682187459584</v>
      </c>
      <c r="F4656" s="1" t="str">
        <f t="shared" si="1499"/>
        <v>花都四部-凤凰仓</v>
      </c>
      <c r="G4656" s="1" t="str">
        <f t="shared" si="1503"/>
        <v>卡卡杜企业店（视频号）</v>
      </c>
      <c r="H4656" s="1" t="str">
        <f t="shared" si="1500"/>
        <v>正常订单</v>
      </c>
      <c r="I4656" s="1" t="str">
        <f t="shared" si="1501"/>
        <v>已发货</v>
      </c>
      <c r="J4656" s="1" t="str">
        <f t="shared" si="1510"/>
        <v>3</v>
      </c>
      <c r="K4656" s="1">
        <v>2</v>
      </c>
      <c r="L4656" s="1" t="s">
        <v>60</v>
      </c>
      <c r="M4656" s="1" t="str">
        <f>"云南省 昆明市 盘龙区 "</f>
        <v xml:space="preserve">云南省 昆明市 盘龙区 </v>
      </c>
      <c r="N4656" s="1" t="str">
        <f t="shared" si="1502"/>
        <v>凡华云仓-城南圆通-微信视频号</v>
      </c>
      <c r="O4656" s="5" t="s">
        <v>4684</v>
      </c>
      <c r="P4656" s="6">
        <v>0.24</v>
      </c>
      <c r="Q4656" s="11">
        <v>2</v>
      </c>
      <c r="R4656" s="11"/>
      <c r="S4656" s="11"/>
      <c r="T4656" s="11"/>
      <c r="U4656" s="11">
        <f t="shared" si="1497"/>
        <v>2</v>
      </c>
      <c r="W4656">
        <v>2.2000000000000002</v>
      </c>
      <c r="X4656" s="1" t="s">
        <v>60</v>
      </c>
    </row>
    <row r="4657" spans="1:24" x14ac:dyDescent="0.25">
      <c r="A4657" s="1" t="str">
        <f t="shared" si="1498"/>
        <v>卡卡杜-凤凰仓</v>
      </c>
      <c r="B4657" s="1" t="str">
        <f>"CK202410215117"</f>
        <v>CK202410215117</v>
      </c>
      <c r="C4657" s="1" t="str">
        <f>"DD2024102111224"</f>
        <v>DD2024102111224</v>
      </c>
      <c r="D4657" s="1" t="str">
        <f>"CK2024102119804"</f>
        <v>CK2024102119804</v>
      </c>
      <c r="E4657" s="1" t="str">
        <f>"3723448685365170177"</f>
        <v>3723448685365170177</v>
      </c>
      <c r="F4657" s="1" t="str">
        <f t="shared" si="1499"/>
        <v>花都四部-凤凰仓</v>
      </c>
      <c r="G4657" s="1" t="str">
        <f t="shared" si="1503"/>
        <v>卡卡杜企业店（视频号）</v>
      </c>
      <c r="H4657" s="1" t="str">
        <f t="shared" si="1500"/>
        <v>正常订单</v>
      </c>
      <c r="I4657" s="1" t="str">
        <f t="shared" si="1501"/>
        <v>已发货</v>
      </c>
      <c r="J4657" s="1" t="str">
        <f t="shared" ref="J4657:J4662" si="1511">"2"</f>
        <v>2</v>
      </c>
      <c r="K4657" s="1">
        <v>2</v>
      </c>
      <c r="L4657" s="1" t="s">
        <v>105</v>
      </c>
      <c r="M4657" s="1" t="str">
        <f>"北京 北京市 顺义区 "</f>
        <v xml:space="preserve">北京 北京市 顺义区 </v>
      </c>
      <c r="N4657" s="1" t="str">
        <f t="shared" si="1502"/>
        <v>凡华云仓-城南圆通-微信视频号</v>
      </c>
      <c r="O4657" s="5" t="s">
        <v>4685</v>
      </c>
      <c r="P4657" s="6">
        <v>0.17</v>
      </c>
      <c r="Q4657" s="11">
        <v>2</v>
      </c>
      <c r="R4657" s="11"/>
      <c r="S4657" s="11"/>
      <c r="T4657" s="11"/>
      <c r="U4657" s="11">
        <f t="shared" si="1497"/>
        <v>2</v>
      </c>
      <c r="W4657">
        <v>2.2000000000000002</v>
      </c>
      <c r="X4657" s="1" t="s">
        <v>105</v>
      </c>
    </row>
    <row r="4658" spans="1:24" x14ac:dyDescent="0.25">
      <c r="A4658" s="1" t="str">
        <f t="shared" si="1498"/>
        <v>卡卡杜-凤凰仓</v>
      </c>
      <c r="B4658" s="1" t="str">
        <f>"CK202410215007"</f>
        <v>CK202410215007</v>
      </c>
      <c r="C4658" s="1" t="str">
        <f>"DD2024102111109"</f>
        <v>DD2024102111109</v>
      </c>
      <c r="D4658" s="1" t="str">
        <f>"CK2024102119803"</f>
        <v>CK2024102119803</v>
      </c>
      <c r="E4658" s="1" t="str">
        <f>"3723448682721182976"</f>
        <v>3723448682721182976</v>
      </c>
      <c r="F4658" s="1" t="str">
        <f t="shared" si="1499"/>
        <v>花都四部-凤凰仓</v>
      </c>
      <c r="G4658" s="1" t="str">
        <f t="shared" si="1503"/>
        <v>卡卡杜企业店（视频号）</v>
      </c>
      <c r="H4658" s="1" t="str">
        <f t="shared" si="1500"/>
        <v>正常订单</v>
      </c>
      <c r="I4658" s="1" t="str">
        <f t="shared" si="1501"/>
        <v>已发货</v>
      </c>
      <c r="J4658" s="1" t="str">
        <f t="shared" ref="J4658:J4661" si="1512">"3"</f>
        <v>3</v>
      </c>
      <c r="K4658" s="1">
        <v>2</v>
      </c>
      <c r="L4658" s="1" t="s">
        <v>105</v>
      </c>
      <c r="M4658" s="1" t="str">
        <f>"北京 北京市 房山区 "</f>
        <v xml:space="preserve">北京 北京市 房山区 </v>
      </c>
      <c r="N4658" s="1" t="str">
        <f t="shared" si="1502"/>
        <v>凡华云仓-城南圆通-微信视频号</v>
      </c>
      <c r="O4658" s="5" t="s">
        <v>4686</v>
      </c>
      <c r="P4658" s="6">
        <v>0.24</v>
      </c>
      <c r="Q4658" s="11">
        <v>2</v>
      </c>
      <c r="R4658" s="11"/>
      <c r="S4658" s="11"/>
      <c r="T4658" s="11"/>
      <c r="U4658" s="11">
        <f t="shared" si="1497"/>
        <v>2</v>
      </c>
      <c r="W4658">
        <v>2.2000000000000002</v>
      </c>
      <c r="X4658" s="1" t="s">
        <v>105</v>
      </c>
    </row>
    <row r="4659" spans="1:24" x14ac:dyDescent="0.25">
      <c r="A4659" s="1" t="str">
        <f t="shared" si="1498"/>
        <v>卡卡杜-凤凰仓</v>
      </c>
      <c r="B4659" s="1" t="str">
        <f>"CK202410215034"</f>
        <v>CK202410215034</v>
      </c>
      <c r="C4659" s="1" t="str">
        <f>"DD2024102111136"</f>
        <v>DD2024102111136</v>
      </c>
      <c r="D4659" s="1" t="str">
        <f>"CK2024102119802"</f>
        <v>CK2024102119802</v>
      </c>
      <c r="E4659" s="1" t="str">
        <f>"3723448680900334592"</f>
        <v>3723448680900334592</v>
      </c>
      <c r="F4659" s="1" t="str">
        <f t="shared" si="1499"/>
        <v>花都四部-凤凰仓</v>
      </c>
      <c r="G4659" s="1" t="str">
        <f t="shared" si="1503"/>
        <v>卡卡杜企业店（视频号）</v>
      </c>
      <c r="H4659" s="1" t="str">
        <f t="shared" si="1500"/>
        <v>正常订单</v>
      </c>
      <c r="I4659" s="1" t="str">
        <f t="shared" si="1501"/>
        <v>已发货</v>
      </c>
      <c r="J4659" s="1" t="str">
        <f t="shared" si="1511"/>
        <v>2</v>
      </c>
      <c r="K4659" s="1">
        <v>2</v>
      </c>
      <c r="L4659" s="1" t="s">
        <v>92</v>
      </c>
      <c r="M4659" s="1" t="str">
        <f>"辽宁省 沈阳市 皇姑区 "</f>
        <v xml:space="preserve">辽宁省 沈阳市 皇姑区 </v>
      </c>
      <c r="N4659" s="1" t="str">
        <f t="shared" si="1502"/>
        <v>凡华云仓-城南圆通-微信视频号</v>
      </c>
      <c r="O4659" s="5" t="s">
        <v>4687</v>
      </c>
      <c r="P4659" s="6">
        <v>0.17</v>
      </c>
      <c r="Q4659" s="11">
        <v>2</v>
      </c>
      <c r="R4659" s="11"/>
      <c r="S4659" s="11"/>
      <c r="T4659" s="11"/>
      <c r="U4659" s="11">
        <f t="shared" si="1497"/>
        <v>2</v>
      </c>
      <c r="W4659">
        <v>2.2000000000000002</v>
      </c>
      <c r="X4659" s="1" t="s">
        <v>92</v>
      </c>
    </row>
    <row r="4660" spans="1:24" x14ac:dyDescent="0.25">
      <c r="A4660" s="1" t="str">
        <f t="shared" si="1498"/>
        <v>卡卡杜-凤凰仓</v>
      </c>
      <c r="B4660" s="1" t="str">
        <f>"CK202410215004"</f>
        <v>CK202410215004</v>
      </c>
      <c r="C4660" s="1" t="str">
        <f>"DD2024102111106"</f>
        <v>DD2024102111106</v>
      </c>
      <c r="D4660" s="1" t="str">
        <f>"CK2024102119801"</f>
        <v>CK2024102119801</v>
      </c>
      <c r="E4660" s="1" t="str">
        <f>"3723448676827137536"</f>
        <v>3723448676827137536</v>
      </c>
      <c r="F4660" s="1" t="str">
        <f t="shared" si="1499"/>
        <v>花都四部-凤凰仓</v>
      </c>
      <c r="G4660" s="1" t="str">
        <f t="shared" si="1503"/>
        <v>卡卡杜企业店（视频号）</v>
      </c>
      <c r="H4660" s="1" t="str">
        <f t="shared" si="1500"/>
        <v>正常订单</v>
      </c>
      <c r="I4660" s="1" t="str">
        <f t="shared" si="1501"/>
        <v>已发货</v>
      </c>
      <c r="J4660" s="1" t="str">
        <f t="shared" si="1512"/>
        <v>3</v>
      </c>
      <c r="K4660" s="1">
        <v>2</v>
      </c>
      <c r="L4660" s="1" t="s">
        <v>92</v>
      </c>
      <c r="M4660" s="1" t="str">
        <f>"辽宁省 铁岭市 银州区 "</f>
        <v xml:space="preserve">辽宁省 铁岭市 银州区 </v>
      </c>
      <c r="N4660" s="1" t="str">
        <f t="shared" si="1502"/>
        <v>凡华云仓-城南圆通-微信视频号</v>
      </c>
      <c r="O4660" s="5" t="s">
        <v>4688</v>
      </c>
      <c r="P4660" s="6">
        <v>0.24</v>
      </c>
      <c r="Q4660" s="11">
        <v>2</v>
      </c>
      <c r="R4660" s="11"/>
      <c r="S4660" s="11"/>
      <c r="T4660" s="11"/>
      <c r="U4660" s="11">
        <f t="shared" si="1497"/>
        <v>2</v>
      </c>
      <c r="W4660">
        <v>2.2000000000000002</v>
      </c>
      <c r="X4660" s="1" t="s">
        <v>92</v>
      </c>
    </row>
    <row r="4661" spans="1:24" x14ac:dyDescent="0.25">
      <c r="A4661" s="1" t="str">
        <f t="shared" si="1498"/>
        <v>卡卡杜-凤凰仓</v>
      </c>
      <c r="B4661" s="1" t="str">
        <f>"CK202410214997"</f>
        <v>CK202410214997</v>
      </c>
      <c r="C4661" s="1" t="str">
        <f>"DD2024102111100"</f>
        <v>DD2024102111100</v>
      </c>
      <c r="D4661" s="1" t="str">
        <f>"CK2024102119800"</f>
        <v>CK2024102119800</v>
      </c>
      <c r="E4661" s="1" t="str">
        <f>"3723448679079740928"</f>
        <v>3723448679079740928</v>
      </c>
      <c r="F4661" s="1" t="str">
        <f t="shared" si="1499"/>
        <v>花都四部-凤凰仓</v>
      </c>
      <c r="G4661" s="1" t="str">
        <f t="shared" si="1503"/>
        <v>卡卡杜企业店（视频号）</v>
      </c>
      <c r="H4661" s="1" t="str">
        <f t="shared" si="1500"/>
        <v>正常订单</v>
      </c>
      <c r="I4661" s="1" t="str">
        <f t="shared" si="1501"/>
        <v>已发货</v>
      </c>
      <c r="J4661" s="1" t="str">
        <f t="shared" si="1512"/>
        <v>3</v>
      </c>
      <c r="K4661" s="1">
        <v>2</v>
      </c>
      <c r="L4661" s="1" t="s">
        <v>16</v>
      </c>
      <c r="M4661" s="1" t="str">
        <f>"河北省 石家庄市 行唐县 "</f>
        <v xml:space="preserve">河北省 石家庄市 行唐县 </v>
      </c>
      <c r="N4661" s="1" t="str">
        <f t="shared" si="1502"/>
        <v>凡华云仓-城南圆通-微信视频号</v>
      </c>
      <c r="O4661" s="5" t="s">
        <v>4689</v>
      </c>
      <c r="P4661" s="6">
        <v>0.24</v>
      </c>
      <c r="Q4661" s="11">
        <v>2</v>
      </c>
      <c r="R4661" s="11"/>
      <c r="S4661" s="11"/>
      <c r="T4661" s="11"/>
      <c r="U4661" s="11">
        <f t="shared" si="1497"/>
        <v>2</v>
      </c>
      <c r="W4661">
        <v>2.2000000000000002</v>
      </c>
      <c r="X4661" s="1" t="s">
        <v>16</v>
      </c>
    </row>
    <row r="4662" spans="1:24" x14ac:dyDescent="0.25">
      <c r="A4662" s="1" t="str">
        <f t="shared" si="1498"/>
        <v>卡卡杜-凤凰仓</v>
      </c>
      <c r="B4662" s="1" t="str">
        <f>"CK202410215033"</f>
        <v>CK202410215033</v>
      </c>
      <c r="C4662" s="1" t="str">
        <f>"DD2024102111135"</f>
        <v>DD2024102111135</v>
      </c>
      <c r="D4662" s="1" t="str">
        <f>"CK2024102119798"</f>
        <v>CK2024102119798</v>
      </c>
      <c r="E4662" s="1" t="str">
        <f>"3723448670834790400"</f>
        <v>3723448670834790400</v>
      </c>
      <c r="F4662" s="1" t="str">
        <f t="shared" si="1499"/>
        <v>花都四部-凤凰仓</v>
      </c>
      <c r="G4662" s="1" t="str">
        <f t="shared" si="1503"/>
        <v>卡卡杜企业店（视频号）</v>
      </c>
      <c r="H4662" s="1" t="str">
        <f t="shared" si="1500"/>
        <v>正常订单</v>
      </c>
      <c r="I4662" s="1" t="str">
        <f t="shared" si="1501"/>
        <v>已发货</v>
      </c>
      <c r="J4662" s="1" t="str">
        <f t="shared" si="1511"/>
        <v>2</v>
      </c>
      <c r="K4662" s="1">
        <v>2</v>
      </c>
      <c r="L4662" s="1" t="s">
        <v>74</v>
      </c>
      <c r="M4662" s="1" t="str">
        <f>"上海 上海市 虹口区 "</f>
        <v xml:space="preserve">上海 上海市 虹口区 </v>
      </c>
      <c r="N4662" s="1" t="str">
        <f t="shared" si="1502"/>
        <v>凡华云仓-城南圆通-微信视频号</v>
      </c>
      <c r="O4662" s="5" t="s">
        <v>4690</v>
      </c>
      <c r="P4662" s="6">
        <v>0.17</v>
      </c>
      <c r="Q4662" s="11">
        <v>2</v>
      </c>
      <c r="R4662" s="11"/>
      <c r="S4662" s="11"/>
      <c r="T4662" s="11"/>
      <c r="U4662" s="11">
        <f t="shared" si="1497"/>
        <v>2</v>
      </c>
      <c r="W4662">
        <v>2.2000000000000002</v>
      </c>
      <c r="X4662" s="1" t="s">
        <v>74</v>
      </c>
    </row>
    <row r="4663" spans="1:24" x14ac:dyDescent="0.25">
      <c r="A4663" s="1" t="str">
        <f t="shared" si="1498"/>
        <v>卡卡杜-凤凰仓</v>
      </c>
      <c r="B4663" s="1" t="str">
        <f>"CK202410215116"</f>
        <v>CK202410215116</v>
      </c>
      <c r="C4663" s="1" t="str">
        <f>"DD2024102111222"</f>
        <v>DD2024102111222</v>
      </c>
      <c r="D4663" s="1" t="str">
        <f>"CK2024102119797"</f>
        <v>CK2024102119797</v>
      </c>
      <c r="E4663" s="1" t="str">
        <f>"3723448675188478976"</f>
        <v>3723448675188478976</v>
      </c>
      <c r="F4663" s="1" t="str">
        <f t="shared" si="1499"/>
        <v>花都四部-凤凰仓</v>
      </c>
      <c r="G4663" s="1" t="str">
        <f t="shared" si="1503"/>
        <v>卡卡杜企业店（视频号）</v>
      </c>
      <c r="H4663" s="1" t="str">
        <f t="shared" si="1500"/>
        <v>正常订单</v>
      </c>
      <c r="I4663" s="1" t="str">
        <f t="shared" si="1501"/>
        <v>已发货</v>
      </c>
      <c r="J4663" s="1" t="str">
        <f t="shared" ref="J4663:J4667" si="1513">"3"</f>
        <v>3</v>
      </c>
      <c r="K4663" s="1">
        <v>2</v>
      </c>
      <c r="L4663" s="1" t="s">
        <v>30</v>
      </c>
      <c r="M4663" s="1" t="str">
        <f>"山东省 青岛市 市北区 "</f>
        <v xml:space="preserve">山东省 青岛市 市北区 </v>
      </c>
      <c r="N4663" s="1" t="str">
        <f t="shared" si="1502"/>
        <v>凡华云仓-城南圆通-微信视频号</v>
      </c>
      <c r="O4663" s="5" t="s">
        <v>4691</v>
      </c>
      <c r="P4663" s="6">
        <v>0.24</v>
      </c>
      <c r="Q4663" s="11">
        <v>2</v>
      </c>
      <c r="R4663" s="11"/>
      <c r="S4663" s="11"/>
      <c r="T4663" s="11"/>
      <c r="U4663" s="11">
        <f t="shared" si="1497"/>
        <v>2</v>
      </c>
      <c r="W4663">
        <v>2.2000000000000002</v>
      </c>
      <c r="X4663" s="1" t="s">
        <v>30</v>
      </c>
    </row>
    <row r="4664" spans="1:24" x14ac:dyDescent="0.25">
      <c r="A4664" s="1" t="str">
        <f t="shared" si="1498"/>
        <v>卡卡杜-凤凰仓</v>
      </c>
      <c r="B4664" s="1" t="str">
        <f>"CK202410215032"</f>
        <v>CK202410215032</v>
      </c>
      <c r="C4664" s="1" t="str">
        <f>"DD2024102111137"</f>
        <v>DD2024102111137</v>
      </c>
      <c r="D4664" s="1" t="str">
        <f>"CK2024102119796"</f>
        <v>CK2024102119796</v>
      </c>
      <c r="E4664" s="1" t="str">
        <f>"3723448669400599552"</f>
        <v>3723448669400599552</v>
      </c>
      <c r="F4664" s="1" t="str">
        <f t="shared" si="1499"/>
        <v>花都四部-凤凰仓</v>
      </c>
      <c r="G4664" s="1" t="str">
        <f t="shared" si="1503"/>
        <v>卡卡杜企业店（视频号）</v>
      </c>
      <c r="H4664" s="1" t="str">
        <f t="shared" si="1500"/>
        <v>正常订单</v>
      </c>
      <c r="I4664" s="1" t="str">
        <f t="shared" si="1501"/>
        <v>已发货</v>
      </c>
      <c r="J4664" s="1" t="str">
        <f t="shared" ref="J4664:J4670" si="1514">"2"</f>
        <v>2</v>
      </c>
      <c r="K4664" s="1">
        <v>2</v>
      </c>
      <c r="L4664" s="1" t="s">
        <v>80</v>
      </c>
      <c r="M4664" s="1" t="str">
        <f>"河南省 郑州市 郑州航空港经济综合实验区 "</f>
        <v xml:space="preserve">河南省 郑州市 郑州航空港经济综合实验区 </v>
      </c>
      <c r="N4664" s="1" t="str">
        <f t="shared" si="1502"/>
        <v>凡华云仓-城南圆通-微信视频号</v>
      </c>
      <c r="O4664" s="5" t="s">
        <v>4692</v>
      </c>
      <c r="P4664" s="6">
        <v>0.17</v>
      </c>
      <c r="Q4664" s="11">
        <v>2</v>
      </c>
      <c r="R4664" s="11"/>
      <c r="S4664" s="11"/>
      <c r="T4664" s="11"/>
      <c r="U4664" s="11">
        <f t="shared" si="1497"/>
        <v>2</v>
      </c>
      <c r="W4664">
        <v>2.2000000000000002</v>
      </c>
      <c r="X4664" s="1" t="s">
        <v>80</v>
      </c>
    </row>
    <row r="4665" spans="1:24" x14ac:dyDescent="0.25">
      <c r="A4665" s="1" t="str">
        <f t="shared" si="1498"/>
        <v>卡卡杜-凤凰仓</v>
      </c>
      <c r="B4665" s="1" t="str">
        <f>"CK202410215026"</f>
        <v>CK202410215026</v>
      </c>
      <c r="C4665" s="1" t="str">
        <f>"DD2024102111129"</f>
        <v>DD2024102111129</v>
      </c>
      <c r="D4665" s="1" t="str">
        <f>"CK2024102119795"</f>
        <v>CK2024102119795</v>
      </c>
      <c r="E4665" s="1" t="str">
        <f>"3723448668898332672"</f>
        <v>3723448668898332672</v>
      </c>
      <c r="F4665" s="1" t="str">
        <f t="shared" si="1499"/>
        <v>花都四部-凤凰仓</v>
      </c>
      <c r="G4665" s="1" t="str">
        <f t="shared" si="1503"/>
        <v>卡卡杜企业店（视频号）</v>
      </c>
      <c r="H4665" s="1" t="str">
        <f t="shared" si="1500"/>
        <v>正常订单</v>
      </c>
      <c r="I4665" s="1" t="str">
        <f t="shared" si="1501"/>
        <v>已发货</v>
      </c>
      <c r="J4665" s="1" t="str">
        <f t="shared" si="1514"/>
        <v>2</v>
      </c>
      <c r="K4665" s="1">
        <v>2</v>
      </c>
      <c r="L4665" s="1" t="s">
        <v>13</v>
      </c>
      <c r="M4665" s="1" t="str">
        <f>"江苏省 南京市 秦淮区 "</f>
        <v xml:space="preserve">江苏省 南京市 秦淮区 </v>
      </c>
      <c r="N4665" s="1" t="str">
        <f t="shared" si="1502"/>
        <v>凡华云仓-城南圆通-微信视频号</v>
      </c>
      <c r="O4665" s="5" t="s">
        <v>4693</v>
      </c>
      <c r="P4665" s="6">
        <v>0.17</v>
      </c>
      <c r="Q4665" s="11">
        <v>2</v>
      </c>
      <c r="R4665" s="11"/>
      <c r="S4665" s="11"/>
      <c r="T4665" s="11"/>
      <c r="U4665" s="11">
        <f t="shared" si="1497"/>
        <v>2</v>
      </c>
      <c r="W4665">
        <v>2.2000000000000002</v>
      </c>
      <c r="X4665" s="1" t="s">
        <v>13</v>
      </c>
    </row>
    <row r="4666" spans="1:24" x14ac:dyDescent="0.25">
      <c r="A4666" s="1" t="str">
        <f t="shared" si="1498"/>
        <v>卡卡杜-凤凰仓</v>
      </c>
      <c r="B4666" s="1" t="str">
        <f>"CK202410215002"</f>
        <v>CK202410215002</v>
      </c>
      <c r="C4666" s="1" t="str">
        <f>"DD2024102111105"</f>
        <v>DD2024102111105</v>
      </c>
      <c r="D4666" s="1" t="str">
        <f>"CK2024102119794"</f>
        <v>CK2024102119794</v>
      </c>
      <c r="E4666" s="1" t="str">
        <f>"3723448659922781696"</f>
        <v>3723448659922781696</v>
      </c>
      <c r="F4666" s="1" t="str">
        <f t="shared" si="1499"/>
        <v>花都四部-凤凰仓</v>
      </c>
      <c r="G4666" s="1" t="str">
        <f t="shared" si="1503"/>
        <v>卡卡杜企业店（视频号）</v>
      </c>
      <c r="H4666" s="1" t="str">
        <f t="shared" si="1500"/>
        <v>正常订单</v>
      </c>
      <c r="I4666" s="1" t="str">
        <f t="shared" si="1501"/>
        <v>已发货</v>
      </c>
      <c r="J4666" s="1" t="str">
        <f t="shared" si="1513"/>
        <v>3</v>
      </c>
      <c r="K4666" s="1">
        <v>2</v>
      </c>
      <c r="L4666" s="1" t="s">
        <v>32</v>
      </c>
      <c r="M4666" s="1" t="str">
        <f>"陕西省 榆林市 神木市 "</f>
        <v xml:space="preserve">陕西省 榆林市 神木市 </v>
      </c>
      <c r="N4666" s="1" t="str">
        <f t="shared" si="1502"/>
        <v>凡华云仓-城南圆通-微信视频号</v>
      </c>
      <c r="O4666" s="5" t="s">
        <v>4694</v>
      </c>
      <c r="P4666" s="6">
        <v>0.24</v>
      </c>
      <c r="Q4666" s="11">
        <v>2</v>
      </c>
      <c r="R4666" s="11"/>
      <c r="S4666" s="11"/>
      <c r="T4666" s="11"/>
      <c r="U4666" s="11">
        <f t="shared" si="1497"/>
        <v>2</v>
      </c>
      <c r="W4666">
        <v>2.2000000000000002</v>
      </c>
      <c r="X4666" s="1" t="s">
        <v>32</v>
      </c>
    </row>
    <row r="4667" spans="1:24" x14ac:dyDescent="0.25">
      <c r="A4667" s="1" t="str">
        <f t="shared" si="1498"/>
        <v>卡卡杜-凤凰仓</v>
      </c>
      <c r="B4667" s="1" t="str">
        <f>"CK202410215006"</f>
        <v>CK202410215006</v>
      </c>
      <c r="C4667" s="1" t="str">
        <f>"DD2024102111108"</f>
        <v>DD2024102111108</v>
      </c>
      <c r="D4667" s="1" t="str">
        <f>"CK2024102119793"</f>
        <v>CK2024102119793</v>
      </c>
      <c r="E4667" s="1" t="str">
        <f>"3723448663039937536"</f>
        <v>3723448663039937536</v>
      </c>
      <c r="F4667" s="1" t="str">
        <f t="shared" si="1499"/>
        <v>花都四部-凤凰仓</v>
      </c>
      <c r="G4667" s="1" t="str">
        <f t="shared" si="1503"/>
        <v>卡卡杜企业店（视频号）</v>
      </c>
      <c r="H4667" s="1" t="str">
        <f t="shared" si="1500"/>
        <v>正常订单</v>
      </c>
      <c r="I4667" s="1" t="str">
        <f t="shared" si="1501"/>
        <v>已发货</v>
      </c>
      <c r="J4667" s="1" t="str">
        <f t="shared" si="1513"/>
        <v>3</v>
      </c>
      <c r="K4667" s="1">
        <v>2</v>
      </c>
      <c r="L4667" s="1" t="s">
        <v>47</v>
      </c>
      <c r="M4667" s="1" t="str">
        <f>"重庆 重庆市 江北区 "</f>
        <v xml:space="preserve">重庆 重庆市 江北区 </v>
      </c>
      <c r="N4667" s="1" t="str">
        <f t="shared" si="1502"/>
        <v>凡华云仓-城南圆通-微信视频号</v>
      </c>
      <c r="O4667" s="5" t="s">
        <v>4695</v>
      </c>
      <c r="P4667" s="6">
        <v>0.24</v>
      </c>
      <c r="Q4667" s="11">
        <v>2</v>
      </c>
      <c r="R4667" s="11"/>
      <c r="S4667" s="11"/>
      <c r="T4667" s="11"/>
      <c r="U4667" s="11">
        <f t="shared" si="1497"/>
        <v>2</v>
      </c>
      <c r="W4667">
        <v>2.2000000000000002</v>
      </c>
      <c r="X4667" s="1" t="s">
        <v>47</v>
      </c>
    </row>
    <row r="4668" spans="1:24" x14ac:dyDescent="0.25">
      <c r="A4668" s="1" t="str">
        <f t="shared" si="1498"/>
        <v>卡卡杜-凤凰仓</v>
      </c>
      <c r="B4668" s="1" t="str">
        <f>"CK202410215041"</f>
        <v>CK202410215041</v>
      </c>
      <c r="C4668" s="1" t="str">
        <f>"DD2024102111144"</f>
        <v>DD2024102111144</v>
      </c>
      <c r="D4668" s="1" t="str">
        <f>"CK2024102119792"</f>
        <v>CK2024102119792</v>
      </c>
      <c r="E4668" s="1" t="str">
        <f>"3723448663174157312"</f>
        <v>3723448663174157312</v>
      </c>
      <c r="F4668" s="1" t="str">
        <f t="shared" si="1499"/>
        <v>花都四部-凤凰仓</v>
      </c>
      <c r="G4668" s="1" t="str">
        <f t="shared" si="1503"/>
        <v>卡卡杜企业店（视频号）</v>
      </c>
      <c r="H4668" s="1" t="str">
        <f t="shared" si="1500"/>
        <v>正常订单</v>
      </c>
      <c r="I4668" s="1" t="str">
        <f t="shared" si="1501"/>
        <v>已发货</v>
      </c>
      <c r="J4668" s="1" t="str">
        <f t="shared" si="1514"/>
        <v>2</v>
      </c>
      <c r="K4668" s="1">
        <v>2</v>
      </c>
      <c r="L4668" s="1" t="s">
        <v>54</v>
      </c>
      <c r="M4668" s="1" t="str">
        <f>"黑龙江省 哈尔滨市 道里区 "</f>
        <v xml:space="preserve">黑龙江省 哈尔滨市 道里区 </v>
      </c>
      <c r="N4668" s="1" t="str">
        <f t="shared" si="1502"/>
        <v>凡华云仓-城南圆通-微信视频号</v>
      </c>
      <c r="O4668" s="5" t="s">
        <v>4696</v>
      </c>
      <c r="P4668" s="6">
        <v>0.17</v>
      </c>
      <c r="Q4668" s="11">
        <v>2</v>
      </c>
      <c r="R4668" s="11"/>
      <c r="S4668" s="11"/>
      <c r="T4668" s="11"/>
      <c r="U4668" s="11">
        <f t="shared" si="1497"/>
        <v>2</v>
      </c>
      <c r="W4668">
        <v>2.2000000000000002</v>
      </c>
      <c r="X4668" s="1" t="s">
        <v>54</v>
      </c>
    </row>
    <row r="4669" spans="1:24" x14ac:dyDescent="0.25">
      <c r="A4669" s="1" t="str">
        <f t="shared" si="1498"/>
        <v>卡卡杜-凤凰仓</v>
      </c>
      <c r="B4669" s="1" t="str">
        <f>"CK202410215118"</f>
        <v>CK202410215118</v>
      </c>
      <c r="C4669" s="1" t="str">
        <f>"DD2024102111223"</f>
        <v>DD2024102111223</v>
      </c>
      <c r="D4669" s="1" t="str">
        <f>"CK2024102119791"</f>
        <v>CK2024102119791</v>
      </c>
      <c r="E4669" s="1" t="str">
        <f>"3723448662290729984"</f>
        <v>3723448662290729984</v>
      </c>
      <c r="F4669" s="1" t="str">
        <f t="shared" si="1499"/>
        <v>花都四部-凤凰仓</v>
      </c>
      <c r="G4669" s="1" t="str">
        <f t="shared" si="1503"/>
        <v>卡卡杜企业店（视频号）</v>
      </c>
      <c r="H4669" s="1" t="str">
        <f t="shared" si="1500"/>
        <v>正常订单</v>
      </c>
      <c r="I4669" s="1" t="str">
        <f t="shared" si="1501"/>
        <v>已发货</v>
      </c>
      <c r="J4669" s="1" t="str">
        <f t="shared" si="1514"/>
        <v>2</v>
      </c>
      <c r="K4669" s="1">
        <v>2</v>
      </c>
      <c r="L4669" s="1" t="s">
        <v>30</v>
      </c>
      <c r="M4669" s="1" t="str">
        <f>"山东省 济南市 历下区 "</f>
        <v xml:space="preserve">山东省 济南市 历下区 </v>
      </c>
      <c r="N4669" s="1" t="str">
        <f t="shared" si="1502"/>
        <v>凡华云仓-城南圆通-微信视频号</v>
      </c>
      <c r="O4669" s="5" t="s">
        <v>4697</v>
      </c>
      <c r="P4669" s="6">
        <v>0.17</v>
      </c>
      <c r="Q4669" s="11">
        <v>2</v>
      </c>
      <c r="R4669" s="11"/>
      <c r="S4669" s="11"/>
      <c r="T4669" s="11"/>
      <c r="U4669" s="11">
        <f t="shared" si="1497"/>
        <v>2</v>
      </c>
      <c r="W4669">
        <v>2.2000000000000002</v>
      </c>
      <c r="X4669" s="1" t="s">
        <v>30</v>
      </c>
    </row>
    <row r="4670" spans="1:24" x14ac:dyDescent="0.25">
      <c r="A4670" s="1" t="str">
        <f t="shared" si="1498"/>
        <v>卡卡杜-凤凰仓</v>
      </c>
      <c r="B4670" s="1" t="str">
        <f>"CK202410215031"</f>
        <v>CK202410215031</v>
      </c>
      <c r="C4670" s="1" t="str">
        <f>"DD2024102111133"</f>
        <v>DD2024102111133</v>
      </c>
      <c r="D4670" s="1" t="str">
        <f>"CK2024102119790"</f>
        <v>CK2024102119790</v>
      </c>
      <c r="E4670" s="1" t="str">
        <f>"3723448661846922240"</f>
        <v>3723448661846922240</v>
      </c>
      <c r="F4670" s="1" t="str">
        <f t="shared" si="1499"/>
        <v>花都四部-凤凰仓</v>
      </c>
      <c r="G4670" s="1" t="str">
        <f t="shared" si="1503"/>
        <v>卡卡杜企业店（视频号）</v>
      </c>
      <c r="H4670" s="1" t="str">
        <f t="shared" si="1500"/>
        <v>正常订单</v>
      </c>
      <c r="I4670" s="1" t="str">
        <f t="shared" si="1501"/>
        <v>已发货</v>
      </c>
      <c r="J4670" s="1" t="str">
        <f t="shared" si="1514"/>
        <v>2</v>
      </c>
      <c r="K4670" s="1">
        <v>2</v>
      </c>
      <c r="L4670" s="1" t="s">
        <v>187</v>
      </c>
      <c r="M4670" s="1" t="str">
        <f>"吉林省 长春市 朝阳区 "</f>
        <v xml:space="preserve">吉林省 长春市 朝阳区 </v>
      </c>
      <c r="N4670" s="1" t="str">
        <f t="shared" si="1502"/>
        <v>凡华云仓-城南圆通-微信视频号</v>
      </c>
      <c r="O4670" s="5" t="s">
        <v>4698</v>
      </c>
      <c r="P4670" s="6">
        <v>0.17</v>
      </c>
      <c r="Q4670" s="11">
        <v>2</v>
      </c>
      <c r="R4670" s="11"/>
      <c r="S4670" s="11"/>
      <c r="T4670" s="11"/>
      <c r="U4670" s="11">
        <f t="shared" si="1497"/>
        <v>2</v>
      </c>
      <c r="W4670">
        <v>2.2000000000000002</v>
      </c>
      <c r="X4670" s="1" t="s">
        <v>187</v>
      </c>
    </row>
    <row r="4671" spans="1:24" x14ac:dyDescent="0.25">
      <c r="A4671" s="1" t="str">
        <f t="shared" si="1498"/>
        <v>卡卡杜-凤凰仓</v>
      </c>
      <c r="B4671" s="1" t="str">
        <f>"CK202410214995"</f>
        <v>CK202410214995</v>
      </c>
      <c r="C4671" s="1" t="str">
        <f>"DD2024102111098"</f>
        <v>DD2024102111098</v>
      </c>
      <c r="D4671" s="1" t="str">
        <f>"CK2024102119789"</f>
        <v>CK2024102119789</v>
      </c>
      <c r="E4671" s="1" t="str">
        <f>"3723448660247841792"</f>
        <v>3723448660247841792</v>
      </c>
      <c r="F4671" s="1" t="str">
        <f t="shared" si="1499"/>
        <v>花都四部-凤凰仓</v>
      </c>
      <c r="G4671" s="1" t="str">
        <f t="shared" si="1503"/>
        <v>卡卡杜企业店（视频号）</v>
      </c>
      <c r="H4671" s="1" t="str">
        <f t="shared" si="1500"/>
        <v>正常订单</v>
      </c>
      <c r="I4671" s="1" t="str">
        <f t="shared" si="1501"/>
        <v>已发货</v>
      </c>
      <c r="J4671" s="1" t="str">
        <f t="shared" ref="J4671:J4680" si="1515">"3"</f>
        <v>3</v>
      </c>
      <c r="K4671" s="1">
        <v>2</v>
      </c>
      <c r="L4671" s="1" t="s">
        <v>74</v>
      </c>
      <c r="M4671" s="1" t="str">
        <f>"上海 上海市 青浦区 "</f>
        <v xml:space="preserve">上海 上海市 青浦区 </v>
      </c>
      <c r="N4671" s="1" t="str">
        <f t="shared" si="1502"/>
        <v>凡华云仓-城南圆通-微信视频号</v>
      </c>
      <c r="O4671" s="5" t="s">
        <v>4699</v>
      </c>
      <c r="P4671" s="6">
        <v>0.24</v>
      </c>
      <c r="Q4671" s="11">
        <v>2</v>
      </c>
      <c r="R4671" s="11"/>
      <c r="S4671" s="11"/>
      <c r="T4671" s="11"/>
      <c r="U4671" s="11">
        <f t="shared" si="1497"/>
        <v>2</v>
      </c>
      <c r="W4671">
        <v>2.2000000000000002</v>
      </c>
      <c r="X4671" s="1" t="s">
        <v>74</v>
      </c>
    </row>
    <row r="4672" spans="1:24" x14ac:dyDescent="0.25">
      <c r="A4672" s="1" t="str">
        <f t="shared" si="1498"/>
        <v>卡卡杜-凤凰仓</v>
      </c>
      <c r="B4672" s="1" t="str">
        <f>"CK202410215038"</f>
        <v>CK202410215038</v>
      </c>
      <c r="C4672" s="1" t="str">
        <f>"DD2024102111141"</f>
        <v>DD2024102111141</v>
      </c>
      <c r="D4672" s="1" t="str">
        <f>"CK2024102119788"</f>
        <v>CK2024102119788</v>
      </c>
      <c r="E4672" s="1" t="str">
        <f>"3723448656946662400"</f>
        <v>3723448656946662400</v>
      </c>
      <c r="F4672" s="1" t="str">
        <f t="shared" si="1499"/>
        <v>花都四部-凤凰仓</v>
      </c>
      <c r="G4672" s="1" t="str">
        <f t="shared" si="1503"/>
        <v>卡卡杜企业店（视频号）</v>
      </c>
      <c r="H4672" s="1" t="str">
        <f t="shared" si="1500"/>
        <v>正常订单</v>
      </c>
      <c r="I4672" s="1" t="str">
        <f t="shared" si="1501"/>
        <v>已发货</v>
      </c>
      <c r="J4672" s="1" t="str">
        <f>"2"</f>
        <v>2</v>
      </c>
      <c r="K4672" s="1">
        <v>2</v>
      </c>
      <c r="L4672" s="1" t="s">
        <v>105</v>
      </c>
      <c r="M4672" s="1" t="str">
        <f>"北京 北京市 朝阳区 "</f>
        <v xml:space="preserve">北京 北京市 朝阳区 </v>
      </c>
      <c r="N4672" s="1" t="str">
        <f t="shared" si="1502"/>
        <v>凡华云仓-城南圆通-微信视频号</v>
      </c>
      <c r="O4672" s="5" t="s">
        <v>4700</v>
      </c>
      <c r="P4672" s="6">
        <v>0.17</v>
      </c>
      <c r="Q4672" s="11">
        <v>2</v>
      </c>
      <c r="R4672" s="11"/>
      <c r="S4672" s="11"/>
      <c r="T4672" s="11"/>
      <c r="U4672" s="11">
        <f t="shared" si="1497"/>
        <v>2</v>
      </c>
      <c r="W4672">
        <v>2.2000000000000002</v>
      </c>
      <c r="X4672" s="1" t="s">
        <v>105</v>
      </c>
    </row>
    <row r="4673" spans="1:24" x14ac:dyDescent="0.25">
      <c r="A4673" s="1" t="str">
        <f t="shared" si="1498"/>
        <v>卡卡杜-凤凰仓</v>
      </c>
      <c r="B4673" s="1" t="str">
        <f>"CK202410214992"</f>
        <v>CK202410214992</v>
      </c>
      <c r="C4673" s="1" t="str">
        <f>"DD2024102111096"</f>
        <v>DD2024102111096</v>
      </c>
      <c r="D4673" s="1" t="str">
        <f>"CK2024102119787"</f>
        <v>CK2024102119787</v>
      </c>
      <c r="E4673" s="1" t="str">
        <f>"3723448655882619904"</f>
        <v>3723448655882619904</v>
      </c>
      <c r="F4673" s="1" t="str">
        <f t="shared" si="1499"/>
        <v>花都四部-凤凰仓</v>
      </c>
      <c r="G4673" s="1" t="str">
        <f t="shared" si="1503"/>
        <v>卡卡杜企业店（视频号）</v>
      </c>
      <c r="H4673" s="1" t="str">
        <f t="shared" si="1500"/>
        <v>正常订单</v>
      </c>
      <c r="I4673" s="1" t="str">
        <f t="shared" si="1501"/>
        <v>已发货</v>
      </c>
      <c r="J4673" s="1" t="str">
        <f t="shared" si="1515"/>
        <v>3</v>
      </c>
      <c r="K4673" s="1">
        <v>2</v>
      </c>
      <c r="L4673" s="1" t="s">
        <v>18</v>
      </c>
      <c r="M4673" s="1" t="str">
        <f>"广东省 深圳市 龙岗区 "</f>
        <v xml:space="preserve">广东省 深圳市 龙岗区 </v>
      </c>
      <c r="N4673" s="1" t="str">
        <f t="shared" si="1502"/>
        <v>凡华云仓-城南圆通-微信视频号</v>
      </c>
      <c r="O4673" s="5" t="s">
        <v>4701</v>
      </c>
      <c r="P4673" s="6">
        <v>0.24</v>
      </c>
      <c r="Q4673" s="11">
        <v>2</v>
      </c>
      <c r="R4673" s="11"/>
      <c r="S4673" s="11"/>
      <c r="T4673" s="11"/>
      <c r="U4673" s="11">
        <f t="shared" si="1497"/>
        <v>2</v>
      </c>
      <c r="W4673">
        <v>2.2000000000000002</v>
      </c>
      <c r="X4673" s="1" t="s">
        <v>18</v>
      </c>
    </row>
    <row r="4674" spans="1:24" x14ac:dyDescent="0.25">
      <c r="A4674" s="1" t="str">
        <f t="shared" si="1498"/>
        <v>卡卡杜-凤凰仓</v>
      </c>
      <c r="B4674" s="1" t="str">
        <f>"CK202410215000"</f>
        <v>CK202410215000</v>
      </c>
      <c r="C4674" s="1" t="str">
        <f>"DD2024102111102"</f>
        <v>DD2024102111102</v>
      </c>
      <c r="D4674" s="1" t="str">
        <f>"CK2024102119786"</f>
        <v>CK2024102119786</v>
      </c>
      <c r="E4674" s="1" t="str">
        <f>"3723448654582385664"</f>
        <v>3723448654582385664</v>
      </c>
      <c r="F4674" s="1" t="str">
        <f t="shared" si="1499"/>
        <v>花都四部-凤凰仓</v>
      </c>
      <c r="G4674" s="1" t="str">
        <f t="shared" si="1503"/>
        <v>卡卡杜企业店（视频号）</v>
      </c>
      <c r="H4674" s="1" t="str">
        <f t="shared" si="1500"/>
        <v>正常订单</v>
      </c>
      <c r="I4674" s="1" t="str">
        <f t="shared" si="1501"/>
        <v>已发货</v>
      </c>
      <c r="J4674" s="1" t="str">
        <f t="shared" si="1515"/>
        <v>3</v>
      </c>
      <c r="K4674" s="1">
        <v>2</v>
      </c>
      <c r="L4674" s="1" t="s">
        <v>13</v>
      </c>
      <c r="M4674" s="1" t="str">
        <f>"江苏省 泰州市 兴化市 "</f>
        <v xml:space="preserve">江苏省 泰州市 兴化市 </v>
      </c>
      <c r="N4674" s="1" t="str">
        <f t="shared" si="1502"/>
        <v>凡华云仓-城南圆通-微信视频号</v>
      </c>
      <c r="O4674" s="5" t="s">
        <v>4702</v>
      </c>
      <c r="P4674" s="6">
        <v>0.24</v>
      </c>
      <c r="Q4674" s="11">
        <v>2</v>
      </c>
      <c r="R4674" s="11"/>
      <c r="S4674" s="11"/>
      <c r="T4674" s="11"/>
      <c r="U4674" s="11">
        <f t="shared" si="1497"/>
        <v>2</v>
      </c>
      <c r="W4674">
        <v>2.2000000000000002</v>
      </c>
      <c r="X4674" s="1" t="s">
        <v>13</v>
      </c>
    </row>
    <row r="4675" spans="1:24" x14ac:dyDescent="0.25">
      <c r="A4675" s="1" t="str">
        <f t="shared" si="1498"/>
        <v>卡卡杜-凤凰仓</v>
      </c>
      <c r="B4675" s="1" t="str">
        <f>"CK202410215115"</f>
        <v>CK202410215115</v>
      </c>
      <c r="C4675" s="1" t="str">
        <f>"DD2024102111221"</f>
        <v>DD2024102111221</v>
      </c>
      <c r="D4675" s="1" t="str">
        <f>"CK2024102119785"</f>
        <v>CK2024102119785</v>
      </c>
      <c r="E4675" s="1" t="str">
        <f>"3723448652701238784"</f>
        <v>3723448652701238784</v>
      </c>
      <c r="F4675" s="1" t="str">
        <f t="shared" si="1499"/>
        <v>花都四部-凤凰仓</v>
      </c>
      <c r="G4675" s="1" t="str">
        <f t="shared" si="1503"/>
        <v>卡卡杜企业店（视频号）</v>
      </c>
      <c r="H4675" s="1" t="str">
        <f t="shared" si="1500"/>
        <v>正常订单</v>
      </c>
      <c r="I4675" s="1" t="str">
        <f t="shared" si="1501"/>
        <v>已发货</v>
      </c>
      <c r="J4675" s="1" t="str">
        <f t="shared" si="1515"/>
        <v>3</v>
      </c>
      <c r="K4675" s="1">
        <v>2</v>
      </c>
      <c r="L4675" s="1" t="s">
        <v>74</v>
      </c>
      <c r="M4675" s="1" t="str">
        <f>"上海 上海市 浦东新区 "</f>
        <v xml:space="preserve">上海 上海市 浦东新区 </v>
      </c>
      <c r="N4675" s="1" t="str">
        <f t="shared" si="1502"/>
        <v>凡华云仓-城南圆通-微信视频号</v>
      </c>
      <c r="O4675" s="5" t="s">
        <v>4703</v>
      </c>
      <c r="P4675" s="6">
        <v>0.24</v>
      </c>
      <c r="Q4675" s="11">
        <v>2</v>
      </c>
      <c r="R4675" s="11"/>
      <c r="S4675" s="11"/>
      <c r="T4675" s="11"/>
      <c r="U4675" s="11">
        <f t="shared" ref="U4675:U4738" si="1516">T4675+S4675+R4675+Q4675</f>
        <v>2</v>
      </c>
      <c r="W4675">
        <v>2.2000000000000002</v>
      </c>
      <c r="X4675" s="1" t="s">
        <v>74</v>
      </c>
    </row>
    <row r="4676" spans="1:24" x14ac:dyDescent="0.25">
      <c r="A4676" s="1" t="str">
        <f t="shared" si="1498"/>
        <v>卡卡杜-凤凰仓</v>
      </c>
      <c r="B4676" s="1" t="str">
        <f>"CK202410214998"</f>
        <v>CK202410214998</v>
      </c>
      <c r="C4676" s="1" t="str">
        <f>"DD2024102111101"</f>
        <v>DD2024102111101</v>
      </c>
      <c r="D4676" s="1" t="str">
        <f>"CK2024102119784"</f>
        <v>CK2024102119784</v>
      </c>
      <c r="E4676" s="1" t="str">
        <f>"3723448644856841472"</f>
        <v>3723448644856841472</v>
      </c>
      <c r="F4676" s="1" t="str">
        <f t="shared" si="1499"/>
        <v>花都四部-凤凰仓</v>
      </c>
      <c r="G4676" s="1" t="str">
        <f t="shared" si="1503"/>
        <v>卡卡杜企业店（视频号）</v>
      </c>
      <c r="H4676" s="1" t="str">
        <f t="shared" si="1500"/>
        <v>正常订单</v>
      </c>
      <c r="I4676" s="1" t="str">
        <f t="shared" si="1501"/>
        <v>已发货</v>
      </c>
      <c r="J4676" s="1" t="str">
        <f t="shared" si="1515"/>
        <v>3</v>
      </c>
      <c r="K4676" s="1">
        <v>2</v>
      </c>
      <c r="L4676" s="1" t="s">
        <v>24</v>
      </c>
      <c r="M4676" s="1" t="str">
        <f>"福建省 福州市 鼓楼区 "</f>
        <v xml:space="preserve">福建省 福州市 鼓楼区 </v>
      </c>
      <c r="N4676" s="1" t="str">
        <f t="shared" si="1502"/>
        <v>凡华云仓-城南圆通-微信视频号</v>
      </c>
      <c r="O4676" s="5" t="s">
        <v>4704</v>
      </c>
      <c r="P4676" s="6">
        <v>0.24</v>
      </c>
      <c r="Q4676" s="11">
        <v>2</v>
      </c>
      <c r="R4676" s="11"/>
      <c r="S4676" s="11"/>
      <c r="T4676" s="11"/>
      <c r="U4676" s="11">
        <f t="shared" si="1516"/>
        <v>2</v>
      </c>
      <c r="W4676">
        <v>2.2000000000000002</v>
      </c>
      <c r="X4676" s="1" t="s">
        <v>24</v>
      </c>
    </row>
    <row r="4677" spans="1:24" x14ac:dyDescent="0.25">
      <c r="A4677" s="1" t="str">
        <f t="shared" ref="A4677:A4740" si="1517">"卡卡杜-凤凰仓"</f>
        <v>卡卡杜-凤凰仓</v>
      </c>
      <c r="B4677" s="1" t="str">
        <f>"CK202410215001"</f>
        <v>CK202410215001</v>
      </c>
      <c r="C4677" s="1" t="str">
        <f>"DD2024102111103"</f>
        <v>DD2024102111103</v>
      </c>
      <c r="D4677" s="1" t="str">
        <f>"CK2024102119783"</f>
        <v>CK2024102119783</v>
      </c>
      <c r="E4677" s="1" t="str">
        <f>"3723448649036465408"</f>
        <v>3723448649036465408</v>
      </c>
      <c r="F4677" s="1" t="str">
        <f t="shared" ref="F4677:F4740" si="1518">"花都四部-凤凰仓"</f>
        <v>花都四部-凤凰仓</v>
      </c>
      <c r="G4677" s="1" t="str">
        <f t="shared" si="1503"/>
        <v>卡卡杜企业店（视频号）</v>
      </c>
      <c r="H4677" s="1" t="str">
        <f t="shared" ref="H4677:H4740" si="1519">"正常订单"</f>
        <v>正常订单</v>
      </c>
      <c r="I4677" s="1" t="str">
        <f t="shared" ref="I4677:I4740" si="1520">"已发货"</f>
        <v>已发货</v>
      </c>
      <c r="J4677" s="1" t="str">
        <f t="shared" si="1515"/>
        <v>3</v>
      </c>
      <c r="K4677" s="1">
        <v>2</v>
      </c>
      <c r="L4677" s="1" t="s">
        <v>109</v>
      </c>
      <c r="M4677" s="1" t="str">
        <f>"山西省 太原市 杏花岭区 "</f>
        <v xml:space="preserve">山西省 太原市 杏花岭区 </v>
      </c>
      <c r="N4677" s="1" t="str">
        <f t="shared" si="1502"/>
        <v>凡华云仓-城南圆通-微信视频号</v>
      </c>
      <c r="O4677" s="5" t="s">
        <v>4705</v>
      </c>
      <c r="P4677" s="6">
        <v>0.24</v>
      </c>
      <c r="Q4677" s="11">
        <v>2</v>
      </c>
      <c r="R4677" s="11"/>
      <c r="S4677" s="11"/>
      <c r="T4677" s="11"/>
      <c r="U4677" s="11">
        <f t="shared" si="1516"/>
        <v>2</v>
      </c>
      <c r="W4677">
        <v>2.2000000000000002</v>
      </c>
      <c r="X4677" s="1" t="s">
        <v>109</v>
      </c>
    </row>
    <row r="4678" spans="1:24" x14ac:dyDescent="0.25">
      <c r="A4678" s="1" t="str">
        <f t="shared" si="1517"/>
        <v>卡卡杜-凤凰仓</v>
      </c>
      <c r="B4678" s="1" t="str">
        <f>"CK202410215016"</f>
        <v>CK202410215016</v>
      </c>
      <c r="C4678" s="1" t="str">
        <f>"DD2024102111119"</f>
        <v>DD2024102111119</v>
      </c>
      <c r="D4678" s="1" t="str">
        <f>"CK2024102119782"</f>
        <v>CK2024102119782</v>
      </c>
      <c r="E4678" s="1" t="str">
        <f>"3723448647122291712"</f>
        <v>3723448647122291712</v>
      </c>
      <c r="F4678" s="1" t="str">
        <f t="shared" si="1518"/>
        <v>花都四部-凤凰仓</v>
      </c>
      <c r="G4678" s="1" t="str">
        <f t="shared" si="1503"/>
        <v>卡卡杜企业店（视频号）</v>
      </c>
      <c r="H4678" s="1" t="str">
        <f t="shared" si="1519"/>
        <v>正常订单</v>
      </c>
      <c r="I4678" s="1" t="str">
        <f t="shared" si="1520"/>
        <v>已发货</v>
      </c>
      <c r="J4678" s="1" t="str">
        <f t="shared" si="1515"/>
        <v>3</v>
      </c>
      <c r="K4678" s="1">
        <v>2</v>
      </c>
      <c r="L4678" s="1" t="s">
        <v>92</v>
      </c>
      <c r="M4678" s="1" t="str">
        <f>"辽宁省 沈阳市 铁西区 "</f>
        <v xml:space="preserve">辽宁省 沈阳市 铁西区 </v>
      </c>
      <c r="N4678" s="1" t="str">
        <f t="shared" ref="N4678:N4730" si="1521">"凡华云仓-城南圆通-微信视频号"</f>
        <v>凡华云仓-城南圆通-微信视频号</v>
      </c>
      <c r="O4678" s="5" t="s">
        <v>4706</v>
      </c>
      <c r="P4678" s="6">
        <v>0.24</v>
      </c>
      <c r="Q4678" s="11">
        <v>2</v>
      </c>
      <c r="R4678" s="11"/>
      <c r="S4678" s="11"/>
      <c r="T4678" s="11"/>
      <c r="U4678" s="11">
        <f t="shared" si="1516"/>
        <v>2</v>
      </c>
      <c r="W4678">
        <v>2.2000000000000002</v>
      </c>
      <c r="X4678" s="1" t="s">
        <v>92</v>
      </c>
    </row>
    <row r="4679" spans="1:24" x14ac:dyDescent="0.25">
      <c r="A4679" s="1" t="str">
        <f t="shared" si="1517"/>
        <v>卡卡杜-凤凰仓</v>
      </c>
      <c r="B4679" s="1" t="str">
        <f>"CK202410214988"</f>
        <v>CK202410214988</v>
      </c>
      <c r="C4679" s="1" t="str">
        <f>"DD2024102111091"</f>
        <v>DD2024102111091</v>
      </c>
      <c r="D4679" s="1" t="str">
        <f>"CK2024102119781"</f>
        <v>CK2024102119781</v>
      </c>
      <c r="E4679" s="1" t="str">
        <f>"3723448627926009344"</f>
        <v>3723448627926009344</v>
      </c>
      <c r="F4679" s="1" t="str">
        <f t="shared" si="1518"/>
        <v>花都四部-凤凰仓</v>
      </c>
      <c r="G4679" s="1" t="str">
        <f t="shared" ref="G4679:G4730" si="1522">"卡卡杜企业店（视频号）"</f>
        <v>卡卡杜企业店（视频号）</v>
      </c>
      <c r="H4679" s="1" t="str">
        <f t="shared" si="1519"/>
        <v>正常订单</v>
      </c>
      <c r="I4679" s="1" t="str">
        <f t="shared" si="1520"/>
        <v>已发货</v>
      </c>
      <c r="J4679" s="1" t="str">
        <f t="shared" si="1515"/>
        <v>3</v>
      </c>
      <c r="K4679" s="1">
        <v>2</v>
      </c>
      <c r="L4679" s="1" t="s">
        <v>161</v>
      </c>
      <c r="M4679" s="1" t="str">
        <f>"四川省 成都市 双流区 "</f>
        <v xml:space="preserve">四川省 成都市 双流区 </v>
      </c>
      <c r="N4679" s="1" t="str">
        <f t="shared" si="1521"/>
        <v>凡华云仓-城南圆通-微信视频号</v>
      </c>
      <c r="O4679" s="5" t="s">
        <v>4707</v>
      </c>
      <c r="P4679" s="6">
        <v>0.24</v>
      </c>
      <c r="Q4679" s="11">
        <v>2</v>
      </c>
      <c r="R4679" s="11"/>
      <c r="S4679" s="11"/>
      <c r="T4679" s="11"/>
      <c r="U4679" s="11">
        <f t="shared" si="1516"/>
        <v>2</v>
      </c>
      <c r="W4679">
        <v>2.2000000000000002</v>
      </c>
      <c r="X4679" s="1" t="s">
        <v>161</v>
      </c>
    </row>
    <row r="4680" spans="1:24" x14ac:dyDescent="0.25">
      <c r="A4680" s="1" t="str">
        <f t="shared" si="1517"/>
        <v>卡卡杜-凤凰仓</v>
      </c>
      <c r="B4680" s="1" t="str">
        <f>"CK202410214999"</f>
        <v>CK202410214999</v>
      </c>
      <c r="C4680" s="1" t="str">
        <f>"DD2024102111104"</f>
        <v>DD2024102111104</v>
      </c>
      <c r="D4680" s="1" t="str">
        <f>"CK2024102119780"</f>
        <v>CK2024102119780</v>
      </c>
      <c r="E4680" s="1" t="str">
        <f>"3723448649662989568"</f>
        <v>3723448649662989568</v>
      </c>
      <c r="F4680" s="1" t="str">
        <f t="shared" si="1518"/>
        <v>花都四部-凤凰仓</v>
      </c>
      <c r="G4680" s="1" t="str">
        <f t="shared" si="1522"/>
        <v>卡卡杜企业店（视频号）</v>
      </c>
      <c r="H4680" s="1" t="str">
        <f t="shared" si="1519"/>
        <v>正常订单</v>
      </c>
      <c r="I4680" s="1" t="str">
        <f t="shared" si="1520"/>
        <v>已发货</v>
      </c>
      <c r="J4680" s="1" t="str">
        <f t="shared" si="1515"/>
        <v>3</v>
      </c>
      <c r="K4680" s="1">
        <v>2</v>
      </c>
      <c r="L4680" s="1" t="s">
        <v>13</v>
      </c>
      <c r="M4680" s="1" t="str">
        <f>"江苏省 南京市 建邺区 "</f>
        <v xml:space="preserve">江苏省 南京市 建邺区 </v>
      </c>
      <c r="N4680" s="1" t="str">
        <f t="shared" si="1521"/>
        <v>凡华云仓-城南圆通-微信视频号</v>
      </c>
      <c r="O4680" s="5" t="s">
        <v>4708</v>
      </c>
      <c r="P4680" s="6">
        <v>0.24</v>
      </c>
      <c r="Q4680" s="11">
        <v>2</v>
      </c>
      <c r="R4680" s="11"/>
      <c r="S4680" s="11"/>
      <c r="T4680" s="11"/>
      <c r="U4680" s="11">
        <f t="shared" si="1516"/>
        <v>2</v>
      </c>
      <c r="W4680">
        <v>2.2000000000000002</v>
      </c>
      <c r="X4680" s="1" t="s">
        <v>13</v>
      </c>
    </row>
    <row r="4681" spans="1:24" x14ac:dyDescent="0.25">
      <c r="A4681" s="1" t="str">
        <f t="shared" si="1517"/>
        <v>卡卡杜-凤凰仓</v>
      </c>
      <c r="B4681" s="1" t="str">
        <f>"CK202410215021"</f>
        <v>CK202410215021</v>
      </c>
      <c r="C4681" s="1" t="str">
        <f>"DD2024102111124"</f>
        <v>DD2024102111124</v>
      </c>
      <c r="D4681" s="1" t="str">
        <f>"CK2024102119779"</f>
        <v>CK2024102119779</v>
      </c>
      <c r="E4681" s="1" t="str">
        <f>"3723448650292399104"</f>
        <v>3723448650292399104</v>
      </c>
      <c r="F4681" s="1" t="str">
        <f t="shared" si="1518"/>
        <v>花都四部-凤凰仓</v>
      </c>
      <c r="G4681" s="1" t="str">
        <f t="shared" si="1522"/>
        <v>卡卡杜企业店（视频号）</v>
      </c>
      <c r="H4681" s="1" t="str">
        <f t="shared" si="1519"/>
        <v>正常订单</v>
      </c>
      <c r="I4681" s="1" t="str">
        <f t="shared" si="1520"/>
        <v>已发货</v>
      </c>
      <c r="J4681" s="1" t="str">
        <f t="shared" ref="J4681:J4686" si="1523">"2"</f>
        <v>2</v>
      </c>
      <c r="K4681" s="1">
        <v>2</v>
      </c>
      <c r="L4681" s="1" t="s">
        <v>218</v>
      </c>
      <c r="M4681" s="1" t="str">
        <f>"天津 天津市 河东区 "</f>
        <v xml:space="preserve">天津 天津市 河东区 </v>
      </c>
      <c r="N4681" s="1" t="str">
        <f t="shared" si="1521"/>
        <v>凡华云仓-城南圆通-微信视频号</v>
      </c>
      <c r="O4681" s="5" t="s">
        <v>4709</v>
      </c>
      <c r="P4681" s="6">
        <v>0.17</v>
      </c>
      <c r="Q4681" s="11">
        <v>2</v>
      </c>
      <c r="R4681" s="11"/>
      <c r="S4681" s="11"/>
      <c r="T4681" s="11"/>
      <c r="U4681" s="11">
        <f t="shared" si="1516"/>
        <v>2</v>
      </c>
      <c r="W4681">
        <v>2.2000000000000002</v>
      </c>
      <c r="X4681" s="1" t="s">
        <v>218</v>
      </c>
    </row>
    <row r="4682" spans="1:24" x14ac:dyDescent="0.25">
      <c r="A4682" s="1" t="str">
        <f t="shared" si="1517"/>
        <v>卡卡杜-凤凰仓</v>
      </c>
      <c r="B4682" s="1" t="str">
        <f>"CK202410215022"</f>
        <v>CK202410215022</v>
      </c>
      <c r="C4682" s="1" t="str">
        <f>"DD2024102111125"</f>
        <v>DD2024102111125</v>
      </c>
      <c r="D4682" s="1" t="str">
        <f>"CK2024102119778"</f>
        <v>CK2024102119778</v>
      </c>
      <c r="E4682" s="1" t="str">
        <f>"3723448648900153344"</f>
        <v>3723448648900153344</v>
      </c>
      <c r="F4682" s="1" t="str">
        <f t="shared" si="1518"/>
        <v>花都四部-凤凰仓</v>
      </c>
      <c r="G4682" s="1" t="str">
        <f t="shared" si="1522"/>
        <v>卡卡杜企业店（视频号）</v>
      </c>
      <c r="H4682" s="1" t="str">
        <f t="shared" si="1519"/>
        <v>正常订单</v>
      </c>
      <c r="I4682" s="1" t="str">
        <f t="shared" si="1520"/>
        <v>已发货</v>
      </c>
      <c r="J4682" s="1" t="str">
        <f t="shared" si="1523"/>
        <v>2</v>
      </c>
      <c r="K4682" s="1">
        <v>2</v>
      </c>
      <c r="L4682" s="1" t="s">
        <v>96</v>
      </c>
      <c r="M4682" s="1" t="str">
        <f>"广西壮族自治区 南宁市 青秀区 "</f>
        <v xml:space="preserve">广西壮族自治区 南宁市 青秀区 </v>
      </c>
      <c r="N4682" s="1" t="str">
        <f t="shared" si="1521"/>
        <v>凡华云仓-城南圆通-微信视频号</v>
      </c>
      <c r="O4682" s="5" t="s">
        <v>4710</v>
      </c>
      <c r="P4682" s="6">
        <v>0.17</v>
      </c>
      <c r="Q4682" s="11">
        <v>2</v>
      </c>
      <c r="R4682" s="11"/>
      <c r="S4682" s="11"/>
      <c r="T4682" s="11"/>
      <c r="U4682" s="11">
        <f t="shared" si="1516"/>
        <v>2</v>
      </c>
      <c r="W4682">
        <v>2.2000000000000002</v>
      </c>
      <c r="X4682" s="1" t="s">
        <v>96</v>
      </c>
    </row>
    <row r="4683" spans="1:24" x14ac:dyDescent="0.25">
      <c r="A4683" s="1" t="str">
        <f t="shared" si="1517"/>
        <v>卡卡杜-凤凰仓</v>
      </c>
      <c r="B4683" s="1" t="str">
        <f>"CK202410215035"</f>
        <v>CK202410215035</v>
      </c>
      <c r="C4683" s="1" t="str">
        <f>"DD2024102111139"</f>
        <v>DD2024102111139</v>
      </c>
      <c r="D4683" s="1" t="str">
        <f>"CK2024102119777"</f>
        <v>CK2024102119777</v>
      </c>
      <c r="E4683" s="1" t="str">
        <f>"3723448648863453184"</f>
        <v>3723448648863453184</v>
      </c>
      <c r="F4683" s="1" t="str">
        <f t="shared" si="1518"/>
        <v>花都四部-凤凰仓</v>
      </c>
      <c r="G4683" s="1" t="str">
        <f t="shared" si="1522"/>
        <v>卡卡杜企业店（视频号）</v>
      </c>
      <c r="H4683" s="1" t="str">
        <f t="shared" si="1519"/>
        <v>正常订单</v>
      </c>
      <c r="I4683" s="1" t="str">
        <f t="shared" si="1520"/>
        <v>已发货</v>
      </c>
      <c r="J4683" s="1" t="str">
        <f t="shared" si="1523"/>
        <v>2</v>
      </c>
      <c r="K4683" s="1">
        <v>2</v>
      </c>
      <c r="L4683" s="1" t="s">
        <v>80</v>
      </c>
      <c r="M4683" s="1" t="str">
        <f>"河南省 郑州市 中原区 "</f>
        <v xml:space="preserve">河南省 郑州市 中原区 </v>
      </c>
      <c r="N4683" s="1" t="str">
        <f t="shared" si="1521"/>
        <v>凡华云仓-城南圆通-微信视频号</v>
      </c>
      <c r="O4683" s="5" t="s">
        <v>4711</v>
      </c>
      <c r="P4683" s="6">
        <v>0.17</v>
      </c>
      <c r="Q4683" s="11">
        <v>2</v>
      </c>
      <c r="R4683" s="11"/>
      <c r="S4683" s="11"/>
      <c r="T4683" s="11"/>
      <c r="U4683" s="11">
        <f t="shared" si="1516"/>
        <v>2</v>
      </c>
      <c r="W4683">
        <v>2.2000000000000002</v>
      </c>
      <c r="X4683" s="1" t="s">
        <v>80</v>
      </c>
    </row>
    <row r="4684" spans="1:24" x14ac:dyDescent="0.25">
      <c r="A4684" s="1" t="str">
        <f t="shared" si="1517"/>
        <v>卡卡杜-凤凰仓</v>
      </c>
      <c r="B4684" s="1" t="str">
        <f>"CK202410215019"</f>
        <v>CK202410215019</v>
      </c>
      <c r="C4684" s="1" t="str">
        <f>"DD2024102111122"</f>
        <v>DD2024102111122</v>
      </c>
      <c r="D4684" s="1" t="str">
        <f>"CK2024102119776"</f>
        <v>CK2024102119776</v>
      </c>
      <c r="E4684" s="1" t="str">
        <f>"3723448647622988800"</f>
        <v>3723448647622988800</v>
      </c>
      <c r="F4684" s="1" t="str">
        <f t="shared" si="1518"/>
        <v>花都四部-凤凰仓</v>
      </c>
      <c r="G4684" s="1" t="str">
        <f t="shared" si="1522"/>
        <v>卡卡杜企业店（视频号）</v>
      </c>
      <c r="H4684" s="1" t="str">
        <f t="shared" si="1519"/>
        <v>正常订单</v>
      </c>
      <c r="I4684" s="1" t="str">
        <f t="shared" si="1520"/>
        <v>已发货</v>
      </c>
      <c r="J4684" s="1" t="str">
        <f t="shared" si="1523"/>
        <v>2</v>
      </c>
      <c r="K4684" s="1">
        <v>2</v>
      </c>
      <c r="L4684" s="1" t="s">
        <v>47</v>
      </c>
      <c r="M4684" s="1" t="str">
        <f>"重庆 重庆市 北碚区 "</f>
        <v xml:space="preserve">重庆 重庆市 北碚区 </v>
      </c>
      <c r="N4684" s="1" t="str">
        <f t="shared" si="1521"/>
        <v>凡华云仓-城南圆通-微信视频号</v>
      </c>
      <c r="O4684" s="5" t="s">
        <v>4712</v>
      </c>
      <c r="P4684" s="6">
        <v>0.17</v>
      </c>
      <c r="Q4684" s="11">
        <v>2</v>
      </c>
      <c r="R4684" s="11"/>
      <c r="S4684" s="11"/>
      <c r="T4684" s="11"/>
      <c r="U4684" s="11">
        <f t="shared" si="1516"/>
        <v>2</v>
      </c>
      <c r="W4684">
        <v>2.2000000000000002</v>
      </c>
      <c r="X4684" s="1" t="s">
        <v>47</v>
      </c>
    </row>
    <row r="4685" spans="1:24" x14ac:dyDescent="0.25">
      <c r="A4685" s="1" t="str">
        <f t="shared" si="1517"/>
        <v>卡卡杜-凤凰仓</v>
      </c>
      <c r="B4685" s="1" t="str">
        <f>"CK202410215044"</f>
        <v>CK202410215044</v>
      </c>
      <c r="C4685" s="1" t="str">
        <f>"DD2024102111146"</f>
        <v>DD2024102111146</v>
      </c>
      <c r="D4685" s="1" t="str">
        <f>"CK2024102119775"</f>
        <v>CK2024102119775</v>
      </c>
      <c r="E4685" s="1" t="str">
        <f>"3723448646949278720"</f>
        <v>3723448646949278720</v>
      </c>
      <c r="F4685" s="1" t="str">
        <f t="shared" si="1518"/>
        <v>花都四部-凤凰仓</v>
      </c>
      <c r="G4685" s="1" t="str">
        <f t="shared" si="1522"/>
        <v>卡卡杜企业店（视频号）</v>
      </c>
      <c r="H4685" s="1" t="str">
        <f t="shared" si="1519"/>
        <v>正常订单</v>
      </c>
      <c r="I4685" s="1" t="str">
        <f t="shared" si="1520"/>
        <v>已发货</v>
      </c>
      <c r="J4685" s="1" t="str">
        <f t="shared" si="1523"/>
        <v>2</v>
      </c>
      <c r="K4685" s="1">
        <v>2</v>
      </c>
      <c r="L4685" s="1" t="s">
        <v>66</v>
      </c>
      <c r="M4685" s="1" t="str">
        <f>"内蒙古自治区 呼和浩特市 赛罕区 "</f>
        <v xml:space="preserve">内蒙古自治区 呼和浩特市 赛罕区 </v>
      </c>
      <c r="N4685" s="1" t="str">
        <f t="shared" si="1521"/>
        <v>凡华云仓-城南圆通-微信视频号</v>
      </c>
      <c r="O4685" s="5" t="s">
        <v>4713</v>
      </c>
      <c r="P4685" s="6">
        <v>0.17</v>
      </c>
      <c r="Q4685" s="11">
        <v>2</v>
      </c>
      <c r="R4685" s="11"/>
      <c r="S4685" s="11"/>
      <c r="T4685" s="11"/>
      <c r="U4685" s="11">
        <f t="shared" si="1516"/>
        <v>2</v>
      </c>
      <c r="W4685">
        <v>2.2000000000000002</v>
      </c>
      <c r="X4685" s="1" t="s">
        <v>66</v>
      </c>
    </row>
    <row r="4686" spans="1:24" x14ac:dyDescent="0.25">
      <c r="A4686" s="1" t="str">
        <f t="shared" si="1517"/>
        <v>卡卡杜-凤凰仓</v>
      </c>
      <c r="B4686" s="1" t="str">
        <f>"CK202410215050"</f>
        <v>CK202410215050</v>
      </c>
      <c r="C4686" s="1" t="str">
        <f>"DD2024102111159"</f>
        <v>DD2024102111159</v>
      </c>
      <c r="D4686" s="1" t="str">
        <f>"CK2024102119774"</f>
        <v>CK2024102119774</v>
      </c>
      <c r="E4686" s="1" t="str">
        <f>"3723448644466509313"</f>
        <v>3723448644466509313</v>
      </c>
      <c r="F4686" s="1" t="str">
        <f t="shared" si="1518"/>
        <v>花都四部-凤凰仓</v>
      </c>
      <c r="G4686" s="1" t="str">
        <f t="shared" si="1522"/>
        <v>卡卡杜企业店（视频号）</v>
      </c>
      <c r="H4686" s="1" t="str">
        <f t="shared" si="1519"/>
        <v>正常订单</v>
      </c>
      <c r="I4686" s="1" t="str">
        <f t="shared" si="1520"/>
        <v>已发货</v>
      </c>
      <c r="J4686" s="1" t="str">
        <f t="shared" si="1523"/>
        <v>2</v>
      </c>
      <c r="K4686" s="1">
        <v>2</v>
      </c>
      <c r="L4686" s="1" t="s">
        <v>27</v>
      </c>
      <c r="M4686" s="1" t="str">
        <f>"贵州省 贵阳市 息烽县 "</f>
        <v xml:space="preserve">贵州省 贵阳市 息烽县 </v>
      </c>
      <c r="N4686" s="1" t="str">
        <f t="shared" si="1521"/>
        <v>凡华云仓-城南圆通-微信视频号</v>
      </c>
      <c r="O4686" s="5" t="s">
        <v>4714</v>
      </c>
      <c r="P4686" s="6">
        <v>0.17</v>
      </c>
      <c r="Q4686" s="11">
        <v>2</v>
      </c>
      <c r="R4686" s="11"/>
      <c r="S4686" s="11"/>
      <c r="T4686" s="11"/>
      <c r="U4686" s="11">
        <f t="shared" si="1516"/>
        <v>2</v>
      </c>
      <c r="W4686">
        <v>2.2000000000000002</v>
      </c>
      <c r="X4686" s="1" t="s">
        <v>27</v>
      </c>
    </row>
    <row r="4687" spans="1:24" x14ac:dyDescent="0.25">
      <c r="A4687" s="1" t="str">
        <f t="shared" si="1517"/>
        <v>卡卡杜-凤凰仓</v>
      </c>
      <c r="B4687" s="1" t="str">
        <f>"CK202410214991"</f>
        <v>CK202410214991</v>
      </c>
      <c r="C4687" s="1" t="str">
        <f>"DD2024102111095"</f>
        <v>DD2024102111095</v>
      </c>
      <c r="D4687" s="1" t="str">
        <f>"CK2024102119773"</f>
        <v>CK2024102119773</v>
      </c>
      <c r="E4687" s="1" t="str">
        <f>"3723448640032081152"</f>
        <v>3723448640032081152</v>
      </c>
      <c r="F4687" s="1" t="str">
        <f t="shared" si="1518"/>
        <v>花都四部-凤凰仓</v>
      </c>
      <c r="G4687" s="1" t="str">
        <f t="shared" si="1522"/>
        <v>卡卡杜企业店（视频号）</v>
      </c>
      <c r="H4687" s="1" t="str">
        <f t="shared" si="1519"/>
        <v>正常订单</v>
      </c>
      <c r="I4687" s="1" t="str">
        <f t="shared" si="1520"/>
        <v>已发货</v>
      </c>
      <c r="J4687" s="1" t="str">
        <f t="shared" ref="J4687:J4689" si="1524">"3"</f>
        <v>3</v>
      </c>
      <c r="K4687" s="1">
        <v>2</v>
      </c>
      <c r="L4687" s="1" t="s">
        <v>80</v>
      </c>
      <c r="M4687" s="1" t="str">
        <f>"河南省 郑州市 惠济区 "</f>
        <v xml:space="preserve">河南省 郑州市 惠济区 </v>
      </c>
      <c r="N4687" s="1" t="str">
        <f t="shared" si="1521"/>
        <v>凡华云仓-城南圆通-微信视频号</v>
      </c>
      <c r="O4687" s="5" t="s">
        <v>4715</v>
      </c>
      <c r="P4687" s="6">
        <v>0.24</v>
      </c>
      <c r="Q4687" s="11">
        <v>2</v>
      </c>
      <c r="R4687" s="11"/>
      <c r="S4687" s="11"/>
      <c r="T4687" s="11"/>
      <c r="U4687" s="11">
        <f t="shared" si="1516"/>
        <v>2</v>
      </c>
      <c r="W4687">
        <v>2.2000000000000002</v>
      </c>
      <c r="X4687" s="1" t="s">
        <v>80</v>
      </c>
    </row>
    <row r="4688" spans="1:24" x14ac:dyDescent="0.25">
      <c r="A4688" s="1" t="str">
        <f t="shared" si="1517"/>
        <v>卡卡杜-凤凰仓</v>
      </c>
      <c r="B4688" s="1" t="str">
        <f>"CK202410214981"</f>
        <v>CK202410214981</v>
      </c>
      <c r="C4688" s="1" t="str">
        <f>"DD2024102111084"</f>
        <v>DD2024102111084</v>
      </c>
      <c r="D4688" s="1" t="str">
        <f>"CK2024102119772"</f>
        <v>CK2024102119772</v>
      </c>
      <c r="E4688" s="1" t="str">
        <f>"3723448639103832064"</f>
        <v>3723448639103832064</v>
      </c>
      <c r="F4688" s="1" t="str">
        <f t="shared" si="1518"/>
        <v>花都四部-凤凰仓</v>
      </c>
      <c r="G4688" s="1" t="str">
        <f t="shared" si="1522"/>
        <v>卡卡杜企业店（视频号）</v>
      </c>
      <c r="H4688" s="1" t="str">
        <f t="shared" si="1519"/>
        <v>正常订单</v>
      </c>
      <c r="I4688" s="1" t="str">
        <f t="shared" si="1520"/>
        <v>已发货</v>
      </c>
      <c r="J4688" s="1" t="str">
        <f t="shared" si="1524"/>
        <v>3</v>
      </c>
      <c r="K4688" s="1">
        <v>2</v>
      </c>
      <c r="L4688" s="1" t="s">
        <v>74</v>
      </c>
      <c r="M4688" s="1" t="str">
        <f>"上海 上海市 闵行区 "</f>
        <v xml:space="preserve">上海 上海市 闵行区 </v>
      </c>
      <c r="N4688" s="1" t="str">
        <f t="shared" si="1521"/>
        <v>凡华云仓-城南圆通-微信视频号</v>
      </c>
      <c r="O4688" s="5" t="s">
        <v>4716</v>
      </c>
      <c r="P4688" s="6">
        <v>0.24</v>
      </c>
      <c r="Q4688" s="11">
        <v>2</v>
      </c>
      <c r="R4688" s="11"/>
      <c r="S4688" s="11"/>
      <c r="T4688" s="11"/>
      <c r="U4688" s="11">
        <f t="shared" si="1516"/>
        <v>2</v>
      </c>
      <c r="W4688">
        <v>2.2000000000000002</v>
      </c>
      <c r="X4688" s="1" t="s">
        <v>74</v>
      </c>
    </row>
    <row r="4689" spans="1:24" x14ac:dyDescent="0.25">
      <c r="A4689" s="1" t="str">
        <f t="shared" si="1517"/>
        <v>卡卡杜-凤凰仓</v>
      </c>
      <c r="B4689" s="1" t="str">
        <f>"CK202410214985"</f>
        <v>CK202410214985</v>
      </c>
      <c r="C4689" s="1" t="str">
        <f>"DD2024102111086"</f>
        <v>DD2024102111086</v>
      </c>
      <c r="D4689" s="1" t="str">
        <f>"CK2024102119771"</f>
        <v>CK2024102119771</v>
      </c>
      <c r="E4689" s="1" t="str">
        <f>"3723448642481294336"</f>
        <v>3723448642481294336</v>
      </c>
      <c r="F4689" s="1" t="str">
        <f t="shared" si="1518"/>
        <v>花都四部-凤凰仓</v>
      </c>
      <c r="G4689" s="1" t="str">
        <f t="shared" si="1522"/>
        <v>卡卡杜企业店（视频号）</v>
      </c>
      <c r="H4689" s="1" t="str">
        <f t="shared" si="1519"/>
        <v>正常订单</v>
      </c>
      <c r="I4689" s="1" t="str">
        <f t="shared" si="1520"/>
        <v>已发货</v>
      </c>
      <c r="J4689" s="1" t="str">
        <f t="shared" si="1524"/>
        <v>3</v>
      </c>
      <c r="K4689" s="1">
        <v>2</v>
      </c>
      <c r="L4689" s="1" t="s">
        <v>92</v>
      </c>
      <c r="M4689" s="1" t="str">
        <f>"辽宁省 大连市 甘井子区 "</f>
        <v xml:space="preserve">辽宁省 大连市 甘井子区 </v>
      </c>
      <c r="N4689" s="1" t="str">
        <f t="shared" si="1521"/>
        <v>凡华云仓-城南圆通-微信视频号</v>
      </c>
      <c r="O4689" s="5" t="s">
        <v>4717</v>
      </c>
      <c r="P4689" s="6">
        <v>0.24</v>
      </c>
      <c r="Q4689" s="11">
        <v>2</v>
      </c>
      <c r="R4689" s="11"/>
      <c r="S4689" s="11"/>
      <c r="T4689" s="11"/>
      <c r="U4689" s="11">
        <f t="shared" si="1516"/>
        <v>2</v>
      </c>
      <c r="W4689">
        <v>2.2000000000000002</v>
      </c>
      <c r="X4689" s="1" t="s">
        <v>92</v>
      </c>
    </row>
    <row r="4690" spans="1:24" x14ac:dyDescent="0.25">
      <c r="A4690" s="1" t="str">
        <f t="shared" si="1517"/>
        <v>卡卡杜-凤凰仓</v>
      </c>
      <c r="B4690" s="1" t="str">
        <f>"CK202410215027"</f>
        <v>CK202410215027</v>
      </c>
      <c r="C4690" s="1" t="str">
        <f>"DD2024102111130"</f>
        <v>DD2024102111130</v>
      </c>
      <c r="D4690" s="1" t="str">
        <f>"CK2024102119770"</f>
        <v>CK2024102119770</v>
      </c>
      <c r="E4690" s="1" t="str">
        <f>"3723448642045874176"</f>
        <v>3723448642045874176</v>
      </c>
      <c r="F4690" s="1" t="str">
        <f t="shared" si="1518"/>
        <v>花都四部-凤凰仓</v>
      </c>
      <c r="G4690" s="1" t="str">
        <f t="shared" si="1522"/>
        <v>卡卡杜企业店（视频号）</v>
      </c>
      <c r="H4690" s="1" t="str">
        <f t="shared" si="1519"/>
        <v>正常订单</v>
      </c>
      <c r="I4690" s="1" t="str">
        <f t="shared" si="1520"/>
        <v>已发货</v>
      </c>
      <c r="J4690" s="1" t="str">
        <f t="shared" ref="J4690:J4692" si="1525">"2"</f>
        <v>2</v>
      </c>
      <c r="K4690" s="1">
        <v>2</v>
      </c>
      <c r="L4690" s="1" t="s">
        <v>218</v>
      </c>
      <c r="M4690" s="1" t="str">
        <f>"天津 天津市 河西区 "</f>
        <v xml:space="preserve">天津 天津市 河西区 </v>
      </c>
      <c r="N4690" s="1" t="str">
        <f t="shared" si="1521"/>
        <v>凡华云仓-城南圆通-微信视频号</v>
      </c>
      <c r="O4690" s="5" t="s">
        <v>4718</v>
      </c>
      <c r="P4690" s="6">
        <v>0.17</v>
      </c>
      <c r="Q4690" s="11">
        <v>2</v>
      </c>
      <c r="R4690" s="11"/>
      <c r="S4690" s="11"/>
      <c r="T4690" s="11"/>
      <c r="U4690" s="11">
        <f t="shared" si="1516"/>
        <v>2</v>
      </c>
      <c r="W4690">
        <v>2.2000000000000002</v>
      </c>
      <c r="X4690" s="1" t="s">
        <v>218</v>
      </c>
    </row>
    <row r="4691" spans="1:24" x14ac:dyDescent="0.25">
      <c r="A4691" s="1" t="str">
        <f t="shared" si="1517"/>
        <v>卡卡杜-凤凰仓</v>
      </c>
      <c r="B4691" s="1" t="str">
        <f>"CK202410215024"</f>
        <v>CK202410215024</v>
      </c>
      <c r="C4691" s="1" t="str">
        <f>"DD2024102111127"</f>
        <v>DD2024102111127</v>
      </c>
      <c r="D4691" s="1" t="str">
        <f>"CK2024102119769"</f>
        <v>CK2024102119769</v>
      </c>
      <c r="E4691" s="1" t="str">
        <f>"3723448640816417792"</f>
        <v>3723448640816417792</v>
      </c>
      <c r="F4691" s="1" t="str">
        <f t="shared" si="1518"/>
        <v>花都四部-凤凰仓</v>
      </c>
      <c r="G4691" s="1" t="str">
        <f t="shared" si="1522"/>
        <v>卡卡杜企业店（视频号）</v>
      </c>
      <c r="H4691" s="1" t="str">
        <f t="shared" si="1519"/>
        <v>正常订单</v>
      </c>
      <c r="I4691" s="1" t="str">
        <f t="shared" si="1520"/>
        <v>已发货</v>
      </c>
      <c r="J4691" s="1" t="str">
        <f t="shared" si="1525"/>
        <v>2</v>
      </c>
      <c r="K4691" s="1">
        <v>2</v>
      </c>
      <c r="L4691" s="1" t="s">
        <v>94</v>
      </c>
      <c r="M4691" s="1" t="str">
        <f>"湖南省 长沙市 岳麓区 "</f>
        <v xml:space="preserve">湖南省 长沙市 岳麓区 </v>
      </c>
      <c r="N4691" s="1" t="str">
        <f t="shared" si="1521"/>
        <v>凡华云仓-城南圆通-微信视频号</v>
      </c>
      <c r="O4691" s="5" t="s">
        <v>4719</v>
      </c>
      <c r="P4691" s="6">
        <v>0.17</v>
      </c>
      <c r="Q4691" s="11">
        <v>2</v>
      </c>
      <c r="R4691" s="11"/>
      <c r="S4691" s="11"/>
      <c r="T4691" s="11"/>
      <c r="U4691" s="11">
        <f t="shared" si="1516"/>
        <v>2</v>
      </c>
      <c r="W4691">
        <v>2.2000000000000002</v>
      </c>
      <c r="X4691" s="1" t="s">
        <v>94</v>
      </c>
    </row>
    <row r="4692" spans="1:24" x14ac:dyDescent="0.25">
      <c r="A4692" s="1" t="str">
        <f t="shared" si="1517"/>
        <v>卡卡杜-凤凰仓</v>
      </c>
      <c r="B4692" s="1" t="str">
        <f>"CK202410215023"</f>
        <v>CK202410215023</v>
      </c>
      <c r="C4692" s="1" t="str">
        <f>"DD2024102111126"</f>
        <v>DD2024102111126</v>
      </c>
      <c r="D4692" s="1" t="str">
        <f>"CK2024102119768"</f>
        <v>CK2024102119768</v>
      </c>
      <c r="E4692" s="1" t="str">
        <f>"3723448630163670272"</f>
        <v>3723448630163670272</v>
      </c>
      <c r="F4692" s="1" t="str">
        <f t="shared" si="1518"/>
        <v>花都四部-凤凰仓</v>
      </c>
      <c r="G4692" s="1" t="str">
        <f t="shared" si="1522"/>
        <v>卡卡杜企业店（视频号）</v>
      </c>
      <c r="H4692" s="1" t="str">
        <f t="shared" si="1519"/>
        <v>正常订单</v>
      </c>
      <c r="I4692" s="1" t="str">
        <f t="shared" si="1520"/>
        <v>已发货</v>
      </c>
      <c r="J4692" s="1" t="str">
        <f t="shared" si="1525"/>
        <v>2</v>
      </c>
      <c r="K4692" s="1">
        <v>2</v>
      </c>
      <c r="L4692" s="1" t="s">
        <v>54</v>
      </c>
      <c r="M4692" s="1" t="str">
        <f>"黑龙江省 双鸭山市 尖山区 "</f>
        <v xml:space="preserve">黑龙江省 双鸭山市 尖山区 </v>
      </c>
      <c r="N4692" s="1" t="str">
        <f t="shared" si="1521"/>
        <v>凡华云仓-城南圆通-微信视频号</v>
      </c>
      <c r="O4692" s="5" t="s">
        <v>4720</v>
      </c>
      <c r="P4692" s="6">
        <v>0.17</v>
      </c>
      <c r="Q4692" s="11">
        <v>2</v>
      </c>
      <c r="R4692" s="11"/>
      <c r="S4692" s="11"/>
      <c r="T4692" s="11"/>
      <c r="U4692" s="11">
        <f t="shared" si="1516"/>
        <v>2</v>
      </c>
      <c r="W4692">
        <v>2.2000000000000002</v>
      </c>
      <c r="X4692" s="1" t="s">
        <v>54</v>
      </c>
    </row>
    <row r="4693" spans="1:24" x14ac:dyDescent="0.25">
      <c r="A4693" s="1" t="str">
        <f t="shared" si="1517"/>
        <v>卡卡杜-凤凰仓</v>
      </c>
      <c r="B4693" s="1" t="str">
        <f>"CK202410214971"</f>
        <v>CK202410214971</v>
      </c>
      <c r="C4693" s="1" t="str">
        <f>"DD2024102111076"</f>
        <v>DD2024102111076</v>
      </c>
      <c r="D4693" s="1" t="str">
        <f>"CK2024102119767"</f>
        <v>CK2024102119767</v>
      </c>
      <c r="E4693" s="1" t="str">
        <f>"3723448638577706496"</f>
        <v>3723448638577706496</v>
      </c>
      <c r="F4693" s="1" t="str">
        <f t="shared" si="1518"/>
        <v>花都四部-凤凰仓</v>
      </c>
      <c r="G4693" s="1" t="str">
        <f t="shared" si="1522"/>
        <v>卡卡杜企业店（视频号）</v>
      </c>
      <c r="H4693" s="1" t="str">
        <f t="shared" si="1519"/>
        <v>正常订单</v>
      </c>
      <c r="I4693" s="1" t="str">
        <f t="shared" si="1520"/>
        <v>已发货</v>
      </c>
      <c r="J4693" s="1" t="str">
        <f t="shared" ref="J4693:J4696" si="1526">"3"</f>
        <v>3</v>
      </c>
      <c r="K4693" s="1">
        <v>2</v>
      </c>
      <c r="L4693" s="1" t="s">
        <v>36</v>
      </c>
      <c r="M4693" s="1" t="str">
        <f>"安徽省 合肥市 蜀山区 "</f>
        <v xml:space="preserve">安徽省 合肥市 蜀山区 </v>
      </c>
      <c r="N4693" s="1" t="str">
        <f t="shared" si="1521"/>
        <v>凡华云仓-城南圆通-微信视频号</v>
      </c>
      <c r="O4693" s="5" t="s">
        <v>4721</v>
      </c>
      <c r="P4693" s="6">
        <v>0.24</v>
      </c>
      <c r="Q4693" s="11">
        <v>2</v>
      </c>
      <c r="R4693" s="11"/>
      <c r="S4693" s="11"/>
      <c r="T4693" s="11"/>
      <c r="U4693" s="11">
        <f t="shared" si="1516"/>
        <v>2</v>
      </c>
      <c r="W4693">
        <v>2.2000000000000002</v>
      </c>
      <c r="X4693" s="1" t="s">
        <v>36</v>
      </c>
    </row>
    <row r="4694" spans="1:24" x14ac:dyDescent="0.25">
      <c r="A4694" s="1" t="str">
        <f t="shared" si="1517"/>
        <v>卡卡杜-凤凰仓</v>
      </c>
      <c r="B4694" s="1" t="str">
        <f>"CK202410214980"</f>
        <v>CK202410214980</v>
      </c>
      <c r="C4694" s="1" t="str">
        <f>"DD2024102111083"</f>
        <v>DD2024102111083</v>
      </c>
      <c r="D4694" s="1" t="str">
        <f>"CK2024102119766"</f>
        <v>CK2024102119766</v>
      </c>
      <c r="E4694" s="1" t="str">
        <f>"3723448640339577856"</f>
        <v>3723448640339577856</v>
      </c>
      <c r="F4694" s="1" t="str">
        <f t="shared" si="1518"/>
        <v>花都四部-凤凰仓</v>
      </c>
      <c r="G4694" s="1" t="str">
        <f t="shared" si="1522"/>
        <v>卡卡杜企业店（视频号）</v>
      </c>
      <c r="H4694" s="1" t="str">
        <f t="shared" si="1519"/>
        <v>正常订单</v>
      </c>
      <c r="I4694" s="1" t="str">
        <f t="shared" si="1520"/>
        <v>已发货</v>
      </c>
      <c r="J4694" s="1" t="str">
        <f t="shared" si="1526"/>
        <v>3</v>
      </c>
      <c r="K4694" s="1">
        <v>2</v>
      </c>
      <c r="L4694" s="1" t="s">
        <v>74</v>
      </c>
      <c r="M4694" s="1" t="str">
        <f>"上海 上海市 浦东新区 "</f>
        <v xml:space="preserve">上海 上海市 浦东新区 </v>
      </c>
      <c r="N4694" s="1" t="str">
        <f t="shared" si="1521"/>
        <v>凡华云仓-城南圆通-微信视频号</v>
      </c>
      <c r="O4694" s="5" t="s">
        <v>4722</v>
      </c>
      <c r="P4694" s="6">
        <v>0.24</v>
      </c>
      <c r="Q4694" s="11">
        <v>2</v>
      </c>
      <c r="R4694" s="11"/>
      <c r="S4694" s="11"/>
      <c r="T4694" s="11"/>
      <c r="U4694" s="11">
        <f t="shared" si="1516"/>
        <v>2</v>
      </c>
      <c r="W4694">
        <v>2.2000000000000002</v>
      </c>
      <c r="X4694" s="1" t="s">
        <v>74</v>
      </c>
    </row>
    <row r="4695" spans="1:24" x14ac:dyDescent="0.25">
      <c r="A4695" s="1" t="str">
        <f t="shared" si="1517"/>
        <v>卡卡杜-凤凰仓</v>
      </c>
      <c r="B4695" s="1" t="str">
        <f>"CK202410214984"</f>
        <v>CK202410214984</v>
      </c>
      <c r="C4695" s="1" t="str">
        <f>"DD2024102111090"</f>
        <v>DD2024102111090</v>
      </c>
      <c r="D4695" s="1" t="str">
        <f>"CK2024102119765"</f>
        <v>CK2024102119765</v>
      </c>
      <c r="E4695" s="1" t="str">
        <f>"3723448636479505664"</f>
        <v>3723448636479505664</v>
      </c>
      <c r="F4695" s="1" t="str">
        <f t="shared" si="1518"/>
        <v>花都四部-凤凰仓</v>
      </c>
      <c r="G4695" s="1" t="str">
        <f t="shared" si="1522"/>
        <v>卡卡杜企业店（视频号）</v>
      </c>
      <c r="H4695" s="1" t="str">
        <f t="shared" si="1519"/>
        <v>正常订单</v>
      </c>
      <c r="I4695" s="1" t="str">
        <f t="shared" si="1520"/>
        <v>已发货</v>
      </c>
      <c r="J4695" s="1" t="str">
        <f t="shared" si="1526"/>
        <v>3</v>
      </c>
      <c r="K4695" s="1">
        <v>2</v>
      </c>
      <c r="L4695" s="1" t="s">
        <v>18</v>
      </c>
      <c r="M4695" s="1" t="str">
        <f>"广东省 东莞市 虎门镇 "</f>
        <v xml:space="preserve">广东省 东莞市 虎门镇 </v>
      </c>
      <c r="N4695" s="1" t="str">
        <f t="shared" si="1521"/>
        <v>凡华云仓-城南圆通-微信视频号</v>
      </c>
      <c r="O4695" s="5" t="s">
        <v>4723</v>
      </c>
      <c r="P4695" s="6">
        <v>0.24</v>
      </c>
      <c r="Q4695" s="11">
        <v>2</v>
      </c>
      <c r="R4695" s="11"/>
      <c r="S4695" s="11"/>
      <c r="T4695" s="11"/>
      <c r="U4695" s="11">
        <f t="shared" si="1516"/>
        <v>2</v>
      </c>
      <c r="W4695">
        <v>2.2000000000000002</v>
      </c>
      <c r="X4695" s="1" t="s">
        <v>18</v>
      </c>
    </row>
    <row r="4696" spans="1:24" x14ac:dyDescent="0.25">
      <c r="A4696" s="1" t="str">
        <f t="shared" si="1517"/>
        <v>卡卡杜-凤凰仓</v>
      </c>
      <c r="B4696" s="1" t="str">
        <f>"CK202410214983"</f>
        <v>CK202410214983</v>
      </c>
      <c r="C4696" s="1" t="str">
        <f>"DD2024102111085"</f>
        <v>DD2024102111085</v>
      </c>
      <c r="D4696" s="1" t="str">
        <f>"CK2024102119764"</f>
        <v>CK2024102119764</v>
      </c>
      <c r="E4696" s="1" t="str">
        <f>"3723448638434313728"</f>
        <v>3723448638434313728</v>
      </c>
      <c r="F4696" s="1" t="str">
        <f t="shared" si="1518"/>
        <v>花都四部-凤凰仓</v>
      </c>
      <c r="G4696" s="1" t="str">
        <f t="shared" si="1522"/>
        <v>卡卡杜企业店（视频号）</v>
      </c>
      <c r="H4696" s="1" t="str">
        <f t="shared" si="1519"/>
        <v>正常订单</v>
      </c>
      <c r="I4696" s="1" t="str">
        <f t="shared" si="1520"/>
        <v>已发货</v>
      </c>
      <c r="J4696" s="1" t="str">
        <f t="shared" si="1526"/>
        <v>3</v>
      </c>
      <c r="K4696" s="1">
        <v>2</v>
      </c>
      <c r="L4696" s="1" t="s">
        <v>18</v>
      </c>
      <c r="M4696" s="1" t="str">
        <f>"广东省 广州市 荔湾区 "</f>
        <v xml:space="preserve">广东省 广州市 荔湾区 </v>
      </c>
      <c r="N4696" s="1" t="str">
        <f t="shared" si="1521"/>
        <v>凡华云仓-城南圆通-微信视频号</v>
      </c>
      <c r="O4696" s="5" t="s">
        <v>4724</v>
      </c>
      <c r="P4696" s="6">
        <v>0.24</v>
      </c>
      <c r="Q4696" s="11">
        <v>2</v>
      </c>
      <c r="R4696" s="11"/>
      <c r="S4696" s="11"/>
      <c r="T4696" s="11"/>
      <c r="U4696" s="11">
        <f t="shared" si="1516"/>
        <v>2</v>
      </c>
      <c r="W4696">
        <v>2.2000000000000002</v>
      </c>
      <c r="X4696" s="1" t="s">
        <v>18</v>
      </c>
    </row>
    <row r="4697" spans="1:24" x14ac:dyDescent="0.25">
      <c r="A4697" s="1" t="str">
        <f t="shared" si="1517"/>
        <v>卡卡杜-凤凰仓</v>
      </c>
      <c r="B4697" s="1" t="str">
        <f>"CK202410215018"</f>
        <v>CK202410215018</v>
      </c>
      <c r="C4697" s="1" t="str">
        <f>"DD2024102111121"</f>
        <v>DD2024102111121</v>
      </c>
      <c r="D4697" s="1" t="str">
        <f>"CK2024102119763"</f>
        <v>CK2024102119763</v>
      </c>
      <c r="E4697" s="1" t="str">
        <f>"3723448636971025920"</f>
        <v>3723448636971025920</v>
      </c>
      <c r="F4697" s="1" t="str">
        <f t="shared" si="1518"/>
        <v>花都四部-凤凰仓</v>
      </c>
      <c r="G4697" s="1" t="str">
        <f t="shared" si="1522"/>
        <v>卡卡杜企业店（视频号）</v>
      </c>
      <c r="H4697" s="1" t="str">
        <f t="shared" si="1519"/>
        <v>正常订单</v>
      </c>
      <c r="I4697" s="1" t="str">
        <f t="shared" si="1520"/>
        <v>已发货</v>
      </c>
      <c r="J4697" s="1" t="str">
        <f t="shared" ref="J4697:J4702" si="1527">"2"</f>
        <v>2</v>
      </c>
      <c r="K4697" s="1">
        <v>2</v>
      </c>
      <c r="L4697" s="1" t="s">
        <v>94</v>
      </c>
      <c r="M4697" s="1" t="str">
        <f>"湖南省 湘潭市 湘潭县 "</f>
        <v xml:space="preserve">湖南省 湘潭市 湘潭县 </v>
      </c>
      <c r="N4697" s="1" t="str">
        <f t="shared" si="1521"/>
        <v>凡华云仓-城南圆通-微信视频号</v>
      </c>
      <c r="O4697" s="5" t="s">
        <v>4725</v>
      </c>
      <c r="P4697" s="6">
        <v>0.17</v>
      </c>
      <c r="Q4697" s="11">
        <v>2</v>
      </c>
      <c r="R4697" s="11"/>
      <c r="S4697" s="11"/>
      <c r="T4697" s="11"/>
      <c r="U4697" s="11">
        <f t="shared" si="1516"/>
        <v>2</v>
      </c>
      <c r="W4697">
        <v>2.2000000000000002</v>
      </c>
      <c r="X4697" s="1" t="s">
        <v>94</v>
      </c>
    </row>
    <row r="4698" spans="1:24" x14ac:dyDescent="0.25">
      <c r="A4698" s="1" t="str">
        <f t="shared" si="1517"/>
        <v>卡卡杜-凤凰仓</v>
      </c>
      <c r="B4698" s="1" t="str">
        <f>"CK202410214972"</f>
        <v>CK202410214972</v>
      </c>
      <c r="C4698" s="1" t="str">
        <f>"DD2024102111073"</f>
        <v>DD2024102111073</v>
      </c>
      <c r="D4698" s="1" t="str">
        <f>"CK2024102119762"</f>
        <v>CK2024102119762</v>
      </c>
      <c r="E4698" s="1" t="str">
        <f>"3723448638483858688"</f>
        <v>3723448638483858688</v>
      </c>
      <c r="F4698" s="1" t="str">
        <f t="shared" si="1518"/>
        <v>花都四部-凤凰仓</v>
      </c>
      <c r="G4698" s="1" t="str">
        <f t="shared" si="1522"/>
        <v>卡卡杜企业店（视频号）</v>
      </c>
      <c r="H4698" s="1" t="str">
        <f t="shared" si="1519"/>
        <v>正常订单</v>
      </c>
      <c r="I4698" s="1" t="str">
        <f t="shared" si="1520"/>
        <v>已发货</v>
      </c>
      <c r="J4698" s="1" t="str">
        <f t="shared" ref="J4698:J4701" si="1528">"3"</f>
        <v>3</v>
      </c>
      <c r="K4698" s="1">
        <v>2</v>
      </c>
      <c r="L4698" s="1" t="s">
        <v>105</v>
      </c>
      <c r="M4698" s="1" t="str">
        <f>"北京 北京市 大兴区 "</f>
        <v xml:space="preserve">北京 北京市 大兴区 </v>
      </c>
      <c r="N4698" s="1" t="str">
        <f t="shared" si="1521"/>
        <v>凡华云仓-城南圆通-微信视频号</v>
      </c>
      <c r="O4698" s="5" t="s">
        <v>4726</v>
      </c>
      <c r="P4698" s="6">
        <v>0.24</v>
      </c>
      <c r="Q4698" s="11">
        <v>2</v>
      </c>
      <c r="R4698" s="11"/>
      <c r="S4698" s="11"/>
      <c r="T4698" s="11"/>
      <c r="U4698" s="11">
        <f t="shared" si="1516"/>
        <v>2</v>
      </c>
      <c r="W4698">
        <v>2.2000000000000002</v>
      </c>
      <c r="X4698" s="1" t="s">
        <v>105</v>
      </c>
    </row>
    <row r="4699" spans="1:24" x14ac:dyDescent="0.25">
      <c r="A4699" s="1" t="str">
        <f t="shared" si="1517"/>
        <v>卡卡杜-凤凰仓</v>
      </c>
      <c r="B4699" s="1" t="str">
        <f>"CK202410215025"</f>
        <v>CK202410215025</v>
      </c>
      <c r="C4699" s="1" t="str">
        <f>"DD2024102111128"</f>
        <v>DD2024102111128</v>
      </c>
      <c r="D4699" s="1" t="str">
        <f>"CK2024102119761"</f>
        <v>CK2024102119761</v>
      </c>
      <c r="E4699" s="1" t="str">
        <f>"3723448638841423104"</f>
        <v>3723448638841423104</v>
      </c>
      <c r="F4699" s="1" t="str">
        <f t="shared" si="1518"/>
        <v>花都四部-凤凰仓</v>
      </c>
      <c r="G4699" s="1" t="str">
        <f t="shared" si="1522"/>
        <v>卡卡杜企业店（视频号）</v>
      </c>
      <c r="H4699" s="1" t="str">
        <f t="shared" si="1519"/>
        <v>正常订单</v>
      </c>
      <c r="I4699" s="1" t="str">
        <f t="shared" si="1520"/>
        <v>已发货</v>
      </c>
      <c r="J4699" s="1" t="str">
        <f t="shared" si="1527"/>
        <v>2</v>
      </c>
      <c r="K4699" s="1">
        <v>2</v>
      </c>
      <c r="L4699" s="1" t="s">
        <v>54</v>
      </c>
      <c r="M4699" s="1" t="str">
        <f>"黑龙江省 双鸭山市 集贤县 "</f>
        <v xml:space="preserve">黑龙江省 双鸭山市 集贤县 </v>
      </c>
      <c r="N4699" s="1" t="str">
        <f t="shared" si="1521"/>
        <v>凡华云仓-城南圆通-微信视频号</v>
      </c>
      <c r="O4699" s="5" t="s">
        <v>4727</v>
      </c>
      <c r="P4699" s="6">
        <v>0.17</v>
      </c>
      <c r="Q4699" s="11">
        <v>2</v>
      </c>
      <c r="R4699" s="11"/>
      <c r="S4699" s="11"/>
      <c r="T4699" s="11"/>
      <c r="U4699" s="11">
        <f t="shared" si="1516"/>
        <v>2</v>
      </c>
      <c r="W4699">
        <v>2.2000000000000002</v>
      </c>
      <c r="X4699" s="1" t="s">
        <v>54</v>
      </c>
    </row>
    <row r="4700" spans="1:24" x14ac:dyDescent="0.25">
      <c r="A4700" s="1" t="str">
        <f t="shared" si="1517"/>
        <v>卡卡杜-凤凰仓</v>
      </c>
      <c r="B4700" s="1" t="str">
        <f>"CK202410214975"</f>
        <v>CK202410214975</v>
      </c>
      <c r="C4700" s="1" t="str">
        <f>"DD2024102111078"</f>
        <v>DD2024102111078</v>
      </c>
      <c r="D4700" s="1" t="str">
        <f>"CK2024102119760"</f>
        <v>CK2024102119760</v>
      </c>
      <c r="E4700" s="1" t="str">
        <f>"3723448636141865984"</f>
        <v>3723448636141865984</v>
      </c>
      <c r="F4700" s="1" t="str">
        <f t="shared" si="1518"/>
        <v>花都四部-凤凰仓</v>
      </c>
      <c r="G4700" s="1" t="str">
        <f t="shared" si="1522"/>
        <v>卡卡杜企业店（视频号）</v>
      </c>
      <c r="H4700" s="1" t="str">
        <f t="shared" si="1519"/>
        <v>正常订单</v>
      </c>
      <c r="I4700" s="1" t="str">
        <f t="shared" si="1520"/>
        <v>已发货</v>
      </c>
      <c r="J4700" s="1" t="str">
        <f t="shared" si="1528"/>
        <v>3</v>
      </c>
      <c r="K4700" s="1">
        <v>2</v>
      </c>
      <c r="L4700" s="1" t="s">
        <v>52</v>
      </c>
      <c r="M4700" s="1" t="str">
        <f>"甘肃省 兰州市 城关区 "</f>
        <v xml:space="preserve">甘肃省 兰州市 城关区 </v>
      </c>
      <c r="N4700" s="1" t="str">
        <f t="shared" si="1521"/>
        <v>凡华云仓-城南圆通-微信视频号</v>
      </c>
      <c r="O4700" s="5" t="s">
        <v>4728</v>
      </c>
      <c r="P4700" s="6">
        <v>0.24</v>
      </c>
      <c r="Q4700" s="11">
        <v>2</v>
      </c>
      <c r="R4700" s="11"/>
      <c r="S4700" s="11"/>
      <c r="T4700" s="11"/>
      <c r="U4700" s="11">
        <f t="shared" si="1516"/>
        <v>2</v>
      </c>
      <c r="W4700">
        <v>2.2000000000000002</v>
      </c>
      <c r="X4700" s="1" t="s">
        <v>52</v>
      </c>
    </row>
    <row r="4701" spans="1:24" x14ac:dyDescent="0.25">
      <c r="A4701" s="1" t="str">
        <f t="shared" si="1517"/>
        <v>卡卡杜-凤凰仓</v>
      </c>
      <c r="B4701" s="1" t="str">
        <f>"CK202410214979"</f>
        <v>CK202410214979</v>
      </c>
      <c r="C4701" s="1" t="str">
        <f>"DD2024102111082"</f>
        <v>DD2024102111082</v>
      </c>
      <c r="D4701" s="1" t="str">
        <f>"CK2024102119759"</f>
        <v>CK2024102119759</v>
      </c>
      <c r="E4701" s="1" t="str">
        <f>"3723448628325518336"</f>
        <v>3723448628325518336</v>
      </c>
      <c r="F4701" s="1" t="str">
        <f t="shared" si="1518"/>
        <v>花都四部-凤凰仓</v>
      </c>
      <c r="G4701" s="1" t="str">
        <f t="shared" si="1522"/>
        <v>卡卡杜企业店（视频号）</v>
      </c>
      <c r="H4701" s="1" t="str">
        <f t="shared" si="1519"/>
        <v>正常订单</v>
      </c>
      <c r="I4701" s="1" t="str">
        <f t="shared" si="1520"/>
        <v>已发货</v>
      </c>
      <c r="J4701" s="1" t="str">
        <f t="shared" si="1528"/>
        <v>3</v>
      </c>
      <c r="K4701" s="1">
        <v>2</v>
      </c>
      <c r="L4701" s="1" t="s">
        <v>22</v>
      </c>
      <c r="M4701" s="1" t="str">
        <f>"江西省 南昌市 红谷滩区 "</f>
        <v xml:space="preserve">江西省 南昌市 红谷滩区 </v>
      </c>
      <c r="N4701" s="1" t="str">
        <f t="shared" si="1521"/>
        <v>凡华云仓-城南圆通-微信视频号</v>
      </c>
      <c r="O4701" s="5" t="s">
        <v>4729</v>
      </c>
      <c r="P4701" s="6">
        <v>0.24</v>
      </c>
      <c r="Q4701" s="11">
        <v>2</v>
      </c>
      <c r="R4701" s="11"/>
      <c r="S4701" s="11"/>
      <c r="T4701" s="11"/>
      <c r="U4701" s="11">
        <f t="shared" si="1516"/>
        <v>2</v>
      </c>
      <c r="W4701">
        <v>2.2000000000000002</v>
      </c>
      <c r="X4701" s="1" t="s">
        <v>22</v>
      </c>
    </row>
    <row r="4702" spans="1:24" x14ac:dyDescent="0.25">
      <c r="A4702" s="1" t="str">
        <f t="shared" si="1517"/>
        <v>卡卡杜-凤凰仓</v>
      </c>
      <c r="B4702" s="1" t="str">
        <f>"CK202410215036"</f>
        <v>CK202410215036</v>
      </c>
      <c r="C4702" s="1" t="str">
        <f>"DD2024102111138"</f>
        <v>DD2024102111138</v>
      </c>
      <c r="D4702" s="1" t="str">
        <f>"CK2024102119758"</f>
        <v>CK2024102119758</v>
      </c>
      <c r="E4702" s="1" t="str">
        <f>"3723448632068146432"</f>
        <v>3723448632068146432</v>
      </c>
      <c r="F4702" s="1" t="str">
        <f t="shared" si="1518"/>
        <v>花都四部-凤凰仓</v>
      </c>
      <c r="G4702" s="1" t="str">
        <f t="shared" si="1522"/>
        <v>卡卡杜企业店（视频号）</v>
      </c>
      <c r="H4702" s="1" t="str">
        <f t="shared" si="1519"/>
        <v>正常订单</v>
      </c>
      <c r="I4702" s="1" t="str">
        <f t="shared" si="1520"/>
        <v>已发货</v>
      </c>
      <c r="J4702" s="1" t="str">
        <f t="shared" si="1527"/>
        <v>2</v>
      </c>
      <c r="K4702" s="1">
        <v>2</v>
      </c>
      <c r="L4702" s="1" t="s">
        <v>22</v>
      </c>
      <c r="M4702" s="1" t="str">
        <f>"江西省 宜春市 上高县 "</f>
        <v xml:space="preserve">江西省 宜春市 上高县 </v>
      </c>
      <c r="N4702" s="1" t="str">
        <f t="shared" si="1521"/>
        <v>凡华云仓-城南圆通-微信视频号</v>
      </c>
      <c r="O4702" s="5" t="s">
        <v>4730</v>
      </c>
      <c r="P4702" s="6">
        <v>0.17</v>
      </c>
      <c r="Q4702" s="11">
        <v>2</v>
      </c>
      <c r="R4702" s="11"/>
      <c r="S4702" s="11"/>
      <c r="T4702" s="11"/>
      <c r="U4702" s="11">
        <f t="shared" si="1516"/>
        <v>2</v>
      </c>
      <c r="W4702">
        <v>2.2000000000000002</v>
      </c>
      <c r="X4702" s="1" t="s">
        <v>22</v>
      </c>
    </row>
    <row r="4703" spans="1:24" x14ac:dyDescent="0.25">
      <c r="A4703" s="1" t="str">
        <f t="shared" si="1517"/>
        <v>卡卡杜-凤凰仓</v>
      </c>
      <c r="B4703" s="1" t="str">
        <f>"CK202410214994"</f>
        <v>CK202410214994</v>
      </c>
      <c r="C4703" s="1" t="str">
        <f>"DD2024102111097"</f>
        <v>DD2024102111097</v>
      </c>
      <c r="D4703" s="1" t="str">
        <f>"CK2024102119757"</f>
        <v>CK2024102119757</v>
      </c>
      <c r="E4703" s="1" t="str">
        <f>"3723448627783143424"</f>
        <v>3723448627783143424</v>
      </c>
      <c r="F4703" s="1" t="str">
        <f t="shared" si="1518"/>
        <v>花都四部-凤凰仓</v>
      </c>
      <c r="G4703" s="1" t="str">
        <f t="shared" si="1522"/>
        <v>卡卡杜企业店（视频号）</v>
      </c>
      <c r="H4703" s="1" t="str">
        <f t="shared" si="1519"/>
        <v>正常订单</v>
      </c>
      <c r="I4703" s="1" t="str">
        <f t="shared" si="1520"/>
        <v>已发货</v>
      </c>
      <c r="J4703" s="1" t="str">
        <f t="shared" ref="J4703:J4710" si="1529">"3"</f>
        <v>3</v>
      </c>
      <c r="K4703" s="1">
        <v>2</v>
      </c>
      <c r="L4703" s="1" t="s">
        <v>80</v>
      </c>
      <c r="M4703" s="1" t="str">
        <f>"河南省 焦作市 温县 "</f>
        <v xml:space="preserve">河南省 焦作市 温县 </v>
      </c>
      <c r="N4703" s="1" t="str">
        <f t="shared" si="1521"/>
        <v>凡华云仓-城南圆通-微信视频号</v>
      </c>
      <c r="O4703" s="5" t="s">
        <v>4731</v>
      </c>
      <c r="P4703" s="6">
        <v>0.24</v>
      </c>
      <c r="Q4703" s="11">
        <v>2</v>
      </c>
      <c r="R4703" s="11"/>
      <c r="S4703" s="11"/>
      <c r="T4703" s="11"/>
      <c r="U4703" s="11">
        <f t="shared" si="1516"/>
        <v>2</v>
      </c>
      <c r="W4703">
        <v>2.2000000000000002</v>
      </c>
      <c r="X4703" s="1" t="s">
        <v>80</v>
      </c>
    </row>
    <row r="4704" spans="1:24" x14ac:dyDescent="0.25">
      <c r="A4704" s="1" t="str">
        <f t="shared" si="1517"/>
        <v>卡卡杜-凤凰仓</v>
      </c>
      <c r="B4704" s="1" t="str">
        <f>"CK202410215029"</f>
        <v>CK202410215029</v>
      </c>
      <c r="C4704" s="1" t="str">
        <f>"DD2024102111134"</f>
        <v>DD2024102111134</v>
      </c>
      <c r="D4704" s="1" t="str">
        <f>"CK2024102119756"</f>
        <v>CK2024102119756</v>
      </c>
      <c r="E4704" s="1" t="str">
        <f>"3723448631539664384"</f>
        <v>3723448631539664384</v>
      </c>
      <c r="F4704" s="1" t="str">
        <f t="shared" si="1518"/>
        <v>花都四部-凤凰仓</v>
      </c>
      <c r="G4704" s="1" t="str">
        <f t="shared" si="1522"/>
        <v>卡卡杜企业店（视频号）</v>
      </c>
      <c r="H4704" s="1" t="str">
        <f t="shared" si="1519"/>
        <v>正常订单</v>
      </c>
      <c r="I4704" s="1" t="str">
        <f t="shared" si="1520"/>
        <v>已发货</v>
      </c>
      <c r="J4704" s="1" t="str">
        <f t="shared" ref="J4704:J4707" si="1530">"2"</f>
        <v>2</v>
      </c>
      <c r="K4704" s="1">
        <v>2</v>
      </c>
      <c r="L4704" s="1" t="s">
        <v>105</v>
      </c>
      <c r="M4704" s="1" t="str">
        <f>"北京 北京市 朝阳区 "</f>
        <v xml:space="preserve">北京 北京市 朝阳区 </v>
      </c>
      <c r="N4704" s="1" t="str">
        <f t="shared" si="1521"/>
        <v>凡华云仓-城南圆通-微信视频号</v>
      </c>
      <c r="O4704" s="5" t="s">
        <v>4732</v>
      </c>
      <c r="P4704" s="6">
        <v>0.17</v>
      </c>
      <c r="Q4704" s="11">
        <v>2</v>
      </c>
      <c r="R4704" s="11"/>
      <c r="S4704" s="11"/>
      <c r="T4704" s="11"/>
      <c r="U4704" s="11">
        <f t="shared" si="1516"/>
        <v>2</v>
      </c>
      <c r="W4704">
        <v>2.2000000000000002</v>
      </c>
      <c r="X4704" s="1" t="s">
        <v>105</v>
      </c>
    </row>
    <row r="4705" spans="1:24" x14ac:dyDescent="0.25">
      <c r="A4705" s="1" t="str">
        <f t="shared" si="1517"/>
        <v>卡卡杜-凤凰仓</v>
      </c>
      <c r="B4705" s="1" t="str">
        <f>"CK202410214990"</f>
        <v>CK202410214990</v>
      </c>
      <c r="C4705" s="1" t="str">
        <f>"DD2024102111093"</f>
        <v>DD2024102111093</v>
      </c>
      <c r="D4705" s="1" t="str">
        <f>"CK2024102119755"</f>
        <v>CK2024102119755</v>
      </c>
      <c r="E4705" s="1" t="str">
        <f>"3723448630888240128"</f>
        <v>3723448630888240128</v>
      </c>
      <c r="F4705" s="1" t="str">
        <f t="shared" si="1518"/>
        <v>花都四部-凤凰仓</v>
      </c>
      <c r="G4705" s="1" t="str">
        <f t="shared" si="1522"/>
        <v>卡卡杜企业店（视频号）</v>
      </c>
      <c r="H4705" s="1" t="str">
        <f t="shared" si="1519"/>
        <v>正常订单</v>
      </c>
      <c r="I4705" s="1" t="str">
        <f t="shared" si="1520"/>
        <v>已发货</v>
      </c>
      <c r="J4705" s="1" t="str">
        <f t="shared" si="1529"/>
        <v>3</v>
      </c>
      <c r="K4705" s="1">
        <v>2</v>
      </c>
      <c r="L4705" s="1" t="s">
        <v>105</v>
      </c>
      <c r="M4705" s="1" t="str">
        <f>"北京 北京市 海淀区 "</f>
        <v xml:space="preserve">北京 北京市 海淀区 </v>
      </c>
      <c r="N4705" s="1" t="str">
        <f t="shared" si="1521"/>
        <v>凡华云仓-城南圆通-微信视频号</v>
      </c>
      <c r="O4705" s="5" t="s">
        <v>4733</v>
      </c>
      <c r="P4705" s="6">
        <v>0.24</v>
      </c>
      <c r="Q4705" s="11">
        <v>2</v>
      </c>
      <c r="R4705" s="11"/>
      <c r="S4705" s="11"/>
      <c r="T4705" s="11"/>
      <c r="U4705" s="11">
        <f t="shared" si="1516"/>
        <v>2</v>
      </c>
      <c r="W4705">
        <v>2.2000000000000002</v>
      </c>
      <c r="X4705" s="1" t="s">
        <v>105</v>
      </c>
    </row>
    <row r="4706" spans="1:24" x14ac:dyDescent="0.25">
      <c r="A4706" s="1" t="str">
        <f t="shared" si="1517"/>
        <v>卡卡杜-凤凰仓</v>
      </c>
      <c r="B4706" s="1" t="str">
        <f>"CK202410215020"</f>
        <v>CK202410215020</v>
      </c>
      <c r="C4706" s="1" t="str">
        <f>"DD2024102111123"</f>
        <v>DD2024102111123</v>
      </c>
      <c r="D4706" s="1" t="str">
        <f>"CK2024102119754"</f>
        <v>CK2024102119754</v>
      </c>
      <c r="E4706" s="1" t="str">
        <f>"3723448630445475328"</f>
        <v>3723448630445475328</v>
      </c>
      <c r="F4706" s="1" t="str">
        <f t="shared" si="1518"/>
        <v>花都四部-凤凰仓</v>
      </c>
      <c r="G4706" s="1" t="str">
        <f t="shared" si="1522"/>
        <v>卡卡杜企业店（视频号）</v>
      </c>
      <c r="H4706" s="1" t="str">
        <f t="shared" si="1519"/>
        <v>正常订单</v>
      </c>
      <c r="I4706" s="1" t="str">
        <f t="shared" si="1520"/>
        <v>已发货</v>
      </c>
      <c r="J4706" s="1" t="str">
        <f t="shared" si="1530"/>
        <v>2</v>
      </c>
      <c r="K4706" s="1">
        <v>2</v>
      </c>
      <c r="L4706" s="1" t="s">
        <v>36</v>
      </c>
      <c r="M4706" s="1" t="str">
        <f>"安徽省 合肥市 包河区 "</f>
        <v xml:space="preserve">安徽省 合肥市 包河区 </v>
      </c>
      <c r="N4706" s="1" t="str">
        <f t="shared" si="1521"/>
        <v>凡华云仓-城南圆通-微信视频号</v>
      </c>
      <c r="O4706" s="5" t="s">
        <v>4734</v>
      </c>
      <c r="P4706" s="6">
        <v>0.17</v>
      </c>
      <c r="Q4706" s="11">
        <v>2</v>
      </c>
      <c r="R4706" s="11"/>
      <c r="S4706" s="11"/>
      <c r="T4706" s="11"/>
      <c r="U4706" s="11">
        <f t="shared" si="1516"/>
        <v>2</v>
      </c>
      <c r="W4706">
        <v>2.2000000000000002</v>
      </c>
      <c r="X4706" s="1" t="s">
        <v>36</v>
      </c>
    </row>
    <row r="4707" spans="1:24" x14ac:dyDescent="0.25">
      <c r="A4707" s="1" t="str">
        <f t="shared" si="1517"/>
        <v>卡卡杜-凤凰仓</v>
      </c>
      <c r="B4707" s="1" t="str">
        <f>"CK202410215056"</f>
        <v>CK202410215056</v>
      </c>
      <c r="C4707" s="1" t="str">
        <f>"DD2024102111167"</f>
        <v>DD2024102111167</v>
      </c>
      <c r="D4707" s="1" t="str">
        <f>"CK2024102119753"</f>
        <v>CK2024102119753</v>
      </c>
      <c r="E4707" s="1" t="str">
        <f>"3723448629854866432"</f>
        <v>3723448629854866432</v>
      </c>
      <c r="F4707" s="1" t="str">
        <f t="shared" si="1518"/>
        <v>花都四部-凤凰仓</v>
      </c>
      <c r="G4707" s="1" t="str">
        <f t="shared" si="1522"/>
        <v>卡卡杜企业店（视频号）</v>
      </c>
      <c r="H4707" s="1" t="str">
        <f t="shared" si="1519"/>
        <v>正常订单</v>
      </c>
      <c r="I4707" s="1" t="str">
        <f t="shared" si="1520"/>
        <v>已发货</v>
      </c>
      <c r="J4707" s="1" t="str">
        <f t="shared" si="1530"/>
        <v>2</v>
      </c>
      <c r="K4707" s="1">
        <v>2</v>
      </c>
      <c r="L4707" s="1" t="s">
        <v>30</v>
      </c>
      <c r="M4707" s="1" t="str">
        <f>"山东省 威海市 环翠区 "</f>
        <v xml:space="preserve">山东省 威海市 环翠区 </v>
      </c>
      <c r="N4707" s="1" t="str">
        <f t="shared" si="1521"/>
        <v>凡华云仓-城南圆通-微信视频号</v>
      </c>
      <c r="O4707" s="5" t="s">
        <v>4735</v>
      </c>
      <c r="P4707" s="6">
        <v>0.17</v>
      </c>
      <c r="Q4707" s="11">
        <v>2</v>
      </c>
      <c r="R4707" s="11"/>
      <c r="S4707" s="11"/>
      <c r="T4707" s="11"/>
      <c r="U4707" s="11">
        <f t="shared" si="1516"/>
        <v>2</v>
      </c>
      <c r="W4707">
        <v>2.2000000000000002</v>
      </c>
      <c r="X4707" s="1" t="s">
        <v>30</v>
      </c>
    </row>
    <row r="4708" spans="1:24" x14ac:dyDescent="0.25">
      <c r="A4708" s="1" t="str">
        <f t="shared" si="1517"/>
        <v>卡卡杜-凤凰仓</v>
      </c>
      <c r="B4708" s="1" t="str">
        <f>"CK202410214987"</f>
        <v>CK202410214987</v>
      </c>
      <c r="C4708" s="1" t="str">
        <f>"DD2024102111089"</f>
        <v>DD2024102111089</v>
      </c>
      <c r="D4708" s="1" t="str">
        <f>"CK2024102119752"</f>
        <v>CK2024102119752</v>
      </c>
      <c r="E4708" s="1" t="str">
        <f>"3723448629484979456"</f>
        <v>3723448629484979456</v>
      </c>
      <c r="F4708" s="1" t="str">
        <f t="shared" si="1518"/>
        <v>花都四部-凤凰仓</v>
      </c>
      <c r="G4708" s="1" t="str">
        <f t="shared" si="1522"/>
        <v>卡卡杜企业店（视频号）</v>
      </c>
      <c r="H4708" s="1" t="str">
        <f t="shared" si="1519"/>
        <v>正常订单</v>
      </c>
      <c r="I4708" s="1" t="str">
        <f t="shared" si="1520"/>
        <v>已发货</v>
      </c>
      <c r="J4708" s="1" t="str">
        <f t="shared" si="1529"/>
        <v>3</v>
      </c>
      <c r="K4708" s="1">
        <v>2</v>
      </c>
      <c r="L4708" s="1" t="s">
        <v>105</v>
      </c>
      <c r="M4708" s="1" t="str">
        <f>"北京 北京市 丰台区 "</f>
        <v xml:space="preserve">北京 北京市 丰台区 </v>
      </c>
      <c r="N4708" s="1" t="str">
        <f t="shared" si="1521"/>
        <v>凡华云仓-城南圆通-微信视频号</v>
      </c>
      <c r="O4708" s="5" t="s">
        <v>4736</v>
      </c>
      <c r="P4708" s="6">
        <v>0.24</v>
      </c>
      <c r="Q4708" s="11">
        <v>2</v>
      </c>
      <c r="R4708" s="11"/>
      <c r="S4708" s="11"/>
      <c r="T4708" s="11"/>
      <c r="U4708" s="11">
        <f t="shared" si="1516"/>
        <v>2</v>
      </c>
      <c r="W4708">
        <v>2.2000000000000002</v>
      </c>
      <c r="X4708" s="1" t="s">
        <v>105</v>
      </c>
    </row>
    <row r="4709" spans="1:24" x14ac:dyDescent="0.25">
      <c r="A4709" s="1" t="str">
        <f t="shared" si="1517"/>
        <v>卡卡杜-凤凰仓</v>
      </c>
      <c r="B4709" s="1" t="str">
        <f>"CK202410214982"</f>
        <v>CK202410214982</v>
      </c>
      <c r="C4709" s="1" t="str">
        <f>"DD2024102111088"</f>
        <v>DD2024102111088</v>
      </c>
      <c r="D4709" s="1" t="str">
        <f>"CK2024102119751"</f>
        <v>CK2024102119751</v>
      </c>
      <c r="E4709" s="1" t="str">
        <f>"3723448627728614656"</f>
        <v>3723448627728614656</v>
      </c>
      <c r="F4709" s="1" t="str">
        <f t="shared" si="1518"/>
        <v>花都四部-凤凰仓</v>
      </c>
      <c r="G4709" s="1" t="str">
        <f t="shared" si="1522"/>
        <v>卡卡杜企业店（视频号）</v>
      </c>
      <c r="H4709" s="1" t="str">
        <f t="shared" si="1519"/>
        <v>正常订单</v>
      </c>
      <c r="I4709" s="1" t="str">
        <f t="shared" si="1520"/>
        <v>已发货</v>
      </c>
      <c r="J4709" s="1" t="str">
        <f t="shared" si="1529"/>
        <v>3</v>
      </c>
      <c r="K4709" s="1">
        <v>2</v>
      </c>
      <c r="L4709" s="1" t="s">
        <v>105</v>
      </c>
      <c r="M4709" s="1" t="str">
        <f>"北京 北京市 昌平区 "</f>
        <v xml:space="preserve">北京 北京市 昌平区 </v>
      </c>
      <c r="N4709" s="1" t="str">
        <f t="shared" si="1521"/>
        <v>凡华云仓-城南圆通-微信视频号</v>
      </c>
      <c r="O4709" s="5" t="s">
        <v>4737</v>
      </c>
      <c r="P4709" s="6">
        <v>0.24</v>
      </c>
      <c r="Q4709" s="11">
        <v>2</v>
      </c>
      <c r="R4709" s="11"/>
      <c r="S4709" s="11"/>
      <c r="T4709" s="11"/>
      <c r="U4709" s="11">
        <f t="shared" si="1516"/>
        <v>2</v>
      </c>
      <c r="W4709">
        <v>2.2000000000000002</v>
      </c>
      <c r="X4709" s="1" t="s">
        <v>105</v>
      </c>
    </row>
    <row r="4710" spans="1:24" x14ac:dyDescent="0.25">
      <c r="A4710" s="1" t="str">
        <f t="shared" si="1517"/>
        <v>卡卡杜-凤凰仓</v>
      </c>
      <c r="B4710" s="1" t="str">
        <f>"CK202410214989"</f>
        <v>CK202410214989</v>
      </c>
      <c r="C4710" s="1" t="str">
        <f>"DD2024102111092"</f>
        <v>DD2024102111092</v>
      </c>
      <c r="D4710" s="1" t="str">
        <f>"CK2024102119750"</f>
        <v>CK2024102119750</v>
      </c>
      <c r="E4710" s="1" t="str">
        <f>"3723448626724342784"</f>
        <v>3723448626724342784</v>
      </c>
      <c r="F4710" s="1" t="str">
        <f t="shared" si="1518"/>
        <v>花都四部-凤凰仓</v>
      </c>
      <c r="G4710" s="1" t="str">
        <f t="shared" si="1522"/>
        <v>卡卡杜企业店（视频号）</v>
      </c>
      <c r="H4710" s="1" t="str">
        <f t="shared" si="1519"/>
        <v>正常订单</v>
      </c>
      <c r="I4710" s="1" t="str">
        <f t="shared" si="1520"/>
        <v>已发货</v>
      </c>
      <c r="J4710" s="1" t="str">
        <f t="shared" si="1529"/>
        <v>3</v>
      </c>
      <c r="K4710" s="1">
        <v>2</v>
      </c>
      <c r="L4710" s="1" t="s">
        <v>80</v>
      </c>
      <c r="M4710" s="1" t="str">
        <f>"河南省 郑州市 二七区 "</f>
        <v xml:space="preserve">河南省 郑州市 二七区 </v>
      </c>
      <c r="N4710" s="1" t="str">
        <f t="shared" si="1521"/>
        <v>凡华云仓-城南圆通-微信视频号</v>
      </c>
      <c r="O4710" s="5" t="s">
        <v>4738</v>
      </c>
      <c r="P4710" s="6">
        <v>0.24</v>
      </c>
      <c r="Q4710" s="11">
        <v>2</v>
      </c>
      <c r="R4710" s="11"/>
      <c r="S4710" s="11"/>
      <c r="T4710" s="11"/>
      <c r="U4710" s="11">
        <f t="shared" si="1516"/>
        <v>2</v>
      </c>
      <c r="W4710">
        <v>2.2000000000000002</v>
      </c>
      <c r="X4710" s="1" t="s">
        <v>80</v>
      </c>
    </row>
    <row r="4711" spans="1:24" x14ac:dyDescent="0.25">
      <c r="A4711" s="1" t="str">
        <f t="shared" si="1517"/>
        <v>卡卡杜-凤凰仓</v>
      </c>
      <c r="B4711" s="1" t="str">
        <f>"CK202410215046"</f>
        <v>CK202410215046</v>
      </c>
      <c r="C4711" s="1" t="str">
        <f>"DD2024102111149"</f>
        <v>DD2024102111149</v>
      </c>
      <c r="D4711" s="1" t="str">
        <f>"CK2024102119749"</f>
        <v>CK2024102119749</v>
      </c>
      <c r="E4711" s="1" t="str">
        <f>"3723448627531482368"</f>
        <v>3723448627531482368</v>
      </c>
      <c r="F4711" s="1" t="str">
        <f t="shared" si="1518"/>
        <v>花都四部-凤凰仓</v>
      </c>
      <c r="G4711" s="1" t="str">
        <f t="shared" si="1522"/>
        <v>卡卡杜企业店（视频号）</v>
      </c>
      <c r="H4711" s="1" t="str">
        <f t="shared" si="1519"/>
        <v>正常订单</v>
      </c>
      <c r="I4711" s="1" t="str">
        <f t="shared" si="1520"/>
        <v>已发货</v>
      </c>
      <c r="J4711" s="1" t="str">
        <f>"2"</f>
        <v>2</v>
      </c>
      <c r="K4711" s="1">
        <v>2</v>
      </c>
      <c r="L4711" s="1" t="s">
        <v>105</v>
      </c>
      <c r="M4711" s="1" t="str">
        <f>"北京 北京市 海淀区 "</f>
        <v xml:space="preserve">北京 北京市 海淀区 </v>
      </c>
      <c r="N4711" s="1" t="str">
        <f t="shared" si="1521"/>
        <v>凡华云仓-城南圆通-微信视频号</v>
      </c>
      <c r="O4711" s="5" t="s">
        <v>4739</v>
      </c>
      <c r="P4711" s="6">
        <v>0.17</v>
      </c>
      <c r="Q4711" s="11">
        <v>2</v>
      </c>
      <c r="R4711" s="11"/>
      <c r="S4711" s="11"/>
      <c r="T4711" s="11"/>
      <c r="U4711" s="11">
        <f t="shared" si="1516"/>
        <v>2</v>
      </c>
      <c r="W4711">
        <v>2.2000000000000002</v>
      </c>
      <c r="X4711" s="1" t="s">
        <v>105</v>
      </c>
    </row>
    <row r="4712" spans="1:24" x14ac:dyDescent="0.25">
      <c r="A4712" s="1" t="str">
        <f t="shared" si="1517"/>
        <v>卡卡杜-凤凰仓</v>
      </c>
      <c r="B4712" s="1" t="str">
        <f>"CK202410214970"</f>
        <v>CK202410214970</v>
      </c>
      <c r="C4712" s="1" t="str">
        <f>"DD2024102111075"</f>
        <v>DD2024102111075</v>
      </c>
      <c r="D4712" s="1" t="str">
        <f>"CK2024102119748"</f>
        <v>CK2024102119748</v>
      </c>
      <c r="E4712" s="1" t="str">
        <f>"3723448627420861440"</f>
        <v>3723448627420861440</v>
      </c>
      <c r="F4712" s="1" t="str">
        <f t="shared" si="1518"/>
        <v>花都四部-凤凰仓</v>
      </c>
      <c r="G4712" s="1" t="str">
        <f t="shared" si="1522"/>
        <v>卡卡杜企业店（视频号）</v>
      </c>
      <c r="H4712" s="1" t="str">
        <f t="shared" si="1519"/>
        <v>正常订单</v>
      </c>
      <c r="I4712" s="1" t="str">
        <f t="shared" si="1520"/>
        <v>已发货</v>
      </c>
      <c r="J4712" s="1" t="str">
        <f t="shared" ref="J4712:J4715" si="1531">"3"</f>
        <v>3</v>
      </c>
      <c r="K4712" s="1">
        <v>2</v>
      </c>
      <c r="L4712" s="1" t="s">
        <v>92</v>
      </c>
      <c r="M4712" s="1" t="str">
        <f>"辽宁省 营口市 大石桥市 "</f>
        <v xml:space="preserve">辽宁省 营口市 大石桥市 </v>
      </c>
      <c r="N4712" s="1" t="str">
        <f t="shared" si="1521"/>
        <v>凡华云仓-城南圆通-微信视频号</v>
      </c>
      <c r="O4712" s="5" t="s">
        <v>4740</v>
      </c>
      <c r="P4712" s="6">
        <v>0.24</v>
      </c>
      <c r="Q4712" s="11">
        <v>2</v>
      </c>
      <c r="R4712" s="11"/>
      <c r="S4712" s="11"/>
      <c r="T4712" s="11"/>
      <c r="U4712" s="11">
        <f t="shared" si="1516"/>
        <v>2</v>
      </c>
      <c r="W4712">
        <v>2.2000000000000002</v>
      </c>
      <c r="X4712" s="1" t="s">
        <v>92</v>
      </c>
    </row>
    <row r="4713" spans="1:24" x14ac:dyDescent="0.25">
      <c r="A4713" s="1" t="str">
        <f t="shared" si="1517"/>
        <v>卡卡杜-凤凰仓</v>
      </c>
      <c r="B4713" s="1" t="str">
        <f>"CK202410214973"</f>
        <v>CK202410214973</v>
      </c>
      <c r="C4713" s="1" t="str">
        <f>"DD2024102111074"</f>
        <v>DD2024102111074</v>
      </c>
      <c r="D4713" s="1" t="str">
        <f>"CK2024102119747"</f>
        <v>CK2024102119747</v>
      </c>
      <c r="E4713" s="1" t="str">
        <f>"3723448625729504769"</f>
        <v>3723448625729504769</v>
      </c>
      <c r="F4713" s="1" t="str">
        <f t="shared" si="1518"/>
        <v>花都四部-凤凰仓</v>
      </c>
      <c r="G4713" s="1" t="str">
        <f t="shared" si="1522"/>
        <v>卡卡杜企业店（视频号）</v>
      </c>
      <c r="H4713" s="1" t="str">
        <f t="shared" si="1519"/>
        <v>正常订单</v>
      </c>
      <c r="I4713" s="1" t="str">
        <f t="shared" si="1520"/>
        <v>已发货</v>
      </c>
      <c r="J4713" s="1" t="str">
        <f t="shared" si="1531"/>
        <v>3</v>
      </c>
      <c r="K4713" s="1">
        <v>2</v>
      </c>
      <c r="L4713" s="1" t="s">
        <v>36</v>
      </c>
      <c r="M4713" s="1" t="str">
        <f>"安徽省 滁州市 琅琊区 "</f>
        <v xml:space="preserve">安徽省 滁州市 琅琊区 </v>
      </c>
      <c r="N4713" s="1" t="str">
        <f t="shared" si="1521"/>
        <v>凡华云仓-城南圆通-微信视频号</v>
      </c>
      <c r="O4713" s="5" t="s">
        <v>4741</v>
      </c>
      <c r="P4713" s="6">
        <v>0.24</v>
      </c>
      <c r="Q4713" s="11">
        <v>2</v>
      </c>
      <c r="R4713" s="11"/>
      <c r="S4713" s="11"/>
      <c r="T4713" s="11"/>
      <c r="U4713" s="11">
        <f t="shared" si="1516"/>
        <v>2</v>
      </c>
      <c r="W4713">
        <v>2.2000000000000002</v>
      </c>
      <c r="X4713" s="1" t="s">
        <v>36</v>
      </c>
    </row>
    <row r="4714" spans="1:24" x14ac:dyDescent="0.25">
      <c r="A4714" s="1" t="str">
        <f t="shared" si="1517"/>
        <v>卡卡杜-凤凰仓</v>
      </c>
      <c r="B4714" s="1" t="str">
        <f>"CK202410214978"</f>
        <v>CK202410214978</v>
      </c>
      <c r="C4714" s="1" t="str">
        <f>"DD2024102111081"</f>
        <v>DD2024102111081</v>
      </c>
      <c r="D4714" s="1" t="str">
        <f>"CK2024102119746"</f>
        <v>CK2024102119746</v>
      </c>
      <c r="E4714" s="1" t="str">
        <f>"3723448623312798976"</f>
        <v>3723448623312798976</v>
      </c>
      <c r="F4714" s="1" t="str">
        <f t="shared" si="1518"/>
        <v>花都四部-凤凰仓</v>
      </c>
      <c r="G4714" s="1" t="str">
        <f t="shared" si="1522"/>
        <v>卡卡杜企业店（视频号）</v>
      </c>
      <c r="H4714" s="1" t="str">
        <f t="shared" si="1519"/>
        <v>正常订单</v>
      </c>
      <c r="I4714" s="1" t="str">
        <f t="shared" si="1520"/>
        <v>已发货</v>
      </c>
      <c r="J4714" s="1" t="str">
        <f t="shared" si="1531"/>
        <v>3</v>
      </c>
      <c r="K4714" s="1">
        <v>2</v>
      </c>
      <c r="L4714" s="1" t="s">
        <v>16</v>
      </c>
      <c r="M4714" s="1" t="str">
        <f>"河北省 石家庄市 裕华区 "</f>
        <v xml:space="preserve">河北省 石家庄市 裕华区 </v>
      </c>
      <c r="N4714" s="1" t="str">
        <f t="shared" si="1521"/>
        <v>凡华云仓-城南圆通-微信视频号</v>
      </c>
      <c r="O4714" s="5" t="s">
        <v>4742</v>
      </c>
      <c r="P4714" s="6">
        <v>0.24</v>
      </c>
      <c r="Q4714" s="11">
        <v>2</v>
      </c>
      <c r="R4714" s="11"/>
      <c r="S4714" s="11"/>
      <c r="T4714" s="11"/>
      <c r="U4714" s="11">
        <f t="shared" si="1516"/>
        <v>2</v>
      </c>
      <c r="W4714">
        <v>2.2000000000000002</v>
      </c>
      <c r="X4714" s="1" t="s">
        <v>16</v>
      </c>
    </row>
    <row r="4715" spans="1:24" x14ac:dyDescent="0.25">
      <c r="A4715" s="1" t="str">
        <f t="shared" si="1517"/>
        <v>卡卡杜-凤凰仓</v>
      </c>
      <c r="B4715" s="1" t="str">
        <f>"CK202410214976"</f>
        <v>CK202410214976</v>
      </c>
      <c r="C4715" s="1" t="str">
        <f>"DD2024102111079"</f>
        <v>DD2024102111079</v>
      </c>
      <c r="D4715" s="1" t="str">
        <f>"CK2024102119745"</f>
        <v>CK2024102119745</v>
      </c>
      <c r="E4715" s="1" t="str">
        <f>"3723448619652486144"</f>
        <v>3723448619652486144</v>
      </c>
      <c r="F4715" s="1" t="str">
        <f t="shared" si="1518"/>
        <v>花都四部-凤凰仓</v>
      </c>
      <c r="G4715" s="1" t="str">
        <f t="shared" si="1522"/>
        <v>卡卡杜企业店（视频号）</v>
      </c>
      <c r="H4715" s="1" t="str">
        <f t="shared" si="1519"/>
        <v>正常订单</v>
      </c>
      <c r="I4715" s="1" t="str">
        <f t="shared" si="1520"/>
        <v>已发货</v>
      </c>
      <c r="J4715" s="1" t="str">
        <f t="shared" si="1531"/>
        <v>3</v>
      </c>
      <c r="K4715" s="1">
        <v>2</v>
      </c>
      <c r="L4715" s="1" t="s">
        <v>13</v>
      </c>
      <c r="M4715" s="1" t="str">
        <f>"江苏省 徐州市 鼓楼区 "</f>
        <v xml:space="preserve">江苏省 徐州市 鼓楼区 </v>
      </c>
      <c r="N4715" s="1" t="str">
        <f t="shared" si="1521"/>
        <v>凡华云仓-城南圆通-微信视频号</v>
      </c>
      <c r="O4715" s="5" t="s">
        <v>4743</v>
      </c>
      <c r="P4715" s="6">
        <v>0.24</v>
      </c>
      <c r="Q4715" s="11">
        <v>2</v>
      </c>
      <c r="R4715" s="11"/>
      <c r="S4715" s="11"/>
      <c r="T4715" s="11"/>
      <c r="U4715" s="11">
        <f t="shared" si="1516"/>
        <v>2</v>
      </c>
      <c r="W4715">
        <v>2.2000000000000002</v>
      </c>
      <c r="X4715" s="1" t="s">
        <v>13</v>
      </c>
    </row>
    <row r="4716" spans="1:24" x14ac:dyDescent="0.25">
      <c r="A4716" s="1" t="str">
        <f t="shared" si="1517"/>
        <v>卡卡杜-凤凰仓</v>
      </c>
      <c r="B4716" s="1" t="str">
        <f>"CK202410215040"</f>
        <v>CK202410215040</v>
      </c>
      <c r="C4716" s="1" t="str">
        <f>"DD2024102111143"</f>
        <v>DD2024102111143</v>
      </c>
      <c r="D4716" s="1" t="str">
        <f>"CK2024102119744"</f>
        <v>CK2024102119744</v>
      </c>
      <c r="E4716" s="1" t="str">
        <f>"3723448623140573184"</f>
        <v>3723448623140573184</v>
      </c>
      <c r="F4716" s="1" t="str">
        <f t="shared" si="1518"/>
        <v>花都四部-凤凰仓</v>
      </c>
      <c r="G4716" s="1" t="str">
        <f t="shared" si="1522"/>
        <v>卡卡杜企业店（视频号）</v>
      </c>
      <c r="H4716" s="1" t="str">
        <f t="shared" si="1519"/>
        <v>正常订单</v>
      </c>
      <c r="I4716" s="1" t="str">
        <f t="shared" si="1520"/>
        <v>已发货</v>
      </c>
      <c r="J4716" s="1" t="str">
        <f>"2"</f>
        <v>2</v>
      </c>
      <c r="K4716" s="1">
        <v>2</v>
      </c>
      <c r="L4716" s="1" t="s">
        <v>22</v>
      </c>
      <c r="M4716" s="1" t="str">
        <f>"江西省 鹰潭市 月湖区 "</f>
        <v xml:space="preserve">江西省 鹰潭市 月湖区 </v>
      </c>
      <c r="N4716" s="1" t="str">
        <f t="shared" si="1521"/>
        <v>凡华云仓-城南圆通-微信视频号</v>
      </c>
      <c r="O4716" s="5" t="s">
        <v>4744</v>
      </c>
      <c r="P4716" s="6">
        <v>0.17</v>
      </c>
      <c r="Q4716" s="11">
        <v>2</v>
      </c>
      <c r="R4716" s="11"/>
      <c r="S4716" s="11"/>
      <c r="T4716" s="11"/>
      <c r="U4716" s="11">
        <f t="shared" si="1516"/>
        <v>2</v>
      </c>
      <c r="W4716">
        <v>2.2000000000000002</v>
      </c>
      <c r="X4716" s="1" t="s">
        <v>22</v>
      </c>
    </row>
    <row r="4717" spans="1:24" x14ac:dyDescent="0.25">
      <c r="A4717" s="1" t="str">
        <f t="shared" si="1517"/>
        <v>卡卡杜-凤凰仓</v>
      </c>
      <c r="B4717" s="1" t="str">
        <f>"CK202410214993"</f>
        <v>CK202410214993</v>
      </c>
      <c r="C4717" s="1" t="str">
        <f>"DD2024102111094"</f>
        <v>DD2024102111094</v>
      </c>
      <c r="D4717" s="1" t="str">
        <f>"CK2024102119743"</f>
        <v>CK2024102119743</v>
      </c>
      <c r="E4717" s="1" t="str">
        <f>"3723448622471580672"</f>
        <v>3723448622471580672</v>
      </c>
      <c r="F4717" s="1" t="str">
        <f t="shared" si="1518"/>
        <v>花都四部-凤凰仓</v>
      </c>
      <c r="G4717" s="1" t="str">
        <f t="shared" si="1522"/>
        <v>卡卡杜企业店（视频号）</v>
      </c>
      <c r="H4717" s="1" t="str">
        <f t="shared" si="1519"/>
        <v>正常订单</v>
      </c>
      <c r="I4717" s="1" t="str">
        <f t="shared" si="1520"/>
        <v>已发货</v>
      </c>
      <c r="J4717" s="1" t="str">
        <f t="shared" ref="J4717:J4721" si="1532">"3"</f>
        <v>3</v>
      </c>
      <c r="K4717" s="1">
        <v>2</v>
      </c>
      <c r="L4717" s="1" t="s">
        <v>18</v>
      </c>
      <c r="M4717" s="1" t="str">
        <f>"广东省 广州市 天河区 "</f>
        <v xml:space="preserve">广东省 广州市 天河区 </v>
      </c>
      <c r="N4717" s="1" t="str">
        <f t="shared" si="1521"/>
        <v>凡华云仓-城南圆通-微信视频号</v>
      </c>
      <c r="O4717" s="5" t="s">
        <v>4745</v>
      </c>
      <c r="P4717" s="6">
        <v>0.24</v>
      </c>
      <c r="Q4717" s="11">
        <v>2</v>
      </c>
      <c r="R4717" s="11"/>
      <c r="S4717" s="11"/>
      <c r="T4717" s="11"/>
      <c r="U4717" s="11">
        <f t="shared" si="1516"/>
        <v>2</v>
      </c>
      <c r="W4717">
        <v>2.2000000000000002</v>
      </c>
      <c r="X4717" s="1" t="s">
        <v>18</v>
      </c>
    </row>
    <row r="4718" spans="1:24" x14ac:dyDescent="0.25">
      <c r="A4718" s="1" t="str">
        <f t="shared" si="1517"/>
        <v>卡卡杜-凤凰仓</v>
      </c>
      <c r="B4718" s="1" t="str">
        <f>"CK202410215054"</f>
        <v>CK202410215054</v>
      </c>
      <c r="C4718" s="1" t="str">
        <f>"DD2024102111166"</f>
        <v>DD2024102111166</v>
      </c>
      <c r="D4718" s="1" t="str">
        <f>"CK2024102119742"</f>
        <v>CK2024102119742</v>
      </c>
      <c r="E4718" s="1" t="str">
        <f>"3723448622429900800"</f>
        <v>3723448622429900800</v>
      </c>
      <c r="F4718" s="1" t="str">
        <f t="shared" si="1518"/>
        <v>花都四部-凤凰仓</v>
      </c>
      <c r="G4718" s="1" t="str">
        <f t="shared" si="1522"/>
        <v>卡卡杜企业店（视频号）</v>
      </c>
      <c r="H4718" s="1" t="str">
        <f t="shared" si="1519"/>
        <v>正常订单</v>
      </c>
      <c r="I4718" s="1" t="str">
        <f t="shared" si="1520"/>
        <v>已发货</v>
      </c>
      <c r="J4718" s="1" t="str">
        <f t="shared" ref="J4718:J4724" si="1533">"2"</f>
        <v>2</v>
      </c>
      <c r="K4718" s="1">
        <v>2</v>
      </c>
      <c r="L4718" s="1" t="s">
        <v>20</v>
      </c>
      <c r="M4718" s="1" t="str">
        <f>"浙江省 杭州市 西湖区 "</f>
        <v xml:space="preserve">浙江省 杭州市 西湖区 </v>
      </c>
      <c r="N4718" s="1" t="str">
        <f t="shared" si="1521"/>
        <v>凡华云仓-城南圆通-微信视频号</v>
      </c>
      <c r="O4718" s="5" t="s">
        <v>4746</v>
      </c>
      <c r="P4718" s="6">
        <v>0.17</v>
      </c>
      <c r="Q4718" s="11">
        <v>2</v>
      </c>
      <c r="R4718" s="11"/>
      <c r="S4718" s="11"/>
      <c r="T4718" s="11"/>
      <c r="U4718" s="11">
        <f t="shared" si="1516"/>
        <v>2</v>
      </c>
      <c r="W4718">
        <v>2.2000000000000002</v>
      </c>
      <c r="X4718" s="1" t="s">
        <v>20</v>
      </c>
    </row>
    <row r="4719" spans="1:24" x14ac:dyDescent="0.25">
      <c r="A4719" s="1" t="str">
        <f t="shared" si="1517"/>
        <v>卡卡杜-凤凰仓</v>
      </c>
      <c r="B4719" s="1" t="str">
        <f>"CK202410214977"</f>
        <v>CK202410214977</v>
      </c>
      <c r="C4719" s="1" t="str">
        <f>"DD2024102111080"</f>
        <v>DD2024102111080</v>
      </c>
      <c r="D4719" s="1" t="str">
        <f>"CK2024102119741"</f>
        <v>CK2024102119741</v>
      </c>
      <c r="E4719" s="1" t="str">
        <f>"3723448619976758272"</f>
        <v>3723448619976758272</v>
      </c>
      <c r="F4719" s="1" t="str">
        <f t="shared" si="1518"/>
        <v>花都四部-凤凰仓</v>
      </c>
      <c r="G4719" s="1" t="str">
        <f t="shared" si="1522"/>
        <v>卡卡杜企业店（视频号）</v>
      </c>
      <c r="H4719" s="1" t="str">
        <f t="shared" si="1519"/>
        <v>正常订单</v>
      </c>
      <c r="I4719" s="1" t="str">
        <f t="shared" si="1520"/>
        <v>已发货</v>
      </c>
      <c r="J4719" s="1" t="str">
        <f t="shared" si="1532"/>
        <v>3</v>
      </c>
      <c r="K4719" s="1">
        <v>2</v>
      </c>
      <c r="L4719" s="1" t="s">
        <v>105</v>
      </c>
      <c r="M4719" s="1" t="str">
        <f>"北京 北京市 海淀区 "</f>
        <v xml:space="preserve">北京 北京市 海淀区 </v>
      </c>
      <c r="N4719" s="1" t="str">
        <f t="shared" si="1521"/>
        <v>凡华云仓-城南圆通-微信视频号</v>
      </c>
      <c r="O4719" s="5" t="s">
        <v>4747</v>
      </c>
      <c r="P4719" s="6">
        <v>0.24</v>
      </c>
      <c r="Q4719" s="11">
        <v>2</v>
      </c>
      <c r="R4719" s="11"/>
      <c r="S4719" s="11"/>
      <c r="T4719" s="11"/>
      <c r="U4719" s="11">
        <f t="shared" si="1516"/>
        <v>2</v>
      </c>
      <c r="W4719">
        <v>2.2000000000000002</v>
      </c>
      <c r="X4719" s="1" t="s">
        <v>105</v>
      </c>
    </row>
    <row r="4720" spans="1:24" x14ac:dyDescent="0.25">
      <c r="A4720" s="1" t="str">
        <f t="shared" si="1517"/>
        <v>卡卡杜-凤凰仓</v>
      </c>
      <c r="B4720" s="1" t="str">
        <f>"CK202410214986"</f>
        <v>CK202410214986</v>
      </c>
      <c r="C4720" s="1" t="str">
        <f>"DD2024102111087"</f>
        <v>DD2024102111087</v>
      </c>
      <c r="D4720" s="1" t="str">
        <f>"CK2024102119740"</f>
        <v>CK2024102119740</v>
      </c>
      <c r="E4720" s="1" t="str">
        <f>"3723448620641551872"</f>
        <v>3723448620641551872</v>
      </c>
      <c r="F4720" s="1" t="str">
        <f t="shared" si="1518"/>
        <v>花都四部-凤凰仓</v>
      </c>
      <c r="G4720" s="1" t="str">
        <f t="shared" si="1522"/>
        <v>卡卡杜企业店（视频号）</v>
      </c>
      <c r="H4720" s="1" t="str">
        <f t="shared" si="1519"/>
        <v>正常订单</v>
      </c>
      <c r="I4720" s="1" t="str">
        <f t="shared" si="1520"/>
        <v>已发货</v>
      </c>
      <c r="J4720" s="1" t="str">
        <f t="shared" si="1532"/>
        <v>3</v>
      </c>
      <c r="K4720" s="1">
        <v>2</v>
      </c>
      <c r="L4720" s="1" t="s">
        <v>109</v>
      </c>
      <c r="M4720" s="1" t="str">
        <f>"山西省 太原市 杏花岭区 "</f>
        <v xml:space="preserve">山西省 太原市 杏花岭区 </v>
      </c>
      <c r="N4720" s="1" t="str">
        <f t="shared" si="1521"/>
        <v>凡华云仓-城南圆通-微信视频号</v>
      </c>
      <c r="O4720" s="5" t="s">
        <v>4748</v>
      </c>
      <c r="P4720" s="6">
        <v>0.24</v>
      </c>
      <c r="Q4720" s="11">
        <v>2</v>
      </c>
      <c r="R4720" s="11"/>
      <c r="S4720" s="11"/>
      <c r="T4720" s="11"/>
      <c r="U4720" s="11">
        <f t="shared" si="1516"/>
        <v>2</v>
      </c>
      <c r="W4720">
        <v>2.2000000000000002</v>
      </c>
      <c r="X4720" s="1" t="s">
        <v>109</v>
      </c>
    </row>
    <row r="4721" spans="1:24" x14ac:dyDescent="0.25">
      <c r="A4721" s="1" t="str">
        <f t="shared" si="1517"/>
        <v>卡卡杜-凤凰仓</v>
      </c>
      <c r="B4721" s="1" t="str">
        <f>"CK202410214974"</f>
        <v>CK202410214974</v>
      </c>
      <c r="C4721" s="1" t="str">
        <f>"DD2024102111077"</f>
        <v>DD2024102111077</v>
      </c>
      <c r="D4721" s="1" t="str">
        <f>"CK2024102119739"</f>
        <v>CK2024102119739</v>
      </c>
      <c r="E4721" s="1" t="str">
        <f>"3723448619686039552"</f>
        <v>3723448619686039552</v>
      </c>
      <c r="F4721" s="1" t="str">
        <f t="shared" si="1518"/>
        <v>花都四部-凤凰仓</v>
      </c>
      <c r="G4721" s="1" t="str">
        <f t="shared" si="1522"/>
        <v>卡卡杜企业店（视频号）</v>
      </c>
      <c r="H4721" s="1" t="str">
        <f t="shared" si="1519"/>
        <v>正常订单</v>
      </c>
      <c r="I4721" s="1" t="str">
        <f t="shared" si="1520"/>
        <v>已发货</v>
      </c>
      <c r="J4721" s="1" t="str">
        <f t="shared" si="1532"/>
        <v>3</v>
      </c>
      <c r="K4721" s="1">
        <v>2</v>
      </c>
      <c r="L4721" s="1" t="s">
        <v>66</v>
      </c>
      <c r="M4721" s="1" t="str">
        <f>"内蒙古自治区 包头市 九原区 "</f>
        <v xml:space="preserve">内蒙古自治区 包头市 九原区 </v>
      </c>
      <c r="N4721" s="1" t="str">
        <f t="shared" si="1521"/>
        <v>凡华云仓-城南圆通-微信视频号</v>
      </c>
      <c r="O4721" s="5" t="s">
        <v>4749</v>
      </c>
      <c r="P4721" s="6">
        <v>0.24</v>
      </c>
      <c r="Q4721" s="11">
        <v>2</v>
      </c>
      <c r="R4721" s="11"/>
      <c r="S4721" s="11"/>
      <c r="T4721" s="11"/>
      <c r="U4721" s="11">
        <f t="shared" si="1516"/>
        <v>2</v>
      </c>
      <c r="W4721">
        <v>2.2000000000000002</v>
      </c>
      <c r="X4721" s="1" t="s">
        <v>66</v>
      </c>
    </row>
    <row r="4722" spans="1:24" x14ac:dyDescent="0.25">
      <c r="A4722" s="1" t="str">
        <f t="shared" si="1517"/>
        <v>卡卡杜-凤凰仓</v>
      </c>
      <c r="B4722" s="1" t="str">
        <f>"CK202410215049"</f>
        <v>CK202410215049</v>
      </c>
      <c r="C4722" s="1" t="str">
        <f>"DD2024102111160"</f>
        <v>DD2024102111160</v>
      </c>
      <c r="D4722" s="1" t="str">
        <f>"CK2024102119738"</f>
        <v>CK2024102119738</v>
      </c>
      <c r="E4722" s="1" t="str">
        <f>"3723448617540129792"</f>
        <v>3723448617540129792</v>
      </c>
      <c r="F4722" s="1" t="str">
        <f t="shared" si="1518"/>
        <v>花都四部-凤凰仓</v>
      </c>
      <c r="G4722" s="1" t="str">
        <f t="shared" si="1522"/>
        <v>卡卡杜企业店（视频号）</v>
      </c>
      <c r="H4722" s="1" t="str">
        <f t="shared" si="1519"/>
        <v>正常订单</v>
      </c>
      <c r="I4722" s="1" t="str">
        <f t="shared" si="1520"/>
        <v>已发货</v>
      </c>
      <c r="J4722" s="1" t="str">
        <f t="shared" si="1533"/>
        <v>2</v>
      </c>
      <c r="K4722" s="1">
        <v>2</v>
      </c>
      <c r="L4722" s="1" t="s">
        <v>92</v>
      </c>
      <c r="M4722" s="1" t="str">
        <f>"辽宁省 沈阳市 和平区 "</f>
        <v xml:space="preserve">辽宁省 沈阳市 和平区 </v>
      </c>
      <c r="N4722" s="1" t="str">
        <f t="shared" si="1521"/>
        <v>凡华云仓-城南圆通-微信视频号</v>
      </c>
      <c r="O4722" s="5" t="s">
        <v>4750</v>
      </c>
      <c r="P4722" s="6">
        <v>0.17</v>
      </c>
      <c r="Q4722" s="11">
        <v>2</v>
      </c>
      <c r="R4722" s="11"/>
      <c r="S4722" s="11"/>
      <c r="T4722" s="11"/>
      <c r="U4722" s="11">
        <f t="shared" si="1516"/>
        <v>2</v>
      </c>
      <c r="W4722">
        <v>2.2000000000000002</v>
      </c>
      <c r="X4722" s="1" t="s">
        <v>92</v>
      </c>
    </row>
    <row r="4723" spans="1:24" x14ac:dyDescent="0.25">
      <c r="A4723" s="1" t="str">
        <f t="shared" si="1517"/>
        <v>卡卡杜-凤凰仓</v>
      </c>
      <c r="B4723" s="1" t="str">
        <f>"CK202410215051"</f>
        <v>CK202410215051</v>
      </c>
      <c r="C4723" s="1" t="str">
        <f>"DD2024102111158"</f>
        <v>DD2024102111158</v>
      </c>
      <c r="D4723" s="1" t="str">
        <f>"CK2024102119737"</f>
        <v>CK2024102119737</v>
      </c>
      <c r="E4723" s="1" t="str">
        <f>"3723448619904140544"</f>
        <v>3723448619904140544</v>
      </c>
      <c r="F4723" s="1" t="str">
        <f t="shared" si="1518"/>
        <v>花都四部-凤凰仓</v>
      </c>
      <c r="G4723" s="1" t="str">
        <f t="shared" si="1522"/>
        <v>卡卡杜企业店（视频号）</v>
      </c>
      <c r="H4723" s="1" t="str">
        <f t="shared" si="1519"/>
        <v>正常订单</v>
      </c>
      <c r="I4723" s="1" t="str">
        <f t="shared" si="1520"/>
        <v>已发货</v>
      </c>
      <c r="J4723" s="1" t="str">
        <f t="shared" si="1533"/>
        <v>2</v>
      </c>
      <c r="K4723" s="1">
        <v>2</v>
      </c>
      <c r="L4723" s="1" t="s">
        <v>20</v>
      </c>
      <c r="M4723" s="1" t="str">
        <f>"浙江省 舟山市 定海区 "</f>
        <v xml:space="preserve">浙江省 舟山市 定海区 </v>
      </c>
      <c r="N4723" s="1" t="str">
        <f t="shared" si="1521"/>
        <v>凡华云仓-城南圆通-微信视频号</v>
      </c>
      <c r="O4723" s="5" t="s">
        <v>4751</v>
      </c>
      <c r="P4723" s="6">
        <v>0.17</v>
      </c>
      <c r="Q4723" s="11">
        <v>2</v>
      </c>
      <c r="R4723" s="11"/>
      <c r="S4723" s="11"/>
      <c r="T4723" s="11"/>
      <c r="U4723" s="11">
        <f t="shared" si="1516"/>
        <v>2</v>
      </c>
      <c r="W4723">
        <v>2.2000000000000002</v>
      </c>
      <c r="X4723" s="1" t="s">
        <v>20</v>
      </c>
    </row>
    <row r="4724" spans="1:24" x14ac:dyDescent="0.25">
      <c r="A4724" s="1" t="str">
        <f t="shared" si="1517"/>
        <v>卡卡杜-凤凰仓</v>
      </c>
      <c r="B4724" s="1" t="str">
        <f>"CK202410215042"</f>
        <v>CK202410215042</v>
      </c>
      <c r="C4724" s="1" t="str">
        <f>"DD2024102111145"</f>
        <v>DD2024102111145</v>
      </c>
      <c r="D4724" s="1" t="str">
        <f>"CK2024102119736"</f>
        <v>CK2024102119736</v>
      </c>
      <c r="E4724" s="1" t="str">
        <f>"3723448618731311105"</f>
        <v>3723448618731311105</v>
      </c>
      <c r="F4724" s="1" t="str">
        <f t="shared" si="1518"/>
        <v>花都四部-凤凰仓</v>
      </c>
      <c r="G4724" s="1" t="str">
        <f t="shared" si="1522"/>
        <v>卡卡杜企业店（视频号）</v>
      </c>
      <c r="H4724" s="1" t="str">
        <f t="shared" si="1519"/>
        <v>正常订单</v>
      </c>
      <c r="I4724" s="1" t="str">
        <f t="shared" si="1520"/>
        <v>已发货</v>
      </c>
      <c r="J4724" s="1" t="str">
        <f t="shared" si="1533"/>
        <v>2</v>
      </c>
      <c r="K4724" s="1">
        <v>2</v>
      </c>
      <c r="L4724" s="1" t="s">
        <v>36</v>
      </c>
      <c r="M4724" s="1" t="str">
        <f>"安徽省 阜阳市 颍泉区 "</f>
        <v xml:space="preserve">安徽省 阜阳市 颍泉区 </v>
      </c>
      <c r="N4724" s="1" t="str">
        <f t="shared" si="1521"/>
        <v>凡华云仓-城南圆通-微信视频号</v>
      </c>
      <c r="O4724" s="5" t="s">
        <v>4752</v>
      </c>
      <c r="P4724" s="6">
        <v>0.17</v>
      </c>
      <c r="Q4724" s="11">
        <v>2</v>
      </c>
      <c r="R4724" s="11"/>
      <c r="S4724" s="11"/>
      <c r="T4724" s="11"/>
      <c r="U4724" s="11">
        <f t="shared" si="1516"/>
        <v>2</v>
      </c>
      <c r="W4724">
        <v>2.2000000000000002</v>
      </c>
      <c r="X4724" s="1" t="s">
        <v>36</v>
      </c>
    </row>
    <row r="4725" spans="1:24" x14ac:dyDescent="0.25">
      <c r="A4725" s="1" t="str">
        <f t="shared" si="1517"/>
        <v>卡卡杜-凤凰仓</v>
      </c>
      <c r="B4725" s="1" t="str">
        <f>"CK202410215113"</f>
        <v>CK202410215113</v>
      </c>
      <c r="C4725" s="1" t="str">
        <f>"DD2024102111219"</f>
        <v>DD2024102111219</v>
      </c>
      <c r="D4725" s="1" t="str">
        <f>"CK2024102119735"</f>
        <v>CK2024102119735</v>
      </c>
      <c r="E4725" s="1" t="str">
        <f>"3723448605490152960"</f>
        <v>3723448605490152960</v>
      </c>
      <c r="F4725" s="1" t="str">
        <f t="shared" si="1518"/>
        <v>花都四部-凤凰仓</v>
      </c>
      <c r="G4725" s="1" t="str">
        <f t="shared" si="1522"/>
        <v>卡卡杜企业店（视频号）</v>
      </c>
      <c r="H4725" s="1" t="str">
        <f t="shared" si="1519"/>
        <v>正常订单</v>
      </c>
      <c r="I4725" s="1" t="str">
        <f t="shared" si="1520"/>
        <v>已发货</v>
      </c>
      <c r="J4725" s="1" t="str">
        <f t="shared" ref="J4725:J4729" si="1534">"3"</f>
        <v>3</v>
      </c>
      <c r="K4725" s="1">
        <v>2</v>
      </c>
      <c r="L4725" s="1" t="s">
        <v>105</v>
      </c>
      <c r="M4725" s="1" t="str">
        <f>"北京 北京市 密云区 "</f>
        <v xml:space="preserve">北京 北京市 密云区 </v>
      </c>
      <c r="N4725" s="1" t="str">
        <f t="shared" si="1521"/>
        <v>凡华云仓-城南圆通-微信视频号</v>
      </c>
      <c r="O4725" s="5" t="s">
        <v>4753</v>
      </c>
      <c r="P4725" s="6">
        <v>0.24</v>
      </c>
      <c r="Q4725" s="11">
        <v>2</v>
      </c>
      <c r="R4725" s="11"/>
      <c r="S4725" s="11"/>
      <c r="T4725" s="11"/>
      <c r="U4725" s="11">
        <f t="shared" si="1516"/>
        <v>2</v>
      </c>
      <c r="W4725">
        <v>2.2000000000000002</v>
      </c>
      <c r="X4725" s="1" t="s">
        <v>105</v>
      </c>
    </row>
    <row r="4726" spans="1:24" x14ac:dyDescent="0.25">
      <c r="A4726" s="1" t="str">
        <f t="shared" si="1517"/>
        <v>卡卡杜-凤凰仓</v>
      </c>
      <c r="B4726" s="1" t="str">
        <f>"CK202410214826"</f>
        <v>CK202410214826</v>
      </c>
      <c r="C4726" s="1" t="str">
        <f>"DD2024102110929"</f>
        <v>DD2024102110929</v>
      </c>
      <c r="D4726" s="1" t="str">
        <f>"CK2024102119734"</f>
        <v>CK2024102119734</v>
      </c>
      <c r="E4726" s="1" t="str">
        <f>"3723448038786467072"</f>
        <v>3723448038786467072</v>
      </c>
      <c r="F4726" s="1" t="str">
        <f t="shared" si="1518"/>
        <v>花都四部-凤凰仓</v>
      </c>
      <c r="G4726" s="1" t="str">
        <f t="shared" si="1522"/>
        <v>卡卡杜企业店（视频号）</v>
      </c>
      <c r="H4726" s="1" t="str">
        <f t="shared" si="1519"/>
        <v>正常订单</v>
      </c>
      <c r="I4726" s="1" t="str">
        <f t="shared" si="1520"/>
        <v>已发货</v>
      </c>
      <c r="J4726" s="1" t="str">
        <f t="shared" si="1534"/>
        <v>3</v>
      </c>
      <c r="K4726" s="1">
        <v>3</v>
      </c>
      <c r="L4726" s="1" t="s">
        <v>18</v>
      </c>
      <c r="M4726" s="1" t="str">
        <f>"广东省 深圳市 南山区 "</f>
        <v xml:space="preserve">广东省 深圳市 南山区 </v>
      </c>
      <c r="N4726" s="1" t="str">
        <f t="shared" si="1521"/>
        <v>凡华云仓-城南圆通-微信视频号</v>
      </c>
      <c r="O4726" s="5" t="s">
        <v>4754</v>
      </c>
      <c r="P4726" s="6">
        <v>0.34</v>
      </c>
      <c r="Q4726" s="11">
        <v>2.2999999999999998</v>
      </c>
      <c r="R4726" s="11"/>
      <c r="S4726" s="11"/>
      <c r="T4726" s="11"/>
      <c r="U4726" s="11">
        <f t="shared" si="1516"/>
        <v>2.2999999999999998</v>
      </c>
      <c r="W4726">
        <v>2.5</v>
      </c>
      <c r="X4726" s="1" t="s">
        <v>18</v>
      </c>
    </row>
    <row r="4727" spans="1:24" x14ac:dyDescent="0.25">
      <c r="A4727" s="1" t="str">
        <f t="shared" si="1517"/>
        <v>卡卡杜-凤凰仓</v>
      </c>
      <c r="B4727" s="1" t="str">
        <f>"CK202410214829"</f>
        <v>CK202410214829</v>
      </c>
      <c r="C4727" s="1" t="str">
        <f>"DD2024102110932"</f>
        <v>DD2024102110932</v>
      </c>
      <c r="D4727" s="1" t="str">
        <f>"CK2024102119733"</f>
        <v>CK2024102119733</v>
      </c>
      <c r="E4727" s="1" t="str">
        <f>"3723447974661850368"</f>
        <v>3723447974661850368</v>
      </c>
      <c r="F4727" s="1" t="str">
        <f t="shared" si="1518"/>
        <v>花都四部-凤凰仓</v>
      </c>
      <c r="G4727" s="1" t="str">
        <f t="shared" si="1522"/>
        <v>卡卡杜企业店（视频号）</v>
      </c>
      <c r="H4727" s="1" t="str">
        <f t="shared" si="1519"/>
        <v>正常订单</v>
      </c>
      <c r="I4727" s="1" t="str">
        <f t="shared" si="1520"/>
        <v>已发货</v>
      </c>
      <c r="J4727" s="1" t="str">
        <f t="shared" si="1534"/>
        <v>3</v>
      </c>
      <c r="K4727" s="1">
        <v>3</v>
      </c>
      <c r="L4727" s="1" t="s">
        <v>18</v>
      </c>
      <c r="M4727" s="1" t="str">
        <f>"广东省 中山市 东区街道 "</f>
        <v xml:space="preserve">广东省 中山市 东区街道 </v>
      </c>
      <c r="N4727" s="1" t="str">
        <f t="shared" si="1521"/>
        <v>凡华云仓-城南圆通-微信视频号</v>
      </c>
      <c r="O4727" s="5" t="s">
        <v>4755</v>
      </c>
      <c r="P4727" s="6">
        <v>0.34</v>
      </c>
      <c r="Q4727" s="11">
        <v>2.2999999999999998</v>
      </c>
      <c r="R4727" s="11"/>
      <c r="S4727" s="11"/>
      <c r="T4727" s="11"/>
      <c r="U4727" s="11">
        <f t="shared" si="1516"/>
        <v>2.2999999999999998</v>
      </c>
      <c r="W4727">
        <v>2.5</v>
      </c>
      <c r="X4727" s="1" t="s">
        <v>18</v>
      </c>
    </row>
    <row r="4728" spans="1:24" x14ac:dyDescent="0.25">
      <c r="A4728" s="1" t="str">
        <f t="shared" si="1517"/>
        <v>卡卡杜-凤凰仓</v>
      </c>
      <c r="B4728" s="1" t="str">
        <f>"CK202410214828"</f>
        <v>CK202410214828</v>
      </c>
      <c r="C4728" s="1" t="str">
        <f>"DD2024102110931"</f>
        <v>DD2024102110931</v>
      </c>
      <c r="D4728" s="1" t="str">
        <f>"CK2024102119732"</f>
        <v>CK2024102119732</v>
      </c>
      <c r="E4728" s="1" t="str">
        <f>"3723447585157809664"</f>
        <v>3723447585157809664</v>
      </c>
      <c r="F4728" s="1" t="str">
        <f t="shared" si="1518"/>
        <v>花都四部-凤凰仓</v>
      </c>
      <c r="G4728" s="1" t="str">
        <f t="shared" si="1522"/>
        <v>卡卡杜企业店（视频号）</v>
      </c>
      <c r="H4728" s="1" t="str">
        <f t="shared" si="1519"/>
        <v>正常订单</v>
      </c>
      <c r="I4728" s="1" t="str">
        <f t="shared" si="1520"/>
        <v>已发货</v>
      </c>
      <c r="J4728" s="1" t="str">
        <f t="shared" si="1534"/>
        <v>3</v>
      </c>
      <c r="K4728" s="1">
        <v>3</v>
      </c>
      <c r="L4728" s="1" t="s">
        <v>161</v>
      </c>
      <c r="M4728" s="1" t="str">
        <f>"四川省 达州市 达川区 "</f>
        <v xml:space="preserve">四川省 达州市 达川区 </v>
      </c>
      <c r="N4728" s="1" t="str">
        <f t="shared" si="1521"/>
        <v>凡华云仓-城南圆通-微信视频号</v>
      </c>
      <c r="O4728" s="5" t="s">
        <v>4756</v>
      </c>
      <c r="P4728" s="6">
        <v>0.34</v>
      </c>
      <c r="Q4728" s="11">
        <v>2.2999999999999998</v>
      </c>
      <c r="R4728" s="11"/>
      <c r="S4728" s="11"/>
      <c r="T4728" s="11"/>
      <c r="U4728" s="11">
        <f t="shared" si="1516"/>
        <v>2.2999999999999998</v>
      </c>
      <c r="W4728">
        <v>2.5</v>
      </c>
      <c r="X4728" s="1" t="s">
        <v>161</v>
      </c>
    </row>
    <row r="4729" spans="1:24" x14ac:dyDescent="0.25">
      <c r="A4729" s="1" t="str">
        <f t="shared" si="1517"/>
        <v>卡卡杜-凤凰仓</v>
      </c>
      <c r="B4729" s="1" t="str">
        <f>"CK202410214827"</f>
        <v>CK202410214827</v>
      </c>
      <c r="C4729" s="1" t="str">
        <f>"DD2024102110930"</f>
        <v>DD2024102110930</v>
      </c>
      <c r="D4729" s="1" t="str">
        <f>"CK2024102119731"</f>
        <v>CK2024102119731</v>
      </c>
      <c r="E4729" s="1" t="str">
        <f>"3723447299545629952"</f>
        <v>3723447299545629952</v>
      </c>
      <c r="F4729" s="1" t="str">
        <f t="shared" si="1518"/>
        <v>花都四部-凤凰仓</v>
      </c>
      <c r="G4729" s="1" t="str">
        <f t="shared" si="1522"/>
        <v>卡卡杜企业店（视频号）</v>
      </c>
      <c r="H4729" s="1" t="str">
        <f t="shared" si="1519"/>
        <v>正常订单</v>
      </c>
      <c r="I4729" s="1" t="str">
        <f t="shared" si="1520"/>
        <v>已发货</v>
      </c>
      <c r="J4729" s="1" t="str">
        <f t="shared" si="1534"/>
        <v>3</v>
      </c>
      <c r="K4729" s="1">
        <v>3</v>
      </c>
      <c r="L4729" s="1" t="s">
        <v>105</v>
      </c>
      <c r="M4729" s="1" t="str">
        <f>"北京 北京市 海淀区 "</f>
        <v xml:space="preserve">北京 北京市 海淀区 </v>
      </c>
      <c r="N4729" s="1" t="str">
        <f t="shared" si="1521"/>
        <v>凡华云仓-城南圆通-微信视频号</v>
      </c>
      <c r="O4729" s="5" t="s">
        <v>4757</v>
      </c>
      <c r="P4729" s="6">
        <v>0.34</v>
      </c>
      <c r="Q4729" s="11">
        <v>2.2999999999999998</v>
      </c>
      <c r="R4729" s="11"/>
      <c r="S4729" s="11"/>
      <c r="T4729" s="11"/>
      <c r="U4729" s="11">
        <f t="shared" si="1516"/>
        <v>2.2999999999999998</v>
      </c>
      <c r="W4729">
        <v>2.5</v>
      </c>
      <c r="X4729" s="1" t="s">
        <v>105</v>
      </c>
    </row>
    <row r="4730" spans="1:24" x14ac:dyDescent="0.25">
      <c r="A4730" s="1" t="str">
        <f t="shared" si="1517"/>
        <v>卡卡杜-凤凰仓</v>
      </c>
      <c r="B4730" s="1" t="str">
        <f>"CK202410214846"</f>
        <v>CK202410214846</v>
      </c>
      <c r="C4730" s="1" t="str">
        <f>"DD2024102110949"</f>
        <v>DD2024102110949</v>
      </c>
      <c r="D4730" s="1" t="str">
        <f>"CK2024102119730"</f>
        <v>CK2024102119730</v>
      </c>
      <c r="E4730" s="1" t="str">
        <f>"3723445498144755712"</f>
        <v>3723445498144755712</v>
      </c>
      <c r="F4730" s="1" t="str">
        <f t="shared" si="1518"/>
        <v>花都四部-凤凰仓</v>
      </c>
      <c r="G4730" s="1" t="str">
        <f t="shared" si="1522"/>
        <v>卡卡杜企业店（视频号）</v>
      </c>
      <c r="H4730" s="1" t="str">
        <f t="shared" si="1519"/>
        <v>正常订单</v>
      </c>
      <c r="I4730" s="1" t="str">
        <f t="shared" si="1520"/>
        <v>已发货</v>
      </c>
      <c r="J4730" s="1" t="str">
        <f>"5"</f>
        <v>5</v>
      </c>
      <c r="K4730" s="1">
        <v>3</v>
      </c>
      <c r="L4730" s="1" t="s">
        <v>20</v>
      </c>
      <c r="M4730" s="1" t="str">
        <f>"浙江省 杭州市 萧山区 "</f>
        <v xml:space="preserve">浙江省 杭州市 萧山区 </v>
      </c>
      <c r="N4730" s="1" t="str">
        <f t="shared" si="1521"/>
        <v>凡华云仓-城南圆通-微信视频号</v>
      </c>
      <c r="O4730" s="5" t="s">
        <v>4758</v>
      </c>
      <c r="P4730" s="6">
        <v>0.47</v>
      </c>
      <c r="Q4730" s="11">
        <v>2.2999999999999998</v>
      </c>
      <c r="R4730" s="11"/>
      <c r="S4730" s="11"/>
      <c r="T4730" s="11"/>
      <c r="U4730" s="11">
        <f t="shared" si="1516"/>
        <v>2.2999999999999998</v>
      </c>
      <c r="W4730">
        <v>2.5</v>
      </c>
      <c r="X4730" s="1" t="s">
        <v>20</v>
      </c>
    </row>
    <row r="4731" spans="1:24" x14ac:dyDescent="0.25">
      <c r="A4731" s="1" t="str">
        <f t="shared" si="1517"/>
        <v>卡卡杜-凤凰仓</v>
      </c>
      <c r="B4731" s="1" t="str">
        <f>"CK202410214866"</f>
        <v>CK202410214866</v>
      </c>
      <c r="C4731" s="1" t="str">
        <f>"DD2024102110969"</f>
        <v>DD2024102110969</v>
      </c>
      <c r="D4731" s="1" t="str">
        <f>"CK2024102119667"</f>
        <v>CK2024102119667</v>
      </c>
      <c r="E4731" s="1" t="str">
        <f>"6935263617476269794"</f>
        <v>6935263617476269794</v>
      </c>
      <c r="F4731" s="1" t="str">
        <f t="shared" si="1518"/>
        <v>花都四部-凤凰仓</v>
      </c>
      <c r="G4731" s="1" t="str">
        <f t="shared" ref="G4731:G4793" si="1535">"卡卡杜个人护理店（抖店）"</f>
        <v>卡卡杜个人护理店（抖店）</v>
      </c>
      <c r="H4731" s="1" t="str">
        <f t="shared" si="1519"/>
        <v>正常订单</v>
      </c>
      <c r="I4731" s="1" t="str">
        <f t="shared" si="1520"/>
        <v>已发货</v>
      </c>
      <c r="J4731" s="1" t="str">
        <f t="shared" ref="J4731:J4742" si="1536">"3"</f>
        <v>3</v>
      </c>
      <c r="K4731" s="1">
        <v>2</v>
      </c>
      <c r="L4731" s="1" t="s">
        <v>24</v>
      </c>
      <c r="M4731" s="1" t="str">
        <f>"福建省 泉州市 安溪县 城厢镇"</f>
        <v>福建省 泉州市 安溪县 城厢镇</v>
      </c>
      <c r="N4731" s="1" t="str">
        <f t="shared" ref="N4731:N4793" si="1537">"凡华云仓-城南圆通-抖音"</f>
        <v>凡华云仓-城南圆通-抖音</v>
      </c>
      <c r="O4731" s="5" t="s">
        <v>4759</v>
      </c>
      <c r="P4731" s="6">
        <v>0.35</v>
      </c>
      <c r="Q4731" s="11">
        <v>2.2999999999999998</v>
      </c>
      <c r="R4731" s="11"/>
      <c r="S4731" s="11"/>
      <c r="T4731" s="11"/>
      <c r="U4731" s="11">
        <f t="shared" si="1516"/>
        <v>2.2999999999999998</v>
      </c>
      <c r="W4731">
        <v>2.5</v>
      </c>
      <c r="X4731" s="1" t="s">
        <v>24</v>
      </c>
    </row>
    <row r="4732" spans="1:24" x14ac:dyDescent="0.25">
      <c r="A4732" s="1" t="str">
        <f t="shared" si="1517"/>
        <v>卡卡杜-凤凰仓</v>
      </c>
      <c r="B4732" s="1" t="str">
        <f>"CK202410214909"</f>
        <v>CK202410214909</v>
      </c>
      <c r="C4732" s="1" t="str">
        <f>"DD2024102111014"</f>
        <v>DD2024102111014</v>
      </c>
      <c r="D4732" s="1" t="str">
        <f>"CK2024102119666"</f>
        <v>CK2024102119666</v>
      </c>
      <c r="E4732" s="1" t="str">
        <f>"6935263397876864725"</f>
        <v>6935263397876864725</v>
      </c>
      <c r="F4732" s="1" t="str">
        <f t="shared" si="1518"/>
        <v>花都四部-凤凰仓</v>
      </c>
      <c r="G4732" s="1" t="str">
        <f t="shared" si="1535"/>
        <v>卡卡杜个人护理店（抖店）</v>
      </c>
      <c r="H4732" s="1" t="str">
        <f t="shared" si="1519"/>
        <v>正常订单</v>
      </c>
      <c r="I4732" s="1" t="str">
        <f t="shared" si="1520"/>
        <v>已发货</v>
      </c>
      <c r="J4732" s="1" t="str">
        <f t="shared" si="1536"/>
        <v>3</v>
      </c>
      <c r="K4732" s="1">
        <v>2</v>
      </c>
      <c r="L4732" s="1" t="s">
        <v>13</v>
      </c>
      <c r="M4732" s="1" t="str">
        <f>"江苏省 徐州市 邳州市 "</f>
        <v xml:space="preserve">江苏省 徐州市 邳州市 </v>
      </c>
      <c r="N4732" s="1" t="str">
        <f t="shared" si="1537"/>
        <v>凡华云仓-城南圆通-抖音</v>
      </c>
      <c r="O4732" s="5" t="s">
        <v>4760</v>
      </c>
      <c r="P4732" s="6">
        <v>0.35</v>
      </c>
      <c r="Q4732" s="11">
        <v>2.2999999999999998</v>
      </c>
      <c r="R4732" s="11"/>
      <c r="S4732" s="11"/>
      <c r="T4732" s="11"/>
      <c r="U4732" s="11">
        <f t="shared" si="1516"/>
        <v>2.2999999999999998</v>
      </c>
      <c r="W4732">
        <v>2.5</v>
      </c>
      <c r="X4732" s="1" t="s">
        <v>13</v>
      </c>
    </row>
    <row r="4733" spans="1:24" x14ac:dyDescent="0.25">
      <c r="A4733" s="1" t="str">
        <f t="shared" si="1517"/>
        <v>卡卡杜-凤凰仓</v>
      </c>
      <c r="B4733" s="1" t="str">
        <f>"CK202410214841"</f>
        <v>CK202410214841</v>
      </c>
      <c r="C4733" s="1" t="str">
        <f>"DD2024102110944"</f>
        <v>DD2024102110944</v>
      </c>
      <c r="D4733" s="1" t="str">
        <f>"CK2024102119665"</f>
        <v>CK2024102119665</v>
      </c>
      <c r="E4733" s="1" t="str">
        <f>"6935274876860176297"</f>
        <v>6935274876860176297</v>
      </c>
      <c r="F4733" s="1" t="str">
        <f t="shared" si="1518"/>
        <v>花都四部-凤凰仓</v>
      </c>
      <c r="G4733" s="1" t="str">
        <f t="shared" si="1535"/>
        <v>卡卡杜个人护理店（抖店）</v>
      </c>
      <c r="H4733" s="1" t="str">
        <f t="shared" si="1519"/>
        <v>正常订单</v>
      </c>
      <c r="I4733" s="1" t="str">
        <f t="shared" si="1520"/>
        <v>已发货</v>
      </c>
      <c r="J4733" s="1" t="str">
        <f t="shared" si="1536"/>
        <v>3</v>
      </c>
      <c r="K4733" s="1">
        <v>3</v>
      </c>
      <c r="L4733" s="1" t="s">
        <v>24</v>
      </c>
      <c r="M4733" s="1" t="str">
        <f>"福建省 南平市 延平区 紫云街道"</f>
        <v>福建省 南平市 延平区 紫云街道</v>
      </c>
      <c r="N4733" s="1" t="str">
        <f t="shared" si="1537"/>
        <v>凡华云仓-城南圆通-抖音</v>
      </c>
      <c r="O4733" s="5" t="s">
        <v>4761</v>
      </c>
      <c r="P4733" s="6">
        <v>0.34</v>
      </c>
      <c r="Q4733" s="11">
        <v>2.2999999999999998</v>
      </c>
      <c r="R4733" s="11"/>
      <c r="S4733" s="11"/>
      <c r="T4733" s="11"/>
      <c r="U4733" s="11">
        <f t="shared" si="1516"/>
        <v>2.2999999999999998</v>
      </c>
      <c r="W4733">
        <v>2.5</v>
      </c>
      <c r="X4733" s="1" t="s">
        <v>24</v>
      </c>
    </row>
    <row r="4734" spans="1:24" x14ac:dyDescent="0.25">
      <c r="A4734" s="1" t="str">
        <f t="shared" si="1517"/>
        <v>卡卡杜-凤凰仓</v>
      </c>
      <c r="B4734" s="1" t="str">
        <f>"CK202410214935"</f>
        <v>CK202410214935</v>
      </c>
      <c r="C4734" s="1" t="str">
        <f>"DD2024102111037"</f>
        <v>DD2024102111037</v>
      </c>
      <c r="D4734" s="1" t="str">
        <f>"CK2024102119664"</f>
        <v>CK2024102119664</v>
      </c>
      <c r="E4734" s="1" t="str">
        <f>"6935274851508623094"</f>
        <v>6935274851508623094</v>
      </c>
      <c r="F4734" s="1" t="str">
        <f t="shared" si="1518"/>
        <v>花都四部-凤凰仓</v>
      </c>
      <c r="G4734" s="1" t="str">
        <f t="shared" si="1535"/>
        <v>卡卡杜个人护理店（抖店）</v>
      </c>
      <c r="H4734" s="1" t="str">
        <f t="shared" si="1519"/>
        <v>正常订单</v>
      </c>
      <c r="I4734" s="1" t="str">
        <f t="shared" si="1520"/>
        <v>已发货</v>
      </c>
      <c r="J4734" s="1" t="str">
        <f t="shared" si="1536"/>
        <v>3</v>
      </c>
      <c r="K4734" s="1">
        <v>2</v>
      </c>
      <c r="L4734" s="1" t="s">
        <v>20</v>
      </c>
      <c r="M4734" s="1" t="str">
        <f>"浙江省 宁波市 北仑区 新碶街道"</f>
        <v>浙江省 宁波市 北仑区 新碶街道</v>
      </c>
      <c r="N4734" s="1" t="str">
        <f t="shared" si="1537"/>
        <v>凡华云仓-城南圆通-抖音</v>
      </c>
      <c r="O4734" s="5" t="s">
        <v>4762</v>
      </c>
      <c r="P4734" s="6">
        <v>0.35</v>
      </c>
      <c r="Q4734" s="11">
        <v>2.2999999999999998</v>
      </c>
      <c r="R4734" s="11"/>
      <c r="S4734" s="11"/>
      <c r="T4734" s="11"/>
      <c r="U4734" s="11">
        <f t="shared" si="1516"/>
        <v>2.2999999999999998</v>
      </c>
      <c r="W4734">
        <v>2.5</v>
      </c>
      <c r="X4734" s="1" t="s">
        <v>20</v>
      </c>
    </row>
    <row r="4735" spans="1:24" x14ac:dyDescent="0.25">
      <c r="A4735" s="1" t="str">
        <f t="shared" si="1517"/>
        <v>卡卡杜-凤凰仓</v>
      </c>
      <c r="B4735" s="1" t="str">
        <f>"CK202410214848"</f>
        <v>CK202410214848</v>
      </c>
      <c r="C4735" s="1" t="str">
        <f>"DD2024102110951"</f>
        <v>DD2024102110951</v>
      </c>
      <c r="D4735" s="1" t="str">
        <f>"CK2024102119663"</f>
        <v>CK2024102119663</v>
      </c>
      <c r="E4735" s="1" t="str">
        <f>"6935272301758518954"</f>
        <v>6935272301758518954</v>
      </c>
      <c r="F4735" s="1" t="str">
        <f t="shared" si="1518"/>
        <v>花都四部-凤凰仓</v>
      </c>
      <c r="G4735" s="1" t="str">
        <f t="shared" si="1535"/>
        <v>卡卡杜个人护理店（抖店）</v>
      </c>
      <c r="H4735" s="1" t="str">
        <f t="shared" si="1519"/>
        <v>正常订单</v>
      </c>
      <c r="I4735" s="1" t="str">
        <f t="shared" si="1520"/>
        <v>已发货</v>
      </c>
      <c r="J4735" s="1" t="str">
        <f t="shared" si="1536"/>
        <v>3</v>
      </c>
      <c r="K4735" s="1">
        <v>2</v>
      </c>
      <c r="L4735" s="1" t="s">
        <v>60</v>
      </c>
      <c r="M4735" s="1" t="str">
        <f>"云南省 文山壮族苗族自治州 砚山县 江那镇"</f>
        <v>云南省 文山壮族苗族自治州 砚山县 江那镇</v>
      </c>
      <c r="N4735" s="1" t="str">
        <f t="shared" si="1537"/>
        <v>凡华云仓-城南圆通-抖音</v>
      </c>
      <c r="O4735" s="5" t="s">
        <v>4763</v>
      </c>
      <c r="P4735" s="6">
        <v>0.35</v>
      </c>
      <c r="Q4735" s="11">
        <v>2.2999999999999998</v>
      </c>
      <c r="R4735" s="11"/>
      <c r="S4735" s="11"/>
      <c r="T4735" s="11"/>
      <c r="U4735" s="11">
        <f t="shared" si="1516"/>
        <v>2.2999999999999998</v>
      </c>
      <c r="W4735">
        <v>2.5</v>
      </c>
      <c r="X4735" s="1" t="s">
        <v>60</v>
      </c>
    </row>
    <row r="4736" spans="1:24" x14ac:dyDescent="0.25">
      <c r="A4736" s="1" t="str">
        <f t="shared" si="1517"/>
        <v>卡卡杜-凤凰仓</v>
      </c>
      <c r="B4736" s="1" t="str">
        <f>"CK202410214947"</f>
        <v>CK202410214947</v>
      </c>
      <c r="C4736" s="1" t="str">
        <f>"DD2024102111050"</f>
        <v>DD2024102111050</v>
      </c>
      <c r="D4736" s="1" t="str">
        <f>"CK2024102119662"</f>
        <v>CK2024102119662</v>
      </c>
      <c r="E4736" s="1" t="str">
        <f>"6935272320432412407"</f>
        <v>6935272320432412407</v>
      </c>
      <c r="F4736" s="1" t="str">
        <f t="shared" si="1518"/>
        <v>花都四部-凤凰仓</v>
      </c>
      <c r="G4736" s="1" t="str">
        <f t="shared" si="1535"/>
        <v>卡卡杜个人护理店（抖店）</v>
      </c>
      <c r="H4736" s="1" t="str">
        <f t="shared" si="1519"/>
        <v>正常订单</v>
      </c>
      <c r="I4736" s="1" t="str">
        <f t="shared" si="1520"/>
        <v>已发货</v>
      </c>
      <c r="J4736" s="1" t="str">
        <f t="shared" si="1536"/>
        <v>3</v>
      </c>
      <c r="K4736" s="1">
        <v>2</v>
      </c>
      <c r="L4736" s="1" t="s">
        <v>18</v>
      </c>
      <c r="M4736" s="1" t="str">
        <f>"广东省 潮州市 潮安区 古巷镇"</f>
        <v>广东省 潮州市 潮安区 古巷镇</v>
      </c>
      <c r="N4736" s="1" t="str">
        <f t="shared" si="1537"/>
        <v>凡华云仓-城南圆通-抖音</v>
      </c>
      <c r="O4736" s="5" t="s">
        <v>4764</v>
      </c>
      <c r="P4736" s="6">
        <v>0.35</v>
      </c>
      <c r="Q4736" s="11">
        <v>2.2999999999999998</v>
      </c>
      <c r="R4736" s="11"/>
      <c r="S4736" s="11"/>
      <c r="T4736" s="11"/>
      <c r="U4736" s="11">
        <f t="shared" si="1516"/>
        <v>2.2999999999999998</v>
      </c>
      <c r="W4736">
        <v>2.5</v>
      </c>
      <c r="X4736" s="1" t="s">
        <v>18</v>
      </c>
    </row>
    <row r="4737" spans="1:24" x14ac:dyDescent="0.25">
      <c r="A4737" s="1" t="str">
        <f t="shared" si="1517"/>
        <v>卡卡杜-凤凰仓</v>
      </c>
      <c r="B4737" s="1" t="str">
        <f>"CK202410214938"</f>
        <v>CK202410214938</v>
      </c>
      <c r="C4737" s="1" t="str">
        <f>"DD2024102111042"</f>
        <v>DD2024102111042</v>
      </c>
      <c r="D4737" s="1" t="str">
        <f>"CK2024102119661"</f>
        <v>CK2024102119661</v>
      </c>
      <c r="E4737" s="1" t="str">
        <f>"6935287515975128151"</f>
        <v>6935287515975128151</v>
      </c>
      <c r="F4737" s="1" t="str">
        <f t="shared" si="1518"/>
        <v>花都四部-凤凰仓</v>
      </c>
      <c r="G4737" s="1" t="str">
        <f t="shared" si="1535"/>
        <v>卡卡杜个人护理店（抖店）</v>
      </c>
      <c r="H4737" s="1" t="str">
        <f t="shared" si="1519"/>
        <v>正常订单</v>
      </c>
      <c r="I4737" s="1" t="str">
        <f t="shared" si="1520"/>
        <v>已发货</v>
      </c>
      <c r="J4737" s="1" t="str">
        <f t="shared" si="1536"/>
        <v>3</v>
      </c>
      <c r="K4737" s="1">
        <v>2</v>
      </c>
      <c r="L4737" s="1" t="s">
        <v>44</v>
      </c>
      <c r="M4737" s="1" t="str">
        <f>"海南省 东方市 东方市 八所镇"</f>
        <v>海南省 东方市 东方市 八所镇</v>
      </c>
      <c r="N4737" s="1" t="str">
        <f t="shared" si="1537"/>
        <v>凡华云仓-城南圆通-抖音</v>
      </c>
      <c r="O4737" s="5" t="s">
        <v>4765</v>
      </c>
      <c r="P4737" s="6">
        <v>0.35</v>
      </c>
      <c r="Q4737" s="11">
        <v>2.2999999999999998</v>
      </c>
      <c r="R4737" s="11"/>
      <c r="S4737" s="11"/>
      <c r="T4737" s="11"/>
      <c r="U4737" s="11">
        <f t="shared" si="1516"/>
        <v>2.2999999999999998</v>
      </c>
      <c r="W4737">
        <v>2.5</v>
      </c>
      <c r="X4737" s="1" t="s">
        <v>44</v>
      </c>
    </row>
    <row r="4738" spans="1:24" x14ac:dyDescent="0.25">
      <c r="A4738" s="1" t="str">
        <f t="shared" si="1517"/>
        <v>卡卡杜-凤凰仓</v>
      </c>
      <c r="B4738" s="1" t="str">
        <f>"CK202410214950"</f>
        <v>CK202410214950</v>
      </c>
      <c r="C4738" s="1" t="str">
        <f>"DD2024102111053"</f>
        <v>DD2024102111053</v>
      </c>
      <c r="D4738" s="1" t="str">
        <f>"CK2024102119660"</f>
        <v>CK2024102119660</v>
      </c>
      <c r="E4738" s="1" t="str">
        <f>"6935281139372135668"</f>
        <v>6935281139372135668</v>
      </c>
      <c r="F4738" s="1" t="str">
        <f t="shared" si="1518"/>
        <v>花都四部-凤凰仓</v>
      </c>
      <c r="G4738" s="1" t="str">
        <f t="shared" si="1535"/>
        <v>卡卡杜个人护理店（抖店）</v>
      </c>
      <c r="H4738" s="1" t="str">
        <f t="shared" si="1519"/>
        <v>正常订单</v>
      </c>
      <c r="I4738" s="1" t="str">
        <f t="shared" si="1520"/>
        <v>已发货</v>
      </c>
      <c r="J4738" s="1" t="str">
        <f t="shared" si="1536"/>
        <v>3</v>
      </c>
      <c r="K4738" s="1">
        <v>2</v>
      </c>
      <c r="L4738" s="1" t="s">
        <v>24</v>
      </c>
      <c r="M4738" s="1" t="str">
        <f>"福建省 泉州市 德化县 龙浔镇"</f>
        <v>福建省 泉州市 德化县 龙浔镇</v>
      </c>
      <c r="N4738" s="1" t="str">
        <f t="shared" si="1537"/>
        <v>凡华云仓-城南圆通-抖音</v>
      </c>
      <c r="O4738" s="5" t="s">
        <v>4766</v>
      </c>
      <c r="P4738" s="6">
        <v>0.35</v>
      </c>
      <c r="Q4738" s="11">
        <v>2.2999999999999998</v>
      </c>
      <c r="R4738" s="11"/>
      <c r="S4738" s="11"/>
      <c r="T4738" s="11"/>
      <c r="U4738" s="11">
        <f t="shared" si="1516"/>
        <v>2.2999999999999998</v>
      </c>
      <c r="W4738">
        <v>2.5</v>
      </c>
      <c r="X4738" s="1" t="s">
        <v>24</v>
      </c>
    </row>
    <row r="4739" spans="1:24" x14ac:dyDescent="0.25">
      <c r="A4739" s="1" t="str">
        <f t="shared" si="1517"/>
        <v>卡卡杜-凤凰仓</v>
      </c>
      <c r="B4739" s="1" t="str">
        <f>"CK202410214957"</f>
        <v>CK202410214957</v>
      </c>
      <c r="C4739" s="1" t="str">
        <f>"DD2024102111060"</f>
        <v>DD2024102111060</v>
      </c>
      <c r="D4739" s="1" t="str">
        <f>"CK2024102119659"</f>
        <v>CK2024102119659</v>
      </c>
      <c r="E4739" s="1" t="str">
        <f>"6935272045388502429"</f>
        <v>6935272045388502429</v>
      </c>
      <c r="F4739" s="1" t="str">
        <f t="shared" si="1518"/>
        <v>花都四部-凤凰仓</v>
      </c>
      <c r="G4739" s="1" t="str">
        <f t="shared" si="1535"/>
        <v>卡卡杜个人护理店（抖店）</v>
      </c>
      <c r="H4739" s="1" t="str">
        <f t="shared" si="1519"/>
        <v>正常订单</v>
      </c>
      <c r="I4739" s="1" t="str">
        <f t="shared" si="1520"/>
        <v>已发货</v>
      </c>
      <c r="J4739" s="1" t="str">
        <f t="shared" si="1536"/>
        <v>3</v>
      </c>
      <c r="K4739" s="1">
        <v>2</v>
      </c>
      <c r="L4739" s="1" t="s">
        <v>24</v>
      </c>
      <c r="M4739" s="1" t="str">
        <f>"福建省 莆田市 荔城区 黄石镇"</f>
        <v>福建省 莆田市 荔城区 黄石镇</v>
      </c>
      <c r="N4739" s="1" t="str">
        <f t="shared" si="1537"/>
        <v>凡华云仓-城南圆通-抖音</v>
      </c>
      <c r="O4739" s="5" t="s">
        <v>4767</v>
      </c>
      <c r="P4739" s="6">
        <v>0.35</v>
      </c>
      <c r="Q4739" s="11">
        <v>2.2999999999999998</v>
      </c>
      <c r="R4739" s="11"/>
      <c r="S4739" s="11"/>
      <c r="T4739" s="11"/>
      <c r="U4739" s="11">
        <f t="shared" ref="U4739:U4802" si="1538">T4739+S4739+R4739+Q4739</f>
        <v>2.2999999999999998</v>
      </c>
      <c r="W4739">
        <v>2.5</v>
      </c>
      <c r="X4739" s="1" t="s">
        <v>24</v>
      </c>
    </row>
    <row r="4740" spans="1:24" x14ac:dyDescent="0.25">
      <c r="A4740" s="1" t="str">
        <f t="shared" si="1517"/>
        <v>卡卡杜-凤凰仓</v>
      </c>
      <c r="B4740" s="1" t="str">
        <f>"CK202410214835"</f>
        <v>CK202410214835</v>
      </c>
      <c r="C4740" s="1" t="str">
        <f>"DD2024102110938"</f>
        <v>DD2024102110938</v>
      </c>
      <c r="D4740" s="1" t="str">
        <f>"CK2024102119658"</f>
        <v>CK2024102119658</v>
      </c>
      <c r="E4740" s="1" t="str">
        <f>"6935280956879607637"</f>
        <v>6935280956879607637</v>
      </c>
      <c r="F4740" s="1" t="str">
        <f t="shared" si="1518"/>
        <v>花都四部-凤凰仓</v>
      </c>
      <c r="G4740" s="1" t="str">
        <f t="shared" si="1535"/>
        <v>卡卡杜个人护理店（抖店）</v>
      </c>
      <c r="H4740" s="1" t="str">
        <f t="shared" si="1519"/>
        <v>正常订单</v>
      </c>
      <c r="I4740" s="1" t="str">
        <f t="shared" si="1520"/>
        <v>已发货</v>
      </c>
      <c r="J4740" s="1" t="str">
        <f t="shared" si="1536"/>
        <v>3</v>
      </c>
      <c r="K4740" s="1">
        <v>3</v>
      </c>
      <c r="L4740" s="1" t="s">
        <v>41</v>
      </c>
      <c r="M4740" s="1" t="str">
        <f>"湖北省 武汉市 江夏区 纸坊街道"</f>
        <v>湖北省 武汉市 江夏区 纸坊街道</v>
      </c>
      <c r="N4740" s="1" t="str">
        <f t="shared" si="1537"/>
        <v>凡华云仓-城南圆通-抖音</v>
      </c>
      <c r="O4740" s="5" t="s">
        <v>4768</v>
      </c>
      <c r="P4740" s="6">
        <v>0.34</v>
      </c>
      <c r="Q4740" s="11">
        <v>2.2999999999999998</v>
      </c>
      <c r="R4740" s="11"/>
      <c r="S4740" s="11"/>
      <c r="T4740" s="11"/>
      <c r="U4740" s="11">
        <f t="shared" si="1538"/>
        <v>2.2999999999999998</v>
      </c>
      <c r="W4740">
        <v>2.5</v>
      </c>
      <c r="X4740" s="1" t="s">
        <v>41</v>
      </c>
    </row>
    <row r="4741" spans="1:24" x14ac:dyDescent="0.25">
      <c r="A4741" s="1" t="str">
        <f t="shared" ref="A4741:A4804" si="1539">"卡卡杜-凤凰仓"</f>
        <v>卡卡杜-凤凰仓</v>
      </c>
      <c r="B4741" s="1" t="str">
        <f>"CK202410214945"</f>
        <v>CK202410214945</v>
      </c>
      <c r="C4741" s="1" t="str">
        <f>"DD2024102111048"</f>
        <v>DD2024102111048</v>
      </c>
      <c r="D4741" s="1" t="str">
        <f>"CK2024102119657"</f>
        <v>CK2024102119657</v>
      </c>
      <c r="E4741" s="1" t="str">
        <f>"6935283200724833542"</f>
        <v>6935283200724833542</v>
      </c>
      <c r="F4741" s="1" t="str">
        <f t="shared" ref="F4741:F4804" si="1540">"花都四部-凤凰仓"</f>
        <v>花都四部-凤凰仓</v>
      </c>
      <c r="G4741" s="1" t="str">
        <f t="shared" si="1535"/>
        <v>卡卡杜个人护理店（抖店）</v>
      </c>
      <c r="H4741" s="1" t="str">
        <f t="shared" ref="H4741:H4804" si="1541">"正常订单"</f>
        <v>正常订单</v>
      </c>
      <c r="I4741" s="1" t="str">
        <f t="shared" ref="I4741:I4804" si="1542">"已发货"</f>
        <v>已发货</v>
      </c>
      <c r="J4741" s="1" t="str">
        <f t="shared" si="1536"/>
        <v>3</v>
      </c>
      <c r="K4741" s="1">
        <v>2</v>
      </c>
      <c r="L4741" s="1" t="s">
        <v>30</v>
      </c>
      <c r="M4741" s="1" t="str">
        <f>"山东省 日照市 五莲县 洪凝街道"</f>
        <v>山东省 日照市 五莲县 洪凝街道</v>
      </c>
      <c r="N4741" s="1" t="str">
        <f t="shared" si="1537"/>
        <v>凡华云仓-城南圆通-抖音</v>
      </c>
      <c r="O4741" s="5" t="s">
        <v>4769</v>
      </c>
      <c r="P4741" s="6">
        <v>0.35</v>
      </c>
      <c r="Q4741" s="11">
        <v>2.2999999999999998</v>
      </c>
      <c r="R4741" s="11"/>
      <c r="S4741" s="11"/>
      <c r="T4741" s="11"/>
      <c r="U4741" s="11">
        <f t="shared" si="1538"/>
        <v>2.2999999999999998</v>
      </c>
      <c r="W4741">
        <v>2.5</v>
      </c>
      <c r="X4741" s="1" t="s">
        <v>30</v>
      </c>
    </row>
    <row r="4742" spans="1:24" x14ac:dyDescent="0.25">
      <c r="A4742" s="1" t="str">
        <f t="shared" si="1539"/>
        <v>卡卡杜-凤凰仓</v>
      </c>
      <c r="B4742" s="1" t="str">
        <f>"CK202410214942"</f>
        <v>CK202410214942</v>
      </c>
      <c r="C4742" s="1" t="str">
        <f>"DD2024102111045"</f>
        <v>DD2024102111045</v>
      </c>
      <c r="D4742" s="1" t="str">
        <f>"CK2024102119656"</f>
        <v>CK2024102119656</v>
      </c>
      <c r="E4742" s="1" t="str">
        <f>"6935274428981187687"</f>
        <v>6935274428981187687</v>
      </c>
      <c r="F4742" s="1" t="str">
        <f t="shared" si="1540"/>
        <v>花都四部-凤凰仓</v>
      </c>
      <c r="G4742" s="1" t="str">
        <f t="shared" si="1535"/>
        <v>卡卡杜个人护理店（抖店）</v>
      </c>
      <c r="H4742" s="1" t="str">
        <f t="shared" si="1541"/>
        <v>正常订单</v>
      </c>
      <c r="I4742" s="1" t="str">
        <f t="shared" si="1542"/>
        <v>已发货</v>
      </c>
      <c r="J4742" s="1" t="str">
        <f t="shared" si="1536"/>
        <v>3</v>
      </c>
      <c r="K4742" s="1">
        <v>2</v>
      </c>
      <c r="L4742" s="1" t="s">
        <v>18</v>
      </c>
      <c r="M4742" s="1" t="str">
        <f>"广东省 深圳市 龙岗区 坂田街道"</f>
        <v>广东省 深圳市 龙岗区 坂田街道</v>
      </c>
      <c r="N4742" s="1" t="str">
        <f t="shared" si="1537"/>
        <v>凡华云仓-城南圆通-抖音</v>
      </c>
      <c r="O4742" s="5" t="s">
        <v>4770</v>
      </c>
      <c r="P4742" s="6">
        <v>0.35</v>
      </c>
      <c r="Q4742" s="11">
        <v>2.2999999999999998</v>
      </c>
      <c r="R4742" s="11"/>
      <c r="S4742" s="11"/>
      <c r="T4742" s="11"/>
      <c r="U4742" s="11">
        <f t="shared" si="1538"/>
        <v>2.2999999999999998</v>
      </c>
      <c r="W4742">
        <v>2.5</v>
      </c>
      <c r="X4742" s="1" t="s">
        <v>18</v>
      </c>
    </row>
    <row r="4743" spans="1:24" x14ac:dyDescent="0.25">
      <c r="A4743" s="1" t="str">
        <f t="shared" si="1539"/>
        <v>卡卡杜-凤凰仓</v>
      </c>
      <c r="B4743" s="1" t="str">
        <f>"CK202410215064"</f>
        <v>CK202410215064</v>
      </c>
      <c r="C4743" s="1" t="str">
        <f>"DD2024102111170"</f>
        <v>DD2024102111170</v>
      </c>
      <c r="D4743" s="1" t="str">
        <f>"CK2024102119655"</f>
        <v>CK2024102119655</v>
      </c>
      <c r="E4743" s="1" t="str">
        <f>"6935262889018463702"</f>
        <v>6935262889018463702</v>
      </c>
      <c r="F4743" s="1" t="str">
        <f t="shared" si="1540"/>
        <v>花都四部-凤凰仓</v>
      </c>
      <c r="G4743" s="1" t="str">
        <f t="shared" si="1535"/>
        <v>卡卡杜个人护理店（抖店）</v>
      </c>
      <c r="H4743" s="1" t="str">
        <f t="shared" si="1541"/>
        <v>正常订单</v>
      </c>
      <c r="I4743" s="1" t="str">
        <f t="shared" si="1542"/>
        <v>已发货</v>
      </c>
      <c r="J4743" s="1" t="str">
        <f>"5"</f>
        <v>5</v>
      </c>
      <c r="K4743" s="1">
        <v>2</v>
      </c>
      <c r="L4743" s="1" t="s">
        <v>22</v>
      </c>
      <c r="M4743" s="1" t="str">
        <f>"江西省 抚州市 南城县 建昌镇"</f>
        <v>江西省 抚州市 南城县 建昌镇</v>
      </c>
      <c r="N4743" s="1" t="str">
        <f t="shared" si="1537"/>
        <v>凡华云仓-城南圆通-抖音</v>
      </c>
      <c r="O4743" s="5" t="s">
        <v>4771</v>
      </c>
      <c r="P4743" s="6">
        <v>0.59</v>
      </c>
      <c r="Q4743" s="11">
        <f>CEILING(P4743-0.5,0.1)*10*0.15+2.3</f>
        <v>2.4499999999999997</v>
      </c>
      <c r="R4743" s="11"/>
      <c r="S4743" s="11"/>
      <c r="T4743" s="11"/>
      <c r="U4743" s="11">
        <f t="shared" si="1538"/>
        <v>2.4499999999999997</v>
      </c>
      <c r="V4743" t="s">
        <v>15</v>
      </c>
      <c r="W4743">
        <v>2.4500000000000002</v>
      </c>
      <c r="X4743" s="1" t="s">
        <v>22</v>
      </c>
    </row>
    <row r="4744" spans="1:24" x14ac:dyDescent="0.25">
      <c r="A4744" s="1" t="str">
        <f t="shared" si="1539"/>
        <v>卡卡杜-凤凰仓</v>
      </c>
      <c r="B4744" s="1" t="str">
        <f>"CK202410214959"</f>
        <v>CK202410214959</v>
      </c>
      <c r="C4744" s="1" t="str">
        <f>"DD2024102111063"</f>
        <v>DD2024102111063</v>
      </c>
      <c r="D4744" s="1" t="str">
        <f>"CK2024102119654"</f>
        <v>CK2024102119654</v>
      </c>
      <c r="E4744" s="1" t="str">
        <f>"6935280746007827833"</f>
        <v>6935280746007827833</v>
      </c>
      <c r="F4744" s="1" t="str">
        <f t="shared" si="1540"/>
        <v>花都四部-凤凰仓</v>
      </c>
      <c r="G4744" s="1" t="str">
        <f t="shared" si="1535"/>
        <v>卡卡杜个人护理店（抖店）</v>
      </c>
      <c r="H4744" s="1" t="str">
        <f t="shared" si="1541"/>
        <v>正常订单</v>
      </c>
      <c r="I4744" s="1" t="str">
        <f t="shared" si="1542"/>
        <v>已发货</v>
      </c>
      <c r="J4744" s="1" t="str">
        <f t="shared" ref="J4744:J4770" si="1543">"3"</f>
        <v>3</v>
      </c>
      <c r="K4744" s="1">
        <v>2</v>
      </c>
      <c r="L4744" s="1" t="s">
        <v>74</v>
      </c>
      <c r="M4744" s="1" t="str">
        <f>"上海 上海市 普陀区 真如镇街道"</f>
        <v>上海 上海市 普陀区 真如镇街道</v>
      </c>
      <c r="N4744" s="1" t="str">
        <f t="shared" si="1537"/>
        <v>凡华云仓-城南圆通-抖音</v>
      </c>
      <c r="O4744" s="5" t="s">
        <v>4772</v>
      </c>
      <c r="P4744" s="6">
        <v>0.35</v>
      </c>
      <c r="Q4744" s="11">
        <v>2.2999999999999998</v>
      </c>
      <c r="R4744" s="11"/>
      <c r="S4744" s="11"/>
      <c r="T4744" s="11"/>
      <c r="U4744" s="11">
        <f t="shared" si="1538"/>
        <v>2.2999999999999998</v>
      </c>
      <c r="W4744">
        <v>2.5</v>
      </c>
      <c r="X4744" s="1" t="s">
        <v>74</v>
      </c>
    </row>
    <row r="4745" spans="1:24" x14ac:dyDescent="0.25">
      <c r="A4745" s="1" t="str">
        <f t="shared" si="1539"/>
        <v>卡卡杜-凤凰仓</v>
      </c>
      <c r="B4745" s="1" t="str">
        <f>"CK202410214952"</f>
        <v>CK202410214952</v>
      </c>
      <c r="C4745" s="1" t="str">
        <f>"DD2024102111056"</f>
        <v>DD2024102111056</v>
      </c>
      <c r="D4745" s="1" t="str">
        <f>"CK2024102119653"</f>
        <v>CK2024102119653</v>
      </c>
      <c r="E4745" s="1" t="str">
        <f>"6935256400449771320"</f>
        <v>6935256400449771320</v>
      </c>
      <c r="F4745" s="1" t="str">
        <f t="shared" si="1540"/>
        <v>花都四部-凤凰仓</v>
      </c>
      <c r="G4745" s="1" t="str">
        <f t="shared" si="1535"/>
        <v>卡卡杜个人护理店（抖店）</v>
      </c>
      <c r="H4745" s="1" t="str">
        <f t="shared" si="1541"/>
        <v>正常订单</v>
      </c>
      <c r="I4745" s="1" t="str">
        <f t="shared" si="1542"/>
        <v>已发货</v>
      </c>
      <c r="J4745" s="1" t="str">
        <f t="shared" si="1543"/>
        <v>3</v>
      </c>
      <c r="K4745" s="1">
        <v>2</v>
      </c>
      <c r="L4745" s="1" t="s">
        <v>109</v>
      </c>
      <c r="M4745" s="1" t="str">
        <f>"山西省 运城市 盐湖区 "</f>
        <v xml:space="preserve">山西省 运城市 盐湖区 </v>
      </c>
      <c r="N4745" s="1" t="str">
        <f t="shared" si="1537"/>
        <v>凡华云仓-城南圆通-抖音</v>
      </c>
      <c r="O4745" s="5" t="s">
        <v>4773</v>
      </c>
      <c r="P4745" s="6">
        <v>0.35</v>
      </c>
      <c r="Q4745" s="11">
        <v>2.2999999999999998</v>
      </c>
      <c r="R4745" s="11"/>
      <c r="S4745" s="11"/>
      <c r="T4745" s="11"/>
      <c r="U4745" s="11">
        <f t="shared" si="1538"/>
        <v>2.2999999999999998</v>
      </c>
      <c r="W4745">
        <v>2.5</v>
      </c>
      <c r="X4745" s="1" t="s">
        <v>109</v>
      </c>
    </row>
    <row r="4746" spans="1:24" x14ac:dyDescent="0.25">
      <c r="A4746" s="1" t="str">
        <f t="shared" si="1539"/>
        <v>卡卡杜-凤凰仓</v>
      </c>
      <c r="B4746" s="1" t="str">
        <f>"CK202410214914"</f>
        <v>CK202410214914</v>
      </c>
      <c r="C4746" s="1" t="str">
        <f>"DD2024102111016"</f>
        <v>DD2024102111016</v>
      </c>
      <c r="D4746" s="1" t="str">
        <f>"CK2024102119652"</f>
        <v>CK2024102119652</v>
      </c>
      <c r="E4746" s="1" t="str">
        <f>"6935285429790643239"</f>
        <v>6935285429790643239</v>
      </c>
      <c r="F4746" s="1" t="str">
        <f t="shared" si="1540"/>
        <v>花都四部-凤凰仓</v>
      </c>
      <c r="G4746" s="1" t="str">
        <f t="shared" si="1535"/>
        <v>卡卡杜个人护理店（抖店）</v>
      </c>
      <c r="H4746" s="1" t="str">
        <f t="shared" si="1541"/>
        <v>正常订单</v>
      </c>
      <c r="I4746" s="1" t="str">
        <f t="shared" si="1542"/>
        <v>已发货</v>
      </c>
      <c r="J4746" s="1" t="str">
        <f t="shared" si="1543"/>
        <v>3</v>
      </c>
      <c r="K4746" s="1">
        <v>2</v>
      </c>
      <c r="L4746" s="1" t="s">
        <v>30</v>
      </c>
      <c r="M4746" s="1" t="str">
        <f>"山东省 聊城市 高唐县 "</f>
        <v xml:space="preserve">山东省 聊城市 高唐县 </v>
      </c>
      <c r="N4746" s="1" t="str">
        <f t="shared" si="1537"/>
        <v>凡华云仓-城南圆通-抖音</v>
      </c>
      <c r="O4746" s="5" t="s">
        <v>4774</v>
      </c>
      <c r="P4746" s="6">
        <v>0.35</v>
      </c>
      <c r="Q4746" s="11">
        <v>2.2999999999999998</v>
      </c>
      <c r="R4746" s="11"/>
      <c r="S4746" s="11"/>
      <c r="T4746" s="11"/>
      <c r="U4746" s="11">
        <f t="shared" si="1538"/>
        <v>2.2999999999999998</v>
      </c>
      <c r="W4746">
        <v>2.5</v>
      </c>
      <c r="X4746" s="1" t="s">
        <v>30</v>
      </c>
    </row>
    <row r="4747" spans="1:24" x14ac:dyDescent="0.25">
      <c r="A4747" s="1" t="str">
        <f t="shared" si="1539"/>
        <v>卡卡杜-凤凰仓</v>
      </c>
      <c r="B4747" s="1" t="str">
        <f>"CK202410214922"</f>
        <v>CK202410214922</v>
      </c>
      <c r="C4747" s="1" t="str">
        <f>"DD2024102111025"</f>
        <v>DD2024102111025</v>
      </c>
      <c r="D4747" s="1" t="str">
        <f>"CK2024102119651"</f>
        <v>CK2024102119651</v>
      </c>
      <c r="E4747" s="1" t="str">
        <f>"6935265285559031631"</f>
        <v>6935265285559031631</v>
      </c>
      <c r="F4747" s="1" t="str">
        <f t="shared" si="1540"/>
        <v>花都四部-凤凰仓</v>
      </c>
      <c r="G4747" s="1" t="str">
        <f t="shared" si="1535"/>
        <v>卡卡杜个人护理店（抖店）</v>
      </c>
      <c r="H4747" s="1" t="str">
        <f t="shared" si="1541"/>
        <v>正常订单</v>
      </c>
      <c r="I4747" s="1" t="str">
        <f t="shared" si="1542"/>
        <v>已发货</v>
      </c>
      <c r="J4747" s="1" t="str">
        <f t="shared" si="1543"/>
        <v>3</v>
      </c>
      <c r="K4747" s="1">
        <v>2</v>
      </c>
      <c r="L4747" s="1" t="s">
        <v>13</v>
      </c>
      <c r="M4747" s="1" t="str">
        <f>"江苏省 南京市 栖霞区 燕子矶街道"</f>
        <v>江苏省 南京市 栖霞区 燕子矶街道</v>
      </c>
      <c r="N4747" s="1" t="str">
        <f t="shared" si="1537"/>
        <v>凡华云仓-城南圆通-抖音</v>
      </c>
      <c r="O4747" s="5" t="s">
        <v>4775</v>
      </c>
      <c r="P4747" s="6">
        <v>0.35</v>
      </c>
      <c r="Q4747" s="11">
        <v>2.2999999999999998</v>
      </c>
      <c r="R4747" s="11"/>
      <c r="S4747" s="11"/>
      <c r="T4747" s="11"/>
      <c r="U4747" s="11">
        <f t="shared" si="1538"/>
        <v>2.2999999999999998</v>
      </c>
      <c r="W4747">
        <v>2.5</v>
      </c>
      <c r="X4747" s="1" t="s">
        <v>13</v>
      </c>
    </row>
    <row r="4748" spans="1:24" x14ac:dyDescent="0.25">
      <c r="A4748" s="1" t="str">
        <f t="shared" si="1539"/>
        <v>卡卡杜-凤凰仓</v>
      </c>
      <c r="B4748" s="1" t="str">
        <f>"CK202410214933"</f>
        <v>CK202410214933</v>
      </c>
      <c r="C4748" s="1" t="str">
        <f>"DD2024102111038"</f>
        <v>DD2024102111038</v>
      </c>
      <c r="D4748" s="1" t="str">
        <f>"CK2024102119650"</f>
        <v>CK2024102119650</v>
      </c>
      <c r="E4748" s="1" t="str">
        <f>"6935274231311898315"</f>
        <v>6935274231311898315</v>
      </c>
      <c r="F4748" s="1" t="str">
        <f t="shared" si="1540"/>
        <v>花都四部-凤凰仓</v>
      </c>
      <c r="G4748" s="1" t="str">
        <f t="shared" si="1535"/>
        <v>卡卡杜个人护理店（抖店）</v>
      </c>
      <c r="H4748" s="1" t="str">
        <f t="shared" si="1541"/>
        <v>正常订单</v>
      </c>
      <c r="I4748" s="1" t="str">
        <f t="shared" si="1542"/>
        <v>已发货</v>
      </c>
      <c r="J4748" s="1" t="str">
        <f t="shared" si="1543"/>
        <v>3</v>
      </c>
      <c r="K4748" s="1">
        <v>2</v>
      </c>
      <c r="L4748" s="1" t="s">
        <v>13</v>
      </c>
      <c r="M4748" s="1" t="str">
        <f>"江苏省 徐州市 邳州市 运河街道"</f>
        <v>江苏省 徐州市 邳州市 运河街道</v>
      </c>
      <c r="N4748" s="1" t="str">
        <f t="shared" si="1537"/>
        <v>凡华云仓-城南圆通-抖音</v>
      </c>
      <c r="O4748" s="5" t="s">
        <v>4776</v>
      </c>
      <c r="P4748" s="6">
        <v>0.35</v>
      </c>
      <c r="Q4748" s="11">
        <v>2.2999999999999998</v>
      </c>
      <c r="R4748" s="11"/>
      <c r="S4748" s="11"/>
      <c r="T4748" s="11"/>
      <c r="U4748" s="11">
        <f t="shared" si="1538"/>
        <v>2.2999999999999998</v>
      </c>
      <c r="W4748">
        <v>2.5</v>
      </c>
      <c r="X4748" s="1" t="s">
        <v>13</v>
      </c>
    </row>
    <row r="4749" spans="1:24" x14ac:dyDescent="0.25">
      <c r="A4749" s="1" t="str">
        <f t="shared" si="1539"/>
        <v>卡卡杜-凤凰仓</v>
      </c>
      <c r="B4749" s="1" t="str">
        <f>"CK202410214932"</f>
        <v>CK202410214932</v>
      </c>
      <c r="C4749" s="1" t="str">
        <f>"DD2024102111034"</f>
        <v>DD2024102111034</v>
      </c>
      <c r="D4749" s="1" t="str">
        <f>"CK2024102119649"</f>
        <v>CK2024102119649</v>
      </c>
      <c r="E4749" s="1" t="str">
        <f>"6935265234081420906"</f>
        <v>6935265234081420906</v>
      </c>
      <c r="F4749" s="1" t="str">
        <f t="shared" si="1540"/>
        <v>花都四部-凤凰仓</v>
      </c>
      <c r="G4749" s="1" t="str">
        <f t="shared" si="1535"/>
        <v>卡卡杜个人护理店（抖店）</v>
      </c>
      <c r="H4749" s="1" t="str">
        <f t="shared" si="1541"/>
        <v>正常订单</v>
      </c>
      <c r="I4749" s="1" t="str">
        <f t="shared" si="1542"/>
        <v>已发货</v>
      </c>
      <c r="J4749" s="1" t="str">
        <f t="shared" si="1543"/>
        <v>3</v>
      </c>
      <c r="K4749" s="1">
        <v>2</v>
      </c>
      <c r="L4749" s="1" t="s">
        <v>13</v>
      </c>
      <c r="M4749" s="1" t="str">
        <f>"江苏省 宿迁市 沭阳县 沭城街道"</f>
        <v>江苏省 宿迁市 沭阳县 沭城街道</v>
      </c>
      <c r="N4749" s="1" t="str">
        <f t="shared" si="1537"/>
        <v>凡华云仓-城南圆通-抖音</v>
      </c>
      <c r="O4749" s="5" t="s">
        <v>4777</v>
      </c>
      <c r="P4749" s="6">
        <v>0.35</v>
      </c>
      <c r="Q4749" s="11">
        <v>2.2999999999999998</v>
      </c>
      <c r="R4749" s="11"/>
      <c r="S4749" s="11"/>
      <c r="T4749" s="11"/>
      <c r="U4749" s="11">
        <f t="shared" si="1538"/>
        <v>2.2999999999999998</v>
      </c>
      <c r="W4749">
        <v>2.5</v>
      </c>
      <c r="X4749" s="1" t="s">
        <v>13</v>
      </c>
    </row>
    <row r="4750" spans="1:24" x14ac:dyDescent="0.25">
      <c r="A4750" s="1" t="str">
        <f t="shared" si="1539"/>
        <v>卡卡杜-凤凰仓</v>
      </c>
      <c r="B4750" s="1" t="str">
        <f>"CK202410214931"</f>
        <v>CK202410214931</v>
      </c>
      <c r="C4750" s="1" t="str">
        <f>"DD2024102111035"</f>
        <v>DD2024102111035</v>
      </c>
      <c r="D4750" s="1" t="str">
        <f>"CK2024102119648"</f>
        <v>CK2024102119648</v>
      </c>
      <c r="E4750" s="1" t="str">
        <f>"6935283017064650241"</f>
        <v>6935283017064650241</v>
      </c>
      <c r="F4750" s="1" t="str">
        <f t="shared" si="1540"/>
        <v>花都四部-凤凰仓</v>
      </c>
      <c r="G4750" s="1" t="str">
        <f t="shared" si="1535"/>
        <v>卡卡杜个人护理店（抖店）</v>
      </c>
      <c r="H4750" s="1" t="str">
        <f t="shared" si="1541"/>
        <v>正常订单</v>
      </c>
      <c r="I4750" s="1" t="str">
        <f t="shared" si="1542"/>
        <v>已发货</v>
      </c>
      <c r="J4750" s="1" t="str">
        <f t="shared" si="1543"/>
        <v>3</v>
      </c>
      <c r="K4750" s="1">
        <v>2</v>
      </c>
      <c r="L4750" s="1" t="s">
        <v>13</v>
      </c>
      <c r="M4750" s="1" t="str">
        <f>"江苏省 南通市 如皋市 磨头镇"</f>
        <v>江苏省 南通市 如皋市 磨头镇</v>
      </c>
      <c r="N4750" s="1" t="str">
        <f t="shared" si="1537"/>
        <v>凡华云仓-城南圆通-抖音</v>
      </c>
      <c r="O4750" s="5" t="s">
        <v>4778</v>
      </c>
      <c r="P4750" s="6">
        <v>0.35</v>
      </c>
      <c r="Q4750" s="11">
        <v>2.2999999999999998</v>
      </c>
      <c r="R4750" s="11"/>
      <c r="S4750" s="11"/>
      <c r="T4750" s="11"/>
      <c r="U4750" s="11">
        <f t="shared" si="1538"/>
        <v>2.2999999999999998</v>
      </c>
      <c r="W4750">
        <v>2.5</v>
      </c>
      <c r="X4750" s="1" t="s">
        <v>13</v>
      </c>
    </row>
    <row r="4751" spans="1:24" x14ac:dyDescent="0.25">
      <c r="A4751" s="1" t="str">
        <f t="shared" si="1539"/>
        <v>卡卡杜-凤凰仓</v>
      </c>
      <c r="B4751" s="1" t="str">
        <f>"CK202410214930"</f>
        <v>CK202410214930</v>
      </c>
      <c r="C4751" s="1" t="str">
        <f>"DD2024102111033"</f>
        <v>DD2024102111033</v>
      </c>
      <c r="D4751" s="1" t="str">
        <f>"CK2024102119647"</f>
        <v>CK2024102119647</v>
      </c>
      <c r="E4751" s="1" t="str">
        <f>"6935278586949605005"</f>
        <v>6935278586949605005</v>
      </c>
      <c r="F4751" s="1" t="str">
        <f t="shared" si="1540"/>
        <v>花都四部-凤凰仓</v>
      </c>
      <c r="G4751" s="1" t="str">
        <f t="shared" si="1535"/>
        <v>卡卡杜个人护理店（抖店）</v>
      </c>
      <c r="H4751" s="1" t="str">
        <f t="shared" si="1541"/>
        <v>正常订单</v>
      </c>
      <c r="I4751" s="1" t="str">
        <f t="shared" si="1542"/>
        <v>已发货</v>
      </c>
      <c r="J4751" s="1" t="str">
        <f t="shared" si="1543"/>
        <v>3</v>
      </c>
      <c r="K4751" s="1">
        <v>2</v>
      </c>
      <c r="L4751" s="1" t="s">
        <v>36</v>
      </c>
      <c r="M4751" s="1" t="str">
        <f>"安徽省 蚌埠市 五河县 "</f>
        <v xml:space="preserve">安徽省 蚌埠市 五河县 </v>
      </c>
      <c r="N4751" s="1" t="str">
        <f t="shared" si="1537"/>
        <v>凡华云仓-城南圆通-抖音</v>
      </c>
      <c r="O4751" s="5" t="s">
        <v>4779</v>
      </c>
      <c r="P4751" s="6">
        <v>0.35</v>
      </c>
      <c r="Q4751" s="11">
        <v>2.2999999999999998</v>
      </c>
      <c r="R4751" s="11"/>
      <c r="S4751" s="11"/>
      <c r="T4751" s="11"/>
      <c r="U4751" s="11">
        <f t="shared" si="1538"/>
        <v>2.2999999999999998</v>
      </c>
      <c r="W4751">
        <v>2.5</v>
      </c>
      <c r="X4751" s="1" t="s">
        <v>36</v>
      </c>
    </row>
    <row r="4752" spans="1:24" x14ac:dyDescent="0.25">
      <c r="A4752" s="1" t="str">
        <f t="shared" si="1539"/>
        <v>卡卡杜-凤凰仓</v>
      </c>
      <c r="B4752" s="1" t="str">
        <f>"CK202410214929"</f>
        <v>CK202410214929</v>
      </c>
      <c r="C4752" s="1" t="str">
        <f>"DD2024102111032"</f>
        <v>DD2024102111032</v>
      </c>
      <c r="D4752" s="1" t="str">
        <f>"CK2024102119646"</f>
        <v>CK2024102119646</v>
      </c>
      <c r="E4752" s="1" t="str">
        <f>"6935254101011863279"</f>
        <v>6935254101011863279</v>
      </c>
      <c r="F4752" s="1" t="str">
        <f t="shared" si="1540"/>
        <v>花都四部-凤凰仓</v>
      </c>
      <c r="G4752" s="1" t="str">
        <f t="shared" si="1535"/>
        <v>卡卡杜个人护理店（抖店）</v>
      </c>
      <c r="H4752" s="1" t="str">
        <f t="shared" si="1541"/>
        <v>正常订单</v>
      </c>
      <c r="I4752" s="1" t="str">
        <f t="shared" si="1542"/>
        <v>已发货</v>
      </c>
      <c r="J4752" s="1" t="str">
        <f t="shared" si="1543"/>
        <v>3</v>
      </c>
      <c r="K4752" s="1">
        <v>2</v>
      </c>
      <c r="L4752" s="1" t="s">
        <v>13</v>
      </c>
      <c r="M4752" s="1" t="str">
        <f>"江苏省 扬州市 宝应县 安宜镇"</f>
        <v>江苏省 扬州市 宝应县 安宜镇</v>
      </c>
      <c r="N4752" s="1" t="str">
        <f t="shared" si="1537"/>
        <v>凡华云仓-城南圆通-抖音</v>
      </c>
      <c r="O4752" s="5" t="s">
        <v>4780</v>
      </c>
      <c r="P4752" s="6">
        <v>0.35</v>
      </c>
      <c r="Q4752" s="11">
        <v>2.2999999999999998</v>
      </c>
      <c r="R4752" s="11"/>
      <c r="S4752" s="11"/>
      <c r="T4752" s="11"/>
      <c r="U4752" s="11">
        <f t="shared" si="1538"/>
        <v>2.2999999999999998</v>
      </c>
      <c r="W4752">
        <v>2.5</v>
      </c>
      <c r="X4752" s="1" t="s">
        <v>13</v>
      </c>
    </row>
    <row r="4753" spans="1:24" x14ac:dyDescent="0.25">
      <c r="A4753" s="1" t="str">
        <f t="shared" si="1539"/>
        <v>卡卡杜-凤凰仓</v>
      </c>
      <c r="B4753" s="1" t="str">
        <f>"CK202410214927"</f>
        <v>CK202410214927</v>
      </c>
      <c r="C4753" s="1" t="str">
        <f>"DD2024102111030"</f>
        <v>DD2024102111030</v>
      </c>
      <c r="D4753" s="1" t="str">
        <f>"CK2024102119645"</f>
        <v>CK2024102119645</v>
      </c>
      <c r="E4753" s="1" t="str">
        <f>"6935274323800888685"</f>
        <v>6935274323800888685</v>
      </c>
      <c r="F4753" s="1" t="str">
        <f t="shared" si="1540"/>
        <v>花都四部-凤凰仓</v>
      </c>
      <c r="G4753" s="1" t="str">
        <f t="shared" si="1535"/>
        <v>卡卡杜个人护理店（抖店）</v>
      </c>
      <c r="H4753" s="1" t="str">
        <f t="shared" si="1541"/>
        <v>正常订单</v>
      </c>
      <c r="I4753" s="1" t="str">
        <f t="shared" si="1542"/>
        <v>已发货</v>
      </c>
      <c r="J4753" s="1" t="str">
        <f t="shared" si="1543"/>
        <v>3</v>
      </c>
      <c r="K4753" s="1">
        <v>2</v>
      </c>
      <c r="L4753" s="1" t="s">
        <v>60</v>
      </c>
      <c r="M4753" s="1" t="str">
        <f>"云南省 昆明市 官渡区 "</f>
        <v xml:space="preserve">云南省 昆明市 官渡区 </v>
      </c>
      <c r="N4753" s="1" t="str">
        <f t="shared" si="1537"/>
        <v>凡华云仓-城南圆通-抖音</v>
      </c>
      <c r="O4753" s="5" t="s">
        <v>4781</v>
      </c>
      <c r="P4753" s="6">
        <v>0.35</v>
      </c>
      <c r="Q4753" s="11">
        <v>2.2999999999999998</v>
      </c>
      <c r="R4753" s="11"/>
      <c r="S4753" s="11"/>
      <c r="T4753" s="11"/>
      <c r="U4753" s="11">
        <f t="shared" si="1538"/>
        <v>2.2999999999999998</v>
      </c>
      <c r="W4753">
        <v>2.5</v>
      </c>
      <c r="X4753" s="1" t="s">
        <v>60</v>
      </c>
    </row>
    <row r="4754" spans="1:24" x14ac:dyDescent="0.25">
      <c r="A4754" s="1" t="str">
        <f t="shared" si="1539"/>
        <v>卡卡杜-凤凰仓</v>
      </c>
      <c r="B4754" s="1" t="str">
        <f>"CK202410214921"</f>
        <v>CK202410214921</v>
      </c>
      <c r="C4754" s="1" t="str">
        <f>"DD2024102111024"</f>
        <v>DD2024102111024</v>
      </c>
      <c r="D4754" s="1" t="str">
        <f>"CK2024102119644"</f>
        <v>CK2024102119644</v>
      </c>
      <c r="E4754" s="1" t="str">
        <f>"6935271738533090884"</f>
        <v>6935271738533090884</v>
      </c>
      <c r="F4754" s="1" t="str">
        <f t="shared" si="1540"/>
        <v>花都四部-凤凰仓</v>
      </c>
      <c r="G4754" s="1" t="str">
        <f t="shared" si="1535"/>
        <v>卡卡杜个人护理店（抖店）</v>
      </c>
      <c r="H4754" s="1" t="str">
        <f t="shared" si="1541"/>
        <v>正常订单</v>
      </c>
      <c r="I4754" s="1" t="str">
        <f t="shared" si="1542"/>
        <v>已发货</v>
      </c>
      <c r="J4754" s="1" t="str">
        <f t="shared" si="1543"/>
        <v>3</v>
      </c>
      <c r="K4754" s="1">
        <v>2</v>
      </c>
      <c r="L4754" s="1" t="s">
        <v>32</v>
      </c>
      <c r="M4754" s="1" t="str">
        <f>"陕西省 汉中市 汉台区 中山街街道"</f>
        <v>陕西省 汉中市 汉台区 中山街街道</v>
      </c>
      <c r="N4754" s="1" t="str">
        <f t="shared" si="1537"/>
        <v>凡华云仓-城南圆通-抖音</v>
      </c>
      <c r="O4754" s="5" t="s">
        <v>4782</v>
      </c>
      <c r="P4754" s="6">
        <v>0.35</v>
      </c>
      <c r="Q4754" s="11">
        <v>2.2999999999999998</v>
      </c>
      <c r="R4754" s="11"/>
      <c r="S4754" s="11"/>
      <c r="T4754" s="11"/>
      <c r="U4754" s="11">
        <f t="shared" si="1538"/>
        <v>2.2999999999999998</v>
      </c>
      <c r="W4754">
        <v>2.5</v>
      </c>
      <c r="X4754" s="1" t="s">
        <v>32</v>
      </c>
    </row>
    <row r="4755" spans="1:24" x14ac:dyDescent="0.25">
      <c r="A4755" s="1" t="str">
        <f t="shared" si="1539"/>
        <v>卡卡杜-凤凰仓</v>
      </c>
      <c r="B4755" s="1" t="str">
        <f>"CK202410214926"</f>
        <v>CK202410214926</v>
      </c>
      <c r="C4755" s="1" t="str">
        <f>"DD2024102111029"</f>
        <v>DD2024102111029</v>
      </c>
      <c r="D4755" s="1" t="str">
        <f>"CK2024102119643"</f>
        <v>CK2024102119643</v>
      </c>
      <c r="E4755" s="1" t="str">
        <f>"6935283168193811868"</f>
        <v>6935283168193811868</v>
      </c>
      <c r="F4755" s="1" t="str">
        <f t="shared" si="1540"/>
        <v>花都四部-凤凰仓</v>
      </c>
      <c r="G4755" s="1" t="str">
        <f t="shared" si="1535"/>
        <v>卡卡杜个人护理店（抖店）</v>
      </c>
      <c r="H4755" s="1" t="str">
        <f t="shared" si="1541"/>
        <v>正常订单</v>
      </c>
      <c r="I4755" s="1" t="str">
        <f t="shared" si="1542"/>
        <v>已发货</v>
      </c>
      <c r="J4755" s="1" t="str">
        <f t="shared" si="1543"/>
        <v>3</v>
      </c>
      <c r="K4755" s="1">
        <v>2</v>
      </c>
      <c r="L4755" s="1" t="s">
        <v>13</v>
      </c>
      <c r="M4755" s="1" t="str">
        <f>"江苏省 无锡市 新吴区 旺庄街道"</f>
        <v>江苏省 无锡市 新吴区 旺庄街道</v>
      </c>
      <c r="N4755" s="1" t="str">
        <f t="shared" si="1537"/>
        <v>凡华云仓-城南圆通-抖音</v>
      </c>
      <c r="O4755" s="5" t="s">
        <v>4783</v>
      </c>
      <c r="P4755" s="6">
        <v>0.35</v>
      </c>
      <c r="Q4755" s="11">
        <v>2.2999999999999998</v>
      </c>
      <c r="R4755" s="11"/>
      <c r="S4755" s="11"/>
      <c r="T4755" s="11"/>
      <c r="U4755" s="11">
        <f t="shared" si="1538"/>
        <v>2.2999999999999998</v>
      </c>
      <c r="W4755">
        <v>2.5</v>
      </c>
      <c r="X4755" s="1" t="s">
        <v>13</v>
      </c>
    </row>
    <row r="4756" spans="1:24" x14ac:dyDescent="0.25">
      <c r="A4756" s="1" t="str">
        <f t="shared" si="1539"/>
        <v>卡卡杜-凤凰仓</v>
      </c>
      <c r="B4756" s="1" t="str">
        <f>"CK202410214925"</f>
        <v>CK202410214925</v>
      </c>
      <c r="C4756" s="1" t="str">
        <f>"DD2024102111028"</f>
        <v>DD2024102111028</v>
      </c>
      <c r="D4756" s="1" t="str">
        <f>"CK2024102119642"</f>
        <v>CK2024102119642</v>
      </c>
      <c r="E4756" s="1" t="str">
        <f>"6935271782967481352"</f>
        <v>6935271782967481352</v>
      </c>
      <c r="F4756" s="1" t="str">
        <f t="shared" si="1540"/>
        <v>花都四部-凤凰仓</v>
      </c>
      <c r="G4756" s="1" t="str">
        <f t="shared" si="1535"/>
        <v>卡卡杜个人护理店（抖店）</v>
      </c>
      <c r="H4756" s="1" t="str">
        <f t="shared" si="1541"/>
        <v>正常订单</v>
      </c>
      <c r="I4756" s="1" t="str">
        <f t="shared" si="1542"/>
        <v>已发货</v>
      </c>
      <c r="J4756" s="1" t="str">
        <f t="shared" si="1543"/>
        <v>3</v>
      </c>
      <c r="K4756" s="1">
        <v>2</v>
      </c>
      <c r="L4756" s="1" t="s">
        <v>13</v>
      </c>
      <c r="M4756" s="1" t="str">
        <f>"江苏省 徐州市 新沂市 新安街道"</f>
        <v>江苏省 徐州市 新沂市 新安街道</v>
      </c>
      <c r="N4756" s="1" t="str">
        <f t="shared" si="1537"/>
        <v>凡华云仓-城南圆通-抖音</v>
      </c>
      <c r="O4756" s="5" t="s">
        <v>4784</v>
      </c>
      <c r="P4756" s="6">
        <v>0.35</v>
      </c>
      <c r="Q4756" s="11">
        <v>2.2999999999999998</v>
      </c>
      <c r="R4756" s="11"/>
      <c r="S4756" s="11"/>
      <c r="T4756" s="11"/>
      <c r="U4756" s="11">
        <f t="shared" si="1538"/>
        <v>2.2999999999999998</v>
      </c>
      <c r="W4756">
        <v>2.5</v>
      </c>
      <c r="X4756" s="1" t="s">
        <v>13</v>
      </c>
    </row>
    <row r="4757" spans="1:24" x14ac:dyDescent="0.25">
      <c r="A4757" s="1" t="str">
        <f t="shared" si="1539"/>
        <v>卡卡杜-凤凰仓</v>
      </c>
      <c r="B4757" s="1" t="str">
        <f>"CK202410214924"</f>
        <v>CK202410214924</v>
      </c>
      <c r="C4757" s="1" t="str">
        <f>"DD2024102111027"</f>
        <v>DD2024102111027</v>
      </c>
      <c r="D4757" s="1" t="str">
        <f>"CK2024102119641"</f>
        <v>CK2024102119641</v>
      </c>
      <c r="E4757" s="1" t="str">
        <f>"6935276272449951325"</f>
        <v>6935276272449951325</v>
      </c>
      <c r="F4757" s="1" t="str">
        <f t="shared" si="1540"/>
        <v>花都四部-凤凰仓</v>
      </c>
      <c r="G4757" s="1" t="str">
        <f t="shared" si="1535"/>
        <v>卡卡杜个人护理店（抖店）</v>
      </c>
      <c r="H4757" s="1" t="str">
        <f t="shared" si="1541"/>
        <v>正常订单</v>
      </c>
      <c r="I4757" s="1" t="str">
        <f t="shared" si="1542"/>
        <v>已发货</v>
      </c>
      <c r="J4757" s="1" t="str">
        <f t="shared" si="1543"/>
        <v>3</v>
      </c>
      <c r="K4757" s="1">
        <v>2</v>
      </c>
      <c r="L4757" s="1" t="s">
        <v>41</v>
      </c>
      <c r="M4757" s="1" t="str">
        <f>"湖北省 十堰市 房县 城关镇"</f>
        <v>湖北省 十堰市 房县 城关镇</v>
      </c>
      <c r="N4757" s="1" t="str">
        <f t="shared" si="1537"/>
        <v>凡华云仓-城南圆通-抖音</v>
      </c>
      <c r="O4757" s="5" t="s">
        <v>4785</v>
      </c>
      <c r="P4757" s="6">
        <v>0.35</v>
      </c>
      <c r="Q4757" s="11">
        <v>2.2999999999999998</v>
      </c>
      <c r="R4757" s="11"/>
      <c r="S4757" s="11"/>
      <c r="T4757" s="11"/>
      <c r="U4757" s="11">
        <f t="shared" si="1538"/>
        <v>2.2999999999999998</v>
      </c>
      <c r="W4757">
        <v>2.5</v>
      </c>
      <c r="X4757" s="1" t="s">
        <v>41</v>
      </c>
    </row>
    <row r="4758" spans="1:24" x14ac:dyDescent="0.25">
      <c r="A4758" s="1" t="str">
        <f t="shared" si="1539"/>
        <v>卡卡杜-凤凰仓</v>
      </c>
      <c r="B4758" s="1" t="str">
        <f>"CK202410214920"</f>
        <v>CK202410214920</v>
      </c>
      <c r="C4758" s="1" t="str">
        <f>"DD2024102111023"</f>
        <v>DD2024102111023</v>
      </c>
      <c r="D4758" s="1" t="str">
        <f>"CK2024102119640"</f>
        <v>CK2024102119640</v>
      </c>
      <c r="E4758" s="1" t="str">
        <f>"6935258634901460739"</f>
        <v>6935258634901460739</v>
      </c>
      <c r="F4758" s="1" t="str">
        <f t="shared" si="1540"/>
        <v>花都四部-凤凰仓</v>
      </c>
      <c r="G4758" s="1" t="str">
        <f t="shared" si="1535"/>
        <v>卡卡杜个人护理店（抖店）</v>
      </c>
      <c r="H4758" s="1" t="str">
        <f t="shared" si="1541"/>
        <v>正常订单</v>
      </c>
      <c r="I4758" s="1" t="str">
        <f t="shared" si="1542"/>
        <v>已发货</v>
      </c>
      <c r="J4758" s="1" t="str">
        <f t="shared" si="1543"/>
        <v>3</v>
      </c>
      <c r="K4758" s="1">
        <v>2</v>
      </c>
      <c r="L4758" s="1" t="s">
        <v>36</v>
      </c>
      <c r="M4758" s="1" t="str">
        <f>"安徽省 蚌埠市 固镇县 城关镇"</f>
        <v>安徽省 蚌埠市 固镇县 城关镇</v>
      </c>
      <c r="N4758" s="1" t="str">
        <f t="shared" si="1537"/>
        <v>凡华云仓-城南圆通-抖音</v>
      </c>
      <c r="O4758" s="5" t="s">
        <v>4786</v>
      </c>
      <c r="P4758" s="6">
        <v>0.35</v>
      </c>
      <c r="Q4758" s="11">
        <v>2.2999999999999998</v>
      </c>
      <c r="R4758" s="11"/>
      <c r="S4758" s="11"/>
      <c r="T4758" s="11"/>
      <c r="U4758" s="11">
        <f t="shared" si="1538"/>
        <v>2.2999999999999998</v>
      </c>
      <c r="W4758">
        <v>2.5</v>
      </c>
      <c r="X4758" s="1" t="s">
        <v>36</v>
      </c>
    </row>
    <row r="4759" spans="1:24" x14ac:dyDescent="0.25">
      <c r="A4759" s="1" t="str">
        <f t="shared" si="1539"/>
        <v>卡卡杜-凤凰仓</v>
      </c>
      <c r="B4759" s="1" t="str">
        <f>"CK202410214913"</f>
        <v>CK202410214913</v>
      </c>
      <c r="C4759" s="1" t="str">
        <f>"DD2024102111017"</f>
        <v>DD2024102111017</v>
      </c>
      <c r="D4759" s="1" t="str">
        <f>"CK2024102119639"</f>
        <v>CK2024102119639</v>
      </c>
      <c r="E4759" s="1" t="str">
        <f>"6935271821274780685"</f>
        <v>6935271821274780685</v>
      </c>
      <c r="F4759" s="1" t="str">
        <f t="shared" si="1540"/>
        <v>花都四部-凤凰仓</v>
      </c>
      <c r="G4759" s="1" t="str">
        <f t="shared" si="1535"/>
        <v>卡卡杜个人护理店（抖店）</v>
      </c>
      <c r="H4759" s="1" t="str">
        <f t="shared" si="1541"/>
        <v>正常订单</v>
      </c>
      <c r="I4759" s="1" t="str">
        <f t="shared" si="1542"/>
        <v>已发货</v>
      </c>
      <c r="J4759" s="1" t="str">
        <f t="shared" si="1543"/>
        <v>3</v>
      </c>
      <c r="K4759" s="1">
        <v>2</v>
      </c>
      <c r="L4759" s="1" t="s">
        <v>30</v>
      </c>
      <c r="M4759" s="1" t="str">
        <f>"山东省 济南市 槐荫区 西市场街道"</f>
        <v>山东省 济南市 槐荫区 西市场街道</v>
      </c>
      <c r="N4759" s="1" t="str">
        <f t="shared" si="1537"/>
        <v>凡华云仓-城南圆通-抖音</v>
      </c>
      <c r="O4759" s="5" t="s">
        <v>4787</v>
      </c>
      <c r="P4759" s="6">
        <v>0.35</v>
      </c>
      <c r="Q4759" s="11">
        <v>2.2999999999999998</v>
      </c>
      <c r="R4759" s="11"/>
      <c r="S4759" s="11"/>
      <c r="T4759" s="11"/>
      <c r="U4759" s="11">
        <f t="shared" si="1538"/>
        <v>2.2999999999999998</v>
      </c>
      <c r="W4759">
        <v>2.5</v>
      </c>
      <c r="X4759" s="1" t="s">
        <v>30</v>
      </c>
    </row>
    <row r="4760" spans="1:24" x14ac:dyDescent="0.25">
      <c r="A4760" s="1" t="str">
        <f t="shared" si="1539"/>
        <v>卡卡杜-凤凰仓</v>
      </c>
      <c r="B4760" s="1" t="str">
        <f>"CK202410214908"</f>
        <v>CK202410214908</v>
      </c>
      <c r="C4760" s="1" t="str">
        <f>"DD2024102111011"</f>
        <v>DD2024102111011</v>
      </c>
      <c r="D4760" s="1" t="str">
        <f>"CK2024102119638"</f>
        <v>CK2024102119638</v>
      </c>
      <c r="E4760" s="1" t="str">
        <f>"6935262762293532593"</f>
        <v>6935262762293532593</v>
      </c>
      <c r="F4760" s="1" t="str">
        <f t="shared" si="1540"/>
        <v>花都四部-凤凰仓</v>
      </c>
      <c r="G4760" s="1" t="str">
        <f t="shared" si="1535"/>
        <v>卡卡杜个人护理店（抖店）</v>
      </c>
      <c r="H4760" s="1" t="str">
        <f t="shared" si="1541"/>
        <v>正常订单</v>
      </c>
      <c r="I4760" s="1" t="str">
        <f t="shared" si="1542"/>
        <v>已发货</v>
      </c>
      <c r="J4760" s="1" t="str">
        <f t="shared" si="1543"/>
        <v>3</v>
      </c>
      <c r="K4760" s="1">
        <v>2</v>
      </c>
      <c r="L4760" s="1" t="s">
        <v>20</v>
      </c>
      <c r="M4760" s="1" t="str">
        <f>"浙江省 金华市 义乌市 江东街道"</f>
        <v>浙江省 金华市 义乌市 江东街道</v>
      </c>
      <c r="N4760" s="1" t="str">
        <f t="shared" si="1537"/>
        <v>凡华云仓-城南圆通-抖音</v>
      </c>
      <c r="O4760" s="5" t="s">
        <v>4788</v>
      </c>
      <c r="P4760" s="6">
        <v>0.35</v>
      </c>
      <c r="Q4760" s="11">
        <v>2.2999999999999998</v>
      </c>
      <c r="R4760" s="11"/>
      <c r="S4760" s="11"/>
      <c r="T4760" s="11"/>
      <c r="U4760" s="11">
        <f t="shared" si="1538"/>
        <v>2.2999999999999998</v>
      </c>
      <c r="W4760">
        <v>2.5</v>
      </c>
      <c r="X4760" s="1" t="s">
        <v>20</v>
      </c>
    </row>
    <row r="4761" spans="1:24" x14ac:dyDescent="0.25">
      <c r="A4761" s="1" t="str">
        <f t="shared" si="1539"/>
        <v>卡卡杜-凤凰仓</v>
      </c>
      <c r="B4761" s="1" t="str">
        <f>"CK202410214918"</f>
        <v>CK202410214918</v>
      </c>
      <c r="C4761" s="1" t="str">
        <f>"DD2024102111021"</f>
        <v>DD2024102111021</v>
      </c>
      <c r="D4761" s="1" t="str">
        <f>"CK2024102119637"</f>
        <v>CK2024102119637</v>
      </c>
      <c r="E4761" s="1" t="str">
        <f>"6935274245615785935"</f>
        <v>6935274245615785935</v>
      </c>
      <c r="F4761" s="1" t="str">
        <f t="shared" si="1540"/>
        <v>花都四部-凤凰仓</v>
      </c>
      <c r="G4761" s="1" t="str">
        <f t="shared" si="1535"/>
        <v>卡卡杜个人护理店（抖店）</v>
      </c>
      <c r="H4761" s="1" t="str">
        <f t="shared" si="1541"/>
        <v>正常订单</v>
      </c>
      <c r="I4761" s="1" t="str">
        <f t="shared" si="1542"/>
        <v>已发货</v>
      </c>
      <c r="J4761" s="1" t="str">
        <f t="shared" si="1543"/>
        <v>3</v>
      </c>
      <c r="K4761" s="1">
        <v>2</v>
      </c>
      <c r="L4761" s="1" t="s">
        <v>20</v>
      </c>
      <c r="M4761" s="1" t="str">
        <f>"浙江省 温州市 乐清市 翁垟街道"</f>
        <v>浙江省 温州市 乐清市 翁垟街道</v>
      </c>
      <c r="N4761" s="1" t="str">
        <f t="shared" si="1537"/>
        <v>凡华云仓-城南圆通-抖音</v>
      </c>
      <c r="O4761" s="5" t="s">
        <v>4789</v>
      </c>
      <c r="P4761" s="6">
        <v>0.35</v>
      </c>
      <c r="Q4761" s="11">
        <v>2.2999999999999998</v>
      </c>
      <c r="R4761" s="11"/>
      <c r="S4761" s="11"/>
      <c r="T4761" s="11"/>
      <c r="U4761" s="11">
        <f t="shared" si="1538"/>
        <v>2.2999999999999998</v>
      </c>
      <c r="W4761">
        <v>2.5</v>
      </c>
      <c r="X4761" s="1" t="s">
        <v>20</v>
      </c>
    </row>
    <row r="4762" spans="1:24" x14ac:dyDescent="0.25">
      <c r="A4762" s="1" t="str">
        <f t="shared" si="1539"/>
        <v>卡卡杜-凤凰仓</v>
      </c>
      <c r="B4762" s="1" t="str">
        <f>"CK202410214912"</f>
        <v>CK202410214912</v>
      </c>
      <c r="C4762" s="1" t="str">
        <f>"DD2024102111015"</f>
        <v>DD2024102111015</v>
      </c>
      <c r="D4762" s="1" t="str">
        <f>"CK2024102119636"</f>
        <v>CK2024102119636</v>
      </c>
      <c r="E4762" s="1" t="str">
        <f>"6935271652025767585"</f>
        <v>6935271652025767585</v>
      </c>
      <c r="F4762" s="1" t="str">
        <f t="shared" si="1540"/>
        <v>花都四部-凤凰仓</v>
      </c>
      <c r="G4762" s="1" t="str">
        <f t="shared" si="1535"/>
        <v>卡卡杜个人护理店（抖店）</v>
      </c>
      <c r="H4762" s="1" t="str">
        <f t="shared" si="1541"/>
        <v>正常订单</v>
      </c>
      <c r="I4762" s="1" t="str">
        <f t="shared" si="1542"/>
        <v>已发货</v>
      </c>
      <c r="J4762" s="1" t="str">
        <f t="shared" si="1543"/>
        <v>3</v>
      </c>
      <c r="K4762" s="1">
        <v>2</v>
      </c>
      <c r="L4762" s="1" t="s">
        <v>30</v>
      </c>
      <c r="M4762" s="1" t="str">
        <f>"山东省 菏泽市 成武县 永昌街道"</f>
        <v>山东省 菏泽市 成武县 永昌街道</v>
      </c>
      <c r="N4762" s="1" t="str">
        <f t="shared" si="1537"/>
        <v>凡华云仓-城南圆通-抖音</v>
      </c>
      <c r="O4762" s="5" t="s">
        <v>4790</v>
      </c>
      <c r="P4762" s="6">
        <v>0.35</v>
      </c>
      <c r="Q4762" s="11">
        <v>2.2999999999999998</v>
      </c>
      <c r="R4762" s="11"/>
      <c r="S4762" s="11"/>
      <c r="T4762" s="11"/>
      <c r="U4762" s="11">
        <f t="shared" si="1538"/>
        <v>2.2999999999999998</v>
      </c>
      <c r="W4762">
        <v>2.5</v>
      </c>
      <c r="X4762" s="1" t="s">
        <v>30</v>
      </c>
    </row>
    <row r="4763" spans="1:24" x14ac:dyDescent="0.25">
      <c r="A4763" s="1" t="str">
        <f t="shared" si="1539"/>
        <v>卡卡杜-凤凰仓</v>
      </c>
      <c r="B4763" s="1" t="str">
        <f>"CK202410214906"</f>
        <v>CK202410214906</v>
      </c>
      <c r="C4763" s="1" t="str">
        <f>"DD2024102111009"</f>
        <v>DD2024102111009</v>
      </c>
      <c r="D4763" s="1" t="str">
        <f>"CK2024102119635"</f>
        <v>CK2024102119635</v>
      </c>
      <c r="E4763" s="1" t="str">
        <f>"6935267250247832938"</f>
        <v>6935267250247832938</v>
      </c>
      <c r="F4763" s="1" t="str">
        <f t="shared" si="1540"/>
        <v>花都四部-凤凰仓</v>
      </c>
      <c r="G4763" s="1" t="str">
        <f t="shared" si="1535"/>
        <v>卡卡杜个人护理店（抖店）</v>
      </c>
      <c r="H4763" s="1" t="str">
        <f t="shared" si="1541"/>
        <v>正常订单</v>
      </c>
      <c r="I4763" s="1" t="str">
        <f t="shared" si="1542"/>
        <v>已发货</v>
      </c>
      <c r="J4763" s="1" t="str">
        <f t="shared" si="1543"/>
        <v>3</v>
      </c>
      <c r="K4763" s="1">
        <v>2</v>
      </c>
      <c r="L4763" s="1" t="s">
        <v>22</v>
      </c>
      <c r="M4763" s="1" t="str">
        <f>"江西省 上饶市 余干县 玉亭镇"</f>
        <v>江西省 上饶市 余干县 玉亭镇</v>
      </c>
      <c r="N4763" s="1" t="str">
        <f t="shared" si="1537"/>
        <v>凡华云仓-城南圆通-抖音</v>
      </c>
      <c r="O4763" s="5" t="s">
        <v>4791</v>
      </c>
      <c r="P4763" s="6">
        <v>0.35</v>
      </c>
      <c r="Q4763" s="11">
        <v>2.2999999999999998</v>
      </c>
      <c r="R4763" s="11"/>
      <c r="S4763" s="11"/>
      <c r="T4763" s="11"/>
      <c r="U4763" s="11">
        <f t="shared" si="1538"/>
        <v>2.2999999999999998</v>
      </c>
      <c r="W4763">
        <v>2.5</v>
      </c>
      <c r="X4763" s="1" t="s">
        <v>22</v>
      </c>
    </row>
    <row r="4764" spans="1:24" x14ac:dyDescent="0.25">
      <c r="A4764" s="1" t="str">
        <f t="shared" si="1539"/>
        <v>卡卡杜-凤凰仓</v>
      </c>
      <c r="B4764" s="1" t="str">
        <f>"CK202410214911"</f>
        <v>CK202410214911</v>
      </c>
      <c r="C4764" s="1" t="str">
        <f>"DD2024102111013"</f>
        <v>DD2024102111013</v>
      </c>
      <c r="D4764" s="1" t="str">
        <f>"CK2024102119634"</f>
        <v>CK2024102119634</v>
      </c>
      <c r="E4764" s="1" t="str">
        <f>"6935280487557108908"</f>
        <v>6935280487557108908</v>
      </c>
      <c r="F4764" s="1" t="str">
        <f t="shared" si="1540"/>
        <v>花都四部-凤凰仓</v>
      </c>
      <c r="G4764" s="1" t="str">
        <f t="shared" si="1535"/>
        <v>卡卡杜个人护理店（抖店）</v>
      </c>
      <c r="H4764" s="1" t="str">
        <f t="shared" si="1541"/>
        <v>正常订单</v>
      </c>
      <c r="I4764" s="1" t="str">
        <f t="shared" si="1542"/>
        <v>已发货</v>
      </c>
      <c r="J4764" s="1" t="str">
        <f t="shared" si="1543"/>
        <v>3</v>
      </c>
      <c r="K4764" s="1">
        <v>2</v>
      </c>
      <c r="L4764" s="1" t="s">
        <v>13</v>
      </c>
      <c r="M4764" s="1" t="str">
        <f>"江苏省 徐州市 新沂市 新安街道"</f>
        <v>江苏省 徐州市 新沂市 新安街道</v>
      </c>
      <c r="N4764" s="1" t="str">
        <f t="shared" si="1537"/>
        <v>凡华云仓-城南圆通-抖音</v>
      </c>
      <c r="O4764" s="5" t="s">
        <v>4792</v>
      </c>
      <c r="P4764" s="6">
        <v>0.35</v>
      </c>
      <c r="Q4764" s="11">
        <v>2.2999999999999998</v>
      </c>
      <c r="R4764" s="11"/>
      <c r="S4764" s="11"/>
      <c r="T4764" s="11"/>
      <c r="U4764" s="11">
        <f t="shared" si="1538"/>
        <v>2.2999999999999998</v>
      </c>
      <c r="W4764">
        <v>2.5</v>
      </c>
      <c r="X4764" s="1" t="s">
        <v>13</v>
      </c>
    </row>
    <row r="4765" spans="1:24" x14ac:dyDescent="0.25">
      <c r="A4765" s="1" t="str">
        <f t="shared" si="1539"/>
        <v>卡卡杜-凤凰仓</v>
      </c>
      <c r="B4765" s="1" t="str">
        <f>"CK202410214910"</f>
        <v>CK202410214910</v>
      </c>
      <c r="C4765" s="1" t="str">
        <f>"DD2024102111012"</f>
        <v>DD2024102111012</v>
      </c>
      <c r="D4765" s="1" t="str">
        <f>"CK2024102119633"</f>
        <v>CK2024102119633</v>
      </c>
      <c r="E4765" s="1" t="str">
        <f>"6935265164141073664"</f>
        <v>6935265164141073664</v>
      </c>
      <c r="F4765" s="1" t="str">
        <f t="shared" si="1540"/>
        <v>花都四部-凤凰仓</v>
      </c>
      <c r="G4765" s="1" t="str">
        <f t="shared" si="1535"/>
        <v>卡卡杜个人护理店（抖店）</v>
      </c>
      <c r="H4765" s="1" t="str">
        <f t="shared" si="1541"/>
        <v>正常订单</v>
      </c>
      <c r="I4765" s="1" t="str">
        <f t="shared" si="1542"/>
        <v>已发货</v>
      </c>
      <c r="J4765" s="1" t="str">
        <f t="shared" si="1543"/>
        <v>3</v>
      </c>
      <c r="K4765" s="1">
        <v>2</v>
      </c>
      <c r="L4765" s="1" t="s">
        <v>32</v>
      </c>
      <c r="M4765" s="1" t="str">
        <f>"陕西省 渭南市 澄城县 庄头镇"</f>
        <v>陕西省 渭南市 澄城县 庄头镇</v>
      </c>
      <c r="N4765" s="1" t="str">
        <f t="shared" si="1537"/>
        <v>凡华云仓-城南圆通-抖音</v>
      </c>
      <c r="O4765" s="5" t="s">
        <v>4793</v>
      </c>
      <c r="P4765" s="6">
        <v>0.35</v>
      </c>
      <c r="Q4765" s="11">
        <v>2.2999999999999998</v>
      </c>
      <c r="R4765" s="11"/>
      <c r="S4765" s="11"/>
      <c r="T4765" s="11"/>
      <c r="U4765" s="11">
        <f t="shared" si="1538"/>
        <v>2.2999999999999998</v>
      </c>
      <c r="W4765">
        <v>2.5</v>
      </c>
      <c r="X4765" s="1" t="s">
        <v>32</v>
      </c>
    </row>
    <row r="4766" spans="1:24" x14ac:dyDescent="0.25">
      <c r="A4766" s="1" t="str">
        <f t="shared" si="1539"/>
        <v>卡卡杜-凤凰仓</v>
      </c>
      <c r="B4766" s="1" t="str">
        <f>"CK202410214864"</f>
        <v>CK202410214864</v>
      </c>
      <c r="C4766" s="1" t="str">
        <f>"DD2024102110967"</f>
        <v>DD2024102110967</v>
      </c>
      <c r="D4766" s="1" t="str">
        <f>"CK2024102119632"</f>
        <v>CK2024102119632</v>
      </c>
      <c r="E4766" s="1" t="str">
        <f>"6935271507632527076"</f>
        <v>6935271507632527076</v>
      </c>
      <c r="F4766" s="1" t="str">
        <f t="shared" si="1540"/>
        <v>花都四部-凤凰仓</v>
      </c>
      <c r="G4766" s="1" t="str">
        <f t="shared" si="1535"/>
        <v>卡卡杜个人护理店（抖店）</v>
      </c>
      <c r="H4766" s="1" t="str">
        <f t="shared" si="1541"/>
        <v>正常订单</v>
      </c>
      <c r="I4766" s="1" t="str">
        <f t="shared" si="1542"/>
        <v>已发货</v>
      </c>
      <c r="J4766" s="1" t="str">
        <f t="shared" si="1543"/>
        <v>3</v>
      </c>
      <c r="K4766" s="1">
        <v>2</v>
      </c>
      <c r="L4766" s="1" t="s">
        <v>36</v>
      </c>
      <c r="M4766" s="1" t="str">
        <f>"安徽省 阜阳市 颍州区 清河街道"</f>
        <v>安徽省 阜阳市 颍州区 清河街道</v>
      </c>
      <c r="N4766" s="1" t="str">
        <f t="shared" si="1537"/>
        <v>凡华云仓-城南圆通-抖音</v>
      </c>
      <c r="O4766" s="5" t="s">
        <v>4794</v>
      </c>
      <c r="P4766" s="6">
        <v>0.35</v>
      </c>
      <c r="Q4766" s="11">
        <v>2.2999999999999998</v>
      </c>
      <c r="R4766" s="11"/>
      <c r="S4766" s="11"/>
      <c r="T4766" s="11"/>
      <c r="U4766" s="11">
        <f t="shared" si="1538"/>
        <v>2.2999999999999998</v>
      </c>
      <c r="W4766">
        <v>2.5</v>
      </c>
      <c r="X4766" s="1" t="s">
        <v>36</v>
      </c>
    </row>
    <row r="4767" spans="1:24" x14ac:dyDescent="0.25">
      <c r="A4767" s="1" t="str">
        <f t="shared" si="1539"/>
        <v>卡卡杜-凤凰仓</v>
      </c>
      <c r="B4767" s="1" t="str">
        <f>"CK202410214867"</f>
        <v>CK202410214867</v>
      </c>
      <c r="C4767" s="1" t="str">
        <f>"DD2024102110970"</f>
        <v>DD2024102110970</v>
      </c>
      <c r="D4767" s="1" t="str">
        <f>"CK2024102119631"</f>
        <v>CK2024102119631</v>
      </c>
      <c r="E4767" s="1" t="str">
        <f>"6935256185448436961"</f>
        <v>6935256185448436961</v>
      </c>
      <c r="F4767" s="1" t="str">
        <f t="shared" si="1540"/>
        <v>花都四部-凤凰仓</v>
      </c>
      <c r="G4767" s="1" t="str">
        <f t="shared" si="1535"/>
        <v>卡卡杜个人护理店（抖店）</v>
      </c>
      <c r="H4767" s="1" t="str">
        <f t="shared" si="1541"/>
        <v>正常订单</v>
      </c>
      <c r="I4767" s="1" t="str">
        <f t="shared" si="1542"/>
        <v>已发货</v>
      </c>
      <c r="J4767" s="1" t="str">
        <f t="shared" si="1543"/>
        <v>3</v>
      </c>
      <c r="K4767" s="1">
        <v>2</v>
      </c>
      <c r="L4767" s="1" t="s">
        <v>30</v>
      </c>
      <c r="M4767" s="1" t="str">
        <f>"山东省 枣庄市 峄城区 坛山街道"</f>
        <v>山东省 枣庄市 峄城区 坛山街道</v>
      </c>
      <c r="N4767" s="1" t="str">
        <f t="shared" si="1537"/>
        <v>凡华云仓-城南圆通-抖音</v>
      </c>
      <c r="O4767" s="5" t="s">
        <v>4795</v>
      </c>
      <c r="P4767" s="6">
        <v>0.35</v>
      </c>
      <c r="Q4767" s="11">
        <v>2.2999999999999998</v>
      </c>
      <c r="R4767" s="11"/>
      <c r="S4767" s="11"/>
      <c r="T4767" s="11"/>
      <c r="U4767" s="11">
        <f t="shared" si="1538"/>
        <v>2.2999999999999998</v>
      </c>
      <c r="W4767">
        <v>2.5</v>
      </c>
      <c r="X4767" s="1" t="s">
        <v>30</v>
      </c>
    </row>
    <row r="4768" spans="1:24" x14ac:dyDescent="0.25">
      <c r="A4768" s="1" t="str">
        <f t="shared" si="1539"/>
        <v>卡卡杜-凤凰仓</v>
      </c>
      <c r="B4768" s="1" t="str">
        <f>"CK202410214880"</f>
        <v>CK202410214880</v>
      </c>
      <c r="C4768" s="1" t="str">
        <f>"DD2024102110982"</f>
        <v>DD2024102110982</v>
      </c>
      <c r="D4768" s="1" t="str">
        <f>"CK2024102119630"</f>
        <v>CK2024102119630</v>
      </c>
      <c r="E4768" s="1" t="str">
        <f>"6935258391086307037"</f>
        <v>6935258391086307037</v>
      </c>
      <c r="F4768" s="1" t="str">
        <f t="shared" si="1540"/>
        <v>花都四部-凤凰仓</v>
      </c>
      <c r="G4768" s="1" t="str">
        <f t="shared" si="1535"/>
        <v>卡卡杜个人护理店（抖店）</v>
      </c>
      <c r="H4768" s="1" t="str">
        <f t="shared" si="1541"/>
        <v>正常订单</v>
      </c>
      <c r="I4768" s="1" t="str">
        <f t="shared" si="1542"/>
        <v>已发货</v>
      </c>
      <c r="J4768" s="1" t="str">
        <f t="shared" si="1543"/>
        <v>3</v>
      </c>
      <c r="K4768" s="1">
        <v>2</v>
      </c>
      <c r="L4768" s="1" t="s">
        <v>13</v>
      </c>
      <c r="M4768" s="1" t="str">
        <f>"江苏省 徐州市 邳州市 东湖街道"</f>
        <v>江苏省 徐州市 邳州市 东湖街道</v>
      </c>
      <c r="N4768" s="1" t="str">
        <f t="shared" si="1537"/>
        <v>凡华云仓-城南圆通-抖音</v>
      </c>
      <c r="O4768" s="5" t="s">
        <v>4796</v>
      </c>
      <c r="P4768" s="6">
        <v>0.35</v>
      </c>
      <c r="Q4768" s="11">
        <v>2.2999999999999998</v>
      </c>
      <c r="R4768" s="11"/>
      <c r="S4768" s="11"/>
      <c r="T4768" s="11"/>
      <c r="U4768" s="11">
        <f t="shared" si="1538"/>
        <v>2.2999999999999998</v>
      </c>
      <c r="W4768">
        <v>2.5</v>
      </c>
      <c r="X4768" s="1" t="s">
        <v>13</v>
      </c>
    </row>
    <row r="4769" spans="1:24" x14ac:dyDescent="0.25">
      <c r="A4769" s="1" t="str">
        <f t="shared" si="1539"/>
        <v>卡卡杜-凤凰仓</v>
      </c>
      <c r="B4769" s="1" t="str">
        <f>"CK202410214878"</f>
        <v>CK202410214878</v>
      </c>
      <c r="C4769" s="1" t="str">
        <f>"DD2024102110981"</f>
        <v>DD2024102110981</v>
      </c>
      <c r="D4769" s="1" t="str">
        <f>"CK2024102119629"</f>
        <v>CK2024102119629</v>
      </c>
      <c r="E4769" s="1" t="str">
        <f>"6935253843536189155"</f>
        <v>6935253843536189155</v>
      </c>
      <c r="F4769" s="1" t="str">
        <f t="shared" si="1540"/>
        <v>花都四部-凤凰仓</v>
      </c>
      <c r="G4769" s="1" t="str">
        <f t="shared" si="1535"/>
        <v>卡卡杜个人护理店（抖店）</v>
      </c>
      <c r="H4769" s="1" t="str">
        <f t="shared" si="1541"/>
        <v>正常订单</v>
      </c>
      <c r="I4769" s="1" t="str">
        <f t="shared" si="1542"/>
        <v>已发货</v>
      </c>
      <c r="J4769" s="1" t="str">
        <f t="shared" si="1543"/>
        <v>3</v>
      </c>
      <c r="K4769" s="1">
        <v>2</v>
      </c>
      <c r="L4769" s="1" t="s">
        <v>47</v>
      </c>
      <c r="M4769" s="1" t="str">
        <f>"重庆 重庆市 铜梁区 东城街道"</f>
        <v>重庆 重庆市 铜梁区 东城街道</v>
      </c>
      <c r="N4769" s="1" t="str">
        <f t="shared" si="1537"/>
        <v>凡华云仓-城南圆通-抖音</v>
      </c>
      <c r="O4769" s="5" t="s">
        <v>4797</v>
      </c>
      <c r="P4769" s="6">
        <v>0.35</v>
      </c>
      <c r="Q4769" s="11">
        <v>2.2999999999999998</v>
      </c>
      <c r="R4769" s="11"/>
      <c r="S4769" s="11"/>
      <c r="T4769" s="11"/>
      <c r="U4769" s="11">
        <f t="shared" si="1538"/>
        <v>2.2999999999999998</v>
      </c>
      <c r="W4769">
        <v>2.5</v>
      </c>
      <c r="X4769" s="1" t="s">
        <v>47</v>
      </c>
    </row>
    <row r="4770" spans="1:24" x14ac:dyDescent="0.25">
      <c r="A4770" s="1" t="str">
        <f t="shared" si="1539"/>
        <v>卡卡杜-凤凰仓</v>
      </c>
      <c r="B4770" s="1" t="str">
        <f>"CK202410214882"</f>
        <v>CK202410214882</v>
      </c>
      <c r="C4770" s="1" t="str">
        <f>"DD2024102110985"</f>
        <v>DD2024102110985</v>
      </c>
      <c r="D4770" s="1" t="str">
        <f>"CK2024102119628"</f>
        <v>CK2024102119628</v>
      </c>
      <c r="E4770" s="1" t="str">
        <f>"6935278239478519462"</f>
        <v>6935278239478519462</v>
      </c>
      <c r="F4770" s="1" t="str">
        <f t="shared" si="1540"/>
        <v>花都四部-凤凰仓</v>
      </c>
      <c r="G4770" s="1" t="str">
        <f t="shared" si="1535"/>
        <v>卡卡杜个人护理店（抖店）</v>
      </c>
      <c r="H4770" s="1" t="str">
        <f t="shared" si="1541"/>
        <v>正常订单</v>
      </c>
      <c r="I4770" s="1" t="str">
        <f t="shared" si="1542"/>
        <v>已发货</v>
      </c>
      <c r="J4770" s="1" t="str">
        <f t="shared" si="1543"/>
        <v>3</v>
      </c>
      <c r="K4770" s="1">
        <v>2</v>
      </c>
      <c r="L4770" s="1" t="s">
        <v>20</v>
      </c>
      <c r="M4770" s="1" t="str">
        <f>"浙江省 杭州市 萧山区 新塘街道"</f>
        <v>浙江省 杭州市 萧山区 新塘街道</v>
      </c>
      <c r="N4770" s="1" t="str">
        <f t="shared" si="1537"/>
        <v>凡华云仓-城南圆通-抖音</v>
      </c>
      <c r="O4770" s="5" t="s">
        <v>4798</v>
      </c>
      <c r="P4770" s="6">
        <v>0.35</v>
      </c>
      <c r="Q4770" s="11">
        <v>2.2999999999999998</v>
      </c>
      <c r="R4770" s="11"/>
      <c r="S4770" s="11"/>
      <c r="T4770" s="11"/>
      <c r="U4770" s="11">
        <f t="shared" si="1538"/>
        <v>2.2999999999999998</v>
      </c>
      <c r="W4770">
        <v>2.5</v>
      </c>
      <c r="X4770" s="1" t="s">
        <v>20</v>
      </c>
    </row>
    <row r="4771" spans="1:24" x14ac:dyDescent="0.25">
      <c r="A4771" s="1" t="str">
        <f t="shared" si="1539"/>
        <v>卡卡杜-凤凰仓</v>
      </c>
      <c r="B4771" s="1" t="str">
        <f>"CK202410215103"</f>
        <v>CK202410215103</v>
      </c>
      <c r="C4771" s="1" t="str">
        <f>"DD2024102111211"</f>
        <v>DD2024102111211</v>
      </c>
      <c r="D4771" s="1" t="str">
        <f>"CK2024102119627"</f>
        <v>CK2024102119627</v>
      </c>
      <c r="E4771" s="1" t="str">
        <f>"6935260259467072794"</f>
        <v>6935260259467072794</v>
      </c>
      <c r="F4771" s="1" t="str">
        <f t="shared" si="1540"/>
        <v>花都四部-凤凰仓</v>
      </c>
      <c r="G4771" s="1" t="str">
        <f t="shared" si="1535"/>
        <v>卡卡杜个人护理店（抖店）</v>
      </c>
      <c r="H4771" s="1" t="str">
        <f t="shared" si="1541"/>
        <v>正常订单</v>
      </c>
      <c r="I4771" s="1" t="str">
        <f t="shared" si="1542"/>
        <v>已发货</v>
      </c>
      <c r="J4771" s="1" t="str">
        <f>"5"</f>
        <v>5</v>
      </c>
      <c r="K4771" s="1">
        <v>2</v>
      </c>
      <c r="L4771" s="1" t="s">
        <v>20</v>
      </c>
      <c r="M4771" s="1" t="str">
        <f>"浙江省 宁波市 象山县 西周镇"</f>
        <v>浙江省 宁波市 象山县 西周镇</v>
      </c>
      <c r="N4771" s="1" t="str">
        <f t="shared" si="1537"/>
        <v>凡华云仓-城南圆通-抖音</v>
      </c>
      <c r="O4771" s="5" t="s">
        <v>4799</v>
      </c>
      <c r="P4771" s="6">
        <v>0.59</v>
      </c>
      <c r="Q4771" s="11">
        <f>CEILING(P4771-0.5,0.1)*10*0.15+2.3</f>
        <v>2.4499999999999997</v>
      </c>
      <c r="R4771" s="11"/>
      <c r="S4771" s="11"/>
      <c r="T4771" s="11"/>
      <c r="U4771" s="11">
        <f t="shared" si="1538"/>
        <v>2.4499999999999997</v>
      </c>
      <c r="V4771" t="s">
        <v>15</v>
      </c>
      <c r="W4771">
        <v>2.4500000000000002</v>
      </c>
      <c r="X4771" s="1" t="s">
        <v>20</v>
      </c>
    </row>
    <row r="4772" spans="1:24" x14ac:dyDescent="0.25">
      <c r="A4772" s="1" t="str">
        <f t="shared" si="1539"/>
        <v>卡卡杜-凤凰仓</v>
      </c>
      <c r="B4772" s="1" t="str">
        <f>"CK202410214901"</f>
        <v>CK202410214901</v>
      </c>
      <c r="C4772" s="1" t="str">
        <f>"DD2024102111004"</f>
        <v>DD2024102111004</v>
      </c>
      <c r="D4772" s="1" t="str">
        <f>"CK2024102119626"</f>
        <v>CK2024102119626</v>
      </c>
      <c r="E4772" s="1" t="str">
        <f>"6935269690955601496"</f>
        <v>6935269690955601496</v>
      </c>
      <c r="F4772" s="1" t="str">
        <f t="shared" si="1540"/>
        <v>花都四部-凤凰仓</v>
      </c>
      <c r="G4772" s="1" t="str">
        <f t="shared" si="1535"/>
        <v>卡卡杜个人护理店（抖店）</v>
      </c>
      <c r="H4772" s="1" t="str">
        <f t="shared" si="1541"/>
        <v>正常订单</v>
      </c>
      <c r="I4772" s="1" t="str">
        <f t="shared" si="1542"/>
        <v>已发货</v>
      </c>
      <c r="J4772" s="1" t="str">
        <f t="shared" ref="J4772:J4782" si="1544">"3"</f>
        <v>3</v>
      </c>
      <c r="K4772" s="1">
        <v>2</v>
      </c>
      <c r="L4772" s="1" t="s">
        <v>36</v>
      </c>
      <c r="M4772" s="1" t="str">
        <f>"安徽省 滁州市 天长市 千秋街道"</f>
        <v>安徽省 滁州市 天长市 千秋街道</v>
      </c>
      <c r="N4772" s="1" t="str">
        <f t="shared" si="1537"/>
        <v>凡华云仓-城南圆通-抖音</v>
      </c>
      <c r="O4772" s="5" t="s">
        <v>4800</v>
      </c>
      <c r="P4772" s="6">
        <v>0.35</v>
      </c>
      <c r="Q4772" s="11">
        <v>2.2999999999999998</v>
      </c>
      <c r="R4772" s="11"/>
      <c r="S4772" s="11"/>
      <c r="T4772" s="11"/>
      <c r="U4772" s="11">
        <f t="shared" si="1538"/>
        <v>2.2999999999999998</v>
      </c>
      <c r="W4772">
        <v>2.5</v>
      </c>
      <c r="X4772" s="1" t="s">
        <v>36</v>
      </c>
    </row>
    <row r="4773" spans="1:24" x14ac:dyDescent="0.25">
      <c r="A4773" s="1" t="str">
        <f t="shared" si="1539"/>
        <v>卡卡杜-凤凰仓</v>
      </c>
      <c r="B4773" s="1" t="str">
        <f>"CK202410214885"</f>
        <v>CK202410214885</v>
      </c>
      <c r="C4773" s="1" t="str">
        <f>"DD2024102110989"</f>
        <v>DD2024102110989</v>
      </c>
      <c r="D4773" s="1" t="str">
        <f>"CK2024102119625"</f>
        <v>CK2024102119625</v>
      </c>
      <c r="E4773" s="1" t="str">
        <f>"6935285224405800288"</f>
        <v>6935285224405800288</v>
      </c>
      <c r="F4773" s="1" t="str">
        <f t="shared" si="1540"/>
        <v>花都四部-凤凰仓</v>
      </c>
      <c r="G4773" s="1" t="str">
        <f t="shared" si="1535"/>
        <v>卡卡杜个人护理店（抖店）</v>
      </c>
      <c r="H4773" s="1" t="str">
        <f t="shared" si="1541"/>
        <v>正常订单</v>
      </c>
      <c r="I4773" s="1" t="str">
        <f t="shared" si="1542"/>
        <v>已发货</v>
      </c>
      <c r="J4773" s="1" t="str">
        <f t="shared" si="1544"/>
        <v>3</v>
      </c>
      <c r="K4773" s="1">
        <v>2</v>
      </c>
      <c r="L4773" s="1" t="s">
        <v>36</v>
      </c>
      <c r="M4773" s="1" t="str">
        <f>"安徽省 芜湖市 湾沚区 六郎镇"</f>
        <v>安徽省 芜湖市 湾沚区 六郎镇</v>
      </c>
      <c r="N4773" s="1" t="str">
        <f t="shared" si="1537"/>
        <v>凡华云仓-城南圆通-抖音</v>
      </c>
      <c r="O4773" s="5" t="s">
        <v>4801</v>
      </c>
      <c r="P4773" s="6">
        <v>0.35</v>
      </c>
      <c r="Q4773" s="11">
        <v>2.2999999999999998</v>
      </c>
      <c r="R4773" s="11"/>
      <c r="S4773" s="11"/>
      <c r="T4773" s="11"/>
      <c r="U4773" s="11">
        <f t="shared" si="1538"/>
        <v>2.2999999999999998</v>
      </c>
      <c r="W4773">
        <v>2.5</v>
      </c>
      <c r="X4773" s="1" t="s">
        <v>36</v>
      </c>
    </row>
    <row r="4774" spans="1:24" x14ac:dyDescent="0.25">
      <c r="A4774" s="1" t="str">
        <f t="shared" si="1539"/>
        <v>卡卡杜-凤凰仓</v>
      </c>
      <c r="B4774" s="1" t="str">
        <f>"CK202410214964"</f>
        <v>CK202410214964</v>
      </c>
      <c r="C4774" s="1" t="str">
        <f>"DD2024102111067"</f>
        <v>DD2024102111067</v>
      </c>
      <c r="D4774" s="1" t="str">
        <f>"CK2024102119624"</f>
        <v>CK2024102119624</v>
      </c>
      <c r="E4774" s="1" t="str">
        <f>"6935274034883794279"</f>
        <v>6935274034883794279</v>
      </c>
      <c r="F4774" s="1" t="str">
        <f t="shared" si="1540"/>
        <v>花都四部-凤凰仓</v>
      </c>
      <c r="G4774" s="1" t="str">
        <f t="shared" si="1535"/>
        <v>卡卡杜个人护理店（抖店）</v>
      </c>
      <c r="H4774" s="1" t="str">
        <f t="shared" si="1541"/>
        <v>正常订单</v>
      </c>
      <c r="I4774" s="1" t="str">
        <f t="shared" si="1542"/>
        <v>已发货</v>
      </c>
      <c r="J4774" s="1" t="str">
        <f t="shared" si="1544"/>
        <v>3</v>
      </c>
      <c r="K4774" s="1">
        <v>2</v>
      </c>
      <c r="L4774" s="1" t="s">
        <v>30</v>
      </c>
      <c r="M4774" s="1" t="str">
        <f>"山东省 淄博市 临淄区 稷下街道"</f>
        <v>山东省 淄博市 临淄区 稷下街道</v>
      </c>
      <c r="N4774" s="1" t="str">
        <f t="shared" si="1537"/>
        <v>凡华云仓-城南圆通-抖音</v>
      </c>
      <c r="O4774" s="5" t="s">
        <v>4802</v>
      </c>
      <c r="P4774" s="6">
        <v>0.35</v>
      </c>
      <c r="Q4774" s="11">
        <v>2.2999999999999998</v>
      </c>
      <c r="R4774" s="11"/>
      <c r="S4774" s="11"/>
      <c r="T4774" s="11"/>
      <c r="U4774" s="11">
        <f t="shared" si="1538"/>
        <v>2.2999999999999998</v>
      </c>
      <c r="W4774">
        <v>2.5</v>
      </c>
      <c r="X4774" s="1" t="s">
        <v>30</v>
      </c>
    </row>
    <row r="4775" spans="1:24" x14ac:dyDescent="0.25">
      <c r="A4775" s="1" t="str">
        <f t="shared" si="1539"/>
        <v>卡卡杜-凤凰仓</v>
      </c>
      <c r="B4775" s="1" t="str">
        <f>"CK202410214969"</f>
        <v>CK202410214969</v>
      </c>
      <c r="C4775" s="1" t="str">
        <f>"DD2024102111072"</f>
        <v>DD2024102111072</v>
      </c>
      <c r="D4775" s="1" t="str">
        <f>"CK2024102119623"</f>
        <v>CK2024102119623</v>
      </c>
      <c r="E4775" s="1" t="str">
        <f>"6935262593256658849"</f>
        <v>6935262593256658849</v>
      </c>
      <c r="F4775" s="1" t="str">
        <f t="shared" si="1540"/>
        <v>花都四部-凤凰仓</v>
      </c>
      <c r="G4775" s="1" t="str">
        <f t="shared" si="1535"/>
        <v>卡卡杜个人护理店（抖店）</v>
      </c>
      <c r="H4775" s="1" t="str">
        <f t="shared" si="1541"/>
        <v>正常订单</v>
      </c>
      <c r="I4775" s="1" t="str">
        <f t="shared" si="1542"/>
        <v>已发货</v>
      </c>
      <c r="J4775" s="1" t="str">
        <f t="shared" si="1544"/>
        <v>3</v>
      </c>
      <c r="K4775" s="1">
        <v>2</v>
      </c>
      <c r="L4775" s="1" t="s">
        <v>36</v>
      </c>
      <c r="M4775" s="1" t="str">
        <f>"安徽省 亳州市 蒙城县 坛城镇"</f>
        <v>安徽省 亳州市 蒙城县 坛城镇</v>
      </c>
      <c r="N4775" s="1" t="str">
        <f t="shared" si="1537"/>
        <v>凡华云仓-城南圆通-抖音</v>
      </c>
      <c r="O4775" s="5" t="s">
        <v>4803</v>
      </c>
      <c r="P4775" s="6">
        <v>0.35</v>
      </c>
      <c r="Q4775" s="11">
        <v>2.2999999999999998</v>
      </c>
      <c r="R4775" s="11"/>
      <c r="S4775" s="11"/>
      <c r="T4775" s="11"/>
      <c r="U4775" s="11">
        <f t="shared" si="1538"/>
        <v>2.2999999999999998</v>
      </c>
      <c r="W4775">
        <v>2.5</v>
      </c>
      <c r="X4775" s="1" t="s">
        <v>36</v>
      </c>
    </row>
    <row r="4776" spans="1:24" x14ac:dyDescent="0.25">
      <c r="A4776" s="1" t="str">
        <f t="shared" si="1539"/>
        <v>卡卡杜-凤凰仓</v>
      </c>
      <c r="B4776" s="1" t="str">
        <f>"CK202410214965"</f>
        <v>CK202410214965</v>
      </c>
      <c r="C4776" s="1" t="str">
        <f>"DD2024102111069"</f>
        <v>DD2024102111069</v>
      </c>
      <c r="D4776" s="1" t="str">
        <f>"CK2024102119622"</f>
        <v>CK2024102119622</v>
      </c>
      <c r="E4776" s="1" t="str">
        <f>"6935260002745390087"</f>
        <v>6935260002745390087</v>
      </c>
      <c r="F4776" s="1" t="str">
        <f t="shared" si="1540"/>
        <v>花都四部-凤凰仓</v>
      </c>
      <c r="G4776" s="1" t="str">
        <f t="shared" si="1535"/>
        <v>卡卡杜个人护理店（抖店）</v>
      </c>
      <c r="H4776" s="1" t="str">
        <f t="shared" si="1541"/>
        <v>正常订单</v>
      </c>
      <c r="I4776" s="1" t="str">
        <f t="shared" si="1542"/>
        <v>已发货</v>
      </c>
      <c r="J4776" s="1" t="str">
        <f t="shared" si="1544"/>
        <v>3</v>
      </c>
      <c r="K4776" s="1">
        <v>2</v>
      </c>
      <c r="L4776" s="1" t="s">
        <v>41</v>
      </c>
      <c r="M4776" s="1" t="str">
        <f>"湖北省 黄冈市 麻城市 "</f>
        <v xml:space="preserve">湖北省 黄冈市 麻城市 </v>
      </c>
      <c r="N4776" s="1" t="str">
        <f t="shared" si="1537"/>
        <v>凡华云仓-城南圆通-抖音</v>
      </c>
      <c r="O4776" s="5" t="s">
        <v>4804</v>
      </c>
      <c r="P4776" s="6">
        <v>0.35</v>
      </c>
      <c r="Q4776" s="11">
        <v>2.2999999999999998</v>
      </c>
      <c r="R4776" s="11"/>
      <c r="S4776" s="11"/>
      <c r="T4776" s="11"/>
      <c r="U4776" s="11">
        <f t="shared" si="1538"/>
        <v>2.2999999999999998</v>
      </c>
      <c r="W4776">
        <v>2.5</v>
      </c>
      <c r="X4776" s="1" t="s">
        <v>41</v>
      </c>
    </row>
    <row r="4777" spans="1:24" x14ac:dyDescent="0.25">
      <c r="A4777" s="1" t="str">
        <f t="shared" si="1539"/>
        <v>卡卡杜-凤凰仓</v>
      </c>
      <c r="B4777" s="1" t="str">
        <f>"CK202410214949"</f>
        <v>CK202410214949</v>
      </c>
      <c r="C4777" s="1" t="str">
        <f>"DD2024102111052"</f>
        <v>DD2024102111052</v>
      </c>
      <c r="D4777" s="1" t="str">
        <f>"CK2024102119621"</f>
        <v>CK2024102119621</v>
      </c>
      <c r="E4777" s="1" t="str">
        <f>"6935278259561436441"</f>
        <v>6935278259561436441</v>
      </c>
      <c r="F4777" s="1" t="str">
        <f t="shared" si="1540"/>
        <v>花都四部-凤凰仓</v>
      </c>
      <c r="G4777" s="1" t="str">
        <f t="shared" si="1535"/>
        <v>卡卡杜个人护理店（抖店）</v>
      </c>
      <c r="H4777" s="1" t="str">
        <f t="shared" si="1541"/>
        <v>正常订单</v>
      </c>
      <c r="I4777" s="1" t="str">
        <f t="shared" si="1542"/>
        <v>已发货</v>
      </c>
      <c r="J4777" s="1" t="str">
        <f t="shared" si="1544"/>
        <v>3</v>
      </c>
      <c r="K4777" s="1">
        <v>2</v>
      </c>
      <c r="L4777" s="1" t="s">
        <v>80</v>
      </c>
      <c r="M4777" s="1" t="str">
        <f>"河南省 商丘市 永城市 芒山镇"</f>
        <v>河南省 商丘市 永城市 芒山镇</v>
      </c>
      <c r="N4777" s="1" t="str">
        <f t="shared" si="1537"/>
        <v>凡华云仓-城南圆通-抖音</v>
      </c>
      <c r="O4777" s="5" t="s">
        <v>4805</v>
      </c>
      <c r="P4777" s="6">
        <v>0.35</v>
      </c>
      <c r="Q4777" s="11">
        <v>2.2999999999999998</v>
      </c>
      <c r="R4777" s="11"/>
      <c r="S4777" s="11"/>
      <c r="T4777" s="11"/>
      <c r="U4777" s="11">
        <f t="shared" si="1538"/>
        <v>2.2999999999999998</v>
      </c>
      <c r="W4777">
        <v>2.5</v>
      </c>
      <c r="X4777" s="1" t="s">
        <v>80</v>
      </c>
    </row>
    <row r="4778" spans="1:24" x14ac:dyDescent="0.25">
      <c r="A4778" s="1" t="str">
        <f t="shared" si="1539"/>
        <v>卡卡杜-凤凰仓</v>
      </c>
      <c r="B4778" s="1" t="str">
        <f>"CK202410214968"</f>
        <v>CK202410214968</v>
      </c>
      <c r="C4778" s="1" t="str">
        <f>"DD2024102111071"</f>
        <v>DD2024102111071</v>
      </c>
      <c r="D4778" s="1" t="str">
        <f>"CK2024102119620"</f>
        <v>CK2024102119620</v>
      </c>
      <c r="E4778" s="1" t="str">
        <f>"6935264872024446905"</f>
        <v>6935264872024446905</v>
      </c>
      <c r="F4778" s="1" t="str">
        <f t="shared" si="1540"/>
        <v>花都四部-凤凰仓</v>
      </c>
      <c r="G4778" s="1" t="str">
        <f t="shared" si="1535"/>
        <v>卡卡杜个人护理店（抖店）</v>
      </c>
      <c r="H4778" s="1" t="str">
        <f t="shared" si="1541"/>
        <v>正常订单</v>
      </c>
      <c r="I4778" s="1" t="str">
        <f t="shared" si="1542"/>
        <v>已发货</v>
      </c>
      <c r="J4778" s="1" t="str">
        <f t="shared" si="1544"/>
        <v>3</v>
      </c>
      <c r="K4778" s="1">
        <v>2</v>
      </c>
      <c r="L4778" s="1" t="s">
        <v>94</v>
      </c>
      <c r="M4778" s="1" t="str">
        <f>"湖南省 益阳市 桃江县 桃花江镇"</f>
        <v>湖南省 益阳市 桃江县 桃花江镇</v>
      </c>
      <c r="N4778" s="1" t="str">
        <f t="shared" si="1537"/>
        <v>凡华云仓-城南圆通-抖音</v>
      </c>
      <c r="O4778" s="5" t="s">
        <v>4806</v>
      </c>
      <c r="P4778" s="6">
        <v>0.35</v>
      </c>
      <c r="Q4778" s="11">
        <v>2.2999999999999998</v>
      </c>
      <c r="R4778" s="11"/>
      <c r="S4778" s="11"/>
      <c r="T4778" s="11"/>
      <c r="U4778" s="11">
        <f t="shared" si="1538"/>
        <v>2.2999999999999998</v>
      </c>
      <c r="W4778">
        <v>2.5</v>
      </c>
      <c r="X4778" s="1" t="s">
        <v>94</v>
      </c>
    </row>
    <row r="4779" spans="1:24" x14ac:dyDescent="0.25">
      <c r="A4779" s="1" t="str">
        <f t="shared" si="1539"/>
        <v>卡卡杜-凤凰仓</v>
      </c>
      <c r="B4779" s="1" t="str">
        <f>"CK202410214962"</f>
        <v>CK202410214962</v>
      </c>
      <c r="C4779" s="1" t="str">
        <f>"DD2024102111066"</f>
        <v>DD2024102111066</v>
      </c>
      <c r="D4779" s="1" t="str">
        <f>"CK2024102119619"</f>
        <v>CK2024102119619</v>
      </c>
      <c r="E4779" s="1" t="str">
        <f>"6935258297942021730"</f>
        <v>6935258297942021730</v>
      </c>
      <c r="F4779" s="1" t="str">
        <f t="shared" si="1540"/>
        <v>花都四部-凤凰仓</v>
      </c>
      <c r="G4779" s="1" t="str">
        <f t="shared" si="1535"/>
        <v>卡卡杜个人护理店（抖店）</v>
      </c>
      <c r="H4779" s="1" t="str">
        <f t="shared" si="1541"/>
        <v>正常订单</v>
      </c>
      <c r="I4779" s="1" t="str">
        <f t="shared" si="1542"/>
        <v>已发货</v>
      </c>
      <c r="J4779" s="1" t="str">
        <f t="shared" si="1544"/>
        <v>3</v>
      </c>
      <c r="K4779" s="1">
        <v>2</v>
      </c>
      <c r="L4779" s="1" t="s">
        <v>80</v>
      </c>
      <c r="M4779" s="1" t="str">
        <f>"河南省 洛阳市 洛龙区 关林街道"</f>
        <v>河南省 洛阳市 洛龙区 关林街道</v>
      </c>
      <c r="N4779" s="1" t="str">
        <f t="shared" si="1537"/>
        <v>凡华云仓-城南圆通-抖音</v>
      </c>
      <c r="O4779" s="5" t="s">
        <v>4807</v>
      </c>
      <c r="P4779" s="6">
        <v>0.35</v>
      </c>
      <c r="Q4779" s="11">
        <v>2.2999999999999998</v>
      </c>
      <c r="R4779" s="11"/>
      <c r="S4779" s="11"/>
      <c r="T4779" s="11"/>
      <c r="U4779" s="11">
        <f t="shared" si="1538"/>
        <v>2.2999999999999998</v>
      </c>
      <c r="W4779">
        <v>2.5</v>
      </c>
      <c r="X4779" s="1" t="s">
        <v>80</v>
      </c>
    </row>
    <row r="4780" spans="1:24" x14ac:dyDescent="0.25">
      <c r="A4780" s="1" t="str">
        <f t="shared" si="1539"/>
        <v>卡卡杜-凤凰仓</v>
      </c>
      <c r="B4780" s="1" t="str">
        <f>"CK202410214888"</f>
        <v>CK202410214888</v>
      </c>
      <c r="C4780" s="1" t="str">
        <f>"DD2024102110991"</f>
        <v>DD2024102110991</v>
      </c>
      <c r="D4780" s="1" t="str">
        <f>"CK2024102119618"</f>
        <v>CK2024102119618</v>
      </c>
      <c r="E4780" s="1" t="str">
        <f>"6935267051067545345"</f>
        <v>6935267051067545345</v>
      </c>
      <c r="F4780" s="1" t="str">
        <f t="shared" si="1540"/>
        <v>花都四部-凤凰仓</v>
      </c>
      <c r="G4780" s="1" t="str">
        <f t="shared" si="1535"/>
        <v>卡卡杜个人护理店（抖店）</v>
      </c>
      <c r="H4780" s="1" t="str">
        <f t="shared" si="1541"/>
        <v>正常订单</v>
      </c>
      <c r="I4780" s="1" t="str">
        <f t="shared" si="1542"/>
        <v>已发货</v>
      </c>
      <c r="J4780" s="1" t="str">
        <f t="shared" si="1544"/>
        <v>3</v>
      </c>
      <c r="K4780" s="1">
        <v>2</v>
      </c>
      <c r="L4780" s="1" t="s">
        <v>13</v>
      </c>
      <c r="M4780" s="1" t="str">
        <f>"江苏省 南通市 海安市 "</f>
        <v xml:space="preserve">江苏省 南通市 海安市 </v>
      </c>
      <c r="N4780" s="1" t="str">
        <f t="shared" si="1537"/>
        <v>凡华云仓-城南圆通-抖音</v>
      </c>
      <c r="O4780" s="5" t="s">
        <v>4808</v>
      </c>
      <c r="P4780" s="6">
        <v>0.35</v>
      </c>
      <c r="Q4780" s="11">
        <v>2.2999999999999998</v>
      </c>
      <c r="R4780" s="11"/>
      <c r="S4780" s="11"/>
      <c r="T4780" s="11"/>
      <c r="U4780" s="11">
        <f t="shared" si="1538"/>
        <v>2.2999999999999998</v>
      </c>
      <c r="W4780">
        <v>2.5</v>
      </c>
      <c r="X4780" s="1" t="s">
        <v>13</v>
      </c>
    </row>
    <row r="4781" spans="1:24" x14ac:dyDescent="0.25">
      <c r="A4781" s="1" t="str">
        <f t="shared" si="1539"/>
        <v>卡卡杜-凤凰仓</v>
      </c>
      <c r="B4781" s="1" t="str">
        <f>"CK202410214887"</f>
        <v>CK202410214887</v>
      </c>
      <c r="C4781" s="1" t="str">
        <f>"DD2024102110990"</f>
        <v>DD2024102110990</v>
      </c>
      <c r="D4781" s="1" t="str">
        <f>"CK2024102119617"</f>
        <v>CK2024102119617</v>
      </c>
      <c r="E4781" s="1" t="str">
        <f>"6935262511001114115"</f>
        <v>6935262511001114115</v>
      </c>
      <c r="F4781" s="1" t="str">
        <f t="shared" si="1540"/>
        <v>花都四部-凤凰仓</v>
      </c>
      <c r="G4781" s="1" t="str">
        <f t="shared" si="1535"/>
        <v>卡卡杜个人护理店（抖店）</v>
      </c>
      <c r="H4781" s="1" t="str">
        <f t="shared" si="1541"/>
        <v>正常订单</v>
      </c>
      <c r="I4781" s="1" t="str">
        <f t="shared" si="1542"/>
        <v>已发货</v>
      </c>
      <c r="J4781" s="1" t="str">
        <f t="shared" si="1544"/>
        <v>3</v>
      </c>
      <c r="K4781" s="1">
        <v>2</v>
      </c>
      <c r="L4781" s="1" t="s">
        <v>161</v>
      </c>
      <c r="M4781" s="1" t="str">
        <f>"四川省 眉山市 彭山区 "</f>
        <v xml:space="preserve">四川省 眉山市 彭山区 </v>
      </c>
      <c r="N4781" s="1" t="str">
        <f t="shared" si="1537"/>
        <v>凡华云仓-城南圆通-抖音</v>
      </c>
      <c r="O4781" s="5" t="s">
        <v>4809</v>
      </c>
      <c r="P4781" s="6">
        <v>0.35</v>
      </c>
      <c r="Q4781" s="11">
        <v>2.2999999999999998</v>
      </c>
      <c r="R4781" s="11"/>
      <c r="S4781" s="11"/>
      <c r="T4781" s="11"/>
      <c r="U4781" s="11">
        <f t="shared" si="1538"/>
        <v>2.2999999999999998</v>
      </c>
      <c r="W4781">
        <v>2.5</v>
      </c>
      <c r="X4781" s="1" t="s">
        <v>161</v>
      </c>
    </row>
    <row r="4782" spans="1:24" x14ac:dyDescent="0.25">
      <c r="A4782" s="1" t="str">
        <f t="shared" si="1539"/>
        <v>卡卡杜-凤凰仓</v>
      </c>
      <c r="B4782" s="1" t="str">
        <f>"CK202410214899"</f>
        <v>CK202410214899</v>
      </c>
      <c r="C4782" s="1" t="str">
        <f>"DD2024102111002"</f>
        <v>DD2024102111002</v>
      </c>
      <c r="D4782" s="1" t="str">
        <f>"CK2024102119616"</f>
        <v>CK2024102119616</v>
      </c>
      <c r="E4782" s="1" t="str">
        <f>"6935275907074496319"</f>
        <v>6935275907074496319</v>
      </c>
      <c r="F4782" s="1" t="str">
        <f t="shared" si="1540"/>
        <v>花都四部-凤凰仓</v>
      </c>
      <c r="G4782" s="1" t="str">
        <f t="shared" si="1535"/>
        <v>卡卡杜个人护理店（抖店）</v>
      </c>
      <c r="H4782" s="1" t="str">
        <f t="shared" si="1541"/>
        <v>正常订单</v>
      </c>
      <c r="I4782" s="1" t="str">
        <f t="shared" si="1542"/>
        <v>已发货</v>
      </c>
      <c r="J4782" s="1" t="str">
        <f t="shared" si="1544"/>
        <v>3</v>
      </c>
      <c r="K4782" s="1">
        <v>2</v>
      </c>
      <c r="L4782" s="1" t="s">
        <v>32</v>
      </c>
      <c r="M4782" s="1" t="str">
        <f>"陕西省 榆林市 吴堡县 "</f>
        <v xml:space="preserve">陕西省 榆林市 吴堡县 </v>
      </c>
      <c r="N4782" s="1" t="str">
        <f t="shared" si="1537"/>
        <v>凡华云仓-城南圆通-抖音</v>
      </c>
      <c r="O4782" s="5" t="s">
        <v>4810</v>
      </c>
      <c r="P4782" s="6">
        <v>0.35</v>
      </c>
      <c r="Q4782" s="11">
        <v>2.2999999999999998</v>
      </c>
      <c r="R4782" s="11"/>
      <c r="S4782" s="11"/>
      <c r="T4782" s="11"/>
      <c r="U4782" s="11">
        <f t="shared" si="1538"/>
        <v>2.2999999999999998</v>
      </c>
      <c r="W4782">
        <v>2.5</v>
      </c>
      <c r="X4782" s="1" t="s">
        <v>32</v>
      </c>
    </row>
    <row r="4783" spans="1:24" x14ac:dyDescent="0.25">
      <c r="A4783" s="1" t="str">
        <f t="shared" si="1539"/>
        <v>卡卡杜-凤凰仓</v>
      </c>
      <c r="B4783" s="1" t="str">
        <f>"CK202410215089"</f>
        <v>CK202410215089</v>
      </c>
      <c r="C4783" s="1" t="str">
        <f>"DD2024102111195"</f>
        <v>DD2024102111195</v>
      </c>
      <c r="D4783" s="1" t="str">
        <f>"CK2024102119615"</f>
        <v>CK2024102119615</v>
      </c>
      <c r="E4783" s="1" t="str">
        <f>"6935253733198075522"</f>
        <v>6935253733198075522</v>
      </c>
      <c r="F4783" s="1" t="str">
        <f t="shared" si="1540"/>
        <v>花都四部-凤凰仓</v>
      </c>
      <c r="G4783" s="1" t="str">
        <f t="shared" si="1535"/>
        <v>卡卡杜个人护理店（抖店）</v>
      </c>
      <c r="H4783" s="1" t="str">
        <f t="shared" si="1541"/>
        <v>正常订单</v>
      </c>
      <c r="I4783" s="1" t="str">
        <f t="shared" si="1542"/>
        <v>已发货</v>
      </c>
      <c r="J4783" s="1" t="str">
        <f>"5"</f>
        <v>5</v>
      </c>
      <c r="K4783" s="1">
        <v>2</v>
      </c>
      <c r="L4783" s="1" t="s">
        <v>13</v>
      </c>
      <c r="M4783" s="1" t="str">
        <f>"江苏省 扬州市 邗江区 物流园区"</f>
        <v>江苏省 扬州市 邗江区 物流园区</v>
      </c>
      <c r="N4783" s="1" t="str">
        <f t="shared" si="1537"/>
        <v>凡华云仓-城南圆通-抖音</v>
      </c>
      <c r="O4783" s="5" t="s">
        <v>4811</v>
      </c>
      <c r="P4783" s="6">
        <v>0.59</v>
      </c>
      <c r="Q4783" s="11">
        <f>CEILING(P4783-0.5,0.1)*10*0.15+2.3</f>
        <v>2.4499999999999997</v>
      </c>
      <c r="R4783" s="11"/>
      <c r="S4783" s="11"/>
      <c r="T4783" s="11"/>
      <c r="U4783" s="11">
        <f t="shared" si="1538"/>
        <v>2.4499999999999997</v>
      </c>
      <c r="V4783" t="s">
        <v>15</v>
      </c>
      <c r="W4783">
        <v>2.4500000000000002</v>
      </c>
      <c r="X4783" s="1" t="s">
        <v>13</v>
      </c>
    </row>
    <row r="4784" spans="1:24" x14ac:dyDescent="0.25">
      <c r="A4784" s="1" t="str">
        <f t="shared" si="1539"/>
        <v>卡卡杜-凤凰仓</v>
      </c>
      <c r="B4784" s="1" t="str">
        <f>"CK202410214895"</f>
        <v>CK202410214895</v>
      </c>
      <c r="C4784" s="1" t="str">
        <f>"DD2024102110998"</f>
        <v>DD2024102110998</v>
      </c>
      <c r="D4784" s="1" t="str">
        <f>"CK2024102119614"</f>
        <v>CK2024102119614</v>
      </c>
      <c r="E4784" s="1" t="str">
        <f>"6935255887374980982"</f>
        <v>6935255887374980982</v>
      </c>
      <c r="F4784" s="1" t="str">
        <f t="shared" si="1540"/>
        <v>花都四部-凤凰仓</v>
      </c>
      <c r="G4784" s="1" t="str">
        <f t="shared" si="1535"/>
        <v>卡卡杜个人护理店（抖店）</v>
      </c>
      <c r="H4784" s="1" t="str">
        <f t="shared" si="1541"/>
        <v>正常订单</v>
      </c>
      <c r="I4784" s="1" t="str">
        <f t="shared" si="1542"/>
        <v>已发货</v>
      </c>
      <c r="J4784" s="1" t="str">
        <f t="shared" ref="J4784:J4787" si="1545">"3"</f>
        <v>3</v>
      </c>
      <c r="K4784" s="1">
        <v>2</v>
      </c>
      <c r="L4784" s="1" t="s">
        <v>80</v>
      </c>
      <c r="M4784" s="1" t="str">
        <f>"河南省 郑州市 金水区 龙湖街道"</f>
        <v>河南省 郑州市 金水区 龙湖街道</v>
      </c>
      <c r="N4784" s="1" t="str">
        <f t="shared" si="1537"/>
        <v>凡华云仓-城南圆通-抖音</v>
      </c>
      <c r="O4784" s="5" t="s">
        <v>4812</v>
      </c>
      <c r="P4784" s="6">
        <v>0.35</v>
      </c>
      <c r="Q4784" s="11">
        <v>2.2999999999999998</v>
      </c>
      <c r="R4784" s="11"/>
      <c r="S4784" s="11"/>
      <c r="T4784" s="11"/>
      <c r="U4784" s="11">
        <f t="shared" si="1538"/>
        <v>2.2999999999999998</v>
      </c>
      <c r="W4784">
        <v>2.5</v>
      </c>
      <c r="X4784" s="1" t="s">
        <v>80</v>
      </c>
    </row>
    <row r="4785" spans="1:24" x14ac:dyDescent="0.25">
      <c r="A4785" s="1" t="str">
        <f t="shared" si="1539"/>
        <v>卡卡杜-凤凰仓</v>
      </c>
      <c r="B4785" s="1" t="str">
        <f>"CK202410214856"</f>
        <v>CK202410214856</v>
      </c>
      <c r="C4785" s="1" t="str">
        <f>"DD2024102110959"</f>
        <v>DD2024102110959</v>
      </c>
      <c r="D4785" s="1" t="str">
        <f>"CK2024102119613"</f>
        <v>CK2024102119613</v>
      </c>
      <c r="E4785" s="1" t="str">
        <f>"6935266809291674763"</f>
        <v>6935266809291674763</v>
      </c>
      <c r="F4785" s="1" t="str">
        <f t="shared" si="1540"/>
        <v>花都四部-凤凰仓</v>
      </c>
      <c r="G4785" s="1" t="str">
        <f t="shared" si="1535"/>
        <v>卡卡杜个人护理店（抖店）</v>
      </c>
      <c r="H4785" s="1" t="str">
        <f t="shared" si="1541"/>
        <v>正常订单</v>
      </c>
      <c r="I4785" s="1" t="str">
        <f t="shared" si="1542"/>
        <v>已发货</v>
      </c>
      <c r="J4785" s="1" t="str">
        <f t="shared" si="1545"/>
        <v>3</v>
      </c>
      <c r="K4785" s="1">
        <v>2</v>
      </c>
      <c r="L4785" s="1" t="s">
        <v>24</v>
      </c>
      <c r="M4785" s="1" t="str">
        <f>"福建省 厦门市 湖里区 金山街道"</f>
        <v>福建省 厦门市 湖里区 金山街道</v>
      </c>
      <c r="N4785" s="1" t="str">
        <f t="shared" si="1537"/>
        <v>凡华云仓-城南圆通-抖音</v>
      </c>
      <c r="O4785" s="5" t="s">
        <v>4813</v>
      </c>
      <c r="P4785" s="6">
        <v>0.35</v>
      </c>
      <c r="Q4785" s="11">
        <v>2.2999999999999998</v>
      </c>
      <c r="R4785" s="11"/>
      <c r="S4785" s="11"/>
      <c r="T4785" s="11"/>
      <c r="U4785" s="11">
        <f t="shared" si="1538"/>
        <v>2.2999999999999998</v>
      </c>
      <c r="W4785">
        <v>2.5</v>
      </c>
      <c r="X4785" s="1" t="s">
        <v>24</v>
      </c>
    </row>
    <row r="4786" spans="1:24" x14ac:dyDescent="0.25">
      <c r="A4786" s="1" t="str">
        <f t="shared" si="1539"/>
        <v>卡卡杜-凤凰仓</v>
      </c>
      <c r="B4786" s="1" t="str">
        <f>"CK202410214834"</f>
        <v>CK202410214834</v>
      </c>
      <c r="C4786" s="1" t="str">
        <f>"DD2024102110937"</f>
        <v>DD2024102110937</v>
      </c>
      <c r="D4786" s="1" t="str">
        <f>"CK2024102119612"</f>
        <v>CK2024102119612</v>
      </c>
      <c r="E4786" s="1" t="str">
        <f>"6935253467691750665"</f>
        <v>6935253467691750665</v>
      </c>
      <c r="F4786" s="1" t="str">
        <f t="shared" si="1540"/>
        <v>花都四部-凤凰仓</v>
      </c>
      <c r="G4786" s="1" t="str">
        <f t="shared" si="1535"/>
        <v>卡卡杜个人护理店（抖店）</v>
      </c>
      <c r="H4786" s="1" t="str">
        <f t="shared" si="1541"/>
        <v>正常订单</v>
      </c>
      <c r="I4786" s="1" t="str">
        <f t="shared" si="1542"/>
        <v>已发货</v>
      </c>
      <c r="J4786" s="1" t="str">
        <f t="shared" si="1545"/>
        <v>3</v>
      </c>
      <c r="K4786" s="1">
        <v>3</v>
      </c>
      <c r="L4786" s="1" t="s">
        <v>20</v>
      </c>
      <c r="M4786" s="1" t="str">
        <f>"浙江省 宁波市 海曙区 江厦街道"</f>
        <v>浙江省 宁波市 海曙区 江厦街道</v>
      </c>
      <c r="N4786" s="1" t="str">
        <f t="shared" si="1537"/>
        <v>凡华云仓-城南圆通-抖音</v>
      </c>
      <c r="O4786" s="5" t="s">
        <v>4814</v>
      </c>
      <c r="P4786" s="6">
        <v>0.34</v>
      </c>
      <c r="Q4786" s="11">
        <v>2.2999999999999998</v>
      </c>
      <c r="R4786" s="11"/>
      <c r="S4786" s="11"/>
      <c r="T4786" s="11"/>
      <c r="U4786" s="11">
        <f t="shared" si="1538"/>
        <v>2.2999999999999998</v>
      </c>
      <c r="W4786">
        <v>2.5</v>
      </c>
      <c r="X4786" s="1" t="s">
        <v>20</v>
      </c>
    </row>
    <row r="4787" spans="1:24" x14ac:dyDescent="0.25">
      <c r="A4787" s="1" t="str">
        <f t="shared" si="1539"/>
        <v>卡卡杜-凤凰仓</v>
      </c>
      <c r="B4787" s="1" t="str">
        <f>"CK202410214896"</f>
        <v>CK202410214896</v>
      </c>
      <c r="C4787" s="1" t="str">
        <f>"DD2024102110999"</f>
        <v>DD2024102110999</v>
      </c>
      <c r="D4787" s="1" t="str">
        <f>"CK2024102119611"</f>
        <v>CK2024102119611</v>
      </c>
      <c r="E4787" s="1" t="str">
        <f>"6935249556770919569"</f>
        <v>6935249556770919569</v>
      </c>
      <c r="F4787" s="1" t="str">
        <f t="shared" si="1540"/>
        <v>花都四部-凤凰仓</v>
      </c>
      <c r="G4787" s="1" t="str">
        <f t="shared" si="1535"/>
        <v>卡卡杜个人护理店（抖店）</v>
      </c>
      <c r="H4787" s="1" t="str">
        <f t="shared" si="1541"/>
        <v>正常订单</v>
      </c>
      <c r="I4787" s="1" t="str">
        <f t="shared" si="1542"/>
        <v>已发货</v>
      </c>
      <c r="J4787" s="1" t="str">
        <f t="shared" si="1545"/>
        <v>3</v>
      </c>
      <c r="K4787" s="1">
        <v>2</v>
      </c>
      <c r="L4787" s="1" t="s">
        <v>24</v>
      </c>
      <c r="M4787" s="1" t="str">
        <f>"福建省 泉州市 晋江市 梅岭街道"</f>
        <v>福建省 泉州市 晋江市 梅岭街道</v>
      </c>
      <c r="N4787" s="1" t="str">
        <f t="shared" si="1537"/>
        <v>凡华云仓-城南圆通-抖音</v>
      </c>
      <c r="O4787" s="5" t="s">
        <v>4815</v>
      </c>
      <c r="P4787" s="6">
        <v>0.35</v>
      </c>
      <c r="Q4787" s="11">
        <v>2.2999999999999998</v>
      </c>
      <c r="R4787" s="11"/>
      <c r="S4787" s="11"/>
      <c r="T4787" s="11"/>
      <c r="U4787" s="11">
        <f t="shared" si="1538"/>
        <v>2.2999999999999998</v>
      </c>
      <c r="W4787">
        <v>2.5</v>
      </c>
      <c r="X4787" s="1" t="s">
        <v>24</v>
      </c>
    </row>
    <row r="4788" spans="1:24" x14ac:dyDescent="0.25">
      <c r="A4788" s="1" t="str">
        <f t="shared" si="1539"/>
        <v>卡卡杜-凤凰仓</v>
      </c>
      <c r="B4788" s="1" t="str">
        <f>"CK202410215069"</f>
        <v>CK202410215069</v>
      </c>
      <c r="C4788" s="1" t="str">
        <f>"DD2024102111173"</f>
        <v>DD2024102111173</v>
      </c>
      <c r="D4788" s="1" t="str">
        <f>"CK2024102119610"</f>
        <v>CK2024102119610</v>
      </c>
      <c r="E4788" s="1" t="str">
        <f>"6935251640023455705"</f>
        <v>6935251640023455705</v>
      </c>
      <c r="F4788" s="1" t="str">
        <f t="shared" si="1540"/>
        <v>花都四部-凤凰仓</v>
      </c>
      <c r="G4788" s="1" t="str">
        <f t="shared" si="1535"/>
        <v>卡卡杜个人护理店（抖店）</v>
      </c>
      <c r="H4788" s="1" t="str">
        <f t="shared" si="1541"/>
        <v>正常订单</v>
      </c>
      <c r="I4788" s="1" t="str">
        <f t="shared" si="1542"/>
        <v>已发货</v>
      </c>
      <c r="J4788" s="1" t="str">
        <f>"5"</f>
        <v>5</v>
      </c>
      <c r="K4788" s="1">
        <v>2</v>
      </c>
      <c r="L4788" s="1" t="s">
        <v>20</v>
      </c>
      <c r="M4788" s="1" t="str">
        <f>"浙江省 温州市 瓯海区 新桥街道"</f>
        <v>浙江省 温州市 瓯海区 新桥街道</v>
      </c>
      <c r="N4788" s="1" t="str">
        <f t="shared" si="1537"/>
        <v>凡华云仓-城南圆通-抖音</v>
      </c>
      <c r="O4788" s="5" t="s">
        <v>4816</v>
      </c>
      <c r="P4788" s="6">
        <v>0.59</v>
      </c>
      <c r="Q4788" s="11">
        <f>CEILING(P4788-0.5,0.1)*10*0.15+2.3</f>
        <v>2.4499999999999997</v>
      </c>
      <c r="R4788" s="11"/>
      <c r="S4788" s="11"/>
      <c r="T4788" s="11"/>
      <c r="U4788" s="11">
        <f t="shared" si="1538"/>
        <v>2.4499999999999997</v>
      </c>
      <c r="V4788" t="s">
        <v>15</v>
      </c>
      <c r="W4788">
        <v>2.4500000000000002</v>
      </c>
      <c r="X4788" s="1" t="s">
        <v>20</v>
      </c>
    </row>
    <row r="4789" spans="1:24" x14ac:dyDescent="0.25">
      <c r="A4789" s="1" t="str">
        <f t="shared" si="1539"/>
        <v>卡卡杜-凤凰仓</v>
      </c>
      <c r="B4789" s="1" t="str">
        <f>"CK202410214847"</f>
        <v>CK202410214847</v>
      </c>
      <c r="C4789" s="1" t="str">
        <f>"DD2024102110950"</f>
        <v>DD2024102110950</v>
      </c>
      <c r="D4789" s="1" t="str">
        <f>"CK2024102119609"</f>
        <v>CK2024102119609</v>
      </c>
      <c r="E4789" s="1" t="str">
        <f>"6935251526342022751"</f>
        <v>6935251526342022751</v>
      </c>
      <c r="F4789" s="1" t="str">
        <f t="shared" si="1540"/>
        <v>花都四部-凤凰仓</v>
      </c>
      <c r="G4789" s="1" t="str">
        <f t="shared" si="1535"/>
        <v>卡卡杜个人护理店（抖店）</v>
      </c>
      <c r="H4789" s="1" t="str">
        <f t="shared" si="1541"/>
        <v>正常订单</v>
      </c>
      <c r="I4789" s="1" t="str">
        <f t="shared" si="1542"/>
        <v>已发货</v>
      </c>
      <c r="J4789" s="1" t="str">
        <f t="shared" ref="J4789:J4794" si="1546">"3"</f>
        <v>3</v>
      </c>
      <c r="K4789" s="1">
        <v>2</v>
      </c>
      <c r="L4789" s="1" t="s">
        <v>13</v>
      </c>
      <c r="M4789" s="1" t="str">
        <f>"江苏省 徐州市 邳州市 戴圩街道"</f>
        <v>江苏省 徐州市 邳州市 戴圩街道</v>
      </c>
      <c r="N4789" s="1" t="str">
        <f t="shared" si="1537"/>
        <v>凡华云仓-城南圆通-抖音</v>
      </c>
      <c r="O4789" s="5" t="s">
        <v>4817</v>
      </c>
      <c r="P4789" s="6">
        <v>0.35</v>
      </c>
      <c r="Q4789" s="11">
        <v>2.2999999999999998</v>
      </c>
      <c r="R4789" s="11"/>
      <c r="S4789" s="11"/>
      <c r="T4789" s="11"/>
      <c r="U4789" s="11">
        <f t="shared" si="1538"/>
        <v>2.2999999999999998</v>
      </c>
      <c r="W4789">
        <v>2.5</v>
      </c>
      <c r="X4789" s="1" t="s">
        <v>13</v>
      </c>
    </row>
    <row r="4790" spans="1:24" x14ac:dyDescent="0.25">
      <c r="A4790" s="1" t="str">
        <f t="shared" si="1539"/>
        <v>卡卡杜-凤凰仓</v>
      </c>
      <c r="B4790" s="1" t="str">
        <f>"CK202410214874"</f>
        <v>CK202410214874</v>
      </c>
      <c r="C4790" s="1" t="str">
        <f>"DD2024102110976"</f>
        <v>DD2024102110976</v>
      </c>
      <c r="D4790" s="1" t="str">
        <f>"CK2024102119608"</f>
        <v>CK2024102119608</v>
      </c>
      <c r="E4790" s="1" t="str">
        <f>"6935257848512845481"</f>
        <v>6935257848512845481</v>
      </c>
      <c r="F4790" s="1" t="str">
        <f t="shared" si="1540"/>
        <v>花都四部-凤凰仓</v>
      </c>
      <c r="G4790" s="1" t="str">
        <f t="shared" si="1535"/>
        <v>卡卡杜个人护理店（抖店）</v>
      </c>
      <c r="H4790" s="1" t="str">
        <f t="shared" si="1541"/>
        <v>正常订单</v>
      </c>
      <c r="I4790" s="1" t="str">
        <f t="shared" si="1542"/>
        <v>已发货</v>
      </c>
      <c r="J4790" s="1" t="str">
        <f t="shared" si="1546"/>
        <v>3</v>
      </c>
      <c r="K4790" s="1">
        <v>2</v>
      </c>
      <c r="L4790" s="1" t="s">
        <v>32</v>
      </c>
      <c r="M4790" s="1" t="str">
        <f>"陕西省 榆林市 靖边县 张家畔街道"</f>
        <v>陕西省 榆林市 靖边县 张家畔街道</v>
      </c>
      <c r="N4790" s="1" t="str">
        <f t="shared" si="1537"/>
        <v>凡华云仓-城南圆通-抖音</v>
      </c>
      <c r="O4790" s="5" t="s">
        <v>4818</v>
      </c>
      <c r="P4790" s="6">
        <v>0.35</v>
      </c>
      <c r="Q4790" s="11">
        <v>2.2999999999999998</v>
      </c>
      <c r="R4790" s="11"/>
      <c r="S4790" s="11"/>
      <c r="T4790" s="11"/>
      <c r="U4790" s="11">
        <f t="shared" si="1538"/>
        <v>2.2999999999999998</v>
      </c>
      <c r="W4790">
        <v>2.5</v>
      </c>
      <c r="X4790" s="1" t="s">
        <v>32</v>
      </c>
    </row>
    <row r="4791" spans="1:24" x14ac:dyDescent="0.25">
      <c r="A4791" s="1" t="str">
        <f t="shared" si="1539"/>
        <v>卡卡杜-凤凰仓</v>
      </c>
      <c r="B4791" s="1" t="str">
        <f>"CK202410214872"</f>
        <v>CK202410214872</v>
      </c>
      <c r="C4791" s="1" t="str">
        <f>"DD2024102110975"</f>
        <v>DD2024102110975</v>
      </c>
      <c r="D4791" s="1" t="str">
        <f>"CK2024102119607"</f>
        <v>CK2024102119607</v>
      </c>
      <c r="E4791" s="1" t="str">
        <f>"6935273459401626632"</f>
        <v>6935273459401626632</v>
      </c>
      <c r="F4791" s="1" t="str">
        <f t="shared" si="1540"/>
        <v>花都四部-凤凰仓</v>
      </c>
      <c r="G4791" s="1" t="str">
        <f t="shared" si="1535"/>
        <v>卡卡杜个人护理店（抖店）</v>
      </c>
      <c r="H4791" s="1" t="str">
        <f t="shared" si="1541"/>
        <v>正常订单</v>
      </c>
      <c r="I4791" s="1" t="str">
        <f t="shared" si="1542"/>
        <v>已发货</v>
      </c>
      <c r="J4791" s="1" t="str">
        <f t="shared" si="1546"/>
        <v>3</v>
      </c>
      <c r="K4791" s="1">
        <v>2</v>
      </c>
      <c r="L4791" s="1" t="s">
        <v>24</v>
      </c>
      <c r="M4791" s="1" t="str">
        <f>"福建省 厦门市 同安区 祥平街道"</f>
        <v>福建省 厦门市 同安区 祥平街道</v>
      </c>
      <c r="N4791" s="1" t="str">
        <f t="shared" si="1537"/>
        <v>凡华云仓-城南圆通-抖音</v>
      </c>
      <c r="O4791" s="5" t="s">
        <v>4819</v>
      </c>
      <c r="P4791" s="6">
        <v>0.35</v>
      </c>
      <c r="Q4791" s="11">
        <v>2.2999999999999998</v>
      </c>
      <c r="R4791" s="11"/>
      <c r="S4791" s="11"/>
      <c r="T4791" s="11"/>
      <c r="U4791" s="11">
        <f t="shared" si="1538"/>
        <v>2.2999999999999998</v>
      </c>
      <c r="W4791">
        <v>2.5</v>
      </c>
      <c r="X4791" s="1" t="s">
        <v>24</v>
      </c>
    </row>
    <row r="4792" spans="1:24" x14ac:dyDescent="0.25">
      <c r="A4792" s="1" t="str">
        <f t="shared" si="1539"/>
        <v>卡卡杜-凤凰仓</v>
      </c>
      <c r="B4792" s="1" t="str">
        <f>"CK202410214854"</f>
        <v>CK202410214854</v>
      </c>
      <c r="C4792" s="1" t="str">
        <f>"DD2024102110957"</f>
        <v>DD2024102110957</v>
      </c>
      <c r="D4792" s="1" t="str">
        <f>"CK2024102119606"</f>
        <v>CK2024102119606</v>
      </c>
      <c r="E4792" s="1" t="str">
        <f>"6935251271411569707"</f>
        <v>6935251271411569707</v>
      </c>
      <c r="F4792" s="1" t="str">
        <f t="shared" si="1540"/>
        <v>花都四部-凤凰仓</v>
      </c>
      <c r="G4792" s="1" t="str">
        <f t="shared" si="1535"/>
        <v>卡卡杜个人护理店（抖店）</v>
      </c>
      <c r="H4792" s="1" t="str">
        <f t="shared" si="1541"/>
        <v>正常订单</v>
      </c>
      <c r="I4792" s="1" t="str">
        <f t="shared" si="1542"/>
        <v>已发货</v>
      </c>
      <c r="J4792" s="1" t="str">
        <f t="shared" si="1546"/>
        <v>3</v>
      </c>
      <c r="K4792" s="1">
        <v>2</v>
      </c>
      <c r="L4792" s="1" t="s">
        <v>20</v>
      </c>
      <c r="M4792" s="1" t="str">
        <f>"浙江省 宁波市 北仑区 新碶街道"</f>
        <v>浙江省 宁波市 北仑区 新碶街道</v>
      </c>
      <c r="N4792" s="1" t="str">
        <f t="shared" si="1537"/>
        <v>凡华云仓-城南圆通-抖音</v>
      </c>
      <c r="O4792" s="5" t="s">
        <v>4820</v>
      </c>
      <c r="P4792" s="6">
        <v>0.35</v>
      </c>
      <c r="Q4792" s="11">
        <v>2.2999999999999998</v>
      </c>
      <c r="R4792" s="11"/>
      <c r="S4792" s="11"/>
      <c r="T4792" s="11"/>
      <c r="U4792" s="11">
        <f t="shared" si="1538"/>
        <v>2.2999999999999998</v>
      </c>
      <c r="W4792">
        <v>2.5</v>
      </c>
      <c r="X4792" s="1" t="s">
        <v>20</v>
      </c>
    </row>
    <row r="4793" spans="1:24" x14ac:dyDescent="0.25">
      <c r="A4793" s="1" t="str">
        <f t="shared" si="1539"/>
        <v>卡卡杜-凤凰仓</v>
      </c>
      <c r="B4793" s="1" t="str">
        <f>"CK202410214838"</f>
        <v>CK202410214838</v>
      </c>
      <c r="C4793" s="1" t="str">
        <f>"DD2024102110941"</f>
        <v>DD2024102110941</v>
      </c>
      <c r="D4793" s="1" t="str">
        <f>"CK2024102119605"</f>
        <v>CK2024102119605</v>
      </c>
      <c r="E4793" s="1" t="str">
        <f>"6935255347148035685"</f>
        <v>6935255347148035685</v>
      </c>
      <c r="F4793" s="1" t="str">
        <f t="shared" si="1540"/>
        <v>花都四部-凤凰仓</v>
      </c>
      <c r="G4793" s="1" t="str">
        <f t="shared" si="1535"/>
        <v>卡卡杜个人护理店（抖店）</v>
      </c>
      <c r="H4793" s="1" t="str">
        <f t="shared" si="1541"/>
        <v>正常订单</v>
      </c>
      <c r="I4793" s="1" t="str">
        <f t="shared" si="1542"/>
        <v>已发货</v>
      </c>
      <c r="J4793" s="1" t="str">
        <f t="shared" si="1546"/>
        <v>3</v>
      </c>
      <c r="K4793" s="1">
        <v>3</v>
      </c>
      <c r="L4793" s="1" t="s">
        <v>18</v>
      </c>
      <c r="M4793" s="1" t="str">
        <f>"广东省 深圳市 南山区 南头街道"</f>
        <v>广东省 深圳市 南山区 南头街道</v>
      </c>
      <c r="N4793" s="1" t="str">
        <f t="shared" si="1537"/>
        <v>凡华云仓-城南圆通-抖音</v>
      </c>
      <c r="O4793" s="5" t="s">
        <v>4821</v>
      </c>
      <c r="P4793" s="6">
        <v>0.34</v>
      </c>
      <c r="Q4793" s="11">
        <v>2.2999999999999998</v>
      </c>
      <c r="R4793" s="11"/>
      <c r="S4793" s="11"/>
      <c r="T4793" s="11"/>
      <c r="U4793" s="11">
        <f t="shared" si="1538"/>
        <v>2.2999999999999998</v>
      </c>
      <c r="W4793">
        <v>2.5</v>
      </c>
      <c r="X4793" s="1" t="s">
        <v>18</v>
      </c>
    </row>
    <row r="4794" spans="1:24" x14ac:dyDescent="0.25">
      <c r="A4794" s="1" t="str">
        <f t="shared" si="1539"/>
        <v>卡卡杜-凤凰仓</v>
      </c>
      <c r="B4794" s="1" t="str">
        <f>"CK202410214948"</f>
        <v>CK202410214948</v>
      </c>
      <c r="C4794" s="1" t="str">
        <f>"DD2024102111051"</f>
        <v>DD2024102111051</v>
      </c>
      <c r="D4794" s="1" t="str">
        <f>"CK2024102119604"</f>
        <v>CK2024102119604</v>
      </c>
      <c r="E4794" s="1" t="str">
        <f>"2429501605784568"</f>
        <v>2429501605784568</v>
      </c>
      <c r="F4794" s="1" t="str">
        <f t="shared" si="1540"/>
        <v>花都四部-凤凰仓</v>
      </c>
      <c r="G4794" s="1" t="str">
        <f t="shared" ref="G4794:G4857" si="1547">"卡卡杜佳旺专卖店（快手店）"</f>
        <v>卡卡杜佳旺专卖店（快手店）</v>
      </c>
      <c r="H4794" s="1" t="str">
        <f t="shared" si="1541"/>
        <v>正常订单</v>
      </c>
      <c r="I4794" s="1" t="str">
        <f t="shared" si="1542"/>
        <v>已发货</v>
      </c>
      <c r="J4794" s="1" t="str">
        <f t="shared" si="1546"/>
        <v>3</v>
      </c>
      <c r="K4794" s="1">
        <v>2</v>
      </c>
      <c r="L4794" s="1" t="s">
        <v>13</v>
      </c>
      <c r="M4794" s="1" t="str">
        <f>"江苏省 连云港市 东海县 牛山街道"</f>
        <v>江苏省 连云港市 东海县 牛山街道</v>
      </c>
      <c r="N4794" s="1" t="str">
        <f t="shared" ref="N4794:N4857" si="1548">"凡华云仓-城南圆通-快手"</f>
        <v>凡华云仓-城南圆通-快手</v>
      </c>
      <c r="O4794" s="5" t="s">
        <v>4822</v>
      </c>
      <c r="P4794" s="6">
        <v>0.35</v>
      </c>
      <c r="Q4794" s="11">
        <v>2.2999999999999998</v>
      </c>
      <c r="R4794" s="11"/>
      <c r="S4794" s="11"/>
      <c r="T4794" s="11"/>
      <c r="U4794" s="11">
        <f t="shared" si="1538"/>
        <v>2.2999999999999998</v>
      </c>
      <c r="W4794">
        <v>2.5</v>
      </c>
      <c r="X4794" s="1" t="s">
        <v>13</v>
      </c>
    </row>
    <row r="4795" spans="1:24" x14ac:dyDescent="0.25">
      <c r="A4795" s="1" t="str">
        <f t="shared" si="1539"/>
        <v>卡卡杜-凤凰仓</v>
      </c>
      <c r="B4795" s="1" t="str">
        <f>"CK202410215095"</f>
        <v>CK202410215095</v>
      </c>
      <c r="C4795" s="1" t="str">
        <f>"DD2024102111201"</f>
        <v>DD2024102111201</v>
      </c>
      <c r="D4795" s="1" t="str">
        <f>"CK2024102119603"</f>
        <v>CK2024102119603</v>
      </c>
      <c r="E4795" s="1" t="str">
        <f>"2429501923440407"</f>
        <v>2429501923440407</v>
      </c>
      <c r="F4795" s="1" t="str">
        <f t="shared" si="1540"/>
        <v>花都四部-凤凰仓</v>
      </c>
      <c r="G4795" s="1" t="str">
        <f t="shared" si="1547"/>
        <v>卡卡杜佳旺专卖店（快手店）</v>
      </c>
      <c r="H4795" s="1" t="str">
        <f t="shared" si="1541"/>
        <v>正常订单</v>
      </c>
      <c r="I4795" s="1" t="str">
        <f t="shared" si="1542"/>
        <v>已发货</v>
      </c>
      <c r="J4795" s="1" t="str">
        <f t="shared" ref="J4795:J4798" si="1549">"5"</f>
        <v>5</v>
      </c>
      <c r="K4795" s="1">
        <v>2</v>
      </c>
      <c r="L4795" s="1" t="s">
        <v>30</v>
      </c>
      <c r="M4795" s="1" t="str">
        <f>"山东省 青岛市 市北区 洛阳路街道"</f>
        <v>山东省 青岛市 市北区 洛阳路街道</v>
      </c>
      <c r="N4795" s="1" t="str">
        <f t="shared" si="1548"/>
        <v>凡华云仓-城南圆通-快手</v>
      </c>
      <c r="O4795" s="5" t="s">
        <v>4823</v>
      </c>
      <c r="P4795" s="6">
        <v>0.59</v>
      </c>
      <c r="Q4795" s="11">
        <f t="shared" ref="Q4795:Q4798" si="1550">CEILING(P4795-0.5,0.1)*10*0.15+2.3</f>
        <v>2.4499999999999997</v>
      </c>
      <c r="R4795" s="11"/>
      <c r="S4795" s="11"/>
      <c r="T4795" s="11"/>
      <c r="U4795" s="11">
        <f t="shared" si="1538"/>
        <v>2.4499999999999997</v>
      </c>
      <c r="V4795" t="s">
        <v>15</v>
      </c>
      <c r="W4795">
        <v>2.4500000000000002</v>
      </c>
      <c r="X4795" s="1" t="s">
        <v>30</v>
      </c>
    </row>
    <row r="4796" spans="1:24" x14ac:dyDescent="0.25">
      <c r="A4796" s="1" t="str">
        <f t="shared" si="1539"/>
        <v>卡卡杜-凤凰仓</v>
      </c>
      <c r="B4796" s="1" t="str">
        <f>"CK202410215093"</f>
        <v>CK202410215093</v>
      </c>
      <c r="C4796" s="1" t="str">
        <f>"DD2024102111199"</f>
        <v>DD2024102111199</v>
      </c>
      <c r="D4796" s="1" t="str">
        <f>"CK2024102119602"</f>
        <v>CK2024102119602</v>
      </c>
      <c r="E4796" s="1" t="str">
        <f>"2429501683475311"</f>
        <v>2429501683475311</v>
      </c>
      <c r="F4796" s="1" t="str">
        <f t="shared" si="1540"/>
        <v>花都四部-凤凰仓</v>
      </c>
      <c r="G4796" s="1" t="str">
        <f t="shared" si="1547"/>
        <v>卡卡杜佳旺专卖店（快手店）</v>
      </c>
      <c r="H4796" s="1" t="str">
        <f t="shared" si="1541"/>
        <v>正常订单</v>
      </c>
      <c r="I4796" s="1" t="str">
        <f t="shared" si="1542"/>
        <v>已发货</v>
      </c>
      <c r="J4796" s="1" t="str">
        <f t="shared" si="1549"/>
        <v>5</v>
      </c>
      <c r="K4796" s="1">
        <v>2</v>
      </c>
      <c r="L4796" s="1" t="s">
        <v>27</v>
      </c>
      <c r="M4796" s="1" t="str">
        <f>"贵州省 贵阳市 开阳县 云开街道"</f>
        <v>贵州省 贵阳市 开阳县 云开街道</v>
      </c>
      <c r="N4796" s="1" t="str">
        <f t="shared" si="1548"/>
        <v>凡华云仓-城南圆通-快手</v>
      </c>
      <c r="O4796" s="5" t="s">
        <v>4824</v>
      </c>
      <c r="P4796" s="6">
        <v>0.59</v>
      </c>
      <c r="Q4796" s="11">
        <f t="shared" si="1550"/>
        <v>2.4499999999999997</v>
      </c>
      <c r="R4796" s="11"/>
      <c r="S4796" s="11"/>
      <c r="T4796" s="11"/>
      <c r="U4796" s="11">
        <f t="shared" si="1538"/>
        <v>2.4499999999999997</v>
      </c>
      <c r="V4796" t="s">
        <v>15</v>
      </c>
      <c r="W4796">
        <v>2.4500000000000002</v>
      </c>
      <c r="X4796" s="1" t="s">
        <v>27</v>
      </c>
    </row>
    <row r="4797" spans="1:24" x14ac:dyDescent="0.25">
      <c r="A4797" s="1" t="str">
        <f t="shared" si="1539"/>
        <v>卡卡杜-凤凰仓</v>
      </c>
      <c r="B4797" s="1" t="str">
        <f>"CK202410214916"</f>
        <v>CK202410214916</v>
      </c>
      <c r="C4797" s="1" t="str">
        <f>"DD2024102111019"</f>
        <v>DD2024102111019</v>
      </c>
      <c r="D4797" s="1" t="str">
        <f>"CK2024102119601"</f>
        <v>CK2024102119601</v>
      </c>
      <c r="E4797" s="1" t="str">
        <f>"2429501605803931"</f>
        <v>2429501605803931</v>
      </c>
      <c r="F4797" s="1" t="str">
        <f t="shared" si="1540"/>
        <v>花都四部-凤凰仓</v>
      </c>
      <c r="G4797" s="1" t="str">
        <f t="shared" si="1547"/>
        <v>卡卡杜佳旺专卖店（快手店）</v>
      </c>
      <c r="H4797" s="1" t="str">
        <f t="shared" si="1541"/>
        <v>正常订单</v>
      </c>
      <c r="I4797" s="1" t="str">
        <f t="shared" si="1542"/>
        <v>已发货</v>
      </c>
      <c r="J4797" s="1" t="str">
        <f t="shared" ref="J4797:J4801" si="1551">"3"</f>
        <v>3</v>
      </c>
      <c r="K4797" s="1">
        <v>2</v>
      </c>
      <c r="L4797" s="1" t="s">
        <v>80</v>
      </c>
      <c r="M4797" s="1" t="str">
        <f>"河南省 安阳市 殷都区 西郊乡"</f>
        <v>河南省 安阳市 殷都区 西郊乡</v>
      </c>
      <c r="N4797" s="1" t="str">
        <f t="shared" si="1548"/>
        <v>凡华云仓-城南圆通-快手</v>
      </c>
      <c r="O4797" s="5" t="s">
        <v>4825</v>
      </c>
      <c r="P4797" s="6">
        <v>0.35</v>
      </c>
      <c r="Q4797" s="11">
        <v>2.2999999999999998</v>
      </c>
      <c r="R4797" s="11"/>
      <c r="S4797" s="11"/>
      <c r="T4797" s="11"/>
      <c r="U4797" s="11">
        <f t="shared" si="1538"/>
        <v>2.2999999999999998</v>
      </c>
      <c r="W4797">
        <v>2.5</v>
      </c>
      <c r="X4797" s="1" t="s">
        <v>80</v>
      </c>
    </row>
    <row r="4798" spans="1:24" x14ac:dyDescent="0.25">
      <c r="A4798" s="1" t="str">
        <f t="shared" si="1539"/>
        <v>卡卡杜-凤凰仓</v>
      </c>
      <c r="B4798" s="1" t="str">
        <f>"CK202410215098"</f>
        <v>CK202410215098</v>
      </c>
      <c r="C4798" s="1" t="str">
        <f>"DD2024102111204"</f>
        <v>DD2024102111204</v>
      </c>
      <c r="D4798" s="1" t="str">
        <f>"CK2024102119600"</f>
        <v>CK2024102119600</v>
      </c>
      <c r="E4798" s="1" t="str">
        <f>"2429502086528498"</f>
        <v>2429502086528498</v>
      </c>
      <c r="F4798" s="1" t="str">
        <f t="shared" si="1540"/>
        <v>花都四部-凤凰仓</v>
      </c>
      <c r="G4798" s="1" t="str">
        <f t="shared" si="1547"/>
        <v>卡卡杜佳旺专卖店（快手店）</v>
      </c>
      <c r="H4798" s="1" t="str">
        <f t="shared" si="1541"/>
        <v>正常订单</v>
      </c>
      <c r="I4798" s="1" t="str">
        <f t="shared" si="1542"/>
        <v>已发货</v>
      </c>
      <c r="J4798" s="1" t="str">
        <f t="shared" si="1549"/>
        <v>5</v>
      </c>
      <c r="K4798" s="1">
        <v>2</v>
      </c>
      <c r="L4798" s="1" t="s">
        <v>13</v>
      </c>
      <c r="M4798" s="1" t="str">
        <f>"江苏省 无锡市 梁溪区 扬名街道"</f>
        <v>江苏省 无锡市 梁溪区 扬名街道</v>
      </c>
      <c r="N4798" s="1" t="str">
        <f t="shared" si="1548"/>
        <v>凡华云仓-城南圆通-快手</v>
      </c>
      <c r="O4798" s="5" t="s">
        <v>4826</v>
      </c>
      <c r="P4798" s="6">
        <v>0.59</v>
      </c>
      <c r="Q4798" s="11">
        <f t="shared" si="1550"/>
        <v>2.4499999999999997</v>
      </c>
      <c r="R4798" s="11"/>
      <c r="S4798" s="11"/>
      <c r="T4798" s="11"/>
      <c r="U4798" s="11">
        <f t="shared" si="1538"/>
        <v>2.4499999999999997</v>
      </c>
      <c r="V4798" t="s">
        <v>15</v>
      </c>
      <c r="W4798">
        <v>2.4500000000000002</v>
      </c>
      <c r="X4798" s="1" t="s">
        <v>13</v>
      </c>
    </row>
    <row r="4799" spans="1:24" x14ac:dyDescent="0.25">
      <c r="A4799" s="1" t="str">
        <f t="shared" si="1539"/>
        <v>卡卡杜-凤凰仓</v>
      </c>
      <c r="B4799" s="1" t="str">
        <f>"CK202410214941"</f>
        <v>CK202410214941</v>
      </c>
      <c r="C4799" s="1" t="str">
        <f>"DD2024102111044"</f>
        <v>DD2024102111044</v>
      </c>
      <c r="D4799" s="1" t="str">
        <f>"CK2024102119599"</f>
        <v>CK2024102119599</v>
      </c>
      <c r="E4799" s="1" t="str">
        <f>"2429501769747277"</f>
        <v>2429501769747277</v>
      </c>
      <c r="F4799" s="1" t="str">
        <f t="shared" si="1540"/>
        <v>花都四部-凤凰仓</v>
      </c>
      <c r="G4799" s="1" t="str">
        <f t="shared" si="1547"/>
        <v>卡卡杜佳旺专卖店（快手店）</v>
      </c>
      <c r="H4799" s="1" t="str">
        <f t="shared" si="1541"/>
        <v>正常订单</v>
      </c>
      <c r="I4799" s="1" t="str">
        <f t="shared" si="1542"/>
        <v>已发货</v>
      </c>
      <c r="J4799" s="1" t="str">
        <f t="shared" si="1551"/>
        <v>3</v>
      </c>
      <c r="K4799" s="1">
        <v>2</v>
      </c>
      <c r="L4799" s="1" t="s">
        <v>18</v>
      </c>
      <c r="M4799" s="1" t="str">
        <f>"广东省 深圳市 宝安区 福海街道"</f>
        <v>广东省 深圳市 宝安区 福海街道</v>
      </c>
      <c r="N4799" s="1" t="str">
        <f t="shared" si="1548"/>
        <v>凡华云仓-城南圆通-快手</v>
      </c>
      <c r="O4799" s="5" t="s">
        <v>4827</v>
      </c>
      <c r="P4799" s="6">
        <v>0.35</v>
      </c>
      <c r="Q4799" s="11">
        <v>2.2999999999999998</v>
      </c>
      <c r="R4799" s="11"/>
      <c r="S4799" s="11"/>
      <c r="T4799" s="11"/>
      <c r="U4799" s="11">
        <f t="shared" si="1538"/>
        <v>2.2999999999999998</v>
      </c>
      <c r="W4799">
        <v>2.5</v>
      </c>
      <c r="X4799" s="1" t="s">
        <v>18</v>
      </c>
    </row>
    <row r="4800" spans="1:24" x14ac:dyDescent="0.25">
      <c r="A4800" s="1" t="str">
        <f t="shared" si="1539"/>
        <v>卡卡杜-凤凰仓</v>
      </c>
      <c r="B4800" s="1" t="str">
        <f>"CK202410214940"</f>
        <v>CK202410214940</v>
      </c>
      <c r="C4800" s="1" t="str">
        <f>"DD2024102111043"</f>
        <v>DD2024102111043</v>
      </c>
      <c r="D4800" s="1" t="str">
        <f>"CK2024102119598"</f>
        <v>CK2024102119598</v>
      </c>
      <c r="E4800" s="1" t="str">
        <f>"2429501601705145"</f>
        <v>2429501601705145</v>
      </c>
      <c r="F4800" s="1" t="str">
        <f t="shared" si="1540"/>
        <v>花都四部-凤凰仓</v>
      </c>
      <c r="G4800" s="1" t="str">
        <f t="shared" si="1547"/>
        <v>卡卡杜佳旺专卖店（快手店）</v>
      </c>
      <c r="H4800" s="1" t="str">
        <f t="shared" si="1541"/>
        <v>正常订单</v>
      </c>
      <c r="I4800" s="1" t="str">
        <f t="shared" si="1542"/>
        <v>已发货</v>
      </c>
      <c r="J4800" s="1" t="str">
        <f t="shared" si="1551"/>
        <v>3</v>
      </c>
      <c r="K4800" s="1">
        <v>2</v>
      </c>
      <c r="L4800" s="1" t="s">
        <v>13</v>
      </c>
      <c r="M4800" s="1" t="str">
        <f>"江苏省 徐州市 邳州市 赵墩镇"</f>
        <v>江苏省 徐州市 邳州市 赵墩镇</v>
      </c>
      <c r="N4800" s="1" t="str">
        <f t="shared" si="1548"/>
        <v>凡华云仓-城南圆通-快手</v>
      </c>
      <c r="O4800" s="5" t="s">
        <v>4828</v>
      </c>
      <c r="P4800" s="6">
        <v>0.35</v>
      </c>
      <c r="Q4800" s="11">
        <v>2.2999999999999998</v>
      </c>
      <c r="R4800" s="11"/>
      <c r="S4800" s="11"/>
      <c r="T4800" s="11"/>
      <c r="U4800" s="11">
        <f t="shared" si="1538"/>
        <v>2.2999999999999998</v>
      </c>
      <c r="W4800">
        <v>2.5</v>
      </c>
      <c r="X4800" s="1" t="s">
        <v>13</v>
      </c>
    </row>
    <row r="4801" spans="1:24" x14ac:dyDescent="0.25">
      <c r="A4801" s="1" t="str">
        <f t="shared" si="1539"/>
        <v>卡卡杜-凤凰仓</v>
      </c>
      <c r="B4801" s="1" t="str">
        <f>"CK202410214954"</f>
        <v>CK202410214954</v>
      </c>
      <c r="C4801" s="1" t="str">
        <f>"DD2024102111055"</f>
        <v>DD2024102111055</v>
      </c>
      <c r="D4801" s="1" t="str">
        <f>"CK2024102119597"</f>
        <v>CK2024102119597</v>
      </c>
      <c r="E4801" s="1" t="str">
        <f>"2429502083315015"</f>
        <v>2429502083315015</v>
      </c>
      <c r="F4801" s="1" t="str">
        <f t="shared" si="1540"/>
        <v>花都四部-凤凰仓</v>
      </c>
      <c r="G4801" s="1" t="str">
        <f t="shared" si="1547"/>
        <v>卡卡杜佳旺专卖店（快手店）</v>
      </c>
      <c r="H4801" s="1" t="str">
        <f t="shared" si="1541"/>
        <v>正常订单</v>
      </c>
      <c r="I4801" s="1" t="str">
        <f t="shared" si="1542"/>
        <v>已发货</v>
      </c>
      <c r="J4801" s="1" t="str">
        <f t="shared" si="1551"/>
        <v>3</v>
      </c>
      <c r="K4801" s="1">
        <v>2</v>
      </c>
      <c r="L4801" s="1" t="s">
        <v>18</v>
      </c>
      <c r="M4801" s="1" t="str">
        <f>"广东省 东莞市 厚街镇 厚街镇"</f>
        <v>广东省 东莞市 厚街镇 厚街镇</v>
      </c>
      <c r="N4801" s="1" t="str">
        <f t="shared" si="1548"/>
        <v>凡华云仓-城南圆通-快手</v>
      </c>
      <c r="O4801" s="5" t="s">
        <v>4829</v>
      </c>
      <c r="P4801" s="6">
        <v>0.35</v>
      </c>
      <c r="Q4801" s="11">
        <v>2.2999999999999998</v>
      </c>
      <c r="R4801" s="11"/>
      <c r="S4801" s="11"/>
      <c r="T4801" s="11"/>
      <c r="U4801" s="11">
        <f t="shared" si="1538"/>
        <v>2.2999999999999998</v>
      </c>
      <c r="W4801">
        <v>2.5</v>
      </c>
      <c r="X4801" s="1" t="s">
        <v>18</v>
      </c>
    </row>
    <row r="4802" spans="1:24" x14ac:dyDescent="0.25">
      <c r="A4802" s="1" t="str">
        <f t="shared" si="1539"/>
        <v>卡卡杜-凤凰仓</v>
      </c>
      <c r="B4802" s="1" t="str">
        <f>"CK202410215088"</f>
        <v>CK202410215088</v>
      </c>
      <c r="C4802" s="1" t="str">
        <f>"DD2024102111193"</f>
        <v>DD2024102111193</v>
      </c>
      <c r="D4802" s="1" t="str">
        <f>"CK2024102119596"</f>
        <v>CK2024102119596</v>
      </c>
      <c r="E4802" s="1" t="str">
        <f>"2429501605699289"</f>
        <v>2429501605699289</v>
      </c>
      <c r="F4802" s="1" t="str">
        <f t="shared" si="1540"/>
        <v>花都四部-凤凰仓</v>
      </c>
      <c r="G4802" s="1" t="str">
        <f t="shared" si="1547"/>
        <v>卡卡杜佳旺专卖店（快手店）</v>
      </c>
      <c r="H4802" s="1" t="str">
        <f t="shared" si="1541"/>
        <v>正常订单</v>
      </c>
      <c r="I4802" s="1" t="str">
        <f t="shared" si="1542"/>
        <v>已发货</v>
      </c>
      <c r="J4802" s="1" t="str">
        <f t="shared" ref="J4802:J4807" si="1552">"5"</f>
        <v>5</v>
      </c>
      <c r="K4802" s="1">
        <v>2</v>
      </c>
      <c r="L4802" s="1" t="s">
        <v>41</v>
      </c>
      <c r="M4802" s="1" t="str">
        <f>"湖北省 武汉市 武昌区 积玉桥街道"</f>
        <v>湖北省 武汉市 武昌区 积玉桥街道</v>
      </c>
      <c r="N4802" s="1" t="str">
        <f t="shared" si="1548"/>
        <v>凡华云仓-城南圆通-快手</v>
      </c>
      <c r="O4802" s="5" t="s">
        <v>4830</v>
      </c>
      <c r="P4802" s="6">
        <v>0.59</v>
      </c>
      <c r="Q4802" s="11">
        <f t="shared" ref="Q4802:Q4807" si="1553">CEILING(P4802-0.5,0.1)*10*0.15+2.3</f>
        <v>2.4499999999999997</v>
      </c>
      <c r="R4802" s="11"/>
      <c r="S4802" s="11"/>
      <c r="T4802" s="11"/>
      <c r="U4802" s="11">
        <f t="shared" si="1538"/>
        <v>2.4499999999999997</v>
      </c>
      <c r="V4802" t="s">
        <v>15</v>
      </c>
      <c r="W4802">
        <v>2.4500000000000002</v>
      </c>
      <c r="X4802" s="1" t="s">
        <v>41</v>
      </c>
    </row>
    <row r="4803" spans="1:24" x14ac:dyDescent="0.25">
      <c r="A4803" s="1" t="str">
        <f t="shared" si="1539"/>
        <v>卡卡杜-凤凰仓</v>
      </c>
      <c r="B4803" s="1" t="str">
        <f>"CK202410215087"</f>
        <v>CK202410215087</v>
      </c>
      <c r="C4803" s="1" t="str">
        <f>"DD2024102111192"</f>
        <v>DD2024102111192</v>
      </c>
      <c r="D4803" s="1" t="str">
        <f>"CK2024102119595"</f>
        <v>CK2024102119595</v>
      </c>
      <c r="E4803" s="1" t="str">
        <f>"2429501772154428"</f>
        <v>2429501772154428</v>
      </c>
      <c r="F4803" s="1" t="str">
        <f t="shared" si="1540"/>
        <v>花都四部-凤凰仓</v>
      </c>
      <c r="G4803" s="1" t="str">
        <f t="shared" si="1547"/>
        <v>卡卡杜佳旺专卖店（快手店）</v>
      </c>
      <c r="H4803" s="1" t="str">
        <f t="shared" si="1541"/>
        <v>正常订单</v>
      </c>
      <c r="I4803" s="1" t="str">
        <f t="shared" si="1542"/>
        <v>已发货</v>
      </c>
      <c r="J4803" s="1" t="str">
        <f t="shared" si="1552"/>
        <v>5</v>
      </c>
      <c r="K4803" s="1">
        <v>2</v>
      </c>
      <c r="L4803" s="1" t="s">
        <v>710</v>
      </c>
      <c r="M4803" s="1" t="str">
        <f>"上海市 上海市 浦东新区 潍坊新村街道"</f>
        <v>上海市 上海市 浦东新区 潍坊新村街道</v>
      </c>
      <c r="N4803" s="1" t="str">
        <f t="shared" si="1548"/>
        <v>凡华云仓-城南圆通-快手</v>
      </c>
      <c r="O4803" s="5" t="s">
        <v>4831</v>
      </c>
      <c r="P4803" s="6">
        <v>0.59</v>
      </c>
      <c r="Q4803" s="11">
        <f t="shared" si="1553"/>
        <v>2.4499999999999997</v>
      </c>
      <c r="R4803" s="11"/>
      <c r="S4803" s="11"/>
      <c r="T4803" s="11"/>
      <c r="U4803" s="11">
        <f t="shared" ref="U4803:U4866" si="1554">T4803+S4803+R4803+Q4803</f>
        <v>2.4499999999999997</v>
      </c>
      <c r="V4803" t="s">
        <v>15</v>
      </c>
      <c r="W4803">
        <v>2.4500000000000002</v>
      </c>
      <c r="X4803" s="1" t="s">
        <v>710</v>
      </c>
    </row>
    <row r="4804" spans="1:24" x14ac:dyDescent="0.25">
      <c r="A4804" s="1" t="str">
        <f t="shared" si="1539"/>
        <v>卡卡杜-凤凰仓</v>
      </c>
      <c r="B4804" s="1" t="str">
        <f>"CK202410214955"</f>
        <v>CK202410214955</v>
      </c>
      <c r="C4804" s="1" t="str">
        <f>"DD2024102111058"</f>
        <v>DD2024102111058</v>
      </c>
      <c r="D4804" s="1" t="str">
        <f>"CK2024102119594"</f>
        <v>CK2024102119594</v>
      </c>
      <c r="E4804" s="1" t="str">
        <f>"2429502087290648"</f>
        <v>2429502087290648</v>
      </c>
      <c r="F4804" s="1" t="str">
        <f t="shared" si="1540"/>
        <v>花都四部-凤凰仓</v>
      </c>
      <c r="G4804" s="1" t="str">
        <f t="shared" si="1547"/>
        <v>卡卡杜佳旺专卖店（快手店）</v>
      </c>
      <c r="H4804" s="1" t="str">
        <f t="shared" si="1541"/>
        <v>正常订单</v>
      </c>
      <c r="I4804" s="1" t="str">
        <f t="shared" si="1542"/>
        <v>已发货</v>
      </c>
      <c r="J4804" s="1" t="str">
        <f t="shared" ref="J4804:J4806" si="1555">"3"</f>
        <v>3</v>
      </c>
      <c r="K4804" s="1">
        <v>2</v>
      </c>
      <c r="L4804" s="1" t="s">
        <v>20</v>
      </c>
      <c r="M4804" s="1" t="str">
        <f>"浙江省 金华市 武义县 壶山街道"</f>
        <v>浙江省 金华市 武义县 壶山街道</v>
      </c>
      <c r="N4804" s="1" t="str">
        <f t="shared" si="1548"/>
        <v>凡华云仓-城南圆通-快手</v>
      </c>
      <c r="O4804" s="5" t="s">
        <v>4832</v>
      </c>
      <c r="P4804" s="6">
        <v>0.35</v>
      </c>
      <c r="Q4804" s="11">
        <v>2.2999999999999998</v>
      </c>
      <c r="R4804" s="11"/>
      <c r="S4804" s="11"/>
      <c r="T4804" s="11"/>
      <c r="U4804" s="11">
        <f t="shared" si="1554"/>
        <v>2.2999999999999998</v>
      </c>
      <c r="W4804">
        <v>2.5</v>
      </c>
      <c r="X4804" s="1" t="s">
        <v>20</v>
      </c>
    </row>
    <row r="4805" spans="1:24" x14ac:dyDescent="0.25">
      <c r="A4805" s="1" t="str">
        <f t="shared" ref="A4805:A4868" si="1556">"卡卡杜-凤凰仓"</f>
        <v>卡卡杜-凤凰仓</v>
      </c>
      <c r="B4805" s="1" t="str">
        <f>"CK202410214958"</f>
        <v>CK202410214958</v>
      </c>
      <c r="C4805" s="1" t="str">
        <f>"DD2024102111061"</f>
        <v>DD2024102111061</v>
      </c>
      <c r="D4805" s="1" t="str">
        <f>"CK2024102119593"</f>
        <v>CK2024102119593</v>
      </c>
      <c r="E4805" s="1" t="str">
        <f>"2429502088121825"</f>
        <v>2429502088121825</v>
      </c>
      <c r="F4805" s="1" t="str">
        <f t="shared" ref="F4805:F4868" si="1557">"花都四部-凤凰仓"</f>
        <v>花都四部-凤凰仓</v>
      </c>
      <c r="G4805" s="1" t="str">
        <f t="shared" si="1547"/>
        <v>卡卡杜佳旺专卖店（快手店）</v>
      </c>
      <c r="H4805" s="1" t="str">
        <f t="shared" ref="H4805:H4868" si="1558">"正常订单"</f>
        <v>正常订单</v>
      </c>
      <c r="I4805" s="1" t="str">
        <f t="shared" ref="I4805:I4868" si="1559">"已发货"</f>
        <v>已发货</v>
      </c>
      <c r="J4805" s="1" t="str">
        <f t="shared" si="1555"/>
        <v>3</v>
      </c>
      <c r="K4805" s="1">
        <v>2</v>
      </c>
      <c r="L4805" s="1" t="s">
        <v>20</v>
      </c>
      <c r="M4805" s="1" t="str">
        <f>"浙江省 嘉兴市 秀洲区 嘉北街道"</f>
        <v>浙江省 嘉兴市 秀洲区 嘉北街道</v>
      </c>
      <c r="N4805" s="1" t="str">
        <f t="shared" si="1548"/>
        <v>凡华云仓-城南圆通-快手</v>
      </c>
      <c r="O4805" s="5" t="s">
        <v>4833</v>
      </c>
      <c r="P4805" s="6">
        <v>0.35</v>
      </c>
      <c r="Q4805" s="11">
        <v>2.2999999999999998</v>
      </c>
      <c r="R4805" s="11"/>
      <c r="S4805" s="11"/>
      <c r="T4805" s="11"/>
      <c r="U4805" s="11">
        <f t="shared" si="1554"/>
        <v>2.2999999999999998</v>
      </c>
      <c r="W4805">
        <v>2.5</v>
      </c>
      <c r="X4805" s="1" t="s">
        <v>20</v>
      </c>
    </row>
    <row r="4806" spans="1:24" x14ac:dyDescent="0.25">
      <c r="A4806" s="1" t="str">
        <f t="shared" si="1556"/>
        <v>卡卡杜-凤凰仓</v>
      </c>
      <c r="B4806" s="1" t="str">
        <f>"CK202410214960"</f>
        <v>CK202410214960</v>
      </c>
      <c r="C4806" s="1" t="str">
        <f>"DD2024102111062"</f>
        <v>DD2024102111062</v>
      </c>
      <c r="D4806" s="1" t="str">
        <f>"CK2024102119592"</f>
        <v>CK2024102119592</v>
      </c>
      <c r="E4806" s="1" t="str">
        <f>"2429501692866644"</f>
        <v>2429501692866644</v>
      </c>
      <c r="F4806" s="1" t="str">
        <f t="shared" si="1557"/>
        <v>花都四部-凤凰仓</v>
      </c>
      <c r="G4806" s="1" t="str">
        <f t="shared" si="1547"/>
        <v>卡卡杜佳旺专卖店（快手店）</v>
      </c>
      <c r="H4806" s="1" t="str">
        <f t="shared" si="1558"/>
        <v>正常订单</v>
      </c>
      <c r="I4806" s="1" t="str">
        <f t="shared" si="1559"/>
        <v>已发货</v>
      </c>
      <c r="J4806" s="1" t="str">
        <f t="shared" si="1555"/>
        <v>3</v>
      </c>
      <c r="K4806" s="1">
        <v>2</v>
      </c>
      <c r="L4806" s="1" t="s">
        <v>80</v>
      </c>
      <c r="M4806" s="1" t="str">
        <f>"河南省 商丘市 豫东综合物流产业聚集区 中州街道"</f>
        <v>河南省 商丘市 豫东综合物流产业聚集区 中州街道</v>
      </c>
      <c r="N4806" s="1" t="str">
        <f t="shared" si="1548"/>
        <v>凡华云仓-城南圆通-快手</v>
      </c>
      <c r="O4806" s="5" t="s">
        <v>4834</v>
      </c>
      <c r="P4806" s="6">
        <v>0.35</v>
      </c>
      <c r="Q4806" s="11">
        <v>2.2999999999999998</v>
      </c>
      <c r="R4806" s="11"/>
      <c r="S4806" s="11"/>
      <c r="T4806" s="11"/>
      <c r="U4806" s="11">
        <f t="shared" si="1554"/>
        <v>2.2999999999999998</v>
      </c>
      <c r="W4806">
        <v>2.5</v>
      </c>
      <c r="X4806" s="1" t="s">
        <v>80</v>
      </c>
    </row>
    <row r="4807" spans="1:24" x14ac:dyDescent="0.25">
      <c r="A4807" s="1" t="str">
        <f t="shared" si="1556"/>
        <v>卡卡杜-凤凰仓</v>
      </c>
      <c r="B4807" s="1" t="str">
        <f>"CK202410215073"</f>
        <v>CK202410215073</v>
      </c>
      <c r="C4807" s="1" t="str">
        <f>"DD2024102111178"</f>
        <v>DD2024102111178</v>
      </c>
      <c r="D4807" s="1" t="str">
        <f>"CK2024102119591"</f>
        <v>CK2024102119591</v>
      </c>
      <c r="E4807" s="1" t="str">
        <f>"2429502001713070"</f>
        <v>2429502001713070</v>
      </c>
      <c r="F4807" s="1" t="str">
        <f t="shared" si="1557"/>
        <v>花都四部-凤凰仓</v>
      </c>
      <c r="G4807" s="1" t="str">
        <f t="shared" si="1547"/>
        <v>卡卡杜佳旺专卖店（快手店）</v>
      </c>
      <c r="H4807" s="1" t="str">
        <f t="shared" si="1558"/>
        <v>正常订单</v>
      </c>
      <c r="I4807" s="1" t="str">
        <f t="shared" si="1559"/>
        <v>已发货</v>
      </c>
      <c r="J4807" s="1" t="str">
        <f t="shared" si="1552"/>
        <v>5</v>
      </c>
      <c r="K4807" s="1">
        <v>2</v>
      </c>
      <c r="L4807" s="1" t="s">
        <v>41</v>
      </c>
      <c r="M4807" s="1" t="str">
        <f>"湖北省 武汉市 武昌区 积玉桥街道"</f>
        <v>湖北省 武汉市 武昌区 积玉桥街道</v>
      </c>
      <c r="N4807" s="1" t="str">
        <f t="shared" si="1548"/>
        <v>凡华云仓-城南圆通-快手</v>
      </c>
      <c r="O4807" s="5" t="s">
        <v>4835</v>
      </c>
      <c r="P4807" s="6">
        <v>0.59</v>
      </c>
      <c r="Q4807" s="11">
        <f t="shared" si="1553"/>
        <v>2.4499999999999997</v>
      </c>
      <c r="R4807" s="11"/>
      <c r="S4807" s="11"/>
      <c r="T4807" s="11"/>
      <c r="U4807" s="11">
        <f t="shared" si="1554"/>
        <v>2.4499999999999997</v>
      </c>
      <c r="V4807" t="s">
        <v>15</v>
      </c>
      <c r="W4807">
        <v>2.4500000000000002</v>
      </c>
      <c r="X4807" s="1" t="s">
        <v>41</v>
      </c>
    </row>
    <row r="4808" spans="1:24" x14ac:dyDescent="0.25">
      <c r="A4808" s="1" t="str">
        <f t="shared" si="1556"/>
        <v>卡卡杜-凤凰仓</v>
      </c>
      <c r="B4808" s="1" t="str">
        <f>"CK202410214939"</f>
        <v>CK202410214939</v>
      </c>
      <c r="C4808" s="1" t="str">
        <f>"DD2024102111041"</f>
        <v>DD2024102111041</v>
      </c>
      <c r="D4808" s="1" t="str">
        <f>"CK2024102119590"</f>
        <v>CK2024102119590</v>
      </c>
      <c r="E4808" s="1" t="str">
        <f>"2429501767282960"</f>
        <v>2429501767282960</v>
      </c>
      <c r="F4808" s="1" t="str">
        <f t="shared" si="1557"/>
        <v>花都四部-凤凰仓</v>
      </c>
      <c r="G4808" s="1" t="str">
        <f t="shared" si="1547"/>
        <v>卡卡杜佳旺专卖店（快手店）</v>
      </c>
      <c r="H4808" s="1" t="str">
        <f t="shared" si="1558"/>
        <v>正常订单</v>
      </c>
      <c r="I4808" s="1" t="str">
        <f t="shared" si="1559"/>
        <v>已发货</v>
      </c>
      <c r="J4808" s="1" t="str">
        <f t="shared" ref="J4808:J4811" si="1560">"3"</f>
        <v>3</v>
      </c>
      <c r="K4808" s="1">
        <v>2</v>
      </c>
      <c r="L4808" s="1" t="s">
        <v>54</v>
      </c>
      <c r="M4808" s="1" t="str">
        <f>"黑龙江省 哈尔滨市 道里区 新农镇"</f>
        <v>黑龙江省 哈尔滨市 道里区 新农镇</v>
      </c>
      <c r="N4808" s="1" t="str">
        <f t="shared" si="1548"/>
        <v>凡华云仓-城南圆通-快手</v>
      </c>
      <c r="O4808" s="5" t="s">
        <v>4836</v>
      </c>
      <c r="P4808" s="6">
        <v>0.35</v>
      </c>
      <c r="Q4808" s="11">
        <v>2.2999999999999998</v>
      </c>
      <c r="R4808" s="11"/>
      <c r="S4808" s="11"/>
      <c r="T4808" s="11"/>
      <c r="U4808" s="11">
        <f t="shared" si="1554"/>
        <v>2.2999999999999998</v>
      </c>
      <c r="W4808">
        <v>2.5</v>
      </c>
      <c r="X4808" s="1" t="s">
        <v>54</v>
      </c>
    </row>
    <row r="4809" spans="1:24" x14ac:dyDescent="0.25">
      <c r="A4809" s="1" t="str">
        <f t="shared" si="1556"/>
        <v>卡卡杜-凤凰仓</v>
      </c>
      <c r="B4809" s="1" t="str">
        <f>"CK202410214961"</f>
        <v>CK202410214961</v>
      </c>
      <c r="C4809" s="1" t="str">
        <f>"DD2024102111064"</f>
        <v>DD2024102111064</v>
      </c>
      <c r="D4809" s="1" t="str">
        <f>"CK2024102119589"</f>
        <v>CK2024102119589</v>
      </c>
      <c r="E4809" s="1" t="str">
        <f>"2429502004857764"</f>
        <v>2429502004857764</v>
      </c>
      <c r="F4809" s="1" t="str">
        <f t="shared" si="1557"/>
        <v>花都四部-凤凰仓</v>
      </c>
      <c r="G4809" s="1" t="str">
        <f t="shared" si="1547"/>
        <v>卡卡杜佳旺专卖店（快手店）</v>
      </c>
      <c r="H4809" s="1" t="str">
        <f t="shared" si="1558"/>
        <v>正常订单</v>
      </c>
      <c r="I4809" s="1" t="str">
        <f t="shared" si="1559"/>
        <v>已发货</v>
      </c>
      <c r="J4809" s="1" t="str">
        <f t="shared" si="1560"/>
        <v>3</v>
      </c>
      <c r="K4809" s="1">
        <v>2</v>
      </c>
      <c r="L4809" s="1" t="s">
        <v>36</v>
      </c>
      <c r="M4809" s="1" t="str">
        <f>"安徽省 合肥市 蜀山区 高新技术产业开发区"</f>
        <v>安徽省 合肥市 蜀山区 高新技术产业开发区</v>
      </c>
      <c r="N4809" s="1" t="str">
        <f t="shared" si="1548"/>
        <v>凡华云仓-城南圆通-快手</v>
      </c>
      <c r="O4809" s="5" t="s">
        <v>4837</v>
      </c>
      <c r="P4809" s="6">
        <v>0.35</v>
      </c>
      <c r="Q4809" s="11">
        <v>2.2999999999999998</v>
      </c>
      <c r="R4809" s="11"/>
      <c r="S4809" s="11"/>
      <c r="T4809" s="11"/>
      <c r="U4809" s="11">
        <f t="shared" si="1554"/>
        <v>2.2999999999999998</v>
      </c>
      <c r="W4809">
        <v>2.5</v>
      </c>
      <c r="X4809" s="1" t="s">
        <v>36</v>
      </c>
    </row>
    <row r="4810" spans="1:24" x14ac:dyDescent="0.25">
      <c r="A4810" s="1" t="str">
        <f t="shared" si="1556"/>
        <v>卡卡杜-凤凰仓</v>
      </c>
      <c r="B4810" s="1" t="str">
        <f>"CK202410215112"</f>
        <v>CK202410215112</v>
      </c>
      <c r="C4810" s="1" t="str">
        <f>"DD2024102111217"</f>
        <v>DD2024102111217</v>
      </c>
      <c r="D4810" s="1" t="str">
        <f>"CK2024102119588"</f>
        <v>CK2024102119588</v>
      </c>
      <c r="E4810" s="1" t="str">
        <f>"2429501842520727"</f>
        <v>2429501842520727</v>
      </c>
      <c r="F4810" s="1" t="str">
        <f t="shared" si="1557"/>
        <v>花都四部-凤凰仓</v>
      </c>
      <c r="G4810" s="1" t="str">
        <f t="shared" si="1547"/>
        <v>卡卡杜佳旺专卖店（快手店）</v>
      </c>
      <c r="H4810" s="1" t="str">
        <f t="shared" si="1558"/>
        <v>正常订单</v>
      </c>
      <c r="I4810" s="1" t="str">
        <f t="shared" si="1559"/>
        <v>已发货</v>
      </c>
      <c r="J4810" s="1" t="str">
        <f t="shared" si="1560"/>
        <v>3</v>
      </c>
      <c r="K4810" s="1">
        <v>2</v>
      </c>
      <c r="L4810" s="1" t="s">
        <v>18</v>
      </c>
      <c r="M4810" s="1" t="str">
        <f>"广东省 深圳市 宝安区 石岩街道"</f>
        <v>广东省 深圳市 宝安区 石岩街道</v>
      </c>
      <c r="N4810" s="1" t="str">
        <f t="shared" si="1548"/>
        <v>凡华云仓-城南圆通-快手</v>
      </c>
      <c r="O4810" s="5" t="s">
        <v>4838</v>
      </c>
      <c r="P4810" s="6">
        <v>0.35</v>
      </c>
      <c r="Q4810" s="11">
        <v>2.2999999999999998</v>
      </c>
      <c r="R4810" s="11"/>
      <c r="S4810" s="11"/>
      <c r="T4810" s="11"/>
      <c r="U4810" s="11">
        <f t="shared" si="1554"/>
        <v>2.2999999999999998</v>
      </c>
      <c r="W4810">
        <v>2.5</v>
      </c>
      <c r="X4810" s="1" t="s">
        <v>18</v>
      </c>
    </row>
    <row r="4811" spans="1:24" x14ac:dyDescent="0.25">
      <c r="A4811" s="1" t="str">
        <f t="shared" si="1556"/>
        <v>卡卡杜-凤凰仓</v>
      </c>
      <c r="B4811" s="1" t="str">
        <f>"CK202410215111"</f>
        <v>CK202410215111</v>
      </c>
      <c r="C4811" s="1" t="str">
        <f>"DD2024102111218"</f>
        <v>DD2024102111218</v>
      </c>
      <c r="D4811" s="1" t="str">
        <f>"CK2024102119587"</f>
        <v>CK2024102119587</v>
      </c>
      <c r="E4811" s="1" t="str">
        <f>"2429501682464727"</f>
        <v>2429501682464727</v>
      </c>
      <c r="F4811" s="1" t="str">
        <f t="shared" si="1557"/>
        <v>花都四部-凤凰仓</v>
      </c>
      <c r="G4811" s="1" t="str">
        <f t="shared" si="1547"/>
        <v>卡卡杜佳旺专卖店（快手店）</v>
      </c>
      <c r="H4811" s="1" t="str">
        <f t="shared" si="1558"/>
        <v>正常订单</v>
      </c>
      <c r="I4811" s="1" t="str">
        <f t="shared" si="1559"/>
        <v>已发货</v>
      </c>
      <c r="J4811" s="1" t="str">
        <f t="shared" si="1560"/>
        <v>3</v>
      </c>
      <c r="K4811" s="1">
        <v>2</v>
      </c>
      <c r="L4811" s="1" t="s">
        <v>18</v>
      </c>
      <c r="M4811" s="1" t="str">
        <f>"广东省 深圳市 宝安区 石岩街道"</f>
        <v>广东省 深圳市 宝安区 石岩街道</v>
      </c>
      <c r="N4811" s="1" t="str">
        <f t="shared" si="1548"/>
        <v>凡华云仓-城南圆通-快手</v>
      </c>
      <c r="O4811" s="5" t="s">
        <v>4839</v>
      </c>
      <c r="P4811" s="6">
        <v>0.35</v>
      </c>
      <c r="Q4811" s="11">
        <v>2.2999999999999998</v>
      </c>
      <c r="R4811" s="11"/>
      <c r="S4811" s="11"/>
      <c r="T4811" s="11"/>
      <c r="U4811" s="11">
        <f t="shared" si="1554"/>
        <v>2.2999999999999998</v>
      </c>
      <c r="W4811">
        <v>2.5</v>
      </c>
      <c r="X4811" s="1" t="s">
        <v>18</v>
      </c>
    </row>
    <row r="4812" spans="1:24" x14ac:dyDescent="0.25">
      <c r="A4812" s="1" t="str">
        <f t="shared" si="1556"/>
        <v>卡卡杜-凤凰仓</v>
      </c>
      <c r="B4812" s="1" t="str">
        <f>"CK202410215081"</f>
        <v>CK202410215081</v>
      </c>
      <c r="C4812" s="1" t="str">
        <f>"DD2024102111187"</f>
        <v>DD2024102111187</v>
      </c>
      <c r="D4812" s="1" t="str">
        <f>"CK2024102119586"</f>
        <v>CK2024102119586</v>
      </c>
      <c r="E4812" s="1" t="str">
        <f>"2429501611291844"</f>
        <v>2429501611291844</v>
      </c>
      <c r="F4812" s="1" t="str">
        <f t="shared" si="1557"/>
        <v>花都四部-凤凰仓</v>
      </c>
      <c r="G4812" s="1" t="str">
        <f t="shared" si="1547"/>
        <v>卡卡杜佳旺专卖店（快手店）</v>
      </c>
      <c r="H4812" s="1" t="str">
        <f t="shared" si="1558"/>
        <v>正常订单</v>
      </c>
      <c r="I4812" s="1" t="str">
        <f t="shared" si="1559"/>
        <v>已发货</v>
      </c>
      <c r="J4812" s="1" t="str">
        <f t="shared" ref="J4812:J4816" si="1561">"5"</f>
        <v>5</v>
      </c>
      <c r="K4812" s="1">
        <v>2</v>
      </c>
      <c r="L4812" s="1" t="s">
        <v>92</v>
      </c>
      <c r="M4812" s="1" t="str">
        <f>"辽宁省 大连市 金州区 马桥子街道"</f>
        <v>辽宁省 大连市 金州区 马桥子街道</v>
      </c>
      <c r="N4812" s="1" t="str">
        <f t="shared" si="1548"/>
        <v>凡华云仓-城南圆通-快手</v>
      </c>
      <c r="O4812" s="5" t="s">
        <v>4840</v>
      </c>
      <c r="P4812" s="6">
        <v>0.59</v>
      </c>
      <c r="Q4812" s="11">
        <f t="shared" ref="Q4812:Q4816" si="1562">CEILING(P4812-0.5,0.1)*10*0.15+2.3</f>
        <v>2.4499999999999997</v>
      </c>
      <c r="R4812" s="11"/>
      <c r="S4812" s="11"/>
      <c r="T4812" s="11"/>
      <c r="U4812" s="11">
        <f t="shared" si="1554"/>
        <v>2.4499999999999997</v>
      </c>
      <c r="V4812" t="s">
        <v>15</v>
      </c>
      <c r="W4812">
        <v>2.4500000000000002</v>
      </c>
      <c r="X4812" s="1" t="s">
        <v>92</v>
      </c>
    </row>
    <row r="4813" spans="1:24" x14ac:dyDescent="0.25">
      <c r="A4813" s="1" t="str">
        <f t="shared" si="1556"/>
        <v>卡卡杜-凤凰仓</v>
      </c>
      <c r="B4813" s="1" t="str">
        <f>"CK202410215092"</f>
        <v>CK202410215092</v>
      </c>
      <c r="C4813" s="1" t="str">
        <f>"DD2024102111196"</f>
        <v>DD2024102111196</v>
      </c>
      <c r="D4813" s="1" t="str">
        <f>"CK2024102119585"</f>
        <v>CK2024102119585</v>
      </c>
      <c r="E4813" s="1" t="str">
        <f>"2429501609674152"</f>
        <v>2429501609674152</v>
      </c>
      <c r="F4813" s="1" t="str">
        <f t="shared" si="1557"/>
        <v>花都四部-凤凰仓</v>
      </c>
      <c r="G4813" s="1" t="str">
        <f t="shared" si="1547"/>
        <v>卡卡杜佳旺专卖店（快手店）</v>
      </c>
      <c r="H4813" s="1" t="str">
        <f t="shared" si="1558"/>
        <v>正常订单</v>
      </c>
      <c r="I4813" s="1" t="str">
        <f t="shared" si="1559"/>
        <v>已发货</v>
      </c>
      <c r="J4813" s="1" t="str">
        <f t="shared" si="1561"/>
        <v>5</v>
      </c>
      <c r="K4813" s="1">
        <v>2</v>
      </c>
      <c r="L4813" s="1" t="s">
        <v>22</v>
      </c>
      <c r="M4813" s="1" t="str">
        <f>"江西省 南昌市 新建区 "</f>
        <v xml:space="preserve">江西省 南昌市 新建区 </v>
      </c>
      <c r="N4813" s="1" t="str">
        <f t="shared" si="1548"/>
        <v>凡华云仓-城南圆通-快手</v>
      </c>
      <c r="O4813" s="5" t="s">
        <v>4841</v>
      </c>
      <c r="P4813" s="6">
        <v>0.59</v>
      </c>
      <c r="Q4813" s="11">
        <f t="shared" si="1562"/>
        <v>2.4499999999999997</v>
      </c>
      <c r="R4813" s="11"/>
      <c r="S4813" s="11"/>
      <c r="T4813" s="11"/>
      <c r="U4813" s="11">
        <f t="shared" si="1554"/>
        <v>2.4499999999999997</v>
      </c>
      <c r="V4813" t="s">
        <v>15</v>
      </c>
      <c r="W4813">
        <v>2.4500000000000002</v>
      </c>
      <c r="X4813" s="1" t="s">
        <v>22</v>
      </c>
    </row>
    <row r="4814" spans="1:24" x14ac:dyDescent="0.25">
      <c r="A4814" s="1" t="str">
        <f t="shared" si="1556"/>
        <v>卡卡杜-凤凰仓</v>
      </c>
      <c r="B4814" s="1" t="str">
        <f>"CK202410214943"</f>
        <v>CK202410214943</v>
      </c>
      <c r="C4814" s="1" t="str">
        <f>"DD2024102111046"</f>
        <v>DD2024102111046</v>
      </c>
      <c r="D4814" s="1" t="str">
        <f>"CK2024102119584"</f>
        <v>CK2024102119584</v>
      </c>
      <c r="E4814" s="1" t="str">
        <f>"2429501930482796"</f>
        <v>2429501930482796</v>
      </c>
      <c r="F4814" s="1" t="str">
        <f t="shared" si="1557"/>
        <v>花都四部-凤凰仓</v>
      </c>
      <c r="G4814" s="1" t="str">
        <f t="shared" si="1547"/>
        <v>卡卡杜佳旺专卖店（快手店）</v>
      </c>
      <c r="H4814" s="1" t="str">
        <f t="shared" si="1558"/>
        <v>正常订单</v>
      </c>
      <c r="I4814" s="1" t="str">
        <f t="shared" si="1559"/>
        <v>已发货</v>
      </c>
      <c r="J4814" s="1" t="str">
        <f t="shared" ref="J4814:J4818" si="1563">"3"</f>
        <v>3</v>
      </c>
      <c r="K4814" s="1">
        <v>2</v>
      </c>
      <c r="L4814" s="1" t="s">
        <v>13</v>
      </c>
      <c r="M4814" s="1" t="str">
        <f>"江苏省 南京市 溧水区 永阳街道"</f>
        <v>江苏省 南京市 溧水区 永阳街道</v>
      </c>
      <c r="N4814" s="1" t="str">
        <f t="shared" si="1548"/>
        <v>凡华云仓-城南圆通-快手</v>
      </c>
      <c r="O4814" s="5" t="s">
        <v>4842</v>
      </c>
      <c r="P4814" s="6">
        <v>0.35</v>
      </c>
      <c r="Q4814" s="11">
        <v>2.2999999999999998</v>
      </c>
      <c r="R4814" s="11"/>
      <c r="S4814" s="11"/>
      <c r="T4814" s="11"/>
      <c r="U4814" s="11">
        <f t="shared" si="1554"/>
        <v>2.2999999999999998</v>
      </c>
      <c r="W4814">
        <v>2.5</v>
      </c>
      <c r="X4814" s="1" t="s">
        <v>13</v>
      </c>
    </row>
    <row r="4815" spans="1:24" x14ac:dyDescent="0.25">
      <c r="A4815" s="1" t="str">
        <f t="shared" si="1556"/>
        <v>卡卡杜-凤凰仓</v>
      </c>
      <c r="B4815" s="1" t="str">
        <f>"CK202410214905"</f>
        <v>CK202410214905</v>
      </c>
      <c r="C4815" s="1" t="str">
        <f>"DD2024102111008"</f>
        <v>DD2024102111008</v>
      </c>
      <c r="D4815" s="1" t="str">
        <f>"CK2024102119583"</f>
        <v>CK2024102119583</v>
      </c>
      <c r="E4815" s="1" t="str">
        <f>"2429501763258993"</f>
        <v>2429501763258993</v>
      </c>
      <c r="F4815" s="1" t="str">
        <f t="shared" si="1557"/>
        <v>花都四部-凤凰仓</v>
      </c>
      <c r="G4815" s="1" t="str">
        <f t="shared" si="1547"/>
        <v>卡卡杜佳旺专卖店（快手店）</v>
      </c>
      <c r="H4815" s="1" t="str">
        <f t="shared" si="1558"/>
        <v>正常订单</v>
      </c>
      <c r="I4815" s="1" t="str">
        <f t="shared" si="1559"/>
        <v>已发货</v>
      </c>
      <c r="J4815" s="1" t="str">
        <f t="shared" si="1563"/>
        <v>3</v>
      </c>
      <c r="K4815" s="1">
        <v>2</v>
      </c>
      <c r="L4815" s="1" t="s">
        <v>32</v>
      </c>
      <c r="M4815" s="1" t="str">
        <f>"陕西省 咸阳市 秦都区 钓台街道"</f>
        <v>陕西省 咸阳市 秦都区 钓台街道</v>
      </c>
      <c r="N4815" s="1" t="str">
        <f t="shared" si="1548"/>
        <v>凡华云仓-城南圆通-快手</v>
      </c>
      <c r="O4815" s="5" t="s">
        <v>4843</v>
      </c>
      <c r="P4815" s="6">
        <v>0.35</v>
      </c>
      <c r="Q4815" s="11">
        <v>2.2999999999999998</v>
      </c>
      <c r="R4815" s="11"/>
      <c r="S4815" s="11"/>
      <c r="T4815" s="11"/>
      <c r="U4815" s="11">
        <f t="shared" si="1554"/>
        <v>2.2999999999999998</v>
      </c>
      <c r="W4815">
        <v>2.5</v>
      </c>
      <c r="X4815" s="1" t="s">
        <v>32</v>
      </c>
    </row>
    <row r="4816" spans="1:24" x14ac:dyDescent="0.25">
      <c r="A4816" s="1" t="str">
        <f t="shared" si="1556"/>
        <v>卡卡杜-凤凰仓</v>
      </c>
      <c r="B4816" s="1" t="str">
        <f>"CK202410215076"</f>
        <v>CK202410215076</v>
      </c>
      <c r="C4816" s="1" t="str">
        <f>"DD2024102111180"</f>
        <v>DD2024102111180</v>
      </c>
      <c r="D4816" s="1" t="str">
        <f>"CK2024102119582"</f>
        <v>CK2024102119582</v>
      </c>
      <c r="E4816" s="1" t="str">
        <f>"2429501764129449"</f>
        <v>2429501764129449</v>
      </c>
      <c r="F4816" s="1" t="str">
        <f t="shared" si="1557"/>
        <v>花都四部-凤凰仓</v>
      </c>
      <c r="G4816" s="1" t="str">
        <f t="shared" si="1547"/>
        <v>卡卡杜佳旺专卖店（快手店）</v>
      </c>
      <c r="H4816" s="1" t="str">
        <f t="shared" si="1558"/>
        <v>正常订单</v>
      </c>
      <c r="I4816" s="1" t="str">
        <f t="shared" si="1559"/>
        <v>已发货</v>
      </c>
      <c r="J4816" s="1" t="str">
        <f t="shared" si="1561"/>
        <v>5</v>
      </c>
      <c r="K4816" s="1">
        <v>2</v>
      </c>
      <c r="L4816" s="1" t="s">
        <v>32</v>
      </c>
      <c r="M4816" s="1" t="str">
        <f>"陕西省 西安市 未央区 草滩街道"</f>
        <v>陕西省 西安市 未央区 草滩街道</v>
      </c>
      <c r="N4816" s="1" t="str">
        <f t="shared" si="1548"/>
        <v>凡华云仓-城南圆通-快手</v>
      </c>
      <c r="O4816" s="5" t="s">
        <v>4844</v>
      </c>
      <c r="P4816" s="6">
        <v>0.59</v>
      </c>
      <c r="Q4816" s="11">
        <f t="shared" si="1562"/>
        <v>2.4499999999999997</v>
      </c>
      <c r="R4816" s="11"/>
      <c r="S4816" s="11"/>
      <c r="T4816" s="11"/>
      <c r="U4816" s="11">
        <f t="shared" si="1554"/>
        <v>2.4499999999999997</v>
      </c>
      <c r="V4816" t="s">
        <v>15</v>
      </c>
      <c r="W4816">
        <v>2.4500000000000002</v>
      </c>
      <c r="X4816" s="1" t="s">
        <v>32</v>
      </c>
    </row>
    <row r="4817" spans="1:24" x14ac:dyDescent="0.25">
      <c r="A4817" s="1" t="str">
        <f t="shared" si="1556"/>
        <v>卡卡杜-凤凰仓</v>
      </c>
      <c r="B4817" s="1" t="str">
        <f>"CK202410214923"</f>
        <v>CK202410214923</v>
      </c>
      <c r="C4817" s="1" t="str">
        <f>"DD2024102111026"</f>
        <v>DD2024102111026</v>
      </c>
      <c r="D4817" s="1" t="str">
        <f>"CK2024102119581"</f>
        <v>CK2024102119581</v>
      </c>
      <c r="E4817" s="1" t="str">
        <f>"2429501768049186"</f>
        <v>2429501768049186</v>
      </c>
      <c r="F4817" s="1" t="str">
        <f t="shared" si="1557"/>
        <v>花都四部-凤凰仓</v>
      </c>
      <c r="G4817" s="1" t="str">
        <f t="shared" si="1547"/>
        <v>卡卡杜佳旺专卖店（快手店）</v>
      </c>
      <c r="H4817" s="1" t="str">
        <f t="shared" si="1558"/>
        <v>正常订单</v>
      </c>
      <c r="I4817" s="1" t="str">
        <f t="shared" si="1559"/>
        <v>已发货</v>
      </c>
      <c r="J4817" s="1" t="str">
        <f t="shared" si="1563"/>
        <v>3</v>
      </c>
      <c r="K4817" s="1">
        <v>2</v>
      </c>
      <c r="L4817" s="1" t="s">
        <v>18</v>
      </c>
      <c r="M4817" s="1" t="str">
        <f>"广东省 深圳市 福田区 莲花街道"</f>
        <v>广东省 深圳市 福田区 莲花街道</v>
      </c>
      <c r="N4817" s="1" t="str">
        <f t="shared" si="1548"/>
        <v>凡华云仓-城南圆通-快手</v>
      </c>
      <c r="O4817" s="5" t="s">
        <v>4845</v>
      </c>
      <c r="P4817" s="6">
        <v>0.35</v>
      </c>
      <c r="Q4817" s="11">
        <v>2.2999999999999998</v>
      </c>
      <c r="R4817" s="11"/>
      <c r="S4817" s="11"/>
      <c r="T4817" s="11"/>
      <c r="U4817" s="11">
        <f t="shared" si="1554"/>
        <v>2.2999999999999998</v>
      </c>
      <c r="W4817">
        <v>2.5</v>
      </c>
      <c r="X4817" s="1" t="s">
        <v>18</v>
      </c>
    </row>
    <row r="4818" spans="1:24" x14ac:dyDescent="0.25">
      <c r="A4818" s="1" t="str">
        <f t="shared" si="1556"/>
        <v>卡卡杜-凤凰仓</v>
      </c>
      <c r="B4818" s="1" t="str">
        <f>"CK202410214951"</f>
        <v>CK202410214951</v>
      </c>
      <c r="C4818" s="1" t="str">
        <f>"DD2024102111054"</f>
        <v>DD2024102111054</v>
      </c>
      <c r="D4818" s="1" t="str">
        <f>"CK2024102119580"</f>
        <v>CK2024102119580</v>
      </c>
      <c r="E4818" s="1" t="str">
        <f>"2429502081664288"</f>
        <v>2429502081664288</v>
      </c>
      <c r="F4818" s="1" t="str">
        <f t="shared" si="1557"/>
        <v>花都四部-凤凰仓</v>
      </c>
      <c r="G4818" s="1" t="str">
        <f t="shared" si="1547"/>
        <v>卡卡杜佳旺专卖店（快手店）</v>
      </c>
      <c r="H4818" s="1" t="str">
        <f t="shared" si="1558"/>
        <v>正常订单</v>
      </c>
      <c r="I4818" s="1" t="str">
        <f t="shared" si="1559"/>
        <v>已发货</v>
      </c>
      <c r="J4818" s="1" t="str">
        <f t="shared" si="1563"/>
        <v>3</v>
      </c>
      <c r="K4818" s="1">
        <v>2</v>
      </c>
      <c r="L4818" s="1" t="s">
        <v>13</v>
      </c>
      <c r="M4818" s="1" t="str">
        <f>"江苏省 泰州市 海陵区 城东街道"</f>
        <v>江苏省 泰州市 海陵区 城东街道</v>
      </c>
      <c r="N4818" s="1" t="str">
        <f t="shared" si="1548"/>
        <v>凡华云仓-城南圆通-快手</v>
      </c>
      <c r="O4818" s="5" t="s">
        <v>4846</v>
      </c>
      <c r="P4818" s="6">
        <v>0.35</v>
      </c>
      <c r="Q4818" s="11">
        <v>2.2999999999999998</v>
      </c>
      <c r="R4818" s="11"/>
      <c r="S4818" s="11"/>
      <c r="T4818" s="11"/>
      <c r="U4818" s="11">
        <f t="shared" si="1554"/>
        <v>2.2999999999999998</v>
      </c>
      <c r="W4818">
        <v>2.5</v>
      </c>
      <c r="X4818" s="1" t="s">
        <v>13</v>
      </c>
    </row>
    <row r="4819" spans="1:24" x14ac:dyDescent="0.25">
      <c r="A4819" s="1" t="str">
        <f t="shared" si="1556"/>
        <v>卡卡杜-凤凰仓</v>
      </c>
      <c r="B4819" s="1" t="str">
        <f>"CK202410215075"</f>
        <v>CK202410215075</v>
      </c>
      <c r="C4819" s="1" t="str">
        <f>"DD2024102111182"</f>
        <v>DD2024102111182</v>
      </c>
      <c r="D4819" s="1" t="str">
        <f>"CK2024102119579"</f>
        <v>CK2024102119579</v>
      </c>
      <c r="E4819" s="1" t="str">
        <f>"2429501695224300"</f>
        <v>2429501695224300</v>
      </c>
      <c r="F4819" s="1" t="str">
        <f t="shared" si="1557"/>
        <v>花都四部-凤凰仓</v>
      </c>
      <c r="G4819" s="1" t="str">
        <f t="shared" si="1547"/>
        <v>卡卡杜佳旺专卖店（快手店）</v>
      </c>
      <c r="H4819" s="1" t="str">
        <f t="shared" si="1558"/>
        <v>正常订单</v>
      </c>
      <c r="I4819" s="1" t="str">
        <f t="shared" si="1559"/>
        <v>已发货</v>
      </c>
      <c r="J4819" s="1" t="str">
        <f>"5"</f>
        <v>5</v>
      </c>
      <c r="K4819" s="1">
        <v>2</v>
      </c>
      <c r="L4819" s="1" t="s">
        <v>60</v>
      </c>
      <c r="M4819" s="1" t="str">
        <f>"云南省 保山市 隆阳区 永昌街道"</f>
        <v>云南省 保山市 隆阳区 永昌街道</v>
      </c>
      <c r="N4819" s="1" t="str">
        <f t="shared" si="1548"/>
        <v>凡华云仓-城南圆通-快手</v>
      </c>
      <c r="O4819" s="5" t="s">
        <v>4847</v>
      </c>
      <c r="P4819" s="6">
        <v>0.59</v>
      </c>
      <c r="Q4819" s="11">
        <f>CEILING(P4819-0.5,0.1)*10*0.15+2.3</f>
        <v>2.4499999999999997</v>
      </c>
      <c r="R4819" s="11"/>
      <c r="S4819" s="11"/>
      <c r="T4819" s="11"/>
      <c r="U4819" s="11">
        <f t="shared" si="1554"/>
        <v>2.4499999999999997</v>
      </c>
      <c r="V4819" t="s">
        <v>15</v>
      </c>
      <c r="W4819">
        <v>2.4500000000000002</v>
      </c>
      <c r="X4819" s="1" t="s">
        <v>60</v>
      </c>
    </row>
    <row r="4820" spans="1:24" x14ac:dyDescent="0.25">
      <c r="A4820" s="1" t="str">
        <f t="shared" si="1556"/>
        <v>卡卡杜-凤凰仓</v>
      </c>
      <c r="B4820" s="1" t="str">
        <f>"CK202410215067"</f>
        <v>CK202410215067</v>
      </c>
      <c r="C4820" s="1" t="str">
        <f>"DD2024102111172"</f>
        <v>DD2024102111172</v>
      </c>
      <c r="D4820" s="1" t="str">
        <f>"CK2024102119578"</f>
        <v>CK2024102119578</v>
      </c>
      <c r="E4820" s="1" t="str">
        <f>"2429502080827184"</f>
        <v>2429502080827184</v>
      </c>
      <c r="F4820" s="1" t="str">
        <f t="shared" si="1557"/>
        <v>花都四部-凤凰仓</v>
      </c>
      <c r="G4820" s="1" t="str">
        <f t="shared" si="1547"/>
        <v>卡卡杜佳旺专卖店（快手店）</v>
      </c>
      <c r="H4820" s="1" t="str">
        <f t="shared" si="1558"/>
        <v>正常订单</v>
      </c>
      <c r="I4820" s="1" t="str">
        <f t="shared" si="1559"/>
        <v>已发货</v>
      </c>
      <c r="J4820" s="1" t="str">
        <f>"5"</f>
        <v>5</v>
      </c>
      <c r="K4820" s="1">
        <v>2</v>
      </c>
      <c r="L4820" s="1" t="s">
        <v>18</v>
      </c>
      <c r="M4820" s="1" t="str">
        <f>"广东省 佛山市 顺德区 杏坛镇"</f>
        <v>广东省 佛山市 顺德区 杏坛镇</v>
      </c>
      <c r="N4820" s="1" t="str">
        <f t="shared" si="1548"/>
        <v>凡华云仓-城南圆通-快手</v>
      </c>
      <c r="O4820" s="5" t="s">
        <v>4848</v>
      </c>
      <c r="P4820" s="6">
        <v>0.59</v>
      </c>
      <c r="Q4820" s="11">
        <f>CEILING(P4820-0.5,0.1)*10*0.15+2.3</f>
        <v>2.4499999999999997</v>
      </c>
      <c r="R4820" s="11"/>
      <c r="S4820" s="11"/>
      <c r="T4820" s="11"/>
      <c r="U4820" s="11">
        <f t="shared" si="1554"/>
        <v>2.4499999999999997</v>
      </c>
      <c r="V4820" t="s">
        <v>15</v>
      </c>
      <c r="W4820">
        <v>2.4500000000000002</v>
      </c>
      <c r="X4820" s="1" t="s">
        <v>18</v>
      </c>
    </row>
    <row r="4821" spans="1:24" x14ac:dyDescent="0.25">
      <c r="A4821" s="1" t="str">
        <f t="shared" si="1556"/>
        <v>卡卡杜-凤凰仓</v>
      </c>
      <c r="B4821" s="1" t="str">
        <f>"CK202410214892"</f>
        <v>CK202410214892</v>
      </c>
      <c r="C4821" s="1" t="str">
        <f>"DD2024102110994"</f>
        <v>DD2024102110994</v>
      </c>
      <c r="D4821" s="1" t="str">
        <f>"CK2024102119577"</f>
        <v>CK2024102119577</v>
      </c>
      <c r="E4821" s="1" t="str">
        <f>"2429402094169858"</f>
        <v>2429402094169858</v>
      </c>
      <c r="F4821" s="1" t="str">
        <f t="shared" si="1557"/>
        <v>花都四部-凤凰仓</v>
      </c>
      <c r="G4821" s="1" t="str">
        <f t="shared" si="1547"/>
        <v>卡卡杜佳旺专卖店（快手店）</v>
      </c>
      <c r="H4821" s="1" t="str">
        <f t="shared" si="1558"/>
        <v>正常订单</v>
      </c>
      <c r="I4821" s="1" t="str">
        <f t="shared" si="1559"/>
        <v>已发货</v>
      </c>
      <c r="J4821" s="1" t="str">
        <f t="shared" ref="J4821:J4826" si="1564">"3"</f>
        <v>3</v>
      </c>
      <c r="K4821" s="1">
        <v>2</v>
      </c>
      <c r="L4821" s="1" t="s">
        <v>13</v>
      </c>
      <c r="M4821" s="1" t="str">
        <f>"江苏省 连云港市 赣榆区 海头镇"</f>
        <v>江苏省 连云港市 赣榆区 海头镇</v>
      </c>
      <c r="N4821" s="1" t="str">
        <f t="shared" si="1548"/>
        <v>凡华云仓-城南圆通-快手</v>
      </c>
      <c r="O4821" s="5" t="s">
        <v>4849</v>
      </c>
      <c r="P4821" s="6">
        <v>0.35</v>
      </c>
      <c r="Q4821" s="11">
        <v>2.2999999999999998</v>
      </c>
      <c r="R4821" s="11"/>
      <c r="S4821" s="11"/>
      <c r="T4821" s="11"/>
      <c r="U4821" s="11">
        <f t="shared" si="1554"/>
        <v>2.2999999999999998</v>
      </c>
      <c r="W4821">
        <v>2.5</v>
      </c>
      <c r="X4821" s="1" t="s">
        <v>13</v>
      </c>
    </row>
    <row r="4822" spans="1:24" x14ac:dyDescent="0.25">
      <c r="A4822" s="1" t="str">
        <f t="shared" si="1556"/>
        <v>卡卡杜-凤凰仓</v>
      </c>
      <c r="B4822" s="1" t="str">
        <f>"CK202410214956"</f>
        <v>CK202410214956</v>
      </c>
      <c r="C4822" s="1" t="str">
        <f>"DD2024102111059"</f>
        <v>DD2024102111059</v>
      </c>
      <c r="D4822" s="1" t="str">
        <f>"CK2024102119576"</f>
        <v>CK2024102119576</v>
      </c>
      <c r="E4822" s="1" t="str">
        <f>"2429402016576788"</f>
        <v>2429402016576788</v>
      </c>
      <c r="F4822" s="1" t="str">
        <f t="shared" si="1557"/>
        <v>花都四部-凤凰仓</v>
      </c>
      <c r="G4822" s="1" t="str">
        <f t="shared" si="1547"/>
        <v>卡卡杜佳旺专卖店（快手店）</v>
      </c>
      <c r="H4822" s="1" t="str">
        <f t="shared" si="1558"/>
        <v>正常订单</v>
      </c>
      <c r="I4822" s="1" t="str">
        <f t="shared" si="1559"/>
        <v>已发货</v>
      </c>
      <c r="J4822" s="1" t="str">
        <f t="shared" si="1564"/>
        <v>3</v>
      </c>
      <c r="K4822" s="1">
        <v>2</v>
      </c>
      <c r="L4822" s="1" t="s">
        <v>13</v>
      </c>
      <c r="M4822" s="1" t="str">
        <f>"江苏省 南京市 江宁区 秣陵街道"</f>
        <v>江苏省 南京市 江宁区 秣陵街道</v>
      </c>
      <c r="N4822" s="1" t="str">
        <f t="shared" si="1548"/>
        <v>凡华云仓-城南圆通-快手</v>
      </c>
      <c r="O4822" s="5" t="s">
        <v>4850</v>
      </c>
      <c r="P4822" s="6">
        <v>0.35</v>
      </c>
      <c r="Q4822" s="11">
        <v>2.2999999999999998</v>
      </c>
      <c r="R4822" s="11"/>
      <c r="S4822" s="11"/>
      <c r="T4822" s="11"/>
      <c r="U4822" s="11">
        <f t="shared" si="1554"/>
        <v>2.2999999999999998</v>
      </c>
      <c r="W4822">
        <v>2.5</v>
      </c>
      <c r="X4822" s="1" t="s">
        <v>13</v>
      </c>
    </row>
    <row r="4823" spans="1:24" x14ac:dyDescent="0.25">
      <c r="A4823" s="1" t="str">
        <f t="shared" si="1556"/>
        <v>卡卡杜-凤凰仓</v>
      </c>
      <c r="B4823" s="1" t="str">
        <f>"CK202410214907"</f>
        <v>CK202410214907</v>
      </c>
      <c r="C4823" s="1" t="str">
        <f>"DD2024102111010"</f>
        <v>DD2024102111010</v>
      </c>
      <c r="D4823" s="1" t="str">
        <f>"CK2024102119575"</f>
        <v>CK2024102119575</v>
      </c>
      <c r="E4823" s="1" t="str">
        <f>"2429401691649310"</f>
        <v>2429401691649310</v>
      </c>
      <c r="F4823" s="1" t="str">
        <f t="shared" si="1557"/>
        <v>花都四部-凤凰仓</v>
      </c>
      <c r="G4823" s="1" t="str">
        <f t="shared" si="1547"/>
        <v>卡卡杜佳旺专卖店（快手店）</v>
      </c>
      <c r="H4823" s="1" t="str">
        <f t="shared" si="1558"/>
        <v>正常订单</v>
      </c>
      <c r="I4823" s="1" t="str">
        <f t="shared" si="1559"/>
        <v>已发货</v>
      </c>
      <c r="J4823" s="1" t="str">
        <f t="shared" si="1564"/>
        <v>3</v>
      </c>
      <c r="K4823" s="1">
        <v>2</v>
      </c>
      <c r="L4823" s="1" t="s">
        <v>18</v>
      </c>
      <c r="M4823" s="1" t="str">
        <f>"广东省 惠州市 博罗县 园洲镇"</f>
        <v>广东省 惠州市 博罗县 园洲镇</v>
      </c>
      <c r="N4823" s="1" t="str">
        <f t="shared" si="1548"/>
        <v>凡华云仓-城南圆通-快手</v>
      </c>
      <c r="O4823" s="5" t="s">
        <v>4851</v>
      </c>
      <c r="P4823" s="6">
        <v>0.35</v>
      </c>
      <c r="Q4823" s="11">
        <v>2.2999999999999998</v>
      </c>
      <c r="R4823" s="11"/>
      <c r="S4823" s="11"/>
      <c r="T4823" s="11"/>
      <c r="U4823" s="11">
        <f t="shared" si="1554"/>
        <v>2.2999999999999998</v>
      </c>
      <c r="W4823">
        <v>2.5</v>
      </c>
      <c r="X4823" s="1" t="s">
        <v>18</v>
      </c>
    </row>
    <row r="4824" spans="1:24" x14ac:dyDescent="0.25">
      <c r="A4824" s="1" t="str">
        <f t="shared" si="1556"/>
        <v>卡卡杜-凤凰仓</v>
      </c>
      <c r="B4824" s="1" t="str">
        <f>"CK202410214865"</f>
        <v>CK202410214865</v>
      </c>
      <c r="C4824" s="1" t="str">
        <f>"DD2024102110968"</f>
        <v>DD2024102110968</v>
      </c>
      <c r="D4824" s="1" t="str">
        <f>"CK2024102119574"</f>
        <v>CK2024102119574</v>
      </c>
      <c r="E4824" s="1" t="str">
        <f>"2429401778851855"</f>
        <v>2429401778851855</v>
      </c>
      <c r="F4824" s="1" t="str">
        <f t="shared" si="1557"/>
        <v>花都四部-凤凰仓</v>
      </c>
      <c r="G4824" s="1" t="str">
        <f t="shared" si="1547"/>
        <v>卡卡杜佳旺专卖店（快手店）</v>
      </c>
      <c r="H4824" s="1" t="str">
        <f t="shared" si="1558"/>
        <v>正常订单</v>
      </c>
      <c r="I4824" s="1" t="str">
        <f t="shared" si="1559"/>
        <v>已发货</v>
      </c>
      <c r="J4824" s="1" t="str">
        <f t="shared" si="1564"/>
        <v>3</v>
      </c>
      <c r="K4824" s="1">
        <v>2</v>
      </c>
      <c r="L4824" s="1" t="s">
        <v>24</v>
      </c>
      <c r="M4824" s="1" t="str">
        <f>"福建省 泉州市 鲤城区 清濛经济开发区"</f>
        <v>福建省 泉州市 鲤城区 清濛经济开发区</v>
      </c>
      <c r="N4824" s="1" t="str">
        <f t="shared" si="1548"/>
        <v>凡华云仓-城南圆通-快手</v>
      </c>
      <c r="O4824" s="5" t="s">
        <v>4852</v>
      </c>
      <c r="P4824" s="6">
        <v>0.35</v>
      </c>
      <c r="Q4824" s="11">
        <v>2.2999999999999998</v>
      </c>
      <c r="R4824" s="11"/>
      <c r="S4824" s="11"/>
      <c r="T4824" s="11"/>
      <c r="U4824" s="11">
        <f t="shared" si="1554"/>
        <v>2.2999999999999998</v>
      </c>
      <c r="W4824">
        <v>2.5</v>
      </c>
      <c r="X4824" s="1" t="s">
        <v>24</v>
      </c>
    </row>
    <row r="4825" spans="1:24" x14ac:dyDescent="0.25">
      <c r="A4825" s="1" t="str">
        <f t="shared" si="1556"/>
        <v>卡卡杜-凤凰仓</v>
      </c>
      <c r="B4825" s="1" t="str">
        <f>"CK202410214946"</f>
        <v>CK202410214946</v>
      </c>
      <c r="C4825" s="1" t="str">
        <f>"DD2024102111049"</f>
        <v>DD2024102111049</v>
      </c>
      <c r="D4825" s="1" t="str">
        <f>"CK2024102119573"</f>
        <v>CK2024102119573</v>
      </c>
      <c r="E4825" s="1" t="str">
        <f>"2429401774961492"</f>
        <v>2429401774961492</v>
      </c>
      <c r="F4825" s="1" t="str">
        <f t="shared" si="1557"/>
        <v>花都四部-凤凰仓</v>
      </c>
      <c r="G4825" s="1" t="str">
        <f t="shared" si="1547"/>
        <v>卡卡杜佳旺专卖店（快手店）</v>
      </c>
      <c r="H4825" s="1" t="str">
        <f t="shared" si="1558"/>
        <v>正常订单</v>
      </c>
      <c r="I4825" s="1" t="str">
        <f t="shared" si="1559"/>
        <v>已发货</v>
      </c>
      <c r="J4825" s="1" t="str">
        <f t="shared" si="1564"/>
        <v>3</v>
      </c>
      <c r="K4825" s="1">
        <v>2</v>
      </c>
      <c r="L4825" s="1" t="s">
        <v>161</v>
      </c>
      <c r="M4825" s="1" t="str">
        <f>"四川省 成都市 新都区 新都街道"</f>
        <v>四川省 成都市 新都区 新都街道</v>
      </c>
      <c r="N4825" s="1" t="str">
        <f t="shared" si="1548"/>
        <v>凡华云仓-城南圆通-快手</v>
      </c>
      <c r="O4825" s="5" t="s">
        <v>4853</v>
      </c>
      <c r="P4825" s="6">
        <v>0.35</v>
      </c>
      <c r="Q4825" s="11">
        <v>2.2999999999999998</v>
      </c>
      <c r="R4825" s="11"/>
      <c r="S4825" s="11"/>
      <c r="T4825" s="11"/>
      <c r="U4825" s="11">
        <f t="shared" si="1554"/>
        <v>2.2999999999999998</v>
      </c>
      <c r="W4825">
        <v>2.5</v>
      </c>
      <c r="X4825" s="1" t="s">
        <v>161</v>
      </c>
    </row>
    <row r="4826" spans="1:24" x14ac:dyDescent="0.25">
      <c r="A4826" s="1" t="str">
        <f t="shared" si="1556"/>
        <v>卡卡杜-凤凰仓</v>
      </c>
      <c r="B4826" s="1" t="str">
        <f>"CK202410214944"</f>
        <v>CK202410214944</v>
      </c>
      <c r="C4826" s="1" t="str">
        <f>"DD2024102111047"</f>
        <v>DD2024102111047</v>
      </c>
      <c r="D4826" s="1" t="str">
        <f>"CK2024102119572"</f>
        <v>CK2024102119572</v>
      </c>
      <c r="E4826" s="1" t="str">
        <f>"2429402094691382"</f>
        <v>2429402094691382</v>
      </c>
      <c r="F4826" s="1" t="str">
        <f t="shared" si="1557"/>
        <v>花都四部-凤凰仓</v>
      </c>
      <c r="G4826" s="1" t="str">
        <f t="shared" si="1547"/>
        <v>卡卡杜佳旺专卖店（快手店）</v>
      </c>
      <c r="H4826" s="1" t="str">
        <f t="shared" si="1558"/>
        <v>正常订单</v>
      </c>
      <c r="I4826" s="1" t="str">
        <f t="shared" si="1559"/>
        <v>已发货</v>
      </c>
      <c r="J4826" s="1" t="str">
        <f t="shared" si="1564"/>
        <v>3</v>
      </c>
      <c r="K4826" s="1">
        <v>2</v>
      </c>
      <c r="L4826" s="1" t="s">
        <v>18</v>
      </c>
      <c r="M4826" s="1" t="str">
        <f>"广东省 深圳市 宝安区 福永街道"</f>
        <v>广东省 深圳市 宝安区 福永街道</v>
      </c>
      <c r="N4826" s="1" t="str">
        <f t="shared" si="1548"/>
        <v>凡华云仓-城南圆通-快手</v>
      </c>
      <c r="O4826" s="5" t="s">
        <v>4854</v>
      </c>
      <c r="P4826" s="6">
        <v>0.35</v>
      </c>
      <c r="Q4826" s="11">
        <v>2.2999999999999998</v>
      </c>
      <c r="R4826" s="11"/>
      <c r="S4826" s="11"/>
      <c r="T4826" s="11"/>
      <c r="U4826" s="11">
        <f t="shared" si="1554"/>
        <v>2.2999999999999998</v>
      </c>
      <c r="W4826">
        <v>2.5</v>
      </c>
      <c r="X4826" s="1" t="s">
        <v>18</v>
      </c>
    </row>
    <row r="4827" spans="1:24" x14ac:dyDescent="0.25">
      <c r="A4827" s="1" t="str">
        <f t="shared" si="1556"/>
        <v>卡卡杜-凤凰仓</v>
      </c>
      <c r="B4827" s="1" t="str">
        <f>"CK202410215079"</f>
        <v>CK202410215079</v>
      </c>
      <c r="C4827" s="1" t="str">
        <f>"DD2024102111186"</f>
        <v>DD2024102111186</v>
      </c>
      <c r="D4827" s="1" t="str">
        <f>"CK2024102119571"</f>
        <v>CK2024102119571</v>
      </c>
      <c r="E4827" s="1" t="str">
        <f>"2429401715217033"</f>
        <v>2429401715217033</v>
      </c>
      <c r="F4827" s="1" t="str">
        <f t="shared" si="1557"/>
        <v>花都四部-凤凰仓</v>
      </c>
      <c r="G4827" s="1" t="str">
        <f t="shared" si="1547"/>
        <v>卡卡杜佳旺专卖店（快手店）</v>
      </c>
      <c r="H4827" s="1" t="str">
        <f t="shared" si="1558"/>
        <v>正常订单</v>
      </c>
      <c r="I4827" s="1" t="str">
        <f t="shared" si="1559"/>
        <v>已发货</v>
      </c>
      <c r="J4827" s="1" t="str">
        <f t="shared" ref="J4827:J4831" si="1565">"5"</f>
        <v>5</v>
      </c>
      <c r="K4827" s="1">
        <v>2</v>
      </c>
      <c r="L4827" s="1" t="s">
        <v>136</v>
      </c>
      <c r="M4827" s="1" t="str">
        <f>"北京市 北京市 朝阳区 高碑店地区"</f>
        <v>北京市 北京市 朝阳区 高碑店地区</v>
      </c>
      <c r="N4827" s="1" t="str">
        <f t="shared" si="1548"/>
        <v>凡华云仓-城南圆通-快手</v>
      </c>
      <c r="O4827" s="5" t="s">
        <v>4855</v>
      </c>
      <c r="P4827" s="6">
        <v>0.59</v>
      </c>
      <c r="Q4827" s="11">
        <f t="shared" ref="Q4827:Q4831" si="1566">CEILING(P4827-0.5,0.1)*10*0.15+2.3</f>
        <v>2.4499999999999997</v>
      </c>
      <c r="R4827" s="11"/>
      <c r="S4827" s="11"/>
      <c r="T4827" s="11"/>
      <c r="U4827" s="11">
        <f t="shared" si="1554"/>
        <v>2.4499999999999997</v>
      </c>
      <c r="V4827" t="s">
        <v>15</v>
      </c>
      <c r="W4827">
        <v>2.4500000000000002</v>
      </c>
      <c r="X4827" s="1" t="s">
        <v>136</v>
      </c>
    </row>
    <row r="4828" spans="1:24" x14ac:dyDescent="0.25">
      <c r="A4828" s="1" t="str">
        <f t="shared" si="1556"/>
        <v>卡卡杜-凤凰仓</v>
      </c>
      <c r="B4828" s="1" t="str">
        <f>"CK202410215072"</f>
        <v>CK202410215072</v>
      </c>
      <c r="C4828" s="1" t="str">
        <f>"DD2024102111177"</f>
        <v>DD2024102111177</v>
      </c>
      <c r="D4828" s="1" t="str">
        <f>"CK2024102119570"</f>
        <v>CK2024102119570</v>
      </c>
      <c r="E4828" s="1" t="str">
        <f>"2429402021914972"</f>
        <v>2429402021914972</v>
      </c>
      <c r="F4828" s="1" t="str">
        <f t="shared" si="1557"/>
        <v>花都四部-凤凰仓</v>
      </c>
      <c r="G4828" s="1" t="str">
        <f t="shared" si="1547"/>
        <v>卡卡杜佳旺专卖店（快手店）</v>
      </c>
      <c r="H4828" s="1" t="str">
        <f t="shared" si="1558"/>
        <v>正常订单</v>
      </c>
      <c r="I4828" s="1" t="str">
        <f t="shared" si="1559"/>
        <v>已发货</v>
      </c>
      <c r="J4828" s="1" t="str">
        <f t="shared" si="1565"/>
        <v>5</v>
      </c>
      <c r="K4828" s="1">
        <v>2</v>
      </c>
      <c r="L4828" s="1" t="s">
        <v>22</v>
      </c>
      <c r="M4828" s="1" t="str">
        <f>"江西省 南昌市 红谷滩区 红角洲管理处"</f>
        <v>江西省 南昌市 红谷滩区 红角洲管理处</v>
      </c>
      <c r="N4828" s="1" t="str">
        <f t="shared" si="1548"/>
        <v>凡华云仓-城南圆通-快手</v>
      </c>
      <c r="O4828" s="5" t="s">
        <v>4856</v>
      </c>
      <c r="P4828" s="6">
        <v>0.59</v>
      </c>
      <c r="Q4828" s="11">
        <f t="shared" si="1566"/>
        <v>2.4499999999999997</v>
      </c>
      <c r="R4828" s="11"/>
      <c r="S4828" s="11"/>
      <c r="T4828" s="11"/>
      <c r="U4828" s="11">
        <f t="shared" si="1554"/>
        <v>2.4499999999999997</v>
      </c>
      <c r="V4828" t="s">
        <v>15</v>
      </c>
      <c r="W4828">
        <v>2.4500000000000002</v>
      </c>
      <c r="X4828" s="1" t="s">
        <v>22</v>
      </c>
    </row>
    <row r="4829" spans="1:24" x14ac:dyDescent="0.25">
      <c r="A4829" s="1" t="str">
        <f t="shared" si="1556"/>
        <v>卡卡杜-凤凰仓</v>
      </c>
      <c r="B4829" s="1" t="str">
        <f>"CK202410214936"</f>
        <v>CK202410214936</v>
      </c>
      <c r="C4829" s="1" t="str">
        <f>"DD2024102111039"</f>
        <v>DD2024102111039</v>
      </c>
      <c r="D4829" s="1" t="str">
        <f>"CK2024102119569"</f>
        <v>CK2024102119569</v>
      </c>
      <c r="E4829" s="1" t="str">
        <f>"2429401784666164"</f>
        <v>2429401784666164</v>
      </c>
      <c r="F4829" s="1" t="str">
        <f t="shared" si="1557"/>
        <v>花都四部-凤凰仓</v>
      </c>
      <c r="G4829" s="1" t="str">
        <f t="shared" si="1547"/>
        <v>卡卡杜佳旺专卖店（快手店）</v>
      </c>
      <c r="H4829" s="1" t="str">
        <f t="shared" si="1558"/>
        <v>正常订单</v>
      </c>
      <c r="I4829" s="1" t="str">
        <f t="shared" si="1559"/>
        <v>已发货</v>
      </c>
      <c r="J4829" s="1" t="str">
        <f t="shared" ref="J4829:J4833" si="1567">"3"</f>
        <v>3</v>
      </c>
      <c r="K4829" s="1">
        <v>2</v>
      </c>
      <c r="L4829" s="1" t="s">
        <v>24</v>
      </c>
      <c r="M4829" s="1" t="str">
        <f>"福建省 龙岩市 新罗区 西陂街道"</f>
        <v>福建省 龙岩市 新罗区 西陂街道</v>
      </c>
      <c r="N4829" s="1" t="str">
        <f t="shared" si="1548"/>
        <v>凡华云仓-城南圆通-快手</v>
      </c>
      <c r="O4829" s="5" t="s">
        <v>4857</v>
      </c>
      <c r="P4829" s="6">
        <v>0.35</v>
      </c>
      <c r="Q4829" s="11">
        <v>2.2999999999999998</v>
      </c>
      <c r="R4829" s="11"/>
      <c r="S4829" s="11"/>
      <c r="T4829" s="11"/>
      <c r="U4829" s="11">
        <f t="shared" si="1554"/>
        <v>2.2999999999999998</v>
      </c>
      <c r="W4829">
        <v>2.5</v>
      </c>
      <c r="X4829" s="1" t="s">
        <v>24</v>
      </c>
    </row>
    <row r="4830" spans="1:24" x14ac:dyDescent="0.25">
      <c r="A4830" s="1" t="str">
        <f t="shared" si="1556"/>
        <v>卡卡杜-凤凰仓</v>
      </c>
      <c r="B4830" s="1" t="str">
        <f>"CK202410214953"</f>
        <v>CK202410214953</v>
      </c>
      <c r="C4830" s="1" t="str">
        <f>"DD2024102111057"</f>
        <v>DD2024102111057</v>
      </c>
      <c r="D4830" s="1" t="str">
        <f>"CK2024102119568"</f>
        <v>CK2024102119568</v>
      </c>
      <c r="E4830" s="1" t="str">
        <f>"2429401779587104"</f>
        <v>2429401779587104</v>
      </c>
      <c r="F4830" s="1" t="str">
        <f t="shared" si="1557"/>
        <v>花都四部-凤凰仓</v>
      </c>
      <c r="G4830" s="1" t="str">
        <f t="shared" si="1547"/>
        <v>卡卡杜佳旺专卖店（快手店）</v>
      </c>
      <c r="H4830" s="1" t="str">
        <f t="shared" si="1558"/>
        <v>正常订单</v>
      </c>
      <c r="I4830" s="1" t="str">
        <f t="shared" si="1559"/>
        <v>已发货</v>
      </c>
      <c r="J4830" s="1" t="str">
        <f t="shared" si="1567"/>
        <v>3</v>
      </c>
      <c r="K4830" s="1">
        <v>2</v>
      </c>
      <c r="L4830" s="1" t="s">
        <v>36</v>
      </c>
      <c r="M4830" s="1" t="str">
        <f>"安徽省 池州市 青阳县 蓉城镇"</f>
        <v>安徽省 池州市 青阳县 蓉城镇</v>
      </c>
      <c r="N4830" s="1" t="str">
        <f t="shared" si="1548"/>
        <v>凡华云仓-城南圆通-快手</v>
      </c>
      <c r="O4830" s="5" t="s">
        <v>4858</v>
      </c>
      <c r="P4830" s="6">
        <v>0.35</v>
      </c>
      <c r="Q4830" s="11">
        <v>2.2999999999999998</v>
      </c>
      <c r="R4830" s="11"/>
      <c r="S4830" s="11"/>
      <c r="T4830" s="11"/>
      <c r="U4830" s="11">
        <f t="shared" si="1554"/>
        <v>2.2999999999999998</v>
      </c>
      <c r="W4830">
        <v>2.5</v>
      </c>
      <c r="X4830" s="1" t="s">
        <v>36</v>
      </c>
    </row>
    <row r="4831" spans="1:24" x14ac:dyDescent="0.25">
      <c r="A4831" s="1" t="str">
        <f t="shared" si="1556"/>
        <v>卡卡杜-凤凰仓</v>
      </c>
      <c r="B4831" s="1" t="str">
        <f>"CK202410215090"</f>
        <v>CK202410215090</v>
      </c>
      <c r="C4831" s="1" t="str">
        <f>"DD2024102111198"</f>
        <v>DD2024102111198</v>
      </c>
      <c r="D4831" s="1" t="str">
        <f>"CK2024102119567"</f>
        <v>CK2024102119567</v>
      </c>
      <c r="E4831" s="1" t="str">
        <f>"2429402102849823"</f>
        <v>2429402102849823</v>
      </c>
      <c r="F4831" s="1" t="str">
        <f t="shared" si="1557"/>
        <v>花都四部-凤凰仓</v>
      </c>
      <c r="G4831" s="1" t="str">
        <f t="shared" si="1547"/>
        <v>卡卡杜佳旺专卖店（快手店）</v>
      </c>
      <c r="H4831" s="1" t="str">
        <f t="shared" si="1558"/>
        <v>正常订单</v>
      </c>
      <c r="I4831" s="1" t="str">
        <f t="shared" si="1559"/>
        <v>已发货</v>
      </c>
      <c r="J4831" s="1" t="str">
        <f t="shared" si="1565"/>
        <v>5</v>
      </c>
      <c r="K4831" s="1">
        <v>2</v>
      </c>
      <c r="L4831" s="1" t="s">
        <v>710</v>
      </c>
      <c r="M4831" s="1" t="str">
        <f>"上海市 上海市 宝山区 月浦镇"</f>
        <v>上海市 上海市 宝山区 月浦镇</v>
      </c>
      <c r="N4831" s="1" t="str">
        <f t="shared" si="1548"/>
        <v>凡华云仓-城南圆通-快手</v>
      </c>
      <c r="O4831" s="5" t="s">
        <v>4859</v>
      </c>
      <c r="P4831" s="6">
        <v>0.59</v>
      </c>
      <c r="Q4831" s="11">
        <f t="shared" si="1566"/>
        <v>2.4499999999999997</v>
      </c>
      <c r="R4831" s="11"/>
      <c r="S4831" s="11"/>
      <c r="T4831" s="11"/>
      <c r="U4831" s="11">
        <f t="shared" si="1554"/>
        <v>2.4499999999999997</v>
      </c>
      <c r="V4831" t="s">
        <v>15</v>
      </c>
      <c r="W4831">
        <v>2.4500000000000002</v>
      </c>
      <c r="X4831" s="1" t="s">
        <v>710</v>
      </c>
    </row>
    <row r="4832" spans="1:24" x14ac:dyDescent="0.25">
      <c r="A4832" s="1" t="str">
        <f t="shared" si="1556"/>
        <v>卡卡杜-凤凰仓</v>
      </c>
      <c r="B4832" s="1" t="str">
        <f>"CK202410214919"</f>
        <v>CK202410214919</v>
      </c>
      <c r="C4832" s="1" t="str">
        <f>"DD2024102111022"</f>
        <v>DD2024102111022</v>
      </c>
      <c r="D4832" s="1" t="str">
        <f>"CK2024102119566"</f>
        <v>CK2024102119566</v>
      </c>
      <c r="E4832" s="1" t="str">
        <f>"2429401691688581"</f>
        <v>2429401691688581</v>
      </c>
      <c r="F4832" s="1" t="str">
        <f t="shared" si="1557"/>
        <v>花都四部-凤凰仓</v>
      </c>
      <c r="G4832" s="1" t="str">
        <f t="shared" si="1547"/>
        <v>卡卡杜佳旺专卖店（快手店）</v>
      </c>
      <c r="H4832" s="1" t="str">
        <f t="shared" si="1558"/>
        <v>正常订单</v>
      </c>
      <c r="I4832" s="1" t="str">
        <f t="shared" si="1559"/>
        <v>已发货</v>
      </c>
      <c r="J4832" s="1" t="str">
        <f t="shared" si="1567"/>
        <v>3</v>
      </c>
      <c r="K4832" s="1">
        <v>2</v>
      </c>
      <c r="L4832" s="1" t="s">
        <v>24</v>
      </c>
      <c r="M4832" s="1" t="str">
        <f>"福建省 厦门市 同安区 洪塘镇"</f>
        <v>福建省 厦门市 同安区 洪塘镇</v>
      </c>
      <c r="N4832" s="1" t="str">
        <f t="shared" si="1548"/>
        <v>凡华云仓-城南圆通-快手</v>
      </c>
      <c r="O4832" s="5" t="s">
        <v>4860</v>
      </c>
      <c r="P4832" s="6">
        <v>0.35</v>
      </c>
      <c r="Q4832" s="11">
        <v>2.2999999999999998</v>
      </c>
      <c r="R4832" s="11"/>
      <c r="S4832" s="11"/>
      <c r="T4832" s="11"/>
      <c r="U4832" s="11">
        <f t="shared" si="1554"/>
        <v>2.2999999999999998</v>
      </c>
      <c r="W4832">
        <v>2.5</v>
      </c>
      <c r="X4832" s="1" t="s">
        <v>24</v>
      </c>
    </row>
    <row r="4833" spans="1:24" x14ac:dyDescent="0.25">
      <c r="A4833" s="1" t="str">
        <f t="shared" si="1556"/>
        <v>卡卡杜-凤凰仓</v>
      </c>
      <c r="B4833" s="1" t="str">
        <f>"CK202410214928"</f>
        <v>CK202410214928</v>
      </c>
      <c r="C4833" s="1" t="str">
        <f>"DD2024102111031"</f>
        <v>DD2024102111031</v>
      </c>
      <c r="D4833" s="1" t="str">
        <f>"CK2024102119565"</f>
        <v>CK2024102119565</v>
      </c>
      <c r="E4833" s="1" t="str">
        <f>"2429402012488317"</f>
        <v>2429402012488317</v>
      </c>
      <c r="F4833" s="1" t="str">
        <f t="shared" si="1557"/>
        <v>花都四部-凤凰仓</v>
      </c>
      <c r="G4833" s="1" t="str">
        <f t="shared" si="1547"/>
        <v>卡卡杜佳旺专卖店（快手店）</v>
      </c>
      <c r="H4833" s="1" t="str">
        <f t="shared" si="1558"/>
        <v>正常订单</v>
      </c>
      <c r="I4833" s="1" t="str">
        <f t="shared" si="1559"/>
        <v>已发货</v>
      </c>
      <c r="J4833" s="1" t="str">
        <f t="shared" si="1567"/>
        <v>3</v>
      </c>
      <c r="K4833" s="1">
        <v>2</v>
      </c>
      <c r="L4833" s="1" t="s">
        <v>30</v>
      </c>
      <c r="M4833" s="1" t="str">
        <f>"山东省 济南市 长清区 平安街道"</f>
        <v>山东省 济南市 长清区 平安街道</v>
      </c>
      <c r="N4833" s="1" t="str">
        <f t="shared" si="1548"/>
        <v>凡华云仓-城南圆通-快手</v>
      </c>
      <c r="O4833" s="5" t="s">
        <v>4861</v>
      </c>
      <c r="P4833" s="6">
        <v>0.35</v>
      </c>
      <c r="Q4833" s="11">
        <v>2.2999999999999998</v>
      </c>
      <c r="R4833" s="11"/>
      <c r="S4833" s="11"/>
      <c r="T4833" s="11"/>
      <c r="U4833" s="11">
        <f t="shared" si="1554"/>
        <v>2.2999999999999998</v>
      </c>
      <c r="W4833">
        <v>2.5</v>
      </c>
      <c r="X4833" s="1" t="s">
        <v>30</v>
      </c>
    </row>
    <row r="4834" spans="1:24" x14ac:dyDescent="0.25">
      <c r="A4834" s="1" t="str">
        <f t="shared" si="1556"/>
        <v>卡卡杜-凤凰仓</v>
      </c>
      <c r="B4834" s="1" t="str">
        <f>"CK202410215101"</f>
        <v>CK202410215101</v>
      </c>
      <c r="C4834" s="1" t="str">
        <f>"DD2024102111208"</f>
        <v>DD2024102111208</v>
      </c>
      <c r="D4834" s="1" t="str">
        <f>"CK2024102119564"</f>
        <v>CK2024102119564</v>
      </c>
      <c r="E4834" s="1" t="str">
        <f>"2429402097427270"</f>
        <v>2429402097427270</v>
      </c>
      <c r="F4834" s="1" t="str">
        <f t="shared" si="1557"/>
        <v>花都四部-凤凰仓</v>
      </c>
      <c r="G4834" s="1" t="str">
        <f t="shared" si="1547"/>
        <v>卡卡杜佳旺专卖店（快手店）</v>
      </c>
      <c r="H4834" s="1" t="str">
        <f t="shared" si="1558"/>
        <v>正常订单</v>
      </c>
      <c r="I4834" s="1" t="str">
        <f t="shared" si="1559"/>
        <v>已发货</v>
      </c>
      <c r="J4834" s="1" t="str">
        <f>"5"</f>
        <v>5</v>
      </c>
      <c r="K4834" s="1">
        <v>2</v>
      </c>
      <c r="L4834" s="1" t="s">
        <v>20</v>
      </c>
      <c r="M4834" s="1" t="str">
        <f>"浙江省 嘉兴市 海宁市 袁花镇"</f>
        <v>浙江省 嘉兴市 海宁市 袁花镇</v>
      </c>
      <c r="N4834" s="1" t="str">
        <f t="shared" si="1548"/>
        <v>凡华云仓-城南圆通-快手</v>
      </c>
      <c r="O4834" s="5" t="s">
        <v>4862</v>
      </c>
      <c r="P4834" s="6">
        <v>0.59</v>
      </c>
      <c r="Q4834" s="11">
        <f>CEILING(P4834-0.5,0.1)*10*0.15+2.3</f>
        <v>2.4499999999999997</v>
      </c>
      <c r="R4834" s="11"/>
      <c r="S4834" s="11"/>
      <c r="T4834" s="11"/>
      <c r="U4834" s="11">
        <f t="shared" si="1554"/>
        <v>2.4499999999999997</v>
      </c>
      <c r="V4834" t="s">
        <v>15</v>
      </c>
      <c r="W4834">
        <v>2.4500000000000002</v>
      </c>
      <c r="X4834" s="1" t="s">
        <v>20</v>
      </c>
    </row>
    <row r="4835" spans="1:24" x14ac:dyDescent="0.25">
      <c r="A4835" s="1" t="str">
        <f t="shared" si="1556"/>
        <v>卡卡杜-凤凰仓</v>
      </c>
      <c r="B4835" s="1" t="str">
        <f>"CK202410215094"</f>
        <v>CK202410215094</v>
      </c>
      <c r="C4835" s="1" t="str">
        <f>"DD2024102111200"</f>
        <v>DD2024102111200</v>
      </c>
      <c r="D4835" s="1" t="str">
        <f>"CK2024102119563"</f>
        <v>CK2024102119563</v>
      </c>
      <c r="E4835" s="1" t="str">
        <f>"2429401691633332"</f>
        <v>2429401691633332</v>
      </c>
      <c r="F4835" s="1" t="str">
        <f t="shared" si="1557"/>
        <v>花都四部-凤凰仓</v>
      </c>
      <c r="G4835" s="1" t="str">
        <f t="shared" si="1547"/>
        <v>卡卡杜佳旺专卖店（快手店）</v>
      </c>
      <c r="H4835" s="1" t="str">
        <f t="shared" si="1558"/>
        <v>正常订单</v>
      </c>
      <c r="I4835" s="1" t="str">
        <f t="shared" si="1559"/>
        <v>已发货</v>
      </c>
      <c r="J4835" s="1" t="str">
        <f>"5"</f>
        <v>5</v>
      </c>
      <c r="K4835" s="1">
        <v>2</v>
      </c>
      <c r="L4835" s="1" t="s">
        <v>41</v>
      </c>
      <c r="M4835" s="1" t="str">
        <f>"湖北省 荆州市 沙市区 锣场镇"</f>
        <v>湖北省 荆州市 沙市区 锣场镇</v>
      </c>
      <c r="N4835" s="1" t="str">
        <f t="shared" si="1548"/>
        <v>凡华云仓-城南圆通-快手</v>
      </c>
      <c r="O4835" s="5" t="s">
        <v>4863</v>
      </c>
      <c r="P4835" s="6">
        <v>0.59</v>
      </c>
      <c r="Q4835" s="11">
        <f>CEILING(P4835-0.5,0.1)*10*0.15+2.3</f>
        <v>2.4499999999999997</v>
      </c>
      <c r="R4835" s="11"/>
      <c r="S4835" s="11"/>
      <c r="T4835" s="11"/>
      <c r="U4835" s="11">
        <f t="shared" si="1554"/>
        <v>2.4499999999999997</v>
      </c>
      <c r="V4835" t="s">
        <v>15</v>
      </c>
      <c r="W4835">
        <v>2.4500000000000002</v>
      </c>
      <c r="X4835" s="1" t="s">
        <v>41</v>
      </c>
    </row>
    <row r="4836" spans="1:24" x14ac:dyDescent="0.25">
      <c r="A4836" s="1" t="str">
        <f t="shared" si="1556"/>
        <v>卡卡杜-凤凰仓</v>
      </c>
      <c r="B4836" s="1" t="str">
        <f>"CK202410214934"</f>
        <v>CK202410214934</v>
      </c>
      <c r="C4836" s="1" t="str">
        <f>"DD2024102111036"</f>
        <v>DD2024102111036</v>
      </c>
      <c r="D4836" s="1" t="str">
        <f>"CK2024102119562"</f>
        <v>CK2024102119562</v>
      </c>
      <c r="E4836" s="1" t="str">
        <f>"2429401939595951"</f>
        <v>2429401939595951</v>
      </c>
      <c r="F4836" s="1" t="str">
        <f t="shared" si="1557"/>
        <v>花都四部-凤凰仓</v>
      </c>
      <c r="G4836" s="1" t="str">
        <f t="shared" si="1547"/>
        <v>卡卡杜佳旺专卖店（快手店）</v>
      </c>
      <c r="H4836" s="1" t="str">
        <f t="shared" si="1558"/>
        <v>正常订单</v>
      </c>
      <c r="I4836" s="1" t="str">
        <f t="shared" si="1559"/>
        <v>已发货</v>
      </c>
      <c r="J4836" s="1" t="str">
        <f t="shared" ref="J4836:J4839" si="1568">"3"</f>
        <v>3</v>
      </c>
      <c r="K4836" s="1">
        <v>2</v>
      </c>
      <c r="L4836" s="1" t="s">
        <v>32</v>
      </c>
      <c r="M4836" s="1" t="str">
        <f>"陕西省 西安市 未央区 大明宫街道"</f>
        <v>陕西省 西安市 未央区 大明宫街道</v>
      </c>
      <c r="N4836" s="1" t="str">
        <f t="shared" si="1548"/>
        <v>凡华云仓-城南圆通-快手</v>
      </c>
      <c r="O4836" s="5" t="s">
        <v>4864</v>
      </c>
      <c r="P4836" s="6">
        <v>0.35</v>
      </c>
      <c r="Q4836" s="11">
        <v>2.2999999999999998</v>
      </c>
      <c r="R4836" s="11"/>
      <c r="S4836" s="11"/>
      <c r="T4836" s="11"/>
      <c r="U4836" s="11">
        <f t="shared" si="1554"/>
        <v>2.2999999999999998</v>
      </c>
      <c r="W4836">
        <v>2.5</v>
      </c>
      <c r="X4836" s="1" t="s">
        <v>32</v>
      </c>
    </row>
    <row r="4837" spans="1:24" x14ac:dyDescent="0.25">
      <c r="A4837" s="1" t="str">
        <f t="shared" si="1556"/>
        <v>卡卡杜-凤凰仓</v>
      </c>
      <c r="B4837" s="1" t="str">
        <f>"CK202410214917"</f>
        <v>CK202410214917</v>
      </c>
      <c r="C4837" s="1" t="str">
        <f>"DD2024102111020"</f>
        <v>DD2024102111020</v>
      </c>
      <c r="D4837" s="1" t="str">
        <f>"CK2024102119561"</f>
        <v>CK2024102119561</v>
      </c>
      <c r="E4837" s="1" t="str">
        <f>"2429401699680122"</f>
        <v>2429401699680122</v>
      </c>
      <c r="F4837" s="1" t="str">
        <f t="shared" si="1557"/>
        <v>花都四部-凤凰仓</v>
      </c>
      <c r="G4837" s="1" t="str">
        <f t="shared" si="1547"/>
        <v>卡卡杜佳旺专卖店（快手店）</v>
      </c>
      <c r="H4837" s="1" t="str">
        <f t="shared" si="1558"/>
        <v>正常订单</v>
      </c>
      <c r="I4837" s="1" t="str">
        <f t="shared" si="1559"/>
        <v>已发货</v>
      </c>
      <c r="J4837" s="1" t="str">
        <f t="shared" si="1568"/>
        <v>3</v>
      </c>
      <c r="K4837" s="1">
        <v>2</v>
      </c>
      <c r="L4837" s="1" t="s">
        <v>109</v>
      </c>
      <c r="M4837" s="1" t="str">
        <f>"山西省 晋中市 榆次区 晋华街道"</f>
        <v>山西省 晋中市 榆次区 晋华街道</v>
      </c>
      <c r="N4837" s="1" t="str">
        <f t="shared" si="1548"/>
        <v>凡华云仓-城南圆通-快手</v>
      </c>
      <c r="O4837" s="5" t="s">
        <v>4865</v>
      </c>
      <c r="P4837" s="6">
        <v>0.35</v>
      </c>
      <c r="Q4837" s="11">
        <v>2.2999999999999998</v>
      </c>
      <c r="R4837" s="11"/>
      <c r="S4837" s="11"/>
      <c r="T4837" s="11"/>
      <c r="U4837" s="11">
        <f t="shared" si="1554"/>
        <v>2.2999999999999998</v>
      </c>
      <c r="W4837">
        <v>2.5</v>
      </c>
      <c r="X4837" s="1" t="s">
        <v>109</v>
      </c>
    </row>
    <row r="4838" spans="1:24" x14ac:dyDescent="0.25">
      <c r="A4838" s="1" t="str">
        <f t="shared" si="1556"/>
        <v>卡卡杜-凤凰仓</v>
      </c>
      <c r="B4838" s="1" t="str">
        <f>"CK202410214937"</f>
        <v>CK202410214937</v>
      </c>
      <c r="C4838" s="1" t="str">
        <f>"DD2024102111040"</f>
        <v>DD2024102111040</v>
      </c>
      <c r="D4838" s="1" t="str">
        <f>"CK2024102119560"</f>
        <v>CK2024102119560</v>
      </c>
      <c r="E4838" s="1" t="str">
        <f>"2429402098138014"</f>
        <v>2429402098138014</v>
      </c>
      <c r="F4838" s="1" t="str">
        <f t="shared" si="1557"/>
        <v>花都四部-凤凰仓</v>
      </c>
      <c r="G4838" s="1" t="str">
        <f t="shared" si="1547"/>
        <v>卡卡杜佳旺专卖店（快手店）</v>
      </c>
      <c r="H4838" s="1" t="str">
        <f t="shared" si="1558"/>
        <v>正常订单</v>
      </c>
      <c r="I4838" s="1" t="str">
        <f t="shared" si="1559"/>
        <v>已发货</v>
      </c>
      <c r="J4838" s="1" t="str">
        <f t="shared" si="1568"/>
        <v>3</v>
      </c>
      <c r="K4838" s="1">
        <v>2</v>
      </c>
      <c r="L4838" s="1" t="s">
        <v>710</v>
      </c>
      <c r="M4838" s="1" t="str">
        <f>"上海市 上海市 浦东新区 航头镇"</f>
        <v>上海市 上海市 浦东新区 航头镇</v>
      </c>
      <c r="N4838" s="1" t="str">
        <f t="shared" si="1548"/>
        <v>凡华云仓-城南圆通-快手</v>
      </c>
      <c r="O4838" s="5" t="s">
        <v>4866</v>
      </c>
      <c r="P4838" s="6">
        <v>0.35</v>
      </c>
      <c r="Q4838" s="11">
        <v>2.2999999999999998</v>
      </c>
      <c r="R4838" s="11"/>
      <c r="S4838" s="11"/>
      <c r="T4838" s="11"/>
      <c r="U4838" s="11">
        <f t="shared" si="1554"/>
        <v>2.2999999999999998</v>
      </c>
      <c r="W4838">
        <v>2.5</v>
      </c>
      <c r="X4838" s="1" t="s">
        <v>710</v>
      </c>
    </row>
    <row r="4839" spans="1:24" x14ac:dyDescent="0.25">
      <c r="A4839" s="1" t="str">
        <f t="shared" si="1556"/>
        <v>卡卡杜-凤凰仓</v>
      </c>
      <c r="B4839" s="1" t="str">
        <f>"CK202410214915"</f>
        <v>CK202410214915</v>
      </c>
      <c r="C4839" s="1" t="str">
        <f>"DD2024102111018"</f>
        <v>DD2024102111018</v>
      </c>
      <c r="D4839" s="1" t="str">
        <f>"CK2024102119559"</f>
        <v>CK2024102119559</v>
      </c>
      <c r="E4839" s="1" t="str">
        <f>"2429402185963201"</f>
        <v>2429402185963201</v>
      </c>
      <c r="F4839" s="1" t="str">
        <f t="shared" si="1557"/>
        <v>花都四部-凤凰仓</v>
      </c>
      <c r="G4839" s="1" t="str">
        <f t="shared" si="1547"/>
        <v>卡卡杜佳旺专卖店（快手店）</v>
      </c>
      <c r="H4839" s="1" t="str">
        <f t="shared" si="1558"/>
        <v>正常订单</v>
      </c>
      <c r="I4839" s="1" t="str">
        <f t="shared" si="1559"/>
        <v>已发货</v>
      </c>
      <c r="J4839" s="1" t="str">
        <f t="shared" si="1568"/>
        <v>3</v>
      </c>
      <c r="K4839" s="1">
        <v>2</v>
      </c>
      <c r="L4839" s="1" t="s">
        <v>18</v>
      </c>
      <c r="M4839" s="1" t="str">
        <f>"广东省 深圳市 光明区 玉塘街道"</f>
        <v>广东省 深圳市 光明区 玉塘街道</v>
      </c>
      <c r="N4839" s="1" t="str">
        <f t="shared" si="1548"/>
        <v>凡华云仓-城南圆通-快手</v>
      </c>
      <c r="O4839" s="5" t="s">
        <v>4867</v>
      </c>
      <c r="P4839" s="6">
        <v>0.35</v>
      </c>
      <c r="Q4839" s="11">
        <v>2.2999999999999998</v>
      </c>
      <c r="R4839" s="11"/>
      <c r="S4839" s="11"/>
      <c r="T4839" s="11"/>
      <c r="U4839" s="11">
        <f t="shared" si="1554"/>
        <v>2.2999999999999998</v>
      </c>
      <c r="W4839">
        <v>2.5</v>
      </c>
      <c r="X4839" s="1" t="s">
        <v>18</v>
      </c>
    </row>
    <row r="4840" spans="1:24" x14ac:dyDescent="0.25">
      <c r="A4840" s="1" t="str">
        <f t="shared" si="1556"/>
        <v>卡卡杜-凤凰仓</v>
      </c>
      <c r="B4840" s="1" t="str">
        <f>"CK202410215096"</f>
        <v>CK202410215096</v>
      </c>
      <c r="C4840" s="1" t="str">
        <f>"DD2024102111202"</f>
        <v>DD2024102111202</v>
      </c>
      <c r="D4840" s="1" t="str">
        <f>"CK2024102119558"</f>
        <v>CK2024102119558</v>
      </c>
      <c r="E4840" s="1" t="str">
        <f>"2429402015720069"</f>
        <v>2429402015720069</v>
      </c>
      <c r="F4840" s="1" t="str">
        <f t="shared" si="1557"/>
        <v>花都四部-凤凰仓</v>
      </c>
      <c r="G4840" s="1" t="str">
        <f t="shared" si="1547"/>
        <v>卡卡杜佳旺专卖店（快手店）</v>
      </c>
      <c r="H4840" s="1" t="str">
        <f t="shared" si="1558"/>
        <v>正常订单</v>
      </c>
      <c r="I4840" s="1" t="str">
        <f t="shared" si="1559"/>
        <v>已发货</v>
      </c>
      <c r="J4840" s="1" t="str">
        <f t="shared" ref="J4840:J4843" si="1569">"5"</f>
        <v>5</v>
      </c>
      <c r="K4840" s="1">
        <v>2</v>
      </c>
      <c r="L4840" s="1" t="s">
        <v>24</v>
      </c>
      <c r="M4840" s="1" t="str">
        <f>"福建省 宁德市 寿宁县 斜滩镇"</f>
        <v>福建省 宁德市 寿宁县 斜滩镇</v>
      </c>
      <c r="N4840" s="1" t="str">
        <f t="shared" si="1548"/>
        <v>凡华云仓-城南圆通-快手</v>
      </c>
      <c r="O4840" s="5" t="s">
        <v>4868</v>
      </c>
      <c r="P4840" s="6">
        <v>0.59</v>
      </c>
      <c r="Q4840" s="11">
        <f t="shared" ref="Q4840:Q4843" si="1570">CEILING(P4840-0.5,0.1)*10*0.15+2.3</f>
        <v>2.4499999999999997</v>
      </c>
      <c r="R4840" s="11"/>
      <c r="S4840" s="11"/>
      <c r="T4840" s="11"/>
      <c r="U4840" s="11">
        <f t="shared" si="1554"/>
        <v>2.4499999999999997</v>
      </c>
      <c r="V4840" t="s">
        <v>15</v>
      </c>
      <c r="W4840">
        <v>2.4500000000000002</v>
      </c>
      <c r="X4840" s="1" t="s">
        <v>24</v>
      </c>
    </row>
    <row r="4841" spans="1:24" x14ac:dyDescent="0.25">
      <c r="A4841" s="1" t="str">
        <f t="shared" si="1556"/>
        <v>卡卡杜-凤凰仓</v>
      </c>
      <c r="B4841" s="1" t="str">
        <f>"CK202410214904"</f>
        <v>CK202410214904</v>
      </c>
      <c r="C4841" s="1" t="str">
        <f>"DD2024102111007"</f>
        <v>DD2024102111007</v>
      </c>
      <c r="D4841" s="1" t="str">
        <f>"CK2024102119557"</f>
        <v>CK2024102119557</v>
      </c>
      <c r="E4841" s="1" t="str">
        <f>"2429401930090998"</f>
        <v>2429401930090998</v>
      </c>
      <c r="F4841" s="1" t="str">
        <f t="shared" si="1557"/>
        <v>花都四部-凤凰仓</v>
      </c>
      <c r="G4841" s="1" t="str">
        <f t="shared" si="1547"/>
        <v>卡卡杜佳旺专卖店（快手店）</v>
      </c>
      <c r="H4841" s="1" t="str">
        <f t="shared" si="1558"/>
        <v>正常订单</v>
      </c>
      <c r="I4841" s="1" t="str">
        <f t="shared" si="1559"/>
        <v>已发货</v>
      </c>
      <c r="J4841" s="1" t="str">
        <f t="shared" ref="J4841:J4855" si="1571">"3"</f>
        <v>3</v>
      </c>
      <c r="K4841" s="1">
        <v>2</v>
      </c>
      <c r="L4841" s="1" t="s">
        <v>18</v>
      </c>
      <c r="M4841" s="1" t="str">
        <f>"广东省 揭阳市 揭东区 锡场镇"</f>
        <v>广东省 揭阳市 揭东区 锡场镇</v>
      </c>
      <c r="N4841" s="1" t="str">
        <f t="shared" si="1548"/>
        <v>凡华云仓-城南圆通-快手</v>
      </c>
      <c r="O4841" s="5" t="s">
        <v>4869</v>
      </c>
      <c r="P4841" s="6">
        <v>0.35</v>
      </c>
      <c r="Q4841" s="11">
        <v>2.2999999999999998</v>
      </c>
      <c r="R4841" s="11"/>
      <c r="S4841" s="11"/>
      <c r="T4841" s="11"/>
      <c r="U4841" s="11">
        <f t="shared" si="1554"/>
        <v>2.2999999999999998</v>
      </c>
      <c r="W4841">
        <v>2.5</v>
      </c>
      <c r="X4841" s="1" t="s">
        <v>18</v>
      </c>
    </row>
    <row r="4842" spans="1:24" x14ac:dyDescent="0.25">
      <c r="A4842" s="1" t="str">
        <f t="shared" si="1556"/>
        <v>卡卡杜-凤凰仓</v>
      </c>
      <c r="B4842" s="1" t="str">
        <f>"CK202410215065"</f>
        <v>CK202410215065</v>
      </c>
      <c r="C4842" s="1" t="str">
        <f>"DD2024102111171"</f>
        <v>DD2024102111171</v>
      </c>
      <c r="D4842" s="1" t="str">
        <f>"CK2024102119556"</f>
        <v>CK2024102119556</v>
      </c>
      <c r="E4842" s="1" t="str">
        <f>"2429402091600025"</f>
        <v>2429402091600025</v>
      </c>
      <c r="F4842" s="1" t="str">
        <f t="shared" si="1557"/>
        <v>花都四部-凤凰仓</v>
      </c>
      <c r="G4842" s="1" t="str">
        <f t="shared" si="1547"/>
        <v>卡卡杜佳旺专卖店（快手店）</v>
      </c>
      <c r="H4842" s="1" t="str">
        <f t="shared" si="1558"/>
        <v>正常订单</v>
      </c>
      <c r="I4842" s="1" t="str">
        <f t="shared" si="1559"/>
        <v>已发货</v>
      </c>
      <c r="J4842" s="1" t="str">
        <f t="shared" si="1569"/>
        <v>5</v>
      </c>
      <c r="K4842" s="1">
        <v>2</v>
      </c>
      <c r="L4842" s="1" t="s">
        <v>41</v>
      </c>
      <c r="M4842" s="1" t="str">
        <f>"湖北省 荆门市 钟祥市 郢中街道"</f>
        <v>湖北省 荆门市 钟祥市 郢中街道</v>
      </c>
      <c r="N4842" s="1" t="str">
        <f t="shared" si="1548"/>
        <v>凡华云仓-城南圆通-快手</v>
      </c>
      <c r="O4842" s="5" t="s">
        <v>4870</v>
      </c>
      <c r="P4842" s="6">
        <v>0.59</v>
      </c>
      <c r="Q4842" s="11">
        <f t="shared" si="1570"/>
        <v>2.4499999999999997</v>
      </c>
      <c r="R4842" s="11"/>
      <c r="S4842" s="11"/>
      <c r="T4842" s="11"/>
      <c r="U4842" s="11">
        <f t="shared" si="1554"/>
        <v>2.4499999999999997</v>
      </c>
      <c r="V4842" t="s">
        <v>15</v>
      </c>
      <c r="W4842">
        <v>2.4500000000000002</v>
      </c>
      <c r="X4842" s="1" t="s">
        <v>41</v>
      </c>
    </row>
    <row r="4843" spans="1:24" x14ac:dyDescent="0.25">
      <c r="A4843" s="1" t="str">
        <f t="shared" si="1556"/>
        <v>卡卡杜-凤凰仓</v>
      </c>
      <c r="B4843" s="1" t="str">
        <f>"CK202410215083"</f>
        <v>CK202410215083</v>
      </c>
      <c r="C4843" s="1" t="str">
        <f>"DD2024102111189"</f>
        <v>DD2024102111189</v>
      </c>
      <c r="D4843" s="1" t="str">
        <f>"CK2024102119555"</f>
        <v>CK2024102119555</v>
      </c>
      <c r="E4843" s="1" t="str">
        <f>"2429401613057650"</f>
        <v>2429401613057650</v>
      </c>
      <c r="F4843" s="1" t="str">
        <f t="shared" si="1557"/>
        <v>花都四部-凤凰仓</v>
      </c>
      <c r="G4843" s="1" t="str">
        <f t="shared" si="1547"/>
        <v>卡卡杜佳旺专卖店（快手店）</v>
      </c>
      <c r="H4843" s="1" t="str">
        <f t="shared" si="1558"/>
        <v>正常订单</v>
      </c>
      <c r="I4843" s="1" t="str">
        <f t="shared" si="1559"/>
        <v>已发货</v>
      </c>
      <c r="J4843" s="1" t="str">
        <f t="shared" si="1569"/>
        <v>5</v>
      </c>
      <c r="K4843" s="1">
        <v>2</v>
      </c>
      <c r="L4843" s="1" t="s">
        <v>13</v>
      </c>
      <c r="M4843" s="1" t="str">
        <f>"江苏省 南通市 通州区 金新街道"</f>
        <v>江苏省 南通市 通州区 金新街道</v>
      </c>
      <c r="N4843" s="1" t="str">
        <f t="shared" si="1548"/>
        <v>凡华云仓-城南圆通-快手</v>
      </c>
      <c r="O4843" s="5" t="s">
        <v>4871</v>
      </c>
      <c r="P4843" s="6">
        <v>0.59</v>
      </c>
      <c r="Q4843" s="11">
        <f t="shared" si="1570"/>
        <v>2.4499999999999997</v>
      </c>
      <c r="R4843" s="11"/>
      <c r="S4843" s="11"/>
      <c r="T4843" s="11"/>
      <c r="U4843" s="11">
        <f t="shared" si="1554"/>
        <v>2.4499999999999997</v>
      </c>
      <c r="V4843" t="s">
        <v>15</v>
      </c>
      <c r="W4843">
        <v>2.4500000000000002</v>
      </c>
      <c r="X4843" s="1" t="s">
        <v>13</v>
      </c>
    </row>
    <row r="4844" spans="1:24" x14ac:dyDescent="0.25">
      <c r="A4844" s="1" t="str">
        <f t="shared" si="1556"/>
        <v>卡卡杜-凤凰仓</v>
      </c>
      <c r="B4844" s="1" t="str">
        <f>"CK202410214879"</f>
        <v>CK202410214879</v>
      </c>
      <c r="C4844" s="1" t="str">
        <f>"DD2024102110983"</f>
        <v>DD2024102110983</v>
      </c>
      <c r="D4844" s="1" t="str">
        <f>"CK2024102119554"</f>
        <v>CK2024102119554</v>
      </c>
      <c r="E4844" s="1" t="str">
        <f>"2429401778602832"</f>
        <v>2429401778602832</v>
      </c>
      <c r="F4844" s="1" t="str">
        <f t="shared" si="1557"/>
        <v>花都四部-凤凰仓</v>
      </c>
      <c r="G4844" s="1" t="str">
        <f t="shared" si="1547"/>
        <v>卡卡杜佳旺专卖店（快手店）</v>
      </c>
      <c r="H4844" s="1" t="str">
        <f t="shared" si="1558"/>
        <v>正常订单</v>
      </c>
      <c r="I4844" s="1" t="str">
        <f t="shared" si="1559"/>
        <v>已发货</v>
      </c>
      <c r="J4844" s="1" t="str">
        <f t="shared" si="1571"/>
        <v>3</v>
      </c>
      <c r="K4844" s="1">
        <v>2</v>
      </c>
      <c r="L4844" s="1" t="s">
        <v>18</v>
      </c>
      <c r="M4844" s="1" t="str">
        <f>"广东省 珠海市 斗门区 井岸镇"</f>
        <v>广东省 珠海市 斗门区 井岸镇</v>
      </c>
      <c r="N4844" s="1" t="str">
        <f t="shared" si="1548"/>
        <v>凡华云仓-城南圆通-快手</v>
      </c>
      <c r="O4844" s="5" t="s">
        <v>4872</v>
      </c>
      <c r="P4844" s="6">
        <v>0.35</v>
      </c>
      <c r="Q4844" s="11">
        <v>2.2999999999999998</v>
      </c>
      <c r="R4844" s="11"/>
      <c r="S4844" s="11"/>
      <c r="T4844" s="11"/>
      <c r="U4844" s="11">
        <f t="shared" si="1554"/>
        <v>2.2999999999999998</v>
      </c>
      <c r="W4844">
        <v>2.5</v>
      </c>
      <c r="X4844" s="1" t="s">
        <v>18</v>
      </c>
    </row>
    <row r="4845" spans="1:24" x14ac:dyDescent="0.25">
      <c r="A4845" s="1" t="str">
        <f t="shared" si="1556"/>
        <v>卡卡杜-凤凰仓</v>
      </c>
      <c r="B4845" s="1" t="str">
        <f>"CK202410215085"</f>
        <v>CK202410215085</v>
      </c>
      <c r="C4845" s="1" t="str">
        <f>"DD2024102111194"</f>
        <v>DD2024102111194</v>
      </c>
      <c r="D4845" s="1" t="str">
        <f>"CK2024102119553"</f>
        <v>CK2024102119553</v>
      </c>
      <c r="E4845" s="1" t="str">
        <f>"2429402023753619"</f>
        <v>2429402023753619</v>
      </c>
      <c r="F4845" s="1" t="str">
        <f t="shared" si="1557"/>
        <v>花都四部-凤凰仓</v>
      </c>
      <c r="G4845" s="1" t="str">
        <f t="shared" si="1547"/>
        <v>卡卡杜佳旺专卖店（快手店）</v>
      </c>
      <c r="H4845" s="1" t="str">
        <f t="shared" si="1558"/>
        <v>正常订单</v>
      </c>
      <c r="I4845" s="1" t="str">
        <f t="shared" si="1559"/>
        <v>已发货</v>
      </c>
      <c r="J4845" s="1" t="str">
        <f>"5"</f>
        <v>5</v>
      </c>
      <c r="K4845" s="1">
        <v>2</v>
      </c>
      <c r="L4845" s="1" t="s">
        <v>20</v>
      </c>
      <c r="M4845" s="1" t="str">
        <f>"浙江省 宁波市 奉化区 尚田街道"</f>
        <v>浙江省 宁波市 奉化区 尚田街道</v>
      </c>
      <c r="N4845" s="1" t="str">
        <f t="shared" si="1548"/>
        <v>凡华云仓-城南圆通-快手</v>
      </c>
      <c r="O4845" s="5" t="s">
        <v>4873</v>
      </c>
      <c r="P4845" s="6">
        <v>0.59</v>
      </c>
      <c r="Q4845" s="11">
        <f>CEILING(P4845-0.5,0.1)*10*0.15+2.3</f>
        <v>2.4499999999999997</v>
      </c>
      <c r="R4845" s="11"/>
      <c r="S4845" s="11"/>
      <c r="T4845" s="11"/>
      <c r="U4845" s="11">
        <f t="shared" si="1554"/>
        <v>2.4499999999999997</v>
      </c>
      <c r="V4845" t="s">
        <v>15</v>
      </c>
      <c r="W4845">
        <v>2.4500000000000002</v>
      </c>
      <c r="X4845" s="1" t="s">
        <v>20</v>
      </c>
    </row>
    <row r="4846" spans="1:24" x14ac:dyDescent="0.25">
      <c r="A4846" s="1" t="str">
        <f t="shared" si="1556"/>
        <v>卡卡杜-凤凰仓</v>
      </c>
      <c r="B4846" s="1" t="str">
        <f>"CK202410214903"</f>
        <v>CK202410214903</v>
      </c>
      <c r="C4846" s="1" t="str">
        <f>"DD2024102111006"</f>
        <v>DD2024102111006</v>
      </c>
      <c r="D4846" s="1" t="str">
        <f>"CK2024102119552"</f>
        <v>CK2024102119552</v>
      </c>
      <c r="E4846" s="1" t="str">
        <f>"2429402017178380"</f>
        <v>2429402017178380</v>
      </c>
      <c r="F4846" s="1" t="str">
        <f t="shared" si="1557"/>
        <v>花都四部-凤凰仓</v>
      </c>
      <c r="G4846" s="1" t="str">
        <f t="shared" si="1547"/>
        <v>卡卡杜佳旺专卖店（快手店）</v>
      </c>
      <c r="H4846" s="1" t="str">
        <f t="shared" si="1558"/>
        <v>正常订单</v>
      </c>
      <c r="I4846" s="1" t="str">
        <f t="shared" si="1559"/>
        <v>已发货</v>
      </c>
      <c r="J4846" s="1" t="str">
        <f t="shared" si="1571"/>
        <v>3</v>
      </c>
      <c r="K4846" s="1">
        <v>2</v>
      </c>
      <c r="L4846" s="1" t="s">
        <v>44</v>
      </c>
      <c r="M4846" s="1" t="str">
        <f>"海南省 省直辖县级行政区划 五指山市 通什镇"</f>
        <v>海南省 省直辖县级行政区划 五指山市 通什镇</v>
      </c>
      <c r="N4846" s="1" t="str">
        <f t="shared" si="1548"/>
        <v>凡华云仓-城南圆通-快手</v>
      </c>
      <c r="O4846" s="5" t="s">
        <v>4874</v>
      </c>
      <c r="P4846" s="6">
        <v>0.35</v>
      </c>
      <c r="Q4846" s="11">
        <v>2.2999999999999998</v>
      </c>
      <c r="R4846" s="11"/>
      <c r="S4846" s="11"/>
      <c r="T4846" s="11"/>
      <c r="U4846" s="11">
        <f t="shared" si="1554"/>
        <v>2.2999999999999998</v>
      </c>
      <c r="W4846">
        <v>2.5</v>
      </c>
      <c r="X4846" s="1" t="s">
        <v>44</v>
      </c>
    </row>
    <row r="4847" spans="1:24" x14ac:dyDescent="0.25">
      <c r="A4847" s="1" t="str">
        <f t="shared" si="1556"/>
        <v>卡卡杜-凤凰仓</v>
      </c>
      <c r="B4847" s="1" t="str">
        <f>"CK202410214902"</f>
        <v>CK202410214902</v>
      </c>
      <c r="C4847" s="1" t="str">
        <f>"DD2024102111005"</f>
        <v>DD2024102111005</v>
      </c>
      <c r="D4847" s="1" t="str">
        <f>"CK2024102119551"</f>
        <v>CK2024102119551</v>
      </c>
      <c r="E4847" s="1" t="str">
        <f>"2429402173115430"</f>
        <v>2429402173115430</v>
      </c>
      <c r="F4847" s="1" t="str">
        <f t="shared" si="1557"/>
        <v>花都四部-凤凰仓</v>
      </c>
      <c r="G4847" s="1" t="str">
        <f t="shared" si="1547"/>
        <v>卡卡杜佳旺专卖店（快手店）</v>
      </c>
      <c r="H4847" s="1" t="str">
        <f t="shared" si="1558"/>
        <v>正常订单</v>
      </c>
      <c r="I4847" s="1" t="str">
        <f t="shared" si="1559"/>
        <v>已发货</v>
      </c>
      <c r="J4847" s="1" t="str">
        <f t="shared" si="1571"/>
        <v>3</v>
      </c>
      <c r="K4847" s="1">
        <v>2</v>
      </c>
      <c r="L4847" s="1" t="s">
        <v>20</v>
      </c>
      <c r="M4847" s="1" t="str">
        <f>"浙江省 温州市 平阳县 鳌江镇"</f>
        <v>浙江省 温州市 平阳县 鳌江镇</v>
      </c>
      <c r="N4847" s="1" t="str">
        <f t="shared" si="1548"/>
        <v>凡华云仓-城南圆通-快手</v>
      </c>
      <c r="O4847" s="5" t="s">
        <v>4875</v>
      </c>
      <c r="P4847" s="6">
        <v>0.35</v>
      </c>
      <c r="Q4847" s="11">
        <v>2.2999999999999998</v>
      </c>
      <c r="R4847" s="11"/>
      <c r="S4847" s="11"/>
      <c r="T4847" s="11"/>
      <c r="U4847" s="11">
        <f t="shared" si="1554"/>
        <v>2.2999999999999998</v>
      </c>
      <c r="W4847">
        <v>2.5</v>
      </c>
      <c r="X4847" s="1" t="s">
        <v>20</v>
      </c>
    </row>
    <row r="4848" spans="1:24" x14ac:dyDescent="0.25">
      <c r="A4848" s="1" t="str">
        <f t="shared" si="1556"/>
        <v>卡卡杜-凤凰仓</v>
      </c>
      <c r="B4848" s="1" t="str">
        <f>"CK202410214900"</f>
        <v>CK202410214900</v>
      </c>
      <c r="C4848" s="1" t="str">
        <f>"DD2024102111003"</f>
        <v>DD2024102111003</v>
      </c>
      <c r="D4848" s="1" t="str">
        <f>"CK2024102119550"</f>
        <v>CK2024102119550</v>
      </c>
      <c r="E4848" s="1" t="str">
        <f>"2429401786225566"</f>
        <v>2429401786225566</v>
      </c>
      <c r="F4848" s="1" t="str">
        <f t="shared" si="1557"/>
        <v>花都四部-凤凰仓</v>
      </c>
      <c r="G4848" s="1" t="str">
        <f t="shared" si="1547"/>
        <v>卡卡杜佳旺专卖店（快手店）</v>
      </c>
      <c r="H4848" s="1" t="str">
        <f t="shared" si="1558"/>
        <v>正常订单</v>
      </c>
      <c r="I4848" s="1" t="str">
        <f t="shared" si="1559"/>
        <v>已发货</v>
      </c>
      <c r="J4848" s="1" t="str">
        <f t="shared" si="1571"/>
        <v>3</v>
      </c>
      <c r="K4848" s="1">
        <v>2</v>
      </c>
      <c r="L4848" s="1" t="s">
        <v>80</v>
      </c>
      <c r="M4848" s="1" t="str">
        <f>"河南省 郑州市 惠济区 迎宾路街道"</f>
        <v>河南省 郑州市 惠济区 迎宾路街道</v>
      </c>
      <c r="N4848" s="1" t="str">
        <f t="shared" si="1548"/>
        <v>凡华云仓-城南圆通-快手</v>
      </c>
      <c r="O4848" s="5" t="s">
        <v>4876</v>
      </c>
      <c r="P4848" s="6">
        <v>0.35</v>
      </c>
      <c r="Q4848" s="11">
        <v>2.2999999999999998</v>
      </c>
      <c r="R4848" s="11"/>
      <c r="S4848" s="11"/>
      <c r="T4848" s="11"/>
      <c r="U4848" s="11">
        <f t="shared" si="1554"/>
        <v>2.2999999999999998</v>
      </c>
      <c r="W4848">
        <v>2.5</v>
      </c>
      <c r="X4848" s="1" t="s">
        <v>80</v>
      </c>
    </row>
    <row r="4849" spans="1:24" x14ac:dyDescent="0.25">
      <c r="A4849" s="1" t="str">
        <f t="shared" si="1556"/>
        <v>卡卡杜-凤凰仓</v>
      </c>
      <c r="B4849" s="1" t="str">
        <f>"CK202410214886"</f>
        <v>CK202410214886</v>
      </c>
      <c r="C4849" s="1" t="str">
        <f>"DD2024102110988"</f>
        <v>DD2024102110988</v>
      </c>
      <c r="D4849" s="1" t="str">
        <f>"CK2024102119549"</f>
        <v>CK2024102119549</v>
      </c>
      <c r="E4849" s="1" t="str">
        <f>"2429402187395541"</f>
        <v>2429402187395541</v>
      </c>
      <c r="F4849" s="1" t="str">
        <f t="shared" si="1557"/>
        <v>花都四部-凤凰仓</v>
      </c>
      <c r="G4849" s="1" t="str">
        <f t="shared" si="1547"/>
        <v>卡卡杜佳旺专卖店（快手店）</v>
      </c>
      <c r="H4849" s="1" t="str">
        <f t="shared" si="1558"/>
        <v>正常订单</v>
      </c>
      <c r="I4849" s="1" t="str">
        <f t="shared" si="1559"/>
        <v>已发货</v>
      </c>
      <c r="J4849" s="1" t="str">
        <f t="shared" si="1571"/>
        <v>3</v>
      </c>
      <c r="K4849" s="1">
        <v>2</v>
      </c>
      <c r="L4849" s="1" t="s">
        <v>710</v>
      </c>
      <c r="M4849" s="1" t="str">
        <f>"上海市 上海市 奉贤区 青村镇"</f>
        <v>上海市 上海市 奉贤区 青村镇</v>
      </c>
      <c r="N4849" s="1" t="str">
        <f t="shared" si="1548"/>
        <v>凡华云仓-城南圆通-快手</v>
      </c>
      <c r="O4849" s="5" t="s">
        <v>4877</v>
      </c>
      <c r="P4849" s="6">
        <v>0.35</v>
      </c>
      <c r="Q4849" s="11">
        <v>2.2999999999999998</v>
      </c>
      <c r="R4849" s="11"/>
      <c r="S4849" s="11"/>
      <c r="T4849" s="11"/>
      <c r="U4849" s="11">
        <f t="shared" si="1554"/>
        <v>2.2999999999999998</v>
      </c>
      <c r="W4849">
        <v>2.5</v>
      </c>
      <c r="X4849" s="1" t="s">
        <v>710</v>
      </c>
    </row>
    <row r="4850" spans="1:24" x14ac:dyDescent="0.25">
      <c r="A4850" s="1" t="str">
        <f t="shared" si="1556"/>
        <v>卡卡杜-凤凰仓</v>
      </c>
      <c r="B4850" s="1" t="str">
        <f>"CK202410214966"</f>
        <v>CK202410214966</v>
      </c>
      <c r="C4850" s="1" t="str">
        <f>"DD2024102111068"</f>
        <v>DD2024102111068</v>
      </c>
      <c r="D4850" s="1" t="str">
        <f>"CK2024102119548"</f>
        <v>CK2024102119548</v>
      </c>
      <c r="E4850" s="1" t="str">
        <f>"2429402011515162"</f>
        <v>2429402011515162</v>
      </c>
      <c r="F4850" s="1" t="str">
        <f t="shared" si="1557"/>
        <v>花都四部-凤凰仓</v>
      </c>
      <c r="G4850" s="1" t="str">
        <f t="shared" si="1547"/>
        <v>卡卡杜佳旺专卖店（快手店）</v>
      </c>
      <c r="H4850" s="1" t="str">
        <f t="shared" si="1558"/>
        <v>正常订单</v>
      </c>
      <c r="I4850" s="1" t="str">
        <f t="shared" si="1559"/>
        <v>已发货</v>
      </c>
      <c r="J4850" s="1" t="str">
        <f t="shared" si="1571"/>
        <v>3</v>
      </c>
      <c r="K4850" s="1">
        <v>2</v>
      </c>
      <c r="L4850" s="1" t="s">
        <v>20</v>
      </c>
      <c r="M4850" s="1" t="str">
        <f>"浙江省 绍兴市 诸暨市 店口镇"</f>
        <v>浙江省 绍兴市 诸暨市 店口镇</v>
      </c>
      <c r="N4850" s="1" t="str">
        <f t="shared" si="1548"/>
        <v>凡华云仓-城南圆通-快手</v>
      </c>
      <c r="O4850" s="5" t="s">
        <v>4878</v>
      </c>
      <c r="P4850" s="6">
        <v>0.35</v>
      </c>
      <c r="Q4850" s="11">
        <v>2.2999999999999998</v>
      </c>
      <c r="R4850" s="11"/>
      <c r="S4850" s="11"/>
      <c r="T4850" s="11"/>
      <c r="U4850" s="11">
        <f t="shared" si="1554"/>
        <v>2.2999999999999998</v>
      </c>
      <c r="W4850">
        <v>2.5</v>
      </c>
      <c r="X4850" s="1" t="s">
        <v>20</v>
      </c>
    </row>
    <row r="4851" spans="1:24" x14ac:dyDescent="0.25">
      <c r="A4851" s="1" t="str">
        <f t="shared" si="1556"/>
        <v>卡卡杜-凤凰仓</v>
      </c>
      <c r="B4851" s="1" t="str">
        <f>"CK202410214967"</f>
        <v>CK202410214967</v>
      </c>
      <c r="C4851" s="1" t="str">
        <f>"DD2024102111070"</f>
        <v>DD2024102111070</v>
      </c>
      <c r="D4851" s="1" t="str">
        <f>"CK2024102119547"</f>
        <v>CK2024102119547</v>
      </c>
      <c r="E4851" s="1" t="str">
        <f>"2429401696330314"</f>
        <v>2429401696330314</v>
      </c>
      <c r="F4851" s="1" t="str">
        <f t="shared" si="1557"/>
        <v>花都四部-凤凰仓</v>
      </c>
      <c r="G4851" s="1" t="str">
        <f t="shared" si="1547"/>
        <v>卡卡杜佳旺专卖店（快手店）</v>
      </c>
      <c r="H4851" s="1" t="str">
        <f t="shared" si="1558"/>
        <v>正常订单</v>
      </c>
      <c r="I4851" s="1" t="str">
        <f t="shared" si="1559"/>
        <v>已发货</v>
      </c>
      <c r="J4851" s="1" t="str">
        <f t="shared" si="1571"/>
        <v>3</v>
      </c>
      <c r="K4851" s="1">
        <v>2</v>
      </c>
      <c r="L4851" s="1" t="s">
        <v>94</v>
      </c>
      <c r="M4851" s="1" t="str">
        <f>"湖南省 长沙市 浏阳市 洞阳镇"</f>
        <v>湖南省 长沙市 浏阳市 洞阳镇</v>
      </c>
      <c r="N4851" s="1" t="str">
        <f t="shared" si="1548"/>
        <v>凡华云仓-城南圆通-快手</v>
      </c>
      <c r="O4851" s="5" t="s">
        <v>4879</v>
      </c>
      <c r="P4851" s="6">
        <v>0.35</v>
      </c>
      <c r="Q4851" s="11">
        <v>2.2999999999999998</v>
      </c>
      <c r="R4851" s="11"/>
      <c r="S4851" s="11"/>
      <c r="T4851" s="11"/>
      <c r="U4851" s="11">
        <f t="shared" si="1554"/>
        <v>2.2999999999999998</v>
      </c>
      <c r="W4851">
        <v>2.5</v>
      </c>
      <c r="X4851" s="1" t="s">
        <v>94</v>
      </c>
    </row>
    <row r="4852" spans="1:24" x14ac:dyDescent="0.25">
      <c r="A4852" s="1" t="str">
        <f t="shared" si="1556"/>
        <v>卡卡杜-凤凰仓</v>
      </c>
      <c r="B4852" s="1" t="str">
        <f>"CK202410214963"</f>
        <v>CK202410214963</v>
      </c>
      <c r="C4852" s="1" t="str">
        <f>"DD2024102111065"</f>
        <v>DD2024102111065</v>
      </c>
      <c r="D4852" s="1" t="str">
        <f>"CK2024102119546"</f>
        <v>CK2024102119546</v>
      </c>
      <c r="E4852" s="1" t="str">
        <f>"2429401706648382"</f>
        <v>2429401706648382</v>
      </c>
      <c r="F4852" s="1" t="str">
        <f t="shared" si="1557"/>
        <v>花都四部-凤凰仓</v>
      </c>
      <c r="G4852" s="1" t="str">
        <f t="shared" si="1547"/>
        <v>卡卡杜佳旺专卖店（快手店）</v>
      </c>
      <c r="H4852" s="1" t="str">
        <f t="shared" si="1558"/>
        <v>正常订单</v>
      </c>
      <c r="I4852" s="1" t="str">
        <f t="shared" si="1559"/>
        <v>已发货</v>
      </c>
      <c r="J4852" s="1" t="str">
        <f t="shared" si="1571"/>
        <v>3</v>
      </c>
      <c r="K4852" s="1">
        <v>2</v>
      </c>
      <c r="L4852" s="1" t="s">
        <v>710</v>
      </c>
      <c r="M4852" s="1" t="str">
        <f>"上海市 上海市 宝山区 顾村镇"</f>
        <v>上海市 上海市 宝山区 顾村镇</v>
      </c>
      <c r="N4852" s="1" t="str">
        <f t="shared" si="1548"/>
        <v>凡华云仓-城南圆通-快手</v>
      </c>
      <c r="O4852" s="5" t="s">
        <v>4880</v>
      </c>
      <c r="P4852" s="6">
        <v>0.35</v>
      </c>
      <c r="Q4852" s="11">
        <v>2.2999999999999998</v>
      </c>
      <c r="R4852" s="11"/>
      <c r="S4852" s="11"/>
      <c r="T4852" s="11"/>
      <c r="U4852" s="11">
        <f t="shared" si="1554"/>
        <v>2.2999999999999998</v>
      </c>
      <c r="W4852">
        <v>2.5</v>
      </c>
      <c r="X4852" s="1" t="s">
        <v>710</v>
      </c>
    </row>
    <row r="4853" spans="1:24" x14ac:dyDescent="0.25">
      <c r="A4853" s="1" t="str">
        <f t="shared" si="1556"/>
        <v>卡卡杜-凤凰仓</v>
      </c>
      <c r="B4853" s="1" t="str">
        <f>"CK202410214851"</f>
        <v>CK202410214851</v>
      </c>
      <c r="C4853" s="1" t="str">
        <f>"DD2024102110954"</f>
        <v>DD2024102110954</v>
      </c>
      <c r="D4853" s="1" t="str">
        <f>"CK2024102119545"</f>
        <v>CK2024102119545</v>
      </c>
      <c r="E4853" s="1" t="str">
        <f>"2429402180170885"</f>
        <v>2429402180170885</v>
      </c>
      <c r="F4853" s="1" t="str">
        <f t="shared" si="1557"/>
        <v>花都四部-凤凰仓</v>
      </c>
      <c r="G4853" s="1" t="str">
        <f t="shared" si="1547"/>
        <v>卡卡杜佳旺专卖店（快手店）</v>
      </c>
      <c r="H4853" s="1" t="str">
        <f t="shared" si="1558"/>
        <v>正常订单</v>
      </c>
      <c r="I4853" s="1" t="str">
        <f t="shared" si="1559"/>
        <v>已发货</v>
      </c>
      <c r="J4853" s="1" t="str">
        <f t="shared" si="1571"/>
        <v>3</v>
      </c>
      <c r="K4853" s="1">
        <v>2</v>
      </c>
      <c r="L4853" s="1" t="s">
        <v>30</v>
      </c>
      <c r="M4853" s="1" t="str">
        <f>"山东省 菏泽市 东明县 武胜桥镇"</f>
        <v>山东省 菏泽市 东明县 武胜桥镇</v>
      </c>
      <c r="N4853" s="1" t="str">
        <f t="shared" si="1548"/>
        <v>凡华云仓-城南圆通-快手</v>
      </c>
      <c r="O4853" s="5" t="s">
        <v>4881</v>
      </c>
      <c r="P4853" s="6">
        <v>0.35</v>
      </c>
      <c r="Q4853" s="11">
        <v>2.2999999999999998</v>
      </c>
      <c r="R4853" s="11"/>
      <c r="S4853" s="11"/>
      <c r="T4853" s="11"/>
      <c r="U4853" s="11">
        <f t="shared" si="1554"/>
        <v>2.2999999999999998</v>
      </c>
      <c r="W4853">
        <v>2.5</v>
      </c>
      <c r="X4853" s="1" t="s">
        <v>30</v>
      </c>
    </row>
    <row r="4854" spans="1:24" x14ac:dyDescent="0.25">
      <c r="A4854" s="1" t="str">
        <f t="shared" si="1556"/>
        <v>卡卡杜-凤凰仓</v>
      </c>
      <c r="B4854" s="1" t="str">
        <f>"CK202410214859"</f>
        <v>CK202410214859</v>
      </c>
      <c r="C4854" s="1" t="str">
        <f>"DD2024102110963"</f>
        <v>DD2024102110963</v>
      </c>
      <c r="D4854" s="1" t="str">
        <f>"CK2024102119544"</f>
        <v>CK2024102119544</v>
      </c>
      <c r="E4854" s="1" t="str">
        <f>"2429401951547588"</f>
        <v>2429401951547588</v>
      </c>
      <c r="F4854" s="1" t="str">
        <f t="shared" si="1557"/>
        <v>花都四部-凤凰仓</v>
      </c>
      <c r="G4854" s="1" t="str">
        <f t="shared" si="1547"/>
        <v>卡卡杜佳旺专卖店（快手店）</v>
      </c>
      <c r="H4854" s="1" t="str">
        <f t="shared" si="1558"/>
        <v>正常订单</v>
      </c>
      <c r="I4854" s="1" t="str">
        <f t="shared" si="1559"/>
        <v>已发货</v>
      </c>
      <c r="J4854" s="1" t="str">
        <f t="shared" si="1571"/>
        <v>3</v>
      </c>
      <c r="K4854" s="1">
        <v>2</v>
      </c>
      <c r="L4854" s="1" t="s">
        <v>16</v>
      </c>
      <c r="M4854" s="1" t="str">
        <f>"河北省 唐山市 玉田县 玉田镇"</f>
        <v>河北省 唐山市 玉田县 玉田镇</v>
      </c>
      <c r="N4854" s="1" t="str">
        <f t="shared" si="1548"/>
        <v>凡华云仓-城南圆通-快手</v>
      </c>
      <c r="O4854" s="5" t="s">
        <v>4882</v>
      </c>
      <c r="P4854" s="6">
        <v>0.35</v>
      </c>
      <c r="Q4854" s="11">
        <v>2.2999999999999998</v>
      </c>
      <c r="R4854" s="11"/>
      <c r="S4854" s="11"/>
      <c r="T4854" s="11"/>
      <c r="U4854" s="11">
        <f t="shared" si="1554"/>
        <v>2.2999999999999998</v>
      </c>
      <c r="W4854">
        <v>2.5</v>
      </c>
      <c r="X4854" s="1" t="s">
        <v>16</v>
      </c>
    </row>
    <row r="4855" spans="1:24" x14ac:dyDescent="0.25">
      <c r="A4855" s="1" t="str">
        <f t="shared" si="1556"/>
        <v>卡卡杜-凤凰仓</v>
      </c>
      <c r="B4855" s="1" t="str">
        <f>"CK202410214860"</f>
        <v>CK202410214860</v>
      </c>
      <c r="C4855" s="1" t="str">
        <f>"DD2024102110962"</f>
        <v>DD2024102110962</v>
      </c>
      <c r="D4855" s="1" t="str">
        <f>"CK2024102119543"</f>
        <v>CK2024102119543</v>
      </c>
      <c r="E4855" s="1" t="str">
        <f>"2429401783435790"</f>
        <v>2429401783435790</v>
      </c>
      <c r="F4855" s="1" t="str">
        <f t="shared" si="1557"/>
        <v>花都四部-凤凰仓</v>
      </c>
      <c r="G4855" s="1" t="str">
        <f t="shared" si="1547"/>
        <v>卡卡杜佳旺专卖店（快手店）</v>
      </c>
      <c r="H4855" s="1" t="str">
        <f t="shared" si="1558"/>
        <v>正常订单</v>
      </c>
      <c r="I4855" s="1" t="str">
        <f t="shared" si="1559"/>
        <v>已发货</v>
      </c>
      <c r="J4855" s="1" t="str">
        <f t="shared" si="1571"/>
        <v>3</v>
      </c>
      <c r="K4855" s="1">
        <v>2</v>
      </c>
      <c r="L4855" s="1" t="s">
        <v>18</v>
      </c>
      <c r="M4855" s="1" t="str">
        <f>"广东省 珠海市 斗门区 井岸镇"</f>
        <v>广东省 珠海市 斗门区 井岸镇</v>
      </c>
      <c r="N4855" s="1" t="str">
        <f t="shared" si="1548"/>
        <v>凡华云仓-城南圆通-快手</v>
      </c>
      <c r="O4855" s="5" t="s">
        <v>4883</v>
      </c>
      <c r="P4855" s="6">
        <v>0.35</v>
      </c>
      <c r="Q4855" s="11">
        <v>2.2999999999999998</v>
      </c>
      <c r="R4855" s="11"/>
      <c r="S4855" s="11"/>
      <c r="T4855" s="11"/>
      <c r="U4855" s="11">
        <f t="shared" si="1554"/>
        <v>2.2999999999999998</v>
      </c>
      <c r="W4855">
        <v>2.5</v>
      </c>
      <c r="X4855" s="1" t="s">
        <v>18</v>
      </c>
    </row>
    <row r="4856" spans="1:24" x14ac:dyDescent="0.25">
      <c r="A4856" s="1" t="str">
        <f t="shared" si="1556"/>
        <v>卡卡杜-凤凰仓</v>
      </c>
      <c r="B4856" s="1" t="str">
        <f>"CK202410215086"</f>
        <v>CK202410215086</v>
      </c>
      <c r="C4856" s="1" t="str">
        <f>"DD2024102111191"</f>
        <v>DD2024102111191</v>
      </c>
      <c r="D4856" s="1" t="str">
        <f>"CK2024102119542"</f>
        <v>CK2024102119542</v>
      </c>
      <c r="E4856" s="1" t="str">
        <f>"2429402186747209"</f>
        <v>2429402186747209</v>
      </c>
      <c r="F4856" s="1" t="str">
        <f t="shared" si="1557"/>
        <v>花都四部-凤凰仓</v>
      </c>
      <c r="G4856" s="1" t="str">
        <f t="shared" si="1547"/>
        <v>卡卡杜佳旺专卖店（快手店）</v>
      </c>
      <c r="H4856" s="1" t="str">
        <f t="shared" si="1558"/>
        <v>正常订单</v>
      </c>
      <c r="I4856" s="1" t="str">
        <f t="shared" si="1559"/>
        <v>已发货</v>
      </c>
      <c r="J4856" s="1" t="str">
        <f>"5"</f>
        <v>5</v>
      </c>
      <c r="K4856" s="1">
        <v>2</v>
      </c>
      <c r="L4856" s="1" t="s">
        <v>18</v>
      </c>
      <c r="M4856" s="1" t="str">
        <f>"广东省 珠海市 斗门区 井岸镇"</f>
        <v>广东省 珠海市 斗门区 井岸镇</v>
      </c>
      <c r="N4856" s="1" t="str">
        <f t="shared" si="1548"/>
        <v>凡华云仓-城南圆通-快手</v>
      </c>
      <c r="O4856" s="5" t="s">
        <v>4884</v>
      </c>
      <c r="P4856" s="6">
        <v>0.59</v>
      </c>
      <c r="Q4856" s="11">
        <f>CEILING(P4856-0.5,0.1)*10*0.15+2.3</f>
        <v>2.4499999999999997</v>
      </c>
      <c r="R4856" s="11"/>
      <c r="S4856" s="11"/>
      <c r="T4856" s="11"/>
      <c r="U4856" s="11">
        <f t="shared" si="1554"/>
        <v>2.4499999999999997</v>
      </c>
      <c r="V4856" t="s">
        <v>15</v>
      </c>
      <c r="W4856">
        <v>2.4500000000000002</v>
      </c>
      <c r="X4856" s="1" t="s">
        <v>18</v>
      </c>
    </row>
    <row r="4857" spans="1:24" x14ac:dyDescent="0.25">
      <c r="A4857" s="1" t="str">
        <f t="shared" si="1556"/>
        <v>卡卡杜-凤凰仓</v>
      </c>
      <c r="B4857" s="1" t="str">
        <f>"CK202410214850"</f>
        <v>CK202410214850</v>
      </c>
      <c r="C4857" s="1" t="str">
        <f>"DD2024102110953"</f>
        <v>DD2024102110953</v>
      </c>
      <c r="D4857" s="1" t="str">
        <f>"CK2024102119541"</f>
        <v>CK2024102119541</v>
      </c>
      <c r="E4857" s="1" t="str">
        <f>"2429401938683960"</f>
        <v>2429401938683960</v>
      </c>
      <c r="F4857" s="1" t="str">
        <f t="shared" si="1557"/>
        <v>花都四部-凤凰仓</v>
      </c>
      <c r="G4857" s="1" t="str">
        <f t="shared" si="1547"/>
        <v>卡卡杜佳旺专卖店（快手店）</v>
      </c>
      <c r="H4857" s="1" t="str">
        <f t="shared" si="1558"/>
        <v>正常订单</v>
      </c>
      <c r="I4857" s="1" t="str">
        <f t="shared" si="1559"/>
        <v>已发货</v>
      </c>
      <c r="J4857" s="1" t="str">
        <f t="shared" ref="J4857:J4861" si="1572">"3"</f>
        <v>3</v>
      </c>
      <c r="K4857" s="1">
        <v>2</v>
      </c>
      <c r="L4857" s="1" t="s">
        <v>20</v>
      </c>
      <c r="M4857" s="1" t="str">
        <f>"浙江省 杭州市 西湖区 三墩镇"</f>
        <v>浙江省 杭州市 西湖区 三墩镇</v>
      </c>
      <c r="N4857" s="1" t="str">
        <f t="shared" si="1548"/>
        <v>凡华云仓-城南圆通-快手</v>
      </c>
      <c r="O4857" s="5" t="s">
        <v>4885</v>
      </c>
      <c r="P4857" s="6">
        <v>0.35</v>
      </c>
      <c r="Q4857" s="11">
        <v>2.2999999999999998</v>
      </c>
      <c r="R4857" s="11"/>
      <c r="S4857" s="11"/>
      <c r="T4857" s="11"/>
      <c r="U4857" s="11">
        <f t="shared" si="1554"/>
        <v>2.2999999999999998</v>
      </c>
      <c r="W4857">
        <v>2.5</v>
      </c>
      <c r="X4857" s="1" t="s">
        <v>20</v>
      </c>
    </row>
    <row r="4858" spans="1:24" x14ac:dyDescent="0.25">
      <c r="A4858" s="1" t="str">
        <f t="shared" si="1556"/>
        <v>卡卡杜-凤凰仓</v>
      </c>
      <c r="B4858" s="1" t="str">
        <f>"CK202410215097"</f>
        <v>CK202410215097</v>
      </c>
      <c r="C4858" s="1" t="str">
        <f>"DD2024102111205"</f>
        <v>DD2024102111205</v>
      </c>
      <c r="D4858" s="1" t="str">
        <f>"CK2024102119540"</f>
        <v>CK2024102119540</v>
      </c>
      <c r="E4858" s="1" t="str">
        <f>"2429402166938708"</f>
        <v>2429402166938708</v>
      </c>
      <c r="F4858" s="1" t="str">
        <f t="shared" si="1557"/>
        <v>花都四部-凤凰仓</v>
      </c>
      <c r="G4858" s="1" t="str">
        <f t="shared" ref="G4858:G4911" si="1573">"卡卡杜佳旺专卖店（快手店）"</f>
        <v>卡卡杜佳旺专卖店（快手店）</v>
      </c>
      <c r="H4858" s="1" t="str">
        <f t="shared" si="1558"/>
        <v>正常订单</v>
      </c>
      <c r="I4858" s="1" t="str">
        <f t="shared" si="1559"/>
        <v>已发货</v>
      </c>
      <c r="J4858" s="1" t="str">
        <f>"5"</f>
        <v>5</v>
      </c>
      <c r="K4858" s="1">
        <v>2</v>
      </c>
      <c r="L4858" s="1" t="s">
        <v>41</v>
      </c>
      <c r="M4858" s="1" t="str">
        <f>"湖北省 宜昌市 当阳市 玉阳街道"</f>
        <v>湖北省 宜昌市 当阳市 玉阳街道</v>
      </c>
      <c r="N4858" s="1" t="str">
        <f t="shared" ref="N4858:N4911" si="1574">"凡华云仓-城南圆通-快手"</f>
        <v>凡华云仓-城南圆通-快手</v>
      </c>
      <c r="O4858" s="5" t="s">
        <v>4886</v>
      </c>
      <c r="P4858" s="6">
        <v>0.59</v>
      </c>
      <c r="Q4858" s="11">
        <f>CEILING(P4858-0.5,0.1)*10*0.15+2.3</f>
        <v>2.4499999999999997</v>
      </c>
      <c r="R4858" s="11"/>
      <c r="S4858" s="11"/>
      <c r="T4858" s="11"/>
      <c r="U4858" s="11">
        <f t="shared" si="1554"/>
        <v>2.4499999999999997</v>
      </c>
      <c r="V4858" t="s">
        <v>15</v>
      </c>
      <c r="W4858">
        <v>2.4500000000000002</v>
      </c>
      <c r="X4858" s="1" t="s">
        <v>41</v>
      </c>
    </row>
    <row r="4859" spans="1:24" x14ac:dyDescent="0.25">
      <c r="A4859" s="1" t="str">
        <f t="shared" si="1556"/>
        <v>卡卡杜-凤凰仓</v>
      </c>
      <c r="B4859" s="1" t="str">
        <f>"CK202410214897"</f>
        <v>CK202410214897</v>
      </c>
      <c r="C4859" s="1" t="str">
        <f>"DD2024102111000"</f>
        <v>DD2024102111000</v>
      </c>
      <c r="D4859" s="1" t="str">
        <f>"CK2024102119539"</f>
        <v>CK2024102119539</v>
      </c>
      <c r="E4859" s="1" t="str">
        <f>"2429402177169536"</f>
        <v>2429402177169536</v>
      </c>
      <c r="F4859" s="1" t="str">
        <f t="shared" si="1557"/>
        <v>花都四部-凤凰仓</v>
      </c>
      <c r="G4859" s="1" t="str">
        <f t="shared" si="1573"/>
        <v>卡卡杜佳旺专卖店（快手店）</v>
      </c>
      <c r="H4859" s="1" t="str">
        <f t="shared" si="1558"/>
        <v>正常订单</v>
      </c>
      <c r="I4859" s="1" t="str">
        <f t="shared" si="1559"/>
        <v>已发货</v>
      </c>
      <c r="J4859" s="1" t="str">
        <f t="shared" si="1572"/>
        <v>3</v>
      </c>
      <c r="K4859" s="1">
        <v>2</v>
      </c>
      <c r="L4859" s="1" t="s">
        <v>24</v>
      </c>
      <c r="M4859" s="1" t="str">
        <f>"福建省 漳州市 龙海区 九湖镇"</f>
        <v>福建省 漳州市 龙海区 九湖镇</v>
      </c>
      <c r="N4859" s="1" t="str">
        <f t="shared" si="1574"/>
        <v>凡华云仓-城南圆通-快手</v>
      </c>
      <c r="O4859" s="5" t="s">
        <v>4887</v>
      </c>
      <c r="P4859" s="6">
        <v>0.35</v>
      </c>
      <c r="Q4859" s="11">
        <v>2.2999999999999998</v>
      </c>
      <c r="R4859" s="11"/>
      <c r="S4859" s="11"/>
      <c r="T4859" s="11"/>
      <c r="U4859" s="11">
        <f t="shared" si="1554"/>
        <v>2.2999999999999998</v>
      </c>
      <c r="W4859">
        <v>2.5</v>
      </c>
      <c r="X4859" s="1" t="s">
        <v>24</v>
      </c>
    </row>
    <row r="4860" spans="1:24" x14ac:dyDescent="0.25">
      <c r="A4860" s="1" t="str">
        <f t="shared" si="1556"/>
        <v>卡卡杜-凤凰仓</v>
      </c>
      <c r="B4860" s="1" t="str">
        <f>"CK202410214862"</f>
        <v>CK202410214862</v>
      </c>
      <c r="C4860" s="1" t="str">
        <f>"DD2024102110964"</f>
        <v>DD2024102110964</v>
      </c>
      <c r="D4860" s="1" t="str">
        <f>"CK2024102119538"</f>
        <v>CK2024102119538</v>
      </c>
      <c r="E4860" s="1" t="str">
        <f>"2429401700026790"</f>
        <v>2429401700026790</v>
      </c>
      <c r="F4860" s="1" t="str">
        <f t="shared" si="1557"/>
        <v>花都四部-凤凰仓</v>
      </c>
      <c r="G4860" s="1" t="str">
        <f t="shared" si="1573"/>
        <v>卡卡杜佳旺专卖店（快手店）</v>
      </c>
      <c r="H4860" s="1" t="str">
        <f t="shared" si="1558"/>
        <v>正常订单</v>
      </c>
      <c r="I4860" s="1" t="str">
        <f t="shared" si="1559"/>
        <v>已发货</v>
      </c>
      <c r="J4860" s="1" t="str">
        <f t="shared" si="1572"/>
        <v>3</v>
      </c>
      <c r="K4860" s="1">
        <v>2</v>
      </c>
      <c r="L4860" s="1" t="s">
        <v>710</v>
      </c>
      <c r="M4860" s="1" t="str">
        <f>"上海市 上海市 虹口区 江湾镇街道"</f>
        <v>上海市 上海市 虹口区 江湾镇街道</v>
      </c>
      <c r="N4860" s="1" t="str">
        <f t="shared" si="1574"/>
        <v>凡华云仓-城南圆通-快手</v>
      </c>
      <c r="O4860" s="5" t="s">
        <v>4888</v>
      </c>
      <c r="P4860" s="6">
        <v>0.35</v>
      </c>
      <c r="Q4860" s="11">
        <v>2.2999999999999998</v>
      </c>
      <c r="R4860" s="11"/>
      <c r="S4860" s="11"/>
      <c r="T4860" s="11"/>
      <c r="U4860" s="11">
        <f t="shared" si="1554"/>
        <v>2.2999999999999998</v>
      </c>
      <c r="W4860">
        <v>2.5</v>
      </c>
      <c r="X4860" s="1" t="s">
        <v>710</v>
      </c>
    </row>
    <row r="4861" spans="1:24" x14ac:dyDescent="0.25">
      <c r="A4861" s="1" t="str">
        <f t="shared" si="1556"/>
        <v>卡卡杜-凤凰仓</v>
      </c>
      <c r="B4861" s="1" t="str">
        <f>"CK202410214868"</f>
        <v>CK202410214868</v>
      </c>
      <c r="C4861" s="1" t="str">
        <f>"DD2024102110971"</f>
        <v>DD2024102110971</v>
      </c>
      <c r="D4861" s="1" t="str">
        <f>"CK2024102119537"</f>
        <v>CK2024102119537</v>
      </c>
      <c r="E4861" s="1" t="str">
        <f>"2429402102042618"</f>
        <v>2429402102042618</v>
      </c>
      <c r="F4861" s="1" t="str">
        <f t="shared" si="1557"/>
        <v>花都四部-凤凰仓</v>
      </c>
      <c r="G4861" s="1" t="str">
        <f t="shared" si="1573"/>
        <v>卡卡杜佳旺专卖店（快手店）</v>
      </c>
      <c r="H4861" s="1" t="str">
        <f t="shared" si="1558"/>
        <v>正常订单</v>
      </c>
      <c r="I4861" s="1" t="str">
        <f t="shared" si="1559"/>
        <v>已发货</v>
      </c>
      <c r="J4861" s="1" t="str">
        <f t="shared" si="1572"/>
        <v>3</v>
      </c>
      <c r="K4861" s="1">
        <v>2</v>
      </c>
      <c r="L4861" s="1" t="s">
        <v>22</v>
      </c>
      <c r="M4861" s="1" t="str">
        <f>"江西省 上饶市 鄱阳县 鄱阳镇"</f>
        <v>江西省 上饶市 鄱阳县 鄱阳镇</v>
      </c>
      <c r="N4861" s="1" t="str">
        <f t="shared" si="1574"/>
        <v>凡华云仓-城南圆通-快手</v>
      </c>
      <c r="O4861" s="5" t="s">
        <v>4889</v>
      </c>
      <c r="P4861" s="6">
        <v>0.35</v>
      </c>
      <c r="Q4861" s="11">
        <v>2.2999999999999998</v>
      </c>
      <c r="R4861" s="11"/>
      <c r="S4861" s="11"/>
      <c r="T4861" s="11"/>
      <c r="U4861" s="11">
        <f t="shared" si="1554"/>
        <v>2.2999999999999998</v>
      </c>
      <c r="W4861">
        <v>2.5</v>
      </c>
      <c r="X4861" s="1" t="s">
        <v>22</v>
      </c>
    </row>
    <row r="4862" spans="1:24" x14ac:dyDescent="0.25">
      <c r="A4862" s="1" t="str">
        <f t="shared" si="1556"/>
        <v>卡卡杜-凤凰仓</v>
      </c>
      <c r="B4862" s="1" t="str">
        <f>"CK202410215074"</f>
        <v>CK202410215074</v>
      </c>
      <c r="C4862" s="1" t="str">
        <f>"DD2024102111181"</f>
        <v>DD2024102111181</v>
      </c>
      <c r="D4862" s="1" t="str">
        <f>"CK2024102119536"</f>
        <v>CK2024102119536</v>
      </c>
      <c r="E4862" s="1" t="str">
        <f>"2429401865169066"</f>
        <v>2429401865169066</v>
      </c>
      <c r="F4862" s="1" t="str">
        <f t="shared" si="1557"/>
        <v>花都四部-凤凰仓</v>
      </c>
      <c r="G4862" s="1" t="str">
        <f t="shared" si="1573"/>
        <v>卡卡杜佳旺专卖店（快手店）</v>
      </c>
      <c r="H4862" s="1" t="str">
        <f t="shared" si="1558"/>
        <v>正常订单</v>
      </c>
      <c r="I4862" s="1" t="str">
        <f t="shared" si="1559"/>
        <v>已发货</v>
      </c>
      <c r="J4862" s="1" t="str">
        <f t="shared" ref="J4862:J4865" si="1575">"5"</f>
        <v>5</v>
      </c>
      <c r="K4862" s="1">
        <v>2</v>
      </c>
      <c r="L4862" s="1" t="s">
        <v>30</v>
      </c>
      <c r="M4862" s="1" t="str">
        <f>"山东省 烟台市 莱山区 滨海路街道"</f>
        <v>山东省 烟台市 莱山区 滨海路街道</v>
      </c>
      <c r="N4862" s="1" t="str">
        <f t="shared" si="1574"/>
        <v>凡华云仓-城南圆通-快手</v>
      </c>
      <c r="O4862" s="5" t="s">
        <v>4890</v>
      </c>
      <c r="P4862" s="6">
        <v>0.59</v>
      </c>
      <c r="Q4862" s="11">
        <f t="shared" ref="Q4862:Q4865" si="1576">CEILING(P4862-0.5,0.1)*10*0.15+2.3</f>
        <v>2.4499999999999997</v>
      </c>
      <c r="R4862" s="11"/>
      <c r="S4862" s="11"/>
      <c r="T4862" s="11"/>
      <c r="U4862" s="11">
        <f t="shared" si="1554"/>
        <v>2.4499999999999997</v>
      </c>
      <c r="V4862" t="s">
        <v>15</v>
      </c>
      <c r="W4862">
        <v>2.4500000000000002</v>
      </c>
      <c r="X4862" s="1" t="s">
        <v>30</v>
      </c>
    </row>
    <row r="4863" spans="1:24" x14ac:dyDescent="0.25">
      <c r="A4863" s="1" t="str">
        <f t="shared" si="1556"/>
        <v>卡卡杜-凤凰仓</v>
      </c>
      <c r="B4863" s="1" t="str">
        <f>"CK202410214877"</f>
        <v>CK202410214877</v>
      </c>
      <c r="C4863" s="1" t="str">
        <f>"DD2024102110980"</f>
        <v>DD2024102110980</v>
      </c>
      <c r="D4863" s="1" t="str">
        <f>"CK2024102119535"</f>
        <v>CK2024102119535</v>
      </c>
      <c r="E4863" s="1" t="str">
        <f>"2429401780273157"</f>
        <v>2429401780273157</v>
      </c>
      <c r="F4863" s="1" t="str">
        <f t="shared" si="1557"/>
        <v>花都四部-凤凰仓</v>
      </c>
      <c r="G4863" s="1" t="str">
        <f t="shared" si="1573"/>
        <v>卡卡杜佳旺专卖店（快手店）</v>
      </c>
      <c r="H4863" s="1" t="str">
        <f t="shared" si="1558"/>
        <v>正常订单</v>
      </c>
      <c r="I4863" s="1" t="str">
        <f t="shared" si="1559"/>
        <v>已发货</v>
      </c>
      <c r="J4863" s="1" t="str">
        <f t="shared" ref="J4863:J4868" si="1577">"3"</f>
        <v>3</v>
      </c>
      <c r="K4863" s="1">
        <v>2</v>
      </c>
      <c r="L4863" s="1" t="s">
        <v>18</v>
      </c>
      <c r="M4863" s="1" t="str">
        <f>"广东省 佛山市 顺德区 均安镇"</f>
        <v>广东省 佛山市 顺德区 均安镇</v>
      </c>
      <c r="N4863" s="1" t="str">
        <f t="shared" si="1574"/>
        <v>凡华云仓-城南圆通-快手</v>
      </c>
      <c r="O4863" s="5" t="s">
        <v>4891</v>
      </c>
      <c r="P4863" s="6">
        <v>0.35</v>
      </c>
      <c r="Q4863" s="11">
        <v>2.2999999999999998</v>
      </c>
      <c r="R4863" s="11"/>
      <c r="S4863" s="11"/>
      <c r="T4863" s="11"/>
      <c r="U4863" s="11">
        <f t="shared" si="1554"/>
        <v>2.2999999999999998</v>
      </c>
      <c r="W4863">
        <v>2.5</v>
      </c>
      <c r="X4863" s="1" t="s">
        <v>18</v>
      </c>
    </row>
    <row r="4864" spans="1:24" x14ac:dyDescent="0.25">
      <c r="A4864" s="1" t="str">
        <f t="shared" si="1556"/>
        <v>卡卡杜-凤凰仓</v>
      </c>
      <c r="B4864" s="1" t="str">
        <f>"CK202410215068"</f>
        <v>CK202410215068</v>
      </c>
      <c r="C4864" s="1" t="str">
        <f>"DD2024102111175"</f>
        <v>DD2024102111175</v>
      </c>
      <c r="D4864" s="1" t="str">
        <f>"CK2024102119534"</f>
        <v>CK2024102119534</v>
      </c>
      <c r="E4864" s="1" t="str">
        <f>"2429401856385700"</f>
        <v>2429401856385700</v>
      </c>
      <c r="F4864" s="1" t="str">
        <f t="shared" si="1557"/>
        <v>花都四部-凤凰仓</v>
      </c>
      <c r="G4864" s="1" t="str">
        <f t="shared" si="1573"/>
        <v>卡卡杜佳旺专卖店（快手店）</v>
      </c>
      <c r="H4864" s="1" t="str">
        <f t="shared" si="1558"/>
        <v>正常订单</v>
      </c>
      <c r="I4864" s="1" t="str">
        <f t="shared" si="1559"/>
        <v>已发货</v>
      </c>
      <c r="J4864" s="1" t="str">
        <f t="shared" si="1575"/>
        <v>5</v>
      </c>
      <c r="K4864" s="1">
        <v>2</v>
      </c>
      <c r="L4864" s="1" t="s">
        <v>30</v>
      </c>
      <c r="M4864" s="1" t="str">
        <f>"山东省 济南市 莱芜区 凤城街道"</f>
        <v>山东省 济南市 莱芜区 凤城街道</v>
      </c>
      <c r="N4864" s="1" t="str">
        <f t="shared" si="1574"/>
        <v>凡华云仓-城南圆通-快手</v>
      </c>
      <c r="O4864" s="5" t="s">
        <v>4892</v>
      </c>
      <c r="P4864" s="6">
        <v>0.59</v>
      </c>
      <c r="Q4864" s="11">
        <f t="shared" si="1576"/>
        <v>2.4499999999999997</v>
      </c>
      <c r="R4864" s="11"/>
      <c r="S4864" s="11"/>
      <c r="T4864" s="11"/>
      <c r="U4864" s="11">
        <f t="shared" si="1554"/>
        <v>2.4499999999999997</v>
      </c>
      <c r="V4864" t="s">
        <v>15</v>
      </c>
      <c r="W4864">
        <v>2.4500000000000002</v>
      </c>
      <c r="X4864" s="1" t="s">
        <v>30</v>
      </c>
    </row>
    <row r="4865" spans="1:24" x14ac:dyDescent="0.25">
      <c r="A4865" s="1" t="str">
        <f t="shared" si="1556"/>
        <v>卡卡杜-凤凰仓</v>
      </c>
      <c r="B4865" s="1" t="str">
        <f>"CK202410215066"</f>
        <v>CK202410215066</v>
      </c>
      <c r="C4865" s="1" t="str">
        <f>"DD2024102111174"</f>
        <v>DD2024102111174</v>
      </c>
      <c r="D4865" s="1" t="str">
        <f>"CK2024102119533"</f>
        <v>CK2024102119533</v>
      </c>
      <c r="E4865" s="1" t="str">
        <f>"2429402173113556"</f>
        <v>2429402173113556</v>
      </c>
      <c r="F4865" s="1" t="str">
        <f t="shared" si="1557"/>
        <v>花都四部-凤凰仓</v>
      </c>
      <c r="G4865" s="1" t="str">
        <f t="shared" si="1573"/>
        <v>卡卡杜佳旺专卖店（快手店）</v>
      </c>
      <c r="H4865" s="1" t="str">
        <f t="shared" si="1558"/>
        <v>正常订单</v>
      </c>
      <c r="I4865" s="1" t="str">
        <f t="shared" si="1559"/>
        <v>已发货</v>
      </c>
      <c r="J4865" s="1" t="str">
        <f t="shared" si="1575"/>
        <v>5</v>
      </c>
      <c r="K4865" s="1">
        <v>2</v>
      </c>
      <c r="L4865" s="1" t="s">
        <v>18</v>
      </c>
      <c r="M4865" s="1" t="str">
        <f>"广东省 佛山市 南海区 狮山镇"</f>
        <v>广东省 佛山市 南海区 狮山镇</v>
      </c>
      <c r="N4865" s="1" t="str">
        <f t="shared" si="1574"/>
        <v>凡华云仓-城南圆通-快手</v>
      </c>
      <c r="O4865" s="5" t="s">
        <v>4893</v>
      </c>
      <c r="P4865" s="6">
        <v>0.59</v>
      </c>
      <c r="Q4865" s="11">
        <f t="shared" si="1576"/>
        <v>2.4499999999999997</v>
      </c>
      <c r="R4865" s="11"/>
      <c r="S4865" s="11"/>
      <c r="T4865" s="11"/>
      <c r="U4865" s="11">
        <f t="shared" si="1554"/>
        <v>2.4499999999999997</v>
      </c>
      <c r="V4865" t="s">
        <v>15</v>
      </c>
      <c r="W4865">
        <v>2.4500000000000002</v>
      </c>
      <c r="X4865" s="1" t="s">
        <v>18</v>
      </c>
    </row>
    <row r="4866" spans="1:24" x14ac:dyDescent="0.25">
      <c r="A4866" s="1" t="str">
        <f t="shared" si="1556"/>
        <v>卡卡杜-凤凰仓</v>
      </c>
      <c r="B4866" s="1" t="str">
        <f>"CK202410214853"</f>
        <v>CK202410214853</v>
      </c>
      <c r="C4866" s="1" t="str">
        <f>"DD2024102110956"</f>
        <v>DD2024102110956</v>
      </c>
      <c r="D4866" s="1" t="str">
        <f>"CK2024102119532"</f>
        <v>CK2024102119532</v>
      </c>
      <c r="E4866" s="1" t="str">
        <f>"2429402015328315"</f>
        <v>2429402015328315</v>
      </c>
      <c r="F4866" s="1" t="str">
        <f t="shared" si="1557"/>
        <v>花都四部-凤凰仓</v>
      </c>
      <c r="G4866" s="1" t="str">
        <f t="shared" si="1573"/>
        <v>卡卡杜佳旺专卖店（快手店）</v>
      </c>
      <c r="H4866" s="1" t="str">
        <f t="shared" si="1558"/>
        <v>正常订单</v>
      </c>
      <c r="I4866" s="1" t="str">
        <f t="shared" si="1559"/>
        <v>已发货</v>
      </c>
      <c r="J4866" s="1" t="str">
        <f t="shared" si="1577"/>
        <v>3</v>
      </c>
      <c r="K4866" s="1">
        <v>2</v>
      </c>
      <c r="L4866" s="1" t="s">
        <v>13</v>
      </c>
      <c r="M4866" s="1" t="str">
        <f>"江苏省 南京市 栖霞区 迈皋桥街道"</f>
        <v>江苏省 南京市 栖霞区 迈皋桥街道</v>
      </c>
      <c r="N4866" s="1" t="str">
        <f t="shared" si="1574"/>
        <v>凡华云仓-城南圆通-快手</v>
      </c>
      <c r="O4866" s="5" t="s">
        <v>4894</v>
      </c>
      <c r="P4866" s="6">
        <v>0.35</v>
      </c>
      <c r="Q4866" s="11">
        <v>2.2999999999999998</v>
      </c>
      <c r="R4866" s="11"/>
      <c r="S4866" s="11"/>
      <c r="T4866" s="11"/>
      <c r="U4866" s="11">
        <f t="shared" si="1554"/>
        <v>2.2999999999999998</v>
      </c>
      <c r="W4866">
        <v>2.5</v>
      </c>
      <c r="X4866" s="1" t="s">
        <v>13</v>
      </c>
    </row>
    <row r="4867" spans="1:24" x14ac:dyDescent="0.25">
      <c r="A4867" s="1" t="str">
        <f t="shared" si="1556"/>
        <v>卡卡杜-凤凰仓</v>
      </c>
      <c r="B4867" s="1" t="str">
        <f>"CK202410215100"</f>
        <v>CK202410215100</v>
      </c>
      <c r="C4867" s="1" t="str">
        <f>"DD2024102111206"</f>
        <v>DD2024102111206</v>
      </c>
      <c r="D4867" s="1" t="str">
        <f>"CK2024102119531"</f>
        <v>CK2024102119531</v>
      </c>
      <c r="E4867" s="1" t="str">
        <f>"2429402185809756"</f>
        <v>2429402185809756</v>
      </c>
      <c r="F4867" s="1" t="str">
        <f t="shared" si="1557"/>
        <v>花都四部-凤凰仓</v>
      </c>
      <c r="G4867" s="1" t="str">
        <f t="shared" si="1573"/>
        <v>卡卡杜佳旺专卖店（快手店）</v>
      </c>
      <c r="H4867" s="1" t="str">
        <f t="shared" si="1558"/>
        <v>正常订单</v>
      </c>
      <c r="I4867" s="1" t="str">
        <f t="shared" si="1559"/>
        <v>已发货</v>
      </c>
      <c r="J4867" s="1" t="str">
        <f t="shared" ref="J4867:J4870" si="1578">"5"</f>
        <v>5</v>
      </c>
      <c r="K4867" s="1">
        <v>2</v>
      </c>
      <c r="L4867" s="1" t="s">
        <v>36</v>
      </c>
      <c r="M4867" s="1" t="str">
        <f>"安徽省 芜湖市 繁昌区 横山公共服务中心"</f>
        <v>安徽省 芜湖市 繁昌区 横山公共服务中心</v>
      </c>
      <c r="N4867" s="1" t="str">
        <f t="shared" si="1574"/>
        <v>凡华云仓-城南圆通-快手</v>
      </c>
      <c r="O4867" s="5" t="s">
        <v>4895</v>
      </c>
      <c r="P4867" s="6">
        <v>0.59</v>
      </c>
      <c r="Q4867" s="11">
        <f t="shared" ref="Q4867:Q4870" si="1579">CEILING(P4867-0.5,0.1)*10*0.15+2.3</f>
        <v>2.4499999999999997</v>
      </c>
      <c r="R4867" s="11"/>
      <c r="S4867" s="11"/>
      <c r="T4867" s="11"/>
      <c r="U4867" s="11">
        <f t="shared" ref="U4867:U4930" si="1580">T4867+S4867+R4867+Q4867</f>
        <v>2.4499999999999997</v>
      </c>
      <c r="V4867" t="s">
        <v>15</v>
      </c>
      <c r="W4867">
        <v>2.4500000000000002</v>
      </c>
      <c r="X4867" s="1" t="s">
        <v>36</v>
      </c>
    </row>
    <row r="4868" spans="1:24" x14ac:dyDescent="0.25">
      <c r="A4868" s="1" t="str">
        <f t="shared" si="1556"/>
        <v>卡卡杜-凤凰仓</v>
      </c>
      <c r="B4868" s="1" t="str">
        <f>"CK202410214855"</f>
        <v>CK202410214855</v>
      </c>
      <c r="C4868" s="1" t="str">
        <f>"DD2024102110958"</f>
        <v>DD2024102110958</v>
      </c>
      <c r="D4868" s="1" t="str">
        <f>"CK2024102119530"</f>
        <v>CK2024102119530</v>
      </c>
      <c r="E4868" s="1" t="str">
        <f>"2429401938688800"</f>
        <v>2429401938688800</v>
      </c>
      <c r="F4868" s="1" t="str">
        <f t="shared" si="1557"/>
        <v>花都四部-凤凰仓</v>
      </c>
      <c r="G4868" s="1" t="str">
        <f t="shared" si="1573"/>
        <v>卡卡杜佳旺专卖店（快手店）</v>
      </c>
      <c r="H4868" s="1" t="str">
        <f t="shared" si="1558"/>
        <v>正常订单</v>
      </c>
      <c r="I4868" s="1" t="str">
        <f t="shared" si="1559"/>
        <v>已发货</v>
      </c>
      <c r="J4868" s="1" t="str">
        <f t="shared" si="1577"/>
        <v>3</v>
      </c>
      <c r="K4868" s="1">
        <v>2</v>
      </c>
      <c r="L4868" s="1" t="s">
        <v>13</v>
      </c>
      <c r="M4868" s="1" t="str">
        <f>"江苏省 徐州市 沛县 张庄镇"</f>
        <v>江苏省 徐州市 沛县 张庄镇</v>
      </c>
      <c r="N4868" s="1" t="str">
        <f t="shared" si="1574"/>
        <v>凡华云仓-城南圆通-快手</v>
      </c>
      <c r="O4868" s="5" t="s">
        <v>4896</v>
      </c>
      <c r="P4868" s="6">
        <v>0.35</v>
      </c>
      <c r="Q4868" s="11">
        <v>2.2999999999999998</v>
      </c>
      <c r="R4868" s="11"/>
      <c r="S4868" s="11"/>
      <c r="T4868" s="11"/>
      <c r="U4868" s="11">
        <f t="shared" si="1580"/>
        <v>2.2999999999999998</v>
      </c>
      <c r="W4868">
        <v>2.5</v>
      </c>
      <c r="X4868" s="1" t="s">
        <v>13</v>
      </c>
    </row>
    <row r="4869" spans="1:24" x14ac:dyDescent="0.25">
      <c r="A4869" s="1" t="str">
        <f t="shared" ref="A4869:A4932" si="1581">"卡卡杜-凤凰仓"</f>
        <v>卡卡杜-凤凰仓</v>
      </c>
      <c r="B4869" s="1" t="str">
        <f>"CK202410215071"</f>
        <v>CK202410215071</v>
      </c>
      <c r="C4869" s="1" t="str">
        <f>"DD2024102111179"</f>
        <v>DD2024102111179</v>
      </c>
      <c r="D4869" s="1" t="str">
        <f>"CK2024102119529"</f>
        <v>CK2024102119529</v>
      </c>
      <c r="E4869" s="1" t="str">
        <f>"2429402010786749"</f>
        <v>2429402010786749</v>
      </c>
      <c r="F4869" s="1" t="str">
        <f t="shared" ref="F4869:F4932" si="1582">"花都四部-凤凰仓"</f>
        <v>花都四部-凤凰仓</v>
      </c>
      <c r="G4869" s="1" t="str">
        <f t="shared" si="1573"/>
        <v>卡卡杜佳旺专卖店（快手店）</v>
      </c>
      <c r="H4869" s="1" t="str">
        <f t="shared" ref="H4869:H4932" si="1583">"正常订单"</f>
        <v>正常订单</v>
      </c>
      <c r="I4869" s="1" t="str">
        <f t="shared" ref="I4869:I4932" si="1584">"已发货"</f>
        <v>已发货</v>
      </c>
      <c r="J4869" s="1" t="str">
        <f t="shared" si="1578"/>
        <v>5</v>
      </c>
      <c r="K4869" s="1">
        <v>2</v>
      </c>
      <c r="L4869" s="1" t="s">
        <v>36</v>
      </c>
      <c r="M4869" s="1" t="str">
        <f>"安徽省 芜湖市 弋江区 火龙街道"</f>
        <v>安徽省 芜湖市 弋江区 火龙街道</v>
      </c>
      <c r="N4869" s="1" t="str">
        <f t="shared" si="1574"/>
        <v>凡华云仓-城南圆通-快手</v>
      </c>
      <c r="O4869" s="5" t="s">
        <v>4897</v>
      </c>
      <c r="P4869" s="6">
        <v>0.59</v>
      </c>
      <c r="Q4869" s="11">
        <f t="shared" si="1579"/>
        <v>2.4499999999999997</v>
      </c>
      <c r="R4869" s="11"/>
      <c r="S4869" s="11"/>
      <c r="T4869" s="11"/>
      <c r="U4869" s="11">
        <f t="shared" si="1580"/>
        <v>2.4499999999999997</v>
      </c>
      <c r="V4869" t="s">
        <v>15</v>
      </c>
      <c r="W4869">
        <v>2.4500000000000002</v>
      </c>
      <c r="X4869" s="1" t="s">
        <v>36</v>
      </c>
    </row>
    <row r="4870" spans="1:24" x14ac:dyDescent="0.25">
      <c r="A4870" s="1" t="str">
        <f t="shared" si="1581"/>
        <v>卡卡杜-凤凰仓</v>
      </c>
      <c r="B4870" s="1" t="str">
        <f>"CK202410215082"</f>
        <v>CK202410215082</v>
      </c>
      <c r="C4870" s="1" t="str">
        <f>"DD2024102111188"</f>
        <v>DD2024102111188</v>
      </c>
      <c r="D4870" s="1" t="str">
        <f>"CK2024102119528"</f>
        <v>CK2024102119528</v>
      </c>
      <c r="E4870" s="1" t="str">
        <f>"2429401699266781"</f>
        <v>2429401699266781</v>
      </c>
      <c r="F4870" s="1" t="str">
        <f t="shared" si="1582"/>
        <v>花都四部-凤凰仓</v>
      </c>
      <c r="G4870" s="1" t="str">
        <f t="shared" si="1573"/>
        <v>卡卡杜佳旺专卖店（快手店）</v>
      </c>
      <c r="H4870" s="1" t="str">
        <f t="shared" si="1583"/>
        <v>正常订单</v>
      </c>
      <c r="I4870" s="1" t="str">
        <f t="shared" si="1584"/>
        <v>已发货</v>
      </c>
      <c r="J4870" s="1" t="str">
        <f t="shared" si="1578"/>
        <v>5</v>
      </c>
      <c r="K4870" s="1">
        <v>2</v>
      </c>
      <c r="L4870" s="1" t="s">
        <v>16</v>
      </c>
      <c r="M4870" s="1" t="str">
        <f>"河北省 保定市 曲阳县 邸村镇"</f>
        <v>河北省 保定市 曲阳县 邸村镇</v>
      </c>
      <c r="N4870" s="1" t="str">
        <f t="shared" si="1574"/>
        <v>凡华云仓-城南圆通-快手</v>
      </c>
      <c r="O4870" s="5" t="s">
        <v>4898</v>
      </c>
      <c r="P4870" s="6">
        <v>0.59</v>
      </c>
      <c r="Q4870" s="11">
        <f t="shared" si="1579"/>
        <v>2.4499999999999997</v>
      </c>
      <c r="R4870" s="11"/>
      <c r="S4870" s="11"/>
      <c r="T4870" s="11"/>
      <c r="U4870" s="11">
        <f t="shared" si="1580"/>
        <v>2.4499999999999997</v>
      </c>
      <c r="V4870" t="s">
        <v>15</v>
      </c>
      <c r="W4870">
        <v>2.4500000000000002</v>
      </c>
      <c r="X4870" s="1" t="s">
        <v>16</v>
      </c>
    </row>
    <row r="4871" spans="1:24" x14ac:dyDescent="0.25">
      <c r="A4871" s="1" t="str">
        <f t="shared" si="1581"/>
        <v>卡卡杜-凤凰仓</v>
      </c>
      <c r="B4871" s="1" t="str">
        <f>"CK202410214857"</f>
        <v>CK202410214857</v>
      </c>
      <c r="C4871" s="1" t="str">
        <f>"DD2024102110960"</f>
        <v>DD2024102110960</v>
      </c>
      <c r="D4871" s="1" t="str">
        <f>"CK2024102119527"</f>
        <v>CK2024102119527</v>
      </c>
      <c r="E4871" s="1" t="str">
        <f>"2429401611513615"</f>
        <v>2429401611513615</v>
      </c>
      <c r="F4871" s="1" t="str">
        <f t="shared" si="1582"/>
        <v>花都四部-凤凰仓</v>
      </c>
      <c r="G4871" s="1" t="str">
        <f t="shared" si="1573"/>
        <v>卡卡杜佳旺专卖店（快手店）</v>
      </c>
      <c r="H4871" s="1" t="str">
        <f t="shared" si="1583"/>
        <v>正常订单</v>
      </c>
      <c r="I4871" s="1" t="str">
        <f t="shared" si="1584"/>
        <v>已发货</v>
      </c>
      <c r="J4871" s="1" t="str">
        <f t="shared" ref="J4871:J4873" si="1585">"3"</f>
        <v>3</v>
      </c>
      <c r="K4871" s="1">
        <v>2</v>
      </c>
      <c r="L4871" s="1" t="s">
        <v>30</v>
      </c>
      <c r="M4871" s="1" t="str">
        <f>"山东省 临沂市 费县 探沂镇"</f>
        <v>山东省 临沂市 费县 探沂镇</v>
      </c>
      <c r="N4871" s="1" t="str">
        <f t="shared" si="1574"/>
        <v>凡华云仓-城南圆通-快手</v>
      </c>
      <c r="O4871" s="5" t="s">
        <v>4899</v>
      </c>
      <c r="P4871" s="6">
        <v>0.35</v>
      </c>
      <c r="Q4871" s="11">
        <v>2.2999999999999998</v>
      </c>
      <c r="R4871" s="11"/>
      <c r="S4871" s="11"/>
      <c r="T4871" s="11"/>
      <c r="U4871" s="11">
        <f t="shared" si="1580"/>
        <v>2.2999999999999998</v>
      </c>
      <c r="W4871">
        <v>2.5</v>
      </c>
      <c r="X4871" s="1" t="s">
        <v>30</v>
      </c>
    </row>
    <row r="4872" spans="1:24" x14ac:dyDescent="0.25">
      <c r="A4872" s="1" t="str">
        <f t="shared" si="1581"/>
        <v>卡卡杜-凤凰仓</v>
      </c>
      <c r="B4872" s="1" t="str">
        <f>"CK202410214858"</f>
        <v>CK202410214858</v>
      </c>
      <c r="C4872" s="1" t="str">
        <f>"DD2024102110961"</f>
        <v>DD2024102110961</v>
      </c>
      <c r="D4872" s="1" t="str">
        <f>"CK2024102119526"</f>
        <v>CK2024102119526</v>
      </c>
      <c r="E4872" s="1" t="str">
        <f>"2429401933080392"</f>
        <v>2429401933080392</v>
      </c>
      <c r="F4872" s="1" t="str">
        <f t="shared" si="1582"/>
        <v>花都四部-凤凰仓</v>
      </c>
      <c r="G4872" s="1" t="str">
        <f t="shared" si="1573"/>
        <v>卡卡杜佳旺专卖店（快手店）</v>
      </c>
      <c r="H4872" s="1" t="str">
        <f t="shared" si="1583"/>
        <v>正常订单</v>
      </c>
      <c r="I4872" s="1" t="str">
        <f t="shared" si="1584"/>
        <v>已发货</v>
      </c>
      <c r="J4872" s="1" t="str">
        <f t="shared" si="1585"/>
        <v>3</v>
      </c>
      <c r="K4872" s="1">
        <v>2</v>
      </c>
      <c r="L4872" s="1" t="s">
        <v>30</v>
      </c>
      <c r="M4872" s="1" t="str">
        <f>"山东省 青岛市 李沧区 李村街道"</f>
        <v>山东省 青岛市 李沧区 李村街道</v>
      </c>
      <c r="N4872" s="1" t="str">
        <f t="shared" si="1574"/>
        <v>凡华云仓-城南圆通-快手</v>
      </c>
      <c r="O4872" s="5" t="s">
        <v>4900</v>
      </c>
      <c r="P4872" s="6">
        <v>0.35</v>
      </c>
      <c r="Q4872" s="11">
        <v>2.2999999999999998</v>
      </c>
      <c r="R4872" s="11"/>
      <c r="S4872" s="11"/>
      <c r="T4872" s="11"/>
      <c r="U4872" s="11">
        <f t="shared" si="1580"/>
        <v>2.2999999999999998</v>
      </c>
      <c r="W4872">
        <v>2.5</v>
      </c>
      <c r="X4872" s="1" t="s">
        <v>30</v>
      </c>
    </row>
    <row r="4873" spans="1:24" x14ac:dyDescent="0.25">
      <c r="A4873" s="1" t="str">
        <f t="shared" si="1581"/>
        <v>卡卡杜-凤凰仓</v>
      </c>
      <c r="B4873" s="1" t="str">
        <f>"CK202410214861"</f>
        <v>CK202410214861</v>
      </c>
      <c r="C4873" s="1" t="str">
        <f>"DD2024102110965"</f>
        <v>DD2024102110965</v>
      </c>
      <c r="D4873" s="1" t="str">
        <f>"CK2024102119525"</f>
        <v>CK2024102119525</v>
      </c>
      <c r="E4873" s="1" t="str">
        <f>"2429401864331847"</f>
        <v>2429401864331847</v>
      </c>
      <c r="F4873" s="1" t="str">
        <f t="shared" si="1582"/>
        <v>花都四部-凤凰仓</v>
      </c>
      <c r="G4873" s="1" t="str">
        <f t="shared" si="1573"/>
        <v>卡卡杜佳旺专卖店（快手店）</v>
      </c>
      <c r="H4873" s="1" t="str">
        <f t="shared" si="1583"/>
        <v>正常订单</v>
      </c>
      <c r="I4873" s="1" t="str">
        <f t="shared" si="1584"/>
        <v>已发货</v>
      </c>
      <c r="J4873" s="1" t="str">
        <f t="shared" si="1585"/>
        <v>3</v>
      </c>
      <c r="K4873" s="1">
        <v>2</v>
      </c>
      <c r="L4873" s="1" t="s">
        <v>18</v>
      </c>
      <c r="M4873" s="1" t="str">
        <f>"广东省 深圳市 南山区 粤海街道"</f>
        <v>广东省 深圳市 南山区 粤海街道</v>
      </c>
      <c r="N4873" s="1" t="str">
        <f t="shared" si="1574"/>
        <v>凡华云仓-城南圆通-快手</v>
      </c>
      <c r="O4873" s="5" t="s">
        <v>4901</v>
      </c>
      <c r="P4873" s="6">
        <v>0.35</v>
      </c>
      <c r="Q4873" s="11">
        <v>2.2999999999999998</v>
      </c>
      <c r="R4873" s="11"/>
      <c r="S4873" s="11"/>
      <c r="T4873" s="11"/>
      <c r="U4873" s="11">
        <f t="shared" si="1580"/>
        <v>2.2999999999999998</v>
      </c>
      <c r="W4873">
        <v>2.5</v>
      </c>
      <c r="X4873" s="1" t="s">
        <v>18</v>
      </c>
    </row>
    <row r="4874" spans="1:24" x14ac:dyDescent="0.25">
      <c r="A4874" s="1" t="str">
        <f t="shared" si="1581"/>
        <v>卡卡杜-凤凰仓</v>
      </c>
      <c r="B4874" s="1" t="str">
        <f>"CK202410215104"</f>
        <v>CK202410215104</v>
      </c>
      <c r="C4874" s="1" t="str">
        <f>"DD2024102111212"</f>
        <v>DD2024102111212</v>
      </c>
      <c r="D4874" s="1" t="str">
        <f>"CK2024102119524"</f>
        <v>CK2024102119524</v>
      </c>
      <c r="E4874" s="1" t="str">
        <f>"2429401939529541"</f>
        <v>2429401939529541</v>
      </c>
      <c r="F4874" s="1" t="str">
        <f t="shared" si="1582"/>
        <v>花都四部-凤凰仓</v>
      </c>
      <c r="G4874" s="1" t="str">
        <f t="shared" si="1573"/>
        <v>卡卡杜佳旺专卖店（快手店）</v>
      </c>
      <c r="H4874" s="1" t="str">
        <f t="shared" si="1583"/>
        <v>正常订单</v>
      </c>
      <c r="I4874" s="1" t="str">
        <f t="shared" si="1584"/>
        <v>已发货</v>
      </c>
      <c r="J4874" s="1" t="str">
        <f t="shared" ref="J4874:J4876" si="1586">"5"</f>
        <v>5</v>
      </c>
      <c r="K4874" s="1">
        <v>2</v>
      </c>
      <c r="L4874" s="1" t="s">
        <v>30</v>
      </c>
      <c r="M4874" s="1" t="str">
        <f>"山东省 临沂市 沂南县 界湖街道"</f>
        <v>山东省 临沂市 沂南县 界湖街道</v>
      </c>
      <c r="N4874" s="1" t="str">
        <f t="shared" si="1574"/>
        <v>凡华云仓-城南圆通-快手</v>
      </c>
      <c r="O4874" s="5" t="s">
        <v>4902</v>
      </c>
      <c r="P4874" s="6">
        <v>0.59</v>
      </c>
      <c r="Q4874" s="11">
        <f t="shared" ref="Q4874:Q4876" si="1587">CEILING(P4874-0.5,0.1)*10*0.15+2.3</f>
        <v>2.4499999999999997</v>
      </c>
      <c r="R4874" s="11"/>
      <c r="S4874" s="11"/>
      <c r="T4874" s="11"/>
      <c r="U4874" s="11">
        <f t="shared" si="1580"/>
        <v>2.4499999999999997</v>
      </c>
      <c r="V4874" t="s">
        <v>15</v>
      </c>
      <c r="W4874">
        <v>2.4500000000000002</v>
      </c>
      <c r="X4874" s="1" t="s">
        <v>30</v>
      </c>
    </row>
    <row r="4875" spans="1:24" x14ac:dyDescent="0.25">
      <c r="A4875" s="1" t="str">
        <f t="shared" si="1581"/>
        <v>卡卡杜-凤凰仓</v>
      </c>
      <c r="B4875" s="1" t="str">
        <f>"CK202410215070"</f>
        <v>CK202410215070</v>
      </c>
      <c r="C4875" s="1" t="str">
        <f>"DD2024102111176"</f>
        <v>DD2024102111176</v>
      </c>
      <c r="D4875" s="1" t="str">
        <f>"CK2024102119523"</f>
        <v>CK2024102119523</v>
      </c>
      <c r="E4875" s="1" t="str">
        <f>"2429401691443170"</f>
        <v>2429401691443170</v>
      </c>
      <c r="F4875" s="1" t="str">
        <f t="shared" si="1582"/>
        <v>花都四部-凤凰仓</v>
      </c>
      <c r="G4875" s="1" t="str">
        <f t="shared" si="1573"/>
        <v>卡卡杜佳旺专卖店（快手店）</v>
      </c>
      <c r="H4875" s="1" t="str">
        <f t="shared" si="1583"/>
        <v>正常订单</v>
      </c>
      <c r="I4875" s="1" t="str">
        <f t="shared" si="1584"/>
        <v>已发货</v>
      </c>
      <c r="J4875" s="1" t="str">
        <f t="shared" si="1586"/>
        <v>5</v>
      </c>
      <c r="K4875" s="1">
        <v>2</v>
      </c>
      <c r="L4875" s="1" t="s">
        <v>30</v>
      </c>
      <c r="M4875" s="1" t="str">
        <f>"山东省 泰安市 泰山区 岱庙街道"</f>
        <v>山东省 泰安市 泰山区 岱庙街道</v>
      </c>
      <c r="N4875" s="1" t="str">
        <f t="shared" si="1574"/>
        <v>凡华云仓-城南圆通-快手</v>
      </c>
      <c r="O4875" s="5" t="s">
        <v>4903</v>
      </c>
      <c r="P4875" s="6">
        <v>0.59</v>
      </c>
      <c r="Q4875" s="11">
        <f t="shared" si="1587"/>
        <v>2.4499999999999997</v>
      </c>
      <c r="R4875" s="11"/>
      <c r="S4875" s="11"/>
      <c r="T4875" s="11"/>
      <c r="U4875" s="11">
        <f t="shared" si="1580"/>
        <v>2.4499999999999997</v>
      </c>
      <c r="V4875" t="s">
        <v>15</v>
      </c>
      <c r="W4875">
        <v>2.4500000000000002</v>
      </c>
      <c r="X4875" s="1" t="s">
        <v>30</v>
      </c>
    </row>
    <row r="4876" spans="1:24" x14ac:dyDescent="0.25">
      <c r="A4876" s="1" t="str">
        <f t="shared" si="1581"/>
        <v>卡卡杜-凤凰仓</v>
      </c>
      <c r="B4876" s="1" t="str">
        <f>"CK202410215078"</f>
        <v>CK202410215078</v>
      </c>
      <c r="C4876" s="1" t="str">
        <f>"DD2024102111183"</f>
        <v>DD2024102111183</v>
      </c>
      <c r="D4876" s="1" t="str">
        <f>"CK2024102119522"</f>
        <v>CK2024102119522</v>
      </c>
      <c r="E4876" s="1" t="str">
        <f>"2429401622675083"</f>
        <v>2429401622675083</v>
      </c>
      <c r="F4876" s="1" t="str">
        <f t="shared" si="1582"/>
        <v>花都四部-凤凰仓</v>
      </c>
      <c r="G4876" s="1" t="str">
        <f t="shared" si="1573"/>
        <v>卡卡杜佳旺专卖店（快手店）</v>
      </c>
      <c r="H4876" s="1" t="str">
        <f t="shared" si="1583"/>
        <v>正常订单</v>
      </c>
      <c r="I4876" s="1" t="str">
        <f t="shared" si="1584"/>
        <v>已发货</v>
      </c>
      <c r="J4876" s="1" t="str">
        <f t="shared" si="1586"/>
        <v>5</v>
      </c>
      <c r="K4876" s="1">
        <v>2</v>
      </c>
      <c r="L4876" s="1" t="s">
        <v>41</v>
      </c>
      <c r="M4876" s="1" t="str">
        <f>"湖北省 武汉市 洪山区 和平街道"</f>
        <v>湖北省 武汉市 洪山区 和平街道</v>
      </c>
      <c r="N4876" s="1" t="str">
        <f t="shared" si="1574"/>
        <v>凡华云仓-城南圆通-快手</v>
      </c>
      <c r="O4876" s="5" t="s">
        <v>4904</v>
      </c>
      <c r="P4876" s="6">
        <v>0.59</v>
      </c>
      <c r="Q4876" s="11">
        <f t="shared" si="1587"/>
        <v>2.4499999999999997</v>
      </c>
      <c r="R4876" s="11"/>
      <c r="S4876" s="11"/>
      <c r="T4876" s="11"/>
      <c r="U4876" s="11">
        <f t="shared" si="1580"/>
        <v>2.4499999999999997</v>
      </c>
      <c r="V4876" t="s">
        <v>15</v>
      </c>
      <c r="W4876">
        <v>2.4500000000000002</v>
      </c>
      <c r="X4876" s="1" t="s">
        <v>41</v>
      </c>
    </row>
    <row r="4877" spans="1:24" x14ac:dyDescent="0.25">
      <c r="A4877" s="1" t="str">
        <f t="shared" si="1581"/>
        <v>卡卡杜-凤凰仓</v>
      </c>
      <c r="B4877" s="1" t="str">
        <f>"CK202410214898"</f>
        <v>CK202410214898</v>
      </c>
      <c r="C4877" s="1" t="str">
        <f>"DD2024102111001"</f>
        <v>DD2024102111001</v>
      </c>
      <c r="D4877" s="1" t="str">
        <f>"CK2024102119521"</f>
        <v>CK2024102119521</v>
      </c>
      <c r="E4877" s="1" t="str">
        <f>"2429401775475654"</f>
        <v>2429401775475654</v>
      </c>
      <c r="F4877" s="1" t="str">
        <f t="shared" si="1582"/>
        <v>花都四部-凤凰仓</v>
      </c>
      <c r="G4877" s="1" t="str">
        <f t="shared" si="1573"/>
        <v>卡卡杜佳旺专卖店（快手店）</v>
      </c>
      <c r="H4877" s="1" t="str">
        <f t="shared" si="1583"/>
        <v>正常订单</v>
      </c>
      <c r="I4877" s="1" t="str">
        <f t="shared" si="1584"/>
        <v>已发货</v>
      </c>
      <c r="J4877" s="1" t="str">
        <f t="shared" ref="J4877:J4882" si="1588">"3"</f>
        <v>3</v>
      </c>
      <c r="K4877" s="1">
        <v>2</v>
      </c>
      <c r="L4877" s="1" t="s">
        <v>22</v>
      </c>
      <c r="M4877" s="1" t="str">
        <f>"江西省 南昌市 南昌县 小蓝经济开发区"</f>
        <v>江西省 南昌市 南昌县 小蓝经济开发区</v>
      </c>
      <c r="N4877" s="1" t="str">
        <f t="shared" si="1574"/>
        <v>凡华云仓-城南圆通-快手</v>
      </c>
      <c r="O4877" s="5" t="s">
        <v>4905</v>
      </c>
      <c r="P4877" s="6">
        <v>0.35</v>
      </c>
      <c r="Q4877" s="11">
        <v>2.2999999999999998</v>
      </c>
      <c r="R4877" s="11"/>
      <c r="S4877" s="11"/>
      <c r="T4877" s="11"/>
      <c r="U4877" s="11">
        <f t="shared" si="1580"/>
        <v>2.2999999999999998</v>
      </c>
      <c r="W4877">
        <v>2.5</v>
      </c>
      <c r="X4877" s="1" t="s">
        <v>22</v>
      </c>
    </row>
    <row r="4878" spans="1:24" x14ac:dyDescent="0.25">
      <c r="A4878" s="1" t="str">
        <f t="shared" si="1581"/>
        <v>卡卡杜-凤凰仓</v>
      </c>
      <c r="B4878" s="1" t="str">
        <f>"CK202410214893"</f>
        <v>CK202410214893</v>
      </c>
      <c r="C4878" s="1" t="str">
        <f>"DD2024102110996"</f>
        <v>DD2024102110996</v>
      </c>
      <c r="D4878" s="1" t="str">
        <f>"CK2024102119520"</f>
        <v>CK2024102119520</v>
      </c>
      <c r="E4878" s="1" t="str">
        <f>"2429401857483216"</f>
        <v>2429401857483216</v>
      </c>
      <c r="F4878" s="1" t="str">
        <f t="shared" si="1582"/>
        <v>花都四部-凤凰仓</v>
      </c>
      <c r="G4878" s="1" t="str">
        <f t="shared" si="1573"/>
        <v>卡卡杜佳旺专卖店（快手店）</v>
      </c>
      <c r="H4878" s="1" t="str">
        <f t="shared" si="1583"/>
        <v>正常订单</v>
      </c>
      <c r="I4878" s="1" t="str">
        <f t="shared" si="1584"/>
        <v>已发货</v>
      </c>
      <c r="J4878" s="1" t="str">
        <f t="shared" si="1588"/>
        <v>3</v>
      </c>
      <c r="K4878" s="1">
        <v>2</v>
      </c>
      <c r="L4878" s="1" t="s">
        <v>18</v>
      </c>
      <c r="M4878" s="1" t="str">
        <f>"广东省 深圳市 宝安区 沙井街道"</f>
        <v>广东省 深圳市 宝安区 沙井街道</v>
      </c>
      <c r="N4878" s="1" t="str">
        <f t="shared" si="1574"/>
        <v>凡华云仓-城南圆通-快手</v>
      </c>
      <c r="O4878" s="5" t="s">
        <v>4906</v>
      </c>
      <c r="P4878" s="6">
        <v>0.35</v>
      </c>
      <c r="Q4878" s="11">
        <v>2.2999999999999998</v>
      </c>
      <c r="R4878" s="11"/>
      <c r="S4878" s="11"/>
      <c r="T4878" s="11"/>
      <c r="U4878" s="11">
        <f t="shared" si="1580"/>
        <v>2.2999999999999998</v>
      </c>
      <c r="W4878">
        <v>2.5</v>
      </c>
      <c r="X4878" s="1" t="s">
        <v>18</v>
      </c>
    </row>
    <row r="4879" spans="1:24" x14ac:dyDescent="0.25">
      <c r="A4879" s="1" t="str">
        <f t="shared" si="1581"/>
        <v>卡卡杜-凤凰仓</v>
      </c>
      <c r="B4879" s="1" t="str">
        <f>"CK202410215063"</f>
        <v>CK202410215063</v>
      </c>
      <c r="C4879" s="1" t="str">
        <f>"DD2024102111168"</f>
        <v>DD2024102111168</v>
      </c>
      <c r="D4879" s="1" t="str">
        <f>"CK2024102119519"</f>
        <v>CK2024102119519</v>
      </c>
      <c r="E4879" s="1" t="str">
        <f>"2429401761585608"</f>
        <v>2429401761585608</v>
      </c>
      <c r="F4879" s="1" t="str">
        <f t="shared" si="1582"/>
        <v>花都四部-凤凰仓</v>
      </c>
      <c r="G4879" s="1" t="str">
        <f t="shared" si="1573"/>
        <v>卡卡杜佳旺专卖店（快手店）</v>
      </c>
      <c r="H4879" s="1" t="str">
        <f t="shared" si="1583"/>
        <v>正常订单</v>
      </c>
      <c r="I4879" s="1" t="str">
        <f t="shared" si="1584"/>
        <v>已发货</v>
      </c>
      <c r="J4879" s="1" t="str">
        <f>"5"</f>
        <v>5</v>
      </c>
      <c r="K4879" s="1">
        <v>2</v>
      </c>
      <c r="L4879" s="1" t="s">
        <v>30</v>
      </c>
      <c r="M4879" s="1" t="str">
        <f>"山东省 青岛市 城阳区 流亭街道"</f>
        <v>山东省 青岛市 城阳区 流亭街道</v>
      </c>
      <c r="N4879" s="1" t="str">
        <f t="shared" si="1574"/>
        <v>凡华云仓-城南圆通-快手</v>
      </c>
      <c r="O4879" s="5" t="s">
        <v>4907</v>
      </c>
      <c r="P4879" s="6">
        <v>0.59</v>
      </c>
      <c r="Q4879" s="11">
        <f>CEILING(P4879-0.5,0.1)*10*0.15+2.3</f>
        <v>2.4499999999999997</v>
      </c>
      <c r="R4879" s="11"/>
      <c r="S4879" s="11"/>
      <c r="T4879" s="11"/>
      <c r="U4879" s="11">
        <f t="shared" si="1580"/>
        <v>2.4499999999999997</v>
      </c>
      <c r="V4879" t="s">
        <v>15</v>
      </c>
      <c r="W4879">
        <v>2.4500000000000002</v>
      </c>
      <c r="X4879" s="1" t="s">
        <v>30</v>
      </c>
    </row>
    <row r="4880" spans="1:24" x14ac:dyDescent="0.25">
      <c r="A4880" s="1" t="str">
        <f t="shared" si="1581"/>
        <v>卡卡杜-凤凰仓</v>
      </c>
      <c r="B4880" s="1" t="str">
        <f>"CK202410214894"</f>
        <v>CK202410214894</v>
      </c>
      <c r="C4880" s="1" t="str">
        <f>"DD2024102110997"</f>
        <v>DD2024102110997</v>
      </c>
      <c r="D4880" s="1" t="str">
        <f>"CK2024102119518"</f>
        <v>CK2024102119518</v>
      </c>
      <c r="E4880" s="1" t="str">
        <f>"2429401854730974"</f>
        <v>2429401854730974</v>
      </c>
      <c r="F4880" s="1" t="str">
        <f t="shared" si="1582"/>
        <v>花都四部-凤凰仓</v>
      </c>
      <c r="G4880" s="1" t="str">
        <f t="shared" si="1573"/>
        <v>卡卡杜佳旺专卖店（快手店）</v>
      </c>
      <c r="H4880" s="1" t="str">
        <f t="shared" si="1583"/>
        <v>正常订单</v>
      </c>
      <c r="I4880" s="1" t="str">
        <f t="shared" si="1584"/>
        <v>已发货</v>
      </c>
      <c r="J4880" s="1" t="str">
        <f t="shared" si="1588"/>
        <v>3</v>
      </c>
      <c r="K4880" s="1">
        <v>2</v>
      </c>
      <c r="L4880" s="1" t="s">
        <v>80</v>
      </c>
      <c r="M4880" s="1" t="str">
        <f>"河南省 郑州市 中原区 桐柏路街道"</f>
        <v>河南省 郑州市 中原区 桐柏路街道</v>
      </c>
      <c r="N4880" s="1" t="str">
        <f t="shared" si="1574"/>
        <v>凡华云仓-城南圆通-快手</v>
      </c>
      <c r="O4880" s="5" t="s">
        <v>4908</v>
      </c>
      <c r="P4880" s="6">
        <v>0.35</v>
      </c>
      <c r="Q4880" s="11">
        <v>2.2999999999999998</v>
      </c>
      <c r="R4880" s="11"/>
      <c r="S4880" s="11"/>
      <c r="T4880" s="11"/>
      <c r="U4880" s="11">
        <f t="shared" si="1580"/>
        <v>2.2999999999999998</v>
      </c>
      <c r="W4880">
        <v>2.5</v>
      </c>
      <c r="X4880" s="1" t="s">
        <v>80</v>
      </c>
    </row>
    <row r="4881" spans="1:24" x14ac:dyDescent="0.25">
      <c r="A4881" s="1" t="str">
        <f t="shared" si="1581"/>
        <v>卡卡杜-凤凰仓</v>
      </c>
      <c r="B4881" s="1" t="str">
        <f>"CK202410214852"</f>
        <v>CK202410214852</v>
      </c>
      <c r="C4881" s="1" t="str">
        <f>"DD2024102110955"</f>
        <v>DD2024102110955</v>
      </c>
      <c r="D4881" s="1" t="str">
        <f>"CK2024102119517"</f>
        <v>CK2024102119517</v>
      </c>
      <c r="E4881" s="1" t="str">
        <f>"2429402017618008"</f>
        <v>2429402017618008</v>
      </c>
      <c r="F4881" s="1" t="str">
        <f t="shared" si="1582"/>
        <v>花都四部-凤凰仓</v>
      </c>
      <c r="G4881" s="1" t="str">
        <f t="shared" si="1573"/>
        <v>卡卡杜佳旺专卖店（快手店）</v>
      </c>
      <c r="H4881" s="1" t="str">
        <f t="shared" si="1583"/>
        <v>正常订单</v>
      </c>
      <c r="I4881" s="1" t="str">
        <f t="shared" si="1584"/>
        <v>已发货</v>
      </c>
      <c r="J4881" s="1" t="str">
        <f t="shared" si="1588"/>
        <v>3</v>
      </c>
      <c r="K4881" s="1">
        <v>2</v>
      </c>
      <c r="L4881" s="1" t="s">
        <v>18</v>
      </c>
      <c r="M4881" s="1" t="str">
        <f>"广东省 惠州市 博罗县 石湾镇"</f>
        <v>广东省 惠州市 博罗县 石湾镇</v>
      </c>
      <c r="N4881" s="1" t="str">
        <f t="shared" si="1574"/>
        <v>凡华云仓-城南圆通-快手</v>
      </c>
      <c r="O4881" s="5" t="s">
        <v>4909</v>
      </c>
      <c r="P4881" s="6">
        <v>0.35</v>
      </c>
      <c r="Q4881" s="11">
        <v>2.2999999999999998</v>
      </c>
      <c r="R4881" s="11"/>
      <c r="S4881" s="11"/>
      <c r="T4881" s="11"/>
      <c r="U4881" s="11">
        <f t="shared" si="1580"/>
        <v>2.2999999999999998</v>
      </c>
      <c r="W4881">
        <v>2.5</v>
      </c>
      <c r="X4881" s="1" t="s">
        <v>18</v>
      </c>
    </row>
    <row r="4882" spans="1:24" x14ac:dyDescent="0.25">
      <c r="A4882" s="1" t="str">
        <f t="shared" si="1581"/>
        <v>卡卡杜-凤凰仓</v>
      </c>
      <c r="B4882" s="1" t="str">
        <f>"CK202410214873"</f>
        <v>CK202410214873</v>
      </c>
      <c r="C4882" s="1" t="str">
        <f>"DD2024102110977"</f>
        <v>DD2024102110977</v>
      </c>
      <c r="D4882" s="1" t="str">
        <f>"CK2024102119516"</f>
        <v>CK2024102119516</v>
      </c>
      <c r="E4882" s="1" t="str">
        <f>"2429401928928155"</f>
        <v>2429401928928155</v>
      </c>
      <c r="F4882" s="1" t="str">
        <f t="shared" si="1582"/>
        <v>花都四部-凤凰仓</v>
      </c>
      <c r="G4882" s="1" t="str">
        <f t="shared" si="1573"/>
        <v>卡卡杜佳旺专卖店（快手店）</v>
      </c>
      <c r="H4882" s="1" t="str">
        <f t="shared" si="1583"/>
        <v>正常订单</v>
      </c>
      <c r="I4882" s="1" t="str">
        <f t="shared" si="1584"/>
        <v>已发货</v>
      </c>
      <c r="J4882" s="1" t="str">
        <f t="shared" si="1588"/>
        <v>3</v>
      </c>
      <c r="K4882" s="1">
        <v>2</v>
      </c>
      <c r="L4882" s="1" t="s">
        <v>41</v>
      </c>
      <c r="M4882" s="1" t="str">
        <f>"湖北省 黄冈市 麻城市 宋埠镇"</f>
        <v>湖北省 黄冈市 麻城市 宋埠镇</v>
      </c>
      <c r="N4882" s="1" t="str">
        <f t="shared" si="1574"/>
        <v>凡华云仓-城南圆通-快手</v>
      </c>
      <c r="O4882" s="5" t="s">
        <v>4910</v>
      </c>
      <c r="P4882" s="6">
        <v>0.35</v>
      </c>
      <c r="Q4882" s="11">
        <v>2.2999999999999998</v>
      </c>
      <c r="R4882" s="11"/>
      <c r="S4882" s="11"/>
      <c r="T4882" s="11"/>
      <c r="U4882" s="11">
        <f t="shared" si="1580"/>
        <v>2.2999999999999998</v>
      </c>
      <c r="W4882">
        <v>2.5</v>
      </c>
      <c r="X4882" s="1" t="s">
        <v>41</v>
      </c>
    </row>
    <row r="4883" spans="1:24" x14ac:dyDescent="0.25">
      <c r="A4883" s="1" t="str">
        <f t="shared" si="1581"/>
        <v>卡卡杜-凤凰仓</v>
      </c>
      <c r="B4883" s="1" t="str">
        <f>"CK202410215080"</f>
        <v>CK202410215080</v>
      </c>
      <c r="C4883" s="1" t="str">
        <f>"DD2024102111185"</f>
        <v>DD2024102111185</v>
      </c>
      <c r="D4883" s="1" t="str">
        <f>"CK2024102119515"</f>
        <v>CK2024102119515</v>
      </c>
      <c r="E4883" s="1" t="str">
        <f>"2429401934562408"</f>
        <v>2429401934562408</v>
      </c>
      <c r="F4883" s="1" t="str">
        <f t="shared" si="1582"/>
        <v>花都四部-凤凰仓</v>
      </c>
      <c r="G4883" s="1" t="str">
        <f t="shared" si="1573"/>
        <v>卡卡杜佳旺专卖店（快手店）</v>
      </c>
      <c r="H4883" s="1" t="str">
        <f t="shared" si="1583"/>
        <v>正常订单</v>
      </c>
      <c r="I4883" s="1" t="str">
        <f t="shared" si="1584"/>
        <v>已发货</v>
      </c>
      <c r="J4883" s="1" t="str">
        <f>"5"</f>
        <v>5</v>
      </c>
      <c r="K4883" s="1">
        <v>2</v>
      </c>
      <c r="L4883" s="1" t="s">
        <v>41</v>
      </c>
      <c r="M4883" s="1" t="str">
        <f>"湖北省 武汉市 汉阳区 永丰街道"</f>
        <v>湖北省 武汉市 汉阳区 永丰街道</v>
      </c>
      <c r="N4883" s="1" t="str">
        <f t="shared" si="1574"/>
        <v>凡华云仓-城南圆通-快手</v>
      </c>
      <c r="O4883" s="5" t="s">
        <v>4911</v>
      </c>
      <c r="P4883" s="6">
        <v>0.59</v>
      </c>
      <c r="Q4883" s="11">
        <f>CEILING(P4883-0.5,0.1)*10*0.15+2.3</f>
        <v>2.4499999999999997</v>
      </c>
      <c r="R4883" s="11"/>
      <c r="S4883" s="11"/>
      <c r="T4883" s="11"/>
      <c r="U4883" s="11">
        <f t="shared" si="1580"/>
        <v>2.4499999999999997</v>
      </c>
      <c r="V4883" t="s">
        <v>15</v>
      </c>
      <c r="W4883">
        <v>2.4500000000000002</v>
      </c>
      <c r="X4883" s="1" t="s">
        <v>41</v>
      </c>
    </row>
    <row r="4884" spans="1:24" x14ac:dyDescent="0.25">
      <c r="A4884" s="1" t="str">
        <f t="shared" si="1581"/>
        <v>卡卡杜-凤凰仓</v>
      </c>
      <c r="B4884" s="1" t="str">
        <f>"CK202410214849"</f>
        <v>CK202410214849</v>
      </c>
      <c r="C4884" s="1" t="str">
        <f>"DD2024102110952"</f>
        <v>DD2024102110952</v>
      </c>
      <c r="D4884" s="1" t="str">
        <f>"CK2024102119514"</f>
        <v>CK2024102119514</v>
      </c>
      <c r="E4884" s="1" t="str">
        <f>"2429402160752605"</f>
        <v>2429402160752605</v>
      </c>
      <c r="F4884" s="1" t="str">
        <f t="shared" si="1582"/>
        <v>花都四部-凤凰仓</v>
      </c>
      <c r="G4884" s="1" t="str">
        <f t="shared" si="1573"/>
        <v>卡卡杜佳旺专卖店（快手店）</v>
      </c>
      <c r="H4884" s="1" t="str">
        <f t="shared" si="1583"/>
        <v>正常订单</v>
      </c>
      <c r="I4884" s="1" t="str">
        <f t="shared" si="1584"/>
        <v>已发货</v>
      </c>
      <c r="J4884" s="1" t="str">
        <f t="shared" ref="J4884:J4886" si="1589">"3"</f>
        <v>3</v>
      </c>
      <c r="K4884" s="1">
        <v>2</v>
      </c>
      <c r="L4884" s="1" t="s">
        <v>41</v>
      </c>
      <c r="M4884" s="1" t="str">
        <f>"湖北省 武汉市 硚口区 古田街道"</f>
        <v>湖北省 武汉市 硚口区 古田街道</v>
      </c>
      <c r="N4884" s="1" t="str">
        <f t="shared" si="1574"/>
        <v>凡华云仓-城南圆通-快手</v>
      </c>
      <c r="O4884" s="5" t="s">
        <v>4912</v>
      </c>
      <c r="P4884" s="6">
        <v>0.35</v>
      </c>
      <c r="Q4884" s="11">
        <v>2.2999999999999998</v>
      </c>
      <c r="R4884" s="11"/>
      <c r="S4884" s="11"/>
      <c r="T4884" s="11"/>
      <c r="U4884" s="11">
        <f t="shared" si="1580"/>
        <v>2.2999999999999998</v>
      </c>
      <c r="W4884">
        <v>2.5</v>
      </c>
      <c r="X4884" s="1" t="s">
        <v>41</v>
      </c>
    </row>
    <row r="4885" spans="1:24" x14ac:dyDescent="0.25">
      <c r="A4885" s="1" t="str">
        <f t="shared" si="1581"/>
        <v>卡卡杜-凤凰仓</v>
      </c>
      <c r="B4885" s="1" t="str">
        <f>"CK202410214870"</f>
        <v>CK202410214870</v>
      </c>
      <c r="C4885" s="1" t="str">
        <f>"DD2024102110973"</f>
        <v>DD2024102110973</v>
      </c>
      <c r="D4885" s="1" t="str">
        <f>"CK2024102119513"</f>
        <v>CK2024102119513</v>
      </c>
      <c r="E4885" s="1" t="str">
        <f>"2429402021658546"</f>
        <v>2429402021658546</v>
      </c>
      <c r="F4885" s="1" t="str">
        <f t="shared" si="1582"/>
        <v>花都四部-凤凰仓</v>
      </c>
      <c r="G4885" s="1" t="str">
        <f t="shared" si="1573"/>
        <v>卡卡杜佳旺专卖店（快手店）</v>
      </c>
      <c r="H4885" s="1" t="str">
        <f t="shared" si="1583"/>
        <v>正常订单</v>
      </c>
      <c r="I4885" s="1" t="str">
        <f t="shared" si="1584"/>
        <v>已发货</v>
      </c>
      <c r="J4885" s="1" t="str">
        <f t="shared" si="1589"/>
        <v>3</v>
      </c>
      <c r="K4885" s="1">
        <v>2</v>
      </c>
      <c r="L4885" s="1" t="s">
        <v>22</v>
      </c>
      <c r="M4885" s="1" t="str">
        <f>"江西省 景德镇市 乐平市 双田镇"</f>
        <v>江西省 景德镇市 乐平市 双田镇</v>
      </c>
      <c r="N4885" s="1" t="str">
        <f t="shared" si="1574"/>
        <v>凡华云仓-城南圆通-快手</v>
      </c>
      <c r="O4885" s="5" t="s">
        <v>4913</v>
      </c>
      <c r="P4885" s="6">
        <v>0.35</v>
      </c>
      <c r="Q4885" s="11">
        <v>2.2999999999999998</v>
      </c>
      <c r="R4885" s="11"/>
      <c r="S4885" s="11"/>
      <c r="T4885" s="11"/>
      <c r="U4885" s="11">
        <f t="shared" si="1580"/>
        <v>2.2999999999999998</v>
      </c>
      <c r="W4885">
        <v>2.5</v>
      </c>
      <c r="X4885" s="1" t="s">
        <v>22</v>
      </c>
    </row>
    <row r="4886" spans="1:24" x14ac:dyDescent="0.25">
      <c r="A4886" s="1" t="str">
        <f t="shared" si="1581"/>
        <v>卡卡杜-凤凰仓</v>
      </c>
      <c r="B4886" s="1" t="str">
        <f>"CK202410214871"</f>
        <v>CK202410214871</v>
      </c>
      <c r="C4886" s="1" t="str">
        <f>"DD2024102110974"</f>
        <v>DD2024102110974</v>
      </c>
      <c r="D4886" s="1" t="str">
        <f>"CK2024102119512"</f>
        <v>CK2024102119512</v>
      </c>
      <c r="E4886" s="1" t="str">
        <f>"2429401858489492"</f>
        <v>2429401858489492</v>
      </c>
      <c r="F4886" s="1" t="str">
        <f t="shared" si="1582"/>
        <v>花都四部-凤凰仓</v>
      </c>
      <c r="G4886" s="1" t="str">
        <f t="shared" si="1573"/>
        <v>卡卡杜佳旺专卖店（快手店）</v>
      </c>
      <c r="H4886" s="1" t="str">
        <f t="shared" si="1583"/>
        <v>正常订单</v>
      </c>
      <c r="I4886" s="1" t="str">
        <f t="shared" si="1584"/>
        <v>已发货</v>
      </c>
      <c r="J4886" s="1" t="str">
        <f t="shared" si="1589"/>
        <v>3</v>
      </c>
      <c r="K4886" s="1">
        <v>2</v>
      </c>
      <c r="L4886" s="1" t="s">
        <v>1099</v>
      </c>
      <c r="M4886" s="1" t="str">
        <f>"重庆市 重庆市 巴南区 鱼洞街道"</f>
        <v>重庆市 重庆市 巴南区 鱼洞街道</v>
      </c>
      <c r="N4886" s="1" t="str">
        <f t="shared" si="1574"/>
        <v>凡华云仓-城南圆通-快手</v>
      </c>
      <c r="O4886" s="5" t="s">
        <v>4914</v>
      </c>
      <c r="P4886" s="6">
        <v>0.35</v>
      </c>
      <c r="Q4886" s="11">
        <v>2.2999999999999998</v>
      </c>
      <c r="R4886" s="11"/>
      <c r="S4886" s="11"/>
      <c r="T4886" s="11"/>
      <c r="U4886" s="11">
        <f t="shared" si="1580"/>
        <v>2.2999999999999998</v>
      </c>
      <c r="W4886">
        <v>2.5</v>
      </c>
      <c r="X4886" s="1" t="s">
        <v>1099</v>
      </c>
    </row>
    <row r="4887" spans="1:24" x14ac:dyDescent="0.25">
      <c r="A4887" s="1" t="str">
        <f t="shared" si="1581"/>
        <v>卡卡杜-凤凰仓</v>
      </c>
      <c r="B4887" s="1" t="str">
        <f>"CK202410215043"</f>
        <v>CK202410215043</v>
      </c>
      <c r="C4887" s="1" t="str">
        <f>"DD2024102111147"</f>
        <v>DD2024102111147</v>
      </c>
      <c r="D4887" s="1" t="str">
        <f>"CK2024102119511"</f>
        <v>CK2024102119511</v>
      </c>
      <c r="E4887" s="1" t="str">
        <f>"2429402003057075"</f>
        <v>2429402003057075</v>
      </c>
      <c r="F4887" s="1" t="str">
        <f t="shared" si="1582"/>
        <v>花都四部-凤凰仓</v>
      </c>
      <c r="G4887" s="1" t="str">
        <f t="shared" si="1573"/>
        <v>卡卡杜佳旺专卖店（快手店）</v>
      </c>
      <c r="H4887" s="1" t="str">
        <f t="shared" si="1583"/>
        <v>正常订单</v>
      </c>
      <c r="I4887" s="1" t="str">
        <f t="shared" si="1584"/>
        <v>已发货</v>
      </c>
      <c r="J4887" s="1" t="str">
        <f>"2"</f>
        <v>2</v>
      </c>
      <c r="K4887" s="1">
        <v>2</v>
      </c>
      <c r="L4887" s="1" t="s">
        <v>30</v>
      </c>
      <c r="M4887" s="1" t="str">
        <f>"山东省 青岛市 即墨区 潮海街道"</f>
        <v>山东省 青岛市 即墨区 潮海街道</v>
      </c>
      <c r="N4887" s="1" t="str">
        <f t="shared" si="1574"/>
        <v>凡华云仓-城南圆通-快手</v>
      </c>
      <c r="O4887" s="5" t="s">
        <v>4915</v>
      </c>
      <c r="P4887" s="6">
        <v>0.17</v>
      </c>
      <c r="Q4887" s="11">
        <v>2</v>
      </c>
      <c r="R4887" s="11"/>
      <c r="S4887" s="11"/>
      <c r="T4887" s="11"/>
      <c r="U4887" s="11">
        <f t="shared" si="1580"/>
        <v>2</v>
      </c>
      <c r="W4887">
        <v>2.2000000000000002</v>
      </c>
      <c r="X4887" s="1" t="s">
        <v>30</v>
      </c>
    </row>
    <row r="4888" spans="1:24" x14ac:dyDescent="0.25">
      <c r="A4888" s="1" t="str">
        <f t="shared" si="1581"/>
        <v>卡卡杜-凤凰仓</v>
      </c>
      <c r="B4888" s="1" t="str">
        <f>"CK202410215077"</f>
        <v>CK202410215077</v>
      </c>
      <c r="C4888" s="1" t="str">
        <f>"DD2024102111184"</f>
        <v>DD2024102111184</v>
      </c>
      <c r="D4888" s="1" t="str">
        <f>"CK2024102119510"</f>
        <v>CK2024102119510</v>
      </c>
      <c r="E4888" s="1" t="str">
        <f>"2429401923136315"</f>
        <v>2429401923136315</v>
      </c>
      <c r="F4888" s="1" t="str">
        <f t="shared" si="1582"/>
        <v>花都四部-凤凰仓</v>
      </c>
      <c r="G4888" s="1" t="str">
        <f t="shared" si="1573"/>
        <v>卡卡杜佳旺专卖店（快手店）</v>
      </c>
      <c r="H4888" s="1" t="str">
        <f t="shared" si="1583"/>
        <v>正常订单</v>
      </c>
      <c r="I4888" s="1" t="str">
        <f t="shared" si="1584"/>
        <v>已发货</v>
      </c>
      <c r="J4888" s="1" t="str">
        <f t="shared" ref="J4888:J4893" si="1590">"5"</f>
        <v>5</v>
      </c>
      <c r="K4888" s="1">
        <v>2</v>
      </c>
      <c r="L4888" s="1" t="s">
        <v>54</v>
      </c>
      <c r="M4888" s="1" t="str">
        <f>"黑龙江省 七台河市 新兴区 北山街道"</f>
        <v>黑龙江省 七台河市 新兴区 北山街道</v>
      </c>
      <c r="N4888" s="1" t="str">
        <f t="shared" si="1574"/>
        <v>凡华云仓-城南圆通-快手</v>
      </c>
      <c r="O4888" s="5" t="s">
        <v>4916</v>
      </c>
      <c r="P4888" s="6">
        <v>0.59</v>
      </c>
      <c r="Q4888" s="11">
        <f t="shared" ref="Q4888:Q4893" si="1591">CEILING(P4888-0.5,0.1)*10*0.15+2.3</f>
        <v>2.4499999999999997</v>
      </c>
      <c r="R4888" s="11"/>
      <c r="S4888" s="11"/>
      <c r="T4888" s="11"/>
      <c r="U4888" s="11">
        <f t="shared" si="1580"/>
        <v>2.4499999999999997</v>
      </c>
      <c r="V4888" t="s">
        <v>15</v>
      </c>
      <c r="W4888">
        <v>2.4500000000000002</v>
      </c>
      <c r="X4888" s="1" t="s">
        <v>54</v>
      </c>
    </row>
    <row r="4889" spans="1:24" x14ac:dyDescent="0.25">
      <c r="A4889" s="1" t="str">
        <f t="shared" si="1581"/>
        <v>卡卡杜-凤凰仓</v>
      </c>
      <c r="B4889" s="1" t="str">
        <f>"CK202410214863"</f>
        <v>CK202410214863</v>
      </c>
      <c r="C4889" s="1" t="str">
        <f>"DD2024102110966"</f>
        <v>DD2024102110966</v>
      </c>
      <c r="D4889" s="1" t="str">
        <f>"CK2024102119509"</f>
        <v>CK2024102119509</v>
      </c>
      <c r="E4889" s="1" t="str">
        <f>"2429401687931873"</f>
        <v>2429401687931873</v>
      </c>
      <c r="F4889" s="1" t="str">
        <f t="shared" si="1582"/>
        <v>花都四部-凤凰仓</v>
      </c>
      <c r="G4889" s="1" t="str">
        <f t="shared" si="1573"/>
        <v>卡卡杜佳旺专卖店（快手店）</v>
      </c>
      <c r="H4889" s="1" t="str">
        <f t="shared" si="1583"/>
        <v>正常订单</v>
      </c>
      <c r="I4889" s="1" t="str">
        <f t="shared" si="1584"/>
        <v>已发货</v>
      </c>
      <c r="J4889" s="1" t="str">
        <f t="shared" ref="J4889:J4892" si="1592">"3"</f>
        <v>3</v>
      </c>
      <c r="K4889" s="1">
        <v>2</v>
      </c>
      <c r="L4889" s="1" t="s">
        <v>30</v>
      </c>
      <c r="M4889" s="1" t="str">
        <f>"山东省 济南市 长清区 平安街道"</f>
        <v>山东省 济南市 长清区 平安街道</v>
      </c>
      <c r="N4889" s="1" t="str">
        <f t="shared" si="1574"/>
        <v>凡华云仓-城南圆通-快手</v>
      </c>
      <c r="O4889" s="5" t="s">
        <v>4917</v>
      </c>
      <c r="P4889" s="6">
        <v>0.35</v>
      </c>
      <c r="Q4889" s="11">
        <v>2.2999999999999998</v>
      </c>
      <c r="R4889" s="11"/>
      <c r="S4889" s="11"/>
      <c r="T4889" s="11"/>
      <c r="U4889" s="11">
        <f t="shared" si="1580"/>
        <v>2.2999999999999998</v>
      </c>
      <c r="W4889">
        <v>2.5</v>
      </c>
      <c r="X4889" s="1" t="s">
        <v>30</v>
      </c>
    </row>
    <row r="4890" spans="1:24" x14ac:dyDescent="0.25">
      <c r="A4890" s="1" t="str">
        <f t="shared" si="1581"/>
        <v>卡卡杜-凤凰仓</v>
      </c>
      <c r="B4890" s="1" t="str">
        <f>"CK202410214869"</f>
        <v>CK202410214869</v>
      </c>
      <c r="C4890" s="1" t="str">
        <f>"DD2024102110972"</f>
        <v>DD2024102110972</v>
      </c>
      <c r="D4890" s="1" t="str">
        <f>"CK2024102119508"</f>
        <v>CK2024102119508</v>
      </c>
      <c r="E4890" s="1" t="str">
        <f>"2429401780003689"</f>
        <v>2429401780003689</v>
      </c>
      <c r="F4890" s="1" t="str">
        <f t="shared" si="1582"/>
        <v>花都四部-凤凰仓</v>
      </c>
      <c r="G4890" s="1" t="str">
        <f t="shared" si="1573"/>
        <v>卡卡杜佳旺专卖店（快手店）</v>
      </c>
      <c r="H4890" s="1" t="str">
        <f t="shared" si="1583"/>
        <v>正常订单</v>
      </c>
      <c r="I4890" s="1" t="str">
        <f t="shared" si="1584"/>
        <v>已发货</v>
      </c>
      <c r="J4890" s="1" t="str">
        <f t="shared" si="1592"/>
        <v>3</v>
      </c>
      <c r="K4890" s="1">
        <v>2</v>
      </c>
      <c r="L4890" s="1" t="s">
        <v>18</v>
      </c>
      <c r="M4890" s="1" t="str">
        <f>"广东省 深圳市 光明区 新湖街道"</f>
        <v>广东省 深圳市 光明区 新湖街道</v>
      </c>
      <c r="N4890" s="1" t="str">
        <f t="shared" si="1574"/>
        <v>凡华云仓-城南圆通-快手</v>
      </c>
      <c r="O4890" s="5" t="s">
        <v>4918</v>
      </c>
      <c r="P4890" s="6">
        <v>0.35</v>
      </c>
      <c r="Q4890" s="11">
        <v>2.2999999999999998</v>
      </c>
      <c r="R4890" s="11"/>
      <c r="S4890" s="11"/>
      <c r="T4890" s="11"/>
      <c r="U4890" s="11">
        <f t="shared" si="1580"/>
        <v>2.2999999999999998</v>
      </c>
      <c r="W4890">
        <v>2.5</v>
      </c>
      <c r="X4890" s="1" t="s">
        <v>18</v>
      </c>
    </row>
    <row r="4891" spans="1:24" x14ac:dyDescent="0.25">
      <c r="A4891" s="1" t="str">
        <f t="shared" si="1581"/>
        <v>卡卡杜-凤凰仓</v>
      </c>
      <c r="B4891" s="1" t="str">
        <f>"CK202410215084"</f>
        <v>CK202410215084</v>
      </c>
      <c r="C4891" s="1" t="str">
        <f>"DD2024102111190"</f>
        <v>DD2024102111190</v>
      </c>
      <c r="D4891" s="1" t="str">
        <f>"CK2024102119507"</f>
        <v>CK2024102119507</v>
      </c>
      <c r="E4891" s="1" t="str">
        <f>"2429402082153845"</f>
        <v>2429402082153845</v>
      </c>
      <c r="F4891" s="1" t="str">
        <f t="shared" si="1582"/>
        <v>花都四部-凤凰仓</v>
      </c>
      <c r="G4891" s="1" t="str">
        <f t="shared" si="1573"/>
        <v>卡卡杜佳旺专卖店（快手店）</v>
      </c>
      <c r="H4891" s="1" t="str">
        <f t="shared" si="1583"/>
        <v>正常订单</v>
      </c>
      <c r="I4891" s="1" t="str">
        <f t="shared" si="1584"/>
        <v>已发货</v>
      </c>
      <c r="J4891" s="1" t="str">
        <f t="shared" si="1590"/>
        <v>5</v>
      </c>
      <c r="K4891" s="1">
        <v>2</v>
      </c>
      <c r="L4891" s="1" t="s">
        <v>32</v>
      </c>
      <c r="M4891" s="1" t="str">
        <f>"陕西省 西安市 长安区 郭杜街道"</f>
        <v>陕西省 西安市 长安区 郭杜街道</v>
      </c>
      <c r="N4891" s="1" t="str">
        <f t="shared" si="1574"/>
        <v>凡华云仓-城南圆通-快手</v>
      </c>
      <c r="O4891" s="5" t="s">
        <v>4919</v>
      </c>
      <c r="P4891" s="6">
        <v>0.59</v>
      </c>
      <c r="Q4891" s="11">
        <f t="shared" si="1591"/>
        <v>2.4499999999999997</v>
      </c>
      <c r="R4891" s="11"/>
      <c r="S4891" s="11"/>
      <c r="T4891" s="11"/>
      <c r="U4891" s="11">
        <f t="shared" si="1580"/>
        <v>2.4499999999999997</v>
      </c>
      <c r="V4891" t="s">
        <v>15</v>
      </c>
      <c r="W4891">
        <v>2.4500000000000002</v>
      </c>
      <c r="X4891" s="1" t="s">
        <v>32</v>
      </c>
    </row>
    <row r="4892" spans="1:24" x14ac:dyDescent="0.25">
      <c r="A4892" s="1" t="str">
        <f t="shared" si="1581"/>
        <v>卡卡杜-凤凰仓</v>
      </c>
      <c r="B4892" s="1" t="str">
        <f>"CK202410214891"</f>
        <v>CK202410214891</v>
      </c>
      <c r="C4892" s="1" t="str">
        <f>"DD2024102110993"</f>
        <v>DD2024102110993</v>
      </c>
      <c r="D4892" s="1" t="str">
        <f>"CK2024102119506"</f>
        <v>CK2024102119506</v>
      </c>
      <c r="E4892" s="1" t="str">
        <f>"2429402010706339"</f>
        <v>2429402010706339</v>
      </c>
      <c r="F4892" s="1" t="str">
        <f t="shared" si="1582"/>
        <v>花都四部-凤凰仓</v>
      </c>
      <c r="G4892" s="1" t="str">
        <f t="shared" si="1573"/>
        <v>卡卡杜佳旺专卖店（快手店）</v>
      </c>
      <c r="H4892" s="1" t="str">
        <f t="shared" si="1583"/>
        <v>正常订单</v>
      </c>
      <c r="I4892" s="1" t="str">
        <f t="shared" si="1584"/>
        <v>已发货</v>
      </c>
      <c r="J4892" s="1" t="str">
        <f t="shared" si="1592"/>
        <v>3</v>
      </c>
      <c r="K4892" s="1">
        <v>2</v>
      </c>
      <c r="L4892" s="1" t="s">
        <v>13</v>
      </c>
      <c r="M4892" s="1" t="str">
        <f>"江苏省 无锡市 梁溪区 广益街道"</f>
        <v>江苏省 无锡市 梁溪区 广益街道</v>
      </c>
      <c r="N4892" s="1" t="str">
        <f t="shared" si="1574"/>
        <v>凡华云仓-城南圆通-快手</v>
      </c>
      <c r="O4892" s="5" t="s">
        <v>4920</v>
      </c>
      <c r="P4892" s="6">
        <v>0.35</v>
      </c>
      <c r="Q4892" s="11">
        <v>2.2999999999999998</v>
      </c>
      <c r="R4892" s="11"/>
      <c r="S4892" s="11"/>
      <c r="T4892" s="11"/>
      <c r="U4892" s="11">
        <f t="shared" si="1580"/>
        <v>2.2999999999999998</v>
      </c>
      <c r="W4892">
        <v>2.5</v>
      </c>
      <c r="X4892" s="1" t="s">
        <v>13</v>
      </c>
    </row>
    <row r="4893" spans="1:24" x14ac:dyDescent="0.25">
      <c r="A4893" s="1" t="str">
        <f t="shared" si="1581"/>
        <v>卡卡杜-凤凰仓</v>
      </c>
      <c r="B4893" s="1" t="str">
        <f>"CK202410215091"</f>
        <v>CK202410215091</v>
      </c>
      <c r="C4893" s="1" t="str">
        <f>"DD2024102111197"</f>
        <v>DD2024102111197</v>
      </c>
      <c r="D4893" s="1" t="str">
        <f>"CK2024102119505"</f>
        <v>CK2024102119505</v>
      </c>
      <c r="E4893" s="1" t="str">
        <f>"2429402102579566"</f>
        <v>2429402102579566</v>
      </c>
      <c r="F4893" s="1" t="str">
        <f t="shared" si="1582"/>
        <v>花都四部-凤凰仓</v>
      </c>
      <c r="G4893" s="1" t="str">
        <f t="shared" si="1573"/>
        <v>卡卡杜佳旺专卖店（快手店）</v>
      </c>
      <c r="H4893" s="1" t="str">
        <f t="shared" si="1583"/>
        <v>正常订单</v>
      </c>
      <c r="I4893" s="1" t="str">
        <f t="shared" si="1584"/>
        <v>已发货</v>
      </c>
      <c r="J4893" s="1" t="str">
        <f t="shared" si="1590"/>
        <v>5</v>
      </c>
      <c r="K4893" s="1">
        <v>2</v>
      </c>
      <c r="L4893" s="1" t="s">
        <v>24</v>
      </c>
      <c r="M4893" s="1" t="str">
        <f>"福建省 龙岩市 上杭县 南阳镇"</f>
        <v>福建省 龙岩市 上杭县 南阳镇</v>
      </c>
      <c r="N4893" s="1" t="str">
        <f t="shared" si="1574"/>
        <v>凡华云仓-城南圆通-快手</v>
      </c>
      <c r="O4893" s="5" t="s">
        <v>4921</v>
      </c>
      <c r="P4893" s="6">
        <v>0.59</v>
      </c>
      <c r="Q4893" s="11">
        <f t="shared" si="1591"/>
        <v>2.4499999999999997</v>
      </c>
      <c r="R4893" s="11"/>
      <c r="S4893" s="11"/>
      <c r="T4893" s="11"/>
      <c r="U4893" s="11">
        <f t="shared" si="1580"/>
        <v>2.4499999999999997</v>
      </c>
      <c r="V4893" t="s">
        <v>15</v>
      </c>
      <c r="W4893">
        <v>2.4500000000000002</v>
      </c>
      <c r="X4893" s="1" t="s">
        <v>24</v>
      </c>
    </row>
    <row r="4894" spans="1:24" x14ac:dyDescent="0.25">
      <c r="A4894" s="1" t="str">
        <f t="shared" si="1581"/>
        <v>卡卡杜-凤凰仓</v>
      </c>
      <c r="B4894" s="1" t="str">
        <f>"CK202410214889"</f>
        <v>CK202410214889</v>
      </c>
      <c r="C4894" s="1" t="str">
        <f>"DD2024102110992"</f>
        <v>DD2024102110992</v>
      </c>
      <c r="D4894" s="1" t="str">
        <f>"CK2024102119504"</f>
        <v>CK2024102119504</v>
      </c>
      <c r="E4894" s="1" t="str">
        <f>"2429402022531918"</f>
        <v>2429402022531918</v>
      </c>
      <c r="F4894" s="1" t="str">
        <f t="shared" si="1582"/>
        <v>花都四部-凤凰仓</v>
      </c>
      <c r="G4894" s="1" t="str">
        <f t="shared" si="1573"/>
        <v>卡卡杜佳旺专卖店（快手店）</v>
      </c>
      <c r="H4894" s="1" t="str">
        <f t="shared" si="1583"/>
        <v>正常订单</v>
      </c>
      <c r="I4894" s="1" t="str">
        <f t="shared" si="1584"/>
        <v>已发货</v>
      </c>
      <c r="J4894" s="1" t="str">
        <f t="shared" ref="J4894:J4897" si="1593">"3"</f>
        <v>3</v>
      </c>
      <c r="K4894" s="1">
        <v>2</v>
      </c>
      <c r="L4894" s="1" t="s">
        <v>18</v>
      </c>
      <c r="M4894" s="1" t="str">
        <f>"广东省 深圳市 宝安区 福永街道"</f>
        <v>广东省 深圳市 宝安区 福永街道</v>
      </c>
      <c r="N4894" s="1" t="str">
        <f t="shared" si="1574"/>
        <v>凡华云仓-城南圆通-快手</v>
      </c>
      <c r="O4894" s="5" t="s">
        <v>4922</v>
      </c>
      <c r="P4894" s="6">
        <v>0.35</v>
      </c>
      <c r="Q4894" s="11">
        <v>2.2999999999999998</v>
      </c>
      <c r="R4894" s="11"/>
      <c r="S4894" s="11"/>
      <c r="T4894" s="11"/>
      <c r="U4894" s="11">
        <f t="shared" si="1580"/>
        <v>2.2999999999999998</v>
      </c>
      <c r="W4894">
        <v>2.5</v>
      </c>
      <c r="X4894" s="1" t="s">
        <v>18</v>
      </c>
    </row>
    <row r="4895" spans="1:24" x14ac:dyDescent="0.25">
      <c r="A4895" s="1" t="str">
        <f t="shared" si="1581"/>
        <v>卡卡杜-凤凰仓</v>
      </c>
      <c r="B4895" s="1" t="str">
        <f>"CK202410214890"</f>
        <v>CK202410214890</v>
      </c>
      <c r="C4895" s="1" t="str">
        <f>"DD2024102110995"</f>
        <v>DD2024102110995</v>
      </c>
      <c r="D4895" s="1" t="str">
        <f>"CK2024102119503"</f>
        <v>CK2024102119503</v>
      </c>
      <c r="E4895" s="1" t="str">
        <f>"2429402177634698"</f>
        <v>2429402177634698</v>
      </c>
      <c r="F4895" s="1" t="str">
        <f t="shared" si="1582"/>
        <v>花都四部-凤凰仓</v>
      </c>
      <c r="G4895" s="1" t="str">
        <f t="shared" si="1573"/>
        <v>卡卡杜佳旺专卖店（快手店）</v>
      </c>
      <c r="H4895" s="1" t="str">
        <f t="shared" si="1583"/>
        <v>正常订单</v>
      </c>
      <c r="I4895" s="1" t="str">
        <f t="shared" si="1584"/>
        <v>已发货</v>
      </c>
      <c r="J4895" s="1" t="str">
        <f t="shared" si="1593"/>
        <v>3</v>
      </c>
      <c r="K4895" s="1">
        <v>2</v>
      </c>
      <c r="L4895" s="1" t="s">
        <v>187</v>
      </c>
      <c r="M4895" s="1" t="str">
        <f>"吉林省 通化市 东昌区 光明街道"</f>
        <v>吉林省 通化市 东昌区 光明街道</v>
      </c>
      <c r="N4895" s="1" t="str">
        <f t="shared" si="1574"/>
        <v>凡华云仓-城南圆通-快手</v>
      </c>
      <c r="O4895" s="5" t="s">
        <v>4923</v>
      </c>
      <c r="P4895" s="6">
        <v>0.35</v>
      </c>
      <c r="Q4895" s="11">
        <v>2.2999999999999998</v>
      </c>
      <c r="R4895" s="11"/>
      <c r="S4895" s="11"/>
      <c r="T4895" s="11"/>
      <c r="U4895" s="11">
        <f t="shared" si="1580"/>
        <v>2.2999999999999998</v>
      </c>
      <c r="W4895">
        <v>2.5</v>
      </c>
      <c r="X4895" s="1" t="s">
        <v>187</v>
      </c>
    </row>
    <row r="4896" spans="1:24" x14ac:dyDescent="0.25">
      <c r="A4896" s="1" t="str">
        <f t="shared" si="1581"/>
        <v>卡卡杜-凤凰仓</v>
      </c>
      <c r="B4896" s="1" t="str">
        <f>"CK202410214876"</f>
        <v>CK202410214876</v>
      </c>
      <c r="C4896" s="1" t="str">
        <f>"DD2024102110979"</f>
        <v>DD2024102110979</v>
      </c>
      <c r="D4896" s="1" t="str">
        <f>"CK2024102119502"</f>
        <v>CK2024102119502</v>
      </c>
      <c r="E4896" s="1" t="str">
        <f>"2429401701033248"</f>
        <v>2429401701033248</v>
      </c>
      <c r="F4896" s="1" t="str">
        <f t="shared" si="1582"/>
        <v>花都四部-凤凰仓</v>
      </c>
      <c r="G4896" s="1" t="str">
        <f t="shared" si="1573"/>
        <v>卡卡杜佳旺专卖店（快手店）</v>
      </c>
      <c r="H4896" s="1" t="str">
        <f t="shared" si="1583"/>
        <v>正常订单</v>
      </c>
      <c r="I4896" s="1" t="str">
        <f t="shared" si="1584"/>
        <v>已发货</v>
      </c>
      <c r="J4896" s="1" t="str">
        <f t="shared" si="1593"/>
        <v>3</v>
      </c>
      <c r="K4896" s="1">
        <v>2</v>
      </c>
      <c r="L4896" s="1" t="s">
        <v>54</v>
      </c>
      <c r="M4896" s="1" t="str">
        <f>"黑龙江省 大庆市 肇州县 肇州镇"</f>
        <v>黑龙江省 大庆市 肇州县 肇州镇</v>
      </c>
      <c r="N4896" s="1" t="str">
        <f t="shared" si="1574"/>
        <v>凡华云仓-城南圆通-快手</v>
      </c>
      <c r="O4896" s="5" t="s">
        <v>4924</v>
      </c>
      <c r="P4896" s="6">
        <v>0.35</v>
      </c>
      <c r="Q4896" s="11">
        <v>2.2999999999999998</v>
      </c>
      <c r="R4896" s="11"/>
      <c r="S4896" s="11"/>
      <c r="T4896" s="11"/>
      <c r="U4896" s="11">
        <f t="shared" si="1580"/>
        <v>2.2999999999999998</v>
      </c>
      <c r="W4896">
        <v>2.5</v>
      </c>
      <c r="X4896" s="1" t="s">
        <v>54</v>
      </c>
    </row>
    <row r="4897" spans="1:24" x14ac:dyDescent="0.25">
      <c r="A4897" s="1" t="str">
        <f t="shared" si="1581"/>
        <v>卡卡杜-凤凰仓</v>
      </c>
      <c r="B4897" s="1" t="str">
        <f>"CK202410214875"</f>
        <v>CK202410214875</v>
      </c>
      <c r="C4897" s="1" t="str">
        <f>"DD2024102110978"</f>
        <v>DD2024102110978</v>
      </c>
      <c r="D4897" s="1" t="str">
        <f>"CK2024102119501"</f>
        <v>CK2024102119501</v>
      </c>
      <c r="E4897" s="1" t="str">
        <f>"2429401769424718"</f>
        <v>2429401769424718</v>
      </c>
      <c r="F4897" s="1" t="str">
        <f t="shared" si="1582"/>
        <v>花都四部-凤凰仓</v>
      </c>
      <c r="G4897" s="1" t="str">
        <f t="shared" si="1573"/>
        <v>卡卡杜佳旺专卖店（快手店）</v>
      </c>
      <c r="H4897" s="1" t="str">
        <f t="shared" si="1583"/>
        <v>正常订单</v>
      </c>
      <c r="I4897" s="1" t="str">
        <f t="shared" si="1584"/>
        <v>已发货</v>
      </c>
      <c r="J4897" s="1" t="str">
        <f t="shared" si="1593"/>
        <v>3</v>
      </c>
      <c r="K4897" s="1">
        <v>2</v>
      </c>
      <c r="L4897" s="1" t="s">
        <v>18</v>
      </c>
      <c r="M4897" s="1" t="str">
        <f>"广东省 佛山市 顺德区 北滘镇"</f>
        <v>广东省 佛山市 顺德区 北滘镇</v>
      </c>
      <c r="N4897" s="1" t="str">
        <f t="shared" si="1574"/>
        <v>凡华云仓-城南圆通-快手</v>
      </c>
      <c r="O4897" s="5" t="s">
        <v>4925</v>
      </c>
      <c r="P4897" s="6">
        <v>0.35</v>
      </c>
      <c r="Q4897" s="11">
        <v>2.2999999999999998</v>
      </c>
      <c r="R4897" s="11"/>
      <c r="S4897" s="11"/>
      <c r="T4897" s="11"/>
      <c r="U4897" s="11">
        <f t="shared" si="1580"/>
        <v>2.2999999999999998</v>
      </c>
      <c r="W4897">
        <v>2.5</v>
      </c>
      <c r="X4897" s="1" t="s">
        <v>18</v>
      </c>
    </row>
    <row r="4898" spans="1:24" x14ac:dyDescent="0.25">
      <c r="A4898" s="1" t="str">
        <f t="shared" si="1581"/>
        <v>卡卡杜-凤凰仓</v>
      </c>
      <c r="B4898" s="1" t="str">
        <f>"CK202410215099"</f>
        <v>CK202410215099</v>
      </c>
      <c r="C4898" s="1" t="str">
        <f>"DD2024102111203"</f>
        <v>DD2024102111203</v>
      </c>
      <c r="D4898" s="1" t="str">
        <f>"CK2024102119500"</f>
        <v>CK2024102119500</v>
      </c>
      <c r="E4898" s="1" t="str">
        <f>"2429401846312833"</f>
        <v>2429401846312833</v>
      </c>
      <c r="F4898" s="1" t="str">
        <f t="shared" si="1582"/>
        <v>花都四部-凤凰仓</v>
      </c>
      <c r="G4898" s="1" t="str">
        <f t="shared" si="1573"/>
        <v>卡卡杜佳旺专卖店（快手店）</v>
      </c>
      <c r="H4898" s="1" t="str">
        <f t="shared" si="1583"/>
        <v>正常订单</v>
      </c>
      <c r="I4898" s="1" t="str">
        <f t="shared" si="1584"/>
        <v>已发货</v>
      </c>
      <c r="J4898" s="1" t="str">
        <f>"5"</f>
        <v>5</v>
      </c>
      <c r="K4898" s="1">
        <v>2</v>
      </c>
      <c r="L4898" s="1" t="s">
        <v>161</v>
      </c>
      <c r="M4898" s="1" t="str">
        <f>"四川省 乐山市 峨眉山市 绥山镇"</f>
        <v>四川省 乐山市 峨眉山市 绥山镇</v>
      </c>
      <c r="N4898" s="1" t="str">
        <f t="shared" si="1574"/>
        <v>凡华云仓-城南圆通-快手</v>
      </c>
      <c r="O4898" s="5" t="s">
        <v>4926</v>
      </c>
      <c r="P4898" s="6">
        <v>0.59</v>
      </c>
      <c r="Q4898" s="11">
        <f>CEILING(P4898-0.5,0.1)*10*0.15+2.3</f>
        <v>2.4499999999999997</v>
      </c>
      <c r="R4898" s="11"/>
      <c r="S4898" s="11"/>
      <c r="T4898" s="11"/>
      <c r="U4898" s="11">
        <f t="shared" si="1580"/>
        <v>2.4499999999999997</v>
      </c>
      <c r="V4898" t="s">
        <v>15</v>
      </c>
      <c r="W4898">
        <v>2.4500000000000002</v>
      </c>
      <c r="X4898" s="1" t="s">
        <v>161</v>
      </c>
    </row>
    <row r="4899" spans="1:24" x14ac:dyDescent="0.25">
      <c r="A4899" s="1" t="str">
        <f t="shared" si="1581"/>
        <v>卡卡杜-凤凰仓</v>
      </c>
      <c r="B4899" s="1" t="str">
        <f>"CK202410215102"</f>
        <v>CK202410215102</v>
      </c>
      <c r="C4899" s="1" t="str">
        <f>"DD2024102111207"</f>
        <v>DD2024102111207</v>
      </c>
      <c r="D4899" s="1" t="str">
        <f>"CK2024102119499"</f>
        <v>CK2024102119499</v>
      </c>
      <c r="E4899" s="1" t="str">
        <f>"2429401692011413"</f>
        <v>2429401692011413</v>
      </c>
      <c r="F4899" s="1" t="str">
        <f t="shared" si="1582"/>
        <v>花都四部-凤凰仓</v>
      </c>
      <c r="G4899" s="1" t="str">
        <f t="shared" si="1573"/>
        <v>卡卡杜佳旺专卖店（快手店）</v>
      </c>
      <c r="H4899" s="1" t="str">
        <f t="shared" si="1583"/>
        <v>正常订单</v>
      </c>
      <c r="I4899" s="1" t="str">
        <f t="shared" si="1584"/>
        <v>已发货</v>
      </c>
      <c r="J4899" s="1" t="str">
        <f>"5"</f>
        <v>5</v>
      </c>
      <c r="K4899" s="1">
        <v>2</v>
      </c>
      <c r="L4899" s="1" t="s">
        <v>1495</v>
      </c>
      <c r="M4899" s="1" t="str">
        <f>"天津市 天津市 河东区 东新街道"</f>
        <v>天津市 天津市 河东区 东新街道</v>
      </c>
      <c r="N4899" s="1" t="str">
        <f t="shared" si="1574"/>
        <v>凡华云仓-城南圆通-快手</v>
      </c>
      <c r="O4899" s="5" t="s">
        <v>4927</v>
      </c>
      <c r="P4899" s="6">
        <v>0.59</v>
      </c>
      <c r="Q4899" s="11">
        <f>CEILING(P4899-0.5,0.1)*10*0.15+2.3</f>
        <v>2.4499999999999997</v>
      </c>
      <c r="R4899" s="11"/>
      <c r="S4899" s="11"/>
      <c r="T4899" s="11"/>
      <c r="U4899" s="11">
        <f t="shared" si="1580"/>
        <v>2.4499999999999997</v>
      </c>
      <c r="V4899" t="s">
        <v>15</v>
      </c>
      <c r="W4899">
        <v>2.4500000000000002</v>
      </c>
      <c r="X4899" s="1" t="s">
        <v>1495</v>
      </c>
    </row>
    <row r="4900" spans="1:24" x14ac:dyDescent="0.25">
      <c r="A4900" s="1" t="str">
        <f t="shared" si="1581"/>
        <v>卡卡杜-凤凰仓</v>
      </c>
      <c r="B4900" s="1" t="str">
        <f>"CK202410214883"</f>
        <v>CK202410214883</v>
      </c>
      <c r="C4900" s="1" t="str">
        <f>"DD2024102110986"</f>
        <v>DD2024102110986</v>
      </c>
      <c r="D4900" s="1" t="str">
        <f>"CK2024102119498"</f>
        <v>CK2024102119498</v>
      </c>
      <c r="E4900" s="1" t="str">
        <f>"2429402160689517"</f>
        <v>2429402160689517</v>
      </c>
      <c r="F4900" s="1" t="str">
        <f t="shared" si="1582"/>
        <v>花都四部-凤凰仓</v>
      </c>
      <c r="G4900" s="1" t="str">
        <f t="shared" si="1573"/>
        <v>卡卡杜佳旺专卖店（快手店）</v>
      </c>
      <c r="H4900" s="1" t="str">
        <f t="shared" si="1583"/>
        <v>正常订单</v>
      </c>
      <c r="I4900" s="1" t="str">
        <f t="shared" si="1584"/>
        <v>已发货</v>
      </c>
      <c r="J4900" s="1" t="str">
        <f t="shared" ref="J4900:J4903" si="1594">"3"</f>
        <v>3</v>
      </c>
      <c r="K4900" s="1">
        <v>2</v>
      </c>
      <c r="L4900" s="1" t="s">
        <v>80</v>
      </c>
      <c r="M4900" s="1" t="str">
        <f>"河南省 商丘市 睢阳区 新城街道"</f>
        <v>河南省 商丘市 睢阳区 新城街道</v>
      </c>
      <c r="N4900" s="1" t="str">
        <f t="shared" si="1574"/>
        <v>凡华云仓-城南圆通-快手</v>
      </c>
      <c r="O4900" s="5" t="s">
        <v>4928</v>
      </c>
      <c r="P4900" s="6">
        <v>0.35</v>
      </c>
      <c r="Q4900" s="11">
        <v>2.2999999999999998</v>
      </c>
      <c r="R4900" s="11"/>
      <c r="S4900" s="11"/>
      <c r="T4900" s="11"/>
      <c r="U4900" s="11">
        <f t="shared" si="1580"/>
        <v>2.2999999999999998</v>
      </c>
      <c r="W4900">
        <v>2.5</v>
      </c>
      <c r="X4900" s="1" t="s">
        <v>80</v>
      </c>
    </row>
    <row r="4901" spans="1:24" x14ac:dyDescent="0.25">
      <c r="A4901" s="1" t="str">
        <f t="shared" si="1581"/>
        <v>卡卡杜-凤凰仓</v>
      </c>
      <c r="B4901" s="1" t="str">
        <f>"CK202410214884"</f>
        <v>CK202410214884</v>
      </c>
      <c r="C4901" s="1" t="str">
        <f>"DD2024102110987"</f>
        <v>DD2024102110987</v>
      </c>
      <c r="D4901" s="1" t="str">
        <f>"CK2024102119497"</f>
        <v>CK2024102119497</v>
      </c>
      <c r="E4901" s="1" t="str">
        <f>"2429402167976849"</f>
        <v>2429402167976849</v>
      </c>
      <c r="F4901" s="1" t="str">
        <f t="shared" si="1582"/>
        <v>花都四部-凤凰仓</v>
      </c>
      <c r="G4901" s="1" t="str">
        <f t="shared" si="1573"/>
        <v>卡卡杜佳旺专卖店（快手店）</v>
      </c>
      <c r="H4901" s="1" t="str">
        <f t="shared" si="1583"/>
        <v>正常订单</v>
      </c>
      <c r="I4901" s="1" t="str">
        <f t="shared" si="1584"/>
        <v>已发货</v>
      </c>
      <c r="J4901" s="1" t="str">
        <f t="shared" si="1594"/>
        <v>3</v>
      </c>
      <c r="K4901" s="1">
        <v>2</v>
      </c>
      <c r="L4901" s="1" t="s">
        <v>161</v>
      </c>
      <c r="M4901" s="1" t="str">
        <f>"四川省 成都市 新都区 斑竹园街道"</f>
        <v>四川省 成都市 新都区 斑竹园街道</v>
      </c>
      <c r="N4901" s="1" t="str">
        <f t="shared" si="1574"/>
        <v>凡华云仓-城南圆通-快手</v>
      </c>
      <c r="O4901" s="5" t="s">
        <v>4929</v>
      </c>
      <c r="P4901" s="6">
        <v>0.35</v>
      </c>
      <c r="Q4901" s="11">
        <v>2.2999999999999998</v>
      </c>
      <c r="R4901" s="11"/>
      <c r="S4901" s="11"/>
      <c r="T4901" s="11"/>
      <c r="U4901" s="11">
        <f t="shared" si="1580"/>
        <v>2.2999999999999998</v>
      </c>
      <c r="W4901">
        <v>2.5</v>
      </c>
      <c r="X4901" s="1" t="s">
        <v>161</v>
      </c>
    </row>
    <row r="4902" spans="1:24" x14ac:dyDescent="0.25">
      <c r="A4902" s="1" t="str">
        <f t="shared" si="1581"/>
        <v>卡卡杜-凤凰仓</v>
      </c>
      <c r="B4902" s="1" t="str">
        <f>"CK202410214881"</f>
        <v>CK202410214881</v>
      </c>
      <c r="C4902" s="1" t="str">
        <f>"DD2024102110984"</f>
        <v>DD2024102110984</v>
      </c>
      <c r="D4902" s="1" t="str">
        <f>"CK2024102119496"</f>
        <v>CK2024102119496</v>
      </c>
      <c r="E4902" s="1" t="str">
        <f>"2429402082329791"</f>
        <v>2429402082329791</v>
      </c>
      <c r="F4902" s="1" t="str">
        <f t="shared" si="1582"/>
        <v>花都四部-凤凰仓</v>
      </c>
      <c r="G4902" s="1" t="str">
        <f t="shared" si="1573"/>
        <v>卡卡杜佳旺专卖店（快手店）</v>
      </c>
      <c r="H4902" s="1" t="str">
        <f t="shared" si="1583"/>
        <v>正常订单</v>
      </c>
      <c r="I4902" s="1" t="str">
        <f t="shared" si="1584"/>
        <v>已发货</v>
      </c>
      <c r="J4902" s="1" t="str">
        <f t="shared" si="1594"/>
        <v>3</v>
      </c>
      <c r="K4902" s="1">
        <v>2</v>
      </c>
      <c r="L4902" s="1" t="s">
        <v>18</v>
      </c>
      <c r="M4902" s="1" t="str">
        <f>"广东省 江门市 开平市 百合镇"</f>
        <v>广东省 江门市 开平市 百合镇</v>
      </c>
      <c r="N4902" s="1" t="str">
        <f t="shared" si="1574"/>
        <v>凡华云仓-城南圆通-快手</v>
      </c>
      <c r="O4902" s="5" t="s">
        <v>4930</v>
      </c>
      <c r="P4902" s="6">
        <v>0.35</v>
      </c>
      <c r="Q4902" s="11">
        <v>2.2999999999999998</v>
      </c>
      <c r="R4902" s="11"/>
      <c r="S4902" s="11"/>
      <c r="T4902" s="11"/>
      <c r="U4902" s="11">
        <f t="shared" si="1580"/>
        <v>2.2999999999999998</v>
      </c>
      <c r="W4902">
        <v>2.5</v>
      </c>
      <c r="X4902" s="1" t="s">
        <v>18</v>
      </c>
    </row>
    <row r="4903" spans="1:24" x14ac:dyDescent="0.25">
      <c r="A4903" s="1" t="str">
        <f t="shared" si="1581"/>
        <v>卡卡杜-凤凰仓</v>
      </c>
      <c r="B4903" s="1" t="str">
        <f>"CK2024102025872"</f>
        <v>CK2024102025872</v>
      </c>
      <c r="C4903" s="1" t="str">
        <f>"DD2024102048457"</f>
        <v>DD2024102048457</v>
      </c>
      <c r="D4903" s="1" t="str">
        <f>"CK2024102047674"</f>
        <v>CK2024102047674</v>
      </c>
      <c r="E4903" s="1" t="str">
        <f>"2429401602307119"</f>
        <v>2429401602307119</v>
      </c>
      <c r="F4903" s="1" t="str">
        <f t="shared" si="1582"/>
        <v>花都四部-凤凰仓</v>
      </c>
      <c r="G4903" s="1" t="str">
        <f t="shared" si="1573"/>
        <v>卡卡杜佳旺专卖店（快手店）</v>
      </c>
      <c r="H4903" s="1" t="str">
        <f t="shared" si="1583"/>
        <v>正常订单</v>
      </c>
      <c r="I4903" s="1" t="str">
        <f t="shared" si="1584"/>
        <v>已发货</v>
      </c>
      <c r="J4903" s="1" t="str">
        <f t="shared" si="1594"/>
        <v>3</v>
      </c>
      <c r="K4903" s="1">
        <v>2</v>
      </c>
      <c r="L4903" s="1" t="s">
        <v>66</v>
      </c>
      <c r="M4903" s="1" t="str">
        <f>"内蒙古自治区 呼伦贝尔市 扎赉诺尔区 第四街道"</f>
        <v>内蒙古自治区 呼伦贝尔市 扎赉诺尔区 第四街道</v>
      </c>
      <c r="N4903" s="1" t="str">
        <f t="shared" si="1574"/>
        <v>凡华云仓-城南圆通-快手</v>
      </c>
      <c r="O4903" s="5" t="s">
        <v>4931</v>
      </c>
      <c r="P4903" s="6">
        <v>0.35</v>
      </c>
      <c r="Q4903" s="11">
        <v>2.2999999999999998</v>
      </c>
      <c r="R4903" s="11"/>
      <c r="S4903" s="11"/>
      <c r="T4903" s="11"/>
      <c r="U4903" s="11">
        <f t="shared" si="1580"/>
        <v>2.2999999999999998</v>
      </c>
      <c r="W4903">
        <v>2.5</v>
      </c>
      <c r="X4903" s="1" t="s">
        <v>66</v>
      </c>
    </row>
    <row r="4904" spans="1:24" x14ac:dyDescent="0.25">
      <c r="A4904" s="1" t="str">
        <f t="shared" si="1581"/>
        <v>卡卡杜-凤凰仓</v>
      </c>
      <c r="B4904" s="1" t="str">
        <f>"CK2024102025868"</f>
        <v>CK2024102025868</v>
      </c>
      <c r="C4904" s="1" t="str">
        <f>"DD2024102048456"</f>
        <v>DD2024102048456</v>
      </c>
      <c r="D4904" s="1" t="str">
        <f>"CK2024102047673"</f>
        <v>CK2024102047673</v>
      </c>
      <c r="E4904" s="1" t="str">
        <f>"2429401847849281"</f>
        <v>2429401847849281</v>
      </c>
      <c r="F4904" s="1" t="str">
        <f t="shared" si="1582"/>
        <v>花都四部-凤凰仓</v>
      </c>
      <c r="G4904" s="1" t="str">
        <f t="shared" si="1573"/>
        <v>卡卡杜佳旺专卖店（快手店）</v>
      </c>
      <c r="H4904" s="1" t="str">
        <f t="shared" si="1583"/>
        <v>正常订单</v>
      </c>
      <c r="I4904" s="1" t="str">
        <f t="shared" si="1584"/>
        <v>已发货</v>
      </c>
      <c r="J4904" s="1" t="str">
        <f>"5"</f>
        <v>5</v>
      </c>
      <c r="K4904" s="1">
        <v>2</v>
      </c>
      <c r="L4904" s="1" t="s">
        <v>161</v>
      </c>
      <c r="M4904" s="1" t="str">
        <f>"四川省 成都市 金牛区 驷马桥街道"</f>
        <v>四川省 成都市 金牛区 驷马桥街道</v>
      </c>
      <c r="N4904" s="1" t="str">
        <f t="shared" si="1574"/>
        <v>凡华云仓-城南圆通-快手</v>
      </c>
      <c r="O4904" s="5" t="s">
        <v>4932</v>
      </c>
      <c r="P4904" s="6">
        <v>0.59</v>
      </c>
      <c r="Q4904" s="11">
        <f>CEILING(P4904-0.5,0.1)*10*0.15+2.3</f>
        <v>2.4499999999999997</v>
      </c>
      <c r="R4904" s="11"/>
      <c r="S4904" s="11"/>
      <c r="T4904" s="11"/>
      <c r="U4904" s="11">
        <f t="shared" si="1580"/>
        <v>2.4499999999999997</v>
      </c>
      <c r="V4904" t="s">
        <v>15</v>
      </c>
      <c r="W4904">
        <v>2.4500000000000002</v>
      </c>
      <c r="X4904" s="1" t="s">
        <v>161</v>
      </c>
    </row>
    <row r="4905" spans="1:24" x14ac:dyDescent="0.25">
      <c r="A4905" s="1" t="str">
        <f t="shared" si="1581"/>
        <v>卡卡杜-凤凰仓</v>
      </c>
      <c r="B4905" s="1" t="str">
        <f>"CK2024102025869"</f>
        <v>CK2024102025869</v>
      </c>
      <c r="C4905" s="1" t="str">
        <f>"DD2024102048455"</f>
        <v>DD2024102048455</v>
      </c>
      <c r="D4905" s="1" t="str">
        <f>"CK2024102047672"</f>
        <v>CK2024102047672</v>
      </c>
      <c r="E4905" s="1" t="str">
        <f>"2429402168593290"</f>
        <v>2429402168593290</v>
      </c>
      <c r="F4905" s="1" t="str">
        <f t="shared" si="1582"/>
        <v>花都四部-凤凰仓</v>
      </c>
      <c r="G4905" s="1" t="str">
        <f t="shared" si="1573"/>
        <v>卡卡杜佳旺专卖店（快手店）</v>
      </c>
      <c r="H4905" s="1" t="str">
        <f t="shared" si="1583"/>
        <v>正常订单</v>
      </c>
      <c r="I4905" s="1" t="str">
        <f t="shared" si="1584"/>
        <v>已发货</v>
      </c>
      <c r="J4905" s="1" t="str">
        <f t="shared" ref="J4905:J4914" si="1595">"3"</f>
        <v>3</v>
      </c>
      <c r="K4905" s="1">
        <v>2</v>
      </c>
      <c r="L4905" s="1" t="s">
        <v>109</v>
      </c>
      <c r="M4905" s="1" t="str">
        <f>"山西省 长治市 上党区 上党经济技术开发区"</f>
        <v>山西省 长治市 上党区 上党经济技术开发区</v>
      </c>
      <c r="N4905" s="1" t="str">
        <f t="shared" si="1574"/>
        <v>凡华云仓-城南圆通-快手</v>
      </c>
      <c r="O4905" s="5" t="s">
        <v>4933</v>
      </c>
      <c r="P4905" s="6">
        <v>0.35</v>
      </c>
      <c r="Q4905" s="11">
        <v>2.2999999999999998</v>
      </c>
      <c r="R4905" s="11"/>
      <c r="S4905" s="11"/>
      <c r="T4905" s="11"/>
      <c r="U4905" s="11">
        <f t="shared" si="1580"/>
        <v>2.2999999999999998</v>
      </c>
      <c r="W4905">
        <v>2.5</v>
      </c>
      <c r="X4905" s="1" t="s">
        <v>109</v>
      </c>
    </row>
    <row r="4906" spans="1:24" x14ac:dyDescent="0.25">
      <c r="A4906" s="1" t="str">
        <f t="shared" si="1581"/>
        <v>卡卡杜-凤凰仓</v>
      </c>
      <c r="B4906" s="1" t="str">
        <f>"CK2024102025870"</f>
        <v>CK2024102025870</v>
      </c>
      <c r="C4906" s="1" t="str">
        <f>"DD2024102048452"</f>
        <v>DD2024102048452</v>
      </c>
      <c r="D4906" s="1" t="str">
        <f>"CK2024102047671"</f>
        <v>CK2024102047671</v>
      </c>
      <c r="E4906" s="1" t="str">
        <f>"2429401681513205"</f>
        <v>2429401681513205</v>
      </c>
      <c r="F4906" s="1" t="str">
        <f t="shared" si="1582"/>
        <v>花都四部-凤凰仓</v>
      </c>
      <c r="G4906" s="1" t="str">
        <f t="shared" si="1573"/>
        <v>卡卡杜佳旺专卖店（快手店）</v>
      </c>
      <c r="H4906" s="1" t="str">
        <f t="shared" si="1583"/>
        <v>正常订单</v>
      </c>
      <c r="I4906" s="1" t="str">
        <f t="shared" si="1584"/>
        <v>已发货</v>
      </c>
      <c r="J4906" s="1" t="str">
        <f t="shared" si="1595"/>
        <v>3</v>
      </c>
      <c r="K4906" s="1">
        <v>2</v>
      </c>
      <c r="L4906" s="1" t="s">
        <v>161</v>
      </c>
      <c r="M4906" s="1" t="str">
        <f>"四川省 乐山市 峨眉山市 绥山镇"</f>
        <v>四川省 乐山市 峨眉山市 绥山镇</v>
      </c>
      <c r="N4906" s="1" t="str">
        <f t="shared" si="1574"/>
        <v>凡华云仓-城南圆通-快手</v>
      </c>
      <c r="O4906" s="5" t="s">
        <v>4934</v>
      </c>
      <c r="P4906" s="6">
        <v>0.35</v>
      </c>
      <c r="Q4906" s="11">
        <v>2.2999999999999998</v>
      </c>
      <c r="R4906" s="11"/>
      <c r="S4906" s="11"/>
      <c r="T4906" s="11"/>
      <c r="U4906" s="11">
        <f t="shared" si="1580"/>
        <v>2.2999999999999998</v>
      </c>
      <c r="W4906">
        <v>2.5</v>
      </c>
      <c r="X4906" s="1" t="s">
        <v>161</v>
      </c>
    </row>
    <row r="4907" spans="1:24" x14ac:dyDescent="0.25">
      <c r="A4907" s="1" t="str">
        <f t="shared" si="1581"/>
        <v>卡卡杜-凤凰仓</v>
      </c>
      <c r="B4907" s="1" t="str">
        <f>"CK2024102025871"</f>
        <v>CK2024102025871</v>
      </c>
      <c r="C4907" s="1" t="str">
        <f>"DD2024102048453"</f>
        <v>DD2024102048453</v>
      </c>
      <c r="D4907" s="1" t="str">
        <f>"CK2024102047670"</f>
        <v>CK2024102047670</v>
      </c>
      <c r="E4907" s="1" t="str">
        <f>"2429401601570411"</f>
        <v>2429401601570411</v>
      </c>
      <c r="F4907" s="1" t="str">
        <f t="shared" si="1582"/>
        <v>花都四部-凤凰仓</v>
      </c>
      <c r="G4907" s="1" t="str">
        <f t="shared" si="1573"/>
        <v>卡卡杜佳旺专卖店（快手店）</v>
      </c>
      <c r="H4907" s="1" t="str">
        <f t="shared" si="1583"/>
        <v>正常订单</v>
      </c>
      <c r="I4907" s="1" t="str">
        <f t="shared" si="1584"/>
        <v>已发货</v>
      </c>
      <c r="J4907" s="1" t="str">
        <f t="shared" si="1595"/>
        <v>3</v>
      </c>
      <c r="K4907" s="1">
        <v>2</v>
      </c>
      <c r="L4907" s="1" t="s">
        <v>20</v>
      </c>
      <c r="M4907" s="1" t="str">
        <f>"浙江省 杭州市 萧山区 新塘街道"</f>
        <v>浙江省 杭州市 萧山区 新塘街道</v>
      </c>
      <c r="N4907" s="1" t="str">
        <f t="shared" si="1574"/>
        <v>凡华云仓-城南圆通-快手</v>
      </c>
      <c r="O4907" s="5" t="s">
        <v>4935</v>
      </c>
      <c r="P4907" s="6">
        <v>0.35</v>
      </c>
      <c r="Q4907" s="11">
        <v>2.2999999999999998</v>
      </c>
      <c r="R4907" s="11"/>
      <c r="S4907" s="11"/>
      <c r="T4907" s="11"/>
      <c r="U4907" s="11">
        <f t="shared" si="1580"/>
        <v>2.2999999999999998</v>
      </c>
      <c r="W4907">
        <v>2.5</v>
      </c>
      <c r="X4907" s="1" t="s">
        <v>20</v>
      </c>
    </row>
    <row r="4908" spans="1:24" x14ac:dyDescent="0.25">
      <c r="A4908" s="1" t="str">
        <f t="shared" si="1581"/>
        <v>卡卡杜-凤凰仓</v>
      </c>
      <c r="B4908" s="1" t="str">
        <f>"CK2024102025878"</f>
        <v>CK2024102025878</v>
      </c>
      <c r="C4908" s="1" t="str">
        <f>"DD2024102048462"</f>
        <v>DD2024102048462</v>
      </c>
      <c r="D4908" s="1" t="str">
        <f>"CK2024102047669"</f>
        <v>CK2024102047669</v>
      </c>
      <c r="E4908" s="1" t="str">
        <f>"2429401690195455"</f>
        <v>2429401690195455</v>
      </c>
      <c r="F4908" s="1" t="str">
        <f t="shared" si="1582"/>
        <v>花都四部-凤凰仓</v>
      </c>
      <c r="G4908" s="1" t="str">
        <f t="shared" si="1573"/>
        <v>卡卡杜佳旺专卖店（快手店）</v>
      </c>
      <c r="H4908" s="1" t="str">
        <f t="shared" si="1583"/>
        <v>正常订单</v>
      </c>
      <c r="I4908" s="1" t="str">
        <f t="shared" si="1584"/>
        <v>已发货</v>
      </c>
      <c r="J4908" s="1" t="str">
        <f t="shared" si="1595"/>
        <v>3</v>
      </c>
      <c r="K4908" s="1">
        <v>2</v>
      </c>
      <c r="L4908" s="1" t="s">
        <v>52</v>
      </c>
      <c r="M4908" s="1" t="str">
        <f>"甘肃省 兰州市 七里河区 八里镇"</f>
        <v>甘肃省 兰州市 七里河区 八里镇</v>
      </c>
      <c r="N4908" s="1" t="str">
        <f t="shared" si="1574"/>
        <v>凡华云仓-城南圆通-快手</v>
      </c>
      <c r="O4908" s="5" t="s">
        <v>4936</v>
      </c>
      <c r="P4908" s="6">
        <v>0.35</v>
      </c>
      <c r="Q4908" s="11">
        <v>2.2999999999999998</v>
      </c>
      <c r="R4908" s="11"/>
      <c r="S4908" s="11"/>
      <c r="T4908" s="11"/>
      <c r="U4908" s="11">
        <f t="shared" si="1580"/>
        <v>2.2999999999999998</v>
      </c>
      <c r="W4908">
        <v>2.5</v>
      </c>
      <c r="X4908" s="1" t="s">
        <v>52</v>
      </c>
    </row>
    <row r="4909" spans="1:24" x14ac:dyDescent="0.25">
      <c r="A4909" s="1" t="str">
        <f t="shared" si="1581"/>
        <v>卡卡杜-凤凰仓</v>
      </c>
      <c r="B4909" s="1" t="str">
        <f>"CK2024102025873"</f>
        <v>CK2024102025873</v>
      </c>
      <c r="C4909" s="1" t="str">
        <f>"DD2024102048458"</f>
        <v>DD2024102048458</v>
      </c>
      <c r="D4909" s="1" t="str">
        <f>"CK2024102047668"</f>
        <v>CK2024102047668</v>
      </c>
      <c r="E4909" s="1" t="str">
        <f>"2429401768761880"</f>
        <v>2429401768761880</v>
      </c>
      <c r="F4909" s="1" t="str">
        <f t="shared" si="1582"/>
        <v>花都四部-凤凰仓</v>
      </c>
      <c r="G4909" s="1" t="str">
        <f t="shared" si="1573"/>
        <v>卡卡杜佳旺专卖店（快手店）</v>
      </c>
      <c r="H4909" s="1" t="str">
        <f t="shared" si="1583"/>
        <v>正常订单</v>
      </c>
      <c r="I4909" s="1" t="str">
        <f t="shared" si="1584"/>
        <v>已发货</v>
      </c>
      <c r="J4909" s="1" t="str">
        <f t="shared" si="1595"/>
        <v>3</v>
      </c>
      <c r="K4909" s="1">
        <v>2</v>
      </c>
      <c r="L4909" s="1" t="s">
        <v>92</v>
      </c>
      <c r="M4909" s="1" t="str">
        <f>"辽宁省 营口市 大石桥市 钢都街道"</f>
        <v>辽宁省 营口市 大石桥市 钢都街道</v>
      </c>
      <c r="N4909" s="1" t="str">
        <f t="shared" si="1574"/>
        <v>凡华云仓-城南圆通-快手</v>
      </c>
      <c r="O4909" s="5" t="s">
        <v>4937</v>
      </c>
      <c r="P4909" s="6">
        <v>0.35</v>
      </c>
      <c r="Q4909" s="11">
        <v>2.2999999999999998</v>
      </c>
      <c r="R4909" s="11"/>
      <c r="S4909" s="11"/>
      <c r="T4909" s="11"/>
      <c r="U4909" s="11">
        <f t="shared" si="1580"/>
        <v>2.2999999999999998</v>
      </c>
      <c r="W4909">
        <v>2.5</v>
      </c>
      <c r="X4909" s="1" t="s">
        <v>92</v>
      </c>
    </row>
    <row r="4910" spans="1:24" x14ac:dyDescent="0.25">
      <c r="A4910" s="1" t="str">
        <f t="shared" si="1581"/>
        <v>卡卡杜-凤凰仓</v>
      </c>
      <c r="B4910" s="1" t="str">
        <f>"CK2024102025876"</f>
        <v>CK2024102025876</v>
      </c>
      <c r="C4910" s="1" t="str">
        <f>"DD2024102048459"</f>
        <v>DD2024102048459</v>
      </c>
      <c r="D4910" s="1" t="str">
        <f>"CK2024102047667"</f>
        <v>CK2024102047667</v>
      </c>
      <c r="E4910" s="1" t="str">
        <f>"2429401932539744"</f>
        <v>2429401932539744</v>
      </c>
      <c r="F4910" s="1" t="str">
        <f t="shared" si="1582"/>
        <v>花都四部-凤凰仓</v>
      </c>
      <c r="G4910" s="1" t="str">
        <f t="shared" si="1573"/>
        <v>卡卡杜佳旺专卖店（快手店）</v>
      </c>
      <c r="H4910" s="1" t="str">
        <f t="shared" si="1583"/>
        <v>正常订单</v>
      </c>
      <c r="I4910" s="1" t="str">
        <f t="shared" si="1584"/>
        <v>已发货</v>
      </c>
      <c r="J4910" s="1" t="str">
        <f t="shared" si="1595"/>
        <v>3</v>
      </c>
      <c r="K4910" s="1">
        <v>2</v>
      </c>
      <c r="L4910" s="1" t="s">
        <v>710</v>
      </c>
      <c r="M4910" s="1" t="str">
        <f>"上海市 上海市 静安区 共和新路街道"</f>
        <v>上海市 上海市 静安区 共和新路街道</v>
      </c>
      <c r="N4910" s="1" t="str">
        <f t="shared" si="1574"/>
        <v>凡华云仓-城南圆通-快手</v>
      </c>
      <c r="O4910" s="5" t="s">
        <v>4938</v>
      </c>
      <c r="P4910" s="6">
        <v>0.35</v>
      </c>
      <c r="Q4910" s="11">
        <v>2.2999999999999998</v>
      </c>
      <c r="R4910" s="11"/>
      <c r="S4910" s="11"/>
      <c r="T4910" s="11"/>
      <c r="U4910" s="11">
        <f t="shared" si="1580"/>
        <v>2.2999999999999998</v>
      </c>
      <c r="W4910">
        <v>2.5</v>
      </c>
      <c r="X4910" s="1" t="s">
        <v>710</v>
      </c>
    </row>
    <row r="4911" spans="1:24" x14ac:dyDescent="0.25">
      <c r="A4911" s="1" t="str">
        <f t="shared" si="1581"/>
        <v>卡卡杜-凤凰仓</v>
      </c>
      <c r="B4911" s="1" t="str">
        <f>"CK2024102025875"</f>
        <v>CK2024102025875</v>
      </c>
      <c r="C4911" s="1" t="str">
        <f>"DD2024102048461"</f>
        <v>DD2024102048461</v>
      </c>
      <c r="D4911" s="1" t="str">
        <f>"CK2024102047666"</f>
        <v>CK2024102047666</v>
      </c>
      <c r="E4911" s="1" t="str">
        <f>"2429401766219448"</f>
        <v>2429401766219448</v>
      </c>
      <c r="F4911" s="1" t="str">
        <f t="shared" si="1582"/>
        <v>花都四部-凤凰仓</v>
      </c>
      <c r="G4911" s="1" t="str">
        <f t="shared" si="1573"/>
        <v>卡卡杜佳旺专卖店（快手店）</v>
      </c>
      <c r="H4911" s="1" t="str">
        <f t="shared" si="1583"/>
        <v>正常订单</v>
      </c>
      <c r="I4911" s="1" t="str">
        <f t="shared" si="1584"/>
        <v>已发货</v>
      </c>
      <c r="J4911" s="1" t="str">
        <f t="shared" si="1595"/>
        <v>3</v>
      </c>
      <c r="K4911" s="1">
        <v>2</v>
      </c>
      <c r="L4911" s="1" t="s">
        <v>22</v>
      </c>
      <c r="M4911" s="1" t="str">
        <f>"江西省 新余市 渝水区 城南街道"</f>
        <v>江西省 新余市 渝水区 城南街道</v>
      </c>
      <c r="N4911" s="1" t="str">
        <f t="shared" si="1574"/>
        <v>凡华云仓-城南圆通-快手</v>
      </c>
      <c r="O4911" s="5" t="s">
        <v>4939</v>
      </c>
      <c r="P4911" s="6">
        <v>0.35</v>
      </c>
      <c r="Q4911" s="11">
        <v>2.2999999999999998</v>
      </c>
      <c r="R4911" s="11"/>
      <c r="S4911" s="11"/>
      <c r="T4911" s="11"/>
      <c r="U4911" s="11">
        <f t="shared" si="1580"/>
        <v>2.2999999999999998</v>
      </c>
      <c r="W4911">
        <v>2.5</v>
      </c>
      <c r="X4911" s="1" t="s">
        <v>22</v>
      </c>
    </row>
    <row r="4912" spans="1:24" x14ac:dyDescent="0.25">
      <c r="A4912" s="1" t="str">
        <f t="shared" si="1581"/>
        <v>卡卡杜-凤凰仓</v>
      </c>
      <c r="B4912" s="1" t="str">
        <f>"CK2024102025867"</f>
        <v>CK2024102025867</v>
      </c>
      <c r="C4912" s="1" t="str">
        <f>"DD2024102048454"</f>
        <v>DD2024102048454</v>
      </c>
      <c r="D4912" s="1" t="str">
        <f>"CK2024102047665"</f>
        <v>CK2024102047665</v>
      </c>
      <c r="E4912" s="1" t="str">
        <f>"6935246549225444546"</f>
        <v>6935246549225444546</v>
      </c>
      <c r="F4912" s="1" t="str">
        <f t="shared" si="1582"/>
        <v>花都四部-凤凰仓</v>
      </c>
      <c r="G4912" s="1" t="str">
        <f t="shared" ref="G4912:G4914" si="1596">"卡卡杜个人护理店（抖店）"</f>
        <v>卡卡杜个人护理店（抖店）</v>
      </c>
      <c r="H4912" s="1" t="str">
        <f t="shared" si="1583"/>
        <v>正常订单</v>
      </c>
      <c r="I4912" s="1" t="str">
        <f t="shared" si="1584"/>
        <v>已发货</v>
      </c>
      <c r="J4912" s="1" t="str">
        <f t="shared" si="1595"/>
        <v>3</v>
      </c>
      <c r="K4912" s="1">
        <v>2</v>
      </c>
      <c r="L4912" s="1" t="s">
        <v>20</v>
      </c>
      <c r="M4912" s="1" t="str">
        <f>"浙江省 宁波市 鄞州区 潘火街道"</f>
        <v>浙江省 宁波市 鄞州区 潘火街道</v>
      </c>
      <c r="N4912" s="1" t="str">
        <f t="shared" ref="N4912:N4914" si="1597">"凡华云仓-城南圆通-抖音"</f>
        <v>凡华云仓-城南圆通-抖音</v>
      </c>
      <c r="O4912" s="5" t="s">
        <v>4940</v>
      </c>
      <c r="P4912" s="6">
        <v>0.35</v>
      </c>
      <c r="Q4912" s="11">
        <v>2.2999999999999998</v>
      </c>
      <c r="R4912" s="11"/>
      <c r="S4912" s="11"/>
      <c r="T4912" s="11"/>
      <c r="U4912" s="11">
        <f t="shared" si="1580"/>
        <v>2.2999999999999998</v>
      </c>
      <c r="W4912">
        <v>2.5</v>
      </c>
      <c r="X4912" s="1" t="s">
        <v>20</v>
      </c>
    </row>
    <row r="4913" spans="1:24" x14ac:dyDescent="0.25">
      <c r="A4913" s="1" t="str">
        <f t="shared" si="1581"/>
        <v>卡卡杜-凤凰仓</v>
      </c>
      <c r="B4913" s="1" t="str">
        <f>"CK2024102025877"</f>
        <v>CK2024102025877</v>
      </c>
      <c r="C4913" s="1" t="str">
        <f>"DD2024102048460"</f>
        <v>DD2024102048460</v>
      </c>
      <c r="D4913" s="1" t="str">
        <f>"CK2024102047664"</f>
        <v>CK2024102047664</v>
      </c>
      <c r="E4913" s="1" t="str">
        <f>"6935237635463386364"</f>
        <v>6935237635463386364</v>
      </c>
      <c r="F4913" s="1" t="str">
        <f t="shared" si="1582"/>
        <v>花都四部-凤凰仓</v>
      </c>
      <c r="G4913" s="1" t="str">
        <f t="shared" si="1596"/>
        <v>卡卡杜个人护理店（抖店）</v>
      </c>
      <c r="H4913" s="1" t="str">
        <f t="shared" si="1583"/>
        <v>正常订单</v>
      </c>
      <c r="I4913" s="1" t="str">
        <f t="shared" si="1584"/>
        <v>已发货</v>
      </c>
      <c r="J4913" s="1" t="str">
        <f t="shared" si="1595"/>
        <v>3</v>
      </c>
      <c r="K4913" s="1">
        <v>2</v>
      </c>
      <c r="L4913" s="1" t="s">
        <v>13</v>
      </c>
      <c r="M4913" s="1" t="str">
        <f>"江苏省 连云港市 东海县 牛山街道"</f>
        <v>江苏省 连云港市 东海县 牛山街道</v>
      </c>
      <c r="N4913" s="1" t="str">
        <f t="shared" si="1597"/>
        <v>凡华云仓-城南圆通-抖音</v>
      </c>
      <c r="O4913" s="5" t="s">
        <v>4941</v>
      </c>
      <c r="P4913" s="6">
        <v>0.35</v>
      </c>
      <c r="Q4913" s="11">
        <v>2.2999999999999998</v>
      </c>
      <c r="R4913" s="11"/>
      <c r="S4913" s="11"/>
      <c r="T4913" s="11"/>
      <c r="U4913" s="11">
        <f t="shared" si="1580"/>
        <v>2.2999999999999998</v>
      </c>
      <c r="W4913">
        <v>2.5</v>
      </c>
      <c r="X4913" s="1" t="s">
        <v>13</v>
      </c>
    </row>
    <row r="4914" spans="1:24" x14ac:dyDescent="0.25">
      <c r="A4914" s="1" t="str">
        <f t="shared" si="1581"/>
        <v>卡卡杜-凤凰仓</v>
      </c>
      <c r="B4914" s="1" t="str">
        <f>"CK2024102025874"</f>
        <v>CK2024102025874</v>
      </c>
      <c r="C4914" s="1" t="str">
        <f>"DD2024102048463"</f>
        <v>DD2024102048463</v>
      </c>
      <c r="D4914" s="1" t="str">
        <f>"CK2024102047663"</f>
        <v>CK2024102047663</v>
      </c>
      <c r="E4914" s="1" t="str">
        <f>"6935246492372243826"</f>
        <v>6935246492372243826</v>
      </c>
      <c r="F4914" s="1" t="str">
        <f t="shared" si="1582"/>
        <v>花都四部-凤凰仓</v>
      </c>
      <c r="G4914" s="1" t="str">
        <f t="shared" si="1596"/>
        <v>卡卡杜个人护理店（抖店）</v>
      </c>
      <c r="H4914" s="1" t="str">
        <f t="shared" si="1583"/>
        <v>正常订单</v>
      </c>
      <c r="I4914" s="1" t="str">
        <f t="shared" si="1584"/>
        <v>已发货</v>
      </c>
      <c r="J4914" s="1" t="str">
        <f t="shared" si="1595"/>
        <v>3</v>
      </c>
      <c r="K4914" s="1">
        <v>3</v>
      </c>
      <c r="L4914" s="1" t="s">
        <v>18</v>
      </c>
      <c r="M4914" s="1" t="str">
        <f>"广东省 江门市 蓬江区 白沙街道"</f>
        <v>广东省 江门市 蓬江区 白沙街道</v>
      </c>
      <c r="N4914" s="1" t="str">
        <f t="shared" si="1597"/>
        <v>凡华云仓-城南圆通-抖音</v>
      </c>
      <c r="O4914" s="5" t="s">
        <v>4942</v>
      </c>
      <c r="P4914" s="6">
        <v>0.34</v>
      </c>
      <c r="Q4914" s="11">
        <v>2.2999999999999998</v>
      </c>
      <c r="R4914" s="11"/>
      <c r="S4914" s="11"/>
      <c r="T4914" s="11"/>
      <c r="U4914" s="11">
        <f t="shared" si="1580"/>
        <v>2.2999999999999998</v>
      </c>
      <c r="W4914">
        <v>2.5</v>
      </c>
      <c r="X4914" s="1" t="s">
        <v>18</v>
      </c>
    </row>
    <row r="4915" spans="1:24" x14ac:dyDescent="0.25">
      <c r="A4915" s="1" t="str">
        <f t="shared" si="1581"/>
        <v>卡卡杜-凤凰仓</v>
      </c>
      <c r="B4915" s="1" t="str">
        <f>"CK2024101413599"</f>
        <v>CK2024101413599</v>
      </c>
      <c r="C4915" s="1" t="str">
        <f>"DD2024101460119"</f>
        <v>DD2024101460119</v>
      </c>
      <c r="D4915" s="1" t="str">
        <f>"CK2024101455076"</f>
        <v>CK2024101455076</v>
      </c>
      <c r="E4915" s="1" t="str">
        <f>"KKD20241014YP004"</f>
        <v>KKD20241014YP004</v>
      </c>
      <c r="F4915" s="1" t="str">
        <f t="shared" si="1582"/>
        <v>花都四部-凤凰仓</v>
      </c>
      <c r="G4915" s="1" t="str">
        <f>"卡卡杜全欣样品"</f>
        <v>卡卡杜全欣样品</v>
      </c>
      <c r="H4915" s="1" t="str">
        <f t="shared" si="1583"/>
        <v>正常订单</v>
      </c>
      <c r="I4915" s="1" t="str">
        <f t="shared" si="1584"/>
        <v>已发货</v>
      </c>
      <c r="J4915" s="1" t="str">
        <f>"4"</f>
        <v>4</v>
      </c>
      <c r="K4915" s="1">
        <v>3</v>
      </c>
      <c r="L4915" s="1" t="s">
        <v>66</v>
      </c>
      <c r="M4915" s="1" t="str">
        <f>"内蒙古自治区 包头市 东河区 "</f>
        <v xml:space="preserve">内蒙古自治区 包头市 东河区 </v>
      </c>
      <c r="N4915" s="1" t="str">
        <f>"凡华云仓-韵达-淘宝"</f>
        <v>凡华云仓-韵达-淘宝</v>
      </c>
      <c r="O4915" s="3">
        <v>434188988823454</v>
      </c>
      <c r="P4915" s="6">
        <v>0.57999999999999996</v>
      </c>
      <c r="Q4915" s="11">
        <f>CEILING(P4915-0.5,0.1)*10*0.15+2.3</f>
        <v>2.4499999999999997</v>
      </c>
      <c r="R4915" s="11"/>
      <c r="S4915" s="11">
        <v>0.15</v>
      </c>
      <c r="T4915" s="11"/>
      <c r="U4915" s="11">
        <f t="shared" si="1580"/>
        <v>2.5999999999999996</v>
      </c>
      <c r="V4915" t="s">
        <v>15</v>
      </c>
      <c r="W4915">
        <v>2.6</v>
      </c>
      <c r="X4915" s="1" t="s">
        <v>66</v>
      </c>
    </row>
    <row r="4916" spans="1:24" x14ac:dyDescent="0.25">
      <c r="A4916" s="1" t="str">
        <f t="shared" si="1581"/>
        <v>卡卡杜-凤凰仓</v>
      </c>
      <c r="B4916" s="1" t="str">
        <f>"CK2024100415750"</f>
        <v>CK2024100415750</v>
      </c>
      <c r="C4916" s="1" t="str">
        <f>"DD2024100445941"</f>
        <v>DD2024100445941</v>
      </c>
      <c r="D4916" s="1" t="str">
        <f>"CK2024100445724"</f>
        <v>CK2024100445724</v>
      </c>
      <c r="E4916" s="1" t="str">
        <f>"KKD20240104YP001"</f>
        <v>KKD20240104YP001</v>
      </c>
      <c r="F4916" s="1" t="str">
        <f t="shared" si="1582"/>
        <v>花都四部-凤凰仓</v>
      </c>
      <c r="G4916" s="1" t="str">
        <f>"卡卡杜全欣样品"</f>
        <v>卡卡杜全欣样品</v>
      </c>
      <c r="H4916" s="1" t="str">
        <f t="shared" si="1583"/>
        <v>正常订单</v>
      </c>
      <c r="I4916" s="1" t="str">
        <f t="shared" si="1584"/>
        <v>已发货</v>
      </c>
      <c r="J4916" s="1" t="str">
        <f>"7"</f>
        <v>7</v>
      </c>
      <c r="K4916" s="1">
        <v>5</v>
      </c>
      <c r="L4916" s="1" t="s">
        <v>92</v>
      </c>
      <c r="M4916" s="1" t="str">
        <f>"辽宁省 沈阳市 铁西区 "</f>
        <v xml:space="preserve">辽宁省 沈阳市 铁西区 </v>
      </c>
      <c r="N4916" s="1" t="str">
        <f>"凡华云仓-韵达-淘宝"</f>
        <v>凡华云仓-韵达-淘宝</v>
      </c>
      <c r="O4916" s="3">
        <v>434168913921623</v>
      </c>
      <c r="P4916" s="6">
        <v>0.95</v>
      </c>
      <c r="Q4916" s="11">
        <f>CEILING(P4916-0.5,0.1)*10*0.15+2.3</f>
        <v>3.05</v>
      </c>
      <c r="R4916" s="11">
        <f>(K4916-3)*0.1</f>
        <v>0.2</v>
      </c>
      <c r="S4916" s="11">
        <v>0.15</v>
      </c>
      <c r="T4916" s="11"/>
      <c r="U4916" s="11">
        <f t="shared" si="1580"/>
        <v>3.4</v>
      </c>
      <c r="V4916" t="s">
        <v>15</v>
      </c>
      <c r="W4916">
        <v>3.4</v>
      </c>
      <c r="X4916" s="1" t="s">
        <v>92</v>
      </c>
    </row>
    <row r="4917" spans="1:24" x14ac:dyDescent="0.25">
      <c r="A4917" s="1" t="str">
        <f t="shared" si="1581"/>
        <v>卡卡杜-凤凰仓</v>
      </c>
      <c r="B4917" s="1" t="str">
        <f>"CK2024102025758"</f>
        <v>CK2024102025758</v>
      </c>
      <c r="C4917" s="1" t="str">
        <f>"DD2024102046480"</f>
        <v>DD2024102046480</v>
      </c>
      <c r="D4917" s="1" t="str">
        <f>"CK2024102046064"</f>
        <v>CK2024102046064</v>
      </c>
      <c r="E4917" s="1" t="str">
        <f>"KKD202401020YP008"</f>
        <v>KKD202401020YP008</v>
      </c>
      <c r="F4917" s="1" t="str">
        <f t="shared" si="1582"/>
        <v>花都四部-凤凰仓</v>
      </c>
      <c r="G4917" s="1" t="str">
        <f t="shared" ref="G4917:G4924" si="1598">"卡卡杜全欣样品"</f>
        <v>卡卡杜全欣样品</v>
      </c>
      <c r="H4917" s="1" t="str">
        <f t="shared" si="1583"/>
        <v>正常订单</v>
      </c>
      <c r="I4917" s="1" t="str">
        <f t="shared" si="1584"/>
        <v>已发货</v>
      </c>
      <c r="J4917" s="1" t="str">
        <f t="shared" ref="J4917:J4922" si="1599">"6"</f>
        <v>6</v>
      </c>
      <c r="K4917" s="1">
        <v>3</v>
      </c>
      <c r="L4917" s="1" t="s">
        <v>30</v>
      </c>
      <c r="M4917" s="1" t="str">
        <f>"山东省 青岛市 黄岛区 "</f>
        <v xml:space="preserve">山东省 青岛市 黄岛区 </v>
      </c>
      <c r="N4917" s="1" t="str">
        <f t="shared" ref="N4917:N4924" si="1600">"凡华云仓-城南圆通-淘宝"</f>
        <v>凡华云仓-城南圆通-淘宝</v>
      </c>
      <c r="O4917" s="3" t="s">
        <v>4943</v>
      </c>
      <c r="P4917" s="6">
        <v>0.81</v>
      </c>
      <c r="Q4917" s="11">
        <f t="shared" ref="Q4917:Q4924" si="1601">CEILING(P4917-0.5,0.1)*10*0.15+2.3</f>
        <v>2.9</v>
      </c>
      <c r="R4917" s="11"/>
      <c r="S4917" s="11">
        <v>0.15</v>
      </c>
      <c r="T4917" s="11"/>
      <c r="U4917" s="11">
        <f t="shared" si="1580"/>
        <v>3.05</v>
      </c>
      <c r="V4917" t="s">
        <v>15</v>
      </c>
      <c r="W4917">
        <v>3.05</v>
      </c>
      <c r="X4917" s="1" t="s">
        <v>30</v>
      </c>
    </row>
    <row r="4918" spans="1:24" x14ac:dyDescent="0.25">
      <c r="A4918" s="1" t="str">
        <f t="shared" si="1581"/>
        <v>卡卡杜-凤凰仓</v>
      </c>
      <c r="B4918" s="1" t="str">
        <f>"CK2024102025760"</f>
        <v>CK2024102025760</v>
      </c>
      <c r="C4918" s="1" t="str">
        <f>"DD2024102046479"</f>
        <v>DD2024102046479</v>
      </c>
      <c r="D4918" s="1" t="str">
        <f>"CK2024102046063"</f>
        <v>CK2024102046063</v>
      </c>
      <c r="E4918" s="1" t="str">
        <f>"KKD202401020YP006"</f>
        <v>KKD202401020YP006</v>
      </c>
      <c r="F4918" s="1" t="str">
        <f t="shared" si="1582"/>
        <v>花都四部-凤凰仓</v>
      </c>
      <c r="G4918" s="1" t="str">
        <f t="shared" si="1598"/>
        <v>卡卡杜全欣样品</v>
      </c>
      <c r="H4918" s="1" t="str">
        <f t="shared" si="1583"/>
        <v>正常订单</v>
      </c>
      <c r="I4918" s="1" t="str">
        <f t="shared" si="1584"/>
        <v>已发货</v>
      </c>
      <c r="J4918" s="1" t="str">
        <f>"12"</f>
        <v>12</v>
      </c>
      <c r="K4918" s="1">
        <v>8</v>
      </c>
      <c r="L4918" s="1" t="s">
        <v>18</v>
      </c>
      <c r="M4918" s="1" t="str">
        <f>"广东省 广州市 花都区 "</f>
        <v xml:space="preserve">广东省 广州市 花都区 </v>
      </c>
      <c r="N4918" s="1" t="str">
        <f t="shared" si="1600"/>
        <v>凡华云仓-城南圆通-淘宝</v>
      </c>
      <c r="O4918" s="3" t="s">
        <v>4944</v>
      </c>
      <c r="P4918" s="6">
        <v>1.42</v>
      </c>
      <c r="Q4918" s="11">
        <f t="shared" si="1601"/>
        <v>3.8</v>
      </c>
      <c r="R4918" s="11">
        <f t="shared" ref="R4918:R4919" si="1602">(K4918-3)*0.1</f>
        <v>0.5</v>
      </c>
      <c r="S4918" s="11">
        <v>0.15</v>
      </c>
      <c r="T4918" s="11"/>
      <c r="U4918" s="11">
        <f t="shared" si="1580"/>
        <v>4.45</v>
      </c>
      <c r="V4918" t="s">
        <v>15</v>
      </c>
      <c r="W4918">
        <v>4.45</v>
      </c>
      <c r="X4918" s="1" t="s">
        <v>18</v>
      </c>
    </row>
    <row r="4919" spans="1:24" x14ac:dyDescent="0.25">
      <c r="A4919" s="1" t="str">
        <f t="shared" si="1581"/>
        <v>卡卡杜-凤凰仓</v>
      </c>
      <c r="B4919" s="1" t="str">
        <f>"CK2024102025759"</f>
        <v>CK2024102025759</v>
      </c>
      <c r="C4919" s="1" t="str">
        <f>"DD2024102046481"</f>
        <v>DD2024102046481</v>
      </c>
      <c r="D4919" s="1" t="str">
        <f>"CK2024102046062"</f>
        <v>CK2024102046062</v>
      </c>
      <c r="E4919" s="1" t="str">
        <f>"KKD202401020YP007"</f>
        <v>KKD202401020YP007</v>
      </c>
      <c r="F4919" s="1" t="str">
        <f t="shared" si="1582"/>
        <v>花都四部-凤凰仓</v>
      </c>
      <c r="G4919" s="1" t="str">
        <f t="shared" si="1598"/>
        <v>卡卡杜全欣样品</v>
      </c>
      <c r="H4919" s="1" t="str">
        <f t="shared" si="1583"/>
        <v>正常订单</v>
      </c>
      <c r="I4919" s="1" t="str">
        <f t="shared" si="1584"/>
        <v>已发货</v>
      </c>
      <c r="J4919" s="1" t="str">
        <f>"11"</f>
        <v>11</v>
      </c>
      <c r="K4919" s="1">
        <v>7</v>
      </c>
      <c r="L4919" s="1" t="s">
        <v>18</v>
      </c>
      <c r="M4919" s="1" t="str">
        <f t="shared" ref="M4919:M4922" si="1603">"广东省 惠州市 惠阳区 "</f>
        <v xml:space="preserve">广东省 惠州市 惠阳区 </v>
      </c>
      <c r="N4919" s="1" t="str">
        <f t="shared" si="1600"/>
        <v>凡华云仓-城南圆通-淘宝</v>
      </c>
      <c r="O4919" s="3" t="s">
        <v>4945</v>
      </c>
      <c r="P4919" s="6">
        <v>1.04</v>
      </c>
      <c r="Q4919" s="11">
        <f t="shared" si="1601"/>
        <v>3.2</v>
      </c>
      <c r="R4919" s="11">
        <f t="shared" si="1602"/>
        <v>0.4</v>
      </c>
      <c r="S4919" s="11">
        <v>0.15</v>
      </c>
      <c r="T4919" s="11"/>
      <c r="U4919" s="11">
        <f t="shared" si="1580"/>
        <v>3.75</v>
      </c>
      <c r="V4919" t="s">
        <v>15</v>
      </c>
      <c r="W4919">
        <v>3.75</v>
      </c>
      <c r="X4919" s="1" t="s">
        <v>18</v>
      </c>
    </row>
    <row r="4920" spans="1:24" x14ac:dyDescent="0.25">
      <c r="A4920" s="1" t="str">
        <f t="shared" si="1581"/>
        <v>卡卡杜-凤凰仓</v>
      </c>
      <c r="B4920" s="1" t="str">
        <f>"CK2024102025761"</f>
        <v>CK2024102025761</v>
      </c>
      <c r="C4920" s="1" t="str">
        <f>"DD2024102046482"</f>
        <v>DD2024102046482</v>
      </c>
      <c r="D4920" s="1" t="str">
        <f>"CK2024102046061"</f>
        <v>CK2024102046061</v>
      </c>
      <c r="E4920" s="1" t="str">
        <f>"KKD202401020YP005"</f>
        <v>KKD202401020YP005</v>
      </c>
      <c r="F4920" s="1" t="str">
        <f t="shared" si="1582"/>
        <v>花都四部-凤凰仓</v>
      </c>
      <c r="G4920" s="1" t="str">
        <f t="shared" si="1598"/>
        <v>卡卡杜全欣样品</v>
      </c>
      <c r="H4920" s="1" t="str">
        <f t="shared" si="1583"/>
        <v>正常订单</v>
      </c>
      <c r="I4920" s="1" t="str">
        <f t="shared" si="1584"/>
        <v>已发货</v>
      </c>
      <c r="J4920" s="1" t="str">
        <f t="shared" si="1599"/>
        <v>6</v>
      </c>
      <c r="K4920" s="1">
        <v>3</v>
      </c>
      <c r="L4920" s="1" t="s">
        <v>18</v>
      </c>
      <c r="M4920" s="1" t="str">
        <f t="shared" si="1603"/>
        <v xml:space="preserve">广东省 惠州市 惠阳区 </v>
      </c>
      <c r="N4920" s="1" t="str">
        <f t="shared" si="1600"/>
        <v>凡华云仓-城南圆通-淘宝</v>
      </c>
      <c r="O4920" s="3" t="s">
        <v>4946</v>
      </c>
      <c r="P4920" s="6">
        <v>0.81</v>
      </c>
      <c r="Q4920" s="11">
        <f t="shared" si="1601"/>
        <v>2.9</v>
      </c>
      <c r="R4920" s="11"/>
      <c r="S4920" s="11">
        <v>0.15</v>
      </c>
      <c r="T4920" s="11"/>
      <c r="U4920" s="11">
        <f t="shared" si="1580"/>
        <v>3.05</v>
      </c>
      <c r="V4920" t="s">
        <v>15</v>
      </c>
      <c r="W4920">
        <v>3.05</v>
      </c>
      <c r="X4920" s="1" t="s">
        <v>18</v>
      </c>
    </row>
    <row r="4921" spans="1:24" x14ac:dyDescent="0.25">
      <c r="A4921" s="1" t="str">
        <f t="shared" si="1581"/>
        <v>卡卡杜-凤凰仓</v>
      </c>
      <c r="B4921" s="1" t="str">
        <f>"CK2024102025762"</f>
        <v>CK2024102025762</v>
      </c>
      <c r="C4921" s="1" t="str">
        <f>"DD2024102046483"</f>
        <v>DD2024102046483</v>
      </c>
      <c r="D4921" s="1" t="str">
        <f>"CK2024102046060"</f>
        <v>CK2024102046060</v>
      </c>
      <c r="E4921" s="1" t="str">
        <f>"KKD202401020YP004"</f>
        <v>KKD202401020YP004</v>
      </c>
      <c r="F4921" s="1" t="str">
        <f t="shared" si="1582"/>
        <v>花都四部-凤凰仓</v>
      </c>
      <c r="G4921" s="1" t="str">
        <f t="shared" si="1598"/>
        <v>卡卡杜全欣样品</v>
      </c>
      <c r="H4921" s="1" t="str">
        <f t="shared" si="1583"/>
        <v>正常订单</v>
      </c>
      <c r="I4921" s="1" t="str">
        <f t="shared" si="1584"/>
        <v>已发货</v>
      </c>
      <c r="J4921" s="1" t="str">
        <f>"12"</f>
        <v>12</v>
      </c>
      <c r="K4921" s="1">
        <v>8</v>
      </c>
      <c r="L4921" s="1" t="s">
        <v>36</v>
      </c>
      <c r="M4921" s="1" t="str">
        <f>"安徽省 池州市  "</f>
        <v xml:space="preserve">安徽省 池州市  </v>
      </c>
      <c r="N4921" s="1" t="str">
        <f t="shared" si="1600"/>
        <v>凡华云仓-城南圆通-淘宝</v>
      </c>
      <c r="O4921" s="3" t="s">
        <v>4947</v>
      </c>
      <c r="P4921" s="6">
        <v>1.42</v>
      </c>
      <c r="Q4921" s="11">
        <f t="shared" si="1601"/>
        <v>3.8</v>
      </c>
      <c r="R4921" s="11">
        <f>(K4921-3)*0.1</f>
        <v>0.5</v>
      </c>
      <c r="S4921" s="11">
        <v>0.15</v>
      </c>
      <c r="T4921" s="11"/>
      <c r="U4921" s="11">
        <f t="shared" si="1580"/>
        <v>4.45</v>
      </c>
      <c r="V4921" t="s">
        <v>15</v>
      </c>
      <c r="W4921">
        <v>4.45</v>
      </c>
      <c r="X4921" s="1" t="s">
        <v>36</v>
      </c>
    </row>
    <row r="4922" spans="1:24" x14ac:dyDescent="0.25">
      <c r="A4922" s="1" t="str">
        <f t="shared" si="1581"/>
        <v>卡卡杜-凤凰仓</v>
      </c>
      <c r="B4922" s="1" t="str">
        <f>"CK2024102025763"</f>
        <v>CK2024102025763</v>
      </c>
      <c r="C4922" s="1" t="str">
        <f>"DD2024102046484"</f>
        <v>DD2024102046484</v>
      </c>
      <c r="D4922" s="1" t="str">
        <f>"CK2024102046059"</f>
        <v>CK2024102046059</v>
      </c>
      <c r="E4922" s="1" t="str">
        <f>"KKD202401020YP003"</f>
        <v>KKD202401020YP003</v>
      </c>
      <c r="F4922" s="1" t="str">
        <f t="shared" si="1582"/>
        <v>花都四部-凤凰仓</v>
      </c>
      <c r="G4922" s="1" t="str">
        <f t="shared" si="1598"/>
        <v>卡卡杜全欣样品</v>
      </c>
      <c r="H4922" s="1" t="str">
        <f t="shared" si="1583"/>
        <v>正常订单</v>
      </c>
      <c r="I4922" s="1" t="str">
        <f t="shared" si="1584"/>
        <v>已发货</v>
      </c>
      <c r="J4922" s="1" t="str">
        <f t="shared" si="1599"/>
        <v>6</v>
      </c>
      <c r="K4922" s="1">
        <v>3</v>
      </c>
      <c r="L4922" s="1" t="s">
        <v>18</v>
      </c>
      <c r="M4922" s="1" t="str">
        <f t="shared" si="1603"/>
        <v xml:space="preserve">广东省 惠州市 惠阳区 </v>
      </c>
      <c r="N4922" s="1" t="str">
        <f t="shared" si="1600"/>
        <v>凡华云仓-城南圆通-淘宝</v>
      </c>
      <c r="O4922" s="3" t="s">
        <v>4948</v>
      </c>
      <c r="P4922" s="6">
        <v>0.81</v>
      </c>
      <c r="Q4922" s="11">
        <f t="shared" si="1601"/>
        <v>2.9</v>
      </c>
      <c r="R4922" s="11"/>
      <c r="S4922" s="11">
        <v>0.15</v>
      </c>
      <c r="T4922" s="11"/>
      <c r="U4922" s="11">
        <f t="shared" si="1580"/>
        <v>3.05</v>
      </c>
      <c r="V4922" t="s">
        <v>15</v>
      </c>
      <c r="W4922">
        <v>3.05</v>
      </c>
      <c r="X4922" s="1" t="s">
        <v>18</v>
      </c>
    </row>
    <row r="4923" spans="1:24" x14ac:dyDescent="0.25">
      <c r="A4923" s="1" t="str">
        <f t="shared" si="1581"/>
        <v>卡卡杜-凤凰仓</v>
      </c>
      <c r="B4923" s="1" t="str">
        <f>"CK2024101413593"</f>
        <v>CK2024101413593</v>
      </c>
      <c r="C4923" s="1" t="str">
        <f>"DD2024101460105"</f>
        <v>DD2024101460105</v>
      </c>
      <c r="D4923" s="1" t="str">
        <f>"CK2024101455077"</f>
        <v>CK2024101455077</v>
      </c>
      <c r="E4923" s="1" t="str">
        <f>"KKD20241014YP015"</f>
        <v>KKD20241014YP015</v>
      </c>
      <c r="F4923" s="1" t="str">
        <f t="shared" si="1582"/>
        <v>花都四部-凤凰仓</v>
      </c>
      <c r="G4923" s="1" t="str">
        <f t="shared" si="1598"/>
        <v>卡卡杜全欣样品</v>
      </c>
      <c r="H4923" s="1" t="str">
        <f t="shared" si="1583"/>
        <v>正常订单</v>
      </c>
      <c r="I4923" s="1" t="str">
        <f t="shared" si="1584"/>
        <v>已发货</v>
      </c>
      <c r="J4923" s="1" t="str">
        <f>"4"</f>
        <v>4</v>
      </c>
      <c r="K4923" s="1">
        <v>3</v>
      </c>
      <c r="L4923" s="1" t="s">
        <v>32</v>
      </c>
      <c r="M4923" s="1" t="str">
        <f>"陕西省 西安市 雁塔区 "</f>
        <v xml:space="preserve">陕西省 西安市 雁塔区 </v>
      </c>
      <c r="N4923" s="1" t="str">
        <f>"凡华云仓-韵达-淘宝"</f>
        <v>凡华云仓-韵达-淘宝</v>
      </c>
      <c r="O4923" s="3">
        <v>434188988823545</v>
      </c>
      <c r="P4923" s="6">
        <v>0.57999999999999996</v>
      </c>
      <c r="Q4923" s="11">
        <f t="shared" si="1601"/>
        <v>2.4499999999999997</v>
      </c>
      <c r="R4923" s="11"/>
      <c r="S4923" s="11">
        <v>0.15</v>
      </c>
      <c r="T4923" s="11"/>
      <c r="U4923" s="11">
        <f t="shared" si="1580"/>
        <v>2.5999999999999996</v>
      </c>
      <c r="V4923" t="s">
        <v>15</v>
      </c>
      <c r="W4923">
        <v>2.6</v>
      </c>
      <c r="X4923" s="1" t="s">
        <v>32</v>
      </c>
    </row>
    <row r="4924" spans="1:24" x14ac:dyDescent="0.25">
      <c r="A4924" s="1" t="str">
        <f t="shared" si="1581"/>
        <v>卡卡杜-凤凰仓</v>
      </c>
      <c r="B4924" s="1" t="str">
        <f>"CK2024102025764"</f>
        <v>CK2024102025764</v>
      </c>
      <c r="C4924" s="1" t="str">
        <f>"DD2024102046486"</f>
        <v>DD2024102046486</v>
      </c>
      <c r="D4924" s="1" t="str">
        <f>"CK2024102046057"</f>
        <v>CK2024102046057</v>
      </c>
      <c r="E4924" s="1" t="str">
        <f>"KKD202401020YP002"</f>
        <v>KKD202401020YP002</v>
      </c>
      <c r="F4924" s="1" t="str">
        <f t="shared" si="1582"/>
        <v>花都四部-凤凰仓</v>
      </c>
      <c r="G4924" s="1" t="str">
        <f t="shared" si="1598"/>
        <v>卡卡杜全欣样品</v>
      </c>
      <c r="H4924" s="1" t="str">
        <f t="shared" si="1583"/>
        <v>正常订单</v>
      </c>
      <c r="I4924" s="1" t="str">
        <f t="shared" si="1584"/>
        <v>已发货</v>
      </c>
      <c r="J4924" s="1" t="str">
        <f>"12"</f>
        <v>12</v>
      </c>
      <c r="K4924" s="1">
        <v>8</v>
      </c>
      <c r="L4924" s="1" t="s">
        <v>161</v>
      </c>
      <c r="M4924" s="1" t="str">
        <f>"四川省 成都市 武侯区 "</f>
        <v xml:space="preserve">四川省 成都市 武侯区 </v>
      </c>
      <c r="N4924" s="1" t="str">
        <f t="shared" si="1600"/>
        <v>凡华云仓-城南圆通-淘宝</v>
      </c>
      <c r="O4924" s="3" t="s">
        <v>4949</v>
      </c>
      <c r="P4924" s="6">
        <v>1.42</v>
      </c>
      <c r="Q4924" s="11">
        <f t="shared" si="1601"/>
        <v>3.8</v>
      </c>
      <c r="R4924" s="11">
        <f>(K4924-3)*0.1</f>
        <v>0.5</v>
      </c>
      <c r="S4924" s="11">
        <v>0.15</v>
      </c>
      <c r="T4924" s="11"/>
      <c r="U4924" s="11">
        <f t="shared" si="1580"/>
        <v>4.45</v>
      </c>
      <c r="V4924" t="s">
        <v>15</v>
      </c>
      <c r="W4924">
        <v>4.45</v>
      </c>
      <c r="X4924" s="1" t="s">
        <v>161</v>
      </c>
    </row>
    <row r="4925" spans="1:24" x14ac:dyDescent="0.25">
      <c r="A4925" s="1" t="str">
        <f t="shared" si="1581"/>
        <v>卡卡杜-凤凰仓</v>
      </c>
      <c r="B4925" s="1" t="str">
        <f>"CK2024102025811"</f>
        <v>CK2024102025811</v>
      </c>
      <c r="C4925" s="1" t="str">
        <f>"DD2024102046531"</f>
        <v>DD2024102046531</v>
      </c>
      <c r="D4925" s="1" t="str">
        <f>"CK2024102046056"</f>
        <v>CK2024102046056</v>
      </c>
      <c r="E4925" s="1" t="str">
        <f>"3723439827065115648"</f>
        <v>3723439827065115648</v>
      </c>
      <c r="F4925" s="1" t="str">
        <f t="shared" si="1582"/>
        <v>花都四部-凤凰仓</v>
      </c>
      <c r="G4925" s="1" t="str">
        <f t="shared" ref="G4925:G4928" si="1604">"卡卡杜企业店（视频号）"</f>
        <v>卡卡杜企业店（视频号）</v>
      </c>
      <c r="H4925" s="1" t="str">
        <f t="shared" si="1583"/>
        <v>正常订单</v>
      </c>
      <c r="I4925" s="1" t="str">
        <f t="shared" si="1584"/>
        <v>已发货</v>
      </c>
      <c r="J4925" s="1" t="str">
        <f t="shared" ref="J4925:J4932" si="1605">"3"</f>
        <v>3</v>
      </c>
      <c r="K4925" s="1">
        <v>2</v>
      </c>
      <c r="L4925" s="1" t="s">
        <v>92</v>
      </c>
      <c r="M4925" s="1" t="str">
        <f>"辽宁省 沈阳市 皇姑区 "</f>
        <v xml:space="preserve">辽宁省 沈阳市 皇姑区 </v>
      </c>
      <c r="N4925" s="1" t="str">
        <f t="shared" ref="N4925:N4928" si="1606">"凡华云仓-城南圆通-微信视频号"</f>
        <v>凡华云仓-城南圆通-微信视频号</v>
      </c>
      <c r="O4925" s="5" t="s">
        <v>4950</v>
      </c>
      <c r="P4925" s="6">
        <v>0.24</v>
      </c>
      <c r="Q4925" s="11">
        <v>2</v>
      </c>
      <c r="R4925" s="11"/>
      <c r="S4925" s="11"/>
      <c r="T4925" s="11"/>
      <c r="U4925" s="11">
        <f t="shared" si="1580"/>
        <v>2</v>
      </c>
      <c r="W4925">
        <v>2.2000000000000002</v>
      </c>
      <c r="X4925" s="1" t="s">
        <v>92</v>
      </c>
    </row>
    <row r="4926" spans="1:24" x14ac:dyDescent="0.25">
      <c r="A4926" s="1" t="str">
        <f t="shared" si="1581"/>
        <v>卡卡杜-凤凰仓</v>
      </c>
      <c r="B4926" s="1" t="str">
        <f>"CK2024102025814"</f>
        <v>CK2024102025814</v>
      </c>
      <c r="C4926" s="1" t="str">
        <f>"DD2024102046534"</f>
        <v>DD2024102046534</v>
      </c>
      <c r="D4926" s="1" t="str">
        <f>"CK2024102046055"</f>
        <v>CK2024102046055</v>
      </c>
      <c r="E4926" s="1" t="str">
        <f>"3723439806580917504"</f>
        <v>3723439806580917504</v>
      </c>
      <c r="F4926" s="1" t="str">
        <f t="shared" si="1582"/>
        <v>花都四部-凤凰仓</v>
      </c>
      <c r="G4926" s="1" t="str">
        <f t="shared" si="1604"/>
        <v>卡卡杜企业店（视频号）</v>
      </c>
      <c r="H4926" s="1" t="str">
        <f t="shared" si="1583"/>
        <v>正常订单</v>
      </c>
      <c r="I4926" s="1" t="str">
        <f t="shared" si="1584"/>
        <v>已发货</v>
      </c>
      <c r="J4926" s="1" t="str">
        <f t="shared" si="1605"/>
        <v>3</v>
      </c>
      <c r="K4926" s="1">
        <v>2</v>
      </c>
      <c r="L4926" s="1" t="s">
        <v>74</v>
      </c>
      <c r="M4926" s="1" t="str">
        <f>"上海 上海市 浦东新区 "</f>
        <v xml:space="preserve">上海 上海市 浦东新区 </v>
      </c>
      <c r="N4926" s="1" t="str">
        <f t="shared" si="1606"/>
        <v>凡华云仓-城南圆通-微信视频号</v>
      </c>
      <c r="O4926" s="5" t="s">
        <v>4951</v>
      </c>
      <c r="P4926" s="6">
        <v>0.24</v>
      </c>
      <c r="Q4926" s="11">
        <v>2</v>
      </c>
      <c r="R4926" s="11"/>
      <c r="S4926" s="11"/>
      <c r="T4926" s="11"/>
      <c r="U4926" s="11">
        <f t="shared" si="1580"/>
        <v>2</v>
      </c>
      <c r="W4926">
        <v>2.2000000000000002</v>
      </c>
      <c r="X4926" s="1" t="s">
        <v>74</v>
      </c>
    </row>
    <row r="4927" spans="1:24" x14ac:dyDescent="0.25">
      <c r="A4927" s="1" t="str">
        <f t="shared" si="1581"/>
        <v>卡卡杜-凤凰仓</v>
      </c>
      <c r="B4927" s="1" t="str">
        <f>"CK2024102025815"</f>
        <v>CK2024102025815</v>
      </c>
      <c r="C4927" s="1" t="str">
        <f>"DD2024102046538"</f>
        <v>DD2024102046538</v>
      </c>
      <c r="D4927" s="1" t="str">
        <f>"CK2024102046054"</f>
        <v>CK2024102046054</v>
      </c>
      <c r="E4927" s="1" t="str">
        <f>"3723439765204373504"</f>
        <v>3723439765204373504</v>
      </c>
      <c r="F4927" s="1" t="str">
        <f t="shared" si="1582"/>
        <v>花都四部-凤凰仓</v>
      </c>
      <c r="G4927" s="1" t="str">
        <f t="shared" si="1604"/>
        <v>卡卡杜企业店（视频号）</v>
      </c>
      <c r="H4927" s="1" t="str">
        <f t="shared" si="1583"/>
        <v>正常订单</v>
      </c>
      <c r="I4927" s="1" t="str">
        <f t="shared" si="1584"/>
        <v>已发货</v>
      </c>
      <c r="J4927" s="1" t="str">
        <f t="shared" si="1605"/>
        <v>3</v>
      </c>
      <c r="K4927" s="1">
        <v>2</v>
      </c>
      <c r="L4927" s="1" t="s">
        <v>60</v>
      </c>
      <c r="M4927" s="1" t="str">
        <f>"云南省 怒江傈僳族自治州 泸水市 "</f>
        <v xml:space="preserve">云南省 怒江傈僳族自治州 泸水市 </v>
      </c>
      <c r="N4927" s="1" t="str">
        <f t="shared" si="1606"/>
        <v>凡华云仓-城南圆通-微信视频号</v>
      </c>
      <c r="O4927" s="5" t="s">
        <v>4952</v>
      </c>
      <c r="P4927" s="6">
        <v>0.24</v>
      </c>
      <c r="Q4927" s="11">
        <v>2</v>
      </c>
      <c r="R4927" s="11"/>
      <c r="S4927" s="11"/>
      <c r="T4927" s="11"/>
      <c r="U4927" s="11">
        <f t="shared" si="1580"/>
        <v>2</v>
      </c>
      <c r="W4927">
        <v>2.2000000000000002</v>
      </c>
      <c r="X4927" s="1" t="s">
        <v>60</v>
      </c>
    </row>
    <row r="4928" spans="1:24" x14ac:dyDescent="0.25">
      <c r="A4928" s="1" t="str">
        <f t="shared" si="1581"/>
        <v>卡卡杜-凤凰仓</v>
      </c>
      <c r="B4928" s="1" t="str">
        <f>"CK2024102025818"</f>
        <v>CK2024102025818</v>
      </c>
      <c r="C4928" s="1" t="str">
        <f>"DD2024102046536"</f>
        <v>DD2024102046536</v>
      </c>
      <c r="D4928" s="1" t="str">
        <f>"CK2024102046053"</f>
        <v>CK2024102046053</v>
      </c>
      <c r="E4928" s="1" t="str">
        <f>"3723439619499230464"</f>
        <v>3723439619499230464</v>
      </c>
      <c r="F4928" s="1" t="str">
        <f t="shared" si="1582"/>
        <v>花都四部-凤凰仓</v>
      </c>
      <c r="G4928" s="1" t="str">
        <f t="shared" si="1604"/>
        <v>卡卡杜企业店（视频号）</v>
      </c>
      <c r="H4928" s="1" t="str">
        <f t="shared" si="1583"/>
        <v>正常订单</v>
      </c>
      <c r="I4928" s="1" t="str">
        <f t="shared" si="1584"/>
        <v>已发货</v>
      </c>
      <c r="J4928" s="1" t="str">
        <f t="shared" si="1605"/>
        <v>3</v>
      </c>
      <c r="K4928" s="1">
        <v>3</v>
      </c>
      <c r="L4928" s="1" t="s">
        <v>18</v>
      </c>
      <c r="M4928" s="1" t="str">
        <f>"广东省 深圳市 龙岗区 "</f>
        <v xml:space="preserve">广东省 深圳市 龙岗区 </v>
      </c>
      <c r="N4928" s="1" t="str">
        <f t="shared" si="1606"/>
        <v>凡华云仓-城南圆通-微信视频号</v>
      </c>
      <c r="O4928" s="5" t="s">
        <v>4953</v>
      </c>
      <c r="P4928" s="6">
        <v>0.34</v>
      </c>
      <c r="Q4928" s="11">
        <v>2.2999999999999998</v>
      </c>
      <c r="R4928" s="11"/>
      <c r="S4928" s="11"/>
      <c r="T4928" s="11"/>
      <c r="U4928" s="11">
        <f t="shared" si="1580"/>
        <v>2.2999999999999998</v>
      </c>
      <c r="W4928">
        <v>2.5</v>
      </c>
      <c r="X4928" s="1" t="s">
        <v>18</v>
      </c>
    </row>
    <row r="4929" spans="1:24" x14ac:dyDescent="0.25">
      <c r="A4929" s="1" t="str">
        <f t="shared" si="1581"/>
        <v>卡卡杜-凤凰仓</v>
      </c>
      <c r="B4929" s="1" t="str">
        <f>"CK2024102025766"</f>
        <v>CK2024102025766</v>
      </c>
      <c r="C4929" s="1" t="str">
        <f>"DD2024102046487"</f>
        <v>DD2024102046487</v>
      </c>
      <c r="D4929" s="1" t="str">
        <f>"CK2024102046051"</f>
        <v>CK2024102046051</v>
      </c>
      <c r="E4929" s="1" t="str">
        <f>"6935252943623754932"</f>
        <v>6935252943623754932</v>
      </c>
      <c r="F4929" s="1" t="str">
        <f t="shared" si="1582"/>
        <v>花都四部-凤凰仓</v>
      </c>
      <c r="G4929" s="1" t="str">
        <f t="shared" ref="G4929:G4965" si="1607">"卡卡杜个人护理店（抖店）"</f>
        <v>卡卡杜个人护理店（抖店）</v>
      </c>
      <c r="H4929" s="1" t="str">
        <f t="shared" si="1583"/>
        <v>正常订单</v>
      </c>
      <c r="I4929" s="1" t="str">
        <f t="shared" si="1584"/>
        <v>已发货</v>
      </c>
      <c r="J4929" s="1" t="str">
        <f t="shared" si="1605"/>
        <v>3</v>
      </c>
      <c r="K4929" s="1">
        <v>2</v>
      </c>
      <c r="L4929" s="1" t="s">
        <v>20</v>
      </c>
      <c r="M4929" s="1" t="str">
        <f>"浙江省 宁波市 鄞州区 首南街道"</f>
        <v>浙江省 宁波市 鄞州区 首南街道</v>
      </c>
      <c r="N4929" s="1" t="str">
        <f t="shared" ref="N4929:N4965" si="1608">"凡华云仓-城南圆通-抖音"</f>
        <v>凡华云仓-城南圆通-抖音</v>
      </c>
      <c r="O4929" s="5" t="s">
        <v>4954</v>
      </c>
      <c r="P4929" s="6">
        <v>0.35</v>
      </c>
      <c r="Q4929" s="11">
        <v>2.2999999999999998</v>
      </c>
      <c r="R4929" s="11"/>
      <c r="S4929" s="11"/>
      <c r="T4929" s="11"/>
      <c r="U4929" s="11">
        <f t="shared" si="1580"/>
        <v>2.2999999999999998</v>
      </c>
      <c r="W4929">
        <v>2.5</v>
      </c>
      <c r="X4929" s="1" t="s">
        <v>20</v>
      </c>
    </row>
    <row r="4930" spans="1:24" x14ac:dyDescent="0.25">
      <c r="A4930" s="1" t="str">
        <f t="shared" si="1581"/>
        <v>卡卡杜-凤凰仓</v>
      </c>
      <c r="B4930" s="1" t="str">
        <f>"CK2024102025769"</f>
        <v>CK2024102025769</v>
      </c>
      <c r="C4930" s="1" t="str">
        <f>"DD2024102046489"</f>
        <v>DD2024102046489</v>
      </c>
      <c r="D4930" s="1" t="str">
        <f>"CK2024102046050"</f>
        <v>CK2024102046050</v>
      </c>
      <c r="E4930" s="1" t="str">
        <f>"6935251191519974710"</f>
        <v>6935251191519974710</v>
      </c>
      <c r="F4930" s="1" t="str">
        <f t="shared" si="1582"/>
        <v>花都四部-凤凰仓</v>
      </c>
      <c r="G4930" s="1" t="str">
        <f t="shared" si="1607"/>
        <v>卡卡杜个人护理店（抖店）</v>
      </c>
      <c r="H4930" s="1" t="str">
        <f t="shared" si="1583"/>
        <v>正常订单</v>
      </c>
      <c r="I4930" s="1" t="str">
        <f t="shared" si="1584"/>
        <v>已发货</v>
      </c>
      <c r="J4930" s="1" t="str">
        <f t="shared" si="1605"/>
        <v>3</v>
      </c>
      <c r="K4930" s="1">
        <v>2</v>
      </c>
      <c r="L4930" s="1" t="s">
        <v>109</v>
      </c>
      <c r="M4930" s="1" t="str">
        <f>"山西省 太原市 清徐县 集义乡"</f>
        <v>山西省 太原市 清徐县 集义乡</v>
      </c>
      <c r="N4930" s="1" t="str">
        <f t="shared" si="1608"/>
        <v>凡华云仓-城南圆通-抖音</v>
      </c>
      <c r="O4930" s="5" t="s">
        <v>4955</v>
      </c>
      <c r="P4930" s="6">
        <v>0.35</v>
      </c>
      <c r="Q4930" s="11">
        <v>2.2999999999999998</v>
      </c>
      <c r="R4930" s="11"/>
      <c r="S4930" s="11"/>
      <c r="T4930" s="11"/>
      <c r="U4930" s="11">
        <f t="shared" si="1580"/>
        <v>2.2999999999999998</v>
      </c>
      <c r="W4930">
        <v>2.5</v>
      </c>
      <c r="X4930" s="1" t="s">
        <v>109</v>
      </c>
    </row>
    <row r="4931" spans="1:24" x14ac:dyDescent="0.25">
      <c r="A4931" s="1" t="str">
        <f t="shared" si="1581"/>
        <v>卡卡杜-凤凰仓</v>
      </c>
      <c r="B4931" s="1" t="str">
        <f>"CK2024102025770"</f>
        <v>CK2024102025770</v>
      </c>
      <c r="C4931" s="1" t="str">
        <f>"DD2024102046493"</f>
        <v>DD2024102046493</v>
      </c>
      <c r="D4931" s="1" t="str">
        <f>"CK2024102046049"</f>
        <v>CK2024102046049</v>
      </c>
      <c r="E4931" s="1" t="str">
        <f>"6935248840196691536"</f>
        <v>6935248840196691536</v>
      </c>
      <c r="F4931" s="1" t="str">
        <f t="shared" si="1582"/>
        <v>花都四部-凤凰仓</v>
      </c>
      <c r="G4931" s="1" t="str">
        <f t="shared" si="1607"/>
        <v>卡卡杜个人护理店（抖店）</v>
      </c>
      <c r="H4931" s="1" t="str">
        <f t="shared" si="1583"/>
        <v>正常订单</v>
      </c>
      <c r="I4931" s="1" t="str">
        <f t="shared" si="1584"/>
        <v>已发货</v>
      </c>
      <c r="J4931" s="1" t="str">
        <f t="shared" si="1605"/>
        <v>3</v>
      </c>
      <c r="K4931" s="1">
        <v>2</v>
      </c>
      <c r="L4931" s="1" t="s">
        <v>47</v>
      </c>
      <c r="M4931" s="1" t="str">
        <f>"重庆 重庆市 渝中区 菜园坝街道"</f>
        <v>重庆 重庆市 渝中区 菜园坝街道</v>
      </c>
      <c r="N4931" s="1" t="str">
        <f t="shared" si="1608"/>
        <v>凡华云仓-城南圆通-抖音</v>
      </c>
      <c r="O4931" s="5" t="s">
        <v>4956</v>
      </c>
      <c r="P4931" s="6">
        <v>0.35</v>
      </c>
      <c r="Q4931" s="11">
        <v>2.2999999999999998</v>
      </c>
      <c r="R4931" s="11"/>
      <c r="S4931" s="11"/>
      <c r="T4931" s="11"/>
      <c r="U4931" s="11">
        <f t="shared" ref="U4931:U4994" si="1609">T4931+S4931+R4931+Q4931</f>
        <v>2.2999999999999998</v>
      </c>
      <c r="W4931">
        <v>2.5</v>
      </c>
      <c r="X4931" s="1" t="s">
        <v>47</v>
      </c>
    </row>
    <row r="4932" spans="1:24" x14ac:dyDescent="0.25">
      <c r="A4932" s="1" t="str">
        <f t="shared" si="1581"/>
        <v>卡卡杜-凤凰仓</v>
      </c>
      <c r="B4932" s="1" t="str">
        <f>"CK2024102025772"</f>
        <v>CK2024102025772</v>
      </c>
      <c r="C4932" s="1" t="str">
        <f>"DD2024102046490"</f>
        <v>DD2024102046490</v>
      </c>
      <c r="D4932" s="1" t="str">
        <f>"CK2024102046048"</f>
        <v>CK2024102046048</v>
      </c>
      <c r="E4932" s="1" t="str">
        <f>"6935255196123469206"</f>
        <v>6935255196123469206</v>
      </c>
      <c r="F4932" s="1" t="str">
        <f t="shared" si="1582"/>
        <v>花都四部-凤凰仓</v>
      </c>
      <c r="G4932" s="1" t="str">
        <f t="shared" si="1607"/>
        <v>卡卡杜个人护理店（抖店）</v>
      </c>
      <c r="H4932" s="1" t="str">
        <f t="shared" si="1583"/>
        <v>正常订单</v>
      </c>
      <c r="I4932" s="1" t="str">
        <f t="shared" si="1584"/>
        <v>已发货</v>
      </c>
      <c r="J4932" s="1" t="str">
        <f t="shared" si="1605"/>
        <v>3</v>
      </c>
      <c r="K4932" s="1">
        <v>2</v>
      </c>
      <c r="L4932" s="1" t="s">
        <v>18</v>
      </c>
      <c r="M4932" s="1" t="str">
        <f>"广东省 东莞市 东莞市 大岭山镇"</f>
        <v>广东省 东莞市 东莞市 大岭山镇</v>
      </c>
      <c r="N4932" s="1" t="str">
        <f t="shared" si="1608"/>
        <v>凡华云仓-城南圆通-抖音</v>
      </c>
      <c r="O4932" s="5" t="s">
        <v>4957</v>
      </c>
      <c r="P4932" s="6">
        <v>0.35</v>
      </c>
      <c r="Q4932" s="11">
        <v>2.2999999999999998</v>
      </c>
      <c r="R4932" s="11"/>
      <c r="S4932" s="11"/>
      <c r="T4932" s="11"/>
      <c r="U4932" s="11">
        <f t="shared" si="1609"/>
        <v>2.2999999999999998</v>
      </c>
      <c r="W4932">
        <v>2.5</v>
      </c>
      <c r="X4932" s="1" t="s">
        <v>18</v>
      </c>
    </row>
    <row r="4933" spans="1:24" x14ac:dyDescent="0.25">
      <c r="A4933" s="1" t="str">
        <f t="shared" ref="A4933:A4996" si="1610">"卡卡杜-凤凰仓"</f>
        <v>卡卡杜-凤凰仓</v>
      </c>
      <c r="B4933" s="1" t="str">
        <f>"CK2024102025774"</f>
        <v>CK2024102025774</v>
      </c>
      <c r="C4933" s="1" t="str">
        <f>"DD2024102046494"</f>
        <v>DD2024102046494</v>
      </c>
      <c r="D4933" s="1" t="str">
        <f>"CK2024102046047"</f>
        <v>CK2024102046047</v>
      </c>
      <c r="E4933" s="1" t="str">
        <f>"6935230760687048246"</f>
        <v>6935230760687048246</v>
      </c>
      <c r="F4933" s="1" t="str">
        <f t="shared" ref="F4933:F4996" si="1611">"花都四部-凤凰仓"</f>
        <v>花都四部-凤凰仓</v>
      </c>
      <c r="G4933" s="1" t="str">
        <f t="shared" si="1607"/>
        <v>卡卡杜个人护理店（抖店）</v>
      </c>
      <c r="H4933" s="1" t="str">
        <f t="shared" ref="H4933:H4996" si="1612">"正常订单"</f>
        <v>正常订单</v>
      </c>
      <c r="I4933" s="1" t="str">
        <f t="shared" ref="I4933:I4996" si="1613">"已发货"</f>
        <v>已发货</v>
      </c>
      <c r="J4933" s="1" t="str">
        <f>"5"</f>
        <v>5</v>
      </c>
      <c r="K4933" s="1">
        <v>2</v>
      </c>
      <c r="L4933" s="1" t="s">
        <v>18</v>
      </c>
      <c r="M4933" s="1" t="str">
        <f>"广东省 广州市 越秀区 矿泉街道"</f>
        <v>广东省 广州市 越秀区 矿泉街道</v>
      </c>
      <c r="N4933" s="1" t="str">
        <f t="shared" si="1608"/>
        <v>凡华云仓-城南圆通-抖音</v>
      </c>
      <c r="O4933" s="5" t="s">
        <v>4958</v>
      </c>
      <c r="P4933" s="6">
        <v>0.59</v>
      </c>
      <c r="Q4933" s="11">
        <f>CEILING(P4933-0.5,0.1)*10*0.15+2.3</f>
        <v>2.4499999999999997</v>
      </c>
      <c r="R4933" s="11"/>
      <c r="S4933" s="11"/>
      <c r="T4933" s="11"/>
      <c r="U4933" s="11">
        <f t="shared" si="1609"/>
        <v>2.4499999999999997</v>
      </c>
      <c r="V4933" t="s">
        <v>15</v>
      </c>
      <c r="W4933">
        <v>2.4500000000000002</v>
      </c>
      <c r="X4933" s="1" t="s">
        <v>18</v>
      </c>
    </row>
    <row r="4934" spans="1:24" x14ac:dyDescent="0.25">
      <c r="A4934" s="1" t="str">
        <f t="shared" si="1610"/>
        <v>卡卡杜-凤凰仓</v>
      </c>
      <c r="B4934" s="1" t="str">
        <f>"CK2024102025778"</f>
        <v>CK2024102025778</v>
      </c>
      <c r="C4934" s="1" t="str">
        <f>"DD2024102046498"</f>
        <v>DD2024102046498</v>
      </c>
      <c r="D4934" s="1" t="str">
        <f>"CK2024102046045"</f>
        <v>CK2024102046045</v>
      </c>
      <c r="E4934" s="1" t="str">
        <f>"6935251098903189155"</f>
        <v>6935251098903189155</v>
      </c>
      <c r="F4934" s="1" t="str">
        <f t="shared" si="1611"/>
        <v>花都四部-凤凰仓</v>
      </c>
      <c r="G4934" s="1" t="str">
        <f t="shared" si="1607"/>
        <v>卡卡杜个人护理店（抖店）</v>
      </c>
      <c r="H4934" s="1" t="str">
        <f t="shared" si="1612"/>
        <v>正常订单</v>
      </c>
      <c r="I4934" s="1" t="str">
        <f t="shared" si="1613"/>
        <v>已发货</v>
      </c>
      <c r="J4934" s="1" t="str">
        <f t="shared" ref="J4934:J4947" si="1614">"3"</f>
        <v>3</v>
      </c>
      <c r="K4934" s="1">
        <v>2</v>
      </c>
      <c r="L4934" s="1" t="s">
        <v>16</v>
      </c>
      <c r="M4934" s="1" t="str">
        <f>"河北省 石家庄市 桥西区 友谊街道"</f>
        <v>河北省 石家庄市 桥西区 友谊街道</v>
      </c>
      <c r="N4934" s="1" t="str">
        <f t="shared" si="1608"/>
        <v>凡华云仓-城南圆通-抖音</v>
      </c>
      <c r="O4934" s="5" t="s">
        <v>4959</v>
      </c>
      <c r="P4934" s="6">
        <v>0.35</v>
      </c>
      <c r="Q4934" s="11">
        <v>2.2999999999999998</v>
      </c>
      <c r="R4934" s="11"/>
      <c r="S4934" s="11"/>
      <c r="T4934" s="11"/>
      <c r="U4934" s="11">
        <f t="shared" si="1609"/>
        <v>2.2999999999999998</v>
      </c>
      <c r="W4934">
        <v>2.5</v>
      </c>
      <c r="X4934" s="1" t="s">
        <v>16</v>
      </c>
    </row>
    <row r="4935" spans="1:24" x14ac:dyDescent="0.25">
      <c r="A4935" s="1" t="str">
        <f t="shared" si="1610"/>
        <v>卡卡杜-凤凰仓</v>
      </c>
      <c r="B4935" s="1" t="str">
        <f>"CK2024102025777"</f>
        <v>CK2024102025777</v>
      </c>
      <c r="C4935" s="1" t="str">
        <f>"DD2024102046497"</f>
        <v>DD2024102046497</v>
      </c>
      <c r="D4935" s="1" t="str">
        <f>"CK2024102046044"</f>
        <v>CK2024102046044</v>
      </c>
      <c r="E4935" s="1" t="str">
        <f>"6935268680303973487"</f>
        <v>6935268680303973487</v>
      </c>
      <c r="F4935" s="1" t="str">
        <f t="shared" si="1611"/>
        <v>花都四部-凤凰仓</v>
      </c>
      <c r="G4935" s="1" t="str">
        <f t="shared" si="1607"/>
        <v>卡卡杜个人护理店（抖店）</v>
      </c>
      <c r="H4935" s="1" t="str">
        <f t="shared" si="1612"/>
        <v>正常订单</v>
      </c>
      <c r="I4935" s="1" t="str">
        <f t="shared" si="1613"/>
        <v>已发货</v>
      </c>
      <c r="J4935" s="1" t="str">
        <f>"5"</f>
        <v>5</v>
      </c>
      <c r="K4935" s="1">
        <v>2</v>
      </c>
      <c r="L4935" s="1" t="s">
        <v>13</v>
      </c>
      <c r="M4935" s="1" t="str">
        <f>"江苏省 苏州市 太仓市 城厢镇"</f>
        <v>江苏省 苏州市 太仓市 城厢镇</v>
      </c>
      <c r="N4935" s="1" t="str">
        <f t="shared" si="1608"/>
        <v>凡华云仓-城南圆通-抖音</v>
      </c>
      <c r="O4935" s="5" t="s">
        <v>4960</v>
      </c>
      <c r="P4935" s="6">
        <v>0.59</v>
      </c>
      <c r="Q4935" s="11">
        <f>CEILING(P4935-0.5,0.1)*10*0.15+2.3</f>
        <v>2.4499999999999997</v>
      </c>
      <c r="R4935" s="11"/>
      <c r="S4935" s="11"/>
      <c r="T4935" s="11"/>
      <c r="U4935" s="11">
        <f t="shared" si="1609"/>
        <v>2.4499999999999997</v>
      </c>
      <c r="V4935" t="s">
        <v>15</v>
      </c>
      <c r="W4935">
        <v>2.4500000000000002</v>
      </c>
      <c r="X4935" s="1" t="s">
        <v>13</v>
      </c>
    </row>
    <row r="4936" spans="1:24" x14ac:dyDescent="0.25">
      <c r="A4936" s="1" t="str">
        <f t="shared" si="1610"/>
        <v>卡卡杜-凤凰仓</v>
      </c>
      <c r="B4936" s="1" t="str">
        <f>"CK2024102025779"</f>
        <v>CK2024102025779</v>
      </c>
      <c r="C4936" s="1" t="str">
        <f>"DD2024102046501"</f>
        <v>DD2024102046501</v>
      </c>
      <c r="D4936" s="1" t="str">
        <f>"CK2024102046043"</f>
        <v>CK2024102046043</v>
      </c>
      <c r="E4936" s="1" t="str">
        <f>"6935239623054005818"</f>
        <v>6935239623054005818</v>
      </c>
      <c r="F4936" s="1" t="str">
        <f t="shared" si="1611"/>
        <v>花都四部-凤凰仓</v>
      </c>
      <c r="G4936" s="1" t="str">
        <f t="shared" si="1607"/>
        <v>卡卡杜个人护理店（抖店）</v>
      </c>
      <c r="H4936" s="1" t="str">
        <f t="shared" si="1612"/>
        <v>正常订单</v>
      </c>
      <c r="I4936" s="1" t="str">
        <f t="shared" si="1613"/>
        <v>已发货</v>
      </c>
      <c r="J4936" s="1" t="str">
        <f t="shared" si="1614"/>
        <v>3</v>
      </c>
      <c r="K4936" s="1">
        <v>2</v>
      </c>
      <c r="L4936" s="1" t="s">
        <v>74</v>
      </c>
      <c r="M4936" s="1" t="str">
        <f>"上海 上海市 嘉定区 真新街道"</f>
        <v>上海 上海市 嘉定区 真新街道</v>
      </c>
      <c r="N4936" s="1" t="str">
        <f t="shared" si="1608"/>
        <v>凡华云仓-城南圆通-抖音</v>
      </c>
      <c r="O4936" s="5" t="s">
        <v>4961</v>
      </c>
      <c r="P4936" s="6">
        <v>0.35</v>
      </c>
      <c r="Q4936" s="11">
        <v>2.2999999999999998</v>
      </c>
      <c r="R4936" s="11"/>
      <c r="S4936" s="11"/>
      <c r="T4936" s="11"/>
      <c r="U4936" s="11">
        <f t="shared" si="1609"/>
        <v>2.2999999999999998</v>
      </c>
      <c r="W4936">
        <v>2.5</v>
      </c>
      <c r="X4936" s="1" t="s">
        <v>74</v>
      </c>
    </row>
    <row r="4937" spans="1:24" x14ac:dyDescent="0.25">
      <c r="A4937" s="1" t="str">
        <f t="shared" si="1610"/>
        <v>卡卡杜-凤凰仓</v>
      </c>
      <c r="B4937" s="1" t="str">
        <f>"CK2024102025780"</f>
        <v>CK2024102025780</v>
      </c>
      <c r="C4937" s="1" t="str">
        <f>"DD2024102046502"</f>
        <v>DD2024102046502</v>
      </c>
      <c r="D4937" s="1" t="str">
        <f>"CK2024102046042"</f>
        <v>CK2024102046042</v>
      </c>
      <c r="E4937" s="1" t="str">
        <f>"6935230772899026858"</f>
        <v>6935230772899026858</v>
      </c>
      <c r="F4937" s="1" t="str">
        <f t="shared" si="1611"/>
        <v>花都四部-凤凰仓</v>
      </c>
      <c r="G4937" s="1" t="str">
        <f t="shared" si="1607"/>
        <v>卡卡杜个人护理店（抖店）</v>
      </c>
      <c r="H4937" s="1" t="str">
        <f t="shared" si="1612"/>
        <v>正常订单</v>
      </c>
      <c r="I4937" s="1" t="str">
        <f t="shared" si="1613"/>
        <v>已发货</v>
      </c>
      <c r="J4937" s="1" t="str">
        <f t="shared" si="1614"/>
        <v>3</v>
      </c>
      <c r="K4937" s="1">
        <v>2</v>
      </c>
      <c r="L4937" s="1" t="s">
        <v>41</v>
      </c>
      <c r="M4937" s="1" t="str">
        <f>"湖北省 宜昌市 秭归县 沙镇溪镇"</f>
        <v>湖北省 宜昌市 秭归县 沙镇溪镇</v>
      </c>
      <c r="N4937" s="1" t="str">
        <f t="shared" si="1608"/>
        <v>凡华云仓-城南圆通-抖音</v>
      </c>
      <c r="O4937" s="5" t="s">
        <v>4962</v>
      </c>
      <c r="P4937" s="6">
        <v>0.35</v>
      </c>
      <c r="Q4937" s="11">
        <v>2.2999999999999998</v>
      </c>
      <c r="R4937" s="11"/>
      <c r="S4937" s="11"/>
      <c r="T4937" s="11"/>
      <c r="U4937" s="11">
        <f t="shared" si="1609"/>
        <v>2.2999999999999998</v>
      </c>
      <c r="W4937">
        <v>2.5</v>
      </c>
      <c r="X4937" s="1" t="s">
        <v>41</v>
      </c>
    </row>
    <row r="4938" spans="1:24" x14ac:dyDescent="0.25">
      <c r="A4938" s="1" t="str">
        <f t="shared" si="1610"/>
        <v>卡卡杜-凤凰仓</v>
      </c>
      <c r="B4938" s="1" t="str">
        <f>"CK2024102025781"</f>
        <v>CK2024102025781</v>
      </c>
      <c r="C4938" s="1" t="str">
        <f>"DD2024102046500"</f>
        <v>DD2024102046500</v>
      </c>
      <c r="D4938" s="1" t="str">
        <f>"CK2024102046041"</f>
        <v>CK2024102046041</v>
      </c>
      <c r="E4938" s="1" t="str">
        <f>"6935254986347255755"</f>
        <v>6935254986347255755</v>
      </c>
      <c r="F4938" s="1" t="str">
        <f t="shared" si="1611"/>
        <v>花都四部-凤凰仓</v>
      </c>
      <c r="G4938" s="1" t="str">
        <f t="shared" si="1607"/>
        <v>卡卡杜个人护理店（抖店）</v>
      </c>
      <c r="H4938" s="1" t="str">
        <f t="shared" si="1612"/>
        <v>正常订单</v>
      </c>
      <c r="I4938" s="1" t="str">
        <f t="shared" si="1613"/>
        <v>已发货</v>
      </c>
      <c r="J4938" s="1" t="str">
        <f t="shared" si="1614"/>
        <v>3</v>
      </c>
      <c r="K4938" s="1">
        <v>2</v>
      </c>
      <c r="L4938" s="1" t="s">
        <v>13</v>
      </c>
      <c r="M4938" s="1" t="str">
        <f>"江苏省 南京市 浦口区 沿江街道"</f>
        <v>江苏省 南京市 浦口区 沿江街道</v>
      </c>
      <c r="N4938" s="1" t="str">
        <f t="shared" si="1608"/>
        <v>凡华云仓-城南圆通-抖音</v>
      </c>
      <c r="O4938" s="5" t="s">
        <v>4963</v>
      </c>
      <c r="P4938" s="6">
        <v>0.35</v>
      </c>
      <c r="Q4938" s="11">
        <v>2.2999999999999998</v>
      </c>
      <c r="R4938" s="11"/>
      <c r="S4938" s="11"/>
      <c r="T4938" s="11"/>
      <c r="U4938" s="11">
        <f t="shared" si="1609"/>
        <v>2.2999999999999998</v>
      </c>
      <c r="W4938">
        <v>2.5</v>
      </c>
      <c r="X4938" s="1" t="s">
        <v>13</v>
      </c>
    </row>
    <row r="4939" spans="1:24" x14ac:dyDescent="0.25">
      <c r="A4939" s="1" t="str">
        <f t="shared" si="1610"/>
        <v>卡卡杜-凤凰仓</v>
      </c>
      <c r="B4939" s="1" t="str">
        <f>"CK2024102025783"</f>
        <v>CK2024102025783</v>
      </c>
      <c r="C4939" s="1" t="str">
        <f>"DD2024102046503"</f>
        <v>DD2024102046503</v>
      </c>
      <c r="D4939" s="1" t="str">
        <f>"CK2024102046040"</f>
        <v>CK2024102046040</v>
      </c>
      <c r="E4939" s="1" t="str">
        <f>"6935239727408944288"</f>
        <v>6935239727408944288</v>
      </c>
      <c r="F4939" s="1" t="str">
        <f t="shared" si="1611"/>
        <v>花都四部-凤凰仓</v>
      </c>
      <c r="G4939" s="1" t="str">
        <f t="shared" si="1607"/>
        <v>卡卡杜个人护理店（抖店）</v>
      </c>
      <c r="H4939" s="1" t="str">
        <f t="shared" si="1612"/>
        <v>正常订单</v>
      </c>
      <c r="I4939" s="1" t="str">
        <f t="shared" si="1613"/>
        <v>已发货</v>
      </c>
      <c r="J4939" s="1" t="str">
        <f t="shared" si="1614"/>
        <v>3</v>
      </c>
      <c r="K4939" s="1">
        <v>2</v>
      </c>
      <c r="L4939" s="1" t="s">
        <v>32</v>
      </c>
      <c r="M4939" s="1" t="str">
        <f>"陕西省 西安市 未央区 未央湖街道"</f>
        <v>陕西省 西安市 未央区 未央湖街道</v>
      </c>
      <c r="N4939" s="1" t="str">
        <f t="shared" si="1608"/>
        <v>凡华云仓-城南圆通-抖音</v>
      </c>
      <c r="O4939" s="5" t="s">
        <v>4964</v>
      </c>
      <c r="P4939" s="6">
        <v>0.35</v>
      </c>
      <c r="Q4939" s="11">
        <v>2.2999999999999998</v>
      </c>
      <c r="R4939" s="11"/>
      <c r="S4939" s="11"/>
      <c r="T4939" s="11"/>
      <c r="U4939" s="11">
        <f t="shared" si="1609"/>
        <v>2.2999999999999998</v>
      </c>
      <c r="W4939">
        <v>2.5</v>
      </c>
      <c r="X4939" s="1" t="s">
        <v>32</v>
      </c>
    </row>
    <row r="4940" spans="1:24" x14ac:dyDescent="0.25">
      <c r="A4940" s="1" t="str">
        <f t="shared" si="1610"/>
        <v>卡卡杜-凤凰仓</v>
      </c>
      <c r="B4940" s="1" t="str">
        <f>"CK2024102025784"</f>
        <v>CK2024102025784</v>
      </c>
      <c r="C4940" s="1" t="str">
        <f>"DD2024102046505"</f>
        <v>DD2024102046505</v>
      </c>
      <c r="D4940" s="1" t="str">
        <f>"CK2024102046039"</f>
        <v>CK2024102046039</v>
      </c>
      <c r="E4940" s="1" t="str">
        <f>"6935263923988666211"</f>
        <v>6935263923988666211</v>
      </c>
      <c r="F4940" s="1" t="str">
        <f t="shared" si="1611"/>
        <v>花都四部-凤凰仓</v>
      </c>
      <c r="G4940" s="1" t="str">
        <f t="shared" si="1607"/>
        <v>卡卡杜个人护理店（抖店）</v>
      </c>
      <c r="H4940" s="1" t="str">
        <f t="shared" si="1612"/>
        <v>正常订单</v>
      </c>
      <c r="I4940" s="1" t="str">
        <f t="shared" si="1613"/>
        <v>已发货</v>
      </c>
      <c r="J4940" s="1" t="str">
        <f t="shared" si="1614"/>
        <v>3</v>
      </c>
      <c r="K4940" s="1">
        <v>2</v>
      </c>
      <c r="L4940" s="1" t="s">
        <v>18</v>
      </c>
      <c r="M4940" s="1" t="str">
        <f>"广东省 阳江市 阳春市 春城街道"</f>
        <v>广东省 阳江市 阳春市 春城街道</v>
      </c>
      <c r="N4940" s="1" t="str">
        <f t="shared" si="1608"/>
        <v>凡华云仓-城南圆通-抖音</v>
      </c>
      <c r="O4940" s="5" t="s">
        <v>4965</v>
      </c>
      <c r="P4940" s="6">
        <v>0.35</v>
      </c>
      <c r="Q4940" s="11">
        <v>2.2999999999999998</v>
      </c>
      <c r="R4940" s="11"/>
      <c r="S4940" s="11"/>
      <c r="T4940" s="11"/>
      <c r="U4940" s="11">
        <f t="shared" si="1609"/>
        <v>2.2999999999999998</v>
      </c>
      <c r="W4940">
        <v>2.5</v>
      </c>
      <c r="X4940" s="1" t="s">
        <v>18</v>
      </c>
    </row>
    <row r="4941" spans="1:24" x14ac:dyDescent="0.25">
      <c r="A4941" s="1" t="str">
        <f t="shared" si="1610"/>
        <v>卡卡杜-凤凰仓</v>
      </c>
      <c r="B4941" s="1" t="str">
        <f>"CK2024102025785"</f>
        <v>CK2024102025785</v>
      </c>
      <c r="C4941" s="1" t="str">
        <f>"DD2024102046507"</f>
        <v>DD2024102046507</v>
      </c>
      <c r="D4941" s="1" t="str">
        <f>"CK2024102046038"</f>
        <v>CK2024102046038</v>
      </c>
      <c r="E4941" s="1" t="str">
        <f>"6935239586031802325"</f>
        <v>6935239586031802325</v>
      </c>
      <c r="F4941" s="1" t="str">
        <f t="shared" si="1611"/>
        <v>花都四部-凤凰仓</v>
      </c>
      <c r="G4941" s="1" t="str">
        <f t="shared" si="1607"/>
        <v>卡卡杜个人护理店（抖店）</v>
      </c>
      <c r="H4941" s="1" t="str">
        <f t="shared" si="1612"/>
        <v>正常订单</v>
      </c>
      <c r="I4941" s="1" t="str">
        <f t="shared" si="1613"/>
        <v>已发货</v>
      </c>
      <c r="J4941" s="1" t="str">
        <f t="shared" si="1614"/>
        <v>3</v>
      </c>
      <c r="K4941" s="1">
        <v>2</v>
      </c>
      <c r="L4941" s="1" t="s">
        <v>27</v>
      </c>
      <c r="M4941" s="1" t="str">
        <f>"贵州省 黔西南布依族苗族自治州 望谟县 王母街道"</f>
        <v>贵州省 黔西南布依族苗族自治州 望谟县 王母街道</v>
      </c>
      <c r="N4941" s="1" t="str">
        <f t="shared" si="1608"/>
        <v>凡华云仓-城南圆通-抖音</v>
      </c>
      <c r="O4941" s="5" t="s">
        <v>4966</v>
      </c>
      <c r="P4941" s="6">
        <v>0.35</v>
      </c>
      <c r="Q4941" s="11">
        <v>2.2999999999999998</v>
      </c>
      <c r="R4941" s="11"/>
      <c r="S4941" s="11"/>
      <c r="T4941" s="11"/>
      <c r="U4941" s="11">
        <f t="shared" si="1609"/>
        <v>2.2999999999999998</v>
      </c>
      <c r="W4941">
        <v>2.5</v>
      </c>
      <c r="X4941" s="1" t="s">
        <v>27</v>
      </c>
    </row>
    <row r="4942" spans="1:24" x14ac:dyDescent="0.25">
      <c r="A4942" s="1" t="str">
        <f t="shared" si="1610"/>
        <v>卡卡杜-凤凰仓</v>
      </c>
      <c r="B4942" s="1" t="str">
        <f>"CK2024102025786"</f>
        <v>CK2024102025786</v>
      </c>
      <c r="C4942" s="1" t="str">
        <f>"DD2024102046506"</f>
        <v>DD2024102046506</v>
      </c>
      <c r="D4942" s="1" t="str">
        <f>"CK2024102046037"</f>
        <v>CK2024102046037</v>
      </c>
      <c r="E4942" s="1" t="str">
        <f>"6935252732256326932"</f>
        <v>6935252732256326932</v>
      </c>
      <c r="F4942" s="1" t="str">
        <f t="shared" si="1611"/>
        <v>花都四部-凤凰仓</v>
      </c>
      <c r="G4942" s="1" t="str">
        <f t="shared" si="1607"/>
        <v>卡卡杜个人护理店（抖店）</v>
      </c>
      <c r="H4942" s="1" t="str">
        <f t="shared" si="1612"/>
        <v>正常订单</v>
      </c>
      <c r="I4942" s="1" t="str">
        <f t="shared" si="1613"/>
        <v>已发货</v>
      </c>
      <c r="J4942" s="1" t="str">
        <f t="shared" si="1614"/>
        <v>3</v>
      </c>
      <c r="K4942" s="1">
        <v>2</v>
      </c>
      <c r="L4942" s="1" t="s">
        <v>24</v>
      </c>
      <c r="M4942" s="1" t="str">
        <f>"福建省 莆田市 秀屿区 东峤镇"</f>
        <v>福建省 莆田市 秀屿区 东峤镇</v>
      </c>
      <c r="N4942" s="1" t="str">
        <f t="shared" si="1608"/>
        <v>凡华云仓-城南圆通-抖音</v>
      </c>
      <c r="O4942" s="5" t="s">
        <v>4967</v>
      </c>
      <c r="P4942" s="6">
        <v>0.35</v>
      </c>
      <c r="Q4942" s="11">
        <v>2.2999999999999998</v>
      </c>
      <c r="R4942" s="11"/>
      <c r="S4942" s="11"/>
      <c r="T4942" s="11"/>
      <c r="U4942" s="11">
        <f t="shared" si="1609"/>
        <v>2.2999999999999998</v>
      </c>
      <c r="W4942">
        <v>2.5</v>
      </c>
      <c r="X4942" s="1" t="s">
        <v>24</v>
      </c>
    </row>
    <row r="4943" spans="1:24" x14ac:dyDescent="0.25">
      <c r="A4943" s="1" t="str">
        <f t="shared" si="1610"/>
        <v>卡卡杜-凤凰仓</v>
      </c>
      <c r="B4943" s="1" t="str">
        <f>"CK2024102025787"</f>
        <v>CK2024102025787</v>
      </c>
      <c r="C4943" s="1" t="str">
        <f>"DD2024102046508"</f>
        <v>DD2024102046508</v>
      </c>
      <c r="D4943" s="1" t="str">
        <f>"CK2024102046036"</f>
        <v>CK2024102046036</v>
      </c>
      <c r="E4943" s="1" t="str">
        <f>"6935237522168288271"</f>
        <v>6935237522168288271</v>
      </c>
      <c r="F4943" s="1" t="str">
        <f t="shared" si="1611"/>
        <v>花都四部-凤凰仓</v>
      </c>
      <c r="G4943" s="1" t="str">
        <f t="shared" si="1607"/>
        <v>卡卡杜个人护理店（抖店）</v>
      </c>
      <c r="H4943" s="1" t="str">
        <f t="shared" si="1612"/>
        <v>正常订单</v>
      </c>
      <c r="I4943" s="1" t="str">
        <f t="shared" si="1613"/>
        <v>已发货</v>
      </c>
      <c r="J4943" s="1" t="str">
        <f t="shared" si="1614"/>
        <v>3</v>
      </c>
      <c r="K4943" s="1">
        <v>2</v>
      </c>
      <c r="L4943" s="1" t="s">
        <v>32</v>
      </c>
      <c r="M4943" s="1" t="str">
        <f>"陕西省 安康市 汉滨区 新城街道"</f>
        <v>陕西省 安康市 汉滨区 新城街道</v>
      </c>
      <c r="N4943" s="1" t="str">
        <f t="shared" si="1608"/>
        <v>凡华云仓-城南圆通-抖音</v>
      </c>
      <c r="O4943" s="5" t="s">
        <v>4968</v>
      </c>
      <c r="P4943" s="6">
        <v>0.35</v>
      </c>
      <c r="Q4943" s="11">
        <v>2.2999999999999998</v>
      </c>
      <c r="R4943" s="11"/>
      <c r="S4943" s="11"/>
      <c r="T4943" s="11"/>
      <c r="U4943" s="11">
        <f t="shared" si="1609"/>
        <v>2.2999999999999998</v>
      </c>
      <c r="W4943">
        <v>2.5</v>
      </c>
      <c r="X4943" s="1" t="s">
        <v>32</v>
      </c>
    </row>
    <row r="4944" spans="1:24" x14ac:dyDescent="0.25">
      <c r="A4944" s="1" t="str">
        <f t="shared" si="1610"/>
        <v>卡卡杜-凤凰仓</v>
      </c>
      <c r="B4944" s="1" t="str">
        <f>"CK2024102025788"</f>
        <v>CK2024102025788</v>
      </c>
      <c r="C4944" s="1" t="str">
        <f>"DD2024102046509"</f>
        <v>DD2024102046509</v>
      </c>
      <c r="D4944" s="1" t="str">
        <f>"CK2024102046035"</f>
        <v>CK2024102046035</v>
      </c>
      <c r="E4944" s="1" t="str">
        <f>"6935252779634857496"</f>
        <v>6935252779634857496</v>
      </c>
      <c r="F4944" s="1" t="str">
        <f t="shared" si="1611"/>
        <v>花都四部-凤凰仓</v>
      </c>
      <c r="G4944" s="1" t="str">
        <f t="shared" si="1607"/>
        <v>卡卡杜个人护理店（抖店）</v>
      </c>
      <c r="H4944" s="1" t="str">
        <f t="shared" si="1612"/>
        <v>正常订单</v>
      </c>
      <c r="I4944" s="1" t="str">
        <f t="shared" si="1613"/>
        <v>已发货</v>
      </c>
      <c r="J4944" s="1" t="str">
        <f t="shared" si="1614"/>
        <v>3</v>
      </c>
      <c r="K4944" s="1">
        <v>2</v>
      </c>
      <c r="L4944" s="1" t="s">
        <v>182</v>
      </c>
      <c r="M4944" s="1" t="str">
        <f>"新疆维吾尔自治区 阿勒泰地区 青河县 青河镇"</f>
        <v>新疆维吾尔自治区 阿勒泰地区 青河县 青河镇</v>
      </c>
      <c r="N4944" s="1" t="str">
        <f t="shared" si="1608"/>
        <v>凡华云仓-城南圆通-抖音</v>
      </c>
      <c r="O4944" s="5" t="s">
        <v>4969</v>
      </c>
      <c r="P4944" s="6">
        <v>0.35</v>
      </c>
      <c r="Q4944" s="11">
        <v>17</v>
      </c>
      <c r="R4944" s="11"/>
      <c r="S4944" s="11"/>
      <c r="T4944" s="11"/>
      <c r="U4944" s="11">
        <f t="shared" si="1609"/>
        <v>17</v>
      </c>
      <c r="W4944">
        <v>17</v>
      </c>
      <c r="X4944" s="1" t="s">
        <v>182</v>
      </c>
    </row>
    <row r="4945" spans="1:24" x14ac:dyDescent="0.25">
      <c r="A4945" s="1" t="str">
        <f t="shared" si="1610"/>
        <v>卡卡杜-凤凰仓</v>
      </c>
      <c r="B4945" s="1" t="str">
        <f>"CK2024102025789"</f>
        <v>CK2024102025789</v>
      </c>
      <c r="C4945" s="1" t="str">
        <f>"DD2024102046510"</f>
        <v>DD2024102046510</v>
      </c>
      <c r="D4945" s="1" t="str">
        <f>"CK2024102046034"</f>
        <v>CK2024102046034</v>
      </c>
      <c r="E4945" s="1" t="str">
        <f>"6935255002939463366"</f>
        <v>6935255002939463366</v>
      </c>
      <c r="F4945" s="1" t="str">
        <f t="shared" si="1611"/>
        <v>花都四部-凤凰仓</v>
      </c>
      <c r="G4945" s="1" t="str">
        <f t="shared" si="1607"/>
        <v>卡卡杜个人护理店（抖店）</v>
      </c>
      <c r="H4945" s="1" t="str">
        <f t="shared" si="1612"/>
        <v>正常订单</v>
      </c>
      <c r="I4945" s="1" t="str">
        <f t="shared" si="1613"/>
        <v>已发货</v>
      </c>
      <c r="J4945" s="1" t="str">
        <f t="shared" si="1614"/>
        <v>3</v>
      </c>
      <c r="K4945" s="1">
        <v>2</v>
      </c>
      <c r="L4945" s="1" t="s">
        <v>20</v>
      </c>
      <c r="M4945" s="1" t="str">
        <f>"浙江省 湖州市 吴兴区 滨湖街道"</f>
        <v>浙江省 湖州市 吴兴区 滨湖街道</v>
      </c>
      <c r="N4945" s="1" t="str">
        <f t="shared" si="1608"/>
        <v>凡华云仓-城南圆通-抖音</v>
      </c>
      <c r="O4945" s="5" t="s">
        <v>4970</v>
      </c>
      <c r="P4945" s="6">
        <v>0.35</v>
      </c>
      <c r="Q4945" s="11">
        <v>2.2999999999999998</v>
      </c>
      <c r="R4945" s="11"/>
      <c r="S4945" s="11"/>
      <c r="T4945" s="11"/>
      <c r="U4945" s="11">
        <f t="shared" si="1609"/>
        <v>2.2999999999999998</v>
      </c>
      <c r="W4945">
        <v>2.5</v>
      </c>
      <c r="X4945" s="1" t="s">
        <v>20</v>
      </c>
    </row>
    <row r="4946" spans="1:24" x14ac:dyDescent="0.25">
      <c r="A4946" s="1" t="str">
        <f t="shared" si="1610"/>
        <v>卡卡杜-凤凰仓</v>
      </c>
      <c r="B4946" s="1" t="str">
        <f>"CK2024102025790"</f>
        <v>CK2024102025790</v>
      </c>
      <c r="C4946" s="1" t="str">
        <f>"DD2024102046511"</f>
        <v>DD2024102046511</v>
      </c>
      <c r="D4946" s="1" t="str">
        <f>"CK2024102046033"</f>
        <v>CK2024102046033</v>
      </c>
      <c r="E4946" s="1" t="str">
        <f>"6935251011554251973"</f>
        <v>6935251011554251973</v>
      </c>
      <c r="F4946" s="1" t="str">
        <f t="shared" si="1611"/>
        <v>花都四部-凤凰仓</v>
      </c>
      <c r="G4946" s="1" t="str">
        <f t="shared" si="1607"/>
        <v>卡卡杜个人护理店（抖店）</v>
      </c>
      <c r="H4946" s="1" t="str">
        <f t="shared" si="1612"/>
        <v>正常订单</v>
      </c>
      <c r="I4946" s="1" t="str">
        <f t="shared" si="1613"/>
        <v>已发货</v>
      </c>
      <c r="J4946" s="1" t="str">
        <f t="shared" si="1614"/>
        <v>3</v>
      </c>
      <c r="K4946" s="1">
        <v>2</v>
      </c>
      <c r="L4946" s="1" t="s">
        <v>47</v>
      </c>
      <c r="M4946" s="1" t="str">
        <f>"重庆 重庆市 渝北区 仙桃街道"</f>
        <v>重庆 重庆市 渝北区 仙桃街道</v>
      </c>
      <c r="N4946" s="1" t="str">
        <f t="shared" si="1608"/>
        <v>凡华云仓-城南圆通-抖音</v>
      </c>
      <c r="O4946" s="5" t="s">
        <v>4971</v>
      </c>
      <c r="P4946" s="6">
        <v>0.35</v>
      </c>
      <c r="Q4946" s="11">
        <v>2.2999999999999998</v>
      </c>
      <c r="R4946" s="11"/>
      <c r="S4946" s="11"/>
      <c r="T4946" s="11"/>
      <c r="U4946" s="11">
        <f t="shared" si="1609"/>
        <v>2.2999999999999998</v>
      </c>
      <c r="W4946">
        <v>2.5</v>
      </c>
      <c r="X4946" s="1" t="s">
        <v>47</v>
      </c>
    </row>
    <row r="4947" spans="1:24" x14ac:dyDescent="0.25">
      <c r="A4947" s="1" t="str">
        <f t="shared" si="1610"/>
        <v>卡卡杜-凤凰仓</v>
      </c>
      <c r="B4947" s="1" t="str">
        <f>"CK2024102025791"</f>
        <v>CK2024102025791</v>
      </c>
      <c r="C4947" s="1" t="str">
        <f>"DD2024102046512"</f>
        <v>DD2024102046512</v>
      </c>
      <c r="D4947" s="1" t="str">
        <f>"CK2024102046032"</f>
        <v>CK2024102046032</v>
      </c>
      <c r="E4947" s="1" t="str">
        <f>"6935259338652128834"</f>
        <v>6935259338652128834</v>
      </c>
      <c r="F4947" s="1" t="str">
        <f t="shared" si="1611"/>
        <v>花都四部-凤凰仓</v>
      </c>
      <c r="G4947" s="1" t="str">
        <f t="shared" si="1607"/>
        <v>卡卡杜个人护理店（抖店）</v>
      </c>
      <c r="H4947" s="1" t="str">
        <f t="shared" si="1612"/>
        <v>正常订单</v>
      </c>
      <c r="I4947" s="1" t="str">
        <f t="shared" si="1613"/>
        <v>已发货</v>
      </c>
      <c r="J4947" s="1" t="str">
        <f t="shared" si="1614"/>
        <v>3</v>
      </c>
      <c r="K4947" s="1">
        <v>2</v>
      </c>
      <c r="L4947" s="1" t="s">
        <v>13</v>
      </c>
      <c r="M4947" s="1" t="str">
        <f>"江苏省 南京市 秦淮区 双塘街道"</f>
        <v>江苏省 南京市 秦淮区 双塘街道</v>
      </c>
      <c r="N4947" s="1" t="str">
        <f t="shared" si="1608"/>
        <v>凡华云仓-城南圆通-抖音</v>
      </c>
      <c r="O4947" s="5" t="s">
        <v>4972</v>
      </c>
      <c r="P4947" s="6">
        <v>0.35</v>
      </c>
      <c r="Q4947" s="11">
        <v>2.2999999999999998</v>
      </c>
      <c r="R4947" s="11"/>
      <c r="S4947" s="11"/>
      <c r="T4947" s="11"/>
      <c r="U4947" s="11">
        <f t="shared" si="1609"/>
        <v>2.2999999999999998</v>
      </c>
      <c r="W4947">
        <v>2.5</v>
      </c>
      <c r="X4947" s="1" t="s">
        <v>13</v>
      </c>
    </row>
    <row r="4948" spans="1:24" x14ac:dyDescent="0.25">
      <c r="A4948" s="1" t="str">
        <f t="shared" si="1610"/>
        <v>卡卡杜-凤凰仓</v>
      </c>
      <c r="B4948" s="1" t="str">
        <f>"CK2024102025792"</f>
        <v>CK2024102025792</v>
      </c>
      <c r="C4948" s="1" t="str">
        <f>"DD2024102046513"</f>
        <v>DD2024102046513</v>
      </c>
      <c r="D4948" s="1" t="str">
        <f>"CK2024102046031"</f>
        <v>CK2024102046031</v>
      </c>
      <c r="E4948" s="1" t="str">
        <f>"6935237425283339547"</f>
        <v>6935237425283339547</v>
      </c>
      <c r="F4948" s="1" t="str">
        <f t="shared" si="1611"/>
        <v>花都四部-凤凰仓</v>
      </c>
      <c r="G4948" s="1" t="str">
        <f t="shared" si="1607"/>
        <v>卡卡杜个人护理店（抖店）</v>
      </c>
      <c r="H4948" s="1" t="str">
        <f t="shared" si="1612"/>
        <v>正常订单</v>
      </c>
      <c r="I4948" s="1" t="str">
        <f t="shared" si="1613"/>
        <v>已发货</v>
      </c>
      <c r="J4948" s="1" t="str">
        <f>"5"</f>
        <v>5</v>
      </c>
      <c r="K4948" s="1">
        <v>2</v>
      </c>
      <c r="L4948" s="1" t="s">
        <v>22</v>
      </c>
      <c r="M4948" s="1" t="str">
        <f>"江西省 赣州市 章贡区 黄金岭街道"</f>
        <v>江西省 赣州市 章贡区 黄金岭街道</v>
      </c>
      <c r="N4948" s="1" t="str">
        <f t="shared" si="1608"/>
        <v>凡华云仓-城南圆通-抖音</v>
      </c>
      <c r="O4948" s="5" t="s">
        <v>4973</v>
      </c>
      <c r="P4948" s="6">
        <v>0.59</v>
      </c>
      <c r="Q4948" s="11">
        <f>CEILING(P4948-0.5,0.1)*10*0.15+2.3</f>
        <v>2.4499999999999997</v>
      </c>
      <c r="R4948" s="11"/>
      <c r="S4948" s="11"/>
      <c r="T4948" s="11"/>
      <c r="U4948" s="11">
        <f t="shared" si="1609"/>
        <v>2.4499999999999997</v>
      </c>
      <c r="V4948" t="s">
        <v>15</v>
      </c>
      <c r="W4948">
        <v>2.4500000000000002</v>
      </c>
      <c r="X4948" s="1" t="s">
        <v>22</v>
      </c>
    </row>
    <row r="4949" spans="1:24" x14ac:dyDescent="0.25">
      <c r="A4949" s="1" t="str">
        <f t="shared" si="1610"/>
        <v>卡卡杜-凤凰仓</v>
      </c>
      <c r="B4949" s="1" t="str">
        <f>"CK2024102025793"</f>
        <v>CK2024102025793</v>
      </c>
      <c r="C4949" s="1" t="str">
        <f>"DD2024102046514"</f>
        <v>DD2024102046514</v>
      </c>
      <c r="D4949" s="1" t="str">
        <f>"CK2024102046030"</f>
        <v>CK2024102046030</v>
      </c>
      <c r="E4949" s="1" t="str">
        <f>"6935242334599583179"</f>
        <v>6935242334599583179</v>
      </c>
      <c r="F4949" s="1" t="str">
        <f t="shared" si="1611"/>
        <v>花都四部-凤凰仓</v>
      </c>
      <c r="G4949" s="1" t="str">
        <f t="shared" si="1607"/>
        <v>卡卡杜个人护理店（抖店）</v>
      </c>
      <c r="H4949" s="1" t="str">
        <f t="shared" si="1612"/>
        <v>正常订单</v>
      </c>
      <c r="I4949" s="1" t="str">
        <f t="shared" si="1613"/>
        <v>已发货</v>
      </c>
      <c r="J4949" s="1" t="str">
        <f>"5"</f>
        <v>5</v>
      </c>
      <c r="K4949" s="1">
        <v>2</v>
      </c>
      <c r="L4949" s="1" t="s">
        <v>20</v>
      </c>
      <c r="M4949" s="1" t="str">
        <f>"浙江省 宁波市 余姚市 泗门镇"</f>
        <v>浙江省 宁波市 余姚市 泗门镇</v>
      </c>
      <c r="N4949" s="1" t="str">
        <f t="shared" si="1608"/>
        <v>凡华云仓-城南圆通-抖音</v>
      </c>
      <c r="O4949" s="5" t="s">
        <v>4974</v>
      </c>
      <c r="P4949" s="6">
        <v>0.59</v>
      </c>
      <c r="Q4949" s="11">
        <f>CEILING(P4949-0.5,0.1)*10*0.15+2.3</f>
        <v>2.4499999999999997</v>
      </c>
      <c r="R4949" s="11"/>
      <c r="S4949" s="11"/>
      <c r="T4949" s="11"/>
      <c r="U4949" s="11">
        <f t="shared" si="1609"/>
        <v>2.4499999999999997</v>
      </c>
      <c r="V4949" t="s">
        <v>15</v>
      </c>
      <c r="W4949">
        <v>2.4500000000000002</v>
      </c>
      <c r="X4949" s="1" t="s">
        <v>20</v>
      </c>
    </row>
    <row r="4950" spans="1:24" x14ac:dyDescent="0.25">
      <c r="A4950" s="1" t="str">
        <f t="shared" si="1610"/>
        <v>卡卡杜-凤凰仓</v>
      </c>
      <c r="B4950" s="1" t="str">
        <f>"CK2024102025794"</f>
        <v>CK2024102025794</v>
      </c>
      <c r="C4950" s="1" t="str">
        <f>"DD2024102046515"</f>
        <v>DD2024102046515</v>
      </c>
      <c r="D4950" s="1" t="str">
        <f>"CK2024102046029"</f>
        <v>CK2024102046029</v>
      </c>
      <c r="E4950" s="1" t="str">
        <f>"6935259251969889329"</f>
        <v>6935259251969889329</v>
      </c>
      <c r="F4950" s="1" t="str">
        <f t="shared" si="1611"/>
        <v>花都四部-凤凰仓</v>
      </c>
      <c r="G4950" s="1" t="str">
        <f t="shared" si="1607"/>
        <v>卡卡杜个人护理店（抖店）</v>
      </c>
      <c r="H4950" s="1" t="str">
        <f t="shared" si="1612"/>
        <v>正常订单</v>
      </c>
      <c r="I4950" s="1" t="str">
        <f t="shared" si="1613"/>
        <v>已发货</v>
      </c>
      <c r="J4950" s="1" t="str">
        <f t="shared" ref="J4950:J4957" si="1615">"3"</f>
        <v>3</v>
      </c>
      <c r="K4950" s="1">
        <v>2</v>
      </c>
      <c r="L4950" s="1" t="s">
        <v>20</v>
      </c>
      <c r="M4950" s="1" t="str">
        <f>"浙江省 舟山市 定海区 临城街道"</f>
        <v>浙江省 舟山市 定海区 临城街道</v>
      </c>
      <c r="N4950" s="1" t="str">
        <f t="shared" si="1608"/>
        <v>凡华云仓-城南圆通-抖音</v>
      </c>
      <c r="O4950" s="5" t="s">
        <v>4975</v>
      </c>
      <c r="P4950" s="6">
        <v>0.35</v>
      </c>
      <c r="Q4950" s="11">
        <v>2.2999999999999998</v>
      </c>
      <c r="R4950" s="11"/>
      <c r="S4950" s="11"/>
      <c r="T4950" s="11"/>
      <c r="U4950" s="11">
        <f t="shared" si="1609"/>
        <v>2.2999999999999998</v>
      </c>
      <c r="W4950">
        <v>2.5</v>
      </c>
      <c r="X4950" s="1" t="s">
        <v>20</v>
      </c>
    </row>
    <row r="4951" spans="1:24" x14ac:dyDescent="0.25">
      <c r="A4951" s="1" t="str">
        <f t="shared" si="1610"/>
        <v>卡卡杜-凤凰仓</v>
      </c>
      <c r="B4951" s="1" t="str">
        <f>"CK2024102025802"</f>
        <v>CK2024102025802</v>
      </c>
      <c r="C4951" s="1" t="str">
        <f>"DD2024102046523"</f>
        <v>DD2024102046523</v>
      </c>
      <c r="D4951" s="1" t="str">
        <f>"CK2024102046028"</f>
        <v>CK2024102046028</v>
      </c>
      <c r="E4951" s="1" t="str">
        <f>"6935255085988059046"</f>
        <v>6935255085988059046</v>
      </c>
      <c r="F4951" s="1" t="str">
        <f t="shared" si="1611"/>
        <v>花都四部-凤凰仓</v>
      </c>
      <c r="G4951" s="1" t="str">
        <f t="shared" si="1607"/>
        <v>卡卡杜个人护理店（抖店）</v>
      </c>
      <c r="H4951" s="1" t="str">
        <f t="shared" si="1612"/>
        <v>正常订单</v>
      </c>
      <c r="I4951" s="1" t="str">
        <f t="shared" si="1613"/>
        <v>已发货</v>
      </c>
      <c r="J4951" s="1" t="str">
        <f t="shared" si="1615"/>
        <v>3</v>
      </c>
      <c r="K4951" s="1">
        <v>2</v>
      </c>
      <c r="L4951" s="1" t="s">
        <v>54</v>
      </c>
      <c r="M4951" s="1" t="str">
        <f>"黑龙江省 大兴安岭地区 大兴安岭辖区 "</f>
        <v xml:space="preserve">黑龙江省 大兴安岭地区 大兴安岭辖区 </v>
      </c>
      <c r="N4951" s="1" t="str">
        <f t="shared" si="1608"/>
        <v>凡华云仓-城南圆通-抖音</v>
      </c>
      <c r="O4951" s="5" t="s">
        <v>4976</v>
      </c>
      <c r="P4951" s="6">
        <v>0.35</v>
      </c>
      <c r="Q4951" s="11">
        <v>2.2999999999999998</v>
      </c>
      <c r="R4951" s="11"/>
      <c r="S4951" s="11"/>
      <c r="T4951" s="11"/>
      <c r="U4951" s="11">
        <f t="shared" si="1609"/>
        <v>2.2999999999999998</v>
      </c>
      <c r="W4951">
        <v>2.5</v>
      </c>
      <c r="X4951" s="1" t="s">
        <v>54</v>
      </c>
    </row>
    <row r="4952" spans="1:24" x14ac:dyDescent="0.25">
      <c r="A4952" s="1" t="str">
        <f t="shared" si="1610"/>
        <v>卡卡杜-凤凰仓</v>
      </c>
      <c r="B4952" s="1" t="str">
        <f>"CK2024102025808"</f>
        <v>CK2024102025808</v>
      </c>
      <c r="C4952" s="1" t="str">
        <f>"DD2024102046528"</f>
        <v>DD2024102046528</v>
      </c>
      <c r="D4952" s="1" t="str">
        <f>"CK2024102046027"</f>
        <v>CK2024102046027</v>
      </c>
      <c r="E4952" s="1" t="str">
        <f>"6935244114816144688"</f>
        <v>6935244114816144688</v>
      </c>
      <c r="F4952" s="1" t="str">
        <f t="shared" si="1611"/>
        <v>花都四部-凤凰仓</v>
      </c>
      <c r="G4952" s="1" t="str">
        <f t="shared" si="1607"/>
        <v>卡卡杜个人护理店（抖店）</v>
      </c>
      <c r="H4952" s="1" t="str">
        <f t="shared" si="1612"/>
        <v>正常订单</v>
      </c>
      <c r="I4952" s="1" t="str">
        <f t="shared" si="1613"/>
        <v>已发货</v>
      </c>
      <c r="J4952" s="1" t="str">
        <f t="shared" si="1615"/>
        <v>3</v>
      </c>
      <c r="K4952" s="1">
        <v>2</v>
      </c>
      <c r="L4952" s="1" t="s">
        <v>74</v>
      </c>
      <c r="M4952" s="1" t="str">
        <f>"上海 上海市 闵行区 浦江镇"</f>
        <v>上海 上海市 闵行区 浦江镇</v>
      </c>
      <c r="N4952" s="1" t="str">
        <f t="shared" si="1608"/>
        <v>凡华云仓-城南圆通-抖音</v>
      </c>
      <c r="O4952" s="5" t="s">
        <v>4977</v>
      </c>
      <c r="P4952" s="6">
        <v>0.35</v>
      </c>
      <c r="Q4952" s="11">
        <v>2.2999999999999998</v>
      </c>
      <c r="R4952" s="11"/>
      <c r="S4952" s="11"/>
      <c r="T4952" s="11"/>
      <c r="U4952" s="11">
        <f t="shared" si="1609"/>
        <v>2.2999999999999998</v>
      </c>
      <c r="W4952">
        <v>2.5</v>
      </c>
      <c r="X4952" s="1" t="s">
        <v>74</v>
      </c>
    </row>
    <row r="4953" spans="1:24" x14ac:dyDescent="0.25">
      <c r="A4953" s="1" t="str">
        <f t="shared" si="1610"/>
        <v>卡卡杜-凤凰仓</v>
      </c>
      <c r="B4953" s="1" t="str">
        <f>"CK2024102025809"</f>
        <v>CK2024102025809</v>
      </c>
      <c r="C4953" s="1" t="str">
        <f>"DD2024102046529"</f>
        <v>DD2024102046529</v>
      </c>
      <c r="D4953" s="1" t="str">
        <f>"CK2024102046026"</f>
        <v>CK2024102046026</v>
      </c>
      <c r="E4953" s="1" t="str">
        <f>"6935252662296515753"</f>
        <v>6935252662296515753</v>
      </c>
      <c r="F4953" s="1" t="str">
        <f t="shared" si="1611"/>
        <v>花都四部-凤凰仓</v>
      </c>
      <c r="G4953" s="1" t="str">
        <f t="shared" si="1607"/>
        <v>卡卡杜个人护理店（抖店）</v>
      </c>
      <c r="H4953" s="1" t="str">
        <f t="shared" si="1612"/>
        <v>正常订单</v>
      </c>
      <c r="I4953" s="1" t="str">
        <f t="shared" si="1613"/>
        <v>已发货</v>
      </c>
      <c r="J4953" s="1" t="str">
        <f t="shared" si="1615"/>
        <v>3</v>
      </c>
      <c r="K4953" s="1">
        <v>2</v>
      </c>
      <c r="L4953" s="1" t="s">
        <v>13</v>
      </c>
      <c r="M4953" s="1" t="str">
        <f>"江苏省 苏州市 姑苏区 吴门桥街道"</f>
        <v>江苏省 苏州市 姑苏区 吴门桥街道</v>
      </c>
      <c r="N4953" s="1" t="str">
        <f t="shared" si="1608"/>
        <v>凡华云仓-城南圆通-抖音</v>
      </c>
      <c r="O4953" s="5" t="s">
        <v>4978</v>
      </c>
      <c r="P4953" s="6">
        <v>0.35</v>
      </c>
      <c r="Q4953" s="11">
        <v>2.2999999999999998</v>
      </c>
      <c r="R4953" s="11"/>
      <c r="S4953" s="11"/>
      <c r="T4953" s="11"/>
      <c r="U4953" s="11">
        <f t="shared" si="1609"/>
        <v>2.2999999999999998</v>
      </c>
      <c r="W4953">
        <v>2.5</v>
      </c>
      <c r="X4953" s="1" t="s">
        <v>13</v>
      </c>
    </row>
    <row r="4954" spans="1:24" x14ac:dyDescent="0.25">
      <c r="A4954" s="1" t="str">
        <f t="shared" si="1610"/>
        <v>卡卡杜-凤凰仓</v>
      </c>
      <c r="B4954" s="1" t="str">
        <f>"CK2024102025812"</f>
        <v>CK2024102025812</v>
      </c>
      <c r="C4954" s="1" t="str">
        <f>"DD2024102046532"</f>
        <v>DD2024102046532</v>
      </c>
      <c r="D4954" s="1" t="str">
        <f>"CK2024102046025"</f>
        <v>CK2024102046025</v>
      </c>
      <c r="E4954" s="1" t="str">
        <f>"6935226025559725467"</f>
        <v>6935226025559725467</v>
      </c>
      <c r="F4954" s="1" t="str">
        <f t="shared" si="1611"/>
        <v>花都四部-凤凰仓</v>
      </c>
      <c r="G4954" s="1" t="str">
        <f t="shared" si="1607"/>
        <v>卡卡杜个人护理店（抖店）</v>
      </c>
      <c r="H4954" s="1" t="str">
        <f t="shared" si="1612"/>
        <v>正常订单</v>
      </c>
      <c r="I4954" s="1" t="str">
        <f t="shared" si="1613"/>
        <v>已发货</v>
      </c>
      <c r="J4954" s="1" t="str">
        <f t="shared" si="1615"/>
        <v>3</v>
      </c>
      <c r="K4954" s="1">
        <v>2</v>
      </c>
      <c r="L4954" s="1" t="s">
        <v>13</v>
      </c>
      <c r="M4954" s="1" t="str">
        <f>"江苏省 苏州市 昆山市 昆山经济技术开发区"</f>
        <v>江苏省 苏州市 昆山市 昆山经济技术开发区</v>
      </c>
      <c r="N4954" s="1" t="str">
        <f t="shared" si="1608"/>
        <v>凡华云仓-城南圆通-抖音</v>
      </c>
      <c r="O4954" s="5" t="s">
        <v>4979</v>
      </c>
      <c r="P4954" s="6">
        <v>0.35</v>
      </c>
      <c r="Q4954" s="11">
        <v>2.2999999999999998</v>
      </c>
      <c r="R4954" s="11"/>
      <c r="S4954" s="11"/>
      <c r="T4954" s="11"/>
      <c r="U4954" s="11">
        <f t="shared" si="1609"/>
        <v>2.2999999999999998</v>
      </c>
      <c r="W4954">
        <v>2.5</v>
      </c>
      <c r="X4954" s="1" t="s">
        <v>13</v>
      </c>
    </row>
    <row r="4955" spans="1:24" x14ac:dyDescent="0.25">
      <c r="A4955" s="1" t="str">
        <f t="shared" si="1610"/>
        <v>卡卡杜-凤凰仓</v>
      </c>
      <c r="B4955" s="1" t="str">
        <f>"CK2024102025828"</f>
        <v>CK2024102025828</v>
      </c>
      <c r="C4955" s="1" t="str">
        <f>"DD2024102046548"</f>
        <v>DD2024102046548</v>
      </c>
      <c r="D4955" s="1" t="str">
        <f>"CK2024102046024"</f>
        <v>CK2024102046024</v>
      </c>
      <c r="E4955" s="1" t="str">
        <f>"6935250762441692508"</f>
        <v>6935250762441692508</v>
      </c>
      <c r="F4955" s="1" t="str">
        <f t="shared" si="1611"/>
        <v>花都四部-凤凰仓</v>
      </c>
      <c r="G4955" s="1" t="str">
        <f t="shared" si="1607"/>
        <v>卡卡杜个人护理店（抖店）</v>
      </c>
      <c r="H4955" s="1" t="str">
        <f t="shared" si="1612"/>
        <v>正常订单</v>
      </c>
      <c r="I4955" s="1" t="str">
        <f t="shared" si="1613"/>
        <v>已发货</v>
      </c>
      <c r="J4955" s="1" t="str">
        <f t="shared" si="1615"/>
        <v>3</v>
      </c>
      <c r="K4955" s="1">
        <v>2</v>
      </c>
      <c r="L4955" s="1" t="s">
        <v>13</v>
      </c>
      <c r="M4955" s="1" t="str">
        <f>"江苏省 南京市 江宁区 秣陵街道"</f>
        <v>江苏省 南京市 江宁区 秣陵街道</v>
      </c>
      <c r="N4955" s="1" t="str">
        <f t="shared" si="1608"/>
        <v>凡华云仓-城南圆通-抖音</v>
      </c>
      <c r="O4955" s="5" t="s">
        <v>4980</v>
      </c>
      <c r="P4955" s="6">
        <v>0.35</v>
      </c>
      <c r="Q4955" s="11">
        <v>2.2999999999999998</v>
      </c>
      <c r="R4955" s="11"/>
      <c r="S4955" s="11"/>
      <c r="T4955" s="11"/>
      <c r="U4955" s="11">
        <f t="shared" si="1609"/>
        <v>2.2999999999999998</v>
      </c>
      <c r="W4955">
        <v>2.5</v>
      </c>
      <c r="X4955" s="1" t="s">
        <v>13</v>
      </c>
    </row>
    <row r="4956" spans="1:24" x14ac:dyDescent="0.25">
      <c r="A4956" s="1" t="str">
        <f t="shared" si="1610"/>
        <v>卡卡杜-凤凰仓</v>
      </c>
      <c r="B4956" s="1" t="str">
        <f>"CK2024102025832"</f>
        <v>CK2024102025832</v>
      </c>
      <c r="C4956" s="1" t="str">
        <f>"DD2024102046552"</f>
        <v>DD2024102046552</v>
      </c>
      <c r="D4956" s="1" t="str">
        <f>"CK2024102046023"</f>
        <v>CK2024102046023</v>
      </c>
      <c r="E4956" s="1" t="str">
        <f>"6935230338929268147"</f>
        <v>6935230338929268147</v>
      </c>
      <c r="F4956" s="1" t="str">
        <f t="shared" si="1611"/>
        <v>花都四部-凤凰仓</v>
      </c>
      <c r="G4956" s="1" t="str">
        <f t="shared" si="1607"/>
        <v>卡卡杜个人护理店（抖店）</v>
      </c>
      <c r="H4956" s="1" t="str">
        <f t="shared" si="1612"/>
        <v>正常订单</v>
      </c>
      <c r="I4956" s="1" t="str">
        <f t="shared" si="1613"/>
        <v>已发货</v>
      </c>
      <c r="J4956" s="1" t="str">
        <f t="shared" si="1615"/>
        <v>3</v>
      </c>
      <c r="K4956" s="1">
        <v>2</v>
      </c>
      <c r="L4956" s="1" t="s">
        <v>96</v>
      </c>
      <c r="M4956" s="1" t="str">
        <f>"广西壮族自治区 梧州市 万秀区 "</f>
        <v xml:space="preserve">广西壮族自治区 梧州市 万秀区 </v>
      </c>
      <c r="N4956" s="1" t="str">
        <f t="shared" si="1608"/>
        <v>凡华云仓-城南圆通-抖音</v>
      </c>
      <c r="O4956" s="5" t="s">
        <v>4981</v>
      </c>
      <c r="P4956" s="6">
        <v>0.35</v>
      </c>
      <c r="Q4956" s="11">
        <v>2.2999999999999998</v>
      </c>
      <c r="R4956" s="11"/>
      <c r="S4956" s="11"/>
      <c r="T4956" s="11"/>
      <c r="U4956" s="11">
        <f t="shared" si="1609"/>
        <v>2.2999999999999998</v>
      </c>
      <c r="W4956">
        <v>2.5</v>
      </c>
      <c r="X4956" s="1" t="s">
        <v>96</v>
      </c>
    </row>
    <row r="4957" spans="1:24" x14ac:dyDescent="0.25">
      <c r="A4957" s="1" t="str">
        <f t="shared" si="1610"/>
        <v>卡卡杜-凤凰仓</v>
      </c>
      <c r="B4957" s="1" t="str">
        <f>"CK2024102025833"</f>
        <v>CK2024102025833</v>
      </c>
      <c r="C4957" s="1" t="str">
        <f>"DD2024102046553"</f>
        <v>DD2024102046553</v>
      </c>
      <c r="D4957" s="1" t="str">
        <f>"CK2024102046022"</f>
        <v>CK2024102046022</v>
      </c>
      <c r="E4957" s="1" t="str">
        <f>"6935228249666557725"</f>
        <v>6935228249666557725</v>
      </c>
      <c r="F4957" s="1" t="str">
        <f t="shared" si="1611"/>
        <v>花都四部-凤凰仓</v>
      </c>
      <c r="G4957" s="1" t="str">
        <f t="shared" si="1607"/>
        <v>卡卡杜个人护理店（抖店）</v>
      </c>
      <c r="H4957" s="1" t="str">
        <f t="shared" si="1612"/>
        <v>正常订单</v>
      </c>
      <c r="I4957" s="1" t="str">
        <f t="shared" si="1613"/>
        <v>已发货</v>
      </c>
      <c r="J4957" s="1" t="str">
        <f t="shared" si="1615"/>
        <v>3</v>
      </c>
      <c r="K4957" s="1">
        <v>2</v>
      </c>
      <c r="L4957" s="1" t="s">
        <v>94</v>
      </c>
      <c r="M4957" s="1" t="str">
        <f>"湖南省 长沙市 开福区 伍家岭街道"</f>
        <v>湖南省 长沙市 开福区 伍家岭街道</v>
      </c>
      <c r="N4957" s="1" t="str">
        <f t="shared" si="1608"/>
        <v>凡华云仓-城南圆通-抖音</v>
      </c>
      <c r="O4957" s="5" t="s">
        <v>4982</v>
      </c>
      <c r="P4957" s="6">
        <v>0.35</v>
      </c>
      <c r="Q4957" s="11">
        <v>2.2999999999999998</v>
      </c>
      <c r="R4957" s="11"/>
      <c r="S4957" s="11"/>
      <c r="T4957" s="11"/>
      <c r="U4957" s="11">
        <f t="shared" si="1609"/>
        <v>2.2999999999999998</v>
      </c>
      <c r="W4957">
        <v>2.5</v>
      </c>
      <c r="X4957" s="1" t="s">
        <v>94</v>
      </c>
    </row>
    <row r="4958" spans="1:24" x14ac:dyDescent="0.25">
      <c r="A4958" s="1" t="str">
        <f t="shared" si="1610"/>
        <v>卡卡杜-凤凰仓</v>
      </c>
      <c r="B4958" s="1" t="str">
        <f>"CK2024102025840"</f>
        <v>CK2024102025840</v>
      </c>
      <c r="C4958" s="1" t="str">
        <f>"DD2024102046561"</f>
        <v>DD2024102046561</v>
      </c>
      <c r="D4958" s="1" t="str">
        <f>"CK2024102046021"</f>
        <v>CK2024102046021</v>
      </c>
      <c r="E4958" s="1" t="str">
        <f>"6935239293532706248"</f>
        <v>6935239293532706248</v>
      </c>
      <c r="F4958" s="1" t="str">
        <f t="shared" si="1611"/>
        <v>花都四部-凤凰仓</v>
      </c>
      <c r="G4958" s="1" t="str">
        <f t="shared" si="1607"/>
        <v>卡卡杜个人护理店（抖店）</v>
      </c>
      <c r="H4958" s="1" t="str">
        <f t="shared" si="1612"/>
        <v>正常订单</v>
      </c>
      <c r="I4958" s="1" t="str">
        <f t="shared" si="1613"/>
        <v>已发货</v>
      </c>
      <c r="J4958" s="1" t="str">
        <f>"5"</f>
        <v>5</v>
      </c>
      <c r="K4958" s="1">
        <v>2</v>
      </c>
      <c r="L4958" s="1" t="s">
        <v>20</v>
      </c>
      <c r="M4958" s="1" t="str">
        <f>"浙江省 嘉兴市 秀洲区 新塍镇"</f>
        <v>浙江省 嘉兴市 秀洲区 新塍镇</v>
      </c>
      <c r="N4958" s="1" t="str">
        <f t="shared" si="1608"/>
        <v>凡华云仓-城南圆通-抖音</v>
      </c>
      <c r="O4958" s="5" t="s">
        <v>4983</v>
      </c>
      <c r="P4958" s="6">
        <v>0.59</v>
      </c>
      <c r="Q4958" s="11">
        <f>CEILING(P4958-0.5,0.1)*10*0.15+2.3</f>
        <v>2.4499999999999997</v>
      </c>
      <c r="R4958" s="11"/>
      <c r="S4958" s="11"/>
      <c r="T4958" s="11"/>
      <c r="U4958" s="11">
        <f t="shared" si="1609"/>
        <v>2.4499999999999997</v>
      </c>
      <c r="V4958" t="s">
        <v>15</v>
      </c>
      <c r="W4958">
        <v>2.4500000000000002</v>
      </c>
      <c r="X4958" s="1" t="s">
        <v>20</v>
      </c>
    </row>
    <row r="4959" spans="1:24" x14ac:dyDescent="0.25">
      <c r="A4959" s="1" t="str">
        <f t="shared" si="1610"/>
        <v>卡卡杜-凤凰仓</v>
      </c>
      <c r="B4959" s="1" t="str">
        <f>"CK2024102025842"</f>
        <v>CK2024102025842</v>
      </c>
      <c r="C4959" s="1" t="str">
        <f>"DD2024102046562"</f>
        <v>DD2024102046562</v>
      </c>
      <c r="D4959" s="1" t="str">
        <f>"CK2024102046020"</f>
        <v>CK2024102046020</v>
      </c>
      <c r="E4959" s="1" t="str">
        <f>"6935228157103838334"</f>
        <v>6935228157103838334</v>
      </c>
      <c r="F4959" s="1" t="str">
        <f t="shared" si="1611"/>
        <v>花都四部-凤凰仓</v>
      </c>
      <c r="G4959" s="1" t="str">
        <f t="shared" si="1607"/>
        <v>卡卡杜个人护理店（抖店）</v>
      </c>
      <c r="H4959" s="1" t="str">
        <f t="shared" si="1612"/>
        <v>正常订单</v>
      </c>
      <c r="I4959" s="1" t="str">
        <f t="shared" si="1613"/>
        <v>已发货</v>
      </c>
      <c r="J4959" s="1" t="str">
        <f t="shared" ref="J4959:J4970" si="1616">"3"</f>
        <v>3</v>
      </c>
      <c r="K4959" s="1">
        <v>2</v>
      </c>
      <c r="L4959" s="1" t="s">
        <v>94</v>
      </c>
      <c r="M4959" s="1" t="str">
        <f>"湖南省 邵阳市 新宁县 金石镇"</f>
        <v>湖南省 邵阳市 新宁县 金石镇</v>
      </c>
      <c r="N4959" s="1" t="str">
        <f t="shared" si="1608"/>
        <v>凡华云仓-城南圆通-抖音</v>
      </c>
      <c r="O4959" s="5" t="s">
        <v>4984</v>
      </c>
      <c r="P4959" s="6">
        <v>0.35</v>
      </c>
      <c r="Q4959" s="11">
        <v>2.2999999999999998</v>
      </c>
      <c r="R4959" s="11"/>
      <c r="S4959" s="11"/>
      <c r="T4959" s="11"/>
      <c r="U4959" s="11">
        <f t="shared" si="1609"/>
        <v>2.2999999999999998</v>
      </c>
      <c r="W4959">
        <v>2.5</v>
      </c>
      <c r="X4959" s="1" t="s">
        <v>94</v>
      </c>
    </row>
    <row r="4960" spans="1:24" x14ac:dyDescent="0.25">
      <c r="A4960" s="1" t="str">
        <f t="shared" si="1610"/>
        <v>卡卡杜-凤凰仓</v>
      </c>
      <c r="B4960" s="1" t="str">
        <f>"CK2024102025844"</f>
        <v>CK2024102025844</v>
      </c>
      <c r="C4960" s="1" t="str">
        <f>"DD2024102046564"</f>
        <v>DD2024102046564</v>
      </c>
      <c r="D4960" s="1" t="str">
        <f>"CK2024102046019"</f>
        <v>CK2024102046019</v>
      </c>
      <c r="E4960" s="1" t="str">
        <f>"6935245870255379981"</f>
        <v>6935245870255379981</v>
      </c>
      <c r="F4960" s="1" t="str">
        <f t="shared" si="1611"/>
        <v>花都四部-凤凰仓</v>
      </c>
      <c r="G4960" s="1" t="str">
        <f t="shared" si="1607"/>
        <v>卡卡杜个人护理店（抖店）</v>
      </c>
      <c r="H4960" s="1" t="str">
        <f t="shared" si="1612"/>
        <v>正常订单</v>
      </c>
      <c r="I4960" s="1" t="str">
        <f t="shared" si="1613"/>
        <v>已发货</v>
      </c>
      <c r="J4960" s="1" t="str">
        <f t="shared" si="1616"/>
        <v>3</v>
      </c>
      <c r="K4960" s="1">
        <v>2</v>
      </c>
      <c r="L4960" s="1" t="s">
        <v>105</v>
      </c>
      <c r="M4960" s="1" t="str">
        <f>"北京 北京市 丰台区 玉泉营街道"</f>
        <v>北京 北京市 丰台区 玉泉营街道</v>
      </c>
      <c r="N4960" s="1" t="str">
        <f t="shared" si="1608"/>
        <v>凡华云仓-城南圆通-抖音</v>
      </c>
      <c r="O4960" s="5" t="s">
        <v>4985</v>
      </c>
      <c r="P4960" s="6">
        <v>0.35</v>
      </c>
      <c r="Q4960" s="11">
        <v>2.2999999999999998</v>
      </c>
      <c r="R4960" s="11"/>
      <c r="S4960" s="11"/>
      <c r="T4960" s="11"/>
      <c r="U4960" s="11">
        <f t="shared" si="1609"/>
        <v>2.2999999999999998</v>
      </c>
      <c r="W4960">
        <v>2.5</v>
      </c>
      <c r="X4960" s="1" t="s">
        <v>105</v>
      </c>
    </row>
    <row r="4961" spans="1:24" x14ac:dyDescent="0.25">
      <c r="A4961" s="1" t="str">
        <f t="shared" si="1610"/>
        <v>卡卡杜-凤凰仓</v>
      </c>
      <c r="B4961" s="1" t="str">
        <f>"CK2024102025848"</f>
        <v>CK2024102025848</v>
      </c>
      <c r="C4961" s="1" t="str">
        <f>"DD2024102046568"</f>
        <v>DD2024102046568</v>
      </c>
      <c r="D4961" s="1" t="str">
        <f>"CK2024102046018"</f>
        <v>CK2024102046018</v>
      </c>
      <c r="E4961" s="1" t="str">
        <f>"6935234963741349340"</f>
        <v>6935234963741349340</v>
      </c>
      <c r="F4961" s="1" t="str">
        <f t="shared" si="1611"/>
        <v>花都四部-凤凰仓</v>
      </c>
      <c r="G4961" s="1" t="str">
        <f t="shared" si="1607"/>
        <v>卡卡杜个人护理店（抖店）</v>
      </c>
      <c r="H4961" s="1" t="str">
        <f t="shared" si="1612"/>
        <v>正常订单</v>
      </c>
      <c r="I4961" s="1" t="str">
        <f t="shared" si="1613"/>
        <v>已发货</v>
      </c>
      <c r="J4961" s="1" t="str">
        <f t="shared" si="1616"/>
        <v>3</v>
      </c>
      <c r="K4961" s="1">
        <v>2</v>
      </c>
      <c r="L4961" s="1" t="s">
        <v>22</v>
      </c>
      <c r="M4961" s="1" t="str">
        <f>"江西省 南昌市 东湖区 "</f>
        <v xml:space="preserve">江西省 南昌市 东湖区 </v>
      </c>
      <c r="N4961" s="1" t="str">
        <f t="shared" si="1608"/>
        <v>凡华云仓-城南圆通-抖音</v>
      </c>
      <c r="O4961" s="5" t="s">
        <v>4986</v>
      </c>
      <c r="P4961" s="6">
        <v>0.35</v>
      </c>
      <c r="Q4961" s="11">
        <v>2.2999999999999998</v>
      </c>
      <c r="R4961" s="11"/>
      <c r="S4961" s="11"/>
      <c r="T4961" s="11"/>
      <c r="U4961" s="11">
        <f t="shared" si="1609"/>
        <v>2.2999999999999998</v>
      </c>
      <c r="W4961">
        <v>2.5</v>
      </c>
      <c r="X4961" s="1" t="s">
        <v>22</v>
      </c>
    </row>
    <row r="4962" spans="1:24" x14ac:dyDescent="0.25">
      <c r="A4962" s="1" t="str">
        <f t="shared" si="1610"/>
        <v>卡卡杜-凤凰仓</v>
      </c>
      <c r="B4962" s="1" t="str">
        <f>"CK2024102025850"</f>
        <v>CK2024102025850</v>
      </c>
      <c r="C4962" s="1" t="str">
        <f>"DD2024102046570"</f>
        <v>DD2024102046570</v>
      </c>
      <c r="D4962" s="1" t="str">
        <f>"CK2024102046017"</f>
        <v>CK2024102046017</v>
      </c>
      <c r="E4962" s="1" t="str">
        <f>"6935243788910007608"</f>
        <v>6935243788910007608</v>
      </c>
      <c r="F4962" s="1" t="str">
        <f t="shared" si="1611"/>
        <v>花都四部-凤凰仓</v>
      </c>
      <c r="G4962" s="1" t="str">
        <f t="shared" si="1607"/>
        <v>卡卡杜个人护理店（抖店）</v>
      </c>
      <c r="H4962" s="1" t="str">
        <f t="shared" si="1612"/>
        <v>正常订单</v>
      </c>
      <c r="I4962" s="1" t="str">
        <f t="shared" si="1613"/>
        <v>已发货</v>
      </c>
      <c r="J4962" s="1" t="str">
        <f t="shared" si="1616"/>
        <v>3</v>
      </c>
      <c r="K4962" s="1">
        <v>3</v>
      </c>
      <c r="L4962" s="1" t="s">
        <v>20</v>
      </c>
      <c r="M4962" s="1" t="str">
        <f>"浙江省 台州市 椒江区 白云街道"</f>
        <v>浙江省 台州市 椒江区 白云街道</v>
      </c>
      <c r="N4962" s="1" t="str">
        <f t="shared" si="1608"/>
        <v>凡华云仓-城南圆通-抖音</v>
      </c>
      <c r="O4962" s="5" t="s">
        <v>4987</v>
      </c>
      <c r="P4962" s="6">
        <v>0.34</v>
      </c>
      <c r="Q4962" s="11">
        <v>2.2999999999999998</v>
      </c>
      <c r="R4962" s="11"/>
      <c r="S4962" s="11"/>
      <c r="T4962" s="11"/>
      <c r="U4962" s="11">
        <f t="shared" si="1609"/>
        <v>2.2999999999999998</v>
      </c>
      <c r="W4962">
        <v>2.5</v>
      </c>
      <c r="X4962" s="1" t="s">
        <v>20</v>
      </c>
    </row>
    <row r="4963" spans="1:24" x14ac:dyDescent="0.25">
      <c r="A4963" s="1" t="str">
        <f t="shared" si="1610"/>
        <v>卡卡杜-凤凰仓</v>
      </c>
      <c r="B4963" s="1" t="str">
        <f>"CK2024102025853"</f>
        <v>CK2024102025853</v>
      </c>
      <c r="C4963" s="1" t="str">
        <f>"DD2024102046574"</f>
        <v>DD2024102046574</v>
      </c>
      <c r="D4963" s="1" t="str">
        <f>"CK2024102046016"</f>
        <v>CK2024102046016</v>
      </c>
      <c r="E4963" s="1" t="str">
        <f>"6935239137259558268"</f>
        <v>6935239137259558268</v>
      </c>
      <c r="F4963" s="1" t="str">
        <f t="shared" si="1611"/>
        <v>花都四部-凤凰仓</v>
      </c>
      <c r="G4963" s="1" t="str">
        <f t="shared" si="1607"/>
        <v>卡卡杜个人护理店（抖店）</v>
      </c>
      <c r="H4963" s="1" t="str">
        <f t="shared" si="1612"/>
        <v>正常订单</v>
      </c>
      <c r="I4963" s="1" t="str">
        <f t="shared" si="1613"/>
        <v>已发货</v>
      </c>
      <c r="J4963" s="1" t="str">
        <f t="shared" si="1616"/>
        <v>3</v>
      </c>
      <c r="K4963" s="1">
        <v>2</v>
      </c>
      <c r="L4963" s="1" t="s">
        <v>20</v>
      </c>
      <c r="M4963" s="1" t="str">
        <f>"浙江省 台州市 温岭市 松门镇"</f>
        <v>浙江省 台州市 温岭市 松门镇</v>
      </c>
      <c r="N4963" s="1" t="str">
        <f t="shared" si="1608"/>
        <v>凡华云仓-城南圆通-抖音</v>
      </c>
      <c r="O4963" s="5" t="s">
        <v>4988</v>
      </c>
      <c r="P4963" s="6">
        <v>0.35</v>
      </c>
      <c r="Q4963" s="11">
        <v>2.2999999999999998</v>
      </c>
      <c r="R4963" s="11"/>
      <c r="S4963" s="11"/>
      <c r="T4963" s="11"/>
      <c r="U4963" s="11">
        <f t="shared" si="1609"/>
        <v>2.2999999999999998</v>
      </c>
      <c r="W4963">
        <v>2.5</v>
      </c>
      <c r="X4963" s="1" t="s">
        <v>20</v>
      </c>
    </row>
    <row r="4964" spans="1:24" x14ac:dyDescent="0.25">
      <c r="A4964" s="1" t="str">
        <f t="shared" si="1610"/>
        <v>卡卡杜-凤凰仓</v>
      </c>
      <c r="B4964" s="1" t="str">
        <f>"CK2024102025859"</f>
        <v>CK2024102025859</v>
      </c>
      <c r="C4964" s="1" t="str">
        <f>"DD2024102046580"</f>
        <v>DD2024102046580</v>
      </c>
      <c r="D4964" s="1" t="str">
        <f>"CK2024102046015"</f>
        <v>CK2024102046015</v>
      </c>
      <c r="E4964" s="1" t="str">
        <f>"6935247865529832760"</f>
        <v>6935247865529832760</v>
      </c>
      <c r="F4964" s="1" t="str">
        <f t="shared" si="1611"/>
        <v>花都四部-凤凰仓</v>
      </c>
      <c r="G4964" s="1" t="str">
        <f t="shared" si="1607"/>
        <v>卡卡杜个人护理店（抖店）</v>
      </c>
      <c r="H4964" s="1" t="str">
        <f t="shared" si="1612"/>
        <v>正常订单</v>
      </c>
      <c r="I4964" s="1" t="str">
        <f t="shared" si="1613"/>
        <v>已发货</v>
      </c>
      <c r="J4964" s="1" t="str">
        <f t="shared" si="1616"/>
        <v>3</v>
      </c>
      <c r="K4964" s="1">
        <v>2</v>
      </c>
      <c r="L4964" s="1" t="s">
        <v>13</v>
      </c>
      <c r="M4964" s="1" t="str">
        <f>"江苏省 常州市 金坛区 朱林镇"</f>
        <v>江苏省 常州市 金坛区 朱林镇</v>
      </c>
      <c r="N4964" s="1" t="str">
        <f t="shared" si="1608"/>
        <v>凡华云仓-城南圆通-抖音</v>
      </c>
      <c r="O4964" s="5" t="s">
        <v>4989</v>
      </c>
      <c r="P4964" s="6">
        <v>0.35</v>
      </c>
      <c r="Q4964" s="11">
        <v>2.2999999999999998</v>
      </c>
      <c r="R4964" s="11"/>
      <c r="S4964" s="11"/>
      <c r="T4964" s="11"/>
      <c r="U4964" s="11">
        <f t="shared" si="1609"/>
        <v>2.2999999999999998</v>
      </c>
      <c r="W4964">
        <v>2.5</v>
      </c>
      <c r="X4964" s="1" t="s">
        <v>13</v>
      </c>
    </row>
    <row r="4965" spans="1:24" x14ac:dyDescent="0.25">
      <c r="A4965" s="1" t="str">
        <f t="shared" si="1610"/>
        <v>卡卡杜-凤凰仓</v>
      </c>
      <c r="B4965" s="1" t="str">
        <f>"CK2024102025861"</f>
        <v>CK2024102025861</v>
      </c>
      <c r="C4965" s="1" t="str">
        <f>"DD2024102046582"</f>
        <v>DD2024102046582</v>
      </c>
      <c r="D4965" s="1" t="str">
        <f>"CK2024102046014"</f>
        <v>CK2024102046014</v>
      </c>
      <c r="E4965" s="1" t="str">
        <f>"6935241494990952220"</f>
        <v>6935241494990952220</v>
      </c>
      <c r="F4965" s="1" t="str">
        <f t="shared" si="1611"/>
        <v>花都四部-凤凰仓</v>
      </c>
      <c r="G4965" s="1" t="str">
        <f t="shared" si="1607"/>
        <v>卡卡杜个人护理店（抖店）</v>
      </c>
      <c r="H4965" s="1" t="str">
        <f t="shared" si="1612"/>
        <v>正常订单</v>
      </c>
      <c r="I4965" s="1" t="str">
        <f t="shared" si="1613"/>
        <v>已发货</v>
      </c>
      <c r="J4965" s="1" t="str">
        <f t="shared" si="1616"/>
        <v>3</v>
      </c>
      <c r="K4965" s="1">
        <v>2</v>
      </c>
      <c r="L4965" s="1" t="s">
        <v>18</v>
      </c>
      <c r="M4965" s="1" t="str">
        <f>"广东省 汕头市 澄海区 广益街道"</f>
        <v>广东省 汕头市 澄海区 广益街道</v>
      </c>
      <c r="N4965" s="1" t="str">
        <f t="shared" si="1608"/>
        <v>凡华云仓-城南圆通-抖音</v>
      </c>
      <c r="O4965" s="5" t="s">
        <v>4990</v>
      </c>
      <c r="P4965" s="6">
        <v>0.35</v>
      </c>
      <c r="Q4965" s="11">
        <v>2.2999999999999998</v>
      </c>
      <c r="R4965" s="11"/>
      <c r="S4965" s="11"/>
      <c r="T4965" s="11"/>
      <c r="U4965" s="11">
        <f t="shared" si="1609"/>
        <v>2.2999999999999998</v>
      </c>
      <c r="W4965">
        <v>2.5</v>
      </c>
      <c r="X4965" s="1" t="s">
        <v>18</v>
      </c>
    </row>
    <row r="4966" spans="1:24" x14ac:dyDescent="0.25">
      <c r="A4966" s="1" t="str">
        <f t="shared" si="1610"/>
        <v>卡卡杜-凤凰仓</v>
      </c>
      <c r="B4966" s="1" t="str">
        <f>"CK2024102025755"</f>
        <v>CK2024102025755</v>
      </c>
      <c r="C4966" s="1" t="str">
        <f>"DD2024102046477"</f>
        <v>DD2024102046477</v>
      </c>
      <c r="D4966" s="1" t="str">
        <f>"CK2024102046013"</f>
        <v>CK2024102046013</v>
      </c>
      <c r="E4966" s="1" t="str">
        <f>"2429402008665861"</f>
        <v>2429402008665861</v>
      </c>
      <c r="F4966" s="1" t="str">
        <f t="shared" si="1611"/>
        <v>花都四部-凤凰仓</v>
      </c>
      <c r="G4966" s="1" t="str">
        <f t="shared" ref="G4966:G5025" si="1617">"卡卡杜佳旺专卖店（快手店）"</f>
        <v>卡卡杜佳旺专卖店（快手店）</v>
      </c>
      <c r="H4966" s="1" t="str">
        <f t="shared" si="1612"/>
        <v>正常订单</v>
      </c>
      <c r="I4966" s="1" t="str">
        <f t="shared" si="1613"/>
        <v>已发货</v>
      </c>
      <c r="J4966" s="1" t="str">
        <f t="shared" si="1616"/>
        <v>3</v>
      </c>
      <c r="K4966" s="1">
        <v>2</v>
      </c>
      <c r="L4966" s="1" t="s">
        <v>161</v>
      </c>
      <c r="M4966" s="1" t="str">
        <f>"四川省 资阳市 乐至县 天池街道"</f>
        <v>四川省 资阳市 乐至县 天池街道</v>
      </c>
      <c r="N4966" s="1" t="str">
        <f t="shared" ref="N4966:N5025" si="1618">"凡华云仓-城南圆通-快手"</f>
        <v>凡华云仓-城南圆通-快手</v>
      </c>
      <c r="O4966" s="5" t="s">
        <v>4991</v>
      </c>
      <c r="P4966" s="6">
        <v>0.35</v>
      </c>
      <c r="Q4966" s="11">
        <v>2.2999999999999998</v>
      </c>
      <c r="R4966" s="11"/>
      <c r="S4966" s="11"/>
      <c r="T4966" s="11"/>
      <c r="U4966" s="11">
        <f t="shared" si="1609"/>
        <v>2.2999999999999998</v>
      </c>
      <c r="W4966">
        <v>2.5</v>
      </c>
      <c r="X4966" s="1" t="s">
        <v>161</v>
      </c>
    </row>
    <row r="4967" spans="1:24" x14ac:dyDescent="0.25">
      <c r="A4967" s="1" t="str">
        <f t="shared" si="1610"/>
        <v>卡卡杜-凤凰仓</v>
      </c>
      <c r="B4967" s="1" t="str">
        <f>"CK2024102025767"</f>
        <v>CK2024102025767</v>
      </c>
      <c r="C4967" s="1" t="str">
        <f>"DD2024102046488"</f>
        <v>DD2024102046488</v>
      </c>
      <c r="D4967" s="1" t="str">
        <f>"CK2024102046012"</f>
        <v>CK2024102046012</v>
      </c>
      <c r="E4967" s="1" t="str">
        <f>"2429401603072766"</f>
        <v>2429401603072766</v>
      </c>
      <c r="F4967" s="1" t="str">
        <f t="shared" si="1611"/>
        <v>花都四部-凤凰仓</v>
      </c>
      <c r="G4967" s="1" t="str">
        <f t="shared" si="1617"/>
        <v>卡卡杜佳旺专卖店（快手店）</v>
      </c>
      <c r="H4967" s="1" t="str">
        <f t="shared" si="1612"/>
        <v>正常订单</v>
      </c>
      <c r="I4967" s="1" t="str">
        <f t="shared" si="1613"/>
        <v>已发货</v>
      </c>
      <c r="J4967" s="1" t="str">
        <f t="shared" si="1616"/>
        <v>3</v>
      </c>
      <c r="K4967" s="1">
        <v>2</v>
      </c>
      <c r="L4967" s="1" t="s">
        <v>161</v>
      </c>
      <c r="M4967" s="1" t="str">
        <f>"四川省 绵阳市 涪城区 塘汛街道"</f>
        <v>四川省 绵阳市 涪城区 塘汛街道</v>
      </c>
      <c r="N4967" s="1" t="str">
        <f t="shared" si="1618"/>
        <v>凡华云仓-城南圆通-快手</v>
      </c>
      <c r="O4967" s="5" t="s">
        <v>4992</v>
      </c>
      <c r="P4967" s="6">
        <v>0.35</v>
      </c>
      <c r="Q4967" s="11">
        <v>2.2999999999999998</v>
      </c>
      <c r="R4967" s="11"/>
      <c r="S4967" s="11"/>
      <c r="T4967" s="11"/>
      <c r="U4967" s="11">
        <f t="shared" si="1609"/>
        <v>2.2999999999999998</v>
      </c>
      <c r="W4967">
        <v>2.5</v>
      </c>
      <c r="X4967" s="1" t="s">
        <v>161</v>
      </c>
    </row>
    <row r="4968" spans="1:24" x14ac:dyDescent="0.25">
      <c r="A4968" s="1" t="str">
        <f t="shared" si="1610"/>
        <v>卡卡杜-凤凰仓</v>
      </c>
      <c r="B4968" s="1" t="str">
        <f>"CK2024102025768"</f>
        <v>CK2024102025768</v>
      </c>
      <c r="C4968" s="1" t="str">
        <f>"DD2024102046491"</f>
        <v>DD2024102046491</v>
      </c>
      <c r="D4968" s="1" t="str">
        <f>"CK2024102046011"</f>
        <v>CK2024102046011</v>
      </c>
      <c r="E4968" s="1" t="str">
        <f>"2429402165505918"</f>
        <v>2429402165505918</v>
      </c>
      <c r="F4968" s="1" t="str">
        <f t="shared" si="1611"/>
        <v>花都四部-凤凰仓</v>
      </c>
      <c r="G4968" s="1" t="str">
        <f t="shared" si="1617"/>
        <v>卡卡杜佳旺专卖店（快手店）</v>
      </c>
      <c r="H4968" s="1" t="str">
        <f t="shared" si="1612"/>
        <v>正常订单</v>
      </c>
      <c r="I4968" s="1" t="str">
        <f t="shared" si="1613"/>
        <v>已发货</v>
      </c>
      <c r="J4968" s="1" t="str">
        <f t="shared" si="1616"/>
        <v>3</v>
      </c>
      <c r="K4968" s="1">
        <v>2</v>
      </c>
      <c r="L4968" s="1" t="s">
        <v>22</v>
      </c>
      <c r="M4968" s="1" t="str">
        <f>"江西省 九江市 濂溪区 五里街道"</f>
        <v>江西省 九江市 濂溪区 五里街道</v>
      </c>
      <c r="N4968" s="1" t="str">
        <f t="shared" si="1618"/>
        <v>凡华云仓-城南圆通-快手</v>
      </c>
      <c r="O4968" s="5" t="s">
        <v>4993</v>
      </c>
      <c r="P4968" s="6">
        <v>0.35</v>
      </c>
      <c r="Q4968" s="11">
        <v>2.2999999999999998</v>
      </c>
      <c r="R4968" s="11"/>
      <c r="S4968" s="11"/>
      <c r="T4968" s="11"/>
      <c r="U4968" s="11">
        <f t="shared" si="1609"/>
        <v>2.2999999999999998</v>
      </c>
      <c r="W4968">
        <v>2.5</v>
      </c>
      <c r="X4968" s="1" t="s">
        <v>22</v>
      </c>
    </row>
    <row r="4969" spans="1:24" x14ac:dyDescent="0.25">
      <c r="A4969" s="1" t="str">
        <f t="shared" si="1610"/>
        <v>卡卡杜-凤凰仓</v>
      </c>
      <c r="B4969" s="1" t="str">
        <f>"CK2024102025771"</f>
        <v>CK2024102025771</v>
      </c>
      <c r="C4969" s="1" t="str">
        <f>"DD2024102046492"</f>
        <v>DD2024102046492</v>
      </c>
      <c r="D4969" s="1" t="str">
        <f>"CK2024102046010"</f>
        <v>CK2024102046010</v>
      </c>
      <c r="E4969" s="1" t="str">
        <f>"2429401682144535"</f>
        <v>2429401682144535</v>
      </c>
      <c r="F4969" s="1" t="str">
        <f t="shared" si="1611"/>
        <v>花都四部-凤凰仓</v>
      </c>
      <c r="G4969" s="1" t="str">
        <f t="shared" si="1617"/>
        <v>卡卡杜佳旺专卖店（快手店）</v>
      </c>
      <c r="H4969" s="1" t="str">
        <f t="shared" si="1612"/>
        <v>正常订单</v>
      </c>
      <c r="I4969" s="1" t="str">
        <f t="shared" si="1613"/>
        <v>已发货</v>
      </c>
      <c r="J4969" s="1" t="str">
        <f t="shared" si="1616"/>
        <v>3</v>
      </c>
      <c r="K4969" s="1">
        <v>2</v>
      </c>
      <c r="L4969" s="1" t="s">
        <v>136</v>
      </c>
      <c r="M4969" s="1" t="str">
        <f>"北京市 北京市 朝阳区 建外街道"</f>
        <v>北京市 北京市 朝阳区 建外街道</v>
      </c>
      <c r="N4969" s="1" t="str">
        <f t="shared" si="1618"/>
        <v>凡华云仓-城南圆通-快手</v>
      </c>
      <c r="O4969" s="5" t="s">
        <v>4994</v>
      </c>
      <c r="P4969" s="6">
        <v>0.35</v>
      </c>
      <c r="Q4969" s="11">
        <v>2.2999999999999998</v>
      </c>
      <c r="R4969" s="11"/>
      <c r="S4969" s="11"/>
      <c r="T4969" s="11"/>
      <c r="U4969" s="11">
        <f t="shared" si="1609"/>
        <v>2.2999999999999998</v>
      </c>
      <c r="W4969">
        <v>2.5</v>
      </c>
      <c r="X4969" s="1" t="s">
        <v>136</v>
      </c>
    </row>
    <row r="4970" spans="1:24" x14ac:dyDescent="0.25">
      <c r="A4970" s="1" t="str">
        <f t="shared" si="1610"/>
        <v>卡卡杜-凤凰仓</v>
      </c>
      <c r="B4970" s="1" t="str">
        <f>"CK2024102025775"</f>
        <v>CK2024102025775</v>
      </c>
      <c r="C4970" s="1" t="str">
        <f>"DD2024102046496"</f>
        <v>DD2024102046496</v>
      </c>
      <c r="D4970" s="1" t="str">
        <f>"CK2024102046009"</f>
        <v>CK2024102046009</v>
      </c>
      <c r="E4970" s="1" t="str">
        <f>"2429402083025297"</f>
        <v>2429402083025297</v>
      </c>
      <c r="F4970" s="1" t="str">
        <f t="shared" si="1611"/>
        <v>花都四部-凤凰仓</v>
      </c>
      <c r="G4970" s="1" t="str">
        <f t="shared" si="1617"/>
        <v>卡卡杜佳旺专卖店（快手店）</v>
      </c>
      <c r="H4970" s="1" t="str">
        <f t="shared" si="1612"/>
        <v>正常订单</v>
      </c>
      <c r="I4970" s="1" t="str">
        <f t="shared" si="1613"/>
        <v>已发货</v>
      </c>
      <c r="J4970" s="1" t="str">
        <f t="shared" si="1616"/>
        <v>3</v>
      </c>
      <c r="K4970" s="1">
        <v>2</v>
      </c>
      <c r="L4970" s="1" t="s">
        <v>18</v>
      </c>
      <c r="M4970" s="1" t="str">
        <f>"广东省 韶关市 曲江区 松山街道"</f>
        <v>广东省 韶关市 曲江区 松山街道</v>
      </c>
      <c r="N4970" s="1" t="str">
        <f t="shared" si="1618"/>
        <v>凡华云仓-城南圆通-快手</v>
      </c>
      <c r="O4970" s="5" t="s">
        <v>4995</v>
      </c>
      <c r="P4970" s="6">
        <v>0.35</v>
      </c>
      <c r="Q4970" s="11">
        <v>2.2999999999999998</v>
      </c>
      <c r="R4970" s="11"/>
      <c r="S4970" s="11"/>
      <c r="T4970" s="11"/>
      <c r="U4970" s="11">
        <f t="shared" si="1609"/>
        <v>2.2999999999999998</v>
      </c>
      <c r="W4970">
        <v>2.5</v>
      </c>
      <c r="X4970" s="1" t="s">
        <v>18</v>
      </c>
    </row>
    <row r="4971" spans="1:24" x14ac:dyDescent="0.25">
      <c r="A4971" s="1" t="str">
        <f t="shared" si="1610"/>
        <v>卡卡杜-凤凰仓</v>
      </c>
      <c r="B4971" s="1" t="str">
        <f>"CK2024102025776"</f>
        <v>CK2024102025776</v>
      </c>
      <c r="C4971" s="1" t="str">
        <f>"DD2024102046499"</f>
        <v>DD2024102046499</v>
      </c>
      <c r="D4971" s="1" t="str">
        <f>"CK2024102046008"</f>
        <v>CK2024102046008</v>
      </c>
      <c r="E4971" s="1" t="str">
        <f>"2429402169426482"</f>
        <v>2429402169426482</v>
      </c>
      <c r="F4971" s="1" t="str">
        <f t="shared" si="1611"/>
        <v>花都四部-凤凰仓</v>
      </c>
      <c r="G4971" s="1" t="str">
        <f t="shared" si="1617"/>
        <v>卡卡杜佳旺专卖店（快手店）</v>
      </c>
      <c r="H4971" s="1" t="str">
        <f t="shared" si="1612"/>
        <v>正常订单</v>
      </c>
      <c r="I4971" s="1" t="str">
        <f t="shared" si="1613"/>
        <v>已发货</v>
      </c>
      <c r="J4971" s="1" t="str">
        <f>"5"</f>
        <v>5</v>
      </c>
      <c r="K4971" s="1">
        <v>2</v>
      </c>
      <c r="L4971" s="1" t="s">
        <v>13</v>
      </c>
      <c r="M4971" s="1" t="str">
        <f>"江苏省 苏州市 吴中区 胥口镇"</f>
        <v>江苏省 苏州市 吴中区 胥口镇</v>
      </c>
      <c r="N4971" s="1" t="str">
        <f t="shared" si="1618"/>
        <v>凡华云仓-城南圆通-快手</v>
      </c>
      <c r="O4971" s="5" t="s">
        <v>4996</v>
      </c>
      <c r="P4971" s="6">
        <v>0.59</v>
      </c>
      <c r="Q4971" s="11">
        <f t="shared" ref="Q4971:Q4974" si="1619">CEILING(P4971-0.5,0.1)*10*0.15+2.3</f>
        <v>2.4499999999999997</v>
      </c>
      <c r="R4971" s="11"/>
      <c r="S4971" s="11"/>
      <c r="T4971" s="11"/>
      <c r="U4971" s="11">
        <f t="shared" si="1609"/>
        <v>2.4499999999999997</v>
      </c>
      <c r="V4971" t="s">
        <v>15</v>
      </c>
      <c r="W4971">
        <v>2.4500000000000002</v>
      </c>
      <c r="X4971" s="1" t="s">
        <v>13</v>
      </c>
    </row>
    <row r="4972" spans="1:24" x14ac:dyDescent="0.25">
      <c r="A4972" s="1" t="str">
        <f t="shared" si="1610"/>
        <v>卡卡杜-凤凰仓</v>
      </c>
      <c r="B4972" s="1" t="str">
        <f>"CK2024102025782"</f>
        <v>CK2024102025782</v>
      </c>
      <c r="C4972" s="1" t="str">
        <f>"DD2024102046504"</f>
        <v>DD2024102046504</v>
      </c>
      <c r="D4972" s="1" t="str">
        <f>"CK2024102046007"</f>
        <v>CK2024102046007</v>
      </c>
      <c r="E4972" s="1" t="str">
        <f>"2429401771226803"</f>
        <v>2429401771226803</v>
      </c>
      <c r="F4972" s="1" t="str">
        <f t="shared" si="1611"/>
        <v>花都四部-凤凰仓</v>
      </c>
      <c r="G4972" s="1" t="str">
        <f t="shared" si="1617"/>
        <v>卡卡杜佳旺专卖店（快手店）</v>
      </c>
      <c r="H4972" s="1" t="str">
        <f t="shared" si="1612"/>
        <v>正常订单</v>
      </c>
      <c r="I4972" s="1" t="str">
        <f t="shared" si="1613"/>
        <v>已发货</v>
      </c>
      <c r="J4972" s="1" t="str">
        <f t="shared" ref="J4972:J4982" si="1620">"3"</f>
        <v>3</v>
      </c>
      <c r="K4972" s="1">
        <v>2</v>
      </c>
      <c r="L4972" s="1" t="s">
        <v>710</v>
      </c>
      <c r="M4972" s="1" t="str">
        <f>"上海市 上海市 长宁区 新泾镇"</f>
        <v>上海市 上海市 长宁区 新泾镇</v>
      </c>
      <c r="N4972" s="1" t="str">
        <f t="shared" si="1618"/>
        <v>凡华云仓-城南圆通-快手</v>
      </c>
      <c r="O4972" s="5" t="s">
        <v>4997</v>
      </c>
      <c r="P4972" s="6">
        <v>0.35</v>
      </c>
      <c r="Q4972" s="11">
        <v>2.2999999999999998</v>
      </c>
      <c r="R4972" s="11"/>
      <c r="S4972" s="11"/>
      <c r="T4972" s="11"/>
      <c r="U4972" s="11">
        <f t="shared" si="1609"/>
        <v>2.2999999999999998</v>
      </c>
      <c r="W4972">
        <v>2.5</v>
      </c>
      <c r="X4972" s="1" t="s">
        <v>710</v>
      </c>
    </row>
    <row r="4973" spans="1:24" x14ac:dyDescent="0.25">
      <c r="A4973" s="1" t="str">
        <f t="shared" si="1610"/>
        <v>卡卡杜-凤凰仓</v>
      </c>
      <c r="B4973" s="1" t="str">
        <f>"CK2024102025795"</f>
        <v>CK2024102025795</v>
      </c>
      <c r="C4973" s="1" t="str">
        <f>"DD2024102046516"</f>
        <v>DD2024102046516</v>
      </c>
      <c r="D4973" s="1" t="str">
        <f>"CK2024102046006"</f>
        <v>CK2024102046006</v>
      </c>
      <c r="E4973" s="1" t="str">
        <f>"2429401609410691"</f>
        <v>2429401609410691</v>
      </c>
      <c r="F4973" s="1" t="str">
        <f t="shared" si="1611"/>
        <v>花都四部-凤凰仓</v>
      </c>
      <c r="G4973" s="1" t="str">
        <f t="shared" si="1617"/>
        <v>卡卡杜佳旺专卖店（快手店）</v>
      </c>
      <c r="H4973" s="1" t="str">
        <f t="shared" si="1612"/>
        <v>正常订单</v>
      </c>
      <c r="I4973" s="1" t="str">
        <f t="shared" si="1613"/>
        <v>已发货</v>
      </c>
      <c r="J4973" s="1" t="str">
        <f>"5"</f>
        <v>5</v>
      </c>
      <c r="K4973" s="1">
        <v>2</v>
      </c>
      <c r="L4973" s="1" t="s">
        <v>24</v>
      </c>
      <c r="M4973" s="1" t="str">
        <f>"福建省 厦门市 翔安区 内厝镇"</f>
        <v>福建省 厦门市 翔安区 内厝镇</v>
      </c>
      <c r="N4973" s="1" t="str">
        <f t="shared" si="1618"/>
        <v>凡华云仓-城南圆通-快手</v>
      </c>
      <c r="O4973" s="5" t="s">
        <v>4998</v>
      </c>
      <c r="P4973" s="6">
        <v>0.59</v>
      </c>
      <c r="Q4973" s="11">
        <f t="shared" si="1619"/>
        <v>2.4499999999999997</v>
      </c>
      <c r="R4973" s="11"/>
      <c r="S4973" s="11"/>
      <c r="T4973" s="11"/>
      <c r="U4973" s="11">
        <f t="shared" si="1609"/>
        <v>2.4499999999999997</v>
      </c>
      <c r="V4973" t="s">
        <v>15</v>
      </c>
      <c r="W4973">
        <v>2.4500000000000002</v>
      </c>
      <c r="X4973" s="1" t="s">
        <v>24</v>
      </c>
    </row>
    <row r="4974" spans="1:24" x14ac:dyDescent="0.25">
      <c r="A4974" s="1" t="str">
        <f t="shared" si="1610"/>
        <v>卡卡杜-凤凰仓</v>
      </c>
      <c r="B4974" s="1" t="str">
        <f>"CK2024102025796"</f>
        <v>CK2024102025796</v>
      </c>
      <c r="C4974" s="1" t="str">
        <f>"DD2024102046517"</f>
        <v>DD2024102046517</v>
      </c>
      <c r="D4974" s="1" t="str">
        <f>"CK2024102046005"</f>
        <v>CK2024102046005</v>
      </c>
      <c r="E4974" s="1" t="str">
        <f>"2429401840545489"</f>
        <v>2429401840545489</v>
      </c>
      <c r="F4974" s="1" t="str">
        <f t="shared" si="1611"/>
        <v>花都四部-凤凰仓</v>
      </c>
      <c r="G4974" s="1" t="str">
        <f t="shared" si="1617"/>
        <v>卡卡杜佳旺专卖店（快手店）</v>
      </c>
      <c r="H4974" s="1" t="str">
        <f t="shared" si="1612"/>
        <v>正常订单</v>
      </c>
      <c r="I4974" s="1" t="str">
        <f t="shared" si="1613"/>
        <v>已发货</v>
      </c>
      <c r="J4974" s="1" t="str">
        <f>"6"</f>
        <v>6</v>
      </c>
      <c r="K4974" s="1">
        <v>2</v>
      </c>
      <c r="L4974" s="1" t="s">
        <v>109</v>
      </c>
      <c r="M4974" s="1" t="str">
        <f>"山西省 太原市 万柏林区 东社街道"</f>
        <v>山西省 太原市 万柏林区 东社街道</v>
      </c>
      <c r="N4974" s="1" t="str">
        <f t="shared" si="1618"/>
        <v>凡华云仓-城南圆通-快手</v>
      </c>
      <c r="O4974" s="5" t="s">
        <v>4999</v>
      </c>
      <c r="P4974" s="6">
        <v>0.57999999999999996</v>
      </c>
      <c r="Q4974" s="11">
        <f t="shared" si="1619"/>
        <v>2.4499999999999997</v>
      </c>
      <c r="R4974" s="11"/>
      <c r="S4974" s="11"/>
      <c r="T4974" s="11"/>
      <c r="U4974" s="11">
        <f t="shared" si="1609"/>
        <v>2.4499999999999997</v>
      </c>
      <c r="V4974" t="s">
        <v>15</v>
      </c>
      <c r="W4974">
        <v>2.4500000000000002</v>
      </c>
      <c r="X4974" s="1" t="s">
        <v>109</v>
      </c>
    </row>
    <row r="4975" spans="1:24" x14ac:dyDescent="0.25">
      <c r="A4975" s="1" t="str">
        <f t="shared" si="1610"/>
        <v>卡卡杜-凤凰仓</v>
      </c>
      <c r="B4975" s="1" t="str">
        <f>"CK2024102025797"</f>
        <v>CK2024102025797</v>
      </c>
      <c r="C4975" s="1" t="str">
        <f>"DD2024102046518"</f>
        <v>DD2024102046518</v>
      </c>
      <c r="D4975" s="1" t="str">
        <f>"CK2024102046004"</f>
        <v>CK2024102046004</v>
      </c>
      <c r="E4975" s="1" t="str">
        <f>"2429401767755371"</f>
        <v>2429401767755371</v>
      </c>
      <c r="F4975" s="1" t="str">
        <f t="shared" si="1611"/>
        <v>花都四部-凤凰仓</v>
      </c>
      <c r="G4975" s="1" t="str">
        <f t="shared" si="1617"/>
        <v>卡卡杜佳旺专卖店（快手店）</v>
      </c>
      <c r="H4975" s="1" t="str">
        <f t="shared" si="1612"/>
        <v>正常订单</v>
      </c>
      <c r="I4975" s="1" t="str">
        <f t="shared" si="1613"/>
        <v>已发货</v>
      </c>
      <c r="J4975" s="1" t="str">
        <f t="shared" si="1620"/>
        <v>3</v>
      </c>
      <c r="K4975" s="1">
        <v>2</v>
      </c>
      <c r="L4975" s="1" t="s">
        <v>109</v>
      </c>
      <c r="M4975" s="1" t="str">
        <f>"山西省 太原市 小店区 太原经济技术开发区"</f>
        <v>山西省 太原市 小店区 太原经济技术开发区</v>
      </c>
      <c r="N4975" s="1" t="str">
        <f t="shared" si="1618"/>
        <v>凡华云仓-城南圆通-快手</v>
      </c>
      <c r="O4975" s="5" t="s">
        <v>5000</v>
      </c>
      <c r="P4975" s="6">
        <v>0.35</v>
      </c>
      <c r="Q4975" s="11">
        <v>2.2999999999999998</v>
      </c>
      <c r="R4975" s="11"/>
      <c r="S4975" s="11"/>
      <c r="T4975" s="11"/>
      <c r="U4975" s="11">
        <f t="shared" si="1609"/>
        <v>2.2999999999999998</v>
      </c>
      <c r="W4975">
        <v>2.5</v>
      </c>
      <c r="X4975" s="1" t="s">
        <v>109</v>
      </c>
    </row>
    <row r="4976" spans="1:24" x14ac:dyDescent="0.25">
      <c r="A4976" s="1" t="str">
        <f t="shared" si="1610"/>
        <v>卡卡杜-凤凰仓</v>
      </c>
      <c r="B4976" s="1" t="str">
        <f>"CK2024102025798"</f>
        <v>CK2024102025798</v>
      </c>
      <c r="C4976" s="1" t="str">
        <f>"DD2024102046519"</f>
        <v>DD2024102046519</v>
      </c>
      <c r="D4976" s="1" t="str">
        <f>"CK2024102046003"</f>
        <v>CK2024102046003</v>
      </c>
      <c r="E4976" s="1" t="str">
        <f>"2429402171161636"</f>
        <v>2429402171161636</v>
      </c>
      <c r="F4976" s="1" t="str">
        <f t="shared" si="1611"/>
        <v>花都四部-凤凰仓</v>
      </c>
      <c r="G4976" s="1" t="str">
        <f t="shared" si="1617"/>
        <v>卡卡杜佳旺专卖店（快手店）</v>
      </c>
      <c r="H4976" s="1" t="str">
        <f t="shared" si="1612"/>
        <v>正常订单</v>
      </c>
      <c r="I4976" s="1" t="str">
        <f t="shared" si="1613"/>
        <v>已发货</v>
      </c>
      <c r="J4976" s="1" t="str">
        <f t="shared" si="1620"/>
        <v>3</v>
      </c>
      <c r="K4976" s="1">
        <v>2</v>
      </c>
      <c r="L4976" s="1" t="s">
        <v>20</v>
      </c>
      <c r="M4976" s="1" t="str">
        <f>"浙江省 金华市 磐安县 新渥街道"</f>
        <v>浙江省 金华市 磐安县 新渥街道</v>
      </c>
      <c r="N4976" s="1" t="str">
        <f t="shared" si="1618"/>
        <v>凡华云仓-城南圆通-快手</v>
      </c>
      <c r="O4976" s="5" t="s">
        <v>5001</v>
      </c>
      <c r="P4976" s="6">
        <v>0.35</v>
      </c>
      <c r="Q4976" s="11">
        <v>2.2999999999999998</v>
      </c>
      <c r="R4976" s="11"/>
      <c r="S4976" s="11"/>
      <c r="T4976" s="11"/>
      <c r="U4976" s="11">
        <f t="shared" si="1609"/>
        <v>2.2999999999999998</v>
      </c>
      <c r="W4976">
        <v>2.5</v>
      </c>
      <c r="X4976" s="1" t="s">
        <v>20</v>
      </c>
    </row>
    <row r="4977" spans="1:24" x14ac:dyDescent="0.25">
      <c r="A4977" s="1" t="str">
        <f t="shared" si="1610"/>
        <v>卡卡杜-凤凰仓</v>
      </c>
      <c r="B4977" s="1" t="str">
        <f>"CK2024102025799"</f>
        <v>CK2024102025799</v>
      </c>
      <c r="C4977" s="1" t="str">
        <f>"DD2024102046521"</f>
        <v>DD2024102046521</v>
      </c>
      <c r="D4977" s="1" t="str">
        <f>"CK2024102046002"</f>
        <v>CK2024102046002</v>
      </c>
      <c r="E4977" s="1" t="str">
        <f>"2429401607947883"</f>
        <v>2429401607947883</v>
      </c>
      <c r="F4977" s="1" t="str">
        <f t="shared" si="1611"/>
        <v>花都四部-凤凰仓</v>
      </c>
      <c r="G4977" s="1" t="str">
        <f t="shared" si="1617"/>
        <v>卡卡杜佳旺专卖店（快手店）</v>
      </c>
      <c r="H4977" s="1" t="str">
        <f t="shared" si="1612"/>
        <v>正常订单</v>
      </c>
      <c r="I4977" s="1" t="str">
        <f t="shared" si="1613"/>
        <v>已发货</v>
      </c>
      <c r="J4977" s="1" t="str">
        <f t="shared" si="1620"/>
        <v>3</v>
      </c>
      <c r="K4977" s="1">
        <v>2</v>
      </c>
      <c r="L4977" s="1" t="s">
        <v>1099</v>
      </c>
      <c r="M4977" s="1" t="str">
        <f>"重庆市 重庆市 垫江县 桂溪街道"</f>
        <v>重庆市 重庆市 垫江县 桂溪街道</v>
      </c>
      <c r="N4977" s="1" t="str">
        <f t="shared" si="1618"/>
        <v>凡华云仓-城南圆通-快手</v>
      </c>
      <c r="O4977" s="5" t="s">
        <v>5002</v>
      </c>
      <c r="P4977" s="6">
        <v>0.35</v>
      </c>
      <c r="Q4977" s="11">
        <v>2.2999999999999998</v>
      </c>
      <c r="R4977" s="11"/>
      <c r="S4977" s="11"/>
      <c r="T4977" s="11"/>
      <c r="U4977" s="11">
        <f t="shared" si="1609"/>
        <v>2.2999999999999998</v>
      </c>
      <c r="W4977">
        <v>2.5</v>
      </c>
      <c r="X4977" s="1" t="s">
        <v>1099</v>
      </c>
    </row>
    <row r="4978" spans="1:24" x14ac:dyDescent="0.25">
      <c r="A4978" s="1" t="str">
        <f t="shared" si="1610"/>
        <v>卡卡杜-凤凰仓</v>
      </c>
      <c r="B4978" s="1" t="str">
        <f>"CK2024102025800"</f>
        <v>CK2024102025800</v>
      </c>
      <c r="C4978" s="1" t="str">
        <f>"DD2024102046520"</f>
        <v>DD2024102046520</v>
      </c>
      <c r="D4978" s="1" t="str">
        <f>"CK2024102046001"</f>
        <v>CK2024102046001</v>
      </c>
      <c r="E4978" s="1" t="str">
        <f>"2429402170075372"</f>
        <v>2429402170075372</v>
      </c>
      <c r="F4978" s="1" t="str">
        <f t="shared" si="1611"/>
        <v>花都四部-凤凰仓</v>
      </c>
      <c r="G4978" s="1" t="str">
        <f t="shared" si="1617"/>
        <v>卡卡杜佳旺专卖店（快手店）</v>
      </c>
      <c r="H4978" s="1" t="str">
        <f t="shared" si="1612"/>
        <v>正常订单</v>
      </c>
      <c r="I4978" s="1" t="str">
        <f t="shared" si="1613"/>
        <v>已发货</v>
      </c>
      <c r="J4978" s="1" t="str">
        <f t="shared" si="1620"/>
        <v>3</v>
      </c>
      <c r="K4978" s="1">
        <v>2</v>
      </c>
      <c r="L4978" s="1" t="s">
        <v>66</v>
      </c>
      <c r="M4978" s="1" t="str">
        <f>"内蒙古自治区 巴彦淖尔市 临河区 铁南街道"</f>
        <v>内蒙古自治区 巴彦淖尔市 临河区 铁南街道</v>
      </c>
      <c r="N4978" s="1" t="str">
        <f t="shared" si="1618"/>
        <v>凡华云仓-城南圆通-快手</v>
      </c>
      <c r="O4978" s="5" t="s">
        <v>5003</v>
      </c>
      <c r="P4978" s="6">
        <v>0.35</v>
      </c>
      <c r="Q4978" s="11">
        <v>2.2999999999999998</v>
      </c>
      <c r="R4978" s="11"/>
      <c r="S4978" s="11"/>
      <c r="T4978" s="11"/>
      <c r="U4978" s="11">
        <f t="shared" si="1609"/>
        <v>2.2999999999999998</v>
      </c>
      <c r="W4978">
        <v>2.5</v>
      </c>
      <c r="X4978" s="1" t="s">
        <v>66</v>
      </c>
    </row>
    <row r="4979" spans="1:24" x14ac:dyDescent="0.25">
      <c r="A4979" s="1" t="str">
        <f t="shared" si="1610"/>
        <v>卡卡杜-凤凰仓</v>
      </c>
      <c r="B4979" s="1" t="str">
        <f>"CK2024102025801"</f>
        <v>CK2024102025801</v>
      </c>
      <c r="C4979" s="1" t="str">
        <f>"DD2024102046522"</f>
        <v>DD2024102046522</v>
      </c>
      <c r="D4979" s="1" t="str">
        <f>"CK2024102046000"</f>
        <v>CK2024102046000</v>
      </c>
      <c r="E4979" s="1" t="str">
        <f>"2429401770171012"</f>
        <v>2429401770171012</v>
      </c>
      <c r="F4979" s="1" t="str">
        <f t="shared" si="1611"/>
        <v>花都四部-凤凰仓</v>
      </c>
      <c r="G4979" s="1" t="str">
        <f t="shared" si="1617"/>
        <v>卡卡杜佳旺专卖店（快手店）</v>
      </c>
      <c r="H4979" s="1" t="str">
        <f t="shared" si="1612"/>
        <v>正常订单</v>
      </c>
      <c r="I4979" s="1" t="str">
        <f t="shared" si="1613"/>
        <v>已发货</v>
      </c>
      <c r="J4979" s="1" t="str">
        <f t="shared" si="1620"/>
        <v>3</v>
      </c>
      <c r="K4979" s="1">
        <v>2</v>
      </c>
      <c r="L4979" s="1" t="s">
        <v>710</v>
      </c>
      <c r="M4979" s="1" t="str">
        <f>"上海市 上海市 崇明区 竖新镇"</f>
        <v>上海市 上海市 崇明区 竖新镇</v>
      </c>
      <c r="N4979" s="1" t="str">
        <f t="shared" si="1618"/>
        <v>凡华云仓-城南圆通-快手</v>
      </c>
      <c r="O4979" s="5" t="s">
        <v>5004</v>
      </c>
      <c r="P4979" s="6">
        <v>0.35</v>
      </c>
      <c r="Q4979" s="11">
        <v>2.2999999999999998</v>
      </c>
      <c r="R4979" s="11"/>
      <c r="S4979" s="11"/>
      <c r="T4979" s="11"/>
      <c r="U4979" s="11">
        <f t="shared" si="1609"/>
        <v>2.2999999999999998</v>
      </c>
      <c r="W4979">
        <v>2.5</v>
      </c>
      <c r="X4979" s="1" t="s">
        <v>710</v>
      </c>
    </row>
    <row r="4980" spans="1:24" x14ac:dyDescent="0.25">
      <c r="A4980" s="1" t="str">
        <f t="shared" si="1610"/>
        <v>卡卡杜-凤凰仓</v>
      </c>
      <c r="B4980" s="1" t="str">
        <f>"CK2024102025803"</f>
        <v>CK2024102025803</v>
      </c>
      <c r="C4980" s="1" t="str">
        <f>"DD2024102046524"</f>
        <v>DD2024102046524</v>
      </c>
      <c r="D4980" s="1" t="str">
        <f>"CK2024102045999"</f>
        <v>CK2024102045999</v>
      </c>
      <c r="E4980" s="1" t="str">
        <f>"2429401604570496"</f>
        <v>2429401604570496</v>
      </c>
      <c r="F4980" s="1" t="str">
        <f t="shared" si="1611"/>
        <v>花都四部-凤凰仓</v>
      </c>
      <c r="G4980" s="1" t="str">
        <f t="shared" si="1617"/>
        <v>卡卡杜佳旺专卖店（快手店）</v>
      </c>
      <c r="H4980" s="1" t="str">
        <f t="shared" si="1612"/>
        <v>正常订单</v>
      </c>
      <c r="I4980" s="1" t="str">
        <f t="shared" si="1613"/>
        <v>已发货</v>
      </c>
      <c r="J4980" s="1" t="str">
        <f t="shared" si="1620"/>
        <v>3</v>
      </c>
      <c r="K4980" s="1">
        <v>2</v>
      </c>
      <c r="L4980" s="1" t="s">
        <v>13</v>
      </c>
      <c r="M4980" s="1" t="str">
        <f>"江苏省 常州市 武进区 "</f>
        <v xml:space="preserve">江苏省 常州市 武进区 </v>
      </c>
      <c r="N4980" s="1" t="str">
        <f t="shared" si="1618"/>
        <v>凡华云仓-城南圆通-快手</v>
      </c>
      <c r="O4980" s="5" t="s">
        <v>5005</v>
      </c>
      <c r="P4980" s="6">
        <v>0.35</v>
      </c>
      <c r="Q4980" s="11">
        <v>2.2999999999999998</v>
      </c>
      <c r="R4980" s="11"/>
      <c r="S4980" s="11"/>
      <c r="T4980" s="11"/>
      <c r="U4980" s="11">
        <f t="shared" si="1609"/>
        <v>2.2999999999999998</v>
      </c>
      <c r="W4980">
        <v>2.5</v>
      </c>
      <c r="X4980" s="1" t="s">
        <v>13</v>
      </c>
    </row>
    <row r="4981" spans="1:24" x14ac:dyDescent="0.25">
      <c r="A4981" s="1" t="str">
        <f t="shared" si="1610"/>
        <v>卡卡杜-凤凰仓</v>
      </c>
      <c r="B4981" s="1" t="str">
        <f>"CK2024102025804"</f>
        <v>CK2024102025804</v>
      </c>
      <c r="C4981" s="1" t="str">
        <f>"DD2024102046525"</f>
        <v>DD2024102046525</v>
      </c>
      <c r="D4981" s="1" t="str">
        <f>"CK2024102045998"</f>
        <v>CK2024102045998</v>
      </c>
      <c r="E4981" s="1" t="str">
        <f>"2429401764689475"</f>
        <v>2429401764689475</v>
      </c>
      <c r="F4981" s="1" t="str">
        <f t="shared" si="1611"/>
        <v>花都四部-凤凰仓</v>
      </c>
      <c r="G4981" s="1" t="str">
        <f t="shared" si="1617"/>
        <v>卡卡杜佳旺专卖店（快手店）</v>
      </c>
      <c r="H4981" s="1" t="str">
        <f t="shared" si="1612"/>
        <v>正常订单</v>
      </c>
      <c r="I4981" s="1" t="str">
        <f t="shared" si="1613"/>
        <v>已发货</v>
      </c>
      <c r="J4981" s="1" t="str">
        <f t="shared" si="1620"/>
        <v>3</v>
      </c>
      <c r="K4981" s="1">
        <v>2</v>
      </c>
      <c r="L4981" s="1" t="s">
        <v>80</v>
      </c>
      <c r="M4981" s="1" t="str">
        <f>"河南省 郑州市 金水区 花园路街道"</f>
        <v>河南省 郑州市 金水区 花园路街道</v>
      </c>
      <c r="N4981" s="1" t="str">
        <f t="shared" si="1618"/>
        <v>凡华云仓-城南圆通-快手</v>
      </c>
      <c r="O4981" s="5" t="s">
        <v>5006</v>
      </c>
      <c r="P4981" s="6">
        <v>0.35</v>
      </c>
      <c r="Q4981" s="11">
        <v>2.2999999999999998</v>
      </c>
      <c r="R4981" s="11"/>
      <c r="S4981" s="11"/>
      <c r="T4981" s="11"/>
      <c r="U4981" s="11">
        <f t="shared" si="1609"/>
        <v>2.2999999999999998</v>
      </c>
      <c r="W4981">
        <v>2.5</v>
      </c>
      <c r="X4981" s="1" t="s">
        <v>80</v>
      </c>
    </row>
    <row r="4982" spans="1:24" x14ac:dyDescent="0.25">
      <c r="A4982" s="1" t="str">
        <f t="shared" si="1610"/>
        <v>卡卡杜-凤凰仓</v>
      </c>
      <c r="B4982" s="1" t="str">
        <f>"CK2024102025805"</f>
        <v>CK2024102025805</v>
      </c>
      <c r="C4982" s="1" t="str">
        <f>"DD2024102046526"</f>
        <v>DD2024102046526</v>
      </c>
      <c r="D4982" s="1" t="str">
        <f>"CK2024102045997"</f>
        <v>CK2024102045997</v>
      </c>
      <c r="E4982" s="1" t="str">
        <f>"2429401686216285"</f>
        <v>2429401686216285</v>
      </c>
      <c r="F4982" s="1" t="str">
        <f t="shared" si="1611"/>
        <v>花都四部-凤凰仓</v>
      </c>
      <c r="G4982" s="1" t="str">
        <f t="shared" si="1617"/>
        <v>卡卡杜佳旺专卖店（快手店）</v>
      </c>
      <c r="H4982" s="1" t="str">
        <f t="shared" si="1612"/>
        <v>正常订单</v>
      </c>
      <c r="I4982" s="1" t="str">
        <f t="shared" si="1613"/>
        <v>已发货</v>
      </c>
      <c r="J4982" s="1" t="str">
        <f t="shared" si="1620"/>
        <v>3</v>
      </c>
      <c r="K4982" s="1">
        <v>2</v>
      </c>
      <c r="L4982" s="1" t="s">
        <v>18</v>
      </c>
      <c r="M4982" s="1" t="str">
        <f>"广东省 东莞市 大岭山镇 大岭山镇"</f>
        <v>广东省 东莞市 大岭山镇 大岭山镇</v>
      </c>
      <c r="N4982" s="1" t="str">
        <f t="shared" si="1618"/>
        <v>凡华云仓-城南圆通-快手</v>
      </c>
      <c r="O4982" s="5" t="s">
        <v>5007</v>
      </c>
      <c r="P4982" s="6">
        <v>0.35</v>
      </c>
      <c r="Q4982" s="11">
        <v>2.2999999999999998</v>
      </c>
      <c r="R4982" s="11"/>
      <c r="S4982" s="11"/>
      <c r="T4982" s="11"/>
      <c r="U4982" s="11">
        <f t="shared" si="1609"/>
        <v>2.2999999999999998</v>
      </c>
      <c r="W4982">
        <v>2.5</v>
      </c>
      <c r="X4982" s="1" t="s">
        <v>18</v>
      </c>
    </row>
    <row r="4983" spans="1:24" x14ac:dyDescent="0.25">
      <c r="A4983" s="1" t="str">
        <f t="shared" si="1610"/>
        <v>卡卡杜-凤凰仓</v>
      </c>
      <c r="B4983" s="1" t="str">
        <f>"CK2024102025807"</f>
        <v>CK2024102025807</v>
      </c>
      <c r="C4983" s="1" t="str">
        <f>"DD2024102046527"</f>
        <v>DD2024102046527</v>
      </c>
      <c r="D4983" s="1" t="str">
        <f>"CK2024102045996"</f>
        <v>CK2024102045996</v>
      </c>
      <c r="E4983" s="1" t="str">
        <f>"2429401603803179"</f>
        <v>2429401603803179</v>
      </c>
      <c r="F4983" s="1" t="str">
        <f t="shared" si="1611"/>
        <v>花都四部-凤凰仓</v>
      </c>
      <c r="G4983" s="1" t="str">
        <f t="shared" si="1617"/>
        <v>卡卡杜佳旺专卖店（快手店）</v>
      </c>
      <c r="H4983" s="1" t="str">
        <f t="shared" si="1612"/>
        <v>正常订单</v>
      </c>
      <c r="I4983" s="1" t="str">
        <f t="shared" si="1613"/>
        <v>已发货</v>
      </c>
      <c r="J4983" s="1" t="str">
        <f t="shared" ref="J4983:J4987" si="1621">"5"</f>
        <v>5</v>
      </c>
      <c r="K4983" s="1">
        <v>2</v>
      </c>
      <c r="L4983" s="1" t="s">
        <v>32</v>
      </c>
      <c r="M4983" s="1" t="str">
        <f>"陕西省 宝鸡市 陈仓区 千渭街道"</f>
        <v>陕西省 宝鸡市 陈仓区 千渭街道</v>
      </c>
      <c r="N4983" s="1" t="str">
        <f t="shared" si="1618"/>
        <v>凡华云仓-城南圆通-快手</v>
      </c>
      <c r="O4983" s="5" t="s">
        <v>5008</v>
      </c>
      <c r="P4983" s="6">
        <v>0.59</v>
      </c>
      <c r="Q4983" s="11">
        <f t="shared" ref="Q4983:Q4987" si="1622">CEILING(P4983-0.5,0.1)*10*0.15+2.3</f>
        <v>2.4499999999999997</v>
      </c>
      <c r="R4983" s="11"/>
      <c r="S4983" s="11"/>
      <c r="T4983" s="11"/>
      <c r="U4983" s="11">
        <f t="shared" si="1609"/>
        <v>2.4499999999999997</v>
      </c>
      <c r="V4983" t="s">
        <v>15</v>
      </c>
      <c r="W4983">
        <v>2.4500000000000002</v>
      </c>
      <c r="X4983" s="1" t="s">
        <v>32</v>
      </c>
    </row>
    <row r="4984" spans="1:24" x14ac:dyDescent="0.25">
      <c r="A4984" s="1" t="str">
        <f t="shared" si="1610"/>
        <v>卡卡杜-凤凰仓</v>
      </c>
      <c r="B4984" s="1" t="str">
        <f>"CK2024102025810"</f>
        <v>CK2024102025810</v>
      </c>
      <c r="C4984" s="1" t="str">
        <f>"DD2024102046530"</f>
        <v>DD2024102046530</v>
      </c>
      <c r="D4984" s="1" t="str">
        <f>"CK2024102045995"</f>
        <v>CK2024102045995</v>
      </c>
      <c r="E4984" s="1" t="str">
        <f>"2429402096690871"</f>
        <v>2429402096690871</v>
      </c>
      <c r="F4984" s="1" t="str">
        <f t="shared" si="1611"/>
        <v>花都四部-凤凰仓</v>
      </c>
      <c r="G4984" s="1" t="str">
        <f t="shared" si="1617"/>
        <v>卡卡杜佳旺专卖店（快手店）</v>
      </c>
      <c r="H4984" s="1" t="str">
        <f t="shared" si="1612"/>
        <v>正常订单</v>
      </c>
      <c r="I4984" s="1" t="str">
        <f t="shared" si="1613"/>
        <v>已发货</v>
      </c>
      <c r="J4984" s="1" t="str">
        <f t="shared" ref="J4984:J4991" si="1623">"3"</f>
        <v>3</v>
      </c>
      <c r="K4984" s="1">
        <v>2</v>
      </c>
      <c r="L4984" s="1" t="s">
        <v>1495</v>
      </c>
      <c r="M4984" s="1" t="str">
        <f>"天津市 天津市 和平区 南营门街道"</f>
        <v>天津市 天津市 和平区 南营门街道</v>
      </c>
      <c r="N4984" s="1" t="str">
        <f t="shared" si="1618"/>
        <v>凡华云仓-城南圆通-快手</v>
      </c>
      <c r="O4984" s="5" t="s">
        <v>5009</v>
      </c>
      <c r="P4984" s="6">
        <v>0.35</v>
      </c>
      <c r="Q4984" s="11">
        <v>2.2999999999999998</v>
      </c>
      <c r="R4984" s="11"/>
      <c r="S4984" s="11"/>
      <c r="T4984" s="11"/>
      <c r="U4984" s="11">
        <f t="shared" si="1609"/>
        <v>2.2999999999999998</v>
      </c>
      <c r="W4984">
        <v>2.5</v>
      </c>
      <c r="X4984" s="1" t="s">
        <v>1495</v>
      </c>
    </row>
    <row r="4985" spans="1:24" x14ac:dyDescent="0.25">
      <c r="A4985" s="1" t="str">
        <f t="shared" si="1610"/>
        <v>卡卡杜-凤凰仓</v>
      </c>
      <c r="B4985" s="1" t="str">
        <f>"CK2024102025813"</f>
        <v>CK2024102025813</v>
      </c>
      <c r="C4985" s="1" t="str">
        <f>"DD2024102046533"</f>
        <v>DD2024102046533</v>
      </c>
      <c r="D4985" s="1" t="str">
        <f>"CK2024102045994"</f>
        <v>CK2024102045994</v>
      </c>
      <c r="E4985" s="1" t="str">
        <f>"2429402084496686"</f>
        <v>2429402084496686</v>
      </c>
      <c r="F4985" s="1" t="str">
        <f t="shared" si="1611"/>
        <v>花都四部-凤凰仓</v>
      </c>
      <c r="G4985" s="1" t="str">
        <f t="shared" si="1617"/>
        <v>卡卡杜佳旺专卖店（快手店）</v>
      </c>
      <c r="H4985" s="1" t="str">
        <f t="shared" si="1612"/>
        <v>正常订单</v>
      </c>
      <c r="I4985" s="1" t="str">
        <f t="shared" si="1613"/>
        <v>已发货</v>
      </c>
      <c r="J4985" s="1" t="str">
        <f t="shared" si="1621"/>
        <v>5</v>
      </c>
      <c r="K4985" s="1">
        <v>2</v>
      </c>
      <c r="L4985" s="1" t="s">
        <v>13</v>
      </c>
      <c r="M4985" s="1" t="str">
        <f>"江苏省 扬州市 邗江区 梅岭街道"</f>
        <v>江苏省 扬州市 邗江区 梅岭街道</v>
      </c>
      <c r="N4985" s="1" t="str">
        <f t="shared" si="1618"/>
        <v>凡华云仓-城南圆通-快手</v>
      </c>
      <c r="O4985" s="5" t="s">
        <v>5010</v>
      </c>
      <c r="P4985" s="6">
        <v>0.59</v>
      </c>
      <c r="Q4985" s="11">
        <f t="shared" si="1622"/>
        <v>2.4499999999999997</v>
      </c>
      <c r="R4985" s="11"/>
      <c r="S4985" s="11"/>
      <c r="T4985" s="11"/>
      <c r="U4985" s="11">
        <f t="shared" si="1609"/>
        <v>2.4499999999999997</v>
      </c>
      <c r="V4985" t="s">
        <v>15</v>
      </c>
      <c r="W4985">
        <v>2.4500000000000002</v>
      </c>
      <c r="X4985" s="1" t="s">
        <v>13</v>
      </c>
    </row>
    <row r="4986" spans="1:24" x14ac:dyDescent="0.25">
      <c r="A4986" s="1" t="str">
        <f t="shared" si="1610"/>
        <v>卡卡杜-凤凰仓</v>
      </c>
      <c r="B4986" s="1" t="str">
        <f>"CK2024102025816"</f>
        <v>CK2024102025816</v>
      </c>
      <c r="C4986" s="1" t="str">
        <f>"DD2024102046535"</f>
        <v>DD2024102046535</v>
      </c>
      <c r="D4986" s="1" t="str">
        <f>"CK2024102045993"</f>
        <v>CK2024102045993</v>
      </c>
      <c r="E4986" s="1" t="str">
        <f>"2429402013282340"</f>
        <v>2429402013282340</v>
      </c>
      <c r="F4986" s="1" t="str">
        <f t="shared" si="1611"/>
        <v>花都四部-凤凰仓</v>
      </c>
      <c r="G4986" s="1" t="str">
        <f t="shared" si="1617"/>
        <v>卡卡杜佳旺专卖店（快手店）</v>
      </c>
      <c r="H4986" s="1" t="str">
        <f t="shared" si="1612"/>
        <v>正常订单</v>
      </c>
      <c r="I4986" s="1" t="str">
        <f t="shared" si="1613"/>
        <v>已发货</v>
      </c>
      <c r="J4986" s="1" t="str">
        <f t="shared" si="1621"/>
        <v>5</v>
      </c>
      <c r="K4986" s="1">
        <v>2</v>
      </c>
      <c r="L4986" s="1" t="s">
        <v>161</v>
      </c>
      <c r="M4986" s="1" t="str">
        <f>"四川省 攀枝花市 东区 炳草岗街道"</f>
        <v>四川省 攀枝花市 东区 炳草岗街道</v>
      </c>
      <c r="N4986" s="1" t="str">
        <f t="shared" si="1618"/>
        <v>凡华云仓-城南圆通-快手</v>
      </c>
      <c r="O4986" s="5" t="s">
        <v>5011</v>
      </c>
      <c r="P4986" s="6">
        <v>0.59</v>
      </c>
      <c r="Q4986" s="11">
        <f t="shared" si="1622"/>
        <v>2.4499999999999997</v>
      </c>
      <c r="R4986" s="11"/>
      <c r="S4986" s="11"/>
      <c r="T4986" s="11"/>
      <c r="U4986" s="11">
        <f t="shared" si="1609"/>
        <v>2.4499999999999997</v>
      </c>
      <c r="V4986" t="s">
        <v>15</v>
      </c>
      <c r="W4986">
        <v>2.4500000000000002</v>
      </c>
      <c r="X4986" s="1" t="s">
        <v>161</v>
      </c>
    </row>
    <row r="4987" spans="1:24" x14ac:dyDescent="0.25">
      <c r="A4987" s="1" t="str">
        <f t="shared" si="1610"/>
        <v>卡卡杜-凤凰仓</v>
      </c>
      <c r="B4987" s="1" t="str">
        <f>"CK2024102025817"</f>
        <v>CK2024102025817</v>
      </c>
      <c r="C4987" s="1" t="str">
        <f>"DD2024102046537"</f>
        <v>DD2024102046537</v>
      </c>
      <c r="D4987" s="1" t="str">
        <f>"CK2024102045992"</f>
        <v>CK2024102045992</v>
      </c>
      <c r="E4987" s="1" t="str">
        <f>"2429401841417020"</f>
        <v>2429401841417020</v>
      </c>
      <c r="F4987" s="1" t="str">
        <f t="shared" si="1611"/>
        <v>花都四部-凤凰仓</v>
      </c>
      <c r="G4987" s="1" t="str">
        <f t="shared" si="1617"/>
        <v>卡卡杜佳旺专卖店（快手店）</v>
      </c>
      <c r="H4987" s="1" t="str">
        <f t="shared" si="1612"/>
        <v>正常订单</v>
      </c>
      <c r="I4987" s="1" t="str">
        <f t="shared" si="1613"/>
        <v>已发货</v>
      </c>
      <c r="J4987" s="1" t="str">
        <f t="shared" si="1621"/>
        <v>5</v>
      </c>
      <c r="K4987" s="1">
        <v>2</v>
      </c>
      <c r="L4987" s="1" t="s">
        <v>30</v>
      </c>
      <c r="M4987" s="1" t="str">
        <f>"山东省 临沂市 蒙阴县 蒙阴街道"</f>
        <v>山东省 临沂市 蒙阴县 蒙阴街道</v>
      </c>
      <c r="N4987" s="1" t="str">
        <f t="shared" si="1618"/>
        <v>凡华云仓-城南圆通-快手</v>
      </c>
      <c r="O4987" s="5" t="s">
        <v>5012</v>
      </c>
      <c r="P4987" s="6">
        <v>0.59</v>
      </c>
      <c r="Q4987" s="11">
        <f t="shared" si="1622"/>
        <v>2.4499999999999997</v>
      </c>
      <c r="R4987" s="11"/>
      <c r="S4987" s="11"/>
      <c r="T4987" s="11"/>
      <c r="U4987" s="11">
        <f t="shared" si="1609"/>
        <v>2.4499999999999997</v>
      </c>
      <c r="V4987" t="s">
        <v>15</v>
      </c>
      <c r="W4987">
        <v>2.4500000000000002</v>
      </c>
      <c r="X4987" s="1" t="s">
        <v>30</v>
      </c>
    </row>
    <row r="4988" spans="1:24" x14ac:dyDescent="0.25">
      <c r="A4988" s="1" t="str">
        <f t="shared" si="1610"/>
        <v>卡卡杜-凤凰仓</v>
      </c>
      <c r="B4988" s="1" t="str">
        <f>"CK2024102025819"</f>
        <v>CK2024102025819</v>
      </c>
      <c r="C4988" s="1" t="str">
        <f>"DD2024102046539"</f>
        <v>DD2024102046539</v>
      </c>
      <c r="D4988" s="1" t="str">
        <f>"CK2024102045991"</f>
        <v>CK2024102045991</v>
      </c>
      <c r="E4988" s="1" t="str">
        <f>"2429401684489006"</f>
        <v>2429401684489006</v>
      </c>
      <c r="F4988" s="1" t="str">
        <f t="shared" si="1611"/>
        <v>花都四部-凤凰仓</v>
      </c>
      <c r="G4988" s="1" t="str">
        <f t="shared" si="1617"/>
        <v>卡卡杜佳旺专卖店（快手店）</v>
      </c>
      <c r="H4988" s="1" t="str">
        <f t="shared" si="1612"/>
        <v>正常订单</v>
      </c>
      <c r="I4988" s="1" t="str">
        <f t="shared" si="1613"/>
        <v>已发货</v>
      </c>
      <c r="J4988" s="1" t="str">
        <f t="shared" si="1623"/>
        <v>3</v>
      </c>
      <c r="K4988" s="1">
        <v>2</v>
      </c>
      <c r="L4988" s="1" t="s">
        <v>109</v>
      </c>
      <c r="M4988" s="1" t="str">
        <f>"山西省 长治市 沁县 定昌镇"</f>
        <v>山西省 长治市 沁县 定昌镇</v>
      </c>
      <c r="N4988" s="1" t="str">
        <f t="shared" si="1618"/>
        <v>凡华云仓-城南圆通-快手</v>
      </c>
      <c r="O4988" s="5" t="s">
        <v>5013</v>
      </c>
      <c r="P4988" s="6">
        <v>0.35</v>
      </c>
      <c r="Q4988" s="11">
        <v>2.2999999999999998</v>
      </c>
      <c r="R4988" s="11"/>
      <c r="S4988" s="11"/>
      <c r="T4988" s="11"/>
      <c r="U4988" s="11">
        <f t="shared" si="1609"/>
        <v>2.2999999999999998</v>
      </c>
      <c r="W4988">
        <v>2.5</v>
      </c>
      <c r="X4988" s="1" t="s">
        <v>109</v>
      </c>
    </row>
    <row r="4989" spans="1:24" x14ac:dyDescent="0.25">
      <c r="A4989" s="1" t="str">
        <f t="shared" si="1610"/>
        <v>卡卡杜-凤凰仓</v>
      </c>
      <c r="B4989" s="1" t="str">
        <f>"CK2024102025820"</f>
        <v>CK2024102025820</v>
      </c>
      <c r="C4989" s="1" t="str">
        <f>"DD2024102046540"</f>
        <v>DD2024102046540</v>
      </c>
      <c r="D4989" s="1" t="str">
        <f>"CK2024102045990"</f>
        <v>CK2024102045990</v>
      </c>
      <c r="E4989" s="1" t="str">
        <f>"2429401767578006"</f>
        <v>2429401767578006</v>
      </c>
      <c r="F4989" s="1" t="str">
        <f t="shared" si="1611"/>
        <v>花都四部-凤凰仓</v>
      </c>
      <c r="G4989" s="1" t="str">
        <f t="shared" si="1617"/>
        <v>卡卡杜佳旺专卖店（快手店）</v>
      </c>
      <c r="H4989" s="1" t="str">
        <f t="shared" si="1612"/>
        <v>正常订单</v>
      </c>
      <c r="I4989" s="1" t="str">
        <f t="shared" si="1613"/>
        <v>已发货</v>
      </c>
      <c r="J4989" s="1" t="str">
        <f t="shared" si="1623"/>
        <v>3</v>
      </c>
      <c r="K4989" s="1">
        <v>2</v>
      </c>
      <c r="L4989" s="1" t="s">
        <v>187</v>
      </c>
      <c r="M4989" s="1" t="str">
        <f>"吉林省 长春市 宽城区 凯旋街道"</f>
        <v>吉林省 长春市 宽城区 凯旋街道</v>
      </c>
      <c r="N4989" s="1" t="str">
        <f t="shared" si="1618"/>
        <v>凡华云仓-城南圆通-快手</v>
      </c>
      <c r="O4989" s="5" t="s">
        <v>5014</v>
      </c>
      <c r="P4989" s="6">
        <v>0.35</v>
      </c>
      <c r="Q4989" s="11">
        <v>2.2999999999999998</v>
      </c>
      <c r="R4989" s="11"/>
      <c r="S4989" s="11"/>
      <c r="T4989" s="11"/>
      <c r="U4989" s="11">
        <f t="shared" si="1609"/>
        <v>2.2999999999999998</v>
      </c>
      <c r="W4989">
        <v>2.5</v>
      </c>
      <c r="X4989" s="1" t="s">
        <v>187</v>
      </c>
    </row>
    <row r="4990" spans="1:24" x14ac:dyDescent="0.25">
      <c r="A4990" s="1" t="str">
        <f t="shared" si="1610"/>
        <v>卡卡杜-凤凰仓</v>
      </c>
      <c r="B4990" s="1" t="str">
        <f>"CK2024102025821"</f>
        <v>CK2024102025821</v>
      </c>
      <c r="C4990" s="1" t="str">
        <f>"DD2024102046541"</f>
        <v>DD2024102046541</v>
      </c>
      <c r="D4990" s="1" t="str">
        <f>"CK2024102045989"</f>
        <v>CK2024102045989</v>
      </c>
      <c r="E4990" s="1" t="str">
        <f>"2429401603002595"</f>
        <v>2429401603002595</v>
      </c>
      <c r="F4990" s="1" t="str">
        <f t="shared" si="1611"/>
        <v>花都四部-凤凰仓</v>
      </c>
      <c r="G4990" s="1" t="str">
        <f t="shared" si="1617"/>
        <v>卡卡杜佳旺专卖店（快手店）</v>
      </c>
      <c r="H4990" s="1" t="str">
        <f t="shared" si="1612"/>
        <v>正常订单</v>
      </c>
      <c r="I4990" s="1" t="str">
        <f t="shared" si="1613"/>
        <v>已发货</v>
      </c>
      <c r="J4990" s="1" t="str">
        <f t="shared" si="1623"/>
        <v>3</v>
      </c>
      <c r="K4990" s="1">
        <v>2</v>
      </c>
      <c r="L4990" s="1" t="s">
        <v>1099</v>
      </c>
      <c r="M4990" s="1" t="str">
        <f>"重庆市 重庆市 丰都县 兴义镇"</f>
        <v>重庆市 重庆市 丰都县 兴义镇</v>
      </c>
      <c r="N4990" s="1" t="str">
        <f t="shared" si="1618"/>
        <v>凡华云仓-城南圆通-快手</v>
      </c>
      <c r="O4990" s="5" t="s">
        <v>5015</v>
      </c>
      <c r="P4990" s="6">
        <v>0.35</v>
      </c>
      <c r="Q4990" s="11">
        <v>2.2999999999999998</v>
      </c>
      <c r="R4990" s="11"/>
      <c r="S4990" s="11"/>
      <c r="T4990" s="11"/>
      <c r="U4990" s="11">
        <f t="shared" si="1609"/>
        <v>2.2999999999999998</v>
      </c>
      <c r="W4990">
        <v>2.5</v>
      </c>
      <c r="X4990" s="1" t="s">
        <v>1099</v>
      </c>
    </row>
    <row r="4991" spans="1:24" x14ac:dyDescent="0.25">
      <c r="A4991" s="1" t="str">
        <f t="shared" si="1610"/>
        <v>卡卡杜-凤凰仓</v>
      </c>
      <c r="B4991" s="1" t="str">
        <f>"CK2024102025822"</f>
        <v>CK2024102025822</v>
      </c>
      <c r="C4991" s="1" t="str">
        <f>"DD2024102046542"</f>
        <v>DD2024102046542</v>
      </c>
      <c r="D4991" s="1" t="str">
        <f>"CK2024102045988"</f>
        <v>CK2024102045988</v>
      </c>
      <c r="E4991" s="1" t="str">
        <f>"2429401930025931"</f>
        <v>2429401930025931</v>
      </c>
      <c r="F4991" s="1" t="str">
        <f t="shared" si="1611"/>
        <v>花都四部-凤凰仓</v>
      </c>
      <c r="G4991" s="1" t="str">
        <f t="shared" si="1617"/>
        <v>卡卡杜佳旺专卖店（快手店）</v>
      </c>
      <c r="H4991" s="1" t="str">
        <f t="shared" si="1612"/>
        <v>正常订单</v>
      </c>
      <c r="I4991" s="1" t="str">
        <f t="shared" si="1613"/>
        <v>已发货</v>
      </c>
      <c r="J4991" s="1" t="str">
        <f t="shared" si="1623"/>
        <v>3</v>
      </c>
      <c r="K4991" s="1">
        <v>2</v>
      </c>
      <c r="L4991" s="1" t="s">
        <v>94</v>
      </c>
      <c r="M4991" s="1" t="str">
        <f>"湖南省 长沙市 长沙县 星沙街道"</f>
        <v>湖南省 长沙市 长沙县 星沙街道</v>
      </c>
      <c r="N4991" s="1" t="str">
        <f t="shared" si="1618"/>
        <v>凡华云仓-城南圆通-快手</v>
      </c>
      <c r="O4991" s="5" t="s">
        <v>5016</v>
      </c>
      <c r="P4991" s="6">
        <v>0.35</v>
      </c>
      <c r="Q4991" s="11">
        <v>2.2999999999999998</v>
      </c>
      <c r="R4991" s="11"/>
      <c r="S4991" s="11"/>
      <c r="T4991" s="11"/>
      <c r="U4991" s="11">
        <f t="shared" si="1609"/>
        <v>2.2999999999999998</v>
      </c>
      <c r="W4991">
        <v>2.5</v>
      </c>
      <c r="X4991" s="1" t="s">
        <v>94</v>
      </c>
    </row>
    <row r="4992" spans="1:24" x14ac:dyDescent="0.25">
      <c r="A4992" s="1" t="str">
        <f t="shared" si="1610"/>
        <v>卡卡杜-凤凰仓</v>
      </c>
      <c r="B4992" s="1" t="str">
        <f>"CK2024102025823"</f>
        <v>CK2024102025823</v>
      </c>
      <c r="C4992" s="1" t="str">
        <f>"DD2024102046544"</f>
        <v>DD2024102046544</v>
      </c>
      <c r="D4992" s="1" t="str">
        <f>"CK2024102045987"</f>
        <v>CK2024102045987</v>
      </c>
      <c r="E4992" s="1" t="str">
        <f>"2429401762146940"</f>
        <v>2429401762146940</v>
      </c>
      <c r="F4992" s="1" t="str">
        <f t="shared" si="1611"/>
        <v>花都四部-凤凰仓</v>
      </c>
      <c r="G4992" s="1" t="str">
        <f t="shared" si="1617"/>
        <v>卡卡杜佳旺专卖店（快手店）</v>
      </c>
      <c r="H4992" s="1" t="str">
        <f t="shared" si="1612"/>
        <v>正常订单</v>
      </c>
      <c r="I4992" s="1" t="str">
        <f t="shared" si="1613"/>
        <v>已发货</v>
      </c>
      <c r="J4992" s="1" t="str">
        <f>"5"</f>
        <v>5</v>
      </c>
      <c r="K4992" s="1">
        <v>2</v>
      </c>
      <c r="L4992" s="1" t="s">
        <v>13</v>
      </c>
      <c r="M4992" s="1" t="str">
        <f>"江苏省 泰州市 靖江市 靖城街道"</f>
        <v>江苏省 泰州市 靖江市 靖城街道</v>
      </c>
      <c r="N4992" s="1" t="str">
        <f t="shared" si="1618"/>
        <v>凡华云仓-城南圆通-快手</v>
      </c>
      <c r="O4992" s="5" t="s">
        <v>5017</v>
      </c>
      <c r="P4992" s="6">
        <v>0.59</v>
      </c>
      <c r="Q4992" s="11">
        <f>CEILING(P4992-0.5,0.1)*10*0.15+2.3</f>
        <v>2.4499999999999997</v>
      </c>
      <c r="R4992" s="11"/>
      <c r="S4992" s="11"/>
      <c r="T4992" s="11"/>
      <c r="U4992" s="11">
        <f t="shared" si="1609"/>
        <v>2.4499999999999997</v>
      </c>
      <c r="V4992" t="s">
        <v>15</v>
      </c>
      <c r="W4992">
        <v>2.4500000000000002</v>
      </c>
      <c r="X4992" s="1" t="s">
        <v>13</v>
      </c>
    </row>
    <row r="4993" spans="1:24" x14ac:dyDescent="0.25">
      <c r="A4993" s="1" t="str">
        <f t="shared" si="1610"/>
        <v>卡卡杜-凤凰仓</v>
      </c>
      <c r="B4993" s="1" t="str">
        <f>"CK2024102025865"</f>
        <v>CK2024102025865</v>
      </c>
      <c r="C4993" s="1" t="str">
        <f>"DD2024102046610"</f>
        <v>DD2024102046610</v>
      </c>
      <c r="D4993" s="1" t="str">
        <f>"CK2024102045986"</f>
        <v>CK2024102045986</v>
      </c>
      <c r="E4993" s="1" t="str">
        <f>"2429401930857860"</f>
        <v>2429401930857860</v>
      </c>
      <c r="F4993" s="1" t="str">
        <f t="shared" si="1611"/>
        <v>花都四部-凤凰仓</v>
      </c>
      <c r="G4993" s="1" t="str">
        <f t="shared" si="1617"/>
        <v>卡卡杜佳旺专卖店（快手店）</v>
      </c>
      <c r="H4993" s="1" t="str">
        <f t="shared" si="1612"/>
        <v>正常订单</v>
      </c>
      <c r="I4993" s="1" t="str">
        <f t="shared" si="1613"/>
        <v>已发货</v>
      </c>
      <c r="J4993" s="1" t="str">
        <f t="shared" ref="J4993:J4996" si="1624">"3"</f>
        <v>3</v>
      </c>
      <c r="K4993" s="1">
        <v>2</v>
      </c>
      <c r="L4993" s="1" t="s">
        <v>27</v>
      </c>
      <c r="M4993" s="1" t="str">
        <f>"贵州省 遵义市 红花岗区 "</f>
        <v xml:space="preserve">贵州省 遵义市 红花岗区 </v>
      </c>
      <c r="N4993" s="1" t="str">
        <f t="shared" si="1618"/>
        <v>凡华云仓-城南圆通-快手</v>
      </c>
      <c r="O4993" s="5" t="s">
        <v>5018</v>
      </c>
      <c r="P4993" s="6">
        <v>0.35</v>
      </c>
      <c r="Q4993" s="11">
        <v>2.2999999999999998</v>
      </c>
      <c r="R4993" s="11"/>
      <c r="S4993" s="11"/>
      <c r="T4993" s="11"/>
      <c r="U4993" s="11">
        <f t="shared" si="1609"/>
        <v>2.2999999999999998</v>
      </c>
      <c r="W4993">
        <v>2.5</v>
      </c>
      <c r="X4993" s="1" t="s">
        <v>27</v>
      </c>
    </row>
    <row r="4994" spans="1:24" x14ac:dyDescent="0.25">
      <c r="A4994" s="1" t="str">
        <f t="shared" si="1610"/>
        <v>卡卡杜-凤凰仓</v>
      </c>
      <c r="B4994" s="1" t="str">
        <f>"CK2024102025866"</f>
        <v>CK2024102025866</v>
      </c>
      <c r="C4994" s="1" t="str">
        <f>"DD2024102046609"</f>
        <v>DD2024102046609</v>
      </c>
      <c r="D4994" s="1" t="str">
        <f>"CK2024102045985"</f>
        <v>CK2024102045985</v>
      </c>
      <c r="E4994" s="1" t="str">
        <f>"2429402084385860"</f>
        <v>2429402084385860</v>
      </c>
      <c r="F4994" s="1" t="str">
        <f t="shared" si="1611"/>
        <v>花都四部-凤凰仓</v>
      </c>
      <c r="G4994" s="1" t="str">
        <f t="shared" si="1617"/>
        <v>卡卡杜佳旺专卖店（快手店）</v>
      </c>
      <c r="H4994" s="1" t="str">
        <f t="shared" si="1612"/>
        <v>正常订单</v>
      </c>
      <c r="I4994" s="1" t="str">
        <f t="shared" si="1613"/>
        <v>已发货</v>
      </c>
      <c r="J4994" s="1" t="str">
        <f t="shared" si="1624"/>
        <v>3</v>
      </c>
      <c r="K4994" s="1">
        <v>2</v>
      </c>
      <c r="L4994" s="1" t="s">
        <v>27</v>
      </c>
      <c r="M4994" s="1" t="str">
        <f>"贵州省 遵义市 红花岗区 "</f>
        <v xml:space="preserve">贵州省 遵义市 红花岗区 </v>
      </c>
      <c r="N4994" s="1" t="str">
        <f t="shared" si="1618"/>
        <v>凡华云仓-城南圆通-快手</v>
      </c>
      <c r="O4994" s="5" t="s">
        <v>5019</v>
      </c>
      <c r="P4994" s="6">
        <v>0.35</v>
      </c>
      <c r="Q4994" s="11">
        <v>2.2999999999999998</v>
      </c>
      <c r="R4994" s="11"/>
      <c r="S4994" s="11"/>
      <c r="T4994" s="11"/>
      <c r="U4994" s="11">
        <f t="shared" si="1609"/>
        <v>2.2999999999999998</v>
      </c>
      <c r="W4994">
        <v>2.5</v>
      </c>
      <c r="X4994" s="1" t="s">
        <v>27</v>
      </c>
    </row>
    <row r="4995" spans="1:24" x14ac:dyDescent="0.25">
      <c r="A4995" s="1" t="str">
        <f t="shared" si="1610"/>
        <v>卡卡杜-凤凰仓</v>
      </c>
      <c r="B4995" s="1" t="str">
        <f>"CK2024102025824"</f>
        <v>CK2024102025824</v>
      </c>
      <c r="C4995" s="1" t="str">
        <f>"DD2024102046543"</f>
        <v>DD2024102046543</v>
      </c>
      <c r="D4995" s="1" t="str">
        <f>"CK2024102045984"</f>
        <v>CK2024102045984</v>
      </c>
      <c r="E4995" s="1" t="str">
        <f>"2429402002953288"</f>
        <v>2429402002953288</v>
      </c>
      <c r="F4995" s="1" t="str">
        <f t="shared" si="1611"/>
        <v>花都四部-凤凰仓</v>
      </c>
      <c r="G4995" s="1" t="str">
        <f t="shared" si="1617"/>
        <v>卡卡杜佳旺专卖店（快手店）</v>
      </c>
      <c r="H4995" s="1" t="str">
        <f t="shared" si="1612"/>
        <v>正常订单</v>
      </c>
      <c r="I4995" s="1" t="str">
        <f t="shared" si="1613"/>
        <v>已发货</v>
      </c>
      <c r="J4995" s="1" t="str">
        <f t="shared" si="1624"/>
        <v>3</v>
      </c>
      <c r="K4995" s="1">
        <v>2</v>
      </c>
      <c r="L4995" s="1" t="s">
        <v>20</v>
      </c>
      <c r="M4995" s="1" t="str">
        <f>"浙江省 宁波市 慈溪市 周巷镇"</f>
        <v>浙江省 宁波市 慈溪市 周巷镇</v>
      </c>
      <c r="N4995" s="1" t="str">
        <f t="shared" si="1618"/>
        <v>凡华云仓-城南圆通-快手</v>
      </c>
      <c r="O4995" s="5" t="s">
        <v>5020</v>
      </c>
      <c r="P4995" s="6">
        <v>0.35</v>
      </c>
      <c r="Q4995" s="11">
        <v>2.2999999999999998</v>
      </c>
      <c r="R4995" s="11"/>
      <c r="S4995" s="11"/>
      <c r="T4995" s="11"/>
      <c r="U4995" s="11">
        <f t="shared" ref="U4995:U5058" si="1625">T4995+S4995+R4995+Q4995</f>
        <v>2.2999999999999998</v>
      </c>
      <c r="W4995">
        <v>2.5</v>
      </c>
      <c r="X4995" s="1" t="s">
        <v>20</v>
      </c>
    </row>
    <row r="4996" spans="1:24" x14ac:dyDescent="0.25">
      <c r="A4996" s="1" t="str">
        <f t="shared" si="1610"/>
        <v>卡卡杜-凤凰仓</v>
      </c>
      <c r="B4996" s="1" t="str">
        <f>"CK2024102025825"</f>
        <v>CK2024102025825</v>
      </c>
      <c r="C4996" s="1" t="str">
        <f>"DD2024102046545"</f>
        <v>DD2024102046545</v>
      </c>
      <c r="D4996" s="1" t="str">
        <f>"CK2024102045983"</f>
        <v>CK2024102045983</v>
      </c>
      <c r="E4996" s="1" t="str">
        <f>"2429401926184915"</f>
        <v>2429401926184915</v>
      </c>
      <c r="F4996" s="1" t="str">
        <f t="shared" si="1611"/>
        <v>花都四部-凤凰仓</v>
      </c>
      <c r="G4996" s="1" t="str">
        <f t="shared" si="1617"/>
        <v>卡卡杜佳旺专卖店（快手店）</v>
      </c>
      <c r="H4996" s="1" t="str">
        <f t="shared" si="1612"/>
        <v>正常订单</v>
      </c>
      <c r="I4996" s="1" t="str">
        <f t="shared" si="1613"/>
        <v>已发货</v>
      </c>
      <c r="J4996" s="1" t="str">
        <f t="shared" si="1624"/>
        <v>3</v>
      </c>
      <c r="K4996" s="1">
        <v>2</v>
      </c>
      <c r="L4996" s="1" t="s">
        <v>18</v>
      </c>
      <c r="M4996" s="1" t="str">
        <f>"广东省 阳江市 江城区 城北街道"</f>
        <v>广东省 阳江市 江城区 城北街道</v>
      </c>
      <c r="N4996" s="1" t="str">
        <f t="shared" si="1618"/>
        <v>凡华云仓-城南圆通-快手</v>
      </c>
      <c r="O4996" s="5" t="s">
        <v>5021</v>
      </c>
      <c r="P4996" s="6">
        <v>0.35</v>
      </c>
      <c r="Q4996" s="11">
        <v>2.2999999999999998</v>
      </c>
      <c r="R4996" s="11"/>
      <c r="S4996" s="11"/>
      <c r="T4996" s="11"/>
      <c r="U4996" s="11">
        <f t="shared" si="1625"/>
        <v>2.2999999999999998</v>
      </c>
      <c r="W4996">
        <v>2.5</v>
      </c>
      <c r="X4996" s="1" t="s">
        <v>18</v>
      </c>
    </row>
    <row r="4997" spans="1:24" x14ac:dyDescent="0.25">
      <c r="A4997" s="1" t="str">
        <f t="shared" ref="A4997:A5060" si="1626">"卡卡杜-凤凰仓"</f>
        <v>卡卡杜-凤凰仓</v>
      </c>
      <c r="B4997" s="1" t="str">
        <f>"CK2024102025826"</f>
        <v>CK2024102025826</v>
      </c>
      <c r="C4997" s="1" t="str">
        <f>"DD2024102046546"</f>
        <v>DD2024102046546</v>
      </c>
      <c r="D4997" s="1" t="str">
        <f>"CK2024102045982"</f>
        <v>CK2024102045982</v>
      </c>
      <c r="E4997" s="1" t="str">
        <f>"2429402005425274"</f>
        <v>2429402005425274</v>
      </c>
      <c r="F4997" s="1" t="str">
        <f t="shared" ref="F4997:F5060" si="1627">"花都四部-凤凰仓"</f>
        <v>花都四部-凤凰仓</v>
      </c>
      <c r="G4997" s="1" t="str">
        <f t="shared" si="1617"/>
        <v>卡卡杜佳旺专卖店（快手店）</v>
      </c>
      <c r="H4997" s="1" t="str">
        <f t="shared" ref="H4997:H5060" si="1628">"正常订单"</f>
        <v>正常订单</v>
      </c>
      <c r="I4997" s="1" t="str">
        <f t="shared" ref="I4997:I5060" si="1629">"已发货"</f>
        <v>已发货</v>
      </c>
      <c r="J4997" s="1" t="str">
        <f>"5"</f>
        <v>5</v>
      </c>
      <c r="K4997" s="1">
        <v>2</v>
      </c>
      <c r="L4997" s="1" t="s">
        <v>18</v>
      </c>
      <c r="M4997" s="1" t="str">
        <f>"广东省 深圳市 坪山区 碧岭街道"</f>
        <v>广东省 深圳市 坪山区 碧岭街道</v>
      </c>
      <c r="N4997" s="1" t="str">
        <f t="shared" si="1618"/>
        <v>凡华云仓-城南圆通-快手</v>
      </c>
      <c r="O4997" s="5" t="s">
        <v>5022</v>
      </c>
      <c r="P4997" s="6">
        <v>0.59</v>
      </c>
      <c r="Q4997" s="11">
        <f>CEILING(P4997-0.5,0.1)*10*0.15+2.3</f>
        <v>2.4499999999999997</v>
      </c>
      <c r="R4997" s="11"/>
      <c r="S4997" s="11"/>
      <c r="T4997" s="11"/>
      <c r="U4997" s="11">
        <f t="shared" si="1625"/>
        <v>2.4499999999999997</v>
      </c>
      <c r="V4997" t="s">
        <v>15</v>
      </c>
      <c r="W4997">
        <v>2.4500000000000002</v>
      </c>
      <c r="X4997" s="1" t="s">
        <v>18</v>
      </c>
    </row>
    <row r="4998" spans="1:24" x14ac:dyDescent="0.25">
      <c r="A4998" s="1" t="str">
        <f t="shared" si="1626"/>
        <v>卡卡杜-凤凰仓</v>
      </c>
      <c r="B4998" s="1" t="str">
        <f>"CK2024102025827"</f>
        <v>CK2024102025827</v>
      </c>
      <c r="C4998" s="1" t="str">
        <f>"DD2024102046550"</f>
        <v>DD2024102046550</v>
      </c>
      <c r="D4998" s="1" t="str">
        <f>"CK2024102045981"</f>
        <v>CK2024102045981</v>
      </c>
      <c r="E4998" s="1" t="str">
        <f>"2429401689137058"</f>
        <v>2429401689137058</v>
      </c>
      <c r="F4998" s="1" t="str">
        <f t="shared" si="1627"/>
        <v>花都四部-凤凰仓</v>
      </c>
      <c r="G4998" s="1" t="str">
        <f t="shared" si="1617"/>
        <v>卡卡杜佳旺专卖店（快手店）</v>
      </c>
      <c r="H4998" s="1" t="str">
        <f t="shared" si="1628"/>
        <v>正常订单</v>
      </c>
      <c r="I4998" s="1" t="str">
        <f t="shared" si="1629"/>
        <v>已发货</v>
      </c>
      <c r="J4998" s="1" t="str">
        <f t="shared" ref="J4998:J5007" si="1630">"3"</f>
        <v>3</v>
      </c>
      <c r="K4998" s="1">
        <v>2</v>
      </c>
      <c r="L4998" s="1" t="s">
        <v>96</v>
      </c>
      <c r="M4998" s="1" t="str">
        <f>"广西壮族自治区 北海市 合浦县 白沙镇"</f>
        <v>广西壮族自治区 北海市 合浦县 白沙镇</v>
      </c>
      <c r="N4998" s="1" t="str">
        <f t="shared" si="1618"/>
        <v>凡华云仓-城南圆通-快手</v>
      </c>
      <c r="O4998" s="5" t="s">
        <v>5023</v>
      </c>
      <c r="P4998" s="6">
        <v>0.35</v>
      </c>
      <c r="Q4998" s="11">
        <v>2.2999999999999998</v>
      </c>
      <c r="R4998" s="11"/>
      <c r="S4998" s="11"/>
      <c r="T4998" s="11"/>
      <c r="U4998" s="11">
        <f t="shared" si="1625"/>
        <v>2.2999999999999998</v>
      </c>
      <c r="W4998">
        <v>2.5</v>
      </c>
      <c r="X4998" s="1" t="s">
        <v>96</v>
      </c>
    </row>
    <row r="4999" spans="1:24" x14ac:dyDescent="0.25">
      <c r="A4999" s="1" t="str">
        <f t="shared" si="1626"/>
        <v>卡卡杜-凤凰仓</v>
      </c>
      <c r="B4999" s="1" t="str">
        <f>"CK2024102025829"</f>
        <v>CK2024102025829</v>
      </c>
      <c r="C4999" s="1" t="str">
        <f>"DD2024102046547"</f>
        <v>DD2024102046547</v>
      </c>
      <c r="D4999" s="1" t="str">
        <f>"CK2024102045980"</f>
        <v>CK2024102045980</v>
      </c>
      <c r="E4999" s="1" t="str">
        <f>"2429402169291643"</f>
        <v>2429402169291643</v>
      </c>
      <c r="F4999" s="1" t="str">
        <f t="shared" si="1627"/>
        <v>花都四部-凤凰仓</v>
      </c>
      <c r="G4999" s="1" t="str">
        <f t="shared" si="1617"/>
        <v>卡卡杜佳旺专卖店（快手店）</v>
      </c>
      <c r="H4999" s="1" t="str">
        <f t="shared" si="1628"/>
        <v>正常订单</v>
      </c>
      <c r="I4999" s="1" t="str">
        <f t="shared" si="1629"/>
        <v>已发货</v>
      </c>
      <c r="J4999" s="1" t="str">
        <f t="shared" si="1630"/>
        <v>3</v>
      </c>
      <c r="K4999" s="1">
        <v>2</v>
      </c>
      <c r="L4999" s="1" t="s">
        <v>13</v>
      </c>
      <c r="M4999" s="1" t="str">
        <f>"江苏省 徐州市 徐州经济技术开发区 大庙街道"</f>
        <v>江苏省 徐州市 徐州经济技术开发区 大庙街道</v>
      </c>
      <c r="N4999" s="1" t="str">
        <f t="shared" si="1618"/>
        <v>凡华云仓-城南圆通-快手</v>
      </c>
      <c r="O4999" s="5" t="s">
        <v>5024</v>
      </c>
      <c r="P4999" s="6">
        <v>0.35</v>
      </c>
      <c r="Q4999" s="11">
        <v>2.2999999999999998</v>
      </c>
      <c r="R4999" s="11"/>
      <c r="S4999" s="11"/>
      <c r="T4999" s="11"/>
      <c r="U4999" s="11">
        <f t="shared" si="1625"/>
        <v>2.2999999999999998</v>
      </c>
      <c r="W4999">
        <v>2.5</v>
      </c>
      <c r="X4999" s="1" t="s">
        <v>13</v>
      </c>
    </row>
    <row r="5000" spans="1:24" x14ac:dyDescent="0.25">
      <c r="A5000" s="1" t="str">
        <f t="shared" si="1626"/>
        <v>卡卡杜-凤凰仓</v>
      </c>
      <c r="B5000" s="1" t="str">
        <f>"CK2024102025830"</f>
        <v>CK2024102025830</v>
      </c>
      <c r="C5000" s="1" t="str">
        <f>"DD2024102046549"</f>
        <v>DD2024102046549</v>
      </c>
      <c r="D5000" s="1" t="str">
        <f>"CK2024102045979"</f>
        <v>CK2024102045979</v>
      </c>
      <c r="E5000" s="1" t="str">
        <f>"2429401771666072"</f>
        <v>2429401771666072</v>
      </c>
      <c r="F5000" s="1" t="str">
        <f t="shared" si="1627"/>
        <v>花都四部-凤凰仓</v>
      </c>
      <c r="G5000" s="1" t="str">
        <f t="shared" si="1617"/>
        <v>卡卡杜佳旺专卖店（快手店）</v>
      </c>
      <c r="H5000" s="1" t="str">
        <f t="shared" si="1628"/>
        <v>正常订单</v>
      </c>
      <c r="I5000" s="1" t="str">
        <f t="shared" si="1629"/>
        <v>已发货</v>
      </c>
      <c r="J5000" s="1" t="str">
        <f t="shared" si="1630"/>
        <v>3</v>
      </c>
      <c r="K5000" s="1">
        <v>2</v>
      </c>
      <c r="L5000" s="1" t="s">
        <v>60</v>
      </c>
      <c r="M5000" s="1" t="str">
        <f>"云南省 保山市 隆阳区 九隆街道"</f>
        <v>云南省 保山市 隆阳区 九隆街道</v>
      </c>
      <c r="N5000" s="1" t="str">
        <f t="shared" si="1618"/>
        <v>凡华云仓-城南圆通-快手</v>
      </c>
      <c r="O5000" s="5" t="s">
        <v>5025</v>
      </c>
      <c r="P5000" s="6">
        <v>0.35</v>
      </c>
      <c r="Q5000" s="11">
        <v>2.2999999999999998</v>
      </c>
      <c r="R5000" s="11"/>
      <c r="S5000" s="11"/>
      <c r="T5000" s="11"/>
      <c r="U5000" s="11">
        <f t="shared" si="1625"/>
        <v>2.2999999999999998</v>
      </c>
      <c r="W5000">
        <v>2.5</v>
      </c>
      <c r="X5000" s="1" t="s">
        <v>60</v>
      </c>
    </row>
    <row r="5001" spans="1:24" x14ac:dyDescent="0.25">
      <c r="A5001" s="1" t="str">
        <f t="shared" si="1626"/>
        <v>卡卡杜-凤凰仓</v>
      </c>
      <c r="B5001" s="1" t="str">
        <f>"CK2024102025831"</f>
        <v>CK2024102025831</v>
      </c>
      <c r="C5001" s="1" t="str">
        <f>"DD2024102046551"</f>
        <v>DD2024102046551</v>
      </c>
      <c r="D5001" s="1" t="str">
        <f>"CK2024102045978"</f>
        <v>CK2024102045978</v>
      </c>
      <c r="E5001" s="1" t="str">
        <f>"2429401604435132"</f>
        <v>2429401604435132</v>
      </c>
      <c r="F5001" s="1" t="str">
        <f t="shared" si="1627"/>
        <v>花都四部-凤凰仓</v>
      </c>
      <c r="G5001" s="1" t="str">
        <f t="shared" si="1617"/>
        <v>卡卡杜佳旺专卖店（快手店）</v>
      </c>
      <c r="H5001" s="1" t="str">
        <f t="shared" si="1628"/>
        <v>正常订单</v>
      </c>
      <c r="I5001" s="1" t="str">
        <f t="shared" si="1629"/>
        <v>已发货</v>
      </c>
      <c r="J5001" s="1" t="str">
        <f t="shared" si="1630"/>
        <v>3</v>
      </c>
      <c r="K5001" s="1">
        <v>2</v>
      </c>
      <c r="L5001" s="1" t="s">
        <v>32</v>
      </c>
      <c r="M5001" s="1" t="str">
        <f>"陕西省 咸阳市 秦都区 钓台街道"</f>
        <v>陕西省 咸阳市 秦都区 钓台街道</v>
      </c>
      <c r="N5001" s="1" t="str">
        <f t="shared" si="1618"/>
        <v>凡华云仓-城南圆通-快手</v>
      </c>
      <c r="O5001" s="5" t="s">
        <v>5026</v>
      </c>
      <c r="P5001" s="6">
        <v>0.35</v>
      </c>
      <c r="Q5001" s="11">
        <v>2.2999999999999998</v>
      </c>
      <c r="R5001" s="11"/>
      <c r="S5001" s="11"/>
      <c r="T5001" s="11"/>
      <c r="U5001" s="11">
        <f t="shared" si="1625"/>
        <v>2.2999999999999998</v>
      </c>
      <c r="W5001">
        <v>2.5</v>
      </c>
      <c r="X5001" s="1" t="s">
        <v>32</v>
      </c>
    </row>
    <row r="5002" spans="1:24" x14ac:dyDescent="0.25">
      <c r="A5002" s="1" t="str">
        <f t="shared" si="1626"/>
        <v>卡卡杜-凤凰仓</v>
      </c>
      <c r="B5002" s="1" t="str">
        <f>"CK2024102025834"</f>
        <v>CK2024102025834</v>
      </c>
      <c r="C5002" s="1" t="str">
        <f>"DD2024102046555"</f>
        <v>DD2024102046555</v>
      </c>
      <c r="D5002" s="1" t="str">
        <f>"CK2024102045977"</f>
        <v>CK2024102045977</v>
      </c>
      <c r="E5002" s="1" t="str">
        <f>"2429401606040736"</f>
        <v>2429401606040736</v>
      </c>
      <c r="F5002" s="1" t="str">
        <f t="shared" si="1627"/>
        <v>花都四部-凤凰仓</v>
      </c>
      <c r="G5002" s="1" t="str">
        <f t="shared" si="1617"/>
        <v>卡卡杜佳旺专卖店（快手店）</v>
      </c>
      <c r="H5002" s="1" t="str">
        <f t="shared" si="1628"/>
        <v>正常订单</v>
      </c>
      <c r="I5002" s="1" t="str">
        <f t="shared" si="1629"/>
        <v>已发货</v>
      </c>
      <c r="J5002" s="1" t="str">
        <f t="shared" si="1630"/>
        <v>3</v>
      </c>
      <c r="K5002" s="1">
        <v>2</v>
      </c>
      <c r="L5002" s="1" t="s">
        <v>92</v>
      </c>
      <c r="M5002" s="1" t="str">
        <f>"辽宁省 沈阳市 于洪区 沙岭街道"</f>
        <v>辽宁省 沈阳市 于洪区 沙岭街道</v>
      </c>
      <c r="N5002" s="1" t="str">
        <f t="shared" si="1618"/>
        <v>凡华云仓-城南圆通-快手</v>
      </c>
      <c r="O5002" s="5" t="s">
        <v>5027</v>
      </c>
      <c r="P5002" s="6">
        <v>0.35</v>
      </c>
      <c r="Q5002" s="11">
        <v>2.2999999999999998</v>
      </c>
      <c r="R5002" s="11"/>
      <c r="S5002" s="11"/>
      <c r="T5002" s="11"/>
      <c r="U5002" s="11">
        <f t="shared" si="1625"/>
        <v>2.2999999999999998</v>
      </c>
      <c r="W5002">
        <v>2.5</v>
      </c>
      <c r="X5002" s="1" t="s">
        <v>92</v>
      </c>
    </row>
    <row r="5003" spans="1:24" x14ac:dyDescent="0.25">
      <c r="A5003" s="1" t="str">
        <f t="shared" si="1626"/>
        <v>卡卡杜-凤凰仓</v>
      </c>
      <c r="B5003" s="1" t="str">
        <f>"CK2024102025835"</f>
        <v>CK2024102025835</v>
      </c>
      <c r="C5003" s="1" t="str">
        <f>"DD2024102046556"</f>
        <v>DD2024102046556</v>
      </c>
      <c r="D5003" s="1" t="str">
        <f>"CK2024102045976"</f>
        <v>CK2024102045976</v>
      </c>
      <c r="E5003" s="1" t="str">
        <f>"2429401683665552"</f>
        <v>2429401683665552</v>
      </c>
      <c r="F5003" s="1" t="str">
        <f t="shared" si="1627"/>
        <v>花都四部-凤凰仓</v>
      </c>
      <c r="G5003" s="1" t="str">
        <f t="shared" si="1617"/>
        <v>卡卡杜佳旺专卖店（快手店）</v>
      </c>
      <c r="H5003" s="1" t="str">
        <f t="shared" si="1628"/>
        <v>正常订单</v>
      </c>
      <c r="I5003" s="1" t="str">
        <f t="shared" si="1629"/>
        <v>已发货</v>
      </c>
      <c r="J5003" s="1" t="str">
        <f t="shared" si="1630"/>
        <v>3</v>
      </c>
      <c r="K5003" s="1">
        <v>2</v>
      </c>
      <c r="L5003" s="1" t="s">
        <v>20</v>
      </c>
      <c r="M5003" s="1" t="str">
        <f>"浙江省 宁波市 鄞州区 瞻岐镇"</f>
        <v>浙江省 宁波市 鄞州区 瞻岐镇</v>
      </c>
      <c r="N5003" s="1" t="str">
        <f t="shared" si="1618"/>
        <v>凡华云仓-城南圆通-快手</v>
      </c>
      <c r="O5003" s="5" t="s">
        <v>5028</v>
      </c>
      <c r="P5003" s="6">
        <v>0.35</v>
      </c>
      <c r="Q5003" s="11">
        <v>2.2999999999999998</v>
      </c>
      <c r="R5003" s="11"/>
      <c r="S5003" s="11"/>
      <c r="T5003" s="11"/>
      <c r="U5003" s="11">
        <f t="shared" si="1625"/>
        <v>2.2999999999999998</v>
      </c>
      <c r="W5003">
        <v>2.5</v>
      </c>
      <c r="X5003" s="1" t="s">
        <v>20</v>
      </c>
    </row>
    <row r="5004" spans="1:24" x14ac:dyDescent="0.25">
      <c r="A5004" s="1" t="str">
        <f t="shared" si="1626"/>
        <v>卡卡杜-凤凰仓</v>
      </c>
      <c r="B5004" s="1" t="str">
        <f>"CK2024102025836"</f>
        <v>CK2024102025836</v>
      </c>
      <c r="C5004" s="1" t="str">
        <f>"DD2024102046554"</f>
        <v>DD2024102046554</v>
      </c>
      <c r="D5004" s="1" t="str">
        <f>"CK2024102045975"</f>
        <v>CK2024102045975</v>
      </c>
      <c r="E5004" s="1" t="str">
        <f>"2429401604417958"</f>
        <v>2429401604417958</v>
      </c>
      <c r="F5004" s="1" t="str">
        <f t="shared" si="1627"/>
        <v>花都四部-凤凰仓</v>
      </c>
      <c r="G5004" s="1" t="str">
        <f t="shared" si="1617"/>
        <v>卡卡杜佳旺专卖店（快手店）</v>
      </c>
      <c r="H5004" s="1" t="str">
        <f t="shared" si="1628"/>
        <v>正常订单</v>
      </c>
      <c r="I5004" s="1" t="str">
        <f t="shared" si="1629"/>
        <v>已发货</v>
      </c>
      <c r="J5004" s="1" t="str">
        <f t="shared" si="1630"/>
        <v>3</v>
      </c>
      <c r="K5004" s="1">
        <v>2</v>
      </c>
      <c r="L5004" s="1" t="s">
        <v>161</v>
      </c>
      <c r="M5004" s="1" t="str">
        <f>"四川省 凉山彝族自治州 西昌市 西城街道"</f>
        <v>四川省 凉山彝族自治州 西昌市 西城街道</v>
      </c>
      <c r="N5004" s="1" t="str">
        <f t="shared" si="1618"/>
        <v>凡华云仓-城南圆通-快手</v>
      </c>
      <c r="O5004" s="5" t="s">
        <v>5029</v>
      </c>
      <c r="P5004" s="6">
        <v>0.35</v>
      </c>
      <c r="Q5004" s="11">
        <v>2.2999999999999998</v>
      </c>
      <c r="R5004" s="11"/>
      <c r="S5004" s="11"/>
      <c r="T5004" s="11"/>
      <c r="U5004" s="11">
        <f t="shared" si="1625"/>
        <v>2.2999999999999998</v>
      </c>
      <c r="W5004">
        <v>2.5</v>
      </c>
      <c r="X5004" s="1" t="s">
        <v>161</v>
      </c>
    </row>
    <row r="5005" spans="1:24" x14ac:dyDescent="0.25">
      <c r="A5005" s="1" t="str">
        <f t="shared" si="1626"/>
        <v>卡卡杜-凤凰仓</v>
      </c>
      <c r="B5005" s="1" t="str">
        <f>"CK2024102025837"</f>
        <v>CK2024102025837</v>
      </c>
      <c r="C5005" s="1" t="str">
        <f>"DD2024102046557"</f>
        <v>DD2024102046557</v>
      </c>
      <c r="D5005" s="1" t="str">
        <f>"CK2024102045974"</f>
        <v>CK2024102045974</v>
      </c>
      <c r="E5005" s="1" t="str">
        <f>"2429401842873627"</f>
        <v>2429401842873627</v>
      </c>
      <c r="F5005" s="1" t="str">
        <f t="shared" si="1627"/>
        <v>花都四部-凤凰仓</v>
      </c>
      <c r="G5005" s="1" t="str">
        <f t="shared" si="1617"/>
        <v>卡卡杜佳旺专卖店（快手店）</v>
      </c>
      <c r="H5005" s="1" t="str">
        <f t="shared" si="1628"/>
        <v>正常订单</v>
      </c>
      <c r="I5005" s="1" t="str">
        <f t="shared" si="1629"/>
        <v>已发货</v>
      </c>
      <c r="J5005" s="1" t="str">
        <f t="shared" si="1630"/>
        <v>3</v>
      </c>
      <c r="K5005" s="1">
        <v>2</v>
      </c>
      <c r="L5005" s="1" t="s">
        <v>18</v>
      </c>
      <c r="M5005" s="1" t="str">
        <f>"广东省 深圳市 龙华区 龙华街道"</f>
        <v>广东省 深圳市 龙华区 龙华街道</v>
      </c>
      <c r="N5005" s="1" t="str">
        <f t="shared" si="1618"/>
        <v>凡华云仓-城南圆通-快手</v>
      </c>
      <c r="O5005" s="5" t="s">
        <v>5030</v>
      </c>
      <c r="P5005" s="6">
        <v>0.35</v>
      </c>
      <c r="Q5005" s="11">
        <v>2.2999999999999998</v>
      </c>
      <c r="R5005" s="11"/>
      <c r="S5005" s="11"/>
      <c r="T5005" s="11"/>
      <c r="U5005" s="11">
        <f t="shared" si="1625"/>
        <v>2.2999999999999998</v>
      </c>
      <c r="W5005">
        <v>2.5</v>
      </c>
      <c r="X5005" s="1" t="s">
        <v>18</v>
      </c>
    </row>
    <row r="5006" spans="1:24" x14ac:dyDescent="0.25">
      <c r="A5006" s="1" t="str">
        <f t="shared" si="1626"/>
        <v>卡卡杜-凤凰仓</v>
      </c>
      <c r="B5006" s="1" t="str">
        <f>"CK2024102025838"</f>
        <v>CK2024102025838</v>
      </c>
      <c r="C5006" s="1" t="str">
        <f>"DD2024102046558"</f>
        <v>DD2024102046558</v>
      </c>
      <c r="D5006" s="1" t="str">
        <f>"CK2024102045973"</f>
        <v>CK2024102045973</v>
      </c>
      <c r="E5006" s="1" t="str">
        <f>"2429401926811244"</f>
        <v>2429401926811244</v>
      </c>
      <c r="F5006" s="1" t="str">
        <f t="shared" si="1627"/>
        <v>花都四部-凤凰仓</v>
      </c>
      <c r="G5006" s="1" t="str">
        <f t="shared" si="1617"/>
        <v>卡卡杜佳旺专卖店（快手店）</v>
      </c>
      <c r="H5006" s="1" t="str">
        <f t="shared" si="1628"/>
        <v>正常订单</v>
      </c>
      <c r="I5006" s="1" t="str">
        <f t="shared" si="1629"/>
        <v>已发货</v>
      </c>
      <c r="J5006" s="1" t="str">
        <f t="shared" si="1630"/>
        <v>3</v>
      </c>
      <c r="K5006" s="1">
        <v>2</v>
      </c>
      <c r="L5006" s="1" t="s">
        <v>20</v>
      </c>
      <c r="M5006" s="1" t="str">
        <f>"浙江省 温州市 洞头区 北岙街道"</f>
        <v>浙江省 温州市 洞头区 北岙街道</v>
      </c>
      <c r="N5006" s="1" t="str">
        <f t="shared" si="1618"/>
        <v>凡华云仓-城南圆通-快手</v>
      </c>
      <c r="O5006" s="5" t="s">
        <v>5031</v>
      </c>
      <c r="P5006" s="6">
        <v>0.35</v>
      </c>
      <c r="Q5006" s="11">
        <v>2.2999999999999998</v>
      </c>
      <c r="R5006" s="11"/>
      <c r="S5006" s="11"/>
      <c r="T5006" s="11"/>
      <c r="U5006" s="11">
        <f t="shared" si="1625"/>
        <v>2.2999999999999998</v>
      </c>
      <c r="W5006">
        <v>2.5</v>
      </c>
      <c r="X5006" s="1" t="s">
        <v>20</v>
      </c>
    </row>
    <row r="5007" spans="1:24" x14ac:dyDescent="0.25">
      <c r="A5007" s="1" t="str">
        <f t="shared" si="1626"/>
        <v>卡卡杜-凤凰仓</v>
      </c>
      <c r="B5007" s="1" t="str">
        <f>"CK2024102025839"</f>
        <v>CK2024102025839</v>
      </c>
      <c r="C5007" s="1" t="str">
        <f>"DD2024102046559"</f>
        <v>DD2024102046559</v>
      </c>
      <c r="D5007" s="1" t="str">
        <f>"CK2024102045972"</f>
        <v>CK2024102045972</v>
      </c>
      <c r="E5007" s="1" t="str">
        <f>"2429401765931489"</f>
        <v>2429401765931489</v>
      </c>
      <c r="F5007" s="1" t="str">
        <f t="shared" si="1627"/>
        <v>花都四部-凤凰仓</v>
      </c>
      <c r="G5007" s="1" t="str">
        <f t="shared" si="1617"/>
        <v>卡卡杜佳旺专卖店（快手店）</v>
      </c>
      <c r="H5007" s="1" t="str">
        <f t="shared" si="1628"/>
        <v>正常订单</v>
      </c>
      <c r="I5007" s="1" t="str">
        <f t="shared" si="1629"/>
        <v>已发货</v>
      </c>
      <c r="J5007" s="1" t="str">
        <f t="shared" si="1630"/>
        <v>3</v>
      </c>
      <c r="K5007" s="1">
        <v>2</v>
      </c>
      <c r="L5007" s="1" t="s">
        <v>41</v>
      </c>
      <c r="M5007" s="1" t="str">
        <f>"湖北省 武汉市 江岸区 花桥街道"</f>
        <v>湖北省 武汉市 江岸区 花桥街道</v>
      </c>
      <c r="N5007" s="1" t="str">
        <f t="shared" si="1618"/>
        <v>凡华云仓-城南圆通-快手</v>
      </c>
      <c r="O5007" s="5" t="s">
        <v>5032</v>
      </c>
      <c r="P5007" s="6">
        <v>0.35</v>
      </c>
      <c r="Q5007" s="11">
        <v>2.2999999999999998</v>
      </c>
      <c r="R5007" s="11"/>
      <c r="S5007" s="11"/>
      <c r="T5007" s="11"/>
      <c r="U5007" s="11">
        <f t="shared" si="1625"/>
        <v>2.2999999999999998</v>
      </c>
      <c r="W5007">
        <v>2.5</v>
      </c>
      <c r="X5007" s="1" t="s">
        <v>41</v>
      </c>
    </row>
    <row r="5008" spans="1:24" x14ac:dyDescent="0.25">
      <c r="A5008" s="1" t="str">
        <f t="shared" si="1626"/>
        <v>卡卡杜-凤凰仓</v>
      </c>
      <c r="B5008" s="1" t="str">
        <f>"CK2024102025841"</f>
        <v>CK2024102025841</v>
      </c>
      <c r="C5008" s="1" t="str">
        <f>"DD2024102046560"</f>
        <v>DD2024102046560</v>
      </c>
      <c r="D5008" s="1" t="str">
        <f>"CK2024102045971"</f>
        <v>CK2024102045971</v>
      </c>
      <c r="E5008" s="1" t="str">
        <f>"2429401924435266"</f>
        <v>2429401924435266</v>
      </c>
      <c r="F5008" s="1" t="str">
        <f t="shared" si="1627"/>
        <v>花都四部-凤凰仓</v>
      </c>
      <c r="G5008" s="1" t="str">
        <f t="shared" si="1617"/>
        <v>卡卡杜佳旺专卖店（快手店）</v>
      </c>
      <c r="H5008" s="1" t="str">
        <f t="shared" si="1628"/>
        <v>正常订单</v>
      </c>
      <c r="I5008" s="1" t="str">
        <f t="shared" si="1629"/>
        <v>已发货</v>
      </c>
      <c r="J5008" s="1" t="str">
        <f>"5"</f>
        <v>5</v>
      </c>
      <c r="K5008" s="1">
        <v>2</v>
      </c>
      <c r="L5008" s="1" t="s">
        <v>20</v>
      </c>
      <c r="M5008" s="1" t="str">
        <f>"浙江省 温州市 洞头区 灵昆街道"</f>
        <v>浙江省 温州市 洞头区 灵昆街道</v>
      </c>
      <c r="N5008" s="1" t="str">
        <f t="shared" si="1618"/>
        <v>凡华云仓-城南圆通-快手</v>
      </c>
      <c r="O5008" s="5" t="s">
        <v>5033</v>
      </c>
      <c r="P5008" s="6">
        <v>0.59</v>
      </c>
      <c r="Q5008" s="11">
        <f>CEILING(P5008-0.5,0.1)*10*0.15+2.3</f>
        <v>2.4499999999999997</v>
      </c>
      <c r="R5008" s="11"/>
      <c r="S5008" s="11"/>
      <c r="T5008" s="11"/>
      <c r="U5008" s="11">
        <f t="shared" si="1625"/>
        <v>2.4499999999999997</v>
      </c>
      <c r="V5008" t="s">
        <v>15</v>
      </c>
      <c r="W5008">
        <v>2.4500000000000002</v>
      </c>
      <c r="X5008" s="1" t="s">
        <v>20</v>
      </c>
    </row>
    <row r="5009" spans="1:24" x14ac:dyDescent="0.25">
      <c r="A5009" s="1" t="str">
        <f t="shared" si="1626"/>
        <v>卡卡杜-凤凰仓</v>
      </c>
      <c r="B5009" s="1" t="str">
        <f>"CK2024102025843"</f>
        <v>CK2024102025843</v>
      </c>
      <c r="C5009" s="1" t="str">
        <f>"DD2024102046563"</f>
        <v>DD2024102046563</v>
      </c>
      <c r="D5009" s="1" t="str">
        <f>"CK2024102045970"</f>
        <v>CK2024102045970</v>
      </c>
      <c r="E5009" s="1" t="str">
        <f>"2429402085976618"</f>
        <v>2429402085976618</v>
      </c>
      <c r="F5009" s="1" t="str">
        <f t="shared" si="1627"/>
        <v>花都四部-凤凰仓</v>
      </c>
      <c r="G5009" s="1" t="str">
        <f t="shared" si="1617"/>
        <v>卡卡杜佳旺专卖店（快手店）</v>
      </c>
      <c r="H5009" s="1" t="str">
        <f t="shared" si="1628"/>
        <v>正常订单</v>
      </c>
      <c r="I5009" s="1" t="str">
        <f t="shared" si="1629"/>
        <v>已发货</v>
      </c>
      <c r="J5009" s="1" t="str">
        <f>"1"</f>
        <v>1</v>
      </c>
      <c r="K5009" s="1">
        <v>1</v>
      </c>
      <c r="L5009" s="1" t="s">
        <v>20</v>
      </c>
      <c r="M5009" s="1" t="str">
        <f>"浙江省 温州市 瑞安市 东山街道"</f>
        <v>浙江省 温州市 瑞安市 东山街道</v>
      </c>
      <c r="N5009" s="1" t="str">
        <f t="shared" si="1618"/>
        <v>凡华云仓-城南圆通-快手</v>
      </c>
      <c r="O5009" s="5" t="s">
        <v>5034</v>
      </c>
      <c r="P5009" s="6">
        <v>0.12</v>
      </c>
      <c r="Q5009" s="11">
        <v>2</v>
      </c>
      <c r="R5009" s="11"/>
      <c r="S5009" s="11"/>
      <c r="T5009" s="11"/>
      <c r="U5009" s="11">
        <f t="shared" si="1625"/>
        <v>2</v>
      </c>
      <c r="W5009">
        <v>2.2000000000000002</v>
      </c>
      <c r="X5009" s="1" t="s">
        <v>20</v>
      </c>
    </row>
    <row r="5010" spans="1:24" x14ac:dyDescent="0.25">
      <c r="A5010" s="1" t="str">
        <f t="shared" si="1626"/>
        <v>卡卡杜-凤凰仓</v>
      </c>
      <c r="B5010" s="1" t="str">
        <f>"CK2024102025845"</f>
        <v>CK2024102025845</v>
      </c>
      <c r="C5010" s="1" t="str">
        <f>"DD2024102046565"</f>
        <v>DD2024102046565</v>
      </c>
      <c r="D5010" s="1" t="str">
        <f>"CK2024102045969"</f>
        <v>CK2024102045969</v>
      </c>
      <c r="E5010" s="1" t="str">
        <f>"2429402003697022"</f>
        <v>2429402003697022</v>
      </c>
      <c r="F5010" s="1" t="str">
        <f t="shared" si="1627"/>
        <v>花都四部-凤凰仓</v>
      </c>
      <c r="G5010" s="1" t="str">
        <f t="shared" si="1617"/>
        <v>卡卡杜佳旺专卖店（快手店）</v>
      </c>
      <c r="H5010" s="1" t="str">
        <f t="shared" si="1628"/>
        <v>正常订单</v>
      </c>
      <c r="I5010" s="1" t="str">
        <f t="shared" si="1629"/>
        <v>已发货</v>
      </c>
      <c r="J5010" s="1" t="str">
        <f t="shared" ref="J5010:J5012" si="1631">"3"</f>
        <v>3</v>
      </c>
      <c r="K5010" s="1">
        <v>2</v>
      </c>
      <c r="L5010" s="1" t="s">
        <v>13</v>
      </c>
      <c r="M5010" s="1" t="str">
        <f>"江苏省 连云港市 海州区 新南街道"</f>
        <v>江苏省 连云港市 海州区 新南街道</v>
      </c>
      <c r="N5010" s="1" t="str">
        <f t="shared" si="1618"/>
        <v>凡华云仓-城南圆通-快手</v>
      </c>
      <c r="O5010" s="5" t="s">
        <v>5035</v>
      </c>
      <c r="P5010" s="6">
        <v>0.35</v>
      </c>
      <c r="Q5010" s="11">
        <v>2.2999999999999998</v>
      </c>
      <c r="R5010" s="11"/>
      <c r="S5010" s="11"/>
      <c r="T5010" s="11"/>
      <c r="U5010" s="11">
        <f t="shared" si="1625"/>
        <v>2.2999999999999998</v>
      </c>
      <c r="W5010">
        <v>2.5</v>
      </c>
      <c r="X5010" s="1" t="s">
        <v>13</v>
      </c>
    </row>
    <row r="5011" spans="1:24" x14ac:dyDescent="0.25">
      <c r="A5011" s="1" t="str">
        <f t="shared" si="1626"/>
        <v>卡卡杜-凤凰仓</v>
      </c>
      <c r="B5011" s="1" t="str">
        <f>"CK2024102025846"</f>
        <v>CK2024102025846</v>
      </c>
      <c r="C5011" s="1" t="str">
        <f>"DD2024102046566"</f>
        <v>DD2024102046566</v>
      </c>
      <c r="D5011" s="1" t="str">
        <f>"CK2024102045968"</f>
        <v>CK2024102045968</v>
      </c>
      <c r="E5011" s="1" t="str">
        <f>"2429401840322064"</f>
        <v>2429401840322064</v>
      </c>
      <c r="F5011" s="1" t="str">
        <f t="shared" si="1627"/>
        <v>花都四部-凤凰仓</v>
      </c>
      <c r="G5011" s="1" t="str">
        <f t="shared" si="1617"/>
        <v>卡卡杜佳旺专卖店（快手店）</v>
      </c>
      <c r="H5011" s="1" t="str">
        <f t="shared" si="1628"/>
        <v>正常订单</v>
      </c>
      <c r="I5011" s="1" t="str">
        <f t="shared" si="1629"/>
        <v>已发货</v>
      </c>
      <c r="J5011" s="1" t="str">
        <f t="shared" si="1631"/>
        <v>3</v>
      </c>
      <c r="K5011" s="1">
        <v>2</v>
      </c>
      <c r="L5011" s="1" t="s">
        <v>18</v>
      </c>
      <c r="M5011" s="1" t="str">
        <f>"广东省 惠州市 惠城区 惠环街道"</f>
        <v>广东省 惠州市 惠城区 惠环街道</v>
      </c>
      <c r="N5011" s="1" t="str">
        <f t="shared" si="1618"/>
        <v>凡华云仓-城南圆通-快手</v>
      </c>
      <c r="O5011" s="5" t="s">
        <v>5036</v>
      </c>
      <c r="P5011" s="6">
        <v>0.35</v>
      </c>
      <c r="Q5011" s="11">
        <v>2.2999999999999998</v>
      </c>
      <c r="R5011" s="11"/>
      <c r="S5011" s="11"/>
      <c r="T5011" s="11"/>
      <c r="U5011" s="11">
        <f t="shared" si="1625"/>
        <v>2.2999999999999998</v>
      </c>
      <c r="W5011">
        <v>2.5</v>
      </c>
      <c r="X5011" s="1" t="s">
        <v>18</v>
      </c>
    </row>
    <row r="5012" spans="1:24" x14ac:dyDescent="0.25">
      <c r="A5012" s="1" t="str">
        <f t="shared" si="1626"/>
        <v>卡卡杜-凤凰仓</v>
      </c>
      <c r="B5012" s="1" t="str">
        <f>"CK2024102025847"</f>
        <v>CK2024102025847</v>
      </c>
      <c r="C5012" s="1" t="str">
        <f>"DD2024102046569"</f>
        <v>DD2024102046569</v>
      </c>
      <c r="D5012" s="1" t="str">
        <f>"CK2024102045967"</f>
        <v>CK2024102045967</v>
      </c>
      <c r="E5012" s="1" t="str">
        <f>"2429402000297845"</f>
        <v>2429402000297845</v>
      </c>
      <c r="F5012" s="1" t="str">
        <f t="shared" si="1627"/>
        <v>花都四部-凤凰仓</v>
      </c>
      <c r="G5012" s="1" t="str">
        <f t="shared" si="1617"/>
        <v>卡卡杜佳旺专卖店（快手店）</v>
      </c>
      <c r="H5012" s="1" t="str">
        <f t="shared" si="1628"/>
        <v>正常订单</v>
      </c>
      <c r="I5012" s="1" t="str">
        <f t="shared" si="1629"/>
        <v>已发货</v>
      </c>
      <c r="J5012" s="1" t="str">
        <f t="shared" si="1631"/>
        <v>3</v>
      </c>
      <c r="K5012" s="1">
        <v>2</v>
      </c>
      <c r="L5012" s="1" t="s">
        <v>20</v>
      </c>
      <c r="M5012" s="1" t="str">
        <f>"浙江省 绍兴市 上虞区 百官街道"</f>
        <v>浙江省 绍兴市 上虞区 百官街道</v>
      </c>
      <c r="N5012" s="1" t="str">
        <f t="shared" si="1618"/>
        <v>凡华云仓-城南圆通-快手</v>
      </c>
      <c r="O5012" s="5" t="s">
        <v>5037</v>
      </c>
      <c r="P5012" s="6">
        <v>0.35</v>
      </c>
      <c r="Q5012" s="11">
        <v>2.2999999999999998</v>
      </c>
      <c r="R5012" s="11"/>
      <c r="S5012" s="11"/>
      <c r="T5012" s="11"/>
      <c r="U5012" s="11">
        <f t="shared" si="1625"/>
        <v>2.2999999999999998</v>
      </c>
      <c r="W5012">
        <v>2.5</v>
      </c>
      <c r="X5012" s="1" t="s">
        <v>20</v>
      </c>
    </row>
    <row r="5013" spans="1:24" x14ac:dyDescent="0.25">
      <c r="A5013" s="1" t="str">
        <f t="shared" si="1626"/>
        <v>卡卡杜-凤凰仓</v>
      </c>
      <c r="B5013" s="1" t="str">
        <f>"CK2024102025851"</f>
        <v>CK2024102025851</v>
      </c>
      <c r="C5013" s="1" t="str">
        <f>"DD2024102046571"</f>
        <v>DD2024102046571</v>
      </c>
      <c r="D5013" s="1" t="str">
        <f>"CK2024102045966"</f>
        <v>CK2024102045966</v>
      </c>
      <c r="E5013" s="1" t="str">
        <f>"2429401845930966"</f>
        <v>2429401845930966</v>
      </c>
      <c r="F5013" s="1" t="str">
        <f t="shared" si="1627"/>
        <v>花都四部-凤凰仓</v>
      </c>
      <c r="G5013" s="1" t="str">
        <f t="shared" si="1617"/>
        <v>卡卡杜佳旺专卖店（快手店）</v>
      </c>
      <c r="H5013" s="1" t="str">
        <f t="shared" si="1628"/>
        <v>正常订单</v>
      </c>
      <c r="I5013" s="1" t="str">
        <f t="shared" si="1629"/>
        <v>已发货</v>
      </c>
      <c r="J5013" s="1" t="str">
        <f>"6"</f>
        <v>6</v>
      </c>
      <c r="K5013" s="1">
        <v>2</v>
      </c>
      <c r="L5013" s="1" t="s">
        <v>20</v>
      </c>
      <c r="M5013" s="1" t="str">
        <f>"浙江省 杭州市 上城区 清波街道"</f>
        <v>浙江省 杭州市 上城区 清波街道</v>
      </c>
      <c r="N5013" s="1" t="str">
        <f t="shared" si="1618"/>
        <v>凡华云仓-城南圆通-快手</v>
      </c>
      <c r="O5013" s="5" t="s">
        <v>5038</v>
      </c>
      <c r="P5013" s="6">
        <v>0.57999999999999996</v>
      </c>
      <c r="Q5013" s="11">
        <f t="shared" ref="Q5013:Q5019" si="1632">CEILING(P5013-0.5,0.1)*10*0.15+2.3</f>
        <v>2.4499999999999997</v>
      </c>
      <c r="R5013" s="11"/>
      <c r="S5013" s="11"/>
      <c r="T5013" s="11"/>
      <c r="U5013" s="11">
        <f t="shared" si="1625"/>
        <v>2.4499999999999997</v>
      </c>
      <c r="V5013" t="s">
        <v>15</v>
      </c>
      <c r="W5013">
        <v>2.4500000000000002</v>
      </c>
      <c r="X5013" s="1" t="s">
        <v>20</v>
      </c>
    </row>
    <row r="5014" spans="1:24" x14ac:dyDescent="0.25">
      <c r="A5014" s="1" t="str">
        <f t="shared" si="1626"/>
        <v>卡卡杜-凤凰仓</v>
      </c>
      <c r="B5014" s="1" t="str">
        <f>"CK2024102025852"</f>
        <v>CK2024102025852</v>
      </c>
      <c r="C5014" s="1" t="str">
        <f>"DD2024102046572"</f>
        <v>DD2024102046572</v>
      </c>
      <c r="D5014" s="1" t="str">
        <f>"CK2024102045965"</f>
        <v>CK2024102045965</v>
      </c>
      <c r="E5014" s="1" t="str">
        <f>"2429402162656566"</f>
        <v>2429402162656566</v>
      </c>
      <c r="F5014" s="1" t="str">
        <f t="shared" si="1627"/>
        <v>花都四部-凤凰仓</v>
      </c>
      <c r="G5014" s="1" t="str">
        <f t="shared" si="1617"/>
        <v>卡卡杜佳旺专卖店（快手店）</v>
      </c>
      <c r="H5014" s="1" t="str">
        <f t="shared" si="1628"/>
        <v>正常订单</v>
      </c>
      <c r="I5014" s="1" t="str">
        <f t="shared" si="1629"/>
        <v>已发货</v>
      </c>
      <c r="J5014" s="1" t="str">
        <f t="shared" ref="J5014:J5017" si="1633">"3"</f>
        <v>3</v>
      </c>
      <c r="K5014" s="1">
        <v>2</v>
      </c>
      <c r="L5014" s="1" t="s">
        <v>30</v>
      </c>
      <c r="M5014" s="1" t="str">
        <f>"山东省 威海市 威海火炬高技术产业开发区 怡园街道"</f>
        <v>山东省 威海市 威海火炬高技术产业开发区 怡园街道</v>
      </c>
      <c r="N5014" s="1" t="str">
        <f t="shared" si="1618"/>
        <v>凡华云仓-城南圆通-快手</v>
      </c>
      <c r="O5014" s="5" t="s">
        <v>5039</v>
      </c>
      <c r="P5014" s="6">
        <v>0.35</v>
      </c>
      <c r="Q5014" s="11">
        <v>2.2999999999999998</v>
      </c>
      <c r="R5014" s="11"/>
      <c r="S5014" s="11"/>
      <c r="T5014" s="11"/>
      <c r="U5014" s="11">
        <f t="shared" si="1625"/>
        <v>2.2999999999999998</v>
      </c>
      <c r="W5014">
        <v>2.5</v>
      </c>
      <c r="X5014" s="1" t="s">
        <v>30</v>
      </c>
    </row>
    <row r="5015" spans="1:24" x14ac:dyDescent="0.25">
      <c r="A5015" s="1" t="str">
        <f t="shared" si="1626"/>
        <v>卡卡杜-凤凰仓</v>
      </c>
      <c r="B5015" s="1" t="str">
        <f>"CK2024102025854"</f>
        <v>CK2024102025854</v>
      </c>
      <c r="C5015" s="1" t="str">
        <f>"DD2024102046573"</f>
        <v>DD2024102046573</v>
      </c>
      <c r="D5015" s="1" t="str">
        <f>"CK2024102045964"</f>
        <v>CK2024102045964</v>
      </c>
      <c r="E5015" s="1" t="str">
        <f>"2429401766115636"</f>
        <v>2429401766115636</v>
      </c>
      <c r="F5015" s="1" t="str">
        <f t="shared" si="1627"/>
        <v>花都四部-凤凰仓</v>
      </c>
      <c r="G5015" s="1" t="str">
        <f t="shared" si="1617"/>
        <v>卡卡杜佳旺专卖店（快手店）</v>
      </c>
      <c r="H5015" s="1" t="str">
        <f t="shared" si="1628"/>
        <v>正常订单</v>
      </c>
      <c r="I5015" s="1" t="str">
        <f t="shared" si="1629"/>
        <v>已发货</v>
      </c>
      <c r="J5015" s="1" t="str">
        <f t="shared" ref="J5015:J5019" si="1634">"5"</f>
        <v>5</v>
      </c>
      <c r="K5015" s="1">
        <v>2</v>
      </c>
      <c r="L5015" s="1" t="s">
        <v>13</v>
      </c>
      <c r="M5015" s="1" t="str">
        <f>"江苏省 常州市 钟楼区 新闸街道"</f>
        <v>江苏省 常州市 钟楼区 新闸街道</v>
      </c>
      <c r="N5015" s="1" t="str">
        <f t="shared" si="1618"/>
        <v>凡华云仓-城南圆通-快手</v>
      </c>
      <c r="O5015" s="5" t="s">
        <v>5040</v>
      </c>
      <c r="P5015" s="6">
        <v>0.59</v>
      </c>
      <c r="Q5015" s="11">
        <f t="shared" si="1632"/>
        <v>2.4499999999999997</v>
      </c>
      <c r="R5015" s="11"/>
      <c r="S5015" s="11"/>
      <c r="T5015" s="11"/>
      <c r="U5015" s="11">
        <f t="shared" si="1625"/>
        <v>2.4499999999999997</v>
      </c>
      <c r="V5015" t="s">
        <v>15</v>
      </c>
      <c r="W5015">
        <v>2.4500000000000002</v>
      </c>
      <c r="X5015" s="1" t="s">
        <v>13</v>
      </c>
    </row>
    <row r="5016" spans="1:24" x14ac:dyDescent="0.25">
      <c r="A5016" s="1" t="str">
        <f t="shared" si="1626"/>
        <v>卡卡杜-凤凰仓</v>
      </c>
      <c r="B5016" s="1" t="str">
        <f>"CK2024102025855"</f>
        <v>CK2024102025855</v>
      </c>
      <c r="C5016" s="1" t="str">
        <f>"DD2024102046576"</f>
        <v>DD2024102046576</v>
      </c>
      <c r="D5016" s="1" t="str">
        <f>"CK2024102045963"</f>
        <v>CK2024102045963</v>
      </c>
      <c r="E5016" s="1" t="str">
        <f>"2429401686771413"</f>
        <v>2429401686771413</v>
      </c>
      <c r="F5016" s="1" t="str">
        <f t="shared" si="1627"/>
        <v>花都四部-凤凰仓</v>
      </c>
      <c r="G5016" s="1" t="str">
        <f t="shared" si="1617"/>
        <v>卡卡杜佳旺专卖店（快手店）</v>
      </c>
      <c r="H5016" s="1" t="str">
        <f t="shared" si="1628"/>
        <v>正常订单</v>
      </c>
      <c r="I5016" s="1" t="str">
        <f t="shared" si="1629"/>
        <v>已发货</v>
      </c>
      <c r="J5016" s="1" t="str">
        <f t="shared" si="1633"/>
        <v>3</v>
      </c>
      <c r="K5016" s="1">
        <v>2</v>
      </c>
      <c r="L5016" s="1" t="s">
        <v>92</v>
      </c>
      <c r="M5016" s="1" t="str">
        <f>"辽宁省 沈阳市 康平县 北四家子乡"</f>
        <v>辽宁省 沈阳市 康平县 北四家子乡</v>
      </c>
      <c r="N5016" s="1" t="str">
        <f t="shared" si="1618"/>
        <v>凡华云仓-城南圆通-快手</v>
      </c>
      <c r="O5016" s="5" t="s">
        <v>5041</v>
      </c>
      <c r="P5016" s="6">
        <v>0.35</v>
      </c>
      <c r="Q5016" s="11">
        <v>2.2999999999999998</v>
      </c>
      <c r="R5016" s="11"/>
      <c r="S5016" s="11"/>
      <c r="T5016" s="11"/>
      <c r="U5016" s="11">
        <f t="shared" si="1625"/>
        <v>2.2999999999999998</v>
      </c>
      <c r="W5016">
        <v>2.5</v>
      </c>
      <c r="X5016" s="1" t="s">
        <v>92</v>
      </c>
    </row>
    <row r="5017" spans="1:24" x14ac:dyDescent="0.25">
      <c r="A5017" s="1" t="str">
        <f t="shared" si="1626"/>
        <v>卡卡杜-凤凰仓</v>
      </c>
      <c r="B5017" s="1" t="str">
        <f>"CK2024102025856"</f>
        <v>CK2024102025856</v>
      </c>
      <c r="C5017" s="1" t="str">
        <f>"DD2024102046578"</f>
        <v>DD2024102046578</v>
      </c>
      <c r="D5017" s="1" t="str">
        <f>"CK2024102045962"</f>
        <v>CK2024102045962</v>
      </c>
      <c r="E5017" s="1" t="str">
        <f>"2429401761099286"</f>
        <v>2429401761099286</v>
      </c>
      <c r="F5017" s="1" t="str">
        <f t="shared" si="1627"/>
        <v>花都四部-凤凰仓</v>
      </c>
      <c r="G5017" s="1" t="str">
        <f t="shared" si="1617"/>
        <v>卡卡杜佳旺专卖店（快手店）</v>
      </c>
      <c r="H5017" s="1" t="str">
        <f t="shared" si="1628"/>
        <v>正常订单</v>
      </c>
      <c r="I5017" s="1" t="str">
        <f t="shared" si="1629"/>
        <v>已发货</v>
      </c>
      <c r="J5017" s="1" t="str">
        <f t="shared" si="1633"/>
        <v>3</v>
      </c>
      <c r="K5017" s="1">
        <v>2</v>
      </c>
      <c r="L5017" s="1" t="s">
        <v>36</v>
      </c>
      <c r="M5017" s="1" t="str">
        <f>"安徽省 亳州市 谯城区 亳州市经济开发区"</f>
        <v>安徽省 亳州市 谯城区 亳州市经济开发区</v>
      </c>
      <c r="N5017" s="1" t="str">
        <f t="shared" si="1618"/>
        <v>凡华云仓-城南圆通-快手</v>
      </c>
      <c r="O5017" s="5" t="s">
        <v>5042</v>
      </c>
      <c r="P5017" s="6">
        <v>0.35</v>
      </c>
      <c r="Q5017" s="11">
        <v>2.2999999999999998</v>
      </c>
      <c r="R5017" s="11"/>
      <c r="S5017" s="11"/>
      <c r="T5017" s="11"/>
      <c r="U5017" s="11">
        <f t="shared" si="1625"/>
        <v>2.2999999999999998</v>
      </c>
      <c r="W5017">
        <v>2.5</v>
      </c>
      <c r="X5017" s="1" t="s">
        <v>36</v>
      </c>
    </row>
    <row r="5018" spans="1:24" x14ac:dyDescent="0.25">
      <c r="A5018" s="1" t="str">
        <f t="shared" si="1626"/>
        <v>卡卡杜-凤凰仓</v>
      </c>
      <c r="B5018" s="1" t="str">
        <f>"CK2024102025857"</f>
        <v>CK2024102025857</v>
      </c>
      <c r="C5018" s="1" t="str">
        <f>"DD2024102046579"</f>
        <v>DD2024102046579</v>
      </c>
      <c r="D5018" s="1" t="str">
        <f>"CK2024102045961"</f>
        <v>CK2024102045961</v>
      </c>
      <c r="E5018" s="1" t="str">
        <f>"2429401680434856"</f>
        <v>2429401680434856</v>
      </c>
      <c r="F5018" s="1" t="str">
        <f t="shared" si="1627"/>
        <v>花都四部-凤凰仓</v>
      </c>
      <c r="G5018" s="1" t="str">
        <f t="shared" si="1617"/>
        <v>卡卡杜佳旺专卖店（快手店）</v>
      </c>
      <c r="H5018" s="1" t="str">
        <f t="shared" si="1628"/>
        <v>正常订单</v>
      </c>
      <c r="I5018" s="1" t="str">
        <f t="shared" si="1629"/>
        <v>已发货</v>
      </c>
      <c r="J5018" s="1" t="str">
        <f t="shared" si="1634"/>
        <v>5</v>
      </c>
      <c r="K5018" s="1">
        <v>2</v>
      </c>
      <c r="L5018" s="1" t="s">
        <v>32</v>
      </c>
      <c r="M5018" s="1" t="str">
        <f>"陕西省 西安市 雁塔区 电子城街道"</f>
        <v>陕西省 西安市 雁塔区 电子城街道</v>
      </c>
      <c r="N5018" s="1" t="str">
        <f t="shared" si="1618"/>
        <v>凡华云仓-城南圆通-快手</v>
      </c>
      <c r="O5018" s="5" t="s">
        <v>5043</v>
      </c>
      <c r="P5018" s="6">
        <v>0.59</v>
      </c>
      <c r="Q5018" s="11">
        <f t="shared" si="1632"/>
        <v>2.4499999999999997</v>
      </c>
      <c r="R5018" s="11"/>
      <c r="S5018" s="11"/>
      <c r="T5018" s="11"/>
      <c r="U5018" s="11">
        <f t="shared" si="1625"/>
        <v>2.4499999999999997</v>
      </c>
      <c r="V5018" t="s">
        <v>15</v>
      </c>
      <c r="W5018">
        <v>2.4500000000000002</v>
      </c>
      <c r="X5018" s="1" t="s">
        <v>32</v>
      </c>
    </row>
    <row r="5019" spans="1:24" x14ac:dyDescent="0.25">
      <c r="A5019" s="1" t="str">
        <f t="shared" si="1626"/>
        <v>卡卡杜-凤凰仓</v>
      </c>
      <c r="B5019" s="1" t="str">
        <f>"CK2024102025858"</f>
        <v>CK2024102025858</v>
      </c>
      <c r="C5019" s="1" t="str">
        <f>"DD2024102046583"</f>
        <v>DD2024102046583</v>
      </c>
      <c r="D5019" s="1" t="str">
        <f>"CK2024102045960"</f>
        <v>CK2024102045960</v>
      </c>
      <c r="E5019" s="1" t="str">
        <f>"2429401601866123"</f>
        <v>2429401601866123</v>
      </c>
      <c r="F5019" s="1" t="str">
        <f t="shared" si="1627"/>
        <v>花都四部-凤凰仓</v>
      </c>
      <c r="G5019" s="1" t="str">
        <f t="shared" si="1617"/>
        <v>卡卡杜佳旺专卖店（快手店）</v>
      </c>
      <c r="H5019" s="1" t="str">
        <f t="shared" si="1628"/>
        <v>正常订单</v>
      </c>
      <c r="I5019" s="1" t="str">
        <f t="shared" si="1629"/>
        <v>已发货</v>
      </c>
      <c r="J5019" s="1" t="str">
        <f t="shared" si="1634"/>
        <v>5</v>
      </c>
      <c r="K5019" s="1">
        <v>2</v>
      </c>
      <c r="L5019" s="1" t="s">
        <v>30</v>
      </c>
      <c r="M5019" s="1" t="str">
        <f>"山东省 济南市 济阳区 仁风镇"</f>
        <v>山东省 济南市 济阳区 仁风镇</v>
      </c>
      <c r="N5019" s="1" t="str">
        <f t="shared" si="1618"/>
        <v>凡华云仓-城南圆通-快手</v>
      </c>
      <c r="O5019" s="5" t="s">
        <v>5044</v>
      </c>
      <c r="P5019" s="6">
        <v>0.59</v>
      </c>
      <c r="Q5019" s="11">
        <f t="shared" si="1632"/>
        <v>2.4499999999999997</v>
      </c>
      <c r="R5019" s="11"/>
      <c r="S5019" s="11"/>
      <c r="T5019" s="11"/>
      <c r="U5019" s="11">
        <f t="shared" si="1625"/>
        <v>2.4499999999999997</v>
      </c>
      <c r="V5019" t="s">
        <v>15</v>
      </c>
      <c r="W5019">
        <v>2.4500000000000002</v>
      </c>
      <c r="X5019" s="1" t="s">
        <v>30</v>
      </c>
    </row>
    <row r="5020" spans="1:24" x14ac:dyDescent="0.25">
      <c r="A5020" s="1" t="str">
        <f t="shared" si="1626"/>
        <v>卡卡杜-凤凰仓</v>
      </c>
      <c r="B5020" s="1" t="str">
        <f>"CK2024102025860"</f>
        <v>CK2024102025860</v>
      </c>
      <c r="C5020" s="1" t="str">
        <f>"DD2024102046581"</f>
        <v>DD2024102046581</v>
      </c>
      <c r="D5020" s="1" t="str">
        <f>"CK2024102045959"</f>
        <v>CK2024102045959</v>
      </c>
      <c r="E5020" s="1" t="str">
        <f>"2429402166640123"</f>
        <v>2429402166640123</v>
      </c>
      <c r="F5020" s="1" t="str">
        <f t="shared" si="1627"/>
        <v>花都四部-凤凰仓</v>
      </c>
      <c r="G5020" s="1" t="str">
        <f t="shared" si="1617"/>
        <v>卡卡杜佳旺专卖店（快手店）</v>
      </c>
      <c r="H5020" s="1" t="str">
        <f t="shared" si="1628"/>
        <v>正常订单</v>
      </c>
      <c r="I5020" s="1" t="str">
        <f t="shared" si="1629"/>
        <v>已发货</v>
      </c>
      <c r="J5020" s="1" t="str">
        <f t="shared" ref="J5020:J5026" si="1635">"3"</f>
        <v>3</v>
      </c>
      <c r="K5020" s="1">
        <v>2</v>
      </c>
      <c r="L5020" s="1" t="s">
        <v>54</v>
      </c>
      <c r="M5020" s="1" t="str">
        <f>"黑龙江省 绥化市 北林区 "</f>
        <v xml:space="preserve">黑龙江省 绥化市 北林区 </v>
      </c>
      <c r="N5020" s="1" t="str">
        <f t="shared" si="1618"/>
        <v>凡华云仓-城南圆通-快手</v>
      </c>
      <c r="O5020" s="5" t="s">
        <v>5045</v>
      </c>
      <c r="P5020" s="6">
        <v>0.35</v>
      </c>
      <c r="Q5020" s="11">
        <v>2.2999999999999998</v>
      </c>
      <c r="R5020" s="11"/>
      <c r="S5020" s="11"/>
      <c r="T5020" s="11"/>
      <c r="U5020" s="11">
        <f t="shared" si="1625"/>
        <v>2.2999999999999998</v>
      </c>
      <c r="W5020">
        <v>2.5</v>
      </c>
      <c r="X5020" s="1" t="s">
        <v>54</v>
      </c>
    </row>
    <row r="5021" spans="1:24" x14ac:dyDescent="0.25">
      <c r="A5021" s="1" t="str">
        <f t="shared" si="1626"/>
        <v>卡卡杜-凤凰仓</v>
      </c>
      <c r="B5021" s="1" t="str">
        <f>"CK2024102025864"</f>
        <v>CK2024102025864</v>
      </c>
      <c r="C5021" s="1" t="str">
        <f>"DD2024102046585"</f>
        <v>DD2024102046585</v>
      </c>
      <c r="D5021" s="1" t="str">
        <f>"CK2024102045958"</f>
        <v>CK2024102045958</v>
      </c>
      <c r="E5021" s="1" t="str">
        <f>"2429301751746119"</f>
        <v>2429301751746119</v>
      </c>
      <c r="F5021" s="1" t="str">
        <f t="shared" si="1627"/>
        <v>花都四部-凤凰仓</v>
      </c>
      <c r="G5021" s="1" t="str">
        <f t="shared" si="1617"/>
        <v>卡卡杜佳旺专卖店（快手店）</v>
      </c>
      <c r="H5021" s="1" t="str">
        <f t="shared" si="1628"/>
        <v>正常订单</v>
      </c>
      <c r="I5021" s="1" t="str">
        <f t="shared" si="1629"/>
        <v>已发货</v>
      </c>
      <c r="J5021" s="1" t="str">
        <f t="shared" si="1635"/>
        <v>3</v>
      </c>
      <c r="K5021" s="1">
        <v>2</v>
      </c>
      <c r="L5021" s="1" t="s">
        <v>44</v>
      </c>
      <c r="M5021" s="1" t="str">
        <f>"海南省 三亚市 吉阳区 河东区街道"</f>
        <v>海南省 三亚市 吉阳区 河东区街道</v>
      </c>
      <c r="N5021" s="1" t="str">
        <f t="shared" si="1618"/>
        <v>凡华云仓-城南圆通-快手</v>
      </c>
      <c r="O5021" s="5" t="s">
        <v>5046</v>
      </c>
      <c r="P5021" s="6">
        <v>0.35</v>
      </c>
      <c r="Q5021" s="11">
        <v>2.2999999999999998</v>
      </c>
      <c r="R5021" s="11"/>
      <c r="S5021" s="11"/>
      <c r="T5021" s="11"/>
      <c r="U5021" s="11">
        <f t="shared" si="1625"/>
        <v>2.2999999999999998</v>
      </c>
      <c r="W5021">
        <v>2.5</v>
      </c>
      <c r="X5021" s="1" t="s">
        <v>44</v>
      </c>
    </row>
    <row r="5022" spans="1:24" x14ac:dyDescent="0.25">
      <c r="A5022" s="1" t="str">
        <f t="shared" si="1626"/>
        <v>卡卡杜-凤凰仓</v>
      </c>
      <c r="B5022" s="1" t="str">
        <f>"CK2024102025862"</f>
        <v>CK2024102025862</v>
      </c>
      <c r="C5022" s="1" t="str">
        <f>"DD2024102046584"</f>
        <v>DD2024102046584</v>
      </c>
      <c r="D5022" s="1" t="str">
        <f>"CK2024102045957"</f>
        <v>CK2024102045957</v>
      </c>
      <c r="E5022" s="1" t="str">
        <f>"2429402161018267"</f>
        <v>2429402161018267</v>
      </c>
      <c r="F5022" s="1" t="str">
        <f t="shared" si="1627"/>
        <v>花都四部-凤凰仓</v>
      </c>
      <c r="G5022" s="1" t="str">
        <f t="shared" si="1617"/>
        <v>卡卡杜佳旺专卖店（快手店）</v>
      </c>
      <c r="H5022" s="1" t="str">
        <f t="shared" si="1628"/>
        <v>正常订单</v>
      </c>
      <c r="I5022" s="1" t="str">
        <f t="shared" si="1629"/>
        <v>已发货</v>
      </c>
      <c r="J5022" s="1" t="str">
        <f>"5"</f>
        <v>5</v>
      </c>
      <c r="K5022" s="1">
        <v>2</v>
      </c>
      <c r="L5022" s="1" t="s">
        <v>66</v>
      </c>
      <c r="M5022" s="1" t="str">
        <f>"内蒙古自治区 呼和浩特市 赛罕区 中专路街道"</f>
        <v>内蒙古自治区 呼和浩特市 赛罕区 中专路街道</v>
      </c>
      <c r="N5022" s="1" t="str">
        <f t="shared" si="1618"/>
        <v>凡华云仓-城南圆通-快手</v>
      </c>
      <c r="O5022" s="5" t="s">
        <v>5047</v>
      </c>
      <c r="P5022" s="6">
        <v>0.59</v>
      </c>
      <c r="Q5022" s="11">
        <f>CEILING(P5022-0.5,0.1)*10*0.15+2.3</f>
        <v>2.4499999999999997</v>
      </c>
      <c r="R5022" s="11"/>
      <c r="S5022" s="11"/>
      <c r="T5022" s="11"/>
      <c r="U5022" s="11">
        <f t="shared" si="1625"/>
        <v>2.4499999999999997</v>
      </c>
      <c r="V5022" t="s">
        <v>15</v>
      </c>
      <c r="W5022">
        <v>2.4500000000000002</v>
      </c>
      <c r="X5022" s="1" t="s">
        <v>66</v>
      </c>
    </row>
    <row r="5023" spans="1:24" x14ac:dyDescent="0.25">
      <c r="A5023" s="1" t="str">
        <f t="shared" si="1626"/>
        <v>卡卡杜-凤凰仓</v>
      </c>
      <c r="B5023" s="1" t="str">
        <f>"CK2024102025863"</f>
        <v>CK2024102025863</v>
      </c>
      <c r="C5023" s="1" t="str">
        <f>"DD2024102046586"</f>
        <v>DD2024102046586</v>
      </c>
      <c r="D5023" s="1" t="str">
        <f>"CK2024102045956"</f>
        <v>CK2024102045956</v>
      </c>
      <c r="E5023" s="1" t="str">
        <f>"2429402089090690"</f>
        <v>2429402089090690</v>
      </c>
      <c r="F5023" s="1" t="str">
        <f t="shared" si="1627"/>
        <v>花都四部-凤凰仓</v>
      </c>
      <c r="G5023" s="1" t="str">
        <f t="shared" si="1617"/>
        <v>卡卡杜佳旺专卖店（快手店）</v>
      </c>
      <c r="H5023" s="1" t="str">
        <f t="shared" si="1628"/>
        <v>正常订单</v>
      </c>
      <c r="I5023" s="1" t="str">
        <f t="shared" si="1629"/>
        <v>已发货</v>
      </c>
      <c r="J5023" s="1" t="str">
        <f t="shared" si="1635"/>
        <v>3</v>
      </c>
      <c r="K5023" s="1">
        <v>2</v>
      </c>
      <c r="L5023" s="1" t="s">
        <v>1111</v>
      </c>
      <c r="M5023" s="1" t="str">
        <f>"青海省 西宁市 城西区 西关大街街道"</f>
        <v>青海省 西宁市 城西区 西关大街街道</v>
      </c>
      <c r="N5023" s="1" t="str">
        <f t="shared" si="1618"/>
        <v>凡华云仓-城南圆通-快手</v>
      </c>
      <c r="O5023" s="5" t="s">
        <v>5048</v>
      </c>
      <c r="P5023" s="6">
        <v>0.35</v>
      </c>
      <c r="Q5023" s="11">
        <v>2.2999999999999998</v>
      </c>
      <c r="R5023" s="11"/>
      <c r="S5023" s="11"/>
      <c r="T5023" s="11"/>
      <c r="U5023" s="11">
        <f t="shared" si="1625"/>
        <v>2.2999999999999998</v>
      </c>
      <c r="W5023">
        <v>2.5</v>
      </c>
      <c r="X5023" s="1" t="s">
        <v>1111</v>
      </c>
    </row>
    <row r="5024" spans="1:24" x14ac:dyDescent="0.25">
      <c r="A5024" s="1" t="str">
        <f t="shared" si="1626"/>
        <v>卡卡杜-凤凰仓</v>
      </c>
      <c r="B5024" s="1" t="str">
        <f>"CK2024102018202"</f>
        <v>CK2024102018202</v>
      </c>
      <c r="C5024" s="1" t="str">
        <f>"DD2024102025599"</f>
        <v>DD2024102025599</v>
      </c>
      <c r="D5024" s="1" t="str">
        <f>"CK2024102026171"</f>
        <v>CK2024102026171</v>
      </c>
      <c r="E5024" s="1" t="str">
        <f>"2429301741195101"</f>
        <v>2429301741195101</v>
      </c>
      <c r="F5024" s="1" t="str">
        <f t="shared" si="1627"/>
        <v>花都四部-凤凰仓</v>
      </c>
      <c r="G5024" s="1" t="str">
        <f t="shared" si="1617"/>
        <v>卡卡杜佳旺专卖店（快手店）</v>
      </c>
      <c r="H5024" s="1" t="str">
        <f t="shared" si="1628"/>
        <v>正常订单</v>
      </c>
      <c r="I5024" s="1" t="str">
        <f t="shared" si="1629"/>
        <v>已发货</v>
      </c>
      <c r="J5024" s="1" t="str">
        <f t="shared" si="1635"/>
        <v>3</v>
      </c>
      <c r="K5024" s="1">
        <v>2</v>
      </c>
      <c r="L5024" s="1" t="s">
        <v>92</v>
      </c>
      <c r="M5024" s="1" t="str">
        <f>"辽宁省 营口市 盖州市 陈屯镇"</f>
        <v>辽宁省 营口市 盖州市 陈屯镇</v>
      </c>
      <c r="N5024" s="1" t="str">
        <f t="shared" si="1618"/>
        <v>凡华云仓-城南圆通-快手</v>
      </c>
      <c r="O5024" s="5" t="s">
        <v>5049</v>
      </c>
      <c r="P5024" s="6">
        <v>0.35</v>
      </c>
      <c r="Q5024" s="11">
        <v>2.2999999999999998</v>
      </c>
      <c r="R5024" s="11"/>
      <c r="S5024" s="11"/>
      <c r="T5024" s="11"/>
      <c r="U5024" s="11">
        <f t="shared" si="1625"/>
        <v>2.2999999999999998</v>
      </c>
      <c r="W5024">
        <v>2.5</v>
      </c>
      <c r="X5024" s="1" t="s">
        <v>92</v>
      </c>
    </row>
    <row r="5025" spans="1:24" x14ac:dyDescent="0.25">
      <c r="A5025" s="1" t="str">
        <f t="shared" si="1626"/>
        <v>卡卡杜-凤凰仓</v>
      </c>
      <c r="B5025" s="1" t="str">
        <f>"CK2024102018203"</f>
        <v>CK2024102018203</v>
      </c>
      <c r="C5025" s="1" t="str">
        <f>"DD2024102025600"</f>
        <v>DD2024102025600</v>
      </c>
      <c r="D5025" s="1" t="str">
        <f>"CK2024102026170"</f>
        <v>CK2024102026170</v>
      </c>
      <c r="E5025" s="1" t="str">
        <f>"2429301913672101"</f>
        <v>2429301913672101</v>
      </c>
      <c r="F5025" s="1" t="str">
        <f t="shared" si="1627"/>
        <v>花都四部-凤凰仓</v>
      </c>
      <c r="G5025" s="1" t="str">
        <f t="shared" si="1617"/>
        <v>卡卡杜佳旺专卖店（快手店）</v>
      </c>
      <c r="H5025" s="1" t="str">
        <f t="shared" si="1628"/>
        <v>正常订单</v>
      </c>
      <c r="I5025" s="1" t="str">
        <f t="shared" si="1629"/>
        <v>已发货</v>
      </c>
      <c r="J5025" s="1" t="str">
        <f t="shared" si="1635"/>
        <v>3</v>
      </c>
      <c r="K5025" s="1">
        <v>2</v>
      </c>
      <c r="L5025" s="1" t="s">
        <v>92</v>
      </c>
      <c r="M5025" s="1" t="str">
        <f>"辽宁省 营口市 盖州市 陈屯镇"</f>
        <v>辽宁省 营口市 盖州市 陈屯镇</v>
      </c>
      <c r="N5025" s="1" t="str">
        <f t="shared" si="1618"/>
        <v>凡华云仓-城南圆通-快手</v>
      </c>
      <c r="O5025" s="5" t="s">
        <v>5050</v>
      </c>
      <c r="P5025" s="6">
        <v>0.35</v>
      </c>
      <c r="Q5025" s="11">
        <v>2.2999999999999998</v>
      </c>
      <c r="R5025" s="11"/>
      <c r="S5025" s="11"/>
      <c r="T5025" s="11"/>
      <c r="U5025" s="11">
        <f t="shared" si="1625"/>
        <v>2.2999999999999998</v>
      </c>
      <c r="W5025">
        <v>2.5</v>
      </c>
      <c r="X5025" s="1" t="s">
        <v>92</v>
      </c>
    </row>
    <row r="5026" spans="1:24" x14ac:dyDescent="0.25">
      <c r="A5026" s="1" t="str">
        <f t="shared" si="1626"/>
        <v>卡卡杜-凤凰仓</v>
      </c>
      <c r="B5026" s="1" t="str">
        <f>"CK2024102018186"</f>
        <v>CK2024102018186</v>
      </c>
      <c r="C5026" s="1" t="str">
        <f>"DD2024102025586"</f>
        <v>DD2024102025586</v>
      </c>
      <c r="D5026" s="1" t="str">
        <f>"CK2024102026169"</f>
        <v>CK2024102026169</v>
      </c>
      <c r="E5026" s="1" t="str">
        <f>"3723426685216494592"</f>
        <v>3723426685216494592</v>
      </c>
      <c r="F5026" s="1" t="str">
        <f t="shared" si="1627"/>
        <v>花都四部-凤凰仓</v>
      </c>
      <c r="G5026" s="1" t="str">
        <f t="shared" ref="G5026:G5089" si="1636">"卡卡杜企业店（视频号）"</f>
        <v>卡卡杜企业店（视频号）</v>
      </c>
      <c r="H5026" s="1" t="str">
        <f t="shared" si="1628"/>
        <v>正常订单</v>
      </c>
      <c r="I5026" s="1" t="str">
        <f t="shared" si="1629"/>
        <v>已发货</v>
      </c>
      <c r="J5026" s="1" t="str">
        <f t="shared" si="1635"/>
        <v>3</v>
      </c>
      <c r="K5026" s="1">
        <v>3</v>
      </c>
      <c r="L5026" s="1" t="s">
        <v>30</v>
      </c>
      <c r="M5026" s="1" t="str">
        <f>"山东省 淄博市 博山区 "</f>
        <v xml:space="preserve">山东省 淄博市 博山区 </v>
      </c>
      <c r="N5026" s="1" t="str">
        <f t="shared" ref="N5026:N5052" si="1637">"凡华云仓-城南圆通-微信视频号"</f>
        <v>凡华云仓-城南圆通-微信视频号</v>
      </c>
      <c r="O5026" s="5" t="s">
        <v>5051</v>
      </c>
      <c r="P5026" s="6">
        <v>0.34</v>
      </c>
      <c r="Q5026" s="11">
        <v>2.2999999999999998</v>
      </c>
      <c r="R5026" s="11"/>
      <c r="S5026" s="11"/>
      <c r="T5026" s="11"/>
      <c r="U5026" s="11">
        <f t="shared" si="1625"/>
        <v>2.2999999999999998</v>
      </c>
      <c r="W5026">
        <v>2.5</v>
      </c>
      <c r="X5026" s="1" t="s">
        <v>30</v>
      </c>
    </row>
    <row r="5027" spans="1:24" x14ac:dyDescent="0.25">
      <c r="A5027" s="1" t="str">
        <f t="shared" si="1626"/>
        <v>卡卡杜-凤凰仓</v>
      </c>
      <c r="B5027" s="1" t="str">
        <f>"CK2024102018187"</f>
        <v>CK2024102018187</v>
      </c>
      <c r="C5027" s="1" t="str">
        <f>"DD2024102025588"</f>
        <v>DD2024102025588</v>
      </c>
      <c r="D5027" s="1" t="str">
        <f>"CK2024102026168"</f>
        <v>CK2024102026168</v>
      </c>
      <c r="E5027" s="1" t="str">
        <f>"3723426647447572480"</f>
        <v>3723426647447572480</v>
      </c>
      <c r="F5027" s="1" t="str">
        <f t="shared" si="1627"/>
        <v>花都四部-凤凰仓</v>
      </c>
      <c r="G5027" s="1" t="str">
        <f t="shared" si="1636"/>
        <v>卡卡杜企业店（视频号）</v>
      </c>
      <c r="H5027" s="1" t="str">
        <f t="shared" si="1628"/>
        <v>正常订单</v>
      </c>
      <c r="I5027" s="1" t="str">
        <f t="shared" si="1629"/>
        <v>已发货</v>
      </c>
      <c r="J5027" s="1" t="str">
        <f t="shared" ref="J5027:J5029" si="1638">"2"</f>
        <v>2</v>
      </c>
      <c r="K5027" s="1">
        <v>1</v>
      </c>
      <c r="L5027" s="1" t="s">
        <v>105</v>
      </c>
      <c r="M5027" s="1" t="str">
        <f>"北京 北京市 朝阳区 "</f>
        <v xml:space="preserve">北京 北京市 朝阳区 </v>
      </c>
      <c r="N5027" s="1" t="str">
        <f t="shared" si="1637"/>
        <v>凡华云仓-城南圆通-微信视频号</v>
      </c>
      <c r="O5027" s="5" t="s">
        <v>5052</v>
      </c>
      <c r="P5027" s="6">
        <v>0.2</v>
      </c>
      <c r="Q5027" s="11">
        <v>2</v>
      </c>
      <c r="R5027" s="11"/>
      <c r="S5027" s="11"/>
      <c r="T5027" s="11"/>
      <c r="U5027" s="11">
        <f t="shared" si="1625"/>
        <v>2</v>
      </c>
      <c r="W5027">
        <v>2.2000000000000002</v>
      </c>
      <c r="X5027" s="1" t="s">
        <v>105</v>
      </c>
    </row>
    <row r="5028" spans="1:24" x14ac:dyDescent="0.25">
      <c r="A5028" s="1" t="str">
        <f t="shared" si="1626"/>
        <v>卡卡杜-凤凰仓</v>
      </c>
      <c r="B5028" s="1" t="str">
        <f>"CK2024102018188"</f>
        <v>CK2024102018188</v>
      </c>
      <c r="C5028" s="1" t="str">
        <f>"DD2024102025587"</f>
        <v>DD2024102025587</v>
      </c>
      <c r="D5028" s="1" t="str">
        <f>"CK2024102026167"</f>
        <v>CK2024102026167</v>
      </c>
      <c r="E5028" s="1" t="str">
        <f>"3723426594070074368"</f>
        <v>3723426594070074368</v>
      </c>
      <c r="F5028" s="1" t="str">
        <f t="shared" si="1627"/>
        <v>花都四部-凤凰仓</v>
      </c>
      <c r="G5028" s="1" t="str">
        <f t="shared" si="1636"/>
        <v>卡卡杜企业店（视频号）</v>
      </c>
      <c r="H5028" s="1" t="str">
        <f t="shared" si="1628"/>
        <v>正常订单</v>
      </c>
      <c r="I5028" s="1" t="str">
        <f t="shared" si="1629"/>
        <v>已发货</v>
      </c>
      <c r="J5028" s="1" t="str">
        <f t="shared" si="1638"/>
        <v>2</v>
      </c>
      <c r="K5028" s="1">
        <v>1</v>
      </c>
      <c r="L5028" s="1" t="s">
        <v>16</v>
      </c>
      <c r="M5028" s="1" t="str">
        <f>"河北省 承德市 双桥区 "</f>
        <v xml:space="preserve">河北省 承德市 双桥区 </v>
      </c>
      <c r="N5028" s="1" t="str">
        <f t="shared" si="1637"/>
        <v>凡华云仓-城南圆通-微信视频号</v>
      </c>
      <c r="O5028" s="5" t="s">
        <v>5053</v>
      </c>
      <c r="P5028" s="6">
        <v>0.2</v>
      </c>
      <c r="Q5028" s="11">
        <v>2</v>
      </c>
      <c r="R5028" s="11"/>
      <c r="S5028" s="11"/>
      <c r="T5028" s="11"/>
      <c r="U5028" s="11">
        <f t="shared" si="1625"/>
        <v>2</v>
      </c>
      <c r="W5028">
        <v>2.2000000000000002</v>
      </c>
      <c r="X5028" s="1" t="s">
        <v>16</v>
      </c>
    </row>
    <row r="5029" spans="1:24" x14ac:dyDescent="0.25">
      <c r="A5029" s="1" t="str">
        <f t="shared" si="1626"/>
        <v>卡卡杜-凤凰仓</v>
      </c>
      <c r="B5029" s="1" t="str">
        <f>"CK2024102018189"</f>
        <v>CK2024102018189</v>
      </c>
      <c r="C5029" s="1" t="str">
        <f>"DD2024102025583"</f>
        <v>DD2024102025583</v>
      </c>
      <c r="D5029" s="1" t="str">
        <f>"CK2024102026166"</f>
        <v>CK2024102026166</v>
      </c>
      <c r="E5029" s="1" t="str">
        <f>"3723426405852253184"</f>
        <v>3723426405852253184</v>
      </c>
      <c r="F5029" s="1" t="str">
        <f t="shared" si="1627"/>
        <v>花都四部-凤凰仓</v>
      </c>
      <c r="G5029" s="1" t="str">
        <f t="shared" si="1636"/>
        <v>卡卡杜企业店（视频号）</v>
      </c>
      <c r="H5029" s="1" t="str">
        <f t="shared" si="1628"/>
        <v>正常订单</v>
      </c>
      <c r="I5029" s="1" t="str">
        <f t="shared" si="1629"/>
        <v>已发货</v>
      </c>
      <c r="J5029" s="1" t="str">
        <f t="shared" si="1638"/>
        <v>2</v>
      </c>
      <c r="K5029" s="1">
        <v>1</v>
      </c>
      <c r="L5029" s="1" t="s">
        <v>105</v>
      </c>
      <c r="M5029" s="1" t="str">
        <f>"北京 北京市 朝阳区 "</f>
        <v xml:space="preserve">北京 北京市 朝阳区 </v>
      </c>
      <c r="N5029" s="1" t="str">
        <f t="shared" si="1637"/>
        <v>凡华云仓-城南圆通-微信视频号</v>
      </c>
      <c r="O5029" s="5" t="s">
        <v>5054</v>
      </c>
      <c r="P5029" s="6">
        <v>0.2</v>
      </c>
      <c r="Q5029" s="11">
        <v>2</v>
      </c>
      <c r="R5029" s="11"/>
      <c r="S5029" s="11"/>
      <c r="T5029" s="11"/>
      <c r="U5029" s="11">
        <f t="shared" si="1625"/>
        <v>2</v>
      </c>
      <c r="W5029">
        <v>2.2000000000000002</v>
      </c>
      <c r="X5029" s="1" t="s">
        <v>105</v>
      </c>
    </row>
    <row r="5030" spans="1:24" x14ac:dyDescent="0.25">
      <c r="A5030" s="1" t="str">
        <f t="shared" si="1626"/>
        <v>卡卡杜-凤凰仓</v>
      </c>
      <c r="B5030" s="1" t="str">
        <f>"CK2024102018192"</f>
        <v>CK2024102018192</v>
      </c>
      <c r="C5030" s="1" t="str">
        <f>"DD2024102025589"</f>
        <v>DD2024102025589</v>
      </c>
      <c r="D5030" s="1" t="str">
        <f>"CK2024102026165"</f>
        <v>CK2024102026165</v>
      </c>
      <c r="E5030" s="1" t="str">
        <f>"3723426370115212288"</f>
        <v>3723426370115212288</v>
      </c>
      <c r="F5030" s="1" t="str">
        <f t="shared" si="1627"/>
        <v>花都四部-凤凰仓</v>
      </c>
      <c r="G5030" s="1" t="str">
        <f t="shared" si="1636"/>
        <v>卡卡杜企业店（视频号）</v>
      </c>
      <c r="H5030" s="1" t="str">
        <f t="shared" si="1628"/>
        <v>正常订单</v>
      </c>
      <c r="I5030" s="1" t="str">
        <f t="shared" si="1629"/>
        <v>已发货</v>
      </c>
      <c r="J5030" s="1" t="str">
        <f t="shared" ref="J5030:J5033" si="1639">"3"</f>
        <v>3</v>
      </c>
      <c r="K5030" s="1">
        <v>3</v>
      </c>
      <c r="L5030" s="1" t="s">
        <v>105</v>
      </c>
      <c r="M5030" s="1" t="str">
        <f>"北京 北京市 海淀区 "</f>
        <v xml:space="preserve">北京 北京市 海淀区 </v>
      </c>
      <c r="N5030" s="1" t="str">
        <f t="shared" si="1637"/>
        <v>凡华云仓-城南圆通-微信视频号</v>
      </c>
      <c r="O5030" s="5" t="s">
        <v>5055</v>
      </c>
      <c r="P5030" s="6">
        <v>0.34</v>
      </c>
      <c r="Q5030" s="11">
        <v>2.2999999999999998</v>
      </c>
      <c r="R5030" s="11"/>
      <c r="S5030" s="11"/>
      <c r="T5030" s="11"/>
      <c r="U5030" s="11">
        <f t="shared" si="1625"/>
        <v>2.2999999999999998</v>
      </c>
      <c r="W5030">
        <v>2.5</v>
      </c>
      <c r="X5030" s="1" t="s">
        <v>105</v>
      </c>
    </row>
    <row r="5031" spans="1:24" x14ac:dyDescent="0.25">
      <c r="A5031" s="1" t="str">
        <f t="shared" si="1626"/>
        <v>卡卡杜-凤凰仓</v>
      </c>
      <c r="B5031" s="1" t="str">
        <f>"CK2024102018191"</f>
        <v>CK2024102018191</v>
      </c>
      <c r="C5031" s="1" t="str">
        <f>"DD2024102025585"</f>
        <v>DD2024102025585</v>
      </c>
      <c r="D5031" s="1" t="str">
        <f>"CK2024102026164"</f>
        <v>CK2024102026164</v>
      </c>
      <c r="E5031" s="1" t="str">
        <f>"3723426371142288896"</f>
        <v>3723426371142288896</v>
      </c>
      <c r="F5031" s="1" t="str">
        <f t="shared" si="1627"/>
        <v>花都四部-凤凰仓</v>
      </c>
      <c r="G5031" s="1" t="str">
        <f t="shared" si="1636"/>
        <v>卡卡杜企业店（视频号）</v>
      </c>
      <c r="H5031" s="1" t="str">
        <f t="shared" si="1628"/>
        <v>正常订单</v>
      </c>
      <c r="I5031" s="1" t="str">
        <f t="shared" si="1629"/>
        <v>已发货</v>
      </c>
      <c r="J5031" s="1" t="str">
        <f t="shared" si="1639"/>
        <v>3</v>
      </c>
      <c r="K5031" s="1">
        <v>3</v>
      </c>
      <c r="L5031" s="1" t="s">
        <v>41</v>
      </c>
      <c r="M5031" s="1" t="str">
        <f>"湖北省 咸宁市 咸安区 "</f>
        <v xml:space="preserve">湖北省 咸宁市 咸安区 </v>
      </c>
      <c r="N5031" s="1" t="str">
        <f t="shared" si="1637"/>
        <v>凡华云仓-城南圆通-微信视频号</v>
      </c>
      <c r="O5031" s="5" t="s">
        <v>5056</v>
      </c>
      <c r="P5031" s="6">
        <v>0.34</v>
      </c>
      <c r="Q5031" s="11">
        <v>2.2999999999999998</v>
      </c>
      <c r="R5031" s="11"/>
      <c r="S5031" s="11"/>
      <c r="T5031" s="11"/>
      <c r="U5031" s="11">
        <f t="shared" si="1625"/>
        <v>2.2999999999999998</v>
      </c>
      <c r="W5031">
        <v>2.5</v>
      </c>
      <c r="X5031" s="1" t="s">
        <v>41</v>
      </c>
    </row>
    <row r="5032" spans="1:24" x14ac:dyDescent="0.25">
      <c r="A5032" s="1" t="str">
        <f t="shared" si="1626"/>
        <v>卡卡杜-凤凰仓</v>
      </c>
      <c r="B5032" s="1" t="str">
        <f>"CK2024102018190"</f>
        <v>CK2024102018190</v>
      </c>
      <c r="C5032" s="1" t="str">
        <f>"DD2024102025584"</f>
        <v>DD2024102025584</v>
      </c>
      <c r="D5032" s="1" t="str">
        <f>"CK2024102026163"</f>
        <v>CK2024102026163</v>
      </c>
      <c r="E5032" s="1" t="str">
        <f>"3723426369754498560"</f>
        <v>3723426369754498560</v>
      </c>
      <c r="F5032" s="1" t="str">
        <f t="shared" si="1627"/>
        <v>花都四部-凤凰仓</v>
      </c>
      <c r="G5032" s="1" t="str">
        <f t="shared" si="1636"/>
        <v>卡卡杜企业店（视频号）</v>
      </c>
      <c r="H5032" s="1" t="str">
        <f t="shared" si="1628"/>
        <v>正常订单</v>
      </c>
      <c r="I5032" s="1" t="str">
        <f t="shared" si="1629"/>
        <v>已发货</v>
      </c>
      <c r="J5032" s="1" t="str">
        <f t="shared" si="1639"/>
        <v>3</v>
      </c>
      <c r="K5032" s="1">
        <v>3</v>
      </c>
      <c r="L5032" s="1" t="s">
        <v>74</v>
      </c>
      <c r="M5032" s="1" t="str">
        <f>"上海 上海市 普陀区 "</f>
        <v xml:space="preserve">上海 上海市 普陀区 </v>
      </c>
      <c r="N5032" s="1" t="str">
        <f t="shared" si="1637"/>
        <v>凡华云仓-城南圆通-微信视频号</v>
      </c>
      <c r="O5032" s="5" t="s">
        <v>5057</v>
      </c>
      <c r="P5032" s="6">
        <v>0.34</v>
      </c>
      <c r="Q5032" s="11">
        <v>2.2999999999999998</v>
      </c>
      <c r="R5032" s="11"/>
      <c r="S5032" s="11"/>
      <c r="T5032" s="11"/>
      <c r="U5032" s="11">
        <f t="shared" si="1625"/>
        <v>2.2999999999999998</v>
      </c>
      <c r="W5032">
        <v>2.5</v>
      </c>
      <c r="X5032" s="1" t="s">
        <v>74</v>
      </c>
    </row>
    <row r="5033" spans="1:24" x14ac:dyDescent="0.25">
      <c r="A5033" s="1" t="str">
        <f t="shared" si="1626"/>
        <v>卡卡杜-凤凰仓</v>
      </c>
      <c r="B5033" s="1" t="str">
        <f>"CK2024102018193"</f>
        <v>CK2024102018193</v>
      </c>
      <c r="C5033" s="1" t="str">
        <f>"DD2024102025591"</f>
        <v>DD2024102025591</v>
      </c>
      <c r="D5033" s="1" t="str">
        <f>"CK2024102026162"</f>
        <v>CK2024102026162</v>
      </c>
      <c r="E5033" s="1" t="str">
        <f>"3723426345377990144"</f>
        <v>3723426345377990144</v>
      </c>
      <c r="F5033" s="1" t="str">
        <f t="shared" si="1627"/>
        <v>花都四部-凤凰仓</v>
      </c>
      <c r="G5033" s="1" t="str">
        <f t="shared" si="1636"/>
        <v>卡卡杜企业店（视频号）</v>
      </c>
      <c r="H5033" s="1" t="str">
        <f t="shared" si="1628"/>
        <v>正常订单</v>
      </c>
      <c r="I5033" s="1" t="str">
        <f t="shared" si="1629"/>
        <v>已发货</v>
      </c>
      <c r="J5033" s="1" t="str">
        <f t="shared" si="1639"/>
        <v>3</v>
      </c>
      <c r="K5033" s="1">
        <v>3</v>
      </c>
      <c r="L5033" s="1" t="s">
        <v>16</v>
      </c>
      <c r="M5033" s="1" t="str">
        <f>"河北省 承德市 双桥区 "</f>
        <v xml:space="preserve">河北省 承德市 双桥区 </v>
      </c>
      <c r="N5033" s="1" t="str">
        <f t="shared" si="1637"/>
        <v>凡华云仓-城南圆通-微信视频号</v>
      </c>
      <c r="O5033" s="5" t="s">
        <v>5058</v>
      </c>
      <c r="P5033" s="6">
        <v>0.34</v>
      </c>
      <c r="Q5033" s="11">
        <v>2.2999999999999998</v>
      </c>
      <c r="R5033" s="11"/>
      <c r="S5033" s="11"/>
      <c r="T5033" s="11"/>
      <c r="U5033" s="11">
        <f t="shared" si="1625"/>
        <v>2.2999999999999998</v>
      </c>
      <c r="W5033">
        <v>2.5</v>
      </c>
      <c r="X5033" s="1" t="s">
        <v>16</v>
      </c>
    </row>
    <row r="5034" spans="1:24" x14ac:dyDescent="0.25">
      <c r="A5034" s="1" t="str">
        <f t="shared" si="1626"/>
        <v>卡卡杜-凤凰仓</v>
      </c>
      <c r="B5034" s="1" t="str">
        <f>"CK2024102018194"</f>
        <v>CK2024102018194</v>
      </c>
      <c r="C5034" s="1" t="str">
        <f>"DD2024102025590"</f>
        <v>DD2024102025590</v>
      </c>
      <c r="D5034" s="1" t="str">
        <f>"CK2024102026161"</f>
        <v>CK2024102026161</v>
      </c>
      <c r="E5034" s="1" t="str">
        <f>"3723426200430971904"</f>
        <v>3723426200430971904</v>
      </c>
      <c r="F5034" s="1" t="str">
        <f t="shared" si="1627"/>
        <v>花都四部-凤凰仓</v>
      </c>
      <c r="G5034" s="1" t="str">
        <f t="shared" si="1636"/>
        <v>卡卡杜企业店（视频号）</v>
      </c>
      <c r="H5034" s="1" t="str">
        <f t="shared" si="1628"/>
        <v>正常订单</v>
      </c>
      <c r="I5034" s="1" t="str">
        <f t="shared" si="1629"/>
        <v>已发货</v>
      </c>
      <c r="J5034" s="1" t="str">
        <f t="shared" ref="J5034:J5045" si="1640">"2"</f>
        <v>2</v>
      </c>
      <c r="K5034" s="1">
        <v>1</v>
      </c>
      <c r="L5034" s="1" t="s">
        <v>41</v>
      </c>
      <c r="M5034" s="1" t="str">
        <f>"湖北省 咸宁市 咸安区 "</f>
        <v xml:space="preserve">湖北省 咸宁市 咸安区 </v>
      </c>
      <c r="N5034" s="1" t="str">
        <f t="shared" si="1637"/>
        <v>凡华云仓-城南圆通-微信视频号</v>
      </c>
      <c r="O5034" s="5" t="s">
        <v>5059</v>
      </c>
      <c r="P5034" s="6">
        <v>0.2</v>
      </c>
      <c r="Q5034" s="11">
        <v>2</v>
      </c>
      <c r="R5034" s="11"/>
      <c r="S5034" s="11"/>
      <c r="T5034" s="11"/>
      <c r="U5034" s="11">
        <f t="shared" si="1625"/>
        <v>2</v>
      </c>
      <c r="W5034">
        <v>2.2000000000000002</v>
      </c>
      <c r="X5034" s="1" t="s">
        <v>41</v>
      </c>
    </row>
    <row r="5035" spans="1:24" x14ac:dyDescent="0.25">
      <c r="A5035" s="1" t="str">
        <f t="shared" si="1626"/>
        <v>卡卡杜-凤凰仓</v>
      </c>
      <c r="B5035" s="1" t="str">
        <f>"CK2024102018195"</f>
        <v>CK2024102018195</v>
      </c>
      <c r="C5035" s="1" t="str">
        <f>"DD2024102025594"</f>
        <v>DD2024102025594</v>
      </c>
      <c r="D5035" s="1" t="str">
        <f>"CK2024102026160"</f>
        <v>CK2024102026160</v>
      </c>
      <c r="E5035" s="1" t="str">
        <f>"3723426198071940096"</f>
        <v>3723426198071940096</v>
      </c>
      <c r="F5035" s="1" t="str">
        <f t="shared" si="1627"/>
        <v>花都四部-凤凰仓</v>
      </c>
      <c r="G5035" s="1" t="str">
        <f t="shared" si="1636"/>
        <v>卡卡杜企业店（视频号）</v>
      </c>
      <c r="H5035" s="1" t="str">
        <f t="shared" si="1628"/>
        <v>正常订单</v>
      </c>
      <c r="I5035" s="1" t="str">
        <f t="shared" si="1629"/>
        <v>已发货</v>
      </c>
      <c r="J5035" s="1" t="str">
        <f>"1"</f>
        <v>1</v>
      </c>
      <c r="K5035" s="1">
        <v>1</v>
      </c>
      <c r="L5035" s="1" t="s">
        <v>74</v>
      </c>
      <c r="M5035" s="1" t="str">
        <f>"上海 上海市 普陀区 "</f>
        <v xml:space="preserve">上海 上海市 普陀区 </v>
      </c>
      <c r="N5035" s="1" t="str">
        <f t="shared" si="1637"/>
        <v>凡华云仓-城南圆通-微信视频号</v>
      </c>
      <c r="O5035" s="5" t="s">
        <v>5060</v>
      </c>
      <c r="P5035" s="6">
        <v>0.12</v>
      </c>
      <c r="Q5035" s="11">
        <v>2</v>
      </c>
      <c r="R5035" s="11"/>
      <c r="S5035" s="11"/>
      <c r="T5035" s="11"/>
      <c r="U5035" s="11">
        <f t="shared" si="1625"/>
        <v>2</v>
      </c>
      <c r="W5035">
        <v>2.2000000000000002</v>
      </c>
      <c r="X5035" s="1" t="s">
        <v>74</v>
      </c>
    </row>
    <row r="5036" spans="1:24" x14ac:dyDescent="0.25">
      <c r="A5036" s="1" t="str">
        <f t="shared" si="1626"/>
        <v>卡卡杜-凤凰仓</v>
      </c>
      <c r="B5036" s="1" t="str">
        <f>"CK2024102018196"</f>
        <v>CK2024102018196</v>
      </c>
      <c r="C5036" s="1" t="str">
        <f>"DD2024102025592"</f>
        <v>DD2024102025592</v>
      </c>
      <c r="D5036" s="1" t="str">
        <f>"CK2024102026159"</f>
        <v>CK2024102026159</v>
      </c>
      <c r="E5036" s="1" t="str">
        <f>"3723426193845129216"</f>
        <v>3723426193845129216</v>
      </c>
      <c r="F5036" s="1" t="str">
        <f t="shared" si="1627"/>
        <v>花都四部-凤凰仓</v>
      </c>
      <c r="G5036" s="1" t="str">
        <f t="shared" si="1636"/>
        <v>卡卡杜企业店（视频号）</v>
      </c>
      <c r="H5036" s="1" t="str">
        <f t="shared" si="1628"/>
        <v>正常订单</v>
      </c>
      <c r="I5036" s="1" t="str">
        <f t="shared" si="1629"/>
        <v>已发货</v>
      </c>
      <c r="J5036" s="1" t="str">
        <f t="shared" si="1640"/>
        <v>2</v>
      </c>
      <c r="K5036" s="1">
        <v>1</v>
      </c>
      <c r="L5036" s="1" t="s">
        <v>30</v>
      </c>
      <c r="M5036" s="1" t="str">
        <f>"山东省 淄博市 博山区 "</f>
        <v xml:space="preserve">山东省 淄博市 博山区 </v>
      </c>
      <c r="N5036" s="1" t="str">
        <f t="shared" si="1637"/>
        <v>凡华云仓-城南圆通-微信视频号</v>
      </c>
      <c r="O5036" s="5" t="s">
        <v>5061</v>
      </c>
      <c r="P5036" s="6">
        <v>0.2</v>
      </c>
      <c r="Q5036" s="11">
        <v>2</v>
      </c>
      <c r="R5036" s="11"/>
      <c r="S5036" s="11"/>
      <c r="T5036" s="11"/>
      <c r="U5036" s="11">
        <f t="shared" si="1625"/>
        <v>2</v>
      </c>
      <c r="W5036">
        <v>2.2000000000000002</v>
      </c>
      <c r="X5036" s="1" t="s">
        <v>30</v>
      </c>
    </row>
    <row r="5037" spans="1:24" x14ac:dyDescent="0.25">
      <c r="A5037" s="1" t="str">
        <f t="shared" si="1626"/>
        <v>卡卡杜-凤凰仓</v>
      </c>
      <c r="B5037" s="1" t="str">
        <f>"CK2024102018197"</f>
        <v>CK2024102018197</v>
      </c>
      <c r="C5037" s="1" t="str">
        <f>"DD2024102025593"</f>
        <v>DD2024102025593</v>
      </c>
      <c r="D5037" s="1" t="str">
        <f>"CK2024102026158"</f>
        <v>CK2024102026158</v>
      </c>
      <c r="E5037" s="1" t="str">
        <f>"3723426187815293952"</f>
        <v>3723426187815293952</v>
      </c>
      <c r="F5037" s="1" t="str">
        <f t="shared" si="1627"/>
        <v>花都四部-凤凰仓</v>
      </c>
      <c r="G5037" s="1" t="str">
        <f t="shared" si="1636"/>
        <v>卡卡杜企业店（视频号）</v>
      </c>
      <c r="H5037" s="1" t="str">
        <f t="shared" si="1628"/>
        <v>正常订单</v>
      </c>
      <c r="I5037" s="1" t="str">
        <f t="shared" si="1629"/>
        <v>已发货</v>
      </c>
      <c r="J5037" s="1" t="str">
        <f t="shared" si="1640"/>
        <v>2</v>
      </c>
      <c r="K5037" s="1">
        <v>1</v>
      </c>
      <c r="L5037" s="1" t="s">
        <v>105</v>
      </c>
      <c r="M5037" s="1" t="str">
        <f>"北京 北京市 海淀区 "</f>
        <v xml:space="preserve">北京 北京市 海淀区 </v>
      </c>
      <c r="N5037" s="1" t="str">
        <f t="shared" si="1637"/>
        <v>凡华云仓-城南圆通-微信视频号</v>
      </c>
      <c r="O5037" s="5" t="s">
        <v>5062</v>
      </c>
      <c r="P5037" s="6">
        <v>0.2</v>
      </c>
      <c r="Q5037" s="11">
        <v>2</v>
      </c>
      <c r="R5037" s="11"/>
      <c r="S5037" s="11"/>
      <c r="T5037" s="11"/>
      <c r="U5037" s="11">
        <f t="shared" si="1625"/>
        <v>2</v>
      </c>
      <c r="W5037">
        <v>2.2000000000000002</v>
      </c>
      <c r="X5037" s="1" t="s">
        <v>105</v>
      </c>
    </row>
    <row r="5038" spans="1:24" x14ac:dyDescent="0.25">
      <c r="A5038" s="1" t="str">
        <f t="shared" si="1626"/>
        <v>卡卡杜-凤凰仓</v>
      </c>
      <c r="B5038" s="1" t="str">
        <f>"CK2024102018198"</f>
        <v>CK2024102018198</v>
      </c>
      <c r="C5038" s="1" t="str">
        <f>"DD2024102025596"</f>
        <v>DD2024102025596</v>
      </c>
      <c r="D5038" s="1" t="str">
        <f>"CK2024102026157"</f>
        <v>CK2024102026157</v>
      </c>
      <c r="E5038" s="1" t="str">
        <f>"3723425566397434880"</f>
        <v>3723425566397434880</v>
      </c>
      <c r="F5038" s="1" t="str">
        <f t="shared" si="1627"/>
        <v>花都四部-凤凰仓</v>
      </c>
      <c r="G5038" s="1" t="str">
        <f t="shared" si="1636"/>
        <v>卡卡杜企业店（视频号）</v>
      </c>
      <c r="H5038" s="1" t="str">
        <f t="shared" si="1628"/>
        <v>正常订单</v>
      </c>
      <c r="I5038" s="1" t="str">
        <f t="shared" si="1629"/>
        <v>已发货</v>
      </c>
      <c r="J5038" s="1" t="str">
        <f t="shared" si="1640"/>
        <v>2</v>
      </c>
      <c r="K5038" s="1">
        <v>1</v>
      </c>
      <c r="L5038" s="1" t="s">
        <v>74</v>
      </c>
      <c r="M5038" s="1" t="str">
        <f t="shared" ref="M5038:M5041" si="1641">"上海 上海市 浦东新区 "</f>
        <v xml:space="preserve">上海 上海市 浦东新区 </v>
      </c>
      <c r="N5038" s="1" t="str">
        <f t="shared" si="1637"/>
        <v>凡华云仓-城南圆通-微信视频号</v>
      </c>
      <c r="O5038" s="5" t="s">
        <v>5063</v>
      </c>
      <c r="P5038" s="6">
        <v>0.2</v>
      </c>
      <c r="Q5038" s="11">
        <v>2</v>
      </c>
      <c r="R5038" s="11"/>
      <c r="S5038" s="11"/>
      <c r="T5038" s="11"/>
      <c r="U5038" s="11">
        <f t="shared" si="1625"/>
        <v>2</v>
      </c>
      <c r="W5038">
        <v>2.2000000000000002</v>
      </c>
      <c r="X5038" s="1" t="s">
        <v>74</v>
      </c>
    </row>
    <row r="5039" spans="1:24" x14ac:dyDescent="0.25">
      <c r="A5039" s="1" t="str">
        <f t="shared" si="1626"/>
        <v>卡卡杜-凤凰仓</v>
      </c>
      <c r="B5039" s="1" t="str">
        <f>"CK2024102018199"</f>
        <v>CK2024102018199</v>
      </c>
      <c r="C5039" s="1" t="str">
        <f>"DD2024102025595"</f>
        <v>DD2024102025595</v>
      </c>
      <c r="D5039" s="1" t="str">
        <f>"CK2024102026156"</f>
        <v>CK2024102026156</v>
      </c>
      <c r="E5039" s="1" t="str">
        <f>"3723425559753134080"</f>
        <v>3723425559753134080</v>
      </c>
      <c r="F5039" s="1" t="str">
        <f t="shared" si="1627"/>
        <v>花都四部-凤凰仓</v>
      </c>
      <c r="G5039" s="1" t="str">
        <f t="shared" si="1636"/>
        <v>卡卡杜企业店（视频号）</v>
      </c>
      <c r="H5039" s="1" t="str">
        <f t="shared" si="1628"/>
        <v>正常订单</v>
      </c>
      <c r="I5039" s="1" t="str">
        <f t="shared" si="1629"/>
        <v>已发货</v>
      </c>
      <c r="J5039" s="1" t="str">
        <f t="shared" si="1640"/>
        <v>2</v>
      </c>
      <c r="K5039" s="1">
        <v>1</v>
      </c>
      <c r="L5039" s="1" t="s">
        <v>74</v>
      </c>
      <c r="M5039" s="1" t="str">
        <f t="shared" si="1641"/>
        <v xml:space="preserve">上海 上海市 浦东新区 </v>
      </c>
      <c r="N5039" s="1" t="str">
        <f t="shared" si="1637"/>
        <v>凡华云仓-城南圆通-微信视频号</v>
      </c>
      <c r="O5039" s="5" t="s">
        <v>5064</v>
      </c>
      <c r="P5039" s="6">
        <v>0.2</v>
      </c>
      <c r="Q5039" s="11">
        <v>2</v>
      </c>
      <c r="R5039" s="11"/>
      <c r="S5039" s="11"/>
      <c r="T5039" s="11"/>
      <c r="U5039" s="11">
        <f t="shared" si="1625"/>
        <v>2</v>
      </c>
      <c r="W5039">
        <v>2.2000000000000002</v>
      </c>
      <c r="X5039" s="1" t="s">
        <v>74</v>
      </c>
    </row>
    <row r="5040" spans="1:24" x14ac:dyDescent="0.25">
      <c r="A5040" s="1" t="str">
        <f t="shared" si="1626"/>
        <v>卡卡杜-凤凰仓</v>
      </c>
      <c r="B5040" s="1" t="str">
        <f>"CK2024102018200"</f>
        <v>CK2024102018200</v>
      </c>
      <c r="C5040" s="1" t="str">
        <f>"DD2024102025597"</f>
        <v>DD2024102025597</v>
      </c>
      <c r="D5040" s="1" t="str">
        <f>"CK2024102026155"</f>
        <v>CK2024102026155</v>
      </c>
      <c r="E5040" s="1" t="str">
        <f>"3723425480587743232"</f>
        <v>3723425480587743232</v>
      </c>
      <c r="F5040" s="1" t="str">
        <f t="shared" si="1627"/>
        <v>花都四部-凤凰仓</v>
      </c>
      <c r="G5040" s="1" t="str">
        <f t="shared" si="1636"/>
        <v>卡卡杜企业店（视频号）</v>
      </c>
      <c r="H5040" s="1" t="str">
        <f t="shared" si="1628"/>
        <v>正常订单</v>
      </c>
      <c r="I5040" s="1" t="str">
        <f t="shared" si="1629"/>
        <v>已发货</v>
      </c>
      <c r="J5040" s="1" t="str">
        <f t="shared" si="1640"/>
        <v>2</v>
      </c>
      <c r="K5040" s="1">
        <v>1</v>
      </c>
      <c r="L5040" s="1" t="s">
        <v>74</v>
      </c>
      <c r="M5040" s="1" t="str">
        <f t="shared" si="1641"/>
        <v xml:space="preserve">上海 上海市 浦东新区 </v>
      </c>
      <c r="N5040" s="1" t="str">
        <f t="shared" si="1637"/>
        <v>凡华云仓-城南圆通-微信视频号</v>
      </c>
      <c r="O5040" s="5" t="s">
        <v>5065</v>
      </c>
      <c r="P5040" s="6">
        <v>0.2</v>
      </c>
      <c r="Q5040" s="11">
        <v>2</v>
      </c>
      <c r="R5040" s="11"/>
      <c r="S5040" s="11"/>
      <c r="T5040" s="11"/>
      <c r="U5040" s="11">
        <f t="shared" si="1625"/>
        <v>2</v>
      </c>
      <c r="W5040">
        <v>2.2000000000000002</v>
      </c>
      <c r="X5040" s="1" t="s">
        <v>74</v>
      </c>
    </row>
    <row r="5041" spans="1:24" x14ac:dyDescent="0.25">
      <c r="A5041" s="1" t="str">
        <f t="shared" si="1626"/>
        <v>卡卡杜-凤凰仓</v>
      </c>
      <c r="B5041" s="1" t="str">
        <f>"CK2024102018201"</f>
        <v>CK2024102018201</v>
      </c>
      <c r="C5041" s="1" t="str">
        <f>"DD2024102025598"</f>
        <v>DD2024102025598</v>
      </c>
      <c r="D5041" s="1" t="str">
        <f>"CK2024102026154"</f>
        <v>CK2024102026154</v>
      </c>
      <c r="E5041" s="1" t="str">
        <f>"3723425470938220032"</f>
        <v>3723425470938220032</v>
      </c>
      <c r="F5041" s="1" t="str">
        <f t="shared" si="1627"/>
        <v>花都四部-凤凰仓</v>
      </c>
      <c r="G5041" s="1" t="str">
        <f t="shared" si="1636"/>
        <v>卡卡杜企业店（视频号）</v>
      </c>
      <c r="H5041" s="1" t="str">
        <f t="shared" si="1628"/>
        <v>正常订单</v>
      </c>
      <c r="I5041" s="1" t="str">
        <f t="shared" si="1629"/>
        <v>已发货</v>
      </c>
      <c r="J5041" s="1" t="str">
        <f t="shared" si="1640"/>
        <v>2</v>
      </c>
      <c r="K5041" s="1">
        <v>1</v>
      </c>
      <c r="L5041" s="1" t="s">
        <v>74</v>
      </c>
      <c r="M5041" s="1" t="str">
        <f t="shared" si="1641"/>
        <v xml:space="preserve">上海 上海市 浦东新区 </v>
      </c>
      <c r="N5041" s="1" t="str">
        <f t="shared" si="1637"/>
        <v>凡华云仓-城南圆通-微信视频号</v>
      </c>
      <c r="O5041" s="5" t="s">
        <v>5066</v>
      </c>
      <c r="P5041" s="6">
        <v>0.2</v>
      </c>
      <c r="Q5041" s="11">
        <v>2</v>
      </c>
      <c r="R5041" s="11"/>
      <c r="S5041" s="11"/>
      <c r="T5041" s="11"/>
      <c r="U5041" s="11">
        <f t="shared" si="1625"/>
        <v>2</v>
      </c>
      <c r="W5041">
        <v>2.2000000000000002</v>
      </c>
      <c r="X5041" s="1" t="s">
        <v>74</v>
      </c>
    </row>
    <row r="5042" spans="1:24" x14ac:dyDescent="0.25">
      <c r="A5042" s="1" t="str">
        <f t="shared" si="1626"/>
        <v>卡卡杜-凤凰仓</v>
      </c>
      <c r="B5042" s="1" t="str">
        <f>"CK2024102018015"</f>
        <v>CK2024102018015</v>
      </c>
      <c r="C5042" s="1" t="str">
        <f>"DD2024102025246"</f>
        <v>DD2024102025246</v>
      </c>
      <c r="D5042" s="1" t="str">
        <f>"CK2024102025466"</f>
        <v>CK2024102025466</v>
      </c>
      <c r="E5042" s="1" t="str">
        <f>"3723428252677440768"</f>
        <v>3723428252677440768</v>
      </c>
      <c r="F5042" s="1" t="str">
        <f t="shared" si="1627"/>
        <v>花都四部-凤凰仓</v>
      </c>
      <c r="G5042" s="1" t="str">
        <f t="shared" si="1636"/>
        <v>卡卡杜企业店（视频号）</v>
      </c>
      <c r="H5042" s="1" t="str">
        <f t="shared" si="1628"/>
        <v>正常订单</v>
      </c>
      <c r="I5042" s="1" t="str">
        <f t="shared" si="1629"/>
        <v>已发货</v>
      </c>
      <c r="J5042" s="1" t="str">
        <f t="shared" si="1640"/>
        <v>2</v>
      </c>
      <c r="K5042" s="1">
        <v>1</v>
      </c>
      <c r="L5042" s="1" t="s">
        <v>74</v>
      </c>
      <c r="M5042" s="1" t="str">
        <f>"上海 上海市 松江区 "</f>
        <v xml:space="preserve">上海 上海市 松江区 </v>
      </c>
      <c r="N5042" s="1" t="str">
        <f t="shared" si="1637"/>
        <v>凡华云仓-城南圆通-微信视频号</v>
      </c>
      <c r="O5042" s="5" t="s">
        <v>5067</v>
      </c>
      <c r="P5042" s="6">
        <v>0.2</v>
      </c>
      <c r="Q5042" s="11">
        <v>2</v>
      </c>
      <c r="R5042" s="11"/>
      <c r="S5042" s="11"/>
      <c r="T5042" s="11"/>
      <c r="U5042" s="11">
        <f t="shared" si="1625"/>
        <v>2</v>
      </c>
      <c r="W5042">
        <v>2.2000000000000002</v>
      </c>
      <c r="X5042" s="1" t="s">
        <v>74</v>
      </c>
    </row>
    <row r="5043" spans="1:24" x14ac:dyDescent="0.25">
      <c r="A5043" s="1" t="str">
        <f t="shared" si="1626"/>
        <v>卡卡杜-凤凰仓</v>
      </c>
      <c r="B5043" s="1" t="str">
        <f>"CK2024102018025"</f>
        <v>CK2024102018025</v>
      </c>
      <c r="C5043" s="1" t="str">
        <f>"DD2024102025253"</f>
        <v>DD2024102025253</v>
      </c>
      <c r="D5043" s="1" t="str">
        <f>"CK2024102025465"</f>
        <v>CK2024102025465</v>
      </c>
      <c r="E5043" s="1" t="str">
        <f>"3723426862065386752"</f>
        <v>3723426862065386752</v>
      </c>
      <c r="F5043" s="1" t="str">
        <f t="shared" si="1627"/>
        <v>花都四部-凤凰仓</v>
      </c>
      <c r="G5043" s="1" t="str">
        <f t="shared" si="1636"/>
        <v>卡卡杜企业店（视频号）</v>
      </c>
      <c r="H5043" s="1" t="str">
        <f t="shared" si="1628"/>
        <v>正常订单</v>
      </c>
      <c r="I5043" s="1" t="str">
        <f t="shared" si="1629"/>
        <v>已发货</v>
      </c>
      <c r="J5043" s="1" t="str">
        <f t="shared" si="1640"/>
        <v>2</v>
      </c>
      <c r="K5043" s="1">
        <v>1</v>
      </c>
      <c r="L5043" s="1" t="s">
        <v>218</v>
      </c>
      <c r="M5043" s="1" t="str">
        <f>"天津 天津市 南开区 "</f>
        <v xml:space="preserve">天津 天津市 南开区 </v>
      </c>
      <c r="N5043" s="1" t="str">
        <f t="shared" si="1637"/>
        <v>凡华云仓-城南圆通-微信视频号</v>
      </c>
      <c r="O5043" s="5" t="s">
        <v>5068</v>
      </c>
      <c r="P5043" s="6">
        <v>0.2</v>
      </c>
      <c r="Q5043" s="11">
        <v>2</v>
      </c>
      <c r="R5043" s="11"/>
      <c r="S5043" s="11"/>
      <c r="T5043" s="11"/>
      <c r="U5043" s="11">
        <f t="shared" si="1625"/>
        <v>2</v>
      </c>
      <c r="W5043">
        <v>2.2000000000000002</v>
      </c>
      <c r="X5043" s="1" t="s">
        <v>218</v>
      </c>
    </row>
    <row r="5044" spans="1:24" x14ac:dyDescent="0.25">
      <c r="A5044" s="1" t="str">
        <f t="shared" si="1626"/>
        <v>卡卡杜-凤凰仓</v>
      </c>
      <c r="B5044" s="1" t="str">
        <f>"CK2024102018027"</f>
        <v>CK2024102018027</v>
      </c>
      <c r="C5044" s="1" t="str">
        <f>"DD2024102025260"</f>
        <v>DD2024102025260</v>
      </c>
      <c r="D5044" s="1" t="str">
        <f>"CK2024102025464"</f>
        <v>CK2024102025464</v>
      </c>
      <c r="E5044" s="1" t="str">
        <f>"3723426742075786752"</f>
        <v>3723426742075786752</v>
      </c>
      <c r="F5044" s="1" t="str">
        <f t="shared" si="1627"/>
        <v>花都四部-凤凰仓</v>
      </c>
      <c r="G5044" s="1" t="str">
        <f t="shared" si="1636"/>
        <v>卡卡杜企业店（视频号）</v>
      </c>
      <c r="H5044" s="1" t="str">
        <f t="shared" si="1628"/>
        <v>正常订单</v>
      </c>
      <c r="I5044" s="1" t="str">
        <f t="shared" si="1629"/>
        <v>已发货</v>
      </c>
      <c r="J5044" s="1" t="str">
        <f t="shared" si="1640"/>
        <v>2</v>
      </c>
      <c r="K5044" s="1">
        <v>1</v>
      </c>
      <c r="L5044" s="1" t="s">
        <v>36</v>
      </c>
      <c r="M5044" s="1" t="str">
        <f>"安徽省 芜湖市 南陵县 "</f>
        <v xml:space="preserve">安徽省 芜湖市 南陵县 </v>
      </c>
      <c r="N5044" s="1" t="str">
        <f t="shared" si="1637"/>
        <v>凡华云仓-城南圆通-微信视频号</v>
      </c>
      <c r="O5044" s="5" t="s">
        <v>5069</v>
      </c>
      <c r="P5044" s="6">
        <v>0.2</v>
      </c>
      <c r="Q5044" s="11">
        <v>2</v>
      </c>
      <c r="R5044" s="11"/>
      <c r="S5044" s="11"/>
      <c r="T5044" s="11"/>
      <c r="U5044" s="11">
        <f t="shared" si="1625"/>
        <v>2</v>
      </c>
      <c r="W5044">
        <v>2.2000000000000002</v>
      </c>
      <c r="X5044" s="1" t="s">
        <v>36</v>
      </c>
    </row>
    <row r="5045" spans="1:24" x14ac:dyDescent="0.25">
      <c r="A5045" s="1" t="str">
        <f t="shared" si="1626"/>
        <v>卡卡杜-凤凰仓</v>
      </c>
      <c r="B5045" s="1" t="str">
        <f>"CK2024102018029"</f>
        <v>CK2024102018029</v>
      </c>
      <c r="C5045" s="1" t="str">
        <f>"DD2024102025259"</f>
        <v>DD2024102025259</v>
      </c>
      <c r="D5045" s="1" t="str">
        <f>"CK2024102025463"</f>
        <v>CK2024102025463</v>
      </c>
      <c r="E5045" s="1" t="str">
        <f>"3723426643696813312"</f>
        <v>3723426643696813312</v>
      </c>
      <c r="F5045" s="1" t="str">
        <f t="shared" si="1627"/>
        <v>花都四部-凤凰仓</v>
      </c>
      <c r="G5045" s="1" t="str">
        <f t="shared" si="1636"/>
        <v>卡卡杜企业店（视频号）</v>
      </c>
      <c r="H5045" s="1" t="str">
        <f t="shared" si="1628"/>
        <v>正常订单</v>
      </c>
      <c r="I5045" s="1" t="str">
        <f t="shared" si="1629"/>
        <v>已发货</v>
      </c>
      <c r="J5045" s="1" t="str">
        <f t="shared" si="1640"/>
        <v>2</v>
      </c>
      <c r="K5045" s="1">
        <v>1</v>
      </c>
      <c r="L5045" s="1" t="s">
        <v>41</v>
      </c>
      <c r="M5045" s="1" t="str">
        <f>"湖北省 宜昌市 西陵区 "</f>
        <v xml:space="preserve">湖北省 宜昌市 西陵区 </v>
      </c>
      <c r="N5045" s="1" t="str">
        <f t="shared" si="1637"/>
        <v>凡华云仓-城南圆通-微信视频号</v>
      </c>
      <c r="O5045" s="5" t="s">
        <v>5070</v>
      </c>
      <c r="P5045" s="6">
        <v>0.2</v>
      </c>
      <c r="Q5045" s="11">
        <v>2</v>
      </c>
      <c r="R5045" s="11"/>
      <c r="S5045" s="11"/>
      <c r="T5045" s="11"/>
      <c r="U5045" s="11">
        <f t="shared" si="1625"/>
        <v>2</v>
      </c>
      <c r="W5045">
        <v>2.2000000000000002</v>
      </c>
      <c r="X5045" s="1" t="s">
        <v>41</v>
      </c>
    </row>
    <row r="5046" spans="1:24" x14ac:dyDescent="0.25">
      <c r="A5046" s="1" t="str">
        <f t="shared" si="1626"/>
        <v>卡卡杜-凤凰仓</v>
      </c>
      <c r="B5046" s="1" t="str">
        <f>"CK2024102018030"</f>
        <v>CK2024102018030</v>
      </c>
      <c r="C5046" s="1" t="str">
        <f>"DD2024102025261"</f>
        <v>DD2024102025261</v>
      </c>
      <c r="D5046" s="1" t="str">
        <f>"CK2024102025462"</f>
        <v>CK2024102025462</v>
      </c>
      <c r="E5046" s="1" t="str">
        <f>"3723426631938606592"</f>
        <v>3723426631938606592</v>
      </c>
      <c r="F5046" s="1" t="str">
        <f t="shared" si="1627"/>
        <v>花都四部-凤凰仓</v>
      </c>
      <c r="G5046" s="1" t="str">
        <f t="shared" si="1636"/>
        <v>卡卡杜企业店（视频号）</v>
      </c>
      <c r="H5046" s="1" t="str">
        <f t="shared" si="1628"/>
        <v>正常订单</v>
      </c>
      <c r="I5046" s="1" t="str">
        <f t="shared" si="1629"/>
        <v>已发货</v>
      </c>
      <c r="J5046" s="1" t="str">
        <f t="shared" ref="J5046:J5050" si="1642">"1"</f>
        <v>1</v>
      </c>
      <c r="K5046" s="1">
        <v>1</v>
      </c>
      <c r="L5046" s="1" t="s">
        <v>80</v>
      </c>
      <c r="M5046" s="1" t="str">
        <f>"河南省 郑州市 管城回族区 "</f>
        <v xml:space="preserve">河南省 郑州市 管城回族区 </v>
      </c>
      <c r="N5046" s="1" t="str">
        <f t="shared" si="1637"/>
        <v>凡华云仓-城南圆通-微信视频号</v>
      </c>
      <c r="O5046" s="5" t="s">
        <v>5071</v>
      </c>
      <c r="P5046" s="6">
        <v>0.12</v>
      </c>
      <c r="Q5046" s="11">
        <v>2</v>
      </c>
      <c r="R5046" s="11"/>
      <c r="S5046" s="11"/>
      <c r="T5046" s="11"/>
      <c r="U5046" s="11">
        <f t="shared" si="1625"/>
        <v>2</v>
      </c>
      <c r="W5046">
        <v>2.2000000000000002</v>
      </c>
      <c r="X5046" s="1" t="s">
        <v>80</v>
      </c>
    </row>
    <row r="5047" spans="1:24" x14ac:dyDescent="0.25">
      <c r="A5047" s="1" t="str">
        <f t="shared" si="1626"/>
        <v>卡卡杜-凤凰仓</v>
      </c>
      <c r="B5047" s="1" t="str">
        <f>"CK2024102018031"</f>
        <v>CK2024102018031</v>
      </c>
      <c r="C5047" s="1" t="str">
        <f>"DD2024102025262"</f>
        <v>DD2024102025262</v>
      </c>
      <c r="D5047" s="1" t="str">
        <f>"CK2024102025461"</f>
        <v>CK2024102025461</v>
      </c>
      <c r="E5047" s="1" t="str">
        <f>"3723426628040266752"</f>
        <v>3723426628040266752</v>
      </c>
      <c r="F5047" s="1" t="str">
        <f t="shared" si="1627"/>
        <v>花都四部-凤凰仓</v>
      </c>
      <c r="G5047" s="1" t="str">
        <f t="shared" si="1636"/>
        <v>卡卡杜企业店（视频号）</v>
      </c>
      <c r="H5047" s="1" t="str">
        <f t="shared" si="1628"/>
        <v>正常订单</v>
      </c>
      <c r="I5047" s="1" t="str">
        <f t="shared" si="1629"/>
        <v>已发货</v>
      </c>
      <c r="J5047" s="1" t="str">
        <f t="shared" ref="J5047:J5051" si="1643">"2"</f>
        <v>2</v>
      </c>
      <c r="K5047" s="1">
        <v>1</v>
      </c>
      <c r="L5047" s="1" t="s">
        <v>66</v>
      </c>
      <c r="M5047" s="1" t="str">
        <f>"内蒙古自治区 呼和浩特市 回民区 "</f>
        <v xml:space="preserve">内蒙古自治区 呼和浩特市 回民区 </v>
      </c>
      <c r="N5047" s="1" t="str">
        <f t="shared" si="1637"/>
        <v>凡华云仓-城南圆通-微信视频号</v>
      </c>
      <c r="O5047" s="5" t="s">
        <v>5072</v>
      </c>
      <c r="P5047" s="6">
        <v>0.2</v>
      </c>
      <c r="Q5047" s="11">
        <v>2</v>
      </c>
      <c r="R5047" s="11"/>
      <c r="S5047" s="11"/>
      <c r="T5047" s="11"/>
      <c r="U5047" s="11">
        <f t="shared" si="1625"/>
        <v>2</v>
      </c>
      <c r="W5047">
        <v>2.2000000000000002</v>
      </c>
      <c r="X5047" s="1" t="s">
        <v>66</v>
      </c>
    </row>
    <row r="5048" spans="1:24" x14ac:dyDescent="0.25">
      <c r="A5048" s="1" t="str">
        <f t="shared" si="1626"/>
        <v>卡卡杜-凤凰仓</v>
      </c>
      <c r="B5048" s="1" t="str">
        <f>"CK2024102018032"</f>
        <v>CK2024102018032</v>
      </c>
      <c r="C5048" s="1" t="str">
        <f>"DD2024102025264"</f>
        <v>DD2024102025264</v>
      </c>
      <c r="D5048" s="1" t="str">
        <f>"CK2024102025460"</f>
        <v>CK2024102025460</v>
      </c>
      <c r="E5048" s="1" t="str">
        <f>"3723426626369357056"</f>
        <v>3723426626369357056</v>
      </c>
      <c r="F5048" s="1" t="str">
        <f t="shared" si="1627"/>
        <v>花都四部-凤凰仓</v>
      </c>
      <c r="G5048" s="1" t="str">
        <f t="shared" si="1636"/>
        <v>卡卡杜企业店（视频号）</v>
      </c>
      <c r="H5048" s="1" t="str">
        <f t="shared" si="1628"/>
        <v>正常订单</v>
      </c>
      <c r="I5048" s="1" t="str">
        <f t="shared" si="1629"/>
        <v>已发货</v>
      </c>
      <c r="J5048" s="1" t="str">
        <f t="shared" si="1642"/>
        <v>1</v>
      </c>
      <c r="K5048" s="1">
        <v>1</v>
      </c>
      <c r="L5048" s="1" t="s">
        <v>187</v>
      </c>
      <c r="M5048" s="1" t="str">
        <f>"吉林省 延边朝鲜族自治州 敦化市 "</f>
        <v xml:space="preserve">吉林省 延边朝鲜族自治州 敦化市 </v>
      </c>
      <c r="N5048" s="1" t="str">
        <f t="shared" si="1637"/>
        <v>凡华云仓-城南圆通-微信视频号</v>
      </c>
      <c r="O5048" s="5" t="s">
        <v>5073</v>
      </c>
      <c r="P5048" s="6">
        <v>0.12</v>
      </c>
      <c r="Q5048" s="11">
        <v>2</v>
      </c>
      <c r="R5048" s="11"/>
      <c r="S5048" s="11"/>
      <c r="T5048" s="11"/>
      <c r="U5048" s="11">
        <f t="shared" si="1625"/>
        <v>2</v>
      </c>
      <c r="W5048">
        <v>2.2000000000000002</v>
      </c>
      <c r="X5048" s="1" t="s">
        <v>187</v>
      </c>
    </row>
    <row r="5049" spans="1:24" x14ac:dyDescent="0.25">
      <c r="A5049" s="1" t="str">
        <f t="shared" si="1626"/>
        <v>卡卡杜-凤凰仓</v>
      </c>
      <c r="B5049" s="1" t="str">
        <f>"CK2024102018033"</f>
        <v>CK2024102018033</v>
      </c>
      <c r="C5049" s="1" t="str">
        <f>"DD2024102025263"</f>
        <v>DD2024102025263</v>
      </c>
      <c r="D5049" s="1" t="str">
        <f>"CK2024102025459"</f>
        <v>CK2024102025459</v>
      </c>
      <c r="E5049" s="1" t="str">
        <f>"3723426625322353920"</f>
        <v>3723426625322353920</v>
      </c>
      <c r="F5049" s="1" t="str">
        <f t="shared" si="1627"/>
        <v>花都四部-凤凰仓</v>
      </c>
      <c r="G5049" s="1" t="str">
        <f t="shared" si="1636"/>
        <v>卡卡杜企业店（视频号）</v>
      </c>
      <c r="H5049" s="1" t="str">
        <f t="shared" si="1628"/>
        <v>正常订单</v>
      </c>
      <c r="I5049" s="1" t="str">
        <f t="shared" si="1629"/>
        <v>已发货</v>
      </c>
      <c r="J5049" s="1" t="str">
        <f t="shared" si="1643"/>
        <v>2</v>
      </c>
      <c r="K5049" s="1">
        <v>1</v>
      </c>
      <c r="L5049" s="1" t="s">
        <v>32</v>
      </c>
      <c r="M5049" s="1" t="str">
        <f>"陕西省 西安市 雁塔区 "</f>
        <v xml:space="preserve">陕西省 西安市 雁塔区 </v>
      </c>
      <c r="N5049" s="1" t="str">
        <f t="shared" si="1637"/>
        <v>凡华云仓-城南圆通-微信视频号</v>
      </c>
      <c r="O5049" s="5" t="s">
        <v>5074</v>
      </c>
      <c r="P5049" s="6">
        <v>0.2</v>
      </c>
      <c r="Q5049" s="11">
        <v>2</v>
      </c>
      <c r="R5049" s="11"/>
      <c r="S5049" s="11"/>
      <c r="T5049" s="11"/>
      <c r="U5049" s="11">
        <f t="shared" si="1625"/>
        <v>2</v>
      </c>
      <c r="W5049">
        <v>2.2000000000000002</v>
      </c>
      <c r="X5049" s="1" t="s">
        <v>32</v>
      </c>
    </row>
    <row r="5050" spans="1:24" x14ac:dyDescent="0.25">
      <c r="A5050" s="1" t="str">
        <f t="shared" si="1626"/>
        <v>卡卡杜-凤凰仓</v>
      </c>
      <c r="B5050" s="1" t="str">
        <f>"CK2024102018039"</f>
        <v>CK2024102018039</v>
      </c>
      <c r="C5050" s="1" t="str">
        <f>"DD2024102025269"</f>
        <v>DD2024102025269</v>
      </c>
      <c r="D5050" s="1" t="str">
        <f>"CK2024102025458"</f>
        <v>CK2024102025458</v>
      </c>
      <c r="E5050" s="1" t="str">
        <f>"3723426578762437632"</f>
        <v>3723426578762437632</v>
      </c>
      <c r="F5050" s="1" t="str">
        <f t="shared" si="1627"/>
        <v>花都四部-凤凰仓</v>
      </c>
      <c r="G5050" s="1" t="str">
        <f t="shared" si="1636"/>
        <v>卡卡杜企业店（视频号）</v>
      </c>
      <c r="H5050" s="1" t="str">
        <f t="shared" si="1628"/>
        <v>正常订单</v>
      </c>
      <c r="I5050" s="1" t="str">
        <f t="shared" si="1629"/>
        <v>已发货</v>
      </c>
      <c r="J5050" s="1" t="str">
        <f t="shared" si="1642"/>
        <v>1</v>
      </c>
      <c r="K5050" s="1">
        <v>1</v>
      </c>
      <c r="L5050" s="1" t="s">
        <v>161</v>
      </c>
      <c r="M5050" s="1" t="str">
        <f>"四川省 成都市 成华区 "</f>
        <v xml:space="preserve">四川省 成都市 成华区 </v>
      </c>
      <c r="N5050" s="1" t="str">
        <f t="shared" si="1637"/>
        <v>凡华云仓-城南圆通-微信视频号</v>
      </c>
      <c r="O5050" s="5" t="s">
        <v>5075</v>
      </c>
      <c r="P5050" s="6">
        <v>0.12</v>
      </c>
      <c r="Q5050" s="11">
        <v>2</v>
      </c>
      <c r="R5050" s="11"/>
      <c r="S5050" s="11"/>
      <c r="T5050" s="11"/>
      <c r="U5050" s="11">
        <f t="shared" si="1625"/>
        <v>2</v>
      </c>
      <c r="W5050">
        <v>2.2000000000000002</v>
      </c>
      <c r="X5050" s="1" t="s">
        <v>161</v>
      </c>
    </row>
    <row r="5051" spans="1:24" x14ac:dyDescent="0.25">
      <c r="A5051" s="1" t="str">
        <f t="shared" si="1626"/>
        <v>卡卡杜-凤凰仓</v>
      </c>
      <c r="B5051" s="1" t="str">
        <f>"CK2024102018034"</f>
        <v>CK2024102018034</v>
      </c>
      <c r="C5051" s="1" t="str">
        <f>"DD2024102025267"</f>
        <v>DD2024102025267</v>
      </c>
      <c r="D5051" s="1" t="str">
        <f>"CK2024102025457"</f>
        <v>CK2024102025457</v>
      </c>
      <c r="E5051" s="1" t="str">
        <f>"3723426611239719936"</f>
        <v>3723426611239719936</v>
      </c>
      <c r="F5051" s="1" t="str">
        <f t="shared" si="1627"/>
        <v>花都四部-凤凰仓</v>
      </c>
      <c r="G5051" s="1" t="str">
        <f t="shared" si="1636"/>
        <v>卡卡杜企业店（视频号）</v>
      </c>
      <c r="H5051" s="1" t="str">
        <f t="shared" si="1628"/>
        <v>正常订单</v>
      </c>
      <c r="I5051" s="1" t="str">
        <f t="shared" si="1629"/>
        <v>已发货</v>
      </c>
      <c r="J5051" s="1" t="str">
        <f t="shared" si="1643"/>
        <v>2</v>
      </c>
      <c r="K5051" s="1">
        <v>1</v>
      </c>
      <c r="L5051" s="1" t="s">
        <v>16</v>
      </c>
      <c r="M5051" s="1" t="str">
        <f>"河北省 石家庄市 新华区 "</f>
        <v xml:space="preserve">河北省 石家庄市 新华区 </v>
      </c>
      <c r="N5051" s="1" t="str">
        <f t="shared" si="1637"/>
        <v>凡华云仓-城南圆通-微信视频号</v>
      </c>
      <c r="O5051" s="5" t="s">
        <v>5076</v>
      </c>
      <c r="P5051" s="6">
        <v>0.2</v>
      </c>
      <c r="Q5051" s="11">
        <v>2</v>
      </c>
      <c r="R5051" s="11"/>
      <c r="S5051" s="11"/>
      <c r="T5051" s="11"/>
      <c r="U5051" s="11">
        <f t="shared" si="1625"/>
        <v>2</v>
      </c>
      <c r="W5051">
        <v>2.2000000000000002</v>
      </c>
      <c r="X5051" s="1" t="s">
        <v>16</v>
      </c>
    </row>
    <row r="5052" spans="1:24" x14ac:dyDescent="0.25">
      <c r="A5052" s="1" t="str">
        <f t="shared" si="1626"/>
        <v>卡卡杜-凤凰仓</v>
      </c>
      <c r="B5052" s="1" t="str">
        <f>"CK2024102018035"</f>
        <v>CK2024102018035</v>
      </c>
      <c r="C5052" s="1" t="str">
        <f>"DD2024102025265"</f>
        <v>DD2024102025265</v>
      </c>
      <c r="D5052" s="1" t="str">
        <f>"CK2024102025456"</f>
        <v>CK2024102025456</v>
      </c>
      <c r="E5052" s="1" t="str">
        <f>"3723426609258169856"</f>
        <v>3723426609258169856</v>
      </c>
      <c r="F5052" s="1" t="str">
        <f t="shared" si="1627"/>
        <v>花都四部-凤凰仓</v>
      </c>
      <c r="G5052" s="1" t="str">
        <f t="shared" si="1636"/>
        <v>卡卡杜企业店（视频号）</v>
      </c>
      <c r="H5052" s="1" t="str">
        <f t="shared" si="1628"/>
        <v>正常订单</v>
      </c>
      <c r="I5052" s="1" t="str">
        <f t="shared" si="1629"/>
        <v>已发货</v>
      </c>
      <c r="J5052" s="1" t="str">
        <f t="shared" ref="J5052:J5055" si="1644">"1"</f>
        <v>1</v>
      </c>
      <c r="K5052" s="1">
        <v>1</v>
      </c>
      <c r="L5052" s="1" t="s">
        <v>161</v>
      </c>
      <c r="M5052" s="1" t="str">
        <f>"四川省 成都市 金牛区 "</f>
        <v xml:space="preserve">四川省 成都市 金牛区 </v>
      </c>
      <c r="N5052" s="1" t="str">
        <f t="shared" si="1637"/>
        <v>凡华云仓-城南圆通-微信视频号</v>
      </c>
      <c r="O5052" s="5" t="s">
        <v>5077</v>
      </c>
      <c r="P5052" s="6">
        <v>0.12</v>
      </c>
      <c r="Q5052" s="11">
        <v>2</v>
      </c>
      <c r="R5052" s="11"/>
      <c r="S5052" s="11"/>
      <c r="T5052" s="11"/>
      <c r="U5052" s="11">
        <f t="shared" si="1625"/>
        <v>2</v>
      </c>
      <c r="W5052">
        <v>2.2000000000000002</v>
      </c>
      <c r="X5052" s="1" t="s">
        <v>161</v>
      </c>
    </row>
    <row r="5053" spans="1:24" x14ac:dyDescent="0.25">
      <c r="A5053" s="1" t="str">
        <f t="shared" si="1626"/>
        <v>卡卡杜-凤凰仓</v>
      </c>
      <c r="B5053" s="1" t="str">
        <f>"CK2024102018042"</f>
        <v>CK2024102018042</v>
      </c>
      <c r="C5053" s="1" t="str">
        <f>"DD2024102025273"</f>
        <v>DD2024102025273</v>
      </c>
      <c r="D5053" s="1" t="str">
        <f>"CK2024102025455"</f>
        <v>CK2024102025455</v>
      </c>
      <c r="E5053" s="1" t="str">
        <f>"3723426479228720128"</f>
        <v>3723426479228720128</v>
      </c>
      <c r="F5053" s="1" t="str">
        <f t="shared" si="1627"/>
        <v>花都四部-凤凰仓</v>
      </c>
      <c r="G5053" s="1" t="str">
        <f t="shared" si="1636"/>
        <v>卡卡杜企业店（视频号）</v>
      </c>
      <c r="H5053" s="1" t="str">
        <f t="shared" si="1628"/>
        <v>正常订单</v>
      </c>
      <c r="I5053" s="1" t="str">
        <f t="shared" si="1629"/>
        <v>已发货</v>
      </c>
      <c r="J5053" s="1" t="str">
        <f t="shared" si="1644"/>
        <v>1</v>
      </c>
      <c r="K5053" s="1">
        <v>1</v>
      </c>
      <c r="L5053" s="1" t="s">
        <v>161</v>
      </c>
      <c r="M5053" s="1" t="str">
        <f>"四川省 成都市 郫都区 "</f>
        <v xml:space="preserve">四川省 成都市 郫都区 </v>
      </c>
      <c r="N5053" s="1" t="str">
        <f>"凡华云仓-竹料中通-微信视频号"</f>
        <v>凡华云仓-竹料中通-微信视频号</v>
      </c>
      <c r="O5053" s="5">
        <v>73613748470359</v>
      </c>
      <c r="P5053" s="6">
        <v>0.12</v>
      </c>
      <c r="Q5053" s="11">
        <v>2.2999999999999998</v>
      </c>
      <c r="R5053" s="11"/>
      <c r="S5053" s="11"/>
      <c r="T5053" s="11"/>
      <c r="U5053" s="11">
        <f t="shared" si="1625"/>
        <v>2.2999999999999998</v>
      </c>
      <c r="W5053">
        <v>2.5</v>
      </c>
      <c r="X5053" s="1" t="s">
        <v>161</v>
      </c>
    </row>
    <row r="5054" spans="1:24" x14ac:dyDescent="0.25">
      <c r="A5054" s="1" t="str">
        <f t="shared" si="1626"/>
        <v>卡卡杜-凤凰仓</v>
      </c>
      <c r="B5054" s="1" t="str">
        <f>"CK2024102018036"</f>
        <v>CK2024102018036</v>
      </c>
      <c r="C5054" s="1" t="str">
        <f>"DD2024102025266"</f>
        <v>DD2024102025266</v>
      </c>
      <c r="D5054" s="1" t="str">
        <f>"CK2024102025454"</f>
        <v>CK2024102025454</v>
      </c>
      <c r="E5054" s="1" t="str">
        <f>"3723426591022388224"</f>
        <v>3723426591022388224</v>
      </c>
      <c r="F5054" s="1" t="str">
        <f t="shared" si="1627"/>
        <v>花都四部-凤凰仓</v>
      </c>
      <c r="G5054" s="1" t="str">
        <f t="shared" si="1636"/>
        <v>卡卡杜企业店（视频号）</v>
      </c>
      <c r="H5054" s="1" t="str">
        <f t="shared" si="1628"/>
        <v>正常订单</v>
      </c>
      <c r="I5054" s="1" t="str">
        <f t="shared" si="1629"/>
        <v>已发货</v>
      </c>
      <c r="J5054" s="1" t="str">
        <f t="shared" ref="J5054:J5058" si="1645">"2"</f>
        <v>2</v>
      </c>
      <c r="K5054" s="1">
        <v>1</v>
      </c>
      <c r="L5054" s="1" t="s">
        <v>80</v>
      </c>
      <c r="M5054" s="1" t="str">
        <f>"河南省 新乡市 红旗区 "</f>
        <v xml:space="preserve">河南省 新乡市 红旗区 </v>
      </c>
      <c r="N5054" s="1" t="str">
        <f t="shared" ref="N5054:N5117" si="1646">"凡华云仓-城南圆通-微信视频号"</f>
        <v>凡华云仓-城南圆通-微信视频号</v>
      </c>
      <c r="O5054" s="5" t="s">
        <v>5078</v>
      </c>
      <c r="P5054" s="6">
        <v>0.2</v>
      </c>
      <c r="Q5054" s="11">
        <v>2</v>
      </c>
      <c r="R5054" s="11"/>
      <c r="S5054" s="11"/>
      <c r="T5054" s="11"/>
      <c r="U5054" s="11">
        <f t="shared" si="1625"/>
        <v>2</v>
      </c>
      <c r="W5054">
        <v>2.2000000000000002</v>
      </c>
      <c r="X5054" s="1" t="s">
        <v>80</v>
      </c>
    </row>
    <row r="5055" spans="1:24" x14ac:dyDescent="0.25">
      <c r="A5055" s="1" t="str">
        <f t="shared" si="1626"/>
        <v>卡卡杜-凤凰仓</v>
      </c>
      <c r="B5055" s="1" t="str">
        <f>"CK2024102018037"</f>
        <v>CK2024102018037</v>
      </c>
      <c r="C5055" s="1" t="str">
        <f>"DD2024102025268"</f>
        <v>DD2024102025268</v>
      </c>
      <c r="D5055" s="1" t="str">
        <f>"CK2024102025453"</f>
        <v>CK2024102025453</v>
      </c>
      <c r="E5055" s="1" t="str">
        <f>"3723426586640387072"</f>
        <v>3723426586640387072</v>
      </c>
      <c r="F5055" s="1" t="str">
        <f t="shared" si="1627"/>
        <v>花都四部-凤凰仓</v>
      </c>
      <c r="G5055" s="1" t="str">
        <f t="shared" si="1636"/>
        <v>卡卡杜企业店（视频号）</v>
      </c>
      <c r="H5055" s="1" t="str">
        <f t="shared" si="1628"/>
        <v>正常订单</v>
      </c>
      <c r="I5055" s="1" t="str">
        <f t="shared" si="1629"/>
        <v>已发货</v>
      </c>
      <c r="J5055" s="1" t="str">
        <f t="shared" si="1644"/>
        <v>1</v>
      </c>
      <c r="K5055" s="1">
        <v>1</v>
      </c>
      <c r="L5055" s="1" t="s">
        <v>24</v>
      </c>
      <c r="M5055" s="1" t="str">
        <f>"福建省 福州市 仓山区 "</f>
        <v xml:space="preserve">福建省 福州市 仓山区 </v>
      </c>
      <c r="N5055" s="1" t="str">
        <f t="shared" si="1646"/>
        <v>凡华云仓-城南圆通-微信视频号</v>
      </c>
      <c r="O5055" s="5" t="s">
        <v>5079</v>
      </c>
      <c r="P5055" s="6">
        <v>0.12</v>
      </c>
      <c r="Q5055" s="11">
        <v>2</v>
      </c>
      <c r="R5055" s="11"/>
      <c r="S5055" s="11"/>
      <c r="T5055" s="11"/>
      <c r="U5055" s="11">
        <f t="shared" si="1625"/>
        <v>2</v>
      </c>
      <c r="W5055">
        <v>2.2000000000000002</v>
      </c>
      <c r="X5055" s="1" t="s">
        <v>24</v>
      </c>
    </row>
    <row r="5056" spans="1:24" x14ac:dyDescent="0.25">
      <c r="A5056" s="1" t="str">
        <f t="shared" si="1626"/>
        <v>卡卡杜-凤凰仓</v>
      </c>
      <c r="B5056" s="1" t="str">
        <f>"CK2024102018038"</f>
        <v>CK2024102018038</v>
      </c>
      <c r="C5056" s="1" t="str">
        <f>"DD2024102025270"</f>
        <v>DD2024102025270</v>
      </c>
      <c r="D5056" s="1" t="str">
        <f>"CK2024102025452"</f>
        <v>CK2024102025452</v>
      </c>
      <c r="E5056" s="1" t="str">
        <f>"3723426586838568960"</f>
        <v>3723426586838568960</v>
      </c>
      <c r="F5056" s="1" t="str">
        <f t="shared" si="1627"/>
        <v>花都四部-凤凰仓</v>
      </c>
      <c r="G5056" s="1" t="str">
        <f t="shared" si="1636"/>
        <v>卡卡杜企业店（视频号）</v>
      </c>
      <c r="H5056" s="1" t="str">
        <f t="shared" si="1628"/>
        <v>正常订单</v>
      </c>
      <c r="I5056" s="1" t="str">
        <f t="shared" si="1629"/>
        <v>已发货</v>
      </c>
      <c r="J5056" s="1" t="str">
        <f t="shared" si="1645"/>
        <v>2</v>
      </c>
      <c r="K5056" s="1">
        <v>1</v>
      </c>
      <c r="L5056" s="1" t="s">
        <v>13</v>
      </c>
      <c r="M5056" s="1" t="str">
        <f>"江苏省 常州市 钟楼区 "</f>
        <v xml:space="preserve">江苏省 常州市 钟楼区 </v>
      </c>
      <c r="N5056" s="1" t="str">
        <f t="shared" si="1646"/>
        <v>凡华云仓-城南圆通-微信视频号</v>
      </c>
      <c r="O5056" s="5" t="s">
        <v>5080</v>
      </c>
      <c r="P5056" s="6">
        <v>0.2</v>
      </c>
      <c r="Q5056" s="11">
        <v>2</v>
      </c>
      <c r="R5056" s="11"/>
      <c r="S5056" s="11"/>
      <c r="T5056" s="11"/>
      <c r="U5056" s="11">
        <f t="shared" si="1625"/>
        <v>2</v>
      </c>
      <c r="W5056">
        <v>2.2000000000000002</v>
      </c>
      <c r="X5056" s="1" t="s">
        <v>13</v>
      </c>
    </row>
    <row r="5057" spans="1:24" x14ac:dyDescent="0.25">
      <c r="A5057" s="1" t="str">
        <f t="shared" si="1626"/>
        <v>卡卡杜-凤凰仓</v>
      </c>
      <c r="B5057" s="1" t="str">
        <f>"CK2024102018040"</f>
        <v>CK2024102018040</v>
      </c>
      <c r="C5057" s="1" t="str">
        <f>"DD2024102025272"</f>
        <v>DD2024102025272</v>
      </c>
      <c r="D5057" s="1" t="str">
        <f>"CK2024102025451"</f>
        <v>CK2024102025451</v>
      </c>
      <c r="E5057" s="1" t="str">
        <f>"3723426578042328064"</f>
        <v>3723426578042328064</v>
      </c>
      <c r="F5057" s="1" t="str">
        <f t="shared" si="1627"/>
        <v>花都四部-凤凰仓</v>
      </c>
      <c r="G5057" s="1" t="str">
        <f t="shared" si="1636"/>
        <v>卡卡杜企业店（视频号）</v>
      </c>
      <c r="H5057" s="1" t="str">
        <f t="shared" si="1628"/>
        <v>正常订单</v>
      </c>
      <c r="I5057" s="1" t="str">
        <f t="shared" si="1629"/>
        <v>已发货</v>
      </c>
      <c r="J5057" s="1" t="str">
        <f t="shared" ref="J5057:J5066" si="1647">"1"</f>
        <v>1</v>
      </c>
      <c r="K5057" s="1">
        <v>1</v>
      </c>
      <c r="L5057" s="1" t="s">
        <v>30</v>
      </c>
      <c r="M5057" s="1" t="str">
        <f>"山东省 烟台市 蓬莱区 "</f>
        <v xml:space="preserve">山东省 烟台市 蓬莱区 </v>
      </c>
      <c r="N5057" s="1" t="str">
        <f t="shared" si="1646"/>
        <v>凡华云仓-城南圆通-微信视频号</v>
      </c>
      <c r="O5057" s="5" t="s">
        <v>5081</v>
      </c>
      <c r="P5057" s="6">
        <v>0.12</v>
      </c>
      <c r="Q5057" s="11">
        <v>2</v>
      </c>
      <c r="R5057" s="11"/>
      <c r="S5057" s="11"/>
      <c r="T5057" s="11"/>
      <c r="U5057" s="11">
        <f t="shared" si="1625"/>
        <v>2</v>
      </c>
      <c r="W5057">
        <v>2.2000000000000002</v>
      </c>
      <c r="X5057" s="1" t="s">
        <v>30</v>
      </c>
    </row>
    <row r="5058" spans="1:24" x14ac:dyDescent="0.25">
      <c r="A5058" s="1" t="str">
        <f t="shared" si="1626"/>
        <v>卡卡杜-凤凰仓</v>
      </c>
      <c r="B5058" s="1" t="str">
        <f>"CK2024102018044"</f>
        <v>CK2024102018044</v>
      </c>
      <c r="C5058" s="1" t="str">
        <f>"DD2024102025275"</f>
        <v>DD2024102025275</v>
      </c>
      <c r="D5058" s="1" t="str">
        <f>"CK2024102025450"</f>
        <v>CK2024102025450</v>
      </c>
      <c r="E5058" s="1" t="str">
        <f>"3723426476886197760"</f>
        <v>3723426476886197760</v>
      </c>
      <c r="F5058" s="1" t="str">
        <f t="shared" si="1627"/>
        <v>花都四部-凤凰仓</v>
      </c>
      <c r="G5058" s="1" t="str">
        <f t="shared" si="1636"/>
        <v>卡卡杜企业店（视频号）</v>
      </c>
      <c r="H5058" s="1" t="str">
        <f t="shared" si="1628"/>
        <v>正常订单</v>
      </c>
      <c r="I5058" s="1" t="str">
        <f t="shared" si="1629"/>
        <v>已发货</v>
      </c>
      <c r="J5058" s="1" t="str">
        <f t="shared" si="1645"/>
        <v>2</v>
      </c>
      <c r="K5058" s="1">
        <v>1</v>
      </c>
      <c r="L5058" s="1" t="s">
        <v>92</v>
      </c>
      <c r="M5058" s="1" t="str">
        <f>"辽宁省 本溪市 明山区 "</f>
        <v xml:space="preserve">辽宁省 本溪市 明山区 </v>
      </c>
      <c r="N5058" s="1" t="str">
        <f t="shared" si="1646"/>
        <v>凡华云仓-城南圆通-微信视频号</v>
      </c>
      <c r="O5058" s="5" t="s">
        <v>5082</v>
      </c>
      <c r="P5058" s="6">
        <v>0.2</v>
      </c>
      <c r="Q5058" s="11">
        <v>2</v>
      </c>
      <c r="R5058" s="11"/>
      <c r="S5058" s="11"/>
      <c r="T5058" s="11"/>
      <c r="U5058" s="11">
        <f t="shared" si="1625"/>
        <v>2</v>
      </c>
      <c r="W5058">
        <v>2.2000000000000002</v>
      </c>
      <c r="X5058" s="1" t="s">
        <v>92</v>
      </c>
    </row>
    <row r="5059" spans="1:24" x14ac:dyDescent="0.25">
      <c r="A5059" s="1" t="str">
        <f t="shared" si="1626"/>
        <v>卡卡杜-凤凰仓</v>
      </c>
      <c r="B5059" s="1" t="str">
        <f>"CK2024102018041"</f>
        <v>CK2024102018041</v>
      </c>
      <c r="C5059" s="1" t="str">
        <f>"DD2024102025271"</f>
        <v>DD2024102025271</v>
      </c>
      <c r="D5059" s="1" t="str">
        <f>"CK2024102025449"</f>
        <v>CK2024102025449</v>
      </c>
      <c r="E5059" s="1" t="str">
        <f>"3723426498159707392"</f>
        <v>3723426498159707392</v>
      </c>
      <c r="F5059" s="1" t="str">
        <f t="shared" si="1627"/>
        <v>花都四部-凤凰仓</v>
      </c>
      <c r="G5059" s="1" t="str">
        <f t="shared" si="1636"/>
        <v>卡卡杜企业店（视频号）</v>
      </c>
      <c r="H5059" s="1" t="str">
        <f t="shared" si="1628"/>
        <v>正常订单</v>
      </c>
      <c r="I5059" s="1" t="str">
        <f t="shared" si="1629"/>
        <v>已发货</v>
      </c>
      <c r="J5059" s="1" t="str">
        <f>"5"</f>
        <v>5</v>
      </c>
      <c r="K5059" s="1">
        <v>3</v>
      </c>
      <c r="L5059" s="1" t="s">
        <v>109</v>
      </c>
      <c r="M5059" s="1" t="str">
        <f>"山西省 太原市 小店区 "</f>
        <v xml:space="preserve">山西省 太原市 小店区 </v>
      </c>
      <c r="N5059" s="1" t="str">
        <f t="shared" si="1646"/>
        <v>凡华云仓-城南圆通-微信视频号</v>
      </c>
      <c r="O5059" s="5" t="s">
        <v>5083</v>
      </c>
      <c r="P5059" s="6">
        <v>0.56000000000000005</v>
      </c>
      <c r="Q5059" s="11">
        <f>CEILING(P5059-0.5,0.1)*10*0.15+2.3</f>
        <v>2.4499999999999997</v>
      </c>
      <c r="R5059" s="11"/>
      <c r="S5059" s="11"/>
      <c r="T5059" s="11"/>
      <c r="U5059" s="11">
        <f t="shared" ref="U5059:U5122" si="1648">T5059+S5059+R5059+Q5059</f>
        <v>2.4499999999999997</v>
      </c>
      <c r="V5059" t="s">
        <v>15</v>
      </c>
      <c r="W5059">
        <v>2.4500000000000002</v>
      </c>
      <c r="X5059" s="1" t="s">
        <v>109</v>
      </c>
    </row>
    <row r="5060" spans="1:24" x14ac:dyDescent="0.25">
      <c r="A5060" s="1" t="str">
        <f t="shared" si="1626"/>
        <v>卡卡杜-凤凰仓</v>
      </c>
      <c r="B5060" s="1" t="str">
        <f>"CK2024102018050"</f>
        <v>CK2024102018050</v>
      </c>
      <c r="C5060" s="1" t="str">
        <f>"DD2024102025281"</f>
        <v>DD2024102025281</v>
      </c>
      <c r="D5060" s="1" t="str">
        <f>"CK2024102025448"</f>
        <v>CK2024102025448</v>
      </c>
      <c r="E5060" s="1" t="str">
        <f>"3723426381856902144"</f>
        <v>3723426381856902144</v>
      </c>
      <c r="F5060" s="1" t="str">
        <f t="shared" si="1627"/>
        <v>花都四部-凤凰仓</v>
      </c>
      <c r="G5060" s="1" t="str">
        <f t="shared" si="1636"/>
        <v>卡卡杜企业店（视频号）</v>
      </c>
      <c r="H5060" s="1" t="str">
        <f t="shared" si="1628"/>
        <v>正常订单</v>
      </c>
      <c r="I5060" s="1" t="str">
        <f t="shared" si="1629"/>
        <v>已发货</v>
      </c>
      <c r="J5060" s="1" t="str">
        <f t="shared" si="1647"/>
        <v>1</v>
      </c>
      <c r="K5060" s="1">
        <v>1</v>
      </c>
      <c r="L5060" s="1" t="s">
        <v>105</v>
      </c>
      <c r="M5060" s="1" t="str">
        <f>"北京 北京市 海淀区 "</f>
        <v xml:space="preserve">北京 北京市 海淀区 </v>
      </c>
      <c r="N5060" s="1" t="str">
        <f t="shared" si="1646"/>
        <v>凡华云仓-城南圆通-微信视频号</v>
      </c>
      <c r="O5060" s="5" t="s">
        <v>5084</v>
      </c>
      <c r="P5060" s="6">
        <v>0.12</v>
      </c>
      <c r="Q5060" s="11">
        <v>2</v>
      </c>
      <c r="R5060" s="11"/>
      <c r="S5060" s="11"/>
      <c r="T5060" s="11"/>
      <c r="U5060" s="11">
        <f t="shared" si="1648"/>
        <v>2</v>
      </c>
      <c r="W5060">
        <v>2.2000000000000002</v>
      </c>
      <c r="X5060" s="1" t="s">
        <v>105</v>
      </c>
    </row>
    <row r="5061" spans="1:24" x14ac:dyDescent="0.25">
      <c r="A5061" s="1" t="str">
        <f t="shared" ref="A5061:A5124" si="1649">"卡卡杜-凤凰仓"</f>
        <v>卡卡杜-凤凰仓</v>
      </c>
      <c r="B5061" s="1" t="str">
        <f>"CK2024102018045"</f>
        <v>CK2024102018045</v>
      </c>
      <c r="C5061" s="1" t="str">
        <f>"DD2024102025276"</f>
        <v>DD2024102025276</v>
      </c>
      <c r="D5061" s="1" t="str">
        <f>"CK2024102025447"</f>
        <v>CK2024102025447</v>
      </c>
      <c r="E5061" s="1" t="str">
        <f>"3723426471393494272"</f>
        <v>3723426471393494272</v>
      </c>
      <c r="F5061" s="1" t="str">
        <f t="shared" ref="F5061:F5124" si="1650">"花都四部-凤凰仓"</f>
        <v>花都四部-凤凰仓</v>
      </c>
      <c r="G5061" s="1" t="str">
        <f t="shared" si="1636"/>
        <v>卡卡杜企业店（视频号）</v>
      </c>
      <c r="H5061" s="1" t="str">
        <f t="shared" ref="H5061:H5124" si="1651">"正常订单"</f>
        <v>正常订单</v>
      </c>
      <c r="I5061" s="1" t="str">
        <f t="shared" ref="I5061:I5124" si="1652">"已发货"</f>
        <v>已发货</v>
      </c>
      <c r="J5061" s="1" t="str">
        <f t="shared" si="1647"/>
        <v>1</v>
      </c>
      <c r="K5061" s="1">
        <v>1</v>
      </c>
      <c r="L5061" s="1" t="s">
        <v>32</v>
      </c>
      <c r="M5061" s="1" t="str">
        <f>"陕西省 西安市 灞桥区 "</f>
        <v xml:space="preserve">陕西省 西安市 灞桥区 </v>
      </c>
      <c r="N5061" s="1" t="str">
        <f t="shared" si="1646"/>
        <v>凡华云仓-城南圆通-微信视频号</v>
      </c>
      <c r="O5061" s="5" t="s">
        <v>5085</v>
      </c>
      <c r="P5061" s="6">
        <v>0.12</v>
      </c>
      <c r="Q5061" s="11">
        <v>2</v>
      </c>
      <c r="R5061" s="11"/>
      <c r="S5061" s="11"/>
      <c r="T5061" s="11"/>
      <c r="U5061" s="11">
        <f t="shared" si="1648"/>
        <v>2</v>
      </c>
      <c r="W5061">
        <v>2.2000000000000002</v>
      </c>
      <c r="X5061" s="1" t="s">
        <v>32</v>
      </c>
    </row>
    <row r="5062" spans="1:24" x14ac:dyDescent="0.25">
      <c r="A5062" s="1" t="str">
        <f t="shared" si="1649"/>
        <v>卡卡杜-凤凰仓</v>
      </c>
      <c r="B5062" s="1" t="str">
        <f>"CK2024102018046"</f>
        <v>CK2024102018046</v>
      </c>
      <c r="C5062" s="1" t="str">
        <f>"DD2024102025277"</f>
        <v>DD2024102025277</v>
      </c>
      <c r="D5062" s="1" t="str">
        <f>"CK2024102025446"</f>
        <v>CK2024102025446</v>
      </c>
      <c r="E5062" s="1" t="str">
        <f>"3723426448179596288"</f>
        <v>3723426448179596288</v>
      </c>
      <c r="F5062" s="1" t="str">
        <f t="shared" si="1650"/>
        <v>花都四部-凤凰仓</v>
      </c>
      <c r="G5062" s="1" t="str">
        <f t="shared" si="1636"/>
        <v>卡卡杜企业店（视频号）</v>
      </c>
      <c r="H5062" s="1" t="str">
        <f t="shared" si="1651"/>
        <v>正常订单</v>
      </c>
      <c r="I5062" s="1" t="str">
        <f t="shared" si="1652"/>
        <v>已发货</v>
      </c>
      <c r="J5062" s="1" t="str">
        <f t="shared" si="1647"/>
        <v>1</v>
      </c>
      <c r="K5062" s="1">
        <v>1</v>
      </c>
      <c r="L5062" s="1" t="s">
        <v>44</v>
      </c>
      <c r="M5062" s="1" t="str">
        <f>"海南省 海口市 美兰区 "</f>
        <v xml:space="preserve">海南省 海口市 美兰区 </v>
      </c>
      <c r="N5062" s="1" t="str">
        <f t="shared" si="1646"/>
        <v>凡华云仓-城南圆通-微信视频号</v>
      </c>
      <c r="O5062" s="5" t="s">
        <v>5086</v>
      </c>
      <c r="P5062" s="6">
        <v>0.12</v>
      </c>
      <c r="Q5062" s="11">
        <v>2</v>
      </c>
      <c r="R5062" s="11"/>
      <c r="S5062" s="11"/>
      <c r="T5062" s="11"/>
      <c r="U5062" s="11">
        <f t="shared" si="1648"/>
        <v>2</v>
      </c>
      <c r="W5062">
        <v>2.2000000000000002</v>
      </c>
      <c r="X5062" s="1" t="s">
        <v>44</v>
      </c>
    </row>
    <row r="5063" spans="1:24" x14ac:dyDescent="0.25">
      <c r="A5063" s="1" t="str">
        <f t="shared" si="1649"/>
        <v>卡卡杜-凤凰仓</v>
      </c>
      <c r="B5063" s="1" t="str">
        <f>"CK2024102018047"</f>
        <v>CK2024102018047</v>
      </c>
      <c r="C5063" s="1" t="str">
        <f>"DD2024102025278"</f>
        <v>DD2024102025278</v>
      </c>
      <c r="D5063" s="1" t="str">
        <f>"CK2024102025445"</f>
        <v>CK2024102025445</v>
      </c>
      <c r="E5063" s="1" t="str">
        <f>"3723426405196367104"</f>
        <v>3723426405196367104</v>
      </c>
      <c r="F5063" s="1" t="str">
        <f t="shared" si="1650"/>
        <v>花都四部-凤凰仓</v>
      </c>
      <c r="G5063" s="1" t="str">
        <f t="shared" si="1636"/>
        <v>卡卡杜企业店（视频号）</v>
      </c>
      <c r="H5063" s="1" t="str">
        <f t="shared" si="1651"/>
        <v>正常订单</v>
      </c>
      <c r="I5063" s="1" t="str">
        <f t="shared" si="1652"/>
        <v>已发货</v>
      </c>
      <c r="J5063" s="1" t="str">
        <f t="shared" si="1647"/>
        <v>1</v>
      </c>
      <c r="K5063" s="1">
        <v>1</v>
      </c>
      <c r="L5063" s="1" t="s">
        <v>27</v>
      </c>
      <c r="M5063" s="1" t="str">
        <f>"贵州省 贵阳市 云岩区 "</f>
        <v xml:space="preserve">贵州省 贵阳市 云岩区 </v>
      </c>
      <c r="N5063" s="1" t="str">
        <f t="shared" si="1646"/>
        <v>凡华云仓-城南圆通-微信视频号</v>
      </c>
      <c r="O5063" s="5" t="s">
        <v>5087</v>
      </c>
      <c r="P5063" s="6">
        <v>0.12</v>
      </c>
      <c r="Q5063" s="11">
        <v>2</v>
      </c>
      <c r="R5063" s="11"/>
      <c r="S5063" s="11"/>
      <c r="T5063" s="11"/>
      <c r="U5063" s="11">
        <f t="shared" si="1648"/>
        <v>2</v>
      </c>
      <c r="W5063">
        <v>2.2000000000000002</v>
      </c>
      <c r="X5063" s="1" t="s">
        <v>27</v>
      </c>
    </row>
    <row r="5064" spans="1:24" x14ac:dyDescent="0.25">
      <c r="A5064" s="1" t="str">
        <f t="shared" si="1649"/>
        <v>卡卡杜-凤凰仓</v>
      </c>
      <c r="B5064" s="1" t="str">
        <f>"CK2024102018048"</f>
        <v>CK2024102018048</v>
      </c>
      <c r="C5064" s="1" t="str">
        <f>"DD2024102025279"</f>
        <v>DD2024102025279</v>
      </c>
      <c r="D5064" s="1" t="str">
        <f>"CK2024102025444"</f>
        <v>CK2024102025444</v>
      </c>
      <c r="E5064" s="1" t="str">
        <f>"3723426376323040512"</f>
        <v>3723426376323040512</v>
      </c>
      <c r="F5064" s="1" t="str">
        <f t="shared" si="1650"/>
        <v>花都四部-凤凰仓</v>
      </c>
      <c r="G5064" s="1" t="str">
        <f t="shared" si="1636"/>
        <v>卡卡杜企业店（视频号）</v>
      </c>
      <c r="H5064" s="1" t="str">
        <f t="shared" si="1651"/>
        <v>正常订单</v>
      </c>
      <c r="I5064" s="1" t="str">
        <f t="shared" si="1652"/>
        <v>已发货</v>
      </c>
      <c r="J5064" s="1" t="str">
        <f t="shared" si="1647"/>
        <v>1</v>
      </c>
      <c r="K5064" s="1">
        <v>1</v>
      </c>
      <c r="L5064" s="1" t="s">
        <v>41</v>
      </c>
      <c r="M5064" s="1" t="str">
        <f>"湖北省 十堰市 茅箭区 "</f>
        <v xml:space="preserve">湖北省 十堰市 茅箭区 </v>
      </c>
      <c r="N5064" s="1" t="str">
        <f t="shared" si="1646"/>
        <v>凡华云仓-城南圆通-微信视频号</v>
      </c>
      <c r="O5064" s="5" t="s">
        <v>5088</v>
      </c>
      <c r="P5064" s="6">
        <v>0.12</v>
      </c>
      <c r="Q5064" s="11">
        <v>2</v>
      </c>
      <c r="R5064" s="11"/>
      <c r="S5064" s="11"/>
      <c r="T5064" s="11"/>
      <c r="U5064" s="11">
        <f t="shared" si="1648"/>
        <v>2</v>
      </c>
      <c r="W5064">
        <v>2.2000000000000002</v>
      </c>
      <c r="X5064" s="1" t="s">
        <v>41</v>
      </c>
    </row>
    <row r="5065" spans="1:24" x14ac:dyDescent="0.25">
      <c r="A5065" s="1" t="str">
        <f t="shared" si="1649"/>
        <v>卡卡杜-凤凰仓</v>
      </c>
      <c r="B5065" s="1" t="str">
        <f>"CK2024102018049"</f>
        <v>CK2024102018049</v>
      </c>
      <c r="C5065" s="1" t="str">
        <f>"DD2024102025280"</f>
        <v>DD2024102025280</v>
      </c>
      <c r="D5065" s="1" t="str">
        <f>"CK2024102025443"</f>
        <v>CK2024102025443</v>
      </c>
      <c r="E5065" s="1" t="str">
        <f>"3723426389942732032"</f>
        <v>3723426389942732032</v>
      </c>
      <c r="F5065" s="1" t="str">
        <f t="shared" si="1650"/>
        <v>花都四部-凤凰仓</v>
      </c>
      <c r="G5065" s="1" t="str">
        <f t="shared" si="1636"/>
        <v>卡卡杜企业店（视频号）</v>
      </c>
      <c r="H5065" s="1" t="str">
        <f t="shared" si="1651"/>
        <v>正常订单</v>
      </c>
      <c r="I5065" s="1" t="str">
        <f t="shared" si="1652"/>
        <v>已发货</v>
      </c>
      <c r="J5065" s="1" t="str">
        <f t="shared" si="1647"/>
        <v>1</v>
      </c>
      <c r="K5065" s="1">
        <v>1</v>
      </c>
      <c r="L5065" s="1" t="s">
        <v>74</v>
      </c>
      <c r="M5065" s="1" t="str">
        <f>"上海 上海市 宝山区 "</f>
        <v xml:space="preserve">上海 上海市 宝山区 </v>
      </c>
      <c r="N5065" s="1" t="str">
        <f t="shared" si="1646"/>
        <v>凡华云仓-城南圆通-微信视频号</v>
      </c>
      <c r="O5065" s="5" t="s">
        <v>5089</v>
      </c>
      <c r="P5065" s="6">
        <v>0.12</v>
      </c>
      <c r="Q5065" s="11">
        <v>2</v>
      </c>
      <c r="R5065" s="11"/>
      <c r="S5065" s="11"/>
      <c r="T5065" s="11"/>
      <c r="U5065" s="11">
        <f t="shared" si="1648"/>
        <v>2</v>
      </c>
      <c r="W5065">
        <v>2.2000000000000002</v>
      </c>
      <c r="X5065" s="1" t="s">
        <v>74</v>
      </c>
    </row>
    <row r="5066" spans="1:24" x14ac:dyDescent="0.25">
      <c r="A5066" s="1" t="str">
        <f t="shared" si="1649"/>
        <v>卡卡杜-凤凰仓</v>
      </c>
      <c r="B5066" s="1" t="str">
        <f>"CK2024102018051"</f>
        <v>CK2024102018051</v>
      </c>
      <c r="C5066" s="1" t="str">
        <f>"DD2024102025282"</f>
        <v>DD2024102025282</v>
      </c>
      <c r="D5066" s="1" t="str">
        <f>"CK2024102025442"</f>
        <v>CK2024102025442</v>
      </c>
      <c r="E5066" s="1" t="str">
        <f>"3723426375516427264"</f>
        <v>3723426375516427264</v>
      </c>
      <c r="F5066" s="1" t="str">
        <f t="shared" si="1650"/>
        <v>花都四部-凤凰仓</v>
      </c>
      <c r="G5066" s="1" t="str">
        <f t="shared" si="1636"/>
        <v>卡卡杜企业店（视频号）</v>
      </c>
      <c r="H5066" s="1" t="str">
        <f t="shared" si="1651"/>
        <v>正常订单</v>
      </c>
      <c r="I5066" s="1" t="str">
        <f t="shared" si="1652"/>
        <v>已发货</v>
      </c>
      <c r="J5066" s="1" t="str">
        <f t="shared" si="1647"/>
        <v>1</v>
      </c>
      <c r="K5066" s="1">
        <v>1</v>
      </c>
      <c r="L5066" s="1" t="s">
        <v>13</v>
      </c>
      <c r="M5066" s="1" t="str">
        <f>"江苏省 南京市 鼓楼区 "</f>
        <v xml:space="preserve">江苏省 南京市 鼓楼区 </v>
      </c>
      <c r="N5066" s="1" t="str">
        <f t="shared" si="1646"/>
        <v>凡华云仓-城南圆通-微信视频号</v>
      </c>
      <c r="O5066" s="5" t="s">
        <v>5090</v>
      </c>
      <c r="P5066" s="6">
        <v>0.12</v>
      </c>
      <c r="Q5066" s="11">
        <v>2</v>
      </c>
      <c r="R5066" s="11"/>
      <c r="S5066" s="11"/>
      <c r="T5066" s="11"/>
      <c r="U5066" s="11">
        <f t="shared" si="1648"/>
        <v>2</v>
      </c>
      <c r="W5066">
        <v>2.2000000000000002</v>
      </c>
      <c r="X5066" s="1" t="s">
        <v>13</v>
      </c>
    </row>
    <row r="5067" spans="1:24" x14ac:dyDescent="0.25">
      <c r="A5067" s="1" t="str">
        <f t="shared" si="1649"/>
        <v>卡卡杜-凤凰仓</v>
      </c>
      <c r="B5067" s="1" t="str">
        <f>"CK2024102018052"</f>
        <v>CK2024102018052</v>
      </c>
      <c r="C5067" s="1" t="str">
        <f>"DD2024102025283"</f>
        <v>DD2024102025283</v>
      </c>
      <c r="D5067" s="1" t="str">
        <f>"CK2024102025441"</f>
        <v>CK2024102025441</v>
      </c>
      <c r="E5067" s="1" t="str">
        <f>"3723426369852281856"</f>
        <v>3723426369852281856</v>
      </c>
      <c r="F5067" s="1" t="str">
        <f t="shared" si="1650"/>
        <v>花都四部-凤凰仓</v>
      </c>
      <c r="G5067" s="1" t="str">
        <f t="shared" si="1636"/>
        <v>卡卡杜企业店（视频号）</v>
      </c>
      <c r="H5067" s="1" t="str">
        <f t="shared" si="1651"/>
        <v>正常订单</v>
      </c>
      <c r="I5067" s="1" t="str">
        <f t="shared" si="1652"/>
        <v>已发货</v>
      </c>
      <c r="J5067" s="1" t="str">
        <f t="shared" ref="J5067:J5069" si="1653">"3"</f>
        <v>3</v>
      </c>
      <c r="K5067" s="1">
        <v>3</v>
      </c>
      <c r="L5067" s="1" t="s">
        <v>47</v>
      </c>
      <c r="M5067" s="1" t="str">
        <f>"重庆 重庆市 九龙坡区 "</f>
        <v xml:space="preserve">重庆 重庆市 九龙坡区 </v>
      </c>
      <c r="N5067" s="1" t="str">
        <f t="shared" si="1646"/>
        <v>凡华云仓-城南圆通-微信视频号</v>
      </c>
      <c r="O5067" s="5" t="s">
        <v>5091</v>
      </c>
      <c r="P5067" s="6">
        <v>0.34</v>
      </c>
      <c r="Q5067" s="11">
        <v>2.2999999999999998</v>
      </c>
      <c r="R5067" s="11"/>
      <c r="S5067" s="11"/>
      <c r="T5067" s="11"/>
      <c r="U5067" s="11">
        <f t="shared" si="1648"/>
        <v>2.2999999999999998</v>
      </c>
      <c r="W5067">
        <v>2.5</v>
      </c>
      <c r="X5067" s="1" t="s">
        <v>47</v>
      </c>
    </row>
    <row r="5068" spans="1:24" x14ac:dyDescent="0.25">
      <c r="A5068" s="1" t="str">
        <f t="shared" si="1649"/>
        <v>卡卡杜-凤凰仓</v>
      </c>
      <c r="B5068" s="1" t="str">
        <f>"CK2024102018053"</f>
        <v>CK2024102018053</v>
      </c>
      <c r="C5068" s="1" t="str">
        <f>"DD2024102025288"</f>
        <v>DD2024102025288</v>
      </c>
      <c r="D5068" s="1" t="str">
        <f>"CK2024102025440"</f>
        <v>CK2024102025440</v>
      </c>
      <c r="E5068" s="1" t="str">
        <f>"3723426372575955968"</f>
        <v>3723426372575955968</v>
      </c>
      <c r="F5068" s="1" t="str">
        <f t="shared" si="1650"/>
        <v>花都四部-凤凰仓</v>
      </c>
      <c r="G5068" s="1" t="str">
        <f t="shared" si="1636"/>
        <v>卡卡杜企业店（视频号）</v>
      </c>
      <c r="H5068" s="1" t="str">
        <f t="shared" si="1651"/>
        <v>正常订单</v>
      </c>
      <c r="I5068" s="1" t="str">
        <f t="shared" si="1652"/>
        <v>已发货</v>
      </c>
      <c r="J5068" s="1" t="str">
        <f t="shared" si="1653"/>
        <v>3</v>
      </c>
      <c r="K5068" s="1">
        <v>3</v>
      </c>
      <c r="L5068" s="1" t="s">
        <v>74</v>
      </c>
      <c r="M5068" s="1" t="str">
        <f>"上海 上海市 闵行区 "</f>
        <v xml:space="preserve">上海 上海市 闵行区 </v>
      </c>
      <c r="N5068" s="1" t="str">
        <f t="shared" si="1646"/>
        <v>凡华云仓-城南圆通-微信视频号</v>
      </c>
      <c r="O5068" s="5" t="s">
        <v>5092</v>
      </c>
      <c r="P5068" s="6">
        <v>0.34</v>
      </c>
      <c r="Q5068" s="11">
        <v>2.2999999999999998</v>
      </c>
      <c r="R5068" s="11"/>
      <c r="S5068" s="11"/>
      <c r="T5068" s="11"/>
      <c r="U5068" s="11">
        <f t="shared" si="1648"/>
        <v>2.2999999999999998</v>
      </c>
      <c r="W5068">
        <v>2.5</v>
      </c>
      <c r="X5068" s="1" t="s">
        <v>74</v>
      </c>
    </row>
    <row r="5069" spans="1:24" x14ac:dyDescent="0.25">
      <c r="A5069" s="1" t="str">
        <f t="shared" si="1649"/>
        <v>卡卡杜-凤凰仓</v>
      </c>
      <c r="B5069" s="1" t="str">
        <f>"CK2024102018054"</f>
        <v>CK2024102018054</v>
      </c>
      <c r="C5069" s="1" t="str">
        <f>"DD2024102025284"</f>
        <v>DD2024102025284</v>
      </c>
      <c r="D5069" s="1" t="str">
        <f>"CK2024102025439"</f>
        <v>CK2024102025439</v>
      </c>
      <c r="E5069" s="1" t="str">
        <f>"3723426361613094912"</f>
        <v>3723426361613094912</v>
      </c>
      <c r="F5069" s="1" t="str">
        <f t="shared" si="1650"/>
        <v>花都四部-凤凰仓</v>
      </c>
      <c r="G5069" s="1" t="str">
        <f t="shared" si="1636"/>
        <v>卡卡杜企业店（视频号）</v>
      </c>
      <c r="H5069" s="1" t="str">
        <f t="shared" si="1651"/>
        <v>正常订单</v>
      </c>
      <c r="I5069" s="1" t="str">
        <f t="shared" si="1652"/>
        <v>已发货</v>
      </c>
      <c r="J5069" s="1" t="str">
        <f t="shared" si="1653"/>
        <v>3</v>
      </c>
      <c r="K5069" s="1">
        <v>3</v>
      </c>
      <c r="L5069" s="1" t="s">
        <v>218</v>
      </c>
      <c r="M5069" s="1" t="str">
        <f>"天津 天津市 红桥区 "</f>
        <v xml:space="preserve">天津 天津市 红桥区 </v>
      </c>
      <c r="N5069" s="1" t="str">
        <f t="shared" si="1646"/>
        <v>凡华云仓-城南圆通-微信视频号</v>
      </c>
      <c r="O5069" s="5" t="s">
        <v>5093</v>
      </c>
      <c r="P5069" s="6">
        <v>0.34</v>
      </c>
      <c r="Q5069" s="11">
        <v>2.2999999999999998</v>
      </c>
      <c r="R5069" s="11"/>
      <c r="S5069" s="11"/>
      <c r="T5069" s="11"/>
      <c r="U5069" s="11">
        <f t="shared" si="1648"/>
        <v>2.2999999999999998</v>
      </c>
      <c r="W5069">
        <v>2.5</v>
      </c>
      <c r="X5069" s="1" t="s">
        <v>218</v>
      </c>
    </row>
    <row r="5070" spans="1:24" x14ac:dyDescent="0.25">
      <c r="A5070" s="1" t="str">
        <f t="shared" si="1649"/>
        <v>卡卡杜-凤凰仓</v>
      </c>
      <c r="B5070" s="1" t="str">
        <f>"CK2024102018055"</f>
        <v>CK2024102018055</v>
      </c>
      <c r="C5070" s="1" t="str">
        <f>"DD2024102025285"</f>
        <v>DD2024102025285</v>
      </c>
      <c r="D5070" s="1" t="str">
        <f>"CK2024102025438"</f>
        <v>CK2024102025438</v>
      </c>
      <c r="E5070" s="1" t="str">
        <f>"3723426345371174144"</f>
        <v>3723426345371174144</v>
      </c>
      <c r="F5070" s="1" t="str">
        <f t="shared" si="1650"/>
        <v>花都四部-凤凰仓</v>
      </c>
      <c r="G5070" s="1" t="str">
        <f t="shared" si="1636"/>
        <v>卡卡杜企业店（视频号）</v>
      </c>
      <c r="H5070" s="1" t="str">
        <f t="shared" si="1651"/>
        <v>正常订单</v>
      </c>
      <c r="I5070" s="1" t="str">
        <f t="shared" si="1652"/>
        <v>已发货</v>
      </c>
      <c r="J5070" s="1" t="str">
        <f>"1"</f>
        <v>1</v>
      </c>
      <c r="K5070" s="1">
        <v>1</v>
      </c>
      <c r="L5070" s="1" t="s">
        <v>20</v>
      </c>
      <c r="M5070" s="1" t="str">
        <f>"浙江省 温州市 瑞安市 "</f>
        <v xml:space="preserve">浙江省 温州市 瑞安市 </v>
      </c>
      <c r="N5070" s="1" t="str">
        <f t="shared" si="1646"/>
        <v>凡华云仓-城南圆通-微信视频号</v>
      </c>
      <c r="O5070" s="5" t="s">
        <v>5094</v>
      </c>
      <c r="P5070" s="6">
        <v>0.12</v>
      </c>
      <c r="Q5070" s="11">
        <v>2</v>
      </c>
      <c r="R5070" s="11"/>
      <c r="S5070" s="11"/>
      <c r="T5070" s="11"/>
      <c r="U5070" s="11">
        <f t="shared" si="1648"/>
        <v>2</v>
      </c>
      <c r="W5070">
        <v>2.2000000000000002</v>
      </c>
      <c r="X5070" s="1" t="s">
        <v>20</v>
      </c>
    </row>
    <row r="5071" spans="1:24" x14ac:dyDescent="0.25">
      <c r="A5071" s="1" t="str">
        <f t="shared" si="1649"/>
        <v>卡卡杜-凤凰仓</v>
      </c>
      <c r="B5071" s="1" t="str">
        <f>"CK2024102018056"</f>
        <v>CK2024102018056</v>
      </c>
      <c r="C5071" s="1" t="str">
        <f>"DD2024102025286"</f>
        <v>DD2024102025286</v>
      </c>
      <c r="D5071" s="1" t="str">
        <f>"CK2024102025437"</f>
        <v>CK2024102025437</v>
      </c>
      <c r="E5071" s="1" t="str">
        <f>"3723426306451182592"</f>
        <v>3723426306451182592</v>
      </c>
      <c r="F5071" s="1" t="str">
        <f t="shared" si="1650"/>
        <v>花都四部-凤凰仓</v>
      </c>
      <c r="G5071" s="1" t="str">
        <f t="shared" si="1636"/>
        <v>卡卡杜企业店（视频号）</v>
      </c>
      <c r="H5071" s="1" t="str">
        <f t="shared" si="1651"/>
        <v>正常订单</v>
      </c>
      <c r="I5071" s="1" t="str">
        <f t="shared" si="1652"/>
        <v>已发货</v>
      </c>
      <c r="J5071" s="1" t="str">
        <f t="shared" ref="J5071:J5077" si="1654">"2"</f>
        <v>2</v>
      </c>
      <c r="K5071" s="1">
        <v>1</v>
      </c>
      <c r="L5071" s="1" t="s">
        <v>13</v>
      </c>
      <c r="M5071" s="1" t="str">
        <f>"江苏省 无锡市 江阴市 "</f>
        <v xml:space="preserve">江苏省 无锡市 江阴市 </v>
      </c>
      <c r="N5071" s="1" t="str">
        <f t="shared" si="1646"/>
        <v>凡华云仓-城南圆通-微信视频号</v>
      </c>
      <c r="O5071" s="5" t="s">
        <v>5095</v>
      </c>
      <c r="P5071" s="6">
        <v>0.2</v>
      </c>
      <c r="Q5071" s="11">
        <v>2</v>
      </c>
      <c r="R5071" s="11"/>
      <c r="S5071" s="11"/>
      <c r="T5071" s="11"/>
      <c r="U5071" s="11">
        <f t="shared" si="1648"/>
        <v>2</v>
      </c>
      <c r="W5071">
        <v>2.2000000000000002</v>
      </c>
      <c r="X5071" s="1" t="s">
        <v>13</v>
      </c>
    </row>
    <row r="5072" spans="1:24" x14ac:dyDescent="0.25">
      <c r="A5072" s="1" t="str">
        <f t="shared" si="1649"/>
        <v>卡卡杜-凤凰仓</v>
      </c>
      <c r="B5072" s="1" t="str">
        <f>"CK2024102018057"</f>
        <v>CK2024102018057</v>
      </c>
      <c r="C5072" s="1" t="str">
        <f>"DD2024102025287"</f>
        <v>DD2024102025287</v>
      </c>
      <c r="D5072" s="1" t="str">
        <f>"CK2024102025436"</f>
        <v>CK2024102025436</v>
      </c>
      <c r="E5072" s="1" t="str">
        <f>"3723426306429945088"</f>
        <v>3723426306429945088</v>
      </c>
      <c r="F5072" s="1" t="str">
        <f t="shared" si="1650"/>
        <v>花都四部-凤凰仓</v>
      </c>
      <c r="G5072" s="1" t="str">
        <f t="shared" si="1636"/>
        <v>卡卡杜企业店（视频号）</v>
      </c>
      <c r="H5072" s="1" t="str">
        <f t="shared" si="1651"/>
        <v>正常订单</v>
      </c>
      <c r="I5072" s="1" t="str">
        <f t="shared" si="1652"/>
        <v>已发货</v>
      </c>
      <c r="J5072" s="1" t="str">
        <f t="shared" si="1654"/>
        <v>2</v>
      </c>
      <c r="K5072" s="1">
        <v>1</v>
      </c>
      <c r="L5072" s="1" t="s">
        <v>47</v>
      </c>
      <c r="M5072" s="1" t="str">
        <f>"重庆 重庆市 沙坪坝区 "</f>
        <v xml:space="preserve">重庆 重庆市 沙坪坝区 </v>
      </c>
      <c r="N5072" s="1" t="str">
        <f t="shared" si="1646"/>
        <v>凡华云仓-城南圆通-微信视频号</v>
      </c>
      <c r="O5072" s="5" t="s">
        <v>5096</v>
      </c>
      <c r="P5072" s="6">
        <v>0.2</v>
      </c>
      <c r="Q5072" s="11">
        <v>2</v>
      </c>
      <c r="R5072" s="11"/>
      <c r="S5072" s="11"/>
      <c r="T5072" s="11"/>
      <c r="U5072" s="11">
        <f t="shared" si="1648"/>
        <v>2</v>
      </c>
      <c r="W5072">
        <v>2.2000000000000002</v>
      </c>
      <c r="X5072" s="1" t="s">
        <v>47</v>
      </c>
    </row>
    <row r="5073" spans="1:24" x14ac:dyDescent="0.25">
      <c r="A5073" s="1" t="str">
        <f t="shared" si="1649"/>
        <v>卡卡杜-凤凰仓</v>
      </c>
      <c r="B5073" s="1" t="str">
        <f>"CK2024102018058"</f>
        <v>CK2024102018058</v>
      </c>
      <c r="C5073" s="1" t="str">
        <f>"DD2024102025292"</f>
        <v>DD2024102025292</v>
      </c>
      <c r="D5073" s="1" t="str">
        <f>"CK2024102025435"</f>
        <v>CK2024102025435</v>
      </c>
      <c r="E5073" s="1" t="str">
        <f>"3723426291344348160"</f>
        <v>3723426291344348160</v>
      </c>
      <c r="F5073" s="1" t="str">
        <f t="shared" si="1650"/>
        <v>花都四部-凤凰仓</v>
      </c>
      <c r="G5073" s="1" t="str">
        <f t="shared" si="1636"/>
        <v>卡卡杜企业店（视频号）</v>
      </c>
      <c r="H5073" s="1" t="str">
        <f t="shared" si="1651"/>
        <v>正常订单</v>
      </c>
      <c r="I5073" s="1" t="str">
        <f t="shared" si="1652"/>
        <v>已发货</v>
      </c>
      <c r="J5073" s="1" t="str">
        <f t="shared" si="1654"/>
        <v>2</v>
      </c>
      <c r="K5073" s="1">
        <v>1</v>
      </c>
      <c r="L5073" s="1" t="s">
        <v>20</v>
      </c>
      <c r="M5073" s="1" t="str">
        <f>"浙江省 嘉兴市 南湖区 "</f>
        <v xml:space="preserve">浙江省 嘉兴市 南湖区 </v>
      </c>
      <c r="N5073" s="1" t="str">
        <f t="shared" si="1646"/>
        <v>凡华云仓-城南圆通-微信视频号</v>
      </c>
      <c r="O5073" s="5" t="s">
        <v>5097</v>
      </c>
      <c r="P5073" s="6">
        <v>0.2</v>
      </c>
      <c r="Q5073" s="11">
        <v>2</v>
      </c>
      <c r="R5073" s="11"/>
      <c r="S5073" s="11"/>
      <c r="T5073" s="11"/>
      <c r="U5073" s="11">
        <f t="shared" si="1648"/>
        <v>2</v>
      </c>
      <c r="W5073">
        <v>2.2000000000000002</v>
      </c>
      <c r="X5073" s="1" t="s">
        <v>20</v>
      </c>
    </row>
    <row r="5074" spans="1:24" x14ac:dyDescent="0.25">
      <c r="A5074" s="1" t="str">
        <f t="shared" si="1649"/>
        <v>卡卡杜-凤凰仓</v>
      </c>
      <c r="B5074" s="1" t="str">
        <f>"CK2024102018061"</f>
        <v>CK2024102018061</v>
      </c>
      <c r="C5074" s="1" t="str">
        <f>"DD2024102025291"</f>
        <v>DD2024102025291</v>
      </c>
      <c r="D5074" s="1" t="str">
        <f>"CK2024102025434"</f>
        <v>CK2024102025434</v>
      </c>
      <c r="E5074" s="1" t="str">
        <f>"3723426248812004864"</f>
        <v>3723426248812004864</v>
      </c>
      <c r="F5074" s="1" t="str">
        <f t="shared" si="1650"/>
        <v>花都四部-凤凰仓</v>
      </c>
      <c r="G5074" s="1" t="str">
        <f t="shared" si="1636"/>
        <v>卡卡杜企业店（视频号）</v>
      </c>
      <c r="H5074" s="1" t="str">
        <f t="shared" si="1651"/>
        <v>正常订单</v>
      </c>
      <c r="I5074" s="1" t="str">
        <f t="shared" si="1652"/>
        <v>已发货</v>
      </c>
      <c r="J5074" s="1" t="str">
        <f t="shared" si="1654"/>
        <v>2</v>
      </c>
      <c r="K5074" s="1">
        <v>1</v>
      </c>
      <c r="L5074" s="1" t="s">
        <v>30</v>
      </c>
      <c r="M5074" s="1" t="str">
        <f>"山东省 济南市 槐荫区 "</f>
        <v xml:space="preserve">山东省 济南市 槐荫区 </v>
      </c>
      <c r="N5074" s="1" t="str">
        <f t="shared" si="1646"/>
        <v>凡华云仓-城南圆通-微信视频号</v>
      </c>
      <c r="O5074" s="5" t="s">
        <v>5098</v>
      </c>
      <c r="P5074" s="6">
        <v>0.2</v>
      </c>
      <c r="Q5074" s="11">
        <v>2</v>
      </c>
      <c r="R5074" s="11"/>
      <c r="S5074" s="11"/>
      <c r="T5074" s="11"/>
      <c r="U5074" s="11">
        <f t="shared" si="1648"/>
        <v>2</v>
      </c>
      <c r="W5074">
        <v>2.2000000000000002</v>
      </c>
      <c r="X5074" s="1" t="s">
        <v>30</v>
      </c>
    </row>
    <row r="5075" spans="1:24" x14ac:dyDescent="0.25">
      <c r="A5075" s="1" t="str">
        <f t="shared" si="1649"/>
        <v>卡卡杜-凤凰仓</v>
      </c>
      <c r="B5075" s="1" t="str">
        <f>"CK2024102018059"</f>
        <v>CK2024102018059</v>
      </c>
      <c r="C5075" s="1" t="str">
        <f>"DD2024102025289"</f>
        <v>DD2024102025289</v>
      </c>
      <c r="D5075" s="1" t="str">
        <f>"CK2024102025433"</f>
        <v>CK2024102025433</v>
      </c>
      <c r="E5075" s="1" t="str">
        <f>"3723426274594394112"</f>
        <v>3723426274594394112</v>
      </c>
      <c r="F5075" s="1" t="str">
        <f t="shared" si="1650"/>
        <v>花都四部-凤凰仓</v>
      </c>
      <c r="G5075" s="1" t="str">
        <f t="shared" si="1636"/>
        <v>卡卡杜企业店（视频号）</v>
      </c>
      <c r="H5075" s="1" t="str">
        <f t="shared" si="1651"/>
        <v>正常订单</v>
      </c>
      <c r="I5075" s="1" t="str">
        <f t="shared" si="1652"/>
        <v>已发货</v>
      </c>
      <c r="J5075" s="1" t="str">
        <f t="shared" si="1654"/>
        <v>2</v>
      </c>
      <c r="K5075" s="1">
        <v>1</v>
      </c>
      <c r="L5075" s="1" t="s">
        <v>18</v>
      </c>
      <c r="M5075" s="1" t="str">
        <f>"广东省 深圳市 罗湖区 "</f>
        <v xml:space="preserve">广东省 深圳市 罗湖区 </v>
      </c>
      <c r="N5075" s="1" t="str">
        <f t="shared" si="1646"/>
        <v>凡华云仓-城南圆通-微信视频号</v>
      </c>
      <c r="O5075" s="5" t="s">
        <v>5099</v>
      </c>
      <c r="P5075" s="6">
        <v>0.2</v>
      </c>
      <c r="Q5075" s="11">
        <v>2</v>
      </c>
      <c r="R5075" s="11"/>
      <c r="S5075" s="11"/>
      <c r="T5075" s="11"/>
      <c r="U5075" s="11">
        <f t="shared" si="1648"/>
        <v>2</v>
      </c>
      <c r="W5075">
        <v>2.2000000000000002</v>
      </c>
      <c r="X5075" s="1" t="s">
        <v>18</v>
      </c>
    </row>
    <row r="5076" spans="1:24" x14ac:dyDescent="0.25">
      <c r="A5076" s="1" t="str">
        <f t="shared" si="1649"/>
        <v>卡卡杜-凤凰仓</v>
      </c>
      <c r="B5076" s="1" t="str">
        <f>"CK2024102018060"</f>
        <v>CK2024102018060</v>
      </c>
      <c r="C5076" s="1" t="str">
        <f>"DD2024102025290"</f>
        <v>DD2024102025290</v>
      </c>
      <c r="D5076" s="1" t="str">
        <f>"CK2024102025432"</f>
        <v>CK2024102025432</v>
      </c>
      <c r="E5076" s="1" t="str">
        <f>"3723426257245701632"</f>
        <v>3723426257245701632</v>
      </c>
      <c r="F5076" s="1" t="str">
        <f t="shared" si="1650"/>
        <v>花都四部-凤凰仓</v>
      </c>
      <c r="G5076" s="1" t="str">
        <f t="shared" si="1636"/>
        <v>卡卡杜企业店（视频号）</v>
      </c>
      <c r="H5076" s="1" t="str">
        <f t="shared" si="1651"/>
        <v>正常订单</v>
      </c>
      <c r="I5076" s="1" t="str">
        <f t="shared" si="1652"/>
        <v>已发货</v>
      </c>
      <c r="J5076" s="1" t="str">
        <f t="shared" si="1654"/>
        <v>2</v>
      </c>
      <c r="K5076" s="1">
        <v>1</v>
      </c>
      <c r="L5076" s="1" t="s">
        <v>105</v>
      </c>
      <c r="M5076" s="1" t="str">
        <f>"北京 北京市 朝阳区 "</f>
        <v xml:space="preserve">北京 北京市 朝阳区 </v>
      </c>
      <c r="N5076" s="1" t="str">
        <f t="shared" si="1646"/>
        <v>凡华云仓-城南圆通-微信视频号</v>
      </c>
      <c r="O5076" s="5" t="s">
        <v>5100</v>
      </c>
      <c r="P5076" s="6">
        <v>0.2</v>
      </c>
      <c r="Q5076" s="11">
        <v>2</v>
      </c>
      <c r="R5076" s="11"/>
      <c r="S5076" s="11"/>
      <c r="T5076" s="11"/>
      <c r="U5076" s="11">
        <f t="shared" si="1648"/>
        <v>2</v>
      </c>
      <c r="W5076">
        <v>2.2000000000000002</v>
      </c>
      <c r="X5076" s="1" t="s">
        <v>105</v>
      </c>
    </row>
    <row r="5077" spans="1:24" x14ac:dyDescent="0.25">
      <c r="A5077" s="1" t="str">
        <f t="shared" si="1649"/>
        <v>卡卡杜-凤凰仓</v>
      </c>
      <c r="B5077" s="1" t="str">
        <f>"CK2024102018062"</f>
        <v>CK2024102018062</v>
      </c>
      <c r="C5077" s="1" t="str">
        <f>"DD2024102025293"</f>
        <v>DD2024102025293</v>
      </c>
      <c r="D5077" s="1" t="str">
        <f>"CK2024102025431"</f>
        <v>CK2024102025431</v>
      </c>
      <c r="E5077" s="1" t="str">
        <f>"3723426248696926208"</f>
        <v>3723426248696926208</v>
      </c>
      <c r="F5077" s="1" t="str">
        <f t="shared" si="1650"/>
        <v>花都四部-凤凰仓</v>
      </c>
      <c r="G5077" s="1" t="str">
        <f t="shared" si="1636"/>
        <v>卡卡杜企业店（视频号）</v>
      </c>
      <c r="H5077" s="1" t="str">
        <f t="shared" si="1651"/>
        <v>正常订单</v>
      </c>
      <c r="I5077" s="1" t="str">
        <f t="shared" si="1652"/>
        <v>已发货</v>
      </c>
      <c r="J5077" s="1" t="str">
        <f t="shared" si="1654"/>
        <v>2</v>
      </c>
      <c r="K5077" s="1">
        <v>1</v>
      </c>
      <c r="L5077" s="1" t="s">
        <v>20</v>
      </c>
      <c r="M5077" s="1" t="str">
        <f>"浙江省 杭州市 萧山区 "</f>
        <v xml:space="preserve">浙江省 杭州市 萧山区 </v>
      </c>
      <c r="N5077" s="1" t="str">
        <f t="shared" si="1646"/>
        <v>凡华云仓-城南圆通-微信视频号</v>
      </c>
      <c r="O5077" s="5" t="s">
        <v>5101</v>
      </c>
      <c r="P5077" s="6">
        <v>0.2</v>
      </c>
      <c r="Q5077" s="11">
        <v>2</v>
      </c>
      <c r="R5077" s="11"/>
      <c r="S5077" s="11"/>
      <c r="T5077" s="11"/>
      <c r="U5077" s="11">
        <f t="shared" si="1648"/>
        <v>2</v>
      </c>
      <c r="W5077">
        <v>2.2000000000000002</v>
      </c>
      <c r="X5077" s="1" t="s">
        <v>20</v>
      </c>
    </row>
    <row r="5078" spans="1:24" x14ac:dyDescent="0.25">
      <c r="A5078" s="1" t="str">
        <f t="shared" si="1649"/>
        <v>卡卡杜-凤凰仓</v>
      </c>
      <c r="B5078" s="1" t="str">
        <f>"CK2024102018063"</f>
        <v>CK2024102018063</v>
      </c>
      <c r="C5078" s="1" t="str">
        <f>"DD2024102025294"</f>
        <v>DD2024102025294</v>
      </c>
      <c r="D5078" s="1" t="str">
        <f>"CK2024102025430"</f>
        <v>CK2024102025430</v>
      </c>
      <c r="E5078" s="1" t="str">
        <f>"3723426219012261120"</f>
        <v>3723426219012261120</v>
      </c>
      <c r="F5078" s="1" t="str">
        <f t="shared" si="1650"/>
        <v>花都四部-凤凰仓</v>
      </c>
      <c r="G5078" s="1" t="str">
        <f t="shared" si="1636"/>
        <v>卡卡杜企业店（视频号）</v>
      </c>
      <c r="H5078" s="1" t="str">
        <f t="shared" si="1651"/>
        <v>正常订单</v>
      </c>
      <c r="I5078" s="1" t="str">
        <f t="shared" si="1652"/>
        <v>已发货</v>
      </c>
      <c r="J5078" s="1" t="str">
        <f t="shared" ref="J5078:J5082" si="1655">"1"</f>
        <v>1</v>
      </c>
      <c r="K5078" s="1">
        <v>1</v>
      </c>
      <c r="L5078" s="1" t="s">
        <v>74</v>
      </c>
      <c r="M5078" s="1" t="str">
        <f>"上海 上海市 闵行区 "</f>
        <v xml:space="preserve">上海 上海市 闵行区 </v>
      </c>
      <c r="N5078" s="1" t="str">
        <f t="shared" si="1646"/>
        <v>凡华云仓-城南圆通-微信视频号</v>
      </c>
      <c r="O5078" s="5" t="s">
        <v>5102</v>
      </c>
      <c r="P5078" s="6">
        <v>0.12</v>
      </c>
      <c r="Q5078" s="11">
        <v>2</v>
      </c>
      <c r="R5078" s="11"/>
      <c r="S5078" s="11"/>
      <c r="T5078" s="11"/>
      <c r="U5078" s="11">
        <f t="shared" si="1648"/>
        <v>2</v>
      </c>
      <c r="W5078">
        <v>2.2000000000000002</v>
      </c>
      <c r="X5078" s="1" t="s">
        <v>74</v>
      </c>
    </row>
    <row r="5079" spans="1:24" x14ac:dyDescent="0.25">
      <c r="A5079" s="1" t="str">
        <f t="shared" si="1649"/>
        <v>卡卡杜-凤凰仓</v>
      </c>
      <c r="B5079" s="1" t="str">
        <f>"CK2024102018064"</f>
        <v>CK2024102018064</v>
      </c>
      <c r="C5079" s="1" t="str">
        <f>"DD2024102025295"</f>
        <v>DD2024102025295</v>
      </c>
      <c r="D5079" s="1" t="str">
        <f>"CK2024102025429"</f>
        <v>CK2024102025429</v>
      </c>
      <c r="E5079" s="1" t="str">
        <f>"3723426217110148096"</f>
        <v>3723426217110148096</v>
      </c>
      <c r="F5079" s="1" t="str">
        <f t="shared" si="1650"/>
        <v>花都四部-凤凰仓</v>
      </c>
      <c r="G5079" s="1" t="str">
        <f t="shared" si="1636"/>
        <v>卡卡杜企业店（视频号）</v>
      </c>
      <c r="H5079" s="1" t="str">
        <f t="shared" si="1651"/>
        <v>正常订单</v>
      </c>
      <c r="I5079" s="1" t="str">
        <f t="shared" si="1652"/>
        <v>已发货</v>
      </c>
      <c r="J5079" s="1" t="str">
        <f t="shared" ref="J5079:J5084" si="1656">"2"</f>
        <v>2</v>
      </c>
      <c r="K5079" s="1">
        <v>1</v>
      </c>
      <c r="L5079" s="1" t="s">
        <v>105</v>
      </c>
      <c r="M5079" s="1" t="str">
        <f>"北京 北京市 朝阳区 "</f>
        <v xml:space="preserve">北京 北京市 朝阳区 </v>
      </c>
      <c r="N5079" s="1" t="str">
        <f t="shared" si="1646"/>
        <v>凡华云仓-城南圆通-微信视频号</v>
      </c>
      <c r="O5079" s="5" t="s">
        <v>5103</v>
      </c>
      <c r="P5079" s="6">
        <v>0.2</v>
      </c>
      <c r="Q5079" s="11">
        <v>2</v>
      </c>
      <c r="R5079" s="11"/>
      <c r="S5079" s="11"/>
      <c r="T5079" s="11"/>
      <c r="U5079" s="11">
        <f t="shared" si="1648"/>
        <v>2</v>
      </c>
      <c r="W5079">
        <v>2.2000000000000002</v>
      </c>
      <c r="X5079" s="1" t="s">
        <v>105</v>
      </c>
    </row>
    <row r="5080" spans="1:24" x14ac:dyDescent="0.25">
      <c r="A5080" s="1" t="str">
        <f t="shared" si="1649"/>
        <v>卡卡杜-凤凰仓</v>
      </c>
      <c r="B5080" s="1" t="str">
        <f>"CK2024102018065"</f>
        <v>CK2024102018065</v>
      </c>
      <c r="C5080" s="1" t="str">
        <f>"DD2024102025297"</f>
        <v>DD2024102025297</v>
      </c>
      <c r="D5080" s="1" t="str">
        <f>"CK2024102025428"</f>
        <v>CK2024102025428</v>
      </c>
      <c r="E5080" s="1" t="str">
        <f>"3723426209982451712"</f>
        <v>3723426209982451712</v>
      </c>
      <c r="F5080" s="1" t="str">
        <f t="shared" si="1650"/>
        <v>花都四部-凤凰仓</v>
      </c>
      <c r="G5080" s="1" t="str">
        <f t="shared" si="1636"/>
        <v>卡卡杜企业店（视频号）</v>
      </c>
      <c r="H5080" s="1" t="str">
        <f t="shared" si="1651"/>
        <v>正常订单</v>
      </c>
      <c r="I5080" s="1" t="str">
        <f t="shared" si="1652"/>
        <v>已发货</v>
      </c>
      <c r="J5080" s="1" t="str">
        <f t="shared" si="1655"/>
        <v>1</v>
      </c>
      <c r="K5080" s="1">
        <v>1</v>
      </c>
      <c r="L5080" s="1" t="s">
        <v>16</v>
      </c>
      <c r="M5080" s="1" t="str">
        <f>"河北省 张家口市 桥西区 "</f>
        <v xml:space="preserve">河北省 张家口市 桥西区 </v>
      </c>
      <c r="N5080" s="1" t="str">
        <f t="shared" si="1646"/>
        <v>凡华云仓-城南圆通-微信视频号</v>
      </c>
      <c r="O5080" s="5" t="s">
        <v>5104</v>
      </c>
      <c r="P5080" s="6">
        <v>0.12</v>
      </c>
      <c r="Q5080" s="11">
        <v>2</v>
      </c>
      <c r="R5080" s="11"/>
      <c r="S5080" s="11"/>
      <c r="T5080" s="11"/>
      <c r="U5080" s="11">
        <f t="shared" si="1648"/>
        <v>2</v>
      </c>
      <c r="W5080">
        <v>2.2000000000000002</v>
      </c>
      <c r="X5080" s="1" t="s">
        <v>16</v>
      </c>
    </row>
    <row r="5081" spans="1:24" x14ac:dyDescent="0.25">
      <c r="A5081" s="1" t="str">
        <f t="shared" si="1649"/>
        <v>卡卡杜-凤凰仓</v>
      </c>
      <c r="B5081" s="1" t="str">
        <f>"CK2024102018066"</f>
        <v>CK2024102018066</v>
      </c>
      <c r="C5081" s="1" t="str">
        <f>"DD2024102025296"</f>
        <v>DD2024102025296</v>
      </c>
      <c r="D5081" s="1" t="str">
        <f>"CK2024102025427"</f>
        <v>CK2024102025427</v>
      </c>
      <c r="E5081" s="1" t="str">
        <f>"3723426209055248384"</f>
        <v>3723426209055248384</v>
      </c>
      <c r="F5081" s="1" t="str">
        <f t="shared" si="1650"/>
        <v>花都四部-凤凰仓</v>
      </c>
      <c r="G5081" s="1" t="str">
        <f t="shared" si="1636"/>
        <v>卡卡杜企业店（视频号）</v>
      </c>
      <c r="H5081" s="1" t="str">
        <f t="shared" si="1651"/>
        <v>正常订单</v>
      </c>
      <c r="I5081" s="1" t="str">
        <f t="shared" si="1652"/>
        <v>已发货</v>
      </c>
      <c r="J5081" s="1" t="str">
        <f t="shared" si="1655"/>
        <v>1</v>
      </c>
      <c r="K5081" s="1">
        <v>1</v>
      </c>
      <c r="L5081" s="1" t="s">
        <v>161</v>
      </c>
      <c r="M5081" s="1" t="str">
        <f>"四川省 成都市 金牛区 "</f>
        <v xml:space="preserve">四川省 成都市 金牛区 </v>
      </c>
      <c r="N5081" s="1" t="str">
        <f t="shared" si="1646"/>
        <v>凡华云仓-城南圆通-微信视频号</v>
      </c>
      <c r="O5081" s="5" t="s">
        <v>5105</v>
      </c>
      <c r="P5081" s="6">
        <v>0.12</v>
      </c>
      <c r="Q5081" s="11">
        <v>2</v>
      </c>
      <c r="R5081" s="11"/>
      <c r="S5081" s="11"/>
      <c r="T5081" s="11"/>
      <c r="U5081" s="11">
        <f t="shared" si="1648"/>
        <v>2</v>
      </c>
      <c r="W5081">
        <v>2.2000000000000002</v>
      </c>
      <c r="X5081" s="1" t="s">
        <v>161</v>
      </c>
    </row>
    <row r="5082" spans="1:24" x14ac:dyDescent="0.25">
      <c r="A5082" s="1" t="str">
        <f t="shared" si="1649"/>
        <v>卡卡杜-凤凰仓</v>
      </c>
      <c r="B5082" s="1" t="str">
        <f>"CK2024102018067"</f>
        <v>CK2024102018067</v>
      </c>
      <c r="C5082" s="1" t="str">
        <f>"DD2024102025298"</f>
        <v>DD2024102025298</v>
      </c>
      <c r="D5082" s="1" t="str">
        <f>"CK2024102025426"</f>
        <v>CK2024102025426</v>
      </c>
      <c r="E5082" s="1" t="str">
        <f>"3723426208124896512"</f>
        <v>3723426208124896512</v>
      </c>
      <c r="F5082" s="1" t="str">
        <f t="shared" si="1650"/>
        <v>花都四部-凤凰仓</v>
      </c>
      <c r="G5082" s="1" t="str">
        <f t="shared" si="1636"/>
        <v>卡卡杜企业店（视频号）</v>
      </c>
      <c r="H5082" s="1" t="str">
        <f t="shared" si="1651"/>
        <v>正常订单</v>
      </c>
      <c r="I5082" s="1" t="str">
        <f t="shared" si="1652"/>
        <v>已发货</v>
      </c>
      <c r="J5082" s="1" t="str">
        <f t="shared" si="1655"/>
        <v>1</v>
      </c>
      <c r="K5082" s="1">
        <v>1</v>
      </c>
      <c r="L5082" s="1" t="s">
        <v>52</v>
      </c>
      <c r="M5082" s="1" t="str">
        <f>"甘肃省 定西市 岷县 "</f>
        <v xml:space="preserve">甘肃省 定西市 岷县 </v>
      </c>
      <c r="N5082" s="1" t="str">
        <f t="shared" si="1646"/>
        <v>凡华云仓-城南圆通-微信视频号</v>
      </c>
      <c r="O5082" s="5" t="s">
        <v>5106</v>
      </c>
      <c r="P5082" s="6">
        <v>0.12</v>
      </c>
      <c r="Q5082" s="11">
        <v>2</v>
      </c>
      <c r="R5082" s="11"/>
      <c r="S5082" s="11"/>
      <c r="T5082" s="11"/>
      <c r="U5082" s="11">
        <f t="shared" si="1648"/>
        <v>2</v>
      </c>
      <c r="W5082">
        <v>2.2000000000000002</v>
      </c>
      <c r="X5082" s="1" t="s">
        <v>52</v>
      </c>
    </row>
    <row r="5083" spans="1:24" x14ac:dyDescent="0.25">
      <c r="A5083" s="1" t="str">
        <f t="shared" si="1649"/>
        <v>卡卡杜-凤凰仓</v>
      </c>
      <c r="B5083" s="1" t="str">
        <f>"CK2024102018068"</f>
        <v>CK2024102018068</v>
      </c>
      <c r="C5083" s="1" t="str">
        <f>"DD2024102025300"</f>
        <v>DD2024102025300</v>
      </c>
      <c r="D5083" s="1" t="str">
        <f>"CK2024102025425"</f>
        <v>CK2024102025425</v>
      </c>
      <c r="E5083" s="1" t="str">
        <f>"3723426199784001536"</f>
        <v>3723426199784001536</v>
      </c>
      <c r="F5083" s="1" t="str">
        <f t="shared" si="1650"/>
        <v>花都四部-凤凰仓</v>
      </c>
      <c r="G5083" s="1" t="str">
        <f t="shared" si="1636"/>
        <v>卡卡杜企业店（视频号）</v>
      </c>
      <c r="H5083" s="1" t="str">
        <f t="shared" si="1651"/>
        <v>正常订单</v>
      </c>
      <c r="I5083" s="1" t="str">
        <f t="shared" si="1652"/>
        <v>已发货</v>
      </c>
      <c r="J5083" s="1" t="str">
        <f t="shared" si="1656"/>
        <v>2</v>
      </c>
      <c r="K5083" s="1">
        <v>1</v>
      </c>
      <c r="L5083" s="1" t="s">
        <v>105</v>
      </c>
      <c r="M5083" s="1" t="str">
        <f>"北京 北京市 西城区 "</f>
        <v xml:space="preserve">北京 北京市 西城区 </v>
      </c>
      <c r="N5083" s="1" t="str">
        <f t="shared" si="1646"/>
        <v>凡华云仓-城南圆通-微信视频号</v>
      </c>
      <c r="O5083" s="5" t="s">
        <v>5107</v>
      </c>
      <c r="P5083" s="6">
        <v>0.2</v>
      </c>
      <c r="Q5083" s="11">
        <v>2</v>
      </c>
      <c r="R5083" s="11"/>
      <c r="S5083" s="11"/>
      <c r="T5083" s="11"/>
      <c r="U5083" s="11">
        <f t="shared" si="1648"/>
        <v>2</v>
      </c>
      <c r="W5083">
        <v>2.2000000000000002</v>
      </c>
      <c r="X5083" s="1" t="s">
        <v>105</v>
      </c>
    </row>
    <row r="5084" spans="1:24" x14ac:dyDescent="0.25">
      <c r="A5084" s="1" t="str">
        <f t="shared" si="1649"/>
        <v>卡卡杜-凤凰仓</v>
      </c>
      <c r="B5084" s="1" t="str">
        <f>"CK2024102018069"</f>
        <v>CK2024102018069</v>
      </c>
      <c r="C5084" s="1" t="str">
        <f>"DD2024102025299"</f>
        <v>DD2024102025299</v>
      </c>
      <c r="D5084" s="1" t="str">
        <f>"CK2024102025424"</f>
        <v>CK2024102025424</v>
      </c>
      <c r="E5084" s="1" t="str">
        <f>"3723426207331124736"</f>
        <v>3723426207331124736</v>
      </c>
      <c r="F5084" s="1" t="str">
        <f t="shared" si="1650"/>
        <v>花都四部-凤凰仓</v>
      </c>
      <c r="G5084" s="1" t="str">
        <f t="shared" si="1636"/>
        <v>卡卡杜企业店（视频号）</v>
      </c>
      <c r="H5084" s="1" t="str">
        <f t="shared" si="1651"/>
        <v>正常订单</v>
      </c>
      <c r="I5084" s="1" t="str">
        <f t="shared" si="1652"/>
        <v>已发货</v>
      </c>
      <c r="J5084" s="1" t="str">
        <f t="shared" si="1656"/>
        <v>2</v>
      </c>
      <c r="K5084" s="1">
        <v>1</v>
      </c>
      <c r="L5084" s="1" t="s">
        <v>16</v>
      </c>
      <c r="M5084" s="1" t="str">
        <f>"河北省 廊坊市 广阳区 "</f>
        <v xml:space="preserve">河北省 廊坊市 广阳区 </v>
      </c>
      <c r="N5084" s="1" t="str">
        <f t="shared" si="1646"/>
        <v>凡华云仓-城南圆通-微信视频号</v>
      </c>
      <c r="O5084" s="5" t="s">
        <v>5108</v>
      </c>
      <c r="P5084" s="6">
        <v>0.2</v>
      </c>
      <c r="Q5084" s="11">
        <v>2</v>
      </c>
      <c r="R5084" s="11"/>
      <c r="S5084" s="11"/>
      <c r="T5084" s="11"/>
      <c r="U5084" s="11">
        <f t="shared" si="1648"/>
        <v>2</v>
      </c>
      <c r="W5084">
        <v>2.2000000000000002</v>
      </c>
      <c r="X5084" s="1" t="s">
        <v>16</v>
      </c>
    </row>
    <row r="5085" spans="1:24" x14ac:dyDescent="0.25">
      <c r="A5085" s="1" t="str">
        <f t="shared" si="1649"/>
        <v>卡卡杜-凤凰仓</v>
      </c>
      <c r="B5085" s="1" t="str">
        <f>"CK2024102018070"</f>
        <v>CK2024102018070</v>
      </c>
      <c r="C5085" s="1" t="str">
        <f>"DD2024102025303"</f>
        <v>DD2024102025303</v>
      </c>
      <c r="D5085" s="1" t="str">
        <f>"CK2024102025423"</f>
        <v>CK2024102025423</v>
      </c>
      <c r="E5085" s="1" t="str">
        <f>"3723426203830718464"</f>
        <v>3723426203830718464</v>
      </c>
      <c r="F5085" s="1" t="str">
        <f t="shared" si="1650"/>
        <v>花都四部-凤凰仓</v>
      </c>
      <c r="G5085" s="1" t="str">
        <f t="shared" si="1636"/>
        <v>卡卡杜企业店（视频号）</v>
      </c>
      <c r="H5085" s="1" t="str">
        <f t="shared" si="1651"/>
        <v>正常订单</v>
      </c>
      <c r="I5085" s="1" t="str">
        <f t="shared" si="1652"/>
        <v>已发货</v>
      </c>
      <c r="J5085" s="1" t="str">
        <f t="shared" ref="J5085:J5087" si="1657">"1"</f>
        <v>1</v>
      </c>
      <c r="K5085" s="1">
        <v>1</v>
      </c>
      <c r="L5085" s="1" t="s">
        <v>92</v>
      </c>
      <c r="M5085" s="1" t="str">
        <f>"辽宁省 营口市 鲅鱼圈区 "</f>
        <v xml:space="preserve">辽宁省 营口市 鲅鱼圈区 </v>
      </c>
      <c r="N5085" s="1" t="str">
        <f t="shared" si="1646"/>
        <v>凡华云仓-城南圆通-微信视频号</v>
      </c>
      <c r="O5085" s="5" t="s">
        <v>5109</v>
      </c>
      <c r="P5085" s="6">
        <v>0.12</v>
      </c>
      <c r="Q5085" s="11">
        <v>2</v>
      </c>
      <c r="R5085" s="11"/>
      <c r="S5085" s="11"/>
      <c r="T5085" s="11"/>
      <c r="U5085" s="11">
        <f t="shared" si="1648"/>
        <v>2</v>
      </c>
      <c r="W5085">
        <v>2.2000000000000002</v>
      </c>
      <c r="X5085" s="1" t="s">
        <v>92</v>
      </c>
    </row>
    <row r="5086" spans="1:24" x14ac:dyDescent="0.25">
      <c r="A5086" s="1" t="str">
        <f t="shared" si="1649"/>
        <v>卡卡杜-凤凰仓</v>
      </c>
      <c r="B5086" s="1" t="str">
        <f>"CK2024102018071"</f>
        <v>CK2024102018071</v>
      </c>
      <c r="C5086" s="1" t="str">
        <f>"DD2024102025301"</f>
        <v>DD2024102025301</v>
      </c>
      <c r="D5086" s="1" t="str">
        <f>"CK2024102025422"</f>
        <v>CK2024102025422</v>
      </c>
      <c r="E5086" s="1" t="str">
        <f>"3723426199166649600"</f>
        <v>3723426199166649600</v>
      </c>
      <c r="F5086" s="1" t="str">
        <f t="shared" si="1650"/>
        <v>花都四部-凤凰仓</v>
      </c>
      <c r="G5086" s="1" t="str">
        <f t="shared" si="1636"/>
        <v>卡卡杜企业店（视频号）</v>
      </c>
      <c r="H5086" s="1" t="str">
        <f t="shared" si="1651"/>
        <v>正常订单</v>
      </c>
      <c r="I5086" s="1" t="str">
        <f t="shared" si="1652"/>
        <v>已发货</v>
      </c>
      <c r="J5086" s="1" t="str">
        <f t="shared" si="1657"/>
        <v>1</v>
      </c>
      <c r="K5086" s="1">
        <v>1</v>
      </c>
      <c r="L5086" s="1" t="s">
        <v>44</v>
      </c>
      <c r="M5086" s="1" t="str">
        <f>"海南省 三亚市 吉阳区 "</f>
        <v xml:space="preserve">海南省 三亚市 吉阳区 </v>
      </c>
      <c r="N5086" s="1" t="str">
        <f t="shared" si="1646"/>
        <v>凡华云仓-城南圆通-微信视频号</v>
      </c>
      <c r="O5086" s="5" t="s">
        <v>5110</v>
      </c>
      <c r="P5086" s="6">
        <v>0.12</v>
      </c>
      <c r="Q5086" s="11">
        <v>2</v>
      </c>
      <c r="R5086" s="11"/>
      <c r="S5086" s="11"/>
      <c r="T5086" s="11"/>
      <c r="U5086" s="11">
        <f t="shared" si="1648"/>
        <v>2</v>
      </c>
      <c r="W5086">
        <v>2.2000000000000002</v>
      </c>
      <c r="X5086" s="1" t="s">
        <v>44</v>
      </c>
    </row>
    <row r="5087" spans="1:24" x14ac:dyDescent="0.25">
      <c r="A5087" s="1" t="str">
        <f t="shared" si="1649"/>
        <v>卡卡杜-凤凰仓</v>
      </c>
      <c r="B5087" s="1" t="str">
        <f>"CK2024102018072"</f>
        <v>CK2024102018072</v>
      </c>
      <c r="C5087" s="1" t="str">
        <f>"DD2024102025302"</f>
        <v>DD2024102025302</v>
      </c>
      <c r="D5087" s="1" t="str">
        <f>"CK2024102025421"</f>
        <v>CK2024102025421</v>
      </c>
      <c r="E5087" s="1" t="str">
        <f>"3723426195371592705"</f>
        <v>3723426195371592705</v>
      </c>
      <c r="F5087" s="1" t="str">
        <f t="shared" si="1650"/>
        <v>花都四部-凤凰仓</v>
      </c>
      <c r="G5087" s="1" t="str">
        <f t="shared" si="1636"/>
        <v>卡卡杜企业店（视频号）</v>
      </c>
      <c r="H5087" s="1" t="str">
        <f t="shared" si="1651"/>
        <v>正常订单</v>
      </c>
      <c r="I5087" s="1" t="str">
        <f t="shared" si="1652"/>
        <v>已发货</v>
      </c>
      <c r="J5087" s="1" t="str">
        <f t="shared" si="1657"/>
        <v>1</v>
      </c>
      <c r="K5087" s="1">
        <v>1</v>
      </c>
      <c r="L5087" s="1" t="s">
        <v>54</v>
      </c>
      <c r="M5087" s="1" t="str">
        <f>"黑龙江省 鹤岗市 萝北县 "</f>
        <v xml:space="preserve">黑龙江省 鹤岗市 萝北县 </v>
      </c>
      <c r="N5087" s="1" t="str">
        <f t="shared" si="1646"/>
        <v>凡华云仓-城南圆通-微信视频号</v>
      </c>
      <c r="O5087" s="5" t="s">
        <v>5111</v>
      </c>
      <c r="P5087" s="6">
        <v>0.12</v>
      </c>
      <c r="Q5087" s="11">
        <v>2</v>
      </c>
      <c r="R5087" s="11"/>
      <c r="S5087" s="11"/>
      <c r="T5087" s="11"/>
      <c r="U5087" s="11">
        <f t="shared" si="1648"/>
        <v>2</v>
      </c>
      <c r="W5087">
        <v>2.2000000000000002</v>
      </c>
      <c r="X5087" s="1" t="s">
        <v>54</v>
      </c>
    </row>
    <row r="5088" spans="1:24" x14ac:dyDescent="0.25">
      <c r="A5088" s="1" t="str">
        <f t="shared" si="1649"/>
        <v>卡卡杜-凤凰仓</v>
      </c>
      <c r="B5088" s="1" t="str">
        <f>"CK2024102018073"</f>
        <v>CK2024102018073</v>
      </c>
      <c r="C5088" s="1" t="str">
        <f>"DD2024102025305"</f>
        <v>DD2024102025305</v>
      </c>
      <c r="D5088" s="1" t="str">
        <f>"CK2024102025420"</f>
        <v>CK2024102025420</v>
      </c>
      <c r="E5088" s="1" t="str">
        <f>"3723426194329571328"</f>
        <v>3723426194329571328</v>
      </c>
      <c r="F5088" s="1" t="str">
        <f t="shared" si="1650"/>
        <v>花都四部-凤凰仓</v>
      </c>
      <c r="G5088" s="1" t="str">
        <f t="shared" si="1636"/>
        <v>卡卡杜企业店（视频号）</v>
      </c>
      <c r="H5088" s="1" t="str">
        <f t="shared" si="1651"/>
        <v>正常订单</v>
      </c>
      <c r="I5088" s="1" t="str">
        <f t="shared" si="1652"/>
        <v>已发货</v>
      </c>
      <c r="J5088" s="1" t="str">
        <f>"2"</f>
        <v>2</v>
      </c>
      <c r="K5088" s="1">
        <v>1</v>
      </c>
      <c r="L5088" s="1" t="s">
        <v>20</v>
      </c>
      <c r="M5088" s="1" t="str">
        <f>"浙江省 杭州市 萧山区 "</f>
        <v xml:space="preserve">浙江省 杭州市 萧山区 </v>
      </c>
      <c r="N5088" s="1" t="str">
        <f t="shared" si="1646"/>
        <v>凡华云仓-城南圆通-微信视频号</v>
      </c>
      <c r="O5088" s="5" t="s">
        <v>5112</v>
      </c>
      <c r="P5088" s="6">
        <v>0.2</v>
      </c>
      <c r="Q5088" s="11">
        <v>2</v>
      </c>
      <c r="R5088" s="11"/>
      <c r="S5088" s="11"/>
      <c r="T5088" s="11"/>
      <c r="U5088" s="11">
        <f t="shared" si="1648"/>
        <v>2</v>
      </c>
      <c r="W5088">
        <v>2.2000000000000002</v>
      </c>
      <c r="X5088" s="1" t="s">
        <v>20</v>
      </c>
    </row>
    <row r="5089" spans="1:24" x14ac:dyDescent="0.25">
      <c r="A5089" s="1" t="str">
        <f t="shared" si="1649"/>
        <v>卡卡杜-凤凰仓</v>
      </c>
      <c r="B5089" s="1" t="str">
        <f>"CK2024102018074"</f>
        <v>CK2024102018074</v>
      </c>
      <c r="C5089" s="1" t="str">
        <f>"DD2024102025304"</f>
        <v>DD2024102025304</v>
      </c>
      <c r="D5089" s="1" t="str">
        <f>"CK2024102025419"</f>
        <v>CK2024102025419</v>
      </c>
      <c r="E5089" s="1" t="str">
        <f>"3723426192263873792"</f>
        <v>3723426192263873792</v>
      </c>
      <c r="F5089" s="1" t="str">
        <f t="shared" si="1650"/>
        <v>花都四部-凤凰仓</v>
      </c>
      <c r="G5089" s="1" t="str">
        <f t="shared" si="1636"/>
        <v>卡卡杜企业店（视频号）</v>
      </c>
      <c r="H5089" s="1" t="str">
        <f t="shared" si="1651"/>
        <v>正常订单</v>
      </c>
      <c r="I5089" s="1" t="str">
        <f t="shared" si="1652"/>
        <v>已发货</v>
      </c>
      <c r="J5089" s="1" t="str">
        <f t="shared" ref="J5089:J5093" si="1658">"1"</f>
        <v>1</v>
      </c>
      <c r="K5089" s="1">
        <v>1</v>
      </c>
      <c r="L5089" s="1" t="s">
        <v>47</v>
      </c>
      <c r="M5089" s="1" t="str">
        <f>"重庆 重庆市 南岸区 "</f>
        <v xml:space="preserve">重庆 重庆市 南岸区 </v>
      </c>
      <c r="N5089" s="1" t="str">
        <f t="shared" si="1646"/>
        <v>凡华云仓-城南圆通-微信视频号</v>
      </c>
      <c r="O5089" s="5" t="s">
        <v>5113</v>
      </c>
      <c r="P5089" s="6">
        <v>0.12</v>
      </c>
      <c r="Q5089" s="11">
        <v>2</v>
      </c>
      <c r="R5089" s="11"/>
      <c r="S5089" s="11"/>
      <c r="T5089" s="11"/>
      <c r="U5089" s="11">
        <f t="shared" si="1648"/>
        <v>2</v>
      </c>
      <c r="W5089">
        <v>2.2000000000000002</v>
      </c>
      <c r="X5089" s="1" t="s">
        <v>47</v>
      </c>
    </row>
    <row r="5090" spans="1:24" x14ac:dyDescent="0.25">
      <c r="A5090" s="1" t="str">
        <f t="shared" si="1649"/>
        <v>卡卡杜-凤凰仓</v>
      </c>
      <c r="B5090" s="1" t="str">
        <f>"CK2024102018075"</f>
        <v>CK2024102018075</v>
      </c>
      <c r="C5090" s="1" t="str">
        <f>"DD2024102025306"</f>
        <v>DD2024102025306</v>
      </c>
      <c r="D5090" s="1" t="str">
        <f>"CK2024102025418"</f>
        <v>CK2024102025418</v>
      </c>
      <c r="E5090" s="1" t="str">
        <f>"3723426196012534784"</f>
        <v>3723426196012534784</v>
      </c>
      <c r="F5090" s="1" t="str">
        <f t="shared" si="1650"/>
        <v>花都四部-凤凰仓</v>
      </c>
      <c r="G5090" s="1" t="str">
        <f t="shared" ref="G5090:G5120" si="1659">"卡卡杜企业店（视频号）"</f>
        <v>卡卡杜企业店（视频号）</v>
      </c>
      <c r="H5090" s="1" t="str">
        <f t="shared" si="1651"/>
        <v>正常订单</v>
      </c>
      <c r="I5090" s="1" t="str">
        <f t="shared" si="1652"/>
        <v>已发货</v>
      </c>
      <c r="J5090" s="1" t="str">
        <f t="shared" si="1658"/>
        <v>1</v>
      </c>
      <c r="K5090" s="1">
        <v>1</v>
      </c>
      <c r="L5090" s="1" t="s">
        <v>18</v>
      </c>
      <c r="M5090" s="1" t="str">
        <f>"广东省 广州市 天河区 "</f>
        <v xml:space="preserve">广东省 广州市 天河区 </v>
      </c>
      <c r="N5090" s="1" t="str">
        <f t="shared" si="1646"/>
        <v>凡华云仓-城南圆通-微信视频号</v>
      </c>
      <c r="O5090" s="5" t="s">
        <v>5114</v>
      </c>
      <c r="P5090" s="6">
        <v>0.12</v>
      </c>
      <c r="Q5090" s="11">
        <v>2</v>
      </c>
      <c r="R5090" s="11"/>
      <c r="S5090" s="11"/>
      <c r="T5090" s="11"/>
      <c r="U5090" s="11">
        <f t="shared" si="1648"/>
        <v>2</v>
      </c>
      <c r="W5090">
        <v>2.2000000000000002</v>
      </c>
      <c r="X5090" s="1" t="s">
        <v>18</v>
      </c>
    </row>
    <row r="5091" spans="1:24" x14ac:dyDescent="0.25">
      <c r="A5091" s="1" t="str">
        <f t="shared" si="1649"/>
        <v>卡卡杜-凤凰仓</v>
      </c>
      <c r="B5091" s="1" t="str">
        <f>"CK2024102018076"</f>
        <v>CK2024102018076</v>
      </c>
      <c r="C5091" s="1" t="str">
        <f>"DD2024102025307"</f>
        <v>DD2024102025307</v>
      </c>
      <c r="D5091" s="1" t="str">
        <f>"CK2024102025417"</f>
        <v>CK2024102025417</v>
      </c>
      <c r="E5091" s="1" t="str">
        <f>"3723426195867831296"</f>
        <v>3723426195867831296</v>
      </c>
      <c r="F5091" s="1" t="str">
        <f t="shared" si="1650"/>
        <v>花都四部-凤凰仓</v>
      </c>
      <c r="G5091" s="1" t="str">
        <f t="shared" si="1659"/>
        <v>卡卡杜企业店（视频号）</v>
      </c>
      <c r="H5091" s="1" t="str">
        <f t="shared" si="1651"/>
        <v>正常订单</v>
      </c>
      <c r="I5091" s="1" t="str">
        <f t="shared" si="1652"/>
        <v>已发货</v>
      </c>
      <c r="J5091" s="1" t="str">
        <f t="shared" si="1658"/>
        <v>1</v>
      </c>
      <c r="K5091" s="1">
        <v>1</v>
      </c>
      <c r="L5091" s="1" t="s">
        <v>92</v>
      </c>
      <c r="M5091" s="1" t="str">
        <f>"辽宁省 沈阳市 于洪区 "</f>
        <v xml:space="preserve">辽宁省 沈阳市 于洪区 </v>
      </c>
      <c r="N5091" s="1" t="str">
        <f t="shared" si="1646"/>
        <v>凡华云仓-城南圆通-微信视频号</v>
      </c>
      <c r="O5091" s="5" t="s">
        <v>5115</v>
      </c>
      <c r="P5091" s="6">
        <v>0.12</v>
      </c>
      <c r="Q5091" s="11">
        <v>2</v>
      </c>
      <c r="R5091" s="11"/>
      <c r="S5091" s="11"/>
      <c r="T5091" s="11"/>
      <c r="U5091" s="11">
        <f t="shared" si="1648"/>
        <v>2</v>
      </c>
      <c r="W5091">
        <v>2.2000000000000002</v>
      </c>
      <c r="X5091" s="1" t="s">
        <v>92</v>
      </c>
    </row>
    <row r="5092" spans="1:24" x14ac:dyDescent="0.25">
      <c r="A5092" s="1" t="str">
        <f t="shared" si="1649"/>
        <v>卡卡杜-凤凰仓</v>
      </c>
      <c r="B5092" s="1" t="str">
        <f>"CK2024102018077"</f>
        <v>CK2024102018077</v>
      </c>
      <c r="C5092" s="1" t="str">
        <f>"DD2024102025308"</f>
        <v>DD2024102025308</v>
      </c>
      <c r="D5092" s="1" t="str">
        <f>"CK2024102025416"</f>
        <v>CK2024102025416</v>
      </c>
      <c r="E5092" s="1" t="str">
        <f>"3723426194810342400"</f>
        <v>3723426194810342400</v>
      </c>
      <c r="F5092" s="1" t="str">
        <f t="shared" si="1650"/>
        <v>花都四部-凤凰仓</v>
      </c>
      <c r="G5092" s="1" t="str">
        <f t="shared" si="1659"/>
        <v>卡卡杜企业店（视频号）</v>
      </c>
      <c r="H5092" s="1" t="str">
        <f t="shared" si="1651"/>
        <v>正常订单</v>
      </c>
      <c r="I5092" s="1" t="str">
        <f t="shared" si="1652"/>
        <v>已发货</v>
      </c>
      <c r="J5092" s="1" t="str">
        <f t="shared" si="1658"/>
        <v>1</v>
      </c>
      <c r="K5092" s="1">
        <v>1</v>
      </c>
      <c r="L5092" s="1" t="s">
        <v>96</v>
      </c>
      <c r="M5092" s="1" t="str">
        <f>"广西壮族自治区 贵港市 桂平市 "</f>
        <v xml:space="preserve">广西壮族自治区 贵港市 桂平市 </v>
      </c>
      <c r="N5092" s="1" t="str">
        <f t="shared" si="1646"/>
        <v>凡华云仓-城南圆通-微信视频号</v>
      </c>
      <c r="O5092" s="5" t="s">
        <v>5116</v>
      </c>
      <c r="P5092" s="6">
        <v>0.12</v>
      </c>
      <c r="Q5092" s="11">
        <v>2</v>
      </c>
      <c r="R5092" s="11"/>
      <c r="S5092" s="11"/>
      <c r="T5092" s="11"/>
      <c r="U5092" s="11">
        <f t="shared" si="1648"/>
        <v>2</v>
      </c>
      <c r="W5092">
        <v>2.2000000000000002</v>
      </c>
      <c r="X5092" s="1" t="s">
        <v>96</v>
      </c>
    </row>
    <row r="5093" spans="1:24" x14ac:dyDescent="0.25">
      <c r="A5093" s="1" t="str">
        <f t="shared" si="1649"/>
        <v>卡卡杜-凤凰仓</v>
      </c>
      <c r="B5093" s="1" t="str">
        <f>"CK2024102018078"</f>
        <v>CK2024102018078</v>
      </c>
      <c r="C5093" s="1" t="str">
        <f>"DD2024102025310"</f>
        <v>DD2024102025310</v>
      </c>
      <c r="D5093" s="1" t="str">
        <f>"CK2024102025415"</f>
        <v>CK2024102025415</v>
      </c>
      <c r="E5093" s="1" t="str">
        <f>"3723426185617476608"</f>
        <v>3723426185617476608</v>
      </c>
      <c r="F5093" s="1" t="str">
        <f t="shared" si="1650"/>
        <v>花都四部-凤凰仓</v>
      </c>
      <c r="G5093" s="1" t="str">
        <f t="shared" si="1659"/>
        <v>卡卡杜企业店（视频号）</v>
      </c>
      <c r="H5093" s="1" t="str">
        <f t="shared" si="1651"/>
        <v>正常订单</v>
      </c>
      <c r="I5093" s="1" t="str">
        <f t="shared" si="1652"/>
        <v>已发货</v>
      </c>
      <c r="J5093" s="1" t="str">
        <f t="shared" si="1658"/>
        <v>1</v>
      </c>
      <c r="K5093" s="1">
        <v>1</v>
      </c>
      <c r="L5093" s="1" t="s">
        <v>187</v>
      </c>
      <c r="M5093" s="1" t="str">
        <f>"吉林省 长春市 南关区 "</f>
        <v xml:space="preserve">吉林省 长春市 南关区 </v>
      </c>
      <c r="N5093" s="1" t="str">
        <f t="shared" si="1646"/>
        <v>凡华云仓-城南圆通-微信视频号</v>
      </c>
      <c r="O5093" s="5" t="s">
        <v>5117</v>
      </c>
      <c r="P5093" s="6">
        <v>0.12</v>
      </c>
      <c r="Q5093" s="11">
        <v>2</v>
      </c>
      <c r="R5093" s="11"/>
      <c r="S5093" s="11"/>
      <c r="T5093" s="11"/>
      <c r="U5093" s="11">
        <f t="shared" si="1648"/>
        <v>2</v>
      </c>
      <c r="W5093">
        <v>2.2000000000000002</v>
      </c>
      <c r="X5093" s="1" t="s">
        <v>187</v>
      </c>
    </row>
    <row r="5094" spans="1:24" x14ac:dyDescent="0.25">
      <c r="A5094" s="1" t="str">
        <f t="shared" si="1649"/>
        <v>卡卡杜-凤凰仓</v>
      </c>
      <c r="B5094" s="1" t="str">
        <f>"CK2024102018079"</f>
        <v>CK2024102018079</v>
      </c>
      <c r="C5094" s="1" t="str">
        <f>"DD2024102025312"</f>
        <v>DD2024102025312</v>
      </c>
      <c r="D5094" s="1" t="str">
        <f>"CK2024102025414"</f>
        <v>CK2024102025414</v>
      </c>
      <c r="E5094" s="1" t="str">
        <f>"3723426187379606784"</f>
        <v>3723426187379606784</v>
      </c>
      <c r="F5094" s="1" t="str">
        <f t="shared" si="1650"/>
        <v>花都四部-凤凰仓</v>
      </c>
      <c r="G5094" s="1" t="str">
        <f t="shared" si="1659"/>
        <v>卡卡杜企业店（视频号）</v>
      </c>
      <c r="H5094" s="1" t="str">
        <f t="shared" si="1651"/>
        <v>正常订单</v>
      </c>
      <c r="I5094" s="1" t="str">
        <f t="shared" si="1652"/>
        <v>已发货</v>
      </c>
      <c r="J5094" s="1" t="str">
        <f t="shared" ref="J5094:J5097" si="1660">"2"</f>
        <v>2</v>
      </c>
      <c r="K5094" s="1">
        <v>1</v>
      </c>
      <c r="L5094" s="1" t="s">
        <v>109</v>
      </c>
      <c r="M5094" s="1" t="str">
        <f>"山西省 长治市 潞州区 "</f>
        <v xml:space="preserve">山西省 长治市 潞州区 </v>
      </c>
      <c r="N5094" s="1" t="str">
        <f t="shared" si="1646"/>
        <v>凡华云仓-城南圆通-微信视频号</v>
      </c>
      <c r="O5094" s="5" t="s">
        <v>5118</v>
      </c>
      <c r="P5094" s="6">
        <v>0.2</v>
      </c>
      <c r="Q5094" s="11">
        <v>2</v>
      </c>
      <c r="R5094" s="11"/>
      <c r="S5094" s="11"/>
      <c r="T5094" s="11"/>
      <c r="U5094" s="11">
        <f t="shared" si="1648"/>
        <v>2</v>
      </c>
      <c r="W5094">
        <v>2.2000000000000002</v>
      </c>
      <c r="X5094" s="1" t="s">
        <v>109</v>
      </c>
    </row>
    <row r="5095" spans="1:24" x14ac:dyDescent="0.25">
      <c r="A5095" s="1" t="str">
        <f t="shared" si="1649"/>
        <v>卡卡杜-凤凰仓</v>
      </c>
      <c r="B5095" s="1" t="str">
        <f>"CK2024102018080"</f>
        <v>CK2024102018080</v>
      </c>
      <c r="C5095" s="1" t="str">
        <f>"DD2024102025309"</f>
        <v>DD2024102025309</v>
      </c>
      <c r="D5095" s="1" t="str">
        <f>"CK2024102025413"</f>
        <v>CK2024102025413</v>
      </c>
      <c r="E5095" s="1" t="str">
        <f>"3723426191483733249"</f>
        <v>3723426191483733249</v>
      </c>
      <c r="F5095" s="1" t="str">
        <f t="shared" si="1650"/>
        <v>花都四部-凤凰仓</v>
      </c>
      <c r="G5095" s="1" t="str">
        <f t="shared" si="1659"/>
        <v>卡卡杜企业店（视频号）</v>
      </c>
      <c r="H5095" s="1" t="str">
        <f t="shared" si="1651"/>
        <v>正常订单</v>
      </c>
      <c r="I5095" s="1" t="str">
        <f t="shared" si="1652"/>
        <v>已发货</v>
      </c>
      <c r="J5095" s="1" t="str">
        <f t="shared" si="1660"/>
        <v>2</v>
      </c>
      <c r="K5095" s="1">
        <v>1</v>
      </c>
      <c r="L5095" s="1" t="s">
        <v>18</v>
      </c>
      <c r="M5095" s="1" t="str">
        <f>"广东省 广州市 番禺区 "</f>
        <v xml:space="preserve">广东省 广州市 番禺区 </v>
      </c>
      <c r="N5095" s="1" t="str">
        <f t="shared" si="1646"/>
        <v>凡华云仓-城南圆通-微信视频号</v>
      </c>
      <c r="O5095" s="5" t="s">
        <v>5119</v>
      </c>
      <c r="P5095" s="6">
        <v>0.2</v>
      </c>
      <c r="Q5095" s="11">
        <v>2</v>
      </c>
      <c r="R5095" s="11"/>
      <c r="S5095" s="11"/>
      <c r="T5095" s="11"/>
      <c r="U5095" s="11">
        <f t="shared" si="1648"/>
        <v>2</v>
      </c>
      <c r="W5095">
        <v>2.2000000000000002</v>
      </c>
      <c r="X5095" s="1" t="s">
        <v>18</v>
      </c>
    </row>
    <row r="5096" spans="1:24" x14ac:dyDescent="0.25">
      <c r="A5096" s="1" t="str">
        <f t="shared" si="1649"/>
        <v>卡卡杜-凤凰仓</v>
      </c>
      <c r="B5096" s="1" t="str">
        <f>"CK2024102018081"</f>
        <v>CK2024102018081</v>
      </c>
      <c r="C5096" s="1" t="str">
        <f>"DD2024102025311"</f>
        <v>DD2024102025311</v>
      </c>
      <c r="D5096" s="1" t="str">
        <f>"CK2024102025412"</f>
        <v>CK2024102025412</v>
      </c>
      <c r="E5096" s="1" t="str">
        <f>"3723426186957817344"</f>
        <v>3723426186957817344</v>
      </c>
      <c r="F5096" s="1" t="str">
        <f t="shared" si="1650"/>
        <v>花都四部-凤凰仓</v>
      </c>
      <c r="G5096" s="1" t="str">
        <f t="shared" si="1659"/>
        <v>卡卡杜企业店（视频号）</v>
      </c>
      <c r="H5096" s="1" t="str">
        <f t="shared" si="1651"/>
        <v>正常订单</v>
      </c>
      <c r="I5096" s="1" t="str">
        <f t="shared" si="1652"/>
        <v>已发货</v>
      </c>
      <c r="J5096" s="1" t="str">
        <f t="shared" ref="J5096:J5102" si="1661">"1"</f>
        <v>1</v>
      </c>
      <c r="K5096" s="1">
        <v>1</v>
      </c>
      <c r="L5096" s="1" t="s">
        <v>54</v>
      </c>
      <c r="M5096" s="1" t="str">
        <f>"黑龙江省 绥化市 安达市 "</f>
        <v xml:space="preserve">黑龙江省 绥化市 安达市 </v>
      </c>
      <c r="N5096" s="1" t="str">
        <f t="shared" si="1646"/>
        <v>凡华云仓-城南圆通-微信视频号</v>
      </c>
      <c r="O5096" s="5" t="s">
        <v>5120</v>
      </c>
      <c r="P5096" s="6">
        <v>0.12</v>
      </c>
      <c r="Q5096" s="11">
        <v>2</v>
      </c>
      <c r="R5096" s="11"/>
      <c r="S5096" s="11"/>
      <c r="T5096" s="11"/>
      <c r="U5096" s="11">
        <f t="shared" si="1648"/>
        <v>2</v>
      </c>
      <c r="W5096">
        <v>2.2000000000000002</v>
      </c>
      <c r="X5096" s="1" t="s">
        <v>54</v>
      </c>
    </row>
    <row r="5097" spans="1:24" x14ac:dyDescent="0.25">
      <c r="A5097" s="1" t="str">
        <f t="shared" si="1649"/>
        <v>卡卡杜-凤凰仓</v>
      </c>
      <c r="B5097" s="1" t="str">
        <f>"CK2024102018086"</f>
        <v>CK2024102018086</v>
      </c>
      <c r="C5097" s="1" t="str">
        <f>"DD2024102025316"</f>
        <v>DD2024102025316</v>
      </c>
      <c r="D5097" s="1" t="str">
        <f>"CK2024102025411"</f>
        <v>CK2024102025411</v>
      </c>
      <c r="E5097" s="1" t="str">
        <f>"3723426181296034816"</f>
        <v>3723426181296034816</v>
      </c>
      <c r="F5097" s="1" t="str">
        <f t="shared" si="1650"/>
        <v>花都四部-凤凰仓</v>
      </c>
      <c r="G5097" s="1" t="str">
        <f t="shared" si="1659"/>
        <v>卡卡杜企业店（视频号）</v>
      </c>
      <c r="H5097" s="1" t="str">
        <f t="shared" si="1651"/>
        <v>正常订单</v>
      </c>
      <c r="I5097" s="1" t="str">
        <f t="shared" si="1652"/>
        <v>已发货</v>
      </c>
      <c r="J5097" s="1" t="str">
        <f t="shared" si="1660"/>
        <v>2</v>
      </c>
      <c r="K5097" s="1">
        <v>1</v>
      </c>
      <c r="L5097" s="1" t="s">
        <v>13</v>
      </c>
      <c r="M5097" s="1" t="str">
        <f>"江苏省 苏州市 相城区 "</f>
        <v xml:space="preserve">江苏省 苏州市 相城区 </v>
      </c>
      <c r="N5097" s="1" t="str">
        <f t="shared" si="1646"/>
        <v>凡华云仓-城南圆通-微信视频号</v>
      </c>
      <c r="O5097" s="5" t="s">
        <v>5121</v>
      </c>
      <c r="P5097" s="6">
        <v>0.2</v>
      </c>
      <c r="Q5097" s="11">
        <v>2</v>
      </c>
      <c r="R5097" s="11"/>
      <c r="S5097" s="11"/>
      <c r="T5097" s="11"/>
      <c r="U5097" s="11">
        <f t="shared" si="1648"/>
        <v>2</v>
      </c>
      <c r="W5097">
        <v>2.2000000000000002</v>
      </c>
      <c r="X5097" s="1" t="s">
        <v>13</v>
      </c>
    </row>
    <row r="5098" spans="1:24" x14ac:dyDescent="0.25">
      <c r="A5098" s="1" t="str">
        <f t="shared" si="1649"/>
        <v>卡卡杜-凤凰仓</v>
      </c>
      <c r="B5098" s="1" t="str">
        <f>"CK2024102018082"</f>
        <v>CK2024102018082</v>
      </c>
      <c r="C5098" s="1" t="str">
        <f>"DD2024102025313"</f>
        <v>DD2024102025313</v>
      </c>
      <c r="D5098" s="1" t="str">
        <f>"CK2024102025410"</f>
        <v>CK2024102025410</v>
      </c>
      <c r="E5098" s="1" t="str">
        <f>"3723426188594906624"</f>
        <v>3723426188594906624</v>
      </c>
      <c r="F5098" s="1" t="str">
        <f t="shared" si="1650"/>
        <v>花都四部-凤凰仓</v>
      </c>
      <c r="G5098" s="1" t="str">
        <f t="shared" si="1659"/>
        <v>卡卡杜企业店（视频号）</v>
      </c>
      <c r="H5098" s="1" t="str">
        <f t="shared" si="1651"/>
        <v>正常订单</v>
      </c>
      <c r="I5098" s="1" t="str">
        <f t="shared" si="1652"/>
        <v>已发货</v>
      </c>
      <c r="J5098" s="1" t="str">
        <f t="shared" si="1661"/>
        <v>1</v>
      </c>
      <c r="K5098" s="1">
        <v>1</v>
      </c>
      <c r="L5098" s="1" t="s">
        <v>30</v>
      </c>
      <c r="M5098" s="1" t="str">
        <f>"山东省 菏泽市 牡丹区 "</f>
        <v xml:space="preserve">山东省 菏泽市 牡丹区 </v>
      </c>
      <c r="N5098" s="1" t="str">
        <f t="shared" si="1646"/>
        <v>凡华云仓-城南圆通-微信视频号</v>
      </c>
      <c r="O5098" s="5" t="s">
        <v>5122</v>
      </c>
      <c r="P5098" s="6">
        <v>0.12</v>
      </c>
      <c r="Q5098" s="11">
        <v>2</v>
      </c>
      <c r="R5098" s="11"/>
      <c r="S5098" s="11"/>
      <c r="T5098" s="11"/>
      <c r="U5098" s="11">
        <f t="shared" si="1648"/>
        <v>2</v>
      </c>
      <c r="W5098">
        <v>2.2000000000000002</v>
      </c>
      <c r="X5098" s="1" t="s">
        <v>30</v>
      </c>
    </row>
    <row r="5099" spans="1:24" x14ac:dyDescent="0.25">
      <c r="A5099" s="1" t="str">
        <f t="shared" si="1649"/>
        <v>卡卡杜-凤凰仓</v>
      </c>
      <c r="B5099" s="1" t="str">
        <f>"CK2024102018084"</f>
        <v>CK2024102018084</v>
      </c>
      <c r="C5099" s="1" t="str">
        <f>"DD2024102025318"</f>
        <v>DD2024102025318</v>
      </c>
      <c r="D5099" s="1" t="str">
        <f>"CK2024102025409"</f>
        <v>CK2024102025409</v>
      </c>
      <c r="E5099" s="1" t="str">
        <f>"3723426186908273665"</f>
        <v>3723426186908273665</v>
      </c>
      <c r="F5099" s="1" t="str">
        <f t="shared" si="1650"/>
        <v>花都四部-凤凰仓</v>
      </c>
      <c r="G5099" s="1" t="str">
        <f t="shared" si="1659"/>
        <v>卡卡杜企业店（视频号）</v>
      </c>
      <c r="H5099" s="1" t="str">
        <f t="shared" si="1651"/>
        <v>正常订单</v>
      </c>
      <c r="I5099" s="1" t="str">
        <f t="shared" si="1652"/>
        <v>已发货</v>
      </c>
      <c r="J5099" s="1" t="str">
        <f>"2"</f>
        <v>2</v>
      </c>
      <c r="K5099" s="1">
        <v>1</v>
      </c>
      <c r="L5099" s="1" t="s">
        <v>20</v>
      </c>
      <c r="M5099" s="1" t="str">
        <f>"浙江省 嘉兴市 南湖区 "</f>
        <v xml:space="preserve">浙江省 嘉兴市 南湖区 </v>
      </c>
      <c r="N5099" s="1" t="str">
        <f t="shared" si="1646"/>
        <v>凡华云仓-城南圆通-微信视频号</v>
      </c>
      <c r="O5099" s="5" t="s">
        <v>5123</v>
      </c>
      <c r="P5099" s="6">
        <v>0.2</v>
      </c>
      <c r="Q5099" s="11">
        <v>2</v>
      </c>
      <c r="R5099" s="11"/>
      <c r="S5099" s="11"/>
      <c r="T5099" s="11"/>
      <c r="U5099" s="11">
        <f t="shared" si="1648"/>
        <v>2</v>
      </c>
      <c r="W5099">
        <v>2.2000000000000002</v>
      </c>
      <c r="X5099" s="1" t="s">
        <v>20</v>
      </c>
    </row>
    <row r="5100" spans="1:24" x14ac:dyDescent="0.25">
      <c r="A5100" s="1" t="str">
        <f t="shared" si="1649"/>
        <v>卡卡杜-凤凰仓</v>
      </c>
      <c r="B5100" s="1" t="str">
        <f>"CK2024102018083"</f>
        <v>CK2024102018083</v>
      </c>
      <c r="C5100" s="1" t="str">
        <f>"DD2024102025314"</f>
        <v>DD2024102025314</v>
      </c>
      <c r="D5100" s="1" t="str">
        <f>"CK2024102025408"</f>
        <v>CK2024102025408</v>
      </c>
      <c r="E5100" s="1" t="str">
        <f>"3723426186506142976"</f>
        <v>3723426186506142976</v>
      </c>
      <c r="F5100" s="1" t="str">
        <f t="shared" si="1650"/>
        <v>花都四部-凤凰仓</v>
      </c>
      <c r="G5100" s="1" t="str">
        <f t="shared" si="1659"/>
        <v>卡卡杜企业店（视频号）</v>
      </c>
      <c r="H5100" s="1" t="str">
        <f t="shared" si="1651"/>
        <v>正常订单</v>
      </c>
      <c r="I5100" s="1" t="str">
        <f t="shared" si="1652"/>
        <v>已发货</v>
      </c>
      <c r="J5100" s="1" t="str">
        <f t="shared" si="1661"/>
        <v>1</v>
      </c>
      <c r="K5100" s="1">
        <v>1</v>
      </c>
      <c r="L5100" s="1" t="s">
        <v>92</v>
      </c>
      <c r="M5100" s="1" t="str">
        <f>"辽宁省 沈阳市 沈北新区 "</f>
        <v xml:space="preserve">辽宁省 沈阳市 沈北新区 </v>
      </c>
      <c r="N5100" s="1" t="str">
        <f t="shared" si="1646"/>
        <v>凡华云仓-城南圆通-微信视频号</v>
      </c>
      <c r="O5100" s="5" t="s">
        <v>5124</v>
      </c>
      <c r="P5100" s="6">
        <v>0.12</v>
      </c>
      <c r="Q5100" s="11">
        <v>2</v>
      </c>
      <c r="R5100" s="11"/>
      <c r="S5100" s="11"/>
      <c r="T5100" s="11"/>
      <c r="U5100" s="11">
        <f t="shared" si="1648"/>
        <v>2</v>
      </c>
      <c r="W5100">
        <v>2.2000000000000002</v>
      </c>
      <c r="X5100" s="1" t="s">
        <v>92</v>
      </c>
    </row>
    <row r="5101" spans="1:24" x14ac:dyDescent="0.25">
      <c r="A5101" s="1" t="str">
        <f t="shared" si="1649"/>
        <v>卡卡杜-凤凰仓</v>
      </c>
      <c r="B5101" s="1" t="str">
        <f>"CK2024102018085"</f>
        <v>CK2024102018085</v>
      </c>
      <c r="C5101" s="1" t="str">
        <f>"DD2024102025315"</f>
        <v>DD2024102025315</v>
      </c>
      <c r="D5101" s="1" t="str">
        <f>"CK2024102025407"</f>
        <v>CK2024102025407</v>
      </c>
      <c r="E5101" s="1" t="str">
        <f>"3723426184338478080"</f>
        <v>3723426184338478080</v>
      </c>
      <c r="F5101" s="1" t="str">
        <f t="shared" si="1650"/>
        <v>花都四部-凤凰仓</v>
      </c>
      <c r="G5101" s="1" t="str">
        <f t="shared" si="1659"/>
        <v>卡卡杜企业店（视频号）</v>
      </c>
      <c r="H5101" s="1" t="str">
        <f t="shared" si="1651"/>
        <v>正常订单</v>
      </c>
      <c r="I5101" s="1" t="str">
        <f t="shared" si="1652"/>
        <v>已发货</v>
      </c>
      <c r="J5101" s="1" t="str">
        <f t="shared" si="1661"/>
        <v>1</v>
      </c>
      <c r="K5101" s="1">
        <v>1</v>
      </c>
      <c r="L5101" s="1" t="s">
        <v>20</v>
      </c>
      <c r="M5101" s="1" t="str">
        <f>"浙江省 杭州市 上城区 "</f>
        <v xml:space="preserve">浙江省 杭州市 上城区 </v>
      </c>
      <c r="N5101" s="1" t="str">
        <f t="shared" si="1646"/>
        <v>凡华云仓-城南圆通-微信视频号</v>
      </c>
      <c r="O5101" s="5" t="s">
        <v>5125</v>
      </c>
      <c r="P5101" s="6">
        <v>0.12</v>
      </c>
      <c r="Q5101" s="11">
        <v>2</v>
      </c>
      <c r="R5101" s="11"/>
      <c r="S5101" s="11"/>
      <c r="T5101" s="11"/>
      <c r="U5101" s="11">
        <f t="shared" si="1648"/>
        <v>2</v>
      </c>
      <c r="W5101">
        <v>2.2000000000000002</v>
      </c>
      <c r="X5101" s="1" t="s">
        <v>20</v>
      </c>
    </row>
    <row r="5102" spans="1:24" x14ac:dyDescent="0.25">
      <c r="A5102" s="1" t="str">
        <f t="shared" si="1649"/>
        <v>卡卡杜-凤凰仓</v>
      </c>
      <c r="B5102" s="1" t="str">
        <f>"CK2024102018088"</f>
        <v>CK2024102018088</v>
      </c>
      <c r="C5102" s="1" t="str">
        <f>"DD2024102025319"</f>
        <v>DD2024102025319</v>
      </c>
      <c r="D5102" s="1" t="str">
        <f>"CK2024102025406"</f>
        <v>CK2024102025406</v>
      </c>
      <c r="E5102" s="1" t="str">
        <f>"3723426185519697920"</f>
        <v>3723426185519697920</v>
      </c>
      <c r="F5102" s="1" t="str">
        <f t="shared" si="1650"/>
        <v>花都四部-凤凰仓</v>
      </c>
      <c r="G5102" s="1" t="str">
        <f t="shared" si="1659"/>
        <v>卡卡杜企业店（视频号）</v>
      </c>
      <c r="H5102" s="1" t="str">
        <f t="shared" si="1651"/>
        <v>正常订单</v>
      </c>
      <c r="I5102" s="1" t="str">
        <f t="shared" si="1652"/>
        <v>已发货</v>
      </c>
      <c r="J5102" s="1" t="str">
        <f t="shared" si="1661"/>
        <v>1</v>
      </c>
      <c r="K5102" s="1">
        <v>1</v>
      </c>
      <c r="L5102" s="1" t="s">
        <v>92</v>
      </c>
      <c r="M5102" s="1" t="str">
        <f>"辽宁省 铁岭市 银州区 "</f>
        <v xml:space="preserve">辽宁省 铁岭市 银州区 </v>
      </c>
      <c r="N5102" s="1" t="str">
        <f t="shared" si="1646"/>
        <v>凡华云仓-城南圆通-微信视频号</v>
      </c>
      <c r="O5102" s="5" t="s">
        <v>5126</v>
      </c>
      <c r="P5102" s="6">
        <v>0.12</v>
      </c>
      <c r="Q5102" s="11">
        <v>2</v>
      </c>
      <c r="R5102" s="11"/>
      <c r="S5102" s="11"/>
      <c r="T5102" s="11"/>
      <c r="U5102" s="11">
        <f t="shared" si="1648"/>
        <v>2</v>
      </c>
      <c r="W5102">
        <v>2.2000000000000002</v>
      </c>
      <c r="X5102" s="1" t="s">
        <v>92</v>
      </c>
    </row>
    <row r="5103" spans="1:24" x14ac:dyDescent="0.25">
      <c r="A5103" s="1" t="str">
        <f t="shared" si="1649"/>
        <v>卡卡杜-凤凰仓</v>
      </c>
      <c r="B5103" s="1" t="str">
        <f>"CK2024102018087"</f>
        <v>CK2024102018087</v>
      </c>
      <c r="C5103" s="1" t="str">
        <f>"DD2024102025317"</f>
        <v>DD2024102025317</v>
      </c>
      <c r="D5103" s="1" t="str">
        <f>"CK2024102025405"</f>
        <v>CK2024102025405</v>
      </c>
      <c r="E5103" s="1" t="str">
        <f>"3723426186323428864"</f>
        <v>3723426186323428864</v>
      </c>
      <c r="F5103" s="1" t="str">
        <f t="shared" si="1650"/>
        <v>花都四部-凤凰仓</v>
      </c>
      <c r="G5103" s="1" t="str">
        <f t="shared" si="1659"/>
        <v>卡卡杜企业店（视频号）</v>
      </c>
      <c r="H5103" s="1" t="str">
        <f t="shared" si="1651"/>
        <v>正常订单</v>
      </c>
      <c r="I5103" s="1" t="str">
        <f t="shared" si="1652"/>
        <v>已发货</v>
      </c>
      <c r="J5103" s="1" t="str">
        <f>"2"</f>
        <v>2</v>
      </c>
      <c r="K5103" s="1">
        <v>1</v>
      </c>
      <c r="L5103" s="1" t="s">
        <v>109</v>
      </c>
      <c r="M5103" s="1" t="str">
        <f>"山西省 太原市 尖草坪区 "</f>
        <v xml:space="preserve">山西省 太原市 尖草坪区 </v>
      </c>
      <c r="N5103" s="1" t="str">
        <f t="shared" si="1646"/>
        <v>凡华云仓-城南圆通-微信视频号</v>
      </c>
      <c r="O5103" s="5" t="s">
        <v>5127</v>
      </c>
      <c r="P5103" s="6">
        <v>0.2</v>
      </c>
      <c r="Q5103" s="11">
        <v>2</v>
      </c>
      <c r="R5103" s="11"/>
      <c r="S5103" s="11"/>
      <c r="T5103" s="11"/>
      <c r="U5103" s="11">
        <f t="shared" si="1648"/>
        <v>2</v>
      </c>
      <c r="W5103">
        <v>2.2000000000000002</v>
      </c>
      <c r="X5103" s="1" t="s">
        <v>109</v>
      </c>
    </row>
    <row r="5104" spans="1:24" x14ac:dyDescent="0.25">
      <c r="A5104" s="1" t="str">
        <f t="shared" si="1649"/>
        <v>卡卡杜-凤凰仓</v>
      </c>
      <c r="B5104" s="1" t="str">
        <f>"CK2024102018090"</f>
        <v>CK2024102018090</v>
      </c>
      <c r="C5104" s="1" t="str">
        <f>"DD2024102025321"</f>
        <v>DD2024102025321</v>
      </c>
      <c r="D5104" s="1" t="str">
        <f>"CK2024102025404"</f>
        <v>CK2024102025404</v>
      </c>
      <c r="E5104" s="1" t="str">
        <f>"3723426179904570880"</f>
        <v>3723426179904570880</v>
      </c>
      <c r="F5104" s="1" t="str">
        <f t="shared" si="1650"/>
        <v>花都四部-凤凰仓</v>
      </c>
      <c r="G5104" s="1" t="str">
        <f t="shared" si="1659"/>
        <v>卡卡杜企业店（视频号）</v>
      </c>
      <c r="H5104" s="1" t="str">
        <f t="shared" si="1651"/>
        <v>正常订单</v>
      </c>
      <c r="I5104" s="1" t="str">
        <f t="shared" si="1652"/>
        <v>已发货</v>
      </c>
      <c r="J5104" s="1" t="str">
        <f t="shared" ref="J5104:J5107" si="1662">"1"</f>
        <v>1</v>
      </c>
      <c r="K5104" s="1">
        <v>1</v>
      </c>
      <c r="L5104" s="1" t="s">
        <v>13</v>
      </c>
      <c r="M5104" s="1" t="str">
        <f>"江苏省 苏州市 昆山市 "</f>
        <v xml:space="preserve">江苏省 苏州市 昆山市 </v>
      </c>
      <c r="N5104" s="1" t="str">
        <f t="shared" si="1646"/>
        <v>凡华云仓-城南圆通-微信视频号</v>
      </c>
      <c r="O5104" s="5" t="s">
        <v>5128</v>
      </c>
      <c r="P5104" s="6">
        <v>0.12</v>
      </c>
      <c r="Q5104" s="11">
        <v>2</v>
      </c>
      <c r="R5104" s="11"/>
      <c r="S5104" s="11"/>
      <c r="T5104" s="11"/>
      <c r="U5104" s="11">
        <f t="shared" si="1648"/>
        <v>2</v>
      </c>
      <c r="W5104">
        <v>2.2000000000000002</v>
      </c>
      <c r="X5104" s="1" t="s">
        <v>13</v>
      </c>
    </row>
    <row r="5105" spans="1:24" x14ac:dyDescent="0.25">
      <c r="A5105" s="1" t="str">
        <f t="shared" si="1649"/>
        <v>卡卡杜-凤凰仓</v>
      </c>
      <c r="B5105" s="1" t="str">
        <f>"CK2024102018089"</f>
        <v>CK2024102018089</v>
      </c>
      <c r="C5105" s="1" t="str">
        <f>"DD2024102025320"</f>
        <v>DD2024102025320</v>
      </c>
      <c r="D5105" s="1" t="str">
        <f>"CK2024102025403"</f>
        <v>CK2024102025403</v>
      </c>
      <c r="E5105" s="1" t="str">
        <f>"3723426180307227648"</f>
        <v>3723426180307227648</v>
      </c>
      <c r="F5105" s="1" t="str">
        <f t="shared" si="1650"/>
        <v>花都四部-凤凰仓</v>
      </c>
      <c r="G5105" s="1" t="str">
        <f t="shared" si="1659"/>
        <v>卡卡杜企业店（视频号）</v>
      </c>
      <c r="H5105" s="1" t="str">
        <f t="shared" si="1651"/>
        <v>正常订单</v>
      </c>
      <c r="I5105" s="1" t="str">
        <f t="shared" si="1652"/>
        <v>已发货</v>
      </c>
      <c r="J5105" s="1" t="str">
        <f t="shared" si="1662"/>
        <v>1</v>
      </c>
      <c r="K5105" s="1">
        <v>1</v>
      </c>
      <c r="L5105" s="1" t="s">
        <v>20</v>
      </c>
      <c r="M5105" s="1" t="str">
        <f>"浙江省 宁波市 北仑区 "</f>
        <v xml:space="preserve">浙江省 宁波市 北仑区 </v>
      </c>
      <c r="N5105" s="1" t="str">
        <f t="shared" si="1646"/>
        <v>凡华云仓-城南圆通-微信视频号</v>
      </c>
      <c r="O5105" s="5" t="s">
        <v>5129</v>
      </c>
      <c r="P5105" s="6">
        <v>0.12</v>
      </c>
      <c r="Q5105" s="11">
        <v>2</v>
      </c>
      <c r="R5105" s="11"/>
      <c r="S5105" s="11"/>
      <c r="T5105" s="11"/>
      <c r="U5105" s="11">
        <f t="shared" si="1648"/>
        <v>2</v>
      </c>
      <c r="W5105">
        <v>2.2000000000000002</v>
      </c>
      <c r="X5105" s="1" t="s">
        <v>20</v>
      </c>
    </row>
    <row r="5106" spans="1:24" x14ac:dyDescent="0.25">
      <c r="A5106" s="1" t="str">
        <f t="shared" si="1649"/>
        <v>卡卡杜-凤凰仓</v>
      </c>
      <c r="B5106" s="1" t="str">
        <f>"CK2024102018091"</f>
        <v>CK2024102018091</v>
      </c>
      <c r="C5106" s="1" t="str">
        <f>"DD2024102025324"</f>
        <v>DD2024102025324</v>
      </c>
      <c r="D5106" s="1" t="str">
        <f>"CK2024102025402"</f>
        <v>CK2024102025402</v>
      </c>
      <c r="E5106" s="1" t="str">
        <f>"3723426177638077440"</f>
        <v>3723426177638077440</v>
      </c>
      <c r="F5106" s="1" t="str">
        <f t="shared" si="1650"/>
        <v>花都四部-凤凰仓</v>
      </c>
      <c r="G5106" s="1" t="str">
        <f t="shared" si="1659"/>
        <v>卡卡杜企业店（视频号）</v>
      </c>
      <c r="H5106" s="1" t="str">
        <f t="shared" si="1651"/>
        <v>正常订单</v>
      </c>
      <c r="I5106" s="1" t="str">
        <f t="shared" si="1652"/>
        <v>已发货</v>
      </c>
      <c r="J5106" s="1" t="str">
        <f t="shared" si="1662"/>
        <v>1</v>
      </c>
      <c r="K5106" s="1">
        <v>1</v>
      </c>
      <c r="L5106" s="1" t="s">
        <v>41</v>
      </c>
      <c r="M5106" s="1" t="str">
        <f>"湖北省 宜昌市 枝江市 "</f>
        <v xml:space="preserve">湖北省 宜昌市 枝江市 </v>
      </c>
      <c r="N5106" s="1" t="str">
        <f t="shared" si="1646"/>
        <v>凡华云仓-城南圆通-微信视频号</v>
      </c>
      <c r="O5106" s="5" t="s">
        <v>5130</v>
      </c>
      <c r="P5106" s="6">
        <v>0.12</v>
      </c>
      <c r="Q5106" s="11">
        <v>2</v>
      </c>
      <c r="R5106" s="11"/>
      <c r="S5106" s="11"/>
      <c r="T5106" s="11"/>
      <c r="U5106" s="11">
        <f t="shared" si="1648"/>
        <v>2</v>
      </c>
      <c r="W5106">
        <v>2.2000000000000002</v>
      </c>
      <c r="X5106" s="1" t="s">
        <v>41</v>
      </c>
    </row>
    <row r="5107" spans="1:24" x14ac:dyDescent="0.25">
      <c r="A5107" s="1" t="str">
        <f t="shared" si="1649"/>
        <v>卡卡杜-凤凰仓</v>
      </c>
      <c r="B5107" s="1" t="str">
        <f>"CK2024102018092"</f>
        <v>CK2024102018092</v>
      </c>
      <c r="C5107" s="1" t="str">
        <f>"DD2024102025323"</f>
        <v>DD2024102025323</v>
      </c>
      <c r="D5107" s="1" t="str">
        <f>"CK2024102025401"</f>
        <v>CK2024102025401</v>
      </c>
      <c r="E5107" s="1" t="str">
        <f>"3723426178069824768"</f>
        <v>3723426178069824768</v>
      </c>
      <c r="F5107" s="1" t="str">
        <f t="shared" si="1650"/>
        <v>花都四部-凤凰仓</v>
      </c>
      <c r="G5107" s="1" t="str">
        <f t="shared" si="1659"/>
        <v>卡卡杜企业店（视频号）</v>
      </c>
      <c r="H5107" s="1" t="str">
        <f t="shared" si="1651"/>
        <v>正常订单</v>
      </c>
      <c r="I5107" s="1" t="str">
        <f t="shared" si="1652"/>
        <v>已发货</v>
      </c>
      <c r="J5107" s="1" t="str">
        <f t="shared" si="1662"/>
        <v>1</v>
      </c>
      <c r="K5107" s="1">
        <v>1</v>
      </c>
      <c r="L5107" s="1" t="s">
        <v>96</v>
      </c>
      <c r="M5107" s="1" t="str">
        <f>"广西壮族自治区 南宁市 青秀区 "</f>
        <v xml:space="preserve">广西壮族自治区 南宁市 青秀区 </v>
      </c>
      <c r="N5107" s="1" t="str">
        <f t="shared" si="1646"/>
        <v>凡华云仓-城南圆通-微信视频号</v>
      </c>
      <c r="O5107" s="5" t="s">
        <v>5131</v>
      </c>
      <c r="P5107" s="6">
        <v>0.12</v>
      </c>
      <c r="Q5107" s="11">
        <v>2</v>
      </c>
      <c r="R5107" s="11"/>
      <c r="S5107" s="11"/>
      <c r="T5107" s="11"/>
      <c r="U5107" s="11">
        <f t="shared" si="1648"/>
        <v>2</v>
      </c>
      <c r="W5107">
        <v>2.2000000000000002</v>
      </c>
      <c r="X5107" s="1" t="s">
        <v>96</v>
      </c>
    </row>
    <row r="5108" spans="1:24" x14ac:dyDescent="0.25">
      <c r="A5108" s="1" t="str">
        <f t="shared" si="1649"/>
        <v>卡卡杜-凤凰仓</v>
      </c>
      <c r="B5108" s="1" t="str">
        <f>"CK2024102018093"</f>
        <v>CK2024102018093</v>
      </c>
      <c r="C5108" s="1" t="str">
        <f>"DD2024102025322"</f>
        <v>DD2024102025322</v>
      </c>
      <c r="D5108" s="1" t="str">
        <f>"CK2024102025400"</f>
        <v>CK2024102025400</v>
      </c>
      <c r="E5108" s="1" t="str">
        <f>"3723426171923334400"</f>
        <v>3723426171923334400</v>
      </c>
      <c r="F5108" s="1" t="str">
        <f t="shared" si="1650"/>
        <v>花都四部-凤凰仓</v>
      </c>
      <c r="G5108" s="1" t="str">
        <f t="shared" si="1659"/>
        <v>卡卡杜企业店（视频号）</v>
      </c>
      <c r="H5108" s="1" t="str">
        <f t="shared" si="1651"/>
        <v>正常订单</v>
      </c>
      <c r="I5108" s="1" t="str">
        <f t="shared" si="1652"/>
        <v>已发货</v>
      </c>
      <c r="J5108" s="1" t="str">
        <f>"2"</f>
        <v>2</v>
      </c>
      <c r="K5108" s="1">
        <v>1</v>
      </c>
      <c r="L5108" s="1" t="s">
        <v>105</v>
      </c>
      <c r="M5108" s="1" t="str">
        <f>"北京 北京市 朝阳区 "</f>
        <v xml:space="preserve">北京 北京市 朝阳区 </v>
      </c>
      <c r="N5108" s="1" t="str">
        <f t="shared" si="1646"/>
        <v>凡华云仓-城南圆通-微信视频号</v>
      </c>
      <c r="O5108" s="5" t="s">
        <v>5132</v>
      </c>
      <c r="P5108" s="6">
        <v>0.2</v>
      </c>
      <c r="Q5108" s="11">
        <v>2</v>
      </c>
      <c r="R5108" s="11"/>
      <c r="S5108" s="11"/>
      <c r="T5108" s="11"/>
      <c r="U5108" s="11">
        <f t="shared" si="1648"/>
        <v>2</v>
      </c>
      <c r="W5108">
        <v>2.2000000000000002</v>
      </c>
      <c r="X5108" s="1" t="s">
        <v>105</v>
      </c>
    </row>
    <row r="5109" spans="1:24" x14ac:dyDescent="0.25">
      <c r="A5109" s="1" t="str">
        <f t="shared" si="1649"/>
        <v>卡卡杜-凤凰仓</v>
      </c>
      <c r="B5109" s="1" t="str">
        <f>"CK2024102018094"</f>
        <v>CK2024102018094</v>
      </c>
      <c r="C5109" s="1" t="str">
        <f>"DD2024102025325"</f>
        <v>DD2024102025325</v>
      </c>
      <c r="D5109" s="1" t="str">
        <f>"CK2024102025399"</f>
        <v>CK2024102025399</v>
      </c>
      <c r="E5109" s="1" t="str">
        <f>"3723426169434017792"</f>
        <v>3723426169434017792</v>
      </c>
      <c r="F5109" s="1" t="str">
        <f t="shared" si="1650"/>
        <v>花都四部-凤凰仓</v>
      </c>
      <c r="G5109" s="1" t="str">
        <f t="shared" si="1659"/>
        <v>卡卡杜企业店（视频号）</v>
      </c>
      <c r="H5109" s="1" t="str">
        <f t="shared" si="1651"/>
        <v>正常订单</v>
      </c>
      <c r="I5109" s="1" t="str">
        <f t="shared" si="1652"/>
        <v>已发货</v>
      </c>
      <c r="J5109" s="1" t="str">
        <f>"1"</f>
        <v>1</v>
      </c>
      <c r="K5109" s="1">
        <v>1</v>
      </c>
      <c r="L5109" s="1" t="s">
        <v>30</v>
      </c>
      <c r="M5109" s="1" t="str">
        <f>"山东省 威海市 环翠区 "</f>
        <v xml:space="preserve">山东省 威海市 环翠区 </v>
      </c>
      <c r="N5109" s="1" t="str">
        <f t="shared" si="1646"/>
        <v>凡华云仓-城南圆通-微信视频号</v>
      </c>
      <c r="O5109" s="5" t="s">
        <v>5133</v>
      </c>
      <c r="P5109" s="6">
        <v>0.12</v>
      </c>
      <c r="Q5109" s="11">
        <v>2</v>
      </c>
      <c r="R5109" s="11"/>
      <c r="S5109" s="11"/>
      <c r="T5109" s="11"/>
      <c r="U5109" s="11">
        <f t="shared" si="1648"/>
        <v>2</v>
      </c>
      <c r="W5109">
        <v>2.2000000000000002</v>
      </c>
      <c r="X5109" s="1" t="s">
        <v>30</v>
      </c>
    </row>
    <row r="5110" spans="1:24" x14ac:dyDescent="0.25">
      <c r="A5110" s="1" t="str">
        <f t="shared" si="1649"/>
        <v>卡卡杜-凤凰仓</v>
      </c>
      <c r="B5110" s="1" t="str">
        <f>"CK2024102018096"</f>
        <v>CK2024102018096</v>
      </c>
      <c r="C5110" s="1" t="str">
        <f>"DD2024102025330"</f>
        <v>DD2024102025330</v>
      </c>
      <c r="D5110" s="1" t="str">
        <f>"CK2024102025398"</f>
        <v>CK2024102025398</v>
      </c>
      <c r="E5110" s="1" t="str">
        <f>"3723426024242156544"</f>
        <v>3723426024242156544</v>
      </c>
      <c r="F5110" s="1" t="str">
        <f t="shared" si="1650"/>
        <v>花都四部-凤凰仓</v>
      </c>
      <c r="G5110" s="1" t="str">
        <f t="shared" si="1659"/>
        <v>卡卡杜企业店（视频号）</v>
      </c>
      <c r="H5110" s="1" t="str">
        <f t="shared" si="1651"/>
        <v>正常订单</v>
      </c>
      <c r="I5110" s="1" t="str">
        <f t="shared" si="1652"/>
        <v>已发货</v>
      </c>
      <c r="J5110" s="1" t="str">
        <f>"5"</f>
        <v>5</v>
      </c>
      <c r="K5110" s="1">
        <v>3</v>
      </c>
      <c r="L5110" s="1" t="s">
        <v>66</v>
      </c>
      <c r="M5110" s="1" t="str">
        <f>"内蒙古自治区 包头市 青山区 "</f>
        <v xml:space="preserve">内蒙古自治区 包头市 青山区 </v>
      </c>
      <c r="N5110" s="1" t="str">
        <f t="shared" si="1646"/>
        <v>凡华云仓-城南圆通-微信视频号</v>
      </c>
      <c r="O5110" s="5" t="s">
        <v>5134</v>
      </c>
      <c r="P5110" s="6">
        <v>0.56000000000000005</v>
      </c>
      <c r="Q5110" s="11">
        <f>CEILING(P5110-0.5,0.1)*10*0.15+2.3</f>
        <v>2.4499999999999997</v>
      </c>
      <c r="R5110" s="11"/>
      <c r="S5110" s="11"/>
      <c r="T5110" s="11"/>
      <c r="U5110" s="11">
        <f t="shared" si="1648"/>
        <v>2.4499999999999997</v>
      </c>
      <c r="V5110" t="s">
        <v>15</v>
      </c>
      <c r="W5110">
        <v>2.4500000000000002</v>
      </c>
      <c r="X5110" s="1" t="s">
        <v>66</v>
      </c>
    </row>
    <row r="5111" spans="1:24" x14ac:dyDescent="0.25">
      <c r="A5111" s="1" t="str">
        <f t="shared" si="1649"/>
        <v>卡卡杜-凤凰仓</v>
      </c>
      <c r="B5111" s="1" t="str">
        <f>"CK2024102018099"</f>
        <v>CK2024102018099</v>
      </c>
      <c r="C5111" s="1" t="str">
        <f>"DD2024102025329"</f>
        <v>DD2024102025329</v>
      </c>
      <c r="D5111" s="1" t="str">
        <f>"CK2024102025397"</f>
        <v>CK2024102025397</v>
      </c>
      <c r="E5111" s="1" t="str">
        <f>"3723425810694673408"</f>
        <v>3723425810694673408</v>
      </c>
      <c r="F5111" s="1" t="str">
        <f t="shared" si="1650"/>
        <v>花都四部-凤凰仓</v>
      </c>
      <c r="G5111" s="1" t="str">
        <f t="shared" si="1659"/>
        <v>卡卡杜企业店（视频号）</v>
      </c>
      <c r="H5111" s="1" t="str">
        <f t="shared" si="1651"/>
        <v>正常订单</v>
      </c>
      <c r="I5111" s="1" t="str">
        <f t="shared" si="1652"/>
        <v>已发货</v>
      </c>
      <c r="J5111" s="1" t="str">
        <f t="shared" ref="J5111:J5114" si="1663">"3"</f>
        <v>3</v>
      </c>
      <c r="K5111" s="1">
        <v>3</v>
      </c>
      <c r="L5111" s="1" t="s">
        <v>47</v>
      </c>
      <c r="M5111" s="1" t="str">
        <f>"重庆 重庆市 江津区 "</f>
        <v xml:space="preserve">重庆 重庆市 江津区 </v>
      </c>
      <c r="N5111" s="1" t="str">
        <f t="shared" si="1646"/>
        <v>凡华云仓-城南圆通-微信视频号</v>
      </c>
      <c r="O5111" s="5" t="s">
        <v>5135</v>
      </c>
      <c r="P5111" s="6">
        <v>0.34</v>
      </c>
      <c r="Q5111" s="11">
        <v>2.2999999999999998</v>
      </c>
      <c r="R5111" s="11"/>
      <c r="S5111" s="11"/>
      <c r="T5111" s="11"/>
      <c r="U5111" s="11">
        <f t="shared" si="1648"/>
        <v>2.2999999999999998</v>
      </c>
      <c r="W5111">
        <v>2.5</v>
      </c>
      <c r="X5111" s="1" t="s">
        <v>47</v>
      </c>
    </row>
    <row r="5112" spans="1:24" x14ac:dyDescent="0.25">
      <c r="A5112" s="1" t="str">
        <f t="shared" si="1649"/>
        <v>卡卡杜-凤凰仓</v>
      </c>
      <c r="B5112" s="1" t="str">
        <f>"CK2024102018100"</f>
        <v>CK2024102018100</v>
      </c>
      <c r="C5112" s="1" t="str">
        <f>"DD2024102025331"</f>
        <v>DD2024102025331</v>
      </c>
      <c r="D5112" s="1" t="str">
        <f>"CK2024102025396"</f>
        <v>CK2024102025396</v>
      </c>
      <c r="E5112" s="1" t="str">
        <f>"3723425775895053824"</f>
        <v>3723425775895053824</v>
      </c>
      <c r="F5112" s="1" t="str">
        <f t="shared" si="1650"/>
        <v>花都四部-凤凰仓</v>
      </c>
      <c r="G5112" s="1" t="str">
        <f t="shared" si="1659"/>
        <v>卡卡杜企业店（视频号）</v>
      </c>
      <c r="H5112" s="1" t="str">
        <f t="shared" si="1651"/>
        <v>正常订单</v>
      </c>
      <c r="I5112" s="1" t="str">
        <f t="shared" si="1652"/>
        <v>已发货</v>
      </c>
      <c r="J5112" s="1" t="str">
        <f t="shared" si="1663"/>
        <v>3</v>
      </c>
      <c r="K5112" s="1">
        <v>3</v>
      </c>
      <c r="L5112" s="1" t="s">
        <v>54</v>
      </c>
      <c r="M5112" s="1" t="str">
        <f>"黑龙江省 哈尔滨市 道里区 "</f>
        <v xml:space="preserve">黑龙江省 哈尔滨市 道里区 </v>
      </c>
      <c r="N5112" s="1" t="str">
        <f t="shared" si="1646"/>
        <v>凡华云仓-城南圆通-微信视频号</v>
      </c>
      <c r="O5112" s="5" t="s">
        <v>5136</v>
      </c>
      <c r="P5112" s="6">
        <v>0.34</v>
      </c>
      <c r="Q5112" s="11">
        <v>2.2999999999999998</v>
      </c>
      <c r="R5112" s="11"/>
      <c r="S5112" s="11"/>
      <c r="T5112" s="11"/>
      <c r="U5112" s="11">
        <f t="shared" si="1648"/>
        <v>2.2999999999999998</v>
      </c>
      <c r="W5112">
        <v>2.5</v>
      </c>
      <c r="X5112" s="1" t="s">
        <v>54</v>
      </c>
    </row>
    <row r="5113" spans="1:24" x14ac:dyDescent="0.25">
      <c r="A5113" s="1" t="str">
        <f t="shared" si="1649"/>
        <v>卡卡杜-凤凰仓</v>
      </c>
      <c r="B5113" s="1" t="str">
        <f>"CK2024102018101"</f>
        <v>CK2024102018101</v>
      </c>
      <c r="C5113" s="1" t="str">
        <f>"DD2024102025333"</f>
        <v>DD2024102025333</v>
      </c>
      <c r="D5113" s="1" t="str">
        <f>"CK2024102025395"</f>
        <v>CK2024102025395</v>
      </c>
      <c r="E5113" s="1" t="str">
        <f>"3723425774691288576"</f>
        <v>3723425774691288576</v>
      </c>
      <c r="F5113" s="1" t="str">
        <f t="shared" si="1650"/>
        <v>花都四部-凤凰仓</v>
      </c>
      <c r="G5113" s="1" t="str">
        <f t="shared" si="1659"/>
        <v>卡卡杜企业店（视频号）</v>
      </c>
      <c r="H5113" s="1" t="str">
        <f t="shared" si="1651"/>
        <v>正常订单</v>
      </c>
      <c r="I5113" s="1" t="str">
        <f t="shared" si="1652"/>
        <v>已发货</v>
      </c>
      <c r="J5113" s="1" t="str">
        <f t="shared" si="1663"/>
        <v>3</v>
      </c>
      <c r="K5113" s="1">
        <v>3</v>
      </c>
      <c r="L5113" s="1" t="s">
        <v>41</v>
      </c>
      <c r="M5113" s="1" t="str">
        <f>"湖北省 武汉市 洪山区 "</f>
        <v xml:space="preserve">湖北省 武汉市 洪山区 </v>
      </c>
      <c r="N5113" s="1" t="str">
        <f t="shared" si="1646"/>
        <v>凡华云仓-城南圆通-微信视频号</v>
      </c>
      <c r="O5113" s="5" t="s">
        <v>5137</v>
      </c>
      <c r="P5113" s="6">
        <v>0.34</v>
      </c>
      <c r="Q5113" s="11">
        <v>2.2999999999999998</v>
      </c>
      <c r="R5113" s="11"/>
      <c r="S5113" s="11"/>
      <c r="T5113" s="11"/>
      <c r="U5113" s="11">
        <f t="shared" si="1648"/>
        <v>2.2999999999999998</v>
      </c>
      <c r="W5113">
        <v>2.5</v>
      </c>
      <c r="X5113" s="1" t="s">
        <v>41</v>
      </c>
    </row>
    <row r="5114" spans="1:24" x14ac:dyDescent="0.25">
      <c r="A5114" s="1" t="str">
        <f t="shared" si="1649"/>
        <v>卡卡杜-凤凰仓</v>
      </c>
      <c r="B5114" s="1" t="str">
        <f>"CK2024102018119"</f>
        <v>CK2024102018119</v>
      </c>
      <c r="C5114" s="1" t="str">
        <f>"DD2024102025350"</f>
        <v>DD2024102025350</v>
      </c>
      <c r="D5114" s="1" t="str">
        <f>"CK2024102025394"</f>
        <v>CK2024102025394</v>
      </c>
      <c r="E5114" s="1" t="str">
        <f>"3723424671003448320"</f>
        <v>3723424671003448320</v>
      </c>
      <c r="F5114" s="1" t="str">
        <f t="shared" si="1650"/>
        <v>花都四部-凤凰仓</v>
      </c>
      <c r="G5114" s="1" t="str">
        <f t="shared" si="1659"/>
        <v>卡卡杜企业店（视频号）</v>
      </c>
      <c r="H5114" s="1" t="str">
        <f t="shared" si="1651"/>
        <v>正常订单</v>
      </c>
      <c r="I5114" s="1" t="str">
        <f t="shared" si="1652"/>
        <v>已发货</v>
      </c>
      <c r="J5114" s="1" t="str">
        <f t="shared" si="1663"/>
        <v>3</v>
      </c>
      <c r="K5114" s="1">
        <v>3</v>
      </c>
      <c r="L5114" s="1" t="s">
        <v>92</v>
      </c>
      <c r="M5114" s="1" t="str">
        <f>"辽宁省 大连市 甘井子区 "</f>
        <v xml:space="preserve">辽宁省 大连市 甘井子区 </v>
      </c>
      <c r="N5114" s="1" t="str">
        <f t="shared" si="1646"/>
        <v>凡华云仓-城南圆通-微信视频号</v>
      </c>
      <c r="O5114" s="5" t="s">
        <v>5138</v>
      </c>
      <c r="P5114" s="6">
        <v>0.34</v>
      </c>
      <c r="Q5114" s="11">
        <v>2.2999999999999998</v>
      </c>
      <c r="R5114" s="11"/>
      <c r="S5114" s="11"/>
      <c r="T5114" s="11"/>
      <c r="U5114" s="11">
        <f t="shared" si="1648"/>
        <v>2.2999999999999998</v>
      </c>
      <c r="W5114">
        <v>2.5</v>
      </c>
      <c r="X5114" s="1" t="s">
        <v>92</v>
      </c>
    </row>
    <row r="5115" spans="1:24" x14ac:dyDescent="0.25">
      <c r="A5115" s="1" t="str">
        <f t="shared" si="1649"/>
        <v>卡卡杜-凤凰仓</v>
      </c>
      <c r="B5115" s="1" t="str">
        <f>"CK2024102018126"</f>
        <v>CK2024102018126</v>
      </c>
      <c r="C5115" s="1" t="str">
        <f>"DD2024102025358"</f>
        <v>DD2024102025358</v>
      </c>
      <c r="D5115" s="1" t="str">
        <f>"CK2024102025393"</f>
        <v>CK2024102025393</v>
      </c>
      <c r="E5115" s="1" t="str">
        <f>"3723424392648725504"</f>
        <v>3723424392648725504</v>
      </c>
      <c r="F5115" s="1" t="str">
        <f t="shared" si="1650"/>
        <v>花都四部-凤凰仓</v>
      </c>
      <c r="G5115" s="1" t="str">
        <f t="shared" si="1659"/>
        <v>卡卡杜企业店（视频号）</v>
      </c>
      <c r="H5115" s="1" t="str">
        <f t="shared" si="1651"/>
        <v>正常订单</v>
      </c>
      <c r="I5115" s="1" t="str">
        <f t="shared" si="1652"/>
        <v>已发货</v>
      </c>
      <c r="J5115" s="1" t="str">
        <f>"1"</f>
        <v>1</v>
      </c>
      <c r="K5115" s="1">
        <v>1</v>
      </c>
      <c r="L5115" s="1" t="s">
        <v>74</v>
      </c>
      <c r="M5115" s="1" t="str">
        <f>"上海 上海市 宝山区 "</f>
        <v xml:space="preserve">上海 上海市 宝山区 </v>
      </c>
      <c r="N5115" s="1" t="str">
        <f t="shared" si="1646"/>
        <v>凡华云仓-城南圆通-微信视频号</v>
      </c>
      <c r="O5115" s="5" t="s">
        <v>5139</v>
      </c>
      <c r="P5115" s="6">
        <v>0.12</v>
      </c>
      <c r="Q5115" s="11">
        <v>2</v>
      </c>
      <c r="R5115" s="11"/>
      <c r="S5115" s="11"/>
      <c r="T5115" s="11"/>
      <c r="U5115" s="11">
        <f t="shared" si="1648"/>
        <v>2</v>
      </c>
      <c r="W5115">
        <v>2.2000000000000002</v>
      </c>
      <c r="X5115" s="1" t="s">
        <v>74</v>
      </c>
    </row>
    <row r="5116" spans="1:24" x14ac:dyDescent="0.25">
      <c r="A5116" s="1" t="str">
        <f t="shared" si="1649"/>
        <v>卡卡杜-凤凰仓</v>
      </c>
      <c r="B5116" s="1" t="str">
        <f>"CK2024102018146"</f>
        <v>CK2024102018146</v>
      </c>
      <c r="C5116" s="1" t="str">
        <f>"DD2024102025374"</f>
        <v>DD2024102025374</v>
      </c>
      <c r="D5116" s="1" t="str">
        <f>"CK2024102025392"</f>
        <v>CK2024102025392</v>
      </c>
      <c r="E5116" s="1" t="str">
        <f>"3723423587044824064"</f>
        <v>3723423587044824064</v>
      </c>
      <c r="F5116" s="1" t="str">
        <f t="shared" si="1650"/>
        <v>花都四部-凤凰仓</v>
      </c>
      <c r="G5116" s="1" t="str">
        <f t="shared" si="1659"/>
        <v>卡卡杜企业店（视频号）</v>
      </c>
      <c r="H5116" s="1" t="str">
        <f t="shared" si="1651"/>
        <v>正常订单</v>
      </c>
      <c r="I5116" s="1" t="str">
        <f t="shared" si="1652"/>
        <v>已发货</v>
      </c>
      <c r="J5116" s="1" t="str">
        <f t="shared" ref="J5116:J5147" si="1664">"3"</f>
        <v>3</v>
      </c>
      <c r="K5116" s="1">
        <v>3</v>
      </c>
      <c r="L5116" s="1" t="s">
        <v>105</v>
      </c>
      <c r="M5116" s="1" t="str">
        <f>"北京 北京市 西城区 "</f>
        <v xml:space="preserve">北京 北京市 西城区 </v>
      </c>
      <c r="N5116" s="1" t="str">
        <f t="shared" si="1646"/>
        <v>凡华云仓-城南圆通-微信视频号</v>
      </c>
      <c r="O5116" s="5" t="s">
        <v>5140</v>
      </c>
      <c r="P5116" s="6">
        <v>0.34</v>
      </c>
      <c r="Q5116" s="11">
        <v>2.2999999999999998</v>
      </c>
      <c r="R5116" s="11"/>
      <c r="S5116" s="11"/>
      <c r="T5116" s="11"/>
      <c r="U5116" s="11">
        <f t="shared" si="1648"/>
        <v>2.2999999999999998</v>
      </c>
      <c r="W5116">
        <v>2.5</v>
      </c>
      <c r="X5116" s="1" t="s">
        <v>105</v>
      </c>
    </row>
    <row r="5117" spans="1:24" x14ac:dyDescent="0.25">
      <c r="A5117" s="1" t="str">
        <f t="shared" si="1649"/>
        <v>卡卡杜-凤凰仓</v>
      </c>
      <c r="B5117" s="1" t="str">
        <f>"CK2024102018149"</f>
        <v>CK2024102018149</v>
      </c>
      <c r="C5117" s="1" t="str">
        <f>"DD2024102025377"</f>
        <v>DD2024102025377</v>
      </c>
      <c r="D5117" s="1" t="str">
        <f>"CK2024102025391"</f>
        <v>CK2024102025391</v>
      </c>
      <c r="E5117" s="1" t="str">
        <f>"3723423512428414464"</f>
        <v>3723423512428414464</v>
      </c>
      <c r="F5117" s="1" t="str">
        <f t="shared" si="1650"/>
        <v>花都四部-凤凰仓</v>
      </c>
      <c r="G5117" s="1" t="str">
        <f t="shared" si="1659"/>
        <v>卡卡杜企业店（视频号）</v>
      </c>
      <c r="H5117" s="1" t="str">
        <f t="shared" si="1651"/>
        <v>正常订单</v>
      </c>
      <c r="I5117" s="1" t="str">
        <f t="shared" si="1652"/>
        <v>已发货</v>
      </c>
      <c r="J5117" s="1" t="str">
        <f t="shared" si="1664"/>
        <v>3</v>
      </c>
      <c r="K5117" s="1">
        <v>3</v>
      </c>
      <c r="L5117" s="1" t="s">
        <v>109</v>
      </c>
      <c r="M5117" s="1" t="str">
        <f>"山西省 忻州市 原平市 "</f>
        <v xml:space="preserve">山西省 忻州市 原平市 </v>
      </c>
      <c r="N5117" s="1" t="str">
        <f t="shared" si="1646"/>
        <v>凡华云仓-城南圆通-微信视频号</v>
      </c>
      <c r="O5117" s="5" t="s">
        <v>5141</v>
      </c>
      <c r="P5117" s="6">
        <v>0.34</v>
      </c>
      <c r="Q5117" s="11">
        <v>2.2999999999999998</v>
      </c>
      <c r="R5117" s="11"/>
      <c r="S5117" s="11"/>
      <c r="T5117" s="11"/>
      <c r="U5117" s="11">
        <f t="shared" si="1648"/>
        <v>2.2999999999999998</v>
      </c>
      <c r="W5117">
        <v>2.5</v>
      </c>
      <c r="X5117" s="1" t="s">
        <v>109</v>
      </c>
    </row>
    <row r="5118" spans="1:24" x14ac:dyDescent="0.25">
      <c r="A5118" s="1" t="str">
        <f t="shared" si="1649"/>
        <v>卡卡杜-凤凰仓</v>
      </c>
      <c r="B5118" s="1" t="str">
        <f>"CK2024102018153"</f>
        <v>CK2024102018153</v>
      </c>
      <c r="C5118" s="1" t="str">
        <f>"DD2024102025381"</f>
        <v>DD2024102025381</v>
      </c>
      <c r="D5118" s="1" t="str">
        <f>"CK2024102025390"</f>
        <v>CK2024102025390</v>
      </c>
      <c r="E5118" s="1" t="str">
        <f>"3723423257496783872"</f>
        <v>3723423257496783872</v>
      </c>
      <c r="F5118" s="1" t="str">
        <f t="shared" si="1650"/>
        <v>花都四部-凤凰仓</v>
      </c>
      <c r="G5118" s="1" t="str">
        <f t="shared" si="1659"/>
        <v>卡卡杜企业店（视频号）</v>
      </c>
      <c r="H5118" s="1" t="str">
        <f t="shared" si="1651"/>
        <v>正常订单</v>
      </c>
      <c r="I5118" s="1" t="str">
        <f t="shared" si="1652"/>
        <v>已发货</v>
      </c>
      <c r="J5118" s="1" t="str">
        <f>"5"</f>
        <v>5</v>
      </c>
      <c r="K5118" s="1">
        <v>3</v>
      </c>
      <c r="L5118" s="1" t="s">
        <v>109</v>
      </c>
      <c r="M5118" s="1" t="str">
        <f>"山西省 太原市 杏花岭区 "</f>
        <v xml:space="preserve">山西省 太原市 杏花岭区 </v>
      </c>
      <c r="N5118" s="1" t="str">
        <f t="shared" ref="N5118:N5120" si="1665">"凡华云仓-城南圆通-微信视频号"</f>
        <v>凡华云仓-城南圆通-微信视频号</v>
      </c>
      <c r="O5118" s="5" t="s">
        <v>5142</v>
      </c>
      <c r="P5118" s="6">
        <v>0.56000000000000005</v>
      </c>
      <c r="Q5118" s="11">
        <f>CEILING(P5118-0.5,0.1)*10*0.15+2.3</f>
        <v>2.4499999999999997</v>
      </c>
      <c r="R5118" s="11"/>
      <c r="S5118" s="11"/>
      <c r="T5118" s="11"/>
      <c r="U5118" s="11">
        <f t="shared" si="1648"/>
        <v>2.4499999999999997</v>
      </c>
      <c r="V5118" t="s">
        <v>15</v>
      </c>
      <c r="W5118">
        <v>2.4500000000000002</v>
      </c>
      <c r="X5118" s="1" t="s">
        <v>109</v>
      </c>
    </row>
    <row r="5119" spans="1:24" x14ac:dyDescent="0.25">
      <c r="A5119" s="1" t="str">
        <f t="shared" si="1649"/>
        <v>卡卡杜-凤凰仓</v>
      </c>
      <c r="B5119" s="1" t="str">
        <f>"CK2024102018160"</f>
        <v>CK2024102018160</v>
      </c>
      <c r="C5119" s="1" t="str">
        <f>"DD2024102025388"</f>
        <v>DD2024102025388</v>
      </c>
      <c r="D5119" s="1" t="str">
        <f>"CK2024102025389"</f>
        <v>CK2024102025389</v>
      </c>
      <c r="E5119" s="1" t="str">
        <f>"3723422897078670336"</f>
        <v>3723422897078670336</v>
      </c>
      <c r="F5119" s="1" t="str">
        <f t="shared" si="1650"/>
        <v>花都四部-凤凰仓</v>
      </c>
      <c r="G5119" s="1" t="str">
        <f t="shared" si="1659"/>
        <v>卡卡杜企业店（视频号）</v>
      </c>
      <c r="H5119" s="1" t="str">
        <f t="shared" si="1651"/>
        <v>正常订单</v>
      </c>
      <c r="I5119" s="1" t="str">
        <f t="shared" si="1652"/>
        <v>已发货</v>
      </c>
      <c r="J5119" s="1" t="str">
        <f>"2"</f>
        <v>2</v>
      </c>
      <c r="K5119" s="1">
        <v>1</v>
      </c>
      <c r="L5119" s="1" t="s">
        <v>13</v>
      </c>
      <c r="M5119" s="1" t="str">
        <f>"江苏省 苏州市 张家港市 "</f>
        <v xml:space="preserve">江苏省 苏州市 张家港市 </v>
      </c>
      <c r="N5119" s="1" t="str">
        <f t="shared" si="1665"/>
        <v>凡华云仓-城南圆通-微信视频号</v>
      </c>
      <c r="O5119" s="5" t="s">
        <v>5143</v>
      </c>
      <c r="P5119" s="6">
        <v>0.2</v>
      </c>
      <c r="Q5119" s="11">
        <v>2</v>
      </c>
      <c r="R5119" s="11"/>
      <c r="S5119" s="11"/>
      <c r="T5119" s="11"/>
      <c r="U5119" s="11">
        <f t="shared" si="1648"/>
        <v>2</v>
      </c>
      <c r="W5119">
        <v>2.2000000000000002</v>
      </c>
      <c r="X5119" s="1" t="s">
        <v>13</v>
      </c>
    </row>
    <row r="5120" spans="1:24" x14ac:dyDescent="0.25">
      <c r="A5120" s="1" t="str">
        <f t="shared" si="1649"/>
        <v>卡卡杜-凤凰仓</v>
      </c>
      <c r="B5120" s="1" t="str">
        <f>"CK2024102018168"</f>
        <v>CK2024102018168</v>
      </c>
      <c r="C5120" s="1" t="str">
        <f>"DD2024102025395"</f>
        <v>DD2024102025395</v>
      </c>
      <c r="D5120" s="1" t="str">
        <f>"CK2024102025388"</f>
        <v>CK2024102025388</v>
      </c>
      <c r="E5120" s="1" t="str">
        <f>"3723421488330441984"</f>
        <v>3723421488330441984</v>
      </c>
      <c r="F5120" s="1" t="str">
        <f t="shared" si="1650"/>
        <v>花都四部-凤凰仓</v>
      </c>
      <c r="G5120" s="1" t="str">
        <f t="shared" si="1659"/>
        <v>卡卡杜企业店（视频号）</v>
      </c>
      <c r="H5120" s="1" t="str">
        <f t="shared" si="1651"/>
        <v>正常订单</v>
      </c>
      <c r="I5120" s="1" t="str">
        <f t="shared" si="1652"/>
        <v>已发货</v>
      </c>
      <c r="J5120" s="1" t="str">
        <f t="shared" si="1664"/>
        <v>3</v>
      </c>
      <c r="K5120" s="1">
        <v>3</v>
      </c>
      <c r="L5120" s="1" t="s">
        <v>161</v>
      </c>
      <c r="M5120" s="1" t="str">
        <f>"四川省 成都市 双流区 "</f>
        <v xml:space="preserve">四川省 成都市 双流区 </v>
      </c>
      <c r="N5120" s="1" t="str">
        <f t="shared" si="1665"/>
        <v>凡华云仓-城南圆通-微信视频号</v>
      </c>
      <c r="O5120" s="5" t="s">
        <v>5144</v>
      </c>
      <c r="P5120" s="6">
        <v>0.34</v>
      </c>
      <c r="Q5120" s="11">
        <v>2.2999999999999998</v>
      </c>
      <c r="R5120" s="11"/>
      <c r="S5120" s="11"/>
      <c r="T5120" s="11"/>
      <c r="U5120" s="11">
        <f t="shared" si="1648"/>
        <v>2.2999999999999998</v>
      </c>
      <c r="W5120">
        <v>2.5</v>
      </c>
      <c r="X5120" s="1" t="s">
        <v>161</v>
      </c>
    </row>
    <row r="5121" spans="1:24" x14ac:dyDescent="0.25">
      <c r="A5121" s="1" t="str">
        <f t="shared" si="1649"/>
        <v>卡卡杜-凤凰仓</v>
      </c>
      <c r="B5121" s="1" t="str">
        <f>"CK2024102017957"</f>
        <v>CK2024102017957</v>
      </c>
      <c r="C5121" s="1" t="str">
        <f>"DD2024102025187"</f>
        <v>DD2024102025187</v>
      </c>
      <c r="D5121" s="1" t="str">
        <f>"CK2024102025387"</f>
        <v>CK2024102025387</v>
      </c>
      <c r="E5121" s="1" t="str">
        <f>"6935227806796944747"</f>
        <v>6935227806796944747</v>
      </c>
      <c r="F5121" s="1" t="str">
        <f t="shared" si="1650"/>
        <v>花都四部-凤凰仓</v>
      </c>
      <c r="G5121" s="1" t="str">
        <f t="shared" ref="G5121:G5146" si="1666">"卡卡杜个人护理店（抖店）"</f>
        <v>卡卡杜个人护理店（抖店）</v>
      </c>
      <c r="H5121" s="1" t="str">
        <f t="shared" si="1651"/>
        <v>正常订单</v>
      </c>
      <c r="I5121" s="1" t="str">
        <f t="shared" si="1652"/>
        <v>已发货</v>
      </c>
      <c r="J5121" s="1" t="str">
        <f t="shared" si="1664"/>
        <v>3</v>
      </c>
      <c r="K5121" s="1">
        <v>2</v>
      </c>
      <c r="L5121" s="1" t="s">
        <v>36</v>
      </c>
      <c r="M5121" s="1" t="str">
        <f>"安徽省 芜湖市 鸠江区 万春街道"</f>
        <v>安徽省 芜湖市 鸠江区 万春街道</v>
      </c>
      <c r="N5121" s="1" t="str">
        <f t="shared" ref="N5121:N5146" si="1667">"凡华云仓-城南圆通-抖音"</f>
        <v>凡华云仓-城南圆通-抖音</v>
      </c>
      <c r="O5121" s="5" t="s">
        <v>5145</v>
      </c>
      <c r="P5121" s="6">
        <v>0.35</v>
      </c>
      <c r="Q5121" s="11">
        <v>2.2999999999999998</v>
      </c>
      <c r="R5121" s="11"/>
      <c r="S5121" s="11"/>
      <c r="T5121" s="11"/>
      <c r="U5121" s="11">
        <f t="shared" si="1648"/>
        <v>2.2999999999999998</v>
      </c>
      <c r="W5121">
        <v>2.5</v>
      </c>
      <c r="X5121" s="1" t="s">
        <v>36</v>
      </c>
    </row>
    <row r="5122" spans="1:24" x14ac:dyDescent="0.25">
      <c r="A5122" s="1" t="str">
        <f t="shared" si="1649"/>
        <v>卡卡杜-凤凰仓</v>
      </c>
      <c r="B5122" s="1" t="str">
        <f>"CK2024102017964"</f>
        <v>CK2024102017964</v>
      </c>
      <c r="C5122" s="1" t="str">
        <f>"DD2024102025195"</f>
        <v>DD2024102025195</v>
      </c>
      <c r="D5122" s="1" t="str">
        <f>"CK2024102025386"</f>
        <v>CK2024102025386</v>
      </c>
      <c r="E5122" s="1" t="str">
        <f>"6935245671897438147"</f>
        <v>6935245671897438147</v>
      </c>
      <c r="F5122" s="1" t="str">
        <f t="shared" si="1650"/>
        <v>花都四部-凤凰仓</v>
      </c>
      <c r="G5122" s="1" t="str">
        <f t="shared" si="1666"/>
        <v>卡卡杜个人护理店（抖店）</v>
      </c>
      <c r="H5122" s="1" t="str">
        <f t="shared" si="1651"/>
        <v>正常订单</v>
      </c>
      <c r="I5122" s="1" t="str">
        <f t="shared" si="1652"/>
        <v>已发货</v>
      </c>
      <c r="J5122" s="1" t="str">
        <f t="shared" si="1664"/>
        <v>3</v>
      </c>
      <c r="K5122" s="1">
        <v>2</v>
      </c>
      <c r="L5122" s="1" t="s">
        <v>44</v>
      </c>
      <c r="M5122" s="1" t="str">
        <f>"海南省 屯昌县 屯昌县 屯城镇"</f>
        <v>海南省 屯昌县 屯昌县 屯城镇</v>
      </c>
      <c r="N5122" s="1" t="str">
        <f t="shared" si="1667"/>
        <v>凡华云仓-城南圆通-抖音</v>
      </c>
      <c r="O5122" s="5" t="s">
        <v>5146</v>
      </c>
      <c r="P5122" s="6">
        <v>0.35</v>
      </c>
      <c r="Q5122" s="11">
        <v>2.2999999999999998</v>
      </c>
      <c r="R5122" s="11"/>
      <c r="S5122" s="11"/>
      <c r="T5122" s="11"/>
      <c r="U5122" s="11">
        <f t="shared" si="1648"/>
        <v>2.2999999999999998</v>
      </c>
      <c r="W5122">
        <v>2.5</v>
      </c>
      <c r="X5122" s="1" t="s">
        <v>44</v>
      </c>
    </row>
    <row r="5123" spans="1:24" x14ac:dyDescent="0.25">
      <c r="A5123" s="1" t="str">
        <f t="shared" si="1649"/>
        <v>卡卡杜-凤凰仓</v>
      </c>
      <c r="B5123" s="1" t="str">
        <f>"CK2024102017966"</f>
        <v>CK2024102017966</v>
      </c>
      <c r="C5123" s="1" t="str">
        <f>"DD2024102025198"</f>
        <v>DD2024102025198</v>
      </c>
      <c r="D5123" s="1" t="str">
        <f>"CK2024102025385"</f>
        <v>CK2024102025385</v>
      </c>
      <c r="E5123" s="1" t="str">
        <f>"6935243485512800183"</f>
        <v>6935243485512800183</v>
      </c>
      <c r="F5123" s="1" t="str">
        <f t="shared" si="1650"/>
        <v>花都四部-凤凰仓</v>
      </c>
      <c r="G5123" s="1" t="str">
        <f t="shared" si="1666"/>
        <v>卡卡杜个人护理店（抖店）</v>
      </c>
      <c r="H5123" s="1" t="str">
        <f t="shared" si="1651"/>
        <v>正常订单</v>
      </c>
      <c r="I5123" s="1" t="str">
        <f t="shared" si="1652"/>
        <v>已发货</v>
      </c>
      <c r="J5123" s="1" t="str">
        <f t="shared" si="1664"/>
        <v>3</v>
      </c>
      <c r="K5123" s="1">
        <v>2</v>
      </c>
      <c r="L5123" s="1" t="s">
        <v>20</v>
      </c>
      <c r="M5123" s="1" t="str">
        <f>"浙江省 嘉兴市 秀洲区 油车港镇"</f>
        <v>浙江省 嘉兴市 秀洲区 油车港镇</v>
      </c>
      <c r="N5123" s="1" t="str">
        <f t="shared" si="1667"/>
        <v>凡华云仓-城南圆通-抖音</v>
      </c>
      <c r="O5123" s="5" t="s">
        <v>5147</v>
      </c>
      <c r="P5123" s="6">
        <v>0.35</v>
      </c>
      <c r="Q5123" s="11">
        <v>2.2999999999999998</v>
      </c>
      <c r="R5123" s="11"/>
      <c r="S5123" s="11"/>
      <c r="T5123" s="11"/>
      <c r="U5123" s="11">
        <f t="shared" ref="U5123:U5186" si="1668">T5123+S5123+R5123+Q5123</f>
        <v>2.2999999999999998</v>
      </c>
      <c r="W5123">
        <v>2.5</v>
      </c>
      <c r="X5123" s="1" t="s">
        <v>20</v>
      </c>
    </row>
    <row r="5124" spans="1:24" x14ac:dyDescent="0.25">
      <c r="A5124" s="1" t="str">
        <f t="shared" si="1649"/>
        <v>卡卡杜-凤凰仓</v>
      </c>
      <c r="B5124" s="1" t="str">
        <f>"CK2024102017972"</f>
        <v>CK2024102017972</v>
      </c>
      <c r="C5124" s="1" t="str">
        <f>"DD2024102025203"</f>
        <v>DD2024102025203</v>
      </c>
      <c r="D5124" s="1" t="str">
        <f>"CK2024102025384"</f>
        <v>CK2024102025384</v>
      </c>
      <c r="E5124" s="1" t="str">
        <f>"6935223241150895162"</f>
        <v>6935223241150895162</v>
      </c>
      <c r="F5124" s="1" t="str">
        <f t="shared" si="1650"/>
        <v>花都四部-凤凰仓</v>
      </c>
      <c r="G5124" s="1" t="str">
        <f t="shared" si="1666"/>
        <v>卡卡杜个人护理店（抖店）</v>
      </c>
      <c r="H5124" s="1" t="str">
        <f t="shared" si="1651"/>
        <v>正常订单</v>
      </c>
      <c r="I5124" s="1" t="str">
        <f t="shared" si="1652"/>
        <v>已发货</v>
      </c>
      <c r="J5124" s="1" t="str">
        <f t="shared" si="1664"/>
        <v>3</v>
      </c>
      <c r="K5124" s="1">
        <v>2</v>
      </c>
      <c r="L5124" s="1" t="s">
        <v>20</v>
      </c>
      <c r="M5124" s="1" t="str">
        <f>"浙江省 温州市 瓯海区 茶山街道"</f>
        <v>浙江省 温州市 瓯海区 茶山街道</v>
      </c>
      <c r="N5124" s="1" t="str">
        <f t="shared" si="1667"/>
        <v>凡华云仓-城南圆通-抖音</v>
      </c>
      <c r="O5124" s="5" t="s">
        <v>5148</v>
      </c>
      <c r="P5124" s="6">
        <v>0.35</v>
      </c>
      <c r="Q5124" s="11">
        <v>2.2999999999999998</v>
      </c>
      <c r="R5124" s="11"/>
      <c r="S5124" s="11"/>
      <c r="T5124" s="11"/>
      <c r="U5124" s="11">
        <f t="shared" si="1668"/>
        <v>2.2999999999999998</v>
      </c>
      <c r="W5124">
        <v>2.5</v>
      </c>
      <c r="X5124" s="1" t="s">
        <v>20</v>
      </c>
    </row>
    <row r="5125" spans="1:24" x14ac:dyDescent="0.25">
      <c r="A5125" s="1" t="str">
        <f t="shared" ref="A5125:A5188" si="1669">"卡卡杜-凤凰仓"</f>
        <v>卡卡杜-凤凰仓</v>
      </c>
      <c r="B5125" s="1" t="str">
        <f>"CK2024102017975"</f>
        <v>CK2024102017975</v>
      </c>
      <c r="C5125" s="1" t="str">
        <f>"DD2024102025207"</f>
        <v>DD2024102025207</v>
      </c>
      <c r="D5125" s="1" t="str">
        <f>"CK2024102025383"</f>
        <v>CK2024102025383</v>
      </c>
      <c r="E5125" s="1" t="str">
        <f>"6935236544201168172"</f>
        <v>6935236544201168172</v>
      </c>
      <c r="F5125" s="1" t="str">
        <f t="shared" ref="F5125:F5188" si="1670">"花都四部-凤凰仓"</f>
        <v>花都四部-凤凰仓</v>
      </c>
      <c r="G5125" s="1" t="str">
        <f t="shared" si="1666"/>
        <v>卡卡杜个人护理店（抖店）</v>
      </c>
      <c r="H5125" s="1" t="str">
        <f t="shared" ref="H5125:H5188" si="1671">"正常订单"</f>
        <v>正常订单</v>
      </c>
      <c r="I5125" s="1" t="str">
        <f t="shared" ref="I5125:I5188" si="1672">"已发货"</f>
        <v>已发货</v>
      </c>
      <c r="J5125" s="1" t="str">
        <f t="shared" si="1664"/>
        <v>3</v>
      </c>
      <c r="K5125" s="1">
        <v>2</v>
      </c>
      <c r="L5125" s="1" t="s">
        <v>13</v>
      </c>
      <c r="M5125" s="1" t="str">
        <f>"江苏省 苏州市 常熟市 辛庄镇"</f>
        <v>江苏省 苏州市 常熟市 辛庄镇</v>
      </c>
      <c r="N5125" s="1" t="str">
        <f t="shared" si="1667"/>
        <v>凡华云仓-城南圆通-抖音</v>
      </c>
      <c r="O5125" s="5" t="s">
        <v>5149</v>
      </c>
      <c r="P5125" s="6">
        <v>0.35</v>
      </c>
      <c r="Q5125" s="11">
        <v>2.2999999999999998</v>
      </c>
      <c r="R5125" s="11"/>
      <c r="S5125" s="11"/>
      <c r="T5125" s="11"/>
      <c r="U5125" s="11">
        <f t="shared" si="1668"/>
        <v>2.2999999999999998</v>
      </c>
      <c r="W5125">
        <v>2.5</v>
      </c>
      <c r="X5125" s="1" t="s">
        <v>13</v>
      </c>
    </row>
    <row r="5126" spans="1:24" x14ac:dyDescent="0.25">
      <c r="A5126" s="1" t="str">
        <f t="shared" si="1669"/>
        <v>卡卡杜-凤凰仓</v>
      </c>
      <c r="B5126" s="1" t="str">
        <f>"CK2024102017979"</f>
        <v>CK2024102017979</v>
      </c>
      <c r="C5126" s="1" t="str">
        <f>"DD2024102025211"</f>
        <v>DD2024102025211</v>
      </c>
      <c r="D5126" s="1" t="str">
        <f>"CK2024102025382"</f>
        <v>CK2024102025382</v>
      </c>
      <c r="E5126" s="1" t="str">
        <f>"6935223090914596537"</f>
        <v>6935223090914596537</v>
      </c>
      <c r="F5126" s="1" t="str">
        <f t="shared" si="1670"/>
        <v>花都四部-凤凰仓</v>
      </c>
      <c r="G5126" s="1" t="str">
        <f t="shared" si="1666"/>
        <v>卡卡杜个人护理店（抖店）</v>
      </c>
      <c r="H5126" s="1" t="str">
        <f t="shared" si="1671"/>
        <v>正常订单</v>
      </c>
      <c r="I5126" s="1" t="str">
        <f t="shared" si="1672"/>
        <v>已发货</v>
      </c>
      <c r="J5126" s="1" t="str">
        <f t="shared" si="1664"/>
        <v>3</v>
      </c>
      <c r="K5126" s="1">
        <v>2</v>
      </c>
      <c r="L5126" s="1" t="s">
        <v>13</v>
      </c>
      <c r="M5126" s="1" t="str">
        <f>"江苏省 苏州市 太仓市 城厢镇"</f>
        <v>江苏省 苏州市 太仓市 城厢镇</v>
      </c>
      <c r="N5126" s="1" t="str">
        <f t="shared" si="1667"/>
        <v>凡华云仓-城南圆通-抖音</v>
      </c>
      <c r="O5126" s="5" t="s">
        <v>5150</v>
      </c>
      <c r="P5126" s="6">
        <v>0.35</v>
      </c>
      <c r="Q5126" s="11">
        <v>2.2999999999999998</v>
      </c>
      <c r="R5126" s="11"/>
      <c r="S5126" s="11"/>
      <c r="T5126" s="11"/>
      <c r="U5126" s="11">
        <f t="shared" si="1668"/>
        <v>2.2999999999999998</v>
      </c>
      <c r="W5126">
        <v>2.5</v>
      </c>
      <c r="X5126" s="1" t="s">
        <v>13</v>
      </c>
    </row>
    <row r="5127" spans="1:24" x14ac:dyDescent="0.25">
      <c r="A5127" s="1" t="str">
        <f t="shared" si="1669"/>
        <v>卡卡杜-凤凰仓</v>
      </c>
      <c r="B5127" s="1" t="str">
        <f>"CK2024102017983"</f>
        <v>CK2024102017983</v>
      </c>
      <c r="C5127" s="1" t="str">
        <f>"DD2024102025213"</f>
        <v>DD2024102025213</v>
      </c>
      <c r="D5127" s="1" t="str">
        <f>"CK2024102025381"</f>
        <v>CK2024102025381</v>
      </c>
      <c r="E5127" s="1" t="str">
        <f>"6935236415374955847"</f>
        <v>6935236415374955847</v>
      </c>
      <c r="F5127" s="1" t="str">
        <f t="shared" si="1670"/>
        <v>花都四部-凤凰仓</v>
      </c>
      <c r="G5127" s="1" t="str">
        <f t="shared" si="1666"/>
        <v>卡卡杜个人护理店（抖店）</v>
      </c>
      <c r="H5127" s="1" t="str">
        <f t="shared" si="1671"/>
        <v>正常订单</v>
      </c>
      <c r="I5127" s="1" t="str">
        <f t="shared" si="1672"/>
        <v>已发货</v>
      </c>
      <c r="J5127" s="1" t="str">
        <f t="shared" si="1664"/>
        <v>3</v>
      </c>
      <c r="K5127" s="1">
        <v>2</v>
      </c>
      <c r="L5127" s="1" t="s">
        <v>22</v>
      </c>
      <c r="M5127" s="1" t="str">
        <f>"江西省 九江市 彭泽县 龙城镇"</f>
        <v>江西省 九江市 彭泽县 龙城镇</v>
      </c>
      <c r="N5127" s="1" t="str">
        <f t="shared" si="1667"/>
        <v>凡华云仓-城南圆通-抖音</v>
      </c>
      <c r="O5127" s="5" t="s">
        <v>5151</v>
      </c>
      <c r="P5127" s="6">
        <v>0.35</v>
      </c>
      <c r="Q5127" s="11">
        <v>2.2999999999999998</v>
      </c>
      <c r="R5127" s="11"/>
      <c r="S5127" s="11"/>
      <c r="T5127" s="11"/>
      <c r="U5127" s="11">
        <f t="shared" si="1668"/>
        <v>2.2999999999999998</v>
      </c>
      <c r="W5127">
        <v>2.5</v>
      </c>
      <c r="X5127" s="1" t="s">
        <v>22</v>
      </c>
    </row>
    <row r="5128" spans="1:24" x14ac:dyDescent="0.25">
      <c r="A5128" s="1" t="str">
        <f t="shared" si="1669"/>
        <v>卡卡杜-凤凰仓</v>
      </c>
      <c r="B5128" s="1" t="str">
        <f>"CK2024102017994"</f>
        <v>CK2024102017994</v>
      </c>
      <c r="C5128" s="1" t="str">
        <f>"DD2024102025224"</f>
        <v>DD2024102025224</v>
      </c>
      <c r="D5128" s="1" t="str">
        <f>"CK2024102025380"</f>
        <v>CK2024102025380</v>
      </c>
      <c r="E5128" s="1" t="str">
        <f>"6935222994098853500"</f>
        <v>6935222994098853500</v>
      </c>
      <c r="F5128" s="1" t="str">
        <f t="shared" si="1670"/>
        <v>花都四部-凤凰仓</v>
      </c>
      <c r="G5128" s="1" t="str">
        <f t="shared" si="1666"/>
        <v>卡卡杜个人护理店（抖店）</v>
      </c>
      <c r="H5128" s="1" t="str">
        <f t="shared" si="1671"/>
        <v>正常订单</v>
      </c>
      <c r="I5128" s="1" t="str">
        <f t="shared" si="1672"/>
        <v>已发货</v>
      </c>
      <c r="J5128" s="1" t="str">
        <f t="shared" si="1664"/>
        <v>3</v>
      </c>
      <c r="K5128" s="1">
        <v>2</v>
      </c>
      <c r="L5128" s="1" t="s">
        <v>74</v>
      </c>
      <c r="M5128" s="1" t="str">
        <f>"上海 上海市 闵行区 虹桥镇"</f>
        <v>上海 上海市 闵行区 虹桥镇</v>
      </c>
      <c r="N5128" s="1" t="str">
        <f t="shared" si="1667"/>
        <v>凡华云仓-城南圆通-抖音</v>
      </c>
      <c r="O5128" s="5" t="s">
        <v>5152</v>
      </c>
      <c r="P5128" s="6">
        <v>0.35</v>
      </c>
      <c r="Q5128" s="11">
        <v>2.2999999999999998</v>
      </c>
      <c r="R5128" s="11"/>
      <c r="S5128" s="11"/>
      <c r="T5128" s="11"/>
      <c r="U5128" s="11">
        <f t="shared" si="1668"/>
        <v>2.2999999999999998</v>
      </c>
      <c r="W5128">
        <v>2.5</v>
      </c>
      <c r="X5128" s="1" t="s">
        <v>74</v>
      </c>
    </row>
    <row r="5129" spans="1:24" x14ac:dyDescent="0.25">
      <c r="A5129" s="1" t="str">
        <f t="shared" si="1669"/>
        <v>卡卡杜-凤凰仓</v>
      </c>
      <c r="B5129" s="1" t="str">
        <f>"CK2024102017996"</f>
        <v>CK2024102017996</v>
      </c>
      <c r="C5129" s="1" t="str">
        <f>"DD2024102025227"</f>
        <v>DD2024102025227</v>
      </c>
      <c r="D5129" s="1" t="str">
        <f>"CK2024102025379"</f>
        <v>CK2024102025379</v>
      </c>
      <c r="E5129" s="1" t="str">
        <f>"6935229595861194342"</f>
        <v>6935229595861194342</v>
      </c>
      <c r="F5129" s="1" t="str">
        <f t="shared" si="1670"/>
        <v>花都四部-凤凰仓</v>
      </c>
      <c r="G5129" s="1" t="str">
        <f t="shared" si="1666"/>
        <v>卡卡杜个人护理店（抖店）</v>
      </c>
      <c r="H5129" s="1" t="str">
        <f t="shared" si="1671"/>
        <v>正常订单</v>
      </c>
      <c r="I5129" s="1" t="str">
        <f t="shared" si="1672"/>
        <v>已发货</v>
      </c>
      <c r="J5129" s="1" t="str">
        <f t="shared" si="1664"/>
        <v>3</v>
      </c>
      <c r="K5129" s="1">
        <v>2</v>
      </c>
      <c r="L5129" s="1" t="s">
        <v>18</v>
      </c>
      <c r="M5129" s="1" t="str">
        <f>"广东省 惠州市 惠城区 潼侨镇"</f>
        <v>广东省 惠州市 惠城区 潼侨镇</v>
      </c>
      <c r="N5129" s="1" t="str">
        <f t="shared" si="1667"/>
        <v>凡华云仓-城南圆通-抖音</v>
      </c>
      <c r="O5129" s="5" t="s">
        <v>5153</v>
      </c>
      <c r="P5129" s="6">
        <v>0.35</v>
      </c>
      <c r="Q5129" s="11">
        <v>2.2999999999999998</v>
      </c>
      <c r="R5129" s="11"/>
      <c r="S5129" s="11"/>
      <c r="T5129" s="11"/>
      <c r="U5129" s="11">
        <f t="shared" si="1668"/>
        <v>2.2999999999999998</v>
      </c>
      <c r="W5129">
        <v>2.5</v>
      </c>
      <c r="X5129" s="1" t="s">
        <v>18</v>
      </c>
    </row>
    <row r="5130" spans="1:24" x14ac:dyDescent="0.25">
      <c r="A5130" s="1" t="str">
        <f t="shared" si="1669"/>
        <v>卡卡杜-凤凰仓</v>
      </c>
      <c r="B5130" s="1" t="str">
        <f>"CK2024102018009"</f>
        <v>CK2024102018009</v>
      </c>
      <c r="C5130" s="1" t="str">
        <f>"DD2024102025240"</f>
        <v>DD2024102025240</v>
      </c>
      <c r="D5130" s="1" t="str">
        <f>"CK2024102025378"</f>
        <v>CK2024102025378</v>
      </c>
      <c r="E5130" s="1" t="str">
        <f>"6935231814068933813"</f>
        <v>6935231814068933813</v>
      </c>
      <c r="F5130" s="1" t="str">
        <f t="shared" si="1670"/>
        <v>花都四部-凤凰仓</v>
      </c>
      <c r="G5130" s="1" t="str">
        <f t="shared" si="1666"/>
        <v>卡卡杜个人护理店（抖店）</v>
      </c>
      <c r="H5130" s="1" t="str">
        <f t="shared" si="1671"/>
        <v>正常订单</v>
      </c>
      <c r="I5130" s="1" t="str">
        <f t="shared" si="1672"/>
        <v>已发货</v>
      </c>
      <c r="J5130" s="1" t="str">
        <f t="shared" si="1664"/>
        <v>3</v>
      </c>
      <c r="K5130" s="1">
        <v>2</v>
      </c>
      <c r="L5130" s="1" t="s">
        <v>13</v>
      </c>
      <c r="M5130" s="1" t="str">
        <f>"江苏省 南京市 溧水区 永阳街道"</f>
        <v>江苏省 南京市 溧水区 永阳街道</v>
      </c>
      <c r="N5130" s="1" t="str">
        <f t="shared" si="1667"/>
        <v>凡华云仓-城南圆通-抖音</v>
      </c>
      <c r="O5130" s="5" t="s">
        <v>5154</v>
      </c>
      <c r="P5130" s="6">
        <v>0.35</v>
      </c>
      <c r="Q5130" s="11">
        <v>2.2999999999999998</v>
      </c>
      <c r="R5130" s="11"/>
      <c r="S5130" s="11"/>
      <c r="T5130" s="11"/>
      <c r="U5130" s="11">
        <f t="shared" si="1668"/>
        <v>2.2999999999999998</v>
      </c>
      <c r="W5130">
        <v>2.5</v>
      </c>
      <c r="X5130" s="1" t="s">
        <v>13</v>
      </c>
    </row>
    <row r="5131" spans="1:24" x14ac:dyDescent="0.25">
      <c r="A5131" s="1" t="str">
        <f t="shared" si="1669"/>
        <v>卡卡杜-凤凰仓</v>
      </c>
      <c r="B5131" s="1" t="str">
        <f>"CK2024102018010"</f>
        <v>CK2024102018010</v>
      </c>
      <c r="C5131" s="1" t="str">
        <f>"DD2024102025242"</f>
        <v>DD2024102025242</v>
      </c>
      <c r="D5131" s="1" t="str">
        <f>"CK2024102025377"</f>
        <v>CK2024102025377</v>
      </c>
      <c r="E5131" s="1" t="str">
        <f>"6935220824430417849"</f>
        <v>6935220824430417849</v>
      </c>
      <c r="F5131" s="1" t="str">
        <f t="shared" si="1670"/>
        <v>花都四部-凤凰仓</v>
      </c>
      <c r="G5131" s="1" t="str">
        <f t="shared" si="1666"/>
        <v>卡卡杜个人护理店（抖店）</v>
      </c>
      <c r="H5131" s="1" t="str">
        <f t="shared" si="1671"/>
        <v>正常订单</v>
      </c>
      <c r="I5131" s="1" t="str">
        <f t="shared" si="1672"/>
        <v>已发货</v>
      </c>
      <c r="J5131" s="1" t="str">
        <f t="shared" si="1664"/>
        <v>3</v>
      </c>
      <c r="K5131" s="1">
        <v>2</v>
      </c>
      <c r="L5131" s="1" t="s">
        <v>105</v>
      </c>
      <c r="M5131" s="1" t="str">
        <f>"北京 北京市 丰台区 南苑街道"</f>
        <v>北京 北京市 丰台区 南苑街道</v>
      </c>
      <c r="N5131" s="1" t="str">
        <f t="shared" si="1667"/>
        <v>凡华云仓-城南圆通-抖音</v>
      </c>
      <c r="O5131" s="5" t="s">
        <v>5155</v>
      </c>
      <c r="P5131" s="6">
        <v>0.35</v>
      </c>
      <c r="Q5131" s="11">
        <v>2.2999999999999998</v>
      </c>
      <c r="R5131" s="11"/>
      <c r="S5131" s="11"/>
      <c r="T5131" s="11"/>
      <c r="U5131" s="11">
        <f t="shared" si="1668"/>
        <v>2.2999999999999998</v>
      </c>
      <c r="W5131">
        <v>2.5</v>
      </c>
      <c r="X5131" s="1" t="s">
        <v>105</v>
      </c>
    </row>
    <row r="5132" spans="1:24" x14ac:dyDescent="0.25">
      <c r="A5132" s="1" t="str">
        <f t="shared" si="1669"/>
        <v>卡卡杜-凤凰仓</v>
      </c>
      <c r="B5132" s="1" t="str">
        <f>"CK2024102018097"</f>
        <v>CK2024102018097</v>
      </c>
      <c r="C5132" s="1" t="str">
        <f>"DD2024102025326"</f>
        <v>DD2024102025326</v>
      </c>
      <c r="D5132" s="1" t="str">
        <f>"CK2024102025376"</f>
        <v>CK2024102025376</v>
      </c>
      <c r="E5132" s="1" t="str">
        <f>"6935218302182233749"</f>
        <v>6935218302182233749</v>
      </c>
      <c r="F5132" s="1" t="str">
        <f t="shared" si="1670"/>
        <v>花都四部-凤凰仓</v>
      </c>
      <c r="G5132" s="1" t="str">
        <f t="shared" si="1666"/>
        <v>卡卡杜个人护理店（抖店）</v>
      </c>
      <c r="H5132" s="1" t="str">
        <f t="shared" si="1671"/>
        <v>正常订单</v>
      </c>
      <c r="I5132" s="1" t="str">
        <f t="shared" si="1672"/>
        <v>已发货</v>
      </c>
      <c r="J5132" s="1" t="str">
        <f t="shared" si="1664"/>
        <v>3</v>
      </c>
      <c r="K5132" s="1">
        <v>2</v>
      </c>
      <c r="L5132" s="1" t="s">
        <v>20</v>
      </c>
      <c r="M5132" s="1" t="str">
        <f>"浙江省 温州市 永嘉县 桥下镇"</f>
        <v>浙江省 温州市 永嘉县 桥下镇</v>
      </c>
      <c r="N5132" s="1" t="str">
        <f t="shared" si="1667"/>
        <v>凡华云仓-城南圆通-抖音</v>
      </c>
      <c r="O5132" s="5" t="s">
        <v>5156</v>
      </c>
      <c r="P5132" s="6">
        <v>0.35</v>
      </c>
      <c r="Q5132" s="11">
        <v>2.2999999999999998</v>
      </c>
      <c r="R5132" s="11"/>
      <c r="S5132" s="11"/>
      <c r="T5132" s="11"/>
      <c r="U5132" s="11">
        <f t="shared" si="1668"/>
        <v>2.2999999999999998</v>
      </c>
      <c r="W5132">
        <v>2.5</v>
      </c>
      <c r="X5132" s="1" t="s">
        <v>20</v>
      </c>
    </row>
    <row r="5133" spans="1:24" x14ac:dyDescent="0.25">
      <c r="A5133" s="1" t="str">
        <f t="shared" si="1669"/>
        <v>卡卡杜-凤凰仓</v>
      </c>
      <c r="B5133" s="1" t="str">
        <f>"CK2024102018107"</f>
        <v>CK2024102018107</v>
      </c>
      <c r="C5133" s="1" t="str">
        <f>"DD2024102025338"</f>
        <v>DD2024102025338</v>
      </c>
      <c r="D5133" s="1" t="str">
        <f>"CK2024102025375"</f>
        <v>CK2024102025375</v>
      </c>
      <c r="E5133" s="1" t="str">
        <f>"6935231529627162225"</f>
        <v>6935231529627162225</v>
      </c>
      <c r="F5133" s="1" t="str">
        <f t="shared" si="1670"/>
        <v>花都四部-凤凰仓</v>
      </c>
      <c r="G5133" s="1" t="str">
        <f t="shared" si="1666"/>
        <v>卡卡杜个人护理店（抖店）</v>
      </c>
      <c r="H5133" s="1" t="str">
        <f t="shared" si="1671"/>
        <v>正常订单</v>
      </c>
      <c r="I5133" s="1" t="str">
        <f t="shared" si="1672"/>
        <v>已发货</v>
      </c>
      <c r="J5133" s="1" t="str">
        <f t="shared" si="1664"/>
        <v>3</v>
      </c>
      <c r="K5133" s="1">
        <v>2</v>
      </c>
      <c r="L5133" s="1" t="s">
        <v>740</v>
      </c>
      <c r="M5133" s="1" t="str">
        <f>"宁夏回族自治区 吴忠市 同心县 王团镇"</f>
        <v>宁夏回族自治区 吴忠市 同心县 王团镇</v>
      </c>
      <c r="N5133" s="1" t="str">
        <f t="shared" si="1667"/>
        <v>凡华云仓-城南圆通-抖音</v>
      </c>
      <c r="O5133" s="5" t="s">
        <v>5157</v>
      </c>
      <c r="P5133" s="6">
        <v>0.35</v>
      </c>
      <c r="Q5133" s="11">
        <v>2.2999999999999998</v>
      </c>
      <c r="R5133" s="11"/>
      <c r="S5133" s="11"/>
      <c r="T5133" s="11"/>
      <c r="U5133" s="11">
        <f t="shared" si="1668"/>
        <v>2.2999999999999998</v>
      </c>
      <c r="W5133">
        <v>2.5</v>
      </c>
      <c r="X5133" s="1" t="s">
        <v>740</v>
      </c>
    </row>
    <row r="5134" spans="1:24" x14ac:dyDescent="0.25">
      <c r="A5134" s="1" t="str">
        <f t="shared" si="1669"/>
        <v>卡卡杜-凤凰仓</v>
      </c>
      <c r="B5134" s="1" t="str">
        <f>"CK2024102018117"</f>
        <v>CK2024102018117</v>
      </c>
      <c r="C5134" s="1" t="str">
        <f>"DD2024102025347"</f>
        <v>DD2024102025347</v>
      </c>
      <c r="D5134" s="1" t="str">
        <f>"CK2024102025374"</f>
        <v>CK2024102025374</v>
      </c>
      <c r="E5134" s="1" t="str">
        <f>"6935240349825307907"</f>
        <v>6935240349825307907</v>
      </c>
      <c r="F5134" s="1" t="str">
        <f t="shared" si="1670"/>
        <v>花都四部-凤凰仓</v>
      </c>
      <c r="G5134" s="1" t="str">
        <f t="shared" si="1666"/>
        <v>卡卡杜个人护理店（抖店）</v>
      </c>
      <c r="H5134" s="1" t="str">
        <f t="shared" si="1671"/>
        <v>正常订单</v>
      </c>
      <c r="I5134" s="1" t="str">
        <f t="shared" si="1672"/>
        <v>已发货</v>
      </c>
      <c r="J5134" s="1" t="str">
        <f t="shared" si="1664"/>
        <v>3</v>
      </c>
      <c r="K5134" s="1">
        <v>2</v>
      </c>
      <c r="L5134" s="1" t="s">
        <v>20</v>
      </c>
      <c r="M5134" s="1" t="str">
        <f>"浙江省 台州市 椒江区 洪家街道"</f>
        <v>浙江省 台州市 椒江区 洪家街道</v>
      </c>
      <c r="N5134" s="1" t="str">
        <f t="shared" si="1667"/>
        <v>凡华云仓-城南圆通-抖音</v>
      </c>
      <c r="O5134" s="5" t="s">
        <v>5158</v>
      </c>
      <c r="P5134" s="6">
        <v>0.35</v>
      </c>
      <c r="Q5134" s="11">
        <v>2.2999999999999998</v>
      </c>
      <c r="R5134" s="11"/>
      <c r="S5134" s="11"/>
      <c r="T5134" s="11"/>
      <c r="U5134" s="11">
        <f t="shared" si="1668"/>
        <v>2.2999999999999998</v>
      </c>
      <c r="W5134">
        <v>2.5</v>
      </c>
      <c r="X5134" s="1" t="s">
        <v>20</v>
      </c>
    </row>
    <row r="5135" spans="1:24" x14ac:dyDescent="0.25">
      <c r="A5135" s="1" t="str">
        <f t="shared" si="1669"/>
        <v>卡卡杜-凤凰仓</v>
      </c>
      <c r="B5135" s="1" t="str">
        <f>"CK2024102018122"</f>
        <v>CK2024102018122</v>
      </c>
      <c r="C5135" s="1" t="str">
        <f>"DD2024102025353"</f>
        <v>DD2024102025353</v>
      </c>
      <c r="D5135" s="1" t="str">
        <f>"CK2024102025373"</f>
        <v>CK2024102025373</v>
      </c>
      <c r="E5135" s="1" t="str">
        <f>"6935220250602706316"</f>
        <v>6935220250602706316</v>
      </c>
      <c r="F5135" s="1" t="str">
        <f t="shared" si="1670"/>
        <v>花都四部-凤凰仓</v>
      </c>
      <c r="G5135" s="1" t="str">
        <f t="shared" si="1666"/>
        <v>卡卡杜个人护理店（抖店）</v>
      </c>
      <c r="H5135" s="1" t="str">
        <f t="shared" si="1671"/>
        <v>正常订单</v>
      </c>
      <c r="I5135" s="1" t="str">
        <f t="shared" si="1672"/>
        <v>已发货</v>
      </c>
      <c r="J5135" s="1" t="str">
        <f t="shared" si="1664"/>
        <v>3</v>
      </c>
      <c r="K5135" s="1">
        <v>2</v>
      </c>
      <c r="L5135" s="1" t="s">
        <v>13</v>
      </c>
      <c r="M5135" s="1" t="str">
        <f>"江苏省 苏州市 虎丘区 通安镇"</f>
        <v>江苏省 苏州市 虎丘区 通安镇</v>
      </c>
      <c r="N5135" s="1" t="str">
        <f t="shared" si="1667"/>
        <v>凡华云仓-城南圆通-抖音</v>
      </c>
      <c r="O5135" s="5" t="s">
        <v>5159</v>
      </c>
      <c r="P5135" s="6">
        <v>0.35</v>
      </c>
      <c r="Q5135" s="11">
        <v>2.2999999999999998</v>
      </c>
      <c r="R5135" s="11"/>
      <c r="S5135" s="11"/>
      <c r="T5135" s="11"/>
      <c r="U5135" s="11">
        <f t="shared" si="1668"/>
        <v>2.2999999999999998</v>
      </c>
      <c r="W5135">
        <v>2.5</v>
      </c>
      <c r="X5135" s="1" t="s">
        <v>13</v>
      </c>
    </row>
    <row r="5136" spans="1:24" x14ac:dyDescent="0.25">
      <c r="A5136" s="1" t="str">
        <f t="shared" si="1669"/>
        <v>卡卡杜-凤凰仓</v>
      </c>
      <c r="B5136" s="1" t="str">
        <f>"CK2024102018124"</f>
        <v>CK2024102018124</v>
      </c>
      <c r="C5136" s="1" t="str">
        <f>"DD2024102025354"</f>
        <v>DD2024102025354</v>
      </c>
      <c r="D5136" s="1" t="str">
        <f>"CK2024102025372"</f>
        <v>CK2024102025372</v>
      </c>
      <c r="E5136" s="1" t="str">
        <f>"6935228986661017562"</f>
        <v>6935228986661017562</v>
      </c>
      <c r="F5136" s="1" t="str">
        <f t="shared" si="1670"/>
        <v>花都四部-凤凰仓</v>
      </c>
      <c r="G5136" s="1" t="str">
        <f t="shared" si="1666"/>
        <v>卡卡杜个人护理店（抖店）</v>
      </c>
      <c r="H5136" s="1" t="str">
        <f t="shared" si="1671"/>
        <v>正常订单</v>
      </c>
      <c r="I5136" s="1" t="str">
        <f t="shared" si="1672"/>
        <v>已发货</v>
      </c>
      <c r="J5136" s="1" t="str">
        <f t="shared" si="1664"/>
        <v>3</v>
      </c>
      <c r="K5136" s="1">
        <v>2</v>
      </c>
      <c r="L5136" s="1" t="s">
        <v>13</v>
      </c>
      <c r="M5136" s="1" t="str">
        <f>"江苏省 徐州市 鼓楼区 九里街道"</f>
        <v>江苏省 徐州市 鼓楼区 九里街道</v>
      </c>
      <c r="N5136" s="1" t="str">
        <f t="shared" si="1667"/>
        <v>凡华云仓-城南圆通-抖音</v>
      </c>
      <c r="O5136" s="5" t="s">
        <v>5160</v>
      </c>
      <c r="P5136" s="6">
        <v>0.35</v>
      </c>
      <c r="Q5136" s="11">
        <v>2.2999999999999998</v>
      </c>
      <c r="R5136" s="11"/>
      <c r="S5136" s="11"/>
      <c r="T5136" s="11"/>
      <c r="U5136" s="11">
        <f t="shared" si="1668"/>
        <v>2.2999999999999998</v>
      </c>
      <c r="W5136">
        <v>2.5</v>
      </c>
      <c r="X5136" s="1" t="s">
        <v>13</v>
      </c>
    </row>
    <row r="5137" spans="1:24" x14ac:dyDescent="0.25">
      <c r="A5137" s="1" t="str">
        <f t="shared" si="1669"/>
        <v>卡卡杜-凤凰仓</v>
      </c>
      <c r="B5137" s="1" t="str">
        <f>"CK2024102018125"</f>
        <v>CK2024102018125</v>
      </c>
      <c r="C5137" s="1" t="str">
        <f>"DD2024102025356"</f>
        <v>DD2024102025356</v>
      </c>
      <c r="D5137" s="1" t="str">
        <f>"CK2024102025371"</f>
        <v>CK2024102025371</v>
      </c>
      <c r="E5137" s="1" t="str">
        <f>"6935237965441209990"</f>
        <v>6935237965441209990</v>
      </c>
      <c r="F5137" s="1" t="str">
        <f t="shared" si="1670"/>
        <v>花都四部-凤凰仓</v>
      </c>
      <c r="G5137" s="1" t="str">
        <f t="shared" si="1666"/>
        <v>卡卡杜个人护理店（抖店）</v>
      </c>
      <c r="H5137" s="1" t="str">
        <f t="shared" si="1671"/>
        <v>正常订单</v>
      </c>
      <c r="I5137" s="1" t="str">
        <f t="shared" si="1672"/>
        <v>已发货</v>
      </c>
      <c r="J5137" s="1" t="str">
        <f t="shared" si="1664"/>
        <v>3</v>
      </c>
      <c r="K5137" s="1">
        <v>2</v>
      </c>
      <c r="L5137" s="1" t="s">
        <v>18</v>
      </c>
      <c r="M5137" s="1" t="str">
        <f>"广东省 佛山市 顺德区 陈村镇"</f>
        <v>广东省 佛山市 顺德区 陈村镇</v>
      </c>
      <c r="N5137" s="1" t="str">
        <f t="shared" si="1667"/>
        <v>凡华云仓-城南圆通-抖音</v>
      </c>
      <c r="O5137" s="5" t="s">
        <v>5161</v>
      </c>
      <c r="P5137" s="6">
        <v>0.35</v>
      </c>
      <c r="Q5137" s="11">
        <v>2.2999999999999998</v>
      </c>
      <c r="R5137" s="11"/>
      <c r="S5137" s="11"/>
      <c r="T5137" s="11"/>
      <c r="U5137" s="11">
        <f t="shared" si="1668"/>
        <v>2.2999999999999998</v>
      </c>
      <c r="W5137">
        <v>2.5</v>
      </c>
      <c r="X5137" s="1" t="s">
        <v>18</v>
      </c>
    </row>
    <row r="5138" spans="1:24" x14ac:dyDescent="0.25">
      <c r="A5138" s="1" t="str">
        <f t="shared" si="1669"/>
        <v>卡卡杜-凤凰仓</v>
      </c>
      <c r="B5138" s="1" t="str">
        <f>"CK2024102018128"</f>
        <v>CK2024102018128</v>
      </c>
      <c r="C5138" s="1" t="str">
        <f>"DD2024102025359"</f>
        <v>DD2024102025359</v>
      </c>
      <c r="D5138" s="1" t="str">
        <f>"CK2024102025370"</f>
        <v>CK2024102025370</v>
      </c>
      <c r="E5138" s="1" t="str">
        <f>"6935226773358974894"</f>
        <v>6935226773358974894</v>
      </c>
      <c r="F5138" s="1" t="str">
        <f t="shared" si="1670"/>
        <v>花都四部-凤凰仓</v>
      </c>
      <c r="G5138" s="1" t="str">
        <f t="shared" si="1666"/>
        <v>卡卡杜个人护理店（抖店）</v>
      </c>
      <c r="H5138" s="1" t="str">
        <f t="shared" si="1671"/>
        <v>正常订单</v>
      </c>
      <c r="I5138" s="1" t="str">
        <f t="shared" si="1672"/>
        <v>已发货</v>
      </c>
      <c r="J5138" s="1" t="str">
        <f t="shared" si="1664"/>
        <v>3</v>
      </c>
      <c r="K5138" s="1">
        <v>2</v>
      </c>
      <c r="L5138" s="1" t="s">
        <v>36</v>
      </c>
      <c r="M5138" s="1" t="str">
        <f>"安徽省 亳州市 谯城区 "</f>
        <v xml:space="preserve">安徽省 亳州市 谯城区 </v>
      </c>
      <c r="N5138" s="1" t="str">
        <f t="shared" si="1667"/>
        <v>凡华云仓-城南圆通-抖音</v>
      </c>
      <c r="O5138" s="5" t="s">
        <v>5162</v>
      </c>
      <c r="P5138" s="6">
        <v>0.35</v>
      </c>
      <c r="Q5138" s="11">
        <v>2.2999999999999998</v>
      </c>
      <c r="R5138" s="11"/>
      <c r="S5138" s="11"/>
      <c r="T5138" s="11"/>
      <c r="U5138" s="11">
        <f t="shared" si="1668"/>
        <v>2.2999999999999998</v>
      </c>
      <c r="W5138">
        <v>2.5</v>
      </c>
      <c r="X5138" s="1" t="s">
        <v>36</v>
      </c>
    </row>
    <row r="5139" spans="1:24" x14ac:dyDescent="0.25">
      <c r="A5139" s="1" t="str">
        <f t="shared" si="1669"/>
        <v>卡卡杜-凤凰仓</v>
      </c>
      <c r="B5139" s="1" t="str">
        <f>"CK2024102018129"</f>
        <v>CK2024102018129</v>
      </c>
      <c r="C5139" s="1" t="str">
        <f>"DD2024102025360"</f>
        <v>DD2024102025360</v>
      </c>
      <c r="D5139" s="1" t="str">
        <f>"CK2024102025369"</f>
        <v>CK2024102025369</v>
      </c>
      <c r="E5139" s="1" t="str">
        <f>"6935228978750428280"</f>
        <v>6935228978750428280</v>
      </c>
      <c r="F5139" s="1" t="str">
        <f t="shared" si="1670"/>
        <v>花都四部-凤凰仓</v>
      </c>
      <c r="G5139" s="1" t="str">
        <f t="shared" si="1666"/>
        <v>卡卡杜个人护理店（抖店）</v>
      </c>
      <c r="H5139" s="1" t="str">
        <f t="shared" si="1671"/>
        <v>正常订单</v>
      </c>
      <c r="I5139" s="1" t="str">
        <f t="shared" si="1672"/>
        <v>已发货</v>
      </c>
      <c r="J5139" s="1" t="str">
        <f t="shared" si="1664"/>
        <v>3</v>
      </c>
      <c r="K5139" s="1">
        <v>2</v>
      </c>
      <c r="L5139" s="1" t="s">
        <v>27</v>
      </c>
      <c r="M5139" s="1" t="str">
        <f>"贵州省 黔南布依族苗族自治州 三都水族自治县 大河镇"</f>
        <v>贵州省 黔南布依族苗族自治州 三都水族自治县 大河镇</v>
      </c>
      <c r="N5139" s="1" t="str">
        <f t="shared" si="1667"/>
        <v>凡华云仓-城南圆通-抖音</v>
      </c>
      <c r="O5139" s="5" t="s">
        <v>5163</v>
      </c>
      <c r="P5139" s="6">
        <v>0.35</v>
      </c>
      <c r="Q5139" s="11">
        <v>2.2999999999999998</v>
      </c>
      <c r="R5139" s="11"/>
      <c r="S5139" s="11"/>
      <c r="T5139" s="11"/>
      <c r="U5139" s="11">
        <f t="shared" si="1668"/>
        <v>2.2999999999999998</v>
      </c>
      <c r="W5139">
        <v>2.5</v>
      </c>
      <c r="X5139" s="1" t="s">
        <v>27</v>
      </c>
    </row>
    <row r="5140" spans="1:24" x14ac:dyDescent="0.25">
      <c r="A5140" s="1" t="str">
        <f t="shared" si="1669"/>
        <v>卡卡杜-凤凰仓</v>
      </c>
      <c r="B5140" s="1" t="str">
        <f>"CK2024102018130"</f>
        <v>CK2024102018130</v>
      </c>
      <c r="C5140" s="1" t="str">
        <f>"DD2024102025361"</f>
        <v>DD2024102025361</v>
      </c>
      <c r="D5140" s="1" t="str">
        <f>"CK2024102025368"</f>
        <v>CK2024102025368</v>
      </c>
      <c r="E5140" s="1" t="str">
        <f>"6935207202174735501"</f>
        <v>6935207202174735501</v>
      </c>
      <c r="F5140" s="1" t="str">
        <f t="shared" si="1670"/>
        <v>花都四部-凤凰仓</v>
      </c>
      <c r="G5140" s="1" t="str">
        <f t="shared" si="1666"/>
        <v>卡卡杜个人护理店（抖店）</v>
      </c>
      <c r="H5140" s="1" t="str">
        <f t="shared" si="1671"/>
        <v>正常订单</v>
      </c>
      <c r="I5140" s="1" t="str">
        <f t="shared" si="1672"/>
        <v>已发货</v>
      </c>
      <c r="J5140" s="1" t="str">
        <f t="shared" si="1664"/>
        <v>3</v>
      </c>
      <c r="K5140" s="1">
        <v>2</v>
      </c>
      <c r="L5140" s="1" t="s">
        <v>18</v>
      </c>
      <c r="M5140" s="1" t="str">
        <f>"广东省 东莞市 东莞市 石龙镇"</f>
        <v>广东省 东莞市 东莞市 石龙镇</v>
      </c>
      <c r="N5140" s="1" t="str">
        <f t="shared" si="1667"/>
        <v>凡华云仓-城南圆通-抖音</v>
      </c>
      <c r="O5140" s="5" t="s">
        <v>5164</v>
      </c>
      <c r="P5140" s="6">
        <v>0.35</v>
      </c>
      <c r="Q5140" s="11">
        <v>2.2999999999999998</v>
      </c>
      <c r="R5140" s="11"/>
      <c r="S5140" s="11"/>
      <c r="T5140" s="11"/>
      <c r="U5140" s="11">
        <f t="shared" si="1668"/>
        <v>2.2999999999999998</v>
      </c>
      <c r="W5140">
        <v>2.5</v>
      </c>
      <c r="X5140" s="1" t="s">
        <v>18</v>
      </c>
    </row>
    <row r="5141" spans="1:24" x14ac:dyDescent="0.25">
      <c r="A5141" s="1" t="str">
        <f t="shared" si="1669"/>
        <v>卡卡杜-凤凰仓</v>
      </c>
      <c r="B5141" s="1" t="str">
        <f>"CK2024102018148"</f>
        <v>CK2024102018148</v>
      </c>
      <c r="C5141" s="1" t="str">
        <f>"DD2024102025375"</f>
        <v>DD2024102025375</v>
      </c>
      <c r="D5141" s="1" t="str">
        <f>"CK2024102025367"</f>
        <v>CK2024102025367</v>
      </c>
      <c r="E5141" s="1" t="str">
        <f>"6935220119684388485"</f>
        <v>6935220119684388485</v>
      </c>
      <c r="F5141" s="1" t="str">
        <f t="shared" si="1670"/>
        <v>花都四部-凤凰仓</v>
      </c>
      <c r="G5141" s="1" t="str">
        <f t="shared" si="1666"/>
        <v>卡卡杜个人护理店（抖店）</v>
      </c>
      <c r="H5141" s="1" t="str">
        <f t="shared" si="1671"/>
        <v>正常订单</v>
      </c>
      <c r="I5141" s="1" t="str">
        <f t="shared" si="1672"/>
        <v>已发货</v>
      </c>
      <c r="J5141" s="1" t="str">
        <f t="shared" si="1664"/>
        <v>3</v>
      </c>
      <c r="K5141" s="1">
        <v>2</v>
      </c>
      <c r="L5141" s="1" t="s">
        <v>22</v>
      </c>
      <c r="M5141" s="1" t="str">
        <f>"江西省 吉安市 永丰县 恩江镇"</f>
        <v>江西省 吉安市 永丰县 恩江镇</v>
      </c>
      <c r="N5141" s="1" t="str">
        <f t="shared" si="1667"/>
        <v>凡华云仓-城南圆通-抖音</v>
      </c>
      <c r="O5141" s="5" t="s">
        <v>5165</v>
      </c>
      <c r="P5141" s="6">
        <v>0.35</v>
      </c>
      <c r="Q5141" s="11">
        <v>2.2999999999999998</v>
      </c>
      <c r="R5141" s="11"/>
      <c r="S5141" s="11"/>
      <c r="T5141" s="11"/>
      <c r="U5141" s="11">
        <f t="shared" si="1668"/>
        <v>2.2999999999999998</v>
      </c>
      <c r="W5141">
        <v>2.5</v>
      </c>
      <c r="X5141" s="1" t="s">
        <v>22</v>
      </c>
    </row>
    <row r="5142" spans="1:24" x14ac:dyDescent="0.25">
      <c r="A5142" s="1" t="str">
        <f t="shared" si="1669"/>
        <v>卡卡杜-凤凰仓</v>
      </c>
      <c r="B5142" s="1" t="str">
        <f>"CK2024102018164"</f>
        <v>CK2024102018164</v>
      </c>
      <c r="C5142" s="1" t="str">
        <f>"DD2024102025392"</f>
        <v>DD2024102025392</v>
      </c>
      <c r="D5142" s="1" t="str">
        <f>"CK2024102025366"</f>
        <v>CK2024102025366</v>
      </c>
      <c r="E5142" s="1" t="str">
        <f>"6935217544239978235"</f>
        <v>6935217544239978235</v>
      </c>
      <c r="F5142" s="1" t="str">
        <f t="shared" si="1670"/>
        <v>花都四部-凤凰仓</v>
      </c>
      <c r="G5142" s="1" t="str">
        <f t="shared" si="1666"/>
        <v>卡卡杜个人护理店（抖店）</v>
      </c>
      <c r="H5142" s="1" t="str">
        <f t="shared" si="1671"/>
        <v>正常订单</v>
      </c>
      <c r="I5142" s="1" t="str">
        <f t="shared" si="1672"/>
        <v>已发货</v>
      </c>
      <c r="J5142" s="1" t="str">
        <f t="shared" si="1664"/>
        <v>3</v>
      </c>
      <c r="K5142" s="1">
        <v>2</v>
      </c>
      <c r="L5142" s="1" t="s">
        <v>30</v>
      </c>
      <c r="M5142" s="1" t="str">
        <f>"山东省 潍坊市 安丘市 新安街道"</f>
        <v>山东省 潍坊市 安丘市 新安街道</v>
      </c>
      <c r="N5142" s="1" t="str">
        <f t="shared" si="1667"/>
        <v>凡华云仓-城南圆通-抖音</v>
      </c>
      <c r="O5142" s="5" t="s">
        <v>5166</v>
      </c>
      <c r="P5142" s="6">
        <v>0.35</v>
      </c>
      <c r="Q5142" s="11">
        <v>2.2999999999999998</v>
      </c>
      <c r="R5142" s="11"/>
      <c r="S5142" s="11"/>
      <c r="T5142" s="11"/>
      <c r="U5142" s="11">
        <f t="shared" si="1668"/>
        <v>2.2999999999999998</v>
      </c>
      <c r="W5142">
        <v>2.5</v>
      </c>
      <c r="X5142" s="1" t="s">
        <v>30</v>
      </c>
    </row>
    <row r="5143" spans="1:24" x14ac:dyDescent="0.25">
      <c r="A5143" s="1" t="str">
        <f t="shared" si="1669"/>
        <v>卡卡杜-凤凰仓</v>
      </c>
      <c r="B5143" s="1" t="str">
        <f>"CK2024102018167"</f>
        <v>CK2024102018167</v>
      </c>
      <c r="C5143" s="1" t="str">
        <f>"DD2024102025394"</f>
        <v>DD2024102025394</v>
      </c>
      <c r="D5143" s="1" t="str">
        <f>"CK2024102025365"</f>
        <v>CK2024102025365</v>
      </c>
      <c r="E5143" s="1" t="str">
        <f>"6918022979799907690"</f>
        <v>6918022979799907690</v>
      </c>
      <c r="F5143" s="1" t="str">
        <f t="shared" si="1670"/>
        <v>花都四部-凤凰仓</v>
      </c>
      <c r="G5143" s="1" t="str">
        <f t="shared" si="1666"/>
        <v>卡卡杜个人护理店（抖店）</v>
      </c>
      <c r="H5143" s="1" t="str">
        <f t="shared" si="1671"/>
        <v>正常订单</v>
      </c>
      <c r="I5143" s="1" t="str">
        <f t="shared" si="1672"/>
        <v>已发货</v>
      </c>
      <c r="J5143" s="1" t="str">
        <f t="shared" si="1664"/>
        <v>3</v>
      </c>
      <c r="K5143" s="1">
        <v>2</v>
      </c>
      <c r="L5143" s="1" t="s">
        <v>20</v>
      </c>
      <c r="M5143" s="1" t="str">
        <f>"浙江省 宁波市 江北区 慈城镇"</f>
        <v>浙江省 宁波市 江北区 慈城镇</v>
      </c>
      <c r="N5143" s="1" t="str">
        <f t="shared" si="1667"/>
        <v>凡华云仓-城南圆通-抖音</v>
      </c>
      <c r="O5143" s="5" t="s">
        <v>5167</v>
      </c>
      <c r="P5143" s="6">
        <v>0.35</v>
      </c>
      <c r="Q5143" s="11">
        <v>2.2999999999999998</v>
      </c>
      <c r="R5143" s="11"/>
      <c r="S5143" s="11"/>
      <c r="T5143" s="11"/>
      <c r="U5143" s="11">
        <f t="shared" si="1668"/>
        <v>2.2999999999999998</v>
      </c>
      <c r="W5143">
        <v>2.5</v>
      </c>
      <c r="X5143" s="1" t="s">
        <v>20</v>
      </c>
    </row>
    <row r="5144" spans="1:24" x14ac:dyDescent="0.25">
      <c r="A5144" s="1" t="str">
        <f t="shared" si="1669"/>
        <v>卡卡杜-凤凰仓</v>
      </c>
      <c r="B5144" s="1" t="str">
        <f>"CK2024102018169"</f>
        <v>CK2024102018169</v>
      </c>
      <c r="C5144" s="1" t="str">
        <f>"DD2024102025396"</f>
        <v>DD2024102025396</v>
      </c>
      <c r="D5144" s="1" t="str">
        <f>"CK2024102025364"</f>
        <v>CK2024102025364</v>
      </c>
      <c r="E5144" s="1" t="str">
        <f>"6935200060919846816"</f>
        <v>6935200060919846816</v>
      </c>
      <c r="F5144" s="1" t="str">
        <f t="shared" si="1670"/>
        <v>花都四部-凤凰仓</v>
      </c>
      <c r="G5144" s="1" t="str">
        <f t="shared" si="1666"/>
        <v>卡卡杜个人护理店（抖店）</v>
      </c>
      <c r="H5144" s="1" t="str">
        <f t="shared" si="1671"/>
        <v>正常订单</v>
      </c>
      <c r="I5144" s="1" t="str">
        <f t="shared" si="1672"/>
        <v>已发货</v>
      </c>
      <c r="J5144" s="1" t="str">
        <f t="shared" si="1664"/>
        <v>3</v>
      </c>
      <c r="K5144" s="1">
        <v>2</v>
      </c>
      <c r="L5144" s="1" t="s">
        <v>13</v>
      </c>
      <c r="M5144" s="1" t="str">
        <f>"江苏省 苏州市 昆山市 周市镇"</f>
        <v>江苏省 苏州市 昆山市 周市镇</v>
      </c>
      <c r="N5144" s="1" t="str">
        <f t="shared" si="1667"/>
        <v>凡华云仓-城南圆通-抖音</v>
      </c>
      <c r="O5144" s="5" t="s">
        <v>5168</v>
      </c>
      <c r="P5144" s="6">
        <v>0.35</v>
      </c>
      <c r="Q5144" s="11">
        <v>2.2999999999999998</v>
      </c>
      <c r="R5144" s="11"/>
      <c r="S5144" s="11"/>
      <c r="T5144" s="11"/>
      <c r="U5144" s="11">
        <f t="shared" si="1668"/>
        <v>2.2999999999999998</v>
      </c>
      <c r="W5144">
        <v>2.5</v>
      </c>
      <c r="X5144" s="1" t="s">
        <v>13</v>
      </c>
    </row>
    <row r="5145" spans="1:24" x14ac:dyDescent="0.25">
      <c r="A5145" s="1" t="str">
        <f t="shared" si="1669"/>
        <v>卡卡杜-凤凰仓</v>
      </c>
      <c r="B5145" s="1" t="str">
        <f>"CK2024102018179"</f>
        <v>CK2024102018179</v>
      </c>
      <c r="C5145" s="1" t="str">
        <f>"DD2024102025407"</f>
        <v>DD2024102025407</v>
      </c>
      <c r="D5145" s="1" t="str">
        <f>"CK2024102025363"</f>
        <v>CK2024102025363</v>
      </c>
      <c r="E5145" s="1" t="str">
        <f>"6935213298881730233"</f>
        <v>6935213298881730233</v>
      </c>
      <c r="F5145" s="1" t="str">
        <f t="shared" si="1670"/>
        <v>花都四部-凤凰仓</v>
      </c>
      <c r="G5145" s="1" t="str">
        <f t="shared" si="1666"/>
        <v>卡卡杜个人护理店（抖店）</v>
      </c>
      <c r="H5145" s="1" t="str">
        <f t="shared" si="1671"/>
        <v>正常订单</v>
      </c>
      <c r="I5145" s="1" t="str">
        <f t="shared" si="1672"/>
        <v>已发货</v>
      </c>
      <c r="J5145" s="1" t="str">
        <f t="shared" si="1664"/>
        <v>3</v>
      </c>
      <c r="K5145" s="1">
        <v>2</v>
      </c>
      <c r="L5145" s="1" t="s">
        <v>20</v>
      </c>
      <c r="M5145" s="1" t="str">
        <f>"浙江省 宁波市 慈溪市 庵东镇"</f>
        <v>浙江省 宁波市 慈溪市 庵东镇</v>
      </c>
      <c r="N5145" s="1" t="str">
        <f t="shared" si="1667"/>
        <v>凡华云仓-城南圆通-抖音</v>
      </c>
      <c r="O5145" s="5" t="s">
        <v>5169</v>
      </c>
      <c r="P5145" s="6">
        <v>0.35</v>
      </c>
      <c r="Q5145" s="11">
        <v>2.2999999999999998</v>
      </c>
      <c r="R5145" s="11"/>
      <c r="S5145" s="11"/>
      <c r="T5145" s="11"/>
      <c r="U5145" s="11">
        <f t="shared" si="1668"/>
        <v>2.2999999999999998</v>
      </c>
      <c r="W5145">
        <v>2.5</v>
      </c>
      <c r="X5145" s="1" t="s">
        <v>20</v>
      </c>
    </row>
    <row r="5146" spans="1:24" x14ac:dyDescent="0.25">
      <c r="A5146" s="1" t="str">
        <f t="shared" si="1669"/>
        <v>卡卡杜-凤凰仓</v>
      </c>
      <c r="B5146" s="1" t="str">
        <f>"CK2024102018182"</f>
        <v>CK2024102018182</v>
      </c>
      <c r="C5146" s="1" t="str">
        <f>"DD2024102025408"</f>
        <v>DD2024102025408</v>
      </c>
      <c r="D5146" s="1" t="str">
        <f>"CK2024102025362"</f>
        <v>CK2024102025362</v>
      </c>
      <c r="E5146" s="1" t="str">
        <f>"6935199756802987716"</f>
        <v>6935199756802987716</v>
      </c>
      <c r="F5146" s="1" t="str">
        <f t="shared" si="1670"/>
        <v>花都四部-凤凰仓</v>
      </c>
      <c r="G5146" s="1" t="str">
        <f t="shared" si="1666"/>
        <v>卡卡杜个人护理店（抖店）</v>
      </c>
      <c r="H5146" s="1" t="str">
        <f t="shared" si="1671"/>
        <v>正常订单</v>
      </c>
      <c r="I5146" s="1" t="str">
        <f t="shared" si="1672"/>
        <v>已发货</v>
      </c>
      <c r="J5146" s="1" t="str">
        <f t="shared" si="1664"/>
        <v>3</v>
      </c>
      <c r="K5146" s="1">
        <v>2</v>
      </c>
      <c r="L5146" s="1" t="s">
        <v>18</v>
      </c>
      <c r="M5146" s="1" t="str">
        <f>"广东省 佛山市 三水区 乐平镇"</f>
        <v>广东省 佛山市 三水区 乐平镇</v>
      </c>
      <c r="N5146" s="1" t="str">
        <f t="shared" si="1667"/>
        <v>凡华云仓-城南圆通-抖音</v>
      </c>
      <c r="O5146" s="5" t="s">
        <v>5170</v>
      </c>
      <c r="P5146" s="6">
        <v>0.35</v>
      </c>
      <c r="Q5146" s="11">
        <v>2.2999999999999998</v>
      </c>
      <c r="R5146" s="11"/>
      <c r="S5146" s="11"/>
      <c r="T5146" s="11"/>
      <c r="U5146" s="11">
        <f t="shared" si="1668"/>
        <v>2.2999999999999998</v>
      </c>
      <c r="W5146">
        <v>2.5</v>
      </c>
      <c r="X5146" s="1" t="s">
        <v>18</v>
      </c>
    </row>
    <row r="5147" spans="1:24" x14ac:dyDescent="0.25">
      <c r="A5147" s="1" t="str">
        <f t="shared" si="1669"/>
        <v>卡卡杜-凤凰仓</v>
      </c>
      <c r="B5147" s="1" t="str">
        <f>"CK2024102017954"</f>
        <v>CK2024102017954</v>
      </c>
      <c r="C5147" s="1" t="str">
        <f>"DD2024102025186"</f>
        <v>DD2024102025186</v>
      </c>
      <c r="D5147" s="1" t="str">
        <f>"CK2024102025361"</f>
        <v>CK2024102025361</v>
      </c>
      <c r="E5147" s="1" t="str">
        <f>"2429402166680257"</f>
        <v>2429402166680257</v>
      </c>
      <c r="F5147" s="1" t="str">
        <f t="shared" si="1670"/>
        <v>花都四部-凤凰仓</v>
      </c>
      <c r="G5147" s="1" t="str">
        <f t="shared" ref="G5147:G5210" si="1673">"卡卡杜佳旺专卖店（快手店）"</f>
        <v>卡卡杜佳旺专卖店（快手店）</v>
      </c>
      <c r="H5147" s="1" t="str">
        <f t="shared" si="1671"/>
        <v>正常订单</v>
      </c>
      <c r="I5147" s="1" t="str">
        <f t="shared" si="1672"/>
        <v>已发货</v>
      </c>
      <c r="J5147" s="1" t="str">
        <f t="shared" si="1664"/>
        <v>3</v>
      </c>
      <c r="K5147" s="1">
        <v>2</v>
      </c>
      <c r="L5147" s="1" t="s">
        <v>18</v>
      </c>
      <c r="M5147" s="1" t="str">
        <f>"广东省 深圳市 罗湖区 南湖街道"</f>
        <v>广东省 深圳市 罗湖区 南湖街道</v>
      </c>
      <c r="N5147" s="1" t="str">
        <f t="shared" ref="N5147:N5210" si="1674">"凡华云仓-城南圆通-快手"</f>
        <v>凡华云仓-城南圆通-快手</v>
      </c>
      <c r="O5147" s="5" t="s">
        <v>5171</v>
      </c>
      <c r="P5147" s="6">
        <v>0.35</v>
      </c>
      <c r="Q5147" s="11">
        <v>2.2999999999999998</v>
      </c>
      <c r="R5147" s="11"/>
      <c r="S5147" s="11"/>
      <c r="T5147" s="11"/>
      <c r="U5147" s="11">
        <f t="shared" si="1668"/>
        <v>2.2999999999999998</v>
      </c>
      <c r="W5147">
        <v>2.5</v>
      </c>
      <c r="X5147" s="1" t="s">
        <v>18</v>
      </c>
    </row>
    <row r="5148" spans="1:24" x14ac:dyDescent="0.25">
      <c r="A5148" s="1" t="str">
        <f t="shared" si="1669"/>
        <v>卡卡杜-凤凰仓</v>
      </c>
      <c r="B5148" s="1" t="str">
        <f>"CK2024102017955"</f>
        <v>CK2024102017955</v>
      </c>
      <c r="C5148" s="1" t="str">
        <f>"DD2024102025188"</f>
        <v>DD2024102025188</v>
      </c>
      <c r="D5148" s="1" t="str">
        <f>"CK2024102025360"</f>
        <v>CK2024102025360</v>
      </c>
      <c r="E5148" s="1" t="str">
        <f>"2429401768219231"</f>
        <v>2429401768219231</v>
      </c>
      <c r="F5148" s="1" t="str">
        <f t="shared" si="1670"/>
        <v>花都四部-凤凰仓</v>
      </c>
      <c r="G5148" s="1" t="str">
        <f t="shared" si="1673"/>
        <v>卡卡杜佳旺专卖店（快手店）</v>
      </c>
      <c r="H5148" s="1" t="str">
        <f t="shared" si="1671"/>
        <v>正常订单</v>
      </c>
      <c r="I5148" s="1" t="str">
        <f t="shared" si="1672"/>
        <v>已发货</v>
      </c>
      <c r="J5148" s="1" t="str">
        <f t="shared" ref="J5148:J5153" si="1675">"5"</f>
        <v>5</v>
      </c>
      <c r="K5148" s="1">
        <v>2</v>
      </c>
      <c r="L5148" s="1" t="s">
        <v>18</v>
      </c>
      <c r="M5148" s="1" t="str">
        <f>"广东省 深圳市 宝安区 沙井街道"</f>
        <v>广东省 深圳市 宝安区 沙井街道</v>
      </c>
      <c r="N5148" s="1" t="str">
        <f t="shared" si="1674"/>
        <v>凡华云仓-城南圆通-快手</v>
      </c>
      <c r="O5148" s="5" t="s">
        <v>5172</v>
      </c>
      <c r="P5148" s="6">
        <v>0.59</v>
      </c>
      <c r="Q5148" s="11">
        <f t="shared" ref="Q5148:Q5153" si="1676">CEILING(P5148-0.5,0.1)*10*0.15+2.3</f>
        <v>2.4499999999999997</v>
      </c>
      <c r="R5148" s="11"/>
      <c r="S5148" s="11"/>
      <c r="T5148" s="11"/>
      <c r="U5148" s="11">
        <f t="shared" si="1668"/>
        <v>2.4499999999999997</v>
      </c>
      <c r="V5148" t="s">
        <v>15</v>
      </c>
      <c r="W5148">
        <v>2.4500000000000002</v>
      </c>
      <c r="X5148" s="1" t="s">
        <v>18</v>
      </c>
    </row>
    <row r="5149" spans="1:24" x14ac:dyDescent="0.25">
      <c r="A5149" s="1" t="str">
        <f t="shared" si="1669"/>
        <v>卡卡杜-凤凰仓</v>
      </c>
      <c r="B5149" s="1" t="str">
        <f>"CK2024102017956"</f>
        <v>CK2024102017956</v>
      </c>
      <c r="C5149" s="1" t="str">
        <f>"DD2024102025189"</f>
        <v>DD2024102025189</v>
      </c>
      <c r="D5149" s="1" t="str">
        <f>"CK2024102025359"</f>
        <v>CK2024102025359</v>
      </c>
      <c r="E5149" s="1" t="str">
        <f>"2429401601928084"</f>
        <v>2429401601928084</v>
      </c>
      <c r="F5149" s="1" t="str">
        <f t="shared" si="1670"/>
        <v>花都四部-凤凰仓</v>
      </c>
      <c r="G5149" s="1" t="str">
        <f t="shared" si="1673"/>
        <v>卡卡杜佳旺专卖店（快手店）</v>
      </c>
      <c r="H5149" s="1" t="str">
        <f t="shared" si="1671"/>
        <v>正常订单</v>
      </c>
      <c r="I5149" s="1" t="str">
        <f t="shared" si="1672"/>
        <v>已发货</v>
      </c>
      <c r="J5149" s="1" t="str">
        <f t="shared" ref="J5149:J5152" si="1677">"3"</f>
        <v>3</v>
      </c>
      <c r="K5149" s="1">
        <v>2</v>
      </c>
      <c r="L5149" s="1" t="s">
        <v>20</v>
      </c>
      <c r="M5149" s="1" t="str">
        <f>"浙江省 杭州市 上城区 紫阳街道"</f>
        <v>浙江省 杭州市 上城区 紫阳街道</v>
      </c>
      <c r="N5149" s="1" t="str">
        <f t="shared" si="1674"/>
        <v>凡华云仓-城南圆通-快手</v>
      </c>
      <c r="O5149" s="5" t="s">
        <v>5173</v>
      </c>
      <c r="P5149" s="6">
        <v>0.35</v>
      </c>
      <c r="Q5149" s="11">
        <v>2.2999999999999998</v>
      </c>
      <c r="R5149" s="11"/>
      <c r="S5149" s="11"/>
      <c r="T5149" s="11"/>
      <c r="U5149" s="11">
        <f t="shared" si="1668"/>
        <v>2.2999999999999998</v>
      </c>
      <c r="W5149">
        <v>2.5</v>
      </c>
      <c r="X5149" s="1" t="s">
        <v>20</v>
      </c>
    </row>
    <row r="5150" spans="1:24" x14ac:dyDescent="0.25">
      <c r="A5150" s="1" t="str">
        <f t="shared" si="1669"/>
        <v>卡卡杜-凤凰仓</v>
      </c>
      <c r="B5150" s="1" t="str">
        <f>"CK2024102017958"</f>
        <v>CK2024102017958</v>
      </c>
      <c r="C5150" s="1" t="str">
        <f>"DD2024102025192"</f>
        <v>DD2024102025192</v>
      </c>
      <c r="D5150" s="1" t="str">
        <f>"CK2024102025358"</f>
        <v>CK2024102025358</v>
      </c>
      <c r="E5150" s="1" t="str">
        <f>"2429401610571355"</f>
        <v>2429401610571355</v>
      </c>
      <c r="F5150" s="1" t="str">
        <f t="shared" si="1670"/>
        <v>花都四部-凤凰仓</v>
      </c>
      <c r="G5150" s="1" t="str">
        <f t="shared" si="1673"/>
        <v>卡卡杜佳旺专卖店（快手店）</v>
      </c>
      <c r="H5150" s="1" t="str">
        <f t="shared" si="1671"/>
        <v>正常订单</v>
      </c>
      <c r="I5150" s="1" t="str">
        <f t="shared" si="1672"/>
        <v>已发货</v>
      </c>
      <c r="J5150" s="1" t="str">
        <f t="shared" si="1675"/>
        <v>5</v>
      </c>
      <c r="K5150" s="1">
        <v>2</v>
      </c>
      <c r="L5150" s="1" t="s">
        <v>18</v>
      </c>
      <c r="M5150" s="1" t="str">
        <f>"广东省 深圳市 宝安区 石岩街道"</f>
        <v>广东省 深圳市 宝安区 石岩街道</v>
      </c>
      <c r="N5150" s="1" t="str">
        <f t="shared" si="1674"/>
        <v>凡华云仓-城南圆通-快手</v>
      </c>
      <c r="O5150" s="5" t="s">
        <v>5174</v>
      </c>
      <c r="P5150" s="6">
        <v>0.59</v>
      </c>
      <c r="Q5150" s="11">
        <f t="shared" si="1676"/>
        <v>2.4499999999999997</v>
      </c>
      <c r="R5150" s="11"/>
      <c r="S5150" s="11"/>
      <c r="T5150" s="11"/>
      <c r="U5150" s="11">
        <f t="shared" si="1668"/>
        <v>2.4499999999999997</v>
      </c>
      <c r="V5150" t="s">
        <v>15</v>
      </c>
      <c r="W5150">
        <v>2.4500000000000002</v>
      </c>
      <c r="X5150" s="1" t="s">
        <v>18</v>
      </c>
    </row>
    <row r="5151" spans="1:24" x14ac:dyDescent="0.25">
      <c r="A5151" s="1" t="str">
        <f t="shared" si="1669"/>
        <v>卡卡杜-凤凰仓</v>
      </c>
      <c r="B5151" s="1" t="str">
        <f>"CK2024102017959"</f>
        <v>CK2024102017959</v>
      </c>
      <c r="C5151" s="1" t="str">
        <f>"DD2024102025191"</f>
        <v>DD2024102025191</v>
      </c>
      <c r="D5151" s="1" t="str">
        <f>"CK2024102025357"</f>
        <v>CK2024102025357</v>
      </c>
      <c r="E5151" s="1" t="str">
        <f>"2429402089880084"</f>
        <v>2429402089880084</v>
      </c>
      <c r="F5151" s="1" t="str">
        <f t="shared" si="1670"/>
        <v>花都四部-凤凰仓</v>
      </c>
      <c r="G5151" s="1" t="str">
        <f t="shared" si="1673"/>
        <v>卡卡杜佳旺专卖店（快手店）</v>
      </c>
      <c r="H5151" s="1" t="str">
        <f t="shared" si="1671"/>
        <v>正常订单</v>
      </c>
      <c r="I5151" s="1" t="str">
        <f t="shared" si="1672"/>
        <v>已发货</v>
      </c>
      <c r="J5151" s="1" t="str">
        <f t="shared" si="1677"/>
        <v>3</v>
      </c>
      <c r="K5151" s="1">
        <v>2</v>
      </c>
      <c r="L5151" s="1" t="s">
        <v>18</v>
      </c>
      <c r="M5151" s="1" t="str">
        <f>"广东省 深圳市 宝安区 石岩街道"</f>
        <v>广东省 深圳市 宝安区 石岩街道</v>
      </c>
      <c r="N5151" s="1" t="str">
        <f t="shared" si="1674"/>
        <v>凡华云仓-城南圆通-快手</v>
      </c>
      <c r="O5151" s="5" t="s">
        <v>5175</v>
      </c>
      <c r="P5151" s="6">
        <v>0.35</v>
      </c>
      <c r="Q5151" s="11">
        <v>2.2999999999999998</v>
      </c>
      <c r="R5151" s="11"/>
      <c r="S5151" s="11"/>
      <c r="T5151" s="11"/>
      <c r="U5151" s="11">
        <f t="shared" si="1668"/>
        <v>2.2999999999999998</v>
      </c>
      <c r="W5151">
        <v>2.5</v>
      </c>
      <c r="X5151" s="1" t="s">
        <v>18</v>
      </c>
    </row>
    <row r="5152" spans="1:24" x14ac:dyDescent="0.25">
      <c r="A5152" s="1" t="str">
        <f t="shared" si="1669"/>
        <v>卡卡杜-凤凰仓</v>
      </c>
      <c r="B5152" s="1" t="str">
        <f>"CK2024102017960"</f>
        <v>CK2024102017960</v>
      </c>
      <c r="C5152" s="1" t="str">
        <f>"DD2024102025190"</f>
        <v>DD2024102025190</v>
      </c>
      <c r="D5152" s="1" t="str">
        <f>"CK2024102025356"</f>
        <v>CK2024102025356</v>
      </c>
      <c r="E5152" s="1" t="str">
        <f>"2429401608274355"</f>
        <v>2429401608274355</v>
      </c>
      <c r="F5152" s="1" t="str">
        <f t="shared" si="1670"/>
        <v>花都四部-凤凰仓</v>
      </c>
      <c r="G5152" s="1" t="str">
        <f t="shared" si="1673"/>
        <v>卡卡杜佳旺专卖店（快手店）</v>
      </c>
      <c r="H5152" s="1" t="str">
        <f t="shared" si="1671"/>
        <v>正常订单</v>
      </c>
      <c r="I5152" s="1" t="str">
        <f t="shared" si="1672"/>
        <v>已发货</v>
      </c>
      <c r="J5152" s="1" t="str">
        <f t="shared" si="1677"/>
        <v>3</v>
      </c>
      <c r="K5152" s="1">
        <v>2</v>
      </c>
      <c r="L5152" s="1" t="s">
        <v>30</v>
      </c>
      <c r="M5152" s="1" t="str">
        <f>"山东省 烟台市 莱山区 黄海路街道"</f>
        <v>山东省 烟台市 莱山区 黄海路街道</v>
      </c>
      <c r="N5152" s="1" t="str">
        <f t="shared" si="1674"/>
        <v>凡华云仓-城南圆通-快手</v>
      </c>
      <c r="O5152" s="5" t="s">
        <v>5176</v>
      </c>
      <c r="P5152" s="6">
        <v>0.35</v>
      </c>
      <c r="Q5152" s="11">
        <v>2.2999999999999998</v>
      </c>
      <c r="R5152" s="11"/>
      <c r="S5152" s="11"/>
      <c r="T5152" s="11"/>
      <c r="U5152" s="11">
        <f t="shared" si="1668"/>
        <v>2.2999999999999998</v>
      </c>
      <c r="W5152">
        <v>2.5</v>
      </c>
      <c r="X5152" s="1" t="s">
        <v>30</v>
      </c>
    </row>
    <row r="5153" spans="1:24" x14ac:dyDescent="0.25">
      <c r="A5153" s="1" t="str">
        <f t="shared" si="1669"/>
        <v>卡卡杜-凤凰仓</v>
      </c>
      <c r="B5153" s="1" t="str">
        <f>"CK2024102017961"</f>
        <v>CK2024102017961</v>
      </c>
      <c r="C5153" s="1" t="str">
        <f>"DD2024102025193"</f>
        <v>DD2024102025193</v>
      </c>
      <c r="D5153" s="1" t="str">
        <f>"CK2024102025355"</f>
        <v>CK2024102025355</v>
      </c>
      <c r="E5153" s="1" t="str">
        <f>"2429402007562359"</f>
        <v>2429402007562359</v>
      </c>
      <c r="F5153" s="1" t="str">
        <f t="shared" si="1670"/>
        <v>花都四部-凤凰仓</v>
      </c>
      <c r="G5153" s="1" t="str">
        <f t="shared" si="1673"/>
        <v>卡卡杜佳旺专卖店（快手店）</v>
      </c>
      <c r="H5153" s="1" t="str">
        <f t="shared" si="1671"/>
        <v>正常订单</v>
      </c>
      <c r="I5153" s="1" t="str">
        <f t="shared" si="1672"/>
        <v>已发货</v>
      </c>
      <c r="J5153" s="1" t="str">
        <f t="shared" si="1675"/>
        <v>5</v>
      </c>
      <c r="K5153" s="1">
        <v>2</v>
      </c>
      <c r="L5153" s="1" t="s">
        <v>22</v>
      </c>
      <c r="M5153" s="1" t="str">
        <f>"江西省 南昌市 红谷滩区 凤凰洲管理处"</f>
        <v>江西省 南昌市 红谷滩区 凤凰洲管理处</v>
      </c>
      <c r="N5153" s="1" t="str">
        <f t="shared" si="1674"/>
        <v>凡华云仓-城南圆通-快手</v>
      </c>
      <c r="O5153" s="5" t="s">
        <v>5177</v>
      </c>
      <c r="P5153" s="6">
        <v>0.59</v>
      </c>
      <c r="Q5153" s="11">
        <f t="shared" si="1676"/>
        <v>2.4499999999999997</v>
      </c>
      <c r="R5153" s="11"/>
      <c r="S5153" s="11"/>
      <c r="T5153" s="11"/>
      <c r="U5153" s="11">
        <f t="shared" si="1668"/>
        <v>2.4499999999999997</v>
      </c>
      <c r="V5153" t="s">
        <v>15</v>
      </c>
      <c r="W5153">
        <v>2.4500000000000002</v>
      </c>
      <c r="X5153" s="1" t="s">
        <v>22</v>
      </c>
    </row>
    <row r="5154" spans="1:24" x14ac:dyDescent="0.25">
      <c r="A5154" s="1" t="str">
        <f t="shared" si="1669"/>
        <v>卡卡杜-凤凰仓</v>
      </c>
      <c r="B5154" s="1" t="str">
        <f>"CK2024102017962"</f>
        <v>CK2024102017962</v>
      </c>
      <c r="C5154" s="1" t="str">
        <f>"DD2024102025194"</f>
        <v>DD2024102025194</v>
      </c>
      <c r="D5154" s="1" t="str">
        <f>"CK2024102025354"</f>
        <v>CK2024102025354</v>
      </c>
      <c r="E5154" s="1" t="str">
        <f>"2429401686705355"</f>
        <v>2429401686705355</v>
      </c>
      <c r="F5154" s="1" t="str">
        <f t="shared" si="1670"/>
        <v>花都四部-凤凰仓</v>
      </c>
      <c r="G5154" s="1" t="str">
        <f t="shared" si="1673"/>
        <v>卡卡杜佳旺专卖店（快手店）</v>
      </c>
      <c r="H5154" s="1" t="str">
        <f t="shared" si="1671"/>
        <v>正常订单</v>
      </c>
      <c r="I5154" s="1" t="str">
        <f t="shared" si="1672"/>
        <v>已发货</v>
      </c>
      <c r="J5154" s="1" t="str">
        <f t="shared" ref="J5154:J5159" si="1678">"3"</f>
        <v>3</v>
      </c>
      <c r="K5154" s="1">
        <v>2</v>
      </c>
      <c r="L5154" s="1" t="s">
        <v>187</v>
      </c>
      <c r="M5154" s="1" t="str">
        <f>"吉林省 长春市 长春经济技术开发区 临河街道"</f>
        <v>吉林省 长春市 长春经济技术开发区 临河街道</v>
      </c>
      <c r="N5154" s="1" t="str">
        <f t="shared" si="1674"/>
        <v>凡华云仓-城南圆通-快手</v>
      </c>
      <c r="O5154" s="5" t="s">
        <v>5178</v>
      </c>
      <c r="P5154" s="6">
        <v>0.35</v>
      </c>
      <c r="Q5154" s="11">
        <v>2.2999999999999998</v>
      </c>
      <c r="R5154" s="11"/>
      <c r="S5154" s="11"/>
      <c r="T5154" s="11"/>
      <c r="U5154" s="11">
        <f t="shared" si="1668"/>
        <v>2.2999999999999998</v>
      </c>
      <c r="W5154">
        <v>2.5</v>
      </c>
      <c r="X5154" s="1" t="s">
        <v>187</v>
      </c>
    </row>
    <row r="5155" spans="1:24" x14ac:dyDescent="0.25">
      <c r="A5155" s="1" t="str">
        <f t="shared" si="1669"/>
        <v>卡卡杜-凤凰仓</v>
      </c>
      <c r="B5155" s="1" t="str">
        <f>"CK2024102017963"</f>
        <v>CK2024102017963</v>
      </c>
      <c r="C5155" s="1" t="str">
        <f>"DD2024102025196"</f>
        <v>DD2024102025196</v>
      </c>
      <c r="D5155" s="1" t="str">
        <f>"CK2024102025353"</f>
        <v>CK2024102025353</v>
      </c>
      <c r="E5155" s="1" t="str">
        <f>"2429401921010120"</f>
        <v>2429401921010120</v>
      </c>
      <c r="F5155" s="1" t="str">
        <f t="shared" si="1670"/>
        <v>花都四部-凤凰仓</v>
      </c>
      <c r="G5155" s="1" t="str">
        <f t="shared" si="1673"/>
        <v>卡卡杜佳旺专卖店（快手店）</v>
      </c>
      <c r="H5155" s="1" t="str">
        <f t="shared" si="1671"/>
        <v>正常订单</v>
      </c>
      <c r="I5155" s="1" t="str">
        <f t="shared" si="1672"/>
        <v>已发货</v>
      </c>
      <c r="J5155" s="1" t="str">
        <f t="shared" si="1678"/>
        <v>3</v>
      </c>
      <c r="K5155" s="1">
        <v>2</v>
      </c>
      <c r="L5155" s="1" t="s">
        <v>30</v>
      </c>
      <c r="M5155" s="1" t="str">
        <f>"山东省 济南市 长清区 平安街道"</f>
        <v>山东省 济南市 长清区 平安街道</v>
      </c>
      <c r="N5155" s="1" t="str">
        <f t="shared" si="1674"/>
        <v>凡华云仓-城南圆通-快手</v>
      </c>
      <c r="O5155" s="5" t="s">
        <v>5179</v>
      </c>
      <c r="P5155" s="6">
        <v>0.35</v>
      </c>
      <c r="Q5155" s="11">
        <v>2.2999999999999998</v>
      </c>
      <c r="R5155" s="11"/>
      <c r="S5155" s="11"/>
      <c r="T5155" s="11"/>
      <c r="U5155" s="11">
        <f t="shared" si="1668"/>
        <v>2.2999999999999998</v>
      </c>
      <c r="W5155">
        <v>2.5</v>
      </c>
      <c r="X5155" s="1" t="s">
        <v>30</v>
      </c>
    </row>
    <row r="5156" spans="1:24" x14ac:dyDescent="0.25">
      <c r="A5156" s="1" t="str">
        <f t="shared" si="1669"/>
        <v>卡卡杜-凤凰仓</v>
      </c>
      <c r="B5156" s="1" t="str">
        <f>"CK2024102017965"</f>
        <v>CK2024102017965</v>
      </c>
      <c r="C5156" s="1" t="str">
        <f>"DD2024102025197"</f>
        <v>DD2024102025197</v>
      </c>
      <c r="D5156" s="1" t="str">
        <f>"CK2024102025352"</f>
        <v>CK2024102025352</v>
      </c>
      <c r="E5156" s="1" t="str">
        <f>"2429401680240636"</f>
        <v>2429401680240636</v>
      </c>
      <c r="F5156" s="1" t="str">
        <f t="shared" si="1670"/>
        <v>花都四部-凤凰仓</v>
      </c>
      <c r="G5156" s="1" t="str">
        <f t="shared" si="1673"/>
        <v>卡卡杜佳旺专卖店（快手店）</v>
      </c>
      <c r="H5156" s="1" t="str">
        <f t="shared" si="1671"/>
        <v>正常订单</v>
      </c>
      <c r="I5156" s="1" t="str">
        <f t="shared" si="1672"/>
        <v>已发货</v>
      </c>
      <c r="J5156" s="1" t="str">
        <f t="shared" si="1678"/>
        <v>3</v>
      </c>
      <c r="K5156" s="1">
        <v>2</v>
      </c>
      <c r="L5156" s="1" t="s">
        <v>710</v>
      </c>
      <c r="M5156" s="1" t="str">
        <f>"上海市 上海市 宝山区 罗泾镇"</f>
        <v>上海市 上海市 宝山区 罗泾镇</v>
      </c>
      <c r="N5156" s="1" t="str">
        <f t="shared" si="1674"/>
        <v>凡华云仓-城南圆通-快手</v>
      </c>
      <c r="O5156" s="5" t="s">
        <v>5180</v>
      </c>
      <c r="P5156" s="6">
        <v>0.35</v>
      </c>
      <c r="Q5156" s="11">
        <v>2.2999999999999998</v>
      </c>
      <c r="R5156" s="11"/>
      <c r="S5156" s="11"/>
      <c r="T5156" s="11"/>
      <c r="U5156" s="11">
        <f t="shared" si="1668"/>
        <v>2.2999999999999998</v>
      </c>
      <c r="W5156">
        <v>2.5</v>
      </c>
      <c r="X5156" s="1" t="s">
        <v>710</v>
      </c>
    </row>
    <row r="5157" spans="1:24" x14ac:dyDescent="0.25">
      <c r="A5157" s="1" t="str">
        <f t="shared" si="1669"/>
        <v>卡卡杜-凤凰仓</v>
      </c>
      <c r="B5157" s="1" t="str">
        <f>"CK2024102017967"</f>
        <v>CK2024102017967</v>
      </c>
      <c r="C5157" s="1" t="str">
        <f>"DD2024102025199"</f>
        <v>DD2024102025199</v>
      </c>
      <c r="D5157" s="1" t="str">
        <f>"CK2024102025351"</f>
        <v>CK2024102025351</v>
      </c>
      <c r="E5157" s="1" t="str">
        <f>"2429401840288820"</f>
        <v>2429401840288820</v>
      </c>
      <c r="F5157" s="1" t="str">
        <f t="shared" si="1670"/>
        <v>花都四部-凤凰仓</v>
      </c>
      <c r="G5157" s="1" t="str">
        <f t="shared" si="1673"/>
        <v>卡卡杜佳旺专卖店（快手店）</v>
      </c>
      <c r="H5157" s="1" t="str">
        <f t="shared" si="1671"/>
        <v>正常订单</v>
      </c>
      <c r="I5157" s="1" t="str">
        <f t="shared" si="1672"/>
        <v>已发货</v>
      </c>
      <c r="J5157" s="1" t="str">
        <f t="shared" si="1678"/>
        <v>3</v>
      </c>
      <c r="K5157" s="1">
        <v>2</v>
      </c>
      <c r="L5157" s="1" t="s">
        <v>92</v>
      </c>
      <c r="M5157" s="1" t="str">
        <f>"辽宁省 辽阳市 灯塔市 万宝桥街道"</f>
        <v>辽宁省 辽阳市 灯塔市 万宝桥街道</v>
      </c>
      <c r="N5157" s="1" t="str">
        <f t="shared" si="1674"/>
        <v>凡华云仓-城南圆通-快手</v>
      </c>
      <c r="O5157" s="5" t="s">
        <v>5181</v>
      </c>
      <c r="P5157" s="6">
        <v>0.35</v>
      </c>
      <c r="Q5157" s="11">
        <v>2.2999999999999998</v>
      </c>
      <c r="R5157" s="11"/>
      <c r="S5157" s="11"/>
      <c r="T5157" s="11"/>
      <c r="U5157" s="11">
        <f t="shared" si="1668"/>
        <v>2.2999999999999998</v>
      </c>
      <c r="W5157">
        <v>2.5</v>
      </c>
      <c r="X5157" s="1" t="s">
        <v>92</v>
      </c>
    </row>
    <row r="5158" spans="1:24" x14ac:dyDescent="0.25">
      <c r="A5158" s="1" t="str">
        <f t="shared" si="1669"/>
        <v>卡卡杜-凤凰仓</v>
      </c>
      <c r="B5158" s="1" t="str">
        <f>"CK2024102017968"</f>
        <v>CK2024102017968</v>
      </c>
      <c r="C5158" s="1" t="str">
        <f>"DD2024102025202"</f>
        <v>DD2024102025202</v>
      </c>
      <c r="D5158" s="1" t="str">
        <f>"CK2024102025350"</f>
        <v>CK2024102025350</v>
      </c>
      <c r="E5158" s="1" t="str">
        <f>"2429401760211317"</f>
        <v>2429401760211317</v>
      </c>
      <c r="F5158" s="1" t="str">
        <f t="shared" si="1670"/>
        <v>花都四部-凤凰仓</v>
      </c>
      <c r="G5158" s="1" t="str">
        <f t="shared" si="1673"/>
        <v>卡卡杜佳旺专卖店（快手店）</v>
      </c>
      <c r="H5158" s="1" t="str">
        <f t="shared" si="1671"/>
        <v>正常订单</v>
      </c>
      <c r="I5158" s="1" t="str">
        <f t="shared" si="1672"/>
        <v>已发货</v>
      </c>
      <c r="J5158" s="1" t="str">
        <f t="shared" si="1678"/>
        <v>3</v>
      </c>
      <c r="K5158" s="1">
        <v>2</v>
      </c>
      <c r="L5158" s="1" t="s">
        <v>30</v>
      </c>
      <c r="M5158" s="1" t="str">
        <f>"山东省 东营市 垦利区 胜坨镇"</f>
        <v>山东省 东营市 垦利区 胜坨镇</v>
      </c>
      <c r="N5158" s="1" t="str">
        <f t="shared" si="1674"/>
        <v>凡华云仓-城南圆通-快手</v>
      </c>
      <c r="O5158" s="5" t="s">
        <v>5182</v>
      </c>
      <c r="P5158" s="6">
        <v>0.35</v>
      </c>
      <c r="Q5158" s="11">
        <v>2.2999999999999998</v>
      </c>
      <c r="R5158" s="11"/>
      <c r="S5158" s="11"/>
      <c r="T5158" s="11"/>
      <c r="U5158" s="11">
        <f t="shared" si="1668"/>
        <v>2.2999999999999998</v>
      </c>
      <c r="W5158">
        <v>2.5</v>
      </c>
      <c r="X5158" s="1" t="s">
        <v>30</v>
      </c>
    </row>
    <row r="5159" spans="1:24" x14ac:dyDescent="0.25">
      <c r="A5159" s="1" t="str">
        <f t="shared" si="1669"/>
        <v>卡卡杜-凤凰仓</v>
      </c>
      <c r="B5159" s="1" t="str">
        <f>"CK2024102017970"</f>
        <v>CK2024102017970</v>
      </c>
      <c r="C5159" s="1" t="str">
        <f>"DD2024102025201"</f>
        <v>DD2024102025201</v>
      </c>
      <c r="D5159" s="1" t="str">
        <f>"CK2024102025349"</f>
        <v>CK2024102025349</v>
      </c>
      <c r="E5159" s="1" t="str">
        <f>"2429401770624631"</f>
        <v>2429401770624631</v>
      </c>
      <c r="F5159" s="1" t="str">
        <f t="shared" si="1670"/>
        <v>花都四部-凤凰仓</v>
      </c>
      <c r="G5159" s="1" t="str">
        <f t="shared" si="1673"/>
        <v>卡卡杜佳旺专卖店（快手店）</v>
      </c>
      <c r="H5159" s="1" t="str">
        <f t="shared" si="1671"/>
        <v>正常订单</v>
      </c>
      <c r="I5159" s="1" t="str">
        <f t="shared" si="1672"/>
        <v>已发货</v>
      </c>
      <c r="J5159" s="1" t="str">
        <f t="shared" si="1678"/>
        <v>3</v>
      </c>
      <c r="K5159" s="1">
        <v>2</v>
      </c>
      <c r="L5159" s="1" t="s">
        <v>24</v>
      </c>
      <c r="M5159" s="1" t="str">
        <f>"福建省 莆田市 仙游县 榜头镇"</f>
        <v>福建省 莆田市 仙游县 榜头镇</v>
      </c>
      <c r="N5159" s="1" t="str">
        <f t="shared" si="1674"/>
        <v>凡华云仓-城南圆通-快手</v>
      </c>
      <c r="O5159" s="5" t="s">
        <v>5183</v>
      </c>
      <c r="P5159" s="6">
        <v>0.35</v>
      </c>
      <c r="Q5159" s="11">
        <v>2.2999999999999998</v>
      </c>
      <c r="R5159" s="11"/>
      <c r="S5159" s="11"/>
      <c r="T5159" s="11"/>
      <c r="U5159" s="11">
        <f t="shared" si="1668"/>
        <v>2.2999999999999998</v>
      </c>
      <c r="W5159">
        <v>2.5</v>
      </c>
      <c r="X5159" s="1" t="s">
        <v>24</v>
      </c>
    </row>
    <row r="5160" spans="1:24" x14ac:dyDescent="0.25">
      <c r="A5160" s="1" t="str">
        <f t="shared" si="1669"/>
        <v>卡卡杜-凤凰仓</v>
      </c>
      <c r="B5160" s="1" t="str">
        <f>"CK2024102017971"</f>
        <v>CK2024102017971</v>
      </c>
      <c r="C5160" s="1" t="str">
        <f>"DD2024102025200"</f>
        <v>DD2024102025200</v>
      </c>
      <c r="D5160" s="1" t="str">
        <f>"CK2024102025348"</f>
        <v>CK2024102025348</v>
      </c>
      <c r="E5160" s="1" t="str">
        <f>"2429402008994179"</f>
        <v>2429402008994179</v>
      </c>
      <c r="F5160" s="1" t="str">
        <f t="shared" si="1670"/>
        <v>花都四部-凤凰仓</v>
      </c>
      <c r="G5160" s="1" t="str">
        <f t="shared" si="1673"/>
        <v>卡卡杜佳旺专卖店（快手店）</v>
      </c>
      <c r="H5160" s="1" t="str">
        <f t="shared" si="1671"/>
        <v>正常订单</v>
      </c>
      <c r="I5160" s="1" t="str">
        <f t="shared" si="1672"/>
        <v>已发货</v>
      </c>
      <c r="J5160" s="1" t="str">
        <f t="shared" ref="J5160:J5163" si="1679">"5"</f>
        <v>5</v>
      </c>
      <c r="K5160" s="1">
        <v>2</v>
      </c>
      <c r="L5160" s="1" t="s">
        <v>22</v>
      </c>
      <c r="M5160" s="1" t="str">
        <f>"江西省 南昌市 青山湖区 艾溪湖管理处"</f>
        <v>江西省 南昌市 青山湖区 艾溪湖管理处</v>
      </c>
      <c r="N5160" s="1" t="str">
        <f t="shared" si="1674"/>
        <v>凡华云仓-城南圆通-快手</v>
      </c>
      <c r="O5160" s="5" t="s">
        <v>5184</v>
      </c>
      <c r="P5160" s="6">
        <v>0.59</v>
      </c>
      <c r="Q5160" s="11">
        <f t="shared" ref="Q5160:Q5163" si="1680">CEILING(P5160-0.5,0.1)*10*0.15+2.3</f>
        <v>2.4499999999999997</v>
      </c>
      <c r="R5160" s="11"/>
      <c r="S5160" s="11"/>
      <c r="T5160" s="11"/>
      <c r="U5160" s="11">
        <f t="shared" si="1668"/>
        <v>2.4499999999999997</v>
      </c>
      <c r="V5160" t="s">
        <v>15</v>
      </c>
      <c r="W5160">
        <v>2.4500000000000002</v>
      </c>
      <c r="X5160" s="1" t="s">
        <v>22</v>
      </c>
    </row>
    <row r="5161" spans="1:24" x14ac:dyDescent="0.25">
      <c r="A5161" s="1" t="str">
        <f t="shared" si="1669"/>
        <v>卡卡杜-凤凰仓</v>
      </c>
      <c r="B5161" s="1" t="str">
        <f>"CK2024102017973"</f>
        <v>CK2024102017973</v>
      </c>
      <c r="C5161" s="1" t="str">
        <f>"DD2024102025204"</f>
        <v>DD2024102025204</v>
      </c>
      <c r="D5161" s="1" t="str">
        <f>"CK2024102025347"</f>
        <v>CK2024102025347</v>
      </c>
      <c r="E5161" s="1" t="str">
        <f>"2429401604267042"</f>
        <v>2429401604267042</v>
      </c>
      <c r="F5161" s="1" t="str">
        <f t="shared" si="1670"/>
        <v>花都四部-凤凰仓</v>
      </c>
      <c r="G5161" s="1" t="str">
        <f t="shared" si="1673"/>
        <v>卡卡杜佳旺专卖店（快手店）</v>
      </c>
      <c r="H5161" s="1" t="str">
        <f t="shared" si="1671"/>
        <v>正常订单</v>
      </c>
      <c r="I5161" s="1" t="str">
        <f t="shared" si="1672"/>
        <v>已发货</v>
      </c>
      <c r="J5161" s="1" t="str">
        <f>"3"</f>
        <v>3</v>
      </c>
      <c r="K5161" s="1">
        <v>2</v>
      </c>
      <c r="L5161" s="1" t="s">
        <v>18</v>
      </c>
      <c r="M5161" s="1" t="str">
        <f>"广东省 深圳市 坪山区 龙田街道"</f>
        <v>广东省 深圳市 坪山区 龙田街道</v>
      </c>
      <c r="N5161" s="1" t="str">
        <f t="shared" si="1674"/>
        <v>凡华云仓-城南圆通-快手</v>
      </c>
      <c r="O5161" s="5" t="s">
        <v>5185</v>
      </c>
      <c r="P5161" s="6">
        <v>0.35</v>
      </c>
      <c r="Q5161" s="11">
        <v>2.2999999999999998</v>
      </c>
      <c r="R5161" s="11"/>
      <c r="S5161" s="11"/>
      <c r="T5161" s="11"/>
      <c r="U5161" s="11">
        <f t="shared" si="1668"/>
        <v>2.2999999999999998</v>
      </c>
      <c r="W5161">
        <v>2.5</v>
      </c>
      <c r="X5161" s="1" t="s">
        <v>18</v>
      </c>
    </row>
    <row r="5162" spans="1:24" x14ac:dyDescent="0.25">
      <c r="A5162" s="1" t="str">
        <f t="shared" si="1669"/>
        <v>卡卡杜-凤凰仓</v>
      </c>
      <c r="B5162" s="1" t="str">
        <f>"CK2024102017974"</f>
        <v>CK2024102017974</v>
      </c>
      <c r="C5162" s="1" t="str">
        <f>"DD2024102025205"</f>
        <v>DD2024102025205</v>
      </c>
      <c r="D5162" s="1" t="str">
        <f>"CK2024102025346"</f>
        <v>CK2024102025346</v>
      </c>
      <c r="E5162" s="1" t="str">
        <f>"2429401761002568"</f>
        <v>2429401761002568</v>
      </c>
      <c r="F5162" s="1" t="str">
        <f t="shared" si="1670"/>
        <v>花都四部-凤凰仓</v>
      </c>
      <c r="G5162" s="1" t="str">
        <f t="shared" si="1673"/>
        <v>卡卡杜佳旺专卖店（快手店）</v>
      </c>
      <c r="H5162" s="1" t="str">
        <f t="shared" si="1671"/>
        <v>正常订单</v>
      </c>
      <c r="I5162" s="1" t="str">
        <f t="shared" si="1672"/>
        <v>已发货</v>
      </c>
      <c r="J5162" s="1" t="str">
        <f t="shared" si="1679"/>
        <v>5</v>
      </c>
      <c r="K5162" s="1">
        <v>2</v>
      </c>
      <c r="L5162" s="1" t="s">
        <v>94</v>
      </c>
      <c r="M5162" s="1" t="str">
        <f>"湖南省 衡阳市 衡阳县 大安乡"</f>
        <v>湖南省 衡阳市 衡阳县 大安乡</v>
      </c>
      <c r="N5162" s="1" t="str">
        <f t="shared" si="1674"/>
        <v>凡华云仓-城南圆通-快手</v>
      </c>
      <c r="O5162" s="5" t="s">
        <v>5186</v>
      </c>
      <c r="P5162" s="6">
        <v>0.59</v>
      </c>
      <c r="Q5162" s="11">
        <f t="shared" si="1680"/>
        <v>2.4499999999999997</v>
      </c>
      <c r="R5162" s="11"/>
      <c r="S5162" s="11"/>
      <c r="T5162" s="11"/>
      <c r="U5162" s="11">
        <f t="shared" si="1668"/>
        <v>2.4499999999999997</v>
      </c>
      <c r="V5162" t="s">
        <v>15</v>
      </c>
      <c r="W5162">
        <v>2.4500000000000002</v>
      </c>
      <c r="X5162" s="1" t="s">
        <v>94</v>
      </c>
    </row>
    <row r="5163" spans="1:24" x14ac:dyDescent="0.25">
      <c r="A5163" s="1" t="str">
        <f t="shared" si="1669"/>
        <v>卡卡杜-凤凰仓</v>
      </c>
      <c r="B5163" s="1" t="str">
        <f>"CK2024102017976"</f>
        <v>CK2024102017976</v>
      </c>
      <c r="C5163" s="1" t="str">
        <f>"DD2024102025208"</f>
        <v>DD2024102025208</v>
      </c>
      <c r="D5163" s="1" t="str">
        <f>"CK2024102025345"</f>
        <v>CK2024102025345</v>
      </c>
      <c r="E5163" s="1" t="str">
        <f>"2429401765843575"</f>
        <v>2429401765843575</v>
      </c>
      <c r="F5163" s="1" t="str">
        <f t="shared" si="1670"/>
        <v>花都四部-凤凰仓</v>
      </c>
      <c r="G5163" s="1" t="str">
        <f t="shared" si="1673"/>
        <v>卡卡杜佳旺专卖店（快手店）</v>
      </c>
      <c r="H5163" s="1" t="str">
        <f t="shared" si="1671"/>
        <v>正常订单</v>
      </c>
      <c r="I5163" s="1" t="str">
        <f t="shared" si="1672"/>
        <v>已发货</v>
      </c>
      <c r="J5163" s="1" t="str">
        <f t="shared" si="1679"/>
        <v>5</v>
      </c>
      <c r="K5163" s="1">
        <v>2</v>
      </c>
      <c r="L5163" s="1" t="s">
        <v>80</v>
      </c>
      <c r="M5163" s="1" t="str">
        <f>"河南省 洛阳市 新安县 铁门镇"</f>
        <v>河南省 洛阳市 新安县 铁门镇</v>
      </c>
      <c r="N5163" s="1" t="str">
        <f t="shared" si="1674"/>
        <v>凡华云仓-城南圆通-快手</v>
      </c>
      <c r="O5163" s="5" t="s">
        <v>5187</v>
      </c>
      <c r="P5163" s="6">
        <v>0.59</v>
      </c>
      <c r="Q5163" s="11">
        <f t="shared" si="1680"/>
        <v>2.4499999999999997</v>
      </c>
      <c r="R5163" s="11"/>
      <c r="S5163" s="11"/>
      <c r="T5163" s="11"/>
      <c r="U5163" s="11">
        <f t="shared" si="1668"/>
        <v>2.4499999999999997</v>
      </c>
      <c r="V5163" t="s">
        <v>15</v>
      </c>
      <c r="W5163">
        <v>2.4500000000000002</v>
      </c>
      <c r="X5163" s="1" t="s">
        <v>80</v>
      </c>
    </row>
    <row r="5164" spans="1:24" x14ac:dyDescent="0.25">
      <c r="A5164" s="1" t="str">
        <f t="shared" si="1669"/>
        <v>卡卡杜-凤凰仓</v>
      </c>
      <c r="B5164" s="1" t="str">
        <f>"CK2024102017977"</f>
        <v>CK2024102017977</v>
      </c>
      <c r="C5164" s="1" t="str">
        <f>"DD2024102025206"</f>
        <v>DD2024102025206</v>
      </c>
      <c r="D5164" s="1" t="str">
        <f>"CK2024102025344"</f>
        <v>CK2024102025344</v>
      </c>
      <c r="E5164" s="1" t="str">
        <f>"2429401842587718"</f>
        <v>2429401842587718</v>
      </c>
      <c r="F5164" s="1" t="str">
        <f t="shared" si="1670"/>
        <v>花都四部-凤凰仓</v>
      </c>
      <c r="G5164" s="1" t="str">
        <f t="shared" si="1673"/>
        <v>卡卡杜佳旺专卖店（快手店）</v>
      </c>
      <c r="H5164" s="1" t="str">
        <f t="shared" si="1671"/>
        <v>正常订单</v>
      </c>
      <c r="I5164" s="1" t="str">
        <f t="shared" si="1672"/>
        <v>已发货</v>
      </c>
      <c r="J5164" s="1" t="str">
        <f t="shared" ref="J5164:J5169" si="1681">"3"</f>
        <v>3</v>
      </c>
      <c r="K5164" s="1">
        <v>2</v>
      </c>
      <c r="L5164" s="1" t="s">
        <v>32</v>
      </c>
      <c r="M5164" s="1" t="str">
        <f>"陕西省 宝鸡市 扶风县 天度镇"</f>
        <v>陕西省 宝鸡市 扶风县 天度镇</v>
      </c>
      <c r="N5164" s="1" t="str">
        <f t="shared" si="1674"/>
        <v>凡华云仓-城南圆通-快手</v>
      </c>
      <c r="O5164" s="5" t="s">
        <v>5188</v>
      </c>
      <c r="P5164" s="6">
        <v>0.35</v>
      </c>
      <c r="Q5164" s="11">
        <v>2.2999999999999998</v>
      </c>
      <c r="R5164" s="11"/>
      <c r="S5164" s="11"/>
      <c r="T5164" s="11"/>
      <c r="U5164" s="11">
        <f t="shared" si="1668"/>
        <v>2.2999999999999998</v>
      </c>
      <c r="W5164">
        <v>2.5</v>
      </c>
      <c r="X5164" s="1" t="s">
        <v>32</v>
      </c>
    </row>
    <row r="5165" spans="1:24" x14ac:dyDescent="0.25">
      <c r="A5165" s="1" t="str">
        <f t="shared" si="1669"/>
        <v>卡卡杜-凤凰仓</v>
      </c>
      <c r="B5165" s="1" t="str">
        <f>"CK2024102017978"</f>
        <v>CK2024102017978</v>
      </c>
      <c r="C5165" s="1" t="str">
        <f>"DD2024102025209"</f>
        <v>DD2024102025209</v>
      </c>
      <c r="D5165" s="1" t="str">
        <f>"CK2024102025343"</f>
        <v>CK2024102025343</v>
      </c>
      <c r="E5165" s="1" t="str">
        <f>"2429402088128453"</f>
        <v>2429402088128453</v>
      </c>
      <c r="F5165" s="1" t="str">
        <f t="shared" si="1670"/>
        <v>花都四部-凤凰仓</v>
      </c>
      <c r="G5165" s="1" t="str">
        <f t="shared" si="1673"/>
        <v>卡卡杜佳旺专卖店（快手店）</v>
      </c>
      <c r="H5165" s="1" t="str">
        <f t="shared" si="1671"/>
        <v>正常订单</v>
      </c>
      <c r="I5165" s="1" t="str">
        <f t="shared" si="1672"/>
        <v>已发货</v>
      </c>
      <c r="J5165" s="1" t="str">
        <f t="shared" ref="J5165:J5170" si="1682">"5"</f>
        <v>5</v>
      </c>
      <c r="K5165" s="1">
        <v>2</v>
      </c>
      <c r="L5165" s="1" t="s">
        <v>41</v>
      </c>
      <c r="M5165" s="1" t="str">
        <f>"湖北省 荆州市 沙市区 中山街道"</f>
        <v>湖北省 荆州市 沙市区 中山街道</v>
      </c>
      <c r="N5165" s="1" t="str">
        <f t="shared" si="1674"/>
        <v>凡华云仓-城南圆通-快手</v>
      </c>
      <c r="O5165" s="5" t="s">
        <v>5189</v>
      </c>
      <c r="P5165" s="6">
        <v>0.59</v>
      </c>
      <c r="Q5165" s="11">
        <f t="shared" ref="Q5165:Q5170" si="1683">CEILING(P5165-0.5,0.1)*10*0.15+2.3</f>
        <v>2.4499999999999997</v>
      </c>
      <c r="R5165" s="11"/>
      <c r="S5165" s="11"/>
      <c r="T5165" s="11"/>
      <c r="U5165" s="11">
        <f t="shared" si="1668"/>
        <v>2.4499999999999997</v>
      </c>
      <c r="V5165" t="s">
        <v>15</v>
      </c>
      <c r="W5165">
        <v>2.4500000000000002</v>
      </c>
      <c r="X5165" s="1" t="s">
        <v>41</v>
      </c>
    </row>
    <row r="5166" spans="1:24" x14ac:dyDescent="0.25">
      <c r="A5166" s="1" t="str">
        <f t="shared" si="1669"/>
        <v>卡卡杜-凤凰仓</v>
      </c>
      <c r="B5166" s="1" t="str">
        <f>"CK2024102017980"</f>
        <v>CK2024102017980</v>
      </c>
      <c r="C5166" s="1" t="str">
        <f>"DD2024102025210"</f>
        <v>DD2024102025210</v>
      </c>
      <c r="D5166" s="1" t="str">
        <f>"CK2024102025342"</f>
        <v>CK2024102025342</v>
      </c>
      <c r="E5166" s="1" t="str">
        <f>"2429402005065455"</f>
        <v>2429402005065455</v>
      </c>
      <c r="F5166" s="1" t="str">
        <f t="shared" si="1670"/>
        <v>花都四部-凤凰仓</v>
      </c>
      <c r="G5166" s="1" t="str">
        <f t="shared" si="1673"/>
        <v>卡卡杜佳旺专卖店（快手店）</v>
      </c>
      <c r="H5166" s="1" t="str">
        <f t="shared" si="1671"/>
        <v>正常订单</v>
      </c>
      <c r="I5166" s="1" t="str">
        <f t="shared" si="1672"/>
        <v>已发货</v>
      </c>
      <c r="J5166" s="1" t="str">
        <f t="shared" si="1682"/>
        <v>5</v>
      </c>
      <c r="K5166" s="1">
        <v>2</v>
      </c>
      <c r="L5166" s="1" t="s">
        <v>161</v>
      </c>
      <c r="M5166" s="1" t="str">
        <f>"四川省 宜宾市 翠屏区 合江门街道"</f>
        <v>四川省 宜宾市 翠屏区 合江门街道</v>
      </c>
      <c r="N5166" s="1" t="str">
        <f t="shared" si="1674"/>
        <v>凡华云仓-城南圆通-快手</v>
      </c>
      <c r="O5166" s="5" t="s">
        <v>5190</v>
      </c>
      <c r="P5166" s="6">
        <v>0.59</v>
      </c>
      <c r="Q5166" s="11">
        <f t="shared" si="1683"/>
        <v>2.4499999999999997</v>
      </c>
      <c r="R5166" s="11"/>
      <c r="S5166" s="11"/>
      <c r="T5166" s="11"/>
      <c r="U5166" s="11">
        <f t="shared" si="1668"/>
        <v>2.4499999999999997</v>
      </c>
      <c r="V5166" t="s">
        <v>15</v>
      </c>
      <c r="W5166">
        <v>2.4500000000000002</v>
      </c>
      <c r="X5166" s="1" t="s">
        <v>161</v>
      </c>
    </row>
    <row r="5167" spans="1:24" x14ac:dyDescent="0.25">
      <c r="A5167" s="1" t="str">
        <f t="shared" si="1669"/>
        <v>卡卡杜-凤凰仓</v>
      </c>
      <c r="B5167" s="1" t="str">
        <f>"CK2024102017981"</f>
        <v>CK2024102017981</v>
      </c>
      <c r="C5167" s="1" t="str">
        <f>"DD2024102025214"</f>
        <v>DD2024102025214</v>
      </c>
      <c r="D5167" s="1" t="str">
        <f>"CK2024102025341"</f>
        <v>CK2024102025341</v>
      </c>
      <c r="E5167" s="1" t="str">
        <f>"2429402005729829"</f>
        <v>2429402005729829</v>
      </c>
      <c r="F5167" s="1" t="str">
        <f t="shared" si="1670"/>
        <v>花都四部-凤凰仓</v>
      </c>
      <c r="G5167" s="1" t="str">
        <f t="shared" si="1673"/>
        <v>卡卡杜佳旺专卖店（快手店）</v>
      </c>
      <c r="H5167" s="1" t="str">
        <f t="shared" si="1671"/>
        <v>正常订单</v>
      </c>
      <c r="I5167" s="1" t="str">
        <f t="shared" si="1672"/>
        <v>已发货</v>
      </c>
      <c r="J5167" s="1" t="str">
        <f t="shared" si="1681"/>
        <v>3</v>
      </c>
      <c r="K5167" s="1">
        <v>2</v>
      </c>
      <c r="L5167" s="1" t="s">
        <v>13</v>
      </c>
      <c r="M5167" s="1" t="str">
        <f>"江苏省 苏州市 相城区 黄埭镇"</f>
        <v>江苏省 苏州市 相城区 黄埭镇</v>
      </c>
      <c r="N5167" s="1" t="str">
        <f t="shared" si="1674"/>
        <v>凡华云仓-城南圆通-快手</v>
      </c>
      <c r="O5167" s="5" t="s">
        <v>5191</v>
      </c>
      <c r="P5167" s="6">
        <v>0.35</v>
      </c>
      <c r="Q5167" s="11">
        <v>2.2999999999999998</v>
      </c>
      <c r="R5167" s="11"/>
      <c r="S5167" s="11"/>
      <c r="T5167" s="11"/>
      <c r="U5167" s="11">
        <f t="shared" si="1668"/>
        <v>2.2999999999999998</v>
      </c>
      <c r="W5167">
        <v>2.5</v>
      </c>
      <c r="X5167" s="1" t="s">
        <v>13</v>
      </c>
    </row>
    <row r="5168" spans="1:24" x14ac:dyDescent="0.25">
      <c r="A5168" s="1" t="str">
        <f t="shared" si="1669"/>
        <v>卡卡杜-凤凰仓</v>
      </c>
      <c r="B5168" s="1" t="str">
        <f>"CK2024102017982"</f>
        <v>CK2024102017982</v>
      </c>
      <c r="C5168" s="1" t="str">
        <f>"DD2024102025212"</f>
        <v>DD2024102025212</v>
      </c>
      <c r="D5168" s="1" t="str">
        <f>"CK2024102025340"</f>
        <v>CK2024102025340</v>
      </c>
      <c r="E5168" s="1" t="str">
        <f>"2429402016131745"</f>
        <v>2429402016131745</v>
      </c>
      <c r="F5168" s="1" t="str">
        <f t="shared" si="1670"/>
        <v>花都四部-凤凰仓</v>
      </c>
      <c r="G5168" s="1" t="str">
        <f t="shared" si="1673"/>
        <v>卡卡杜佳旺专卖店（快手店）</v>
      </c>
      <c r="H5168" s="1" t="str">
        <f t="shared" si="1671"/>
        <v>正常订单</v>
      </c>
      <c r="I5168" s="1" t="str">
        <f t="shared" si="1672"/>
        <v>已发货</v>
      </c>
      <c r="J5168" s="1" t="str">
        <f t="shared" si="1681"/>
        <v>3</v>
      </c>
      <c r="K5168" s="1">
        <v>2</v>
      </c>
      <c r="L5168" s="1" t="s">
        <v>36</v>
      </c>
      <c r="M5168" s="1" t="str">
        <f>"安徽省 淮南市 田家庵区 朝阳街道"</f>
        <v>安徽省 淮南市 田家庵区 朝阳街道</v>
      </c>
      <c r="N5168" s="1" t="str">
        <f t="shared" si="1674"/>
        <v>凡华云仓-城南圆通-快手</v>
      </c>
      <c r="O5168" s="5" t="s">
        <v>5192</v>
      </c>
      <c r="P5168" s="6">
        <v>0.35</v>
      </c>
      <c r="Q5168" s="11">
        <v>2.2999999999999998</v>
      </c>
      <c r="R5168" s="11"/>
      <c r="S5168" s="11"/>
      <c r="T5168" s="11"/>
      <c r="U5168" s="11">
        <f t="shared" si="1668"/>
        <v>2.2999999999999998</v>
      </c>
      <c r="W5168">
        <v>2.5</v>
      </c>
      <c r="X5168" s="1" t="s">
        <v>36</v>
      </c>
    </row>
    <row r="5169" spans="1:24" x14ac:dyDescent="0.25">
      <c r="A5169" s="1" t="str">
        <f t="shared" si="1669"/>
        <v>卡卡杜-凤凰仓</v>
      </c>
      <c r="B5169" s="1" t="str">
        <f>"CK2024102017984"</f>
        <v>CK2024102017984</v>
      </c>
      <c r="C5169" s="1" t="str">
        <f>"DD2024102025215"</f>
        <v>DD2024102025215</v>
      </c>
      <c r="D5169" s="1" t="str">
        <f>"CK2024102025339"</f>
        <v>CK2024102025339</v>
      </c>
      <c r="E5169" s="1" t="str">
        <f>"2429401764152873"</f>
        <v>2429401764152873</v>
      </c>
      <c r="F5169" s="1" t="str">
        <f t="shared" si="1670"/>
        <v>花都四部-凤凰仓</v>
      </c>
      <c r="G5169" s="1" t="str">
        <f t="shared" si="1673"/>
        <v>卡卡杜佳旺专卖店（快手店）</v>
      </c>
      <c r="H5169" s="1" t="str">
        <f t="shared" si="1671"/>
        <v>正常订单</v>
      </c>
      <c r="I5169" s="1" t="str">
        <f t="shared" si="1672"/>
        <v>已发货</v>
      </c>
      <c r="J5169" s="1" t="str">
        <f t="shared" si="1681"/>
        <v>3</v>
      </c>
      <c r="K5169" s="1">
        <v>2</v>
      </c>
      <c r="L5169" s="1" t="s">
        <v>13</v>
      </c>
      <c r="M5169" s="1" t="str">
        <f>"江苏省 南通市 通州区 金新街道"</f>
        <v>江苏省 南通市 通州区 金新街道</v>
      </c>
      <c r="N5169" s="1" t="str">
        <f t="shared" si="1674"/>
        <v>凡华云仓-城南圆通-快手</v>
      </c>
      <c r="O5169" s="5" t="s">
        <v>5193</v>
      </c>
      <c r="P5169" s="6">
        <v>0.35</v>
      </c>
      <c r="Q5169" s="11">
        <v>2.2999999999999998</v>
      </c>
      <c r="R5169" s="11"/>
      <c r="S5169" s="11"/>
      <c r="T5169" s="11"/>
      <c r="U5169" s="11">
        <f t="shared" si="1668"/>
        <v>2.2999999999999998</v>
      </c>
      <c r="W5169">
        <v>2.5</v>
      </c>
      <c r="X5169" s="1" t="s">
        <v>13</v>
      </c>
    </row>
    <row r="5170" spans="1:24" x14ac:dyDescent="0.25">
      <c r="A5170" s="1" t="str">
        <f t="shared" si="1669"/>
        <v>卡卡杜-凤凰仓</v>
      </c>
      <c r="B5170" s="1" t="str">
        <f>"CK2024102017985"</f>
        <v>CK2024102017985</v>
      </c>
      <c r="C5170" s="1" t="str">
        <f>"DD2024102025217"</f>
        <v>DD2024102025217</v>
      </c>
      <c r="D5170" s="1" t="str">
        <f>"CK2024102025338"</f>
        <v>CK2024102025338</v>
      </c>
      <c r="E5170" s="1" t="str">
        <f>"2429401602624900"</f>
        <v>2429401602624900</v>
      </c>
      <c r="F5170" s="1" t="str">
        <f t="shared" si="1670"/>
        <v>花都四部-凤凰仓</v>
      </c>
      <c r="G5170" s="1" t="str">
        <f t="shared" si="1673"/>
        <v>卡卡杜佳旺专卖店（快手店）</v>
      </c>
      <c r="H5170" s="1" t="str">
        <f t="shared" si="1671"/>
        <v>正常订单</v>
      </c>
      <c r="I5170" s="1" t="str">
        <f t="shared" si="1672"/>
        <v>已发货</v>
      </c>
      <c r="J5170" s="1" t="str">
        <f t="shared" si="1682"/>
        <v>5</v>
      </c>
      <c r="K5170" s="1">
        <v>2</v>
      </c>
      <c r="L5170" s="1" t="s">
        <v>92</v>
      </c>
      <c r="M5170" s="1" t="str">
        <f>"辽宁省 大连市 金州区 马桥子街道"</f>
        <v>辽宁省 大连市 金州区 马桥子街道</v>
      </c>
      <c r="N5170" s="1" t="str">
        <f t="shared" si="1674"/>
        <v>凡华云仓-城南圆通-快手</v>
      </c>
      <c r="O5170" s="5" t="s">
        <v>5194</v>
      </c>
      <c r="P5170" s="6">
        <v>0.59</v>
      </c>
      <c r="Q5170" s="11">
        <f t="shared" si="1683"/>
        <v>2.4499999999999997</v>
      </c>
      <c r="R5170" s="11"/>
      <c r="S5170" s="11"/>
      <c r="T5170" s="11"/>
      <c r="U5170" s="11">
        <f t="shared" si="1668"/>
        <v>2.4499999999999997</v>
      </c>
      <c r="V5170" t="s">
        <v>15</v>
      </c>
      <c r="W5170">
        <v>2.4500000000000002</v>
      </c>
      <c r="X5170" s="1" t="s">
        <v>92</v>
      </c>
    </row>
    <row r="5171" spans="1:24" x14ac:dyDescent="0.25">
      <c r="A5171" s="1" t="str">
        <f t="shared" si="1669"/>
        <v>卡卡杜-凤凰仓</v>
      </c>
      <c r="B5171" s="1" t="str">
        <f>"CK2024102017986"</f>
        <v>CK2024102017986</v>
      </c>
      <c r="C5171" s="1" t="str">
        <f>"DD2024102025218"</f>
        <v>DD2024102025218</v>
      </c>
      <c r="D5171" s="1" t="str">
        <f>"CK2024102025337"</f>
        <v>CK2024102025337</v>
      </c>
      <c r="E5171" s="1" t="str">
        <f>"2429401601795814"</f>
        <v>2429401601795814</v>
      </c>
      <c r="F5171" s="1" t="str">
        <f t="shared" si="1670"/>
        <v>花都四部-凤凰仓</v>
      </c>
      <c r="G5171" s="1" t="str">
        <f t="shared" si="1673"/>
        <v>卡卡杜佳旺专卖店（快手店）</v>
      </c>
      <c r="H5171" s="1" t="str">
        <f t="shared" si="1671"/>
        <v>正常订单</v>
      </c>
      <c r="I5171" s="1" t="str">
        <f t="shared" si="1672"/>
        <v>已发货</v>
      </c>
      <c r="J5171" s="1" t="str">
        <f t="shared" ref="J5171:J5176" si="1684">"3"</f>
        <v>3</v>
      </c>
      <c r="K5171" s="1">
        <v>2</v>
      </c>
      <c r="L5171" s="1" t="s">
        <v>36</v>
      </c>
      <c r="M5171" s="1" t="str">
        <f>"安徽省 合肥市 合肥经济技术开发区 莲花社区管理委员会街道"</f>
        <v>安徽省 合肥市 合肥经济技术开发区 莲花社区管理委员会街道</v>
      </c>
      <c r="N5171" s="1" t="str">
        <f t="shared" si="1674"/>
        <v>凡华云仓-城南圆通-快手</v>
      </c>
      <c r="O5171" s="5" t="s">
        <v>5195</v>
      </c>
      <c r="P5171" s="6">
        <v>0.35</v>
      </c>
      <c r="Q5171" s="11">
        <v>2.2999999999999998</v>
      </c>
      <c r="R5171" s="11"/>
      <c r="S5171" s="11"/>
      <c r="T5171" s="11"/>
      <c r="U5171" s="11">
        <f t="shared" si="1668"/>
        <v>2.2999999999999998</v>
      </c>
      <c r="W5171">
        <v>2.5</v>
      </c>
      <c r="X5171" s="1" t="s">
        <v>36</v>
      </c>
    </row>
    <row r="5172" spans="1:24" x14ac:dyDescent="0.25">
      <c r="A5172" s="1" t="str">
        <f t="shared" si="1669"/>
        <v>卡卡杜-凤凰仓</v>
      </c>
      <c r="B5172" s="1" t="str">
        <f>"CK2024102017987"</f>
        <v>CK2024102017987</v>
      </c>
      <c r="C5172" s="1" t="str">
        <f>"DD2024102025216"</f>
        <v>DD2024102025216</v>
      </c>
      <c r="D5172" s="1" t="str">
        <f>"CK2024102025336"</f>
        <v>CK2024102025336</v>
      </c>
      <c r="E5172" s="1" t="str">
        <f>"2429401931384848"</f>
        <v>2429401931384848</v>
      </c>
      <c r="F5172" s="1" t="str">
        <f t="shared" si="1670"/>
        <v>花都四部-凤凰仓</v>
      </c>
      <c r="G5172" s="1" t="str">
        <f t="shared" si="1673"/>
        <v>卡卡杜佳旺专卖店（快手店）</v>
      </c>
      <c r="H5172" s="1" t="str">
        <f t="shared" si="1671"/>
        <v>正常订单</v>
      </c>
      <c r="I5172" s="1" t="str">
        <f t="shared" si="1672"/>
        <v>已发货</v>
      </c>
      <c r="J5172" s="1" t="str">
        <f t="shared" si="1684"/>
        <v>3</v>
      </c>
      <c r="K5172" s="1">
        <v>2</v>
      </c>
      <c r="L5172" s="1" t="s">
        <v>66</v>
      </c>
      <c r="M5172" s="1" t="str">
        <f>"内蒙古自治区 赤峰市 红山区 文钟镇"</f>
        <v>内蒙古自治区 赤峰市 红山区 文钟镇</v>
      </c>
      <c r="N5172" s="1" t="str">
        <f t="shared" si="1674"/>
        <v>凡华云仓-城南圆通-快手</v>
      </c>
      <c r="O5172" s="5" t="s">
        <v>5196</v>
      </c>
      <c r="P5172" s="6">
        <v>0.35</v>
      </c>
      <c r="Q5172" s="11">
        <v>2.2999999999999998</v>
      </c>
      <c r="R5172" s="11"/>
      <c r="S5172" s="11"/>
      <c r="T5172" s="11"/>
      <c r="U5172" s="11">
        <f t="shared" si="1668"/>
        <v>2.2999999999999998</v>
      </c>
      <c r="W5172">
        <v>2.5</v>
      </c>
      <c r="X5172" s="1" t="s">
        <v>66</v>
      </c>
    </row>
    <row r="5173" spans="1:24" x14ac:dyDescent="0.25">
      <c r="A5173" s="1" t="str">
        <f t="shared" si="1669"/>
        <v>卡卡杜-凤凰仓</v>
      </c>
      <c r="B5173" s="1" t="str">
        <f>"CK2024102017988"</f>
        <v>CK2024102017988</v>
      </c>
      <c r="C5173" s="1" t="str">
        <f>"DD2024102025219"</f>
        <v>DD2024102025219</v>
      </c>
      <c r="D5173" s="1" t="str">
        <f>"CK2024102025335"</f>
        <v>CK2024102025335</v>
      </c>
      <c r="E5173" s="1" t="str">
        <f>"2429401932930123"</f>
        <v>2429401932930123</v>
      </c>
      <c r="F5173" s="1" t="str">
        <f t="shared" si="1670"/>
        <v>花都四部-凤凰仓</v>
      </c>
      <c r="G5173" s="1" t="str">
        <f t="shared" si="1673"/>
        <v>卡卡杜佳旺专卖店（快手店）</v>
      </c>
      <c r="H5173" s="1" t="str">
        <f t="shared" si="1671"/>
        <v>正常订单</v>
      </c>
      <c r="I5173" s="1" t="str">
        <f t="shared" si="1672"/>
        <v>已发货</v>
      </c>
      <c r="J5173" s="1" t="str">
        <f t="shared" si="1684"/>
        <v>3</v>
      </c>
      <c r="K5173" s="1">
        <v>2</v>
      </c>
      <c r="L5173" s="1" t="s">
        <v>18</v>
      </c>
      <c r="M5173" s="1" t="str">
        <f>"广东省 深圳市 龙华区 龙华街道"</f>
        <v>广东省 深圳市 龙华区 龙华街道</v>
      </c>
      <c r="N5173" s="1" t="str">
        <f t="shared" si="1674"/>
        <v>凡华云仓-城南圆通-快手</v>
      </c>
      <c r="O5173" s="5" t="s">
        <v>5197</v>
      </c>
      <c r="P5173" s="6">
        <v>0.35</v>
      </c>
      <c r="Q5173" s="11">
        <v>2.2999999999999998</v>
      </c>
      <c r="R5173" s="11"/>
      <c r="S5173" s="11"/>
      <c r="T5173" s="11"/>
      <c r="U5173" s="11">
        <f t="shared" si="1668"/>
        <v>2.2999999999999998</v>
      </c>
      <c r="W5173">
        <v>2.5</v>
      </c>
      <c r="X5173" s="1" t="s">
        <v>18</v>
      </c>
    </row>
    <row r="5174" spans="1:24" x14ac:dyDescent="0.25">
      <c r="A5174" s="1" t="str">
        <f t="shared" si="1669"/>
        <v>卡卡杜-凤凰仓</v>
      </c>
      <c r="B5174" s="1" t="str">
        <f>"CK2024102017989"</f>
        <v>CK2024102017989</v>
      </c>
      <c r="C5174" s="1" t="str">
        <f>"DD2024102025220"</f>
        <v>DD2024102025220</v>
      </c>
      <c r="D5174" s="1" t="str">
        <f>"CK2024102025334"</f>
        <v>CK2024102025334</v>
      </c>
      <c r="E5174" s="1" t="str">
        <f>"2429402083360426"</f>
        <v>2429402083360426</v>
      </c>
      <c r="F5174" s="1" t="str">
        <f t="shared" si="1670"/>
        <v>花都四部-凤凰仓</v>
      </c>
      <c r="G5174" s="1" t="str">
        <f t="shared" si="1673"/>
        <v>卡卡杜佳旺专卖店（快手店）</v>
      </c>
      <c r="H5174" s="1" t="str">
        <f t="shared" si="1671"/>
        <v>正常订单</v>
      </c>
      <c r="I5174" s="1" t="str">
        <f t="shared" si="1672"/>
        <v>已发货</v>
      </c>
      <c r="J5174" s="1" t="str">
        <f t="shared" si="1684"/>
        <v>3</v>
      </c>
      <c r="K5174" s="1">
        <v>2</v>
      </c>
      <c r="L5174" s="1" t="s">
        <v>30</v>
      </c>
      <c r="M5174" s="1" t="str">
        <f>"山东省 日照市 岚山区 安东卫街道"</f>
        <v>山东省 日照市 岚山区 安东卫街道</v>
      </c>
      <c r="N5174" s="1" t="str">
        <f t="shared" si="1674"/>
        <v>凡华云仓-城南圆通-快手</v>
      </c>
      <c r="O5174" s="5" t="s">
        <v>5198</v>
      </c>
      <c r="P5174" s="6">
        <v>0.35</v>
      </c>
      <c r="Q5174" s="11">
        <v>2.2999999999999998</v>
      </c>
      <c r="R5174" s="11"/>
      <c r="S5174" s="11"/>
      <c r="T5174" s="11"/>
      <c r="U5174" s="11">
        <f t="shared" si="1668"/>
        <v>2.2999999999999998</v>
      </c>
      <c r="W5174">
        <v>2.5</v>
      </c>
      <c r="X5174" s="1" t="s">
        <v>30</v>
      </c>
    </row>
    <row r="5175" spans="1:24" x14ac:dyDescent="0.25">
      <c r="A5175" s="1" t="str">
        <f t="shared" si="1669"/>
        <v>卡卡杜-凤凰仓</v>
      </c>
      <c r="B5175" s="1" t="str">
        <f>"CK2024102017990"</f>
        <v>CK2024102017990</v>
      </c>
      <c r="C5175" s="1" t="str">
        <f>"DD2024102025221"</f>
        <v>DD2024102025221</v>
      </c>
      <c r="D5175" s="1" t="str">
        <f>"CK2024102025333"</f>
        <v>CK2024102025333</v>
      </c>
      <c r="E5175" s="1" t="str">
        <f>"2429401602496246"</f>
        <v>2429401602496246</v>
      </c>
      <c r="F5175" s="1" t="str">
        <f t="shared" si="1670"/>
        <v>花都四部-凤凰仓</v>
      </c>
      <c r="G5175" s="1" t="str">
        <f t="shared" si="1673"/>
        <v>卡卡杜佳旺专卖店（快手店）</v>
      </c>
      <c r="H5175" s="1" t="str">
        <f t="shared" si="1671"/>
        <v>正常订单</v>
      </c>
      <c r="I5175" s="1" t="str">
        <f t="shared" si="1672"/>
        <v>已发货</v>
      </c>
      <c r="J5175" s="1" t="str">
        <f t="shared" si="1684"/>
        <v>3</v>
      </c>
      <c r="K5175" s="1">
        <v>2</v>
      </c>
      <c r="L5175" s="1" t="s">
        <v>13</v>
      </c>
      <c r="M5175" s="1" t="str">
        <f>"江苏省 苏州市 太仓市 "</f>
        <v xml:space="preserve">江苏省 苏州市 太仓市 </v>
      </c>
      <c r="N5175" s="1" t="str">
        <f t="shared" si="1674"/>
        <v>凡华云仓-城南圆通-快手</v>
      </c>
      <c r="O5175" s="5" t="s">
        <v>5199</v>
      </c>
      <c r="P5175" s="6">
        <v>0.35</v>
      </c>
      <c r="Q5175" s="11">
        <v>2.2999999999999998</v>
      </c>
      <c r="R5175" s="11"/>
      <c r="S5175" s="11"/>
      <c r="T5175" s="11"/>
      <c r="U5175" s="11">
        <f t="shared" si="1668"/>
        <v>2.2999999999999998</v>
      </c>
      <c r="W5175">
        <v>2.5</v>
      </c>
      <c r="X5175" s="1" t="s">
        <v>13</v>
      </c>
    </row>
    <row r="5176" spans="1:24" x14ac:dyDescent="0.25">
      <c r="A5176" s="1" t="str">
        <f t="shared" si="1669"/>
        <v>卡卡杜-凤凰仓</v>
      </c>
      <c r="B5176" s="1" t="str">
        <f>"CK2024102017991"</f>
        <v>CK2024102017991</v>
      </c>
      <c r="C5176" s="1" t="str">
        <f>"DD2024102025222"</f>
        <v>DD2024102025222</v>
      </c>
      <c r="D5176" s="1" t="str">
        <f>"CK2024102025332"</f>
        <v>CK2024102025332</v>
      </c>
      <c r="E5176" s="1" t="str">
        <f>"2429402168128288"</f>
        <v>2429402168128288</v>
      </c>
      <c r="F5176" s="1" t="str">
        <f t="shared" si="1670"/>
        <v>花都四部-凤凰仓</v>
      </c>
      <c r="G5176" s="1" t="str">
        <f t="shared" si="1673"/>
        <v>卡卡杜佳旺专卖店（快手店）</v>
      </c>
      <c r="H5176" s="1" t="str">
        <f t="shared" si="1671"/>
        <v>正常订单</v>
      </c>
      <c r="I5176" s="1" t="str">
        <f t="shared" si="1672"/>
        <v>已发货</v>
      </c>
      <c r="J5176" s="1" t="str">
        <f t="shared" si="1684"/>
        <v>3</v>
      </c>
      <c r="K5176" s="1">
        <v>2</v>
      </c>
      <c r="L5176" s="1" t="s">
        <v>54</v>
      </c>
      <c r="M5176" s="1" t="str">
        <f>"黑龙江省 绥化市 明水县 明水镇"</f>
        <v>黑龙江省 绥化市 明水县 明水镇</v>
      </c>
      <c r="N5176" s="1" t="str">
        <f t="shared" si="1674"/>
        <v>凡华云仓-城南圆通-快手</v>
      </c>
      <c r="O5176" s="5" t="s">
        <v>5200</v>
      </c>
      <c r="P5176" s="6">
        <v>0.35</v>
      </c>
      <c r="Q5176" s="11">
        <v>2.2999999999999998</v>
      </c>
      <c r="R5176" s="11"/>
      <c r="S5176" s="11"/>
      <c r="T5176" s="11"/>
      <c r="U5176" s="11">
        <f t="shared" si="1668"/>
        <v>2.2999999999999998</v>
      </c>
      <c r="W5176">
        <v>2.5</v>
      </c>
      <c r="X5176" s="1" t="s">
        <v>54</v>
      </c>
    </row>
    <row r="5177" spans="1:24" x14ac:dyDescent="0.25">
      <c r="A5177" s="1" t="str">
        <f t="shared" si="1669"/>
        <v>卡卡杜-凤凰仓</v>
      </c>
      <c r="B5177" s="1" t="str">
        <f>"CK2024102017992"</f>
        <v>CK2024102017992</v>
      </c>
      <c r="C5177" s="1" t="str">
        <f>"DD2024102025223"</f>
        <v>DD2024102025223</v>
      </c>
      <c r="D5177" s="1" t="str">
        <f>"CK2024102025331"</f>
        <v>CK2024102025331</v>
      </c>
      <c r="E5177" s="1" t="str">
        <f>"2429402164147027"</f>
        <v>2429402164147027</v>
      </c>
      <c r="F5177" s="1" t="str">
        <f t="shared" si="1670"/>
        <v>花都四部-凤凰仓</v>
      </c>
      <c r="G5177" s="1" t="str">
        <f t="shared" si="1673"/>
        <v>卡卡杜佳旺专卖店（快手店）</v>
      </c>
      <c r="H5177" s="1" t="str">
        <f t="shared" si="1671"/>
        <v>正常订单</v>
      </c>
      <c r="I5177" s="1" t="str">
        <f t="shared" si="1672"/>
        <v>已发货</v>
      </c>
      <c r="J5177" s="1" t="str">
        <f t="shared" ref="J5177:J5182" si="1685">"5"</f>
        <v>5</v>
      </c>
      <c r="K5177" s="1">
        <v>2</v>
      </c>
      <c r="L5177" s="1" t="s">
        <v>710</v>
      </c>
      <c r="M5177" s="1" t="str">
        <f>"上海市 上海市 闵行区 浦江镇"</f>
        <v>上海市 上海市 闵行区 浦江镇</v>
      </c>
      <c r="N5177" s="1" t="str">
        <f t="shared" si="1674"/>
        <v>凡华云仓-城南圆通-快手</v>
      </c>
      <c r="O5177" s="5" t="s">
        <v>5201</v>
      </c>
      <c r="P5177" s="6">
        <v>0.59</v>
      </c>
      <c r="Q5177" s="11">
        <f t="shared" ref="Q5177:Q5182" si="1686">CEILING(P5177-0.5,0.1)*10*0.15+2.3</f>
        <v>2.4499999999999997</v>
      </c>
      <c r="R5177" s="11"/>
      <c r="S5177" s="11"/>
      <c r="T5177" s="11"/>
      <c r="U5177" s="11">
        <f t="shared" si="1668"/>
        <v>2.4499999999999997</v>
      </c>
      <c r="V5177" t="s">
        <v>15</v>
      </c>
      <c r="W5177">
        <v>2.4500000000000002</v>
      </c>
      <c r="X5177" s="1" t="s">
        <v>710</v>
      </c>
    </row>
    <row r="5178" spans="1:24" x14ac:dyDescent="0.25">
      <c r="A5178" s="1" t="str">
        <f t="shared" si="1669"/>
        <v>卡卡杜-凤凰仓</v>
      </c>
      <c r="B5178" s="1" t="str">
        <f>"CK2024102017993"</f>
        <v>CK2024102017993</v>
      </c>
      <c r="C5178" s="1" t="str">
        <f>"DD2024102025225"</f>
        <v>DD2024102025225</v>
      </c>
      <c r="D5178" s="1" t="str">
        <f>"CK2024102025330"</f>
        <v>CK2024102025330</v>
      </c>
      <c r="E5178" s="1" t="str">
        <f>"2429402001696176"</f>
        <v>2429402001696176</v>
      </c>
      <c r="F5178" s="1" t="str">
        <f t="shared" si="1670"/>
        <v>花都四部-凤凰仓</v>
      </c>
      <c r="G5178" s="1" t="str">
        <f t="shared" si="1673"/>
        <v>卡卡杜佳旺专卖店（快手店）</v>
      </c>
      <c r="H5178" s="1" t="str">
        <f t="shared" si="1671"/>
        <v>正常订单</v>
      </c>
      <c r="I5178" s="1" t="str">
        <f t="shared" si="1672"/>
        <v>已发货</v>
      </c>
      <c r="J5178" s="1" t="str">
        <f t="shared" ref="J5178:J5181" si="1687">"3"</f>
        <v>3</v>
      </c>
      <c r="K5178" s="1">
        <v>2</v>
      </c>
      <c r="L5178" s="1" t="s">
        <v>18</v>
      </c>
      <c r="M5178" s="1" t="str">
        <f>"广东省 东莞市 石碣镇 石碣镇"</f>
        <v>广东省 东莞市 石碣镇 石碣镇</v>
      </c>
      <c r="N5178" s="1" t="str">
        <f t="shared" si="1674"/>
        <v>凡华云仓-城南圆通-快手</v>
      </c>
      <c r="O5178" s="5" t="s">
        <v>5202</v>
      </c>
      <c r="P5178" s="6">
        <v>0.35</v>
      </c>
      <c r="Q5178" s="11">
        <v>2.2999999999999998</v>
      </c>
      <c r="R5178" s="11"/>
      <c r="S5178" s="11"/>
      <c r="T5178" s="11"/>
      <c r="U5178" s="11">
        <f t="shared" si="1668"/>
        <v>2.2999999999999998</v>
      </c>
      <c r="W5178">
        <v>2.5</v>
      </c>
      <c r="X5178" s="1" t="s">
        <v>18</v>
      </c>
    </row>
    <row r="5179" spans="1:24" x14ac:dyDescent="0.25">
      <c r="A5179" s="1" t="str">
        <f t="shared" si="1669"/>
        <v>卡卡杜-凤凰仓</v>
      </c>
      <c r="B5179" s="1" t="str">
        <f>"CK2024102017995"</f>
        <v>CK2024102017995</v>
      </c>
      <c r="C5179" s="1" t="str">
        <f>"DD2024102025226"</f>
        <v>DD2024102025226</v>
      </c>
      <c r="D5179" s="1" t="str">
        <f>"CK2024102025329"</f>
        <v>CK2024102025329</v>
      </c>
      <c r="E5179" s="1" t="str">
        <f>"2429402000091896"</f>
        <v>2429402000091896</v>
      </c>
      <c r="F5179" s="1" t="str">
        <f t="shared" si="1670"/>
        <v>花都四部-凤凰仓</v>
      </c>
      <c r="G5179" s="1" t="str">
        <f t="shared" si="1673"/>
        <v>卡卡杜佳旺专卖店（快手店）</v>
      </c>
      <c r="H5179" s="1" t="str">
        <f t="shared" si="1671"/>
        <v>正常订单</v>
      </c>
      <c r="I5179" s="1" t="str">
        <f t="shared" si="1672"/>
        <v>已发货</v>
      </c>
      <c r="J5179" s="1" t="str">
        <f t="shared" si="1687"/>
        <v>3</v>
      </c>
      <c r="K5179" s="1">
        <v>2</v>
      </c>
      <c r="L5179" s="1" t="s">
        <v>30</v>
      </c>
      <c r="M5179" s="1" t="str">
        <f>"山东省 青岛市 城阳区 红岛街道"</f>
        <v>山东省 青岛市 城阳区 红岛街道</v>
      </c>
      <c r="N5179" s="1" t="str">
        <f t="shared" si="1674"/>
        <v>凡华云仓-城南圆通-快手</v>
      </c>
      <c r="O5179" s="5" t="s">
        <v>5203</v>
      </c>
      <c r="P5179" s="6">
        <v>0.35</v>
      </c>
      <c r="Q5179" s="11">
        <v>2.2999999999999998</v>
      </c>
      <c r="R5179" s="11"/>
      <c r="S5179" s="11"/>
      <c r="T5179" s="11"/>
      <c r="U5179" s="11">
        <f t="shared" si="1668"/>
        <v>2.2999999999999998</v>
      </c>
      <c r="W5179">
        <v>2.5</v>
      </c>
      <c r="X5179" s="1" t="s">
        <v>30</v>
      </c>
    </row>
    <row r="5180" spans="1:24" x14ac:dyDescent="0.25">
      <c r="A5180" s="1" t="str">
        <f t="shared" si="1669"/>
        <v>卡卡杜-凤凰仓</v>
      </c>
      <c r="B5180" s="1" t="str">
        <f>"CK2024102017997"</f>
        <v>CK2024102017997</v>
      </c>
      <c r="C5180" s="1" t="str">
        <f>"DD2024102025230"</f>
        <v>DD2024102025230</v>
      </c>
      <c r="D5180" s="1" t="str">
        <f>"CK2024102025328"</f>
        <v>CK2024102025328</v>
      </c>
      <c r="E5180" s="1" t="str">
        <f>"2429401845656151"</f>
        <v>2429401845656151</v>
      </c>
      <c r="F5180" s="1" t="str">
        <f t="shared" si="1670"/>
        <v>花都四部-凤凰仓</v>
      </c>
      <c r="G5180" s="1" t="str">
        <f t="shared" si="1673"/>
        <v>卡卡杜佳旺专卖店（快手店）</v>
      </c>
      <c r="H5180" s="1" t="str">
        <f t="shared" si="1671"/>
        <v>正常订单</v>
      </c>
      <c r="I5180" s="1" t="str">
        <f t="shared" si="1672"/>
        <v>已发货</v>
      </c>
      <c r="J5180" s="1" t="str">
        <f t="shared" si="1685"/>
        <v>5</v>
      </c>
      <c r="K5180" s="1">
        <v>2</v>
      </c>
      <c r="L5180" s="1" t="s">
        <v>20</v>
      </c>
      <c r="M5180" s="1" t="str">
        <f>"浙江省 杭州市 余杭区 良渚街道"</f>
        <v>浙江省 杭州市 余杭区 良渚街道</v>
      </c>
      <c r="N5180" s="1" t="str">
        <f t="shared" si="1674"/>
        <v>凡华云仓-城南圆通-快手</v>
      </c>
      <c r="O5180" s="5" t="s">
        <v>5204</v>
      </c>
      <c r="P5180" s="6">
        <v>0.59</v>
      </c>
      <c r="Q5180" s="11">
        <f t="shared" si="1686"/>
        <v>2.4499999999999997</v>
      </c>
      <c r="R5180" s="11"/>
      <c r="S5180" s="11"/>
      <c r="T5180" s="11"/>
      <c r="U5180" s="11">
        <f t="shared" si="1668"/>
        <v>2.4499999999999997</v>
      </c>
      <c r="V5180" t="s">
        <v>15</v>
      </c>
      <c r="W5180">
        <v>2.4500000000000002</v>
      </c>
      <c r="X5180" s="1" t="s">
        <v>20</v>
      </c>
    </row>
    <row r="5181" spans="1:24" x14ac:dyDescent="0.25">
      <c r="A5181" s="1" t="str">
        <f t="shared" si="1669"/>
        <v>卡卡杜-凤凰仓</v>
      </c>
      <c r="B5181" s="1" t="str">
        <f>"CK2024102017998"</f>
        <v>CK2024102017998</v>
      </c>
      <c r="C5181" s="1" t="str">
        <f>"DD2024102025231"</f>
        <v>DD2024102025231</v>
      </c>
      <c r="D5181" s="1" t="str">
        <f>"CK2024102025327"</f>
        <v>CK2024102025327</v>
      </c>
      <c r="E5181" s="1" t="str">
        <f>"2429402084946962"</f>
        <v>2429402084946962</v>
      </c>
      <c r="F5181" s="1" t="str">
        <f t="shared" si="1670"/>
        <v>花都四部-凤凰仓</v>
      </c>
      <c r="G5181" s="1" t="str">
        <f t="shared" si="1673"/>
        <v>卡卡杜佳旺专卖店（快手店）</v>
      </c>
      <c r="H5181" s="1" t="str">
        <f t="shared" si="1671"/>
        <v>正常订单</v>
      </c>
      <c r="I5181" s="1" t="str">
        <f t="shared" si="1672"/>
        <v>已发货</v>
      </c>
      <c r="J5181" s="1" t="str">
        <f t="shared" si="1687"/>
        <v>3</v>
      </c>
      <c r="K5181" s="1">
        <v>2</v>
      </c>
      <c r="L5181" s="1" t="s">
        <v>54</v>
      </c>
      <c r="M5181" s="1" t="str">
        <f>"黑龙江省 大庆市 肇源县 义顺乡"</f>
        <v>黑龙江省 大庆市 肇源县 义顺乡</v>
      </c>
      <c r="N5181" s="1" t="str">
        <f t="shared" si="1674"/>
        <v>凡华云仓-城南圆通-快手</v>
      </c>
      <c r="O5181" s="5" t="s">
        <v>5205</v>
      </c>
      <c r="P5181" s="6">
        <v>0.35</v>
      </c>
      <c r="Q5181" s="11">
        <v>2.2999999999999998</v>
      </c>
      <c r="R5181" s="11"/>
      <c r="S5181" s="11"/>
      <c r="T5181" s="11"/>
      <c r="U5181" s="11">
        <f t="shared" si="1668"/>
        <v>2.2999999999999998</v>
      </c>
      <c r="W5181">
        <v>2.5</v>
      </c>
      <c r="X5181" s="1" t="s">
        <v>54</v>
      </c>
    </row>
    <row r="5182" spans="1:24" x14ac:dyDescent="0.25">
      <c r="A5182" s="1" t="str">
        <f t="shared" si="1669"/>
        <v>卡卡杜-凤凰仓</v>
      </c>
      <c r="B5182" s="1" t="str">
        <f>"CK2024102017999"</f>
        <v>CK2024102017999</v>
      </c>
      <c r="C5182" s="1" t="str">
        <f>"DD2024102025232"</f>
        <v>DD2024102025232</v>
      </c>
      <c r="D5182" s="1" t="str">
        <f>"CK2024102025326"</f>
        <v>CK2024102025326</v>
      </c>
      <c r="E5182" s="1" t="str">
        <f>"2429402163280131"</f>
        <v>2429402163280131</v>
      </c>
      <c r="F5182" s="1" t="str">
        <f t="shared" si="1670"/>
        <v>花都四部-凤凰仓</v>
      </c>
      <c r="G5182" s="1" t="str">
        <f t="shared" si="1673"/>
        <v>卡卡杜佳旺专卖店（快手店）</v>
      </c>
      <c r="H5182" s="1" t="str">
        <f t="shared" si="1671"/>
        <v>正常订单</v>
      </c>
      <c r="I5182" s="1" t="str">
        <f t="shared" si="1672"/>
        <v>已发货</v>
      </c>
      <c r="J5182" s="1" t="str">
        <f t="shared" si="1685"/>
        <v>5</v>
      </c>
      <c r="K5182" s="1">
        <v>2</v>
      </c>
      <c r="L5182" s="1" t="s">
        <v>109</v>
      </c>
      <c r="M5182" s="1" t="str">
        <f>"山西省 长治市 壶关县 龙泉镇"</f>
        <v>山西省 长治市 壶关县 龙泉镇</v>
      </c>
      <c r="N5182" s="1" t="str">
        <f t="shared" si="1674"/>
        <v>凡华云仓-城南圆通-快手</v>
      </c>
      <c r="O5182" s="5" t="s">
        <v>5206</v>
      </c>
      <c r="P5182" s="6">
        <v>0.59</v>
      </c>
      <c r="Q5182" s="11">
        <f t="shared" si="1686"/>
        <v>2.4499999999999997</v>
      </c>
      <c r="R5182" s="11"/>
      <c r="S5182" s="11"/>
      <c r="T5182" s="11"/>
      <c r="U5182" s="11">
        <f t="shared" si="1668"/>
        <v>2.4499999999999997</v>
      </c>
      <c r="V5182" t="s">
        <v>15</v>
      </c>
      <c r="W5182">
        <v>2.4500000000000002</v>
      </c>
      <c r="X5182" s="1" t="s">
        <v>109</v>
      </c>
    </row>
    <row r="5183" spans="1:24" x14ac:dyDescent="0.25">
      <c r="A5183" s="1" t="str">
        <f t="shared" si="1669"/>
        <v>卡卡杜-凤凰仓</v>
      </c>
      <c r="B5183" s="1" t="str">
        <f>"CK2024102018000"</f>
        <v>CK2024102018000</v>
      </c>
      <c r="C5183" s="1" t="str">
        <f>"DD2024102025228"</f>
        <v>DD2024102025228</v>
      </c>
      <c r="D5183" s="1" t="str">
        <f>"CK2024102025325"</f>
        <v>CK2024102025325</v>
      </c>
      <c r="E5183" s="1" t="str">
        <f>"2429401680123135"</f>
        <v>2429401680123135</v>
      </c>
      <c r="F5183" s="1" t="str">
        <f t="shared" si="1670"/>
        <v>花都四部-凤凰仓</v>
      </c>
      <c r="G5183" s="1" t="str">
        <f t="shared" si="1673"/>
        <v>卡卡杜佳旺专卖店（快手店）</v>
      </c>
      <c r="H5183" s="1" t="str">
        <f t="shared" si="1671"/>
        <v>正常订单</v>
      </c>
      <c r="I5183" s="1" t="str">
        <f t="shared" si="1672"/>
        <v>已发货</v>
      </c>
      <c r="J5183" s="1" t="str">
        <f t="shared" ref="J5183:J5190" si="1688">"3"</f>
        <v>3</v>
      </c>
      <c r="K5183" s="1">
        <v>2</v>
      </c>
      <c r="L5183" s="1" t="s">
        <v>80</v>
      </c>
      <c r="M5183" s="1" t="str">
        <f>"河南省 开封市 顺河回族区 东郊乡"</f>
        <v>河南省 开封市 顺河回族区 东郊乡</v>
      </c>
      <c r="N5183" s="1" t="str">
        <f t="shared" si="1674"/>
        <v>凡华云仓-城南圆通-快手</v>
      </c>
      <c r="O5183" s="5" t="s">
        <v>5207</v>
      </c>
      <c r="P5183" s="6">
        <v>0.35</v>
      </c>
      <c r="Q5183" s="11">
        <v>2.2999999999999998</v>
      </c>
      <c r="R5183" s="11"/>
      <c r="S5183" s="11"/>
      <c r="T5183" s="11"/>
      <c r="U5183" s="11">
        <f t="shared" si="1668"/>
        <v>2.2999999999999998</v>
      </c>
      <c r="W5183">
        <v>2.5</v>
      </c>
      <c r="X5183" s="1" t="s">
        <v>80</v>
      </c>
    </row>
    <row r="5184" spans="1:24" x14ac:dyDescent="0.25">
      <c r="A5184" s="1" t="str">
        <f t="shared" si="1669"/>
        <v>卡卡杜-凤凰仓</v>
      </c>
      <c r="B5184" s="1" t="str">
        <f>"CK2024102018001"</f>
        <v>CK2024102018001</v>
      </c>
      <c r="C5184" s="1" t="str">
        <f>"DD2024102025229"</f>
        <v>DD2024102025229</v>
      </c>
      <c r="D5184" s="1" t="str">
        <f>"CK2024102025324"</f>
        <v>CK2024102025324</v>
      </c>
      <c r="E5184" s="1" t="str">
        <f>"2429402162505834"</f>
        <v>2429402162505834</v>
      </c>
      <c r="F5184" s="1" t="str">
        <f t="shared" si="1670"/>
        <v>花都四部-凤凰仓</v>
      </c>
      <c r="G5184" s="1" t="str">
        <f t="shared" si="1673"/>
        <v>卡卡杜佳旺专卖店（快手店）</v>
      </c>
      <c r="H5184" s="1" t="str">
        <f t="shared" si="1671"/>
        <v>正常订单</v>
      </c>
      <c r="I5184" s="1" t="str">
        <f t="shared" si="1672"/>
        <v>已发货</v>
      </c>
      <c r="J5184" s="1" t="str">
        <f>"5"</f>
        <v>5</v>
      </c>
      <c r="K5184" s="1">
        <v>2</v>
      </c>
      <c r="L5184" s="1" t="s">
        <v>41</v>
      </c>
      <c r="M5184" s="1" t="str">
        <f>"湖北省 武汉市 硚口区 长丰街道"</f>
        <v>湖北省 武汉市 硚口区 长丰街道</v>
      </c>
      <c r="N5184" s="1" t="str">
        <f t="shared" si="1674"/>
        <v>凡华云仓-城南圆通-快手</v>
      </c>
      <c r="O5184" s="5" t="s">
        <v>5208</v>
      </c>
      <c r="P5184" s="6">
        <v>0.59</v>
      </c>
      <c r="Q5184" s="11">
        <f t="shared" ref="Q5184:Q5187" si="1689">CEILING(P5184-0.5,0.1)*10*0.15+2.3</f>
        <v>2.4499999999999997</v>
      </c>
      <c r="R5184" s="11"/>
      <c r="S5184" s="11"/>
      <c r="T5184" s="11"/>
      <c r="U5184" s="11">
        <f t="shared" si="1668"/>
        <v>2.4499999999999997</v>
      </c>
      <c r="V5184" t="s">
        <v>15</v>
      </c>
      <c r="W5184">
        <v>2.4500000000000002</v>
      </c>
      <c r="X5184" s="1" t="s">
        <v>41</v>
      </c>
    </row>
    <row r="5185" spans="1:24" x14ac:dyDescent="0.25">
      <c r="A5185" s="1" t="str">
        <f t="shared" si="1669"/>
        <v>卡卡杜-凤凰仓</v>
      </c>
      <c r="B5185" s="1" t="str">
        <f>"CK2024102018002"</f>
        <v>CK2024102018002</v>
      </c>
      <c r="C5185" s="1" t="str">
        <f>"DD2024102025234"</f>
        <v>DD2024102025234</v>
      </c>
      <c r="D5185" s="1" t="str">
        <f>"CK2024102025323"</f>
        <v>CK2024102025323</v>
      </c>
      <c r="E5185" s="1" t="str">
        <f>"2429401930507987"</f>
        <v>2429401930507987</v>
      </c>
      <c r="F5185" s="1" t="str">
        <f t="shared" si="1670"/>
        <v>花都四部-凤凰仓</v>
      </c>
      <c r="G5185" s="1" t="str">
        <f t="shared" si="1673"/>
        <v>卡卡杜佳旺专卖店（快手店）</v>
      </c>
      <c r="H5185" s="1" t="str">
        <f t="shared" si="1671"/>
        <v>正常订单</v>
      </c>
      <c r="I5185" s="1" t="str">
        <f t="shared" si="1672"/>
        <v>已发货</v>
      </c>
      <c r="J5185" s="1" t="str">
        <f t="shared" si="1688"/>
        <v>3</v>
      </c>
      <c r="K5185" s="1">
        <v>2</v>
      </c>
      <c r="L5185" s="1" t="s">
        <v>20</v>
      </c>
      <c r="M5185" s="1" t="str">
        <f>"浙江省 绍兴市 嵊州市 嵊州经济开发区"</f>
        <v>浙江省 绍兴市 嵊州市 嵊州经济开发区</v>
      </c>
      <c r="N5185" s="1" t="str">
        <f t="shared" si="1674"/>
        <v>凡华云仓-城南圆通-快手</v>
      </c>
      <c r="O5185" s="5" t="s">
        <v>5209</v>
      </c>
      <c r="P5185" s="6">
        <v>0.35</v>
      </c>
      <c r="Q5185" s="11">
        <v>2.2999999999999998</v>
      </c>
      <c r="R5185" s="11"/>
      <c r="S5185" s="11"/>
      <c r="T5185" s="11"/>
      <c r="U5185" s="11">
        <f t="shared" si="1668"/>
        <v>2.2999999999999998</v>
      </c>
      <c r="W5185">
        <v>2.5</v>
      </c>
      <c r="X5185" s="1" t="s">
        <v>20</v>
      </c>
    </row>
    <row r="5186" spans="1:24" x14ac:dyDescent="0.25">
      <c r="A5186" s="1" t="str">
        <f t="shared" si="1669"/>
        <v>卡卡杜-凤凰仓</v>
      </c>
      <c r="B5186" s="1" t="str">
        <f>"CK2024102018003"</f>
        <v>CK2024102018003</v>
      </c>
      <c r="C5186" s="1" t="str">
        <f>"DD2024102025233"</f>
        <v>DD2024102025233</v>
      </c>
      <c r="D5186" s="1" t="str">
        <f>"CK2024102025322"</f>
        <v>CK2024102025322</v>
      </c>
      <c r="E5186" s="1" t="str">
        <f>"2429401761755735"</f>
        <v>2429401761755735</v>
      </c>
      <c r="F5186" s="1" t="str">
        <f t="shared" si="1670"/>
        <v>花都四部-凤凰仓</v>
      </c>
      <c r="G5186" s="1" t="str">
        <f t="shared" si="1673"/>
        <v>卡卡杜佳旺专卖店（快手店）</v>
      </c>
      <c r="H5186" s="1" t="str">
        <f t="shared" si="1671"/>
        <v>正常订单</v>
      </c>
      <c r="I5186" s="1" t="str">
        <f t="shared" si="1672"/>
        <v>已发货</v>
      </c>
      <c r="J5186" s="1" t="str">
        <f>"5"</f>
        <v>5</v>
      </c>
      <c r="K5186" s="1">
        <v>2</v>
      </c>
      <c r="L5186" s="1" t="s">
        <v>20</v>
      </c>
      <c r="M5186" s="1" t="str">
        <f>"浙江省 嘉兴市 秀洲区 新城街道"</f>
        <v>浙江省 嘉兴市 秀洲区 新城街道</v>
      </c>
      <c r="N5186" s="1" t="str">
        <f t="shared" si="1674"/>
        <v>凡华云仓-城南圆通-快手</v>
      </c>
      <c r="O5186" s="5" t="s">
        <v>5210</v>
      </c>
      <c r="P5186" s="6">
        <v>0.59</v>
      </c>
      <c r="Q5186" s="11">
        <f t="shared" si="1689"/>
        <v>2.4499999999999997</v>
      </c>
      <c r="R5186" s="11"/>
      <c r="S5186" s="11"/>
      <c r="T5186" s="11"/>
      <c r="U5186" s="11">
        <f t="shared" si="1668"/>
        <v>2.4499999999999997</v>
      </c>
      <c r="V5186" t="s">
        <v>15</v>
      </c>
      <c r="W5186">
        <v>2.4500000000000002</v>
      </c>
      <c r="X5186" s="1" t="s">
        <v>20</v>
      </c>
    </row>
    <row r="5187" spans="1:24" x14ac:dyDescent="0.25">
      <c r="A5187" s="1" t="str">
        <f t="shared" si="1669"/>
        <v>卡卡杜-凤凰仓</v>
      </c>
      <c r="B5187" s="1" t="str">
        <f>"CK2024102018004"</f>
        <v>CK2024102018004</v>
      </c>
      <c r="C5187" s="1" t="str">
        <f>"DD2024102025236"</f>
        <v>DD2024102025236</v>
      </c>
      <c r="D5187" s="1" t="str">
        <f>"CK2024102025321"</f>
        <v>CK2024102025321</v>
      </c>
      <c r="E5187" s="1" t="str">
        <f>"2429402006570680"</f>
        <v>2429402006570680</v>
      </c>
      <c r="F5187" s="1" t="str">
        <f t="shared" si="1670"/>
        <v>花都四部-凤凰仓</v>
      </c>
      <c r="G5187" s="1" t="str">
        <f t="shared" si="1673"/>
        <v>卡卡杜佳旺专卖店（快手店）</v>
      </c>
      <c r="H5187" s="1" t="str">
        <f t="shared" si="1671"/>
        <v>正常订单</v>
      </c>
      <c r="I5187" s="1" t="str">
        <f t="shared" si="1672"/>
        <v>已发货</v>
      </c>
      <c r="J5187" s="1" t="str">
        <f>"10"</f>
        <v>10</v>
      </c>
      <c r="K5187" s="1">
        <v>2</v>
      </c>
      <c r="L5187" s="1" t="s">
        <v>94</v>
      </c>
      <c r="M5187" s="1" t="str">
        <f>"湖南省 常德市 汉寿县 龙阳街道"</f>
        <v>湖南省 常德市 汉寿县 龙阳街道</v>
      </c>
      <c r="N5187" s="1" t="str">
        <f t="shared" si="1674"/>
        <v>凡华云仓-城南圆通-快手</v>
      </c>
      <c r="O5187" s="5" t="s">
        <v>5211</v>
      </c>
      <c r="P5187" s="6">
        <v>1.1200000000000001</v>
      </c>
      <c r="Q5187" s="11">
        <f t="shared" si="1689"/>
        <v>3.3499999999999996</v>
      </c>
      <c r="R5187" s="11"/>
      <c r="S5187" s="11"/>
      <c r="T5187" s="11"/>
      <c r="U5187" s="11">
        <f t="shared" ref="U5187:U5250" si="1690">T5187+S5187+R5187+Q5187</f>
        <v>3.3499999999999996</v>
      </c>
      <c r="V5187" t="s">
        <v>15</v>
      </c>
      <c r="W5187">
        <v>3.35</v>
      </c>
      <c r="X5187" s="1" t="s">
        <v>94</v>
      </c>
    </row>
    <row r="5188" spans="1:24" x14ac:dyDescent="0.25">
      <c r="A5188" s="1" t="str">
        <f t="shared" si="1669"/>
        <v>卡卡杜-凤凰仓</v>
      </c>
      <c r="B5188" s="1" t="str">
        <f>"CK2024102018005"</f>
        <v>CK2024102018005</v>
      </c>
      <c r="C5188" s="1" t="str">
        <f>"DD2024102025235"</f>
        <v>DD2024102025235</v>
      </c>
      <c r="D5188" s="1" t="str">
        <f>"CK2024102025320"</f>
        <v>CK2024102025320</v>
      </c>
      <c r="E5188" s="1" t="str">
        <f>"2429401925746160"</f>
        <v>2429401925746160</v>
      </c>
      <c r="F5188" s="1" t="str">
        <f t="shared" si="1670"/>
        <v>花都四部-凤凰仓</v>
      </c>
      <c r="G5188" s="1" t="str">
        <f t="shared" si="1673"/>
        <v>卡卡杜佳旺专卖店（快手店）</v>
      </c>
      <c r="H5188" s="1" t="str">
        <f t="shared" si="1671"/>
        <v>正常订单</v>
      </c>
      <c r="I5188" s="1" t="str">
        <f t="shared" si="1672"/>
        <v>已发货</v>
      </c>
      <c r="J5188" s="1" t="str">
        <f t="shared" si="1688"/>
        <v>3</v>
      </c>
      <c r="K5188" s="1">
        <v>2</v>
      </c>
      <c r="L5188" s="1" t="s">
        <v>16</v>
      </c>
      <c r="M5188" s="1" t="str">
        <f>"河北省 邢台市 信都区 南大郭镇"</f>
        <v>河北省 邢台市 信都区 南大郭镇</v>
      </c>
      <c r="N5188" s="1" t="str">
        <f t="shared" si="1674"/>
        <v>凡华云仓-城南圆通-快手</v>
      </c>
      <c r="O5188" s="5" t="s">
        <v>5212</v>
      </c>
      <c r="P5188" s="6">
        <v>0.35</v>
      </c>
      <c r="Q5188" s="11">
        <v>2.2999999999999998</v>
      </c>
      <c r="R5188" s="11"/>
      <c r="S5188" s="11"/>
      <c r="T5188" s="11"/>
      <c r="U5188" s="11">
        <f t="shared" si="1690"/>
        <v>2.2999999999999998</v>
      </c>
      <c r="W5188">
        <v>2.5</v>
      </c>
      <c r="X5188" s="1" t="s">
        <v>16</v>
      </c>
    </row>
    <row r="5189" spans="1:24" x14ac:dyDescent="0.25">
      <c r="A5189" s="1" t="str">
        <f t="shared" ref="A5189:A5252" si="1691">"卡卡杜-凤凰仓"</f>
        <v>卡卡杜-凤凰仓</v>
      </c>
      <c r="B5189" s="1" t="str">
        <f>"CK2024102018006"</f>
        <v>CK2024102018006</v>
      </c>
      <c r="C5189" s="1" t="str">
        <f>"DD2024102025237"</f>
        <v>DD2024102025237</v>
      </c>
      <c r="D5189" s="1" t="str">
        <f>"CK2024102025319"</f>
        <v>CK2024102025319</v>
      </c>
      <c r="E5189" s="1" t="str">
        <f>"2429401604906107"</f>
        <v>2429401604906107</v>
      </c>
      <c r="F5189" s="1" t="str">
        <f t="shared" ref="F5189:F5252" si="1692">"花都四部-凤凰仓"</f>
        <v>花都四部-凤凰仓</v>
      </c>
      <c r="G5189" s="1" t="str">
        <f t="shared" si="1673"/>
        <v>卡卡杜佳旺专卖店（快手店）</v>
      </c>
      <c r="H5189" s="1" t="str">
        <f t="shared" ref="H5189:H5252" si="1693">"正常订单"</f>
        <v>正常订单</v>
      </c>
      <c r="I5189" s="1" t="str">
        <f t="shared" ref="I5189:I5252" si="1694">"已发货"</f>
        <v>已发货</v>
      </c>
      <c r="J5189" s="1" t="str">
        <f t="shared" si="1688"/>
        <v>3</v>
      </c>
      <c r="K5189" s="1">
        <v>2</v>
      </c>
      <c r="L5189" s="1" t="s">
        <v>20</v>
      </c>
      <c r="M5189" s="1" t="str">
        <f>"浙江省 金华市 武义县 壶山街道"</f>
        <v>浙江省 金华市 武义县 壶山街道</v>
      </c>
      <c r="N5189" s="1" t="str">
        <f t="shared" si="1674"/>
        <v>凡华云仓-城南圆通-快手</v>
      </c>
      <c r="O5189" s="5" t="s">
        <v>5213</v>
      </c>
      <c r="P5189" s="6">
        <v>0.35</v>
      </c>
      <c r="Q5189" s="11">
        <v>2.2999999999999998</v>
      </c>
      <c r="R5189" s="11"/>
      <c r="S5189" s="11"/>
      <c r="T5189" s="11"/>
      <c r="U5189" s="11">
        <f t="shared" si="1690"/>
        <v>2.2999999999999998</v>
      </c>
      <c r="W5189">
        <v>2.5</v>
      </c>
      <c r="X5189" s="1" t="s">
        <v>20</v>
      </c>
    </row>
    <row r="5190" spans="1:24" x14ac:dyDescent="0.25">
      <c r="A5190" s="1" t="str">
        <f t="shared" si="1691"/>
        <v>卡卡杜-凤凰仓</v>
      </c>
      <c r="B5190" s="1" t="str">
        <f>"CK2024102018007"</f>
        <v>CK2024102018007</v>
      </c>
      <c r="C5190" s="1" t="str">
        <f>"DD2024102025238"</f>
        <v>DD2024102025238</v>
      </c>
      <c r="D5190" s="1" t="str">
        <f>"CK2024102025318"</f>
        <v>CK2024102025318</v>
      </c>
      <c r="E5190" s="1" t="str">
        <f>"2429401681738476"</f>
        <v>2429401681738476</v>
      </c>
      <c r="F5190" s="1" t="str">
        <f t="shared" si="1692"/>
        <v>花都四部-凤凰仓</v>
      </c>
      <c r="G5190" s="1" t="str">
        <f t="shared" si="1673"/>
        <v>卡卡杜佳旺专卖店（快手店）</v>
      </c>
      <c r="H5190" s="1" t="str">
        <f t="shared" si="1693"/>
        <v>正常订单</v>
      </c>
      <c r="I5190" s="1" t="str">
        <f t="shared" si="1694"/>
        <v>已发货</v>
      </c>
      <c r="J5190" s="1" t="str">
        <f t="shared" si="1688"/>
        <v>3</v>
      </c>
      <c r="K5190" s="1">
        <v>2</v>
      </c>
      <c r="L5190" s="1" t="s">
        <v>30</v>
      </c>
      <c r="M5190" s="1" t="str">
        <f>"山东省 德州市 武城县 广运街道"</f>
        <v>山东省 德州市 武城县 广运街道</v>
      </c>
      <c r="N5190" s="1" t="str">
        <f t="shared" si="1674"/>
        <v>凡华云仓-城南圆通-快手</v>
      </c>
      <c r="O5190" s="5" t="s">
        <v>5214</v>
      </c>
      <c r="P5190" s="6">
        <v>0.35</v>
      </c>
      <c r="Q5190" s="11">
        <v>2.2999999999999998</v>
      </c>
      <c r="R5190" s="11"/>
      <c r="S5190" s="11"/>
      <c r="T5190" s="11"/>
      <c r="U5190" s="11">
        <f t="shared" si="1690"/>
        <v>2.2999999999999998</v>
      </c>
      <c r="W5190">
        <v>2.5</v>
      </c>
      <c r="X5190" s="1" t="s">
        <v>30</v>
      </c>
    </row>
    <row r="5191" spans="1:24" x14ac:dyDescent="0.25">
      <c r="A5191" s="1" t="str">
        <f t="shared" si="1691"/>
        <v>卡卡杜-凤凰仓</v>
      </c>
      <c r="B5191" s="1" t="str">
        <f>"CK2024102018008"</f>
        <v>CK2024102018008</v>
      </c>
      <c r="C5191" s="1" t="str">
        <f>"DD2024102025239"</f>
        <v>DD2024102025239</v>
      </c>
      <c r="D5191" s="1" t="str">
        <f>"CK2024102025317"</f>
        <v>CK2024102025317</v>
      </c>
      <c r="E5191" s="1" t="str">
        <f>"2429401601707973"</f>
        <v>2429401601707973</v>
      </c>
      <c r="F5191" s="1" t="str">
        <f t="shared" si="1692"/>
        <v>花都四部-凤凰仓</v>
      </c>
      <c r="G5191" s="1" t="str">
        <f t="shared" si="1673"/>
        <v>卡卡杜佳旺专卖店（快手店）</v>
      </c>
      <c r="H5191" s="1" t="str">
        <f t="shared" si="1693"/>
        <v>正常订单</v>
      </c>
      <c r="I5191" s="1" t="str">
        <f t="shared" si="1694"/>
        <v>已发货</v>
      </c>
      <c r="J5191" s="1" t="str">
        <f t="shared" ref="J5191:J5195" si="1695">"5"</f>
        <v>5</v>
      </c>
      <c r="K5191" s="1">
        <v>2</v>
      </c>
      <c r="L5191" s="1" t="s">
        <v>41</v>
      </c>
      <c r="M5191" s="1" t="str">
        <f>"湖北省 武汉市 武昌区 水果湖街道"</f>
        <v>湖北省 武汉市 武昌区 水果湖街道</v>
      </c>
      <c r="N5191" s="1" t="str">
        <f t="shared" si="1674"/>
        <v>凡华云仓-城南圆通-快手</v>
      </c>
      <c r="O5191" s="5" t="s">
        <v>5215</v>
      </c>
      <c r="P5191" s="6">
        <v>0.59</v>
      </c>
      <c r="Q5191" s="11">
        <f t="shared" ref="Q5191:Q5195" si="1696">CEILING(P5191-0.5,0.1)*10*0.15+2.3</f>
        <v>2.4499999999999997</v>
      </c>
      <c r="R5191" s="11"/>
      <c r="S5191" s="11"/>
      <c r="T5191" s="11"/>
      <c r="U5191" s="11">
        <f t="shared" si="1690"/>
        <v>2.4499999999999997</v>
      </c>
      <c r="V5191" t="s">
        <v>15</v>
      </c>
      <c r="W5191">
        <v>2.4500000000000002</v>
      </c>
      <c r="X5191" s="1" t="s">
        <v>41</v>
      </c>
    </row>
    <row r="5192" spans="1:24" x14ac:dyDescent="0.25">
      <c r="A5192" s="1" t="str">
        <f t="shared" si="1691"/>
        <v>卡卡杜-凤凰仓</v>
      </c>
      <c r="B5192" s="1" t="str">
        <f>"CK2024102018011"</f>
        <v>CK2024102018011</v>
      </c>
      <c r="C5192" s="1" t="str">
        <f>"DD2024102025241"</f>
        <v>DD2024102025241</v>
      </c>
      <c r="D5192" s="1" t="str">
        <f>"CK2024102025316"</f>
        <v>CK2024102025316</v>
      </c>
      <c r="E5192" s="1" t="str">
        <f>"2429402166458588"</f>
        <v>2429402166458588</v>
      </c>
      <c r="F5192" s="1" t="str">
        <f t="shared" si="1692"/>
        <v>花都四部-凤凰仓</v>
      </c>
      <c r="G5192" s="1" t="str">
        <f t="shared" si="1673"/>
        <v>卡卡杜佳旺专卖店（快手店）</v>
      </c>
      <c r="H5192" s="1" t="str">
        <f t="shared" si="1693"/>
        <v>正常订单</v>
      </c>
      <c r="I5192" s="1" t="str">
        <f t="shared" si="1694"/>
        <v>已发货</v>
      </c>
      <c r="J5192" s="1" t="str">
        <f t="shared" si="1695"/>
        <v>5</v>
      </c>
      <c r="K5192" s="1">
        <v>2</v>
      </c>
      <c r="L5192" s="1" t="s">
        <v>710</v>
      </c>
      <c r="M5192" s="1" t="str">
        <f>"上海市 上海市 青浦区 金泽镇"</f>
        <v>上海市 上海市 青浦区 金泽镇</v>
      </c>
      <c r="N5192" s="1" t="str">
        <f t="shared" si="1674"/>
        <v>凡华云仓-城南圆通-快手</v>
      </c>
      <c r="O5192" s="5" t="s">
        <v>5216</v>
      </c>
      <c r="P5192" s="6">
        <v>0.59</v>
      </c>
      <c r="Q5192" s="11">
        <f t="shared" si="1696"/>
        <v>2.4499999999999997</v>
      </c>
      <c r="R5192" s="11"/>
      <c r="S5192" s="11"/>
      <c r="T5192" s="11"/>
      <c r="U5192" s="11">
        <f t="shared" si="1690"/>
        <v>2.4499999999999997</v>
      </c>
      <c r="V5192" t="s">
        <v>15</v>
      </c>
      <c r="W5192">
        <v>2.4500000000000002</v>
      </c>
      <c r="X5192" s="1" t="s">
        <v>710</v>
      </c>
    </row>
    <row r="5193" spans="1:24" x14ac:dyDescent="0.25">
      <c r="A5193" s="1" t="str">
        <f t="shared" si="1691"/>
        <v>卡卡杜-凤凰仓</v>
      </c>
      <c r="B5193" s="1" t="str">
        <f>"CK2024102018012"</f>
        <v>CK2024102018012</v>
      </c>
      <c r="C5193" s="1" t="str">
        <f>"DD2024102025245"</f>
        <v>DD2024102025245</v>
      </c>
      <c r="D5193" s="1" t="str">
        <f>"CK2024102025315"</f>
        <v>CK2024102025315</v>
      </c>
      <c r="E5193" s="1" t="str">
        <f>"2429401768033955"</f>
        <v>2429401768033955</v>
      </c>
      <c r="F5193" s="1" t="str">
        <f t="shared" si="1692"/>
        <v>花都四部-凤凰仓</v>
      </c>
      <c r="G5193" s="1" t="str">
        <f t="shared" si="1673"/>
        <v>卡卡杜佳旺专卖店（快手店）</v>
      </c>
      <c r="H5193" s="1" t="str">
        <f t="shared" si="1693"/>
        <v>正常订单</v>
      </c>
      <c r="I5193" s="1" t="str">
        <f t="shared" si="1694"/>
        <v>已发货</v>
      </c>
      <c r="J5193" s="1" t="str">
        <f t="shared" si="1695"/>
        <v>5</v>
      </c>
      <c r="K5193" s="1">
        <v>2</v>
      </c>
      <c r="L5193" s="1" t="s">
        <v>1495</v>
      </c>
      <c r="M5193" s="1" t="str">
        <f>"天津市 天津市 东丽区 金钟街道"</f>
        <v>天津市 天津市 东丽区 金钟街道</v>
      </c>
      <c r="N5193" s="1" t="str">
        <f t="shared" si="1674"/>
        <v>凡华云仓-城南圆通-快手</v>
      </c>
      <c r="O5193" s="5" t="s">
        <v>5217</v>
      </c>
      <c r="P5193" s="6">
        <v>0.59</v>
      </c>
      <c r="Q5193" s="11">
        <f t="shared" si="1696"/>
        <v>2.4499999999999997</v>
      </c>
      <c r="R5193" s="11"/>
      <c r="S5193" s="11"/>
      <c r="T5193" s="11"/>
      <c r="U5193" s="11">
        <f t="shared" si="1690"/>
        <v>2.4499999999999997</v>
      </c>
      <c r="V5193" t="s">
        <v>15</v>
      </c>
      <c r="W5193">
        <v>2.4500000000000002</v>
      </c>
      <c r="X5193" s="1" t="s">
        <v>1495</v>
      </c>
    </row>
    <row r="5194" spans="1:24" x14ac:dyDescent="0.25">
      <c r="A5194" s="1" t="str">
        <f t="shared" si="1691"/>
        <v>卡卡杜-凤凰仓</v>
      </c>
      <c r="B5194" s="1" t="str">
        <f>"CK2024102018013"</f>
        <v>CK2024102018013</v>
      </c>
      <c r="C5194" s="1" t="str">
        <f>"DD2024102025243"</f>
        <v>DD2024102025243</v>
      </c>
      <c r="D5194" s="1" t="str">
        <f>"CK2024102025314"</f>
        <v>CK2024102025314</v>
      </c>
      <c r="E5194" s="1" t="str">
        <f>"2429401846483310"</f>
        <v>2429401846483310</v>
      </c>
      <c r="F5194" s="1" t="str">
        <f t="shared" si="1692"/>
        <v>花都四部-凤凰仓</v>
      </c>
      <c r="G5194" s="1" t="str">
        <f t="shared" si="1673"/>
        <v>卡卡杜佳旺专卖店（快手店）</v>
      </c>
      <c r="H5194" s="1" t="str">
        <f t="shared" si="1693"/>
        <v>正常订单</v>
      </c>
      <c r="I5194" s="1" t="str">
        <f t="shared" si="1694"/>
        <v>已发货</v>
      </c>
      <c r="J5194" s="1" t="str">
        <f t="shared" si="1695"/>
        <v>5</v>
      </c>
      <c r="K5194" s="1">
        <v>2</v>
      </c>
      <c r="L5194" s="1" t="s">
        <v>109</v>
      </c>
      <c r="M5194" s="1" t="str">
        <f>"山西省 运城市 盐湖区 北城街道"</f>
        <v>山西省 运城市 盐湖区 北城街道</v>
      </c>
      <c r="N5194" s="1" t="str">
        <f t="shared" si="1674"/>
        <v>凡华云仓-城南圆通-快手</v>
      </c>
      <c r="O5194" s="5" t="s">
        <v>5218</v>
      </c>
      <c r="P5194" s="6">
        <v>0.59</v>
      </c>
      <c r="Q5194" s="11">
        <f t="shared" si="1696"/>
        <v>2.4499999999999997</v>
      </c>
      <c r="R5194" s="11"/>
      <c r="S5194" s="11"/>
      <c r="T5194" s="11"/>
      <c r="U5194" s="11">
        <f t="shared" si="1690"/>
        <v>2.4499999999999997</v>
      </c>
      <c r="V5194" t="s">
        <v>15</v>
      </c>
      <c r="W5194">
        <v>2.4500000000000002</v>
      </c>
      <c r="X5194" s="1" t="s">
        <v>109</v>
      </c>
    </row>
    <row r="5195" spans="1:24" x14ac:dyDescent="0.25">
      <c r="A5195" s="1" t="str">
        <f t="shared" si="1691"/>
        <v>卡卡杜-凤凰仓</v>
      </c>
      <c r="B5195" s="1" t="str">
        <f>"CK2024102018014"</f>
        <v>CK2024102018014</v>
      </c>
      <c r="C5195" s="1" t="str">
        <f>"DD2024102025247"</f>
        <v>DD2024102025247</v>
      </c>
      <c r="D5195" s="1" t="str">
        <f>"CK2024102025313"</f>
        <v>CK2024102025313</v>
      </c>
      <c r="E5195" s="1" t="str">
        <f>"2429402164849969"</f>
        <v>2429402164849969</v>
      </c>
      <c r="F5195" s="1" t="str">
        <f t="shared" si="1692"/>
        <v>花都四部-凤凰仓</v>
      </c>
      <c r="G5195" s="1" t="str">
        <f t="shared" si="1673"/>
        <v>卡卡杜佳旺专卖店（快手店）</v>
      </c>
      <c r="H5195" s="1" t="str">
        <f t="shared" si="1693"/>
        <v>正常订单</v>
      </c>
      <c r="I5195" s="1" t="str">
        <f t="shared" si="1694"/>
        <v>已发货</v>
      </c>
      <c r="J5195" s="1" t="str">
        <f t="shared" si="1695"/>
        <v>5</v>
      </c>
      <c r="K5195" s="1">
        <v>2</v>
      </c>
      <c r="L5195" s="1" t="s">
        <v>18</v>
      </c>
      <c r="M5195" s="1" t="str">
        <f>"广东省 深圳市 宝安区 石岩街道"</f>
        <v>广东省 深圳市 宝安区 石岩街道</v>
      </c>
      <c r="N5195" s="1" t="str">
        <f t="shared" si="1674"/>
        <v>凡华云仓-城南圆通-快手</v>
      </c>
      <c r="O5195" s="5" t="s">
        <v>5219</v>
      </c>
      <c r="P5195" s="6">
        <v>0.59</v>
      </c>
      <c r="Q5195" s="11">
        <f t="shared" si="1696"/>
        <v>2.4499999999999997</v>
      </c>
      <c r="R5195" s="11"/>
      <c r="S5195" s="11"/>
      <c r="T5195" s="11"/>
      <c r="U5195" s="11">
        <f t="shared" si="1690"/>
        <v>2.4499999999999997</v>
      </c>
      <c r="V5195" t="s">
        <v>15</v>
      </c>
      <c r="W5195">
        <v>2.4500000000000002</v>
      </c>
      <c r="X5195" s="1" t="s">
        <v>18</v>
      </c>
    </row>
    <row r="5196" spans="1:24" x14ac:dyDescent="0.25">
      <c r="A5196" s="1" t="str">
        <f t="shared" si="1691"/>
        <v>卡卡杜-凤凰仓</v>
      </c>
      <c r="B5196" s="1" t="str">
        <f>"CK2024102018016"</f>
        <v>CK2024102018016</v>
      </c>
      <c r="C5196" s="1" t="str">
        <f>"DD2024102025244"</f>
        <v>DD2024102025244</v>
      </c>
      <c r="D5196" s="1" t="str">
        <f>"CK2024102025312"</f>
        <v>CK2024102025312</v>
      </c>
      <c r="E5196" s="1" t="str">
        <f>"2429401848843241"</f>
        <v>2429401848843241</v>
      </c>
      <c r="F5196" s="1" t="str">
        <f t="shared" si="1692"/>
        <v>花都四部-凤凰仓</v>
      </c>
      <c r="G5196" s="1" t="str">
        <f t="shared" si="1673"/>
        <v>卡卡杜佳旺专卖店（快手店）</v>
      </c>
      <c r="H5196" s="1" t="str">
        <f t="shared" si="1693"/>
        <v>正常订单</v>
      </c>
      <c r="I5196" s="1" t="str">
        <f t="shared" si="1694"/>
        <v>已发货</v>
      </c>
      <c r="J5196" s="1" t="str">
        <f t="shared" ref="J5196:J5204" si="1697">"3"</f>
        <v>3</v>
      </c>
      <c r="K5196" s="1">
        <v>2</v>
      </c>
      <c r="L5196" s="1" t="s">
        <v>80</v>
      </c>
      <c r="M5196" s="1" t="str">
        <f>"河南省 郑州市 中牟县 黄店镇"</f>
        <v>河南省 郑州市 中牟县 黄店镇</v>
      </c>
      <c r="N5196" s="1" t="str">
        <f t="shared" si="1674"/>
        <v>凡华云仓-城南圆通-快手</v>
      </c>
      <c r="O5196" s="5" t="s">
        <v>5220</v>
      </c>
      <c r="P5196" s="6">
        <v>0.35</v>
      </c>
      <c r="Q5196" s="11">
        <v>2.2999999999999998</v>
      </c>
      <c r="R5196" s="11"/>
      <c r="S5196" s="11"/>
      <c r="T5196" s="11"/>
      <c r="U5196" s="11">
        <f t="shared" si="1690"/>
        <v>2.2999999999999998</v>
      </c>
      <c r="W5196">
        <v>2.5</v>
      </c>
      <c r="X5196" s="1" t="s">
        <v>80</v>
      </c>
    </row>
    <row r="5197" spans="1:24" x14ac:dyDescent="0.25">
      <c r="A5197" s="1" t="str">
        <f t="shared" si="1691"/>
        <v>卡卡杜-凤凰仓</v>
      </c>
      <c r="B5197" s="1" t="str">
        <f>"CK2024102018017"</f>
        <v>CK2024102018017</v>
      </c>
      <c r="C5197" s="1" t="str">
        <f>"DD2024102025249"</f>
        <v>DD2024102025249</v>
      </c>
      <c r="D5197" s="1" t="str">
        <f>"CK2024102025311"</f>
        <v>CK2024102025311</v>
      </c>
      <c r="E5197" s="1" t="str">
        <f>"2429401608048121"</f>
        <v>2429401608048121</v>
      </c>
      <c r="F5197" s="1" t="str">
        <f t="shared" si="1692"/>
        <v>花都四部-凤凰仓</v>
      </c>
      <c r="G5197" s="1" t="str">
        <f t="shared" si="1673"/>
        <v>卡卡杜佳旺专卖店（快手店）</v>
      </c>
      <c r="H5197" s="1" t="str">
        <f t="shared" si="1693"/>
        <v>正常订单</v>
      </c>
      <c r="I5197" s="1" t="str">
        <f t="shared" si="1694"/>
        <v>已发货</v>
      </c>
      <c r="J5197" s="1" t="str">
        <f t="shared" si="1697"/>
        <v>3</v>
      </c>
      <c r="K5197" s="1">
        <v>2</v>
      </c>
      <c r="L5197" s="1" t="s">
        <v>13</v>
      </c>
      <c r="M5197" s="1" t="str">
        <f>"江苏省 苏州市 吴江区 江陵街道"</f>
        <v>江苏省 苏州市 吴江区 江陵街道</v>
      </c>
      <c r="N5197" s="1" t="str">
        <f t="shared" si="1674"/>
        <v>凡华云仓-城南圆通-快手</v>
      </c>
      <c r="O5197" s="5" t="s">
        <v>5221</v>
      </c>
      <c r="P5197" s="6">
        <v>0.35</v>
      </c>
      <c r="Q5197" s="11">
        <v>2.2999999999999998</v>
      </c>
      <c r="R5197" s="11"/>
      <c r="S5197" s="11"/>
      <c r="T5197" s="11"/>
      <c r="U5197" s="11">
        <f t="shared" si="1690"/>
        <v>2.2999999999999998</v>
      </c>
      <c r="W5197">
        <v>2.5</v>
      </c>
      <c r="X5197" s="1" t="s">
        <v>13</v>
      </c>
    </row>
    <row r="5198" spans="1:24" x14ac:dyDescent="0.25">
      <c r="A5198" s="1" t="str">
        <f t="shared" si="1691"/>
        <v>卡卡杜-凤凰仓</v>
      </c>
      <c r="B5198" s="1" t="str">
        <f>"CK2024102018018"</f>
        <v>CK2024102018018</v>
      </c>
      <c r="C5198" s="1" t="str">
        <f>"DD2024102025248"</f>
        <v>DD2024102025248</v>
      </c>
      <c r="D5198" s="1" t="str">
        <f>"CK2024102025310"</f>
        <v>CK2024102025310</v>
      </c>
      <c r="E5198" s="1" t="str">
        <f>"2429402006424880"</f>
        <v>2429402006424880</v>
      </c>
      <c r="F5198" s="1" t="str">
        <f t="shared" si="1692"/>
        <v>花都四部-凤凰仓</v>
      </c>
      <c r="G5198" s="1" t="str">
        <f t="shared" si="1673"/>
        <v>卡卡杜佳旺专卖店（快手店）</v>
      </c>
      <c r="H5198" s="1" t="str">
        <f t="shared" si="1693"/>
        <v>正常订单</v>
      </c>
      <c r="I5198" s="1" t="str">
        <f t="shared" si="1694"/>
        <v>已发货</v>
      </c>
      <c r="J5198" s="1" t="str">
        <f t="shared" si="1697"/>
        <v>3</v>
      </c>
      <c r="K5198" s="1">
        <v>2</v>
      </c>
      <c r="L5198" s="1" t="s">
        <v>20</v>
      </c>
      <c r="M5198" s="1" t="str">
        <f>"浙江省 宁波市 余姚市 梁弄镇"</f>
        <v>浙江省 宁波市 余姚市 梁弄镇</v>
      </c>
      <c r="N5198" s="1" t="str">
        <f t="shared" si="1674"/>
        <v>凡华云仓-城南圆通-快手</v>
      </c>
      <c r="O5198" s="5" t="s">
        <v>5222</v>
      </c>
      <c r="P5198" s="6">
        <v>0.35</v>
      </c>
      <c r="Q5198" s="11">
        <v>2.2999999999999998</v>
      </c>
      <c r="R5198" s="11"/>
      <c r="S5198" s="11"/>
      <c r="T5198" s="11"/>
      <c r="U5198" s="11">
        <f t="shared" si="1690"/>
        <v>2.2999999999999998</v>
      </c>
      <c r="W5198">
        <v>2.5</v>
      </c>
      <c r="X5198" s="1" t="s">
        <v>20</v>
      </c>
    </row>
    <row r="5199" spans="1:24" x14ac:dyDescent="0.25">
      <c r="A5199" s="1" t="str">
        <f t="shared" si="1691"/>
        <v>卡卡杜-凤凰仓</v>
      </c>
      <c r="B5199" s="1" t="str">
        <f>"CK2024102018019"</f>
        <v>CK2024102018019</v>
      </c>
      <c r="C5199" s="1" t="str">
        <f>"DD2024102025251"</f>
        <v>DD2024102025251</v>
      </c>
      <c r="D5199" s="1" t="str">
        <f>"CK2024102025309"</f>
        <v>CK2024102025309</v>
      </c>
      <c r="E5199" s="1" t="str">
        <f>"2429401849626197"</f>
        <v>2429401849626197</v>
      </c>
      <c r="F5199" s="1" t="str">
        <f t="shared" si="1692"/>
        <v>花都四部-凤凰仓</v>
      </c>
      <c r="G5199" s="1" t="str">
        <f t="shared" si="1673"/>
        <v>卡卡杜佳旺专卖店（快手店）</v>
      </c>
      <c r="H5199" s="1" t="str">
        <f t="shared" si="1693"/>
        <v>正常订单</v>
      </c>
      <c r="I5199" s="1" t="str">
        <f t="shared" si="1694"/>
        <v>已发货</v>
      </c>
      <c r="J5199" s="1" t="str">
        <f t="shared" si="1697"/>
        <v>3</v>
      </c>
      <c r="K5199" s="1">
        <v>2</v>
      </c>
      <c r="L5199" s="1" t="s">
        <v>20</v>
      </c>
      <c r="M5199" s="1" t="str">
        <f>"浙江省 嘉兴市 海宁市 海昌街道"</f>
        <v>浙江省 嘉兴市 海宁市 海昌街道</v>
      </c>
      <c r="N5199" s="1" t="str">
        <f t="shared" si="1674"/>
        <v>凡华云仓-城南圆通-快手</v>
      </c>
      <c r="O5199" s="5" t="s">
        <v>5223</v>
      </c>
      <c r="P5199" s="6">
        <v>0.35</v>
      </c>
      <c r="Q5199" s="11">
        <v>2.2999999999999998</v>
      </c>
      <c r="R5199" s="11"/>
      <c r="S5199" s="11"/>
      <c r="T5199" s="11"/>
      <c r="U5199" s="11">
        <f t="shared" si="1690"/>
        <v>2.2999999999999998</v>
      </c>
      <c r="W5199">
        <v>2.5</v>
      </c>
      <c r="X5199" s="1" t="s">
        <v>20</v>
      </c>
    </row>
    <row r="5200" spans="1:24" x14ac:dyDescent="0.25">
      <c r="A5200" s="1" t="str">
        <f t="shared" si="1691"/>
        <v>卡卡杜-凤凰仓</v>
      </c>
      <c r="B5200" s="1" t="str">
        <f>"CK2024102018020"</f>
        <v>CK2024102018020</v>
      </c>
      <c r="C5200" s="1" t="str">
        <f>"DD2024102025250"</f>
        <v>DD2024102025250</v>
      </c>
      <c r="D5200" s="1" t="str">
        <f>"CK2024102025308"</f>
        <v>CK2024102025308</v>
      </c>
      <c r="E5200" s="1" t="str">
        <f>"2429402001657161"</f>
        <v>2429402001657161</v>
      </c>
      <c r="F5200" s="1" t="str">
        <f t="shared" si="1692"/>
        <v>花都四部-凤凰仓</v>
      </c>
      <c r="G5200" s="1" t="str">
        <f t="shared" si="1673"/>
        <v>卡卡杜佳旺专卖店（快手店）</v>
      </c>
      <c r="H5200" s="1" t="str">
        <f t="shared" si="1693"/>
        <v>正常订单</v>
      </c>
      <c r="I5200" s="1" t="str">
        <f t="shared" si="1694"/>
        <v>已发货</v>
      </c>
      <c r="J5200" s="1" t="str">
        <f t="shared" si="1697"/>
        <v>3</v>
      </c>
      <c r="K5200" s="1">
        <v>2</v>
      </c>
      <c r="L5200" s="1" t="s">
        <v>80</v>
      </c>
      <c r="M5200" s="1" t="str">
        <f>"河南省 洛阳市 洛龙区 科技园街道"</f>
        <v>河南省 洛阳市 洛龙区 科技园街道</v>
      </c>
      <c r="N5200" s="1" t="str">
        <f t="shared" si="1674"/>
        <v>凡华云仓-城南圆通-快手</v>
      </c>
      <c r="O5200" s="5" t="s">
        <v>5224</v>
      </c>
      <c r="P5200" s="6">
        <v>0.35</v>
      </c>
      <c r="Q5200" s="11">
        <v>2.2999999999999998</v>
      </c>
      <c r="R5200" s="11"/>
      <c r="S5200" s="11"/>
      <c r="T5200" s="11"/>
      <c r="U5200" s="11">
        <f t="shared" si="1690"/>
        <v>2.2999999999999998</v>
      </c>
      <c r="W5200">
        <v>2.5</v>
      </c>
      <c r="X5200" s="1" t="s">
        <v>80</v>
      </c>
    </row>
    <row r="5201" spans="1:24" x14ac:dyDescent="0.25">
      <c r="A5201" s="1" t="str">
        <f t="shared" si="1691"/>
        <v>卡卡杜-凤凰仓</v>
      </c>
      <c r="B5201" s="1" t="str">
        <f>"CK2024102018021"</f>
        <v>CK2024102018021</v>
      </c>
      <c r="C5201" s="1" t="str">
        <f>"DD2024102025252"</f>
        <v>DD2024102025252</v>
      </c>
      <c r="D5201" s="1" t="str">
        <f>"CK2024102025307"</f>
        <v>CK2024102025307</v>
      </c>
      <c r="E5201" s="1" t="str">
        <f>"2429401610507423"</f>
        <v>2429401610507423</v>
      </c>
      <c r="F5201" s="1" t="str">
        <f t="shared" si="1692"/>
        <v>花都四部-凤凰仓</v>
      </c>
      <c r="G5201" s="1" t="str">
        <f t="shared" si="1673"/>
        <v>卡卡杜佳旺专卖店（快手店）</v>
      </c>
      <c r="H5201" s="1" t="str">
        <f t="shared" si="1693"/>
        <v>正常订单</v>
      </c>
      <c r="I5201" s="1" t="str">
        <f t="shared" si="1694"/>
        <v>已发货</v>
      </c>
      <c r="J5201" s="1" t="str">
        <f t="shared" si="1697"/>
        <v>3</v>
      </c>
      <c r="K5201" s="1">
        <v>2</v>
      </c>
      <c r="L5201" s="1" t="s">
        <v>13</v>
      </c>
      <c r="M5201" s="1" t="str">
        <f>"江苏省 泰州市 高港区 口岸街道"</f>
        <v>江苏省 泰州市 高港区 口岸街道</v>
      </c>
      <c r="N5201" s="1" t="str">
        <f t="shared" si="1674"/>
        <v>凡华云仓-城南圆通-快手</v>
      </c>
      <c r="O5201" s="5" t="s">
        <v>5225</v>
      </c>
      <c r="P5201" s="6">
        <v>0.35</v>
      </c>
      <c r="Q5201" s="11">
        <v>2.2999999999999998</v>
      </c>
      <c r="R5201" s="11"/>
      <c r="S5201" s="11"/>
      <c r="T5201" s="11"/>
      <c r="U5201" s="11">
        <f t="shared" si="1690"/>
        <v>2.2999999999999998</v>
      </c>
      <c r="W5201">
        <v>2.5</v>
      </c>
      <c r="X5201" s="1" t="s">
        <v>13</v>
      </c>
    </row>
    <row r="5202" spans="1:24" x14ac:dyDescent="0.25">
      <c r="A5202" s="1" t="str">
        <f t="shared" si="1691"/>
        <v>卡卡杜-凤凰仓</v>
      </c>
      <c r="B5202" s="1" t="str">
        <f>"CK2024102018022"</f>
        <v>CK2024102018022</v>
      </c>
      <c r="C5202" s="1" t="str">
        <f>"DD2024102025255"</f>
        <v>DD2024102025255</v>
      </c>
      <c r="D5202" s="1" t="str">
        <f>"CK2024102025306"</f>
        <v>CK2024102025306</v>
      </c>
      <c r="E5202" s="1" t="str">
        <f>"2429401931234470"</f>
        <v>2429401931234470</v>
      </c>
      <c r="F5202" s="1" t="str">
        <f t="shared" si="1692"/>
        <v>花都四部-凤凰仓</v>
      </c>
      <c r="G5202" s="1" t="str">
        <f t="shared" si="1673"/>
        <v>卡卡杜佳旺专卖店（快手店）</v>
      </c>
      <c r="H5202" s="1" t="str">
        <f t="shared" si="1693"/>
        <v>正常订单</v>
      </c>
      <c r="I5202" s="1" t="str">
        <f t="shared" si="1694"/>
        <v>已发货</v>
      </c>
      <c r="J5202" s="1" t="str">
        <f t="shared" si="1697"/>
        <v>3</v>
      </c>
      <c r="K5202" s="1">
        <v>2</v>
      </c>
      <c r="L5202" s="1" t="s">
        <v>18</v>
      </c>
      <c r="M5202" s="1" t="str">
        <f>"广东省 深圳市 宝安区 新桥街道"</f>
        <v>广东省 深圳市 宝安区 新桥街道</v>
      </c>
      <c r="N5202" s="1" t="str">
        <f t="shared" si="1674"/>
        <v>凡华云仓-城南圆通-快手</v>
      </c>
      <c r="O5202" s="5" t="s">
        <v>5226</v>
      </c>
      <c r="P5202" s="6">
        <v>0.35</v>
      </c>
      <c r="Q5202" s="11">
        <v>2.2999999999999998</v>
      </c>
      <c r="R5202" s="11"/>
      <c r="S5202" s="11"/>
      <c r="T5202" s="11"/>
      <c r="U5202" s="11">
        <f t="shared" si="1690"/>
        <v>2.2999999999999998</v>
      </c>
      <c r="W5202">
        <v>2.5</v>
      </c>
      <c r="X5202" s="1" t="s">
        <v>18</v>
      </c>
    </row>
    <row r="5203" spans="1:24" x14ac:dyDescent="0.25">
      <c r="A5203" s="1" t="str">
        <f t="shared" si="1691"/>
        <v>卡卡杜-凤凰仓</v>
      </c>
      <c r="B5203" s="1" t="str">
        <f>"CK2024102018023"</f>
        <v>CK2024102018023</v>
      </c>
      <c r="C5203" s="1" t="str">
        <f>"DD2024102025254"</f>
        <v>DD2024102025254</v>
      </c>
      <c r="D5203" s="1" t="str">
        <f>"CK2024102025305"</f>
        <v>CK2024102025305</v>
      </c>
      <c r="E5203" s="1" t="str">
        <f>"2429401842433482"</f>
        <v>2429401842433482</v>
      </c>
      <c r="F5203" s="1" t="str">
        <f t="shared" si="1692"/>
        <v>花都四部-凤凰仓</v>
      </c>
      <c r="G5203" s="1" t="str">
        <f t="shared" si="1673"/>
        <v>卡卡杜佳旺专卖店（快手店）</v>
      </c>
      <c r="H5203" s="1" t="str">
        <f t="shared" si="1693"/>
        <v>正常订单</v>
      </c>
      <c r="I5203" s="1" t="str">
        <f t="shared" si="1694"/>
        <v>已发货</v>
      </c>
      <c r="J5203" s="1" t="str">
        <f t="shared" si="1697"/>
        <v>3</v>
      </c>
      <c r="K5203" s="1">
        <v>2</v>
      </c>
      <c r="L5203" s="1" t="s">
        <v>24</v>
      </c>
      <c r="M5203" s="1" t="str">
        <f>"福建省 宁德市 福安市 阳头街道"</f>
        <v>福建省 宁德市 福安市 阳头街道</v>
      </c>
      <c r="N5203" s="1" t="str">
        <f t="shared" si="1674"/>
        <v>凡华云仓-城南圆通-快手</v>
      </c>
      <c r="O5203" s="5" t="s">
        <v>5227</v>
      </c>
      <c r="P5203" s="6">
        <v>0.35</v>
      </c>
      <c r="Q5203" s="11">
        <v>2.2999999999999998</v>
      </c>
      <c r="R5203" s="11"/>
      <c r="S5203" s="11"/>
      <c r="T5203" s="11"/>
      <c r="U5203" s="11">
        <f t="shared" si="1690"/>
        <v>2.2999999999999998</v>
      </c>
      <c r="W5203">
        <v>2.5</v>
      </c>
      <c r="X5203" s="1" t="s">
        <v>24</v>
      </c>
    </row>
    <row r="5204" spans="1:24" x14ac:dyDescent="0.25">
      <c r="A5204" s="1" t="str">
        <f t="shared" si="1691"/>
        <v>卡卡杜-凤凰仓</v>
      </c>
      <c r="B5204" s="1" t="str">
        <f>"CK2024102018024"</f>
        <v>CK2024102018024</v>
      </c>
      <c r="C5204" s="1" t="str">
        <f>"DD2024102025256"</f>
        <v>DD2024102025256</v>
      </c>
      <c r="D5204" s="1" t="str">
        <f>"CK2024102025304"</f>
        <v>CK2024102025304</v>
      </c>
      <c r="E5204" s="1" t="str">
        <f>"2429401770417000"</f>
        <v>2429401770417000</v>
      </c>
      <c r="F5204" s="1" t="str">
        <f t="shared" si="1692"/>
        <v>花都四部-凤凰仓</v>
      </c>
      <c r="G5204" s="1" t="str">
        <f t="shared" si="1673"/>
        <v>卡卡杜佳旺专卖店（快手店）</v>
      </c>
      <c r="H5204" s="1" t="str">
        <f t="shared" si="1693"/>
        <v>正常订单</v>
      </c>
      <c r="I5204" s="1" t="str">
        <f t="shared" si="1694"/>
        <v>已发货</v>
      </c>
      <c r="J5204" s="1" t="str">
        <f t="shared" si="1697"/>
        <v>3</v>
      </c>
      <c r="K5204" s="1">
        <v>2</v>
      </c>
      <c r="L5204" s="1" t="s">
        <v>20</v>
      </c>
      <c r="M5204" s="1" t="str">
        <f>"浙江省 温州市 温州经济技术开发区 星海街道"</f>
        <v>浙江省 温州市 温州经济技术开发区 星海街道</v>
      </c>
      <c r="N5204" s="1" t="str">
        <f t="shared" si="1674"/>
        <v>凡华云仓-城南圆通-快手</v>
      </c>
      <c r="O5204" s="5" t="s">
        <v>5228</v>
      </c>
      <c r="P5204" s="6">
        <v>0.35</v>
      </c>
      <c r="Q5204" s="11">
        <v>2.2999999999999998</v>
      </c>
      <c r="R5204" s="11"/>
      <c r="S5204" s="11"/>
      <c r="T5204" s="11"/>
      <c r="U5204" s="11">
        <f t="shared" si="1690"/>
        <v>2.2999999999999998</v>
      </c>
      <c r="W5204">
        <v>2.5</v>
      </c>
      <c r="X5204" s="1" t="s">
        <v>20</v>
      </c>
    </row>
    <row r="5205" spans="1:24" x14ac:dyDescent="0.25">
      <c r="A5205" s="1" t="str">
        <f t="shared" si="1691"/>
        <v>卡卡杜-凤凰仓</v>
      </c>
      <c r="B5205" s="1" t="str">
        <f>"CK2024102018026"</f>
        <v>CK2024102018026</v>
      </c>
      <c r="C5205" s="1" t="str">
        <f>"DD2024102025257"</f>
        <v>DD2024102025257</v>
      </c>
      <c r="D5205" s="1" t="str">
        <f>"CK2024102025303"</f>
        <v>CK2024102025303</v>
      </c>
      <c r="E5205" s="1" t="str">
        <f>"2429402004027775"</f>
        <v>2429402004027775</v>
      </c>
      <c r="F5205" s="1" t="str">
        <f t="shared" si="1692"/>
        <v>花都四部-凤凰仓</v>
      </c>
      <c r="G5205" s="1" t="str">
        <f t="shared" si="1673"/>
        <v>卡卡杜佳旺专卖店（快手店）</v>
      </c>
      <c r="H5205" s="1" t="str">
        <f t="shared" si="1693"/>
        <v>正常订单</v>
      </c>
      <c r="I5205" s="1" t="str">
        <f t="shared" si="1694"/>
        <v>已发货</v>
      </c>
      <c r="J5205" s="1" t="str">
        <f>"5"</f>
        <v>5</v>
      </c>
      <c r="K5205" s="1">
        <v>2</v>
      </c>
      <c r="L5205" s="1" t="s">
        <v>13</v>
      </c>
      <c r="M5205" s="1" t="str">
        <f>"江苏省 南京市 鼓楼区 凤凰街道"</f>
        <v>江苏省 南京市 鼓楼区 凤凰街道</v>
      </c>
      <c r="N5205" s="1" t="str">
        <f t="shared" si="1674"/>
        <v>凡华云仓-城南圆通-快手</v>
      </c>
      <c r="O5205" s="5" t="s">
        <v>5229</v>
      </c>
      <c r="P5205" s="6">
        <v>0.59</v>
      </c>
      <c r="Q5205" s="11">
        <f>CEILING(P5205-0.5,0.1)*10*0.15+2.3</f>
        <v>2.4499999999999997</v>
      </c>
      <c r="R5205" s="11"/>
      <c r="S5205" s="11"/>
      <c r="T5205" s="11"/>
      <c r="U5205" s="11">
        <f t="shared" si="1690"/>
        <v>2.4499999999999997</v>
      </c>
      <c r="V5205" t="s">
        <v>15</v>
      </c>
      <c r="W5205">
        <v>2.4500000000000002</v>
      </c>
      <c r="X5205" s="1" t="s">
        <v>13</v>
      </c>
    </row>
    <row r="5206" spans="1:24" x14ac:dyDescent="0.25">
      <c r="A5206" s="1" t="str">
        <f t="shared" si="1691"/>
        <v>卡卡杜-凤凰仓</v>
      </c>
      <c r="B5206" s="1" t="str">
        <f>"CK2024102018028"</f>
        <v>CK2024102018028</v>
      </c>
      <c r="C5206" s="1" t="str">
        <f>"DD2024102025258"</f>
        <v>DD2024102025258</v>
      </c>
      <c r="D5206" s="1" t="str">
        <f>"CK2024102025302"</f>
        <v>CK2024102025302</v>
      </c>
      <c r="E5206" s="1" t="str">
        <f>"2429402002451681"</f>
        <v>2429402002451681</v>
      </c>
      <c r="F5206" s="1" t="str">
        <f t="shared" si="1692"/>
        <v>花都四部-凤凰仓</v>
      </c>
      <c r="G5206" s="1" t="str">
        <f t="shared" si="1673"/>
        <v>卡卡杜佳旺专卖店（快手店）</v>
      </c>
      <c r="H5206" s="1" t="str">
        <f t="shared" si="1693"/>
        <v>正常订单</v>
      </c>
      <c r="I5206" s="1" t="str">
        <f t="shared" si="1694"/>
        <v>已发货</v>
      </c>
      <c r="J5206" s="1" t="str">
        <f t="shared" ref="J5206:J5208" si="1698">"3"</f>
        <v>3</v>
      </c>
      <c r="K5206" s="1">
        <v>2</v>
      </c>
      <c r="L5206" s="1" t="s">
        <v>161</v>
      </c>
      <c r="M5206" s="1" t="str">
        <f>"四川省 成都市 武侯区 火车南站街道"</f>
        <v>四川省 成都市 武侯区 火车南站街道</v>
      </c>
      <c r="N5206" s="1" t="str">
        <f t="shared" si="1674"/>
        <v>凡华云仓-城南圆通-快手</v>
      </c>
      <c r="O5206" s="5" t="s">
        <v>5230</v>
      </c>
      <c r="P5206" s="6">
        <v>0.35</v>
      </c>
      <c r="Q5206" s="11">
        <v>2.2999999999999998</v>
      </c>
      <c r="R5206" s="11"/>
      <c r="S5206" s="11"/>
      <c r="T5206" s="11"/>
      <c r="U5206" s="11">
        <f t="shared" si="1690"/>
        <v>2.2999999999999998</v>
      </c>
      <c r="W5206">
        <v>2.5</v>
      </c>
      <c r="X5206" s="1" t="s">
        <v>161</v>
      </c>
    </row>
    <row r="5207" spans="1:24" x14ac:dyDescent="0.25">
      <c r="A5207" s="1" t="str">
        <f t="shared" si="1691"/>
        <v>卡卡杜-凤凰仓</v>
      </c>
      <c r="B5207" s="1" t="str">
        <f>"CK2024102018043"</f>
        <v>CK2024102018043</v>
      </c>
      <c r="C5207" s="1" t="str">
        <f>"DD2024102025274"</f>
        <v>DD2024102025274</v>
      </c>
      <c r="D5207" s="1" t="str">
        <f>"CK2024102025301"</f>
        <v>CK2024102025301</v>
      </c>
      <c r="E5207" s="1" t="str">
        <f>"2429402164811944"</f>
        <v>2429402164811944</v>
      </c>
      <c r="F5207" s="1" t="str">
        <f t="shared" si="1692"/>
        <v>花都四部-凤凰仓</v>
      </c>
      <c r="G5207" s="1" t="str">
        <f t="shared" si="1673"/>
        <v>卡卡杜佳旺专卖店（快手店）</v>
      </c>
      <c r="H5207" s="1" t="str">
        <f t="shared" si="1693"/>
        <v>正常订单</v>
      </c>
      <c r="I5207" s="1" t="str">
        <f t="shared" si="1694"/>
        <v>已发货</v>
      </c>
      <c r="J5207" s="1" t="str">
        <f t="shared" si="1698"/>
        <v>3</v>
      </c>
      <c r="K5207" s="1">
        <v>2</v>
      </c>
      <c r="L5207" s="1" t="s">
        <v>18</v>
      </c>
      <c r="M5207" s="1" t="str">
        <f>"广东省 惠州市 惠阳区 秋长街道"</f>
        <v>广东省 惠州市 惠阳区 秋长街道</v>
      </c>
      <c r="N5207" s="1" t="str">
        <f t="shared" si="1674"/>
        <v>凡华云仓-城南圆通-快手</v>
      </c>
      <c r="O5207" s="5" t="s">
        <v>5231</v>
      </c>
      <c r="P5207" s="6">
        <v>0.35</v>
      </c>
      <c r="Q5207" s="11">
        <v>2.2999999999999998</v>
      </c>
      <c r="R5207" s="11"/>
      <c r="S5207" s="11"/>
      <c r="T5207" s="11"/>
      <c r="U5207" s="11">
        <f t="shared" si="1690"/>
        <v>2.2999999999999998</v>
      </c>
      <c r="W5207">
        <v>2.5</v>
      </c>
      <c r="X5207" s="1" t="s">
        <v>18</v>
      </c>
    </row>
    <row r="5208" spans="1:24" x14ac:dyDescent="0.25">
      <c r="A5208" s="1" t="str">
        <f t="shared" si="1691"/>
        <v>卡卡杜-凤凰仓</v>
      </c>
      <c r="B5208" s="1" t="str">
        <f>"CK2024102018095"</f>
        <v>CK2024102018095</v>
      </c>
      <c r="C5208" s="1" t="str">
        <f>"DD2024102025328"</f>
        <v>DD2024102025328</v>
      </c>
      <c r="D5208" s="1" t="str">
        <f>"CK2024102025300"</f>
        <v>CK2024102025300</v>
      </c>
      <c r="E5208" s="1" t="str">
        <f>"2429402012810187"</f>
        <v>2429402012810187</v>
      </c>
      <c r="F5208" s="1" t="str">
        <f t="shared" si="1692"/>
        <v>花都四部-凤凰仓</v>
      </c>
      <c r="G5208" s="1" t="str">
        <f t="shared" si="1673"/>
        <v>卡卡杜佳旺专卖店（快手店）</v>
      </c>
      <c r="H5208" s="1" t="str">
        <f t="shared" si="1693"/>
        <v>正常订单</v>
      </c>
      <c r="I5208" s="1" t="str">
        <f t="shared" si="1694"/>
        <v>已发货</v>
      </c>
      <c r="J5208" s="1" t="str">
        <f t="shared" si="1698"/>
        <v>3</v>
      </c>
      <c r="K5208" s="1">
        <v>2</v>
      </c>
      <c r="L5208" s="1" t="s">
        <v>18</v>
      </c>
      <c r="M5208" s="1" t="str">
        <f>"广东省 深圳市 宝安区 福海街道"</f>
        <v>广东省 深圳市 宝安区 福海街道</v>
      </c>
      <c r="N5208" s="1" t="str">
        <f t="shared" si="1674"/>
        <v>凡华云仓-城南圆通-快手</v>
      </c>
      <c r="O5208" s="5" t="s">
        <v>5232</v>
      </c>
      <c r="P5208" s="6">
        <v>0.35</v>
      </c>
      <c r="Q5208" s="11">
        <v>2.2999999999999998</v>
      </c>
      <c r="R5208" s="11"/>
      <c r="S5208" s="11"/>
      <c r="T5208" s="11"/>
      <c r="U5208" s="11">
        <f t="shared" si="1690"/>
        <v>2.2999999999999998</v>
      </c>
      <c r="W5208">
        <v>2.5</v>
      </c>
      <c r="X5208" s="1" t="s">
        <v>18</v>
      </c>
    </row>
    <row r="5209" spans="1:24" x14ac:dyDescent="0.25">
      <c r="A5209" s="1" t="str">
        <f t="shared" si="1691"/>
        <v>卡卡杜-凤凰仓</v>
      </c>
      <c r="B5209" s="1" t="str">
        <f>"CK2024102018098"</f>
        <v>CK2024102018098</v>
      </c>
      <c r="C5209" s="1" t="str">
        <f>"DD2024102025327"</f>
        <v>DD2024102025327</v>
      </c>
      <c r="D5209" s="1" t="str">
        <f>"CK2024102025299"</f>
        <v>CK2024102025299</v>
      </c>
      <c r="E5209" s="1" t="str">
        <f>"2429302253986020"</f>
        <v>2429302253986020</v>
      </c>
      <c r="F5209" s="1" t="str">
        <f t="shared" si="1692"/>
        <v>花都四部-凤凰仓</v>
      </c>
      <c r="G5209" s="1" t="str">
        <f t="shared" si="1673"/>
        <v>卡卡杜佳旺专卖店（快手店）</v>
      </c>
      <c r="H5209" s="1" t="str">
        <f t="shared" si="1693"/>
        <v>正常订单</v>
      </c>
      <c r="I5209" s="1" t="str">
        <f t="shared" si="1694"/>
        <v>已发货</v>
      </c>
      <c r="J5209" s="1" t="str">
        <f>"5"</f>
        <v>5</v>
      </c>
      <c r="K5209" s="1">
        <v>2</v>
      </c>
      <c r="L5209" s="1" t="s">
        <v>36</v>
      </c>
      <c r="M5209" s="1" t="str">
        <f>"安徽省 蚌埠市 怀远县 榴城镇"</f>
        <v>安徽省 蚌埠市 怀远县 榴城镇</v>
      </c>
      <c r="N5209" s="1" t="str">
        <f t="shared" si="1674"/>
        <v>凡华云仓-城南圆通-快手</v>
      </c>
      <c r="O5209" s="5" t="s">
        <v>5233</v>
      </c>
      <c r="P5209" s="6">
        <v>0.59</v>
      </c>
      <c r="Q5209" s="11">
        <f>CEILING(P5209-0.5,0.1)*10*0.15+2.3</f>
        <v>2.4499999999999997</v>
      </c>
      <c r="R5209" s="11"/>
      <c r="S5209" s="11"/>
      <c r="T5209" s="11"/>
      <c r="U5209" s="11">
        <f t="shared" si="1690"/>
        <v>2.4499999999999997</v>
      </c>
      <c r="V5209" t="s">
        <v>15</v>
      </c>
      <c r="W5209">
        <v>2.4500000000000002</v>
      </c>
      <c r="X5209" s="1" t="s">
        <v>36</v>
      </c>
    </row>
    <row r="5210" spans="1:24" x14ac:dyDescent="0.25">
      <c r="A5210" s="1" t="str">
        <f t="shared" si="1691"/>
        <v>卡卡杜-凤凰仓</v>
      </c>
      <c r="B5210" s="1" t="str">
        <f>"CK2024102018102"</f>
        <v>CK2024102018102</v>
      </c>
      <c r="C5210" s="1" t="str">
        <f>"DD2024102025335"</f>
        <v>DD2024102025335</v>
      </c>
      <c r="D5210" s="1" t="str">
        <f>"CK2024102025298"</f>
        <v>CK2024102025298</v>
      </c>
      <c r="E5210" s="1" t="str">
        <f>"2429301997731271"</f>
        <v>2429301997731271</v>
      </c>
      <c r="F5210" s="1" t="str">
        <f t="shared" si="1692"/>
        <v>花都四部-凤凰仓</v>
      </c>
      <c r="G5210" s="1" t="str">
        <f t="shared" si="1673"/>
        <v>卡卡杜佳旺专卖店（快手店）</v>
      </c>
      <c r="H5210" s="1" t="str">
        <f t="shared" si="1693"/>
        <v>正常订单</v>
      </c>
      <c r="I5210" s="1" t="str">
        <f t="shared" si="1694"/>
        <v>已发货</v>
      </c>
      <c r="J5210" s="1" t="str">
        <f t="shared" ref="J5210:J5215" si="1699">"3"</f>
        <v>3</v>
      </c>
      <c r="K5210" s="1">
        <v>2</v>
      </c>
      <c r="L5210" s="1" t="s">
        <v>710</v>
      </c>
      <c r="M5210" s="1" t="str">
        <f>"上海市 上海市 虹口区 北外滩街道"</f>
        <v>上海市 上海市 虹口区 北外滩街道</v>
      </c>
      <c r="N5210" s="1" t="str">
        <f t="shared" si="1674"/>
        <v>凡华云仓-城南圆通-快手</v>
      </c>
      <c r="O5210" s="5" t="s">
        <v>5234</v>
      </c>
      <c r="P5210" s="6">
        <v>0.35</v>
      </c>
      <c r="Q5210" s="11">
        <v>2.2999999999999998</v>
      </c>
      <c r="R5210" s="11"/>
      <c r="S5210" s="11"/>
      <c r="T5210" s="11"/>
      <c r="U5210" s="11">
        <f t="shared" si="1690"/>
        <v>2.2999999999999998</v>
      </c>
      <c r="W5210">
        <v>2.5</v>
      </c>
      <c r="X5210" s="1" t="s">
        <v>710</v>
      </c>
    </row>
    <row r="5211" spans="1:24" x14ac:dyDescent="0.25">
      <c r="A5211" s="1" t="str">
        <f t="shared" si="1691"/>
        <v>卡卡杜-凤凰仓</v>
      </c>
      <c r="B5211" s="1" t="str">
        <f>"CK2024102018103"</f>
        <v>CK2024102018103</v>
      </c>
      <c r="C5211" s="1" t="str">
        <f>"DD2024102025332"</f>
        <v>DD2024102025332</v>
      </c>
      <c r="D5211" s="1" t="str">
        <f>"CK2024102025297"</f>
        <v>CK2024102025297</v>
      </c>
      <c r="E5211" s="1" t="str">
        <f>"2429302153083093"</f>
        <v>2429302153083093</v>
      </c>
      <c r="F5211" s="1" t="str">
        <f t="shared" si="1692"/>
        <v>花都四部-凤凰仓</v>
      </c>
      <c r="G5211" s="1" t="str">
        <f t="shared" ref="G5211:G5267" si="1700">"卡卡杜佳旺专卖店（快手店）"</f>
        <v>卡卡杜佳旺专卖店（快手店）</v>
      </c>
      <c r="H5211" s="1" t="str">
        <f t="shared" si="1693"/>
        <v>正常订单</v>
      </c>
      <c r="I5211" s="1" t="str">
        <f t="shared" si="1694"/>
        <v>已发货</v>
      </c>
      <c r="J5211" s="1" t="str">
        <f>"1"</f>
        <v>1</v>
      </c>
      <c r="K5211" s="1">
        <v>1</v>
      </c>
      <c r="L5211" s="1" t="s">
        <v>18</v>
      </c>
      <c r="M5211" s="1" t="str">
        <f>"广东省 东莞市 茶山镇 茶山镇"</f>
        <v>广东省 东莞市 茶山镇 茶山镇</v>
      </c>
      <c r="N5211" s="1" t="str">
        <f t="shared" ref="N5211:N5267" si="1701">"凡华云仓-城南圆通-快手"</f>
        <v>凡华云仓-城南圆通-快手</v>
      </c>
      <c r="O5211" s="5" t="s">
        <v>5235</v>
      </c>
      <c r="P5211" s="6">
        <v>0.12</v>
      </c>
      <c r="Q5211" s="11">
        <v>2</v>
      </c>
      <c r="R5211" s="11"/>
      <c r="S5211" s="11"/>
      <c r="T5211" s="11"/>
      <c r="U5211" s="11">
        <f t="shared" si="1690"/>
        <v>2</v>
      </c>
      <c r="W5211">
        <v>2.2000000000000002</v>
      </c>
      <c r="X5211" s="1" t="s">
        <v>18</v>
      </c>
    </row>
    <row r="5212" spans="1:24" x14ac:dyDescent="0.25">
      <c r="A5212" s="1" t="str">
        <f t="shared" si="1691"/>
        <v>卡卡杜-凤凰仓</v>
      </c>
      <c r="B5212" s="1" t="str">
        <f>"CK2024102018104"</f>
        <v>CK2024102018104</v>
      </c>
      <c r="C5212" s="1" t="str">
        <f>"DD2024102025334"</f>
        <v>DD2024102025334</v>
      </c>
      <c r="D5212" s="1" t="str">
        <f>"CK2024102025296"</f>
        <v>CK2024102025296</v>
      </c>
      <c r="E5212" s="1" t="str">
        <f>"2429301991035818"</f>
        <v>2429301991035818</v>
      </c>
      <c r="F5212" s="1" t="str">
        <f t="shared" si="1692"/>
        <v>花都四部-凤凰仓</v>
      </c>
      <c r="G5212" s="1" t="str">
        <f t="shared" si="1700"/>
        <v>卡卡杜佳旺专卖店（快手店）</v>
      </c>
      <c r="H5212" s="1" t="str">
        <f t="shared" si="1693"/>
        <v>正常订单</v>
      </c>
      <c r="I5212" s="1" t="str">
        <f t="shared" si="1694"/>
        <v>已发货</v>
      </c>
      <c r="J5212" s="1" t="str">
        <f t="shared" si="1699"/>
        <v>3</v>
      </c>
      <c r="K5212" s="1">
        <v>2</v>
      </c>
      <c r="L5212" s="1" t="s">
        <v>18</v>
      </c>
      <c r="M5212" s="1" t="str">
        <f>"广东省 东莞市 厚街镇 厚街镇"</f>
        <v>广东省 东莞市 厚街镇 厚街镇</v>
      </c>
      <c r="N5212" s="1" t="str">
        <f t="shared" si="1701"/>
        <v>凡华云仓-城南圆通-快手</v>
      </c>
      <c r="O5212" s="5" t="s">
        <v>5236</v>
      </c>
      <c r="P5212" s="6">
        <v>0.35</v>
      </c>
      <c r="Q5212" s="11">
        <v>2.2999999999999998</v>
      </c>
      <c r="R5212" s="11"/>
      <c r="S5212" s="11"/>
      <c r="T5212" s="11"/>
      <c r="U5212" s="11">
        <f t="shared" si="1690"/>
        <v>2.2999999999999998</v>
      </c>
      <c r="W5212">
        <v>2.5</v>
      </c>
      <c r="X5212" s="1" t="s">
        <v>18</v>
      </c>
    </row>
    <row r="5213" spans="1:24" x14ac:dyDescent="0.25">
      <c r="A5213" s="1" t="str">
        <f t="shared" si="1691"/>
        <v>卡卡杜-凤凰仓</v>
      </c>
      <c r="B5213" s="1" t="str">
        <f>"CK2024102018105"</f>
        <v>CK2024102018105</v>
      </c>
      <c r="C5213" s="1" t="str">
        <f>"DD2024102025336"</f>
        <v>DD2024102025336</v>
      </c>
      <c r="D5213" s="1" t="str">
        <f>"CK2024102025295"</f>
        <v>CK2024102025295</v>
      </c>
      <c r="E5213" s="1" t="str">
        <f>"2429302221787070"</f>
        <v>2429302221787070</v>
      </c>
      <c r="F5213" s="1" t="str">
        <f t="shared" si="1692"/>
        <v>花都四部-凤凰仓</v>
      </c>
      <c r="G5213" s="1" t="str">
        <f t="shared" si="1700"/>
        <v>卡卡杜佳旺专卖店（快手店）</v>
      </c>
      <c r="H5213" s="1" t="str">
        <f t="shared" si="1693"/>
        <v>正常订单</v>
      </c>
      <c r="I5213" s="1" t="str">
        <f t="shared" si="1694"/>
        <v>已发货</v>
      </c>
      <c r="J5213" s="1" t="str">
        <f t="shared" si="1699"/>
        <v>3</v>
      </c>
      <c r="K5213" s="1">
        <v>2</v>
      </c>
      <c r="L5213" s="1" t="s">
        <v>13</v>
      </c>
      <c r="M5213" s="1" t="str">
        <f>"江苏省 苏州市 吴江区 吴江经济技术开发区"</f>
        <v>江苏省 苏州市 吴江区 吴江经济技术开发区</v>
      </c>
      <c r="N5213" s="1" t="str">
        <f t="shared" si="1701"/>
        <v>凡华云仓-城南圆通-快手</v>
      </c>
      <c r="O5213" s="5" t="s">
        <v>5237</v>
      </c>
      <c r="P5213" s="6">
        <v>0.35</v>
      </c>
      <c r="Q5213" s="11">
        <v>2.2999999999999998</v>
      </c>
      <c r="R5213" s="11"/>
      <c r="S5213" s="11"/>
      <c r="T5213" s="11"/>
      <c r="U5213" s="11">
        <f t="shared" si="1690"/>
        <v>2.2999999999999998</v>
      </c>
      <c r="W5213">
        <v>2.5</v>
      </c>
      <c r="X5213" s="1" t="s">
        <v>13</v>
      </c>
    </row>
    <row r="5214" spans="1:24" x14ac:dyDescent="0.25">
      <c r="A5214" s="1" t="str">
        <f t="shared" si="1691"/>
        <v>卡卡杜-凤凰仓</v>
      </c>
      <c r="B5214" s="1" t="str">
        <f>"CK2024102018106"</f>
        <v>CK2024102018106</v>
      </c>
      <c r="C5214" s="1" t="str">
        <f>"DD2024102025337"</f>
        <v>DD2024102025337</v>
      </c>
      <c r="D5214" s="1" t="str">
        <f>"CK2024102025294"</f>
        <v>CK2024102025294</v>
      </c>
      <c r="E5214" s="1" t="str">
        <f>"2429301997090274"</f>
        <v>2429301997090274</v>
      </c>
      <c r="F5214" s="1" t="str">
        <f t="shared" si="1692"/>
        <v>花都四部-凤凰仓</v>
      </c>
      <c r="G5214" s="1" t="str">
        <f t="shared" si="1700"/>
        <v>卡卡杜佳旺专卖店（快手店）</v>
      </c>
      <c r="H5214" s="1" t="str">
        <f t="shared" si="1693"/>
        <v>正常订单</v>
      </c>
      <c r="I5214" s="1" t="str">
        <f t="shared" si="1694"/>
        <v>已发货</v>
      </c>
      <c r="J5214" s="1" t="str">
        <f t="shared" si="1699"/>
        <v>3</v>
      </c>
      <c r="K5214" s="1">
        <v>2</v>
      </c>
      <c r="L5214" s="1" t="s">
        <v>30</v>
      </c>
      <c r="M5214" s="1" t="str">
        <f>"山东省 济南市 长清区 平安街道"</f>
        <v>山东省 济南市 长清区 平安街道</v>
      </c>
      <c r="N5214" s="1" t="str">
        <f t="shared" si="1701"/>
        <v>凡华云仓-城南圆通-快手</v>
      </c>
      <c r="O5214" s="5" t="s">
        <v>5238</v>
      </c>
      <c r="P5214" s="6">
        <v>0.35</v>
      </c>
      <c r="Q5214" s="11">
        <v>2.2999999999999998</v>
      </c>
      <c r="R5214" s="11"/>
      <c r="S5214" s="11"/>
      <c r="T5214" s="11"/>
      <c r="U5214" s="11">
        <f t="shared" si="1690"/>
        <v>2.2999999999999998</v>
      </c>
      <c r="W5214">
        <v>2.5</v>
      </c>
      <c r="X5214" s="1" t="s">
        <v>30</v>
      </c>
    </row>
    <row r="5215" spans="1:24" x14ac:dyDescent="0.25">
      <c r="A5215" s="1" t="str">
        <f t="shared" si="1691"/>
        <v>卡卡杜-凤凰仓</v>
      </c>
      <c r="B5215" s="1" t="str">
        <f>"CK2024102018108"</f>
        <v>CK2024102018108</v>
      </c>
      <c r="C5215" s="1" t="str">
        <f>"DD2024102025340"</f>
        <v>DD2024102025340</v>
      </c>
      <c r="D5215" s="1" t="str">
        <f>"CK2024102025293"</f>
        <v>CK2024102025293</v>
      </c>
      <c r="E5215" s="1" t="str">
        <f>"2429301749675198"</f>
        <v>2429301749675198</v>
      </c>
      <c r="F5215" s="1" t="str">
        <f t="shared" si="1692"/>
        <v>花都四部-凤凰仓</v>
      </c>
      <c r="G5215" s="1" t="str">
        <f t="shared" si="1700"/>
        <v>卡卡杜佳旺专卖店（快手店）</v>
      </c>
      <c r="H5215" s="1" t="str">
        <f t="shared" si="1693"/>
        <v>正常订单</v>
      </c>
      <c r="I5215" s="1" t="str">
        <f t="shared" si="1694"/>
        <v>已发货</v>
      </c>
      <c r="J5215" s="1" t="str">
        <f t="shared" si="1699"/>
        <v>3</v>
      </c>
      <c r="K5215" s="1">
        <v>2</v>
      </c>
      <c r="L5215" s="1" t="s">
        <v>16</v>
      </c>
      <c r="M5215" s="1" t="str">
        <f>"河北省 保定市 清苑区 清苑镇"</f>
        <v>河北省 保定市 清苑区 清苑镇</v>
      </c>
      <c r="N5215" s="1" t="str">
        <f t="shared" si="1701"/>
        <v>凡华云仓-城南圆通-快手</v>
      </c>
      <c r="O5215" s="5" t="s">
        <v>5239</v>
      </c>
      <c r="P5215" s="6">
        <v>0.35</v>
      </c>
      <c r="Q5215" s="11">
        <v>2.2999999999999998</v>
      </c>
      <c r="R5215" s="11"/>
      <c r="S5215" s="11"/>
      <c r="T5215" s="11"/>
      <c r="U5215" s="11">
        <f t="shared" si="1690"/>
        <v>2.2999999999999998</v>
      </c>
      <c r="W5215">
        <v>2.5</v>
      </c>
      <c r="X5215" s="1" t="s">
        <v>16</v>
      </c>
    </row>
    <row r="5216" spans="1:24" x14ac:dyDescent="0.25">
      <c r="A5216" s="1" t="str">
        <f t="shared" si="1691"/>
        <v>卡卡杜-凤凰仓</v>
      </c>
      <c r="B5216" s="1" t="str">
        <f>"CK2024102018109"</f>
        <v>CK2024102018109</v>
      </c>
      <c r="C5216" s="1" t="str">
        <f>"DD2024102025339"</f>
        <v>DD2024102025339</v>
      </c>
      <c r="D5216" s="1" t="str">
        <f>"CK2024102025292"</f>
        <v>CK2024102025292</v>
      </c>
      <c r="E5216" s="1" t="str">
        <f>"2429301980267916"</f>
        <v>2429301980267916</v>
      </c>
      <c r="F5216" s="1" t="str">
        <f t="shared" si="1692"/>
        <v>花都四部-凤凰仓</v>
      </c>
      <c r="G5216" s="1" t="str">
        <f t="shared" si="1700"/>
        <v>卡卡杜佳旺专卖店（快手店）</v>
      </c>
      <c r="H5216" s="1" t="str">
        <f t="shared" si="1693"/>
        <v>正常订单</v>
      </c>
      <c r="I5216" s="1" t="str">
        <f t="shared" si="1694"/>
        <v>已发货</v>
      </c>
      <c r="J5216" s="1" t="str">
        <f t="shared" ref="J5216:J5221" si="1702">"5"</f>
        <v>5</v>
      </c>
      <c r="K5216" s="1">
        <v>2</v>
      </c>
      <c r="L5216" s="1" t="s">
        <v>27</v>
      </c>
      <c r="M5216" s="1" t="str">
        <f>"贵州省 铜仁市 沿河土家族自治县 "</f>
        <v xml:space="preserve">贵州省 铜仁市 沿河土家族自治县 </v>
      </c>
      <c r="N5216" s="1" t="str">
        <f t="shared" si="1701"/>
        <v>凡华云仓-城南圆通-快手</v>
      </c>
      <c r="O5216" s="5" t="s">
        <v>5240</v>
      </c>
      <c r="P5216" s="6">
        <v>0.59</v>
      </c>
      <c r="Q5216" s="11">
        <f t="shared" ref="Q5216:Q5221" si="1703">CEILING(P5216-0.5,0.1)*10*0.15+2.3</f>
        <v>2.4499999999999997</v>
      </c>
      <c r="R5216" s="11"/>
      <c r="S5216" s="11"/>
      <c r="T5216" s="11"/>
      <c r="U5216" s="11">
        <f t="shared" si="1690"/>
        <v>2.4499999999999997</v>
      </c>
      <c r="V5216" t="s">
        <v>15</v>
      </c>
      <c r="W5216">
        <v>2.4500000000000002</v>
      </c>
      <c r="X5216" s="1" t="s">
        <v>27</v>
      </c>
    </row>
    <row r="5217" spans="1:24" x14ac:dyDescent="0.25">
      <c r="A5217" s="1" t="str">
        <f t="shared" si="1691"/>
        <v>卡卡杜-凤凰仓</v>
      </c>
      <c r="B5217" s="1" t="str">
        <f>"CK2024102018110"</f>
        <v>CK2024102018110</v>
      </c>
      <c r="C5217" s="1" t="str">
        <f>"DD2024102025342"</f>
        <v>DD2024102025342</v>
      </c>
      <c r="D5217" s="1" t="str">
        <f>"CK2024102025291"</f>
        <v>CK2024102025291</v>
      </c>
      <c r="E5217" s="1" t="str">
        <f>"2429302157760396"</f>
        <v>2429302157760396</v>
      </c>
      <c r="F5217" s="1" t="str">
        <f t="shared" si="1692"/>
        <v>花都四部-凤凰仓</v>
      </c>
      <c r="G5217" s="1" t="str">
        <f t="shared" si="1700"/>
        <v>卡卡杜佳旺专卖店（快手店）</v>
      </c>
      <c r="H5217" s="1" t="str">
        <f t="shared" si="1693"/>
        <v>正常订单</v>
      </c>
      <c r="I5217" s="1" t="str">
        <f t="shared" si="1694"/>
        <v>已发货</v>
      </c>
      <c r="J5217" s="1" t="str">
        <f t="shared" ref="J5217:J5220" si="1704">"3"</f>
        <v>3</v>
      </c>
      <c r="K5217" s="1">
        <v>2</v>
      </c>
      <c r="L5217" s="1" t="s">
        <v>18</v>
      </c>
      <c r="M5217" s="1" t="str">
        <f>"广东省 东莞市 石碣镇 石碣镇"</f>
        <v>广东省 东莞市 石碣镇 石碣镇</v>
      </c>
      <c r="N5217" s="1" t="str">
        <f t="shared" si="1701"/>
        <v>凡华云仓-城南圆通-快手</v>
      </c>
      <c r="O5217" s="5" t="s">
        <v>5241</v>
      </c>
      <c r="P5217" s="6">
        <v>0.35</v>
      </c>
      <c r="Q5217" s="11">
        <v>2.2999999999999998</v>
      </c>
      <c r="R5217" s="11"/>
      <c r="S5217" s="11"/>
      <c r="T5217" s="11"/>
      <c r="U5217" s="11">
        <f t="shared" si="1690"/>
        <v>2.2999999999999998</v>
      </c>
      <c r="W5217">
        <v>2.5</v>
      </c>
      <c r="X5217" s="1" t="s">
        <v>18</v>
      </c>
    </row>
    <row r="5218" spans="1:24" x14ac:dyDescent="0.25">
      <c r="A5218" s="1" t="str">
        <f t="shared" si="1691"/>
        <v>卡卡杜-凤凰仓</v>
      </c>
      <c r="B5218" s="1" t="str">
        <f>"CK2024102018111"</f>
        <v>CK2024102018111</v>
      </c>
      <c r="C5218" s="1" t="str">
        <f>"DD2024102025341"</f>
        <v>DD2024102025341</v>
      </c>
      <c r="D5218" s="1" t="str">
        <f>"CK2024102025290"</f>
        <v>CK2024102025290</v>
      </c>
      <c r="E5218" s="1" t="str">
        <f>"2429302157891550"</f>
        <v>2429302157891550</v>
      </c>
      <c r="F5218" s="1" t="str">
        <f t="shared" si="1692"/>
        <v>花都四部-凤凰仓</v>
      </c>
      <c r="G5218" s="1" t="str">
        <f t="shared" si="1700"/>
        <v>卡卡杜佳旺专卖店（快手店）</v>
      </c>
      <c r="H5218" s="1" t="str">
        <f t="shared" si="1693"/>
        <v>正常订单</v>
      </c>
      <c r="I5218" s="1" t="str">
        <f t="shared" si="1694"/>
        <v>已发货</v>
      </c>
      <c r="J5218" s="1" t="str">
        <f t="shared" si="1704"/>
        <v>3</v>
      </c>
      <c r="K5218" s="1">
        <v>2</v>
      </c>
      <c r="L5218" s="1" t="s">
        <v>20</v>
      </c>
      <c r="M5218" s="1" t="str">
        <f>"浙江省 杭州市 上城区 笕桥街道"</f>
        <v>浙江省 杭州市 上城区 笕桥街道</v>
      </c>
      <c r="N5218" s="1" t="str">
        <f t="shared" si="1701"/>
        <v>凡华云仓-城南圆通-快手</v>
      </c>
      <c r="O5218" s="5" t="s">
        <v>5242</v>
      </c>
      <c r="P5218" s="6">
        <v>0.35</v>
      </c>
      <c r="Q5218" s="11">
        <v>2.2999999999999998</v>
      </c>
      <c r="R5218" s="11"/>
      <c r="S5218" s="11"/>
      <c r="T5218" s="11"/>
      <c r="U5218" s="11">
        <f t="shared" si="1690"/>
        <v>2.2999999999999998</v>
      </c>
      <c r="W5218">
        <v>2.5</v>
      </c>
      <c r="X5218" s="1" t="s">
        <v>20</v>
      </c>
    </row>
    <row r="5219" spans="1:24" x14ac:dyDescent="0.25">
      <c r="A5219" s="1" t="str">
        <f t="shared" si="1691"/>
        <v>卡卡杜-凤凰仓</v>
      </c>
      <c r="B5219" s="1" t="str">
        <f>"CK2024102018112"</f>
        <v>CK2024102018112</v>
      </c>
      <c r="C5219" s="1" t="str">
        <f>"DD2024102025343"</f>
        <v>DD2024102025343</v>
      </c>
      <c r="D5219" s="1" t="str">
        <f>"CK2024102025289"</f>
        <v>CK2024102025289</v>
      </c>
      <c r="E5219" s="1" t="str">
        <f>"2429301664513053"</f>
        <v>2429301664513053</v>
      </c>
      <c r="F5219" s="1" t="str">
        <f t="shared" si="1692"/>
        <v>花都四部-凤凰仓</v>
      </c>
      <c r="G5219" s="1" t="str">
        <f t="shared" si="1700"/>
        <v>卡卡杜佳旺专卖店（快手店）</v>
      </c>
      <c r="H5219" s="1" t="str">
        <f t="shared" si="1693"/>
        <v>正常订单</v>
      </c>
      <c r="I5219" s="1" t="str">
        <f t="shared" si="1694"/>
        <v>已发货</v>
      </c>
      <c r="J5219" s="1" t="str">
        <f t="shared" si="1702"/>
        <v>5</v>
      </c>
      <c r="K5219" s="1">
        <v>2</v>
      </c>
      <c r="L5219" s="1" t="s">
        <v>18</v>
      </c>
      <c r="M5219" s="1" t="str">
        <f>"广东省 深圳市 龙华区 观澜街道"</f>
        <v>广东省 深圳市 龙华区 观澜街道</v>
      </c>
      <c r="N5219" s="1" t="str">
        <f t="shared" si="1701"/>
        <v>凡华云仓-城南圆通-快手</v>
      </c>
      <c r="O5219" s="5" t="s">
        <v>5243</v>
      </c>
      <c r="P5219" s="6">
        <v>0.59</v>
      </c>
      <c r="Q5219" s="11">
        <f t="shared" si="1703"/>
        <v>2.4499999999999997</v>
      </c>
      <c r="R5219" s="11"/>
      <c r="S5219" s="11"/>
      <c r="T5219" s="11"/>
      <c r="U5219" s="11">
        <f t="shared" si="1690"/>
        <v>2.4499999999999997</v>
      </c>
      <c r="V5219" t="s">
        <v>15</v>
      </c>
      <c r="W5219">
        <v>2.4500000000000002</v>
      </c>
      <c r="X5219" s="1" t="s">
        <v>18</v>
      </c>
    </row>
    <row r="5220" spans="1:24" x14ac:dyDescent="0.25">
      <c r="A5220" s="1" t="str">
        <f t="shared" si="1691"/>
        <v>卡卡杜-凤凰仓</v>
      </c>
      <c r="B5220" s="1" t="str">
        <f>"CK2024102018113"</f>
        <v>CK2024102018113</v>
      </c>
      <c r="C5220" s="1" t="str">
        <f>"DD2024102025346"</f>
        <v>DD2024102025346</v>
      </c>
      <c r="D5220" s="1" t="str">
        <f>"CK2024102025288"</f>
        <v>CK2024102025288</v>
      </c>
      <c r="E5220" s="1" t="str">
        <f>"2429302400323947"</f>
        <v>2429302400323947</v>
      </c>
      <c r="F5220" s="1" t="str">
        <f t="shared" si="1692"/>
        <v>花都四部-凤凰仓</v>
      </c>
      <c r="G5220" s="1" t="str">
        <f t="shared" si="1700"/>
        <v>卡卡杜佳旺专卖店（快手店）</v>
      </c>
      <c r="H5220" s="1" t="str">
        <f t="shared" si="1693"/>
        <v>正常订单</v>
      </c>
      <c r="I5220" s="1" t="str">
        <f t="shared" si="1694"/>
        <v>已发货</v>
      </c>
      <c r="J5220" s="1" t="str">
        <f t="shared" si="1704"/>
        <v>3</v>
      </c>
      <c r="K5220" s="1">
        <v>2</v>
      </c>
      <c r="L5220" s="1" t="s">
        <v>60</v>
      </c>
      <c r="M5220" s="1" t="str">
        <f>"云南省 昆明市 晋宁区 昆阳街道"</f>
        <v>云南省 昆明市 晋宁区 昆阳街道</v>
      </c>
      <c r="N5220" s="1" t="str">
        <f t="shared" si="1701"/>
        <v>凡华云仓-城南圆通-快手</v>
      </c>
      <c r="O5220" s="5" t="s">
        <v>5244</v>
      </c>
      <c r="P5220" s="6">
        <v>0.35</v>
      </c>
      <c r="Q5220" s="11">
        <v>2.2999999999999998</v>
      </c>
      <c r="R5220" s="11"/>
      <c r="S5220" s="11"/>
      <c r="T5220" s="11"/>
      <c r="U5220" s="11">
        <f t="shared" si="1690"/>
        <v>2.2999999999999998</v>
      </c>
      <c r="W5220">
        <v>2.5</v>
      </c>
      <c r="X5220" s="1" t="s">
        <v>60</v>
      </c>
    </row>
    <row r="5221" spans="1:24" x14ac:dyDescent="0.25">
      <c r="A5221" s="1" t="str">
        <f t="shared" si="1691"/>
        <v>卡卡杜-凤凰仓</v>
      </c>
      <c r="B5221" s="1" t="str">
        <f>"CK2024102018114"</f>
        <v>CK2024102018114</v>
      </c>
      <c r="C5221" s="1" t="str">
        <f>"DD2024102025345"</f>
        <v>DD2024102025345</v>
      </c>
      <c r="D5221" s="1" t="str">
        <f>"CK2024102025287"</f>
        <v>CK2024102025287</v>
      </c>
      <c r="E5221" s="1" t="str">
        <f>"2429301999339326"</f>
        <v>2429301999339326</v>
      </c>
      <c r="F5221" s="1" t="str">
        <f t="shared" si="1692"/>
        <v>花都四部-凤凰仓</v>
      </c>
      <c r="G5221" s="1" t="str">
        <f t="shared" si="1700"/>
        <v>卡卡杜佳旺专卖店（快手店）</v>
      </c>
      <c r="H5221" s="1" t="str">
        <f t="shared" si="1693"/>
        <v>正常订单</v>
      </c>
      <c r="I5221" s="1" t="str">
        <f t="shared" si="1694"/>
        <v>已发货</v>
      </c>
      <c r="J5221" s="1" t="str">
        <f t="shared" si="1702"/>
        <v>5</v>
      </c>
      <c r="K5221" s="1">
        <v>2</v>
      </c>
      <c r="L5221" s="1" t="s">
        <v>60</v>
      </c>
      <c r="M5221" s="1" t="str">
        <f>"云南省 文山壮族苗族自治州 富宁县 新华镇"</f>
        <v>云南省 文山壮族苗族自治州 富宁县 新华镇</v>
      </c>
      <c r="N5221" s="1" t="str">
        <f t="shared" si="1701"/>
        <v>凡华云仓-城南圆通-快手</v>
      </c>
      <c r="O5221" s="5" t="s">
        <v>5245</v>
      </c>
      <c r="P5221" s="6">
        <v>0.59</v>
      </c>
      <c r="Q5221" s="11">
        <f t="shared" si="1703"/>
        <v>2.4499999999999997</v>
      </c>
      <c r="R5221" s="11"/>
      <c r="S5221" s="11"/>
      <c r="T5221" s="11"/>
      <c r="U5221" s="11">
        <f t="shared" si="1690"/>
        <v>2.4499999999999997</v>
      </c>
      <c r="V5221" t="s">
        <v>15</v>
      </c>
      <c r="W5221">
        <v>2.4500000000000002</v>
      </c>
      <c r="X5221" s="1" t="s">
        <v>60</v>
      </c>
    </row>
    <row r="5222" spans="1:24" x14ac:dyDescent="0.25">
      <c r="A5222" s="1" t="str">
        <f t="shared" si="1691"/>
        <v>卡卡杜-凤凰仓</v>
      </c>
      <c r="B5222" s="1" t="str">
        <f>"CK2024102018115"</f>
        <v>CK2024102018115</v>
      </c>
      <c r="C5222" s="1" t="str">
        <f>"DD2024102025344"</f>
        <v>DD2024102025344</v>
      </c>
      <c r="D5222" s="1" t="str">
        <f>"CK2024102025286"</f>
        <v>CK2024102025286</v>
      </c>
      <c r="E5222" s="1" t="str">
        <f>"2429302324883540"</f>
        <v>2429302324883540</v>
      </c>
      <c r="F5222" s="1" t="str">
        <f t="shared" si="1692"/>
        <v>花都四部-凤凰仓</v>
      </c>
      <c r="G5222" s="1" t="str">
        <f t="shared" si="1700"/>
        <v>卡卡杜佳旺专卖店（快手店）</v>
      </c>
      <c r="H5222" s="1" t="str">
        <f t="shared" si="1693"/>
        <v>正常订单</v>
      </c>
      <c r="I5222" s="1" t="str">
        <f t="shared" si="1694"/>
        <v>已发货</v>
      </c>
      <c r="J5222" s="1" t="str">
        <f t="shared" ref="J5222:J5228" si="1705">"3"</f>
        <v>3</v>
      </c>
      <c r="K5222" s="1">
        <v>2</v>
      </c>
      <c r="L5222" s="1" t="s">
        <v>18</v>
      </c>
      <c r="M5222" s="1" t="str">
        <f>"广东省 汕头市 金平区 鮀莲街道"</f>
        <v>广东省 汕头市 金平区 鮀莲街道</v>
      </c>
      <c r="N5222" s="1" t="str">
        <f t="shared" si="1701"/>
        <v>凡华云仓-城南圆通-快手</v>
      </c>
      <c r="O5222" s="5" t="s">
        <v>5246</v>
      </c>
      <c r="P5222" s="6">
        <v>0.35</v>
      </c>
      <c r="Q5222" s="11">
        <v>2.2999999999999998</v>
      </c>
      <c r="R5222" s="11"/>
      <c r="S5222" s="11"/>
      <c r="T5222" s="11"/>
      <c r="U5222" s="11">
        <f t="shared" si="1690"/>
        <v>2.2999999999999998</v>
      </c>
      <c r="W5222">
        <v>2.5</v>
      </c>
      <c r="X5222" s="1" t="s">
        <v>18</v>
      </c>
    </row>
    <row r="5223" spans="1:24" x14ac:dyDescent="0.25">
      <c r="A5223" s="1" t="str">
        <f t="shared" si="1691"/>
        <v>卡卡杜-凤凰仓</v>
      </c>
      <c r="B5223" s="1" t="str">
        <f>"CK2024102018116"</f>
        <v>CK2024102018116</v>
      </c>
      <c r="C5223" s="1" t="str">
        <f>"DD2024102025348"</f>
        <v>DD2024102025348</v>
      </c>
      <c r="D5223" s="1" t="str">
        <f>"CK2024102025285"</f>
        <v>CK2024102025285</v>
      </c>
      <c r="E5223" s="1" t="str">
        <f>"2429301836539985"</f>
        <v>2429301836539985</v>
      </c>
      <c r="F5223" s="1" t="str">
        <f t="shared" si="1692"/>
        <v>花都四部-凤凰仓</v>
      </c>
      <c r="G5223" s="1" t="str">
        <f t="shared" si="1700"/>
        <v>卡卡杜佳旺专卖店（快手店）</v>
      </c>
      <c r="H5223" s="1" t="str">
        <f t="shared" si="1693"/>
        <v>正常订单</v>
      </c>
      <c r="I5223" s="1" t="str">
        <f t="shared" si="1694"/>
        <v>已发货</v>
      </c>
      <c r="J5223" s="1" t="str">
        <f>"15"</f>
        <v>15</v>
      </c>
      <c r="K5223" s="1">
        <v>2</v>
      </c>
      <c r="L5223" s="1" t="s">
        <v>18</v>
      </c>
      <c r="M5223" s="1" t="str">
        <f>"广东省 深圳市 宝安区 西乡街道"</f>
        <v>广东省 深圳市 宝安区 西乡街道</v>
      </c>
      <c r="N5223" s="1" t="str">
        <f t="shared" si="1701"/>
        <v>凡华云仓-城南圆通-快手</v>
      </c>
      <c r="O5223" s="5" t="s">
        <v>5247</v>
      </c>
      <c r="P5223" s="6">
        <v>1.64</v>
      </c>
      <c r="Q5223" s="11">
        <f>CEILING(P5223-0.5,0.1)*10*0.15+2.3</f>
        <v>4.0999999999999996</v>
      </c>
      <c r="R5223" s="11"/>
      <c r="S5223" s="11"/>
      <c r="T5223" s="11"/>
      <c r="U5223" s="11">
        <f t="shared" si="1690"/>
        <v>4.0999999999999996</v>
      </c>
      <c r="V5223" t="s">
        <v>15</v>
      </c>
      <c r="W5223">
        <v>4.0999999999999996</v>
      </c>
      <c r="X5223" s="1" t="s">
        <v>18</v>
      </c>
    </row>
    <row r="5224" spans="1:24" x14ac:dyDescent="0.25">
      <c r="A5224" s="1" t="str">
        <f t="shared" si="1691"/>
        <v>卡卡杜-凤凰仓</v>
      </c>
      <c r="B5224" s="1" t="str">
        <f>"CK2024102018118"</f>
        <v>CK2024102018118</v>
      </c>
      <c r="C5224" s="1" t="str">
        <f>"DD2024102025349"</f>
        <v>DD2024102025349</v>
      </c>
      <c r="D5224" s="1" t="str">
        <f>"CK2024102025284"</f>
        <v>CK2024102025284</v>
      </c>
      <c r="E5224" s="1" t="str">
        <f>"2429301994955342"</f>
        <v>2429301994955342</v>
      </c>
      <c r="F5224" s="1" t="str">
        <f t="shared" si="1692"/>
        <v>花都四部-凤凰仓</v>
      </c>
      <c r="G5224" s="1" t="str">
        <f t="shared" si="1700"/>
        <v>卡卡杜佳旺专卖店（快手店）</v>
      </c>
      <c r="H5224" s="1" t="str">
        <f t="shared" si="1693"/>
        <v>正常订单</v>
      </c>
      <c r="I5224" s="1" t="str">
        <f t="shared" si="1694"/>
        <v>已发货</v>
      </c>
      <c r="J5224" s="1" t="str">
        <f t="shared" si="1705"/>
        <v>3</v>
      </c>
      <c r="K5224" s="1">
        <v>2</v>
      </c>
      <c r="L5224" s="1" t="s">
        <v>161</v>
      </c>
      <c r="M5224" s="1" t="str">
        <f>"四川省 南充市 蓬安县 相如街道"</f>
        <v>四川省 南充市 蓬安县 相如街道</v>
      </c>
      <c r="N5224" s="1" t="str">
        <f t="shared" si="1701"/>
        <v>凡华云仓-城南圆通-快手</v>
      </c>
      <c r="O5224" s="5" t="s">
        <v>5248</v>
      </c>
      <c r="P5224" s="6">
        <v>0.35</v>
      </c>
      <c r="Q5224" s="11">
        <v>2.2999999999999998</v>
      </c>
      <c r="R5224" s="11"/>
      <c r="S5224" s="11"/>
      <c r="T5224" s="11"/>
      <c r="U5224" s="11">
        <f t="shared" si="1690"/>
        <v>2.2999999999999998</v>
      </c>
      <c r="W5224">
        <v>2.5</v>
      </c>
      <c r="X5224" s="1" t="s">
        <v>161</v>
      </c>
    </row>
    <row r="5225" spans="1:24" x14ac:dyDescent="0.25">
      <c r="A5225" s="1" t="str">
        <f t="shared" si="1691"/>
        <v>卡卡杜-凤凰仓</v>
      </c>
      <c r="B5225" s="1" t="str">
        <f>"CK2024102018120"</f>
        <v>CK2024102018120</v>
      </c>
      <c r="C5225" s="1" t="str">
        <f>"DD2024102025351"</f>
        <v>DD2024102025351</v>
      </c>
      <c r="D5225" s="1" t="str">
        <f>"CK2024102025283"</f>
        <v>CK2024102025283</v>
      </c>
      <c r="E5225" s="1" t="str">
        <f>"2429302560123638"</f>
        <v>2429302560123638</v>
      </c>
      <c r="F5225" s="1" t="str">
        <f t="shared" si="1692"/>
        <v>花都四部-凤凰仓</v>
      </c>
      <c r="G5225" s="1" t="str">
        <f t="shared" si="1700"/>
        <v>卡卡杜佳旺专卖店（快手店）</v>
      </c>
      <c r="H5225" s="1" t="str">
        <f t="shared" si="1693"/>
        <v>正常订单</v>
      </c>
      <c r="I5225" s="1" t="str">
        <f t="shared" si="1694"/>
        <v>已发货</v>
      </c>
      <c r="J5225" s="1" t="str">
        <f t="shared" si="1705"/>
        <v>3</v>
      </c>
      <c r="K5225" s="1">
        <v>2</v>
      </c>
      <c r="L5225" s="1" t="s">
        <v>13</v>
      </c>
      <c r="M5225" s="1" t="str">
        <f>"江苏省 南京市 江宁区 湖熟街道"</f>
        <v>江苏省 南京市 江宁区 湖熟街道</v>
      </c>
      <c r="N5225" s="1" t="str">
        <f t="shared" si="1701"/>
        <v>凡华云仓-城南圆通-快手</v>
      </c>
      <c r="O5225" s="5" t="s">
        <v>5249</v>
      </c>
      <c r="P5225" s="6">
        <v>0.35</v>
      </c>
      <c r="Q5225" s="11">
        <v>2.2999999999999998</v>
      </c>
      <c r="R5225" s="11"/>
      <c r="S5225" s="11"/>
      <c r="T5225" s="11"/>
      <c r="U5225" s="11">
        <f t="shared" si="1690"/>
        <v>2.2999999999999998</v>
      </c>
      <c r="W5225">
        <v>2.5</v>
      </c>
      <c r="X5225" s="1" t="s">
        <v>13</v>
      </c>
    </row>
    <row r="5226" spans="1:24" x14ac:dyDescent="0.25">
      <c r="A5226" s="1" t="str">
        <f t="shared" si="1691"/>
        <v>卡卡杜-凤凰仓</v>
      </c>
      <c r="B5226" s="1" t="str">
        <f>"CK2024102018121"</f>
        <v>CK2024102018121</v>
      </c>
      <c r="C5226" s="1" t="str">
        <f>"DD2024102025352"</f>
        <v>DD2024102025352</v>
      </c>
      <c r="D5226" s="1" t="str">
        <f>"CK2024102025282"</f>
        <v>CK2024102025282</v>
      </c>
      <c r="E5226" s="1" t="str">
        <f>"2429302251217525"</f>
        <v>2429302251217525</v>
      </c>
      <c r="F5226" s="1" t="str">
        <f t="shared" si="1692"/>
        <v>花都四部-凤凰仓</v>
      </c>
      <c r="G5226" s="1" t="str">
        <f t="shared" si="1700"/>
        <v>卡卡杜佳旺专卖店（快手店）</v>
      </c>
      <c r="H5226" s="1" t="str">
        <f t="shared" si="1693"/>
        <v>正常订单</v>
      </c>
      <c r="I5226" s="1" t="str">
        <f t="shared" si="1694"/>
        <v>已发货</v>
      </c>
      <c r="J5226" s="1" t="str">
        <f t="shared" si="1705"/>
        <v>3</v>
      </c>
      <c r="K5226" s="1">
        <v>2</v>
      </c>
      <c r="L5226" s="1" t="s">
        <v>20</v>
      </c>
      <c r="M5226" s="1" t="str">
        <f>"浙江省 杭州市 余杭区 瓶窑镇"</f>
        <v>浙江省 杭州市 余杭区 瓶窑镇</v>
      </c>
      <c r="N5226" s="1" t="str">
        <f t="shared" si="1701"/>
        <v>凡华云仓-城南圆通-快手</v>
      </c>
      <c r="O5226" s="5" t="s">
        <v>5250</v>
      </c>
      <c r="P5226" s="6">
        <v>0.35</v>
      </c>
      <c r="Q5226" s="11">
        <v>2.2999999999999998</v>
      </c>
      <c r="R5226" s="11"/>
      <c r="S5226" s="11"/>
      <c r="T5226" s="11"/>
      <c r="U5226" s="11">
        <f t="shared" si="1690"/>
        <v>2.2999999999999998</v>
      </c>
      <c r="W5226">
        <v>2.5</v>
      </c>
      <c r="X5226" s="1" t="s">
        <v>20</v>
      </c>
    </row>
    <row r="5227" spans="1:24" x14ac:dyDescent="0.25">
      <c r="A5227" s="1" t="str">
        <f t="shared" si="1691"/>
        <v>卡卡杜-凤凰仓</v>
      </c>
      <c r="B5227" s="1" t="str">
        <f>"CK2024102018123"</f>
        <v>CK2024102018123</v>
      </c>
      <c r="C5227" s="1" t="str">
        <f>"DD2024102025355"</f>
        <v>DD2024102025355</v>
      </c>
      <c r="D5227" s="1" t="str">
        <f>"CK2024102025281"</f>
        <v>CK2024102025281</v>
      </c>
      <c r="E5227" s="1" t="str">
        <f>"2429302254016998"</f>
        <v>2429302254016998</v>
      </c>
      <c r="F5227" s="1" t="str">
        <f t="shared" si="1692"/>
        <v>花都四部-凤凰仓</v>
      </c>
      <c r="G5227" s="1" t="str">
        <f t="shared" si="1700"/>
        <v>卡卡杜佳旺专卖店（快手店）</v>
      </c>
      <c r="H5227" s="1" t="str">
        <f t="shared" si="1693"/>
        <v>正常订单</v>
      </c>
      <c r="I5227" s="1" t="str">
        <f t="shared" si="1694"/>
        <v>已发货</v>
      </c>
      <c r="J5227" s="1" t="str">
        <f t="shared" si="1705"/>
        <v>3</v>
      </c>
      <c r="K5227" s="1">
        <v>2</v>
      </c>
      <c r="L5227" s="1" t="s">
        <v>41</v>
      </c>
      <c r="M5227" s="1" t="str">
        <f>"湖北省 荆州市 松滋市 新江口街道"</f>
        <v>湖北省 荆州市 松滋市 新江口街道</v>
      </c>
      <c r="N5227" s="1" t="str">
        <f t="shared" si="1701"/>
        <v>凡华云仓-城南圆通-快手</v>
      </c>
      <c r="O5227" s="5" t="s">
        <v>5251</v>
      </c>
      <c r="P5227" s="6">
        <v>0.35</v>
      </c>
      <c r="Q5227" s="11">
        <v>2.2999999999999998</v>
      </c>
      <c r="R5227" s="11"/>
      <c r="S5227" s="11"/>
      <c r="T5227" s="11"/>
      <c r="U5227" s="11">
        <f t="shared" si="1690"/>
        <v>2.2999999999999998</v>
      </c>
      <c r="W5227">
        <v>2.5</v>
      </c>
      <c r="X5227" s="1" t="s">
        <v>41</v>
      </c>
    </row>
    <row r="5228" spans="1:24" x14ac:dyDescent="0.25">
      <c r="A5228" s="1" t="str">
        <f t="shared" si="1691"/>
        <v>卡卡杜-凤凰仓</v>
      </c>
      <c r="B5228" s="1" t="str">
        <f>"CK2024102018127"</f>
        <v>CK2024102018127</v>
      </c>
      <c r="C5228" s="1" t="str">
        <f>"DD2024102025357"</f>
        <v>DD2024102025357</v>
      </c>
      <c r="D5228" s="1" t="str">
        <f>"CK2024102025280"</f>
        <v>CK2024102025280</v>
      </c>
      <c r="E5228" s="1" t="str">
        <f>"2429302248802195"</f>
        <v>2429302248802195</v>
      </c>
      <c r="F5228" s="1" t="str">
        <f t="shared" si="1692"/>
        <v>花都四部-凤凰仓</v>
      </c>
      <c r="G5228" s="1" t="str">
        <f t="shared" si="1700"/>
        <v>卡卡杜佳旺专卖店（快手店）</v>
      </c>
      <c r="H5228" s="1" t="str">
        <f t="shared" si="1693"/>
        <v>正常订单</v>
      </c>
      <c r="I5228" s="1" t="str">
        <f t="shared" si="1694"/>
        <v>已发货</v>
      </c>
      <c r="J5228" s="1" t="str">
        <f t="shared" si="1705"/>
        <v>3</v>
      </c>
      <c r="K5228" s="1">
        <v>2</v>
      </c>
      <c r="L5228" s="1" t="s">
        <v>18</v>
      </c>
      <c r="M5228" s="1" t="str">
        <f>"广东省 广州市 番禺区 大龙街道"</f>
        <v>广东省 广州市 番禺区 大龙街道</v>
      </c>
      <c r="N5228" s="1" t="str">
        <f t="shared" si="1701"/>
        <v>凡华云仓-城南圆通-快手</v>
      </c>
      <c r="O5228" s="5" t="s">
        <v>5252</v>
      </c>
      <c r="P5228" s="6">
        <v>0.35</v>
      </c>
      <c r="Q5228" s="11">
        <v>2.2999999999999998</v>
      </c>
      <c r="R5228" s="11"/>
      <c r="S5228" s="11"/>
      <c r="T5228" s="11"/>
      <c r="U5228" s="11">
        <f t="shared" si="1690"/>
        <v>2.2999999999999998</v>
      </c>
      <c r="W5228">
        <v>2.5</v>
      </c>
      <c r="X5228" s="1" t="s">
        <v>18</v>
      </c>
    </row>
    <row r="5229" spans="1:24" x14ac:dyDescent="0.25">
      <c r="A5229" s="1" t="str">
        <f t="shared" si="1691"/>
        <v>卡卡杜-凤凰仓</v>
      </c>
      <c r="B5229" s="1" t="str">
        <f>"CK2024102018131"</f>
        <v>CK2024102018131</v>
      </c>
      <c r="C5229" s="1" t="str">
        <f>"DD2024102025363"</f>
        <v>DD2024102025363</v>
      </c>
      <c r="D5229" s="1" t="str">
        <f>"CK2024102025279"</f>
        <v>CK2024102025279</v>
      </c>
      <c r="E5229" s="1" t="str">
        <f>"2429302255274020"</f>
        <v>2429302255274020</v>
      </c>
      <c r="F5229" s="1" t="str">
        <f t="shared" si="1692"/>
        <v>花都四部-凤凰仓</v>
      </c>
      <c r="G5229" s="1" t="str">
        <f t="shared" si="1700"/>
        <v>卡卡杜佳旺专卖店（快手店）</v>
      </c>
      <c r="H5229" s="1" t="str">
        <f t="shared" si="1693"/>
        <v>正常订单</v>
      </c>
      <c r="I5229" s="1" t="str">
        <f t="shared" si="1694"/>
        <v>已发货</v>
      </c>
      <c r="J5229" s="1" t="str">
        <f>"9"</f>
        <v>9</v>
      </c>
      <c r="K5229" s="1">
        <v>2</v>
      </c>
      <c r="L5229" s="1" t="s">
        <v>20</v>
      </c>
      <c r="M5229" s="1" t="str">
        <f>"浙江省 杭州市 钱塘区 白杨街道"</f>
        <v>浙江省 杭州市 钱塘区 白杨街道</v>
      </c>
      <c r="N5229" s="1" t="str">
        <f t="shared" si="1701"/>
        <v>凡华云仓-城南圆通-快手</v>
      </c>
      <c r="O5229" s="5" t="s">
        <v>5253</v>
      </c>
      <c r="P5229" s="6">
        <v>0.85</v>
      </c>
      <c r="Q5229" s="11">
        <f>CEILING(P5229-0.5,0.1)*10*0.15+2.3</f>
        <v>2.9</v>
      </c>
      <c r="R5229" s="11"/>
      <c r="S5229" s="11"/>
      <c r="T5229" s="11"/>
      <c r="U5229" s="11">
        <f t="shared" si="1690"/>
        <v>2.9</v>
      </c>
      <c r="V5229" t="s">
        <v>15</v>
      </c>
      <c r="W5229">
        <v>2.9</v>
      </c>
      <c r="X5229" s="1" t="s">
        <v>20</v>
      </c>
    </row>
    <row r="5230" spans="1:24" x14ac:dyDescent="0.25">
      <c r="A5230" s="1" t="str">
        <f t="shared" si="1691"/>
        <v>卡卡杜-凤凰仓</v>
      </c>
      <c r="B5230" s="1" t="str">
        <f>"CK2024102018132"</f>
        <v>CK2024102018132</v>
      </c>
      <c r="C5230" s="1" t="str">
        <f>"DD2024102025362"</f>
        <v>DD2024102025362</v>
      </c>
      <c r="D5230" s="1" t="str">
        <f>"CK2024102025278"</f>
        <v>CK2024102025278</v>
      </c>
      <c r="E5230" s="1" t="str">
        <f>"2429301833800996"</f>
        <v>2429301833800996</v>
      </c>
      <c r="F5230" s="1" t="str">
        <f t="shared" si="1692"/>
        <v>花都四部-凤凰仓</v>
      </c>
      <c r="G5230" s="1" t="str">
        <f t="shared" si="1700"/>
        <v>卡卡杜佳旺专卖店（快手店）</v>
      </c>
      <c r="H5230" s="1" t="str">
        <f t="shared" si="1693"/>
        <v>正常订单</v>
      </c>
      <c r="I5230" s="1" t="str">
        <f t="shared" si="1694"/>
        <v>已发货</v>
      </c>
      <c r="J5230" s="1" t="str">
        <f t="shared" ref="J5230:J5233" si="1706">"3"</f>
        <v>3</v>
      </c>
      <c r="K5230" s="1">
        <v>2</v>
      </c>
      <c r="L5230" s="1" t="s">
        <v>16</v>
      </c>
      <c r="M5230" s="1" t="str">
        <f>"河北省 保定市 保定白沟新城 白沟镇"</f>
        <v>河北省 保定市 保定白沟新城 白沟镇</v>
      </c>
      <c r="N5230" s="1" t="str">
        <f t="shared" si="1701"/>
        <v>凡华云仓-城南圆通-快手</v>
      </c>
      <c r="O5230" s="5" t="s">
        <v>5254</v>
      </c>
      <c r="P5230" s="6">
        <v>0.35</v>
      </c>
      <c r="Q5230" s="11">
        <v>2.2999999999999998</v>
      </c>
      <c r="R5230" s="11"/>
      <c r="S5230" s="11"/>
      <c r="T5230" s="11"/>
      <c r="U5230" s="11">
        <f t="shared" si="1690"/>
        <v>2.2999999999999998</v>
      </c>
      <c r="W5230">
        <v>2.5</v>
      </c>
      <c r="X5230" s="1" t="s">
        <v>16</v>
      </c>
    </row>
    <row r="5231" spans="1:24" x14ac:dyDescent="0.25">
      <c r="A5231" s="1" t="str">
        <f t="shared" si="1691"/>
        <v>卡卡杜-凤凰仓</v>
      </c>
      <c r="B5231" s="1" t="str">
        <f>"CK2024102018133"</f>
        <v>CK2024102018133</v>
      </c>
      <c r="C5231" s="1" t="str">
        <f>"DD2024102025364"</f>
        <v>DD2024102025364</v>
      </c>
      <c r="D5231" s="1" t="str">
        <f>"CK2024102025277"</f>
        <v>CK2024102025277</v>
      </c>
      <c r="E5231" s="1" t="str">
        <f>"2429302328000874"</f>
        <v>2429302328000874</v>
      </c>
      <c r="F5231" s="1" t="str">
        <f t="shared" si="1692"/>
        <v>花都四部-凤凰仓</v>
      </c>
      <c r="G5231" s="1" t="str">
        <f t="shared" si="1700"/>
        <v>卡卡杜佳旺专卖店（快手店）</v>
      </c>
      <c r="H5231" s="1" t="str">
        <f t="shared" si="1693"/>
        <v>正常订单</v>
      </c>
      <c r="I5231" s="1" t="str">
        <f t="shared" si="1694"/>
        <v>已发货</v>
      </c>
      <c r="J5231" s="1" t="str">
        <f t="shared" si="1706"/>
        <v>3</v>
      </c>
      <c r="K5231" s="1">
        <v>2</v>
      </c>
      <c r="L5231" s="1" t="s">
        <v>66</v>
      </c>
      <c r="M5231" s="1" t="str">
        <f>"内蒙古自治区 呼和浩特市 新城区 新城区鸿盛高科技园区"</f>
        <v>内蒙古自治区 呼和浩特市 新城区 新城区鸿盛高科技园区</v>
      </c>
      <c r="N5231" s="1" t="str">
        <f t="shared" si="1701"/>
        <v>凡华云仓-城南圆通-快手</v>
      </c>
      <c r="O5231" s="5" t="s">
        <v>5255</v>
      </c>
      <c r="P5231" s="6">
        <v>0.35</v>
      </c>
      <c r="Q5231" s="11">
        <v>2.2999999999999998</v>
      </c>
      <c r="R5231" s="11"/>
      <c r="S5231" s="11"/>
      <c r="T5231" s="11"/>
      <c r="U5231" s="11">
        <f t="shared" si="1690"/>
        <v>2.2999999999999998</v>
      </c>
      <c r="W5231">
        <v>2.5</v>
      </c>
      <c r="X5231" s="1" t="s">
        <v>66</v>
      </c>
    </row>
    <row r="5232" spans="1:24" x14ac:dyDescent="0.25">
      <c r="A5232" s="1" t="str">
        <f t="shared" si="1691"/>
        <v>卡卡杜-凤凰仓</v>
      </c>
      <c r="B5232" s="1" t="str">
        <f>"CK2024102018134"</f>
        <v>CK2024102018134</v>
      </c>
      <c r="C5232" s="1" t="str">
        <f>"DD2024102025365"</f>
        <v>DD2024102025365</v>
      </c>
      <c r="D5232" s="1" t="str">
        <f>"CK2024102025276"</f>
        <v>CK2024102025276</v>
      </c>
      <c r="E5232" s="1" t="str">
        <f>"2429301997674864"</f>
        <v>2429301997674864</v>
      </c>
      <c r="F5232" s="1" t="str">
        <f t="shared" si="1692"/>
        <v>花都四部-凤凰仓</v>
      </c>
      <c r="G5232" s="1" t="str">
        <f t="shared" si="1700"/>
        <v>卡卡杜佳旺专卖店（快手店）</v>
      </c>
      <c r="H5232" s="1" t="str">
        <f t="shared" si="1693"/>
        <v>正常订单</v>
      </c>
      <c r="I5232" s="1" t="str">
        <f t="shared" si="1694"/>
        <v>已发货</v>
      </c>
      <c r="J5232" s="1" t="str">
        <f t="shared" si="1706"/>
        <v>3</v>
      </c>
      <c r="K5232" s="1">
        <v>2</v>
      </c>
      <c r="L5232" s="1" t="s">
        <v>24</v>
      </c>
      <c r="M5232" s="1" t="str">
        <f>"福建省 莆田市 城厢区 华亭镇"</f>
        <v>福建省 莆田市 城厢区 华亭镇</v>
      </c>
      <c r="N5232" s="1" t="str">
        <f t="shared" si="1701"/>
        <v>凡华云仓-城南圆通-快手</v>
      </c>
      <c r="O5232" s="5" t="s">
        <v>5256</v>
      </c>
      <c r="P5232" s="6">
        <v>0.35</v>
      </c>
      <c r="Q5232" s="11">
        <v>2.2999999999999998</v>
      </c>
      <c r="R5232" s="11"/>
      <c r="S5232" s="11"/>
      <c r="T5232" s="11"/>
      <c r="U5232" s="11">
        <f t="shared" si="1690"/>
        <v>2.2999999999999998</v>
      </c>
      <c r="W5232">
        <v>2.5</v>
      </c>
      <c r="X5232" s="1" t="s">
        <v>24</v>
      </c>
    </row>
    <row r="5233" spans="1:24" x14ac:dyDescent="0.25">
      <c r="A5233" s="1" t="str">
        <f t="shared" si="1691"/>
        <v>卡卡杜-凤凰仓</v>
      </c>
      <c r="B5233" s="1" t="str">
        <f>"CK2024102018135"</f>
        <v>CK2024102018135</v>
      </c>
      <c r="C5233" s="1" t="str">
        <f>"DD2024102025366"</f>
        <v>DD2024102025366</v>
      </c>
      <c r="D5233" s="1" t="str">
        <f>"CK2024102025275"</f>
        <v>CK2024102025275</v>
      </c>
      <c r="E5233" s="1" t="str">
        <f>"2429302233505883"</f>
        <v>2429302233505883</v>
      </c>
      <c r="F5233" s="1" t="str">
        <f t="shared" si="1692"/>
        <v>花都四部-凤凰仓</v>
      </c>
      <c r="G5233" s="1" t="str">
        <f t="shared" si="1700"/>
        <v>卡卡杜佳旺专卖店（快手店）</v>
      </c>
      <c r="H5233" s="1" t="str">
        <f t="shared" si="1693"/>
        <v>正常订单</v>
      </c>
      <c r="I5233" s="1" t="str">
        <f t="shared" si="1694"/>
        <v>已发货</v>
      </c>
      <c r="J5233" s="1" t="str">
        <f t="shared" si="1706"/>
        <v>3</v>
      </c>
      <c r="K5233" s="1">
        <v>2</v>
      </c>
      <c r="L5233" s="1" t="s">
        <v>710</v>
      </c>
      <c r="M5233" s="1" t="str">
        <f>"上海市 上海市 青浦区 赵巷镇"</f>
        <v>上海市 上海市 青浦区 赵巷镇</v>
      </c>
      <c r="N5233" s="1" t="str">
        <f t="shared" si="1701"/>
        <v>凡华云仓-城南圆通-快手</v>
      </c>
      <c r="O5233" s="5" t="s">
        <v>5257</v>
      </c>
      <c r="P5233" s="6">
        <v>0.35</v>
      </c>
      <c r="Q5233" s="11">
        <v>2.2999999999999998</v>
      </c>
      <c r="R5233" s="11"/>
      <c r="S5233" s="11"/>
      <c r="T5233" s="11"/>
      <c r="U5233" s="11">
        <f t="shared" si="1690"/>
        <v>2.2999999999999998</v>
      </c>
      <c r="W5233">
        <v>2.5</v>
      </c>
      <c r="X5233" s="1" t="s">
        <v>710</v>
      </c>
    </row>
    <row r="5234" spans="1:24" x14ac:dyDescent="0.25">
      <c r="A5234" s="1" t="str">
        <f t="shared" si="1691"/>
        <v>卡卡杜-凤凰仓</v>
      </c>
      <c r="B5234" s="1" t="str">
        <f>"CK2024102018139"</f>
        <v>CK2024102018139</v>
      </c>
      <c r="C5234" s="1" t="str">
        <f>"DD2024102025367"</f>
        <v>DD2024102025367</v>
      </c>
      <c r="D5234" s="1" t="str">
        <f>"CK2024102025274"</f>
        <v>CK2024102025274</v>
      </c>
      <c r="E5234" s="1" t="str">
        <f>"2429301677074042"</f>
        <v>2429301677074042</v>
      </c>
      <c r="F5234" s="1" t="str">
        <f t="shared" si="1692"/>
        <v>花都四部-凤凰仓</v>
      </c>
      <c r="G5234" s="1" t="str">
        <f t="shared" si="1700"/>
        <v>卡卡杜佳旺专卖店（快手店）</v>
      </c>
      <c r="H5234" s="1" t="str">
        <f t="shared" si="1693"/>
        <v>正常订单</v>
      </c>
      <c r="I5234" s="1" t="str">
        <f t="shared" si="1694"/>
        <v>已发货</v>
      </c>
      <c r="J5234" s="1" t="str">
        <f t="shared" ref="J5234:J5236" si="1707">"5"</f>
        <v>5</v>
      </c>
      <c r="K5234" s="1">
        <v>2</v>
      </c>
      <c r="L5234" s="1" t="s">
        <v>20</v>
      </c>
      <c r="M5234" s="1" t="str">
        <f>"浙江省 台州市 天台县 始丰街道"</f>
        <v>浙江省 台州市 天台县 始丰街道</v>
      </c>
      <c r="N5234" s="1" t="str">
        <f t="shared" si="1701"/>
        <v>凡华云仓-城南圆通-快手</v>
      </c>
      <c r="O5234" s="5" t="s">
        <v>5258</v>
      </c>
      <c r="P5234" s="6">
        <v>0.59</v>
      </c>
      <c r="Q5234" s="11">
        <f t="shared" ref="Q5234:Q5236" si="1708">CEILING(P5234-0.5,0.1)*10*0.15+2.3</f>
        <v>2.4499999999999997</v>
      </c>
      <c r="R5234" s="11"/>
      <c r="S5234" s="11"/>
      <c r="T5234" s="11"/>
      <c r="U5234" s="11">
        <f t="shared" si="1690"/>
        <v>2.4499999999999997</v>
      </c>
      <c r="V5234" t="s">
        <v>15</v>
      </c>
      <c r="W5234">
        <v>2.4500000000000002</v>
      </c>
      <c r="X5234" s="1" t="s">
        <v>20</v>
      </c>
    </row>
    <row r="5235" spans="1:24" x14ac:dyDescent="0.25">
      <c r="A5235" s="1" t="str">
        <f t="shared" si="1691"/>
        <v>卡卡杜-凤凰仓</v>
      </c>
      <c r="B5235" s="1" t="str">
        <f>"CK2024102018140"</f>
        <v>CK2024102018140</v>
      </c>
      <c r="C5235" s="1" t="str">
        <f>"DD2024102025368"</f>
        <v>DD2024102025368</v>
      </c>
      <c r="D5235" s="1" t="str">
        <f>"CK2024102025273"</f>
        <v>CK2024102025273</v>
      </c>
      <c r="E5235" s="1" t="str">
        <f>"2429301672915179"</f>
        <v>2429301672915179</v>
      </c>
      <c r="F5235" s="1" t="str">
        <f t="shared" si="1692"/>
        <v>花都四部-凤凰仓</v>
      </c>
      <c r="G5235" s="1" t="str">
        <f t="shared" si="1700"/>
        <v>卡卡杜佳旺专卖店（快手店）</v>
      </c>
      <c r="H5235" s="1" t="str">
        <f t="shared" si="1693"/>
        <v>正常订单</v>
      </c>
      <c r="I5235" s="1" t="str">
        <f t="shared" si="1694"/>
        <v>已发货</v>
      </c>
      <c r="J5235" s="1" t="str">
        <f t="shared" si="1707"/>
        <v>5</v>
      </c>
      <c r="K5235" s="1">
        <v>2</v>
      </c>
      <c r="L5235" s="1" t="s">
        <v>13</v>
      </c>
      <c r="M5235" s="1" t="str">
        <f>"江苏省 镇江市 丹阳市 丹北镇"</f>
        <v>江苏省 镇江市 丹阳市 丹北镇</v>
      </c>
      <c r="N5235" s="1" t="str">
        <f t="shared" si="1701"/>
        <v>凡华云仓-城南圆通-快手</v>
      </c>
      <c r="O5235" s="5" t="s">
        <v>5259</v>
      </c>
      <c r="P5235" s="6">
        <v>0.59</v>
      </c>
      <c r="Q5235" s="11">
        <f t="shared" si="1708"/>
        <v>2.4499999999999997</v>
      </c>
      <c r="R5235" s="11"/>
      <c r="S5235" s="11"/>
      <c r="T5235" s="11"/>
      <c r="U5235" s="11">
        <f t="shared" si="1690"/>
        <v>2.4499999999999997</v>
      </c>
      <c r="V5235" t="s">
        <v>15</v>
      </c>
      <c r="W5235">
        <v>2.4500000000000002</v>
      </c>
      <c r="X5235" s="1" t="s">
        <v>13</v>
      </c>
    </row>
    <row r="5236" spans="1:24" x14ac:dyDescent="0.25">
      <c r="A5236" s="1" t="str">
        <f t="shared" si="1691"/>
        <v>卡卡杜-凤凰仓</v>
      </c>
      <c r="B5236" s="1" t="str">
        <f>"CK2024102018141"</f>
        <v>CK2024102018141</v>
      </c>
      <c r="C5236" s="1" t="str">
        <f>"DD2024102025369"</f>
        <v>DD2024102025369</v>
      </c>
      <c r="D5236" s="1" t="str">
        <f>"CK2024102025272"</f>
        <v>CK2024102025272</v>
      </c>
      <c r="E5236" s="1" t="str">
        <f>"2429301991408453"</f>
        <v>2429301991408453</v>
      </c>
      <c r="F5236" s="1" t="str">
        <f t="shared" si="1692"/>
        <v>花都四部-凤凰仓</v>
      </c>
      <c r="G5236" s="1" t="str">
        <f t="shared" si="1700"/>
        <v>卡卡杜佳旺专卖店（快手店）</v>
      </c>
      <c r="H5236" s="1" t="str">
        <f t="shared" si="1693"/>
        <v>正常订单</v>
      </c>
      <c r="I5236" s="1" t="str">
        <f t="shared" si="1694"/>
        <v>已发货</v>
      </c>
      <c r="J5236" s="1" t="str">
        <f t="shared" si="1707"/>
        <v>5</v>
      </c>
      <c r="K5236" s="1">
        <v>2</v>
      </c>
      <c r="L5236" s="1" t="s">
        <v>18</v>
      </c>
      <c r="M5236" s="1" t="str">
        <f>"广东省 深圳市 宝安区 沙井街道"</f>
        <v>广东省 深圳市 宝安区 沙井街道</v>
      </c>
      <c r="N5236" s="1" t="str">
        <f t="shared" si="1701"/>
        <v>凡华云仓-城南圆通-快手</v>
      </c>
      <c r="O5236" s="5" t="s">
        <v>5260</v>
      </c>
      <c r="P5236" s="6">
        <v>0.59</v>
      </c>
      <c r="Q5236" s="11">
        <f t="shared" si="1708"/>
        <v>2.4499999999999997</v>
      </c>
      <c r="R5236" s="11"/>
      <c r="S5236" s="11"/>
      <c r="T5236" s="11"/>
      <c r="U5236" s="11">
        <f t="shared" si="1690"/>
        <v>2.4499999999999997</v>
      </c>
      <c r="V5236" t="s">
        <v>15</v>
      </c>
      <c r="W5236">
        <v>2.4500000000000002</v>
      </c>
      <c r="X5236" s="1" t="s">
        <v>18</v>
      </c>
    </row>
    <row r="5237" spans="1:24" x14ac:dyDescent="0.25">
      <c r="A5237" s="1" t="str">
        <f t="shared" si="1691"/>
        <v>卡卡杜-凤凰仓</v>
      </c>
      <c r="B5237" s="1" t="str">
        <f>"CK2024102018143"</f>
        <v>CK2024102018143</v>
      </c>
      <c r="C5237" s="1" t="str">
        <f>"DD2024102025372"</f>
        <v>DD2024102025372</v>
      </c>
      <c r="D5237" s="1" t="str">
        <f>"CK2024102025271"</f>
        <v>CK2024102025271</v>
      </c>
      <c r="E5237" s="1" t="str">
        <f>"2429301910955392"</f>
        <v>2429301910955392</v>
      </c>
      <c r="F5237" s="1" t="str">
        <f t="shared" si="1692"/>
        <v>花都四部-凤凰仓</v>
      </c>
      <c r="G5237" s="1" t="str">
        <f t="shared" si="1700"/>
        <v>卡卡杜佳旺专卖店（快手店）</v>
      </c>
      <c r="H5237" s="1" t="str">
        <f t="shared" si="1693"/>
        <v>正常订单</v>
      </c>
      <c r="I5237" s="1" t="str">
        <f t="shared" si="1694"/>
        <v>已发货</v>
      </c>
      <c r="J5237" s="1" t="str">
        <f t="shared" ref="J5237:J5241" si="1709">"3"</f>
        <v>3</v>
      </c>
      <c r="K5237" s="1">
        <v>2</v>
      </c>
      <c r="L5237" s="1" t="s">
        <v>20</v>
      </c>
      <c r="M5237" s="1" t="str">
        <f>"浙江省 杭州市 淳安县 千岛湖镇"</f>
        <v>浙江省 杭州市 淳安县 千岛湖镇</v>
      </c>
      <c r="N5237" s="1" t="str">
        <f t="shared" si="1701"/>
        <v>凡华云仓-城南圆通-快手</v>
      </c>
      <c r="O5237" s="5" t="s">
        <v>5261</v>
      </c>
      <c r="P5237" s="6">
        <v>0.35</v>
      </c>
      <c r="Q5237" s="11">
        <v>2.2999999999999998</v>
      </c>
      <c r="R5237" s="11"/>
      <c r="S5237" s="11"/>
      <c r="T5237" s="11"/>
      <c r="U5237" s="11">
        <f t="shared" si="1690"/>
        <v>2.2999999999999998</v>
      </c>
      <c r="W5237">
        <v>2.5</v>
      </c>
      <c r="X5237" s="1" t="s">
        <v>20</v>
      </c>
    </row>
    <row r="5238" spans="1:24" x14ac:dyDescent="0.25">
      <c r="A5238" s="1" t="str">
        <f t="shared" si="1691"/>
        <v>卡卡杜-凤凰仓</v>
      </c>
      <c r="B5238" s="1" t="str">
        <f>"CK2024102018144"</f>
        <v>CK2024102018144</v>
      </c>
      <c r="C5238" s="1" t="str">
        <f>"DD2024102025371"</f>
        <v>DD2024102025371</v>
      </c>
      <c r="D5238" s="1" t="str">
        <f>"CK2024102025270"</f>
        <v>CK2024102025270</v>
      </c>
      <c r="E5238" s="1" t="str">
        <f>"2429302567201687"</f>
        <v>2429302567201687</v>
      </c>
      <c r="F5238" s="1" t="str">
        <f t="shared" si="1692"/>
        <v>花都四部-凤凰仓</v>
      </c>
      <c r="G5238" s="1" t="str">
        <f t="shared" si="1700"/>
        <v>卡卡杜佳旺专卖店（快手店）</v>
      </c>
      <c r="H5238" s="1" t="str">
        <f t="shared" si="1693"/>
        <v>正常订单</v>
      </c>
      <c r="I5238" s="1" t="str">
        <f t="shared" si="1694"/>
        <v>已发货</v>
      </c>
      <c r="J5238" s="1" t="str">
        <f>"5"</f>
        <v>5</v>
      </c>
      <c r="K5238" s="1">
        <v>2</v>
      </c>
      <c r="L5238" s="1" t="s">
        <v>13</v>
      </c>
      <c r="M5238" s="1" t="str">
        <f>"江苏省 镇江市 丹阳市 丹北镇"</f>
        <v>江苏省 镇江市 丹阳市 丹北镇</v>
      </c>
      <c r="N5238" s="1" t="str">
        <f t="shared" si="1701"/>
        <v>凡华云仓-城南圆通-快手</v>
      </c>
      <c r="O5238" s="5" t="s">
        <v>5262</v>
      </c>
      <c r="P5238" s="6">
        <v>0.59</v>
      </c>
      <c r="Q5238" s="11">
        <f>CEILING(P5238-0.5,0.1)*10*0.15+2.3</f>
        <v>2.4499999999999997</v>
      </c>
      <c r="R5238" s="11"/>
      <c r="S5238" s="11"/>
      <c r="T5238" s="11"/>
      <c r="U5238" s="11">
        <f t="shared" si="1690"/>
        <v>2.4499999999999997</v>
      </c>
      <c r="V5238" t="s">
        <v>15</v>
      </c>
      <c r="W5238">
        <v>2.4500000000000002</v>
      </c>
      <c r="X5238" s="1" t="s">
        <v>13</v>
      </c>
    </row>
    <row r="5239" spans="1:24" x14ac:dyDescent="0.25">
      <c r="A5239" s="1" t="str">
        <f t="shared" si="1691"/>
        <v>卡卡杜-凤凰仓</v>
      </c>
      <c r="B5239" s="1" t="str">
        <f>"CK2024102018142"</f>
        <v>CK2024102018142</v>
      </c>
      <c r="C5239" s="1" t="str">
        <f>"DD2024102025370"</f>
        <v>DD2024102025370</v>
      </c>
      <c r="D5239" s="1" t="str">
        <f>"CK2024102025269"</f>
        <v>CK2024102025269</v>
      </c>
      <c r="E5239" s="1" t="str">
        <f>"2429301670018359"</f>
        <v>2429301670018359</v>
      </c>
      <c r="F5239" s="1" t="str">
        <f t="shared" si="1692"/>
        <v>花都四部-凤凰仓</v>
      </c>
      <c r="G5239" s="1" t="str">
        <f t="shared" si="1700"/>
        <v>卡卡杜佳旺专卖店（快手店）</v>
      </c>
      <c r="H5239" s="1" t="str">
        <f t="shared" si="1693"/>
        <v>正常订单</v>
      </c>
      <c r="I5239" s="1" t="str">
        <f t="shared" si="1694"/>
        <v>已发货</v>
      </c>
      <c r="J5239" s="1" t="str">
        <f t="shared" si="1709"/>
        <v>3</v>
      </c>
      <c r="K5239" s="1">
        <v>2</v>
      </c>
      <c r="L5239" s="1" t="s">
        <v>1111</v>
      </c>
      <c r="M5239" s="1" t="str">
        <f>"青海省 西宁市 城西区 古城台街道"</f>
        <v>青海省 西宁市 城西区 古城台街道</v>
      </c>
      <c r="N5239" s="1" t="str">
        <f t="shared" si="1701"/>
        <v>凡华云仓-城南圆通-快手</v>
      </c>
      <c r="O5239" s="5" t="s">
        <v>5263</v>
      </c>
      <c r="P5239" s="6">
        <v>0.35</v>
      </c>
      <c r="Q5239" s="11">
        <v>2.2999999999999998</v>
      </c>
      <c r="R5239" s="11"/>
      <c r="S5239" s="11"/>
      <c r="T5239" s="11"/>
      <c r="U5239" s="11">
        <f t="shared" si="1690"/>
        <v>2.2999999999999998</v>
      </c>
      <c r="W5239">
        <v>2.5</v>
      </c>
      <c r="X5239" s="1" t="s">
        <v>1111</v>
      </c>
    </row>
    <row r="5240" spans="1:24" x14ac:dyDescent="0.25">
      <c r="A5240" s="1" t="str">
        <f t="shared" si="1691"/>
        <v>卡卡杜-凤凰仓</v>
      </c>
      <c r="B5240" s="1" t="str">
        <f>"CK2024102018145"</f>
        <v>CK2024102018145</v>
      </c>
      <c r="C5240" s="1" t="str">
        <f>"DD2024102025373"</f>
        <v>DD2024102025373</v>
      </c>
      <c r="D5240" s="1" t="str">
        <f>"CK2024102025268"</f>
        <v>CK2024102025268</v>
      </c>
      <c r="E5240" s="1" t="str">
        <f>"2429301997304707"</f>
        <v>2429301997304707</v>
      </c>
      <c r="F5240" s="1" t="str">
        <f t="shared" si="1692"/>
        <v>花都四部-凤凰仓</v>
      </c>
      <c r="G5240" s="1" t="str">
        <f t="shared" si="1700"/>
        <v>卡卡杜佳旺专卖店（快手店）</v>
      </c>
      <c r="H5240" s="1" t="str">
        <f t="shared" si="1693"/>
        <v>正常订单</v>
      </c>
      <c r="I5240" s="1" t="str">
        <f t="shared" si="1694"/>
        <v>已发货</v>
      </c>
      <c r="J5240" s="1" t="str">
        <f t="shared" si="1709"/>
        <v>3</v>
      </c>
      <c r="K5240" s="1">
        <v>2</v>
      </c>
      <c r="L5240" s="1" t="s">
        <v>13</v>
      </c>
      <c r="M5240" s="1" t="str">
        <f>"江苏省 苏州市 相城区 黄埭镇"</f>
        <v>江苏省 苏州市 相城区 黄埭镇</v>
      </c>
      <c r="N5240" s="1" t="str">
        <f t="shared" si="1701"/>
        <v>凡华云仓-城南圆通-快手</v>
      </c>
      <c r="O5240" s="5" t="s">
        <v>5264</v>
      </c>
      <c r="P5240" s="6">
        <v>0.35</v>
      </c>
      <c r="Q5240" s="11">
        <v>2.2999999999999998</v>
      </c>
      <c r="R5240" s="11"/>
      <c r="S5240" s="11"/>
      <c r="T5240" s="11"/>
      <c r="U5240" s="11">
        <f t="shared" si="1690"/>
        <v>2.2999999999999998</v>
      </c>
      <c r="W5240">
        <v>2.5</v>
      </c>
      <c r="X5240" s="1" t="s">
        <v>13</v>
      </c>
    </row>
    <row r="5241" spans="1:24" x14ac:dyDescent="0.25">
      <c r="A5241" s="1" t="str">
        <f t="shared" si="1691"/>
        <v>卡卡杜-凤凰仓</v>
      </c>
      <c r="B5241" s="1" t="str">
        <f>"CK2024102018147"</f>
        <v>CK2024102018147</v>
      </c>
      <c r="C5241" s="1" t="str">
        <f>"DD2024102025376"</f>
        <v>DD2024102025376</v>
      </c>
      <c r="D5241" s="1" t="str">
        <f>"CK2024102025267"</f>
        <v>CK2024102025267</v>
      </c>
      <c r="E5241" s="1" t="str">
        <f>"2429302246296934"</f>
        <v>2429302246296934</v>
      </c>
      <c r="F5241" s="1" t="str">
        <f t="shared" si="1692"/>
        <v>花都四部-凤凰仓</v>
      </c>
      <c r="G5241" s="1" t="str">
        <f t="shared" si="1700"/>
        <v>卡卡杜佳旺专卖店（快手店）</v>
      </c>
      <c r="H5241" s="1" t="str">
        <f t="shared" si="1693"/>
        <v>正常订单</v>
      </c>
      <c r="I5241" s="1" t="str">
        <f t="shared" si="1694"/>
        <v>已发货</v>
      </c>
      <c r="J5241" s="1" t="str">
        <f t="shared" si="1709"/>
        <v>3</v>
      </c>
      <c r="K5241" s="1">
        <v>2</v>
      </c>
      <c r="L5241" s="1" t="s">
        <v>66</v>
      </c>
      <c r="M5241" s="1" t="str">
        <f>"内蒙古自治区 锡林郭勒盟 西乌珠穆沁旗 巴拉嘎尔高勒镇"</f>
        <v>内蒙古自治区 锡林郭勒盟 西乌珠穆沁旗 巴拉嘎尔高勒镇</v>
      </c>
      <c r="N5241" s="1" t="str">
        <f t="shared" si="1701"/>
        <v>凡华云仓-城南圆通-快手</v>
      </c>
      <c r="O5241" s="5" t="s">
        <v>5265</v>
      </c>
      <c r="P5241" s="6">
        <v>0.35</v>
      </c>
      <c r="Q5241" s="11">
        <v>2.2999999999999998</v>
      </c>
      <c r="R5241" s="11"/>
      <c r="S5241" s="11"/>
      <c r="T5241" s="11"/>
      <c r="U5241" s="11">
        <f t="shared" si="1690"/>
        <v>2.2999999999999998</v>
      </c>
      <c r="W5241">
        <v>2.5</v>
      </c>
      <c r="X5241" s="1" t="s">
        <v>66</v>
      </c>
    </row>
    <row r="5242" spans="1:24" x14ac:dyDescent="0.25">
      <c r="A5242" s="1" t="str">
        <f t="shared" si="1691"/>
        <v>卡卡杜-凤凰仓</v>
      </c>
      <c r="B5242" s="1" t="str">
        <f>"CK2024102018150"</f>
        <v>CK2024102018150</v>
      </c>
      <c r="C5242" s="1" t="str">
        <f>"DD2024102025378"</f>
        <v>DD2024102025378</v>
      </c>
      <c r="D5242" s="1" t="str">
        <f>"CK2024102025266"</f>
        <v>CK2024102025266</v>
      </c>
      <c r="E5242" s="1" t="str">
        <f>"2429302247003079"</f>
        <v>2429302247003079</v>
      </c>
      <c r="F5242" s="1" t="str">
        <f t="shared" si="1692"/>
        <v>花都四部-凤凰仓</v>
      </c>
      <c r="G5242" s="1" t="str">
        <f t="shared" si="1700"/>
        <v>卡卡杜佳旺专卖店（快手店）</v>
      </c>
      <c r="H5242" s="1" t="str">
        <f t="shared" si="1693"/>
        <v>正常订单</v>
      </c>
      <c r="I5242" s="1" t="str">
        <f t="shared" si="1694"/>
        <v>已发货</v>
      </c>
      <c r="J5242" s="1" t="str">
        <f>"5"</f>
        <v>5</v>
      </c>
      <c r="K5242" s="1">
        <v>2</v>
      </c>
      <c r="L5242" s="1" t="s">
        <v>80</v>
      </c>
      <c r="M5242" s="1" t="str">
        <f>"河南省 驻马店市 泌阳县 花园街道"</f>
        <v>河南省 驻马店市 泌阳县 花园街道</v>
      </c>
      <c r="N5242" s="1" t="str">
        <f t="shared" si="1701"/>
        <v>凡华云仓-城南圆通-快手</v>
      </c>
      <c r="O5242" s="5" t="s">
        <v>5266</v>
      </c>
      <c r="P5242" s="6">
        <v>0.59</v>
      </c>
      <c r="Q5242" s="11">
        <f>CEILING(P5242-0.5,0.1)*10*0.15+2.3</f>
        <v>2.4499999999999997</v>
      </c>
      <c r="R5242" s="11"/>
      <c r="S5242" s="11"/>
      <c r="T5242" s="11"/>
      <c r="U5242" s="11">
        <f t="shared" si="1690"/>
        <v>2.4499999999999997</v>
      </c>
      <c r="V5242" t="s">
        <v>15</v>
      </c>
      <c r="W5242">
        <v>2.4500000000000002</v>
      </c>
      <c r="X5242" s="1" t="s">
        <v>80</v>
      </c>
    </row>
    <row r="5243" spans="1:24" x14ac:dyDescent="0.25">
      <c r="A5243" s="1" t="str">
        <f t="shared" si="1691"/>
        <v>卡卡杜-凤凰仓</v>
      </c>
      <c r="B5243" s="1" t="str">
        <f>"CK2024102018151"</f>
        <v>CK2024102018151</v>
      </c>
      <c r="C5243" s="1" t="str">
        <f>"DD2024102025380"</f>
        <v>DD2024102025380</v>
      </c>
      <c r="D5243" s="1" t="str">
        <f>"CK2024102025265"</f>
        <v>CK2024102025265</v>
      </c>
      <c r="E5243" s="1" t="str">
        <f>"2429301834977920"</f>
        <v>2429301834977920</v>
      </c>
      <c r="F5243" s="1" t="str">
        <f t="shared" si="1692"/>
        <v>花都四部-凤凰仓</v>
      </c>
      <c r="G5243" s="1" t="str">
        <f t="shared" si="1700"/>
        <v>卡卡杜佳旺专卖店（快手店）</v>
      </c>
      <c r="H5243" s="1" t="str">
        <f t="shared" si="1693"/>
        <v>正常订单</v>
      </c>
      <c r="I5243" s="1" t="str">
        <f t="shared" si="1694"/>
        <v>已发货</v>
      </c>
      <c r="J5243" s="1" t="str">
        <f t="shared" ref="J5243:J5247" si="1710">"3"</f>
        <v>3</v>
      </c>
      <c r="K5243" s="1">
        <v>2</v>
      </c>
      <c r="L5243" s="1" t="s">
        <v>18</v>
      </c>
      <c r="M5243" s="1" t="str">
        <f>"广东省 东莞市 高埗镇 高埗镇"</f>
        <v>广东省 东莞市 高埗镇 高埗镇</v>
      </c>
      <c r="N5243" s="1" t="str">
        <f t="shared" si="1701"/>
        <v>凡华云仓-城南圆通-快手</v>
      </c>
      <c r="O5243" s="5" t="s">
        <v>5267</v>
      </c>
      <c r="P5243" s="6">
        <v>0.35</v>
      </c>
      <c r="Q5243" s="11">
        <v>2.2999999999999998</v>
      </c>
      <c r="R5243" s="11"/>
      <c r="S5243" s="11"/>
      <c r="T5243" s="11"/>
      <c r="U5243" s="11">
        <f t="shared" si="1690"/>
        <v>2.2999999999999998</v>
      </c>
      <c r="W5243">
        <v>2.5</v>
      </c>
      <c r="X5243" s="1" t="s">
        <v>18</v>
      </c>
    </row>
    <row r="5244" spans="1:24" x14ac:dyDescent="0.25">
      <c r="A5244" s="1" t="str">
        <f t="shared" si="1691"/>
        <v>卡卡杜-凤凰仓</v>
      </c>
      <c r="B5244" s="1" t="str">
        <f>"CK2024102018152"</f>
        <v>CK2024102018152</v>
      </c>
      <c r="C5244" s="1" t="str">
        <f>"DD2024102025379"</f>
        <v>DD2024102025379</v>
      </c>
      <c r="D5244" s="1" t="str">
        <f>"CK2024102025264"</f>
        <v>CK2024102025264</v>
      </c>
      <c r="E5244" s="1" t="str">
        <f>"2429301918586118"</f>
        <v>2429301918586118</v>
      </c>
      <c r="F5244" s="1" t="str">
        <f t="shared" si="1692"/>
        <v>花都四部-凤凰仓</v>
      </c>
      <c r="G5244" s="1" t="str">
        <f t="shared" si="1700"/>
        <v>卡卡杜佳旺专卖店（快手店）</v>
      </c>
      <c r="H5244" s="1" t="str">
        <f t="shared" si="1693"/>
        <v>正常订单</v>
      </c>
      <c r="I5244" s="1" t="str">
        <f t="shared" si="1694"/>
        <v>已发货</v>
      </c>
      <c r="J5244" s="1" t="str">
        <f t="shared" si="1710"/>
        <v>3</v>
      </c>
      <c r="K5244" s="1">
        <v>2</v>
      </c>
      <c r="L5244" s="1" t="s">
        <v>80</v>
      </c>
      <c r="M5244" s="1" t="str">
        <f>"河南省 新乡市 卫滨区 胜利路街道"</f>
        <v>河南省 新乡市 卫滨区 胜利路街道</v>
      </c>
      <c r="N5244" s="1" t="str">
        <f t="shared" si="1701"/>
        <v>凡华云仓-城南圆通-快手</v>
      </c>
      <c r="O5244" s="5" t="s">
        <v>5268</v>
      </c>
      <c r="P5244" s="6">
        <v>0.35</v>
      </c>
      <c r="Q5244" s="11">
        <v>2.2999999999999998</v>
      </c>
      <c r="R5244" s="11"/>
      <c r="S5244" s="11"/>
      <c r="T5244" s="11"/>
      <c r="U5244" s="11">
        <f t="shared" si="1690"/>
        <v>2.2999999999999998</v>
      </c>
      <c r="W5244">
        <v>2.5</v>
      </c>
      <c r="X5244" s="1" t="s">
        <v>80</v>
      </c>
    </row>
    <row r="5245" spans="1:24" x14ac:dyDescent="0.25">
      <c r="A5245" s="1" t="str">
        <f t="shared" si="1691"/>
        <v>卡卡杜-凤凰仓</v>
      </c>
      <c r="B5245" s="1" t="str">
        <f>"CK2024102018154"</f>
        <v>CK2024102018154</v>
      </c>
      <c r="C5245" s="1" t="str">
        <f>"DD2024102025382"</f>
        <v>DD2024102025382</v>
      </c>
      <c r="D5245" s="1" t="str">
        <f>"CK2024102025263"</f>
        <v>CK2024102025263</v>
      </c>
      <c r="E5245" s="1" t="str">
        <f>"2429302060392133"</f>
        <v>2429302060392133</v>
      </c>
      <c r="F5245" s="1" t="str">
        <f t="shared" si="1692"/>
        <v>花都四部-凤凰仓</v>
      </c>
      <c r="G5245" s="1" t="str">
        <f t="shared" si="1700"/>
        <v>卡卡杜佳旺专卖店（快手店）</v>
      </c>
      <c r="H5245" s="1" t="str">
        <f t="shared" si="1693"/>
        <v>正常订单</v>
      </c>
      <c r="I5245" s="1" t="str">
        <f t="shared" si="1694"/>
        <v>已发货</v>
      </c>
      <c r="J5245" s="1" t="str">
        <f t="shared" si="1710"/>
        <v>3</v>
      </c>
      <c r="K5245" s="1">
        <v>2</v>
      </c>
      <c r="L5245" s="1" t="s">
        <v>161</v>
      </c>
      <c r="M5245" s="1" t="str">
        <f>"四川省 成都市 金牛区 天回镇街道"</f>
        <v>四川省 成都市 金牛区 天回镇街道</v>
      </c>
      <c r="N5245" s="1" t="str">
        <f t="shared" si="1701"/>
        <v>凡华云仓-城南圆通-快手</v>
      </c>
      <c r="O5245" s="5" t="s">
        <v>5269</v>
      </c>
      <c r="P5245" s="6">
        <v>0.35</v>
      </c>
      <c r="Q5245" s="11">
        <v>2.2999999999999998</v>
      </c>
      <c r="R5245" s="11"/>
      <c r="S5245" s="11"/>
      <c r="T5245" s="11"/>
      <c r="U5245" s="11">
        <f t="shared" si="1690"/>
        <v>2.2999999999999998</v>
      </c>
      <c r="W5245">
        <v>2.5</v>
      </c>
      <c r="X5245" s="1" t="s">
        <v>161</v>
      </c>
    </row>
    <row r="5246" spans="1:24" x14ac:dyDescent="0.25">
      <c r="A5246" s="1" t="str">
        <f t="shared" si="1691"/>
        <v>卡卡杜-凤凰仓</v>
      </c>
      <c r="B5246" s="1" t="str">
        <f>"CK2024102018155"</f>
        <v>CK2024102018155</v>
      </c>
      <c r="C5246" s="1" t="str">
        <f>"DD2024102025383"</f>
        <v>DD2024102025383</v>
      </c>
      <c r="D5246" s="1" t="str">
        <f>"CK2024102025262"</f>
        <v>CK2024102025262</v>
      </c>
      <c r="E5246" s="1" t="str">
        <f>"2429302232297906"</f>
        <v>2429302232297906</v>
      </c>
      <c r="F5246" s="1" t="str">
        <f t="shared" si="1692"/>
        <v>花都四部-凤凰仓</v>
      </c>
      <c r="G5246" s="1" t="str">
        <f t="shared" si="1700"/>
        <v>卡卡杜佳旺专卖店（快手店）</v>
      </c>
      <c r="H5246" s="1" t="str">
        <f t="shared" si="1693"/>
        <v>正常订单</v>
      </c>
      <c r="I5246" s="1" t="str">
        <f t="shared" si="1694"/>
        <v>已发货</v>
      </c>
      <c r="J5246" s="1" t="str">
        <f t="shared" si="1710"/>
        <v>3</v>
      </c>
      <c r="K5246" s="1">
        <v>2</v>
      </c>
      <c r="L5246" s="1" t="s">
        <v>66</v>
      </c>
      <c r="M5246" s="1" t="str">
        <f>"内蒙古自治区 乌兰察布市 商都县 七台镇"</f>
        <v>内蒙古自治区 乌兰察布市 商都县 七台镇</v>
      </c>
      <c r="N5246" s="1" t="str">
        <f t="shared" si="1701"/>
        <v>凡华云仓-城南圆通-快手</v>
      </c>
      <c r="O5246" s="5" t="s">
        <v>5270</v>
      </c>
      <c r="P5246" s="6">
        <v>0.35</v>
      </c>
      <c r="Q5246" s="11">
        <v>2.2999999999999998</v>
      </c>
      <c r="R5246" s="11"/>
      <c r="S5246" s="11"/>
      <c r="T5246" s="11"/>
      <c r="U5246" s="11">
        <f t="shared" si="1690"/>
        <v>2.2999999999999998</v>
      </c>
      <c r="W5246">
        <v>2.5</v>
      </c>
      <c r="X5246" s="1" t="s">
        <v>66</v>
      </c>
    </row>
    <row r="5247" spans="1:24" x14ac:dyDescent="0.25">
      <c r="A5247" s="1" t="str">
        <f t="shared" si="1691"/>
        <v>卡卡杜-凤凰仓</v>
      </c>
      <c r="B5247" s="1" t="str">
        <f>"CK2024102018156"</f>
        <v>CK2024102018156</v>
      </c>
      <c r="C5247" s="1" t="str">
        <f>"DD2024102025384"</f>
        <v>DD2024102025384</v>
      </c>
      <c r="D5247" s="1" t="str">
        <f>"CK2024102025261"</f>
        <v>CK2024102025261</v>
      </c>
      <c r="E5247" s="1" t="str">
        <f>"2429301753314004"</f>
        <v>2429301753314004</v>
      </c>
      <c r="F5247" s="1" t="str">
        <f t="shared" si="1692"/>
        <v>花都四部-凤凰仓</v>
      </c>
      <c r="G5247" s="1" t="str">
        <f t="shared" si="1700"/>
        <v>卡卡杜佳旺专卖店（快手店）</v>
      </c>
      <c r="H5247" s="1" t="str">
        <f t="shared" si="1693"/>
        <v>正常订单</v>
      </c>
      <c r="I5247" s="1" t="str">
        <f t="shared" si="1694"/>
        <v>已发货</v>
      </c>
      <c r="J5247" s="1" t="str">
        <f t="shared" si="1710"/>
        <v>3</v>
      </c>
      <c r="K5247" s="1">
        <v>2</v>
      </c>
      <c r="L5247" s="1" t="s">
        <v>30</v>
      </c>
      <c r="M5247" s="1" t="str">
        <f>"山东省 烟台市 福山区 福新街道"</f>
        <v>山东省 烟台市 福山区 福新街道</v>
      </c>
      <c r="N5247" s="1" t="str">
        <f t="shared" si="1701"/>
        <v>凡华云仓-城南圆通-快手</v>
      </c>
      <c r="O5247" s="5" t="s">
        <v>5271</v>
      </c>
      <c r="P5247" s="6">
        <v>0.35</v>
      </c>
      <c r="Q5247" s="11">
        <v>2.2999999999999998</v>
      </c>
      <c r="R5247" s="11"/>
      <c r="S5247" s="11"/>
      <c r="T5247" s="11"/>
      <c r="U5247" s="11">
        <f t="shared" si="1690"/>
        <v>2.2999999999999998</v>
      </c>
      <c r="W5247">
        <v>2.5</v>
      </c>
      <c r="X5247" s="1" t="s">
        <v>30</v>
      </c>
    </row>
    <row r="5248" spans="1:24" x14ac:dyDescent="0.25">
      <c r="A5248" s="1" t="str">
        <f t="shared" si="1691"/>
        <v>卡卡杜-凤凰仓</v>
      </c>
      <c r="B5248" s="1" t="str">
        <f>"CK2024102018157"</f>
        <v>CK2024102018157</v>
      </c>
      <c r="C5248" s="1" t="str">
        <f>"DD2024102025385"</f>
        <v>DD2024102025385</v>
      </c>
      <c r="D5248" s="1" t="str">
        <f>"CK2024102025260"</f>
        <v>CK2024102025260</v>
      </c>
      <c r="E5248" s="1" t="str">
        <f>"2429302254459709"</f>
        <v>2429302254459709</v>
      </c>
      <c r="F5248" s="1" t="str">
        <f t="shared" si="1692"/>
        <v>花都四部-凤凰仓</v>
      </c>
      <c r="G5248" s="1" t="str">
        <f t="shared" si="1700"/>
        <v>卡卡杜佳旺专卖店（快手店）</v>
      </c>
      <c r="H5248" s="1" t="str">
        <f t="shared" si="1693"/>
        <v>正常订单</v>
      </c>
      <c r="I5248" s="1" t="str">
        <f t="shared" si="1694"/>
        <v>已发货</v>
      </c>
      <c r="J5248" s="1" t="str">
        <f t="shared" ref="J5248:J5252" si="1711">"5"</f>
        <v>5</v>
      </c>
      <c r="K5248" s="1">
        <v>2</v>
      </c>
      <c r="L5248" s="1" t="s">
        <v>24</v>
      </c>
      <c r="M5248" s="1" t="str">
        <f>"福建省 厦门市 同安区 新民镇"</f>
        <v>福建省 厦门市 同安区 新民镇</v>
      </c>
      <c r="N5248" s="1" t="str">
        <f t="shared" si="1701"/>
        <v>凡华云仓-城南圆通-快手</v>
      </c>
      <c r="O5248" s="5" t="s">
        <v>5272</v>
      </c>
      <c r="P5248" s="6">
        <v>0.59</v>
      </c>
      <c r="Q5248" s="11">
        <f t="shared" ref="Q5248:Q5252" si="1712">CEILING(P5248-0.5,0.1)*10*0.15+2.3</f>
        <v>2.4499999999999997</v>
      </c>
      <c r="R5248" s="11"/>
      <c r="S5248" s="11"/>
      <c r="T5248" s="11"/>
      <c r="U5248" s="11">
        <f t="shared" si="1690"/>
        <v>2.4499999999999997</v>
      </c>
      <c r="V5248" t="s">
        <v>15</v>
      </c>
      <c r="W5248">
        <v>2.4500000000000002</v>
      </c>
      <c r="X5248" s="1" t="s">
        <v>24</v>
      </c>
    </row>
    <row r="5249" spans="1:24" x14ac:dyDescent="0.25">
      <c r="A5249" s="1" t="str">
        <f t="shared" si="1691"/>
        <v>卡卡杜-凤凰仓</v>
      </c>
      <c r="B5249" s="1" t="str">
        <f>"CK2024102018158"</f>
        <v>CK2024102018158</v>
      </c>
      <c r="C5249" s="1" t="str">
        <f>"DD2024102025386"</f>
        <v>DD2024102025386</v>
      </c>
      <c r="D5249" s="1" t="str">
        <f>"CK2024102025259"</f>
        <v>CK2024102025259</v>
      </c>
      <c r="E5249" s="1" t="str">
        <f>"2429302151593341"</f>
        <v>2429302151593341</v>
      </c>
      <c r="F5249" s="1" t="str">
        <f t="shared" si="1692"/>
        <v>花都四部-凤凰仓</v>
      </c>
      <c r="G5249" s="1" t="str">
        <f t="shared" si="1700"/>
        <v>卡卡杜佳旺专卖店（快手店）</v>
      </c>
      <c r="H5249" s="1" t="str">
        <f t="shared" si="1693"/>
        <v>正常订单</v>
      </c>
      <c r="I5249" s="1" t="str">
        <f t="shared" si="1694"/>
        <v>已发货</v>
      </c>
      <c r="J5249" s="1" t="str">
        <f t="shared" ref="J5249:J5255" si="1713">"3"</f>
        <v>3</v>
      </c>
      <c r="K5249" s="1">
        <v>2</v>
      </c>
      <c r="L5249" s="1" t="s">
        <v>136</v>
      </c>
      <c r="M5249" s="1" t="str">
        <f>"北京市 北京市 顺义区 李桥镇"</f>
        <v>北京市 北京市 顺义区 李桥镇</v>
      </c>
      <c r="N5249" s="1" t="str">
        <f t="shared" si="1701"/>
        <v>凡华云仓-城南圆通-快手</v>
      </c>
      <c r="O5249" s="5" t="s">
        <v>5273</v>
      </c>
      <c r="P5249" s="6">
        <v>0.35</v>
      </c>
      <c r="Q5249" s="11">
        <v>2.2999999999999998</v>
      </c>
      <c r="R5249" s="11"/>
      <c r="S5249" s="11"/>
      <c r="T5249" s="11"/>
      <c r="U5249" s="11">
        <f t="shared" si="1690"/>
        <v>2.2999999999999998</v>
      </c>
      <c r="W5249">
        <v>2.5</v>
      </c>
      <c r="X5249" s="1" t="s">
        <v>136</v>
      </c>
    </row>
    <row r="5250" spans="1:24" x14ac:dyDescent="0.25">
      <c r="A5250" s="1" t="str">
        <f t="shared" si="1691"/>
        <v>卡卡杜-凤凰仓</v>
      </c>
      <c r="B5250" s="1" t="str">
        <f>"CK2024102018159"</f>
        <v>CK2024102018159</v>
      </c>
      <c r="C5250" s="1" t="str">
        <f>"DD2024102025387"</f>
        <v>DD2024102025387</v>
      </c>
      <c r="D5250" s="1" t="str">
        <f>"CK2024102025258"</f>
        <v>CK2024102025258</v>
      </c>
      <c r="E5250" s="1" t="str">
        <f>"2429301670146681"</f>
        <v>2429301670146681</v>
      </c>
      <c r="F5250" s="1" t="str">
        <f t="shared" si="1692"/>
        <v>花都四部-凤凰仓</v>
      </c>
      <c r="G5250" s="1" t="str">
        <f t="shared" si="1700"/>
        <v>卡卡杜佳旺专卖店（快手店）</v>
      </c>
      <c r="H5250" s="1" t="str">
        <f t="shared" si="1693"/>
        <v>正常订单</v>
      </c>
      <c r="I5250" s="1" t="str">
        <f t="shared" si="1694"/>
        <v>已发货</v>
      </c>
      <c r="J5250" s="1" t="str">
        <f t="shared" si="1711"/>
        <v>5</v>
      </c>
      <c r="K5250" s="1">
        <v>2</v>
      </c>
      <c r="L5250" s="1" t="s">
        <v>20</v>
      </c>
      <c r="M5250" s="1" t="str">
        <f>"浙江省 杭州市 西湖区 文新街道"</f>
        <v>浙江省 杭州市 西湖区 文新街道</v>
      </c>
      <c r="N5250" s="1" t="str">
        <f t="shared" si="1701"/>
        <v>凡华云仓-城南圆通-快手</v>
      </c>
      <c r="O5250" s="5" t="s">
        <v>5274</v>
      </c>
      <c r="P5250" s="6">
        <v>0.59</v>
      </c>
      <c r="Q5250" s="11">
        <f t="shared" si="1712"/>
        <v>2.4499999999999997</v>
      </c>
      <c r="R5250" s="11"/>
      <c r="S5250" s="11"/>
      <c r="T5250" s="11"/>
      <c r="U5250" s="11">
        <f t="shared" si="1690"/>
        <v>2.4499999999999997</v>
      </c>
      <c r="V5250" t="s">
        <v>15</v>
      </c>
      <c r="W5250">
        <v>2.4500000000000002</v>
      </c>
      <c r="X5250" s="1" t="s">
        <v>20</v>
      </c>
    </row>
    <row r="5251" spans="1:24" x14ac:dyDescent="0.25">
      <c r="A5251" s="1" t="str">
        <f t="shared" si="1691"/>
        <v>卡卡杜-凤凰仓</v>
      </c>
      <c r="B5251" s="1" t="str">
        <f>"CK2024102018161"</f>
        <v>CK2024102018161</v>
      </c>
      <c r="C5251" s="1" t="str">
        <f>"DD2024102025389"</f>
        <v>DD2024102025389</v>
      </c>
      <c r="D5251" s="1" t="str">
        <f>"CK2024102025257"</f>
        <v>CK2024102025257</v>
      </c>
      <c r="E5251" s="1" t="str">
        <f>"2429301985531601"</f>
        <v>2429301985531601</v>
      </c>
      <c r="F5251" s="1" t="str">
        <f t="shared" si="1692"/>
        <v>花都四部-凤凰仓</v>
      </c>
      <c r="G5251" s="1" t="str">
        <f t="shared" si="1700"/>
        <v>卡卡杜佳旺专卖店（快手店）</v>
      </c>
      <c r="H5251" s="1" t="str">
        <f t="shared" si="1693"/>
        <v>正常订单</v>
      </c>
      <c r="I5251" s="1" t="str">
        <f t="shared" si="1694"/>
        <v>已发货</v>
      </c>
      <c r="J5251" s="1" t="str">
        <f t="shared" si="1713"/>
        <v>3</v>
      </c>
      <c r="K5251" s="1">
        <v>2</v>
      </c>
      <c r="L5251" s="1" t="s">
        <v>16</v>
      </c>
      <c r="M5251" s="1" t="str">
        <f>"河北省 张家口市 张家口经济开发区 老鸦庄镇"</f>
        <v>河北省 张家口市 张家口经济开发区 老鸦庄镇</v>
      </c>
      <c r="N5251" s="1" t="str">
        <f t="shared" si="1701"/>
        <v>凡华云仓-城南圆通-快手</v>
      </c>
      <c r="O5251" s="5" t="s">
        <v>5275</v>
      </c>
      <c r="P5251" s="6">
        <v>0.35</v>
      </c>
      <c r="Q5251" s="11">
        <v>2.2999999999999998</v>
      </c>
      <c r="R5251" s="11"/>
      <c r="S5251" s="11"/>
      <c r="T5251" s="11"/>
      <c r="U5251" s="11">
        <f t="shared" ref="U5251:U5314" si="1714">T5251+S5251+R5251+Q5251</f>
        <v>2.2999999999999998</v>
      </c>
      <c r="W5251">
        <v>2.5</v>
      </c>
      <c r="X5251" s="1" t="s">
        <v>16</v>
      </c>
    </row>
    <row r="5252" spans="1:24" x14ac:dyDescent="0.25">
      <c r="A5252" s="1" t="str">
        <f t="shared" si="1691"/>
        <v>卡卡杜-凤凰仓</v>
      </c>
      <c r="B5252" s="1" t="str">
        <f>"CK2024102018162"</f>
        <v>CK2024102018162</v>
      </c>
      <c r="C5252" s="1" t="str">
        <f>"DD2024102025390"</f>
        <v>DD2024102025390</v>
      </c>
      <c r="D5252" s="1" t="str">
        <f>"CK2024102025256"</f>
        <v>CK2024102025256</v>
      </c>
      <c r="E5252" s="1" t="str">
        <f>"2429301677642676"</f>
        <v>2429301677642676</v>
      </c>
      <c r="F5252" s="1" t="str">
        <f t="shared" si="1692"/>
        <v>花都四部-凤凰仓</v>
      </c>
      <c r="G5252" s="1" t="str">
        <f t="shared" si="1700"/>
        <v>卡卡杜佳旺专卖店（快手店）</v>
      </c>
      <c r="H5252" s="1" t="str">
        <f t="shared" si="1693"/>
        <v>正常订单</v>
      </c>
      <c r="I5252" s="1" t="str">
        <f t="shared" si="1694"/>
        <v>已发货</v>
      </c>
      <c r="J5252" s="1" t="str">
        <f t="shared" si="1711"/>
        <v>5</v>
      </c>
      <c r="K5252" s="1">
        <v>2</v>
      </c>
      <c r="L5252" s="1" t="s">
        <v>24</v>
      </c>
      <c r="M5252" s="1" t="str">
        <f>"福建省 莆田市 仙游县 赖店镇"</f>
        <v>福建省 莆田市 仙游县 赖店镇</v>
      </c>
      <c r="N5252" s="1" t="str">
        <f t="shared" si="1701"/>
        <v>凡华云仓-城南圆通-快手</v>
      </c>
      <c r="O5252" s="5" t="s">
        <v>5276</v>
      </c>
      <c r="P5252" s="6">
        <v>0.59</v>
      </c>
      <c r="Q5252" s="11">
        <f t="shared" si="1712"/>
        <v>2.4499999999999997</v>
      </c>
      <c r="R5252" s="11"/>
      <c r="S5252" s="11"/>
      <c r="T5252" s="11"/>
      <c r="U5252" s="11">
        <f t="shared" si="1714"/>
        <v>2.4499999999999997</v>
      </c>
      <c r="V5252" t="s">
        <v>15</v>
      </c>
      <c r="W5252">
        <v>2.4500000000000002</v>
      </c>
      <c r="X5252" s="1" t="s">
        <v>24</v>
      </c>
    </row>
    <row r="5253" spans="1:24" x14ac:dyDescent="0.25">
      <c r="A5253" s="1" t="str">
        <f t="shared" ref="A5253:A5316" si="1715">"卡卡杜-凤凰仓"</f>
        <v>卡卡杜-凤凰仓</v>
      </c>
      <c r="B5253" s="1" t="str">
        <f>"CK2024102018163"</f>
        <v>CK2024102018163</v>
      </c>
      <c r="C5253" s="1" t="str">
        <f>"DD2024102025391"</f>
        <v>DD2024102025391</v>
      </c>
      <c r="D5253" s="1" t="str">
        <f>"CK2024102025255"</f>
        <v>CK2024102025255</v>
      </c>
      <c r="E5253" s="1" t="str">
        <f>"2429302140450869"</f>
        <v>2429302140450869</v>
      </c>
      <c r="F5253" s="1" t="str">
        <f t="shared" ref="F5253:F5316" si="1716">"花都四部-凤凰仓"</f>
        <v>花都四部-凤凰仓</v>
      </c>
      <c r="G5253" s="1" t="str">
        <f t="shared" si="1700"/>
        <v>卡卡杜佳旺专卖店（快手店）</v>
      </c>
      <c r="H5253" s="1" t="str">
        <f t="shared" ref="H5253:H5316" si="1717">"正常订单"</f>
        <v>正常订单</v>
      </c>
      <c r="I5253" s="1" t="str">
        <f t="shared" ref="I5253:I5316" si="1718">"已发货"</f>
        <v>已发货</v>
      </c>
      <c r="J5253" s="1" t="str">
        <f t="shared" si="1713"/>
        <v>3</v>
      </c>
      <c r="K5253" s="1">
        <v>2</v>
      </c>
      <c r="L5253" s="1" t="s">
        <v>187</v>
      </c>
      <c r="M5253" s="1" t="str">
        <f>"吉林省 四平市 铁西区 平西乡"</f>
        <v>吉林省 四平市 铁西区 平西乡</v>
      </c>
      <c r="N5253" s="1" t="str">
        <f t="shared" si="1701"/>
        <v>凡华云仓-城南圆通-快手</v>
      </c>
      <c r="O5253" s="5" t="s">
        <v>5277</v>
      </c>
      <c r="P5253" s="6">
        <v>0.35</v>
      </c>
      <c r="Q5253" s="11">
        <v>2.2999999999999998</v>
      </c>
      <c r="R5253" s="11"/>
      <c r="S5253" s="11"/>
      <c r="T5253" s="11"/>
      <c r="U5253" s="11">
        <f t="shared" si="1714"/>
        <v>2.2999999999999998</v>
      </c>
      <c r="W5253">
        <v>2.5</v>
      </c>
      <c r="X5253" s="1" t="s">
        <v>187</v>
      </c>
    </row>
    <row r="5254" spans="1:24" x14ac:dyDescent="0.25">
      <c r="A5254" s="1" t="str">
        <f t="shared" si="1715"/>
        <v>卡卡杜-凤凰仓</v>
      </c>
      <c r="B5254" s="1" t="str">
        <f>"CK2024102018165"</f>
        <v>CK2024102018165</v>
      </c>
      <c r="C5254" s="1" t="str">
        <f>"DD2024102025393"</f>
        <v>DD2024102025393</v>
      </c>
      <c r="D5254" s="1" t="str">
        <f>"CK2024102025254"</f>
        <v>CK2024102025254</v>
      </c>
      <c r="E5254" s="1" t="str">
        <f>"2429302072802924"</f>
        <v>2429302072802924</v>
      </c>
      <c r="F5254" s="1" t="str">
        <f t="shared" si="1716"/>
        <v>花都四部-凤凰仓</v>
      </c>
      <c r="G5254" s="1" t="str">
        <f t="shared" si="1700"/>
        <v>卡卡杜佳旺专卖店（快手店）</v>
      </c>
      <c r="H5254" s="1" t="str">
        <f t="shared" si="1717"/>
        <v>正常订单</v>
      </c>
      <c r="I5254" s="1" t="str">
        <f t="shared" si="1718"/>
        <v>已发货</v>
      </c>
      <c r="J5254" s="1" t="str">
        <f t="shared" si="1713"/>
        <v>3</v>
      </c>
      <c r="K5254" s="1">
        <v>2</v>
      </c>
      <c r="L5254" s="1" t="s">
        <v>161</v>
      </c>
      <c r="M5254" s="1" t="str">
        <f>"四川省 成都市 双流区 中和街道"</f>
        <v>四川省 成都市 双流区 中和街道</v>
      </c>
      <c r="N5254" s="1" t="str">
        <f t="shared" si="1701"/>
        <v>凡华云仓-城南圆通-快手</v>
      </c>
      <c r="O5254" s="5" t="s">
        <v>5278</v>
      </c>
      <c r="P5254" s="6">
        <v>0.35</v>
      </c>
      <c r="Q5254" s="11">
        <v>2.2999999999999998</v>
      </c>
      <c r="R5254" s="11"/>
      <c r="S5254" s="11"/>
      <c r="T5254" s="11"/>
      <c r="U5254" s="11">
        <f t="shared" si="1714"/>
        <v>2.2999999999999998</v>
      </c>
      <c r="W5254">
        <v>2.5</v>
      </c>
      <c r="X5254" s="1" t="s">
        <v>161</v>
      </c>
    </row>
    <row r="5255" spans="1:24" x14ac:dyDescent="0.25">
      <c r="A5255" s="1" t="str">
        <f t="shared" si="1715"/>
        <v>卡卡杜-凤凰仓</v>
      </c>
      <c r="B5255" s="1" t="str">
        <f>"CK2024102018170"</f>
        <v>CK2024102018170</v>
      </c>
      <c r="C5255" s="1" t="str">
        <f>"DD2024102025397"</f>
        <v>DD2024102025397</v>
      </c>
      <c r="D5255" s="1" t="str">
        <f>"CK2024102025253"</f>
        <v>CK2024102025253</v>
      </c>
      <c r="E5255" s="1" t="str">
        <f>"2429301674626150"</f>
        <v>2429301674626150</v>
      </c>
      <c r="F5255" s="1" t="str">
        <f t="shared" si="1716"/>
        <v>花都四部-凤凰仓</v>
      </c>
      <c r="G5255" s="1" t="str">
        <f t="shared" si="1700"/>
        <v>卡卡杜佳旺专卖店（快手店）</v>
      </c>
      <c r="H5255" s="1" t="str">
        <f t="shared" si="1717"/>
        <v>正常订单</v>
      </c>
      <c r="I5255" s="1" t="str">
        <f t="shared" si="1718"/>
        <v>已发货</v>
      </c>
      <c r="J5255" s="1" t="str">
        <f t="shared" si="1713"/>
        <v>3</v>
      </c>
      <c r="K5255" s="1">
        <v>2</v>
      </c>
      <c r="L5255" s="1" t="s">
        <v>20</v>
      </c>
      <c r="M5255" s="1" t="str">
        <f>"浙江省 嘉兴市 秀洲区 嘉北街道"</f>
        <v>浙江省 嘉兴市 秀洲区 嘉北街道</v>
      </c>
      <c r="N5255" s="1" t="str">
        <f t="shared" si="1701"/>
        <v>凡华云仓-城南圆通-快手</v>
      </c>
      <c r="O5255" s="5" t="s">
        <v>5279</v>
      </c>
      <c r="P5255" s="6">
        <v>0.35</v>
      </c>
      <c r="Q5255" s="11">
        <v>2.2999999999999998</v>
      </c>
      <c r="R5255" s="11"/>
      <c r="S5255" s="11"/>
      <c r="T5255" s="11"/>
      <c r="U5255" s="11">
        <f t="shared" si="1714"/>
        <v>2.2999999999999998</v>
      </c>
      <c r="W5255">
        <v>2.5</v>
      </c>
      <c r="X5255" s="1" t="s">
        <v>20</v>
      </c>
    </row>
    <row r="5256" spans="1:24" x14ac:dyDescent="0.25">
      <c r="A5256" s="1" t="str">
        <f t="shared" si="1715"/>
        <v>卡卡杜-凤凰仓</v>
      </c>
      <c r="B5256" s="1" t="str">
        <f>"CK2024102018171"</f>
        <v>CK2024102018171</v>
      </c>
      <c r="C5256" s="1" t="str">
        <f>"DD2024102025398"</f>
        <v>DD2024102025398</v>
      </c>
      <c r="D5256" s="1" t="str">
        <f>"CK2024102025252"</f>
        <v>CK2024102025252</v>
      </c>
      <c r="E5256" s="1" t="str">
        <f>"2429301981363987"</f>
        <v>2429301981363987</v>
      </c>
      <c r="F5256" s="1" t="str">
        <f t="shared" si="1716"/>
        <v>花都四部-凤凰仓</v>
      </c>
      <c r="G5256" s="1" t="str">
        <f t="shared" si="1700"/>
        <v>卡卡杜佳旺专卖店（快手店）</v>
      </c>
      <c r="H5256" s="1" t="str">
        <f t="shared" si="1717"/>
        <v>正常订单</v>
      </c>
      <c r="I5256" s="1" t="str">
        <f t="shared" si="1718"/>
        <v>已发货</v>
      </c>
      <c r="J5256" s="1" t="str">
        <f t="shared" ref="J5256:J5264" si="1719">"5"</f>
        <v>5</v>
      </c>
      <c r="K5256" s="1">
        <v>2</v>
      </c>
      <c r="L5256" s="1" t="s">
        <v>24</v>
      </c>
      <c r="M5256" s="1" t="str">
        <f>"福建省 泉州市 丰泽区 北峰街道"</f>
        <v>福建省 泉州市 丰泽区 北峰街道</v>
      </c>
      <c r="N5256" s="1" t="str">
        <f t="shared" si="1701"/>
        <v>凡华云仓-城南圆通-快手</v>
      </c>
      <c r="O5256" s="5" t="s">
        <v>5280</v>
      </c>
      <c r="P5256" s="6">
        <v>0.59</v>
      </c>
      <c r="Q5256" s="11">
        <f t="shared" ref="Q5256:Q5264" si="1720">CEILING(P5256-0.5,0.1)*10*0.15+2.3</f>
        <v>2.4499999999999997</v>
      </c>
      <c r="R5256" s="11"/>
      <c r="S5256" s="11"/>
      <c r="T5256" s="11"/>
      <c r="U5256" s="11">
        <f t="shared" si="1714"/>
        <v>2.4499999999999997</v>
      </c>
      <c r="V5256" t="s">
        <v>15</v>
      </c>
      <c r="W5256">
        <v>2.4500000000000002</v>
      </c>
      <c r="X5256" s="1" t="s">
        <v>24</v>
      </c>
    </row>
    <row r="5257" spans="1:24" x14ac:dyDescent="0.25">
      <c r="A5257" s="1" t="str">
        <f t="shared" si="1715"/>
        <v>卡卡杜-凤凰仓</v>
      </c>
      <c r="B5257" s="1" t="str">
        <f>"CK2024102018172"</f>
        <v>CK2024102018172</v>
      </c>
      <c r="C5257" s="1" t="str">
        <f>"DD2024102025399"</f>
        <v>DD2024102025399</v>
      </c>
      <c r="D5257" s="1" t="str">
        <f>"CK2024102025251"</f>
        <v>CK2024102025251</v>
      </c>
      <c r="E5257" s="1" t="str">
        <f>"2429302247186831"</f>
        <v>2429302247186831</v>
      </c>
      <c r="F5257" s="1" t="str">
        <f t="shared" si="1716"/>
        <v>花都四部-凤凰仓</v>
      </c>
      <c r="G5257" s="1" t="str">
        <f t="shared" si="1700"/>
        <v>卡卡杜佳旺专卖店（快手店）</v>
      </c>
      <c r="H5257" s="1" t="str">
        <f t="shared" si="1717"/>
        <v>正常订单</v>
      </c>
      <c r="I5257" s="1" t="str">
        <f t="shared" si="1718"/>
        <v>已发货</v>
      </c>
      <c r="J5257" s="1" t="str">
        <f t="shared" ref="J5257:J5260" si="1721">"3"</f>
        <v>3</v>
      </c>
      <c r="K5257" s="1">
        <v>2</v>
      </c>
      <c r="L5257" s="1" t="s">
        <v>18</v>
      </c>
      <c r="M5257" s="1" t="str">
        <f>"广东省 深圳市 龙华区 福城街道"</f>
        <v>广东省 深圳市 龙华区 福城街道</v>
      </c>
      <c r="N5257" s="1" t="str">
        <f t="shared" si="1701"/>
        <v>凡华云仓-城南圆通-快手</v>
      </c>
      <c r="O5257" s="5" t="s">
        <v>5281</v>
      </c>
      <c r="P5257" s="6">
        <v>0.35</v>
      </c>
      <c r="Q5257" s="11">
        <v>2.2999999999999998</v>
      </c>
      <c r="R5257" s="11"/>
      <c r="S5257" s="11"/>
      <c r="T5257" s="11"/>
      <c r="U5257" s="11">
        <f t="shared" si="1714"/>
        <v>2.2999999999999998</v>
      </c>
      <c r="W5257">
        <v>2.5</v>
      </c>
      <c r="X5257" s="1" t="s">
        <v>18</v>
      </c>
    </row>
    <row r="5258" spans="1:24" x14ac:dyDescent="0.25">
      <c r="A5258" s="1" t="str">
        <f t="shared" si="1715"/>
        <v>卡卡杜-凤凰仓</v>
      </c>
      <c r="B5258" s="1" t="str">
        <f>"CK2024102018173"</f>
        <v>CK2024102018173</v>
      </c>
      <c r="C5258" s="1" t="str">
        <f>"DD2024102025400"</f>
        <v>DD2024102025400</v>
      </c>
      <c r="D5258" s="1" t="str">
        <f>"CK2024102025250"</f>
        <v>CK2024102025250</v>
      </c>
      <c r="E5258" s="1" t="str">
        <f>"2429302225394635"</f>
        <v>2429302225394635</v>
      </c>
      <c r="F5258" s="1" t="str">
        <f t="shared" si="1716"/>
        <v>花都四部-凤凰仓</v>
      </c>
      <c r="G5258" s="1" t="str">
        <f t="shared" si="1700"/>
        <v>卡卡杜佳旺专卖店（快手店）</v>
      </c>
      <c r="H5258" s="1" t="str">
        <f t="shared" si="1717"/>
        <v>正常订单</v>
      </c>
      <c r="I5258" s="1" t="str">
        <f t="shared" si="1718"/>
        <v>已发货</v>
      </c>
      <c r="J5258" s="1" t="str">
        <f t="shared" si="1721"/>
        <v>3</v>
      </c>
      <c r="K5258" s="1">
        <v>2</v>
      </c>
      <c r="L5258" s="1" t="s">
        <v>136</v>
      </c>
      <c r="M5258" s="1" t="str">
        <f>"北京市 北京市 大兴区 亦庄地区"</f>
        <v>北京市 北京市 大兴区 亦庄地区</v>
      </c>
      <c r="N5258" s="1" t="str">
        <f t="shared" si="1701"/>
        <v>凡华云仓-城南圆通-快手</v>
      </c>
      <c r="O5258" s="5" t="s">
        <v>5282</v>
      </c>
      <c r="P5258" s="6">
        <v>0.35</v>
      </c>
      <c r="Q5258" s="11">
        <v>2.2999999999999998</v>
      </c>
      <c r="R5258" s="11"/>
      <c r="S5258" s="11"/>
      <c r="T5258" s="11"/>
      <c r="U5258" s="11">
        <f t="shared" si="1714"/>
        <v>2.2999999999999998</v>
      </c>
      <c r="W5258">
        <v>2.5</v>
      </c>
      <c r="X5258" s="1" t="s">
        <v>136</v>
      </c>
    </row>
    <row r="5259" spans="1:24" x14ac:dyDescent="0.25">
      <c r="A5259" s="1" t="str">
        <f t="shared" si="1715"/>
        <v>卡卡杜-凤凰仓</v>
      </c>
      <c r="B5259" s="1" t="str">
        <f>"CK2024102018174"</f>
        <v>CK2024102018174</v>
      </c>
      <c r="C5259" s="1" t="str">
        <f>"DD2024102025401"</f>
        <v>DD2024102025401</v>
      </c>
      <c r="D5259" s="1" t="str">
        <f>"CK2024102025249"</f>
        <v>CK2024102025249</v>
      </c>
      <c r="E5259" s="1" t="str">
        <f>"2429302075091075"</f>
        <v>2429302075091075</v>
      </c>
      <c r="F5259" s="1" t="str">
        <f t="shared" si="1716"/>
        <v>花都四部-凤凰仓</v>
      </c>
      <c r="G5259" s="1" t="str">
        <f t="shared" si="1700"/>
        <v>卡卡杜佳旺专卖店（快手店）</v>
      </c>
      <c r="H5259" s="1" t="str">
        <f t="shared" si="1717"/>
        <v>正常订单</v>
      </c>
      <c r="I5259" s="1" t="str">
        <f t="shared" si="1718"/>
        <v>已发货</v>
      </c>
      <c r="J5259" s="1" t="str">
        <f t="shared" si="1719"/>
        <v>5</v>
      </c>
      <c r="K5259" s="1">
        <v>2</v>
      </c>
      <c r="L5259" s="1" t="s">
        <v>32</v>
      </c>
      <c r="M5259" s="1" t="str">
        <f>"陕西省 咸阳市 渭城区 周陵街道"</f>
        <v>陕西省 咸阳市 渭城区 周陵街道</v>
      </c>
      <c r="N5259" s="1" t="str">
        <f t="shared" si="1701"/>
        <v>凡华云仓-城南圆通-快手</v>
      </c>
      <c r="O5259" s="5" t="s">
        <v>5283</v>
      </c>
      <c r="P5259" s="6">
        <v>0.59</v>
      </c>
      <c r="Q5259" s="11">
        <f t="shared" si="1720"/>
        <v>2.4499999999999997</v>
      </c>
      <c r="R5259" s="11"/>
      <c r="S5259" s="11"/>
      <c r="T5259" s="11"/>
      <c r="U5259" s="11">
        <f t="shared" si="1714"/>
        <v>2.4499999999999997</v>
      </c>
      <c r="V5259" t="s">
        <v>15</v>
      </c>
      <c r="W5259">
        <v>2.4500000000000002</v>
      </c>
      <c r="X5259" s="1" t="s">
        <v>32</v>
      </c>
    </row>
    <row r="5260" spans="1:24" x14ac:dyDescent="0.25">
      <c r="A5260" s="1" t="str">
        <f t="shared" si="1715"/>
        <v>卡卡杜-凤凰仓</v>
      </c>
      <c r="B5260" s="1" t="str">
        <f>"CK2024102018175"</f>
        <v>CK2024102018175</v>
      </c>
      <c r="C5260" s="1" t="str">
        <f>"DD2024102025402"</f>
        <v>DD2024102025402</v>
      </c>
      <c r="D5260" s="1" t="str">
        <f>"CK2024102025248"</f>
        <v>CK2024102025248</v>
      </c>
      <c r="E5260" s="1" t="str">
        <f>"2429302068705341"</f>
        <v>2429302068705341</v>
      </c>
      <c r="F5260" s="1" t="str">
        <f t="shared" si="1716"/>
        <v>花都四部-凤凰仓</v>
      </c>
      <c r="G5260" s="1" t="str">
        <f t="shared" si="1700"/>
        <v>卡卡杜佳旺专卖店（快手店）</v>
      </c>
      <c r="H5260" s="1" t="str">
        <f t="shared" si="1717"/>
        <v>正常订单</v>
      </c>
      <c r="I5260" s="1" t="str">
        <f t="shared" si="1718"/>
        <v>已发货</v>
      </c>
      <c r="J5260" s="1" t="str">
        <f t="shared" si="1721"/>
        <v>3</v>
      </c>
      <c r="K5260" s="1">
        <v>2</v>
      </c>
      <c r="L5260" s="1" t="s">
        <v>187</v>
      </c>
      <c r="M5260" s="1" t="str">
        <f>"吉林省 延边朝鲜族自治州 延吉市 建工街道"</f>
        <v>吉林省 延边朝鲜族自治州 延吉市 建工街道</v>
      </c>
      <c r="N5260" s="1" t="str">
        <f t="shared" si="1701"/>
        <v>凡华云仓-城南圆通-快手</v>
      </c>
      <c r="O5260" s="5" t="s">
        <v>5284</v>
      </c>
      <c r="P5260" s="6">
        <v>0.35</v>
      </c>
      <c r="Q5260" s="11">
        <v>2.2999999999999998</v>
      </c>
      <c r="R5260" s="11"/>
      <c r="S5260" s="11"/>
      <c r="T5260" s="11"/>
      <c r="U5260" s="11">
        <f t="shared" si="1714"/>
        <v>2.2999999999999998</v>
      </c>
      <c r="W5260">
        <v>2.5</v>
      </c>
      <c r="X5260" s="1" t="s">
        <v>187</v>
      </c>
    </row>
    <row r="5261" spans="1:24" x14ac:dyDescent="0.25">
      <c r="A5261" s="1" t="str">
        <f t="shared" si="1715"/>
        <v>卡卡杜-凤凰仓</v>
      </c>
      <c r="B5261" s="1" t="str">
        <f>"CK2024102018176"</f>
        <v>CK2024102018176</v>
      </c>
      <c r="C5261" s="1" t="str">
        <f>"DD2024102025403"</f>
        <v>DD2024102025403</v>
      </c>
      <c r="D5261" s="1" t="str">
        <f>"CK2024102025247"</f>
        <v>CK2024102025247</v>
      </c>
      <c r="E5261" s="1" t="str">
        <f>"2429301825466340"</f>
        <v>2429301825466340</v>
      </c>
      <c r="F5261" s="1" t="str">
        <f t="shared" si="1716"/>
        <v>花都四部-凤凰仓</v>
      </c>
      <c r="G5261" s="1" t="str">
        <f t="shared" si="1700"/>
        <v>卡卡杜佳旺专卖店（快手店）</v>
      </c>
      <c r="H5261" s="1" t="str">
        <f t="shared" si="1717"/>
        <v>正常订单</v>
      </c>
      <c r="I5261" s="1" t="str">
        <f t="shared" si="1718"/>
        <v>已发货</v>
      </c>
      <c r="J5261" s="1" t="str">
        <f t="shared" si="1719"/>
        <v>5</v>
      </c>
      <c r="K5261" s="1">
        <v>2</v>
      </c>
      <c r="L5261" s="1" t="s">
        <v>18</v>
      </c>
      <c r="M5261" s="1" t="str">
        <f>"广东省 广州市 增城区 中新镇"</f>
        <v>广东省 广州市 增城区 中新镇</v>
      </c>
      <c r="N5261" s="1" t="str">
        <f t="shared" si="1701"/>
        <v>凡华云仓-城南圆通-快手</v>
      </c>
      <c r="O5261" s="5" t="s">
        <v>5285</v>
      </c>
      <c r="P5261" s="6">
        <v>0.59</v>
      </c>
      <c r="Q5261" s="11">
        <f t="shared" si="1720"/>
        <v>2.4499999999999997</v>
      </c>
      <c r="R5261" s="11"/>
      <c r="S5261" s="11"/>
      <c r="T5261" s="11"/>
      <c r="U5261" s="11">
        <f t="shared" si="1714"/>
        <v>2.4499999999999997</v>
      </c>
      <c r="V5261" t="s">
        <v>15</v>
      </c>
      <c r="W5261">
        <v>2.4500000000000002</v>
      </c>
      <c r="X5261" s="1" t="s">
        <v>18</v>
      </c>
    </row>
    <row r="5262" spans="1:24" x14ac:dyDescent="0.25">
      <c r="A5262" s="1" t="str">
        <f t="shared" si="1715"/>
        <v>卡卡杜-凤凰仓</v>
      </c>
      <c r="B5262" s="1" t="str">
        <f>"CK2024102018177"</f>
        <v>CK2024102018177</v>
      </c>
      <c r="C5262" s="1" t="str">
        <f>"DD2024102025404"</f>
        <v>DD2024102025404</v>
      </c>
      <c r="D5262" s="1" t="str">
        <f>"CK2024102025246"</f>
        <v>CK2024102025246</v>
      </c>
      <c r="E5262" s="1" t="str">
        <f>"2429302149586862"</f>
        <v>2429302149586862</v>
      </c>
      <c r="F5262" s="1" t="str">
        <f t="shared" si="1716"/>
        <v>花都四部-凤凰仓</v>
      </c>
      <c r="G5262" s="1" t="str">
        <f t="shared" si="1700"/>
        <v>卡卡杜佳旺专卖店（快手店）</v>
      </c>
      <c r="H5262" s="1" t="str">
        <f t="shared" si="1717"/>
        <v>正常订单</v>
      </c>
      <c r="I5262" s="1" t="str">
        <f t="shared" si="1718"/>
        <v>已发货</v>
      </c>
      <c r="J5262" s="1" t="str">
        <f t="shared" si="1719"/>
        <v>5</v>
      </c>
      <c r="K5262" s="1">
        <v>2</v>
      </c>
      <c r="L5262" s="1" t="s">
        <v>24</v>
      </c>
      <c r="M5262" s="1" t="str">
        <f>"福建省 福州市 平潭县 海坛街道"</f>
        <v>福建省 福州市 平潭县 海坛街道</v>
      </c>
      <c r="N5262" s="1" t="str">
        <f t="shared" si="1701"/>
        <v>凡华云仓-城南圆通-快手</v>
      </c>
      <c r="O5262" s="5" t="s">
        <v>5286</v>
      </c>
      <c r="P5262" s="6">
        <v>0.59</v>
      </c>
      <c r="Q5262" s="11">
        <f t="shared" si="1720"/>
        <v>2.4499999999999997</v>
      </c>
      <c r="R5262" s="11"/>
      <c r="S5262" s="11"/>
      <c r="T5262" s="11"/>
      <c r="U5262" s="11">
        <f t="shared" si="1714"/>
        <v>2.4499999999999997</v>
      </c>
      <c r="V5262" t="s">
        <v>15</v>
      </c>
      <c r="W5262">
        <v>2.4500000000000002</v>
      </c>
      <c r="X5262" s="1" t="s">
        <v>24</v>
      </c>
    </row>
    <row r="5263" spans="1:24" x14ac:dyDescent="0.25">
      <c r="A5263" s="1" t="str">
        <f t="shared" si="1715"/>
        <v>卡卡杜-凤凰仓</v>
      </c>
      <c r="B5263" s="1" t="str">
        <f>"CK2024102018178"</f>
        <v>CK2024102018178</v>
      </c>
      <c r="C5263" s="1" t="str">
        <f>"DD2024102025405"</f>
        <v>DD2024102025405</v>
      </c>
      <c r="D5263" s="1" t="str">
        <f>"CK2024102025245"</f>
        <v>CK2024102025245</v>
      </c>
      <c r="E5263" s="1" t="str">
        <f>"2429301989192482"</f>
        <v>2429301989192482</v>
      </c>
      <c r="F5263" s="1" t="str">
        <f t="shared" si="1716"/>
        <v>花都四部-凤凰仓</v>
      </c>
      <c r="G5263" s="1" t="str">
        <f t="shared" si="1700"/>
        <v>卡卡杜佳旺专卖店（快手店）</v>
      </c>
      <c r="H5263" s="1" t="str">
        <f t="shared" si="1717"/>
        <v>正常订单</v>
      </c>
      <c r="I5263" s="1" t="str">
        <f t="shared" si="1718"/>
        <v>已发货</v>
      </c>
      <c r="J5263" s="1" t="str">
        <f t="shared" si="1719"/>
        <v>5</v>
      </c>
      <c r="K5263" s="1">
        <v>2</v>
      </c>
      <c r="L5263" s="1" t="s">
        <v>94</v>
      </c>
      <c r="M5263" s="1" t="str">
        <f>"湖南省 常德市 鼎城区 玉霞街道"</f>
        <v>湖南省 常德市 鼎城区 玉霞街道</v>
      </c>
      <c r="N5263" s="1" t="str">
        <f t="shared" si="1701"/>
        <v>凡华云仓-城南圆通-快手</v>
      </c>
      <c r="O5263" s="5" t="s">
        <v>5287</v>
      </c>
      <c r="P5263" s="6">
        <v>0.59</v>
      </c>
      <c r="Q5263" s="11">
        <f t="shared" si="1720"/>
        <v>2.4499999999999997</v>
      </c>
      <c r="R5263" s="11"/>
      <c r="S5263" s="11"/>
      <c r="T5263" s="11"/>
      <c r="U5263" s="11">
        <f t="shared" si="1714"/>
        <v>2.4499999999999997</v>
      </c>
      <c r="V5263" t="s">
        <v>15</v>
      </c>
      <c r="W5263">
        <v>2.4500000000000002</v>
      </c>
      <c r="X5263" s="1" t="s">
        <v>94</v>
      </c>
    </row>
    <row r="5264" spans="1:24" x14ac:dyDescent="0.25">
      <c r="A5264" s="1" t="str">
        <f t="shared" si="1715"/>
        <v>卡卡杜-凤凰仓</v>
      </c>
      <c r="B5264" s="1" t="str">
        <f>"CK2024102018180"</f>
        <v>CK2024102018180</v>
      </c>
      <c r="C5264" s="1" t="str">
        <f>"DD2024102025406"</f>
        <v>DD2024102025406</v>
      </c>
      <c r="D5264" s="1" t="str">
        <f>"CK2024102025244"</f>
        <v>CK2024102025244</v>
      </c>
      <c r="E5264" s="1" t="str">
        <f>"2429301832347147"</f>
        <v>2429301832347147</v>
      </c>
      <c r="F5264" s="1" t="str">
        <f t="shared" si="1716"/>
        <v>花都四部-凤凰仓</v>
      </c>
      <c r="G5264" s="1" t="str">
        <f t="shared" si="1700"/>
        <v>卡卡杜佳旺专卖店（快手店）</v>
      </c>
      <c r="H5264" s="1" t="str">
        <f t="shared" si="1717"/>
        <v>正常订单</v>
      </c>
      <c r="I5264" s="1" t="str">
        <f t="shared" si="1718"/>
        <v>已发货</v>
      </c>
      <c r="J5264" s="1" t="str">
        <f t="shared" si="1719"/>
        <v>5</v>
      </c>
      <c r="K5264" s="1">
        <v>2</v>
      </c>
      <c r="L5264" s="1" t="s">
        <v>24</v>
      </c>
      <c r="M5264" s="1" t="str">
        <f>"福建省 宁德市 屏南县 古峰镇"</f>
        <v>福建省 宁德市 屏南县 古峰镇</v>
      </c>
      <c r="N5264" s="1" t="str">
        <f t="shared" si="1701"/>
        <v>凡华云仓-城南圆通-快手</v>
      </c>
      <c r="O5264" s="5" t="s">
        <v>5288</v>
      </c>
      <c r="P5264" s="6">
        <v>0.59</v>
      </c>
      <c r="Q5264" s="11">
        <f t="shared" si="1720"/>
        <v>2.4499999999999997</v>
      </c>
      <c r="R5264" s="11"/>
      <c r="S5264" s="11"/>
      <c r="T5264" s="11"/>
      <c r="U5264" s="11">
        <f t="shared" si="1714"/>
        <v>2.4499999999999997</v>
      </c>
      <c r="V5264" t="s">
        <v>15</v>
      </c>
      <c r="W5264">
        <v>2.4500000000000002</v>
      </c>
      <c r="X5264" s="1" t="s">
        <v>24</v>
      </c>
    </row>
    <row r="5265" spans="1:24" x14ac:dyDescent="0.25">
      <c r="A5265" s="1" t="str">
        <f t="shared" si="1715"/>
        <v>卡卡杜-凤凰仓</v>
      </c>
      <c r="B5265" s="1" t="str">
        <f>"CK2024102018183"</f>
        <v>CK2024102018183</v>
      </c>
      <c r="C5265" s="1" t="str">
        <f>"DD2024102025409"</f>
        <v>DD2024102025409</v>
      </c>
      <c r="D5265" s="1" t="str">
        <f>"CK2024102025243"</f>
        <v>CK2024102025243</v>
      </c>
      <c r="E5265" s="1" t="str">
        <f>"2429302228251745"</f>
        <v>2429302228251745</v>
      </c>
      <c r="F5265" s="1" t="str">
        <f t="shared" si="1716"/>
        <v>花都四部-凤凰仓</v>
      </c>
      <c r="G5265" s="1" t="str">
        <f t="shared" si="1700"/>
        <v>卡卡杜佳旺专卖店（快手店）</v>
      </c>
      <c r="H5265" s="1" t="str">
        <f t="shared" si="1717"/>
        <v>正常订单</v>
      </c>
      <c r="I5265" s="1" t="str">
        <f t="shared" si="1718"/>
        <v>已发货</v>
      </c>
      <c r="J5265" s="1" t="str">
        <f t="shared" ref="J5265:J5268" si="1722">"3"</f>
        <v>3</v>
      </c>
      <c r="K5265" s="1">
        <v>2</v>
      </c>
      <c r="L5265" s="1" t="s">
        <v>54</v>
      </c>
      <c r="M5265" s="1" t="str">
        <f>"黑龙江省 伊春市 伊美区 红升街道"</f>
        <v>黑龙江省 伊春市 伊美区 红升街道</v>
      </c>
      <c r="N5265" s="1" t="str">
        <f t="shared" si="1701"/>
        <v>凡华云仓-城南圆通-快手</v>
      </c>
      <c r="O5265" s="5" t="s">
        <v>5289</v>
      </c>
      <c r="P5265" s="6">
        <v>0.35</v>
      </c>
      <c r="Q5265" s="11">
        <v>2.2999999999999998</v>
      </c>
      <c r="R5265" s="11"/>
      <c r="S5265" s="11"/>
      <c r="T5265" s="11"/>
      <c r="U5265" s="11">
        <f t="shared" si="1714"/>
        <v>2.2999999999999998</v>
      </c>
      <c r="W5265">
        <v>2.5</v>
      </c>
      <c r="X5265" s="1" t="s">
        <v>54</v>
      </c>
    </row>
    <row r="5266" spans="1:24" x14ac:dyDescent="0.25">
      <c r="A5266" s="1" t="str">
        <f t="shared" si="1715"/>
        <v>卡卡杜-凤凰仓</v>
      </c>
      <c r="B5266" s="1" t="str">
        <f>"CK2024102018184"</f>
        <v>CK2024102018184</v>
      </c>
      <c r="C5266" s="1" t="str">
        <f>"DD2024102025410"</f>
        <v>DD2024102025410</v>
      </c>
      <c r="D5266" s="1" t="str">
        <f>"CK2024102025242"</f>
        <v>CK2024102025242</v>
      </c>
      <c r="E5266" s="1" t="str">
        <f>"2429301757931857"</f>
        <v>2429301757931857</v>
      </c>
      <c r="F5266" s="1" t="str">
        <f t="shared" si="1716"/>
        <v>花都四部-凤凰仓</v>
      </c>
      <c r="G5266" s="1" t="str">
        <f t="shared" si="1700"/>
        <v>卡卡杜佳旺专卖店（快手店）</v>
      </c>
      <c r="H5266" s="1" t="str">
        <f t="shared" si="1717"/>
        <v>正常订单</v>
      </c>
      <c r="I5266" s="1" t="str">
        <f t="shared" si="1718"/>
        <v>已发货</v>
      </c>
      <c r="J5266" s="1" t="str">
        <f>"5"</f>
        <v>5</v>
      </c>
      <c r="K5266" s="1">
        <v>2</v>
      </c>
      <c r="L5266" s="1" t="s">
        <v>161</v>
      </c>
      <c r="M5266" s="1" t="str">
        <f>"四川省 成都市 武侯区 浆洗街街道"</f>
        <v>四川省 成都市 武侯区 浆洗街街道</v>
      </c>
      <c r="N5266" s="1" t="str">
        <f t="shared" si="1701"/>
        <v>凡华云仓-城南圆通-快手</v>
      </c>
      <c r="O5266" s="5" t="s">
        <v>5290</v>
      </c>
      <c r="P5266" s="6">
        <v>0.59</v>
      </c>
      <c r="Q5266" s="11">
        <f>CEILING(P5266-0.5,0.1)*10*0.15+2.3</f>
        <v>2.4499999999999997</v>
      </c>
      <c r="R5266" s="11"/>
      <c r="S5266" s="11"/>
      <c r="T5266" s="11"/>
      <c r="U5266" s="11">
        <f t="shared" si="1714"/>
        <v>2.4499999999999997</v>
      </c>
      <c r="V5266" t="s">
        <v>15</v>
      </c>
      <c r="W5266">
        <v>2.4500000000000002</v>
      </c>
      <c r="X5266" s="1" t="s">
        <v>161</v>
      </c>
    </row>
    <row r="5267" spans="1:24" x14ac:dyDescent="0.25">
      <c r="A5267" s="1" t="str">
        <f t="shared" si="1715"/>
        <v>卡卡杜-凤凰仓</v>
      </c>
      <c r="B5267" s="1" t="str">
        <f>"CK2024102018185"</f>
        <v>CK2024102018185</v>
      </c>
      <c r="C5267" s="1" t="str">
        <f>"DD2024102025411"</f>
        <v>DD2024102025411</v>
      </c>
      <c r="D5267" s="1" t="str">
        <f>"CK2024102025241"</f>
        <v>CK2024102025241</v>
      </c>
      <c r="E5267" s="1" t="str">
        <f>"2429301998874088"</f>
        <v>2429301998874088</v>
      </c>
      <c r="F5267" s="1" t="str">
        <f t="shared" si="1716"/>
        <v>花都四部-凤凰仓</v>
      </c>
      <c r="G5267" s="1" t="str">
        <f t="shared" si="1700"/>
        <v>卡卡杜佳旺专卖店（快手店）</v>
      </c>
      <c r="H5267" s="1" t="str">
        <f t="shared" si="1717"/>
        <v>正常订单</v>
      </c>
      <c r="I5267" s="1" t="str">
        <f t="shared" si="1718"/>
        <v>已发货</v>
      </c>
      <c r="J5267" s="1" t="str">
        <f t="shared" si="1722"/>
        <v>3</v>
      </c>
      <c r="K5267" s="1">
        <v>2</v>
      </c>
      <c r="L5267" s="1" t="s">
        <v>94</v>
      </c>
      <c r="M5267" s="1" t="str">
        <f>"湖南省 株洲市 石峰区 清水塘街道"</f>
        <v>湖南省 株洲市 石峰区 清水塘街道</v>
      </c>
      <c r="N5267" s="1" t="str">
        <f t="shared" si="1701"/>
        <v>凡华云仓-城南圆通-快手</v>
      </c>
      <c r="O5267" s="5" t="s">
        <v>5291</v>
      </c>
      <c r="P5267" s="6">
        <v>0.35</v>
      </c>
      <c r="Q5267" s="11">
        <v>2.2999999999999998</v>
      </c>
      <c r="R5267" s="11"/>
      <c r="S5267" s="11"/>
      <c r="T5267" s="11"/>
      <c r="U5267" s="11">
        <f t="shared" si="1714"/>
        <v>2.2999999999999998</v>
      </c>
      <c r="W5267">
        <v>2.5</v>
      </c>
      <c r="X5267" s="1" t="s">
        <v>94</v>
      </c>
    </row>
    <row r="5268" spans="1:24" x14ac:dyDescent="0.25">
      <c r="A5268" s="1" t="str">
        <f t="shared" si="1715"/>
        <v>卡卡杜-凤凰仓</v>
      </c>
      <c r="B5268" s="1" t="str">
        <f>"CK2024101927511"</f>
        <v>CK2024101927511</v>
      </c>
      <c r="C5268" s="1" t="str">
        <f>"DD2024101964341"</f>
        <v>DD2024101964341</v>
      </c>
      <c r="D5268" s="1" t="str">
        <f>"CK2024101950920"</f>
        <v>CK2024101950920</v>
      </c>
      <c r="E5268" s="1" t="str">
        <f>"KKD20241019QX001"</f>
        <v>KKD20241019QX001</v>
      </c>
      <c r="F5268" s="1" t="str">
        <f t="shared" si="1716"/>
        <v>花都四部-凤凰仓</v>
      </c>
      <c r="G5268" s="1" t="str">
        <f>"卡卡杜（全欣）"</f>
        <v>卡卡杜（全欣）</v>
      </c>
      <c r="H5268" s="1" t="str">
        <f t="shared" si="1717"/>
        <v>正常订单</v>
      </c>
      <c r="I5268" s="1" t="str">
        <f t="shared" si="1718"/>
        <v>已发货</v>
      </c>
      <c r="J5268" s="1" t="str">
        <f t="shared" si="1722"/>
        <v>3</v>
      </c>
      <c r="K5268" s="1">
        <v>3</v>
      </c>
      <c r="L5268" s="1" t="s">
        <v>74</v>
      </c>
      <c r="M5268" s="1" t="str">
        <f>"上海 上海市 松江区 "</f>
        <v xml:space="preserve">上海 上海市 松江区 </v>
      </c>
      <c r="N5268" s="1" t="str">
        <f>"凡华云仓-城南圆通-淘宝"</f>
        <v>凡华云仓-城南圆通-淘宝</v>
      </c>
      <c r="O5268" s="5" t="s">
        <v>5292</v>
      </c>
      <c r="P5268" s="6">
        <v>0.33</v>
      </c>
      <c r="Q5268" s="11">
        <v>2.2999999999999998</v>
      </c>
      <c r="R5268" s="11"/>
      <c r="S5268" s="11"/>
      <c r="T5268" s="11"/>
      <c r="U5268" s="11">
        <f t="shared" si="1714"/>
        <v>2.2999999999999998</v>
      </c>
      <c r="W5268">
        <v>2.5</v>
      </c>
      <c r="X5268" s="1" t="s">
        <v>74</v>
      </c>
    </row>
    <row r="5269" spans="1:24" x14ac:dyDescent="0.25">
      <c r="A5269" s="1" t="str">
        <f t="shared" si="1715"/>
        <v>卡卡杜-凤凰仓</v>
      </c>
      <c r="B5269" s="1" t="str">
        <f>"CK2024101927513"</f>
        <v>CK2024101927513</v>
      </c>
      <c r="C5269" s="1" t="str">
        <f>"DD2024101964342"</f>
        <v>DD2024101964342</v>
      </c>
      <c r="D5269" s="1" t="str">
        <f>"CK2024101950874"</f>
        <v>CK2024101950874</v>
      </c>
      <c r="E5269" s="1" t="str">
        <f>"2429301673098570"</f>
        <v>2429301673098570</v>
      </c>
      <c r="F5269" s="1" t="str">
        <f t="shared" si="1716"/>
        <v>花都四部-凤凰仓</v>
      </c>
      <c r="G5269" s="1" t="str">
        <f>"卡卡杜佳旺专卖店（快手店）"</f>
        <v>卡卡杜佳旺专卖店（快手店）</v>
      </c>
      <c r="H5269" s="1" t="str">
        <f t="shared" si="1717"/>
        <v>正常订单</v>
      </c>
      <c r="I5269" s="1" t="str">
        <f t="shared" si="1718"/>
        <v>已发货</v>
      </c>
      <c r="J5269" s="1" t="str">
        <f>"5"</f>
        <v>5</v>
      </c>
      <c r="K5269" s="1">
        <v>2</v>
      </c>
      <c r="L5269" s="1" t="s">
        <v>740</v>
      </c>
      <c r="M5269" s="1" t="str">
        <f>"宁夏回族自治区 中卫市 沙坡头区 文昌镇"</f>
        <v>宁夏回族自治区 中卫市 沙坡头区 文昌镇</v>
      </c>
      <c r="N5269" s="1" t="str">
        <f>"凡华云仓-城南圆通-快手"</f>
        <v>凡华云仓-城南圆通-快手</v>
      </c>
      <c r="O5269" s="5" t="s">
        <v>5293</v>
      </c>
      <c r="P5269" s="6">
        <v>0.59</v>
      </c>
      <c r="Q5269" s="11">
        <f t="shared" ref="Q5269:Q5277" si="1723">CEILING(P5269-0.5,0.1)*10*0.15+2.3</f>
        <v>2.4499999999999997</v>
      </c>
      <c r="R5269" s="11"/>
      <c r="S5269" s="11"/>
      <c r="T5269" s="11"/>
      <c r="U5269" s="11">
        <f t="shared" si="1714"/>
        <v>2.4499999999999997</v>
      </c>
      <c r="V5269" t="s">
        <v>15</v>
      </c>
      <c r="W5269">
        <v>2.4500000000000002</v>
      </c>
      <c r="X5269" s="1" t="s">
        <v>740</v>
      </c>
    </row>
    <row r="5270" spans="1:24" x14ac:dyDescent="0.25">
      <c r="A5270" s="1" t="str">
        <f t="shared" si="1715"/>
        <v>卡卡杜-凤凰仓</v>
      </c>
      <c r="B5270" s="1" t="str">
        <f>"CK2024101927512"</f>
        <v>CK2024101927512</v>
      </c>
      <c r="C5270" s="1" t="str">
        <f>"DD2024101964340"</f>
        <v>DD2024101964340</v>
      </c>
      <c r="D5270" s="1" t="str">
        <f>"CK2024101950873"</f>
        <v>CK2024101950873</v>
      </c>
      <c r="E5270" s="1" t="str">
        <f>"6935211140377613316"</f>
        <v>6935211140377613316</v>
      </c>
      <c r="F5270" s="1" t="str">
        <f t="shared" si="1716"/>
        <v>花都四部-凤凰仓</v>
      </c>
      <c r="G5270" s="1" t="str">
        <f>"卡卡杜个人护理店（抖店）"</f>
        <v>卡卡杜个人护理店（抖店）</v>
      </c>
      <c r="H5270" s="1" t="str">
        <f t="shared" si="1717"/>
        <v>正常订单</v>
      </c>
      <c r="I5270" s="1" t="str">
        <f t="shared" si="1718"/>
        <v>已发货</v>
      </c>
      <c r="J5270" s="1" t="str">
        <f>"3"</f>
        <v>3</v>
      </c>
      <c r="K5270" s="1">
        <v>2</v>
      </c>
      <c r="L5270" s="1" t="s">
        <v>13</v>
      </c>
      <c r="M5270" s="1" t="str">
        <f>"江苏省 徐州市 泉山区 翟山街道"</f>
        <v>江苏省 徐州市 泉山区 翟山街道</v>
      </c>
      <c r="N5270" s="1" t="str">
        <f>"凡华云仓-城南圆通-抖音"</f>
        <v>凡华云仓-城南圆通-抖音</v>
      </c>
      <c r="O5270" s="5" t="s">
        <v>5294</v>
      </c>
      <c r="P5270" s="6">
        <v>0.35</v>
      </c>
      <c r="Q5270" s="11">
        <v>2.2999999999999998</v>
      </c>
      <c r="R5270" s="11"/>
      <c r="S5270" s="11"/>
      <c r="T5270" s="11"/>
      <c r="U5270" s="11">
        <f t="shared" si="1714"/>
        <v>2.2999999999999998</v>
      </c>
      <c r="W5270">
        <v>2.5</v>
      </c>
      <c r="X5270" s="1" t="s">
        <v>13</v>
      </c>
    </row>
    <row r="5271" spans="1:24" x14ac:dyDescent="0.25">
      <c r="A5271" s="1" t="str">
        <f t="shared" si="1715"/>
        <v>卡卡杜-凤凰仓</v>
      </c>
      <c r="B5271" s="1" t="str">
        <f>"CK2024101927414"</f>
        <v>CK2024101927414</v>
      </c>
      <c r="C5271" s="1" t="str">
        <f>"DD2024101963075"</f>
        <v>DD2024101963075</v>
      </c>
      <c r="D5271" s="1" t="str">
        <f>"CK2024101948982"</f>
        <v>CK2024101948982</v>
      </c>
      <c r="E5271" s="1" t="str">
        <f>"2429301662154605"</f>
        <v>2429301662154605</v>
      </c>
      <c r="F5271" s="1" t="str">
        <f t="shared" si="1716"/>
        <v>花都四部-凤凰仓</v>
      </c>
      <c r="G5271" s="1" t="str">
        <f>"卡卡杜佳旺专卖店（快手店）"</f>
        <v>卡卡杜佳旺专卖店（快手店）</v>
      </c>
      <c r="H5271" s="1" t="str">
        <f t="shared" si="1717"/>
        <v>正常订单</v>
      </c>
      <c r="I5271" s="1" t="str">
        <f t="shared" si="1718"/>
        <v>已发货</v>
      </c>
      <c r="J5271" s="1" t="str">
        <f>"3"</f>
        <v>3</v>
      </c>
      <c r="K5271" s="1">
        <v>2</v>
      </c>
      <c r="L5271" s="1" t="s">
        <v>710</v>
      </c>
      <c r="M5271" s="1" t="str">
        <f>"上海市 上海市 普陀区 长征镇"</f>
        <v>上海市 上海市 普陀区 长征镇</v>
      </c>
      <c r="N5271" s="1" t="str">
        <f>"凡华云仓-城南圆通-快手"</f>
        <v>凡华云仓-城南圆通-快手</v>
      </c>
      <c r="O5271" s="5" t="s">
        <v>5295</v>
      </c>
      <c r="P5271" s="6">
        <v>0.35</v>
      </c>
      <c r="Q5271" s="11">
        <v>2.2999999999999998</v>
      </c>
      <c r="R5271" s="11"/>
      <c r="S5271" s="11"/>
      <c r="T5271" s="11"/>
      <c r="U5271" s="11">
        <f t="shared" si="1714"/>
        <v>2.2999999999999998</v>
      </c>
      <c r="W5271">
        <v>2.5</v>
      </c>
      <c r="X5271" s="1" t="s">
        <v>710</v>
      </c>
    </row>
    <row r="5272" spans="1:24" x14ac:dyDescent="0.25">
      <c r="A5272" s="1" t="str">
        <f t="shared" si="1715"/>
        <v>卡卡杜-凤凰仓</v>
      </c>
      <c r="B5272" s="1" t="str">
        <f>"CK2024101926409"</f>
        <v>CK2024101926409</v>
      </c>
      <c r="C5272" s="1" t="str">
        <f>"DD2024101961332"</f>
        <v>DD2024101961332</v>
      </c>
      <c r="D5272" s="1" t="str">
        <f>"CK2024101948981"</f>
        <v>CK2024101948981</v>
      </c>
      <c r="E5272" s="1" t="str">
        <f>"3723416276043171328"</f>
        <v>3723416276043171328</v>
      </c>
      <c r="F5272" s="1" t="str">
        <f t="shared" si="1716"/>
        <v>花都四部-凤凰仓</v>
      </c>
      <c r="G5272" s="1" t="str">
        <f>"卡卡杜企业店（视频号）"</f>
        <v>卡卡杜企业店（视频号）</v>
      </c>
      <c r="H5272" s="1" t="str">
        <f t="shared" si="1717"/>
        <v>正常订单</v>
      </c>
      <c r="I5272" s="1" t="str">
        <f t="shared" si="1718"/>
        <v>已发货</v>
      </c>
      <c r="J5272" s="1" t="str">
        <f>"6"</f>
        <v>6</v>
      </c>
      <c r="K5272" s="1">
        <v>3</v>
      </c>
      <c r="L5272" s="1" t="s">
        <v>161</v>
      </c>
      <c r="M5272" s="1" t="str">
        <f>"四川省 成都市 新津区 "</f>
        <v xml:space="preserve">四川省 成都市 新津区 </v>
      </c>
      <c r="N5272" s="1" t="str">
        <f>"凡华云仓-城南圆通-微信视频号"</f>
        <v>凡华云仓-城南圆通-微信视频号</v>
      </c>
      <c r="O5272" s="5" t="s">
        <v>5296</v>
      </c>
      <c r="P5272" s="6">
        <v>0.55000000000000004</v>
      </c>
      <c r="Q5272" s="11">
        <f t="shared" si="1723"/>
        <v>2.4499999999999997</v>
      </c>
      <c r="R5272" s="11"/>
      <c r="S5272" s="11"/>
      <c r="T5272" s="11"/>
      <c r="U5272" s="11">
        <f t="shared" si="1714"/>
        <v>2.4499999999999997</v>
      </c>
      <c r="V5272" t="s">
        <v>15</v>
      </c>
      <c r="W5272">
        <v>2.4500000000000002</v>
      </c>
      <c r="X5272" s="1" t="s">
        <v>161</v>
      </c>
    </row>
    <row r="5273" spans="1:24" x14ac:dyDescent="0.25">
      <c r="A5273" s="1" t="str">
        <f t="shared" si="1715"/>
        <v>卡卡杜-凤凰仓</v>
      </c>
      <c r="B5273" s="1" t="str">
        <f>"CK2024101413596"</f>
        <v>CK2024101413596</v>
      </c>
      <c r="C5273" s="1" t="str">
        <f>"DD2024101460104"</f>
        <v>DD2024101460104</v>
      </c>
      <c r="D5273" s="1" t="str">
        <f>"CK2024101455078"</f>
        <v>CK2024101455078</v>
      </c>
      <c r="E5273" s="1" t="str">
        <f>"KKD20241014YP011"</f>
        <v>KKD20241014YP011</v>
      </c>
      <c r="F5273" s="1" t="str">
        <f t="shared" si="1716"/>
        <v>花都四部-凤凰仓</v>
      </c>
      <c r="G5273" s="1" t="str">
        <f>"卡卡杜全欣样品"</f>
        <v>卡卡杜全欣样品</v>
      </c>
      <c r="H5273" s="1" t="str">
        <f t="shared" si="1717"/>
        <v>正常订单</v>
      </c>
      <c r="I5273" s="1" t="str">
        <f t="shared" si="1718"/>
        <v>已发货</v>
      </c>
      <c r="J5273" s="1" t="str">
        <f>"4"</f>
        <v>4</v>
      </c>
      <c r="K5273" s="1">
        <v>3</v>
      </c>
      <c r="L5273" s="1" t="s">
        <v>52</v>
      </c>
      <c r="M5273" s="1" t="str">
        <f>"甘肃省 白银市 会宁县 "</f>
        <v xml:space="preserve">甘肃省 白银市 会宁县 </v>
      </c>
      <c r="N5273" s="1" t="str">
        <f>"凡华云仓-韵达-淘宝"</f>
        <v>凡华云仓-韵达-淘宝</v>
      </c>
      <c r="O5273" s="3">
        <v>434188988823636</v>
      </c>
      <c r="P5273" s="6">
        <v>0.57999999999999996</v>
      </c>
      <c r="Q5273" s="11">
        <f t="shared" si="1723"/>
        <v>2.4499999999999997</v>
      </c>
      <c r="R5273" s="11"/>
      <c r="S5273" s="11">
        <v>0.15</v>
      </c>
      <c r="T5273" s="11"/>
      <c r="U5273" s="11">
        <f t="shared" si="1714"/>
        <v>2.5999999999999996</v>
      </c>
      <c r="V5273" t="s">
        <v>15</v>
      </c>
      <c r="W5273">
        <v>2.6</v>
      </c>
      <c r="X5273" s="1" t="s">
        <v>52</v>
      </c>
    </row>
    <row r="5274" spans="1:24" x14ac:dyDescent="0.25">
      <c r="A5274" s="1" t="str">
        <f t="shared" si="1715"/>
        <v>卡卡杜-凤凰仓</v>
      </c>
      <c r="B5274" s="1" t="str">
        <f>"CK2024101926412"</f>
        <v>CK2024101926412</v>
      </c>
      <c r="C5274" s="1" t="str">
        <f>"DD2024101961333"</f>
        <v>DD2024101961333</v>
      </c>
      <c r="D5274" s="1" t="str">
        <f>"CK2024101948979"</f>
        <v>CK2024101948979</v>
      </c>
      <c r="E5274" s="1" t="str">
        <f>"KKD20241019YP007"</f>
        <v>KKD20241019YP007</v>
      </c>
      <c r="F5274" s="1" t="str">
        <f t="shared" si="1716"/>
        <v>花都四部-凤凰仓</v>
      </c>
      <c r="G5274" s="1" t="str">
        <f>"卡卡杜全欣样品"</f>
        <v>卡卡杜全欣样品</v>
      </c>
      <c r="H5274" s="1" t="str">
        <f t="shared" si="1717"/>
        <v>正常订单</v>
      </c>
      <c r="I5274" s="1" t="str">
        <f t="shared" si="1718"/>
        <v>已发货</v>
      </c>
      <c r="J5274" s="1" t="str">
        <f>"8"</f>
        <v>8</v>
      </c>
      <c r="K5274" s="1">
        <v>3</v>
      </c>
      <c r="L5274" s="1" t="s">
        <v>80</v>
      </c>
      <c r="M5274" s="1" t="str">
        <f>"河南省 漯河市 临颍县 "</f>
        <v xml:space="preserve">河南省 漯河市 临颍县 </v>
      </c>
      <c r="N5274" s="1" t="str">
        <f>"凡华云仓-城南圆通-淘宝"</f>
        <v>凡华云仓-城南圆通-淘宝</v>
      </c>
      <c r="O5274" s="3" t="s">
        <v>5297</v>
      </c>
      <c r="P5274" s="6">
        <v>1.06</v>
      </c>
      <c r="Q5274" s="11">
        <f t="shared" si="1723"/>
        <v>3.2</v>
      </c>
      <c r="R5274" s="11"/>
      <c r="S5274" s="11">
        <v>0.15</v>
      </c>
      <c r="T5274" s="11"/>
      <c r="U5274" s="11">
        <f t="shared" si="1714"/>
        <v>3.35</v>
      </c>
      <c r="V5274" t="s">
        <v>15</v>
      </c>
      <c r="W5274">
        <v>3.35</v>
      </c>
      <c r="X5274" s="1" t="s">
        <v>80</v>
      </c>
    </row>
    <row r="5275" spans="1:24" x14ac:dyDescent="0.25">
      <c r="A5275" s="1" t="str">
        <f t="shared" si="1715"/>
        <v>卡卡杜-凤凰仓</v>
      </c>
      <c r="B5275" s="1" t="str">
        <f>"CK2024101926415"</f>
        <v>CK2024101926415</v>
      </c>
      <c r="C5275" s="1" t="str">
        <f>"DD2024101961335"</f>
        <v>DD2024101961335</v>
      </c>
      <c r="D5275" s="1" t="str">
        <f>"CK2024101948977"</f>
        <v>CK2024101948977</v>
      </c>
      <c r="E5275" s="1" t="str">
        <f>"KKD20241019YP006"</f>
        <v>KKD20241019YP006</v>
      </c>
      <c r="F5275" s="1" t="str">
        <f t="shared" si="1716"/>
        <v>花都四部-凤凰仓</v>
      </c>
      <c r="G5275" s="1" t="str">
        <f>"卡卡杜全欣样品"</f>
        <v>卡卡杜全欣样品</v>
      </c>
      <c r="H5275" s="1" t="str">
        <f t="shared" si="1717"/>
        <v>正常订单</v>
      </c>
      <c r="I5275" s="1" t="str">
        <f t="shared" si="1718"/>
        <v>已发货</v>
      </c>
      <c r="J5275" s="1" t="str">
        <f>"15"</f>
        <v>15</v>
      </c>
      <c r="K5275" s="1">
        <v>10</v>
      </c>
      <c r="L5275" s="1" t="s">
        <v>80</v>
      </c>
      <c r="M5275" s="1" t="str">
        <f>"河南省 新乡市 红旗区 "</f>
        <v xml:space="preserve">河南省 新乡市 红旗区 </v>
      </c>
      <c r="N5275" s="1" t="str">
        <f>"凡华云仓-城南圆通-淘宝"</f>
        <v>凡华云仓-城南圆通-淘宝</v>
      </c>
      <c r="O5275" s="3" t="s">
        <v>5298</v>
      </c>
      <c r="P5275" s="6">
        <v>1.62</v>
      </c>
      <c r="Q5275" s="11">
        <f t="shared" si="1723"/>
        <v>4.0999999999999996</v>
      </c>
      <c r="R5275" s="11">
        <f t="shared" ref="R5275:R5277" si="1724">(K5275-3)*0.1</f>
        <v>0.70000000000000007</v>
      </c>
      <c r="S5275" s="11">
        <v>0.15</v>
      </c>
      <c r="T5275" s="11"/>
      <c r="U5275" s="11">
        <f t="shared" si="1714"/>
        <v>4.9499999999999993</v>
      </c>
      <c r="V5275" t="s">
        <v>15</v>
      </c>
      <c r="W5275">
        <v>4.95</v>
      </c>
      <c r="X5275" s="1" t="s">
        <v>80</v>
      </c>
    </row>
    <row r="5276" spans="1:24" x14ac:dyDescent="0.25">
      <c r="A5276" s="1" t="str">
        <f t="shared" si="1715"/>
        <v>卡卡杜-凤凰仓</v>
      </c>
      <c r="B5276" s="1" t="str">
        <f>"CK2024101926416"</f>
        <v>CK2024101926416</v>
      </c>
      <c r="C5276" s="1" t="str">
        <f>"DD2024101961337"</f>
        <v>DD2024101961337</v>
      </c>
      <c r="D5276" s="1" t="str">
        <f>"CK2024101948975"</f>
        <v>CK2024101948975</v>
      </c>
      <c r="E5276" s="1" t="str">
        <f>"KKD20241019YP003"</f>
        <v>KKD20241019YP003</v>
      </c>
      <c r="F5276" s="1" t="str">
        <f t="shared" si="1716"/>
        <v>花都四部-凤凰仓</v>
      </c>
      <c r="G5276" s="1" t="str">
        <f>"卡卡杜全欣样品"</f>
        <v>卡卡杜全欣样品</v>
      </c>
      <c r="H5276" s="1" t="str">
        <f t="shared" si="1717"/>
        <v>正常订单</v>
      </c>
      <c r="I5276" s="1" t="str">
        <f t="shared" si="1718"/>
        <v>已发货</v>
      </c>
      <c r="J5276" s="1" t="str">
        <f>"15"</f>
        <v>15</v>
      </c>
      <c r="K5276" s="1">
        <v>10</v>
      </c>
      <c r="L5276" s="1" t="s">
        <v>18</v>
      </c>
      <c r="M5276" s="1" t="str">
        <f>"广东省 广州市 白云区 "</f>
        <v xml:space="preserve">广东省 广州市 白云区 </v>
      </c>
      <c r="N5276" s="1" t="str">
        <f>"凡华云仓-城南圆通-淘宝"</f>
        <v>凡华云仓-城南圆通-淘宝</v>
      </c>
      <c r="O5276" s="3" t="s">
        <v>5299</v>
      </c>
      <c r="P5276" s="6">
        <v>1.62</v>
      </c>
      <c r="Q5276" s="11">
        <f t="shared" si="1723"/>
        <v>4.0999999999999996</v>
      </c>
      <c r="R5276" s="11">
        <f t="shared" si="1724"/>
        <v>0.70000000000000007</v>
      </c>
      <c r="S5276" s="11">
        <v>0.15</v>
      </c>
      <c r="T5276" s="11"/>
      <c r="U5276" s="11">
        <f t="shared" si="1714"/>
        <v>4.9499999999999993</v>
      </c>
      <c r="V5276" t="s">
        <v>15</v>
      </c>
      <c r="W5276">
        <v>4.95</v>
      </c>
      <c r="X5276" s="1" t="s">
        <v>18</v>
      </c>
    </row>
    <row r="5277" spans="1:24" x14ac:dyDescent="0.25">
      <c r="A5277" s="1" t="str">
        <f t="shared" si="1715"/>
        <v>卡卡杜-凤凰仓</v>
      </c>
      <c r="B5277" s="1" t="str">
        <f>"CK2024100415773"</f>
        <v>CK2024100415773</v>
      </c>
      <c r="C5277" s="1" t="str">
        <f>"DD2024100447511"</f>
        <v>DD2024100447511</v>
      </c>
      <c r="D5277" s="1" t="str">
        <f>"CK2024100446942"</f>
        <v>CK2024100446942</v>
      </c>
      <c r="E5277" s="1" t="str">
        <f>"KKD20240104YP025"</f>
        <v>KKD20240104YP025</v>
      </c>
      <c r="F5277" s="1" t="str">
        <f t="shared" si="1716"/>
        <v>花都四部-凤凰仓</v>
      </c>
      <c r="G5277" s="1" t="str">
        <f>"卡卡杜全欣样品"</f>
        <v>卡卡杜全欣样品</v>
      </c>
      <c r="H5277" s="1" t="str">
        <f t="shared" si="1717"/>
        <v>正常订单</v>
      </c>
      <c r="I5277" s="1" t="str">
        <f t="shared" si="1718"/>
        <v>已发货</v>
      </c>
      <c r="J5277" s="1" t="str">
        <f>"7"</f>
        <v>7</v>
      </c>
      <c r="K5277" s="1">
        <v>5</v>
      </c>
      <c r="L5277" s="1" t="s">
        <v>92</v>
      </c>
      <c r="M5277" s="1" t="str">
        <f>"辽宁省 沈阳市 浑南区 "</f>
        <v xml:space="preserve">辽宁省 沈阳市 浑南区 </v>
      </c>
      <c r="N5277" s="1" t="str">
        <f>"凡华云仓-韵达-淘宝"</f>
        <v>凡华云仓-韵达-淘宝</v>
      </c>
      <c r="O5277" s="3">
        <v>434168960911983</v>
      </c>
      <c r="P5277" s="6">
        <v>0.95</v>
      </c>
      <c r="Q5277" s="11">
        <f t="shared" si="1723"/>
        <v>3.05</v>
      </c>
      <c r="R5277" s="11">
        <f t="shared" si="1724"/>
        <v>0.2</v>
      </c>
      <c r="S5277" s="11">
        <v>0.15</v>
      </c>
      <c r="T5277" s="11"/>
      <c r="U5277" s="11">
        <f t="shared" si="1714"/>
        <v>3.4</v>
      </c>
      <c r="V5277" t="s">
        <v>15</v>
      </c>
      <c r="W5277">
        <v>3.4</v>
      </c>
      <c r="X5277" s="1" t="s">
        <v>92</v>
      </c>
    </row>
    <row r="5278" spans="1:24" x14ac:dyDescent="0.25">
      <c r="A5278" s="1" t="str">
        <f t="shared" si="1715"/>
        <v>卡卡杜-凤凰仓</v>
      </c>
      <c r="B5278" s="1" t="str">
        <f>"CK2024101926376"</f>
        <v>CK2024101926376</v>
      </c>
      <c r="C5278" s="1" t="str">
        <f>"DD2024101961291"</f>
        <v>DD2024101961291</v>
      </c>
      <c r="D5278" s="1" t="str">
        <f>"CK2024101948972"</f>
        <v>CK2024101948972</v>
      </c>
      <c r="E5278" s="1" t="str">
        <f>"6935211080602883323"</f>
        <v>6935211080602883323</v>
      </c>
      <c r="F5278" s="1" t="str">
        <f t="shared" si="1716"/>
        <v>花都四部-凤凰仓</v>
      </c>
      <c r="G5278" s="1" t="str">
        <f t="shared" ref="G5278:G5316" si="1725">"卡卡杜个人护理店（抖店）"</f>
        <v>卡卡杜个人护理店（抖店）</v>
      </c>
      <c r="H5278" s="1" t="str">
        <f t="shared" si="1717"/>
        <v>正常订单</v>
      </c>
      <c r="I5278" s="1" t="str">
        <f t="shared" si="1718"/>
        <v>已发货</v>
      </c>
      <c r="J5278" s="1" t="str">
        <f t="shared" ref="J5278:J5288" si="1726">"3"</f>
        <v>3</v>
      </c>
      <c r="K5278" s="1">
        <v>2</v>
      </c>
      <c r="L5278" s="1" t="s">
        <v>36</v>
      </c>
      <c r="M5278" s="1" t="str">
        <f>"安徽省 淮南市 寿县 寿春镇"</f>
        <v>安徽省 淮南市 寿县 寿春镇</v>
      </c>
      <c r="N5278" s="1" t="str">
        <f t="shared" ref="N5278:N5316" si="1727">"凡华云仓-城南圆通-抖音"</f>
        <v>凡华云仓-城南圆通-抖音</v>
      </c>
      <c r="O5278" s="5" t="s">
        <v>5300</v>
      </c>
      <c r="P5278" s="6">
        <v>0.35</v>
      </c>
      <c r="Q5278" s="11">
        <v>2.2999999999999998</v>
      </c>
      <c r="R5278" s="11"/>
      <c r="S5278" s="11"/>
      <c r="T5278" s="11"/>
      <c r="U5278" s="11">
        <f t="shared" si="1714"/>
        <v>2.2999999999999998</v>
      </c>
      <c r="W5278">
        <v>2.5</v>
      </c>
      <c r="X5278" s="1" t="s">
        <v>36</v>
      </c>
    </row>
    <row r="5279" spans="1:24" x14ac:dyDescent="0.25">
      <c r="A5279" s="1" t="str">
        <f t="shared" si="1715"/>
        <v>卡卡杜-凤凰仓</v>
      </c>
      <c r="B5279" s="1" t="str">
        <f>"CK2024101926368"</f>
        <v>CK2024101926368</v>
      </c>
      <c r="C5279" s="1" t="str">
        <f>"DD2024101961278"</f>
        <v>DD2024101961278</v>
      </c>
      <c r="D5279" s="1" t="str">
        <f>"CK2024101948971"</f>
        <v>CK2024101948971</v>
      </c>
      <c r="E5279" s="1" t="str">
        <f>"6935187986923459699"</f>
        <v>6935187986923459699</v>
      </c>
      <c r="F5279" s="1" t="str">
        <f t="shared" si="1716"/>
        <v>花都四部-凤凰仓</v>
      </c>
      <c r="G5279" s="1" t="str">
        <f t="shared" si="1725"/>
        <v>卡卡杜个人护理店（抖店）</v>
      </c>
      <c r="H5279" s="1" t="str">
        <f t="shared" si="1717"/>
        <v>正常订单</v>
      </c>
      <c r="I5279" s="1" t="str">
        <f t="shared" si="1718"/>
        <v>已发货</v>
      </c>
      <c r="J5279" s="1" t="str">
        <f t="shared" si="1726"/>
        <v>3</v>
      </c>
      <c r="K5279" s="1">
        <v>2</v>
      </c>
      <c r="L5279" s="1" t="s">
        <v>161</v>
      </c>
      <c r="M5279" s="1" t="str">
        <f>"四川省 成都市 成华区 二仙桥街道"</f>
        <v>四川省 成都市 成华区 二仙桥街道</v>
      </c>
      <c r="N5279" s="1" t="str">
        <f t="shared" si="1727"/>
        <v>凡华云仓-城南圆通-抖音</v>
      </c>
      <c r="O5279" s="5" t="s">
        <v>5301</v>
      </c>
      <c r="P5279" s="6">
        <v>0.35</v>
      </c>
      <c r="Q5279" s="11">
        <v>2.2999999999999998</v>
      </c>
      <c r="R5279" s="11"/>
      <c r="S5279" s="11"/>
      <c r="T5279" s="11"/>
      <c r="U5279" s="11">
        <f t="shared" si="1714"/>
        <v>2.2999999999999998</v>
      </c>
      <c r="W5279">
        <v>2.5</v>
      </c>
      <c r="X5279" s="1" t="s">
        <v>161</v>
      </c>
    </row>
    <row r="5280" spans="1:24" x14ac:dyDescent="0.25">
      <c r="A5280" s="1" t="str">
        <f t="shared" si="1715"/>
        <v>卡卡杜-凤凰仓</v>
      </c>
      <c r="B5280" s="1" t="str">
        <f>"CK2024101926428"</f>
        <v>CK2024101926428</v>
      </c>
      <c r="C5280" s="1" t="str">
        <f>"DD2024101961350"</f>
        <v>DD2024101961350</v>
      </c>
      <c r="D5280" s="1" t="str">
        <f>"CK2024101948970"</f>
        <v>CK2024101948970</v>
      </c>
      <c r="E5280" s="1" t="str">
        <f>"6935208167059624985"</f>
        <v>6935208167059624985</v>
      </c>
      <c r="F5280" s="1" t="str">
        <f t="shared" si="1716"/>
        <v>花都四部-凤凰仓</v>
      </c>
      <c r="G5280" s="1" t="str">
        <f t="shared" si="1725"/>
        <v>卡卡杜个人护理店（抖店）</v>
      </c>
      <c r="H5280" s="1" t="str">
        <f t="shared" si="1717"/>
        <v>正常订单</v>
      </c>
      <c r="I5280" s="1" t="str">
        <f t="shared" si="1718"/>
        <v>已发货</v>
      </c>
      <c r="J5280" s="1" t="str">
        <f>"8"</f>
        <v>8</v>
      </c>
      <c r="K5280" s="1">
        <v>1</v>
      </c>
      <c r="L5280" s="1" t="s">
        <v>13</v>
      </c>
      <c r="M5280" s="1" t="str">
        <f>"江苏省 南京市 浦口区 盘城街道"</f>
        <v>江苏省 南京市 浦口区 盘城街道</v>
      </c>
      <c r="N5280" s="1" t="str">
        <f t="shared" si="1727"/>
        <v>凡华云仓-城南圆通-抖音</v>
      </c>
      <c r="O5280" s="5" t="s">
        <v>5302</v>
      </c>
      <c r="P5280" s="6">
        <v>1.1200000000000001</v>
      </c>
      <c r="Q5280" s="11">
        <f>CEILING(P5280-0.5,0.1)*10*0.15+2.3</f>
        <v>3.3499999999999996</v>
      </c>
      <c r="R5280" s="11"/>
      <c r="S5280" s="11"/>
      <c r="T5280" s="11"/>
      <c r="U5280" s="11">
        <f t="shared" si="1714"/>
        <v>3.3499999999999996</v>
      </c>
      <c r="V5280" t="s">
        <v>15</v>
      </c>
      <c r="W5280">
        <v>3.35</v>
      </c>
      <c r="X5280" s="1" t="s">
        <v>13</v>
      </c>
    </row>
    <row r="5281" spans="1:24" x14ac:dyDescent="0.25">
      <c r="A5281" s="1" t="str">
        <f t="shared" si="1715"/>
        <v>卡卡杜-凤凰仓</v>
      </c>
      <c r="B5281" s="1" t="str">
        <f>"CK2024101926396"</f>
        <v>CK2024101926396</v>
      </c>
      <c r="C5281" s="1" t="str">
        <f>"DD2024101961318"</f>
        <v>DD2024101961318</v>
      </c>
      <c r="D5281" s="1" t="str">
        <f>"CK2024101948969"</f>
        <v>CK2024101948969</v>
      </c>
      <c r="E5281" s="1" t="str">
        <f>"6935201593621550857"</f>
        <v>6935201593621550857</v>
      </c>
      <c r="F5281" s="1" t="str">
        <f t="shared" si="1716"/>
        <v>花都四部-凤凰仓</v>
      </c>
      <c r="G5281" s="1" t="str">
        <f t="shared" si="1725"/>
        <v>卡卡杜个人护理店（抖店）</v>
      </c>
      <c r="H5281" s="1" t="str">
        <f t="shared" si="1717"/>
        <v>正常订单</v>
      </c>
      <c r="I5281" s="1" t="str">
        <f t="shared" si="1718"/>
        <v>已发货</v>
      </c>
      <c r="J5281" s="1" t="str">
        <f t="shared" si="1726"/>
        <v>3</v>
      </c>
      <c r="K5281" s="1">
        <v>2</v>
      </c>
      <c r="L5281" s="1" t="s">
        <v>20</v>
      </c>
      <c r="M5281" s="1" t="str">
        <f>"浙江省 台州市 临海市 杜桥镇"</f>
        <v>浙江省 台州市 临海市 杜桥镇</v>
      </c>
      <c r="N5281" s="1" t="str">
        <f t="shared" si="1727"/>
        <v>凡华云仓-城南圆通-抖音</v>
      </c>
      <c r="O5281" s="5" t="s">
        <v>5303</v>
      </c>
      <c r="P5281" s="6">
        <v>0.35</v>
      </c>
      <c r="Q5281" s="11">
        <v>2.2999999999999998</v>
      </c>
      <c r="R5281" s="11"/>
      <c r="S5281" s="11"/>
      <c r="T5281" s="11"/>
      <c r="U5281" s="11">
        <f t="shared" si="1714"/>
        <v>2.2999999999999998</v>
      </c>
      <c r="W5281">
        <v>2.5</v>
      </c>
      <c r="X5281" s="1" t="s">
        <v>20</v>
      </c>
    </row>
    <row r="5282" spans="1:24" x14ac:dyDescent="0.25">
      <c r="A5282" s="1" t="str">
        <f t="shared" si="1715"/>
        <v>卡卡杜-凤凰仓</v>
      </c>
      <c r="B5282" s="1" t="str">
        <f>"CK2024101926397"</f>
        <v>CK2024101926397</v>
      </c>
      <c r="C5282" s="1" t="str">
        <f>"DD2024101961319"</f>
        <v>DD2024101961319</v>
      </c>
      <c r="D5282" s="1" t="str">
        <f>"CK2024101948968"</f>
        <v>CK2024101948968</v>
      </c>
      <c r="E5282" s="1" t="str">
        <f>"6935201440406574360"</f>
        <v>6935201440406574360</v>
      </c>
      <c r="F5282" s="1" t="str">
        <f t="shared" si="1716"/>
        <v>花都四部-凤凰仓</v>
      </c>
      <c r="G5282" s="1" t="str">
        <f t="shared" si="1725"/>
        <v>卡卡杜个人护理店（抖店）</v>
      </c>
      <c r="H5282" s="1" t="str">
        <f t="shared" si="1717"/>
        <v>正常订单</v>
      </c>
      <c r="I5282" s="1" t="str">
        <f t="shared" si="1718"/>
        <v>已发货</v>
      </c>
      <c r="J5282" s="1" t="str">
        <f t="shared" si="1726"/>
        <v>3</v>
      </c>
      <c r="K5282" s="1">
        <v>2</v>
      </c>
      <c r="L5282" s="1" t="s">
        <v>20</v>
      </c>
      <c r="M5282" s="1" t="str">
        <f>"浙江省 温州市 瑞安市 安阳街道"</f>
        <v>浙江省 温州市 瑞安市 安阳街道</v>
      </c>
      <c r="N5282" s="1" t="str">
        <f t="shared" si="1727"/>
        <v>凡华云仓-城南圆通-抖音</v>
      </c>
      <c r="O5282" s="5" t="s">
        <v>5304</v>
      </c>
      <c r="P5282" s="6">
        <v>0.35</v>
      </c>
      <c r="Q5282" s="11">
        <v>2.2999999999999998</v>
      </c>
      <c r="R5282" s="11"/>
      <c r="S5282" s="11"/>
      <c r="T5282" s="11"/>
      <c r="U5282" s="11">
        <f t="shared" si="1714"/>
        <v>2.2999999999999998</v>
      </c>
      <c r="W5282">
        <v>2.5</v>
      </c>
      <c r="X5282" s="1" t="s">
        <v>20</v>
      </c>
    </row>
    <row r="5283" spans="1:24" x14ac:dyDescent="0.25">
      <c r="A5283" s="1" t="str">
        <f t="shared" si="1715"/>
        <v>卡卡杜-凤凰仓</v>
      </c>
      <c r="B5283" s="1" t="str">
        <f>"CK2024101926402"</f>
        <v>CK2024101926402</v>
      </c>
      <c r="C5283" s="1" t="str">
        <f>"DD2024101961324"</f>
        <v>DD2024101961324</v>
      </c>
      <c r="D5283" s="1" t="str">
        <f>"CK2024101948967"</f>
        <v>CK2024101948967</v>
      </c>
      <c r="E5283" s="1" t="str">
        <f>"6935217049846027483"</f>
        <v>6935217049846027483</v>
      </c>
      <c r="F5283" s="1" t="str">
        <f t="shared" si="1716"/>
        <v>花都四部-凤凰仓</v>
      </c>
      <c r="G5283" s="1" t="str">
        <f t="shared" si="1725"/>
        <v>卡卡杜个人护理店（抖店）</v>
      </c>
      <c r="H5283" s="1" t="str">
        <f t="shared" si="1717"/>
        <v>正常订单</v>
      </c>
      <c r="I5283" s="1" t="str">
        <f t="shared" si="1718"/>
        <v>已发货</v>
      </c>
      <c r="J5283" s="1" t="str">
        <f t="shared" si="1726"/>
        <v>3</v>
      </c>
      <c r="K5283" s="1">
        <v>2</v>
      </c>
      <c r="L5283" s="1" t="s">
        <v>13</v>
      </c>
      <c r="M5283" s="1" t="str">
        <f>"江苏省 盐城市 亭湖区 文峰街道"</f>
        <v>江苏省 盐城市 亭湖区 文峰街道</v>
      </c>
      <c r="N5283" s="1" t="str">
        <f t="shared" si="1727"/>
        <v>凡华云仓-城南圆通-抖音</v>
      </c>
      <c r="O5283" s="5" t="s">
        <v>5305</v>
      </c>
      <c r="P5283" s="6">
        <v>0.35</v>
      </c>
      <c r="Q5283" s="11">
        <v>2.2999999999999998</v>
      </c>
      <c r="R5283" s="11"/>
      <c r="S5283" s="11"/>
      <c r="T5283" s="11"/>
      <c r="U5283" s="11">
        <f t="shared" si="1714"/>
        <v>2.2999999999999998</v>
      </c>
      <c r="W5283">
        <v>2.5</v>
      </c>
      <c r="X5283" s="1" t="s">
        <v>13</v>
      </c>
    </row>
    <row r="5284" spans="1:24" x14ac:dyDescent="0.25">
      <c r="A5284" s="1" t="str">
        <f t="shared" si="1715"/>
        <v>卡卡杜-凤凰仓</v>
      </c>
      <c r="B5284" s="1" t="str">
        <f>"CK2024101926398"</f>
        <v>CK2024101926398</v>
      </c>
      <c r="C5284" s="1" t="str">
        <f>"DD2024101961320"</f>
        <v>DD2024101961320</v>
      </c>
      <c r="D5284" s="1" t="str">
        <f>"CK2024101948966"</f>
        <v>CK2024101948966</v>
      </c>
      <c r="E5284" s="1" t="str">
        <f>"6935187982931858963"</f>
        <v>6935187982931858963</v>
      </c>
      <c r="F5284" s="1" t="str">
        <f t="shared" si="1716"/>
        <v>花都四部-凤凰仓</v>
      </c>
      <c r="G5284" s="1" t="str">
        <f t="shared" si="1725"/>
        <v>卡卡杜个人护理店（抖店）</v>
      </c>
      <c r="H5284" s="1" t="str">
        <f t="shared" si="1717"/>
        <v>正常订单</v>
      </c>
      <c r="I5284" s="1" t="str">
        <f t="shared" si="1718"/>
        <v>已发货</v>
      </c>
      <c r="J5284" s="1" t="str">
        <f t="shared" si="1726"/>
        <v>3</v>
      </c>
      <c r="K5284" s="1">
        <v>2</v>
      </c>
      <c r="L5284" s="1" t="s">
        <v>74</v>
      </c>
      <c r="M5284" s="1" t="str">
        <f>"上海 上海市 静安区 临汾路街道"</f>
        <v>上海 上海市 静安区 临汾路街道</v>
      </c>
      <c r="N5284" s="1" t="str">
        <f t="shared" si="1727"/>
        <v>凡华云仓-城南圆通-抖音</v>
      </c>
      <c r="O5284" s="5" t="s">
        <v>5306</v>
      </c>
      <c r="P5284" s="6">
        <v>0.35</v>
      </c>
      <c r="Q5284" s="11">
        <v>2.2999999999999998</v>
      </c>
      <c r="R5284" s="11"/>
      <c r="S5284" s="11"/>
      <c r="T5284" s="11"/>
      <c r="U5284" s="11">
        <f t="shared" si="1714"/>
        <v>2.2999999999999998</v>
      </c>
      <c r="W5284">
        <v>2.5</v>
      </c>
      <c r="X5284" s="1" t="s">
        <v>74</v>
      </c>
    </row>
    <row r="5285" spans="1:24" x14ac:dyDescent="0.25">
      <c r="A5285" s="1" t="str">
        <f t="shared" si="1715"/>
        <v>卡卡杜-凤凰仓</v>
      </c>
      <c r="B5285" s="1" t="str">
        <f>"CK2024101926399"</f>
        <v>CK2024101926399</v>
      </c>
      <c r="C5285" s="1" t="str">
        <f>"DD2024101961322"</f>
        <v>DD2024101961322</v>
      </c>
      <c r="D5285" s="1" t="str">
        <f>"CK2024101948965"</f>
        <v>CK2024101948965</v>
      </c>
      <c r="E5285" s="1" t="str">
        <f>"6935187898586305975"</f>
        <v>6935187898586305975</v>
      </c>
      <c r="F5285" s="1" t="str">
        <f t="shared" si="1716"/>
        <v>花都四部-凤凰仓</v>
      </c>
      <c r="G5285" s="1" t="str">
        <f t="shared" si="1725"/>
        <v>卡卡杜个人护理店（抖店）</v>
      </c>
      <c r="H5285" s="1" t="str">
        <f t="shared" si="1717"/>
        <v>正常订单</v>
      </c>
      <c r="I5285" s="1" t="str">
        <f t="shared" si="1718"/>
        <v>已发货</v>
      </c>
      <c r="J5285" s="1" t="str">
        <f t="shared" si="1726"/>
        <v>3</v>
      </c>
      <c r="K5285" s="1">
        <v>2</v>
      </c>
      <c r="L5285" s="1" t="s">
        <v>80</v>
      </c>
      <c r="M5285" s="1" t="str">
        <f>"河南省 安阳市 汤阴县 白营镇"</f>
        <v>河南省 安阳市 汤阴县 白营镇</v>
      </c>
      <c r="N5285" s="1" t="str">
        <f t="shared" si="1727"/>
        <v>凡华云仓-城南圆通-抖音</v>
      </c>
      <c r="O5285" s="5" t="s">
        <v>5307</v>
      </c>
      <c r="P5285" s="6">
        <v>0.35</v>
      </c>
      <c r="Q5285" s="11">
        <v>2.2999999999999998</v>
      </c>
      <c r="R5285" s="11"/>
      <c r="S5285" s="11"/>
      <c r="T5285" s="11"/>
      <c r="U5285" s="11">
        <f t="shared" si="1714"/>
        <v>2.2999999999999998</v>
      </c>
      <c r="W5285">
        <v>2.5</v>
      </c>
      <c r="X5285" s="1" t="s">
        <v>80</v>
      </c>
    </row>
    <row r="5286" spans="1:24" x14ac:dyDescent="0.25">
      <c r="A5286" s="1" t="str">
        <f t="shared" si="1715"/>
        <v>卡卡杜-凤凰仓</v>
      </c>
      <c r="B5286" s="1" t="str">
        <f>"CK2024101926400"</f>
        <v>CK2024101926400</v>
      </c>
      <c r="C5286" s="1" t="str">
        <f>"DD2024101961323"</f>
        <v>DD2024101961323</v>
      </c>
      <c r="D5286" s="1" t="str">
        <f>"CK2024101948964"</f>
        <v>CK2024101948964</v>
      </c>
      <c r="E5286" s="1" t="str">
        <f>"6935190476026156968"</f>
        <v>6935190476026156968</v>
      </c>
      <c r="F5286" s="1" t="str">
        <f t="shared" si="1716"/>
        <v>花都四部-凤凰仓</v>
      </c>
      <c r="G5286" s="1" t="str">
        <f t="shared" si="1725"/>
        <v>卡卡杜个人护理店（抖店）</v>
      </c>
      <c r="H5286" s="1" t="str">
        <f t="shared" si="1717"/>
        <v>正常订单</v>
      </c>
      <c r="I5286" s="1" t="str">
        <f t="shared" si="1718"/>
        <v>已发货</v>
      </c>
      <c r="J5286" s="1" t="str">
        <f t="shared" si="1726"/>
        <v>3</v>
      </c>
      <c r="K5286" s="1">
        <v>2</v>
      </c>
      <c r="L5286" s="1" t="s">
        <v>13</v>
      </c>
      <c r="M5286" s="1" t="str">
        <f>"江苏省 泰州市 高港区 许庄街道"</f>
        <v>江苏省 泰州市 高港区 许庄街道</v>
      </c>
      <c r="N5286" s="1" t="str">
        <f t="shared" si="1727"/>
        <v>凡华云仓-城南圆通-抖音</v>
      </c>
      <c r="O5286" s="5" t="s">
        <v>5308</v>
      </c>
      <c r="P5286" s="6">
        <v>0.35</v>
      </c>
      <c r="Q5286" s="11">
        <v>2.2999999999999998</v>
      </c>
      <c r="R5286" s="11"/>
      <c r="S5286" s="11"/>
      <c r="T5286" s="11"/>
      <c r="U5286" s="11">
        <f t="shared" si="1714"/>
        <v>2.2999999999999998</v>
      </c>
      <c r="W5286">
        <v>2.5</v>
      </c>
      <c r="X5286" s="1" t="s">
        <v>13</v>
      </c>
    </row>
    <row r="5287" spans="1:24" x14ac:dyDescent="0.25">
      <c r="A5287" s="1" t="str">
        <f t="shared" si="1715"/>
        <v>卡卡杜-凤凰仓</v>
      </c>
      <c r="B5287" s="1" t="str">
        <f>"CK2024101926394"</f>
        <v>CK2024101926394</v>
      </c>
      <c r="C5287" s="1" t="str">
        <f>"DD2024101961316"</f>
        <v>DD2024101961316</v>
      </c>
      <c r="D5287" s="1" t="str">
        <f>"CK2024101948963"</f>
        <v>CK2024101948963</v>
      </c>
      <c r="E5287" s="1" t="str">
        <f>"6935194910693201720"</f>
        <v>6935194910693201720</v>
      </c>
      <c r="F5287" s="1" t="str">
        <f t="shared" si="1716"/>
        <v>花都四部-凤凰仓</v>
      </c>
      <c r="G5287" s="1" t="str">
        <f t="shared" si="1725"/>
        <v>卡卡杜个人护理店（抖店）</v>
      </c>
      <c r="H5287" s="1" t="str">
        <f t="shared" si="1717"/>
        <v>正常订单</v>
      </c>
      <c r="I5287" s="1" t="str">
        <f t="shared" si="1718"/>
        <v>已发货</v>
      </c>
      <c r="J5287" s="1" t="str">
        <f t="shared" si="1726"/>
        <v>3</v>
      </c>
      <c r="K5287" s="1">
        <v>2</v>
      </c>
      <c r="L5287" s="1" t="s">
        <v>80</v>
      </c>
      <c r="M5287" s="1" t="str">
        <f>"河南省 郑州市 管城回族区 十八里河街道"</f>
        <v>河南省 郑州市 管城回族区 十八里河街道</v>
      </c>
      <c r="N5287" s="1" t="str">
        <f t="shared" si="1727"/>
        <v>凡华云仓-城南圆通-抖音</v>
      </c>
      <c r="O5287" s="5" t="s">
        <v>5309</v>
      </c>
      <c r="P5287" s="6">
        <v>0.35</v>
      </c>
      <c r="Q5287" s="11">
        <v>2.2999999999999998</v>
      </c>
      <c r="R5287" s="11"/>
      <c r="S5287" s="11"/>
      <c r="T5287" s="11"/>
      <c r="U5287" s="11">
        <f t="shared" si="1714"/>
        <v>2.2999999999999998</v>
      </c>
      <c r="W5287">
        <v>2.5</v>
      </c>
      <c r="X5287" s="1" t="s">
        <v>80</v>
      </c>
    </row>
    <row r="5288" spans="1:24" x14ac:dyDescent="0.25">
      <c r="A5288" s="1" t="str">
        <f t="shared" si="1715"/>
        <v>卡卡杜-凤凰仓</v>
      </c>
      <c r="B5288" s="1" t="str">
        <f>"CK2024101926403"</f>
        <v>CK2024101926403</v>
      </c>
      <c r="C5288" s="1" t="str">
        <f>"DD2024101961326"</f>
        <v>DD2024101961326</v>
      </c>
      <c r="D5288" s="1" t="str">
        <f>"CK2024101948962"</f>
        <v>CK2024101948962</v>
      </c>
      <c r="E5288" s="1" t="str">
        <f>"6935217001265698550"</f>
        <v>6935217001265698550</v>
      </c>
      <c r="F5288" s="1" t="str">
        <f t="shared" si="1716"/>
        <v>花都四部-凤凰仓</v>
      </c>
      <c r="G5288" s="1" t="str">
        <f t="shared" si="1725"/>
        <v>卡卡杜个人护理店（抖店）</v>
      </c>
      <c r="H5288" s="1" t="str">
        <f t="shared" si="1717"/>
        <v>正常订单</v>
      </c>
      <c r="I5288" s="1" t="str">
        <f t="shared" si="1718"/>
        <v>已发货</v>
      </c>
      <c r="J5288" s="1" t="str">
        <f t="shared" si="1726"/>
        <v>3</v>
      </c>
      <c r="K5288" s="1">
        <v>2</v>
      </c>
      <c r="L5288" s="1" t="s">
        <v>13</v>
      </c>
      <c r="M5288" s="1" t="str">
        <f>"江苏省 镇江市 句容市 句容经济开发区"</f>
        <v>江苏省 镇江市 句容市 句容经济开发区</v>
      </c>
      <c r="N5288" s="1" t="str">
        <f t="shared" si="1727"/>
        <v>凡华云仓-城南圆通-抖音</v>
      </c>
      <c r="O5288" s="5" t="s">
        <v>5310</v>
      </c>
      <c r="P5288" s="6">
        <v>0.35</v>
      </c>
      <c r="Q5288" s="11">
        <v>2.2999999999999998</v>
      </c>
      <c r="R5288" s="11"/>
      <c r="S5288" s="11"/>
      <c r="T5288" s="11"/>
      <c r="U5288" s="11">
        <f t="shared" si="1714"/>
        <v>2.2999999999999998</v>
      </c>
      <c r="W5288">
        <v>2.5</v>
      </c>
      <c r="X5288" s="1" t="s">
        <v>13</v>
      </c>
    </row>
    <row r="5289" spans="1:24" x14ac:dyDescent="0.25">
      <c r="A5289" s="1" t="str">
        <f t="shared" si="1715"/>
        <v>卡卡杜-凤凰仓</v>
      </c>
      <c r="B5289" s="1" t="str">
        <f>"CK202410081847"</f>
        <v>CK202410081847</v>
      </c>
      <c r="C5289" s="1" t="str">
        <f>"DD2024100817091"</f>
        <v>DD2024100817091</v>
      </c>
      <c r="D5289" s="1" t="str">
        <f>"CK2024100812925"</f>
        <v>CK2024100812925</v>
      </c>
      <c r="E5289" s="1" t="str">
        <f>"6917926431100009889"</f>
        <v>6917926431100009889</v>
      </c>
      <c r="F5289" s="1" t="str">
        <f t="shared" si="1716"/>
        <v>花都四部-凤凰仓</v>
      </c>
      <c r="G5289" s="1" t="str">
        <f t="shared" si="1725"/>
        <v>卡卡杜个人护理店（抖店）</v>
      </c>
      <c r="H5289" s="1" t="str">
        <f t="shared" si="1717"/>
        <v>正常订单</v>
      </c>
      <c r="I5289" s="1" t="str">
        <f t="shared" si="1718"/>
        <v>已发货</v>
      </c>
      <c r="J5289" s="1" t="str">
        <f>"4"</f>
        <v>4</v>
      </c>
      <c r="K5289" s="1">
        <v>1</v>
      </c>
      <c r="L5289" s="1" t="s">
        <v>13</v>
      </c>
      <c r="M5289" s="1" t="str">
        <f>"江苏省 南通市 海门区 正余镇"</f>
        <v>江苏省 南通市 海门区 正余镇</v>
      </c>
      <c r="N5289" s="1" t="str">
        <f>"凡华云仓-韵达-抖音"</f>
        <v>凡华云仓-韵达-抖音</v>
      </c>
      <c r="O5289" s="5">
        <v>320161048164692</v>
      </c>
      <c r="P5289" s="6">
        <v>0.57999999999999996</v>
      </c>
      <c r="Q5289" s="11">
        <f>CEILING(P5289-0.5,0.1)*10*0.15+2.3</f>
        <v>2.4499999999999997</v>
      </c>
      <c r="R5289" s="11"/>
      <c r="S5289" s="11"/>
      <c r="T5289" s="11"/>
      <c r="U5289" s="11">
        <f t="shared" si="1714"/>
        <v>2.4499999999999997</v>
      </c>
      <c r="V5289" t="s">
        <v>15</v>
      </c>
      <c r="W5289">
        <v>2.4500000000000002</v>
      </c>
      <c r="X5289" s="1" t="s">
        <v>13</v>
      </c>
    </row>
    <row r="5290" spans="1:24" x14ac:dyDescent="0.25">
      <c r="A5290" s="1" t="str">
        <f t="shared" si="1715"/>
        <v>卡卡杜-凤凰仓</v>
      </c>
      <c r="B5290" s="1" t="str">
        <f>"CK2024101926405"</f>
        <v>CK2024101926405</v>
      </c>
      <c r="C5290" s="1" t="str">
        <f>"DD2024101961329"</f>
        <v>DD2024101961329</v>
      </c>
      <c r="D5290" s="1" t="str">
        <f>"CK2024101948960"</f>
        <v>CK2024101948960</v>
      </c>
      <c r="E5290" s="1" t="str">
        <f>"6935204285174388110"</f>
        <v>6935204285174388110</v>
      </c>
      <c r="F5290" s="1" t="str">
        <f t="shared" si="1716"/>
        <v>花都四部-凤凰仓</v>
      </c>
      <c r="G5290" s="1" t="str">
        <f t="shared" si="1725"/>
        <v>卡卡杜个人护理店（抖店）</v>
      </c>
      <c r="H5290" s="1" t="str">
        <f t="shared" si="1717"/>
        <v>正常订单</v>
      </c>
      <c r="I5290" s="1" t="str">
        <f t="shared" si="1718"/>
        <v>已发货</v>
      </c>
      <c r="J5290" s="1" t="str">
        <f t="shared" ref="J5290:J5295" si="1728">"3"</f>
        <v>3</v>
      </c>
      <c r="K5290" s="1">
        <v>2</v>
      </c>
      <c r="L5290" s="1" t="s">
        <v>30</v>
      </c>
      <c r="M5290" s="1" t="str">
        <f>"山东省 济南市 天桥区 泺口街道"</f>
        <v>山东省 济南市 天桥区 泺口街道</v>
      </c>
      <c r="N5290" s="1" t="str">
        <f t="shared" si="1727"/>
        <v>凡华云仓-城南圆通-抖音</v>
      </c>
      <c r="O5290" s="5" t="s">
        <v>5311</v>
      </c>
      <c r="P5290" s="6">
        <v>0.35</v>
      </c>
      <c r="Q5290" s="11">
        <v>2.2999999999999998</v>
      </c>
      <c r="R5290" s="11"/>
      <c r="S5290" s="11"/>
      <c r="T5290" s="11"/>
      <c r="U5290" s="11">
        <f t="shared" si="1714"/>
        <v>2.2999999999999998</v>
      </c>
      <c r="W5290">
        <v>2.5</v>
      </c>
      <c r="X5290" s="1" t="s">
        <v>30</v>
      </c>
    </row>
    <row r="5291" spans="1:24" x14ac:dyDescent="0.25">
      <c r="A5291" s="1" t="str">
        <f t="shared" si="1715"/>
        <v>卡卡杜-凤凰仓</v>
      </c>
      <c r="B5291" s="1" t="str">
        <f>"CK202410081850"</f>
        <v>CK202410081850</v>
      </c>
      <c r="C5291" s="1" t="str">
        <f>"DD2024100817087"</f>
        <v>DD2024100817087</v>
      </c>
      <c r="D5291" s="1" t="str">
        <f>"CK2024100812914"</f>
        <v>CK2024100812914</v>
      </c>
      <c r="E5291" s="1" t="str">
        <f>"6917921521911168753"</f>
        <v>6917921521911168753</v>
      </c>
      <c r="F5291" s="1" t="str">
        <f t="shared" si="1716"/>
        <v>花都四部-凤凰仓</v>
      </c>
      <c r="G5291" s="1" t="str">
        <f t="shared" si="1725"/>
        <v>卡卡杜个人护理店（抖店）</v>
      </c>
      <c r="H5291" s="1" t="str">
        <f t="shared" si="1717"/>
        <v>正常订单</v>
      </c>
      <c r="I5291" s="1" t="str">
        <f t="shared" si="1718"/>
        <v>已发货</v>
      </c>
      <c r="J5291" s="1" t="str">
        <f>"4"</f>
        <v>4</v>
      </c>
      <c r="K5291" s="1">
        <v>1</v>
      </c>
      <c r="L5291" s="1" t="s">
        <v>41</v>
      </c>
      <c r="M5291" s="1" t="str">
        <f>"湖北省 恩施土家族苗族自治州 来凤县 漫水乡"</f>
        <v>湖北省 恩施土家族苗族自治州 来凤县 漫水乡</v>
      </c>
      <c r="N5291" s="1" t="str">
        <f>"凡华云仓-韵达-抖音"</f>
        <v>凡华云仓-韵达-抖音</v>
      </c>
      <c r="O5291" s="5">
        <v>320161045281914</v>
      </c>
      <c r="P5291" s="6">
        <v>0.57999999999999996</v>
      </c>
      <c r="Q5291" s="11">
        <f>CEILING(P5291-0.5,0.1)*10*0.15+2.3</f>
        <v>2.4499999999999997</v>
      </c>
      <c r="R5291" s="11"/>
      <c r="S5291" s="11"/>
      <c r="T5291" s="11"/>
      <c r="U5291" s="11">
        <f t="shared" si="1714"/>
        <v>2.4499999999999997</v>
      </c>
      <c r="V5291" t="s">
        <v>15</v>
      </c>
      <c r="W5291">
        <v>2.4500000000000002</v>
      </c>
      <c r="X5291" s="1" t="s">
        <v>41</v>
      </c>
    </row>
    <row r="5292" spans="1:24" x14ac:dyDescent="0.25">
      <c r="A5292" s="1" t="str">
        <f t="shared" si="1715"/>
        <v>卡卡杜-凤凰仓</v>
      </c>
      <c r="B5292" s="1" t="str">
        <f>"CK2024101926408"</f>
        <v>CK2024101926408</v>
      </c>
      <c r="C5292" s="1" t="str">
        <f>"DD2024101961330"</f>
        <v>DD2024101961330</v>
      </c>
      <c r="D5292" s="1" t="str">
        <f>"CK2024101948958"</f>
        <v>CK2024101948958</v>
      </c>
      <c r="E5292" s="1" t="str">
        <f>"6935199521463669952"</f>
        <v>6935199521463669952</v>
      </c>
      <c r="F5292" s="1" t="str">
        <f t="shared" si="1716"/>
        <v>花都四部-凤凰仓</v>
      </c>
      <c r="G5292" s="1" t="str">
        <f t="shared" si="1725"/>
        <v>卡卡杜个人护理店（抖店）</v>
      </c>
      <c r="H5292" s="1" t="str">
        <f t="shared" si="1717"/>
        <v>正常订单</v>
      </c>
      <c r="I5292" s="1" t="str">
        <f t="shared" si="1718"/>
        <v>已发货</v>
      </c>
      <c r="J5292" s="1" t="str">
        <f t="shared" si="1728"/>
        <v>3</v>
      </c>
      <c r="K5292" s="1">
        <v>2</v>
      </c>
      <c r="L5292" s="1" t="s">
        <v>13</v>
      </c>
      <c r="M5292" s="1" t="str">
        <f>"江苏省 南京市 鼓楼区 下关街道"</f>
        <v>江苏省 南京市 鼓楼区 下关街道</v>
      </c>
      <c r="N5292" s="1" t="str">
        <f t="shared" si="1727"/>
        <v>凡华云仓-城南圆通-抖音</v>
      </c>
      <c r="O5292" s="5" t="s">
        <v>5312</v>
      </c>
      <c r="P5292" s="6">
        <v>0.35</v>
      </c>
      <c r="Q5292" s="11">
        <v>2.2999999999999998</v>
      </c>
      <c r="R5292" s="11"/>
      <c r="S5292" s="11"/>
      <c r="T5292" s="11"/>
      <c r="U5292" s="11">
        <f t="shared" si="1714"/>
        <v>2.2999999999999998</v>
      </c>
      <c r="W5292">
        <v>2.5</v>
      </c>
      <c r="X5292" s="1" t="s">
        <v>13</v>
      </c>
    </row>
    <row r="5293" spans="1:24" x14ac:dyDescent="0.25">
      <c r="A5293" s="1" t="str">
        <f t="shared" si="1715"/>
        <v>卡卡杜-凤凰仓</v>
      </c>
      <c r="B5293" s="1" t="str">
        <f>"CK2024101926404"</f>
        <v>CK2024101926404</v>
      </c>
      <c r="C5293" s="1" t="str">
        <f>"DD2024101961325"</f>
        <v>DD2024101961325</v>
      </c>
      <c r="D5293" s="1" t="str">
        <f>"CK2024101948957"</f>
        <v>CK2024101948957</v>
      </c>
      <c r="E5293" s="1" t="str">
        <f>"6935206210011731330"</f>
        <v>6935206210011731330</v>
      </c>
      <c r="F5293" s="1" t="str">
        <f t="shared" si="1716"/>
        <v>花都四部-凤凰仓</v>
      </c>
      <c r="G5293" s="1" t="str">
        <f t="shared" si="1725"/>
        <v>卡卡杜个人护理店（抖店）</v>
      </c>
      <c r="H5293" s="1" t="str">
        <f t="shared" si="1717"/>
        <v>正常订单</v>
      </c>
      <c r="I5293" s="1" t="str">
        <f t="shared" si="1718"/>
        <v>已发货</v>
      </c>
      <c r="J5293" s="1" t="str">
        <f t="shared" si="1728"/>
        <v>3</v>
      </c>
      <c r="K5293" s="1">
        <v>2</v>
      </c>
      <c r="L5293" s="1" t="s">
        <v>13</v>
      </c>
      <c r="M5293" s="1" t="str">
        <f>"江苏省 苏州市 常熟市 海虞镇"</f>
        <v>江苏省 苏州市 常熟市 海虞镇</v>
      </c>
      <c r="N5293" s="1" t="str">
        <f t="shared" si="1727"/>
        <v>凡华云仓-城南圆通-抖音</v>
      </c>
      <c r="O5293" s="5" t="s">
        <v>5313</v>
      </c>
      <c r="P5293" s="6">
        <v>0.35</v>
      </c>
      <c r="Q5293" s="11">
        <v>2.2999999999999998</v>
      </c>
      <c r="R5293" s="11"/>
      <c r="S5293" s="11"/>
      <c r="T5293" s="11"/>
      <c r="U5293" s="11">
        <f t="shared" si="1714"/>
        <v>2.2999999999999998</v>
      </c>
      <c r="W5293">
        <v>2.5</v>
      </c>
      <c r="X5293" s="1" t="s">
        <v>13</v>
      </c>
    </row>
    <row r="5294" spans="1:24" x14ac:dyDescent="0.25">
      <c r="A5294" s="1" t="str">
        <f t="shared" si="1715"/>
        <v>卡卡杜-凤凰仓</v>
      </c>
      <c r="B5294" s="1" t="str">
        <f>"CK2024101926406"</f>
        <v>CK2024101926406</v>
      </c>
      <c r="C5294" s="1" t="str">
        <f>"DD2024101961327"</f>
        <v>DD2024101961327</v>
      </c>
      <c r="D5294" s="1" t="str">
        <f>"CK2024101948956"</f>
        <v>CK2024101948956</v>
      </c>
      <c r="E5294" s="1" t="str">
        <f>"6935213030629774398"</f>
        <v>6935213030629774398</v>
      </c>
      <c r="F5294" s="1" t="str">
        <f t="shared" si="1716"/>
        <v>花都四部-凤凰仓</v>
      </c>
      <c r="G5294" s="1" t="str">
        <f t="shared" si="1725"/>
        <v>卡卡杜个人护理店（抖店）</v>
      </c>
      <c r="H5294" s="1" t="str">
        <f t="shared" si="1717"/>
        <v>正常订单</v>
      </c>
      <c r="I5294" s="1" t="str">
        <f t="shared" si="1718"/>
        <v>已发货</v>
      </c>
      <c r="J5294" s="1" t="str">
        <f t="shared" si="1728"/>
        <v>3</v>
      </c>
      <c r="K5294" s="1">
        <v>2</v>
      </c>
      <c r="L5294" s="1" t="s">
        <v>36</v>
      </c>
      <c r="M5294" s="1" t="str">
        <f>"安徽省 芜湖市 镜湖区 赭山街道"</f>
        <v>安徽省 芜湖市 镜湖区 赭山街道</v>
      </c>
      <c r="N5294" s="1" t="str">
        <f t="shared" si="1727"/>
        <v>凡华云仓-城南圆通-抖音</v>
      </c>
      <c r="O5294" s="5" t="s">
        <v>5314</v>
      </c>
      <c r="P5294" s="6">
        <v>0.35</v>
      </c>
      <c r="Q5294" s="11">
        <v>2.2999999999999998</v>
      </c>
      <c r="R5294" s="11"/>
      <c r="S5294" s="11"/>
      <c r="T5294" s="11"/>
      <c r="U5294" s="11">
        <f t="shared" si="1714"/>
        <v>2.2999999999999998</v>
      </c>
      <c r="W5294">
        <v>2.5</v>
      </c>
      <c r="X5294" s="1" t="s">
        <v>36</v>
      </c>
    </row>
    <row r="5295" spans="1:24" x14ac:dyDescent="0.25">
      <c r="A5295" s="1" t="str">
        <f t="shared" si="1715"/>
        <v>卡卡杜-凤凰仓</v>
      </c>
      <c r="B5295" s="1" t="str">
        <f>"CK2024101926395"</f>
        <v>CK2024101926395</v>
      </c>
      <c r="C5295" s="1" t="str">
        <f>"DD2024101961317"</f>
        <v>DD2024101961317</v>
      </c>
      <c r="D5295" s="1" t="str">
        <f>"CK2024101948955"</f>
        <v>CK2024101948955</v>
      </c>
      <c r="E5295" s="1" t="str">
        <f>"6935194886963598676"</f>
        <v>6935194886963598676</v>
      </c>
      <c r="F5295" s="1" t="str">
        <f t="shared" si="1716"/>
        <v>花都四部-凤凰仓</v>
      </c>
      <c r="G5295" s="1" t="str">
        <f t="shared" si="1725"/>
        <v>卡卡杜个人护理店（抖店）</v>
      </c>
      <c r="H5295" s="1" t="str">
        <f t="shared" si="1717"/>
        <v>正常订单</v>
      </c>
      <c r="I5295" s="1" t="str">
        <f t="shared" si="1718"/>
        <v>已发货</v>
      </c>
      <c r="J5295" s="1" t="str">
        <f t="shared" si="1728"/>
        <v>3</v>
      </c>
      <c r="K5295" s="1">
        <v>2</v>
      </c>
      <c r="L5295" s="1" t="s">
        <v>13</v>
      </c>
      <c r="M5295" s="1" t="str">
        <f>"江苏省 泰州市 高港区 野徐镇"</f>
        <v>江苏省 泰州市 高港区 野徐镇</v>
      </c>
      <c r="N5295" s="1" t="str">
        <f t="shared" si="1727"/>
        <v>凡华云仓-城南圆通-抖音</v>
      </c>
      <c r="O5295" s="5" t="s">
        <v>5315</v>
      </c>
      <c r="P5295" s="6">
        <v>0.35</v>
      </c>
      <c r="Q5295" s="11">
        <v>2.2999999999999998</v>
      </c>
      <c r="R5295" s="11"/>
      <c r="S5295" s="11"/>
      <c r="T5295" s="11"/>
      <c r="U5295" s="11">
        <f t="shared" si="1714"/>
        <v>2.2999999999999998</v>
      </c>
      <c r="W5295">
        <v>2.5</v>
      </c>
      <c r="X5295" s="1" t="s">
        <v>13</v>
      </c>
    </row>
    <row r="5296" spans="1:24" x14ac:dyDescent="0.25">
      <c r="A5296" s="1" t="str">
        <f t="shared" si="1715"/>
        <v>卡卡杜-凤凰仓</v>
      </c>
      <c r="B5296" s="1" t="str">
        <f>"CK2024101926429"</f>
        <v>CK2024101926429</v>
      </c>
      <c r="C5296" s="1" t="str">
        <f>"DD2024101961351"</f>
        <v>DD2024101961351</v>
      </c>
      <c r="D5296" s="1" t="str">
        <f>"CK2024101948954"</f>
        <v>CK2024101948954</v>
      </c>
      <c r="E5296" s="1" t="str">
        <f>"6935190341828088999"</f>
        <v>6935190341828088999</v>
      </c>
      <c r="F5296" s="1" t="str">
        <f t="shared" si="1716"/>
        <v>花都四部-凤凰仓</v>
      </c>
      <c r="G5296" s="1" t="str">
        <f t="shared" si="1725"/>
        <v>卡卡杜个人护理店（抖店）</v>
      </c>
      <c r="H5296" s="1" t="str">
        <f t="shared" si="1717"/>
        <v>正常订单</v>
      </c>
      <c r="I5296" s="1" t="str">
        <f t="shared" si="1718"/>
        <v>已发货</v>
      </c>
      <c r="J5296" s="1" t="str">
        <f>"8"</f>
        <v>8</v>
      </c>
      <c r="K5296" s="1">
        <v>1</v>
      </c>
      <c r="L5296" s="1" t="s">
        <v>13</v>
      </c>
      <c r="M5296" s="1" t="str">
        <f>"江苏省 南京市 玄武区 红山街道"</f>
        <v>江苏省 南京市 玄武区 红山街道</v>
      </c>
      <c r="N5296" s="1" t="str">
        <f t="shared" si="1727"/>
        <v>凡华云仓-城南圆通-抖音</v>
      </c>
      <c r="O5296" s="5" t="s">
        <v>5316</v>
      </c>
      <c r="P5296" s="6">
        <v>1.1200000000000001</v>
      </c>
      <c r="Q5296" s="11">
        <f>CEILING(P5296-0.5,0.1)*10*0.15+2.3</f>
        <v>3.3499999999999996</v>
      </c>
      <c r="R5296" s="11"/>
      <c r="S5296" s="11"/>
      <c r="T5296" s="11"/>
      <c r="U5296" s="11">
        <f t="shared" si="1714"/>
        <v>3.3499999999999996</v>
      </c>
      <c r="V5296" t="s">
        <v>15</v>
      </c>
      <c r="W5296">
        <v>3.35</v>
      </c>
      <c r="X5296" s="1" t="s">
        <v>13</v>
      </c>
    </row>
    <row r="5297" spans="1:24" x14ac:dyDescent="0.25">
      <c r="A5297" s="1" t="str">
        <f t="shared" si="1715"/>
        <v>卡卡杜-凤凰仓</v>
      </c>
      <c r="B5297" s="1" t="str">
        <f>"CK2024101926393"</f>
        <v>CK2024101926393</v>
      </c>
      <c r="C5297" s="1" t="str">
        <f>"DD2024101961315"</f>
        <v>DD2024101961315</v>
      </c>
      <c r="D5297" s="1" t="str">
        <f>"CK2024101948953"</f>
        <v>CK2024101948953</v>
      </c>
      <c r="E5297" s="1" t="str">
        <f>"6935194881875973503"</f>
        <v>6935194881875973503</v>
      </c>
      <c r="F5297" s="1" t="str">
        <f t="shared" si="1716"/>
        <v>花都四部-凤凰仓</v>
      </c>
      <c r="G5297" s="1" t="str">
        <f t="shared" si="1725"/>
        <v>卡卡杜个人护理店（抖店）</v>
      </c>
      <c r="H5297" s="1" t="str">
        <f t="shared" si="1717"/>
        <v>正常订单</v>
      </c>
      <c r="I5297" s="1" t="str">
        <f t="shared" si="1718"/>
        <v>已发货</v>
      </c>
      <c r="J5297" s="1" t="str">
        <f t="shared" ref="J5297:J5301" si="1729">"3"</f>
        <v>3</v>
      </c>
      <c r="K5297" s="1">
        <v>2</v>
      </c>
      <c r="L5297" s="1" t="s">
        <v>13</v>
      </c>
      <c r="M5297" s="1" t="str">
        <f>"江苏省 苏州市 虎丘区 枫桥街道"</f>
        <v>江苏省 苏州市 虎丘区 枫桥街道</v>
      </c>
      <c r="N5297" s="1" t="str">
        <f t="shared" si="1727"/>
        <v>凡华云仓-城南圆通-抖音</v>
      </c>
      <c r="O5297" s="5" t="s">
        <v>5317</v>
      </c>
      <c r="P5297" s="6">
        <v>0.35</v>
      </c>
      <c r="Q5297" s="11">
        <v>2.2999999999999998</v>
      </c>
      <c r="R5297" s="11"/>
      <c r="S5297" s="11"/>
      <c r="T5297" s="11"/>
      <c r="U5297" s="11">
        <f t="shared" si="1714"/>
        <v>2.2999999999999998</v>
      </c>
      <c r="W5297">
        <v>2.5</v>
      </c>
      <c r="X5297" s="1" t="s">
        <v>13</v>
      </c>
    </row>
    <row r="5298" spans="1:24" x14ac:dyDescent="0.25">
      <c r="A5298" s="1" t="str">
        <f t="shared" si="1715"/>
        <v>卡卡杜-凤凰仓</v>
      </c>
      <c r="B5298" s="1" t="str">
        <f>"CK2024101926381"</f>
        <v>CK2024101926381</v>
      </c>
      <c r="C5298" s="1" t="str">
        <f>"DD2024101961304"</f>
        <v>DD2024101961304</v>
      </c>
      <c r="D5298" s="1" t="str">
        <f>"CK2024101948952"</f>
        <v>CK2024101948952</v>
      </c>
      <c r="E5298" s="1" t="str">
        <f>"6935212926322087510"</f>
        <v>6935212926322087510</v>
      </c>
      <c r="F5298" s="1" t="str">
        <f t="shared" si="1716"/>
        <v>花都四部-凤凰仓</v>
      </c>
      <c r="G5298" s="1" t="str">
        <f t="shared" si="1725"/>
        <v>卡卡杜个人护理店（抖店）</v>
      </c>
      <c r="H5298" s="1" t="str">
        <f t="shared" si="1717"/>
        <v>正常订单</v>
      </c>
      <c r="I5298" s="1" t="str">
        <f t="shared" si="1718"/>
        <v>已发货</v>
      </c>
      <c r="J5298" s="1" t="str">
        <f t="shared" si="1729"/>
        <v>3</v>
      </c>
      <c r="K5298" s="1">
        <v>2</v>
      </c>
      <c r="L5298" s="1" t="s">
        <v>13</v>
      </c>
      <c r="M5298" s="1" t="str">
        <f>"江苏省 南京市 六合区 大厂街道"</f>
        <v>江苏省 南京市 六合区 大厂街道</v>
      </c>
      <c r="N5298" s="1" t="str">
        <f t="shared" si="1727"/>
        <v>凡华云仓-城南圆通-抖音</v>
      </c>
      <c r="O5298" s="5" t="s">
        <v>5318</v>
      </c>
      <c r="P5298" s="6">
        <v>0.35</v>
      </c>
      <c r="Q5298" s="11">
        <v>2.2999999999999998</v>
      </c>
      <c r="R5298" s="11"/>
      <c r="S5298" s="11"/>
      <c r="T5298" s="11"/>
      <c r="U5298" s="11">
        <f t="shared" si="1714"/>
        <v>2.2999999999999998</v>
      </c>
      <c r="W5298">
        <v>2.5</v>
      </c>
      <c r="X5298" s="1" t="s">
        <v>13</v>
      </c>
    </row>
    <row r="5299" spans="1:24" x14ac:dyDescent="0.25">
      <c r="A5299" s="1" t="str">
        <f t="shared" si="1715"/>
        <v>卡卡杜-凤凰仓</v>
      </c>
      <c r="B5299" s="1" t="str">
        <f>"CK2024101926391"</f>
        <v>CK2024101926391</v>
      </c>
      <c r="C5299" s="1" t="str">
        <f>"DD2024101961313"</f>
        <v>DD2024101961313</v>
      </c>
      <c r="D5299" s="1" t="str">
        <f>"CK2024101948951"</f>
        <v>CK2024101948951</v>
      </c>
      <c r="E5299" s="1" t="str">
        <f>"6935210916218607438"</f>
        <v>6935210916218607438</v>
      </c>
      <c r="F5299" s="1" t="str">
        <f t="shared" si="1716"/>
        <v>花都四部-凤凰仓</v>
      </c>
      <c r="G5299" s="1" t="str">
        <f t="shared" si="1725"/>
        <v>卡卡杜个人护理店（抖店）</v>
      </c>
      <c r="H5299" s="1" t="str">
        <f t="shared" si="1717"/>
        <v>正常订单</v>
      </c>
      <c r="I5299" s="1" t="str">
        <f t="shared" si="1718"/>
        <v>已发货</v>
      </c>
      <c r="J5299" s="1" t="str">
        <f t="shared" si="1729"/>
        <v>3</v>
      </c>
      <c r="K5299" s="1">
        <v>2</v>
      </c>
      <c r="L5299" s="1" t="s">
        <v>20</v>
      </c>
      <c r="M5299" s="1" t="str">
        <f>"浙江省 绍兴市 柯桥区 齐贤街道"</f>
        <v>浙江省 绍兴市 柯桥区 齐贤街道</v>
      </c>
      <c r="N5299" s="1" t="str">
        <f t="shared" si="1727"/>
        <v>凡华云仓-城南圆通-抖音</v>
      </c>
      <c r="O5299" s="5" t="s">
        <v>5319</v>
      </c>
      <c r="P5299" s="6">
        <v>0.35</v>
      </c>
      <c r="Q5299" s="11">
        <v>2.2999999999999998</v>
      </c>
      <c r="R5299" s="11"/>
      <c r="S5299" s="11"/>
      <c r="T5299" s="11"/>
      <c r="U5299" s="11">
        <f t="shared" si="1714"/>
        <v>2.2999999999999998</v>
      </c>
      <c r="W5299">
        <v>2.5</v>
      </c>
      <c r="X5299" s="1" t="s">
        <v>20</v>
      </c>
    </row>
    <row r="5300" spans="1:24" x14ac:dyDescent="0.25">
      <c r="A5300" s="1" t="str">
        <f t="shared" si="1715"/>
        <v>卡卡杜-凤凰仓</v>
      </c>
      <c r="B5300" s="1" t="str">
        <f>"CK2024101926377"</f>
        <v>CK2024101926377</v>
      </c>
      <c r="C5300" s="1" t="str">
        <f>"DD2024101961298"</f>
        <v>DD2024101961298</v>
      </c>
      <c r="D5300" s="1" t="str">
        <f>"CK2024101948950"</f>
        <v>CK2024101948950</v>
      </c>
      <c r="E5300" s="1" t="str">
        <f>"6935219041030313788"</f>
        <v>6935219041030313788</v>
      </c>
      <c r="F5300" s="1" t="str">
        <f t="shared" si="1716"/>
        <v>花都四部-凤凰仓</v>
      </c>
      <c r="G5300" s="1" t="str">
        <f t="shared" si="1725"/>
        <v>卡卡杜个人护理店（抖店）</v>
      </c>
      <c r="H5300" s="1" t="str">
        <f t="shared" si="1717"/>
        <v>正常订单</v>
      </c>
      <c r="I5300" s="1" t="str">
        <f t="shared" si="1718"/>
        <v>已发货</v>
      </c>
      <c r="J5300" s="1" t="str">
        <f t="shared" si="1729"/>
        <v>3</v>
      </c>
      <c r="K5300" s="1">
        <v>2</v>
      </c>
      <c r="L5300" s="1" t="s">
        <v>27</v>
      </c>
      <c r="M5300" s="1" t="str">
        <f>"贵州省 贵阳市 云岩区 威清门街道"</f>
        <v>贵州省 贵阳市 云岩区 威清门街道</v>
      </c>
      <c r="N5300" s="1" t="str">
        <f t="shared" si="1727"/>
        <v>凡华云仓-城南圆通-抖音</v>
      </c>
      <c r="O5300" s="5" t="s">
        <v>5320</v>
      </c>
      <c r="P5300" s="6">
        <v>0.35</v>
      </c>
      <c r="Q5300" s="11">
        <v>2.2999999999999998</v>
      </c>
      <c r="R5300" s="11"/>
      <c r="S5300" s="11"/>
      <c r="T5300" s="11"/>
      <c r="U5300" s="11">
        <f t="shared" si="1714"/>
        <v>2.2999999999999998</v>
      </c>
      <c r="W5300">
        <v>2.5</v>
      </c>
      <c r="X5300" s="1" t="s">
        <v>27</v>
      </c>
    </row>
    <row r="5301" spans="1:24" x14ac:dyDescent="0.25">
      <c r="A5301" s="1" t="str">
        <f t="shared" si="1715"/>
        <v>卡卡杜-凤凰仓</v>
      </c>
      <c r="B5301" s="1" t="str">
        <f>"CK2024101926392"</f>
        <v>CK2024101926392</v>
      </c>
      <c r="C5301" s="1" t="str">
        <f>"DD2024101961312"</f>
        <v>DD2024101961312</v>
      </c>
      <c r="D5301" s="1" t="str">
        <f>"CK2024101948949"</f>
        <v>CK2024101948949</v>
      </c>
      <c r="E5301" s="1" t="str">
        <f>"6935214960723891269"</f>
        <v>6935214960723891269</v>
      </c>
      <c r="F5301" s="1" t="str">
        <f t="shared" si="1716"/>
        <v>花都四部-凤凰仓</v>
      </c>
      <c r="G5301" s="1" t="str">
        <f t="shared" si="1725"/>
        <v>卡卡杜个人护理店（抖店）</v>
      </c>
      <c r="H5301" s="1" t="str">
        <f t="shared" si="1717"/>
        <v>正常订单</v>
      </c>
      <c r="I5301" s="1" t="str">
        <f t="shared" si="1718"/>
        <v>已发货</v>
      </c>
      <c r="J5301" s="1" t="str">
        <f t="shared" si="1729"/>
        <v>3</v>
      </c>
      <c r="K5301" s="1">
        <v>2</v>
      </c>
      <c r="L5301" s="1" t="s">
        <v>20</v>
      </c>
      <c r="M5301" s="1" t="str">
        <f>"浙江省 杭州市 上城区 闸弄口街道"</f>
        <v>浙江省 杭州市 上城区 闸弄口街道</v>
      </c>
      <c r="N5301" s="1" t="str">
        <f t="shared" si="1727"/>
        <v>凡华云仓-城南圆通-抖音</v>
      </c>
      <c r="O5301" s="5" t="s">
        <v>5321</v>
      </c>
      <c r="P5301" s="6">
        <v>0.35</v>
      </c>
      <c r="Q5301" s="11">
        <v>2.2999999999999998</v>
      </c>
      <c r="R5301" s="11"/>
      <c r="S5301" s="11"/>
      <c r="T5301" s="11"/>
      <c r="U5301" s="11">
        <f t="shared" si="1714"/>
        <v>2.2999999999999998</v>
      </c>
      <c r="W5301">
        <v>2.5</v>
      </c>
      <c r="X5301" s="1" t="s">
        <v>20</v>
      </c>
    </row>
    <row r="5302" spans="1:24" x14ac:dyDescent="0.25">
      <c r="A5302" s="1" t="str">
        <f t="shared" si="1715"/>
        <v>卡卡杜-凤凰仓</v>
      </c>
      <c r="B5302" s="1" t="str">
        <f>"CK2024100925"</f>
        <v>CK2024100925</v>
      </c>
      <c r="C5302" s="1" t="str">
        <f>"DD2024100910478"</f>
        <v>DD2024100910478</v>
      </c>
      <c r="D5302" s="1" t="str">
        <f>"CK2024100920467"</f>
        <v>CK2024100920467</v>
      </c>
      <c r="E5302" s="1" t="str">
        <f>"6917985189912084154"</f>
        <v>6917985189912084154</v>
      </c>
      <c r="F5302" s="1" t="str">
        <f t="shared" si="1716"/>
        <v>花都四部-凤凰仓</v>
      </c>
      <c r="G5302" s="1" t="str">
        <f t="shared" si="1725"/>
        <v>卡卡杜个人护理店（抖店）</v>
      </c>
      <c r="H5302" s="1" t="str">
        <f t="shared" si="1717"/>
        <v>正常订单</v>
      </c>
      <c r="I5302" s="1" t="str">
        <f t="shared" si="1718"/>
        <v>已发货</v>
      </c>
      <c r="J5302" s="1" t="str">
        <f>"4"</f>
        <v>4</v>
      </c>
      <c r="K5302" s="1">
        <v>1</v>
      </c>
      <c r="L5302" s="1" t="s">
        <v>27</v>
      </c>
      <c r="M5302" s="1" t="str">
        <f>"贵州省 安顺市 紫云苗族布依族自治县 云岭街道"</f>
        <v>贵州省 安顺市 紫云苗族布依族自治县 云岭街道</v>
      </c>
      <c r="N5302" s="1" t="str">
        <f>"凡华云仓-韵达-抖音"</f>
        <v>凡华云仓-韵达-抖音</v>
      </c>
      <c r="O5302" s="5">
        <v>320162837669942</v>
      </c>
      <c r="P5302" s="6">
        <v>0.57999999999999996</v>
      </c>
      <c r="Q5302" s="11">
        <f>CEILING(P5302-0.5,0.1)*10*0.15+2.3</f>
        <v>2.4499999999999997</v>
      </c>
      <c r="R5302" s="11"/>
      <c r="S5302" s="11"/>
      <c r="T5302" s="11"/>
      <c r="U5302" s="11">
        <f t="shared" si="1714"/>
        <v>2.4499999999999997</v>
      </c>
      <c r="V5302" t="s">
        <v>15</v>
      </c>
      <c r="W5302">
        <v>2.4500000000000002</v>
      </c>
      <c r="X5302" s="1" t="s">
        <v>27</v>
      </c>
    </row>
    <row r="5303" spans="1:24" x14ac:dyDescent="0.25">
      <c r="A5303" s="1" t="str">
        <f t="shared" si="1715"/>
        <v>卡卡杜-凤凰仓</v>
      </c>
      <c r="B5303" s="1" t="str">
        <f>"CK2024101926375"</f>
        <v>CK2024101926375</v>
      </c>
      <c r="C5303" s="1" t="str">
        <f>"DD2024101961290"</f>
        <v>DD2024101961290</v>
      </c>
      <c r="D5303" s="1" t="str">
        <f>"CK2024101948947"</f>
        <v>CK2024101948947</v>
      </c>
      <c r="E5303" s="1" t="str">
        <f>"6935190260710839322"</f>
        <v>6935190260710839322</v>
      </c>
      <c r="F5303" s="1" t="str">
        <f t="shared" si="1716"/>
        <v>花都四部-凤凰仓</v>
      </c>
      <c r="G5303" s="1" t="str">
        <f t="shared" si="1725"/>
        <v>卡卡杜个人护理店（抖店）</v>
      </c>
      <c r="H5303" s="1" t="str">
        <f t="shared" si="1717"/>
        <v>正常订单</v>
      </c>
      <c r="I5303" s="1" t="str">
        <f t="shared" si="1718"/>
        <v>已发货</v>
      </c>
      <c r="J5303" s="1" t="str">
        <f t="shared" ref="J5303:J5317" si="1730">"3"</f>
        <v>3</v>
      </c>
      <c r="K5303" s="1">
        <v>2</v>
      </c>
      <c r="L5303" s="1" t="s">
        <v>92</v>
      </c>
      <c r="M5303" s="1" t="str">
        <f>"辽宁省 大连市 甘井子区 凌水街道"</f>
        <v>辽宁省 大连市 甘井子区 凌水街道</v>
      </c>
      <c r="N5303" s="1" t="str">
        <f t="shared" si="1727"/>
        <v>凡华云仓-城南圆通-抖音</v>
      </c>
      <c r="O5303" s="5" t="s">
        <v>5322</v>
      </c>
      <c r="P5303" s="6">
        <v>0.35</v>
      </c>
      <c r="Q5303" s="11">
        <v>2.2999999999999998</v>
      </c>
      <c r="R5303" s="11"/>
      <c r="S5303" s="11"/>
      <c r="T5303" s="11"/>
      <c r="U5303" s="11">
        <f t="shared" si="1714"/>
        <v>2.2999999999999998</v>
      </c>
      <c r="W5303">
        <v>2.5</v>
      </c>
      <c r="X5303" s="1" t="s">
        <v>92</v>
      </c>
    </row>
    <row r="5304" spans="1:24" x14ac:dyDescent="0.25">
      <c r="A5304" s="1" t="str">
        <f t="shared" si="1715"/>
        <v>卡卡杜-凤凰仓</v>
      </c>
      <c r="B5304" s="1" t="str">
        <f>"CK2024101926372"</f>
        <v>CK2024101926372</v>
      </c>
      <c r="C5304" s="1" t="str">
        <f>"DD2024101961293"</f>
        <v>DD2024101961293</v>
      </c>
      <c r="D5304" s="1" t="str">
        <f>"CK2024101948946"</f>
        <v>CK2024101948946</v>
      </c>
      <c r="E5304" s="1" t="str">
        <f>"6935208351101556369"</f>
        <v>6935208351101556369</v>
      </c>
      <c r="F5304" s="1" t="str">
        <f t="shared" si="1716"/>
        <v>花都四部-凤凰仓</v>
      </c>
      <c r="G5304" s="1" t="str">
        <f t="shared" si="1725"/>
        <v>卡卡杜个人护理店（抖店）</v>
      </c>
      <c r="H5304" s="1" t="str">
        <f t="shared" si="1717"/>
        <v>正常订单</v>
      </c>
      <c r="I5304" s="1" t="str">
        <f t="shared" si="1718"/>
        <v>已发货</v>
      </c>
      <c r="J5304" s="1" t="str">
        <f t="shared" si="1730"/>
        <v>3</v>
      </c>
      <c r="K5304" s="1">
        <v>2</v>
      </c>
      <c r="L5304" s="1" t="s">
        <v>13</v>
      </c>
      <c r="M5304" s="1" t="str">
        <f>"江苏省 南京市 雨花台区 雨花经济开发区"</f>
        <v>江苏省 南京市 雨花台区 雨花经济开发区</v>
      </c>
      <c r="N5304" s="1" t="str">
        <f t="shared" si="1727"/>
        <v>凡华云仓-城南圆通-抖音</v>
      </c>
      <c r="O5304" s="5" t="s">
        <v>5323</v>
      </c>
      <c r="P5304" s="6">
        <v>0.35</v>
      </c>
      <c r="Q5304" s="11">
        <v>2.2999999999999998</v>
      </c>
      <c r="R5304" s="11"/>
      <c r="S5304" s="11"/>
      <c r="T5304" s="11"/>
      <c r="U5304" s="11">
        <f t="shared" si="1714"/>
        <v>2.2999999999999998</v>
      </c>
      <c r="W5304">
        <v>2.5</v>
      </c>
      <c r="X5304" s="1" t="s">
        <v>13</v>
      </c>
    </row>
    <row r="5305" spans="1:24" x14ac:dyDescent="0.25">
      <c r="A5305" s="1" t="str">
        <f t="shared" si="1715"/>
        <v>卡卡杜-凤凰仓</v>
      </c>
      <c r="B5305" s="1" t="str">
        <f>"CK2024101926373"</f>
        <v>CK2024101926373</v>
      </c>
      <c r="C5305" s="1" t="str">
        <f>"DD2024101961289"</f>
        <v>DD2024101961289</v>
      </c>
      <c r="D5305" s="1" t="str">
        <f>"CK2024101948945"</f>
        <v>CK2024101948945</v>
      </c>
      <c r="E5305" s="1" t="str">
        <f>"6935206228303156552"</f>
        <v>6935206228303156552</v>
      </c>
      <c r="F5305" s="1" t="str">
        <f t="shared" si="1716"/>
        <v>花都四部-凤凰仓</v>
      </c>
      <c r="G5305" s="1" t="str">
        <f t="shared" si="1725"/>
        <v>卡卡杜个人护理店（抖店）</v>
      </c>
      <c r="H5305" s="1" t="str">
        <f t="shared" si="1717"/>
        <v>正常订单</v>
      </c>
      <c r="I5305" s="1" t="str">
        <f t="shared" si="1718"/>
        <v>已发货</v>
      </c>
      <c r="J5305" s="1" t="str">
        <f t="shared" si="1730"/>
        <v>3</v>
      </c>
      <c r="K5305" s="1">
        <v>2</v>
      </c>
      <c r="L5305" s="1" t="s">
        <v>41</v>
      </c>
      <c r="M5305" s="1" t="str">
        <f>"湖北省 襄阳市 襄城区 庞公街道"</f>
        <v>湖北省 襄阳市 襄城区 庞公街道</v>
      </c>
      <c r="N5305" s="1" t="str">
        <f t="shared" si="1727"/>
        <v>凡华云仓-城南圆通-抖音</v>
      </c>
      <c r="O5305" s="5" t="s">
        <v>5324</v>
      </c>
      <c r="P5305" s="6">
        <v>0.35</v>
      </c>
      <c r="Q5305" s="11">
        <v>2.2999999999999998</v>
      </c>
      <c r="R5305" s="11"/>
      <c r="S5305" s="11"/>
      <c r="T5305" s="11"/>
      <c r="U5305" s="11">
        <f t="shared" si="1714"/>
        <v>2.2999999999999998</v>
      </c>
      <c r="W5305">
        <v>2.5</v>
      </c>
      <c r="X5305" s="1" t="s">
        <v>41</v>
      </c>
    </row>
    <row r="5306" spans="1:24" x14ac:dyDescent="0.25">
      <c r="A5306" s="1" t="str">
        <f t="shared" si="1715"/>
        <v>卡卡杜-凤凰仓</v>
      </c>
      <c r="B5306" s="1" t="str">
        <f>"CK2024101926367"</f>
        <v>CK2024101926367</v>
      </c>
      <c r="C5306" s="1" t="str">
        <f>"DD2024101961277"</f>
        <v>DD2024101961277</v>
      </c>
      <c r="D5306" s="1" t="str">
        <f>"CK2024101948944"</f>
        <v>CK2024101948944</v>
      </c>
      <c r="E5306" s="1" t="str">
        <f>"6935190374565483732"</f>
        <v>6935190374565483732</v>
      </c>
      <c r="F5306" s="1" t="str">
        <f t="shared" si="1716"/>
        <v>花都四部-凤凰仓</v>
      </c>
      <c r="G5306" s="1" t="str">
        <f t="shared" si="1725"/>
        <v>卡卡杜个人护理店（抖店）</v>
      </c>
      <c r="H5306" s="1" t="str">
        <f t="shared" si="1717"/>
        <v>正常订单</v>
      </c>
      <c r="I5306" s="1" t="str">
        <f t="shared" si="1718"/>
        <v>已发货</v>
      </c>
      <c r="J5306" s="1" t="str">
        <f t="shared" si="1730"/>
        <v>3</v>
      </c>
      <c r="K5306" s="1">
        <v>2</v>
      </c>
      <c r="L5306" s="1" t="s">
        <v>47</v>
      </c>
      <c r="M5306" s="1" t="str">
        <f>"重庆 重庆市 铜梁区 巴川街道"</f>
        <v>重庆 重庆市 铜梁区 巴川街道</v>
      </c>
      <c r="N5306" s="1" t="str">
        <f t="shared" si="1727"/>
        <v>凡华云仓-城南圆通-抖音</v>
      </c>
      <c r="O5306" s="5" t="s">
        <v>5325</v>
      </c>
      <c r="P5306" s="6">
        <v>0.35</v>
      </c>
      <c r="Q5306" s="11">
        <v>2.2999999999999998</v>
      </c>
      <c r="R5306" s="11"/>
      <c r="S5306" s="11"/>
      <c r="T5306" s="11"/>
      <c r="U5306" s="11">
        <f t="shared" si="1714"/>
        <v>2.2999999999999998</v>
      </c>
      <c r="W5306">
        <v>2.5</v>
      </c>
      <c r="X5306" s="1" t="s">
        <v>47</v>
      </c>
    </row>
    <row r="5307" spans="1:24" x14ac:dyDescent="0.25">
      <c r="A5307" s="1" t="str">
        <f t="shared" si="1715"/>
        <v>卡卡杜-凤凰仓</v>
      </c>
      <c r="B5307" s="1" t="str">
        <f>"CK2024101926371"</f>
        <v>CK2024101926371</v>
      </c>
      <c r="C5307" s="1" t="str">
        <f>"DD2024101961286"</f>
        <v>DD2024101961286</v>
      </c>
      <c r="D5307" s="1" t="str">
        <f>"CK2024101948943"</f>
        <v>CK2024101948943</v>
      </c>
      <c r="E5307" s="1" t="str">
        <f>"6935216945174615543"</f>
        <v>6935216945174615543</v>
      </c>
      <c r="F5307" s="1" t="str">
        <f t="shared" si="1716"/>
        <v>花都四部-凤凰仓</v>
      </c>
      <c r="G5307" s="1" t="str">
        <f t="shared" si="1725"/>
        <v>卡卡杜个人护理店（抖店）</v>
      </c>
      <c r="H5307" s="1" t="str">
        <f t="shared" si="1717"/>
        <v>正常订单</v>
      </c>
      <c r="I5307" s="1" t="str">
        <f t="shared" si="1718"/>
        <v>已发货</v>
      </c>
      <c r="J5307" s="1" t="str">
        <f t="shared" si="1730"/>
        <v>3</v>
      </c>
      <c r="K5307" s="1">
        <v>2</v>
      </c>
      <c r="L5307" s="1" t="s">
        <v>161</v>
      </c>
      <c r="M5307" s="1" t="str">
        <f>"四川省 成都市 成华区 龙潭街道"</f>
        <v>四川省 成都市 成华区 龙潭街道</v>
      </c>
      <c r="N5307" s="1" t="str">
        <f t="shared" si="1727"/>
        <v>凡华云仓-城南圆通-抖音</v>
      </c>
      <c r="O5307" s="5" t="s">
        <v>5326</v>
      </c>
      <c r="P5307" s="6">
        <v>0.35</v>
      </c>
      <c r="Q5307" s="11">
        <v>2.2999999999999998</v>
      </c>
      <c r="R5307" s="11"/>
      <c r="S5307" s="11"/>
      <c r="T5307" s="11"/>
      <c r="U5307" s="11">
        <f t="shared" si="1714"/>
        <v>2.2999999999999998</v>
      </c>
      <c r="W5307">
        <v>2.5</v>
      </c>
      <c r="X5307" s="1" t="s">
        <v>161</v>
      </c>
    </row>
    <row r="5308" spans="1:24" x14ac:dyDescent="0.25">
      <c r="A5308" s="1" t="str">
        <f t="shared" si="1715"/>
        <v>卡卡杜-凤凰仓</v>
      </c>
      <c r="B5308" s="1" t="str">
        <f>"CK2024101926370"</f>
        <v>CK2024101926370</v>
      </c>
      <c r="C5308" s="1" t="str">
        <f>"DD2024101961279"</f>
        <v>DD2024101961279</v>
      </c>
      <c r="D5308" s="1" t="str">
        <f>"CK2024101948942"</f>
        <v>CK2024101948942</v>
      </c>
      <c r="E5308" s="1" t="str">
        <f>"6935204249284449428"</f>
        <v>6935204249284449428</v>
      </c>
      <c r="F5308" s="1" t="str">
        <f t="shared" si="1716"/>
        <v>花都四部-凤凰仓</v>
      </c>
      <c r="G5308" s="1" t="str">
        <f t="shared" si="1725"/>
        <v>卡卡杜个人护理店（抖店）</v>
      </c>
      <c r="H5308" s="1" t="str">
        <f t="shared" si="1717"/>
        <v>正常订单</v>
      </c>
      <c r="I5308" s="1" t="str">
        <f t="shared" si="1718"/>
        <v>已发货</v>
      </c>
      <c r="J5308" s="1" t="str">
        <f t="shared" si="1730"/>
        <v>3</v>
      </c>
      <c r="K5308" s="1">
        <v>2</v>
      </c>
      <c r="L5308" s="1" t="s">
        <v>30</v>
      </c>
      <c r="M5308" s="1" t="str">
        <f>"山东省 威海市 环翠区 竹岛街道"</f>
        <v>山东省 威海市 环翠区 竹岛街道</v>
      </c>
      <c r="N5308" s="1" t="str">
        <f t="shared" si="1727"/>
        <v>凡华云仓-城南圆通-抖音</v>
      </c>
      <c r="O5308" s="5" t="s">
        <v>5327</v>
      </c>
      <c r="P5308" s="6">
        <v>0.35</v>
      </c>
      <c r="Q5308" s="11">
        <v>2.2999999999999998</v>
      </c>
      <c r="R5308" s="11"/>
      <c r="S5308" s="11"/>
      <c r="T5308" s="11"/>
      <c r="U5308" s="11">
        <f t="shared" si="1714"/>
        <v>2.2999999999999998</v>
      </c>
      <c r="W5308">
        <v>2.5</v>
      </c>
      <c r="X5308" s="1" t="s">
        <v>30</v>
      </c>
    </row>
    <row r="5309" spans="1:24" x14ac:dyDescent="0.25">
      <c r="A5309" s="1" t="str">
        <f t="shared" si="1715"/>
        <v>卡卡杜-凤凰仓</v>
      </c>
      <c r="B5309" s="1" t="str">
        <f>"CK2024101926369"</f>
        <v>CK2024101926369</v>
      </c>
      <c r="C5309" s="1" t="str">
        <f>"DD2024101961280"</f>
        <v>DD2024101961280</v>
      </c>
      <c r="D5309" s="1" t="str">
        <f>"CK2024101948941"</f>
        <v>CK2024101948941</v>
      </c>
      <c r="E5309" s="1" t="str">
        <f>"6935197006283674868"</f>
        <v>6935197006283674868</v>
      </c>
      <c r="F5309" s="1" t="str">
        <f t="shared" si="1716"/>
        <v>花都四部-凤凰仓</v>
      </c>
      <c r="G5309" s="1" t="str">
        <f t="shared" si="1725"/>
        <v>卡卡杜个人护理店（抖店）</v>
      </c>
      <c r="H5309" s="1" t="str">
        <f t="shared" si="1717"/>
        <v>正常订单</v>
      </c>
      <c r="I5309" s="1" t="str">
        <f t="shared" si="1718"/>
        <v>已发货</v>
      </c>
      <c r="J5309" s="1" t="str">
        <f t="shared" si="1730"/>
        <v>3</v>
      </c>
      <c r="K5309" s="1">
        <v>2</v>
      </c>
      <c r="L5309" s="1" t="s">
        <v>36</v>
      </c>
      <c r="M5309" s="1" t="str">
        <f>"安徽省 合肥市 庐江县 庐城镇"</f>
        <v>安徽省 合肥市 庐江县 庐城镇</v>
      </c>
      <c r="N5309" s="1" t="str">
        <f t="shared" si="1727"/>
        <v>凡华云仓-城南圆通-抖音</v>
      </c>
      <c r="O5309" s="5" t="s">
        <v>5328</v>
      </c>
      <c r="P5309" s="6">
        <v>0.35</v>
      </c>
      <c r="Q5309" s="11">
        <v>2.2999999999999998</v>
      </c>
      <c r="R5309" s="11"/>
      <c r="S5309" s="11"/>
      <c r="T5309" s="11"/>
      <c r="U5309" s="11">
        <f t="shared" si="1714"/>
        <v>2.2999999999999998</v>
      </c>
      <c r="W5309">
        <v>2.5</v>
      </c>
      <c r="X5309" s="1" t="s">
        <v>36</v>
      </c>
    </row>
    <row r="5310" spans="1:24" x14ac:dyDescent="0.25">
      <c r="A5310" s="1" t="str">
        <f t="shared" si="1715"/>
        <v>卡卡杜-凤凰仓</v>
      </c>
      <c r="B5310" s="1" t="str">
        <f>"CK2024101926378"</f>
        <v>CK2024101926378</v>
      </c>
      <c r="C5310" s="1" t="str">
        <f>"DD2024101961301"</f>
        <v>DD2024101961301</v>
      </c>
      <c r="D5310" s="1" t="str">
        <f>"CK2024101948940"</f>
        <v>CK2024101948940</v>
      </c>
      <c r="E5310" s="1" t="str">
        <f>"6935197040879933316"</f>
        <v>6935197040879933316</v>
      </c>
      <c r="F5310" s="1" t="str">
        <f t="shared" si="1716"/>
        <v>花都四部-凤凰仓</v>
      </c>
      <c r="G5310" s="1" t="str">
        <f t="shared" si="1725"/>
        <v>卡卡杜个人护理店（抖店）</v>
      </c>
      <c r="H5310" s="1" t="str">
        <f t="shared" si="1717"/>
        <v>正常订单</v>
      </c>
      <c r="I5310" s="1" t="str">
        <f t="shared" si="1718"/>
        <v>已发货</v>
      </c>
      <c r="J5310" s="1" t="str">
        <f t="shared" si="1730"/>
        <v>3</v>
      </c>
      <c r="K5310" s="1">
        <v>2</v>
      </c>
      <c r="L5310" s="1" t="s">
        <v>13</v>
      </c>
      <c r="M5310" s="1" t="str">
        <f>"江苏省 苏州市 相城区 阳澄湖镇"</f>
        <v>江苏省 苏州市 相城区 阳澄湖镇</v>
      </c>
      <c r="N5310" s="1" t="str">
        <f t="shared" si="1727"/>
        <v>凡华云仓-城南圆通-抖音</v>
      </c>
      <c r="O5310" s="5" t="s">
        <v>5329</v>
      </c>
      <c r="P5310" s="6">
        <v>0.35</v>
      </c>
      <c r="Q5310" s="11">
        <v>2.2999999999999998</v>
      </c>
      <c r="R5310" s="11"/>
      <c r="S5310" s="11"/>
      <c r="T5310" s="11"/>
      <c r="U5310" s="11">
        <f t="shared" si="1714"/>
        <v>2.2999999999999998</v>
      </c>
      <c r="W5310">
        <v>2.5</v>
      </c>
      <c r="X5310" s="1" t="s">
        <v>13</v>
      </c>
    </row>
    <row r="5311" spans="1:24" x14ac:dyDescent="0.25">
      <c r="A5311" s="1" t="str">
        <f t="shared" si="1715"/>
        <v>卡卡杜-凤凰仓</v>
      </c>
      <c r="B5311" s="1" t="str">
        <f>"CK2024101926374"</f>
        <v>CK2024101926374</v>
      </c>
      <c r="C5311" s="1" t="str">
        <f>"DD2024101961288"</f>
        <v>DD2024101961288</v>
      </c>
      <c r="D5311" s="1" t="str">
        <f>"CK2024101948939"</f>
        <v>CK2024101948939</v>
      </c>
      <c r="E5311" s="1" t="str">
        <f>"6935210946955187277"</f>
        <v>6935210946955187277</v>
      </c>
      <c r="F5311" s="1" t="str">
        <f t="shared" si="1716"/>
        <v>花都四部-凤凰仓</v>
      </c>
      <c r="G5311" s="1" t="str">
        <f t="shared" si="1725"/>
        <v>卡卡杜个人护理店（抖店）</v>
      </c>
      <c r="H5311" s="1" t="str">
        <f t="shared" si="1717"/>
        <v>正常订单</v>
      </c>
      <c r="I5311" s="1" t="str">
        <f t="shared" si="1718"/>
        <v>已发货</v>
      </c>
      <c r="J5311" s="1" t="str">
        <f t="shared" si="1730"/>
        <v>3</v>
      </c>
      <c r="K5311" s="1">
        <v>2</v>
      </c>
      <c r="L5311" s="1" t="s">
        <v>13</v>
      </c>
      <c r="M5311" s="1" t="str">
        <f>"江苏省 徐州市 铜山区 铜山街道"</f>
        <v>江苏省 徐州市 铜山区 铜山街道</v>
      </c>
      <c r="N5311" s="1" t="str">
        <f t="shared" si="1727"/>
        <v>凡华云仓-城南圆通-抖音</v>
      </c>
      <c r="O5311" s="5" t="s">
        <v>5330</v>
      </c>
      <c r="P5311" s="6">
        <v>0.35</v>
      </c>
      <c r="Q5311" s="11">
        <v>2.2999999999999998</v>
      </c>
      <c r="R5311" s="11"/>
      <c r="S5311" s="11"/>
      <c r="T5311" s="11"/>
      <c r="U5311" s="11">
        <f t="shared" si="1714"/>
        <v>2.2999999999999998</v>
      </c>
      <c r="W5311">
        <v>2.5</v>
      </c>
      <c r="X5311" s="1" t="s">
        <v>13</v>
      </c>
    </row>
    <row r="5312" spans="1:24" x14ac:dyDescent="0.25">
      <c r="A5312" s="1" t="str">
        <f t="shared" si="1715"/>
        <v>卡卡杜-凤凰仓</v>
      </c>
      <c r="B5312" s="1" t="str">
        <f>"CK2024101926386"</f>
        <v>CK2024101926386</v>
      </c>
      <c r="C5312" s="1" t="str">
        <f>"DD2024101961308"</f>
        <v>DD2024101961308</v>
      </c>
      <c r="D5312" s="1" t="str">
        <f>"CK2024101948938"</f>
        <v>CK2024101948938</v>
      </c>
      <c r="E5312" s="1" t="str">
        <f>"6935214885394257585"</f>
        <v>6935214885394257585</v>
      </c>
      <c r="F5312" s="1" t="str">
        <f t="shared" si="1716"/>
        <v>花都四部-凤凰仓</v>
      </c>
      <c r="G5312" s="1" t="str">
        <f t="shared" si="1725"/>
        <v>卡卡杜个人护理店（抖店）</v>
      </c>
      <c r="H5312" s="1" t="str">
        <f t="shared" si="1717"/>
        <v>正常订单</v>
      </c>
      <c r="I5312" s="1" t="str">
        <f t="shared" si="1718"/>
        <v>已发货</v>
      </c>
      <c r="J5312" s="1" t="str">
        <f t="shared" si="1730"/>
        <v>3</v>
      </c>
      <c r="K5312" s="1">
        <v>2</v>
      </c>
      <c r="L5312" s="1" t="s">
        <v>18</v>
      </c>
      <c r="M5312" s="1" t="str">
        <f>"广东省 深圳市 光明区 马田街道"</f>
        <v>广东省 深圳市 光明区 马田街道</v>
      </c>
      <c r="N5312" s="1" t="str">
        <f t="shared" si="1727"/>
        <v>凡华云仓-城南圆通-抖音</v>
      </c>
      <c r="O5312" s="5" t="s">
        <v>5331</v>
      </c>
      <c r="P5312" s="6">
        <v>0.35</v>
      </c>
      <c r="Q5312" s="11">
        <v>2.2999999999999998</v>
      </c>
      <c r="R5312" s="11"/>
      <c r="S5312" s="11"/>
      <c r="T5312" s="11"/>
      <c r="U5312" s="11">
        <f t="shared" si="1714"/>
        <v>2.2999999999999998</v>
      </c>
      <c r="W5312">
        <v>2.5</v>
      </c>
      <c r="X5312" s="1" t="s">
        <v>18</v>
      </c>
    </row>
    <row r="5313" spans="1:24" x14ac:dyDescent="0.25">
      <c r="A5313" s="1" t="str">
        <f t="shared" si="1715"/>
        <v>卡卡杜-凤凰仓</v>
      </c>
      <c r="B5313" s="1" t="str">
        <f>"CK2024101926379"</f>
        <v>CK2024101926379</v>
      </c>
      <c r="C5313" s="1" t="str">
        <f>"DD2024101961300"</f>
        <v>DD2024101961300</v>
      </c>
      <c r="D5313" s="1" t="str">
        <f>"CK2024101948937"</f>
        <v>CK2024101948937</v>
      </c>
      <c r="E5313" s="1" t="str">
        <f>"6935190242544129464"</f>
        <v>6935190242544129464</v>
      </c>
      <c r="F5313" s="1" t="str">
        <f t="shared" si="1716"/>
        <v>花都四部-凤凰仓</v>
      </c>
      <c r="G5313" s="1" t="str">
        <f t="shared" si="1725"/>
        <v>卡卡杜个人护理店（抖店）</v>
      </c>
      <c r="H5313" s="1" t="str">
        <f t="shared" si="1717"/>
        <v>正常订单</v>
      </c>
      <c r="I5313" s="1" t="str">
        <f t="shared" si="1718"/>
        <v>已发货</v>
      </c>
      <c r="J5313" s="1" t="str">
        <f t="shared" si="1730"/>
        <v>3</v>
      </c>
      <c r="K5313" s="1">
        <v>2</v>
      </c>
      <c r="L5313" s="1" t="s">
        <v>20</v>
      </c>
      <c r="M5313" s="1" t="str">
        <f>"浙江省 金华市 义乌市 北苑街道"</f>
        <v>浙江省 金华市 义乌市 北苑街道</v>
      </c>
      <c r="N5313" s="1" t="str">
        <f t="shared" si="1727"/>
        <v>凡华云仓-城南圆通-抖音</v>
      </c>
      <c r="O5313" s="5" t="s">
        <v>5332</v>
      </c>
      <c r="P5313" s="6">
        <v>0.35</v>
      </c>
      <c r="Q5313" s="11">
        <v>2.2999999999999998</v>
      </c>
      <c r="R5313" s="11"/>
      <c r="S5313" s="11"/>
      <c r="T5313" s="11"/>
      <c r="U5313" s="11">
        <f t="shared" si="1714"/>
        <v>2.2999999999999998</v>
      </c>
      <c r="W5313">
        <v>2.5</v>
      </c>
      <c r="X5313" s="1" t="s">
        <v>20</v>
      </c>
    </row>
    <row r="5314" spans="1:24" x14ac:dyDescent="0.25">
      <c r="A5314" s="1" t="str">
        <f t="shared" si="1715"/>
        <v>卡卡杜-凤凰仓</v>
      </c>
      <c r="B5314" s="1" t="str">
        <f>"CK2024101926390"</f>
        <v>CK2024101926390</v>
      </c>
      <c r="C5314" s="1" t="str">
        <f>"DD2024101961314"</f>
        <v>DD2024101961314</v>
      </c>
      <c r="D5314" s="1" t="str">
        <f>"CK2024101948936"</f>
        <v>CK2024101948936</v>
      </c>
      <c r="E5314" s="1" t="str">
        <f>"6935216976977597630"</f>
        <v>6935216976977597630</v>
      </c>
      <c r="F5314" s="1" t="str">
        <f t="shared" si="1716"/>
        <v>花都四部-凤凰仓</v>
      </c>
      <c r="G5314" s="1" t="str">
        <f t="shared" si="1725"/>
        <v>卡卡杜个人护理店（抖店）</v>
      </c>
      <c r="H5314" s="1" t="str">
        <f t="shared" si="1717"/>
        <v>正常订单</v>
      </c>
      <c r="I5314" s="1" t="str">
        <f t="shared" si="1718"/>
        <v>已发货</v>
      </c>
      <c r="J5314" s="1" t="str">
        <f t="shared" si="1730"/>
        <v>3</v>
      </c>
      <c r="K5314" s="1">
        <v>2</v>
      </c>
      <c r="L5314" s="1" t="s">
        <v>24</v>
      </c>
      <c r="M5314" s="1" t="str">
        <f>"福建省 厦门市 集美区 侨英街道"</f>
        <v>福建省 厦门市 集美区 侨英街道</v>
      </c>
      <c r="N5314" s="1" t="str">
        <f t="shared" si="1727"/>
        <v>凡华云仓-城南圆通-抖音</v>
      </c>
      <c r="O5314" s="5" t="s">
        <v>5333</v>
      </c>
      <c r="P5314" s="6">
        <v>0.35</v>
      </c>
      <c r="Q5314" s="11">
        <v>2.2999999999999998</v>
      </c>
      <c r="R5314" s="11"/>
      <c r="S5314" s="11"/>
      <c r="T5314" s="11"/>
      <c r="U5314" s="11">
        <f t="shared" si="1714"/>
        <v>2.2999999999999998</v>
      </c>
      <c r="W5314">
        <v>2.5</v>
      </c>
      <c r="X5314" s="1" t="s">
        <v>24</v>
      </c>
    </row>
    <row r="5315" spans="1:24" x14ac:dyDescent="0.25">
      <c r="A5315" s="1" t="str">
        <f t="shared" si="1715"/>
        <v>卡卡杜-凤凰仓</v>
      </c>
      <c r="B5315" s="1" t="str">
        <f>"CK2024101926384"</f>
        <v>CK2024101926384</v>
      </c>
      <c r="C5315" s="1" t="str">
        <f>"DD2024101961306"</f>
        <v>DD2024101961306</v>
      </c>
      <c r="D5315" s="1" t="str">
        <f>"CK2024101948935"</f>
        <v>CK2024101948935</v>
      </c>
      <c r="E5315" s="1" t="str">
        <f>"6935214453861979407"</f>
        <v>6935214453861979407</v>
      </c>
      <c r="F5315" s="1" t="str">
        <f t="shared" si="1716"/>
        <v>花都四部-凤凰仓</v>
      </c>
      <c r="G5315" s="1" t="str">
        <f t="shared" si="1725"/>
        <v>卡卡杜个人护理店（抖店）</v>
      </c>
      <c r="H5315" s="1" t="str">
        <f t="shared" si="1717"/>
        <v>正常订单</v>
      </c>
      <c r="I5315" s="1" t="str">
        <f t="shared" si="1718"/>
        <v>已发货</v>
      </c>
      <c r="J5315" s="1" t="str">
        <f t="shared" si="1730"/>
        <v>3</v>
      </c>
      <c r="K5315" s="1">
        <v>2</v>
      </c>
      <c r="L5315" s="1" t="s">
        <v>24</v>
      </c>
      <c r="M5315" s="1" t="str">
        <f>"福建省 泉州市 惠安县 东岭镇"</f>
        <v>福建省 泉州市 惠安县 东岭镇</v>
      </c>
      <c r="N5315" s="1" t="str">
        <f t="shared" si="1727"/>
        <v>凡华云仓-城南圆通-抖音</v>
      </c>
      <c r="O5315" s="5" t="s">
        <v>5334</v>
      </c>
      <c r="P5315" s="6">
        <v>0.35</v>
      </c>
      <c r="Q5315" s="11">
        <v>2.2999999999999998</v>
      </c>
      <c r="R5315" s="11"/>
      <c r="S5315" s="11"/>
      <c r="T5315" s="11"/>
      <c r="U5315" s="11">
        <f t="shared" ref="U5315:U5378" si="1731">T5315+S5315+R5315+Q5315</f>
        <v>2.2999999999999998</v>
      </c>
      <c r="W5315">
        <v>2.5</v>
      </c>
      <c r="X5315" s="1" t="s">
        <v>24</v>
      </c>
    </row>
    <row r="5316" spans="1:24" x14ac:dyDescent="0.25">
      <c r="A5316" s="1" t="str">
        <f t="shared" si="1715"/>
        <v>卡卡杜-凤凰仓</v>
      </c>
      <c r="B5316" s="1" t="str">
        <f>"CK2024101926407"</f>
        <v>CK2024101926407</v>
      </c>
      <c r="C5316" s="1" t="str">
        <f>"DD2024101961328"</f>
        <v>DD2024101961328</v>
      </c>
      <c r="D5316" s="1" t="str">
        <f>"CK2024101948934"</f>
        <v>CK2024101948934</v>
      </c>
      <c r="E5316" s="1" t="str">
        <f>"6935187417834198330"</f>
        <v>6935187417834198330</v>
      </c>
      <c r="F5316" s="1" t="str">
        <f t="shared" si="1716"/>
        <v>花都四部-凤凰仓</v>
      </c>
      <c r="G5316" s="1" t="str">
        <f t="shared" si="1725"/>
        <v>卡卡杜个人护理店（抖店）</v>
      </c>
      <c r="H5316" s="1" t="str">
        <f t="shared" si="1717"/>
        <v>正常订单</v>
      </c>
      <c r="I5316" s="1" t="str">
        <f t="shared" si="1718"/>
        <v>已发货</v>
      </c>
      <c r="J5316" s="1" t="str">
        <f t="shared" si="1730"/>
        <v>3</v>
      </c>
      <c r="K5316" s="1">
        <v>2</v>
      </c>
      <c r="L5316" s="1" t="s">
        <v>18</v>
      </c>
      <c r="M5316" s="1" t="str">
        <f>"广东省 深圳市 龙岗区 园山街道"</f>
        <v>广东省 深圳市 龙岗区 园山街道</v>
      </c>
      <c r="N5316" s="1" t="str">
        <f t="shared" si="1727"/>
        <v>凡华云仓-城南圆通-抖音</v>
      </c>
      <c r="O5316" s="5" t="s">
        <v>5335</v>
      </c>
      <c r="P5316" s="6">
        <v>0.35</v>
      </c>
      <c r="Q5316" s="11">
        <v>2.2999999999999998</v>
      </c>
      <c r="R5316" s="11"/>
      <c r="S5316" s="11"/>
      <c r="T5316" s="11"/>
      <c r="U5316" s="11">
        <f t="shared" si="1731"/>
        <v>2.2999999999999998</v>
      </c>
      <c r="W5316">
        <v>2.5</v>
      </c>
      <c r="X5316" s="1" t="s">
        <v>18</v>
      </c>
    </row>
    <row r="5317" spans="1:24" x14ac:dyDescent="0.25">
      <c r="A5317" s="1" t="str">
        <f t="shared" ref="A5317:A5380" si="1732">"卡卡杜-凤凰仓"</f>
        <v>卡卡杜-凤凰仓</v>
      </c>
      <c r="B5317" s="1" t="str">
        <f>"CK2024101926401"</f>
        <v>CK2024101926401</v>
      </c>
      <c r="C5317" s="1" t="str">
        <f>"DD2024101961321"</f>
        <v>DD2024101961321</v>
      </c>
      <c r="D5317" s="1" t="str">
        <f>"CK2024101948740"</f>
        <v>CK2024101948740</v>
      </c>
      <c r="E5317" s="1" t="str">
        <f>"2429301830531548"</f>
        <v>2429301830531548</v>
      </c>
      <c r="F5317" s="1" t="str">
        <f t="shared" ref="F5317:F5380" si="1733">"花都四部-凤凰仓"</f>
        <v>花都四部-凤凰仓</v>
      </c>
      <c r="G5317" s="1" t="str">
        <f t="shared" ref="G5317:G5330" si="1734">"卡卡杜佳旺专卖店（快手店）"</f>
        <v>卡卡杜佳旺专卖店（快手店）</v>
      </c>
      <c r="H5317" s="1" t="str">
        <f t="shared" ref="H5317:H5380" si="1735">"正常订单"</f>
        <v>正常订单</v>
      </c>
      <c r="I5317" s="1" t="str">
        <f t="shared" ref="I5317:I5380" si="1736">"已发货"</f>
        <v>已发货</v>
      </c>
      <c r="J5317" s="1" t="str">
        <f t="shared" si="1730"/>
        <v>3</v>
      </c>
      <c r="K5317" s="1">
        <v>2</v>
      </c>
      <c r="L5317" s="1" t="s">
        <v>18</v>
      </c>
      <c r="M5317" s="1" t="str">
        <f>"广东省 珠海市 香洲区 南屏科技园"</f>
        <v>广东省 珠海市 香洲区 南屏科技园</v>
      </c>
      <c r="N5317" s="1" t="str">
        <f t="shared" ref="N5317:N5330" si="1737">"凡华云仓-城南圆通-快手"</f>
        <v>凡华云仓-城南圆通-快手</v>
      </c>
      <c r="O5317" s="5" t="s">
        <v>5336</v>
      </c>
      <c r="P5317" s="6">
        <v>0.35</v>
      </c>
      <c r="Q5317" s="11">
        <v>2.2999999999999998</v>
      </c>
      <c r="R5317" s="11"/>
      <c r="S5317" s="11"/>
      <c r="T5317" s="11"/>
      <c r="U5317" s="11">
        <f t="shared" si="1731"/>
        <v>2.2999999999999998</v>
      </c>
      <c r="W5317">
        <v>2.5</v>
      </c>
      <c r="X5317" s="1" t="s">
        <v>18</v>
      </c>
    </row>
    <row r="5318" spans="1:24" x14ac:dyDescent="0.25">
      <c r="A5318" s="1" t="str">
        <f t="shared" si="1732"/>
        <v>卡卡杜-凤凰仓</v>
      </c>
      <c r="B5318" s="1" t="str">
        <f>"CK2024100714910"</f>
        <v>CK2024100714910</v>
      </c>
      <c r="C5318" s="1" t="str">
        <f>"DD2024100736857"</f>
        <v>DD2024100736857</v>
      </c>
      <c r="D5318" s="1" t="str">
        <f>"CK2024100737994"</f>
        <v>CK2024100737994</v>
      </c>
      <c r="E5318" s="1" t="str">
        <f>"6917906022211746958"</f>
        <v>6917906022211746958</v>
      </c>
      <c r="F5318" s="1" t="str">
        <f t="shared" si="1733"/>
        <v>花都四部-凤凰仓</v>
      </c>
      <c r="G5318" s="1" t="str">
        <f>"卡卡杜个人护理店（抖店）"</f>
        <v>卡卡杜个人护理店（抖店）</v>
      </c>
      <c r="H5318" s="1" t="str">
        <f t="shared" si="1735"/>
        <v>正常订单</v>
      </c>
      <c r="I5318" s="1" t="str">
        <f t="shared" si="1736"/>
        <v>已发货</v>
      </c>
      <c r="J5318" s="1" t="str">
        <f>"4"</f>
        <v>4</v>
      </c>
      <c r="K5318" s="1">
        <v>1</v>
      </c>
      <c r="L5318" s="1" t="s">
        <v>36</v>
      </c>
      <c r="M5318" s="1" t="str">
        <f>"安徽省 宣城市 广德市 "</f>
        <v xml:space="preserve">安徽省 宣城市 广德市 </v>
      </c>
      <c r="N5318" s="1" t="str">
        <f>"凡华云仓-韵达-抖音"</f>
        <v>凡华云仓-韵达-抖音</v>
      </c>
      <c r="O5318" s="5">
        <v>320159953751751</v>
      </c>
      <c r="P5318" s="6">
        <v>0.57999999999999996</v>
      </c>
      <c r="Q5318" s="11">
        <f t="shared" ref="Q5318:Q5320" si="1738">CEILING(P5318-0.5,0.1)*10*0.15+2.3</f>
        <v>2.4499999999999997</v>
      </c>
      <c r="R5318" s="11"/>
      <c r="S5318" s="11"/>
      <c r="T5318" s="11"/>
      <c r="U5318" s="11">
        <f t="shared" si="1731"/>
        <v>2.4499999999999997</v>
      </c>
      <c r="V5318" t="s">
        <v>15</v>
      </c>
      <c r="W5318">
        <v>2.4500000000000002</v>
      </c>
      <c r="X5318" s="1" t="s">
        <v>36</v>
      </c>
    </row>
    <row r="5319" spans="1:24" x14ac:dyDescent="0.25">
      <c r="A5319" s="1" t="str">
        <f t="shared" si="1732"/>
        <v>卡卡杜-凤凰仓</v>
      </c>
      <c r="B5319" s="1" t="str">
        <f>"CK2024101926425"</f>
        <v>CK2024101926425</v>
      </c>
      <c r="C5319" s="1" t="str">
        <f>"DD2024101961347"</f>
        <v>DD2024101961347</v>
      </c>
      <c r="D5319" s="1" t="str">
        <f>"CK2024101948948"</f>
        <v>CK2024101948948</v>
      </c>
      <c r="E5319" s="1" t="str">
        <f>"6935204248015214220"</f>
        <v>6935204248015214220</v>
      </c>
      <c r="F5319" s="1" t="str">
        <f t="shared" si="1733"/>
        <v>花都四部-凤凰仓</v>
      </c>
      <c r="G5319" s="1" t="str">
        <f>"卡卡杜个人护理店（抖店）"</f>
        <v>卡卡杜个人护理店（抖店）</v>
      </c>
      <c r="H5319" s="1" t="str">
        <f t="shared" si="1735"/>
        <v>正常订单</v>
      </c>
      <c r="I5319" s="1" t="str">
        <f t="shared" si="1736"/>
        <v>已发货</v>
      </c>
      <c r="J5319" s="1" t="str">
        <f>"4"</f>
        <v>4</v>
      </c>
      <c r="K5319" s="1">
        <v>1</v>
      </c>
      <c r="L5319" s="1" t="s">
        <v>13</v>
      </c>
      <c r="M5319" s="1" t="str">
        <f>"江苏省 连云港市 连云区 猴嘴街道"</f>
        <v>江苏省 连云港市 连云区 猴嘴街道</v>
      </c>
      <c r="N5319" s="1" t="str">
        <f>"凡华云仓-城南圆通-抖音"</f>
        <v>凡华云仓-城南圆通-抖音</v>
      </c>
      <c r="O5319" s="5" t="s">
        <v>5337</v>
      </c>
      <c r="P5319" s="6">
        <v>0.57999999999999996</v>
      </c>
      <c r="Q5319" s="11">
        <f t="shared" si="1738"/>
        <v>2.4499999999999997</v>
      </c>
      <c r="R5319" s="11"/>
      <c r="S5319" s="11"/>
      <c r="T5319" s="11"/>
      <c r="U5319" s="11">
        <f t="shared" si="1731"/>
        <v>2.4499999999999997</v>
      </c>
      <c r="V5319" t="s">
        <v>15</v>
      </c>
      <c r="W5319">
        <v>2.4500000000000002</v>
      </c>
      <c r="X5319" s="1" t="s">
        <v>13</v>
      </c>
    </row>
    <row r="5320" spans="1:24" x14ac:dyDescent="0.25">
      <c r="A5320" s="1" t="str">
        <f t="shared" si="1732"/>
        <v>卡卡杜-凤凰仓</v>
      </c>
      <c r="B5320" s="1" t="str">
        <f>"CK2024100914101"</f>
        <v>CK2024100914101</v>
      </c>
      <c r="C5320" s="1" t="str">
        <f>"DD2024100944819"</f>
        <v>DD2024100944819</v>
      </c>
      <c r="D5320" s="1" t="str">
        <f>"CK2024100944611"</f>
        <v>CK2024100944611</v>
      </c>
      <c r="E5320" s="1" t="str">
        <f>"6917992359182826807"</f>
        <v>6917992359182826807</v>
      </c>
      <c r="F5320" s="1" t="str">
        <f t="shared" si="1733"/>
        <v>花都四部-凤凰仓</v>
      </c>
      <c r="G5320" s="1" t="str">
        <f>"卡卡杜个人护理店（抖店）"</f>
        <v>卡卡杜个人护理店（抖店）</v>
      </c>
      <c r="H5320" s="1" t="str">
        <f t="shared" si="1735"/>
        <v>正常订单</v>
      </c>
      <c r="I5320" s="1" t="str">
        <f t="shared" si="1736"/>
        <v>已发货</v>
      </c>
      <c r="J5320" s="1" t="str">
        <f>"4"</f>
        <v>4</v>
      </c>
      <c r="K5320" s="1">
        <v>1</v>
      </c>
      <c r="L5320" s="1" t="s">
        <v>18</v>
      </c>
      <c r="M5320" s="1" t="str">
        <f>"广东省 河源市 源城区 源西街道"</f>
        <v>广东省 河源市 源城区 源西街道</v>
      </c>
      <c r="N5320" s="1" t="str">
        <f>"凡华云仓-韵达-抖音"</f>
        <v>凡华云仓-韵达-抖音</v>
      </c>
      <c r="O5320" s="5">
        <v>320163375034972</v>
      </c>
      <c r="P5320" s="6">
        <v>0.57999999999999996</v>
      </c>
      <c r="Q5320" s="11">
        <f t="shared" si="1738"/>
        <v>2.4499999999999997</v>
      </c>
      <c r="R5320" s="11"/>
      <c r="S5320" s="11"/>
      <c r="T5320" s="11"/>
      <c r="U5320" s="11">
        <f t="shared" si="1731"/>
        <v>2.4499999999999997</v>
      </c>
      <c r="V5320" t="s">
        <v>15</v>
      </c>
      <c r="W5320">
        <v>2.4500000000000002</v>
      </c>
      <c r="X5320" s="1" t="s">
        <v>18</v>
      </c>
    </row>
    <row r="5321" spans="1:24" x14ac:dyDescent="0.25">
      <c r="A5321" s="1" t="str">
        <f t="shared" si="1732"/>
        <v>卡卡杜-凤凰仓</v>
      </c>
      <c r="B5321" s="1" t="str">
        <f>"CK2024101926389"</f>
        <v>CK2024101926389</v>
      </c>
      <c r="C5321" s="1" t="str">
        <f>"DD2024101961311"</f>
        <v>DD2024101961311</v>
      </c>
      <c r="D5321" s="1" t="str">
        <f>"CK2024101948736"</f>
        <v>CK2024101948736</v>
      </c>
      <c r="E5321" s="1" t="str">
        <f>"2429301833465605"</f>
        <v>2429301833465605</v>
      </c>
      <c r="F5321" s="1" t="str">
        <f t="shared" si="1733"/>
        <v>花都四部-凤凰仓</v>
      </c>
      <c r="G5321" s="1" t="str">
        <f t="shared" si="1734"/>
        <v>卡卡杜佳旺专卖店（快手店）</v>
      </c>
      <c r="H5321" s="1" t="str">
        <f t="shared" si="1735"/>
        <v>正常订单</v>
      </c>
      <c r="I5321" s="1" t="str">
        <f t="shared" si="1736"/>
        <v>已发货</v>
      </c>
      <c r="J5321" s="1" t="str">
        <f t="shared" ref="J5321:J5324" si="1739">"3"</f>
        <v>3</v>
      </c>
      <c r="K5321" s="1">
        <v>2</v>
      </c>
      <c r="L5321" s="1" t="s">
        <v>54</v>
      </c>
      <c r="M5321" s="1" t="str">
        <f>"黑龙江省 哈尔滨市 呼兰区 学院路街道"</f>
        <v>黑龙江省 哈尔滨市 呼兰区 学院路街道</v>
      </c>
      <c r="N5321" s="1" t="str">
        <f t="shared" si="1737"/>
        <v>凡华云仓-城南圆通-快手</v>
      </c>
      <c r="O5321" s="5" t="s">
        <v>5338</v>
      </c>
      <c r="P5321" s="6">
        <v>0.35</v>
      </c>
      <c r="Q5321" s="11">
        <v>2.2999999999999998</v>
      </c>
      <c r="R5321" s="11"/>
      <c r="S5321" s="11"/>
      <c r="T5321" s="11"/>
      <c r="U5321" s="11">
        <f t="shared" si="1731"/>
        <v>2.2999999999999998</v>
      </c>
      <c r="W5321">
        <v>2.5</v>
      </c>
      <c r="X5321" s="1" t="s">
        <v>54</v>
      </c>
    </row>
    <row r="5322" spans="1:24" x14ac:dyDescent="0.25">
      <c r="A5322" s="1" t="str">
        <f t="shared" si="1732"/>
        <v>卡卡杜-凤凰仓</v>
      </c>
      <c r="B5322" s="1" t="str">
        <f>"CK2024101926388"</f>
        <v>CK2024101926388</v>
      </c>
      <c r="C5322" s="1" t="str">
        <f>"DD2024101961310"</f>
        <v>DD2024101961310</v>
      </c>
      <c r="D5322" s="1" t="str">
        <f>"CK2024101948735"</f>
        <v>CK2024101948735</v>
      </c>
      <c r="E5322" s="1" t="str">
        <f>"2429301668810798"</f>
        <v>2429301668810798</v>
      </c>
      <c r="F5322" s="1" t="str">
        <f t="shared" si="1733"/>
        <v>花都四部-凤凰仓</v>
      </c>
      <c r="G5322" s="1" t="str">
        <f t="shared" si="1734"/>
        <v>卡卡杜佳旺专卖店（快手店）</v>
      </c>
      <c r="H5322" s="1" t="str">
        <f t="shared" si="1735"/>
        <v>正常订单</v>
      </c>
      <c r="I5322" s="1" t="str">
        <f t="shared" si="1736"/>
        <v>已发货</v>
      </c>
      <c r="J5322" s="1" t="str">
        <f t="shared" si="1739"/>
        <v>3</v>
      </c>
      <c r="K5322" s="1">
        <v>2</v>
      </c>
      <c r="L5322" s="1" t="s">
        <v>94</v>
      </c>
      <c r="M5322" s="1" t="str">
        <f>"湖南省 郴州市 苏仙区 南塔街道"</f>
        <v>湖南省 郴州市 苏仙区 南塔街道</v>
      </c>
      <c r="N5322" s="1" t="str">
        <f t="shared" si="1737"/>
        <v>凡华云仓-城南圆通-快手</v>
      </c>
      <c r="O5322" s="5" t="s">
        <v>5339</v>
      </c>
      <c r="P5322" s="6">
        <v>0.35</v>
      </c>
      <c r="Q5322" s="11">
        <v>2.2999999999999998</v>
      </c>
      <c r="R5322" s="11"/>
      <c r="S5322" s="11"/>
      <c r="T5322" s="11"/>
      <c r="U5322" s="11">
        <f t="shared" si="1731"/>
        <v>2.2999999999999998</v>
      </c>
      <c r="W5322">
        <v>2.5</v>
      </c>
      <c r="X5322" s="1" t="s">
        <v>94</v>
      </c>
    </row>
    <row r="5323" spans="1:24" x14ac:dyDescent="0.25">
      <c r="A5323" s="1" t="str">
        <f t="shared" si="1732"/>
        <v>卡卡杜-凤凰仓</v>
      </c>
      <c r="B5323" s="1" t="str">
        <f>"CK2024101926387"</f>
        <v>CK2024101926387</v>
      </c>
      <c r="C5323" s="1" t="str">
        <f>"DD2024101961309"</f>
        <v>DD2024101961309</v>
      </c>
      <c r="D5323" s="1" t="str">
        <f>"CK2024101948734"</f>
        <v>CK2024101948734</v>
      </c>
      <c r="E5323" s="1" t="str">
        <f>"2429302219274495"</f>
        <v>2429302219274495</v>
      </c>
      <c r="F5323" s="1" t="str">
        <f t="shared" si="1733"/>
        <v>花都四部-凤凰仓</v>
      </c>
      <c r="G5323" s="1" t="str">
        <f t="shared" si="1734"/>
        <v>卡卡杜佳旺专卖店（快手店）</v>
      </c>
      <c r="H5323" s="1" t="str">
        <f t="shared" si="1735"/>
        <v>正常订单</v>
      </c>
      <c r="I5323" s="1" t="str">
        <f t="shared" si="1736"/>
        <v>已发货</v>
      </c>
      <c r="J5323" s="1" t="str">
        <f t="shared" si="1739"/>
        <v>3</v>
      </c>
      <c r="K5323" s="1">
        <v>2</v>
      </c>
      <c r="L5323" s="1" t="s">
        <v>94</v>
      </c>
      <c r="M5323" s="1" t="str">
        <f>"湖南省 湘潭市 湘潭县 易俗河镇"</f>
        <v>湖南省 湘潭市 湘潭县 易俗河镇</v>
      </c>
      <c r="N5323" s="1" t="str">
        <f t="shared" si="1737"/>
        <v>凡华云仓-城南圆通-快手</v>
      </c>
      <c r="O5323" s="5" t="s">
        <v>5340</v>
      </c>
      <c r="P5323" s="6">
        <v>0.35</v>
      </c>
      <c r="Q5323" s="11">
        <v>2.2999999999999998</v>
      </c>
      <c r="R5323" s="11"/>
      <c r="S5323" s="11"/>
      <c r="T5323" s="11"/>
      <c r="U5323" s="11">
        <f t="shared" si="1731"/>
        <v>2.2999999999999998</v>
      </c>
      <c r="W5323">
        <v>2.5</v>
      </c>
      <c r="X5323" s="1" t="s">
        <v>94</v>
      </c>
    </row>
    <row r="5324" spans="1:24" x14ac:dyDescent="0.25">
      <c r="A5324" s="1" t="str">
        <f t="shared" si="1732"/>
        <v>卡卡杜-凤凰仓</v>
      </c>
      <c r="B5324" s="1" t="str">
        <f>"CK2024101926385"</f>
        <v>CK2024101926385</v>
      </c>
      <c r="C5324" s="1" t="str">
        <f>"DD2024101961307"</f>
        <v>DD2024101961307</v>
      </c>
      <c r="D5324" s="1" t="str">
        <f>"CK2024101948733"</f>
        <v>CK2024101948733</v>
      </c>
      <c r="E5324" s="1" t="str">
        <f>"2429301901434479"</f>
        <v>2429301901434479</v>
      </c>
      <c r="F5324" s="1" t="str">
        <f t="shared" si="1733"/>
        <v>花都四部-凤凰仓</v>
      </c>
      <c r="G5324" s="1" t="str">
        <f t="shared" si="1734"/>
        <v>卡卡杜佳旺专卖店（快手店）</v>
      </c>
      <c r="H5324" s="1" t="str">
        <f t="shared" si="1735"/>
        <v>正常订单</v>
      </c>
      <c r="I5324" s="1" t="str">
        <f t="shared" si="1736"/>
        <v>已发货</v>
      </c>
      <c r="J5324" s="1" t="str">
        <f t="shared" si="1739"/>
        <v>3</v>
      </c>
      <c r="K5324" s="1">
        <v>2</v>
      </c>
      <c r="L5324" s="1" t="s">
        <v>1099</v>
      </c>
      <c r="M5324" s="1" t="str">
        <f>"重庆市 重庆市 江北区 观音桥街道"</f>
        <v>重庆市 重庆市 江北区 观音桥街道</v>
      </c>
      <c r="N5324" s="1" t="str">
        <f t="shared" si="1737"/>
        <v>凡华云仓-城南圆通-快手</v>
      </c>
      <c r="O5324" s="5" t="s">
        <v>5341</v>
      </c>
      <c r="P5324" s="6">
        <v>0.35</v>
      </c>
      <c r="Q5324" s="11">
        <v>2.2999999999999998</v>
      </c>
      <c r="R5324" s="11"/>
      <c r="S5324" s="11"/>
      <c r="T5324" s="11"/>
      <c r="U5324" s="11">
        <f t="shared" si="1731"/>
        <v>2.2999999999999998</v>
      </c>
      <c r="W5324">
        <v>2.5</v>
      </c>
      <c r="X5324" s="1" t="s">
        <v>1099</v>
      </c>
    </row>
    <row r="5325" spans="1:24" x14ac:dyDescent="0.25">
      <c r="A5325" s="1" t="str">
        <f t="shared" si="1732"/>
        <v>卡卡杜-凤凰仓</v>
      </c>
      <c r="B5325" s="1" t="str">
        <f>"CK2024100923"</f>
        <v>CK2024100923</v>
      </c>
      <c r="C5325" s="1" t="str">
        <f>"DD2024100910473"</f>
        <v>DD2024100910473</v>
      </c>
      <c r="D5325" s="1" t="str">
        <f>"CK2024100920430"</f>
        <v>CK2024100920430</v>
      </c>
      <c r="E5325" s="1" t="str">
        <f>"6917975391217876687"</f>
        <v>6917975391217876687</v>
      </c>
      <c r="F5325" s="1" t="str">
        <f t="shared" si="1733"/>
        <v>花都四部-凤凰仓</v>
      </c>
      <c r="G5325" s="1" t="str">
        <f>"卡卡杜个人护理店（抖店）"</f>
        <v>卡卡杜个人护理店（抖店）</v>
      </c>
      <c r="H5325" s="1" t="str">
        <f t="shared" si="1735"/>
        <v>正常订单</v>
      </c>
      <c r="I5325" s="1" t="str">
        <f t="shared" si="1736"/>
        <v>已发货</v>
      </c>
      <c r="J5325" s="1" t="str">
        <f>"4"</f>
        <v>4</v>
      </c>
      <c r="K5325" s="1">
        <v>1</v>
      </c>
      <c r="L5325" s="1" t="s">
        <v>161</v>
      </c>
      <c r="M5325" s="1" t="str">
        <f>"四川省 成都市 青羊区 府南街道"</f>
        <v>四川省 成都市 青羊区 府南街道</v>
      </c>
      <c r="N5325" s="1" t="str">
        <f>"凡华云仓-韵达-抖音"</f>
        <v>凡华云仓-韵达-抖音</v>
      </c>
      <c r="O5325" s="5">
        <v>320162847150582</v>
      </c>
      <c r="P5325" s="6">
        <v>0.57999999999999996</v>
      </c>
      <c r="Q5325" s="11">
        <f t="shared" ref="Q5325:Q5327" si="1740">CEILING(P5325-0.5,0.1)*10*0.15+2.3</f>
        <v>2.4499999999999997</v>
      </c>
      <c r="R5325" s="11"/>
      <c r="S5325" s="11"/>
      <c r="T5325" s="11"/>
      <c r="U5325" s="11">
        <f t="shared" si="1731"/>
        <v>2.4499999999999997</v>
      </c>
      <c r="V5325" t="s">
        <v>15</v>
      </c>
      <c r="W5325">
        <v>2.4500000000000002</v>
      </c>
      <c r="X5325" s="1" t="s">
        <v>161</v>
      </c>
    </row>
    <row r="5326" spans="1:24" x14ac:dyDescent="0.25">
      <c r="A5326" s="1" t="str">
        <f t="shared" si="1732"/>
        <v>卡卡杜-凤凰仓</v>
      </c>
      <c r="B5326" s="1" t="str">
        <f>"CK2024100920"</f>
        <v>CK2024100920</v>
      </c>
      <c r="C5326" s="1" t="str">
        <f>"DD2024100910474"</f>
        <v>DD2024100910474</v>
      </c>
      <c r="D5326" s="1" t="str">
        <f>"CK2024100920403"</f>
        <v>CK2024100920403</v>
      </c>
      <c r="E5326" s="1" t="str">
        <f>"6917955347259292866"</f>
        <v>6917955347259292866</v>
      </c>
      <c r="F5326" s="1" t="str">
        <f t="shared" si="1733"/>
        <v>花都四部-凤凰仓</v>
      </c>
      <c r="G5326" s="1" t="str">
        <f>"卡卡杜个人护理店（抖店）"</f>
        <v>卡卡杜个人护理店（抖店）</v>
      </c>
      <c r="H5326" s="1" t="str">
        <f t="shared" si="1735"/>
        <v>正常订单</v>
      </c>
      <c r="I5326" s="1" t="str">
        <f t="shared" si="1736"/>
        <v>已发货</v>
      </c>
      <c r="J5326" s="1" t="str">
        <f>"4"</f>
        <v>4</v>
      </c>
      <c r="K5326" s="1">
        <v>1</v>
      </c>
      <c r="L5326" s="1" t="s">
        <v>13</v>
      </c>
      <c r="M5326" s="1" t="str">
        <f>"江苏省 泰州市 海陵区 凤凰街道"</f>
        <v>江苏省 泰州市 海陵区 凤凰街道</v>
      </c>
      <c r="N5326" s="1" t="str">
        <f>"凡华云仓-韵达-抖音"</f>
        <v>凡华云仓-韵达-抖音</v>
      </c>
      <c r="O5326" s="5">
        <v>320162846064967</v>
      </c>
      <c r="P5326" s="6">
        <v>0.57999999999999996</v>
      </c>
      <c r="Q5326" s="11">
        <f t="shared" si="1740"/>
        <v>2.4499999999999997</v>
      </c>
      <c r="R5326" s="11"/>
      <c r="S5326" s="11"/>
      <c r="T5326" s="11"/>
      <c r="U5326" s="11">
        <f t="shared" si="1731"/>
        <v>2.4499999999999997</v>
      </c>
      <c r="V5326" t="s">
        <v>15</v>
      </c>
      <c r="W5326">
        <v>2.4500000000000002</v>
      </c>
      <c r="X5326" s="1" t="s">
        <v>13</v>
      </c>
    </row>
    <row r="5327" spans="1:24" x14ac:dyDescent="0.25">
      <c r="A5327" s="1" t="str">
        <f t="shared" si="1732"/>
        <v>卡卡杜-凤凰仓</v>
      </c>
      <c r="B5327" s="1" t="str">
        <f>"CK2024100819739"</f>
        <v>CK2024100819739</v>
      </c>
      <c r="C5327" s="1" t="str">
        <f>"DD2024100853121"</f>
        <v>DD2024100853121</v>
      </c>
      <c r="D5327" s="1" t="str">
        <f>"CK2024100852215"</f>
        <v>CK2024100852215</v>
      </c>
      <c r="E5327" s="1" t="str">
        <f>"6917963742017126240"</f>
        <v>6917963742017126240</v>
      </c>
      <c r="F5327" s="1" t="str">
        <f t="shared" si="1733"/>
        <v>花都四部-凤凰仓</v>
      </c>
      <c r="G5327" s="1" t="str">
        <f>"卡卡杜个人护理店（抖店）"</f>
        <v>卡卡杜个人护理店（抖店）</v>
      </c>
      <c r="H5327" s="1" t="str">
        <f t="shared" si="1735"/>
        <v>正常订单</v>
      </c>
      <c r="I5327" s="1" t="str">
        <f t="shared" si="1736"/>
        <v>已发货</v>
      </c>
      <c r="J5327" s="1" t="str">
        <f>"4"</f>
        <v>4</v>
      </c>
      <c r="K5327" s="1">
        <v>1</v>
      </c>
      <c r="L5327" s="1" t="s">
        <v>41</v>
      </c>
      <c r="M5327" s="1" t="str">
        <f>"湖北省 鄂州市 鄂城区 鄂州经济开发区"</f>
        <v>湖北省 鄂州市 鄂城区 鄂州经济开发区</v>
      </c>
      <c r="N5327" s="1" t="str">
        <f>"凡华云仓-韵达-抖音"</f>
        <v>凡华云仓-韵达-抖音</v>
      </c>
      <c r="O5327" s="5">
        <v>320161832127999</v>
      </c>
      <c r="P5327" s="6">
        <v>0.57999999999999996</v>
      </c>
      <c r="Q5327" s="11">
        <f t="shared" si="1740"/>
        <v>2.4499999999999997</v>
      </c>
      <c r="R5327" s="11"/>
      <c r="S5327" s="11"/>
      <c r="T5327" s="11"/>
      <c r="U5327" s="11">
        <f t="shared" si="1731"/>
        <v>2.4499999999999997</v>
      </c>
      <c r="V5327" t="s">
        <v>15</v>
      </c>
      <c r="W5327">
        <v>2.4500000000000002</v>
      </c>
      <c r="X5327" s="1" t="s">
        <v>41</v>
      </c>
    </row>
    <row r="5328" spans="1:24" x14ac:dyDescent="0.25">
      <c r="A5328" s="1" t="str">
        <f t="shared" si="1732"/>
        <v>卡卡杜-凤凰仓</v>
      </c>
      <c r="B5328" s="1" t="str">
        <f>"CK2024101926380"</f>
        <v>CK2024101926380</v>
      </c>
      <c r="C5328" s="1" t="str">
        <f>"DD2024101961302"</f>
        <v>DD2024101961302</v>
      </c>
      <c r="D5328" s="1" t="str">
        <f>"CK2024101948729"</f>
        <v>CK2024101948729</v>
      </c>
      <c r="E5328" s="1" t="str">
        <f>"2429301899920535"</f>
        <v>2429301899920535</v>
      </c>
      <c r="F5328" s="1" t="str">
        <f t="shared" si="1733"/>
        <v>花都四部-凤凰仓</v>
      </c>
      <c r="G5328" s="1" t="str">
        <f t="shared" si="1734"/>
        <v>卡卡杜佳旺专卖店（快手店）</v>
      </c>
      <c r="H5328" s="1" t="str">
        <f t="shared" si="1735"/>
        <v>正常订单</v>
      </c>
      <c r="I5328" s="1" t="str">
        <f t="shared" si="1736"/>
        <v>已发货</v>
      </c>
      <c r="J5328" s="1" t="str">
        <f t="shared" ref="J5328:J5330" si="1741">"3"</f>
        <v>3</v>
      </c>
      <c r="K5328" s="1">
        <v>2</v>
      </c>
      <c r="L5328" s="1" t="s">
        <v>13</v>
      </c>
      <c r="M5328" s="1" t="str">
        <f>"江苏省 扬州市 邗江区 西湖街道"</f>
        <v>江苏省 扬州市 邗江区 西湖街道</v>
      </c>
      <c r="N5328" s="1" t="str">
        <f t="shared" si="1737"/>
        <v>凡华云仓-城南圆通-快手</v>
      </c>
      <c r="O5328" s="5" t="s">
        <v>5342</v>
      </c>
      <c r="P5328" s="6">
        <v>0.35</v>
      </c>
      <c r="Q5328" s="11">
        <v>2.2999999999999998</v>
      </c>
      <c r="R5328" s="11"/>
      <c r="S5328" s="11"/>
      <c r="T5328" s="11"/>
      <c r="U5328" s="11">
        <f t="shared" si="1731"/>
        <v>2.2999999999999998</v>
      </c>
      <c r="W5328">
        <v>2.5</v>
      </c>
      <c r="X5328" s="1" t="s">
        <v>13</v>
      </c>
    </row>
    <row r="5329" spans="1:24" x14ac:dyDescent="0.25">
      <c r="A5329" s="1" t="str">
        <f t="shared" si="1732"/>
        <v>卡卡杜-凤凰仓</v>
      </c>
      <c r="B5329" s="1" t="str">
        <f>"CK2024101926383"</f>
        <v>CK2024101926383</v>
      </c>
      <c r="C5329" s="1" t="str">
        <f>"DD2024101961305"</f>
        <v>DD2024101961305</v>
      </c>
      <c r="D5329" s="1" t="str">
        <f>"CK2024101948728"</f>
        <v>CK2024101948728</v>
      </c>
      <c r="E5329" s="1" t="str">
        <f>"2429301898995446"</f>
        <v>2429301898995446</v>
      </c>
      <c r="F5329" s="1" t="str">
        <f t="shared" si="1733"/>
        <v>花都四部-凤凰仓</v>
      </c>
      <c r="G5329" s="1" t="str">
        <f t="shared" si="1734"/>
        <v>卡卡杜佳旺专卖店（快手店）</v>
      </c>
      <c r="H5329" s="1" t="str">
        <f t="shared" si="1735"/>
        <v>正常订单</v>
      </c>
      <c r="I5329" s="1" t="str">
        <f t="shared" si="1736"/>
        <v>已发货</v>
      </c>
      <c r="J5329" s="1" t="str">
        <f t="shared" si="1741"/>
        <v>3</v>
      </c>
      <c r="K5329" s="1">
        <v>2</v>
      </c>
      <c r="L5329" s="1" t="s">
        <v>20</v>
      </c>
      <c r="M5329" s="1" t="str">
        <f>"浙江省 杭州市 临安区 青山湖街道"</f>
        <v>浙江省 杭州市 临安区 青山湖街道</v>
      </c>
      <c r="N5329" s="1" t="str">
        <f t="shared" si="1737"/>
        <v>凡华云仓-城南圆通-快手</v>
      </c>
      <c r="O5329" s="5" t="s">
        <v>5343</v>
      </c>
      <c r="P5329" s="6">
        <v>0.35</v>
      </c>
      <c r="Q5329" s="11">
        <v>2.2999999999999998</v>
      </c>
      <c r="R5329" s="11"/>
      <c r="S5329" s="11"/>
      <c r="T5329" s="11"/>
      <c r="U5329" s="11">
        <f t="shared" si="1731"/>
        <v>2.2999999999999998</v>
      </c>
      <c r="W5329">
        <v>2.5</v>
      </c>
      <c r="X5329" s="1" t="s">
        <v>20</v>
      </c>
    </row>
    <row r="5330" spans="1:24" x14ac:dyDescent="0.25">
      <c r="A5330" s="1" t="str">
        <f t="shared" si="1732"/>
        <v>卡卡杜-凤凰仓</v>
      </c>
      <c r="B5330" s="1" t="str">
        <f>"CK2024101926382"</f>
        <v>CK2024101926382</v>
      </c>
      <c r="C5330" s="1" t="str">
        <f>"DD2024101961303"</f>
        <v>DD2024101961303</v>
      </c>
      <c r="D5330" s="1" t="str">
        <f>"CK2024101948727"</f>
        <v>CK2024101948727</v>
      </c>
      <c r="E5330" s="1" t="str">
        <f>"2429301981392813"</f>
        <v>2429301981392813</v>
      </c>
      <c r="F5330" s="1" t="str">
        <f t="shared" si="1733"/>
        <v>花都四部-凤凰仓</v>
      </c>
      <c r="G5330" s="1" t="str">
        <f t="shared" si="1734"/>
        <v>卡卡杜佳旺专卖店（快手店）</v>
      </c>
      <c r="H5330" s="1" t="str">
        <f t="shared" si="1735"/>
        <v>正常订单</v>
      </c>
      <c r="I5330" s="1" t="str">
        <f t="shared" si="1736"/>
        <v>已发货</v>
      </c>
      <c r="J5330" s="1" t="str">
        <f t="shared" si="1741"/>
        <v>3</v>
      </c>
      <c r="K5330" s="1">
        <v>2</v>
      </c>
      <c r="L5330" s="1" t="s">
        <v>20</v>
      </c>
      <c r="M5330" s="1" t="str">
        <f>"浙江省 杭州市 临安区 青山湖街道"</f>
        <v>浙江省 杭州市 临安区 青山湖街道</v>
      </c>
      <c r="N5330" s="1" t="str">
        <f t="shared" si="1737"/>
        <v>凡华云仓-城南圆通-快手</v>
      </c>
      <c r="O5330" s="5" t="s">
        <v>5344</v>
      </c>
      <c r="P5330" s="6">
        <v>0.35</v>
      </c>
      <c r="Q5330" s="11">
        <v>2.2999999999999998</v>
      </c>
      <c r="R5330" s="11"/>
      <c r="S5330" s="11"/>
      <c r="T5330" s="11"/>
      <c r="U5330" s="11">
        <f t="shared" si="1731"/>
        <v>2.2999999999999998</v>
      </c>
      <c r="W5330">
        <v>2.5</v>
      </c>
      <c r="X5330" s="1" t="s">
        <v>20</v>
      </c>
    </row>
    <row r="5331" spans="1:24" x14ac:dyDescent="0.25">
      <c r="A5331" s="1" t="str">
        <f t="shared" si="1732"/>
        <v>卡卡杜-凤凰仓</v>
      </c>
      <c r="B5331" s="1" t="str">
        <f>"CK202410082031"</f>
        <v>CK202410082031</v>
      </c>
      <c r="C5331" s="1" t="str">
        <f>"DD2024100817509"</f>
        <v>DD2024100817509</v>
      </c>
      <c r="D5331" s="1" t="str">
        <f>"CK2024100813062"</f>
        <v>CK2024100813062</v>
      </c>
      <c r="E5331" s="1" t="str">
        <f>"6917942408137309303"</f>
        <v>6917942408137309303</v>
      </c>
      <c r="F5331" s="1" t="str">
        <f t="shared" si="1733"/>
        <v>花都四部-凤凰仓</v>
      </c>
      <c r="G5331" s="1" t="str">
        <f>"卡卡杜个人护理店（抖店）"</f>
        <v>卡卡杜个人护理店（抖店）</v>
      </c>
      <c r="H5331" s="1" t="str">
        <f t="shared" si="1735"/>
        <v>正常订单</v>
      </c>
      <c r="I5331" s="1" t="str">
        <f t="shared" si="1736"/>
        <v>已发货</v>
      </c>
      <c r="J5331" s="1" t="str">
        <f>"4"</f>
        <v>4</v>
      </c>
      <c r="K5331" s="1">
        <v>1</v>
      </c>
      <c r="L5331" s="1" t="s">
        <v>32</v>
      </c>
      <c r="M5331" s="1" t="str">
        <f>"陕西省 西安市 灞桥区 洪庆街道"</f>
        <v>陕西省 西安市 灞桥区 洪庆街道</v>
      </c>
      <c r="N5331" s="1" t="str">
        <f>"凡华云仓-韵达-抖音"</f>
        <v>凡华云仓-韵达-抖音</v>
      </c>
      <c r="O5331" s="5">
        <v>320161035780315</v>
      </c>
      <c r="P5331" s="6">
        <v>0.57999999999999996</v>
      </c>
      <c r="Q5331" s="11">
        <f>CEILING(P5331-0.5,0.1)*10*0.15+2.3</f>
        <v>2.4499999999999997</v>
      </c>
      <c r="R5331" s="11"/>
      <c r="S5331" s="11"/>
      <c r="T5331" s="11"/>
      <c r="U5331" s="11">
        <f t="shared" si="1731"/>
        <v>2.4499999999999997</v>
      </c>
      <c r="V5331" t="s">
        <v>15</v>
      </c>
      <c r="W5331">
        <v>2.4500000000000002</v>
      </c>
      <c r="X5331" s="1" t="s">
        <v>32</v>
      </c>
    </row>
    <row r="5332" spans="1:24" x14ac:dyDescent="0.25">
      <c r="A5332" s="1" t="str">
        <f t="shared" si="1732"/>
        <v>卡卡杜-凤凰仓</v>
      </c>
      <c r="B5332" s="1" t="str">
        <f>"CK2024101919609"</f>
        <v>CK2024101919609</v>
      </c>
      <c r="C5332" s="1" t="str">
        <f>"DD2024101930368"</f>
        <v>DD2024101930368</v>
      </c>
      <c r="D5332" s="1" t="str">
        <f>"CK2024101920795"</f>
        <v>CK2024101920795</v>
      </c>
      <c r="E5332" s="1" t="str">
        <f>"3723411154516446208"</f>
        <v>3723411154516446208</v>
      </c>
      <c r="F5332" s="1" t="str">
        <f t="shared" si="1733"/>
        <v>花都四部-凤凰仓</v>
      </c>
      <c r="G5332" s="1" t="str">
        <f t="shared" ref="G5332:G5395" si="1742">"卡卡杜企业店（视频号）"</f>
        <v>卡卡杜企业店（视频号）</v>
      </c>
      <c r="H5332" s="1" t="str">
        <f t="shared" si="1735"/>
        <v>正常订单</v>
      </c>
      <c r="I5332" s="1" t="str">
        <f t="shared" si="1736"/>
        <v>已发货</v>
      </c>
      <c r="J5332" s="1" t="str">
        <f t="shared" ref="J5332:J5336" si="1743">"3"</f>
        <v>3</v>
      </c>
      <c r="K5332" s="1">
        <v>3</v>
      </c>
      <c r="L5332" s="1" t="s">
        <v>105</v>
      </c>
      <c r="M5332" s="1" t="str">
        <f>"北京 北京市 丰台区 "</f>
        <v xml:space="preserve">北京 北京市 丰台区 </v>
      </c>
      <c r="N5332" s="1" t="str">
        <f t="shared" ref="N5332:N5395" si="1744">"凡华云仓-城南圆通-微信视频号"</f>
        <v>凡华云仓-城南圆通-微信视频号</v>
      </c>
      <c r="O5332" s="5" t="s">
        <v>5345</v>
      </c>
      <c r="P5332" s="6">
        <v>0.34</v>
      </c>
      <c r="Q5332" s="11">
        <v>2.2999999999999998</v>
      </c>
      <c r="R5332" s="11"/>
      <c r="S5332" s="11"/>
      <c r="T5332" s="11"/>
      <c r="U5332" s="11">
        <f t="shared" si="1731"/>
        <v>2.2999999999999998</v>
      </c>
      <c r="W5332">
        <v>2.5</v>
      </c>
      <c r="X5332" s="1" t="s">
        <v>105</v>
      </c>
    </row>
    <row r="5333" spans="1:24" x14ac:dyDescent="0.25">
      <c r="A5333" s="1" t="str">
        <f t="shared" si="1732"/>
        <v>卡卡杜-凤凰仓</v>
      </c>
      <c r="B5333" s="1" t="str">
        <f>"CK2024101919618"</f>
        <v>CK2024101919618</v>
      </c>
      <c r="C5333" s="1" t="str">
        <f>"DD2024101930376"</f>
        <v>DD2024101930376</v>
      </c>
      <c r="D5333" s="1" t="str">
        <f>"CK2024101920794"</f>
        <v>CK2024101920794</v>
      </c>
      <c r="E5333" s="1" t="str">
        <f>"3723409928825734656"</f>
        <v>3723409928825734656</v>
      </c>
      <c r="F5333" s="1" t="str">
        <f t="shared" si="1733"/>
        <v>花都四部-凤凰仓</v>
      </c>
      <c r="G5333" s="1" t="str">
        <f t="shared" si="1742"/>
        <v>卡卡杜企业店（视频号）</v>
      </c>
      <c r="H5333" s="1" t="str">
        <f t="shared" si="1735"/>
        <v>正常订单</v>
      </c>
      <c r="I5333" s="1" t="str">
        <f t="shared" si="1736"/>
        <v>已发货</v>
      </c>
      <c r="J5333" s="1" t="str">
        <f>"2"</f>
        <v>2</v>
      </c>
      <c r="K5333" s="1">
        <v>2</v>
      </c>
      <c r="L5333" s="1" t="s">
        <v>20</v>
      </c>
      <c r="M5333" s="1" t="str">
        <f>"浙江省 金华市 浦江县 "</f>
        <v xml:space="preserve">浙江省 金华市 浦江县 </v>
      </c>
      <c r="N5333" s="1" t="str">
        <f t="shared" si="1744"/>
        <v>凡华云仓-城南圆通-微信视频号</v>
      </c>
      <c r="O5333" s="5" t="s">
        <v>5346</v>
      </c>
      <c r="P5333" s="6">
        <v>0.17</v>
      </c>
      <c r="Q5333" s="11">
        <v>2</v>
      </c>
      <c r="R5333" s="11"/>
      <c r="S5333" s="11"/>
      <c r="T5333" s="11"/>
      <c r="U5333" s="11">
        <f t="shared" si="1731"/>
        <v>2</v>
      </c>
      <c r="W5333">
        <v>2.2000000000000002</v>
      </c>
      <c r="X5333" s="1" t="s">
        <v>20</v>
      </c>
    </row>
    <row r="5334" spans="1:24" x14ac:dyDescent="0.25">
      <c r="A5334" s="1" t="str">
        <f t="shared" si="1732"/>
        <v>卡卡杜-凤凰仓</v>
      </c>
      <c r="B5334" s="1" t="str">
        <f>"CK2024101919621"</f>
        <v>CK2024101919621</v>
      </c>
      <c r="C5334" s="1" t="str">
        <f>"DD2024101930380"</f>
        <v>DD2024101930380</v>
      </c>
      <c r="D5334" s="1" t="str">
        <f>"CK2024101920793"</f>
        <v>CK2024101920793</v>
      </c>
      <c r="E5334" s="1" t="str">
        <f>"3723409699134639104"</f>
        <v>3723409699134639104</v>
      </c>
      <c r="F5334" s="1" t="str">
        <f t="shared" si="1733"/>
        <v>花都四部-凤凰仓</v>
      </c>
      <c r="G5334" s="1" t="str">
        <f t="shared" si="1742"/>
        <v>卡卡杜企业店（视频号）</v>
      </c>
      <c r="H5334" s="1" t="str">
        <f t="shared" si="1735"/>
        <v>正常订单</v>
      </c>
      <c r="I5334" s="1" t="str">
        <f t="shared" si="1736"/>
        <v>已发货</v>
      </c>
      <c r="J5334" s="1" t="str">
        <f t="shared" si="1743"/>
        <v>3</v>
      </c>
      <c r="K5334" s="1">
        <v>3</v>
      </c>
      <c r="L5334" s="1" t="s">
        <v>74</v>
      </c>
      <c r="M5334" s="1" t="str">
        <f>"上海 上海市 奉贤区 "</f>
        <v xml:space="preserve">上海 上海市 奉贤区 </v>
      </c>
      <c r="N5334" s="1" t="str">
        <f t="shared" si="1744"/>
        <v>凡华云仓-城南圆通-微信视频号</v>
      </c>
      <c r="O5334" s="5" t="s">
        <v>5347</v>
      </c>
      <c r="P5334" s="6">
        <v>0.34</v>
      </c>
      <c r="Q5334" s="11">
        <v>2.2999999999999998</v>
      </c>
      <c r="R5334" s="11"/>
      <c r="S5334" s="11"/>
      <c r="T5334" s="11"/>
      <c r="U5334" s="11">
        <f t="shared" si="1731"/>
        <v>2.2999999999999998</v>
      </c>
      <c r="W5334">
        <v>2.5</v>
      </c>
      <c r="X5334" s="1" t="s">
        <v>74</v>
      </c>
    </row>
    <row r="5335" spans="1:24" x14ac:dyDescent="0.25">
      <c r="A5335" s="1" t="str">
        <f t="shared" si="1732"/>
        <v>卡卡杜-凤凰仓</v>
      </c>
      <c r="B5335" s="1" t="str">
        <f>"CK2024101919880"</f>
        <v>CK2024101919880</v>
      </c>
      <c r="C5335" s="1" t="str">
        <f>"DD2024101930647"</f>
        <v>DD2024101930647</v>
      </c>
      <c r="D5335" s="1" t="str">
        <f>"CK2024101920792"</f>
        <v>CK2024101920792</v>
      </c>
      <c r="E5335" s="1" t="str">
        <f>"3723404192544327168"</f>
        <v>3723404192544327168</v>
      </c>
      <c r="F5335" s="1" t="str">
        <f t="shared" si="1733"/>
        <v>花都四部-凤凰仓</v>
      </c>
      <c r="G5335" s="1" t="str">
        <f t="shared" si="1742"/>
        <v>卡卡杜企业店（视频号）</v>
      </c>
      <c r="H5335" s="1" t="str">
        <f t="shared" si="1735"/>
        <v>正常订单</v>
      </c>
      <c r="I5335" s="1" t="str">
        <f t="shared" si="1736"/>
        <v>已发货</v>
      </c>
      <c r="J5335" s="1" t="str">
        <f>"5"</f>
        <v>5</v>
      </c>
      <c r="K5335" s="1">
        <v>3</v>
      </c>
      <c r="L5335" s="1" t="s">
        <v>74</v>
      </c>
      <c r="M5335" s="1" t="str">
        <f>"上海 上海市 徐汇区 "</f>
        <v xml:space="preserve">上海 上海市 徐汇区 </v>
      </c>
      <c r="N5335" s="1" t="str">
        <f t="shared" si="1744"/>
        <v>凡华云仓-城南圆通-微信视频号</v>
      </c>
      <c r="O5335" s="5" t="s">
        <v>5348</v>
      </c>
      <c r="P5335" s="6">
        <v>0.47</v>
      </c>
      <c r="Q5335" s="11">
        <v>2.2999999999999998</v>
      </c>
      <c r="R5335" s="11"/>
      <c r="S5335" s="11"/>
      <c r="T5335" s="11"/>
      <c r="U5335" s="11">
        <f t="shared" si="1731"/>
        <v>2.2999999999999998</v>
      </c>
      <c r="W5335">
        <v>2.5</v>
      </c>
      <c r="X5335" s="1" t="s">
        <v>74</v>
      </c>
    </row>
    <row r="5336" spans="1:24" x14ac:dyDescent="0.25">
      <c r="A5336" s="1" t="str">
        <f t="shared" si="1732"/>
        <v>卡卡杜-凤凰仓</v>
      </c>
      <c r="B5336" s="1" t="str">
        <f>"CK2024101919931"</f>
        <v>CK2024101919931</v>
      </c>
      <c r="C5336" s="1" t="str">
        <f>"DD2024101930735"</f>
        <v>DD2024101930735</v>
      </c>
      <c r="D5336" s="1" t="str">
        <f>"CK2024101920791"</f>
        <v>CK2024101920791</v>
      </c>
      <c r="E5336" s="1" t="str">
        <f>"3723404155123795200"</f>
        <v>3723404155123795200</v>
      </c>
      <c r="F5336" s="1" t="str">
        <f t="shared" si="1733"/>
        <v>花都四部-凤凰仓</v>
      </c>
      <c r="G5336" s="1" t="str">
        <f t="shared" si="1742"/>
        <v>卡卡杜企业店（视频号）</v>
      </c>
      <c r="H5336" s="1" t="str">
        <f t="shared" si="1735"/>
        <v>正常订单</v>
      </c>
      <c r="I5336" s="1" t="str">
        <f t="shared" si="1736"/>
        <v>已发货</v>
      </c>
      <c r="J5336" s="1" t="str">
        <f t="shared" si="1743"/>
        <v>3</v>
      </c>
      <c r="K5336" s="1">
        <v>2</v>
      </c>
      <c r="L5336" s="1" t="s">
        <v>74</v>
      </c>
      <c r="M5336" s="1" t="str">
        <f>"上海 上海市 徐汇区 "</f>
        <v xml:space="preserve">上海 上海市 徐汇区 </v>
      </c>
      <c r="N5336" s="1" t="str">
        <f t="shared" si="1744"/>
        <v>凡华云仓-城南圆通-微信视频号</v>
      </c>
      <c r="O5336" s="5" t="s">
        <v>5349</v>
      </c>
      <c r="P5336" s="6">
        <v>0.24</v>
      </c>
      <c r="Q5336" s="11">
        <v>2</v>
      </c>
      <c r="R5336" s="11"/>
      <c r="S5336" s="11"/>
      <c r="T5336" s="11"/>
      <c r="U5336" s="11">
        <f t="shared" si="1731"/>
        <v>2</v>
      </c>
      <c r="W5336">
        <v>2.2000000000000002</v>
      </c>
      <c r="X5336" s="1" t="s">
        <v>74</v>
      </c>
    </row>
    <row r="5337" spans="1:24" x14ac:dyDescent="0.25">
      <c r="A5337" s="1" t="str">
        <f t="shared" si="1732"/>
        <v>卡卡杜-凤凰仓</v>
      </c>
      <c r="B5337" s="1" t="str">
        <f>"CK2024101919628"</f>
        <v>CK2024101919628</v>
      </c>
      <c r="C5337" s="1" t="str">
        <f>"DD2024101930387"</f>
        <v>DD2024101930387</v>
      </c>
      <c r="D5337" s="1" t="str">
        <f>"CK2024101920790"</f>
        <v>CK2024101920790</v>
      </c>
      <c r="E5337" s="1" t="str">
        <f>"3723404148595885312"</f>
        <v>3723404148595885312</v>
      </c>
      <c r="F5337" s="1" t="str">
        <f t="shared" si="1733"/>
        <v>花都四部-凤凰仓</v>
      </c>
      <c r="G5337" s="1" t="str">
        <f t="shared" si="1742"/>
        <v>卡卡杜企业店（视频号）</v>
      </c>
      <c r="H5337" s="1" t="str">
        <f t="shared" si="1735"/>
        <v>正常订单</v>
      </c>
      <c r="I5337" s="1" t="str">
        <f t="shared" si="1736"/>
        <v>已发货</v>
      </c>
      <c r="J5337" s="1" t="str">
        <f t="shared" ref="J5337:J5342" si="1745">"2"</f>
        <v>2</v>
      </c>
      <c r="K5337" s="1">
        <v>2</v>
      </c>
      <c r="L5337" s="1" t="s">
        <v>18</v>
      </c>
      <c r="M5337" s="1" t="str">
        <f>"广东省 珠海市 香洲区 "</f>
        <v xml:space="preserve">广东省 珠海市 香洲区 </v>
      </c>
      <c r="N5337" s="1" t="str">
        <f t="shared" si="1744"/>
        <v>凡华云仓-城南圆通-微信视频号</v>
      </c>
      <c r="O5337" s="5" t="s">
        <v>5350</v>
      </c>
      <c r="P5337" s="6">
        <v>0.17</v>
      </c>
      <c r="Q5337" s="11">
        <v>2</v>
      </c>
      <c r="R5337" s="11"/>
      <c r="S5337" s="11"/>
      <c r="T5337" s="11"/>
      <c r="U5337" s="11">
        <f t="shared" si="1731"/>
        <v>2</v>
      </c>
      <c r="W5337">
        <v>2.2000000000000002</v>
      </c>
      <c r="X5337" s="1" t="s">
        <v>18</v>
      </c>
    </row>
    <row r="5338" spans="1:24" x14ac:dyDescent="0.25">
      <c r="A5338" s="1" t="str">
        <f t="shared" si="1732"/>
        <v>卡卡杜-凤凰仓</v>
      </c>
      <c r="B5338" s="1" t="str">
        <f>"CK2024101919629"</f>
        <v>CK2024101919629</v>
      </c>
      <c r="C5338" s="1" t="str">
        <f>"DD2024101930388"</f>
        <v>DD2024101930388</v>
      </c>
      <c r="D5338" s="1" t="str">
        <f>"CK2024101920789"</f>
        <v>CK2024101920789</v>
      </c>
      <c r="E5338" s="1" t="str">
        <f>"3723404117984022528"</f>
        <v>3723404117984022528</v>
      </c>
      <c r="F5338" s="1" t="str">
        <f t="shared" si="1733"/>
        <v>花都四部-凤凰仓</v>
      </c>
      <c r="G5338" s="1" t="str">
        <f t="shared" si="1742"/>
        <v>卡卡杜企业店（视频号）</v>
      </c>
      <c r="H5338" s="1" t="str">
        <f t="shared" si="1735"/>
        <v>正常订单</v>
      </c>
      <c r="I5338" s="1" t="str">
        <f t="shared" si="1736"/>
        <v>已发货</v>
      </c>
      <c r="J5338" s="1" t="str">
        <f t="shared" ref="J5338:J5340" si="1746">"3"</f>
        <v>3</v>
      </c>
      <c r="K5338" s="1">
        <v>2</v>
      </c>
      <c r="L5338" s="1" t="s">
        <v>20</v>
      </c>
      <c r="M5338" s="1" t="str">
        <f>"浙江省 宁波市 象山县 "</f>
        <v xml:space="preserve">浙江省 宁波市 象山县 </v>
      </c>
      <c r="N5338" s="1" t="str">
        <f t="shared" si="1744"/>
        <v>凡华云仓-城南圆通-微信视频号</v>
      </c>
      <c r="O5338" s="5" t="s">
        <v>5351</v>
      </c>
      <c r="P5338" s="6">
        <v>0.24</v>
      </c>
      <c r="Q5338" s="11">
        <v>2</v>
      </c>
      <c r="R5338" s="11"/>
      <c r="S5338" s="11"/>
      <c r="T5338" s="11"/>
      <c r="U5338" s="11">
        <f t="shared" si="1731"/>
        <v>2</v>
      </c>
      <c r="W5338">
        <v>2.2000000000000002</v>
      </c>
      <c r="X5338" s="1" t="s">
        <v>20</v>
      </c>
    </row>
    <row r="5339" spans="1:24" x14ac:dyDescent="0.25">
      <c r="A5339" s="1" t="str">
        <f t="shared" si="1732"/>
        <v>卡卡杜-凤凰仓</v>
      </c>
      <c r="B5339" s="1" t="str">
        <f>"CK2024101919635"</f>
        <v>CK2024101919635</v>
      </c>
      <c r="C5339" s="1" t="str">
        <f>"DD2024101930394"</f>
        <v>DD2024101930394</v>
      </c>
      <c r="D5339" s="1" t="str">
        <f>"CK2024101920788"</f>
        <v>CK2024101920788</v>
      </c>
      <c r="E5339" s="1" t="str">
        <f>"3723404068104309760"</f>
        <v>3723404068104309760</v>
      </c>
      <c r="F5339" s="1" t="str">
        <f t="shared" si="1733"/>
        <v>花都四部-凤凰仓</v>
      </c>
      <c r="G5339" s="1" t="str">
        <f t="shared" si="1742"/>
        <v>卡卡杜企业店（视频号）</v>
      </c>
      <c r="H5339" s="1" t="str">
        <f t="shared" si="1735"/>
        <v>正常订单</v>
      </c>
      <c r="I5339" s="1" t="str">
        <f t="shared" si="1736"/>
        <v>已发货</v>
      </c>
      <c r="J5339" s="1" t="str">
        <f t="shared" si="1746"/>
        <v>3</v>
      </c>
      <c r="K5339" s="1">
        <v>3</v>
      </c>
      <c r="L5339" s="1" t="s">
        <v>32</v>
      </c>
      <c r="M5339" s="1" t="str">
        <f>"陕西省 西安市 未央区 "</f>
        <v xml:space="preserve">陕西省 西安市 未央区 </v>
      </c>
      <c r="N5339" s="1" t="str">
        <f t="shared" si="1744"/>
        <v>凡华云仓-城南圆通-微信视频号</v>
      </c>
      <c r="O5339" s="5" t="s">
        <v>5352</v>
      </c>
      <c r="P5339" s="6">
        <v>0.34</v>
      </c>
      <c r="Q5339" s="11">
        <v>2.2999999999999998</v>
      </c>
      <c r="R5339" s="11"/>
      <c r="S5339" s="11"/>
      <c r="T5339" s="11"/>
      <c r="U5339" s="11">
        <f t="shared" si="1731"/>
        <v>2.2999999999999998</v>
      </c>
      <c r="W5339">
        <v>2.5</v>
      </c>
      <c r="X5339" s="1" t="s">
        <v>32</v>
      </c>
    </row>
    <row r="5340" spans="1:24" x14ac:dyDescent="0.25">
      <c r="A5340" s="1" t="str">
        <f t="shared" si="1732"/>
        <v>卡卡杜-凤凰仓</v>
      </c>
      <c r="B5340" s="1" t="str">
        <f>"CK2024101919630"</f>
        <v>CK2024101919630</v>
      </c>
      <c r="C5340" s="1" t="str">
        <f>"DD2024101930389"</f>
        <v>DD2024101930389</v>
      </c>
      <c r="D5340" s="1" t="str">
        <f>"CK2024101920787"</f>
        <v>CK2024101920787</v>
      </c>
      <c r="E5340" s="1" t="str">
        <f>"3723404102734320640"</f>
        <v>3723404102734320640</v>
      </c>
      <c r="F5340" s="1" t="str">
        <f t="shared" si="1733"/>
        <v>花都四部-凤凰仓</v>
      </c>
      <c r="G5340" s="1" t="str">
        <f t="shared" si="1742"/>
        <v>卡卡杜企业店（视频号）</v>
      </c>
      <c r="H5340" s="1" t="str">
        <f t="shared" si="1735"/>
        <v>正常订单</v>
      </c>
      <c r="I5340" s="1" t="str">
        <f t="shared" si="1736"/>
        <v>已发货</v>
      </c>
      <c r="J5340" s="1" t="str">
        <f t="shared" si="1746"/>
        <v>3</v>
      </c>
      <c r="K5340" s="1">
        <v>3</v>
      </c>
      <c r="L5340" s="1" t="s">
        <v>30</v>
      </c>
      <c r="M5340" s="1" t="str">
        <f>"山东省 威海市 荣成市 "</f>
        <v xml:space="preserve">山东省 威海市 荣成市 </v>
      </c>
      <c r="N5340" s="1" t="str">
        <f t="shared" si="1744"/>
        <v>凡华云仓-城南圆通-微信视频号</v>
      </c>
      <c r="O5340" s="5" t="s">
        <v>5353</v>
      </c>
      <c r="P5340" s="6">
        <v>0.34</v>
      </c>
      <c r="Q5340" s="11">
        <v>2.2999999999999998</v>
      </c>
      <c r="R5340" s="11"/>
      <c r="S5340" s="11"/>
      <c r="T5340" s="11"/>
      <c r="U5340" s="11">
        <f t="shared" si="1731"/>
        <v>2.2999999999999998</v>
      </c>
      <c r="W5340">
        <v>2.5</v>
      </c>
      <c r="X5340" s="1" t="s">
        <v>30</v>
      </c>
    </row>
    <row r="5341" spans="1:24" x14ac:dyDescent="0.25">
      <c r="A5341" s="1" t="str">
        <f t="shared" si="1732"/>
        <v>卡卡杜-凤凰仓</v>
      </c>
      <c r="B5341" s="1" t="str">
        <f>"CK2024101919631"</f>
        <v>CK2024101919631</v>
      </c>
      <c r="C5341" s="1" t="str">
        <f>"DD2024101930390"</f>
        <v>DD2024101930390</v>
      </c>
      <c r="D5341" s="1" t="str">
        <f>"CK2024101920786"</f>
        <v>CK2024101920786</v>
      </c>
      <c r="E5341" s="1" t="str">
        <f>"3723404083273272320"</f>
        <v>3723404083273272320</v>
      </c>
      <c r="F5341" s="1" t="str">
        <f t="shared" si="1733"/>
        <v>花都四部-凤凰仓</v>
      </c>
      <c r="G5341" s="1" t="str">
        <f t="shared" si="1742"/>
        <v>卡卡杜企业店（视频号）</v>
      </c>
      <c r="H5341" s="1" t="str">
        <f t="shared" si="1735"/>
        <v>正常订单</v>
      </c>
      <c r="I5341" s="1" t="str">
        <f t="shared" si="1736"/>
        <v>已发货</v>
      </c>
      <c r="J5341" s="1" t="str">
        <f t="shared" si="1745"/>
        <v>2</v>
      </c>
      <c r="K5341" s="1">
        <v>2</v>
      </c>
      <c r="L5341" s="1" t="s">
        <v>94</v>
      </c>
      <c r="M5341" s="1" t="str">
        <f>"湖南省 常德市 桃源县 "</f>
        <v xml:space="preserve">湖南省 常德市 桃源县 </v>
      </c>
      <c r="N5341" s="1" t="str">
        <f t="shared" si="1744"/>
        <v>凡华云仓-城南圆通-微信视频号</v>
      </c>
      <c r="O5341" s="5" t="s">
        <v>5354</v>
      </c>
      <c r="P5341" s="6">
        <v>0.17</v>
      </c>
      <c r="Q5341" s="11">
        <v>2</v>
      </c>
      <c r="R5341" s="11"/>
      <c r="S5341" s="11"/>
      <c r="T5341" s="11"/>
      <c r="U5341" s="11">
        <f t="shared" si="1731"/>
        <v>2</v>
      </c>
      <c r="W5341">
        <v>2.2000000000000002</v>
      </c>
      <c r="X5341" s="1" t="s">
        <v>94</v>
      </c>
    </row>
    <row r="5342" spans="1:24" x14ac:dyDescent="0.25">
      <c r="A5342" s="1" t="str">
        <f t="shared" si="1732"/>
        <v>卡卡杜-凤凰仓</v>
      </c>
      <c r="B5342" s="1" t="str">
        <f>"CK2024101919632"</f>
        <v>CK2024101919632</v>
      </c>
      <c r="C5342" s="1" t="str">
        <f>"DD2024101930391"</f>
        <v>DD2024101930391</v>
      </c>
      <c r="D5342" s="1" t="str">
        <f>"CK2024101920785"</f>
        <v>CK2024101920785</v>
      </c>
      <c r="E5342" s="1" t="str">
        <f>"3723404086641300480"</f>
        <v>3723404086641300480</v>
      </c>
      <c r="F5342" s="1" t="str">
        <f t="shared" si="1733"/>
        <v>花都四部-凤凰仓</v>
      </c>
      <c r="G5342" s="1" t="str">
        <f t="shared" si="1742"/>
        <v>卡卡杜企业店（视频号）</v>
      </c>
      <c r="H5342" s="1" t="str">
        <f t="shared" si="1735"/>
        <v>正常订单</v>
      </c>
      <c r="I5342" s="1" t="str">
        <f t="shared" si="1736"/>
        <v>已发货</v>
      </c>
      <c r="J5342" s="1" t="str">
        <f t="shared" si="1745"/>
        <v>2</v>
      </c>
      <c r="K5342" s="1">
        <v>2</v>
      </c>
      <c r="L5342" s="1" t="s">
        <v>54</v>
      </c>
      <c r="M5342" s="1" t="str">
        <f>"黑龙江省 鸡西市 虎林市 "</f>
        <v xml:space="preserve">黑龙江省 鸡西市 虎林市 </v>
      </c>
      <c r="N5342" s="1" t="str">
        <f t="shared" si="1744"/>
        <v>凡华云仓-城南圆通-微信视频号</v>
      </c>
      <c r="O5342" s="5" t="s">
        <v>5355</v>
      </c>
      <c r="P5342" s="6">
        <v>0.17</v>
      </c>
      <c r="Q5342" s="11">
        <v>2</v>
      </c>
      <c r="R5342" s="11"/>
      <c r="S5342" s="11"/>
      <c r="T5342" s="11"/>
      <c r="U5342" s="11">
        <f t="shared" si="1731"/>
        <v>2</v>
      </c>
      <c r="W5342">
        <v>2.2000000000000002</v>
      </c>
      <c r="X5342" s="1" t="s">
        <v>54</v>
      </c>
    </row>
    <row r="5343" spans="1:24" x14ac:dyDescent="0.25">
      <c r="A5343" s="1" t="str">
        <f t="shared" si="1732"/>
        <v>卡卡杜-凤凰仓</v>
      </c>
      <c r="B5343" s="1" t="str">
        <f>"CK2024101919633"</f>
        <v>CK2024101919633</v>
      </c>
      <c r="C5343" s="1" t="str">
        <f>"DD2024101930392"</f>
        <v>DD2024101930392</v>
      </c>
      <c r="D5343" s="1" t="str">
        <f>"CK2024101920784"</f>
        <v>CK2024101920784</v>
      </c>
      <c r="E5343" s="1" t="str">
        <f>"3723404074499048704"</f>
        <v>3723404074499048704</v>
      </c>
      <c r="F5343" s="1" t="str">
        <f t="shared" si="1733"/>
        <v>花都四部-凤凰仓</v>
      </c>
      <c r="G5343" s="1" t="str">
        <f t="shared" si="1742"/>
        <v>卡卡杜企业店（视频号）</v>
      </c>
      <c r="H5343" s="1" t="str">
        <f t="shared" si="1735"/>
        <v>正常订单</v>
      </c>
      <c r="I5343" s="1" t="str">
        <f t="shared" si="1736"/>
        <v>已发货</v>
      </c>
      <c r="J5343" s="1" t="str">
        <f t="shared" ref="J5343:J5350" si="1747">"3"</f>
        <v>3</v>
      </c>
      <c r="K5343" s="1">
        <v>3</v>
      </c>
      <c r="L5343" s="1" t="s">
        <v>96</v>
      </c>
      <c r="M5343" s="1" t="str">
        <f>"广西壮族自治区 南宁市 青秀区 "</f>
        <v xml:space="preserve">广西壮族自治区 南宁市 青秀区 </v>
      </c>
      <c r="N5343" s="1" t="str">
        <f t="shared" si="1744"/>
        <v>凡华云仓-城南圆通-微信视频号</v>
      </c>
      <c r="O5343" s="5" t="s">
        <v>5356</v>
      </c>
      <c r="P5343" s="6">
        <v>0.34</v>
      </c>
      <c r="Q5343" s="11">
        <v>2.2999999999999998</v>
      </c>
      <c r="R5343" s="11"/>
      <c r="S5343" s="11"/>
      <c r="T5343" s="11"/>
      <c r="U5343" s="11">
        <f t="shared" si="1731"/>
        <v>2.2999999999999998</v>
      </c>
      <c r="W5343">
        <v>2.5</v>
      </c>
      <c r="X5343" s="1" t="s">
        <v>96</v>
      </c>
    </row>
    <row r="5344" spans="1:24" x14ac:dyDescent="0.25">
      <c r="A5344" s="1" t="str">
        <f t="shared" si="1732"/>
        <v>卡卡杜-凤凰仓</v>
      </c>
      <c r="B5344" s="1" t="str">
        <f>"CK2024101919634"</f>
        <v>CK2024101919634</v>
      </c>
      <c r="C5344" s="1" t="str">
        <f>"DD2024101930393"</f>
        <v>DD2024101930393</v>
      </c>
      <c r="D5344" s="1" t="str">
        <f>"CK2024101920783"</f>
        <v>CK2024101920783</v>
      </c>
      <c r="E5344" s="1" t="str">
        <f>"3723404070318904320"</f>
        <v>3723404070318904320</v>
      </c>
      <c r="F5344" s="1" t="str">
        <f t="shared" si="1733"/>
        <v>花都四部-凤凰仓</v>
      </c>
      <c r="G5344" s="1" t="str">
        <f t="shared" si="1742"/>
        <v>卡卡杜企业店（视频号）</v>
      </c>
      <c r="H5344" s="1" t="str">
        <f t="shared" si="1735"/>
        <v>正常订单</v>
      </c>
      <c r="I5344" s="1" t="str">
        <f t="shared" si="1736"/>
        <v>已发货</v>
      </c>
      <c r="J5344" s="1" t="str">
        <f t="shared" si="1747"/>
        <v>3</v>
      </c>
      <c r="K5344" s="1">
        <v>3</v>
      </c>
      <c r="L5344" s="1" t="s">
        <v>20</v>
      </c>
      <c r="M5344" s="1" t="str">
        <f>"浙江省 绍兴市 诸暨市 "</f>
        <v xml:space="preserve">浙江省 绍兴市 诸暨市 </v>
      </c>
      <c r="N5344" s="1" t="str">
        <f t="shared" si="1744"/>
        <v>凡华云仓-城南圆通-微信视频号</v>
      </c>
      <c r="O5344" s="5" t="s">
        <v>5357</v>
      </c>
      <c r="P5344" s="6">
        <v>0.34</v>
      </c>
      <c r="Q5344" s="11">
        <v>2.2999999999999998</v>
      </c>
      <c r="R5344" s="11"/>
      <c r="S5344" s="11"/>
      <c r="T5344" s="11"/>
      <c r="U5344" s="11">
        <f t="shared" si="1731"/>
        <v>2.2999999999999998</v>
      </c>
      <c r="W5344">
        <v>2.5</v>
      </c>
      <c r="X5344" s="1" t="s">
        <v>20</v>
      </c>
    </row>
    <row r="5345" spans="1:24" x14ac:dyDescent="0.25">
      <c r="A5345" s="1" t="str">
        <f t="shared" si="1732"/>
        <v>卡卡杜-凤凰仓</v>
      </c>
      <c r="B5345" s="1" t="str">
        <f>"CK2024101919636"</f>
        <v>CK2024101919636</v>
      </c>
      <c r="C5345" s="1" t="str">
        <f>"DD2024101930395"</f>
        <v>DD2024101930395</v>
      </c>
      <c r="D5345" s="1" t="str">
        <f>"CK2024101920782"</f>
        <v>CK2024101920782</v>
      </c>
      <c r="E5345" s="1" t="str">
        <f>"3723404052009717760"</f>
        <v>3723404052009717760</v>
      </c>
      <c r="F5345" s="1" t="str">
        <f t="shared" si="1733"/>
        <v>花都四部-凤凰仓</v>
      </c>
      <c r="G5345" s="1" t="str">
        <f t="shared" si="1742"/>
        <v>卡卡杜企业店（视频号）</v>
      </c>
      <c r="H5345" s="1" t="str">
        <f t="shared" si="1735"/>
        <v>正常订单</v>
      </c>
      <c r="I5345" s="1" t="str">
        <f t="shared" si="1736"/>
        <v>已发货</v>
      </c>
      <c r="J5345" s="1" t="str">
        <f t="shared" si="1747"/>
        <v>3</v>
      </c>
      <c r="K5345" s="1">
        <v>3</v>
      </c>
      <c r="L5345" s="1" t="s">
        <v>44</v>
      </c>
      <c r="M5345" s="1" t="str">
        <f>"海南省 三亚市 吉阳区 "</f>
        <v xml:space="preserve">海南省 三亚市 吉阳区 </v>
      </c>
      <c r="N5345" s="1" t="str">
        <f t="shared" si="1744"/>
        <v>凡华云仓-城南圆通-微信视频号</v>
      </c>
      <c r="O5345" s="5" t="s">
        <v>5358</v>
      </c>
      <c r="P5345" s="6">
        <v>0.34</v>
      </c>
      <c r="Q5345" s="11">
        <v>2.2999999999999998</v>
      </c>
      <c r="R5345" s="11"/>
      <c r="S5345" s="11"/>
      <c r="T5345" s="11"/>
      <c r="U5345" s="11">
        <f t="shared" si="1731"/>
        <v>2.2999999999999998</v>
      </c>
      <c r="W5345">
        <v>2.5</v>
      </c>
      <c r="X5345" s="1" t="s">
        <v>44</v>
      </c>
    </row>
    <row r="5346" spans="1:24" x14ac:dyDescent="0.25">
      <c r="A5346" s="1" t="str">
        <f t="shared" si="1732"/>
        <v>卡卡杜-凤凰仓</v>
      </c>
      <c r="B5346" s="1" t="str">
        <f>"CK2024101919652"</f>
        <v>CK2024101919652</v>
      </c>
      <c r="C5346" s="1" t="str">
        <f>"DD2024101930410"</f>
        <v>DD2024101930410</v>
      </c>
      <c r="D5346" s="1" t="str">
        <f>"CK2024101920781"</f>
        <v>CK2024101920781</v>
      </c>
      <c r="E5346" s="1" t="str">
        <f>"3723404052220741120"</f>
        <v>3723404052220741120</v>
      </c>
      <c r="F5346" s="1" t="str">
        <f t="shared" si="1733"/>
        <v>花都四部-凤凰仓</v>
      </c>
      <c r="G5346" s="1" t="str">
        <f t="shared" si="1742"/>
        <v>卡卡杜企业店（视频号）</v>
      </c>
      <c r="H5346" s="1" t="str">
        <f t="shared" si="1735"/>
        <v>正常订单</v>
      </c>
      <c r="I5346" s="1" t="str">
        <f t="shared" si="1736"/>
        <v>已发货</v>
      </c>
      <c r="J5346" s="1" t="str">
        <f t="shared" si="1747"/>
        <v>3</v>
      </c>
      <c r="K5346" s="1">
        <v>3</v>
      </c>
      <c r="L5346" s="1" t="s">
        <v>161</v>
      </c>
      <c r="M5346" s="1" t="str">
        <f>"四川省 成都市 武侯区 "</f>
        <v xml:space="preserve">四川省 成都市 武侯区 </v>
      </c>
      <c r="N5346" s="1" t="str">
        <f t="shared" si="1744"/>
        <v>凡华云仓-城南圆通-微信视频号</v>
      </c>
      <c r="O5346" s="5" t="s">
        <v>5359</v>
      </c>
      <c r="P5346" s="6">
        <v>0.34</v>
      </c>
      <c r="Q5346" s="11">
        <v>2.2999999999999998</v>
      </c>
      <c r="R5346" s="11"/>
      <c r="S5346" s="11"/>
      <c r="T5346" s="11"/>
      <c r="U5346" s="11">
        <f t="shared" si="1731"/>
        <v>2.2999999999999998</v>
      </c>
      <c r="W5346">
        <v>2.5</v>
      </c>
      <c r="X5346" s="1" t="s">
        <v>161</v>
      </c>
    </row>
    <row r="5347" spans="1:24" x14ac:dyDescent="0.25">
      <c r="A5347" s="1" t="str">
        <f t="shared" si="1732"/>
        <v>卡卡杜-凤凰仓</v>
      </c>
      <c r="B5347" s="1" t="str">
        <f>"CK2024101919644"</f>
        <v>CK2024101919644</v>
      </c>
      <c r="C5347" s="1" t="str">
        <f>"DD2024101930403"</f>
        <v>DD2024101930403</v>
      </c>
      <c r="D5347" s="1" t="str">
        <f>"CK2024101920780"</f>
        <v>CK2024101920780</v>
      </c>
      <c r="E5347" s="1" t="str">
        <f>"3723404045951307776"</f>
        <v>3723404045951307776</v>
      </c>
      <c r="F5347" s="1" t="str">
        <f t="shared" si="1733"/>
        <v>花都四部-凤凰仓</v>
      </c>
      <c r="G5347" s="1" t="str">
        <f t="shared" si="1742"/>
        <v>卡卡杜企业店（视频号）</v>
      </c>
      <c r="H5347" s="1" t="str">
        <f t="shared" si="1735"/>
        <v>正常订单</v>
      </c>
      <c r="I5347" s="1" t="str">
        <f t="shared" si="1736"/>
        <v>已发货</v>
      </c>
      <c r="J5347" s="1" t="str">
        <f t="shared" si="1747"/>
        <v>3</v>
      </c>
      <c r="K5347" s="1">
        <v>3</v>
      </c>
      <c r="L5347" s="1" t="s">
        <v>92</v>
      </c>
      <c r="M5347" s="1" t="str">
        <f>"辽宁省 沈阳市 铁西区 "</f>
        <v xml:space="preserve">辽宁省 沈阳市 铁西区 </v>
      </c>
      <c r="N5347" s="1" t="str">
        <f t="shared" si="1744"/>
        <v>凡华云仓-城南圆通-微信视频号</v>
      </c>
      <c r="O5347" s="5" t="s">
        <v>5360</v>
      </c>
      <c r="P5347" s="6">
        <v>0.34</v>
      </c>
      <c r="Q5347" s="11">
        <v>2.2999999999999998</v>
      </c>
      <c r="R5347" s="11"/>
      <c r="S5347" s="11"/>
      <c r="T5347" s="11"/>
      <c r="U5347" s="11">
        <f t="shared" si="1731"/>
        <v>2.2999999999999998</v>
      </c>
      <c r="W5347">
        <v>2.5</v>
      </c>
      <c r="X5347" s="1" t="s">
        <v>92</v>
      </c>
    </row>
    <row r="5348" spans="1:24" x14ac:dyDescent="0.25">
      <c r="A5348" s="1" t="str">
        <f t="shared" si="1732"/>
        <v>卡卡杜-凤凰仓</v>
      </c>
      <c r="B5348" s="1" t="str">
        <f>"CK2024101919655"</f>
        <v>CK2024101919655</v>
      </c>
      <c r="C5348" s="1" t="str">
        <f>"DD2024101930414"</f>
        <v>DD2024101930414</v>
      </c>
      <c r="D5348" s="1" t="str">
        <f>"CK2024101920779"</f>
        <v>CK2024101920779</v>
      </c>
      <c r="E5348" s="1" t="str">
        <f>"3723404043323573504"</f>
        <v>3723404043323573504</v>
      </c>
      <c r="F5348" s="1" t="str">
        <f t="shared" si="1733"/>
        <v>花都四部-凤凰仓</v>
      </c>
      <c r="G5348" s="1" t="str">
        <f t="shared" si="1742"/>
        <v>卡卡杜企业店（视频号）</v>
      </c>
      <c r="H5348" s="1" t="str">
        <f t="shared" si="1735"/>
        <v>正常订单</v>
      </c>
      <c r="I5348" s="1" t="str">
        <f t="shared" si="1736"/>
        <v>已发货</v>
      </c>
      <c r="J5348" s="1" t="str">
        <f t="shared" si="1747"/>
        <v>3</v>
      </c>
      <c r="K5348" s="1">
        <v>3</v>
      </c>
      <c r="L5348" s="1" t="s">
        <v>32</v>
      </c>
      <c r="M5348" s="1" t="str">
        <f>"陕西省 西安市 长安区 "</f>
        <v xml:space="preserve">陕西省 西安市 长安区 </v>
      </c>
      <c r="N5348" s="1" t="str">
        <f t="shared" si="1744"/>
        <v>凡华云仓-城南圆通-微信视频号</v>
      </c>
      <c r="O5348" s="5" t="s">
        <v>5361</v>
      </c>
      <c r="P5348" s="6">
        <v>0.34</v>
      </c>
      <c r="Q5348" s="11">
        <v>2.2999999999999998</v>
      </c>
      <c r="R5348" s="11"/>
      <c r="S5348" s="11"/>
      <c r="T5348" s="11"/>
      <c r="U5348" s="11">
        <f t="shared" si="1731"/>
        <v>2.2999999999999998</v>
      </c>
      <c r="W5348">
        <v>2.5</v>
      </c>
      <c r="X5348" s="1" t="s">
        <v>32</v>
      </c>
    </row>
    <row r="5349" spans="1:24" x14ac:dyDescent="0.25">
      <c r="A5349" s="1" t="str">
        <f t="shared" si="1732"/>
        <v>卡卡杜-凤凰仓</v>
      </c>
      <c r="B5349" s="1" t="str">
        <f>"CK2024101919711"</f>
        <v>CK2024101919711</v>
      </c>
      <c r="C5349" s="1" t="str">
        <f>"DD2024101930470"</f>
        <v>DD2024101930470</v>
      </c>
      <c r="D5349" s="1" t="str">
        <f>"CK2024101920778"</f>
        <v>CK2024101920778</v>
      </c>
      <c r="E5349" s="1" t="str">
        <f>"3723404034752252928"</f>
        <v>3723404034752252928</v>
      </c>
      <c r="F5349" s="1" t="str">
        <f t="shared" si="1733"/>
        <v>花都四部-凤凰仓</v>
      </c>
      <c r="G5349" s="1" t="str">
        <f t="shared" si="1742"/>
        <v>卡卡杜企业店（视频号）</v>
      </c>
      <c r="H5349" s="1" t="str">
        <f t="shared" si="1735"/>
        <v>正常订单</v>
      </c>
      <c r="I5349" s="1" t="str">
        <f t="shared" si="1736"/>
        <v>已发货</v>
      </c>
      <c r="J5349" s="1" t="str">
        <f t="shared" si="1747"/>
        <v>3</v>
      </c>
      <c r="K5349" s="1">
        <v>3</v>
      </c>
      <c r="L5349" s="1" t="s">
        <v>30</v>
      </c>
      <c r="M5349" s="1" t="str">
        <f>"山东省 烟台市 莱山区 "</f>
        <v xml:space="preserve">山东省 烟台市 莱山区 </v>
      </c>
      <c r="N5349" s="1" t="str">
        <f t="shared" si="1744"/>
        <v>凡华云仓-城南圆通-微信视频号</v>
      </c>
      <c r="O5349" s="5" t="s">
        <v>5362</v>
      </c>
      <c r="P5349" s="6">
        <v>0.34</v>
      </c>
      <c r="Q5349" s="11">
        <v>2.2999999999999998</v>
      </c>
      <c r="R5349" s="11"/>
      <c r="S5349" s="11"/>
      <c r="T5349" s="11"/>
      <c r="U5349" s="11">
        <f t="shared" si="1731"/>
        <v>2.2999999999999998</v>
      </c>
      <c r="W5349">
        <v>2.5</v>
      </c>
      <c r="X5349" s="1" t="s">
        <v>30</v>
      </c>
    </row>
    <row r="5350" spans="1:24" x14ac:dyDescent="0.25">
      <c r="A5350" s="1" t="str">
        <f t="shared" si="1732"/>
        <v>卡卡杜-凤凰仓</v>
      </c>
      <c r="B5350" s="1" t="str">
        <f>"CK2024101919647"</f>
        <v>CK2024101919647</v>
      </c>
      <c r="C5350" s="1" t="str">
        <f>"DD2024101930406"</f>
        <v>DD2024101930406</v>
      </c>
      <c r="D5350" s="1" t="str">
        <f>"CK2024101920777"</f>
        <v>CK2024101920777</v>
      </c>
      <c r="E5350" s="1" t="str">
        <f>"3723404033579681024"</f>
        <v>3723404033579681024</v>
      </c>
      <c r="F5350" s="1" t="str">
        <f t="shared" si="1733"/>
        <v>花都四部-凤凰仓</v>
      </c>
      <c r="G5350" s="1" t="str">
        <f t="shared" si="1742"/>
        <v>卡卡杜企业店（视频号）</v>
      </c>
      <c r="H5350" s="1" t="str">
        <f t="shared" si="1735"/>
        <v>正常订单</v>
      </c>
      <c r="I5350" s="1" t="str">
        <f t="shared" si="1736"/>
        <v>已发货</v>
      </c>
      <c r="J5350" s="1" t="str">
        <f t="shared" si="1747"/>
        <v>3</v>
      </c>
      <c r="K5350" s="1">
        <v>3</v>
      </c>
      <c r="L5350" s="1" t="s">
        <v>182</v>
      </c>
      <c r="M5350" s="1" t="str">
        <f>"新疆维吾尔自治区 伊犁哈萨克自治州 奎屯市 "</f>
        <v xml:space="preserve">新疆维吾尔自治区 伊犁哈萨克自治州 奎屯市 </v>
      </c>
      <c r="N5350" s="1" t="str">
        <f t="shared" si="1744"/>
        <v>凡华云仓-城南圆通-微信视频号</v>
      </c>
      <c r="O5350" s="5" t="s">
        <v>5363</v>
      </c>
      <c r="P5350" s="6">
        <v>0.34</v>
      </c>
      <c r="Q5350" s="11">
        <v>17</v>
      </c>
      <c r="R5350" s="11"/>
      <c r="S5350" s="11"/>
      <c r="T5350" s="11"/>
      <c r="U5350" s="11">
        <f t="shared" si="1731"/>
        <v>17</v>
      </c>
      <c r="W5350">
        <v>17</v>
      </c>
      <c r="X5350" s="1" t="s">
        <v>182</v>
      </c>
    </row>
    <row r="5351" spans="1:24" x14ac:dyDescent="0.25">
      <c r="A5351" s="1" t="str">
        <f t="shared" si="1732"/>
        <v>卡卡杜-凤凰仓</v>
      </c>
      <c r="B5351" s="1" t="str">
        <f>"CK2024101919928"</f>
        <v>CK2024101919928</v>
      </c>
      <c r="C5351" s="1" t="str">
        <f>"DD2024101930733"</f>
        <v>DD2024101930733</v>
      </c>
      <c r="D5351" s="1" t="str">
        <f>"CK2024101920776"</f>
        <v>CK2024101920776</v>
      </c>
      <c r="E5351" s="1" t="str">
        <f>"3723403982305366016"</f>
        <v>3723403982305366016</v>
      </c>
      <c r="F5351" s="1" t="str">
        <f t="shared" si="1733"/>
        <v>花都四部-凤凰仓</v>
      </c>
      <c r="G5351" s="1" t="str">
        <f t="shared" si="1742"/>
        <v>卡卡杜企业店（视频号）</v>
      </c>
      <c r="H5351" s="1" t="str">
        <f t="shared" si="1735"/>
        <v>正常订单</v>
      </c>
      <c r="I5351" s="1" t="str">
        <f t="shared" si="1736"/>
        <v>已发货</v>
      </c>
      <c r="J5351" s="1" t="str">
        <f t="shared" ref="J5351:J5355" si="1748">"2"</f>
        <v>2</v>
      </c>
      <c r="K5351" s="1">
        <v>2</v>
      </c>
      <c r="L5351" s="1" t="s">
        <v>105</v>
      </c>
      <c r="M5351" s="1" t="str">
        <f>"北京 北京市 朝阳区 "</f>
        <v xml:space="preserve">北京 北京市 朝阳区 </v>
      </c>
      <c r="N5351" s="1" t="str">
        <f t="shared" si="1744"/>
        <v>凡华云仓-城南圆通-微信视频号</v>
      </c>
      <c r="O5351" s="5" t="s">
        <v>5364</v>
      </c>
      <c r="P5351" s="6">
        <v>0.17</v>
      </c>
      <c r="Q5351" s="11">
        <v>2</v>
      </c>
      <c r="R5351" s="11"/>
      <c r="S5351" s="11"/>
      <c r="T5351" s="11"/>
      <c r="U5351" s="11">
        <f t="shared" si="1731"/>
        <v>2</v>
      </c>
      <c r="W5351">
        <v>2.2000000000000002</v>
      </c>
      <c r="X5351" s="1" t="s">
        <v>105</v>
      </c>
    </row>
    <row r="5352" spans="1:24" x14ac:dyDescent="0.25">
      <c r="A5352" s="1" t="str">
        <f t="shared" si="1732"/>
        <v>卡卡杜-凤凰仓</v>
      </c>
      <c r="B5352" s="1" t="str">
        <f>"CK2024101919638"</f>
        <v>CK2024101919638</v>
      </c>
      <c r="C5352" s="1" t="str">
        <f>"DD2024101930397"</f>
        <v>DD2024101930397</v>
      </c>
      <c r="D5352" s="1" t="str">
        <f>"CK2024101920775"</f>
        <v>CK2024101920775</v>
      </c>
      <c r="E5352" s="1" t="str">
        <f>"3723403963957120000"</f>
        <v>3723403963957120000</v>
      </c>
      <c r="F5352" s="1" t="str">
        <f t="shared" si="1733"/>
        <v>花都四部-凤凰仓</v>
      </c>
      <c r="G5352" s="1" t="str">
        <f t="shared" si="1742"/>
        <v>卡卡杜企业店（视频号）</v>
      </c>
      <c r="H5352" s="1" t="str">
        <f t="shared" si="1735"/>
        <v>正常订单</v>
      </c>
      <c r="I5352" s="1" t="str">
        <f t="shared" si="1736"/>
        <v>已发货</v>
      </c>
      <c r="J5352" s="1" t="str">
        <f t="shared" ref="J5352:J5356" si="1749">"3"</f>
        <v>3</v>
      </c>
      <c r="K5352" s="1">
        <v>2</v>
      </c>
      <c r="L5352" s="1" t="s">
        <v>182</v>
      </c>
      <c r="M5352" s="1" t="str">
        <f>"新疆维吾尔自治区 乌鲁木齐市 新市区 "</f>
        <v xml:space="preserve">新疆维吾尔自治区 乌鲁木齐市 新市区 </v>
      </c>
      <c r="N5352" s="1" t="str">
        <f t="shared" si="1744"/>
        <v>凡华云仓-城南圆通-微信视频号</v>
      </c>
      <c r="O5352" s="5" t="s">
        <v>5365</v>
      </c>
      <c r="P5352" s="6">
        <v>0.24</v>
      </c>
      <c r="Q5352" s="11">
        <v>17</v>
      </c>
      <c r="R5352" s="11"/>
      <c r="S5352" s="11"/>
      <c r="T5352" s="11"/>
      <c r="U5352" s="11">
        <f t="shared" si="1731"/>
        <v>17</v>
      </c>
      <c r="W5352">
        <v>17</v>
      </c>
      <c r="X5352" s="1" t="s">
        <v>182</v>
      </c>
    </row>
    <row r="5353" spans="1:24" x14ac:dyDescent="0.25">
      <c r="A5353" s="1" t="str">
        <f t="shared" si="1732"/>
        <v>卡卡杜-凤凰仓</v>
      </c>
      <c r="B5353" s="1" t="str">
        <f>"CK2024101919637"</f>
        <v>CK2024101919637</v>
      </c>
      <c r="C5353" s="1" t="str">
        <f>"DD2024101930396"</f>
        <v>DD2024101930396</v>
      </c>
      <c r="D5353" s="1" t="str">
        <f>"CK2024101920774"</f>
        <v>CK2024101920774</v>
      </c>
      <c r="E5353" s="1" t="str">
        <f>"3723403957348732928"</f>
        <v>3723403957348732928</v>
      </c>
      <c r="F5353" s="1" t="str">
        <f t="shared" si="1733"/>
        <v>花都四部-凤凰仓</v>
      </c>
      <c r="G5353" s="1" t="str">
        <f t="shared" si="1742"/>
        <v>卡卡杜企业店（视频号）</v>
      </c>
      <c r="H5353" s="1" t="str">
        <f t="shared" si="1735"/>
        <v>正常订单</v>
      </c>
      <c r="I5353" s="1" t="str">
        <f t="shared" si="1736"/>
        <v>已发货</v>
      </c>
      <c r="J5353" s="1" t="str">
        <f t="shared" si="1749"/>
        <v>3</v>
      </c>
      <c r="K5353" s="1">
        <v>2</v>
      </c>
      <c r="L5353" s="1" t="s">
        <v>218</v>
      </c>
      <c r="M5353" s="1" t="str">
        <f>"天津 天津市 河西区 "</f>
        <v xml:space="preserve">天津 天津市 河西区 </v>
      </c>
      <c r="N5353" s="1" t="str">
        <f t="shared" si="1744"/>
        <v>凡华云仓-城南圆通-微信视频号</v>
      </c>
      <c r="O5353" s="5" t="s">
        <v>5366</v>
      </c>
      <c r="P5353" s="6">
        <v>0.24</v>
      </c>
      <c r="Q5353" s="11">
        <v>2</v>
      </c>
      <c r="R5353" s="11"/>
      <c r="S5353" s="11"/>
      <c r="T5353" s="11"/>
      <c r="U5353" s="11">
        <f t="shared" si="1731"/>
        <v>2</v>
      </c>
      <c r="W5353">
        <v>2.2000000000000002</v>
      </c>
      <c r="X5353" s="1" t="s">
        <v>218</v>
      </c>
    </row>
    <row r="5354" spans="1:24" x14ac:dyDescent="0.25">
      <c r="A5354" s="1" t="str">
        <f t="shared" si="1732"/>
        <v>卡卡杜-凤凰仓</v>
      </c>
      <c r="B5354" s="1" t="str">
        <f>"CK2024101919639"</f>
        <v>CK2024101919639</v>
      </c>
      <c r="C5354" s="1" t="str">
        <f>"DD2024101930398"</f>
        <v>DD2024101930398</v>
      </c>
      <c r="D5354" s="1" t="str">
        <f>"CK2024101920773"</f>
        <v>CK2024101920773</v>
      </c>
      <c r="E5354" s="1" t="str">
        <f>"3723403959593472000"</f>
        <v>3723403959593472000</v>
      </c>
      <c r="F5354" s="1" t="str">
        <f t="shared" si="1733"/>
        <v>花都四部-凤凰仓</v>
      </c>
      <c r="G5354" s="1" t="str">
        <f t="shared" si="1742"/>
        <v>卡卡杜企业店（视频号）</v>
      </c>
      <c r="H5354" s="1" t="str">
        <f t="shared" si="1735"/>
        <v>正常订单</v>
      </c>
      <c r="I5354" s="1" t="str">
        <f t="shared" si="1736"/>
        <v>已发货</v>
      </c>
      <c r="J5354" s="1" t="str">
        <f t="shared" si="1748"/>
        <v>2</v>
      </c>
      <c r="K5354" s="1">
        <v>2</v>
      </c>
      <c r="L5354" s="1" t="s">
        <v>105</v>
      </c>
      <c r="M5354" s="1" t="str">
        <f>"北京 北京市 朝阳区 "</f>
        <v xml:space="preserve">北京 北京市 朝阳区 </v>
      </c>
      <c r="N5354" s="1" t="str">
        <f t="shared" si="1744"/>
        <v>凡华云仓-城南圆通-微信视频号</v>
      </c>
      <c r="O5354" s="5" t="s">
        <v>5367</v>
      </c>
      <c r="P5354" s="6">
        <v>0.17</v>
      </c>
      <c r="Q5354" s="11">
        <v>2</v>
      </c>
      <c r="R5354" s="11"/>
      <c r="S5354" s="11"/>
      <c r="T5354" s="11"/>
      <c r="U5354" s="11">
        <f t="shared" si="1731"/>
        <v>2</v>
      </c>
      <c r="W5354">
        <v>2.2000000000000002</v>
      </c>
      <c r="X5354" s="1" t="s">
        <v>105</v>
      </c>
    </row>
    <row r="5355" spans="1:24" x14ac:dyDescent="0.25">
      <c r="A5355" s="1" t="str">
        <f t="shared" si="1732"/>
        <v>卡卡杜-凤凰仓</v>
      </c>
      <c r="B5355" s="1" t="str">
        <f>"CK2024101919640"</f>
        <v>CK2024101919640</v>
      </c>
      <c r="C5355" s="1" t="str">
        <f>"DD2024101930399"</f>
        <v>DD2024101930399</v>
      </c>
      <c r="D5355" s="1" t="str">
        <f>"CK2024101920772"</f>
        <v>CK2024101920772</v>
      </c>
      <c r="E5355" s="1" t="str">
        <f>"3723403937433912576"</f>
        <v>3723403937433912576</v>
      </c>
      <c r="F5355" s="1" t="str">
        <f t="shared" si="1733"/>
        <v>花都四部-凤凰仓</v>
      </c>
      <c r="G5355" s="1" t="str">
        <f t="shared" si="1742"/>
        <v>卡卡杜企业店（视频号）</v>
      </c>
      <c r="H5355" s="1" t="str">
        <f t="shared" si="1735"/>
        <v>正常订单</v>
      </c>
      <c r="I5355" s="1" t="str">
        <f t="shared" si="1736"/>
        <v>已发货</v>
      </c>
      <c r="J5355" s="1" t="str">
        <f t="shared" si="1748"/>
        <v>2</v>
      </c>
      <c r="K5355" s="1">
        <v>2</v>
      </c>
      <c r="L5355" s="1" t="s">
        <v>105</v>
      </c>
      <c r="M5355" s="1" t="str">
        <f>"北京 北京市 海淀区 "</f>
        <v xml:space="preserve">北京 北京市 海淀区 </v>
      </c>
      <c r="N5355" s="1" t="str">
        <f t="shared" si="1744"/>
        <v>凡华云仓-城南圆通-微信视频号</v>
      </c>
      <c r="O5355" s="5" t="s">
        <v>5368</v>
      </c>
      <c r="P5355" s="6">
        <v>0.17</v>
      </c>
      <c r="Q5355" s="11">
        <v>2</v>
      </c>
      <c r="R5355" s="11"/>
      <c r="S5355" s="11"/>
      <c r="T5355" s="11"/>
      <c r="U5355" s="11">
        <f t="shared" si="1731"/>
        <v>2</v>
      </c>
      <c r="W5355">
        <v>2.2000000000000002</v>
      </c>
      <c r="X5355" s="1" t="s">
        <v>105</v>
      </c>
    </row>
    <row r="5356" spans="1:24" x14ac:dyDescent="0.25">
      <c r="A5356" s="1" t="str">
        <f t="shared" si="1732"/>
        <v>卡卡杜-凤凰仓</v>
      </c>
      <c r="B5356" s="1" t="str">
        <f>"CK2024101919641"</f>
        <v>CK2024101919641</v>
      </c>
      <c r="C5356" s="1" t="str">
        <f>"DD2024101930400"</f>
        <v>DD2024101930400</v>
      </c>
      <c r="D5356" s="1" t="str">
        <f>"CK2024101920771"</f>
        <v>CK2024101920771</v>
      </c>
      <c r="E5356" s="1" t="str">
        <f>"3723403955843502080"</f>
        <v>3723403955843502080</v>
      </c>
      <c r="F5356" s="1" t="str">
        <f t="shared" si="1733"/>
        <v>花都四部-凤凰仓</v>
      </c>
      <c r="G5356" s="1" t="str">
        <f t="shared" si="1742"/>
        <v>卡卡杜企业店（视频号）</v>
      </c>
      <c r="H5356" s="1" t="str">
        <f t="shared" si="1735"/>
        <v>正常订单</v>
      </c>
      <c r="I5356" s="1" t="str">
        <f t="shared" si="1736"/>
        <v>已发货</v>
      </c>
      <c r="J5356" s="1" t="str">
        <f t="shared" si="1749"/>
        <v>3</v>
      </c>
      <c r="K5356" s="1">
        <v>2</v>
      </c>
      <c r="L5356" s="1" t="s">
        <v>30</v>
      </c>
      <c r="M5356" s="1" t="str">
        <f>"山东省 临沂市 兰山区 "</f>
        <v xml:space="preserve">山东省 临沂市 兰山区 </v>
      </c>
      <c r="N5356" s="1" t="str">
        <f t="shared" si="1744"/>
        <v>凡华云仓-城南圆通-微信视频号</v>
      </c>
      <c r="O5356" s="5" t="s">
        <v>5369</v>
      </c>
      <c r="P5356" s="6">
        <v>0.24</v>
      </c>
      <c r="Q5356" s="11">
        <v>2</v>
      </c>
      <c r="R5356" s="11"/>
      <c r="S5356" s="11"/>
      <c r="T5356" s="11"/>
      <c r="U5356" s="11">
        <f t="shared" si="1731"/>
        <v>2</v>
      </c>
      <c r="W5356">
        <v>2.2000000000000002</v>
      </c>
      <c r="X5356" s="1" t="s">
        <v>30</v>
      </c>
    </row>
    <row r="5357" spans="1:24" x14ac:dyDescent="0.25">
      <c r="A5357" s="1" t="str">
        <f t="shared" si="1732"/>
        <v>卡卡杜-凤凰仓</v>
      </c>
      <c r="B5357" s="1" t="str">
        <f>"CK2024101919642"</f>
        <v>CK2024101919642</v>
      </c>
      <c r="C5357" s="1" t="str">
        <f>"DD2024101930401"</f>
        <v>DD2024101930401</v>
      </c>
      <c r="D5357" s="1" t="str">
        <f>"CK2024101920770"</f>
        <v>CK2024101920770</v>
      </c>
      <c r="E5357" s="1" t="str">
        <f>"3723403954367631360"</f>
        <v>3723403954367631360</v>
      </c>
      <c r="F5357" s="1" t="str">
        <f t="shared" si="1733"/>
        <v>花都四部-凤凰仓</v>
      </c>
      <c r="G5357" s="1" t="str">
        <f t="shared" si="1742"/>
        <v>卡卡杜企业店（视频号）</v>
      </c>
      <c r="H5357" s="1" t="str">
        <f t="shared" si="1735"/>
        <v>正常订单</v>
      </c>
      <c r="I5357" s="1" t="str">
        <f t="shared" si="1736"/>
        <v>已发货</v>
      </c>
      <c r="J5357" s="1" t="str">
        <f>"2"</f>
        <v>2</v>
      </c>
      <c r="K5357" s="1">
        <v>2</v>
      </c>
      <c r="L5357" s="1" t="s">
        <v>94</v>
      </c>
      <c r="M5357" s="1" t="str">
        <f>"湖南省 长沙市 岳麓区 "</f>
        <v xml:space="preserve">湖南省 长沙市 岳麓区 </v>
      </c>
      <c r="N5357" s="1" t="str">
        <f t="shared" si="1744"/>
        <v>凡华云仓-城南圆通-微信视频号</v>
      </c>
      <c r="O5357" s="5" t="s">
        <v>5370</v>
      </c>
      <c r="P5357" s="6">
        <v>0.17</v>
      </c>
      <c r="Q5357" s="11">
        <v>2</v>
      </c>
      <c r="R5357" s="11"/>
      <c r="S5357" s="11"/>
      <c r="T5357" s="11"/>
      <c r="U5357" s="11">
        <f t="shared" si="1731"/>
        <v>2</v>
      </c>
      <c r="W5357">
        <v>2.2000000000000002</v>
      </c>
      <c r="X5357" s="1" t="s">
        <v>94</v>
      </c>
    </row>
    <row r="5358" spans="1:24" x14ac:dyDescent="0.25">
      <c r="A5358" s="1" t="str">
        <f t="shared" si="1732"/>
        <v>卡卡杜-凤凰仓</v>
      </c>
      <c r="B5358" s="1" t="str">
        <f>"CK2024101919643"</f>
        <v>CK2024101919643</v>
      </c>
      <c r="C5358" s="1" t="str">
        <f>"DD2024101930402"</f>
        <v>DD2024101930402</v>
      </c>
      <c r="D5358" s="1" t="str">
        <f>"CK2024101920769"</f>
        <v>CK2024101920769</v>
      </c>
      <c r="E5358" s="1" t="str">
        <f>"3723403938805452800"</f>
        <v>3723403938805452800</v>
      </c>
      <c r="F5358" s="1" t="str">
        <f t="shared" si="1733"/>
        <v>花都四部-凤凰仓</v>
      </c>
      <c r="G5358" s="1" t="str">
        <f t="shared" si="1742"/>
        <v>卡卡杜企业店（视频号）</v>
      </c>
      <c r="H5358" s="1" t="str">
        <f t="shared" si="1735"/>
        <v>正常订单</v>
      </c>
      <c r="I5358" s="1" t="str">
        <f t="shared" si="1736"/>
        <v>已发货</v>
      </c>
      <c r="J5358" s="1" t="str">
        <f t="shared" ref="J5358:J5361" si="1750">"3"</f>
        <v>3</v>
      </c>
      <c r="K5358" s="1">
        <v>2</v>
      </c>
      <c r="L5358" s="1" t="s">
        <v>92</v>
      </c>
      <c r="M5358" s="1" t="str">
        <f>"辽宁省 大连市 沙河口区 "</f>
        <v xml:space="preserve">辽宁省 大连市 沙河口区 </v>
      </c>
      <c r="N5358" s="1" t="str">
        <f t="shared" si="1744"/>
        <v>凡华云仓-城南圆通-微信视频号</v>
      </c>
      <c r="O5358" s="5" t="s">
        <v>5371</v>
      </c>
      <c r="P5358" s="6">
        <v>0.24</v>
      </c>
      <c r="Q5358" s="11">
        <v>2</v>
      </c>
      <c r="R5358" s="11"/>
      <c r="S5358" s="11"/>
      <c r="T5358" s="11"/>
      <c r="U5358" s="11">
        <f t="shared" si="1731"/>
        <v>2</v>
      </c>
      <c r="W5358">
        <v>2.2000000000000002</v>
      </c>
      <c r="X5358" s="1" t="s">
        <v>92</v>
      </c>
    </row>
    <row r="5359" spans="1:24" x14ac:dyDescent="0.25">
      <c r="A5359" s="1" t="str">
        <f t="shared" si="1732"/>
        <v>卡卡杜-凤凰仓</v>
      </c>
      <c r="B5359" s="1" t="str">
        <f>"CK2024101919934"</f>
        <v>CK2024101919934</v>
      </c>
      <c r="C5359" s="1" t="str">
        <f>"DD2024101930738"</f>
        <v>DD2024101930738</v>
      </c>
      <c r="D5359" s="1" t="str">
        <f>"CK2024101920768"</f>
        <v>CK2024101920768</v>
      </c>
      <c r="E5359" s="1" t="str">
        <f>"3723403943681328384"</f>
        <v>3723403943681328384</v>
      </c>
      <c r="F5359" s="1" t="str">
        <f t="shared" si="1733"/>
        <v>花都四部-凤凰仓</v>
      </c>
      <c r="G5359" s="1" t="str">
        <f t="shared" si="1742"/>
        <v>卡卡杜企业店（视频号）</v>
      </c>
      <c r="H5359" s="1" t="str">
        <f t="shared" si="1735"/>
        <v>正常订单</v>
      </c>
      <c r="I5359" s="1" t="str">
        <f t="shared" si="1736"/>
        <v>已发货</v>
      </c>
      <c r="J5359" s="1" t="str">
        <f t="shared" si="1750"/>
        <v>3</v>
      </c>
      <c r="K5359" s="1">
        <v>2</v>
      </c>
      <c r="L5359" s="1" t="s">
        <v>92</v>
      </c>
      <c r="M5359" s="1" t="str">
        <f>"辽宁省 沈阳市 铁西区 "</f>
        <v xml:space="preserve">辽宁省 沈阳市 铁西区 </v>
      </c>
      <c r="N5359" s="1" t="str">
        <f t="shared" si="1744"/>
        <v>凡华云仓-城南圆通-微信视频号</v>
      </c>
      <c r="O5359" s="5" t="s">
        <v>5372</v>
      </c>
      <c r="P5359" s="6">
        <v>0.24</v>
      </c>
      <c r="Q5359" s="11">
        <v>2</v>
      </c>
      <c r="R5359" s="11"/>
      <c r="S5359" s="11"/>
      <c r="T5359" s="11"/>
      <c r="U5359" s="11">
        <f t="shared" si="1731"/>
        <v>2</v>
      </c>
      <c r="W5359">
        <v>2.2000000000000002</v>
      </c>
      <c r="X5359" s="1" t="s">
        <v>92</v>
      </c>
    </row>
    <row r="5360" spans="1:24" x14ac:dyDescent="0.25">
      <c r="A5360" s="1" t="str">
        <f t="shared" si="1732"/>
        <v>卡卡杜-凤凰仓</v>
      </c>
      <c r="B5360" s="1" t="str">
        <f>"CK2024101919645"</f>
        <v>CK2024101919645</v>
      </c>
      <c r="C5360" s="1" t="str">
        <f>"DD2024101930404"</f>
        <v>DD2024101930404</v>
      </c>
      <c r="D5360" s="1" t="str">
        <f>"CK2024101920767"</f>
        <v>CK2024101920767</v>
      </c>
      <c r="E5360" s="1" t="str">
        <f>"3723403938895893504"</f>
        <v>3723403938895893504</v>
      </c>
      <c r="F5360" s="1" t="str">
        <f t="shared" si="1733"/>
        <v>花都四部-凤凰仓</v>
      </c>
      <c r="G5360" s="1" t="str">
        <f t="shared" si="1742"/>
        <v>卡卡杜企业店（视频号）</v>
      </c>
      <c r="H5360" s="1" t="str">
        <f t="shared" si="1735"/>
        <v>正常订单</v>
      </c>
      <c r="I5360" s="1" t="str">
        <f t="shared" si="1736"/>
        <v>已发货</v>
      </c>
      <c r="J5360" s="1" t="str">
        <f t="shared" si="1750"/>
        <v>3</v>
      </c>
      <c r="K5360" s="1">
        <v>2</v>
      </c>
      <c r="L5360" s="1" t="s">
        <v>74</v>
      </c>
      <c r="M5360" s="1" t="str">
        <f>"上海 上海市 宝山区 "</f>
        <v xml:space="preserve">上海 上海市 宝山区 </v>
      </c>
      <c r="N5360" s="1" t="str">
        <f t="shared" si="1744"/>
        <v>凡华云仓-城南圆通-微信视频号</v>
      </c>
      <c r="O5360" s="5" t="s">
        <v>5373</v>
      </c>
      <c r="P5360" s="6">
        <v>0.24</v>
      </c>
      <c r="Q5360" s="11">
        <v>2</v>
      </c>
      <c r="R5360" s="11"/>
      <c r="S5360" s="11"/>
      <c r="T5360" s="11"/>
      <c r="U5360" s="11">
        <f t="shared" si="1731"/>
        <v>2</v>
      </c>
      <c r="W5360">
        <v>2.2000000000000002</v>
      </c>
      <c r="X5360" s="1" t="s">
        <v>74</v>
      </c>
    </row>
    <row r="5361" spans="1:24" x14ac:dyDescent="0.25">
      <c r="A5361" s="1" t="str">
        <f t="shared" si="1732"/>
        <v>卡卡杜-凤凰仓</v>
      </c>
      <c r="B5361" s="1" t="str">
        <f>"CK2024101919646"</f>
        <v>CK2024101919646</v>
      </c>
      <c r="C5361" s="1" t="str">
        <f>"DD2024101930405"</f>
        <v>DD2024101930405</v>
      </c>
      <c r="D5361" s="1" t="str">
        <f>"CK2024101920766"</f>
        <v>CK2024101920766</v>
      </c>
      <c r="E5361" s="1" t="str">
        <f>"3723403935037920256"</f>
        <v>3723403935037920256</v>
      </c>
      <c r="F5361" s="1" t="str">
        <f t="shared" si="1733"/>
        <v>花都四部-凤凰仓</v>
      </c>
      <c r="G5361" s="1" t="str">
        <f t="shared" si="1742"/>
        <v>卡卡杜企业店（视频号）</v>
      </c>
      <c r="H5361" s="1" t="str">
        <f t="shared" si="1735"/>
        <v>正常订单</v>
      </c>
      <c r="I5361" s="1" t="str">
        <f t="shared" si="1736"/>
        <v>已发货</v>
      </c>
      <c r="J5361" s="1" t="str">
        <f t="shared" si="1750"/>
        <v>3</v>
      </c>
      <c r="K5361" s="1">
        <v>2</v>
      </c>
      <c r="L5361" s="1" t="s">
        <v>74</v>
      </c>
      <c r="M5361" s="1" t="str">
        <f>"上海 上海市 松江区 "</f>
        <v xml:space="preserve">上海 上海市 松江区 </v>
      </c>
      <c r="N5361" s="1" t="str">
        <f t="shared" si="1744"/>
        <v>凡华云仓-城南圆通-微信视频号</v>
      </c>
      <c r="O5361" s="5" t="s">
        <v>5374</v>
      </c>
      <c r="P5361" s="6">
        <v>0.24</v>
      </c>
      <c r="Q5361" s="11">
        <v>2</v>
      </c>
      <c r="R5361" s="11"/>
      <c r="S5361" s="11"/>
      <c r="T5361" s="11"/>
      <c r="U5361" s="11">
        <f t="shared" si="1731"/>
        <v>2</v>
      </c>
      <c r="W5361">
        <v>2.2000000000000002</v>
      </c>
      <c r="X5361" s="1" t="s">
        <v>74</v>
      </c>
    </row>
    <row r="5362" spans="1:24" x14ac:dyDescent="0.25">
      <c r="A5362" s="1" t="str">
        <f t="shared" si="1732"/>
        <v>卡卡杜-凤凰仓</v>
      </c>
      <c r="B5362" s="1" t="str">
        <f>"CK2024101919933"</f>
        <v>CK2024101919933</v>
      </c>
      <c r="C5362" s="1" t="str">
        <f>"DD2024101930731"</f>
        <v>DD2024101930731</v>
      </c>
      <c r="D5362" s="1" t="str">
        <f>"CK2024101920765"</f>
        <v>CK2024101920765</v>
      </c>
      <c r="E5362" s="1" t="str">
        <f>"3723403934212427776"</f>
        <v>3723403934212427776</v>
      </c>
      <c r="F5362" s="1" t="str">
        <f t="shared" si="1733"/>
        <v>花都四部-凤凰仓</v>
      </c>
      <c r="G5362" s="1" t="str">
        <f t="shared" si="1742"/>
        <v>卡卡杜企业店（视频号）</v>
      </c>
      <c r="H5362" s="1" t="str">
        <f t="shared" si="1735"/>
        <v>正常订单</v>
      </c>
      <c r="I5362" s="1" t="str">
        <f t="shared" si="1736"/>
        <v>已发货</v>
      </c>
      <c r="J5362" s="1" t="str">
        <f t="shared" ref="J5362:J5366" si="1751">"2"</f>
        <v>2</v>
      </c>
      <c r="K5362" s="1">
        <v>2</v>
      </c>
      <c r="L5362" s="1" t="s">
        <v>182</v>
      </c>
      <c r="M5362" s="1" t="str">
        <f>"新疆维吾尔自治区 伊犁哈萨克自治州 奎屯市 "</f>
        <v xml:space="preserve">新疆维吾尔自治区 伊犁哈萨克自治州 奎屯市 </v>
      </c>
      <c r="N5362" s="1" t="str">
        <f t="shared" si="1744"/>
        <v>凡华云仓-城南圆通-微信视频号</v>
      </c>
      <c r="O5362" s="5" t="s">
        <v>5375</v>
      </c>
      <c r="P5362" s="6">
        <v>0.17</v>
      </c>
      <c r="Q5362" s="11">
        <v>17</v>
      </c>
      <c r="R5362" s="11"/>
      <c r="S5362" s="11"/>
      <c r="T5362" s="11"/>
      <c r="U5362" s="11">
        <f t="shared" si="1731"/>
        <v>17</v>
      </c>
      <c r="W5362">
        <v>17</v>
      </c>
      <c r="X5362" s="1" t="s">
        <v>182</v>
      </c>
    </row>
    <row r="5363" spans="1:24" x14ac:dyDescent="0.25">
      <c r="A5363" s="1" t="str">
        <f t="shared" si="1732"/>
        <v>卡卡杜-凤凰仓</v>
      </c>
      <c r="B5363" s="1" t="str">
        <f>"CK2024101919648"</f>
        <v>CK2024101919648</v>
      </c>
      <c r="C5363" s="1" t="str">
        <f>"DD2024101930407"</f>
        <v>DD2024101930407</v>
      </c>
      <c r="D5363" s="1" t="str">
        <f>"CK2024101920764"</f>
        <v>CK2024101920764</v>
      </c>
      <c r="E5363" s="1" t="str">
        <f>"3723403932861861888"</f>
        <v>3723403932861861888</v>
      </c>
      <c r="F5363" s="1" t="str">
        <f t="shared" si="1733"/>
        <v>花都四部-凤凰仓</v>
      </c>
      <c r="G5363" s="1" t="str">
        <f t="shared" si="1742"/>
        <v>卡卡杜企业店（视频号）</v>
      </c>
      <c r="H5363" s="1" t="str">
        <f t="shared" si="1735"/>
        <v>正常订单</v>
      </c>
      <c r="I5363" s="1" t="str">
        <f t="shared" si="1736"/>
        <v>已发货</v>
      </c>
      <c r="J5363" s="1" t="str">
        <f t="shared" si="1751"/>
        <v>2</v>
      </c>
      <c r="K5363" s="1">
        <v>2</v>
      </c>
      <c r="L5363" s="1" t="s">
        <v>24</v>
      </c>
      <c r="M5363" s="1" t="str">
        <f>"福建省 厦门市 湖里区 "</f>
        <v xml:space="preserve">福建省 厦门市 湖里区 </v>
      </c>
      <c r="N5363" s="1" t="str">
        <f t="shared" si="1744"/>
        <v>凡华云仓-城南圆通-微信视频号</v>
      </c>
      <c r="O5363" s="5" t="s">
        <v>5376</v>
      </c>
      <c r="P5363" s="6">
        <v>0.17</v>
      </c>
      <c r="Q5363" s="11">
        <v>2</v>
      </c>
      <c r="R5363" s="11"/>
      <c r="S5363" s="11"/>
      <c r="T5363" s="11"/>
      <c r="U5363" s="11">
        <f t="shared" si="1731"/>
        <v>2</v>
      </c>
      <c r="W5363">
        <v>2.2000000000000002</v>
      </c>
      <c r="X5363" s="1" t="s">
        <v>24</v>
      </c>
    </row>
    <row r="5364" spans="1:24" x14ac:dyDescent="0.25">
      <c r="A5364" s="1" t="str">
        <f t="shared" si="1732"/>
        <v>卡卡杜-凤凰仓</v>
      </c>
      <c r="B5364" s="1" t="str">
        <f>"CK2024101919649"</f>
        <v>CK2024101919649</v>
      </c>
      <c r="C5364" s="1" t="str">
        <f>"DD2024101930408"</f>
        <v>DD2024101930408</v>
      </c>
      <c r="D5364" s="1" t="str">
        <f>"CK2024101920763"</f>
        <v>CK2024101920763</v>
      </c>
      <c r="E5364" s="1" t="str">
        <f>"3723403928769529345"</f>
        <v>3723403928769529345</v>
      </c>
      <c r="F5364" s="1" t="str">
        <f t="shared" si="1733"/>
        <v>花都四部-凤凰仓</v>
      </c>
      <c r="G5364" s="1" t="str">
        <f t="shared" si="1742"/>
        <v>卡卡杜企业店（视频号）</v>
      </c>
      <c r="H5364" s="1" t="str">
        <f t="shared" si="1735"/>
        <v>正常订单</v>
      </c>
      <c r="I5364" s="1" t="str">
        <f t="shared" si="1736"/>
        <v>已发货</v>
      </c>
      <c r="J5364" s="1" t="str">
        <f t="shared" ref="J5364:J5367" si="1752">"3"</f>
        <v>3</v>
      </c>
      <c r="K5364" s="1">
        <v>2</v>
      </c>
      <c r="L5364" s="1" t="s">
        <v>54</v>
      </c>
      <c r="M5364" s="1" t="str">
        <f>"黑龙江省 大庆市 大庆高新技术产业开发区 "</f>
        <v xml:space="preserve">黑龙江省 大庆市 大庆高新技术产业开发区 </v>
      </c>
      <c r="N5364" s="1" t="str">
        <f t="shared" si="1744"/>
        <v>凡华云仓-城南圆通-微信视频号</v>
      </c>
      <c r="O5364" s="5" t="s">
        <v>5377</v>
      </c>
      <c r="P5364" s="6">
        <v>0.24</v>
      </c>
      <c r="Q5364" s="11">
        <v>2</v>
      </c>
      <c r="R5364" s="11"/>
      <c r="S5364" s="11"/>
      <c r="T5364" s="11"/>
      <c r="U5364" s="11">
        <f t="shared" si="1731"/>
        <v>2</v>
      </c>
      <c r="W5364">
        <v>2.2000000000000002</v>
      </c>
      <c r="X5364" s="1" t="s">
        <v>54</v>
      </c>
    </row>
    <row r="5365" spans="1:24" x14ac:dyDescent="0.25">
      <c r="A5365" s="1" t="str">
        <f t="shared" si="1732"/>
        <v>卡卡杜-凤凰仓</v>
      </c>
      <c r="B5365" s="1" t="str">
        <f>"CK2024101919650"</f>
        <v>CK2024101919650</v>
      </c>
      <c r="C5365" s="1" t="str">
        <f>"DD2024101930409"</f>
        <v>DD2024101930409</v>
      </c>
      <c r="D5365" s="1" t="str">
        <f>"CK2024101920762"</f>
        <v>CK2024101920762</v>
      </c>
      <c r="E5365" s="1" t="str">
        <f>"3723403926559130880"</f>
        <v>3723403926559130880</v>
      </c>
      <c r="F5365" s="1" t="str">
        <f t="shared" si="1733"/>
        <v>花都四部-凤凰仓</v>
      </c>
      <c r="G5365" s="1" t="str">
        <f t="shared" si="1742"/>
        <v>卡卡杜企业店（视频号）</v>
      </c>
      <c r="H5365" s="1" t="str">
        <f t="shared" si="1735"/>
        <v>正常订单</v>
      </c>
      <c r="I5365" s="1" t="str">
        <f t="shared" si="1736"/>
        <v>已发货</v>
      </c>
      <c r="J5365" s="1" t="str">
        <f t="shared" si="1752"/>
        <v>3</v>
      </c>
      <c r="K5365" s="1">
        <v>2</v>
      </c>
      <c r="L5365" s="1" t="s">
        <v>96</v>
      </c>
      <c r="M5365" s="1" t="str">
        <f>"广西壮族自治区 南宁市 青秀区 "</f>
        <v xml:space="preserve">广西壮族自治区 南宁市 青秀区 </v>
      </c>
      <c r="N5365" s="1" t="str">
        <f t="shared" si="1744"/>
        <v>凡华云仓-城南圆通-微信视频号</v>
      </c>
      <c r="O5365" s="5" t="s">
        <v>5378</v>
      </c>
      <c r="P5365" s="6">
        <v>0.24</v>
      </c>
      <c r="Q5365" s="11">
        <v>2</v>
      </c>
      <c r="R5365" s="11"/>
      <c r="S5365" s="11"/>
      <c r="T5365" s="11"/>
      <c r="U5365" s="11">
        <f t="shared" si="1731"/>
        <v>2</v>
      </c>
      <c r="W5365">
        <v>2.2000000000000002</v>
      </c>
      <c r="X5365" s="1" t="s">
        <v>96</v>
      </c>
    </row>
    <row r="5366" spans="1:24" x14ac:dyDescent="0.25">
      <c r="A5366" s="1" t="str">
        <f t="shared" si="1732"/>
        <v>卡卡杜-凤凰仓</v>
      </c>
      <c r="B5366" s="1" t="str">
        <f>"CK2024101919651"</f>
        <v>CK2024101919651</v>
      </c>
      <c r="C5366" s="1" t="str">
        <f>"DD2024101930411"</f>
        <v>DD2024101930411</v>
      </c>
      <c r="D5366" s="1" t="str">
        <f>"CK2024101920761"</f>
        <v>CK2024101920761</v>
      </c>
      <c r="E5366" s="1" t="str">
        <f>"3723403916224106496"</f>
        <v>3723403916224106496</v>
      </c>
      <c r="F5366" s="1" t="str">
        <f t="shared" si="1733"/>
        <v>花都四部-凤凰仓</v>
      </c>
      <c r="G5366" s="1" t="str">
        <f t="shared" si="1742"/>
        <v>卡卡杜企业店（视频号）</v>
      </c>
      <c r="H5366" s="1" t="str">
        <f t="shared" si="1735"/>
        <v>正常订单</v>
      </c>
      <c r="I5366" s="1" t="str">
        <f t="shared" si="1736"/>
        <v>已发货</v>
      </c>
      <c r="J5366" s="1" t="str">
        <f t="shared" si="1751"/>
        <v>2</v>
      </c>
      <c r="K5366" s="1">
        <v>2</v>
      </c>
      <c r="L5366" s="1" t="s">
        <v>105</v>
      </c>
      <c r="M5366" s="1" t="str">
        <f>"北京 北京市 海淀区 "</f>
        <v xml:space="preserve">北京 北京市 海淀区 </v>
      </c>
      <c r="N5366" s="1" t="str">
        <f t="shared" si="1744"/>
        <v>凡华云仓-城南圆通-微信视频号</v>
      </c>
      <c r="O5366" s="5" t="s">
        <v>5379</v>
      </c>
      <c r="P5366" s="6">
        <v>0.17</v>
      </c>
      <c r="Q5366" s="11">
        <v>2</v>
      </c>
      <c r="R5366" s="11"/>
      <c r="S5366" s="11"/>
      <c r="T5366" s="11"/>
      <c r="U5366" s="11">
        <f t="shared" si="1731"/>
        <v>2</v>
      </c>
      <c r="W5366">
        <v>2.2000000000000002</v>
      </c>
      <c r="X5366" s="1" t="s">
        <v>105</v>
      </c>
    </row>
    <row r="5367" spans="1:24" x14ac:dyDescent="0.25">
      <c r="A5367" s="1" t="str">
        <f t="shared" si="1732"/>
        <v>卡卡杜-凤凰仓</v>
      </c>
      <c r="B5367" s="1" t="str">
        <f>"CK2024101919935"</f>
        <v>CK2024101919935</v>
      </c>
      <c r="C5367" s="1" t="str">
        <f>"DD2024101930737"</f>
        <v>DD2024101930737</v>
      </c>
      <c r="D5367" s="1" t="str">
        <f>"CK2024101920760"</f>
        <v>CK2024101920760</v>
      </c>
      <c r="E5367" s="1" t="str">
        <f>"3723403914323559936"</f>
        <v>3723403914323559936</v>
      </c>
      <c r="F5367" s="1" t="str">
        <f t="shared" si="1733"/>
        <v>花都四部-凤凰仓</v>
      </c>
      <c r="G5367" s="1" t="str">
        <f t="shared" si="1742"/>
        <v>卡卡杜企业店（视频号）</v>
      </c>
      <c r="H5367" s="1" t="str">
        <f t="shared" si="1735"/>
        <v>正常订单</v>
      </c>
      <c r="I5367" s="1" t="str">
        <f t="shared" si="1736"/>
        <v>已发货</v>
      </c>
      <c r="J5367" s="1" t="str">
        <f t="shared" si="1752"/>
        <v>3</v>
      </c>
      <c r="K5367" s="1">
        <v>2</v>
      </c>
      <c r="L5367" s="1" t="s">
        <v>161</v>
      </c>
      <c r="M5367" s="1" t="str">
        <f>"四川省 成都市 武侯区 "</f>
        <v xml:space="preserve">四川省 成都市 武侯区 </v>
      </c>
      <c r="N5367" s="1" t="str">
        <f t="shared" si="1744"/>
        <v>凡华云仓-城南圆通-微信视频号</v>
      </c>
      <c r="O5367" s="5" t="s">
        <v>5380</v>
      </c>
      <c r="P5367" s="6">
        <v>0.24</v>
      </c>
      <c r="Q5367" s="11">
        <v>2</v>
      </c>
      <c r="R5367" s="11"/>
      <c r="S5367" s="11"/>
      <c r="T5367" s="11"/>
      <c r="U5367" s="11">
        <f t="shared" si="1731"/>
        <v>2</v>
      </c>
      <c r="W5367">
        <v>2.2000000000000002</v>
      </c>
      <c r="X5367" s="1" t="s">
        <v>161</v>
      </c>
    </row>
    <row r="5368" spans="1:24" x14ac:dyDescent="0.25">
      <c r="A5368" s="1" t="str">
        <f t="shared" si="1732"/>
        <v>卡卡杜-凤凰仓</v>
      </c>
      <c r="B5368" s="1" t="str">
        <f>"CK2024101919653"</f>
        <v>CK2024101919653</v>
      </c>
      <c r="C5368" s="1" t="str">
        <f>"DD2024101930412"</f>
        <v>DD2024101930412</v>
      </c>
      <c r="D5368" s="1" t="str">
        <f>"CK2024101920759"</f>
        <v>CK2024101920759</v>
      </c>
      <c r="E5368" s="1" t="str">
        <f>"3723403901651783680"</f>
        <v>3723403901651783680</v>
      </c>
      <c r="F5368" s="1" t="str">
        <f t="shared" si="1733"/>
        <v>花都四部-凤凰仓</v>
      </c>
      <c r="G5368" s="1" t="str">
        <f t="shared" si="1742"/>
        <v>卡卡杜企业店（视频号）</v>
      </c>
      <c r="H5368" s="1" t="str">
        <f t="shared" si="1735"/>
        <v>正常订单</v>
      </c>
      <c r="I5368" s="1" t="str">
        <f t="shared" si="1736"/>
        <v>已发货</v>
      </c>
      <c r="J5368" s="1" t="str">
        <f t="shared" ref="J5368:J5373" si="1753">"2"</f>
        <v>2</v>
      </c>
      <c r="K5368" s="1">
        <v>2</v>
      </c>
      <c r="L5368" s="1" t="s">
        <v>92</v>
      </c>
      <c r="M5368" s="1" t="str">
        <f>"辽宁省 沈阳市 于洪区 "</f>
        <v xml:space="preserve">辽宁省 沈阳市 于洪区 </v>
      </c>
      <c r="N5368" s="1" t="str">
        <f t="shared" si="1744"/>
        <v>凡华云仓-城南圆通-微信视频号</v>
      </c>
      <c r="O5368" s="5" t="s">
        <v>5381</v>
      </c>
      <c r="P5368" s="6">
        <v>0.17</v>
      </c>
      <c r="Q5368" s="11">
        <v>2</v>
      </c>
      <c r="R5368" s="11"/>
      <c r="S5368" s="11"/>
      <c r="T5368" s="11"/>
      <c r="U5368" s="11">
        <f t="shared" si="1731"/>
        <v>2</v>
      </c>
      <c r="W5368">
        <v>2.2000000000000002</v>
      </c>
      <c r="X5368" s="1" t="s">
        <v>92</v>
      </c>
    </row>
    <row r="5369" spans="1:24" x14ac:dyDescent="0.25">
      <c r="A5369" s="1" t="str">
        <f t="shared" si="1732"/>
        <v>卡卡杜-凤凰仓</v>
      </c>
      <c r="B5369" s="1" t="str">
        <f>"CK2024101919654"</f>
        <v>CK2024101919654</v>
      </c>
      <c r="C5369" s="1" t="str">
        <f>"DD2024101930413"</f>
        <v>DD2024101930413</v>
      </c>
      <c r="D5369" s="1" t="str">
        <f>"CK2024101920758"</f>
        <v>CK2024101920758</v>
      </c>
      <c r="E5369" s="1" t="str">
        <f>"3723403850619946496"</f>
        <v>3723403850619946496</v>
      </c>
      <c r="F5369" s="1" t="str">
        <f t="shared" si="1733"/>
        <v>花都四部-凤凰仓</v>
      </c>
      <c r="G5369" s="1" t="str">
        <f t="shared" si="1742"/>
        <v>卡卡杜企业店（视频号）</v>
      </c>
      <c r="H5369" s="1" t="str">
        <f t="shared" si="1735"/>
        <v>正常订单</v>
      </c>
      <c r="I5369" s="1" t="str">
        <f t="shared" si="1736"/>
        <v>已发货</v>
      </c>
      <c r="J5369" s="1" t="str">
        <f t="shared" si="1753"/>
        <v>2</v>
      </c>
      <c r="K5369" s="1">
        <v>2</v>
      </c>
      <c r="L5369" s="1" t="s">
        <v>182</v>
      </c>
      <c r="M5369" s="1" t="str">
        <f>"新疆维吾尔自治区 巴音郭楞蒙古自治州 焉耆回族自治县 "</f>
        <v xml:space="preserve">新疆维吾尔自治区 巴音郭楞蒙古自治州 焉耆回族自治县 </v>
      </c>
      <c r="N5369" s="1" t="str">
        <f t="shared" si="1744"/>
        <v>凡华云仓-城南圆通-微信视频号</v>
      </c>
      <c r="O5369" s="5" t="s">
        <v>5382</v>
      </c>
      <c r="P5369" s="6">
        <v>0.17</v>
      </c>
      <c r="Q5369" s="11">
        <v>17</v>
      </c>
      <c r="R5369" s="11"/>
      <c r="S5369" s="11"/>
      <c r="T5369" s="11"/>
      <c r="U5369" s="11">
        <f t="shared" si="1731"/>
        <v>17</v>
      </c>
      <c r="W5369">
        <v>17</v>
      </c>
      <c r="X5369" s="1" t="s">
        <v>182</v>
      </c>
    </row>
    <row r="5370" spans="1:24" x14ac:dyDescent="0.25">
      <c r="A5370" s="1" t="str">
        <f t="shared" si="1732"/>
        <v>卡卡杜-凤凰仓</v>
      </c>
      <c r="B5370" s="1" t="str">
        <f>"CK2024101919936"</f>
        <v>CK2024101919936</v>
      </c>
      <c r="C5370" s="1" t="str">
        <f>"DD2024101930739"</f>
        <v>DD2024101930739</v>
      </c>
      <c r="D5370" s="1" t="str">
        <f>"CK2024101920757"</f>
        <v>CK2024101920757</v>
      </c>
      <c r="E5370" s="1" t="str">
        <f>"3723403843802107904"</f>
        <v>3723403843802107904</v>
      </c>
      <c r="F5370" s="1" t="str">
        <f t="shared" si="1733"/>
        <v>花都四部-凤凰仓</v>
      </c>
      <c r="G5370" s="1" t="str">
        <f t="shared" si="1742"/>
        <v>卡卡杜企业店（视频号）</v>
      </c>
      <c r="H5370" s="1" t="str">
        <f t="shared" si="1735"/>
        <v>正常订单</v>
      </c>
      <c r="I5370" s="1" t="str">
        <f t="shared" si="1736"/>
        <v>已发货</v>
      </c>
      <c r="J5370" s="1" t="str">
        <f t="shared" ref="J5370:J5376" si="1754">"3"</f>
        <v>3</v>
      </c>
      <c r="K5370" s="1">
        <v>2</v>
      </c>
      <c r="L5370" s="1" t="s">
        <v>32</v>
      </c>
      <c r="M5370" s="1" t="str">
        <f>"陕西省 西安市 长安区 "</f>
        <v xml:space="preserve">陕西省 西安市 长安区 </v>
      </c>
      <c r="N5370" s="1" t="str">
        <f t="shared" si="1744"/>
        <v>凡华云仓-城南圆通-微信视频号</v>
      </c>
      <c r="O5370" s="5" t="s">
        <v>5383</v>
      </c>
      <c r="P5370" s="6">
        <v>0.24</v>
      </c>
      <c r="Q5370" s="11">
        <v>2</v>
      </c>
      <c r="R5370" s="11"/>
      <c r="S5370" s="11"/>
      <c r="T5370" s="11"/>
      <c r="U5370" s="11">
        <f t="shared" si="1731"/>
        <v>2</v>
      </c>
      <c r="W5370">
        <v>2.2000000000000002</v>
      </c>
      <c r="X5370" s="1" t="s">
        <v>32</v>
      </c>
    </row>
    <row r="5371" spans="1:24" x14ac:dyDescent="0.25">
      <c r="A5371" s="1" t="str">
        <f t="shared" si="1732"/>
        <v>卡卡杜-凤凰仓</v>
      </c>
      <c r="B5371" s="1" t="str">
        <f>"CK2024101919656"</f>
        <v>CK2024101919656</v>
      </c>
      <c r="C5371" s="1" t="str">
        <f>"DD2024101930415"</f>
        <v>DD2024101930415</v>
      </c>
      <c r="D5371" s="1" t="str">
        <f>"CK2024101920756"</f>
        <v>CK2024101920756</v>
      </c>
      <c r="E5371" s="1" t="str">
        <f>"3723403832884593921"</f>
        <v>3723403832884593921</v>
      </c>
      <c r="F5371" s="1" t="str">
        <f t="shared" si="1733"/>
        <v>花都四部-凤凰仓</v>
      </c>
      <c r="G5371" s="1" t="str">
        <f t="shared" si="1742"/>
        <v>卡卡杜企业店（视频号）</v>
      </c>
      <c r="H5371" s="1" t="str">
        <f t="shared" si="1735"/>
        <v>正常订单</v>
      </c>
      <c r="I5371" s="1" t="str">
        <f t="shared" si="1736"/>
        <v>已发货</v>
      </c>
      <c r="J5371" s="1" t="str">
        <f t="shared" si="1754"/>
        <v>3</v>
      </c>
      <c r="K5371" s="1">
        <v>2</v>
      </c>
      <c r="L5371" s="1" t="s">
        <v>218</v>
      </c>
      <c r="M5371" s="1" t="str">
        <f>"天津 天津市 河西区 "</f>
        <v xml:space="preserve">天津 天津市 河西区 </v>
      </c>
      <c r="N5371" s="1" t="str">
        <f t="shared" si="1744"/>
        <v>凡华云仓-城南圆通-微信视频号</v>
      </c>
      <c r="O5371" s="5" t="s">
        <v>5384</v>
      </c>
      <c r="P5371" s="6">
        <v>0.24</v>
      </c>
      <c r="Q5371" s="11">
        <v>2</v>
      </c>
      <c r="R5371" s="11"/>
      <c r="S5371" s="11"/>
      <c r="T5371" s="11"/>
      <c r="U5371" s="11">
        <f t="shared" si="1731"/>
        <v>2</v>
      </c>
      <c r="W5371">
        <v>2.2000000000000002</v>
      </c>
      <c r="X5371" s="1" t="s">
        <v>218</v>
      </c>
    </row>
    <row r="5372" spans="1:24" x14ac:dyDescent="0.25">
      <c r="A5372" s="1" t="str">
        <f t="shared" si="1732"/>
        <v>卡卡杜-凤凰仓</v>
      </c>
      <c r="B5372" s="1" t="str">
        <f>"CK2024101919657"</f>
        <v>CK2024101919657</v>
      </c>
      <c r="C5372" s="1" t="str">
        <f>"DD2024101930416"</f>
        <v>DD2024101930416</v>
      </c>
      <c r="D5372" s="1" t="str">
        <f>"CK2024101920755"</f>
        <v>CK2024101920755</v>
      </c>
      <c r="E5372" s="1" t="str">
        <f>"3723403834820529152"</f>
        <v>3723403834820529152</v>
      </c>
      <c r="F5372" s="1" t="str">
        <f t="shared" si="1733"/>
        <v>花都四部-凤凰仓</v>
      </c>
      <c r="G5372" s="1" t="str">
        <f t="shared" si="1742"/>
        <v>卡卡杜企业店（视频号）</v>
      </c>
      <c r="H5372" s="1" t="str">
        <f t="shared" si="1735"/>
        <v>正常订单</v>
      </c>
      <c r="I5372" s="1" t="str">
        <f t="shared" si="1736"/>
        <v>已发货</v>
      </c>
      <c r="J5372" s="1" t="str">
        <f t="shared" si="1753"/>
        <v>2</v>
      </c>
      <c r="K5372" s="1">
        <v>2</v>
      </c>
      <c r="L5372" s="1" t="s">
        <v>44</v>
      </c>
      <c r="M5372" s="1" t="str">
        <f>"海南省 省直辖县级行政区划 五指山市 "</f>
        <v xml:space="preserve">海南省 省直辖县级行政区划 五指山市 </v>
      </c>
      <c r="N5372" s="1" t="str">
        <f t="shared" si="1744"/>
        <v>凡华云仓-城南圆通-微信视频号</v>
      </c>
      <c r="O5372" s="5" t="s">
        <v>5385</v>
      </c>
      <c r="P5372" s="6">
        <v>0.17</v>
      </c>
      <c r="Q5372" s="11">
        <v>2</v>
      </c>
      <c r="R5372" s="11"/>
      <c r="S5372" s="11"/>
      <c r="T5372" s="11"/>
      <c r="U5372" s="11">
        <f t="shared" si="1731"/>
        <v>2</v>
      </c>
      <c r="W5372">
        <v>2.2000000000000002</v>
      </c>
      <c r="X5372" s="1" t="s">
        <v>44</v>
      </c>
    </row>
    <row r="5373" spans="1:24" x14ac:dyDescent="0.25">
      <c r="A5373" s="1" t="str">
        <f t="shared" si="1732"/>
        <v>卡卡杜-凤凰仓</v>
      </c>
      <c r="B5373" s="1" t="str">
        <f>"CK2024101919658"</f>
        <v>CK2024101919658</v>
      </c>
      <c r="C5373" s="1" t="str">
        <f>"DD2024101930417"</f>
        <v>DD2024101930417</v>
      </c>
      <c r="D5373" s="1" t="str">
        <f>"CK2024101920754"</f>
        <v>CK2024101920754</v>
      </c>
      <c r="E5373" s="1" t="str">
        <f>"3723403824506213376"</f>
        <v>3723403824506213376</v>
      </c>
      <c r="F5373" s="1" t="str">
        <f t="shared" si="1733"/>
        <v>花都四部-凤凰仓</v>
      </c>
      <c r="G5373" s="1" t="str">
        <f t="shared" si="1742"/>
        <v>卡卡杜企业店（视频号）</v>
      </c>
      <c r="H5373" s="1" t="str">
        <f t="shared" si="1735"/>
        <v>正常订单</v>
      </c>
      <c r="I5373" s="1" t="str">
        <f t="shared" si="1736"/>
        <v>已发货</v>
      </c>
      <c r="J5373" s="1" t="str">
        <f t="shared" si="1753"/>
        <v>2</v>
      </c>
      <c r="K5373" s="1">
        <v>2</v>
      </c>
      <c r="L5373" s="1" t="s">
        <v>16</v>
      </c>
      <c r="M5373" s="1" t="str">
        <f>"河北省 石家庄市 桥西区 "</f>
        <v xml:space="preserve">河北省 石家庄市 桥西区 </v>
      </c>
      <c r="N5373" s="1" t="str">
        <f t="shared" si="1744"/>
        <v>凡华云仓-城南圆通-微信视频号</v>
      </c>
      <c r="O5373" s="5" t="s">
        <v>5386</v>
      </c>
      <c r="P5373" s="6">
        <v>0.17</v>
      </c>
      <c r="Q5373" s="11">
        <v>2</v>
      </c>
      <c r="R5373" s="11"/>
      <c r="S5373" s="11"/>
      <c r="T5373" s="11"/>
      <c r="U5373" s="11">
        <f t="shared" si="1731"/>
        <v>2</v>
      </c>
      <c r="W5373">
        <v>2.2000000000000002</v>
      </c>
      <c r="X5373" s="1" t="s">
        <v>16</v>
      </c>
    </row>
    <row r="5374" spans="1:24" x14ac:dyDescent="0.25">
      <c r="A5374" s="1" t="str">
        <f t="shared" si="1732"/>
        <v>卡卡杜-凤凰仓</v>
      </c>
      <c r="B5374" s="1" t="str">
        <f>"CK2024101919660"</f>
        <v>CK2024101919660</v>
      </c>
      <c r="C5374" s="1" t="str">
        <f>"DD2024101930419"</f>
        <v>DD2024101930419</v>
      </c>
      <c r="D5374" s="1" t="str">
        <f>"CK2024101920753"</f>
        <v>CK2024101920753</v>
      </c>
      <c r="E5374" s="1" t="str">
        <f>"3723403799733339648"</f>
        <v>3723403799733339648</v>
      </c>
      <c r="F5374" s="1" t="str">
        <f t="shared" si="1733"/>
        <v>花都四部-凤凰仓</v>
      </c>
      <c r="G5374" s="1" t="str">
        <f t="shared" si="1742"/>
        <v>卡卡杜企业店（视频号）</v>
      </c>
      <c r="H5374" s="1" t="str">
        <f t="shared" si="1735"/>
        <v>正常订单</v>
      </c>
      <c r="I5374" s="1" t="str">
        <f t="shared" si="1736"/>
        <v>已发货</v>
      </c>
      <c r="J5374" s="1" t="str">
        <f t="shared" si="1754"/>
        <v>3</v>
      </c>
      <c r="K5374" s="1">
        <v>2</v>
      </c>
      <c r="L5374" s="1" t="s">
        <v>109</v>
      </c>
      <c r="M5374" s="1" t="str">
        <f>"山西省 朔州市 朔城区 "</f>
        <v xml:space="preserve">山西省 朔州市 朔城区 </v>
      </c>
      <c r="N5374" s="1" t="str">
        <f t="shared" si="1744"/>
        <v>凡华云仓-城南圆通-微信视频号</v>
      </c>
      <c r="O5374" s="5" t="s">
        <v>5387</v>
      </c>
      <c r="P5374" s="6">
        <v>0.24</v>
      </c>
      <c r="Q5374" s="11">
        <v>2</v>
      </c>
      <c r="R5374" s="11"/>
      <c r="S5374" s="11"/>
      <c r="T5374" s="11"/>
      <c r="U5374" s="11">
        <f t="shared" si="1731"/>
        <v>2</v>
      </c>
      <c r="W5374">
        <v>2.2000000000000002</v>
      </c>
      <c r="X5374" s="1" t="s">
        <v>109</v>
      </c>
    </row>
    <row r="5375" spans="1:24" x14ac:dyDescent="0.25">
      <c r="A5375" s="1" t="str">
        <f t="shared" si="1732"/>
        <v>卡卡杜-凤凰仓</v>
      </c>
      <c r="B5375" s="1" t="str">
        <f>"CK2024101919659"</f>
        <v>CK2024101919659</v>
      </c>
      <c r="C5375" s="1" t="str">
        <f>"DD2024101930418"</f>
        <v>DD2024101930418</v>
      </c>
      <c r="D5375" s="1" t="str">
        <f>"CK2024101920752"</f>
        <v>CK2024101920752</v>
      </c>
      <c r="E5375" s="1" t="str">
        <f>"3723403810183972096"</f>
        <v>3723403810183972096</v>
      </c>
      <c r="F5375" s="1" t="str">
        <f t="shared" si="1733"/>
        <v>花都四部-凤凰仓</v>
      </c>
      <c r="G5375" s="1" t="str">
        <f t="shared" si="1742"/>
        <v>卡卡杜企业店（视频号）</v>
      </c>
      <c r="H5375" s="1" t="str">
        <f t="shared" si="1735"/>
        <v>正常订单</v>
      </c>
      <c r="I5375" s="1" t="str">
        <f t="shared" si="1736"/>
        <v>已发货</v>
      </c>
      <c r="J5375" s="1" t="str">
        <f t="shared" si="1754"/>
        <v>3</v>
      </c>
      <c r="K5375" s="1">
        <v>2</v>
      </c>
      <c r="L5375" s="1" t="s">
        <v>18</v>
      </c>
      <c r="M5375" s="1" t="str">
        <f>"广东省 深圳市 宝安区 "</f>
        <v xml:space="preserve">广东省 深圳市 宝安区 </v>
      </c>
      <c r="N5375" s="1" t="str">
        <f t="shared" si="1744"/>
        <v>凡华云仓-城南圆通-微信视频号</v>
      </c>
      <c r="O5375" s="5" t="s">
        <v>5388</v>
      </c>
      <c r="P5375" s="6">
        <v>0.24</v>
      </c>
      <c r="Q5375" s="11">
        <v>2</v>
      </c>
      <c r="R5375" s="11"/>
      <c r="S5375" s="11"/>
      <c r="T5375" s="11"/>
      <c r="U5375" s="11">
        <f t="shared" si="1731"/>
        <v>2</v>
      </c>
      <c r="W5375">
        <v>2.2000000000000002</v>
      </c>
      <c r="X5375" s="1" t="s">
        <v>18</v>
      </c>
    </row>
    <row r="5376" spans="1:24" x14ac:dyDescent="0.25">
      <c r="A5376" s="1" t="str">
        <f t="shared" si="1732"/>
        <v>卡卡杜-凤凰仓</v>
      </c>
      <c r="B5376" s="1" t="str">
        <f>"CK2024101919661"</f>
        <v>CK2024101919661</v>
      </c>
      <c r="C5376" s="1" t="str">
        <f>"DD2024101930420"</f>
        <v>DD2024101930420</v>
      </c>
      <c r="D5376" s="1" t="str">
        <f>"CK2024101920751"</f>
        <v>CK2024101920751</v>
      </c>
      <c r="E5376" s="1" t="str">
        <f>"3723403815600657408"</f>
        <v>3723403815600657408</v>
      </c>
      <c r="F5376" s="1" t="str">
        <f t="shared" si="1733"/>
        <v>花都四部-凤凰仓</v>
      </c>
      <c r="G5376" s="1" t="str">
        <f t="shared" si="1742"/>
        <v>卡卡杜企业店（视频号）</v>
      </c>
      <c r="H5376" s="1" t="str">
        <f t="shared" si="1735"/>
        <v>正常订单</v>
      </c>
      <c r="I5376" s="1" t="str">
        <f t="shared" si="1736"/>
        <v>已发货</v>
      </c>
      <c r="J5376" s="1" t="str">
        <f t="shared" si="1754"/>
        <v>3</v>
      </c>
      <c r="K5376" s="1">
        <v>2</v>
      </c>
      <c r="L5376" s="1" t="s">
        <v>105</v>
      </c>
      <c r="M5376" s="1" t="str">
        <f>"北京 北京市 平谷区 "</f>
        <v xml:space="preserve">北京 北京市 平谷区 </v>
      </c>
      <c r="N5376" s="1" t="str">
        <f t="shared" si="1744"/>
        <v>凡华云仓-城南圆通-微信视频号</v>
      </c>
      <c r="O5376" s="5" t="s">
        <v>5389</v>
      </c>
      <c r="P5376" s="6">
        <v>0.24</v>
      </c>
      <c r="Q5376" s="11">
        <v>2</v>
      </c>
      <c r="R5376" s="11"/>
      <c r="S5376" s="11"/>
      <c r="T5376" s="11"/>
      <c r="U5376" s="11">
        <f t="shared" si="1731"/>
        <v>2</v>
      </c>
      <c r="W5376">
        <v>2.2000000000000002</v>
      </c>
      <c r="X5376" s="1" t="s">
        <v>105</v>
      </c>
    </row>
    <row r="5377" spans="1:24" x14ac:dyDescent="0.25">
      <c r="A5377" s="1" t="str">
        <f t="shared" si="1732"/>
        <v>卡卡杜-凤凰仓</v>
      </c>
      <c r="B5377" s="1" t="str">
        <f>"CK2024101919662"</f>
        <v>CK2024101919662</v>
      </c>
      <c r="C5377" s="1" t="str">
        <f>"DD2024101930421"</f>
        <v>DD2024101930421</v>
      </c>
      <c r="D5377" s="1" t="str">
        <f>"CK2024101920750"</f>
        <v>CK2024101920750</v>
      </c>
      <c r="E5377" s="1" t="str">
        <f>"3723403814984615168"</f>
        <v>3723403814984615168</v>
      </c>
      <c r="F5377" s="1" t="str">
        <f t="shared" si="1733"/>
        <v>花都四部-凤凰仓</v>
      </c>
      <c r="G5377" s="1" t="str">
        <f t="shared" si="1742"/>
        <v>卡卡杜企业店（视频号）</v>
      </c>
      <c r="H5377" s="1" t="str">
        <f t="shared" si="1735"/>
        <v>正常订单</v>
      </c>
      <c r="I5377" s="1" t="str">
        <f t="shared" si="1736"/>
        <v>已发货</v>
      </c>
      <c r="J5377" s="1" t="str">
        <f>"4"</f>
        <v>4</v>
      </c>
      <c r="K5377" s="1">
        <v>2</v>
      </c>
      <c r="L5377" s="1" t="s">
        <v>20</v>
      </c>
      <c r="M5377" s="1" t="str">
        <f>"浙江省 金华市 浦江县 "</f>
        <v xml:space="preserve">浙江省 金华市 浦江县 </v>
      </c>
      <c r="N5377" s="1" t="str">
        <f t="shared" si="1744"/>
        <v>凡华云仓-城南圆通-微信视频号</v>
      </c>
      <c r="O5377" s="5" t="s">
        <v>5390</v>
      </c>
      <c r="P5377" s="7">
        <v>0.3</v>
      </c>
      <c r="Q5377" s="11">
        <v>2</v>
      </c>
      <c r="R5377" s="11"/>
      <c r="S5377" s="11"/>
      <c r="T5377" s="11"/>
      <c r="U5377" s="11">
        <f t="shared" si="1731"/>
        <v>2</v>
      </c>
      <c r="W5377">
        <v>2.2000000000000002</v>
      </c>
      <c r="X5377" s="1" t="s">
        <v>20</v>
      </c>
    </row>
    <row r="5378" spans="1:24" x14ac:dyDescent="0.25">
      <c r="A5378" s="1" t="str">
        <f t="shared" si="1732"/>
        <v>卡卡杜-凤凰仓</v>
      </c>
      <c r="B5378" s="1" t="str">
        <f>"CK2024101919664"</f>
        <v>CK2024101919664</v>
      </c>
      <c r="C5378" s="1" t="str">
        <f>"DD2024101930423"</f>
        <v>DD2024101930423</v>
      </c>
      <c r="D5378" s="1" t="str">
        <f>"CK2024101920749"</f>
        <v>CK2024101920749</v>
      </c>
      <c r="E5378" s="1" t="str">
        <f>"3723403807301964801"</f>
        <v>3723403807301964801</v>
      </c>
      <c r="F5378" s="1" t="str">
        <f t="shared" si="1733"/>
        <v>花都四部-凤凰仓</v>
      </c>
      <c r="G5378" s="1" t="str">
        <f t="shared" si="1742"/>
        <v>卡卡杜企业店（视频号）</v>
      </c>
      <c r="H5378" s="1" t="str">
        <f t="shared" si="1735"/>
        <v>正常订单</v>
      </c>
      <c r="I5378" s="1" t="str">
        <f t="shared" si="1736"/>
        <v>已发货</v>
      </c>
      <c r="J5378" s="1" t="str">
        <f t="shared" ref="J5378:J5380" si="1755">"3"</f>
        <v>3</v>
      </c>
      <c r="K5378" s="1">
        <v>2</v>
      </c>
      <c r="L5378" s="1" t="s">
        <v>105</v>
      </c>
      <c r="M5378" s="1" t="str">
        <f>"北京 北京市 海淀区 "</f>
        <v xml:space="preserve">北京 北京市 海淀区 </v>
      </c>
      <c r="N5378" s="1" t="str">
        <f t="shared" si="1744"/>
        <v>凡华云仓-城南圆通-微信视频号</v>
      </c>
      <c r="O5378" s="5" t="s">
        <v>5391</v>
      </c>
      <c r="P5378" s="6">
        <v>0.24</v>
      </c>
      <c r="Q5378" s="11">
        <v>2</v>
      </c>
      <c r="R5378" s="11"/>
      <c r="S5378" s="11"/>
      <c r="T5378" s="11"/>
      <c r="U5378" s="11">
        <f t="shared" si="1731"/>
        <v>2</v>
      </c>
      <c r="W5378">
        <v>2.2000000000000002</v>
      </c>
      <c r="X5378" s="1" t="s">
        <v>105</v>
      </c>
    </row>
    <row r="5379" spans="1:24" x14ac:dyDescent="0.25">
      <c r="A5379" s="1" t="str">
        <f t="shared" si="1732"/>
        <v>卡卡杜-凤凰仓</v>
      </c>
      <c r="B5379" s="1" t="str">
        <f>"CK2024101919665"</f>
        <v>CK2024101919665</v>
      </c>
      <c r="C5379" s="1" t="str">
        <f>"DD2024101930424"</f>
        <v>DD2024101930424</v>
      </c>
      <c r="D5379" s="1" t="str">
        <f>"CK2024101920748"</f>
        <v>CK2024101920748</v>
      </c>
      <c r="E5379" s="1" t="str">
        <f>"3723403800750986240"</f>
        <v>3723403800750986240</v>
      </c>
      <c r="F5379" s="1" t="str">
        <f t="shared" si="1733"/>
        <v>花都四部-凤凰仓</v>
      </c>
      <c r="G5379" s="1" t="str">
        <f t="shared" si="1742"/>
        <v>卡卡杜企业店（视频号）</v>
      </c>
      <c r="H5379" s="1" t="str">
        <f t="shared" si="1735"/>
        <v>正常订单</v>
      </c>
      <c r="I5379" s="1" t="str">
        <f t="shared" si="1736"/>
        <v>已发货</v>
      </c>
      <c r="J5379" s="1" t="str">
        <f t="shared" si="1755"/>
        <v>3</v>
      </c>
      <c r="K5379" s="1">
        <v>2</v>
      </c>
      <c r="L5379" s="1" t="s">
        <v>105</v>
      </c>
      <c r="M5379" s="1" t="str">
        <f>"北京 北京市 朝阳区 "</f>
        <v xml:space="preserve">北京 北京市 朝阳区 </v>
      </c>
      <c r="N5379" s="1" t="str">
        <f t="shared" si="1744"/>
        <v>凡华云仓-城南圆通-微信视频号</v>
      </c>
      <c r="O5379" s="5" t="s">
        <v>5392</v>
      </c>
      <c r="P5379" s="6">
        <v>0.24</v>
      </c>
      <c r="Q5379" s="11">
        <v>2</v>
      </c>
      <c r="R5379" s="11"/>
      <c r="S5379" s="11"/>
      <c r="T5379" s="11"/>
      <c r="U5379" s="11">
        <f t="shared" ref="U5379:U5442" si="1756">T5379+S5379+R5379+Q5379</f>
        <v>2</v>
      </c>
      <c r="W5379">
        <v>2.2000000000000002</v>
      </c>
      <c r="X5379" s="1" t="s">
        <v>105</v>
      </c>
    </row>
    <row r="5380" spans="1:24" x14ac:dyDescent="0.25">
      <c r="A5380" s="1" t="str">
        <f t="shared" si="1732"/>
        <v>卡卡杜-凤凰仓</v>
      </c>
      <c r="B5380" s="1" t="str">
        <f>"CK2024101919666"</f>
        <v>CK2024101919666</v>
      </c>
      <c r="C5380" s="1" t="str">
        <f>"DD2024101930425"</f>
        <v>DD2024101930425</v>
      </c>
      <c r="D5380" s="1" t="str">
        <f>"CK2024101920747"</f>
        <v>CK2024101920747</v>
      </c>
      <c r="E5380" s="1" t="str">
        <f>"3723403783041585152"</f>
        <v>3723403783041585152</v>
      </c>
      <c r="F5380" s="1" t="str">
        <f t="shared" si="1733"/>
        <v>花都四部-凤凰仓</v>
      </c>
      <c r="G5380" s="1" t="str">
        <f t="shared" si="1742"/>
        <v>卡卡杜企业店（视频号）</v>
      </c>
      <c r="H5380" s="1" t="str">
        <f t="shared" si="1735"/>
        <v>正常订单</v>
      </c>
      <c r="I5380" s="1" t="str">
        <f t="shared" si="1736"/>
        <v>已发货</v>
      </c>
      <c r="J5380" s="1" t="str">
        <f t="shared" si="1755"/>
        <v>3</v>
      </c>
      <c r="K5380" s="1">
        <v>2</v>
      </c>
      <c r="L5380" s="1" t="s">
        <v>94</v>
      </c>
      <c r="M5380" s="1" t="str">
        <f>"湖南省 株洲市 天元区 "</f>
        <v xml:space="preserve">湖南省 株洲市 天元区 </v>
      </c>
      <c r="N5380" s="1" t="str">
        <f t="shared" si="1744"/>
        <v>凡华云仓-城南圆通-微信视频号</v>
      </c>
      <c r="O5380" s="5" t="s">
        <v>5393</v>
      </c>
      <c r="P5380" s="6">
        <v>0.24</v>
      </c>
      <c r="Q5380" s="11">
        <v>2</v>
      </c>
      <c r="R5380" s="11"/>
      <c r="S5380" s="11"/>
      <c r="T5380" s="11"/>
      <c r="U5380" s="11">
        <f t="shared" si="1756"/>
        <v>2</v>
      </c>
      <c r="W5380">
        <v>2.2000000000000002</v>
      </c>
      <c r="X5380" s="1" t="s">
        <v>94</v>
      </c>
    </row>
    <row r="5381" spans="1:24" x14ac:dyDescent="0.25">
      <c r="A5381" s="1" t="str">
        <f t="shared" ref="A5381:A5444" si="1757">"卡卡杜-凤凰仓"</f>
        <v>卡卡杜-凤凰仓</v>
      </c>
      <c r="B5381" s="1" t="str">
        <f>"CK2024101919667"</f>
        <v>CK2024101919667</v>
      </c>
      <c r="C5381" s="1" t="str">
        <f>"DD2024101930426"</f>
        <v>DD2024101930426</v>
      </c>
      <c r="D5381" s="1" t="str">
        <f>"CK2024101920746"</f>
        <v>CK2024101920746</v>
      </c>
      <c r="E5381" s="1" t="str">
        <f>"3723403778902330368"</f>
        <v>3723403778902330368</v>
      </c>
      <c r="F5381" s="1" t="str">
        <f t="shared" ref="F5381:F5444" si="1758">"花都四部-凤凰仓"</f>
        <v>花都四部-凤凰仓</v>
      </c>
      <c r="G5381" s="1" t="str">
        <f t="shared" si="1742"/>
        <v>卡卡杜企业店（视频号）</v>
      </c>
      <c r="H5381" s="1" t="str">
        <f t="shared" ref="H5381:H5444" si="1759">"正常订单"</f>
        <v>正常订单</v>
      </c>
      <c r="I5381" s="1" t="str">
        <f t="shared" ref="I5381:I5444" si="1760">"已发货"</f>
        <v>已发货</v>
      </c>
      <c r="J5381" s="1" t="str">
        <f t="shared" ref="J5381:J5383" si="1761">"2"</f>
        <v>2</v>
      </c>
      <c r="K5381" s="1">
        <v>2</v>
      </c>
      <c r="L5381" s="1" t="s">
        <v>54</v>
      </c>
      <c r="M5381" s="1" t="str">
        <f>"黑龙江省 牡丹江市 东安区 "</f>
        <v xml:space="preserve">黑龙江省 牡丹江市 东安区 </v>
      </c>
      <c r="N5381" s="1" t="str">
        <f t="shared" si="1744"/>
        <v>凡华云仓-城南圆通-微信视频号</v>
      </c>
      <c r="O5381" s="5" t="s">
        <v>5394</v>
      </c>
      <c r="P5381" s="6">
        <v>0.17</v>
      </c>
      <c r="Q5381" s="11">
        <v>2</v>
      </c>
      <c r="R5381" s="11"/>
      <c r="S5381" s="11"/>
      <c r="T5381" s="11"/>
      <c r="U5381" s="11">
        <f t="shared" si="1756"/>
        <v>2</v>
      </c>
      <c r="W5381">
        <v>2.2000000000000002</v>
      </c>
      <c r="X5381" s="1" t="s">
        <v>54</v>
      </c>
    </row>
    <row r="5382" spans="1:24" x14ac:dyDescent="0.25">
      <c r="A5382" s="1" t="str">
        <f t="shared" si="1757"/>
        <v>卡卡杜-凤凰仓</v>
      </c>
      <c r="B5382" s="1" t="str">
        <f>"CK2024101919669"</f>
        <v>CK2024101919669</v>
      </c>
      <c r="C5382" s="1" t="str">
        <f>"DD2024101930428"</f>
        <v>DD2024101930428</v>
      </c>
      <c r="D5382" s="1" t="str">
        <f>"CK2024101920745"</f>
        <v>CK2024101920745</v>
      </c>
      <c r="E5382" s="1" t="str">
        <f>"3723403778025456896"</f>
        <v>3723403778025456896</v>
      </c>
      <c r="F5382" s="1" t="str">
        <f t="shared" si="1758"/>
        <v>花都四部-凤凰仓</v>
      </c>
      <c r="G5382" s="1" t="str">
        <f t="shared" si="1742"/>
        <v>卡卡杜企业店（视频号）</v>
      </c>
      <c r="H5382" s="1" t="str">
        <f t="shared" si="1759"/>
        <v>正常订单</v>
      </c>
      <c r="I5382" s="1" t="str">
        <f t="shared" si="1760"/>
        <v>已发货</v>
      </c>
      <c r="J5382" s="1" t="str">
        <f t="shared" si="1761"/>
        <v>2</v>
      </c>
      <c r="K5382" s="1">
        <v>2</v>
      </c>
      <c r="L5382" s="1" t="s">
        <v>54</v>
      </c>
      <c r="M5382" s="1" t="str">
        <f>"黑龙江省 大庆市 龙凤区 "</f>
        <v xml:space="preserve">黑龙江省 大庆市 龙凤区 </v>
      </c>
      <c r="N5382" s="1" t="str">
        <f t="shared" si="1744"/>
        <v>凡华云仓-城南圆通-微信视频号</v>
      </c>
      <c r="O5382" s="5" t="s">
        <v>5395</v>
      </c>
      <c r="P5382" s="6">
        <v>0.17</v>
      </c>
      <c r="Q5382" s="11">
        <v>2</v>
      </c>
      <c r="R5382" s="11"/>
      <c r="S5382" s="11"/>
      <c r="T5382" s="11"/>
      <c r="U5382" s="11">
        <f t="shared" si="1756"/>
        <v>2</v>
      </c>
      <c r="W5382">
        <v>2.2000000000000002</v>
      </c>
      <c r="X5382" s="1" t="s">
        <v>54</v>
      </c>
    </row>
    <row r="5383" spans="1:24" x14ac:dyDescent="0.25">
      <c r="A5383" s="1" t="str">
        <f t="shared" si="1757"/>
        <v>卡卡杜-凤凰仓</v>
      </c>
      <c r="B5383" s="1" t="str">
        <f>"CK2024101919668"</f>
        <v>CK2024101919668</v>
      </c>
      <c r="C5383" s="1" t="str">
        <f>"DD2024101930427"</f>
        <v>DD2024101930427</v>
      </c>
      <c r="D5383" s="1" t="str">
        <f>"CK2024101920744"</f>
        <v>CK2024101920744</v>
      </c>
      <c r="E5383" s="1" t="str">
        <f>"3723403781355209984"</f>
        <v>3723403781355209984</v>
      </c>
      <c r="F5383" s="1" t="str">
        <f t="shared" si="1758"/>
        <v>花都四部-凤凰仓</v>
      </c>
      <c r="G5383" s="1" t="str">
        <f t="shared" si="1742"/>
        <v>卡卡杜企业店（视频号）</v>
      </c>
      <c r="H5383" s="1" t="str">
        <f t="shared" si="1759"/>
        <v>正常订单</v>
      </c>
      <c r="I5383" s="1" t="str">
        <f t="shared" si="1760"/>
        <v>已发货</v>
      </c>
      <c r="J5383" s="1" t="str">
        <f t="shared" si="1761"/>
        <v>2</v>
      </c>
      <c r="K5383" s="1">
        <v>2</v>
      </c>
      <c r="L5383" s="1" t="s">
        <v>94</v>
      </c>
      <c r="M5383" s="1" t="str">
        <f>"湖南省 长沙市 雨花区 "</f>
        <v xml:space="preserve">湖南省 长沙市 雨花区 </v>
      </c>
      <c r="N5383" s="1" t="str">
        <f t="shared" si="1744"/>
        <v>凡华云仓-城南圆通-微信视频号</v>
      </c>
      <c r="O5383" s="5" t="s">
        <v>5396</v>
      </c>
      <c r="P5383" s="6">
        <v>0.17</v>
      </c>
      <c r="Q5383" s="11">
        <v>2</v>
      </c>
      <c r="R5383" s="11"/>
      <c r="S5383" s="11"/>
      <c r="T5383" s="11"/>
      <c r="U5383" s="11">
        <f t="shared" si="1756"/>
        <v>2</v>
      </c>
      <c r="W5383">
        <v>2.2000000000000002</v>
      </c>
      <c r="X5383" s="1" t="s">
        <v>94</v>
      </c>
    </row>
    <row r="5384" spans="1:24" x14ac:dyDescent="0.25">
      <c r="A5384" s="1" t="str">
        <f t="shared" si="1757"/>
        <v>卡卡杜-凤凰仓</v>
      </c>
      <c r="B5384" s="1" t="str">
        <f>"CK2024101919670"</f>
        <v>CK2024101919670</v>
      </c>
      <c r="C5384" s="1" t="str">
        <f>"DD2024101930429"</f>
        <v>DD2024101930429</v>
      </c>
      <c r="D5384" s="1" t="str">
        <f>"CK2024101920743"</f>
        <v>CK2024101920743</v>
      </c>
      <c r="E5384" s="1" t="str">
        <f>"3723403776609883136"</f>
        <v>3723403776609883136</v>
      </c>
      <c r="F5384" s="1" t="str">
        <f t="shared" si="1758"/>
        <v>花都四部-凤凰仓</v>
      </c>
      <c r="G5384" s="1" t="str">
        <f t="shared" si="1742"/>
        <v>卡卡杜企业店（视频号）</v>
      </c>
      <c r="H5384" s="1" t="str">
        <f t="shared" si="1759"/>
        <v>正常订单</v>
      </c>
      <c r="I5384" s="1" t="str">
        <f t="shared" si="1760"/>
        <v>已发货</v>
      </c>
      <c r="J5384" s="1" t="str">
        <f t="shared" ref="J5384:J5388" si="1762">"3"</f>
        <v>3</v>
      </c>
      <c r="K5384" s="1">
        <v>2</v>
      </c>
      <c r="L5384" s="1" t="s">
        <v>109</v>
      </c>
      <c r="M5384" s="1" t="str">
        <f>"山西省 晋中市 介休市 "</f>
        <v xml:space="preserve">山西省 晋中市 介休市 </v>
      </c>
      <c r="N5384" s="1" t="str">
        <f t="shared" si="1744"/>
        <v>凡华云仓-城南圆通-微信视频号</v>
      </c>
      <c r="O5384" s="5" t="s">
        <v>5397</v>
      </c>
      <c r="P5384" s="6">
        <v>0.24</v>
      </c>
      <c r="Q5384" s="11">
        <v>2</v>
      </c>
      <c r="R5384" s="11"/>
      <c r="S5384" s="11"/>
      <c r="T5384" s="11"/>
      <c r="U5384" s="11">
        <f t="shared" si="1756"/>
        <v>2</v>
      </c>
      <c r="W5384">
        <v>2.2000000000000002</v>
      </c>
      <c r="X5384" s="1" t="s">
        <v>109</v>
      </c>
    </row>
    <row r="5385" spans="1:24" x14ac:dyDescent="0.25">
      <c r="A5385" s="1" t="str">
        <f t="shared" si="1757"/>
        <v>卡卡杜-凤凰仓</v>
      </c>
      <c r="B5385" s="1" t="str">
        <f>"CK2024101919671"</f>
        <v>CK2024101919671</v>
      </c>
      <c r="C5385" s="1" t="str">
        <f>"DD2024101930430"</f>
        <v>DD2024101930430</v>
      </c>
      <c r="D5385" s="1" t="str">
        <f>"CK2024101920742"</f>
        <v>CK2024101920742</v>
      </c>
      <c r="E5385" s="1" t="str">
        <f>"3723403764266306560"</f>
        <v>3723403764266306560</v>
      </c>
      <c r="F5385" s="1" t="str">
        <f t="shared" si="1758"/>
        <v>花都四部-凤凰仓</v>
      </c>
      <c r="G5385" s="1" t="str">
        <f t="shared" si="1742"/>
        <v>卡卡杜企业店（视频号）</v>
      </c>
      <c r="H5385" s="1" t="str">
        <f t="shared" si="1759"/>
        <v>正常订单</v>
      </c>
      <c r="I5385" s="1" t="str">
        <f t="shared" si="1760"/>
        <v>已发货</v>
      </c>
      <c r="J5385" s="1" t="str">
        <f t="shared" si="1762"/>
        <v>3</v>
      </c>
      <c r="K5385" s="1">
        <v>2</v>
      </c>
      <c r="L5385" s="1" t="s">
        <v>20</v>
      </c>
      <c r="M5385" s="1" t="str">
        <f>"浙江省 嘉兴市 桐乡市 "</f>
        <v xml:space="preserve">浙江省 嘉兴市 桐乡市 </v>
      </c>
      <c r="N5385" s="1" t="str">
        <f t="shared" si="1744"/>
        <v>凡华云仓-城南圆通-微信视频号</v>
      </c>
      <c r="O5385" s="5" t="s">
        <v>5398</v>
      </c>
      <c r="P5385" s="6">
        <v>0.24</v>
      </c>
      <c r="Q5385" s="11">
        <v>2</v>
      </c>
      <c r="R5385" s="11"/>
      <c r="S5385" s="11"/>
      <c r="T5385" s="11"/>
      <c r="U5385" s="11">
        <f t="shared" si="1756"/>
        <v>2</v>
      </c>
      <c r="W5385">
        <v>2.2000000000000002</v>
      </c>
      <c r="X5385" s="1" t="s">
        <v>20</v>
      </c>
    </row>
    <row r="5386" spans="1:24" x14ac:dyDescent="0.25">
      <c r="A5386" s="1" t="str">
        <f t="shared" si="1757"/>
        <v>卡卡杜-凤凰仓</v>
      </c>
      <c r="B5386" s="1" t="str">
        <f>"CK2024101919672"</f>
        <v>CK2024101919672</v>
      </c>
      <c r="C5386" s="1" t="str">
        <f>"DD2024101930431"</f>
        <v>DD2024101930431</v>
      </c>
      <c r="D5386" s="1" t="str">
        <f>"CK2024101920741"</f>
        <v>CK2024101920741</v>
      </c>
      <c r="E5386" s="1" t="str">
        <f>"3723403763825906689"</f>
        <v>3723403763825906689</v>
      </c>
      <c r="F5386" s="1" t="str">
        <f t="shared" si="1758"/>
        <v>花都四部-凤凰仓</v>
      </c>
      <c r="G5386" s="1" t="str">
        <f t="shared" si="1742"/>
        <v>卡卡杜企业店（视频号）</v>
      </c>
      <c r="H5386" s="1" t="str">
        <f t="shared" si="1759"/>
        <v>正常订单</v>
      </c>
      <c r="I5386" s="1" t="str">
        <f t="shared" si="1760"/>
        <v>已发货</v>
      </c>
      <c r="J5386" s="1" t="str">
        <f t="shared" ref="J5386:J5392" si="1763">"2"</f>
        <v>2</v>
      </c>
      <c r="K5386" s="1">
        <v>2</v>
      </c>
      <c r="L5386" s="1" t="s">
        <v>182</v>
      </c>
      <c r="M5386" s="1" t="str">
        <f>"新疆维吾尔自治区 乌鲁木齐市 天山区 "</f>
        <v xml:space="preserve">新疆维吾尔自治区 乌鲁木齐市 天山区 </v>
      </c>
      <c r="N5386" s="1" t="str">
        <f t="shared" si="1744"/>
        <v>凡华云仓-城南圆通-微信视频号</v>
      </c>
      <c r="O5386" s="5" t="s">
        <v>5399</v>
      </c>
      <c r="P5386" s="6">
        <v>0.17</v>
      </c>
      <c r="Q5386" s="11">
        <v>17</v>
      </c>
      <c r="R5386" s="11"/>
      <c r="S5386" s="11"/>
      <c r="T5386" s="11"/>
      <c r="U5386" s="11">
        <f t="shared" si="1756"/>
        <v>17</v>
      </c>
      <c r="W5386">
        <v>17</v>
      </c>
      <c r="X5386" s="1" t="s">
        <v>182</v>
      </c>
    </row>
    <row r="5387" spans="1:24" x14ac:dyDescent="0.25">
      <c r="A5387" s="1" t="str">
        <f t="shared" si="1757"/>
        <v>卡卡杜-凤凰仓</v>
      </c>
      <c r="B5387" s="1" t="str">
        <f>"CK2024101919673"</f>
        <v>CK2024101919673</v>
      </c>
      <c r="C5387" s="1" t="str">
        <f>"DD2024101930432"</f>
        <v>DD2024101930432</v>
      </c>
      <c r="D5387" s="1" t="str">
        <f>"CK2024101920740"</f>
        <v>CK2024101920740</v>
      </c>
      <c r="E5387" s="1" t="str">
        <f>"3723403756674617344"</f>
        <v>3723403756674617344</v>
      </c>
      <c r="F5387" s="1" t="str">
        <f t="shared" si="1758"/>
        <v>花都四部-凤凰仓</v>
      </c>
      <c r="G5387" s="1" t="str">
        <f t="shared" si="1742"/>
        <v>卡卡杜企业店（视频号）</v>
      </c>
      <c r="H5387" s="1" t="str">
        <f t="shared" si="1759"/>
        <v>正常订单</v>
      </c>
      <c r="I5387" s="1" t="str">
        <f t="shared" si="1760"/>
        <v>已发货</v>
      </c>
      <c r="J5387" s="1" t="str">
        <f t="shared" si="1762"/>
        <v>3</v>
      </c>
      <c r="K5387" s="1">
        <v>2</v>
      </c>
      <c r="L5387" s="1" t="s">
        <v>60</v>
      </c>
      <c r="M5387" s="1" t="str">
        <f>"云南省 昆明市 官渡区 "</f>
        <v xml:space="preserve">云南省 昆明市 官渡区 </v>
      </c>
      <c r="N5387" s="1" t="str">
        <f t="shared" si="1744"/>
        <v>凡华云仓-城南圆通-微信视频号</v>
      </c>
      <c r="O5387" s="5" t="s">
        <v>5400</v>
      </c>
      <c r="P5387" s="6">
        <v>0.24</v>
      </c>
      <c r="Q5387" s="11">
        <v>2</v>
      </c>
      <c r="R5387" s="11"/>
      <c r="S5387" s="11"/>
      <c r="T5387" s="11"/>
      <c r="U5387" s="11">
        <f t="shared" si="1756"/>
        <v>2</v>
      </c>
      <c r="W5387">
        <v>2.2000000000000002</v>
      </c>
      <c r="X5387" s="1" t="s">
        <v>60</v>
      </c>
    </row>
    <row r="5388" spans="1:24" x14ac:dyDescent="0.25">
      <c r="A5388" s="1" t="str">
        <f t="shared" si="1757"/>
        <v>卡卡杜-凤凰仓</v>
      </c>
      <c r="B5388" s="1" t="str">
        <f>"CK2024101919674"</f>
        <v>CK2024101919674</v>
      </c>
      <c r="C5388" s="1" t="str">
        <f>"DD2024101930433"</f>
        <v>DD2024101930433</v>
      </c>
      <c r="D5388" s="1" t="str">
        <f>"CK2024101920739"</f>
        <v>CK2024101920739</v>
      </c>
      <c r="E5388" s="1" t="str">
        <f>"3723403756290315264"</f>
        <v>3723403756290315264</v>
      </c>
      <c r="F5388" s="1" t="str">
        <f t="shared" si="1758"/>
        <v>花都四部-凤凰仓</v>
      </c>
      <c r="G5388" s="1" t="str">
        <f t="shared" si="1742"/>
        <v>卡卡杜企业店（视频号）</v>
      </c>
      <c r="H5388" s="1" t="str">
        <f t="shared" si="1759"/>
        <v>正常订单</v>
      </c>
      <c r="I5388" s="1" t="str">
        <f t="shared" si="1760"/>
        <v>已发货</v>
      </c>
      <c r="J5388" s="1" t="str">
        <f t="shared" si="1762"/>
        <v>3</v>
      </c>
      <c r="K5388" s="1">
        <v>2</v>
      </c>
      <c r="L5388" s="1" t="s">
        <v>54</v>
      </c>
      <c r="M5388" s="1" t="str">
        <f>"黑龙江省 大庆市 让胡路区 "</f>
        <v xml:space="preserve">黑龙江省 大庆市 让胡路区 </v>
      </c>
      <c r="N5388" s="1" t="str">
        <f t="shared" si="1744"/>
        <v>凡华云仓-城南圆通-微信视频号</v>
      </c>
      <c r="O5388" s="5" t="s">
        <v>5401</v>
      </c>
      <c r="P5388" s="6">
        <v>0.24</v>
      </c>
      <c r="Q5388" s="11">
        <v>2</v>
      </c>
      <c r="R5388" s="11"/>
      <c r="S5388" s="11"/>
      <c r="T5388" s="11"/>
      <c r="U5388" s="11">
        <f t="shared" si="1756"/>
        <v>2</v>
      </c>
      <c r="W5388">
        <v>2.2000000000000002</v>
      </c>
      <c r="X5388" s="1" t="s">
        <v>54</v>
      </c>
    </row>
    <row r="5389" spans="1:24" x14ac:dyDescent="0.25">
      <c r="A5389" s="1" t="str">
        <f t="shared" si="1757"/>
        <v>卡卡杜-凤凰仓</v>
      </c>
      <c r="B5389" s="1" t="str">
        <f>"CK2024101919675"</f>
        <v>CK2024101919675</v>
      </c>
      <c r="C5389" s="1" t="str">
        <f>"DD2024101930434"</f>
        <v>DD2024101930434</v>
      </c>
      <c r="D5389" s="1" t="str">
        <f>"CK2024101920738"</f>
        <v>CK2024101920738</v>
      </c>
      <c r="E5389" s="1" t="str">
        <f>"3723403725298600960"</f>
        <v>3723403725298600960</v>
      </c>
      <c r="F5389" s="1" t="str">
        <f t="shared" si="1758"/>
        <v>花都四部-凤凰仓</v>
      </c>
      <c r="G5389" s="1" t="str">
        <f t="shared" si="1742"/>
        <v>卡卡杜企业店（视频号）</v>
      </c>
      <c r="H5389" s="1" t="str">
        <f t="shared" si="1759"/>
        <v>正常订单</v>
      </c>
      <c r="I5389" s="1" t="str">
        <f t="shared" si="1760"/>
        <v>已发货</v>
      </c>
      <c r="J5389" s="1" t="str">
        <f t="shared" si="1763"/>
        <v>2</v>
      </c>
      <c r="K5389" s="1">
        <v>2</v>
      </c>
      <c r="L5389" s="1" t="s">
        <v>74</v>
      </c>
      <c r="M5389" s="1" t="str">
        <f>"上海 上海市 杨浦区 "</f>
        <v xml:space="preserve">上海 上海市 杨浦区 </v>
      </c>
      <c r="N5389" s="1" t="str">
        <f t="shared" si="1744"/>
        <v>凡华云仓-城南圆通-微信视频号</v>
      </c>
      <c r="O5389" s="5" t="s">
        <v>5402</v>
      </c>
      <c r="P5389" s="6">
        <v>0.17</v>
      </c>
      <c r="Q5389" s="11">
        <v>2</v>
      </c>
      <c r="R5389" s="11"/>
      <c r="S5389" s="11"/>
      <c r="T5389" s="11"/>
      <c r="U5389" s="11">
        <f t="shared" si="1756"/>
        <v>2</v>
      </c>
      <c r="W5389">
        <v>2.2000000000000002</v>
      </c>
      <c r="X5389" s="1" t="s">
        <v>74</v>
      </c>
    </row>
    <row r="5390" spans="1:24" x14ac:dyDescent="0.25">
      <c r="A5390" s="1" t="str">
        <f t="shared" si="1757"/>
        <v>卡卡杜-凤凰仓</v>
      </c>
      <c r="B5390" s="1" t="str">
        <f>"CK2024101919676"</f>
        <v>CK2024101919676</v>
      </c>
      <c r="C5390" s="1" t="str">
        <f>"DD2024101930435"</f>
        <v>DD2024101930435</v>
      </c>
      <c r="D5390" s="1" t="str">
        <f>"CK2024101920737"</f>
        <v>CK2024101920737</v>
      </c>
      <c r="E5390" s="1" t="str">
        <f>"3723403691825169920"</f>
        <v>3723403691825169920</v>
      </c>
      <c r="F5390" s="1" t="str">
        <f t="shared" si="1758"/>
        <v>花都四部-凤凰仓</v>
      </c>
      <c r="G5390" s="1" t="str">
        <f t="shared" si="1742"/>
        <v>卡卡杜企业店（视频号）</v>
      </c>
      <c r="H5390" s="1" t="str">
        <f t="shared" si="1759"/>
        <v>正常订单</v>
      </c>
      <c r="I5390" s="1" t="str">
        <f t="shared" si="1760"/>
        <v>已发货</v>
      </c>
      <c r="J5390" s="1" t="str">
        <f t="shared" si="1763"/>
        <v>2</v>
      </c>
      <c r="K5390" s="1">
        <v>2</v>
      </c>
      <c r="L5390" s="1" t="s">
        <v>218</v>
      </c>
      <c r="M5390" s="1" t="str">
        <f>"天津 天津市 河北区 "</f>
        <v xml:space="preserve">天津 天津市 河北区 </v>
      </c>
      <c r="N5390" s="1" t="str">
        <f t="shared" si="1744"/>
        <v>凡华云仓-城南圆通-微信视频号</v>
      </c>
      <c r="O5390" s="5" t="s">
        <v>5403</v>
      </c>
      <c r="P5390" s="6">
        <v>0.17</v>
      </c>
      <c r="Q5390" s="11">
        <v>2</v>
      </c>
      <c r="R5390" s="11"/>
      <c r="S5390" s="11"/>
      <c r="T5390" s="11"/>
      <c r="U5390" s="11">
        <f t="shared" si="1756"/>
        <v>2</v>
      </c>
      <c r="W5390">
        <v>2.2000000000000002</v>
      </c>
      <c r="X5390" s="1" t="s">
        <v>218</v>
      </c>
    </row>
    <row r="5391" spans="1:24" x14ac:dyDescent="0.25">
      <c r="A5391" s="1" t="str">
        <f t="shared" si="1757"/>
        <v>卡卡杜-凤凰仓</v>
      </c>
      <c r="B5391" s="1" t="str">
        <f>"CK2024101919681"</f>
        <v>CK2024101919681</v>
      </c>
      <c r="C5391" s="1" t="str">
        <f>"DD2024101930440"</f>
        <v>DD2024101930440</v>
      </c>
      <c r="D5391" s="1" t="str">
        <f>"CK2024101920736"</f>
        <v>CK2024101920736</v>
      </c>
      <c r="E5391" s="1" t="str">
        <f>"3723403662680003584"</f>
        <v>3723403662680003584</v>
      </c>
      <c r="F5391" s="1" t="str">
        <f t="shared" si="1758"/>
        <v>花都四部-凤凰仓</v>
      </c>
      <c r="G5391" s="1" t="str">
        <f t="shared" si="1742"/>
        <v>卡卡杜企业店（视频号）</v>
      </c>
      <c r="H5391" s="1" t="str">
        <f t="shared" si="1759"/>
        <v>正常订单</v>
      </c>
      <c r="I5391" s="1" t="str">
        <f t="shared" si="1760"/>
        <v>已发货</v>
      </c>
      <c r="J5391" s="1" t="str">
        <f t="shared" si="1763"/>
        <v>2</v>
      </c>
      <c r="K5391" s="1">
        <v>2</v>
      </c>
      <c r="L5391" s="1" t="s">
        <v>94</v>
      </c>
      <c r="M5391" s="1" t="str">
        <f>"湖南省 长沙市 长沙县 "</f>
        <v xml:space="preserve">湖南省 长沙市 长沙县 </v>
      </c>
      <c r="N5391" s="1" t="str">
        <f t="shared" si="1744"/>
        <v>凡华云仓-城南圆通-微信视频号</v>
      </c>
      <c r="O5391" s="5" t="s">
        <v>5404</v>
      </c>
      <c r="P5391" s="6">
        <v>0.17</v>
      </c>
      <c r="Q5391" s="11">
        <v>2</v>
      </c>
      <c r="R5391" s="11"/>
      <c r="S5391" s="11"/>
      <c r="T5391" s="11"/>
      <c r="U5391" s="11">
        <f t="shared" si="1756"/>
        <v>2</v>
      </c>
      <c r="W5391">
        <v>2.2000000000000002</v>
      </c>
      <c r="X5391" s="1" t="s">
        <v>94</v>
      </c>
    </row>
    <row r="5392" spans="1:24" x14ac:dyDescent="0.25">
      <c r="A5392" s="1" t="str">
        <f t="shared" si="1757"/>
        <v>卡卡杜-凤凰仓</v>
      </c>
      <c r="B5392" s="1" t="str">
        <f>"CK2024101919678"</f>
        <v>CK2024101919678</v>
      </c>
      <c r="C5392" s="1" t="str">
        <f>"DD2024101930437"</f>
        <v>DD2024101930437</v>
      </c>
      <c r="D5392" s="1" t="str">
        <f>"CK2024101920735"</f>
        <v>CK2024101920735</v>
      </c>
      <c r="E5392" s="1" t="str">
        <f>"3723403655241925889"</f>
        <v>3723403655241925889</v>
      </c>
      <c r="F5392" s="1" t="str">
        <f t="shared" si="1758"/>
        <v>花都四部-凤凰仓</v>
      </c>
      <c r="G5392" s="1" t="str">
        <f t="shared" si="1742"/>
        <v>卡卡杜企业店（视频号）</v>
      </c>
      <c r="H5392" s="1" t="str">
        <f t="shared" si="1759"/>
        <v>正常订单</v>
      </c>
      <c r="I5392" s="1" t="str">
        <f t="shared" si="1760"/>
        <v>已发货</v>
      </c>
      <c r="J5392" s="1" t="str">
        <f t="shared" si="1763"/>
        <v>2</v>
      </c>
      <c r="K5392" s="1">
        <v>2</v>
      </c>
      <c r="L5392" s="1" t="s">
        <v>80</v>
      </c>
      <c r="M5392" s="1" t="str">
        <f>"河南省 郑州市 金水区 "</f>
        <v xml:space="preserve">河南省 郑州市 金水区 </v>
      </c>
      <c r="N5392" s="1" t="str">
        <f t="shared" si="1744"/>
        <v>凡华云仓-城南圆通-微信视频号</v>
      </c>
      <c r="O5392" s="5" t="s">
        <v>5405</v>
      </c>
      <c r="P5392" s="6">
        <v>0.17</v>
      </c>
      <c r="Q5392" s="11">
        <v>2</v>
      </c>
      <c r="R5392" s="11"/>
      <c r="S5392" s="11"/>
      <c r="T5392" s="11"/>
      <c r="U5392" s="11">
        <f t="shared" si="1756"/>
        <v>2</v>
      </c>
      <c r="W5392">
        <v>2.2000000000000002</v>
      </c>
      <c r="X5392" s="1" t="s">
        <v>80</v>
      </c>
    </row>
    <row r="5393" spans="1:24" x14ac:dyDescent="0.25">
      <c r="A5393" s="1" t="str">
        <f t="shared" si="1757"/>
        <v>卡卡杜-凤凰仓</v>
      </c>
      <c r="B5393" s="1" t="str">
        <f>"CK2024101919677"</f>
        <v>CK2024101919677</v>
      </c>
      <c r="C5393" s="1" t="str">
        <f>"DD2024101930436"</f>
        <v>DD2024101930436</v>
      </c>
      <c r="D5393" s="1" t="str">
        <f>"CK2024101920734"</f>
        <v>CK2024101920734</v>
      </c>
      <c r="E5393" s="1" t="str">
        <f>"3723403676773123584"</f>
        <v>3723403676773123584</v>
      </c>
      <c r="F5393" s="1" t="str">
        <f t="shared" si="1758"/>
        <v>花都四部-凤凰仓</v>
      </c>
      <c r="G5393" s="1" t="str">
        <f t="shared" si="1742"/>
        <v>卡卡杜企业店（视频号）</v>
      </c>
      <c r="H5393" s="1" t="str">
        <f t="shared" si="1759"/>
        <v>正常订单</v>
      </c>
      <c r="I5393" s="1" t="str">
        <f t="shared" si="1760"/>
        <v>已发货</v>
      </c>
      <c r="J5393" s="1" t="str">
        <f>"3"</f>
        <v>3</v>
      </c>
      <c r="K5393" s="1">
        <v>2</v>
      </c>
      <c r="L5393" s="1" t="s">
        <v>74</v>
      </c>
      <c r="M5393" s="1" t="str">
        <f>"上海 上海市 徐汇区 "</f>
        <v xml:space="preserve">上海 上海市 徐汇区 </v>
      </c>
      <c r="N5393" s="1" t="str">
        <f t="shared" si="1744"/>
        <v>凡华云仓-城南圆通-微信视频号</v>
      </c>
      <c r="O5393" s="5" t="s">
        <v>5406</v>
      </c>
      <c r="P5393" s="6">
        <v>0.24</v>
      </c>
      <c r="Q5393" s="11">
        <v>2</v>
      </c>
      <c r="R5393" s="11"/>
      <c r="S5393" s="11"/>
      <c r="T5393" s="11"/>
      <c r="U5393" s="11">
        <f t="shared" si="1756"/>
        <v>2</v>
      </c>
      <c r="W5393">
        <v>2.2000000000000002</v>
      </c>
      <c r="X5393" s="1" t="s">
        <v>74</v>
      </c>
    </row>
    <row r="5394" spans="1:24" x14ac:dyDescent="0.25">
      <c r="A5394" s="1" t="str">
        <f t="shared" si="1757"/>
        <v>卡卡杜-凤凰仓</v>
      </c>
      <c r="B5394" s="1" t="str">
        <f>"CK2024101919679"</f>
        <v>CK2024101919679</v>
      </c>
      <c r="C5394" s="1" t="str">
        <f>"DD2024101930438"</f>
        <v>DD2024101930438</v>
      </c>
      <c r="D5394" s="1" t="str">
        <f>"CK2024101920733"</f>
        <v>CK2024101920733</v>
      </c>
      <c r="E5394" s="1" t="str">
        <f>"3723403671912187136"</f>
        <v>3723403671912187136</v>
      </c>
      <c r="F5394" s="1" t="str">
        <f t="shared" si="1758"/>
        <v>花都四部-凤凰仓</v>
      </c>
      <c r="G5394" s="1" t="str">
        <f t="shared" si="1742"/>
        <v>卡卡杜企业店（视频号）</v>
      </c>
      <c r="H5394" s="1" t="str">
        <f t="shared" si="1759"/>
        <v>正常订单</v>
      </c>
      <c r="I5394" s="1" t="str">
        <f t="shared" si="1760"/>
        <v>已发货</v>
      </c>
      <c r="J5394" s="1" t="str">
        <f t="shared" ref="J5394:J5397" si="1764">"2"</f>
        <v>2</v>
      </c>
      <c r="K5394" s="1">
        <v>2</v>
      </c>
      <c r="L5394" s="1" t="s">
        <v>105</v>
      </c>
      <c r="M5394" s="1" t="str">
        <f t="shared" ref="M5394:M5398" si="1765">"北京 北京市 丰台区 "</f>
        <v xml:space="preserve">北京 北京市 丰台区 </v>
      </c>
      <c r="N5394" s="1" t="str">
        <f t="shared" si="1744"/>
        <v>凡华云仓-城南圆通-微信视频号</v>
      </c>
      <c r="O5394" s="5" t="s">
        <v>5407</v>
      </c>
      <c r="P5394" s="6">
        <v>0.17</v>
      </c>
      <c r="Q5394" s="11">
        <v>2</v>
      </c>
      <c r="R5394" s="11"/>
      <c r="S5394" s="11"/>
      <c r="T5394" s="11"/>
      <c r="U5394" s="11">
        <f t="shared" si="1756"/>
        <v>2</v>
      </c>
      <c r="W5394">
        <v>2.2000000000000002</v>
      </c>
      <c r="X5394" s="1" t="s">
        <v>105</v>
      </c>
    </row>
    <row r="5395" spans="1:24" x14ac:dyDescent="0.25">
      <c r="A5395" s="1" t="str">
        <f t="shared" si="1757"/>
        <v>卡卡杜-凤凰仓</v>
      </c>
      <c r="B5395" s="1" t="str">
        <f>"CK2024101919680"</f>
        <v>CK2024101919680</v>
      </c>
      <c r="C5395" s="1" t="str">
        <f>"DD2024101930439"</f>
        <v>DD2024101930439</v>
      </c>
      <c r="D5395" s="1" t="str">
        <f>"CK2024101920732"</f>
        <v>CK2024101920732</v>
      </c>
      <c r="E5395" s="1" t="str">
        <f>"3723403665639343360"</f>
        <v>3723403665639343360</v>
      </c>
      <c r="F5395" s="1" t="str">
        <f t="shared" si="1758"/>
        <v>花都四部-凤凰仓</v>
      </c>
      <c r="G5395" s="1" t="str">
        <f t="shared" si="1742"/>
        <v>卡卡杜企业店（视频号）</v>
      </c>
      <c r="H5395" s="1" t="str">
        <f t="shared" si="1759"/>
        <v>正常订单</v>
      </c>
      <c r="I5395" s="1" t="str">
        <f t="shared" si="1760"/>
        <v>已发货</v>
      </c>
      <c r="J5395" s="1" t="str">
        <f t="shared" si="1764"/>
        <v>2</v>
      </c>
      <c r="K5395" s="1">
        <v>2</v>
      </c>
      <c r="L5395" s="1" t="s">
        <v>52</v>
      </c>
      <c r="M5395" s="1" t="str">
        <f>"甘肃省 兰州市 安宁区 "</f>
        <v xml:space="preserve">甘肃省 兰州市 安宁区 </v>
      </c>
      <c r="N5395" s="1" t="str">
        <f t="shared" si="1744"/>
        <v>凡华云仓-城南圆通-微信视频号</v>
      </c>
      <c r="O5395" s="5" t="s">
        <v>5408</v>
      </c>
      <c r="P5395" s="6">
        <v>0.17</v>
      </c>
      <c r="Q5395" s="11">
        <v>2</v>
      </c>
      <c r="R5395" s="11"/>
      <c r="S5395" s="11"/>
      <c r="T5395" s="11"/>
      <c r="U5395" s="11">
        <f t="shared" si="1756"/>
        <v>2</v>
      </c>
      <c r="W5395">
        <v>2.2000000000000002</v>
      </c>
      <c r="X5395" s="1" t="s">
        <v>52</v>
      </c>
    </row>
    <row r="5396" spans="1:24" x14ac:dyDescent="0.25">
      <c r="A5396" s="1" t="str">
        <f t="shared" si="1757"/>
        <v>卡卡杜-凤凰仓</v>
      </c>
      <c r="B5396" s="1" t="str">
        <f>"CK2024101919683"</f>
        <v>CK2024101919683</v>
      </c>
      <c r="C5396" s="1" t="str">
        <f>"DD2024101930441"</f>
        <v>DD2024101930441</v>
      </c>
      <c r="D5396" s="1" t="str">
        <f>"CK2024101920731"</f>
        <v>CK2024101920731</v>
      </c>
      <c r="E5396" s="1" t="str">
        <f>"3723403665665820160"</f>
        <v>3723403665665820160</v>
      </c>
      <c r="F5396" s="1" t="str">
        <f t="shared" si="1758"/>
        <v>花都四部-凤凰仓</v>
      </c>
      <c r="G5396" s="1" t="str">
        <f t="shared" ref="G5396:G5434" si="1766">"卡卡杜企业店（视频号）"</f>
        <v>卡卡杜企业店（视频号）</v>
      </c>
      <c r="H5396" s="1" t="str">
        <f t="shared" si="1759"/>
        <v>正常订单</v>
      </c>
      <c r="I5396" s="1" t="str">
        <f t="shared" si="1760"/>
        <v>已发货</v>
      </c>
      <c r="J5396" s="1" t="str">
        <f t="shared" si="1764"/>
        <v>2</v>
      </c>
      <c r="K5396" s="1">
        <v>2</v>
      </c>
      <c r="L5396" s="1" t="s">
        <v>105</v>
      </c>
      <c r="M5396" s="1" t="str">
        <f t="shared" si="1765"/>
        <v xml:space="preserve">北京 北京市 丰台区 </v>
      </c>
      <c r="N5396" s="1" t="str">
        <f t="shared" ref="N5396:N5434" si="1767">"凡华云仓-城南圆通-微信视频号"</f>
        <v>凡华云仓-城南圆通-微信视频号</v>
      </c>
      <c r="O5396" s="5" t="s">
        <v>5409</v>
      </c>
      <c r="P5396" s="6">
        <v>0.17</v>
      </c>
      <c r="Q5396" s="11">
        <v>2</v>
      </c>
      <c r="R5396" s="11"/>
      <c r="S5396" s="11"/>
      <c r="T5396" s="11"/>
      <c r="U5396" s="11">
        <f t="shared" si="1756"/>
        <v>2</v>
      </c>
      <c r="W5396">
        <v>2.2000000000000002</v>
      </c>
      <c r="X5396" s="1" t="s">
        <v>105</v>
      </c>
    </row>
    <row r="5397" spans="1:24" x14ac:dyDescent="0.25">
      <c r="A5397" s="1" t="str">
        <f t="shared" si="1757"/>
        <v>卡卡杜-凤凰仓</v>
      </c>
      <c r="B5397" s="1" t="str">
        <f>"CK2024101919682"</f>
        <v>CK2024101919682</v>
      </c>
      <c r="C5397" s="1" t="str">
        <f>"DD2024101930442"</f>
        <v>DD2024101930442</v>
      </c>
      <c r="D5397" s="1" t="str">
        <f>"CK2024101920730"</f>
        <v>CK2024101920730</v>
      </c>
      <c r="E5397" s="1" t="str">
        <f>"3723403646244623360"</f>
        <v>3723403646244623360</v>
      </c>
      <c r="F5397" s="1" t="str">
        <f t="shared" si="1758"/>
        <v>花都四部-凤凰仓</v>
      </c>
      <c r="G5397" s="1" t="str">
        <f t="shared" si="1766"/>
        <v>卡卡杜企业店（视频号）</v>
      </c>
      <c r="H5397" s="1" t="str">
        <f t="shared" si="1759"/>
        <v>正常订单</v>
      </c>
      <c r="I5397" s="1" t="str">
        <f t="shared" si="1760"/>
        <v>已发货</v>
      </c>
      <c r="J5397" s="1" t="str">
        <f t="shared" si="1764"/>
        <v>2</v>
      </c>
      <c r="K5397" s="1">
        <v>2</v>
      </c>
      <c r="L5397" s="1" t="s">
        <v>105</v>
      </c>
      <c r="M5397" s="1" t="str">
        <f>"北京 北京市 海淀区 "</f>
        <v xml:space="preserve">北京 北京市 海淀区 </v>
      </c>
      <c r="N5397" s="1" t="str">
        <f t="shared" si="1767"/>
        <v>凡华云仓-城南圆通-微信视频号</v>
      </c>
      <c r="O5397" s="5" t="s">
        <v>5410</v>
      </c>
      <c r="P5397" s="6">
        <v>0.17</v>
      </c>
      <c r="Q5397" s="11">
        <v>2</v>
      </c>
      <c r="R5397" s="11"/>
      <c r="S5397" s="11"/>
      <c r="T5397" s="11"/>
      <c r="U5397" s="11">
        <f t="shared" si="1756"/>
        <v>2</v>
      </c>
      <c r="W5397">
        <v>2.2000000000000002</v>
      </c>
      <c r="X5397" s="1" t="s">
        <v>105</v>
      </c>
    </row>
    <row r="5398" spans="1:24" x14ac:dyDescent="0.25">
      <c r="A5398" s="1" t="str">
        <f t="shared" si="1757"/>
        <v>卡卡杜-凤凰仓</v>
      </c>
      <c r="B5398" s="1" t="str">
        <f>"CK2024101919930"</f>
        <v>CK2024101919930</v>
      </c>
      <c r="C5398" s="1" t="str">
        <f>"DD2024101930736"</f>
        <v>DD2024101930736</v>
      </c>
      <c r="D5398" s="1" t="str">
        <f>"CK2024101920729"</f>
        <v>CK2024101920729</v>
      </c>
      <c r="E5398" s="1" t="str">
        <f>"3723403667044959488"</f>
        <v>3723403667044959488</v>
      </c>
      <c r="F5398" s="1" t="str">
        <f t="shared" si="1758"/>
        <v>花都四部-凤凰仓</v>
      </c>
      <c r="G5398" s="1" t="str">
        <f t="shared" si="1766"/>
        <v>卡卡杜企业店（视频号）</v>
      </c>
      <c r="H5398" s="1" t="str">
        <f t="shared" si="1759"/>
        <v>正常订单</v>
      </c>
      <c r="I5398" s="1" t="str">
        <f t="shared" si="1760"/>
        <v>已发货</v>
      </c>
      <c r="J5398" s="1" t="str">
        <f>"3"</f>
        <v>3</v>
      </c>
      <c r="K5398" s="1">
        <v>2</v>
      </c>
      <c r="L5398" s="1" t="s">
        <v>105</v>
      </c>
      <c r="M5398" s="1" t="str">
        <f t="shared" si="1765"/>
        <v xml:space="preserve">北京 北京市 丰台区 </v>
      </c>
      <c r="N5398" s="1" t="str">
        <f t="shared" si="1767"/>
        <v>凡华云仓-城南圆通-微信视频号</v>
      </c>
      <c r="O5398" s="5" t="s">
        <v>5411</v>
      </c>
      <c r="P5398" s="6">
        <v>0.24</v>
      </c>
      <c r="Q5398" s="11">
        <v>2</v>
      </c>
      <c r="R5398" s="11"/>
      <c r="S5398" s="11"/>
      <c r="T5398" s="11"/>
      <c r="U5398" s="11">
        <f t="shared" si="1756"/>
        <v>2</v>
      </c>
      <c r="W5398">
        <v>2.2000000000000002</v>
      </c>
      <c r="X5398" s="1" t="s">
        <v>105</v>
      </c>
    </row>
    <row r="5399" spans="1:24" x14ac:dyDescent="0.25">
      <c r="A5399" s="1" t="str">
        <f t="shared" si="1757"/>
        <v>卡卡杜-凤凰仓</v>
      </c>
      <c r="B5399" s="1" t="str">
        <f>"CK2024101919684"</f>
        <v>CK2024101919684</v>
      </c>
      <c r="C5399" s="1" t="str">
        <f>"DD2024101930443"</f>
        <v>DD2024101930443</v>
      </c>
      <c r="D5399" s="1" t="str">
        <f>"CK2024101920728"</f>
        <v>CK2024101920728</v>
      </c>
      <c r="E5399" s="1" t="str">
        <f>"3723403659878994944"</f>
        <v>3723403659878994944</v>
      </c>
      <c r="F5399" s="1" t="str">
        <f t="shared" si="1758"/>
        <v>花都四部-凤凰仓</v>
      </c>
      <c r="G5399" s="1" t="str">
        <f t="shared" si="1766"/>
        <v>卡卡杜企业店（视频号）</v>
      </c>
      <c r="H5399" s="1" t="str">
        <f t="shared" si="1759"/>
        <v>正常订单</v>
      </c>
      <c r="I5399" s="1" t="str">
        <f t="shared" si="1760"/>
        <v>已发货</v>
      </c>
      <c r="J5399" s="1" t="str">
        <f t="shared" ref="J5399:J5408" si="1768">"2"</f>
        <v>2</v>
      </c>
      <c r="K5399" s="1">
        <v>2</v>
      </c>
      <c r="L5399" s="1" t="s">
        <v>18</v>
      </c>
      <c r="M5399" s="1" t="str">
        <f>"广东省 佛山市 南海区 "</f>
        <v xml:space="preserve">广东省 佛山市 南海区 </v>
      </c>
      <c r="N5399" s="1" t="str">
        <f t="shared" si="1767"/>
        <v>凡华云仓-城南圆通-微信视频号</v>
      </c>
      <c r="O5399" s="5" t="s">
        <v>5412</v>
      </c>
      <c r="P5399" s="6">
        <v>0.17</v>
      </c>
      <c r="Q5399" s="11">
        <v>2</v>
      </c>
      <c r="R5399" s="11"/>
      <c r="S5399" s="11"/>
      <c r="T5399" s="11"/>
      <c r="U5399" s="11">
        <f t="shared" si="1756"/>
        <v>2</v>
      </c>
      <c r="W5399">
        <v>2.2000000000000002</v>
      </c>
      <c r="X5399" s="1" t="s">
        <v>18</v>
      </c>
    </row>
    <row r="5400" spans="1:24" x14ac:dyDescent="0.25">
      <c r="A5400" s="1" t="str">
        <f t="shared" si="1757"/>
        <v>卡卡杜-凤凰仓</v>
      </c>
      <c r="B5400" s="1" t="str">
        <f>"CK2024101919929"</f>
        <v>CK2024101919929</v>
      </c>
      <c r="C5400" s="1" t="str">
        <f>"DD2024101930734"</f>
        <v>DD2024101930734</v>
      </c>
      <c r="D5400" s="1" t="str">
        <f>"CK2024101920727"</f>
        <v>CK2024101920727</v>
      </c>
      <c r="E5400" s="1" t="str">
        <f>"3723403658008069376"</f>
        <v>3723403658008069376</v>
      </c>
      <c r="F5400" s="1" t="str">
        <f t="shared" si="1758"/>
        <v>花都四部-凤凰仓</v>
      </c>
      <c r="G5400" s="1" t="str">
        <f t="shared" si="1766"/>
        <v>卡卡杜企业店（视频号）</v>
      </c>
      <c r="H5400" s="1" t="str">
        <f t="shared" si="1759"/>
        <v>正常订单</v>
      </c>
      <c r="I5400" s="1" t="str">
        <f t="shared" si="1760"/>
        <v>已发货</v>
      </c>
      <c r="J5400" s="1" t="str">
        <f>"3"</f>
        <v>3</v>
      </c>
      <c r="K5400" s="1">
        <v>2</v>
      </c>
      <c r="L5400" s="1" t="s">
        <v>32</v>
      </c>
      <c r="M5400" s="1" t="str">
        <f>"陕西省 宝鸡市 渭滨区 "</f>
        <v xml:space="preserve">陕西省 宝鸡市 渭滨区 </v>
      </c>
      <c r="N5400" s="1" t="str">
        <f t="shared" si="1767"/>
        <v>凡华云仓-城南圆通-微信视频号</v>
      </c>
      <c r="O5400" s="5" t="s">
        <v>5413</v>
      </c>
      <c r="P5400" s="6">
        <v>0.24</v>
      </c>
      <c r="Q5400" s="11">
        <v>2</v>
      </c>
      <c r="R5400" s="11"/>
      <c r="S5400" s="11"/>
      <c r="T5400" s="11"/>
      <c r="U5400" s="11">
        <f t="shared" si="1756"/>
        <v>2</v>
      </c>
      <c r="W5400">
        <v>2.2000000000000002</v>
      </c>
      <c r="X5400" s="1" t="s">
        <v>32</v>
      </c>
    </row>
    <row r="5401" spans="1:24" x14ac:dyDescent="0.25">
      <c r="A5401" s="1" t="str">
        <f t="shared" si="1757"/>
        <v>卡卡杜-凤凰仓</v>
      </c>
      <c r="B5401" s="1" t="str">
        <f>"CK2024101919685"</f>
        <v>CK2024101919685</v>
      </c>
      <c r="C5401" s="1" t="str">
        <f>"DD2024101930444"</f>
        <v>DD2024101930444</v>
      </c>
      <c r="D5401" s="1" t="str">
        <f>"CK2024101920726"</f>
        <v>CK2024101920726</v>
      </c>
      <c r="E5401" s="1" t="str">
        <f>"3723403651149075456"</f>
        <v>3723403651149075456</v>
      </c>
      <c r="F5401" s="1" t="str">
        <f t="shared" si="1758"/>
        <v>花都四部-凤凰仓</v>
      </c>
      <c r="G5401" s="1" t="str">
        <f t="shared" si="1766"/>
        <v>卡卡杜企业店（视频号）</v>
      </c>
      <c r="H5401" s="1" t="str">
        <f t="shared" si="1759"/>
        <v>正常订单</v>
      </c>
      <c r="I5401" s="1" t="str">
        <f t="shared" si="1760"/>
        <v>已发货</v>
      </c>
      <c r="J5401" s="1" t="str">
        <f t="shared" si="1768"/>
        <v>2</v>
      </c>
      <c r="K5401" s="1">
        <v>2</v>
      </c>
      <c r="L5401" s="1" t="s">
        <v>16</v>
      </c>
      <c r="M5401" s="1" t="str">
        <f>"河北省 廊坊市 大厂回族自治县 "</f>
        <v xml:space="preserve">河北省 廊坊市 大厂回族自治县 </v>
      </c>
      <c r="N5401" s="1" t="str">
        <f t="shared" si="1767"/>
        <v>凡华云仓-城南圆通-微信视频号</v>
      </c>
      <c r="O5401" s="5" t="s">
        <v>5414</v>
      </c>
      <c r="P5401" s="6">
        <v>0.17</v>
      </c>
      <c r="Q5401" s="11">
        <v>2</v>
      </c>
      <c r="R5401" s="11"/>
      <c r="S5401" s="11"/>
      <c r="T5401" s="11"/>
      <c r="U5401" s="11">
        <f t="shared" si="1756"/>
        <v>2</v>
      </c>
      <c r="W5401">
        <v>2.2000000000000002</v>
      </c>
      <c r="X5401" s="1" t="s">
        <v>16</v>
      </c>
    </row>
    <row r="5402" spans="1:24" x14ac:dyDescent="0.25">
      <c r="A5402" s="1" t="str">
        <f t="shared" si="1757"/>
        <v>卡卡杜-凤凰仓</v>
      </c>
      <c r="B5402" s="1" t="str">
        <f>"CK2024101919691"</f>
        <v>CK2024101919691</v>
      </c>
      <c r="C5402" s="1" t="str">
        <f>"DD2024101930450"</f>
        <v>DD2024101930450</v>
      </c>
      <c r="D5402" s="1" t="str">
        <f>"CK2024101920725"</f>
        <v>CK2024101920725</v>
      </c>
      <c r="E5402" s="1" t="str">
        <f>"3723403643253035009"</f>
        <v>3723403643253035009</v>
      </c>
      <c r="F5402" s="1" t="str">
        <f t="shared" si="1758"/>
        <v>花都四部-凤凰仓</v>
      </c>
      <c r="G5402" s="1" t="str">
        <f t="shared" si="1766"/>
        <v>卡卡杜企业店（视频号）</v>
      </c>
      <c r="H5402" s="1" t="str">
        <f t="shared" si="1759"/>
        <v>正常订单</v>
      </c>
      <c r="I5402" s="1" t="str">
        <f t="shared" si="1760"/>
        <v>已发货</v>
      </c>
      <c r="J5402" s="1" t="str">
        <f t="shared" si="1768"/>
        <v>2</v>
      </c>
      <c r="K5402" s="1">
        <v>2</v>
      </c>
      <c r="L5402" s="1" t="s">
        <v>13</v>
      </c>
      <c r="M5402" s="1" t="str">
        <f>"江苏省 南京市 江宁区 "</f>
        <v xml:space="preserve">江苏省 南京市 江宁区 </v>
      </c>
      <c r="N5402" s="1" t="str">
        <f t="shared" si="1767"/>
        <v>凡华云仓-城南圆通-微信视频号</v>
      </c>
      <c r="O5402" s="5" t="s">
        <v>5415</v>
      </c>
      <c r="P5402" s="6">
        <v>0.17</v>
      </c>
      <c r="Q5402" s="11">
        <v>2</v>
      </c>
      <c r="R5402" s="11"/>
      <c r="S5402" s="11"/>
      <c r="T5402" s="11"/>
      <c r="U5402" s="11">
        <f t="shared" si="1756"/>
        <v>2</v>
      </c>
      <c r="W5402">
        <v>2.2000000000000002</v>
      </c>
      <c r="X5402" s="1" t="s">
        <v>13</v>
      </c>
    </row>
    <row r="5403" spans="1:24" x14ac:dyDescent="0.25">
      <c r="A5403" s="1" t="str">
        <f t="shared" si="1757"/>
        <v>卡卡杜-凤凰仓</v>
      </c>
      <c r="B5403" s="1" t="str">
        <f>"CK2024101919690"</f>
        <v>CK2024101919690</v>
      </c>
      <c r="C5403" s="1" t="str">
        <f>"DD2024101930449"</f>
        <v>DD2024101930449</v>
      </c>
      <c r="D5403" s="1" t="str">
        <f>"CK2024101920724"</f>
        <v>CK2024101920724</v>
      </c>
      <c r="E5403" s="1" t="str">
        <f>"3723403640578901504"</f>
        <v>3723403640578901504</v>
      </c>
      <c r="F5403" s="1" t="str">
        <f t="shared" si="1758"/>
        <v>花都四部-凤凰仓</v>
      </c>
      <c r="G5403" s="1" t="str">
        <f t="shared" si="1766"/>
        <v>卡卡杜企业店（视频号）</v>
      </c>
      <c r="H5403" s="1" t="str">
        <f t="shared" si="1759"/>
        <v>正常订单</v>
      </c>
      <c r="I5403" s="1" t="str">
        <f t="shared" si="1760"/>
        <v>已发货</v>
      </c>
      <c r="J5403" s="1" t="str">
        <f t="shared" si="1768"/>
        <v>2</v>
      </c>
      <c r="K5403" s="1">
        <v>2</v>
      </c>
      <c r="L5403" s="1" t="s">
        <v>18</v>
      </c>
      <c r="M5403" s="1" t="str">
        <f>"广东省 广州市 荔湾区 "</f>
        <v xml:space="preserve">广东省 广州市 荔湾区 </v>
      </c>
      <c r="N5403" s="1" t="str">
        <f t="shared" si="1767"/>
        <v>凡华云仓-城南圆通-微信视频号</v>
      </c>
      <c r="O5403" s="5" t="s">
        <v>5416</v>
      </c>
      <c r="P5403" s="6">
        <v>0.17</v>
      </c>
      <c r="Q5403" s="11">
        <v>2</v>
      </c>
      <c r="R5403" s="11"/>
      <c r="S5403" s="11"/>
      <c r="T5403" s="11"/>
      <c r="U5403" s="11">
        <f t="shared" si="1756"/>
        <v>2</v>
      </c>
      <c r="W5403">
        <v>2.2000000000000002</v>
      </c>
      <c r="X5403" s="1" t="s">
        <v>18</v>
      </c>
    </row>
    <row r="5404" spans="1:24" x14ac:dyDescent="0.25">
      <c r="A5404" s="1" t="str">
        <f t="shared" si="1757"/>
        <v>卡卡杜-凤凰仓</v>
      </c>
      <c r="B5404" s="1" t="str">
        <f>"CK2024101919686"</f>
        <v>CK2024101919686</v>
      </c>
      <c r="C5404" s="1" t="str">
        <f>"DD2024101930446"</f>
        <v>DD2024101930446</v>
      </c>
      <c r="D5404" s="1" t="str">
        <f>"CK2024101920723"</f>
        <v>CK2024101920723</v>
      </c>
      <c r="E5404" s="1" t="str">
        <f>"3723403650322273280"</f>
        <v>3723403650322273280</v>
      </c>
      <c r="F5404" s="1" t="str">
        <f t="shared" si="1758"/>
        <v>花都四部-凤凰仓</v>
      </c>
      <c r="G5404" s="1" t="str">
        <f t="shared" si="1766"/>
        <v>卡卡杜企业店（视频号）</v>
      </c>
      <c r="H5404" s="1" t="str">
        <f t="shared" si="1759"/>
        <v>正常订单</v>
      </c>
      <c r="I5404" s="1" t="str">
        <f t="shared" si="1760"/>
        <v>已发货</v>
      </c>
      <c r="J5404" s="1" t="str">
        <f t="shared" si="1768"/>
        <v>2</v>
      </c>
      <c r="K5404" s="1">
        <v>2</v>
      </c>
      <c r="L5404" s="1" t="s">
        <v>18</v>
      </c>
      <c r="M5404" s="1" t="str">
        <f>"广东省 佛山市 禅城区 "</f>
        <v xml:space="preserve">广东省 佛山市 禅城区 </v>
      </c>
      <c r="N5404" s="1" t="str">
        <f t="shared" si="1767"/>
        <v>凡华云仓-城南圆通-微信视频号</v>
      </c>
      <c r="O5404" s="5" t="s">
        <v>5417</v>
      </c>
      <c r="P5404" s="6">
        <v>0.17</v>
      </c>
      <c r="Q5404" s="11">
        <v>2</v>
      </c>
      <c r="R5404" s="11"/>
      <c r="S5404" s="11"/>
      <c r="T5404" s="11"/>
      <c r="U5404" s="11">
        <f t="shared" si="1756"/>
        <v>2</v>
      </c>
      <c r="W5404">
        <v>2.2000000000000002</v>
      </c>
      <c r="X5404" s="1" t="s">
        <v>18</v>
      </c>
    </row>
    <row r="5405" spans="1:24" x14ac:dyDescent="0.25">
      <c r="A5405" s="1" t="str">
        <f t="shared" si="1757"/>
        <v>卡卡杜-凤凰仓</v>
      </c>
      <c r="B5405" s="1" t="str">
        <f>"CK2024101919687"</f>
        <v>CK2024101919687</v>
      </c>
      <c r="C5405" s="1" t="str">
        <f>"DD2024101930445"</f>
        <v>DD2024101930445</v>
      </c>
      <c r="D5405" s="1" t="str">
        <f>"CK2024101920722"</f>
        <v>CK2024101920722</v>
      </c>
      <c r="E5405" s="1" t="str">
        <f>"3723403645516647424"</f>
        <v>3723403645516647424</v>
      </c>
      <c r="F5405" s="1" t="str">
        <f t="shared" si="1758"/>
        <v>花都四部-凤凰仓</v>
      </c>
      <c r="G5405" s="1" t="str">
        <f t="shared" si="1766"/>
        <v>卡卡杜企业店（视频号）</v>
      </c>
      <c r="H5405" s="1" t="str">
        <f t="shared" si="1759"/>
        <v>正常订单</v>
      </c>
      <c r="I5405" s="1" t="str">
        <f t="shared" si="1760"/>
        <v>已发货</v>
      </c>
      <c r="J5405" s="1" t="str">
        <f t="shared" si="1768"/>
        <v>2</v>
      </c>
      <c r="K5405" s="1">
        <v>2</v>
      </c>
      <c r="L5405" s="1" t="s">
        <v>54</v>
      </c>
      <c r="M5405" s="1" t="str">
        <f>"黑龙江省 哈尔滨市 香坊区 "</f>
        <v xml:space="preserve">黑龙江省 哈尔滨市 香坊区 </v>
      </c>
      <c r="N5405" s="1" t="str">
        <f t="shared" si="1767"/>
        <v>凡华云仓-城南圆通-微信视频号</v>
      </c>
      <c r="O5405" s="5" t="s">
        <v>5418</v>
      </c>
      <c r="P5405" s="6">
        <v>0.17</v>
      </c>
      <c r="Q5405" s="11">
        <v>2</v>
      </c>
      <c r="R5405" s="11"/>
      <c r="S5405" s="11"/>
      <c r="T5405" s="11"/>
      <c r="U5405" s="11">
        <f t="shared" si="1756"/>
        <v>2</v>
      </c>
      <c r="W5405">
        <v>2.2000000000000002</v>
      </c>
      <c r="X5405" s="1" t="s">
        <v>54</v>
      </c>
    </row>
    <row r="5406" spans="1:24" x14ac:dyDescent="0.25">
      <c r="A5406" s="1" t="str">
        <f t="shared" si="1757"/>
        <v>卡卡杜-凤凰仓</v>
      </c>
      <c r="B5406" s="1" t="str">
        <f>"CK2024101919689"</f>
        <v>CK2024101919689</v>
      </c>
      <c r="C5406" s="1" t="str">
        <f>"DD2024101930448"</f>
        <v>DD2024101930448</v>
      </c>
      <c r="D5406" s="1" t="str">
        <f>"CK2024101920721"</f>
        <v>CK2024101920721</v>
      </c>
      <c r="E5406" s="1" t="str">
        <f>"3723403648577440768"</f>
        <v>3723403648577440768</v>
      </c>
      <c r="F5406" s="1" t="str">
        <f t="shared" si="1758"/>
        <v>花都四部-凤凰仓</v>
      </c>
      <c r="G5406" s="1" t="str">
        <f t="shared" si="1766"/>
        <v>卡卡杜企业店（视频号）</v>
      </c>
      <c r="H5406" s="1" t="str">
        <f t="shared" si="1759"/>
        <v>正常订单</v>
      </c>
      <c r="I5406" s="1" t="str">
        <f t="shared" si="1760"/>
        <v>已发货</v>
      </c>
      <c r="J5406" s="1" t="str">
        <f t="shared" si="1768"/>
        <v>2</v>
      </c>
      <c r="K5406" s="1">
        <v>2</v>
      </c>
      <c r="L5406" s="1" t="s">
        <v>105</v>
      </c>
      <c r="M5406" s="1" t="str">
        <f>"北京 北京市 朝阳区 "</f>
        <v xml:space="preserve">北京 北京市 朝阳区 </v>
      </c>
      <c r="N5406" s="1" t="str">
        <f t="shared" si="1767"/>
        <v>凡华云仓-城南圆通-微信视频号</v>
      </c>
      <c r="O5406" s="5" t="s">
        <v>5419</v>
      </c>
      <c r="P5406" s="6">
        <v>0.17</v>
      </c>
      <c r="Q5406" s="11">
        <v>2</v>
      </c>
      <c r="R5406" s="11"/>
      <c r="S5406" s="11"/>
      <c r="T5406" s="11"/>
      <c r="U5406" s="11">
        <f t="shared" si="1756"/>
        <v>2</v>
      </c>
      <c r="W5406">
        <v>2.2000000000000002</v>
      </c>
      <c r="X5406" s="1" t="s">
        <v>105</v>
      </c>
    </row>
    <row r="5407" spans="1:24" x14ac:dyDescent="0.25">
      <c r="A5407" s="1" t="str">
        <f t="shared" si="1757"/>
        <v>卡卡杜-凤凰仓</v>
      </c>
      <c r="B5407" s="1" t="str">
        <f>"CK2024101919688"</f>
        <v>CK2024101919688</v>
      </c>
      <c r="C5407" s="1" t="str">
        <f>"DD2024101930447"</f>
        <v>DD2024101930447</v>
      </c>
      <c r="D5407" s="1" t="str">
        <f>"CK2024101920720"</f>
        <v>CK2024101920720</v>
      </c>
      <c r="E5407" s="1" t="str">
        <f>"3723403649411322880"</f>
        <v>3723403649411322880</v>
      </c>
      <c r="F5407" s="1" t="str">
        <f t="shared" si="1758"/>
        <v>花都四部-凤凰仓</v>
      </c>
      <c r="G5407" s="1" t="str">
        <f t="shared" si="1766"/>
        <v>卡卡杜企业店（视频号）</v>
      </c>
      <c r="H5407" s="1" t="str">
        <f t="shared" si="1759"/>
        <v>正常订单</v>
      </c>
      <c r="I5407" s="1" t="str">
        <f t="shared" si="1760"/>
        <v>已发货</v>
      </c>
      <c r="J5407" s="1" t="str">
        <f t="shared" si="1768"/>
        <v>2</v>
      </c>
      <c r="K5407" s="1">
        <v>2</v>
      </c>
      <c r="L5407" s="1" t="s">
        <v>32</v>
      </c>
      <c r="M5407" s="1" t="str">
        <f>"陕西省 宝鸡市 渭滨区 "</f>
        <v xml:space="preserve">陕西省 宝鸡市 渭滨区 </v>
      </c>
      <c r="N5407" s="1" t="str">
        <f t="shared" si="1767"/>
        <v>凡华云仓-城南圆通-微信视频号</v>
      </c>
      <c r="O5407" s="5" t="s">
        <v>5420</v>
      </c>
      <c r="P5407" s="6">
        <v>0.17</v>
      </c>
      <c r="Q5407" s="11">
        <v>2</v>
      </c>
      <c r="R5407" s="11"/>
      <c r="S5407" s="11"/>
      <c r="T5407" s="11"/>
      <c r="U5407" s="11">
        <f t="shared" si="1756"/>
        <v>2</v>
      </c>
      <c r="W5407">
        <v>2.2000000000000002</v>
      </c>
      <c r="X5407" s="1" t="s">
        <v>32</v>
      </c>
    </row>
    <row r="5408" spans="1:24" x14ac:dyDescent="0.25">
      <c r="A5408" s="1" t="str">
        <f t="shared" si="1757"/>
        <v>卡卡杜-凤凰仓</v>
      </c>
      <c r="B5408" s="1" t="str">
        <f>"CK2024101919693"</f>
        <v>CK2024101919693</v>
      </c>
      <c r="C5408" s="1" t="str">
        <f>"DD2024101930452"</f>
        <v>DD2024101930452</v>
      </c>
      <c r="D5408" s="1" t="str">
        <f>"CK2024101920719"</f>
        <v>CK2024101920719</v>
      </c>
      <c r="E5408" s="1" t="str">
        <f>"3723403644194393088"</f>
        <v>3723403644194393088</v>
      </c>
      <c r="F5408" s="1" t="str">
        <f t="shared" si="1758"/>
        <v>花都四部-凤凰仓</v>
      </c>
      <c r="G5408" s="1" t="str">
        <f t="shared" si="1766"/>
        <v>卡卡杜企业店（视频号）</v>
      </c>
      <c r="H5408" s="1" t="str">
        <f t="shared" si="1759"/>
        <v>正常订单</v>
      </c>
      <c r="I5408" s="1" t="str">
        <f t="shared" si="1760"/>
        <v>已发货</v>
      </c>
      <c r="J5408" s="1" t="str">
        <f t="shared" si="1768"/>
        <v>2</v>
      </c>
      <c r="K5408" s="1">
        <v>2</v>
      </c>
      <c r="L5408" s="1" t="s">
        <v>13</v>
      </c>
      <c r="M5408" s="1" t="str">
        <f>"江苏省 南京市 玄武区 "</f>
        <v xml:space="preserve">江苏省 南京市 玄武区 </v>
      </c>
      <c r="N5408" s="1" t="str">
        <f t="shared" si="1767"/>
        <v>凡华云仓-城南圆通-微信视频号</v>
      </c>
      <c r="O5408" s="5" t="s">
        <v>5421</v>
      </c>
      <c r="P5408" s="6">
        <v>0.17</v>
      </c>
      <c r="Q5408" s="11">
        <v>2</v>
      </c>
      <c r="R5408" s="11"/>
      <c r="S5408" s="11"/>
      <c r="T5408" s="11"/>
      <c r="U5408" s="11">
        <f t="shared" si="1756"/>
        <v>2</v>
      </c>
      <c r="W5408">
        <v>2.2000000000000002</v>
      </c>
      <c r="X5408" s="1" t="s">
        <v>13</v>
      </c>
    </row>
    <row r="5409" spans="1:24" x14ac:dyDescent="0.25">
      <c r="A5409" s="1" t="str">
        <f t="shared" si="1757"/>
        <v>卡卡杜-凤凰仓</v>
      </c>
      <c r="B5409" s="1" t="str">
        <f>"CK2024101919881"</f>
        <v>CK2024101919881</v>
      </c>
      <c r="C5409" s="1" t="str">
        <f>"DD2024101930646"</f>
        <v>DD2024101930646</v>
      </c>
      <c r="D5409" s="1" t="str">
        <f>"CK2024101920718"</f>
        <v>CK2024101920718</v>
      </c>
      <c r="E5409" s="1" t="str">
        <f>"3723403647040750848"</f>
        <v>3723403647040750848</v>
      </c>
      <c r="F5409" s="1" t="str">
        <f t="shared" si="1758"/>
        <v>花都四部-凤凰仓</v>
      </c>
      <c r="G5409" s="1" t="str">
        <f t="shared" si="1766"/>
        <v>卡卡杜企业店（视频号）</v>
      </c>
      <c r="H5409" s="1" t="str">
        <f t="shared" si="1759"/>
        <v>正常订单</v>
      </c>
      <c r="I5409" s="1" t="str">
        <f t="shared" si="1760"/>
        <v>已发货</v>
      </c>
      <c r="J5409" s="1" t="str">
        <f>"3"</f>
        <v>3</v>
      </c>
      <c r="K5409" s="1">
        <v>2</v>
      </c>
      <c r="L5409" s="1" t="s">
        <v>74</v>
      </c>
      <c r="M5409" s="1" t="str">
        <f>"上海 上海市 徐汇区 "</f>
        <v xml:space="preserve">上海 上海市 徐汇区 </v>
      </c>
      <c r="N5409" s="1" t="str">
        <f t="shared" si="1767"/>
        <v>凡华云仓-城南圆通-微信视频号</v>
      </c>
      <c r="O5409" s="5" t="s">
        <v>5422</v>
      </c>
      <c r="P5409" s="6">
        <v>0.24</v>
      </c>
      <c r="Q5409" s="11">
        <v>2</v>
      </c>
      <c r="R5409" s="11"/>
      <c r="S5409" s="11"/>
      <c r="T5409" s="11"/>
      <c r="U5409" s="11">
        <f t="shared" si="1756"/>
        <v>2</v>
      </c>
      <c r="W5409">
        <v>2.2000000000000002</v>
      </c>
      <c r="X5409" s="1" t="s">
        <v>74</v>
      </c>
    </row>
    <row r="5410" spans="1:24" x14ac:dyDescent="0.25">
      <c r="A5410" s="1" t="str">
        <f t="shared" si="1757"/>
        <v>卡卡杜-凤凰仓</v>
      </c>
      <c r="B5410" s="1" t="str">
        <f>"CK2024101919692"</f>
        <v>CK2024101919692</v>
      </c>
      <c r="C5410" s="1" t="str">
        <f>"DD2024101930451"</f>
        <v>DD2024101930451</v>
      </c>
      <c r="D5410" s="1" t="str">
        <f>"CK2024101920717"</f>
        <v>CK2024101920717</v>
      </c>
      <c r="E5410" s="1" t="str">
        <f>"3723403644862596608"</f>
        <v>3723403644862596608</v>
      </c>
      <c r="F5410" s="1" t="str">
        <f t="shared" si="1758"/>
        <v>花都四部-凤凰仓</v>
      </c>
      <c r="G5410" s="1" t="str">
        <f t="shared" si="1766"/>
        <v>卡卡杜企业店（视频号）</v>
      </c>
      <c r="H5410" s="1" t="str">
        <f t="shared" si="1759"/>
        <v>正常订单</v>
      </c>
      <c r="I5410" s="1" t="str">
        <f t="shared" si="1760"/>
        <v>已发货</v>
      </c>
      <c r="J5410" s="1" t="str">
        <f t="shared" ref="J5410:J5413" si="1769">"2"</f>
        <v>2</v>
      </c>
      <c r="K5410" s="1">
        <v>2</v>
      </c>
      <c r="L5410" s="1" t="s">
        <v>13</v>
      </c>
      <c r="M5410" s="1" t="str">
        <f>"江苏省 南通市 崇川区 "</f>
        <v xml:space="preserve">江苏省 南通市 崇川区 </v>
      </c>
      <c r="N5410" s="1" t="str">
        <f t="shared" si="1767"/>
        <v>凡华云仓-城南圆通-微信视频号</v>
      </c>
      <c r="O5410" s="5" t="s">
        <v>5423</v>
      </c>
      <c r="P5410" s="6">
        <v>0.17</v>
      </c>
      <c r="Q5410" s="11">
        <v>2</v>
      </c>
      <c r="R5410" s="11"/>
      <c r="S5410" s="11"/>
      <c r="T5410" s="11"/>
      <c r="U5410" s="11">
        <f t="shared" si="1756"/>
        <v>2</v>
      </c>
      <c r="W5410">
        <v>2.2000000000000002</v>
      </c>
      <c r="X5410" s="1" t="s">
        <v>13</v>
      </c>
    </row>
    <row r="5411" spans="1:24" x14ac:dyDescent="0.25">
      <c r="A5411" s="1" t="str">
        <f t="shared" si="1757"/>
        <v>卡卡杜-凤凰仓</v>
      </c>
      <c r="B5411" s="1" t="str">
        <f>"CK2024101919694"</f>
        <v>CK2024101919694</v>
      </c>
      <c r="C5411" s="1" t="str">
        <f>"DD2024101930453"</f>
        <v>DD2024101930453</v>
      </c>
      <c r="D5411" s="1" t="str">
        <f>"CK2024101920716"</f>
        <v>CK2024101920716</v>
      </c>
      <c r="E5411" s="1" t="str">
        <f>"3723403642743689216"</f>
        <v>3723403642743689216</v>
      </c>
      <c r="F5411" s="1" t="str">
        <f t="shared" si="1758"/>
        <v>花都四部-凤凰仓</v>
      </c>
      <c r="G5411" s="1" t="str">
        <f t="shared" si="1766"/>
        <v>卡卡杜企业店（视频号）</v>
      </c>
      <c r="H5411" s="1" t="str">
        <f t="shared" si="1759"/>
        <v>正常订单</v>
      </c>
      <c r="I5411" s="1" t="str">
        <f t="shared" si="1760"/>
        <v>已发货</v>
      </c>
      <c r="J5411" s="1" t="str">
        <f t="shared" si="1769"/>
        <v>2</v>
      </c>
      <c r="K5411" s="1">
        <v>2</v>
      </c>
      <c r="L5411" s="1" t="s">
        <v>80</v>
      </c>
      <c r="M5411" s="1" t="str">
        <f>"河南省 郑州市 金水区 "</f>
        <v xml:space="preserve">河南省 郑州市 金水区 </v>
      </c>
      <c r="N5411" s="1" t="str">
        <f t="shared" si="1767"/>
        <v>凡华云仓-城南圆通-微信视频号</v>
      </c>
      <c r="O5411" s="5" t="s">
        <v>5424</v>
      </c>
      <c r="P5411" s="6">
        <v>0.17</v>
      </c>
      <c r="Q5411" s="11">
        <v>2</v>
      </c>
      <c r="R5411" s="11"/>
      <c r="S5411" s="11"/>
      <c r="T5411" s="11"/>
      <c r="U5411" s="11">
        <f t="shared" si="1756"/>
        <v>2</v>
      </c>
      <c r="W5411">
        <v>2.2000000000000002</v>
      </c>
      <c r="X5411" s="1" t="s">
        <v>80</v>
      </c>
    </row>
    <row r="5412" spans="1:24" x14ac:dyDescent="0.25">
      <c r="A5412" s="1" t="str">
        <f t="shared" si="1757"/>
        <v>卡卡杜-凤凰仓</v>
      </c>
      <c r="B5412" s="1" t="str">
        <f>"CK2024101919695"</f>
        <v>CK2024101919695</v>
      </c>
      <c r="C5412" s="1" t="str">
        <f>"DD2024101930454"</f>
        <v>DD2024101930454</v>
      </c>
      <c r="D5412" s="1" t="str">
        <f>"CK2024101920715"</f>
        <v>CK2024101920715</v>
      </c>
      <c r="E5412" s="1" t="str">
        <f>"3723403638233238528"</f>
        <v>3723403638233238528</v>
      </c>
      <c r="F5412" s="1" t="str">
        <f t="shared" si="1758"/>
        <v>花都四部-凤凰仓</v>
      </c>
      <c r="G5412" s="1" t="str">
        <f t="shared" si="1766"/>
        <v>卡卡杜企业店（视频号）</v>
      </c>
      <c r="H5412" s="1" t="str">
        <f t="shared" si="1759"/>
        <v>正常订单</v>
      </c>
      <c r="I5412" s="1" t="str">
        <f t="shared" si="1760"/>
        <v>已发货</v>
      </c>
      <c r="J5412" s="1" t="str">
        <f t="shared" si="1769"/>
        <v>2</v>
      </c>
      <c r="K5412" s="1">
        <v>2</v>
      </c>
      <c r="L5412" s="1" t="s">
        <v>161</v>
      </c>
      <c r="M5412" s="1" t="str">
        <f>"四川省 成都市 青羊区 "</f>
        <v xml:space="preserve">四川省 成都市 青羊区 </v>
      </c>
      <c r="N5412" s="1" t="str">
        <f t="shared" si="1767"/>
        <v>凡华云仓-城南圆通-微信视频号</v>
      </c>
      <c r="O5412" s="5" t="s">
        <v>5425</v>
      </c>
      <c r="P5412" s="6">
        <v>0.17</v>
      </c>
      <c r="Q5412" s="11">
        <v>2</v>
      </c>
      <c r="R5412" s="11"/>
      <c r="S5412" s="11"/>
      <c r="T5412" s="11"/>
      <c r="U5412" s="11">
        <f t="shared" si="1756"/>
        <v>2</v>
      </c>
      <c r="W5412">
        <v>2.2000000000000002</v>
      </c>
      <c r="X5412" s="1" t="s">
        <v>161</v>
      </c>
    </row>
    <row r="5413" spans="1:24" x14ac:dyDescent="0.25">
      <c r="A5413" s="1" t="str">
        <f t="shared" si="1757"/>
        <v>卡卡杜-凤凰仓</v>
      </c>
      <c r="B5413" s="1" t="str">
        <f>"CK2024101919697"</f>
        <v>CK2024101919697</v>
      </c>
      <c r="C5413" s="1" t="str">
        <f>"DD2024101930455"</f>
        <v>DD2024101930455</v>
      </c>
      <c r="D5413" s="1" t="str">
        <f>"CK2024101920714"</f>
        <v>CK2024101920714</v>
      </c>
      <c r="E5413" s="1" t="str">
        <f>"3723403637118076416"</f>
        <v>3723403637118076416</v>
      </c>
      <c r="F5413" s="1" t="str">
        <f t="shared" si="1758"/>
        <v>花都四部-凤凰仓</v>
      </c>
      <c r="G5413" s="1" t="str">
        <f t="shared" si="1766"/>
        <v>卡卡杜企业店（视频号）</v>
      </c>
      <c r="H5413" s="1" t="str">
        <f t="shared" si="1759"/>
        <v>正常订单</v>
      </c>
      <c r="I5413" s="1" t="str">
        <f t="shared" si="1760"/>
        <v>已发货</v>
      </c>
      <c r="J5413" s="1" t="str">
        <f t="shared" si="1769"/>
        <v>2</v>
      </c>
      <c r="K5413" s="1">
        <v>2</v>
      </c>
      <c r="L5413" s="1" t="s">
        <v>80</v>
      </c>
      <c r="M5413" s="1" t="str">
        <f>"河南省 郑州市 中原区 "</f>
        <v xml:space="preserve">河南省 郑州市 中原区 </v>
      </c>
      <c r="N5413" s="1" t="str">
        <f t="shared" si="1767"/>
        <v>凡华云仓-城南圆通-微信视频号</v>
      </c>
      <c r="O5413" s="5" t="s">
        <v>5426</v>
      </c>
      <c r="P5413" s="6">
        <v>0.17</v>
      </c>
      <c r="Q5413" s="11">
        <v>2</v>
      </c>
      <c r="R5413" s="11"/>
      <c r="S5413" s="11"/>
      <c r="T5413" s="11"/>
      <c r="U5413" s="11">
        <f t="shared" si="1756"/>
        <v>2</v>
      </c>
      <c r="W5413">
        <v>2.2000000000000002</v>
      </c>
      <c r="X5413" s="1" t="s">
        <v>80</v>
      </c>
    </row>
    <row r="5414" spans="1:24" x14ac:dyDescent="0.25">
      <c r="A5414" s="1" t="str">
        <f t="shared" si="1757"/>
        <v>卡卡杜-凤凰仓</v>
      </c>
      <c r="B5414" s="1" t="str">
        <f>"CK2024101919696"</f>
        <v>CK2024101919696</v>
      </c>
      <c r="C5414" s="1" t="str">
        <f>"DD2024101930456"</f>
        <v>DD2024101930456</v>
      </c>
      <c r="D5414" s="1" t="str">
        <f>"CK2024101920713"</f>
        <v>CK2024101920713</v>
      </c>
      <c r="E5414" s="1" t="str">
        <f>"3723403628369021952"</f>
        <v>3723403628369021952</v>
      </c>
      <c r="F5414" s="1" t="str">
        <f t="shared" si="1758"/>
        <v>花都四部-凤凰仓</v>
      </c>
      <c r="G5414" s="1" t="str">
        <f t="shared" si="1766"/>
        <v>卡卡杜企业店（视频号）</v>
      </c>
      <c r="H5414" s="1" t="str">
        <f t="shared" si="1759"/>
        <v>正常订单</v>
      </c>
      <c r="I5414" s="1" t="str">
        <f t="shared" si="1760"/>
        <v>已发货</v>
      </c>
      <c r="J5414" s="1" t="str">
        <f>"3"</f>
        <v>3</v>
      </c>
      <c r="K5414" s="1">
        <v>2</v>
      </c>
      <c r="L5414" s="1" t="s">
        <v>16</v>
      </c>
      <c r="M5414" s="1" t="str">
        <f>"河北省 廊坊市 三河市 "</f>
        <v xml:space="preserve">河北省 廊坊市 三河市 </v>
      </c>
      <c r="N5414" s="1" t="str">
        <f t="shared" si="1767"/>
        <v>凡华云仓-城南圆通-微信视频号</v>
      </c>
      <c r="O5414" s="5" t="s">
        <v>5427</v>
      </c>
      <c r="P5414" s="6">
        <v>0.24</v>
      </c>
      <c r="Q5414" s="11">
        <v>2</v>
      </c>
      <c r="R5414" s="11"/>
      <c r="S5414" s="11"/>
      <c r="T5414" s="11"/>
      <c r="U5414" s="11">
        <f t="shared" si="1756"/>
        <v>2</v>
      </c>
      <c r="W5414">
        <v>2.2000000000000002</v>
      </c>
      <c r="X5414" s="1" t="s">
        <v>16</v>
      </c>
    </row>
    <row r="5415" spans="1:24" x14ac:dyDescent="0.25">
      <c r="A5415" s="1" t="str">
        <f t="shared" si="1757"/>
        <v>卡卡杜-凤凰仓</v>
      </c>
      <c r="B5415" s="1" t="str">
        <f>"CK2024101919698"</f>
        <v>CK2024101919698</v>
      </c>
      <c r="C5415" s="1" t="str">
        <f>"DD2024101930457"</f>
        <v>DD2024101930457</v>
      </c>
      <c r="D5415" s="1" t="str">
        <f>"CK2024101920712"</f>
        <v>CK2024101920712</v>
      </c>
      <c r="E5415" s="1" t="str">
        <f>"3723403636559185152"</f>
        <v>3723403636559185152</v>
      </c>
      <c r="F5415" s="1" t="str">
        <f t="shared" si="1758"/>
        <v>花都四部-凤凰仓</v>
      </c>
      <c r="G5415" s="1" t="str">
        <f t="shared" si="1766"/>
        <v>卡卡杜企业店（视频号）</v>
      </c>
      <c r="H5415" s="1" t="str">
        <f t="shared" si="1759"/>
        <v>正常订单</v>
      </c>
      <c r="I5415" s="1" t="str">
        <f t="shared" si="1760"/>
        <v>已发货</v>
      </c>
      <c r="J5415" s="1" t="str">
        <f t="shared" ref="J5415:J5429" si="1770">"2"</f>
        <v>2</v>
      </c>
      <c r="K5415" s="1">
        <v>2</v>
      </c>
      <c r="L5415" s="1" t="s">
        <v>1111</v>
      </c>
      <c r="M5415" s="1" t="str">
        <f>"青海省 西宁市 城西区 "</f>
        <v xml:space="preserve">青海省 西宁市 城西区 </v>
      </c>
      <c r="N5415" s="1" t="str">
        <f t="shared" si="1767"/>
        <v>凡华云仓-城南圆通-微信视频号</v>
      </c>
      <c r="O5415" s="5" t="s">
        <v>5428</v>
      </c>
      <c r="P5415" s="6">
        <v>0.17</v>
      </c>
      <c r="Q5415" s="11">
        <v>2</v>
      </c>
      <c r="R5415" s="11"/>
      <c r="S5415" s="11"/>
      <c r="T5415" s="11"/>
      <c r="U5415" s="11">
        <f t="shared" si="1756"/>
        <v>2</v>
      </c>
      <c r="W5415">
        <v>2.2000000000000002</v>
      </c>
      <c r="X5415" s="1" t="s">
        <v>1111</v>
      </c>
    </row>
    <row r="5416" spans="1:24" x14ac:dyDescent="0.25">
      <c r="A5416" s="1" t="str">
        <f t="shared" si="1757"/>
        <v>卡卡杜-凤凰仓</v>
      </c>
      <c r="B5416" s="1" t="str">
        <f>"CK2024101919932"</f>
        <v>CK2024101919932</v>
      </c>
      <c r="C5416" s="1" t="str">
        <f>"DD2024101930732"</f>
        <v>DD2024101930732</v>
      </c>
      <c r="D5416" s="1" t="str">
        <f>"CK2024101920711"</f>
        <v>CK2024101920711</v>
      </c>
      <c r="E5416" s="1" t="str">
        <f>"3723403620694756353"</f>
        <v>3723403620694756353</v>
      </c>
      <c r="F5416" s="1" t="str">
        <f t="shared" si="1758"/>
        <v>花都四部-凤凰仓</v>
      </c>
      <c r="G5416" s="1" t="str">
        <f t="shared" si="1766"/>
        <v>卡卡杜企业店（视频号）</v>
      </c>
      <c r="H5416" s="1" t="str">
        <f t="shared" si="1759"/>
        <v>正常订单</v>
      </c>
      <c r="I5416" s="1" t="str">
        <f t="shared" si="1760"/>
        <v>已发货</v>
      </c>
      <c r="J5416" s="1" t="str">
        <f t="shared" si="1770"/>
        <v>2</v>
      </c>
      <c r="K5416" s="1">
        <v>2</v>
      </c>
      <c r="L5416" s="1" t="s">
        <v>30</v>
      </c>
      <c r="M5416" s="1" t="str">
        <f>"山东省 烟台市 莱山区 "</f>
        <v xml:space="preserve">山东省 烟台市 莱山区 </v>
      </c>
      <c r="N5416" s="1" t="str">
        <f t="shared" si="1767"/>
        <v>凡华云仓-城南圆通-微信视频号</v>
      </c>
      <c r="O5416" s="5" t="s">
        <v>5429</v>
      </c>
      <c r="P5416" s="6">
        <v>0.17</v>
      </c>
      <c r="Q5416" s="11">
        <v>2</v>
      </c>
      <c r="R5416" s="11"/>
      <c r="S5416" s="11"/>
      <c r="T5416" s="11"/>
      <c r="U5416" s="11">
        <f t="shared" si="1756"/>
        <v>2</v>
      </c>
      <c r="W5416">
        <v>2.2000000000000002</v>
      </c>
      <c r="X5416" s="1" t="s">
        <v>30</v>
      </c>
    </row>
    <row r="5417" spans="1:24" x14ac:dyDescent="0.25">
      <c r="A5417" s="1" t="str">
        <f t="shared" si="1757"/>
        <v>卡卡杜-凤凰仓</v>
      </c>
      <c r="B5417" s="1" t="str">
        <f>"CK2024101919699"</f>
        <v>CK2024101919699</v>
      </c>
      <c r="C5417" s="1" t="str">
        <f>"DD2024101930458"</f>
        <v>DD2024101930458</v>
      </c>
      <c r="D5417" s="1" t="str">
        <f>"CK2024101920710"</f>
        <v>CK2024101920710</v>
      </c>
      <c r="E5417" s="1" t="str">
        <f>"3723403628948096512"</f>
        <v>3723403628948096512</v>
      </c>
      <c r="F5417" s="1" t="str">
        <f t="shared" si="1758"/>
        <v>花都四部-凤凰仓</v>
      </c>
      <c r="G5417" s="1" t="str">
        <f t="shared" si="1766"/>
        <v>卡卡杜企业店（视频号）</v>
      </c>
      <c r="H5417" s="1" t="str">
        <f t="shared" si="1759"/>
        <v>正常订单</v>
      </c>
      <c r="I5417" s="1" t="str">
        <f t="shared" si="1760"/>
        <v>已发货</v>
      </c>
      <c r="J5417" s="1" t="str">
        <f t="shared" si="1770"/>
        <v>2</v>
      </c>
      <c r="K5417" s="1">
        <v>2</v>
      </c>
      <c r="L5417" s="1" t="s">
        <v>32</v>
      </c>
      <c r="M5417" s="1" t="str">
        <f>"陕西省 西安市 雁塔区 "</f>
        <v xml:space="preserve">陕西省 西安市 雁塔区 </v>
      </c>
      <c r="N5417" s="1" t="str">
        <f t="shared" si="1767"/>
        <v>凡华云仓-城南圆通-微信视频号</v>
      </c>
      <c r="O5417" s="5" t="s">
        <v>5430</v>
      </c>
      <c r="P5417" s="6">
        <v>0.17</v>
      </c>
      <c r="Q5417" s="11">
        <v>2</v>
      </c>
      <c r="R5417" s="11"/>
      <c r="S5417" s="11"/>
      <c r="T5417" s="11"/>
      <c r="U5417" s="11">
        <f t="shared" si="1756"/>
        <v>2</v>
      </c>
      <c r="W5417">
        <v>2.2000000000000002</v>
      </c>
      <c r="X5417" s="1" t="s">
        <v>32</v>
      </c>
    </row>
    <row r="5418" spans="1:24" x14ac:dyDescent="0.25">
      <c r="A5418" s="1" t="str">
        <f t="shared" si="1757"/>
        <v>卡卡杜-凤凰仓</v>
      </c>
      <c r="B5418" s="1" t="str">
        <f>"CK2024101919700"</f>
        <v>CK2024101919700</v>
      </c>
      <c r="C5418" s="1" t="str">
        <f>"DD2024101930459"</f>
        <v>DD2024101930459</v>
      </c>
      <c r="D5418" s="1" t="str">
        <f>"CK2024101920709"</f>
        <v>CK2024101920709</v>
      </c>
      <c r="E5418" s="1" t="str">
        <f>"3723403631478574080"</f>
        <v>3723403631478574080</v>
      </c>
      <c r="F5418" s="1" t="str">
        <f t="shared" si="1758"/>
        <v>花都四部-凤凰仓</v>
      </c>
      <c r="G5418" s="1" t="str">
        <f t="shared" si="1766"/>
        <v>卡卡杜企业店（视频号）</v>
      </c>
      <c r="H5418" s="1" t="str">
        <f t="shared" si="1759"/>
        <v>正常订单</v>
      </c>
      <c r="I5418" s="1" t="str">
        <f t="shared" si="1760"/>
        <v>已发货</v>
      </c>
      <c r="J5418" s="1" t="str">
        <f t="shared" si="1770"/>
        <v>2</v>
      </c>
      <c r="K5418" s="1">
        <v>2</v>
      </c>
      <c r="L5418" s="1" t="s">
        <v>30</v>
      </c>
      <c r="M5418" s="1" t="str">
        <f>"山东省 青岛市 黄岛区 "</f>
        <v xml:space="preserve">山东省 青岛市 黄岛区 </v>
      </c>
      <c r="N5418" s="1" t="str">
        <f t="shared" si="1767"/>
        <v>凡华云仓-城南圆通-微信视频号</v>
      </c>
      <c r="O5418" s="5" t="s">
        <v>5431</v>
      </c>
      <c r="P5418" s="6">
        <v>0.17</v>
      </c>
      <c r="Q5418" s="11">
        <v>2</v>
      </c>
      <c r="R5418" s="11"/>
      <c r="S5418" s="11"/>
      <c r="T5418" s="11"/>
      <c r="U5418" s="11">
        <f t="shared" si="1756"/>
        <v>2</v>
      </c>
      <c r="W5418">
        <v>2.2000000000000002</v>
      </c>
      <c r="X5418" s="1" t="s">
        <v>30</v>
      </c>
    </row>
    <row r="5419" spans="1:24" x14ac:dyDescent="0.25">
      <c r="A5419" s="1" t="str">
        <f t="shared" si="1757"/>
        <v>卡卡杜-凤凰仓</v>
      </c>
      <c r="B5419" s="1" t="str">
        <f>"CK2024101919701"</f>
        <v>CK2024101919701</v>
      </c>
      <c r="C5419" s="1" t="str">
        <f>"DD2024101930460"</f>
        <v>DD2024101930460</v>
      </c>
      <c r="D5419" s="1" t="str">
        <f>"CK2024101920708"</f>
        <v>CK2024101920708</v>
      </c>
      <c r="E5419" s="1" t="str">
        <f>"3723403631283802112"</f>
        <v>3723403631283802112</v>
      </c>
      <c r="F5419" s="1" t="str">
        <f t="shared" si="1758"/>
        <v>花都四部-凤凰仓</v>
      </c>
      <c r="G5419" s="1" t="str">
        <f t="shared" si="1766"/>
        <v>卡卡杜企业店（视频号）</v>
      </c>
      <c r="H5419" s="1" t="str">
        <f t="shared" si="1759"/>
        <v>正常订单</v>
      </c>
      <c r="I5419" s="1" t="str">
        <f t="shared" si="1760"/>
        <v>已发货</v>
      </c>
      <c r="J5419" s="1" t="str">
        <f t="shared" si="1770"/>
        <v>2</v>
      </c>
      <c r="K5419" s="1">
        <v>2</v>
      </c>
      <c r="L5419" s="1" t="s">
        <v>105</v>
      </c>
      <c r="M5419" s="1" t="str">
        <f>"北京 北京市 朝阳区 "</f>
        <v xml:space="preserve">北京 北京市 朝阳区 </v>
      </c>
      <c r="N5419" s="1" t="str">
        <f t="shared" si="1767"/>
        <v>凡华云仓-城南圆通-微信视频号</v>
      </c>
      <c r="O5419" s="5" t="s">
        <v>5432</v>
      </c>
      <c r="P5419" s="6">
        <v>0.17</v>
      </c>
      <c r="Q5419" s="11">
        <v>2</v>
      </c>
      <c r="R5419" s="11"/>
      <c r="S5419" s="11"/>
      <c r="T5419" s="11"/>
      <c r="U5419" s="11">
        <f t="shared" si="1756"/>
        <v>2</v>
      </c>
      <c r="W5419">
        <v>2.2000000000000002</v>
      </c>
      <c r="X5419" s="1" t="s">
        <v>105</v>
      </c>
    </row>
    <row r="5420" spans="1:24" x14ac:dyDescent="0.25">
      <c r="A5420" s="1" t="str">
        <f t="shared" si="1757"/>
        <v>卡卡杜-凤凰仓</v>
      </c>
      <c r="B5420" s="1" t="str">
        <f>"CK2024101919702"</f>
        <v>CK2024101919702</v>
      </c>
      <c r="C5420" s="1" t="str">
        <f>"DD2024101930462"</f>
        <v>DD2024101930462</v>
      </c>
      <c r="D5420" s="1" t="str">
        <f>"CK2024101920707"</f>
        <v>CK2024101920707</v>
      </c>
      <c r="E5420" s="1" t="str">
        <f>"3723403630913390080"</f>
        <v>3723403630913390080</v>
      </c>
      <c r="F5420" s="1" t="str">
        <f t="shared" si="1758"/>
        <v>花都四部-凤凰仓</v>
      </c>
      <c r="G5420" s="1" t="str">
        <f t="shared" si="1766"/>
        <v>卡卡杜企业店（视频号）</v>
      </c>
      <c r="H5420" s="1" t="str">
        <f t="shared" si="1759"/>
        <v>正常订单</v>
      </c>
      <c r="I5420" s="1" t="str">
        <f t="shared" si="1760"/>
        <v>已发货</v>
      </c>
      <c r="J5420" s="1" t="str">
        <f t="shared" si="1770"/>
        <v>2</v>
      </c>
      <c r="K5420" s="1">
        <v>2</v>
      </c>
      <c r="L5420" s="1" t="s">
        <v>74</v>
      </c>
      <c r="M5420" s="1" t="str">
        <f>"上海 上海市 宝山区 "</f>
        <v xml:space="preserve">上海 上海市 宝山区 </v>
      </c>
      <c r="N5420" s="1" t="str">
        <f t="shared" si="1767"/>
        <v>凡华云仓-城南圆通-微信视频号</v>
      </c>
      <c r="O5420" s="5" t="s">
        <v>5433</v>
      </c>
      <c r="P5420" s="6">
        <v>0.17</v>
      </c>
      <c r="Q5420" s="11">
        <v>2</v>
      </c>
      <c r="R5420" s="11"/>
      <c r="S5420" s="11"/>
      <c r="T5420" s="11"/>
      <c r="U5420" s="11">
        <f t="shared" si="1756"/>
        <v>2</v>
      </c>
      <c r="W5420">
        <v>2.2000000000000002</v>
      </c>
      <c r="X5420" s="1" t="s">
        <v>74</v>
      </c>
    </row>
    <row r="5421" spans="1:24" x14ac:dyDescent="0.25">
      <c r="A5421" s="1" t="str">
        <f t="shared" si="1757"/>
        <v>卡卡杜-凤凰仓</v>
      </c>
      <c r="B5421" s="1" t="str">
        <f>"CK2024101919703"</f>
        <v>CK2024101919703</v>
      </c>
      <c r="C5421" s="1" t="str">
        <f>"DD2024101930461"</f>
        <v>DD2024101930461</v>
      </c>
      <c r="D5421" s="1" t="str">
        <f>"CK2024101920706"</f>
        <v>CK2024101920706</v>
      </c>
      <c r="E5421" s="1" t="str">
        <f>"3723403630952190976"</f>
        <v>3723403630952190976</v>
      </c>
      <c r="F5421" s="1" t="str">
        <f t="shared" si="1758"/>
        <v>花都四部-凤凰仓</v>
      </c>
      <c r="G5421" s="1" t="str">
        <f t="shared" si="1766"/>
        <v>卡卡杜企业店（视频号）</v>
      </c>
      <c r="H5421" s="1" t="str">
        <f t="shared" si="1759"/>
        <v>正常订单</v>
      </c>
      <c r="I5421" s="1" t="str">
        <f t="shared" si="1760"/>
        <v>已发货</v>
      </c>
      <c r="J5421" s="1" t="str">
        <f t="shared" si="1770"/>
        <v>2</v>
      </c>
      <c r="K5421" s="1">
        <v>2</v>
      </c>
      <c r="L5421" s="1" t="s">
        <v>13</v>
      </c>
      <c r="M5421" s="1" t="str">
        <f>"江苏省 苏州市 张家港市 "</f>
        <v xml:space="preserve">江苏省 苏州市 张家港市 </v>
      </c>
      <c r="N5421" s="1" t="str">
        <f t="shared" si="1767"/>
        <v>凡华云仓-城南圆通-微信视频号</v>
      </c>
      <c r="O5421" s="5" t="s">
        <v>5434</v>
      </c>
      <c r="P5421" s="6">
        <v>0.17</v>
      </c>
      <c r="Q5421" s="11">
        <v>2</v>
      </c>
      <c r="R5421" s="11"/>
      <c r="S5421" s="11"/>
      <c r="T5421" s="11"/>
      <c r="U5421" s="11">
        <f t="shared" si="1756"/>
        <v>2</v>
      </c>
      <c r="W5421">
        <v>2.2000000000000002</v>
      </c>
      <c r="X5421" s="1" t="s">
        <v>13</v>
      </c>
    </row>
    <row r="5422" spans="1:24" x14ac:dyDescent="0.25">
      <c r="A5422" s="1" t="str">
        <f t="shared" si="1757"/>
        <v>卡卡杜-凤凰仓</v>
      </c>
      <c r="B5422" s="1" t="str">
        <f>"CK2024101919704"</f>
        <v>CK2024101919704</v>
      </c>
      <c r="C5422" s="1" t="str">
        <f>"DD2024101930464"</f>
        <v>DD2024101930464</v>
      </c>
      <c r="D5422" s="1" t="str">
        <f>"CK2024101920705"</f>
        <v>CK2024101920705</v>
      </c>
      <c r="E5422" s="1" t="str">
        <f>"3723403630898187264"</f>
        <v>3723403630898187264</v>
      </c>
      <c r="F5422" s="1" t="str">
        <f t="shared" si="1758"/>
        <v>花都四部-凤凰仓</v>
      </c>
      <c r="G5422" s="1" t="str">
        <f t="shared" si="1766"/>
        <v>卡卡杜企业店（视频号）</v>
      </c>
      <c r="H5422" s="1" t="str">
        <f t="shared" si="1759"/>
        <v>正常订单</v>
      </c>
      <c r="I5422" s="1" t="str">
        <f t="shared" si="1760"/>
        <v>已发货</v>
      </c>
      <c r="J5422" s="1" t="str">
        <f t="shared" si="1770"/>
        <v>2</v>
      </c>
      <c r="K5422" s="1">
        <v>2</v>
      </c>
      <c r="L5422" s="1" t="s">
        <v>109</v>
      </c>
      <c r="M5422" s="1" t="str">
        <f>"山西省 晋中市 榆次区 "</f>
        <v xml:space="preserve">山西省 晋中市 榆次区 </v>
      </c>
      <c r="N5422" s="1" t="str">
        <f t="shared" si="1767"/>
        <v>凡华云仓-城南圆通-微信视频号</v>
      </c>
      <c r="O5422" s="5" t="s">
        <v>5435</v>
      </c>
      <c r="P5422" s="6">
        <v>0.17</v>
      </c>
      <c r="Q5422" s="11">
        <v>2</v>
      </c>
      <c r="R5422" s="11"/>
      <c r="S5422" s="11"/>
      <c r="T5422" s="11"/>
      <c r="U5422" s="11">
        <f t="shared" si="1756"/>
        <v>2</v>
      </c>
      <c r="W5422">
        <v>2.2000000000000002</v>
      </c>
      <c r="X5422" s="1" t="s">
        <v>109</v>
      </c>
    </row>
    <row r="5423" spans="1:24" x14ac:dyDescent="0.25">
      <c r="A5423" s="1" t="str">
        <f t="shared" si="1757"/>
        <v>卡卡杜-凤凰仓</v>
      </c>
      <c r="B5423" s="1" t="str">
        <f>"CK2024101919705"</f>
        <v>CK2024101919705</v>
      </c>
      <c r="C5423" s="1" t="str">
        <f>"DD2024101930466"</f>
        <v>DD2024101930466</v>
      </c>
      <c r="D5423" s="1" t="str">
        <f>"CK2024101920704"</f>
        <v>CK2024101920704</v>
      </c>
      <c r="E5423" s="1" t="str">
        <f>"3723403627174432768"</f>
        <v>3723403627174432768</v>
      </c>
      <c r="F5423" s="1" t="str">
        <f t="shared" si="1758"/>
        <v>花都四部-凤凰仓</v>
      </c>
      <c r="G5423" s="1" t="str">
        <f t="shared" si="1766"/>
        <v>卡卡杜企业店（视频号）</v>
      </c>
      <c r="H5423" s="1" t="str">
        <f t="shared" si="1759"/>
        <v>正常订单</v>
      </c>
      <c r="I5423" s="1" t="str">
        <f t="shared" si="1760"/>
        <v>已发货</v>
      </c>
      <c r="J5423" s="1" t="str">
        <f t="shared" si="1770"/>
        <v>2</v>
      </c>
      <c r="K5423" s="1">
        <v>2</v>
      </c>
      <c r="L5423" s="1" t="s">
        <v>47</v>
      </c>
      <c r="M5423" s="1" t="str">
        <f>"重庆 重庆市 万州区 "</f>
        <v xml:space="preserve">重庆 重庆市 万州区 </v>
      </c>
      <c r="N5423" s="1" t="str">
        <f t="shared" si="1767"/>
        <v>凡华云仓-城南圆通-微信视频号</v>
      </c>
      <c r="O5423" s="5" t="s">
        <v>5436</v>
      </c>
      <c r="P5423" s="6">
        <v>0.17</v>
      </c>
      <c r="Q5423" s="11">
        <v>2</v>
      </c>
      <c r="R5423" s="11"/>
      <c r="S5423" s="11"/>
      <c r="T5423" s="11"/>
      <c r="U5423" s="11">
        <f t="shared" si="1756"/>
        <v>2</v>
      </c>
      <c r="W5423">
        <v>2.2000000000000002</v>
      </c>
      <c r="X5423" s="1" t="s">
        <v>47</v>
      </c>
    </row>
    <row r="5424" spans="1:24" x14ac:dyDescent="0.25">
      <c r="A5424" s="1" t="str">
        <f t="shared" si="1757"/>
        <v>卡卡杜-凤凰仓</v>
      </c>
      <c r="B5424" s="1" t="str">
        <f>"CK2024101919707"</f>
        <v>CK2024101919707</v>
      </c>
      <c r="C5424" s="1" t="str">
        <f>"DD2024101930465"</f>
        <v>DD2024101930465</v>
      </c>
      <c r="D5424" s="1" t="str">
        <f>"CK2024101920703"</f>
        <v>CK2024101920703</v>
      </c>
      <c r="E5424" s="1" t="str">
        <f>"3723403619040104448"</f>
        <v>3723403619040104448</v>
      </c>
      <c r="F5424" s="1" t="str">
        <f t="shared" si="1758"/>
        <v>花都四部-凤凰仓</v>
      </c>
      <c r="G5424" s="1" t="str">
        <f t="shared" si="1766"/>
        <v>卡卡杜企业店（视频号）</v>
      </c>
      <c r="H5424" s="1" t="str">
        <f t="shared" si="1759"/>
        <v>正常订单</v>
      </c>
      <c r="I5424" s="1" t="str">
        <f t="shared" si="1760"/>
        <v>已发货</v>
      </c>
      <c r="J5424" s="1" t="str">
        <f t="shared" si="1770"/>
        <v>2</v>
      </c>
      <c r="K5424" s="1">
        <v>2</v>
      </c>
      <c r="L5424" s="1" t="s">
        <v>105</v>
      </c>
      <c r="M5424" s="1" t="str">
        <f>"北京 北京市 大兴区 "</f>
        <v xml:space="preserve">北京 北京市 大兴区 </v>
      </c>
      <c r="N5424" s="1" t="str">
        <f t="shared" si="1767"/>
        <v>凡华云仓-城南圆通-微信视频号</v>
      </c>
      <c r="O5424" s="5" t="s">
        <v>5437</v>
      </c>
      <c r="P5424" s="6">
        <v>0.17</v>
      </c>
      <c r="Q5424" s="11">
        <v>2</v>
      </c>
      <c r="R5424" s="11"/>
      <c r="S5424" s="11"/>
      <c r="T5424" s="11"/>
      <c r="U5424" s="11">
        <f t="shared" si="1756"/>
        <v>2</v>
      </c>
      <c r="W5424">
        <v>2.2000000000000002</v>
      </c>
      <c r="X5424" s="1" t="s">
        <v>105</v>
      </c>
    </row>
    <row r="5425" spans="1:24" x14ac:dyDescent="0.25">
      <c r="A5425" s="1" t="str">
        <f t="shared" si="1757"/>
        <v>卡卡杜-凤凰仓</v>
      </c>
      <c r="B5425" s="1" t="str">
        <f>"CK2024101919706"</f>
        <v>CK2024101919706</v>
      </c>
      <c r="C5425" s="1" t="str">
        <f>"DD2024101930463"</f>
        <v>DD2024101930463</v>
      </c>
      <c r="D5425" s="1" t="str">
        <f>"CK2024101920702"</f>
        <v>CK2024101920702</v>
      </c>
      <c r="E5425" s="1" t="str">
        <f>"3723403627229745152"</f>
        <v>3723403627229745152</v>
      </c>
      <c r="F5425" s="1" t="str">
        <f t="shared" si="1758"/>
        <v>花都四部-凤凰仓</v>
      </c>
      <c r="G5425" s="1" t="str">
        <f t="shared" si="1766"/>
        <v>卡卡杜企业店（视频号）</v>
      </c>
      <c r="H5425" s="1" t="str">
        <f t="shared" si="1759"/>
        <v>正常订单</v>
      </c>
      <c r="I5425" s="1" t="str">
        <f t="shared" si="1760"/>
        <v>已发货</v>
      </c>
      <c r="J5425" s="1" t="str">
        <f t="shared" si="1770"/>
        <v>2</v>
      </c>
      <c r="K5425" s="1">
        <v>2</v>
      </c>
      <c r="L5425" s="1" t="s">
        <v>13</v>
      </c>
      <c r="M5425" s="1" t="str">
        <f>"江苏省 南京市 栖霞区 "</f>
        <v xml:space="preserve">江苏省 南京市 栖霞区 </v>
      </c>
      <c r="N5425" s="1" t="str">
        <f t="shared" si="1767"/>
        <v>凡华云仓-城南圆通-微信视频号</v>
      </c>
      <c r="O5425" s="5" t="s">
        <v>5438</v>
      </c>
      <c r="P5425" s="6">
        <v>0.17</v>
      </c>
      <c r="Q5425" s="11">
        <v>2</v>
      </c>
      <c r="R5425" s="11"/>
      <c r="S5425" s="11"/>
      <c r="T5425" s="11"/>
      <c r="U5425" s="11">
        <f t="shared" si="1756"/>
        <v>2</v>
      </c>
      <c r="W5425">
        <v>2.2000000000000002</v>
      </c>
      <c r="X5425" s="1" t="s">
        <v>13</v>
      </c>
    </row>
    <row r="5426" spans="1:24" x14ac:dyDescent="0.25">
      <c r="A5426" s="1" t="str">
        <f t="shared" si="1757"/>
        <v>卡卡杜-凤凰仓</v>
      </c>
      <c r="B5426" s="1" t="str">
        <f>"CK2024101919709"</f>
        <v>CK2024101919709</v>
      </c>
      <c r="C5426" s="1" t="str">
        <f>"DD2024101930468"</f>
        <v>DD2024101930468</v>
      </c>
      <c r="D5426" s="1" t="str">
        <f>"CK2024101920701"</f>
        <v>CK2024101920701</v>
      </c>
      <c r="E5426" s="1" t="str">
        <f>"3723403625907226112"</f>
        <v>3723403625907226112</v>
      </c>
      <c r="F5426" s="1" t="str">
        <f t="shared" si="1758"/>
        <v>花都四部-凤凰仓</v>
      </c>
      <c r="G5426" s="1" t="str">
        <f t="shared" si="1766"/>
        <v>卡卡杜企业店（视频号）</v>
      </c>
      <c r="H5426" s="1" t="str">
        <f t="shared" si="1759"/>
        <v>正常订单</v>
      </c>
      <c r="I5426" s="1" t="str">
        <f t="shared" si="1760"/>
        <v>已发货</v>
      </c>
      <c r="J5426" s="1" t="str">
        <f t="shared" si="1770"/>
        <v>2</v>
      </c>
      <c r="K5426" s="1">
        <v>2</v>
      </c>
      <c r="L5426" s="1" t="s">
        <v>105</v>
      </c>
      <c r="M5426" s="1" t="str">
        <f>"北京 北京市 丰台区 "</f>
        <v xml:space="preserve">北京 北京市 丰台区 </v>
      </c>
      <c r="N5426" s="1" t="str">
        <f t="shared" si="1767"/>
        <v>凡华云仓-城南圆通-微信视频号</v>
      </c>
      <c r="O5426" s="5" t="s">
        <v>5439</v>
      </c>
      <c r="P5426" s="6">
        <v>0.17</v>
      </c>
      <c r="Q5426" s="11">
        <v>2</v>
      </c>
      <c r="R5426" s="11"/>
      <c r="S5426" s="11"/>
      <c r="T5426" s="11"/>
      <c r="U5426" s="11">
        <f t="shared" si="1756"/>
        <v>2</v>
      </c>
      <c r="W5426">
        <v>2.2000000000000002</v>
      </c>
      <c r="X5426" s="1" t="s">
        <v>105</v>
      </c>
    </row>
    <row r="5427" spans="1:24" x14ac:dyDescent="0.25">
      <c r="A5427" s="1" t="str">
        <f t="shared" si="1757"/>
        <v>卡卡杜-凤凰仓</v>
      </c>
      <c r="B5427" s="1" t="str">
        <f>"CK2024101919708"</f>
        <v>CK2024101919708</v>
      </c>
      <c r="C5427" s="1" t="str">
        <f>"DD2024101930467"</f>
        <v>DD2024101930467</v>
      </c>
      <c r="D5427" s="1" t="str">
        <f>"CK2024101920700"</f>
        <v>CK2024101920700</v>
      </c>
      <c r="E5427" s="1" t="str">
        <f>"3723403627159225856"</f>
        <v>3723403627159225856</v>
      </c>
      <c r="F5427" s="1" t="str">
        <f t="shared" si="1758"/>
        <v>花都四部-凤凰仓</v>
      </c>
      <c r="G5427" s="1" t="str">
        <f t="shared" si="1766"/>
        <v>卡卡杜企业店（视频号）</v>
      </c>
      <c r="H5427" s="1" t="str">
        <f t="shared" si="1759"/>
        <v>正常订单</v>
      </c>
      <c r="I5427" s="1" t="str">
        <f t="shared" si="1760"/>
        <v>已发货</v>
      </c>
      <c r="J5427" s="1" t="str">
        <f t="shared" si="1770"/>
        <v>2</v>
      </c>
      <c r="K5427" s="1">
        <v>2</v>
      </c>
      <c r="L5427" s="1" t="s">
        <v>18</v>
      </c>
      <c r="M5427" s="1" t="str">
        <f>"广东省 深圳市 罗湖区 "</f>
        <v xml:space="preserve">广东省 深圳市 罗湖区 </v>
      </c>
      <c r="N5427" s="1" t="str">
        <f t="shared" si="1767"/>
        <v>凡华云仓-城南圆通-微信视频号</v>
      </c>
      <c r="O5427" s="5" t="s">
        <v>5440</v>
      </c>
      <c r="P5427" s="6">
        <v>0.17</v>
      </c>
      <c r="Q5427" s="11">
        <v>2</v>
      </c>
      <c r="R5427" s="11"/>
      <c r="S5427" s="11"/>
      <c r="T5427" s="11"/>
      <c r="U5427" s="11">
        <f t="shared" si="1756"/>
        <v>2</v>
      </c>
      <c r="W5427">
        <v>2.2000000000000002</v>
      </c>
      <c r="X5427" s="1" t="s">
        <v>18</v>
      </c>
    </row>
    <row r="5428" spans="1:24" x14ac:dyDescent="0.25">
      <c r="A5428" s="1" t="str">
        <f t="shared" si="1757"/>
        <v>卡卡杜-凤凰仓</v>
      </c>
      <c r="B5428" s="1" t="str">
        <f>"CK2024101919710"</f>
        <v>CK2024101919710</v>
      </c>
      <c r="C5428" s="1" t="str">
        <f>"DD2024101930469"</f>
        <v>DD2024101930469</v>
      </c>
      <c r="D5428" s="1" t="str">
        <f>"CK2024101920699"</f>
        <v>CK2024101920699</v>
      </c>
      <c r="E5428" s="1" t="str">
        <f>"3723403626117467136"</f>
        <v>3723403626117467136</v>
      </c>
      <c r="F5428" s="1" t="str">
        <f t="shared" si="1758"/>
        <v>花都四部-凤凰仓</v>
      </c>
      <c r="G5428" s="1" t="str">
        <f t="shared" si="1766"/>
        <v>卡卡杜企业店（视频号）</v>
      </c>
      <c r="H5428" s="1" t="str">
        <f t="shared" si="1759"/>
        <v>正常订单</v>
      </c>
      <c r="I5428" s="1" t="str">
        <f t="shared" si="1760"/>
        <v>已发货</v>
      </c>
      <c r="J5428" s="1" t="str">
        <f t="shared" si="1770"/>
        <v>2</v>
      </c>
      <c r="K5428" s="1">
        <v>2</v>
      </c>
      <c r="L5428" s="1" t="s">
        <v>74</v>
      </c>
      <c r="M5428" s="1" t="str">
        <f>"上海 上海市 闵行区 "</f>
        <v xml:space="preserve">上海 上海市 闵行区 </v>
      </c>
      <c r="N5428" s="1" t="str">
        <f t="shared" si="1767"/>
        <v>凡华云仓-城南圆通-微信视频号</v>
      </c>
      <c r="O5428" s="5" t="s">
        <v>5441</v>
      </c>
      <c r="P5428" s="6">
        <v>0.17</v>
      </c>
      <c r="Q5428" s="11">
        <v>2</v>
      </c>
      <c r="R5428" s="11"/>
      <c r="S5428" s="11"/>
      <c r="T5428" s="11"/>
      <c r="U5428" s="11">
        <f t="shared" si="1756"/>
        <v>2</v>
      </c>
      <c r="W5428">
        <v>2.2000000000000002</v>
      </c>
      <c r="X5428" s="1" t="s">
        <v>74</v>
      </c>
    </row>
    <row r="5429" spans="1:24" x14ac:dyDescent="0.25">
      <c r="A5429" s="1" t="str">
        <f t="shared" si="1757"/>
        <v>卡卡杜-凤凰仓</v>
      </c>
      <c r="B5429" s="1" t="str">
        <f>"CK2024101919713"</f>
        <v>CK2024101919713</v>
      </c>
      <c r="C5429" s="1" t="str">
        <f>"DD2024101930472"</f>
        <v>DD2024101930472</v>
      </c>
      <c r="D5429" s="1" t="str">
        <f>"CK2024101920698"</f>
        <v>CK2024101920698</v>
      </c>
      <c r="E5429" s="1" t="str">
        <f>"3723403621834032640"</f>
        <v>3723403621834032640</v>
      </c>
      <c r="F5429" s="1" t="str">
        <f t="shared" si="1758"/>
        <v>花都四部-凤凰仓</v>
      </c>
      <c r="G5429" s="1" t="str">
        <f t="shared" si="1766"/>
        <v>卡卡杜企业店（视频号）</v>
      </c>
      <c r="H5429" s="1" t="str">
        <f t="shared" si="1759"/>
        <v>正常订单</v>
      </c>
      <c r="I5429" s="1" t="str">
        <f t="shared" si="1760"/>
        <v>已发货</v>
      </c>
      <c r="J5429" s="1" t="str">
        <f t="shared" si="1770"/>
        <v>2</v>
      </c>
      <c r="K5429" s="1">
        <v>2</v>
      </c>
      <c r="L5429" s="1" t="s">
        <v>30</v>
      </c>
      <c r="M5429" s="1" t="str">
        <f>"山东省 临沂市 河东区 "</f>
        <v xml:space="preserve">山东省 临沂市 河东区 </v>
      </c>
      <c r="N5429" s="1" t="str">
        <f t="shared" si="1767"/>
        <v>凡华云仓-城南圆通-微信视频号</v>
      </c>
      <c r="O5429" s="5" t="s">
        <v>5442</v>
      </c>
      <c r="P5429" s="6">
        <v>0.17</v>
      </c>
      <c r="Q5429" s="11">
        <v>2</v>
      </c>
      <c r="R5429" s="11"/>
      <c r="S5429" s="11"/>
      <c r="T5429" s="11"/>
      <c r="U5429" s="11">
        <f t="shared" si="1756"/>
        <v>2</v>
      </c>
      <c r="W5429">
        <v>2.2000000000000002</v>
      </c>
      <c r="X5429" s="1" t="s">
        <v>30</v>
      </c>
    </row>
    <row r="5430" spans="1:24" x14ac:dyDescent="0.25">
      <c r="A5430" s="1" t="str">
        <f t="shared" si="1757"/>
        <v>卡卡杜-凤凰仓</v>
      </c>
      <c r="B5430" s="1" t="str">
        <f>"CK2024101919712"</f>
        <v>CK2024101919712</v>
      </c>
      <c r="C5430" s="1" t="str">
        <f>"DD2024101930471"</f>
        <v>DD2024101930471</v>
      </c>
      <c r="D5430" s="1" t="str">
        <f>"CK2024101920697"</f>
        <v>CK2024101920697</v>
      </c>
      <c r="E5430" s="1" t="str">
        <f>"3723403623015781376"</f>
        <v>3723403623015781376</v>
      </c>
      <c r="F5430" s="1" t="str">
        <f t="shared" si="1758"/>
        <v>花都四部-凤凰仓</v>
      </c>
      <c r="G5430" s="1" t="str">
        <f t="shared" si="1766"/>
        <v>卡卡杜企业店（视频号）</v>
      </c>
      <c r="H5430" s="1" t="str">
        <f t="shared" si="1759"/>
        <v>正常订单</v>
      </c>
      <c r="I5430" s="1" t="str">
        <f t="shared" si="1760"/>
        <v>已发货</v>
      </c>
      <c r="J5430" s="1" t="str">
        <f t="shared" ref="J5430:J5436" si="1771">"3"</f>
        <v>3</v>
      </c>
      <c r="K5430" s="1">
        <v>2</v>
      </c>
      <c r="L5430" s="1" t="s">
        <v>13</v>
      </c>
      <c r="M5430" s="1" t="str">
        <f>"江苏省 苏州市 张家港市 "</f>
        <v xml:space="preserve">江苏省 苏州市 张家港市 </v>
      </c>
      <c r="N5430" s="1" t="str">
        <f t="shared" si="1767"/>
        <v>凡华云仓-城南圆通-微信视频号</v>
      </c>
      <c r="O5430" s="5" t="s">
        <v>5443</v>
      </c>
      <c r="P5430" s="6">
        <v>0.24</v>
      </c>
      <c r="Q5430" s="11">
        <v>2</v>
      </c>
      <c r="R5430" s="11"/>
      <c r="S5430" s="11"/>
      <c r="T5430" s="11"/>
      <c r="U5430" s="11">
        <f t="shared" si="1756"/>
        <v>2</v>
      </c>
      <c r="W5430">
        <v>2.2000000000000002</v>
      </c>
      <c r="X5430" s="1" t="s">
        <v>13</v>
      </c>
    </row>
    <row r="5431" spans="1:24" x14ac:dyDescent="0.25">
      <c r="A5431" s="1" t="str">
        <f t="shared" si="1757"/>
        <v>卡卡杜-凤凰仓</v>
      </c>
      <c r="B5431" s="1" t="str">
        <f>"CK2024101919714"</f>
        <v>CK2024101919714</v>
      </c>
      <c r="C5431" s="1" t="str">
        <f>"DD2024101930473"</f>
        <v>DD2024101930473</v>
      </c>
      <c r="D5431" s="1" t="str">
        <f>"CK2024101920696"</f>
        <v>CK2024101920696</v>
      </c>
      <c r="E5431" s="1" t="str">
        <f>"3723403619878438144"</f>
        <v>3723403619878438144</v>
      </c>
      <c r="F5431" s="1" t="str">
        <f t="shared" si="1758"/>
        <v>花都四部-凤凰仓</v>
      </c>
      <c r="G5431" s="1" t="str">
        <f t="shared" si="1766"/>
        <v>卡卡杜企业店（视频号）</v>
      </c>
      <c r="H5431" s="1" t="str">
        <f t="shared" si="1759"/>
        <v>正常订单</v>
      </c>
      <c r="I5431" s="1" t="str">
        <f t="shared" si="1760"/>
        <v>已发货</v>
      </c>
      <c r="J5431" s="1" t="str">
        <f>"2"</f>
        <v>2</v>
      </c>
      <c r="K5431" s="1">
        <v>2</v>
      </c>
      <c r="L5431" s="1" t="s">
        <v>74</v>
      </c>
      <c r="M5431" s="1" t="str">
        <f>"上海 上海市 静安区 "</f>
        <v xml:space="preserve">上海 上海市 静安区 </v>
      </c>
      <c r="N5431" s="1" t="str">
        <f t="shared" si="1767"/>
        <v>凡华云仓-城南圆通-微信视频号</v>
      </c>
      <c r="O5431" s="5" t="s">
        <v>5444</v>
      </c>
      <c r="P5431" s="6">
        <v>0.17</v>
      </c>
      <c r="Q5431" s="11">
        <v>2</v>
      </c>
      <c r="R5431" s="11"/>
      <c r="S5431" s="11"/>
      <c r="T5431" s="11"/>
      <c r="U5431" s="11">
        <f t="shared" si="1756"/>
        <v>2</v>
      </c>
      <c r="W5431">
        <v>2.2000000000000002</v>
      </c>
      <c r="X5431" s="1" t="s">
        <v>74</v>
      </c>
    </row>
    <row r="5432" spans="1:24" x14ac:dyDescent="0.25">
      <c r="A5432" s="1" t="str">
        <f t="shared" si="1757"/>
        <v>卡卡杜-凤凰仓</v>
      </c>
      <c r="B5432" s="1" t="str">
        <f>"CK2024101919725"</f>
        <v>CK2024101919725</v>
      </c>
      <c r="C5432" s="1" t="str">
        <f>"DD2024101930483"</f>
        <v>DD2024101930483</v>
      </c>
      <c r="D5432" s="1" t="str">
        <f>"CK2024101920695"</f>
        <v>CK2024101920695</v>
      </c>
      <c r="E5432" s="1" t="str">
        <f>"3723401984655361280"</f>
        <v>3723401984655361280</v>
      </c>
      <c r="F5432" s="1" t="str">
        <f t="shared" si="1758"/>
        <v>花都四部-凤凰仓</v>
      </c>
      <c r="G5432" s="1" t="str">
        <f t="shared" si="1766"/>
        <v>卡卡杜企业店（视频号）</v>
      </c>
      <c r="H5432" s="1" t="str">
        <f t="shared" si="1759"/>
        <v>正常订单</v>
      </c>
      <c r="I5432" s="1" t="str">
        <f t="shared" si="1760"/>
        <v>已发货</v>
      </c>
      <c r="J5432" s="1" t="str">
        <f t="shared" si="1771"/>
        <v>3</v>
      </c>
      <c r="K5432" s="1">
        <v>3</v>
      </c>
      <c r="L5432" s="1" t="s">
        <v>74</v>
      </c>
      <c r="M5432" s="1" t="str">
        <f>"上海 上海市 普陀区 "</f>
        <v xml:space="preserve">上海 上海市 普陀区 </v>
      </c>
      <c r="N5432" s="1" t="str">
        <f t="shared" si="1767"/>
        <v>凡华云仓-城南圆通-微信视频号</v>
      </c>
      <c r="O5432" s="5" t="s">
        <v>5445</v>
      </c>
      <c r="P5432" s="6">
        <v>0.34</v>
      </c>
      <c r="Q5432" s="11">
        <v>2.2999999999999998</v>
      </c>
      <c r="R5432" s="11"/>
      <c r="S5432" s="11"/>
      <c r="T5432" s="11"/>
      <c r="U5432" s="11">
        <f t="shared" si="1756"/>
        <v>2.2999999999999998</v>
      </c>
      <c r="W5432">
        <v>2.5</v>
      </c>
      <c r="X5432" s="1" t="s">
        <v>74</v>
      </c>
    </row>
    <row r="5433" spans="1:24" x14ac:dyDescent="0.25">
      <c r="A5433" s="1" t="str">
        <f t="shared" si="1757"/>
        <v>卡卡杜-凤凰仓</v>
      </c>
      <c r="B5433" s="1" t="str">
        <f>"CK2024101919734"</f>
        <v>CK2024101919734</v>
      </c>
      <c r="C5433" s="1" t="str">
        <f>"DD2024101930492"</f>
        <v>DD2024101930492</v>
      </c>
      <c r="D5433" s="1" t="str">
        <f>"CK2024101920694"</f>
        <v>CK2024101920694</v>
      </c>
      <c r="E5433" s="1" t="str">
        <f>"3723401256422213120"</f>
        <v>3723401256422213120</v>
      </c>
      <c r="F5433" s="1" t="str">
        <f t="shared" si="1758"/>
        <v>花都四部-凤凰仓</v>
      </c>
      <c r="G5433" s="1" t="str">
        <f t="shared" si="1766"/>
        <v>卡卡杜企业店（视频号）</v>
      </c>
      <c r="H5433" s="1" t="str">
        <f t="shared" si="1759"/>
        <v>正常订单</v>
      </c>
      <c r="I5433" s="1" t="str">
        <f t="shared" si="1760"/>
        <v>已发货</v>
      </c>
      <c r="J5433" s="1" t="str">
        <f t="shared" si="1771"/>
        <v>3</v>
      </c>
      <c r="K5433" s="1">
        <v>3</v>
      </c>
      <c r="L5433" s="1" t="s">
        <v>161</v>
      </c>
      <c r="M5433" s="1" t="str">
        <f>"四川省 成都市 锦江区 "</f>
        <v xml:space="preserve">四川省 成都市 锦江区 </v>
      </c>
      <c r="N5433" s="1" t="str">
        <f t="shared" si="1767"/>
        <v>凡华云仓-城南圆通-微信视频号</v>
      </c>
      <c r="O5433" s="5" t="s">
        <v>5446</v>
      </c>
      <c r="P5433" s="6">
        <v>0.34</v>
      </c>
      <c r="Q5433" s="11">
        <v>2.2999999999999998</v>
      </c>
      <c r="R5433" s="11"/>
      <c r="S5433" s="11"/>
      <c r="T5433" s="11"/>
      <c r="U5433" s="11">
        <f t="shared" si="1756"/>
        <v>2.2999999999999998</v>
      </c>
      <c r="W5433">
        <v>2.5</v>
      </c>
      <c r="X5433" s="1" t="s">
        <v>161</v>
      </c>
    </row>
    <row r="5434" spans="1:24" x14ac:dyDescent="0.25">
      <c r="A5434" s="1" t="str">
        <f t="shared" si="1757"/>
        <v>卡卡杜-凤凰仓</v>
      </c>
      <c r="B5434" s="1" t="str">
        <f>"CK2024101919738"</f>
        <v>CK2024101919738</v>
      </c>
      <c r="C5434" s="1" t="str">
        <f>"DD2024101930496"</f>
        <v>DD2024101930496</v>
      </c>
      <c r="D5434" s="1" t="str">
        <f>"CK2024101920693"</f>
        <v>CK2024101920693</v>
      </c>
      <c r="E5434" s="1" t="str">
        <f>"3723401000107508992"</f>
        <v>3723401000107508992</v>
      </c>
      <c r="F5434" s="1" t="str">
        <f t="shared" si="1758"/>
        <v>花都四部-凤凰仓</v>
      </c>
      <c r="G5434" s="1" t="str">
        <f t="shared" si="1766"/>
        <v>卡卡杜企业店（视频号）</v>
      </c>
      <c r="H5434" s="1" t="str">
        <f t="shared" si="1759"/>
        <v>正常订单</v>
      </c>
      <c r="I5434" s="1" t="str">
        <f t="shared" si="1760"/>
        <v>已发货</v>
      </c>
      <c r="J5434" s="1" t="str">
        <f t="shared" si="1771"/>
        <v>3</v>
      </c>
      <c r="K5434" s="1">
        <v>3</v>
      </c>
      <c r="L5434" s="1" t="s">
        <v>20</v>
      </c>
      <c r="M5434" s="1" t="str">
        <f>"浙江省 温州市 永嘉县 "</f>
        <v xml:space="preserve">浙江省 温州市 永嘉县 </v>
      </c>
      <c r="N5434" s="1" t="str">
        <f t="shared" si="1767"/>
        <v>凡华云仓-城南圆通-微信视频号</v>
      </c>
      <c r="O5434" s="5" t="s">
        <v>5447</v>
      </c>
      <c r="P5434" s="6">
        <v>0.34</v>
      </c>
      <c r="Q5434" s="11">
        <v>2.2999999999999998</v>
      </c>
      <c r="R5434" s="11"/>
      <c r="S5434" s="11"/>
      <c r="T5434" s="11"/>
      <c r="U5434" s="11">
        <f t="shared" si="1756"/>
        <v>2.2999999999999998</v>
      </c>
      <c r="W5434">
        <v>2.5</v>
      </c>
      <c r="X5434" s="1" t="s">
        <v>20</v>
      </c>
    </row>
    <row r="5435" spans="1:24" x14ac:dyDescent="0.25">
      <c r="A5435" s="1" t="str">
        <f t="shared" si="1757"/>
        <v>卡卡杜-凤凰仓</v>
      </c>
      <c r="B5435" s="1" t="str">
        <f>"CK2024101919888"</f>
        <v>CK2024101919888</v>
      </c>
      <c r="C5435" s="1" t="str">
        <f>"DD2024101930656"</f>
        <v>DD2024101930656</v>
      </c>
      <c r="D5435" s="1" t="str">
        <f>"CK2024101920692"</f>
        <v>CK2024101920692</v>
      </c>
      <c r="E5435" s="1" t="str">
        <f>"2429302227427628"</f>
        <v>2429302227427628</v>
      </c>
      <c r="F5435" s="1" t="str">
        <f t="shared" si="1758"/>
        <v>花都四部-凤凰仓</v>
      </c>
      <c r="G5435" s="1" t="str">
        <f t="shared" ref="G5435:G5485" si="1772">"卡卡杜佳旺专卖店（快手店）"</f>
        <v>卡卡杜佳旺专卖店（快手店）</v>
      </c>
      <c r="H5435" s="1" t="str">
        <f t="shared" si="1759"/>
        <v>正常订单</v>
      </c>
      <c r="I5435" s="1" t="str">
        <f t="shared" si="1760"/>
        <v>已发货</v>
      </c>
      <c r="J5435" s="1" t="str">
        <f t="shared" si="1771"/>
        <v>3</v>
      </c>
      <c r="K5435" s="1">
        <v>2</v>
      </c>
      <c r="L5435" s="1" t="s">
        <v>54</v>
      </c>
      <c r="M5435" s="1" t="str">
        <f>"黑龙江省 哈尔滨市 道外区 滨江街道"</f>
        <v>黑龙江省 哈尔滨市 道外区 滨江街道</v>
      </c>
      <c r="N5435" s="1" t="str">
        <f t="shared" ref="N5435:N5485" si="1773">"凡华云仓-城南圆通-快手"</f>
        <v>凡华云仓-城南圆通-快手</v>
      </c>
      <c r="O5435" s="5" t="s">
        <v>5448</v>
      </c>
      <c r="P5435" s="6">
        <v>0.35</v>
      </c>
      <c r="Q5435" s="11">
        <v>2.2999999999999998</v>
      </c>
      <c r="R5435" s="11"/>
      <c r="S5435" s="11"/>
      <c r="T5435" s="11"/>
      <c r="U5435" s="11">
        <f t="shared" si="1756"/>
        <v>2.2999999999999998</v>
      </c>
      <c r="W5435">
        <v>2.5</v>
      </c>
      <c r="X5435" s="1" t="s">
        <v>54</v>
      </c>
    </row>
    <row r="5436" spans="1:24" x14ac:dyDescent="0.25">
      <c r="A5436" s="1" t="str">
        <f t="shared" si="1757"/>
        <v>卡卡杜-凤凰仓</v>
      </c>
      <c r="B5436" s="1" t="str">
        <f>"CK2024101919591"</f>
        <v>CK2024101919591</v>
      </c>
      <c r="C5436" s="1" t="str">
        <f>"DD2024101930351"</f>
        <v>DD2024101930351</v>
      </c>
      <c r="D5436" s="1" t="str">
        <f>"CK2024101920691"</f>
        <v>CK2024101920691</v>
      </c>
      <c r="E5436" s="1" t="str">
        <f>"2429301975083073"</f>
        <v>2429301975083073</v>
      </c>
      <c r="F5436" s="1" t="str">
        <f t="shared" si="1758"/>
        <v>花都四部-凤凰仓</v>
      </c>
      <c r="G5436" s="1" t="str">
        <f t="shared" si="1772"/>
        <v>卡卡杜佳旺专卖店（快手店）</v>
      </c>
      <c r="H5436" s="1" t="str">
        <f t="shared" si="1759"/>
        <v>正常订单</v>
      </c>
      <c r="I5436" s="1" t="str">
        <f t="shared" si="1760"/>
        <v>已发货</v>
      </c>
      <c r="J5436" s="1" t="str">
        <f t="shared" si="1771"/>
        <v>3</v>
      </c>
      <c r="K5436" s="1">
        <v>2</v>
      </c>
      <c r="L5436" s="1" t="s">
        <v>94</v>
      </c>
      <c r="M5436" s="1" t="str">
        <f>"湖南省 怀化市 中方县 中方镇"</f>
        <v>湖南省 怀化市 中方县 中方镇</v>
      </c>
      <c r="N5436" s="1" t="str">
        <f t="shared" si="1773"/>
        <v>凡华云仓-城南圆通-快手</v>
      </c>
      <c r="O5436" s="5" t="s">
        <v>5449</v>
      </c>
      <c r="P5436" s="6">
        <v>0.35</v>
      </c>
      <c r="Q5436" s="11">
        <v>2.2999999999999998</v>
      </c>
      <c r="R5436" s="11"/>
      <c r="S5436" s="11"/>
      <c r="T5436" s="11"/>
      <c r="U5436" s="11">
        <f t="shared" si="1756"/>
        <v>2.2999999999999998</v>
      </c>
      <c r="W5436">
        <v>2.5</v>
      </c>
      <c r="X5436" s="1" t="s">
        <v>94</v>
      </c>
    </row>
    <row r="5437" spans="1:24" x14ac:dyDescent="0.25">
      <c r="A5437" s="1" t="str">
        <f t="shared" si="1757"/>
        <v>卡卡杜-凤凰仓</v>
      </c>
      <c r="B5437" s="1" t="str">
        <f>"CK2024101919897"</f>
        <v>CK2024101919897</v>
      </c>
      <c r="C5437" s="1" t="str">
        <f>"DD2024101930691"</f>
        <v>DD2024101930691</v>
      </c>
      <c r="D5437" s="1" t="str">
        <f>"CK2024101920690"</f>
        <v>CK2024101920690</v>
      </c>
      <c r="E5437" s="1" t="str">
        <f>"2429301994506378"</f>
        <v>2429301994506378</v>
      </c>
      <c r="F5437" s="1" t="str">
        <f t="shared" si="1758"/>
        <v>花都四部-凤凰仓</v>
      </c>
      <c r="G5437" s="1" t="str">
        <f t="shared" si="1772"/>
        <v>卡卡杜佳旺专卖店（快手店）</v>
      </c>
      <c r="H5437" s="1" t="str">
        <f t="shared" si="1759"/>
        <v>正常订单</v>
      </c>
      <c r="I5437" s="1" t="str">
        <f t="shared" si="1760"/>
        <v>已发货</v>
      </c>
      <c r="J5437" s="1" t="str">
        <f t="shared" ref="J5437:J5439" si="1774">"5"</f>
        <v>5</v>
      </c>
      <c r="K5437" s="1">
        <v>2</v>
      </c>
      <c r="L5437" s="1" t="s">
        <v>24</v>
      </c>
      <c r="M5437" s="1" t="str">
        <f>"福建省 福州市 鼓楼区 南街街道"</f>
        <v>福建省 福州市 鼓楼区 南街街道</v>
      </c>
      <c r="N5437" s="1" t="str">
        <f t="shared" si="1773"/>
        <v>凡华云仓-城南圆通-快手</v>
      </c>
      <c r="O5437" s="5" t="s">
        <v>5450</v>
      </c>
      <c r="P5437" s="6">
        <v>0.59</v>
      </c>
      <c r="Q5437" s="11">
        <f t="shared" ref="Q5437:Q5439" si="1775">CEILING(P5437-0.5,0.1)*10*0.15+2.3</f>
        <v>2.4499999999999997</v>
      </c>
      <c r="R5437" s="11"/>
      <c r="S5437" s="11"/>
      <c r="T5437" s="11"/>
      <c r="U5437" s="11">
        <f t="shared" si="1756"/>
        <v>2.4499999999999997</v>
      </c>
      <c r="V5437" t="s">
        <v>15</v>
      </c>
      <c r="W5437">
        <v>2.4500000000000002</v>
      </c>
      <c r="X5437" s="1" t="s">
        <v>24</v>
      </c>
    </row>
    <row r="5438" spans="1:24" x14ac:dyDescent="0.25">
      <c r="A5438" s="1" t="str">
        <f t="shared" si="1757"/>
        <v>卡卡杜-凤凰仓</v>
      </c>
      <c r="B5438" s="1" t="str">
        <f>"CK2024101919898"</f>
        <v>CK2024101919898</v>
      </c>
      <c r="C5438" s="1" t="str">
        <f>"DD2024101930690"</f>
        <v>DD2024101930690</v>
      </c>
      <c r="D5438" s="1" t="str">
        <f>"CK2024101920689"</f>
        <v>CK2024101920689</v>
      </c>
      <c r="E5438" s="1" t="str">
        <f>"2429301986634760"</f>
        <v>2429301986634760</v>
      </c>
      <c r="F5438" s="1" t="str">
        <f t="shared" si="1758"/>
        <v>花都四部-凤凰仓</v>
      </c>
      <c r="G5438" s="1" t="str">
        <f t="shared" si="1772"/>
        <v>卡卡杜佳旺专卖店（快手店）</v>
      </c>
      <c r="H5438" s="1" t="str">
        <f t="shared" si="1759"/>
        <v>正常订单</v>
      </c>
      <c r="I5438" s="1" t="str">
        <f t="shared" si="1760"/>
        <v>已发货</v>
      </c>
      <c r="J5438" s="1" t="str">
        <f t="shared" si="1774"/>
        <v>5</v>
      </c>
      <c r="K5438" s="1">
        <v>2</v>
      </c>
      <c r="L5438" s="1" t="s">
        <v>80</v>
      </c>
      <c r="M5438" s="1" t="str">
        <f>"河南省 许昌市 长葛市 老城镇"</f>
        <v>河南省 许昌市 长葛市 老城镇</v>
      </c>
      <c r="N5438" s="1" t="str">
        <f t="shared" si="1773"/>
        <v>凡华云仓-城南圆通-快手</v>
      </c>
      <c r="O5438" s="5" t="s">
        <v>5451</v>
      </c>
      <c r="P5438" s="6">
        <v>0.59</v>
      </c>
      <c r="Q5438" s="11">
        <f t="shared" si="1775"/>
        <v>2.4499999999999997</v>
      </c>
      <c r="R5438" s="11"/>
      <c r="S5438" s="11"/>
      <c r="T5438" s="11"/>
      <c r="U5438" s="11">
        <f t="shared" si="1756"/>
        <v>2.4499999999999997</v>
      </c>
      <c r="V5438" t="s">
        <v>15</v>
      </c>
      <c r="W5438">
        <v>2.4500000000000002</v>
      </c>
      <c r="X5438" s="1" t="s">
        <v>80</v>
      </c>
    </row>
    <row r="5439" spans="1:24" x14ac:dyDescent="0.25">
      <c r="A5439" s="1" t="str">
        <f t="shared" si="1757"/>
        <v>卡卡杜-凤凰仓</v>
      </c>
      <c r="B5439" s="1" t="str">
        <f>"CK2024101919899"</f>
        <v>CK2024101919899</v>
      </c>
      <c r="C5439" s="1" t="str">
        <f>"DD2024101930696"</f>
        <v>DD2024101930696</v>
      </c>
      <c r="D5439" s="1" t="str">
        <f>"CK2024101920688"</f>
        <v>CK2024101920688</v>
      </c>
      <c r="E5439" s="1" t="str">
        <f>"2429302146056261"</f>
        <v>2429302146056261</v>
      </c>
      <c r="F5439" s="1" t="str">
        <f t="shared" si="1758"/>
        <v>花都四部-凤凰仓</v>
      </c>
      <c r="G5439" s="1" t="str">
        <f t="shared" si="1772"/>
        <v>卡卡杜佳旺专卖店（快手店）</v>
      </c>
      <c r="H5439" s="1" t="str">
        <f t="shared" si="1759"/>
        <v>正常订单</v>
      </c>
      <c r="I5439" s="1" t="str">
        <f t="shared" si="1760"/>
        <v>已发货</v>
      </c>
      <c r="J5439" s="1" t="str">
        <f t="shared" si="1774"/>
        <v>5</v>
      </c>
      <c r="K5439" s="1">
        <v>2</v>
      </c>
      <c r="L5439" s="1" t="s">
        <v>109</v>
      </c>
      <c r="M5439" s="1" t="str">
        <f>"山西省 吕梁市 文水县 刘胡兰镇"</f>
        <v>山西省 吕梁市 文水县 刘胡兰镇</v>
      </c>
      <c r="N5439" s="1" t="str">
        <f t="shared" si="1773"/>
        <v>凡华云仓-城南圆通-快手</v>
      </c>
      <c r="O5439" s="5" t="s">
        <v>5452</v>
      </c>
      <c r="P5439" s="6">
        <v>0.59</v>
      </c>
      <c r="Q5439" s="11">
        <f t="shared" si="1775"/>
        <v>2.4499999999999997</v>
      </c>
      <c r="R5439" s="11"/>
      <c r="S5439" s="11"/>
      <c r="T5439" s="11"/>
      <c r="U5439" s="11">
        <f t="shared" si="1756"/>
        <v>2.4499999999999997</v>
      </c>
      <c r="V5439" t="s">
        <v>15</v>
      </c>
      <c r="W5439">
        <v>2.4500000000000002</v>
      </c>
      <c r="X5439" s="1" t="s">
        <v>109</v>
      </c>
    </row>
    <row r="5440" spans="1:24" x14ac:dyDescent="0.25">
      <c r="A5440" s="1" t="str">
        <f t="shared" si="1757"/>
        <v>卡卡杜-凤凰仓</v>
      </c>
      <c r="B5440" s="1" t="str">
        <f>"CK2024101919594"</f>
        <v>CK2024101919594</v>
      </c>
      <c r="C5440" s="1" t="str">
        <f>"DD2024101930354"</f>
        <v>DD2024101930354</v>
      </c>
      <c r="D5440" s="1" t="str">
        <f>"CK2024101920687"</f>
        <v>CK2024101920687</v>
      </c>
      <c r="E5440" s="1" t="str">
        <f>"2429302050840463"</f>
        <v>2429302050840463</v>
      </c>
      <c r="F5440" s="1" t="str">
        <f t="shared" si="1758"/>
        <v>花都四部-凤凰仓</v>
      </c>
      <c r="G5440" s="1" t="str">
        <f t="shared" si="1772"/>
        <v>卡卡杜佳旺专卖店（快手店）</v>
      </c>
      <c r="H5440" s="1" t="str">
        <f t="shared" si="1759"/>
        <v>正常订单</v>
      </c>
      <c r="I5440" s="1" t="str">
        <f t="shared" si="1760"/>
        <v>已发货</v>
      </c>
      <c r="J5440" s="1" t="str">
        <f t="shared" ref="J5440:J5445" si="1776">"3"</f>
        <v>3</v>
      </c>
      <c r="K5440" s="1">
        <v>2</v>
      </c>
      <c r="L5440" s="1" t="s">
        <v>740</v>
      </c>
      <c r="M5440" s="1" t="str">
        <f>"宁夏回族自治区 固原市 原州区 南关街道"</f>
        <v>宁夏回族自治区 固原市 原州区 南关街道</v>
      </c>
      <c r="N5440" s="1" t="str">
        <f t="shared" si="1773"/>
        <v>凡华云仓-城南圆通-快手</v>
      </c>
      <c r="O5440" s="5" t="s">
        <v>5453</v>
      </c>
      <c r="P5440" s="6">
        <v>0.35</v>
      </c>
      <c r="Q5440" s="11">
        <v>2.2999999999999998</v>
      </c>
      <c r="R5440" s="11"/>
      <c r="S5440" s="11"/>
      <c r="T5440" s="11"/>
      <c r="U5440" s="11">
        <f t="shared" si="1756"/>
        <v>2.2999999999999998</v>
      </c>
      <c r="W5440">
        <v>2.5</v>
      </c>
      <c r="X5440" s="1" t="s">
        <v>740</v>
      </c>
    </row>
    <row r="5441" spans="1:24" x14ac:dyDescent="0.25">
      <c r="A5441" s="1" t="str">
        <f t="shared" si="1757"/>
        <v>卡卡杜-凤凰仓</v>
      </c>
      <c r="B5441" s="1" t="str">
        <f>"CK2024101919900"</f>
        <v>CK2024101919900</v>
      </c>
      <c r="C5441" s="1" t="str">
        <f>"DD2024101930698"</f>
        <v>DD2024101930698</v>
      </c>
      <c r="D5441" s="1" t="str">
        <f>"CK2024101920686"</f>
        <v>CK2024101920686</v>
      </c>
      <c r="E5441" s="1" t="str">
        <f>"2429301645530369"</f>
        <v>2429301645530369</v>
      </c>
      <c r="F5441" s="1" t="str">
        <f t="shared" si="1758"/>
        <v>花都四部-凤凰仓</v>
      </c>
      <c r="G5441" s="1" t="str">
        <f t="shared" si="1772"/>
        <v>卡卡杜佳旺专卖店（快手店）</v>
      </c>
      <c r="H5441" s="1" t="str">
        <f t="shared" si="1759"/>
        <v>正常订单</v>
      </c>
      <c r="I5441" s="1" t="str">
        <f t="shared" si="1760"/>
        <v>已发货</v>
      </c>
      <c r="J5441" s="1" t="str">
        <f t="shared" ref="J5441:J5446" si="1777">"5"</f>
        <v>5</v>
      </c>
      <c r="K5441" s="1">
        <v>2</v>
      </c>
      <c r="L5441" s="1" t="s">
        <v>18</v>
      </c>
      <c r="M5441" s="1" t="str">
        <f>"广东省 广州市 白云区 京溪街道"</f>
        <v>广东省 广州市 白云区 京溪街道</v>
      </c>
      <c r="N5441" s="1" t="str">
        <f t="shared" si="1773"/>
        <v>凡华云仓-城南圆通-快手</v>
      </c>
      <c r="O5441" s="5" t="s">
        <v>5454</v>
      </c>
      <c r="P5441" s="6">
        <v>0.59</v>
      </c>
      <c r="Q5441" s="11">
        <f t="shared" ref="Q5441:Q5446" si="1778">CEILING(P5441-0.5,0.1)*10*0.15+2.3</f>
        <v>2.4499999999999997</v>
      </c>
      <c r="R5441" s="11"/>
      <c r="S5441" s="11"/>
      <c r="T5441" s="11"/>
      <c r="U5441" s="11">
        <f t="shared" si="1756"/>
        <v>2.4499999999999997</v>
      </c>
      <c r="V5441" t="s">
        <v>15</v>
      </c>
      <c r="W5441">
        <v>2.4500000000000002</v>
      </c>
      <c r="X5441" s="1" t="s">
        <v>18</v>
      </c>
    </row>
    <row r="5442" spans="1:24" x14ac:dyDescent="0.25">
      <c r="A5442" s="1" t="str">
        <f t="shared" si="1757"/>
        <v>卡卡杜-凤凰仓</v>
      </c>
      <c r="B5442" s="1" t="str">
        <f>"CK2024101919901"</f>
        <v>CK2024101919901</v>
      </c>
      <c r="C5442" s="1" t="str">
        <f>"DD2024101930697"</f>
        <v>DD2024101930697</v>
      </c>
      <c r="D5442" s="1" t="str">
        <f>"CK2024101920685"</f>
        <v>CK2024101920685</v>
      </c>
      <c r="E5442" s="1" t="str">
        <f>"2429301742075676"</f>
        <v>2429301742075676</v>
      </c>
      <c r="F5442" s="1" t="str">
        <f t="shared" si="1758"/>
        <v>花都四部-凤凰仓</v>
      </c>
      <c r="G5442" s="1" t="str">
        <f t="shared" si="1772"/>
        <v>卡卡杜佳旺专卖店（快手店）</v>
      </c>
      <c r="H5442" s="1" t="str">
        <f t="shared" si="1759"/>
        <v>正常订单</v>
      </c>
      <c r="I5442" s="1" t="str">
        <f t="shared" si="1760"/>
        <v>已发货</v>
      </c>
      <c r="J5442" s="1" t="str">
        <f t="shared" si="1777"/>
        <v>5</v>
      </c>
      <c r="K5442" s="1">
        <v>2</v>
      </c>
      <c r="L5442" s="1" t="s">
        <v>18</v>
      </c>
      <c r="M5442" s="1" t="str">
        <f>"广东省 东莞市 长安镇 长安镇"</f>
        <v>广东省 东莞市 长安镇 长安镇</v>
      </c>
      <c r="N5442" s="1" t="str">
        <f t="shared" si="1773"/>
        <v>凡华云仓-城南圆通-快手</v>
      </c>
      <c r="O5442" s="5" t="s">
        <v>5455</v>
      </c>
      <c r="P5442" s="6">
        <v>0.59</v>
      </c>
      <c r="Q5442" s="11">
        <f t="shared" si="1778"/>
        <v>2.4499999999999997</v>
      </c>
      <c r="R5442" s="11"/>
      <c r="S5442" s="11"/>
      <c r="T5442" s="11"/>
      <c r="U5442" s="11">
        <f t="shared" si="1756"/>
        <v>2.4499999999999997</v>
      </c>
      <c r="V5442" t="s">
        <v>15</v>
      </c>
      <c r="W5442">
        <v>2.4500000000000002</v>
      </c>
      <c r="X5442" s="1" t="s">
        <v>18</v>
      </c>
    </row>
    <row r="5443" spans="1:24" x14ac:dyDescent="0.25">
      <c r="A5443" s="1" t="str">
        <f t="shared" si="1757"/>
        <v>卡卡杜-凤凰仓</v>
      </c>
      <c r="B5443" s="1" t="str">
        <f>"CK2024101919597"</f>
        <v>CK2024101919597</v>
      </c>
      <c r="C5443" s="1" t="str">
        <f>"DD2024101930355"</f>
        <v>DD2024101930355</v>
      </c>
      <c r="D5443" s="1" t="str">
        <f>"CK2024101920684"</f>
        <v>CK2024101920684</v>
      </c>
      <c r="E5443" s="1" t="str">
        <f>"2429302146418215"</f>
        <v>2429302146418215</v>
      </c>
      <c r="F5443" s="1" t="str">
        <f t="shared" si="1758"/>
        <v>花都四部-凤凰仓</v>
      </c>
      <c r="G5443" s="1" t="str">
        <f t="shared" si="1772"/>
        <v>卡卡杜佳旺专卖店（快手店）</v>
      </c>
      <c r="H5443" s="1" t="str">
        <f t="shared" si="1759"/>
        <v>正常订单</v>
      </c>
      <c r="I5443" s="1" t="str">
        <f t="shared" si="1760"/>
        <v>已发货</v>
      </c>
      <c r="J5443" s="1" t="str">
        <f t="shared" si="1776"/>
        <v>3</v>
      </c>
      <c r="K5443" s="1">
        <v>2</v>
      </c>
      <c r="L5443" s="1" t="s">
        <v>18</v>
      </c>
      <c r="M5443" s="1" t="str">
        <f>"广东省 深圳市 龙华区 龙华街道"</f>
        <v>广东省 深圳市 龙华区 龙华街道</v>
      </c>
      <c r="N5443" s="1" t="str">
        <f t="shared" si="1773"/>
        <v>凡华云仓-城南圆通-快手</v>
      </c>
      <c r="O5443" s="5" t="s">
        <v>5456</v>
      </c>
      <c r="P5443" s="6">
        <v>0.35</v>
      </c>
      <c r="Q5443" s="11">
        <v>2.2999999999999998</v>
      </c>
      <c r="R5443" s="11"/>
      <c r="S5443" s="11"/>
      <c r="T5443" s="11"/>
      <c r="U5443" s="11">
        <f t="shared" ref="U5443:U5506" si="1779">T5443+S5443+R5443+Q5443</f>
        <v>2.2999999999999998</v>
      </c>
      <c r="W5443">
        <v>2.5</v>
      </c>
      <c r="X5443" s="1" t="s">
        <v>18</v>
      </c>
    </row>
    <row r="5444" spans="1:24" x14ac:dyDescent="0.25">
      <c r="A5444" s="1" t="str">
        <f t="shared" si="1757"/>
        <v>卡卡杜-凤凰仓</v>
      </c>
      <c r="B5444" s="1" t="str">
        <f>"CK2024101919598"</f>
        <v>CK2024101919598</v>
      </c>
      <c r="C5444" s="1" t="str">
        <f>"DD2024101930356"</f>
        <v>DD2024101930356</v>
      </c>
      <c r="D5444" s="1" t="str">
        <f>"CK2024101920683"</f>
        <v>CK2024101920683</v>
      </c>
      <c r="E5444" s="1" t="str">
        <f>"2429301659843414"</f>
        <v>2429301659843414</v>
      </c>
      <c r="F5444" s="1" t="str">
        <f t="shared" si="1758"/>
        <v>花都四部-凤凰仓</v>
      </c>
      <c r="G5444" s="1" t="str">
        <f t="shared" si="1772"/>
        <v>卡卡杜佳旺专卖店（快手店）</v>
      </c>
      <c r="H5444" s="1" t="str">
        <f t="shared" si="1759"/>
        <v>正常订单</v>
      </c>
      <c r="I5444" s="1" t="str">
        <f t="shared" si="1760"/>
        <v>已发货</v>
      </c>
      <c r="J5444" s="1" t="str">
        <f t="shared" si="1776"/>
        <v>3</v>
      </c>
      <c r="K5444" s="1">
        <v>2</v>
      </c>
      <c r="L5444" s="1" t="s">
        <v>32</v>
      </c>
      <c r="M5444" s="1" t="str">
        <f>"陕西省 咸阳市 渭城区 周陵街道"</f>
        <v>陕西省 咸阳市 渭城区 周陵街道</v>
      </c>
      <c r="N5444" s="1" t="str">
        <f t="shared" si="1773"/>
        <v>凡华云仓-城南圆通-快手</v>
      </c>
      <c r="O5444" s="5" t="s">
        <v>5457</v>
      </c>
      <c r="P5444" s="6">
        <v>0.35</v>
      </c>
      <c r="Q5444" s="11">
        <v>2.2999999999999998</v>
      </c>
      <c r="R5444" s="11"/>
      <c r="S5444" s="11"/>
      <c r="T5444" s="11"/>
      <c r="U5444" s="11">
        <f t="shared" si="1779"/>
        <v>2.2999999999999998</v>
      </c>
      <c r="W5444">
        <v>2.5</v>
      </c>
      <c r="X5444" s="1" t="s">
        <v>32</v>
      </c>
    </row>
    <row r="5445" spans="1:24" x14ac:dyDescent="0.25">
      <c r="A5445" s="1" t="str">
        <f t="shared" ref="A5445:A5508" si="1780">"卡卡杜-凤凰仓"</f>
        <v>卡卡杜-凤凰仓</v>
      </c>
      <c r="B5445" s="1" t="str">
        <f>"CK2024101919600"</f>
        <v>CK2024101919600</v>
      </c>
      <c r="C5445" s="1" t="str">
        <f>"DD2024101930359"</f>
        <v>DD2024101930359</v>
      </c>
      <c r="D5445" s="1" t="str">
        <f>"CK2024101920682"</f>
        <v>CK2024101920682</v>
      </c>
      <c r="E5445" s="1" t="str">
        <f>"2429301739536993"</f>
        <v>2429301739536993</v>
      </c>
      <c r="F5445" s="1" t="str">
        <f t="shared" ref="F5445:F5508" si="1781">"花都四部-凤凰仓"</f>
        <v>花都四部-凤凰仓</v>
      </c>
      <c r="G5445" s="1" t="str">
        <f t="shared" si="1772"/>
        <v>卡卡杜佳旺专卖店（快手店）</v>
      </c>
      <c r="H5445" s="1" t="str">
        <f t="shared" ref="H5445:H5508" si="1782">"正常订单"</f>
        <v>正常订单</v>
      </c>
      <c r="I5445" s="1" t="str">
        <f t="shared" ref="I5445:I5508" si="1783">"已发货"</f>
        <v>已发货</v>
      </c>
      <c r="J5445" s="1" t="str">
        <f t="shared" si="1776"/>
        <v>3</v>
      </c>
      <c r="K5445" s="1">
        <v>2</v>
      </c>
      <c r="L5445" s="1" t="s">
        <v>18</v>
      </c>
      <c r="M5445" s="1" t="str">
        <f>"广东省 广州市 海珠区 华洲街道"</f>
        <v>广东省 广州市 海珠区 华洲街道</v>
      </c>
      <c r="N5445" s="1" t="str">
        <f t="shared" si="1773"/>
        <v>凡华云仓-城南圆通-快手</v>
      </c>
      <c r="O5445" s="5" t="s">
        <v>5458</v>
      </c>
      <c r="P5445" s="6">
        <v>0.35</v>
      </c>
      <c r="Q5445" s="11">
        <v>2.2999999999999998</v>
      </c>
      <c r="R5445" s="11"/>
      <c r="S5445" s="11"/>
      <c r="T5445" s="11"/>
      <c r="U5445" s="11">
        <f t="shared" si="1779"/>
        <v>2.2999999999999998</v>
      </c>
      <c r="W5445">
        <v>2.5</v>
      </c>
      <c r="X5445" s="1" t="s">
        <v>18</v>
      </c>
    </row>
    <row r="5446" spans="1:24" x14ac:dyDescent="0.25">
      <c r="A5446" s="1" t="str">
        <f t="shared" si="1780"/>
        <v>卡卡杜-凤凰仓</v>
      </c>
      <c r="B5446" s="1" t="str">
        <f>"CK2024101919902"</f>
        <v>CK2024101919902</v>
      </c>
      <c r="C5446" s="1" t="str">
        <f>"DD2024101930699"</f>
        <v>DD2024101930699</v>
      </c>
      <c r="D5446" s="1" t="str">
        <f>"CK2024101920681"</f>
        <v>CK2024101920681</v>
      </c>
      <c r="E5446" s="1" t="str">
        <f>"2429302240865934"</f>
        <v>2429302240865934</v>
      </c>
      <c r="F5446" s="1" t="str">
        <f t="shared" si="1781"/>
        <v>花都四部-凤凰仓</v>
      </c>
      <c r="G5446" s="1" t="str">
        <f t="shared" si="1772"/>
        <v>卡卡杜佳旺专卖店（快手店）</v>
      </c>
      <c r="H5446" s="1" t="str">
        <f t="shared" si="1782"/>
        <v>正常订单</v>
      </c>
      <c r="I5446" s="1" t="str">
        <f t="shared" si="1783"/>
        <v>已发货</v>
      </c>
      <c r="J5446" s="1" t="str">
        <f t="shared" si="1777"/>
        <v>5</v>
      </c>
      <c r="K5446" s="1">
        <v>2</v>
      </c>
      <c r="L5446" s="1" t="s">
        <v>20</v>
      </c>
      <c r="M5446" s="1" t="str">
        <f>"浙江省 宁波市 宁海县 西店镇"</f>
        <v>浙江省 宁波市 宁海县 西店镇</v>
      </c>
      <c r="N5446" s="1" t="str">
        <f t="shared" si="1773"/>
        <v>凡华云仓-城南圆通-快手</v>
      </c>
      <c r="O5446" s="5" t="s">
        <v>5459</v>
      </c>
      <c r="P5446" s="6">
        <v>0.59</v>
      </c>
      <c r="Q5446" s="11">
        <f t="shared" si="1778"/>
        <v>2.4499999999999997</v>
      </c>
      <c r="R5446" s="11"/>
      <c r="S5446" s="11"/>
      <c r="T5446" s="11"/>
      <c r="U5446" s="11">
        <f t="shared" si="1779"/>
        <v>2.4499999999999997</v>
      </c>
      <c r="V5446" t="s">
        <v>15</v>
      </c>
      <c r="W5446">
        <v>2.4500000000000002</v>
      </c>
      <c r="X5446" s="1" t="s">
        <v>20</v>
      </c>
    </row>
    <row r="5447" spans="1:24" x14ac:dyDescent="0.25">
      <c r="A5447" s="1" t="str">
        <f t="shared" si="1780"/>
        <v>卡卡杜-凤凰仓</v>
      </c>
      <c r="B5447" s="1" t="str">
        <f>"CK2024101919602"</f>
        <v>CK2024101919602</v>
      </c>
      <c r="C5447" s="1" t="str">
        <f>"DD2024101930361"</f>
        <v>DD2024101930361</v>
      </c>
      <c r="D5447" s="1" t="str">
        <f>"CK2024101920680"</f>
        <v>CK2024101920680</v>
      </c>
      <c r="E5447" s="1" t="str">
        <f>"2429301973978363"</f>
        <v>2429301973978363</v>
      </c>
      <c r="F5447" s="1" t="str">
        <f t="shared" si="1781"/>
        <v>花都四部-凤凰仓</v>
      </c>
      <c r="G5447" s="1" t="str">
        <f t="shared" si="1772"/>
        <v>卡卡杜佳旺专卖店（快手店）</v>
      </c>
      <c r="H5447" s="1" t="str">
        <f t="shared" si="1782"/>
        <v>正常订单</v>
      </c>
      <c r="I5447" s="1" t="str">
        <f t="shared" si="1783"/>
        <v>已发货</v>
      </c>
      <c r="J5447" s="1" t="str">
        <f t="shared" ref="J5447:J5451" si="1784">"3"</f>
        <v>3</v>
      </c>
      <c r="K5447" s="1">
        <v>2</v>
      </c>
      <c r="L5447" s="1" t="s">
        <v>109</v>
      </c>
      <c r="M5447" s="1" t="str">
        <f>"山西省 临汾市 尧都区 屯里镇"</f>
        <v>山西省 临汾市 尧都区 屯里镇</v>
      </c>
      <c r="N5447" s="1" t="str">
        <f t="shared" si="1773"/>
        <v>凡华云仓-城南圆通-快手</v>
      </c>
      <c r="O5447" s="5" t="s">
        <v>5460</v>
      </c>
      <c r="P5447" s="6">
        <v>0.35</v>
      </c>
      <c r="Q5447" s="11">
        <v>2.2999999999999998</v>
      </c>
      <c r="R5447" s="11"/>
      <c r="S5447" s="11"/>
      <c r="T5447" s="11"/>
      <c r="U5447" s="11">
        <f t="shared" si="1779"/>
        <v>2.2999999999999998</v>
      </c>
      <c r="W5447">
        <v>2.5</v>
      </c>
      <c r="X5447" s="1" t="s">
        <v>109</v>
      </c>
    </row>
    <row r="5448" spans="1:24" x14ac:dyDescent="0.25">
      <c r="A5448" s="1" t="str">
        <f t="shared" si="1780"/>
        <v>卡卡杜-凤凰仓</v>
      </c>
      <c r="B5448" s="1" t="str">
        <f>"CK2024101919603"</f>
        <v>CK2024101919603</v>
      </c>
      <c r="C5448" s="1" t="str">
        <f>"DD2024101930362"</f>
        <v>DD2024101930362</v>
      </c>
      <c r="D5448" s="1" t="str">
        <f>"CK2024101920679"</f>
        <v>CK2024101920679</v>
      </c>
      <c r="E5448" s="1" t="str">
        <f>"2429301640755024"</f>
        <v>2429301640755024</v>
      </c>
      <c r="F5448" s="1" t="str">
        <f t="shared" si="1781"/>
        <v>花都四部-凤凰仓</v>
      </c>
      <c r="G5448" s="1" t="str">
        <f t="shared" si="1772"/>
        <v>卡卡杜佳旺专卖店（快手店）</v>
      </c>
      <c r="H5448" s="1" t="str">
        <f t="shared" si="1782"/>
        <v>正常订单</v>
      </c>
      <c r="I5448" s="1" t="str">
        <f t="shared" si="1783"/>
        <v>已发货</v>
      </c>
      <c r="J5448" s="1" t="str">
        <f t="shared" si="1784"/>
        <v>3</v>
      </c>
      <c r="K5448" s="1">
        <v>2</v>
      </c>
      <c r="L5448" s="1" t="s">
        <v>94</v>
      </c>
      <c r="M5448" s="1" t="str">
        <f>"湖南省 衡阳市 珠晖区 冶金街道"</f>
        <v>湖南省 衡阳市 珠晖区 冶金街道</v>
      </c>
      <c r="N5448" s="1" t="str">
        <f t="shared" si="1773"/>
        <v>凡华云仓-城南圆通-快手</v>
      </c>
      <c r="O5448" s="5" t="s">
        <v>5461</v>
      </c>
      <c r="P5448" s="6">
        <v>0.35</v>
      </c>
      <c r="Q5448" s="11">
        <v>2.2999999999999998</v>
      </c>
      <c r="R5448" s="11"/>
      <c r="S5448" s="11"/>
      <c r="T5448" s="11"/>
      <c r="U5448" s="11">
        <f t="shared" si="1779"/>
        <v>2.2999999999999998</v>
      </c>
      <c r="W5448">
        <v>2.5</v>
      </c>
      <c r="X5448" s="1" t="s">
        <v>94</v>
      </c>
    </row>
    <row r="5449" spans="1:24" x14ac:dyDescent="0.25">
      <c r="A5449" s="1" t="str">
        <f t="shared" si="1780"/>
        <v>卡卡杜-凤凰仓</v>
      </c>
      <c r="B5449" s="1" t="str">
        <f>"CK2024101919604"</f>
        <v>CK2024101919604</v>
      </c>
      <c r="C5449" s="1" t="str">
        <f>"DD2024101930363"</f>
        <v>DD2024101930363</v>
      </c>
      <c r="D5449" s="1" t="str">
        <f>"CK2024101920678"</f>
        <v>CK2024101920678</v>
      </c>
      <c r="E5449" s="1" t="str">
        <f>"2429301895818877"</f>
        <v>2429301895818877</v>
      </c>
      <c r="F5449" s="1" t="str">
        <f t="shared" si="1781"/>
        <v>花都四部-凤凰仓</v>
      </c>
      <c r="G5449" s="1" t="str">
        <f t="shared" si="1772"/>
        <v>卡卡杜佳旺专卖店（快手店）</v>
      </c>
      <c r="H5449" s="1" t="str">
        <f t="shared" si="1782"/>
        <v>正常订单</v>
      </c>
      <c r="I5449" s="1" t="str">
        <f t="shared" si="1783"/>
        <v>已发货</v>
      </c>
      <c r="J5449" s="1" t="str">
        <f t="shared" si="1784"/>
        <v>3</v>
      </c>
      <c r="K5449" s="1">
        <v>2</v>
      </c>
      <c r="L5449" s="1" t="s">
        <v>36</v>
      </c>
      <c r="M5449" s="1" t="str">
        <f>"安徽省 滁州市 南谯区 龙蟠街道"</f>
        <v>安徽省 滁州市 南谯区 龙蟠街道</v>
      </c>
      <c r="N5449" s="1" t="str">
        <f t="shared" si="1773"/>
        <v>凡华云仓-城南圆通-快手</v>
      </c>
      <c r="O5449" s="5" t="s">
        <v>5462</v>
      </c>
      <c r="P5449" s="6">
        <v>0.35</v>
      </c>
      <c r="Q5449" s="11">
        <v>2.2999999999999998</v>
      </c>
      <c r="R5449" s="11"/>
      <c r="S5449" s="11"/>
      <c r="T5449" s="11"/>
      <c r="U5449" s="11">
        <f t="shared" si="1779"/>
        <v>2.2999999999999998</v>
      </c>
      <c r="W5449">
        <v>2.5</v>
      </c>
      <c r="X5449" s="1" t="s">
        <v>36</v>
      </c>
    </row>
    <row r="5450" spans="1:24" x14ac:dyDescent="0.25">
      <c r="A5450" s="1" t="str">
        <f t="shared" si="1780"/>
        <v>卡卡杜-凤凰仓</v>
      </c>
      <c r="B5450" s="1" t="str">
        <f>"CK2024101919605"</f>
        <v>CK2024101919605</v>
      </c>
      <c r="C5450" s="1" t="str">
        <f>"DD2024101930364"</f>
        <v>DD2024101930364</v>
      </c>
      <c r="D5450" s="1" t="str">
        <f>"CK2024101920677"</f>
        <v>CK2024101920677</v>
      </c>
      <c r="E5450" s="1" t="str">
        <f>"2429301983762557"</f>
        <v>2429301983762557</v>
      </c>
      <c r="F5450" s="1" t="str">
        <f t="shared" si="1781"/>
        <v>花都四部-凤凰仓</v>
      </c>
      <c r="G5450" s="1" t="str">
        <f t="shared" si="1772"/>
        <v>卡卡杜佳旺专卖店（快手店）</v>
      </c>
      <c r="H5450" s="1" t="str">
        <f t="shared" si="1782"/>
        <v>正常订单</v>
      </c>
      <c r="I5450" s="1" t="str">
        <f t="shared" si="1783"/>
        <v>已发货</v>
      </c>
      <c r="J5450" s="1" t="str">
        <f t="shared" si="1784"/>
        <v>3</v>
      </c>
      <c r="K5450" s="1">
        <v>2</v>
      </c>
      <c r="L5450" s="1" t="s">
        <v>66</v>
      </c>
      <c r="M5450" s="1" t="str">
        <f>"内蒙古自治区 巴彦淖尔市 临河区 金川街道"</f>
        <v>内蒙古自治区 巴彦淖尔市 临河区 金川街道</v>
      </c>
      <c r="N5450" s="1" t="str">
        <f t="shared" si="1773"/>
        <v>凡华云仓-城南圆通-快手</v>
      </c>
      <c r="O5450" s="5" t="s">
        <v>5463</v>
      </c>
      <c r="P5450" s="6">
        <v>0.35</v>
      </c>
      <c r="Q5450" s="11">
        <v>2.2999999999999998</v>
      </c>
      <c r="R5450" s="11"/>
      <c r="S5450" s="11"/>
      <c r="T5450" s="11"/>
      <c r="U5450" s="11">
        <f t="shared" si="1779"/>
        <v>2.2999999999999998</v>
      </c>
      <c r="W5450">
        <v>2.5</v>
      </c>
      <c r="X5450" s="1" t="s">
        <v>66</v>
      </c>
    </row>
    <row r="5451" spans="1:24" x14ac:dyDescent="0.25">
      <c r="A5451" s="1" t="str">
        <f t="shared" si="1780"/>
        <v>卡卡杜-凤凰仓</v>
      </c>
      <c r="B5451" s="1" t="str">
        <f>"CK2024101919606"</f>
        <v>CK2024101919606</v>
      </c>
      <c r="C5451" s="1" t="str">
        <f>"DD2024101930365"</f>
        <v>DD2024101930365</v>
      </c>
      <c r="D5451" s="1" t="str">
        <f>"CK2024101920676"</f>
        <v>CK2024101920676</v>
      </c>
      <c r="E5451" s="1" t="str">
        <f>"2429302224409434"</f>
        <v>2429302224409434</v>
      </c>
      <c r="F5451" s="1" t="str">
        <f t="shared" si="1781"/>
        <v>花都四部-凤凰仓</v>
      </c>
      <c r="G5451" s="1" t="str">
        <f t="shared" si="1772"/>
        <v>卡卡杜佳旺专卖店（快手店）</v>
      </c>
      <c r="H5451" s="1" t="str">
        <f t="shared" si="1782"/>
        <v>正常订单</v>
      </c>
      <c r="I5451" s="1" t="str">
        <f t="shared" si="1783"/>
        <v>已发货</v>
      </c>
      <c r="J5451" s="1" t="str">
        <f t="shared" si="1784"/>
        <v>3</v>
      </c>
      <c r="K5451" s="1">
        <v>2</v>
      </c>
      <c r="L5451" s="1" t="s">
        <v>13</v>
      </c>
      <c r="M5451" s="1" t="str">
        <f>"江苏省 苏州市 吴江区 江陵街道"</f>
        <v>江苏省 苏州市 吴江区 江陵街道</v>
      </c>
      <c r="N5451" s="1" t="str">
        <f t="shared" si="1773"/>
        <v>凡华云仓-城南圆通-快手</v>
      </c>
      <c r="O5451" s="5" t="s">
        <v>5464</v>
      </c>
      <c r="P5451" s="6">
        <v>0.35</v>
      </c>
      <c r="Q5451" s="11">
        <v>2.2999999999999998</v>
      </c>
      <c r="R5451" s="11"/>
      <c r="S5451" s="11"/>
      <c r="T5451" s="11"/>
      <c r="U5451" s="11">
        <f t="shared" si="1779"/>
        <v>2.2999999999999998</v>
      </c>
      <c r="W5451">
        <v>2.5</v>
      </c>
      <c r="X5451" s="1" t="s">
        <v>13</v>
      </c>
    </row>
    <row r="5452" spans="1:24" x14ac:dyDescent="0.25">
      <c r="A5452" s="1" t="str">
        <f t="shared" si="1780"/>
        <v>卡卡杜-凤凰仓</v>
      </c>
      <c r="B5452" s="1" t="str">
        <f>"CK2024101919903"</f>
        <v>CK2024101919903</v>
      </c>
      <c r="C5452" s="1" t="str">
        <f>"DD2024101930701"</f>
        <v>DD2024101930701</v>
      </c>
      <c r="D5452" s="1" t="str">
        <f>"CK2024101920675"</f>
        <v>CK2024101920675</v>
      </c>
      <c r="E5452" s="1" t="str">
        <f>"2429301828257627"</f>
        <v>2429301828257627</v>
      </c>
      <c r="F5452" s="1" t="str">
        <f t="shared" si="1781"/>
        <v>花都四部-凤凰仓</v>
      </c>
      <c r="G5452" s="1" t="str">
        <f t="shared" si="1772"/>
        <v>卡卡杜佳旺专卖店（快手店）</v>
      </c>
      <c r="H5452" s="1" t="str">
        <f t="shared" si="1782"/>
        <v>正常订单</v>
      </c>
      <c r="I5452" s="1" t="str">
        <f t="shared" si="1783"/>
        <v>已发货</v>
      </c>
      <c r="J5452" s="1" t="str">
        <f>"5"</f>
        <v>5</v>
      </c>
      <c r="K5452" s="1">
        <v>2</v>
      </c>
      <c r="L5452" s="1" t="s">
        <v>161</v>
      </c>
      <c r="M5452" s="1" t="str">
        <f>"四川省 成都市 崇州市 大划街道"</f>
        <v>四川省 成都市 崇州市 大划街道</v>
      </c>
      <c r="N5452" s="1" t="str">
        <f t="shared" si="1773"/>
        <v>凡华云仓-城南圆通-快手</v>
      </c>
      <c r="O5452" s="5" t="s">
        <v>5465</v>
      </c>
      <c r="P5452" s="6">
        <v>0.59</v>
      </c>
      <c r="Q5452" s="11">
        <f>CEILING(P5452-0.5,0.1)*10*0.15+2.3</f>
        <v>2.4499999999999997</v>
      </c>
      <c r="R5452" s="11"/>
      <c r="S5452" s="11"/>
      <c r="T5452" s="11"/>
      <c r="U5452" s="11">
        <f t="shared" si="1779"/>
        <v>2.4499999999999997</v>
      </c>
      <c r="V5452" t="s">
        <v>15</v>
      </c>
      <c r="W5452">
        <v>2.4500000000000002</v>
      </c>
      <c r="X5452" s="1" t="s">
        <v>161</v>
      </c>
    </row>
    <row r="5453" spans="1:24" x14ac:dyDescent="0.25">
      <c r="A5453" s="1" t="str">
        <f t="shared" si="1780"/>
        <v>卡卡杜-凤凰仓</v>
      </c>
      <c r="B5453" s="1" t="str">
        <f>"CK2024101919608"</f>
        <v>CK2024101919608</v>
      </c>
      <c r="C5453" s="1" t="str">
        <f>"DD2024101930370"</f>
        <v>DD2024101930370</v>
      </c>
      <c r="D5453" s="1" t="str">
        <f>"CK2024101920674"</f>
        <v>CK2024101920674</v>
      </c>
      <c r="E5453" s="1" t="str">
        <f>"2429301980225688"</f>
        <v>2429301980225688</v>
      </c>
      <c r="F5453" s="1" t="str">
        <f t="shared" si="1781"/>
        <v>花都四部-凤凰仓</v>
      </c>
      <c r="G5453" s="1" t="str">
        <f t="shared" si="1772"/>
        <v>卡卡杜佳旺专卖店（快手店）</v>
      </c>
      <c r="H5453" s="1" t="str">
        <f t="shared" si="1782"/>
        <v>正常订单</v>
      </c>
      <c r="I5453" s="1" t="str">
        <f t="shared" si="1783"/>
        <v>已发货</v>
      </c>
      <c r="J5453" s="1" t="str">
        <f t="shared" ref="J5453:J5456" si="1785">"3"</f>
        <v>3</v>
      </c>
      <c r="K5453" s="1">
        <v>2</v>
      </c>
      <c r="L5453" s="1" t="s">
        <v>54</v>
      </c>
      <c r="M5453" s="1" t="str">
        <f>"黑龙江省 哈尔滨市 平房区 新疆街道"</f>
        <v>黑龙江省 哈尔滨市 平房区 新疆街道</v>
      </c>
      <c r="N5453" s="1" t="str">
        <f t="shared" si="1773"/>
        <v>凡华云仓-城南圆通-快手</v>
      </c>
      <c r="O5453" s="5" t="s">
        <v>5466</v>
      </c>
      <c r="P5453" s="6">
        <v>0.35</v>
      </c>
      <c r="Q5453" s="11">
        <v>2.2999999999999998</v>
      </c>
      <c r="R5453" s="11"/>
      <c r="S5453" s="11"/>
      <c r="T5453" s="11"/>
      <c r="U5453" s="11">
        <f t="shared" si="1779"/>
        <v>2.2999999999999998</v>
      </c>
      <c r="W5453">
        <v>2.5</v>
      </c>
      <c r="X5453" s="1" t="s">
        <v>54</v>
      </c>
    </row>
    <row r="5454" spans="1:24" x14ac:dyDescent="0.25">
      <c r="A5454" s="1" t="str">
        <f t="shared" si="1780"/>
        <v>卡卡杜-凤凰仓</v>
      </c>
      <c r="B5454" s="1" t="str">
        <f>"CK2024101919610"</f>
        <v>CK2024101919610</v>
      </c>
      <c r="C5454" s="1" t="str">
        <f>"DD2024101930367"</f>
        <v>DD2024101930367</v>
      </c>
      <c r="D5454" s="1" t="str">
        <f>"CK2024101920673"</f>
        <v>CK2024101920673</v>
      </c>
      <c r="E5454" s="1" t="str">
        <f>"2429301895650639"</f>
        <v>2429301895650639</v>
      </c>
      <c r="F5454" s="1" t="str">
        <f t="shared" si="1781"/>
        <v>花都四部-凤凰仓</v>
      </c>
      <c r="G5454" s="1" t="str">
        <f t="shared" si="1772"/>
        <v>卡卡杜佳旺专卖店（快手店）</v>
      </c>
      <c r="H5454" s="1" t="str">
        <f t="shared" si="1782"/>
        <v>正常订单</v>
      </c>
      <c r="I5454" s="1" t="str">
        <f t="shared" si="1783"/>
        <v>已发货</v>
      </c>
      <c r="J5454" s="1" t="str">
        <f t="shared" si="1785"/>
        <v>3</v>
      </c>
      <c r="K5454" s="1">
        <v>2</v>
      </c>
      <c r="L5454" s="1" t="s">
        <v>20</v>
      </c>
      <c r="M5454" s="1" t="str">
        <f>"浙江省 温州市 苍南县 钱库镇"</f>
        <v>浙江省 温州市 苍南县 钱库镇</v>
      </c>
      <c r="N5454" s="1" t="str">
        <f t="shared" si="1773"/>
        <v>凡华云仓-城南圆通-快手</v>
      </c>
      <c r="O5454" s="5" t="s">
        <v>5467</v>
      </c>
      <c r="P5454" s="6">
        <v>0.35</v>
      </c>
      <c r="Q5454" s="11">
        <v>2.2999999999999998</v>
      </c>
      <c r="R5454" s="11"/>
      <c r="S5454" s="11"/>
      <c r="T5454" s="11"/>
      <c r="U5454" s="11">
        <f t="shared" si="1779"/>
        <v>2.2999999999999998</v>
      </c>
      <c r="W5454">
        <v>2.5</v>
      </c>
      <c r="X5454" s="1" t="s">
        <v>20</v>
      </c>
    </row>
    <row r="5455" spans="1:24" x14ac:dyDescent="0.25">
      <c r="A5455" s="1" t="str">
        <f t="shared" si="1780"/>
        <v>卡卡杜-凤凰仓</v>
      </c>
      <c r="B5455" s="1" t="str">
        <f>"CK2024101919612"</f>
        <v>CK2024101919612</v>
      </c>
      <c r="C5455" s="1" t="str">
        <f>"DD2024101930371"</f>
        <v>DD2024101930371</v>
      </c>
      <c r="D5455" s="1" t="str">
        <f>"CK2024101920672"</f>
        <v>CK2024101920672</v>
      </c>
      <c r="E5455" s="1" t="str">
        <f>"2429301829658604"</f>
        <v>2429301829658604</v>
      </c>
      <c r="F5455" s="1" t="str">
        <f t="shared" si="1781"/>
        <v>花都四部-凤凰仓</v>
      </c>
      <c r="G5455" s="1" t="str">
        <f t="shared" si="1772"/>
        <v>卡卡杜佳旺专卖店（快手店）</v>
      </c>
      <c r="H5455" s="1" t="str">
        <f t="shared" si="1782"/>
        <v>正常订单</v>
      </c>
      <c r="I5455" s="1" t="str">
        <f t="shared" si="1783"/>
        <v>已发货</v>
      </c>
      <c r="J5455" s="1" t="str">
        <f t="shared" si="1785"/>
        <v>3</v>
      </c>
      <c r="K5455" s="1">
        <v>2</v>
      </c>
      <c r="L5455" s="1" t="s">
        <v>16</v>
      </c>
      <c r="M5455" s="1" t="str">
        <f>"河北省 石家庄市 正定县 曲阳桥镇"</f>
        <v>河北省 石家庄市 正定县 曲阳桥镇</v>
      </c>
      <c r="N5455" s="1" t="str">
        <f t="shared" si="1773"/>
        <v>凡华云仓-城南圆通-快手</v>
      </c>
      <c r="O5455" s="5" t="s">
        <v>5468</v>
      </c>
      <c r="P5455" s="6">
        <v>0.35</v>
      </c>
      <c r="Q5455" s="11">
        <v>2.2999999999999998</v>
      </c>
      <c r="R5455" s="11"/>
      <c r="S5455" s="11"/>
      <c r="T5455" s="11"/>
      <c r="U5455" s="11">
        <f t="shared" si="1779"/>
        <v>2.2999999999999998</v>
      </c>
      <c r="W5455">
        <v>2.5</v>
      </c>
      <c r="X5455" s="1" t="s">
        <v>16</v>
      </c>
    </row>
    <row r="5456" spans="1:24" x14ac:dyDescent="0.25">
      <c r="A5456" s="1" t="str">
        <f t="shared" si="1780"/>
        <v>卡卡杜-凤凰仓</v>
      </c>
      <c r="B5456" s="1" t="str">
        <f>"CK2024101919613"</f>
        <v>CK2024101919613</v>
      </c>
      <c r="C5456" s="1" t="str">
        <f>"DD2024101930372"</f>
        <v>DD2024101930372</v>
      </c>
      <c r="D5456" s="1" t="str">
        <f>"CK2024101920671"</f>
        <v>CK2024101920671</v>
      </c>
      <c r="E5456" s="1" t="str">
        <f>"2429302141097813"</f>
        <v>2429302141097813</v>
      </c>
      <c r="F5456" s="1" t="str">
        <f t="shared" si="1781"/>
        <v>花都四部-凤凰仓</v>
      </c>
      <c r="G5456" s="1" t="str">
        <f t="shared" si="1772"/>
        <v>卡卡杜佳旺专卖店（快手店）</v>
      </c>
      <c r="H5456" s="1" t="str">
        <f t="shared" si="1782"/>
        <v>正常订单</v>
      </c>
      <c r="I5456" s="1" t="str">
        <f t="shared" si="1783"/>
        <v>已发货</v>
      </c>
      <c r="J5456" s="1" t="str">
        <f t="shared" si="1785"/>
        <v>3</v>
      </c>
      <c r="K5456" s="1">
        <v>2</v>
      </c>
      <c r="L5456" s="1" t="s">
        <v>30</v>
      </c>
      <c r="M5456" s="1" t="str">
        <f>"山东省 青岛市 莱西市 沽河街道"</f>
        <v>山东省 青岛市 莱西市 沽河街道</v>
      </c>
      <c r="N5456" s="1" t="str">
        <f t="shared" si="1773"/>
        <v>凡华云仓-城南圆通-快手</v>
      </c>
      <c r="O5456" s="5" t="s">
        <v>5469</v>
      </c>
      <c r="P5456" s="6">
        <v>0.35</v>
      </c>
      <c r="Q5456" s="11">
        <v>2.2999999999999998</v>
      </c>
      <c r="R5456" s="11"/>
      <c r="S5456" s="11"/>
      <c r="T5456" s="11"/>
      <c r="U5456" s="11">
        <f t="shared" si="1779"/>
        <v>2.2999999999999998</v>
      </c>
      <c r="W5456">
        <v>2.5</v>
      </c>
      <c r="X5456" s="1" t="s">
        <v>30</v>
      </c>
    </row>
    <row r="5457" spans="1:24" x14ac:dyDescent="0.25">
      <c r="A5457" s="1" t="str">
        <f t="shared" si="1780"/>
        <v>卡卡杜-凤凰仓</v>
      </c>
      <c r="B5457" s="1" t="str">
        <f>"CK2024101919905"</f>
        <v>CK2024101919905</v>
      </c>
      <c r="C5457" s="1" t="str">
        <f>"DD2024101930702"</f>
        <v>DD2024101930702</v>
      </c>
      <c r="D5457" s="1" t="str">
        <f>"CK2024101920670"</f>
        <v>CK2024101920670</v>
      </c>
      <c r="E5457" s="1" t="str">
        <f>"2429301739600700"</f>
        <v>2429301739600700</v>
      </c>
      <c r="F5457" s="1" t="str">
        <f t="shared" si="1781"/>
        <v>花都四部-凤凰仓</v>
      </c>
      <c r="G5457" s="1" t="str">
        <f t="shared" si="1772"/>
        <v>卡卡杜佳旺专卖店（快手店）</v>
      </c>
      <c r="H5457" s="1" t="str">
        <f t="shared" si="1782"/>
        <v>正常订单</v>
      </c>
      <c r="I5457" s="1" t="str">
        <f t="shared" si="1783"/>
        <v>已发货</v>
      </c>
      <c r="J5457" s="1" t="str">
        <f t="shared" ref="J5457:J5461" si="1786">"5"</f>
        <v>5</v>
      </c>
      <c r="K5457" s="1">
        <v>2</v>
      </c>
      <c r="L5457" s="1" t="s">
        <v>18</v>
      </c>
      <c r="M5457" s="1" t="str">
        <f>"广东省 佛山市 南海区 九江镇"</f>
        <v>广东省 佛山市 南海区 九江镇</v>
      </c>
      <c r="N5457" s="1" t="str">
        <f t="shared" si="1773"/>
        <v>凡华云仓-城南圆通-快手</v>
      </c>
      <c r="O5457" s="5" t="s">
        <v>5470</v>
      </c>
      <c r="P5457" s="6">
        <v>0.59</v>
      </c>
      <c r="Q5457" s="11">
        <f t="shared" ref="Q5457:Q5461" si="1787">CEILING(P5457-0.5,0.1)*10*0.15+2.3</f>
        <v>2.4499999999999997</v>
      </c>
      <c r="R5457" s="11"/>
      <c r="S5457" s="11"/>
      <c r="T5457" s="11"/>
      <c r="U5457" s="11">
        <f t="shared" si="1779"/>
        <v>2.4499999999999997</v>
      </c>
      <c r="V5457" t="s">
        <v>15</v>
      </c>
      <c r="W5457">
        <v>2.4500000000000002</v>
      </c>
      <c r="X5457" s="1" t="s">
        <v>18</v>
      </c>
    </row>
    <row r="5458" spans="1:24" x14ac:dyDescent="0.25">
      <c r="A5458" s="1" t="str">
        <f t="shared" si="1780"/>
        <v>卡卡杜-凤凰仓</v>
      </c>
      <c r="B5458" s="1" t="str">
        <f>"CK2024101919906"</f>
        <v>CK2024101919906</v>
      </c>
      <c r="C5458" s="1" t="str">
        <f>"DD2024101930703"</f>
        <v>DD2024101930703</v>
      </c>
      <c r="D5458" s="1" t="str">
        <f>"CK2024101920669"</f>
        <v>CK2024101920669</v>
      </c>
      <c r="E5458" s="1" t="str">
        <f>"2429301899659813"</f>
        <v>2429301899659813</v>
      </c>
      <c r="F5458" s="1" t="str">
        <f t="shared" si="1781"/>
        <v>花都四部-凤凰仓</v>
      </c>
      <c r="G5458" s="1" t="str">
        <f t="shared" si="1772"/>
        <v>卡卡杜佳旺专卖店（快手店）</v>
      </c>
      <c r="H5458" s="1" t="str">
        <f t="shared" si="1782"/>
        <v>正常订单</v>
      </c>
      <c r="I5458" s="1" t="str">
        <f t="shared" si="1783"/>
        <v>已发货</v>
      </c>
      <c r="J5458" s="1" t="str">
        <f t="shared" si="1786"/>
        <v>5</v>
      </c>
      <c r="K5458" s="1">
        <v>2</v>
      </c>
      <c r="L5458" s="1" t="s">
        <v>13</v>
      </c>
      <c r="M5458" s="1" t="str">
        <f>"江苏省 南京市 江宁区 淳化街道"</f>
        <v>江苏省 南京市 江宁区 淳化街道</v>
      </c>
      <c r="N5458" s="1" t="str">
        <f t="shared" si="1773"/>
        <v>凡华云仓-城南圆通-快手</v>
      </c>
      <c r="O5458" s="5" t="s">
        <v>5471</v>
      </c>
      <c r="P5458" s="6">
        <v>0.59</v>
      </c>
      <c r="Q5458" s="11">
        <f t="shared" si="1787"/>
        <v>2.4499999999999997</v>
      </c>
      <c r="R5458" s="11"/>
      <c r="S5458" s="11"/>
      <c r="T5458" s="11"/>
      <c r="U5458" s="11">
        <f t="shared" si="1779"/>
        <v>2.4499999999999997</v>
      </c>
      <c r="V5458" t="s">
        <v>15</v>
      </c>
      <c r="W5458">
        <v>2.4500000000000002</v>
      </c>
      <c r="X5458" s="1" t="s">
        <v>13</v>
      </c>
    </row>
    <row r="5459" spans="1:24" x14ac:dyDescent="0.25">
      <c r="A5459" s="1" t="str">
        <f t="shared" si="1780"/>
        <v>卡卡杜-凤凰仓</v>
      </c>
      <c r="B5459" s="1" t="str">
        <f>"CK2024101919615"</f>
        <v>CK2024101919615</v>
      </c>
      <c r="C5459" s="1" t="str">
        <f>"DD2024101930375"</f>
        <v>DD2024101930375</v>
      </c>
      <c r="D5459" s="1" t="str">
        <f>"CK2024101920668"</f>
        <v>CK2024101920668</v>
      </c>
      <c r="E5459" s="1" t="str">
        <f>"2429301910584021"</f>
        <v>2429301910584021</v>
      </c>
      <c r="F5459" s="1" t="str">
        <f t="shared" si="1781"/>
        <v>花都四部-凤凰仓</v>
      </c>
      <c r="G5459" s="1" t="str">
        <f t="shared" si="1772"/>
        <v>卡卡杜佳旺专卖店（快手店）</v>
      </c>
      <c r="H5459" s="1" t="str">
        <f t="shared" si="1782"/>
        <v>正常订单</v>
      </c>
      <c r="I5459" s="1" t="str">
        <f t="shared" si="1783"/>
        <v>已发货</v>
      </c>
      <c r="J5459" s="1" t="str">
        <f t="shared" ref="J5459:J5462" si="1788">"3"</f>
        <v>3</v>
      </c>
      <c r="K5459" s="1">
        <v>2</v>
      </c>
      <c r="L5459" s="1" t="s">
        <v>20</v>
      </c>
      <c r="M5459" s="1" t="str">
        <f>"浙江省 绍兴市 柯桥区 柯桥街道"</f>
        <v>浙江省 绍兴市 柯桥区 柯桥街道</v>
      </c>
      <c r="N5459" s="1" t="str">
        <f t="shared" si="1773"/>
        <v>凡华云仓-城南圆通-快手</v>
      </c>
      <c r="O5459" s="5" t="s">
        <v>5472</v>
      </c>
      <c r="P5459" s="6">
        <v>0.35</v>
      </c>
      <c r="Q5459" s="11">
        <v>2.2999999999999998</v>
      </c>
      <c r="R5459" s="11"/>
      <c r="S5459" s="11"/>
      <c r="T5459" s="11"/>
      <c r="U5459" s="11">
        <f t="shared" si="1779"/>
        <v>2.2999999999999998</v>
      </c>
      <c r="W5459">
        <v>2.5</v>
      </c>
      <c r="X5459" s="1" t="s">
        <v>20</v>
      </c>
    </row>
    <row r="5460" spans="1:24" x14ac:dyDescent="0.25">
      <c r="A5460" s="1" t="str">
        <f t="shared" si="1780"/>
        <v>卡卡杜-凤凰仓</v>
      </c>
      <c r="B5460" s="1" t="str">
        <f>"CK2024101919616"</f>
        <v>CK2024101919616</v>
      </c>
      <c r="C5460" s="1" t="str">
        <f>"DD2024101930377"</f>
        <v>DD2024101930377</v>
      </c>
      <c r="D5460" s="1" t="str">
        <f>"CK2024101920667"</f>
        <v>CK2024101920667</v>
      </c>
      <c r="E5460" s="1" t="str">
        <f>"2429301812768769"</f>
        <v>2429301812768769</v>
      </c>
      <c r="F5460" s="1" t="str">
        <f t="shared" si="1781"/>
        <v>花都四部-凤凰仓</v>
      </c>
      <c r="G5460" s="1" t="str">
        <f t="shared" si="1772"/>
        <v>卡卡杜佳旺专卖店（快手店）</v>
      </c>
      <c r="H5460" s="1" t="str">
        <f t="shared" si="1782"/>
        <v>正常订单</v>
      </c>
      <c r="I5460" s="1" t="str">
        <f t="shared" si="1783"/>
        <v>已发货</v>
      </c>
      <c r="J5460" s="1" t="str">
        <f t="shared" si="1788"/>
        <v>3</v>
      </c>
      <c r="K5460" s="1">
        <v>2</v>
      </c>
      <c r="L5460" s="1" t="s">
        <v>136</v>
      </c>
      <c r="M5460" s="1" t="str">
        <f>"北京市 北京市 通州区 梨园镇"</f>
        <v>北京市 北京市 通州区 梨园镇</v>
      </c>
      <c r="N5460" s="1" t="str">
        <f t="shared" si="1773"/>
        <v>凡华云仓-城南圆通-快手</v>
      </c>
      <c r="O5460" s="5" t="s">
        <v>5473</v>
      </c>
      <c r="P5460" s="6">
        <v>0.24</v>
      </c>
      <c r="Q5460" s="11">
        <v>2</v>
      </c>
      <c r="R5460" s="11"/>
      <c r="S5460" s="11"/>
      <c r="T5460" s="11"/>
      <c r="U5460" s="11">
        <f t="shared" si="1779"/>
        <v>2</v>
      </c>
      <c r="W5460">
        <v>2.2000000000000002</v>
      </c>
      <c r="X5460" s="1" t="s">
        <v>136</v>
      </c>
    </row>
    <row r="5461" spans="1:24" x14ac:dyDescent="0.25">
      <c r="A5461" s="1" t="str">
        <f t="shared" si="1780"/>
        <v>卡卡杜-凤凰仓</v>
      </c>
      <c r="B5461" s="1" t="str">
        <f>"CK2024101919907"</f>
        <v>CK2024101919907</v>
      </c>
      <c r="C5461" s="1" t="str">
        <f>"DD2024101930704"</f>
        <v>DD2024101930704</v>
      </c>
      <c r="D5461" s="1" t="str">
        <f>"CK2024101920666"</f>
        <v>CK2024101920666</v>
      </c>
      <c r="E5461" s="1" t="str">
        <f>"2429302219504995"</f>
        <v>2429302219504995</v>
      </c>
      <c r="F5461" s="1" t="str">
        <f t="shared" si="1781"/>
        <v>花都四部-凤凰仓</v>
      </c>
      <c r="G5461" s="1" t="str">
        <f t="shared" si="1772"/>
        <v>卡卡杜佳旺专卖店（快手店）</v>
      </c>
      <c r="H5461" s="1" t="str">
        <f t="shared" si="1782"/>
        <v>正常订单</v>
      </c>
      <c r="I5461" s="1" t="str">
        <f t="shared" si="1783"/>
        <v>已发货</v>
      </c>
      <c r="J5461" s="1" t="str">
        <f t="shared" si="1786"/>
        <v>5</v>
      </c>
      <c r="K5461" s="1">
        <v>2</v>
      </c>
      <c r="L5461" s="1" t="s">
        <v>1099</v>
      </c>
      <c r="M5461" s="1" t="str">
        <f>"重庆市 重庆市 南岸区 南坪街道"</f>
        <v>重庆市 重庆市 南岸区 南坪街道</v>
      </c>
      <c r="N5461" s="1" t="str">
        <f t="shared" si="1773"/>
        <v>凡华云仓-城南圆通-快手</v>
      </c>
      <c r="O5461" s="5" t="s">
        <v>5474</v>
      </c>
      <c r="P5461" s="6">
        <v>0.59</v>
      </c>
      <c r="Q5461" s="11">
        <f t="shared" si="1787"/>
        <v>2.4499999999999997</v>
      </c>
      <c r="R5461" s="11"/>
      <c r="S5461" s="11"/>
      <c r="T5461" s="11"/>
      <c r="U5461" s="11">
        <f t="shared" si="1779"/>
        <v>2.4499999999999997</v>
      </c>
      <c r="V5461" t="s">
        <v>15</v>
      </c>
      <c r="W5461">
        <v>2.4500000000000002</v>
      </c>
      <c r="X5461" s="1" t="s">
        <v>1099</v>
      </c>
    </row>
    <row r="5462" spans="1:24" x14ac:dyDescent="0.25">
      <c r="A5462" s="1" t="str">
        <f t="shared" si="1780"/>
        <v>卡卡杜-凤凰仓</v>
      </c>
      <c r="B5462" s="1" t="str">
        <f>"CK2024101919620"</f>
        <v>CK2024101919620</v>
      </c>
      <c r="C5462" s="1" t="str">
        <f>"DD2024101930379"</f>
        <v>DD2024101930379</v>
      </c>
      <c r="D5462" s="1" t="str">
        <f>"CK2024101920665"</f>
        <v>CK2024101920665</v>
      </c>
      <c r="E5462" s="1" t="str">
        <f>"2429301984235050"</f>
        <v>2429301984235050</v>
      </c>
      <c r="F5462" s="1" t="str">
        <f t="shared" si="1781"/>
        <v>花都四部-凤凰仓</v>
      </c>
      <c r="G5462" s="1" t="str">
        <f t="shared" si="1772"/>
        <v>卡卡杜佳旺专卖店（快手店）</v>
      </c>
      <c r="H5462" s="1" t="str">
        <f t="shared" si="1782"/>
        <v>正常订单</v>
      </c>
      <c r="I5462" s="1" t="str">
        <f t="shared" si="1783"/>
        <v>已发货</v>
      </c>
      <c r="J5462" s="1" t="str">
        <f t="shared" si="1788"/>
        <v>3</v>
      </c>
      <c r="K5462" s="1">
        <v>2</v>
      </c>
      <c r="L5462" s="1" t="s">
        <v>30</v>
      </c>
      <c r="M5462" s="1" t="str">
        <f>"山东省 潍坊市 青州市 东夏镇"</f>
        <v>山东省 潍坊市 青州市 东夏镇</v>
      </c>
      <c r="N5462" s="1" t="str">
        <f t="shared" si="1773"/>
        <v>凡华云仓-城南圆通-快手</v>
      </c>
      <c r="O5462" s="5" t="s">
        <v>5475</v>
      </c>
      <c r="P5462" s="6">
        <v>0.35</v>
      </c>
      <c r="Q5462" s="11">
        <v>2.2999999999999998</v>
      </c>
      <c r="R5462" s="11"/>
      <c r="S5462" s="11"/>
      <c r="T5462" s="11"/>
      <c r="U5462" s="11">
        <f t="shared" si="1779"/>
        <v>2.2999999999999998</v>
      </c>
      <c r="W5462">
        <v>2.5</v>
      </c>
      <c r="X5462" s="1" t="s">
        <v>30</v>
      </c>
    </row>
    <row r="5463" spans="1:24" x14ac:dyDescent="0.25">
      <c r="A5463" s="1" t="str">
        <f t="shared" si="1780"/>
        <v>卡卡杜-凤凰仓</v>
      </c>
      <c r="B5463" s="1" t="str">
        <f>"CK2024101919908"</f>
        <v>CK2024101919908</v>
      </c>
      <c r="C5463" s="1" t="str">
        <f>"DD2024101930705"</f>
        <v>DD2024101930705</v>
      </c>
      <c r="D5463" s="1" t="str">
        <f>"CK2024101920664"</f>
        <v>CK2024101920664</v>
      </c>
      <c r="E5463" s="1" t="str">
        <f>"2429302045993995"</f>
        <v>2429302045993995</v>
      </c>
      <c r="F5463" s="1" t="str">
        <f t="shared" si="1781"/>
        <v>花都四部-凤凰仓</v>
      </c>
      <c r="G5463" s="1" t="str">
        <f t="shared" si="1772"/>
        <v>卡卡杜佳旺专卖店（快手店）</v>
      </c>
      <c r="H5463" s="1" t="str">
        <f t="shared" si="1782"/>
        <v>正常订单</v>
      </c>
      <c r="I5463" s="1" t="str">
        <f t="shared" si="1783"/>
        <v>已发货</v>
      </c>
      <c r="J5463" s="1" t="str">
        <f t="shared" ref="J5463:J5466" si="1789">"5"</f>
        <v>5</v>
      </c>
      <c r="K5463" s="1">
        <v>2</v>
      </c>
      <c r="L5463" s="1" t="s">
        <v>30</v>
      </c>
      <c r="M5463" s="1" t="str">
        <f>"山东省 威海市 威海火炬高技术产业开发区 初村镇"</f>
        <v>山东省 威海市 威海火炬高技术产业开发区 初村镇</v>
      </c>
      <c r="N5463" s="1" t="str">
        <f t="shared" si="1773"/>
        <v>凡华云仓-城南圆通-快手</v>
      </c>
      <c r="O5463" s="5" t="s">
        <v>5476</v>
      </c>
      <c r="P5463" s="6">
        <v>0.59</v>
      </c>
      <c r="Q5463" s="11">
        <f t="shared" ref="Q5463:Q5466" si="1790">CEILING(P5463-0.5,0.1)*10*0.15+2.3</f>
        <v>2.4499999999999997</v>
      </c>
      <c r="R5463" s="11"/>
      <c r="S5463" s="11"/>
      <c r="T5463" s="11"/>
      <c r="U5463" s="11">
        <f t="shared" si="1779"/>
        <v>2.4499999999999997</v>
      </c>
      <c r="V5463" t="s">
        <v>15</v>
      </c>
      <c r="W5463">
        <v>2.4500000000000002</v>
      </c>
      <c r="X5463" s="1" t="s">
        <v>30</v>
      </c>
    </row>
    <row r="5464" spans="1:24" x14ac:dyDescent="0.25">
      <c r="A5464" s="1" t="str">
        <f t="shared" si="1780"/>
        <v>卡卡杜-凤凰仓</v>
      </c>
      <c r="B5464" s="1" t="str">
        <f>"CK2024101919622"</f>
        <v>CK2024101919622</v>
      </c>
      <c r="C5464" s="1" t="str">
        <f>"DD2024101930381"</f>
        <v>DD2024101930381</v>
      </c>
      <c r="D5464" s="1" t="str">
        <f>"CK2024101920663"</f>
        <v>CK2024101920663</v>
      </c>
      <c r="E5464" s="1" t="str">
        <f>"2429302223499693"</f>
        <v>2429302223499693</v>
      </c>
      <c r="F5464" s="1" t="str">
        <f t="shared" si="1781"/>
        <v>花都四部-凤凰仓</v>
      </c>
      <c r="G5464" s="1" t="str">
        <f t="shared" si="1772"/>
        <v>卡卡杜佳旺专卖店（快手店）</v>
      </c>
      <c r="H5464" s="1" t="str">
        <f t="shared" si="1782"/>
        <v>正常订单</v>
      </c>
      <c r="I5464" s="1" t="str">
        <f t="shared" si="1783"/>
        <v>已发货</v>
      </c>
      <c r="J5464" s="1" t="str">
        <f t="shared" ref="J5464:J5472" si="1791">"3"</f>
        <v>3</v>
      </c>
      <c r="K5464" s="1">
        <v>2</v>
      </c>
      <c r="L5464" s="1" t="s">
        <v>13</v>
      </c>
      <c r="M5464" s="1" t="str">
        <f>"江苏省 宿迁市 泗阳县 来安街道"</f>
        <v>江苏省 宿迁市 泗阳县 来安街道</v>
      </c>
      <c r="N5464" s="1" t="str">
        <f t="shared" si="1773"/>
        <v>凡华云仓-城南圆通-快手</v>
      </c>
      <c r="O5464" s="5" t="s">
        <v>5477</v>
      </c>
      <c r="P5464" s="6">
        <v>0.35</v>
      </c>
      <c r="Q5464" s="11">
        <v>2.2999999999999998</v>
      </c>
      <c r="R5464" s="11"/>
      <c r="S5464" s="11"/>
      <c r="T5464" s="11"/>
      <c r="U5464" s="11">
        <f t="shared" si="1779"/>
        <v>2.2999999999999998</v>
      </c>
      <c r="W5464">
        <v>2.5</v>
      </c>
      <c r="X5464" s="1" t="s">
        <v>13</v>
      </c>
    </row>
    <row r="5465" spans="1:24" x14ac:dyDescent="0.25">
      <c r="A5465" s="1" t="str">
        <f t="shared" si="1780"/>
        <v>卡卡杜-凤凰仓</v>
      </c>
      <c r="B5465" s="1" t="str">
        <f>"CK2024101919909"</f>
        <v>CK2024101919909</v>
      </c>
      <c r="C5465" s="1" t="str">
        <f>"DD2024101930706"</f>
        <v>DD2024101930706</v>
      </c>
      <c r="D5465" s="1" t="str">
        <f>"CK2024101920662"</f>
        <v>CK2024101920662</v>
      </c>
      <c r="E5465" s="1" t="str">
        <f>"2429302219585244"</f>
        <v>2429302219585244</v>
      </c>
      <c r="F5465" s="1" t="str">
        <f t="shared" si="1781"/>
        <v>花都四部-凤凰仓</v>
      </c>
      <c r="G5465" s="1" t="str">
        <f t="shared" si="1772"/>
        <v>卡卡杜佳旺专卖店（快手店）</v>
      </c>
      <c r="H5465" s="1" t="str">
        <f t="shared" si="1782"/>
        <v>正常订单</v>
      </c>
      <c r="I5465" s="1" t="str">
        <f t="shared" si="1783"/>
        <v>已发货</v>
      </c>
      <c r="J5465" s="1" t="str">
        <f t="shared" si="1789"/>
        <v>5</v>
      </c>
      <c r="K5465" s="1">
        <v>2</v>
      </c>
      <c r="L5465" s="1" t="s">
        <v>24</v>
      </c>
      <c r="M5465" s="1" t="str">
        <f>"福建省 三明市 永安市 燕北街道"</f>
        <v>福建省 三明市 永安市 燕北街道</v>
      </c>
      <c r="N5465" s="1" t="str">
        <f t="shared" si="1773"/>
        <v>凡华云仓-城南圆通-快手</v>
      </c>
      <c r="O5465" s="5" t="s">
        <v>5478</v>
      </c>
      <c r="P5465" s="6">
        <v>0.59</v>
      </c>
      <c r="Q5465" s="11">
        <f t="shared" si="1790"/>
        <v>2.4499999999999997</v>
      </c>
      <c r="R5465" s="11"/>
      <c r="S5465" s="11"/>
      <c r="T5465" s="11"/>
      <c r="U5465" s="11">
        <f t="shared" si="1779"/>
        <v>2.4499999999999997</v>
      </c>
      <c r="V5465" t="s">
        <v>15</v>
      </c>
      <c r="W5465">
        <v>2.4500000000000002</v>
      </c>
      <c r="X5465" s="1" t="s">
        <v>24</v>
      </c>
    </row>
    <row r="5466" spans="1:24" x14ac:dyDescent="0.25">
      <c r="A5466" s="1" t="str">
        <f t="shared" si="1780"/>
        <v>卡卡杜-凤凰仓</v>
      </c>
      <c r="B5466" s="1" t="str">
        <f>"CK2024101919911"</f>
        <v>CK2024101919911</v>
      </c>
      <c r="C5466" s="1" t="str">
        <f>"DD2024101930708"</f>
        <v>DD2024101930708</v>
      </c>
      <c r="D5466" s="1" t="str">
        <f>"CK2024101920661"</f>
        <v>CK2024101920661</v>
      </c>
      <c r="E5466" s="1" t="str">
        <f>"2429301649930371"</f>
        <v>2429301649930371</v>
      </c>
      <c r="F5466" s="1" t="str">
        <f t="shared" si="1781"/>
        <v>花都四部-凤凰仓</v>
      </c>
      <c r="G5466" s="1" t="str">
        <f t="shared" si="1772"/>
        <v>卡卡杜佳旺专卖店（快手店）</v>
      </c>
      <c r="H5466" s="1" t="str">
        <f t="shared" si="1782"/>
        <v>正常订单</v>
      </c>
      <c r="I5466" s="1" t="str">
        <f t="shared" si="1783"/>
        <v>已发货</v>
      </c>
      <c r="J5466" s="1" t="str">
        <f t="shared" si="1789"/>
        <v>5</v>
      </c>
      <c r="K5466" s="1">
        <v>2</v>
      </c>
      <c r="L5466" s="1" t="s">
        <v>20</v>
      </c>
      <c r="M5466" s="1" t="str">
        <f>"浙江省 金华市 永康市 东城街道"</f>
        <v>浙江省 金华市 永康市 东城街道</v>
      </c>
      <c r="N5466" s="1" t="str">
        <f t="shared" si="1773"/>
        <v>凡华云仓-城南圆通-快手</v>
      </c>
      <c r="O5466" s="5" t="s">
        <v>5479</v>
      </c>
      <c r="P5466" s="6">
        <v>0.59</v>
      </c>
      <c r="Q5466" s="11">
        <f t="shared" si="1790"/>
        <v>2.4499999999999997</v>
      </c>
      <c r="R5466" s="11"/>
      <c r="S5466" s="11"/>
      <c r="T5466" s="11"/>
      <c r="U5466" s="11">
        <f t="shared" si="1779"/>
        <v>2.4499999999999997</v>
      </c>
      <c r="V5466" t="s">
        <v>15</v>
      </c>
      <c r="W5466">
        <v>2.4500000000000002</v>
      </c>
      <c r="X5466" s="1" t="s">
        <v>20</v>
      </c>
    </row>
    <row r="5467" spans="1:24" x14ac:dyDescent="0.25">
      <c r="A5467" s="1" t="str">
        <f t="shared" si="1780"/>
        <v>卡卡杜-凤凰仓</v>
      </c>
      <c r="B5467" s="1" t="str">
        <f>"CK2024101919624"</f>
        <v>CK2024101919624</v>
      </c>
      <c r="C5467" s="1" t="str">
        <f>"DD2024101930382"</f>
        <v>DD2024101930382</v>
      </c>
      <c r="D5467" s="1" t="str">
        <f>"CK2024101920660"</f>
        <v>CK2024101920660</v>
      </c>
      <c r="E5467" s="1" t="str">
        <f>"2429302052042535"</f>
        <v>2429302052042535</v>
      </c>
      <c r="F5467" s="1" t="str">
        <f t="shared" si="1781"/>
        <v>花都四部-凤凰仓</v>
      </c>
      <c r="G5467" s="1" t="str">
        <f t="shared" si="1772"/>
        <v>卡卡杜佳旺专卖店（快手店）</v>
      </c>
      <c r="H5467" s="1" t="str">
        <f t="shared" si="1782"/>
        <v>正常订单</v>
      </c>
      <c r="I5467" s="1" t="str">
        <f t="shared" si="1783"/>
        <v>已发货</v>
      </c>
      <c r="J5467" s="1" t="str">
        <f t="shared" si="1791"/>
        <v>3</v>
      </c>
      <c r="K5467" s="1">
        <v>2</v>
      </c>
      <c r="L5467" s="1" t="s">
        <v>52</v>
      </c>
      <c r="M5467" s="1" t="str">
        <f>"甘肃省 平凉市 庄浪县 朱店镇"</f>
        <v>甘肃省 平凉市 庄浪县 朱店镇</v>
      </c>
      <c r="N5467" s="1" t="str">
        <f t="shared" si="1773"/>
        <v>凡华云仓-城南圆通-快手</v>
      </c>
      <c r="O5467" s="5" t="s">
        <v>5480</v>
      </c>
      <c r="P5467" s="6">
        <v>0.35</v>
      </c>
      <c r="Q5467" s="11">
        <v>2.2999999999999998</v>
      </c>
      <c r="R5467" s="11"/>
      <c r="S5467" s="11"/>
      <c r="T5467" s="11"/>
      <c r="U5467" s="11">
        <f t="shared" si="1779"/>
        <v>2.2999999999999998</v>
      </c>
      <c r="W5467">
        <v>2.5</v>
      </c>
      <c r="X5467" s="1" t="s">
        <v>52</v>
      </c>
    </row>
    <row r="5468" spans="1:24" x14ac:dyDescent="0.25">
      <c r="A5468" s="1" t="str">
        <f t="shared" si="1780"/>
        <v>卡卡杜-凤凰仓</v>
      </c>
      <c r="B5468" s="1" t="str">
        <f>"CK2024101919625"</f>
        <v>CK2024101919625</v>
      </c>
      <c r="C5468" s="1" t="str">
        <f>"DD2024101930384"</f>
        <v>DD2024101930384</v>
      </c>
      <c r="D5468" s="1" t="str">
        <f>"CK2024101920659"</f>
        <v>CK2024101920659</v>
      </c>
      <c r="E5468" s="1" t="str">
        <f>"2429301785025438"</f>
        <v>2429301785025438</v>
      </c>
      <c r="F5468" s="1" t="str">
        <f t="shared" si="1781"/>
        <v>花都四部-凤凰仓</v>
      </c>
      <c r="G5468" s="1" t="str">
        <f t="shared" si="1772"/>
        <v>卡卡杜佳旺专卖店（快手店）</v>
      </c>
      <c r="H5468" s="1" t="str">
        <f t="shared" si="1782"/>
        <v>正常订单</v>
      </c>
      <c r="I5468" s="1" t="str">
        <f t="shared" si="1783"/>
        <v>已发货</v>
      </c>
      <c r="J5468" s="1" t="str">
        <f t="shared" si="1791"/>
        <v>3</v>
      </c>
      <c r="K5468" s="1">
        <v>2</v>
      </c>
      <c r="L5468" s="1" t="s">
        <v>20</v>
      </c>
      <c r="M5468" s="1" t="str">
        <f>"浙江省 丽水市 青田县 鹤城街道"</f>
        <v>浙江省 丽水市 青田县 鹤城街道</v>
      </c>
      <c r="N5468" s="1" t="str">
        <f t="shared" si="1773"/>
        <v>凡华云仓-城南圆通-快手</v>
      </c>
      <c r="O5468" s="5" t="s">
        <v>5481</v>
      </c>
      <c r="P5468" s="6">
        <v>0.35</v>
      </c>
      <c r="Q5468" s="11">
        <v>2.2999999999999998</v>
      </c>
      <c r="R5468" s="11"/>
      <c r="S5468" s="11"/>
      <c r="T5468" s="11"/>
      <c r="U5468" s="11">
        <f t="shared" si="1779"/>
        <v>2.2999999999999998</v>
      </c>
      <c r="W5468">
        <v>2.5</v>
      </c>
      <c r="X5468" s="1" t="s">
        <v>20</v>
      </c>
    </row>
    <row r="5469" spans="1:24" x14ac:dyDescent="0.25">
      <c r="A5469" s="1" t="str">
        <f t="shared" si="1780"/>
        <v>卡卡杜-凤凰仓</v>
      </c>
      <c r="B5469" s="1" t="str">
        <f>"CK2024101919627"</f>
        <v>CK2024101919627</v>
      </c>
      <c r="C5469" s="1" t="str">
        <f>"DD2024101930386"</f>
        <v>DD2024101930386</v>
      </c>
      <c r="D5469" s="1" t="str">
        <f>"CK2024101920658"</f>
        <v>CK2024101920658</v>
      </c>
      <c r="E5469" s="1" t="str">
        <f>"2429301608891719"</f>
        <v>2429301608891719</v>
      </c>
      <c r="F5469" s="1" t="str">
        <f t="shared" si="1781"/>
        <v>花都四部-凤凰仓</v>
      </c>
      <c r="G5469" s="1" t="str">
        <f t="shared" si="1772"/>
        <v>卡卡杜佳旺专卖店（快手店）</v>
      </c>
      <c r="H5469" s="1" t="str">
        <f t="shared" si="1782"/>
        <v>正常订单</v>
      </c>
      <c r="I5469" s="1" t="str">
        <f t="shared" si="1783"/>
        <v>已发货</v>
      </c>
      <c r="J5469" s="1" t="str">
        <f t="shared" si="1791"/>
        <v>3</v>
      </c>
      <c r="K5469" s="1">
        <v>2</v>
      </c>
      <c r="L5469" s="1" t="s">
        <v>54</v>
      </c>
      <c r="M5469" s="1" t="str">
        <f>"黑龙江省 绥化市 肇东市 "</f>
        <v xml:space="preserve">黑龙江省 绥化市 肇东市 </v>
      </c>
      <c r="N5469" s="1" t="str">
        <f t="shared" si="1773"/>
        <v>凡华云仓-城南圆通-快手</v>
      </c>
      <c r="O5469" s="5" t="s">
        <v>5482</v>
      </c>
      <c r="P5469" s="6">
        <v>0.35</v>
      </c>
      <c r="Q5469" s="11">
        <v>2.2999999999999998</v>
      </c>
      <c r="R5469" s="11"/>
      <c r="S5469" s="11"/>
      <c r="T5469" s="11"/>
      <c r="U5469" s="11">
        <f t="shared" si="1779"/>
        <v>2.2999999999999998</v>
      </c>
      <c r="W5469">
        <v>2.5</v>
      </c>
      <c r="X5469" s="1" t="s">
        <v>54</v>
      </c>
    </row>
    <row r="5470" spans="1:24" x14ac:dyDescent="0.25">
      <c r="A5470" s="1" t="str">
        <f t="shared" si="1780"/>
        <v>卡卡杜-凤凰仓</v>
      </c>
      <c r="B5470" s="1" t="str">
        <f>"CK2024101919663"</f>
        <v>CK2024101919663</v>
      </c>
      <c r="C5470" s="1" t="str">
        <f>"DD2024101930422"</f>
        <v>DD2024101930422</v>
      </c>
      <c r="D5470" s="1" t="str">
        <f>"CK2024101920657"</f>
        <v>CK2024101920657</v>
      </c>
      <c r="E5470" s="1" t="str">
        <f>"2429301610545076"</f>
        <v>2429301610545076</v>
      </c>
      <c r="F5470" s="1" t="str">
        <f t="shared" si="1781"/>
        <v>花都四部-凤凰仓</v>
      </c>
      <c r="G5470" s="1" t="str">
        <f t="shared" si="1772"/>
        <v>卡卡杜佳旺专卖店（快手店）</v>
      </c>
      <c r="H5470" s="1" t="str">
        <f t="shared" si="1782"/>
        <v>正常订单</v>
      </c>
      <c r="I5470" s="1" t="str">
        <f t="shared" si="1783"/>
        <v>已发货</v>
      </c>
      <c r="J5470" s="1" t="str">
        <f t="shared" si="1791"/>
        <v>3</v>
      </c>
      <c r="K5470" s="1">
        <v>2</v>
      </c>
      <c r="L5470" s="1" t="s">
        <v>30</v>
      </c>
      <c r="M5470" s="1" t="str">
        <f>"山东省 泰安市 东平县 接山镇"</f>
        <v>山东省 泰安市 东平县 接山镇</v>
      </c>
      <c r="N5470" s="1" t="str">
        <f t="shared" si="1773"/>
        <v>凡华云仓-城南圆通-快手</v>
      </c>
      <c r="O5470" s="5" t="s">
        <v>5483</v>
      </c>
      <c r="P5470" s="6">
        <v>0.35</v>
      </c>
      <c r="Q5470" s="11">
        <v>2.2999999999999998</v>
      </c>
      <c r="R5470" s="11"/>
      <c r="S5470" s="11"/>
      <c r="T5470" s="11"/>
      <c r="U5470" s="11">
        <f t="shared" si="1779"/>
        <v>2.2999999999999998</v>
      </c>
      <c r="W5470">
        <v>2.5</v>
      </c>
      <c r="X5470" s="1" t="s">
        <v>30</v>
      </c>
    </row>
    <row r="5471" spans="1:24" x14ac:dyDescent="0.25">
      <c r="A5471" s="1" t="str">
        <f t="shared" si="1780"/>
        <v>卡卡杜-凤凰仓</v>
      </c>
      <c r="B5471" s="1" t="str">
        <f>"CK2024101919716"</f>
        <v>CK2024101919716</v>
      </c>
      <c r="C5471" s="1" t="str">
        <f>"DD2024101930475"</f>
        <v>DD2024101930475</v>
      </c>
      <c r="D5471" s="1" t="str">
        <f>"CK2024101920656"</f>
        <v>CK2024101920656</v>
      </c>
      <c r="E5471" s="1" t="str">
        <f>"2429202410442968"</f>
        <v>2429202410442968</v>
      </c>
      <c r="F5471" s="1" t="str">
        <f t="shared" si="1781"/>
        <v>花都四部-凤凰仓</v>
      </c>
      <c r="G5471" s="1" t="str">
        <f t="shared" si="1772"/>
        <v>卡卡杜佳旺专卖店（快手店）</v>
      </c>
      <c r="H5471" s="1" t="str">
        <f t="shared" si="1782"/>
        <v>正常订单</v>
      </c>
      <c r="I5471" s="1" t="str">
        <f t="shared" si="1783"/>
        <v>已发货</v>
      </c>
      <c r="J5471" s="1" t="str">
        <f t="shared" si="1791"/>
        <v>3</v>
      </c>
      <c r="K5471" s="1">
        <v>2</v>
      </c>
      <c r="L5471" s="1" t="s">
        <v>80</v>
      </c>
      <c r="M5471" s="1" t="str">
        <f>"河南省 新乡市 长垣市 蒲西街道"</f>
        <v>河南省 新乡市 长垣市 蒲西街道</v>
      </c>
      <c r="N5471" s="1" t="str">
        <f t="shared" si="1773"/>
        <v>凡华云仓-城南圆通-快手</v>
      </c>
      <c r="O5471" s="5" t="s">
        <v>5484</v>
      </c>
      <c r="P5471" s="6">
        <v>0.35</v>
      </c>
      <c r="Q5471" s="11">
        <v>2.2999999999999998</v>
      </c>
      <c r="R5471" s="11"/>
      <c r="S5471" s="11"/>
      <c r="T5471" s="11"/>
      <c r="U5471" s="11">
        <f t="shared" si="1779"/>
        <v>2.2999999999999998</v>
      </c>
      <c r="W5471">
        <v>2.5</v>
      </c>
      <c r="X5471" s="1" t="s">
        <v>80</v>
      </c>
    </row>
    <row r="5472" spans="1:24" x14ac:dyDescent="0.25">
      <c r="A5472" s="1" t="str">
        <f t="shared" si="1780"/>
        <v>卡卡杜-凤凰仓</v>
      </c>
      <c r="B5472" s="1" t="str">
        <f>"CK2024101919731"</f>
        <v>CK2024101919731</v>
      </c>
      <c r="C5472" s="1" t="str">
        <f>"DD2024101930488"</f>
        <v>DD2024101930488</v>
      </c>
      <c r="D5472" s="1" t="str">
        <f>"CK2024101920655"</f>
        <v>CK2024101920655</v>
      </c>
      <c r="E5472" s="1" t="str">
        <f>"2429201675136840"</f>
        <v>2429201675136840</v>
      </c>
      <c r="F5472" s="1" t="str">
        <f t="shared" si="1781"/>
        <v>花都四部-凤凰仓</v>
      </c>
      <c r="G5472" s="1" t="str">
        <f t="shared" si="1772"/>
        <v>卡卡杜佳旺专卖店（快手店）</v>
      </c>
      <c r="H5472" s="1" t="str">
        <f t="shared" si="1782"/>
        <v>正常订单</v>
      </c>
      <c r="I5472" s="1" t="str">
        <f t="shared" si="1783"/>
        <v>已发货</v>
      </c>
      <c r="J5472" s="1" t="str">
        <f t="shared" si="1791"/>
        <v>3</v>
      </c>
      <c r="K5472" s="1">
        <v>2</v>
      </c>
      <c r="L5472" s="1" t="s">
        <v>92</v>
      </c>
      <c r="M5472" s="1" t="str">
        <f>"辽宁省 沈阳市 辽中区 茨榆坨街道"</f>
        <v>辽宁省 沈阳市 辽中区 茨榆坨街道</v>
      </c>
      <c r="N5472" s="1" t="str">
        <f t="shared" si="1773"/>
        <v>凡华云仓-城南圆通-快手</v>
      </c>
      <c r="O5472" s="5" t="s">
        <v>5485</v>
      </c>
      <c r="P5472" s="6">
        <v>0.35</v>
      </c>
      <c r="Q5472" s="11">
        <v>2.2999999999999998</v>
      </c>
      <c r="R5472" s="11"/>
      <c r="S5472" s="11"/>
      <c r="T5472" s="11"/>
      <c r="U5472" s="11">
        <f t="shared" si="1779"/>
        <v>2.2999999999999998</v>
      </c>
      <c r="W5472">
        <v>2.5</v>
      </c>
      <c r="X5472" s="1" t="s">
        <v>92</v>
      </c>
    </row>
    <row r="5473" spans="1:24" x14ac:dyDescent="0.25">
      <c r="A5473" s="1" t="str">
        <f t="shared" si="1780"/>
        <v>卡卡杜-凤凰仓</v>
      </c>
      <c r="B5473" s="1" t="str">
        <f>"CK2024101919913"</f>
        <v>CK2024101919913</v>
      </c>
      <c r="C5473" s="1" t="str">
        <f>"DD2024101930710"</f>
        <v>DD2024101930710</v>
      </c>
      <c r="D5473" s="1" t="str">
        <f>"CK2024101920654"</f>
        <v>CK2024101920654</v>
      </c>
      <c r="E5473" s="1" t="str">
        <f>"2429202323704608"</f>
        <v>2429202323704608</v>
      </c>
      <c r="F5473" s="1" t="str">
        <f t="shared" si="1781"/>
        <v>花都四部-凤凰仓</v>
      </c>
      <c r="G5473" s="1" t="str">
        <f t="shared" si="1772"/>
        <v>卡卡杜佳旺专卖店（快手店）</v>
      </c>
      <c r="H5473" s="1" t="str">
        <f t="shared" si="1782"/>
        <v>正常订单</v>
      </c>
      <c r="I5473" s="1" t="str">
        <f t="shared" si="1783"/>
        <v>已发货</v>
      </c>
      <c r="J5473" s="1" t="str">
        <f t="shared" ref="J5473:J5478" si="1792">"5"</f>
        <v>5</v>
      </c>
      <c r="K5473" s="1">
        <v>2</v>
      </c>
      <c r="L5473" s="1" t="s">
        <v>20</v>
      </c>
      <c r="M5473" s="1" t="str">
        <f>"浙江省 金华市 义乌市 佛堂镇"</f>
        <v>浙江省 金华市 义乌市 佛堂镇</v>
      </c>
      <c r="N5473" s="1" t="str">
        <f t="shared" si="1773"/>
        <v>凡华云仓-城南圆通-快手</v>
      </c>
      <c r="O5473" s="5" t="s">
        <v>5486</v>
      </c>
      <c r="P5473" s="6">
        <v>0.59</v>
      </c>
      <c r="Q5473" s="11">
        <f t="shared" ref="Q5473:Q5478" si="1793">CEILING(P5473-0.5,0.1)*10*0.15+2.3</f>
        <v>2.4499999999999997</v>
      </c>
      <c r="R5473" s="11"/>
      <c r="S5473" s="11"/>
      <c r="T5473" s="11"/>
      <c r="U5473" s="11">
        <f t="shared" si="1779"/>
        <v>2.4499999999999997</v>
      </c>
      <c r="V5473" t="s">
        <v>15</v>
      </c>
      <c r="W5473">
        <v>2.4500000000000002</v>
      </c>
      <c r="X5473" s="1" t="s">
        <v>20</v>
      </c>
    </row>
    <row r="5474" spans="1:24" x14ac:dyDescent="0.25">
      <c r="A5474" s="1" t="str">
        <f t="shared" si="1780"/>
        <v>卡卡杜-凤凰仓</v>
      </c>
      <c r="B5474" s="1" t="str">
        <f>"CK2024101919735"</f>
        <v>CK2024101919735</v>
      </c>
      <c r="C5474" s="1" t="str">
        <f>"DD2024101930494"</f>
        <v>DD2024101930494</v>
      </c>
      <c r="D5474" s="1" t="str">
        <f>"CK2024101920653"</f>
        <v>CK2024101920653</v>
      </c>
      <c r="E5474" s="1" t="str">
        <f>"2429202071763020"</f>
        <v>2429202071763020</v>
      </c>
      <c r="F5474" s="1" t="str">
        <f t="shared" si="1781"/>
        <v>花都四部-凤凰仓</v>
      </c>
      <c r="G5474" s="1" t="str">
        <f t="shared" si="1772"/>
        <v>卡卡杜佳旺专卖店（快手店）</v>
      </c>
      <c r="H5474" s="1" t="str">
        <f t="shared" si="1782"/>
        <v>正常订单</v>
      </c>
      <c r="I5474" s="1" t="str">
        <f t="shared" si="1783"/>
        <v>已发货</v>
      </c>
      <c r="J5474" s="1" t="str">
        <f t="shared" ref="J5474:J5480" si="1794">"3"</f>
        <v>3</v>
      </c>
      <c r="K5474" s="1">
        <v>2</v>
      </c>
      <c r="L5474" s="1" t="s">
        <v>41</v>
      </c>
      <c r="M5474" s="1" t="str">
        <f>"湖北省 武汉市 汉阳区 江堤街道"</f>
        <v>湖北省 武汉市 汉阳区 江堤街道</v>
      </c>
      <c r="N5474" s="1" t="str">
        <f t="shared" si="1773"/>
        <v>凡华云仓-城南圆通-快手</v>
      </c>
      <c r="O5474" s="5" t="s">
        <v>5487</v>
      </c>
      <c r="P5474" s="6">
        <v>0.35</v>
      </c>
      <c r="Q5474" s="11">
        <v>2.2999999999999998</v>
      </c>
      <c r="R5474" s="11"/>
      <c r="S5474" s="11"/>
      <c r="T5474" s="11"/>
      <c r="U5474" s="11">
        <f t="shared" si="1779"/>
        <v>2.2999999999999998</v>
      </c>
      <c r="W5474">
        <v>2.5</v>
      </c>
      <c r="X5474" s="1" t="s">
        <v>41</v>
      </c>
    </row>
    <row r="5475" spans="1:24" x14ac:dyDescent="0.25">
      <c r="A5475" s="1" t="str">
        <f t="shared" si="1780"/>
        <v>卡卡杜-凤凰仓</v>
      </c>
      <c r="B5475" s="1" t="str">
        <f>"CK2024101919740"</f>
        <v>CK2024101919740</v>
      </c>
      <c r="C5475" s="1" t="str">
        <f>"DD2024101930498"</f>
        <v>DD2024101930498</v>
      </c>
      <c r="D5475" s="1" t="str">
        <f>"CK2024101920652"</f>
        <v>CK2024101920652</v>
      </c>
      <c r="E5475" s="1" t="str">
        <f>"2429201664601909"</f>
        <v>2429201664601909</v>
      </c>
      <c r="F5475" s="1" t="str">
        <f t="shared" si="1781"/>
        <v>花都四部-凤凰仓</v>
      </c>
      <c r="G5475" s="1" t="str">
        <f t="shared" si="1772"/>
        <v>卡卡杜佳旺专卖店（快手店）</v>
      </c>
      <c r="H5475" s="1" t="str">
        <f t="shared" si="1782"/>
        <v>正常订单</v>
      </c>
      <c r="I5475" s="1" t="str">
        <f t="shared" si="1783"/>
        <v>已发货</v>
      </c>
      <c r="J5475" s="1" t="str">
        <f t="shared" si="1794"/>
        <v>3</v>
      </c>
      <c r="K5475" s="1">
        <v>2</v>
      </c>
      <c r="L5475" s="1" t="s">
        <v>187</v>
      </c>
      <c r="M5475" s="1" t="str">
        <f>"吉林省 通化市 东昌区 环通乡"</f>
        <v>吉林省 通化市 东昌区 环通乡</v>
      </c>
      <c r="N5475" s="1" t="str">
        <f t="shared" si="1773"/>
        <v>凡华云仓-城南圆通-快手</v>
      </c>
      <c r="O5475" s="5" t="s">
        <v>5488</v>
      </c>
      <c r="P5475" s="6">
        <v>0.35</v>
      </c>
      <c r="Q5475" s="11">
        <v>2.2999999999999998</v>
      </c>
      <c r="R5475" s="11"/>
      <c r="S5475" s="11"/>
      <c r="T5475" s="11"/>
      <c r="U5475" s="11">
        <f t="shared" si="1779"/>
        <v>2.2999999999999998</v>
      </c>
      <c r="W5475">
        <v>2.5</v>
      </c>
      <c r="X5475" s="1" t="s">
        <v>187</v>
      </c>
    </row>
    <row r="5476" spans="1:24" x14ac:dyDescent="0.25">
      <c r="A5476" s="1" t="str">
        <f t="shared" si="1780"/>
        <v>卡卡杜-凤凰仓</v>
      </c>
      <c r="B5476" s="1" t="str">
        <f>"CK2024101919915"</f>
        <v>CK2024101919915</v>
      </c>
      <c r="C5476" s="1" t="str">
        <f>"DD2024101930712"</f>
        <v>DD2024101930712</v>
      </c>
      <c r="D5476" s="1" t="str">
        <f>"CK2024101920651"</f>
        <v>CK2024101920651</v>
      </c>
      <c r="E5476" s="1" t="str">
        <f>"2429201894322042"</f>
        <v>2429201894322042</v>
      </c>
      <c r="F5476" s="1" t="str">
        <f t="shared" si="1781"/>
        <v>花都四部-凤凰仓</v>
      </c>
      <c r="G5476" s="1" t="str">
        <f t="shared" si="1772"/>
        <v>卡卡杜佳旺专卖店（快手店）</v>
      </c>
      <c r="H5476" s="1" t="str">
        <f t="shared" si="1782"/>
        <v>正常订单</v>
      </c>
      <c r="I5476" s="1" t="str">
        <f t="shared" si="1783"/>
        <v>已发货</v>
      </c>
      <c r="J5476" s="1" t="str">
        <f t="shared" si="1792"/>
        <v>5</v>
      </c>
      <c r="K5476" s="1">
        <v>2</v>
      </c>
      <c r="L5476" s="1" t="s">
        <v>18</v>
      </c>
      <c r="M5476" s="1" t="str">
        <f>"广东省 中山市 古镇镇 古镇镇"</f>
        <v>广东省 中山市 古镇镇 古镇镇</v>
      </c>
      <c r="N5476" s="1" t="str">
        <f t="shared" si="1773"/>
        <v>凡华云仓-城南圆通-快手</v>
      </c>
      <c r="O5476" s="5" t="s">
        <v>5489</v>
      </c>
      <c r="P5476" s="6">
        <v>0.59</v>
      </c>
      <c r="Q5476" s="11">
        <f t="shared" si="1793"/>
        <v>2.4499999999999997</v>
      </c>
      <c r="R5476" s="11"/>
      <c r="S5476" s="11"/>
      <c r="T5476" s="11"/>
      <c r="U5476" s="11">
        <f t="shared" si="1779"/>
        <v>2.4499999999999997</v>
      </c>
      <c r="V5476" t="s">
        <v>15</v>
      </c>
      <c r="W5476">
        <v>2.4500000000000002</v>
      </c>
      <c r="X5476" s="1" t="s">
        <v>18</v>
      </c>
    </row>
    <row r="5477" spans="1:24" x14ac:dyDescent="0.25">
      <c r="A5477" s="1" t="str">
        <f t="shared" si="1780"/>
        <v>卡卡杜-凤凰仓</v>
      </c>
      <c r="B5477" s="1" t="str">
        <f>"CK2024101919744"</f>
        <v>CK2024101919744</v>
      </c>
      <c r="C5477" s="1" t="str">
        <f>"DD2024101930502"</f>
        <v>DD2024101930502</v>
      </c>
      <c r="D5477" s="1" t="str">
        <f>"CK2024101920650"</f>
        <v>CK2024101920650</v>
      </c>
      <c r="E5477" s="1" t="str">
        <f>"2429201676424962"</f>
        <v>2429201676424962</v>
      </c>
      <c r="F5477" s="1" t="str">
        <f t="shared" si="1781"/>
        <v>花都四部-凤凰仓</v>
      </c>
      <c r="G5477" s="1" t="str">
        <f t="shared" si="1772"/>
        <v>卡卡杜佳旺专卖店（快手店）</v>
      </c>
      <c r="H5477" s="1" t="str">
        <f t="shared" si="1782"/>
        <v>正常订单</v>
      </c>
      <c r="I5477" s="1" t="str">
        <f t="shared" si="1783"/>
        <v>已发货</v>
      </c>
      <c r="J5477" s="1" t="str">
        <f>"2"</f>
        <v>2</v>
      </c>
      <c r="K5477" s="1">
        <v>2</v>
      </c>
      <c r="L5477" s="1" t="s">
        <v>92</v>
      </c>
      <c r="M5477" s="1" t="str">
        <f>"辽宁省 葫芦岛市 兴城市 温泉街道"</f>
        <v>辽宁省 葫芦岛市 兴城市 温泉街道</v>
      </c>
      <c r="N5477" s="1" t="str">
        <f t="shared" si="1773"/>
        <v>凡华云仓-城南圆通-快手</v>
      </c>
      <c r="O5477" s="5" t="s">
        <v>5490</v>
      </c>
      <c r="P5477" s="6">
        <v>0.17</v>
      </c>
      <c r="Q5477" s="11">
        <v>2</v>
      </c>
      <c r="R5477" s="11"/>
      <c r="S5477" s="11"/>
      <c r="T5477" s="11"/>
      <c r="U5477" s="11">
        <f t="shared" si="1779"/>
        <v>2</v>
      </c>
      <c r="W5477">
        <v>2.2000000000000002</v>
      </c>
      <c r="X5477" s="1" t="s">
        <v>92</v>
      </c>
    </row>
    <row r="5478" spans="1:24" x14ac:dyDescent="0.25">
      <c r="A5478" s="1" t="str">
        <f t="shared" si="1780"/>
        <v>卡卡杜-凤凰仓</v>
      </c>
      <c r="B5478" s="1" t="str">
        <f>"CK2024101919916"</f>
        <v>CK2024101919916</v>
      </c>
      <c r="C5478" s="1" t="str">
        <f>"DD2024101930713"</f>
        <v>DD2024101930713</v>
      </c>
      <c r="D5478" s="1" t="str">
        <f>"CK2024101920649"</f>
        <v>CK2024101920649</v>
      </c>
      <c r="E5478" s="1" t="str">
        <f>"2429202247016015"</f>
        <v>2429202247016015</v>
      </c>
      <c r="F5478" s="1" t="str">
        <f t="shared" si="1781"/>
        <v>花都四部-凤凰仓</v>
      </c>
      <c r="G5478" s="1" t="str">
        <f t="shared" si="1772"/>
        <v>卡卡杜佳旺专卖店（快手店）</v>
      </c>
      <c r="H5478" s="1" t="str">
        <f t="shared" si="1782"/>
        <v>正常订单</v>
      </c>
      <c r="I5478" s="1" t="str">
        <f t="shared" si="1783"/>
        <v>已发货</v>
      </c>
      <c r="J5478" s="1" t="str">
        <f t="shared" si="1792"/>
        <v>5</v>
      </c>
      <c r="K5478" s="1">
        <v>2</v>
      </c>
      <c r="L5478" s="1" t="s">
        <v>80</v>
      </c>
      <c r="M5478" s="1" t="str">
        <f>"河南省 三门峡市 陕州区 大营镇"</f>
        <v>河南省 三门峡市 陕州区 大营镇</v>
      </c>
      <c r="N5478" s="1" t="str">
        <f t="shared" si="1773"/>
        <v>凡华云仓-城南圆通-快手</v>
      </c>
      <c r="O5478" s="5" t="s">
        <v>5491</v>
      </c>
      <c r="P5478" s="6">
        <v>0.59</v>
      </c>
      <c r="Q5478" s="11">
        <f t="shared" si="1793"/>
        <v>2.4499999999999997</v>
      </c>
      <c r="R5478" s="11"/>
      <c r="S5478" s="11"/>
      <c r="T5478" s="11"/>
      <c r="U5478" s="11">
        <f t="shared" si="1779"/>
        <v>2.4499999999999997</v>
      </c>
      <c r="V5478" t="s">
        <v>15</v>
      </c>
      <c r="W5478">
        <v>2.4500000000000002</v>
      </c>
      <c r="X5478" s="1" t="s">
        <v>80</v>
      </c>
    </row>
    <row r="5479" spans="1:24" x14ac:dyDescent="0.25">
      <c r="A5479" s="1" t="str">
        <f t="shared" si="1780"/>
        <v>卡卡杜-凤凰仓</v>
      </c>
      <c r="B5479" s="1" t="str">
        <f>"CK2024101919747"</f>
        <v>CK2024101919747</v>
      </c>
      <c r="C5479" s="1" t="str">
        <f>"DD2024101930507"</f>
        <v>DD2024101930507</v>
      </c>
      <c r="D5479" s="1" t="str">
        <f>"CK2024101920648"</f>
        <v>CK2024101920648</v>
      </c>
      <c r="E5479" s="1" t="str">
        <f>"2429202221345274"</f>
        <v>2429202221345274</v>
      </c>
      <c r="F5479" s="1" t="str">
        <f t="shared" si="1781"/>
        <v>花都四部-凤凰仓</v>
      </c>
      <c r="G5479" s="1" t="str">
        <f t="shared" si="1772"/>
        <v>卡卡杜佳旺专卖店（快手店）</v>
      </c>
      <c r="H5479" s="1" t="str">
        <f t="shared" si="1782"/>
        <v>正常订单</v>
      </c>
      <c r="I5479" s="1" t="str">
        <f t="shared" si="1783"/>
        <v>已发货</v>
      </c>
      <c r="J5479" s="1" t="str">
        <f t="shared" si="1794"/>
        <v>3</v>
      </c>
      <c r="K5479" s="1">
        <v>2</v>
      </c>
      <c r="L5479" s="1" t="s">
        <v>94</v>
      </c>
      <c r="M5479" s="1" t="str">
        <f>"湖南省 湘潭市 雨湖区 城正街街道"</f>
        <v>湖南省 湘潭市 雨湖区 城正街街道</v>
      </c>
      <c r="N5479" s="1" t="str">
        <f t="shared" si="1773"/>
        <v>凡华云仓-城南圆通-快手</v>
      </c>
      <c r="O5479" s="5" t="s">
        <v>5492</v>
      </c>
      <c r="P5479" s="6">
        <v>0.35</v>
      </c>
      <c r="Q5479" s="11">
        <v>2.2999999999999998</v>
      </c>
      <c r="R5479" s="11"/>
      <c r="S5479" s="11"/>
      <c r="T5479" s="11"/>
      <c r="U5479" s="11">
        <f t="shared" si="1779"/>
        <v>2.2999999999999998</v>
      </c>
      <c r="W5479">
        <v>2.5</v>
      </c>
      <c r="X5479" s="1" t="s">
        <v>94</v>
      </c>
    </row>
    <row r="5480" spans="1:24" x14ac:dyDescent="0.25">
      <c r="A5480" s="1" t="str">
        <f t="shared" si="1780"/>
        <v>卡卡杜-凤凰仓</v>
      </c>
      <c r="B5480" s="1" t="str">
        <f>"CK2024101919754"</f>
        <v>CK2024101919754</v>
      </c>
      <c r="C5480" s="1" t="str">
        <f>"DD2024101930516"</f>
        <v>DD2024101930516</v>
      </c>
      <c r="D5480" s="1" t="str">
        <f>"CK2024101920647"</f>
        <v>CK2024101920647</v>
      </c>
      <c r="E5480" s="1" t="str">
        <f>"2429202078032747"</f>
        <v>2429202078032747</v>
      </c>
      <c r="F5480" s="1" t="str">
        <f t="shared" si="1781"/>
        <v>花都四部-凤凰仓</v>
      </c>
      <c r="G5480" s="1" t="str">
        <f t="shared" si="1772"/>
        <v>卡卡杜佳旺专卖店（快手店）</v>
      </c>
      <c r="H5480" s="1" t="str">
        <f t="shared" si="1782"/>
        <v>正常订单</v>
      </c>
      <c r="I5480" s="1" t="str">
        <f t="shared" si="1783"/>
        <v>已发货</v>
      </c>
      <c r="J5480" s="1" t="str">
        <f t="shared" si="1794"/>
        <v>3</v>
      </c>
      <c r="K5480" s="1">
        <v>2</v>
      </c>
      <c r="L5480" s="1" t="s">
        <v>32</v>
      </c>
      <c r="M5480" s="1" t="str">
        <f>"陕西省 西安市 莲湖区 枣园街道"</f>
        <v>陕西省 西安市 莲湖区 枣园街道</v>
      </c>
      <c r="N5480" s="1" t="str">
        <f t="shared" si="1773"/>
        <v>凡华云仓-城南圆通-快手</v>
      </c>
      <c r="O5480" s="5" t="s">
        <v>5493</v>
      </c>
      <c r="P5480" s="6">
        <v>0.35</v>
      </c>
      <c r="Q5480" s="11">
        <v>2.2999999999999998</v>
      </c>
      <c r="R5480" s="11"/>
      <c r="S5480" s="11"/>
      <c r="T5480" s="11"/>
      <c r="U5480" s="11">
        <f t="shared" si="1779"/>
        <v>2.2999999999999998</v>
      </c>
      <c r="W5480">
        <v>2.5</v>
      </c>
      <c r="X5480" s="1" t="s">
        <v>32</v>
      </c>
    </row>
    <row r="5481" spans="1:24" x14ac:dyDescent="0.25">
      <c r="A5481" s="1" t="str">
        <f t="shared" si="1780"/>
        <v>卡卡杜-凤凰仓</v>
      </c>
      <c r="B5481" s="1" t="str">
        <f>"CK2024101919918"</f>
        <v>CK2024101919918</v>
      </c>
      <c r="C5481" s="1" t="str">
        <f>"DD2024101930714"</f>
        <v>DD2024101930714</v>
      </c>
      <c r="D5481" s="1" t="str">
        <f>"CK2024101920646"</f>
        <v>CK2024101920646</v>
      </c>
      <c r="E5481" s="1" t="str">
        <f>"2429202239568910"</f>
        <v>2429202239568910</v>
      </c>
      <c r="F5481" s="1" t="str">
        <f t="shared" si="1781"/>
        <v>花都四部-凤凰仓</v>
      </c>
      <c r="G5481" s="1" t="str">
        <f t="shared" si="1772"/>
        <v>卡卡杜佳旺专卖店（快手店）</v>
      </c>
      <c r="H5481" s="1" t="str">
        <f t="shared" si="1782"/>
        <v>正常订单</v>
      </c>
      <c r="I5481" s="1" t="str">
        <f t="shared" si="1783"/>
        <v>已发货</v>
      </c>
      <c r="J5481" s="1" t="str">
        <f t="shared" ref="J5481:J5484" si="1795">"5"</f>
        <v>5</v>
      </c>
      <c r="K5481" s="1">
        <v>2</v>
      </c>
      <c r="L5481" s="1" t="s">
        <v>32</v>
      </c>
      <c r="M5481" s="1" t="str">
        <f>"陕西省 咸阳市 渭城区 北杜街道"</f>
        <v>陕西省 咸阳市 渭城区 北杜街道</v>
      </c>
      <c r="N5481" s="1" t="str">
        <f t="shared" si="1773"/>
        <v>凡华云仓-城南圆通-快手</v>
      </c>
      <c r="O5481" s="5" t="s">
        <v>5494</v>
      </c>
      <c r="P5481" s="6">
        <v>0.59</v>
      </c>
      <c r="Q5481" s="11">
        <f>CEILING(P5481-0.5,0.1)*10*0.15+2.3</f>
        <v>2.4499999999999997</v>
      </c>
      <c r="R5481" s="11"/>
      <c r="S5481" s="11"/>
      <c r="T5481" s="11"/>
      <c r="U5481" s="11">
        <f t="shared" si="1779"/>
        <v>2.4499999999999997</v>
      </c>
      <c r="V5481" t="s">
        <v>15</v>
      </c>
      <c r="W5481">
        <v>2.4500000000000002</v>
      </c>
      <c r="X5481" s="1" t="s">
        <v>32</v>
      </c>
    </row>
    <row r="5482" spans="1:24" x14ac:dyDescent="0.25">
      <c r="A5482" s="1" t="str">
        <f t="shared" si="1780"/>
        <v>卡卡杜-凤凰仓</v>
      </c>
      <c r="B5482" s="1" t="str">
        <f>"CK2024101919842"</f>
        <v>CK2024101919842</v>
      </c>
      <c r="C5482" s="1" t="str">
        <f>"DD2024101930603"</f>
        <v>DD2024101930603</v>
      </c>
      <c r="D5482" s="1" t="str">
        <f>"CK2024101920645"</f>
        <v>CK2024101920645</v>
      </c>
      <c r="E5482" s="1" t="str">
        <f>"2429202154738591"</f>
        <v>2429202154738591</v>
      </c>
      <c r="F5482" s="1" t="str">
        <f t="shared" si="1781"/>
        <v>花都四部-凤凰仓</v>
      </c>
      <c r="G5482" s="1" t="str">
        <f t="shared" si="1772"/>
        <v>卡卡杜佳旺专卖店（快手店）</v>
      </c>
      <c r="H5482" s="1" t="str">
        <f t="shared" si="1782"/>
        <v>正常订单</v>
      </c>
      <c r="I5482" s="1" t="str">
        <f t="shared" si="1783"/>
        <v>已发货</v>
      </c>
      <c r="J5482" s="1" t="str">
        <f t="shared" ref="J5482:J5492" si="1796">"3"</f>
        <v>3</v>
      </c>
      <c r="K5482" s="1">
        <v>2</v>
      </c>
      <c r="L5482" s="1" t="s">
        <v>30</v>
      </c>
      <c r="M5482" s="1" t="str">
        <f>"山东省 潍坊市 奎文区 清池街道"</f>
        <v>山东省 潍坊市 奎文区 清池街道</v>
      </c>
      <c r="N5482" s="1" t="str">
        <f t="shared" si="1773"/>
        <v>凡华云仓-城南圆通-快手</v>
      </c>
      <c r="O5482" s="5" t="s">
        <v>5495</v>
      </c>
      <c r="P5482" s="6">
        <v>0.35</v>
      </c>
      <c r="Q5482" s="11">
        <v>2.2999999999999998</v>
      </c>
      <c r="R5482" s="11"/>
      <c r="S5482" s="11"/>
      <c r="T5482" s="11"/>
      <c r="U5482" s="11">
        <f t="shared" si="1779"/>
        <v>2.2999999999999998</v>
      </c>
      <c r="W5482">
        <v>2.5</v>
      </c>
      <c r="X5482" s="1" t="s">
        <v>30</v>
      </c>
    </row>
    <row r="5483" spans="1:24" x14ac:dyDescent="0.25">
      <c r="A5483" s="1" t="str">
        <f t="shared" si="1780"/>
        <v>卡卡杜-凤凰仓</v>
      </c>
      <c r="B5483" s="1" t="str">
        <f>"CK2024101919921"</f>
        <v>CK2024101919921</v>
      </c>
      <c r="C5483" s="1" t="str">
        <f>"DD2024101930718"</f>
        <v>DD2024101930718</v>
      </c>
      <c r="D5483" s="1" t="str">
        <f>"CK2024101920644"</f>
        <v>CK2024101920644</v>
      </c>
      <c r="E5483" s="1" t="str">
        <f>"2429201919489604"</f>
        <v>2429201919489604</v>
      </c>
      <c r="F5483" s="1" t="str">
        <f t="shared" si="1781"/>
        <v>花都四部-凤凰仓</v>
      </c>
      <c r="G5483" s="1" t="str">
        <f t="shared" si="1772"/>
        <v>卡卡杜佳旺专卖店（快手店）</v>
      </c>
      <c r="H5483" s="1" t="str">
        <f t="shared" si="1782"/>
        <v>正常订单</v>
      </c>
      <c r="I5483" s="1" t="str">
        <f t="shared" si="1783"/>
        <v>已发货</v>
      </c>
      <c r="J5483" s="1" t="str">
        <f t="shared" si="1795"/>
        <v>5</v>
      </c>
      <c r="K5483" s="1">
        <v>2</v>
      </c>
      <c r="L5483" s="1" t="s">
        <v>710</v>
      </c>
      <c r="M5483" s="1" t="str">
        <f>"上海市 上海市 闵行区 颛桥镇"</f>
        <v>上海市 上海市 闵行区 颛桥镇</v>
      </c>
      <c r="N5483" s="1" t="str">
        <f t="shared" si="1773"/>
        <v>凡华云仓-城南圆通-快手</v>
      </c>
      <c r="O5483" s="5" t="s">
        <v>5496</v>
      </c>
      <c r="P5483" s="6">
        <v>0.59</v>
      </c>
      <c r="Q5483" s="11">
        <f>CEILING(P5483-0.5,0.1)*10*0.15+2.3</f>
        <v>2.4499999999999997</v>
      </c>
      <c r="R5483" s="11"/>
      <c r="S5483" s="11"/>
      <c r="T5483" s="11"/>
      <c r="U5483" s="11">
        <f t="shared" si="1779"/>
        <v>2.4499999999999997</v>
      </c>
      <c r="V5483" t="s">
        <v>15</v>
      </c>
      <c r="W5483">
        <v>2.4500000000000002</v>
      </c>
      <c r="X5483" s="1" t="s">
        <v>710</v>
      </c>
    </row>
    <row r="5484" spans="1:24" x14ac:dyDescent="0.25">
      <c r="A5484" s="1" t="str">
        <f t="shared" si="1780"/>
        <v>卡卡杜-凤凰仓</v>
      </c>
      <c r="B5484" s="1" t="str">
        <f>"CK2024101919847"</f>
        <v>CK2024101919847</v>
      </c>
      <c r="C5484" s="1" t="str">
        <f>"DD2024101930607"</f>
        <v>DD2024101930607</v>
      </c>
      <c r="D5484" s="1" t="str">
        <f>"CK2024101920643"</f>
        <v>CK2024101920643</v>
      </c>
      <c r="E5484" s="1" t="str">
        <f>"2429202216514894"</f>
        <v>2429202216514894</v>
      </c>
      <c r="F5484" s="1" t="str">
        <f t="shared" si="1781"/>
        <v>花都四部-凤凰仓</v>
      </c>
      <c r="G5484" s="1" t="str">
        <f t="shared" si="1772"/>
        <v>卡卡杜佳旺专卖店（快手店）</v>
      </c>
      <c r="H5484" s="1" t="str">
        <f t="shared" si="1782"/>
        <v>正常订单</v>
      </c>
      <c r="I5484" s="1" t="str">
        <f t="shared" si="1783"/>
        <v>已发货</v>
      </c>
      <c r="J5484" s="1" t="str">
        <f t="shared" si="1795"/>
        <v>5</v>
      </c>
      <c r="K5484" s="1">
        <v>3</v>
      </c>
      <c r="L5484" s="1" t="s">
        <v>136</v>
      </c>
      <c r="M5484" s="1" t="str">
        <f>"北京市 北京市 丰台区 成寿寺街道"</f>
        <v>北京市 北京市 丰台区 成寿寺街道</v>
      </c>
      <c r="N5484" s="1" t="str">
        <f t="shared" si="1773"/>
        <v>凡华云仓-城南圆通-快手</v>
      </c>
      <c r="O5484" s="5" t="s">
        <v>5497</v>
      </c>
      <c r="P5484" s="6">
        <v>0.47</v>
      </c>
      <c r="Q5484" s="11">
        <v>2.2999999999999998</v>
      </c>
      <c r="R5484" s="11"/>
      <c r="S5484" s="11"/>
      <c r="T5484" s="11"/>
      <c r="U5484" s="11">
        <f t="shared" si="1779"/>
        <v>2.2999999999999998</v>
      </c>
      <c r="W5484">
        <v>2.5</v>
      </c>
      <c r="X5484" s="1" t="s">
        <v>136</v>
      </c>
    </row>
    <row r="5485" spans="1:24" x14ac:dyDescent="0.25">
      <c r="A5485" s="1" t="str">
        <f t="shared" si="1780"/>
        <v>卡卡杜-凤凰仓</v>
      </c>
      <c r="B5485" s="1" t="str">
        <f>"CK2024101919874"</f>
        <v>CK2024101919874</v>
      </c>
      <c r="C5485" s="1" t="str">
        <f>"DD2024101930634"</f>
        <v>DD2024101930634</v>
      </c>
      <c r="D5485" s="1" t="str">
        <f>"CK2024101920642"</f>
        <v>CK2024101920642</v>
      </c>
      <c r="E5485" s="1" t="str">
        <f>"2429201991504189"</f>
        <v>2429201991504189</v>
      </c>
      <c r="F5485" s="1" t="str">
        <f t="shared" si="1781"/>
        <v>花都四部-凤凰仓</v>
      </c>
      <c r="G5485" s="1" t="str">
        <f t="shared" si="1772"/>
        <v>卡卡杜佳旺专卖店（快手店）</v>
      </c>
      <c r="H5485" s="1" t="str">
        <f t="shared" si="1782"/>
        <v>正常订单</v>
      </c>
      <c r="I5485" s="1" t="str">
        <f t="shared" si="1783"/>
        <v>已发货</v>
      </c>
      <c r="J5485" s="1" t="str">
        <f t="shared" si="1796"/>
        <v>3</v>
      </c>
      <c r="K5485" s="1">
        <v>2</v>
      </c>
      <c r="L5485" s="1" t="s">
        <v>80</v>
      </c>
      <c r="M5485" s="1" t="str">
        <f>"河南省 信阳市 罗山县 龙山街道"</f>
        <v>河南省 信阳市 罗山县 龙山街道</v>
      </c>
      <c r="N5485" s="1" t="str">
        <f t="shared" si="1773"/>
        <v>凡华云仓-城南圆通-快手</v>
      </c>
      <c r="O5485" s="5" t="s">
        <v>5498</v>
      </c>
      <c r="P5485" s="6">
        <v>0.35</v>
      </c>
      <c r="Q5485" s="11">
        <v>2.2999999999999998</v>
      </c>
      <c r="R5485" s="11"/>
      <c r="S5485" s="11"/>
      <c r="T5485" s="11"/>
      <c r="U5485" s="11">
        <f t="shared" si="1779"/>
        <v>2.2999999999999998</v>
      </c>
      <c r="W5485">
        <v>2.5</v>
      </c>
      <c r="X5485" s="1" t="s">
        <v>80</v>
      </c>
    </row>
    <row r="5486" spans="1:24" x14ac:dyDescent="0.25">
      <c r="A5486" s="1" t="str">
        <f t="shared" si="1780"/>
        <v>卡卡杜-凤凰仓</v>
      </c>
      <c r="B5486" s="1" t="str">
        <f>"CK2024101919592"</f>
        <v>CK2024101919592</v>
      </c>
      <c r="C5486" s="1" t="str">
        <f>"DD2024101930352"</f>
        <v>DD2024101930352</v>
      </c>
      <c r="D5486" s="1" t="str">
        <f>"CK2024101920639"</f>
        <v>CK2024101920639</v>
      </c>
      <c r="E5486" s="1" t="str">
        <f>"6935185483710797245"</f>
        <v>6935185483710797245</v>
      </c>
      <c r="F5486" s="1" t="str">
        <f t="shared" si="1781"/>
        <v>花都四部-凤凰仓</v>
      </c>
      <c r="G5486" s="1" t="str">
        <f t="shared" ref="G5486:G5549" si="1797">"卡卡杜个人护理店（抖店）"</f>
        <v>卡卡杜个人护理店（抖店）</v>
      </c>
      <c r="H5486" s="1" t="str">
        <f t="shared" si="1782"/>
        <v>正常订单</v>
      </c>
      <c r="I5486" s="1" t="str">
        <f t="shared" si="1783"/>
        <v>已发货</v>
      </c>
      <c r="J5486" s="1" t="str">
        <f t="shared" si="1796"/>
        <v>3</v>
      </c>
      <c r="K5486" s="1">
        <v>2</v>
      </c>
      <c r="L5486" s="1" t="s">
        <v>94</v>
      </c>
      <c r="M5486" s="1" t="str">
        <f>"湖南省 邵阳市 新邵县 迎光乡"</f>
        <v>湖南省 邵阳市 新邵县 迎光乡</v>
      </c>
      <c r="N5486" s="1" t="str">
        <f t="shared" ref="N5486:N5549" si="1798">"凡华云仓-城南圆通-抖音"</f>
        <v>凡华云仓-城南圆通-抖音</v>
      </c>
      <c r="O5486" s="5" t="s">
        <v>5499</v>
      </c>
      <c r="P5486" s="6">
        <v>0.35</v>
      </c>
      <c r="Q5486" s="11">
        <v>2.2999999999999998</v>
      </c>
      <c r="R5486" s="11"/>
      <c r="S5486" s="11"/>
      <c r="T5486" s="11"/>
      <c r="U5486" s="11">
        <f t="shared" si="1779"/>
        <v>2.2999999999999998</v>
      </c>
      <c r="W5486">
        <v>2.5</v>
      </c>
      <c r="X5486" s="1" t="s">
        <v>94</v>
      </c>
    </row>
    <row r="5487" spans="1:24" x14ac:dyDescent="0.25">
      <c r="A5487" s="1" t="str">
        <f t="shared" si="1780"/>
        <v>卡卡杜-凤凰仓</v>
      </c>
      <c r="B5487" s="1" t="str">
        <f>"CK2024101919593"</f>
        <v>CK2024101919593</v>
      </c>
      <c r="C5487" s="1" t="str">
        <f>"DD2024101930353"</f>
        <v>DD2024101930353</v>
      </c>
      <c r="D5487" s="1" t="str">
        <f>"CK2024101920638"</f>
        <v>CK2024101920638</v>
      </c>
      <c r="E5487" s="1" t="str">
        <f>"6935212083121624268"</f>
        <v>6935212083121624268</v>
      </c>
      <c r="F5487" s="1" t="str">
        <f t="shared" si="1781"/>
        <v>花都四部-凤凰仓</v>
      </c>
      <c r="G5487" s="1" t="str">
        <f t="shared" si="1797"/>
        <v>卡卡杜个人护理店（抖店）</v>
      </c>
      <c r="H5487" s="1" t="str">
        <f t="shared" si="1782"/>
        <v>正常订单</v>
      </c>
      <c r="I5487" s="1" t="str">
        <f t="shared" si="1783"/>
        <v>已发货</v>
      </c>
      <c r="J5487" s="1" t="str">
        <f t="shared" si="1796"/>
        <v>3</v>
      </c>
      <c r="K5487" s="1">
        <v>2</v>
      </c>
      <c r="L5487" s="1" t="s">
        <v>94</v>
      </c>
      <c r="M5487" s="1" t="str">
        <f>"湖南省 长沙市 浏阳市 集里街道"</f>
        <v>湖南省 长沙市 浏阳市 集里街道</v>
      </c>
      <c r="N5487" s="1" t="str">
        <f t="shared" si="1798"/>
        <v>凡华云仓-城南圆通-抖音</v>
      </c>
      <c r="O5487" s="5" t="s">
        <v>5500</v>
      </c>
      <c r="P5487" s="6">
        <v>0.35</v>
      </c>
      <c r="Q5487" s="11">
        <v>2.2999999999999998</v>
      </c>
      <c r="R5487" s="11"/>
      <c r="S5487" s="11"/>
      <c r="T5487" s="11"/>
      <c r="U5487" s="11">
        <f t="shared" si="1779"/>
        <v>2.2999999999999998</v>
      </c>
      <c r="W5487">
        <v>2.5</v>
      </c>
      <c r="X5487" s="1" t="s">
        <v>94</v>
      </c>
    </row>
    <row r="5488" spans="1:24" x14ac:dyDescent="0.25">
      <c r="A5488" s="1" t="str">
        <f t="shared" si="1780"/>
        <v>卡卡杜-凤凰仓</v>
      </c>
      <c r="B5488" s="1" t="str">
        <f>"CK2024101919595"</f>
        <v>CK2024101919595</v>
      </c>
      <c r="C5488" s="1" t="str">
        <f>"DD2024101930350"</f>
        <v>DD2024101930350</v>
      </c>
      <c r="D5488" s="1" t="str">
        <f>"CK2024101920637"</f>
        <v>CK2024101920637</v>
      </c>
      <c r="E5488" s="1" t="str">
        <f>"6935210078275769514"</f>
        <v>6935210078275769514</v>
      </c>
      <c r="F5488" s="1" t="str">
        <f t="shared" si="1781"/>
        <v>花都四部-凤凰仓</v>
      </c>
      <c r="G5488" s="1" t="str">
        <f t="shared" si="1797"/>
        <v>卡卡杜个人护理店（抖店）</v>
      </c>
      <c r="H5488" s="1" t="str">
        <f t="shared" si="1782"/>
        <v>正常订单</v>
      </c>
      <c r="I5488" s="1" t="str">
        <f t="shared" si="1783"/>
        <v>已发货</v>
      </c>
      <c r="J5488" s="1" t="str">
        <f t="shared" si="1796"/>
        <v>3</v>
      </c>
      <c r="K5488" s="1">
        <v>2</v>
      </c>
      <c r="L5488" s="1" t="s">
        <v>16</v>
      </c>
      <c r="M5488" s="1" t="str">
        <f>"河北省 石家庄市 无极县 郭庄镇"</f>
        <v>河北省 石家庄市 无极县 郭庄镇</v>
      </c>
      <c r="N5488" s="1" t="str">
        <f t="shared" si="1798"/>
        <v>凡华云仓-城南圆通-抖音</v>
      </c>
      <c r="O5488" s="5" t="s">
        <v>5501</v>
      </c>
      <c r="P5488" s="6">
        <v>0.35</v>
      </c>
      <c r="Q5488" s="11">
        <v>2.2999999999999998</v>
      </c>
      <c r="R5488" s="11"/>
      <c r="S5488" s="11"/>
      <c r="T5488" s="11"/>
      <c r="U5488" s="11">
        <f t="shared" si="1779"/>
        <v>2.2999999999999998</v>
      </c>
      <c r="W5488">
        <v>2.5</v>
      </c>
      <c r="X5488" s="1" t="s">
        <v>16</v>
      </c>
    </row>
    <row r="5489" spans="1:24" x14ac:dyDescent="0.25">
      <c r="A5489" s="1" t="str">
        <f t="shared" si="1780"/>
        <v>卡卡杜-凤凰仓</v>
      </c>
      <c r="B5489" s="1" t="str">
        <f>"CK2024101919596"</f>
        <v>CK2024101919596</v>
      </c>
      <c r="C5489" s="1" t="str">
        <f>"DD2024101930357"</f>
        <v>DD2024101930357</v>
      </c>
      <c r="D5489" s="1" t="str">
        <f>"CK2024101920636"</f>
        <v>CK2024101920636</v>
      </c>
      <c r="E5489" s="1" t="str">
        <f>"6935183232944248385"</f>
        <v>6935183232944248385</v>
      </c>
      <c r="F5489" s="1" t="str">
        <f t="shared" si="1781"/>
        <v>花都四部-凤凰仓</v>
      </c>
      <c r="G5489" s="1" t="str">
        <f t="shared" si="1797"/>
        <v>卡卡杜个人护理店（抖店）</v>
      </c>
      <c r="H5489" s="1" t="str">
        <f t="shared" si="1782"/>
        <v>正常订单</v>
      </c>
      <c r="I5489" s="1" t="str">
        <f t="shared" si="1783"/>
        <v>已发货</v>
      </c>
      <c r="J5489" s="1" t="str">
        <f t="shared" si="1796"/>
        <v>3</v>
      </c>
      <c r="K5489" s="1">
        <v>2</v>
      </c>
      <c r="L5489" s="1" t="s">
        <v>20</v>
      </c>
      <c r="M5489" s="1" t="str">
        <f>"浙江省 丽水市 青田县 鹤城街道"</f>
        <v>浙江省 丽水市 青田县 鹤城街道</v>
      </c>
      <c r="N5489" s="1" t="str">
        <f t="shared" si="1798"/>
        <v>凡华云仓-城南圆通-抖音</v>
      </c>
      <c r="O5489" s="5" t="s">
        <v>5502</v>
      </c>
      <c r="P5489" s="6">
        <v>0.35</v>
      </c>
      <c r="Q5489" s="11">
        <v>2.2999999999999998</v>
      </c>
      <c r="R5489" s="11"/>
      <c r="S5489" s="11"/>
      <c r="T5489" s="11"/>
      <c r="U5489" s="11">
        <f t="shared" si="1779"/>
        <v>2.2999999999999998</v>
      </c>
      <c r="W5489">
        <v>2.5</v>
      </c>
      <c r="X5489" s="1" t="s">
        <v>20</v>
      </c>
    </row>
    <row r="5490" spans="1:24" x14ac:dyDescent="0.25">
      <c r="A5490" s="1" t="str">
        <f t="shared" si="1780"/>
        <v>卡卡杜-凤凰仓</v>
      </c>
      <c r="B5490" s="1" t="str">
        <f>"CK2024101919599"</f>
        <v>CK2024101919599</v>
      </c>
      <c r="C5490" s="1" t="str">
        <f>"DD2024101930358"</f>
        <v>DD2024101930358</v>
      </c>
      <c r="D5490" s="1" t="str">
        <f>"CK2024101920635"</f>
        <v>CK2024101920635</v>
      </c>
      <c r="E5490" s="1" t="str">
        <f>"6935200695264154737"</f>
        <v>6935200695264154737</v>
      </c>
      <c r="F5490" s="1" t="str">
        <f t="shared" si="1781"/>
        <v>花都四部-凤凰仓</v>
      </c>
      <c r="G5490" s="1" t="str">
        <f t="shared" si="1797"/>
        <v>卡卡杜个人护理店（抖店）</v>
      </c>
      <c r="H5490" s="1" t="str">
        <f t="shared" si="1782"/>
        <v>正常订单</v>
      </c>
      <c r="I5490" s="1" t="str">
        <f t="shared" si="1783"/>
        <v>已发货</v>
      </c>
      <c r="J5490" s="1" t="str">
        <f t="shared" si="1796"/>
        <v>3</v>
      </c>
      <c r="K5490" s="1">
        <v>2</v>
      </c>
      <c r="L5490" s="1" t="s">
        <v>24</v>
      </c>
      <c r="M5490" s="1" t="str">
        <f>"福建省 龙岩市 上杭县 临城镇"</f>
        <v>福建省 龙岩市 上杭县 临城镇</v>
      </c>
      <c r="N5490" s="1" t="str">
        <f t="shared" si="1798"/>
        <v>凡华云仓-城南圆通-抖音</v>
      </c>
      <c r="O5490" s="5" t="s">
        <v>5503</v>
      </c>
      <c r="P5490" s="6">
        <v>0.35</v>
      </c>
      <c r="Q5490" s="11">
        <v>2.2999999999999998</v>
      </c>
      <c r="R5490" s="11"/>
      <c r="S5490" s="11"/>
      <c r="T5490" s="11"/>
      <c r="U5490" s="11">
        <f t="shared" si="1779"/>
        <v>2.2999999999999998</v>
      </c>
      <c r="W5490">
        <v>2.5</v>
      </c>
      <c r="X5490" s="1" t="s">
        <v>24</v>
      </c>
    </row>
    <row r="5491" spans="1:24" x14ac:dyDescent="0.25">
      <c r="A5491" s="1" t="str">
        <f t="shared" si="1780"/>
        <v>卡卡杜-凤凰仓</v>
      </c>
      <c r="B5491" s="1" t="str">
        <f>"CK2024101919601"</f>
        <v>CK2024101919601</v>
      </c>
      <c r="C5491" s="1" t="str">
        <f>"DD2024101930360"</f>
        <v>DD2024101930360</v>
      </c>
      <c r="D5491" s="1" t="str">
        <f>"CK2024101920634"</f>
        <v>CK2024101920634</v>
      </c>
      <c r="E5491" s="1" t="str">
        <f>"6935196160864097916"</f>
        <v>6935196160864097916</v>
      </c>
      <c r="F5491" s="1" t="str">
        <f t="shared" si="1781"/>
        <v>花都四部-凤凰仓</v>
      </c>
      <c r="G5491" s="1" t="str">
        <f t="shared" si="1797"/>
        <v>卡卡杜个人护理店（抖店）</v>
      </c>
      <c r="H5491" s="1" t="str">
        <f t="shared" si="1782"/>
        <v>正常订单</v>
      </c>
      <c r="I5491" s="1" t="str">
        <f t="shared" si="1783"/>
        <v>已发货</v>
      </c>
      <c r="J5491" s="1" t="str">
        <f t="shared" si="1796"/>
        <v>3</v>
      </c>
      <c r="K5491" s="1">
        <v>2</v>
      </c>
      <c r="L5491" s="1" t="s">
        <v>60</v>
      </c>
      <c r="M5491" s="1" t="str">
        <f>"云南省 丽江市 玉龙纳西族自治县 "</f>
        <v xml:space="preserve">云南省 丽江市 玉龙纳西族自治县 </v>
      </c>
      <c r="N5491" s="1" t="str">
        <f t="shared" si="1798"/>
        <v>凡华云仓-城南圆通-抖音</v>
      </c>
      <c r="O5491" s="5" t="s">
        <v>5504</v>
      </c>
      <c r="P5491" s="6">
        <v>0.35</v>
      </c>
      <c r="Q5491" s="11">
        <v>2.2999999999999998</v>
      </c>
      <c r="R5491" s="11"/>
      <c r="S5491" s="11"/>
      <c r="T5491" s="11"/>
      <c r="U5491" s="11">
        <f t="shared" si="1779"/>
        <v>2.2999999999999998</v>
      </c>
      <c r="W5491">
        <v>2.5</v>
      </c>
      <c r="X5491" s="1" t="s">
        <v>60</v>
      </c>
    </row>
    <row r="5492" spans="1:24" x14ac:dyDescent="0.25">
      <c r="A5492" s="1" t="str">
        <f t="shared" si="1780"/>
        <v>卡卡杜-凤凰仓</v>
      </c>
      <c r="B5492" s="1" t="str">
        <f>"CK2024101919607"</f>
        <v>CK2024101919607</v>
      </c>
      <c r="C5492" s="1" t="str">
        <f>"DD2024101930366"</f>
        <v>DD2024101930366</v>
      </c>
      <c r="D5492" s="1" t="str">
        <f>"CK2024101920633"</f>
        <v>CK2024101920633</v>
      </c>
      <c r="E5492" s="1" t="str">
        <f>"6935180791255340549"</f>
        <v>6935180791255340549</v>
      </c>
      <c r="F5492" s="1" t="str">
        <f t="shared" si="1781"/>
        <v>花都四部-凤凰仓</v>
      </c>
      <c r="G5492" s="1" t="str">
        <f t="shared" si="1797"/>
        <v>卡卡杜个人护理店（抖店）</v>
      </c>
      <c r="H5492" s="1" t="str">
        <f t="shared" si="1782"/>
        <v>正常订单</v>
      </c>
      <c r="I5492" s="1" t="str">
        <f t="shared" si="1783"/>
        <v>已发货</v>
      </c>
      <c r="J5492" s="1" t="str">
        <f t="shared" si="1796"/>
        <v>3</v>
      </c>
      <c r="K5492" s="1">
        <v>2</v>
      </c>
      <c r="L5492" s="1" t="s">
        <v>13</v>
      </c>
      <c r="M5492" s="1" t="str">
        <f>"江苏省 无锡市 宜兴市 丁蜀镇"</f>
        <v>江苏省 无锡市 宜兴市 丁蜀镇</v>
      </c>
      <c r="N5492" s="1" t="str">
        <f t="shared" si="1798"/>
        <v>凡华云仓-城南圆通-抖音</v>
      </c>
      <c r="O5492" s="5" t="s">
        <v>5505</v>
      </c>
      <c r="P5492" s="6">
        <v>0.35</v>
      </c>
      <c r="Q5492" s="11">
        <v>2.2999999999999998</v>
      </c>
      <c r="R5492" s="11"/>
      <c r="S5492" s="11"/>
      <c r="T5492" s="11"/>
      <c r="U5492" s="11">
        <f t="shared" si="1779"/>
        <v>2.2999999999999998</v>
      </c>
      <c r="W5492">
        <v>2.5</v>
      </c>
      <c r="X5492" s="1" t="s">
        <v>13</v>
      </c>
    </row>
    <row r="5493" spans="1:24" x14ac:dyDescent="0.25">
      <c r="A5493" s="1" t="str">
        <f t="shared" si="1780"/>
        <v>卡卡杜-凤凰仓</v>
      </c>
      <c r="B5493" s="1" t="str">
        <f>"CK2024101919904"</f>
        <v>CK2024101919904</v>
      </c>
      <c r="C5493" s="1" t="str">
        <f>"DD2024101930700"</f>
        <v>DD2024101930700</v>
      </c>
      <c r="D5493" s="1" t="str">
        <f>"CK2024101920632"</f>
        <v>CK2024101920632</v>
      </c>
      <c r="E5493" s="1" t="str">
        <f>"6935180752527169191"</f>
        <v>6935180752527169191</v>
      </c>
      <c r="F5493" s="1" t="str">
        <f t="shared" si="1781"/>
        <v>花都四部-凤凰仓</v>
      </c>
      <c r="G5493" s="1" t="str">
        <f t="shared" si="1797"/>
        <v>卡卡杜个人护理店（抖店）</v>
      </c>
      <c r="H5493" s="1" t="str">
        <f t="shared" si="1782"/>
        <v>正常订单</v>
      </c>
      <c r="I5493" s="1" t="str">
        <f t="shared" si="1783"/>
        <v>已发货</v>
      </c>
      <c r="J5493" s="1" t="str">
        <f>"5"</f>
        <v>5</v>
      </c>
      <c r="K5493" s="1">
        <v>2</v>
      </c>
      <c r="L5493" s="1" t="s">
        <v>41</v>
      </c>
      <c r="M5493" s="1" t="str">
        <f>"湖北省 武汉市 江夏区 安山街道"</f>
        <v>湖北省 武汉市 江夏区 安山街道</v>
      </c>
      <c r="N5493" s="1" t="str">
        <f t="shared" si="1798"/>
        <v>凡华云仓-城南圆通-抖音</v>
      </c>
      <c r="O5493" s="5" t="s">
        <v>5506</v>
      </c>
      <c r="P5493" s="6">
        <v>0.59</v>
      </c>
      <c r="Q5493" s="11">
        <f>CEILING(P5493-0.5,0.1)*10*0.15+2.3</f>
        <v>2.4499999999999997</v>
      </c>
      <c r="R5493" s="11"/>
      <c r="S5493" s="11"/>
      <c r="T5493" s="11"/>
      <c r="U5493" s="11">
        <f t="shared" si="1779"/>
        <v>2.4499999999999997</v>
      </c>
      <c r="V5493" t="s">
        <v>15</v>
      </c>
      <c r="W5493">
        <v>2.4500000000000002</v>
      </c>
      <c r="X5493" s="1" t="s">
        <v>41</v>
      </c>
    </row>
    <row r="5494" spans="1:24" x14ac:dyDescent="0.25">
      <c r="A5494" s="1" t="str">
        <f t="shared" si="1780"/>
        <v>卡卡杜-凤凰仓</v>
      </c>
      <c r="B5494" s="1" t="str">
        <f>"CK2024101919611"</f>
        <v>CK2024101919611</v>
      </c>
      <c r="C5494" s="1" t="str">
        <f>"DD2024101930369"</f>
        <v>DD2024101930369</v>
      </c>
      <c r="D5494" s="1" t="str">
        <f>"CK2024101920631"</f>
        <v>CK2024101920631</v>
      </c>
      <c r="E5494" s="1" t="str">
        <f>"6935205272084551280"</f>
        <v>6935205272084551280</v>
      </c>
      <c r="F5494" s="1" t="str">
        <f t="shared" si="1781"/>
        <v>花都四部-凤凰仓</v>
      </c>
      <c r="G5494" s="1" t="str">
        <f t="shared" si="1797"/>
        <v>卡卡杜个人护理店（抖店）</v>
      </c>
      <c r="H5494" s="1" t="str">
        <f t="shared" si="1782"/>
        <v>正常订单</v>
      </c>
      <c r="I5494" s="1" t="str">
        <f t="shared" si="1783"/>
        <v>已发货</v>
      </c>
      <c r="J5494" s="1" t="str">
        <f t="shared" ref="J5494:J5497" si="1799">"3"</f>
        <v>3</v>
      </c>
      <c r="K5494" s="1">
        <v>2</v>
      </c>
      <c r="L5494" s="1" t="s">
        <v>13</v>
      </c>
      <c r="M5494" s="1" t="str">
        <f>"江苏省 南京市 鼓楼区 湖南路街道"</f>
        <v>江苏省 南京市 鼓楼区 湖南路街道</v>
      </c>
      <c r="N5494" s="1" t="str">
        <f t="shared" si="1798"/>
        <v>凡华云仓-城南圆通-抖音</v>
      </c>
      <c r="O5494" s="5" t="s">
        <v>5507</v>
      </c>
      <c r="P5494" s="6">
        <v>0.35</v>
      </c>
      <c r="Q5494" s="11">
        <v>2.2999999999999998</v>
      </c>
      <c r="R5494" s="11"/>
      <c r="S5494" s="11"/>
      <c r="T5494" s="11"/>
      <c r="U5494" s="11">
        <f t="shared" si="1779"/>
        <v>2.2999999999999998</v>
      </c>
      <c r="W5494">
        <v>2.5</v>
      </c>
      <c r="X5494" s="1" t="s">
        <v>13</v>
      </c>
    </row>
    <row r="5495" spans="1:24" x14ac:dyDescent="0.25">
      <c r="A5495" s="1" t="str">
        <f t="shared" si="1780"/>
        <v>卡卡杜-凤凰仓</v>
      </c>
      <c r="B5495" s="1" t="str">
        <f>"CK2024101919614"</f>
        <v>CK2024101919614</v>
      </c>
      <c r="C5495" s="1" t="str">
        <f>"DD2024101930373"</f>
        <v>DD2024101930373</v>
      </c>
      <c r="D5495" s="1" t="str">
        <f>"CK2024101920630"</f>
        <v>CK2024101920630</v>
      </c>
      <c r="E5495" s="1" t="str">
        <f>"6935176457964492262"</f>
        <v>6935176457964492262</v>
      </c>
      <c r="F5495" s="1" t="str">
        <f t="shared" si="1781"/>
        <v>花都四部-凤凰仓</v>
      </c>
      <c r="G5495" s="1" t="str">
        <f t="shared" si="1797"/>
        <v>卡卡杜个人护理店（抖店）</v>
      </c>
      <c r="H5495" s="1" t="str">
        <f t="shared" si="1782"/>
        <v>正常订单</v>
      </c>
      <c r="I5495" s="1" t="str">
        <f t="shared" si="1783"/>
        <v>已发货</v>
      </c>
      <c r="J5495" s="1" t="str">
        <f t="shared" si="1799"/>
        <v>3</v>
      </c>
      <c r="K5495" s="1">
        <v>2</v>
      </c>
      <c r="L5495" s="1" t="s">
        <v>187</v>
      </c>
      <c r="M5495" s="1" t="str">
        <f>"吉林省 长春市 榆树市 华昌街道"</f>
        <v>吉林省 长春市 榆树市 华昌街道</v>
      </c>
      <c r="N5495" s="1" t="str">
        <f t="shared" si="1798"/>
        <v>凡华云仓-城南圆通-抖音</v>
      </c>
      <c r="O5495" s="5" t="s">
        <v>5508</v>
      </c>
      <c r="P5495" s="6">
        <v>0.35</v>
      </c>
      <c r="Q5495" s="11">
        <v>2.2999999999999998</v>
      </c>
      <c r="R5495" s="11"/>
      <c r="S5495" s="11"/>
      <c r="T5495" s="11"/>
      <c r="U5495" s="11">
        <f t="shared" si="1779"/>
        <v>2.2999999999999998</v>
      </c>
      <c r="W5495">
        <v>2.5</v>
      </c>
      <c r="X5495" s="1" t="s">
        <v>187</v>
      </c>
    </row>
    <row r="5496" spans="1:24" x14ac:dyDescent="0.25">
      <c r="A5496" s="1" t="str">
        <f t="shared" si="1780"/>
        <v>卡卡杜-凤凰仓</v>
      </c>
      <c r="B5496" s="1" t="str">
        <f>"CK2024101919617"</f>
        <v>CK2024101919617</v>
      </c>
      <c r="C5496" s="1" t="str">
        <f>"DD2024101930374"</f>
        <v>DD2024101930374</v>
      </c>
      <c r="D5496" s="1" t="str">
        <f>"CK2024101920629"</f>
        <v>CK2024101920629</v>
      </c>
      <c r="E5496" s="1" t="str">
        <f>"6935207382093797038"</f>
        <v>6935207382093797038</v>
      </c>
      <c r="F5496" s="1" t="str">
        <f t="shared" si="1781"/>
        <v>花都四部-凤凰仓</v>
      </c>
      <c r="G5496" s="1" t="str">
        <f t="shared" si="1797"/>
        <v>卡卡杜个人护理店（抖店）</v>
      </c>
      <c r="H5496" s="1" t="str">
        <f t="shared" si="1782"/>
        <v>正常订单</v>
      </c>
      <c r="I5496" s="1" t="str">
        <f t="shared" si="1783"/>
        <v>已发货</v>
      </c>
      <c r="J5496" s="1" t="str">
        <f t="shared" si="1799"/>
        <v>3</v>
      </c>
      <c r="K5496" s="1">
        <v>2</v>
      </c>
      <c r="L5496" s="1" t="s">
        <v>20</v>
      </c>
      <c r="M5496" s="1" t="str">
        <f>"浙江省 丽水市 云和县 白龙山街道"</f>
        <v>浙江省 丽水市 云和县 白龙山街道</v>
      </c>
      <c r="N5496" s="1" t="str">
        <f t="shared" si="1798"/>
        <v>凡华云仓-城南圆通-抖音</v>
      </c>
      <c r="O5496" s="5" t="s">
        <v>5509</v>
      </c>
      <c r="P5496" s="6">
        <v>0.35</v>
      </c>
      <c r="Q5496" s="11">
        <v>2.2999999999999998</v>
      </c>
      <c r="R5496" s="11"/>
      <c r="S5496" s="11"/>
      <c r="T5496" s="11"/>
      <c r="U5496" s="11">
        <f t="shared" si="1779"/>
        <v>2.2999999999999998</v>
      </c>
      <c r="W5496">
        <v>2.5</v>
      </c>
      <c r="X5496" s="1" t="s">
        <v>20</v>
      </c>
    </row>
    <row r="5497" spans="1:24" x14ac:dyDescent="0.25">
      <c r="A5497" s="1" t="str">
        <f t="shared" si="1780"/>
        <v>卡卡杜-凤凰仓</v>
      </c>
      <c r="B5497" s="1" t="str">
        <f>"CK2024101919619"</f>
        <v>CK2024101919619</v>
      </c>
      <c r="C5497" s="1" t="str">
        <f>"DD2024101930378"</f>
        <v>DD2024101930378</v>
      </c>
      <c r="D5497" s="1" t="str">
        <f>"CK2024101920628"</f>
        <v>CK2024101920628</v>
      </c>
      <c r="E5497" s="1" t="str">
        <f>"6935185134086264343"</f>
        <v>6935185134086264343</v>
      </c>
      <c r="F5497" s="1" t="str">
        <f t="shared" si="1781"/>
        <v>花都四部-凤凰仓</v>
      </c>
      <c r="G5497" s="1" t="str">
        <f t="shared" si="1797"/>
        <v>卡卡杜个人护理店（抖店）</v>
      </c>
      <c r="H5497" s="1" t="str">
        <f t="shared" si="1782"/>
        <v>正常订单</v>
      </c>
      <c r="I5497" s="1" t="str">
        <f t="shared" si="1783"/>
        <v>已发货</v>
      </c>
      <c r="J5497" s="1" t="str">
        <f t="shared" si="1799"/>
        <v>3</v>
      </c>
      <c r="K5497" s="1">
        <v>2</v>
      </c>
      <c r="L5497" s="1" t="s">
        <v>32</v>
      </c>
      <c r="M5497" s="1" t="str">
        <f>"陕西省 西安市 碑林区 长安路街道"</f>
        <v>陕西省 西安市 碑林区 长安路街道</v>
      </c>
      <c r="N5497" s="1" t="str">
        <f t="shared" si="1798"/>
        <v>凡华云仓-城南圆通-抖音</v>
      </c>
      <c r="O5497" s="5" t="s">
        <v>5510</v>
      </c>
      <c r="P5497" s="6">
        <v>0.35</v>
      </c>
      <c r="Q5497" s="11">
        <v>2.2999999999999998</v>
      </c>
      <c r="R5497" s="11"/>
      <c r="S5497" s="11"/>
      <c r="T5497" s="11"/>
      <c r="U5497" s="11">
        <f t="shared" si="1779"/>
        <v>2.2999999999999998</v>
      </c>
      <c r="W5497">
        <v>2.5</v>
      </c>
      <c r="X5497" s="1" t="s">
        <v>32</v>
      </c>
    </row>
    <row r="5498" spans="1:24" x14ac:dyDescent="0.25">
      <c r="A5498" s="1" t="str">
        <f t="shared" si="1780"/>
        <v>卡卡杜-凤凰仓</v>
      </c>
      <c r="B5498" s="1" t="str">
        <f>"CK2024101919910"</f>
        <v>CK2024101919910</v>
      </c>
      <c r="C5498" s="1" t="str">
        <f>"DD2024101930707"</f>
        <v>DD2024101930707</v>
      </c>
      <c r="D5498" s="1" t="str">
        <f>"CK2024101920627"</f>
        <v>CK2024101920627</v>
      </c>
      <c r="E5498" s="1" t="str">
        <f>"6935198285556749793"</f>
        <v>6935198285556749793</v>
      </c>
      <c r="F5498" s="1" t="str">
        <f t="shared" si="1781"/>
        <v>花都四部-凤凰仓</v>
      </c>
      <c r="G5498" s="1" t="str">
        <f t="shared" si="1797"/>
        <v>卡卡杜个人护理店（抖店）</v>
      </c>
      <c r="H5498" s="1" t="str">
        <f t="shared" si="1782"/>
        <v>正常订单</v>
      </c>
      <c r="I5498" s="1" t="str">
        <f t="shared" si="1783"/>
        <v>已发货</v>
      </c>
      <c r="J5498" s="1" t="str">
        <f>"5"</f>
        <v>5</v>
      </c>
      <c r="K5498" s="1">
        <v>2</v>
      </c>
      <c r="L5498" s="1" t="s">
        <v>80</v>
      </c>
      <c r="M5498" s="1" t="str">
        <f>"河南省 三门峡市 湖滨区 车站街道"</f>
        <v>河南省 三门峡市 湖滨区 车站街道</v>
      </c>
      <c r="N5498" s="1" t="str">
        <f t="shared" si="1798"/>
        <v>凡华云仓-城南圆通-抖音</v>
      </c>
      <c r="O5498" s="5" t="s">
        <v>5511</v>
      </c>
      <c r="P5498" s="6">
        <v>0.59</v>
      </c>
      <c r="Q5498" s="11">
        <f>CEILING(P5498-0.5,0.1)*10*0.15+2.3</f>
        <v>2.4499999999999997</v>
      </c>
      <c r="R5498" s="11"/>
      <c r="S5498" s="11"/>
      <c r="T5498" s="11"/>
      <c r="U5498" s="11">
        <f t="shared" si="1779"/>
        <v>2.4499999999999997</v>
      </c>
      <c r="V5498" t="s">
        <v>15</v>
      </c>
      <c r="W5498">
        <v>2.4500000000000002</v>
      </c>
      <c r="X5498" s="1" t="s">
        <v>80</v>
      </c>
    </row>
    <row r="5499" spans="1:24" x14ac:dyDescent="0.25">
      <c r="A5499" s="1" t="str">
        <f t="shared" si="1780"/>
        <v>卡卡杜-凤凰仓</v>
      </c>
      <c r="B5499" s="1" t="str">
        <f>"CK2024101919623"</f>
        <v>CK2024101919623</v>
      </c>
      <c r="C5499" s="1" t="str">
        <f>"DD2024101930383"</f>
        <v>DD2024101930383</v>
      </c>
      <c r="D5499" s="1" t="str">
        <f>"CK2024101920626"</f>
        <v>CK2024101920626</v>
      </c>
      <c r="E5499" s="1" t="str">
        <f>"6935189183229203918"</f>
        <v>6935189183229203918</v>
      </c>
      <c r="F5499" s="1" t="str">
        <f t="shared" si="1781"/>
        <v>花都四部-凤凰仓</v>
      </c>
      <c r="G5499" s="1" t="str">
        <f t="shared" si="1797"/>
        <v>卡卡杜个人护理店（抖店）</v>
      </c>
      <c r="H5499" s="1" t="str">
        <f t="shared" si="1782"/>
        <v>正常订单</v>
      </c>
      <c r="I5499" s="1" t="str">
        <f t="shared" si="1783"/>
        <v>已发货</v>
      </c>
      <c r="J5499" s="1" t="str">
        <f t="shared" ref="J5499:J5513" si="1800">"3"</f>
        <v>3</v>
      </c>
      <c r="K5499" s="1">
        <v>2</v>
      </c>
      <c r="L5499" s="1" t="s">
        <v>13</v>
      </c>
      <c r="M5499" s="1" t="str">
        <f>"江苏省 南通市 通州区 川姜镇"</f>
        <v>江苏省 南通市 通州区 川姜镇</v>
      </c>
      <c r="N5499" s="1" t="str">
        <f t="shared" si="1798"/>
        <v>凡华云仓-城南圆通-抖音</v>
      </c>
      <c r="O5499" s="5" t="s">
        <v>5512</v>
      </c>
      <c r="P5499" s="6">
        <v>0.35</v>
      </c>
      <c r="Q5499" s="11">
        <v>2.2999999999999998</v>
      </c>
      <c r="R5499" s="11"/>
      <c r="S5499" s="11"/>
      <c r="T5499" s="11"/>
      <c r="U5499" s="11">
        <f t="shared" si="1779"/>
        <v>2.2999999999999998</v>
      </c>
      <c r="W5499">
        <v>2.5</v>
      </c>
      <c r="X5499" s="1" t="s">
        <v>13</v>
      </c>
    </row>
    <row r="5500" spans="1:24" x14ac:dyDescent="0.25">
      <c r="A5500" s="1" t="str">
        <f t="shared" si="1780"/>
        <v>卡卡杜-凤凰仓</v>
      </c>
      <c r="B5500" s="1" t="str">
        <f>"CK2024101919626"</f>
        <v>CK2024101919626</v>
      </c>
      <c r="C5500" s="1" t="str">
        <f>"DD2024101930385"</f>
        <v>DD2024101930385</v>
      </c>
      <c r="D5500" s="1" t="str">
        <f>"CK2024101920625"</f>
        <v>CK2024101920625</v>
      </c>
      <c r="E5500" s="1" t="str">
        <f>"6935180538210752323"</f>
        <v>6935180538210752323</v>
      </c>
      <c r="F5500" s="1" t="str">
        <f t="shared" si="1781"/>
        <v>花都四部-凤凰仓</v>
      </c>
      <c r="G5500" s="1" t="str">
        <f t="shared" si="1797"/>
        <v>卡卡杜个人护理店（抖店）</v>
      </c>
      <c r="H5500" s="1" t="str">
        <f t="shared" si="1782"/>
        <v>正常订单</v>
      </c>
      <c r="I5500" s="1" t="str">
        <f t="shared" si="1783"/>
        <v>已发货</v>
      </c>
      <c r="J5500" s="1" t="str">
        <f t="shared" si="1800"/>
        <v>3</v>
      </c>
      <c r="K5500" s="1">
        <v>2</v>
      </c>
      <c r="L5500" s="1" t="s">
        <v>41</v>
      </c>
      <c r="M5500" s="1" t="str">
        <f>"湖北省 武汉市 蔡甸区 蔡甸街道"</f>
        <v>湖北省 武汉市 蔡甸区 蔡甸街道</v>
      </c>
      <c r="N5500" s="1" t="str">
        <f t="shared" si="1798"/>
        <v>凡华云仓-城南圆通-抖音</v>
      </c>
      <c r="O5500" s="5" t="s">
        <v>5513</v>
      </c>
      <c r="P5500" s="6">
        <v>0.35</v>
      </c>
      <c r="Q5500" s="11">
        <v>2.2999999999999998</v>
      </c>
      <c r="R5500" s="11"/>
      <c r="S5500" s="11"/>
      <c r="T5500" s="11"/>
      <c r="U5500" s="11">
        <f t="shared" si="1779"/>
        <v>2.2999999999999998</v>
      </c>
      <c r="W5500">
        <v>2.5</v>
      </c>
      <c r="X5500" s="1" t="s">
        <v>41</v>
      </c>
    </row>
    <row r="5501" spans="1:24" x14ac:dyDescent="0.25">
      <c r="A5501" s="1" t="str">
        <f t="shared" si="1780"/>
        <v>卡卡杜-凤凰仓</v>
      </c>
      <c r="B5501" s="1" t="str">
        <f>"CK2024101919715"</f>
        <v>CK2024101919715</v>
      </c>
      <c r="C5501" s="1" t="str">
        <f>"DD2024101930474"</f>
        <v>DD2024101930474</v>
      </c>
      <c r="D5501" s="1" t="str">
        <f>"CK2024101920624"</f>
        <v>CK2024101920624</v>
      </c>
      <c r="E5501" s="1" t="str">
        <f>"6935180377090037037"</f>
        <v>6935180377090037037</v>
      </c>
      <c r="F5501" s="1" t="str">
        <f t="shared" si="1781"/>
        <v>花都四部-凤凰仓</v>
      </c>
      <c r="G5501" s="1" t="str">
        <f t="shared" si="1797"/>
        <v>卡卡杜个人护理店（抖店）</v>
      </c>
      <c r="H5501" s="1" t="str">
        <f t="shared" si="1782"/>
        <v>正常订单</v>
      </c>
      <c r="I5501" s="1" t="str">
        <f t="shared" si="1783"/>
        <v>已发货</v>
      </c>
      <c r="J5501" s="1" t="str">
        <f t="shared" si="1800"/>
        <v>3</v>
      </c>
      <c r="K5501" s="1">
        <v>3</v>
      </c>
      <c r="L5501" s="1" t="s">
        <v>74</v>
      </c>
      <c r="M5501" s="1" t="str">
        <f>"上海 上海市 宝山区 杨行镇"</f>
        <v>上海 上海市 宝山区 杨行镇</v>
      </c>
      <c r="N5501" s="1" t="str">
        <f t="shared" si="1798"/>
        <v>凡华云仓-城南圆通-抖音</v>
      </c>
      <c r="O5501" s="5" t="s">
        <v>5514</v>
      </c>
      <c r="P5501" s="6">
        <v>0.34</v>
      </c>
      <c r="Q5501" s="11">
        <v>2.2999999999999998</v>
      </c>
      <c r="R5501" s="11"/>
      <c r="S5501" s="11"/>
      <c r="T5501" s="11"/>
      <c r="U5501" s="11">
        <f t="shared" si="1779"/>
        <v>2.2999999999999998</v>
      </c>
      <c r="W5501">
        <v>2.5</v>
      </c>
      <c r="X5501" s="1" t="s">
        <v>74</v>
      </c>
    </row>
    <row r="5502" spans="1:24" x14ac:dyDescent="0.25">
      <c r="A5502" s="1" t="str">
        <f t="shared" si="1780"/>
        <v>卡卡杜-凤凰仓</v>
      </c>
      <c r="B5502" s="1" t="str">
        <f>"CK2024101919717"</f>
        <v>CK2024101919717</v>
      </c>
      <c r="C5502" s="1" t="str">
        <f>"DD2024101930476"</f>
        <v>DD2024101930476</v>
      </c>
      <c r="D5502" s="1" t="str">
        <f>"CK2024101920623"</f>
        <v>CK2024101920623</v>
      </c>
      <c r="E5502" s="1" t="str">
        <f>"6935204918957774621"</f>
        <v>6935204918957774621</v>
      </c>
      <c r="F5502" s="1" t="str">
        <f t="shared" si="1781"/>
        <v>花都四部-凤凰仓</v>
      </c>
      <c r="G5502" s="1" t="str">
        <f t="shared" si="1797"/>
        <v>卡卡杜个人护理店（抖店）</v>
      </c>
      <c r="H5502" s="1" t="str">
        <f t="shared" si="1782"/>
        <v>正常订单</v>
      </c>
      <c r="I5502" s="1" t="str">
        <f t="shared" si="1783"/>
        <v>已发货</v>
      </c>
      <c r="J5502" s="1" t="str">
        <f t="shared" si="1800"/>
        <v>3</v>
      </c>
      <c r="K5502" s="1">
        <v>2</v>
      </c>
      <c r="L5502" s="1" t="s">
        <v>20</v>
      </c>
      <c r="M5502" s="1" t="str">
        <f>"浙江省 温州市 瓯海区 瞿溪街道"</f>
        <v>浙江省 温州市 瓯海区 瞿溪街道</v>
      </c>
      <c r="N5502" s="1" t="str">
        <f t="shared" si="1798"/>
        <v>凡华云仓-城南圆通-抖音</v>
      </c>
      <c r="O5502" s="5" t="s">
        <v>5515</v>
      </c>
      <c r="P5502" s="6">
        <v>0.35</v>
      </c>
      <c r="Q5502" s="11">
        <v>2.2999999999999998</v>
      </c>
      <c r="R5502" s="11"/>
      <c r="S5502" s="11"/>
      <c r="T5502" s="11"/>
      <c r="U5502" s="11">
        <f t="shared" si="1779"/>
        <v>2.2999999999999998</v>
      </c>
      <c r="W5502">
        <v>2.5</v>
      </c>
      <c r="X5502" s="1" t="s">
        <v>20</v>
      </c>
    </row>
    <row r="5503" spans="1:24" x14ac:dyDescent="0.25">
      <c r="A5503" s="1" t="str">
        <f t="shared" si="1780"/>
        <v>卡卡杜-凤凰仓</v>
      </c>
      <c r="B5503" s="1" t="str">
        <f>"CK2024101919718"</f>
        <v>CK2024101919718</v>
      </c>
      <c r="C5503" s="1" t="str">
        <f>"DD2024101930477"</f>
        <v>DD2024101930477</v>
      </c>
      <c r="D5503" s="1" t="str">
        <f>"CK2024101920622"</f>
        <v>CK2024101920622</v>
      </c>
      <c r="E5503" s="1" t="str">
        <f>"6935184885162645164"</f>
        <v>6935184885162645164</v>
      </c>
      <c r="F5503" s="1" t="str">
        <f t="shared" si="1781"/>
        <v>花都四部-凤凰仓</v>
      </c>
      <c r="G5503" s="1" t="str">
        <f t="shared" si="1797"/>
        <v>卡卡杜个人护理店（抖店）</v>
      </c>
      <c r="H5503" s="1" t="str">
        <f t="shared" si="1782"/>
        <v>正常订单</v>
      </c>
      <c r="I5503" s="1" t="str">
        <f t="shared" si="1783"/>
        <v>已发货</v>
      </c>
      <c r="J5503" s="1" t="str">
        <f t="shared" si="1800"/>
        <v>3</v>
      </c>
      <c r="K5503" s="1">
        <v>2</v>
      </c>
      <c r="L5503" s="1" t="s">
        <v>13</v>
      </c>
      <c r="M5503" s="1" t="str">
        <f>"江苏省 镇江市 扬中市 三茅街道"</f>
        <v>江苏省 镇江市 扬中市 三茅街道</v>
      </c>
      <c r="N5503" s="1" t="str">
        <f t="shared" si="1798"/>
        <v>凡华云仓-城南圆通-抖音</v>
      </c>
      <c r="O5503" s="5" t="s">
        <v>5516</v>
      </c>
      <c r="P5503" s="6">
        <v>0.35</v>
      </c>
      <c r="Q5503" s="11">
        <v>2.2999999999999998</v>
      </c>
      <c r="R5503" s="11"/>
      <c r="S5503" s="11"/>
      <c r="T5503" s="11"/>
      <c r="U5503" s="11">
        <f t="shared" si="1779"/>
        <v>2.2999999999999998</v>
      </c>
      <c r="W5503">
        <v>2.5</v>
      </c>
      <c r="X5503" s="1" t="s">
        <v>13</v>
      </c>
    </row>
    <row r="5504" spans="1:24" x14ac:dyDescent="0.25">
      <c r="A5504" s="1" t="str">
        <f t="shared" si="1780"/>
        <v>卡卡杜-凤凰仓</v>
      </c>
      <c r="B5504" s="1" t="str">
        <f>"CK2024101919719"</f>
        <v>CK2024101919719</v>
      </c>
      <c r="C5504" s="1" t="str">
        <f>"DD2024101930478"</f>
        <v>DD2024101930478</v>
      </c>
      <c r="D5504" s="1" t="str">
        <f>"CK2024101920621"</f>
        <v>CK2024101920621</v>
      </c>
      <c r="E5504" s="1" t="str">
        <f>"6935176177926411719"</f>
        <v>6935176177926411719</v>
      </c>
      <c r="F5504" s="1" t="str">
        <f t="shared" si="1781"/>
        <v>花都四部-凤凰仓</v>
      </c>
      <c r="G5504" s="1" t="str">
        <f t="shared" si="1797"/>
        <v>卡卡杜个人护理店（抖店）</v>
      </c>
      <c r="H5504" s="1" t="str">
        <f t="shared" si="1782"/>
        <v>正常订单</v>
      </c>
      <c r="I5504" s="1" t="str">
        <f t="shared" si="1783"/>
        <v>已发货</v>
      </c>
      <c r="J5504" s="1" t="str">
        <f t="shared" si="1800"/>
        <v>3</v>
      </c>
      <c r="K5504" s="1">
        <v>2</v>
      </c>
      <c r="L5504" s="1" t="s">
        <v>60</v>
      </c>
      <c r="M5504" s="1" t="str">
        <f>"云南省 文山壮族苗族自治州 文山市 新平街道"</f>
        <v>云南省 文山壮族苗族自治州 文山市 新平街道</v>
      </c>
      <c r="N5504" s="1" t="str">
        <f t="shared" si="1798"/>
        <v>凡华云仓-城南圆通-抖音</v>
      </c>
      <c r="O5504" s="5" t="s">
        <v>5517</v>
      </c>
      <c r="P5504" s="6">
        <v>0.35</v>
      </c>
      <c r="Q5504" s="11">
        <v>2.2999999999999998</v>
      </c>
      <c r="R5504" s="11"/>
      <c r="S5504" s="11"/>
      <c r="T5504" s="11"/>
      <c r="U5504" s="11">
        <f t="shared" si="1779"/>
        <v>2.2999999999999998</v>
      </c>
      <c r="W5504">
        <v>2.5</v>
      </c>
      <c r="X5504" s="1" t="s">
        <v>60</v>
      </c>
    </row>
    <row r="5505" spans="1:24" x14ac:dyDescent="0.25">
      <c r="A5505" s="1" t="str">
        <f t="shared" si="1780"/>
        <v>卡卡杜-凤凰仓</v>
      </c>
      <c r="B5505" s="1" t="str">
        <f>"CK2024101919721"</f>
        <v>CK2024101919721</v>
      </c>
      <c r="C5505" s="1" t="str">
        <f>"DD2024101930479"</f>
        <v>DD2024101930479</v>
      </c>
      <c r="D5505" s="1" t="str">
        <f>"CK2024101920620"</f>
        <v>CK2024101920620</v>
      </c>
      <c r="E5505" s="1" t="str">
        <f>"6935193200976860383"</f>
        <v>6935193200976860383</v>
      </c>
      <c r="F5505" s="1" t="str">
        <f t="shared" si="1781"/>
        <v>花都四部-凤凰仓</v>
      </c>
      <c r="G5505" s="1" t="str">
        <f t="shared" si="1797"/>
        <v>卡卡杜个人护理店（抖店）</v>
      </c>
      <c r="H5505" s="1" t="str">
        <f t="shared" si="1782"/>
        <v>正常订单</v>
      </c>
      <c r="I5505" s="1" t="str">
        <f t="shared" si="1783"/>
        <v>已发货</v>
      </c>
      <c r="J5505" s="1" t="str">
        <f t="shared" si="1800"/>
        <v>3</v>
      </c>
      <c r="K5505" s="1">
        <v>2</v>
      </c>
      <c r="L5505" s="1" t="s">
        <v>36</v>
      </c>
      <c r="M5505" s="1" t="str">
        <f>"安徽省 六安市 叶集区 史河街道"</f>
        <v>安徽省 六安市 叶集区 史河街道</v>
      </c>
      <c r="N5505" s="1" t="str">
        <f t="shared" si="1798"/>
        <v>凡华云仓-城南圆通-抖音</v>
      </c>
      <c r="O5505" s="5" t="s">
        <v>5518</v>
      </c>
      <c r="P5505" s="6">
        <v>0.35</v>
      </c>
      <c r="Q5505" s="11">
        <v>2.2999999999999998</v>
      </c>
      <c r="R5505" s="11"/>
      <c r="S5505" s="11"/>
      <c r="T5505" s="11"/>
      <c r="U5505" s="11">
        <f t="shared" si="1779"/>
        <v>2.2999999999999998</v>
      </c>
      <c r="W5505">
        <v>2.5</v>
      </c>
      <c r="X5505" s="1" t="s">
        <v>36</v>
      </c>
    </row>
    <row r="5506" spans="1:24" x14ac:dyDescent="0.25">
      <c r="A5506" s="1" t="str">
        <f t="shared" si="1780"/>
        <v>卡卡杜-凤凰仓</v>
      </c>
      <c r="B5506" s="1" t="str">
        <f>"CK2024101919722"</f>
        <v>CK2024101919722</v>
      </c>
      <c r="C5506" s="1" t="str">
        <f>"DD2024101930480"</f>
        <v>DD2024101930480</v>
      </c>
      <c r="D5506" s="1" t="str">
        <f>"CK2024101920619"</f>
        <v>CK2024101920619</v>
      </c>
      <c r="E5506" s="1" t="str">
        <f>"6935193290439791819"</f>
        <v>6935193290439791819</v>
      </c>
      <c r="F5506" s="1" t="str">
        <f t="shared" si="1781"/>
        <v>花都四部-凤凰仓</v>
      </c>
      <c r="G5506" s="1" t="str">
        <f t="shared" si="1797"/>
        <v>卡卡杜个人护理店（抖店）</v>
      </c>
      <c r="H5506" s="1" t="str">
        <f t="shared" si="1782"/>
        <v>正常订单</v>
      </c>
      <c r="I5506" s="1" t="str">
        <f t="shared" si="1783"/>
        <v>已发货</v>
      </c>
      <c r="J5506" s="1" t="str">
        <f t="shared" si="1800"/>
        <v>3</v>
      </c>
      <c r="K5506" s="1">
        <v>2</v>
      </c>
      <c r="L5506" s="1" t="s">
        <v>20</v>
      </c>
      <c r="M5506" s="1" t="str">
        <f>"浙江省 温州市 瑞安市 "</f>
        <v xml:space="preserve">浙江省 温州市 瑞安市 </v>
      </c>
      <c r="N5506" s="1" t="str">
        <f t="shared" si="1798"/>
        <v>凡华云仓-城南圆通-抖音</v>
      </c>
      <c r="O5506" s="5" t="s">
        <v>5519</v>
      </c>
      <c r="P5506" s="6">
        <v>0.35</v>
      </c>
      <c r="Q5506" s="11">
        <v>2.2999999999999998</v>
      </c>
      <c r="R5506" s="11"/>
      <c r="S5506" s="11"/>
      <c r="T5506" s="11"/>
      <c r="U5506" s="11">
        <f t="shared" si="1779"/>
        <v>2.2999999999999998</v>
      </c>
      <c r="W5506">
        <v>2.5</v>
      </c>
      <c r="X5506" s="1" t="s">
        <v>20</v>
      </c>
    </row>
    <row r="5507" spans="1:24" x14ac:dyDescent="0.25">
      <c r="A5507" s="1" t="str">
        <f t="shared" si="1780"/>
        <v>卡卡杜-凤凰仓</v>
      </c>
      <c r="B5507" s="1" t="str">
        <f>"CK2024101919723"</f>
        <v>CK2024101919723</v>
      </c>
      <c r="C5507" s="1" t="str">
        <f>"DD2024101930481"</f>
        <v>DD2024101930481</v>
      </c>
      <c r="D5507" s="1" t="str">
        <f>"CK2024101920618"</f>
        <v>CK2024101920618</v>
      </c>
      <c r="E5507" s="1" t="str">
        <f>"6935188707108132402"</f>
        <v>6935188707108132402</v>
      </c>
      <c r="F5507" s="1" t="str">
        <f t="shared" si="1781"/>
        <v>花都四部-凤凰仓</v>
      </c>
      <c r="G5507" s="1" t="str">
        <f t="shared" si="1797"/>
        <v>卡卡杜个人护理店（抖店）</v>
      </c>
      <c r="H5507" s="1" t="str">
        <f t="shared" si="1782"/>
        <v>正常订单</v>
      </c>
      <c r="I5507" s="1" t="str">
        <f t="shared" si="1783"/>
        <v>已发货</v>
      </c>
      <c r="J5507" s="1" t="str">
        <f t="shared" si="1800"/>
        <v>3</v>
      </c>
      <c r="K5507" s="1">
        <v>2</v>
      </c>
      <c r="L5507" s="1" t="s">
        <v>109</v>
      </c>
      <c r="M5507" s="1" t="str">
        <f>"山西省 大同市 灵丘县 武灵镇"</f>
        <v>山西省 大同市 灵丘县 武灵镇</v>
      </c>
      <c r="N5507" s="1" t="str">
        <f t="shared" si="1798"/>
        <v>凡华云仓-城南圆通-抖音</v>
      </c>
      <c r="O5507" s="5" t="s">
        <v>5520</v>
      </c>
      <c r="P5507" s="6">
        <v>0.35</v>
      </c>
      <c r="Q5507" s="11">
        <v>2.2999999999999998</v>
      </c>
      <c r="R5507" s="11"/>
      <c r="S5507" s="11"/>
      <c r="T5507" s="11"/>
      <c r="U5507" s="11">
        <f t="shared" ref="U5507:U5570" si="1801">T5507+S5507+R5507+Q5507</f>
        <v>2.2999999999999998</v>
      </c>
      <c r="W5507">
        <v>2.5</v>
      </c>
      <c r="X5507" s="1" t="s">
        <v>109</v>
      </c>
    </row>
    <row r="5508" spans="1:24" x14ac:dyDescent="0.25">
      <c r="A5508" s="1" t="str">
        <f t="shared" si="1780"/>
        <v>卡卡杜-凤凰仓</v>
      </c>
      <c r="B5508" s="1" t="str">
        <f>"CK2024101919724"</f>
        <v>CK2024101919724</v>
      </c>
      <c r="C5508" s="1" t="str">
        <f>"DD2024101930482"</f>
        <v>DD2024101930482</v>
      </c>
      <c r="D5508" s="1" t="str">
        <f>"CK2024101920617"</f>
        <v>CK2024101920617</v>
      </c>
      <c r="E5508" s="1" t="str">
        <f>"6935182634593031850"</f>
        <v>6935182634593031850</v>
      </c>
      <c r="F5508" s="1" t="str">
        <f t="shared" si="1781"/>
        <v>花都四部-凤凰仓</v>
      </c>
      <c r="G5508" s="1" t="str">
        <f t="shared" si="1797"/>
        <v>卡卡杜个人护理店（抖店）</v>
      </c>
      <c r="H5508" s="1" t="str">
        <f t="shared" si="1782"/>
        <v>正常订单</v>
      </c>
      <c r="I5508" s="1" t="str">
        <f t="shared" si="1783"/>
        <v>已发货</v>
      </c>
      <c r="J5508" s="1" t="str">
        <f t="shared" si="1800"/>
        <v>3</v>
      </c>
      <c r="K5508" s="1">
        <v>2</v>
      </c>
      <c r="L5508" s="1" t="s">
        <v>161</v>
      </c>
      <c r="M5508" s="1" t="str">
        <f>"四川省 成都市 龙泉驿区 龙泉街道"</f>
        <v>四川省 成都市 龙泉驿区 龙泉街道</v>
      </c>
      <c r="N5508" s="1" t="str">
        <f t="shared" si="1798"/>
        <v>凡华云仓-城南圆通-抖音</v>
      </c>
      <c r="O5508" s="5" t="s">
        <v>5521</v>
      </c>
      <c r="P5508" s="6">
        <v>0.35</v>
      </c>
      <c r="Q5508" s="11">
        <v>2.2999999999999998</v>
      </c>
      <c r="R5508" s="11"/>
      <c r="S5508" s="11"/>
      <c r="T5508" s="11"/>
      <c r="U5508" s="11">
        <f t="shared" si="1801"/>
        <v>2.2999999999999998</v>
      </c>
      <c r="W5508">
        <v>2.5</v>
      </c>
      <c r="X5508" s="1" t="s">
        <v>161</v>
      </c>
    </row>
    <row r="5509" spans="1:24" x14ac:dyDescent="0.25">
      <c r="A5509" s="1" t="str">
        <f t="shared" ref="A5509:A5572" si="1802">"卡卡杜-凤凰仓"</f>
        <v>卡卡杜-凤凰仓</v>
      </c>
      <c r="B5509" s="1" t="str">
        <f>"CK2024101919726"</f>
        <v>CK2024101919726</v>
      </c>
      <c r="C5509" s="1" t="str">
        <f>"DD2024101930484"</f>
        <v>DD2024101930484</v>
      </c>
      <c r="D5509" s="1" t="str">
        <f>"CK2024101920616"</f>
        <v>CK2024101920616</v>
      </c>
      <c r="E5509" s="1" t="str">
        <f>"6935186464328193428"</f>
        <v>6935186464328193428</v>
      </c>
      <c r="F5509" s="1" t="str">
        <f t="shared" ref="F5509:F5572" si="1803">"花都四部-凤凰仓"</f>
        <v>花都四部-凤凰仓</v>
      </c>
      <c r="G5509" s="1" t="str">
        <f t="shared" si="1797"/>
        <v>卡卡杜个人护理店（抖店）</v>
      </c>
      <c r="H5509" s="1" t="str">
        <f t="shared" ref="H5509:H5572" si="1804">"正常订单"</f>
        <v>正常订单</v>
      </c>
      <c r="I5509" s="1" t="str">
        <f t="shared" ref="I5509:I5572" si="1805">"已发货"</f>
        <v>已发货</v>
      </c>
      <c r="J5509" s="1" t="str">
        <f t="shared" si="1800"/>
        <v>3</v>
      </c>
      <c r="K5509" s="1">
        <v>2</v>
      </c>
      <c r="L5509" s="1" t="s">
        <v>13</v>
      </c>
      <c r="M5509" s="1" t="str">
        <f>"江苏省 南京市 江宁区 秣陵街道"</f>
        <v>江苏省 南京市 江宁区 秣陵街道</v>
      </c>
      <c r="N5509" s="1" t="str">
        <f t="shared" si="1798"/>
        <v>凡华云仓-城南圆通-抖音</v>
      </c>
      <c r="O5509" s="5" t="s">
        <v>5522</v>
      </c>
      <c r="P5509" s="6">
        <v>0.35</v>
      </c>
      <c r="Q5509" s="11">
        <v>2.2999999999999998</v>
      </c>
      <c r="R5509" s="11"/>
      <c r="S5509" s="11"/>
      <c r="T5509" s="11"/>
      <c r="U5509" s="11">
        <f t="shared" si="1801"/>
        <v>2.2999999999999998</v>
      </c>
      <c r="W5509">
        <v>2.5</v>
      </c>
      <c r="X5509" s="1" t="s">
        <v>13</v>
      </c>
    </row>
    <row r="5510" spans="1:24" x14ac:dyDescent="0.25">
      <c r="A5510" s="1" t="str">
        <f t="shared" si="1802"/>
        <v>卡卡杜-凤凰仓</v>
      </c>
      <c r="B5510" s="1" t="str">
        <f>"CK2024101919727"</f>
        <v>CK2024101919727</v>
      </c>
      <c r="C5510" s="1" t="str">
        <f>"DD2024101930485"</f>
        <v>DD2024101930485</v>
      </c>
      <c r="D5510" s="1" t="str">
        <f>"CK2024101920615"</f>
        <v>CK2024101920615</v>
      </c>
      <c r="E5510" s="1" t="str">
        <f>"6935184564651758652"</f>
        <v>6935184564651758652</v>
      </c>
      <c r="F5510" s="1" t="str">
        <f t="shared" si="1803"/>
        <v>花都四部-凤凰仓</v>
      </c>
      <c r="G5510" s="1" t="str">
        <f t="shared" si="1797"/>
        <v>卡卡杜个人护理店（抖店）</v>
      </c>
      <c r="H5510" s="1" t="str">
        <f t="shared" si="1804"/>
        <v>正常订单</v>
      </c>
      <c r="I5510" s="1" t="str">
        <f t="shared" si="1805"/>
        <v>已发货</v>
      </c>
      <c r="J5510" s="1" t="str">
        <f t="shared" si="1800"/>
        <v>3</v>
      </c>
      <c r="K5510" s="1">
        <v>2</v>
      </c>
      <c r="L5510" s="1" t="s">
        <v>52</v>
      </c>
      <c r="M5510" s="1" t="str">
        <f>"甘肃省 兰州市 城关区 靖远路街道"</f>
        <v>甘肃省 兰州市 城关区 靖远路街道</v>
      </c>
      <c r="N5510" s="1" t="str">
        <f t="shared" si="1798"/>
        <v>凡华云仓-城南圆通-抖音</v>
      </c>
      <c r="O5510" s="5" t="s">
        <v>5523</v>
      </c>
      <c r="P5510" s="6">
        <v>0.35</v>
      </c>
      <c r="Q5510" s="11">
        <v>2.2999999999999998</v>
      </c>
      <c r="R5510" s="11"/>
      <c r="S5510" s="11"/>
      <c r="T5510" s="11"/>
      <c r="U5510" s="11">
        <f t="shared" si="1801"/>
        <v>2.2999999999999998</v>
      </c>
      <c r="W5510">
        <v>2.5</v>
      </c>
      <c r="X5510" s="1" t="s">
        <v>52</v>
      </c>
    </row>
    <row r="5511" spans="1:24" x14ac:dyDescent="0.25">
      <c r="A5511" s="1" t="str">
        <f t="shared" si="1802"/>
        <v>卡卡杜-凤凰仓</v>
      </c>
      <c r="B5511" s="1" t="str">
        <f>"CK2024101919728"</f>
        <v>CK2024101919728</v>
      </c>
      <c r="C5511" s="1" t="str">
        <f>"DD2024101930486"</f>
        <v>DD2024101930486</v>
      </c>
      <c r="D5511" s="1" t="str">
        <f>"CK2024101920614"</f>
        <v>CK2024101920614</v>
      </c>
      <c r="E5511" s="1" t="str">
        <f>"6935166898638755709"</f>
        <v>6935166898638755709</v>
      </c>
      <c r="F5511" s="1" t="str">
        <f t="shared" si="1803"/>
        <v>花都四部-凤凰仓</v>
      </c>
      <c r="G5511" s="1" t="str">
        <f t="shared" si="1797"/>
        <v>卡卡杜个人护理店（抖店）</v>
      </c>
      <c r="H5511" s="1" t="str">
        <f t="shared" si="1804"/>
        <v>正常订单</v>
      </c>
      <c r="I5511" s="1" t="str">
        <f t="shared" si="1805"/>
        <v>已发货</v>
      </c>
      <c r="J5511" s="1" t="str">
        <f t="shared" si="1800"/>
        <v>3</v>
      </c>
      <c r="K5511" s="1">
        <v>2</v>
      </c>
      <c r="L5511" s="1" t="s">
        <v>41</v>
      </c>
      <c r="M5511" s="1" t="str">
        <f>"湖北省 襄阳市 谷城县 城关镇"</f>
        <v>湖北省 襄阳市 谷城县 城关镇</v>
      </c>
      <c r="N5511" s="1" t="str">
        <f t="shared" si="1798"/>
        <v>凡华云仓-城南圆通-抖音</v>
      </c>
      <c r="O5511" s="5" t="s">
        <v>5524</v>
      </c>
      <c r="P5511" s="6">
        <v>0.35</v>
      </c>
      <c r="Q5511" s="11">
        <v>2.2999999999999998</v>
      </c>
      <c r="R5511" s="11"/>
      <c r="S5511" s="11"/>
      <c r="T5511" s="11"/>
      <c r="U5511" s="11">
        <f t="shared" si="1801"/>
        <v>2.2999999999999998</v>
      </c>
      <c r="W5511">
        <v>2.5</v>
      </c>
      <c r="X5511" s="1" t="s">
        <v>41</v>
      </c>
    </row>
    <row r="5512" spans="1:24" x14ac:dyDescent="0.25">
      <c r="A5512" s="1" t="str">
        <f t="shared" si="1802"/>
        <v>卡卡杜-凤凰仓</v>
      </c>
      <c r="B5512" s="1" t="str">
        <f>"CK2024101919729"</f>
        <v>CK2024101919729</v>
      </c>
      <c r="C5512" s="1" t="str">
        <f>"DD2024101930489"</f>
        <v>DD2024101930489</v>
      </c>
      <c r="D5512" s="1" t="str">
        <f>"CK2024101920613"</f>
        <v>CK2024101920613</v>
      </c>
      <c r="E5512" s="1" t="str">
        <f>"6935186445007262802"</f>
        <v>6935186445007262802</v>
      </c>
      <c r="F5512" s="1" t="str">
        <f t="shared" si="1803"/>
        <v>花都四部-凤凰仓</v>
      </c>
      <c r="G5512" s="1" t="str">
        <f t="shared" si="1797"/>
        <v>卡卡杜个人护理店（抖店）</v>
      </c>
      <c r="H5512" s="1" t="str">
        <f t="shared" si="1804"/>
        <v>正常订单</v>
      </c>
      <c r="I5512" s="1" t="str">
        <f t="shared" si="1805"/>
        <v>已发货</v>
      </c>
      <c r="J5512" s="1" t="str">
        <f t="shared" si="1800"/>
        <v>3</v>
      </c>
      <c r="K5512" s="1">
        <v>2</v>
      </c>
      <c r="L5512" s="1" t="s">
        <v>94</v>
      </c>
      <c r="M5512" s="1" t="str">
        <f>"湖南省 郴州市 资兴市 唐洞街道"</f>
        <v>湖南省 郴州市 资兴市 唐洞街道</v>
      </c>
      <c r="N5512" s="1" t="str">
        <f t="shared" si="1798"/>
        <v>凡华云仓-城南圆通-抖音</v>
      </c>
      <c r="O5512" s="5" t="s">
        <v>5525</v>
      </c>
      <c r="P5512" s="6">
        <v>0.35</v>
      </c>
      <c r="Q5512" s="11">
        <v>2.2999999999999998</v>
      </c>
      <c r="R5512" s="11"/>
      <c r="S5512" s="11"/>
      <c r="T5512" s="11"/>
      <c r="U5512" s="11">
        <f t="shared" si="1801"/>
        <v>2.2999999999999998</v>
      </c>
      <c r="W5512">
        <v>2.5</v>
      </c>
      <c r="X5512" s="1" t="s">
        <v>94</v>
      </c>
    </row>
    <row r="5513" spans="1:24" x14ac:dyDescent="0.25">
      <c r="A5513" s="1" t="str">
        <f t="shared" si="1802"/>
        <v>卡卡杜-凤凰仓</v>
      </c>
      <c r="B5513" s="1" t="str">
        <f>"CK2024101919730"</f>
        <v>CK2024101919730</v>
      </c>
      <c r="C5513" s="1" t="str">
        <f>"DD2024101930487"</f>
        <v>DD2024101930487</v>
      </c>
      <c r="D5513" s="1" t="str">
        <f>"CK2024101920612"</f>
        <v>CK2024101920612</v>
      </c>
      <c r="E5513" s="1" t="str">
        <f>"6935188636374865745"</f>
        <v>6935188636374865745</v>
      </c>
      <c r="F5513" s="1" t="str">
        <f t="shared" si="1803"/>
        <v>花都四部-凤凰仓</v>
      </c>
      <c r="G5513" s="1" t="str">
        <f t="shared" si="1797"/>
        <v>卡卡杜个人护理店（抖店）</v>
      </c>
      <c r="H5513" s="1" t="str">
        <f t="shared" si="1804"/>
        <v>正常订单</v>
      </c>
      <c r="I5513" s="1" t="str">
        <f t="shared" si="1805"/>
        <v>已发货</v>
      </c>
      <c r="J5513" s="1" t="str">
        <f t="shared" si="1800"/>
        <v>3</v>
      </c>
      <c r="K5513" s="1">
        <v>3</v>
      </c>
      <c r="L5513" s="1" t="s">
        <v>20</v>
      </c>
      <c r="M5513" s="1" t="str">
        <f>"浙江省 嘉兴市 嘉善县 西塘镇"</f>
        <v>浙江省 嘉兴市 嘉善县 西塘镇</v>
      </c>
      <c r="N5513" s="1" t="str">
        <f t="shared" si="1798"/>
        <v>凡华云仓-城南圆通-抖音</v>
      </c>
      <c r="O5513" s="5" t="s">
        <v>5526</v>
      </c>
      <c r="P5513" s="6">
        <v>0.34</v>
      </c>
      <c r="Q5513" s="11">
        <v>2.2999999999999998</v>
      </c>
      <c r="R5513" s="11"/>
      <c r="S5513" s="11"/>
      <c r="T5513" s="11"/>
      <c r="U5513" s="11">
        <f t="shared" si="1801"/>
        <v>2.2999999999999998</v>
      </c>
      <c r="W5513">
        <v>2.5</v>
      </c>
      <c r="X5513" s="1" t="s">
        <v>20</v>
      </c>
    </row>
    <row r="5514" spans="1:24" x14ac:dyDescent="0.25">
      <c r="A5514" s="1" t="str">
        <f t="shared" si="1802"/>
        <v>卡卡杜-凤凰仓</v>
      </c>
      <c r="B5514" s="1" t="str">
        <f>"CK2024101919912"</f>
        <v>CK2024101919912</v>
      </c>
      <c r="C5514" s="1" t="str">
        <f>"DD2024101930709"</f>
        <v>DD2024101930709</v>
      </c>
      <c r="D5514" s="1" t="str">
        <f>"CK2024101920611"</f>
        <v>CK2024101920611</v>
      </c>
      <c r="E5514" s="1" t="str">
        <f>"6935182553917625665"</f>
        <v>6935182553917625665</v>
      </c>
      <c r="F5514" s="1" t="str">
        <f t="shared" si="1803"/>
        <v>花都四部-凤凰仓</v>
      </c>
      <c r="G5514" s="1" t="str">
        <f t="shared" si="1797"/>
        <v>卡卡杜个人护理店（抖店）</v>
      </c>
      <c r="H5514" s="1" t="str">
        <f t="shared" si="1804"/>
        <v>正常订单</v>
      </c>
      <c r="I5514" s="1" t="str">
        <f t="shared" si="1805"/>
        <v>已发货</v>
      </c>
      <c r="J5514" s="1" t="str">
        <f>"5"</f>
        <v>5</v>
      </c>
      <c r="K5514" s="1">
        <v>2</v>
      </c>
      <c r="L5514" s="1" t="s">
        <v>13</v>
      </c>
      <c r="M5514" s="1" t="str">
        <f>"江苏省 苏州市 张家港市 凤凰镇"</f>
        <v>江苏省 苏州市 张家港市 凤凰镇</v>
      </c>
      <c r="N5514" s="1" t="str">
        <f t="shared" si="1798"/>
        <v>凡华云仓-城南圆通-抖音</v>
      </c>
      <c r="O5514" s="5" t="s">
        <v>5527</v>
      </c>
      <c r="P5514" s="6">
        <v>0.59</v>
      </c>
      <c r="Q5514" s="11">
        <f>CEILING(P5514-0.5,0.1)*10*0.15+2.3</f>
        <v>2.4499999999999997</v>
      </c>
      <c r="R5514" s="11"/>
      <c r="S5514" s="11"/>
      <c r="T5514" s="11"/>
      <c r="U5514" s="11">
        <f t="shared" si="1801"/>
        <v>2.4499999999999997</v>
      </c>
      <c r="V5514" t="s">
        <v>15</v>
      </c>
      <c r="W5514">
        <v>2.4500000000000002</v>
      </c>
      <c r="X5514" s="1" t="s">
        <v>13</v>
      </c>
    </row>
    <row r="5515" spans="1:24" x14ac:dyDescent="0.25">
      <c r="A5515" s="1" t="str">
        <f t="shared" si="1802"/>
        <v>卡卡杜-凤凰仓</v>
      </c>
      <c r="B5515" s="1" t="str">
        <f>"CK2024101919732"</f>
        <v>CK2024101919732</v>
      </c>
      <c r="C5515" s="1" t="str">
        <f>"DD2024101930490"</f>
        <v>DD2024101930490</v>
      </c>
      <c r="D5515" s="1" t="str">
        <f>"CK2024101920610"</f>
        <v>CK2024101920610</v>
      </c>
      <c r="E5515" s="1" t="str">
        <f>"6935191051686385250"</f>
        <v>6935191051686385250</v>
      </c>
      <c r="F5515" s="1" t="str">
        <f t="shared" si="1803"/>
        <v>花都四部-凤凰仓</v>
      </c>
      <c r="G5515" s="1" t="str">
        <f t="shared" si="1797"/>
        <v>卡卡杜个人护理店（抖店）</v>
      </c>
      <c r="H5515" s="1" t="str">
        <f t="shared" si="1804"/>
        <v>正常订单</v>
      </c>
      <c r="I5515" s="1" t="str">
        <f t="shared" si="1805"/>
        <v>已发货</v>
      </c>
      <c r="J5515" s="1" t="str">
        <f t="shared" ref="J5515:J5519" si="1806">"3"</f>
        <v>3</v>
      </c>
      <c r="K5515" s="1">
        <v>2</v>
      </c>
      <c r="L5515" s="1" t="s">
        <v>96</v>
      </c>
      <c r="M5515" s="1" t="str">
        <f>"广西壮族自治区 北海市 合浦县 廉州镇"</f>
        <v>广西壮族自治区 北海市 合浦县 廉州镇</v>
      </c>
      <c r="N5515" s="1" t="str">
        <f t="shared" si="1798"/>
        <v>凡华云仓-城南圆通-抖音</v>
      </c>
      <c r="O5515" s="5" t="s">
        <v>5528</v>
      </c>
      <c r="P5515" s="6">
        <v>0.35</v>
      </c>
      <c r="Q5515" s="11">
        <v>2.2999999999999998</v>
      </c>
      <c r="R5515" s="11"/>
      <c r="S5515" s="11"/>
      <c r="T5515" s="11"/>
      <c r="U5515" s="11">
        <f t="shared" si="1801"/>
        <v>2.2999999999999998</v>
      </c>
      <c r="W5515">
        <v>2.5</v>
      </c>
      <c r="X5515" s="1" t="s">
        <v>96</v>
      </c>
    </row>
    <row r="5516" spans="1:24" x14ac:dyDescent="0.25">
      <c r="A5516" s="1" t="str">
        <f t="shared" si="1802"/>
        <v>卡卡杜-凤凰仓</v>
      </c>
      <c r="B5516" s="1" t="str">
        <f>"CK2024101919733"</f>
        <v>CK2024101919733</v>
      </c>
      <c r="C5516" s="1" t="str">
        <f>"DD2024101930491"</f>
        <v>DD2024101930491</v>
      </c>
      <c r="D5516" s="1" t="str">
        <f>"CK2024101920609"</f>
        <v>CK2024101920609</v>
      </c>
      <c r="E5516" s="1" t="str">
        <f>"6935164467900585575"</f>
        <v>6935164467900585575</v>
      </c>
      <c r="F5516" s="1" t="str">
        <f t="shared" si="1803"/>
        <v>花都四部-凤凰仓</v>
      </c>
      <c r="G5516" s="1" t="str">
        <f t="shared" si="1797"/>
        <v>卡卡杜个人护理店（抖店）</v>
      </c>
      <c r="H5516" s="1" t="str">
        <f t="shared" si="1804"/>
        <v>正常订单</v>
      </c>
      <c r="I5516" s="1" t="str">
        <f t="shared" si="1805"/>
        <v>已发货</v>
      </c>
      <c r="J5516" s="1" t="str">
        <f t="shared" si="1806"/>
        <v>3</v>
      </c>
      <c r="K5516" s="1">
        <v>2</v>
      </c>
      <c r="L5516" s="1" t="s">
        <v>32</v>
      </c>
      <c r="M5516" s="1" t="str">
        <f>"陕西省 西安市 灞桥区 新筑街道"</f>
        <v>陕西省 西安市 灞桥区 新筑街道</v>
      </c>
      <c r="N5516" s="1" t="str">
        <f t="shared" si="1798"/>
        <v>凡华云仓-城南圆通-抖音</v>
      </c>
      <c r="O5516" s="5" t="s">
        <v>5529</v>
      </c>
      <c r="P5516" s="6">
        <v>0.35</v>
      </c>
      <c r="Q5516" s="11">
        <v>2.2999999999999998</v>
      </c>
      <c r="R5516" s="11"/>
      <c r="S5516" s="11"/>
      <c r="T5516" s="11"/>
      <c r="U5516" s="11">
        <f t="shared" si="1801"/>
        <v>2.2999999999999998</v>
      </c>
      <c r="W5516">
        <v>2.5</v>
      </c>
      <c r="X5516" s="1" t="s">
        <v>32</v>
      </c>
    </row>
    <row r="5517" spans="1:24" x14ac:dyDescent="0.25">
      <c r="A5517" s="1" t="str">
        <f t="shared" si="1802"/>
        <v>卡卡杜-凤凰仓</v>
      </c>
      <c r="B5517" s="1" t="str">
        <f>"CK2024101919736"</f>
        <v>CK2024101919736</v>
      </c>
      <c r="C5517" s="1" t="str">
        <f>"DD2024101930495"</f>
        <v>DD2024101930495</v>
      </c>
      <c r="D5517" s="1" t="str">
        <f>"CK2024101920608"</f>
        <v>CK2024101920608</v>
      </c>
      <c r="E5517" s="1" t="str">
        <f>"6935182420549703587"</f>
        <v>6935182420549703587</v>
      </c>
      <c r="F5517" s="1" t="str">
        <f t="shared" si="1803"/>
        <v>花都四部-凤凰仓</v>
      </c>
      <c r="G5517" s="1" t="str">
        <f t="shared" si="1797"/>
        <v>卡卡杜个人护理店（抖店）</v>
      </c>
      <c r="H5517" s="1" t="str">
        <f t="shared" si="1804"/>
        <v>正常订单</v>
      </c>
      <c r="I5517" s="1" t="str">
        <f t="shared" si="1805"/>
        <v>已发货</v>
      </c>
      <c r="J5517" s="1" t="str">
        <f t="shared" si="1806"/>
        <v>3</v>
      </c>
      <c r="K5517" s="1">
        <v>2</v>
      </c>
      <c r="L5517" s="1" t="s">
        <v>36</v>
      </c>
      <c r="M5517" s="1" t="str">
        <f>"安徽省 安庆市 潜山市 "</f>
        <v xml:space="preserve">安徽省 安庆市 潜山市 </v>
      </c>
      <c r="N5517" s="1" t="str">
        <f t="shared" si="1798"/>
        <v>凡华云仓-城南圆通-抖音</v>
      </c>
      <c r="O5517" s="5" t="s">
        <v>5530</v>
      </c>
      <c r="P5517" s="6">
        <v>0.35</v>
      </c>
      <c r="Q5517" s="11">
        <v>2.2999999999999998</v>
      </c>
      <c r="R5517" s="11"/>
      <c r="S5517" s="11"/>
      <c r="T5517" s="11"/>
      <c r="U5517" s="11">
        <f t="shared" si="1801"/>
        <v>2.2999999999999998</v>
      </c>
      <c r="W5517">
        <v>2.5</v>
      </c>
      <c r="X5517" s="1" t="s">
        <v>36</v>
      </c>
    </row>
    <row r="5518" spans="1:24" x14ac:dyDescent="0.25">
      <c r="A5518" s="1" t="str">
        <f t="shared" si="1802"/>
        <v>卡卡杜-凤凰仓</v>
      </c>
      <c r="B5518" s="1" t="str">
        <f>"CK2024101919737"</f>
        <v>CK2024101919737</v>
      </c>
      <c r="C5518" s="1" t="str">
        <f>"DD2024101930493"</f>
        <v>DD2024101930493</v>
      </c>
      <c r="D5518" s="1" t="str">
        <f>"CK2024101920607"</f>
        <v>CK2024101920607</v>
      </c>
      <c r="E5518" s="1" t="str">
        <f>"6935164378899355333"</f>
        <v>6935164378899355333</v>
      </c>
      <c r="F5518" s="1" t="str">
        <f t="shared" si="1803"/>
        <v>花都四部-凤凰仓</v>
      </c>
      <c r="G5518" s="1" t="str">
        <f t="shared" si="1797"/>
        <v>卡卡杜个人护理店（抖店）</v>
      </c>
      <c r="H5518" s="1" t="str">
        <f t="shared" si="1804"/>
        <v>正常订单</v>
      </c>
      <c r="I5518" s="1" t="str">
        <f t="shared" si="1805"/>
        <v>已发货</v>
      </c>
      <c r="J5518" s="1" t="str">
        <f t="shared" si="1806"/>
        <v>3</v>
      </c>
      <c r="K5518" s="1">
        <v>2</v>
      </c>
      <c r="L5518" s="1" t="s">
        <v>74</v>
      </c>
      <c r="M5518" s="1" t="str">
        <f>"上海 上海市 奉贤区 奉城镇"</f>
        <v>上海 上海市 奉贤区 奉城镇</v>
      </c>
      <c r="N5518" s="1" t="str">
        <f t="shared" si="1798"/>
        <v>凡华云仓-城南圆通-抖音</v>
      </c>
      <c r="O5518" s="5" t="s">
        <v>5531</v>
      </c>
      <c r="P5518" s="6">
        <v>0.35</v>
      </c>
      <c r="Q5518" s="11">
        <v>2.2999999999999998</v>
      </c>
      <c r="R5518" s="11"/>
      <c r="S5518" s="11"/>
      <c r="T5518" s="11"/>
      <c r="U5518" s="11">
        <f t="shared" si="1801"/>
        <v>2.2999999999999998</v>
      </c>
      <c r="W5518">
        <v>2.5</v>
      </c>
      <c r="X5518" s="1" t="s">
        <v>74</v>
      </c>
    </row>
    <row r="5519" spans="1:24" x14ac:dyDescent="0.25">
      <c r="A5519" s="1" t="str">
        <f t="shared" si="1802"/>
        <v>卡卡杜-凤凰仓</v>
      </c>
      <c r="B5519" s="1" t="str">
        <f>"CK2024101919739"</f>
        <v>CK2024101919739</v>
      </c>
      <c r="C5519" s="1" t="str">
        <f>"DD2024101930497"</f>
        <v>DD2024101930497</v>
      </c>
      <c r="D5519" s="1" t="str">
        <f>"CK2024101920606"</f>
        <v>CK2024101920606</v>
      </c>
      <c r="E5519" s="1" t="str">
        <f>"6935175728003356119"</f>
        <v>6935175728003356119</v>
      </c>
      <c r="F5519" s="1" t="str">
        <f t="shared" si="1803"/>
        <v>花都四部-凤凰仓</v>
      </c>
      <c r="G5519" s="1" t="str">
        <f t="shared" si="1797"/>
        <v>卡卡杜个人护理店（抖店）</v>
      </c>
      <c r="H5519" s="1" t="str">
        <f t="shared" si="1804"/>
        <v>正常订单</v>
      </c>
      <c r="I5519" s="1" t="str">
        <f t="shared" si="1805"/>
        <v>已发货</v>
      </c>
      <c r="J5519" s="1" t="str">
        <f t="shared" si="1806"/>
        <v>3</v>
      </c>
      <c r="K5519" s="1">
        <v>2</v>
      </c>
      <c r="L5519" s="1" t="s">
        <v>27</v>
      </c>
      <c r="M5519" s="1" t="str">
        <f>"贵州省 黔南布依族苗族自治州 独山县 麻万镇"</f>
        <v>贵州省 黔南布依族苗族自治州 独山县 麻万镇</v>
      </c>
      <c r="N5519" s="1" t="str">
        <f t="shared" si="1798"/>
        <v>凡华云仓-城南圆通-抖音</v>
      </c>
      <c r="O5519" s="5" t="s">
        <v>5532</v>
      </c>
      <c r="P5519" s="6">
        <v>0.35</v>
      </c>
      <c r="Q5519" s="11">
        <v>2.2999999999999998</v>
      </c>
      <c r="R5519" s="11"/>
      <c r="S5519" s="11"/>
      <c r="T5519" s="11"/>
      <c r="U5519" s="11">
        <f t="shared" si="1801"/>
        <v>2.2999999999999998</v>
      </c>
      <c r="W5519">
        <v>2.5</v>
      </c>
      <c r="X5519" s="1" t="s">
        <v>27</v>
      </c>
    </row>
    <row r="5520" spans="1:24" x14ac:dyDescent="0.25">
      <c r="A5520" s="1" t="str">
        <f t="shared" si="1802"/>
        <v>卡卡杜-凤凰仓</v>
      </c>
      <c r="B5520" s="1" t="str">
        <f>"CK2024101919914"</f>
        <v>CK2024101919914</v>
      </c>
      <c r="C5520" s="1" t="str">
        <f>"DD2024101930711"</f>
        <v>DD2024101930711</v>
      </c>
      <c r="D5520" s="1" t="str">
        <f>"CK2024101920605"</f>
        <v>CK2024101920605</v>
      </c>
      <c r="E5520" s="1" t="str">
        <f>"6935169246349759690"</f>
        <v>6935169246349759690</v>
      </c>
      <c r="F5520" s="1" t="str">
        <f t="shared" si="1803"/>
        <v>花都四部-凤凰仓</v>
      </c>
      <c r="G5520" s="1" t="str">
        <f t="shared" si="1797"/>
        <v>卡卡杜个人护理店（抖店）</v>
      </c>
      <c r="H5520" s="1" t="str">
        <f t="shared" si="1804"/>
        <v>正常订单</v>
      </c>
      <c r="I5520" s="1" t="str">
        <f t="shared" si="1805"/>
        <v>已发货</v>
      </c>
      <c r="J5520" s="1" t="str">
        <f>"5"</f>
        <v>5</v>
      </c>
      <c r="K5520" s="1">
        <v>2</v>
      </c>
      <c r="L5520" s="1" t="s">
        <v>54</v>
      </c>
      <c r="M5520" s="1" t="str">
        <f>"黑龙江省 大兴安岭地区 松岭区 小扬气镇"</f>
        <v>黑龙江省 大兴安岭地区 松岭区 小扬气镇</v>
      </c>
      <c r="N5520" s="1" t="str">
        <f t="shared" si="1798"/>
        <v>凡华云仓-城南圆通-抖音</v>
      </c>
      <c r="O5520" s="5" t="s">
        <v>5533</v>
      </c>
      <c r="P5520" s="6">
        <v>0.59</v>
      </c>
      <c r="Q5520" s="11">
        <f>CEILING(P5520-0.5,0.1)*10*0.15+2.3</f>
        <v>2.4499999999999997</v>
      </c>
      <c r="R5520" s="11"/>
      <c r="S5520" s="11"/>
      <c r="T5520" s="11"/>
      <c r="U5520" s="11">
        <f t="shared" si="1801"/>
        <v>2.4499999999999997</v>
      </c>
      <c r="V5520" t="s">
        <v>15</v>
      </c>
      <c r="W5520">
        <v>2.4500000000000002</v>
      </c>
      <c r="X5520" s="1" t="s">
        <v>54</v>
      </c>
    </row>
    <row r="5521" spans="1:24" x14ac:dyDescent="0.25">
      <c r="A5521" s="1" t="str">
        <f t="shared" si="1802"/>
        <v>卡卡杜-凤凰仓</v>
      </c>
      <c r="B5521" s="1" t="str">
        <f>"CK2024101919741"</f>
        <v>CK2024101919741</v>
      </c>
      <c r="C5521" s="1" t="str">
        <f>"DD2024101930499"</f>
        <v>DD2024101930499</v>
      </c>
      <c r="D5521" s="1" t="str">
        <f>"CK2024101920604"</f>
        <v>CK2024101920604</v>
      </c>
      <c r="E5521" s="1" t="str">
        <f>"6935166505510966470"</f>
        <v>6935166505510966470</v>
      </c>
      <c r="F5521" s="1" t="str">
        <f t="shared" si="1803"/>
        <v>花都四部-凤凰仓</v>
      </c>
      <c r="G5521" s="1" t="str">
        <f t="shared" si="1797"/>
        <v>卡卡杜个人护理店（抖店）</v>
      </c>
      <c r="H5521" s="1" t="str">
        <f t="shared" si="1804"/>
        <v>正常订单</v>
      </c>
      <c r="I5521" s="1" t="str">
        <f t="shared" si="1805"/>
        <v>已发货</v>
      </c>
      <c r="J5521" s="1" t="str">
        <f t="shared" ref="J5521:J5551" si="1807">"3"</f>
        <v>3</v>
      </c>
      <c r="K5521" s="1">
        <v>2</v>
      </c>
      <c r="L5521" s="1" t="s">
        <v>20</v>
      </c>
      <c r="M5521" s="1" t="str">
        <f>"浙江省 金华市 义乌市 江东街道"</f>
        <v>浙江省 金华市 义乌市 江东街道</v>
      </c>
      <c r="N5521" s="1" t="str">
        <f t="shared" si="1798"/>
        <v>凡华云仓-城南圆通-抖音</v>
      </c>
      <c r="O5521" s="5" t="s">
        <v>5534</v>
      </c>
      <c r="P5521" s="6">
        <v>0.35</v>
      </c>
      <c r="Q5521" s="11">
        <v>2.2999999999999998</v>
      </c>
      <c r="R5521" s="11"/>
      <c r="S5521" s="11"/>
      <c r="T5521" s="11"/>
      <c r="U5521" s="11">
        <f t="shared" si="1801"/>
        <v>2.2999999999999998</v>
      </c>
      <c r="W5521">
        <v>2.5</v>
      </c>
      <c r="X5521" s="1" t="s">
        <v>20</v>
      </c>
    </row>
    <row r="5522" spans="1:24" x14ac:dyDescent="0.25">
      <c r="A5522" s="1" t="str">
        <f t="shared" si="1802"/>
        <v>卡卡杜-凤凰仓</v>
      </c>
      <c r="B5522" s="1" t="str">
        <f>"CK2024101919742"</f>
        <v>CK2024101919742</v>
      </c>
      <c r="C5522" s="1" t="str">
        <f>"DD2024101930501"</f>
        <v>DD2024101930501</v>
      </c>
      <c r="D5522" s="1" t="str">
        <f>"CK2024101920603"</f>
        <v>CK2024101920603</v>
      </c>
      <c r="E5522" s="1" t="str">
        <f>"6935169222325114258"</f>
        <v>6935169222325114258</v>
      </c>
      <c r="F5522" s="1" t="str">
        <f t="shared" si="1803"/>
        <v>花都四部-凤凰仓</v>
      </c>
      <c r="G5522" s="1" t="str">
        <f t="shared" si="1797"/>
        <v>卡卡杜个人护理店（抖店）</v>
      </c>
      <c r="H5522" s="1" t="str">
        <f t="shared" si="1804"/>
        <v>正常订单</v>
      </c>
      <c r="I5522" s="1" t="str">
        <f t="shared" si="1805"/>
        <v>已发货</v>
      </c>
      <c r="J5522" s="1" t="str">
        <f t="shared" si="1807"/>
        <v>3</v>
      </c>
      <c r="K5522" s="1">
        <v>2</v>
      </c>
      <c r="L5522" s="1" t="s">
        <v>41</v>
      </c>
      <c r="M5522" s="1" t="str">
        <f>"湖北省 荆门市 钟祥市 郢中街道"</f>
        <v>湖北省 荆门市 钟祥市 郢中街道</v>
      </c>
      <c r="N5522" s="1" t="str">
        <f t="shared" si="1798"/>
        <v>凡华云仓-城南圆通-抖音</v>
      </c>
      <c r="O5522" s="5" t="s">
        <v>5535</v>
      </c>
      <c r="P5522" s="6">
        <v>0.35</v>
      </c>
      <c r="Q5522" s="11">
        <v>2.2999999999999998</v>
      </c>
      <c r="R5522" s="11"/>
      <c r="S5522" s="11"/>
      <c r="T5522" s="11"/>
      <c r="U5522" s="11">
        <f t="shared" si="1801"/>
        <v>2.2999999999999998</v>
      </c>
      <c r="W5522">
        <v>2.5</v>
      </c>
      <c r="X5522" s="1" t="s">
        <v>41</v>
      </c>
    </row>
    <row r="5523" spans="1:24" x14ac:dyDescent="0.25">
      <c r="A5523" s="1" t="str">
        <f t="shared" si="1802"/>
        <v>卡卡杜-凤凰仓</v>
      </c>
      <c r="B5523" s="1" t="str">
        <f>"CK2024101919743"</f>
        <v>CK2024101919743</v>
      </c>
      <c r="C5523" s="1" t="str">
        <f>"DD2024101930500"</f>
        <v>DD2024101930500</v>
      </c>
      <c r="D5523" s="1" t="str">
        <f>"CK2024101920602"</f>
        <v>CK2024101920602</v>
      </c>
      <c r="E5523" s="1" t="str">
        <f>"6935159905009866141"</f>
        <v>6935159905009866141</v>
      </c>
      <c r="F5523" s="1" t="str">
        <f t="shared" si="1803"/>
        <v>花都四部-凤凰仓</v>
      </c>
      <c r="G5523" s="1" t="str">
        <f t="shared" si="1797"/>
        <v>卡卡杜个人护理店（抖店）</v>
      </c>
      <c r="H5523" s="1" t="str">
        <f t="shared" si="1804"/>
        <v>正常订单</v>
      </c>
      <c r="I5523" s="1" t="str">
        <f t="shared" si="1805"/>
        <v>已发货</v>
      </c>
      <c r="J5523" s="1" t="str">
        <f t="shared" si="1807"/>
        <v>3</v>
      </c>
      <c r="K5523" s="1">
        <v>2</v>
      </c>
      <c r="L5523" s="1" t="s">
        <v>20</v>
      </c>
      <c r="M5523" s="1" t="str">
        <f>"浙江省 衢州市 衢江区 樟潭街道"</f>
        <v>浙江省 衢州市 衢江区 樟潭街道</v>
      </c>
      <c r="N5523" s="1" t="str">
        <f t="shared" si="1798"/>
        <v>凡华云仓-城南圆通-抖音</v>
      </c>
      <c r="O5523" s="5" t="s">
        <v>5536</v>
      </c>
      <c r="P5523" s="6">
        <v>0.35</v>
      </c>
      <c r="Q5523" s="11">
        <v>2.2999999999999998</v>
      </c>
      <c r="R5523" s="11"/>
      <c r="S5523" s="11"/>
      <c r="T5523" s="11"/>
      <c r="U5523" s="11">
        <f t="shared" si="1801"/>
        <v>2.2999999999999998</v>
      </c>
      <c r="W5523">
        <v>2.5</v>
      </c>
      <c r="X5523" s="1" t="s">
        <v>20</v>
      </c>
    </row>
    <row r="5524" spans="1:24" x14ac:dyDescent="0.25">
      <c r="A5524" s="1" t="str">
        <f t="shared" si="1802"/>
        <v>卡卡杜-凤凰仓</v>
      </c>
      <c r="B5524" s="1" t="str">
        <f>"CK2024101919745"</f>
        <v>CK2024101919745</v>
      </c>
      <c r="C5524" s="1" t="str">
        <f>"DD2024101930503"</f>
        <v>DD2024101930503</v>
      </c>
      <c r="D5524" s="1" t="str">
        <f>"CK2024101920601"</f>
        <v>CK2024101920601</v>
      </c>
      <c r="E5524" s="1" t="str">
        <f>"6935175657891764101"</f>
        <v>6935175657891764101</v>
      </c>
      <c r="F5524" s="1" t="str">
        <f t="shared" si="1803"/>
        <v>花都四部-凤凰仓</v>
      </c>
      <c r="G5524" s="1" t="str">
        <f t="shared" si="1797"/>
        <v>卡卡杜个人护理店（抖店）</v>
      </c>
      <c r="H5524" s="1" t="str">
        <f t="shared" si="1804"/>
        <v>正常订单</v>
      </c>
      <c r="I5524" s="1" t="str">
        <f t="shared" si="1805"/>
        <v>已发货</v>
      </c>
      <c r="J5524" s="1" t="str">
        <f t="shared" si="1807"/>
        <v>3</v>
      </c>
      <c r="K5524" s="1">
        <v>2</v>
      </c>
      <c r="L5524" s="1" t="s">
        <v>13</v>
      </c>
      <c r="M5524" s="1" t="str">
        <f>"江苏省 扬州市 高邮市 界首镇"</f>
        <v>江苏省 扬州市 高邮市 界首镇</v>
      </c>
      <c r="N5524" s="1" t="str">
        <f t="shared" si="1798"/>
        <v>凡华云仓-城南圆通-抖音</v>
      </c>
      <c r="O5524" s="5" t="s">
        <v>5537</v>
      </c>
      <c r="P5524" s="6">
        <v>0.35</v>
      </c>
      <c r="Q5524" s="11">
        <v>2.2999999999999998</v>
      </c>
      <c r="R5524" s="11"/>
      <c r="S5524" s="11"/>
      <c r="T5524" s="11"/>
      <c r="U5524" s="11">
        <f t="shared" si="1801"/>
        <v>2.2999999999999998</v>
      </c>
      <c r="W5524">
        <v>2.5</v>
      </c>
      <c r="X5524" s="1" t="s">
        <v>13</v>
      </c>
    </row>
    <row r="5525" spans="1:24" x14ac:dyDescent="0.25">
      <c r="A5525" s="1" t="str">
        <f t="shared" si="1802"/>
        <v>卡卡杜-凤凰仓</v>
      </c>
      <c r="B5525" s="1" t="str">
        <f>"CK2024101919746"</f>
        <v>CK2024101919746</v>
      </c>
      <c r="C5525" s="1" t="str">
        <f>"DD2024101930504"</f>
        <v>DD2024101930504</v>
      </c>
      <c r="D5525" s="1" t="str">
        <f>"CK2024101920600"</f>
        <v>CK2024101920600</v>
      </c>
      <c r="E5525" s="1" t="str">
        <f>"6935182291442603134"</f>
        <v>6935182291442603134</v>
      </c>
      <c r="F5525" s="1" t="str">
        <f t="shared" si="1803"/>
        <v>花都四部-凤凰仓</v>
      </c>
      <c r="G5525" s="1" t="str">
        <f t="shared" si="1797"/>
        <v>卡卡杜个人护理店（抖店）</v>
      </c>
      <c r="H5525" s="1" t="str">
        <f t="shared" si="1804"/>
        <v>正常订单</v>
      </c>
      <c r="I5525" s="1" t="str">
        <f t="shared" si="1805"/>
        <v>已发货</v>
      </c>
      <c r="J5525" s="1" t="str">
        <f t="shared" si="1807"/>
        <v>3</v>
      </c>
      <c r="K5525" s="1">
        <v>2</v>
      </c>
      <c r="L5525" s="1" t="s">
        <v>20</v>
      </c>
      <c r="M5525" s="1" t="str">
        <f>"浙江省 金华市 义乌市 北苑街道"</f>
        <v>浙江省 金华市 义乌市 北苑街道</v>
      </c>
      <c r="N5525" s="1" t="str">
        <f t="shared" si="1798"/>
        <v>凡华云仓-城南圆通-抖音</v>
      </c>
      <c r="O5525" s="5" t="s">
        <v>5538</v>
      </c>
      <c r="P5525" s="6">
        <v>0.35</v>
      </c>
      <c r="Q5525" s="11">
        <v>2.2999999999999998</v>
      </c>
      <c r="R5525" s="11"/>
      <c r="S5525" s="11"/>
      <c r="T5525" s="11"/>
      <c r="U5525" s="11">
        <f t="shared" si="1801"/>
        <v>2.2999999999999998</v>
      </c>
      <c r="W5525">
        <v>2.5</v>
      </c>
      <c r="X5525" s="1" t="s">
        <v>20</v>
      </c>
    </row>
    <row r="5526" spans="1:24" x14ac:dyDescent="0.25">
      <c r="A5526" s="1" t="str">
        <f t="shared" si="1802"/>
        <v>卡卡杜-凤凰仓</v>
      </c>
      <c r="B5526" s="1" t="str">
        <f>"CK2024101919748"</f>
        <v>CK2024101919748</v>
      </c>
      <c r="C5526" s="1" t="str">
        <f>"DD2024101930511"</f>
        <v>DD2024101930511</v>
      </c>
      <c r="D5526" s="1" t="str">
        <f>"CK2024101920599"</f>
        <v>CK2024101920599</v>
      </c>
      <c r="E5526" s="1" t="str">
        <f>"6935178241562122022"</f>
        <v>6935178241562122022</v>
      </c>
      <c r="F5526" s="1" t="str">
        <f t="shared" si="1803"/>
        <v>花都四部-凤凰仓</v>
      </c>
      <c r="G5526" s="1" t="str">
        <f t="shared" si="1797"/>
        <v>卡卡杜个人护理店（抖店）</v>
      </c>
      <c r="H5526" s="1" t="str">
        <f t="shared" si="1804"/>
        <v>正常订单</v>
      </c>
      <c r="I5526" s="1" t="str">
        <f t="shared" si="1805"/>
        <v>已发货</v>
      </c>
      <c r="J5526" s="1" t="str">
        <f t="shared" si="1807"/>
        <v>3</v>
      </c>
      <c r="K5526" s="1">
        <v>2</v>
      </c>
      <c r="L5526" s="1" t="s">
        <v>94</v>
      </c>
      <c r="M5526" s="1" t="str">
        <f>"湖南省 怀化市 溆浦县 卢峰镇"</f>
        <v>湖南省 怀化市 溆浦县 卢峰镇</v>
      </c>
      <c r="N5526" s="1" t="str">
        <f t="shared" si="1798"/>
        <v>凡华云仓-城南圆通-抖音</v>
      </c>
      <c r="O5526" s="5" t="s">
        <v>5539</v>
      </c>
      <c r="P5526" s="6">
        <v>0.35</v>
      </c>
      <c r="Q5526" s="11">
        <v>2.2999999999999998</v>
      </c>
      <c r="R5526" s="11"/>
      <c r="S5526" s="11"/>
      <c r="T5526" s="11"/>
      <c r="U5526" s="11">
        <f t="shared" si="1801"/>
        <v>2.2999999999999998</v>
      </c>
      <c r="W5526">
        <v>2.5</v>
      </c>
      <c r="X5526" s="1" t="s">
        <v>94</v>
      </c>
    </row>
    <row r="5527" spans="1:24" x14ac:dyDescent="0.25">
      <c r="A5527" s="1" t="str">
        <f t="shared" si="1802"/>
        <v>卡卡杜-凤凰仓</v>
      </c>
      <c r="B5527" s="1" t="str">
        <f>"CK2024101919749"</f>
        <v>CK2024101919749</v>
      </c>
      <c r="C5527" s="1" t="str">
        <f>"DD2024101930508"</f>
        <v>DD2024101930508</v>
      </c>
      <c r="D5527" s="1" t="str">
        <f>"CK2024101920598"</f>
        <v>CK2024101920598</v>
      </c>
      <c r="E5527" s="1" t="str">
        <f>"6935178265407067542"</f>
        <v>6935178265407067542</v>
      </c>
      <c r="F5527" s="1" t="str">
        <f t="shared" si="1803"/>
        <v>花都四部-凤凰仓</v>
      </c>
      <c r="G5527" s="1" t="str">
        <f t="shared" si="1797"/>
        <v>卡卡杜个人护理店（抖店）</v>
      </c>
      <c r="H5527" s="1" t="str">
        <f t="shared" si="1804"/>
        <v>正常订单</v>
      </c>
      <c r="I5527" s="1" t="str">
        <f t="shared" si="1805"/>
        <v>已发货</v>
      </c>
      <c r="J5527" s="1" t="str">
        <f t="shared" si="1807"/>
        <v>3</v>
      </c>
      <c r="K5527" s="1">
        <v>2</v>
      </c>
      <c r="L5527" s="1" t="s">
        <v>20</v>
      </c>
      <c r="M5527" s="1" t="str">
        <f>"浙江省 宁波市 镇海区 庄市街道"</f>
        <v>浙江省 宁波市 镇海区 庄市街道</v>
      </c>
      <c r="N5527" s="1" t="str">
        <f t="shared" si="1798"/>
        <v>凡华云仓-城南圆通-抖音</v>
      </c>
      <c r="O5527" s="5" t="s">
        <v>5540</v>
      </c>
      <c r="P5527" s="6">
        <v>0.35</v>
      </c>
      <c r="Q5527" s="11">
        <v>2.2999999999999998</v>
      </c>
      <c r="R5527" s="11"/>
      <c r="S5527" s="11"/>
      <c r="T5527" s="11"/>
      <c r="U5527" s="11">
        <f t="shared" si="1801"/>
        <v>2.2999999999999998</v>
      </c>
      <c r="W5527">
        <v>2.5</v>
      </c>
      <c r="X5527" s="1" t="s">
        <v>20</v>
      </c>
    </row>
    <row r="5528" spans="1:24" x14ac:dyDescent="0.25">
      <c r="A5528" s="1" t="str">
        <f t="shared" si="1802"/>
        <v>卡卡杜-凤凰仓</v>
      </c>
      <c r="B5528" s="1" t="str">
        <f>"CK2024101919750"</f>
        <v>CK2024101919750</v>
      </c>
      <c r="C5528" s="1" t="str">
        <f>"DD2024101930510"</f>
        <v>DD2024101930510</v>
      </c>
      <c r="D5528" s="1" t="str">
        <f>"CK2024101920597"</f>
        <v>CK2024101920597</v>
      </c>
      <c r="E5528" s="1" t="str">
        <f>"6935152962077726225"</f>
        <v>6935152962077726225</v>
      </c>
      <c r="F5528" s="1" t="str">
        <f t="shared" si="1803"/>
        <v>花都四部-凤凰仓</v>
      </c>
      <c r="G5528" s="1" t="str">
        <f t="shared" si="1797"/>
        <v>卡卡杜个人护理店（抖店）</v>
      </c>
      <c r="H5528" s="1" t="str">
        <f t="shared" si="1804"/>
        <v>正常订单</v>
      </c>
      <c r="I5528" s="1" t="str">
        <f t="shared" si="1805"/>
        <v>已发货</v>
      </c>
      <c r="J5528" s="1" t="str">
        <f t="shared" si="1807"/>
        <v>3</v>
      </c>
      <c r="K5528" s="1">
        <v>2</v>
      </c>
      <c r="L5528" s="1" t="s">
        <v>20</v>
      </c>
      <c r="M5528" s="1" t="str">
        <f>"浙江省 杭州市 余杭区 "</f>
        <v xml:space="preserve">浙江省 杭州市 余杭区 </v>
      </c>
      <c r="N5528" s="1" t="str">
        <f t="shared" si="1798"/>
        <v>凡华云仓-城南圆通-抖音</v>
      </c>
      <c r="O5528" s="5" t="s">
        <v>5541</v>
      </c>
      <c r="P5528" s="6">
        <v>0.35</v>
      </c>
      <c r="Q5528" s="11">
        <v>2.2999999999999998</v>
      </c>
      <c r="R5528" s="11"/>
      <c r="S5528" s="11"/>
      <c r="T5528" s="11"/>
      <c r="U5528" s="11">
        <f t="shared" si="1801"/>
        <v>2.2999999999999998</v>
      </c>
      <c r="W5528">
        <v>2.5</v>
      </c>
      <c r="X5528" s="1" t="s">
        <v>20</v>
      </c>
    </row>
    <row r="5529" spans="1:24" x14ac:dyDescent="0.25">
      <c r="A5529" s="1" t="str">
        <f t="shared" si="1802"/>
        <v>卡卡杜-凤凰仓</v>
      </c>
      <c r="B5529" s="1" t="str">
        <f>"CK2024101919751"</f>
        <v>CK2024101919751</v>
      </c>
      <c r="C5529" s="1" t="str">
        <f>"DD2024101930509"</f>
        <v>DD2024101930509</v>
      </c>
      <c r="D5529" s="1" t="str">
        <f>"CK2024101920596"</f>
        <v>CK2024101920596</v>
      </c>
      <c r="E5529" s="1" t="str">
        <f>"6935186111402808386"</f>
        <v>6935186111402808386</v>
      </c>
      <c r="F5529" s="1" t="str">
        <f t="shared" si="1803"/>
        <v>花都四部-凤凰仓</v>
      </c>
      <c r="G5529" s="1" t="str">
        <f t="shared" si="1797"/>
        <v>卡卡杜个人护理店（抖店）</v>
      </c>
      <c r="H5529" s="1" t="str">
        <f t="shared" si="1804"/>
        <v>正常订单</v>
      </c>
      <c r="I5529" s="1" t="str">
        <f t="shared" si="1805"/>
        <v>已发货</v>
      </c>
      <c r="J5529" s="1" t="str">
        <f t="shared" si="1807"/>
        <v>3</v>
      </c>
      <c r="K5529" s="1">
        <v>2</v>
      </c>
      <c r="L5529" s="1" t="s">
        <v>36</v>
      </c>
      <c r="M5529" s="1" t="str">
        <f>"安徽省 宣城市 广德市 桃州镇"</f>
        <v>安徽省 宣城市 广德市 桃州镇</v>
      </c>
      <c r="N5529" s="1" t="str">
        <f t="shared" si="1798"/>
        <v>凡华云仓-城南圆通-抖音</v>
      </c>
      <c r="O5529" s="5" t="s">
        <v>5542</v>
      </c>
      <c r="P5529" s="6">
        <v>0.35</v>
      </c>
      <c r="Q5529" s="11">
        <v>2.2999999999999998</v>
      </c>
      <c r="R5529" s="11"/>
      <c r="S5529" s="11"/>
      <c r="T5529" s="11"/>
      <c r="U5529" s="11">
        <f t="shared" si="1801"/>
        <v>2.2999999999999998</v>
      </c>
      <c r="W5529">
        <v>2.5</v>
      </c>
      <c r="X5529" s="1" t="s">
        <v>36</v>
      </c>
    </row>
    <row r="5530" spans="1:24" x14ac:dyDescent="0.25">
      <c r="A5530" s="1" t="str">
        <f t="shared" si="1802"/>
        <v>卡卡杜-凤凰仓</v>
      </c>
      <c r="B5530" s="1" t="str">
        <f>"CK2024101919752"</f>
        <v>CK2024101919752</v>
      </c>
      <c r="C5530" s="1" t="str">
        <f>"DD2024101930506"</f>
        <v>DD2024101930506</v>
      </c>
      <c r="D5530" s="1" t="str">
        <f>"CK2024101920595"</f>
        <v>CK2024101920595</v>
      </c>
      <c r="E5530" s="1" t="str">
        <f>"6935184264024167877"</f>
        <v>6935184264024167877</v>
      </c>
      <c r="F5530" s="1" t="str">
        <f t="shared" si="1803"/>
        <v>花都四部-凤凰仓</v>
      </c>
      <c r="G5530" s="1" t="str">
        <f t="shared" si="1797"/>
        <v>卡卡杜个人护理店（抖店）</v>
      </c>
      <c r="H5530" s="1" t="str">
        <f t="shared" si="1804"/>
        <v>正常订单</v>
      </c>
      <c r="I5530" s="1" t="str">
        <f t="shared" si="1805"/>
        <v>已发货</v>
      </c>
      <c r="J5530" s="1" t="str">
        <f t="shared" si="1807"/>
        <v>3</v>
      </c>
      <c r="K5530" s="1">
        <v>2</v>
      </c>
      <c r="L5530" s="1" t="s">
        <v>20</v>
      </c>
      <c r="M5530" s="1" t="str">
        <f>"浙江省 台州市 天台县 坦头镇"</f>
        <v>浙江省 台州市 天台县 坦头镇</v>
      </c>
      <c r="N5530" s="1" t="str">
        <f t="shared" si="1798"/>
        <v>凡华云仓-城南圆通-抖音</v>
      </c>
      <c r="O5530" s="5" t="s">
        <v>5543</v>
      </c>
      <c r="P5530" s="6">
        <v>0.35</v>
      </c>
      <c r="Q5530" s="11">
        <v>2.2999999999999998</v>
      </c>
      <c r="R5530" s="11"/>
      <c r="S5530" s="11"/>
      <c r="T5530" s="11"/>
      <c r="U5530" s="11">
        <f t="shared" si="1801"/>
        <v>2.2999999999999998</v>
      </c>
      <c r="W5530">
        <v>2.5</v>
      </c>
      <c r="X5530" s="1" t="s">
        <v>20</v>
      </c>
    </row>
    <row r="5531" spans="1:24" x14ac:dyDescent="0.25">
      <c r="A5531" s="1" t="str">
        <f t="shared" si="1802"/>
        <v>卡卡杜-凤凰仓</v>
      </c>
      <c r="B5531" s="1" t="str">
        <f>"CK2024101919753"</f>
        <v>CK2024101919753</v>
      </c>
      <c r="C5531" s="1" t="str">
        <f>"DD2024101930512"</f>
        <v>DD2024101930512</v>
      </c>
      <c r="D5531" s="1" t="str">
        <f>"CK2024101920594"</f>
        <v>CK2024101920594</v>
      </c>
      <c r="E5531" s="1" t="str">
        <f>"6935184199405672003"</f>
        <v>6935184199405672003</v>
      </c>
      <c r="F5531" s="1" t="str">
        <f t="shared" si="1803"/>
        <v>花都四部-凤凰仓</v>
      </c>
      <c r="G5531" s="1" t="str">
        <f t="shared" si="1797"/>
        <v>卡卡杜个人护理店（抖店）</v>
      </c>
      <c r="H5531" s="1" t="str">
        <f t="shared" si="1804"/>
        <v>正常订单</v>
      </c>
      <c r="I5531" s="1" t="str">
        <f t="shared" si="1805"/>
        <v>已发货</v>
      </c>
      <c r="J5531" s="1" t="str">
        <f t="shared" si="1807"/>
        <v>3</v>
      </c>
      <c r="K5531" s="1">
        <v>2</v>
      </c>
      <c r="L5531" s="1" t="s">
        <v>96</v>
      </c>
      <c r="M5531" s="1" t="str">
        <f>"广西壮族自治区 柳州市 融水苗族自治县 "</f>
        <v xml:space="preserve">广西壮族自治区 柳州市 融水苗族自治县 </v>
      </c>
      <c r="N5531" s="1" t="str">
        <f t="shared" si="1798"/>
        <v>凡华云仓-城南圆通-抖音</v>
      </c>
      <c r="O5531" s="5" t="s">
        <v>5544</v>
      </c>
      <c r="P5531" s="6">
        <v>0.35</v>
      </c>
      <c r="Q5531" s="11">
        <v>2.2999999999999998</v>
      </c>
      <c r="R5531" s="11"/>
      <c r="S5531" s="11"/>
      <c r="T5531" s="11"/>
      <c r="U5531" s="11">
        <f t="shared" si="1801"/>
        <v>2.2999999999999998</v>
      </c>
      <c r="W5531">
        <v>2.5</v>
      </c>
      <c r="X5531" s="1" t="s">
        <v>96</v>
      </c>
    </row>
    <row r="5532" spans="1:24" x14ac:dyDescent="0.25">
      <c r="A5532" s="1" t="str">
        <f t="shared" si="1802"/>
        <v>卡卡杜-凤凰仓</v>
      </c>
      <c r="B5532" s="1" t="str">
        <f>"CK2024101919755"</f>
        <v>CK2024101919755</v>
      </c>
      <c r="C5532" s="1" t="str">
        <f>"DD2024101930514"</f>
        <v>DD2024101930514</v>
      </c>
      <c r="D5532" s="1" t="str">
        <f>"CK2024101920593"</f>
        <v>CK2024101920593</v>
      </c>
      <c r="E5532" s="1" t="str">
        <f>"6935159680125375516"</f>
        <v>6935159680125375516</v>
      </c>
      <c r="F5532" s="1" t="str">
        <f t="shared" si="1803"/>
        <v>花都四部-凤凰仓</v>
      </c>
      <c r="G5532" s="1" t="str">
        <f t="shared" si="1797"/>
        <v>卡卡杜个人护理店（抖店）</v>
      </c>
      <c r="H5532" s="1" t="str">
        <f t="shared" si="1804"/>
        <v>正常订单</v>
      </c>
      <c r="I5532" s="1" t="str">
        <f t="shared" si="1805"/>
        <v>已发货</v>
      </c>
      <c r="J5532" s="1" t="str">
        <f t="shared" si="1807"/>
        <v>3</v>
      </c>
      <c r="K5532" s="1">
        <v>2</v>
      </c>
      <c r="L5532" s="1" t="s">
        <v>60</v>
      </c>
      <c r="M5532" s="1" t="str">
        <f>"云南省 临沧市 沧源佤族自治县 糯良乡"</f>
        <v>云南省 临沧市 沧源佤族自治县 糯良乡</v>
      </c>
      <c r="N5532" s="1" t="str">
        <f t="shared" si="1798"/>
        <v>凡华云仓-城南圆通-抖音</v>
      </c>
      <c r="O5532" s="5" t="s">
        <v>5545</v>
      </c>
      <c r="P5532" s="6">
        <v>0.35</v>
      </c>
      <c r="Q5532" s="11">
        <v>2.2999999999999998</v>
      </c>
      <c r="R5532" s="11"/>
      <c r="S5532" s="11"/>
      <c r="T5532" s="11"/>
      <c r="U5532" s="11">
        <f t="shared" si="1801"/>
        <v>2.2999999999999998</v>
      </c>
      <c r="W5532">
        <v>2.5</v>
      </c>
      <c r="X5532" s="1" t="s">
        <v>60</v>
      </c>
    </row>
    <row r="5533" spans="1:24" x14ac:dyDescent="0.25">
      <c r="A5533" s="1" t="str">
        <f t="shared" si="1802"/>
        <v>卡卡杜-凤凰仓</v>
      </c>
      <c r="B5533" s="1" t="str">
        <f>"CK2024101919756"</f>
        <v>CK2024101919756</v>
      </c>
      <c r="C5533" s="1" t="str">
        <f>"DD2024101930513"</f>
        <v>DD2024101930513</v>
      </c>
      <c r="D5533" s="1" t="str">
        <f>"CK2024101920592"</f>
        <v>CK2024101920592</v>
      </c>
      <c r="E5533" s="1" t="str">
        <f>"6935166467164869826"</f>
        <v>6935166467164869826</v>
      </c>
      <c r="F5533" s="1" t="str">
        <f t="shared" si="1803"/>
        <v>花都四部-凤凰仓</v>
      </c>
      <c r="G5533" s="1" t="str">
        <f t="shared" si="1797"/>
        <v>卡卡杜个人护理店（抖店）</v>
      </c>
      <c r="H5533" s="1" t="str">
        <f t="shared" si="1804"/>
        <v>正常订单</v>
      </c>
      <c r="I5533" s="1" t="str">
        <f t="shared" si="1805"/>
        <v>已发货</v>
      </c>
      <c r="J5533" s="1" t="str">
        <f t="shared" si="1807"/>
        <v>3</v>
      </c>
      <c r="K5533" s="1">
        <v>2</v>
      </c>
      <c r="L5533" s="1" t="s">
        <v>20</v>
      </c>
      <c r="M5533" s="1" t="str">
        <f>"浙江省 金华市 永康市 芝英镇"</f>
        <v>浙江省 金华市 永康市 芝英镇</v>
      </c>
      <c r="N5533" s="1" t="str">
        <f t="shared" si="1798"/>
        <v>凡华云仓-城南圆通-抖音</v>
      </c>
      <c r="O5533" s="5" t="s">
        <v>5546</v>
      </c>
      <c r="P5533" s="6">
        <v>0.35</v>
      </c>
      <c r="Q5533" s="11">
        <v>2.2999999999999998</v>
      </c>
      <c r="R5533" s="11"/>
      <c r="S5533" s="11"/>
      <c r="T5533" s="11"/>
      <c r="U5533" s="11">
        <f t="shared" si="1801"/>
        <v>2.2999999999999998</v>
      </c>
      <c r="W5533">
        <v>2.5</v>
      </c>
      <c r="X5533" s="1" t="s">
        <v>20</v>
      </c>
    </row>
    <row r="5534" spans="1:24" x14ac:dyDescent="0.25">
      <c r="A5534" s="1" t="str">
        <f t="shared" si="1802"/>
        <v>卡卡杜-凤凰仓</v>
      </c>
      <c r="B5534" s="1" t="str">
        <f>"CK2024101919757"</f>
        <v>CK2024101919757</v>
      </c>
      <c r="C5534" s="1" t="str">
        <f>"DD2024101930515"</f>
        <v>DD2024101930515</v>
      </c>
      <c r="D5534" s="1" t="str">
        <f>"CK2024101920591"</f>
        <v>CK2024101920591</v>
      </c>
      <c r="E5534" s="1" t="str">
        <f>"6935155228668204665"</f>
        <v>6935155228668204665</v>
      </c>
      <c r="F5534" s="1" t="str">
        <f t="shared" si="1803"/>
        <v>花都四部-凤凰仓</v>
      </c>
      <c r="G5534" s="1" t="str">
        <f t="shared" si="1797"/>
        <v>卡卡杜个人护理店（抖店）</v>
      </c>
      <c r="H5534" s="1" t="str">
        <f t="shared" si="1804"/>
        <v>正常订单</v>
      </c>
      <c r="I5534" s="1" t="str">
        <f t="shared" si="1805"/>
        <v>已发货</v>
      </c>
      <c r="J5534" s="1" t="str">
        <f t="shared" si="1807"/>
        <v>3</v>
      </c>
      <c r="K5534" s="1">
        <v>2</v>
      </c>
      <c r="L5534" s="1" t="s">
        <v>36</v>
      </c>
      <c r="M5534" s="1" t="str">
        <f>"安徽省 蚌埠市 蚌山区 湖滨社区行政事务管理中心"</f>
        <v>安徽省 蚌埠市 蚌山区 湖滨社区行政事务管理中心</v>
      </c>
      <c r="N5534" s="1" t="str">
        <f t="shared" si="1798"/>
        <v>凡华云仓-城南圆通-抖音</v>
      </c>
      <c r="O5534" s="5" t="s">
        <v>5547</v>
      </c>
      <c r="P5534" s="6">
        <v>0.35</v>
      </c>
      <c r="Q5534" s="11">
        <v>2.2999999999999998</v>
      </c>
      <c r="R5534" s="11"/>
      <c r="S5534" s="11"/>
      <c r="T5534" s="11"/>
      <c r="U5534" s="11">
        <f t="shared" si="1801"/>
        <v>2.2999999999999998</v>
      </c>
      <c r="W5534">
        <v>2.5</v>
      </c>
      <c r="X5534" s="1" t="s">
        <v>36</v>
      </c>
    </row>
    <row r="5535" spans="1:24" x14ac:dyDescent="0.25">
      <c r="A5535" s="1" t="str">
        <f t="shared" si="1802"/>
        <v>卡卡杜-凤凰仓</v>
      </c>
      <c r="B5535" s="1" t="str">
        <f>"CK2024101919758"</f>
        <v>CK2024101919758</v>
      </c>
      <c r="C5535" s="1" t="str">
        <f>"DD2024101930517"</f>
        <v>DD2024101930517</v>
      </c>
      <c r="D5535" s="1" t="str">
        <f>"CK2024101920590"</f>
        <v>CK2024101920590</v>
      </c>
      <c r="E5535" s="1" t="str">
        <f>"6935179680459986174"</f>
        <v>6935179680459986174</v>
      </c>
      <c r="F5535" s="1" t="str">
        <f t="shared" si="1803"/>
        <v>花都四部-凤凰仓</v>
      </c>
      <c r="G5535" s="1" t="str">
        <f t="shared" si="1797"/>
        <v>卡卡杜个人护理店（抖店）</v>
      </c>
      <c r="H5535" s="1" t="str">
        <f t="shared" si="1804"/>
        <v>正常订单</v>
      </c>
      <c r="I5535" s="1" t="str">
        <f t="shared" si="1805"/>
        <v>已发货</v>
      </c>
      <c r="J5535" s="1" t="str">
        <f t="shared" si="1807"/>
        <v>3</v>
      </c>
      <c r="K5535" s="1">
        <v>2</v>
      </c>
      <c r="L5535" s="1" t="s">
        <v>27</v>
      </c>
      <c r="M5535" s="1" t="str">
        <f>"贵州省 黔南布依族苗族自治州 荔波县 玉屏街道"</f>
        <v>贵州省 黔南布依族苗族自治州 荔波县 玉屏街道</v>
      </c>
      <c r="N5535" s="1" t="str">
        <f t="shared" si="1798"/>
        <v>凡华云仓-城南圆通-抖音</v>
      </c>
      <c r="O5535" s="5" t="s">
        <v>5548</v>
      </c>
      <c r="P5535" s="6">
        <v>0.35</v>
      </c>
      <c r="Q5535" s="11">
        <v>2.2999999999999998</v>
      </c>
      <c r="R5535" s="11"/>
      <c r="S5535" s="11"/>
      <c r="T5535" s="11"/>
      <c r="U5535" s="11">
        <f t="shared" si="1801"/>
        <v>2.2999999999999998</v>
      </c>
      <c r="W5535">
        <v>2.5</v>
      </c>
      <c r="X5535" s="1" t="s">
        <v>27</v>
      </c>
    </row>
    <row r="5536" spans="1:24" x14ac:dyDescent="0.25">
      <c r="A5536" s="1" t="str">
        <f t="shared" si="1802"/>
        <v>卡卡杜-凤凰仓</v>
      </c>
      <c r="B5536" s="1" t="str">
        <f>"CK2024101919759"</f>
        <v>CK2024101919759</v>
      </c>
      <c r="C5536" s="1" t="str">
        <f>"DD2024101930518"</f>
        <v>DD2024101930518</v>
      </c>
      <c r="D5536" s="1" t="str">
        <f>"CK2024101920589"</f>
        <v>CK2024101920589</v>
      </c>
      <c r="E5536" s="1" t="str">
        <f>"6935159694579013405"</f>
        <v>6935159694579013405</v>
      </c>
      <c r="F5536" s="1" t="str">
        <f t="shared" si="1803"/>
        <v>花都四部-凤凰仓</v>
      </c>
      <c r="G5536" s="1" t="str">
        <f t="shared" si="1797"/>
        <v>卡卡杜个人护理店（抖店）</v>
      </c>
      <c r="H5536" s="1" t="str">
        <f t="shared" si="1804"/>
        <v>正常订单</v>
      </c>
      <c r="I5536" s="1" t="str">
        <f t="shared" si="1805"/>
        <v>已发货</v>
      </c>
      <c r="J5536" s="1" t="str">
        <f t="shared" si="1807"/>
        <v>3</v>
      </c>
      <c r="K5536" s="1">
        <v>2</v>
      </c>
      <c r="L5536" s="1" t="s">
        <v>30</v>
      </c>
      <c r="M5536" s="1" t="str">
        <f>"山东省 菏泽市 东明县 沙窝镇"</f>
        <v>山东省 菏泽市 东明县 沙窝镇</v>
      </c>
      <c r="N5536" s="1" t="str">
        <f t="shared" si="1798"/>
        <v>凡华云仓-城南圆通-抖音</v>
      </c>
      <c r="O5536" s="5" t="s">
        <v>5549</v>
      </c>
      <c r="P5536" s="6">
        <v>0.35</v>
      </c>
      <c r="Q5536" s="11">
        <v>2.2999999999999998</v>
      </c>
      <c r="R5536" s="11"/>
      <c r="S5536" s="11"/>
      <c r="T5536" s="11"/>
      <c r="U5536" s="11">
        <f t="shared" si="1801"/>
        <v>2.2999999999999998</v>
      </c>
      <c r="W5536">
        <v>2.5</v>
      </c>
      <c r="X5536" s="1" t="s">
        <v>30</v>
      </c>
    </row>
    <row r="5537" spans="1:24" x14ac:dyDescent="0.25">
      <c r="A5537" s="1" t="str">
        <f t="shared" si="1802"/>
        <v>卡卡杜-凤凰仓</v>
      </c>
      <c r="B5537" s="1" t="str">
        <f>"CK2024101919760"</f>
        <v>CK2024101919760</v>
      </c>
      <c r="C5537" s="1" t="str">
        <f>"DD2024101930522"</f>
        <v>DD2024101930522</v>
      </c>
      <c r="D5537" s="1" t="str">
        <f>"CK2024101920588"</f>
        <v>CK2024101920588</v>
      </c>
      <c r="E5537" s="1" t="str">
        <f>"6935177975638136789"</f>
        <v>6935177975638136789</v>
      </c>
      <c r="F5537" s="1" t="str">
        <f t="shared" si="1803"/>
        <v>花都四部-凤凰仓</v>
      </c>
      <c r="G5537" s="1" t="str">
        <f t="shared" si="1797"/>
        <v>卡卡杜个人护理店（抖店）</v>
      </c>
      <c r="H5537" s="1" t="str">
        <f t="shared" si="1804"/>
        <v>正常订单</v>
      </c>
      <c r="I5537" s="1" t="str">
        <f t="shared" si="1805"/>
        <v>已发货</v>
      </c>
      <c r="J5537" s="1" t="str">
        <f t="shared" si="1807"/>
        <v>3</v>
      </c>
      <c r="K5537" s="1">
        <v>2</v>
      </c>
      <c r="L5537" s="1" t="s">
        <v>20</v>
      </c>
      <c r="M5537" s="1" t="str">
        <f>"浙江省 金华市 义乌市 稠江街道"</f>
        <v>浙江省 金华市 义乌市 稠江街道</v>
      </c>
      <c r="N5537" s="1" t="str">
        <f t="shared" si="1798"/>
        <v>凡华云仓-城南圆通-抖音</v>
      </c>
      <c r="O5537" s="5" t="s">
        <v>5550</v>
      </c>
      <c r="P5537" s="6">
        <v>0.35</v>
      </c>
      <c r="Q5537" s="11">
        <v>2.2999999999999998</v>
      </c>
      <c r="R5537" s="11"/>
      <c r="S5537" s="11"/>
      <c r="T5537" s="11"/>
      <c r="U5537" s="11">
        <f t="shared" si="1801"/>
        <v>2.2999999999999998</v>
      </c>
      <c r="W5537">
        <v>2.5</v>
      </c>
      <c r="X5537" s="1" t="s">
        <v>20</v>
      </c>
    </row>
    <row r="5538" spans="1:24" x14ac:dyDescent="0.25">
      <c r="A5538" s="1" t="str">
        <f t="shared" si="1802"/>
        <v>卡卡杜-凤凰仓</v>
      </c>
      <c r="B5538" s="1" t="str">
        <f>"CK2024101919761"</f>
        <v>CK2024101919761</v>
      </c>
      <c r="C5538" s="1" t="str">
        <f>"DD2024101930519"</f>
        <v>DD2024101930519</v>
      </c>
      <c r="D5538" s="1" t="str">
        <f>"CK2024101920587"</f>
        <v>CK2024101920587</v>
      </c>
      <c r="E5538" s="1" t="str">
        <f>"6935173240682583338"</f>
        <v>6935173240682583338</v>
      </c>
      <c r="F5538" s="1" t="str">
        <f t="shared" si="1803"/>
        <v>花都四部-凤凰仓</v>
      </c>
      <c r="G5538" s="1" t="str">
        <f t="shared" si="1797"/>
        <v>卡卡杜个人护理店（抖店）</v>
      </c>
      <c r="H5538" s="1" t="str">
        <f t="shared" si="1804"/>
        <v>正常订单</v>
      </c>
      <c r="I5538" s="1" t="str">
        <f t="shared" si="1805"/>
        <v>已发货</v>
      </c>
      <c r="J5538" s="1" t="str">
        <f t="shared" si="1807"/>
        <v>3</v>
      </c>
      <c r="K5538" s="1">
        <v>2</v>
      </c>
      <c r="L5538" s="1" t="s">
        <v>20</v>
      </c>
      <c r="M5538" s="1" t="str">
        <f>"浙江省 金华市 永康市 东城街道"</f>
        <v>浙江省 金华市 永康市 东城街道</v>
      </c>
      <c r="N5538" s="1" t="str">
        <f t="shared" si="1798"/>
        <v>凡华云仓-城南圆通-抖音</v>
      </c>
      <c r="O5538" s="5" t="s">
        <v>5551</v>
      </c>
      <c r="P5538" s="6">
        <v>0.35</v>
      </c>
      <c r="Q5538" s="11">
        <v>2.2999999999999998</v>
      </c>
      <c r="R5538" s="11"/>
      <c r="S5538" s="11"/>
      <c r="T5538" s="11"/>
      <c r="U5538" s="11">
        <f t="shared" si="1801"/>
        <v>2.2999999999999998</v>
      </c>
      <c r="W5538">
        <v>2.5</v>
      </c>
      <c r="X5538" s="1" t="s">
        <v>20</v>
      </c>
    </row>
    <row r="5539" spans="1:24" x14ac:dyDescent="0.25">
      <c r="A5539" s="1" t="str">
        <f t="shared" si="1802"/>
        <v>卡卡杜-凤凰仓</v>
      </c>
      <c r="B5539" s="1" t="str">
        <f>"CK2024101919762"</f>
        <v>CK2024101919762</v>
      </c>
      <c r="C5539" s="1" t="str">
        <f>"DD2024101930520"</f>
        <v>DD2024101930520</v>
      </c>
      <c r="D5539" s="1" t="str">
        <f>"CK2024101920586"</f>
        <v>CK2024101920586</v>
      </c>
      <c r="E5539" s="1" t="str">
        <f>"6935190768071612251"</f>
        <v>6935190768071612251</v>
      </c>
      <c r="F5539" s="1" t="str">
        <f t="shared" si="1803"/>
        <v>花都四部-凤凰仓</v>
      </c>
      <c r="G5539" s="1" t="str">
        <f t="shared" si="1797"/>
        <v>卡卡杜个人护理店（抖店）</v>
      </c>
      <c r="H5539" s="1" t="str">
        <f t="shared" si="1804"/>
        <v>正常订单</v>
      </c>
      <c r="I5539" s="1" t="str">
        <f t="shared" si="1805"/>
        <v>已发货</v>
      </c>
      <c r="J5539" s="1" t="str">
        <f t="shared" si="1807"/>
        <v>3</v>
      </c>
      <c r="K5539" s="1">
        <v>2</v>
      </c>
      <c r="L5539" s="1" t="s">
        <v>18</v>
      </c>
      <c r="M5539" s="1" t="str">
        <f>"广东省 东莞市 东莞市 塘厦镇"</f>
        <v>广东省 东莞市 东莞市 塘厦镇</v>
      </c>
      <c r="N5539" s="1" t="str">
        <f t="shared" si="1798"/>
        <v>凡华云仓-城南圆通-抖音</v>
      </c>
      <c r="O5539" s="5" t="s">
        <v>5552</v>
      </c>
      <c r="P5539" s="6">
        <v>0.35</v>
      </c>
      <c r="Q5539" s="11">
        <v>2.2999999999999998</v>
      </c>
      <c r="R5539" s="11"/>
      <c r="S5539" s="11"/>
      <c r="T5539" s="11"/>
      <c r="U5539" s="11">
        <f t="shared" si="1801"/>
        <v>2.2999999999999998</v>
      </c>
      <c r="W5539">
        <v>2.5</v>
      </c>
      <c r="X5539" s="1" t="s">
        <v>18</v>
      </c>
    </row>
    <row r="5540" spans="1:24" x14ac:dyDescent="0.25">
      <c r="A5540" s="1" t="str">
        <f t="shared" si="1802"/>
        <v>卡卡杜-凤凰仓</v>
      </c>
      <c r="B5540" s="1" t="str">
        <f>"CK2024101919763"</f>
        <v>CK2024101919763</v>
      </c>
      <c r="C5540" s="1" t="str">
        <f>"DD2024101930521"</f>
        <v>DD2024101930521</v>
      </c>
      <c r="D5540" s="1" t="str">
        <f>"CK2024101920585"</f>
        <v>CK2024101920585</v>
      </c>
      <c r="E5540" s="1" t="str">
        <f>"6935186031157778381"</f>
        <v>6935186031157778381</v>
      </c>
      <c r="F5540" s="1" t="str">
        <f t="shared" si="1803"/>
        <v>花都四部-凤凰仓</v>
      </c>
      <c r="G5540" s="1" t="str">
        <f t="shared" si="1797"/>
        <v>卡卡杜个人护理店（抖店）</v>
      </c>
      <c r="H5540" s="1" t="str">
        <f t="shared" si="1804"/>
        <v>正常订单</v>
      </c>
      <c r="I5540" s="1" t="str">
        <f t="shared" si="1805"/>
        <v>已发货</v>
      </c>
      <c r="J5540" s="1" t="str">
        <f t="shared" si="1807"/>
        <v>3</v>
      </c>
      <c r="K5540" s="1">
        <v>2</v>
      </c>
      <c r="L5540" s="1" t="s">
        <v>60</v>
      </c>
      <c r="M5540" s="1" t="str">
        <f>"云南省 曲靖市 陆良县 中枢街道"</f>
        <v>云南省 曲靖市 陆良县 中枢街道</v>
      </c>
      <c r="N5540" s="1" t="str">
        <f t="shared" si="1798"/>
        <v>凡华云仓-城南圆通-抖音</v>
      </c>
      <c r="O5540" s="5" t="s">
        <v>5553</v>
      </c>
      <c r="P5540" s="6">
        <v>0.35</v>
      </c>
      <c r="Q5540" s="11">
        <v>2.2999999999999998</v>
      </c>
      <c r="R5540" s="11"/>
      <c r="S5540" s="11"/>
      <c r="T5540" s="11"/>
      <c r="U5540" s="11">
        <f t="shared" si="1801"/>
        <v>2.2999999999999998</v>
      </c>
      <c r="W5540">
        <v>2.5</v>
      </c>
      <c r="X5540" s="1" t="s">
        <v>60</v>
      </c>
    </row>
    <row r="5541" spans="1:24" x14ac:dyDescent="0.25">
      <c r="A5541" s="1" t="str">
        <f t="shared" si="1802"/>
        <v>卡卡杜-凤凰仓</v>
      </c>
      <c r="B5541" s="1" t="str">
        <f>"CK2024101919764"</f>
        <v>CK2024101919764</v>
      </c>
      <c r="C5541" s="1" t="str">
        <f>"DD2024101930523"</f>
        <v>DD2024101930523</v>
      </c>
      <c r="D5541" s="1" t="str">
        <f>"CK2024101920584"</f>
        <v>CK2024101920584</v>
      </c>
      <c r="E5541" s="1" t="str">
        <f>"6935184263863604459"</f>
        <v>6935184263863604459</v>
      </c>
      <c r="F5541" s="1" t="str">
        <f t="shared" si="1803"/>
        <v>花都四部-凤凰仓</v>
      </c>
      <c r="G5541" s="1" t="str">
        <f t="shared" si="1797"/>
        <v>卡卡杜个人护理店（抖店）</v>
      </c>
      <c r="H5541" s="1" t="str">
        <f t="shared" si="1804"/>
        <v>正常订单</v>
      </c>
      <c r="I5541" s="1" t="str">
        <f t="shared" si="1805"/>
        <v>已发货</v>
      </c>
      <c r="J5541" s="1" t="str">
        <f t="shared" si="1807"/>
        <v>3</v>
      </c>
      <c r="K5541" s="1">
        <v>2</v>
      </c>
      <c r="L5541" s="1" t="s">
        <v>13</v>
      </c>
      <c r="M5541" s="1" t="str">
        <f>"江苏省 苏州市 常熟市 辛庄镇"</f>
        <v>江苏省 苏州市 常熟市 辛庄镇</v>
      </c>
      <c r="N5541" s="1" t="str">
        <f t="shared" si="1798"/>
        <v>凡华云仓-城南圆通-抖音</v>
      </c>
      <c r="O5541" s="5" t="s">
        <v>5554</v>
      </c>
      <c r="P5541" s="6">
        <v>0.35</v>
      </c>
      <c r="Q5541" s="11">
        <v>2.2999999999999998</v>
      </c>
      <c r="R5541" s="11"/>
      <c r="S5541" s="11"/>
      <c r="T5541" s="11"/>
      <c r="U5541" s="11">
        <f t="shared" si="1801"/>
        <v>2.2999999999999998</v>
      </c>
      <c r="W5541">
        <v>2.5</v>
      </c>
      <c r="X5541" s="1" t="s">
        <v>13</v>
      </c>
    </row>
    <row r="5542" spans="1:24" x14ac:dyDescent="0.25">
      <c r="A5542" s="1" t="str">
        <f t="shared" si="1802"/>
        <v>卡卡杜-凤凰仓</v>
      </c>
      <c r="B5542" s="1" t="str">
        <f>"CK2024101919765"</f>
        <v>CK2024101919765</v>
      </c>
      <c r="C5542" s="1" t="str">
        <f>"DD2024101930527"</f>
        <v>DD2024101930527</v>
      </c>
      <c r="D5542" s="1" t="str">
        <f>"CK2024101920583"</f>
        <v>CK2024101920583</v>
      </c>
      <c r="E5542" s="1" t="str">
        <f>"6935182194262218179"</f>
        <v>6935182194262218179</v>
      </c>
      <c r="F5542" s="1" t="str">
        <f t="shared" si="1803"/>
        <v>花都四部-凤凰仓</v>
      </c>
      <c r="G5542" s="1" t="str">
        <f t="shared" si="1797"/>
        <v>卡卡杜个人护理店（抖店）</v>
      </c>
      <c r="H5542" s="1" t="str">
        <f t="shared" si="1804"/>
        <v>正常订单</v>
      </c>
      <c r="I5542" s="1" t="str">
        <f t="shared" si="1805"/>
        <v>已发货</v>
      </c>
      <c r="J5542" s="1" t="str">
        <f t="shared" si="1807"/>
        <v>3</v>
      </c>
      <c r="K5542" s="1">
        <v>2</v>
      </c>
      <c r="L5542" s="1" t="s">
        <v>74</v>
      </c>
      <c r="M5542" s="1" t="str">
        <f>"上海 上海市 闵行区 莘庄镇"</f>
        <v>上海 上海市 闵行区 莘庄镇</v>
      </c>
      <c r="N5542" s="1" t="str">
        <f t="shared" si="1798"/>
        <v>凡华云仓-城南圆通-抖音</v>
      </c>
      <c r="O5542" s="5" t="s">
        <v>5555</v>
      </c>
      <c r="P5542" s="6">
        <v>0.35</v>
      </c>
      <c r="Q5542" s="11">
        <v>2.2999999999999998</v>
      </c>
      <c r="R5542" s="11"/>
      <c r="S5542" s="11"/>
      <c r="T5542" s="11"/>
      <c r="U5542" s="11">
        <f t="shared" si="1801"/>
        <v>2.2999999999999998</v>
      </c>
      <c r="W5542">
        <v>2.5</v>
      </c>
      <c r="X5542" s="1" t="s">
        <v>74</v>
      </c>
    </row>
    <row r="5543" spans="1:24" x14ac:dyDescent="0.25">
      <c r="A5543" s="1" t="str">
        <f t="shared" si="1802"/>
        <v>卡卡杜-凤凰仓</v>
      </c>
      <c r="B5543" s="1" t="str">
        <f>"CK2024101919766"</f>
        <v>CK2024101919766</v>
      </c>
      <c r="C5543" s="1" t="str">
        <f>"DD2024101930524"</f>
        <v>DD2024101930524</v>
      </c>
      <c r="D5543" s="1" t="str">
        <f>"CK2024101920582"</f>
        <v>CK2024101920582</v>
      </c>
      <c r="E5543" s="1" t="str">
        <f>"6935169080168158491"</f>
        <v>6935169080168158491</v>
      </c>
      <c r="F5543" s="1" t="str">
        <f t="shared" si="1803"/>
        <v>花都四部-凤凰仓</v>
      </c>
      <c r="G5543" s="1" t="str">
        <f t="shared" si="1797"/>
        <v>卡卡杜个人护理店（抖店）</v>
      </c>
      <c r="H5543" s="1" t="str">
        <f t="shared" si="1804"/>
        <v>正常订单</v>
      </c>
      <c r="I5543" s="1" t="str">
        <f t="shared" si="1805"/>
        <v>已发货</v>
      </c>
      <c r="J5543" s="1" t="str">
        <f t="shared" si="1807"/>
        <v>3</v>
      </c>
      <c r="K5543" s="1">
        <v>2</v>
      </c>
      <c r="L5543" s="1" t="s">
        <v>20</v>
      </c>
      <c r="M5543" s="1" t="str">
        <f>"浙江省 绍兴市 嵊州市 长乐镇"</f>
        <v>浙江省 绍兴市 嵊州市 长乐镇</v>
      </c>
      <c r="N5543" s="1" t="str">
        <f t="shared" si="1798"/>
        <v>凡华云仓-城南圆通-抖音</v>
      </c>
      <c r="O5543" s="5" t="s">
        <v>5556</v>
      </c>
      <c r="P5543" s="6">
        <v>0.35</v>
      </c>
      <c r="Q5543" s="11">
        <v>2.2999999999999998</v>
      </c>
      <c r="R5543" s="11"/>
      <c r="S5543" s="11"/>
      <c r="T5543" s="11"/>
      <c r="U5543" s="11">
        <f t="shared" si="1801"/>
        <v>2.2999999999999998</v>
      </c>
      <c r="W5543">
        <v>2.5</v>
      </c>
      <c r="X5543" s="1" t="s">
        <v>20</v>
      </c>
    </row>
    <row r="5544" spans="1:24" x14ac:dyDescent="0.25">
      <c r="A5544" s="1" t="str">
        <f t="shared" si="1802"/>
        <v>卡卡杜-凤凰仓</v>
      </c>
      <c r="B5544" s="1" t="str">
        <f>"CK2024101919767"</f>
        <v>CK2024101919767</v>
      </c>
      <c r="C5544" s="1" t="str">
        <f>"DD2024101930528"</f>
        <v>DD2024101930528</v>
      </c>
      <c r="D5544" s="1" t="str">
        <f>"CK2024101920581"</f>
        <v>CK2024101920581</v>
      </c>
      <c r="E5544" s="1" t="str">
        <f>"6935179574705199063"</f>
        <v>6935179574705199063</v>
      </c>
      <c r="F5544" s="1" t="str">
        <f t="shared" si="1803"/>
        <v>花都四部-凤凰仓</v>
      </c>
      <c r="G5544" s="1" t="str">
        <f t="shared" si="1797"/>
        <v>卡卡杜个人护理店（抖店）</v>
      </c>
      <c r="H5544" s="1" t="str">
        <f t="shared" si="1804"/>
        <v>正常订单</v>
      </c>
      <c r="I5544" s="1" t="str">
        <f t="shared" si="1805"/>
        <v>已发货</v>
      </c>
      <c r="J5544" s="1" t="str">
        <f t="shared" si="1807"/>
        <v>3</v>
      </c>
      <c r="K5544" s="1">
        <v>2</v>
      </c>
      <c r="L5544" s="1" t="s">
        <v>13</v>
      </c>
      <c r="M5544" s="1" t="str">
        <f>"江苏省 常州市 新北区 西夏墅镇"</f>
        <v>江苏省 常州市 新北区 西夏墅镇</v>
      </c>
      <c r="N5544" s="1" t="str">
        <f t="shared" si="1798"/>
        <v>凡华云仓-城南圆通-抖音</v>
      </c>
      <c r="O5544" s="5" t="s">
        <v>5557</v>
      </c>
      <c r="P5544" s="6">
        <v>0.35</v>
      </c>
      <c r="Q5544" s="11">
        <v>2.2999999999999998</v>
      </c>
      <c r="R5544" s="11"/>
      <c r="S5544" s="11"/>
      <c r="T5544" s="11"/>
      <c r="U5544" s="11">
        <f t="shared" si="1801"/>
        <v>2.2999999999999998</v>
      </c>
      <c r="W5544">
        <v>2.5</v>
      </c>
      <c r="X5544" s="1" t="s">
        <v>13</v>
      </c>
    </row>
    <row r="5545" spans="1:24" x14ac:dyDescent="0.25">
      <c r="A5545" s="1" t="str">
        <f t="shared" si="1802"/>
        <v>卡卡杜-凤凰仓</v>
      </c>
      <c r="B5545" s="1" t="str">
        <f>"CK2024101919768"</f>
        <v>CK2024101919768</v>
      </c>
      <c r="C5545" s="1" t="str">
        <f>"DD2024101930526"</f>
        <v>DD2024101930526</v>
      </c>
      <c r="D5545" s="1" t="str">
        <f>"CK2024101920580"</f>
        <v>CK2024101920580</v>
      </c>
      <c r="E5545" s="1" t="str">
        <f>"6935171293593409386"</f>
        <v>6935171293593409386</v>
      </c>
      <c r="F5545" s="1" t="str">
        <f t="shared" si="1803"/>
        <v>花都四部-凤凰仓</v>
      </c>
      <c r="G5545" s="1" t="str">
        <f t="shared" si="1797"/>
        <v>卡卡杜个人护理店（抖店）</v>
      </c>
      <c r="H5545" s="1" t="str">
        <f t="shared" si="1804"/>
        <v>正常订单</v>
      </c>
      <c r="I5545" s="1" t="str">
        <f t="shared" si="1805"/>
        <v>已发货</v>
      </c>
      <c r="J5545" s="1" t="str">
        <f t="shared" si="1807"/>
        <v>3</v>
      </c>
      <c r="K5545" s="1">
        <v>2</v>
      </c>
      <c r="L5545" s="1" t="s">
        <v>18</v>
      </c>
      <c r="M5545" s="1" t="str">
        <f>"广东省 阳江市 阳春市 松柏镇"</f>
        <v>广东省 阳江市 阳春市 松柏镇</v>
      </c>
      <c r="N5545" s="1" t="str">
        <f t="shared" si="1798"/>
        <v>凡华云仓-城南圆通-抖音</v>
      </c>
      <c r="O5545" s="5" t="s">
        <v>5558</v>
      </c>
      <c r="P5545" s="6">
        <v>0.35</v>
      </c>
      <c r="Q5545" s="11">
        <v>2.2999999999999998</v>
      </c>
      <c r="R5545" s="11"/>
      <c r="S5545" s="11"/>
      <c r="T5545" s="11"/>
      <c r="U5545" s="11">
        <f t="shared" si="1801"/>
        <v>2.2999999999999998</v>
      </c>
      <c r="W5545">
        <v>2.5</v>
      </c>
      <c r="X5545" s="1" t="s">
        <v>18</v>
      </c>
    </row>
    <row r="5546" spans="1:24" x14ac:dyDescent="0.25">
      <c r="A5546" s="1" t="str">
        <f t="shared" si="1802"/>
        <v>卡卡杜-凤凰仓</v>
      </c>
      <c r="B5546" s="1" t="str">
        <f>"CK2024101919769"</f>
        <v>CK2024101919769</v>
      </c>
      <c r="C5546" s="1" t="str">
        <f>"DD2024101930525"</f>
        <v>DD2024101930525</v>
      </c>
      <c r="D5546" s="1" t="str">
        <f>"CK2024101920579"</f>
        <v>CK2024101920579</v>
      </c>
      <c r="E5546" s="1" t="str">
        <f>"6935164134607230589"</f>
        <v>6935164134607230589</v>
      </c>
      <c r="F5546" s="1" t="str">
        <f t="shared" si="1803"/>
        <v>花都四部-凤凰仓</v>
      </c>
      <c r="G5546" s="1" t="str">
        <f t="shared" si="1797"/>
        <v>卡卡杜个人护理店（抖店）</v>
      </c>
      <c r="H5546" s="1" t="str">
        <f t="shared" si="1804"/>
        <v>正常订单</v>
      </c>
      <c r="I5546" s="1" t="str">
        <f t="shared" si="1805"/>
        <v>已发货</v>
      </c>
      <c r="J5546" s="1" t="str">
        <f t="shared" si="1807"/>
        <v>3</v>
      </c>
      <c r="K5546" s="1">
        <v>2</v>
      </c>
      <c r="L5546" s="1" t="s">
        <v>20</v>
      </c>
      <c r="M5546" s="1" t="str">
        <f>"浙江省 金华市 东阳市 白云街道"</f>
        <v>浙江省 金华市 东阳市 白云街道</v>
      </c>
      <c r="N5546" s="1" t="str">
        <f t="shared" si="1798"/>
        <v>凡华云仓-城南圆通-抖音</v>
      </c>
      <c r="O5546" s="5" t="s">
        <v>5559</v>
      </c>
      <c r="P5546" s="6">
        <v>0.35</v>
      </c>
      <c r="Q5546" s="11">
        <v>2.2999999999999998</v>
      </c>
      <c r="R5546" s="11"/>
      <c r="S5546" s="11"/>
      <c r="T5546" s="11"/>
      <c r="U5546" s="11">
        <f t="shared" si="1801"/>
        <v>2.2999999999999998</v>
      </c>
      <c r="W5546">
        <v>2.5</v>
      </c>
      <c r="X5546" s="1" t="s">
        <v>20</v>
      </c>
    </row>
    <row r="5547" spans="1:24" x14ac:dyDescent="0.25">
      <c r="A5547" s="1" t="str">
        <f t="shared" si="1802"/>
        <v>卡卡杜-凤凰仓</v>
      </c>
      <c r="B5547" s="1" t="str">
        <f>"CK2024101919770"</f>
        <v>CK2024101919770</v>
      </c>
      <c r="C5547" s="1" t="str">
        <f>"DD2024101930529"</f>
        <v>DD2024101930529</v>
      </c>
      <c r="D5547" s="1" t="str">
        <f>"CK2024101920578"</f>
        <v>CK2024101920578</v>
      </c>
      <c r="E5547" s="1" t="str">
        <f>"6935159692979541287"</f>
        <v>6935159692979541287</v>
      </c>
      <c r="F5547" s="1" t="str">
        <f t="shared" si="1803"/>
        <v>花都四部-凤凰仓</v>
      </c>
      <c r="G5547" s="1" t="str">
        <f t="shared" si="1797"/>
        <v>卡卡杜个人护理店（抖店）</v>
      </c>
      <c r="H5547" s="1" t="str">
        <f t="shared" si="1804"/>
        <v>正常订单</v>
      </c>
      <c r="I5547" s="1" t="str">
        <f t="shared" si="1805"/>
        <v>已发货</v>
      </c>
      <c r="J5547" s="1" t="str">
        <f t="shared" si="1807"/>
        <v>3</v>
      </c>
      <c r="K5547" s="1">
        <v>2</v>
      </c>
      <c r="L5547" s="1" t="s">
        <v>20</v>
      </c>
      <c r="M5547" s="1" t="str">
        <f>"浙江省 金华市 婺城区 白龙桥镇"</f>
        <v>浙江省 金华市 婺城区 白龙桥镇</v>
      </c>
      <c r="N5547" s="1" t="str">
        <f t="shared" si="1798"/>
        <v>凡华云仓-城南圆通-抖音</v>
      </c>
      <c r="O5547" s="5" t="s">
        <v>5560</v>
      </c>
      <c r="P5547" s="6">
        <v>0.35</v>
      </c>
      <c r="Q5547" s="11">
        <v>2.2999999999999998</v>
      </c>
      <c r="R5547" s="11"/>
      <c r="S5547" s="11"/>
      <c r="T5547" s="11"/>
      <c r="U5547" s="11">
        <f t="shared" si="1801"/>
        <v>2.2999999999999998</v>
      </c>
      <c r="W5547">
        <v>2.5</v>
      </c>
      <c r="X5547" s="1" t="s">
        <v>20</v>
      </c>
    </row>
    <row r="5548" spans="1:24" x14ac:dyDescent="0.25">
      <c r="A5548" s="1" t="str">
        <f t="shared" si="1802"/>
        <v>卡卡杜-凤凰仓</v>
      </c>
      <c r="B5548" s="1" t="str">
        <f>"CK2024101919771"</f>
        <v>CK2024101919771</v>
      </c>
      <c r="C5548" s="1" t="str">
        <f>"DD2024101930530"</f>
        <v>DD2024101930530</v>
      </c>
      <c r="D5548" s="1" t="str">
        <f>"CK2024101920577"</f>
        <v>CK2024101920577</v>
      </c>
      <c r="E5548" s="1" t="str">
        <f>"6935184140493854357"</f>
        <v>6935184140493854357</v>
      </c>
      <c r="F5548" s="1" t="str">
        <f t="shared" si="1803"/>
        <v>花都四部-凤凰仓</v>
      </c>
      <c r="G5548" s="1" t="str">
        <f t="shared" si="1797"/>
        <v>卡卡杜个人护理店（抖店）</v>
      </c>
      <c r="H5548" s="1" t="str">
        <f t="shared" si="1804"/>
        <v>正常订单</v>
      </c>
      <c r="I5548" s="1" t="str">
        <f t="shared" si="1805"/>
        <v>已发货</v>
      </c>
      <c r="J5548" s="1" t="str">
        <f t="shared" si="1807"/>
        <v>3</v>
      </c>
      <c r="K5548" s="1">
        <v>2</v>
      </c>
      <c r="L5548" s="1" t="s">
        <v>36</v>
      </c>
      <c r="M5548" s="1" t="str">
        <f>"安徽省 宿州市 萧县 龙城镇"</f>
        <v>安徽省 宿州市 萧县 龙城镇</v>
      </c>
      <c r="N5548" s="1" t="str">
        <f t="shared" si="1798"/>
        <v>凡华云仓-城南圆通-抖音</v>
      </c>
      <c r="O5548" s="5" t="s">
        <v>5561</v>
      </c>
      <c r="P5548" s="6">
        <v>0.35</v>
      </c>
      <c r="Q5548" s="11">
        <v>2.2999999999999998</v>
      </c>
      <c r="R5548" s="11"/>
      <c r="S5548" s="11"/>
      <c r="T5548" s="11"/>
      <c r="U5548" s="11">
        <f t="shared" si="1801"/>
        <v>2.2999999999999998</v>
      </c>
      <c r="W5548">
        <v>2.5</v>
      </c>
      <c r="X5548" s="1" t="s">
        <v>36</v>
      </c>
    </row>
    <row r="5549" spans="1:24" x14ac:dyDescent="0.25">
      <c r="A5549" s="1" t="str">
        <f t="shared" si="1802"/>
        <v>卡卡杜-凤凰仓</v>
      </c>
      <c r="B5549" s="1" t="str">
        <f>"CK2024101919772"</f>
        <v>CK2024101919772</v>
      </c>
      <c r="C5549" s="1" t="str">
        <f>"DD2024101930533"</f>
        <v>DD2024101930533</v>
      </c>
      <c r="D5549" s="1" t="str">
        <f>"CK2024101920576"</f>
        <v>CK2024101920576</v>
      </c>
      <c r="E5549" s="1" t="str">
        <f>"6935162342975149180"</f>
        <v>6935162342975149180</v>
      </c>
      <c r="F5549" s="1" t="str">
        <f t="shared" si="1803"/>
        <v>花都四部-凤凰仓</v>
      </c>
      <c r="G5549" s="1" t="str">
        <f t="shared" si="1797"/>
        <v>卡卡杜个人护理店（抖店）</v>
      </c>
      <c r="H5549" s="1" t="str">
        <f t="shared" si="1804"/>
        <v>正常订单</v>
      </c>
      <c r="I5549" s="1" t="str">
        <f t="shared" si="1805"/>
        <v>已发货</v>
      </c>
      <c r="J5549" s="1" t="str">
        <f t="shared" si="1807"/>
        <v>3</v>
      </c>
      <c r="K5549" s="1">
        <v>2</v>
      </c>
      <c r="L5549" s="1" t="s">
        <v>13</v>
      </c>
      <c r="M5549" s="1" t="str">
        <f>"江苏省 徐州市 泉山区 火花街道"</f>
        <v>江苏省 徐州市 泉山区 火花街道</v>
      </c>
      <c r="N5549" s="1" t="str">
        <f t="shared" si="1798"/>
        <v>凡华云仓-城南圆通-抖音</v>
      </c>
      <c r="O5549" s="5" t="s">
        <v>5562</v>
      </c>
      <c r="P5549" s="6">
        <v>0.35</v>
      </c>
      <c r="Q5549" s="11">
        <v>2.2999999999999998</v>
      </c>
      <c r="R5549" s="11"/>
      <c r="S5549" s="11"/>
      <c r="T5549" s="11"/>
      <c r="U5549" s="11">
        <f t="shared" si="1801"/>
        <v>2.2999999999999998</v>
      </c>
      <c r="W5549">
        <v>2.5</v>
      </c>
      <c r="X5549" s="1" t="s">
        <v>13</v>
      </c>
    </row>
    <row r="5550" spans="1:24" x14ac:dyDescent="0.25">
      <c r="A5550" s="1" t="str">
        <f t="shared" si="1802"/>
        <v>卡卡杜-凤凰仓</v>
      </c>
      <c r="B5550" s="1" t="str">
        <f>"CK2024101919774"</f>
        <v>CK2024101919774</v>
      </c>
      <c r="C5550" s="1" t="str">
        <f>"DD2024101930532"</f>
        <v>DD2024101930532</v>
      </c>
      <c r="D5550" s="1" t="str">
        <f>"CK2024101920575"</f>
        <v>CK2024101920575</v>
      </c>
      <c r="E5550" s="1" t="str">
        <f>"6935184145757574250"</f>
        <v>6935184145757574250</v>
      </c>
      <c r="F5550" s="1" t="str">
        <f t="shared" si="1803"/>
        <v>花都四部-凤凰仓</v>
      </c>
      <c r="G5550" s="1" t="str">
        <f t="shared" ref="G5550:G5613" si="1808">"卡卡杜个人护理店（抖店）"</f>
        <v>卡卡杜个人护理店（抖店）</v>
      </c>
      <c r="H5550" s="1" t="str">
        <f t="shared" si="1804"/>
        <v>正常订单</v>
      </c>
      <c r="I5550" s="1" t="str">
        <f t="shared" si="1805"/>
        <v>已发货</v>
      </c>
      <c r="J5550" s="1" t="str">
        <f t="shared" si="1807"/>
        <v>3</v>
      </c>
      <c r="K5550" s="1">
        <v>2</v>
      </c>
      <c r="L5550" s="1" t="s">
        <v>94</v>
      </c>
      <c r="M5550" s="1" t="str">
        <f>"湖南省 益阳市 赫山区 兰溪镇"</f>
        <v>湖南省 益阳市 赫山区 兰溪镇</v>
      </c>
      <c r="N5550" s="1" t="str">
        <f t="shared" ref="N5550:N5613" si="1809">"凡华云仓-城南圆通-抖音"</f>
        <v>凡华云仓-城南圆通-抖音</v>
      </c>
      <c r="O5550" s="5" t="s">
        <v>5563</v>
      </c>
      <c r="P5550" s="6">
        <v>0.35</v>
      </c>
      <c r="Q5550" s="11">
        <v>2.2999999999999998</v>
      </c>
      <c r="R5550" s="11"/>
      <c r="S5550" s="11"/>
      <c r="T5550" s="11"/>
      <c r="U5550" s="11">
        <f t="shared" si="1801"/>
        <v>2.2999999999999998</v>
      </c>
      <c r="W5550">
        <v>2.5</v>
      </c>
      <c r="X5550" s="1" t="s">
        <v>94</v>
      </c>
    </row>
    <row r="5551" spans="1:24" x14ac:dyDescent="0.25">
      <c r="A5551" s="1" t="str">
        <f t="shared" si="1802"/>
        <v>卡卡杜-凤凰仓</v>
      </c>
      <c r="B5551" s="1" t="str">
        <f>"CK2024101919773"</f>
        <v>CK2024101919773</v>
      </c>
      <c r="C5551" s="1" t="str">
        <f>"DD2024101930531"</f>
        <v>DD2024101930531</v>
      </c>
      <c r="D5551" s="1" t="str">
        <f>"CK2024101920574"</f>
        <v>CK2024101920574</v>
      </c>
      <c r="E5551" s="1" t="str">
        <f>"6935175519897916570"</f>
        <v>6935175519897916570</v>
      </c>
      <c r="F5551" s="1" t="str">
        <f t="shared" si="1803"/>
        <v>花都四部-凤凰仓</v>
      </c>
      <c r="G5551" s="1" t="str">
        <f t="shared" si="1808"/>
        <v>卡卡杜个人护理店（抖店）</v>
      </c>
      <c r="H5551" s="1" t="str">
        <f t="shared" si="1804"/>
        <v>正常订单</v>
      </c>
      <c r="I5551" s="1" t="str">
        <f t="shared" si="1805"/>
        <v>已发货</v>
      </c>
      <c r="J5551" s="1" t="str">
        <f t="shared" si="1807"/>
        <v>3</v>
      </c>
      <c r="K5551" s="1">
        <v>2</v>
      </c>
      <c r="L5551" s="1" t="s">
        <v>20</v>
      </c>
      <c r="M5551" s="1" t="str">
        <f>"浙江省 台州市 路桥区 "</f>
        <v xml:space="preserve">浙江省 台州市 路桥区 </v>
      </c>
      <c r="N5551" s="1" t="str">
        <f t="shared" si="1809"/>
        <v>凡华云仓-城南圆通-抖音</v>
      </c>
      <c r="O5551" s="5" t="s">
        <v>5564</v>
      </c>
      <c r="P5551" s="6">
        <v>0.35</v>
      </c>
      <c r="Q5551" s="11">
        <v>2.2999999999999998</v>
      </c>
      <c r="R5551" s="11"/>
      <c r="S5551" s="11"/>
      <c r="T5551" s="11"/>
      <c r="U5551" s="11">
        <f t="shared" si="1801"/>
        <v>2.2999999999999998</v>
      </c>
      <c r="W5551">
        <v>2.5</v>
      </c>
      <c r="X5551" s="1" t="s">
        <v>20</v>
      </c>
    </row>
    <row r="5552" spans="1:24" x14ac:dyDescent="0.25">
      <c r="A5552" s="1" t="str">
        <f t="shared" si="1802"/>
        <v>卡卡杜-凤凰仓</v>
      </c>
      <c r="B5552" s="1" t="str">
        <f>"CK2024101919917"</f>
        <v>CK2024101919917</v>
      </c>
      <c r="C5552" s="1" t="str">
        <f>"DD2024101930715"</f>
        <v>DD2024101930715</v>
      </c>
      <c r="D5552" s="1" t="str">
        <f>"CK2024101920573"</f>
        <v>CK2024101920573</v>
      </c>
      <c r="E5552" s="1" t="str">
        <f>"6935164121827513932"</f>
        <v>6935164121827513932</v>
      </c>
      <c r="F5552" s="1" t="str">
        <f t="shared" si="1803"/>
        <v>花都四部-凤凰仓</v>
      </c>
      <c r="G5552" s="1" t="str">
        <f t="shared" si="1808"/>
        <v>卡卡杜个人护理店（抖店）</v>
      </c>
      <c r="H5552" s="1" t="str">
        <f t="shared" si="1804"/>
        <v>正常订单</v>
      </c>
      <c r="I5552" s="1" t="str">
        <f t="shared" si="1805"/>
        <v>已发货</v>
      </c>
      <c r="J5552" s="1" t="str">
        <f>"5"</f>
        <v>5</v>
      </c>
      <c r="K5552" s="1">
        <v>2</v>
      </c>
      <c r="L5552" s="1" t="s">
        <v>22</v>
      </c>
      <c r="M5552" s="1" t="str">
        <f>"江西省 抚州市 南丰县 琴城镇"</f>
        <v>江西省 抚州市 南丰县 琴城镇</v>
      </c>
      <c r="N5552" s="1" t="str">
        <f t="shared" si="1809"/>
        <v>凡华云仓-城南圆通-抖音</v>
      </c>
      <c r="O5552" s="5" t="s">
        <v>5565</v>
      </c>
      <c r="P5552" s="6">
        <v>0.59</v>
      </c>
      <c r="Q5552" s="11">
        <f>CEILING(P5552-0.5,0.1)*10*0.15+2.3</f>
        <v>2.4499999999999997</v>
      </c>
      <c r="R5552" s="11"/>
      <c r="S5552" s="11"/>
      <c r="T5552" s="11"/>
      <c r="U5552" s="11">
        <f t="shared" si="1801"/>
        <v>2.4499999999999997</v>
      </c>
      <c r="V5552" t="s">
        <v>15</v>
      </c>
      <c r="W5552">
        <v>2.4500000000000002</v>
      </c>
      <c r="X5552" s="1" t="s">
        <v>22</v>
      </c>
    </row>
    <row r="5553" spans="1:24" x14ac:dyDescent="0.25">
      <c r="A5553" s="1" t="str">
        <f t="shared" si="1802"/>
        <v>卡卡杜-凤凰仓</v>
      </c>
      <c r="B5553" s="1" t="str">
        <f>"CK2024101919775"</f>
        <v>CK2024101919775</v>
      </c>
      <c r="C5553" s="1" t="str">
        <f>"DD2024101930534"</f>
        <v>DD2024101930534</v>
      </c>
      <c r="D5553" s="1" t="str">
        <f>"CK2024101920572"</f>
        <v>CK2024101920572</v>
      </c>
      <c r="E5553" s="1" t="str">
        <f>"6935175490656998598"</f>
        <v>6935175490656998598</v>
      </c>
      <c r="F5553" s="1" t="str">
        <f t="shared" si="1803"/>
        <v>花都四部-凤凰仓</v>
      </c>
      <c r="G5553" s="1" t="str">
        <f t="shared" si="1808"/>
        <v>卡卡杜个人护理店（抖店）</v>
      </c>
      <c r="H5553" s="1" t="str">
        <f t="shared" si="1804"/>
        <v>正常订单</v>
      </c>
      <c r="I5553" s="1" t="str">
        <f t="shared" si="1805"/>
        <v>已发货</v>
      </c>
      <c r="J5553" s="1" t="str">
        <f t="shared" ref="J5553:J5610" si="1810">"3"</f>
        <v>3</v>
      </c>
      <c r="K5553" s="1">
        <v>2</v>
      </c>
      <c r="L5553" s="1" t="s">
        <v>41</v>
      </c>
      <c r="M5553" s="1" t="str">
        <f>"湖北省 武汉市 黄陂区 盘龙城经济开发区"</f>
        <v>湖北省 武汉市 黄陂区 盘龙城经济开发区</v>
      </c>
      <c r="N5553" s="1" t="str">
        <f t="shared" si="1809"/>
        <v>凡华云仓-城南圆通-抖音</v>
      </c>
      <c r="O5553" s="5" t="s">
        <v>5566</v>
      </c>
      <c r="P5553" s="6">
        <v>0.35</v>
      </c>
      <c r="Q5553" s="11">
        <v>2.2999999999999998</v>
      </c>
      <c r="R5553" s="11"/>
      <c r="S5553" s="11"/>
      <c r="T5553" s="11"/>
      <c r="U5553" s="11">
        <f t="shared" si="1801"/>
        <v>2.2999999999999998</v>
      </c>
      <c r="W5553">
        <v>2.5</v>
      </c>
      <c r="X5553" s="1" t="s">
        <v>41</v>
      </c>
    </row>
    <row r="5554" spans="1:24" x14ac:dyDescent="0.25">
      <c r="A5554" s="1" t="str">
        <f t="shared" si="1802"/>
        <v>卡卡杜-凤凰仓</v>
      </c>
      <c r="B5554" s="1" t="str">
        <f>"CK2024101919776"</f>
        <v>CK2024101919776</v>
      </c>
      <c r="C5554" s="1" t="str">
        <f>"DD2024101930535"</f>
        <v>DD2024101930535</v>
      </c>
      <c r="D5554" s="1" t="str">
        <f>"CK2024101920571"</f>
        <v>CK2024101920571</v>
      </c>
      <c r="E5554" s="1" t="str">
        <f>"6935186019585103681"</f>
        <v>6935186019585103681</v>
      </c>
      <c r="F5554" s="1" t="str">
        <f t="shared" si="1803"/>
        <v>花都四部-凤凰仓</v>
      </c>
      <c r="G5554" s="1" t="str">
        <f t="shared" si="1808"/>
        <v>卡卡杜个人护理店（抖店）</v>
      </c>
      <c r="H5554" s="1" t="str">
        <f t="shared" si="1804"/>
        <v>正常订单</v>
      </c>
      <c r="I5554" s="1" t="str">
        <f t="shared" si="1805"/>
        <v>已发货</v>
      </c>
      <c r="J5554" s="1" t="str">
        <f t="shared" si="1810"/>
        <v>3</v>
      </c>
      <c r="K5554" s="1">
        <v>2</v>
      </c>
      <c r="L5554" s="1" t="s">
        <v>94</v>
      </c>
      <c r="M5554" s="1" t="str">
        <f>"湖南省 娄底市 娄星区 乐坪街道"</f>
        <v>湖南省 娄底市 娄星区 乐坪街道</v>
      </c>
      <c r="N5554" s="1" t="str">
        <f t="shared" si="1809"/>
        <v>凡华云仓-城南圆通-抖音</v>
      </c>
      <c r="O5554" s="5" t="s">
        <v>5567</v>
      </c>
      <c r="P5554" s="6">
        <v>0.35</v>
      </c>
      <c r="Q5554" s="11">
        <v>2.2999999999999998</v>
      </c>
      <c r="R5554" s="11"/>
      <c r="S5554" s="11"/>
      <c r="T5554" s="11"/>
      <c r="U5554" s="11">
        <f t="shared" si="1801"/>
        <v>2.2999999999999998</v>
      </c>
      <c r="W5554">
        <v>2.5</v>
      </c>
      <c r="X5554" s="1" t="s">
        <v>94</v>
      </c>
    </row>
    <row r="5555" spans="1:24" x14ac:dyDescent="0.25">
      <c r="A5555" s="1" t="str">
        <f t="shared" si="1802"/>
        <v>卡卡杜-凤凰仓</v>
      </c>
      <c r="B5555" s="1" t="str">
        <f>"CK2024101919777"</f>
        <v>CK2024101919777</v>
      </c>
      <c r="C5555" s="1" t="str">
        <f>"DD2024101930536"</f>
        <v>DD2024101930536</v>
      </c>
      <c r="D5555" s="1" t="str">
        <f>"CK2024101920570"</f>
        <v>CK2024101920570</v>
      </c>
      <c r="E5555" s="1" t="str">
        <f>"6935162394306614562"</f>
        <v>6935162394306614562</v>
      </c>
      <c r="F5555" s="1" t="str">
        <f t="shared" si="1803"/>
        <v>花都四部-凤凰仓</v>
      </c>
      <c r="G5555" s="1" t="str">
        <f t="shared" si="1808"/>
        <v>卡卡杜个人护理店（抖店）</v>
      </c>
      <c r="H5555" s="1" t="str">
        <f t="shared" si="1804"/>
        <v>正常订单</v>
      </c>
      <c r="I5555" s="1" t="str">
        <f t="shared" si="1805"/>
        <v>已发货</v>
      </c>
      <c r="J5555" s="1" t="str">
        <f t="shared" si="1810"/>
        <v>3</v>
      </c>
      <c r="K5555" s="1">
        <v>2</v>
      </c>
      <c r="L5555" s="1" t="s">
        <v>24</v>
      </c>
      <c r="M5555" s="1" t="str">
        <f>"福建省 泉州市 晋江市 东石镇"</f>
        <v>福建省 泉州市 晋江市 东石镇</v>
      </c>
      <c r="N5555" s="1" t="str">
        <f t="shared" si="1809"/>
        <v>凡华云仓-城南圆通-抖音</v>
      </c>
      <c r="O5555" s="5" t="s">
        <v>5568</v>
      </c>
      <c r="P5555" s="6">
        <v>0.35</v>
      </c>
      <c r="Q5555" s="11">
        <v>2.2999999999999998</v>
      </c>
      <c r="R5555" s="11"/>
      <c r="S5555" s="11"/>
      <c r="T5555" s="11"/>
      <c r="U5555" s="11">
        <f t="shared" si="1801"/>
        <v>2.2999999999999998</v>
      </c>
      <c r="W5555">
        <v>2.5</v>
      </c>
      <c r="X5555" s="1" t="s">
        <v>24</v>
      </c>
    </row>
    <row r="5556" spans="1:24" x14ac:dyDescent="0.25">
      <c r="A5556" s="1" t="str">
        <f t="shared" si="1802"/>
        <v>卡卡杜-凤凰仓</v>
      </c>
      <c r="B5556" s="1" t="str">
        <f>"CK2024101919778"</f>
        <v>CK2024101919778</v>
      </c>
      <c r="C5556" s="1" t="str">
        <f>"DD2024101930540"</f>
        <v>DD2024101930540</v>
      </c>
      <c r="D5556" s="1" t="str">
        <f>"CK2024101920569"</f>
        <v>CK2024101920569</v>
      </c>
      <c r="E5556" s="1" t="str">
        <f>"6935178028401497949"</f>
        <v>6935178028401497949</v>
      </c>
      <c r="F5556" s="1" t="str">
        <f t="shared" si="1803"/>
        <v>花都四部-凤凰仓</v>
      </c>
      <c r="G5556" s="1" t="str">
        <f t="shared" si="1808"/>
        <v>卡卡杜个人护理店（抖店）</v>
      </c>
      <c r="H5556" s="1" t="str">
        <f t="shared" si="1804"/>
        <v>正常订单</v>
      </c>
      <c r="I5556" s="1" t="str">
        <f t="shared" si="1805"/>
        <v>已发货</v>
      </c>
      <c r="J5556" s="1" t="str">
        <f t="shared" si="1810"/>
        <v>3</v>
      </c>
      <c r="K5556" s="1">
        <v>2</v>
      </c>
      <c r="L5556" s="1" t="s">
        <v>20</v>
      </c>
      <c r="M5556" s="1" t="str">
        <f>"浙江省 台州市 温岭市 "</f>
        <v xml:space="preserve">浙江省 台州市 温岭市 </v>
      </c>
      <c r="N5556" s="1" t="str">
        <f t="shared" si="1809"/>
        <v>凡华云仓-城南圆通-抖音</v>
      </c>
      <c r="O5556" s="5" t="s">
        <v>5569</v>
      </c>
      <c r="P5556" s="6">
        <v>0.35</v>
      </c>
      <c r="Q5556" s="11">
        <v>2.2999999999999998</v>
      </c>
      <c r="R5556" s="11"/>
      <c r="S5556" s="11"/>
      <c r="T5556" s="11"/>
      <c r="U5556" s="11">
        <f t="shared" si="1801"/>
        <v>2.2999999999999998</v>
      </c>
      <c r="W5556">
        <v>2.5</v>
      </c>
      <c r="X5556" s="1" t="s">
        <v>20</v>
      </c>
    </row>
    <row r="5557" spans="1:24" x14ac:dyDescent="0.25">
      <c r="A5557" s="1" t="str">
        <f t="shared" si="1802"/>
        <v>卡卡杜-凤凰仓</v>
      </c>
      <c r="B5557" s="1" t="str">
        <f>"CK2024101919779"</f>
        <v>CK2024101919779</v>
      </c>
      <c r="C5557" s="1" t="str">
        <f>"DD2024101930537"</f>
        <v>DD2024101930537</v>
      </c>
      <c r="D5557" s="1" t="str">
        <f>"CK2024101920568"</f>
        <v>CK2024101920568</v>
      </c>
      <c r="E5557" s="1" t="str">
        <f>"6935152962313459272"</f>
        <v>6935152962313459272</v>
      </c>
      <c r="F5557" s="1" t="str">
        <f t="shared" si="1803"/>
        <v>花都四部-凤凰仓</v>
      </c>
      <c r="G5557" s="1" t="str">
        <f t="shared" si="1808"/>
        <v>卡卡杜个人护理店（抖店）</v>
      </c>
      <c r="H5557" s="1" t="str">
        <f t="shared" si="1804"/>
        <v>正常订单</v>
      </c>
      <c r="I5557" s="1" t="str">
        <f t="shared" si="1805"/>
        <v>已发货</v>
      </c>
      <c r="J5557" s="1" t="str">
        <f t="shared" si="1810"/>
        <v>3</v>
      </c>
      <c r="K5557" s="1">
        <v>2</v>
      </c>
      <c r="L5557" s="1" t="s">
        <v>18</v>
      </c>
      <c r="M5557" s="1" t="str">
        <f>"广东省 潮州市 饶平县 "</f>
        <v xml:space="preserve">广东省 潮州市 饶平县 </v>
      </c>
      <c r="N5557" s="1" t="str">
        <f t="shared" si="1809"/>
        <v>凡华云仓-城南圆通-抖音</v>
      </c>
      <c r="O5557" s="5" t="s">
        <v>5570</v>
      </c>
      <c r="P5557" s="6">
        <v>0.35</v>
      </c>
      <c r="Q5557" s="11">
        <v>2.2999999999999998</v>
      </c>
      <c r="R5557" s="11"/>
      <c r="S5557" s="11"/>
      <c r="T5557" s="11"/>
      <c r="U5557" s="11">
        <f t="shared" si="1801"/>
        <v>2.2999999999999998</v>
      </c>
      <c r="W5557">
        <v>2.5</v>
      </c>
      <c r="X5557" s="1" t="s">
        <v>18</v>
      </c>
    </row>
    <row r="5558" spans="1:24" x14ac:dyDescent="0.25">
      <c r="A5558" s="1" t="str">
        <f t="shared" si="1802"/>
        <v>卡卡杜-凤凰仓</v>
      </c>
      <c r="B5558" s="1" t="str">
        <f>"CK2024101919780"</f>
        <v>CK2024101919780</v>
      </c>
      <c r="C5558" s="1" t="str">
        <f>"DD2024101930542"</f>
        <v>DD2024101930542</v>
      </c>
      <c r="D5558" s="1" t="str">
        <f>"CK2024101920567"</f>
        <v>CK2024101920567</v>
      </c>
      <c r="E5558" s="1" t="str">
        <f>"6935182078855943594"</f>
        <v>6935182078855943594</v>
      </c>
      <c r="F5558" s="1" t="str">
        <f t="shared" si="1803"/>
        <v>花都四部-凤凰仓</v>
      </c>
      <c r="G5558" s="1" t="str">
        <f t="shared" si="1808"/>
        <v>卡卡杜个人护理店（抖店）</v>
      </c>
      <c r="H5558" s="1" t="str">
        <f t="shared" si="1804"/>
        <v>正常订单</v>
      </c>
      <c r="I5558" s="1" t="str">
        <f t="shared" si="1805"/>
        <v>已发货</v>
      </c>
      <c r="J5558" s="1" t="str">
        <f t="shared" si="1810"/>
        <v>3</v>
      </c>
      <c r="K5558" s="1">
        <v>2</v>
      </c>
      <c r="L5558" s="1" t="s">
        <v>96</v>
      </c>
      <c r="M5558" s="1" t="str">
        <f>"广西壮族自治区 崇左市 扶绥县 渠黎镇"</f>
        <v>广西壮族自治区 崇左市 扶绥县 渠黎镇</v>
      </c>
      <c r="N5558" s="1" t="str">
        <f t="shared" si="1809"/>
        <v>凡华云仓-城南圆通-抖音</v>
      </c>
      <c r="O5558" s="5" t="s">
        <v>5571</v>
      </c>
      <c r="P5558" s="6">
        <v>0.35</v>
      </c>
      <c r="Q5558" s="11">
        <v>2.2999999999999998</v>
      </c>
      <c r="R5558" s="11"/>
      <c r="S5558" s="11"/>
      <c r="T5558" s="11"/>
      <c r="U5558" s="11">
        <f t="shared" si="1801"/>
        <v>2.2999999999999998</v>
      </c>
      <c r="W5558">
        <v>2.5</v>
      </c>
      <c r="X5558" s="1" t="s">
        <v>96</v>
      </c>
    </row>
    <row r="5559" spans="1:24" x14ac:dyDescent="0.25">
      <c r="A5559" s="1" t="str">
        <f t="shared" si="1802"/>
        <v>卡卡杜-凤凰仓</v>
      </c>
      <c r="B5559" s="1" t="str">
        <f>"CK2024101919781"</f>
        <v>CK2024101919781</v>
      </c>
      <c r="C5559" s="1" t="str">
        <f>"DD2024101930541"</f>
        <v>DD2024101930541</v>
      </c>
      <c r="D5559" s="1" t="str">
        <f>"CK2024101920566"</f>
        <v>CK2024101920566</v>
      </c>
      <c r="E5559" s="1" t="str">
        <f>"6935157490462102641"</f>
        <v>6935157490462102641</v>
      </c>
      <c r="F5559" s="1" t="str">
        <f t="shared" si="1803"/>
        <v>花都四部-凤凰仓</v>
      </c>
      <c r="G5559" s="1" t="str">
        <f t="shared" si="1808"/>
        <v>卡卡杜个人护理店（抖店）</v>
      </c>
      <c r="H5559" s="1" t="str">
        <f t="shared" si="1804"/>
        <v>正常订单</v>
      </c>
      <c r="I5559" s="1" t="str">
        <f t="shared" si="1805"/>
        <v>已发货</v>
      </c>
      <c r="J5559" s="1" t="str">
        <f t="shared" si="1810"/>
        <v>3</v>
      </c>
      <c r="K5559" s="1">
        <v>2</v>
      </c>
      <c r="L5559" s="1" t="s">
        <v>161</v>
      </c>
      <c r="M5559" s="1" t="str">
        <f>"四川省 甘孜藏族自治州 康定市 姑咱镇"</f>
        <v>四川省 甘孜藏族自治州 康定市 姑咱镇</v>
      </c>
      <c r="N5559" s="1" t="str">
        <f t="shared" si="1809"/>
        <v>凡华云仓-城南圆通-抖音</v>
      </c>
      <c r="O5559" s="5" t="s">
        <v>5572</v>
      </c>
      <c r="P5559" s="6">
        <v>0.35</v>
      </c>
      <c r="Q5559" s="11">
        <v>2.2999999999999998</v>
      </c>
      <c r="R5559" s="11"/>
      <c r="S5559" s="11"/>
      <c r="T5559" s="11"/>
      <c r="U5559" s="11">
        <f t="shared" si="1801"/>
        <v>2.2999999999999998</v>
      </c>
      <c r="W5559">
        <v>2.5</v>
      </c>
      <c r="X5559" s="1" t="s">
        <v>161</v>
      </c>
    </row>
    <row r="5560" spans="1:24" x14ac:dyDescent="0.25">
      <c r="A5560" s="1" t="str">
        <f t="shared" si="1802"/>
        <v>卡卡杜-凤凰仓</v>
      </c>
      <c r="B5560" s="1" t="str">
        <f>"CK2024101919782"</f>
        <v>CK2024101919782</v>
      </c>
      <c r="C5560" s="1" t="str">
        <f>"DD2024101930538"</f>
        <v>DD2024101930538</v>
      </c>
      <c r="D5560" s="1" t="str">
        <f>"CK2024101920565"</f>
        <v>CK2024101920565</v>
      </c>
      <c r="E5560" s="1" t="str">
        <f>"6935169061174449700"</f>
        <v>6935169061174449700</v>
      </c>
      <c r="F5560" s="1" t="str">
        <f t="shared" si="1803"/>
        <v>花都四部-凤凰仓</v>
      </c>
      <c r="G5560" s="1" t="str">
        <f t="shared" si="1808"/>
        <v>卡卡杜个人护理店（抖店）</v>
      </c>
      <c r="H5560" s="1" t="str">
        <f t="shared" si="1804"/>
        <v>正常订单</v>
      </c>
      <c r="I5560" s="1" t="str">
        <f t="shared" si="1805"/>
        <v>已发货</v>
      </c>
      <c r="J5560" s="1" t="str">
        <f t="shared" si="1810"/>
        <v>3</v>
      </c>
      <c r="K5560" s="1">
        <v>2</v>
      </c>
      <c r="L5560" s="1" t="s">
        <v>740</v>
      </c>
      <c r="M5560" s="1" t="str">
        <f>"宁夏回族自治区 中卫市 中宁县 "</f>
        <v xml:space="preserve">宁夏回族自治区 中卫市 中宁县 </v>
      </c>
      <c r="N5560" s="1" t="str">
        <f t="shared" si="1809"/>
        <v>凡华云仓-城南圆通-抖音</v>
      </c>
      <c r="O5560" s="5" t="s">
        <v>5573</v>
      </c>
      <c r="P5560" s="6">
        <v>0.35</v>
      </c>
      <c r="Q5560" s="11">
        <v>2.2999999999999998</v>
      </c>
      <c r="R5560" s="11"/>
      <c r="S5560" s="11"/>
      <c r="T5560" s="11"/>
      <c r="U5560" s="11">
        <f t="shared" si="1801"/>
        <v>2.2999999999999998</v>
      </c>
      <c r="W5560">
        <v>2.5</v>
      </c>
      <c r="X5560" s="1" t="s">
        <v>740</v>
      </c>
    </row>
    <row r="5561" spans="1:24" x14ac:dyDescent="0.25">
      <c r="A5561" s="1" t="str">
        <f t="shared" si="1802"/>
        <v>卡卡杜-凤凰仓</v>
      </c>
      <c r="B5561" s="1" t="str">
        <f>"CK2024101919783"</f>
        <v>CK2024101919783</v>
      </c>
      <c r="C5561" s="1" t="str">
        <f>"DD2024101930539"</f>
        <v>DD2024101930539</v>
      </c>
      <c r="D5561" s="1" t="str">
        <f>"CK2024101920564"</f>
        <v>CK2024101920564</v>
      </c>
      <c r="E5561" s="1" t="str">
        <f>"6935171324279199579"</f>
        <v>6935171324279199579</v>
      </c>
      <c r="F5561" s="1" t="str">
        <f t="shared" si="1803"/>
        <v>花都四部-凤凰仓</v>
      </c>
      <c r="G5561" s="1" t="str">
        <f t="shared" si="1808"/>
        <v>卡卡杜个人护理店（抖店）</v>
      </c>
      <c r="H5561" s="1" t="str">
        <f t="shared" si="1804"/>
        <v>正常订单</v>
      </c>
      <c r="I5561" s="1" t="str">
        <f t="shared" si="1805"/>
        <v>已发货</v>
      </c>
      <c r="J5561" s="1" t="str">
        <f t="shared" si="1810"/>
        <v>3</v>
      </c>
      <c r="K5561" s="1">
        <v>2</v>
      </c>
      <c r="L5561" s="1" t="s">
        <v>94</v>
      </c>
      <c r="M5561" s="1" t="str">
        <f>"湖南省 长沙市 长沙县 星沙街道"</f>
        <v>湖南省 长沙市 长沙县 星沙街道</v>
      </c>
      <c r="N5561" s="1" t="str">
        <f t="shared" si="1809"/>
        <v>凡华云仓-城南圆通-抖音</v>
      </c>
      <c r="O5561" s="5" t="s">
        <v>5574</v>
      </c>
      <c r="P5561" s="6">
        <v>0.35</v>
      </c>
      <c r="Q5561" s="11">
        <v>2.2999999999999998</v>
      </c>
      <c r="R5561" s="11"/>
      <c r="S5561" s="11"/>
      <c r="T5561" s="11"/>
      <c r="U5561" s="11">
        <f t="shared" si="1801"/>
        <v>2.2999999999999998</v>
      </c>
      <c r="W5561">
        <v>2.5</v>
      </c>
      <c r="X5561" s="1" t="s">
        <v>94</v>
      </c>
    </row>
    <row r="5562" spans="1:24" x14ac:dyDescent="0.25">
      <c r="A5562" s="1" t="str">
        <f t="shared" si="1802"/>
        <v>卡卡杜-凤凰仓</v>
      </c>
      <c r="B5562" s="1" t="str">
        <f>"CK2024101919784"</f>
        <v>CK2024101919784</v>
      </c>
      <c r="C5562" s="1" t="str">
        <f>"DD2024101930543"</f>
        <v>DD2024101930543</v>
      </c>
      <c r="D5562" s="1" t="str">
        <f>"CK2024101920563"</f>
        <v>CK2024101920563</v>
      </c>
      <c r="E5562" s="1" t="str">
        <f>"6935173242520999024"</f>
        <v>6935173242520999024</v>
      </c>
      <c r="F5562" s="1" t="str">
        <f t="shared" si="1803"/>
        <v>花都四部-凤凰仓</v>
      </c>
      <c r="G5562" s="1" t="str">
        <f t="shared" si="1808"/>
        <v>卡卡杜个人护理店（抖店）</v>
      </c>
      <c r="H5562" s="1" t="str">
        <f t="shared" si="1804"/>
        <v>正常订单</v>
      </c>
      <c r="I5562" s="1" t="str">
        <f t="shared" si="1805"/>
        <v>已发货</v>
      </c>
      <c r="J5562" s="1" t="str">
        <f t="shared" si="1810"/>
        <v>3</v>
      </c>
      <c r="K5562" s="1">
        <v>2</v>
      </c>
      <c r="L5562" s="1" t="s">
        <v>13</v>
      </c>
      <c r="M5562" s="1" t="str">
        <f>"江苏省 淮安市 金湖县 "</f>
        <v xml:space="preserve">江苏省 淮安市 金湖县 </v>
      </c>
      <c r="N5562" s="1" t="str">
        <f t="shared" si="1809"/>
        <v>凡华云仓-城南圆通-抖音</v>
      </c>
      <c r="O5562" s="5" t="s">
        <v>5575</v>
      </c>
      <c r="P5562" s="6">
        <v>0.35</v>
      </c>
      <c r="Q5562" s="11">
        <v>2.2999999999999998</v>
      </c>
      <c r="R5562" s="11"/>
      <c r="S5562" s="11"/>
      <c r="T5562" s="11"/>
      <c r="U5562" s="11">
        <f t="shared" si="1801"/>
        <v>2.2999999999999998</v>
      </c>
      <c r="W5562">
        <v>2.5</v>
      </c>
      <c r="X5562" s="1" t="s">
        <v>13</v>
      </c>
    </row>
    <row r="5563" spans="1:24" x14ac:dyDescent="0.25">
      <c r="A5563" s="1" t="str">
        <f t="shared" si="1802"/>
        <v>卡卡杜-凤凰仓</v>
      </c>
      <c r="B5563" s="1" t="str">
        <f>"CK2024101919785"</f>
        <v>CK2024101919785</v>
      </c>
      <c r="C5563" s="1" t="str">
        <f>"DD2024101930546"</f>
        <v>DD2024101930546</v>
      </c>
      <c r="D5563" s="1" t="str">
        <f>"CK2024101920562"</f>
        <v>CK2024101920562</v>
      </c>
      <c r="E5563" s="1" t="str">
        <f>"6935155219445061142"</f>
        <v>6935155219445061142</v>
      </c>
      <c r="F5563" s="1" t="str">
        <f t="shared" si="1803"/>
        <v>花都四部-凤凰仓</v>
      </c>
      <c r="G5563" s="1" t="str">
        <f t="shared" si="1808"/>
        <v>卡卡杜个人护理店（抖店）</v>
      </c>
      <c r="H5563" s="1" t="str">
        <f t="shared" si="1804"/>
        <v>正常订单</v>
      </c>
      <c r="I5563" s="1" t="str">
        <f t="shared" si="1805"/>
        <v>已发货</v>
      </c>
      <c r="J5563" s="1" t="str">
        <f t="shared" si="1810"/>
        <v>3</v>
      </c>
      <c r="K5563" s="1">
        <v>2</v>
      </c>
      <c r="L5563" s="1" t="s">
        <v>13</v>
      </c>
      <c r="M5563" s="1" t="str">
        <f>"江苏省 盐城市 盐都区 新都街道"</f>
        <v>江苏省 盐城市 盐都区 新都街道</v>
      </c>
      <c r="N5563" s="1" t="str">
        <f t="shared" si="1809"/>
        <v>凡华云仓-城南圆通-抖音</v>
      </c>
      <c r="O5563" s="5" t="s">
        <v>5576</v>
      </c>
      <c r="P5563" s="6">
        <v>0.35</v>
      </c>
      <c r="Q5563" s="11">
        <v>2.2999999999999998</v>
      </c>
      <c r="R5563" s="11"/>
      <c r="S5563" s="11"/>
      <c r="T5563" s="11"/>
      <c r="U5563" s="11">
        <f t="shared" si="1801"/>
        <v>2.2999999999999998</v>
      </c>
      <c r="W5563">
        <v>2.5</v>
      </c>
      <c r="X5563" s="1" t="s">
        <v>13</v>
      </c>
    </row>
    <row r="5564" spans="1:24" x14ac:dyDescent="0.25">
      <c r="A5564" s="1" t="str">
        <f t="shared" si="1802"/>
        <v>卡卡杜-凤凰仓</v>
      </c>
      <c r="B5564" s="1" t="str">
        <f>"CK2024101919786"</f>
        <v>CK2024101919786</v>
      </c>
      <c r="C5564" s="1" t="str">
        <f>"DD2024101930544"</f>
        <v>DD2024101930544</v>
      </c>
      <c r="D5564" s="1" t="str">
        <f>"CK2024101920561"</f>
        <v>CK2024101920561</v>
      </c>
      <c r="E5564" s="1" t="str">
        <f>"6935179626512455414"</f>
        <v>6935179626512455414</v>
      </c>
      <c r="F5564" s="1" t="str">
        <f t="shared" si="1803"/>
        <v>花都四部-凤凰仓</v>
      </c>
      <c r="G5564" s="1" t="str">
        <f t="shared" si="1808"/>
        <v>卡卡杜个人护理店（抖店）</v>
      </c>
      <c r="H5564" s="1" t="str">
        <f t="shared" si="1804"/>
        <v>正常订单</v>
      </c>
      <c r="I5564" s="1" t="str">
        <f t="shared" si="1805"/>
        <v>已发货</v>
      </c>
      <c r="J5564" s="1" t="str">
        <f t="shared" si="1810"/>
        <v>3</v>
      </c>
      <c r="K5564" s="1">
        <v>2</v>
      </c>
      <c r="L5564" s="1" t="s">
        <v>36</v>
      </c>
      <c r="M5564" s="1" t="str">
        <f>"安徽省 阜阳市 颍州区 马寨乡"</f>
        <v>安徽省 阜阳市 颍州区 马寨乡</v>
      </c>
      <c r="N5564" s="1" t="str">
        <f t="shared" si="1809"/>
        <v>凡华云仓-城南圆通-抖音</v>
      </c>
      <c r="O5564" s="5" t="s">
        <v>5577</v>
      </c>
      <c r="P5564" s="6">
        <v>0.35</v>
      </c>
      <c r="Q5564" s="11">
        <v>2.2999999999999998</v>
      </c>
      <c r="R5564" s="11"/>
      <c r="S5564" s="11"/>
      <c r="T5564" s="11"/>
      <c r="U5564" s="11">
        <f t="shared" si="1801"/>
        <v>2.2999999999999998</v>
      </c>
      <c r="W5564">
        <v>2.5</v>
      </c>
      <c r="X5564" s="1" t="s">
        <v>36</v>
      </c>
    </row>
    <row r="5565" spans="1:24" x14ac:dyDescent="0.25">
      <c r="A5565" s="1" t="str">
        <f t="shared" si="1802"/>
        <v>卡卡杜-凤凰仓</v>
      </c>
      <c r="B5565" s="1" t="str">
        <f>"CK2024101919787"</f>
        <v>CK2024101919787</v>
      </c>
      <c r="C5565" s="1" t="str">
        <f>"DD2024101930545"</f>
        <v>DD2024101930545</v>
      </c>
      <c r="D5565" s="1" t="str">
        <f>"CK2024101920560"</f>
        <v>CK2024101920560</v>
      </c>
      <c r="E5565" s="1" t="str">
        <f>"6935190739554669780"</f>
        <v>6935190739554669780</v>
      </c>
      <c r="F5565" s="1" t="str">
        <f t="shared" si="1803"/>
        <v>花都四部-凤凰仓</v>
      </c>
      <c r="G5565" s="1" t="str">
        <f t="shared" si="1808"/>
        <v>卡卡杜个人护理店（抖店）</v>
      </c>
      <c r="H5565" s="1" t="str">
        <f t="shared" si="1804"/>
        <v>正常订单</v>
      </c>
      <c r="I5565" s="1" t="str">
        <f t="shared" si="1805"/>
        <v>已发货</v>
      </c>
      <c r="J5565" s="1" t="str">
        <f t="shared" si="1810"/>
        <v>3</v>
      </c>
      <c r="K5565" s="1">
        <v>2</v>
      </c>
      <c r="L5565" s="1" t="s">
        <v>18</v>
      </c>
      <c r="M5565" s="1" t="str">
        <f>"广东省 中山市 中山市 三乡镇"</f>
        <v>广东省 中山市 中山市 三乡镇</v>
      </c>
      <c r="N5565" s="1" t="str">
        <f t="shared" si="1809"/>
        <v>凡华云仓-城南圆通-抖音</v>
      </c>
      <c r="O5565" s="5" t="s">
        <v>5578</v>
      </c>
      <c r="P5565" s="6">
        <v>0.35</v>
      </c>
      <c r="Q5565" s="11">
        <v>2.2999999999999998</v>
      </c>
      <c r="R5565" s="11"/>
      <c r="S5565" s="11"/>
      <c r="T5565" s="11"/>
      <c r="U5565" s="11">
        <f t="shared" si="1801"/>
        <v>2.2999999999999998</v>
      </c>
      <c r="W5565">
        <v>2.5</v>
      </c>
      <c r="X5565" s="1" t="s">
        <v>18</v>
      </c>
    </row>
    <row r="5566" spans="1:24" x14ac:dyDescent="0.25">
      <c r="A5566" s="1" t="str">
        <f t="shared" si="1802"/>
        <v>卡卡杜-凤凰仓</v>
      </c>
      <c r="B5566" s="1" t="str">
        <f>"CK2024101919788"</f>
        <v>CK2024101919788</v>
      </c>
      <c r="C5566" s="1" t="str">
        <f>"DD2024101930548"</f>
        <v>DD2024101930548</v>
      </c>
      <c r="D5566" s="1" t="str">
        <f>"CK2024101920559"</f>
        <v>CK2024101920559</v>
      </c>
      <c r="E5566" s="1" t="str">
        <f>"6935159553123030542"</f>
        <v>6935159553123030542</v>
      </c>
      <c r="F5566" s="1" t="str">
        <f t="shared" si="1803"/>
        <v>花都四部-凤凰仓</v>
      </c>
      <c r="G5566" s="1" t="str">
        <f t="shared" si="1808"/>
        <v>卡卡杜个人护理店（抖店）</v>
      </c>
      <c r="H5566" s="1" t="str">
        <f t="shared" si="1804"/>
        <v>正常订单</v>
      </c>
      <c r="I5566" s="1" t="str">
        <f t="shared" si="1805"/>
        <v>已发货</v>
      </c>
      <c r="J5566" s="1" t="str">
        <f t="shared" si="1810"/>
        <v>3</v>
      </c>
      <c r="K5566" s="1">
        <v>2</v>
      </c>
      <c r="L5566" s="1" t="s">
        <v>36</v>
      </c>
      <c r="M5566" s="1" t="str">
        <f>"安徽省 黄山市 黄山区 甘棠镇"</f>
        <v>安徽省 黄山市 黄山区 甘棠镇</v>
      </c>
      <c r="N5566" s="1" t="str">
        <f t="shared" si="1809"/>
        <v>凡华云仓-城南圆通-抖音</v>
      </c>
      <c r="O5566" s="5" t="s">
        <v>5579</v>
      </c>
      <c r="P5566" s="6">
        <v>0.35</v>
      </c>
      <c r="Q5566" s="11">
        <v>2.2999999999999998</v>
      </c>
      <c r="R5566" s="11"/>
      <c r="S5566" s="11"/>
      <c r="T5566" s="11"/>
      <c r="U5566" s="11">
        <f t="shared" si="1801"/>
        <v>2.2999999999999998</v>
      </c>
      <c r="W5566">
        <v>2.5</v>
      </c>
      <c r="X5566" s="1" t="s">
        <v>36</v>
      </c>
    </row>
    <row r="5567" spans="1:24" x14ac:dyDescent="0.25">
      <c r="A5567" s="1" t="str">
        <f t="shared" si="1802"/>
        <v>卡卡杜-凤凰仓</v>
      </c>
      <c r="B5567" s="1" t="str">
        <f>"CK2024101919789"</f>
        <v>CK2024101919789</v>
      </c>
      <c r="C5567" s="1" t="str">
        <f>"DD2024101930547"</f>
        <v>DD2024101930547</v>
      </c>
      <c r="D5567" s="1" t="str">
        <f>"CK2024101920558"</f>
        <v>CK2024101920558</v>
      </c>
      <c r="E5567" s="1" t="str">
        <f>"6935152857928766966"</f>
        <v>6935152857928766966</v>
      </c>
      <c r="F5567" s="1" t="str">
        <f t="shared" si="1803"/>
        <v>花都四部-凤凰仓</v>
      </c>
      <c r="G5567" s="1" t="str">
        <f t="shared" si="1808"/>
        <v>卡卡杜个人护理店（抖店）</v>
      </c>
      <c r="H5567" s="1" t="str">
        <f t="shared" si="1804"/>
        <v>正常订单</v>
      </c>
      <c r="I5567" s="1" t="str">
        <f t="shared" si="1805"/>
        <v>已发货</v>
      </c>
      <c r="J5567" s="1" t="str">
        <f t="shared" si="1810"/>
        <v>3</v>
      </c>
      <c r="K5567" s="1">
        <v>2</v>
      </c>
      <c r="L5567" s="1" t="s">
        <v>20</v>
      </c>
      <c r="M5567" s="1" t="str">
        <f>"浙江省 绍兴市 柯桥区 柯桥街道"</f>
        <v>浙江省 绍兴市 柯桥区 柯桥街道</v>
      </c>
      <c r="N5567" s="1" t="str">
        <f t="shared" si="1809"/>
        <v>凡华云仓-城南圆通-抖音</v>
      </c>
      <c r="O5567" s="5" t="s">
        <v>5580</v>
      </c>
      <c r="P5567" s="6">
        <v>0.35</v>
      </c>
      <c r="Q5567" s="11">
        <v>2.2999999999999998</v>
      </c>
      <c r="R5567" s="11"/>
      <c r="S5567" s="11"/>
      <c r="T5567" s="11"/>
      <c r="U5567" s="11">
        <f t="shared" si="1801"/>
        <v>2.2999999999999998</v>
      </c>
      <c r="W5567">
        <v>2.5</v>
      </c>
      <c r="X5567" s="1" t="s">
        <v>20</v>
      </c>
    </row>
    <row r="5568" spans="1:24" x14ac:dyDescent="0.25">
      <c r="A5568" s="1" t="str">
        <f t="shared" si="1802"/>
        <v>卡卡杜-凤凰仓</v>
      </c>
      <c r="B5568" s="1" t="str">
        <f>"CK2024101919790"</f>
        <v>CK2024101919790</v>
      </c>
      <c r="C5568" s="1" t="str">
        <f>"DD2024101930550"</f>
        <v>DD2024101930550</v>
      </c>
      <c r="D5568" s="1" t="str">
        <f>"CK2024101920557"</f>
        <v>CK2024101920557</v>
      </c>
      <c r="E5568" s="1" t="str">
        <f>"6935175550577022272"</f>
        <v>6935175550577022272</v>
      </c>
      <c r="F5568" s="1" t="str">
        <f t="shared" si="1803"/>
        <v>花都四部-凤凰仓</v>
      </c>
      <c r="G5568" s="1" t="str">
        <f t="shared" si="1808"/>
        <v>卡卡杜个人护理店（抖店）</v>
      </c>
      <c r="H5568" s="1" t="str">
        <f t="shared" si="1804"/>
        <v>正常订单</v>
      </c>
      <c r="I5568" s="1" t="str">
        <f t="shared" si="1805"/>
        <v>已发货</v>
      </c>
      <c r="J5568" s="1" t="str">
        <f t="shared" si="1810"/>
        <v>3</v>
      </c>
      <c r="K5568" s="1">
        <v>2</v>
      </c>
      <c r="L5568" s="1" t="s">
        <v>22</v>
      </c>
      <c r="M5568" s="1" t="str">
        <f>"江西省 上饶市 婺源县 紫阳镇"</f>
        <v>江西省 上饶市 婺源县 紫阳镇</v>
      </c>
      <c r="N5568" s="1" t="str">
        <f t="shared" si="1809"/>
        <v>凡华云仓-城南圆通-抖音</v>
      </c>
      <c r="O5568" s="5" t="s">
        <v>5581</v>
      </c>
      <c r="P5568" s="6">
        <v>0.35</v>
      </c>
      <c r="Q5568" s="11">
        <v>2.2999999999999998</v>
      </c>
      <c r="R5568" s="11"/>
      <c r="S5568" s="11"/>
      <c r="T5568" s="11"/>
      <c r="U5568" s="11">
        <f t="shared" si="1801"/>
        <v>2.2999999999999998</v>
      </c>
      <c r="W5568">
        <v>2.5</v>
      </c>
      <c r="X5568" s="1" t="s">
        <v>22</v>
      </c>
    </row>
    <row r="5569" spans="1:24" x14ac:dyDescent="0.25">
      <c r="A5569" s="1" t="str">
        <f t="shared" si="1802"/>
        <v>卡卡杜-凤凰仓</v>
      </c>
      <c r="B5569" s="1" t="str">
        <f>"CK2024101919791"</f>
        <v>CK2024101919791</v>
      </c>
      <c r="C5569" s="1" t="str">
        <f>"DD2024101930549"</f>
        <v>DD2024101930549</v>
      </c>
      <c r="D5569" s="1" t="str">
        <f>"CK2024101920556"</f>
        <v>CK2024101920556</v>
      </c>
      <c r="E5569" s="1" t="str">
        <f>"6935175528993986124"</f>
        <v>6935175528993986124</v>
      </c>
      <c r="F5569" s="1" t="str">
        <f t="shared" si="1803"/>
        <v>花都四部-凤凰仓</v>
      </c>
      <c r="G5569" s="1" t="str">
        <f t="shared" si="1808"/>
        <v>卡卡杜个人护理店（抖店）</v>
      </c>
      <c r="H5569" s="1" t="str">
        <f t="shared" si="1804"/>
        <v>正常订单</v>
      </c>
      <c r="I5569" s="1" t="str">
        <f t="shared" si="1805"/>
        <v>已发货</v>
      </c>
      <c r="J5569" s="1" t="str">
        <f t="shared" si="1810"/>
        <v>3</v>
      </c>
      <c r="K5569" s="1">
        <v>2</v>
      </c>
      <c r="L5569" s="1" t="s">
        <v>96</v>
      </c>
      <c r="M5569" s="1" t="str">
        <f>"广西壮族自治区 南宁市 江南区 "</f>
        <v xml:space="preserve">广西壮族自治区 南宁市 江南区 </v>
      </c>
      <c r="N5569" s="1" t="str">
        <f t="shared" si="1809"/>
        <v>凡华云仓-城南圆通-抖音</v>
      </c>
      <c r="O5569" s="5" t="s">
        <v>5582</v>
      </c>
      <c r="P5569" s="6">
        <v>0.35</v>
      </c>
      <c r="Q5569" s="11">
        <v>2.2999999999999998</v>
      </c>
      <c r="R5569" s="11"/>
      <c r="S5569" s="11"/>
      <c r="T5569" s="11"/>
      <c r="U5569" s="11">
        <f t="shared" si="1801"/>
        <v>2.2999999999999998</v>
      </c>
      <c r="W5569">
        <v>2.5</v>
      </c>
      <c r="X5569" s="1" t="s">
        <v>96</v>
      </c>
    </row>
    <row r="5570" spans="1:24" x14ac:dyDescent="0.25">
      <c r="A5570" s="1" t="str">
        <f t="shared" si="1802"/>
        <v>卡卡杜-凤凰仓</v>
      </c>
      <c r="B5570" s="1" t="str">
        <f>"CK2024101919792"</f>
        <v>CK2024101919792</v>
      </c>
      <c r="C5570" s="1" t="str">
        <f>"DD2024101930551"</f>
        <v>DD2024101930551</v>
      </c>
      <c r="D5570" s="1" t="str">
        <f>"CK2024101920555"</f>
        <v>CK2024101920555</v>
      </c>
      <c r="E5570" s="1" t="str">
        <f>"6935162285962827011"</f>
        <v>6935162285962827011</v>
      </c>
      <c r="F5570" s="1" t="str">
        <f t="shared" si="1803"/>
        <v>花都四部-凤凰仓</v>
      </c>
      <c r="G5570" s="1" t="str">
        <f t="shared" si="1808"/>
        <v>卡卡杜个人护理店（抖店）</v>
      </c>
      <c r="H5570" s="1" t="str">
        <f t="shared" si="1804"/>
        <v>正常订单</v>
      </c>
      <c r="I5570" s="1" t="str">
        <f t="shared" si="1805"/>
        <v>已发货</v>
      </c>
      <c r="J5570" s="1" t="str">
        <f t="shared" si="1810"/>
        <v>3</v>
      </c>
      <c r="K5570" s="1">
        <v>2</v>
      </c>
      <c r="L5570" s="1" t="s">
        <v>24</v>
      </c>
      <c r="M5570" s="1" t="str">
        <f>"福建省 福州市 马尾区 马尾镇"</f>
        <v>福建省 福州市 马尾区 马尾镇</v>
      </c>
      <c r="N5570" s="1" t="str">
        <f t="shared" si="1809"/>
        <v>凡华云仓-城南圆通-抖音</v>
      </c>
      <c r="O5570" s="5" t="s">
        <v>5583</v>
      </c>
      <c r="P5570" s="6">
        <v>0.35</v>
      </c>
      <c r="Q5570" s="11">
        <v>2.2999999999999998</v>
      </c>
      <c r="R5570" s="11"/>
      <c r="S5570" s="11"/>
      <c r="T5570" s="11"/>
      <c r="U5570" s="11">
        <f t="shared" si="1801"/>
        <v>2.2999999999999998</v>
      </c>
      <c r="W5570">
        <v>2.5</v>
      </c>
      <c r="X5570" s="1" t="s">
        <v>24</v>
      </c>
    </row>
    <row r="5571" spans="1:24" x14ac:dyDescent="0.25">
      <c r="A5571" s="1" t="str">
        <f t="shared" si="1802"/>
        <v>卡卡杜-凤凰仓</v>
      </c>
      <c r="B5571" s="1" t="str">
        <f>"CK2024101919793"</f>
        <v>CK2024101919793</v>
      </c>
      <c r="C5571" s="1" t="str">
        <f>"DD2024101930552"</f>
        <v>DD2024101930552</v>
      </c>
      <c r="D5571" s="1" t="str">
        <f>"CK2024101920554"</f>
        <v>CK2024101920554</v>
      </c>
      <c r="E5571" s="1" t="str">
        <f>"6935179662620234991"</f>
        <v>6935179662620234991</v>
      </c>
      <c r="F5571" s="1" t="str">
        <f t="shared" si="1803"/>
        <v>花都四部-凤凰仓</v>
      </c>
      <c r="G5571" s="1" t="str">
        <f t="shared" si="1808"/>
        <v>卡卡杜个人护理店（抖店）</v>
      </c>
      <c r="H5571" s="1" t="str">
        <f t="shared" si="1804"/>
        <v>正常订单</v>
      </c>
      <c r="I5571" s="1" t="str">
        <f t="shared" si="1805"/>
        <v>已发货</v>
      </c>
      <c r="J5571" s="1" t="str">
        <f t="shared" si="1810"/>
        <v>3</v>
      </c>
      <c r="K5571" s="1">
        <v>2</v>
      </c>
      <c r="L5571" s="1" t="s">
        <v>18</v>
      </c>
      <c r="M5571" s="1" t="str">
        <f>"广东省 潮州市 潮安区 彩塘镇"</f>
        <v>广东省 潮州市 潮安区 彩塘镇</v>
      </c>
      <c r="N5571" s="1" t="str">
        <f t="shared" si="1809"/>
        <v>凡华云仓-城南圆通-抖音</v>
      </c>
      <c r="O5571" s="5" t="s">
        <v>5584</v>
      </c>
      <c r="P5571" s="6">
        <v>0.35</v>
      </c>
      <c r="Q5571" s="11">
        <v>2.2999999999999998</v>
      </c>
      <c r="R5571" s="11"/>
      <c r="S5571" s="11"/>
      <c r="T5571" s="11"/>
      <c r="U5571" s="11">
        <f t="shared" ref="U5571:U5634" si="1811">T5571+S5571+R5571+Q5571</f>
        <v>2.2999999999999998</v>
      </c>
      <c r="W5571">
        <v>2.5</v>
      </c>
      <c r="X5571" s="1" t="s">
        <v>18</v>
      </c>
    </row>
    <row r="5572" spans="1:24" x14ac:dyDescent="0.25">
      <c r="A5572" s="1" t="str">
        <f t="shared" si="1802"/>
        <v>卡卡杜-凤凰仓</v>
      </c>
      <c r="B5572" s="1" t="str">
        <f>"CK2024101919795"</f>
        <v>CK2024101919795</v>
      </c>
      <c r="C5572" s="1" t="str">
        <f>"DD2024101930554"</f>
        <v>DD2024101930554</v>
      </c>
      <c r="D5572" s="1" t="str">
        <f>"CK2024101920553"</f>
        <v>CK2024101920553</v>
      </c>
      <c r="E5572" s="1" t="str">
        <f>"6935182110064645224"</f>
        <v>6935182110064645224</v>
      </c>
      <c r="F5572" s="1" t="str">
        <f t="shared" si="1803"/>
        <v>花都四部-凤凰仓</v>
      </c>
      <c r="G5572" s="1" t="str">
        <f t="shared" si="1808"/>
        <v>卡卡杜个人护理店（抖店）</v>
      </c>
      <c r="H5572" s="1" t="str">
        <f t="shared" si="1804"/>
        <v>正常订单</v>
      </c>
      <c r="I5572" s="1" t="str">
        <f t="shared" si="1805"/>
        <v>已发货</v>
      </c>
      <c r="J5572" s="1" t="str">
        <f t="shared" si="1810"/>
        <v>3</v>
      </c>
      <c r="K5572" s="1">
        <v>2</v>
      </c>
      <c r="L5572" s="1" t="s">
        <v>41</v>
      </c>
      <c r="M5572" s="1" t="str">
        <f>"湖北省 黄石市 阳新县 兴国镇"</f>
        <v>湖北省 黄石市 阳新县 兴国镇</v>
      </c>
      <c r="N5572" s="1" t="str">
        <f t="shared" si="1809"/>
        <v>凡华云仓-城南圆通-抖音</v>
      </c>
      <c r="O5572" s="5" t="s">
        <v>5585</v>
      </c>
      <c r="P5572" s="6">
        <v>0.35</v>
      </c>
      <c r="Q5572" s="11">
        <v>2.2999999999999998</v>
      </c>
      <c r="R5572" s="11"/>
      <c r="S5572" s="11"/>
      <c r="T5572" s="11"/>
      <c r="U5572" s="11">
        <f t="shared" si="1811"/>
        <v>2.2999999999999998</v>
      </c>
      <c r="W5572">
        <v>2.5</v>
      </c>
      <c r="X5572" s="1" t="s">
        <v>41</v>
      </c>
    </row>
    <row r="5573" spans="1:24" x14ac:dyDescent="0.25">
      <c r="A5573" s="1" t="str">
        <f t="shared" ref="A5573:A5636" si="1812">"卡卡杜-凤凰仓"</f>
        <v>卡卡杜-凤凰仓</v>
      </c>
      <c r="B5573" s="1" t="str">
        <f>"CK2024101919794"</f>
        <v>CK2024101919794</v>
      </c>
      <c r="C5573" s="1" t="str">
        <f>"DD2024101930553"</f>
        <v>DD2024101930553</v>
      </c>
      <c r="D5573" s="1" t="str">
        <f>"CK2024101920552"</f>
        <v>CK2024101920552</v>
      </c>
      <c r="E5573" s="1" t="str">
        <f>"6935184215686649126"</f>
        <v>6935184215686649126</v>
      </c>
      <c r="F5573" s="1" t="str">
        <f t="shared" ref="F5573:F5636" si="1813">"花都四部-凤凰仓"</f>
        <v>花都四部-凤凰仓</v>
      </c>
      <c r="G5573" s="1" t="str">
        <f t="shared" si="1808"/>
        <v>卡卡杜个人护理店（抖店）</v>
      </c>
      <c r="H5573" s="1" t="str">
        <f t="shared" ref="H5573:H5636" si="1814">"正常订单"</f>
        <v>正常订单</v>
      </c>
      <c r="I5573" s="1" t="str">
        <f t="shared" ref="I5573:I5636" si="1815">"已发货"</f>
        <v>已发货</v>
      </c>
      <c r="J5573" s="1" t="str">
        <f t="shared" si="1810"/>
        <v>3</v>
      </c>
      <c r="K5573" s="1">
        <v>2</v>
      </c>
      <c r="L5573" s="1" t="s">
        <v>20</v>
      </c>
      <c r="M5573" s="1" t="str">
        <f>"浙江省 温州市 平阳县 鳌江镇"</f>
        <v>浙江省 温州市 平阳县 鳌江镇</v>
      </c>
      <c r="N5573" s="1" t="str">
        <f t="shared" si="1809"/>
        <v>凡华云仓-城南圆通-抖音</v>
      </c>
      <c r="O5573" s="5" t="s">
        <v>5586</v>
      </c>
      <c r="P5573" s="6">
        <v>0.35</v>
      </c>
      <c r="Q5573" s="11">
        <v>2.2999999999999998</v>
      </c>
      <c r="R5573" s="11"/>
      <c r="S5573" s="11"/>
      <c r="T5573" s="11"/>
      <c r="U5573" s="11">
        <f t="shared" si="1811"/>
        <v>2.2999999999999998</v>
      </c>
      <c r="W5573">
        <v>2.5</v>
      </c>
      <c r="X5573" s="1" t="s">
        <v>20</v>
      </c>
    </row>
    <row r="5574" spans="1:24" x14ac:dyDescent="0.25">
      <c r="A5574" s="1" t="str">
        <f t="shared" si="1812"/>
        <v>卡卡杜-凤凰仓</v>
      </c>
      <c r="B5574" s="1" t="str">
        <f>"CK2024101919796"</f>
        <v>CK2024101919796</v>
      </c>
      <c r="C5574" s="1" t="str">
        <f>"DD2024101930555"</f>
        <v>DD2024101930555</v>
      </c>
      <c r="D5574" s="1" t="str">
        <f>"CK2024101920551"</f>
        <v>CK2024101920551</v>
      </c>
      <c r="E5574" s="1" t="str">
        <f>"6935182004090377239"</f>
        <v>6935182004090377239</v>
      </c>
      <c r="F5574" s="1" t="str">
        <f t="shared" si="1813"/>
        <v>花都四部-凤凰仓</v>
      </c>
      <c r="G5574" s="1" t="str">
        <f t="shared" si="1808"/>
        <v>卡卡杜个人护理店（抖店）</v>
      </c>
      <c r="H5574" s="1" t="str">
        <f t="shared" si="1814"/>
        <v>正常订单</v>
      </c>
      <c r="I5574" s="1" t="str">
        <f t="shared" si="1815"/>
        <v>已发货</v>
      </c>
      <c r="J5574" s="1" t="str">
        <f t="shared" si="1810"/>
        <v>3</v>
      </c>
      <c r="K5574" s="1">
        <v>2</v>
      </c>
      <c r="L5574" s="1" t="s">
        <v>18</v>
      </c>
      <c r="M5574" s="1" t="str">
        <f>"广东省 深圳市 宝安区 松岗街道"</f>
        <v>广东省 深圳市 宝安区 松岗街道</v>
      </c>
      <c r="N5574" s="1" t="str">
        <f t="shared" si="1809"/>
        <v>凡华云仓-城南圆通-抖音</v>
      </c>
      <c r="O5574" s="5" t="s">
        <v>5587</v>
      </c>
      <c r="P5574" s="6">
        <v>0.35</v>
      </c>
      <c r="Q5574" s="11">
        <v>2.2999999999999998</v>
      </c>
      <c r="R5574" s="11"/>
      <c r="S5574" s="11"/>
      <c r="T5574" s="11"/>
      <c r="U5574" s="11">
        <f t="shared" si="1811"/>
        <v>2.2999999999999998</v>
      </c>
      <c r="W5574">
        <v>2.5</v>
      </c>
      <c r="X5574" s="1" t="s">
        <v>18</v>
      </c>
    </row>
    <row r="5575" spans="1:24" x14ac:dyDescent="0.25">
      <c r="A5575" s="1" t="str">
        <f t="shared" si="1812"/>
        <v>卡卡杜-凤凰仓</v>
      </c>
      <c r="B5575" s="1" t="str">
        <f>"CK2024101919798"</f>
        <v>CK2024101919798</v>
      </c>
      <c r="C5575" s="1" t="str">
        <f>"DD2024101930558"</f>
        <v>DD2024101930558</v>
      </c>
      <c r="D5575" s="1" t="str">
        <f>"CK2024101920550"</f>
        <v>CK2024101920550</v>
      </c>
      <c r="E5575" s="1" t="str">
        <f>"6935166351452935750"</f>
        <v>6935166351452935750</v>
      </c>
      <c r="F5575" s="1" t="str">
        <f t="shared" si="1813"/>
        <v>花都四部-凤凰仓</v>
      </c>
      <c r="G5575" s="1" t="str">
        <f t="shared" si="1808"/>
        <v>卡卡杜个人护理店（抖店）</v>
      </c>
      <c r="H5575" s="1" t="str">
        <f t="shared" si="1814"/>
        <v>正常订单</v>
      </c>
      <c r="I5575" s="1" t="str">
        <f t="shared" si="1815"/>
        <v>已发货</v>
      </c>
      <c r="J5575" s="1" t="str">
        <f t="shared" si="1810"/>
        <v>3</v>
      </c>
      <c r="K5575" s="1">
        <v>2</v>
      </c>
      <c r="L5575" s="1" t="s">
        <v>60</v>
      </c>
      <c r="M5575" s="1" t="str">
        <f>"云南省 文山壮族苗族自治州 丘北县 温浏乡"</f>
        <v>云南省 文山壮族苗族自治州 丘北县 温浏乡</v>
      </c>
      <c r="N5575" s="1" t="str">
        <f t="shared" si="1809"/>
        <v>凡华云仓-城南圆通-抖音</v>
      </c>
      <c r="O5575" s="5" t="s">
        <v>5588</v>
      </c>
      <c r="P5575" s="6">
        <v>0.35</v>
      </c>
      <c r="Q5575" s="11">
        <v>2.2999999999999998</v>
      </c>
      <c r="R5575" s="11"/>
      <c r="S5575" s="11"/>
      <c r="T5575" s="11"/>
      <c r="U5575" s="11">
        <f t="shared" si="1811"/>
        <v>2.2999999999999998</v>
      </c>
      <c r="W5575">
        <v>2.5</v>
      </c>
      <c r="X5575" s="1" t="s">
        <v>60</v>
      </c>
    </row>
    <row r="5576" spans="1:24" x14ac:dyDescent="0.25">
      <c r="A5576" s="1" t="str">
        <f t="shared" si="1812"/>
        <v>卡卡杜-凤凰仓</v>
      </c>
      <c r="B5576" s="1" t="str">
        <f>"CK2024101919799"</f>
        <v>CK2024101919799</v>
      </c>
      <c r="C5576" s="1" t="str">
        <f>"DD2024101930557"</f>
        <v>DD2024101930557</v>
      </c>
      <c r="D5576" s="1" t="str">
        <f>"CK2024101920549"</f>
        <v>CK2024101920549</v>
      </c>
      <c r="E5576" s="1" t="str">
        <f>"6935181977910121774"</f>
        <v>6935181977910121774</v>
      </c>
      <c r="F5576" s="1" t="str">
        <f t="shared" si="1813"/>
        <v>花都四部-凤凰仓</v>
      </c>
      <c r="G5576" s="1" t="str">
        <f t="shared" si="1808"/>
        <v>卡卡杜个人护理店（抖店）</v>
      </c>
      <c r="H5576" s="1" t="str">
        <f t="shared" si="1814"/>
        <v>正常订单</v>
      </c>
      <c r="I5576" s="1" t="str">
        <f t="shared" si="1815"/>
        <v>已发货</v>
      </c>
      <c r="J5576" s="1" t="str">
        <f t="shared" si="1810"/>
        <v>3</v>
      </c>
      <c r="K5576" s="1">
        <v>2</v>
      </c>
      <c r="L5576" s="1" t="s">
        <v>13</v>
      </c>
      <c r="M5576" s="1" t="str">
        <f>"江苏省 淮安市 淮阴区 "</f>
        <v xml:space="preserve">江苏省 淮安市 淮阴区 </v>
      </c>
      <c r="N5576" s="1" t="str">
        <f t="shared" si="1809"/>
        <v>凡华云仓-城南圆通-抖音</v>
      </c>
      <c r="O5576" s="5" t="s">
        <v>5589</v>
      </c>
      <c r="P5576" s="6">
        <v>0.35</v>
      </c>
      <c r="Q5576" s="11">
        <v>2.2999999999999998</v>
      </c>
      <c r="R5576" s="11"/>
      <c r="S5576" s="11"/>
      <c r="T5576" s="11"/>
      <c r="U5576" s="11">
        <f t="shared" si="1811"/>
        <v>2.2999999999999998</v>
      </c>
      <c r="W5576">
        <v>2.5</v>
      </c>
      <c r="X5576" s="1" t="s">
        <v>13</v>
      </c>
    </row>
    <row r="5577" spans="1:24" x14ac:dyDescent="0.25">
      <c r="A5577" s="1" t="str">
        <f t="shared" si="1812"/>
        <v>卡卡杜-凤凰仓</v>
      </c>
      <c r="B5577" s="1" t="str">
        <f>"CK2024101919797"</f>
        <v>CK2024101919797</v>
      </c>
      <c r="C5577" s="1" t="str">
        <f>"DD2024101930556"</f>
        <v>DD2024101930556</v>
      </c>
      <c r="D5577" s="1" t="str">
        <f>"CK2024101920548"</f>
        <v>CK2024101920548</v>
      </c>
      <c r="E5577" s="1" t="str">
        <f>"6935171343803160315"</f>
        <v>6935171343803160315</v>
      </c>
      <c r="F5577" s="1" t="str">
        <f t="shared" si="1813"/>
        <v>花都四部-凤凰仓</v>
      </c>
      <c r="G5577" s="1" t="str">
        <f t="shared" si="1808"/>
        <v>卡卡杜个人护理店（抖店）</v>
      </c>
      <c r="H5577" s="1" t="str">
        <f t="shared" si="1814"/>
        <v>正常订单</v>
      </c>
      <c r="I5577" s="1" t="str">
        <f t="shared" si="1815"/>
        <v>已发货</v>
      </c>
      <c r="J5577" s="1" t="str">
        <f t="shared" si="1810"/>
        <v>3</v>
      </c>
      <c r="K5577" s="1">
        <v>2</v>
      </c>
      <c r="L5577" s="1" t="s">
        <v>94</v>
      </c>
      <c r="M5577" s="1" t="str">
        <f>"湖南省 衡阳市 耒阳市 蔡子池街道"</f>
        <v>湖南省 衡阳市 耒阳市 蔡子池街道</v>
      </c>
      <c r="N5577" s="1" t="str">
        <f t="shared" si="1809"/>
        <v>凡华云仓-城南圆通-抖音</v>
      </c>
      <c r="O5577" s="5" t="s">
        <v>5590</v>
      </c>
      <c r="P5577" s="6">
        <v>0.35</v>
      </c>
      <c r="Q5577" s="11">
        <v>2.2999999999999998</v>
      </c>
      <c r="R5577" s="11"/>
      <c r="S5577" s="11"/>
      <c r="T5577" s="11"/>
      <c r="U5577" s="11">
        <f t="shared" si="1811"/>
        <v>2.2999999999999998</v>
      </c>
      <c r="W5577">
        <v>2.5</v>
      </c>
      <c r="X5577" s="1" t="s">
        <v>94</v>
      </c>
    </row>
    <row r="5578" spans="1:24" x14ac:dyDescent="0.25">
      <c r="A5578" s="1" t="str">
        <f t="shared" si="1812"/>
        <v>卡卡杜-凤凰仓</v>
      </c>
      <c r="B5578" s="1" t="str">
        <f>"CK2024101919800"</f>
        <v>CK2024101919800</v>
      </c>
      <c r="C5578" s="1" t="str">
        <f>"DD2024101930559"</f>
        <v>DD2024101930559</v>
      </c>
      <c r="D5578" s="1" t="str">
        <f>"CK2024101920547"</f>
        <v>CK2024101920547</v>
      </c>
      <c r="E5578" s="1" t="str">
        <f>"6935179570710713384"</f>
        <v>6935179570710713384</v>
      </c>
      <c r="F5578" s="1" t="str">
        <f t="shared" si="1813"/>
        <v>花都四部-凤凰仓</v>
      </c>
      <c r="G5578" s="1" t="str">
        <f t="shared" si="1808"/>
        <v>卡卡杜个人护理店（抖店）</v>
      </c>
      <c r="H5578" s="1" t="str">
        <f t="shared" si="1814"/>
        <v>正常订单</v>
      </c>
      <c r="I5578" s="1" t="str">
        <f t="shared" si="1815"/>
        <v>已发货</v>
      </c>
      <c r="J5578" s="1" t="str">
        <f t="shared" si="1810"/>
        <v>3</v>
      </c>
      <c r="K5578" s="1">
        <v>2</v>
      </c>
      <c r="L5578" s="1" t="s">
        <v>36</v>
      </c>
      <c r="M5578" s="1" t="str">
        <f>"安徽省 马鞍山市 雨山区 佳山乡"</f>
        <v>安徽省 马鞍山市 雨山区 佳山乡</v>
      </c>
      <c r="N5578" s="1" t="str">
        <f t="shared" si="1809"/>
        <v>凡华云仓-城南圆通-抖音</v>
      </c>
      <c r="O5578" s="5" t="s">
        <v>5591</v>
      </c>
      <c r="P5578" s="6">
        <v>0.35</v>
      </c>
      <c r="Q5578" s="11">
        <v>2.2999999999999998</v>
      </c>
      <c r="R5578" s="11"/>
      <c r="S5578" s="11"/>
      <c r="T5578" s="11"/>
      <c r="U5578" s="11">
        <f t="shared" si="1811"/>
        <v>2.2999999999999998</v>
      </c>
      <c r="W5578">
        <v>2.5</v>
      </c>
      <c r="X5578" s="1" t="s">
        <v>36</v>
      </c>
    </row>
    <row r="5579" spans="1:24" x14ac:dyDescent="0.25">
      <c r="A5579" s="1" t="str">
        <f t="shared" si="1812"/>
        <v>卡卡杜-凤凰仓</v>
      </c>
      <c r="B5579" s="1" t="str">
        <f>"CK2024101919801"</f>
        <v>CK2024101919801</v>
      </c>
      <c r="C5579" s="1" t="str">
        <f>"DD2024101930560"</f>
        <v>DD2024101930560</v>
      </c>
      <c r="D5579" s="1" t="str">
        <f>"CK2024101920546"</f>
        <v>CK2024101920546</v>
      </c>
      <c r="E5579" s="1" t="str">
        <f>"6935179704852485707"</f>
        <v>6935179704852485707</v>
      </c>
      <c r="F5579" s="1" t="str">
        <f t="shared" si="1813"/>
        <v>花都四部-凤凰仓</v>
      </c>
      <c r="G5579" s="1" t="str">
        <f t="shared" si="1808"/>
        <v>卡卡杜个人护理店（抖店）</v>
      </c>
      <c r="H5579" s="1" t="str">
        <f t="shared" si="1814"/>
        <v>正常订单</v>
      </c>
      <c r="I5579" s="1" t="str">
        <f t="shared" si="1815"/>
        <v>已发货</v>
      </c>
      <c r="J5579" s="1" t="str">
        <f t="shared" si="1810"/>
        <v>3</v>
      </c>
      <c r="K5579" s="1">
        <v>2</v>
      </c>
      <c r="L5579" s="1" t="s">
        <v>44</v>
      </c>
      <c r="M5579" s="1" t="str">
        <f>"海南省 琼海市 琼海市 嘉积镇"</f>
        <v>海南省 琼海市 琼海市 嘉积镇</v>
      </c>
      <c r="N5579" s="1" t="str">
        <f t="shared" si="1809"/>
        <v>凡华云仓-城南圆通-抖音</v>
      </c>
      <c r="O5579" s="5" t="s">
        <v>5592</v>
      </c>
      <c r="P5579" s="6">
        <v>0.35</v>
      </c>
      <c r="Q5579" s="11">
        <v>2.2999999999999998</v>
      </c>
      <c r="R5579" s="11"/>
      <c r="S5579" s="11"/>
      <c r="T5579" s="11"/>
      <c r="U5579" s="11">
        <f t="shared" si="1811"/>
        <v>2.2999999999999998</v>
      </c>
      <c r="W5579">
        <v>2.5</v>
      </c>
      <c r="X5579" s="1" t="s">
        <v>44</v>
      </c>
    </row>
    <row r="5580" spans="1:24" x14ac:dyDescent="0.25">
      <c r="A5580" s="1" t="str">
        <f t="shared" si="1812"/>
        <v>卡卡杜-凤凰仓</v>
      </c>
      <c r="B5580" s="1" t="str">
        <f>"CK2024101919802"</f>
        <v>CK2024101919802</v>
      </c>
      <c r="C5580" s="1" t="str">
        <f>"DD2024101930561"</f>
        <v>DD2024101930561</v>
      </c>
      <c r="D5580" s="1" t="str">
        <f>"CK2024101920545"</f>
        <v>CK2024101920545</v>
      </c>
      <c r="E5580" s="1" t="str">
        <f>"6935159570780919197"</f>
        <v>6935159570780919197</v>
      </c>
      <c r="F5580" s="1" t="str">
        <f t="shared" si="1813"/>
        <v>花都四部-凤凰仓</v>
      </c>
      <c r="G5580" s="1" t="str">
        <f t="shared" si="1808"/>
        <v>卡卡杜个人护理店（抖店）</v>
      </c>
      <c r="H5580" s="1" t="str">
        <f t="shared" si="1814"/>
        <v>正常订单</v>
      </c>
      <c r="I5580" s="1" t="str">
        <f t="shared" si="1815"/>
        <v>已发货</v>
      </c>
      <c r="J5580" s="1" t="str">
        <f t="shared" si="1810"/>
        <v>3</v>
      </c>
      <c r="K5580" s="1">
        <v>2</v>
      </c>
      <c r="L5580" s="1" t="s">
        <v>13</v>
      </c>
      <c r="M5580" s="1" t="str">
        <f>"江苏省 苏州市 吴江区 "</f>
        <v xml:space="preserve">江苏省 苏州市 吴江区 </v>
      </c>
      <c r="N5580" s="1" t="str">
        <f t="shared" si="1809"/>
        <v>凡华云仓-城南圆通-抖音</v>
      </c>
      <c r="O5580" s="5" t="s">
        <v>5593</v>
      </c>
      <c r="P5580" s="6">
        <v>0.35</v>
      </c>
      <c r="Q5580" s="11">
        <v>2.2999999999999998</v>
      </c>
      <c r="R5580" s="11"/>
      <c r="S5580" s="11"/>
      <c r="T5580" s="11"/>
      <c r="U5580" s="11">
        <f t="shared" si="1811"/>
        <v>2.2999999999999998</v>
      </c>
      <c r="W5580">
        <v>2.5</v>
      </c>
      <c r="X5580" s="1" t="s">
        <v>13</v>
      </c>
    </row>
    <row r="5581" spans="1:24" x14ac:dyDescent="0.25">
      <c r="A5581" s="1" t="str">
        <f t="shared" si="1812"/>
        <v>卡卡杜-凤凰仓</v>
      </c>
      <c r="B5581" s="1" t="str">
        <f>"CK2024101919803"</f>
        <v>CK2024101919803</v>
      </c>
      <c r="C5581" s="1" t="str">
        <f>"DD2024101930562"</f>
        <v>DD2024101930562</v>
      </c>
      <c r="D5581" s="1" t="str">
        <f>"CK2024101920544"</f>
        <v>CK2024101920544</v>
      </c>
      <c r="E5581" s="1" t="str">
        <f>"6935182094618203680"</f>
        <v>6935182094618203680</v>
      </c>
      <c r="F5581" s="1" t="str">
        <f t="shared" si="1813"/>
        <v>花都四部-凤凰仓</v>
      </c>
      <c r="G5581" s="1" t="str">
        <f t="shared" si="1808"/>
        <v>卡卡杜个人护理店（抖店）</v>
      </c>
      <c r="H5581" s="1" t="str">
        <f t="shared" si="1814"/>
        <v>正常订单</v>
      </c>
      <c r="I5581" s="1" t="str">
        <f t="shared" si="1815"/>
        <v>已发货</v>
      </c>
      <c r="J5581" s="1" t="str">
        <f t="shared" si="1810"/>
        <v>3</v>
      </c>
      <c r="K5581" s="1">
        <v>2</v>
      </c>
      <c r="L5581" s="1" t="s">
        <v>74</v>
      </c>
      <c r="M5581" s="1" t="str">
        <f>"上海 上海市 浦东新区 三林镇"</f>
        <v>上海 上海市 浦东新区 三林镇</v>
      </c>
      <c r="N5581" s="1" t="str">
        <f t="shared" si="1809"/>
        <v>凡华云仓-城南圆通-抖音</v>
      </c>
      <c r="O5581" s="5" t="s">
        <v>5594</v>
      </c>
      <c r="P5581" s="6">
        <v>0.35</v>
      </c>
      <c r="Q5581" s="11">
        <v>2.2999999999999998</v>
      </c>
      <c r="R5581" s="11"/>
      <c r="S5581" s="11"/>
      <c r="T5581" s="11"/>
      <c r="U5581" s="11">
        <f t="shared" si="1811"/>
        <v>2.2999999999999998</v>
      </c>
      <c r="W5581">
        <v>2.5</v>
      </c>
      <c r="X5581" s="1" t="s">
        <v>74</v>
      </c>
    </row>
    <row r="5582" spans="1:24" x14ac:dyDescent="0.25">
      <c r="A5582" s="1" t="str">
        <f t="shared" si="1812"/>
        <v>卡卡杜-凤凰仓</v>
      </c>
      <c r="B5582" s="1" t="str">
        <f>"CK2024101919804"</f>
        <v>CK2024101919804</v>
      </c>
      <c r="C5582" s="1" t="str">
        <f>"DD2024101930563"</f>
        <v>DD2024101930563</v>
      </c>
      <c r="D5582" s="1" t="str">
        <f>"CK2024101920543"</f>
        <v>CK2024101920543</v>
      </c>
      <c r="E5582" s="1" t="str">
        <f>"6935162388409292403"</f>
        <v>6935162388409292403</v>
      </c>
      <c r="F5582" s="1" t="str">
        <f t="shared" si="1813"/>
        <v>花都四部-凤凰仓</v>
      </c>
      <c r="G5582" s="1" t="str">
        <f t="shared" si="1808"/>
        <v>卡卡杜个人护理店（抖店）</v>
      </c>
      <c r="H5582" s="1" t="str">
        <f t="shared" si="1814"/>
        <v>正常订单</v>
      </c>
      <c r="I5582" s="1" t="str">
        <f t="shared" si="1815"/>
        <v>已发货</v>
      </c>
      <c r="J5582" s="1" t="str">
        <f t="shared" si="1810"/>
        <v>3</v>
      </c>
      <c r="K5582" s="1">
        <v>2</v>
      </c>
      <c r="L5582" s="1" t="s">
        <v>44</v>
      </c>
      <c r="M5582" s="1" t="str">
        <f>"海南省 海口市 龙华区 金贸街道"</f>
        <v>海南省 海口市 龙华区 金贸街道</v>
      </c>
      <c r="N5582" s="1" t="str">
        <f t="shared" si="1809"/>
        <v>凡华云仓-城南圆通-抖音</v>
      </c>
      <c r="O5582" s="5" t="s">
        <v>5595</v>
      </c>
      <c r="P5582" s="6">
        <v>0.35</v>
      </c>
      <c r="Q5582" s="11">
        <v>2.2999999999999998</v>
      </c>
      <c r="R5582" s="11"/>
      <c r="S5582" s="11"/>
      <c r="T5582" s="11"/>
      <c r="U5582" s="11">
        <f t="shared" si="1811"/>
        <v>2.2999999999999998</v>
      </c>
      <c r="W5582">
        <v>2.5</v>
      </c>
      <c r="X5582" s="1" t="s">
        <v>44</v>
      </c>
    </row>
    <row r="5583" spans="1:24" x14ac:dyDescent="0.25">
      <c r="A5583" s="1" t="str">
        <f t="shared" si="1812"/>
        <v>卡卡杜-凤凰仓</v>
      </c>
      <c r="B5583" s="1" t="str">
        <f>"CK2024101919805"</f>
        <v>CK2024101919805</v>
      </c>
      <c r="C5583" s="1" t="str">
        <f>"DD2024101930564"</f>
        <v>DD2024101930564</v>
      </c>
      <c r="D5583" s="1" t="str">
        <f>"CK2024101920542"</f>
        <v>CK2024101920542</v>
      </c>
      <c r="E5583" s="1" t="str">
        <f>"6935166317265098509"</f>
        <v>6935166317265098509</v>
      </c>
      <c r="F5583" s="1" t="str">
        <f t="shared" si="1813"/>
        <v>花都四部-凤凰仓</v>
      </c>
      <c r="G5583" s="1" t="str">
        <f t="shared" si="1808"/>
        <v>卡卡杜个人护理店（抖店）</v>
      </c>
      <c r="H5583" s="1" t="str">
        <f t="shared" si="1814"/>
        <v>正常订单</v>
      </c>
      <c r="I5583" s="1" t="str">
        <f t="shared" si="1815"/>
        <v>已发货</v>
      </c>
      <c r="J5583" s="1" t="str">
        <f t="shared" si="1810"/>
        <v>3</v>
      </c>
      <c r="K5583" s="1">
        <v>2</v>
      </c>
      <c r="L5583" s="1" t="s">
        <v>20</v>
      </c>
      <c r="M5583" s="1" t="str">
        <f>"浙江省 宁波市 鄞州区 "</f>
        <v xml:space="preserve">浙江省 宁波市 鄞州区 </v>
      </c>
      <c r="N5583" s="1" t="str">
        <f t="shared" si="1809"/>
        <v>凡华云仓-城南圆通-抖音</v>
      </c>
      <c r="O5583" s="5" t="s">
        <v>5596</v>
      </c>
      <c r="P5583" s="6">
        <v>0.35</v>
      </c>
      <c r="Q5583" s="11">
        <v>2.2999999999999998</v>
      </c>
      <c r="R5583" s="11"/>
      <c r="S5583" s="11"/>
      <c r="T5583" s="11"/>
      <c r="U5583" s="11">
        <f t="shared" si="1811"/>
        <v>2.2999999999999998</v>
      </c>
      <c r="W5583">
        <v>2.5</v>
      </c>
      <c r="X5583" s="1" t="s">
        <v>20</v>
      </c>
    </row>
    <row r="5584" spans="1:24" x14ac:dyDescent="0.25">
      <c r="A5584" s="1" t="str">
        <f t="shared" si="1812"/>
        <v>卡卡杜-凤凰仓</v>
      </c>
      <c r="B5584" s="1" t="str">
        <f>"CK2024101919806"</f>
        <v>CK2024101919806</v>
      </c>
      <c r="C5584" s="1" t="str">
        <f>"DD2024101930565"</f>
        <v>DD2024101930565</v>
      </c>
      <c r="D5584" s="1" t="str">
        <f>"CK2024101920541"</f>
        <v>CK2024101920541</v>
      </c>
      <c r="E5584" s="1" t="str">
        <f>"6935173226476147872"</f>
        <v>6935173226476147872</v>
      </c>
      <c r="F5584" s="1" t="str">
        <f t="shared" si="1813"/>
        <v>花都四部-凤凰仓</v>
      </c>
      <c r="G5584" s="1" t="str">
        <f t="shared" si="1808"/>
        <v>卡卡杜个人护理店（抖店）</v>
      </c>
      <c r="H5584" s="1" t="str">
        <f t="shared" si="1814"/>
        <v>正常订单</v>
      </c>
      <c r="I5584" s="1" t="str">
        <f t="shared" si="1815"/>
        <v>已发货</v>
      </c>
      <c r="J5584" s="1" t="str">
        <f t="shared" si="1810"/>
        <v>3</v>
      </c>
      <c r="K5584" s="1">
        <v>2</v>
      </c>
      <c r="L5584" s="1" t="s">
        <v>41</v>
      </c>
      <c r="M5584" s="1" t="str">
        <f>"湖北省 孝感市 应城市 城中街道"</f>
        <v>湖北省 孝感市 应城市 城中街道</v>
      </c>
      <c r="N5584" s="1" t="str">
        <f t="shared" si="1809"/>
        <v>凡华云仓-城南圆通-抖音</v>
      </c>
      <c r="O5584" s="5" t="s">
        <v>5597</v>
      </c>
      <c r="P5584" s="6">
        <v>0.35</v>
      </c>
      <c r="Q5584" s="11">
        <v>2.2999999999999998</v>
      </c>
      <c r="R5584" s="11"/>
      <c r="S5584" s="11"/>
      <c r="T5584" s="11"/>
      <c r="U5584" s="11">
        <f t="shared" si="1811"/>
        <v>2.2999999999999998</v>
      </c>
      <c r="W5584">
        <v>2.5</v>
      </c>
      <c r="X5584" s="1" t="s">
        <v>41</v>
      </c>
    </row>
    <row r="5585" spans="1:24" x14ac:dyDescent="0.25">
      <c r="A5585" s="1" t="str">
        <f t="shared" si="1812"/>
        <v>卡卡杜-凤凰仓</v>
      </c>
      <c r="B5585" s="1" t="str">
        <f>"CK2024101919807"</f>
        <v>CK2024101919807</v>
      </c>
      <c r="C5585" s="1" t="str">
        <f>"DD2024101930566"</f>
        <v>DD2024101930566</v>
      </c>
      <c r="D5585" s="1" t="str">
        <f>"CK2024101920540"</f>
        <v>CK2024101920540</v>
      </c>
      <c r="E5585" s="1" t="str">
        <f>"6935166307566491534"</f>
        <v>6935166307566491534</v>
      </c>
      <c r="F5585" s="1" t="str">
        <f t="shared" si="1813"/>
        <v>花都四部-凤凰仓</v>
      </c>
      <c r="G5585" s="1" t="str">
        <f t="shared" si="1808"/>
        <v>卡卡杜个人护理店（抖店）</v>
      </c>
      <c r="H5585" s="1" t="str">
        <f t="shared" si="1814"/>
        <v>正常订单</v>
      </c>
      <c r="I5585" s="1" t="str">
        <f t="shared" si="1815"/>
        <v>已发货</v>
      </c>
      <c r="J5585" s="1" t="str">
        <f t="shared" si="1810"/>
        <v>3</v>
      </c>
      <c r="K5585" s="1">
        <v>2</v>
      </c>
      <c r="L5585" s="1" t="s">
        <v>60</v>
      </c>
      <c r="M5585" s="1" t="str">
        <f>"云南省 德宏傣族景颇族自治州 瑞丽市 勐卯街道"</f>
        <v>云南省 德宏傣族景颇族自治州 瑞丽市 勐卯街道</v>
      </c>
      <c r="N5585" s="1" t="str">
        <f t="shared" si="1809"/>
        <v>凡华云仓-城南圆通-抖音</v>
      </c>
      <c r="O5585" s="5" t="s">
        <v>5598</v>
      </c>
      <c r="P5585" s="6">
        <v>0.35</v>
      </c>
      <c r="Q5585" s="11">
        <v>2.2999999999999998</v>
      </c>
      <c r="R5585" s="11"/>
      <c r="S5585" s="11"/>
      <c r="T5585" s="11"/>
      <c r="U5585" s="11">
        <f t="shared" si="1811"/>
        <v>2.2999999999999998</v>
      </c>
      <c r="W5585">
        <v>2.5</v>
      </c>
      <c r="X5585" s="1" t="s">
        <v>60</v>
      </c>
    </row>
    <row r="5586" spans="1:24" x14ac:dyDescent="0.25">
      <c r="A5586" s="1" t="str">
        <f t="shared" si="1812"/>
        <v>卡卡杜-凤凰仓</v>
      </c>
      <c r="B5586" s="1" t="str">
        <f>"CK2024101919808"</f>
        <v>CK2024101919808</v>
      </c>
      <c r="C5586" s="1" t="str">
        <f>"DD2024101930567"</f>
        <v>DD2024101930567</v>
      </c>
      <c r="D5586" s="1" t="str">
        <f>"CK2024101920539"</f>
        <v>CK2024101920539</v>
      </c>
      <c r="E5586" s="1" t="str">
        <f>"6935182011020153995"</f>
        <v>6935182011020153995</v>
      </c>
      <c r="F5586" s="1" t="str">
        <f t="shared" si="1813"/>
        <v>花都四部-凤凰仓</v>
      </c>
      <c r="G5586" s="1" t="str">
        <f t="shared" si="1808"/>
        <v>卡卡杜个人护理店（抖店）</v>
      </c>
      <c r="H5586" s="1" t="str">
        <f t="shared" si="1814"/>
        <v>正常订单</v>
      </c>
      <c r="I5586" s="1" t="str">
        <f t="shared" si="1815"/>
        <v>已发货</v>
      </c>
      <c r="J5586" s="1" t="str">
        <f t="shared" si="1810"/>
        <v>3</v>
      </c>
      <c r="K5586" s="1">
        <v>2</v>
      </c>
      <c r="L5586" s="1" t="s">
        <v>24</v>
      </c>
      <c r="M5586" s="1" t="str">
        <f>"福建省 宁德市 周宁县 狮城镇"</f>
        <v>福建省 宁德市 周宁县 狮城镇</v>
      </c>
      <c r="N5586" s="1" t="str">
        <f t="shared" si="1809"/>
        <v>凡华云仓-城南圆通-抖音</v>
      </c>
      <c r="O5586" s="5" t="s">
        <v>5599</v>
      </c>
      <c r="P5586" s="6">
        <v>0.35</v>
      </c>
      <c r="Q5586" s="11">
        <v>2.2999999999999998</v>
      </c>
      <c r="R5586" s="11"/>
      <c r="S5586" s="11"/>
      <c r="T5586" s="11"/>
      <c r="U5586" s="11">
        <f t="shared" si="1811"/>
        <v>2.2999999999999998</v>
      </c>
      <c r="W5586">
        <v>2.5</v>
      </c>
      <c r="X5586" s="1" t="s">
        <v>24</v>
      </c>
    </row>
    <row r="5587" spans="1:24" x14ac:dyDescent="0.25">
      <c r="A5587" s="1" t="str">
        <f t="shared" si="1812"/>
        <v>卡卡杜-凤凰仓</v>
      </c>
      <c r="B5587" s="1" t="str">
        <f>"CK2024101919809"</f>
        <v>CK2024101919809</v>
      </c>
      <c r="C5587" s="1" t="str">
        <f>"DD2024101930568"</f>
        <v>DD2024101930568</v>
      </c>
      <c r="D5587" s="1" t="str">
        <f>"CK2024101920538"</f>
        <v>CK2024101920538</v>
      </c>
      <c r="E5587" s="1" t="str">
        <f>"6935159677460682077"</f>
        <v>6935159677460682077</v>
      </c>
      <c r="F5587" s="1" t="str">
        <f t="shared" si="1813"/>
        <v>花都四部-凤凰仓</v>
      </c>
      <c r="G5587" s="1" t="str">
        <f t="shared" si="1808"/>
        <v>卡卡杜个人护理店（抖店）</v>
      </c>
      <c r="H5587" s="1" t="str">
        <f t="shared" si="1814"/>
        <v>正常订单</v>
      </c>
      <c r="I5587" s="1" t="str">
        <f t="shared" si="1815"/>
        <v>已发货</v>
      </c>
      <c r="J5587" s="1" t="str">
        <f t="shared" si="1810"/>
        <v>3</v>
      </c>
      <c r="K5587" s="1">
        <v>2</v>
      </c>
      <c r="L5587" s="1" t="s">
        <v>96</v>
      </c>
      <c r="M5587" s="1" t="str">
        <f>"广西壮族自治区 柳州市 鱼峰区 "</f>
        <v xml:space="preserve">广西壮族自治区 柳州市 鱼峰区 </v>
      </c>
      <c r="N5587" s="1" t="str">
        <f t="shared" si="1809"/>
        <v>凡华云仓-城南圆通-抖音</v>
      </c>
      <c r="O5587" s="5" t="s">
        <v>5600</v>
      </c>
      <c r="P5587" s="6">
        <v>0.35</v>
      </c>
      <c r="Q5587" s="11">
        <v>2.2999999999999998</v>
      </c>
      <c r="R5587" s="11"/>
      <c r="S5587" s="11"/>
      <c r="T5587" s="11"/>
      <c r="U5587" s="11">
        <f t="shared" si="1811"/>
        <v>2.2999999999999998</v>
      </c>
      <c r="W5587">
        <v>2.5</v>
      </c>
      <c r="X5587" s="1" t="s">
        <v>96</v>
      </c>
    </row>
    <row r="5588" spans="1:24" x14ac:dyDescent="0.25">
      <c r="A5588" s="1" t="str">
        <f t="shared" si="1812"/>
        <v>卡卡杜-凤凰仓</v>
      </c>
      <c r="B5588" s="1" t="str">
        <f>"CK2024101919811"</f>
        <v>CK2024101919811</v>
      </c>
      <c r="C5588" s="1" t="str">
        <f>"DD2024101930570"</f>
        <v>DD2024101930570</v>
      </c>
      <c r="D5588" s="1" t="str">
        <f>"CK2024101920536"</f>
        <v>CK2024101920536</v>
      </c>
      <c r="E5588" s="1" t="str">
        <f>"6935157479721211264"</f>
        <v>6935157479721211264</v>
      </c>
      <c r="F5588" s="1" t="str">
        <f t="shared" si="1813"/>
        <v>花都四部-凤凰仓</v>
      </c>
      <c r="G5588" s="1" t="str">
        <f t="shared" si="1808"/>
        <v>卡卡杜个人护理店（抖店）</v>
      </c>
      <c r="H5588" s="1" t="str">
        <f t="shared" si="1814"/>
        <v>正常订单</v>
      </c>
      <c r="I5588" s="1" t="str">
        <f t="shared" si="1815"/>
        <v>已发货</v>
      </c>
      <c r="J5588" s="1" t="str">
        <f t="shared" si="1810"/>
        <v>3</v>
      </c>
      <c r="K5588" s="1">
        <v>2</v>
      </c>
      <c r="L5588" s="1" t="s">
        <v>22</v>
      </c>
      <c r="M5588" s="1" t="str">
        <f>"江西省 上饶市 横峰县 姚家乡"</f>
        <v>江西省 上饶市 横峰县 姚家乡</v>
      </c>
      <c r="N5588" s="1" t="str">
        <f t="shared" si="1809"/>
        <v>凡华云仓-城南圆通-抖音</v>
      </c>
      <c r="O5588" s="5" t="s">
        <v>5601</v>
      </c>
      <c r="P5588" s="6">
        <v>0.35</v>
      </c>
      <c r="Q5588" s="11">
        <v>2.2999999999999998</v>
      </c>
      <c r="R5588" s="11"/>
      <c r="S5588" s="11"/>
      <c r="T5588" s="11"/>
      <c r="U5588" s="11">
        <f t="shared" si="1811"/>
        <v>2.2999999999999998</v>
      </c>
      <c r="W5588">
        <v>2.5</v>
      </c>
      <c r="X5588" s="1" t="s">
        <v>22</v>
      </c>
    </row>
    <row r="5589" spans="1:24" x14ac:dyDescent="0.25">
      <c r="A5589" s="1" t="str">
        <f t="shared" si="1812"/>
        <v>卡卡杜-凤凰仓</v>
      </c>
      <c r="B5589" s="1" t="str">
        <f>"CK2024101919812"</f>
        <v>CK2024101919812</v>
      </c>
      <c r="C5589" s="1" t="str">
        <f>"DD2024101930571"</f>
        <v>DD2024101930571</v>
      </c>
      <c r="D5589" s="1" t="str">
        <f>"CK2024101920535"</f>
        <v>CK2024101920535</v>
      </c>
      <c r="E5589" s="1" t="str">
        <f>"6935179616792024464"</f>
        <v>6935179616792024464</v>
      </c>
      <c r="F5589" s="1" t="str">
        <f t="shared" si="1813"/>
        <v>花都四部-凤凰仓</v>
      </c>
      <c r="G5589" s="1" t="str">
        <f t="shared" si="1808"/>
        <v>卡卡杜个人护理店（抖店）</v>
      </c>
      <c r="H5589" s="1" t="str">
        <f t="shared" si="1814"/>
        <v>正常订单</v>
      </c>
      <c r="I5589" s="1" t="str">
        <f t="shared" si="1815"/>
        <v>已发货</v>
      </c>
      <c r="J5589" s="1" t="str">
        <f t="shared" si="1810"/>
        <v>3</v>
      </c>
      <c r="K5589" s="1">
        <v>2</v>
      </c>
      <c r="L5589" s="1" t="s">
        <v>20</v>
      </c>
      <c r="M5589" s="1" t="str">
        <f>"浙江省 温州市 瓯海区 "</f>
        <v xml:space="preserve">浙江省 温州市 瓯海区 </v>
      </c>
      <c r="N5589" s="1" t="str">
        <f t="shared" si="1809"/>
        <v>凡华云仓-城南圆通-抖音</v>
      </c>
      <c r="O5589" s="5" t="s">
        <v>5602</v>
      </c>
      <c r="P5589" s="6">
        <v>0.35</v>
      </c>
      <c r="Q5589" s="11">
        <v>2.2999999999999998</v>
      </c>
      <c r="R5589" s="11"/>
      <c r="S5589" s="11"/>
      <c r="T5589" s="11"/>
      <c r="U5589" s="11">
        <f t="shared" si="1811"/>
        <v>2.2999999999999998</v>
      </c>
      <c r="W5589">
        <v>2.5</v>
      </c>
      <c r="X5589" s="1" t="s">
        <v>20</v>
      </c>
    </row>
    <row r="5590" spans="1:24" x14ac:dyDescent="0.25">
      <c r="A5590" s="1" t="str">
        <f t="shared" si="1812"/>
        <v>卡卡杜-凤凰仓</v>
      </c>
      <c r="B5590" s="1" t="str">
        <f>"CK2024101919813"</f>
        <v>CK2024101919813</v>
      </c>
      <c r="C5590" s="1" t="str">
        <f>"DD2024101930572"</f>
        <v>DD2024101930572</v>
      </c>
      <c r="D5590" s="1" t="str">
        <f>"CK2024101920534"</f>
        <v>CK2024101920534</v>
      </c>
      <c r="E5590" s="1" t="str">
        <f>"6935162384472347653"</f>
        <v>6935162384472347653</v>
      </c>
      <c r="F5590" s="1" t="str">
        <f t="shared" si="1813"/>
        <v>花都四部-凤凰仓</v>
      </c>
      <c r="G5590" s="1" t="str">
        <f t="shared" si="1808"/>
        <v>卡卡杜个人护理店（抖店）</v>
      </c>
      <c r="H5590" s="1" t="str">
        <f t="shared" si="1814"/>
        <v>正常订单</v>
      </c>
      <c r="I5590" s="1" t="str">
        <f t="shared" si="1815"/>
        <v>已发货</v>
      </c>
      <c r="J5590" s="1" t="str">
        <f t="shared" si="1810"/>
        <v>3</v>
      </c>
      <c r="K5590" s="1">
        <v>2</v>
      </c>
      <c r="L5590" s="1" t="s">
        <v>13</v>
      </c>
      <c r="M5590" s="1" t="str">
        <f>"江苏省 常州市 金坛区 西城街道"</f>
        <v>江苏省 常州市 金坛区 西城街道</v>
      </c>
      <c r="N5590" s="1" t="str">
        <f t="shared" si="1809"/>
        <v>凡华云仓-城南圆通-抖音</v>
      </c>
      <c r="O5590" s="5" t="s">
        <v>5603</v>
      </c>
      <c r="P5590" s="6">
        <v>0.35</v>
      </c>
      <c r="Q5590" s="11">
        <v>2.2999999999999998</v>
      </c>
      <c r="R5590" s="11"/>
      <c r="S5590" s="11"/>
      <c r="T5590" s="11"/>
      <c r="U5590" s="11">
        <f t="shared" si="1811"/>
        <v>2.2999999999999998</v>
      </c>
      <c r="W5590">
        <v>2.5</v>
      </c>
      <c r="X5590" s="1" t="s">
        <v>13</v>
      </c>
    </row>
    <row r="5591" spans="1:24" x14ac:dyDescent="0.25">
      <c r="A5591" s="1" t="str">
        <f t="shared" si="1812"/>
        <v>卡卡杜-凤凰仓</v>
      </c>
      <c r="B5591" s="1" t="str">
        <f>"CK2024101919814"</f>
        <v>CK2024101919814</v>
      </c>
      <c r="C5591" s="1" t="str">
        <f>"DD2024101930573"</f>
        <v>DD2024101930573</v>
      </c>
      <c r="D5591" s="1" t="str">
        <f>"CK2024101920533"</f>
        <v>CK2024101920533</v>
      </c>
      <c r="E5591" s="1" t="str">
        <f>"6935164135208850591"</f>
        <v>6935164135208850591</v>
      </c>
      <c r="F5591" s="1" t="str">
        <f t="shared" si="1813"/>
        <v>花都四部-凤凰仓</v>
      </c>
      <c r="G5591" s="1" t="str">
        <f t="shared" si="1808"/>
        <v>卡卡杜个人护理店（抖店）</v>
      </c>
      <c r="H5591" s="1" t="str">
        <f t="shared" si="1814"/>
        <v>正常订单</v>
      </c>
      <c r="I5591" s="1" t="str">
        <f t="shared" si="1815"/>
        <v>已发货</v>
      </c>
      <c r="J5591" s="1" t="str">
        <f t="shared" si="1810"/>
        <v>3</v>
      </c>
      <c r="K5591" s="1">
        <v>2</v>
      </c>
      <c r="L5591" s="1" t="s">
        <v>20</v>
      </c>
      <c r="M5591" s="1" t="str">
        <f>"浙江省 舟山市 定海区 临城街道"</f>
        <v>浙江省 舟山市 定海区 临城街道</v>
      </c>
      <c r="N5591" s="1" t="str">
        <f t="shared" si="1809"/>
        <v>凡华云仓-城南圆通-抖音</v>
      </c>
      <c r="O5591" s="5" t="s">
        <v>5604</v>
      </c>
      <c r="P5591" s="6">
        <v>0.35</v>
      </c>
      <c r="Q5591" s="11">
        <v>2.2999999999999998</v>
      </c>
      <c r="R5591" s="11"/>
      <c r="S5591" s="11"/>
      <c r="T5591" s="11"/>
      <c r="U5591" s="11">
        <f t="shared" si="1811"/>
        <v>2.2999999999999998</v>
      </c>
      <c r="W5591">
        <v>2.5</v>
      </c>
      <c r="X5591" s="1" t="s">
        <v>20</v>
      </c>
    </row>
    <row r="5592" spans="1:24" x14ac:dyDescent="0.25">
      <c r="A5592" s="1" t="str">
        <f t="shared" si="1812"/>
        <v>卡卡杜-凤凰仓</v>
      </c>
      <c r="B5592" s="1" t="str">
        <f>"CK2024101919815"</f>
        <v>CK2024101919815</v>
      </c>
      <c r="C5592" s="1" t="str">
        <f>"DD2024101930574"</f>
        <v>DD2024101930574</v>
      </c>
      <c r="D5592" s="1" t="str">
        <f>"CK2024101920532"</f>
        <v>CK2024101920532</v>
      </c>
      <c r="E5592" s="1" t="str">
        <f>"6935179643611846144"</f>
        <v>6935179643611846144</v>
      </c>
      <c r="F5592" s="1" t="str">
        <f t="shared" si="1813"/>
        <v>花都四部-凤凰仓</v>
      </c>
      <c r="G5592" s="1" t="str">
        <f t="shared" si="1808"/>
        <v>卡卡杜个人护理店（抖店）</v>
      </c>
      <c r="H5592" s="1" t="str">
        <f t="shared" si="1814"/>
        <v>正常订单</v>
      </c>
      <c r="I5592" s="1" t="str">
        <f t="shared" si="1815"/>
        <v>已发货</v>
      </c>
      <c r="J5592" s="1" t="str">
        <f t="shared" si="1810"/>
        <v>3</v>
      </c>
      <c r="K5592" s="1">
        <v>2</v>
      </c>
      <c r="L5592" s="1" t="s">
        <v>60</v>
      </c>
      <c r="M5592" s="1" t="str">
        <f>"云南省 文山壮族苗族自治州 文山市 开化街道"</f>
        <v>云南省 文山壮族苗族自治州 文山市 开化街道</v>
      </c>
      <c r="N5592" s="1" t="str">
        <f t="shared" si="1809"/>
        <v>凡华云仓-城南圆通-抖音</v>
      </c>
      <c r="O5592" s="5" t="s">
        <v>5605</v>
      </c>
      <c r="P5592" s="6">
        <v>0.35</v>
      </c>
      <c r="Q5592" s="11">
        <v>2.2999999999999998</v>
      </c>
      <c r="R5592" s="11"/>
      <c r="S5592" s="11"/>
      <c r="T5592" s="11"/>
      <c r="U5592" s="11">
        <f t="shared" si="1811"/>
        <v>2.2999999999999998</v>
      </c>
      <c r="W5592">
        <v>2.5</v>
      </c>
      <c r="X5592" s="1" t="s">
        <v>60</v>
      </c>
    </row>
    <row r="5593" spans="1:24" x14ac:dyDescent="0.25">
      <c r="A5593" s="1" t="str">
        <f t="shared" si="1812"/>
        <v>卡卡杜-凤凰仓</v>
      </c>
      <c r="B5593" s="1" t="str">
        <f>"CK2024101919816"</f>
        <v>CK2024101919816</v>
      </c>
      <c r="C5593" s="1" t="str">
        <f>"DD2024101930575"</f>
        <v>DD2024101930575</v>
      </c>
      <c r="D5593" s="1" t="str">
        <f>"CK2024101920531"</f>
        <v>CK2024101920531</v>
      </c>
      <c r="E5593" s="1" t="str">
        <f>"6935171180161406301"</f>
        <v>6935171180161406301</v>
      </c>
      <c r="F5593" s="1" t="str">
        <f t="shared" si="1813"/>
        <v>花都四部-凤凰仓</v>
      </c>
      <c r="G5593" s="1" t="str">
        <f t="shared" si="1808"/>
        <v>卡卡杜个人护理店（抖店）</v>
      </c>
      <c r="H5593" s="1" t="str">
        <f t="shared" si="1814"/>
        <v>正常订单</v>
      </c>
      <c r="I5593" s="1" t="str">
        <f t="shared" si="1815"/>
        <v>已发货</v>
      </c>
      <c r="J5593" s="1" t="str">
        <f t="shared" si="1810"/>
        <v>3</v>
      </c>
      <c r="K5593" s="1">
        <v>2</v>
      </c>
      <c r="L5593" s="1" t="s">
        <v>20</v>
      </c>
      <c r="M5593" s="1" t="str">
        <f>"浙江省 宁波市 鄞州区 云龙镇"</f>
        <v>浙江省 宁波市 鄞州区 云龙镇</v>
      </c>
      <c r="N5593" s="1" t="str">
        <f t="shared" si="1809"/>
        <v>凡华云仓-城南圆通-抖音</v>
      </c>
      <c r="O5593" s="5" t="s">
        <v>5606</v>
      </c>
      <c r="P5593" s="6">
        <v>0.35</v>
      </c>
      <c r="Q5593" s="11">
        <v>2.2999999999999998</v>
      </c>
      <c r="R5593" s="11"/>
      <c r="S5593" s="11"/>
      <c r="T5593" s="11"/>
      <c r="U5593" s="11">
        <f t="shared" si="1811"/>
        <v>2.2999999999999998</v>
      </c>
      <c r="W5593">
        <v>2.5</v>
      </c>
      <c r="X5593" s="1" t="s">
        <v>20</v>
      </c>
    </row>
    <row r="5594" spans="1:24" x14ac:dyDescent="0.25">
      <c r="A5594" s="1" t="str">
        <f t="shared" si="1812"/>
        <v>卡卡杜-凤凰仓</v>
      </c>
      <c r="B5594" s="1" t="str">
        <f>"CK2024101919817"</f>
        <v>CK2024101919817</v>
      </c>
      <c r="C5594" s="1" t="str">
        <f>"DD2024101930576"</f>
        <v>DD2024101930576</v>
      </c>
      <c r="D5594" s="1" t="str">
        <f>"CK2024101920530"</f>
        <v>CK2024101920530</v>
      </c>
      <c r="E5594" s="1" t="str">
        <f>"6935164108316873805"</f>
        <v>6935164108316873805</v>
      </c>
      <c r="F5594" s="1" t="str">
        <f t="shared" si="1813"/>
        <v>花都四部-凤凰仓</v>
      </c>
      <c r="G5594" s="1" t="str">
        <f t="shared" si="1808"/>
        <v>卡卡杜个人护理店（抖店）</v>
      </c>
      <c r="H5594" s="1" t="str">
        <f t="shared" si="1814"/>
        <v>正常订单</v>
      </c>
      <c r="I5594" s="1" t="str">
        <f t="shared" si="1815"/>
        <v>已发货</v>
      </c>
      <c r="J5594" s="1" t="str">
        <f t="shared" si="1810"/>
        <v>3</v>
      </c>
      <c r="K5594" s="1">
        <v>2</v>
      </c>
      <c r="L5594" s="1" t="s">
        <v>1111</v>
      </c>
      <c r="M5594" s="1" t="str">
        <f>"青海省 海东市 平安区 平安镇"</f>
        <v>青海省 海东市 平安区 平安镇</v>
      </c>
      <c r="N5594" s="1" t="str">
        <f t="shared" si="1809"/>
        <v>凡华云仓-城南圆通-抖音</v>
      </c>
      <c r="O5594" s="5" t="s">
        <v>5607</v>
      </c>
      <c r="P5594" s="6">
        <v>0.35</v>
      </c>
      <c r="Q5594" s="11">
        <v>2.2999999999999998</v>
      </c>
      <c r="R5594" s="11"/>
      <c r="S5594" s="11"/>
      <c r="T5594" s="11"/>
      <c r="U5594" s="11">
        <f t="shared" si="1811"/>
        <v>2.2999999999999998</v>
      </c>
      <c r="W5594">
        <v>2.5</v>
      </c>
      <c r="X5594" s="1" t="s">
        <v>1111</v>
      </c>
    </row>
    <row r="5595" spans="1:24" x14ac:dyDescent="0.25">
      <c r="A5595" s="1" t="str">
        <f t="shared" si="1812"/>
        <v>卡卡杜-凤凰仓</v>
      </c>
      <c r="B5595" s="1" t="str">
        <f>"CK2024101919818"</f>
        <v>CK2024101919818</v>
      </c>
      <c r="C5595" s="1" t="str">
        <f>"DD2024101930577"</f>
        <v>DD2024101930577</v>
      </c>
      <c r="D5595" s="1" t="str">
        <f>"CK2024101920529"</f>
        <v>CK2024101920529</v>
      </c>
      <c r="E5595" s="1" t="str">
        <f>"6935171307452765922"</f>
        <v>6935171307452765922</v>
      </c>
      <c r="F5595" s="1" t="str">
        <f t="shared" si="1813"/>
        <v>花都四部-凤凰仓</v>
      </c>
      <c r="G5595" s="1" t="str">
        <f t="shared" si="1808"/>
        <v>卡卡杜个人护理店（抖店）</v>
      </c>
      <c r="H5595" s="1" t="str">
        <f t="shared" si="1814"/>
        <v>正常订单</v>
      </c>
      <c r="I5595" s="1" t="str">
        <f t="shared" si="1815"/>
        <v>已发货</v>
      </c>
      <c r="J5595" s="1" t="str">
        <f t="shared" si="1810"/>
        <v>3</v>
      </c>
      <c r="K5595" s="1">
        <v>2</v>
      </c>
      <c r="L5595" s="1" t="s">
        <v>13</v>
      </c>
      <c r="M5595" s="1" t="str">
        <f>"江苏省 徐州市 睢宁县 睢河街道"</f>
        <v>江苏省 徐州市 睢宁县 睢河街道</v>
      </c>
      <c r="N5595" s="1" t="str">
        <f t="shared" si="1809"/>
        <v>凡华云仓-城南圆通-抖音</v>
      </c>
      <c r="O5595" s="5" t="s">
        <v>5608</v>
      </c>
      <c r="P5595" s="6">
        <v>0.35</v>
      </c>
      <c r="Q5595" s="11">
        <v>2.2999999999999998</v>
      </c>
      <c r="R5595" s="11"/>
      <c r="S5595" s="11"/>
      <c r="T5595" s="11"/>
      <c r="U5595" s="11">
        <f t="shared" si="1811"/>
        <v>2.2999999999999998</v>
      </c>
      <c r="W5595">
        <v>2.5</v>
      </c>
      <c r="X5595" s="1" t="s">
        <v>13</v>
      </c>
    </row>
    <row r="5596" spans="1:24" x14ac:dyDescent="0.25">
      <c r="A5596" s="1" t="str">
        <f t="shared" si="1812"/>
        <v>卡卡杜-凤凰仓</v>
      </c>
      <c r="B5596" s="1" t="str">
        <f>"CK2024101919819"</f>
        <v>CK2024101919819</v>
      </c>
      <c r="C5596" s="1" t="str">
        <f>"DD2024101930579"</f>
        <v>DD2024101930579</v>
      </c>
      <c r="D5596" s="1" t="str">
        <f>"CK2024101920528"</f>
        <v>CK2024101920528</v>
      </c>
      <c r="E5596" s="1" t="str">
        <f>"6935171294022014510"</f>
        <v>6935171294022014510</v>
      </c>
      <c r="F5596" s="1" t="str">
        <f t="shared" si="1813"/>
        <v>花都四部-凤凰仓</v>
      </c>
      <c r="G5596" s="1" t="str">
        <f t="shared" si="1808"/>
        <v>卡卡杜个人护理店（抖店）</v>
      </c>
      <c r="H5596" s="1" t="str">
        <f t="shared" si="1814"/>
        <v>正常订单</v>
      </c>
      <c r="I5596" s="1" t="str">
        <f t="shared" si="1815"/>
        <v>已发货</v>
      </c>
      <c r="J5596" s="1" t="str">
        <f t="shared" si="1810"/>
        <v>3</v>
      </c>
      <c r="K5596" s="1">
        <v>2</v>
      </c>
      <c r="L5596" s="1" t="s">
        <v>36</v>
      </c>
      <c r="M5596" s="1" t="str">
        <f>"安徽省 宣城市 泾县 "</f>
        <v xml:space="preserve">安徽省 宣城市 泾县 </v>
      </c>
      <c r="N5596" s="1" t="str">
        <f t="shared" si="1809"/>
        <v>凡华云仓-城南圆通-抖音</v>
      </c>
      <c r="O5596" s="5" t="s">
        <v>5609</v>
      </c>
      <c r="P5596" s="6">
        <v>0.35</v>
      </c>
      <c r="Q5596" s="11">
        <v>2.2999999999999998</v>
      </c>
      <c r="R5596" s="11"/>
      <c r="S5596" s="11"/>
      <c r="T5596" s="11"/>
      <c r="U5596" s="11">
        <f t="shared" si="1811"/>
        <v>2.2999999999999998</v>
      </c>
      <c r="W5596">
        <v>2.5</v>
      </c>
      <c r="X5596" s="1" t="s">
        <v>36</v>
      </c>
    </row>
    <row r="5597" spans="1:24" x14ac:dyDescent="0.25">
      <c r="A5597" s="1" t="str">
        <f t="shared" si="1812"/>
        <v>卡卡杜-凤凰仓</v>
      </c>
      <c r="B5597" s="1" t="str">
        <f>"CK2024101919820"</f>
        <v>CK2024101919820</v>
      </c>
      <c r="C5597" s="1" t="str">
        <f>"DD2024101930578"</f>
        <v>DD2024101930578</v>
      </c>
      <c r="D5597" s="1" t="str">
        <f>"CK2024101920527"</f>
        <v>CK2024101920527</v>
      </c>
      <c r="E5597" s="1" t="str">
        <f>"6935177957119170418"</f>
        <v>6935177957119170418</v>
      </c>
      <c r="F5597" s="1" t="str">
        <f t="shared" si="1813"/>
        <v>花都四部-凤凰仓</v>
      </c>
      <c r="G5597" s="1" t="str">
        <f t="shared" si="1808"/>
        <v>卡卡杜个人护理店（抖店）</v>
      </c>
      <c r="H5597" s="1" t="str">
        <f t="shared" si="1814"/>
        <v>正常订单</v>
      </c>
      <c r="I5597" s="1" t="str">
        <f t="shared" si="1815"/>
        <v>已发货</v>
      </c>
      <c r="J5597" s="1" t="str">
        <f t="shared" si="1810"/>
        <v>3</v>
      </c>
      <c r="K5597" s="1">
        <v>2</v>
      </c>
      <c r="L5597" s="1" t="s">
        <v>24</v>
      </c>
      <c r="M5597" s="1" t="str">
        <f>"福建省 泉州市 鲤城区 常泰街道"</f>
        <v>福建省 泉州市 鲤城区 常泰街道</v>
      </c>
      <c r="N5597" s="1" t="str">
        <f t="shared" si="1809"/>
        <v>凡华云仓-城南圆通-抖音</v>
      </c>
      <c r="O5597" s="5" t="s">
        <v>5610</v>
      </c>
      <c r="P5597" s="6">
        <v>0.35</v>
      </c>
      <c r="Q5597" s="11">
        <v>2.2999999999999998</v>
      </c>
      <c r="R5597" s="11"/>
      <c r="S5597" s="11"/>
      <c r="T5597" s="11"/>
      <c r="U5597" s="11">
        <f t="shared" si="1811"/>
        <v>2.2999999999999998</v>
      </c>
      <c r="W5597">
        <v>2.5</v>
      </c>
      <c r="X5597" s="1" t="s">
        <v>24</v>
      </c>
    </row>
    <row r="5598" spans="1:24" x14ac:dyDescent="0.25">
      <c r="A5598" s="1" t="str">
        <f t="shared" si="1812"/>
        <v>卡卡杜-凤凰仓</v>
      </c>
      <c r="B5598" s="1" t="str">
        <f>"CK2024101919821"</f>
        <v>CK2024101919821</v>
      </c>
      <c r="C5598" s="1" t="str">
        <f>"DD2024101930580"</f>
        <v>DD2024101930580</v>
      </c>
      <c r="D5598" s="1" t="str">
        <f>"CK2024101920526"</f>
        <v>CK2024101920526</v>
      </c>
      <c r="E5598" s="1" t="str">
        <f>"6935155186249701336"</f>
        <v>6935155186249701336</v>
      </c>
      <c r="F5598" s="1" t="str">
        <f t="shared" si="1813"/>
        <v>花都四部-凤凰仓</v>
      </c>
      <c r="G5598" s="1" t="str">
        <f t="shared" si="1808"/>
        <v>卡卡杜个人护理店（抖店）</v>
      </c>
      <c r="H5598" s="1" t="str">
        <f t="shared" si="1814"/>
        <v>正常订单</v>
      </c>
      <c r="I5598" s="1" t="str">
        <f t="shared" si="1815"/>
        <v>已发货</v>
      </c>
      <c r="J5598" s="1" t="str">
        <f t="shared" si="1810"/>
        <v>3</v>
      </c>
      <c r="K5598" s="1">
        <v>2</v>
      </c>
      <c r="L5598" s="1" t="s">
        <v>74</v>
      </c>
      <c r="M5598" s="1" t="str">
        <f>"上海 上海市 青浦区 夏阳街道"</f>
        <v>上海 上海市 青浦区 夏阳街道</v>
      </c>
      <c r="N5598" s="1" t="str">
        <f t="shared" si="1809"/>
        <v>凡华云仓-城南圆通-抖音</v>
      </c>
      <c r="O5598" s="5" t="s">
        <v>5611</v>
      </c>
      <c r="P5598" s="6">
        <v>0.35</v>
      </c>
      <c r="Q5598" s="11">
        <v>2.2999999999999998</v>
      </c>
      <c r="R5598" s="11"/>
      <c r="S5598" s="11"/>
      <c r="T5598" s="11"/>
      <c r="U5598" s="11">
        <f t="shared" si="1811"/>
        <v>2.2999999999999998</v>
      </c>
      <c r="W5598">
        <v>2.5</v>
      </c>
      <c r="X5598" s="1" t="s">
        <v>74</v>
      </c>
    </row>
    <row r="5599" spans="1:24" x14ac:dyDescent="0.25">
      <c r="A5599" s="1" t="str">
        <f t="shared" si="1812"/>
        <v>卡卡杜-凤凰仓</v>
      </c>
      <c r="B5599" s="1" t="str">
        <f>"CK2024101919822"</f>
        <v>CK2024101919822</v>
      </c>
      <c r="C5599" s="1" t="str">
        <f>"DD2024101930581"</f>
        <v>DD2024101930581</v>
      </c>
      <c r="D5599" s="1" t="str">
        <f>"CK2024101920525"</f>
        <v>CK2024101920525</v>
      </c>
      <c r="E5599" s="1" t="str">
        <f>"6935162366308783357"</f>
        <v>6935162366308783357</v>
      </c>
      <c r="F5599" s="1" t="str">
        <f t="shared" si="1813"/>
        <v>花都四部-凤凰仓</v>
      </c>
      <c r="G5599" s="1" t="str">
        <f t="shared" si="1808"/>
        <v>卡卡杜个人护理店（抖店）</v>
      </c>
      <c r="H5599" s="1" t="str">
        <f t="shared" si="1814"/>
        <v>正常订单</v>
      </c>
      <c r="I5599" s="1" t="str">
        <f t="shared" si="1815"/>
        <v>已发货</v>
      </c>
      <c r="J5599" s="1" t="str">
        <f t="shared" si="1810"/>
        <v>3</v>
      </c>
      <c r="K5599" s="1">
        <v>2</v>
      </c>
      <c r="L5599" s="1" t="s">
        <v>13</v>
      </c>
      <c r="M5599" s="1" t="str">
        <f>"江苏省 连云港市 海州区 海州街道"</f>
        <v>江苏省 连云港市 海州区 海州街道</v>
      </c>
      <c r="N5599" s="1" t="str">
        <f t="shared" si="1809"/>
        <v>凡华云仓-城南圆通-抖音</v>
      </c>
      <c r="O5599" s="5" t="s">
        <v>5612</v>
      </c>
      <c r="P5599" s="6">
        <v>0.35</v>
      </c>
      <c r="Q5599" s="11">
        <v>2.2999999999999998</v>
      </c>
      <c r="R5599" s="11"/>
      <c r="S5599" s="11"/>
      <c r="T5599" s="11"/>
      <c r="U5599" s="11">
        <f t="shared" si="1811"/>
        <v>2.2999999999999998</v>
      </c>
      <c r="W5599">
        <v>2.5</v>
      </c>
      <c r="X5599" s="1" t="s">
        <v>13</v>
      </c>
    </row>
    <row r="5600" spans="1:24" x14ac:dyDescent="0.25">
      <c r="A5600" s="1" t="str">
        <f t="shared" si="1812"/>
        <v>卡卡杜-凤凰仓</v>
      </c>
      <c r="B5600" s="1" t="str">
        <f>"CK2024101919823"</f>
        <v>CK2024101919823</v>
      </c>
      <c r="C5600" s="1" t="str">
        <f>"DD2024101930582"</f>
        <v>DD2024101930582</v>
      </c>
      <c r="D5600" s="1" t="str">
        <f>"CK2024101920524"</f>
        <v>CK2024101920524</v>
      </c>
      <c r="E5600" s="1" t="str">
        <f>"6935175453408433531"</f>
        <v>6935175453408433531</v>
      </c>
      <c r="F5600" s="1" t="str">
        <f t="shared" si="1813"/>
        <v>花都四部-凤凰仓</v>
      </c>
      <c r="G5600" s="1" t="str">
        <f t="shared" si="1808"/>
        <v>卡卡杜个人护理店（抖店）</v>
      </c>
      <c r="H5600" s="1" t="str">
        <f t="shared" si="1814"/>
        <v>正常订单</v>
      </c>
      <c r="I5600" s="1" t="str">
        <f t="shared" si="1815"/>
        <v>已发货</v>
      </c>
      <c r="J5600" s="1" t="str">
        <f t="shared" si="1810"/>
        <v>3</v>
      </c>
      <c r="K5600" s="1">
        <v>2</v>
      </c>
      <c r="L5600" s="1" t="s">
        <v>13</v>
      </c>
      <c r="M5600" s="1" t="str">
        <f>"江苏省 泰州市 兴化市 "</f>
        <v xml:space="preserve">江苏省 泰州市 兴化市 </v>
      </c>
      <c r="N5600" s="1" t="str">
        <f t="shared" si="1809"/>
        <v>凡华云仓-城南圆通-抖音</v>
      </c>
      <c r="O5600" s="5" t="s">
        <v>5613</v>
      </c>
      <c r="P5600" s="6">
        <v>0.35</v>
      </c>
      <c r="Q5600" s="11">
        <v>2.2999999999999998</v>
      </c>
      <c r="R5600" s="11"/>
      <c r="S5600" s="11"/>
      <c r="T5600" s="11"/>
      <c r="U5600" s="11">
        <f t="shared" si="1811"/>
        <v>2.2999999999999998</v>
      </c>
      <c r="W5600">
        <v>2.5</v>
      </c>
      <c r="X5600" s="1" t="s">
        <v>13</v>
      </c>
    </row>
    <row r="5601" spans="1:24" x14ac:dyDescent="0.25">
      <c r="A5601" s="1" t="str">
        <f t="shared" si="1812"/>
        <v>卡卡杜-凤凰仓</v>
      </c>
      <c r="B5601" s="1" t="str">
        <f>"CK2024101919824"</f>
        <v>CK2024101919824</v>
      </c>
      <c r="C5601" s="1" t="str">
        <f>"DD2024101930583"</f>
        <v>DD2024101930583</v>
      </c>
      <c r="D5601" s="1" t="str">
        <f>"CK2024101920523"</f>
        <v>CK2024101920523</v>
      </c>
      <c r="E5601" s="1" t="str">
        <f>"6935168950476870670"</f>
        <v>6935168950476870670</v>
      </c>
      <c r="F5601" s="1" t="str">
        <f t="shared" si="1813"/>
        <v>花都四部-凤凰仓</v>
      </c>
      <c r="G5601" s="1" t="str">
        <f t="shared" si="1808"/>
        <v>卡卡杜个人护理店（抖店）</v>
      </c>
      <c r="H5601" s="1" t="str">
        <f t="shared" si="1814"/>
        <v>正常订单</v>
      </c>
      <c r="I5601" s="1" t="str">
        <f t="shared" si="1815"/>
        <v>已发货</v>
      </c>
      <c r="J5601" s="1" t="str">
        <f t="shared" si="1810"/>
        <v>3</v>
      </c>
      <c r="K5601" s="1">
        <v>2</v>
      </c>
      <c r="L5601" s="1" t="s">
        <v>20</v>
      </c>
      <c r="M5601" s="1" t="str">
        <f>"浙江省 金华市 永康市 古山镇"</f>
        <v>浙江省 金华市 永康市 古山镇</v>
      </c>
      <c r="N5601" s="1" t="str">
        <f t="shared" si="1809"/>
        <v>凡华云仓-城南圆通-抖音</v>
      </c>
      <c r="O5601" s="5" t="s">
        <v>5614</v>
      </c>
      <c r="P5601" s="6">
        <v>0.35</v>
      </c>
      <c r="Q5601" s="11">
        <v>2.2999999999999998</v>
      </c>
      <c r="R5601" s="11"/>
      <c r="S5601" s="11"/>
      <c r="T5601" s="11"/>
      <c r="U5601" s="11">
        <f t="shared" si="1811"/>
        <v>2.2999999999999998</v>
      </c>
      <c r="W5601">
        <v>2.5</v>
      </c>
      <c r="X5601" s="1" t="s">
        <v>20</v>
      </c>
    </row>
    <row r="5602" spans="1:24" x14ac:dyDescent="0.25">
      <c r="A5602" s="1" t="str">
        <f t="shared" si="1812"/>
        <v>卡卡杜-凤凰仓</v>
      </c>
      <c r="B5602" s="1" t="str">
        <f>"CK2024101919825"</f>
        <v>CK2024101919825</v>
      </c>
      <c r="C5602" s="1" t="str">
        <f>"DD2024101930584"</f>
        <v>DD2024101930584</v>
      </c>
      <c r="D5602" s="1" t="str">
        <f>"CK2024101920522"</f>
        <v>CK2024101920522</v>
      </c>
      <c r="E5602" s="1" t="str">
        <f>"6935171206881482498"</f>
        <v>6935171206881482498</v>
      </c>
      <c r="F5602" s="1" t="str">
        <f t="shared" si="1813"/>
        <v>花都四部-凤凰仓</v>
      </c>
      <c r="G5602" s="1" t="str">
        <f t="shared" si="1808"/>
        <v>卡卡杜个人护理店（抖店）</v>
      </c>
      <c r="H5602" s="1" t="str">
        <f t="shared" si="1814"/>
        <v>正常订单</v>
      </c>
      <c r="I5602" s="1" t="str">
        <f t="shared" si="1815"/>
        <v>已发货</v>
      </c>
      <c r="J5602" s="1" t="str">
        <f t="shared" si="1810"/>
        <v>3</v>
      </c>
      <c r="K5602" s="1">
        <v>2</v>
      </c>
      <c r="L5602" s="1" t="s">
        <v>20</v>
      </c>
      <c r="M5602" s="1" t="str">
        <f>"浙江省 宁波市 象山县 鹤浦镇"</f>
        <v>浙江省 宁波市 象山县 鹤浦镇</v>
      </c>
      <c r="N5602" s="1" t="str">
        <f t="shared" si="1809"/>
        <v>凡华云仓-城南圆通-抖音</v>
      </c>
      <c r="O5602" s="5" t="s">
        <v>5615</v>
      </c>
      <c r="P5602" s="6">
        <v>0.35</v>
      </c>
      <c r="Q5602" s="11">
        <v>2.2999999999999998</v>
      </c>
      <c r="R5602" s="11"/>
      <c r="S5602" s="11"/>
      <c r="T5602" s="11"/>
      <c r="U5602" s="11">
        <f t="shared" si="1811"/>
        <v>2.2999999999999998</v>
      </c>
      <c r="W5602">
        <v>2.5</v>
      </c>
      <c r="X5602" s="1" t="s">
        <v>20</v>
      </c>
    </row>
    <row r="5603" spans="1:24" x14ac:dyDescent="0.25">
      <c r="A5603" s="1" t="str">
        <f t="shared" si="1812"/>
        <v>卡卡杜-凤凰仓</v>
      </c>
      <c r="B5603" s="1" t="str">
        <f>"CK2024101919826"</f>
        <v>CK2024101919826</v>
      </c>
      <c r="C5603" s="1" t="str">
        <f>"DD2024101930585"</f>
        <v>DD2024101930585</v>
      </c>
      <c r="D5603" s="1" t="str">
        <f>"CK2024101920521"</f>
        <v>CK2024101920521</v>
      </c>
      <c r="E5603" s="1" t="str">
        <f>"6935171232433903491"</f>
        <v>6935171232433903491</v>
      </c>
      <c r="F5603" s="1" t="str">
        <f t="shared" si="1813"/>
        <v>花都四部-凤凰仓</v>
      </c>
      <c r="G5603" s="1" t="str">
        <f t="shared" si="1808"/>
        <v>卡卡杜个人护理店（抖店）</v>
      </c>
      <c r="H5603" s="1" t="str">
        <f t="shared" si="1814"/>
        <v>正常订单</v>
      </c>
      <c r="I5603" s="1" t="str">
        <f t="shared" si="1815"/>
        <v>已发货</v>
      </c>
      <c r="J5603" s="1" t="str">
        <f t="shared" si="1810"/>
        <v>3</v>
      </c>
      <c r="K5603" s="1">
        <v>2</v>
      </c>
      <c r="L5603" s="1" t="s">
        <v>60</v>
      </c>
      <c r="M5603" s="1" t="str">
        <f>"云南省 文山壮族苗族自治州 广南县 "</f>
        <v xml:space="preserve">云南省 文山壮族苗族自治州 广南县 </v>
      </c>
      <c r="N5603" s="1" t="str">
        <f t="shared" si="1809"/>
        <v>凡华云仓-城南圆通-抖音</v>
      </c>
      <c r="O5603" s="5" t="s">
        <v>5616</v>
      </c>
      <c r="P5603" s="6">
        <v>0.35</v>
      </c>
      <c r="Q5603" s="11">
        <v>2.2999999999999998</v>
      </c>
      <c r="R5603" s="11"/>
      <c r="S5603" s="11"/>
      <c r="T5603" s="11"/>
      <c r="U5603" s="11">
        <f t="shared" si="1811"/>
        <v>2.2999999999999998</v>
      </c>
      <c r="W5603">
        <v>2.5</v>
      </c>
      <c r="X5603" s="1" t="s">
        <v>60</v>
      </c>
    </row>
    <row r="5604" spans="1:24" x14ac:dyDescent="0.25">
      <c r="A5604" s="1" t="str">
        <f t="shared" si="1812"/>
        <v>卡卡杜-凤凰仓</v>
      </c>
      <c r="B5604" s="1" t="str">
        <f>"CK2024101919827"</f>
        <v>CK2024101919827</v>
      </c>
      <c r="C5604" s="1" t="str">
        <f>"DD2024101930586"</f>
        <v>DD2024101930586</v>
      </c>
      <c r="D5604" s="1" t="str">
        <f>"CK2024101920520"</f>
        <v>CK2024101920520</v>
      </c>
      <c r="E5604" s="1" t="str">
        <f>"6935164044535665708"</f>
        <v>6935164044535665708</v>
      </c>
      <c r="F5604" s="1" t="str">
        <f t="shared" si="1813"/>
        <v>花都四部-凤凰仓</v>
      </c>
      <c r="G5604" s="1" t="str">
        <f t="shared" si="1808"/>
        <v>卡卡杜个人护理店（抖店）</v>
      </c>
      <c r="H5604" s="1" t="str">
        <f t="shared" si="1814"/>
        <v>正常订单</v>
      </c>
      <c r="I5604" s="1" t="str">
        <f t="shared" si="1815"/>
        <v>已发货</v>
      </c>
      <c r="J5604" s="1" t="str">
        <f t="shared" si="1810"/>
        <v>3</v>
      </c>
      <c r="K5604" s="1">
        <v>2</v>
      </c>
      <c r="L5604" s="1" t="s">
        <v>27</v>
      </c>
      <c r="M5604" s="1" t="str">
        <f>"贵州省 安顺市 西秀区 "</f>
        <v xml:space="preserve">贵州省 安顺市 西秀区 </v>
      </c>
      <c r="N5604" s="1" t="str">
        <f t="shared" si="1809"/>
        <v>凡华云仓-城南圆通-抖音</v>
      </c>
      <c r="O5604" s="5" t="s">
        <v>5617</v>
      </c>
      <c r="P5604" s="6">
        <v>0.35</v>
      </c>
      <c r="Q5604" s="11">
        <v>2.2999999999999998</v>
      </c>
      <c r="R5604" s="11"/>
      <c r="S5604" s="11"/>
      <c r="T5604" s="11"/>
      <c r="U5604" s="11">
        <f t="shared" si="1811"/>
        <v>2.2999999999999998</v>
      </c>
      <c r="W5604">
        <v>2.5</v>
      </c>
      <c r="X5604" s="1" t="s">
        <v>27</v>
      </c>
    </row>
    <row r="5605" spans="1:24" x14ac:dyDescent="0.25">
      <c r="A5605" s="1" t="str">
        <f t="shared" si="1812"/>
        <v>卡卡杜-凤凰仓</v>
      </c>
      <c r="B5605" s="1" t="str">
        <f>"CK2024101919828"</f>
        <v>CK2024101919828</v>
      </c>
      <c r="C5605" s="1" t="str">
        <f>"DD2024101930587"</f>
        <v>DD2024101930587</v>
      </c>
      <c r="D5605" s="1" t="str">
        <f>"CK2024101920519"</f>
        <v>CK2024101920519</v>
      </c>
      <c r="E5605" s="1" t="str">
        <f>"6935166355317724524"</f>
        <v>6935166355317724524</v>
      </c>
      <c r="F5605" s="1" t="str">
        <f t="shared" si="1813"/>
        <v>花都四部-凤凰仓</v>
      </c>
      <c r="G5605" s="1" t="str">
        <f t="shared" si="1808"/>
        <v>卡卡杜个人护理店（抖店）</v>
      </c>
      <c r="H5605" s="1" t="str">
        <f t="shared" si="1814"/>
        <v>正常订单</v>
      </c>
      <c r="I5605" s="1" t="str">
        <f t="shared" si="1815"/>
        <v>已发货</v>
      </c>
      <c r="J5605" s="1" t="str">
        <f t="shared" si="1810"/>
        <v>3</v>
      </c>
      <c r="K5605" s="1">
        <v>2</v>
      </c>
      <c r="L5605" s="1" t="s">
        <v>94</v>
      </c>
      <c r="M5605" s="1" t="str">
        <f>"湖南省 娄底市 新化县 洋溪镇"</f>
        <v>湖南省 娄底市 新化县 洋溪镇</v>
      </c>
      <c r="N5605" s="1" t="str">
        <f t="shared" si="1809"/>
        <v>凡华云仓-城南圆通-抖音</v>
      </c>
      <c r="O5605" s="5" t="s">
        <v>5618</v>
      </c>
      <c r="P5605" s="6">
        <v>0.35</v>
      </c>
      <c r="Q5605" s="11">
        <v>2.2999999999999998</v>
      </c>
      <c r="R5605" s="11"/>
      <c r="S5605" s="11"/>
      <c r="T5605" s="11"/>
      <c r="U5605" s="11">
        <f t="shared" si="1811"/>
        <v>2.2999999999999998</v>
      </c>
      <c r="W5605">
        <v>2.5</v>
      </c>
      <c r="X5605" s="1" t="s">
        <v>94</v>
      </c>
    </row>
    <row r="5606" spans="1:24" x14ac:dyDescent="0.25">
      <c r="A5606" s="1" t="str">
        <f t="shared" si="1812"/>
        <v>卡卡杜-凤凰仓</v>
      </c>
      <c r="B5606" s="1" t="str">
        <f>"CK2024101919829"</f>
        <v>CK2024101919829</v>
      </c>
      <c r="C5606" s="1" t="str">
        <f>"DD2024101930588"</f>
        <v>DD2024101930588</v>
      </c>
      <c r="D5606" s="1" t="str">
        <f>"CK2024101920518"</f>
        <v>CK2024101920518</v>
      </c>
      <c r="E5606" s="1" t="str">
        <f>"6935152741037249681"</f>
        <v>6935152741037249681</v>
      </c>
      <c r="F5606" s="1" t="str">
        <f t="shared" si="1813"/>
        <v>花都四部-凤凰仓</v>
      </c>
      <c r="G5606" s="1" t="str">
        <f t="shared" si="1808"/>
        <v>卡卡杜个人护理店（抖店）</v>
      </c>
      <c r="H5606" s="1" t="str">
        <f t="shared" si="1814"/>
        <v>正常订单</v>
      </c>
      <c r="I5606" s="1" t="str">
        <f t="shared" si="1815"/>
        <v>已发货</v>
      </c>
      <c r="J5606" s="1" t="str">
        <f t="shared" si="1810"/>
        <v>3</v>
      </c>
      <c r="K5606" s="1">
        <v>2</v>
      </c>
      <c r="L5606" s="1" t="s">
        <v>20</v>
      </c>
      <c r="M5606" s="1" t="str">
        <f>"浙江省 杭州市 余杭区 瓶窑镇"</f>
        <v>浙江省 杭州市 余杭区 瓶窑镇</v>
      </c>
      <c r="N5606" s="1" t="str">
        <f t="shared" si="1809"/>
        <v>凡华云仓-城南圆通-抖音</v>
      </c>
      <c r="O5606" s="5" t="s">
        <v>5619</v>
      </c>
      <c r="P5606" s="6">
        <v>0.35</v>
      </c>
      <c r="Q5606" s="11">
        <v>2.2999999999999998</v>
      </c>
      <c r="R5606" s="11"/>
      <c r="S5606" s="11"/>
      <c r="T5606" s="11"/>
      <c r="U5606" s="11">
        <f t="shared" si="1811"/>
        <v>2.2999999999999998</v>
      </c>
      <c r="W5606">
        <v>2.5</v>
      </c>
      <c r="X5606" s="1" t="s">
        <v>20</v>
      </c>
    </row>
    <row r="5607" spans="1:24" x14ac:dyDescent="0.25">
      <c r="A5607" s="1" t="str">
        <f t="shared" si="1812"/>
        <v>卡卡杜-凤凰仓</v>
      </c>
      <c r="B5607" s="1" t="str">
        <f>"CK2024101919830"</f>
        <v>CK2024101919830</v>
      </c>
      <c r="C5607" s="1" t="str">
        <f>"DD2024101930590"</f>
        <v>DD2024101930590</v>
      </c>
      <c r="D5607" s="1" t="str">
        <f>"CK2024101920517"</f>
        <v>CK2024101920517</v>
      </c>
      <c r="E5607" s="1" t="str">
        <f>"6935175418370987405"</f>
        <v>6935175418370987405</v>
      </c>
      <c r="F5607" s="1" t="str">
        <f t="shared" si="1813"/>
        <v>花都四部-凤凰仓</v>
      </c>
      <c r="G5607" s="1" t="str">
        <f t="shared" si="1808"/>
        <v>卡卡杜个人护理店（抖店）</v>
      </c>
      <c r="H5607" s="1" t="str">
        <f t="shared" si="1814"/>
        <v>正常订单</v>
      </c>
      <c r="I5607" s="1" t="str">
        <f t="shared" si="1815"/>
        <v>已发货</v>
      </c>
      <c r="J5607" s="1" t="str">
        <f t="shared" si="1810"/>
        <v>3</v>
      </c>
      <c r="K5607" s="1">
        <v>2</v>
      </c>
      <c r="L5607" s="1" t="s">
        <v>32</v>
      </c>
      <c r="M5607" s="1" t="str">
        <f>"陕西省 西安市 莲湖区 土门街道"</f>
        <v>陕西省 西安市 莲湖区 土门街道</v>
      </c>
      <c r="N5607" s="1" t="str">
        <f t="shared" si="1809"/>
        <v>凡华云仓-城南圆通-抖音</v>
      </c>
      <c r="O5607" s="5" t="s">
        <v>5620</v>
      </c>
      <c r="P5607" s="6">
        <v>0.35</v>
      </c>
      <c r="Q5607" s="11">
        <v>2.2999999999999998</v>
      </c>
      <c r="R5607" s="11"/>
      <c r="S5607" s="11"/>
      <c r="T5607" s="11"/>
      <c r="U5607" s="11">
        <f t="shared" si="1811"/>
        <v>2.2999999999999998</v>
      </c>
      <c r="W5607">
        <v>2.5</v>
      </c>
      <c r="X5607" s="1" t="s">
        <v>32</v>
      </c>
    </row>
    <row r="5608" spans="1:24" x14ac:dyDescent="0.25">
      <c r="A5608" s="1" t="str">
        <f t="shared" si="1812"/>
        <v>卡卡杜-凤凰仓</v>
      </c>
      <c r="B5608" s="1" t="str">
        <f>"CK2024101919831"</f>
        <v>CK2024101919831</v>
      </c>
      <c r="C5608" s="1" t="str">
        <f>"DD2024101930589"</f>
        <v>DD2024101930589</v>
      </c>
      <c r="D5608" s="1" t="str">
        <f>"CK2024101920516"</f>
        <v>CK2024101920516</v>
      </c>
      <c r="E5608" s="1" t="str">
        <f>"6935179639371929489"</f>
        <v>6935179639371929489</v>
      </c>
      <c r="F5608" s="1" t="str">
        <f t="shared" si="1813"/>
        <v>花都四部-凤凰仓</v>
      </c>
      <c r="G5608" s="1" t="str">
        <f t="shared" si="1808"/>
        <v>卡卡杜个人护理店（抖店）</v>
      </c>
      <c r="H5608" s="1" t="str">
        <f t="shared" si="1814"/>
        <v>正常订单</v>
      </c>
      <c r="I5608" s="1" t="str">
        <f t="shared" si="1815"/>
        <v>已发货</v>
      </c>
      <c r="J5608" s="1" t="str">
        <f t="shared" si="1810"/>
        <v>3</v>
      </c>
      <c r="K5608" s="1">
        <v>2</v>
      </c>
      <c r="L5608" s="1" t="s">
        <v>36</v>
      </c>
      <c r="M5608" s="1" t="str">
        <f>"安徽省 芜湖市 弋江区 南瑞街道"</f>
        <v>安徽省 芜湖市 弋江区 南瑞街道</v>
      </c>
      <c r="N5608" s="1" t="str">
        <f t="shared" si="1809"/>
        <v>凡华云仓-城南圆通-抖音</v>
      </c>
      <c r="O5608" s="5" t="s">
        <v>5621</v>
      </c>
      <c r="P5608" s="6">
        <v>0.35</v>
      </c>
      <c r="Q5608" s="11">
        <v>2.2999999999999998</v>
      </c>
      <c r="R5608" s="11"/>
      <c r="S5608" s="11"/>
      <c r="T5608" s="11"/>
      <c r="U5608" s="11">
        <f t="shared" si="1811"/>
        <v>2.2999999999999998</v>
      </c>
      <c r="W5608">
        <v>2.5</v>
      </c>
      <c r="X5608" s="1" t="s">
        <v>36</v>
      </c>
    </row>
    <row r="5609" spans="1:24" x14ac:dyDescent="0.25">
      <c r="A5609" s="1" t="str">
        <f t="shared" si="1812"/>
        <v>卡卡杜-凤凰仓</v>
      </c>
      <c r="B5609" s="1" t="str">
        <f>"CK2024101919832"</f>
        <v>CK2024101919832</v>
      </c>
      <c r="C5609" s="1" t="str">
        <f>"DD2024101930591"</f>
        <v>DD2024101930591</v>
      </c>
      <c r="D5609" s="1" t="str">
        <f>"CK2024101920515"</f>
        <v>CK2024101920515</v>
      </c>
      <c r="E5609" s="1" t="str">
        <f>"6935164023841166846"</f>
        <v>6935164023841166846</v>
      </c>
      <c r="F5609" s="1" t="str">
        <f t="shared" si="1813"/>
        <v>花都四部-凤凰仓</v>
      </c>
      <c r="G5609" s="1" t="str">
        <f t="shared" si="1808"/>
        <v>卡卡杜个人护理店（抖店）</v>
      </c>
      <c r="H5609" s="1" t="str">
        <f t="shared" si="1814"/>
        <v>正常订单</v>
      </c>
      <c r="I5609" s="1" t="str">
        <f t="shared" si="1815"/>
        <v>已发货</v>
      </c>
      <c r="J5609" s="1" t="str">
        <f t="shared" si="1810"/>
        <v>3</v>
      </c>
      <c r="K5609" s="1">
        <v>2</v>
      </c>
      <c r="L5609" s="1" t="s">
        <v>41</v>
      </c>
      <c r="M5609" s="1" t="str">
        <f>"湖北省 武汉市 江岸区 谌家矶街道"</f>
        <v>湖北省 武汉市 江岸区 谌家矶街道</v>
      </c>
      <c r="N5609" s="1" t="str">
        <f t="shared" si="1809"/>
        <v>凡华云仓-城南圆通-抖音</v>
      </c>
      <c r="O5609" s="5" t="s">
        <v>5622</v>
      </c>
      <c r="P5609" s="6">
        <v>0.35</v>
      </c>
      <c r="Q5609" s="11">
        <v>2.2999999999999998</v>
      </c>
      <c r="R5609" s="11"/>
      <c r="S5609" s="11"/>
      <c r="T5609" s="11"/>
      <c r="U5609" s="11">
        <f t="shared" si="1811"/>
        <v>2.2999999999999998</v>
      </c>
      <c r="W5609">
        <v>2.5</v>
      </c>
      <c r="X5609" s="1" t="s">
        <v>41</v>
      </c>
    </row>
    <row r="5610" spans="1:24" x14ac:dyDescent="0.25">
      <c r="A5610" s="1" t="str">
        <f t="shared" si="1812"/>
        <v>卡卡杜-凤凰仓</v>
      </c>
      <c r="B5610" s="1" t="str">
        <f>"CK2024101919833"</f>
        <v>CK2024101919833</v>
      </c>
      <c r="C5610" s="1" t="str">
        <f>"DD2024101930593"</f>
        <v>DD2024101930593</v>
      </c>
      <c r="D5610" s="1" t="str">
        <f>"CK2024101920514"</f>
        <v>CK2024101920514</v>
      </c>
      <c r="E5610" s="1" t="str">
        <f>"6935159667886135102"</f>
        <v>6935159667886135102</v>
      </c>
      <c r="F5610" s="1" t="str">
        <f t="shared" si="1813"/>
        <v>花都四部-凤凰仓</v>
      </c>
      <c r="G5610" s="1" t="str">
        <f t="shared" si="1808"/>
        <v>卡卡杜个人护理店（抖店）</v>
      </c>
      <c r="H5610" s="1" t="str">
        <f t="shared" si="1814"/>
        <v>正常订单</v>
      </c>
      <c r="I5610" s="1" t="str">
        <f t="shared" si="1815"/>
        <v>已发货</v>
      </c>
      <c r="J5610" s="1" t="str">
        <f t="shared" si="1810"/>
        <v>3</v>
      </c>
      <c r="K5610" s="1">
        <v>2</v>
      </c>
      <c r="L5610" s="1" t="s">
        <v>30</v>
      </c>
      <c r="M5610" s="1" t="str">
        <f>"山东省 临沂市 郯城县 李庄镇"</f>
        <v>山东省 临沂市 郯城县 李庄镇</v>
      </c>
      <c r="N5610" s="1" t="str">
        <f t="shared" si="1809"/>
        <v>凡华云仓-城南圆通-抖音</v>
      </c>
      <c r="O5610" s="5" t="s">
        <v>5623</v>
      </c>
      <c r="P5610" s="6">
        <v>0.35</v>
      </c>
      <c r="Q5610" s="11">
        <v>2.2999999999999998</v>
      </c>
      <c r="R5610" s="11"/>
      <c r="S5610" s="11"/>
      <c r="T5610" s="11"/>
      <c r="U5610" s="11">
        <f t="shared" si="1811"/>
        <v>2.2999999999999998</v>
      </c>
      <c r="W5610">
        <v>2.5</v>
      </c>
      <c r="X5610" s="1" t="s">
        <v>30</v>
      </c>
    </row>
    <row r="5611" spans="1:24" x14ac:dyDescent="0.25">
      <c r="A5611" s="1" t="str">
        <f t="shared" si="1812"/>
        <v>卡卡杜-凤凰仓</v>
      </c>
      <c r="B5611" s="1" t="str">
        <f>"CK2024101919919"</f>
        <v>CK2024101919919</v>
      </c>
      <c r="C5611" s="1" t="str">
        <f>"DD2024101930716"</f>
        <v>DD2024101930716</v>
      </c>
      <c r="D5611" s="1" t="str">
        <f>"CK2024101920513"</f>
        <v>CK2024101920513</v>
      </c>
      <c r="E5611" s="1" t="str">
        <f>"6935152873153435400"</f>
        <v>6935152873153435400</v>
      </c>
      <c r="F5611" s="1" t="str">
        <f t="shared" si="1813"/>
        <v>花都四部-凤凰仓</v>
      </c>
      <c r="G5611" s="1" t="str">
        <f t="shared" si="1808"/>
        <v>卡卡杜个人护理店（抖店）</v>
      </c>
      <c r="H5611" s="1" t="str">
        <f t="shared" si="1814"/>
        <v>正常订单</v>
      </c>
      <c r="I5611" s="1" t="str">
        <f t="shared" si="1815"/>
        <v>已发货</v>
      </c>
      <c r="J5611" s="1" t="str">
        <f>"5"</f>
        <v>5</v>
      </c>
      <c r="K5611" s="1">
        <v>2</v>
      </c>
      <c r="L5611" s="1" t="s">
        <v>74</v>
      </c>
      <c r="M5611" s="1" t="str">
        <f>"上海 上海市 嘉定区 真新街道"</f>
        <v>上海 上海市 嘉定区 真新街道</v>
      </c>
      <c r="N5611" s="1" t="str">
        <f t="shared" si="1809"/>
        <v>凡华云仓-城南圆通-抖音</v>
      </c>
      <c r="O5611" s="5" t="s">
        <v>5624</v>
      </c>
      <c r="P5611" s="6">
        <v>0.59</v>
      </c>
      <c r="Q5611" s="11">
        <f>CEILING(P5611-0.5,0.1)*10*0.15+2.3</f>
        <v>2.4499999999999997</v>
      </c>
      <c r="R5611" s="11"/>
      <c r="S5611" s="11"/>
      <c r="T5611" s="11"/>
      <c r="U5611" s="11">
        <f t="shared" si="1811"/>
        <v>2.4499999999999997</v>
      </c>
      <c r="V5611" t="s">
        <v>15</v>
      </c>
      <c r="W5611">
        <v>2.4500000000000002</v>
      </c>
      <c r="X5611" s="1" t="s">
        <v>74</v>
      </c>
    </row>
    <row r="5612" spans="1:24" x14ac:dyDescent="0.25">
      <c r="A5612" s="1" t="str">
        <f t="shared" si="1812"/>
        <v>卡卡杜-凤凰仓</v>
      </c>
      <c r="B5612" s="1" t="str">
        <f>"CK2024101919834"</f>
        <v>CK2024101919834</v>
      </c>
      <c r="C5612" s="1" t="str">
        <f>"DD2024101930594"</f>
        <v>DD2024101930594</v>
      </c>
      <c r="D5612" s="1" t="str">
        <f>"CK2024101920512"</f>
        <v>CK2024101920512</v>
      </c>
      <c r="E5612" s="1" t="str">
        <f>"6935171112007505769"</f>
        <v>6935171112007505769</v>
      </c>
      <c r="F5612" s="1" t="str">
        <f t="shared" si="1813"/>
        <v>花都四部-凤凰仓</v>
      </c>
      <c r="G5612" s="1" t="str">
        <f t="shared" si="1808"/>
        <v>卡卡杜个人护理店（抖店）</v>
      </c>
      <c r="H5612" s="1" t="str">
        <f t="shared" si="1814"/>
        <v>正常订单</v>
      </c>
      <c r="I5612" s="1" t="str">
        <f t="shared" si="1815"/>
        <v>已发货</v>
      </c>
      <c r="J5612" s="1" t="str">
        <f t="shared" ref="J5612:J5621" si="1816">"3"</f>
        <v>3</v>
      </c>
      <c r="K5612" s="1">
        <v>2</v>
      </c>
      <c r="L5612" s="1" t="s">
        <v>22</v>
      </c>
      <c r="M5612" s="1" t="str">
        <f>"江西省 上饶市 万年县 石镇镇"</f>
        <v>江西省 上饶市 万年县 石镇镇</v>
      </c>
      <c r="N5612" s="1" t="str">
        <f t="shared" si="1809"/>
        <v>凡华云仓-城南圆通-抖音</v>
      </c>
      <c r="O5612" s="5" t="s">
        <v>5625</v>
      </c>
      <c r="P5612" s="6">
        <v>0.35</v>
      </c>
      <c r="Q5612" s="11">
        <v>2.2999999999999998</v>
      </c>
      <c r="R5612" s="11"/>
      <c r="S5612" s="11"/>
      <c r="T5612" s="11"/>
      <c r="U5612" s="11">
        <f t="shared" si="1811"/>
        <v>2.2999999999999998</v>
      </c>
      <c r="W5612">
        <v>2.5</v>
      </c>
      <c r="X5612" s="1" t="s">
        <v>22</v>
      </c>
    </row>
    <row r="5613" spans="1:24" x14ac:dyDescent="0.25">
      <c r="A5613" s="1" t="str">
        <f t="shared" si="1812"/>
        <v>卡卡杜-凤凰仓</v>
      </c>
      <c r="B5613" s="1" t="str">
        <f>"CK2024101919835"</f>
        <v>CK2024101919835</v>
      </c>
      <c r="C5613" s="1" t="str">
        <f>"DD2024101930595"</f>
        <v>DD2024101930595</v>
      </c>
      <c r="D5613" s="1" t="str">
        <f>"CK2024101920511"</f>
        <v>CK2024101920511</v>
      </c>
      <c r="E5613" s="1" t="str">
        <f>"6918020589349535553"</f>
        <v>6918020589349535553</v>
      </c>
      <c r="F5613" s="1" t="str">
        <f t="shared" si="1813"/>
        <v>花都四部-凤凰仓</v>
      </c>
      <c r="G5613" s="1" t="str">
        <f t="shared" si="1808"/>
        <v>卡卡杜个人护理店（抖店）</v>
      </c>
      <c r="H5613" s="1" t="str">
        <f t="shared" si="1814"/>
        <v>正常订单</v>
      </c>
      <c r="I5613" s="1" t="str">
        <f t="shared" si="1815"/>
        <v>已发货</v>
      </c>
      <c r="J5613" s="1" t="str">
        <f t="shared" si="1816"/>
        <v>3</v>
      </c>
      <c r="K5613" s="1">
        <v>2</v>
      </c>
      <c r="L5613" s="1" t="s">
        <v>24</v>
      </c>
      <c r="M5613" s="1" t="str">
        <f>"福建省 泉州市 晋江市 池店镇"</f>
        <v>福建省 泉州市 晋江市 池店镇</v>
      </c>
      <c r="N5613" s="1" t="str">
        <f t="shared" si="1809"/>
        <v>凡华云仓-城南圆通-抖音</v>
      </c>
      <c r="O5613" s="5" t="s">
        <v>5626</v>
      </c>
      <c r="P5613" s="6">
        <v>0.35</v>
      </c>
      <c r="Q5613" s="11">
        <v>2.2999999999999998</v>
      </c>
      <c r="R5613" s="11"/>
      <c r="S5613" s="11"/>
      <c r="T5613" s="11"/>
      <c r="U5613" s="11">
        <f t="shared" si="1811"/>
        <v>2.2999999999999998</v>
      </c>
      <c r="W5613">
        <v>2.5</v>
      </c>
      <c r="X5613" s="1" t="s">
        <v>24</v>
      </c>
    </row>
    <row r="5614" spans="1:24" x14ac:dyDescent="0.25">
      <c r="A5614" s="1" t="str">
        <f t="shared" si="1812"/>
        <v>卡卡杜-凤凰仓</v>
      </c>
      <c r="B5614" s="1" t="str">
        <f>"CK2024101919836"</f>
        <v>CK2024101919836</v>
      </c>
      <c r="C5614" s="1" t="str">
        <f>"DD2024101930596"</f>
        <v>DD2024101930596</v>
      </c>
      <c r="D5614" s="1" t="str">
        <f>"CK2024101920510"</f>
        <v>CK2024101920510</v>
      </c>
      <c r="E5614" s="1" t="str">
        <f>"6935184062159066458"</f>
        <v>6935184062159066458</v>
      </c>
      <c r="F5614" s="1" t="str">
        <f t="shared" si="1813"/>
        <v>花都四部-凤凰仓</v>
      </c>
      <c r="G5614" s="1" t="str">
        <f t="shared" ref="G5614:G5655" si="1817">"卡卡杜个人护理店（抖店）"</f>
        <v>卡卡杜个人护理店（抖店）</v>
      </c>
      <c r="H5614" s="1" t="str">
        <f t="shared" si="1814"/>
        <v>正常订单</v>
      </c>
      <c r="I5614" s="1" t="str">
        <f t="shared" si="1815"/>
        <v>已发货</v>
      </c>
      <c r="J5614" s="1" t="str">
        <f t="shared" si="1816"/>
        <v>3</v>
      </c>
      <c r="K5614" s="1">
        <v>2</v>
      </c>
      <c r="L5614" s="1" t="s">
        <v>13</v>
      </c>
      <c r="M5614" s="1" t="str">
        <f>"江苏省 盐城市 大丰区 大中街道"</f>
        <v>江苏省 盐城市 大丰区 大中街道</v>
      </c>
      <c r="N5614" s="1" t="str">
        <f t="shared" ref="N5614:N5653" si="1818">"凡华云仓-城南圆通-抖音"</f>
        <v>凡华云仓-城南圆通-抖音</v>
      </c>
      <c r="O5614" s="5" t="s">
        <v>5627</v>
      </c>
      <c r="P5614" s="6">
        <v>0.35</v>
      </c>
      <c r="Q5614" s="11">
        <v>2.2999999999999998</v>
      </c>
      <c r="R5614" s="11"/>
      <c r="S5614" s="11"/>
      <c r="T5614" s="11"/>
      <c r="U5614" s="11">
        <f t="shared" si="1811"/>
        <v>2.2999999999999998</v>
      </c>
      <c r="W5614">
        <v>2.5</v>
      </c>
      <c r="X5614" s="1" t="s">
        <v>13</v>
      </c>
    </row>
    <row r="5615" spans="1:24" x14ac:dyDescent="0.25">
      <c r="A5615" s="1" t="str">
        <f t="shared" si="1812"/>
        <v>卡卡杜-凤凰仓</v>
      </c>
      <c r="B5615" s="1" t="str">
        <f>"CK2024101919837"</f>
        <v>CK2024101919837</v>
      </c>
      <c r="C5615" s="1" t="str">
        <f>"DD2024101930597"</f>
        <v>DD2024101930597</v>
      </c>
      <c r="D5615" s="1" t="str">
        <f>"CK2024101920509"</f>
        <v>CK2024101920509</v>
      </c>
      <c r="E5615" s="1" t="str">
        <f>"6935177907183424801"</f>
        <v>6935177907183424801</v>
      </c>
      <c r="F5615" s="1" t="str">
        <f t="shared" si="1813"/>
        <v>花都四部-凤凰仓</v>
      </c>
      <c r="G5615" s="1" t="str">
        <f t="shared" si="1817"/>
        <v>卡卡杜个人护理店（抖店）</v>
      </c>
      <c r="H5615" s="1" t="str">
        <f t="shared" si="1814"/>
        <v>正常订单</v>
      </c>
      <c r="I5615" s="1" t="str">
        <f t="shared" si="1815"/>
        <v>已发货</v>
      </c>
      <c r="J5615" s="1" t="str">
        <f t="shared" si="1816"/>
        <v>3</v>
      </c>
      <c r="K5615" s="1">
        <v>2</v>
      </c>
      <c r="L5615" s="1" t="s">
        <v>74</v>
      </c>
      <c r="M5615" s="1" t="str">
        <f>"上海 上海市 松江区 岳阳街道"</f>
        <v>上海 上海市 松江区 岳阳街道</v>
      </c>
      <c r="N5615" s="1" t="str">
        <f t="shared" si="1818"/>
        <v>凡华云仓-城南圆通-抖音</v>
      </c>
      <c r="O5615" s="5" t="s">
        <v>5628</v>
      </c>
      <c r="P5615" s="6">
        <v>0.35</v>
      </c>
      <c r="Q5615" s="11">
        <v>2.2999999999999998</v>
      </c>
      <c r="R5615" s="11"/>
      <c r="S5615" s="11"/>
      <c r="T5615" s="11"/>
      <c r="U5615" s="11">
        <f t="shared" si="1811"/>
        <v>2.2999999999999998</v>
      </c>
      <c r="W5615">
        <v>2.5</v>
      </c>
      <c r="X5615" s="1" t="s">
        <v>74</v>
      </c>
    </row>
    <row r="5616" spans="1:24" x14ac:dyDescent="0.25">
      <c r="A5616" s="1" t="str">
        <f t="shared" si="1812"/>
        <v>卡卡杜-凤凰仓</v>
      </c>
      <c r="B5616" s="1" t="str">
        <f>"CK2024101919838"</f>
        <v>CK2024101919838</v>
      </c>
      <c r="C5616" s="1" t="str">
        <f>"DD2024101930598"</f>
        <v>DD2024101930598</v>
      </c>
      <c r="D5616" s="1" t="str">
        <f>"CK2024101920508"</f>
        <v>CK2024101920508</v>
      </c>
      <c r="E5616" s="1" t="str">
        <f>"6935154955706701759"</f>
        <v>6935154955706701759</v>
      </c>
      <c r="F5616" s="1" t="str">
        <f t="shared" si="1813"/>
        <v>花都四部-凤凰仓</v>
      </c>
      <c r="G5616" s="1" t="str">
        <f t="shared" si="1817"/>
        <v>卡卡杜个人护理店（抖店）</v>
      </c>
      <c r="H5616" s="1" t="str">
        <f t="shared" si="1814"/>
        <v>正常订单</v>
      </c>
      <c r="I5616" s="1" t="str">
        <f t="shared" si="1815"/>
        <v>已发货</v>
      </c>
      <c r="J5616" s="1" t="str">
        <f t="shared" si="1816"/>
        <v>3</v>
      </c>
      <c r="K5616" s="1">
        <v>2</v>
      </c>
      <c r="L5616" s="1" t="s">
        <v>18</v>
      </c>
      <c r="M5616" s="1" t="str">
        <f>"广东省 潮州市 潮安区 浮洋镇"</f>
        <v>广东省 潮州市 潮安区 浮洋镇</v>
      </c>
      <c r="N5616" s="1" t="str">
        <f t="shared" si="1818"/>
        <v>凡华云仓-城南圆通-抖音</v>
      </c>
      <c r="O5616" s="5" t="s">
        <v>5629</v>
      </c>
      <c r="P5616" s="6">
        <v>0.35</v>
      </c>
      <c r="Q5616" s="11">
        <v>2.2999999999999998</v>
      </c>
      <c r="R5616" s="11"/>
      <c r="S5616" s="11"/>
      <c r="T5616" s="11"/>
      <c r="U5616" s="11">
        <f t="shared" si="1811"/>
        <v>2.2999999999999998</v>
      </c>
      <c r="W5616">
        <v>2.5</v>
      </c>
      <c r="X5616" s="1" t="s">
        <v>18</v>
      </c>
    </row>
    <row r="5617" spans="1:24" x14ac:dyDescent="0.25">
      <c r="A5617" s="1" t="str">
        <f t="shared" si="1812"/>
        <v>卡卡杜-凤凰仓</v>
      </c>
      <c r="B5617" s="1" t="str">
        <f>"CK2024101919839"</f>
        <v>CK2024101919839</v>
      </c>
      <c r="C5617" s="1" t="str">
        <f>"DD2024101930599"</f>
        <v>DD2024101930599</v>
      </c>
      <c r="D5617" s="1" t="str">
        <f>"CK2024101920507"</f>
        <v>CK2024101920507</v>
      </c>
      <c r="E5617" s="1" t="str">
        <f>"6935168864470570740"</f>
        <v>6935168864470570740</v>
      </c>
      <c r="F5617" s="1" t="str">
        <f t="shared" si="1813"/>
        <v>花都四部-凤凰仓</v>
      </c>
      <c r="G5617" s="1" t="str">
        <f t="shared" si="1817"/>
        <v>卡卡杜个人护理店（抖店）</v>
      </c>
      <c r="H5617" s="1" t="str">
        <f t="shared" si="1814"/>
        <v>正常订单</v>
      </c>
      <c r="I5617" s="1" t="str">
        <f t="shared" si="1815"/>
        <v>已发货</v>
      </c>
      <c r="J5617" s="1" t="str">
        <f t="shared" si="1816"/>
        <v>3</v>
      </c>
      <c r="K5617" s="1">
        <v>2</v>
      </c>
      <c r="L5617" s="1" t="s">
        <v>24</v>
      </c>
      <c r="M5617" s="1" t="str">
        <f>"福建省 泉州市 晋江市 西滨镇"</f>
        <v>福建省 泉州市 晋江市 西滨镇</v>
      </c>
      <c r="N5617" s="1" t="str">
        <f t="shared" si="1818"/>
        <v>凡华云仓-城南圆通-抖音</v>
      </c>
      <c r="O5617" s="5" t="s">
        <v>5630</v>
      </c>
      <c r="P5617" s="6">
        <v>0.35</v>
      </c>
      <c r="Q5617" s="11">
        <v>2.2999999999999998</v>
      </c>
      <c r="R5617" s="11"/>
      <c r="S5617" s="11"/>
      <c r="T5617" s="11"/>
      <c r="U5617" s="11">
        <f t="shared" si="1811"/>
        <v>2.2999999999999998</v>
      </c>
      <c r="W5617">
        <v>2.5</v>
      </c>
      <c r="X5617" s="1" t="s">
        <v>24</v>
      </c>
    </row>
    <row r="5618" spans="1:24" x14ac:dyDescent="0.25">
      <c r="A5618" s="1" t="str">
        <f t="shared" si="1812"/>
        <v>卡卡杜-凤凰仓</v>
      </c>
      <c r="B5618" s="1" t="str">
        <f>"CK2024101919840"</f>
        <v>CK2024101919840</v>
      </c>
      <c r="C5618" s="1" t="str">
        <f>"DD2024101930600"</f>
        <v>DD2024101930600</v>
      </c>
      <c r="D5618" s="1" t="str">
        <f>"CK2024101920506"</f>
        <v>CK2024101920506</v>
      </c>
      <c r="E5618" s="1" t="str">
        <f>"6935179583655384148"</f>
        <v>6935179583655384148</v>
      </c>
      <c r="F5618" s="1" t="str">
        <f t="shared" si="1813"/>
        <v>花都四部-凤凰仓</v>
      </c>
      <c r="G5618" s="1" t="str">
        <f t="shared" si="1817"/>
        <v>卡卡杜个人护理店（抖店）</v>
      </c>
      <c r="H5618" s="1" t="str">
        <f t="shared" si="1814"/>
        <v>正常订单</v>
      </c>
      <c r="I5618" s="1" t="str">
        <f t="shared" si="1815"/>
        <v>已发货</v>
      </c>
      <c r="J5618" s="1" t="str">
        <f t="shared" si="1816"/>
        <v>3</v>
      </c>
      <c r="K5618" s="1">
        <v>2</v>
      </c>
      <c r="L5618" s="1" t="s">
        <v>36</v>
      </c>
      <c r="M5618" s="1" t="str">
        <f>"安徽省 蚌埠市 五河县 头铺镇"</f>
        <v>安徽省 蚌埠市 五河县 头铺镇</v>
      </c>
      <c r="N5618" s="1" t="str">
        <f t="shared" si="1818"/>
        <v>凡华云仓-城南圆通-抖音</v>
      </c>
      <c r="O5618" s="5" t="s">
        <v>5631</v>
      </c>
      <c r="P5618" s="6">
        <v>0.35</v>
      </c>
      <c r="Q5618" s="11">
        <v>2.2999999999999998</v>
      </c>
      <c r="R5618" s="11"/>
      <c r="S5618" s="11"/>
      <c r="T5618" s="11"/>
      <c r="U5618" s="11">
        <f t="shared" si="1811"/>
        <v>2.2999999999999998</v>
      </c>
      <c r="W5618">
        <v>2.5</v>
      </c>
      <c r="X5618" s="1" t="s">
        <v>36</v>
      </c>
    </row>
    <row r="5619" spans="1:24" x14ac:dyDescent="0.25">
      <c r="A5619" s="1" t="str">
        <f t="shared" si="1812"/>
        <v>卡卡杜-凤凰仓</v>
      </c>
      <c r="B5619" s="1" t="str">
        <f>"CK2024101919841"</f>
        <v>CK2024101919841</v>
      </c>
      <c r="C5619" s="1" t="str">
        <f>"DD2024101930601"</f>
        <v>DD2024101930601</v>
      </c>
      <c r="D5619" s="1" t="str">
        <f>"CK2024101920505"</f>
        <v>CK2024101920505</v>
      </c>
      <c r="E5619" s="1" t="str">
        <f>"6935157399692252755"</f>
        <v>6935157399692252755</v>
      </c>
      <c r="F5619" s="1" t="str">
        <f t="shared" si="1813"/>
        <v>花都四部-凤凰仓</v>
      </c>
      <c r="G5619" s="1" t="str">
        <f t="shared" si="1817"/>
        <v>卡卡杜个人护理店（抖店）</v>
      </c>
      <c r="H5619" s="1" t="str">
        <f t="shared" si="1814"/>
        <v>正常订单</v>
      </c>
      <c r="I5619" s="1" t="str">
        <f t="shared" si="1815"/>
        <v>已发货</v>
      </c>
      <c r="J5619" s="1" t="str">
        <f t="shared" si="1816"/>
        <v>3</v>
      </c>
      <c r="K5619" s="1">
        <v>2</v>
      </c>
      <c r="L5619" s="1" t="s">
        <v>27</v>
      </c>
      <c r="M5619" s="1" t="str">
        <f>"贵州省 黔南布依族苗族自治州 惠水县 摆金镇"</f>
        <v>贵州省 黔南布依族苗族自治州 惠水县 摆金镇</v>
      </c>
      <c r="N5619" s="1" t="str">
        <f t="shared" si="1818"/>
        <v>凡华云仓-城南圆通-抖音</v>
      </c>
      <c r="O5619" s="5" t="s">
        <v>5632</v>
      </c>
      <c r="P5619" s="6">
        <v>0.35</v>
      </c>
      <c r="Q5619" s="11">
        <v>2.2999999999999998</v>
      </c>
      <c r="R5619" s="11"/>
      <c r="S5619" s="11"/>
      <c r="T5619" s="11"/>
      <c r="U5619" s="11">
        <f t="shared" si="1811"/>
        <v>2.2999999999999998</v>
      </c>
      <c r="W5619">
        <v>2.5</v>
      </c>
      <c r="X5619" s="1" t="s">
        <v>27</v>
      </c>
    </row>
    <row r="5620" spans="1:24" x14ac:dyDescent="0.25">
      <c r="A5620" s="1" t="str">
        <f t="shared" si="1812"/>
        <v>卡卡杜-凤凰仓</v>
      </c>
      <c r="B5620" s="1" t="str">
        <f>"CK2024101919843"</f>
        <v>CK2024101919843</v>
      </c>
      <c r="C5620" s="1" t="str">
        <f>"DD2024101930604"</f>
        <v>DD2024101930604</v>
      </c>
      <c r="D5620" s="1" t="str">
        <f>"CK2024101920504"</f>
        <v>CK2024101920504</v>
      </c>
      <c r="E5620" s="1" t="str">
        <f>"6935173144522724922"</f>
        <v>6935173144522724922</v>
      </c>
      <c r="F5620" s="1" t="str">
        <f t="shared" si="1813"/>
        <v>花都四部-凤凰仓</v>
      </c>
      <c r="G5620" s="1" t="str">
        <f t="shared" si="1817"/>
        <v>卡卡杜个人护理店（抖店）</v>
      </c>
      <c r="H5620" s="1" t="str">
        <f t="shared" si="1814"/>
        <v>正常订单</v>
      </c>
      <c r="I5620" s="1" t="str">
        <f t="shared" si="1815"/>
        <v>已发货</v>
      </c>
      <c r="J5620" s="1" t="str">
        <f t="shared" si="1816"/>
        <v>3</v>
      </c>
      <c r="K5620" s="1">
        <v>2</v>
      </c>
      <c r="L5620" s="1" t="s">
        <v>18</v>
      </c>
      <c r="M5620" s="1" t="str">
        <f>"广东省 深圳市 光明区 凤凰街道"</f>
        <v>广东省 深圳市 光明区 凤凰街道</v>
      </c>
      <c r="N5620" s="1" t="str">
        <f t="shared" si="1818"/>
        <v>凡华云仓-城南圆通-抖音</v>
      </c>
      <c r="O5620" s="5" t="s">
        <v>5633</v>
      </c>
      <c r="P5620" s="6">
        <v>0.35</v>
      </c>
      <c r="Q5620" s="11">
        <v>2.2999999999999998</v>
      </c>
      <c r="R5620" s="11"/>
      <c r="S5620" s="11"/>
      <c r="T5620" s="11"/>
      <c r="U5620" s="11">
        <f t="shared" si="1811"/>
        <v>2.2999999999999998</v>
      </c>
      <c r="W5620">
        <v>2.5</v>
      </c>
      <c r="X5620" s="1" t="s">
        <v>18</v>
      </c>
    </row>
    <row r="5621" spans="1:24" x14ac:dyDescent="0.25">
      <c r="A5621" s="1" t="str">
        <f t="shared" si="1812"/>
        <v>卡卡杜-凤凰仓</v>
      </c>
      <c r="B5621" s="1" t="str">
        <f>"CK2024101919844"</f>
        <v>CK2024101919844</v>
      </c>
      <c r="C5621" s="1" t="str">
        <f>"DD2024101930605"</f>
        <v>DD2024101930605</v>
      </c>
      <c r="D5621" s="1" t="str">
        <f>"CK2024101920503"</f>
        <v>CK2024101920503</v>
      </c>
      <c r="E5621" s="1" t="str">
        <f>"6935181939540956955"</f>
        <v>6935181939540956955</v>
      </c>
      <c r="F5621" s="1" t="str">
        <f t="shared" si="1813"/>
        <v>花都四部-凤凰仓</v>
      </c>
      <c r="G5621" s="1" t="str">
        <f t="shared" si="1817"/>
        <v>卡卡杜个人护理店（抖店）</v>
      </c>
      <c r="H5621" s="1" t="str">
        <f t="shared" si="1814"/>
        <v>正常订单</v>
      </c>
      <c r="I5621" s="1" t="str">
        <f t="shared" si="1815"/>
        <v>已发货</v>
      </c>
      <c r="J5621" s="1" t="str">
        <f t="shared" si="1816"/>
        <v>3</v>
      </c>
      <c r="K5621" s="1">
        <v>2</v>
      </c>
      <c r="L5621" s="1" t="s">
        <v>20</v>
      </c>
      <c r="M5621" s="1" t="str">
        <f>"浙江省 宁波市 余姚市 "</f>
        <v xml:space="preserve">浙江省 宁波市 余姚市 </v>
      </c>
      <c r="N5621" s="1" t="str">
        <f t="shared" si="1818"/>
        <v>凡华云仓-城南圆通-抖音</v>
      </c>
      <c r="O5621" s="5" t="s">
        <v>5634</v>
      </c>
      <c r="P5621" s="6">
        <v>0.35</v>
      </c>
      <c r="Q5621" s="11">
        <v>2.2999999999999998</v>
      </c>
      <c r="R5621" s="11"/>
      <c r="S5621" s="11"/>
      <c r="T5621" s="11"/>
      <c r="U5621" s="11">
        <f t="shared" si="1811"/>
        <v>2.2999999999999998</v>
      </c>
      <c r="W5621">
        <v>2.5</v>
      </c>
      <c r="X5621" s="1" t="s">
        <v>20</v>
      </c>
    </row>
    <row r="5622" spans="1:24" x14ac:dyDescent="0.25">
      <c r="A5622" s="1" t="str">
        <f t="shared" si="1812"/>
        <v>卡卡杜-凤凰仓</v>
      </c>
      <c r="B5622" s="1" t="str">
        <f>"CK2024101919920"</f>
        <v>CK2024101919920</v>
      </c>
      <c r="C5622" s="1" t="str">
        <f>"DD2024101930717"</f>
        <v>DD2024101930717</v>
      </c>
      <c r="D5622" s="1" t="str">
        <f>"CK2024101920502"</f>
        <v>CK2024101920502</v>
      </c>
      <c r="E5622" s="1" t="str">
        <f>"6935179521504647056"</f>
        <v>6935179521504647056</v>
      </c>
      <c r="F5622" s="1" t="str">
        <f t="shared" si="1813"/>
        <v>花都四部-凤凰仓</v>
      </c>
      <c r="G5622" s="1" t="str">
        <f t="shared" si="1817"/>
        <v>卡卡杜个人护理店（抖店）</v>
      </c>
      <c r="H5622" s="1" t="str">
        <f t="shared" si="1814"/>
        <v>正常订单</v>
      </c>
      <c r="I5622" s="1" t="str">
        <f t="shared" si="1815"/>
        <v>已发货</v>
      </c>
      <c r="J5622" s="1" t="str">
        <f>"5"</f>
        <v>5</v>
      </c>
      <c r="K5622" s="1">
        <v>2</v>
      </c>
      <c r="L5622" s="1" t="s">
        <v>13</v>
      </c>
      <c r="M5622" s="1" t="str">
        <f>"江苏省 扬州市 宝应县 安宜镇"</f>
        <v>江苏省 扬州市 宝应县 安宜镇</v>
      </c>
      <c r="N5622" s="1" t="str">
        <f t="shared" si="1818"/>
        <v>凡华云仓-城南圆通-抖音</v>
      </c>
      <c r="O5622" s="5" t="s">
        <v>5635</v>
      </c>
      <c r="P5622" s="6">
        <v>0.59</v>
      </c>
      <c r="Q5622" s="11">
        <f>CEILING(P5622-0.5,0.1)*10*0.15+2.3</f>
        <v>2.4499999999999997</v>
      </c>
      <c r="R5622" s="11"/>
      <c r="S5622" s="11"/>
      <c r="T5622" s="11"/>
      <c r="U5622" s="11">
        <f t="shared" si="1811"/>
        <v>2.4499999999999997</v>
      </c>
      <c r="V5622" t="s">
        <v>15</v>
      </c>
      <c r="W5622">
        <v>2.4500000000000002</v>
      </c>
      <c r="X5622" s="1" t="s">
        <v>13</v>
      </c>
    </row>
    <row r="5623" spans="1:24" x14ac:dyDescent="0.25">
      <c r="A5623" s="1" t="str">
        <f t="shared" si="1812"/>
        <v>卡卡杜-凤凰仓</v>
      </c>
      <c r="B5623" s="1" t="str">
        <f>"CK2024101919845"</f>
        <v>CK2024101919845</v>
      </c>
      <c r="C5623" s="1" t="str">
        <f>"DD2024101930602"</f>
        <v>DD2024101930602</v>
      </c>
      <c r="D5623" s="1" t="str">
        <f>"CK2024101920501"</f>
        <v>CK2024101920501</v>
      </c>
      <c r="E5623" s="1" t="str">
        <f>"6935162171283216149"</f>
        <v>6935162171283216149</v>
      </c>
      <c r="F5623" s="1" t="str">
        <f t="shared" si="1813"/>
        <v>花都四部-凤凰仓</v>
      </c>
      <c r="G5623" s="1" t="str">
        <f t="shared" si="1817"/>
        <v>卡卡杜个人护理店（抖店）</v>
      </c>
      <c r="H5623" s="1" t="str">
        <f t="shared" si="1814"/>
        <v>正常订单</v>
      </c>
      <c r="I5623" s="1" t="str">
        <f t="shared" si="1815"/>
        <v>已发货</v>
      </c>
      <c r="J5623" s="1" t="str">
        <f t="shared" ref="J5623:J5653" si="1819">"3"</f>
        <v>3</v>
      </c>
      <c r="K5623" s="1">
        <v>2</v>
      </c>
      <c r="L5623" s="1" t="s">
        <v>80</v>
      </c>
      <c r="M5623" s="1" t="str">
        <f>"河南省 郑州市 巩义市 北山口镇"</f>
        <v>河南省 郑州市 巩义市 北山口镇</v>
      </c>
      <c r="N5623" s="1" t="str">
        <f t="shared" si="1818"/>
        <v>凡华云仓-城南圆通-抖音</v>
      </c>
      <c r="O5623" s="5" t="s">
        <v>5636</v>
      </c>
      <c r="P5623" s="6">
        <v>0.35</v>
      </c>
      <c r="Q5623" s="11">
        <v>2.2999999999999998</v>
      </c>
      <c r="R5623" s="11"/>
      <c r="S5623" s="11"/>
      <c r="T5623" s="11"/>
      <c r="U5623" s="11">
        <f t="shared" si="1811"/>
        <v>2.2999999999999998</v>
      </c>
      <c r="W5623">
        <v>2.5</v>
      </c>
      <c r="X5623" s="1" t="s">
        <v>80</v>
      </c>
    </row>
    <row r="5624" spans="1:24" x14ac:dyDescent="0.25">
      <c r="A5624" s="1" t="str">
        <f t="shared" si="1812"/>
        <v>卡卡杜-凤凰仓</v>
      </c>
      <c r="B5624" s="1" t="str">
        <f>"CK2024101919922"</f>
        <v>CK2024101919922</v>
      </c>
      <c r="C5624" s="1" t="str">
        <f>"DD2024101930719"</f>
        <v>DD2024101930719</v>
      </c>
      <c r="D5624" s="1" t="str">
        <f>"CK2024101920500"</f>
        <v>CK2024101920500</v>
      </c>
      <c r="E5624" s="1" t="str">
        <f>"6935163956734465527"</f>
        <v>6935163956734465527</v>
      </c>
      <c r="F5624" s="1" t="str">
        <f t="shared" si="1813"/>
        <v>花都四部-凤凰仓</v>
      </c>
      <c r="G5624" s="1" t="str">
        <f t="shared" si="1817"/>
        <v>卡卡杜个人护理店（抖店）</v>
      </c>
      <c r="H5624" s="1" t="str">
        <f t="shared" si="1814"/>
        <v>正常订单</v>
      </c>
      <c r="I5624" s="1" t="str">
        <f t="shared" si="1815"/>
        <v>已发货</v>
      </c>
      <c r="J5624" s="1" t="str">
        <f>"5"</f>
        <v>5</v>
      </c>
      <c r="K5624" s="1">
        <v>2</v>
      </c>
      <c r="L5624" s="1" t="s">
        <v>36</v>
      </c>
      <c r="M5624" s="1" t="str">
        <f>"安徽省 马鞍山市 含山县 清溪镇"</f>
        <v>安徽省 马鞍山市 含山县 清溪镇</v>
      </c>
      <c r="N5624" s="1" t="str">
        <f t="shared" si="1818"/>
        <v>凡华云仓-城南圆通-抖音</v>
      </c>
      <c r="O5624" s="5" t="s">
        <v>5637</v>
      </c>
      <c r="P5624" s="6">
        <v>0.59</v>
      </c>
      <c r="Q5624" s="11">
        <f>CEILING(P5624-0.5,0.1)*10*0.15+2.3</f>
        <v>2.4499999999999997</v>
      </c>
      <c r="R5624" s="11"/>
      <c r="S5624" s="11"/>
      <c r="T5624" s="11"/>
      <c r="U5624" s="11">
        <f t="shared" si="1811"/>
        <v>2.4499999999999997</v>
      </c>
      <c r="V5624" t="s">
        <v>15</v>
      </c>
      <c r="W5624">
        <v>2.4500000000000002</v>
      </c>
      <c r="X5624" s="1" t="s">
        <v>36</v>
      </c>
    </row>
    <row r="5625" spans="1:24" x14ac:dyDescent="0.25">
      <c r="A5625" s="1" t="str">
        <f t="shared" si="1812"/>
        <v>卡卡杜-凤凰仓</v>
      </c>
      <c r="B5625" s="1" t="str">
        <f>"CK2024101919846"</f>
        <v>CK2024101919846</v>
      </c>
      <c r="C5625" s="1" t="str">
        <f>"DD2024101930606"</f>
        <v>DD2024101930606</v>
      </c>
      <c r="D5625" s="1" t="str">
        <f>"CK2024101920499"</f>
        <v>CK2024101920499</v>
      </c>
      <c r="E5625" s="1" t="str">
        <f>"6935179495601017969"</f>
        <v>6935179495601017969</v>
      </c>
      <c r="F5625" s="1" t="str">
        <f t="shared" si="1813"/>
        <v>花都四部-凤凰仓</v>
      </c>
      <c r="G5625" s="1" t="str">
        <f t="shared" si="1817"/>
        <v>卡卡杜个人护理店（抖店）</v>
      </c>
      <c r="H5625" s="1" t="str">
        <f t="shared" si="1814"/>
        <v>正常订单</v>
      </c>
      <c r="I5625" s="1" t="str">
        <f t="shared" si="1815"/>
        <v>已发货</v>
      </c>
      <c r="J5625" s="1" t="str">
        <f t="shared" si="1819"/>
        <v>3</v>
      </c>
      <c r="K5625" s="1">
        <v>2</v>
      </c>
      <c r="L5625" s="1" t="s">
        <v>22</v>
      </c>
      <c r="M5625" s="1" t="str">
        <f>"江西省 南昌市 红谷滩区 九龙湖管理处"</f>
        <v>江西省 南昌市 红谷滩区 九龙湖管理处</v>
      </c>
      <c r="N5625" s="1" t="str">
        <f t="shared" si="1818"/>
        <v>凡华云仓-城南圆通-抖音</v>
      </c>
      <c r="O5625" s="5" t="s">
        <v>5638</v>
      </c>
      <c r="P5625" s="6">
        <v>0.35</v>
      </c>
      <c r="Q5625" s="11">
        <v>2.2999999999999998</v>
      </c>
      <c r="R5625" s="11"/>
      <c r="S5625" s="11"/>
      <c r="T5625" s="11"/>
      <c r="U5625" s="11">
        <f t="shared" si="1811"/>
        <v>2.2999999999999998</v>
      </c>
      <c r="W5625">
        <v>2.5</v>
      </c>
      <c r="X5625" s="1" t="s">
        <v>22</v>
      </c>
    </row>
    <row r="5626" spans="1:24" x14ac:dyDescent="0.25">
      <c r="A5626" s="1" t="str">
        <f t="shared" si="1812"/>
        <v>卡卡杜-凤凰仓</v>
      </c>
      <c r="B5626" s="1" t="str">
        <f>"CK2024101919849"</f>
        <v>CK2024101919849</v>
      </c>
      <c r="C5626" s="1" t="str">
        <f>"DD2024101930608"</f>
        <v>DD2024101930608</v>
      </c>
      <c r="D5626" s="1" t="str">
        <f>"CK2024101920498"</f>
        <v>CK2024101920498</v>
      </c>
      <c r="E5626" s="1" t="str">
        <f>"6935183852200859218"</f>
        <v>6935183852200859218</v>
      </c>
      <c r="F5626" s="1" t="str">
        <f t="shared" si="1813"/>
        <v>花都四部-凤凰仓</v>
      </c>
      <c r="G5626" s="1" t="str">
        <f t="shared" si="1817"/>
        <v>卡卡杜个人护理店（抖店）</v>
      </c>
      <c r="H5626" s="1" t="str">
        <f t="shared" si="1814"/>
        <v>正常订单</v>
      </c>
      <c r="I5626" s="1" t="str">
        <f t="shared" si="1815"/>
        <v>已发货</v>
      </c>
      <c r="J5626" s="1" t="str">
        <f t="shared" si="1819"/>
        <v>3</v>
      </c>
      <c r="K5626" s="1">
        <v>2</v>
      </c>
      <c r="L5626" s="1" t="s">
        <v>109</v>
      </c>
      <c r="M5626" s="1" t="str">
        <f>"山西省 长治市 上党区 韩店街道"</f>
        <v>山西省 长治市 上党区 韩店街道</v>
      </c>
      <c r="N5626" s="1" t="str">
        <f t="shared" si="1818"/>
        <v>凡华云仓-城南圆通-抖音</v>
      </c>
      <c r="O5626" s="5" t="s">
        <v>5639</v>
      </c>
      <c r="P5626" s="6">
        <v>0.35</v>
      </c>
      <c r="Q5626" s="11">
        <v>2.2999999999999998</v>
      </c>
      <c r="R5626" s="11"/>
      <c r="S5626" s="11"/>
      <c r="T5626" s="11"/>
      <c r="U5626" s="11">
        <f t="shared" si="1811"/>
        <v>2.2999999999999998</v>
      </c>
      <c r="W5626">
        <v>2.5</v>
      </c>
      <c r="X5626" s="1" t="s">
        <v>109</v>
      </c>
    </row>
    <row r="5627" spans="1:24" x14ac:dyDescent="0.25">
      <c r="A5627" s="1" t="str">
        <f t="shared" si="1812"/>
        <v>卡卡杜-凤凰仓</v>
      </c>
      <c r="B5627" s="1" t="str">
        <f>"CK2024101919848"</f>
        <v>CK2024101919848</v>
      </c>
      <c r="C5627" s="1" t="str">
        <f>"DD2024101930609"</f>
        <v>DD2024101930609</v>
      </c>
      <c r="D5627" s="1" t="str">
        <f>"CK2024101920497"</f>
        <v>CK2024101920497</v>
      </c>
      <c r="E5627" s="1" t="str">
        <f>"6935179438079481800"</f>
        <v>6935179438079481800</v>
      </c>
      <c r="F5627" s="1" t="str">
        <f t="shared" si="1813"/>
        <v>花都四部-凤凰仓</v>
      </c>
      <c r="G5627" s="1" t="str">
        <f t="shared" si="1817"/>
        <v>卡卡杜个人护理店（抖店）</v>
      </c>
      <c r="H5627" s="1" t="str">
        <f t="shared" si="1814"/>
        <v>正常订单</v>
      </c>
      <c r="I5627" s="1" t="str">
        <f t="shared" si="1815"/>
        <v>已发货</v>
      </c>
      <c r="J5627" s="1" t="str">
        <f t="shared" si="1819"/>
        <v>3</v>
      </c>
      <c r="K5627" s="1">
        <v>2</v>
      </c>
      <c r="L5627" s="1" t="s">
        <v>20</v>
      </c>
      <c r="M5627" s="1" t="str">
        <f>"浙江省 湖州市 安吉县 昌硕街道"</f>
        <v>浙江省 湖州市 安吉县 昌硕街道</v>
      </c>
      <c r="N5627" s="1" t="str">
        <f t="shared" si="1818"/>
        <v>凡华云仓-城南圆通-抖音</v>
      </c>
      <c r="O5627" s="5" t="s">
        <v>5640</v>
      </c>
      <c r="P5627" s="6">
        <v>0.35</v>
      </c>
      <c r="Q5627" s="11">
        <v>2.2999999999999998</v>
      </c>
      <c r="R5627" s="11"/>
      <c r="S5627" s="11"/>
      <c r="T5627" s="11"/>
      <c r="U5627" s="11">
        <f t="shared" si="1811"/>
        <v>2.2999999999999998</v>
      </c>
      <c r="W5627">
        <v>2.5</v>
      </c>
      <c r="X5627" s="1" t="s">
        <v>20</v>
      </c>
    </row>
    <row r="5628" spans="1:24" x14ac:dyDescent="0.25">
      <c r="A5628" s="1" t="str">
        <f t="shared" si="1812"/>
        <v>卡卡杜-凤凰仓</v>
      </c>
      <c r="B5628" s="1" t="str">
        <f>"CK2024101919850"</f>
        <v>CK2024101919850</v>
      </c>
      <c r="C5628" s="1" t="str">
        <f>"DD2024101930610"</f>
        <v>DD2024101930610</v>
      </c>
      <c r="D5628" s="1" t="str">
        <f>"CK2024101920496"</f>
        <v>CK2024101920496</v>
      </c>
      <c r="E5628" s="1" t="str">
        <f>"6935181894698669896"</f>
        <v>6935181894698669896</v>
      </c>
      <c r="F5628" s="1" t="str">
        <f t="shared" si="1813"/>
        <v>花都四部-凤凰仓</v>
      </c>
      <c r="G5628" s="1" t="str">
        <f t="shared" si="1817"/>
        <v>卡卡杜个人护理店（抖店）</v>
      </c>
      <c r="H5628" s="1" t="str">
        <f t="shared" si="1814"/>
        <v>正常订单</v>
      </c>
      <c r="I5628" s="1" t="str">
        <f t="shared" si="1815"/>
        <v>已发货</v>
      </c>
      <c r="J5628" s="1" t="str">
        <f t="shared" si="1819"/>
        <v>3</v>
      </c>
      <c r="K5628" s="1">
        <v>2</v>
      </c>
      <c r="L5628" s="1" t="s">
        <v>24</v>
      </c>
      <c r="M5628" s="1" t="str">
        <f>"福建省 莆田市 城厢区 龙桥街道"</f>
        <v>福建省 莆田市 城厢区 龙桥街道</v>
      </c>
      <c r="N5628" s="1" t="str">
        <f t="shared" si="1818"/>
        <v>凡华云仓-城南圆通-抖音</v>
      </c>
      <c r="O5628" s="5" t="s">
        <v>5641</v>
      </c>
      <c r="P5628" s="6">
        <v>0.35</v>
      </c>
      <c r="Q5628" s="11">
        <v>2.2999999999999998</v>
      </c>
      <c r="R5628" s="11"/>
      <c r="S5628" s="11"/>
      <c r="T5628" s="11"/>
      <c r="U5628" s="11">
        <f t="shared" si="1811"/>
        <v>2.2999999999999998</v>
      </c>
      <c r="W5628">
        <v>2.5</v>
      </c>
      <c r="X5628" s="1" t="s">
        <v>24</v>
      </c>
    </row>
    <row r="5629" spans="1:24" x14ac:dyDescent="0.25">
      <c r="A5629" s="1" t="str">
        <f t="shared" si="1812"/>
        <v>卡卡杜-凤凰仓</v>
      </c>
      <c r="B5629" s="1" t="str">
        <f>"CK2024101919851"</f>
        <v>CK2024101919851</v>
      </c>
      <c r="C5629" s="1" t="str">
        <f>"DD2024101930611"</f>
        <v>DD2024101930611</v>
      </c>
      <c r="D5629" s="1" t="str">
        <f>"CK2024101920495"</f>
        <v>CK2024101920495</v>
      </c>
      <c r="E5629" s="1" t="str">
        <f>"6935159455311533864"</f>
        <v>6935159455311533864</v>
      </c>
      <c r="F5629" s="1" t="str">
        <f t="shared" si="1813"/>
        <v>花都四部-凤凰仓</v>
      </c>
      <c r="G5629" s="1" t="str">
        <f t="shared" si="1817"/>
        <v>卡卡杜个人护理店（抖店）</v>
      </c>
      <c r="H5629" s="1" t="str">
        <f t="shared" si="1814"/>
        <v>正常订单</v>
      </c>
      <c r="I5629" s="1" t="str">
        <f t="shared" si="1815"/>
        <v>已发货</v>
      </c>
      <c r="J5629" s="1" t="str">
        <f t="shared" si="1819"/>
        <v>3</v>
      </c>
      <c r="K5629" s="1">
        <v>2</v>
      </c>
      <c r="L5629" s="1" t="s">
        <v>80</v>
      </c>
      <c r="M5629" s="1" t="str">
        <f>"河南省 商丘市 睢阳区 新城街道"</f>
        <v>河南省 商丘市 睢阳区 新城街道</v>
      </c>
      <c r="N5629" s="1" t="str">
        <f t="shared" si="1818"/>
        <v>凡华云仓-城南圆通-抖音</v>
      </c>
      <c r="O5629" s="5" t="s">
        <v>5642</v>
      </c>
      <c r="P5629" s="6">
        <v>0.35</v>
      </c>
      <c r="Q5629" s="11">
        <v>2.2999999999999998</v>
      </c>
      <c r="R5629" s="11"/>
      <c r="S5629" s="11"/>
      <c r="T5629" s="11"/>
      <c r="U5629" s="11">
        <f t="shared" si="1811"/>
        <v>2.2999999999999998</v>
      </c>
      <c r="W5629">
        <v>2.5</v>
      </c>
      <c r="X5629" s="1" t="s">
        <v>80</v>
      </c>
    </row>
    <row r="5630" spans="1:24" x14ac:dyDescent="0.25">
      <c r="A5630" s="1" t="str">
        <f t="shared" si="1812"/>
        <v>卡卡杜-凤凰仓</v>
      </c>
      <c r="B5630" s="1" t="str">
        <f>"CK2024101919852"</f>
        <v>CK2024101919852</v>
      </c>
      <c r="C5630" s="1" t="str">
        <f>"DD2024101930612"</f>
        <v>DD2024101930612</v>
      </c>
      <c r="D5630" s="1" t="str">
        <f>"CK2024101920494"</f>
        <v>CK2024101920494</v>
      </c>
      <c r="E5630" s="1" t="str">
        <f>"6935177761937561339"</f>
        <v>6935177761937561339</v>
      </c>
      <c r="F5630" s="1" t="str">
        <f t="shared" si="1813"/>
        <v>花都四部-凤凰仓</v>
      </c>
      <c r="G5630" s="1" t="str">
        <f t="shared" si="1817"/>
        <v>卡卡杜个人护理店（抖店）</v>
      </c>
      <c r="H5630" s="1" t="str">
        <f t="shared" si="1814"/>
        <v>正常订单</v>
      </c>
      <c r="I5630" s="1" t="str">
        <f t="shared" si="1815"/>
        <v>已发货</v>
      </c>
      <c r="J5630" s="1" t="str">
        <f t="shared" si="1819"/>
        <v>3</v>
      </c>
      <c r="K5630" s="1">
        <v>2</v>
      </c>
      <c r="L5630" s="1" t="s">
        <v>36</v>
      </c>
      <c r="M5630" s="1" t="str">
        <f>"安徽省 六安市 金安区 张店镇"</f>
        <v>安徽省 六安市 金安区 张店镇</v>
      </c>
      <c r="N5630" s="1" t="str">
        <f t="shared" si="1818"/>
        <v>凡华云仓-城南圆通-抖音</v>
      </c>
      <c r="O5630" s="5" t="s">
        <v>5643</v>
      </c>
      <c r="P5630" s="6">
        <v>0.35</v>
      </c>
      <c r="Q5630" s="11">
        <v>2.2999999999999998</v>
      </c>
      <c r="R5630" s="11"/>
      <c r="S5630" s="11"/>
      <c r="T5630" s="11"/>
      <c r="U5630" s="11">
        <f t="shared" si="1811"/>
        <v>2.2999999999999998</v>
      </c>
      <c r="W5630">
        <v>2.5</v>
      </c>
      <c r="X5630" s="1" t="s">
        <v>36</v>
      </c>
    </row>
    <row r="5631" spans="1:24" x14ac:dyDescent="0.25">
      <c r="A5631" s="1" t="str">
        <f t="shared" si="1812"/>
        <v>卡卡杜-凤凰仓</v>
      </c>
      <c r="B5631" s="1" t="str">
        <f>"CK2024101919853"</f>
        <v>CK2024101919853</v>
      </c>
      <c r="C5631" s="1" t="str">
        <f>"DD2024101930613"</f>
        <v>DD2024101930613</v>
      </c>
      <c r="D5631" s="1" t="str">
        <f>"CK2024101920493"</f>
        <v>CK2024101920493</v>
      </c>
      <c r="E5631" s="1" t="str">
        <f>"6935154997004801320"</f>
        <v>6935154997004801320</v>
      </c>
      <c r="F5631" s="1" t="str">
        <f t="shared" si="1813"/>
        <v>花都四部-凤凰仓</v>
      </c>
      <c r="G5631" s="1" t="str">
        <f t="shared" si="1817"/>
        <v>卡卡杜个人护理店（抖店）</v>
      </c>
      <c r="H5631" s="1" t="str">
        <f t="shared" si="1814"/>
        <v>正常订单</v>
      </c>
      <c r="I5631" s="1" t="str">
        <f t="shared" si="1815"/>
        <v>已发货</v>
      </c>
      <c r="J5631" s="1" t="str">
        <f t="shared" si="1819"/>
        <v>3</v>
      </c>
      <c r="K5631" s="1">
        <v>2</v>
      </c>
      <c r="L5631" s="1" t="s">
        <v>18</v>
      </c>
      <c r="M5631" s="1" t="str">
        <f>"广东省 揭阳市 普宁市 占陇镇"</f>
        <v>广东省 揭阳市 普宁市 占陇镇</v>
      </c>
      <c r="N5631" s="1" t="str">
        <f t="shared" si="1818"/>
        <v>凡华云仓-城南圆通-抖音</v>
      </c>
      <c r="O5631" s="5" t="s">
        <v>5644</v>
      </c>
      <c r="P5631" s="6">
        <v>0.35</v>
      </c>
      <c r="Q5631" s="11">
        <v>2.2999999999999998</v>
      </c>
      <c r="R5631" s="11"/>
      <c r="S5631" s="11"/>
      <c r="T5631" s="11"/>
      <c r="U5631" s="11">
        <f t="shared" si="1811"/>
        <v>2.2999999999999998</v>
      </c>
      <c r="W5631">
        <v>2.5</v>
      </c>
      <c r="X5631" s="1" t="s">
        <v>18</v>
      </c>
    </row>
    <row r="5632" spans="1:24" x14ac:dyDescent="0.25">
      <c r="A5632" s="1" t="str">
        <f t="shared" si="1812"/>
        <v>卡卡杜-凤凰仓</v>
      </c>
      <c r="B5632" s="1" t="str">
        <f>"CK2024101919854"</f>
        <v>CK2024101919854</v>
      </c>
      <c r="C5632" s="1" t="str">
        <f>"DD2024101930614"</f>
        <v>DD2024101930614</v>
      </c>
      <c r="D5632" s="1" t="str">
        <f>"CK2024101920492"</f>
        <v>CK2024101920492</v>
      </c>
      <c r="E5632" s="1" t="str">
        <f>"6935162223862486080"</f>
        <v>6935162223862486080</v>
      </c>
      <c r="F5632" s="1" t="str">
        <f t="shared" si="1813"/>
        <v>花都四部-凤凰仓</v>
      </c>
      <c r="G5632" s="1" t="str">
        <f t="shared" si="1817"/>
        <v>卡卡杜个人护理店（抖店）</v>
      </c>
      <c r="H5632" s="1" t="str">
        <f t="shared" si="1814"/>
        <v>正常订单</v>
      </c>
      <c r="I5632" s="1" t="str">
        <f t="shared" si="1815"/>
        <v>已发货</v>
      </c>
      <c r="J5632" s="1" t="str">
        <f t="shared" si="1819"/>
        <v>3</v>
      </c>
      <c r="K5632" s="1">
        <v>2</v>
      </c>
      <c r="L5632" s="1" t="s">
        <v>41</v>
      </c>
      <c r="M5632" s="1" t="str">
        <f>"湖北省 黄石市 下陆区 团城山街道"</f>
        <v>湖北省 黄石市 下陆区 团城山街道</v>
      </c>
      <c r="N5632" s="1" t="str">
        <f t="shared" si="1818"/>
        <v>凡华云仓-城南圆通-抖音</v>
      </c>
      <c r="O5632" s="5" t="s">
        <v>5645</v>
      </c>
      <c r="P5632" s="6">
        <v>0.35</v>
      </c>
      <c r="Q5632" s="11">
        <v>2.2999999999999998</v>
      </c>
      <c r="R5632" s="11"/>
      <c r="S5632" s="11"/>
      <c r="T5632" s="11"/>
      <c r="U5632" s="11">
        <f t="shared" si="1811"/>
        <v>2.2999999999999998</v>
      </c>
      <c r="W5632">
        <v>2.5</v>
      </c>
      <c r="X5632" s="1" t="s">
        <v>41</v>
      </c>
    </row>
    <row r="5633" spans="1:24" x14ac:dyDescent="0.25">
      <c r="A5633" s="1" t="str">
        <f t="shared" si="1812"/>
        <v>卡卡杜-凤凰仓</v>
      </c>
      <c r="B5633" s="1" t="str">
        <f>"CK2024101919855"</f>
        <v>CK2024101919855</v>
      </c>
      <c r="C5633" s="1" t="str">
        <f>"DD2024101930615"</f>
        <v>DD2024101930615</v>
      </c>
      <c r="D5633" s="1" t="str">
        <f>"CK2024101920491"</f>
        <v>CK2024101920491</v>
      </c>
      <c r="E5633" s="1" t="str">
        <f>"6935175322520851666"</f>
        <v>6935175322520851666</v>
      </c>
      <c r="F5633" s="1" t="str">
        <f t="shared" si="1813"/>
        <v>花都四部-凤凰仓</v>
      </c>
      <c r="G5633" s="1" t="str">
        <f t="shared" si="1817"/>
        <v>卡卡杜个人护理店（抖店）</v>
      </c>
      <c r="H5633" s="1" t="str">
        <f t="shared" si="1814"/>
        <v>正常订单</v>
      </c>
      <c r="I5633" s="1" t="str">
        <f t="shared" si="1815"/>
        <v>已发货</v>
      </c>
      <c r="J5633" s="1" t="str">
        <f t="shared" si="1819"/>
        <v>3</v>
      </c>
      <c r="K5633" s="1">
        <v>2</v>
      </c>
      <c r="L5633" s="1" t="s">
        <v>27</v>
      </c>
      <c r="M5633" s="1" t="str">
        <f>"贵州省 毕节市 七星关区 市西街道"</f>
        <v>贵州省 毕节市 七星关区 市西街道</v>
      </c>
      <c r="N5633" s="1" t="str">
        <f t="shared" si="1818"/>
        <v>凡华云仓-城南圆通-抖音</v>
      </c>
      <c r="O5633" s="5" t="s">
        <v>5646</v>
      </c>
      <c r="P5633" s="6">
        <v>0.35</v>
      </c>
      <c r="Q5633" s="11">
        <v>2.2999999999999998</v>
      </c>
      <c r="R5633" s="11"/>
      <c r="S5633" s="11"/>
      <c r="T5633" s="11"/>
      <c r="U5633" s="11">
        <f t="shared" si="1811"/>
        <v>2.2999999999999998</v>
      </c>
      <c r="W5633">
        <v>2.5</v>
      </c>
      <c r="X5633" s="1" t="s">
        <v>27</v>
      </c>
    </row>
    <row r="5634" spans="1:24" x14ac:dyDescent="0.25">
      <c r="A5634" s="1" t="str">
        <f t="shared" si="1812"/>
        <v>卡卡杜-凤凰仓</v>
      </c>
      <c r="B5634" s="1" t="str">
        <f>"CK2024101919856"</f>
        <v>CK2024101919856</v>
      </c>
      <c r="C5634" s="1" t="str">
        <f>"DD2024101930617"</f>
        <v>DD2024101930617</v>
      </c>
      <c r="D5634" s="1" t="str">
        <f>"CK2024101920490"</f>
        <v>CK2024101920490</v>
      </c>
      <c r="E5634" s="1" t="str">
        <f>"6935162266405508573"</f>
        <v>6935162266405508573</v>
      </c>
      <c r="F5634" s="1" t="str">
        <f t="shared" si="1813"/>
        <v>花都四部-凤凰仓</v>
      </c>
      <c r="G5634" s="1" t="str">
        <f t="shared" si="1817"/>
        <v>卡卡杜个人护理店（抖店）</v>
      </c>
      <c r="H5634" s="1" t="str">
        <f t="shared" si="1814"/>
        <v>正常订单</v>
      </c>
      <c r="I5634" s="1" t="str">
        <f t="shared" si="1815"/>
        <v>已发货</v>
      </c>
      <c r="J5634" s="1" t="str">
        <f t="shared" si="1819"/>
        <v>3</v>
      </c>
      <c r="K5634" s="1">
        <v>2</v>
      </c>
      <c r="L5634" s="1" t="s">
        <v>20</v>
      </c>
      <c r="M5634" s="1" t="str">
        <f>"浙江省 绍兴市 诸暨市 陶朱街道"</f>
        <v>浙江省 绍兴市 诸暨市 陶朱街道</v>
      </c>
      <c r="N5634" s="1" t="str">
        <f t="shared" si="1818"/>
        <v>凡华云仓-城南圆通-抖音</v>
      </c>
      <c r="O5634" s="5" t="s">
        <v>5647</v>
      </c>
      <c r="P5634" s="6">
        <v>0.35</v>
      </c>
      <c r="Q5634" s="11">
        <v>2.2999999999999998</v>
      </c>
      <c r="R5634" s="11"/>
      <c r="S5634" s="11"/>
      <c r="T5634" s="11"/>
      <c r="U5634" s="11">
        <f t="shared" si="1811"/>
        <v>2.2999999999999998</v>
      </c>
      <c r="W5634">
        <v>2.5</v>
      </c>
      <c r="X5634" s="1" t="s">
        <v>20</v>
      </c>
    </row>
    <row r="5635" spans="1:24" x14ac:dyDescent="0.25">
      <c r="A5635" s="1" t="str">
        <f t="shared" si="1812"/>
        <v>卡卡杜-凤凰仓</v>
      </c>
      <c r="B5635" s="1" t="str">
        <f>"CK2024101919857"</f>
        <v>CK2024101919857</v>
      </c>
      <c r="C5635" s="1" t="str">
        <f>"DD2024101930616"</f>
        <v>DD2024101930616</v>
      </c>
      <c r="D5635" s="1" t="str">
        <f>"CK2024101920489"</f>
        <v>CK2024101920489</v>
      </c>
      <c r="E5635" s="1" t="str">
        <f>"6935171192077489241"</f>
        <v>6935171192077489241</v>
      </c>
      <c r="F5635" s="1" t="str">
        <f t="shared" si="1813"/>
        <v>花都四部-凤凰仓</v>
      </c>
      <c r="G5635" s="1" t="str">
        <f t="shared" si="1817"/>
        <v>卡卡杜个人护理店（抖店）</v>
      </c>
      <c r="H5635" s="1" t="str">
        <f t="shared" si="1814"/>
        <v>正常订单</v>
      </c>
      <c r="I5635" s="1" t="str">
        <f t="shared" si="1815"/>
        <v>已发货</v>
      </c>
      <c r="J5635" s="1" t="str">
        <f t="shared" si="1819"/>
        <v>3</v>
      </c>
      <c r="K5635" s="1">
        <v>2</v>
      </c>
      <c r="L5635" s="1" t="s">
        <v>18</v>
      </c>
      <c r="M5635" s="1" t="str">
        <f>"广东省 韶关市 浈江区 风采街道"</f>
        <v>广东省 韶关市 浈江区 风采街道</v>
      </c>
      <c r="N5635" s="1" t="str">
        <f t="shared" si="1818"/>
        <v>凡华云仓-城南圆通-抖音</v>
      </c>
      <c r="O5635" s="5" t="s">
        <v>5648</v>
      </c>
      <c r="P5635" s="6">
        <v>0.35</v>
      </c>
      <c r="Q5635" s="11">
        <v>2.2999999999999998</v>
      </c>
      <c r="R5635" s="11"/>
      <c r="S5635" s="11"/>
      <c r="T5635" s="11"/>
      <c r="U5635" s="11">
        <f t="shared" ref="U5635:U5698" si="1820">T5635+S5635+R5635+Q5635</f>
        <v>2.2999999999999998</v>
      </c>
      <c r="W5635">
        <v>2.5</v>
      </c>
      <c r="X5635" s="1" t="s">
        <v>18</v>
      </c>
    </row>
    <row r="5636" spans="1:24" x14ac:dyDescent="0.25">
      <c r="A5636" s="1" t="str">
        <f t="shared" si="1812"/>
        <v>卡卡杜-凤凰仓</v>
      </c>
      <c r="B5636" s="1" t="str">
        <f>"CK2024101919858"</f>
        <v>CK2024101919858</v>
      </c>
      <c r="C5636" s="1" t="str">
        <f>"DD2024101930618"</f>
        <v>DD2024101930618</v>
      </c>
      <c r="D5636" s="1" t="str">
        <f>"CK2024101920488"</f>
        <v>CK2024101920488</v>
      </c>
      <c r="E5636" s="1" t="str">
        <f>"6935155113213040108"</f>
        <v>6935155113213040108</v>
      </c>
      <c r="F5636" s="1" t="str">
        <f t="shared" si="1813"/>
        <v>花都四部-凤凰仓</v>
      </c>
      <c r="G5636" s="1" t="str">
        <f t="shared" si="1817"/>
        <v>卡卡杜个人护理店（抖店）</v>
      </c>
      <c r="H5636" s="1" t="str">
        <f t="shared" si="1814"/>
        <v>正常订单</v>
      </c>
      <c r="I5636" s="1" t="str">
        <f t="shared" si="1815"/>
        <v>已发货</v>
      </c>
      <c r="J5636" s="1" t="str">
        <f t="shared" si="1819"/>
        <v>3</v>
      </c>
      <c r="K5636" s="1">
        <v>2</v>
      </c>
      <c r="L5636" s="1" t="s">
        <v>20</v>
      </c>
      <c r="M5636" s="1" t="str">
        <f>"浙江省 绍兴市 柯桥区 安昌街道"</f>
        <v>浙江省 绍兴市 柯桥区 安昌街道</v>
      </c>
      <c r="N5636" s="1" t="str">
        <f t="shared" si="1818"/>
        <v>凡华云仓-城南圆通-抖音</v>
      </c>
      <c r="O5636" s="5" t="s">
        <v>5649</v>
      </c>
      <c r="P5636" s="6">
        <v>0.35</v>
      </c>
      <c r="Q5636" s="11">
        <v>2.2999999999999998</v>
      </c>
      <c r="R5636" s="11"/>
      <c r="S5636" s="11"/>
      <c r="T5636" s="11"/>
      <c r="U5636" s="11">
        <f t="shared" si="1820"/>
        <v>2.2999999999999998</v>
      </c>
      <c r="W5636">
        <v>2.5</v>
      </c>
      <c r="X5636" s="1" t="s">
        <v>20</v>
      </c>
    </row>
    <row r="5637" spans="1:24" x14ac:dyDescent="0.25">
      <c r="A5637" s="1" t="str">
        <f t="shared" ref="A5637:A5700" si="1821">"卡卡杜-凤凰仓"</f>
        <v>卡卡杜-凤凰仓</v>
      </c>
      <c r="B5637" s="1" t="str">
        <f>"CK2024101919859"</f>
        <v>CK2024101919859</v>
      </c>
      <c r="C5637" s="1" t="str">
        <f>"DD2024101930619"</f>
        <v>DD2024101930619</v>
      </c>
      <c r="D5637" s="1" t="str">
        <f>"CK2024101920487"</f>
        <v>CK2024101920487</v>
      </c>
      <c r="E5637" s="1" t="str">
        <f>"6935168693295191444"</f>
        <v>6935168693295191444</v>
      </c>
      <c r="F5637" s="1" t="str">
        <f t="shared" ref="F5637:F5700" si="1822">"花都四部-凤凰仓"</f>
        <v>花都四部-凤凰仓</v>
      </c>
      <c r="G5637" s="1" t="str">
        <f t="shared" si="1817"/>
        <v>卡卡杜个人护理店（抖店）</v>
      </c>
      <c r="H5637" s="1" t="str">
        <f t="shared" ref="H5637:H5700" si="1823">"正常订单"</f>
        <v>正常订单</v>
      </c>
      <c r="I5637" s="1" t="str">
        <f t="shared" ref="I5637:I5700" si="1824">"已发货"</f>
        <v>已发货</v>
      </c>
      <c r="J5637" s="1" t="str">
        <f t="shared" si="1819"/>
        <v>3</v>
      </c>
      <c r="K5637" s="1">
        <v>2</v>
      </c>
      <c r="L5637" s="1" t="s">
        <v>18</v>
      </c>
      <c r="M5637" s="1" t="str">
        <f>"广东省 佛山市 南海区 狮山镇"</f>
        <v>广东省 佛山市 南海区 狮山镇</v>
      </c>
      <c r="N5637" s="1" t="str">
        <f t="shared" si="1818"/>
        <v>凡华云仓-城南圆通-抖音</v>
      </c>
      <c r="O5637" s="5" t="s">
        <v>5650</v>
      </c>
      <c r="P5637" s="6">
        <v>0.35</v>
      </c>
      <c r="Q5637" s="11">
        <v>2.2999999999999998</v>
      </c>
      <c r="R5637" s="11"/>
      <c r="S5637" s="11"/>
      <c r="T5637" s="11"/>
      <c r="U5637" s="11">
        <f t="shared" si="1820"/>
        <v>2.2999999999999998</v>
      </c>
      <c r="W5637">
        <v>2.5</v>
      </c>
      <c r="X5637" s="1" t="s">
        <v>18</v>
      </c>
    </row>
    <row r="5638" spans="1:24" x14ac:dyDescent="0.25">
      <c r="A5638" s="1" t="str">
        <f t="shared" si="1821"/>
        <v>卡卡杜-凤凰仓</v>
      </c>
      <c r="B5638" s="1" t="str">
        <f>"CK2024101919860"</f>
        <v>CK2024101919860</v>
      </c>
      <c r="C5638" s="1" t="str">
        <f>"DD2024101930620"</f>
        <v>DD2024101930620</v>
      </c>
      <c r="D5638" s="1" t="str">
        <f>"CK2024101920486"</f>
        <v>CK2024101920486</v>
      </c>
      <c r="E5638" s="1" t="str">
        <f>"6935168849785197837"</f>
        <v>6935168849785197837</v>
      </c>
      <c r="F5638" s="1" t="str">
        <f t="shared" si="1822"/>
        <v>花都四部-凤凰仓</v>
      </c>
      <c r="G5638" s="1" t="str">
        <f t="shared" si="1817"/>
        <v>卡卡杜个人护理店（抖店）</v>
      </c>
      <c r="H5638" s="1" t="str">
        <f t="shared" si="1823"/>
        <v>正常订单</v>
      </c>
      <c r="I5638" s="1" t="str">
        <f t="shared" si="1824"/>
        <v>已发货</v>
      </c>
      <c r="J5638" s="1" t="str">
        <f t="shared" si="1819"/>
        <v>3</v>
      </c>
      <c r="K5638" s="1">
        <v>2</v>
      </c>
      <c r="L5638" s="1" t="s">
        <v>16</v>
      </c>
      <c r="M5638" s="1" t="str">
        <f>"河北省 石家庄市 桥西区 长兴街道"</f>
        <v>河北省 石家庄市 桥西区 长兴街道</v>
      </c>
      <c r="N5638" s="1" t="str">
        <f t="shared" si="1818"/>
        <v>凡华云仓-城南圆通-抖音</v>
      </c>
      <c r="O5638" s="5" t="s">
        <v>5651</v>
      </c>
      <c r="P5638" s="6">
        <v>0.35</v>
      </c>
      <c r="Q5638" s="11">
        <v>2.2999999999999998</v>
      </c>
      <c r="R5638" s="11"/>
      <c r="S5638" s="11"/>
      <c r="T5638" s="11"/>
      <c r="U5638" s="11">
        <f t="shared" si="1820"/>
        <v>2.2999999999999998</v>
      </c>
      <c r="W5638">
        <v>2.5</v>
      </c>
      <c r="X5638" s="1" t="s">
        <v>16</v>
      </c>
    </row>
    <row r="5639" spans="1:24" x14ac:dyDescent="0.25">
      <c r="A5639" s="1" t="str">
        <f t="shared" si="1821"/>
        <v>卡卡杜-凤凰仓</v>
      </c>
      <c r="B5639" s="1" t="str">
        <f>"CK2024101919861"</f>
        <v>CK2024101919861</v>
      </c>
      <c r="C5639" s="1" t="str">
        <f>"DD2024101930621"</f>
        <v>DD2024101930621</v>
      </c>
      <c r="D5639" s="1" t="str">
        <f>"CK2024101920485"</f>
        <v>CK2024101920485</v>
      </c>
      <c r="E5639" s="1" t="str">
        <f>"6935166164086429597"</f>
        <v>6935166164086429597</v>
      </c>
      <c r="F5639" s="1" t="str">
        <f t="shared" si="1822"/>
        <v>花都四部-凤凰仓</v>
      </c>
      <c r="G5639" s="1" t="str">
        <f t="shared" si="1817"/>
        <v>卡卡杜个人护理店（抖店）</v>
      </c>
      <c r="H5639" s="1" t="str">
        <f t="shared" si="1823"/>
        <v>正常订单</v>
      </c>
      <c r="I5639" s="1" t="str">
        <f t="shared" si="1824"/>
        <v>已发货</v>
      </c>
      <c r="J5639" s="1" t="str">
        <f t="shared" si="1819"/>
        <v>3</v>
      </c>
      <c r="K5639" s="1">
        <v>2</v>
      </c>
      <c r="L5639" s="1" t="s">
        <v>18</v>
      </c>
      <c r="M5639" s="1" t="str">
        <f>"广东省 东莞市 东莞市 塘厦镇"</f>
        <v>广东省 东莞市 东莞市 塘厦镇</v>
      </c>
      <c r="N5639" s="1" t="str">
        <f t="shared" si="1818"/>
        <v>凡华云仓-城南圆通-抖音</v>
      </c>
      <c r="O5639" s="5" t="s">
        <v>5652</v>
      </c>
      <c r="P5639" s="6">
        <v>0.35</v>
      </c>
      <c r="Q5639" s="11">
        <v>2.2999999999999998</v>
      </c>
      <c r="R5639" s="11"/>
      <c r="S5639" s="11"/>
      <c r="T5639" s="11"/>
      <c r="U5639" s="11">
        <f t="shared" si="1820"/>
        <v>2.2999999999999998</v>
      </c>
      <c r="W5639">
        <v>2.5</v>
      </c>
      <c r="X5639" s="1" t="s">
        <v>18</v>
      </c>
    </row>
    <row r="5640" spans="1:24" x14ac:dyDescent="0.25">
      <c r="A5640" s="1" t="str">
        <f t="shared" si="1821"/>
        <v>卡卡杜-凤凰仓</v>
      </c>
      <c r="B5640" s="1" t="str">
        <f>"CK2024101919862"</f>
        <v>CK2024101919862</v>
      </c>
      <c r="C5640" s="1" t="str">
        <f>"DD2024101930622"</f>
        <v>DD2024101930622</v>
      </c>
      <c r="D5640" s="1" t="str">
        <f>"CK2024101920484"</f>
        <v>CK2024101920484</v>
      </c>
      <c r="E5640" s="1" t="str">
        <f>"6935168798105146481"</f>
        <v>6935168798105146481</v>
      </c>
      <c r="F5640" s="1" t="str">
        <f t="shared" si="1822"/>
        <v>花都四部-凤凰仓</v>
      </c>
      <c r="G5640" s="1" t="str">
        <f t="shared" si="1817"/>
        <v>卡卡杜个人护理店（抖店）</v>
      </c>
      <c r="H5640" s="1" t="str">
        <f t="shared" si="1823"/>
        <v>正常订单</v>
      </c>
      <c r="I5640" s="1" t="str">
        <f t="shared" si="1824"/>
        <v>已发货</v>
      </c>
      <c r="J5640" s="1" t="str">
        <f t="shared" si="1819"/>
        <v>3</v>
      </c>
      <c r="K5640" s="1">
        <v>2</v>
      </c>
      <c r="L5640" s="1" t="s">
        <v>18</v>
      </c>
      <c r="M5640" s="1" t="str">
        <f>"广东省 东莞市 东莞市 黄江镇"</f>
        <v>广东省 东莞市 东莞市 黄江镇</v>
      </c>
      <c r="N5640" s="1" t="str">
        <f t="shared" si="1818"/>
        <v>凡华云仓-城南圆通-抖音</v>
      </c>
      <c r="O5640" s="5" t="s">
        <v>5653</v>
      </c>
      <c r="P5640" s="6">
        <v>0.35</v>
      </c>
      <c r="Q5640" s="11">
        <v>2.2999999999999998</v>
      </c>
      <c r="R5640" s="11"/>
      <c r="S5640" s="11"/>
      <c r="T5640" s="11"/>
      <c r="U5640" s="11">
        <f t="shared" si="1820"/>
        <v>2.2999999999999998</v>
      </c>
      <c r="W5640">
        <v>2.5</v>
      </c>
      <c r="X5640" s="1" t="s">
        <v>18</v>
      </c>
    </row>
    <row r="5641" spans="1:24" x14ac:dyDescent="0.25">
      <c r="A5641" s="1" t="str">
        <f t="shared" si="1821"/>
        <v>卡卡杜-凤凰仓</v>
      </c>
      <c r="B5641" s="1" t="str">
        <f>"CK2024101919863"</f>
        <v>CK2024101919863</v>
      </c>
      <c r="C5641" s="1" t="str">
        <f>"DD2024101930623"</f>
        <v>DD2024101930623</v>
      </c>
      <c r="D5641" s="1" t="str">
        <f>"CK2024101920483"</f>
        <v>CK2024101920483</v>
      </c>
      <c r="E5641" s="1" t="str">
        <f>"6935168792270345393"</f>
        <v>6935168792270345393</v>
      </c>
      <c r="F5641" s="1" t="str">
        <f t="shared" si="1822"/>
        <v>花都四部-凤凰仓</v>
      </c>
      <c r="G5641" s="1" t="str">
        <f t="shared" si="1817"/>
        <v>卡卡杜个人护理店（抖店）</v>
      </c>
      <c r="H5641" s="1" t="str">
        <f t="shared" si="1823"/>
        <v>正常订单</v>
      </c>
      <c r="I5641" s="1" t="str">
        <f t="shared" si="1824"/>
        <v>已发货</v>
      </c>
      <c r="J5641" s="1" t="str">
        <f t="shared" si="1819"/>
        <v>3</v>
      </c>
      <c r="K5641" s="1">
        <v>2</v>
      </c>
      <c r="L5641" s="1" t="s">
        <v>22</v>
      </c>
      <c r="M5641" s="1" t="str">
        <f>"江西省 上饶市 广丰区 下溪街道"</f>
        <v>江西省 上饶市 广丰区 下溪街道</v>
      </c>
      <c r="N5641" s="1" t="str">
        <f t="shared" si="1818"/>
        <v>凡华云仓-城南圆通-抖音</v>
      </c>
      <c r="O5641" s="5" t="s">
        <v>5654</v>
      </c>
      <c r="P5641" s="6">
        <v>0.35</v>
      </c>
      <c r="Q5641" s="11">
        <v>2.2999999999999998</v>
      </c>
      <c r="R5641" s="11"/>
      <c r="S5641" s="11"/>
      <c r="T5641" s="11"/>
      <c r="U5641" s="11">
        <f t="shared" si="1820"/>
        <v>2.2999999999999998</v>
      </c>
      <c r="W5641">
        <v>2.5</v>
      </c>
      <c r="X5641" s="1" t="s">
        <v>22</v>
      </c>
    </row>
    <row r="5642" spans="1:24" x14ac:dyDescent="0.25">
      <c r="A5642" s="1" t="str">
        <f t="shared" si="1821"/>
        <v>卡卡杜-凤凰仓</v>
      </c>
      <c r="B5642" s="1" t="str">
        <f>"CK2024101919865"</f>
        <v>CK2024101919865</v>
      </c>
      <c r="C5642" s="1" t="str">
        <f>"DD2024101930625"</f>
        <v>DD2024101930625</v>
      </c>
      <c r="D5642" s="1" t="str">
        <f>"CK2024101920482"</f>
        <v>CK2024101920482</v>
      </c>
      <c r="E5642" s="1" t="str">
        <f>"6935152751294027707"</f>
        <v>6935152751294027707</v>
      </c>
      <c r="F5642" s="1" t="str">
        <f t="shared" si="1822"/>
        <v>花都四部-凤凰仓</v>
      </c>
      <c r="G5642" s="1" t="str">
        <f t="shared" si="1817"/>
        <v>卡卡杜个人护理店（抖店）</v>
      </c>
      <c r="H5642" s="1" t="str">
        <f t="shared" si="1823"/>
        <v>正常订单</v>
      </c>
      <c r="I5642" s="1" t="str">
        <f t="shared" si="1824"/>
        <v>已发货</v>
      </c>
      <c r="J5642" s="1" t="str">
        <f t="shared" si="1819"/>
        <v>3</v>
      </c>
      <c r="K5642" s="1">
        <v>2</v>
      </c>
      <c r="L5642" s="1" t="s">
        <v>36</v>
      </c>
      <c r="M5642" s="1" t="str">
        <f>"安徽省 六安市 霍邱县 安徽霍邱经济开发区"</f>
        <v>安徽省 六安市 霍邱县 安徽霍邱经济开发区</v>
      </c>
      <c r="N5642" s="1" t="str">
        <f t="shared" si="1818"/>
        <v>凡华云仓-城南圆通-抖音</v>
      </c>
      <c r="O5642" s="5" t="s">
        <v>5655</v>
      </c>
      <c r="P5642" s="6">
        <v>0.35</v>
      </c>
      <c r="Q5642" s="11">
        <v>2.2999999999999998</v>
      </c>
      <c r="R5642" s="11"/>
      <c r="S5642" s="11"/>
      <c r="T5642" s="11"/>
      <c r="U5642" s="11">
        <f t="shared" si="1820"/>
        <v>2.2999999999999998</v>
      </c>
      <c r="W5642">
        <v>2.5</v>
      </c>
      <c r="X5642" s="1" t="s">
        <v>36</v>
      </c>
    </row>
    <row r="5643" spans="1:24" x14ac:dyDescent="0.25">
      <c r="A5643" s="1" t="str">
        <f t="shared" si="1821"/>
        <v>卡卡杜-凤凰仓</v>
      </c>
      <c r="B5643" s="1" t="str">
        <f>"CK2024101919864"</f>
        <v>CK2024101919864</v>
      </c>
      <c r="C5643" s="1" t="str">
        <f>"DD2024101930624"</f>
        <v>DD2024101930624</v>
      </c>
      <c r="D5643" s="1" t="str">
        <f>"CK2024101920481"</f>
        <v>CK2024101920481</v>
      </c>
      <c r="E5643" s="1" t="str">
        <f>"6935163989070059491"</f>
        <v>6935163989070059491</v>
      </c>
      <c r="F5643" s="1" t="str">
        <f t="shared" si="1822"/>
        <v>花都四部-凤凰仓</v>
      </c>
      <c r="G5643" s="1" t="str">
        <f t="shared" si="1817"/>
        <v>卡卡杜个人护理店（抖店）</v>
      </c>
      <c r="H5643" s="1" t="str">
        <f t="shared" si="1823"/>
        <v>正常订单</v>
      </c>
      <c r="I5643" s="1" t="str">
        <f t="shared" si="1824"/>
        <v>已发货</v>
      </c>
      <c r="J5643" s="1" t="str">
        <f t="shared" si="1819"/>
        <v>3</v>
      </c>
      <c r="K5643" s="1">
        <v>2</v>
      </c>
      <c r="L5643" s="1" t="s">
        <v>13</v>
      </c>
      <c r="M5643" s="1" t="str">
        <f>"江苏省 常州市 武进区 高新区"</f>
        <v>江苏省 常州市 武进区 高新区</v>
      </c>
      <c r="N5643" s="1" t="str">
        <f t="shared" si="1818"/>
        <v>凡华云仓-城南圆通-抖音</v>
      </c>
      <c r="O5643" s="5" t="s">
        <v>5656</v>
      </c>
      <c r="P5643" s="6">
        <v>0.35</v>
      </c>
      <c r="Q5643" s="11">
        <v>2.2999999999999998</v>
      </c>
      <c r="R5643" s="11"/>
      <c r="S5643" s="11"/>
      <c r="T5643" s="11"/>
      <c r="U5643" s="11">
        <f t="shared" si="1820"/>
        <v>2.2999999999999998</v>
      </c>
      <c r="W5643">
        <v>2.5</v>
      </c>
      <c r="X5643" s="1" t="s">
        <v>13</v>
      </c>
    </row>
    <row r="5644" spans="1:24" x14ac:dyDescent="0.25">
      <c r="A5644" s="1" t="str">
        <f t="shared" si="1821"/>
        <v>卡卡杜-凤凰仓</v>
      </c>
      <c r="B5644" s="1" t="str">
        <f>"CK2024101919866"</f>
        <v>CK2024101919866</v>
      </c>
      <c r="C5644" s="1" t="str">
        <f>"DD2024101930626"</f>
        <v>DD2024101930626</v>
      </c>
      <c r="D5644" s="1" t="str">
        <f>"CK2024101920480"</f>
        <v>CK2024101920480</v>
      </c>
      <c r="E5644" s="1" t="str">
        <f>"6935166189559682167"</f>
        <v>6935166189559682167</v>
      </c>
      <c r="F5644" s="1" t="str">
        <f t="shared" si="1822"/>
        <v>花都四部-凤凰仓</v>
      </c>
      <c r="G5644" s="1" t="str">
        <f t="shared" si="1817"/>
        <v>卡卡杜个人护理店（抖店）</v>
      </c>
      <c r="H5644" s="1" t="str">
        <f t="shared" si="1823"/>
        <v>正常订单</v>
      </c>
      <c r="I5644" s="1" t="str">
        <f t="shared" si="1824"/>
        <v>已发货</v>
      </c>
      <c r="J5644" s="1" t="str">
        <f t="shared" si="1819"/>
        <v>3</v>
      </c>
      <c r="K5644" s="1">
        <v>2</v>
      </c>
      <c r="L5644" s="1" t="s">
        <v>13</v>
      </c>
      <c r="M5644" s="1" t="str">
        <f>"江苏省 南京市 秦淮区 光华路街道"</f>
        <v>江苏省 南京市 秦淮区 光华路街道</v>
      </c>
      <c r="N5644" s="1" t="str">
        <f t="shared" si="1818"/>
        <v>凡华云仓-城南圆通-抖音</v>
      </c>
      <c r="O5644" s="5" t="s">
        <v>5657</v>
      </c>
      <c r="P5644" s="6">
        <v>0.35</v>
      </c>
      <c r="Q5644" s="11">
        <v>2.2999999999999998</v>
      </c>
      <c r="R5644" s="11"/>
      <c r="S5644" s="11"/>
      <c r="T5644" s="11"/>
      <c r="U5644" s="11">
        <f t="shared" si="1820"/>
        <v>2.2999999999999998</v>
      </c>
      <c r="W5644">
        <v>2.5</v>
      </c>
      <c r="X5644" s="1" t="s">
        <v>13</v>
      </c>
    </row>
    <row r="5645" spans="1:24" x14ac:dyDescent="0.25">
      <c r="A5645" s="1" t="str">
        <f t="shared" si="1821"/>
        <v>卡卡杜-凤凰仓</v>
      </c>
      <c r="B5645" s="1" t="str">
        <f>"CK2024101919867"</f>
        <v>CK2024101919867</v>
      </c>
      <c r="C5645" s="1" t="str">
        <f>"DD2024101930627"</f>
        <v>DD2024101930627</v>
      </c>
      <c r="D5645" s="1" t="str">
        <f>"CK2024101920479"</f>
        <v>CK2024101920479</v>
      </c>
      <c r="E5645" s="1" t="str">
        <f>"6935162094296831159"</f>
        <v>6935162094296831159</v>
      </c>
      <c r="F5645" s="1" t="str">
        <f t="shared" si="1822"/>
        <v>花都四部-凤凰仓</v>
      </c>
      <c r="G5645" s="1" t="str">
        <f t="shared" si="1817"/>
        <v>卡卡杜个人护理店（抖店）</v>
      </c>
      <c r="H5645" s="1" t="str">
        <f t="shared" si="1823"/>
        <v>正常订单</v>
      </c>
      <c r="I5645" s="1" t="str">
        <f t="shared" si="1824"/>
        <v>已发货</v>
      </c>
      <c r="J5645" s="1" t="str">
        <f t="shared" si="1819"/>
        <v>3</v>
      </c>
      <c r="K5645" s="1">
        <v>2</v>
      </c>
      <c r="L5645" s="1" t="s">
        <v>18</v>
      </c>
      <c r="M5645" s="1" t="str">
        <f>"广东省 深圳市 宝安区 沙井街道"</f>
        <v>广东省 深圳市 宝安区 沙井街道</v>
      </c>
      <c r="N5645" s="1" t="str">
        <f t="shared" si="1818"/>
        <v>凡华云仓-城南圆通-抖音</v>
      </c>
      <c r="O5645" s="5" t="s">
        <v>5658</v>
      </c>
      <c r="P5645" s="6">
        <v>0.35</v>
      </c>
      <c r="Q5645" s="11">
        <v>2.2999999999999998</v>
      </c>
      <c r="R5645" s="11"/>
      <c r="S5645" s="11"/>
      <c r="T5645" s="11"/>
      <c r="U5645" s="11">
        <f t="shared" si="1820"/>
        <v>2.2999999999999998</v>
      </c>
      <c r="W5645">
        <v>2.5</v>
      </c>
      <c r="X5645" s="1" t="s">
        <v>18</v>
      </c>
    </row>
    <row r="5646" spans="1:24" x14ac:dyDescent="0.25">
      <c r="A5646" s="1" t="str">
        <f t="shared" si="1821"/>
        <v>卡卡杜-凤凰仓</v>
      </c>
      <c r="B5646" s="1" t="str">
        <f>"CK2024101919868"</f>
        <v>CK2024101919868</v>
      </c>
      <c r="C5646" s="1" t="str">
        <f>"DD2024101930628"</f>
        <v>DD2024101930628</v>
      </c>
      <c r="D5646" s="1" t="str">
        <f>"CK2024101920478"</f>
        <v>CK2024101920478</v>
      </c>
      <c r="E5646" s="1" t="str">
        <f>"6935171071834658072"</f>
        <v>6935171071834658072</v>
      </c>
      <c r="F5646" s="1" t="str">
        <f t="shared" si="1822"/>
        <v>花都四部-凤凰仓</v>
      </c>
      <c r="G5646" s="1" t="str">
        <f t="shared" si="1817"/>
        <v>卡卡杜个人护理店（抖店）</v>
      </c>
      <c r="H5646" s="1" t="str">
        <f t="shared" si="1823"/>
        <v>正常订单</v>
      </c>
      <c r="I5646" s="1" t="str">
        <f t="shared" si="1824"/>
        <v>已发货</v>
      </c>
      <c r="J5646" s="1" t="str">
        <f t="shared" si="1819"/>
        <v>3</v>
      </c>
      <c r="K5646" s="1">
        <v>2</v>
      </c>
      <c r="L5646" s="1" t="s">
        <v>161</v>
      </c>
      <c r="M5646" s="1" t="str">
        <f>"四川省 凉山彝族自治州 盐源县 泸沽湖镇"</f>
        <v>四川省 凉山彝族自治州 盐源县 泸沽湖镇</v>
      </c>
      <c r="N5646" s="1" t="str">
        <f t="shared" si="1818"/>
        <v>凡华云仓-城南圆通-抖音</v>
      </c>
      <c r="O5646" s="5" t="s">
        <v>5659</v>
      </c>
      <c r="P5646" s="6">
        <v>0.35</v>
      </c>
      <c r="Q5646" s="11">
        <v>2.2999999999999998</v>
      </c>
      <c r="R5646" s="11"/>
      <c r="S5646" s="11"/>
      <c r="T5646" s="11"/>
      <c r="U5646" s="11">
        <f t="shared" si="1820"/>
        <v>2.2999999999999998</v>
      </c>
      <c r="W5646">
        <v>2.5</v>
      </c>
      <c r="X5646" s="1" t="s">
        <v>161</v>
      </c>
    </row>
    <row r="5647" spans="1:24" x14ac:dyDescent="0.25">
      <c r="A5647" s="1" t="str">
        <f t="shared" si="1821"/>
        <v>卡卡杜-凤凰仓</v>
      </c>
      <c r="B5647" s="1" t="str">
        <f>"CK2024101919869"</f>
        <v>CK2024101919869</v>
      </c>
      <c r="C5647" s="1" t="str">
        <f>"DD2024101930629"</f>
        <v>DD2024101930629</v>
      </c>
      <c r="D5647" s="1" t="str">
        <f>"CK2024101920477"</f>
        <v>CK2024101920477</v>
      </c>
      <c r="E5647" s="1" t="str">
        <f>"6935172960483022570"</f>
        <v>6935172960483022570</v>
      </c>
      <c r="F5647" s="1" t="str">
        <f t="shared" si="1822"/>
        <v>花都四部-凤凰仓</v>
      </c>
      <c r="G5647" s="1" t="str">
        <f t="shared" si="1817"/>
        <v>卡卡杜个人护理店（抖店）</v>
      </c>
      <c r="H5647" s="1" t="str">
        <f t="shared" si="1823"/>
        <v>正常订单</v>
      </c>
      <c r="I5647" s="1" t="str">
        <f t="shared" si="1824"/>
        <v>已发货</v>
      </c>
      <c r="J5647" s="1" t="str">
        <f t="shared" si="1819"/>
        <v>3</v>
      </c>
      <c r="K5647" s="1">
        <v>2</v>
      </c>
      <c r="L5647" s="1" t="s">
        <v>74</v>
      </c>
      <c r="M5647" s="1" t="str">
        <f>"上海 上海市 浦东新区 高桥镇"</f>
        <v>上海 上海市 浦东新区 高桥镇</v>
      </c>
      <c r="N5647" s="1" t="str">
        <f t="shared" si="1818"/>
        <v>凡华云仓-城南圆通-抖音</v>
      </c>
      <c r="O5647" s="5" t="s">
        <v>5660</v>
      </c>
      <c r="P5647" s="6">
        <v>0.35</v>
      </c>
      <c r="Q5647" s="11">
        <v>2.2999999999999998</v>
      </c>
      <c r="R5647" s="11"/>
      <c r="S5647" s="11"/>
      <c r="T5647" s="11"/>
      <c r="U5647" s="11">
        <f t="shared" si="1820"/>
        <v>2.2999999999999998</v>
      </c>
      <c r="W5647">
        <v>2.5</v>
      </c>
      <c r="X5647" s="1" t="s">
        <v>74</v>
      </c>
    </row>
    <row r="5648" spans="1:24" x14ac:dyDescent="0.25">
      <c r="A5648" s="1" t="str">
        <f t="shared" si="1821"/>
        <v>卡卡杜-凤凰仓</v>
      </c>
      <c r="B5648" s="1" t="str">
        <f>"CK2024101919870"</f>
        <v>CK2024101919870</v>
      </c>
      <c r="C5648" s="1" t="str">
        <f>"DD2024101930630"</f>
        <v>DD2024101930630</v>
      </c>
      <c r="D5648" s="1" t="str">
        <f>"CK2024101920476"</f>
        <v>CK2024101920476</v>
      </c>
      <c r="E5648" s="1" t="str">
        <f>"6935175281842526015"</f>
        <v>6935175281842526015</v>
      </c>
      <c r="F5648" s="1" t="str">
        <f t="shared" si="1822"/>
        <v>花都四部-凤凰仓</v>
      </c>
      <c r="G5648" s="1" t="str">
        <f t="shared" si="1817"/>
        <v>卡卡杜个人护理店（抖店）</v>
      </c>
      <c r="H5648" s="1" t="str">
        <f t="shared" si="1823"/>
        <v>正常订单</v>
      </c>
      <c r="I5648" s="1" t="str">
        <f t="shared" si="1824"/>
        <v>已发货</v>
      </c>
      <c r="J5648" s="1" t="str">
        <f t="shared" si="1819"/>
        <v>3</v>
      </c>
      <c r="K5648" s="1">
        <v>2</v>
      </c>
      <c r="L5648" s="1" t="s">
        <v>20</v>
      </c>
      <c r="M5648" s="1" t="str">
        <f>"浙江省 衢州市 常山县 "</f>
        <v xml:space="preserve">浙江省 衢州市 常山县 </v>
      </c>
      <c r="N5648" s="1" t="str">
        <f t="shared" si="1818"/>
        <v>凡华云仓-城南圆通-抖音</v>
      </c>
      <c r="O5648" s="5" t="s">
        <v>5661</v>
      </c>
      <c r="P5648" s="6">
        <v>0.35</v>
      </c>
      <c r="Q5648" s="11">
        <v>2.2999999999999998</v>
      </c>
      <c r="R5648" s="11"/>
      <c r="S5648" s="11"/>
      <c r="T5648" s="11"/>
      <c r="U5648" s="11">
        <f t="shared" si="1820"/>
        <v>2.2999999999999998</v>
      </c>
      <c r="W5648">
        <v>2.5</v>
      </c>
      <c r="X5648" s="1" t="s">
        <v>20</v>
      </c>
    </row>
    <row r="5649" spans="1:24" x14ac:dyDescent="0.25">
      <c r="A5649" s="1" t="str">
        <f t="shared" si="1821"/>
        <v>卡卡杜-凤凰仓</v>
      </c>
      <c r="B5649" s="1" t="str">
        <f>"CK2024101919872"</f>
        <v>CK2024101919872</v>
      </c>
      <c r="C5649" s="1" t="str">
        <f>"DD2024101930632"</f>
        <v>DD2024101930632</v>
      </c>
      <c r="D5649" s="1" t="str">
        <f>"CK2024101920475"</f>
        <v>CK2024101920475</v>
      </c>
      <c r="E5649" s="1" t="str">
        <f>"6935171098359370938"</f>
        <v>6935171098359370938</v>
      </c>
      <c r="F5649" s="1" t="str">
        <f t="shared" si="1822"/>
        <v>花都四部-凤凰仓</v>
      </c>
      <c r="G5649" s="1" t="str">
        <f t="shared" si="1817"/>
        <v>卡卡杜个人护理店（抖店）</v>
      </c>
      <c r="H5649" s="1" t="str">
        <f t="shared" si="1823"/>
        <v>正常订单</v>
      </c>
      <c r="I5649" s="1" t="str">
        <f t="shared" si="1824"/>
        <v>已发货</v>
      </c>
      <c r="J5649" s="1" t="str">
        <f t="shared" si="1819"/>
        <v>3</v>
      </c>
      <c r="K5649" s="1">
        <v>2</v>
      </c>
      <c r="L5649" s="1" t="s">
        <v>36</v>
      </c>
      <c r="M5649" s="1" t="str">
        <f>"安徽省 六安市 金寨县 古碑镇"</f>
        <v>安徽省 六安市 金寨县 古碑镇</v>
      </c>
      <c r="N5649" s="1" t="str">
        <f t="shared" si="1818"/>
        <v>凡华云仓-城南圆通-抖音</v>
      </c>
      <c r="O5649" s="5" t="s">
        <v>5662</v>
      </c>
      <c r="P5649" s="6">
        <v>0.35</v>
      </c>
      <c r="Q5649" s="11">
        <v>2.2999999999999998</v>
      </c>
      <c r="R5649" s="11"/>
      <c r="S5649" s="11"/>
      <c r="T5649" s="11"/>
      <c r="U5649" s="11">
        <f t="shared" si="1820"/>
        <v>2.2999999999999998</v>
      </c>
      <c r="W5649">
        <v>2.5</v>
      </c>
      <c r="X5649" s="1" t="s">
        <v>36</v>
      </c>
    </row>
    <row r="5650" spans="1:24" x14ac:dyDescent="0.25">
      <c r="A5650" s="1" t="str">
        <f t="shared" si="1821"/>
        <v>卡卡杜-凤凰仓</v>
      </c>
      <c r="B5650" s="1" t="str">
        <f>"CK2024101919871"</f>
        <v>CK2024101919871</v>
      </c>
      <c r="C5650" s="1" t="str">
        <f>"DD2024101930631"</f>
        <v>DD2024101930631</v>
      </c>
      <c r="D5650" s="1" t="str">
        <f>"CK2024101920474"</f>
        <v>CK2024101920474</v>
      </c>
      <c r="E5650" s="1" t="str">
        <f>"6935155004455654516"</f>
        <v>6935155004455654516</v>
      </c>
      <c r="F5650" s="1" t="str">
        <f t="shared" si="1822"/>
        <v>花都四部-凤凰仓</v>
      </c>
      <c r="G5650" s="1" t="str">
        <f t="shared" si="1817"/>
        <v>卡卡杜个人护理店（抖店）</v>
      </c>
      <c r="H5650" s="1" t="str">
        <f t="shared" si="1823"/>
        <v>正常订单</v>
      </c>
      <c r="I5650" s="1" t="str">
        <f t="shared" si="1824"/>
        <v>已发货</v>
      </c>
      <c r="J5650" s="1" t="str">
        <f t="shared" si="1819"/>
        <v>3</v>
      </c>
      <c r="K5650" s="1">
        <v>2</v>
      </c>
      <c r="L5650" s="1" t="s">
        <v>20</v>
      </c>
      <c r="M5650" s="1" t="str">
        <f>"浙江省 台州市 路桥区 新桥镇"</f>
        <v>浙江省 台州市 路桥区 新桥镇</v>
      </c>
      <c r="N5650" s="1" t="str">
        <f t="shared" si="1818"/>
        <v>凡华云仓-城南圆通-抖音</v>
      </c>
      <c r="O5650" s="5" t="s">
        <v>5663</v>
      </c>
      <c r="P5650" s="6">
        <v>0.35</v>
      </c>
      <c r="Q5650" s="11">
        <v>2.2999999999999998</v>
      </c>
      <c r="R5650" s="11"/>
      <c r="S5650" s="11"/>
      <c r="T5650" s="11"/>
      <c r="U5650" s="11">
        <f t="shared" si="1820"/>
        <v>2.2999999999999998</v>
      </c>
      <c r="W5650">
        <v>2.5</v>
      </c>
      <c r="X5650" s="1" t="s">
        <v>20</v>
      </c>
    </row>
    <row r="5651" spans="1:24" x14ac:dyDescent="0.25">
      <c r="A5651" s="1" t="str">
        <f t="shared" si="1821"/>
        <v>卡卡杜-凤凰仓</v>
      </c>
      <c r="B5651" s="1" t="str">
        <f>"CK2024101919873"</f>
        <v>CK2024101919873</v>
      </c>
      <c r="C5651" s="1" t="str">
        <f>"DD2024101930633"</f>
        <v>DD2024101930633</v>
      </c>
      <c r="D5651" s="1" t="str">
        <f>"CK2024101920473"</f>
        <v>CK2024101920473</v>
      </c>
      <c r="E5651" s="1" t="str">
        <f>"6935162178618398066"</f>
        <v>6935162178618398066</v>
      </c>
      <c r="F5651" s="1" t="str">
        <f t="shared" si="1822"/>
        <v>花都四部-凤凰仓</v>
      </c>
      <c r="G5651" s="1" t="str">
        <f t="shared" si="1817"/>
        <v>卡卡杜个人护理店（抖店）</v>
      </c>
      <c r="H5651" s="1" t="str">
        <f t="shared" si="1823"/>
        <v>正常订单</v>
      </c>
      <c r="I5651" s="1" t="str">
        <f t="shared" si="1824"/>
        <v>已发货</v>
      </c>
      <c r="J5651" s="1" t="str">
        <f t="shared" si="1819"/>
        <v>3</v>
      </c>
      <c r="K5651" s="1">
        <v>2</v>
      </c>
      <c r="L5651" s="1" t="s">
        <v>13</v>
      </c>
      <c r="M5651" s="1" t="str">
        <f>"江苏省 苏州市 张家港市 杨舍镇"</f>
        <v>江苏省 苏州市 张家港市 杨舍镇</v>
      </c>
      <c r="N5651" s="1" t="str">
        <f t="shared" si="1818"/>
        <v>凡华云仓-城南圆通-抖音</v>
      </c>
      <c r="O5651" s="5" t="s">
        <v>5664</v>
      </c>
      <c r="P5651" s="6">
        <v>0.35</v>
      </c>
      <c r="Q5651" s="11">
        <v>2.2999999999999998</v>
      </c>
      <c r="R5651" s="11"/>
      <c r="S5651" s="11"/>
      <c r="T5651" s="11"/>
      <c r="U5651" s="11">
        <f t="shared" si="1820"/>
        <v>2.2999999999999998</v>
      </c>
      <c r="W5651">
        <v>2.5</v>
      </c>
      <c r="X5651" s="1" t="s">
        <v>13</v>
      </c>
    </row>
    <row r="5652" spans="1:24" x14ac:dyDescent="0.25">
      <c r="A5652" s="1" t="str">
        <f t="shared" si="1821"/>
        <v>卡卡杜-凤凰仓</v>
      </c>
      <c r="B5652" s="1" t="str">
        <f>"CK2024101919875"</f>
        <v>CK2024101919875</v>
      </c>
      <c r="C5652" s="1" t="str">
        <f>"DD2024101930636"</f>
        <v>DD2024101930636</v>
      </c>
      <c r="D5652" s="1" t="str">
        <f>"CK2024101920472"</f>
        <v>CK2024101920472</v>
      </c>
      <c r="E5652" s="1" t="str">
        <f>"6935171017929266695"</f>
        <v>6935171017929266695</v>
      </c>
      <c r="F5652" s="1" t="str">
        <f t="shared" si="1822"/>
        <v>花都四部-凤凰仓</v>
      </c>
      <c r="G5652" s="1" t="str">
        <f t="shared" si="1817"/>
        <v>卡卡杜个人护理店（抖店）</v>
      </c>
      <c r="H5652" s="1" t="str">
        <f t="shared" si="1823"/>
        <v>正常订单</v>
      </c>
      <c r="I5652" s="1" t="str">
        <f t="shared" si="1824"/>
        <v>已发货</v>
      </c>
      <c r="J5652" s="1" t="str">
        <f t="shared" si="1819"/>
        <v>3</v>
      </c>
      <c r="K5652" s="1">
        <v>2</v>
      </c>
      <c r="L5652" s="1" t="s">
        <v>80</v>
      </c>
      <c r="M5652" s="1" t="str">
        <f>"河南省 信阳市 商城县 赤城街道"</f>
        <v>河南省 信阳市 商城县 赤城街道</v>
      </c>
      <c r="N5652" s="1" t="str">
        <f t="shared" si="1818"/>
        <v>凡华云仓-城南圆通-抖音</v>
      </c>
      <c r="O5652" s="5" t="s">
        <v>5665</v>
      </c>
      <c r="P5652" s="6">
        <v>0.35</v>
      </c>
      <c r="Q5652" s="11">
        <v>2.2999999999999998</v>
      </c>
      <c r="R5652" s="11"/>
      <c r="S5652" s="11"/>
      <c r="T5652" s="11"/>
      <c r="U5652" s="11">
        <f t="shared" si="1820"/>
        <v>2.2999999999999998</v>
      </c>
      <c r="W5652">
        <v>2.5</v>
      </c>
      <c r="X5652" s="1" t="s">
        <v>80</v>
      </c>
    </row>
    <row r="5653" spans="1:24" x14ac:dyDescent="0.25">
      <c r="A5653" s="1" t="str">
        <f t="shared" si="1821"/>
        <v>卡卡杜-凤凰仓</v>
      </c>
      <c r="B5653" s="1" t="str">
        <f>"CK2024101919876"</f>
        <v>CK2024101919876</v>
      </c>
      <c r="C5653" s="1" t="str">
        <f>"DD2024101930635"</f>
        <v>DD2024101930635</v>
      </c>
      <c r="D5653" s="1" t="str">
        <f>"CK2024101920471"</f>
        <v>CK2024101920471</v>
      </c>
      <c r="E5653" s="1" t="str">
        <f>"6935179416131409070"</f>
        <v>6935179416131409070</v>
      </c>
      <c r="F5653" s="1" t="str">
        <f t="shared" si="1822"/>
        <v>花都四部-凤凰仓</v>
      </c>
      <c r="G5653" s="1" t="str">
        <f t="shared" si="1817"/>
        <v>卡卡杜个人护理店（抖店）</v>
      </c>
      <c r="H5653" s="1" t="str">
        <f t="shared" si="1823"/>
        <v>正常订单</v>
      </c>
      <c r="I5653" s="1" t="str">
        <f t="shared" si="1824"/>
        <v>已发货</v>
      </c>
      <c r="J5653" s="1" t="str">
        <f t="shared" si="1819"/>
        <v>3</v>
      </c>
      <c r="K5653" s="1">
        <v>2</v>
      </c>
      <c r="L5653" s="1" t="s">
        <v>44</v>
      </c>
      <c r="M5653" s="1" t="str">
        <f>"海南省 万宁市 万宁市 和乐镇"</f>
        <v>海南省 万宁市 万宁市 和乐镇</v>
      </c>
      <c r="N5653" s="1" t="str">
        <f t="shared" si="1818"/>
        <v>凡华云仓-城南圆通-抖音</v>
      </c>
      <c r="O5653" s="5" t="s">
        <v>5666</v>
      </c>
      <c r="P5653" s="6">
        <v>0.35</v>
      </c>
      <c r="Q5653" s="11">
        <v>2.2999999999999998</v>
      </c>
      <c r="R5653" s="11"/>
      <c r="S5653" s="11"/>
      <c r="T5653" s="11"/>
      <c r="U5653" s="11">
        <f t="shared" si="1820"/>
        <v>2.2999999999999998</v>
      </c>
      <c r="W5653">
        <v>2.5</v>
      </c>
      <c r="X5653" s="1" t="s">
        <v>44</v>
      </c>
    </row>
    <row r="5654" spans="1:24" x14ac:dyDescent="0.25">
      <c r="A5654" s="1" t="str">
        <f t="shared" si="1821"/>
        <v>卡卡杜-凤凰仓</v>
      </c>
      <c r="B5654" s="1" t="str">
        <f>"CK2024101819918"</f>
        <v>CK2024101819918</v>
      </c>
      <c r="C5654" s="1" t="str">
        <f>"DD2024101845292"</f>
        <v>DD2024101845292</v>
      </c>
      <c r="D5654" s="1" t="str">
        <f>"CK2024101840577"</f>
        <v>CK2024101840577</v>
      </c>
      <c r="E5654" s="1" t="str">
        <f>"6935165997303534593"</f>
        <v>6935165997303534593</v>
      </c>
      <c r="F5654" s="1" t="str">
        <f t="shared" si="1822"/>
        <v>花都四部-凤凰仓</v>
      </c>
      <c r="G5654" s="1" t="str">
        <f t="shared" si="1817"/>
        <v>卡卡杜个人护理店（抖店）</v>
      </c>
      <c r="H5654" s="1" t="str">
        <f t="shared" si="1823"/>
        <v>正常订单</v>
      </c>
      <c r="I5654" s="1" t="str">
        <f t="shared" si="1824"/>
        <v>已发货</v>
      </c>
      <c r="J5654" s="1" t="str">
        <f t="shared" ref="J5654:J5656" si="1825">"5"</f>
        <v>5</v>
      </c>
      <c r="K5654" s="1">
        <v>2</v>
      </c>
      <c r="L5654" s="1" t="s">
        <v>20</v>
      </c>
      <c r="M5654" s="1" t="str">
        <f>"浙江省 嘉兴市 平湖市 林埭镇"</f>
        <v>浙江省 嘉兴市 平湖市 林埭镇</v>
      </c>
      <c r="N5654" s="1" t="str">
        <f t="shared" ref="N5654:N5696" si="1826">"凡华云仓-韵达-抖音"</f>
        <v>凡华云仓-韵达-抖音</v>
      </c>
      <c r="O5654" s="5">
        <v>320178286211110</v>
      </c>
      <c r="P5654" s="6">
        <v>0.59</v>
      </c>
      <c r="Q5654" s="11">
        <f>CEILING(P5654-0.5,0.1)*10*0.15+2.3</f>
        <v>2.4499999999999997</v>
      </c>
      <c r="R5654" s="11"/>
      <c r="S5654" s="11"/>
      <c r="T5654" s="11"/>
      <c r="U5654" s="11">
        <f t="shared" si="1820"/>
        <v>2.4499999999999997</v>
      </c>
      <c r="V5654" t="s">
        <v>15</v>
      </c>
      <c r="W5654">
        <v>2.4500000000000002</v>
      </c>
      <c r="X5654" s="1" t="s">
        <v>20</v>
      </c>
    </row>
    <row r="5655" spans="1:24" x14ac:dyDescent="0.25">
      <c r="A5655" s="1" t="str">
        <f t="shared" si="1821"/>
        <v>卡卡杜-凤凰仓</v>
      </c>
      <c r="B5655" s="1" t="str">
        <f>"CK2024101819917"</f>
        <v>CK2024101819917</v>
      </c>
      <c r="C5655" s="1" t="str">
        <f>"DD2024101845293"</f>
        <v>DD2024101845293</v>
      </c>
      <c r="D5655" s="1" t="str">
        <f>"CK2024101840576"</f>
        <v>CK2024101840576</v>
      </c>
      <c r="E5655" s="1" t="str">
        <f>"6935177615216678133"</f>
        <v>6935177615216678133</v>
      </c>
      <c r="F5655" s="1" t="str">
        <f t="shared" si="1822"/>
        <v>花都四部-凤凰仓</v>
      </c>
      <c r="G5655" s="1" t="str">
        <f t="shared" si="1817"/>
        <v>卡卡杜个人护理店（抖店）</v>
      </c>
      <c r="H5655" s="1" t="str">
        <f t="shared" si="1823"/>
        <v>正常订单</v>
      </c>
      <c r="I5655" s="1" t="str">
        <f t="shared" si="1824"/>
        <v>已发货</v>
      </c>
      <c r="J5655" s="1" t="str">
        <f t="shared" si="1825"/>
        <v>5</v>
      </c>
      <c r="K5655" s="1">
        <v>2</v>
      </c>
      <c r="L5655" s="1" t="s">
        <v>18</v>
      </c>
      <c r="M5655" s="1" t="str">
        <f>"广东省 佛山市 南海区 狮山镇"</f>
        <v>广东省 佛山市 南海区 狮山镇</v>
      </c>
      <c r="N5655" s="1" t="str">
        <f t="shared" si="1826"/>
        <v>凡华云仓-韵达-抖音</v>
      </c>
      <c r="O5655" s="5">
        <v>320178286211021</v>
      </c>
      <c r="P5655" s="6">
        <v>0.59</v>
      </c>
      <c r="Q5655" s="11">
        <f>CEILING(P5655-0.5,0.1)*10*0.15+2.3</f>
        <v>2.4499999999999997</v>
      </c>
      <c r="R5655" s="11"/>
      <c r="S5655" s="11"/>
      <c r="T5655" s="11"/>
      <c r="U5655" s="11">
        <f t="shared" si="1820"/>
        <v>2.4499999999999997</v>
      </c>
      <c r="V5655" t="s">
        <v>15</v>
      </c>
      <c r="W5655">
        <v>2.4500000000000002</v>
      </c>
      <c r="X5655" s="1" t="s">
        <v>18</v>
      </c>
    </row>
    <row r="5656" spans="1:24" x14ac:dyDescent="0.25">
      <c r="A5656" s="1" t="str">
        <f t="shared" si="1821"/>
        <v>卡卡杜-凤凰仓</v>
      </c>
      <c r="B5656" s="1" t="str">
        <f>"CK2024101819883"</f>
        <v>CK2024101819883</v>
      </c>
      <c r="C5656" s="1" t="str">
        <f>"DD2024101845258"</f>
        <v>DD2024101845258</v>
      </c>
      <c r="D5656" s="1" t="str">
        <f>"CK2024101840530"</f>
        <v>CK2024101840530</v>
      </c>
      <c r="E5656" s="1" t="str">
        <f>"2429202404352600"</f>
        <v>2429202404352600</v>
      </c>
      <c r="F5656" s="1" t="str">
        <f t="shared" si="1822"/>
        <v>花都四部-凤凰仓</v>
      </c>
      <c r="G5656" s="1" t="str">
        <f>"卡卡杜佳旺专卖店（快手店）"</f>
        <v>卡卡杜佳旺专卖店（快手店）</v>
      </c>
      <c r="H5656" s="1" t="str">
        <f t="shared" si="1823"/>
        <v>正常订单</v>
      </c>
      <c r="I5656" s="1" t="str">
        <f t="shared" si="1824"/>
        <v>已发货</v>
      </c>
      <c r="J5656" s="1" t="str">
        <f t="shared" si="1825"/>
        <v>5</v>
      </c>
      <c r="K5656" s="1">
        <v>3</v>
      </c>
      <c r="L5656" s="1" t="s">
        <v>30</v>
      </c>
      <c r="M5656" s="1" t="str">
        <f>"山东省 烟台市 招远市 泉山街道"</f>
        <v>山东省 烟台市 招远市 泉山街道</v>
      </c>
      <c r="N5656" s="1" t="str">
        <f>"凡华云仓-韵达-快手"</f>
        <v>凡华云仓-韵达-快手</v>
      </c>
      <c r="O5656" s="5">
        <v>319208342402496</v>
      </c>
      <c r="P5656" s="6">
        <v>0.47</v>
      </c>
      <c r="Q5656" s="11">
        <v>2.2999999999999998</v>
      </c>
      <c r="R5656" s="11"/>
      <c r="S5656" s="11"/>
      <c r="T5656" s="11"/>
      <c r="U5656" s="11">
        <f t="shared" si="1820"/>
        <v>2.2999999999999998</v>
      </c>
      <c r="W5656">
        <v>2.5</v>
      </c>
      <c r="X5656" s="1" t="s">
        <v>30</v>
      </c>
    </row>
    <row r="5657" spans="1:24" x14ac:dyDescent="0.25">
      <c r="A5657" s="1" t="str">
        <f t="shared" si="1821"/>
        <v>卡卡杜-凤凰仓</v>
      </c>
      <c r="B5657" s="1" t="str">
        <f>"CK2024101819900"</f>
        <v>CK2024101819900</v>
      </c>
      <c r="C5657" s="1" t="str">
        <f>"DD2024101845272"</f>
        <v>DD2024101845272</v>
      </c>
      <c r="D5657" s="1" t="str">
        <f>"CK2024101840529"</f>
        <v>CK2024101840529</v>
      </c>
      <c r="E5657" s="1" t="str">
        <f>"6935163805068563726"</f>
        <v>6935163805068563726</v>
      </c>
      <c r="F5657" s="1" t="str">
        <f t="shared" si="1822"/>
        <v>花都四部-凤凰仓</v>
      </c>
      <c r="G5657" s="1" t="str">
        <f t="shared" ref="G5657:G5696" si="1827">"卡卡杜个人护理店（抖店）"</f>
        <v>卡卡杜个人护理店（抖店）</v>
      </c>
      <c r="H5657" s="1" t="str">
        <f t="shared" si="1823"/>
        <v>正常订单</v>
      </c>
      <c r="I5657" s="1" t="str">
        <f t="shared" si="1824"/>
        <v>已发货</v>
      </c>
      <c r="J5657" s="1" t="str">
        <f t="shared" ref="J5657:J5683" si="1828">"3"</f>
        <v>3</v>
      </c>
      <c r="K5657" s="1">
        <v>2</v>
      </c>
      <c r="L5657" s="1" t="s">
        <v>36</v>
      </c>
      <c r="M5657" s="1" t="str">
        <f>"安徽省 马鞍山市 和县 石杨镇"</f>
        <v>安徽省 马鞍山市 和县 石杨镇</v>
      </c>
      <c r="N5657" s="1" t="str">
        <f t="shared" si="1826"/>
        <v>凡华云仓-韵达-抖音</v>
      </c>
      <c r="O5657" s="5">
        <v>320178275388634</v>
      </c>
      <c r="P5657" s="6">
        <v>0.35</v>
      </c>
      <c r="Q5657" s="11">
        <v>2.2999999999999998</v>
      </c>
      <c r="R5657" s="11"/>
      <c r="S5657" s="11"/>
      <c r="T5657" s="11"/>
      <c r="U5657" s="11">
        <f t="shared" si="1820"/>
        <v>2.2999999999999998</v>
      </c>
      <c r="W5657">
        <v>2.5</v>
      </c>
      <c r="X5657" s="1" t="s">
        <v>36</v>
      </c>
    </row>
    <row r="5658" spans="1:24" x14ac:dyDescent="0.25">
      <c r="A5658" s="1" t="str">
        <f t="shared" si="1821"/>
        <v>卡卡杜-凤凰仓</v>
      </c>
      <c r="B5658" s="1" t="str">
        <f>"CK2024101819915"</f>
        <v>CK2024101819915</v>
      </c>
      <c r="C5658" s="1" t="str">
        <f>"DD2024101845289"</f>
        <v>DD2024101845289</v>
      </c>
      <c r="D5658" s="1" t="str">
        <f>"CK2024101840528"</f>
        <v>CK2024101840528</v>
      </c>
      <c r="E5658" s="1" t="str">
        <f>"6935159457830737473"</f>
        <v>6935159457830737473</v>
      </c>
      <c r="F5658" s="1" t="str">
        <f t="shared" si="1822"/>
        <v>花都四部-凤凰仓</v>
      </c>
      <c r="G5658" s="1" t="str">
        <f t="shared" si="1827"/>
        <v>卡卡杜个人护理店（抖店）</v>
      </c>
      <c r="H5658" s="1" t="str">
        <f t="shared" si="1823"/>
        <v>正常订单</v>
      </c>
      <c r="I5658" s="1" t="str">
        <f t="shared" si="1824"/>
        <v>已发货</v>
      </c>
      <c r="J5658" s="1" t="str">
        <f t="shared" si="1828"/>
        <v>3</v>
      </c>
      <c r="K5658" s="1">
        <v>2</v>
      </c>
      <c r="L5658" s="1" t="s">
        <v>20</v>
      </c>
      <c r="M5658" s="1" t="str">
        <f>"浙江省 台州市 黄岩区 南城街道"</f>
        <v>浙江省 台州市 黄岩区 南城街道</v>
      </c>
      <c r="N5658" s="1" t="str">
        <f t="shared" si="1826"/>
        <v>凡华云仓-韵达-抖音</v>
      </c>
      <c r="O5658" s="5">
        <v>320178275388535</v>
      </c>
      <c r="P5658" s="6">
        <v>0.35</v>
      </c>
      <c r="Q5658" s="11">
        <v>2.2999999999999998</v>
      </c>
      <c r="R5658" s="11"/>
      <c r="S5658" s="11"/>
      <c r="T5658" s="11"/>
      <c r="U5658" s="11">
        <f t="shared" si="1820"/>
        <v>2.2999999999999998</v>
      </c>
      <c r="W5658">
        <v>2.5</v>
      </c>
      <c r="X5658" s="1" t="s">
        <v>20</v>
      </c>
    </row>
    <row r="5659" spans="1:24" x14ac:dyDescent="0.25">
      <c r="A5659" s="1" t="str">
        <f t="shared" si="1821"/>
        <v>卡卡杜-凤凰仓</v>
      </c>
      <c r="B5659" s="1" t="str">
        <f>"CK2024101819902"</f>
        <v>CK2024101819902</v>
      </c>
      <c r="C5659" s="1" t="str">
        <f>"DD2024101845276"</f>
        <v>DD2024101845276</v>
      </c>
      <c r="D5659" s="1" t="str">
        <f>"CK2024101840527"</f>
        <v>CK2024101840527</v>
      </c>
      <c r="E5659" s="1" t="str">
        <f>"6935159450672501867"</f>
        <v>6935159450672501867</v>
      </c>
      <c r="F5659" s="1" t="str">
        <f t="shared" si="1822"/>
        <v>花都四部-凤凰仓</v>
      </c>
      <c r="G5659" s="1" t="str">
        <f t="shared" si="1827"/>
        <v>卡卡杜个人护理店（抖店）</v>
      </c>
      <c r="H5659" s="1" t="str">
        <f t="shared" si="1823"/>
        <v>正常订单</v>
      </c>
      <c r="I5659" s="1" t="str">
        <f t="shared" si="1824"/>
        <v>已发货</v>
      </c>
      <c r="J5659" s="1" t="str">
        <f t="shared" si="1828"/>
        <v>3</v>
      </c>
      <c r="K5659" s="1">
        <v>2</v>
      </c>
      <c r="L5659" s="1" t="s">
        <v>18</v>
      </c>
      <c r="M5659" s="1" t="str">
        <f>"广东省 惠州市 惠城区 陈江街道"</f>
        <v>广东省 惠州市 惠城区 陈江街道</v>
      </c>
      <c r="N5659" s="1" t="str">
        <f t="shared" si="1826"/>
        <v>凡华云仓-韵达-抖音</v>
      </c>
      <c r="O5659" s="5">
        <v>320178275388438</v>
      </c>
      <c r="P5659" s="6">
        <v>0.35</v>
      </c>
      <c r="Q5659" s="11">
        <v>2.2999999999999998</v>
      </c>
      <c r="R5659" s="11"/>
      <c r="S5659" s="11"/>
      <c r="T5659" s="11"/>
      <c r="U5659" s="11">
        <f t="shared" si="1820"/>
        <v>2.2999999999999998</v>
      </c>
      <c r="W5659">
        <v>2.5</v>
      </c>
      <c r="X5659" s="1" t="s">
        <v>18</v>
      </c>
    </row>
    <row r="5660" spans="1:24" x14ac:dyDescent="0.25">
      <c r="A5660" s="1" t="str">
        <f t="shared" si="1821"/>
        <v>卡卡杜-凤凰仓</v>
      </c>
      <c r="B5660" s="1" t="str">
        <f>"CK2024101819903"</f>
        <v>CK2024101819903</v>
      </c>
      <c r="C5660" s="1" t="str">
        <f>"DD2024101845277"</f>
        <v>DD2024101845277</v>
      </c>
      <c r="D5660" s="1" t="str">
        <f>"CK2024101840526"</f>
        <v>CK2024101840526</v>
      </c>
      <c r="E5660" s="1" t="str">
        <f>"6935159283430004007"</f>
        <v>6935159283430004007</v>
      </c>
      <c r="F5660" s="1" t="str">
        <f t="shared" si="1822"/>
        <v>花都四部-凤凰仓</v>
      </c>
      <c r="G5660" s="1" t="str">
        <f t="shared" si="1827"/>
        <v>卡卡杜个人护理店（抖店）</v>
      </c>
      <c r="H5660" s="1" t="str">
        <f t="shared" si="1823"/>
        <v>正常订单</v>
      </c>
      <c r="I5660" s="1" t="str">
        <f t="shared" si="1824"/>
        <v>已发货</v>
      </c>
      <c r="J5660" s="1" t="str">
        <f t="shared" si="1828"/>
        <v>3</v>
      </c>
      <c r="K5660" s="1">
        <v>2</v>
      </c>
      <c r="L5660" s="1" t="s">
        <v>218</v>
      </c>
      <c r="M5660" s="1" t="str">
        <f>"天津 天津市 津南区 咸水沽镇"</f>
        <v>天津 天津市 津南区 咸水沽镇</v>
      </c>
      <c r="N5660" s="1" t="str">
        <f t="shared" si="1826"/>
        <v>凡华云仓-韵达-抖音</v>
      </c>
      <c r="O5660" s="5">
        <v>320178275388343</v>
      </c>
      <c r="P5660" s="6">
        <v>0.35</v>
      </c>
      <c r="Q5660" s="11">
        <v>2.2999999999999998</v>
      </c>
      <c r="R5660" s="11"/>
      <c r="S5660" s="11"/>
      <c r="T5660" s="11"/>
      <c r="U5660" s="11">
        <f t="shared" si="1820"/>
        <v>2.2999999999999998</v>
      </c>
      <c r="W5660">
        <v>2.5</v>
      </c>
      <c r="X5660" s="1" t="s">
        <v>218</v>
      </c>
    </row>
    <row r="5661" spans="1:24" x14ac:dyDescent="0.25">
      <c r="A5661" s="1" t="str">
        <f t="shared" si="1821"/>
        <v>卡卡杜-凤凰仓</v>
      </c>
      <c r="B5661" s="1" t="str">
        <f>"CK2024101819904"</f>
        <v>CK2024101819904</v>
      </c>
      <c r="C5661" s="1" t="str">
        <f>"DD2024101845278"</f>
        <v>DD2024101845278</v>
      </c>
      <c r="D5661" s="1" t="str">
        <f>"CK2024101840525"</f>
        <v>CK2024101840525</v>
      </c>
      <c r="E5661" s="1" t="str">
        <f>"6935162056097535286"</f>
        <v>6935162056097535286</v>
      </c>
      <c r="F5661" s="1" t="str">
        <f t="shared" si="1822"/>
        <v>花都四部-凤凰仓</v>
      </c>
      <c r="G5661" s="1" t="str">
        <f t="shared" si="1827"/>
        <v>卡卡杜个人护理店（抖店）</v>
      </c>
      <c r="H5661" s="1" t="str">
        <f t="shared" si="1823"/>
        <v>正常订单</v>
      </c>
      <c r="I5661" s="1" t="str">
        <f t="shared" si="1824"/>
        <v>已发货</v>
      </c>
      <c r="J5661" s="1" t="str">
        <f t="shared" si="1828"/>
        <v>3</v>
      </c>
      <c r="K5661" s="1">
        <v>2</v>
      </c>
      <c r="L5661" s="1" t="s">
        <v>80</v>
      </c>
      <c r="M5661" s="1" t="str">
        <f>"河南省 洛阳市 偃师区 高龙镇"</f>
        <v>河南省 洛阳市 偃师区 高龙镇</v>
      </c>
      <c r="N5661" s="1" t="str">
        <f t="shared" si="1826"/>
        <v>凡华云仓-韵达-抖音</v>
      </c>
      <c r="O5661" s="5">
        <v>320178275388250</v>
      </c>
      <c r="P5661" s="6">
        <v>0.35</v>
      </c>
      <c r="Q5661" s="11">
        <v>2.2999999999999998</v>
      </c>
      <c r="R5661" s="11"/>
      <c r="S5661" s="11"/>
      <c r="T5661" s="11"/>
      <c r="U5661" s="11">
        <f t="shared" si="1820"/>
        <v>2.2999999999999998</v>
      </c>
      <c r="W5661">
        <v>2.5</v>
      </c>
      <c r="X5661" s="1" t="s">
        <v>80</v>
      </c>
    </row>
    <row r="5662" spans="1:24" x14ac:dyDescent="0.25">
      <c r="A5662" s="1" t="str">
        <f t="shared" si="1821"/>
        <v>卡卡杜-凤凰仓</v>
      </c>
      <c r="B5662" s="1" t="str">
        <f>"CK2024101819905"</f>
        <v>CK2024101819905</v>
      </c>
      <c r="C5662" s="1" t="str">
        <f>"DD2024101845279"</f>
        <v>DD2024101845279</v>
      </c>
      <c r="D5662" s="1" t="str">
        <f>"CK2024101840524"</f>
        <v>CK2024101840524</v>
      </c>
      <c r="E5662" s="1" t="str">
        <f>"6935162058690008943"</f>
        <v>6935162058690008943</v>
      </c>
      <c r="F5662" s="1" t="str">
        <f t="shared" si="1822"/>
        <v>花都四部-凤凰仓</v>
      </c>
      <c r="G5662" s="1" t="str">
        <f t="shared" si="1827"/>
        <v>卡卡杜个人护理店（抖店）</v>
      </c>
      <c r="H5662" s="1" t="str">
        <f t="shared" si="1823"/>
        <v>正常订单</v>
      </c>
      <c r="I5662" s="1" t="str">
        <f t="shared" si="1824"/>
        <v>已发货</v>
      </c>
      <c r="J5662" s="1" t="str">
        <f t="shared" si="1828"/>
        <v>3</v>
      </c>
      <c r="K5662" s="1">
        <v>2</v>
      </c>
      <c r="L5662" s="1" t="s">
        <v>44</v>
      </c>
      <c r="M5662" s="1" t="str">
        <f>"海南省 三亚市 天涯区 天涯区直辖村级区划"</f>
        <v>海南省 三亚市 天涯区 天涯区直辖村级区划</v>
      </c>
      <c r="N5662" s="1" t="str">
        <f t="shared" si="1826"/>
        <v>凡华云仓-韵达-抖音</v>
      </c>
      <c r="O5662" s="5">
        <v>320178275388159</v>
      </c>
      <c r="P5662" s="6">
        <v>0.35</v>
      </c>
      <c r="Q5662" s="11">
        <v>2.2999999999999998</v>
      </c>
      <c r="R5662" s="11"/>
      <c r="S5662" s="11"/>
      <c r="T5662" s="11"/>
      <c r="U5662" s="11">
        <f t="shared" si="1820"/>
        <v>2.2999999999999998</v>
      </c>
      <c r="W5662">
        <v>2.5</v>
      </c>
      <c r="X5662" s="1" t="s">
        <v>44</v>
      </c>
    </row>
    <row r="5663" spans="1:24" x14ac:dyDescent="0.25">
      <c r="A5663" s="1" t="str">
        <f t="shared" si="1821"/>
        <v>卡卡杜-凤凰仓</v>
      </c>
      <c r="B5663" s="1" t="str">
        <f>"CK2024101819906"</f>
        <v>CK2024101819906</v>
      </c>
      <c r="C5663" s="1" t="str">
        <f>"DD2024101845280"</f>
        <v>DD2024101845280</v>
      </c>
      <c r="D5663" s="1" t="str">
        <f>"CK2024101840523"</f>
        <v>CK2024101840523</v>
      </c>
      <c r="E5663" s="1" t="str">
        <f>"6935163920180254576"</f>
        <v>6935163920180254576</v>
      </c>
      <c r="F5663" s="1" t="str">
        <f t="shared" si="1822"/>
        <v>花都四部-凤凰仓</v>
      </c>
      <c r="G5663" s="1" t="str">
        <f t="shared" si="1827"/>
        <v>卡卡杜个人护理店（抖店）</v>
      </c>
      <c r="H5663" s="1" t="str">
        <f t="shared" si="1823"/>
        <v>正常订单</v>
      </c>
      <c r="I5663" s="1" t="str">
        <f t="shared" si="1824"/>
        <v>已发货</v>
      </c>
      <c r="J5663" s="1" t="str">
        <f t="shared" si="1828"/>
        <v>3</v>
      </c>
      <c r="K5663" s="1">
        <v>2</v>
      </c>
      <c r="L5663" s="1" t="s">
        <v>20</v>
      </c>
      <c r="M5663" s="1" t="str">
        <f>"浙江省 丽水市 遂昌县 云峰街道"</f>
        <v>浙江省 丽水市 遂昌县 云峰街道</v>
      </c>
      <c r="N5663" s="1" t="str">
        <f t="shared" si="1826"/>
        <v>凡华云仓-韵达-抖音</v>
      </c>
      <c r="O5663" s="5">
        <v>320178275388070</v>
      </c>
      <c r="P5663" s="6">
        <v>0.35</v>
      </c>
      <c r="Q5663" s="11">
        <v>2.2999999999999998</v>
      </c>
      <c r="R5663" s="11"/>
      <c r="S5663" s="11"/>
      <c r="T5663" s="11"/>
      <c r="U5663" s="11">
        <f t="shared" si="1820"/>
        <v>2.2999999999999998</v>
      </c>
      <c r="W5663">
        <v>2.5</v>
      </c>
      <c r="X5663" s="1" t="s">
        <v>20</v>
      </c>
    </row>
    <row r="5664" spans="1:24" x14ac:dyDescent="0.25">
      <c r="A5664" s="1" t="str">
        <f t="shared" si="1821"/>
        <v>卡卡杜-凤凰仓</v>
      </c>
      <c r="B5664" s="1" t="str">
        <f>"CK2024101819899"</f>
        <v>CK2024101819899</v>
      </c>
      <c r="C5664" s="1" t="str">
        <f>"DD2024101845274"</f>
        <v>DD2024101845274</v>
      </c>
      <c r="D5664" s="1" t="str">
        <f>"CK2024101840522"</f>
        <v>CK2024101840522</v>
      </c>
      <c r="E5664" s="1" t="str">
        <f>"6935181646631409125"</f>
        <v>6935181646631409125</v>
      </c>
      <c r="F5664" s="1" t="str">
        <f t="shared" si="1822"/>
        <v>花都四部-凤凰仓</v>
      </c>
      <c r="G5664" s="1" t="str">
        <f t="shared" si="1827"/>
        <v>卡卡杜个人护理店（抖店）</v>
      </c>
      <c r="H5664" s="1" t="str">
        <f t="shared" si="1823"/>
        <v>正常订单</v>
      </c>
      <c r="I5664" s="1" t="str">
        <f t="shared" si="1824"/>
        <v>已发货</v>
      </c>
      <c r="J5664" s="1" t="str">
        <f t="shared" si="1828"/>
        <v>3</v>
      </c>
      <c r="K5664" s="1">
        <v>2</v>
      </c>
      <c r="L5664" s="1" t="s">
        <v>41</v>
      </c>
      <c r="M5664" s="1" t="str">
        <f>"湖北省 恩施土家族苗族自治州 利川市 东城街道"</f>
        <v>湖北省 恩施土家族苗族自治州 利川市 东城街道</v>
      </c>
      <c r="N5664" s="1" t="str">
        <f t="shared" si="1826"/>
        <v>凡华云仓-韵达-抖音</v>
      </c>
      <c r="O5664" s="5">
        <v>320178275387940</v>
      </c>
      <c r="P5664" s="6">
        <v>0.35</v>
      </c>
      <c r="Q5664" s="11">
        <v>2.2999999999999998</v>
      </c>
      <c r="R5664" s="11"/>
      <c r="S5664" s="11"/>
      <c r="T5664" s="11"/>
      <c r="U5664" s="11">
        <f t="shared" si="1820"/>
        <v>2.2999999999999998</v>
      </c>
      <c r="W5664">
        <v>2.5</v>
      </c>
      <c r="X5664" s="1" t="s">
        <v>41</v>
      </c>
    </row>
    <row r="5665" spans="1:24" x14ac:dyDescent="0.25">
      <c r="A5665" s="1" t="str">
        <f t="shared" si="1821"/>
        <v>卡卡杜-凤凰仓</v>
      </c>
      <c r="B5665" s="1" t="str">
        <f>"CK2024101819907"</f>
        <v>CK2024101819907</v>
      </c>
      <c r="C5665" s="1" t="str">
        <f>"DD2024101845282"</f>
        <v>DD2024101845282</v>
      </c>
      <c r="D5665" s="1" t="str">
        <f>"CK2024101840521"</f>
        <v>CK2024101840521</v>
      </c>
      <c r="E5665" s="1" t="str">
        <f>"6935166030383093456"</f>
        <v>6935166030383093456</v>
      </c>
      <c r="F5665" s="1" t="str">
        <f t="shared" si="1822"/>
        <v>花都四部-凤凰仓</v>
      </c>
      <c r="G5665" s="1" t="str">
        <f t="shared" si="1827"/>
        <v>卡卡杜个人护理店（抖店）</v>
      </c>
      <c r="H5665" s="1" t="str">
        <f t="shared" si="1823"/>
        <v>正常订单</v>
      </c>
      <c r="I5665" s="1" t="str">
        <f t="shared" si="1824"/>
        <v>已发货</v>
      </c>
      <c r="J5665" s="1" t="str">
        <f t="shared" si="1828"/>
        <v>3</v>
      </c>
      <c r="K5665" s="1">
        <v>2</v>
      </c>
      <c r="L5665" s="1" t="s">
        <v>24</v>
      </c>
      <c r="M5665" s="1" t="str">
        <f>"福建省 漳州市 长泰区 武安镇"</f>
        <v>福建省 漳州市 长泰区 武安镇</v>
      </c>
      <c r="N5665" s="1" t="str">
        <f t="shared" si="1826"/>
        <v>凡华云仓-韵达-抖音</v>
      </c>
      <c r="O5665" s="5">
        <v>320178275387835</v>
      </c>
      <c r="P5665" s="6">
        <v>0.35</v>
      </c>
      <c r="Q5665" s="11">
        <v>2.2999999999999998</v>
      </c>
      <c r="R5665" s="11"/>
      <c r="S5665" s="11"/>
      <c r="T5665" s="11"/>
      <c r="U5665" s="11">
        <f t="shared" si="1820"/>
        <v>2.2999999999999998</v>
      </c>
      <c r="W5665">
        <v>2.5</v>
      </c>
      <c r="X5665" s="1" t="s">
        <v>24</v>
      </c>
    </row>
    <row r="5666" spans="1:24" x14ac:dyDescent="0.25">
      <c r="A5666" s="1" t="str">
        <f t="shared" si="1821"/>
        <v>卡卡杜-凤凰仓</v>
      </c>
      <c r="B5666" s="1" t="str">
        <f>"CK2024101819908"</f>
        <v>CK2024101819908</v>
      </c>
      <c r="C5666" s="1" t="str">
        <f>"DD2024101845281"</f>
        <v>DD2024101845281</v>
      </c>
      <c r="D5666" s="1" t="str">
        <f>"CK2024101840520"</f>
        <v>CK2024101840520</v>
      </c>
      <c r="E5666" s="1" t="str">
        <f>"6935168654948963908"</f>
        <v>6935168654948963908</v>
      </c>
      <c r="F5666" s="1" t="str">
        <f t="shared" si="1822"/>
        <v>花都四部-凤凰仓</v>
      </c>
      <c r="G5666" s="1" t="str">
        <f t="shared" si="1827"/>
        <v>卡卡杜个人护理店（抖店）</v>
      </c>
      <c r="H5666" s="1" t="str">
        <f t="shared" si="1823"/>
        <v>正常订单</v>
      </c>
      <c r="I5666" s="1" t="str">
        <f t="shared" si="1824"/>
        <v>已发货</v>
      </c>
      <c r="J5666" s="1" t="str">
        <f t="shared" si="1828"/>
        <v>3</v>
      </c>
      <c r="K5666" s="1">
        <v>2</v>
      </c>
      <c r="L5666" s="1" t="s">
        <v>13</v>
      </c>
      <c r="M5666" s="1" t="str">
        <f>"江苏省 连云港市 海州区 海州经济开发区"</f>
        <v>江苏省 连云港市 海州区 海州经济开发区</v>
      </c>
      <c r="N5666" s="1" t="str">
        <f t="shared" si="1826"/>
        <v>凡华云仓-韵达-抖音</v>
      </c>
      <c r="O5666" s="5">
        <v>320178283215195</v>
      </c>
      <c r="P5666" s="6">
        <v>0.35</v>
      </c>
      <c r="Q5666" s="11">
        <v>2.2999999999999998</v>
      </c>
      <c r="R5666" s="11"/>
      <c r="S5666" s="11"/>
      <c r="T5666" s="11"/>
      <c r="U5666" s="11">
        <f t="shared" si="1820"/>
        <v>2.2999999999999998</v>
      </c>
      <c r="W5666">
        <v>2.5</v>
      </c>
      <c r="X5666" s="1" t="s">
        <v>13</v>
      </c>
    </row>
    <row r="5667" spans="1:24" x14ac:dyDescent="0.25">
      <c r="A5667" s="1" t="str">
        <f t="shared" si="1821"/>
        <v>卡卡杜-凤凰仓</v>
      </c>
      <c r="B5667" s="1" t="str">
        <f>"CK2024101819910"</f>
        <v>CK2024101819910</v>
      </c>
      <c r="C5667" s="1" t="str">
        <f>"DD2024101845284"</f>
        <v>DD2024101845284</v>
      </c>
      <c r="D5667" s="1" t="str">
        <f>"CK2024101840519"</f>
        <v>CK2024101840519</v>
      </c>
      <c r="E5667" s="1" t="str">
        <f>"6935166170059118237"</f>
        <v>6935166170059118237</v>
      </c>
      <c r="F5667" s="1" t="str">
        <f t="shared" si="1822"/>
        <v>花都四部-凤凰仓</v>
      </c>
      <c r="G5667" s="1" t="str">
        <f t="shared" si="1827"/>
        <v>卡卡杜个人护理店（抖店）</v>
      </c>
      <c r="H5667" s="1" t="str">
        <f t="shared" si="1823"/>
        <v>正常订单</v>
      </c>
      <c r="I5667" s="1" t="str">
        <f t="shared" si="1824"/>
        <v>已发货</v>
      </c>
      <c r="J5667" s="1" t="str">
        <f t="shared" si="1828"/>
        <v>3</v>
      </c>
      <c r="K5667" s="1">
        <v>2</v>
      </c>
      <c r="L5667" s="1" t="s">
        <v>66</v>
      </c>
      <c r="M5667" s="1" t="str">
        <f>"内蒙古自治区 乌兰察布市 察哈尔右翼中旗 科布尔镇"</f>
        <v>内蒙古自治区 乌兰察布市 察哈尔右翼中旗 科布尔镇</v>
      </c>
      <c r="N5667" s="1" t="str">
        <f t="shared" si="1826"/>
        <v>凡华云仓-韵达-抖音</v>
      </c>
      <c r="O5667" s="5">
        <v>320178283215006</v>
      </c>
      <c r="P5667" s="6">
        <v>0.35</v>
      </c>
      <c r="Q5667" s="11">
        <v>2.2999999999999998</v>
      </c>
      <c r="R5667" s="11"/>
      <c r="S5667" s="11"/>
      <c r="T5667" s="11"/>
      <c r="U5667" s="11">
        <f t="shared" si="1820"/>
        <v>2.2999999999999998</v>
      </c>
      <c r="W5667">
        <v>2.5</v>
      </c>
      <c r="X5667" s="1" t="s">
        <v>66</v>
      </c>
    </row>
    <row r="5668" spans="1:24" x14ac:dyDescent="0.25">
      <c r="A5668" s="1" t="str">
        <f t="shared" si="1821"/>
        <v>卡卡杜-凤凰仓</v>
      </c>
      <c r="B5668" s="1" t="str">
        <f>"CK2024101819911"</f>
        <v>CK2024101819911</v>
      </c>
      <c r="C5668" s="1" t="str">
        <f>"DD2024101845285"</f>
        <v>DD2024101845285</v>
      </c>
      <c r="D5668" s="1" t="str">
        <f>"CK2024101840518"</f>
        <v>CK2024101840518</v>
      </c>
      <c r="E5668" s="1" t="str">
        <f>"6935168627102061793"</f>
        <v>6935168627102061793</v>
      </c>
      <c r="F5668" s="1" t="str">
        <f t="shared" si="1822"/>
        <v>花都四部-凤凰仓</v>
      </c>
      <c r="G5668" s="1" t="str">
        <f t="shared" si="1827"/>
        <v>卡卡杜个人护理店（抖店）</v>
      </c>
      <c r="H5668" s="1" t="str">
        <f t="shared" si="1823"/>
        <v>正常订单</v>
      </c>
      <c r="I5668" s="1" t="str">
        <f t="shared" si="1824"/>
        <v>已发货</v>
      </c>
      <c r="J5668" s="1" t="str">
        <f t="shared" si="1828"/>
        <v>3</v>
      </c>
      <c r="K5668" s="1">
        <v>2</v>
      </c>
      <c r="L5668" s="1" t="s">
        <v>18</v>
      </c>
      <c r="M5668" s="1" t="str">
        <f>"广东省 惠州市 惠东县 黄埠镇"</f>
        <v>广东省 惠州市 惠东县 黄埠镇</v>
      </c>
      <c r="N5668" s="1" t="str">
        <f t="shared" si="1826"/>
        <v>凡华云仓-韵达-抖音</v>
      </c>
      <c r="O5668" s="5">
        <v>320178283214982</v>
      </c>
      <c r="P5668" s="6">
        <v>0.35</v>
      </c>
      <c r="Q5668" s="11">
        <v>2.2999999999999998</v>
      </c>
      <c r="R5668" s="11"/>
      <c r="S5668" s="11"/>
      <c r="T5668" s="11"/>
      <c r="U5668" s="11">
        <f t="shared" si="1820"/>
        <v>2.2999999999999998</v>
      </c>
      <c r="W5668">
        <v>2.5</v>
      </c>
      <c r="X5668" s="1" t="s">
        <v>18</v>
      </c>
    </row>
    <row r="5669" spans="1:24" x14ac:dyDescent="0.25">
      <c r="A5669" s="1" t="str">
        <f t="shared" si="1821"/>
        <v>卡卡杜-凤凰仓</v>
      </c>
      <c r="B5669" s="1" t="str">
        <f>"CK2024101819912"</f>
        <v>CK2024101819912</v>
      </c>
      <c r="C5669" s="1" t="str">
        <f>"DD2024101845286"</f>
        <v>DD2024101845286</v>
      </c>
      <c r="D5669" s="1" t="str">
        <f>"CK2024101840517"</f>
        <v>CK2024101840517</v>
      </c>
      <c r="E5669" s="1" t="str">
        <f>"6935171030822753717"</f>
        <v>6935171030822753717</v>
      </c>
      <c r="F5669" s="1" t="str">
        <f t="shared" si="1822"/>
        <v>花都四部-凤凰仓</v>
      </c>
      <c r="G5669" s="1" t="str">
        <f t="shared" si="1827"/>
        <v>卡卡杜个人护理店（抖店）</v>
      </c>
      <c r="H5669" s="1" t="str">
        <f t="shared" si="1823"/>
        <v>正常订单</v>
      </c>
      <c r="I5669" s="1" t="str">
        <f t="shared" si="1824"/>
        <v>已发货</v>
      </c>
      <c r="J5669" s="1" t="str">
        <f t="shared" si="1828"/>
        <v>3</v>
      </c>
      <c r="K5669" s="1">
        <v>2</v>
      </c>
      <c r="L5669" s="1" t="s">
        <v>41</v>
      </c>
      <c r="M5669" s="1" t="str">
        <f>"湖北省 荆门市 掇刀区 白庙街道"</f>
        <v>湖北省 荆门市 掇刀区 白庙街道</v>
      </c>
      <c r="N5669" s="1" t="str">
        <f t="shared" si="1826"/>
        <v>凡华云仓-韵达-抖音</v>
      </c>
      <c r="O5669" s="5">
        <v>320178283214877</v>
      </c>
      <c r="P5669" s="6">
        <v>0.35</v>
      </c>
      <c r="Q5669" s="11">
        <v>2.2999999999999998</v>
      </c>
      <c r="R5669" s="11"/>
      <c r="S5669" s="11"/>
      <c r="T5669" s="11"/>
      <c r="U5669" s="11">
        <f t="shared" si="1820"/>
        <v>2.2999999999999998</v>
      </c>
      <c r="W5669">
        <v>2.5</v>
      </c>
      <c r="X5669" s="1" t="s">
        <v>41</v>
      </c>
    </row>
    <row r="5670" spans="1:24" x14ac:dyDescent="0.25">
      <c r="A5670" s="1" t="str">
        <f t="shared" si="1821"/>
        <v>卡卡杜-凤凰仓</v>
      </c>
      <c r="B5670" s="1" t="str">
        <f>"CK2024101819901"</f>
        <v>CK2024101819901</v>
      </c>
      <c r="C5670" s="1" t="str">
        <f>"DD2024101845275"</f>
        <v>DD2024101845275</v>
      </c>
      <c r="D5670" s="1" t="str">
        <f>"CK2024101840516"</f>
        <v>CK2024101840516</v>
      </c>
      <c r="E5670" s="1" t="str">
        <f>"6935152629046908155"</f>
        <v>6935152629046908155</v>
      </c>
      <c r="F5670" s="1" t="str">
        <f t="shared" si="1822"/>
        <v>花都四部-凤凰仓</v>
      </c>
      <c r="G5670" s="1" t="str">
        <f t="shared" si="1827"/>
        <v>卡卡杜个人护理店（抖店）</v>
      </c>
      <c r="H5670" s="1" t="str">
        <f t="shared" si="1823"/>
        <v>正常订单</v>
      </c>
      <c r="I5670" s="1" t="str">
        <f t="shared" si="1824"/>
        <v>已发货</v>
      </c>
      <c r="J5670" s="1" t="str">
        <f t="shared" si="1828"/>
        <v>3</v>
      </c>
      <c r="K5670" s="1">
        <v>2</v>
      </c>
      <c r="L5670" s="1" t="s">
        <v>60</v>
      </c>
      <c r="M5670" s="1" t="str">
        <f>"云南省 红河哈尼族彝族自治州 屏边苗族自治县 玉屏镇"</f>
        <v>云南省 红河哈尼族彝族自治州 屏边苗族自治县 玉屏镇</v>
      </c>
      <c r="N5670" s="1" t="str">
        <f t="shared" si="1826"/>
        <v>凡华云仓-韵达-抖音</v>
      </c>
      <c r="O5670" s="5">
        <v>320178283214774</v>
      </c>
      <c r="P5670" s="6">
        <v>0.35</v>
      </c>
      <c r="Q5670" s="11">
        <v>2.2999999999999998</v>
      </c>
      <c r="R5670" s="11"/>
      <c r="S5670" s="11"/>
      <c r="T5670" s="11"/>
      <c r="U5670" s="11">
        <f t="shared" si="1820"/>
        <v>2.2999999999999998</v>
      </c>
      <c r="W5670">
        <v>2.5</v>
      </c>
      <c r="X5670" s="1" t="s">
        <v>60</v>
      </c>
    </row>
    <row r="5671" spans="1:24" x14ac:dyDescent="0.25">
      <c r="A5671" s="1" t="str">
        <f t="shared" si="1821"/>
        <v>卡卡杜-凤凰仓</v>
      </c>
      <c r="B5671" s="1" t="str">
        <f>"CK2024101819909"</f>
        <v>CK2024101819909</v>
      </c>
      <c r="C5671" s="1" t="str">
        <f>"DD2024101845283"</f>
        <v>DD2024101845283</v>
      </c>
      <c r="D5671" s="1" t="str">
        <f>"CK2024101840515"</f>
        <v>CK2024101840515</v>
      </c>
      <c r="E5671" s="1" t="str">
        <f>"6935181850509186695"</f>
        <v>6935181850509186695</v>
      </c>
      <c r="F5671" s="1" t="str">
        <f t="shared" si="1822"/>
        <v>花都四部-凤凰仓</v>
      </c>
      <c r="G5671" s="1" t="str">
        <f t="shared" si="1827"/>
        <v>卡卡杜个人护理店（抖店）</v>
      </c>
      <c r="H5671" s="1" t="str">
        <f t="shared" si="1823"/>
        <v>正常订单</v>
      </c>
      <c r="I5671" s="1" t="str">
        <f t="shared" si="1824"/>
        <v>已发货</v>
      </c>
      <c r="J5671" s="1" t="str">
        <f t="shared" si="1828"/>
        <v>3</v>
      </c>
      <c r="K5671" s="1">
        <v>2</v>
      </c>
      <c r="L5671" s="1" t="s">
        <v>20</v>
      </c>
      <c r="M5671" s="1" t="str">
        <f>"浙江省 杭州市 余杭区 "</f>
        <v xml:space="preserve">浙江省 杭州市 余杭区 </v>
      </c>
      <c r="N5671" s="1" t="str">
        <f t="shared" si="1826"/>
        <v>凡华云仓-韵达-抖音</v>
      </c>
      <c r="O5671" s="5">
        <v>320178283214673</v>
      </c>
      <c r="P5671" s="6">
        <v>0.35</v>
      </c>
      <c r="Q5671" s="11">
        <v>2.2999999999999998</v>
      </c>
      <c r="R5671" s="11"/>
      <c r="S5671" s="11"/>
      <c r="T5671" s="11"/>
      <c r="U5671" s="11">
        <f t="shared" si="1820"/>
        <v>2.2999999999999998</v>
      </c>
      <c r="W5671">
        <v>2.5</v>
      </c>
      <c r="X5671" s="1" t="s">
        <v>20</v>
      </c>
    </row>
    <row r="5672" spans="1:24" x14ac:dyDescent="0.25">
      <c r="A5672" s="1" t="str">
        <f t="shared" si="1821"/>
        <v>卡卡杜-凤凰仓</v>
      </c>
      <c r="B5672" s="1" t="str">
        <f>"CK2024101819914"</f>
        <v>CK2024101819914</v>
      </c>
      <c r="C5672" s="1" t="str">
        <f>"DD2024101845288"</f>
        <v>DD2024101845288</v>
      </c>
      <c r="D5672" s="1" t="str">
        <f>"CK2024101840514"</f>
        <v>CK2024101840514</v>
      </c>
      <c r="E5672" s="1" t="str">
        <f>"6935171000123004375"</f>
        <v>6935171000123004375</v>
      </c>
      <c r="F5672" s="1" t="str">
        <f t="shared" si="1822"/>
        <v>花都四部-凤凰仓</v>
      </c>
      <c r="G5672" s="1" t="str">
        <f t="shared" si="1827"/>
        <v>卡卡杜个人护理店（抖店）</v>
      </c>
      <c r="H5672" s="1" t="str">
        <f t="shared" si="1823"/>
        <v>正常订单</v>
      </c>
      <c r="I5672" s="1" t="str">
        <f t="shared" si="1824"/>
        <v>已发货</v>
      </c>
      <c r="J5672" s="1" t="str">
        <f t="shared" si="1828"/>
        <v>3</v>
      </c>
      <c r="K5672" s="1">
        <v>2</v>
      </c>
      <c r="L5672" s="1" t="s">
        <v>20</v>
      </c>
      <c r="M5672" s="1" t="str">
        <f>"浙江省 温州市 乐清市 城南街道"</f>
        <v>浙江省 温州市 乐清市 城南街道</v>
      </c>
      <c r="N5672" s="1" t="str">
        <f t="shared" si="1826"/>
        <v>凡华云仓-韵达-抖音</v>
      </c>
      <c r="O5672" s="5">
        <v>320178283214574</v>
      </c>
      <c r="P5672" s="6">
        <v>0.35</v>
      </c>
      <c r="Q5672" s="11">
        <v>2.2999999999999998</v>
      </c>
      <c r="R5672" s="11"/>
      <c r="S5672" s="11"/>
      <c r="T5672" s="11"/>
      <c r="U5672" s="11">
        <f t="shared" si="1820"/>
        <v>2.2999999999999998</v>
      </c>
      <c r="W5672">
        <v>2.5</v>
      </c>
      <c r="X5672" s="1" t="s">
        <v>20</v>
      </c>
    </row>
    <row r="5673" spans="1:24" x14ac:dyDescent="0.25">
      <c r="A5673" s="1" t="str">
        <f t="shared" si="1821"/>
        <v>卡卡杜-凤凰仓</v>
      </c>
      <c r="B5673" s="1" t="str">
        <f>"CK2024101819898"</f>
        <v>CK2024101819898</v>
      </c>
      <c r="C5673" s="1" t="str">
        <f>"DD2024101845271"</f>
        <v>DD2024101845271</v>
      </c>
      <c r="D5673" s="1" t="str">
        <f>"CK2024101840513"</f>
        <v>CK2024101840513</v>
      </c>
      <c r="E5673" s="1" t="str">
        <f>"6935168738487047478"</f>
        <v>6935168738487047478</v>
      </c>
      <c r="F5673" s="1" t="str">
        <f t="shared" si="1822"/>
        <v>花都四部-凤凰仓</v>
      </c>
      <c r="G5673" s="1" t="str">
        <f t="shared" si="1827"/>
        <v>卡卡杜个人护理店（抖店）</v>
      </c>
      <c r="H5673" s="1" t="str">
        <f t="shared" si="1823"/>
        <v>正常订单</v>
      </c>
      <c r="I5673" s="1" t="str">
        <f t="shared" si="1824"/>
        <v>已发货</v>
      </c>
      <c r="J5673" s="1" t="str">
        <f t="shared" si="1828"/>
        <v>3</v>
      </c>
      <c r="K5673" s="1">
        <v>2</v>
      </c>
      <c r="L5673" s="1" t="s">
        <v>16</v>
      </c>
      <c r="M5673" s="1" t="str">
        <f>"河北省 邢台市 隆尧县 隆尧镇"</f>
        <v>河北省 邢台市 隆尧县 隆尧镇</v>
      </c>
      <c r="N5673" s="1" t="str">
        <f t="shared" si="1826"/>
        <v>凡华云仓-韵达-抖音</v>
      </c>
      <c r="O5673" s="5">
        <v>320178283214477</v>
      </c>
      <c r="P5673" s="6">
        <v>0.35</v>
      </c>
      <c r="Q5673" s="11">
        <v>2.2999999999999998</v>
      </c>
      <c r="R5673" s="11"/>
      <c r="S5673" s="11"/>
      <c r="T5673" s="11"/>
      <c r="U5673" s="11">
        <f t="shared" si="1820"/>
        <v>2.2999999999999998</v>
      </c>
      <c r="W5673">
        <v>2.5</v>
      </c>
      <c r="X5673" s="1" t="s">
        <v>16</v>
      </c>
    </row>
    <row r="5674" spans="1:24" x14ac:dyDescent="0.25">
      <c r="A5674" s="1" t="str">
        <f t="shared" si="1821"/>
        <v>卡卡杜-凤凰仓</v>
      </c>
      <c r="B5674" s="1" t="str">
        <f>"CK2024101819893"</f>
        <v>CK2024101819893</v>
      </c>
      <c r="C5674" s="1" t="str">
        <f>"DD2024101845267"</f>
        <v>DD2024101845267</v>
      </c>
      <c r="D5674" s="1" t="str">
        <f>"CK2024101840512"</f>
        <v>CK2024101840512</v>
      </c>
      <c r="E5674" s="1" t="str">
        <f>"6935171044648884180"</f>
        <v>6935171044648884180</v>
      </c>
      <c r="F5674" s="1" t="str">
        <f t="shared" si="1822"/>
        <v>花都四部-凤凰仓</v>
      </c>
      <c r="G5674" s="1" t="str">
        <f t="shared" si="1827"/>
        <v>卡卡杜个人护理店（抖店）</v>
      </c>
      <c r="H5674" s="1" t="str">
        <f t="shared" si="1823"/>
        <v>正常订单</v>
      </c>
      <c r="I5674" s="1" t="str">
        <f t="shared" si="1824"/>
        <v>已发货</v>
      </c>
      <c r="J5674" s="1" t="str">
        <f t="shared" si="1828"/>
        <v>3</v>
      </c>
      <c r="K5674" s="1">
        <v>2</v>
      </c>
      <c r="L5674" s="1" t="s">
        <v>30</v>
      </c>
      <c r="M5674" s="1" t="str">
        <f>"山东省 济宁市 任城区 金城街道"</f>
        <v>山东省 济宁市 任城区 金城街道</v>
      </c>
      <c r="N5674" s="1" t="str">
        <f t="shared" si="1826"/>
        <v>凡华云仓-韵达-抖音</v>
      </c>
      <c r="O5674" s="5">
        <v>320178283214382</v>
      </c>
      <c r="P5674" s="6">
        <v>0.35</v>
      </c>
      <c r="Q5674" s="11">
        <v>2.2999999999999998</v>
      </c>
      <c r="R5674" s="11"/>
      <c r="S5674" s="11"/>
      <c r="T5674" s="11"/>
      <c r="U5674" s="11">
        <f t="shared" si="1820"/>
        <v>2.2999999999999998</v>
      </c>
      <c r="W5674">
        <v>2.5</v>
      </c>
      <c r="X5674" s="1" t="s">
        <v>30</v>
      </c>
    </row>
    <row r="5675" spans="1:24" x14ac:dyDescent="0.25">
      <c r="A5675" s="1" t="str">
        <f t="shared" si="1821"/>
        <v>卡卡杜-凤凰仓</v>
      </c>
      <c r="B5675" s="1" t="str">
        <f>"CK2024101819916"</f>
        <v>CK2024101819916</v>
      </c>
      <c r="C5675" s="1" t="str">
        <f>"DD2024101845290"</f>
        <v>DD2024101845290</v>
      </c>
      <c r="D5675" s="1" t="str">
        <f>"CK2024101840511"</f>
        <v>CK2024101840511</v>
      </c>
      <c r="E5675" s="1" t="str">
        <f>"6935181768507200879"</f>
        <v>6935181768507200879</v>
      </c>
      <c r="F5675" s="1" t="str">
        <f t="shared" si="1822"/>
        <v>花都四部-凤凰仓</v>
      </c>
      <c r="G5675" s="1" t="str">
        <f t="shared" si="1827"/>
        <v>卡卡杜个人护理店（抖店）</v>
      </c>
      <c r="H5675" s="1" t="str">
        <f t="shared" si="1823"/>
        <v>正常订单</v>
      </c>
      <c r="I5675" s="1" t="str">
        <f t="shared" si="1824"/>
        <v>已发货</v>
      </c>
      <c r="J5675" s="1" t="str">
        <f t="shared" si="1828"/>
        <v>3</v>
      </c>
      <c r="K5675" s="1">
        <v>2</v>
      </c>
      <c r="L5675" s="1" t="s">
        <v>36</v>
      </c>
      <c r="M5675" s="1" t="str">
        <f>"安徽省 马鞍山市 当涂县 姑孰镇"</f>
        <v>安徽省 马鞍山市 当涂县 姑孰镇</v>
      </c>
      <c r="N5675" s="1" t="str">
        <f t="shared" si="1826"/>
        <v>凡华云仓-韵达-抖音</v>
      </c>
      <c r="O5675" s="5">
        <v>320178283214289</v>
      </c>
      <c r="P5675" s="6">
        <v>0.35</v>
      </c>
      <c r="Q5675" s="11">
        <v>2.2999999999999998</v>
      </c>
      <c r="R5675" s="11"/>
      <c r="S5675" s="11"/>
      <c r="T5675" s="11"/>
      <c r="U5675" s="11">
        <f t="shared" si="1820"/>
        <v>2.2999999999999998</v>
      </c>
      <c r="W5675">
        <v>2.5</v>
      </c>
      <c r="X5675" s="1" t="s">
        <v>36</v>
      </c>
    </row>
    <row r="5676" spans="1:24" x14ac:dyDescent="0.25">
      <c r="A5676" s="1" t="str">
        <f t="shared" si="1821"/>
        <v>卡卡杜-凤凰仓</v>
      </c>
      <c r="B5676" s="1" t="str">
        <f>"CK2024101819897"</f>
        <v>CK2024101819897</v>
      </c>
      <c r="C5676" s="1" t="str">
        <f>"DD2024101845270"</f>
        <v>DD2024101845270</v>
      </c>
      <c r="D5676" s="1" t="str">
        <f>"CK2024101840510"</f>
        <v>CK2024101840510</v>
      </c>
      <c r="E5676" s="1" t="str">
        <f>"6935172969656358447"</f>
        <v>6935172969656358447</v>
      </c>
      <c r="F5676" s="1" t="str">
        <f t="shared" si="1822"/>
        <v>花都四部-凤凰仓</v>
      </c>
      <c r="G5676" s="1" t="str">
        <f t="shared" si="1827"/>
        <v>卡卡杜个人护理店（抖店）</v>
      </c>
      <c r="H5676" s="1" t="str">
        <f t="shared" si="1823"/>
        <v>正常订单</v>
      </c>
      <c r="I5676" s="1" t="str">
        <f t="shared" si="1824"/>
        <v>已发货</v>
      </c>
      <c r="J5676" s="1" t="str">
        <f t="shared" si="1828"/>
        <v>3</v>
      </c>
      <c r="K5676" s="1">
        <v>2</v>
      </c>
      <c r="L5676" s="1" t="s">
        <v>16</v>
      </c>
      <c r="M5676" s="1" t="str">
        <f>"河北省 廊坊市 广阳区 北旺镇"</f>
        <v>河北省 廊坊市 广阳区 北旺镇</v>
      </c>
      <c r="N5676" s="1" t="str">
        <f t="shared" si="1826"/>
        <v>凡华云仓-韵达-抖音</v>
      </c>
      <c r="O5676" s="5">
        <v>320178268714085</v>
      </c>
      <c r="P5676" s="6">
        <v>0.35</v>
      </c>
      <c r="Q5676" s="11">
        <v>2.2999999999999998</v>
      </c>
      <c r="R5676" s="11"/>
      <c r="S5676" s="11"/>
      <c r="T5676" s="11"/>
      <c r="U5676" s="11">
        <f t="shared" si="1820"/>
        <v>2.2999999999999998</v>
      </c>
      <c r="W5676">
        <v>2.5</v>
      </c>
      <c r="X5676" s="1" t="s">
        <v>16</v>
      </c>
    </row>
    <row r="5677" spans="1:24" x14ac:dyDescent="0.25">
      <c r="A5677" s="1" t="str">
        <f t="shared" si="1821"/>
        <v>卡卡杜-凤凰仓</v>
      </c>
      <c r="B5677" s="1" t="str">
        <f>"CK2024101819886"</f>
        <v>CK2024101819886</v>
      </c>
      <c r="C5677" s="1" t="str">
        <f>"DD2024101845260"</f>
        <v>DD2024101845260</v>
      </c>
      <c r="D5677" s="1" t="str">
        <f>"CK2024101840509"</f>
        <v>CK2024101840509</v>
      </c>
      <c r="E5677" s="1" t="str">
        <f>"6935152663886305044"</f>
        <v>6935152663886305044</v>
      </c>
      <c r="F5677" s="1" t="str">
        <f t="shared" si="1822"/>
        <v>花都四部-凤凰仓</v>
      </c>
      <c r="G5677" s="1" t="str">
        <f t="shared" si="1827"/>
        <v>卡卡杜个人护理店（抖店）</v>
      </c>
      <c r="H5677" s="1" t="str">
        <f t="shared" si="1823"/>
        <v>正常订单</v>
      </c>
      <c r="I5677" s="1" t="str">
        <f t="shared" si="1824"/>
        <v>已发货</v>
      </c>
      <c r="J5677" s="1" t="str">
        <f t="shared" si="1828"/>
        <v>3</v>
      </c>
      <c r="K5677" s="1">
        <v>2</v>
      </c>
      <c r="L5677" s="1" t="s">
        <v>18</v>
      </c>
      <c r="M5677" s="1" t="str">
        <f>"广东省 东莞市 东莞市 寮步镇"</f>
        <v>广东省 东莞市 东莞市 寮步镇</v>
      </c>
      <c r="N5677" s="1" t="str">
        <f t="shared" si="1826"/>
        <v>凡华云仓-韵达-抖音</v>
      </c>
      <c r="O5677" s="5">
        <v>320178268713963</v>
      </c>
      <c r="P5677" s="6">
        <v>0.35</v>
      </c>
      <c r="Q5677" s="11">
        <v>2.2999999999999998</v>
      </c>
      <c r="R5677" s="11"/>
      <c r="S5677" s="11"/>
      <c r="T5677" s="11"/>
      <c r="U5677" s="11">
        <f t="shared" si="1820"/>
        <v>2.2999999999999998</v>
      </c>
      <c r="W5677">
        <v>2.5</v>
      </c>
      <c r="X5677" s="1" t="s">
        <v>18</v>
      </c>
    </row>
    <row r="5678" spans="1:24" x14ac:dyDescent="0.25">
      <c r="A5678" s="1" t="str">
        <f t="shared" si="1821"/>
        <v>卡卡杜-凤凰仓</v>
      </c>
      <c r="B5678" s="1" t="str">
        <f>"CK2024101819887"</f>
        <v>CK2024101819887</v>
      </c>
      <c r="C5678" s="1" t="str">
        <f>"DD2024101845259"</f>
        <v>DD2024101845259</v>
      </c>
      <c r="D5678" s="1" t="str">
        <f>"CK2024101840508"</f>
        <v>CK2024101840508</v>
      </c>
      <c r="E5678" s="1" t="str">
        <f>"6935155034233116324"</f>
        <v>6935155034233116324</v>
      </c>
      <c r="F5678" s="1" t="str">
        <f t="shared" si="1822"/>
        <v>花都四部-凤凰仓</v>
      </c>
      <c r="G5678" s="1" t="str">
        <f t="shared" si="1827"/>
        <v>卡卡杜个人护理店（抖店）</v>
      </c>
      <c r="H5678" s="1" t="str">
        <f t="shared" si="1823"/>
        <v>正常订单</v>
      </c>
      <c r="I5678" s="1" t="str">
        <f t="shared" si="1824"/>
        <v>已发货</v>
      </c>
      <c r="J5678" s="1" t="str">
        <f t="shared" si="1828"/>
        <v>3</v>
      </c>
      <c r="K5678" s="1">
        <v>2</v>
      </c>
      <c r="L5678" s="1" t="s">
        <v>20</v>
      </c>
      <c r="M5678" s="1" t="str">
        <f>"浙江省 丽水市 遂昌县 妙高街道"</f>
        <v>浙江省 丽水市 遂昌县 妙高街道</v>
      </c>
      <c r="N5678" s="1" t="str">
        <f t="shared" si="1826"/>
        <v>凡华云仓-韵达-抖音</v>
      </c>
      <c r="O5678" s="5">
        <v>320178268713858</v>
      </c>
      <c r="P5678" s="6">
        <v>0.35</v>
      </c>
      <c r="Q5678" s="11">
        <v>2.2999999999999998</v>
      </c>
      <c r="R5678" s="11"/>
      <c r="S5678" s="11"/>
      <c r="T5678" s="11"/>
      <c r="U5678" s="11">
        <f t="shared" si="1820"/>
        <v>2.2999999999999998</v>
      </c>
      <c r="W5678">
        <v>2.5</v>
      </c>
      <c r="X5678" s="1" t="s">
        <v>20</v>
      </c>
    </row>
    <row r="5679" spans="1:24" x14ac:dyDescent="0.25">
      <c r="A5679" s="1" t="str">
        <f t="shared" si="1821"/>
        <v>卡卡杜-凤凰仓</v>
      </c>
      <c r="B5679" s="1" t="str">
        <f>"CK2024101819888"</f>
        <v>CK2024101819888</v>
      </c>
      <c r="C5679" s="1" t="str">
        <f>"DD2024101845257"</f>
        <v>DD2024101845257</v>
      </c>
      <c r="D5679" s="1" t="str">
        <f>"CK2024101840507"</f>
        <v>CK2024101840507</v>
      </c>
      <c r="E5679" s="1" t="str">
        <f>"6935183938813105865"</f>
        <v>6935183938813105865</v>
      </c>
      <c r="F5679" s="1" t="str">
        <f t="shared" si="1822"/>
        <v>花都四部-凤凰仓</v>
      </c>
      <c r="G5679" s="1" t="str">
        <f t="shared" si="1827"/>
        <v>卡卡杜个人护理店（抖店）</v>
      </c>
      <c r="H5679" s="1" t="str">
        <f t="shared" si="1823"/>
        <v>正常订单</v>
      </c>
      <c r="I5679" s="1" t="str">
        <f t="shared" si="1824"/>
        <v>已发货</v>
      </c>
      <c r="J5679" s="1" t="str">
        <f t="shared" si="1828"/>
        <v>3</v>
      </c>
      <c r="K5679" s="1">
        <v>2</v>
      </c>
      <c r="L5679" s="1" t="s">
        <v>60</v>
      </c>
      <c r="M5679" s="1" t="str">
        <f>"云南省 普洱市 宁洱哈尼族彝族自治县 "</f>
        <v xml:space="preserve">云南省 普洱市 宁洱哈尼族彝族自治县 </v>
      </c>
      <c r="N5679" s="1" t="str">
        <f t="shared" si="1826"/>
        <v>凡华云仓-韵达-抖音</v>
      </c>
      <c r="O5679" s="5">
        <v>320178268713755</v>
      </c>
      <c r="P5679" s="6">
        <v>0.35</v>
      </c>
      <c r="Q5679" s="11">
        <v>2.2999999999999998</v>
      </c>
      <c r="R5679" s="11"/>
      <c r="S5679" s="11"/>
      <c r="T5679" s="11"/>
      <c r="U5679" s="11">
        <f t="shared" si="1820"/>
        <v>2.2999999999999998</v>
      </c>
      <c r="W5679">
        <v>2.5</v>
      </c>
      <c r="X5679" s="1" t="s">
        <v>60</v>
      </c>
    </row>
    <row r="5680" spans="1:24" x14ac:dyDescent="0.25">
      <c r="A5680" s="1" t="str">
        <f t="shared" si="1821"/>
        <v>卡卡杜-凤凰仓</v>
      </c>
      <c r="B5680" s="1" t="str">
        <f>"CK2024101819889"</f>
        <v>CK2024101819889</v>
      </c>
      <c r="C5680" s="1" t="str">
        <f>"DD2024101845263"</f>
        <v>DD2024101845263</v>
      </c>
      <c r="D5680" s="1" t="str">
        <f>"CK2024101840506"</f>
        <v>CK2024101840506</v>
      </c>
      <c r="E5680" s="1" t="str">
        <f>"6935152476267353669"</f>
        <v>6935152476267353669</v>
      </c>
      <c r="F5680" s="1" t="str">
        <f t="shared" si="1822"/>
        <v>花都四部-凤凰仓</v>
      </c>
      <c r="G5680" s="1" t="str">
        <f t="shared" si="1827"/>
        <v>卡卡杜个人护理店（抖店）</v>
      </c>
      <c r="H5680" s="1" t="str">
        <f t="shared" si="1823"/>
        <v>正常订单</v>
      </c>
      <c r="I5680" s="1" t="str">
        <f t="shared" si="1824"/>
        <v>已发货</v>
      </c>
      <c r="J5680" s="1" t="str">
        <f t="shared" si="1828"/>
        <v>3</v>
      </c>
      <c r="K5680" s="1">
        <v>2</v>
      </c>
      <c r="L5680" s="1" t="s">
        <v>94</v>
      </c>
      <c r="M5680" s="1" t="str">
        <f>"湖南省 张家界市 永定区 大庸桥街道"</f>
        <v>湖南省 张家界市 永定区 大庸桥街道</v>
      </c>
      <c r="N5680" s="1" t="str">
        <f t="shared" si="1826"/>
        <v>凡华云仓-韵达-抖音</v>
      </c>
      <c r="O5680" s="5">
        <v>320178260775458</v>
      </c>
      <c r="P5680" s="6">
        <v>0.35</v>
      </c>
      <c r="Q5680" s="11">
        <v>2.2999999999999998</v>
      </c>
      <c r="R5680" s="11"/>
      <c r="S5680" s="11"/>
      <c r="T5680" s="11"/>
      <c r="U5680" s="11">
        <f t="shared" si="1820"/>
        <v>2.2999999999999998</v>
      </c>
      <c r="W5680">
        <v>2.5</v>
      </c>
      <c r="X5680" s="1" t="s">
        <v>94</v>
      </c>
    </row>
    <row r="5681" spans="1:24" x14ac:dyDescent="0.25">
      <c r="A5681" s="1" t="str">
        <f t="shared" si="1821"/>
        <v>卡卡杜-凤凰仓</v>
      </c>
      <c r="B5681" s="1" t="str">
        <f>"CK2024101819896"</f>
        <v>CK2024101819896</v>
      </c>
      <c r="C5681" s="1" t="str">
        <f>"DD2024101845273"</f>
        <v>DD2024101845273</v>
      </c>
      <c r="D5681" s="1" t="str">
        <f>"CK2024101840505"</f>
        <v>CK2024101840505</v>
      </c>
      <c r="E5681" s="1" t="str">
        <f>"6935159394750043502"</f>
        <v>6935159394750043502</v>
      </c>
      <c r="F5681" s="1" t="str">
        <f t="shared" si="1822"/>
        <v>花都四部-凤凰仓</v>
      </c>
      <c r="G5681" s="1" t="str">
        <f t="shared" si="1827"/>
        <v>卡卡杜个人护理店（抖店）</v>
      </c>
      <c r="H5681" s="1" t="str">
        <f t="shared" si="1823"/>
        <v>正常订单</v>
      </c>
      <c r="I5681" s="1" t="str">
        <f t="shared" si="1824"/>
        <v>已发货</v>
      </c>
      <c r="J5681" s="1" t="str">
        <f t="shared" si="1828"/>
        <v>3</v>
      </c>
      <c r="K5681" s="1">
        <v>2</v>
      </c>
      <c r="L5681" s="1" t="s">
        <v>187</v>
      </c>
      <c r="M5681" s="1" t="str">
        <f>"吉林省 长春市 二道区 吉林街道"</f>
        <v>吉林省 长春市 二道区 吉林街道</v>
      </c>
      <c r="N5681" s="1" t="str">
        <f t="shared" si="1826"/>
        <v>凡华云仓-韵达-抖音</v>
      </c>
      <c r="O5681" s="5">
        <v>320178260775363</v>
      </c>
      <c r="P5681" s="6">
        <v>0.35</v>
      </c>
      <c r="Q5681" s="11">
        <v>2.2999999999999998</v>
      </c>
      <c r="R5681" s="11"/>
      <c r="S5681" s="11"/>
      <c r="T5681" s="11"/>
      <c r="U5681" s="11">
        <f t="shared" si="1820"/>
        <v>2.2999999999999998</v>
      </c>
      <c r="W5681">
        <v>2.5</v>
      </c>
      <c r="X5681" s="1" t="s">
        <v>187</v>
      </c>
    </row>
    <row r="5682" spans="1:24" x14ac:dyDescent="0.25">
      <c r="A5682" s="1" t="str">
        <f t="shared" si="1821"/>
        <v>卡卡杜-凤凰仓</v>
      </c>
      <c r="B5682" s="1" t="str">
        <f>"CK2024101819885"</f>
        <v>CK2024101819885</v>
      </c>
      <c r="C5682" s="1" t="str">
        <f>"DD2024101845261"</f>
        <v>DD2024101845261</v>
      </c>
      <c r="D5682" s="1" t="str">
        <f>"CK2024101840504"</f>
        <v>CK2024101840504</v>
      </c>
      <c r="E5682" s="1" t="str">
        <f>"6935159266446874068"</f>
        <v>6935159266446874068</v>
      </c>
      <c r="F5682" s="1" t="str">
        <f t="shared" si="1822"/>
        <v>花都四部-凤凰仓</v>
      </c>
      <c r="G5682" s="1" t="str">
        <f t="shared" si="1827"/>
        <v>卡卡杜个人护理店（抖店）</v>
      </c>
      <c r="H5682" s="1" t="str">
        <f t="shared" si="1823"/>
        <v>正常订单</v>
      </c>
      <c r="I5682" s="1" t="str">
        <f t="shared" si="1824"/>
        <v>已发货</v>
      </c>
      <c r="J5682" s="1" t="str">
        <f t="shared" si="1828"/>
        <v>3</v>
      </c>
      <c r="K5682" s="1">
        <v>2</v>
      </c>
      <c r="L5682" s="1" t="s">
        <v>41</v>
      </c>
      <c r="M5682" s="1" t="str">
        <f>"湖北省 武汉市 江汉区 常青街道"</f>
        <v>湖北省 武汉市 江汉区 常青街道</v>
      </c>
      <c r="N5682" s="1" t="str">
        <f t="shared" si="1826"/>
        <v>凡华云仓-韵达-抖音</v>
      </c>
      <c r="O5682" s="5">
        <v>320178260775270</v>
      </c>
      <c r="P5682" s="6">
        <v>0.35</v>
      </c>
      <c r="Q5682" s="11">
        <v>2.2999999999999998</v>
      </c>
      <c r="R5682" s="11"/>
      <c r="S5682" s="11"/>
      <c r="T5682" s="11"/>
      <c r="U5682" s="11">
        <f t="shared" si="1820"/>
        <v>2.2999999999999998</v>
      </c>
      <c r="W5682">
        <v>2.5</v>
      </c>
      <c r="X5682" s="1" t="s">
        <v>41</v>
      </c>
    </row>
    <row r="5683" spans="1:24" x14ac:dyDescent="0.25">
      <c r="A5683" s="1" t="str">
        <f t="shared" si="1821"/>
        <v>卡卡杜-凤凰仓</v>
      </c>
      <c r="B5683" s="1" t="str">
        <f>"CK2024101819892"</f>
        <v>CK2024101819892</v>
      </c>
      <c r="C5683" s="1" t="str">
        <f>"DD2024101845265"</f>
        <v>DD2024101845265</v>
      </c>
      <c r="D5683" s="1" t="str">
        <f>"CK2024101840503"</f>
        <v>CK2024101840503</v>
      </c>
      <c r="E5683" s="1" t="str">
        <f>"6935166120448103851"</f>
        <v>6935166120448103851</v>
      </c>
      <c r="F5683" s="1" t="str">
        <f t="shared" si="1822"/>
        <v>花都四部-凤凰仓</v>
      </c>
      <c r="G5683" s="1" t="str">
        <f t="shared" si="1827"/>
        <v>卡卡杜个人护理店（抖店）</v>
      </c>
      <c r="H5683" s="1" t="str">
        <f t="shared" si="1823"/>
        <v>正常订单</v>
      </c>
      <c r="I5683" s="1" t="str">
        <f t="shared" si="1824"/>
        <v>已发货</v>
      </c>
      <c r="J5683" s="1" t="str">
        <f t="shared" si="1828"/>
        <v>3</v>
      </c>
      <c r="K5683" s="1">
        <v>2</v>
      </c>
      <c r="L5683" s="1" t="s">
        <v>41</v>
      </c>
      <c r="M5683" s="1" t="str">
        <f>"湖北省 武汉市 江夏区 武汉江夏经济开发区藏龙岛高新技术产业园"</f>
        <v>湖北省 武汉市 江夏区 武汉江夏经济开发区藏龙岛高新技术产业园</v>
      </c>
      <c r="N5683" s="1" t="str">
        <f t="shared" si="1826"/>
        <v>凡华云仓-韵达-抖音</v>
      </c>
      <c r="O5683" s="5">
        <v>320178260775179</v>
      </c>
      <c r="P5683" s="6">
        <v>0.35</v>
      </c>
      <c r="Q5683" s="11">
        <v>2.2999999999999998</v>
      </c>
      <c r="R5683" s="11"/>
      <c r="S5683" s="11"/>
      <c r="T5683" s="11"/>
      <c r="U5683" s="11">
        <f t="shared" si="1820"/>
        <v>2.2999999999999998</v>
      </c>
      <c r="W5683">
        <v>2.5</v>
      </c>
      <c r="X5683" s="1" t="s">
        <v>41</v>
      </c>
    </row>
    <row r="5684" spans="1:24" x14ac:dyDescent="0.25">
      <c r="A5684" s="1" t="str">
        <f t="shared" si="1821"/>
        <v>卡卡杜-凤凰仓</v>
      </c>
      <c r="B5684" s="1" t="str">
        <f>"CK2024101819884"</f>
        <v>CK2024101819884</v>
      </c>
      <c r="C5684" s="1" t="str">
        <f>"DD2024101845262"</f>
        <v>DD2024101845262</v>
      </c>
      <c r="D5684" s="1" t="str">
        <f>"CK2024101840502"</f>
        <v>CK2024101840502</v>
      </c>
      <c r="E5684" s="1" t="str">
        <f>"6935173025902564804"</f>
        <v>6935173025902564804</v>
      </c>
      <c r="F5684" s="1" t="str">
        <f t="shared" si="1822"/>
        <v>花都四部-凤凰仓</v>
      </c>
      <c r="G5684" s="1" t="str">
        <f t="shared" si="1827"/>
        <v>卡卡杜个人护理店（抖店）</v>
      </c>
      <c r="H5684" s="1" t="str">
        <f t="shared" si="1823"/>
        <v>正常订单</v>
      </c>
      <c r="I5684" s="1" t="str">
        <f t="shared" si="1824"/>
        <v>已发货</v>
      </c>
      <c r="J5684" s="1" t="str">
        <f>"5"</f>
        <v>5</v>
      </c>
      <c r="K5684" s="1">
        <v>3</v>
      </c>
      <c r="L5684" s="1" t="s">
        <v>18</v>
      </c>
      <c r="M5684" s="1" t="str">
        <f>"广东省 江门市 开平市 "</f>
        <v xml:space="preserve">广东省 江门市 开平市 </v>
      </c>
      <c r="N5684" s="1" t="str">
        <f t="shared" si="1826"/>
        <v>凡华云仓-韵达-抖音</v>
      </c>
      <c r="O5684" s="5">
        <v>320178260775090</v>
      </c>
      <c r="P5684" s="6">
        <v>0.47</v>
      </c>
      <c r="Q5684" s="11">
        <v>2.2999999999999998</v>
      </c>
      <c r="R5684" s="11"/>
      <c r="S5684" s="11"/>
      <c r="T5684" s="11"/>
      <c r="U5684" s="11">
        <f t="shared" si="1820"/>
        <v>2.2999999999999998</v>
      </c>
      <c r="W5684">
        <v>2.5</v>
      </c>
      <c r="X5684" s="1" t="s">
        <v>18</v>
      </c>
    </row>
    <row r="5685" spans="1:24" x14ac:dyDescent="0.25">
      <c r="A5685" s="1" t="str">
        <f t="shared" si="1821"/>
        <v>卡卡杜-凤凰仓</v>
      </c>
      <c r="B5685" s="1" t="str">
        <f>"CK2024101819890"</f>
        <v>CK2024101819890</v>
      </c>
      <c r="C5685" s="1" t="str">
        <f>"DD2024101845264"</f>
        <v>DD2024101845264</v>
      </c>
      <c r="D5685" s="1" t="str">
        <f>"CK2024101840501"</f>
        <v>CK2024101840501</v>
      </c>
      <c r="E5685" s="1" t="str">
        <f>"6935159419340985359"</f>
        <v>6935159419340985359</v>
      </c>
      <c r="F5685" s="1" t="str">
        <f t="shared" si="1822"/>
        <v>花都四部-凤凰仓</v>
      </c>
      <c r="G5685" s="1" t="str">
        <f t="shared" si="1827"/>
        <v>卡卡杜个人护理店（抖店）</v>
      </c>
      <c r="H5685" s="1" t="str">
        <f t="shared" si="1823"/>
        <v>正常订单</v>
      </c>
      <c r="I5685" s="1" t="str">
        <f t="shared" si="1824"/>
        <v>已发货</v>
      </c>
      <c r="J5685" s="1" t="str">
        <f t="shared" ref="J5685:J5696" si="1829">"3"</f>
        <v>3</v>
      </c>
      <c r="K5685" s="1">
        <v>2</v>
      </c>
      <c r="L5685" s="1" t="s">
        <v>13</v>
      </c>
      <c r="M5685" s="1" t="str">
        <f>"江苏省 徐州市 睢宁县 睢城街道"</f>
        <v>江苏省 徐州市 睢宁县 睢城街道</v>
      </c>
      <c r="N5685" s="1" t="str">
        <f t="shared" si="1826"/>
        <v>凡华云仓-韵达-抖音</v>
      </c>
      <c r="O5685" s="5">
        <v>320178260774966</v>
      </c>
      <c r="P5685" s="6">
        <v>0.35</v>
      </c>
      <c r="Q5685" s="11">
        <v>2.2999999999999998</v>
      </c>
      <c r="R5685" s="11"/>
      <c r="S5685" s="11"/>
      <c r="T5685" s="11"/>
      <c r="U5685" s="11">
        <f t="shared" si="1820"/>
        <v>2.2999999999999998</v>
      </c>
      <c r="W5685">
        <v>2.5</v>
      </c>
      <c r="X5685" s="1" t="s">
        <v>13</v>
      </c>
    </row>
    <row r="5686" spans="1:24" x14ac:dyDescent="0.25">
      <c r="A5686" s="1" t="str">
        <f t="shared" si="1821"/>
        <v>卡卡杜-凤凰仓</v>
      </c>
      <c r="B5686" s="1" t="str">
        <f>"CK2024101819894"</f>
        <v>CK2024101819894</v>
      </c>
      <c r="C5686" s="1" t="str">
        <f>"DD2024101845268"</f>
        <v>DD2024101845268</v>
      </c>
      <c r="D5686" s="1" t="str">
        <f>"CK2024101840500"</f>
        <v>CK2024101840500</v>
      </c>
      <c r="E5686" s="1" t="str">
        <f>"6935177740226401381"</f>
        <v>6935177740226401381</v>
      </c>
      <c r="F5686" s="1" t="str">
        <f t="shared" si="1822"/>
        <v>花都四部-凤凰仓</v>
      </c>
      <c r="G5686" s="1" t="str">
        <f t="shared" si="1827"/>
        <v>卡卡杜个人护理店（抖店）</v>
      </c>
      <c r="H5686" s="1" t="str">
        <f t="shared" si="1823"/>
        <v>正常订单</v>
      </c>
      <c r="I5686" s="1" t="str">
        <f t="shared" si="1824"/>
        <v>已发货</v>
      </c>
      <c r="J5686" s="1" t="str">
        <f t="shared" si="1829"/>
        <v>3</v>
      </c>
      <c r="K5686" s="1">
        <v>2</v>
      </c>
      <c r="L5686" s="1" t="s">
        <v>41</v>
      </c>
      <c r="M5686" s="1" t="str">
        <f>"湖北省 荆门市 京山市 罗店镇"</f>
        <v>湖北省 荆门市 京山市 罗店镇</v>
      </c>
      <c r="N5686" s="1" t="str">
        <f t="shared" si="1826"/>
        <v>凡华云仓-韵达-抖音</v>
      </c>
      <c r="O5686" s="5">
        <v>320178260774861</v>
      </c>
      <c r="P5686" s="6">
        <v>0.35</v>
      </c>
      <c r="Q5686" s="11">
        <v>2.2999999999999998</v>
      </c>
      <c r="R5686" s="11"/>
      <c r="S5686" s="11"/>
      <c r="T5686" s="11"/>
      <c r="U5686" s="11">
        <f t="shared" si="1820"/>
        <v>2.2999999999999998</v>
      </c>
      <c r="W5686">
        <v>2.5</v>
      </c>
      <c r="X5686" s="1" t="s">
        <v>41</v>
      </c>
    </row>
    <row r="5687" spans="1:24" x14ac:dyDescent="0.25">
      <c r="A5687" s="1" t="str">
        <f t="shared" si="1821"/>
        <v>卡卡杜-凤凰仓</v>
      </c>
      <c r="B5687" s="1" t="str">
        <f>"CK2024101819895"</f>
        <v>CK2024101819895</v>
      </c>
      <c r="C5687" s="1" t="str">
        <f>"DD2024101845269"</f>
        <v>DD2024101845269</v>
      </c>
      <c r="D5687" s="1" t="str">
        <f>"CK2024101840499"</f>
        <v>CK2024101840499</v>
      </c>
      <c r="E5687" s="1" t="str">
        <f>"6935168689643263284"</f>
        <v>6935168689643263284</v>
      </c>
      <c r="F5687" s="1" t="str">
        <f t="shared" si="1822"/>
        <v>花都四部-凤凰仓</v>
      </c>
      <c r="G5687" s="1" t="str">
        <f t="shared" si="1827"/>
        <v>卡卡杜个人护理店（抖店）</v>
      </c>
      <c r="H5687" s="1" t="str">
        <f t="shared" si="1823"/>
        <v>正常订单</v>
      </c>
      <c r="I5687" s="1" t="str">
        <f t="shared" si="1824"/>
        <v>已发货</v>
      </c>
      <c r="J5687" s="1" t="str">
        <f t="shared" si="1829"/>
        <v>3</v>
      </c>
      <c r="K5687" s="1">
        <v>2</v>
      </c>
      <c r="L5687" s="1" t="s">
        <v>20</v>
      </c>
      <c r="M5687" s="1" t="str">
        <f>"浙江省 金华市 兰溪市 兰江街道"</f>
        <v>浙江省 金华市 兰溪市 兰江街道</v>
      </c>
      <c r="N5687" s="1" t="str">
        <f t="shared" si="1826"/>
        <v>凡华云仓-韵达-抖音</v>
      </c>
      <c r="O5687" s="5">
        <v>320178260774758</v>
      </c>
      <c r="P5687" s="6">
        <v>0.35</v>
      </c>
      <c r="Q5687" s="11">
        <v>2.2999999999999998</v>
      </c>
      <c r="R5687" s="11"/>
      <c r="S5687" s="11"/>
      <c r="T5687" s="11"/>
      <c r="U5687" s="11">
        <f t="shared" si="1820"/>
        <v>2.2999999999999998</v>
      </c>
      <c r="W5687">
        <v>2.5</v>
      </c>
      <c r="X5687" s="1" t="s">
        <v>20</v>
      </c>
    </row>
    <row r="5688" spans="1:24" x14ac:dyDescent="0.25">
      <c r="A5688" s="1" t="str">
        <f t="shared" si="1821"/>
        <v>卡卡杜-凤凰仓</v>
      </c>
      <c r="B5688" s="1" t="str">
        <f>"CK2024101819913"</f>
        <v>CK2024101819913</v>
      </c>
      <c r="C5688" s="1" t="str">
        <f>"DD2024101845287"</f>
        <v>DD2024101845287</v>
      </c>
      <c r="D5688" s="1" t="str">
        <f>"CK2024101840498"</f>
        <v>CK2024101840498</v>
      </c>
      <c r="E5688" s="1" t="str">
        <f>"6935177629852308684"</f>
        <v>6935177629852308684</v>
      </c>
      <c r="F5688" s="1" t="str">
        <f t="shared" si="1822"/>
        <v>花都四部-凤凰仓</v>
      </c>
      <c r="G5688" s="1" t="str">
        <f t="shared" si="1827"/>
        <v>卡卡杜个人护理店（抖店）</v>
      </c>
      <c r="H5688" s="1" t="str">
        <f t="shared" si="1823"/>
        <v>正常订单</v>
      </c>
      <c r="I5688" s="1" t="str">
        <f t="shared" si="1824"/>
        <v>已发货</v>
      </c>
      <c r="J5688" s="1" t="str">
        <f t="shared" si="1829"/>
        <v>3</v>
      </c>
      <c r="K5688" s="1">
        <v>2</v>
      </c>
      <c r="L5688" s="1" t="s">
        <v>30</v>
      </c>
      <c r="M5688" s="1" t="str">
        <f>"山东省 济宁市 任城区 柳行街道"</f>
        <v>山东省 济宁市 任城区 柳行街道</v>
      </c>
      <c r="N5688" s="1" t="str">
        <f t="shared" si="1826"/>
        <v>凡华云仓-韵达-抖音</v>
      </c>
      <c r="O5688" s="5">
        <v>320178260774657</v>
      </c>
      <c r="P5688" s="6">
        <v>0.35</v>
      </c>
      <c r="Q5688" s="11">
        <v>2.2999999999999998</v>
      </c>
      <c r="R5688" s="11"/>
      <c r="S5688" s="11"/>
      <c r="T5688" s="11"/>
      <c r="U5688" s="11">
        <f t="shared" si="1820"/>
        <v>2.2999999999999998</v>
      </c>
      <c r="W5688">
        <v>2.5</v>
      </c>
      <c r="X5688" s="1" t="s">
        <v>30</v>
      </c>
    </row>
    <row r="5689" spans="1:24" x14ac:dyDescent="0.25">
      <c r="A5689" s="1" t="str">
        <f t="shared" si="1821"/>
        <v>卡卡杜-凤凰仓</v>
      </c>
      <c r="B5689" s="1" t="str">
        <f>"CK2024101819891"</f>
        <v>CK2024101819891</v>
      </c>
      <c r="C5689" s="1" t="str">
        <f>"DD2024101845266"</f>
        <v>DD2024101845266</v>
      </c>
      <c r="D5689" s="1" t="str">
        <f>"CK2024101840497"</f>
        <v>CK2024101840497</v>
      </c>
      <c r="E5689" s="1" t="str">
        <f>"6935175284252218787"</f>
        <v>6935175284252218787</v>
      </c>
      <c r="F5689" s="1" t="str">
        <f t="shared" si="1822"/>
        <v>花都四部-凤凰仓</v>
      </c>
      <c r="G5689" s="1" t="str">
        <f t="shared" si="1827"/>
        <v>卡卡杜个人护理店（抖店）</v>
      </c>
      <c r="H5689" s="1" t="str">
        <f t="shared" si="1823"/>
        <v>正常订单</v>
      </c>
      <c r="I5689" s="1" t="str">
        <f t="shared" si="1824"/>
        <v>已发货</v>
      </c>
      <c r="J5689" s="1" t="str">
        <f t="shared" si="1829"/>
        <v>3</v>
      </c>
      <c r="K5689" s="1">
        <v>2</v>
      </c>
      <c r="L5689" s="1" t="s">
        <v>27</v>
      </c>
      <c r="M5689" s="1" t="str">
        <f>"贵州省 遵义市 红花岗区 南关街道"</f>
        <v>贵州省 遵义市 红花岗区 南关街道</v>
      </c>
      <c r="N5689" s="1" t="str">
        <f t="shared" si="1826"/>
        <v>凡华云仓-韵达-抖音</v>
      </c>
      <c r="O5689" s="5">
        <v>320178260774558</v>
      </c>
      <c r="P5689" s="6">
        <v>0.35</v>
      </c>
      <c r="Q5689" s="11">
        <v>2.2999999999999998</v>
      </c>
      <c r="R5689" s="11"/>
      <c r="S5689" s="11"/>
      <c r="T5689" s="11"/>
      <c r="U5689" s="11">
        <f t="shared" si="1820"/>
        <v>2.2999999999999998</v>
      </c>
      <c r="W5689">
        <v>2.5</v>
      </c>
      <c r="X5689" s="1" t="s">
        <v>27</v>
      </c>
    </row>
    <row r="5690" spans="1:24" x14ac:dyDescent="0.25">
      <c r="A5690" s="1" t="str">
        <f t="shared" si="1821"/>
        <v>卡卡杜-凤凰仓</v>
      </c>
      <c r="B5690" s="1" t="str">
        <f>"CK2024101819265"</f>
        <v>CK2024101819265</v>
      </c>
      <c r="C5690" s="1" t="str">
        <f>"DD2024101839928"</f>
        <v>DD2024101839928</v>
      </c>
      <c r="D5690" s="1" t="str">
        <f>"CK2024101837831"</f>
        <v>CK2024101837831</v>
      </c>
      <c r="E5690" s="1" t="str">
        <f>"6935152504378693066"</f>
        <v>6935152504378693066</v>
      </c>
      <c r="F5690" s="1" t="str">
        <f t="shared" si="1822"/>
        <v>花都四部-凤凰仓</v>
      </c>
      <c r="G5690" s="1" t="str">
        <f t="shared" si="1827"/>
        <v>卡卡杜个人护理店（抖店）</v>
      </c>
      <c r="H5690" s="1" t="str">
        <f t="shared" si="1823"/>
        <v>正常订单</v>
      </c>
      <c r="I5690" s="1" t="str">
        <f t="shared" si="1824"/>
        <v>已发货</v>
      </c>
      <c r="J5690" s="1" t="str">
        <f t="shared" si="1829"/>
        <v>3</v>
      </c>
      <c r="K5690" s="1">
        <v>2</v>
      </c>
      <c r="L5690" s="1" t="s">
        <v>18</v>
      </c>
      <c r="M5690" s="1" t="str">
        <f>"广东省 湛江市 霞山区 "</f>
        <v xml:space="preserve">广东省 湛江市 霞山区 </v>
      </c>
      <c r="N5690" s="1" t="str">
        <f t="shared" si="1826"/>
        <v>凡华云仓-韵达-抖音</v>
      </c>
      <c r="O5690" s="5">
        <v>320178253524171</v>
      </c>
      <c r="P5690" s="6">
        <v>0.35</v>
      </c>
      <c r="Q5690" s="11">
        <v>2.2999999999999998</v>
      </c>
      <c r="R5690" s="11"/>
      <c r="S5690" s="11"/>
      <c r="T5690" s="11"/>
      <c r="U5690" s="11">
        <f t="shared" si="1820"/>
        <v>2.2999999999999998</v>
      </c>
      <c r="W5690">
        <v>2.5</v>
      </c>
      <c r="X5690" s="1" t="s">
        <v>18</v>
      </c>
    </row>
    <row r="5691" spans="1:24" x14ac:dyDescent="0.25">
      <c r="A5691" s="1" t="str">
        <f t="shared" si="1821"/>
        <v>卡卡杜-凤凰仓</v>
      </c>
      <c r="B5691" s="1" t="str">
        <f>"CK2024101819266"</f>
        <v>CK2024101819266</v>
      </c>
      <c r="C5691" s="1" t="str">
        <f>"DD2024101839930"</f>
        <v>DD2024101839930</v>
      </c>
      <c r="D5691" s="1" t="str">
        <f>"CK2024101837830"</f>
        <v>CK2024101837830</v>
      </c>
      <c r="E5691" s="1" t="str">
        <f>"6935181758423242111"</f>
        <v>6935181758423242111</v>
      </c>
      <c r="F5691" s="1" t="str">
        <f t="shared" si="1822"/>
        <v>花都四部-凤凰仓</v>
      </c>
      <c r="G5691" s="1" t="str">
        <f t="shared" si="1827"/>
        <v>卡卡杜个人护理店（抖店）</v>
      </c>
      <c r="H5691" s="1" t="str">
        <f t="shared" si="1823"/>
        <v>正常订单</v>
      </c>
      <c r="I5691" s="1" t="str">
        <f t="shared" si="1824"/>
        <v>已发货</v>
      </c>
      <c r="J5691" s="1" t="str">
        <f t="shared" si="1829"/>
        <v>3</v>
      </c>
      <c r="K5691" s="1">
        <v>2</v>
      </c>
      <c r="L5691" s="1" t="s">
        <v>20</v>
      </c>
      <c r="M5691" s="1" t="str">
        <f>"浙江省 温州市 平阳县 万全镇"</f>
        <v>浙江省 温州市 平阳县 万全镇</v>
      </c>
      <c r="N5691" s="1" t="str">
        <f t="shared" si="1826"/>
        <v>凡华云仓-韵达-抖音</v>
      </c>
      <c r="O5691" s="5">
        <v>320178253524082</v>
      </c>
      <c r="P5691" s="6">
        <v>0.35</v>
      </c>
      <c r="Q5691" s="11">
        <v>2.2999999999999998</v>
      </c>
      <c r="R5691" s="11"/>
      <c r="S5691" s="11"/>
      <c r="T5691" s="11"/>
      <c r="U5691" s="11">
        <f t="shared" si="1820"/>
        <v>2.2999999999999998</v>
      </c>
      <c r="W5691">
        <v>2.5</v>
      </c>
      <c r="X5691" s="1" t="s">
        <v>20</v>
      </c>
    </row>
    <row r="5692" spans="1:24" x14ac:dyDescent="0.25">
      <c r="A5692" s="1" t="str">
        <f t="shared" si="1821"/>
        <v>卡卡杜-凤凰仓</v>
      </c>
      <c r="B5692" s="1" t="str">
        <f>"CK2024101819267"</f>
        <v>CK2024101819267</v>
      </c>
      <c r="C5692" s="1" t="str">
        <f>"DD2024101839933"</f>
        <v>DD2024101839933</v>
      </c>
      <c r="D5692" s="1" t="str">
        <f>"CK2024101837829"</f>
        <v>CK2024101837829</v>
      </c>
      <c r="E5692" s="1" t="str">
        <f>"6935179319637185731"</f>
        <v>6935179319637185731</v>
      </c>
      <c r="F5692" s="1" t="str">
        <f t="shared" si="1822"/>
        <v>花都四部-凤凰仓</v>
      </c>
      <c r="G5692" s="1" t="str">
        <f t="shared" si="1827"/>
        <v>卡卡杜个人护理店（抖店）</v>
      </c>
      <c r="H5692" s="1" t="str">
        <f t="shared" si="1823"/>
        <v>正常订单</v>
      </c>
      <c r="I5692" s="1" t="str">
        <f t="shared" si="1824"/>
        <v>已发货</v>
      </c>
      <c r="J5692" s="1" t="str">
        <f t="shared" si="1829"/>
        <v>3</v>
      </c>
      <c r="K5692" s="1">
        <v>2</v>
      </c>
      <c r="L5692" s="1" t="s">
        <v>94</v>
      </c>
      <c r="M5692" s="1" t="str">
        <f>"湖南省 长沙市 宁乡市 白马桥街道"</f>
        <v>湖南省 长沙市 宁乡市 白马桥街道</v>
      </c>
      <c r="N5692" s="1" t="str">
        <f t="shared" si="1826"/>
        <v>凡华云仓-韵达-抖音</v>
      </c>
      <c r="O5692" s="5">
        <v>320178253523960</v>
      </c>
      <c r="P5692" s="6">
        <v>0.35</v>
      </c>
      <c r="Q5692" s="11">
        <v>2.2999999999999998</v>
      </c>
      <c r="R5692" s="11"/>
      <c r="S5692" s="11"/>
      <c r="T5692" s="11"/>
      <c r="U5692" s="11">
        <f t="shared" si="1820"/>
        <v>2.2999999999999998</v>
      </c>
      <c r="W5692">
        <v>2.5</v>
      </c>
      <c r="X5692" s="1" t="s">
        <v>94</v>
      </c>
    </row>
    <row r="5693" spans="1:24" x14ac:dyDescent="0.25">
      <c r="A5693" s="1" t="str">
        <f t="shared" si="1821"/>
        <v>卡卡杜-凤凰仓</v>
      </c>
      <c r="B5693" s="1" t="str">
        <f>"CK2024101819268"</f>
        <v>CK2024101819268</v>
      </c>
      <c r="C5693" s="1" t="str">
        <f>"DD2024101839929"</f>
        <v>DD2024101839929</v>
      </c>
      <c r="D5693" s="1" t="str">
        <f>"CK2024101837828"</f>
        <v>CK2024101837828</v>
      </c>
      <c r="E5693" s="1" t="str">
        <f>"6935154877885322587"</f>
        <v>6935154877885322587</v>
      </c>
      <c r="F5693" s="1" t="str">
        <f t="shared" si="1822"/>
        <v>花都四部-凤凰仓</v>
      </c>
      <c r="G5693" s="1" t="str">
        <f t="shared" si="1827"/>
        <v>卡卡杜个人护理店（抖店）</v>
      </c>
      <c r="H5693" s="1" t="str">
        <f t="shared" si="1823"/>
        <v>正常订单</v>
      </c>
      <c r="I5693" s="1" t="str">
        <f t="shared" si="1824"/>
        <v>已发货</v>
      </c>
      <c r="J5693" s="1" t="str">
        <f t="shared" si="1829"/>
        <v>3</v>
      </c>
      <c r="K5693" s="1">
        <v>2</v>
      </c>
      <c r="L5693" s="1" t="s">
        <v>60</v>
      </c>
      <c r="M5693" s="1" t="str">
        <f>"云南省 文山壮族苗族自治州 麻栗坡县 麻栗镇"</f>
        <v>云南省 文山壮族苗族自治州 麻栗坡县 麻栗镇</v>
      </c>
      <c r="N5693" s="1" t="str">
        <f t="shared" si="1826"/>
        <v>凡华云仓-韵达-抖音</v>
      </c>
      <c r="O5693" s="5">
        <v>320178253523855</v>
      </c>
      <c r="P5693" s="6">
        <v>0.35</v>
      </c>
      <c r="Q5693" s="11">
        <v>2.2999999999999998</v>
      </c>
      <c r="R5693" s="11"/>
      <c r="S5693" s="11"/>
      <c r="T5693" s="11"/>
      <c r="U5693" s="11">
        <f t="shared" si="1820"/>
        <v>2.2999999999999998</v>
      </c>
      <c r="W5693">
        <v>2.5</v>
      </c>
      <c r="X5693" s="1" t="s">
        <v>60</v>
      </c>
    </row>
    <row r="5694" spans="1:24" x14ac:dyDescent="0.25">
      <c r="A5694" s="1" t="str">
        <f t="shared" si="1821"/>
        <v>卡卡杜-凤凰仓</v>
      </c>
      <c r="B5694" s="1" t="str">
        <f>"CK2024101819270"</f>
        <v>CK2024101819270</v>
      </c>
      <c r="C5694" s="1" t="str">
        <f>"DD2024101839934"</f>
        <v>DD2024101839934</v>
      </c>
      <c r="D5694" s="1" t="str">
        <f>"CK2024101837827"</f>
        <v>CK2024101837827</v>
      </c>
      <c r="E5694" s="1" t="str">
        <f>"6935168581329622732"</f>
        <v>6935168581329622732</v>
      </c>
      <c r="F5694" s="1" t="str">
        <f t="shared" si="1822"/>
        <v>花都四部-凤凰仓</v>
      </c>
      <c r="G5694" s="1" t="str">
        <f t="shared" si="1827"/>
        <v>卡卡杜个人护理店（抖店）</v>
      </c>
      <c r="H5694" s="1" t="str">
        <f t="shared" si="1823"/>
        <v>正常订单</v>
      </c>
      <c r="I5694" s="1" t="str">
        <f t="shared" si="1824"/>
        <v>已发货</v>
      </c>
      <c r="J5694" s="1" t="str">
        <f t="shared" si="1829"/>
        <v>3</v>
      </c>
      <c r="K5694" s="1">
        <v>2</v>
      </c>
      <c r="L5694" s="1" t="s">
        <v>22</v>
      </c>
      <c r="M5694" s="1" t="str">
        <f>"江西省 赣州市 全南县 城厢镇"</f>
        <v>江西省 赣州市 全南县 城厢镇</v>
      </c>
      <c r="N5694" s="1" t="str">
        <f t="shared" si="1826"/>
        <v>凡华云仓-韵达-抖音</v>
      </c>
      <c r="O5694" s="5">
        <v>320178253523752</v>
      </c>
      <c r="P5694" s="6">
        <v>0.35</v>
      </c>
      <c r="Q5694" s="11">
        <v>2.2999999999999998</v>
      </c>
      <c r="R5694" s="11"/>
      <c r="S5694" s="11"/>
      <c r="T5694" s="11"/>
      <c r="U5694" s="11">
        <f t="shared" si="1820"/>
        <v>2.2999999999999998</v>
      </c>
      <c r="W5694">
        <v>2.5</v>
      </c>
      <c r="X5694" s="1" t="s">
        <v>22</v>
      </c>
    </row>
    <row r="5695" spans="1:24" x14ac:dyDescent="0.25">
      <c r="A5695" s="1" t="str">
        <f t="shared" si="1821"/>
        <v>卡卡杜-凤凰仓</v>
      </c>
      <c r="B5695" s="1" t="str">
        <f>"CK2024101819264"</f>
        <v>CK2024101819264</v>
      </c>
      <c r="C5695" s="1" t="str">
        <f>"DD2024101839931"</f>
        <v>DD2024101839931</v>
      </c>
      <c r="D5695" s="1" t="str">
        <f>"CK2024101837826"</f>
        <v>CK2024101837826</v>
      </c>
      <c r="E5695" s="1" t="str">
        <f>"6935183783597709199"</f>
        <v>6935183783597709199</v>
      </c>
      <c r="F5695" s="1" t="str">
        <f t="shared" si="1822"/>
        <v>花都四部-凤凰仓</v>
      </c>
      <c r="G5695" s="1" t="str">
        <f t="shared" si="1827"/>
        <v>卡卡杜个人护理店（抖店）</v>
      </c>
      <c r="H5695" s="1" t="str">
        <f t="shared" si="1823"/>
        <v>正常订单</v>
      </c>
      <c r="I5695" s="1" t="str">
        <f t="shared" si="1824"/>
        <v>已发货</v>
      </c>
      <c r="J5695" s="1" t="str">
        <f t="shared" si="1829"/>
        <v>3</v>
      </c>
      <c r="K5695" s="1">
        <v>2</v>
      </c>
      <c r="L5695" s="1" t="s">
        <v>24</v>
      </c>
      <c r="M5695" s="1" t="str">
        <f>"福建省 漳州市 漳浦县 深土镇"</f>
        <v>福建省 漳州市 漳浦县 深土镇</v>
      </c>
      <c r="N5695" s="1" t="str">
        <f t="shared" si="1826"/>
        <v>凡华云仓-韵达-抖音</v>
      </c>
      <c r="O5695" s="5">
        <v>320178253523651</v>
      </c>
      <c r="P5695" s="6">
        <v>0.35</v>
      </c>
      <c r="Q5695" s="11">
        <v>2.2999999999999998</v>
      </c>
      <c r="R5695" s="11"/>
      <c r="S5695" s="11"/>
      <c r="T5695" s="11"/>
      <c r="U5695" s="11">
        <f t="shared" si="1820"/>
        <v>2.2999999999999998</v>
      </c>
      <c r="W5695">
        <v>2.5</v>
      </c>
      <c r="X5695" s="1" t="s">
        <v>24</v>
      </c>
    </row>
    <row r="5696" spans="1:24" x14ac:dyDescent="0.25">
      <c r="A5696" s="1" t="str">
        <f t="shared" si="1821"/>
        <v>卡卡杜-凤凰仓</v>
      </c>
      <c r="B5696" s="1" t="str">
        <f>"CK2024101819269"</f>
        <v>CK2024101819269</v>
      </c>
      <c r="C5696" s="1" t="str">
        <f>"DD2024101839932"</f>
        <v>DD2024101839932</v>
      </c>
      <c r="D5696" s="1" t="str">
        <f>"CK2024101837825"</f>
        <v>CK2024101837825</v>
      </c>
      <c r="E5696" s="1" t="str">
        <f>"6935152511124640785"</f>
        <v>6935152511124640785</v>
      </c>
      <c r="F5696" s="1" t="str">
        <f t="shared" si="1822"/>
        <v>花都四部-凤凰仓</v>
      </c>
      <c r="G5696" s="1" t="str">
        <f t="shared" si="1827"/>
        <v>卡卡杜个人护理店（抖店）</v>
      </c>
      <c r="H5696" s="1" t="str">
        <f t="shared" si="1823"/>
        <v>正常订单</v>
      </c>
      <c r="I5696" s="1" t="str">
        <f t="shared" si="1824"/>
        <v>已发货</v>
      </c>
      <c r="J5696" s="1" t="str">
        <f t="shared" si="1829"/>
        <v>3</v>
      </c>
      <c r="K5696" s="1">
        <v>2</v>
      </c>
      <c r="L5696" s="1" t="s">
        <v>20</v>
      </c>
      <c r="M5696" s="1" t="str">
        <f>"浙江省 湖州市 安吉县 递铺街道"</f>
        <v>浙江省 湖州市 安吉县 递铺街道</v>
      </c>
      <c r="N5696" s="1" t="str">
        <f t="shared" si="1826"/>
        <v>凡华云仓-韵达-抖音</v>
      </c>
      <c r="O5696" s="5">
        <v>320178253523552</v>
      </c>
      <c r="P5696" s="6">
        <v>0.35</v>
      </c>
      <c r="Q5696" s="11">
        <v>2.2999999999999998</v>
      </c>
      <c r="R5696" s="11"/>
      <c r="S5696" s="11"/>
      <c r="T5696" s="11"/>
      <c r="U5696" s="11">
        <f t="shared" si="1820"/>
        <v>2.2999999999999998</v>
      </c>
      <c r="W5696">
        <v>2.5</v>
      </c>
      <c r="X5696" s="1" t="s">
        <v>20</v>
      </c>
    </row>
    <row r="5697" spans="1:24" x14ac:dyDescent="0.25">
      <c r="A5697" s="1" t="str">
        <f t="shared" si="1821"/>
        <v>卡卡杜-凤凰仓</v>
      </c>
      <c r="B5697" s="1" t="str">
        <f>"CK2024101819301"</f>
        <v>CK2024101819301</v>
      </c>
      <c r="C5697" s="1" t="str">
        <f>"DD2024101840483"</f>
        <v>DD2024101840483</v>
      </c>
      <c r="D5697" s="1" t="str">
        <f>"CK2024101837824"</f>
        <v>CK2024101837824</v>
      </c>
      <c r="E5697" s="1" t="str">
        <f>"KKD20241018YP001"</f>
        <v>KKD20241018YP001</v>
      </c>
      <c r="F5697" s="1" t="str">
        <f t="shared" si="1822"/>
        <v>花都四部-凤凰仓</v>
      </c>
      <c r="G5697" s="1" t="str">
        <f t="shared" ref="G5697:G5706" si="1830">"卡卡杜全欣样品"</f>
        <v>卡卡杜全欣样品</v>
      </c>
      <c r="H5697" s="1" t="str">
        <f t="shared" si="1823"/>
        <v>正常订单</v>
      </c>
      <c r="I5697" s="1" t="str">
        <f t="shared" si="1824"/>
        <v>已发货</v>
      </c>
      <c r="J5697" s="1" t="str">
        <f>"15"</f>
        <v>15</v>
      </c>
      <c r="K5697" s="1">
        <v>10</v>
      </c>
      <c r="L5697" s="1" t="s">
        <v>161</v>
      </c>
      <c r="M5697" s="1" t="str">
        <f>"四川省 成都市 青羊区 "</f>
        <v xml:space="preserve">四川省 成都市 青羊区 </v>
      </c>
      <c r="N5697" s="1" t="str">
        <f t="shared" ref="N5697:N5706" si="1831">"凡华云仓-韵达-淘宝"</f>
        <v>凡华云仓-韵达-淘宝</v>
      </c>
      <c r="O5697" s="3">
        <v>434196879095297</v>
      </c>
      <c r="P5697" s="6">
        <v>1.62</v>
      </c>
      <c r="Q5697" s="11">
        <f t="shared" ref="Q5697:Q5706" si="1832">CEILING(P5697-0.5,0.1)*10*0.15+2.3</f>
        <v>4.0999999999999996</v>
      </c>
      <c r="R5697" s="11">
        <f t="shared" ref="R5697:R5702" si="1833">(K5697-3)*0.1</f>
        <v>0.70000000000000007</v>
      </c>
      <c r="S5697" s="11">
        <v>0.15</v>
      </c>
      <c r="T5697" s="11"/>
      <c r="U5697" s="11">
        <f t="shared" si="1820"/>
        <v>4.9499999999999993</v>
      </c>
      <c r="V5697" t="s">
        <v>15</v>
      </c>
      <c r="W5697">
        <v>4.95</v>
      </c>
      <c r="X5697" s="1" t="s">
        <v>161</v>
      </c>
    </row>
    <row r="5698" spans="1:24" x14ac:dyDescent="0.25">
      <c r="A5698" s="1" t="str">
        <f t="shared" si="1821"/>
        <v>卡卡杜-凤凰仓</v>
      </c>
      <c r="B5698" s="1" t="str">
        <f>"CK2024101819298"</f>
        <v>CK2024101819298</v>
      </c>
      <c r="C5698" s="1" t="str">
        <f>"DD2024101840481"</f>
        <v>DD2024101840481</v>
      </c>
      <c r="D5698" s="1" t="str">
        <f>"CK2024101837823"</f>
        <v>CK2024101837823</v>
      </c>
      <c r="E5698" s="1" t="str">
        <f>"KKD20241018YP004"</f>
        <v>KKD20241018YP004</v>
      </c>
      <c r="F5698" s="1" t="str">
        <f t="shared" si="1822"/>
        <v>花都四部-凤凰仓</v>
      </c>
      <c r="G5698" s="1" t="str">
        <f t="shared" si="1830"/>
        <v>卡卡杜全欣样品</v>
      </c>
      <c r="H5698" s="1" t="str">
        <f t="shared" si="1823"/>
        <v>正常订单</v>
      </c>
      <c r="I5698" s="1" t="str">
        <f t="shared" si="1824"/>
        <v>已发货</v>
      </c>
      <c r="J5698" s="1" t="str">
        <f>"13"</f>
        <v>13</v>
      </c>
      <c r="K5698" s="1">
        <v>10</v>
      </c>
      <c r="L5698" s="1" t="s">
        <v>30</v>
      </c>
      <c r="M5698" s="1" t="str">
        <f>"山东省 青岛市 胶州市 "</f>
        <v xml:space="preserve">山东省 青岛市 胶州市 </v>
      </c>
      <c r="N5698" s="1" t="str">
        <f t="shared" si="1831"/>
        <v>凡华云仓-韵达-淘宝</v>
      </c>
      <c r="O5698" s="3">
        <v>434196892304823</v>
      </c>
      <c r="P5698" s="6">
        <v>1.4</v>
      </c>
      <c r="Q5698" s="11">
        <f t="shared" si="1832"/>
        <v>3.6499999999999995</v>
      </c>
      <c r="R5698" s="11">
        <f t="shared" si="1833"/>
        <v>0.70000000000000007</v>
      </c>
      <c r="S5698" s="11">
        <v>0.15</v>
      </c>
      <c r="T5698" s="11"/>
      <c r="U5698" s="11">
        <f t="shared" si="1820"/>
        <v>4.5</v>
      </c>
      <c r="V5698" t="s">
        <v>15</v>
      </c>
      <c r="W5698">
        <v>4.5</v>
      </c>
      <c r="X5698" s="1" t="s">
        <v>30</v>
      </c>
    </row>
    <row r="5699" spans="1:24" x14ac:dyDescent="0.25">
      <c r="A5699" s="1" t="str">
        <f t="shared" si="1821"/>
        <v>卡卡杜-凤凰仓</v>
      </c>
      <c r="B5699" s="1" t="str">
        <f>"CK2024101819293"</f>
        <v>CK2024101819293</v>
      </c>
      <c r="C5699" s="1" t="str">
        <f>"DD2024101840472"</f>
        <v>DD2024101840472</v>
      </c>
      <c r="D5699" s="1" t="str">
        <f>"CK2024101837822"</f>
        <v>CK2024101837822</v>
      </c>
      <c r="E5699" s="1" t="str">
        <f>"KKD20241018YP009"</f>
        <v>KKD20241018YP009</v>
      </c>
      <c r="F5699" s="1" t="str">
        <f t="shared" si="1822"/>
        <v>花都四部-凤凰仓</v>
      </c>
      <c r="G5699" s="1" t="str">
        <f t="shared" si="1830"/>
        <v>卡卡杜全欣样品</v>
      </c>
      <c r="H5699" s="1" t="str">
        <f t="shared" si="1823"/>
        <v>正常订单</v>
      </c>
      <c r="I5699" s="1" t="str">
        <f t="shared" si="1824"/>
        <v>已发货</v>
      </c>
      <c r="J5699" s="1" t="str">
        <f t="shared" ref="J5699:J5701" si="1834">"6"</f>
        <v>6</v>
      </c>
      <c r="K5699" s="1">
        <v>3</v>
      </c>
      <c r="L5699" s="1" t="s">
        <v>94</v>
      </c>
      <c r="M5699" s="1" t="str">
        <f>"湖南省 长沙市 岳麓区 "</f>
        <v xml:space="preserve">湖南省 长沙市 岳麓区 </v>
      </c>
      <c r="N5699" s="1" t="str">
        <f>"凡华云仓-竹料中通-菜鸟"</f>
        <v>凡华云仓-竹料中通-菜鸟</v>
      </c>
      <c r="O5699" s="3">
        <v>78844700411671</v>
      </c>
      <c r="P5699" s="6">
        <v>0.81</v>
      </c>
      <c r="Q5699" s="11">
        <f>CEILING(P5699-0.5,0.1)*10*0.15+2.6</f>
        <v>3.2</v>
      </c>
      <c r="R5699" s="11"/>
      <c r="S5699" s="11">
        <v>0.15</v>
      </c>
      <c r="T5699" s="11"/>
      <c r="U5699" s="11">
        <f t="shared" ref="U5699:U5762" si="1835">T5699+S5699+R5699+Q5699</f>
        <v>3.35</v>
      </c>
      <c r="V5699" t="s">
        <v>15</v>
      </c>
      <c r="W5699">
        <v>3.35</v>
      </c>
      <c r="X5699" s="1" t="s">
        <v>94</v>
      </c>
    </row>
    <row r="5700" spans="1:24" x14ac:dyDescent="0.25">
      <c r="A5700" s="1" t="str">
        <f t="shared" si="1821"/>
        <v>卡卡杜-凤凰仓</v>
      </c>
      <c r="B5700" s="1" t="str">
        <f>"CK2024101819292"</f>
        <v>CK2024101819292</v>
      </c>
      <c r="C5700" s="1" t="str">
        <f>"DD2024101840473"</f>
        <v>DD2024101840473</v>
      </c>
      <c r="D5700" s="1" t="str">
        <f>"CK2024101837821"</f>
        <v>CK2024101837821</v>
      </c>
      <c r="E5700" s="1" t="str">
        <f>"KKD20241018YP010"</f>
        <v>KKD20241018YP010</v>
      </c>
      <c r="F5700" s="1" t="str">
        <f t="shared" si="1822"/>
        <v>花都四部-凤凰仓</v>
      </c>
      <c r="G5700" s="1" t="str">
        <f t="shared" si="1830"/>
        <v>卡卡杜全欣样品</v>
      </c>
      <c r="H5700" s="1" t="str">
        <f t="shared" si="1823"/>
        <v>正常订单</v>
      </c>
      <c r="I5700" s="1" t="str">
        <f t="shared" si="1824"/>
        <v>已发货</v>
      </c>
      <c r="J5700" s="1" t="str">
        <f t="shared" si="1834"/>
        <v>6</v>
      </c>
      <c r="K5700" s="1">
        <v>3</v>
      </c>
      <c r="L5700" s="1" t="s">
        <v>92</v>
      </c>
      <c r="M5700" s="1" t="str">
        <f>"辽宁省 丹东市 凤城市 "</f>
        <v xml:space="preserve">辽宁省 丹东市 凤城市 </v>
      </c>
      <c r="N5700" s="1" t="str">
        <f t="shared" si="1831"/>
        <v>凡华云仓-韵达-淘宝</v>
      </c>
      <c r="O5700" s="3">
        <v>434196885358129</v>
      </c>
      <c r="P5700" s="6">
        <v>0.81</v>
      </c>
      <c r="Q5700" s="11">
        <f t="shared" si="1832"/>
        <v>2.9</v>
      </c>
      <c r="R5700" s="11"/>
      <c r="S5700" s="11">
        <v>0.15</v>
      </c>
      <c r="T5700" s="11"/>
      <c r="U5700" s="11">
        <f t="shared" si="1835"/>
        <v>3.05</v>
      </c>
      <c r="V5700" t="s">
        <v>15</v>
      </c>
      <c r="W5700">
        <v>3.05</v>
      </c>
      <c r="X5700" s="1" t="s">
        <v>92</v>
      </c>
    </row>
    <row r="5701" spans="1:24" x14ac:dyDescent="0.25">
      <c r="A5701" s="1" t="str">
        <f t="shared" ref="A5701:A5764" si="1836">"卡卡杜-凤凰仓"</f>
        <v>卡卡杜-凤凰仓</v>
      </c>
      <c r="B5701" s="1" t="str">
        <f>"CK2024101819294"</f>
        <v>CK2024101819294</v>
      </c>
      <c r="C5701" s="1" t="str">
        <f>"DD2024101840474"</f>
        <v>DD2024101840474</v>
      </c>
      <c r="D5701" s="1" t="str">
        <f>"CK2024101837820"</f>
        <v>CK2024101837820</v>
      </c>
      <c r="E5701" s="1" t="str">
        <f>"KKD20241018YP008"</f>
        <v>KKD20241018YP008</v>
      </c>
      <c r="F5701" s="1" t="str">
        <f t="shared" ref="F5701:F5764" si="1837">"花都四部-凤凰仓"</f>
        <v>花都四部-凤凰仓</v>
      </c>
      <c r="G5701" s="1" t="str">
        <f t="shared" si="1830"/>
        <v>卡卡杜全欣样品</v>
      </c>
      <c r="H5701" s="1" t="str">
        <f t="shared" ref="H5701:H5764" si="1838">"正常订单"</f>
        <v>正常订单</v>
      </c>
      <c r="I5701" s="1" t="str">
        <f t="shared" ref="I5701:I5764" si="1839">"已发货"</f>
        <v>已发货</v>
      </c>
      <c r="J5701" s="1" t="str">
        <f t="shared" si="1834"/>
        <v>6</v>
      </c>
      <c r="K5701" s="1">
        <v>3</v>
      </c>
      <c r="L5701" s="1" t="s">
        <v>54</v>
      </c>
      <c r="M5701" s="1" t="str">
        <f>"黑龙江省 哈尔滨市 南岗区 "</f>
        <v xml:space="preserve">黑龙江省 哈尔滨市 南岗区 </v>
      </c>
      <c r="N5701" s="1" t="str">
        <f t="shared" si="1831"/>
        <v>凡华云仓-韵达-淘宝</v>
      </c>
      <c r="O5701" s="3">
        <v>434196885358033</v>
      </c>
      <c r="P5701" s="6">
        <v>0.81</v>
      </c>
      <c r="Q5701" s="11">
        <f t="shared" si="1832"/>
        <v>2.9</v>
      </c>
      <c r="R5701" s="11"/>
      <c r="S5701" s="11">
        <v>0.15</v>
      </c>
      <c r="T5701" s="11"/>
      <c r="U5701" s="11">
        <f t="shared" si="1835"/>
        <v>3.05</v>
      </c>
      <c r="V5701" t="s">
        <v>15</v>
      </c>
      <c r="W5701">
        <v>3.05</v>
      </c>
      <c r="X5701" s="1" t="s">
        <v>54</v>
      </c>
    </row>
    <row r="5702" spans="1:24" x14ac:dyDescent="0.25">
      <c r="A5702" s="1" t="str">
        <f t="shared" si="1836"/>
        <v>卡卡杜-凤凰仓</v>
      </c>
      <c r="B5702" s="1" t="str">
        <f>"CK2024101819300"</f>
        <v>CK2024101819300</v>
      </c>
      <c r="C5702" s="1" t="str">
        <f>"DD2024101840482"</f>
        <v>DD2024101840482</v>
      </c>
      <c r="D5702" s="1" t="str">
        <f>"CK2024101837819"</f>
        <v>CK2024101837819</v>
      </c>
      <c r="E5702" s="1" t="str">
        <f>"KKD20241018YP002"</f>
        <v>KKD20241018YP002</v>
      </c>
      <c r="F5702" s="1" t="str">
        <f t="shared" si="1837"/>
        <v>花都四部-凤凰仓</v>
      </c>
      <c r="G5702" s="1" t="str">
        <f t="shared" si="1830"/>
        <v>卡卡杜全欣样品</v>
      </c>
      <c r="H5702" s="1" t="str">
        <f t="shared" si="1838"/>
        <v>正常订单</v>
      </c>
      <c r="I5702" s="1" t="str">
        <f t="shared" si="1839"/>
        <v>已发货</v>
      </c>
      <c r="J5702" s="1" t="str">
        <f>"10"</f>
        <v>10</v>
      </c>
      <c r="K5702" s="1">
        <v>7</v>
      </c>
      <c r="L5702" s="1" t="s">
        <v>13</v>
      </c>
      <c r="M5702" s="1" t="str">
        <f>"江苏省 徐州市 邳州市 "</f>
        <v xml:space="preserve">江苏省 徐州市 邳州市 </v>
      </c>
      <c r="N5702" s="1" t="str">
        <f t="shared" si="1831"/>
        <v>凡华云仓-韵达-淘宝</v>
      </c>
      <c r="O5702" s="3">
        <v>434196885357995</v>
      </c>
      <c r="P5702" s="6">
        <v>1.28</v>
      </c>
      <c r="Q5702" s="11">
        <f t="shared" si="1832"/>
        <v>3.5</v>
      </c>
      <c r="R5702" s="11">
        <f t="shared" si="1833"/>
        <v>0.4</v>
      </c>
      <c r="S5702" s="11">
        <v>0.15</v>
      </c>
      <c r="T5702" s="11"/>
      <c r="U5702" s="11">
        <f t="shared" si="1835"/>
        <v>4.05</v>
      </c>
      <c r="V5702" t="s">
        <v>15</v>
      </c>
      <c r="W5702">
        <v>4.05</v>
      </c>
      <c r="X5702" s="1" t="s">
        <v>13</v>
      </c>
    </row>
    <row r="5703" spans="1:24" x14ac:dyDescent="0.25">
      <c r="A5703" s="1" t="str">
        <f t="shared" si="1836"/>
        <v>卡卡杜-凤凰仓</v>
      </c>
      <c r="B5703" s="1" t="str">
        <f>"CK2024101819295"</f>
        <v>CK2024101819295</v>
      </c>
      <c r="C5703" s="1" t="str">
        <f>"DD2024101840477"</f>
        <v>DD2024101840477</v>
      </c>
      <c r="D5703" s="1" t="str">
        <f>"CK2024101837818"</f>
        <v>CK2024101837818</v>
      </c>
      <c r="E5703" s="1" t="str">
        <f>"KKD20241018YP007"</f>
        <v>KKD20241018YP007</v>
      </c>
      <c r="F5703" s="1" t="str">
        <f t="shared" si="1837"/>
        <v>花都四部-凤凰仓</v>
      </c>
      <c r="G5703" s="1" t="str">
        <f t="shared" si="1830"/>
        <v>卡卡杜全欣样品</v>
      </c>
      <c r="H5703" s="1" t="str">
        <f t="shared" si="1838"/>
        <v>正常订单</v>
      </c>
      <c r="I5703" s="1" t="str">
        <f t="shared" si="1839"/>
        <v>已发货</v>
      </c>
      <c r="J5703" s="1" t="str">
        <f>"6"</f>
        <v>6</v>
      </c>
      <c r="K5703" s="1">
        <v>3</v>
      </c>
      <c r="L5703" s="1" t="s">
        <v>109</v>
      </c>
      <c r="M5703" s="1" t="str">
        <f>"山西省 太原市 小店区 "</f>
        <v xml:space="preserve">山西省 太原市 小店区 </v>
      </c>
      <c r="N5703" s="1" t="str">
        <f t="shared" si="1831"/>
        <v>凡华云仓-韵达-淘宝</v>
      </c>
      <c r="O5703" s="3">
        <v>434196885357800</v>
      </c>
      <c r="P5703" s="6">
        <v>0.81</v>
      </c>
      <c r="Q5703" s="11">
        <f t="shared" si="1832"/>
        <v>2.9</v>
      </c>
      <c r="R5703" s="11"/>
      <c r="S5703" s="11">
        <v>0.15</v>
      </c>
      <c r="T5703" s="11"/>
      <c r="U5703" s="11">
        <f t="shared" si="1835"/>
        <v>3.05</v>
      </c>
      <c r="V5703" t="s">
        <v>15</v>
      </c>
      <c r="W5703">
        <v>3.05</v>
      </c>
      <c r="X5703" s="1" t="s">
        <v>109</v>
      </c>
    </row>
    <row r="5704" spans="1:24" x14ac:dyDescent="0.25">
      <c r="A5704" s="1" t="str">
        <f t="shared" si="1836"/>
        <v>卡卡杜-凤凰仓</v>
      </c>
      <c r="B5704" s="1" t="str">
        <f>"CK2024101819297"</f>
        <v>CK2024101819297</v>
      </c>
      <c r="C5704" s="1" t="str">
        <f>"DD2024101840480"</f>
        <v>DD2024101840480</v>
      </c>
      <c r="D5704" s="1" t="str">
        <f>"CK2024101837816"</f>
        <v>CK2024101837816</v>
      </c>
      <c r="E5704" s="1" t="str">
        <f>"KKD20241018YP005"</f>
        <v>KKD20241018YP005</v>
      </c>
      <c r="F5704" s="1" t="str">
        <f t="shared" si="1837"/>
        <v>花都四部-凤凰仓</v>
      </c>
      <c r="G5704" s="1" t="str">
        <f t="shared" si="1830"/>
        <v>卡卡杜全欣样品</v>
      </c>
      <c r="H5704" s="1" t="str">
        <f t="shared" si="1838"/>
        <v>正常订单</v>
      </c>
      <c r="I5704" s="1" t="str">
        <f t="shared" si="1839"/>
        <v>已发货</v>
      </c>
      <c r="J5704" s="1" t="str">
        <f>"15"</f>
        <v>15</v>
      </c>
      <c r="K5704" s="1">
        <v>10</v>
      </c>
      <c r="L5704" s="1" t="s">
        <v>18</v>
      </c>
      <c r="M5704" s="1" t="str">
        <f>"广东省 深圳市 罗湖区 "</f>
        <v xml:space="preserve">广东省 深圳市 罗湖区 </v>
      </c>
      <c r="N5704" s="1" t="str">
        <f t="shared" si="1831"/>
        <v>凡华云仓-韵达-淘宝</v>
      </c>
      <c r="O5704" s="3">
        <v>434196885357610</v>
      </c>
      <c r="P5704" s="6">
        <v>1.62</v>
      </c>
      <c r="Q5704" s="11">
        <f t="shared" si="1832"/>
        <v>4.0999999999999996</v>
      </c>
      <c r="R5704" s="11">
        <f>(K5704-3)*0.1</f>
        <v>0.70000000000000007</v>
      </c>
      <c r="S5704" s="11">
        <v>0.15</v>
      </c>
      <c r="T5704" s="11"/>
      <c r="U5704" s="11">
        <f t="shared" si="1835"/>
        <v>4.9499999999999993</v>
      </c>
      <c r="V5704" t="s">
        <v>15</v>
      </c>
      <c r="W5704">
        <v>4.95</v>
      </c>
      <c r="X5704" s="1" t="s">
        <v>18</v>
      </c>
    </row>
    <row r="5705" spans="1:24" x14ac:dyDescent="0.25">
      <c r="A5705" s="1" t="str">
        <f t="shared" si="1836"/>
        <v>卡卡杜-凤凰仓</v>
      </c>
      <c r="B5705" s="1" t="str">
        <f>"CK2024101413595"</f>
        <v>CK2024101413595</v>
      </c>
      <c r="C5705" s="1" t="str">
        <f>"DD2024101460103"</f>
        <v>DD2024101460103</v>
      </c>
      <c r="D5705" s="1" t="str">
        <f>"CK2024101455079"</f>
        <v>CK2024101455079</v>
      </c>
      <c r="E5705" s="1" t="str">
        <f>"KKD20241014YP013"</f>
        <v>KKD20241014YP013</v>
      </c>
      <c r="F5705" s="1" t="str">
        <f t="shared" si="1837"/>
        <v>花都四部-凤凰仓</v>
      </c>
      <c r="G5705" s="1" t="str">
        <f t="shared" si="1830"/>
        <v>卡卡杜全欣样品</v>
      </c>
      <c r="H5705" s="1" t="str">
        <f t="shared" si="1838"/>
        <v>正常订单</v>
      </c>
      <c r="I5705" s="1" t="str">
        <f t="shared" si="1839"/>
        <v>已发货</v>
      </c>
      <c r="J5705" s="1" t="str">
        <f>"4"</f>
        <v>4</v>
      </c>
      <c r="K5705" s="1">
        <v>3</v>
      </c>
      <c r="L5705" s="1" t="s">
        <v>47</v>
      </c>
      <c r="M5705" s="1" t="str">
        <f>"重庆 重庆市 渝北区 "</f>
        <v xml:space="preserve">重庆 重庆市 渝北区 </v>
      </c>
      <c r="N5705" s="1" t="str">
        <f t="shared" si="1831"/>
        <v>凡华云仓-韵达-淘宝</v>
      </c>
      <c r="O5705" s="3">
        <v>434188988823727</v>
      </c>
      <c r="P5705" s="6">
        <v>0.57999999999999996</v>
      </c>
      <c r="Q5705" s="11">
        <f t="shared" si="1832"/>
        <v>2.4499999999999997</v>
      </c>
      <c r="R5705" s="11"/>
      <c r="S5705" s="11">
        <v>0.15</v>
      </c>
      <c r="T5705" s="11"/>
      <c r="U5705" s="11">
        <f t="shared" si="1835"/>
        <v>2.5999999999999996</v>
      </c>
      <c r="V5705" t="s">
        <v>15</v>
      </c>
      <c r="W5705">
        <v>2.6</v>
      </c>
      <c r="X5705" s="1" t="s">
        <v>47</v>
      </c>
    </row>
    <row r="5706" spans="1:24" x14ac:dyDescent="0.25">
      <c r="A5706" s="1" t="str">
        <f t="shared" si="1836"/>
        <v>卡卡杜-凤凰仓</v>
      </c>
      <c r="B5706" s="1" t="str">
        <f>"CK2024101819296"</f>
        <v>CK2024101819296</v>
      </c>
      <c r="C5706" s="1" t="str">
        <f>"DD2024101840478"</f>
        <v>DD2024101840478</v>
      </c>
      <c r="D5706" s="1" t="str">
        <f>"CK2024101837814"</f>
        <v>CK2024101837814</v>
      </c>
      <c r="E5706" s="1" t="str">
        <f>"KKD20241018YP006"</f>
        <v>KKD20241018YP006</v>
      </c>
      <c r="F5706" s="1" t="str">
        <f t="shared" si="1837"/>
        <v>花都四部-凤凰仓</v>
      </c>
      <c r="G5706" s="1" t="str">
        <f t="shared" si="1830"/>
        <v>卡卡杜全欣样品</v>
      </c>
      <c r="H5706" s="1" t="str">
        <f t="shared" si="1838"/>
        <v>正常订单</v>
      </c>
      <c r="I5706" s="1" t="str">
        <f t="shared" si="1839"/>
        <v>已发货</v>
      </c>
      <c r="J5706" s="1" t="str">
        <f>"8"</f>
        <v>8</v>
      </c>
      <c r="K5706" s="1">
        <v>3</v>
      </c>
      <c r="L5706" s="1" t="s">
        <v>18</v>
      </c>
      <c r="M5706" s="1" t="str">
        <f>"广东省 惠州市 惠阳区 "</f>
        <v xml:space="preserve">广东省 惠州市 惠阳区 </v>
      </c>
      <c r="N5706" s="1" t="str">
        <f t="shared" si="1831"/>
        <v>凡华云仓-韵达-淘宝</v>
      </c>
      <c r="O5706" s="3">
        <v>434196885357420</v>
      </c>
      <c r="P5706" s="6">
        <v>1.06</v>
      </c>
      <c r="Q5706" s="11">
        <f t="shared" si="1832"/>
        <v>3.2</v>
      </c>
      <c r="R5706" s="11"/>
      <c r="S5706" s="11">
        <v>0.15</v>
      </c>
      <c r="T5706" s="11"/>
      <c r="U5706" s="11">
        <f t="shared" si="1835"/>
        <v>3.35</v>
      </c>
      <c r="V5706" t="s">
        <v>15</v>
      </c>
      <c r="W5706">
        <v>3.35</v>
      </c>
      <c r="X5706" s="1" t="s">
        <v>18</v>
      </c>
    </row>
    <row r="5707" spans="1:24" x14ac:dyDescent="0.25">
      <c r="A5707" s="1" t="str">
        <f t="shared" si="1836"/>
        <v>卡卡杜-凤凰仓</v>
      </c>
      <c r="B5707" s="1" t="str">
        <f>"CK2024101816661"</f>
        <v>CK2024101816661</v>
      </c>
      <c r="C5707" s="1" t="str">
        <f>"DD2024101837119"</f>
        <v>DD2024101837119</v>
      </c>
      <c r="D5707" s="1" t="str">
        <f>"CK2024101835135"</f>
        <v>CK2024101835135</v>
      </c>
      <c r="E5707" s="1" t="str">
        <f>"3723393947368555776"</f>
        <v>3723393947368555776</v>
      </c>
      <c r="F5707" s="1" t="str">
        <f t="shared" si="1837"/>
        <v>花都四部-凤凰仓</v>
      </c>
      <c r="G5707" s="1" t="str">
        <f>"卡卡杜企业店（视频号）"</f>
        <v>卡卡杜企业店（视频号）</v>
      </c>
      <c r="H5707" s="1" t="str">
        <f t="shared" si="1838"/>
        <v>正常订单</v>
      </c>
      <c r="I5707" s="1" t="str">
        <f t="shared" si="1839"/>
        <v>已发货</v>
      </c>
      <c r="J5707" s="1" t="str">
        <f t="shared" ref="J5707:J5712" si="1840">"5"</f>
        <v>5</v>
      </c>
      <c r="K5707" s="1">
        <v>3</v>
      </c>
      <c r="L5707" s="1" t="s">
        <v>105</v>
      </c>
      <c r="M5707" s="1" t="str">
        <f>"北京 北京市 朝阳区 "</f>
        <v xml:space="preserve">北京 北京市 朝阳区 </v>
      </c>
      <c r="N5707" s="1" t="str">
        <f>"凡华云仓-韵达-微信视频号"</f>
        <v>凡华云仓-韵达-微信视频号</v>
      </c>
      <c r="O5707" s="5">
        <v>315013415150130</v>
      </c>
      <c r="P5707" s="6">
        <v>0.47</v>
      </c>
      <c r="Q5707" s="11">
        <v>2.2999999999999998</v>
      </c>
      <c r="R5707" s="11"/>
      <c r="S5707" s="11"/>
      <c r="T5707" s="11"/>
      <c r="U5707" s="11">
        <f t="shared" si="1835"/>
        <v>2.2999999999999998</v>
      </c>
      <c r="W5707">
        <v>2.5</v>
      </c>
      <c r="X5707" s="1" t="s">
        <v>105</v>
      </c>
    </row>
    <row r="5708" spans="1:24" x14ac:dyDescent="0.25">
      <c r="A5708" s="1" t="str">
        <f t="shared" si="1836"/>
        <v>卡卡杜-凤凰仓</v>
      </c>
      <c r="B5708" s="1" t="str">
        <f>"CK2024101816660"</f>
        <v>CK2024101816660</v>
      </c>
      <c r="C5708" s="1" t="str">
        <f>"DD2024101837121"</f>
        <v>DD2024101837121</v>
      </c>
      <c r="D5708" s="1" t="str">
        <f>"CK2024101835134"</f>
        <v>CK2024101835134</v>
      </c>
      <c r="E5708" s="1" t="str">
        <f>"3723392680683507712"</f>
        <v>3723392680683507712</v>
      </c>
      <c r="F5708" s="1" t="str">
        <f t="shared" si="1837"/>
        <v>花都四部-凤凰仓</v>
      </c>
      <c r="G5708" s="1" t="str">
        <f>"卡卡杜企业店（视频号）"</f>
        <v>卡卡杜企业店（视频号）</v>
      </c>
      <c r="H5708" s="1" t="str">
        <f t="shared" si="1838"/>
        <v>正常订单</v>
      </c>
      <c r="I5708" s="1" t="str">
        <f t="shared" si="1839"/>
        <v>已发货</v>
      </c>
      <c r="J5708" s="1" t="str">
        <f t="shared" ref="J5708:J5713" si="1841">"3"</f>
        <v>3</v>
      </c>
      <c r="K5708" s="1">
        <v>3</v>
      </c>
      <c r="L5708" s="1" t="s">
        <v>18</v>
      </c>
      <c r="M5708" s="1" t="str">
        <f>"广东省 深圳市 罗湖区 "</f>
        <v xml:space="preserve">广东省 深圳市 罗湖区 </v>
      </c>
      <c r="N5708" s="1" t="str">
        <f>"凡华云仓-韵达-微信视频号"</f>
        <v>凡华云仓-韵达-微信视频号</v>
      </c>
      <c r="O5708" s="5">
        <v>315013415148101</v>
      </c>
      <c r="P5708" s="6">
        <v>0.34</v>
      </c>
      <c r="Q5708" s="11">
        <v>2.2999999999999998</v>
      </c>
      <c r="R5708" s="11"/>
      <c r="S5708" s="11"/>
      <c r="T5708" s="11"/>
      <c r="U5708" s="11">
        <f t="shared" si="1835"/>
        <v>2.2999999999999998</v>
      </c>
      <c r="W5708">
        <v>2.5</v>
      </c>
      <c r="X5708" s="1" t="s">
        <v>18</v>
      </c>
    </row>
    <row r="5709" spans="1:24" x14ac:dyDescent="0.25">
      <c r="A5709" s="1" t="str">
        <f t="shared" si="1836"/>
        <v>卡卡杜-凤凰仓</v>
      </c>
      <c r="B5709" s="1" t="str">
        <f>"CK2024101816662"</f>
        <v>CK2024101816662</v>
      </c>
      <c r="C5709" s="1" t="str">
        <f>"DD2024101837123"</f>
        <v>DD2024101837123</v>
      </c>
      <c r="D5709" s="1" t="str">
        <f>"CK2024101835133"</f>
        <v>CK2024101835133</v>
      </c>
      <c r="E5709" s="1" t="str">
        <f>"2429202077769371"</f>
        <v>2429202077769371</v>
      </c>
      <c r="F5709" s="1" t="str">
        <f t="shared" si="1837"/>
        <v>花都四部-凤凰仓</v>
      </c>
      <c r="G5709" s="1" t="str">
        <f t="shared" ref="G5709:G5721" si="1842">"卡卡杜佳旺专卖店（快手店）"</f>
        <v>卡卡杜佳旺专卖店（快手店）</v>
      </c>
      <c r="H5709" s="1" t="str">
        <f t="shared" si="1838"/>
        <v>正常订单</v>
      </c>
      <c r="I5709" s="1" t="str">
        <f t="shared" si="1839"/>
        <v>已发货</v>
      </c>
      <c r="J5709" s="1" t="str">
        <f t="shared" si="1840"/>
        <v>5</v>
      </c>
      <c r="K5709" s="1">
        <v>3</v>
      </c>
      <c r="L5709" s="1" t="s">
        <v>20</v>
      </c>
      <c r="M5709" s="1" t="str">
        <f>"浙江省 温州市 永嘉县 黄田街道"</f>
        <v>浙江省 温州市 永嘉县 黄田街道</v>
      </c>
      <c r="N5709" s="1" t="str">
        <f t="shared" ref="N5709:N5721" si="1843">"凡华云仓-韵达-快手"</f>
        <v>凡华云仓-韵达-快手</v>
      </c>
      <c r="O5709" s="5">
        <v>319208626099881</v>
      </c>
      <c r="P5709" s="6">
        <v>0.47</v>
      </c>
      <c r="Q5709" s="11">
        <v>2.2999999999999998</v>
      </c>
      <c r="R5709" s="11"/>
      <c r="S5709" s="11"/>
      <c r="T5709" s="11"/>
      <c r="U5709" s="11">
        <f t="shared" si="1835"/>
        <v>2.2999999999999998</v>
      </c>
      <c r="W5709">
        <v>2.5</v>
      </c>
      <c r="X5709" s="1" t="s">
        <v>20</v>
      </c>
    </row>
    <row r="5710" spans="1:24" x14ac:dyDescent="0.25">
      <c r="A5710" s="1" t="str">
        <f t="shared" si="1836"/>
        <v>卡卡杜-凤凰仓</v>
      </c>
      <c r="B5710" s="1" t="str">
        <f>"CK2024101816704"</f>
        <v>CK2024101816704</v>
      </c>
      <c r="C5710" s="1" t="str">
        <f>"DD2024101837162"</f>
        <v>DD2024101837162</v>
      </c>
      <c r="D5710" s="1" t="str">
        <f>"CK2024101835132"</f>
        <v>CK2024101835132</v>
      </c>
      <c r="E5710" s="1" t="str">
        <f>"2429202068123847"</f>
        <v>2429202068123847</v>
      </c>
      <c r="F5710" s="1" t="str">
        <f t="shared" si="1837"/>
        <v>花都四部-凤凰仓</v>
      </c>
      <c r="G5710" s="1" t="str">
        <f t="shared" si="1842"/>
        <v>卡卡杜佳旺专卖店（快手店）</v>
      </c>
      <c r="H5710" s="1" t="str">
        <f t="shared" si="1838"/>
        <v>正常订单</v>
      </c>
      <c r="I5710" s="1" t="str">
        <f t="shared" si="1839"/>
        <v>已发货</v>
      </c>
      <c r="J5710" s="1" t="str">
        <f>"7"</f>
        <v>7</v>
      </c>
      <c r="K5710" s="1">
        <v>2</v>
      </c>
      <c r="L5710" s="1" t="s">
        <v>24</v>
      </c>
      <c r="M5710" s="1" t="str">
        <f>"福建省 福州市 仓山区 建新镇"</f>
        <v>福建省 福州市 仓山区 建新镇</v>
      </c>
      <c r="N5710" s="1" t="str">
        <f t="shared" si="1843"/>
        <v>凡华云仓-韵达-快手</v>
      </c>
      <c r="O5710" s="5">
        <v>319208626099677</v>
      </c>
      <c r="P5710" s="6">
        <v>0.86</v>
      </c>
      <c r="Q5710" s="11">
        <f>CEILING(P5710-0.5,0.1)*10*0.15+2.3</f>
        <v>2.9</v>
      </c>
      <c r="R5710" s="11"/>
      <c r="S5710" s="11"/>
      <c r="T5710" s="11"/>
      <c r="U5710" s="11">
        <f t="shared" si="1835"/>
        <v>2.9</v>
      </c>
      <c r="V5710" t="s">
        <v>15</v>
      </c>
      <c r="W5710">
        <v>2.9</v>
      </c>
      <c r="X5710" s="1" t="s">
        <v>24</v>
      </c>
    </row>
    <row r="5711" spans="1:24" x14ac:dyDescent="0.25">
      <c r="A5711" s="1" t="str">
        <f t="shared" si="1836"/>
        <v>卡卡杜-凤凰仓</v>
      </c>
      <c r="B5711" s="1" t="str">
        <f>"CK2024101816689"</f>
        <v>CK2024101816689</v>
      </c>
      <c r="C5711" s="1" t="str">
        <f>"DD2024101837149"</f>
        <v>DD2024101837149</v>
      </c>
      <c r="D5711" s="1" t="str">
        <f>"CK2024101835131"</f>
        <v>CK2024101835131</v>
      </c>
      <c r="E5711" s="1" t="str">
        <f>"2429202238521918"</f>
        <v>2429202238521918</v>
      </c>
      <c r="F5711" s="1" t="str">
        <f t="shared" si="1837"/>
        <v>花都四部-凤凰仓</v>
      </c>
      <c r="G5711" s="1" t="str">
        <f t="shared" si="1842"/>
        <v>卡卡杜佳旺专卖店（快手店）</v>
      </c>
      <c r="H5711" s="1" t="str">
        <f t="shared" si="1838"/>
        <v>正常订单</v>
      </c>
      <c r="I5711" s="1" t="str">
        <f t="shared" si="1839"/>
        <v>已发货</v>
      </c>
      <c r="J5711" s="1" t="str">
        <f t="shared" si="1841"/>
        <v>3</v>
      </c>
      <c r="K5711" s="1">
        <v>2</v>
      </c>
      <c r="L5711" s="1" t="s">
        <v>92</v>
      </c>
      <c r="M5711" s="1" t="str">
        <f>"辽宁省 营口市 站前区 东兴街道"</f>
        <v>辽宁省 营口市 站前区 东兴街道</v>
      </c>
      <c r="N5711" s="1" t="str">
        <f t="shared" si="1843"/>
        <v>凡华云仓-韵达-快手</v>
      </c>
      <c r="O5711" s="5">
        <v>319208626099578</v>
      </c>
      <c r="P5711" s="6">
        <v>0.35</v>
      </c>
      <c r="Q5711" s="11">
        <v>2.2999999999999998</v>
      </c>
      <c r="R5711" s="11"/>
      <c r="S5711" s="11"/>
      <c r="T5711" s="11"/>
      <c r="U5711" s="11">
        <f t="shared" si="1835"/>
        <v>2.2999999999999998</v>
      </c>
      <c r="W5711">
        <v>2.5</v>
      </c>
      <c r="X5711" s="1" t="s">
        <v>92</v>
      </c>
    </row>
    <row r="5712" spans="1:24" x14ac:dyDescent="0.25">
      <c r="A5712" s="1" t="str">
        <f t="shared" si="1836"/>
        <v>卡卡杜-凤凰仓</v>
      </c>
      <c r="B5712" s="1" t="str">
        <f>"CK2024101816663"</f>
        <v>CK2024101816663</v>
      </c>
      <c r="C5712" s="1" t="str">
        <f>"DD2024101837124"</f>
        <v>DD2024101837124</v>
      </c>
      <c r="D5712" s="1" t="str">
        <f>"CK2024101835130"</f>
        <v>CK2024101835130</v>
      </c>
      <c r="E5712" s="1" t="str">
        <f>"2429201990505455"</f>
        <v>2429201990505455</v>
      </c>
      <c r="F5712" s="1" t="str">
        <f t="shared" si="1837"/>
        <v>花都四部-凤凰仓</v>
      </c>
      <c r="G5712" s="1" t="str">
        <f t="shared" si="1842"/>
        <v>卡卡杜佳旺专卖店（快手店）</v>
      </c>
      <c r="H5712" s="1" t="str">
        <f t="shared" si="1838"/>
        <v>正常订单</v>
      </c>
      <c r="I5712" s="1" t="str">
        <f t="shared" si="1839"/>
        <v>已发货</v>
      </c>
      <c r="J5712" s="1" t="str">
        <f t="shared" si="1840"/>
        <v>5</v>
      </c>
      <c r="K5712" s="1">
        <v>2</v>
      </c>
      <c r="L5712" s="1" t="s">
        <v>187</v>
      </c>
      <c r="M5712" s="1" t="str">
        <f>"吉林省 长春市 朝阳区 永昌街道"</f>
        <v>吉林省 长春市 朝阳区 永昌街道</v>
      </c>
      <c r="N5712" s="1" t="str">
        <f t="shared" si="1843"/>
        <v>凡华云仓-韵达-快手</v>
      </c>
      <c r="O5712" s="5">
        <v>319208989714463</v>
      </c>
      <c r="P5712" s="6">
        <v>0.59</v>
      </c>
      <c r="Q5712" s="11">
        <f>CEILING(P5712-0.5,0.1)*10*0.15+2.3</f>
        <v>2.4499999999999997</v>
      </c>
      <c r="R5712" s="11"/>
      <c r="S5712" s="11"/>
      <c r="T5712" s="11"/>
      <c r="U5712" s="11">
        <f t="shared" si="1835"/>
        <v>2.4499999999999997</v>
      </c>
      <c r="V5712" t="s">
        <v>15</v>
      </c>
      <c r="W5712">
        <v>2.4500000000000002</v>
      </c>
      <c r="X5712" s="1" t="s">
        <v>187</v>
      </c>
    </row>
    <row r="5713" spans="1:24" x14ac:dyDescent="0.25">
      <c r="A5713" s="1" t="str">
        <f t="shared" si="1836"/>
        <v>卡卡杜-凤凰仓</v>
      </c>
      <c r="B5713" s="1" t="str">
        <f>"CK2024101816682"</f>
        <v>CK2024101816682</v>
      </c>
      <c r="C5713" s="1" t="str">
        <f>"DD2024101837142"</f>
        <v>DD2024101837142</v>
      </c>
      <c r="D5713" s="1" t="str">
        <f>"CK2024101835129"</f>
        <v>CK2024101835129</v>
      </c>
      <c r="E5713" s="1" t="str">
        <f>"2429202148971049"</f>
        <v>2429202148971049</v>
      </c>
      <c r="F5713" s="1" t="str">
        <f t="shared" si="1837"/>
        <v>花都四部-凤凰仓</v>
      </c>
      <c r="G5713" s="1" t="str">
        <f t="shared" si="1842"/>
        <v>卡卡杜佳旺专卖店（快手店）</v>
      </c>
      <c r="H5713" s="1" t="str">
        <f t="shared" si="1838"/>
        <v>正常订单</v>
      </c>
      <c r="I5713" s="1" t="str">
        <f t="shared" si="1839"/>
        <v>已发货</v>
      </c>
      <c r="J5713" s="1" t="str">
        <f t="shared" si="1841"/>
        <v>3</v>
      </c>
      <c r="K5713" s="1">
        <v>2</v>
      </c>
      <c r="L5713" s="1" t="s">
        <v>30</v>
      </c>
      <c r="M5713" s="1" t="str">
        <f>"山东省 烟台市 蓬莱区 大辛店镇"</f>
        <v>山东省 烟台市 蓬莱区 大辛店镇</v>
      </c>
      <c r="N5713" s="1" t="str">
        <f t="shared" si="1843"/>
        <v>凡华云仓-韵达-快手</v>
      </c>
      <c r="O5713" s="5">
        <v>319208709355189</v>
      </c>
      <c r="P5713" s="6">
        <v>0.35</v>
      </c>
      <c r="Q5713" s="11">
        <v>2.2999999999999998</v>
      </c>
      <c r="R5713" s="11"/>
      <c r="S5713" s="11"/>
      <c r="T5713" s="11"/>
      <c r="U5713" s="11">
        <f t="shared" si="1835"/>
        <v>2.2999999999999998</v>
      </c>
      <c r="W5713">
        <v>2.5</v>
      </c>
      <c r="X5713" s="1" t="s">
        <v>30</v>
      </c>
    </row>
    <row r="5714" spans="1:24" x14ac:dyDescent="0.25">
      <c r="A5714" s="1" t="str">
        <f t="shared" si="1836"/>
        <v>卡卡杜-凤凰仓</v>
      </c>
      <c r="B5714" s="1" t="str">
        <f>"CK2024101816703"</f>
        <v>CK2024101816703</v>
      </c>
      <c r="C5714" s="1" t="str">
        <f>"DD2024101837163"</f>
        <v>DD2024101837163</v>
      </c>
      <c r="D5714" s="1" t="str">
        <f>"CK2024101835128"</f>
        <v>CK2024101835128</v>
      </c>
      <c r="E5714" s="1" t="str">
        <f>"2429202322512664"</f>
        <v>2429202322512664</v>
      </c>
      <c r="F5714" s="1" t="str">
        <f t="shared" si="1837"/>
        <v>花都四部-凤凰仓</v>
      </c>
      <c r="G5714" s="1" t="str">
        <f t="shared" si="1842"/>
        <v>卡卡杜佳旺专卖店（快手店）</v>
      </c>
      <c r="H5714" s="1" t="str">
        <f t="shared" si="1838"/>
        <v>正常订单</v>
      </c>
      <c r="I5714" s="1" t="str">
        <f t="shared" si="1839"/>
        <v>已发货</v>
      </c>
      <c r="J5714" s="1" t="str">
        <f>"2"</f>
        <v>2</v>
      </c>
      <c r="K5714" s="1">
        <v>2</v>
      </c>
      <c r="L5714" s="1" t="s">
        <v>92</v>
      </c>
      <c r="M5714" s="1" t="str">
        <f>"辽宁省 鞍山市 台安县 八角台街道"</f>
        <v>辽宁省 鞍山市 台安县 八角台街道</v>
      </c>
      <c r="N5714" s="1" t="str">
        <f t="shared" si="1843"/>
        <v>凡华云仓-韵达-快手</v>
      </c>
      <c r="O5714" s="5">
        <v>319208626099293</v>
      </c>
      <c r="P5714" s="6">
        <v>0.17</v>
      </c>
      <c r="Q5714" s="11">
        <v>2</v>
      </c>
      <c r="R5714" s="11"/>
      <c r="S5714" s="11"/>
      <c r="T5714" s="11"/>
      <c r="U5714" s="11">
        <f t="shared" si="1835"/>
        <v>2</v>
      </c>
      <c r="W5714">
        <v>2.2000000000000002</v>
      </c>
      <c r="X5714" s="1" t="s">
        <v>92</v>
      </c>
    </row>
    <row r="5715" spans="1:24" x14ac:dyDescent="0.25">
      <c r="A5715" s="1" t="str">
        <f t="shared" si="1836"/>
        <v>卡卡杜-凤凰仓</v>
      </c>
      <c r="B5715" s="1" t="str">
        <f>"CK2024101816694"</f>
        <v>CK2024101816694</v>
      </c>
      <c r="C5715" s="1" t="str">
        <f>"DD2024101837154"</f>
        <v>DD2024101837154</v>
      </c>
      <c r="D5715" s="1" t="str">
        <f>"CK2024101835127"</f>
        <v>CK2024101835127</v>
      </c>
      <c r="E5715" s="1" t="str">
        <f>"2429201992066847"</f>
        <v>2429201992066847</v>
      </c>
      <c r="F5715" s="1" t="str">
        <f t="shared" si="1837"/>
        <v>花都四部-凤凰仓</v>
      </c>
      <c r="G5715" s="1" t="str">
        <f t="shared" si="1842"/>
        <v>卡卡杜佳旺专卖店（快手店）</v>
      </c>
      <c r="H5715" s="1" t="str">
        <f t="shared" si="1838"/>
        <v>正常订单</v>
      </c>
      <c r="I5715" s="1" t="str">
        <f t="shared" si="1839"/>
        <v>已发货</v>
      </c>
      <c r="J5715" s="1" t="str">
        <f t="shared" ref="J5715:J5739" si="1844">"3"</f>
        <v>3</v>
      </c>
      <c r="K5715" s="1">
        <v>2</v>
      </c>
      <c r="L5715" s="1" t="s">
        <v>710</v>
      </c>
      <c r="M5715" s="1" t="str">
        <f>"上海市 上海市 嘉定区 安亭镇"</f>
        <v>上海市 上海市 嘉定区 安亭镇</v>
      </c>
      <c r="N5715" s="1" t="str">
        <f t="shared" si="1843"/>
        <v>凡华云仓-韵达-快手</v>
      </c>
      <c r="O5715" s="5">
        <v>319208450595184</v>
      </c>
      <c r="P5715" s="6">
        <v>0.35</v>
      </c>
      <c r="Q5715" s="11">
        <v>2.2999999999999998</v>
      </c>
      <c r="R5715" s="11"/>
      <c r="S5715" s="11"/>
      <c r="T5715" s="11"/>
      <c r="U5715" s="11">
        <f t="shared" si="1835"/>
        <v>2.2999999999999998</v>
      </c>
      <c r="W5715">
        <v>2.5</v>
      </c>
      <c r="X5715" s="1" t="s">
        <v>710</v>
      </c>
    </row>
    <row r="5716" spans="1:24" x14ac:dyDescent="0.25">
      <c r="A5716" s="1" t="str">
        <f t="shared" si="1836"/>
        <v>卡卡杜-凤凰仓</v>
      </c>
      <c r="B5716" s="1" t="str">
        <f>"CK2024101816685"</f>
        <v>CK2024101816685</v>
      </c>
      <c r="C5716" s="1" t="str">
        <f>"DD2024101837146"</f>
        <v>DD2024101837146</v>
      </c>
      <c r="D5716" s="1" t="str">
        <f>"CK2024101835126"</f>
        <v>CK2024101835126</v>
      </c>
      <c r="E5716" s="1" t="str">
        <f>"2429202490496355"</f>
        <v>2429202490496355</v>
      </c>
      <c r="F5716" s="1" t="str">
        <f t="shared" si="1837"/>
        <v>花都四部-凤凰仓</v>
      </c>
      <c r="G5716" s="1" t="str">
        <f t="shared" si="1842"/>
        <v>卡卡杜佳旺专卖店（快手店）</v>
      </c>
      <c r="H5716" s="1" t="str">
        <f t="shared" si="1838"/>
        <v>正常订单</v>
      </c>
      <c r="I5716" s="1" t="str">
        <f t="shared" si="1839"/>
        <v>已发货</v>
      </c>
      <c r="J5716" s="1" t="str">
        <f t="shared" si="1844"/>
        <v>3</v>
      </c>
      <c r="K5716" s="1">
        <v>2</v>
      </c>
      <c r="L5716" s="1" t="s">
        <v>41</v>
      </c>
      <c r="M5716" s="1" t="str">
        <f>"湖北省 荆州市 公安县 埠河镇"</f>
        <v>湖北省 荆州市 公安县 埠河镇</v>
      </c>
      <c r="N5716" s="1" t="str">
        <f t="shared" si="1843"/>
        <v>凡华云仓-韵达-快手</v>
      </c>
      <c r="O5716" s="5">
        <v>319208541726858</v>
      </c>
      <c r="P5716" s="6">
        <v>0.35</v>
      </c>
      <c r="Q5716" s="11">
        <v>2.2999999999999998</v>
      </c>
      <c r="R5716" s="11"/>
      <c r="S5716" s="11"/>
      <c r="T5716" s="11"/>
      <c r="U5716" s="11">
        <f t="shared" si="1835"/>
        <v>2.2999999999999998</v>
      </c>
      <c r="W5716">
        <v>2.5</v>
      </c>
      <c r="X5716" s="1" t="s">
        <v>41</v>
      </c>
    </row>
    <row r="5717" spans="1:24" x14ac:dyDescent="0.25">
      <c r="A5717" s="1" t="str">
        <f t="shared" si="1836"/>
        <v>卡卡杜-凤凰仓</v>
      </c>
      <c r="B5717" s="1" t="str">
        <f>"CK2024101816665"</f>
        <v>CK2024101816665</v>
      </c>
      <c r="C5717" s="1" t="str">
        <f>"DD2024101837125"</f>
        <v>DD2024101837125</v>
      </c>
      <c r="D5717" s="1" t="str">
        <f>"CK2024101835125"</f>
        <v>CK2024101835125</v>
      </c>
      <c r="E5717" s="1" t="str">
        <f>"2429202145706355"</f>
        <v>2429202145706355</v>
      </c>
      <c r="F5717" s="1" t="str">
        <f t="shared" si="1837"/>
        <v>花都四部-凤凰仓</v>
      </c>
      <c r="G5717" s="1" t="str">
        <f t="shared" si="1842"/>
        <v>卡卡杜佳旺专卖店（快手店）</v>
      </c>
      <c r="H5717" s="1" t="str">
        <f t="shared" si="1838"/>
        <v>正常订单</v>
      </c>
      <c r="I5717" s="1" t="str">
        <f t="shared" si="1839"/>
        <v>已发货</v>
      </c>
      <c r="J5717" s="1" t="str">
        <f>"5"</f>
        <v>5</v>
      </c>
      <c r="K5717" s="1">
        <v>2</v>
      </c>
      <c r="L5717" s="1" t="s">
        <v>710</v>
      </c>
      <c r="M5717" s="1" t="str">
        <f>"上海市 上海市 闵行区 颛桥镇"</f>
        <v>上海市 上海市 闵行区 颛桥镇</v>
      </c>
      <c r="N5717" s="1" t="str">
        <f t="shared" si="1843"/>
        <v>凡华云仓-韵达-快手</v>
      </c>
      <c r="O5717" s="5">
        <v>319208990122327</v>
      </c>
      <c r="P5717" s="6">
        <v>0.59</v>
      </c>
      <c r="Q5717" s="11">
        <f>CEILING(P5717-0.5,0.1)*10*0.15+2.3</f>
        <v>2.4499999999999997</v>
      </c>
      <c r="R5717" s="11"/>
      <c r="S5717" s="11"/>
      <c r="T5717" s="11"/>
      <c r="U5717" s="11">
        <f t="shared" si="1835"/>
        <v>2.4499999999999997</v>
      </c>
      <c r="V5717" t="s">
        <v>15</v>
      </c>
      <c r="W5717">
        <v>2.4500000000000002</v>
      </c>
      <c r="X5717" s="1" t="s">
        <v>710</v>
      </c>
    </row>
    <row r="5718" spans="1:24" x14ac:dyDescent="0.25">
      <c r="A5718" s="1" t="str">
        <f t="shared" si="1836"/>
        <v>卡卡杜-凤凰仓</v>
      </c>
      <c r="B5718" s="1" t="str">
        <f>"CK2024101816692"</f>
        <v>CK2024101816692</v>
      </c>
      <c r="C5718" s="1" t="str">
        <f>"DD2024101837153"</f>
        <v>DD2024101837153</v>
      </c>
      <c r="D5718" s="1" t="str">
        <f>"CK2024101835124"</f>
        <v>CK2024101835124</v>
      </c>
      <c r="E5718" s="1" t="str">
        <f>"2429201837690355"</f>
        <v>2429201837690355</v>
      </c>
      <c r="F5718" s="1" t="str">
        <f t="shared" si="1837"/>
        <v>花都四部-凤凰仓</v>
      </c>
      <c r="G5718" s="1" t="str">
        <f t="shared" si="1842"/>
        <v>卡卡杜佳旺专卖店（快手店）</v>
      </c>
      <c r="H5718" s="1" t="str">
        <f t="shared" si="1838"/>
        <v>正常订单</v>
      </c>
      <c r="I5718" s="1" t="str">
        <f t="shared" si="1839"/>
        <v>已发货</v>
      </c>
      <c r="J5718" s="1" t="str">
        <f t="shared" si="1844"/>
        <v>3</v>
      </c>
      <c r="K5718" s="1">
        <v>2</v>
      </c>
      <c r="L5718" s="1" t="s">
        <v>13</v>
      </c>
      <c r="M5718" s="1" t="str">
        <f>"江苏省 盐城市 建湖县 近湖街道"</f>
        <v>江苏省 盐城市 建湖县 近湖街道</v>
      </c>
      <c r="N5718" s="1" t="str">
        <f t="shared" si="1843"/>
        <v>凡华云仓-韵达-快手</v>
      </c>
      <c r="O5718" s="5">
        <v>319208450182794</v>
      </c>
      <c r="P5718" s="6">
        <v>0.35</v>
      </c>
      <c r="Q5718" s="11">
        <v>2.2999999999999998</v>
      </c>
      <c r="R5718" s="11"/>
      <c r="S5718" s="11"/>
      <c r="T5718" s="11"/>
      <c r="U5718" s="11">
        <f t="shared" si="1835"/>
        <v>2.2999999999999998</v>
      </c>
      <c r="W5718">
        <v>2.5</v>
      </c>
      <c r="X5718" s="1" t="s">
        <v>13</v>
      </c>
    </row>
    <row r="5719" spans="1:24" x14ac:dyDescent="0.25">
      <c r="A5719" s="1" t="str">
        <f t="shared" si="1836"/>
        <v>卡卡杜-凤凰仓</v>
      </c>
      <c r="B5719" s="1" t="str">
        <f>"CK2024101816684"</f>
        <v>CK2024101816684</v>
      </c>
      <c r="C5719" s="1" t="str">
        <f>"DD2024101837145"</f>
        <v>DD2024101837145</v>
      </c>
      <c r="D5719" s="1" t="str">
        <f>"CK2024101835123"</f>
        <v>CK2024101835123</v>
      </c>
      <c r="E5719" s="1" t="str">
        <f>"2429202151266355"</f>
        <v>2429202151266355</v>
      </c>
      <c r="F5719" s="1" t="str">
        <f t="shared" si="1837"/>
        <v>花都四部-凤凰仓</v>
      </c>
      <c r="G5719" s="1" t="str">
        <f t="shared" si="1842"/>
        <v>卡卡杜佳旺专卖店（快手店）</v>
      </c>
      <c r="H5719" s="1" t="str">
        <f t="shared" si="1838"/>
        <v>正常订单</v>
      </c>
      <c r="I5719" s="1" t="str">
        <f t="shared" si="1839"/>
        <v>已发货</v>
      </c>
      <c r="J5719" s="1" t="str">
        <f t="shared" si="1844"/>
        <v>3</v>
      </c>
      <c r="K5719" s="1">
        <v>2</v>
      </c>
      <c r="L5719" s="1" t="s">
        <v>24</v>
      </c>
      <c r="M5719" s="1" t="str">
        <f>"福建省 泉州市 惠安县 东桥镇"</f>
        <v>福建省 泉州市 惠安县 东桥镇</v>
      </c>
      <c r="N5719" s="1" t="str">
        <f t="shared" si="1843"/>
        <v>凡华云仓-韵达-快手</v>
      </c>
      <c r="O5719" s="5">
        <v>319208888001820</v>
      </c>
      <c r="P5719" s="6">
        <v>0.35</v>
      </c>
      <c r="Q5719" s="11">
        <v>2.2999999999999998</v>
      </c>
      <c r="R5719" s="11"/>
      <c r="S5719" s="11"/>
      <c r="T5719" s="11"/>
      <c r="U5719" s="11">
        <f t="shared" si="1835"/>
        <v>2.2999999999999998</v>
      </c>
      <c r="W5719">
        <v>2.5</v>
      </c>
      <c r="X5719" s="1" t="s">
        <v>24</v>
      </c>
    </row>
    <row r="5720" spans="1:24" x14ac:dyDescent="0.25">
      <c r="A5720" s="1" t="str">
        <f t="shared" si="1836"/>
        <v>卡卡杜-凤凰仓</v>
      </c>
      <c r="B5720" s="1" t="str">
        <f>"CK2024101816693"</f>
        <v>CK2024101816693</v>
      </c>
      <c r="C5720" s="1" t="str">
        <f>"DD2024101837151"</f>
        <v>DD2024101837151</v>
      </c>
      <c r="D5720" s="1" t="str">
        <f>"CK2024101835122"</f>
        <v>CK2024101835122</v>
      </c>
      <c r="E5720" s="1" t="str">
        <f>"2429202241650557"</f>
        <v>2429202241650557</v>
      </c>
      <c r="F5720" s="1" t="str">
        <f t="shared" si="1837"/>
        <v>花都四部-凤凰仓</v>
      </c>
      <c r="G5720" s="1" t="str">
        <f t="shared" si="1842"/>
        <v>卡卡杜佳旺专卖店（快手店）</v>
      </c>
      <c r="H5720" s="1" t="str">
        <f t="shared" si="1838"/>
        <v>正常订单</v>
      </c>
      <c r="I5720" s="1" t="str">
        <f t="shared" si="1839"/>
        <v>已发货</v>
      </c>
      <c r="J5720" s="1" t="str">
        <f t="shared" si="1844"/>
        <v>3</v>
      </c>
      <c r="K5720" s="1">
        <v>2</v>
      </c>
      <c r="L5720" s="1" t="s">
        <v>18</v>
      </c>
      <c r="M5720" s="1" t="str">
        <f>"广东省 深圳市 罗湖区 翠竹街道"</f>
        <v>广东省 深圳市 罗湖区 翠竹街道</v>
      </c>
      <c r="N5720" s="1" t="str">
        <f t="shared" si="1843"/>
        <v>凡华云仓-韵达-快手</v>
      </c>
      <c r="O5720" s="5">
        <v>319208989713468</v>
      </c>
      <c r="P5720" s="6">
        <v>0.35</v>
      </c>
      <c r="Q5720" s="11">
        <v>2.2999999999999998</v>
      </c>
      <c r="R5720" s="11"/>
      <c r="S5720" s="11"/>
      <c r="T5720" s="11"/>
      <c r="U5720" s="11">
        <f t="shared" si="1835"/>
        <v>2.2999999999999998</v>
      </c>
      <c r="W5720">
        <v>2.5</v>
      </c>
      <c r="X5720" s="1" t="s">
        <v>18</v>
      </c>
    </row>
    <row r="5721" spans="1:24" x14ac:dyDescent="0.25">
      <c r="A5721" s="1" t="str">
        <f t="shared" si="1836"/>
        <v>卡卡杜-凤凰仓</v>
      </c>
      <c r="B5721" s="1" t="str">
        <f>"CK2024101816702"</f>
        <v>CK2024101816702</v>
      </c>
      <c r="C5721" s="1" t="str">
        <f>"DD2024101837164"</f>
        <v>DD2024101837164</v>
      </c>
      <c r="D5721" s="1" t="str">
        <f>"CK2024101835121"</f>
        <v>CK2024101835121</v>
      </c>
      <c r="E5721" s="1" t="str">
        <f>"2429202159282154"</f>
        <v>2429202159282154</v>
      </c>
      <c r="F5721" s="1" t="str">
        <f t="shared" si="1837"/>
        <v>花都四部-凤凰仓</v>
      </c>
      <c r="G5721" s="1" t="str">
        <f t="shared" si="1842"/>
        <v>卡卡杜佳旺专卖店（快手店）</v>
      </c>
      <c r="H5721" s="1" t="str">
        <f t="shared" si="1838"/>
        <v>正常订单</v>
      </c>
      <c r="I5721" s="1" t="str">
        <f t="shared" si="1839"/>
        <v>已发货</v>
      </c>
      <c r="J5721" s="1" t="str">
        <f t="shared" si="1844"/>
        <v>3</v>
      </c>
      <c r="K5721" s="1">
        <v>2</v>
      </c>
      <c r="L5721" s="1" t="s">
        <v>18</v>
      </c>
      <c r="M5721" s="1" t="str">
        <f>"广东省 深圳市 光明区 马田街道"</f>
        <v>广东省 深圳市 光明区 马田街道</v>
      </c>
      <c r="N5721" s="1" t="str">
        <f t="shared" si="1843"/>
        <v>凡华云仓-韵达-快手</v>
      </c>
      <c r="O5721" s="5">
        <v>319208450182302</v>
      </c>
      <c r="P5721" s="6">
        <v>0.35</v>
      </c>
      <c r="Q5721" s="11">
        <v>2.2999999999999998</v>
      </c>
      <c r="R5721" s="11"/>
      <c r="S5721" s="11"/>
      <c r="T5721" s="11"/>
      <c r="U5721" s="11">
        <f t="shared" si="1835"/>
        <v>2.2999999999999998</v>
      </c>
      <c r="W5721">
        <v>2.5</v>
      </c>
      <c r="X5721" s="1" t="s">
        <v>18</v>
      </c>
    </row>
    <row r="5722" spans="1:24" x14ac:dyDescent="0.25">
      <c r="A5722" s="1" t="str">
        <f t="shared" si="1836"/>
        <v>卡卡杜-凤凰仓</v>
      </c>
      <c r="B5722" s="1" t="str">
        <f>"CK2024101816686"</f>
        <v>CK2024101816686</v>
      </c>
      <c r="C5722" s="1" t="str">
        <f>"DD2024101837144"</f>
        <v>DD2024101837144</v>
      </c>
      <c r="D5722" s="1" t="str">
        <f>"CK2024101835120"</f>
        <v>CK2024101835120</v>
      </c>
      <c r="E5722" s="1" t="str">
        <f>"6935179280402421625"</f>
        <v>6935179280402421625</v>
      </c>
      <c r="F5722" s="1" t="str">
        <f t="shared" si="1837"/>
        <v>花都四部-凤凰仓</v>
      </c>
      <c r="G5722" s="1" t="str">
        <f t="shared" ref="G5722:G5752" si="1845">"卡卡杜个人护理店（抖店）"</f>
        <v>卡卡杜个人护理店（抖店）</v>
      </c>
      <c r="H5722" s="1" t="str">
        <f t="shared" si="1838"/>
        <v>正常订单</v>
      </c>
      <c r="I5722" s="1" t="str">
        <f t="shared" si="1839"/>
        <v>已发货</v>
      </c>
      <c r="J5722" s="1" t="str">
        <f t="shared" si="1844"/>
        <v>3</v>
      </c>
      <c r="K5722" s="1">
        <v>2</v>
      </c>
      <c r="L5722" s="1" t="s">
        <v>13</v>
      </c>
      <c r="M5722" s="1" t="str">
        <f>"江苏省 常州市 天宁区 青龙街道"</f>
        <v>江苏省 常州市 天宁区 青龙街道</v>
      </c>
      <c r="N5722" s="1" t="str">
        <f t="shared" ref="N5722:N5752" si="1846">"凡华云仓-韵达-抖音"</f>
        <v>凡华云仓-韵达-抖音</v>
      </c>
      <c r="O5722" s="5">
        <v>320178187171581</v>
      </c>
      <c r="P5722" s="6">
        <v>0.35</v>
      </c>
      <c r="Q5722" s="11">
        <v>2.2999999999999998</v>
      </c>
      <c r="R5722" s="11"/>
      <c r="S5722" s="11"/>
      <c r="T5722" s="11"/>
      <c r="U5722" s="11">
        <f t="shared" si="1835"/>
        <v>2.2999999999999998</v>
      </c>
      <c r="W5722">
        <v>2.5</v>
      </c>
      <c r="X5722" s="1" t="s">
        <v>13</v>
      </c>
    </row>
    <row r="5723" spans="1:24" x14ac:dyDescent="0.25">
      <c r="A5723" s="1" t="str">
        <f t="shared" si="1836"/>
        <v>卡卡杜-凤凰仓</v>
      </c>
      <c r="B5723" s="1" t="str">
        <f>"CK2024101816698"</f>
        <v>CK2024101816698</v>
      </c>
      <c r="C5723" s="1" t="str">
        <f>"DD2024101837159"</f>
        <v>DD2024101837159</v>
      </c>
      <c r="D5723" s="1" t="str">
        <f>"CK2024101835119"</f>
        <v>CK2024101835119</v>
      </c>
      <c r="E5723" s="1" t="str">
        <f>"6935157040184039272"</f>
        <v>6935157040184039272</v>
      </c>
      <c r="F5723" s="1" t="str">
        <f t="shared" si="1837"/>
        <v>花都四部-凤凰仓</v>
      </c>
      <c r="G5723" s="1" t="str">
        <f t="shared" si="1845"/>
        <v>卡卡杜个人护理店（抖店）</v>
      </c>
      <c r="H5723" s="1" t="str">
        <f t="shared" si="1838"/>
        <v>正常订单</v>
      </c>
      <c r="I5723" s="1" t="str">
        <f t="shared" si="1839"/>
        <v>已发货</v>
      </c>
      <c r="J5723" s="1" t="str">
        <f t="shared" si="1844"/>
        <v>3</v>
      </c>
      <c r="K5723" s="1">
        <v>2</v>
      </c>
      <c r="L5723" s="1" t="s">
        <v>27</v>
      </c>
      <c r="M5723" s="1" t="str">
        <f>"贵州省 黔东南苗族侗族自治州 三穗县 文笔街道"</f>
        <v>贵州省 黔东南苗族侗族自治州 三穗县 文笔街道</v>
      </c>
      <c r="N5723" s="1" t="str">
        <f t="shared" si="1846"/>
        <v>凡华云仓-韵达-抖音</v>
      </c>
      <c r="O5723" s="5">
        <v>320178187171484</v>
      </c>
      <c r="P5723" s="6">
        <v>0.35</v>
      </c>
      <c r="Q5723" s="11">
        <v>2.2999999999999998</v>
      </c>
      <c r="R5723" s="11"/>
      <c r="S5723" s="11"/>
      <c r="T5723" s="11"/>
      <c r="U5723" s="11">
        <f t="shared" si="1835"/>
        <v>2.2999999999999998</v>
      </c>
      <c r="W5723">
        <v>2.5</v>
      </c>
      <c r="X5723" s="1" t="s">
        <v>27</v>
      </c>
    </row>
    <row r="5724" spans="1:24" x14ac:dyDescent="0.25">
      <c r="A5724" s="1" t="str">
        <f t="shared" si="1836"/>
        <v>卡卡杜-凤凰仓</v>
      </c>
      <c r="B5724" s="1" t="str">
        <f>"CK2024101816671"</f>
        <v>CK2024101816671</v>
      </c>
      <c r="C5724" s="1" t="str">
        <f>"DD2024101837131"</f>
        <v>DD2024101837131</v>
      </c>
      <c r="D5724" s="1" t="str">
        <f>"CK2024101835118"</f>
        <v>CK2024101835118</v>
      </c>
      <c r="E5724" s="1" t="str">
        <f>"6935168541746993084"</f>
        <v>6935168541746993084</v>
      </c>
      <c r="F5724" s="1" t="str">
        <f t="shared" si="1837"/>
        <v>花都四部-凤凰仓</v>
      </c>
      <c r="G5724" s="1" t="str">
        <f t="shared" si="1845"/>
        <v>卡卡杜个人护理店（抖店）</v>
      </c>
      <c r="H5724" s="1" t="str">
        <f t="shared" si="1838"/>
        <v>正常订单</v>
      </c>
      <c r="I5724" s="1" t="str">
        <f t="shared" si="1839"/>
        <v>已发货</v>
      </c>
      <c r="J5724" s="1" t="str">
        <f t="shared" si="1844"/>
        <v>3</v>
      </c>
      <c r="K5724" s="1">
        <v>2</v>
      </c>
      <c r="L5724" s="1" t="s">
        <v>60</v>
      </c>
      <c r="M5724" s="1" t="str">
        <f>"云南省 西双版纳傣族自治州 景洪市 允景洪街道"</f>
        <v>云南省 西双版纳傣族自治州 景洪市 允景洪街道</v>
      </c>
      <c r="N5724" s="1" t="str">
        <f t="shared" si="1846"/>
        <v>凡华云仓-韵达-抖音</v>
      </c>
      <c r="O5724" s="5">
        <v>320178186288456</v>
      </c>
      <c r="P5724" s="6">
        <v>0.35</v>
      </c>
      <c r="Q5724" s="11">
        <v>2.2999999999999998</v>
      </c>
      <c r="R5724" s="11"/>
      <c r="S5724" s="11"/>
      <c r="T5724" s="11"/>
      <c r="U5724" s="11">
        <f t="shared" si="1835"/>
        <v>2.2999999999999998</v>
      </c>
      <c r="W5724">
        <v>2.5</v>
      </c>
      <c r="X5724" s="1" t="s">
        <v>60</v>
      </c>
    </row>
    <row r="5725" spans="1:24" x14ac:dyDescent="0.25">
      <c r="A5725" s="1" t="str">
        <f t="shared" si="1836"/>
        <v>卡卡杜-凤凰仓</v>
      </c>
      <c r="B5725" s="1" t="str">
        <f>"CK2024101816659"</f>
        <v>CK2024101816659</v>
      </c>
      <c r="C5725" s="1" t="str">
        <f>"DD2024101837120"</f>
        <v>DD2024101837120</v>
      </c>
      <c r="D5725" s="1" t="str">
        <f>"CK2024101835117"</f>
        <v>CK2024101835117</v>
      </c>
      <c r="E5725" s="1" t="str">
        <f>"6935154845895431612"</f>
        <v>6935154845895431612</v>
      </c>
      <c r="F5725" s="1" t="str">
        <f t="shared" si="1837"/>
        <v>花都四部-凤凰仓</v>
      </c>
      <c r="G5725" s="1" t="str">
        <f t="shared" si="1845"/>
        <v>卡卡杜个人护理店（抖店）</v>
      </c>
      <c r="H5725" s="1" t="str">
        <f t="shared" si="1838"/>
        <v>正常订单</v>
      </c>
      <c r="I5725" s="1" t="str">
        <f t="shared" si="1839"/>
        <v>已发货</v>
      </c>
      <c r="J5725" s="1" t="str">
        <f t="shared" si="1844"/>
        <v>3</v>
      </c>
      <c r="K5725" s="1">
        <v>3</v>
      </c>
      <c r="L5725" s="1" t="s">
        <v>13</v>
      </c>
      <c r="M5725" s="1" t="str">
        <f>"江苏省 苏州市 昆山市 玉山镇"</f>
        <v>江苏省 苏州市 昆山市 玉山镇</v>
      </c>
      <c r="N5725" s="1" t="str">
        <f t="shared" si="1846"/>
        <v>凡华云仓-韵达-抖音</v>
      </c>
      <c r="O5725" s="5">
        <v>320178186288361</v>
      </c>
      <c r="P5725" s="6">
        <v>0.34</v>
      </c>
      <c r="Q5725" s="11">
        <v>2.2999999999999998</v>
      </c>
      <c r="R5725" s="11"/>
      <c r="S5725" s="11"/>
      <c r="T5725" s="11"/>
      <c r="U5725" s="11">
        <f t="shared" si="1835"/>
        <v>2.2999999999999998</v>
      </c>
      <c r="W5725">
        <v>2.5</v>
      </c>
      <c r="X5725" s="1" t="s">
        <v>13</v>
      </c>
    </row>
    <row r="5726" spans="1:24" x14ac:dyDescent="0.25">
      <c r="A5726" s="1" t="str">
        <f t="shared" si="1836"/>
        <v>卡卡杜-凤凰仓</v>
      </c>
      <c r="B5726" s="1" t="str">
        <f>"CK2024101816666"</f>
        <v>CK2024101816666</v>
      </c>
      <c r="C5726" s="1" t="str">
        <f>"DD2024101837126"</f>
        <v>DD2024101837126</v>
      </c>
      <c r="D5726" s="1" t="str">
        <f>"CK2024101835116"</f>
        <v>CK2024101835116</v>
      </c>
      <c r="E5726" s="1" t="str">
        <f>"6935159295896131289"</f>
        <v>6935159295896131289</v>
      </c>
      <c r="F5726" s="1" t="str">
        <f t="shared" si="1837"/>
        <v>花都四部-凤凰仓</v>
      </c>
      <c r="G5726" s="1" t="str">
        <f t="shared" si="1845"/>
        <v>卡卡杜个人护理店（抖店）</v>
      </c>
      <c r="H5726" s="1" t="str">
        <f t="shared" si="1838"/>
        <v>正常订单</v>
      </c>
      <c r="I5726" s="1" t="str">
        <f t="shared" si="1839"/>
        <v>已发货</v>
      </c>
      <c r="J5726" s="1" t="str">
        <f t="shared" si="1844"/>
        <v>3</v>
      </c>
      <c r="K5726" s="1">
        <v>2</v>
      </c>
      <c r="L5726" s="1" t="s">
        <v>41</v>
      </c>
      <c r="M5726" s="1" t="str">
        <f>"湖北省 武汉市 黄陂区 盘龙城经济开发区"</f>
        <v>湖北省 武汉市 黄陂区 盘龙城经济开发区</v>
      </c>
      <c r="N5726" s="1" t="str">
        <f t="shared" si="1846"/>
        <v>凡华云仓-韵达-抖音</v>
      </c>
      <c r="O5726" s="5">
        <v>320178186288268</v>
      </c>
      <c r="P5726" s="6">
        <v>0.35</v>
      </c>
      <c r="Q5726" s="11">
        <v>2.2999999999999998</v>
      </c>
      <c r="R5726" s="11"/>
      <c r="S5726" s="11"/>
      <c r="T5726" s="11"/>
      <c r="U5726" s="11">
        <f t="shared" si="1835"/>
        <v>2.2999999999999998</v>
      </c>
      <c r="W5726">
        <v>2.5</v>
      </c>
      <c r="X5726" s="1" t="s">
        <v>41</v>
      </c>
    </row>
    <row r="5727" spans="1:24" x14ac:dyDescent="0.25">
      <c r="A5727" s="1" t="str">
        <f t="shared" si="1836"/>
        <v>卡卡杜-凤凰仓</v>
      </c>
      <c r="B5727" s="1" t="str">
        <f>"CK2024101816670"</f>
        <v>CK2024101816670</v>
      </c>
      <c r="C5727" s="1" t="str">
        <f>"DD2024101837130"</f>
        <v>DD2024101837130</v>
      </c>
      <c r="D5727" s="1" t="str">
        <f>"CK2024101835115"</f>
        <v>CK2024101835115</v>
      </c>
      <c r="E5727" s="1" t="str">
        <f>"6935183744607720580"</f>
        <v>6935183744607720580</v>
      </c>
      <c r="F5727" s="1" t="str">
        <f t="shared" si="1837"/>
        <v>花都四部-凤凰仓</v>
      </c>
      <c r="G5727" s="1" t="str">
        <f t="shared" si="1845"/>
        <v>卡卡杜个人护理店（抖店）</v>
      </c>
      <c r="H5727" s="1" t="str">
        <f t="shared" si="1838"/>
        <v>正常订单</v>
      </c>
      <c r="I5727" s="1" t="str">
        <f t="shared" si="1839"/>
        <v>已发货</v>
      </c>
      <c r="J5727" s="1" t="str">
        <f t="shared" si="1844"/>
        <v>3</v>
      </c>
      <c r="K5727" s="1">
        <v>2</v>
      </c>
      <c r="L5727" s="1" t="s">
        <v>20</v>
      </c>
      <c r="M5727" s="1" t="str">
        <f>"浙江省 温州市 鹿城区 丰门街道"</f>
        <v>浙江省 温州市 鹿城区 丰门街道</v>
      </c>
      <c r="N5727" s="1" t="str">
        <f t="shared" si="1846"/>
        <v>凡华云仓-韵达-抖音</v>
      </c>
      <c r="O5727" s="5">
        <v>320178186288177</v>
      </c>
      <c r="P5727" s="6">
        <v>0.35</v>
      </c>
      <c r="Q5727" s="11">
        <v>2.2999999999999998</v>
      </c>
      <c r="R5727" s="11"/>
      <c r="S5727" s="11"/>
      <c r="T5727" s="11"/>
      <c r="U5727" s="11">
        <f t="shared" si="1835"/>
        <v>2.2999999999999998</v>
      </c>
      <c r="W5727">
        <v>2.5</v>
      </c>
      <c r="X5727" s="1" t="s">
        <v>20</v>
      </c>
    </row>
    <row r="5728" spans="1:24" x14ac:dyDescent="0.25">
      <c r="A5728" s="1" t="str">
        <f t="shared" si="1836"/>
        <v>卡卡杜-凤凰仓</v>
      </c>
      <c r="B5728" s="1" t="str">
        <f>"CK2024101816668"</f>
        <v>CK2024101816668</v>
      </c>
      <c r="C5728" s="1" t="str">
        <f>"DD2024101837128"</f>
        <v>DD2024101837128</v>
      </c>
      <c r="D5728" s="1" t="str">
        <f>"CK2024101835114"</f>
        <v>CK2024101835114</v>
      </c>
      <c r="E5728" s="1" t="str">
        <f>"6935154932639339623"</f>
        <v>6935154932639339623</v>
      </c>
      <c r="F5728" s="1" t="str">
        <f t="shared" si="1837"/>
        <v>花都四部-凤凰仓</v>
      </c>
      <c r="G5728" s="1" t="str">
        <f t="shared" si="1845"/>
        <v>卡卡杜个人护理店（抖店）</v>
      </c>
      <c r="H5728" s="1" t="str">
        <f t="shared" si="1838"/>
        <v>正常订单</v>
      </c>
      <c r="I5728" s="1" t="str">
        <f t="shared" si="1839"/>
        <v>已发货</v>
      </c>
      <c r="J5728" s="1" t="str">
        <f t="shared" si="1844"/>
        <v>3</v>
      </c>
      <c r="K5728" s="1">
        <v>2</v>
      </c>
      <c r="L5728" s="1" t="s">
        <v>20</v>
      </c>
      <c r="M5728" s="1" t="str">
        <f>"浙江省 台州市 三门县 海游街道"</f>
        <v>浙江省 台州市 三门县 海游街道</v>
      </c>
      <c r="N5728" s="1" t="str">
        <f t="shared" si="1846"/>
        <v>凡华云仓-韵达-抖音</v>
      </c>
      <c r="O5728" s="5">
        <v>320178186288088</v>
      </c>
      <c r="P5728" s="6">
        <v>0.35</v>
      </c>
      <c r="Q5728" s="11">
        <v>2.2999999999999998</v>
      </c>
      <c r="R5728" s="11"/>
      <c r="S5728" s="11"/>
      <c r="T5728" s="11"/>
      <c r="U5728" s="11">
        <f t="shared" si="1835"/>
        <v>2.2999999999999998</v>
      </c>
      <c r="W5728">
        <v>2.5</v>
      </c>
      <c r="X5728" s="1" t="s">
        <v>20</v>
      </c>
    </row>
    <row r="5729" spans="1:24" x14ac:dyDescent="0.25">
      <c r="A5729" s="1" t="str">
        <f t="shared" si="1836"/>
        <v>卡卡杜-凤凰仓</v>
      </c>
      <c r="B5729" s="1" t="str">
        <f>"CK2024101816683"</f>
        <v>CK2024101816683</v>
      </c>
      <c r="C5729" s="1" t="str">
        <f>"DD2024101837143"</f>
        <v>DD2024101837143</v>
      </c>
      <c r="D5729" s="1" t="str">
        <f>"CK2024101835113"</f>
        <v>CK2024101835113</v>
      </c>
      <c r="E5729" s="1" t="str">
        <f>"6935168435854710580"</f>
        <v>6935168435854710580</v>
      </c>
      <c r="F5729" s="1" t="str">
        <f t="shared" si="1837"/>
        <v>花都四部-凤凰仓</v>
      </c>
      <c r="G5729" s="1" t="str">
        <f t="shared" si="1845"/>
        <v>卡卡杜个人护理店（抖店）</v>
      </c>
      <c r="H5729" s="1" t="str">
        <f t="shared" si="1838"/>
        <v>正常订单</v>
      </c>
      <c r="I5729" s="1" t="str">
        <f t="shared" si="1839"/>
        <v>已发货</v>
      </c>
      <c r="J5729" s="1" t="str">
        <f t="shared" si="1844"/>
        <v>3</v>
      </c>
      <c r="K5729" s="1">
        <v>2</v>
      </c>
      <c r="L5729" s="1" t="s">
        <v>20</v>
      </c>
      <c r="M5729" s="1" t="str">
        <f>"浙江省 温州市 龙港市 龙港市辖镇"</f>
        <v>浙江省 温州市 龙港市 龙港市辖镇</v>
      </c>
      <c r="N5729" s="1" t="str">
        <f t="shared" si="1846"/>
        <v>凡华云仓-韵达-抖音</v>
      </c>
      <c r="O5729" s="5">
        <v>320178186287958</v>
      </c>
      <c r="P5729" s="6">
        <v>0.35</v>
      </c>
      <c r="Q5729" s="11">
        <v>2.2999999999999998</v>
      </c>
      <c r="R5729" s="11"/>
      <c r="S5729" s="11"/>
      <c r="T5729" s="11"/>
      <c r="U5729" s="11">
        <f t="shared" si="1835"/>
        <v>2.2999999999999998</v>
      </c>
      <c r="W5729">
        <v>2.5</v>
      </c>
      <c r="X5729" s="1" t="s">
        <v>20</v>
      </c>
    </row>
    <row r="5730" spans="1:24" x14ac:dyDescent="0.25">
      <c r="A5730" s="1" t="str">
        <f t="shared" si="1836"/>
        <v>卡卡杜-凤凰仓</v>
      </c>
      <c r="B5730" s="1" t="str">
        <f>"CK2024101816680"</f>
        <v>CK2024101816680</v>
      </c>
      <c r="C5730" s="1" t="str">
        <f>"DD2024101837140"</f>
        <v>DD2024101837140</v>
      </c>
      <c r="D5730" s="1" t="str">
        <f>"CK2024101835112"</f>
        <v>CK2024101835112</v>
      </c>
      <c r="E5730" s="1" t="str">
        <f>"6935148232455099879"</f>
        <v>6935148232455099879</v>
      </c>
      <c r="F5730" s="1" t="str">
        <f t="shared" si="1837"/>
        <v>花都四部-凤凰仓</v>
      </c>
      <c r="G5730" s="1" t="str">
        <f t="shared" si="1845"/>
        <v>卡卡杜个人护理店（抖店）</v>
      </c>
      <c r="H5730" s="1" t="str">
        <f t="shared" si="1838"/>
        <v>正常订单</v>
      </c>
      <c r="I5730" s="1" t="str">
        <f t="shared" si="1839"/>
        <v>已发货</v>
      </c>
      <c r="J5730" s="1" t="str">
        <f t="shared" si="1844"/>
        <v>3</v>
      </c>
      <c r="K5730" s="1">
        <v>2</v>
      </c>
      <c r="L5730" s="1" t="s">
        <v>18</v>
      </c>
      <c r="M5730" s="1" t="str">
        <f>"广东省 肇庆市 德庆县 德城街道"</f>
        <v>广东省 肇庆市 德庆县 德城街道</v>
      </c>
      <c r="N5730" s="1" t="str">
        <f t="shared" si="1846"/>
        <v>凡华云仓-韵达-抖音</v>
      </c>
      <c r="O5730" s="5">
        <v>320178186287853</v>
      </c>
      <c r="P5730" s="6">
        <v>0.35</v>
      </c>
      <c r="Q5730" s="11">
        <v>2.2999999999999998</v>
      </c>
      <c r="R5730" s="11"/>
      <c r="S5730" s="11"/>
      <c r="T5730" s="11"/>
      <c r="U5730" s="11">
        <f t="shared" si="1835"/>
        <v>2.2999999999999998</v>
      </c>
      <c r="W5730">
        <v>2.5</v>
      </c>
      <c r="X5730" s="1" t="s">
        <v>18</v>
      </c>
    </row>
    <row r="5731" spans="1:24" x14ac:dyDescent="0.25">
      <c r="A5731" s="1" t="str">
        <f t="shared" si="1836"/>
        <v>卡卡杜-凤凰仓</v>
      </c>
      <c r="B5731" s="1" t="str">
        <f>"CK2024101816672"</f>
        <v>CK2024101816672</v>
      </c>
      <c r="C5731" s="1" t="str">
        <f>"DD2024101837132"</f>
        <v>DD2024101837132</v>
      </c>
      <c r="D5731" s="1" t="str">
        <f>"CK2024101835111"</f>
        <v>CK2024101835111</v>
      </c>
      <c r="E5731" s="1" t="str">
        <f>"6935168592626718430"</f>
        <v>6935168592626718430</v>
      </c>
      <c r="F5731" s="1" t="str">
        <f t="shared" si="1837"/>
        <v>花都四部-凤凰仓</v>
      </c>
      <c r="G5731" s="1" t="str">
        <f t="shared" si="1845"/>
        <v>卡卡杜个人护理店（抖店）</v>
      </c>
      <c r="H5731" s="1" t="str">
        <f t="shared" si="1838"/>
        <v>正常订单</v>
      </c>
      <c r="I5731" s="1" t="str">
        <f t="shared" si="1839"/>
        <v>已发货</v>
      </c>
      <c r="J5731" s="1" t="str">
        <f t="shared" si="1844"/>
        <v>3</v>
      </c>
      <c r="K5731" s="1">
        <v>2</v>
      </c>
      <c r="L5731" s="1" t="s">
        <v>94</v>
      </c>
      <c r="M5731" s="1" t="str">
        <f>"湖南省 衡阳市 蒸湘区 蒸湘街道"</f>
        <v>湖南省 衡阳市 蒸湘区 蒸湘街道</v>
      </c>
      <c r="N5731" s="1" t="str">
        <f t="shared" si="1846"/>
        <v>凡华云仓-韵达-抖音</v>
      </c>
      <c r="O5731" s="5">
        <v>320178186287750</v>
      </c>
      <c r="P5731" s="6">
        <v>0.35</v>
      </c>
      <c r="Q5731" s="11">
        <v>2.2999999999999998</v>
      </c>
      <c r="R5731" s="11"/>
      <c r="S5731" s="11"/>
      <c r="T5731" s="11"/>
      <c r="U5731" s="11">
        <f t="shared" si="1835"/>
        <v>2.2999999999999998</v>
      </c>
      <c r="W5731">
        <v>2.5</v>
      </c>
      <c r="X5731" s="1" t="s">
        <v>94</v>
      </c>
    </row>
    <row r="5732" spans="1:24" x14ac:dyDescent="0.25">
      <c r="A5732" s="1" t="str">
        <f t="shared" si="1836"/>
        <v>卡卡杜-凤凰仓</v>
      </c>
      <c r="B5732" s="1" t="str">
        <f>"CK2024101816669"</f>
        <v>CK2024101816669</v>
      </c>
      <c r="C5732" s="1" t="str">
        <f>"DD2024101837129"</f>
        <v>DD2024101837129</v>
      </c>
      <c r="D5732" s="1" t="str">
        <f>"CK2024101835109"</f>
        <v>CK2024101835109</v>
      </c>
      <c r="E5732" s="1" t="str">
        <f>"6935175033695900838"</f>
        <v>6935175033695900838</v>
      </c>
      <c r="F5732" s="1" t="str">
        <f t="shared" si="1837"/>
        <v>花都四部-凤凰仓</v>
      </c>
      <c r="G5732" s="1" t="str">
        <f t="shared" si="1845"/>
        <v>卡卡杜个人护理店（抖店）</v>
      </c>
      <c r="H5732" s="1" t="str">
        <f t="shared" si="1838"/>
        <v>正常订单</v>
      </c>
      <c r="I5732" s="1" t="str">
        <f t="shared" si="1839"/>
        <v>已发货</v>
      </c>
      <c r="J5732" s="1" t="str">
        <f t="shared" si="1844"/>
        <v>3</v>
      </c>
      <c r="K5732" s="1">
        <v>2</v>
      </c>
      <c r="L5732" s="1" t="s">
        <v>161</v>
      </c>
      <c r="M5732" s="1" t="str">
        <f>"四川省 成都市 都江堰市 "</f>
        <v xml:space="preserve">四川省 成都市 都江堰市 </v>
      </c>
      <c r="N5732" s="1" t="str">
        <f t="shared" si="1846"/>
        <v>凡华云仓-韵达-抖音</v>
      </c>
      <c r="O5732" s="5">
        <v>320178186287550</v>
      </c>
      <c r="P5732" s="6">
        <v>0.35</v>
      </c>
      <c r="Q5732" s="11">
        <v>2.2999999999999998</v>
      </c>
      <c r="R5732" s="11"/>
      <c r="S5732" s="11"/>
      <c r="T5732" s="11"/>
      <c r="U5732" s="11">
        <f t="shared" si="1835"/>
        <v>2.2999999999999998</v>
      </c>
      <c r="W5732">
        <v>2.5</v>
      </c>
      <c r="X5732" s="1" t="s">
        <v>161</v>
      </c>
    </row>
    <row r="5733" spans="1:24" x14ac:dyDescent="0.25">
      <c r="A5733" s="1" t="str">
        <f t="shared" si="1836"/>
        <v>卡卡杜-凤凰仓</v>
      </c>
      <c r="B5733" s="1" t="str">
        <f>"CK2024101816673"</f>
        <v>CK2024101816673</v>
      </c>
      <c r="C5733" s="1" t="str">
        <f>"DD2024101837135"</f>
        <v>DD2024101837135</v>
      </c>
      <c r="D5733" s="1" t="str">
        <f>"CK2024101835108"</f>
        <v>CK2024101835108</v>
      </c>
      <c r="E5733" s="1" t="str">
        <f>"6935154921438713706"</f>
        <v>6935154921438713706</v>
      </c>
      <c r="F5733" s="1" t="str">
        <f t="shared" si="1837"/>
        <v>花都四部-凤凰仓</v>
      </c>
      <c r="G5733" s="1" t="str">
        <f t="shared" si="1845"/>
        <v>卡卡杜个人护理店（抖店）</v>
      </c>
      <c r="H5733" s="1" t="str">
        <f t="shared" si="1838"/>
        <v>正常订单</v>
      </c>
      <c r="I5733" s="1" t="str">
        <f t="shared" si="1839"/>
        <v>已发货</v>
      </c>
      <c r="J5733" s="1" t="str">
        <f t="shared" si="1844"/>
        <v>3</v>
      </c>
      <c r="K5733" s="1">
        <v>2</v>
      </c>
      <c r="L5733" s="1" t="s">
        <v>16</v>
      </c>
      <c r="M5733" s="1" t="str">
        <f>"河北省 邢台市 南和区 "</f>
        <v xml:space="preserve">河北省 邢台市 南和区 </v>
      </c>
      <c r="N5733" s="1" t="str">
        <f t="shared" si="1846"/>
        <v>凡华云仓-韵达-抖音</v>
      </c>
      <c r="O5733" s="5">
        <v>320178161950899</v>
      </c>
      <c r="P5733" s="6">
        <v>0.35</v>
      </c>
      <c r="Q5733" s="11">
        <v>2.2999999999999998</v>
      </c>
      <c r="R5733" s="11"/>
      <c r="S5733" s="11"/>
      <c r="T5733" s="11"/>
      <c r="U5733" s="11">
        <f t="shared" si="1835"/>
        <v>2.2999999999999998</v>
      </c>
      <c r="W5733">
        <v>2.5</v>
      </c>
      <c r="X5733" s="1" t="s">
        <v>16</v>
      </c>
    </row>
    <row r="5734" spans="1:24" x14ac:dyDescent="0.25">
      <c r="A5734" s="1" t="str">
        <f t="shared" si="1836"/>
        <v>卡卡杜-凤凰仓</v>
      </c>
      <c r="B5734" s="1" t="str">
        <f>"CK2024101816676"</f>
        <v>CK2024101816676</v>
      </c>
      <c r="C5734" s="1" t="str">
        <f>"DD2024101837136"</f>
        <v>DD2024101837136</v>
      </c>
      <c r="D5734" s="1" t="str">
        <f>"CK2024101835107"</f>
        <v>CK2024101835107</v>
      </c>
      <c r="E5734" s="1" t="str">
        <f>"6935154849544803576"</f>
        <v>6935154849544803576</v>
      </c>
      <c r="F5734" s="1" t="str">
        <f t="shared" si="1837"/>
        <v>花都四部-凤凰仓</v>
      </c>
      <c r="G5734" s="1" t="str">
        <f t="shared" si="1845"/>
        <v>卡卡杜个人护理店（抖店）</v>
      </c>
      <c r="H5734" s="1" t="str">
        <f t="shared" si="1838"/>
        <v>正常订单</v>
      </c>
      <c r="I5734" s="1" t="str">
        <f t="shared" si="1839"/>
        <v>已发货</v>
      </c>
      <c r="J5734" s="1" t="str">
        <f t="shared" si="1844"/>
        <v>3</v>
      </c>
      <c r="K5734" s="1">
        <v>2</v>
      </c>
      <c r="L5734" s="1" t="s">
        <v>41</v>
      </c>
      <c r="M5734" s="1" t="str">
        <f>"湖北省 荆州市 江陵县 郝穴镇"</f>
        <v>湖北省 荆州市 江陵县 郝穴镇</v>
      </c>
      <c r="N5734" s="1" t="str">
        <f t="shared" si="1846"/>
        <v>凡华云仓-韵达-抖音</v>
      </c>
      <c r="O5734" s="5">
        <v>320178161950796</v>
      </c>
      <c r="P5734" s="6">
        <v>0.35</v>
      </c>
      <c r="Q5734" s="11">
        <v>2.2999999999999998</v>
      </c>
      <c r="R5734" s="11"/>
      <c r="S5734" s="11"/>
      <c r="T5734" s="11"/>
      <c r="U5734" s="11">
        <f t="shared" si="1835"/>
        <v>2.2999999999999998</v>
      </c>
      <c r="W5734">
        <v>2.5</v>
      </c>
      <c r="X5734" s="1" t="s">
        <v>41</v>
      </c>
    </row>
    <row r="5735" spans="1:24" x14ac:dyDescent="0.25">
      <c r="A5735" s="1" t="str">
        <f t="shared" si="1836"/>
        <v>卡卡杜-凤凰仓</v>
      </c>
      <c r="B5735" s="1" t="str">
        <f>"CK2024101816675"</f>
        <v>CK2024101816675</v>
      </c>
      <c r="C5735" s="1" t="str">
        <f>"DD2024101837133"</f>
        <v>DD2024101837133</v>
      </c>
      <c r="D5735" s="1" t="str">
        <f>"CK2024101835106"</f>
        <v>CK2024101835106</v>
      </c>
      <c r="E5735" s="1" t="str">
        <f>"6935183822468486374"</f>
        <v>6935183822468486374</v>
      </c>
      <c r="F5735" s="1" t="str">
        <f t="shared" si="1837"/>
        <v>花都四部-凤凰仓</v>
      </c>
      <c r="G5735" s="1" t="str">
        <f t="shared" si="1845"/>
        <v>卡卡杜个人护理店（抖店）</v>
      </c>
      <c r="H5735" s="1" t="str">
        <f t="shared" si="1838"/>
        <v>正常订单</v>
      </c>
      <c r="I5735" s="1" t="str">
        <f t="shared" si="1839"/>
        <v>已发货</v>
      </c>
      <c r="J5735" s="1" t="str">
        <f t="shared" si="1844"/>
        <v>3</v>
      </c>
      <c r="K5735" s="1">
        <v>2</v>
      </c>
      <c r="L5735" s="1" t="s">
        <v>13</v>
      </c>
      <c r="M5735" s="1" t="str">
        <f>"江苏省 苏州市 吴中区 胜浦街道"</f>
        <v>江苏省 苏州市 吴中区 胜浦街道</v>
      </c>
      <c r="N5735" s="1" t="str">
        <f t="shared" si="1846"/>
        <v>凡华云仓-韵达-抖音</v>
      </c>
      <c r="O5735" s="5">
        <v>320178161950695</v>
      </c>
      <c r="P5735" s="6">
        <v>0.35</v>
      </c>
      <c r="Q5735" s="11">
        <v>2.2999999999999998</v>
      </c>
      <c r="R5735" s="11"/>
      <c r="S5735" s="11"/>
      <c r="T5735" s="11"/>
      <c r="U5735" s="11">
        <f t="shared" si="1835"/>
        <v>2.2999999999999998</v>
      </c>
      <c r="W5735">
        <v>2.5</v>
      </c>
      <c r="X5735" s="1" t="s">
        <v>13</v>
      </c>
    </row>
    <row r="5736" spans="1:24" x14ac:dyDescent="0.25">
      <c r="A5736" s="1" t="str">
        <f t="shared" si="1836"/>
        <v>卡卡杜-凤凰仓</v>
      </c>
      <c r="B5736" s="1" t="str">
        <f>"CK2024101816677"</f>
        <v>CK2024101816677</v>
      </c>
      <c r="C5736" s="1" t="str">
        <f>"DD2024101837138"</f>
        <v>DD2024101837138</v>
      </c>
      <c r="D5736" s="1" t="str">
        <f>"CK2024101835105"</f>
        <v>CK2024101835105</v>
      </c>
      <c r="E5736" s="1" t="str">
        <f>"6935177521107245012"</f>
        <v>6935177521107245012</v>
      </c>
      <c r="F5736" s="1" t="str">
        <f t="shared" si="1837"/>
        <v>花都四部-凤凰仓</v>
      </c>
      <c r="G5736" s="1" t="str">
        <f t="shared" si="1845"/>
        <v>卡卡杜个人护理店（抖店）</v>
      </c>
      <c r="H5736" s="1" t="str">
        <f t="shared" si="1838"/>
        <v>正常订单</v>
      </c>
      <c r="I5736" s="1" t="str">
        <f t="shared" si="1839"/>
        <v>已发货</v>
      </c>
      <c r="J5736" s="1" t="str">
        <f t="shared" si="1844"/>
        <v>3</v>
      </c>
      <c r="K5736" s="1">
        <v>2</v>
      </c>
      <c r="L5736" s="1" t="s">
        <v>20</v>
      </c>
      <c r="M5736" s="1" t="str">
        <f>"浙江省 金华市 金东区 孝顺镇"</f>
        <v>浙江省 金华市 金东区 孝顺镇</v>
      </c>
      <c r="N5736" s="1" t="str">
        <f t="shared" si="1846"/>
        <v>凡华云仓-韵达-抖音</v>
      </c>
      <c r="O5736" s="5">
        <v>320178161950596</v>
      </c>
      <c r="P5736" s="6">
        <v>0.35</v>
      </c>
      <c r="Q5736" s="11">
        <v>2.2999999999999998</v>
      </c>
      <c r="R5736" s="11"/>
      <c r="S5736" s="11"/>
      <c r="T5736" s="11"/>
      <c r="U5736" s="11">
        <f t="shared" si="1835"/>
        <v>2.2999999999999998</v>
      </c>
      <c r="W5736">
        <v>2.5</v>
      </c>
      <c r="X5736" s="1" t="s">
        <v>20</v>
      </c>
    </row>
    <row r="5737" spans="1:24" x14ac:dyDescent="0.25">
      <c r="A5737" s="1" t="str">
        <f t="shared" si="1836"/>
        <v>卡卡杜-凤凰仓</v>
      </c>
      <c r="B5737" s="1" t="str">
        <f>"CK2024101816678"</f>
        <v>CK2024101816678</v>
      </c>
      <c r="C5737" s="1" t="str">
        <f>"DD2024101837137"</f>
        <v>DD2024101837137</v>
      </c>
      <c r="D5737" s="1" t="str">
        <f>"CK2024101835104"</f>
        <v>CK2024101835104</v>
      </c>
      <c r="E5737" s="1" t="str">
        <f>"6935183706685970099"</f>
        <v>6935183706685970099</v>
      </c>
      <c r="F5737" s="1" t="str">
        <f t="shared" si="1837"/>
        <v>花都四部-凤凰仓</v>
      </c>
      <c r="G5737" s="1" t="str">
        <f t="shared" si="1845"/>
        <v>卡卡杜个人护理店（抖店）</v>
      </c>
      <c r="H5737" s="1" t="str">
        <f t="shared" si="1838"/>
        <v>正常订单</v>
      </c>
      <c r="I5737" s="1" t="str">
        <f t="shared" si="1839"/>
        <v>已发货</v>
      </c>
      <c r="J5737" s="1" t="str">
        <f t="shared" si="1844"/>
        <v>3</v>
      </c>
      <c r="K5737" s="1">
        <v>2</v>
      </c>
      <c r="L5737" s="1" t="s">
        <v>24</v>
      </c>
      <c r="M5737" s="1" t="str">
        <f>"福建省 宁德市 福鼎市 桐城街道"</f>
        <v>福建省 宁德市 福鼎市 桐城街道</v>
      </c>
      <c r="N5737" s="1" t="str">
        <f t="shared" si="1846"/>
        <v>凡华云仓-韵达-抖音</v>
      </c>
      <c r="O5737" s="5">
        <v>320178161950499</v>
      </c>
      <c r="P5737" s="6">
        <v>0.35</v>
      </c>
      <c r="Q5737" s="11">
        <v>2.2999999999999998</v>
      </c>
      <c r="R5737" s="11"/>
      <c r="S5737" s="11"/>
      <c r="T5737" s="11"/>
      <c r="U5737" s="11">
        <f t="shared" si="1835"/>
        <v>2.2999999999999998</v>
      </c>
      <c r="W5737">
        <v>2.5</v>
      </c>
      <c r="X5737" s="1" t="s">
        <v>24</v>
      </c>
    </row>
    <row r="5738" spans="1:24" x14ac:dyDescent="0.25">
      <c r="A5738" s="1" t="str">
        <f t="shared" si="1836"/>
        <v>卡卡杜-凤凰仓</v>
      </c>
      <c r="B5738" s="1" t="str">
        <f>"CK2024101816674"</f>
        <v>CK2024101816674</v>
      </c>
      <c r="C5738" s="1" t="str">
        <f>"DD2024101837134"</f>
        <v>DD2024101837134</v>
      </c>
      <c r="D5738" s="1" t="str">
        <f>"CK2024101835103"</f>
        <v>CK2024101835103</v>
      </c>
      <c r="E5738" s="1" t="str">
        <f>"6935154846452815181"</f>
        <v>6935154846452815181</v>
      </c>
      <c r="F5738" s="1" t="str">
        <f t="shared" si="1837"/>
        <v>花都四部-凤凰仓</v>
      </c>
      <c r="G5738" s="1" t="str">
        <f t="shared" si="1845"/>
        <v>卡卡杜个人护理店（抖店）</v>
      </c>
      <c r="H5738" s="1" t="str">
        <f t="shared" si="1838"/>
        <v>正常订单</v>
      </c>
      <c r="I5738" s="1" t="str">
        <f t="shared" si="1839"/>
        <v>已发货</v>
      </c>
      <c r="J5738" s="1" t="str">
        <f t="shared" si="1844"/>
        <v>3</v>
      </c>
      <c r="K5738" s="1">
        <v>2</v>
      </c>
      <c r="L5738" s="1" t="s">
        <v>13</v>
      </c>
      <c r="M5738" s="1" t="str">
        <f>"江苏省 无锡市 江阴市 新桥镇"</f>
        <v>江苏省 无锡市 江阴市 新桥镇</v>
      </c>
      <c r="N5738" s="1" t="str">
        <f t="shared" si="1846"/>
        <v>凡华云仓-韵达-抖音</v>
      </c>
      <c r="O5738" s="5">
        <v>320178161950304</v>
      </c>
      <c r="P5738" s="6">
        <v>0.35</v>
      </c>
      <c r="Q5738" s="11">
        <v>2.2999999999999998</v>
      </c>
      <c r="R5738" s="11"/>
      <c r="S5738" s="11"/>
      <c r="T5738" s="11"/>
      <c r="U5738" s="11">
        <f t="shared" si="1835"/>
        <v>2.2999999999999998</v>
      </c>
      <c r="W5738">
        <v>2.5</v>
      </c>
      <c r="X5738" s="1" t="s">
        <v>13</v>
      </c>
    </row>
    <row r="5739" spans="1:24" x14ac:dyDescent="0.25">
      <c r="A5739" s="1" t="str">
        <f t="shared" si="1836"/>
        <v>卡卡杜-凤凰仓</v>
      </c>
      <c r="B5739" s="1" t="str">
        <f>"CK2024101816679"</f>
        <v>CK2024101816679</v>
      </c>
      <c r="C5739" s="1" t="str">
        <f>"DD2024101837139"</f>
        <v>DD2024101837139</v>
      </c>
      <c r="D5739" s="1" t="str">
        <f>"CK2024101835102"</f>
        <v>CK2024101835102</v>
      </c>
      <c r="E5739" s="1" t="str">
        <f>"6935152542194931303"</f>
        <v>6935152542194931303</v>
      </c>
      <c r="F5739" s="1" t="str">
        <f t="shared" si="1837"/>
        <v>花都四部-凤凰仓</v>
      </c>
      <c r="G5739" s="1" t="str">
        <f t="shared" si="1845"/>
        <v>卡卡杜个人护理店（抖店）</v>
      </c>
      <c r="H5739" s="1" t="str">
        <f t="shared" si="1838"/>
        <v>正常订单</v>
      </c>
      <c r="I5739" s="1" t="str">
        <f t="shared" si="1839"/>
        <v>已发货</v>
      </c>
      <c r="J5739" s="1" t="str">
        <f t="shared" si="1844"/>
        <v>3</v>
      </c>
      <c r="K5739" s="1">
        <v>2</v>
      </c>
      <c r="L5739" s="1" t="s">
        <v>20</v>
      </c>
      <c r="M5739" s="1" t="str">
        <f>"浙江省 杭州市 拱墅区 和睦街道"</f>
        <v>浙江省 杭州市 拱墅区 和睦街道</v>
      </c>
      <c r="N5739" s="1" t="str">
        <f t="shared" si="1846"/>
        <v>凡华云仓-韵达-抖音</v>
      </c>
      <c r="O5739" s="5">
        <v>320178161950211</v>
      </c>
      <c r="P5739" s="6">
        <v>0.35</v>
      </c>
      <c r="Q5739" s="11">
        <v>2.2999999999999998</v>
      </c>
      <c r="R5739" s="11"/>
      <c r="S5739" s="11"/>
      <c r="T5739" s="11"/>
      <c r="U5739" s="11">
        <f t="shared" si="1835"/>
        <v>2.2999999999999998</v>
      </c>
      <c r="W5739">
        <v>2.5</v>
      </c>
      <c r="X5739" s="1" t="s">
        <v>20</v>
      </c>
    </row>
    <row r="5740" spans="1:24" x14ac:dyDescent="0.25">
      <c r="A5740" s="1" t="str">
        <f t="shared" si="1836"/>
        <v>卡卡杜-凤凰仓</v>
      </c>
      <c r="B5740" s="1" t="str">
        <f>"CK2024101816705"</f>
        <v>CK2024101816705</v>
      </c>
      <c r="C5740" s="1" t="str">
        <f>"DD2024101837189"</f>
        <v>DD2024101837189</v>
      </c>
      <c r="D5740" s="1" t="str">
        <f>"CK2024101835101"</f>
        <v>CK2024101835101</v>
      </c>
      <c r="E5740" s="1" t="str">
        <f>"6935156762941592950"</f>
        <v>6935156762941592950</v>
      </c>
      <c r="F5740" s="1" t="str">
        <f t="shared" si="1837"/>
        <v>花都四部-凤凰仓</v>
      </c>
      <c r="G5740" s="1" t="str">
        <f t="shared" si="1845"/>
        <v>卡卡杜个人护理店（抖店）</v>
      </c>
      <c r="H5740" s="1" t="str">
        <f t="shared" si="1838"/>
        <v>正常订单</v>
      </c>
      <c r="I5740" s="1" t="str">
        <f t="shared" si="1839"/>
        <v>已发货</v>
      </c>
      <c r="J5740" s="1" t="str">
        <f>"5"</f>
        <v>5</v>
      </c>
      <c r="K5740" s="1">
        <v>2</v>
      </c>
      <c r="L5740" s="1" t="s">
        <v>27</v>
      </c>
      <c r="M5740" s="1" t="str">
        <f>"贵州省 贵阳市 花溪区 贵筑街道"</f>
        <v>贵州省 贵阳市 花溪区 贵筑街道</v>
      </c>
      <c r="N5740" s="1" t="str">
        <f t="shared" si="1846"/>
        <v>凡华云仓-韵达-抖音</v>
      </c>
      <c r="O5740" s="5">
        <v>320178161950120</v>
      </c>
      <c r="P5740" s="6">
        <v>0.59</v>
      </c>
      <c r="Q5740" s="11">
        <f>CEILING(P5740-0.5,0.1)*10*0.15+2.3</f>
        <v>2.4499999999999997</v>
      </c>
      <c r="R5740" s="11"/>
      <c r="S5740" s="11"/>
      <c r="T5740" s="11"/>
      <c r="U5740" s="11">
        <f t="shared" si="1835"/>
        <v>2.4499999999999997</v>
      </c>
      <c r="V5740" t="s">
        <v>15</v>
      </c>
      <c r="W5740">
        <v>2.4500000000000002</v>
      </c>
      <c r="X5740" s="1" t="s">
        <v>27</v>
      </c>
    </row>
    <row r="5741" spans="1:24" x14ac:dyDescent="0.25">
      <c r="A5741" s="1" t="str">
        <f t="shared" si="1836"/>
        <v>卡卡杜-凤凰仓</v>
      </c>
      <c r="B5741" s="1" t="str">
        <f>"CK2024101816681"</f>
        <v>CK2024101816681</v>
      </c>
      <c r="C5741" s="1" t="str">
        <f>"DD2024101837141"</f>
        <v>DD2024101837141</v>
      </c>
      <c r="D5741" s="1" t="str">
        <f>"CK2024101835100"</f>
        <v>CK2024101835100</v>
      </c>
      <c r="E5741" s="1" t="str">
        <f>"6935163431576213090"</f>
        <v>6935163431576213090</v>
      </c>
      <c r="F5741" s="1" t="str">
        <f t="shared" si="1837"/>
        <v>花都四部-凤凰仓</v>
      </c>
      <c r="G5741" s="1" t="str">
        <f t="shared" si="1845"/>
        <v>卡卡杜个人护理店（抖店）</v>
      </c>
      <c r="H5741" s="1" t="str">
        <f t="shared" si="1838"/>
        <v>正常订单</v>
      </c>
      <c r="I5741" s="1" t="str">
        <f t="shared" si="1839"/>
        <v>已发货</v>
      </c>
      <c r="J5741" s="1" t="str">
        <f t="shared" ref="J5741:J5743" si="1847">"3"</f>
        <v>3</v>
      </c>
      <c r="K5741" s="1">
        <v>2</v>
      </c>
      <c r="L5741" s="1" t="s">
        <v>109</v>
      </c>
      <c r="M5741" s="1" t="str">
        <f>"山西省 运城市 芮城县 风陵渡镇"</f>
        <v>山西省 运城市 芮城县 风陵渡镇</v>
      </c>
      <c r="N5741" s="1" t="str">
        <f t="shared" si="1846"/>
        <v>凡华云仓-韵达-抖音</v>
      </c>
      <c r="O5741" s="5">
        <v>320178161950031</v>
      </c>
      <c r="P5741" s="6">
        <v>0.35</v>
      </c>
      <c r="Q5741" s="11">
        <v>2.2999999999999998</v>
      </c>
      <c r="R5741" s="11"/>
      <c r="S5741" s="11"/>
      <c r="T5741" s="11"/>
      <c r="U5741" s="11">
        <f t="shared" si="1835"/>
        <v>2.2999999999999998</v>
      </c>
      <c r="W5741">
        <v>2.5</v>
      </c>
      <c r="X5741" s="1" t="s">
        <v>109</v>
      </c>
    </row>
    <row r="5742" spans="1:24" x14ac:dyDescent="0.25">
      <c r="A5742" s="1" t="str">
        <f t="shared" si="1836"/>
        <v>卡卡杜-凤凰仓</v>
      </c>
      <c r="B5742" s="1" t="str">
        <f>"CK2024101816696"</f>
        <v>CK2024101816696</v>
      </c>
      <c r="C5742" s="1" t="str">
        <f>"DD2024101837156"</f>
        <v>DD2024101837156</v>
      </c>
      <c r="D5742" s="1" t="str">
        <f>"CK2024101835099"</f>
        <v>CK2024101835099</v>
      </c>
      <c r="E5742" s="1" t="str">
        <f>"6935156938770945193"</f>
        <v>6935156938770945193</v>
      </c>
      <c r="F5742" s="1" t="str">
        <f t="shared" si="1837"/>
        <v>花都四部-凤凰仓</v>
      </c>
      <c r="G5742" s="1" t="str">
        <f t="shared" si="1845"/>
        <v>卡卡杜个人护理店（抖店）</v>
      </c>
      <c r="H5742" s="1" t="str">
        <f t="shared" si="1838"/>
        <v>正常订单</v>
      </c>
      <c r="I5742" s="1" t="str">
        <f t="shared" si="1839"/>
        <v>已发货</v>
      </c>
      <c r="J5742" s="1" t="str">
        <f t="shared" si="1847"/>
        <v>3</v>
      </c>
      <c r="K5742" s="1">
        <v>2</v>
      </c>
      <c r="L5742" s="1" t="s">
        <v>24</v>
      </c>
      <c r="M5742" s="1" t="str">
        <f>"福建省 福州市 仓山区 建新镇"</f>
        <v>福建省 福州市 仓山区 建新镇</v>
      </c>
      <c r="N5742" s="1" t="str">
        <f t="shared" si="1846"/>
        <v>凡华云仓-韵达-抖音</v>
      </c>
      <c r="O5742" s="5">
        <v>320178161949980</v>
      </c>
      <c r="P5742" s="6">
        <v>0.35</v>
      </c>
      <c r="Q5742" s="11">
        <v>2.2999999999999998</v>
      </c>
      <c r="R5742" s="11"/>
      <c r="S5742" s="11"/>
      <c r="T5742" s="11"/>
      <c r="U5742" s="11">
        <f t="shared" si="1835"/>
        <v>2.2999999999999998</v>
      </c>
      <c r="W5742">
        <v>2.5</v>
      </c>
      <c r="X5742" s="1" t="s">
        <v>24</v>
      </c>
    </row>
    <row r="5743" spans="1:24" x14ac:dyDescent="0.25">
      <c r="A5743" s="1" t="str">
        <f t="shared" si="1836"/>
        <v>卡卡杜-凤凰仓</v>
      </c>
      <c r="B5743" s="1" t="str">
        <f>"CK2024101816690"</f>
        <v>CK2024101816690</v>
      </c>
      <c r="C5743" s="1" t="str">
        <f>"DD2024101837152"</f>
        <v>DD2024101837152</v>
      </c>
      <c r="D5743" s="1" t="str">
        <f>"CK2024101835098"</f>
        <v>CK2024101835098</v>
      </c>
      <c r="E5743" s="1" t="str">
        <f>"6935178990207374715"</f>
        <v>6935178990207374715</v>
      </c>
      <c r="F5743" s="1" t="str">
        <f t="shared" si="1837"/>
        <v>花都四部-凤凰仓</v>
      </c>
      <c r="G5743" s="1" t="str">
        <f t="shared" si="1845"/>
        <v>卡卡杜个人护理店（抖店）</v>
      </c>
      <c r="H5743" s="1" t="str">
        <f t="shared" si="1838"/>
        <v>正常订单</v>
      </c>
      <c r="I5743" s="1" t="str">
        <f t="shared" si="1839"/>
        <v>已发货</v>
      </c>
      <c r="J5743" s="1" t="str">
        <f t="shared" si="1847"/>
        <v>3</v>
      </c>
      <c r="K5743" s="1">
        <v>2</v>
      </c>
      <c r="L5743" s="1" t="s">
        <v>60</v>
      </c>
      <c r="M5743" s="1" t="str">
        <f>"云南省 保山市 昌宁县 田园镇"</f>
        <v>云南省 保山市 昌宁县 田园镇</v>
      </c>
      <c r="N5743" s="1" t="str">
        <f t="shared" si="1846"/>
        <v>凡华云仓-韵达-抖音</v>
      </c>
      <c r="O5743" s="5">
        <v>320178182724665</v>
      </c>
      <c r="P5743" s="6">
        <v>0.35</v>
      </c>
      <c r="Q5743" s="11">
        <v>2.2999999999999998</v>
      </c>
      <c r="R5743" s="11"/>
      <c r="S5743" s="11"/>
      <c r="T5743" s="11"/>
      <c r="U5743" s="11">
        <f t="shared" si="1835"/>
        <v>2.2999999999999998</v>
      </c>
      <c r="W5743">
        <v>2.5</v>
      </c>
      <c r="X5743" s="1" t="s">
        <v>60</v>
      </c>
    </row>
    <row r="5744" spans="1:24" x14ac:dyDescent="0.25">
      <c r="A5744" s="1" t="str">
        <f t="shared" si="1836"/>
        <v>卡卡杜-凤凰仓</v>
      </c>
      <c r="B5744" s="1" t="str">
        <f>"CK2024101816664"</f>
        <v>CK2024101816664</v>
      </c>
      <c r="C5744" s="1" t="str">
        <f>"DD2024101837122"</f>
        <v>DD2024101837122</v>
      </c>
      <c r="D5744" s="1" t="str">
        <f>"CK2024101835097"</f>
        <v>CK2024101835097</v>
      </c>
      <c r="E5744" s="1" t="str">
        <f>"6935163370147222852"</f>
        <v>6935163370147222852</v>
      </c>
      <c r="F5744" s="1" t="str">
        <f t="shared" si="1837"/>
        <v>花都四部-凤凰仓</v>
      </c>
      <c r="G5744" s="1" t="str">
        <f t="shared" si="1845"/>
        <v>卡卡杜个人护理店（抖店）</v>
      </c>
      <c r="H5744" s="1" t="str">
        <f t="shared" si="1838"/>
        <v>正常订单</v>
      </c>
      <c r="I5744" s="1" t="str">
        <f t="shared" si="1839"/>
        <v>已发货</v>
      </c>
      <c r="J5744" s="1" t="str">
        <f>"5"</f>
        <v>5</v>
      </c>
      <c r="K5744" s="1">
        <v>2</v>
      </c>
      <c r="L5744" s="1" t="s">
        <v>13</v>
      </c>
      <c r="M5744" s="1" t="str">
        <f>"江苏省 常州市 武进区 湖塘镇"</f>
        <v>江苏省 常州市 武进区 湖塘镇</v>
      </c>
      <c r="N5744" s="1" t="str">
        <f t="shared" si="1846"/>
        <v>凡华云仓-韵达-抖音</v>
      </c>
      <c r="O5744" s="5">
        <v>320178182724566</v>
      </c>
      <c r="P5744" s="6">
        <v>0.59</v>
      </c>
      <c r="Q5744" s="11">
        <f>CEILING(P5744-0.5,0.1)*10*0.15+2.3</f>
        <v>2.4499999999999997</v>
      </c>
      <c r="R5744" s="11"/>
      <c r="S5744" s="11"/>
      <c r="T5744" s="11"/>
      <c r="U5744" s="11">
        <f t="shared" si="1835"/>
        <v>2.4499999999999997</v>
      </c>
      <c r="V5744" t="s">
        <v>15</v>
      </c>
      <c r="W5744">
        <v>2.4500000000000002</v>
      </c>
      <c r="X5744" s="1" t="s">
        <v>13</v>
      </c>
    </row>
    <row r="5745" spans="1:24" x14ac:dyDescent="0.25">
      <c r="A5745" s="1" t="str">
        <f t="shared" si="1836"/>
        <v>卡卡杜-凤凰仓</v>
      </c>
      <c r="B5745" s="1" t="str">
        <f>"CK2024101816687"</f>
        <v>CK2024101816687</v>
      </c>
      <c r="C5745" s="1" t="str">
        <f>"DD2024101837147"</f>
        <v>DD2024101837147</v>
      </c>
      <c r="D5745" s="1" t="str">
        <f>"CK2024101835096"</f>
        <v>CK2024101835096</v>
      </c>
      <c r="E5745" s="1" t="str">
        <f>"6935168135835948138"</f>
        <v>6935168135835948138</v>
      </c>
      <c r="F5745" s="1" t="str">
        <f t="shared" si="1837"/>
        <v>花都四部-凤凰仓</v>
      </c>
      <c r="G5745" s="1" t="str">
        <f t="shared" si="1845"/>
        <v>卡卡杜个人护理店（抖店）</v>
      </c>
      <c r="H5745" s="1" t="str">
        <f t="shared" si="1838"/>
        <v>正常订单</v>
      </c>
      <c r="I5745" s="1" t="str">
        <f t="shared" si="1839"/>
        <v>已发货</v>
      </c>
      <c r="J5745" s="1" t="str">
        <f t="shared" ref="J5745:J5753" si="1848">"3"</f>
        <v>3</v>
      </c>
      <c r="K5745" s="1">
        <v>2</v>
      </c>
      <c r="L5745" s="1" t="s">
        <v>13</v>
      </c>
      <c r="M5745" s="1" t="str">
        <f>"江苏省 徐州市 鼓楼区 东环街道"</f>
        <v>江苏省 徐州市 鼓楼区 东环街道</v>
      </c>
      <c r="N5745" s="1" t="str">
        <f t="shared" si="1846"/>
        <v>凡华云仓-韵达-抖音</v>
      </c>
      <c r="O5745" s="5">
        <v>320178182724469</v>
      </c>
      <c r="P5745" s="6">
        <v>0.35</v>
      </c>
      <c r="Q5745" s="11">
        <v>2.2999999999999998</v>
      </c>
      <c r="R5745" s="11"/>
      <c r="S5745" s="11"/>
      <c r="T5745" s="11"/>
      <c r="U5745" s="11">
        <f t="shared" si="1835"/>
        <v>2.2999999999999998</v>
      </c>
      <c r="W5745">
        <v>2.5</v>
      </c>
      <c r="X5745" s="1" t="s">
        <v>13</v>
      </c>
    </row>
    <row r="5746" spans="1:24" x14ac:dyDescent="0.25">
      <c r="A5746" s="1" t="str">
        <f t="shared" si="1836"/>
        <v>卡卡杜-凤凰仓</v>
      </c>
      <c r="B5746" s="1" t="str">
        <f>"CK2024101816691"</f>
        <v>CK2024101816691</v>
      </c>
      <c r="C5746" s="1" t="str">
        <f>"DD2024101837150"</f>
        <v>DD2024101837150</v>
      </c>
      <c r="D5746" s="1" t="str">
        <f>"CK2024101835095"</f>
        <v>CK2024101835095</v>
      </c>
      <c r="E5746" s="1" t="str">
        <f>"6935158632640943190"</f>
        <v>6935158632640943190</v>
      </c>
      <c r="F5746" s="1" t="str">
        <f t="shared" si="1837"/>
        <v>花都四部-凤凰仓</v>
      </c>
      <c r="G5746" s="1" t="str">
        <f t="shared" si="1845"/>
        <v>卡卡杜个人护理店（抖店）</v>
      </c>
      <c r="H5746" s="1" t="str">
        <f t="shared" si="1838"/>
        <v>正常订单</v>
      </c>
      <c r="I5746" s="1" t="str">
        <f t="shared" si="1839"/>
        <v>已发货</v>
      </c>
      <c r="J5746" s="1" t="str">
        <f t="shared" si="1848"/>
        <v>3</v>
      </c>
      <c r="K5746" s="1">
        <v>2</v>
      </c>
      <c r="L5746" s="1" t="s">
        <v>80</v>
      </c>
      <c r="M5746" s="1" t="str">
        <f>"河南省 开封市 龙亭区 西郊乡"</f>
        <v>河南省 开封市 龙亭区 西郊乡</v>
      </c>
      <c r="N5746" s="1" t="str">
        <f t="shared" si="1846"/>
        <v>凡华云仓-韵达-抖音</v>
      </c>
      <c r="O5746" s="5">
        <v>320178182724374</v>
      </c>
      <c r="P5746" s="6">
        <v>0.35</v>
      </c>
      <c r="Q5746" s="11">
        <v>2.2999999999999998</v>
      </c>
      <c r="R5746" s="11"/>
      <c r="S5746" s="11"/>
      <c r="T5746" s="11"/>
      <c r="U5746" s="11">
        <f t="shared" si="1835"/>
        <v>2.2999999999999998</v>
      </c>
      <c r="W5746">
        <v>2.5</v>
      </c>
      <c r="X5746" s="1" t="s">
        <v>80</v>
      </c>
    </row>
    <row r="5747" spans="1:24" x14ac:dyDescent="0.25">
      <c r="A5747" s="1" t="str">
        <f t="shared" si="1836"/>
        <v>卡卡杜-凤凰仓</v>
      </c>
      <c r="B5747" s="1" t="str">
        <f>"CK2024101816701"</f>
        <v>CK2024101816701</v>
      </c>
      <c r="C5747" s="1" t="str">
        <f>"DD2024101837161"</f>
        <v>DD2024101837161</v>
      </c>
      <c r="D5747" s="1" t="str">
        <f>"CK2024101835094"</f>
        <v>CK2024101835094</v>
      </c>
      <c r="E5747" s="1" t="str">
        <f>"6935163348729599593"</f>
        <v>6935163348729599593</v>
      </c>
      <c r="F5747" s="1" t="str">
        <f t="shared" si="1837"/>
        <v>花都四部-凤凰仓</v>
      </c>
      <c r="G5747" s="1" t="str">
        <f t="shared" si="1845"/>
        <v>卡卡杜个人护理店（抖店）</v>
      </c>
      <c r="H5747" s="1" t="str">
        <f t="shared" si="1838"/>
        <v>正常订单</v>
      </c>
      <c r="I5747" s="1" t="str">
        <f t="shared" si="1839"/>
        <v>已发货</v>
      </c>
      <c r="J5747" s="1" t="str">
        <f t="shared" si="1848"/>
        <v>3</v>
      </c>
      <c r="K5747" s="1">
        <v>2</v>
      </c>
      <c r="L5747" s="1" t="s">
        <v>24</v>
      </c>
      <c r="M5747" s="1" t="str">
        <f>"福建省 泉州市 石狮市 宝盖镇"</f>
        <v>福建省 泉州市 石狮市 宝盖镇</v>
      </c>
      <c r="N5747" s="1" t="str">
        <f t="shared" si="1846"/>
        <v>凡华云仓-韵达-抖音</v>
      </c>
      <c r="O5747" s="5">
        <v>320178182724281</v>
      </c>
      <c r="P5747" s="6">
        <v>0.35</v>
      </c>
      <c r="Q5747" s="11">
        <v>2.2999999999999998</v>
      </c>
      <c r="R5747" s="11"/>
      <c r="S5747" s="11"/>
      <c r="T5747" s="11"/>
      <c r="U5747" s="11">
        <f t="shared" si="1835"/>
        <v>2.2999999999999998</v>
      </c>
      <c r="W5747">
        <v>2.5</v>
      </c>
      <c r="X5747" s="1" t="s">
        <v>24</v>
      </c>
    </row>
    <row r="5748" spans="1:24" x14ac:dyDescent="0.25">
      <c r="A5748" s="1" t="str">
        <f t="shared" si="1836"/>
        <v>卡卡杜-凤凰仓</v>
      </c>
      <c r="B5748" s="1" t="str">
        <f>"CK2024101816700"</f>
        <v>CK2024101816700</v>
      </c>
      <c r="C5748" s="1" t="str">
        <f>"DD2024101837160"</f>
        <v>DD2024101837160</v>
      </c>
      <c r="D5748" s="1" t="str">
        <f>"CK2024101835093"</f>
        <v>CK2024101835093</v>
      </c>
      <c r="E5748" s="1" t="str">
        <f>"6935154183728141382"</f>
        <v>6935154183728141382</v>
      </c>
      <c r="F5748" s="1" t="str">
        <f t="shared" si="1837"/>
        <v>花都四部-凤凰仓</v>
      </c>
      <c r="G5748" s="1" t="str">
        <f t="shared" si="1845"/>
        <v>卡卡杜个人护理店（抖店）</v>
      </c>
      <c r="H5748" s="1" t="str">
        <f t="shared" si="1838"/>
        <v>正常订单</v>
      </c>
      <c r="I5748" s="1" t="str">
        <f t="shared" si="1839"/>
        <v>已发货</v>
      </c>
      <c r="J5748" s="1" t="str">
        <f t="shared" si="1848"/>
        <v>3</v>
      </c>
      <c r="K5748" s="1">
        <v>2</v>
      </c>
      <c r="L5748" s="1" t="s">
        <v>27</v>
      </c>
      <c r="M5748" s="1" t="str">
        <f>"贵州省 安顺市 西秀区 华西街道"</f>
        <v>贵州省 安顺市 西秀区 华西街道</v>
      </c>
      <c r="N5748" s="1" t="str">
        <f t="shared" si="1846"/>
        <v>凡华云仓-韵达-抖音</v>
      </c>
      <c r="O5748" s="5">
        <v>320178182724190</v>
      </c>
      <c r="P5748" s="6">
        <v>0.35</v>
      </c>
      <c r="Q5748" s="11">
        <v>2.2999999999999998</v>
      </c>
      <c r="R5748" s="11"/>
      <c r="S5748" s="11"/>
      <c r="T5748" s="11"/>
      <c r="U5748" s="11">
        <f t="shared" si="1835"/>
        <v>2.2999999999999998</v>
      </c>
      <c r="W5748">
        <v>2.5</v>
      </c>
      <c r="X5748" s="1" t="s">
        <v>27</v>
      </c>
    </row>
    <row r="5749" spans="1:24" x14ac:dyDescent="0.25">
      <c r="A5749" s="1" t="str">
        <f t="shared" si="1836"/>
        <v>卡卡杜-凤凰仓</v>
      </c>
      <c r="B5749" s="1" t="str">
        <f>"CK2024101816695"</f>
        <v>CK2024101816695</v>
      </c>
      <c r="C5749" s="1" t="str">
        <f>"DD2024101837155"</f>
        <v>DD2024101837155</v>
      </c>
      <c r="D5749" s="1" t="str">
        <f>"CK2024101835092"</f>
        <v>CK2024101835092</v>
      </c>
      <c r="E5749" s="1" t="str">
        <f>"6935154305735660919"</f>
        <v>6935154305735660919</v>
      </c>
      <c r="F5749" s="1" t="str">
        <f t="shared" si="1837"/>
        <v>花都四部-凤凰仓</v>
      </c>
      <c r="G5749" s="1" t="str">
        <f t="shared" si="1845"/>
        <v>卡卡杜个人护理店（抖店）</v>
      </c>
      <c r="H5749" s="1" t="str">
        <f t="shared" si="1838"/>
        <v>正常订单</v>
      </c>
      <c r="I5749" s="1" t="str">
        <f t="shared" si="1839"/>
        <v>已发货</v>
      </c>
      <c r="J5749" s="1" t="str">
        <f t="shared" si="1848"/>
        <v>3</v>
      </c>
      <c r="K5749" s="1">
        <v>2</v>
      </c>
      <c r="L5749" s="1" t="s">
        <v>13</v>
      </c>
      <c r="M5749" s="1" t="str">
        <f>"江苏省 徐州市 新沂市 墨河街道"</f>
        <v>江苏省 徐州市 新沂市 墨河街道</v>
      </c>
      <c r="N5749" s="1" t="str">
        <f t="shared" si="1846"/>
        <v>凡华云仓-韵达-抖音</v>
      </c>
      <c r="O5749" s="5">
        <v>320178182724001</v>
      </c>
      <c r="P5749" s="6">
        <v>0.35</v>
      </c>
      <c r="Q5749" s="11">
        <v>2.2999999999999998</v>
      </c>
      <c r="R5749" s="11"/>
      <c r="S5749" s="11"/>
      <c r="T5749" s="11"/>
      <c r="U5749" s="11">
        <f t="shared" si="1835"/>
        <v>2.2999999999999998</v>
      </c>
      <c r="W5749">
        <v>2.5</v>
      </c>
      <c r="X5749" s="1" t="s">
        <v>13</v>
      </c>
    </row>
    <row r="5750" spans="1:24" x14ac:dyDescent="0.25">
      <c r="A5750" s="1" t="str">
        <f t="shared" si="1836"/>
        <v>卡卡杜-凤凰仓</v>
      </c>
      <c r="B5750" s="1" t="str">
        <f>"CK2024101816699"</f>
        <v>CK2024101816699</v>
      </c>
      <c r="C5750" s="1" t="str">
        <f>"DD2024101837158"</f>
        <v>DD2024101837158</v>
      </c>
      <c r="D5750" s="1" t="str">
        <f>"CK2024101835091"</f>
        <v>CK2024101835091</v>
      </c>
      <c r="E5750" s="1" t="str">
        <f>"6935170261783811673"</f>
        <v>6935170261783811673</v>
      </c>
      <c r="F5750" s="1" t="str">
        <f t="shared" si="1837"/>
        <v>花都四部-凤凰仓</v>
      </c>
      <c r="G5750" s="1" t="str">
        <f t="shared" si="1845"/>
        <v>卡卡杜个人护理店（抖店）</v>
      </c>
      <c r="H5750" s="1" t="str">
        <f t="shared" si="1838"/>
        <v>正常订单</v>
      </c>
      <c r="I5750" s="1" t="str">
        <f t="shared" si="1839"/>
        <v>已发货</v>
      </c>
      <c r="J5750" s="1" t="str">
        <f t="shared" si="1848"/>
        <v>3</v>
      </c>
      <c r="K5750" s="1">
        <v>2</v>
      </c>
      <c r="L5750" s="1" t="s">
        <v>13</v>
      </c>
      <c r="M5750" s="1" t="str">
        <f>"江苏省 南京市 秦淮区 瑞金路街道"</f>
        <v>江苏省 南京市 秦淮区 瑞金路街道</v>
      </c>
      <c r="N5750" s="1" t="str">
        <f t="shared" si="1846"/>
        <v>凡华云仓-韵达-抖音</v>
      </c>
      <c r="O5750" s="5">
        <v>320178182723979</v>
      </c>
      <c r="P5750" s="6">
        <v>0.35</v>
      </c>
      <c r="Q5750" s="11">
        <v>2.2999999999999998</v>
      </c>
      <c r="R5750" s="11"/>
      <c r="S5750" s="11"/>
      <c r="T5750" s="11"/>
      <c r="U5750" s="11">
        <f t="shared" si="1835"/>
        <v>2.2999999999999998</v>
      </c>
      <c r="W5750">
        <v>2.5</v>
      </c>
      <c r="X5750" s="1" t="s">
        <v>13</v>
      </c>
    </row>
    <row r="5751" spans="1:24" x14ac:dyDescent="0.25">
      <c r="A5751" s="1" t="str">
        <f t="shared" si="1836"/>
        <v>卡卡杜-凤凰仓</v>
      </c>
      <c r="B5751" s="1" t="str">
        <f>"CK2024101816688"</f>
        <v>CK2024101816688</v>
      </c>
      <c r="C5751" s="1" t="str">
        <f>"DD2024101837148"</f>
        <v>DD2024101837148</v>
      </c>
      <c r="D5751" s="1" t="str">
        <f>"CK2024101835090"</f>
        <v>CK2024101835090</v>
      </c>
      <c r="E5751" s="1" t="str">
        <f>"6935154134946550863"</f>
        <v>6935154134946550863</v>
      </c>
      <c r="F5751" s="1" t="str">
        <f t="shared" si="1837"/>
        <v>花都四部-凤凰仓</v>
      </c>
      <c r="G5751" s="1" t="str">
        <f t="shared" si="1845"/>
        <v>卡卡杜个人护理店（抖店）</v>
      </c>
      <c r="H5751" s="1" t="str">
        <f t="shared" si="1838"/>
        <v>正常订单</v>
      </c>
      <c r="I5751" s="1" t="str">
        <f t="shared" si="1839"/>
        <v>已发货</v>
      </c>
      <c r="J5751" s="1" t="str">
        <f t="shared" si="1848"/>
        <v>3</v>
      </c>
      <c r="K5751" s="1">
        <v>2</v>
      </c>
      <c r="L5751" s="1" t="s">
        <v>22</v>
      </c>
      <c r="M5751" s="1" t="str">
        <f>"江西省 鹰潭市 贵溪市 江北办事处"</f>
        <v>江西省 鹰潭市 贵溪市 江北办事处</v>
      </c>
      <c r="N5751" s="1" t="str">
        <f t="shared" si="1846"/>
        <v>凡华云仓-韵达-抖音</v>
      </c>
      <c r="O5751" s="5">
        <v>320178182723874</v>
      </c>
      <c r="P5751" s="6">
        <v>0.35</v>
      </c>
      <c r="Q5751" s="11">
        <v>2.2999999999999998</v>
      </c>
      <c r="R5751" s="11"/>
      <c r="S5751" s="11"/>
      <c r="T5751" s="11"/>
      <c r="U5751" s="11">
        <f t="shared" si="1835"/>
        <v>2.2999999999999998</v>
      </c>
      <c r="W5751">
        <v>2.5</v>
      </c>
      <c r="X5751" s="1" t="s">
        <v>22</v>
      </c>
    </row>
    <row r="5752" spans="1:24" x14ac:dyDescent="0.25">
      <c r="A5752" s="1" t="str">
        <f t="shared" si="1836"/>
        <v>卡卡杜-凤凰仓</v>
      </c>
      <c r="B5752" s="1" t="str">
        <f>"CK2024101816697"</f>
        <v>CK2024101816697</v>
      </c>
      <c r="C5752" s="1" t="str">
        <f>"DD2024101837157"</f>
        <v>DD2024101837157</v>
      </c>
      <c r="D5752" s="1" t="str">
        <f>"CK2024101835089"</f>
        <v>CK2024101835089</v>
      </c>
      <c r="E5752" s="1" t="str">
        <f>"6935163005589984716"</f>
        <v>6935163005589984716</v>
      </c>
      <c r="F5752" s="1" t="str">
        <f t="shared" si="1837"/>
        <v>花都四部-凤凰仓</v>
      </c>
      <c r="G5752" s="1" t="str">
        <f t="shared" si="1845"/>
        <v>卡卡杜个人护理店（抖店）</v>
      </c>
      <c r="H5752" s="1" t="str">
        <f t="shared" si="1838"/>
        <v>正常订单</v>
      </c>
      <c r="I5752" s="1" t="str">
        <f t="shared" si="1839"/>
        <v>已发货</v>
      </c>
      <c r="J5752" s="1" t="str">
        <f t="shared" si="1848"/>
        <v>3</v>
      </c>
      <c r="K5752" s="1">
        <v>2</v>
      </c>
      <c r="L5752" s="1" t="s">
        <v>740</v>
      </c>
      <c r="M5752" s="1" t="str">
        <f>"宁夏回族自治区 固原市 西吉县 吉强镇"</f>
        <v>宁夏回族自治区 固原市 西吉县 吉强镇</v>
      </c>
      <c r="N5752" s="1" t="str">
        <f t="shared" si="1846"/>
        <v>凡华云仓-韵达-抖音</v>
      </c>
      <c r="O5752" s="5">
        <v>320178182723771</v>
      </c>
      <c r="P5752" s="6">
        <v>0.35</v>
      </c>
      <c r="Q5752" s="11">
        <v>2.2999999999999998</v>
      </c>
      <c r="R5752" s="11"/>
      <c r="S5752" s="11"/>
      <c r="T5752" s="11"/>
      <c r="U5752" s="11">
        <f t="shared" si="1835"/>
        <v>2.2999999999999998</v>
      </c>
      <c r="W5752">
        <v>2.5</v>
      </c>
      <c r="X5752" s="1" t="s">
        <v>740</v>
      </c>
    </row>
    <row r="5753" spans="1:24" x14ac:dyDescent="0.25">
      <c r="A5753" s="1" t="str">
        <f t="shared" si="1836"/>
        <v>卡卡杜-凤凰仓</v>
      </c>
      <c r="B5753" s="1" t="str">
        <f>"CK2024101813402"</f>
        <v>CK2024101813402</v>
      </c>
      <c r="C5753" s="1" t="str">
        <f>"DD2024101816986"</f>
        <v>DD2024101816986</v>
      </c>
      <c r="D5753" s="1" t="str">
        <f>"CK2024101810353"</f>
        <v>CK2024101810353</v>
      </c>
      <c r="E5753" s="1" t="str">
        <f>"2429202213609516"</f>
        <v>2429202213609516</v>
      </c>
      <c r="F5753" s="1" t="str">
        <f t="shared" si="1837"/>
        <v>花都四部-凤凰仓</v>
      </c>
      <c r="G5753" s="1" t="str">
        <f>"卡卡杜佳旺专卖店（快手店）"</f>
        <v>卡卡杜佳旺专卖店（快手店）</v>
      </c>
      <c r="H5753" s="1" t="str">
        <f t="shared" si="1838"/>
        <v>正常订单</v>
      </c>
      <c r="I5753" s="1" t="str">
        <f t="shared" si="1839"/>
        <v>已发货</v>
      </c>
      <c r="J5753" s="1" t="str">
        <f t="shared" si="1848"/>
        <v>3</v>
      </c>
      <c r="K5753" s="1">
        <v>2</v>
      </c>
      <c r="L5753" s="1" t="s">
        <v>161</v>
      </c>
      <c r="M5753" s="1" t="str">
        <f>"四川省 成都市 郫都区 红光街道"</f>
        <v>四川省 成都市 郫都区 红光街道</v>
      </c>
      <c r="N5753" s="1" t="str">
        <f>"凡华云仓-韵达-快手"</f>
        <v>凡华云仓-韵达-快手</v>
      </c>
      <c r="O5753" s="5">
        <v>319208519585173</v>
      </c>
      <c r="P5753" s="6">
        <v>0.35</v>
      </c>
      <c r="Q5753" s="11">
        <v>2.2999999999999998</v>
      </c>
      <c r="R5753" s="11"/>
      <c r="S5753" s="11"/>
      <c r="T5753" s="11"/>
      <c r="U5753" s="11">
        <f t="shared" si="1835"/>
        <v>2.2999999999999998</v>
      </c>
      <c r="W5753">
        <v>2.5</v>
      </c>
      <c r="X5753" s="1" t="s">
        <v>161</v>
      </c>
    </row>
    <row r="5754" spans="1:24" x14ac:dyDescent="0.25">
      <c r="A5754" s="1" t="str">
        <f t="shared" si="1836"/>
        <v>卡卡杜-凤凰仓</v>
      </c>
      <c r="B5754" s="1" t="str">
        <f>"CK2024101813405"</f>
        <v>CK2024101813405</v>
      </c>
      <c r="C5754" s="1" t="str">
        <f>"DD2024101816989"</f>
        <v>DD2024101816989</v>
      </c>
      <c r="D5754" s="1" t="str">
        <f>"CK2024101810352"</f>
        <v>CK2024101810352</v>
      </c>
      <c r="E5754" s="1" t="str">
        <f>"2429102562577631"</f>
        <v>2429102562577631</v>
      </c>
      <c r="F5754" s="1" t="str">
        <f t="shared" si="1837"/>
        <v>花都四部-凤凰仓</v>
      </c>
      <c r="G5754" s="1" t="str">
        <f>"卡卡杜佳旺专卖店（快手店）"</f>
        <v>卡卡杜佳旺专卖店（快手店）</v>
      </c>
      <c r="H5754" s="1" t="str">
        <f t="shared" si="1838"/>
        <v>正常订单</v>
      </c>
      <c r="I5754" s="1" t="str">
        <f t="shared" si="1839"/>
        <v>已发货</v>
      </c>
      <c r="J5754" s="1" t="str">
        <f>"1"</f>
        <v>1</v>
      </c>
      <c r="K5754" s="1">
        <v>1</v>
      </c>
      <c r="L5754" s="1" t="s">
        <v>20</v>
      </c>
      <c r="M5754" s="1" t="str">
        <f>"浙江省 舟山市 普陀区 东港街道"</f>
        <v>浙江省 舟山市 普陀区 东港街道</v>
      </c>
      <c r="N5754" s="1" t="str">
        <f>"凡华云仓-韵达-快手"</f>
        <v>凡华云仓-韵达-快手</v>
      </c>
      <c r="O5754" s="5">
        <v>319208428502488</v>
      </c>
      <c r="P5754" s="6">
        <v>0.12</v>
      </c>
      <c r="Q5754" s="11">
        <v>2</v>
      </c>
      <c r="R5754" s="11"/>
      <c r="S5754" s="11"/>
      <c r="T5754" s="11"/>
      <c r="U5754" s="11">
        <f t="shared" si="1835"/>
        <v>2</v>
      </c>
      <c r="W5754">
        <v>2.2000000000000002</v>
      </c>
      <c r="X5754" s="1" t="s">
        <v>20</v>
      </c>
    </row>
    <row r="5755" spans="1:24" x14ac:dyDescent="0.25">
      <c r="A5755" s="1" t="str">
        <f t="shared" si="1836"/>
        <v>卡卡杜-凤凰仓</v>
      </c>
      <c r="B5755" s="1" t="str">
        <f>"CK2024101813388"</f>
        <v>CK2024101813388</v>
      </c>
      <c r="C5755" s="1" t="str">
        <f>"DD2024101816972"</f>
        <v>DD2024101816972</v>
      </c>
      <c r="D5755" s="1" t="str">
        <f>"CK2024101810351"</f>
        <v>CK2024101810351</v>
      </c>
      <c r="E5755" s="1" t="str">
        <f>"3723378878475537408"</f>
        <v>3723378878475537408</v>
      </c>
      <c r="F5755" s="1" t="str">
        <f t="shared" si="1837"/>
        <v>花都四部-凤凰仓</v>
      </c>
      <c r="G5755" s="1" t="str">
        <f>"卡卡杜企业店（视频号）"</f>
        <v>卡卡杜企业店（视频号）</v>
      </c>
      <c r="H5755" s="1" t="str">
        <f t="shared" si="1838"/>
        <v>正常订单</v>
      </c>
      <c r="I5755" s="1" t="str">
        <f t="shared" si="1839"/>
        <v>已发货</v>
      </c>
      <c r="J5755" s="1" t="str">
        <f t="shared" ref="J5755:J5787" si="1849">"3"</f>
        <v>3</v>
      </c>
      <c r="K5755" s="1">
        <v>3</v>
      </c>
      <c r="L5755" s="1" t="s">
        <v>74</v>
      </c>
      <c r="M5755" s="1" t="str">
        <f>"上海 上海市 浦东新区 "</f>
        <v xml:space="preserve">上海 上海市 浦东新区 </v>
      </c>
      <c r="N5755" s="1" t="str">
        <f>"凡华云仓-韵达-微信视频号"</f>
        <v>凡华云仓-韵达-微信视频号</v>
      </c>
      <c r="O5755" s="5">
        <v>315013356013029</v>
      </c>
      <c r="P5755" s="6">
        <v>0.34</v>
      </c>
      <c r="Q5755" s="11">
        <v>2.2999999999999998</v>
      </c>
      <c r="R5755" s="11"/>
      <c r="S5755" s="11"/>
      <c r="T5755" s="11"/>
      <c r="U5755" s="11">
        <f t="shared" si="1835"/>
        <v>2.2999999999999998</v>
      </c>
      <c r="W5755">
        <v>2.5</v>
      </c>
      <c r="X5755" s="1" t="s">
        <v>74</v>
      </c>
    </row>
    <row r="5756" spans="1:24" x14ac:dyDescent="0.25">
      <c r="A5756" s="1" t="str">
        <f t="shared" si="1836"/>
        <v>卡卡杜-凤凰仓</v>
      </c>
      <c r="B5756" s="1" t="str">
        <f>"CK2024101813345"</f>
        <v>CK2024101813345</v>
      </c>
      <c r="C5756" s="1" t="str">
        <f>"DD2024101816928"</f>
        <v>DD2024101816928</v>
      </c>
      <c r="D5756" s="1" t="str">
        <f>"CK2024101810350"</f>
        <v>CK2024101810350</v>
      </c>
      <c r="E5756" s="1" t="str">
        <f>"6935169865431389984"</f>
        <v>6935169865431389984</v>
      </c>
      <c r="F5756" s="1" t="str">
        <f t="shared" si="1837"/>
        <v>花都四部-凤凰仓</v>
      </c>
      <c r="G5756" s="1" t="str">
        <f t="shared" ref="G5756:G5801" si="1850">"卡卡杜个人护理店（抖店）"</f>
        <v>卡卡杜个人护理店（抖店）</v>
      </c>
      <c r="H5756" s="1" t="str">
        <f t="shared" si="1838"/>
        <v>正常订单</v>
      </c>
      <c r="I5756" s="1" t="str">
        <f t="shared" si="1839"/>
        <v>已发货</v>
      </c>
      <c r="J5756" s="1" t="str">
        <f t="shared" si="1849"/>
        <v>3</v>
      </c>
      <c r="K5756" s="1">
        <v>3</v>
      </c>
      <c r="L5756" s="1" t="s">
        <v>24</v>
      </c>
      <c r="M5756" s="1" t="str">
        <f>"福建省 南平市 延平区 水南街道"</f>
        <v>福建省 南平市 延平区 水南街道</v>
      </c>
      <c r="N5756" s="1" t="str">
        <f t="shared" ref="N5756:N5801" si="1851">"凡华云仓-韵达-抖音"</f>
        <v>凡华云仓-韵达-抖音</v>
      </c>
      <c r="O5756" s="5">
        <v>320177486028761</v>
      </c>
      <c r="P5756" s="6">
        <v>0.34</v>
      </c>
      <c r="Q5756" s="11">
        <v>2.2999999999999998</v>
      </c>
      <c r="R5756" s="11"/>
      <c r="S5756" s="11"/>
      <c r="T5756" s="11"/>
      <c r="U5756" s="11">
        <f t="shared" si="1835"/>
        <v>2.2999999999999998</v>
      </c>
      <c r="W5756">
        <v>2.5</v>
      </c>
      <c r="X5756" s="1" t="s">
        <v>24</v>
      </c>
    </row>
    <row r="5757" spans="1:24" x14ac:dyDescent="0.25">
      <c r="A5757" s="1" t="str">
        <f t="shared" si="1836"/>
        <v>卡卡杜-凤凰仓</v>
      </c>
      <c r="B5757" s="1" t="str">
        <f>"CK2024101813344"</f>
        <v>CK2024101813344</v>
      </c>
      <c r="C5757" s="1" t="str">
        <f>"DD2024101816927"</f>
        <v>DD2024101816927</v>
      </c>
      <c r="D5757" s="1" t="str">
        <f>"CK2024101810349"</f>
        <v>CK2024101810349</v>
      </c>
      <c r="E5757" s="1" t="str">
        <f>"6935151570651649401"</f>
        <v>6935151570651649401</v>
      </c>
      <c r="F5757" s="1" t="str">
        <f t="shared" si="1837"/>
        <v>花都四部-凤凰仓</v>
      </c>
      <c r="G5757" s="1" t="str">
        <f t="shared" si="1850"/>
        <v>卡卡杜个人护理店（抖店）</v>
      </c>
      <c r="H5757" s="1" t="str">
        <f t="shared" si="1838"/>
        <v>正常订单</v>
      </c>
      <c r="I5757" s="1" t="str">
        <f t="shared" si="1839"/>
        <v>已发货</v>
      </c>
      <c r="J5757" s="1" t="str">
        <f t="shared" si="1849"/>
        <v>3</v>
      </c>
      <c r="K5757" s="1">
        <v>3</v>
      </c>
      <c r="L5757" s="1" t="s">
        <v>109</v>
      </c>
      <c r="M5757" s="1" t="str">
        <f>"山西省 长治市 长子县 丹朱镇"</f>
        <v>山西省 长治市 长子县 丹朱镇</v>
      </c>
      <c r="N5757" s="1" t="str">
        <f t="shared" si="1851"/>
        <v>凡华云仓-韵达-抖音</v>
      </c>
      <c r="O5757" s="5">
        <v>320177486028660</v>
      </c>
      <c r="P5757" s="6">
        <v>0.34</v>
      </c>
      <c r="Q5757" s="11">
        <v>2.2999999999999998</v>
      </c>
      <c r="R5757" s="11"/>
      <c r="S5757" s="11"/>
      <c r="T5757" s="11"/>
      <c r="U5757" s="11">
        <f t="shared" si="1835"/>
        <v>2.2999999999999998</v>
      </c>
      <c r="W5757">
        <v>2.5</v>
      </c>
      <c r="X5757" s="1" t="s">
        <v>109</v>
      </c>
    </row>
    <row r="5758" spans="1:24" x14ac:dyDescent="0.25">
      <c r="A5758" s="1" t="str">
        <f t="shared" si="1836"/>
        <v>卡卡杜-凤凰仓</v>
      </c>
      <c r="B5758" s="1" t="str">
        <f>"CK2024101813347"</f>
        <v>CK2024101813347</v>
      </c>
      <c r="C5758" s="1" t="str">
        <f>"DD2024101816930"</f>
        <v>DD2024101816930</v>
      </c>
      <c r="D5758" s="1" t="str">
        <f>"CK2024101810348"</f>
        <v>CK2024101810348</v>
      </c>
      <c r="E5758" s="1" t="str">
        <f>"6935167477386384891"</f>
        <v>6935167477386384891</v>
      </c>
      <c r="F5758" s="1" t="str">
        <f t="shared" si="1837"/>
        <v>花都四部-凤凰仓</v>
      </c>
      <c r="G5758" s="1" t="str">
        <f t="shared" si="1850"/>
        <v>卡卡杜个人护理店（抖店）</v>
      </c>
      <c r="H5758" s="1" t="str">
        <f t="shared" si="1838"/>
        <v>正常订单</v>
      </c>
      <c r="I5758" s="1" t="str">
        <f t="shared" si="1839"/>
        <v>已发货</v>
      </c>
      <c r="J5758" s="1" t="str">
        <f t="shared" si="1849"/>
        <v>3</v>
      </c>
      <c r="K5758" s="1">
        <v>3</v>
      </c>
      <c r="L5758" s="1" t="s">
        <v>218</v>
      </c>
      <c r="M5758" s="1" t="str">
        <f>"天津 天津市 河西区 陈塘庄街道"</f>
        <v>天津 天津市 河西区 陈塘庄街道</v>
      </c>
      <c r="N5758" s="1" t="str">
        <f t="shared" si="1851"/>
        <v>凡华云仓-韵达-抖音</v>
      </c>
      <c r="O5758" s="5">
        <v>320177486028561</v>
      </c>
      <c r="P5758" s="6">
        <v>0.34</v>
      </c>
      <c r="Q5758" s="11">
        <v>2.2999999999999998</v>
      </c>
      <c r="R5758" s="11"/>
      <c r="S5758" s="11"/>
      <c r="T5758" s="11"/>
      <c r="U5758" s="11">
        <f t="shared" si="1835"/>
        <v>2.2999999999999998</v>
      </c>
      <c r="W5758">
        <v>2.5</v>
      </c>
      <c r="X5758" s="1" t="s">
        <v>218</v>
      </c>
    </row>
    <row r="5759" spans="1:24" x14ac:dyDescent="0.25">
      <c r="A5759" s="1" t="str">
        <f t="shared" si="1836"/>
        <v>卡卡杜-凤凰仓</v>
      </c>
      <c r="B5759" s="1" t="str">
        <f>"CK2024101813348"</f>
        <v>CK2024101813348</v>
      </c>
      <c r="C5759" s="1" t="str">
        <f>"DD2024101816932"</f>
        <v>DD2024101816932</v>
      </c>
      <c r="D5759" s="1" t="str">
        <f>"CK2024101810347"</f>
        <v>CK2024101810347</v>
      </c>
      <c r="E5759" s="1" t="str">
        <f>"6935141033802733391"</f>
        <v>6935141033802733391</v>
      </c>
      <c r="F5759" s="1" t="str">
        <f t="shared" si="1837"/>
        <v>花都四部-凤凰仓</v>
      </c>
      <c r="G5759" s="1" t="str">
        <f t="shared" si="1850"/>
        <v>卡卡杜个人护理店（抖店）</v>
      </c>
      <c r="H5759" s="1" t="str">
        <f t="shared" si="1838"/>
        <v>正常订单</v>
      </c>
      <c r="I5759" s="1" t="str">
        <f t="shared" si="1839"/>
        <v>已发货</v>
      </c>
      <c r="J5759" s="1" t="str">
        <f t="shared" si="1849"/>
        <v>3</v>
      </c>
      <c r="K5759" s="1">
        <v>3</v>
      </c>
      <c r="L5759" s="1" t="s">
        <v>18</v>
      </c>
      <c r="M5759" s="1" t="str">
        <f>"广东省 东莞市 东莞市 凤岗镇"</f>
        <v>广东省 东莞市 东莞市 凤岗镇</v>
      </c>
      <c r="N5759" s="1" t="str">
        <f t="shared" si="1851"/>
        <v>凡华云仓-韵达-抖音</v>
      </c>
      <c r="O5759" s="5">
        <v>320177486028464</v>
      </c>
      <c r="P5759" s="6">
        <v>0.34</v>
      </c>
      <c r="Q5759" s="11">
        <v>2.2999999999999998</v>
      </c>
      <c r="R5759" s="11"/>
      <c r="S5759" s="11"/>
      <c r="T5759" s="11"/>
      <c r="U5759" s="11">
        <f t="shared" si="1835"/>
        <v>2.2999999999999998</v>
      </c>
      <c r="W5759">
        <v>2.5</v>
      </c>
      <c r="X5759" s="1" t="s">
        <v>18</v>
      </c>
    </row>
    <row r="5760" spans="1:24" x14ac:dyDescent="0.25">
      <c r="A5760" s="1" t="str">
        <f t="shared" si="1836"/>
        <v>卡卡杜-凤凰仓</v>
      </c>
      <c r="B5760" s="1" t="str">
        <f>"CK2024101813349"</f>
        <v>CK2024101813349</v>
      </c>
      <c r="C5760" s="1" t="str">
        <f>"DD2024101816933"</f>
        <v>DD2024101816933</v>
      </c>
      <c r="D5760" s="1" t="str">
        <f>"CK2024101810346"</f>
        <v>CK2024101810346</v>
      </c>
      <c r="E5760" s="1" t="str">
        <f>"6935147370925856303"</f>
        <v>6935147370925856303</v>
      </c>
      <c r="F5760" s="1" t="str">
        <f t="shared" si="1837"/>
        <v>花都四部-凤凰仓</v>
      </c>
      <c r="G5760" s="1" t="str">
        <f t="shared" si="1850"/>
        <v>卡卡杜个人护理店（抖店）</v>
      </c>
      <c r="H5760" s="1" t="str">
        <f t="shared" si="1838"/>
        <v>正常订单</v>
      </c>
      <c r="I5760" s="1" t="str">
        <f t="shared" si="1839"/>
        <v>已发货</v>
      </c>
      <c r="J5760" s="1" t="str">
        <f t="shared" si="1849"/>
        <v>3</v>
      </c>
      <c r="K5760" s="1">
        <v>3</v>
      </c>
      <c r="L5760" s="1" t="s">
        <v>80</v>
      </c>
      <c r="M5760" s="1" t="str">
        <f>"河南省 安阳市 北关区 豆腐营街道"</f>
        <v>河南省 安阳市 北关区 豆腐营街道</v>
      </c>
      <c r="N5760" s="1" t="str">
        <f t="shared" si="1851"/>
        <v>凡华云仓-韵达-抖音</v>
      </c>
      <c r="O5760" s="5">
        <v>320177486028369</v>
      </c>
      <c r="P5760" s="6">
        <v>0.34</v>
      </c>
      <c r="Q5760" s="11">
        <v>2.2999999999999998</v>
      </c>
      <c r="R5760" s="11"/>
      <c r="S5760" s="11"/>
      <c r="T5760" s="11"/>
      <c r="U5760" s="11">
        <f t="shared" si="1835"/>
        <v>2.2999999999999998</v>
      </c>
      <c r="W5760">
        <v>2.5</v>
      </c>
      <c r="X5760" s="1" t="s">
        <v>80</v>
      </c>
    </row>
    <row r="5761" spans="1:24" x14ac:dyDescent="0.25">
      <c r="A5761" s="1" t="str">
        <f t="shared" si="1836"/>
        <v>卡卡杜-凤凰仓</v>
      </c>
      <c r="B5761" s="1" t="str">
        <f>"CK2024101813346"</f>
        <v>CK2024101813346</v>
      </c>
      <c r="C5761" s="1" t="str">
        <f>"DD2024101816929"</f>
        <v>DD2024101816929</v>
      </c>
      <c r="D5761" s="1" t="str">
        <f>"CK2024101810345"</f>
        <v>CK2024101810345</v>
      </c>
      <c r="E5761" s="1" t="str">
        <f>"6935141095920112750"</f>
        <v>6935141095920112750</v>
      </c>
      <c r="F5761" s="1" t="str">
        <f t="shared" si="1837"/>
        <v>花都四部-凤凰仓</v>
      </c>
      <c r="G5761" s="1" t="str">
        <f t="shared" si="1850"/>
        <v>卡卡杜个人护理店（抖店）</v>
      </c>
      <c r="H5761" s="1" t="str">
        <f t="shared" si="1838"/>
        <v>正常订单</v>
      </c>
      <c r="I5761" s="1" t="str">
        <f t="shared" si="1839"/>
        <v>已发货</v>
      </c>
      <c r="J5761" s="1" t="str">
        <f t="shared" si="1849"/>
        <v>3</v>
      </c>
      <c r="K5761" s="1">
        <v>3</v>
      </c>
      <c r="L5761" s="1" t="s">
        <v>105</v>
      </c>
      <c r="M5761" s="1" t="str">
        <f>"北京 北京市 海淀区 海淀街道"</f>
        <v>北京 北京市 海淀区 海淀街道</v>
      </c>
      <c r="N5761" s="1" t="str">
        <f t="shared" si="1851"/>
        <v>凡华云仓-韵达-抖音</v>
      </c>
      <c r="O5761" s="5">
        <v>320177506063294</v>
      </c>
      <c r="P5761" s="6">
        <v>0.34</v>
      </c>
      <c r="Q5761" s="11">
        <v>2.2999999999999998</v>
      </c>
      <c r="R5761" s="11"/>
      <c r="S5761" s="11"/>
      <c r="T5761" s="11"/>
      <c r="U5761" s="11">
        <f t="shared" si="1835"/>
        <v>2.2999999999999998</v>
      </c>
      <c r="W5761">
        <v>2.5</v>
      </c>
      <c r="X5761" s="1" t="s">
        <v>105</v>
      </c>
    </row>
    <row r="5762" spans="1:24" x14ac:dyDescent="0.25">
      <c r="A5762" s="1" t="str">
        <f t="shared" si="1836"/>
        <v>卡卡杜-凤凰仓</v>
      </c>
      <c r="B5762" s="1" t="str">
        <f>"CK2024101813350"</f>
        <v>CK2024101813350</v>
      </c>
      <c r="C5762" s="1" t="str">
        <f>"DD2024101816934"</f>
        <v>DD2024101816934</v>
      </c>
      <c r="D5762" s="1" t="str">
        <f>"CK2024101810344"</f>
        <v>CK2024101810344</v>
      </c>
      <c r="E5762" s="1" t="str">
        <f>"6935167489545344350"</f>
        <v>6935167489545344350</v>
      </c>
      <c r="F5762" s="1" t="str">
        <f t="shared" si="1837"/>
        <v>花都四部-凤凰仓</v>
      </c>
      <c r="G5762" s="1" t="str">
        <f t="shared" si="1850"/>
        <v>卡卡杜个人护理店（抖店）</v>
      </c>
      <c r="H5762" s="1" t="str">
        <f t="shared" si="1838"/>
        <v>正常订单</v>
      </c>
      <c r="I5762" s="1" t="str">
        <f t="shared" si="1839"/>
        <v>已发货</v>
      </c>
      <c r="J5762" s="1" t="str">
        <f t="shared" si="1849"/>
        <v>3</v>
      </c>
      <c r="K5762" s="1">
        <v>3</v>
      </c>
      <c r="L5762" s="1" t="s">
        <v>13</v>
      </c>
      <c r="M5762" s="1" t="str">
        <f>"江苏省 苏州市 张家港市 金港街道"</f>
        <v>江苏省 苏州市 张家港市 金港街道</v>
      </c>
      <c r="N5762" s="1" t="str">
        <f t="shared" si="1851"/>
        <v>凡华云仓-韵达-抖音</v>
      </c>
      <c r="O5762" s="5">
        <v>320177506063103</v>
      </c>
      <c r="P5762" s="6">
        <v>0.34</v>
      </c>
      <c r="Q5762" s="11">
        <v>2.2999999999999998</v>
      </c>
      <c r="R5762" s="11"/>
      <c r="S5762" s="11"/>
      <c r="T5762" s="11"/>
      <c r="U5762" s="11">
        <f t="shared" si="1835"/>
        <v>2.2999999999999998</v>
      </c>
      <c r="W5762">
        <v>2.5</v>
      </c>
      <c r="X5762" s="1" t="s">
        <v>13</v>
      </c>
    </row>
    <row r="5763" spans="1:24" x14ac:dyDescent="0.25">
      <c r="A5763" s="1" t="str">
        <f t="shared" si="1836"/>
        <v>卡卡杜-凤凰仓</v>
      </c>
      <c r="B5763" s="1" t="str">
        <f>"CK2024101813351"</f>
        <v>CK2024101813351</v>
      </c>
      <c r="C5763" s="1" t="str">
        <f>"DD2024101816935"</f>
        <v>DD2024101816935</v>
      </c>
      <c r="D5763" s="1" t="str">
        <f>"CK2024101810343"</f>
        <v>CK2024101810343</v>
      </c>
      <c r="E5763" s="1" t="str">
        <f>"6935156000917231385"</f>
        <v>6935156000917231385</v>
      </c>
      <c r="F5763" s="1" t="str">
        <f t="shared" si="1837"/>
        <v>花都四部-凤凰仓</v>
      </c>
      <c r="G5763" s="1" t="str">
        <f t="shared" si="1850"/>
        <v>卡卡杜个人护理店（抖店）</v>
      </c>
      <c r="H5763" s="1" t="str">
        <f t="shared" si="1838"/>
        <v>正常订单</v>
      </c>
      <c r="I5763" s="1" t="str">
        <f t="shared" si="1839"/>
        <v>已发货</v>
      </c>
      <c r="J5763" s="1" t="str">
        <f t="shared" si="1849"/>
        <v>3</v>
      </c>
      <c r="K5763" s="1">
        <v>3</v>
      </c>
      <c r="L5763" s="1" t="s">
        <v>20</v>
      </c>
      <c r="M5763" s="1" t="str">
        <f>"浙江省 湖州市 长兴县 雉城街道"</f>
        <v>浙江省 湖州市 长兴县 雉城街道</v>
      </c>
      <c r="N5763" s="1" t="str">
        <f t="shared" si="1851"/>
        <v>凡华云仓-韵达-抖音</v>
      </c>
      <c r="O5763" s="5">
        <v>320177506063014</v>
      </c>
      <c r="P5763" s="6">
        <v>0.34</v>
      </c>
      <c r="Q5763" s="11">
        <v>2.2999999999999998</v>
      </c>
      <c r="R5763" s="11"/>
      <c r="S5763" s="11"/>
      <c r="T5763" s="11"/>
      <c r="U5763" s="11">
        <f t="shared" ref="U5763:U5826" si="1852">T5763+S5763+R5763+Q5763</f>
        <v>2.2999999999999998</v>
      </c>
      <c r="W5763">
        <v>2.5</v>
      </c>
      <c r="X5763" s="1" t="s">
        <v>20</v>
      </c>
    </row>
    <row r="5764" spans="1:24" x14ac:dyDescent="0.25">
      <c r="A5764" s="1" t="str">
        <f t="shared" si="1836"/>
        <v>卡卡杜-凤凰仓</v>
      </c>
      <c r="B5764" s="1" t="str">
        <f>"CK2024101813352"</f>
        <v>CK2024101813352</v>
      </c>
      <c r="C5764" s="1" t="str">
        <f>"DD2024101816936"</f>
        <v>DD2024101816936</v>
      </c>
      <c r="D5764" s="1" t="str">
        <f>"CK2024101810342"</f>
        <v>CK2024101810342</v>
      </c>
      <c r="E5764" s="1" t="str">
        <f>"6935158329775822376"</f>
        <v>6935158329775822376</v>
      </c>
      <c r="F5764" s="1" t="str">
        <f t="shared" si="1837"/>
        <v>花都四部-凤凰仓</v>
      </c>
      <c r="G5764" s="1" t="str">
        <f t="shared" si="1850"/>
        <v>卡卡杜个人护理店（抖店）</v>
      </c>
      <c r="H5764" s="1" t="str">
        <f t="shared" si="1838"/>
        <v>正常订单</v>
      </c>
      <c r="I5764" s="1" t="str">
        <f t="shared" si="1839"/>
        <v>已发货</v>
      </c>
      <c r="J5764" s="1" t="str">
        <f t="shared" si="1849"/>
        <v>3</v>
      </c>
      <c r="K5764" s="1">
        <v>3</v>
      </c>
      <c r="L5764" s="1" t="s">
        <v>16</v>
      </c>
      <c r="M5764" s="1" t="str">
        <f>"河北省 沧州市 任丘市 新华路街道"</f>
        <v>河北省 沧州市 任丘市 新华路街道</v>
      </c>
      <c r="N5764" s="1" t="str">
        <f t="shared" si="1851"/>
        <v>凡华云仓-韵达-抖音</v>
      </c>
      <c r="O5764" s="5">
        <v>320177506062994</v>
      </c>
      <c r="P5764" s="6">
        <v>0.34</v>
      </c>
      <c r="Q5764" s="11">
        <v>2.2999999999999998</v>
      </c>
      <c r="R5764" s="11"/>
      <c r="S5764" s="11"/>
      <c r="T5764" s="11"/>
      <c r="U5764" s="11">
        <f t="shared" si="1852"/>
        <v>2.2999999999999998</v>
      </c>
      <c r="W5764">
        <v>2.5</v>
      </c>
      <c r="X5764" s="1" t="s">
        <v>16</v>
      </c>
    </row>
    <row r="5765" spans="1:24" x14ac:dyDescent="0.25">
      <c r="A5765" s="1" t="str">
        <f t="shared" ref="A5765:A5828" si="1853">"卡卡杜-凤凰仓"</f>
        <v>卡卡杜-凤凰仓</v>
      </c>
      <c r="B5765" s="1" t="str">
        <f>"CK2024101813356"</f>
        <v>CK2024101813356</v>
      </c>
      <c r="C5765" s="1" t="str">
        <f>"DD2024101816939"</f>
        <v>DD2024101816939</v>
      </c>
      <c r="D5765" s="1" t="str">
        <f>"CK2024101810341"</f>
        <v>CK2024101810341</v>
      </c>
      <c r="E5765" s="1" t="str">
        <f>"6935145379426014461"</f>
        <v>6935145379426014461</v>
      </c>
      <c r="F5765" s="1" t="str">
        <f t="shared" ref="F5765:F5828" si="1854">"花都四部-凤凰仓"</f>
        <v>花都四部-凤凰仓</v>
      </c>
      <c r="G5765" s="1" t="str">
        <f t="shared" si="1850"/>
        <v>卡卡杜个人护理店（抖店）</v>
      </c>
      <c r="H5765" s="1" t="str">
        <f t="shared" ref="H5765:H5828" si="1855">"正常订单"</f>
        <v>正常订单</v>
      </c>
      <c r="I5765" s="1" t="str">
        <f t="shared" ref="I5765:I5828" si="1856">"已发货"</f>
        <v>已发货</v>
      </c>
      <c r="J5765" s="1" t="str">
        <f t="shared" si="1849"/>
        <v>3</v>
      </c>
      <c r="K5765" s="1">
        <v>3</v>
      </c>
      <c r="L5765" s="1" t="s">
        <v>20</v>
      </c>
      <c r="M5765" s="1" t="str">
        <f>"浙江省 金华市 永康市 古山镇"</f>
        <v>浙江省 金华市 永康市 古山镇</v>
      </c>
      <c r="N5765" s="1" t="str">
        <f t="shared" si="1851"/>
        <v>凡华云仓-韵达-抖音</v>
      </c>
      <c r="O5765" s="5">
        <v>320177506062889</v>
      </c>
      <c r="P5765" s="6">
        <v>0.34</v>
      </c>
      <c r="Q5765" s="11">
        <v>2.2999999999999998</v>
      </c>
      <c r="R5765" s="11"/>
      <c r="S5765" s="11"/>
      <c r="T5765" s="11"/>
      <c r="U5765" s="11">
        <f t="shared" si="1852"/>
        <v>2.2999999999999998</v>
      </c>
      <c r="W5765">
        <v>2.5</v>
      </c>
      <c r="X5765" s="1" t="s">
        <v>20</v>
      </c>
    </row>
    <row r="5766" spans="1:24" x14ac:dyDescent="0.25">
      <c r="A5766" s="1" t="str">
        <f t="shared" si="1853"/>
        <v>卡卡杜-凤凰仓</v>
      </c>
      <c r="B5766" s="1" t="str">
        <f>"CK2024101813355"</f>
        <v>CK2024101813355</v>
      </c>
      <c r="C5766" s="1" t="str">
        <f>"DD2024101816940"</f>
        <v>DD2024101816940</v>
      </c>
      <c r="D5766" s="1" t="str">
        <f>"CK2024101810340"</f>
        <v>CK2024101810340</v>
      </c>
      <c r="E5766" s="1" t="str">
        <f>"6935145317418210311"</f>
        <v>6935145317418210311</v>
      </c>
      <c r="F5766" s="1" t="str">
        <f t="shared" si="1854"/>
        <v>花都四部-凤凰仓</v>
      </c>
      <c r="G5766" s="1" t="str">
        <f t="shared" si="1850"/>
        <v>卡卡杜个人护理店（抖店）</v>
      </c>
      <c r="H5766" s="1" t="str">
        <f t="shared" si="1855"/>
        <v>正常订单</v>
      </c>
      <c r="I5766" s="1" t="str">
        <f t="shared" si="1856"/>
        <v>已发货</v>
      </c>
      <c r="J5766" s="1" t="str">
        <f t="shared" si="1849"/>
        <v>3</v>
      </c>
      <c r="K5766" s="1">
        <v>3</v>
      </c>
      <c r="L5766" s="1" t="s">
        <v>24</v>
      </c>
      <c r="M5766" s="1" t="str">
        <f>"福建省 宁德市 福安市 赛岐镇"</f>
        <v>福建省 宁德市 福安市 赛岐镇</v>
      </c>
      <c r="N5766" s="1" t="str">
        <f t="shared" si="1851"/>
        <v>凡华云仓-韵达-抖音</v>
      </c>
      <c r="O5766" s="5">
        <v>320177506062786</v>
      </c>
      <c r="P5766" s="6">
        <v>0.34</v>
      </c>
      <c r="Q5766" s="11">
        <v>2.2999999999999998</v>
      </c>
      <c r="R5766" s="11"/>
      <c r="S5766" s="11"/>
      <c r="T5766" s="11"/>
      <c r="U5766" s="11">
        <f t="shared" si="1852"/>
        <v>2.2999999999999998</v>
      </c>
      <c r="W5766">
        <v>2.5</v>
      </c>
      <c r="X5766" s="1" t="s">
        <v>24</v>
      </c>
    </row>
    <row r="5767" spans="1:24" x14ac:dyDescent="0.25">
      <c r="A5767" s="1" t="str">
        <f t="shared" si="1853"/>
        <v>卡卡杜-凤凰仓</v>
      </c>
      <c r="B5767" s="1" t="str">
        <f>"CK2024101813360"</f>
        <v>CK2024101813360</v>
      </c>
      <c r="C5767" s="1" t="str">
        <f>"DD2024101816944"</f>
        <v>DD2024101816944</v>
      </c>
      <c r="D5767" s="1" t="str">
        <f>"CK2024101810339"</f>
        <v>CK2024101810339</v>
      </c>
      <c r="E5767" s="1" t="str">
        <f>"6935147427873559807"</f>
        <v>6935147427873559807</v>
      </c>
      <c r="F5767" s="1" t="str">
        <f t="shared" si="1854"/>
        <v>花都四部-凤凰仓</v>
      </c>
      <c r="G5767" s="1" t="str">
        <f t="shared" si="1850"/>
        <v>卡卡杜个人护理店（抖店）</v>
      </c>
      <c r="H5767" s="1" t="str">
        <f t="shared" si="1855"/>
        <v>正常订单</v>
      </c>
      <c r="I5767" s="1" t="str">
        <f t="shared" si="1856"/>
        <v>已发货</v>
      </c>
      <c r="J5767" s="1" t="str">
        <f t="shared" si="1849"/>
        <v>3</v>
      </c>
      <c r="K5767" s="1">
        <v>3</v>
      </c>
      <c r="L5767" s="1" t="s">
        <v>20</v>
      </c>
      <c r="M5767" s="1" t="str">
        <f>"浙江省 杭州市 临平区 东湖街道"</f>
        <v>浙江省 杭州市 临平区 东湖街道</v>
      </c>
      <c r="N5767" s="1" t="str">
        <f t="shared" si="1851"/>
        <v>凡华云仓-韵达-抖音</v>
      </c>
      <c r="O5767" s="5">
        <v>320177506062685</v>
      </c>
      <c r="P5767" s="6">
        <v>0.34</v>
      </c>
      <c r="Q5767" s="11">
        <v>2.2999999999999998</v>
      </c>
      <c r="R5767" s="11"/>
      <c r="S5767" s="11"/>
      <c r="T5767" s="11"/>
      <c r="U5767" s="11">
        <f t="shared" si="1852"/>
        <v>2.2999999999999998</v>
      </c>
      <c r="W5767">
        <v>2.5</v>
      </c>
      <c r="X5767" s="1" t="s">
        <v>20</v>
      </c>
    </row>
    <row r="5768" spans="1:24" x14ac:dyDescent="0.25">
      <c r="A5768" s="1" t="str">
        <f t="shared" si="1853"/>
        <v>卡卡杜-凤凰仓</v>
      </c>
      <c r="B5768" s="1" t="str">
        <f>"CK2024101813362"</f>
        <v>CK2024101813362</v>
      </c>
      <c r="C5768" s="1" t="str">
        <f>"DD2024101816945"</f>
        <v>DD2024101816945</v>
      </c>
      <c r="D5768" s="1" t="str">
        <f>"CK2024101810338"</f>
        <v>CK2024101810338</v>
      </c>
      <c r="E5768" s="1" t="str">
        <f>"6935158389766034920"</f>
        <v>6935158389766034920</v>
      </c>
      <c r="F5768" s="1" t="str">
        <f t="shared" si="1854"/>
        <v>花都四部-凤凰仓</v>
      </c>
      <c r="G5768" s="1" t="str">
        <f t="shared" si="1850"/>
        <v>卡卡杜个人护理店（抖店）</v>
      </c>
      <c r="H5768" s="1" t="str">
        <f t="shared" si="1855"/>
        <v>正常订单</v>
      </c>
      <c r="I5768" s="1" t="str">
        <f t="shared" si="1856"/>
        <v>已发货</v>
      </c>
      <c r="J5768" s="1" t="str">
        <f t="shared" si="1849"/>
        <v>3</v>
      </c>
      <c r="K5768" s="1">
        <v>3</v>
      </c>
      <c r="L5768" s="1" t="s">
        <v>16</v>
      </c>
      <c r="M5768" s="1" t="str">
        <f>"河北省 邢台市 南宫市 凤岗街道"</f>
        <v>河北省 邢台市 南宫市 凤岗街道</v>
      </c>
      <c r="N5768" s="1" t="str">
        <f t="shared" si="1851"/>
        <v>凡华云仓-韵达-抖音</v>
      </c>
      <c r="O5768" s="5">
        <v>320177506062586</v>
      </c>
      <c r="P5768" s="6">
        <v>0.34</v>
      </c>
      <c r="Q5768" s="11">
        <v>2.2999999999999998</v>
      </c>
      <c r="R5768" s="11"/>
      <c r="S5768" s="11"/>
      <c r="T5768" s="11"/>
      <c r="U5768" s="11">
        <f t="shared" si="1852"/>
        <v>2.2999999999999998</v>
      </c>
      <c r="W5768">
        <v>2.5</v>
      </c>
      <c r="X5768" s="1" t="s">
        <v>16</v>
      </c>
    </row>
    <row r="5769" spans="1:24" x14ac:dyDescent="0.25">
      <c r="A5769" s="1" t="str">
        <f t="shared" si="1853"/>
        <v>卡卡杜-凤凰仓</v>
      </c>
      <c r="B5769" s="1" t="str">
        <f>"CK2024101813361"</f>
        <v>CK2024101813361</v>
      </c>
      <c r="C5769" s="1" t="str">
        <f>"DD2024101816946"</f>
        <v>DD2024101816946</v>
      </c>
      <c r="D5769" s="1" t="str">
        <f>"CK2024101810337"</f>
        <v>CK2024101810337</v>
      </c>
      <c r="E5769" s="1" t="str">
        <f>"6935172014694012627"</f>
        <v>6935172014694012627</v>
      </c>
      <c r="F5769" s="1" t="str">
        <f t="shared" si="1854"/>
        <v>花都四部-凤凰仓</v>
      </c>
      <c r="G5769" s="1" t="str">
        <f t="shared" si="1850"/>
        <v>卡卡杜个人护理店（抖店）</v>
      </c>
      <c r="H5769" s="1" t="str">
        <f t="shared" si="1855"/>
        <v>正常订单</v>
      </c>
      <c r="I5769" s="1" t="str">
        <f t="shared" si="1856"/>
        <v>已发货</v>
      </c>
      <c r="J5769" s="1" t="str">
        <f t="shared" si="1849"/>
        <v>3</v>
      </c>
      <c r="K5769" s="1">
        <v>3</v>
      </c>
      <c r="L5769" s="1" t="s">
        <v>16</v>
      </c>
      <c r="M5769" s="1" t="str">
        <f>"河北省 廊坊市 三河市 燕郊镇"</f>
        <v>河北省 廊坊市 三河市 燕郊镇</v>
      </c>
      <c r="N5769" s="1" t="str">
        <f t="shared" si="1851"/>
        <v>凡华云仓-韵达-抖音</v>
      </c>
      <c r="O5769" s="5">
        <v>320177506062489</v>
      </c>
      <c r="P5769" s="6">
        <v>0.34</v>
      </c>
      <c r="Q5769" s="11">
        <v>2.2999999999999998</v>
      </c>
      <c r="R5769" s="11"/>
      <c r="S5769" s="11"/>
      <c r="T5769" s="11"/>
      <c r="U5769" s="11">
        <f t="shared" si="1852"/>
        <v>2.2999999999999998</v>
      </c>
      <c r="W5769">
        <v>2.5</v>
      </c>
      <c r="X5769" s="1" t="s">
        <v>16</v>
      </c>
    </row>
    <row r="5770" spans="1:24" x14ac:dyDescent="0.25">
      <c r="A5770" s="1" t="str">
        <f t="shared" si="1853"/>
        <v>卡卡杜-凤凰仓</v>
      </c>
      <c r="B5770" s="1" t="str">
        <f>"CK2024101813364"</f>
        <v>CK2024101813364</v>
      </c>
      <c r="C5770" s="1" t="str">
        <f>"DD2024101816948"</f>
        <v>DD2024101816948</v>
      </c>
      <c r="D5770" s="1" t="str">
        <f>"CK2024101810336"</f>
        <v>CK2024101810336</v>
      </c>
      <c r="E5770" s="1" t="str">
        <f>"6935174231036466846"</f>
        <v>6935174231036466846</v>
      </c>
      <c r="F5770" s="1" t="str">
        <f t="shared" si="1854"/>
        <v>花都四部-凤凰仓</v>
      </c>
      <c r="G5770" s="1" t="str">
        <f t="shared" si="1850"/>
        <v>卡卡杜个人护理店（抖店）</v>
      </c>
      <c r="H5770" s="1" t="str">
        <f t="shared" si="1855"/>
        <v>正常订单</v>
      </c>
      <c r="I5770" s="1" t="str">
        <f t="shared" si="1856"/>
        <v>已发货</v>
      </c>
      <c r="J5770" s="1" t="str">
        <f t="shared" si="1849"/>
        <v>3</v>
      </c>
      <c r="K5770" s="1">
        <v>3</v>
      </c>
      <c r="L5770" s="1" t="s">
        <v>161</v>
      </c>
      <c r="M5770" s="1" t="str">
        <f>"四川省 乐山市 夹江县 华头镇"</f>
        <v>四川省 乐山市 夹江县 华头镇</v>
      </c>
      <c r="N5770" s="1" t="str">
        <f t="shared" si="1851"/>
        <v>凡华云仓-韵达-抖音</v>
      </c>
      <c r="O5770" s="5">
        <v>320177506062394</v>
      </c>
      <c r="P5770" s="6">
        <v>0.34</v>
      </c>
      <c r="Q5770" s="11">
        <v>2.2999999999999998</v>
      </c>
      <c r="R5770" s="11"/>
      <c r="S5770" s="11"/>
      <c r="T5770" s="11"/>
      <c r="U5770" s="11">
        <f t="shared" si="1852"/>
        <v>2.2999999999999998</v>
      </c>
      <c r="W5770">
        <v>2.5</v>
      </c>
      <c r="X5770" s="1" t="s">
        <v>161</v>
      </c>
    </row>
    <row r="5771" spans="1:24" x14ac:dyDescent="0.25">
      <c r="A5771" s="1" t="str">
        <f t="shared" si="1853"/>
        <v>卡卡杜-凤凰仓</v>
      </c>
      <c r="B5771" s="1" t="str">
        <f>"CK2024101813353"</f>
        <v>CK2024101813353</v>
      </c>
      <c r="C5771" s="1" t="str">
        <f>"DD2024101816937"</f>
        <v>DD2024101816937</v>
      </c>
      <c r="D5771" s="1" t="str">
        <f>"CK2024101810335"</f>
        <v>CK2024101810335</v>
      </c>
      <c r="E5771" s="1" t="str">
        <f>"6935160913448146854"</f>
        <v>6935160913448146854</v>
      </c>
      <c r="F5771" s="1" t="str">
        <f t="shared" si="1854"/>
        <v>花都四部-凤凰仓</v>
      </c>
      <c r="G5771" s="1" t="str">
        <f t="shared" si="1850"/>
        <v>卡卡杜个人护理店（抖店）</v>
      </c>
      <c r="H5771" s="1" t="str">
        <f t="shared" si="1855"/>
        <v>正常订单</v>
      </c>
      <c r="I5771" s="1" t="str">
        <f t="shared" si="1856"/>
        <v>已发货</v>
      </c>
      <c r="J5771" s="1" t="str">
        <f t="shared" si="1849"/>
        <v>3</v>
      </c>
      <c r="K5771" s="1">
        <v>3</v>
      </c>
      <c r="L5771" s="1" t="s">
        <v>32</v>
      </c>
      <c r="M5771" s="1" t="str">
        <f>"陕西省 咸阳市 秦都区 古渡街道"</f>
        <v>陕西省 咸阳市 秦都区 古渡街道</v>
      </c>
      <c r="N5771" s="1" t="str">
        <f t="shared" si="1851"/>
        <v>凡华云仓-韵达-抖音</v>
      </c>
      <c r="O5771" s="5">
        <v>320177499217276</v>
      </c>
      <c r="P5771" s="6">
        <v>0.34</v>
      </c>
      <c r="Q5771" s="11">
        <v>2.2999999999999998</v>
      </c>
      <c r="R5771" s="11"/>
      <c r="S5771" s="11"/>
      <c r="T5771" s="11"/>
      <c r="U5771" s="11">
        <f t="shared" si="1852"/>
        <v>2.2999999999999998</v>
      </c>
      <c r="W5771">
        <v>2.5</v>
      </c>
      <c r="X5771" s="1" t="s">
        <v>32</v>
      </c>
    </row>
    <row r="5772" spans="1:24" x14ac:dyDescent="0.25">
      <c r="A5772" s="1" t="str">
        <f t="shared" si="1853"/>
        <v>卡卡杜-凤凰仓</v>
      </c>
      <c r="B5772" s="1" t="str">
        <f>"CK2024101813354"</f>
        <v>CK2024101813354</v>
      </c>
      <c r="C5772" s="1" t="str">
        <f>"DD2024101816938"</f>
        <v>DD2024101816938</v>
      </c>
      <c r="D5772" s="1" t="str">
        <f>"CK2024101810334"</f>
        <v>CK2024101810334</v>
      </c>
      <c r="E5772" s="1" t="str">
        <f>"6935153929017365939"</f>
        <v>6935153929017365939</v>
      </c>
      <c r="F5772" s="1" t="str">
        <f t="shared" si="1854"/>
        <v>花都四部-凤凰仓</v>
      </c>
      <c r="G5772" s="1" t="str">
        <f t="shared" si="1850"/>
        <v>卡卡杜个人护理店（抖店）</v>
      </c>
      <c r="H5772" s="1" t="str">
        <f t="shared" si="1855"/>
        <v>正常订单</v>
      </c>
      <c r="I5772" s="1" t="str">
        <f t="shared" si="1856"/>
        <v>已发货</v>
      </c>
      <c r="J5772" s="1" t="str">
        <f t="shared" si="1849"/>
        <v>3</v>
      </c>
      <c r="K5772" s="1">
        <v>3</v>
      </c>
      <c r="L5772" s="1" t="s">
        <v>80</v>
      </c>
      <c r="M5772" s="1" t="str">
        <f>"河南省 濮阳市 濮阳县 海通乡"</f>
        <v>河南省 濮阳市 濮阳县 海通乡</v>
      </c>
      <c r="N5772" s="1" t="str">
        <f t="shared" si="1851"/>
        <v>凡华云仓-韵达-抖音</v>
      </c>
      <c r="O5772" s="5">
        <v>320177499217185</v>
      </c>
      <c r="P5772" s="6">
        <v>0.34</v>
      </c>
      <c r="Q5772" s="11">
        <v>2.2999999999999998</v>
      </c>
      <c r="R5772" s="11"/>
      <c r="S5772" s="11"/>
      <c r="T5772" s="11"/>
      <c r="U5772" s="11">
        <f t="shared" si="1852"/>
        <v>2.2999999999999998</v>
      </c>
      <c r="W5772">
        <v>2.5</v>
      </c>
      <c r="X5772" s="1" t="s">
        <v>80</v>
      </c>
    </row>
    <row r="5773" spans="1:24" x14ac:dyDescent="0.25">
      <c r="A5773" s="1" t="str">
        <f t="shared" si="1853"/>
        <v>卡卡杜-凤凰仓</v>
      </c>
      <c r="B5773" s="1" t="str">
        <f>"CK2024101813357"</f>
        <v>CK2024101813357</v>
      </c>
      <c r="C5773" s="1" t="str">
        <f>"DD2024101816941"</f>
        <v>DD2024101816941</v>
      </c>
      <c r="D5773" s="1" t="str">
        <f>"CK2024101810333"</f>
        <v>CK2024101810333</v>
      </c>
      <c r="E5773" s="1" t="str">
        <f>"6935149862840898670"</f>
        <v>6935149862840898670</v>
      </c>
      <c r="F5773" s="1" t="str">
        <f t="shared" si="1854"/>
        <v>花都四部-凤凰仓</v>
      </c>
      <c r="G5773" s="1" t="str">
        <f t="shared" si="1850"/>
        <v>卡卡杜个人护理店（抖店）</v>
      </c>
      <c r="H5773" s="1" t="str">
        <f t="shared" si="1855"/>
        <v>正常订单</v>
      </c>
      <c r="I5773" s="1" t="str">
        <f t="shared" si="1856"/>
        <v>已发货</v>
      </c>
      <c r="J5773" s="1" t="str">
        <f t="shared" si="1849"/>
        <v>3</v>
      </c>
      <c r="K5773" s="1">
        <v>3</v>
      </c>
      <c r="L5773" s="1" t="s">
        <v>80</v>
      </c>
      <c r="M5773" s="1" t="str">
        <f>"河南省 新乡市 牧野区 牧野镇"</f>
        <v>河南省 新乡市 牧野区 牧野镇</v>
      </c>
      <c r="N5773" s="1" t="str">
        <f t="shared" si="1851"/>
        <v>凡华云仓-韵达-抖音</v>
      </c>
      <c r="O5773" s="5">
        <v>320177499217096</v>
      </c>
      <c r="P5773" s="6">
        <v>0.34</v>
      </c>
      <c r="Q5773" s="11">
        <v>2.2999999999999998</v>
      </c>
      <c r="R5773" s="11"/>
      <c r="S5773" s="11"/>
      <c r="T5773" s="11"/>
      <c r="U5773" s="11">
        <f t="shared" si="1852"/>
        <v>2.2999999999999998</v>
      </c>
      <c r="W5773">
        <v>2.5</v>
      </c>
      <c r="X5773" s="1" t="s">
        <v>80</v>
      </c>
    </row>
    <row r="5774" spans="1:24" x14ac:dyDescent="0.25">
      <c r="A5774" s="1" t="str">
        <f t="shared" si="1853"/>
        <v>卡卡杜-凤凰仓</v>
      </c>
      <c r="B5774" s="1" t="str">
        <f>"CK2024101813358"</f>
        <v>CK2024101813358</v>
      </c>
      <c r="C5774" s="1" t="str">
        <f>"DD2024101816942"</f>
        <v>DD2024101816942</v>
      </c>
      <c r="D5774" s="1" t="str">
        <f>"CK2024101810332"</f>
        <v>CK2024101810332</v>
      </c>
      <c r="E5774" s="1" t="str">
        <f>"6935141130912470459"</f>
        <v>6935141130912470459</v>
      </c>
      <c r="F5774" s="1" t="str">
        <f t="shared" si="1854"/>
        <v>花都四部-凤凰仓</v>
      </c>
      <c r="G5774" s="1" t="str">
        <f t="shared" si="1850"/>
        <v>卡卡杜个人护理店（抖店）</v>
      </c>
      <c r="H5774" s="1" t="str">
        <f t="shared" si="1855"/>
        <v>正常订单</v>
      </c>
      <c r="I5774" s="1" t="str">
        <f t="shared" si="1856"/>
        <v>已发货</v>
      </c>
      <c r="J5774" s="1" t="str">
        <f t="shared" si="1849"/>
        <v>3</v>
      </c>
      <c r="K5774" s="1">
        <v>3</v>
      </c>
      <c r="L5774" s="1" t="s">
        <v>16</v>
      </c>
      <c r="M5774" s="1" t="str">
        <f>"河北省 沧州市 孟村回族自治县 孟村镇"</f>
        <v>河北省 沧州市 孟村回族自治县 孟村镇</v>
      </c>
      <c r="N5774" s="1" t="str">
        <f t="shared" si="1851"/>
        <v>凡华云仓-韵达-抖音</v>
      </c>
      <c r="O5774" s="5">
        <v>320177499216968</v>
      </c>
      <c r="P5774" s="6">
        <v>0.34</v>
      </c>
      <c r="Q5774" s="11">
        <v>2.2999999999999998</v>
      </c>
      <c r="R5774" s="11"/>
      <c r="S5774" s="11"/>
      <c r="T5774" s="11"/>
      <c r="U5774" s="11">
        <f t="shared" si="1852"/>
        <v>2.2999999999999998</v>
      </c>
      <c r="W5774">
        <v>2.5</v>
      </c>
      <c r="X5774" s="1" t="s">
        <v>16</v>
      </c>
    </row>
    <row r="5775" spans="1:24" x14ac:dyDescent="0.25">
      <c r="A5775" s="1" t="str">
        <f t="shared" si="1853"/>
        <v>卡卡杜-凤凰仓</v>
      </c>
      <c r="B5775" s="1" t="str">
        <f>"CK2024101813359"</f>
        <v>CK2024101813359</v>
      </c>
      <c r="C5775" s="1" t="str">
        <f>"DD2024101816943"</f>
        <v>DD2024101816943</v>
      </c>
      <c r="D5775" s="1" t="str">
        <f>"CK2024101810331"</f>
        <v>CK2024101810331</v>
      </c>
      <c r="E5775" s="1" t="str">
        <f>"6935158490517542291"</f>
        <v>6935158490517542291</v>
      </c>
      <c r="F5775" s="1" t="str">
        <f t="shared" si="1854"/>
        <v>花都四部-凤凰仓</v>
      </c>
      <c r="G5775" s="1" t="str">
        <f t="shared" si="1850"/>
        <v>卡卡杜个人护理店（抖店）</v>
      </c>
      <c r="H5775" s="1" t="str">
        <f t="shared" si="1855"/>
        <v>正常订单</v>
      </c>
      <c r="I5775" s="1" t="str">
        <f t="shared" si="1856"/>
        <v>已发货</v>
      </c>
      <c r="J5775" s="1" t="str">
        <f t="shared" si="1849"/>
        <v>3</v>
      </c>
      <c r="K5775" s="1">
        <v>3</v>
      </c>
      <c r="L5775" s="1" t="s">
        <v>94</v>
      </c>
      <c r="M5775" s="1" t="str">
        <f>"湖南省 长沙市 雨花区 洞井街道"</f>
        <v>湖南省 长沙市 雨花区 洞井街道</v>
      </c>
      <c r="N5775" s="1" t="str">
        <f t="shared" si="1851"/>
        <v>凡华云仓-韵达-抖音</v>
      </c>
      <c r="O5775" s="5">
        <v>320177499216863</v>
      </c>
      <c r="P5775" s="6">
        <v>0.34</v>
      </c>
      <c r="Q5775" s="11">
        <v>2.2999999999999998</v>
      </c>
      <c r="R5775" s="11"/>
      <c r="S5775" s="11"/>
      <c r="T5775" s="11"/>
      <c r="U5775" s="11">
        <f t="shared" si="1852"/>
        <v>2.2999999999999998</v>
      </c>
      <c r="W5775">
        <v>2.5</v>
      </c>
      <c r="X5775" s="1" t="s">
        <v>94</v>
      </c>
    </row>
    <row r="5776" spans="1:24" x14ac:dyDescent="0.25">
      <c r="A5776" s="1" t="str">
        <f t="shared" si="1853"/>
        <v>卡卡杜-凤凰仓</v>
      </c>
      <c r="B5776" s="1" t="str">
        <f>"CK2024101813363"</f>
        <v>CK2024101813363</v>
      </c>
      <c r="C5776" s="1" t="str">
        <f>"DD2024101816947"</f>
        <v>DD2024101816947</v>
      </c>
      <c r="D5776" s="1" t="str">
        <f>"CK2024101810330"</f>
        <v>CK2024101810330</v>
      </c>
      <c r="E5776" s="1" t="str">
        <f>"6935156104610190484"</f>
        <v>6935156104610190484</v>
      </c>
      <c r="F5776" s="1" t="str">
        <f t="shared" si="1854"/>
        <v>花都四部-凤凰仓</v>
      </c>
      <c r="G5776" s="1" t="str">
        <f t="shared" si="1850"/>
        <v>卡卡杜个人护理店（抖店）</v>
      </c>
      <c r="H5776" s="1" t="str">
        <f t="shared" si="1855"/>
        <v>正常订单</v>
      </c>
      <c r="I5776" s="1" t="str">
        <f t="shared" si="1856"/>
        <v>已发货</v>
      </c>
      <c r="J5776" s="1" t="str">
        <f t="shared" si="1849"/>
        <v>3</v>
      </c>
      <c r="K5776" s="1">
        <v>3</v>
      </c>
      <c r="L5776" s="1" t="s">
        <v>18</v>
      </c>
      <c r="M5776" s="1" t="str">
        <f>"广东省 佛山市 高明区 荷城街道"</f>
        <v>广东省 佛山市 高明区 荷城街道</v>
      </c>
      <c r="N5776" s="1" t="str">
        <f t="shared" si="1851"/>
        <v>凡华云仓-韵达-抖音</v>
      </c>
      <c r="O5776" s="5">
        <v>320177499216760</v>
      </c>
      <c r="P5776" s="6">
        <v>0.34</v>
      </c>
      <c r="Q5776" s="11">
        <v>2.2999999999999998</v>
      </c>
      <c r="R5776" s="11"/>
      <c r="S5776" s="11"/>
      <c r="T5776" s="11"/>
      <c r="U5776" s="11">
        <f t="shared" si="1852"/>
        <v>2.2999999999999998</v>
      </c>
      <c r="W5776">
        <v>2.5</v>
      </c>
      <c r="X5776" s="1" t="s">
        <v>18</v>
      </c>
    </row>
    <row r="5777" spans="1:24" x14ac:dyDescent="0.25">
      <c r="A5777" s="1" t="str">
        <f t="shared" si="1853"/>
        <v>卡卡杜-凤凰仓</v>
      </c>
      <c r="B5777" s="1" t="str">
        <f>"CK2024101813365"</f>
        <v>CK2024101813365</v>
      </c>
      <c r="C5777" s="1" t="str">
        <f>"DD2024101816949"</f>
        <v>DD2024101816949</v>
      </c>
      <c r="D5777" s="1" t="str">
        <f>"CK2024101810329"</f>
        <v>CK2024101810329</v>
      </c>
      <c r="E5777" s="1" t="str">
        <f>"6935162890825832017"</f>
        <v>6935162890825832017</v>
      </c>
      <c r="F5777" s="1" t="str">
        <f t="shared" si="1854"/>
        <v>花都四部-凤凰仓</v>
      </c>
      <c r="G5777" s="1" t="str">
        <f t="shared" si="1850"/>
        <v>卡卡杜个人护理店（抖店）</v>
      </c>
      <c r="H5777" s="1" t="str">
        <f t="shared" si="1855"/>
        <v>正常订单</v>
      </c>
      <c r="I5777" s="1" t="str">
        <f t="shared" si="1856"/>
        <v>已发货</v>
      </c>
      <c r="J5777" s="1" t="str">
        <f t="shared" si="1849"/>
        <v>3</v>
      </c>
      <c r="K5777" s="1">
        <v>3</v>
      </c>
      <c r="L5777" s="1" t="s">
        <v>41</v>
      </c>
      <c r="M5777" s="1" t="str">
        <f>"湖北省 武汉市 硚口区 六角亭街道"</f>
        <v>湖北省 武汉市 硚口区 六角亭街道</v>
      </c>
      <c r="N5777" s="1" t="str">
        <f t="shared" si="1851"/>
        <v>凡华云仓-韵达-抖音</v>
      </c>
      <c r="O5777" s="5">
        <v>320177499216659</v>
      </c>
      <c r="P5777" s="6">
        <v>0.34</v>
      </c>
      <c r="Q5777" s="11">
        <v>2.2999999999999998</v>
      </c>
      <c r="R5777" s="11"/>
      <c r="S5777" s="11"/>
      <c r="T5777" s="11"/>
      <c r="U5777" s="11">
        <f t="shared" si="1852"/>
        <v>2.2999999999999998</v>
      </c>
      <c r="W5777">
        <v>2.5</v>
      </c>
      <c r="X5777" s="1" t="s">
        <v>41</v>
      </c>
    </row>
    <row r="5778" spans="1:24" x14ac:dyDescent="0.25">
      <c r="A5778" s="1" t="str">
        <f t="shared" si="1853"/>
        <v>卡卡杜-凤凰仓</v>
      </c>
      <c r="B5778" s="1" t="str">
        <f>"CK2024101813366"</f>
        <v>CK2024101813366</v>
      </c>
      <c r="C5778" s="1" t="str">
        <f>"DD2024101816950"</f>
        <v>DD2024101816950</v>
      </c>
      <c r="D5778" s="1" t="str">
        <f>"CK2024101810328"</f>
        <v>CK2024101810328</v>
      </c>
      <c r="E5778" s="1" t="str">
        <f>"6935158411969631356"</f>
        <v>6935158411969631356</v>
      </c>
      <c r="F5778" s="1" t="str">
        <f t="shared" si="1854"/>
        <v>花都四部-凤凰仓</v>
      </c>
      <c r="G5778" s="1" t="str">
        <f t="shared" si="1850"/>
        <v>卡卡杜个人护理店（抖店）</v>
      </c>
      <c r="H5778" s="1" t="str">
        <f t="shared" si="1855"/>
        <v>正常订单</v>
      </c>
      <c r="I5778" s="1" t="str">
        <f t="shared" si="1856"/>
        <v>已发货</v>
      </c>
      <c r="J5778" s="1" t="str">
        <f t="shared" si="1849"/>
        <v>3</v>
      </c>
      <c r="K5778" s="1">
        <v>3</v>
      </c>
      <c r="L5778" s="1" t="s">
        <v>36</v>
      </c>
      <c r="M5778" s="1" t="str">
        <f>"安徽省 阜阳市 颍州区 鼓楼街道"</f>
        <v>安徽省 阜阳市 颍州区 鼓楼街道</v>
      </c>
      <c r="N5778" s="1" t="str">
        <f t="shared" si="1851"/>
        <v>凡华云仓-韵达-抖音</v>
      </c>
      <c r="O5778" s="5">
        <v>320177499216560</v>
      </c>
      <c r="P5778" s="6">
        <v>0.34</v>
      </c>
      <c r="Q5778" s="11">
        <v>2.2999999999999998</v>
      </c>
      <c r="R5778" s="11"/>
      <c r="S5778" s="11"/>
      <c r="T5778" s="11"/>
      <c r="U5778" s="11">
        <f t="shared" si="1852"/>
        <v>2.2999999999999998</v>
      </c>
      <c r="W5778">
        <v>2.5</v>
      </c>
      <c r="X5778" s="1" t="s">
        <v>36</v>
      </c>
    </row>
    <row r="5779" spans="1:24" x14ac:dyDescent="0.25">
      <c r="A5779" s="1" t="str">
        <f t="shared" si="1853"/>
        <v>卡卡杜-凤凰仓</v>
      </c>
      <c r="B5779" s="1" t="str">
        <f>"CK2024101813368"</f>
        <v>CK2024101813368</v>
      </c>
      <c r="C5779" s="1" t="str">
        <f>"DD2024101816951"</f>
        <v>DD2024101816951</v>
      </c>
      <c r="D5779" s="1" t="str">
        <f>"CK2024101810327"</f>
        <v>CK2024101810327</v>
      </c>
      <c r="E5779" s="1" t="str">
        <f>"6935145376152229583"</f>
        <v>6935145376152229583</v>
      </c>
      <c r="F5779" s="1" t="str">
        <f t="shared" si="1854"/>
        <v>花都四部-凤凰仓</v>
      </c>
      <c r="G5779" s="1" t="str">
        <f t="shared" si="1850"/>
        <v>卡卡杜个人护理店（抖店）</v>
      </c>
      <c r="H5779" s="1" t="str">
        <f t="shared" si="1855"/>
        <v>正常订单</v>
      </c>
      <c r="I5779" s="1" t="str">
        <f t="shared" si="1856"/>
        <v>已发货</v>
      </c>
      <c r="J5779" s="1" t="str">
        <f t="shared" si="1849"/>
        <v>3</v>
      </c>
      <c r="K5779" s="1">
        <v>3</v>
      </c>
      <c r="L5779" s="1" t="s">
        <v>13</v>
      </c>
      <c r="M5779" s="1" t="str">
        <f>"江苏省 无锡市 梁溪区 山北街道"</f>
        <v>江苏省 无锡市 梁溪区 山北街道</v>
      </c>
      <c r="N5779" s="1" t="str">
        <f t="shared" si="1851"/>
        <v>凡华云仓-韵达-抖音</v>
      </c>
      <c r="O5779" s="5">
        <v>320177499216463</v>
      </c>
      <c r="P5779" s="6">
        <v>0.34</v>
      </c>
      <c r="Q5779" s="11">
        <v>2.2999999999999998</v>
      </c>
      <c r="R5779" s="11"/>
      <c r="S5779" s="11"/>
      <c r="T5779" s="11"/>
      <c r="U5779" s="11">
        <f t="shared" si="1852"/>
        <v>2.2999999999999998</v>
      </c>
      <c r="W5779">
        <v>2.5</v>
      </c>
      <c r="X5779" s="1" t="s">
        <v>13</v>
      </c>
    </row>
    <row r="5780" spans="1:24" x14ac:dyDescent="0.25">
      <c r="A5780" s="1" t="str">
        <f t="shared" si="1853"/>
        <v>卡卡杜-凤凰仓</v>
      </c>
      <c r="B5780" s="1" t="str">
        <f>"CK2024101813367"</f>
        <v>CK2024101813367</v>
      </c>
      <c r="C5780" s="1" t="str">
        <f>"DD2024101816954"</f>
        <v>DD2024101816954</v>
      </c>
      <c r="D5780" s="1" t="str">
        <f>"CK2024101810326"</f>
        <v>CK2024101810326</v>
      </c>
      <c r="E5780" s="1" t="str">
        <f>"6935149827852801376"</f>
        <v>6935149827852801376</v>
      </c>
      <c r="F5780" s="1" t="str">
        <f t="shared" si="1854"/>
        <v>花都四部-凤凰仓</v>
      </c>
      <c r="G5780" s="1" t="str">
        <f t="shared" si="1850"/>
        <v>卡卡杜个人护理店（抖店）</v>
      </c>
      <c r="H5780" s="1" t="str">
        <f t="shared" si="1855"/>
        <v>正常订单</v>
      </c>
      <c r="I5780" s="1" t="str">
        <f t="shared" si="1856"/>
        <v>已发货</v>
      </c>
      <c r="J5780" s="1" t="str">
        <f t="shared" si="1849"/>
        <v>3</v>
      </c>
      <c r="K5780" s="1">
        <v>3</v>
      </c>
      <c r="L5780" s="1" t="s">
        <v>20</v>
      </c>
      <c r="M5780" s="1" t="str">
        <f>"浙江省 宁波市 镇海区 骆驼街道"</f>
        <v>浙江省 宁波市 镇海区 骆驼街道</v>
      </c>
      <c r="N5780" s="1" t="str">
        <f t="shared" si="1851"/>
        <v>凡华云仓-韵达-抖音</v>
      </c>
      <c r="O5780" s="5">
        <v>320177499216368</v>
      </c>
      <c r="P5780" s="6">
        <v>0.34</v>
      </c>
      <c r="Q5780" s="11">
        <v>2.2999999999999998</v>
      </c>
      <c r="R5780" s="11"/>
      <c r="S5780" s="11"/>
      <c r="T5780" s="11"/>
      <c r="U5780" s="11">
        <f t="shared" si="1852"/>
        <v>2.2999999999999998</v>
      </c>
      <c r="W5780">
        <v>2.5</v>
      </c>
      <c r="X5780" s="1" t="s">
        <v>20</v>
      </c>
    </row>
    <row r="5781" spans="1:24" x14ac:dyDescent="0.25">
      <c r="A5781" s="1" t="str">
        <f t="shared" si="1853"/>
        <v>卡卡杜-凤凰仓</v>
      </c>
      <c r="B5781" s="1" t="str">
        <f>"CK2024101813372"</f>
        <v>CK2024101813372</v>
      </c>
      <c r="C5781" s="1" t="str">
        <f>"DD2024101816956"</f>
        <v>DD2024101816956</v>
      </c>
      <c r="D5781" s="1" t="str">
        <f>"CK2024101810325"</f>
        <v>CK2024101810325</v>
      </c>
      <c r="E5781" s="1" t="str">
        <f>"6935158353429665256"</f>
        <v>6935158353429665256</v>
      </c>
      <c r="F5781" s="1" t="str">
        <f t="shared" si="1854"/>
        <v>花都四部-凤凰仓</v>
      </c>
      <c r="G5781" s="1" t="str">
        <f t="shared" si="1850"/>
        <v>卡卡杜个人护理店（抖店）</v>
      </c>
      <c r="H5781" s="1" t="str">
        <f t="shared" si="1855"/>
        <v>正常订单</v>
      </c>
      <c r="I5781" s="1" t="str">
        <f t="shared" si="1856"/>
        <v>已发货</v>
      </c>
      <c r="J5781" s="1" t="str">
        <f t="shared" si="1849"/>
        <v>3</v>
      </c>
      <c r="K5781" s="1">
        <v>3</v>
      </c>
      <c r="L5781" s="1" t="s">
        <v>92</v>
      </c>
      <c r="M5781" s="1" t="str">
        <f>"辽宁省 沈阳市 铁西区 笃工街道"</f>
        <v>辽宁省 沈阳市 铁西区 笃工街道</v>
      </c>
      <c r="N5781" s="1" t="str">
        <f t="shared" si="1851"/>
        <v>凡华云仓-韵达-抖音</v>
      </c>
      <c r="O5781" s="5">
        <v>320177488909371</v>
      </c>
      <c r="P5781" s="6">
        <v>0.34</v>
      </c>
      <c r="Q5781" s="11">
        <v>2.2999999999999998</v>
      </c>
      <c r="R5781" s="11"/>
      <c r="S5781" s="11"/>
      <c r="T5781" s="11"/>
      <c r="U5781" s="11">
        <f t="shared" si="1852"/>
        <v>2.2999999999999998</v>
      </c>
      <c r="W5781">
        <v>2.5</v>
      </c>
      <c r="X5781" s="1" t="s">
        <v>92</v>
      </c>
    </row>
    <row r="5782" spans="1:24" x14ac:dyDescent="0.25">
      <c r="A5782" s="1" t="str">
        <f t="shared" si="1853"/>
        <v>卡卡杜-凤凰仓</v>
      </c>
      <c r="B5782" s="1" t="str">
        <f>"CK2024101813375"</f>
        <v>CK2024101813375</v>
      </c>
      <c r="C5782" s="1" t="str">
        <f>"DD2024101816958"</f>
        <v>DD2024101816958</v>
      </c>
      <c r="D5782" s="1" t="str">
        <f>"CK2024101810324"</f>
        <v>CK2024101810324</v>
      </c>
      <c r="E5782" s="1" t="str">
        <f>"6935171982500435202"</f>
        <v>6935171982500435202</v>
      </c>
      <c r="F5782" s="1" t="str">
        <f t="shared" si="1854"/>
        <v>花都四部-凤凰仓</v>
      </c>
      <c r="G5782" s="1" t="str">
        <f t="shared" si="1850"/>
        <v>卡卡杜个人护理店（抖店）</v>
      </c>
      <c r="H5782" s="1" t="str">
        <f t="shared" si="1855"/>
        <v>正常订单</v>
      </c>
      <c r="I5782" s="1" t="str">
        <f t="shared" si="1856"/>
        <v>已发货</v>
      </c>
      <c r="J5782" s="1" t="str">
        <f t="shared" si="1849"/>
        <v>3</v>
      </c>
      <c r="K5782" s="1">
        <v>3</v>
      </c>
      <c r="L5782" s="1" t="s">
        <v>92</v>
      </c>
      <c r="M5782" s="1" t="str">
        <f>"辽宁省 沈阳市 浑南区 白塔街道"</f>
        <v>辽宁省 沈阳市 浑南区 白塔街道</v>
      </c>
      <c r="N5782" s="1" t="str">
        <f t="shared" si="1851"/>
        <v>凡华云仓-韵达-抖音</v>
      </c>
      <c r="O5782" s="5">
        <v>320177488909278</v>
      </c>
      <c r="P5782" s="6">
        <v>0.34</v>
      </c>
      <c r="Q5782" s="11">
        <v>2.2999999999999998</v>
      </c>
      <c r="R5782" s="11"/>
      <c r="S5782" s="11"/>
      <c r="T5782" s="11"/>
      <c r="U5782" s="11">
        <f t="shared" si="1852"/>
        <v>2.2999999999999998</v>
      </c>
      <c r="W5782">
        <v>2.5</v>
      </c>
      <c r="X5782" s="1" t="s">
        <v>92</v>
      </c>
    </row>
    <row r="5783" spans="1:24" x14ac:dyDescent="0.25">
      <c r="A5783" s="1" t="str">
        <f t="shared" si="1853"/>
        <v>卡卡杜-凤凰仓</v>
      </c>
      <c r="B5783" s="1" t="str">
        <f>"CK2024101813370"</f>
        <v>CK2024101813370</v>
      </c>
      <c r="C5783" s="1" t="str">
        <f>"DD2024101816952"</f>
        <v>DD2024101816952</v>
      </c>
      <c r="D5783" s="1" t="str">
        <f>"CK2024101810323"</f>
        <v>CK2024101810323</v>
      </c>
      <c r="E5783" s="1" t="str">
        <f>"6935143477556090137"</f>
        <v>6935143477556090137</v>
      </c>
      <c r="F5783" s="1" t="str">
        <f t="shared" si="1854"/>
        <v>花都四部-凤凰仓</v>
      </c>
      <c r="G5783" s="1" t="str">
        <f t="shared" si="1850"/>
        <v>卡卡杜个人护理店（抖店）</v>
      </c>
      <c r="H5783" s="1" t="str">
        <f t="shared" si="1855"/>
        <v>正常订单</v>
      </c>
      <c r="I5783" s="1" t="str">
        <f t="shared" si="1856"/>
        <v>已发货</v>
      </c>
      <c r="J5783" s="1" t="str">
        <f t="shared" si="1849"/>
        <v>3</v>
      </c>
      <c r="K5783" s="1">
        <v>3</v>
      </c>
      <c r="L5783" s="1" t="s">
        <v>80</v>
      </c>
      <c r="M5783" s="1" t="str">
        <f>"河南省 郑州市 中牟县 青年路街道"</f>
        <v>河南省 郑州市 中牟县 青年路街道</v>
      </c>
      <c r="N5783" s="1" t="str">
        <f t="shared" si="1851"/>
        <v>凡华云仓-韵达-抖音</v>
      </c>
      <c r="O5783" s="5">
        <v>320177488909187</v>
      </c>
      <c r="P5783" s="6">
        <v>0.34</v>
      </c>
      <c r="Q5783" s="11">
        <v>2.2999999999999998</v>
      </c>
      <c r="R5783" s="11"/>
      <c r="S5783" s="11"/>
      <c r="T5783" s="11"/>
      <c r="U5783" s="11">
        <f t="shared" si="1852"/>
        <v>2.2999999999999998</v>
      </c>
      <c r="W5783">
        <v>2.5</v>
      </c>
      <c r="X5783" s="1" t="s">
        <v>80</v>
      </c>
    </row>
    <row r="5784" spans="1:24" x14ac:dyDescent="0.25">
      <c r="A5784" s="1" t="str">
        <f t="shared" si="1853"/>
        <v>卡卡杜-凤凰仓</v>
      </c>
      <c r="B5784" s="1" t="str">
        <f>"CK2024101813369"</f>
        <v>CK2024101813369</v>
      </c>
      <c r="C5784" s="1" t="str">
        <f>"DD2024101816953"</f>
        <v>DD2024101816953</v>
      </c>
      <c r="D5784" s="1" t="str">
        <f>"CK2024101810322"</f>
        <v>CK2024101810322</v>
      </c>
      <c r="E5784" s="1" t="str">
        <f>"6935151629915657323"</f>
        <v>6935151629915657323</v>
      </c>
      <c r="F5784" s="1" t="str">
        <f t="shared" si="1854"/>
        <v>花都四部-凤凰仓</v>
      </c>
      <c r="G5784" s="1" t="str">
        <f t="shared" si="1850"/>
        <v>卡卡杜个人护理店（抖店）</v>
      </c>
      <c r="H5784" s="1" t="str">
        <f t="shared" si="1855"/>
        <v>正常订单</v>
      </c>
      <c r="I5784" s="1" t="str">
        <f t="shared" si="1856"/>
        <v>已发货</v>
      </c>
      <c r="J5784" s="1" t="str">
        <f t="shared" si="1849"/>
        <v>3</v>
      </c>
      <c r="K5784" s="1">
        <v>3</v>
      </c>
      <c r="L5784" s="1" t="s">
        <v>30</v>
      </c>
      <c r="M5784" s="1" t="str">
        <f>"山东省 青岛市 黄岛区 隐珠街道"</f>
        <v>山东省 青岛市 黄岛区 隐珠街道</v>
      </c>
      <c r="N5784" s="1" t="str">
        <f t="shared" si="1851"/>
        <v>凡华云仓-韵达-抖音</v>
      </c>
      <c r="O5784" s="5">
        <v>320177488909098</v>
      </c>
      <c r="P5784" s="6">
        <v>0.34</v>
      </c>
      <c r="Q5784" s="11">
        <v>2.2999999999999998</v>
      </c>
      <c r="R5784" s="11"/>
      <c r="S5784" s="11"/>
      <c r="T5784" s="11"/>
      <c r="U5784" s="11">
        <f t="shared" si="1852"/>
        <v>2.2999999999999998</v>
      </c>
      <c r="W5784">
        <v>2.5</v>
      </c>
      <c r="X5784" s="1" t="s">
        <v>30</v>
      </c>
    </row>
    <row r="5785" spans="1:24" x14ac:dyDescent="0.25">
      <c r="A5785" s="1" t="str">
        <f t="shared" si="1853"/>
        <v>卡卡杜-凤凰仓</v>
      </c>
      <c r="B5785" s="1" t="str">
        <f>"CK2024101813371"</f>
        <v>CK2024101813371</v>
      </c>
      <c r="C5785" s="1" t="str">
        <f>"DD2024101816955"</f>
        <v>DD2024101816955</v>
      </c>
      <c r="D5785" s="1" t="str">
        <f>"CK2024101810321"</f>
        <v>CK2024101810321</v>
      </c>
      <c r="E5785" s="1" t="str">
        <f>"6935151639802353358"</f>
        <v>6935151639802353358</v>
      </c>
      <c r="F5785" s="1" t="str">
        <f t="shared" si="1854"/>
        <v>花都四部-凤凰仓</v>
      </c>
      <c r="G5785" s="1" t="str">
        <f t="shared" si="1850"/>
        <v>卡卡杜个人护理店（抖店）</v>
      </c>
      <c r="H5785" s="1" t="str">
        <f t="shared" si="1855"/>
        <v>正常订单</v>
      </c>
      <c r="I5785" s="1" t="str">
        <f t="shared" si="1856"/>
        <v>已发货</v>
      </c>
      <c r="J5785" s="1" t="str">
        <f t="shared" si="1849"/>
        <v>3</v>
      </c>
      <c r="K5785" s="1">
        <v>3</v>
      </c>
      <c r="L5785" s="1" t="s">
        <v>109</v>
      </c>
      <c r="M5785" s="1" t="str">
        <f>"山西省 阳泉市 城区 南山路街道"</f>
        <v>山西省 阳泉市 城区 南山路街道</v>
      </c>
      <c r="N5785" s="1" t="str">
        <f t="shared" si="1851"/>
        <v>凡华云仓-韵达-抖音</v>
      </c>
      <c r="O5785" s="5">
        <v>320177488908966</v>
      </c>
      <c r="P5785" s="6">
        <v>0.34</v>
      </c>
      <c r="Q5785" s="11">
        <v>2.2999999999999998</v>
      </c>
      <c r="R5785" s="11"/>
      <c r="S5785" s="11"/>
      <c r="T5785" s="11"/>
      <c r="U5785" s="11">
        <f t="shared" si="1852"/>
        <v>2.2999999999999998</v>
      </c>
      <c r="W5785">
        <v>2.5</v>
      </c>
      <c r="X5785" s="1" t="s">
        <v>109</v>
      </c>
    </row>
    <row r="5786" spans="1:24" x14ac:dyDescent="0.25">
      <c r="A5786" s="1" t="str">
        <f t="shared" si="1853"/>
        <v>卡卡杜-凤凰仓</v>
      </c>
      <c r="B5786" s="1" t="str">
        <f>"CK2024101813373"</f>
        <v>CK2024101813373</v>
      </c>
      <c r="C5786" s="1" t="str">
        <f>"DD2024101816957"</f>
        <v>DD2024101816957</v>
      </c>
      <c r="D5786" s="1" t="str">
        <f>"CK2024101810320"</f>
        <v>CK2024101810320</v>
      </c>
      <c r="E5786" s="1" t="str">
        <f>"6935160941446829759"</f>
        <v>6935160941446829759</v>
      </c>
      <c r="F5786" s="1" t="str">
        <f t="shared" si="1854"/>
        <v>花都四部-凤凰仓</v>
      </c>
      <c r="G5786" s="1" t="str">
        <f t="shared" si="1850"/>
        <v>卡卡杜个人护理店（抖店）</v>
      </c>
      <c r="H5786" s="1" t="str">
        <f t="shared" si="1855"/>
        <v>正常订单</v>
      </c>
      <c r="I5786" s="1" t="str">
        <f t="shared" si="1856"/>
        <v>已发货</v>
      </c>
      <c r="J5786" s="1" t="str">
        <f t="shared" si="1849"/>
        <v>3</v>
      </c>
      <c r="K5786" s="1">
        <v>3</v>
      </c>
      <c r="L5786" s="1" t="s">
        <v>96</v>
      </c>
      <c r="M5786" s="1" t="str">
        <f>"广西壮族自治区 桂林市 七星区 东江街道"</f>
        <v>广西壮族自治区 桂林市 七星区 东江街道</v>
      </c>
      <c r="N5786" s="1" t="str">
        <f t="shared" si="1851"/>
        <v>凡华云仓-韵达-抖音</v>
      </c>
      <c r="O5786" s="5">
        <v>320177488908861</v>
      </c>
      <c r="P5786" s="6">
        <v>0.34</v>
      </c>
      <c r="Q5786" s="11">
        <v>2.2999999999999998</v>
      </c>
      <c r="R5786" s="11"/>
      <c r="S5786" s="11"/>
      <c r="T5786" s="11"/>
      <c r="U5786" s="11">
        <f t="shared" si="1852"/>
        <v>2.2999999999999998</v>
      </c>
      <c r="W5786">
        <v>2.5</v>
      </c>
      <c r="X5786" s="1" t="s">
        <v>96</v>
      </c>
    </row>
    <row r="5787" spans="1:24" x14ac:dyDescent="0.25">
      <c r="A5787" s="1" t="str">
        <f t="shared" si="1853"/>
        <v>卡卡杜-凤凰仓</v>
      </c>
      <c r="B5787" s="1" t="str">
        <f>"CK2024101813374"</f>
        <v>CK2024101813374</v>
      </c>
      <c r="C5787" s="1" t="str">
        <f>"DD2024101816959"</f>
        <v>DD2024101816959</v>
      </c>
      <c r="D5787" s="1" t="str">
        <f>"CK2024101810319"</f>
        <v>CK2024101810319</v>
      </c>
      <c r="E5787" s="1" t="str">
        <f>"6935153909900580373"</f>
        <v>6935153909900580373</v>
      </c>
      <c r="F5787" s="1" t="str">
        <f t="shared" si="1854"/>
        <v>花都四部-凤凰仓</v>
      </c>
      <c r="G5787" s="1" t="str">
        <f t="shared" si="1850"/>
        <v>卡卡杜个人护理店（抖店）</v>
      </c>
      <c r="H5787" s="1" t="str">
        <f t="shared" si="1855"/>
        <v>正常订单</v>
      </c>
      <c r="I5787" s="1" t="str">
        <f t="shared" si="1856"/>
        <v>已发货</v>
      </c>
      <c r="J5787" s="1" t="str">
        <f t="shared" si="1849"/>
        <v>3</v>
      </c>
      <c r="K5787" s="1">
        <v>3</v>
      </c>
      <c r="L5787" s="1" t="s">
        <v>30</v>
      </c>
      <c r="M5787" s="1" t="str">
        <f>"山东省 临沂市 罗庄区 盛庄街道"</f>
        <v>山东省 临沂市 罗庄区 盛庄街道</v>
      </c>
      <c r="N5787" s="1" t="str">
        <f t="shared" si="1851"/>
        <v>凡华云仓-韵达-抖音</v>
      </c>
      <c r="O5787" s="5">
        <v>320177488908758</v>
      </c>
      <c r="P5787" s="6">
        <v>0.34</v>
      </c>
      <c r="Q5787" s="11">
        <v>2.2999999999999998</v>
      </c>
      <c r="R5787" s="11"/>
      <c r="S5787" s="11"/>
      <c r="T5787" s="11"/>
      <c r="U5787" s="11">
        <f t="shared" si="1852"/>
        <v>2.2999999999999998</v>
      </c>
      <c r="W5787">
        <v>2.5</v>
      </c>
      <c r="X5787" s="1" t="s">
        <v>30</v>
      </c>
    </row>
    <row r="5788" spans="1:24" x14ac:dyDescent="0.25">
      <c r="A5788" s="1" t="str">
        <f t="shared" si="1853"/>
        <v>卡卡杜-凤凰仓</v>
      </c>
      <c r="B5788" s="1" t="str">
        <f>"CK2024101813377"</f>
        <v>CK2024101813377</v>
      </c>
      <c r="C5788" s="1" t="str">
        <f>"DD2024101816961"</f>
        <v>DD2024101816961</v>
      </c>
      <c r="D5788" s="1" t="str">
        <f>"CK2024101810318"</f>
        <v>CK2024101810318</v>
      </c>
      <c r="E5788" s="1" t="str">
        <f>"6935153833836352646"</f>
        <v>6935153833836352646</v>
      </c>
      <c r="F5788" s="1" t="str">
        <f t="shared" si="1854"/>
        <v>花都四部-凤凰仓</v>
      </c>
      <c r="G5788" s="1" t="str">
        <f t="shared" si="1850"/>
        <v>卡卡杜个人护理店（抖店）</v>
      </c>
      <c r="H5788" s="1" t="str">
        <f t="shared" si="1855"/>
        <v>正常订单</v>
      </c>
      <c r="I5788" s="1" t="str">
        <f t="shared" si="1856"/>
        <v>已发货</v>
      </c>
      <c r="J5788" s="1" t="str">
        <f>"6"</f>
        <v>6</v>
      </c>
      <c r="K5788" s="1">
        <v>3</v>
      </c>
      <c r="L5788" s="1" t="s">
        <v>20</v>
      </c>
      <c r="M5788" s="1" t="str">
        <f>"浙江省 嘉兴市 南湖区 新嘉街道"</f>
        <v>浙江省 嘉兴市 南湖区 新嘉街道</v>
      </c>
      <c r="N5788" s="1" t="str">
        <f t="shared" si="1851"/>
        <v>凡华云仓-韵达-抖音</v>
      </c>
      <c r="O5788" s="5">
        <v>320177488908657</v>
      </c>
      <c r="P5788" s="6">
        <v>0.55000000000000004</v>
      </c>
      <c r="Q5788" s="11">
        <f>CEILING(P5788-0.5,0.1)*10*0.15+2.3</f>
        <v>2.4499999999999997</v>
      </c>
      <c r="R5788" s="11"/>
      <c r="S5788" s="11"/>
      <c r="T5788" s="11"/>
      <c r="U5788" s="11">
        <f t="shared" si="1852"/>
        <v>2.4499999999999997</v>
      </c>
      <c r="V5788" t="s">
        <v>15</v>
      </c>
      <c r="W5788">
        <v>2.4500000000000002</v>
      </c>
      <c r="X5788" s="1" t="s">
        <v>20</v>
      </c>
    </row>
    <row r="5789" spans="1:24" x14ac:dyDescent="0.25">
      <c r="A5789" s="1" t="str">
        <f t="shared" si="1853"/>
        <v>卡卡杜-凤凰仓</v>
      </c>
      <c r="B5789" s="1" t="str">
        <f>"CK2024101813378"</f>
        <v>CK2024101813378</v>
      </c>
      <c r="C5789" s="1" t="str">
        <f>"DD2024101816962"</f>
        <v>DD2024101816962</v>
      </c>
      <c r="D5789" s="1" t="str">
        <f>"CK2024101810317"</f>
        <v>CK2024101810317</v>
      </c>
      <c r="E5789" s="1" t="str">
        <f>"6935153934149096619"</f>
        <v>6935153934149096619</v>
      </c>
      <c r="F5789" s="1" t="str">
        <f t="shared" si="1854"/>
        <v>花都四部-凤凰仓</v>
      </c>
      <c r="G5789" s="1" t="str">
        <f t="shared" si="1850"/>
        <v>卡卡杜个人护理店（抖店）</v>
      </c>
      <c r="H5789" s="1" t="str">
        <f t="shared" si="1855"/>
        <v>正常订单</v>
      </c>
      <c r="I5789" s="1" t="str">
        <f t="shared" si="1856"/>
        <v>已发货</v>
      </c>
      <c r="J5789" s="1" t="str">
        <f t="shared" ref="J5789:J5797" si="1857">"3"</f>
        <v>3</v>
      </c>
      <c r="K5789" s="1">
        <v>3</v>
      </c>
      <c r="L5789" s="1" t="s">
        <v>30</v>
      </c>
      <c r="M5789" s="1" t="str">
        <f>"山东省 聊城市 冠县 清泉街道"</f>
        <v>山东省 聊城市 冠县 清泉街道</v>
      </c>
      <c r="N5789" s="1" t="str">
        <f t="shared" si="1851"/>
        <v>凡华云仓-韵达-抖音</v>
      </c>
      <c r="O5789" s="5">
        <v>320177488908558</v>
      </c>
      <c r="P5789" s="6">
        <v>0.34</v>
      </c>
      <c r="Q5789" s="11">
        <v>2.2999999999999998</v>
      </c>
      <c r="R5789" s="11"/>
      <c r="S5789" s="11"/>
      <c r="T5789" s="11"/>
      <c r="U5789" s="11">
        <f t="shared" si="1852"/>
        <v>2.2999999999999998</v>
      </c>
      <c r="W5789">
        <v>2.5</v>
      </c>
      <c r="X5789" s="1" t="s">
        <v>30</v>
      </c>
    </row>
    <row r="5790" spans="1:24" x14ac:dyDescent="0.25">
      <c r="A5790" s="1" t="str">
        <f t="shared" si="1853"/>
        <v>卡卡杜-凤凰仓</v>
      </c>
      <c r="B5790" s="1" t="str">
        <f>"CK2024101813379"</f>
        <v>CK2024101813379</v>
      </c>
      <c r="C5790" s="1" t="str">
        <f>"DD2024101816963"</f>
        <v>DD2024101816963</v>
      </c>
      <c r="D5790" s="1" t="str">
        <f>"CK2024101810316"</f>
        <v>CK2024101810316</v>
      </c>
      <c r="E5790" s="1" t="str">
        <f>"6935160888643818512"</f>
        <v>6935160888643818512</v>
      </c>
      <c r="F5790" s="1" t="str">
        <f t="shared" si="1854"/>
        <v>花都四部-凤凰仓</v>
      </c>
      <c r="G5790" s="1" t="str">
        <f t="shared" si="1850"/>
        <v>卡卡杜个人护理店（抖店）</v>
      </c>
      <c r="H5790" s="1" t="str">
        <f t="shared" si="1855"/>
        <v>正常订单</v>
      </c>
      <c r="I5790" s="1" t="str">
        <f t="shared" si="1856"/>
        <v>已发货</v>
      </c>
      <c r="J5790" s="1" t="str">
        <f t="shared" si="1857"/>
        <v>3</v>
      </c>
      <c r="K5790" s="1">
        <v>3</v>
      </c>
      <c r="L5790" s="1" t="s">
        <v>30</v>
      </c>
      <c r="M5790" s="1" t="str">
        <f>"山东省 潍坊市 奎文区 大虞街道"</f>
        <v>山东省 潍坊市 奎文区 大虞街道</v>
      </c>
      <c r="N5790" s="1" t="str">
        <f t="shared" si="1851"/>
        <v>凡华云仓-韵达-抖音</v>
      </c>
      <c r="O5790" s="5">
        <v>320177488908461</v>
      </c>
      <c r="P5790" s="6">
        <v>0.34</v>
      </c>
      <c r="Q5790" s="11">
        <v>2.2999999999999998</v>
      </c>
      <c r="R5790" s="11"/>
      <c r="S5790" s="11"/>
      <c r="T5790" s="11"/>
      <c r="U5790" s="11">
        <f t="shared" si="1852"/>
        <v>2.2999999999999998</v>
      </c>
      <c r="W5790">
        <v>2.5</v>
      </c>
      <c r="X5790" s="1" t="s">
        <v>30</v>
      </c>
    </row>
    <row r="5791" spans="1:24" x14ac:dyDescent="0.25">
      <c r="A5791" s="1" t="str">
        <f t="shared" si="1853"/>
        <v>卡卡杜-凤凰仓</v>
      </c>
      <c r="B5791" s="1" t="str">
        <f>"CK2024101813376"</f>
        <v>CK2024101813376</v>
      </c>
      <c r="C5791" s="1" t="str">
        <f>"DD2024101816960"</f>
        <v>DD2024101816960</v>
      </c>
      <c r="D5791" s="1" t="str">
        <f>"CK2024101810315"</f>
        <v>CK2024101810315</v>
      </c>
      <c r="E5791" s="1" t="str">
        <f>"6935145371428525290"</f>
        <v>6935145371428525290</v>
      </c>
      <c r="F5791" s="1" t="str">
        <f t="shared" si="1854"/>
        <v>花都四部-凤凰仓</v>
      </c>
      <c r="G5791" s="1" t="str">
        <f t="shared" si="1850"/>
        <v>卡卡杜个人护理店（抖店）</v>
      </c>
      <c r="H5791" s="1" t="str">
        <f t="shared" si="1855"/>
        <v>正常订单</v>
      </c>
      <c r="I5791" s="1" t="str">
        <f t="shared" si="1856"/>
        <v>已发货</v>
      </c>
      <c r="J5791" s="1" t="str">
        <f t="shared" si="1857"/>
        <v>3</v>
      </c>
      <c r="K5791" s="1">
        <v>3</v>
      </c>
      <c r="L5791" s="1" t="s">
        <v>13</v>
      </c>
      <c r="M5791" s="1" t="str">
        <f>"江苏省 镇江市 丹阳市 陵口镇"</f>
        <v>江苏省 镇江市 丹阳市 陵口镇</v>
      </c>
      <c r="N5791" s="1" t="str">
        <f t="shared" si="1851"/>
        <v>凡华云仓-韵达-抖音</v>
      </c>
      <c r="O5791" s="5">
        <v>320177480801409</v>
      </c>
      <c r="P5791" s="6">
        <v>0.34</v>
      </c>
      <c r="Q5791" s="11">
        <v>2.2999999999999998</v>
      </c>
      <c r="R5791" s="11"/>
      <c r="S5791" s="11"/>
      <c r="T5791" s="11"/>
      <c r="U5791" s="11">
        <f t="shared" si="1852"/>
        <v>2.2999999999999998</v>
      </c>
      <c r="W5791">
        <v>2.5</v>
      </c>
      <c r="X5791" s="1" t="s">
        <v>13</v>
      </c>
    </row>
    <row r="5792" spans="1:24" x14ac:dyDescent="0.25">
      <c r="A5792" s="1" t="str">
        <f t="shared" si="1853"/>
        <v>卡卡杜-凤凰仓</v>
      </c>
      <c r="B5792" s="1" t="str">
        <f>"CK2024101813380"</f>
        <v>CK2024101813380</v>
      </c>
      <c r="C5792" s="1" t="str">
        <f>"DD2024101816964"</f>
        <v>DD2024101816964</v>
      </c>
      <c r="D5792" s="1" t="str">
        <f>"CK2024101810314"</f>
        <v>CK2024101810314</v>
      </c>
      <c r="E5792" s="1" t="str">
        <f>"6935165222053614666"</f>
        <v>6935165222053614666</v>
      </c>
      <c r="F5792" s="1" t="str">
        <f t="shared" si="1854"/>
        <v>花都四部-凤凰仓</v>
      </c>
      <c r="G5792" s="1" t="str">
        <f t="shared" si="1850"/>
        <v>卡卡杜个人护理店（抖店）</v>
      </c>
      <c r="H5792" s="1" t="str">
        <f t="shared" si="1855"/>
        <v>正常订单</v>
      </c>
      <c r="I5792" s="1" t="str">
        <f t="shared" si="1856"/>
        <v>已发货</v>
      </c>
      <c r="J5792" s="1" t="str">
        <f t="shared" si="1857"/>
        <v>3</v>
      </c>
      <c r="K5792" s="1">
        <v>3</v>
      </c>
      <c r="L5792" s="1" t="s">
        <v>20</v>
      </c>
      <c r="M5792" s="1" t="str">
        <f>"浙江省 宁波市 海曙区 高桥镇"</f>
        <v>浙江省 宁波市 海曙区 高桥镇</v>
      </c>
      <c r="N5792" s="1" t="str">
        <f t="shared" si="1851"/>
        <v>凡华云仓-韵达-抖音</v>
      </c>
      <c r="O5792" s="5">
        <v>320177480801314</v>
      </c>
      <c r="P5792" s="6">
        <v>0.34</v>
      </c>
      <c r="Q5792" s="11">
        <v>2.2999999999999998</v>
      </c>
      <c r="R5792" s="11"/>
      <c r="S5792" s="11"/>
      <c r="T5792" s="11"/>
      <c r="U5792" s="11">
        <f t="shared" si="1852"/>
        <v>2.2999999999999998</v>
      </c>
      <c r="W5792">
        <v>2.5</v>
      </c>
      <c r="X5792" s="1" t="s">
        <v>20</v>
      </c>
    </row>
    <row r="5793" spans="1:24" x14ac:dyDescent="0.25">
      <c r="A5793" s="1" t="str">
        <f t="shared" si="1853"/>
        <v>卡卡杜-凤凰仓</v>
      </c>
      <c r="B5793" s="1" t="str">
        <f>"CK2024101813381"</f>
        <v>CK2024101813381</v>
      </c>
      <c r="C5793" s="1" t="str">
        <f>"DD2024101816965"</f>
        <v>DD2024101816965</v>
      </c>
      <c r="D5793" s="1" t="str">
        <f>"CK2024101810313"</f>
        <v>CK2024101810313</v>
      </c>
      <c r="E5793" s="1" t="str">
        <f>"6935160874201913244"</f>
        <v>6935160874201913244</v>
      </c>
      <c r="F5793" s="1" t="str">
        <f t="shared" si="1854"/>
        <v>花都四部-凤凰仓</v>
      </c>
      <c r="G5793" s="1" t="str">
        <f t="shared" si="1850"/>
        <v>卡卡杜个人护理店（抖店）</v>
      </c>
      <c r="H5793" s="1" t="str">
        <f t="shared" si="1855"/>
        <v>正常订单</v>
      </c>
      <c r="I5793" s="1" t="str">
        <f t="shared" si="1856"/>
        <v>已发货</v>
      </c>
      <c r="J5793" s="1" t="str">
        <f t="shared" si="1857"/>
        <v>3</v>
      </c>
      <c r="K5793" s="1">
        <v>3</v>
      </c>
      <c r="L5793" s="1" t="s">
        <v>80</v>
      </c>
      <c r="M5793" s="1" t="str">
        <f>"河南省 平顶山市 宝丰县 周庄镇"</f>
        <v>河南省 平顶山市 宝丰县 周庄镇</v>
      </c>
      <c r="N5793" s="1" t="str">
        <f t="shared" si="1851"/>
        <v>凡华云仓-韵达-抖音</v>
      </c>
      <c r="O5793" s="5">
        <v>320177480801221</v>
      </c>
      <c r="P5793" s="6">
        <v>0.34</v>
      </c>
      <c r="Q5793" s="11">
        <v>2.2999999999999998</v>
      </c>
      <c r="R5793" s="11"/>
      <c r="S5793" s="11"/>
      <c r="T5793" s="11"/>
      <c r="U5793" s="11">
        <f t="shared" si="1852"/>
        <v>2.2999999999999998</v>
      </c>
      <c r="W5793">
        <v>2.5</v>
      </c>
      <c r="X5793" s="1" t="s">
        <v>80</v>
      </c>
    </row>
    <row r="5794" spans="1:24" x14ac:dyDescent="0.25">
      <c r="A5794" s="1" t="str">
        <f t="shared" si="1853"/>
        <v>卡卡杜-凤凰仓</v>
      </c>
      <c r="B5794" s="1" t="str">
        <f>"CK2024101813382"</f>
        <v>CK2024101813382</v>
      </c>
      <c r="C5794" s="1" t="str">
        <f>"DD2024101816966"</f>
        <v>DD2024101816966</v>
      </c>
      <c r="D5794" s="1" t="str">
        <f>"CK2024101810312"</f>
        <v>CK2024101810312</v>
      </c>
      <c r="E5794" s="1" t="str">
        <f>"6935158319758054823"</f>
        <v>6935158319758054823</v>
      </c>
      <c r="F5794" s="1" t="str">
        <f t="shared" si="1854"/>
        <v>花都四部-凤凰仓</v>
      </c>
      <c r="G5794" s="1" t="str">
        <f t="shared" si="1850"/>
        <v>卡卡杜个人护理店（抖店）</v>
      </c>
      <c r="H5794" s="1" t="str">
        <f t="shared" si="1855"/>
        <v>正常订单</v>
      </c>
      <c r="I5794" s="1" t="str">
        <f t="shared" si="1856"/>
        <v>已发货</v>
      </c>
      <c r="J5794" s="1" t="str">
        <f t="shared" si="1857"/>
        <v>3</v>
      </c>
      <c r="K5794" s="1">
        <v>3</v>
      </c>
      <c r="L5794" s="1" t="s">
        <v>161</v>
      </c>
      <c r="M5794" s="1" t="str">
        <f>"四川省 成都市 龙泉驿区 大面街道"</f>
        <v>四川省 成都市 龙泉驿区 大面街道</v>
      </c>
      <c r="N5794" s="1" t="str">
        <f t="shared" si="1851"/>
        <v>凡华云仓-韵达-抖音</v>
      </c>
      <c r="O5794" s="5">
        <v>320177480801130</v>
      </c>
      <c r="P5794" s="6">
        <v>0.34</v>
      </c>
      <c r="Q5794" s="11">
        <v>2.2999999999999998</v>
      </c>
      <c r="R5794" s="11"/>
      <c r="S5794" s="11"/>
      <c r="T5794" s="11"/>
      <c r="U5794" s="11">
        <f t="shared" si="1852"/>
        <v>2.2999999999999998</v>
      </c>
      <c r="W5794">
        <v>2.5</v>
      </c>
      <c r="X5794" s="1" t="s">
        <v>161</v>
      </c>
    </row>
    <row r="5795" spans="1:24" x14ac:dyDescent="0.25">
      <c r="A5795" s="1" t="str">
        <f t="shared" si="1853"/>
        <v>卡卡杜-凤凰仓</v>
      </c>
      <c r="B5795" s="1" t="str">
        <f>"CK2024101813383"</f>
        <v>CK2024101813383</v>
      </c>
      <c r="C5795" s="1" t="str">
        <f>"DD2024101816967"</f>
        <v>DD2024101816967</v>
      </c>
      <c r="D5795" s="1" t="str">
        <f>"CK2024101810311"</f>
        <v>CK2024101810311</v>
      </c>
      <c r="E5795" s="1" t="str">
        <f>"6935153868320806696"</f>
        <v>6935153868320806696</v>
      </c>
      <c r="F5795" s="1" t="str">
        <f t="shared" si="1854"/>
        <v>花都四部-凤凰仓</v>
      </c>
      <c r="G5795" s="1" t="str">
        <f t="shared" si="1850"/>
        <v>卡卡杜个人护理店（抖店）</v>
      </c>
      <c r="H5795" s="1" t="str">
        <f t="shared" si="1855"/>
        <v>正常订单</v>
      </c>
      <c r="I5795" s="1" t="str">
        <f t="shared" si="1856"/>
        <v>已发货</v>
      </c>
      <c r="J5795" s="1" t="str">
        <f t="shared" si="1857"/>
        <v>3</v>
      </c>
      <c r="K5795" s="1">
        <v>3</v>
      </c>
      <c r="L5795" s="1" t="s">
        <v>13</v>
      </c>
      <c r="M5795" s="1" t="str">
        <f>"江苏省 苏州市 昆山市 花桥镇"</f>
        <v>江苏省 苏州市 昆山市 花桥镇</v>
      </c>
      <c r="N5795" s="1" t="str">
        <f t="shared" si="1851"/>
        <v>凡华云仓-韵达-抖音</v>
      </c>
      <c r="O5795" s="5">
        <v>320177480801041</v>
      </c>
      <c r="P5795" s="6">
        <v>0.34</v>
      </c>
      <c r="Q5795" s="11">
        <v>2.2999999999999998</v>
      </c>
      <c r="R5795" s="11"/>
      <c r="S5795" s="11"/>
      <c r="T5795" s="11"/>
      <c r="U5795" s="11">
        <f t="shared" si="1852"/>
        <v>2.2999999999999998</v>
      </c>
      <c r="W5795">
        <v>2.5</v>
      </c>
      <c r="X5795" s="1" t="s">
        <v>13</v>
      </c>
    </row>
    <row r="5796" spans="1:24" x14ac:dyDescent="0.25">
      <c r="A5796" s="1" t="str">
        <f t="shared" si="1853"/>
        <v>卡卡杜-凤凰仓</v>
      </c>
      <c r="B5796" s="1" t="str">
        <f>"CK2024101813384"</f>
        <v>CK2024101813384</v>
      </c>
      <c r="C5796" s="1" t="str">
        <f>"DD2024101816968"</f>
        <v>DD2024101816968</v>
      </c>
      <c r="D5796" s="1" t="str">
        <f>"CK2024101810310"</f>
        <v>CK2024101810310</v>
      </c>
      <c r="E5796" s="1" t="str">
        <f>"6935145271792244569"</f>
        <v>6935145271792244569</v>
      </c>
      <c r="F5796" s="1" t="str">
        <f t="shared" si="1854"/>
        <v>花都四部-凤凰仓</v>
      </c>
      <c r="G5796" s="1" t="str">
        <f t="shared" si="1850"/>
        <v>卡卡杜个人护理店（抖店）</v>
      </c>
      <c r="H5796" s="1" t="str">
        <f t="shared" si="1855"/>
        <v>正常订单</v>
      </c>
      <c r="I5796" s="1" t="str">
        <f t="shared" si="1856"/>
        <v>已发货</v>
      </c>
      <c r="J5796" s="1" t="str">
        <f t="shared" si="1857"/>
        <v>3</v>
      </c>
      <c r="K5796" s="1">
        <v>3</v>
      </c>
      <c r="L5796" s="1" t="s">
        <v>18</v>
      </c>
      <c r="M5796" s="1" t="str">
        <f>"广东省 佛山市 顺德区 "</f>
        <v xml:space="preserve">广东省 佛山市 顺德区 </v>
      </c>
      <c r="N5796" s="1" t="str">
        <f t="shared" si="1851"/>
        <v>凡华云仓-韵达-抖音</v>
      </c>
      <c r="O5796" s="5">
        <v>320177480800925</v>
      </c>
      <c r="P5796" s="6">
        <v>0.34</v>
      </c>
      <c r="Q5796" s="11">
        <v>2.2999999999999998</v>
      </c>
      <c r="R5796" s="11"/>
      <c r="S5796" s="11"/>
      <c r="T5796" s="11"/>
      <c r="U5796" s="11">
        <f t="shared" si="1852"/>
        <v>2.2999999999999998</v>
      </c>
      <c r="W5796">
        <v>2.5</v>
      </c>
      <c r="X5796" s="1" t="s">
        <v>18</v>
      </c>
    </row>
    <row r="5797" spans="1:24" x14ac:dyDescent="0.25">
      <c r="A5797" s="1" t="str">
        <f t="shared" si="1853"/>
        <v>卡卡杜-凤凰仓</v>
      </c>
      <c r="B5797" s="1" t="str">
        <f>"CK2024101813385"</f>
        <v>CK2024101813385</v>
      </c>
      <c r="C5797" s="1" t="str">
        <f>"DD2024101816969"</f>
        <v>DD2024101816969</v>
      </c>
      <c r="D5797" s="1" t="str">
        <f>"CK2024101810309"</f>
        <v>CK2024101810309</v>
      </c>
      <c r="E5797" s="1" t="str">
        <f>"6935162458428151297"</f>
        <v>6935162458428151297</v>
      </c>
      <c r="F5797" s="1" t="str">
        <f t="shared" si="1854"/>
        <v>花都四部-凤凰仓</v>
      </c>
      <c r="G5797" s="1" t="str">
        <f t="shared" si="1850"/>
        <v>卡卡杜个人护理店（抖店）</v>
      </c>
      <c r="H5797" s="1" t="str">
        <f t="shared" si="1855"/>
        <v>正常订单</v>
      </c>
      <c r="I5797" s="1" t="str">
        <f t="shared" si="1856"/>
        <v>已发货</v>
      </c>
      <c r="J5797" s="1" t="str">
        <f t="shared" si="1857"/>
        <v>3</v>
      </c>
      <c r="K5797" s="1">
        <v>3</v>
      </c>
      <c r="L5797" s="1" t="s">
        <v>60</v>
      </c>
      <c r="M5797" s="1" t="str">
        <f>"云南省 昆明市 五华区 莲华街道"</f>
        <v>云南省 昆明市 五华区 莲华街道</v>
      </c>
      <c r="N5797" s="1" t="str">
        <f t="shared" si="1851"/>
        <v>凡华云仓-韵达-抖音</v>
      </c>
      <c r="O5797" s="5">
        <v>320177480800820</v>
      </c>
      <c r="P5797" s="6">
        <v>0.34</v>
      </c>
      <c r="Q5797" s="11">
        <v>2.2999999999999998</v>
      </c>
      <c r="R5797" s="11"/>
      <c r="S5797" s="11"/>
      <c r="T5797" s="11"/>
      <c r="U5797" s="11">
        <f t="shared" si="1852"/>
        <v>2.2999999999999998</v>
      </c>
      <c r="W5797">
        <v>2.5</v>
      </c>
      <c r="X5797" s="1" t="s">
        <v>60</v>
      </c>
    </row>
    <row r="5798" spans="1:24" x14ac:dyDescent="0.25">
      <c r="A5798" s="1" t="str">
        <f t="shared" si="1853"/>
        <v>卡卡杜-凤凰仓</v>
      </c>
      <c r="B5798" s="1" t="str">
        <f>"CK2024101813403"</f>
        <v>CK2024101813403</v>
      </c>
      <c r="C5798" s="1" t="str">
        <f>"DD2024101816987"</f>
        <v>DD2024101816987</v>
      </c>
      <c r="D5798" s="1" t="str">
        <f>"CK2024101810308"</f>
        <v>CK2024101810308</v>
      </c>
      <c r="E5798" s="1" t="str">
        <f>"6935140681877624038"</f>
        <v>6935140681877624038</v>
      </c>
      <c r="F5798" s="1" t="str">
        <f t="shared" si="1854"/>
        <v>花都四部-凤凰仓</v>
      </c>
      <c r="G5798" s="1" t="str">
        <f t="shared" si="1850"/>
        <v>卡卡杜个人护理店（抖店）</v>
      </c>
      <c r="H5798" s="1" t="str">
        <f t="shared" si="1855"/>
        <v>正常订单</v>
      </c>
      <c r="I5798" s="1" t="str">
        <f t="shared" si="1856"/>
        <v>已发货</v>
      </c>
      <c r="J5798" s="1" t="str">
        <f>"1"</f>
        <v>1</v>
      </c>
      <c r="K5798" s="1">
        <v>1</v>
      </c>
      <c r="L5798" s="1" t="s">
        <v>30</v>
      </c>
      <c r="M5798" s="1" t="str">
        <f>"山东省 青岛市 城阳区 城阳街道"</f>
        <v>山东省 青岛市 城阳区 城阳街道</v>
      </c>
      <c r="N5798" s="1" t="str">
        <f t="shared" si="1851"/>
        <v>凡华云仓-韵达-抖音</v>
      </c>
      <c r="O5798" s="5">
        <v>320177480800717</v>
      </c>
      <c r="P5798" s="6">
        <v>0.12</v>
      </c>
      <c r="Q5798" s="11">
        <v>2</v>
      </c>
      <c r="R5798" s="11"/>
      <c r="S5798" s="11"/>
      <c r="T5798" s="11"/>
      <c r="U5798" s="11">
        <f t="shared" si="1852"/>
        <v>2</v>
      </c>
      <c r="W5798">
        <v>2.2000000000000002</v>
      </c>
      <c r="X5798" s="1" t="s">
        <v>30</v>
      </c>
    </row>
    <row r="5799" spans="1:24" x14ac:dyDescent="0.25">
      <c r="A5799" s="1" t="str">
        <f t="shared" si="1853"/>
        <v>卡卡杜-凤凰仓</v>
      </c>
      <c r="B5799" s="1" t="str">
        <f>"CK2024101813404"</f>
        <v>CK2024101813404</v>
      </c>
      <c r="C5799" s="1" t="str">
        <f>"DD2024101816988"</f>
        <v>DD2024101816988</v>
      </c>
      <c r="D5799" s="1" t="str">
        <f>"CK2024101810307"</f>
        <v>CK2024101810307</v>
      </c>
      <c r="E5799" s="1" t="str">
        <f>"6935157755077268932"</f>
        <v>6935157755077268932</v>
      </c>
      <c r="F5799" s="1" t="str">
        <f t="shared" si="1854"/>
        <v>花都四部-凤凰仓</v>
      </c>
      <c r="G5799" s="1" t="str">
        <f t="shared" si="1850"/>
        <v>卡卡杜个人护理店（抖店）</v>
      </c>
      <c r="H5799" s="1" t="str">
        <f t="shared" si="1855"/>
        <v>正常订单</v>
      </c>
      <c r="I5799" s="1" t="str">
        <f t="shared" si="1856"/>
        <v>已发货</v>
      </c>
      <c r="J5799" s="1" t="str">
        <f>"1"</f>
        <v>1</v>
      </c>
      <c r="K5799" s="1">
        <v>1</v>
      </c>
      <c r="L5799" s="1" t="s">
        <v>13</v>
      </c>
      <c r="M5799" s="1" t="str">
        <f>"江苏省 镇江市 句容市 黄梅街道"</f>
        <v>江苏省 镇江市 句容市 黄梅街道</v>
      </c>
      <c r="N5799" s="1" t="str">
        <f t="shared" si="1851"/>
        <v>凡华云仓-韵达-抖音</v>
      </c>
      <c r="O5799" s="5">
        <v>320177480800616</v>
      </c>
      <c r="P5799" s="6">
        <v>0.12</v>
      </c>
      <c r="Q5799" s="11">
        <v>2</v>
      </c>
      <c r="R5799" s="11"/>
      <c r="S5799" s="11"/>
      <c r="T5799" s="11"/>
      <c r="U5799" s="11">
        <f t="shared" si="1852"/>
        <v>2</v>
      </c>
      <c r="W5799">
        <v>2.2000000000000002</v>
      </c>
      <c r="X5799" s="1" t="s">
        <v>13</v>
      </c>
    </row>
    <row r="5800" spans="1:24" x14ac:dyDescent="0.25">
      <c r="A5800" s="1" t="str">
        <f t="shared" si="1853"/>
        <v>卡卡杜-凤凰仓</v>
      </c>
      <c r="B5800" s="1" t="str">
        <f>"CK2024101813386"</f>
        <v>CK2024101813386</v>
      </c>
      <c r="C5800" s="1" t="str">
        <f>"DD2024101816971"</f>
        <v>DD2024101816971</v>
      </c>
      <c r="D5800" s="1" t="str">
        <f>"CK2024101810306"</f>
        <v>CK2024101810306</v>
      </c>
      <c r="E5800" s="1" t="str">
        <f>"6935138440818333658"</f>
        <v>6935138440818333658</v>
      </c>
      <c r="F5800" s="1" t="str">
        <f t="shared" si="1854"/>
        <v>花都四部-凤凰仓</v>
      </c>
      <c r="G5800" s="1" t="str">
        <f t="shared" si="1850"/>
        <v>卡卡杜个人护理店（抖店）</v>
      </c>
      <c r="H5800" s="1" t="str">
        <f t="shared" si="1855"/>
        <v>正常订单</v>
      </c>
      <c r="I5800" s="1" t="str">
        <f t="shared" si="1856"/>
        <v>已发货</v>
      </c>
      <c r="J5800" s="1" t="str">
        <f t="shared" ref="J5800:J5805" si="1858">"3"</f>
        <v>3</v>
      </c>
      <c r="K5800" s="1">
        <v>3</v>
      </c>
      <c r="L5800" s="1" t="s">
        <v>74</v>
      </c>
      <c r="M5800" s="1" t="str">
        <f>"上海 上海市 宝山区 罗店镇"</f>
        <v>上海 上海市 宝山区 罗店镇</v>
      </c>
      <c r="N5800" s="1" t="str">
        <f t="shared" si="1851"/>
        <v>凡华云仓-韵达-抖音</v>
      </c>
      <c r="O5800" s="5">
        <v>320177480800517</v>
      </c>
      <c r="P5800" s="6">
        <v>0.34</v>
      </c>
      <c r="Q5800" s="11">
        <v>2.2999999999999998</v>
      </c>
      <c r="R5800" s="11"/>
      <c r="S5800" s="11"/>
      <c r="T5800" s="11"/>
      <c r="U5800" s="11">
        <f t="shared" si="1852"/>
        <v>2.2999999999999998</v>
      </c>
      <c r="W5800">
        <v>2.5</v>
      </c>
      <c r="X5800" s="1" t="s">
        <v>74</v>
      </c>
    </row>
    <row r="5801" spans="1:24" x14ac:dyDescent="0.25">
      <c r="A5801" s="1" t="str">
        <f t="shared" si="1853"/>
        <v>卡卡杜-凤凰仓</v>
      </c>
      <c r="B5801" s="1" t="str">
        <f>"CK2024101813387"</f>
        <v>CK2024101813387</v>
      </c>
      <c r="C5801" s="1" t="str">
        <f>"DD2024101816970"</f>
        <v>DD2024101816970</v>
      </c>
      <c r="D5801" s="1" t="str">
        <f>"CK2024101810305"</f>
        <v>CK2024101810305</v>
      </c>
      <c r="E5801" s="1" t="str">
        <f>"6935144579044480296"</f>
        <v>6935144579044480296</v>
      </c>
      <c r="F5801" s="1" t="str">
        <f t="shared" si="1854"/>
        <v>花都四部-凤凰仓</v>
      </c>
      <c r="G5801" s="1" t="str">
        <f t="shared" si="1850"/>
        <v>卡卡杜个人护理店（抖店）</v>
      </c>
      <c r="H5801" s="1" t="str">
        <f t="shared" si="1855"/>
        <v>正常订单</v>
      </c>
      <c r="I5801" s="1" t="str">
        <f t="shared" si="1856"/>
        <v>已发货</v>
      </c>
      <c r="J5801" s="1" t="str">
        <f t="shared" si="1858"/>
        <v>3</v>
      </c>
      <c r="K5801" s="1">
        <v>3</v>
      </c>
      <c r="L5801" s="1" t="s">
        <v>13</v>
      </c>
      <c r="M5801" s="1" t="str">
        <f>"江苏省 南京市 建邺区 沙洲街道"</f>
        <v>江苏省 南京市 建邺区 沙洲街道</v>
      </c>
      <c r="N5801" s="1" t="str">
        <f t="shared" si="1851"/>
        <v>凡华云仓-韵达-抖音</v>
      </c>
      <c r="O5801" s="5">
        <v>320177476948327</v>
      </c>
      <c r="P5801" s="6">
        <v>0.34</v>
      </c>
      <c r="Q5801" s="11">
        <v>2.2999999999999998</v>
      </c>
      <c r="R5801" s="11"/>
      <c r="S5801" s="11"/>
      <c r="T5801" s="11"/>
      <c r="U5801" s="11">
        <f t="shared" si="1852"/>
        <v>2.2999999999999998</v>
      </c>
      <c r="W5801">
        <v>2.5</v>
      </c>
      <c r="X5801" s="1" t="s">
        <v>13</v>
      </c>
    </row>
    <row r="5802" spans="1:24" x14ac:dyDescent="0.25">
      <c r="A5802" s="1" t="str">
        <f t="shared" si="1853"/>
        <v>卡卡杜-凤凰仓</v>
      </c>
      <c r="B5802" s="1" t="str">
        <f>"CK202410183653"</f>
        <v>CK202410183653</v>
      </c>
      <c r="C5802" s="1" t="str">
        <f>"DD2024101811773"</f>
        <v>DD2024101811773</v>
      </c>
      <c r="D5802" s="1" t="str">
        <f>"CK2024101810282"</f>
        <v>CK2024101810282</v>
      </c>
      <c r="E5802" s="1" t="str">
        <f>"2429202090819868"</f>
        <v>2429202090819868</v>
      </c>
      <c r="F5802" s="1" t="str">
        <f t="shared" si="1854"/>
        <v>花都四部-凤凰仓</v>
      </c>
      <c r="G5802" s="1" t="str">
        <f t="shared" ref="G5802:G5811" si="1859">"卡卡杜佳旺专卖店（快手店）"</f>
        <v>卡卡杜佳旺专卖店（快手店）</v>
      </c>
      <c r="H5802" s="1" t="str">
        <f t="shared" si="1855"/>
        <v>正常订单</v>
      </c>
      <c r="I5802" s="1" t="str">
        <f t="shared" si="1856"/>
        <v>已发货</v>
      </c>
      <c r="J5802" s="1" t="str">
        <f t="shared" si="1858"/>
        <v>3</v>
      </c>
      <c r="K5802" s="1">
        <v>2</v>
      </c>
      <c r="L5802" s="1" t="s">
        <v>36</v>
      </c>
      <c r="M5802" s="1" t="str">
        <f>"安徽省 合肥市 肥西县 桃花镇"</f>
        <v>安徽省 合肥市 肥西县 桃花镇</v>
      </c>
      <c r="N5802" s="1" t="str">
        <f t="shared" ref="N5802:N5811" si="1860">"凡华云仓-韵达-快手"</f>
        <v>凡华云仓-韵达-快手</v>
      </c>
      <c r="O5802" s="5">
        <v>319208327999864</v>
      </c>
      <c r="P5802" s="6">
        <v>0.35</v>
      </c>
      <c r="Q5802" s="11">
        <v>2.2999999999999998</v>
      </c>
      <c r="R5802" s="11"/>
      <c r="S5802" s="11"/>
      <c r="T5802" s="11"/>
      <c r="U5802" s="11">
        <f t="shared" si="1852"/>
        <v>2.2999999999999998</v>
      </c>
      <c r="W5802">
        <v>2.5</v>
      </c>
      <c r="X5802" s="1" t="s">
        <v>36</v>
      </c>
    </row>
    <row r="5803" spans="1:24" x14ac:dyDescent="0.25">
      <c r="A5803" s="1" t="str">
        <f t="shared" si="1853"/>
        <v>卡卡杜-凤凰仓</v>
      </c>
      <c r="B5803" s="1" t="str">
        <f>"CK202410183643"</f>
        <v>CK202410183643</v>
      </c>
      <c r="C5803" s="1" t="str">
        <f>"DD2024101811761"</f>
        <v>DD2024101811761</v>
      </c>
      <c r="D5803" s="1" t="str">
        <f>"CK2024101810281"</f>
        <v>CK2024101810281</v>
      </c>
      <c r="E5803" s="1" t="str">
        <f>"2429101773690643"</f>
        <v>2429101773690643</v>
      </c>
      <c r="F5803" s="1" t="str">
        <f t="shared" si="1854"/>
        <v>花都四部-凤凰仓</v>
      </c>
      <c r="G5803" s="1" t="str">
        <f t="shared" si="1859"/>
        <v>卡卡杜佳旺专卖店（快手店）</v>
      </c>
      <c r="H5803" s="1" t="str">
        <f t="shared" si="1855"/>
        <v>正常订单</v>
      </c>
      <c r="I5803" s="1" t="str">
        <f t="shared" si="1856"/>
        <v>已发货</v>
      </c>
      <c r="J5803" s="1" t="str">
        <f t="shared" si="1858"/>
        <v>3</v>
      </c>
      <c r="K5803" s="1">
        <v>2</v>
      </c>
      <c r="L5803" s="1" t="s">
        <v>66</v>
      </c>
      <c r="M5803" s="1" t="str">
        <f>"内蒙古自治区 包头市 东河区 和平路街道"</f>
        <v>内蒙古自治区 包头市 东河区 和平路街道</v>
      </c>
      <c r="N5803" s="1" t="str">
        <f t="shared" si="1860"/>
        <v>凡华云仓-韵达-快手</v>
      </c>
      <c r="O5803" s="5">
        <v>319208170179408</v>
      </c>
      <c r="P5803" s="6">
        <v>0.35</v>
      </c>
      <c r="Q5803" s="11">
        <v>2.2999999999999998</v>
      </c>
      <c r="R5803" s="11"/>
      <c r="S5803" s="11"/>
      <c r="T5803" s="11"/>
      <c r="U5803" s="11">
        <f t="shared" si="1852"/>
        <v>2.2999999999999998</v>
      </c>
      <c r="W5803">
        <v>2.5</v>
      </c>
      <c r="X5803" s="1" t="s">
        <v>66</v>
      </c>
    </row>
    <row r="5804" spans="1:24" x14ac:dyDescent="0.25">
      <c r="A5804" s="1" t="str">
        <f t="shared" si="1853"/>
        <v>卡卡杜-凤凰仓</v>
      </c>
      <c r="B5804" s="1" t="str">
        <f>"CK202410183647"</f>
        <v>CK202410183647</v>
      </c>
      <c r="C5804" s="1" t="str">
        <f>"DD2024101811768"</f>
        <v>DD2024101811768</v>
      </c>
      <c r="D5804" s="1" t="str">
        <f>"CK2024101810280"</f>
        <v>CK2024101810280</v>
      </c>
      <c r="E5804" s="1" t="str">
        <f>"2429101619890625"</f>
        <v>2429101619890625</v>
      </c>
      <c r="F5804" s="1" t="str">
        <f t="shared" si="1854"/>
        <v>花都四部-凤凰仓</v>
      </c>
      <c r="G5804" s="1" t="str">
        <f t="shared" si="1859"/>
        <v>卡卡杜佳旺专卖店（快手店）</v>
      </c>
      <c r="H5804" s="1" t="str">
        <f t="shared" si="1855"/>
        <v>正常订单</v>
      </c>
      <c r="I5804" s="1" t="str">
        <f t="shared" si="1856"/>
        <v>已发货</v>
      </c>
      <c r="J5804" s="1" t="str">
        <f t="shared" si="1858"/>
        <v>3</v>
      </c>
      <c r="K5804" s="1">
        <v>2</v>
      </c>
      <c r="L5804" s="1" t="s">
        <v>96</v>
      </c>
      <c r="M5804" s="1" t="str">
        <f>"广西壮族自治区 玉林市 玉州区 玉城街道"</f>
        <v>广西壮族自治区 玉林市 玉州区 玉城街道</v>
      </c>
      <c r="N5804" s="1" t="str">
        <f t="shared" si="1860"/>
        <v>凡华云仓-韵达-快手</v>
      </c>
      <c r="O5804" s="5">
        <v>319207878525156</v>
      </c>
      <c r="P5804" s="6">
        <v>0.35</v>
      </c>
      <c r="Q5804" s="11">
        <v>2.2999999999999998</v>
      </c>
      <c r="R5804" s="11"/>
      <c r="S5804" s="11"/>
      <c r="T5804" s="11"/>
      <c r="U5804" s="11">
        <f t="shared" si="1852"/>
        <v>2.2999999999999998</v>
      </c>
      <c r="W5804">
        <v>2.5</v>
      </c>
      <c r="X5804" s="1" t="s">
        <v>96</v>
      </c>
    </row>
    <row r="5805" spans="1:24" x14ac:dyDescent="0.25">
      <c r="A5805" s="1" t="str">
        <f t="shared" si="1853"/>
        <v>卡卡杜-凤凰仓</v>
      </c>
      <c r="B5805" s="1" t="str">
        <f>"CK202410183650"</f>
        <v>CK202410183650</v>
      </c>
      <c r="C5805" s="1" t="str">
        <f>"DD2024101811769"</f>
        <v>DD2024101811769</v>
      </c>
      <c r="D5805" s="1" t="str">
        <f>"CK2024101810279"</f>
        <v>CK2024101810279</v>
      </c>
      <c r="E5805" s="1" t="str">
        <f>"2429102176706327"</f>
        <v>2429102176706327</v>
      </c>
      <c r="F5805" s="1" t="str">
        <f t="shared" si="1854"/>
        <v>花都四部-凤凰仓</v>
      </c>
      <c r="G5805" s="1" t="str">
        <f t="shared" si="1859"/>
        <v>卡卡杜佳旺专卖店（快手店）</v>
      </c>
      <c r="H5805" s="1" t="str">
        <f t="shared" si="1855"/>
        <v>正常订单</v>
      </c>
      <c r="I5805" s="1" t="str">
        <f t="shared" si="1856"/>
        <v>已发货</v>
      </c>
      <c r="J5805" s="1" t="str">
        <f t="shared" si="1858"/>
        <v>3</v>
      </c>
      <c r="K5805" s="1">
        <v>2</v>
      </c>
      <c r="L5805" s="1" t="s">
        <v>18</v>
      </c>
      <c r="M5805" s="1" t="str">
        <f>"广东省 广州市 花都区 花东镇"</f>
        <v>广东省 广州市 花都区 花东镇</v>
      </c>
      <c r="N5805" s="1" t="str">
        <f t="shared" si="1860"/>
        <v>凡华云仓-韵达-快手</v>
      </c>
      <c r="O5805" s="5">
        <v>319208520043710</v>
      </c>
      <c r="P5805" s="6">
        <v>0.35</v>
      </c>
      <c r="Q5805" s="11">
        <v>2.2999999999999998</v>
      </c>
      <c r="R5805" s="11"/>
      <c r="S5805" s="11"/>
      <c r="T5805" s="11"/>
      <c r="U5805" s="11">
        <f t="shared" si="1852"/>
        <v>2.2999999999999998</v>
      </c>
      <c r="W5805">
        <v>2.5</v>
      </c>
      <c r="X5805" s="1" t="s">
        <v>18</v>
      </c>
    </row>
    <row r="5806" spans="1:24" x14ac:dyDescent="0.25">
      <c r="A5806" s="1" t="str">
        <f t="shared" si="1853"/>
        <v>卡卡杜-凤凰仓</v>
      </c>
      <c r="B5806" s="1" t="str">
        <f>"CK202410183625"</f>
        <v>CK202410183625</v>
      </c>
      <c r="C5806" s="1" t="str">
        <f>"DD2024101811745"</f>
        <v>DD2024101811745</v>
      </c>
      <c r="D5806" s="1" t="str">
        <f>"CK2024101810278"</f>
        <v>CK2024101810278</v>
      </c>
      <c r="E5806" s="1" t="str">
        <f>"2429101710467211"</f>
        <v>2429101710467211</v>
      </c>
      <c r="F5806" s="1" t="str">
        <f t="shared" si="1854"/>
        <v>花都四部-凤凰仓</v>
      </c>
      <c r="G5806" s="1" t="str">
        <f t="shared" si="1859"/>
        <v>卡卡杜佳旺专卖店（快手店）</v>
      </c>
      <c r="H5806" s="1" t="str">
        <f t="shared" si="1855"/>
        <v>正常订单</v>
      </c>
      <c r="I5806" s="1" t="str">
        <f t="shared" si="1856"/>
        <v>已发货</v>
      </c>
      <c r="J5806" s="1" t="str">
        <f>"6"</f>
        <v>6</v>
      </c>
      <c r="K5806" s="1">
        <v>2</v>
      </c>
      <c r="L5806" s="1" t="s">
        <v>20</v>
      </c>
      <c r="M5806" s="1" t="str">
        <f>"浙江省 宁波市 鄞州区 姜山镇"</f>
        <v>浙江省 宁波市 鄞州区 姜山镇</v>
      </c>
      <c r="N5806" s="1" t="str">
        <f t="shared" si="1860"/>
        <v>凡华云仓-韵达-快手</v>
      </c>
      <c r="O5806" s="5">
        <v>319208689359075</v>
      </c>
      <c r="P5806" s="6">
        <v>0.57999999999999996</v>
      </c>
      <c r="Q5806" s="11">
        <f>CEILING(P5806-0.5,0.1)*10*0.15+2.3</f>
        <v>2.4499999999999997</v>
      </c>
      <c r="R5806" s="11"/>
      <c r="S5806" s="11"/>
      <c r="T5806" s="11"/>
      <c r="U5806" s="11">
        <f t="shared" si="1852"/>
        <v>2.4499999999999997</v>
      </c>
      <c r="V5806" t="s">
        <v>15</v>
      </c>
      <c r="W5806">
        <v>2.4500000000000002</v>
      </c>
      <c r="X5806" s="1" t="s">
        <v>20</v>
      </c>
    </row>
    <row r="5807" spans="1:24" x14ac:dyDescent="0.25">
      <c r="A5807" s="1" t="str">
        <f t="shared" si="1853"/>
        <v>卡卡杜-凤凰仓</v>
      </c>
      <c r="B5807" s="1" t="str">
        <f>"CK202410183660"</f>
        <v>CK202410183660</v>
      </c>
      <c r="C5807" s="1" t="str">
        <f>"DD2024101811779"</f>
        <v>DD2024101811779</v>
      </c>
      <c r="D5807" s="1" t="str">
        <f>"CK2024101810277"</f>
        <v>CK2024101810277</v>
      </c>
      <c r="E5807" s="1" t="str">
        <f>"2429102802051527"</f>
        <v>2429102802051527</v>
      </c>
      <c r="F5807" s="1" t="str">
        <f t="shared" si="1854"/>
        <v>花都四部-凤凰仓</v>
      </c>
      <c r="G5807" s="1" t="str">
        <f t="shared" si="1859"/>
        <v>卡卡杜佳旺专卖店（快手店）</v>
      </c>
      <c r="H5807" s="1" t="str">
        <f t="shared" si="1855"/>
        <v>正常订单</v>
      </c>
      <c r="I5807" s="1" t="str">
        <f t="shared" si="1856"/>
        <v>已发货</v>
      </c>
      <c r="J5807" s="1" t="str">
        <f t="shared" ref="J5807:J5845" si="1861">"3"</f>
        <v>3</v>
      </c>
      <c r="K5807" s="1">
        <v>2</v>
      </c>
      <c r="L5807" s="1" t="s">
        <v>44</v>
      </c>
      <c r="M5807" s="1" t="str">
        <f>"海南省 省直辖县级行政区划 文昌市 文城镇"</f>
        <v>海南省 省直辖县级行政区划 文昌市 文城镇</v>
      </c>
      <c r="N5807" s="1" t="str">
        <f t="shared" si="1860"/>
        <v>凡华云仓-韵达-快手</v>
      </c>
      <c r="O5807" s="5">
        <v>319208429503018</v>
      </c>
      <c r="P5807" s="6">
        <v>0.35</v>
      </c>
      <c r="Q5807" s="11">
        <v>2.2999999999999998</v>
      </c>
      <c r="R5807" s="11"/>
      <c r="S5807" s="11"/>
      <c r="T5807" s="11"/>
      <c r="U5807" s="11">
        <f t="shared" si="1852"/>
        <v>2.2999999999999998</v>
      </c>
      <c r="W5807">
        <v>2.5</v>
      </c>
      <c r="X5807" s="1" t="s">
        <v>44</v>
      </c>
    </row>
    <row r="5808" spans="1:24" x14ac:dyDescent="0.25">
      <c r="A5808" s="1" t="str">
        <f t="shared" si="1853"/>
        <v>卡卡杜-凤凰仓</v>
      </c>
      <c r="B5808" s="1" t="str">
        <f>"CK202410183655"</f>
        <v>CK202410183655</v>
      </c>
      <c r="C5808" s="1" t="str">
        <f>"DD2024101811771"</f>
        <v>DD2024101811771</v>
      </c>
      <c r="D5808" s="1" t="str">
        <f>"CK2024101810276"</f>
        <v>CK2024101810276</v>
      </c>
      <c r="E5808" s="1" t="str">
        <f>"2429102320290239"</f>
        <v>2429102320290239</v>
      </c>
      <c r="F5808" s="1" t="str">
        <f t="shared" si="1854"/>
        <v>花都四部-凤凰仓</v>
      </c>
      <c r="G5808" s="1" t="str">
        <f t="shared" si="1859"/>
        <v>卡卡杜佳旺专卖店（快手店）</v>
      </c>
      <c r="H5808" s="1" t="str">
        <f t="shared" si="1855"/>
        <v>正常订单</v>
      </c>
      <c r="I5808" s="1" t="str">
        <f t="shared" si="1856"/>
        <v>已发货</v>
      </c>
      <c r="J5808" s="1" t="str">
        <f t="shared" si="1861"/>
        <v>3</v>
      </c>
      <c r="K5808" s="1">
        <v>2</v>
      </c>
      <c r="L5808" s="1" t="s">
        <v>13</v>
      </c>
      <c r="M5808" s="1" t="str">
        <f>"江苏省 苏州市 常熟市 古里镇"</f>
        <v>江苏省 苏州市 常熟市 古里镇</v>
      </c>
      <c r="N5808" s="1" t="str">
        <f t="shared" si="1860"/>
        <v>凡华云仓-韵达-快手</v>
      </c>
      <c r="O5808" s="5">
        <v>319208428502020</v>
      </c>
      <c r="P5808" s="6">
        <v>0.35</v>
      </c>
      <c r="Q5808" s="11">
        <v>2.2999999999999998</v>
      </c>
      <c r="R5808" s="11"/>
      <c r="S5808" s="11"/>
      <c r="T5808" s="11"/>
      <c r="U5808" s="11">
        <f t="shared" si="1852"/>
        <v>2.2999999999999998</v>
      </c>
      <c r="W5808">
        <v>2.5</v>
      </c>
      <c r="X5808" s="1" t="s">
        <v>13</v>
      </c>
    </row>
    <row r="5809" spans="1:24" x14ac:dyDescent="0.25">
      <c r="A5809" s="1" t="str">
        <f t="shared" si="1853"/>
        <v>卡卡杜-凤凰仓</v>
      </c>
      <c r="B5809" s="1" t="str">
        <f>"CK202410183656"</f>
        <v>CK202410183656</v>
      </c>
      <c r="C5809" s="1" t="str">
        <f>"DD2024101811775"</f>
        <v>DD2024101811775</v>
      </c>
      <c r="D5809" s="1" t="str">
        <f>"CK2024101810275"</f>
        <v>CK2024101810275</v>
      </c>
      <c r="E5809" s="1" t="str">
        <f>"2429202161632001"</f>
        <v>2429202161632001</v>
      </c>
      <c r="F5809" s="1" t="str">
        <f t="shared" si="1854"/>
        <v>花都四部-凤凰仓</v>
      </c>
      <c r="G5809" s="1" t="str">
        <f t="shared" si="1859"/>
        <v>卡卡杜佳旺专卖店（快手店）</v>
      </c>
      <c r="H5809" s="1" t="str">
        <f t="shared" si="1855"/>
        <v>正常订单</v>
      </c>
      <c r="I5809" s="1" t="str">
        <f t="shared" si="1856"/>
        <v>已发货</v>
      </c>
      <c r="J5809" s="1" t="str">
        <f t="shared" si="1861"/>
        <v>3</v>
      </c>
      <c r="K5809" s="1">
        <v>2</v>
      </c>
      <c r="L5809" s="1" t="s">
        <v>22</v>
      </c>
      <c r="M5809" s="1" t="str">
        <f>"江西省 南昌市 青山湖区 青山路街道"</f>
        <v>江西省 南昌市 青山湖区 青山路街道</v>
      </c>
      <c r="N5809" s="1" t="str">
        <f t="shared" si="1860"/>
        <v>凡华云仓-韵达-快手</v>
      </c>
      <c r="O5809" s="5">
        <v>319208429502398</v>
      </c>
      <c r="P5809" s="6">
        <v>0.35</v>
      </c>
      <c r="Q5809" s="11">
        <v>2.2999999999999998</v>
      </c>
      <c r="R5809" s="11"/>
      <c r="S5809" s="11"/>
      <c r="T5809" s="11"/>
      <c r="U5809" s="11">
        <f t="shared" si="1852"/>
        <v>2.2999999999999998</v>
      </c>
      <c r="W5809">
        <v>2.5</v>
      </c>
      <c r="X5809" s="1" t="s">
        <v>22</v>
      </c>
    </row>
    <row r="5810" spans="1:24" x14ac:dyDescent="0.25">
      <c r="A5810" s="1" t="str">
        <f t="shared" si="1853"/>
        <v>卡卡杜-凤凰仓</v>
      </c>
      <c r="B5810" s="1" t="str">
        <f>"CK202410183642"</f>
        <v>CK202410183642</v>
      </c>
      <c r="C5810" s="1" t="str">
        <f>"DD2024101811759"</f>
        <v>DD2024101811759</v>
      </c>
      <c r="D5810" s="1" t="str">
        <f>"CK2024101810274"</f>
        <v>CK2024101810274</v>
      </c>
      <c r="E5810" s="1" t="str">
        <f>"2429102402578325"</f>
        <v>2429102402578325</v>
      </c>
      <c r="F5810" s="1" t="str">
        <f t="shared" si="1854"/>
        <v>花都四部-凤凰仓</v>
      </c>
      <c r="G5810" s="1" t="str">
        <f t="shared" si="1859"/>
        <v>卡卡杜佳旺专卖店（快手店）</v>
      </c>
      <c r="H5810" s="1" t="str">
        <f t="shared" si="1855"/>
        <v>正常订单</v>
      </c>
      <c r="I5810" s="1" t="str">
        <f t="shared" si="1856"/>
        <v>已发货</v>
      </c>
      <c r="J5810" s="1" t="str">
        <f t="shared" si="1861"/>
        <v>3</v>
      </c>
      <c r="K5810" s="1">
        <v>2</v>
      </c>
      <c r="L5810" s="1" t="s">
        <v>13</v>
      </c>
      <c r="M5810" s="1" t="str">
        <f>"江苏省 淮安市 淮安区 淮城街道"</f>
        <v>江苏省 淮安市 淮安区 淮城街道</v>
      </c>
      <c r="N5810" s="1" t="str">
        <f t="shared" si="1860"/>
        <v>凡华云仓-韵达-快手</v>
      </c>
      <c r="O5810" s="5">
        <v>319208328024896</v>
      </c>
      <c r="P5810" s="6">
        <v>0.35</v>
      </c>
      <c r="Q5810" s="11">
        <v>2.2999999999999998</v>
      </c>
      <c r="R5810" s="11"/>
      <c r="S5810" s="11"/>
      <c r="T5810" s="11"/>
      <c r="U5810" s="11">
        <f t="shared" si="1852"/>
        <v>2.2999999999999998</v>
      </c>
      <c r="W5810">
        <v>2.5</v>
      </c>
      <c r="X5810" s="1" t="s">
        <v>13</v>
      </c>
    </row>
    <row r="5811" spans="1:24" x14ac:dyDescent="0.25">
      <c r="A5811" s="1" t="str">
        <f t="shared" si="1853"/>
        <v>卡卡杜-凤凰仓</v>
      </c>
      <c r="B5811" s="1" t="str">
        <f>"CK202410183669"</f>
        <v>CK202410183669</v>
      </c>
      <c r="C5811" s="1" t="str">
        <f>"DD2024101811788"</f>
        <v>DD2024101811788</v>
      </c>
      <c r="D5811" s="1" t="str">
        <f>"CK2024101810273"</f>
        <v>CK2024101810273</v>
      </c>
      <c r="E5811" s="1" t="str">
        <f>"2429102404259543"</f>
        <v>2429102404259543</v>
      </c>
      <c r="F5811" s="1" t="str">
        <f t="shared" si="1854"/>
        <v>花都四部-凤凰仓</v>
      </c>
      <c r="G5811" s="1" t="str">
        <f t="shared" si="1859"/>
        <v>卡卡杜佳旺专卖店（快手店）</v>
      </c>
      <c r="H5811" s="1" t="str">
        <f t="shared" si="1855"/>
        <v>正常订单</v>
      </c>
      <c r="I5811" s="1" t="str">
        <f t="shared" si="1856"/>
        <v>已发货</v>
      </c>
      <c r="J5811" s="1" t="str">
        <f t="shared" si="1861"/>
        <v>3</v>
      </c>
      <c r="K5811" s="1">
        <v>2</v>
      </c>
      <c r="L5811" s="1" t="s">
        <v>18</v>
      </c>
      <c r="M5811" s="1" t="str">
        <f>"广东省 深圳市 宝安区 福海街道"</f>
        <v>广东省 深圳市 宝安区 福海街道</v>
      </c>
      <c r="N5811" s="1" t="str">
        <f t="shared" si="1860"/>
        <v>凡华云仓-韵达-快手</v>
      </c>
      <c r="O5811" s="5">
        <v>319208519161593</v>
      </c>
      <c r="P5811" s="6">
        <v>0.35</v>
      </c>
      <c r="Q5811" s="11">
        <v>2.2999999999999998</v>
      </c>
      <c r="R5811" s="11"/>
      <c r="S5811" s="11"/>
      <c r="T5811" s="11"/>
      <c r="U5811" s="11">
        <f t="shared" si="1852"/>
        <v>2.2999999999999998</v>
      </c>
      <c r="W5811">
        <v>2.5</v>
      </c>
      <c r="X5811" s="1" t="s">
        <v>18</v>
      </c>
    </row>
    <row r="5812" spans="1:24" x14ac:dyDescent="0.25">
      <c r="A5812" s="1" t="str">
        <f t="shared" si="1853"/>
        <v>卡卡杜-凤凰仓</v>
      </c>
      <c r="B5812" s="1" t="str">
        <f>"CK202410183665"</f>
        <v>CK202410183665</v>
      </c>
      <c r="C5812" s="1" t="str">
        <f>"DD2024101811785"</f>
        <v>DD2024101811785</v>
      </c>
      <c r="D5812" s="1" t="str">
        <f>"CK2024101810272"</f>
        <v>CK2024101810272</v>
      </c>
      <c r="E5812" s="1" t="str">
        <f>"6935163005943354585"</f>
        <v>6935163005943354585</v>
      </c>
      <c r="F5812" s="1" t="str">
        <f t="shared" si="1854"/>
        <v>花都四部-凤凰仓</v>
      </c>
      <c r="G5812" s="1" t="str">
        <f t="shared" ref="G5812:G5875" si="1862">"卡卡杜个人护理店（抖店）"</f>
        <v>卡卡杜个人护理店（抖店）</v>
      </c>
      <c r="H5812" s="1" t="str">
        <f t="shared" si="1855"/>
        <v>正常订单</v>
      </c>
      <c r="I5812" s="1" t="str">
        <f t="shared" si="1856"/>
        <v>已发货</v>
      </c>
      <c r="J5812" s="1" t="str">
        <f t="shared" si="1861"/>
        <v>3</v>
      </c>
      <c r="K5812" s="1">
        <v>2</v>
      </c>
      <c r="L5812" s="1" t="s">
        <v>18</v>
      </c>
      <c r="M5812" s="1" t="str">
        <f>"广东省 广州市 天河区 黄村街道"</f>
        <v>广东省 广州市 天河区 黄村街道</v>
      </c>
      <c r="N5812" s="1" t="str">
        <f t="shared" ref="N5812:N5875" si="1863">"凡华云仓-韵达-抖音"</f>
        <v>凡华云仓-韵达-抖音</v>
      </c>
      <c r="O5812" s="5">
        <v>320177476948234</v>
      </c>
      <c r="P5812" s="6">
        <v>0.35</v>
      </c>
      <c r="Q5812" s="11">
        <v>2.2999999999999998</v>
      </c>
      <c r="R5812" s="11"/>
      <c r="S5812" s="11"/>
      <c r="T5812" s="11"/>
      <c r="U5812" s="11">
        <f t="shared" si="1852"/>
        <v>2.2999999999999998</v>
      </c>
      <c r="W5812">
        <v>2.5</v>
      </c>
      <c r="X5812" s="1" t="s">
        <v>18</v>
      </c>
    </row>
    <row r="5813" spans="1:24" x14ac:dyDescent="0.25">
      <c r="A5813" s="1" t="str">
        <f t="shared" si="1853"/>
        <v>卡卡杜-凤凰仓</v>
      </c>
      <c r="B5813" s="1" t="str">
        <f>"CK202410186731"</f>
        <v>CK202410186731</v>
      </c>
      <c r="C5813" s="1" t="str">
        <f>"DD2024101812290"</f>
        <v>DD2024101812290</v>
      </c>
      <c r="D5813" s="1" t="str">
        <f>"CK2024101810271"</f>
        <v>CK2024101810271</v>
      </c>
      <c r="E5813" s="1" t="str">
        <f>"6935150091740911404"</f>
        <v>6935150091740911404</v>
      </c>
      <c r="F5813" s="1" t="str">
        <f t="shared" si="1854"/>
        <v>花都四部-凤凰仓</v>
      </c>
      <c r="G5813" s="1" t="str">
        <f t="shared" si="1862"/>
        <v>卡卡杜个人护理店（抖店）</v>
      </c>
      <c r="H5813" s="1" t="str">
        <f t="shared" si="1855"/>
        <v>正常订单</v>
      </c>
      <c r="I5813" s="1" t="str">
        <f t="shared" si="1856"/>
        <v>已发货</v>
      </c>
      <c r="J5813" s="1" t="str">
        <f t="shared" si="1861"/>
        <v>3</v>
      </c>
      <c r="K5813" s="1">
        <v>3</v>
      </c>
      <c r="L5813" s="1" t="s">
        <v>36</v>
      </c>
      <c r="M5813" s="1" t="str">
        <f>"安徽省 宿州市 灵璧县 杨疃镇"</f>
        <v>安徽省 宿州市 灵璧县 杨疃镇</v>
      </c>
      <c r="N5813" s="1" t="str">
        <f t="shared" si="1863"/>
        <v>凡华云仓-韵达-抖音</v>
      </c>
      <c r="O5813" s="5">
        <v>320177476948143</v>
      </c>
      <c r="P5813" s="6">
        <v>0.28000000000000003</v>
      </c>
      <c r="Q5813" s="11">
        <v>2</v>
      </c>
      <c r="R5813" s="11"/>
      <c r="S5813" s="11"/>
      <c r="T5813" s="11"/>
      <c r="U5813" s="11">
        <f t="shared" si="1852"/>
        <v>2</v>
      </c>
      <c r="W5813">
        <v>2.2000000000000002</v>
      </c>
      <c r="X5813" s="1" t="s">
        <v>36</v>
      </c>
    </row>
    <row r="5814" spans="1:24" x14ac:dyDescent="0.25">
      <c r="A5814" s="1" t="str">
        <f t="shared" si="1853"/>
        <v>卡卡杜-凤凰仓</v>
      </c>
      <c r="B5814" s="1" t="str">
        <f>"CK2024101810167"</f>
        <v>CK2024101810167</v>
      </c>
      <c r="C5814" s="1" t="str">
        <f>"DD2024101815765"</f>
        <v>DD2024101815765</v>
      </c>
      <c r="D5814" s="1" t="str">
        <f>"CK2024101810270"</f>
        <v>CK2024101810270</v>
      </c>
      <c r="E5814" s="1" t="str">
        <f>"6935154018383172962"</f>
        <v>6935154018383172962</v>
      </c>
      <c r="F5814" s="1" t="str">
        <f t="shared" si="1854"/>
        <v>花都四部-凤凰仓</v>
      </c>
      <c r="G5814" s="1" t="str">
        <f t="shared" si="1862"/>
        <v>卡卡杜个人护理店（抖店）</v>
      </c>
      <c r="H5814" s="1" t="str">
        <f t="shared" si="1855"/>
        <v>正常订单</v>
      </c>
      <c r="I5814" s="1" t="str">
        <f t="shared" si="1856"/>
        <v>已发货</v>
      </c>
      <c r="J5814" s="1" t="str">
        <f t="shared" si="1861"/>
        <v>3</v>
      </c>
      <c r="K5814" s="1">
        <v>3</v>
      </c>
      <c r="L5814" s="1" t="s">
        <v>13</v>
      </c>
      <c r="M5814" s="1" t="str">
        <f>"江苏省 南京市 建邺区 莫愁湖街道"</f>
        <v>江苏省 南京市 建邺区 莫愁湖街道</v>
      </c>
      <c r="N5814" s="1" t="str">
        <f t="shared" si="1863"/>
        <v>凡华云仓-韵达-抖音</v>
      </c>
      <c r="O5814" s="5">
        <v>320177476948054</v>
      </c>
      <c r="P5814" s="6">
        <v>0.34</v>
      </c>
      <c r="Q5814" s="11">
        <v>2.2999999999999998</v>
      </c>
      <c r="R5814" s="11"/>
      <c r="S5814" s="11"/>
      <c r="T5814" s="11"/>
      <c r="U5814" s="11">
        <f t="shared" si="1852"/>
        <v>2.2999999999999998</v>
      </c>
      <c r="W5814">
        <v>2.5</v>
      </c>
      <c r="X5814" s="1" t="s">
        <v>13</v>
      </c>
    </row>
    <row r="5815" spans="1:24" x14ac:dyDescent="0.25">
      <c r="A5815" s="1" t="str">
        <f t="shared" si="1853"/>
        <v>卡卡杜-凤凰仓</v>
      </c>
      <c r="B5815" s="1" t="str">
        <f>"CK202410186724"</f>
        <v>CK202410186724</v>
      </c>
      <c r="C5815" s="1" t="str">
        <f>"DD2024101812283"</f>
        <v>DD2024101812283</v>
      </c>
      <c r="D5815" s="1" t="str">
        <f>"CK2024101810269"</f>
        <v>CK2024101810269</v>
      </c>
      <c r="E5815" s="1" t="str">
        <f>"6935151622476993995"</f>
        <v>6935151622476993995</v>
      </c>
      <c r="F5815" s="1" t="str">
        <f t="shared" si="1854"/>
        <v>花都四部-凤凰仓</v>
      </c>
      <c r="G5815" s="1" t="str">
        <f t="shared" si="1862"/>
        <v>卡卡杜个人护理店（抖店）</v>
      </c>
      <c r="H5815" s="1" t="str">
        <f t="shared" si="1855"/>
        <v>正常订单</v>
      </c>
      <c r="I5815" s="1" t="str">
        <f t="shared" si="1856"/>
        <v>已发货</v>
      </c>
      <c r="J5815" s="1" t="str">
        <f t="shared" si="1861"/>
        <v>3</v>
      </c>
      <c r="K5815" s="1">
        <v>3</v>
      </c>
      <c r="L5815" s="1" t="s">
        <v>16</v>
      </c>
      <c r="M5815" s="1" t="str">
        <f>"河北省 邯郸市 磁县 磁州镇"</f>
        <v>河北省 邯郸市 磁县 磁州镇</v>
      </c>
      <c r="N5815" s="1" t="str">
        <f t="shared" si="1863"/>
        <v>凡华云仓-韵达-抖音</v>
      </c>
      <c r="O5815" s="5">
        <v>320177476947924</v>
      </c>
      <c r="P5815" s="6">
        <v>0.28000000000000003</v>
      </c>
      <c r="Q5815" s="11">
        <v>2</v>
      </c>
      <c r="R5815" s="11"/>
      <c r="S5815" s="11"/>
      <c r="T5815" s="11"/>
      <c r="U5815" s="11">
        <f t="shared" si="1852"/>
        <v>2</v>
      </c>
      <c r="W5815">
        <v>2.2000000000000002</v>
      </c>
      <c r="X5815" s="1" t="s">
        <v>16</v>
      </c>
    </row>
    <row r="5816" spans="1:24" x14ac:dyDescent="0.25">
      <c r="A5816" s="1" t="str">
        <f t="shared" si="1853"/>
        <v>卡卡杜-凤凰仓</v>
      </c>
      <c r="B5816" s="1" t="str">
        <f>"CK202410186725"</f>
        <v>CK202410186725</v>
      </c>
      <c r="C5816" s="1" t="str">
        <f>"DD2024101812284"</f>
        <v>DD2024101812284</v>
      </c>
      <c r="D5816" s="1" t="str">
        <f>"CK2024101810268"</f>
        <v>CK2024101810268</v>
      </c>
      <c r="E5816" s="1" t="str">
        <f>"6935156232803063697"</f>
        <v>6935156232803063697</v>
      </c>
      <c r="F5816" s="1" t="str">
        <f t="shared" si="1854"/>
        <v>花都四部-凤凰仓</v>
      </c>
      <c r="G5816" s="1" t="str">
        <f t="shared" si="1862"/>
        <v>卡卡杜个人护理店（抖店）</v>
      </c>
      <c r="H5816" s="1" t="str">
        <f t="shared" si="1855"/>
        <v>正常订单</v>
      </c>
      <c r="I5816" s="1" t="str">
        <f t="shared" si="1856"/>
        <v>已发货</v>
      </c>
      <c r="J5816" s="1" t="str">
        <f t="shared" si="1861"/>
        <v>3</v>
      </c>
      <c r="K5816" s="1">
        <v>3</v>
      </c>
      <c r="L5816" s="1" t="s">
        <v>47</v>
      </c>
      <c r="M5816" s="1" t="str">
        <f>"重庆 重庆市 巴南区 李家沱街道"</f>
        <v>重庆 重庆市 巴南区 李家沱街道</v>
      </c>
      <c r="N5816" s="1" t="str">
        <f t="shared" si="1863"/>
        <v>凡华云仓-韵达-抖音</v>
      </c>
      <c r="O5816" s="5">
        <v>320177476947819</v>
      </c>
      <c r="P5816" s="6">
        <v>0.28000000000000003</v>
      </c>
      <c r="Q5816" s="11">
        <v>2</v>
      </c>
      <c r="R5816" s="11"/>
      <c r="S5816" s="11"/>
      <c r="T5816" s="11"/>
      <c r="U5816" s="11">
        <f t="shared" si="1852"/>
        <v>2</v>
      </c>
      <c r="W5816">
        <v>2.2000000000000002</v>
      </c>
      <c r="X5816" s="1" t="s">
        <v>47</v>
      </c>
    </row>
    <row r="5817" spans="1:24" x14ac:dyDescent="0.25">
      <c r="A5817" s="1" t="str">
        <f t="shared" si="1853"/>
        <v>卡卡杜-凤凰仓</v>
      </c>
      <c r="B5817" s="1" t="str">
        <f>"CK202410186726"</f>
        <v>CK202410186726</v>
      </c>
      <c r="C5817" s="1" t="str">
        <f>"DD2024101812286"</f>
        <v>DD2024101812286</v>
      </c>
      <c r="D5817" s="1" t="str">
        <f>"CK2024101810267"</f>
        <v>CK2024101810267</v>
      </c>
      <c r="E5817" s="1" t="str">
        <f>"6935165248009344990"</f>
        <v>6935165248009344990</v>
      </c>
      <c r="F5817" s="1" t="str">
        <f t="shared" si="1854"/>
        <v>花都四部-凤凰仓</v>
      </c>
      <c r="G5817" s="1" t="str">
        <f t="shared" si="1862"/>
        <v>卡卡杜个人护理店（抖店）</v>
      </c>
      <c r="H5817" s="1" t="str">
        <f t="shared" si="1855"/>
        <v>正常订单</v>
      </c>
      <c r="I5817" s="1" t="str">
        <f t="shared" si="1856"/>
        <v>已发货</v>
      </c>
      <c r="J5817" s="1" t="str">
        <f t="shared" si="1861"/>
        <v>3</v>
      </c>
      <c r="K5817" s="1">
        <v>3</v>
      </c>
      <c r="L5817" s="1" t="s">
        <v>22</v>
      </c>
      <c r="M5817" s="1" t="str">
        <f>"江西省 吉安市 新干县 界埠镇"</f>
        <v>江西省 吉安市 新干县 界埠镇</v>
      </c>
      <c r="N5817" s="1" t="str">
        <f t="shared" si="1863"/>
        <v>凡华云仓-韵达-抖音</v>
      </c>
      <c r="O5817" s="5">
        <v>320177476947716</v>
      </c>
      <c r="P5817" s="6">
        <v>0.28000000000000003</v>
      </c>
      <c r="Q5817" s="11">
        <v>2</v>
      </c>
      <c r="R5817" s="11"/>
      <c r="S5817" s="11"/>
      <c r="T5817" s="11"/>
      <c r="U5817" s="11">
        <f t="shared" si="1852"/>
        <v>2</v>
      </c>
      <c r="W5817">
        <v>2.2000000000000002</v>
      </c>
      <c r="X5817" s="1" t="s">
        <v>22</v>
      </c>
    </row>
    <row r="5818" spans="1:24" x14ac:dyDescent="0.25">
      <c r="A5818" s="1" t="str">
        <f t="shared" si="1853"/>
        <v>卡卡杜-凤凰仓</v>
      </c>
      <c r="B5818" s="1" t="str">
        <f>"CK202410186727"</f>
        <v>CK202410186727</v>
      </c>
      <c r="C5818" s="1" t="str">
        <f>"DD2024101812285"</f>
        <v>DD2024101812285</v>
      </c>
      <c r="D5818" s="1" t="str">
        <f>"CK2024101810266"</f>
        <v>CK2024101810266</v>
      </c>
      <c r="E5818" s="1" t="str">
        <f>"6935162938169758775"</f>
        <v>6935162938169758775</v>
      </c>
      <c r="F5818" s="1" t="str">
        <f t="shared" si="1854"/>
        <v>花都四部-凤凰仓</v>
      </c>
      <c r="G5818" s="1" t="str">
        <f t="shared" si="1862"/>
        <v>卡卡杜个人护理店（抖店）</v>
      </c>
      <c r="H5818" s="1" t="str">
        <f t="shared" si="1855"/>
        <v>正常订单</v>
      </c>
      <c r="I5818" s="1" t="str">
        <f t="shared" si="1856"/>
        <v>已发货</v>
      </c>
      <c r="J5818" s="1" t="str">
        <f t="shared" si="1861"/>
        <v>3</v>
      </c>
      <c r="K5818" s="1">
        <v>3</v>
      </c>
      <c r="L5818" s="1" t="s">
        <v>80</v>
      </c>
      <c r="M5818" s="1" t="str">
        <f>"河南省 濮阳市 濮阳县 五星乡"</f>
        <v>河南省 濮阳市 濮阳县 五星乡</v>
      </c>
      <c r="N5818" s="1" t="str">
        <f t="shared" si="1863"/>
        <v>凡华云仓-韵达-抖音</v>
      </c>
      <c r="O5818" s="5">
        <v>320177476947615</v>
      </c>
      <c r="P5818" s="6">
        <v>0.28000000000000003</v>
      </c>
      <c r="Q5818" s="11">
        <v>2</v>
      </c>
      <c r="R5818" s="11"/>
      <c r="S5818" s="11"/>
      <c r="T5818" s="11"/>
      <c r="U5818" s="11">
        <f t="shared" si="1852"/>
        <v>2</v>
      </c>
      <c r="W5818">
        <v>2.2000000000000002</v>
      </c>
      <c r="X5818" s="1" t="s">
        <v>80</v>
      </c>
    </row>
    <row r="5819" spans="1:24" x14ac:dyDescent="0.25">
      <c r="A5819" s="1" t="str">
        <f t="shared" si="1853"/>
        <v>卡卡杜-凤凰仓</v>
      </c>
      <c r="B5819" s="1" t="str">
        <f>"CK202410186728"</f>
        <v>CK202410186728</v>
      </c>
      <c r="C5819" s="1" t="str">
        <f>"DD2024101812287"</f>
        <v>DD2024101812287</v>
      </c>
      <c r="D5819" s="1" t="str">
        <f>"CK2024101810265"</f>
        <v>CK2024101810265</v>
      </c>
      <c r="E5819" s="1" t="str">
        <f>"6935158489988142602"</f>
        <v>6935158489988142602</v>
      </c>
      <c r="F5819" s="1" t="str">
        <f t="shared" si="1854"/>
        <v>花都四部-凤凰仓</v>
      </c>
      <c r="G5819" s="1" t="str">
        <f t="shared" si="1862"/>
        <v>卡卡杜个人护理店（抖店）</v>
      </c>
      <c r="H5819" s="1" t="str">
        <f t="shared" si="1855"/>
        <v>正常订单</v>
      </c>
      <c r="I5819" s="1" t="str">
        <f t="shared" si="1856"/>
        <v>已发货</v>
      </c>
      <c r="J5819" s="1" t="str">
        <f t="shared" si="1861"/>
        <v>3</v>
      </c>
      <c r="K5819" s="1">
        <v>3</v>
      </c>
      <c r="L5819" s="1" t="s">
        <v>92</v>
      </c>
      <c r="M5819" s="1" t="str">
        <f>"辽宁省 沈阳市 皇姑区 明廉街道"</f>
        <v>辽宁省 沈阳市 皇姑区 明廉街道</v>
      </c>
      <c r="N5819" s="1" t="str">
        <f t="shared" si="1863"/>
        <v>凡华云仓-韵达-抖音</v>
      </c>
      <c r="O5819" s="5">
        <v>320177476947516</v>
      </c>
      <c r="P5819" s="6">
        <v>0.28000000000000003</v>
      </c>
      <c r="Q5819" s="11">
        <v>2</v>
      </c>
      <c r="R5819" s="11"/>
      <c r="S5819" s="11"/>
      <c r="T5819" s="11"/>
      <c r="U5819" s="11">
        <f t="shared" si="1852"/>
        <v>2</v>
      </c>
      <c r="W5819">
        <v>2.2000000000000002</v>
      </c>
      <c r="X5819" s="1" t="s">
        <v>92</v>
      </c>
    </row>
    <row r="5820" spans="1:24" x14ac:dyDescent="0.25">
      <c r="A5820" s="1" t="str">
        <f t="shared" si="1853"/>
        <v>卡卡杜-凤凰仓</v>
      </c>
      <c r="B5820" s="1" t="str">
        <f>"CK202410186729"</f>
        <v>CK202410186729</v>
      </c>
      <c r="C5820" s="1" t="str">
        <f>"DD2024101812288"</f>
        <v>DD2024101812288</v>
      </c>
      <c r="D5820" s="1" t="str">
        <f>"CK2024101810264"</f>
        <v>CK2024101810264</v>
      </c>
      <c r="E5820" s="1" t="str">
        <f>"6935165164916380707"</f>
        <v>6935165164916380707</v>
      </c>
      <c r="F5820" s="1" t="str">
        <f t="shared" si="1854"/>
        <v>花都四部-凤凰仓</v>
      </c>
      <c r="G5820" s="1" t="str">
        <f t="shared" si="1862"/>
        <v>卡卡杜个人护理店（抖店）</v>
      </c>
      <c r="H5820" s="1" t="str">
        <f t="shared" si="1855"/>
        <v>正常订单</v>
      </c>
      <c r="I5820" s="1" t="str">
        <f t="shared" si="1856"/>
        <v>已发货</v>
      </c>
      <c r="J5820" s="1" t="str">
        <f t="shared" si="1861"/>
        <v>3</v>
      </c>
      <c r="K5820" s="1">
        <v>3</v>
      </c>
      <c r="L5820" s="1" t="s">
        <v>32</v>
      </c>
      <c r="M5820" s="1" t="str">
        <f>"陕西省 商洛市 丹凤县 龙驹寨街道"</f>
        <v>陕西省 商洛市 丹凤县 龙驹寨街道</v>
      </c>
      <c r="N5820" s="1" t="str">
        <f t="shared" si="1863"/>
        <v>凡华云仓-韵达-抖音</v>
      </c>
      <c r="O5820" s="5">
        <v>320177476947419</v>
      </c>
      <c r="P5820" s="6">
        <v>0.28000000000000003</v>
      </c>
      <c r="Q5820" s="11">
        <v>2</v>
      </c>
      <c r="R5820" s="11"/>
      <c r="S5820" s="11"/>
      <c r="T5820" s="11"/>
      <c r="U5820" s="11">
        <f t="shared" si="1852"/>
        <v>2</v>
      </c>
      <c r="W5820">
        <v>2.2000000000000002</v>
      </c>
      <c r="X5820" s="1" t="s">
        <v>32</v>
      </c>
    </row>
    <row r="5821" spans="1:24" x14ac:dyDescent="0.25">
      <c r="A5821" s="1" t="str">
        <f t="shared" si="1853"/>
        <v>卡卡杜-凤凰仓</v>
      </c>
      <c r="B5821" s="1" t="str">
        <f>"CK202410186730"</f>
        <v>CK202410186730</v>
      </c>
      <c r="C5821" s="1" t="str">
        <f>"DD2024101812289"</f>
        <v>DD2024101812289</v>
      </c>
      <c r="D5821" s="1" t="str">
        <f>"CK2024101810263"</f>
        <v>CK2024101810263</v>
      </c>
      <c r="E5821" s="1" t="str">
        <f>"6935176651081389455"</f>
        <v>6935176651081389455</v>
      </c>
      <c r="F5821" s="1" t="str">
        <f t="shared" si="1854"/>
        <v>花都四部-凤凰仓</v>
      </c>
      <c r="G5821" s="1" t="str">
        <f t="shared" si="1862"/>
        <v>卡卡杜个人护理店（抖店）</v>
      </c>
      <c r="H5821" s="1" t="str">
        <f t="shared" si="1855"/>
        <v>正常订单</v>
      </c>
      <c r="I5821" s="1" t="str">
        <f t="shared" si="1856"/>
        <v>已发货</v>
      </c>
      <c r="J5821" s="1" t="str">
        <f t="shared" si="1861"/>
        <v>3</v>
      </c>
      <c r="K5821" s="1">
        <v>3</v>
      </c>
      <c r="L5821" s="1" t="s">
        <v>18</v>
      </c>
      <c r="M5821" s="1" t="str">
        <f>"广东省 深圳市 宝安区 松岗街道"</f>
        <v>广东省 深圳市 宝安区 松岗街道</v>
      </c>
      <c r="N5821" s="1" t="str">
        <f t="shared" si="1863"/>
        <v>凡华云仓-韵达-抖音</v>
      </c>
      <c r="O5821" s="5">
        <v>320177494514643</v>
      </c>
      <c r="P5821" s="6">
        <v>0.28000000000000003</v>
      </c>
      <c r="Q5821" s="11">
        <v>2</v>
      </c>
      <c r="R5821" s="11"/>
      <c r="S5821" s="11"/>
      <c r="T5821" s="11"/>
      <c r="U5821" s="11">
        <f t="shared" si="1852"/>
        <v>2</v>
      </c>
      <c r="W5821">
        <v>2.2000000000000002</v>
      </c>
      <c r="X5821" s="1" t="s">
        <v>18</v>
      </c>
    </row>
    <row r="5822" spans="1:24" x14ac:dyDescent="0.25">
      <c r="A5822" s="1" t="str">
        <f t="shared" si="1853"/>
        <v>卡卡杜-凤凰仓</v>
      </c>
      <c r="B5822" s="1" t="str">
        <f>"CK202410186732"</f>
        <v>CK202410186732</v>
      </c>
      <c r="C5822" s="1" t="str">
        <f>"DD2024101812291"</f>
        <v>DD2024101812291</v>
      </c>
      <c r="D5822" s="1" t="str">
        <f>"CK2024101810262"</f>
        <v>CK2024101810262</v>
      </c>
      <c r="E5822" s="1" t="str">
        <f>"6935158361712498307"</f>
        <v>6935158361712498307</v>
      </c>
      <c r="F5822" s="1" t="str">
        <f t="shared" si="1854"/>
        <v>花都四部-凤凰仓</v>
      </c>
      <c r="G5822" s="1" t="str">
        <f t="shared" si="1862"/>
        <v>卡卡杜个人护理店（抖店）</v>
      </c>
      <c r="H5822" s="1" t="str">
        <f t="shared" si="1855"/>
        <v>正常订单</v>
      </c>
      <c r="I5822" s="1" t="str">
        <f t="shared" si="1856"/>
        <v>已发货</v>
      </c>
      <c r="J5822" s="1" t="str">
        <f t="shared" si="1861"/>
        <v>3</v>
      </c>
      <c r="K5822" s="1">
        <v>3</v>
      </c>
      <c r="L5822" s="1" t="s">
        <v>22</v>
      </c>
      <c r="M5822" s="1" t="str">
        <f>"江西省 南昌市 青山湖区 京东镇"</f>
        <v>江西省 南昌市 青山湖区 京东镇</v>
      </c>
      <c r="N5822" s="1" t="str">
        <f t="shared" si="1863"/>
        <v>凡华云仓-韵达-抖音</v>
      </c>
      <c r="O5822" s="5">
        <v>320177494514544</v>
      </c>
      <c r="P5822" s="6">
        <v>0.28000000000000003</v>
      </c>
      <c r="Q5822" s="11">
        <v>2</v>
      </c>
      <c r="R5822" s="11"/>
      <c r="S5822" s="11"/>
      <c r="T5822" s="11"/>
      <c r="U5822" s="11">
        <f t="shared" si="1852"/>
        <v>2</v>
      </c>
      <c r="W5822">
        <v>2.2000000000000002</v>
      </c>
      <c r="X5822" s="1" t="s">
        <v>22</v>
      </c>
    </row>
    <row r="5823" spans="1:24" x14ac:dyDescent="0.25">
      <c r="A5823" s="1" t="str">
        <f t="shared" si="1853"/>
        <v>卡卡杜-凤凰仓</v>
      </c>
      <c r="B5823" s="1" t="str">
        <f>"CK202410183664"</f>
        <v>CK202410183664</v>
      </c>
      <c r="C5823" s="1" t="str">
        <f>"DD2024101811783"</f>
        <v>DD2024101811783</v>
      </c>
      <c r="D5823" s="1" t="str">
        <f>"CK2024101810261"</f>
        <v>CK2024101810261</v>
      </c>
      <c r="E5823" s="1" t="str">
        <f>"6935156113040938377"</f>
        <v>6935156113040938377</v>
      </c>
      <c r="F5823" s="1" t="str">
        <f t="shared" si="1854"/>
        <v>花都四部-凤凰仓</v>
      </c>
      <c r="G5823" s="1" t="str">
        <f t="shared" si="1862"/>
        <v>卡卡杜个人护理店（抖店）</v>
      </c>
      <c r="H5823" s="1" t="str">
        <f t="shared" si="1855"/>
        <v>正常订单</v>
      </c>
      <c r="I5823" s="1" t="str">
        <f t="shared" si="1856"/>
        <v>已发货</v>
      </c>
      <c r="J5823" s="1" t="str">
        <f t="shared" si="1861"/>
        <v>3</v>
      </c>
      <c r="K5823" s="1">
        <v>2</v>
      </c>
      <c r="L5823" s="1" t="s">
        <v>30</v>
      </c>
      <c r="M5823" s="1" t="str">
        <f>"山东省 潍坊市 临朐县 龙岗镇"</f>
        <v>山东省 潍坊市 临朐县 龙岗镇</v>
      </c>
      <c r="N5823" s="1" t="str">
        <f t="shared" si="1863"/>
        <v>凡华云仓-韵达-抖音</v>
      </c>
      <c r="O5823" s="5">
        <v>320177494514447</v>
      </c>
      <c r="P5823" s="6">
        <v>0.35</v>
      </c>
      <c r="Q5823" s="11">
        <v>2.2999999999999998</v>
      </c>
      <c r="R5823" s="11"/>
      <c r="S5823" s="11"/>
      <c r="T5823" s="11"/>
      <c r="U5823" s="11">
        <f t="shared" si="1852"/>
        <v>2.2999999999999998</v>
      </c>
      <c r="W5823">
        <v>2.5</v>
      </c>
      <c r="X5823" s="1" t="s">
        <v>30</v>
      </c>
    </row>
    <row r="5824" spans="1:24" x14ac:dyDescent="0.25">
      <c r="A5824" s="1" t="str">
        <f t="shared" si="1853"/>
        <v>卡卡杜-凤凰仓</v>
      </c>
      <c r="B5824" s="1" t="str">
        <f>"CK202410189984"</f>
        <v>CK202410189984</v>
      </c>
      <c r="C5824" s="1" t="str">
        <f>"DD2024101815568"</f>
        <v>DD2024101815568</v>
      </c>
      <c r="D5824" s="1" t="str">
        <f>"CK2024101810260"</f>
        <v>CK2024101810260</v>
      </c>
      <c r="E5824" s="1" t="str">
        <f>"6935162910944138663"</f>
        <v>6935162910944138663</v>
      </c>
      <c r="F5824" s="1" t="str">
        <f t="shared" si="1854"/>
        <v>花都四部-凤凰仓</v>
      </c>
      <c r="G5824" s="1" t="str">
        <f t="shared" si="1862"/>
        <v>卡卡杜个人护理店（抖店）</v>
      </c>
      <c r="H5824" s="1" t="str">
        <f t="shared" si="1855"/>
        <v>正常订单</v>
      </c>
      <c r="I5824" s="1" t="str">
        <f t="shared" si="1856"/>
        <v>已发货</v>
      </c>
      <c r="J5824" s="1" t="str">
        <f t="shared" si="1861"/>
        <v>3</v>
      </c>
      <c r="K5824" s="1">
        <v>3</v>
      </c>
      <c r="L5824" s="1" t="s">
        <v>94</v>
      </c>
      <c r="M5824" s="1" t="str">
        <f>"湖南省 长沙市 望城区 铜官街道"</f>
        <v>湖南省 长沙市 望城区 铜官街道</v>
      </c>
      <c r="N5824" s="1" t="str">
        <f t="shared" si="1863"/>
        <v>凡华云仓-韵达-抖音</v>
      </c>
      <c r="O5824" s="5">
        <v>320177494514352</v>
      </c>
      <c r="P5824" s="6">
        <v>0.28000000000000003</v>
      </c>
      <c r="Q5824" s="11">
        <v>2</v>
      </c>
      <c r="R5824" s="11"/>
      <c r="S5824" s="11"/>
      <c r="T5824" s="11"/>
      <c r="U5824" s="11">
        <f t="shared" si="1852"/>
        <v>2</v>
      </c>
      <c r="W5824">
        <v>2.2000000000000002</v>
      </c>
      <c r="X5824" s="1" t="s">
        <v>94</v>
      </c>
    </row>
    <row r="5825" spans="1:24" x14ac:dyDescent="0.25">
      <c r="A5825" s="1" t="str">
        <f t="shared" si="1853"/>
        <v>卡卡杜-凤凰仓</v>
      </c>
      <c r="B5825" s="1" t="str">
        <f>"CK202410186733"</f>
        <v>CK202410186733</v>
      </c>
      <c r="C5825" s="1" t="str">
        <f>"DD2024101812292"</f>
        <v>DD2024101812292</v>
      </c>
      <c r="D5825" s="1" t="str">
        <f>"CK2024101810259"</f>
        <v>CK2024101810259</v>
      </c>
      <c r="E5825" s="1" t="str">
        <f>"6935151601654962044"</f>
        <v>6935151601654962044</v>
      </c>
      <c r="F5825" s="1" t="str">
        <f t="shared" si="1854"/>
        <v>花都四部-凤凰仓</v>
      </c>
      <c r="G5825" s="1" t="str">
        <f t="shared" si="1862"/>
        <v>卡卡杜个人护理店（抖店）</v>
      </c>
      <c r="H5825" s="1" t="str">
        <f t="shared" si="1855"/>
        <v>正常订单</v>
      </c>
      <c r="I5825" s="1" t="str">
        <f t="shared" si="1856"/>
        <v>已发货</v>
      </c>
      <c r="J5825" s="1" t="str">
        <f t="shared" si="1861"/>
        <v>3</v>
      </c>
      <c r="K5825" s="1">
        <v>3</v>
      </c>
      <c r="L5825" s="1" t="s">
        <v>30</v>
      </c>
      <c r="M5825" s="1" t="str">
        <f>"山东省 淄博市 张店区 马尚街道"</f>
        <v>山东省 淄博市 张店区 马尚街道</v>
      </c>
      <c r="N5825" s="1" t="str">
        <f t="shared" si="1863"/>
        <v>凡华云仓-韵达-抖音</v>
      </c>
      <c r="O5825" s="5">
        <v>320177494514259</v>
      </c>
      <c r="P5825" s="6">
        <v>0.28000000000000003</v>
      </c>
      <c r="Q5825" s="11">
        <v>2</v>
      </c>
      <c r="R5825" s="11"/>
      <c r="S5825" s="11"/>
      <c r="T5825" s="11"/>
      <c r="U5825" s="11">
        <f t="shared" si="1852"/>
        <v>2</v>
      </c>
      <c r="W5825">
        <v>2.2000000000000002</v>
      </c>
      <c r="X5825" s="1" t="s">
        <v>30</v>
      </c>
    </row>
    <row r="5826" spans="1:24" x14ac:dyDescent="0.25">
      <c r="A5826" s="1" t="str">
        <f t="shared" si="1853"/>
        <v>卡卡杜-凤凰仓</v>
      </c>
      <c r="B5826" s="1" t="str">
        <f>"CK202410189985"</f>
        <v>CK202410189985</v>
      </c>
      <c r="C5826" s="1" t="str">
        <f>"DD2024101815570"</f>
        <v>DD2024101815570</v>
      </c>
      <c r="D5826" s="1" t="str">
        <f>"CK2024101810258"</f>
        <v>CK2024101810258</v>
      </c>
      <c r="E5826" s="1" t="str">
        <f>"6935176671419110750"</f>
        <v>6935176671419110750</v>
      </c>
      <c r="F5826" s="1" t="str">
        <f t="shared" si="1854"/>
        <v>花都四部-凤凰仓</v>
      </c>
      <c r="G5826" s="1" t="str">
        <f t="shared" si="1862"/>
        <v>卡卡杜个人护理店（抖店）</v>
      </c>
      <c r="H5826" s="1" t="str">
        <f t="shared" si="1855"/>
        <v>正常订单</v>
      </c>
      <c r="I5826" s="1" t="str">
        <f t="shared" si="1856"/>
        <v>已发货</v>
      </c>
      <c r="J5826" s="1" t="str">
        <f t="shared" si="1861"/>
        <v>3</v>
      </c>
      <c r="K5826" s="1">
        <v>3</v>
      </c>
      <c r="L5826" s="1" t="s">
        <v>13</v>
      </c>
      <c r="M5826" s="1" t="str">
        <f>"江苏省 苏州市 张家港市 金港街道"</f>
        <v>江苏省 苏州市 张家港市 金港街道</v>
      </c>
      <c r="N5826" s="1" t="str">
        <f t="shared" si="1863"/>
        <v>凡华云仓-韵达-抖音</v>
      </c>
      <c r="O5826" s="5">
        <v>320177494514168</v>
      </c>
      <c r="P5826" s="6">
        <v>0.28000000000000003</v>
      </c>
      <c r="Q5826" s="11">
        <v>2</v>
      </c>
      <c r="R5826" s="11"/>
      <c r="S5826" s="11"/>
      <c r="T5826" s="11"/>
      <c r="U5826" s="11">
        <f t="shared" si="1852"/>
        <v>2</v>
      </c>
      <c r="W5826">
        <v>2.2000000000000002</v>
      </c>
      <c r="X5826" s="1" t="s">
        <v>13</v>
      </c>
    </row>
    <row r="5827" spans="1:24" x14ac:dyDescent="0.25">
      <c r="A5827" s="1" t="str">
        <f t="shared" si="1853"/>
        <v>卡卡杜-凤凰仓</v>
      </c>
      <c r="B5827" s="1" t="str">
        <f>"CK202410186734"</f>
        <v>CK202410186734</v>
      </c>
      <c r="C5827" s="1" t="str">
        <f>"DD2024101812293"</f>
        <v>DD2024101812293</v>
      </c>
      <c r="D5827" s="1" t="str">
        <f>"CK2024101810257"</f>
        <v>CK2024101810257</v>
      </c>
      <c r="E5827" s="1" t="str">
        <f>"6935149938644161760"</f>
        <v>6935149938644161760</v>
      </c>
      <c r="F5827" s="1" t="str">
        <f t="shared" si="1854"/>
        <v>花都四部-凤凰仓</v>
      </c>
      <c r="G5827" s="1" t="str">
        <f t="shared" si="1862"/>
        <v>卡卡杜个人护理店（抖店）</v>
      </c>
      <c r="H5827" s="1" t="str">
        <f t="shared" si="1855"/>
        <v>正常订单</v>
      </c>
      <c r="I5827" s="1" t="str">
        <f t="shared" si="1856"/>
        <v>已发货</v>
      </c>
      <c r="J5827" s="1" t="str">
        <f t="shared" si="1861"/>
        <v>3</v>
      </c>
      <c r="K5827" s="1">
        <v>3</v>
      </c>
      <c r="L5827" s="1" t="s">
        <v>18</v>
      </c>
      <c r="M5827" s="1" t="str">
        <f>"广东省 清远市 阳山县 阳城镇"</f>
        <v>广东省 清远市 阳山县 阳城镇</v>
      </c>
      <c r="N5827" s="1" t="str">
        <f t="shared" si="1863"/>
        <v>凡华云仓-韵达-抖音</v>
      </c>
      <c r="O5827" s="5">
        <v>320177494514079</v>
      </c>
      <c r="P5827" s="6">
        <v>0.28000000000000003</v>
      </c>
      <c r="Q5827" s="11">
        <v>2</v>
      </c>
      <c r="R5827" s="11"/>
      <c r="S5827" s="11"/>
      <c r="T5827" s="11"/>
      <c r="U5827" s="11">
        <f t="shared" ref="U5827:U5890" si="1864">T5827+S5827+R5827+Q5827</f>
        <v>2</v>
      </c>
      <c r="W5827">
        <v>2.2000000000000002</v>
      </c>
      <c r="X5827" s="1" t="s">
        <v>18</v>
      </c>
    </row>
    <row r="5828" spans="1:24" x14ac:dyDescent="0.25">
      <c r="A5828" s="1" t="str">
        <f t="shared" si="1853"/>
        <v>卡卡杜-凤凰仓</v>
      </c>
      <c r="B5828" s="1" t="str">
        <f>"CK202410186735"</f>
        <v>CK202410186735</v>
      </c>
      <c r="C5828" s="1" t="str">
        <f>"DD2024101812294"</f>
        <v>DD2024101812294</v>
      </c>
      <c r="D5828" s="1" t="str">
        <f>"CK2024101810256"</f>
        <v>CK2024101810256</v>
      </c>
      <c r="E5828" s="1" t="str">
        <f>"6935145465930258126"</f>
        <v>6935145465930258126</v>
      </c>
      <c r="F5828" s="1" t="str">
        <f t="shared" si="1854"/>
        <v>花都四部-凤凰仓</v>
      </c>
      <c r="G5828" s="1" t="str">
        <f t="shared" si="1862"/>
        <v>卡卡杜个人护理店（抖店）</v>
      </c>
      <c r="H5828" s="1" t="str">
        <f t="shared" si="1855"/>
        <v>正常订单</v>
      </c>
      <c r="I5828" s="1" t="str">
        <f t="shared" si="1856"/>
        <v>已发货</v>
      </c>
      <c r="J5828" s="1" t="str">
        <f t="shared" si="1861"/>
        <v>3</v>
      </c>
      <c r="K5828" s="1">
        <v>3</v>
      </c>
      <c r="L5828" s="1" t="s">
        <v>36</v>
      </c>
      <c r="M5828" s="1" t="str">
        <f>"安徽省 蚌埠市 禹会区 禹会虚镇"</f>
        <v>安徽省 蚌埠市 禹会区 禹会虚镇</v>
      </c>
      <c r="N5828" s="1" t="str">
        <f t="shared" si="1863"/>
        <v>凡华云仓-韵达-抖音</v>
      </c>
      <c r="O5828" s="5">
        <v>320177494513957</v>
      </c>
      <c r="P5828" s="6">
        <v>0.28000000000000003</v>
      </c>
      <c r="Q5828" s="11">
        <v>2</v>
      </c>
      <c r="R5828" s="11"/>
      <c r="S5828" s="11"/>
      <c r="T5828" s="11"/>
      <c r="U5828" s="11">
        <f t="shared" si="1864"/>
        <v>2</v>
      </c>
      <c r="W5828">
        <v>2.2000000000000002</v>
      </c>
      <c r="X5828" s="1" t="s">
        <v>36</v>
      </c>
    </row>
    <row r="5829" spans="1:24" x14ac:dyDescent="0.25">
      <c r="A5829" s="1" t="str">
        <f t="shared" ref="A5829:A5892" si="1865">"卡卡杜-凤凰仓"</f>
        <v>卡卡杜-凤凰仓</v>
      </c>
      <c r="B5829" s="1" t="str">
        <f>"CK202410189987"</f>
        <v>CK202410189987</v>
      </c>
      <c r="C5829" s="1" t="str">
        <f>"DD2024101815572"</f>
        <v>DD2024101815572</v>
      </c>
      <c r="D5829" s="1" t="str">
        <f>"CK2024101810254"</f>
        <v>CK2024101810254</v>
      </c>
      <c r="E5829" s="1" t="str">
        <f>"6935153788614547301"</f>
        <v>6935153788614547301</v>
      </c>
      <c r="F5829" s="1" t="str">
        <f t="shared" ref="F5829:F5892" si="1866">"花都四部-凤凰仓"</f>
        <v>花都四部-凤凰仓</v>
      </c>
      <c r="G5829" s="1" t="str">
        <f t="shared" si="1862"/>
        <v>卡卡杜个人护理店（抖店）</v>
      </c>
      <c r="H5829" s="1" t="str">
        <f t="shared" ref="H5829:H5892" si="1867">"正常订单"</f>
        <v>正常订单</v>
      </c>
      <c r="I5829" s="1" t="str">
        <f t="shared" ref="I5829:I5892" si="1868">"已发货"</f>
        <v>已发货</v>
      </c>
      <c r="J5829" s="1" t="str">
        <f t="shared" si="1861"/>
        <v>3</v>
      </c>
      <c r="K5829" s="1">
        <v>3</v>
      </c>
      <c r="L5829" s="1" t="s">
        <v>41</v>
      </c>
      <c r="M5829" s="1" t="str">
        <f>"湖北省 武汉市 武昌区 中华路街道"</f>
        <v>湖北省 武汉市 武昌区 中华路街道</v>
      </c>
      <c r="N5829" s="1" t="str">
        <f t="shared" si="1863"/>
        <v>凡华云仓-韵达-抖音</v>
      </c>
      <c r="O5829" s="5">
        <v>320177494513852</v>
      </c>
      <c r="P5829" s="6">
        <v>0.28000000000000003</v>
      </c>
      <c r="Q5829" s="11">
        <v>2</v>
      </c>
      <c r="R5829" s="11"/>
      <c r="S5829" s="11"/>
      <c r="T5829" s="11"/>
      <c r="U5829" s="11">
        <f t="shared" si="1864"/>
        <v>2</v>
      </c>
      <c r="W5829">
        <v>2.2000000000000002</v>
      </c>
      <c r="X5829" s="1" t="s">
        <v>41</v>
      </c>
    </row>
    <row r="5830" spans="1:24" x14ac:dyDescent="0.25">
      <c r="A5830" s="1" t="str">
        <f t="shared" si="1865"/>
        <v>卡卡杜-凤凰仓</v>
      </c>
      <c r="B5830" s="1" t="str">
        <f>"CK202410186736"</f>
        <v>CK202410186736</v>
      </c>
      <c r="C5830" s="1" t="str">
        <f>"DD2024101812295"</f>
        <v>DD2024101812295</v>
      </c>
      <c r="D5830" s="1" t="str">
        <f>"CK2024101810253"</f>
        <v>CK2024101810253</v>
      </c>
      <c r="E5830" s="1" t="str">
        <f>"6935158504289473971"</f>
        <v>6935158504289473971</v>
      </c>
      <c r="F5830" s="1" t="str">
        <f t="shared" si="1866"/>
        <v>花都四部-凤凰仓</v>
      </c>
      <c r="G5830" s="1" t="str">
        <f t="shared" si="1862"/>
        <v>卡卡杜个人护理店（抖店）</v>
      </c>
      <c r="H5830" s="1" t="str">
        <f t="shared" si="1867"/>
        <v>正常订单</v>
      </c>
      <c r="I5830" s="1" t="str">
        <f t="shared" si="1868"/>
        <v>已发货</v>
      </c>
      <c r="J5830" s="1" t="str">
        <f t="shared" si="1861"/>
        <v>3</v>
      </c>
      <c r="K5830" s="1">
        <v>3</v>
      </c>
      <c r="L5830" s="1" t="s">
        <v>13</v>
      </c>
      <c r="M5830" s="1" t="str">
        <f>"江苏省 南京市 六合区 龙池街道"</f>
        <v>江苏省 南京市 六合区 龙池街道</v>
      </c>
      <c r="N5830" s="1" t="str">
        <f t="shared" si="1863"/>
        <v>凡华云仓-韵达-抖音</v>
      </c>
      <c r="O5830" s="5">
        <v>320177494513749</v>
      </c>
      <c r="P5830" s="6">
        <v>0.28000000000000003</v>
      </c>
      <c r="Q5830" s="11">
        <v>2</v>
      </c>
      <c r="R5830" s="11"/>
      <c r="S5830" s="11"/>
      <c r="T5830" s="11"/>
      <c r="U5830" s="11">
        <f t="shared" si="1864"/>
        <v>2</v>
      </c>
      <c r="W5830">
        <v>2.2000000000000002</v>
      </c>
      <c r="X5830" s="1" t="s">
        <v>13</v>
      </c>
    </row>
    <row r="5831" spans="1:24" x14ac:dyDescent="0.25">
      <c r="A5831" s="1" t="str">
        <f t="shared" si="1865"/>
        <v>卡卡杜-凤凰仓</v>
      </c>
      <c r="B5831" s="1" t="str">
        <f>"CK202410186737"</f>
        <v>CK202410186737</v>
      </c>
      <c r="C5831" s="1" t="str">
        <f>"DD2024101812296"</f>
        <v>DD2024101812296</v>
      </c>
      <c r="D5831" s="1" t="str">
        <f>"CK2024101810252"</f>
        <v>CK2024101810252</v>
      </c>
      <c r="E5831" s="1" t="str">
        <f>"6935153870140479441"</f>
        <v>6935153870140479441</v>
      </c>
      <c r="F5831" s="1" t="str">
        <f t="shared" si="1866"/>
        <v>花都四部-凤凰仓</v>
      </c>
      <c r="G5831" s="1" t="str">
        <f t="shared" si="1862"/>
        <v>卡卡杜个人护理店（抖店）</v>
      </c>
      <c r="H5831" s="1" t="str">
        <f t="shared" si="1867"/>
        <v>正常订单</v>
      </c>
      <c r="I5831" s="1" t="str">
        <f t="shared" si="1868"/>
        <v>已发货</v>
      </c>
      <c r="J5831" s="1" t="str">
        <f t="shared" si="1861"/>
        <v>3</v>
      </c>
      <c r="K5831" s="1">
        <v>3</v>
      </c>
      <c r="L5831" s="1" t="s">
        <v>16</v>
      </c>
      <c r="M5831" s="1" t="str">
        <f>"河北省 承德市 承德县 下板城镇"</f>
        <v>河北省 承德市 承德县 下板城镇</v>
      </c>
      <c r="N5831" s="1" t="str">
        <f t="shared" si="1863"/>
        <v>凡华云仓-韵达-抖音</v>
      </c>
      <c r="O5831" s="5">
        <v>320177483855423</v>
      </c>
      <c r="P5831" s="6">
        <v>0.28000000000000003</v>
      </c>
      <c r="Q5831" s="11">
        <v>2</v>
      </c>
      <c r="R5831" s="11"/>
      <c r="S5831" s="11"/>
      <c r="T5831" s="11"/>
      <c r="U5831" s="11">
        <f t="shared" si="1864"/>
        <v>2</v>
      </c>
      <c r="W5831">
        <v>2.2000000000000002</v>
      </c>
      <c r="X5831" s="1" t="s">
        <v>16</v>
      </c>
    </row>
    <row r="5832" spans="1:24" x14ac:dyDescent="0.25">
      <c r="A5832" s="1" t="str">
        <f t="shared" si="1865"/>
        <v>卡卡杜-凤凰仓</v>
      </c>
      <c r="B5832" s="1" t="str">
        <f>"CK202410186738"</f>
        <v>CK202410186738</v>
      </c>
      <c r="C5832" s="1" t="str">
        <f>"DD2024101812297"</f>
        <v>DD2024101812297</v>
      </c>
      <c r="D5832" s="1" t="str">
        <f>"CK2024101810251"</f>
        <v>CK2024101810251</v>
      </c>
      <c r="E5832" s="1" t="str">
        <f>"6935147363804387002"</f>
        <v>6935147363804387002</v>
      </c>
      <c r="F5832" s="1" t="str">
        <f t="shared" si="1866"/>
        <v>花都四部-凤凰仓</v>
      </c>
      <c r="G5832" s="1" t="str">
        <f t="shared" si="1862"/>
        <v>卡卡杜个人护理店（抖店）</v>
      </c>
      <c r="H5832" s="1" t="str">
        <f t="shared" si="1867"/>
        <v>正常订单</v>
      </c>
      <c r="I5832" s="1" t="str">
        <f t="shared" si="1868"/>
        <v>已发货</v>
      </c>
      <c r="J5832" s="1" t="str">
        <f t="shared" si="1861"/>
        <v>3</v>
      </c>
      <c r="K5832" s="1">
        <v>3</v>
      </c>
      <c r="L5832" s="1" t="s">
        <v>36</v>
      </c>
      <c r="M5832" s="1" t="str">
        <f>"安徽省 马鞍山市 博望区 丹阳镇"</f>
        <v>安徽省 马鞍山市 博望区 丹阳镇</v>
      </c>
      <c r="N5832" s="1" t="str">
        <f t="shared" si="1863"/>
        <v>凡华云仓-韵达-抖音</v>
      </c>
      <c r="O5832" s="5">
        <v>320177483855328</v>
      </c>
      <c r="P5832" s="6">
        <v>0.28000000000000003</v>
      </c>
      <c r="Q5832" s="11">
        <v>2</v>
      </c>
      <c r="R5832" s="11"/>
      <c r="S5832" s="11"/>
      <c r="T5832" s="11"/>
      <c r="U5832" s="11">
        <f t="shared" si="1864"/>
        <v>2</v>
      </c>
      <c r="W5832">
        <v>2.2000000000000002</v>
      </c>
      <c r="X5832" s="1" t="s">
        <v>36</v>
      </c>
    </row>
    <row r="5833" spans="1:24" x14ac:dyDescent="0.25">
      <c r="A5833" s="1" t="str">
        <f t="shared" si="1865"/>
        <v>卡卡杜-凤凰仓</v>
      </c>
      <c r="B5833" s="1" t="str">
        <f>"CK202410189988"</f>
        <v>CK202410189988</v>
      </c>
      <c r="C5833" s="1" t="str">
        <f>"DD2024101815574"</f>
        <v>DD2024101815574</v>
      </c>
      <c r="D5833" s="1" t="str">
        <f>"CK2024101810250"</f>
        <v>CK2024101810250</v>
      </c>
      <c r="E5833" s="1" t="str">
        <f>"6935169910021100896"</f>
        <v>6935169910021100896</v>
      </c>
      <c r="F5833" s="1" t="str">
        <f t="shared" si="1866"/>
        <v>花都四部-凤凰仓</v>
      </c>
      <c r="G5833" s="1" t="str">
        <f t="shared" si="1862"/>
        <v>卡卡杜个人护理店（抖店）</v>
      </c>
      <c r="H5833" s="1" t="str">
        <f t="shared" si="1867"/>
        <v>正常订单</v>
      </c>
      <c r="I5833" s="1" t="str">
        <f t="shared" si="1868"/>
        <v>已发货</v>
      </c>
      <c r="J5833" s="1" t="str">
        <f t="shared" si="1861"/>
        <v>3</v>
      </c>
      <c r="K5833" s="1">
        <v>3</v>
      </c>
      <c r="L5833" s="1" t="s">
        <v>20</v>
      </c>
      <c r="M5833" s="1" t="str">
        <f>"浙江省 宁波市 镇海区 骆驼街道"</f>
        <v>浙江省 宁波市 镇海区 骆驼街道</v>
      </c>
      <c r="N5833" s="1" t="str">
        <f t="shared" si="1863"/>
        <v>凡华云仓-韵达-抖音</v>
      </c>
      <c r="O5833" s="5">
        <v>320177483855235</v>
      </c>
      <c r="P5833" s="6">
        <v>0.28000000000000003</v>
      </c>
      <c r="Q5833" s="11">
        <v>2</v>
      </c>
      <c r="R5833" s="11"/>
      <c r="S5833" s="11"/>
      <c r="T5833" s="11"/>
      <c r="U5833" s="11">
        <f t="shared" si="1864"/>
        <v>2</v>
      </c>
      <c r="W5833">
        <v>2.2000000000000002</v>
      </c>
      <c r="X5833" s="1" t="s">
        <v>20</v>
      </c>
    </row>
    <row r="5834" spans="1:24" x14ac:dyDescent="0.25">
      <c r="A5834" s="1" t="str">
        <f t="shared" si="1865"/>
        <v>卡卡杜-凤凰仓</v>
      </c>
      <c r="B5834" s="1" t="str">
        <f>"CK202410186739"</f>
        <v>CK202410186739</v>
      </c>
      <c r="C5834" s="1" t="str">
        <f>"DD2024101812298"</f>
        <v>DD2024101812298</v>
      </c>
      <c r="D5834" s="1" t="str">
        <f>"CK2024101810249"</f>
        <v>CK2024101810249</v>
      </c>
      <c r="E5834" s="1" t="str">
        <f>"6935162935312127089"</f>
        <v>6935162935312127089</v>
      </c>
      <c r="F5834" s="1" t="str">
        <f t="shared" si="1866"/>
        <v>花都四部-凤凰仓</v>
      </c>
      <c r="G5834" s="1" t="str">
        <f t="shared" si="1862"/>
        <v>卡卡杜个人护理店（抖店）</v>
      </c>
      <c r="H5834" s="1" t="str">
        <f t="shared" si="1867"/>
        <v>正常订单</v>
      </c>
      <c r="I5834" s="1" t="str">
        <f t="shared" si="1868"/>
        <v>已发货</v>
      </c>
      <c r="J5834" s="1" t="str">
        <f t="shared" si="1861"/>
        <v>3</v>
      </c>
      <c r="K5834" s="1">
        <v>3</v>
      </c>
      <c r="L5834" s="1" t="s">
        <v>20</v>
      </c>
      <c r="M5834" s="1" t="str">
        <f>"浙江省 嘉兴市 海盐县 西塘桥街道"</f>
        <v>浙江省 嘉兴市 海盐县 西塘桥街道</v>
      </c>
      <c r="N5834" s="1" t="str">
        <f t="shared" si="1863"/>
        <v>凡华云仓-韵达-抖音</v>
      </c>
      <c r="O5834" s="5">
        <v>320177483855144</v>
      </c>
      <c r="P5834" s="6">
        <v>0.28000000000000003</v>
      </c>
      <c r="Q5834" s="11">
        <v>2</v>
      </c>
      <c r="R5834" s="11"/>
      <c r="S5834" s="11"/>
      <c r="T5834" s="11"/>
      <c r="U5834" s="11">
        <f t="shared" si="1864"/>
        <v>2</v>
      </c>
      <c r="W5834">
        <v>2.2000000000000002</v>
      </c>
      <c r="X5834" s="1" t="s">
        <v>20</v>
      </c>
    </row>
    <row r="5835" spans="1:24" x14ac:dyDescent="0.25">
      <c r="A5835" s="1" t="str">
        <f t="shared" si="1865"/>
        <v>卡卡杜-凤凰仓</v>
      </c>
      <c r="B5835" s="1" t="str">
        <f>"CK202410186740"</f>
        <v>CK202410186740</v>
      </c>
      <c r="C5835" s="1" t="str">
        <f>"DD2024101812299"</f>
        <v>DD2024101812299</v>
      </c>
      <c r="D5835" s="1" t="str">
        <f>"CK2024101810248"</f>
        <v>CK2024101810248</v>
      </c>
      <c r="E5835" s="1" t="str">
        <f>"6935172162322372014"</f>
        <v>6935172162322372014</v>
      </c>
      <c r="F5835" s="1" t="str">
        <f t="shared" si="1866"/>
        <v>花都四部-凤凰仓</v>
      </c>
      <c r="G5835" s="1" t="str">
        <f t="shared" si="1862"/>
        <v>卡卡杜个人护理店（抖店）</v>
      </c>
      <c r="H5835" s="1" t="str">
        <f t="shared" si="1867"/>
        <v>正常订单</v>
      </c>
      <c r="I5835" s="1" t="str">
        <f t="shared" si="1868"/>
        <v>已发货</v>
      </c>
      <c r="J5835" s="1" t="str">
        <f t="shared" si="1861"/>
        <v>3</v>
      </c>
      <c r="K5835" s="1">
        <v>3</v>
      </c>
      <c r="L5835" s="1" t="s">
        <v>109</v>
      </c>
      <c r="M5835" s="1" t="str">
        <f>"山西省 运城市 盐湖区 姚孟街道"</f>
        <v>山西省 运城市 盐湖区 姚孟街道</v>
      </c>
      <c r="N5835" s="1" t="str">
        <f t="shared" si="1863"/>
        <v>凡华云仓-韵达-抖音</v>
      </c>
      <c r="O5835" s="5">
        <v>320177483855055</v>
      </c>
      <c r="P5835" s="6">
        <v>0.28000000000000003</v>
      </c>
      <c r="Q5835" s="11">
        <v>2</v>
      </c>
      <c r="R5835" s="11"/>
      <c r="S5835" s="11"/>
      <c r="T5835" s="11"/>
      <c r="U5835" s="11">
        <f t="shared" si="1864"/>
        <v>2</v>
      </c>
      <c r="W5835">
        <v>2.2000000000000002</v>
      </c>
      <c r="X5835" s="1" t="s">
        <v>109</v>
      </c>
    </row>
    <row r="5836" spans="1:24" x14ac:dyDescent="0.25">
      <c r="A5836" s="1" t="str">
        <f t="shared" si="1865"/>
        <v>卡卡杜-凤凰仓</v>
      </c>
      <c r="B5836" s="1" t="str">
        <f>"CK202410186741"</f>
        <v>CK202410186741</v>
      </c>
      <c r="C5836" s="1" t="str">
        <f>"DD2024101812300"</f>
        <v>DD2024101812300</v>
      </c>
      <c r="D5836" s="1" t="str">
        <f>"CK2024101810247"</f>
        <v>CK2024101810247</v>
      </c>
      <c r="E5836" s="1" t="str">
        <f>"6935153850035213363"</f>
        <v>6935153850035213363</v>
      </c>
      <c r="F5836" s="1" t="str">
        <f t="shared" si="1866"/>
        <v>花都四部-凤凰仓</v>
      </c>
      <c r="G5836" s="1" t="str">
        <f t="shared" si="1862"/>
        <v>卡卡杜个人护理店（抖店）</v>
      </c>
      <c r="H5836" s="1" t="str">
        <f t="shared" si="1867"/>
        <v>正常订单</v>
      </c>
      <c r="I5836" s="1" t="str">
        <f t="shared" si="1868"/>
        <v>已发货</v>
      </c>
      <c r="J5836" s="1" t="str">
        <f t="shared" si="1861"/>
        <v>3</v>
      </c>
      <c r="K5836" s="1">
        <v>3</v>
      </c>
      <c r="L5836" s="1" t="s">
        <v>32</v>
      </c>
      <c r="M5836" s="1" t="str">
        <f>"陕西省 延安市 富县 张村驿镇"</f>
        <v>陕西省 延安市 富县 张村驿镇</v>
      </c>
      <c r="N5836" s="1" t="str">
        <f t="shared" si="1863"/>
        <v>凡华云仓-韵达-抖音</v>
      </c>
      <c r="O5836" s="5">
        <v>320177483854931</v>
      </c>
      <c r="P5836" s="6">
        <v>0.28000000000000003</v>
      </c>
      <c r="Q5836" s="11">
        <v>2</v>
      </c>
      <c r="R5836" s="11"/>
      <c r="S5836" s="11"/>
      <c r="T5836" s="11"/>
      <c r="U5836" s="11">
        <f t="shared" si="1864"/>
        <v>2</v>
      </c>
      <c r="W5836">
        <v>2.2000000000000002</v>
      </c>
      <c r="X5836" s="1" t="s">
        <v>32</v>
      </c>
    </row>
    <row r="5837" spans="1:24" x14ac:dyDescent="0.25">
      <c r="A5837" s="1" t="str">
        <f t="shared" si="1865"/>
        <v>卡卡杜-凤凰仓</v>
      </c>
      <c r="B5837" s="1" t="str">
        <f>"CK202410186742"</f>
        <v>CK202410186742</v>
      </c>
      <c r="C5837" s="1" t="str">
        <f>"DD2024101812301"</f>
        <v>DD2024101812301</v>
      </c>
      <c r="D5837" s="1" t="str">
        <f>"CK2024101810246"</f>
        <v>CK2024101810246</v>
      </c>
      <c r="E5837" s="1" t="str">
        <f>"6935161007804061386"</f>
        <v>6935161007804061386</v>
      </c>
      <c r="F5837" s="1" t="str">
        <f t="shared" si="1866"/>
        <v>花都四部-凤凰仓</v>
      </c>
      <c r="G5837" s="1" t="str">
        <f t="shared" si="1862"/>
        <v>卡卡杜个人护理店（抖店）</v>
      </c>
      <c r="H5837" s="1" t="str">
        <f t="shared" si="1867"/>
        <v>正常订单</v>
      </c>
      <c r="I5837" s="1" t="str">
        <f t="shared" si="1868"/>
        <v>已发货</v>
      </c>
      <c r="J5837" s="1" t="str">
        <f t="shared" si="1861"/>
        <v>3</v>
      </c>
      <c r="K5837" s="1">
        <v>3</v>
      </c>
      <c r="L5837" s="1" t="s">
        <v>30</v>
      </c>
      <c r="M5837" s="1" t="str">
        <f>"山东省 济宁市 嘉祥县 嘉祥镇街道"</f>
        <v>山东省 济宁市 嘉祥县 嘉祥镇街道</v>
      </c>
      <c r="N5837" s="1" t="str">
        <f t="shared" si="1863"/>
        <v>凡华云仓-韵达-抖音</v>
      </c>
      <c r="O5837" s="5">
        <v>320177483854826</v>
      </c>
      <c r="P5837" s="6">
        <v>0.28000000000000003</v>
      </c>
      <c r="Q5837" s="11">
        <v>2</v>
      </c>
      <c r="R5837" s="11"/>
      <c r="S5837" s="11"/>
      <c r="T5837" s="11"/>
      <c r="U5837" s="11">
        <f t="shared" si="1864"/>
        <v>2</v>
      </c>
      <c r="W5837">
        <v>2.2000000000000002</v>
      </c>
      <c r="X5837" s="1" t="s">
        <v>30</v>
      </c>
    </row>
    <row r="5838" spans="1:24" x14ac:dyDescent="0.25">
      <c r="A5838" s="1" t="str">
        <f t="shared" si="1865"/>
        <v>卡卡杜-凤凰仓</v>
      </c>
      <c r="B5838" s="1" t="str">
        <f>"CK202410189989"</f>
        <v>CK202410189989</v>
      </c>
      <c r="C5838" s="1" t="str">
        <f>"DD2024101815573"</f>
        <v>DD2024101815573</v>
      </c>
      <c r="D5838" s="1" t="str">
        <f>"CK2024101810245"</f>
        <v>CK2024101810245</v>
      </c>
      <c r="E5838" s="1" t="str">
        <f>"6935167558849533694"</f>
        <v>6935167558849533694</v>
      </c>
      <c r="F5838" s="1" t="str">
        <f t="shared" si="1866"/>
        <v>花都四部-凤凰仓</v>
      </c>
      <c r="G5838" s="1" t="str">
        <f t="shared" si="1862"/>
        <v>卡卡杜个人护理店（抖店）</v>
      </c>
      <c r="H5838" s="1" t="str">
        <f t="shared" si="1867"/>
        <v>正常订单</v>
      </c>
      <c r="I5838" s="1" t="str">
        <f t="shared" si="1868"/>
        <v>已发货</v>
      </c>
      <c r="J5838" s="1" t="str">
        <f t="shared" si="1861"/>
        <v>3</v>
      </c>
      <c r="K5838" s="1">
        <v>3</v>
      </c>
      <c r="L5838" s="1" t="s">
        <v>36</v>
      </c>
      <c r="M5838" s="1" t="str">
        <f>"安徽省 黄山市 祁门县 祁山镇"</f>
        <v>安徽省 黄山市 祁门县 祁山镇</v>
      </c>
      <c r="N5838" s="1" t="str">
        <f t="shared" si="1863"/>
        <v>凡华云仓-韵达-抖音</v>
      </c>
      <c r="O5838" s="5">
        <v>320177483854723</v>
      </c>
      <c r="P5838" s="6">
        <v>0.28000000000000003</v>
      </c>
      <c r="Q5838" s="11">
        <v>2</v>
      </c>
      <c r="R5838" s="11"/>
      <c r="S5838" s="11"/>
      <c r="T5838" s="11"/>
      <c r="U5838" s="11">
        <f t="shared" si="1864"/>
        <v>2</v>
      </c>
      <c r="W5838">
        <v>2.2000000000000002</v>
      </c>
      <c r="X5838" s="1" t="s">
        <v>36</v>
      </c>
    </row>
    <row r="5839" spans="1:24" x14ac:dyDescent="0.25">
      <c r="A5839" s="1" t="str">
        <f t="shared" si="1865"/>
        <v>卡卡杜-凤凰仓</v>
      </c>
      <c r="B5839" s="1" t="str">
        <f>"CK202410186743"</f>
        <v>CK202410186743</v>
      </c>
      <c r="C5839" s="1" t="str">
        <f>"DD2024101812302"</f>
        <v>DD2024101812302</v>
      </c>
      <c r="D5839" s="1" t="str">
        <f>"CK2024101810244"</f>
        <v>CK2024101810244</v>
      </c>
      <c r="E5839" s="1" t="str">
        <f>"6935140952374843335"</f>
        <v>6935140952374843335</v>
      </c>
      <c r="F5839" s="1" t="str">
        <f t="shared" si="1866"/>
        <v>花都四部-凤凰仓</v>
      </c>
      <c r="G5839" s="1" t="str">
        <f t="shared" si="1862"/>
        <v>卡卡杜个人护理店（抖店）</v>
      </c>
      <c r="H5839" s="1" t="str">
        <f t="shared" si="1867"/>
        <v>正常订单</v>
      </c>
      <c r="I5839" s="1" t="str">
        <f t="shared" si="1868"/>
        <v>已发货</v>
      </c>
      <c r="J5839" s="1" t="str">
        <f t="shared" si="1861"/>
        <v>3</v>
      </c>
      <c r="K5839" s="1">
        <v>3</v>
      </c>
      <c r="L5839" s="1" t="s">
        <v>47</v>
      </c>
      <c r="M5839" s="1" t="str">
        <f>"重庆 重庆市 九龙坡区 九龙街道"</f>
        <v>重庆 重庆市 九龙坡区 九龙街道</v>
      </c>
      <c r="N5839" s="1" t="str">
        <f t="shared" si="1863"/>
        <v>凡华云仓-韵达-抖音</v>
      </c>
      <c r="O5839" s="5">
        <v>320177483854622</v>
      </c>
      <c r="P5839" s="6">
        <v>0.28000000000000003</v>
      </c>
      <c r="Q5839" s="11">
        <v>2</v>
      </c>
      <c r="R5839" s="11"/>
      <c r="S5839" s="11"/>
      <c r="T5839" s="11"/>
      <c r="U5839" s="11">
        <f t="shared" si="1864"/>
        <v>2</v>
      </c>
      <c r="W5839">
        <v>2.2000000000000002</v>
      </c>
      <c r="X5839" s="1" t="s">
        <v>47</v>
      </c>
    </row>
    <row r="5840" spans="1:24" x14ac:dyDescent="0.25">
      <c r="A5840" s="1" t="str">
        <f t="shared" si="1865"/>
        <v>卡卡杜-凤凰仓</v>
      </c>
      <c r="B5840" s="1" t="str">
        <f>"CK202410186744"</f>
        <v>CK202410186744</v>
      </c>
      <c r="C5840" s="1" t="str">
        <f>"DD2024101812303"</f>
        <v>DD2024101812303</v>
      </c>
      <c r="D5840" s="1" t="str">
        <f>"CK2024101810243"</f>
        <v>CK2024101810243</v>
      </c>
      <c r="E5840" s="1" t="str">
        <f>"6935156143203096301"</f>
        <v>6935156143203096301</v>
      </c>
      <c r="F5840" s="1" t="str">
        <f t="shared" si="1866"/>
        <v>花都四部-凤凰仓</v>
      </c>
      <c r="G5840" s="1" t="str">
        <f t="shared" si="1862"/>
        <v>卡卡杜个人护理店（抖店）</v>
      </c>
      <c r="H5840" s="1" t="str">
        <f t="shared" si="1867"/>
        <v>正常订单</v>
      </c>
      <c r="I5840" s="1" t="str">
        <f t="shared" si="1868"/>
        <v>已发货</v>
      </c>
      <c r="J5840" s="1" t="str">
        <f t="shared" si="1861"/>
        <v>3</v>
      </c>
      <c r="K5840" s="1">
        <v>3</v>
      </c>
      <c r="L5840" s="1" t="s">
        <v>13</v>
      </c>
      <c r="M5840" s="1" t="str">
        <f>"江苏省 苏州市 姑苏区 虎丘街道"</f>
        <v>江苏省 苏州市 姑苏区 虎丘街道</v>
      </c>
      <c r="N5840" s="1" t="str">
        <f t="shared" si="1863"/>
        <v>凡华云仓-韵达-抖音</v>
      </c>
      <c r="O5840" s="5">
        <v>320177483854523</v>
      </c>
      <c r="P5840" s="6">
        <v>0.28000000000000003</v>
      </c>
      <c r="Q5840" s="11">
        <v>2</v>
      </c>
      <c r="R5840" s="11"/>
      <c r="S5840" s="11"/>
      <c r="T5840" s="11"/>
      <c r="U5840" s="11">
        <f t="shared" si="1864"/>
        <v>2</v>
      </c>
      <c r="W5840">
        <v>2.2000000000000002</v>
      </c>
      <c r="X5840" s="1" t="s">
        <v>13</v>
      </c>
    </row>
    <row r="5841" spans="1:24" x14ac:dyDescent="0.25">
      <c r="A5841" s="1" t="str">
        <f t="shared" si="1865"/>
        <v>卡卡杜-凤凰仓</v>
      </c>
      <c r="B5841" s="1" t="str">
        <f>"CK202410186745"</f>
        <v>CK202410186745</v>
      </c>
      <c r="C5841" s="1" t="str">
        <f>"DD2024101812304"</f>
        <v>DD2024101812304</v>
      </c>
      <c r="D5841" s="1" t="str">
        <f>"CK2024101810242"</f>
        <v>CK2024101810242</v>
      </c>
      <c r="E5841" s="1" t="str">
        <f>"6935145417381189016"</f>
        <v>6935145417381189016</v>
      </c>
      <c r="F5841" s="1" t="str">
        <f t="shared" si="1866"/>
        <v>花都四部-凤凰仓</v>
      </c>
      <c r="G5841" s="1" t="str">
        <f t="shared" si="1862"/>
        <v>卡卡杜个人护理店（抖店）</v>
      </c>
      <c r="H5841" s="1" t="str">
        <f t="shared" si="1867"/>
        <v>正常订单</v>
      </c>
      <c r="I5841" s="1" t="str">
        <f t="shared" si="1868"/>
        <v>已发货</v>
      </c>
      <c r="J5841" s="1" t="str">
        <f t="shared" si="1861"/>
        <v>3</v>
      </c>
      <c r="K5841" s="1">
        <v>3</v>
      </c>
      <c r="L5841" s="1" t="s">
        <v>187</v>
      </c>
      <c r="M5841" s="1" t="str">
        <f>"吉林省 长春市 二道区 远达街道"</f>
        <v>吉林省 长春市 二道区 远达街道</v>
      </c>
      <c r="N5841" s="1" t="str">
        <f t="shared" si="1863"/>
        <v>凡华云仓-韵达-抖音</v>
      </c>
      <c r="O5841" s="5">
        <v>320177482817454</v>
      </c>
      <c r="P5841" s="6">
        <v>0.28000000000000003</v>
      </c>
      <c r="Q5841" s="11">
        <v>2</v>
      </c>
      <c r="R5841" s="11"/>
      <c r="S5841" s="11"/>
      <c r="T5841" s="11"/>
      <c r="U5841" s="11">
        <f t="shared" si="1864"/>
        <v>2</v>
      </c>
      <c r="W5841">
        <v>2.2000000000000002</v>
      </c>
      <c r="X5841" s="1" t="s">
        <v>187</v>
      </c>
    </row>
    <row r="5842" spans="1:24" x14ac:dyDescent="0.25">
      <c r="A5842" s="1" t="str">
        <f t="shared" si="1865"/>
        <v>卡卡杜-凤凰仓</v>
      </c>
      <c r="B5842" s="1" t="str">
        <f>"CK202410186746"</f>
        <v>CK202410186746</v>
      </c>
      <c r="C5842" s="1" t="str">
        <f>"DD2024101812306"</f>
        <v>DD2024101812306</v>
      </c>
      <c r="D5842" s="1" t="str">
        <f>"CK2024101810241"</f>
        <v>CK2024101810241</v>
      </c>
      <c r="E5842" s="1" t="str">
        <f>"6935167628926654152"</f>
        <v>6935167628926654152</v>
      </c>
      <c r="F5842" s="1" t="str">
        <f t="shared" si="1866"/>
        <v>花都四部-凤凰仓</v>
      </c>
      <c r="G5842" s="1" t="str">
        <f t="shared" si="1862"/>
        <v>卡卡杜个人护理店（抖店）</v>
      </c>
      <c r="H5842" s="1" t="str">
        <f t="shared" si="1867"/>
        <v>正常订单</v>
      </c>
      <c r="I5842" s="1" t="str">
        <f t="shared" si="1868"/>
        <v>已发货</v>
      </c>
      <c r="J5842" s="1" t="str">
        <f t="shared" si="1861"/>
        <v>3</v>
      </c>
      <c r="K5842" s="1">
        <v>3</v>
      </c>
      <c r="L5842" s="1" t="s">
        <v>41</v>
      </c>
      <c r="M5842" s="1" t="str">
        <f>"湖北省 武汉市 江夏区 佛祖岭街道"</f>
        <v>湖北省 武汉市 江夏区 佛祖岭街道</v>
      </c>
      <c r="N5842" s="1" t="str">
        <f t="shared" si="1863"/>
        <v>凡华云仓-韵达-抖音</v>
      </c>
      <c r="O5842" s="5">
        <v>320177482817359</v>
      </c>
      <c r="P5842" s="6">
        <v>0.28000000000000003</v>
      </c>
      <c r="Q5842" s="11">
        <v>2</v>
      </c>
      <c r="R5842" s="11"/>
      <c r="S5842" s="11"/>
      <c r="T5842" s="11"/>
      <c r="U5842" s="11">
        <f t="shared" si="1864"/>
        <v>2</v>
      </c>
      <c r="W5842">
        <v>2.2000000000000002</v>
      </c>
      <c r="X5842" s="1" t="s">
        <v>41</v>
      </c>
    </row>
    <row r="5843" spans="1:24" x14ac:dyDescent="0.25">
      <c r="A5843" s="1" t="str">
        <f t="shared" si="1865"/>
        <v>卡卡杜-凤凰仓</v>
      </c>
      <c r="B5843" s="1" t="str">
        <f>"CK202410189990"</f>
        <v>CK202410189990</v>
      </c>
      <c r="C5843" s="1" t="str">
        <f>"DD2024101815571"</f>
        <v>DD2024101815571</v>
      </c>
      <c r="D5843" s="1" t="str">
        <f>"CK2024101810240"</f>
        <v>CK2024101810240</v>
      </c>
      <c r="E5843" s="1" t="str">
        <f>"6935176669226931415"</f>
        <v>6935176669226931415</v>
      </c>
      <c r="F5843" s="1" t="str">
        <f t="shared" si="1866"/>
        <v>花都四部-凤凰仓</v>
      </c>
      <c r="G5843" s="1" t="str">
        <f t="shared" si="1862"/>
        <v>卡卡杜个人护理店（抖店）</v>
      </c>
      <c r="H5843" s="1" t="str">
        <f t="shared" si="1867"/>
        <v>正常订单</v>
      </c>
      <c r="I5843" s="1" t="str">
        <f t="shared" si="1868"/>
        <v>已发货</v>
      </c>
      <c r="J5843" s="1" t="str">
        <f t="shared" si="1861"/>
        <v>3</v>
      </c>
      <c r="K5843" s="1">
        <v>3</v>
      </c>
      <c r="L5843" s="1" t="s">
        <v>36</v>
      </c>
      <c r="M5843" s="1" t="str">
        <f>"安徽省 六安市 叶集区 姚李镇"</f>
        <v>安徽省 六安市 叶集区 姚李镇</v>
      </c>
      <c r="N5843" s="1" t="str">
        <f t="shared" si="1863"/>
        <v>凡华云仓-韵达-抖音</v>
      </c>
      <c r="O5843" s="5">
        <v>320177482817266</v>
      </c>
      <c r="P5843" s="6">
        <v>0.28000000000000003</v>
      </c>
      <c r="Q5843" s="11">
        <v>2</v>
      </c>
      <c r="R5843" s="11"/>
      <c r="S5843" s="11"/>
      <c r="T5843" s="11"/>
      <c r="U5843" s="11">
        <f t="shared" si="1864"/>
        <v>2</v>
      </c>
      <c r="W5843">
        <v>2.2000000000000002</v>
      </c>
      <c r="X5843" s="1" t="s">
        <v>36</v>
      </c>
    </row>
    <row r="5844" spans="1:24" x14ac:dyDescent="0.25">
      <c r="A5844" s="1" t="str">
        <f t="shared" si="1865"/>
        <v>卡卡杜-凤凰仓</v>
      </c>
      <c r="B5844" s="1" t="str">
        <f>"CK202410186747"</f>
        <v>CK202410186747</v>
      </c>
      <c r="C5844" s="1" t="str">
        <f>"DD2024101812305"</f>
        <v>DD2024101812305</v>
      </c>
      <c r="D5844" s="1" t="str">
        <f>"CK2024101810239"</f>
        <v>CK2024101810239</v>
      </c>
      <c r="E5844" s="1" t="str">
        <f>"6935169884150437704"</f>
        <v>6935169884150437704</v>
      </c>
      <c r="F5844" s="1" t="str">
        <f t="shared" si="1866"/>
        <v>花都四部-凤凰仓</v>
      </c>
      <c r="G5844" s="1" t="str">
        <f t="shared" si="1862"/>
        <v>卡卡杜个人护理店（抖店）</v>
      </c>
      <c r="H5844" s="1" t="str">
        <f t="shared" si="1867"/>
        <v>正常订单</v>
      </c>
      <c r="I5844" s="1" t="str">
        <f t="shared" si="1868"/>
        <v>已发货</v>
      </c>
      <c r="J5844" s="1" t="str">
        <f t="shared" si="1861"/>
        <v>3</v>
      </c>
      <c r="K5844" s="1">
        <v>3</v>
      </c>
      <c r="L5844" s="1" t="s">
        <v>13</v>
      </c>
      <c r="M5844" s="1" t="str">
        <f>"江苏省 盐城市 盐都区 龙冈镇"</f>
        <v>江苏省 盐城市 盐都区 龙冈镇</v>
      </c>
      <c r="N5844" s="1" t="str">
        <f t="shared" si="1863"/>
        <v>凡华云仓-韵达-抖音</v>
      </c>
      <c r="O5844" s="5">
        <v>320177482817175</v>
      </c>
      <c r="P5844" s="6">
        <v>0.28000000000000003</v>
      </c>
      <c r="Q5844" s="11">
        <v>2</v>
      </c>
      <c r="R5844" s="11"/>
      <c r="S5844" s="11"/>
      <c r="T5844" s="11"/>
      <c r="U5844" s="11">
        <f t="shared" si="1864"/>
        <v>2</v>
      </c>
      <c r="W5844">
        <v>2.2000000000000002</v>
      </c>
      <c r="X5844" s="1" t="s">
        <v>13</v>
      </c>
    </row>
    <row r="5845" spans="1:24" x14ac:dyDescent="0.25">
      <c r="A5845" s="1" t="str">
        <f t="shared" si="1865"/>
        <v>卡卡杜-凤凰仓</v>
      </c>
      <c r="B5845" s="1" t="str">
        <f>"CK202410186748"</f>
        <v>CK202410186748</v>
      </c>
      <c r="C5845" s="1" t="str">
        <f>"DD2024101812307"</f>
        <v>DD2024101812307</v>
      </c>
      <c r="D5845" s="1" t="str">
        <f>"CK2024101810238"</f>
        <v>CK2024101810238</v>
      </c>
      <c r="E5845" s="1" t="str">
        <f>"6935165168781497519"</f>
        <v>6935165168781497519</v>
      </c>
      <c r="F5845" s="1" t="str">
        <f t="shared" si="1866"/>
        <v>花都四部-凤凰仓</v>
      </c>
      <c r="G5845" s="1" t="str">
        <f t="shared" si="1862"/>
        <v>卡卡杜个人护理店（抖店）</v>
      </c>
      <c r="H5845" s="1" t="str">
        <f t="shared" si="1867"/>
        <v>正常订单</v>
      </c>
      <c r="I5845" s="1" t="str">
        <f t="shared" si="1868"/>
        <v>已发货</v>
      </c>
      <c r="J5845" s="1" t="str">
        <f t="shared" si="1861"/>
        <v>3</v>
      </c>
      <c r="K5845" s="1">
        <v>3</v>
      </c>
      <c r="L5845" s="1" t="s">
        <v>24</v>
      </c>
      <c r="M5845" s="1" t="str">
        <f>"福建省 厦门市 思明区 梧村街道"</f>
        <v>福建省 厦门市 思明区 梧村街道</v>
      </c>
      <c r="N5845" s="1" t="str">
        <f t="shared" si="1863"/>
        <v>凡华云仓-韵达-抖音</v>
      </c>
      <c r="O5845" s="5">
        <v>320177482817086</v>
      </c>
      <c r="P5845" s="6">
        <v>0.28000000000000003</v>
      </c>
      <c r="Q5845" s="11">
        <v>2</v>
      </c>
      <c r="R5845" s="11"/>
      <c r="S5845" s="11"/>
      <c r="T5845" s="11"/>
      <c r="U5845" s="11">
        <f t="shared" si="1864"/>
        <v>2</v>
      </c>
      <c r="W5845">
        <v>2.2000000000000002</v>
      </c>
      <c r="X5845" s="1" t="s">
        <v>24</v>
      </c>
    </row>
    <row r="5846" spans="1:24" x14ac:dyDescent="0.25">
      <c r="A5846" s="1" t="str">
        <f t="shared" si="1865"/>
        <v>卡卡杜-凤凰仓</v>
      </c>
      <c r="B5846" s="1" t="str">
        <f>"CK202410186749"</f>
        <v>CK202410186749</v>
      </c>
      <c r="C5846" s="1" t="str">
        <f>"DD2024101812309"</f>
        <v>DD2024101812309</v>
      </c>
      <c r="D5846" s="1" t="str">
        <f>"CK2024101810237"</f>
        <v>CK2024101810237</v>
      </c>
      <c r="E5846" s="1" t="str">
        <f>"6935174211592262710"</f>
        <v>6935174211592262710</v>
      </c>
      <c r="F5846" s="1" t="str">
        <f t="shared" si="1866"/>
        <v>花都四部-凤凰仓</v>
      </c>
      <c r="G5846" s="1" t="str">
        <f t="shared" si="1862"/>
        <v>卡卡杜个人护理店（抖店）</v>
      </c>
      <c r="H5846" s="1" t="str">
        <f t="shared" si="1867"/>
        <v>正常订单</v>
      </c>
      <c r="I5846" s="1" t="str">
        <f t="shared" si="1868"/>
        <v>已发货</v>
      </c>
      <c r="J5846" s="1" t="str">
        <f>"6"</f>
        <v>6</v>
      </c>
      <c r="K5846" s="1">
        <v>3</v>
      </c>
      <c r="L5846" s="1" t="s">
        <v>20</v>
      </c>
      <c r="M5846" s="1" t="str">
        <f>"浙江省 绍兴市 诸暨市 安华镇"</f>
        <v>浙江省 绍兴市 诸暨市 安华镇</v>
      </c>
      <c r="N5846" s="1" t="str">
        <f t="shared" si="1863"/>
        <v>凡华云仓-韵达-抖音</v>
      </c>
      <c r="O5846" s="5">
        <v>320177482816958</v>
      </c>
      <c r="P5846" s="6">
        <v>0.47</v>
      </c>
      <c r="Q5846" s="11">
        <v>2.2999999999999998</v>
      </c>
      <c r="R5846" s="11"/>
      <c r="S5846" s="11"/>
      <c r="T5846" s="11"/>
      <c r="U5846" s="11">
        <f t="shared" si="1864"/>
        <v>2.2999999999999998</v>
      </c>
      <c r="W5846">
        <v>2.5</v>
      </c>
      <c r="X5846" s="1" t="s">
        <v>20</v>
      </c>
    </row>
    <row r="5847" spans="1:24" x14ac:dyDescent="0.25">
      <c r="A5847" s="1" t="str">
        <f t="shared" si="1865"/>
        <v>卡卡杜-凤凰仓</v>
      </c>
      <c r="B5847" s="1" t="str">
        <f>"CK202410189991"</f>
        <v>CK202410189991</v>
      </c>
      <c r="C5847" s="1" t="str">
        <f>"DD2024101815575"</f>
        <v>DD2024101815575</v>
      </c>
      <c r="D5847" s="1" t="str">
        <f>"CK2024101810236"</f>
        <v>CK2024101810236</v>
      </c>
      <c r="E5847" s="1" t="str">
        <f>"6935167566737774175"</f>
        <v>6935167566737774175</v>
      </c>
      <c r="F5847" s="1" t="str">
        <f t="shared" si="1866"/>
        <v>花都四部-凤凰仓</v>
      </c>
      <c r="G5847" s="1" t="str">
        <f t="shared" si="1862"/>
        <v>卡卡杜个人护理店（抖店）</v>
      </c>
      <c r="H5847" s="1" t="str">
        <f t="shared" si="1867"/>
        <v>正常订单</v>
      </c>
      <c r="I5847" s="1" t="str">
        <f t="shared" si="1868"/>
        <v>已发货</v>
      </c>
      <c r="J5847" s="1" t="str">
        <f t="shared" ref="J5847:J5907" si="1869">"3"</f>
        <v>3</v>
      </c>
      <c r="K5847" s="1">
        <v>3</v>
      </c>
      <c r="L5847" s="1" t="s">
        <v>22</v>
      </c>
      <c r="M5847" s="1" t="str">
        <f>"江西省 南昌市 青山湖区 京东镇"</f>
        <v>江西省 南昌市 青山湖区 京东镇</v>
      </c>
      <c r="N5847" s="1" t="str">
        <f t="shared" si="1863"/>
        <v>凡华云仓-韵达-抖音</v>
      </c>
      <c r="O5847" s="5">
        <v>320177482816853</v>
      </c>
      <c r="P5847" s="6">
        <v>0.28000000000000003</v>
      </c>
      <c r="Q5847" s="11">
        <v>2</v>
      </c>
      <c r="R5847" s="11"/>
      <c r="S5847" s="11"/>
      <c r="T5847" s="11"/>
      <c r="U5847" s="11">
        <f t="shared" si="1864"/>
        <v>2</v>
      </c>
      <c r="W5847">
        <v>2.2000000000000002</v>
      </c>
      <c r="X5847" s="1" t="s">
        <v>22</v>
      </c>
    </row>
    <row r="5848" spans="1:24" x14ac:dyDescent="0.25">
      <c r="A5848" s="1" t="str">
        <f t="shared" si="1865"/>
        <v>卡卡杜-凤凰仓</v>
      </c>
      <c r="B5848" s="1" t="str">
        <f>"CK202410186750"</f>
        <v>CK202410186750</v>
      </c>
      <c r="C5848" s="1" t="str">
        <f>"DD2024101812308"</f>
        <v>DD2024101812308</v>
      </c>
      <c r="D5848" s="1" t="str">
        <f>"CK2024101810235"</f>
        <v>CK2024101810235</v>
      </c>
      <c r="E5848" s="1" t="str">
        <f>"6935160900256994610"</f>
        <v>6935160900256994610</v>
      </c>
      <c r="F5848" s="1" t="str">
        <f t="shared" si="1866"/>
        <v>花都四部-凤凰仓</v>
      </c>
      <c r="G5848" s="1" t="str">
        <f t="shared" si="1862"/>
        <v>卡卡杜个人护理店（抖店）</v>
      </c>
      <c r="H5848" s="1" t="str">
        <f t="shared" si="1867"/>
        <v>正常订单</v>
      </c>
      <c r="I5848" s="1" t="str">
        <f t="shared" si="1868"/>
        <v>已发货</v>
      </c>
      <c r="J5848" s="1" t="str">
        <f t="shared" si="1869"/>
        <v>3</v>
      </c>
      <c r="K5848" s="1">
        <v>3</v>
      </c>
      <c r="L5848" s="1" t="s">
        <v>20</v>
      </c>
      <c r="M5848" s="1" t="str">
        <f>"浙江省 温州市 鹿城区 广化街道"</f>
        <v>浙江省 温州市 鹿城区 广化街道</v>
      </c>
      <c r="N5848" s="1" t="str">
        <f t="shared" si="1863"/>
        <v>凡华云仓-韵达-抖音</v>
      </c>
      <c r="O5848" s="5">
        <v>320177482816750</v>
      </c>
      <c r="P5848" s="6">
        <v>0.28000000000000003</v>
      </c>
      <c r="Q5848" s="11">
        <v>2</v>
      </c>
      <c r="R5848" s="11"/>
      <c r="S5848" s="11"/>
      <c r="T5848" s="11"/>
      <c r="U5848" s="11">
        <f t="shared" si="1864"/>
        <v>2</v>
      </c>
      <c r="W5848">
        <v>2.2000000000000002</v>
      </c>
      <c r="X5848" s="1" t="s">
        <v>20</v>
      </c>
    </row>
    <row r="5849" spans="1:24" x14ac:dyDescent="0.25">
      <c r="A5849" s="1" t="str">
        <f t="shared" si="1865"/>
        <v>卡卡杜-凤凰仓</v>
      </c>
      <c r="B5849" s="1" t="str">
        <f>"CK202410186751"</f>
        <v>CK202410186751</v>
      </c>
      <c r="C5849" s="1" t="str">
        <f>"DD2024101812310"</f>
        <v>DD2024101812310</v>
      </c>
      <c r="D5849" s="1" t="str">
        <f>"CK2024101810234"</f>
        <v>CK2024101810234</v>
      </c>
      <c r="E5849" s="1" t="str">
        <f>"6935149978630297059"</f>
        <v>6935149978630297059</v>
      </c>
      <c r="F5849" s="1" t="str">
        <f t="shared" si="1866"/>
        <v>花都四部-凤凰仓</v>
      </c>
      <c r="G5849" s="1" t="str">
        <f t="shared" si="1862"/>
        <v>卡卡杜个人护理店（抖店）</v>
      </c>
      <c r="H5849" s="1" t="str">
        <f t="shared" si="1867"/>
        <v>正常订单</v>
      </c>
      <c r="I5849" s="1" t="str">
        <f t="shared" si="1868"/>
        <v>已发货</v>
      </c>
      <c r="J5849" s="1" t="str">
        <f t="shared" si="1869"/>
        <v>3</v>
      </c>
      <c r="K5849" s="1">
        <v>3</v>
      </c>
      <c r="L5849" s="1" t="s">
        <v>80</v>
      </c>
      <c r="M5849" s="1" t="str">
        <f>"河南省 郑州市 金水区 北林路街道"</f>
        <v>河南省 郑州市 金水区 北林路街道</v>
      </c>
      <c r="N5849" s="1" t="str">
        <f t="shared" si="1863"/>
        <v>凡华云仓-韵达-抖音</v>
      </c>
      <c r="O5849" s="5">
        <v>320177482816649</v>
      </c>
      <c r="P5849" s="6">
        <v>0.28000000000000003</v>
      </c>
      <c r="Q5849" s="11">
        <v>2</v>
      </c>
      <c r="R5849" s="11"/>
      <c r="S5849" s="11"/>
      <c r="T5849" s="11"/>
      <c r="U5849" s="11">
        <f t="shared" si="1864"/>
        <v>2</v>
      </c>
      <c r="W5849">
        <v>2.2000000000000002</v>
      </c>
      <c r="X5849" s="1" t="s">
        <v>80</v>
      </c>
    </row>
    <row r="5850" spans="1:24" x14ac:dyDescent="0.25">
      <c r="A5850" s="1" t="str">
        <f t="shared" si="1865"/>
        <v>卡卡杜-凤凰仓</v>
      </c>
      <c r="B5850" s="1" t="str">
        <f>"CK202410186752"</f>
        <v>CK202410186752</v>
      </c>
      <c r="C5850" s="1" t="str">
        <f>"DD2024101812311"</f>
        <v>DD2024101812311</v>
      </c>
      <c r="D5850" s="1" t="str">
        <f>"CK2024101810233"</f>
        <v>CK2024101810233</v>
      </c>
      <c r="E5850" s="1" t="str">
        <f>"6935153935915357915"</f>
        <v>6935153935915357915</v>
      </c>
      <c r="F5850" s="1" t="str">
        <f t="shared" si="1866"/>
        <v>花都四部-凤凰仓</v>
      </c>
      <c r="G5850" s="1" t="str">
        <f t="shared" si="1862"/>
        <v>卡卡杜个人护理店（抖店）</v>
      </c>
      <c r="H5850" s="1" t="str">
        <f t="shared" si="1867"/>
        <v>正常订单</v>
      </c>
      <c r="I5850" s="1" t="str">
        <f t="shared" si="1868"/>
        <v>已发货</v>
      </c>
      <c r="J5850" s="1" t="str">
        <f t="shared" si="1869"/>
        <v>3</v>
      </c>
      <c r="K5850" s="1">
        <v>3</v>
      </c>
      <c r="L5850" s="1" t="s">
        <v>54</v>
      </c>
      <c r="M5850" s="1" t="str">
        <f>"黑龙江省 哈尔滨市 道外区 太平大街街道"</f>
        <v>黑龙江省 哈尔滨市 道外区 太平大街街道</v>
      </c>
      <c r="N5850" s="1" t="str">
        <f t="shared" si="1863"/>
        <v>凡华云仓-韵达-抖音</v>
      </c>
      <c r="O5850" s="5">
        <v>320177482816550</v>
      </c>
      <c r="P5850" s="6">
        <v>0.28000000000000003</v>
      </c>
      <c r="Q5850" s="11">
        <v>2</v>
      </c>
      <c r="R5850" s="11"/>
      <c r="S5850" s="11"/>
      <c r="T5850" s="11"/>
      <c r="U5850" s="11">
        <f t="shared" si="1864"/>
        <v>2</v>
      </c>
      <c r="W5850">
        <v>2.2000000000000002</v>
      </c>
      <c r="X5850" s="1" t="s">
        <v>54</v>
      </c>
    </row>
    <row r="5851" spans="1:24" x14ac:dyDescent="0.25">
      <c r="A5851" s="1" t="str">
        <f t="shared" si="1865"/>
        <v>卡卡杜-凤凰仓</v>
      </c>
      <c r="B5851" s="1" t="str">
        <f>"CK202410189992"</f>
        <v>CK202410189992</v>
      </c>
      <c r="C5851" s="1" t="str">
        <f>"DD2024101815576"</f>
        <v>DD2024101815576</v>
      </c>
      <c r="D5851" s="1" t="str">
        <f>"CK2024101810232"</f>
        <v>CK2024101810232</v>
      </c>
      <c r="E5851" s="1" t="str">
        <f>"6935167614487172383"</f>
        <v>6935167614487172383</v>
      </c>
      <c r="F5851" s="1" t="str">
        <f t="shared" si="1866"/>
        <v>花都四部-凤凰仓</v>
      </c>
      <c r="G5851" s="1" t="str">
        <f t="shared" si="1862"/>
        <v>卡卡杜个人护理店（抖店）</v>
      </c>
      <c r="H5851" s="1" t="str">
        <f t="shared" si="1867"/>
        <v>正常订单</v>
      </c>
      <c r="I5851" s="1" t="str">
        <f t="shared" si="1868"/>
        <v>已发货</v>
      </c>
      <c r="J5851" s="1" t="str">
        <f t="shared" si="1869"/>
        <v>3</v>
      </c>
      <c r="K5851" s="1">
        <v>3</v>
      </c>
      <c r="L5851" s="1" t="s">
        <v>24</v>
      </c>
      <c r="M5851" s="1" t="str">
        <f>"福建省 泉州市 泉港区 后龙镇"</f>
        <v>福建省 泉州市 泉港区 后龙镇</v>
      </c>
      <c r="N5851" s="1" t="str">
        <f t="shared" si="1863"/>
        <v>凡华云仓-韵达-抖音</v>
      </c>
      <c r="O5851" s="5">
        <v>320177501107329</v>
      </c>
      <c r="P5851" s="6">
        <v>0.28000000000000003</v>
      </c>
      <c r="Q5851" s="11">
        <v>2</v>
      </c>
      <c r="R5851" s="11"/>
      <c r="S5851" s="11"/>
      <c r="T5851" s="11"/>
      <c r="U5851" s="11">
        <f t="shared" si="1864"/>
        <v>2</v>
      </c>
      <c r="W5851">
        <v>2.2000000000000002</v>
      </c>
      <c r="X5851" s="1" t="s">
        <v>24</v>
      </c>
    </row>
    <row r="5852" spans="1:24" x14ac:dyDescent="0.25">
      <c r="A5852" s="1" t="str">
        <f t="shared" si="1865"/>
        <v>卡卡杜-凤凰仓</v>
      </c>
      <c r="B5852" s="1" t="str">
        <f>"CK202410186753"</f>
        <v>CK202410186753</v>
      </c>
      <c r="C5852" s="1" t="str">
        <f>"DD2024101812312"</f>
        <v>DD2024101812312</v>
      </c>
      <c r="D5852" s="1" t="str">
        <f>"CK2024101810231"</f>
        <v>CK2024101810231</v>
      </c>
      <c r="E5852" s="1" t="str">
        <f>"6935171966614902276"</f>
        <v>6935171966614902276</v>
      </c>
      <c r="F5852" s="1" t="str">
        <f t="shared" si="1866"/>
        <v>花都四部-凤凰仓</v>
      </c>
      <c r="G5852" s="1" t="str">
        <f t="shared" si="1862"/>
        <v>卡卡杜个人护理店（抖店）</v>
      </c>
      <c r="H5852" s="1" t="str">
        <f t="shared" si="1867"/>
        <v>正常订单</v>
      </c>
      <c r="I5852" s="1" t="str">
        <f t="shared" si="1868"/>
        <v>已发货</v>
      </c>
      <c r="J5852" s="1" t="str">
        <f t="shared" si="1869"/>
        <v>3</v>
      </c>
      <c r="K5852" s="1">
        <v>3</v>
      </c>
      <c r="L5852" s="1" t="s">
        <v>16</v>
      </c>
      <c r="M5852" s="1" t="str">
        <f>"河北省 唐山市 古冶区 古冶街道"</f>
        <v>河北省 唐山市 古冶区 古冶街道</v>
      </c>
      <c r="N5852" s="1" t="str">
        <f t="shared" si="1863"/>
        <v>凡华云仓-韵达-抖音</v>
      </c>
      <c r="O5852" s="5">
        <v>320177501107236</v>
      </c>
      <c r="P5852" s="6">
        <v>0.28000000000000003</v>
      </c>
      <c r="Q5852" s="11">
        <v>2</v>
      </c>
      <c r="R5852" s="11"/>
      <c r="S5852" s="11"/>
      <c r="T5852" s="11"/>
      <c r="U5852" s="11">
        <f t="shared" si="1864"/>
        <v>2</v>
      </c>
      <c r="W5852">
        <v>2.2000000000000002</v>
      </c>
      <c r="X5852" s="1" t="s">
        <v>16</v>
      </c>
    </row>
    <row r="5853" spans="1:24" x14ac:dyDescent="0.25">
      <c r="A5853" s="1" t="str">
        <f t="shared" si="1865"/>
        <v>卡卡杜-凤凰仓</v>
      </c>
      <c r="B5853" s="1" t="str">
        <f>"CK202410186754"</f>
        <v>CK202410186754</v>
      </c>
      <c r="C5853" s="1" t="str">
        <f>"DD2024101812313"</f>
        <v>DD2024101812313</v>
      </c>
      <c r="D5853" s="1" t="str">
        <f>"CK2024101810230"</f>
        <v>CK2024101810230</v>
      </c>
      <c r="E5853" s="1" t="str">
        <f>"6935151728222868568"</f>
        <v>6935151728222868568</v>
      </c>
      <c r="F5853" s="1" t="str">
        <f t="shared" si="1866"/>
        <v>花都四部-凤凰仓</v>
      </c>
      <c r="G5853" s="1" t="str">
        <f t="shared" si="1862"/>
        <v>卡卡杜个人护理店（抖店）</v>
      </c>
      <c r="H5853" s="1" t="str">
        <f t="shared" si="1867"/>
        <v>正常订单</v>
      </c>
      <c r="I5853" s="1" t="str">
        <f t="shared" si="1868"/>
        <v>已发货</v>
      </c>
      <c r="J5853" s="1" t="str">
        <f t="shared" si="1869"/>
        <v>3</v>
      </c>
      <c r="K5853" s="1">
        <v>3</v>
      </c>
      <c r="L5853" s="1" t="s">
        <v>22</v>
      </c>
      <c r="M5853" s="1" t="str">
        <f>"江西省 上饶市 玉山县 冰溪街道"</f>
        <v>江西省 上饶市 玉山县 冰溪街道</v>
      </c>
      <c r="N5853" s="1" t="str">
        <f t="shared" si="1863"/>
        <v>凡华云仓-韵达-抖音</v>
      </c>
      <c r="O5853" s="5">
        <v>320177501107145</v>
      </c>
      <c r="P5853" s="6">
        <v>0.28000000000000003</v>
      </c>
      <c r="Q5853" s="11">
        <v>2</v>
      </c>
      <c r="R5853" s="11"/>
      <c r="S5853" s="11"/>
      <c r="T5853" s="11"/>
      <c r="U5853" s="11">
        <f t="shared" si="1864"/>
        <v>2</v>
      </c>
      <c r="W5853">
        <v>2.2000000000000002</v>
      </c>
      <c r="X5853" s="1" t="s">
        <v>22</v>
      </c>
    </row>
    <row r="5854" spans="1:24" x14ac:dyDescent="0.25">
      <c r="A5854" s="1" t="str">
        <f t="shared" si="1865"/>
        <v>卡卡杜-凤凰仓</v>
      </c>
      <c r="B5854" s="1" t="str">
        <f>"CK202410186755"</f>
        <v>CK202410186755</v>
      </c>
      <c r="C5854" s="1" t="str">
        <f>"DD2024101812314"</f>
        <v>DD2024101812314</v>
      </c>
      <c r="D5854" s="1" t="str">
        <f>"CK2024101810229"</f>
        <v>CK2024101810229</v>
      </c>
      <c r="E5854" s="1" t="str">
        <f>"6935153979082610223"</f>
        <v>6935153979082610223</v>
      </c>
      <c r="F5854" s="1" t="str">
        <f t="shared" si="1866"/>
        <v>花都四部-凤凰仓</v>
      </c>
      <c r="G5854" s="1" t="str">
        <f t="shared" si="1862"/>
        <v>卡卡杜个人护理店（抖店）</v>
      </c>
      <c r="H5854" s="1" t="str">
        <f t="shared" si="1867"/>
        <v>正常订单</v>
      </c>
      <c r="I5854" s="1" t="str">
        <f t="shared" si="1868"/>
        <v>已发货</v>
      </c>
      <c r="J5854" s="1" t="str">
        <f t="shared" si="1869"/>
        <v>3</v>
      </c>
      <c r="K5854" s="1">
        <v>3</v>
      </c>
      <c r="L5854" s="1" t="s">
        <v>187</v>
      </c>
      <c r="M5854" s="1" t="str">
        <f>"吉林省 长春市 二道区 长青街道"</f>
        <v>吉林省 长春市 二道区 长青街道</v>
      </c>
      <c r="N5854" s="1" t="str">
        <f t="shared" si="1863"/>
        <v>凡华云仓-韵达-抖音</v>
      </c>
      <c r="O5854" s="5">
        <v>320177501107056</v>
      </c>
      <c r="P5854" s="6">
        <v>0.28000000000000003</v>
      </c>
      <c r="Q5854" s="11">
        <v>2</v>
      </c>
      <c r="R5854" s="11"/>
      <c r="S5854" s="11"/>
      <c r="T5854" s="11"/>
      <c r="U5854" s="11">
        <f t="shared" si="1864"/>
        <v>2</v>
      </c>
      <c r="W5854">
        <v>2.2000000000000002</v>
      </c>
      <c r="X5854" s="1" t="s">
        <v>187</v>
      </c>
    </row>
    <row r="5855" spans="1:24" x14ac:dyDescent="0.25">
      <c r="A5855" s="1" t="str">
        <f t="shared" si="1865"/>
        <v>卡卡杜-凤凰仓</v>
      </c>
      <c r="B5855" s="1" t="str">
        <f>"CK202410186756"</f>
        <v>CK202410186756</v>
      </c>
      <c r="C5855" s="1" t="str">
        <f>"DD2024101812315"</f>
        <v>DD2024101812315</v>
      </c>
      <c r="D5855" s="1" t="str">
        <f>"CK2024101810228"</f>
        <v>CK2024101810228</v>
      </c>
      <c r="E5855" s="1" t="str">
        <f>"6935151643564250761"</f>
        <v>6935151643564250761</v>
      </c>
      <c r="F5855" s="1" t="str">
        <f t="shared" si="1866"/>
        <v>花都四部-凤凰仓</v>
      </c>
      <c r="G5855" s="1" t="str">
        <f t="shared" si="1862"/>
        <v>卡卡杜个人护理店（抖店）</v>
      </c>
      <c r="H5855" s="1" t="str">
        <f t="shared" si="1867"/>
        <v>正常订单</v>
      </c>
      <c r="I5855" s="1" t="str">
        <f t="shared" si="1868"/>
        <v>已发货</v>
      </c>
      <c r="J5855" s="1" t="str">
        <f t="shared" si="1869"/>
        <v>3</v>
      </c>
      <c r="K5855" s="1">
        <v>3</v>
      </c>
      <c r="L5855" s="1" t="s">
        <v>16</v>
      </c>
      <c r="M5855" s="1" t="str">
        <f>"河北省 衡水市 桃城区 河西街道"</f>
        <v>河北省 衡水市 桃城区 河西街道</v>
      </c>
      <c r="N5855" s="1" t="str">
        <f t="shared" si="1863"/>
        <v>凡华云仓-韵达-抖音</v>
      </c>
      <c r="O5855" s="5">
        <v>320177501106928</v>
      </c>
      <c r="P5855" s="6">
        <v>0.28000000000000003</v>
      </c>
      <c r="Q5855" s="11">
        <v>2</v>
      </c>
      <c r="R5855" s="11"/>
      <c r="S5855" s="11"/>
      <c r="T5855" s="11"/>
      <c r="U5855" s="11">
        <f t="shared" si="1864"/>
        <v>2</v>
      </c>
      <c r="W5855">
        <v>2.2000000000000002</v>
      </c>
      <c r="X5855" s="1" t="s">
        <v>16</v>
      </c>
    </row>
    <row r="5856" spans="1:24" x14ac:dyDescent="0.25">
      <c r="A5856" s="1" t="str">
        <f t="shared" si="1865"/>
        <v>卡卡杜-凤凰仓</v>
      </c>
      <c r="B5856" s="1" t="str">
        <f>"CK202410189993"</f>
        <v>CK202410189993</v>
      </c>
      <c r="C5856" s="1" t="str">
        <f>"DD2024101815579"</f>
        <v>DD2024101815579</v>
      </c>
      <c r="D5856" s="1" t="str">
        <f>"CK2024101810227"</f>
        <v>CK2024101810227</v>
      </c>
      <c r="E5856" s="1" t="str">
        <f>"6935150074780259649"</f>
        <v>6935150074780259649</v>
      </c>
      <c r="F5856" s="1" t="str">
        <f t="shared" si="1866"/>
        <v>花都四部-凤凰仓</v>
      </c>
      <c r="G5856" s="1" t="str">
        <f t="shared" si="1862"/>
        <v>卡卡杜个人护理店（抖店）</v>
      </c>
      <c r="H5856" s="1" t="str">
        <f t="shared" si="1867"/>
        <v>正常订单</v>
      </c>
      <c r="I5856" s="1" t="str">
        <f t="shared" si="1868"/>
        <v>已发货</v>
      </c>
      <c r="J5856" s="1" t="str">
        <f t="shared" si="1869"/>
        <v>3</v>
      </c>
      <c r="K5856" s="1">
        <v>3</v>
      </c>
      <c r="L5856" s="1" t="s">
        <v>161</v>
      </c>
      <c r="M5856" s="1" t="str">
        <f>"四川省 广元市 利州区 万缘街道"</f>
        <v>四川省 广元市 利州区 万缘街道</v>
      </c>
      <c r="N5856" s="1" t="str">
        <f t="shared" si="1863"/>
        <v>凡华云仓-韵达-抖音</v>
      </c>
      <c r="O5856" s="5">
        <v>320177501106823</v>
      </c>
      <c r="P5856" s="6">
        <v>0.28000000000000003</v>
      </c>
      <c r="Q5856" s="11">
        <v>2</v>
      </c>
      <c r="R5856" s="11"/>
      <c r="S5856" s="11"/>
      <c r="T5856" s="11"/>
      <c r="U5856" s="11">
        <f t="shared" si="1864"/>
        <v>2</v>
      </c>
      <c r="W5856">
        <v>2.2000000000000002</v>
      </c>
      <c r="X5856" s="1" t="s">
        <v>161</v>
      </c>
    </row>
    <row r="5857" spans="1:24" x14ac:dyDescent="0.25">
      <c r="A5857" s="1" t="str">
        <f t="shared" si="1865"/>
        <v>卡卡杜-凤凰仓</v>
      </c>
      <c r="B5857" s="1" t="str">
        <f>"CK202410189994"</f>
        <v>CK202410189994</v>
      </c>
      <c r="C5857" s="1" t="str">
        <f>"DD2024101815577"</f>
        <v>DD2024101815577</v>
      </c>
      <c r="D5857" s="1" t="str">
        <f>"CK2024101810226"</f>
        <v>CK2024101810226</v>
      </c>
      <c r="E5857" s="1" t="str">
        <f>"6935161016980739775"</f>
        <v>6935161016980739775</v>
      </c>
      <c r="F5857" s="1" t="str">
        <f t="shared" si="1866"/>
        <v>花都四部-凤凰仓</v>
      </c>
      <c r="G5857" s="1" t="str">
        <f t="shared" si="1862"/>
        <v>卡卡杜个人护理店（抖店）</v>
      </c>
      <c r="H5857" s="1" t="str">
        <f t="shared" si="1867"/>
        <v>正常订单</v>
      </c>
      <c r="I5857" s="1" t="str">
        <f t="shared" si="1868"/>
        <v>已发货</v>
      </c>
      <c r="J5857" s="1" t="str">
        <f t="shared" si="1869"/>
        <v>3</v>
      </c>
      <c r="K5857" s="1">
        <v>3</v>
      </c>
      <c r="L5857" s="1" t="s">
        <v>96</v>
      </c>
      <c r="M5857" s="1" t="str">
        <f>"广西壮族自治区 桂林市 临桂区 临桂镇"</f>
        <v>广西壮族自治区 桂林市 临桂区 临桂镇</v>
      </c>
      <c r="N5857" s="1" t="str">
        <f t="shared" si="1863"/>
        <v>凡华云仓-韵达-抖音</v>
      </c>
      <c r="O5857" s="5">
        <v>320177501106720</v>
      </c>
      <c r="P5857" s="6">
        <v>0.28000000000000003</v>
      </c>
      <c r="Q5857" s="11">
        <v>2</v>
      </c>
      <c r="R5857" s="11"/>
      <c r="S5857" s="11"/>
      <c r="T5857" s="11"/>
      <c r="U5857" s="11">
        <f t="shared" si="1864"/>
        <v>2</v>
      </c>
      <c r="W5857">
        <v>2.2000000000000002</v>
      </c>
      <c r="X5857" s="1" t="s">
        <v>96</v>
      </c>
    </row>
    <row r="5858" spans="1:24" x14ac:dyDescent="0.25">
      <c r="A5858" s="1" t="str">
        <f t="shared" si="1865"/>
        <v>卡卡杜-凤凰仓</v>
      </c>
      <c r="B5858" s="1" t="str">
        <f>"CK202410186757"</f>
        <v>CK202410186757</v>
      </c>
      <c r="C5858" s="1" t="str">
        <f>"DD2024101812316"</f>
        <v>DD2024101812316</v>
      </c>
      <c r="D5858" s="1" t="str">
        <f>"CK2024101810225"</f>
        <v>CK2024101810225</v>
      </c>
      <c r="E5858" s="1" t="str">
        <f>"6935145422067996481"</f>
        <v>6935145422067996481</v>
      </c>
      <c r="F5858" s="1" t="str">
        <f t="shared" si="1866"/>
        <v>花都四部-凤凰仓</v>
      </c>
      <c r="G5858" s="1" t="str">
        <f t="shared" si="1862"/>
        <v>卡卡杜个人护理店（抖店）</v>
      </c>
      <c r="H5858" s="1" t="str">
        <f t="shared" si="1867"/>
        <v>正常订单</v>
      </c>
      <c r="I5858" s="1" t="str">
        <f t="shared" si="1868"/>
        <v>已发货</v>
      </c>
      <c r="J5858" s="1" t="str">
        <f t="shared" si="1869"/>
        <v>3</v>
      </c>
      <c r="K5858" s="1">
        <v>3</v>
      </c>
      <c r="L5858" s="1" t="s">
        <v>161</v>
      </c>
      <c r="M5858" s="1" t="str">
        <f>"四川省 成都市 青白江区 弥牟镇"</f>
        <v>四川省 成都市 青白江区 弥牟镇</v>
      </c>
      <c r="N5858" s="1" t="str">
        <f t="shared" si="1863"/>
        <v>凡华云仓-韵达-抖音</v>
      </c>
      <c r="O5858" s="5">
        <v>320177501106619</v>
      </c>
      <c r="P5858" s="6">
        <v>0.28000000000000003</v>
      </c>
      <c r="Q5858" s="11">
        <v>2</v>
      </c>
      <c r="R5858" s="11"/>
      <c r="S5858" s="11"/>
      <c r="T5858" s="11"/>
      <c r="U5858" s="11">
        <f t="shared" si="1864"/>
        <v>2</v>
      </c>
      <c r="W5858">
        <v>2.2000000000000002</v>
      </c>
      <c r="X5858" s="1" t="s">
        <v>161</v>
      </c>
    </row>
    <row r="5859" spans="1:24" x14ac:dyDescent="0.25">
      <c r="A5859" s="1" t="str">
        <f t="shared" si="1865"/>
        <v>卡卡杜-凤凰仓</v>
      </c>
      <c r="B5859" s="1" t="str">
        <f>"CK202410186758"</f>
        <v>CK202410186758</v>
      </c>
      <c r="C5859" s="1" t="str">
        <f>"DD2024101812317"</f>
        <v>DD2024101812317</v>
      </c>
      <c r="D5859" s="1" t="str">
        <f>"CK2024101810224"</f>
        <v>CK2024101810224</v>
      </c>
      <c r="E5859" s="1" t="str">
        <f>"6935150000544289827"</f>
        <v>6935150000544289827</v>
      </c>
      <c r="F5859" s="1" t="str">
        <f t="shared" si="1866"/>
        <v>花都四部-凤凰仓</v>
      </c>
      <c r="G5859" s="1" t="str">
        <f t="shared" si="1862"/>
        <v>卡卡杜个人护理店（抖店）</v>
      </c>
      <c r="H5859" s="1" t="str">
        <f t="shared" si="1867"/>
        <v>正常订单</v>
      </c>
      <c r="I5859" s="1" t="str">
        <f t="shared" si="1868"/>
        <v>已发货</v>
      </c>
      <c r="J5859" s="1" t="str">
        <f t="shared" si="1869"/>
        <v>3</v>
      </c>
      <c r="K5859" s="1">
        <v>3</v>
      </c>
      <c r="L5859" s="1" t="s">
        <v>54</v>
      </c>
      <c r="M5859" s="1" t="str">
        <f>"黑龙江省 大庆市 萨尔图区 会战街道"</f>
        <v>黑龙江省 大庆市 萨尔图区 会战街道</v>
      </c>
      <c r="N5859" s="1" t="str">
        <f t="shared" si="1863"/>
        <v>凡华云仓-韵达-抖音</v>
      </c>
      <c r="O5859" s="5">
        <v>320177501106520</v>
      </c>
      <c r="P5859" s="6">
        <v>0.28000000000000003</v>
      </c>
      <c r="Q5859" s="11">
        <v>2</v>
      </c>
      <c r="R5859" s="11"/>
      <c r="S5859" s="11"/>
      <c r="T5859" s="11"/>
      <c r="U5859" s="11">
        <f t="shared" si="1864"/>
        <v>2</v>
      </c>
      <c r="W5859">
        <v>2.2000000000000002</v>
      </c>
      <c r="X5859" s="1" t="s">
        <v>54</v>
      </c>
    </row>
    <row r="5860" spans="1:24" x14ac:dyDescent="0.25">
      <c r="A5860" s="1" t="str">
        <f t="shared" si="1865"/>
        <v>卡卡杜-凤凰仓</v>
      </c>
      <c r="B5860" s="1" t="str">
        <f>"CK202410189995"</f>
        <v>CK202410189995</v>
      </c>
      <c r="C5860" s="1" t="str">
        <f>"DD2024101815578"</f>
        <v>DD2024101815578</v>
      </c>
      <c r="D5860" s="1" t="str">
        <f>"CK2024101810223"</f>
        <v>CK2024101810223</v>
      </c>
      <c r="E5860" s="1" t="str">
        <f>"6935172127300785422"</f>
        <v>6935172127300785422</v>
      </c>
      <c r="F5860" s="1" t="str">
        <f t="shared" si="1866"/>
        <v>花都四部-凤凰仓</v>
      </c>
      <c r="G5860" s="1" t="str">
        <f t="shared" si="1862"/>
        <v>卡卡杜个人护理店（抖店）</v>
      </c>
      <c r="H5860" s="1" t="str">
        <f t="shared" si="1867"/>
        <v>正常订单</v>
      </c>
      <c r="I5860" s="1" t="str">
        <f t="shared" si="1868"/>
        <v>已发货</v>
      </c>
      <c r="J5860" s="1" t="str">
        <f t="shared" si="1869"/>
        <v>3</v>
      </c>
      <c r="K5860" s="1">
        <v>3</v>
      </c>
      <c r="L5860" s="1" t="s">
        <v>109</v>
      </c>
      <c r="M5860" s="1" t="str">
        <f>"山西省 大同市 平城区 水泊寺街道"</f>
        <v>山西省 大同市 平城区 水泊寺街道</v>
      </c>
      <c r="N5860" s="1" t="str">
        <f t="shared" si="1863"/>
        <v>凡华云仓-韵达-抖音</v>
      </c>
      <c r="O5860" s="5">
        <v>320177501106423</v>
      </c>
      <c r="P5860" s="6">
        <v>0.28000000000000003</v>
      </c>
      <c r="Q5860" s="11">
        <v>2</v>
      </c>
      <c r="R5860" s="11"/>
      <c r="S5860" s="11"/>
      <c r="T5860" s="11"/>
      <c r="U5860" s="11">
        <f t="shared" si="1864"/>
        <v>2</v>
      </c>
      <c r="W5860">
        <v>2.2000000000000002</v>
      </c>
      <c r="X5860" s="1" t="s">
        <v>109</v>
      </c>
    </row>
    <row r="5861" spans="1:24" x14ac:dyDescent="0.25">
      <c r="A5861" s="1" t="str">
        <f t="shared" si="1865"/>
        <v>卡卡杜-凤凰仓</v>
      </c>
      <c r="B5861" s="1" t="str">
        <f>"CK202410186759"</f>
        <v>CK202410186759</v>
      </c>
      <c r="C5861" s="1" t="str">
        <f>"DD2024101812318"</f>
        <v>DD2024101812318</v>
      </c>
      <c r="D5861" s="1" t="str">
        <f>"CK2024101810222"</f>
        <v>CK2024101810222</v>
      </c>
      <c r="E5861" s="1" t="str">
        <f>"6935165193300088454"</f>
        <v>6935165193300088454</v>
      </c>
      <c r="F5861" s="1" t="str">
        <f t="shared" si="1866"/>
        <v>花都四部-凤凰仓</v>
      </c>
      <c r="G5861" s="1" t="str">
        <f t="shared" si="1862"/>
        <v>卡卡杜个人护理店（抖店）</v>
      </c>
      <c r="H5861" s="1" t="str">
        <f t="shared" si="1867"/>
        <v>正常订单</v>
      </c>
      <c r="I5861" s="1" t="str">
        <f t="shared" si="1868"/>
        <v>已发货</v>
      </c>
      <c r="J5861" s="1" t="str">
        <f t="shared" si="1869"/>
        <v>3</v>
      </c>
      <c r="K5861" s="1">
        <v>3</v>
      </c>
      <c r="L5861" s="1" t="s">
        <v>27</v>
      </c>
      <c r="M5861" s="1" t="str">
        <f>"贵州省 黔南布依族苗族自治州 都匀市 文峰街道"</f>
        <v>贵州省 黔南布依族苗族自治州 都匀市 文峰街道</v>
      </c>
      <c r="N5861" s="1" t="str">
        <f t="shared" si="1863"/>
        <v>凡华云仓-韵达-抖音</v>
      </c>
      <c r="O5861" s="5">
        <v>320177494513549</v>
      </c>
      <c r="P5861" s="6">
        <v>0.28000000000000003</v>
      </c>
      <c r="Q5861" s="11">
        <v>2</v>
      </c>
      <c r="R5861" s="11"/>
      <c r="S5861" s="11"/>
      <c r="T5861" s="11"/>
      <c r="U5861" s="11">
        <f t="shared" si="1864"/>
        <v>2</v>
      </c>
      <c r="W5861">
        <v>2.2000000000000002</v>
      </c>
      <c r="X5861" s="1" t="s">
        <v>27</v>
      </c>
    </row>
    <row r="5862" spans="1:24" x14ac:dyDescent="0.25">
      <c r="A5862" s="1" t="str">
        <f t="shared" si="1865"/>
        <v>卡卡杜-凤凰仓</v>
      </c>
      <c r="B5862" s="1" t="str">
        <f>"CK202410186760"</f>
        <v>CK202410186760</v>
      </c>
      <c r="C5862" s="1" t="str">
        <f>"DD2024101812320"</f>
        <v>DD2024101812320</v>
      </c>
      <c r="D5862" s="1" t="str">
        <f>"CK2024101810221"</f>
        <v>CK2024101810221</v>
      </c>
      <c r="E5862" s="1" t="str">
        <f>"6935153919153280004"</f>
        <v>6935153919153280004</v>
      </c>
      <c r="F5862" s="1" t="str">
        <f t="shared" si="1866"/>
        <v>花都四部-凤凰仓</v>
      </c>
      <c r="G5862" s="1" t="str">
        <f t="shared" si="1862"/>
        <v>卡卡杜个人护理店（抖店）</v>
      </c>
      <c r="H5862" s="1" t="str">
        <f t="shared" si="1867"/>
        <v>正常订单</v>
      </c>
      <c r="I5862" s="1" t="str">
        <f t="shared" si="1868"/>
        <v>已发货</v>
      </c>
      <c r="J5862" s="1" t="str">
        <f t="shared" si="1869"/>
        <v>3</v>
      </c>
      <c r="K5862" s="1">
        <v>3</v>
      </c>
      <c r="L5862" s="1" t="s">
        <v>16</v>
      </c>
      <c r="M5862" s="1" t="str">
        <f>"河北省 沧州市 新华区 车站街道"</f>
        <v>河北省 沧州市 新华区 车站街道</v>
      </c>
      <c r="N5862" s="1" t="str">
        <f t="shared" si="1863"/>
        <v>凡华云仓-韵达-抖音</v>
      </c>
      <c r="O5862" s="5">
        <v>320177494513452</v>
      </c>
      <c r="P5862" s="6">
        <v>0.28000000000000003</v>
      </c>
      <c r="Q5862" s="11">
        <v>2</v>
      </c>
      <c r="R5862" s="11"/>
      <c r="S5862" s="11"/>
      <c r="T5862" s="11"/>
      <c r="U5862" s="11">
        <f t="shared" si="1864"/>
        <v>2</v>
      </c>
      <c r="W5862">
        <v>2.2000000000000002</v>
      </c>
      <c r="X5862" s="1" t="s">
        <v>16</v>
      </c>
    </row>
    <row r="5863" spans="1:24" x14ac:dyDescent="0.25">
      <c r="A5863" s="1" t="str">
        <f t="shared" si="1865"/>
        <v>卡卡杜-凤凰仓</v>
      </c>
      <c r="B5863" s="1" t="str">
        <f>"CK202410186761"</f>
        <v>CK202410186761</v>
      </c>
      <c r="C5863" s="1" t="str">
        <f>"DD2024101812319"</f>
        <v>DD2024101812319</v>
      </c>
      <c r="D5863" s="1" t="str">
        <f>"CK2024101810220"</f>
        <v>CK2024101810220</v>
      </c>
      <c r="E5863" s="1" t="str">
        <f>"6935158501034956732"</f>
        <v>6935158501034956732</v>
      </c>
      <c r="F5863" s="1" t="str">
        <f t="shared" si="1866"/>
        <v>花都四部-凤凰仓</v>
      </c>
      <c r="G5863" s="1" t="str">
        <f t="shared" si="1862"/>
        <v>卡卡杜个人护理店（抖店）</v>
      </c>
      <c r="H5863" s="1" t="str">
        <f t="shared" si="1867"/>
        <v>正常订单</v>
      </c>
      <c r="I5863" s="1" t="str">
        <f t="shared" si="1868"/>
        <v>已发货</v>
      </c>
      <c r="J5863" s="1" t="str">
        <f t="shared" si="1869"/>
        <v>3</v>
      </c>
      <c r="K5863" s="1">
        <v>3</v>
      </c>
      <c r="L5863" s="1" t="s">
        <v>18</v>
      </c>
      <c r="M5863" s="1" t="str">
        <f>"广东省 广州市 天河区 龙洞街道"</f>
        <v>广东省 广州市 天河区 龙洞街道</v>
      </c>
      <c r="N5863" s="1" t="str">
        <f t="shared" si="1863"/>
        <v>凡华云仓-韵达-抖音</v>
      </c>
      <c r="O5863" s="5">
        <v>320177494513357</v>
      </c>
      <c r="P5863" s="6">
        <v>0.28000000000000003</v>
      </c>
      <c r="Q5863" s="11">
        <v>2</v>
      </c>
      <c r="R5863" s="11"/>
      <c r="S5863" s="11"/>
      <c r="T5863" s="11"/>
      <c r="U5863" s="11">
        <f t="shared" si="1864"/>
        <v>2</v>
      </c>
      <c r="W5863">
        <v>2.2000000000000002</v>
      </c>
      <c r="X5863" s="1" t="s">
        <v>18</v>
      </c>
    </row>
    <row r="5864" spans="1:24" x14ac:dyDescent="0.25">
      <c r="A5864" s="1" t="str">
        <f t="shared" si="1865"/>
        <v>卡卡杜-凤凰仓</v>
      </c>
      <c r="B5864" s="1" t="str">
        <f>"CK202410186762"</f>
        <v>CK202410186762</v>
      </c>
      <c r="C5864" s="1" t="str">
        <f>"DD2024101812321"</f>
        <v>DD2024101812321</v>
      </c>
      <c r="D5864" s="1" t="str">
        <f>"CK2024101810219"</f>
        <v>CK2024101810219</v>
      </c>
      <c r="E5864" s="1" t="str">
        <f>"6935156246919845342"</f>
        <v>6935156246919845342</v>
      </c>
      <c r="F5864" s="1" t="str">
        <f t="shared" si="1866"/>
        <v>花都四部-凤凰仓</v>
      </c>
      <c r="G5864" s="1" t="str">
        <f t="shared" si="1862"/>
        <v>卡卡杜个人护理店（抖店）</v>
      </c>
      <c r="H5864" s="1" t="str">
        <f t="shared" si="1867"/>
        <v>正常订单</v>
      </c>
      <c r="I5864" s="1" t="str">
        <f t="shared" si="1868"/>
        <v>已发货</v>
      </c>
      <c r="J5864" s="1" t="str">
        <f t="shared" si="1869"/>
        <v>3</v>
      </c>
      <c r="K5864" s="1">
        <v>3</v>
      </c>
      <c r="L5864" s="1" t="s">
        <v>41</v>
      </c>
      <c r="M5864" s="1" t="str">
        <f>"湖北省 武汉市 蔡甸区 张湾街道"</f>
        <v>湖北省 武汉市 蔡甸区 张湾街道</v>
      </c>
      <c r="N5864" s="1" t="str">
        <f t="shared" si="1863"/>
        <v>凡华云仓-韵达-抖音</v>
      </c>
      <c r="O5864" s="5">
        <v>320177494513264</v>
      </c>
      <c r="P5864" s="6">
        <v>0.28000000000000003</v>
      </c>
      <c r="Q5864" s="11">
        <v>2</v>
      </c>
      <c r="R5864" s="11"/>
      <c r="S5864" s="11"/>
      <c r="T5864" s="11"/>
      <c r="U5864" s="11">
        <f t="shared" si="1864"/>
        <v>2</v>
      </c>
      <c r="W5864">
        <v>2.2000000000000002</v>
      </c>
      <c r="X5864" s="1" t="s">
        <v>41</v>
      </c>
    </row>
    <row r="5865" spans="1:24" x14ac:dyDescent="0.25">
      <c r="A5865" s="1" t="str">
        <f t="shared" si="1865"/>
        <v>卡卡杜-凤凰仓</v>
      </c>
      <c r="B5865" s="1" t="str">
        <f>"CK202410189996"</f>
        <v>CK202410189996</v>
      </c>
      <c r="C5865" s="1" t="str">
        <f>"DD2024101815580"</f>
        <v>DD2024101815580</v>
      </c>
      <c r="D5865" s="1" t="str">
        <f>"CK2024101810218"</f>
        <v>CK2024101810218</v>
      </c>
      <c r="E5865" s="1" t="str">
        <f>"6935172018714711924"</f>
        <v>6935172018714711924</v>
      </c>
      <c r="F5865" s="1" t="str">
        <f t="shared" si="1866"/>
        <v>花都四部-凤凰仓</v>
      </c>
      <c r="G5865" s="1" t="str">
        <f t="shared" si="1862"/>
        <v>卡卡杜个人护理店（抖店）</v>
      </c>
      <c r="H5865" s="1" t="str">
        <f t="shared" si="1867"/>
        <v>正常订单</v>
      </c>
      <c r="I5865" s="1" t="str">
        <f t="shared" si="1868"/>
        <v>已发货</v>
      </c>
      <c r="J5865" s="1" t="str">
        <f t="shared" si="1869"/>
        <v>3</v>
      </c>
      <c r="K5865" s="1">
        <v>3</v>
      </c>
      <c r="L5865" s="1" t="s">
        <v>30</v>
      </c>
      <c r="M5865" s="1" t="str">
        <f>"山东省 烟台市 蓬莱区 大辛店镇"</f>
        <v>山东省 烟台市 蓬莱区 大辛店镇</v>
      </c>
      <c r="N5865" s="1" t="str">
        <f t="shared" si="1863"/>
        <v>凡华云仓-韵达-抖音</v>
      </c>
      <c r="O5865" s="5">
        <v>320177494513173</v>
      </c>
      <c r="P5865" s="6">
        <v>0.28000000000000003</v>
      </c>
      <c r="Q5865" s="11">
        <v>2</v>
      </c>
      <c r="R5865" s="11"/>
      <c r="S5865" s="11"/>
      <c r="T5865" s="11"/>
      <c r="U5865" s="11">
        <f t="shared" si="1864"/>
        <v>2</v>
      </c>
      <c r="W5865">
        <v>2.2000000000000002</v>
      </c>
      <c r="X5865" s="1" t="s">
        <v>30</v>
      </c>
    </row>
    <row r="5866" spans="1:24" x14ac:dyDescent="0.25">
      <c r="A5866" s="1" t="str">
        <f t="shared" si="1865"/>
        <v>卡卡杜-凤凰仓</v>
      </c>
      <c r="B5866" s="1" t="str">
        <f>"CK202410186763"</f>
        <v>CK202410186763</v>
      </c>
      <c r="C5866" s="1" t="str">
        <f>"DD2024101812322"</f>
        <v>DD2024101812322</v>
      </c>
      <c r="D5866" s="1" t="str">
        <f>"CK2024101810217"</f>
        <v>CK2024101810217</v>
      </c>
      <c r="E5866" s="1" t="str">
        <f>"6935165181334328839"</f>
        <v>6935165181334328839</v>
      </c>
      <c r="F5866" s="1" t="str">
        <f t="shared" si="1866"/>
        <v>花都四部-凤凰仓</v>
      </c>
      <c r="G5866" s="1" t="str">
        <f t="shared" si="1862"/>
        <v>卡卡杜个人护理店（抖店）</v>
      </c>
      <c r="H5866" s="1" t="str">
        <f t="shared" si="1867"/>
        <v>正常订单</v>
      </c>
      <c r="I5866" s="1" t="str">
        <f t="shared" si="1868"/>
        <v>已发货</v>
      </c>
      <c r="J5866" s="1" t="str">
        <f t="shared" si="1869"/>
        <v>3</v>
      </c>
      <c r="K5866" s="1">
        <v>3</v>
      </c>
      <c r="L5866" s="1" t="s">
        <v>80</v>
      </c>
      <c r="M5866" s="1" t="str">
        <f>"河南省 信阳市 光山县 寨河镇"</f>
        <v>河南省 信阳市 光山县 寨河镇</v>
      </c>
      <c r="N5866" s="1" t="str">
        <f t="shared" si="1863"/>
        <v>凡华云仓-韵达-抖音</v>
      </c>
      <c r="O5866" s="5">
        <v>320177494513084</v>
      </c>
      <c r="P5866" s="6">
        <v>0.28000000000000003</v>
      </c>
      <c r="Q5866" s="11">
        <v>2</v>
      </c>
      <c r="R5866" s="11"/>
      <c r="S5866" s="11"/>
      <c r="T5866" s="11"/>
      <c r="U5866" s="11">
        <f t="shared" si="1864"/>
        <v>2</v>
      </c>
      <c r="W5866">
        <v>2.2000000000000002</v>
      </c>
      <c r="X5866" s="1" t="s">
        <v>80</v>
      </c>
    </row>
    <row r="5867" spans="1:24" x14ac:dyDescent="0.25">
      <c r="A5867" s="1" t="str">
        <f t="shared" si="1865"/>
        <v>卡卡杜-凤凰仓</v>
      </c>
      <c r="B5867" s="1" t="str">
        <f>"CK202410189997"</f>
        <v>CK202410189997</v>
      </c>
      <c r="C5867" s="1" t="str">
        <f>"DD2024101815582"</f>
        <v>DD2024101815582</v>
      </c>
      <c r="D5867" s="1" t="str">
        <f>"CK2024101810216"</f>
        <v>CK2024101810216</v>
      </c>
      <c r="E5867" s="1" t="str">
        <f>"6935176687261915001"</f>
        <v>6935176687261915001</v>
      </c>
      <c r="F5867" s="1" t="str">
        <f t="shared" si="1866"/>
        <v>花都四部-凤凰仓</v>
      </c>
      <c r="G5867" s="1" t="str">
        <f t="shared" si="1862"/>
        <v>卡卡杜个人护理店（抖店）</v>
      </c>
      <c r="H5867" s="1" t="str">
        <f t="shared" si="1867"/>
        <v>正常订单</v>
      </c>
      <c r="I5867" s="1" t="str">
        <f t="shared" si="1868"/>
        <v>已发货</v>
      </c>
      <c r="J5867" s="1" t="str">
        <f t="shared" si="1869"/>
        <v>3</v>
      </c>
      <c r="K5867" s="1">
        <v>3</v>
      </c>
      <c r="L5867" s="1" t="s">
        <v>80</v>
      </c>
      <c r="M5867" s="1" t="str">
        <f>"河南省 南阳市 唐河县 文峰街道"</f>
        <v>河南省 南阳市 唐河县 文峰街道</v>
      </c>
      <c r="N5867" s="1" t="str">
        <f t="shared" si="1863"/>
        <v>凡华云仓-韵达-抖音</v>
      </c>
      <c r="O5867" s="5">
        <v>320177494512964</v>
      </c>
      <c r="P5867" s="6">
        <v>0.28000000000000003</v>
      </c>
      <c r="Q5867" s="11">
        <v>2</v>
      </c>
      <c r="R5867" s="11"/>
      <c r="S5867" s="11"/>
      <c r="T5867" s="11"/>
      <c r="U5867" s="11">
        <f t="shared" si="1864"/>
        <v>2</v>
      </c>
      <c r="W5867">
        <v>2.2000000000000002</v>
      </c>
      <c r="X5867" s="1" t="s">
        <v>80</v>
      </c>
    </row>
    <row r="5868" spans="1:24" x14ac:dyDescent="0.25">
      <c r="A5868" s="1" t="str">
        <f t="shared" si="1865"/>
        <v>卡卡杜-凤凰仓</v>
      </c>
      <c r="B5868" s="1" t="str">
        <f>"CK202410186764"</f>
        <v>CK202410186764</v>
      </c>
      <c r="C5868" s="1" t="str">
        <f>"DD2024101812323"</f>
        <v>DD2024101812323</v>
      </c>
      <c r="D5868" s="1" t="str">
        <f>"CK2024101810215"</f>
        <v>CK2024101810215</v>
      </c>
      <c r="E5868" s="1" t="str">
        <f>"6935169855291659550"</f>
        <v>6935169855291659550</v>
      </c>
      <c r="F5868" s="1" t="str">
        <f t="shared" si="1866"/>
        <v>花都四部-凤凰仓</v>
      </c>
      <c r="G5868" s="1" t="str">
        <f t="shared" si="1862"/>
        <v>卡卡杜个人护理店（抖店）</v>
      </c>
      <c r="H5868" s="1" t="str">
        <f t="shared" si="1867"/>
        <v>正常订单</v>
      </c>
      <c r="I5868" s="1" t="str">
        <f t="shared" si="1868"/>
        <v>已发货</v>
      </c>
      <c r="J5868" s="1" t="str">
        <f t="shared" si="1869"/>
        <v>3</v>
      </c>
      <c r="K5868" s="1">
        <v>3</v>
      </c>
      <c r="L5868" s="1" t="s">
        <v>16</v>
      </c>
      <c r="M5868" s="1" t="str">
        <f>"河北省 张家口市 沽源县 平定堡镇"</f>
        <v>河北省 张家口市 沽源县 平定堡镇</v>
      </c>
      <c r="N5868" s="1" t="str">
        <f t="shared" si="1863"/>
        <v>凡华云仓-韵达-抖音</v>
      </c>
      <c r="O5868" s="5">
        <v>320177494512859</v>
      </c>
      <c r="P5868" s="6">
        <v>0.28000000000000003</v>
      </c>
      <c r="Q5868" s="11">
        <v>2</v>
      </c>
      <c r="R5868" s="11"/>
      <c r="S5868" s="11"/>
      <c r="T5868" s="11"/>
      <c r="U5868" s="11">
        <f t="shared" si="1864"/>
        <v>2</v>
      </c>
      <c r="W5868">
        <v>2.2000000000000002</v>
      </c>
      <c r="X5868" s="1" t="s">
        <v>16</v>
      </c>
    </row>
    <row r="5869" spans="1:24" x14ac:dyDescent="0.25">
      <c r="A5869" s="1" t="str">
        <f t="shared" si="1865"/>
        <v>卡卡杜-凤凰仓</v>
      </c>
      <c r="B5869" s="1" t="str">
        <f>"CK202410186765"</f>
        <v>CK202410186765</v>
      </c>
      <c r="C5869" s="1" t="str">
        <f>"DD2024101812324"</f>
        <v>DD2024101812324</v>
      </c>
      <c r="D5869" s="1" t="str">
        <f>"CK2024101810214"</f>
        <v>CK2024101810214</v>
      </c>
      <c r="E5869" s="1" t="str">
        <f>"6935156026251416941"</f>
        <v>6935156026251416941</v>
      </c>
      <c r="F5869" s="1" t="str">
        <f t="shared" si="1866"/>
        <v>花都四部-凤凰仓</v>
      </c>
      <c r="G5869" s="1" t="str">
        <f t="shared" si="1862"/>
        <v>卡卡杜个人护理店（抖店）</v>
      </c>
      <c r="H5869" s="1" t="str">
        <f t="shared" si="1867"/>
        <v>正常订单</v>
      </c>
      <c r="I5869" s="1" t="str">
        <f t="shared" si="1868"/>
        <v>已发货</v>
      </c>
      <c r="J5869" s="1" t="str">
        <f t="shared" si="1869"/>
        <v>3</v>
      </c>
      <c r="K5869" s="1">
        <v>3</v>
      </c>
      <c r="L5869" s="1" t="s">
        <v>30</v>
      </c>
      <c r="M5869" s="1" t="str">
        <f>"山东省 临沂市 兰山区 柳青街道"</f>
        <v>山东省 临沂市 兰山区 柳青街道</v>
      </c>
      <c r="N5869" s="1" t="str">
        <f t="shared" si="1863"/>
        <v>凡华云仓-韵达-抖音</v>
      </c>
      <c r="O5869" s="5">
        <v>320177494512756</v>
      </c>
      <c r="P5869" s="6">
        <v>0.28000000000000003</v>
      </c>
      <c r="Q5869" s="11">
        <v>2</v>
      </c>
      <c r="R5869" s="11"/>
      <c r="S5869" s="11"/>
      <c r="T5869" s="11"/>
      <c r="U5869" s="11">
        <f t="shared" si="1864"/>
        <v>2</v>
      </c>
      <c r="W5869">
        <v>2.2000000000000002</v>
      </c>
      <c r="X5869" s="1" t="s">
        <v>30</v>
      </c>
    </row>
    <row r="5870" spans="1:24" x14ac:dyDescent="0.25">
      <c r="A5870" s="1" t="str">
        <f t="shared" si="1865"/>
        <v>卡卡杜-凤凰仓</v>
      </c>
      <c r="B5870" s="1" t="str">
        <f>"CK202410186767"</f>
        <v>CK202410186767</v>
      </c>
      <c r="C5870" s="1" t="str">
        <f>"DD2024101812326"</f>
        <v>DD2024101812326</v>
      </c>
      <c r="D5870" s="1" t="str">
        <f>"CK2024101810213"</f>
        <v>CK2024101810213</v>
      </c>
      <c r="E5870" s="1" t="str">
        <f>"6935158463084238770"</f>
        <v>6935158463084238770</v>
      </c>
      <c r="F5870" s="1" t="str">
        <f t="shared" si="1866"/>
        <v>花都四部-凤凰仓</v>
      </c>
      <c r="G5870" s="1" t="str">
        <f t="shared" si="1862"/>
        <v>卡卡杜个人护理店（抖店）</v>
      </c>
      <c r="H5870" s="1" t="str">
        <f t="shared" si="1867"/>
        <v>正常订单</v>
      </c>
      <c r="I5870" s="1" t="str">
        <f t="shared" si="1868"/>
        <v>已发货</v>
      </c>
      <c r="J5870" s="1" t="str">
        <f t="shared" si="1869"/>
        <v>3</v>
      </c>
      <c r="K5870" s="1">
        <v>3</v>
      </c>
      <c r="L5870" s="1" t="s">
        <v>30</v>
      </c>
      <c r="M5870" s="1" t="str">
        <f>"山东省 济南市 历城区 华山街道"</f>
        <v>山东省 济南市 历城区 华山街道</v>
      </c>
      <c r="N5870" s="1" t="str">
        <f t="shared" si="1863"/>
        <v>凡华云仓-韵达-抖音</v>
      </c>
      <c r="O5870" s="5">
        <v>320177494512655</v>
      </c>
      <c r="P5870" s="6">
        <v>0.28000000000000003</v>
      </c>
      <c r="Q5870" s="11">
        <v>2</v>
      </c>
      <c r="R5870" s="11"/>
      <c r="S5870" s="11"/>
      <c r="T5870" s="11"/>
      <c r="U5870" s="11">
        <f t="shared" si="1864"/>
        <v>2</v>
      </c>
      <c r="W5870">
        <v>2.2000000000000002</v>
      </c>
      <c r="X5870" s="1" t="s">
        <v>30</v>
      </c>
    </row>
    <row r="5871" spans="1:24" x14ac:dyDescent="0.25">
      <c r="A5871" s="1" t="str">
        <f t="shared" si="1865"/>
        <v>卡卡杜-凤凰仓</v>
      </c>
      <c r="B5871" s="1" t="str">
        <f>"CK202410186766"</f>
        <v>CK202410186766</v>
      </c>
      <c r="C5871" s="1" t="str">
        <f>"DD2024101812325"</f>
        <v>DD2024101812325</v>
      </c>
      <c r="D5871" s="1" t="str">
        <f>"CK2024101810212"</f>
        <v>CK2024101810212</v>
      </c>
      <c r="E5871" s="1" t="str">
        <f>"6935176621835818135"</f>
        <v>6935176621835818135</v>
      </c>
      <c r="F5871" s="1" t="str">
        <f t="shared" si="1866"/>
        <v>花都四部-凤凰仓</v>
      </c>
      <c r="G5871" s="1" t="str">
        <f t="shared" si="1862"/>
        <v>卡卡杜个人护理店（抖店）</v>
      </c>
      <c r="H5871" s="1" t="str">
        <f t="shared" si="1867"/>
        <v>正常订单</v>
      </c>
      <c r="I5871" s="1" t="str">
        <f t="shared" si="1868"/>
        <v>已发货</v>
      </c>
      <c r="J5871" s="1" t="str">
        <f t="shared" si="1869"/>
        <v>3</v>
      </c>
      <c r="K5871" s="1">
        <v>3</v>
      </c>
      <c r="L5871" s="1" t="s">
        <v>41</v>
      </c>
      <c r="M5871" s="1" t="str">
        <f>"湖北省 黄冈市 武穴市 梅川镇"</f>
        <v>湖北省 黄冈市 武穴市 梅川镇</v>
      </c>
      <c r="N5871" s="1" t="str">
        <f t="shared" si="1863"/>
        <v>凡华云仓-韵达-抖音</v>
      </c>
      <c r="O5871" s="5">
        <v>320177485546711</v>
      </c>
      <c r="P5871" s="6">
        <v>0.28000000000000003</v>
      </c>
      <c r="Q5871" s="11">
        <v>2</v>
      </c>
      <c r="R5871" s="11"/>
      <c r="S5871" s="11"/>
      <c r="T5871" s="11"/>
      <c r="U5871" s="11">
        <f t="shared" si="1864"/>
        <v>2</v>
      </c>
      <c r="W5871">
        <v>2.2000000000000002</v>
      </c>
      <c r="X5871" s="1" t="s">
        <v>41</v>
      </c>
    </row>
    <row r="5872" spans="1:24" x14ac:dyDescent="0.25">
      <c r="A5872" s="1" t="str">
        <f t="shared" si="1865"/>
        <v>卡卡杜-凤凰仓</v>
      </c>
      <c r="B5872" s="1" t="str">
        <f>"CK202410186768"</f>
        <v>CK202410186768</v>
      </c>
      <c r="C5872" s="1" t="str">
        <f>"DD2024101812327"</f>
        <v>DD2024101812327</v>
      </c>
      <c r="D5872" s="1" t="str">
        <f>"CK2024101810211"</f>
        <v>CK2024101810211</v>
      </c>
      <c r="E5872" s="1" t="str">
        <f>"6935145480969131049"</f>
        <v>6935145480969131049</v>
      </c>
      <c r="F5872" s="1" t="str">
        <f t="shared" si="1866"/>
        <v>花都四部-凤凰仓</v>
      </c>
      <c r="G5872" s="1" t="str">
        <f t="shared" si="1862"/>
        <v>卡卡杜个人护理店（抖店）</v>
      </c>
      <c r="H5872" s="1" t="str">
        <f t="shared" si="1867"/>
        <v>正常订单</v>
      </c>
      <c r="I5872" s="1" t="str">
        <f t="shared" si="1868"/>
        <v>已发货</v>
      </c>
      <c r="J5872" s="1" t="str">
        <f t="shared" si="1869"/>
        <v>3</v>
      </c>
      <c r="K5872" s="1">
        <v>3</v>
      </c>
      <c r="L5872" s="1" t="s">
        <v>13</v>
      </c>
      <c r="M5872" s="1" t="str">
        <f>"江苏省 南京市 江宁区 淳化街道"</f>
        <v>江苏省 南京市 江宁区 淳化街道</v>
      </c>
      <c r="N5872" s="1" t="str">
        <f t="shared" si="1863"/>
        <v>凡华云仓-韵达-抖音</v>
      </c>
      <c r="O5872" s="5">
        <v>320177485546610</v>
      </c>
      <c r="P5872" s="6">
        <v>0.28000000000000003</v>
      </c>
      <c r="Q5872" s="11">
        <v>2</v>
      </c>
      <c r="R5872" s="11"/>
      <c r="S5872" s="11"/>
      <c r="T5872" s="11"/>
      <c r="U5872" s="11">
        <f t="shared" si="1864"/>
        <v>2</v>
      </c>
      <c r="W5872">
        <v>2.2000000000000002</v>
      </c>
      <c r="X5872" s="1" t="s">
        <v>13</v>
      </c>
    </row>
    <row r="5873" spans="1:24" x14ac:dyDescent="0.25">
      <c r="A5873" s="1" t="str">
        <f t="shared" si="1865"/>
        <v>卡卡杜-凤凰仓</v>
      </c>
      <c r="B5873" s="1" t="str">
        <f>"CK202410186769"</f>
        <v>CK202410186769</v>
      </c>
      <c r="C5873" s="1" t="str">
        <f>"DD2024101812328"</f>
        <v>DD2024101812328</v>
      </c>
      <c r="D5873" s="1" t="str">
        <f>"CK2024101810210"</f>
        <v>CK2024101810210</v>
      </c>
      <c r="E5873" s="1" t="str">
        <f>"6935153844582421897"</f>
        <v>6935153844582421897</v>
      </c>
      <c r="F5873" s="1" t="str">
        <f t="shared" si="1866"/>
        <v>花都四部-凤凰仓</v>
      </c>
      <c r="G5873" s="1" t="str">
        <f t="shared" si="1862"/>
        <v>卡卡杜个人护理店（抖店）</v>
      </c>
      <c r="H5873" s="1" t="str">
        <f t="shared" si="1867"/>
        <v>正常订单</v>
      </c>
      <c r="I5873" s="1" t="str">
        <f t="shared" si="1868"/>
        <v>已发货</v>
      </c>
      <c r="J5873" s="1" t="str">
        <f t="shared" si="1869"/>
        <v>3</v>
      </c>
      <c r="K5873" s="1">
        <v>3</v>
      </c>
      <c r="L5873" s="1" t="s">
        <v>94</v>
      </c>
      <c r="M5873" s="1" t="str">
        <f>"湖南省 湘潭市 湘潭县 易俗河镇"</f>
        <v>湖南省 湘潭市 湘潭县 易俗河镇</v>
      </c>
      <c r="N5873" s="1" t="str">
        <f t="shared" si="1863"/>
        <v>凡华云仓-韵达-抖音</v>
      </c>
      <c r="O5873" s="5">
        <v>320177485546511</v>
      </c>
      <c r="P5873" s="6">
        <v>0.28000000000000003</v>
      </c>
      <c r="Q5873" s="11">
        <v>2</v>
      </c>
      <c r="R5873" s="11"/>
      <c r="S5873" s="11"/>
      <c r="T5873" s="11"/>
      <c r="U5873" s="11">
        <f t="shared" si="1864"/>
        <v>2</v>
      </c>
      <c r="W5873">
        <v>2.2000000000000002</v>
      </c>
      <c r="X5873" s="1" t="s">
        <v>94</v>
      </c>
    </row>
    <row r="5874" spans="1:24" x14ac:dyDescent="0.25">
      <c r="A5874" s="1" t="str">
        <f t="shared" si="1865"/>
        <v>卡卡杜-凤凰仓</v>
      </c>
      <c r="B5874" s="1" t="str">
        <f>"CK2024101810184"</f>
        <v>CK2024101810184</v>
      </c>
      <c r="C5874" s="1" t="str">
        <f>"DD2024101815797"</f>
        <v>DD2024101815797</v>
      </c>
      <c r="D5874" s="1" t="str">
        <f>"CK2024101810209"</f>
        <v>CK2024101810209</v>
      </c>
      <c r="E5874" s="1" t="str">
        <f>"6935172069981886172"</f>
        <v>6935172069981886172</v>
      </c>
      <c r="F5874" s="1" t="str">
        <f t="shared" si="1866"/>
        <v>花都四部-凤凰仓</v>
      </c>
      <c r="G5874" s="1" t="str">
        <f t="shared" si="1862"/>
        <v>卡卡杜个人护理店（抖店）</v>
      </c>
      <c r="H5874" s="1" t="str">
        <f t="shared" si="1867"/>
        <v>正常订单</v>
      </c>
      <c r="I5874" s="1" t="str">
        <f t="shared" si="1868"/>
        <v>已发货</v>
      </c>
      <c r="J5874" s="1" t="str">
        <f t="shared" si="1869"/>
        <v>3</v>
      </c>
      <c r="K5874" s="1">
        <v>3</v>
      </c>
      <c r="L5874" s="1" t="s">
        <v>30</v>
      </c>
      <c r="M5874" s="1" t="str">
        <f>"山东省 威海市 环翠区 皇冠街道"</f>
        <v>山东省 威海市 环翠区 皇冠街道</v>
      </c>
      <c r="N5874" s="1" t="str">
        <f t="shared" si="1863"/>
        <v>凡华云仓-韵达-抖音</v>
      </c>
      <c r="O5874" s="5">
        <v>320177485546414</v>
      </c>
      <c r="P5874" s="6">
        <v>0.34</v>
      </c>
      <c r="Q5874" s="11">
        <v>2.2999999999999998</v>
      </c>
      <c r="R5874" s="11"/>
      <c r="S5874" s="11"/>
      <c r="T5874" s="11"/>
      <c r="U5874" s="11">
        <f t="shared" si="1864"/>
        <v>2.2999999999999998</v>
      </c>
      <c r="W5874">
        <v>2.5</v>
      </c>
      <c r="X5874" s="1" t="s">
        <v>30</v>
      </c>
    </row>
    <row r="5875" spans="1:24" x14ac:dyDescent="0.25">
      <c r="A5875" s="1" t="str">
        <f t="shared" si="1865"/>
        <v>卡卡杜-凤凰仓</v>
      </c>
      <c r="B5875" s="1" t="str">
        <f>"CK202410189998"</f>
        <v>CK202410189998</v>
      </c>
      <c r="C5875" s="1" t="str">
        <f>"DD2024101815581"</f>
        <v>DD2024101815581</v>
      </c>
      <c r="D5875" s="1" t="str">
        <f>"CK2024101810208"</f>
        <v>CK2024101810208</v>
      </c>
      <c r="E5875" s="1" t="str">
        <f>"6935156264948275123"</f>
        <v>6935156264948275123</v>
      </c>
      <c r="F5875" s="1" t="str">
        <f t="shared" si="1866"/>
        <v>花都四部-凤凰仓</v>
      </c>
      <c r="G5875" s="1" t="str">
        <f t="shared" si="1862"/>
        <v>卡卡杜个人护理店（抖店）</v>
      </c>
      <c r="H5875" s="1" t="str">
        <f t="shared" si="1867"/>
        <v>正常订单</v>
      </c>
      <c r="I5875" s="1" t="str">
        <f t="shared" si="1868"/>
        <v>已发货</v>
      </c>
      <c r="J5875" s="1" t="str">
        <f t="shared" si="1869"/>
        <v>3</v>
      </c>
      <c r="K5875" s="1">
        <v>3</v>
      </c>
      <c r="L5875" s="1" t="s">
        <v>30</v>
      </c>
      <c r="M5875" s="1" t="str">
        <f>"山东省 潍坊市 高密市 柏城镇"</f>
        <v>山东省 潍坊市 高密市 柏城镇</v>
      </c>
      <c r="N5875" s="1" t="str">
        <f t="shared" si="1863"/>
        <v>凡华云仓-韵达-抖音</v>
      </c>
      <c r="O5875" s="5">
        <v>320177485546319</v>
      </c>
      <c r="P5875" s="6">
        <v>0.28000000000000003</v>
      </c>
      <c r="Q5875" s="11">
        <v>2</v>
      </c>
      <c r="R5875" s="11"/>
      <c r="S5875" s="11"/>
      <c r="T5875" s="11"/>
      <c r="U5875" s="11">
        <f t="shared" si="1864"/>
        <v>2</v>
      </c>
      <c r="W5875">
        <v>2.2000000000000002</v>
      </c>
      <c r="X5875" s="1" t="s">
        <v>30</v>
      </c>
    </row>
    <row r="5876" spans="1:24" x14ac:dyDescent="0.25">
      <c r="A5876" s="1" t="str">
        <f t="shared" si="1865"/>
        <v>卡卡杜-凤凰仓</v>
      </c>
      <c r="B5876" s="1" t="str">
        <f>"CK202410186770"</f>
        <v>CK202410186770</v>
      </c>
      <c r="C5876" s="1" t="str">
        <f>"DD2024101812329"</f>
        <v>DD2024101812329</v>
      </c>
      <c r="D5876" s="1" t="str">
        <f>"CK2024101810207"</f>
        <v>CK2024101810207</v>
      </c>
      <c r="E5876" s="1" t="str">
        <f>"6935176656584053815"</f>
        <v>6935176656584053815</v>
      </c>
      <c r="F5876" s="1" t="str">
        <f t="shared" si="1866"/>
        <v>花都四部-凤凰仓</v>
      </c>
      <c r="G5876" s="1" t="str">
        <f t="shared" ref="G5876:G5939" si="1870">"卡卡杜个人护理店（抖店）"</f>
        <v>卡卡杜个人护理店（抖店）</v>
      </c>
      <c r="H5876" s="1" t="str">
        <f t="shared" si="1867"/>
        <v>正常订单</v>
      </c>
      <c r="I5876" s="1" t="str">
        <f t="shared" si="1868"/>
        <v>已发货</v>
      </c>
      <c r="J5876" s="1" t="str">
        <f t="shared" si="1869"/>
        <v>3</v>
      </c>
      <c r="K5876" s="1">
        <v>3</v>
      </c>
      <c r="L5876" s="1" t="s">
        <v>32</v>
      </c>
      <c r="M5876" s="1" t="str">
        <f>"陕西省 宝鸡市 渭滨区 "</f>
        <v xml:space="preserve">陕西省 宝鸡市 渭滨区 </v>
      </c>
      <c r="N5876" s="1" t="str">
        <f t="shared" ref="N5876:N5884" si="1871">"凡华云仓-韵达-抖音"</f>
        <v>凡华云仓-韵达-抖音</v>
      </c>
      <c r="O5876" s="5">
        <v>320177485546226</v>
      </c>
      <c r="P5876" s="6">
        <v>0.28000000000000003</v>
      </c>
      <c r="Q5876" s="11">
        <v>2</v>
      </c>
      <c r="R5876" s="11"/>
      <c r="S5876" s="11"/>
      <c r="T5876" s="11"/>
      <c r="U5876" s="11">
        <f t="shared" si="1864"/>
        <v>2</v>
      </c>
      <c r="W5876">
        <v>2.2000000000000002</v>
      </c>
      <c r="X5876" s="1" t="s">
        <v>32</v>
      </c>
    </row>
    <row r="5877" spans="1:24" x14ac:dyDescent="0.25">
      <c r="A5877" s="1" t="str">
        <f t="shared" si="1865"/>
        <v>卡卡杜-凤凰仓</v>
      </c>
      <c r="B5877" s="1" t="str">
        <f>"CK202410186771"</f>
        <v>CK202410186771</v>
      </c>
      <c r="C5877" s="1" t="str">
        <f>"DD2024101812331"</f>
        <v>DD2024101812331</v>
      </c>
      <c r="D5877" s="1" t="str">
        <f>"CK2024101810206"</f>
        <v>CK2024101810206</v>
      </c>
      <c r="E5877" s="1" t="str">
        <f>"6935176707879998603"</f>
        <v>6935176707879998603</v>
      </c>
      <c r="F5877" s="1" t="str">
        <f t="shared" si="1866"/>
        <v>花都四部-凤凰仓</v>
      </c>
      <c r="G5877" s="1" t="str">
        <f t="shared" si="1870"/>
        <v>卡卡杜个人护理店（抖店）</v>
      </c>
      <c r="H5877" s="1" t="str">
        <f t="shared" si="1867"/>
        <v>正常订单</v>
      </c>
      <c r="I5877" s="1" t="str">
        <f t="shared" si="1868"/>
        <v>已发货</v>
      </c>
      <c r="J5877" s="1" t="str">
        <f t="shared" si="1869"/>
        <v>3</v>
      </c>
      <c r="K5877" s="1">
        <v>3</v>
      </c>
      <c r="L5877" s="1" t="s">
        <v>30</v>
      </c>
      <c r="M5877" s="1" t="str">
        <f>"山东省 德州市 乐陵市 市中街道"</f>
        <v>山东省 德州市 乐陵市 市中街道</v>
      </c>
      <c r="N5877" s="1" t="str">
        <f t="shared" si="1871"/>
        <v>凡华云仓-韵达-抖音</v>
      </c>
      <c r="O5877" s="5">
        <v>320177485546135</v>
      </c>
      <c r="P5877" s="6">
        <v>0.28000000000000003</v>
      </c>
      <c r="Q5877" s="11">
        <v>2</v>
      </c>
      <c r="R5877" s="11"/>
      <c r="S5877" s="11"/>
      <c r="T5877" s="11"/>
      <c r="U5877" s="11">
        <f t="shared" si="1864"/>
        <v>2</v>
      </c>
      <c r="W5877">
        <v>2.2000000000000002</v>
      </c>
      <c r="X5877" s="1" t="s">
        <v>30</v>
      </c>
    </row>
    <row r="5878" spans="1:24" x14ac:dyDescent="0.25">
      <c r="A5878" s="1" t="str">
        <f t="shared" si="1865"/>
        <v>卡卡杜-凤凰仓</v>
      </c>
      <c r="B5878" s="1" t="str">
        <f>"CK2024101810000"</f>
        <v>CK2024101810000</v>
      </c>
      <c r="C5878" s="1" t="str">
        <f>"DD2024101815584"</f>
        <v>DD2024101815584</v>
      </c>
      <c r="D5878" s="1" t="str">
        <f>"CK2024101810205"</f>
        <v>CK2024101810205</v>
      </c>
      <c r="E5878" s="1" t="str">
        <f>"6935174323032626347"</f>
        <v>6935174323032626347</v>
      </c>
      <c r="F5878" s="1" t="str">
        <f t="shared" si="1866"/>
        <v>花都四部-凤凰仓</v>
      </c>
      <c r="G5878" s="1" t="str">
        <f t="shared" si="1870"/>
        <v>卡卡杜个人护理店（抖店）</v>
      </c>
      <c r="H5878" s="1" t="str">
        <f t="shared" si="1867"/>
        <v>正常订单</v>
      </c>
      <c r="I5878" s="1" t="str">
        <f t="shared" si="1868"/>
        <v>已发货</v>
      </c>
      <c r="J5878" s="1" t="str">
        <f t="shared" si="1869"/>
        <v>3</v>
      </c>
      <c r="K5878" s="1">
        <v>3</v>
      </c>
      <c r="L5878" s="1" t="s">
        <v>30</v>
      </c>
      <c r="M5878" s="1" t="str">
        <f>"山东省 潍坊市 临朐县 东城街道"</f>
        <v>山东省 潍坊市 临朐县 东城街道</v>
      </c>
      <c r="N5878" s="1" t="str">
        <f t="shared" si="1871"/>
        <v>凡华云仓-韵达-抖音</v>
      </c>
      <c r="O5878" s="5">
        <v>320177485546046</v>
      </c>
      <c r="P5878" s="6">
        <v>0.28000000000000003</v>
      </c>
      <c r="Q5878" s="11">
        <v>2</v>
      </c>
      <c r="R5878" s="11"/>
      <c r="S5878" s="11"/>
      <c r="T5878" s="11"/>
      <c r="U5878" s="11">
        <f t="shared" si="1864"/>
        <v>2</v>
      </c>
      <c r="W5878">
        <v>2.2000000000000002</v>
      </c>
      <c r="X5878" s="1" t="s">
        <v>30</v>
      </c>
    </row>
    <row r="5879" spans="1:24" x14ac:dyDescent="0.25">
      <c r="A5879" s="1" t="str">
        <f t="shared" si="1865"/>
        <v>卡卡杜-凤凰仓</v>
      </c>
      <c r="B5879" s="1" t="str">
        <f>"CK202410189999"</f>
        <v>CK202410189999</v>
      </c>
      <c r="C5879" s="1" t="str">
        <f>"DD2024101815583"</f>
        <v>DD2024101815583</v>
      </c>
      <c r="D5879" s="1" t="str">
        <f>"CK2024101810204"</f>
        <v>CK2024101810204</v>
      </c>
      <c r="E5879" s="1" t="str">
        <f>"6935172044514268719"</f>
        <v>6935172044514268719</v>
      </c>
      <c r="F5879" s="1" t="str">
        <f t="shared" si="1866"/>
        <v>花都四部-凤凰仓</v>
      </c>
      <c r="G5879" s="1" t="str">
        <f t="shared" si="1870"/>
        <v>卡卡杜个人护理店（抖店）</v>
      </c>
      <c r="H5879" s="1" t="str">
        <f t="shared" si="1867"/>
        <v>正常订单</v>
      </c>
      <c r="I5879" s="1" t="str">
        <f t="shared" si="1868"/>
        <v>已发货</v>
      </c>
      <c r="J5879" s="1" t="str">
        <f t="shared" si="1869"/>
        <v>3</v>
      </c>
      <c r="K5879" s="1">
        <v>3</v>
      </c>
      <c r="L5879" s="1" t="s">
        <v>41</v>
      </c>
      <c r="M5879" s="1" t="str">
        <f>"湖北省 孝感市 大悟县 城关镇"</f>
        <v>湖北省 孝感市 大悟县 城关镇</v>
      </c>
      <c r="N5879" s="1" t="str">
        <f t="shared" si="1871"/>
        <v>凡华云仓-韵达-抖音</v>
      </c>
      <c r="O5879" s="5">
        <v>320177485545920</v>
      </c>
      <c r="P5879" s="6">
        <v>0.28000000000000003</v>
      </c>
      <c r="Q5879" s="11">
        <v>2</v>
      </c>
      <c r="R5879" s="11"/>
      <c r="S5879" s="11"/>
      <c r="T5879" s="11"/>
      <c r="U5879" s="11">
        <f t="shared" si="1864"/>
        <v>2</v>
      </c>
      <c r="W5879">
        <v>2.2000000000000002</v>
      </c>
      <c r="X5879" s="1" t="s">
        <v>41</v>
      </c>
    </row>
    <row r="5880" spans="1:24" x14ac:dyDescent="0.25">
      <c r="A5880" s="1" t="str">
        <f t="shared" si="1865"/>
        <v>卡卡杜-凤凰仓</v>
      </c>
      <c r="B5880" s="1" t="str">
        <f>"CK2024101810183"</f>
        <v>CK2024101810183</v>
      </c>
      <c r="C5880" s="1" t="str">
        <f>"DD2024101815796"</f>
        <v>DD2024101815796</v>
      </c>
      <c r="D5880" s="1" t="str">
        <f>"CK2024101810203"</f>
        <v>CK2024101810203</v>
      </c>
      <c r="E5880" s="1" t="str">
        <f>"6935160962956334335"</f>
        <v>6935160962956334335</v>
      </c>
      <c r="F5880" s="1" t="str">
        <f t="shared" si="1866"/>
        <v>花都四部-凤凰仓</v>
      </c>
      <c r="G5880" s="1" t="str">
        <f t="shared" si="1870"/>
        <v>卡卡杜个人护理店（抖店）</v>
      </c>
      <c r="H5880" s="1" t="str">
        <f t="shared" si="1867"/>
        <v>正常订单</v>
      </c>
      <c r="I5880" s="1" t="str">
        <f t="shared" si="1868"/>
        <v>已发货</v>
      </c>
      <c r="J5880" s="1" t="str">
        <f t="shared" si="1869"/>
        <v>3</v>
      </c>
      <c r="K5880" s="1">
        <v>3</v>
      </c>
      <c r="L5880" s="1" t="s">
        <v>18</v>
      </c>
      <c r="M5880" s="1" t="str">
        <f>"广东省 深圳市 宝安区 松岗街道"</f>
        <v>广东省 深圳市 宝安区 松岗街道</v>
      </c>
      <c r="N5880" s="1" t="str">
        <f t="shared" si="1871"/>
        <v>凡华云仓-韵达-抖音</v>
      </c>
      <c r="O5880" s="5">
        <v>320177485545815</v>
      </c>
      <c r="P5880" s="6">
        <v>0.34</v>
      </c>
      <c r="Q5880" s="11">
        <v>2.2999999999999998</v>
      </c>
      <c r="R5880" s="11"/>
      <c r="S5880" s="11"/>
      <c r="T5880" s="11"/>
      <c r="U5880" s="11">
        <f t="shared" si="1864"/>
        <v>2.2999999999999998</v>
      </c>
      <c r="W5880">
        <v>2.5</v>
      </c>
      <c r="X5880" s="1" t="s">
        <v>18</v>
      </c>
    </row>
    <row r="5881" spans="1:24" x14ac:dyDescent="0.25">
      <c r="A5881" s="1" t="str">
        <f t="shared" si="1865"/>
        <v>卡卡杜-凤凰仓</v>
      </c>
      <c r="B5881" s="1" t="str">
        <f>"CK2024101810001"</f>
        <v>CK2024101810001</v>
      </c>
      <c r="C5881" s="1" t="str">
        <f>"DD2024101815585"</f>
        <v>DD2024101815585</v>
      </c>
      <c r="D5881" s="1" t="str">
        <f>"CK2024101810202"</f>
        <v>CK2024101810202</v>
      </c>
      <c r="E5881" s="1" t="str">
        <f>"6935147590907729089"</f>
        <v>6935147590907729089</v>
      </c>
      <c r="F5881" s="1" t="str">
        <f t="shared" si="1866"/>
        <v>花都四部-凤凰仓</v>
      </c>
      <c r="G5881" s="1" t="str">
        <f t="shared" si="1870"/>
        <v>卡卡杜个人护理店（抖店）</v>
      </c>
      <c r="H5881" s="1" t="str">
        <f t="shared" si="1867"/>
        <v>正常订单</v>
      </c>
      <c r="I5881" s="1" t="str">
        <f t="shared" si="1868"/>
        <v>已发货</v>
      </c>
      <c r="J5881" s="1" t="str">
        <f t="shared" si="1869"/>
        <v>3</v>
      </c>
      <c r="K5881" s="1">
        <v>3</v>
      </c>
      <c r="L5881" s="1" t="s">
        <v>92</v>
      </c>
      <c r="M5881" s="1" t="str">
        <f>"辽宁省 葫芦岛市 龙港区 双龙街道"</f>
        <v>辽宁省 葫芦岛市 龙港区 双龙街道</v>
      </c>
      <c r="N5881" s="1" t="str">
        <f t="shared" si="1871"/>
        <v>凡华云仓-韵达-抖音</v>
      </c>
      <c r="O5881" s="5">
        <v>320177503003623</v>
      </c>
      <c r="P5881" s="6">
        <v>0.28000000000000003</v>
      </c>
      <c r="Q5881" s="11">
        <v>2</v>
      </c>
      <c r="R5881" s="11"/>
      <c r="S5881" s="11"/>
      <c r="T5881" s="11"/>
      <c r="U5881" s="11">
        <f t="shared" si="1864"/>
        <v>2</v>
      </c>
      <c r="W5881">
        <v>2.2000000000000002</v>
      </c>
      <c r="X5881" s="1" t="s">
        <v>92</v>
      </c>
    </row>
    <row r="5882" spans="1:24" x14ac:dyDescent="0.25">
      <c r="A5882" s="1" t="str">
        <f t="shared" si="1865"/>
        <v>卡卡杜-凤凰仓</v>
      </c>
      <c r="B5882" s="1" t="str">
        <f>"CK2024101810168"</f>
        <v>CK2024101810168</v>
      </c>
      <c r="C5882" s="1" t="str">
        <f>"DD2024101815764"</f>
        <v>DD2024101815764</v>
      </c>
      <c r="D5882" s="1" t="str">
        <f>"CK2024101810201"</f>
        <v>CK2024101810201</v>
      </c>
      <c r="E5882" s="1" t="str">
        <f>"6935153886533195241"</f>
        <v>6935153886533195241</v>
      </c>
      <c r="F5882" s="1" t="str">
        <f t="shared" si="1866"/>
        <v>花都四部-凤凰仓</v>
      </c>
      <c r="G5882" s="1" t="str">
        <f t="shared" si="1870"/>
        <v>卡卡杜个人护理店（抖店）</v>
      </c>
      <c r="H5882" s="1" t="str">
        <f t="shared" si="1867"/>
        <v>正常订单</v>
      </c>
      <c r="I5882" s="1" t="str">
        <f t="shared" si="1868"/>
        <v>已发货</v>
      </c>
      <c r="J5882" s="1" t="str">
        <f t="shared" si="1869"/>
        <v>3</v>
      </c>
      <c r="K5882" s="1">
        <v>3</v>
      </c>
      <c r="L5882" s="1" t="s">
        <v>22</v>
      </c>
      <c r="M5882" s="1" t="str">
        <f>"江西省 赣州市 瑞金市 象湖镇"</f>
        <v>江西省 赣州市 瑞金市 象湖镇</v>
      </c>
      <c r="N5882" s="1" t="str">
        <f t="shared" si="1871"/>
        <v>凡华云仓-韵达-抖音</v>
      </c>
      <c r="O5882" s="5">
        <v>320177503003524</v>
      </c>
      <c r="P5882" s="6">
        <v>0.34</v>
      </c>
      <c r="Q5882" s="11">
        <v>2.2999999999999998</v>
      </c>
      <c r="R5882" s="11"/>
      <c r="S5882" s="11"/>
      <c r="T5882" s="11"/>
      <c r="U5882" s="11">
        <f t="shared" si="1864"/>
        <v>2.2999999999999998</v>
      </c>
      <c r="W5882">
        <v>2.5</v>
      </c>
      <c r="X5882" s="1" t="s">
        <v>22</v>
      </c>
    </row>
    <row r="5883" spans="1:24" x14ac:dyDescent="0.25">
      <c r="A5883" s="1" t="str">
        <f t="shared" si="1865"/>
        <v>卡卡杜-凤凰仓</v>
      </c>
      <c r="B5883" s="1" t="str">
        <f>"CK2024101810185"</f>
        <v>CK2024101810185</v>
      </c>
      <c r="C5883" s="1" t="str">
        <f>"DD2024101815802"</f>
        <v>DD2024101815802</v>
      </c>
      <c r="D5883" s="1" t="str">
        <f>"CK2024101810200"</f>
        <v>CK2024101810200</v>
      </c>
      <c r="E5883" s="1" t="str">
        <f>"6935172038206035339"</f>
        <v>6935172038206035339</v>
      </c>
      <c r="F5883" s="1" t="str">
        <f t="shared" si="1866"/>
        <v>花都四部-凤凰仓</v>
      </c>
      <c r="G5883" s="1" t="str">
        <f t="shared" si="1870"/>
        <v>卡卡杜个人护理店（抖店）</v>
      </c>
      <c r="H5883" s="1" t="str">
        <f t="shared" si="1867"/>
        <v>正常订单</v>
      </c>
      <c r="I5883" s="1" t="str">
        <f t="shared" si="1868"/>
        <v>已发货</v>
      </c>
      <c r="J5883" s="1" t="str">
        <f t="shared" si="1869"/>
        <v>3</v>
      </c>
      <c r="K5883" s="1">
        <v>3</v>
      </c>
      <c r="L5883" s="1" t="s">
        <v>30</v>
      </c>
      <c r="M5883" s="1" t="str">
        <f>"山东省 潍坊市 安丘市 石堆镇"</f>
        <v>山东省 潍坊市 安丘市 石堆镇</v>
      </c>
      <c r="N5883" s="1" t="str">
        <f t="shared" si="1871"/>
        <v>凡华云仓-韵达-抖音</v>
      </c>
      <c r="O5883" s="5">
        <v>320177503003427</v>
      </c>
      <c r="P5883" s="6">
        <v>0.34</v>
      </c>
      <c r="Q5883" s="11">
        <v>2.2999999999999998</v>
      </c>
      <c r="R5883" s="11"/>
      <c r="S5883" s="11"/>
      <c r="T5883" s="11"/>
      <c r="U5883" s="11">
        <f t="shared" si="1864"/>
        <v>2.2999999999999998</v>
      </c>
      <c r="W5883">
        <v>2.5</v>
      </c>
      <c r="X5883" s="1" t="s">
        <v>30</v>
      </c>
    </row>
    <row r="5884" spans="1:24" x14ac:dyDescent="0.25">
      <c r="A5884" s="1" t="str">
        <f t="shared" si="1865"/>
        <v>卡卡杜-凤凰仓</v>
      </c>
      <c r="B5884" s="1" t="str">
        <f>"CK2024101810169"</f>
        <v>CK2024101810169</v>
      </c>
      <c r="C5884" s="1" t="str">
        <f>"DD2024101815763"</f>
        <v>DD2024101815763</v>
      </c>
      <c r="D5884" s="1" t="str">
        <f>"CK2024101810199"</f>
        <v>CK2024101810199</v>
      </c>
      <c r="E5884" s="1" t="str">
        <f>"6935167501704828728"</f>
        <v>6935167501704828728</v>
      </c>
      <c r="F5884" s="1" t="str">
        <f t="shared" si="1866"/>
        <v>花都四部-凤凰仓</v>
      </c>
      <c r="G5884" s="1" t="str">
        <f t="shared" si="1870"/>
        <v>卡卡杜个人护理店（抖店）</v>
      </c>
      <c r="H5884" s="1" t="str">
        <f t="shared" si="1867"/>
        <v>正常订单</v>
      </c>
      <c r="I5884" s="1" t="str">
        <f t="shared" si="1868"/>
        <v>已发货</v>
      </c>
      <c r="J5884" s="1" t="str">
        <f t="shared" si="1869"/>
        <v>3</v>
      </c>
      <c r="K5884" s="1">
        <v>3</v>
      </c>
      <c r="L5884" s="1" t="s">
        <v>16</v>
      </c>
      <c r="M5884" s="1" t="str">
        <f>"河北省 保定市 唐县 长古城乡"</f>
        <v>河北省 保定市 唐县 长古城乡</v>
      </c>
      <c r="N5884" s="1" t="str">
        <f t="shared" si="1871"/>
        <v>凡华云仓-韵达-抖音</v>
      </c>
      <c r="O5884" s="5">
        <v>320177503003332</v>
      </c>
      <c r="P5884" s="6">
        <v>0.34</v>
      </c>
      <c r="Q5884" s="11">
        <v>2.2999999999999998</v>
      </c>
      <c r="R5884" s="11"/>
      <c r="S5884" s="11"/>
      <c r="T5884" s="11"/>
      <c r="U5884" s="11">
        <f t="shared" si="1864"/>
        <v>2.2999999999999998</v>
      </c>
      <c r="W5884">
        <v>2.5</v>
      </c>
      <c r="X5884" s="1" t="s">
        <v>16</v>
      </c>
    </row>
    <row r="5885" spans="1:24" x14ac:dyDescent="0.25">
      <c r="A5885" s="1" t="str">
        <f t="shared" si="1865"/>
        <v>卡卡杜-凤凰仓</v>
      </c>
      <c r="B5885" s="1" t="str">
        <f>"CK2024101810170"</f>
        <v>CK2024101810170</v>
      </c>
      <c r="C5885" s="1" t="str">
        <f>"DD2024101815766"</f>
        <v>DD2024101815766</v>
      </c>
      <c r="D5885" s="1" t="str">
        <f>"CK2024101810198"</f>
        <v>CK2024101810198</v>
      </c>
      <c r="E5885" s="1" t="str">
        <f>"6935165106580362294"</f>
        <v>6935165106580362294</v>
      </c>
      <c r="F5885" s="1" t="str">
        <f t="shared" si="1866"/>
        <v>花都四部-凤凰仓</v>
      </c>
      <c r="G5885" s="1" t="str">
        <f t="shared" si="1870"/>
        <v>卡卡杜个人护理店（抖店）</v>
      </c>
      <c r="H5885" s="1" t="str">
        <f t="shared" si="1867"/>
        <v>正常订单</v>
      </c>
      <c r="I5885" s="1" t="str">
        <f t="shared" si="1868"/>
        <v>已发货</v>
      </c>
      <c r="J5885" s="1" t="str">
        <f t="shared" si="1869"/>
        <v>3</v>
      </c>
      <c r="K5885" s="1">
        <v>3</v>
      </c>
      <c r="L5885" s="1" t="s">
        <v>30</v>
      </c>
      <c r="M5885" s="1" t="str">
        <f>"山东省 济南市 济阳区 济北街道"</f>
        <v>山东省 济南市 济阳区 济北街道</v>
      </c>
      <c r="N5885" s="1" t="str">
        <f>"凡华云仓-竹料中通-抖音"</f>
        <v>凡华云仓-竹料中通-抖音</v>
      </c>
      <c r="O5885" s="5">
        <v>76432348195176</v>
      </c>
      <c r="P5885" s="6">
        <v>0.34</v>
      </c>
      <c r="Q5885" s="11">
        <v>2.6</v>
      </c>
      <c r="R5885" s="11"/>
      <c r="S5885" s="11"/>
      <c r="T5885" s="11"/>
      <c r="U5885" s="11">
        <f t="shared" si="1864"/>
        <v>2.6</v>
      </c>
      <c r="W5885">
        <v>2.6</v>
      </c>
      <c r="X5885" s="1" t="s">
        <v>30</v>
      </c>
    </row>
    <row r="5886" spans="1:24" x14ac:dyDescent="0.25">
      <c r="A5886" s="1" t="str">
        <f t="shared" si="1865"/>
        <v>卡卡杜-凤凰仓</v>
      </c>
      <c r="B5886" s="1" t="str">
        <f>"CK2024101810171"</f>
        <v>CK2024101810171</v>
      </c>
      <c r="C5886" s="1" t="str">
        <f>"DD2024101815772"</f>
        <v>DD2024101815772</v>
      </c>
      <c r="D5886" s="1" t="str">
        <f>"CK2024101810197"</f>
        <v>CK2024101810197</v>
      </c>
      <c r="E5886" s="1" t="str">
        <f>"6935158414932710730"</f>
        <v>6935158414932710730</v>
      </c>
      <c r="F5886" s="1" t="str">
        <f t="shared" si="1866"/>
        <v>花都四部-凤凰仓</v>
      </c>
      <c r="G5886" s="1" t="str">
        <f t="shared" si="1870"/>
        <v>卡卡杜个人护理店（抖店）</v>
      </c>
      <c r="H5886" s="1" t="str">
        <f t="shared" si="1867"/>
        <v>正常订单</v>
      </c>
      <c r="I5886" s="1" t="str">
        <f t="shared" si="1868"/>
        <v>已发货</v>
      </c>
      <c r="J5886" s="1" t="str">
        <f t="shared" si="1869"/>
        <v>3</v>
      </c>
      <c r="K5886" s="1">
        <v>3</v>
      </c>
      <c r="L5886" s="1" t="s">
        <v>92</v>
      </c>
      <c r="M5886" s="1" t="str">
        <f>"辽宁省 大连市 瓦房店市 老虎屯镇"</f>
        <v>辽宁省 大连市 瓦房店市 老虎屯镇</v>
      </c>
      <c r="N5886" s="1" t="str">
        <f t="shared" ref="N5886:N5892" si="1872">"凡华云仓-韵达-抖音"</f>
        <v>凡华云仓-韵达-抖音</v>
      </c>
      <c r="O5886" s="5">
        <v>320177503003239</v>
      </c>
      <c r="P5886" s="6">
        <v>0.34</v>
      </c>
      <c r="Q5886" s="11">
        <v>2.2999999999999998</v>
      </c>
      <c r="R5886" s="11"/>
      <c r="S5886" s="11"/>
      <c r="T5886" s="11"/>
      <c r="U5886" s="11">
        <f t="shared" si="1864"/>
        <v>2.2999999999999998</v>
      </c>
      <c r="W5886">
        <v>2.5</v>
      </c>
      <c r="X5886" s="1" t="s">
        <v>92</v>
      </c>
    </row>
    <row r="5887" spans="1:24" x14ac:dyDescent="0.25">
      <c r="A5887" s="1" t="str">
        <f t="shared" si="1865"/>
        <v>卡卡杜-凤凰仓</v>
      </c>
      <c r="B5887" s="1" t="str">
        <f>"CK2024101810172"</f>
        <v>CK2024101810172</v>
      </c>
      <c r="C5887" s="1" t="str">
        <f>"DD2024101815769"</f>
        <v>DD2024101815769</v>
      </c>
      <c r="D5887" s="1" t="str">
        <f>"CK2024101810196"</f>
        <v>CK2024101810196</v>
      </c>
      <c r="E5887" s="1" t="str">
        <f>"6935158483308058203"</f>
        <v>6935158483308058203</v>
      </c>
      <c r="F5887" s="1" t="str">
        <f t="shared" si="1866"/>
        <v>花都四部-凤凰仓</v>
      </c>
      <c r="G5887" s="1" t="str">
        <f t="shared" si="1870"/>
        <v>卡卡杜个人护理店（抖店）</v>
      </c>
      <c r="H5887" s="1" t="str">
        <f t="shared" si="1867"/>
        <v>正常订单</v>
      </c>
      <c r="I5887" s="1" t="str">
        <f t="shared" si="1868"/>
        <v>已发货</v>
      </c>
      <c r="J5887" s="1" t="str">
        <f t="shared" si="1869"/>
        <v>3</v>
      </c>
      <c r="K5887" s="1">
        <v>3</v>
      </c>
      <c r="L5887" s="1" t="s">
        <v>13</v>
      </c>
      <c r="M5887" s="1" t="str">
        <f>"江苏省 苏州市 昆山市 张浦镇"</f>
        <v>江苏省 苏州市 昆山市 张浦镇</v>
      </c>
      <c r="N5887" s="1" t="str">
        <f t="shared" si="1872"/>
        <v>凡华云仓-韵达-抖音</v>
      </c>
      <c r="O5887" s="5">
        <v>320177503003148</v>
      </c>
      <c r="P5887" s="6">
        <v>0.34</v>
      </c>
      <c r="Q5887" s="11">
        <v>2.2999999999999998</v>
      </c>
      <c r="R5887" s="11"/>
      <c r="S5887" s="11"/>
      <c r="T5887" s="11"/>
      <c r="U5887" s="11">
        <f t="shared" si="1864"/>
        <v>2.2999999999999998</v>
      </c>
      <c r="W5887">
        <v>2.5</v>
      </c>
      <c r="X5887" s="1" t="s">
        <v>13</v>
      </c>
    </row>
    <row r="5888" spans="1:24" x14ac:dyDescent="0.25">
      <c r="A5888" s="1" t="str">
        <f t="shared" si="1865"/>
        <v>卡卡杜-凤凰仓</v>
      </c>
      <c r="B5888" s="1" t="str">
        <f>"CK2024101810173"</f>
        <v>CK2024101810173</v>
      </c>
      <c r="C5888" s="1" t="str">
        <f>"DD2024101815783"</f>
        <v>DD2024101815783</v>
      </c>
      <c r="D5888" s="1" t="str">
        <f>"CK2024101810195"</f>
        <v>CK2024101810195</v>
      </c>
      <c r="E5888" s="1" t="str">
        <f>"6935162913235343210"</f>
        <v>6935162913235343210</v>
      </c>
      <c r="F5888" s="1" t="str">
        <f t="shared" si="1866"/>
        <v>花都四部-凤凰仓</v>
      </c>
      <c r="G5888" s="1" t="str">
        <f t="shared" si="1870"/>
        <v>卡卡杜个人护理店（抖店）</v>
      </c>
      <c r="H5888" s="1" t="str">
        <f t="shared" si="1867"/>
        <v>正常订单</v>
      </c>
      <c r="I5888" s="1" t="str">
        <f t="shared" si="1868"/>
        <v>已发货</v>
      </c>
      <c r="J5888" s="1" t="str">
        <f t="shared" si="1869"/>
        <v>3</v>
      </c>
      <c r="K5888" s="1">
        <v>3</v>
      </c>
      <c r="L5888" s="1" t="s">
        <v>22</v>
      </c>
      <c r="M5888" s="1" t="str">
        <f>"江西省 宜春市 袁州区 "</f>
        <v xml:space="preserve">江西省 宜春市 袁州区 </v>
      </c>
      <c r="N5888" s="1" t="str">
        <f t="shared" si="1872"/>
        <v>凡华云仓-韵达-抖音</v>
      </c>
      <c r="O5888" s="5">
        <v>320177503003059</v>
      </c>
      <c r="P5888" s="6">
        <v>0.34</v>
      </c>
      <c r="Q5888" s="11">
        <v>2.2999999999999998</v>
      </c>
      <c r="R5888" s="11"/>
      <c r="S5888" s="11"/>
      <c r="T5888" s="11"/>
      <c r="U5888" s="11">
        <f t="shared" si="1864"/>
        <v>2.2999999999999998</v>
      </c>
      <c r="W5888">
        <v>2.5</v>
      </c>
      <c r="X5888" s="1" t="s">
        <v>22</v>
      </c>
    </row>
    <row r="5889" spans="1:24" x14ac:dyDescent="0.25">
      <c r="A5889" s="1" t="str">
        <f t="shared" si="1865"/>
        <v>卡卡杜-凤凰仓</v>
      </c>
      <c r="B5889" s="1" t="str">
        <f>"CK2024101810620"</f>
        <v>CK2024101810620</v>
      </c>
      <c r="C5889" s="1" t="str">
        <f>"DD2024101816699"</f>
        <v>DD2024101816699</v>
      </c>
      <c r="D5889" s="1" t="str">
        <f>"CK2024101810194"</f>
        <v>CK2024101810194</v>
      </c>
      <c r="E5889" s="1" t="str">
        <f>"6935155962774689635"</f>
        <v>6935155962774689635</v>
      </c>
      <c r="F5889" s="1" t="str">
        <f t="shared" si="1866"/>
        <v>花都四部-凤凰仓</v>
      </c>
      <c r="G5889" s="1" t="str">
        <f t="shared" si="1870"/>
        <v>卡卡杜个人护理店（抖店）</v>
      </c>
      <c r="H5889" s="1" t="str">
        <f t="shared" si="1867"/>
        <v>正常订单</v>
      </c>
      <c r="I5889" s="1" t="str">
        <f t="shared" si="1868"/>
        <v>已发货</v>
      </c>
      <c r="J5889" s="1" t="str">
        <f t="shared" si="1869"/>
        <v>3</v>
      </c>
      <c r="K5889" s="1">
        <v>3</v>
      </c>
      <c r="L5889" s="1" t="s">
        <v>80</v>
      </c>
      <c r="M5889" s="1" t="str">
        <f>"河南省 三门峡市 湖滨区 前进街道"</f>
        <v>河南省 三门峡市 湖滨区 前进街道</v>
      </c>
      <c r="N5889" s="1" t="str">
        <f t="shared" si="1872"/>
        <v>凡华云仓-韵达-抖音</v>
      </c>
      <c r="O5889" s="5">
        <v>320177503002939</v>
      </c>
      <c r="P5889" s="6">
        <v>0.34</v>
      </c>
      <c r="Q5889" s="11">
        <v>2.2999999999999998</v>
      </c>
      <c r="R5889" s="11"/>
      <c r="S5889" s="11"/>
      <c r="T5889" s="11"/>
      <c r="U5889" s="11">
        <f t="shared" si="1864"/>
        <v>2.2999999999999998</v>
      </c>
      <c r="W5889">
        <v>2.5</v>
      </c>
      <c r="X5889" s="1" t="s">
        <v>80</v>
      </c>
    </row>
    <row r="5890" spans="1:24" x14ac:dyDescent="0.25">
      <c r="A5890" s="1" t="str">
        <f t="shared" si="1865"/>
        <v>卡卡杜-凤凰仓</v>
      </c>
      <c r="B5890" s="1" t="str">
        <f>"CK2024101810174"</f>
        <v>CK2024101810174</v>
      </c>
      <c r="C5890" s="1" t="str">
        <f>"DD2024101815776"</f>
        <v>DD2024101815776</v>
      </c>
      <c r="D5890" s="1" t="str">
        <f>"CK2024101810193"</f>
        <v>CK2024101810193</v>
      </c>
      <c r="E5890" s="1" t="str">
        <f>"6935162838584661773"</f>
        <v>6935162838584661773</v>
      </c>
      <c r="F5890" s="1" t="str">
        <f t="shared" si="1866"/>
        <v>花都四部-凤凰仓</v>
      </c>
      <c r="G5890" s="1" t="str">
        <f t="shared" si="1870"/>
        <v>卡卡杜个人护理店（抖店）</v>
      </c>
      <c r="H5890" s="1" t="str">
        <f t="shared" si="1867"/>
        <v>正常订单</v>
      </c>
      <c r="I5890" s="1" t="str">
        <f t="shared" si="1868"/>
        <v>已发货</v>
      </c>
      <c r="J5890" s="1" t="str">
        <f t="shared" si="1869"/>
        <v>3</v>
      </c>
      <c r="K5890" s="1">
        <v>3</v>
      </c>
      <c r="L5890" s="1" t="s">
        <v>20</v>
      </c>
      <c r="M5890" s="1" t="str">
        <f>"浙江省 嘉兴市 平湖市 新埭镇"</f>
        <v>浙江省 嘉兴市 平湖市 新埭镇</v>
      </c>
      <c r="N5890" s="1" t="str">
        <f t="shared" si="1872"/>
        <v>凡华云仓-韵达-抖音</v>
      </c>
      <c r="O5890" s="5">
        <v>320177503002834</v>
      </c>
      <c r="P5890" s="6">
        <v>0.34</v>
      </c>
      <c r="Q5890" s="11">
        <v>2.2999999999999998</v>
      </c>
      <c r="R5890" s="11"/>
      <c r="S5890" s="11"/>
      <c r="T5890" s="11"/>
      <c r="U5890" s="11">
        <f t="shared" si="1864"/>
        <v>2.2999999999999998</v>
      </c>
      <c r="W5890">
        <v>2.5</v>
      </c>
      <c r="X5890" s="1" t="s">
        <v>20</v>
      </c>
    </row>
    <row r="5891" spans="1:24" x14ac:dyDescent="0.25">
      <c r="A5891" s="1" t="str">
        <f t="shared" si="1865"/>
        <v>卡卡杜-凤凰仓</v>
      </c>
      <c r="B5891" s="1" t="str">
        <f>"CK2024101810175"</f>
        <v>CK2024101810175</v>
      </c>
      <c r="C5891" s="1" t="str">
        <f>"DD2024101815780"</f>
        <v>DD2024101815780</v>
      </c>
      <c r="D5891" s="1" t="str">
        <f>"CK2024101810192"</f>
        <v>CK2024101810192</v>
      </c>
      <c r="E5891" s="1" t="str">
        <f>"6935151631208158614"</f>
        <v>6935151631208158614</v>
      </c>
      <c r="F5891" s="1" t="str">
        <f t="shared" si="1866"/>
        <v>花都四部-凤凰仓</v>
      </c>
      <c r="G5891" s="1" t="str">
        <f t="shared" si="1870"/>
        <v>卡卡杜个人护理店（抖店）</v>
      </c>
      <c r="H5891" s="1" t="str">
        <f t="shared" si="1867"/>
        <v>正常订单</v>
      </c>
      <c r="I5891" s="1" t="str">
        <f t="shared" si="1868"/>
        <v>已发货</v>
      </c>
      <c r="J5891" s="1" t="str">
        <f t="shared" si="1869"/>
        <v>3</v>
      </c>
      <c r="K5891" s="1">
        <v>3</v>
      </c>
      <c r="L5891" s="1" t="s">
        <v>13</v>
      </c>
      <c r="M5891" s="1" t="str">
        <f>"江苏省 淮安市 淮安区 河下街道"</f>
        <v>江苏省 淮安市 淮安区 河下街道</v>
      </c>
      <c r="N5891" s="1" t="str">
        <f t="shared" si="1872"/>
        <v>凡华云仓-韵达-抖音</v>
      </c>
      <c r="O5891" s="5">
        <v>320177485545712</v>
      </c>
      <c r="P5891" s="6">
        <v>0.34</v>
      </c>
      <c r="Q5891" s="11">
        <v>2.2999999999999998</v>
      </c>
      <c r="R5891" s="11"/>
      <c r="S5891" s="11"/>
      <c r="T5891" s="11"/>
      <c r="U5891" s="11">
        <f t="shared" ref="U5891:U5954" si="1873">T5891+S5891+R5891+Q5891</f>
        <v>2.2999999999999998</v>
      </c>
      <c r="W5891">
        <v>2.5</v>
      </c>
      <c r="X5891" s="1" t="s">
        <v>13</v>
      </c>
    </row>
    <row r="5892" spans="1:24" x14ac:dyDescent="0.25">
      <c r="A5892" s="1" t="str">
        <f t="shared" si="1865"/>
        <v>卡卡杜-凤凰仓</v>
      </c>
      <c r="B5892" s="1" t="str">
        <f>"CK2024101810186"</f>
        <v>CK2024101810186</v>
      </c>
      <c r="C5892" s="1" t="str">
        <f>"DD2024101815805"</f>
        <v>DD2024101815805</v>
      </c>
      <c r="D5892" s="1" t="str">
        <f>"CK2024101810191"</f>
        <v>CK2024101810191</v>
      </c>
      <c r="E5892" s="1" t="str">
        <f>"6935158467313801150"</f>
        <v>6935158467313801150</v>
      </c>
      <c r="F5892" s="1" t="str">
        <f t="shared" si="1866"/>
        <v>花都四部-凤凰仓</v>
      </c>
      <c r="G5892" s="1" t="str">
        <f t="shared" si="1870"/>
        <v>卡卡杜个人护理店（抖店）</v>
      </c>
      <c r="H5892" s="1" t="str">
        <f t="shared" si="1867"/>
        <v>正常订单</v>
      </c>
      <c r="I5892" s="1" t="str">
        <f t="shared" si="1868"/>
        <v>已发货</v>
      </c>
      <c r="J5892" s="1" t="str">
        <f t="shared" si="1869"/>
        <v>3</v>
      </c>
      <c r="K5892" s="1">
        <v>3</v>
      </c>
      <c r="L5892" s="1" t="s">
        <v>18</v>
      </c>
      <c r="M5892" s="1" t="str">
        <f>"广东省 湛江市 吴川市 兰石镇"</f>
        <v>广东省 湛江市 吴川市 兰石镇</v>
      </c>
      <c r="N5892" s="1" t="str">
        <f t="shared" si="1872"/>
        <v>凡华云仓-韵达-抖音</v>
      </c>
      <c r="O5892" s="5">
        <v>320177485545611</v>
      </c>
      <c r="P5892" s="6">
        <v>0.34</v>
      </c>
      <c r="Q5892" s="11">
        <v>2.2999999999999998</v>
      </c>
      <c r="R5892" s="11"/>
      <c r="S5892" s="11"/>
      <c r="T5892" s="11"/>
      <c r="U5892" s="11">
        <f t="shared" si="1873"/>
        <v>2.2999999999999998</v>
      </c>
      <c r="W5892">
        <v>2.5</v>
      </c>
      <c r="X5892" s="1" t="s">
        <v>18</v>
      </c>
    </row>
    <row r="5893" spans="1:24" x14ac:dyDescent="0.25">
      <c r="A5893" s="1" t="str">
        <f t="shared" ref="A5893:A5956" si="1874">"卡卡杜-凤凰仓"</f>
        <v>卡卡杜-凤凰仓</v>
      </c>
      <c r="B5893" s="1" t="str">
        <f>"CK2024101810176"</f>
        <v>CK2024101810176</v>
      </c>
      <c r="C5893" s="1" t="str">
        <f>"DD2024101815777"</f>
        <v>DD2024101815777</v>
      </c>
      <c r="D5893" s="1" t="str">
        <f>"CK2024101810190"</f>
        <v>CK2024101810190</v>
      </c>
      <c r="E5893" s="1" t="str">
        <f>"6935167500966893319"</f>
        <v>6935167500966893319</v>
      </c>
      <c r="F5893" s="1" t="str">
        <f t="shared" ref="F5893:F5956" si="1875">"花都四部-凤凰仓"</f>
        <v>花都四部-凤凰仓</v>
      </c>
      <c r="G5893" s="1" t="str">
        <f t="shared" si="1870"/>
        <v>卡卡杜个人护理店（抖店）</v>
      </c>
      <c r="H5893" s="1" t="str">
        <f t="shared" ref="H5893:H5956" si="1876">"正常订单"</f>
        <v>正常订单</v>
      </c>
      <c r="I5893" s="1" t="str">
        <f t="shared" ref="I5893:I5956" si="1877">"已发货"</f>
        <v>已发货</v>
      </c>
      <c r="J5893" s="1" t="str">
        <f t="shared" si="1869"/>
        <v>3</v>
      </c>
      <c r="K5893" s="1">
        <v>3</v>
      </c>
      <c r="L5893" s="1" t="s">
        <v>41</v>
      </c>
      <c r="M5893" s="1" t="str">
        <f>"湖北省 武汉市 汉阳区 "</f>
        <v xml:space="preserve">湖北省 武汉市 汉阳区 </v>
      </c>
      <c r="N5893" s="1" t="str">
        <f>"凡华云仓-竹料中通-抖音"</f>
        <v>凡华云仓-竹料中通-抖音</v>
      </c>
      <c r="O5893" s="5">
        <v>76432348195163</v>
      </c>
      <c r="P5893" s="6">
        <v>0.34</v>
      </c>
      <c r="Q5893" s="11">
        <v>2.6</v>
      </c>
      <c r="R5893" s="11"/>
      <c r="S5893" s="11"/>
      <c r="T5893" s="11"/>
      <c r="U5893" s="11">
        <f t="shared" si="1873"/>
        <v>2.6</v>
      </c>
      <c r="W5893">
        <v>2.6</v>
      </c>
      <c r="X5893" s="1" t="s">
        <v>41</v>
      </c>
    </row>
    <row r="5894" spans="1:24" x14ac:dyDescent="0.25">
      <c r="A5894" s="1" t="str">
        <f t="shared" si="1874"/>
        <v>卡卡杜-凤凰仓</v>
      </c>
      <c r="B5894" s="1" t="str">
        <f>"CK2024101810177"</f>
        <v>CK2024101810177</v>
      </c>
      <c r="C5894" s="1" t="str">
        <f>"DD2024101815782"</f>
        <v>DD2024101815782</v>
      </c>
      <c r="D5894" s="1" t="str">
        <f>"CK2024101810189"</f>
        <v>CK2024101810189</v>
      </c>
      <c r="E5894" s="1" t="str">
        <f>"6935169779830887788"</f>
        <v>6935169779830887788</v>
      </c>
      <c r="F5894" s="1" t="str">
        <f t="shared" si="1875"/>
        <v>花都四部-凤凰仓</v>
      </c>
      <c r="G5894" s="1" t="str">
        <f t="shared" si="1870"/>
        <v>卡卡杜个人护理店（抖店）</v>
      </c>
      <c r="H5894" s="1" t="str">
        <f t="shared" si="1876"/>
        <v>正常订单</v>
      </c>
      <c r="I5894" s="1" t="str">
        <f t="shared" si="1877"/>
        <v>已发货</v>
      </c>
      <c r="J5894" s="1" t="str">
        <f t="shared" si="1869"/>
        <v>3</v>
      </c>
      <c r="K5894" s="1">
        <v>3</v>
      </c>
      <c r="L5894" s="1" t="s">
        <v>30</v>
      </c>
      <c r="M5894" s="1" t="str">
        <f>"山东省 潍坊市 寒亭区 寒亭街道"</f>
        <v>山东省 潍坊市 寒亭区 寒亭街道</v>
      </c>
      <c r="N5894" s="1" t="str">
        <f t="shared" ref="N5894:N5957" si="1878">"凡华云仓-韵达-抖音"</f>
        <v>凡华云仓-韵达-抖音</v>
      </c>
      <c r="O5894" s="5">
        <v>320177485545512</v>
      </c>
      <c r="P5894" s="6">
        <v>0.34</v>
      </c>
      <c r="Q5894" s="11">
        <v>2.2999999999999998</v>
      </c>
      <c r="R5894" s="11"/>
      <c r="S5894" s="11"/>
      <c r="T5894" s="11"/>
      <c r="U5894" s="11">
        <f t="shared" si="1873"/>
        <v>2.2999999999999998</v>
      </c>
      <c r="W5894">
        <v>2.5</v>
      </c>
      <c r="X5894" s="1" t="s">
        <v>30</v>
      </c>
    </row>
    <row r="5895" spans="1:24" x14ac:dyDescent="0.25">
      <c r="A5895" s="1" t="str">
        <f t="shared" si="1874"/>
        <v>卡卡杜-凤凰仓</v>
      </c>
      <c r="B5895" s="1" t="str">
        <f>"CK2024101810621"</f>
        <v>CK2024101810621</v>
      </c>
      <c r="C5895" s="1" t="str">
        <f>"DD2024101816700"</f>
        <v>DD2024101816700</v>
      </c>
      <c r="D5895" s="1" t="str">
        <f>"CK2024101810188"</f>
        <v>CK2024101810188</v>
      </c>
      <c r="E5895" s="1" t="str">
        <f>"6935156058987567005"</f>
        <v>6935156058987567005</v>
      </c>
      <c r="F5895" s="1" t="str">
        <f t="shared" si="1875"/>
        <v>花都四部-凤凰仓</v>
      </c>
      <c r="G5895" s="1" t="str">
        <f t="shared" si="1870"/>
        <v>卡卡杜个人护理店（抖店）</v>
      </c>
      <c r="H5895" s="1" t="str">
        <f t="shared" si="1876"/>
        <v>正常订单</v>
      </c>
      <c r="I5895" s="1" t="str">
        <f t="shared" si="1877"/>
        <v>已发货</v>
      </c>
      <c r="J5895" s="1" t="str">
        <f t="shared" si="1869"/>
        <v>3</v>
      </c>
      <c r="K5895" s="1">
        <v>3</v>
      </c>
      <c r="L5895" s="1" t="s">
        <v>30</v>
      </c>
      <c r="M5895" s="1" t="str">
        <f>"山东省 青岛市 城阳区 流亭街道"</f>
        <v>山东省 青岛市 城阳区 流亭街道</v>
      </c>
      <c r="N5895" s="1" t="str">
        <f t="shared" si="1878"/>
        <v>凡华云仓-韵达-抖音</v>
      </c>
      <c r="O5895" s="5">
        <v>320177485545415</v>
      </c>
      <c r="P5895" s="6">
        <v>0.34</v>
      </c>
      <c r="Q5895" s="11">
        <v>2.2999999999999998</v>
      </c>
      <c r="R5895" s="11"/>
      <c r="S5895" s="11"/>
      <c r="T5895" s="11"/>
      <c r="U5895" s="11">
        <f t="shared" si="1873"/>
        <v>2.2999999999999998</v>
      </c>
      <c r="W5895">
        <v>2.5</v>
      </c>
      <c r="X5895" s="1" t="s">
        <v>30</v>
      </c>
    </row>
    <row r="5896" spans="1:24" x14ac:dyDescent="0.25">
      <c r="A5896" s="1" t="str">
        <f t="shared" si="1874"/>
        <v>卡卡杜-凤凰仓</v>
      </c>
      <c r="B5896" s="1" t="str">
        <f>"CK2024101810178"</f>
        <v>CK2024101810178</v>
      </c>
      <c r="C5896" s="1" t="str">
        <f>"DD2024101815785"</f>
        <v>DD2024101815785</v>
      </c>
      <c r="D5896" s="1" t="str">
        <f>"CK2024101810187"</f>
        <v>CK2024101810187</v>
      </c>
      <c r="E5896" s="1" t="str">
        <f>"6935167411094623867"</f>
        <v>6935167411094623867</v>
      </c>
      <c r="F5896" s="1" t="str">
        <f t="shared" si="1875"/>
        <v>花都四部-凤凰仓</v>
      </c>
      <c r="G5896" s="1" t="str">
        <f t="shared" si="1870"/>
        <v>卡卡杜个人护理店（抖店）</v>
      </c>
      <c r="H5896" s="1" t="str">
        <f t="shared" si="1876"/>
        <v>正常订单</v>
      </c>
      <c r="I5896" s="1" t="str">
        <f t="shared" si="1877"/>
        <v>已发货</v>
      </c>
      <c r="J5896" s="1" t="str">
        <f t="shared" si="1869"/>
        <v>3</v>
      </c>
      <c r="K5896" s="1">
        <v>3</v>
      </c>
      <c r="L5896" s="1" t="s">
        <v>13</v>
      </c>
      <c r="M5896" s="1" t="str">
        <f>"江苏省 苏州市 吴中区 香山街道"</f>
        <v>江苏省 苏州市 吴中区 香山街道</v>
      </c>
      <c r="N5896" s="1" t="str">
        <f t="shared" si="1878"/>
        <v>凡华云仓-韵达-抖音</v>
      </c>
      <c r="O5896" s="5">
        <v>320177485545320</v>
      </c>
      <c r="P5896" s="6">
        <v>0.34</v>
      </c>
      <c r="Q5896" s="11">
        <v>2.2999999999999998</v>
      </c>
      <c r="R5896" s="11"/>
      <c r="S5896" s="11"/>
      <c r="T5896" s="11"/>
      <c r="U5896" s="11">
        <f t="shared" si="1873"/>
        <v>2.2999999999999998</v>
      </c>
      <c r="W5896">
        <v>2.5</v>
      </c>
      <c r="X5896" s="1" t="s">
        <v>13</v>
      </c>
    </row>
    <row r="5897" spans="1:24" x14ac:dyDescent="0.25">
      <c r="A5897" s="1" t="str">
        <f t="shared" si="1874"/>
        <v>卡卡杜-凤凰仓</v>
      </c>
      <c r="B5897" s="1" t="str">
        <f>"CK2024101810179"</f>
        <v>CK2024101810179</v>
      </c>
      <c r="C5897" s="1" t="str">
        <f>"DD2024101815790"</f>
        <v>DD2024101815790</v>
      </c>
      <c r="D5897" s="1" t="str">
        <f>"CK2024101810186"</f>
        <v>CK2024101810186</v>
      </c>
      <c r="E5897" s="1" t="str">
        <f>"6935176635280725231"</f>
        <v>6935176635280725231</v>
      </c>
      <c r="F5897" s="1" t="str">
        <f t="shared" si="1875"/>
        <v>花都四部-凤凰仓</v>
      </c>
      <c r="G5897" s="1" t="str">
        <f t="shared" si="1870"/>
        <v>卡卡杜个人护理店（抖店）</v>
      </c>
      <c r="H5897" s="1" t="str">
        <f t="shared" si="1876"/>
        <v>正常订单</v>
      </c>
      <c r="I5897" s="1" t="str">
        <f t="shared" si="1877"/>
        <v>已发货</v>
      </c>
      <c r="J5897" s="1" t="str">
        <f t="shared" si="1869"/>
        <v>3</v>
      </c>
      <c r="K5897" s="1">
        <v>3</v>
      </c>
      <c r="L5897" s="1" t="s">
        <v>36</v>
      </c>
      <c r="M5897" s="1" t="str">
        <f>"安徽省 马鞍山市 含山县 环峰镇"</f>
        <v>安徽省 马鞍山市 含山县 环峰镇</v>
      </c>
      <c r="N5897" s="1" t="str">
        <f t="shared" si="1878"/>
        <v>凡华云仓-韵达-抖音</v>
      </c>
      <c r="O5897" s="5">
        <v>320177485545227</v>
      </c>
      <c r="P5897" s="6">
        <v>0.34</v>
      </c>
      <c r="Q5897" s="11">
        <v>2.2999999999999998</v>
      </c>
      <c r="R5897" s="11"/>
      <c r="S5897" s="11"/>
      <c r="T5897" s="11"/>
      <c r="U5897" s="11">
        <f t="shared" si="1873"/>
        <v>2.2999999999999998</v>
      </c>
      <c r="W5897">
        <v>2.5</v>
      </c>
      <c r="X5897" s="1" t="s">
        <v>36</v>
      </c>
    </row>
    <row r="5898" spans="1:24" x14ac:dyDescent="0.25">
      <c r="A5898" s="1" t="str">
        <f t="shared" si="1874"/>
        <v>卡卡杜-凤凰仓</v>
      </c>
      <c r="B5898" s="1" t="str">
        <f>"CK2024101810180"</f>
        <v>CK2024101810180</v>
      </c>
      <c r="C5898" s="1" t="str">
        <f>"DD2024101815792"</f>
        <v>DD2024101815792</v>
      </c>
      <c r="D5898" s="1" t="str">
        <f>"CK2024101810185"</f>
        <v>CK2024101810185</v>
      </c>
      <c r="E5898" s="1" t="str">
        <f>"6935149925446194816"</f>
        <v>6935149925446194816</v>
      </c>
      <c r="F5898" s="1" t="str">
        <f t="shared" si="1875"/>
        <v>花都四部-凤凰仓</v>
      </c>
      <c r="G5898" s="1" t="str">
        <f t="shared" si="1870"/>
        <v>卡卡杜个人护理店（抖店）</v>
      </c>
      <c r="H5898" s="1" t="str">
        <f t="shared" si="1876"/>
        <v>正常订单</v>
      </c>
      <c r="I5898" s="1" t="str">
        <f t="shared" si="1877"/>
        <v>已发货</v>
      </c>
      <c r="J5898" s="1" t="str">
        <f t="shared" si="1869"/>
        <v>3</v>
      </c>
      <c r="K5898" s="1">
        <v>3</v>
      </c>
      <c r="L5898" s="1" t="s">
        <v>16</v>
      </c>
      <c r="M5898" s="1" t="str">
        <f>"河北省 沧州市 盐山县 盐山镇"</f>
        <v>河北省 沧州市 盐山县 盐山镇</v>
      </c>
      <c r="N5898" s="1" t="str">
        <f t="shared" si="1878"/>
        <v>凡华云仓-韵达-抖音</v>
      </c>
      <c r="O5898" s="5">
        <v>320177485545136</v>
      </c>
      <c r="P5898" s="6">
        <v>0.34</v>
      </c>
      <c r="Q5898" s="11">
        <v>2.2999999999999998</v>
      </c>
      <c r="R5898" s="11"/>
      <c r="S5898" s="11"/>
      <c r="T5898" s="11"/>
      <c r="U5898" s="11">
        <f t="shared" si="1873"/>
        <v>2.2999999999999998</v>
      </c>
      <c r="W5898">
        <v>2.5</v>
      </c>
      <c r="X5898" s="1" t="s">
        <v>16</v>
      </c>
    </row>
    <row r="5899" spans="1:24" x14ac:dyDescent="0.25">
      <c r="A5899" s="1" t="str">
        <f t="shared" si="1874"/>
        <v>卡卡杜-凤凰仓</v>
      </c>
      <c r="B5899" s="1" t="str">
        <f>"CK2024101810181"</f>
        <v>CK2024101810181</v>
      </c>
      <c r="C5899" s="1" t="str">
        <f>"DD2024101815795"</f>
        <v>DD2024101815795</v>
      </c>
      <c r="D5899" s="1" t="str">
        <f>"CK2024101810184"</f>
        <v>CK2024101810184</v>
      </c>
      <c r="E5899" s="1" t="str">
        <f>"6935176640780310396"</f>
        <v>6935176640780310396</v>
      </c>
      <c r="F5899" s="1" t="str">
        <f t="shared" si="1875"/>
        <v>花都四部-凤凰仓</v>
      </c>
      <c r="G5899" s="1" t="str">
        <f t="shared" si="1870"/>
        <v>卡卡杜个人护理店（抖店）</v>
      </c>
      <c r="H5899" s="1" t="str">
        <f t="shared" si="1876"/>
        <v>正常订单</v>
      </c>
      <c r="I5899" s="1" t="str">
        <f t="shared" si="1877"/>
        <v>已发货</v>
      </c>
      <c r="J5899" s="1" t="str">
        <f t="shared" si="1869"/>
        <v>3</v>
      </c>
      <c r="K5899" s="1">
        <v>3</v>
      </c>
      <c r="L5899" s="1" t="s">
        <v>32</v>
      </c>
      <c r="M5899" s="1" t="str">
        <f>"陕西省 渭南市 大荔县 范家镇"</f>
        <v>陕西省 渭南市 大荔县 范家镇</v>
      </c>
      <c r="N5899" s="1" t="str">
        <f t="shared" si="1878"/>
        <v>凡华云仓-韵达-抖音</v>
      </c>
      <c r="O5899" s="5">
        <v>320177485545047</v>
      </c>
      <c r="P5899" s="6">
        <v>0.34</v>
      </c>
      <c r="Q5899" s="11">
        <v>2.2999999999999998</v>
      </c>
      <c r="R5899" s="11"/>
      <c r="S5899" s="11"/>
      <c r="T5899" s="11"/>
      <c r="U5899" s="11">
        <f t="shared" si="1873"/>
        <v>2.2999999999999998</v>
      </c>
      <c r="W5899">
        <v>2.5</v>
      </c>
      <c r="X5899" s="1" t="s">
        <v>32</v>
      </c>
    </row>
    <row r="5900" spans="1:24" x14ac:dyDescent="0.25">
      <c r="A5900" s="1" t="str">
        <f t="shared" si="1874"/>
        <v>卡卡杜-凤凰仓</v>
      </c>
      <c r="B5900" s="1" t="str">
        <f>"CK2024101810182"</f>
        <v>CK2024101810182</v>
      </c>
      <c r="C5900" s="1" t="str">
        <f>"DD2024101815794"</f>
        <v>DD2024101815794</v>
      </c>
      <c r="D5900" s="1" t="str">
        <f>"CK2024101810183"</f>
        <v>CK2024101810183</v>
      </c>
      <c r="E5900" s="1" t="str">
        <f>"6935153891273414513"</f>
        <v>6935153891273414513</v>
      </c>
      <c r="F5900" s="1" t="str">
        <f t="shared" si="1875"/>
        <v>花都四部-凤凰仓</v>
      </c>
      <c r="G5900" s="1" t="str">
        <f t="shared" si="1870"/>
        <v>卡卡杜个人护理店（抖店）</v>
      </c>
      <c r="H5900" s="1" t="str">
        <f t="shared" si="1876"/>
        <v>正常订单</v>
      </c>
      <c r="I5900" s="1" t="str">
        <f t="shared" si="1877"/>
        <v>已发货</v>
      </c>
      <c r="J5900" s="1" t="str">
        <f t="shared" si="1869"/>
        <v>3</v>
      </c>
      <c r="K5900" s="1">
        <v>3</v>
      </c>
      <c r="L5900" s="1" t="s">
        <v>105</v>
      </c>
      <c r="M5900" s="1" t="str">
        <f>"北京 北京市 石景山区 金顶街街道"</f>
        <v>北京 北京市 石景山区 金顶街街道</v>
      </c>
      <c r="N5900" s="1" t="str">
        <f t="shared" si="1878"/>
        <v>凡华云仓-韵达-抖音</v>
      </c>
      <c r="O5900" s="5">
        <v>320177470886746</v>
      </c>
      <c r="P5900" s="6">
        <v>0.34</v>
      </c>
      <c r="Q5900" s="11">
        <v>2.2999999999999998</v>
      </c>
      <c r="R5900" s="11"/>
      <c r="S5900" s="11"/>
      <c r="T5900" s="11"/>
      <c r="U5900" s="11">
        <f t="shared" si="1873"/>
        <v>2.2999999999999998</v>
      </c>
      <c r="W5900">
        <v>2.5</v>
      </c>
      <c r="X5900" s="1" t="s">
        <v>105</v>
      </c>
    </row>
    <row r="5901" spans="1:24" x14ac:dyDescent="0.25">
      <c r="A5901" s="1" t="str">
        <f t="shared" si="1874"/>
        <v>卡卡杜-凤凰仓</v>
      </c>
      <c r="B5901" s="1" t="str">
        <f>"CK2024101810187"</f>
        <v>CK2024101810187</v>
      </c>
      <c r="C5901" s="1" t="str">
        <f>"DD2024101815807"</f>
        <v>DD2024101815807</v>
      </c>
      <c r="D5901" s="1" t="str">
        <f>"CK2024101810182"</f>
        <v>CK2024101810182</v>
      </c>
      <c r="E5901" s="1" t="str">
        <f>"6935145444271134084"</f>
        <v>6935145444271134084</v>
      </c>
      <c r="F5901" s="1" t="str">
        <f t="shared" si="1875"/>
        <v>花都四部-凤凰仓</v>
      </c>
      <c r="G5901" s="1" t="str">
        <f t="shared" si="1870"/>
        <v>卡卡杜个人护理店（抖店）</v>
      </c>
      <c r="H5901" s="1" t="str">
        <f t="shared" si="1876"/>
        <v>正常订单</v>
      </c>
      <c r="I5901" s="1" t="str">
        <f t="shared" si="1877"/>
        <v>已发货</v>
      </c>
      <c r="J5901" s="1" t="str">
        <f t="shared" si="1869"/>
        <v>3</v>
      </c>
      <c r="K5901" s="1">
        <v>3</v>
      </c>
      <c r="L5901" s="1" t="s">
        <v>36</v>
      </c>
      <c r="M5901" s="1" t="str">
        <f>"安徽省 亳州市 蒙城县 庄周街道"</f>
        <v>安徽省 亳州市 蒙城县 庄周街道</v>
      </c>
      <c r="N5901" s="1" t="str">
        <f t="shared" si="1878"/>
        <v>凡华云仓-韵达-抖音</v>
      </c>
      <c r="O5901" s="5">
        <v>320177470886645</v>
      </c>
      <c r="P5901" s="6">
        <v>0.34</v>
      </c>
      <c r="Q5901" s="11">
        <v>2.2999999999999998</v>
      </c>
      <c r="R5901" s="11"/>
      <c r="S5901" s="11"/>
      <c r="T5901" s="11"/>
      <c r="U5901" s="11">
        <f t="shared" si="1873"/>
        <v>2.2999999999999998</v>
      </c>
      <c r="W5901">
        <v>2.5</v>
      </c>
      <c r="X5901" s="1" t="s">
        <v>36</v>
      </c>
    </row>
    <row r="5902" spans="1:24" x14ac:dyDescent="0.25">
      <c r="A5902" s="1" t="str">
        <f t="shared" si="1874"/>
        <v>卡卡杜-凤凰仓</v>
      </c>
      <c r="B5902" s="1" t="str">
        <f>"CK2024101810188"</f>
        <v>CK2024101810188</v>
      </c>
      <c r="C5902" s="1" t="str">
        <f>"DD2024101815806"</f>
        <v>DD2024101815806</v>
      </c>
      <c r="D5902" s="1" t="str">
        <f>"CK2024101810181"</f>
        <v>CK2024101810181</v>
      </c>
      <c r="E5902" s="1" t="str">
        <f>"6935160946597042019"</f>
        <v>6935160946597042019</v>
      </c>
      <c r="F5902" s="1" t="str">
        <f t="shared" si="1875"/>
        <v>花都四部-凤凰仓</v>
      </c>
      <c r="G5902" s="1" t="str">
        <f t="shared" si="1870"/>
        <v>卡卡杜个人护理店（抖店）</v>
      </c>
      <c r="H5902" s="1" t="str">
        <f t="shared" si="1876"/>
        <v>正常订单</v>
      </c>
      <c r="I5902" s="1" t="str">
        <f t="shared" si="1877"/>
        <v>已发货</v>
      </c>
      <c r="J5902" s="1" t="str">
        <f t="shared" si="1869"/>
        <v>3</v>
      </c>
      <c r="K5902" s="1">
        <v>3</v>
      </c>
      <c r="L5902" s="1" t="s">
        <v>16</v>
      </c>
      <c r="M5902" s="1" t="str">
        <f>"河北省 衡水市 冀州区 "</f>
        <v xml:space="preserve">河北省 衡水市 冀州区 </v>
      </c>
      <c r="N5902" s="1" t="str">
        <f t="shared" si="1878"/>
        <v>凡华云仓-韵达-抖音</v>
      </c>
      <c r="O5902" s="5">
        <v>320177470886546</v>
      </c>
      <c r="P5902" s="6">
        <v>0.34</v>
      </c>
      <c r="Q5902" s="11">
        <v>2.2999999999999998</v>
      </c>
      <c r="R5902" s="11"/>
      <c r="S5902" s="11"/>
      <c r="T5902" s="11"/>
      <c r="U5902" s="11">
        <f t="shared" si="1873"/>
        <v>2.2999999999999998</v>
      </c>
      <c r="W5902">
        <v>2.5</v>
      </c>
      <c r="X5902" s="1" t="s">
        <v>16</v>
      </c>
    </row>
    <row r="5903" spans="1:24" x14ac:dyDescent="0.25">
      <c r="A5903" s="1" t="str">
        <f t="shared" si="1874"/>
        <v>卡卡杜-凤凰仓</v>
      </c>
      <c r="B5903" s="1" t="str">
        <f>"CK2024101810622"</f>
        <v>CK2024101810622</v>
      </c>
      <c r="C5903" s="1" t="str">
        <f>"DD2024101816701"</f>
        <v>DD2024101816701</v>
      </c>
      <c r="D5903" s="1" t="str">
        <f>"CK2024101810180"</f>
        <v>CK2024101810180</v>
      </c>
      <c r="E5903" s="1" t="str">
        <f>"6935147326340929396"</f>
        <v>6935147326340929396</v>
      </c>
      <c r="F5903" s="1" t="str">
        <f t="shared" si="1875"/>
        <v>花都四部-凤凰仓</v>
      </c>
      <c r="G5903" s="1" t="str">
        <f t="shared" si="1870"/>
        <v>卡卡杜个人护理店（抖店）</v>
      </c>
      <c r="H5903" s="1" t="str">
        <f t="shared" si="1876"/>
        <v>正常订单</v>
      </c>
      <c r="I5903" s="1" t="str">
        <f t="shared" si="1877"/>
        <v>已发货</v>
      </c>
      <c r="J5903" s="1" t="str">
        <f t="shared" si="1869"/>
        <v>3</v>
      </c>
      <c r="K5903" s="1">
        <v>3</v>
      </c>
      <c r="L5903" s="1" t="s">
        <v>13</v>
      </c>
      <c r="M5903" s="1" t="str">
        <f>"江苏省 南京市 江宁区 江宁街道"</f>
        <v>江苏省 南京市 江宁区 江宁街道</v>
      </c>
      <c r="N5903" s="1" t="str">
        <f t="shared" si="1878"/>
        <v>凡华云仓-韵达-抖音</v>
      </c>
      <c r="O5903" s="5">
        <v>320177470886449</v>
      </c>
      <c r="P5903" s="6">
        <v>0.34</v>
      </c>
      <c r="Q5903" s="11">
        <v>2.2999999999999998</v>
      </c>
      <c r="R5903" s="11"/>
      <c r="S5903" s="11"/>
      <c r="T5903" s="11"/>
      <c r="U5903" s="11">
        <f t="shared" si="1873"/>
        <v>2.2999999999999998</v>
      </c>
      <c r="W5903">
        <v>2.5</v>
      </c>
      <c r="X5903" s="1" t="s">
        <v>13</v>
      </c>
    </row>
    <row r="5904" spans="1:24" x14ac:dyDescent="0.25">
      <c r="A5904" s="1" t="str">
        <f t="shared" si="1874"/>
        <v>卡卡杜-凤凰仓</v>
      </c>
      <c r="B5904" s="1" t="str">
        <f>"CK2024101810189"</f>
        <v>CK2024101810189</v>
      </c>
      <c r="C5904" s="1" t="str">
        <f>"DD2024101815808"</f>
        <v>DD2024101815808</v>
      </c>
      <c r="D5904" s="1" t="str">
        <f>"CK2024101810179"</f>
        <v>CK2024101810179</v>
      </c>
      <c r="E5904" s="1" t="str">
        <f>"6935176598500153029"</f>
        <v>6935176598500153029</v>
      </c>
      <c r="F5904" s="1" t="str">
        <f t="shared" si="1875"/>
        <v>花都四部-凤凰仓</v>
      </c>
      <c r="G5904" s="1" t="str">
        <f t="shared" si="1870"/>
        <v>卡卡杜个人护理店（抖店）</v>
      </c>
      <c r="H5904" s="1" t="str">
        <f t="shared" si="1876"/>
        <v>正常订单</v>
      </c>
      <c r="I5904" s="1" t="str">
        <f t="shared" si="1877"/>
        <v>已发货</v>
      </c>
      <c r="J5904" s="1" t="str">
        <f t="shared" si="1869"/>
        <v>3</v>
      </c>
      <c r="K5904" s="1">
        <v>3</v>
      </c>
      <c r="L5904" s="1" t="s">
        <v>96</v>
      </c>
      <c r="M5904" s="1" t="str">
        <f>"广西壮族自治区 桂林市 象山区 "</f>
        <v xml:space="preserve">广西壮族自治区 桂林市 象山区 </v>
      </c>
      <c r="N5904" s="1" t="str">
        <f t="shared" si="1878"/>
        <v>凡华云仓-韵达-抖音</v>
      </c>
      <c r="O5904" s="5">
        <v>320177470886354</v>
      </c>
      <c r="P5904" s="6">
        <v>0.34</v>
      </c>
      <c r="Q5904" s="11">
        <v>2.2999999999999998</v>
      </c>
      <c r="R5904" s="11"/>
      <c r="S5904" s="11"/>
      <c r="T5904" s="11"/>
      <c r="U5904" s="11">
        <f t="shared" si="1873"/>
        <v>2.2999999999999998</v>
      </c>
      <c r="W5904">
        <v>2.5</v>
      </c>
      <c r="X5904" s="1" t="s">
        <v>96</v>
      </c>
    </row>
    <row r="5905" spans="1:24" x14ac:dyDescent="0.25">
      <c r="A5905" s="1" t="str">
        <f t="shared" si="1874"/>
        <v>卡卡杜-凤凰仓</v>
      </c>
      <c r="B5905" s="1" t="str">
        <f>"CK2024101810190"</f>
        <v>CK2024101810190</v>
      </c>
      <c r="C5905" s="1" t="str">
        <f>"DD2024101815810"</f>
        <v>DD2024101815810</v>
      </c>
      <c r="D5905" s="1" t="str">
        <f>"CK2024101810178"</f>
        <v>CK2024101810178</v>
      </c>
      <c r="E5905" s="1" t="str">
        <f>"6935147500853073794"</f>
        <v>6935147500853073794</v>
      </c>
      <c r="F5905" s="1" t="str">
        <f t="shared" si="1875"/>
        <v>花都四部-凤凰仓</v>
      </c>
      <c r="G5905" s="1" t="str">
        <f t="shared" si="1870"/>
        <v>卡卡杜个人护理店（抖店）</v>
      </c>
      <c r="H5905" s="1" t="str">
        <f t="shared" si="1876"/>
        <v>正常订单</v>
      </c>
      <c r="I5905" s="1" t="str">
        <f t="shared" si="1877"/>
        <v>已发货</v>
      </c>
      <c r="J5905" s="1" t="str">
        <f t="shared" si="1869"/>
        <v>3</v>
      </c>
      <c r="K5905" s="1">
        <v>3</v>
      </c>
      <c r="L5905" s="1" t="s">
        <v>94</v>
      </c>
      <c r="M5905" s="1" t="str">
        <f>"湖南省 湘西土家族苗族自治州 龙山县 民安街道"</f>
        <v>湖南省 湘西土家族苗族自治州 龙山县 民安街道</v>
      </c>
      <c r="N5905" s="1" t="str">
        <f t="shared" si="1878"/>
        <v>凡华云仓-韵达-抖音</v>
      </c>
      <c r="O5905" s="5">
        <v>320177470886261</v>
      </c>
      <c r="P5905" s="6">
        <v>0.34</v>
      </c>
      <c r="Q5905" s="11">
        <v>2.2999999999999998</v>
      </c>
      <c r="R5905" s="11"/>
      <c r="S5905" s="11"/>
      <c r="T5905" s="11"/>
      <c r="U5905" s="11">
        <f t="shared" si="1873"/>
        <v>2.2999999999999998</v>
      </c>
      <c r="W5905">
        <v>2.5</v>
      </c>
      <c r="X5905" s="1" t="s">
        <v>94</v>
      </c>
    </row>
    <row r="5906" spans="1:24" x14ac:dyDescent="0.25">
      <c r="A5906" s="1" t="str">
        <f t="shared" si="1874"/>
        <v>卡卡杜-凤凰仓</v>
      </c>
      <c r="B5906" s="1" t="str">
        <f>"CK2024101810192"</f>
        <v>CK2024101810192</v>
      </c>
      <c r="C5906" s="1" t="str">
        <f>"DD2024101815817"</f>
        <v>DD2024101815817</v>
      </c>
      <c r="D5906" s="1" t="str">
        <f>"CK2024101810176"</f>
        <v>CK2024101810176</v>
      </c>
      <c r="E5906" s="1" t="str">
        <f>"6935172117742360125"</f>
        <v>6935172117742360125</v>
      </c>
      <c r="F5906" s="1" t="str">
        <f t="shared" si="1875"/>
        <v>花都四部-凤凰仓</v>
      </c>
      <c r="G5906" s="1" t="str">
        <f t="shared" si="1870"/>
        <v>卡卡杜个人护理店（抖店）</v>
      </c>
      <c r="H5906" s="1" t="str">
        <f t="shared" si="1876"/>
        <v>正常订单</v>
      </c>
      <c r="I5906" s="1" t="str">
        <f t="shared" si="1877"/>
        <v>已发货</v>
      </c>
      <c r="J5906" s="1" t="str">
        <f t="shared" si="1869"/>
        <v>3</v>
      </c>
      <c r="K5906" s="1">
        <v>3</v>
      </c>
      <c r="L5906" s="1" t="s">
        <v>22</v>
      </c>
      <c r="M5906" s="1" t="str">
        <f>"江西省 九江市 浔阳区 白水湖街道"</f>
        <v>江西省 九江市 浔阳区 白水湖街道</v>
      </c>
      <c r="N5906" s="1" t="str">
        <f t="shared" si="1878"/>
        <v>凡华云仓-韵达-抖音</v>
      </c>
      <c r="O5906" s="5">
        <v>320177470886081</v>
      </c>
      <c r="P5906" s="6">
        <v>0.34</v>
      </c>
      <c r="Q5906" s="11">
        <v>2.2999999999999998</v>
      </c>
      <c r="R5906" s="11"/>
      <c r="S5906" s="11"/>
      <c r="T5906" s="11"/>
      <c r="U5906" s="11">
        <f t="shared" si="1873"/>
        <v>2.2999999999999998</v>
      </c>
      <c r="W5906">
        <v>2.5</v>
      </c>
      <c r="X5906" s="1" t="s">
        <v>22</v>
      </c>
    </row>
    <row r="5907" spans="1:24" x14ac:dyDescent="0.25">
      <c r="A5907" s="1" t="str">
        <f t="shared" si="1874"/>
        <v>卡卡杜-凤凰仓</v>
      </c>
      <c r="B5907" s="1" t="str">
        <f>"CK2024101810193"</f>
        <v>CK2024101810193</v>
      </c>
      <c r="C5907" s="1" t="str">
        <f>"DD2024101815818"</f>
        <v>DD2024101815818</v>
      </c>
      <c r="D5907" s="1" t="str">
        <f>"CK2024101810175"</f>
        <v>CK2024101810175</v>
      </c>
      <c r="E5907" s="1" t="str">
        <f>"6935165163528000957"</f>
        <v>6935165163528000957</v>
      </c>
      <c r="F5907" s="1" t="str">
        <f t="shared" si="1875"/>
        <v>花都四部-凤凰仓</v>
      </c>
      <c r="G5907" s="1" t="str">
        <f t="shared" si="1870"/>
        <v>卡卡杜个人护理店（抖店）</v>
      </c>
      <c r="H5907" s="1" t="str">
        <f t="shared" si="1876"/>
        <v>正常订单</v>
      </c>
      <c r="I5907" s="1" t="str">
        <f t="shared" si="1877"/>
        <v>已发货</v>
      </c>
      <c r="J5907" s="1" t="str">
        <f t="shared" si="1869"/>
        <v>3</v>
      </c>
      <c r="K5907" s="1">
        <v>3</v>
      </c>
      <c r="L5907" s="1" t="s">
        <v>80</v>
      </c>
      <c r="M5907" s="1" t="str">
        <f>"河南省 郑州市 金水区 丰庆路街道"</f>
        <v>河南省 郑州市 金水区 丰庆路街道</v>
      </c>
      <c r="N5907" s="1" t="str">
        <f t="shared" si="1878"/>
        <v>凡华云仓-韵达-抖音</v>
      </c>
      <c r="O5907" s="5">
        <v>320177470885955</v>
      </c>
      <c r="P5907" s="6">
        <v>0.34</v>
      </c>
      <c r="Q5907" s="11">
        <v>2.2999999999999998</v>
      </c>
      <c r="R5907" s="11"/>
      <c r="S5907" s="11"/>
      <c r="T5907" s="11"/>
      <c r="U5907" s="11">
        <f t="shared" si="1873"/>
        <v>2.2999999999999998</v>
      </c>
      <c r="W5907">
        <v>2.5</v>
      </c>
      <c r="X5907" s="1" t="s">
        <v>80</v>
      </c>
    </row>
    <row r="5908" spans="1:24" x14ac:dyDescent="0.25">
      <c r="A5908" s="1" t="str">
        <f t="shared" si="1874"/>
        <v>卡卡杜-凤凰仓</v>
      </c>
      <c r="B5908" s="1" t="str">
        <f>"CK2024101810194"</f>
        <v>CK2024101810194</v>
      </c>
      <c r="C5908" s="1" t="str">
        <f>"DD2024101815819"</f>
        <v>DD2024101815819</v>
      </c>
      <c r="D5908" s="1" t="str">
        <f>"CK2024101810174"</f>
        <v>CK2024101810174</v>
      </c>
      <c r="E5908" s="1" t="str">
        <f>"6935149960183092419"</f>
        <v>6935149960183092419</v>
      </c>
      <c r="F5908" s="1" t="str">
        <f t="shared" si="1875"/>
        <v>花都四部-凤凰仓</v>
      </c>
      <c r="G5908" s="1" t="str">
        <f t="shared" si="1870"/>
        <v>卡卡杜个人护理店（抖店）</v>
      </c>
      <c r="H5908" s="1" t="str">
        <f t="shared" si="1876"/>
        <v>正常订单</v>
      </c>
      <c r="I5908" s="1" t="str">
        <f t="shared" si="1877"/>
        <v>已发货</v>
      </c>
      <c r="J5908" s="1" t="str">
        <f>"6"</f>
        <v>6</v>
      </c>
      <c r="K5908" s="1">
        <v>3</v>
      </c>
      <c r="L5908" s="1" t="s">
        <v>22</v>
      </c>
      <c r="M5908" s="1" t="str">
        <f>"江西省 九江市 德安县 蒲亭镇"</f>
        <v>江西省 九江市 德安县 蒲亭镇</v>
      </c>
      <c r="N5908" s="1" t="str">
        <f t="shared" si="1878"/>
        <v>凡华云仓-韵达-抖音</v>
      </c>
      <c r="O5908" s="5">
        <v>320177470885850</v>
      </c>
      <c r="P5908" s="6">
        <v>0.55000000000000004</v>
      </c>
      <c r="Q5908" s="11">
        <f>CEILING(P5908-0.5,0.1)*10*0.15+2.3</f>
        <v>2.4499999999999997</v>
      </c>
      <c r="R5908" s="11"/>
      <c r="S5908" s="11"/>
      <c r="T5908" s="11"/>
      <c r="U5908" s="11">
        <f t="shared" si="1873"/>
        <v>2.4499999999999997</v>
      </c>
      <c r="V5908" t="s">
        <v>15</v>
      </c>
      <c r="W5908">
        <v>2.4500000000000002</v>
      </c>
      <c r="X5908" s="1" t="s">
        <v>22</v>
      </c>
    </row>
    <row r="5909" spans="1:24" x14ac:dyDescent="0.25">
      <c r="A5909" s="1" t="str">
        <f t="shared" si="1874"/>
        <v>卡卡杜-凤凰仓</v>
      </c>
      <c r="B5909" s="1" t="str">
        <f>"CK2024101810195"</f>
        <v>CK2024101810195</v>
      </c>
      <c r="C5909" s="1" t="str">
        <f>"DD2024101815820"</f>
        <v>DD2024101815820</v>
      </c>
      <c r="D5909" s="1" t="str">
        <f>"CK2024101810173"</f>
        <v>CK2024101810173</v>
      </c>
      <c r="E5909" s="1" t="str">
        <f>"6935165125569943056"</f>
        <v>6935165125569943056</v>
      </c>
      <c r="F5909" s="1" t="str">
        <f t="shared" si="1875"/>
        <v>花都四部-凤凰仓</v>
      </c>
      <c r="G5909" s="1" t="str">
        <f t="shared" si="1870"/>
        <v>卡卡杜个人护理店（抖店）</v>
      </c>
      <c r="H5909" s="1" t="str">
        <f t="shared" si="1876"/>
        <v>正常订单</v>
      </c>
      <c r="I5909" s="1" t="str">
        <f t="shared" si="1877"/>
        <v>已发货</v>
      </c>
      <c r="J5909" s="1" t="str">
        <f t="shared" ref="J5909:J5920" si="1879">"3"</f>
        <v>3</v>
      </c>
      <c r="K5909" s="1">
        <v>3</v>
      </c>
      <c r="L5909" s="1" t="s">
        <v>30</v>
      </c>
      <c r="M5909" s="1" t="str">
        <f>"山东省 青岛市 李沧区 虎山路街道"</f>
        <v>山东省 青岛市 李沧区 虎山路街道</v>
      </c>
      <c r="N5909" s="1" t="str">
        <f t="shared" si="1878"/>
        <v>凡华云仓-韵达-抖音</v>
      </c>
      <c r="O5909" s="5">
        <v>320177485544923</v>
      </c>
      <c r="P5909" s="6">
        <v>0.34</v>
      </c>
      <c r="Q5909" s="11">
        <v>2.2999999999999998</v>
      </c>
      <c r="R5909" s="11"/>
      <c r="S5909" s="11"/>
      <c r="T5909" s="11"/>
      <c r="U5909" s="11">
        <f t="shared" si="1873"/>
        <v>2.2999999999999998</v>
      </c>
      <c r="W5909">
        <v>2.5</v>
      </c>
      <c r="X5909" s="1" t="s">
        <v>30</v>
      </c>
    </row>
    <row r="5910" spans="1:24" x14ac:dyDescent="0.25">
      <c r="A5910" s="1" t="str">
        <f t="shared" si="1874"/>
        <v>卡卡杜-凤凰仓</v>
      </c>
      <c r="B5910" s="1" t="str">
        <f>"CK2024101810623"</f>
        <v>CK2024101810623</v>
      </c>
      <c r="C5910" s="1" t="str">
        <f>"DD2024101816702"</f>
        <v>DD2024101816702</v>
      </c>
      <c r="D5910" s="1" t="str">
        <f>"CK2024101810172"</f>
        <v>CK2024101810172</v>
      </c>
      <c r="E5910" s="1" t="str">
        <f>"6935141149530461391"</f>
        <v>6935141149530461391</v>
      </c>
      <c r="F5910" s="1" t="str">
        <f t="shared" si="1875"/>
        <v>花都四部-凤凰仓</v>
      </c>
      <c r="G5910" s="1" t="str">
        <f t="shared" si="1870"/>
        <v>卡卡杜个人护理店（抖店）</v>
      </c>
      <c r="H5910" s="1" t="str">
        <f t="shared" si="1876"/>
        <v>正常订单</v>
      </c>
      <c r="I5910" s="1" t="str">
        <f t="shared" si="1877"/>
        <v>已发货</v>
      </c>
      <c r="J5910" s="1" t="str">
        <f t="shared" si="1879"/>
        <v>3</v>
      </c>
      <c r="K5910" s="1">
        <v>3</v>
      </c>
      <c r="L5910" s="1" t="s">
        <v>36</v>
      </c>
      <c r="M5910" s="1" t="str">
        <f>"安徽省 滁州市 南谯区 沙河镇"</f>
        <v>安徽省 滁州市 南谯区 沙河镇</v>
      </c>
      <c r="N5910" s="1" t="str">
        <f t="shared" si="1878"/>
        <v>凡华云仓-韵达-抖音</v>
      </c>
      <c r="O5910" s="5">
        <v>320177502053796</v>
      </c>
      <c r="P5910" s="6">
        <v>0.34</v>
      </c>
      <c r="Q5910" s="11">
        <v>2.2999999999999998</v>
      </c>
      <c r="R5910" s="11"/>
      <c r="S5910" s="11"/>
      <c r="T5910" s="11"/>
      <c r="U5910" s="11">
        <f t="shared" si="1873"/>
        <v>2.2999999999999998</v>
      </c>
      <c r="W5910">
        <v>2.5</v>
      </c>
      <c r="X5910" s="1" t="s">
        <v>36</v>
      </c>
    </row>
    <row r="5911" spans="1:24" x14ac:dyDescent="0.25">
      <c r="A5911" s="1" t="str">
        <f t="shared" si="1874"/>
        <v>卡卡杜-凤凰仓</v>
      </c>
      <c r="B5911" s="1" t="str">
        <f>"CK2024101810196"</f>
        <v>CK2024101810196</v>
      </c>
      <c r="C5911" s="1" t="str">
        <f>"DD2024101815821"</f>
        <v>DD2024101815821</v>
      </c>
      <c r="D5911" s="1" t="str">
        <f>"CK2024101810171"</f>
        <v>CK2024101810171</v>
      </c>
      <c r="E5911" s="1" t="str">
        <f>"6935143525918512726"</f>
        <v>6935143525918512726</v>
      </c>
      <c r="F5911" s="1" t="str">
        <f t="shared" si="1875"/>
        <v>花都四部-凤凰仓</v>
      </c>
      <c r="G5911" s="1" t="str">
        <f t="shared" si="1870"/>
        <v>卡卡杜个人护理店（抖店）</v>
      </c>
      <c r="H5911" s="1" t="str">
        <f t="shared" si="1876"/>
        <v>正常订单</v>
      </c>
      <c r="I5911" s="1" t="str">
        <f t="shared" si="1877"/>
        <v>已发货</v>
      </c>
      <c r="J5911" s="1" t="str">
        <f t="shared" si="1879"/>
        <v>3</v>
      </c>
      <c r="K5911" s="1">
        <v>3</v>
      </c>
      <c r="L5911" s="1" t="s">
        <v>22</v>
      </c>
      <c r="M5911" s="1" t="str">
        <f>"江西省 赣州市 南康区 东山街道"</f>
        <v>江西省 赣州市 南康区 东山街道</v>
      </c>
      <c r="N5911" s="1" t="str">
        <f t="shared" si="1878"/>
        <v>凡华云仓-韵达-抖音</v>
      </c>
      <c r="O5911" s="5">
        <v>320177502053695</v>
      </c>
      <c r="P5911" s="6">
        <v>0.34</v>
      </c>
      <c r="Q5911" s="11">
        <v>2.2999999999999998</v>
      </c>
      <c r="R5911" s="11"/>
      <c r="S5911" s="11"/>
      <c r="T5911" s="11"/>
      <c r="U5911" s="11">
        <f t="shared" si="1873"/>
        <v>2.2999999999999998</v>
      </c>
      <c r="W5911">
        <v>2.5</v>
      </c>
      <c r="X5911" s="1" t="s">
        <v>22</v>
      </c>
    </row>
    <row r="5912" spans="1:24" x14ac:dyDescent="0.25">
      <c r="A5912" s="1" t="str">
        <f t="shared" si="1874"/>
        <v>卡卡杜-凤凰仓</v>
      </c>
      <c r="B5912" s="1" t="str">
        <f>"CK2024101810197"</f>
        <v>CK2024101810197</v>
      </c>
      <c r="C5912" s="1" t="str">
        <f>"DD2024101815829"</f>
        <v>DD2024101815829</v>
      </c>
      <c r="D5912" s="1" t="str">
        <f>"CK2024101810170"</f>
        <v>CK2024101810170</v>
      </c>
      <c r="E5912" s="1" t="str">
        <f>"6935160899599013133"</f>
        <v>6935160899599013133</v>
      </c>
      <c r="F5912" s="1" t="str">
        <f t="shared" si="1875"/>
        <v>花都四部-凤凰仓</v>
      </c>
      <c r="G5912" s="1" t="str">
        <f t="shared" si="1870"/>
        <v>卡卡杜个人护理店（抖店）</v>
      </c>
      <c r="H5912" s="1" t="str">
        <f t="shared" si="1876"/>
        <v>正常订单</v>
      </c>
      <c r="I5912" s="1" t="str">
        <f t="shared" si="1877"/>
        <v>已发货</v>
      </c>
      <c r="J5912" s="1" t="str">
        <f t="shared" si="1879"/>
        <v>3</v>
      </c>
      <c r="K5912" s="1">
        <v>3</v>
      </c>
      <c r="L5912" s="1" t="s">
        <v>22</v>
      </c>
      <c r="M5912" s="1" t="str">
        <f>"江西省 南昌市 西湖区 朝阳洲街道"</f>
        <v>江西省 南昌市 西湖区 朝阳洲街道</v>
      </c>
      <c r="N5912" s="1" t="str">
        <f t="shared" si="1878"/>
        <v>凡华云仓-韵达-抖音</v>
      </c>
      <c r="O5912" s="5">
        <v>320177502053596</v>
      </c>
      <c r="P5912" s="6">
        <v>0.34</v>
      </c>
      <c r="Q5912" s="11">
        <v>2.2999999999999998</v>
      </c>
      <c r="R5912" s="11"/>
      <c r="S5912" s="11"/>
      <c r="T5912" s="11"/>
      <c r="U5912" s="11">
        <f t="shared" si="1873"/>
        <v>2.2999999999999998</v>
      </c>
      <c r="W5912">
        <v>2.5</v>
      </c>
      <c r="X5912" s="1" t="s">
        <v>22</v>
      </c>
    </row>
    <row r="5913" spans="1:24" x14ac:dyDescent="0.25">
      <c r="A5913" s="1" t="str">
        <f t="shared" si="1874"/>
        <v>卡卡杜-凤凰仓</v>
      </c>
      <c r="B5913" s="1" t="str">
        <f>"CK2024101810198"</f>
        <v>CK2024101810198</v>
      </c>
      <c r="C5913" s="1" t="str">
        <f>"DD2024101815827"</f>
        <v>DD2024101815827</v>
      </c>
      <c r="D5913" s="1" t="str">
        <f>"CK2024101810169"</f>
        <v>CK2024101810169</v>
      </c>
      <c r="E5913" s="1" t="str">
        <f>"6935153774379865397"</f>
        <v>6935153774379865397</v>
      </c>
      <c r="F5913" s="1" t="str">
        <f t="shared" si="1875"/>
        <v>花都四部-凤凰仓</v>
      </c>
      <c r="G5913" s="1" t="str">
        <f t="shared" si="1870"/>
        <v>卡卡杜个人护理店（抖店）</v>
      </c>
      <c r="H5913" s="1" t="str">
        <f t="shared" si="1876"/>
        <v>正常订单</v>
      </c>
      <c r="I5913" s="1" t="str">
        <f t="shared" si="1877"/>
        <v>已发货</v>
      </c>
      <c r="J5913" s="1" t="str">
        <f t="shared" si="1879"/>
        <v>3</v>
      </c>
      <c r="K5913" s="1">
        <v>3</v>
      </c>
      <c r="L5913" s="1" t="s">
        <v>161</v>
      </c>
      <c r="M5913" s="1" t="str">
        <f>"四川省 乐山市 峨眉山市 胜利街道"</f>
        <v>四川省 乐山市 峨眉山市 胜利街道</v>
      </c>
      <c r="N5913" s="1" t="str">
        <f t="shared" si="1878"/>
        <v>凡华云仓-韵达-抖音</v>
      </c>
      <c r="O5913" s="5">
        <v>320177502053499</v>
      </c>
      <c r="P5913" s="6">
        <v>0.34</v>
      </c>
      <c r="Q5913" s="11">
        <v>2.2999999999999998</v>
      </c>
      <c r="R5913" s="11"/>
      <c r="S5913" s="11"/>
      <c r="T5913" s="11"/>
      <c r="U5913" s="11">
        <f t="shared" si="1873"/>
        <v>2.2999999999999998</v>
      </c>
      <c r="W5913">
        <v>2.5</v>
      </c>
      <c r="X5913" s="1" t="s">
        <v>161</v>
      </c>
    </row>
    <row r="5914" spans="1:24" x14ac:dyDescent="0.25">
      <c r="A5914" s="1" t="str">
        <f t="shared" si="1874"/>
        <v>卡卡杜-凤凰仓</v>
      </c>
      <c r="B5914" s="1" t="str">
        <f>"CK2024101810199"</f>
        <v>CK2024101810199</v>
      </c>
      <c r="C5914" s="1" t="str">
        <f>"DD2024101815830"</f>
        <v>DD2024101815830</v>
      </c>
      <c r="D5914" s="1" t="str">
        <f>"CK2024101810168"</f>
        <v>CK2024101810168</v>
      </c>
      <c r="E5914" s="1" t="str">
        <f>"6935151622752966456"</f>
        <v>6935151622752966456</v>
      </c>
      <c r="F5914" s="1" t="str">
        <f t="shared" si="1875"/>
        <v>花都四部-凤凰仓</v>
      </c>
      <c r="G5914" s="1" t="str">
        <f t="shared" si="1870"/>
        <v>卡卡杜个人护理店（抖店）</v>
      </c>
      <c r="H5914" s="1" t="str">
        <f t="shared" si="1876"/>
        <v>正常订单</v>
      </c>
      <c r="I5914" s="1" t="str">
        <f t="shared" si="1877"/>
        <v>已发货</v>
      </c>
      <c r="J5914" s="1" t="str">
        <f t="shared" si="1879"/>
        <v>3</v>
      </c>
      <c r="K5914" s="1">
        <v>3</v>
      </c>
      <c r="L5914" s="1" t="s">
        <v>20</v>
      </c>
      <c r="M5914" s="1" t="str">
        <f>"浙江省 温州市 泰顺县 罗阳镇"</f>
        <v>浙江省 温州市 泰顺县 罗阳镇</v>
      </c>
      <c r="N5914" s="1" t="str">
        <f t="shared" si="1878"/>
        <v>凡华云仓-韵达-抖音</v>
      </c>
      <c r="O5914" s="5">
        <v>320177502053304</v>
      </c>
      <c r="P5914" s="6">
        <v>0.34</v>
      </c>
      <c r="Q5914" s="11">
        <v>2.2999999999999998</v>
      </c>
      <c r="R5914" s="11"/>
      <c r="S5914" s="11"/>
      <c r="T5914" s="11"/>
      <c r="U5914" s="11">
        <f t="shared" si="1873"/>
        <v>2.2999999999999998</v>
      </c>
      <c r="W5914">
        <v>2.5</v>
      </c>
      <c r="X5914" s="1" t="s">
        <v>20</v>
      </c>
    </row>
    <row r="5915" spans="1:24" x14ac:dyDescent="0.25">
      <c r="A5915" s="1" t="str">
        <f t="shared" si="1874"/>
        <v>卡卡杜-凤凰仓</v>
      </c>
      <c r="B5915" s="1" t="str">
        <f>"CK2024101810200"</f>
        <v>CK2024101810200</v>
      </c>
      <c r="C5915" s="1" t="str">
        <f>"DD2024101815831"</f>
        <v>DD2024101815831</v>
      </c>
      <c r="D5915" s="1" t="str">
        <f>"CK2024101810167"</f>
        <v>CK2024101810167</v>
      </c>
      <c r="E5915" s="1" t="str">
        <f>"6935162934210140062"</f>
        <v>6935162934210140062</v>
      </c>
      <c r="F5915" s="1" t="str">
        <f t="shared" si="1875"/>
        <v>花都四部-凤凰仓</v>
      </c>
      <c r="G5915" s="1" t="str">
        <f t="shared" si="1870"/>
        <v>卡卡杜个人护理店（抖店）</v>
      </c>
      <c r="H5915" s="1" t="str">
        <f t="shared" si="1876"/>
        <v>正常订单</v>
      </c>
      <c r="I5915" s="1" t="str">
        <f t="shared" si="1877"/>
        <v>已发货</v>
      </c>
      <c r="J5915" s="1" t="str">
        <f t="shared" si="1879"/>
        <v>3</v>
      </c>
      <c r="K5915" s="1">
        <v>3</v>
      </c>
      <c r="L5915" s="1" t="s">
        <v>36</v>
      </c>
      <c r="M5915" s="1" t="str">
        <f>"安徽省 淮北市 相山区 西街道"</f>
        <v>安徽省 淮北市 相山区 西街道</v>
      </c>
      <c r="N5915" s="1" t="str">
        <f t="shared" si="1878"/>
        <v>凡华云仓-韵达-抖音</v>
      </c>
      <c r="O5915" s="5">
        <v>320177502053211</v>
      </c>
      <c r="P5915" s="6">
        <v>0.34</v>
      </c>
      <c r="Q5915" s="11">
        <v>2.2999999999999998</v>
      </c>
      <c r="R5915" s="11"/>
      <c r="S5915" s="11"/>
      <c r="T5915" s="11"/>
      <c r="U5915" s="11">
        <f t="shared" si="1873"/>
        <v>2.2999999999999998</v>
      </c>
      <c r="W5915">
        <v>2.5</v>
      </c>
      <c r="X5915" s="1" t="s">
        <v>36</v>
      </c>
    </row>
    <row r="5916" spans="1:24" x14ac:dyDescent="0.25">
      <c r="A5916" s="1" t="str">
        <f t="shared" si="1874"/>
        <v>卡卡杜-凤凰仓</v>
      </c>
      <c r="B5916" s="1" t="str">
        <f>"CK2024101810201"</f>
        <v>CK2024101810201</v>
      </c>
      <c r="C5916" s="1" t="str">
        <f>"DD2024101815832"</f>
        <v>DD2024101815832</v>
      </c>
      <c r="D5916" s="1" t="str">
        <f>"CK2024101810166"</f>
        <v>CK2024101810166</v>
      </c>
      <c r="E5916" s="1" t="str">
        <f>"6935160906460960403"</f>
        <v>6935160906460960403</v>
      </c>
      <c r="F5916" s="1" t="str">
        <f t="shared" si="1875"/>
        <v>花都四部-凤凰仓</v>
      </c>
      <c r="G5916" s="1" t="str">
        <f t="shared" si="1870"/>
        <v>卡卡杜个人护理店（抖店）</v>
      </c>
      <c r="H5916" s="1" t="str">
        <f t="shared" si="1876"/>
        <v>正常订单</v>
      </c>
      <c r="I5916" s="1" t="str">
        <f t="shared" si="1877"/>
        <v>已发货</v>
      </c>
      <c r="J5916" s="1" t="str">
        <f t="shared" si="1879"/>
        <v>3</v>
      </c>
      <c r="K5916" s="1">
        <v>3</v>
      </c>
      <c r="L5916" s="1" t="s">
        <v>13</v>
      </c>
      <c r="M5916" s="1" t="str">
        <f>"江苏省 淮安市 淮安区 河下街道"</f>
        <v>江苏省 淮安市 淮安区 河下街道</v>
      </c>
      <c r="N5916" s="1" t="str">
        <f t="shared" si="1878"/>
        <v>凡华云仓-韵达-抖音</v>
      </c>
      <c r="O5916" s="5">
        <v>320177502053120</v>
      </c>
      <c r="P5916" s="6">
        <v>0.34</v>
      </c>
      <c r="Q5916" s="11">
        <v>2.2999999999999998</v>
      </c>
      <c r="R5916" s="11"/>
      <c r="S5916" s="11"/>
      <c r="T5916" s="11"/>
      <c r="U5916" s="11">
        <f t="shared" si="1873"/>
        <v>2.2999999999999998</v>
      </c>
      <c r="W5916">
        <v>2.5</v>
      </c>
      <c r="X5916" s="1" t="s">
        <v>13</v>
      </c>
    </row>
    <row r="5917" spans="1:24" x14ac:dyDescent="0.25">
      <c r="A5917" s="1" t="str">
        <f t="shared" si="1874"/>
        <v>卡卡杜-凤凰仓</v>
      </c>
      <c r="B5917" s="1" t="str">
        <f>"CK2024101810202"</f>
        <v>CK2024101810202</v>
      </c>
      <c r="C5917" s="1" t="str">
        <f>"DD2024101815833"</f>
        <v>DD2024101815833</v>
      </c>
      <c r="D5917" s="1" t="str">
        <f>"CK2024101810165"</f>
        <v>CK2024101810165</v>
      </c>
      <c r="E5917" s="1" t="str">
        <f>"6935151583575610674"</f>
        <v>6935151583575610674</v>
      </c>
      <c r="F5917" s="1" t="str">
        <f t="shared" si="1875"/>
        <v>花都四部-凤凰仓</v>
      </c>
      <c r="G5917" s="1" t="str">
        <f t="shared" si="1870"/>
        <v>卡卡杜个人护理店（抖店）</v>
      </c>
      <c r="H5917" s="1" t="str">
        <f t="shared" si="1876"/>
        <v>正常订单</v>
      </c>
      <c r="I5917" s="1" t="str">
        <f t="shared" si="1877"/>
        <v>已发货</v>
      </c>
      <c r="J5917" s="1" t="str">
        <f t="shared" si="1879"/>
        <v>3</v>
      </c>
      <c r="K5917" s="1">
        <v>3</v>
      </c>
      <c r="L5917" s="1" t="s">
        <v>94</v>
      </c>
      <c r="M5917" s="1" t="str">
        <f>"湖南省 常德市 武陵区 府坪街道"</f>
        <v>湖南省 常德市 武陵区 府坪街道</v>
      </c>
      <c r="N5917" s="1" t="str">
        <f t="shared" si="1878"/>
        <v>凡华云仓-韵达-抖音</v>
      </c>
      <c r="O5917" s="5">
        <v>320177502053031</v>
      </c>
      <c r="P5917" s="6">
        <v>0.34</v>
      </c>
      <c r="Q5917" s="11">
        <v>2.2999999999999998</v>
      </c>
      <c r="R5917" s="11"/>
      <c r="S5917" s="11"/>
      <c r="T5917" s="11"/>
      <c r="U5917" s="11">
        <f t="shared" si="1873"/>
        <v>2.2999999999999998</v>
      </c>
      <c r="W5917">
        <v>2.5</v>
      </c>
      <c r="X5917" s="1" t="s">
        <v>94</v>
      </c>
    </row>
    <row r="5918" spans="1:24" x14ac:dyDescent="0.25">
      <c r="A5918" s="1" t="str">
        <f t="shared" si="1874"/>
        <v>卡卡杜-凤凰仓</v>
      </c>
      <c r="B5918" s="1" t="str">
        <f>"CK2024101810203"</f>
        <v>CK2024101810203</v>
      </c>
      <c r="C5918" s="1" t="str">
        <f>"DD2024101815835"</f>
        <v>DD2024101815835</v>
      </c>
      <c r="D5918" s="1" t="str">
        <f>"CK2024101810164"</f>
        <v>CK2024101810164</v>
      </c>
      <c r="E5918" s="1" t="str">
        <f>"6935145361595307550"</f>
        <v>6935145361595307550</v>
      </c>
      <c r="F5918" s="1" t="str">
        <f t="shared" si="1875"/>
        <v>花都四部-凤凰仓</v>
      </c>
      <c r="G5918" s="1" t="str">
        <f t="shared" si="1870"/>
        <v>卡卡杜个人护理店（抖店）</v>
      </c>
      <c r="H5918" s="1" t="str">
        <f t="shared" si="1876"/>
        <v>正常订单</v>
      </c>
      <c r="I5918" s="1" t="str">
        <f t="shared" si="1877"/>
        <v>已发货</v>
      </c>
      <c r="J5918" s="1" t="str">
        <f t="shared" si="1879"/>
        <v>3</v>
      </c>
      <c r="K5918" s="1">
        <v>3</v>
      </c>
      <c r="L5918" s="1" t="s">
        <v>30</v>
      </c>
      <c r="M5918" s="1" t="str">
        <f>"山东省 潍坊市 高密市 朝阳街道"</f>
        <v>山东省 潍坊市 高密市 朝阳街道</v>
      </c>
      <c r="N5918" s="1" t="str">
        <f t="shared" si="1878"/>
        <v>凡华云仓-韵达-抖音</v>
      </c>
      <c r="O5918" s="5">
        <v>320177502052911</v>
      </c>
      <c r="P5918" s="6">
        <v>0.34</v>
      </c>
      <c r="Q5918" s="11">
        <v>2.2999999999999998</v>
      </c>
      <c r="R5918" s="11"/>
      <c r="S5918" s="11"/>
      <c r="T5918" s="11"/>
      <c r="U5918" s="11">
        <f t="shared" si="1873"/>
        <v>2.2999999999999998</v>
      </c>
      <c r="W5918">
        <v>2.5</v>
      </c>
      <c r="X5918" s="1" t="s">
        <v>30</v>
      </c>
    </row>
    <row r="5919" spans="1:24" x14ac:dyDescent="0.25">
      <c r="A5919" s="1" t="str">
        <f t="shared" si="1874"/>
        <v>卡卡杜-凤凰仓</v>
      </c>
      <c r="B5919" s="1" t="str">
        <f>"CK2024101810204"</f>
        <v>CK2024101810204</v>
      </c>
      <c r="C5919" s="1" t="str">
        <f>"DD2024101815841"</f>
        <v>DD2024101815841</v>
      </c>
      <c r="D5919" s="1" t="str">
        <f>"CK2024101810163"</f>
        <v>CK2024101810163</v>
      </c>
      <c r="E5919" s="1" t="str">
        <f>"6935165151119873628"</f>
        <v>6935165151119873628</v>
      </c>
      <c r="F5919" s="1" t="str">
        <f t="shared" si="1875"/>
        <v>花都四部-凤凰仓</v>
      </c>
      <c r="G5919" s="1" t="str">
        <f t="shared" si="1870"/>
        <v>卡卡杜个人护理店（抖店）</v>
      </c>
      <c r="H5919" s="1" t="str">
        <f t="shared" si="1876"/>
        <v>正常订单</v>
      </c>
      <c r="I5919" s="1" t="str">
        <f t="shared" si="1877"/>
        <v>已发货</v>
      </c>
      <c r="J5919" s="1" t="str">
        <f t="shared" si="1879"/>
        <v>3</v>
      </c>
      <c r="K5919" s="1">
        <v>3</v>
      </c>
      <c r="L5919" s="1" t="s">
        <v>20</v>
      </c>
      <c r="M5919" s="1" t="str">
        <f>"浙江省 台州市 路桥区 路北街道"</f>
        <v>浙江省 台州市 路桥区 路北街道</v>
      </c>
      <c r="N5919" s="1" t="str">
        <f t="shared" si="1878"/>
        <v>凡华云仓-韵达-抖音</v>
      </c>
      <c r="O5919" s="5">
        <v>320177477603748</v>
      </c>
      <c r="P5919" s="6">
        <v>0.34</v>
      </c>
      <c r="Q5919" s="11">
        <v>2.2999999999999998</v>
      </c>
      <c r="R5919" s="11"/>
      <c r="S5919" s="11"/>
      <c r="T5919" s="11"/>
      <c r="U5919" s="11">
        <f t="shared" si="1873"/>
        <v>2.2999999999999998</v>
      </c>
      <c r="W5919">
        <v>2.5</v>
      </c>
      <c r="X5919" s="1" t="s">
        <v>20</v>
      </c>
    </row>
    <row r="5920" spans="1:24" x14ac:dyDescent="0.25">
      <c r="A5920" s="1" t="str">
        <f t="shared" si="1874"/>
        <v>卡卡杜-凤凰仓</v>
      </c>
      <c r="B5920" s="1" t="str">
        <f>"CK2024101810205"</f>
        <v>CK2024101810205</v>
      </c>
      <c r="C5920" s="1" t="str">
        <f>"DD2024101815842"</f>
        <v>DD2024101815842</v>
      </c>
      <c r="D5920" s="1" t="str">
        <f>"CK2024101810162"</f>
        <v>CK2024101810162</v>
      </c>
      <c r="E5920" s="1" t="str">
        <f>"6935174254900090832"</f>
        <v>6935174254900090832</v>
      </c>
      <c r="F5920" s="1" t="str">
        <f t="shared" si="1875"/>
        <v>花都四部-凤凰仓</v>
      </c>
      <c r="G5920" s="1" t="str">
        <f t="shared" si="1870"/>
        <v>卡卡杜个人护理店（抖店）</v>
      </c>
      <c r="H5920" s="1" t="str">
        <f t="shared" si="1876"/>
        <v>正常订单</v>
      </c>
      <c r="I5920" s="1" t="str">
        <f t="shared" si="1877"/>
        <v>已发货</v>
      </c>
      <c r="J5920" s="1" t="str">
        <f t="shared" si="1879"/>
        <v>3</v>
      </c>
      <c r="K5920" s="1">
        <v>3</v>
      </c>
      <c r="L5920" s="1" t="s">
        <v>109</v>
      </c>
      <c r="M5920" s="1" t="str">
        <f>"山西省 运城市 稷山县 稷峰镇"</f>
        <v>山西省 运城市 稷山县 稷峰镇</v>
      </c>
      <c r="N5920" s="1" t="str">
        <f t="shared" si="1878"/>
        <v>凡华云仓-韵达-抖音</v>
      </c>
      <c r="O5920" s="5">
        <v>320177477603647</v>
      </c>
      <c r="P5920" s="6">
        <v>0.34</v>
      </c>
      <c r="Q5920" s="11">
        <v>2.2999999999999998</v>
      </c>
      <c r="R5920" s="11"/>
      <c r="S5920" s="11"/>
      <c r="T5920" s="11"/>
      <c r="U5920" s="11">
        <f t="shared" si="1873"/>
        <v>2.2999999999999998</v>
      </c>
      <c r="W5920">
        <v>2.5</v>
      </c>
      <c r="X5920" s="1" t="s">
        <v>109</v>
      </c>
    </row>
    <row r="5921" spans="1:24" x14ac:dyDescent="0.25">
      <c r="A5921" s="1" t="str">
        <f t="shared" si="1874"/>
        <v>卡卡杜-凤凰仓</v>
      </c>
      <c r="B5921" s="1" t="str">
        <f>"CK2024101810206"</f>
        <v>CK2024101810206</v>
      </c>
      <c r="C5921" s="1" t="str">
        <f>"DD2024101815843"</f>
        <v>DD2024101815843</v>
      </c>
      <c r="D5921" s="1" t="str">
        <f>"CK2024101810161"</f>
        <v>CK2024101810161</v>
      </c>
      <c r="E5921" s="1" t="str">
        <f>"6935150000333198581"</f>
        <v>6935150000333198581</v>
      </c>
      <c r="F5921" s="1" t="str">
        <f t="shared" si="1875"/>
        <v>花都四部-凤凰仓</v>
      </c>
      <c r="G5921" s="1" t="str">
        <f t="shared" si="1870"/>
        <v>卡卡杜个人护理店（抖店）</v>
      </c>
      <c r="H5921" s="1" t="str">
        <f t="shared" si="1876"/>
        <v>正常订单</v>
      </c>
      <c r="I5921" s="1" t="str">
        <f t="shared" si="1877"/>
        <v>已发货</v>
      </c>
      <c r="J5921" s="1" t="str">
        <f>"6"</f>
        <v>6</v>
      </c>
      <c r="K5921" s="1">
        <v>3</v>
      </c>
      <c r="L5921" s="1" t="s">
        <v>30</v>
      </c>
      <c r="M5921" s="1" t="str">
        <f>"山东省 青岛市 城阳区 流亭街道"</f>
        <v>山东省 青岛市 城阳区 流亭街道</v>
      </c>
      <c r="N5921" s="1" t="str">
        <f t="shared" si="1878"/>
        <v>凡华云仓-韵达-抖音</v>
      </c>
      <c r="O5921" s="5">
        <v>320177477603548</v>
      </c>
      <c r="P5921" s="6">
        <v>0.55000000000000004</v>
      </c>
      <c r="Q5921" s="11">
        <f>CEILING(P5921-0.5,0.1)*10*0.15+2.3</f>
        <v>2.4499999999999997</v>
      </c>
      <c r="R5921" s="11"/>
      <c r="S5921" s="11"/>
      <c r="T5921" s="11"/>
      <c r="U5921" s="11">
        <f t="shared" si="1873"/>
        <v>2.4499999999999997</v>
      </c>
      <c r="V5921" t="s">
        <v>15</v>
      </c>
      <c r="W5921">
        <v>2.4500000000000002</v>
      </c>
      <c r="X5921" s="1" t="s">
        <v>30</v>
      </c>
    </row>
    <row r="5922" spans="1:24" x14ac:dyDescent="0.25">
      <c r="A5922" s="1" t="str">
        <f t="shared" si="1874"/>
        <v>卡卡杜-凤凰仓</v>
      </c>
      <c r="B5922" s="1" t="str">
        <f>"CK2024101810207"</f>
        <v>CK2024101810207</v>
      </c>
      <c r="C5922" s="1" t="str">
        <f>"DD2024101815844"</f>
        <v>DD2024101815844</v>
      </c>
      <c r="D5922" s="1" t="str">
        <f>"CK2024101810160"</f>
        <v>CK2024101810160</v>
      </c>
      <c r="E5922" s="1" t="str">
        <f>"6935162893289133393"</f>
        <v>6935162893289133393</v>
      </c>
      <c r="F5922" s="1" t="str">
        <f t="shared" si="1875"/>
        <v>花都四部-凤凰仓</v>
      </c>
      <c r="G5922" s="1" t="str">
        <f t="shared" si="1870"/>
        <v>卡卡杜个人护理店（抖店）</v>
      </c>
      <c r="H5922" s="1" t="str">
        <f t="shared" si="1876"/>
        <v>正常订单</v>
      </c>
      <c r="I5922" s="1" t="str">
        <f t="shared" si="1877"/>
        <v>已发货</v>
      </c>
      <c r="J5922" s="1" t="str">
        <f t="shared" ref="J5922:J5985" si="1880">"3"</f>
        <v>3</v>
      </c>
      <c r="K5922" s="1">
        <v>3</v>
      </c>
      <c r="L5922" s="1" t="s">
        <v>80</v>
      </c>
      <c r="M5922" s="1" t="str">
        <f>"河南省 开封市 尉氏县 南曹乡"</f>
        <v>河南省 开封市 尉氏县 南曹乡</v>
      </c>
      <c r="N5922" s="1" t="str">
        <f t="shared" si="1878"/>
        <v>凡华云仓-韵达-抖音</v>
      </c>
      <c r="O5922" s="5">
        <v>320177477603451</v>
      </c>
      <c r="P5922" s="6">
        <v>0.34</v>
      </c>
      <c r="Q5922" s="11">
        <v>2.2999999999999998</v>
      </c>
      <c r="R5922" s="11"/>
      <c r="S5922" s="11"/>
      <c r="T5922" s="11"/>
      <c r="U5922" s="11">
        <f t="shared" si="1873"/>
        <v>2.2999999999999998</v>
      </c>
      <c r="W5922">
        <v>2.5</v>
      </c>
      <c r="X5922" s="1" t="s">
        <v>80</v>
      </c>
    </row>
    <row r="5923" spans="1:24" x14ac:dyDescent="0.25">
      <c r="A5923" s="1" t="str">
        <f t="shared" si="1874"/>
        <v>卡卡杜-凤凰仓</v>
      </c>
      <c r="B5923" s="1" t="str">
        <f>"CK2024101810208"</f>
        <v>CK2024101810208</v>
      </c>
      <c r="C5923" s="1" t="str">
        <f>"DD2024101815847"</f>
        <v>DD2024101815847</v>
      </c>
      <c r="D5923" s="1" t="str">
        <f>"CK2024101810159"</f>
        <v>CK2024101810159</v>
      </c>
      <c r="E5923" s="1" t="str">
        <f>"6935151489125062176"</f>
        <v>6935151489125062176</v>
      </c>
      <c r="F5923" s="1" t="str">
        <f t="shared" si="1875"/>
        <v>花都四部-凤凰仓</v>
      </c>
      <c r="G5923" s="1" t="str">
        <f t="shared" si="1870"/>
        <v>卡卡杜个人护理店（抖店）</v>
      </c>
      <c r="H5923" s="1" t="str">
        <f t="shared" si="1876"/>
        <v>正常订单</v>
      </c>
      <c r="I5923" s="1" t="str">
        <f t="shared" si="1877"/>
        <v>已发货</v>
      </c>
      <c r="J5923" s="1" t="str">
        <f t="shared" si="1880"/>
        <v>3</v>
      </c>
      <c r="K5923" s="1">
        <v>3</v>
      </c>
      <c r="L5923" s="1" t="s">
        <v>36</v>
      </c>
      <c r="M5923" s="1" t="str">
        <f>"安徽省 宿州市 泗县 大路口乡"</f>
        <v>安徽省 宿州市 泗县 大路口乡</v>
      </c>
      <c r="N5923" s="1" t="str">
        <f t="shared" si="1878"/>
        <v>凡华云仓-韵达-抖音</v>
      </c>
      <c r="O5923" s="5">
        <v>320177477603356</v>
      </c>
      <c r="P5923" s="6">
        <v>0.34</v>
      </c>
      <c r="Q5923" s="11">
        <v>2.2999999999999998</v>
      </c>
      <c r="R5923" s="11"/>
      <c r="S5923" s="11"/>
      <c r="T5923" s="11"/>
      <c r="U5923" s="11">
        <f t="shared" si="1873"/>
        <v>2.2999999999999998</v>
      </c>
      <c r="W5923">
        <v>2.5</v>
      </c>
      <c r="X5923" s="1" t="s">
        <v>36</v>
      </c>
    </row>
    <row r="5924" spans="1:24" x14ac:dyDescent="0.25">
      <c r="A5924" s="1" t="str">
        <f t="shared" si="1874"/>
        <v>卡卡杜-凤凰仓</v>
      </c>
      <c r="B5924" s="1" t="str">
        <f>"CK2024101810209"</f>
        <v>CK2024101810209</v>
      </c>
      <c r="C5924" s="1" t="str">
        <f>"DD2024101815848"</f>
        <v>DD2024101815848</v>
      </c>
      <c r="D5924" s="1" t="str">
        <f>"CK2024101810158"</f>
        <v>CK2024101810158</v>
      </c>
      <c r="E5924" s="1" t="str">
        <f>"6935165090794968243"</f>
        <v>6935165090794968243</v>
      </c>
      <c r="F5924" s="1" t="str">
        <f t="shared" si="1875"/>
        <v>花都四部-凤凰仓</v>
      </c>
      <c r="G5924" s="1" t="str">
        <f t="shared" si="1870"/>
        <v>卡卡杜个人护理店（抖店）</v>
      </c>
      <c r="H5924" s="1" t="str">
        <f t="shared" si="1876"/>
        <v>正常订单</v>
      </c>
      <c r="I5924" s="1" t="str">
        <f t="shared" si="1877"/>
        <v>已发货</v>
      </c>
      <c r="J5924" s="1" t="str">
        <f t="shared" si="1880"/>
        <v>3</v>
      </c>
      <c r="K5924" s="1">
        <v>3</v>
      </c>
      <c r="L5924" s="1" t="s">
        <v>47</v>
      </c>
      <c r="M5924" s="1" t="str">
        <f>"重庆 重庆市 九龙坡区 石坪桥街道"</f>
        <v>重庆 重庆市 九龙坡区 石坪桥街道</v>
      </c>
      <c r="N5924" s="1" t="str">
        <f t="shared" si="1878"/>
        <v>凡华云仓-韵达-抖音</v>
      </c>
      <c r="O5924" s="5">
        <v>320177477603263</v>
      </c>
      <c r="P5924" s="6">
        <v>0.34</v>
      </c>
      <c r="Q5924" s="11">
        <v>2.2999999999999998</v>
      </c>
      <c r="R5924" s="11"/>
      <c r="S5924" s="11"/>
      <c r="T5924" s="11"/>
      <c r="U5924" s="11">
        <f t="shared" si="1873"/>
        <v>2.2999999999999998</v>
      </c>
      <c r="W5924">
        <v>2.5</v>
      </c>
      <c r="X5924" s="1" t="s">
        <v>47</v>
      </c>
    </row>
    <row r="5925" spans="1:24" x14ac:dyDescent="0.25">
      <c r="A5925" s="1" t="str">
        <f t="shared" si="1874"/>
        <v>卡卡杜-凤凰仓</v>
      </c>
      <c r="B5925" s="1" t="str">
        <f>"CK2024101810624"</f>
        <v>CK2024101810624</v>
      </c>
      <c r="C5925" s="1" t="str">
        <f>"DD2024101816703"</f>
        <v>DD2024101816703</v>
      </c>
      <c r="D5925" s="1" t="str">
        <f>"CK2024101810156"</f>
        <v>CK2024101810156</v>
      </c>
      <c r="E5925" s="1" t="str">
        <f>"6935151592007472986"</f>
        <v>6935151592007472986</v>
      </c>
      <c r="F5925" s="1" t="str">
        <f t="shared" si="1875"/>
        <v>花都四部-凤凰仓</v>
      </c>
      <c r="G5925" s="1" t="str">
        <f t="shared" si="1870"/>
        <v>卡卡杜个人护理店（抖店）</v>
      </c>
      <c r="H5925" s="1" t="str">
        <f t="shared" si="1876"/>
        <v>正常订单</v>
      </c>
      <c r="I5925" s="1" t="str">
        <f t="shared" si="1877"/>
        <v>已发货</v>
      </c>
      <c r="J5925" s="1" t="str">
        <f t="shared" si="1880"/>
        <v>3</v>
      </c>
      <c r="K5925" s="1">
        <v>3</v>
      </c>
      <c r="L5925" s="1" t="s">
        <v>30</v>
      </c>
      <c r="M5925" s="1" t="str">
        <f>"山东省 潍坊市 临朐县 城关街道"</f>
        <v>山东省 潍坊市 临朐县 城关街道</v>
      </c>
      <c r="N5925" s="1" t="str">
        <f t="shared" si="1878"/>
        <v>凡华云仓-韵达-抖音</v>
      </c>
      <c r="O5925" s="5">
        <v>320177477603083</v>
      </c>
      <c r="P5925" s="6">
        <v>0.34</v>
      </c>
      <c r="Q5925" s="11">
        <v>2.2999999999999998</v>
      </c>
      <c r="R5925" s="11"/>
      <c r="S5925" s="11"/>
      <c r="T5925" s="11"/>
      <c r="U5925" s="11">
        <f t="shared" si="1873"/>
        <v>2.2999999999999998</v>
      </c>
      <c r="W5925">
        <v>2.5</v>
      </c>
      <c r="X5925" s="1" t="s">
        <v>30</v>
      </c>
    </row>
    <row r="5926" spans="1:24" x14ac:dyDescent="0.25">
      <c r="A5926" s="1" t="str">
        <f t="shared" si="1874"/>
        <v>卡卡杜-凤凰仓</v>
      </c>
      <c r="B5926" s="1" t="str">
        <f>"CK2024101810211"</f>
        <v>CK2024101810211</v>
      </c>
      <c r="C5926" s="1" t="str">
        <f>"DD2024101815852"</f>
        <v>DD2024101815852</v>
      </c>
      <c r="D5926" s="1" t="str">
        <f>"CK2024101810155"</f>
        <v>CK2024101810155</v>
      </c>
      <c r="E5926" s="1" t="str">
        <f>"6935160867729904982"</f>
        <v>6935160867729904982</v>
      </c>
      <c r="F5926" s="1" t="str">
        <f t="shared" si="1875"/>
        <v>花都四部-凤凰仓</v>
      </c>
      <c r="G5926" s="1" t="str">
        <f t="shared" si="1870"/>
        <v>卡卡杜个人护理店（抖店）</v>
      </c>
      <c r="H5926" s="1" t="str">
        <f t="shared" si="1876"/>
        <v>正常订单</v>
      </c>
      <c r="I5926" s="1" t="str">
        <f t="shared" si="1877"/>
        <v>已发货</v>
      </c>
      <c r="J5926" s="1" t="str">
        <f t="shared" si="1880"/>
        <v>3</v>
      </c>
      <c r="K5926" s="1">
        <v>3</v>
      </c>
      <c r="L5926" s="1" t="s">
        <v>94</v>
      </c>
      <c r="M5926" s="1" t="str">
        <f>"湖南省 长沙市 开福区 洪山街道"</f>
        <v>湖南省 长沙市 开福区 洪山街道</v>
      </c>
      <c r="N5926" s="1" t="str">
        <f t="shared" si="1878"/>
        <v>凡华云仓-韵达-抖音</v>
      </c>
      <c r="O5926" s="5">
        <v>320177477602963</v>
      </c>
      <c r="P5926" s="6">
        <v>0.34</v>
      </c>
      <c r="Q5926" s="11">
        <v>2.2999999999999998</v>
      </c>
      <c r="R5926" s="11"/>
      <c r="S5926" s="11"/>
      <c r="T5926" s="11"/>
      <c r="U5926" s="11">
        <f t="shared" si="1873"/>
        <v>2.2999999999999998</v>
      </c>
      <c r="W5926">
        <v>2.5</v>
      </c>
      <c r="X5926" s="1" t="s">
        <v>94</v>
      </c>
    </row>
    <row r="5927" spans="1:24" x14ac:dyDescent="0.25">
      <c r="A5927" s="1" t="str">
        <f t="shared" si="1874"/>
        <v>卡卡杜-凤凰仓</v>
      </c>
      <c r="B5927" s="1" t="str">
        <f>"CK2024101810625"</f>
        <v>CK2024101810625</v>
      </c>
      <c r="C5927" s="1" t="str">
        <f>"DD2024101816704"</f>
        <v>DD2024101816704</v>
      </c>
      <c r="D5927" s="1" t="str">
        <f>"CK2024101810154"</f>
        <v>CK2024101810154</v>
      </c>
      <c r="E5927" s="1" t="str">
        <f>"6935149968675443873"</f>
        <v>6935149968675443873</v>
      </c>
      <c r="F5927" s="1" t="str">
        <f t="shared" si="1875"/>
        <v>花都四部-凤凰仓</v>
      </c>
      <c r="G5927" s="1" t="str">
        <f t="shared" si="1870"/>
        <v>卡卡杜个人护理店（抖店）</v>
      </c>
      <c r="H5927" s="1" t="str">
        <f t="shared" si="1876"/>
        <v>正常订单</v>
      </c>
      <c r="I5927" s="1" t="str">
        <f t="shared" si="1877"/>
        <v>已发货</v>
      </c>
      <c r="J5927" s="1" t="str">
        <f t="shared" si="1880"/>
        <v>3</v>
      </c>
      <c r="K5927" s="1">
        <v>3</v>
      </c>
      <c r="L5927" s="1" t="s">
        <v>105</v>
      </c>
      <c r="M5927" s="1" t="str">
        <f>"北京 北京市 大兴区 旧宫地区"</f>
        <v>北京 北京市 大兴区 旧宫地区</v>
      </c>
      <c r="N5927" s="1" t="str">
        <f t="shared" si="1878"/>
        <v>凡华云仓-韵达-抖音</v>
      </c>
      <c r="O5927" s="5">
        <v>320177477602858</v>
      </c>
      <c r="P5927" s="6">
        <v>0.34</v>
      </c>
      <c r="Q5927" s="11">
        <v>2.2999999999999998</v>
      </c>
      <c r="R5927" s="11"/>
      <c r="S5927" s="11"/>
      <c r="T5927" s="11"/>
      <c r="U5927" s="11">
        <f t="shared" si="1873"/>
        <v>2.2999999999999998</v>
      </c>
      <c r="W5927">
        <v>2.5</v>
      </c>
      <c r="X5927" s="1" t="s">
        <v>105</v>
      </c>
    </row>
    <row r="5928" spans="1:24" x14ac:dyDescent="0.25">
      <c r="A5928" s="1" t="str">
        <f t="shared" si="1874"/>
        <v>卡卡杜-凤凰仓</v>
      </c>
      <c r="B5928" s="1" t="str">
        <f>"CK2024101810212"</f>
        <v>CK2024101810212</v>
      </c>
      <c r="C5928" s="1" t="str">
        <f>"DD2024101815854"</f>
        <v>DD2024101815854</v>
      </c>
      <c r="D5928" s="1" t="str">
        <f>"CK2024101810153"</f>
        <v>CK2024101810153</v>
      </c>
      <c r="E5928" s="1" t="str">
        <f>"6935151462390306598"</f>
        <v>6935151462390306598</v>
      </c>
      <c r="F5928" s="1" t="str">
        <f t="shared" si="1875"/>
        <v>花都四部-凤凰仓</v>
      </c>
      <c r="G5928" s="1" t="str">
        <f t="shared" si="1870"/>
        <v>卡卡杜个人护理店（抖店）</v>
      </c>
      <c r="H5928" s="1" t="str">
        <f t="shared" si="1876"/>
        <v>正常订单</v>
      </c>
      <c r="I5928" s="1" t="str">
        <f t="shared" si="1877"/>
        <v>已发货</v>
      </c>
      <c r="J5928" s="1" t="str">
        <f t="shared" si="1880"/>
        <v>3</v>
      </c>
      <c r="K5928" s="1">
        <v>3</v>
      </c>
      <c r="L5928" s="1" t="s">
        <v>30</v>
      </c>
      <c r="M5928" s="1" t="str">
        <f>"山东省 临沂市 平邑县 平邑街道"</f>
        <v>山东省 临沂市 平邑县 平邑街道</v>
      </c>
      <c r="N5928" s="1" t="str">
        <f t="shared" si="1878"/>
        <v>凡华云仓-韵达-抖音</v>
      </c>
      <c r="O5928" s="5">
        <v>320177502052806</v>
      </c>
      <c r="P5928" s="6">
        <v>0.34</v>
      </c>
      <c r="Q5928" s="11">
        <v>2.2999999999999998</v>
      </c>
      <c r="R5928" s="11"/>
      <c r="S5928" s="11"/>
      <c r="T5928" s="11"/>
      <c r="U5928" s="11">
        <f t="shared" si="1873"/>
        <v>2.2999999999999998</v>
      </c>
      <c r="W5928">
        <v>2.5</v>
      </c>
      <c r="X5928" s="1" t="s">
        <v>30</v>
      </c>
    </row>
    <row r="5929" spans="1:24" x14ac:dyDescent="0.25">
      <c r="A5929" s="1" t="str">
        <f t="shared" si="1874"/>
        <v>卡卡杜-凤凰仓</v>
      </c>
      <c r="B5929" s="1" t="str">
        <f>"CK2024101810213"</f>
        <v>CK2024101810213</v>
      </c>
      <c r="C5929" s="1" t="str">
        <f>"DD2024101815856"</f>
        <v>DD2024101815856</v>
      </c>
      <c r="D5929" s="1" t="str">
        <f>"CK2024101810152"</f>
        <v>CK2024101810152</v>
      </c>
      <c r="E5929" s="1" t="str">
        <f>"6935172028387562713"</f>
        <v>6935172028387562713</v>
      </c>
      <c r="F5929" s="1" t="str">
        <f t="shared" si="1875"/>
        <v>花都四部-凤凰仓</v>
      </c>
      <c r="G5929" s="1" t="str">
        <f t="shared" si="1870"/>
        <v>卡卡杜个人护理店（抖店）</v>
      </c>
      <c r="H5929" s="1" t="str">
        <f t="shared" si="1876"/>
        <v>正常订单</v>
      </c>
      <c r="I5929" s="1" t="str">
        <f t="shared" si="1877"/>
        <v>已发货</v>
      </c>
      <c r="J5929" s="1" t="str">
        <f t="shared" si="1880"/>
        <v>3</v>
      </c>
      <c r="K5929" s="1">
        <v>3</v>
      </c>
      <c r="L5929" s="1" t="s">
        <v>41</v>
      </c>
      <c r="M5929" s="1" t="str">
        <f>"湖北省 孝感市 云梦县 城关镇"</f>
        <v>湖北省 孝感市 云梦县 城关镇</v>
      </c>
      <c r="N5929" s="1" t="str">
        <f t="shared" si="1878"/>
        <v>凡华云仓-韵达-抖音</v>
      </c>
      <c r="O5929" s="5">
        <v>320177488905755</v>
      </c>
      <c r="P5929" s="6">
        <v>0.34</v>
      </c>
      <c r="Q5929" s="11">
        <v>2.2999999999999998</v>
      </c>
      <c r="R5929" s="11"/>
      <c r="S5929" s="11"/>
      <c r="T5929" s="11"/>
      <c r="U5929" s="11">
        <f t="shared" si="1873"/>
        <v>2.2999999999999998</v>
      </c>
      <c r="W5929">
        <v>2.5</v>
      </c>
      <c r="X5929" s="1" t="s">
        <v>41</v>
      </c>
    </row>
    <row r="5930" spans="1:24" x14ac:dyDescent="0.25">
      <c r="A5930" s="1" t="str">
        <f t="shared" si="1874"/>
        <v>卡卡杜-凤凰仓</v>
      </c>
      <c r="B5930" s="1" t="str">
        <f>"CK2024101810214"</f>
        <v>CK2024101810214</v>
      </c>
      <c r="C5930" s="1" t="str">
        <f>"DD2024101815860"</f>
        <v>DD2024101815860</v>
      </c>
      <c r="D5930" s="1" t="str">
        <f>"CK2024101810151"</f>
        <v>CK2024101810151</v>
      </c>
      <c r="E5930" s="1" t="str">
        <f>"6935160913251407007"</f>
        <v>6935160913251407007</v>
      </c>
      <c r="F5930" s="1" t="str">
        <f t="shared" si="1875"/>
        <v>花都四部-凤凰仓</v>
      </c>
      <c r="G5930" s="1" t="str">
        <f t="shared" si="1870"/>
        <v>卡卡杜个人护理店（抖店）</v>
      </c>
      <c r="H5930" s="1" t="str">
        <f t="shared" si="1876"/>
        <v>正常订单</v>
      </c>
      <c r="I5930" s="1" t="str">
        <f t="shared" si="1877"/>
        <v>已发货</v>
      </c>
      <c r="J5930" s="1" t="str">
        <f t="shared" si="1880"/>
        <v>3</v>
      </c>
      <c r="K5930" s="1">
        <v>3</v>
      </c>
      <c r="L5930" s="1" t="s">
        <v>94</v>
      </c>
      <c r="M5930" s="1" t="str">
        <f>"湖南省 长沙市 开福区 捞刀河街道"</f>
        <v>湖南省 长沙市 开福区 捞刀河街道</v>
      </c>
      <c r="N5930" s="1" t="str">
        <f t="shared" si="1878"/>
        <v>凡华云仓-韵达-抖音</v>
      </c>
      <c r="O5930" s="5">
        <v>320177488905654</v>
      </c>
      <c r="P5930" s="6">
        <v>0.34</v>
      </c>
      <c r="Q5930" s="11">
        <v>2.2999999999999998</v>
      </c>
      <c r="R5930" s="11"/>
      <c r="S5930" s="11"/>
      <c r="T5930" s="11"/>
      <c r="U5930" s="11">
        <f t="shared" si="1873"/>
        <v>2.2999999999999998</v>
      </c>
      <c r="W5930">
        <v>2.5</v>
      </c>
      <c r="X5930" s="1" t="s">
        <v>94</v>
      </c>
    </row>
    <row r="5931" spans="1:24" x14ac:dyDescent="0.25">
      <c r="A5931" s="1" t="str">
        <f t="shared" si="1874"/>
        <v>卡卡杜-凤凰仓</v>
      </c>
      <c r="B5931" s="1" t="str">
        <f>"CK2024101810215"</f>
        <v>CK2024101810215</v>
      </c>
      <c r="C5931" s="1" t="str">
        <f>"DD2024101815862"</f>
        <v>DD2024101815862</v>
      </c>
      <c r="D5931" s="1" t="str">
        <f>"CK2024101810150"</f>
        <v>CK2024101810150</v>
      </c>
      <c r="E5931" s="1" t="str">
        <f>"6935169866307016612"</f>
        <v>6935169866307016612</v>
      </c>
      <c r="F5931" s="1" t="str">
        <f t="shared" si="1875"/>
        <v>花都四部-凤凰仓</v>
      </c>
      <c r="G5931" s="1" t="str">
        <f t="shared" si="1870"/>
        <v>卡卡杜个人护理店（抖店）</v>
      </c>
      <c r="H5931" s="1" t="str">
        <f t="shared" si="1876"/>
        <v>正常订单</v>
      </c>
      <c r="I5931" s="1" t="str">
        <f t="shared" si="1877"/>
        <v>已发货</v>
      </c>
      <c r="J5931" s="1" t="str">
        <f t="shared" si="1880"/>
        <v>3</v>
      </c>
      <c r="K5931" s="1">
        <v>3</v>
      </c>
      <c r="L5931" s="1" t="s">
        <v>94</v>
      </c>
      <c r="M5931" s="1" t="str">
        <f>"湖南省 岳阳市 华容县 注滋口镇"</f>
        <v>湖南省 岳阳市 华容县 注滋口镇</v>
      </c>
      <c r="N5931" s="1" t="str">
        <f t="shared" si="1878"/>
        <v>凡华云仓-韵达-抖音</v>
      </c>
      <c r="O5931" s="5">
        <v>320177488905555</v>
      </c>
      <c r="P5931" s="6">
        <v>0.34</v>
      </c>
      <c r="Q5931" s="11">
        <v>2.2999999999999998</v>
      </c>
      <c r="R5931" s="11"/>
      <c r="S5931" s="11"/>
      <c r="T5931" s="11"/>
      <c r="U5931" s="11">
        <f t="shared" si="1873"/>
        <v>2.2999999999999998</v>
      </c>
      <c r="W5931">
        <v>2.5</v>
      </c>
      <c r="X5931" s="1" t="s">
        <v>94</v>
      </c>
    </row>
    <row r="5932" spans="1:24" x14ac:dyDescent="0.25">
      <c r="A5932" s="1" t="str">
        <f t="shared" si="1874"/>
        <v>卡卡杜-凤凰仓</v>
      </c>
      <c r="B5932" s="1" t="str">
        <f>"CK2024101810217"</f>
        <v>CK2024101810217</v>
      </c>
      <c r="C5932" s="1" t="str">
        <f>"DD2024101815865"</f>
        <v>DD2024101815865</v>
      </c>
      <c r="D5932" s="1" t="str">
        <f>"CK2024101810149"</f>
        <v>CK2024101810149</v>
      </c>
      <c r="E5932" s="1" t="str">
        <f>"6935145396768937857"</f>
        <v>6935145396768937857</v>
      </c>
      <c r="F5932" s="1" t="str">
        <f t="shared" si="1875"/>
        <v>花都四部-凤凰仓</v>
      </c>
      <c r="G5932" s="1" t="str">
        <f t="shared" si="1870"/>
        <v>卡卡杜个人护理店（抖店）</v>
      </c>
      <c r="H5932" s="1" t="str">
        <f t="shared" si="1876"/>
        <v>正常订单</v>
      </c>
      <c r="I5932" s="1" t="str">
        <f t="shared" si="1877"/>
        <v>已发货</v>
      </c>
      <c r="J5932" s="1" t="str">
        <f t="shared" si="1880"/>
        <v>3</v>
      </c>
      <c r="K5932" s="1">
        <v>3</v>
      </c>
      <c r="L5932" s="1" t="s">
        <v>16</v>
      </c>
      <c r="M5932" s="1" t="str">
        <f>"河北省 保定市 易县 易州镇"</f>
        <v>河北省 保定市 易县 易州镇</v>
      </c>
      <c r="N5932" s="1" t="str">
        <f t="shared" si="1878"/>
        <v>凡华云仓-韵达-抖音</v>
      </c>
      <c r="O5932" s="5">
        <v>320177488905458</v>
      </c>
      <c r="P5932" s="6">
        <v>0.34</v>
      </c>
      <c r="Q5932" s="11">
        <v>2.2999999999999998</v>
      </c>
      <c r="R5932" s="11"/>
      <c r="S5932" s="11"/>
      <c r="T5932" s="11"/>
      <c r="U5932" s="11">
        <f t="shared" si="1873"/>
        <v>2.2999999999999998</v>
      </c>
      <c r="W5932">
        <v>2.5</v>
      </c>
      <c r="X5932" s="1" t="s">
        <v>16</v>
      </c>
    </row>
    <row r="5933" spans="1:24" x14ac:dyDescent="0.25">
      <c r="A5933" s="1" t="str">
        <f t="shared" si="1874"/>
        <v>卡卡杜-凤凰仓</v>
      </c>
      <c r="B5933" s="1" t="str">
        <f>"CK2024101810216"</f>
        <v>CK2024101810216</v>
      </c>
      <c r="C5933" s="1" t="str">
        <f>"DD2024101815866"</f>
        <v>DD2024101815866</v>
      </c>
      <c r="D5933" s="1" t="str">
        <f>"CK2024101810148"</f>
        <v>CK2024101810148</v>
      </c>
      <c r="E5933" s="1" t="str">
        <f>"6935145434757731789"</f>
        <v>6935145434757731789</v>
      </c>
      <c r="F5933" s="1" t="str">
        <f t="shared" si="1875"/>
        <v>花都四部-凤凰仓</v>
      </c>
      <c r="G5933" s="1" t="str">
        <f t="shared" si="1870"/>
        <v>卡卡杜个人护理店（抖店）</v>
      </c>
      <c r="H5933" s="1" t="str">
        <f t="shared" si="1876"/>
        <v>正常订单</v>
      </c>
      <c r="I5933" s="1" t="str">
        <f t="shared" si="1877"/>
        <v>已发货</v>
      </c>
      <c r="J5933" s="1" t="str">
        <f t="shared" si="1880"/>
        <v>3</v>
      </c>
      <c r="K5933" s="1">
        <v>3</v>
      </c>
      <c r="L5933" s="1" t="s">
        <v>74</v>
      </c>
      <c r="M5933" s="1" t="str">
        <f>"上海 上海市 徐汇区 枫林路街道"</f>
        <v>上海 上海市 徐汇区 枫林路街道</v>
      </c>
      <c r="N5933" s="1" t="str">
        <f t="shared" si="1878"/>
        <v>凡华云仓-韵达-抖音</v>
      </c>
      <c r="O5933" s="5">
        <v>320177488905363</v>
      </c>
      <c r="P5933" s="6">
        <v>0.34</v>
      </c>
      <c r="Q5933" s="11">
        <v>2.2999999999999998</v>
      </c>
      <c r="R5933" s="11"/>
      <c r="S5933" s="11"/>
      <c r="T5933" s="11"/>
      <c r="U5933" s="11">
        <f t="shared" si="1873"/>
        <v>2.2999999999999998</v>
      </c>
      <c r="W5933">
        <v>2.5</v>
      </c>
      <c r="X5933" s="1" t="s">
        <v>74</v>
      </c>
    </row>
    <row r="5934" spans="1:24" x14ac:dyDescent="0.25">
      <c r="A5934" s="1" t="str">
        <f t="shared" si="1874"/>
        <v>卡卡杜-凤凰仓</v>
      </c>
      <c r="B5934" s="1" t="str">
        <f>"CK2024101810218"</f>
        <v>CK2024101810218</v>
      </c>
      <c r="C5934" s="1" t="str">
        <f>"DD2024101815867"</f>
        <v>DD2024101815867</v>
      </c>
      <c r="D5934" s="1" t="str">
        <f>"CK2024101810147"</f>
        <v>CK2024101810147</v>
      </c>
      <c r="E5934" s="1" t="str">
        <f>"6935165214837904737"</f>
        <v>6935165214837904737</v>
      </c>
      <c r="F5934" s="1" t="str">
        <f t="shared" si="1875"/>
        <v>花都四部-凤凰仓</v>
      </c>
      <c r="G5934" s="1" t="str">
        <f t="shared" si="1870"/>
        <v>卡卡杜个人护理店（抖店）</v>
      </c>
      <c r="H5934" s="1" t="str">
        <f t="shared" si="1876"/>
        <v>正常订单</v>
      </c>
      <c r="I5934" s="1" t="str">
        <f t="shared" si="1877"/>
        <v>已发货</v>
      </c>
      <c r="J5934" s="1" t="str">
        <f t="shared" si="1880"/>
        <v>3</v>
      </c>
      <c r="K5934" s="1">
        <v>3</v>
      </c>
      <c r="L5934" s="1" t="s">
        <v>47</v>
      </c>
      <c r="M5934" s="1" t="str">
        <f>"重庆 重庆市 渝中区 解放碑街道"</f>
        <v>重庆 重庆市 渝中区 解放碑街道</v>
      </c>
      <c r="N5934" s="1" t="str">
        <f t="shared" si="1878"/>
        <v>凡华云仓-韵达-抖音</v>
      </c>
      <c r="O5934" s="5">
        <v>320177488905270</v>
      </c>
      <c r="P5934" s="6">
        <v>0.34</v>
      </c>
      <c r="Q5934" s="11">
        <v>2.2999999999999998</v>
      </c>
      <c r="R5934" s="11"/>
      <c r="S5934" s="11"/>
      <c r="T5934" s="11"/>
      <c r="U5934" s="11">
        <f t="shared" si="1873"/>
        <v>2.2999999999999998</v>
      </c>
      <c r="W5934">
        <v>2.5</v>
      </c>
      <c r="X5934" s="1" t="s">
        <v>47</v>
      </c>
    </row>
    <row r="5935" spans="1:24" x14ac:dyDescent="0.25">
      <c r="A5935" s="1" t="str">
        <f t="shared" si="1874"/>
        <v>卡卡杜-凤凰仓</v>
      </c>
      <c r="B5935" s="1" t="str">
        <f>"CK2024101810219"</f>
        <v>CK2024101810219</v>
      </c>
      <c r="C5935" s="1" t="str">
        <f>"DD2024101815871"</f>
        <v>DD2024101815871</v>
      </c>
      <c r="D5935" s="1" t="str">
        <f>"CK2024101810146"</f>
        <v>CK2024101810146</v>
      </c>
      <c r="E5935" s="1" t="str">
        <f>"6935176612029207840"</f>
        <v>6935176612029207840</v>
      </c>
      <c r="F5935" s="1" t="str">
        <f t="shared" si="1875"/>
        <v>花都四部-凤凰仓</v>
      </c>
      <c r="G5935" s="1" t="str">
        <f t="shared" si="1870"/>
        <v>卡卡杜个人护理店（抖店）</v>
      </c>
      <c r="H5935" s="1" t="str">
        <f t="shared" si="1876"/>
        <v>正常订单</v>
      </c>
      <c r="I5935" s="1" t="str">
        <f t="shared" si="1877"/>
        <v>已发货</v>
      </c>
      <c r="J5935" s="1" t="str">
        <f t="shared" si="1880"/>
        <v>3</v>
      </c>
      <c r="K5935" s="1">
        <v>3</v>
      </c>
      <c r="L5935" s="1" t="s">
        <v>30</v>
      </c>
      <c r="M5935" s="1" t="str">
        <f>"山东省 济南市 槐荫区 张庄街道"</f>
        <v>山东省 济南市 槐荫区 张庄街道</v>
      </c>
      <c r="N5935" s="1" t="str">
        <f t="shared" si="1878"/>
        <v>凡华云仓-韵达-抖音</v>
      </c>
      <c r="O5935" s="5">
        <v>320177488905179</v>
      </c>
      <c r="P5935" s="6">
        <v>0.34</v>
      </c>
      <c r="Q5935" s="11">
        <v>2.2999999999999998</v>
      </c>
      <c r="R5935" s="11"/>
      <c r="S5935" s="11"/>
      <c r="T5935" s="11"/>
      <c r="U5935" s="11">
        <f t="shared" si="1873"/>
        <v>2.2999999999999998</v>
      </c>
      <c r="W5935">
        <v>2.5</v>
      </c>
      <c r="X5935" s="1" t="s">
        <v>30</v>
      </c>
    </row>
    <row r="5936" spans="1:24" x14ac:dyDescent="0.25">
      <c r="A5936" s="1" t="str">
        <f t="shared" si="1874"/>
        <v>卡卡杜-凤凰仓</v>
      </c>
      <c r="B5936" s="1" t="str">
        <f>"CK2024101810220"</f>
        <v>CK2024101810220</v>
      </c>
      <c r="C5936" s="1" t="str">
        <f>"DD2024101815873"</f>
        <v>DD2024101815873</v>
      </c>
      <c r="D5936" s="1" t="str">
        <f>"CK2024101810145"</f>
        <v>CK2024101810145</v>
      </c>
      <c r="E5936" s="1" t="str">
        <f>"6935160944591181326"</f>
        <v>6935160944591181326</v>
      </c>
      <c r="F5936" s="1" t="str">
        <f t="shared" si="1875"/>
        <v>花都四部-凤凰仓</v>
      </c>
      <c r="G5936" s="1" t="str">
        <f t="shared" si="1870"/>
        <v>卡卡杜个人护理店（抖店）</v>
      </c>
      <c r="H5936" s="1" t="str">
        <f t="shared" si="1876"/>
        <v>正常订单</v>
      </c>
      <c r="I5936" s="1" t="str">
        <f t="shared" si="1877"/>
        <v>已发货</v>
      </c>
      <c r="J5936" s="1" t="str">
        <f t="shared" si="1880"/>
        <v>3</v>
      </c>
      <c r="K5936" s="1">
        <v>3</v>
      </c>
      <c r="L5936" s="1" t="s">
        <v>30</v>
      </c>
      <c r="M5936" s="1" t="str">
        <f>"山东省 菏泽市 鄄城县 "</f>
        <v xml:space="preserve">山东省 菏泽市 鄄城县 </v>
      </c>
      <c r="N5936" s="1" t="str">
        <f t="shared" si="1878"/>
        <v>凡华云仓-韵达-抖音</v>
      </c>
      <c r="O5936" s="5">
        <v>320177488905090</v>
      </c>
      <c r="P5936" s="6">
        <v>0.34</v>
      </c>
      <c r="Q5936" s="11">
        <v>2.2999999999999998</v>
      </c>
      <c r="R5936" s="11"/>
      <c r="S5936" s="11"/>
      <c r="T5936" s="11"/>
      <c r="U5936" s="11">
        <f t="shared" si="1873"/>
        <v>2.2999999999999998</v>
      </c>
      <c r="W5936">
        <v>2.5</v>
      </c>
      <c r="X5936" s="1" t="s">
        <v>30</v>
      </c>
    </row>
    <row r="5937" spans="1:24" x14ac:dyDescent="0.25">
      <c r="A5937" s="1" t="str">
        <f t="shared" si="1874"/>
        <v>卡卡杜-凤凰仓</v>
      </c>
      <c r="B5937" s="1" t="str">
        <f>"CK2024101810221"</f>
        <v>CK2024101810221</v>
      </c>
      <c r="C5937" s="1" t="str">
        <f>"DD2024101815876"</f>
        <v>DD2024101815876</v>
      </c>
      <c r="D5937" s="1" t="str">
        <f>"CK2024101810144"</f>
        <v>CK2024101810144</v>
      </c>
      <c r="E5937" s="1" t="str">
        <f>"6935158349476140407"</f>
        <v>6935158349476140407</v>
      </c>
      <c r="F5937" s="1" t="str">
        <f t="shared" si="1875"/>
        <v>花都四部-凤凰仓</v>
      </c>
      <c r="G5937" s="1" t="str">
        <f t="shared" si="1870"/>
        <v>卡卡杜个人护理店（抖店）</v>
      </c>
      <c r="H5937" s="1" t="str">
        <f t="shared" si="1876"/>
        <v>正常订单</v>
      </c>
      <c r="I5937" s="1" t="str">
        <f t="shared" si="1877"/>
        <v>已发货</v>
      </c>
      <c r="J5937" s="1" t="str">
        <f t="shared" si="1880"/>
        <v>3</v>
      </c>
      <c r="K5937" s="1">
        <v>3</v>
      </c>
      <c r="L5937" s="1" t="s">
        <v>30</v>
      </c>
      <c r="M5937" s="1" t="str">
        <f>"山东省 菏泽市 单县 时楼镇"</f>
        <v>山东省 菏泽市 单县 时楼镇</v>
      </c>
      <c r="N5937" s="1" t="str">
        <f t="shared" si="1878"/>
        <v>凡华云仓-韵达-抖音</v>
      </c>
      <c r="O5937" s="5">
        <v>320177488904966</v>
      </c>
      <c r="P5937" s="6">
        <v>0.34</v>
      </c>
      <c r="Q5937" s="11">
        <v>2.2999999999999998</v>
      </c>
      <c r="R5937" s="11"/>
      <c r="S5937" s="11"/>
      <c r="T5937" s="11"/>
      <c r="U5937" s="11">
        <f t="shared" si="1873"/>
        <v>2.2999999999999998</v>
      </c>
      <c r="W5937">
        <v>2.5</v>
      </c>
      <c r="X5937" s="1" t="s">
        <v>30</v>
      </c>
    </row>
    <row r="5938" spans="1:24" x14ac:dyDescent="0.25">
      <c r="A5938" s="1" t="str">
        <f t="shared" si="1874"/>
        <v>卡卡杜-凤凰仓</v>
      </c>
      <c r="B5938" s="1" t="str">
        <f>"CK2024101810626"</f>
        <v>CK2024101810626</v>
      </c>
      <c r="C5938" s="1" t="str">
        <f>"DD2024101816717"</f>
        <v>DD2024101816717</v>
      </c>
      <c r="D5938" s="1" t="str">
        <f>"CK2024101810143"</f>
        <v>CK2024101810143</v>
      </c>
      <c r="E5938" s="1" t="str">
        <f>"6935158411986867233"</f>
        <v>6935158411986867233</v>
      </c>
      <c r="F5938" s="1" t="str">
        <f t="shared" si="1875"/>
        <v>花都四部-凤凰仓</v>
      </c>
      <c r="G5938" s="1" t="str">
        <f t="shared" si="1870"/>
        <v>卡卡杜个人护理店（抖店）</v>
      </c>
      <c r="H5938" s="1" t="str">
        <f t="shared" si="1876"/>
        <v>正常订单</v>
      </c>
      <c r="I5938" s="1" t="str">
        <f t="shared" si="1877"/>
        <v>已发货</v>
      </c>
      <c r="J5938" s="1" t="str">
        <f t="shared" si="1880"/>
        <v>3</v>
      </c>
      <c r="K5938" s="1">
        <v>3</v>
      </c>
      <c r="L5938" s="1" t="s">
        <v>94</v>
      </c>
      <c r="M5938" s="1" t="str">
        <f>"湖南省 永州市 零陵区 "</f>
        <v xml:space="preserve">湖南省 永州市 零陵区 </v>
      </c>
      <c r="N5938" s="1" t="str">
        <f t="shared" si="1878"/>
        <v>凡华云仓-韵达-抖音</v>
      </c>
      <c r="O5938" s="5">
        <v>320177467898519</v>
      </c>
      <c r="P5938" s="6">
        <v>0.34</v>
      </c>
      <c r="Q5938" s="11">
        <v>2.2999999999999998</v>
      </c>
      <c r="R5938" s="11"/>
      <c r="S5938" s="11"/>
      <c r="T5938" s="11"/>
      <c r="U5938" s="11">
        <f t="shared" si="1873"/>
        <v>2.2999999999999998</v>
      </c>
      <c r="W5938">
        <v>2.5</v>
      </c>
      <c r="X5938" s="1" t="s">
        <v>94</v>
      </c>
    </row>
    <row r="5939" spans="1:24" x14ac:dyDescent="0.25">
      <c r="A5939" s="1" t="str">
        <f t="shared" si="1874"/>
        <v>卡卡杜-凤凰仓</v>
      </c>
      <c r="B5939" s="1" t="str">
        <f>"CK2024101810627"</f>
        <v>CK2024101810627</v>
      </c>
      <c r="C5939" s="1" t="str">
        <f>"DD2024101816715"</f>
        <v>DD2024101816715</v>
      </c>
      <c r="D5939" s="1" t="str">
        <f>"CK2024101810142"</f>
        <v>CK2024101810142</v>
      </c>
      <c r="E5939" s="1" t="str">
        <f>"6935174261137086365"</f>
        <v>6935174261137086365</v>
      </c>
      <c r="F5939" s="1" t="str">
        <f t="shared" si="1875"/>
        <v>花都四部-凤凰仓</v>
      </c>
      <c r="G5939" s="1" t="str">
        <f t="shared" si="1870"/>
        <v>卡卡杜个人护理店（抖店）</v>
      </c>
      <c r="H5939" s="1" t="str">
        <f t="shared" si="1876"/>
        <v>正常订单</v>
      </c>
      <c r="I5939" s="1" t="str">
        <f t="shared" si="1877"/>
        <v>已发货</v>
      </c>
      <c r="J5939" s="1" t="str">
        <f t="shared" si="1880"/>
        <v>3</v>
      </c>
      <c r="K5939" s="1">
        <v>3</v>
      </c>
      <c r="L5939" s="1" t="s">
        <v>30</v>
      </c>
      <c r="M5939" s="1" t="str">
        <f>"山东省 青岛市 城阳区 流亭街道"</f>
        <v>山东省 青岛市 城阳区 流亭街道</v>
      </c>
      <c r="N5939" s="1" t="str">
        <f t="shared" si="1878"/>
        <v>凡华云仓-韵达-抖音</v>
      </c>
      <c r="O5939" s="5">
        <v>320177467898422</v>
      </c>
      <c r="P5939" s="6">
        <v>0.34</v>
      </c>
      <c r="Q5939" s="11">
        <v>2.2999999999999998</v>
      </c>
      <c r="R5939" s="11"/>
      <c r="S5939" s="11"/>
      <c r="T5939" s="11"/>
      <c r="U5939" s="11">
        <f t="shared" si="1873"/>
        <v>2.2999999999999998</v>
      </c>
      <c r="W5939">
        <v>2.5</v>
      </c>
      <c r="X5939" s="1" t="s">
        <v>30</v>
      </c>
    </row>
    <row r="5940" spans="1:24" x14ac:dyDescent="0.25">
      <c r="A5940" s="1" t="str">
        <f t="shared" si="1874"/>
        <v>卡卡杜-凤凰仓</v>
      </c>
      <c r="B5940" s="1" t="str">
        <f>"CK2024101810222"</f>
        <v>CK2024101810222</v>
      </c>
      <c r="C5940" s="1" t="str">
        <f>"DD2024101815877"</f>
        <v>DD2024101815877</v>
      </c>
      <c r="D5940" s="1" t="str">
        <f>"CK2024101810141"</f>
        <v>CK2024101810141</v>
      </c>
      <c r="E5940" s="1" t="str">
        <f>"6935167372262250078"</f>
        <v>6935167372262250078</v>
      </c>
      <c r="F5940" s="1" t="str">
        <f t="shared" si="1875"/>
        <v>花都四部-凤凰仓</v>
      </c>
      <c r="G5940" s="1" t="str">
        <f t="shared" ref="G5940:G6003" si="1881">"卡卡杜个人护理店（抖店）"</f>
        <v>卡卡杜个人护理店（抖店）</v>
      </c>
      <c r="H5940" s="1" t="str">
        <f t="shared" si="1876"/>
        <v>正常订单</v>
      </c>
      <c r="I5940" s="1" t="str">
        <f t="shared" si="1877"/>
        <v>已发货</v>
      </c>
      <c r="J5940" s="1" t="str">
        <f t="shared" si="1880"/>
        <v>3</v>
      </c>
      <c r="K5940" s="1">
        <v>3</v>
      </c>
      <c r="L5940" s="1" t="s">
        <v>94</v>
      </c>
      <c r="M5940" s="1" t="str">
        <f>"湖南省 常德市 临澧县 安福街道"</f>
        <v>湖南省 常德市 临澧县 安福街道</v>
      </c>
      <c r="N5940" s="1" t="str">
        <f t="shared" si="1878"/>
        <v>凡华云仓-韵达-抖音</v>
      </c>
      <c r="O5940" s="5">
        <v>320177467898327</v>
      </c>
      <c r="P5940" s="6">
        <v>0.34</v>
      </c>
      <c r="Q5940" s="11">
        <v>2.2999999999999998</v>
      </c>
      <c r="R5940" s="11"/>
      <c r="S5940" s="11"/>
      <c r="T5940" s="11"/>
      <c r="U5940" s="11">
        <f t="shared" si="1873"/>
        <v>2.2999999999999998</v>
      </c>
      <c r="W5940">
        <v>2.5</v>
      </c>
      <c r="X5940" s="1" t="s">
        <v>94</v>
      </c>
    </row>
    <row r="5941" spans="1:24" x14ac:dyDescent="0.25">
      <c r="A5941" s="1" t="str">
        <f t="shared" si="1874"/>
        <v>卡卡杜-凤凰仓</v>
      </c>
      <c r="B5941" s="1" t="str">
        <f>"CK2024101810223"</f>
        <v>CK2024101810223</v>
      </c>
      <c r="C5941" s="1" t="str">
        <f>"DD2024101815884"</f>
        <v>DD2024101815884</v>
      </c>
      <c r="D5941" s="1" t="str">
        <f>"CK2024101810140"</f>
        <v>CK2024101810140</v>
      </c>
      <c r="E5941" s="1" t="str">
        <f>"6935153943703852792"</f>
        <v>6935153943703852792</v>
      </c>
      <c r="F5941" s="1" t="str">
        <f t="shared" si="1875"/>
        <v>花都四部-凤凰仓</v>
      </c>
      <c r="G5941" s="1" t="str">
        <f t="shared" si="1881"/>
        <v>卡卡杜个人护理店（抖店）</v>
      </c>
      <c r="H5941" s="1" t="str">
        <f t="shared" si="1876"/>
        <v>正常订单</v>
      </c>
      <c r="I5941" s="1" t="str">
        <f t="shared" si="1877"/>
        <v>已发货</v>
      </c>
      <c r="J5941" s="1" t="str">
        <f t="shared" si="1880"/>
        <v>3</v>
      </c>
      <c r="K5941" s="1">
        <v>3</v>
      </c>
      <c r="L5941" s="1" t="s">
        <v>36</v>
      </c>
      <c r="M5941" s="1" t="str">
        <f>"安徽省 淮北市 濉溪县 濉溪镇"</f>
        <v>安徽省 淮北市 濉溪县 濉溪镇</v>
      </c>
      <c r="N5941" s="1" t="str">
        <f t="shared" si="1878"/>
        <v>凡华云仓-韵达-抖音</v>
      </c>
      <c r="O5941" s="5">
        <v>320177467898234</v>
      </c>
      <c r="P5941" s="6">
        <v>0.34</v>
      </c>
      <c r="Q5941" s="11">
        <v>2.2999999999999998</v>
      </c>
      <c r="R5941" s="11"/>
      <c r="S5941" s="11"/>
      <c r="T5941" s="11"/>
      <c r="U5941" s="11">
        <f t="shared" si="1873"/>
        <v>2.2999999999999998</v>
      </c>
      <c r="W5941">
        <v>2.5</v>
      </c>
      <c r="X5941" s="1" t="s">
        <v>36</v>
      </c>
    </row>
    <row r="5942" spans="1:24" x14ac:dyDescent="0.25">
      <c r="A5942" s="1" t="str">
        <f t="shared" si="1874"/>
        <v>卡卡杜-凤凰仓</v>
      </c>
      <c r="B5942" s="1" t="str">
        <f>"CK2024101810628"</f>
        <v>CK2024101810628</v>
      </c>
      <c r="C5942" s="1" t="str">
        <f>"DD2024101816712"</f>
        <v>DD2024101816712</v>
      </c>
      <c r="D5942" s="1" t="str">
        <f>"CK2024101810139"</f>
        <v>CK2024101810139</v>
      </c>
      <c r="E5942" s="1" t="str">
        <f>"6935171999999137668"</f>
        <v>6935171999999137668</v>
      </c>
      <c r="F5942" s="1" t="str">
        <f t="shared" si="1875"/>
        <v>花都四部-凤凰仓</v>
      </c>
      <c r="G5942" s="1" t="str">
        <f t="shared" si="1881"/>
        <v>卡卡杜个人护理店（抖店）</v>
      </c>
      <c r="H5942" s="1" t="str">
        <f t="shared" si="1876"/>
        <v>正常订单</v>
      </c>
      <c r="I5942" s="1" t="str">
        <f t="shared" si="1877"/>
        <v>已发货</v>
      </c>
      <c r="J5942" s="1" t="str">
        <f t="shared" si="1880"/>
        <v>3</v>
      </c>
      <c r="K5942" s="1">
        <v>3</v>
      </c>
      <c r="L5942" s="1" t="s">
        <v>24</v>
      </c>
      <c r="M5942" s="1" t="str">
        <f>"福建省 泉州市 晋江市 池店镇"</f>
        <v>福建省 泉州市 晋江市 池店镇</v>
      </c>
      <c r="N5942" s="1" t="str">
        <f t="shared" si="1878"/>
        <v>凡华云仓-韵达-抖音</v>
      </c>
      <c r="O5942" s="5">
        <v>320177467898143</v>
      </c>
      <c r="P5942" s="6">
        <v>0.34</v>
      </c>
      <c r="Q5942" s="11">
        <v>2.2999999999999998</v>
      </c>
      <c r="R5942" s="11"/>
      <c r="S5942" s="11"/>
      <c r="T5942" s="11"/>
      <c r="U5942" s="11">
        <f t="shared" si="1873"/>
        <v>2.2999999999999998</v>
      </c>
      <c r="W5942">
        <v>2.5</v>
      </c>
      <c r="X5942" s="1" t="s">
        <v>24</v>
      </c>
    </row>
    <row r="5943" spans="1:24" x14ac:dyDescent="0.25">
      <c r="A5943" s="1" t="str">
        <f t="shared" si="1874"/>
        <v>卡卡杜-凤凰仓</v>
      </c>
      <c r="B5943" s="1" t="str">
        <f>"CK2024101810224"</f>
        <v>CK2024101810224</v>
      </c>
      <c r="C5943" s="1" t="str">
        <f>"DD2024101815882"</f>
        <v>DD2024101815882</v>
      </c>
      <c r="D5943" s="1" t="str">
        <f>"CK2024101810138"</f>
        <v>CK2024101810138</v>
      </c>
      <c r="E5943" s="1" t="str">
        <f>"6935165062912284081"</f>
        <v>6935165062912284081</v>
      </c>
      <c r="F5943" s="1" t="str">
        <f t="shared" si="1875"/>
        <v>花都四部-凤凰仓</v>
      </c>
      <c r="G5943" s="1" t="str">
        <f t="shared" si="1881"/>
        <v>卡卡杜个人护理店（抖店）</v>
      </c>
      <c r="H5943" s="1" t="str">
        <f t="shared" si="1876"/>
        <v>正常订单</v>
      </c>
      <c r="I5943" s="1" t="str">
        <f t="shared" si="1877"/>
        <v>已发货</v>
      </c>
      <c r="J5943" s="1" t="str">
        <f t="shared" si="1880"/>
        <v>3</v>
      </c>
      <c r="K5943" s="1">
        <v>3</v>
      </c>
      <c r="L5943" s="1" t="s">
        <v>27</v>
      </c>
      <c r="M5943" s="1" t="str">
        <f>"贵州省 毕节市 七星关区 市东街道"</f>
        <v>贵州省 毕节市 七星关区 市东街道</v>
      </c>
      <c r="N5943" s="1" t="str">
        <f t="shared" si="1878"/>
        <v>凡华云仓-韵达-抖音</v>
      </c>
      <c r="O5943" s="5">
        <v>320177467898054</v>
      </c>
      <c r="P5943" s="6">
        <v>0.34</v>
      </c>
      <c r="Q5943" s="11">
        <v>2.2999999999999998</v>
      </c>
      <c r="R5943" s="11"/>
      <c r="S5943" s="11"/>
      <c r="T5943" s="11"/>
      <c r="U5943" s="11">
        <f t="shared" si="1873"/>
        <v>2.2999999999999998</v>
      </c>
      <c r="W5943">
        <v>2.5</v>
      </c>
      <c r="X5943" s="1" t="s">
        <v>27</v>
      </c>
    </row>
    <row r="5944" spans="1:24" x14ac:dyDescent="0.25">
      <c r="A5944" s="1" t="str">
        <f t="shared" si="1874"/>
        <v>卡卡杜-凤凰仓</v>
      </c>
      <c r="B5944" s="1" t="str">
        <f>"CK2024101810629"</f>
        <v>CK2024101810629</v>
      </c>
      <c r="C5944" s="1" t="str">
        <f>"DD2024101816714"</f>
        <v>DD2024101816714</v>
      </c>
      <c r="D5944" s="1" t="str">
        <f>"CK2024101810137"</f>
        <v>CK2024101810137</v>
      </c>
      <c r="E5944" s="1" t="str">
        <f>"6935156154172380367"</f>
        <v>6935156154172380367</v>
      </c>
      <c r="F5944" s="1" t="str">
        <f t="shared" si="1875"/>
        <v>花都四部-凤凰仓</v>
      </c>
      <c r="G5944" s="1" t="str">
        <f t="shared" si="1881"/>
        <v>卡卡杜个人护理店（抖店）</v>
      </c>
      <c r="H5944" s="1" t="str">
        <f t="shared" si="1876"/>
        <v>正常订单</v>
      </c>
      <c r="I5944" s="1" t="str">
        <f t="shared" si="1877"/>
        <v>已发货</v>
      </c>
      <c r="J5944" s="1" t="str">
        <f t="shared" si="1880"/>
        <v>3</v>
      </c>
      <c r="K5944" s="1">
        <v>3</v>
      </c>
      <c r="L5944" s="1" t="s">
        <v>36</v>
      </c>
      <c r="M5944" s="1" t="str">
        <f>"安徽省 滁州市 南谯区 沙河镇"</f>
        <v>安徽省 滁州市 南谯区 沙河镇</v>
      </c>
      <c r="N5944" s="1" t="str">
        <f t="shared" si="1878"/>
        <v>凡华云仓-韵达-抖音</v>
      </c>
      <c r="O5944" s="5">
        <v>320177467897924</v>
      </c>
      <c r="P5944" s="6">
        <v>0.34</v>
      </c>
      <c r="Q5944" s="11">
        <v>2.2999999999999998</v>
      </c>
      <c r="R5944" s="11"/>
      <c r="S5944" s="11"/>
      <c r="T5944" s="11"/>
      <c r="U5944" s="11">
        <f t="shared" si="1873"/>
        <v>2.2999999999999998</v>
      </c>
      <c r="W5944">
        <v>2.5</v>
      </c>
      <c r="X5944" s="1" t="s">
        <v>36</v>
      </c>
    </row>
    <row r="5945" spans="1:24" x14ac:dyDescent="0.25">
      <c r="A5945" s="1" t="str">
        <f t="shared" si="1874"/>
        <v>卡卡杜-凤凰仓</v>
      </c>
      <c r="B5945" s="1" t="str">
        <f>"CK2024101810225"</f>
        <v>CK2024101810225</v>
      </c>
      <c r="C5945" s="1" t="str">
        <f>"DD2024101815886"</f>
        <v>DD2024101815886</v>
      </c>
      <c r="D5945" s="1" t="str">
        <f>"CK2024101810136"</f>
        <v>CK2024101810136</v>
      </c>
      <c r="E5945" s="1" t="str">
        <f>"6935140981907330300"</f>
        <v>6935140981907330300</v>
      </c>
      <c r="F5945" s="1" t="str">
        <f t="shared" si="1875"/>
        <v>花都四部-凤凰仓</v>
      </c>
      <c r="G5945" s="1" t="str">
        <f t="shared" si="1881"/>
        <v>卡卡杜个人护理店（抖店）</v>
      </c>
      <c r="H5945" s="1" t="str">
        <f t="shared" si="1876"/>
        <v>正常订单</v>
      </c>
      <c r="I5945" s="1" t="str">
        <f t="shared" si="1877"/>
        <v>已发货</v>
      </c>
      <c r="J5945" s="1" t="str">
        <f t="shared" si="1880"/>
        <v>3</v>
      </c>
      <c r="K5945" s="1">
        <v>3</v>
      </c>
      <c r="L5945" s="1" t="s">
        <v>30</v>
      </c>
      <c r="M5945" s="1" t="str">
        <f>"山东省 聊城市 茌平区 乐平铺镇"</f>
        <v>山东省 聊城市 茌平区 乐平铺镇</v>
      </c>
      <c r="N5945" s="1" t="str">
        <f t="shared" si="1878"/>
        <v>凡华云仓-韵达-抖音</v>
      </c>
      <c r="O5945" s="5">
        <v>320177467897819</v>
      </c>
      <c r="P5945" s="6">
        <v>0.34</v>
      </c>
      <c r="Q5945" s="11">
        <v>2.2999999999999998</v>
      </c>
      <c r="R5945" s="11"/>
      <c r="S5945" s="11"/>
      <c r="T5945" s="11"/>
      <c r="U5945" s="11">
        <f t="shared" si="1873"/>
        <v>2.2999999999999998</v>
      </c>
      <c r="W5945">
        <v>2.5</v>
      </c>
      <c r="X5945" s="1" t="s">
        <v>30</v>
      </c>
    </row>
    <row r="5946" spans="1:24" x14ac:dyDescent="0.25">
      <c r="A5946" s="1" t="str">
        <f t="shared" si="1874"/>
        <v>卡卡杜-凤凰仓</v>
      </c>
      <c r="B5946" s="1" t="str">
        <f>"CK2024101810226"</f>
        <v>CK2024101810226</v>
      </c>
      <c r="C5946" s="1" t="str">
        <f>"DD2024101815887"</f>
        <v>DD2024101815887</v>
      </c>
      <c r="D5946" s="1" t="str">
        <f>"CK2024101810135"</f>
        <v>CK2024101810135</v>
      </c>
      <c r="E5946" s="1" t="str">
        <f>"6935147364890056672"</f>
        <v>6935147364890056672</v>
      </c>
      <c r="F5946" s="1" t="str">
        <f t="shared" si="1875"/>
        <v>花都四部-凤凰仓</v>
      </c>
      <c r="G5946" s="1" t="str">
        <f t="shared" si="1881"/>
        <v>卡卡杜个人护理店（抖店）</v>
      </c>
      <c r="H5946" s="1" t="str">
        <f t="shared" si="1876"/>
        <v>正常订单</v>
      </c>
      <c r="I5946" s="1" t="str">
        <f t="shared" si="1877"/>
        <v>已发货</v>
      </c>
      <c r="J5946" s="1" t="str">
        <f t="shared" si="1880"/>
        <v>3</v>
      </c>
      <c r="K5946" s="1">
        <v>3</v>
      </c>
      <c r="L5946" s="1" t="s">
        <v>36</v>
      </c>
      <c r="M5946" s="1" t="str">
        <f>"安徽省 合肥市 庐阳区 双岗街道"</f>
        <v>安徽省 合肥市 庐阳区 双岗街道</v>
      </c>
      <c r="N5946" s="1" t="str">
        <f t="shared" si="1878"/>
        <v>凡华云仓-韵达-抖音</v>
      </c>
      <c r="O5946" s="5">
        <v>320177467897716</v>
      </c>
      <c r="P5946" s="6">
        <v>0.34</v>
      </c>
      <c r="Q5946" s="11">
        <v>2.2999999999999998</v>
      </c>
      <c r="R5946" s="11"/>
      <c r="S5946" s="11"/>
      <c r="T5946" s="11"/>
      <c r="U5946" s="11">
        <f t="shared" si="1873"/>
        <v>2.2999999999999998</v>
      </c>
      <c r="W5946">
        <v>2.5</v>
      </c>
      <c r="X5946" s="1" t="s">
        <v>36</v>
      </c>
    </row>
    <row r="5947" spans="1:24" x14ac:dyDescent="0.25">
      <c r="A5947" s="1" t="str">
        <f t="shared" si="1874"/>
        <v>卡卡杜-凤凰仓</v>
      </c>
      <c r="B5947" s="1" t="str">
        <f>"CK2024101810227"</f>
        <v>CK2024101810227</v>
      </c>
      <c r="C5947" s="1" t="str">
        <f>"DD2024101815888"</f>
        <v>DD2024101815888</v>
      </c>
      <c r="D5947" s="1" t="str">
        <f>"CK2024101810134"</f>
        <v>CK2024101810134</v>
      </c>
      <c r="E5947" s="1" t="str">
        <f>"6935151574292501748"</f>
        <v>6935151574292501748</v>
      </c>
      <c r="F5947" s="1" t="str">
        <f t="shared" si="1875"/>
        <v>花都四部-凤凰仓</v>
      </c>
      <c r="G5947" s="1" t="str">
        <f t="shared" si="1881"/>
        <v>卡卡杜个人护理店（抖店）</v>
      </c>
      <c r="H5947" s="1" t="str">
        <f t="shared" si="1876"/>
        <v>正常订单</v>
      </c>
      <c r="I5947" s="1" t="str">
        <f t="shared" si="1877"/>
        <v>已发货</v>
      </c>
      <c r="J5947" s="1" t="str">
        <f t="shared" si="1880"/>
        <v>3</v>
      </c>
      <c r="K5947" s="1">
        <v>3</v>
      </c>
      <c r="L5947" s="1" t="s">
        <v>13</v>
      </c>
      <c r="M5947" s="1" t="str">
        <f>"江苏省 宿迁市 宿城区 "</f>
        <v xml:space="preserve">江苏省 宿迁市 宿城区 </v>
      </c>
      <c r="N5947" s="1" t="str">
        <f t="shared" si="1878"/>
        <v>凡华云仓-韵达-抖音</v>
      </c>
      <c r="O5947" s="5">
        <v>320177467897615</v>
      </c>
      <c r="P5947" s="6">
        <v>0.34</v>
      </c>
      <c r="Q5947" s="11">
        <v>2.2999999999999998</v>
      </c>
      <c r="R5947" s="11"/>
      <c r="S5947" s="11"/>
      <c r="T5947" s="11"/>
      <c r="U5947" s="11">
        <f t="shared" si="1873"/>
        <v>2.2999999999999998</v>
      </c>
      <c r="W5947">
        <v>2.5</v>
      </c>
      <c r="X5947" s="1" t="s">
        <v>13</v>
      </c>
    </row>
    <row r="5948" spans="1:24" x14ac:dyDescent="0.25">
      <c r="A5948" s="1" t="str">
        <f t="shared" si="1874"/>
        <v>卡卡杜-凤凰仓</v>
      </c>
      <c r="B5948" s="1" t="str">
        <f>"CK2024101810228"</f>
        <v>CK2024101810228</v>
      </c>
      <c r="C5948" s="1" t="str">
        <f>"DD2024101815894"</f>
        <v>DD2024101815894</v>
      </c>
      <c r="D5948" s="1" t="str">
        <f>"CK2024101810133"</f>
        <v>CK2024101810133</v>
      </c>
      <c r="E5948" s="1" t="str">
        <f>"6935165072798127841"</f>
        <v>6935165072798127841</v>
      </c>
      <c r="F5948" s="1" t="str">
        <f t="shared" si="1875"/>
        <v>花都四部-凤凰仓</v>
      </c>
      <c r="G5948" s="1" t="str">
        <f t="shared" si="1881"/>
        <v>卡卡杜个人护理店（抖店）</v>
      </c>
      <c r="H5948" s="1" t="str">
        <f t="shared" si="1876"/>
        <v>正常订单</v>
      </c>
      <c r="I5948" s="1" t="str">
        <f t="shared" si="1877"/>
        <v>已发货</v>
      </c>
      <c r="J5948" s="1" t="str">
        <f t="shared" si="1880"/>
        <v>3</v>
      </c>
      <c r="K5948" s="1">
        <v>3</v>
      </c>
      <c r="L5948" s="1" t="s">
        <v>30</v>
      </c>
      <c r="M5948" s="1" t="str">
        <f>"山东省 滨州市 惠民县 何坊街道"</f>
        <v>山东省 滨州市 惠民县 何坊街道</v>
      </c>
      <c r="N5948" s="1" t="str">
        <f t="shared" si="1878"/>
        <v>凡华云仓-韵达-抖音</v>
      </c>
      <c r="O5948" s="5">
        <v>320177488904861</v>
      </c>
      <c r="P5948" s="6">
        <v>0.34</v>
      </c>
      <c r="Q5948" s="11">
        <v>2.2999999999999998</v>
      </c>
      <c r="R5948" s="11"/>
      <c r="S5948" s="11"/>
      <c r="T5948" s="11"/>
      <c r="U5948" s="11">
        <f t="shared" si="1873"/>
        <v>2.2999999999999998</v>
      </c>
      <c r="W5948">
        <v>2.5</v>
      </c>
      <c r="X5948" s="1" t="s">
        <v>30</v>
      </c>
    </row>
    <row r="5949" spans="1:24" x14ac:dyDescent="0.25">
      <c r="A5949" s="1" t="str">
        <f t="shared" si="1874"/>
        <v>卡卡杜-凤凰仓</v>
      </c>
      <c r="B5949" s="1" t="str">
        <f>"CK2024101810229"</f>
        <v>CK2024101810229</v>
      </c>
      <c r="C5949" s="1" t="str">
        <f>"DD2024101815896"</f>
        <v>DD2024101815896</v>
      </c>
      <c r="D5949" s="1" t="str">
        <f>"CK2024101810132"</f>
        <v>CK2024101810132</v>
      </c>
      <c r="E5949" s="1" t="str">
        <f>"6935160852665668892"</f>
        <v>6935160852665668892</v>
      </c>
      <c r="F5949" s="1" t="str">
        <f t="shared" si="1875"/>
        <v>花都四部-凤凰仓</v>
      </c>
      <c r="G5949" s="1" t="str">
        <f t="shared" si="1881"/>
        <v>卡卡杜个人护理店（抖店）</v>
      </c>
      <c r="H5949" s="1" t="str">
        <f t="shared" si="1876"/>
        <v>正常订单</v>
      </c>
      <c r="I5949" s="1" t="str">
        <f t="shared" si="1877"/>
        <v>已发货</v>
      </c>
      <c r="J5949" s="1" t="str">
        <f t="shared" si="1880"/>
        <v>3</v>
      </c>
      <c r="K5949" s="1">
        <v>3</v>
      </c>
      <c r="L5949" s="1" t="s">
        <v>18</v>
      </c>
      <c r="M5949" s="1" t="str">
        <f>"广东省 肇庆市 端州区 城东街道"</f>
        <v>广东省 肇庆市 端州区 城东街道</v>
      </c>
      <c r="N5949" s="1" t="str">
        <f t="shared" si="1878"/>
        <v>凡华云仓-韵达-抖音</v>
      </c>
      <c r="O5949" s="5">
        <v>320177492522094</v>
      </c>
      <c r="P5949" s="6">
        <v>0.34</v>
      </c>
      <c r="Q5949" s="11">
        <v>2.2999999999999998</v>
      </c>
      <c r="R5949" s="11"/>
      <c r="S5949" s="11"/>
      <c r="T5949" s="11"/>
      <c r="U5949" s="11">
        <f t="shared" si="1873"/>
        <v>2.2999999999999998</v>
      </c>
      <c r="W5949">
        <v>2.5</v>
      </c>
      <c r="X5949" s="1" t="s">
        <v>18</v>
      </c>
    </row>
    <row r="5950" spans="1:24" x14ac:dyDescent="0.25">
      <c r="A5950" s="1" t="str">
        <f t="shared" si="1874"/>
        <v>卡卡杜-凤凰仓</v>
      </c>
      <c r="B5950" s="1" t="str">
        <f>"CK2024101810230"</f>
        <v>CK2024101810230</v>
      </c>
      <c r="C5950" s="1" t="str">
        <f>"DD2024101815904"</f>
        <v>DD2024101815904</v>
      </c>
      <c r="D5950" s="1" t="str">
        <f>"CK2024101810131"</f>
        <v>CK2024101810131</v>
      </c>
      <c r="E5950" s="1" t="str">
        <f>"6935156207582123130"</f>
        <v>6935156207582123130</v>
      </c>
      <c r="F5950" s="1" t="str">
        <f t="shared" si="1875"/>
        <v>花都四部-凤凰仓</v>
      </c>
      <c r="G5950" s="1" t="str">
        <f t="shared" si="1881"/>
        <v>卡卡杜个人护理店（抖店）</v>
      </c>
      <c r="H5950" s="1" t="str">
        <f t="shared" si="1876"/>
        <v>正常订单</v>
      </c>
      <c r="I5950" s="1" t="str">
        <f t="shared" si="1877"/>
        <v>已发货</v>
      </c>
      <c r="J5950" s="1" t="str">
        <f t="shared" si="1880"/>
        <v>3</v>
      </c>
      <c r="K5950" s="1">
        <v>3</v>
      </c>
      <c r="L5950" s="1" t="s">
        <v>41</v>
      </c>
      <c r="M5950" s="1" t="str">
        <f>"湖北省 随州市 广水市 应山街道"</f>
        <v>湖北省 随州市 广水市 应山街道</v>
      </c>
      <c r="N5950" s="1" t="str">
        <f t="shared" si="1878"/>
        <v>凡华云仓-韵达-抖音</v>
      </c>
      <c r="O5950" s="5">
        <v>320177492521976</v>
      </c>
      <c r="P5950" s="6">
        <v>0.34</v>
      </c>
      <c r="Q5950" s="11">
        <v>2.2999999999999998</v>
      </c>
      <c r="R5950" s="11"/>
      <c r="S5950" s="11"/>
      <c r="T5950" s="11"/>
      <c r="U5950" s="11">
        <f t="shared" si="1873"/>
        <v>2.2999999999999998</v>
      </c>
      <c r="W5950">
        <v>2.5</v>
      </c>
      <c r="X5950" s="1" t="s">
        <v>41</v>
      </c>
    </row>
    <row r="5951" spans="1:24" x14ac:dyDescent="0.25">
      <c r="A5951" s="1" t="str">
        <f t="shared" si="1874"/>
        <v>卡卡杜-凤凰仓</v>
      </c>
      <c r="B5951" s="1" t="str">
        <f>"CK2024101810233"</f>
        <v>CK2024101810233</v>
      </c>
      <c r="C5951" s="1" t="str">
        <f>"DD2024101815907"</f>
        <v>DD2024101815907</v>
      </c>
      <c r="D5951" s="1" t="str">
        <f>"CK2024101810130"</f>
        <v>CK2024101810130</v>
      </c>
      <c r="E5951" s="1" t="str">
        <f>"6935149769485784168"</f>
        <v>6935149769485784168</v>
      </c>
      <c r="F5951" s="1" t="str">
        <f t="shared" si="1875"/>
        <v>花都四部-凤凰仓</v>
      </c>
      <c r="G5951" s="1" t="str">
        <f t="shared" si="1881"/>
        <v>卡卡杜个人护理店（抖店）</v>
      </c>
      <c r="H5951" s="1" t="str">
        <f t="shared" si="1876"/>
        <v>正常订单</v>
      </c>
      <c r="I5951" s="1" t="str">
        <f t="shared" si="1877"/>
        <v>已发货</v>
      </c>
      <c r="J5951" s="1" t="str">
        <f t="shared" si="1880"/>
        <v>3</v>
      </c>
      <c r="K5951" s="1">
        <v>3</v>
      </c>
      <c r="L5951" s="1" t="s">
        <v>36</v>
      </c>
      <c r="M5951" s="1" t="str">
        <f>"安徽省 合肥市 包河区 骆岗街道"</f>
        <v>安徽省 合肥市 包河区 骆岗街道</v>
      </c>
      <c r="N5951" s="1" t="str">
        <f t="shared" si="1878"/>
        <v>凡华云仓-韵达-抖音</v>
      </c>
      <c r="O5951" s="5">
        <v>320177492521871</v>
      </c>
      <c r="P5951" s="6">
        <v>0.34</v>
      </c>
      <c r="Q5951" s="11">
        <v>2.2999999999999998</v>
      </c>
      <c r="R5951" s="11"/>
      <c r="S5951" s="11"/>
      <c r="T5951" s="11"/>
      <c r="U5951" s="11">
        <f t="shared" si="1873"/>
        <v>2.2999999999999998</v>
      </c>
      <c r="W5951">
        <v>2.5</v>
      </c>
      <c r="X5951" s="1" t="s">
        <v>36</v>
      </c>
    </row>
    <row r="5952" spans="1:24" x14ac:dyDescent="0.25">
      <c r="A5952" s="1" t="str">
        <f t="shared" si="1874"/>
        <v>卡卡杜-凤凰仓</v>
      </c>
      <c r="B5952" s="1" t="str">
        <f>"CK2024101810232"</f>
        <v>CK2024101810232</v>
      </c>
      <c r="C5952" s="1" t="str">
        <f>"DD2024101815908"</f>
        <v>DD2024101815908</v>
      </c>
      <c r="D5952" s="1" t="str">
        <f>"CK2024101810129"</f>
        <v>CK2024101810129</v>
      </c>
      <c r="E5952" s="1" t="str">
        <f>"6935149860610643714"</f>
        <v>6935149860610643714</v>
      </c>
      <c r="F5952" s="1" t="str">
        <f t="shared" si="1875"/>
        <v>花都四部-凤凰仓</v>
      </c>
      <c r="G5952" s="1" t="str">
        <f t="shared" si="1881"/>
        <v>卡卡杜个人护理店（抖店）</v>
      </c>
      <c r="H5952" s="1" t="str">
        <f t="shared" si="1876"/>
        <v>正常订单</v>
      </c>
      <c r="I5952" s="1" t="str">
        <f t="shared" si="1877"/>
        <v>已发货</v>
      </c>
      <c r="J5952" s="1" t="str">
        <f t="shared" si="1880"/>
        <v>3</v>
      </c>
      <c r="K5952" s="1">
        <v>3</v>
      </c>
      <c r="L5952" s="1" t="s">
        <v>80</v>
      </c>
      <c r="M5952" s="1" t="str">
        <f>"河南省 南阳市 南召县 城关镇"</f>
        <v>河南省 南阳市 南召县 城关镇</v>
      </c>
      <c r="N5952" s="1" t="str">
        <f t="shared" si="1878"/>
        <v>凡华云仓-韵达-抖音</v>
      </c>
      <c r="O5952" s="5">
        <v>320177492521768</v>
      </c>
      <c r="P5952" s="6">
        <v>0.34</v>
      </c>
      <c r="Q5952" s="11">
        <v>2.2999999999999998</v>
      </c>
      <c r="R5952" s="11"/>
      <c r="S5952" s="11"/>
      <c r="T5952" s="11"/>
      <c r="U5952" s="11">
        <f t="shared" si="1873"/>
        <v>2.2999999999999998</v>
      </c>
      <c r="W5952">
        <v>2.5</v>
      </c>
      <c r="X5952" s="1" t="s">
        <v>80</v>
      </c>
    </row>
    <row r="5953" spans="1:24" x14ac:dyDescent="0.25">
      <c r="A5953" s="1" t="str">
        <f t="shared" si="1874"/>
        <v>卡卡杜-凤凰仓</v>
      </c>
      <c r="B5953" s="1" t="str">
        <f>"CK2024101810231"</f>
        <v>CK2024101810231</v>
      </c>
      <c r="C5953" s="1" t="str">
        <f>"DD2024101815903"</f>
        <v>DD2024101815903</v>
      </c>
      <c r="D5953" s="1" t="str">
        <f>"CK2024101810128"</f>
        <v>CK2024101810128</v>
      </c>
      <c r="E5953" s="1" t="str">
        <f>"6935160819882660864"</f>
        <v>6935160819882660864</v>
      </c>
      <c r="F5953" s="1" t="str">
        <f t="shared" si="1875"/>
        <v>花都四部-凤凰仓</v>
      </c>
      <c r="G5953" s="1" t="str">
        <f t="shared" si="1881"/>
        <v>卡卡杜个人护理店（抖店）</v>
      </c>
      <c r="H5953" s="1" t="str">
        <f t="shared" si="1876"/>
        <v>正常订单</v>
      </c>
      <c r="I5953" s="1" t="str">
        <f t="shared" si="1877"/>
        <v>已发货</v>
      </c>
      <c r="J5953" s="1" t="str">
        <f t="shared" si="1880"/>
        <v>3</v>
      </c>
      <c r="K5953" s="1">
        <v>3</v>
      </c>
      <c r="L5953" s="1" t="s">
        <v>18</v>
      </c>
      <c r="M5953" s="1" t="str">
        <f>"广东省 东莞市 东莞市 桥头镇"</f>
        <v>广东省 东莞市 东莞市 桥头镇</v>
      </c>
      <c r="N5953" s="1" t="str">
        <f t="shared" si="1878"/>
        <v>凡华云仓-韵达-抖音</v>
      </c>
      <c r="O5953" s="5">
        <v>320177492521667</v>
      </c>
      <c r="P5953" s="6">
        <v>0.34</v>
      </c>
      <c r="Q5953" s="11">
        <v>2.2999999999999998</v>
      </c>
      <c r="R5953" s="11"/>
      <c r="S5953" s="11"/>
      <c r="T5953" s="11"/>
      <c r="U5953" s="11">
        <f t="shared" si="1873"/>
        <v>2.2999999999999998</v>
      </c>
      <c r="W5953">
        <v>2.5</v>
      </c>
      <c r="X5953" s="1" t="s">
        <v>18</v>
      </c>
    </row>
    <row r="5954" spans="1:24" x14ac:dyDescent="0.25">
      <c r="A5954" s="1" t="str">
        <f t="shared" si="1874"/>
        <v>卡卡杜-凤凰仓</v>
      </c>
      <c r="B5954" s="1" t="str">
        <f>"CK2024101810630"</f>
        <v>CK2024101810630</v>
      </c>
      <c r="C5954" s="1" t="str">
        <f>"DD2024101816716"</f>
        <v>DD2024101816716</v>
      </c>
      <c r="D5954" s="1" t="str">
        <f>"CK2024101810127"</f>
        <v>CK2024101810127</v>
      </c>
      <c r="E5954" s="1" t="str">
        <f>"6935169779655775584"</f>
        <v>6935169779655775584</v>
      </c>
      <c r="F5954" s="1" t="str">
        <f t="shared" si="1875"/>
        <v>花都四部-凤凰仓</v>
      </c>
      <c r="G5954" s="1" t="str">
        <f t="shared" si="1881"/>
        <v>卡卡杜个人护理店（抖店）</v>
      </c>
      <c r="H5954" s="1" t="str">
        <f t="shared" si="1876"/>
        <v>正常订单</v>
      </c>
      <c r="I5954" s="1" t="str">
        <f t="shared" si="1877"/>
        <v>已发货</v>
      </c>
      <c r="J5954" s="1" t="str">
        <f t="shared" si="1880"/>
        <v>3</v>
      </c>
      <c r="K5954" s="1">
        <v>3</v>
      </c>
      <c r="L5954" s="1" t="s">
        <v>20</v>
      </c>
      <c r="M5954" s="1" t="str">
        <f>"浙江省 宁波市 镇海区 骆驼街道"</f>
        <v>浙江省 宁波市 镇海区 骆驼街道</v>
      </c>
      <c r="N5954" s="1" t="str">
        <f t="shared" si="1878"/>
        <v>凡华云仓-韵达-抖音</v>
      </c>
      <c r="O5954" s="5">
        <v>320177492521568</v>
      </c>
      <c r="P5954" s="6">
        <v>0.34</v>
      </c>
      <c r="Q5954" s="11">
        <v>2.2999999999999998</v>
      </c>
      <c r="R5954" s="11"/>
      <c r="S5954" s="11"/>
      <c r="T5954" s="11"/>
      <c r="U5954" s="11">
        <f t="shared" si="1873"/>
        <v>2.2999999999999998</v>
      </c>
      <c r="W5954">
        <v>2.5</v>
      </c>
      <c r="X5954" s="1" t="s">
        <v>20</v>
      </c>
    </row>
    <row r="5955" spans="1:24" x14ac:dyDescent="0.25">
      <c r="A5955" s="1" t="str">
        <f t="shared" si="1874"/>
        <v>卡卡杜-凤凰仓</v>
      </c>
      <c r="B5955" s="1" t="str">
        <f>"CK2024101810234"</f>
        <v>CK2024101810234</v>
      </c>
      <c r="C5955" s="1" t="str">
        <f>"DD2024101815912"</f>
        <v>DD2024101815912</v>
      </c>
      <c r="D5955" s="1" t="str">
        <f>"CK2024101810126"</f>
        <v>CK2024101810126</v>
      </c>
      <c r="E5955" s="1" t="str">
        <f>"6935151483242223435"</f>
        <v>6935151483242223435</v>
      </c>
      <c r="F5955" s="1" t="str">
        <f t="shared" si="1875"/>
        <v>花都四部-凤凰仓</v>
      </c>
      <c r="G5955" s="1" t="str">
        <f t="shared" si="1881"/>
        <v>卡卡杜个人护理店（抖店）</v>
      </c>
      <c r="H5955" s="1" t="str">
        <f t="shared" si="1876"/>
        <v>正常订单</v>
      </c>
      <c r="I5955" s="1" t="str">
        <f t="shared" si="1877"/>
        <v>已发货</v>
      </c>
      <c r="J5955" s="1" t="str">
        <f t="shared" si="1880"/>
        <v>3</v>
      </c>
      <c r="K5955" s="1">
        <v>3</v>
      </c>
      <c r="L5955" s="1" t="s">
        <v>30</v>
      </c>
      <c r="M5955" s="1" t="str">
        <f>"山东省 潍坊市 潍城区 "</f>
        <v xml:space="preserve">山东省 潍坊市 潍城区 </v>
      </c>
      <c r="N5955" s="1" t="str">
        <f t="shared" si="1878"/>
        <v>凡华云仓-韵达-抖音</v>
      </c>
      <c r="O5955" s="5">
        <v>320177492521471</v>
      </c>
      <c r="P5955" s="6">
        <v>0.34</v>
      </c>
      <c r="Q5955" s="11">
        <v>2.2999999999999998</v>
      </c>
      <c r="R5955" s="11"/>
      <c r="S5955" s="11"/>
      <c r="T5955" s="11"/>
      <c r="U5955" s="11">
        <f t="shared" ref="U5955:U6018" si="1882">T5955+S5955+R5955+Q5955</f>
        <v>2.2999999999999998</v>
      </c>
      <c r="W5955">
        <v>2.5</v>
      </c>
      <c r="X5955" s="1" t="s">
        <v>30</v>
      </c>
    </row>
    <row r="5956" spans="1:24" x14ac:dyDescent="0.25">
      <c r="A5956" s="1" t="str">
        <f t="shared" si="1874"/>
        <v>卡卡杜-凤凰仓</v>
      </c>
      <c r="B5956" s="1" t="str">
        <f>"CK2024101810235"</f>
        <v>CK2024101810235</v>
      </c>
      <c r="C5956" s="1" t="str">
        <f>"DD2024101815911"</f>
        <v>DD2024101815911</v>
      </c>
      <c r="D5956" s="1" t="str">
        <f>"CK2024101810125"</f>
        <v>CK2024101810125</v>
      </c>
      <c r="E5956" s="1" t="str">
        <f>"6935176616862553747"</f>
        <v>6935176616862553747</v>
      </c>
      <c r="F5956" s="1" t="str">
        <f t="shared" si="1875"/>
        <v>花都四部-凤凰仓</v>
      </c>
      <c r="G5956" s="1" t="str">
        <f t="shared" si="1881"/>
        <v>卡卡杜个人护理店（抖店）</v>
      </c>
      <c r="H5956" s="1" t="str">
        <f t="shared" si="1876"/>
        <v>正常订单</v>
      </c>
      <c r="I5956" s="1" t="str">
        <f t="shared" si="1877"/>
        <v>已发货</v>
      </c>
      <c r="J5956" s="1" t="str">
        <f t="shared" si="1880"/>
        <v>3</v>
      </c>
      <c r="K5956" s="1">
        <v>3</v>
      </c>
      <c r="L5956" s="1" t="s">
        <v>22</v>
      </c>
      <c r="M5956" s="1" t="str">
        <f>"江西省 赣州市 南康区 龙岭镇"</f>
        <v>江西省 赣州市 南康区 龙岭镇</v>
      </c>
      <c r="N5956" s="1" t="str">
        <f t="shared" si="1878"/>
        <v>凡华云仓-韵达-抖音</v>
      </c>
      <c r="O5956" s="5">
        <v>320177492521376</v>
      </c>
      <c r="P5956" s="6">
        <v>0.34</v>
      </c>
      <c r="Q5956" s="11">
        <v>2.2999999999999998</v>
      </c>
      <c r="R5956" s="11"/>
      <c r="S5956" s="11"/>
      <c r="T5956" s="11"/>
      <c r="U5956" s="11">
        <f t="shared" si="1882"/>
        <v>2.2999999999999998</v>
      </c>
      <c r="W5956">
        <v>2.5</v>
      </c>
      <c r="X5956" s="1" t="s">
        <v>22</v>
      </c>
    </row>
    <row r="5957" spans="1:24" x14ac:dyDescent="0.25">
      <c r="A5957" s="1" t="str">
        <f t="shared" ref="A5957:A6020" si="1883">"卡卡杜-凤凰仓"</f>
        <v>卡卡杜-凤凰仓</v>
      </c>
      <c r="B5957" s="1" t="str">
        <f>"CK2024101810631"</f>
        <v>CK2024101810631</v>
      </c>
      <c r="C5957" s="1" t="str">
        <f>"DD2024101816713"</f>
        <v>DD2024101816713</v>
      </c>
      <c r="D5957" s="1" t="str">
        <f>"CK2024101810124"</f>
        <v>CK2024101810124</v>
      </c>
      <c r="E5957" s="1" t="str">
        <f>"6935153961712359284"</f>
        <v>6935153961712359284</v>
      </c>
      <c r="F5957" s="1" t="str">
        <f t="shared" ref="F5957:F6020" si="1884">"花都四部-凤凰仓"</f>
        <v>花都四部-凤凰仓</v>
      </c>
      <c r="G5957" s="1" t="str">
        <f t="shared" si="1881"/>
        <v>卡卡杜个人护理店（抖店）</v>
      </c>
      <c r="H5957" s="1" t="str">
        <f t="shared" ref="H5957:H6020" si="1885">"正常订单"</f>
        <v>正常订单</v>
      </c>
      <c r="I5957" s="1" t="str">
        <f t="shared" ref="I5957:I6020" si="1886">"已发货"</f>
        <v>已发货</v>
      </c>
      <c r="J5957" s="1" t="str">
        <f t="shared" si="1880"/>
        <v>3</v>
      </c>
      <c r="K5957" s="1">
        <v>3</v>
      </c>
      <c r="L5957" s="1" t="s">
        <v>13</v>
      </c>
      <c r="M5957" s="1" t="str">
        <f>"江苏省 南京市 江宁区 江宁街道"</f>
        <v>江苏省 南京市 江宁区 江宁街道</v>
      </c>
      <c r="N5957" s="1" t="str">
        <f t="shared" si="1878"/>
        <v>凡华云仓-韵达-抖音</v>
      </c>
      <c r="O5957" s="5">
        <v>320177492521283</v>
      </c>
      <c r="P5957" s="6">
        <v>0.34</v>
      </c>
      <c r="Q5957" s="11">
        <v>2.2999999999999998</v>
      </c>
      <c r="R5957" s="11"/>
      <c r="S5957" s="11"/>
      <c r="T5957" s="11"/>
      <c r="U5957" s="11">
        <f t="shared" si="1882"/>
        <v>2.2999999999999998</v>
      </c>
      <c r="W5957">
        <v>2.5</v>
      </c>
      <c r="X5957" s="1" t="s">
        <v>13</v>
      </c>
    </row>
    <row r="5958" spans="1:24" x14ac:dyDescent="0.25">
      <c r="A5958" s="1" t="str">
        <f t="shared" si="1883"/>
        <v>卡卡杜-凤凰仓</v>
      </c>
      <c r="B5958" s="1" t="str">
        <f>"CK2024101810236"</f>
        <v>CK2024101810236</v>
      </c>
      <c r="C5958" s="1" t="str">
        <f>"DD2024101815915"</f>
        <v>DD2024101815915</v>
      </c>
      <c r="D5958" s="1" t="str">
        <f>"CK2024101810123"</f>
        <v>CK2024101810123</v>
      </c>
      <c r="E5958" s="1" t="str">
        <f>"6935153856002004511"</f>
        <v>6935153856002004511</v>
      </c>
      <c r="F5958" s="1" t="str">
        <f t="shared" si="1884"/>
        <v>花都四部-凤凰仓</v>
      </c>
      <c r="G5958" s="1" t="str">
        <f t="shared" si="1881"/>
        <v>卡卡杜个人护理店（抖店）</v>
      </c>
      <c r="H5958" s="1" t="str">
        <f t="shared" si="1885"/>
        <v>正常订单</v>
      </c>
      <c r="I5958" s="1" t="str">
        <f t="shared" si="1886"/>
        <v>已发货</v>
      </c>
      <c r="J5958" s="1" t="str">
        <f t="shared" si="1880"/>
        <v>3</v>
      </c>
      <c r="K5958" s="1">
        <v>3</v>
      </c>
      <c r="L5958" s="1" t="s">
        <v>80</v>
      </c>
      <c r="M5958" s="1" t="str">
        <f>"河南省 济源市 济源市 沁园街道"</f>
        <v>河南省 济源市 济源市 沁园街道</v>
      </c>
      <c r="N5958" s="1" t="str">
        <f t="shared" ref="N5958:N5983" si="1887">"凡华云仓-韵达-抖音"</f>
        <v>凡华云仓-韵达-抖音</v>
      </c>
      <c r="O5958" s="5">
        <v>320177483249951</v>
      </c>
      <c r="P5958" s="6">
        <v>0.34</v>
      </c>
      <c r="Q5958" s="11">
        <v>2.2999999999999998</v>
      </c>
      <c r="R5958" s="11"/>
      <c r="S5958" s="11"/>
      <c r="T5958" s="11"/>
      <c r="U5958" s="11">
        <f t="shared" si="1882"/>
        <v>2.2999999999999998</v>
      </c>
      <c r="W5958">
        <v>2.5</v>
      </c>
      <c r="X5958" s="1" t="s">
        <v>80</v>
      </c>
    </row>
    <row r="5959" spans="1:24" x14ac:dyDescent="0.25">
      <c r="A5959" s="1" t="str">
        <f t="shared" si="1883"/>
        <v>卡卡杜-凤凰仓</v>
      </c>
      <c r="B5959" s="1" t="str">
        <f>"CK2024101810237"</f>
        <v>CK2024101810237</v>
      </c>
      <c r="C5959" s="1" t="str">
        <f>"DD2024101815920"</f>
        <v>DD2024101815920</v>
      </c>
      <c r="D5959" s="1" t="str">
        <f>"CK2024101810122"</f>
        <v>CK2024101810122</v>
      </c>
      <c r="E5959" s="1" t="str">
        <f>"6935167548653835540"</f>
        <v>6935167548653835540</v>
      </c>
      <c r="F5959" s="1" t="str">
        <f t="shared" si="1884"/>
        <v>花都四部-凤凰仓</v>
      </c>
      <c r="G5959" s="1" t="str">
        <f t="shared" si="1881"/>
        <v>卡卡杜个人护理店（抖店）</v>
      </c>
      <c r="H5959" s="1" t="str">
        <f t="shared" si="1885"/>
        <v>正常订单</v>
      </c>
      <c r="I5959" s="1" t="str">
        <f t="shared" si="1886"/>
        <v>已发货</v>
      </c>
      <c r="J5959" s="1" t="str">
        <f t="shared" si="1880"/>
        <v>3</v>
      </c>
      <c r="K5959" s="1">
        <v>3</v>
      </c>
      <c r="L5959" s="1" t="s">
        <v>36</v>
      </c>
      <c r="M5959" s="1" t="str">
        <f>"安徽省 合肥市 长丰县 岗集镇"</f>
        <v>安徽省 合肥市 长丰县 岗集镇</v>
      </c>
      <c r="N5959" s="1" t="str">
        <f t="shared" si="1887"/>
        <v>凡华云仓-韵达-抖音</v>
      </c>
      <c r="O5959" s="5">
        <v>320177483249846</v>
      </c>
      <c r="P5959" s="6">
        <v>0.34</v>
      </c>
      <c r="Q5959" s="11">
        <v>2.2999999999999998</v>
      </c>
      <c r="R5959" s="11"/>
      <c r="S5959" s="11"/>
      <c r="T5959" s="11"/>
      <c r="U5959" s="11">
        <f t="shared" si="1882"/>
        <v>2.2999999999999998</v>
      </c>
      <c r="W5959">
        <v>2.5</v>
      </c>
      <c r="X5959" s="1" t="s">
        <v>36</v>
      </c>
    </row>
    <row r="5960" spans="1:24" x14ac:dyDescent="0.25">
      <c r="A5960" s="1" t="str">
        <f t="shared" si="1883"/>
        <v>卡卡杜-凤凰仓</v>
      </c>
      <c r="B5960" s="1" t="str">
        <f>"CK2024101810238"</f>
        <v>CK2024101810238</v>
      </c>
      <c r="C5960" s="1" t="str">
        <f>"DD2024101815921"</f>
        <v>DD2024101815921</v>
      </c>
      <c r="D5960" s="1" t="str">
        <f>"CK2024101810121"</f>
        <v>CK2024101810121</v>
      </c>
      <c r="E5960" s="1" t="str">
        <f>"6935156174917342506"</f>
        <v>6935156174917342506</v>
      </c>
      <c r="F5960" s="1" t="str">
        <f t="shared" si="1884"/>
        <v>花都四部-凤凰仓</v>
      </c>
      <c r="G5960" s="1" t="str">
        <f t="shared" si="1881"/>
        <v>卡卡杜个人护理店（抖店）</v>
      </c>
      <c r="H5960" s="1" t="str">
        <f t="shared" si="1885"/>
        <v>正常订单</v>
      </c>
      <c r="I5960" s="1" t="str">
        <f t="shared" si="1886"/>
        <v>已发货</v>
      </c>
      <c r="J5960" s="1" t="str">
        <f t="shared" si="1880"/>
        <v>3</v>
      </c>
      <c r="K5960" s="1">
        <v>3</v>
      </c>
      <c r="L5960" s="1" t="s">
        <v>105</v>
      </c>
      <c r="M5960" s="1" t="str">
        <f>"北京 北京市 密云区 果园街道"</f>
        <v>北京 北京市 密云区 果园街道</v>
      </c>
      <c r="N5960" s="1" t="str">
        <f t="shared" si="1887"/>
        <v>凡华云仓-韵达-抖音</v>
      </c>
      <c r="O5960" s="5">
        <v>320177483249743</v>
      </c>
      <c r="P5960" s="6">
        <v>0.34</v>
      </c>
      <c r="Q5960" s="11">
        <v>2.2999999999999998</v>
      </c>
      <c r="R5960" s="11"/>
      <c r="S5960" s="11"/>
      <c r="T5960" s="11"/>
      <c r="U5960" s="11">
        <f t="shared" si="1882"/>
        <v>2.2999999999999998</v>
      </c>
      <c r="W5960">
        <v>2.5</v>
      </c>
      <c r="X5960" s="1" t="s">
        <v>105</v>
      </c>
    </row>
    <row r="5961" spans="1:24" x14ac:dyDescent="0.25">
      <c r="A5961" s="1" t="str">
        <f t="shared" si="1883"/>
        <v>卡卡杜-凤凰仓</v>
      </c>
      <c r="B5961" s="1" t="str">
        <f>"CK2024101810632"</f>
        <v>CK2024101810632</v>
      </c>
      <c r="C5961" s="1" t="str">
        <f>"DD2024101816718"</f>
        <v>DD2024101816718</v>
      </c>
      <c r="D5961" s="1" t="str">
        <f>"CK2024101810120"</f>
        <v>CK2024101810120</v>
      </c>
      <c r="E5961" s="1" t="str">
        <f>"6935151569645541277"</f>
        <v>6935151569645541277</v>
      </c>
      <c r="F5961" s="1" t="str">
        <f t="shared" si="1884"/>
        <v>花都四部-凤凰仓</v>
      </c>
      <c r="G5961" s="1" t="str">
        <f t="shared" si="1881"/>
        <v>卡卡杜个人护理店（抖店）</v>
      </c>
      <c r="H5961" s="1" t="str">
        <f t="shared" si="1885"/>
        <v>正常订单</v>
      </c>
      <c r="I5961" s="1" t="str">
        <f t="shared" si="1886"/>
        <v>已发货</v>
      </c>
      <c r="J5961" s="1" t="str">
        <f t="shared" si="1880"/>
        <v>3</v>
      </c>
      <c r="K5961" s="1">
        <v>3</v>
      </c>
      <c r="L5961" s="1" t="s">
        <v>30</v>
      </c>
      <c r="M5961" s="1" t="str">
        <f>"山东省 青岛市 城阳区 流亭街道"</f>
        <v>山东省 青岛市 城阳区 流亭街道</v>
      </c>
      <c r="N5961" s="1" t="str">
        <f t="shared" si="1887"/>
        <v>凡华云仓-韵达-抖音</v>
      </c>
      <c r="O5961" s="5">
        <v>320177483249642</v>
      </c>
      <c r="P5961" s="6">
        <v>0.34</v>
      </c>
      <c r="Q5961" s="11">
        <v>2.2999999999999998</v>
      </c>
      <c r="R5961" s="11"/>
      <c r="S5961" s="11"/>
      <c r="T5961" s="11"/>
      <c r="U5961" s="11">
        <f t="shared" si="1882"/>
        <v>2.2999999999999998</v>
      </c>
      <c r="W5961">
        <v>2.5</v>
      </c>
      <c r="X5961" s="1" t="s">
        <v>30</v>
      </c>
    </row>
    <row r="5962" spans="1:24" x14ac:dyDescent="0.25">
      <c r="A5962" s="1" t="str">
        <f t="shared" si="1883"/>
        <v>卡卡杜-凤凰仓</v>
      </c>
      <c r="B5962" s="1" t="str">
        <f>"CK2024101810239"</f>
        <v>CK2024101810239</v>
      </c>
      <c r="C5962" s="1" t="str">
        <f>"DD2024101815924"</f>
        <v>DD2024101815924</v>
      </c>
      <c r="D5962" s="1" t="str">
        <f>"CK2024101810119"</f>
        <v>CK2024101810119</v>
      </c>
      <c r="E5962" s="1" t="str">
        <f>"6935151589445080846"</f>
        <v>6935151589445080846</v>
      </c>
      <c r="F5962" s="1" t="str">
        <f t="shared" si="1884"/>
        <v>花都四部-凤凰仓</v>
      </c>
      <c r="G5962" s="1" t="str">
        <f t="shared" si="1881"/>
        <v>卡卡杜个人护理店（抖店）</v>
      </c>
      <c r="H5962" s="1" t="str">
        <f t="shared" si="1885"/>
        <v>正常订单</v>
      </c>
      <c r="I5962" s="1" t="str">
        <f t="shared" si="1886"/>
        <v>已发货</v>
      </c>
      <c r="J5962" s="1" t="str">
        <f t="shared" si="1880"/>
        <v>3</v>
      </c>
      <c r="K5962" s="1">
        <v>3</v>
      </c>
      <c r="L5962" s="1" t="s">
        <v>41</v>
      </c>
      <c r="M5962" s="1" t="str">
        <f>"湖北省 襄阳市 南漳县 薛坪镇"</f>
        <v>湖北省 襄阳市 南漳县 薛坪镇</v>
      </c>
      <c r="N5962" s="1" t="str">
        <f t="shared" si="1887"/>
        <v>凡华云仓-韵达-抖音</v>
      </c>
      <c r="O5962" s="5">
        <v>320177483249543</v>
      </c>
      <c r="P5962" s="6">
        <v>0.34</v>
      </c>
      <c r="Q5962" s="11">
        <v>2.2999999999999998</v>
      </c>
      <c r="R5962" s="11"/>
      <c r="S5962" s="11"/>
      <c r="T5962" s="11"/>
      <c r="U5962" s="11">
        <f t="shared" si="1882"/>
        <v>2.2999999999999998</v>
      </c>
      <c r="W5962">
        <v>2.5</v>
      </c>
      <c r="X5962" s="1" t="s">
        <v>41</v>
      </c>
    </row>
    <row r="5963" spans="1:24" x14ac:dyDescent="0.25">
      <c r="A5963" s="1" t="str">
        <f t="shared" si="1883"/>
        <v>卡卡杜-凤凰仓</v>
      </c>
      <c r="B5963" s="1" t="str">
        <f>"CK2024101810241"</f>
        <v>CK2024101810241</v>
      </c>
      <c r="C5963" s="1" t="str">
        <f>"DD2024101815925"</f>
        <v>DD2024101815925</v>
      </c>
      <c r="D5963" s="1" t="str">
        <f>"CK2024101810118"</f>
        <v>CK2024101810118</v>
      </c>
      <c r="E5963" s="1" t="str">
        <f>"6935145414543414841"</f>
        <v>6935145414543414841</v>
      </c>
      <c r="F5963" s="1" t="str">
        <f t="shared" si="1884"/>
        <v>花都四部-凤凰仓</v>
      </c>
      <c r="G5963" s="1" t="str">
        <f t="shared" si="1881"/>
        <v>卡卡杜个人护理店（抖店）</v>
      </c>
      <c r="H5963" s="1" t="str">
        <f t="shared" si="1885"/>
        <v>正常订单</v>
      </c>
      <c r="I5963" s="1" t="str">
        <f t="shared" si="1886"/>
        <v>已发货</v>
      </c>
      <c r="J5963" s="1" t="str">
        <f t="shared" si="1880"/>
        <v>3</v>
      </c>
      <c r="K5963" s="1">
        <v>3</v>
      </c>
      <c r="L5963" s="1" t="s">
        <v>13</v>
      </c>
      <c r="M5963" s="1" t="str">
        <f>"江苏省 苏州市 吴江区 江陵街道"</f>
        <v>江苏省 苏州市 吴江区 江陵街道</v>
      </c>
      <c r="N5963" s="1" t="str">
        <f t="shared" si="1887"/>
        <v>凡华云仓-韵达-抖音</v>
      </c>
      <c r="O5963" s="5">
        <v>320177483249446</v>
      </c>
      <c r="P5963" s="6">
        <v>0.34</v>
      </c>
      <c r="Q5963" s="11">
        <v>2.2999999999999998</v>
      </c>
      <c r="R5963" s="11"/>
      <c r="S5963" s="11"/>
      <c r="T5963" s="11"/>
      <c r="U5963" s="11">
        <f t="shared" si="1882"/>
        <v>2.2999999999999998</v>
      </c>
      <c r="W5963">
        <v>2.5</v>
      </c>
      <c r="X5963" s="1" t="s">
        <v>13</v>
      </c>
    </row>
    <row r="5964" spans="1:24" x14ac:dyDescent="0.25">
      <c r="A5964" s="1" t="str">
        <f t="shared" si="1883"/>
        <v>卡卡杜-凤凰仓</v>
      </c>
      <c r="B5964" s="1" t="str">
        <f>"CK2024101810240"</f>
        <v>CK2024101810240</v>
      </c>
      <c r="C5964" s="1" t="str">
        <f>"DD2024101815928"</f>
        <v>DD2024101815928</v>
      </c>
      <c r="D5964" s="1" t="str">
        <f>"CK2024101810117"</f>
        <v>CK2024101810117</v>
      </c>
      <c r="E5964" s="1" t="str">
        <f>"6935147180262429948"</f>
        <v>6935147180262429948</v>
      </c>
      <c r="F5964" s="1" t="str">
        <f t="shared" si="1884"/>
        <v>花都四部-凤凰仓</v>
      </c>
      <c r="G5964" s="1" t="str">
        <f t="shared" si="1881"/>
        <v>卡卡杜个人护理店（抖店）</v>
      </c>
      <c r="H5964" s="1" t="str">
        <f t="shared" si="1885"/>
        <v>正常订单</v>
      </c>
      <c r="I5964" s="1" t="str">
        <f t="shared" si="1886"/>
        <v>已发货</v>
      </c>
      <c r="J5964" s="1" t="str">
        <f t="shared" si="1880"/>
        <v>3</v>
      </c>
      <c r="K5964" s="1">
        <v>3</v>
      </c>
      <c r="L5964" s="1" t="s">
        <v>96</v>
      </c>
      <c r="M5964" s="1" t="str">
        <f>"广西壮族自治区 百色市 田东县 平马镇"</f>
        <v>广西壮族自治区 百色市 田东县 平马镇</v>
      </c>
      <c r="N5964" s="1" t="str">
        <f t="shared" si="1887"/>
        <v>凡华云仓-韵达-抖音</v>
      </c>
      <c r="O5964" s="5">
        <v>320177483249351</v>
      </c>
      <c r="P5964" s="6">
        <v>0.34</v>
      </c>
      <c r="Q5964" s="11">
        <v>2.2999999999999998</v>
      </c>
      <c r="R5964" s="11"/>
      <c r="S5964" s="11"/>
      <c r="T5964" s="11"/>
      <c r="U5964" s="11">
        <f t="shared" si="1882"/>
        <v>2.2999999999999998</v>
      </c>
      <c r="W5964">
        <v>2.5</v>
      </c>
      <c r="X5964" s="1" t="s">
        <v>96</v>
      </c>
    </row>
    <row r="5965" spans="1:24" x14ac:dyDescent="0.25">
      <c r="A5965" s="1" t="str">
        <f t="shared" si="1883"/>
        <v>卡卡杜-凤凰仓</v>
      </c>
      <c r="B5965" s="1" t="str">
        <f>"CK2024101810242"</f>
        <v>CK2024101810242</v>
      </c>
      <c r="C5965" s="1" t="str">
        <f>"DD2024101815931"</f>
        <v>DD2024101815931</v>
      </c>
      <c r="D5965" s="1" t="str">
        <f>"CK2024101810116"</f>
        <v>CK2024101810116</v>
      </c>
      <c r="E5965" s="1" t="str">
        <f>"6935145337760519632"</f>
        <v>6935145337760519632</v>
      </c>
      <c r="F5965" s="1" t="str">
        <f t="shared" si="1884"/>
        <v>花都四部-凤凰仓</v>
      </c>
      <c r="G5965" s="1" t="str">
        <f t="shared" si="1881"/>
        <v>卡卡杜个人护理店（抖店）</v>
      </c>
      <c r="H5965" s="1" t="str">
        <f t="shared" si="1885"/>
        <v>正常订单</v>
      </c>
      <c r="I5965" s="1" t="str">
        <f t="shared" si="1886"/>
        <v>已发货</v>
      </c>
      <c r="J5965" s="1" t="str">
        <f t="shared" si="1880"/>
        <v>3</v>
      </c>
      <c r="K5965" s="1">
        <v>3</v>
      </c>
      <c r="L5965" s="1" t="s">
        <v>24</v>
      </c>
      <c r="M5965" s="1" t="str">
        <f>"福建省 福州市 永泰县 樟城镇"</f>
        <v>福建省 福州市 永泰县 樟城镇</v>
      </c>
      <c r="N5965" s="1" t="str">
        <f t="shared" si="1887"/>
        <v>凡华云仓-韵达-抖音</v>
      </c>
      <c r="O5965" s="5">
        <v>320177483249258</v>
      </c>
      <c r="P5965" s="6">
        <v>0.34</v>
      </c>
      <c r="Q5965" s="11">
        <v>2.2999999999999998</v>
      </c>
      <c r="R5965" s="11"/>
      <c r="S5965" s="11"/>
      <c r="T5965" s="11"/>
      <c r="U5965" s="11">
        <f t="shared" si="1882"/>
        <v>2.2999999999999998</v>
      </c>
      <c r="W5965">
        <v>2.5</v>
      </c>
      <c r="X5965" s="1" t="s">
        <v>24</v>
      </c>
    </row>
    <row r="5966" spans="1:24" x14ac:dyDescent="0.25">
      <c r="A5966" s="1" t="str">
        <f t="shared" si="1883"/>
        <v>卡卡杜-凤凰仓</v>
      </c>
      <c r="B5966" s="1" t="str">
        <f>"CK2024101810243"</f>
        <v>CK2024101810243</v>
      </c>
      <c r="C5966" s="1" t="str">
        <f>"DD2024101815932"</f>
        <v>DD2024101815932</v>
      </c>
      <c r="D5966" s="1" t="str">
        <f>"CK2024101810115"</f>
        <v>CK2024101810115</v>
      </c>
      <c r="E5966" s="1" t="str">
        <f>"6935172033149343458"</f>
        <v>6935172033149343458</v>
      </c>
      <c r="F5966" s="1" t="str">
        <f t="shared" si="1884"/>
        <v>花都四部-凤凰仓</v>
      </c>
      <c r="G5966" s="1" t="str">
        <f t="shared" si="1881"/>
        <v>卡卡杜个人护理店（抖店）</v>
      </c>
      <c r="H5966" s="1" t="str">
        <f t="shared" si="1885"/>
        <v>正常订单</v>
      </c>
      <c r="I5966" s="1" t="str">
        <f t="shared" si="1886"/>
        <v>已发货</v>
      </c>
      <c r="J5966" s="1" t="str">
        <f t="shared" si="1880"/>
        <v>3</v>
      </c>
      <c r="K5966" s="1">
        <v>3</v>
      </c>
      <c r="L5966" s="1" t="s">
        <v>32</v>
      </c>
      <c r="M5966" s="1" t="str">
        <f>"陕西省 渭南市 华阴市 "</f>
        <v xml:space="preserve">陕西省 渭南市 华阴市 </v>
      </c>
      <c r="N5966" s="1" t="str">
        <f t="shared" si="1887"/>
        <v>凡华云仓-韵达-抖音</v>
      </c>
      <c r="O5966" s="5">
        <v>320177483249167</v>
      </c>
      <c r="P5966" s="6">
        <v>0.34</v>
      </c>
      <c r="Q5966" s="11">
        <v>2.2999999999999998</v>
      </c>
      <c r="R5966" s="11"/>
      <c r="S5966" s="11"/>
      <c r="T5966" s="11"/>
      <c r="U5966" s="11">
        <f t="shared" si="1882"/>
        <v>2.2999999999999998</v>
      </c>
      <c r="W5966">
        <v>2.5</v>
      </c>
      <c r="X5966" s="1" t="s">
        <v>32</v>
      </c>
    </row>
    <row r="5967" spans="1:24" x14ac:dyDescent="0.25">
      <c r="A5967" s="1" t="str">
        <f t="shared" si="1883"/>
        <v>卡卡杜-凤凰仓</v>
      </c>
      <c r="B5967" s="1" t="str">
        <f>"CK2024101810244"</f>
        <v>CK2024101810244</v>
      </c>
      <c r="C5967" s="1" t="str">
        <f>"DD2024101815933"</f>
        <v>DD2024101815933</v>
      </c>
      <c r="D5967" s="1" t="str">
        <f>"CK2024101810114"</f>
        <v>CK2024101810114</v>
      </c>
      <c r="E5967" s="1" t="str">
        <f>"6935167414176584854"</f>
        <v>6935167414176584854</v>
      </c>
      <c r="F5967" s="1" t="str">
        <f t="shared" si="1884"/>
        <v>花都四部-凤凰仓</v>
      </c>
      <c r="G5967" s="1" t="str">
        <f t="shared" si="1881"/>
        <v>卡卡杜个人护理店（抖店）</v>
      </c>
      <c r="H5967" s="1" t="str">
        <f t="shared" si="1885"/>
        <v>正常订单</v>
      </c>
      <c r="I5967" s="1" t="str">
        <f t="shared" si="1886"/>
        <v>已发货</v>
      </c>
      <c r="J5967" s="1" t="str">
        <f t="shared" si="1880"/>
        <v>3</v>
      </c>
      <c r="K5967" s="1">
        <v>3</v>
      </c>
      <c r="L5967" s="1" t="s">
        <v>30</v>
      </c>
      <c r="M5967" s="1" t="str">
        <f>"山东省 泰安市 岱岳区 北集坡街道"</f>
        <v>山东省 泰安市 岱岳区 北集坡街道</v>
      </c>
      <c r="N5967" s="1" t="str">
        <f t="shared" si="1887"/>
        <v>凡华云仓-韵达-抖音</v>
      </c>
      <c r="O5967" s="5">
        <v>320177483249078</v>
      </c>
      <c r="P5967" s="6">
        <v>0.34</v>
      </c>
      <c r="Q5967" s="11">
        <v>2.2999999999999998</v>
      </c>
      <c r="R5967" s="11"/>
      <c r="S5967" s="11"/>
      <c r="T5967" s="11"/>
      <c r="U5967" s="11">
        <f t="shared" si="1882"/>
        <v>2.2999999999999998</v>
      </c>
      <c r="W5967">
        <v>2.5</v>
      </c>
      <c r="X5967" s="1" t="s">
        <v>30</v>
      </c>
    </row>
    <row r="5968" spans="1:24" x14ac:dyDescent="0.25">
      <c r="A5968" s="1" t="str">
        <f t="shared" si="1883"/>
        <v>卡卡杜-凤凰仓</v>
      </c>
      <c r="B5968" s="1" t="str">
        <f>"CK2024101810245"</f>
        <v>CK2024101810245</v>
      </c>
      <c r="C5968" s="1" t="str">
        <f>"DD2024101815936"</f>
        <v>DD2024101815936</v>
      </c>
      <c r="D5968" s="1" t="str">
        <f>"CK2024101810113"</f>
        <v>CK2024101810113</v>
      </c>
      <c r="E5968" s="1" t="str">
        <f>"6935167558733010700"</f>
        <v>6935167558733010700</v>
      </c>
      <c r="F5968" s="1" t="str">
        <f t="shared" si="1884"/>
        <v>花都四部-凤凰仓</v>
      </c>
      <c r="G5968" s="1" t="str">
        <f t="shared" si="1881"/>
        <v>卡卡杜个人护理店（抖店）</v>
      </c>
      <c r="H5968" s="1" t="str">
        <f t="shared" si="1885"/>
        <v>正常订单</v>
      </c>
      <c r="I5968" s="1" t="str">
        <f t="shared" si="1886"/>
        <v>已发货</v>
      </c>
      <c r="J5968" s="1" t="str">
        <f t="shared" si="1880"/>
        <v>3</v>
      </c>
      <c r="K5968" s="1">
        <v>3</v>
      </c>
      <c r="L5968" s="1" t="s">
        <v>16</v>
      </c>
      <c r="M5968" s="1" t="str">
        <f>"河北省 保定市 莲池区 东金庄乡"</f>
        <v>河北省 保定市 莲池区 东金庄乡</v>
      </c>
      <c r="N5968" s="1" t="str">
        <f t="shared" si="1887"/>
        <v>凡华云仓-韵达-抖音</v>
      </c>
      <c r="O5968" s="5">
        <v>320177492521192</v>
      </c>
      <c r="P5968" s="6">
        <v>0.34</v>
      </c>
      <c r="Q5968" s="11">
        <v>2.2999999999999998</v>
      </c>
      <c r="R5968" s="11"/>
      <c r="S5968" s="11"/>
      <c r="T5968" s="11"/>
      <c r="U5968" s="11">
        <f t="shared" si="1882"/>
        <v>2.2999999999999998</v>
      </c>
      <c r="W5968">
        <v>2.5</v>
      </c>
      <c r="X5968" s="1" t="s">
        <v>16</v>
      </c>
    </row>
    <row r="5969" spans="1:24" x14ac:dyDescent="0.25">
      <c r="A5969" s="1" t="str">
        <f t="shared" si="1883"/>
        <v>卡卡杜-凤凰仓</v>
      </c>
      <c r="B5969" s="1" t="str">
        <f>"CK2024101810246"</f>
        <v>CK2024101810246</v>
      </c>
      <c r="C5969" s="1" t="str">
        <f>"DD2024101815940"</f>
        <v>DD2024101815940</v>
      </c>
      <c r="D5969" s="1" t="str">
        <f>"CK2024101810112"</f>
        <v>CK2024101810112</v>
      </c>
      <c r="E5969" s="1" t="str">
        <f>"6935165186678920404"</f>
        <v>6935165186678920404</v>
      </c>
      <c r="F5969" s="1" t="str">
        <f t="shared" si="1884"/>
        <v>花都四部-凤凰仓</v>
      </c>
      <c r="G5969" s="1" t="str">
        <f t="shared" si="1881"/>
        <v>卡卡杜个人护理店（抖店）</v>
      </c>
      <c r="H5969" s="1" t="str">
        <f t="shared" si="1885"/>
        <v>正常订单</v>
      </c>
      <c r="I5969" s="1" t="str">
        <f t="shared" si="1886"/>
        <v>已发货</v>
      </c>
      <c r="J5969" s="1" t="str">
        <f t="shared" si="1880"/>
        <v>3</v>
      </c>
      <c r="K5969" s="1">
        <v>3</v>
      </c>
      <c r="L5969" s="1" t="s">
        <v>105</v>
      </c>
      <c r="M5969" s="1" t="str">
        <f>"北京 北京市 房山区 "</f>
        <v xml:space="preserve">北京 北京市 房山区 </v>
      </c>
      <c r="N5969" s="1" t="str">
        <f t="shared" si="1887"/>
        <v>凡华云仓-韵达-抖音</v>
      </c>
      <c r="O5969" s="5">
        <v>320177504179008</v>
      </c>
      <c r="P5969" s="6">
        <v>0.34</v>
      </c>
      <c r="Q5969" s="11">
        <v>2.2999999999999998</v>
      </c>
      <c r="R5969" s="11"/>
      <c r="S5969" s="11"/>
      <c r="T5969" s="11"/>
      <c r="U5969" s="11">
        <f t="shared" si="1882"/>
        <v>2.2999999999999998</v>
      </c>
      <c r="W5969">
        <v>2.5</v>
      </c>
      <c r="X5969" s="1" t="s">
        <v>105</v>
      </c>
    </row>
    <row r="5970" spans="1:24" x14ac:dyDescent="0.25">
      <c r="A5970" s="1" t="str">
        <f t="shared" si="1883"/>
        <v>卡卡杜-凤凰仓</v>
      </c>
      <c r="B5970" s="1" t="str">
        <f>"CK2024101810247"</f>
        <v>CK2024101810247</v>
      </c>
      <c r="C5970" s="1" t="str">
        <f>"DD2024101815944"</f>
        <v>DD2024101815944</v>
      </c>
      <c r="D5970" s="1" t="str">
        <f>"CK2024101810111"</f>
        <v>CK2024101810111</v>
      </c>
      <c r="E5970" s="1" t="str">
        <f>"6935149971518265017"</f>
        <v>6935149971518265017</v>
      </c>
      <c r="F5970" s="1" t="str">
        <f t="shared" si="1884"/>
        <v>花都四部-凤凰仓</v>
      </c>
      <c r="G5970" s="1" t="str">
        <f t="shared" si="1881"/>
        <v>卡卡杜个人护理店（抖店）</v>
      </c>
      <c r="H5970" s="1" t="str">
        <f t="shared" si="1885"/>
        <v>正常订单</v>
      </c>
      <c r="I5970" s="1" t="str">
        <f t="shared" si="1886"/>
        <v>已发货</v>
      </c>
      <c r="J5970" s="1" t="str">
        <f t="shared" si="1880"/>
        <v>3</v>
      </c>
      <c r="K5970" s="1">
        <v>3</v>
      </c>
      <c r="L5970" s="1" t="s">
        <v>94</v>
      </c>
      <c r="M5970" s="1" t="str">
        <f>"湖南省 长沙市 芙蓉区 东岸街道"</f>
        <v>湖南省 长沙市 芙蓉区 东岸街道</v>
      </c>
      <c r="N5970" s="1" t="str">
        <f t="shared" si="1887"/>
        <v>凡华云仓-韵达-抖音</v>
      </c>
      <c r="O5970" s="5">
        <v>320177504178976</v>
      </c>
      <c r="P5970" s="6">
        <v>0.34</v>
      </c>
      <c r="Q5970" s="11">
        <v>2.2999999999999998</v>
      </c>
      <c r="R5970" s="11"/>
      <c r="S5970" s="11"/>
      <c r="T5970" s="11"/>
      <c r="U5970" s="11">
        <f t="shared" si="1882"/>
        <v>2.2999999999999998</v>
      </c>
      <c r="W5970">
        <v>2.5</v>
      </c>
      <c r="X5970" s="1" t="s">
        <v>94</v>
      </c>
    </row>
    <row r="5971" spans="1:24" x14ac:dyDescent="0.25">
      <c r="A5971" s="1" t="str">
        <f t="shared" si="1883"/>
        <v>卡卡杜-凤凰仓</v>
      </c>
      <c r="B5971" s="1" t="str">
        <f>"CK2024101810248"</f>
        <v>CK2024101810248</v>
      </c>
      <c r="C5971" s="1" t="str">
        <f>"DD2024101815947"</f>
        <v>DD2024101815947</v>
      </c>
      <c r="D5971" s="1" t="str">
        <f>"CK2024101810110"</f>
        <v>CK2024101810110</v>
      </c>
      <c r="E5971" s="1" t="str">
        <f>"6918018076549151826"</f>
        <v>6918018076549151826</v>
      </c>
      <c r="F5971" s="1" t="str">
        <f t="shared" si="1884"/>
        <v>花都四部-凤凰仓</v>
      </c>
      <c r="G5971" s="1" t="str">
        <f t="shared" si="1881"/>
        <v>卡卡杜个人护理店（抖店）</v>
      </c>
      <c r="H5971" s="1" t="str">
        <f t="shared" si="1885"/>
        <v>正常订单</v>
      </c>
      <c r="I5971" s="1" t="str">
        <f t="shared" si="1886"/>
        <v>已发货</v>
      </c>
      <c r="J5971" s="1" t="str">
        <f t="shared" si="1880"/>
        <v>3</v>
      </c>
      <c r="K5971" s="1">
        <v>3</v>
      </c>
      <c r="L5971" s="1" t="s">
        <v>20</v>
      </c>
      <c r="M5971" s="1" t="str">
        <f>"浙江省 金华市 浦江县 仙华街道"</f>
        <v>浙江省 金华市 浦江县 仙华街道</v>
      </c>
      <c r="N5971" s="1" t="str">
        <f t="shared" si="1887"/>
        <v>凡华云仓-韵达-抖音</v>
      </c>
      <c r="O5971" s="5">
        <v>320177504178871</v>
      </c>
      <c r="P5971" s="6">
        <v>0.34</v>
      </c>
      <c r="Q5971" s="11">
        <v>2.2999999999999998</v>
      </c>
      <c r="R5971" s="11"/>
      <c r="S5971" s="11"/>
      <c r="T5971" s="11"/>
      <c r="U5971" s="11">
        <f t="shared" si="1882"/>
        <v>2.2999999999999998</v>
      </c>
      <c r="W5971">
        <v>2.5</v>
      </c>
      <c r="X5971" s="1" t="s">
        <v>20</v>
      </c>
    </row>
    <row r="5972" spans="1:24" x14ac:dyDescent="0.25">
      <c r="A5972" s="1" t="str">
        <f t="shared" si="1883"/>
        <v>卡卡杜-凤凰仓</v>
      </c>
      <c r="B5972" s="1" t="str">
        <f>"CK2024101810249"</f>
        <v>CK2024101810249</v>
      </c>
      <c r="C5972" s="1" t="str">
        <f>"DD2024101815945"</f>
        <v>DD2024101815945</v>
      </c>
      <c r="D5972" s="1" t="str">
        <f>"CK2024101810109"</f>
        <v>CK2024101810109</v>
      </c>
      <c r="E5972" s="1" t="str">
        <f>"6935165148817856192"</f>
        <v>6935165148817856192</v>
      </c>
      <c r="F5972" s="1" t="str">
        <f t="shared" si="1884"/>
        <v>花都四部-凤凰仓</v>
      </c>
      <c r="G5972" s="1" t="str">
        <f t="shared" si="1881"/>
        <v>卡卡杜个人护理店（抖店）</v>
      </c>
      <c r="H5972" s="1" t="str">
        <f t="shared" si="1885"/>
        <v>正常订单</v>
      </c>
      <c r="I5972" s="1" t="str">
        <f t="shared" si="1886"/>
        <v>已发货</v>
      </c>
      <c r="J5972" s="1" t="str">
        <f t="shared" si="1880"/>
        <v>3</v>
      </c>
      <c r="K5972" s="1">
        <v>3</v>
      </c>
      <c r="L5972" s="1" t="s">
        <v>20</v>
      </c>
      <c r="M5972" s="1" t="str">
        <f>"浙江省 金华市 婺城区 白龙桥镇"</f>
        <v>浙江省 金华市 婺城区 白龙桥镇</v>
      </c>
      <c r="N5972" s="1" t="str">
        <f t="shared" si="1887"/>
        <v>凡华云仓-韵达-抖音</v>
      </c>
      <c r="O5972" s="5">
        <v>320177504178768</v>
      </c>
      <c r="P5972" s="6">
        <v>0.34</v>
      </c>
      <c r="Q5972" s="11">
        <v>2.2999999999999998</v>
      </c>
      <c r="R5972" s="11"/>
      <c r="S5972" s="11"/>
      <c r="T5972" s="11"/>
      <c r="U5972" s="11">
        <f t="shared" si="1882"/>
        <v>2.2999999999999998</v>
      </c>
      <c r="W5972">
        <v>2.5</v>
      </c>
      <c r="X5972" s="1" t="s">
        <v>20</v>
      </c>
    </row>
    <row r="5973" spans="1:24" x14ac:dyDescent="0.25">
      <c r="A5973" s="1" t="str">
        <f t="shared" si="1883"/>
        <v>卡卡杜-凤凰仓</v>
      </c>
      <c r="B5973" s="1" t="str">
        <f>"CK2024101810250"</f>
        <v>CK2024101810250</v>
      </c>
      <c r="C5973" s="1" t="str">
        <f>"DD2024101815946"</f>
        <v>DD2024101815946</v>
      </c>
      <c r="D5973" s="1" t="str">
        <f>"CK2024101810108"</f>
        <v>CK2024101810108</v>
      </c>
      <c r="E5973" s="1" t="str">
        <f>"6935169823847945361"</f>
        <v>6935169823847945361</v>
      </c>
      <c r="F5973" s="1" t="str">
        <f t="shared" si="1884"/>
        <v>花都四部-凤凰仓</v>
      </c>
      <c r="G5973" s="1" t="str">
        <f t="shared" si="1881"/>
        <v>卡卡杜个人护理店（抖店）</v>
      </c>
      <c r="H5973" s="1" t="str">
        <f t="shared" si="1885"/>
        <v>正常订单</v>
      </c>
      <c r="I5973" s="1" t="str">
        <f t="shared" si="1886"/>
        <v>已发货</v>
      </c>
      <c r="J5973" s="1" t="str">
        <f t="shared" si="1880"/>
        <v>3</v>
      </c>
      <c r="K5973" s="1">
        <v>3</v>
      </c>
      <c r="L5973" s="1" t="s">
        <v>80</v>
      </c>
      <c r="M5973" s="1" t="str">
        <f>"河南省 驻马店市 驿城区 金河街道"</f>
        <v>河南省 驻马店市 驿城区 金河街道</v>
      </c>
      <c r="N5973" s="1" t="str">
        <f t="shared" si="1887"/>
        <v>凡华云仓-韵达-抖音</v>
      </c>
      <c r="O5973" s="5">
        <v>320177504178667</v>
      </c>
      <c r="P5973" s="6">
        <v>0.34</v>
      </c>
      <c r="Q5973" s="11">
        <v>2.2999999999999998</v>
      </c>
      <c r="R5973" s="11"/>
      <c r="S5973" s="11"/>
      <c r="T5973" s="11"/>
      <c r="U5973" s="11">
        <f t="shared" si="1882"/>
        <v>2.2999999999999998</v>
      </c>
      <c r="W5973">
        <v>2.5</v>
      </c>
      <c r="X5973" s="1" t="s">
        <v>80</v>
      </c>
    </row>
    <row r="5974" spans="1:24" x14ac:dyDescent="0.25">
      <c r="A5974" s="1" t="str">
        <f t="shared" si="1883"/>
        <v>卡卡杜-凤凰仓</v>
      </c>
      <c r="B5974" s="1" t="str">
        <f>"CK2024101810252"</f>
        <v>CK2024101810252</v>
      </c>
      <c r="C5974" s="1" t="str">
        <f>"DD2024101815954"</f>
        <v>DD2024101815954</v>
      </c>
      <c r="D5974" s="1" t="str">
        <f>"CK2024101810107"</f>
        <v>CK2024101810107</v>
      </c>
      <c r="E5974" s="1" t="str">
        <f>"6935156064330586079"</f>
        <v>6935156064330586079</v>
      </c>
      <c r="F5974" s="1" t="str">
        <f t="shared" si="1884"/>
        <v>花都四部-凤凰仓</v>
      </c>
      <c r="G5974" s="1" t="str">
        <f t="shared" si="1881"/>
        <v>卡卡杜个人护理店（抖店）</v>
      </c>
      <c r="H5974" s="1" t="str">
        <f t="shared" si="1885"/>
        <v>正常订单</v>
      </c>
      <c r="I5974" s="1" t="str">
        <f t="shared" si="1886"/>
        <v>已发货</v>
      </c>
      <c r="J5974" s="1" t="str">
        <f t="shared" si="1880"/>
        <v>3</v>
      </c>
      <c r="K5974" s="1">
        <v>3</v>
      </c>
      <c r="L5974" s="1" t="s">
        <v>94</v>
      </c>
      <c r="M5974" s="1" t="str">
        <f>"湖南省 株洲市 攸县 石羊塘镇"</f>
        <v>湖南省 株洲市 攸县 石羊塘镇</v>
      </c>
      <c r="N5974" s="1" t="str">
        <f t="shared" si="1887"/>
        <v>凡华云仓-韵达-抖音</v>
      </c>
      <c r="O5974" s="5">
        <v>320177504178568</v>
      </c>
      <c r="P5974" s="6">
        <v>0.34</v>
      </c>
      <c r="Q5974" s="11">
        <v>2.2999999999999998</v>
      </c>
      <c r="R5974" s="11"/>
      <c r="S5974" s="11"/>
      <c r="T5974" s="11"/>
      <c r="U5974" s="11">
        <f t="shared" si="1882"/>
        <v>2.2999999999999998</v>
      </c>
      <c r="W5974">
        <v>2.5</v>
      </c>
      <c r="X5974" s="1" t="s">
        <v>94</v>
      </c>
    </row>
    <row r="5975" spans="1:24" x14ac:dyDescent="0.25">
      <c r="A5975" s="1" t="str">
        <f t="shared" si="1883"/>
        <v>卡卡杜-凤凰仓</v>
      </c>
      <c r="B5975" s="1" t="str">
        <f>"CK2024101810251"</f>
        <v>CK2024101810251</v>
      </c>
      <c r="C5975" s="1" t="str">
        <f>"DD2024101815955"</f>
        <v>DD2024101815955</v>
      </c>
      <c r="D5975" s="1" t="str">
        <f>"CK2024101810106"</f>
        <v>CK2024101810106</v>
      </c>
      <c r="E5975" s="1" t="str">
        <f>"6935169866020951387"</f>
        <v>6935169866020951387</v>
      </c>
      <c r="F5975" s="1" t="str">
        <f t="shared" si="1884"/>
        <v>花都四部-凤凰仓</v>
      </c>
      <c r="G5975" s="1" t="str">
        <f t="shared" si="1881"/>
        <v>卡卡杜个人护理店（抖店）</v>
      </c>
      <c r="H5975" s="1" t="str">
        <f t="shared" si="1885"/>
        <v>正常订单</v>
      </c>
      <c r="I5975" s="1" t="str">
        <f t="shared" si="1886"/>
        <v>已发货</v>
      </c>
      <c r="J5975" s="1" t="str">
        <f t="shared" si="1880"/>
        <v>3</v>
      </c>
      <c r="K5975" s="1">
        <v>3</v>
      </c>
      <c r="L5975" s="1" t="s">
        <v>109</v>
      </c>
      <c r="M5975" s="1" t="str">
        <f>"山西省 朔州市 应县 金城镇"</f>
        <v>山西省 朔州市 应县 金城镇</v>
      </c>
      <c r="N5975" s="1" t="str">
        <f t="shared" si="1887"/>
        <v>凡华云仓-韵达-抖音</v>
      </c>
      <c r="O5975" s="5">
        <v>320177504178471</v>
      </c>
      <c r="P5975" s="6">
        <v>0.34</v>
      </c>
      <c r="Q5975" s="11">
        <v>2.2999999999999998</v>
      </c>
      <c r="R5975" s="11"/>
      <c r="S5975" s="11"/>
      <c r="T5975" s="11"/>
      <c r="U5975" s="11">
        <f t="shared" si="1882"/>
        <v>2.2999999999999998</v>
      </c>
      <c r="W5975">
        <v>2.5</v>
      </c>
      <c r="X5975" s="1" t="s">
        <v>109</v>
      </c>
    </row>
    <row r="5976" spans="1:24" x14ac:dyDescent="0.25">
      <c r="A5976" s="1" t="str">
        <f t="shared" si="1883"/>
        <v>卡卡杜-凤凰仓</v>
      </c>
      <c r="B5976" s="1" t="str">
        <f>"CK2024101810253"</f>
        <v>CK2024101810253</v>
      </c>
      <c r="C5976" s="1" t="str">
        <f>"DD2024101815956"</f>
        <v>DD2024101815956</v>
      </c>
      <c r="D5976" s="1" t="str">
        <f>"CK2024101810105"</f>
        <v>CK2024101810105</v>
      </c>
      <c r="E5976" s="1" t="str">
        <f>"6935143465704428734"</f>
        <v>6935143465704428734</v>
      </c>
      <c r="F5976" s="1" t="str">
        <f t="shared" si="1884"/>
        <v>花都四部-凤凰仓</v>
      </c>
      <c r="G5976" s="1" t="str">
        <f t="shared" si="1881"/>
        <v>卡卡杜个人护理店（抖店）</v>
      </c>
      <c r="H5976" s="1" t="str">
        <f t="shared" si="1885"/>
        <v>正常订单</v>
      </c>
      <c r="I5976" s="1" t="str">
        <f t="shared" si="1886"/>
        <v>已发货</v>
      </c>
      <c r="J5976" s="1" t="str">
        <f t="shared" si="1880"/>
        <v>3</v>
      </c>
      <c r="K5976" s="1">
        <v>3</v>
      </c>
      <c r="L5976" s="1" t="s">
        <v>30</v>
      </c>
      <c r="M5976" s="1" t="str">
        <f>"山东省 淄博市 博山区 城东街道"</f>
        <v>山东省 淄博市 博山区 城东街道</v>
      </c>
      <c r="N5976" s="1" t="str">
        <f t="shared" si="1887"/>
        <v>凡华云仓-韵达-抖音</v>
      </c>
      <c r="O5976" s="5">
        <v>320177504178376</v>
      </c>
      <c r="P5976" s="6">
        <v>0.34</v>
      </c>
      <c r="Q5976" s="11">
        <v>2.2999999999999998</v>
      </c>
      <c r="R5976" s="11"/>
      <c r="S5976" s="11"/>
      <c r="T5976" s="11"/>
      <c r="U5976" s="11">
        <f t="shared" si="1882"/>
        <v>2.2999999999999998</v>
      </c>
      <c r="W5976">
        <v>2.5</v>
      </c>
      <c r="X5976" s="1" t="s">
        <v>30</v>
      </c>
    </row>
    <row r="5977" spans="1:24" x14ac:dyDescent="0.25">
      <c r="A5977" s="1" t="str">
        <f t="shared" si="1883"/>
        <v>卡卡杜-凤凰仓</v>
      </c>
      <c r="B5977" s="1" t="str">
        <f>"CK2024101810254"</f>
        <v>CK2024101810254</v>
      </c>
      <c r="C5977" s="1" t="str">
        <f>"DD2024101815958"</f>
        <v>DD2024101815958</v>
      </c>
      <c r="D5977" s="1" t="str">
        <f>"CK2024101810104"</f>
        <v>CK2024101810104</v>
      </c>
      <c r="E5977" s="1" t="str">
        <f>"6935165090122045255"</f>
        <v>6935165090122045255</v>
      </c>
      <c r="F5977" s="1" t="str">
        <f t="shared" si="1884"/>
        <v>花都四部-凤凰仓</v>
      </c>
      <c r="G5977" s="1" t="str">
        <f t="shared" si="1881"/>
        <v>卡卡杜个人护理店（抖店）</v>
      </c>
      <c r="H5977" s="1" t="str">
        <f t="shared" si="1885"/>
        <v>正常订单</v>
      </c>
      <c r="I5977" s="1" t="str">
        <f t="shared" si="1886"/>
        <v>已发货</v>
      </c>
      <c r="J5977" s="1" t="str">
        <f t="shared" si="1880"/>
        <v>3</v>
      </c>
      <c r="K5977" s="1">
        <v>3</v>
      </c>
      <c r="L5977" s="1" t="s">
        <v>36</v>
      </c>
      <c r="M5977" s="1" t="str">
        <f>"安徽省 宿州市 灵璧县 大庙乡"</f>
        <v>安徽省 宿州市 灵璧县 大庙乡</v>
      </c>
      <c r="N5977" s="1" t="str">
        <f t="shared" si="1887"/>
        <v>凡华云仓-韵达-抖音</v>
      </c>
      <c r="O5977" s="5">
        <v>320177504178283</v>
      </c>
      <c r="P5977" s="6">
        <v>0.34</v>
      </c>
      <c r="Q5977" s="11">
        <v>2.2999999999999998</v>
      </c>
      <c r="R5977" s="11"/>
      <c r="S5977" s="11"/>
      <c r="T5977" s="11"/>
      <c r="U5977" s="11">
        <f t="shared" si="1882"/>
        <v>2.2999999999999998</v>
      </c>
      <c r="W5977">
        <v>2.5</v>
      </c>
      <c r="X5977" s="1" t="s">
        <v>36</v>
      </c>
    </row>
    <row r="5978" spans="1:24" x14ac:dyDescent="0.25">
      <c r="A5978" s="1" t="str">
        <f t="shared" si="1883"/>
        <v>卡卡杜-凤凰仓</v>
      </c>
      <c r="B5978" s="1" t="str">
        <f>"CK2024101810255"</f>
        <v>CK2024101810255</v>
      </c>
      <c r="C5978" s="1" t="str">
        <f>"DD2024101815957"</f>
        <v>DD2024101815957</v>
      </c>
      <c r="D5978" s="1" t="str">
        <f>"CK2024101810103"</f>
        <v>CK2024101810103</v>
      </c>
      <c r="E5978" s="1" t="str">
        <f>"6918018120078228907"</f>
        <v>6918018120078228907</v>
      </c>
      <c r="F5978" s="1" t="str">
        <f t="shared" si="1884"/>
        <v>花都四部-凤凰仓</v>
      </c>
      <c r="G5978" s="1" t="str">
        <f t="shared" si="1881"/>
        <v>卡卡杜个人护理店（抖店）</v>
      </c>
      <c r="H5978" s="1" t="str">
        <f t="shared" si="1885"/>
        <v>正常订单</v>
      </c>
      <c r="I5978" s="1" t="str">
        <f t="shared" si="1886"/>
        <v>已发货</v>
      </c>
      <c r="J5978" s="1" t="str">
        <f t="shared" si="1880"/>
        <v>3</v>
      </c>
      <c r="K5978" s="1">
        <v>3</v>
      </c>
      <c r="L5978" s="1" t="s">
        <v>30</v>
      </c>
      <c r="M5978" s="1" t="str">
        <f>"山东省 日照市 东港区 日照街道"</f>
        <v>山东省 日照市 东港区 日照街道</v>
      </c>
      <c r="N5978" s="1" t="str">
        <f t="shared" si="1887"/>
        <v>凡华云仓-韵达-抖音</v>
      </c>
      <c r="O5978" s="5">
        <v>320177472979072</v>
      </c>
      <c r="P5978" s="6">
        <v>0.34</v>
      </c>
      <c r="Q5978" s="11">
        <v>2.2999999999999998</v>
      </c>
      <c r="R5978" s="11"/>
      <c r="S5978" s="11"/>
      <c r="T5978" s="11"/>
      <c r="U5978" s="11">
        <f t="shared" si="1882"/>
        <v>2.2999999999999998</v>
      </c>
      <c r="W5978">
        <v>2.5</v>
      </c>
      <c r="X5978" s="1" t="s">
        <v>30</v>
      </c>
    </row>
    <row r="5979" spans="1:24" x14ac:dyDescent="0.25">
      <c r="A5979" s="1" t="str">
        <f t="shared" si="1883"/>
        <v>卡卡杜-凤凰仓</v>
      </c>
      <c r="B5979" s="1" t="str">
        <f>"CK2024101810256"</f>
        <v>CK2024101810256</v>
      </c>
      <c r="C5979" s="1" t="str">
        <f>"DD2024101815961"</f>
        <v>DD2024101815961</v>
      </c>
      <c r="D5979" s="1" t="str">
        <f>"CK2024101810102"</f>
        <v>CK2024101810102</v>
      </c>
      <c r="E5979" s="1" t="str">
        <f>"6935158426691507368"</f>
        <v>6935158426691507368</v>
      </c>
      <c r="F5979" s="1" t="str">
        <f t="shared" si="1884"/>
        <v>花都四部-凤凰仓</v>
      </c>
      <c r="G5979" s="1" t="str">
        <f t="shared" si="1881"/>
        <v>卡卡杜个人护理店（抖店）</v>
      </c>
      <c r="H5979" s="1" t="str">
        <f t="shared" si="1885"/>
        <v>正常订单</v>
      </c>
      <c r="I5979" s="1" t="str">
        <f t="shared" si="1886"/>
        <v>已发货</v>
      </c>
      <c r="J5979" s="1" t="str">
        <f t="shared" si="1880"/>
        <v>3</v>
      </c>
      <c r="K5979" s="1">
        <v>3</v>
      </c>
      <c r="L5979" s="1" t="s">
        <v>94</v>
      </c>
      <c r="M5979" s="1" t="str">
        <f>"湖南省 长沙市 雨花区 黎托街道"</f>
        <v>湖南省 长沙市 雨花区 黎托街道</v>
      </c>
      <c r="N5979" s="1" t="str">
        <f t="shared" si="1887"/>
        <v>凡华云仓-韵达-抖音</v>
      </c>
      <c r="O5979" s="5">
        <v>320177472978940</v>
      </c>
      <c r="P5979" s="6">
        <v>0.34</v>
      </c>
      <c r="Q5979" s="11">
        <v>2.2999999999999998</v>
      </c>
      <c r="R5979" s="11"/>
      <c r="S5979" s="11"/>
      <c r="T5979" s="11"/>
      <c r="U5979" s="11">
        <f t="shared" si="1882"/>
        <v>2.2999999999999998</v>
      </c>
      <c r="W5979">
        <v>2.5</v>
      </c>
      <c r="X5979" s="1" t="s">
        <v>94</v>
      </c>
    </row>
    <row r="5980" spans="1:24" x14ac:dyDescent="0.25">
      <c r="A5980" s="1" t="str">
        <f t="shared" si="1883"/>
        <v>卡卡杜-凤凰仓</v>
      </c>
      <c r="B5980" s="1" t="str">
        <f>"CK2024101810257"</f>
        <v>CK2024101810257</v>
      </c>
      <c r="C5980" s="1" t="str">
        <f>"DD2024101815965"</f>
        <v>DD2024101815965</v>
      </c>
      <c r="D5980" s="1" t="str">
        <f>"CK2024101810101"</f>
        <v>CK2024101810101</v>
      </c>
      <c r="E5980" s="1" t="str">
        <f>"6935162782690776617"</f>
        <v>6935162782690776617</v>
      </c>
      <c r="F5980" s="1" t="str">
        <f t="shared" si="1884"/>
        <v>花都四部-凤凰仓</v>
      </c>
      <c r="G5980" s="1" t="str">
        <f t="shared" si="1881"/>
        <v>卡卡杜个人护理店（抖店）</v>
      </c>
      <c r="H5980" s="1" t="str">
        <f t="shared" si="1885"/>
        <v>正常订单</v>
      </c>
      <c r="I5980" s="1" t="str">
        <f t="shared" si="1886"/>
        <v>已发货</v>
      </c>
      <c r="J5980" s="1" t="str">
        <f t="shared" si="1880"/>
        <v>3</v>
      </c>
      <c r="K5980" s="1">
        <v>3</v>
      </c>
      <c r="L5980" s="1" t="s">
        <v>30</v>
      </c>
      <c r="M5980" s="1" t="str">
        <f>"山东省 济南市 历城区 临港街道"</f>
        <v>山东省 济南市 历城区 临港街道</v>
      </c>
      <c r="N5980" s="1" t="str">
        <f t="shared" si="1887"/>
        <v>凡华云仓-韵达-抖音</v>
      </c>
      <c r="O5980" s="5">
        <v>320177472978835</v>
      </c>
      <c r="P5980" s="6">
        <v>0.34</v>
      </c>
      <c r="Q5980" s="11">
        <v>2.2999999999999998</v>
      </c>
      <c r="R5980" s="11"/>
      <c r="S5980" s="11"/>
      <c r="T5980" s="11"/>
      <c r="U5980" s="11">
        <f t="shared" si="1882"/>
        <v>2.2999999999999998</v>
      </c>
      <c r="W5980">
        <v>2.5</v>
      </c>
      <c r="X5980" s="1" t="s">
        <v>30</v>
      </c>
    </row>
    <row r="5981" spans="1:24" x14ac:dyDescent="0.25">
      <c r="A5981" s="1" t="str">
        <f t="shared" si="1883"/>
        <v>卡卡杜-凤凰仓</v>
      </c>
      <c r="B5981" s="1" t="str">
        <f>"CK2024101810259"</f>
        <v>CK2024101810259</v>
      </c>
      <c r="C5981" s="1" t="str">
        <f>"DD2024101815968"</f>
        <v>DD2024101815968</v>
      </c>
      <c r="D5981" s="1" t="str">
        <f>"CK2024101810099"</f>
        <v>CK2024101810099</v>
      </c>
      <c r="E5981" s="1" t="str">
        <f>"6935162880582620583"</f>
        <v>6935162880582620583</v>
      </c>
      <c r="F5981" s="1" t="str">
        <f t="shared" si="1884"/>
        <v>花都四部-凤凰仓</v>
      </c>
      <c r="G5981" s="1" t="str">
        <f t="shared" si="1881"/>
        <v>卡卡杜个人护理店（抖店）</v>
      </c>
      <c r="H5981" s="1" t="str">
        <f t="shared" si="1885"/>
        <v>正常订单</v>
      </c>
      <c r="I5981" s="1" t="str">
        <f t="shared" si="1886"/>
        <v>已发货</v>
      </c>
      <c r="J5981" s="1" t="str">
        <f t="shared" si="1880"/>
        <v>3</v>
      </c>
      <c r="K5981" s="1">
        <v>3</v>
      </c>
      <c r="L5981" s="1" t="s">
        <v>94</v>
      </c>
      <c r="M5981" s="1" t="str">
        <f>"湖南省 长沙市 望城区 铜官街道"</f>
        <v>湖南省 长沙市 望城区 铜官街道</v>
      </c>
      <c r="N5981" s="1" t="str">
        <f t="shared" si="1887"/>
        <v>凡华云仓-韵达-抖音</v>
      </c>
      <c r="O5981" s="5">
        <v>320177472978631</v>
      </c>
      <c r="P5981" s="6">
        <v>0.34</v>
      </c>
      <c r="Q5981" s="11">
        <v>2.2999999999999998</v>
      </c>
      <c r="R5981" s="11"/>
      <c r="S5981" s="11"/>
      <c r="T5981" s="11"/>
      <c r="U5981" s="11">
        <f t="shared" si="1882"/>
        <v>2.2999999999999998</v>
      </c>
      <c r="W5981">
        <v>2.5</v>
      </c>
      <c r="X5981" s="1" t="s">
        <v>94</v>
      </c>
    </row>
    <row r="5982" spans="1:24" x14ac:dyDescent="0.25">
      <c r="A5982" s="1" t="str">
        <f t="shared" si="1883"/>
        <v>卡卡杜-凤凰仓</v>
      </c>
      <c r="B5982" s="1" t="str">
        <f>"CK2024101810260"</f>
        <v>CK2024101810260</v>
      </c>
      <c r="C5982" s="1" t="str">
        <f>"DD2024101815972"</f>
        <v>DD2024101815972</v>
      </c>
      <c r="D5982" s="1" t="str">
        <f>"CK2024101810098"</f>
        <v>CK2024101810098</v>
      </c>
      <c r="E5982" s="1" t="str">
        <f>"6935165212869793015"</f>
        <v>6935165212869793015</v>
      </c>
      <c r="F5982" s="1" t="str">
        <f t="shared" si="1884"/>
        <v>花都四部-凤凰仓</v>
      </c>
      <c r="G5982" s="1" t="str">
        <f t="shared" si="1881"/>
        <v>卡卡杜个人护理店（抖店）</v>
      </c>
      <c r="H5982" s="1" t="str">
        <f t="shared" si="1885"/>
        <v>正常订单</v>
      </c>
      <c r="I5982" s="1" t="str">
        <f t="shared" si="1886"/>
        <v>已发货</v>
      </c>
      <c r="J5982" s="1" t="str">
        <f t="shared" si="1880"/>
        <v>3</v>
      </c>
      <c r="K5982" s="1">
        <v>3</v>
      </c>
      <c r="L5982" s="1" t="s">
        <v>218</v>
      </c>
      <c r="M5982" s="1" t="str">
        <f>"天津 天津市 武清区 河北屯镇"</f>
        <v>天津 天津市 武清区 河北屯镇</v>
      </c>
      <c r="N5982" s="1" t="str">
        <f t="shared" si="1887"/>
        <v>凡华云仓-韵达-抖音</v>
      </c>
      <c r="O5982" s="5">
        <v>320177472978532</v>
      </c>
      <c r="P5982" s="6">
        <v>0.34</v>
      </c>
      <c r="Q5982" s="11">
        <v>2.2999999999999998</v>
      </c>
      <c r="R5982" s="11"/>
      <c r="S5982" s="11"/>
      <c r="T5982" s="11"/>
      <c r="U5982" s="11">
        <f t="shared" si="1882"/>
        <v>2.2999999999999998</v>
      </c>
      <c r="W5982">
        <v>2.5</v>
      </c>
      <c r="X5982" s="1" t="s">
        <v>218</v>
      </c>
    </row>
    <row r="5983" spans="1:24" x14ac:dyDescent="0.25">
      <c r="A5983" s="1" t="str">
        <f t="shared" si="1883"/>
        <v>卡卡杜-凤凰仓</v>
      </c>
      <c r="B5983" s="1" t="str">
        <f>"CK2024101810261"</f>
        <v>CK2024101810261</v>
      </c>
      <c r="C5983" s="1" t="str">
        <f>"DD2024101815973"</f>
        <v>DD2024101815973</v>
      </c>
      <c r="D5983" s="1" t="str">
        <f>"CK2024101810097"</f>
        <v>CK2024101810097</v>
      </c>
      <c r="E5983" s="1" t="str">
        <f>"6935147331239614366"</f>
        <v>6935147331239614366</v>
      </c>
      <c r="F5983" s="1" t="str">
        <f t="shared" si="1884"/>
        <v>花都四部-凤凰仓</v>
      </c>
      <c r="G5983" s="1" t="str">
        <f t="shared" si="1881"/>
        <v>卡卡杜个人护理店（抖店）</v>
      </c>
      <c r="H5983" s="1" t="str">
        <f t="shared" si="1885"/>
        <v>正常订单</v>
      </c>
      <c r="I5983" s="1" t="str">
        <f t="shared" si="1886"/>
        <v>已发货</v>
      </c>
      <c r="J5983" s="1" t="str">
        <f t="shared" si="1880"/>
        <v>3</v>
      </c>
      <c r="K5983" s="1">
        <v>3</v>
      </c>
      <c r="L5983" s="1" t="s">
        <v>47</v>
      </c>
      <c r="M5983" s="1" t="str">
        <f>"重庆 重庆市 渝北区 悦来街道"</f>
        <v>重庆 重庆市 渝北区 悦来街道</v>
      </c>
      <c r="N5983" s="1" t="str">
        <f t="shared" si="1887"/>
        <v>凡华云仓-韵达-抖音</v>
      </c>
      <c r="O5983" s="5">
        <v>320177472978435</v>
      </c>
      <c r="P5983" s="6">
        <v>0.34</v>
      </c>
      <c r="Q5983" s="11">
        <v>2.2999999999999998</v>
      </c>
      <c r="R5983" s="11"/>
      <c r="S5983" s="11"/>
      <c r="T5983" s="11"/>
      <c r="U5983" s="11">
        <f t="shared" si="1882"/>
        <v>2.2999999999999998</v>
      </c>
      <c r="W5983">
        <v>2.5</v>
      </c>
      <c r="X5983" s="1" t="s">
        <v>47</v>
      </c>
    </row>
    <row r="5984" spans="1:24" x14ac:dyDescent="0.25">
      <c r="A5984" s="1" t="str">
        <f t="shared" si="1883"/>
        <v>卡卡杜-凤凰仓</v>
      </c>
      <c r="B5984" s="1" t="str">
        <f>"CK2024101810262"</f>
        <v>CK2024101810262</v>
      </c>
      <c r="C5984" s="1" t="str">
        <f>"DD2024101815974"</f>
        <v>DD2024101815974</v>
      </c>
      <c r="D5984" s="1" t="str">
        <f>"CK2024101810096"</f>
        <v>CK2024101810096</v>
      </c>
      <c r="E5984" s="1" t="str">
        <f>"6935147384277177571"</f>
        <v>6935147384277177571</v>
      </c>
      <c r="F5984" s="1" t="str">
        <f t="shared" si="1884"/>
        <v>花都四部-凤凰仓</v>
      </c>
      <c r="G5984" s="1" t="str">
        <f t="shared" si="1881"/>
        <v>卡卡杜个人护理店（抖店）</v>
      </c>
      <c r="H5984" s="1" t="str">
        <f t="shared" si="1885"/>
        <v>正常订单</v>
      </c>
      <c r="I5984" s="1" t="str">
        <f t="shared" si="1886"/>
        <v>已发货</v>
      </c>
      <c r="J5984" s="1" t="str">
        <f t="shared" si="1880"/>
        <v>3</v>
      </c>
      <c r="K5984" s="1">
        <v>3</v>
      </c>
      <c r="L5984" s="1" t="s">
        <v>161</v>
      </c>
      <c r="M5984" s="1" t="str">
        <f>"四川省 成都市 锦江区 柳江街道"</f>
        <v>四川省 成都市 锦江区 柳江街道</v>
      </c>
      <c r="N5984" s="1" t="str">
        <f>"凡华云仓-竹料中通-抖音"</f>
        <v>凡华云仓-竹料中通-抖音</v>
      </c>
      <c r="O5984" s="5">
        <v>76432348195156</v>
      </c>
      <c r="P5984" s="6">
        <v>0.34</v>
      </c>
      <c r="Q5984" s="11">
        <v>2.6</v>
      </c>
      <c r="R5984" s="11"/>
      <c r="S5984" s="11"/>
      <c r="T5984" s="11"/>
      <c r="U5984" s="11">
        <f t="shared" si="1882"/>
        <v>2.6</v>
      </c>
      <c r="W5984">
        <v>2.6</v>
      </c>
      <c r="X5984" s="1" t="s">
        <v>161</v>
      </c>
    </row>
    <row r="5985" spans="1:24" x14ac:dyDescent="0.25">
      <c r="A5985" s="1" t="str">
        <f t="shared" si="1883"/>
        <v>卡卡杜-凤凰仓</v>
      </c>
      <c r="B5985" s="1" t="str">
        <f>"CK2024101810263"</f>
        <v>CK2024101810263</v>
      </c>
      <c r="C5985" s="1" t="str">
        <f>"DD2024101815978"</f>
        <v>DD2024101815978</v>
      </c>
      <c r="D5985" s="1" t="str">
        <f>"CK2024101810095"</f>
        <v>CK2024101810095</v>
      </c>
      <c r="E5985" s="1" t="str">
        <f>"6935143456807196354"</f>
        <v>6935143456807196354</v>
      </c>
      <c r="F5985" s="1" t="str">
        <f t="shared" si="1884"/>
        <v>花都四部-凤凰仓</v>
      </c>
      <c r="G5985" s="1" t="str">
        <f t="shared" si="1881"/>
        <v>卡卡杜个人护理店（抖店）</v>
      </c>
      <c r="H5985" s="1" t="str">
        <f t="shared" si="1885"/>
        <v>正常订单</v>
      </c>
      <c r="I5985" s="1" t="str">
        <f t="shared" si="1886"/>
        <v>已发货</v>
      </c>
      <c r="J5985" s="1" t="str">
        <f t="shared" si="1880"/>
        <v>3</v>
      </c>
      <c r="K5985" s="1">
        <v>3</v>
      </c>
      <c r="L5985" s="1" t="s">
        <v>18</v>
      </c>
      <c r="M5985" s="1" t="str">
        <f>"广东省 佛山市 南海区 里水镇"</f>
        <v>广东省 佛山市 南海区 里水镇</v>
      </c>
      <c r="N5985" s="1" t="str">
        <f t="shared" ref="N5985:N6048" si="1888">"凡华云仓-韵达-抖音"</f>
        <v>凡华云仓-韵达-抖音</v>
      </c>
      <c r="O5985" s="5">
        <v>320177472978340</v>
      </c>
      <c r="P5985" s="6">
        <v>0.34</v>
      </c>
      <c r="Q5985" s="11">
        <v>2.2999999999999998</v>
      </c>
      <c r="R5985" s="11"/>
      <c r="S5985" s="11"/>
      <c r="T5985" s="11"/>
      <c r="U5985" s="11">
        <f t="shared" si="1882"/>
        <v>2.2999999999999998</v>
      </c>
      <c r="W5985">
        <v>2.5</v>
      </c>
      <c r="X5985" s="1" t="s">
        <v>18</v>
      </c>
    </row>
    <row r="5986" spans="1:24" x14ac:dyDescent="0.25">
      <c r="A5986" s="1" t="str">
        <f t="shared" si="1883"/>
        <v>卡卡杜-凤凰仓</v>
      </c>
      <c r="B5986" s="1" t="str">
        <f>"CK2024101810265"</f>
        <v>CK2024101810265</v>
      </c>
      <c r="C5986" s="1" t="str">
        <f>"DD2024101815979"</f>
        <v>DD2024101815979</v>
      </c>
      <c r="D5986" s="1" t="str">
        <f>"CK2024101810094"</f>
        <v>CK2024101810094</v>
      </c>
      <c r="E5986" s="1" t="str">
        <f>"6935176626311861265"</f>
        <v>6935176626311861265</v>
      </c>
      <c r="F5986" s="1" t="str">
        <f t="shared" si="1884"/>
        <v>花都四部-凤凰仓</v>
      </c>
      <c r="G5986" s="1" t="str">
        <f t="shared" si="1881"/>
        <v>卡卡杜个人护理店（抖店）</v>
      </c>
      <c r="H5986" s="1" t="str">
        <f t="shared" si="1885"/>
        <v>正常订单</v>
      </c>
      <c r="I5986" s="1" t="str">
        <f t="shared" si="1886"/>
        <v>已发货</v>
      </c>
      <c r="J5986" s="1" t="str">
        <f t="shared" ref="J5986:J5992" si="1889">"3"</f>
        <v>3</v>
      </c>
      <c r="K5986" s="1">
        <v>3</v>
      </c>
      <c r="L5986" s="1" t="s">
        <v>27</v>
      </c>
      <c r="M5986" s="1" t="str">
        <f>"贵州省 六盘水市 水城区 双水街道"</f>
        <v>贵州省 六盘水市 水城区 双水街道</v>
      </c>
      <c r="N5986" s="1" t="str">
        <f t="shared" si="1888"/>
        <v>凡华云仓-韵达-抖音</v>
      </c>
      <c r="O5986" s="5">
        <v>320177472978247</v>
      </c>
      <c r="P5986" s="6">
        <v>0.34</v>
      </c>
      <c r="Q5986" s="11">
        <v>2.2999999999999998</v>
      </c>
      <c r="R5986" s="11"/>
      <c r="S5986" s="11"/>
      <c r="T5986" s="11"/>
      <c r="U5986" s="11">
        <f t="shared" si="1882"/>
        <v>2.2999999999999998</v>
      </c>
      <c r="W5986">
        <v>2.5</v>
      </c>
      <c r="X5986" s="1" t="s">
        <v>27</v>
      </c>
    </row>
    <row r="5987" spans="1:24" x14ac:dyDescent="0.25">
      <c r="A5987" s="1" t="str">
        <f t="shared" si="1883"/>
        <v>卡卡杜-凤凰仓</v>
      </c>
      <c r="B5987" s="1" t="str">
        <f>"CK2024101810264"</f>
        <v>CK2024101810264</v>
      </c>
      <c r="C5987" s="1" t="str">
        <f>"DD2024101815982"</f>
        <v>DD2024101815982</v>
      </c>
      <c r="D5987" s="1" t="str">
        <f>"CK2024101810093"</f>
        <v>CK2024101810093</v>
      </c>
      <c r="E5987" s="1" t="str">
        <f>"6935169851451774479"</f>
        <v>6935169851451774479</v>
      </c>
      <c r="F5987" s="1" t="str">
        <f t="shared" si="1884"/>
        <v>花都四部-凤凰仓</v>
      </c>
      <c r="G5987" s="1" t="str">
        <f t="shared" si="1881"/>
        <v>卡卡杜个人护理店（抖店）</v>
      </c>
      <c r="H5987" s="1" t="str">
        <f t="shared" si="1885"/>
        <v>正常订单</v>
      </c>
      <c r="I5987" s="1" t="str">
        <f t="shared" si="1886"/>
        <v>已发货</v>
      </c>
      <c r="J5987" s="1" t="str">
        <f t="shared" si="1889"/>
        <v>3</v>
      </c>
      <c r="K5987" s="1">
        <v>3</v>
      </c>
      <c r="L5987" s="1" t="s">
        <v>36</v>
      </c>
      <c r="M5987" s="1" t="str">
        <f>"安徽省 宿州市 砀山县 砀城镇"</f>
        <v>安徽省 宿州市 砀山县 砀城镇</v>
      </c>
      <c r="N5987" s="1" t="str">
        <f t="shared" si="1888"/>
        <v>凡华云仓-韵达-抖音</v>
      </c>
      <c r="O5987" s="5">
        <v>320177485547920</v>
      </c>
      <c r="P5987" s="6">
        <v>0.34</v>
      </c>
      <c r="Q5987" s="11">
        <v>2.2999999999999998</v>
      </c>
      <c r="R5987" s="11"/>
      <c r="S5987" s="11"/>
      <c r="T5987" s="11"/>
      <c r="U5987" s="11">
        <f t="shared" si="1882"/>
        <v>2.2999999999999998</v>
      </c>
      <c r="W5987">
        <v>2.5</v>
      </c>
      <c r="X5987" s="1" t="s">
        <v>36</v>
      </c>
    </row>
    <row r="5988" spans="1:24" x14ac:dyDescent="0.25">
      <c r="A5988" s="1" t="str">
        <f t="shared" si="1883"/>
        <v>卡卡杜-凤凰仓</v>
      </c>
      <c r="B5988" s="1" t="str">
        <f>"CK2024101810266"</f>
        <v>CK2024101810266</v>
      </c>
      <c r="C5988" s="1" t="str">
        <f>"DD2024101815986"</f>
        <v>DD2024101815986</v>
      </c>
      <c r="D5988" s="1" t="str">
        <f>"CK2024101810092"</f>
        <v>CK2024101810092</v>
      </c>
      <c r="E5988" s="1" t="str">
        <f>"6935165081213474244"</f>
        <v>6935165081213474244</v>
      </c>
      <c r="F5988" s="1" t="str">
        <f t="shared" si="1884"/>
        <v>花都四部-凤凰仓</v>
      </c>
      <c r="G5988" s="1" t="str">
        <f t="shared" si="1881"/>
        <v>卡卡杜个人护理店（抖店）</v>
      </c>
      <c r="H5988" s="1" t="str">
        <f t="shared" si="1885"/>
        <v>正常订单</v>
      </c>
      <c r="I5988" s="1" t="str">
        <f t="shared" si="1886"/>
        <v>已发货</v>
      </c>
      <c r="J5988" s="1" t="str">
        <f t="shared" si="1889"/>
        <v>3</v>
      </c>
      <c r="K5988" s="1">
        <v>3</v>
      </c>
      <c r="L5988" s="1" t="s">
        <v>92</v>
      </c>
      <c r="M5988" s="1" t="str">
        <f>"辽宁省 朝阳市 双塔区 "</f>
        <v xml:space="preserve">辽宁省 朝阳市 双塔区 </v>
      </c>
      <c r="N5988" s="1" t="str">
        <f t="shared" si="1888"/>
        <v>凡华云仓-韵达-抖音</v>
      </c>
      <c r="O5988" s="5">
        <v>320177485547815</v>
      </c>
      <c r="P5988" s="6">
        <v>0.34</v>
      </c>
      <c r="Q5988" s="11">
        <v>2.2999999999999998</v>
      </c>
      <c r="R5988" s="11"/>
      <c r="S5988" s="11"/>
      <c r="T5988" s="11"/>
      <c r="U5988" s="11">
        <f t="shared" si="1882"/>
        <v>2.2999999999999998</v>
      </c>
      <c r="W5988">
        <v>2.5</v>
      </c>
      <c r="X5988" s="1" t="s">
        <v>92</v>
      </c>
    </row>
    <row r="5989" spans="1:24" x14ac:dyDescent="0.25">
      <c r="A5989" s="1" t="str">
        <f t="shared" si="1883"/>
        <v>卡卡杜-凤凰仓</v>
      </c>
      <c r="B5989" s="1" t="str">
        <f>"CK2024101810268"</f>
        <v>CK2024101810268</v>
      </c>
      <c r="C5989" s="1" t="str">
        <f>"DD2024101815989"</f>
        <v>DD2024101815989</v>
      </c>
      <c r="D5989" s="1" t="str">
        <f>"CK2024101810091"</f>
        <v>CK2024101810091</v>
      </c>
      <c r="E5989" s="1" t="str">
        <f>"6935169862846452968"</f>
        <v>6935169862846452968</v>
      </c>
      <c r="F5989" s="1" t="str">
        <f t="shared" si="1884"/>
        <v>花都四部-凤凰仓</v>
      </c>
      <c r="G5989" s="1" t="str">
        <f t="shared" si="1881"/>
        <v>卡卡杜个人护理店（抖店）</v>
      </c>
      <c r="H5989" s="1" t="str">
        <f t="shared" si="1885"/>
        <v>正常订单</v>
      </c>
      <c r="I5989" s="1" t="str">
        <f t="shared" si="1886"/>
        <v>已发货</v>
      </c>
      <c r="J5989" s="1" t="str">
        <f t="shared" si="1889"/>
        <v>3</v>
      </c>
      <c r="K5989" s="1">
        <v>3</v>
      </c>
      <c r="L5989" s="1" t="s">
        <v>60</v>
      </c>
      <c r="M5989" s="1" t="str">
        <f>"云南省 昭通市 昭阳区 旧圃镇"</f>
        <v>云南省 昭通市 昭阳区 旧圃镇</v>
      </c>
      <c r="N5989" s="1" t="str">
        <f t="shared" si="1888"/>
        <v>凡华云仓-韵达-抖音</v>
      </c>
      <c r="O5989" s="5">
        <v>320177485547712</v>
      </c>
      <c r="P5989" s="6">
        <v>0.34</v>
      </c>
      <c r="Q5989" s="11">
        <v>2.2999999999999998</v>
      </c>
      <c r="R5989" s="11"/>
      <c r="S5989" s="11"/>
      <c r="T5989" s="11"/>
      <c r="U5989" s="11">
        <f t="shared" si="1882"/>
        <v>2.2999999999999998</v>
      </c>
      <c r="W5989">
        <v>2.5</v>
      </c>
      <c r="X5989" s="1" t="s">
        <v>60</v>
      </c>
    </row>
    <row r="5990" spans="1:24" x14ac:dyDescent="0.25">
      <c r="A5990" s="1" t="str">
        <f t="shared" si="1883"/>
        <v>卡卡杜-凤凰仓</v>
      </c>
      <c r="B5990" s="1" t="str">
        <f>"CK2024101810267"</f>
        <v>CK2024101810267</v>
      </c>
      <c r="C5990" s="1" t="str">
        <f>"DD2024101815984"</f>
        <v>DD2024101815984</v>
      </c>
      <c r="D5990" s="1" t="str">
        <f>"CK2024101810090"</f>
        <v>CK2024101810090</v>
      </c>
      <c r="E5990" s="1" t="str">
        <f>"6935165103335872182"</f>
        <v>6935165103335872182</v>
      </c>
      <c r="F5990" s="1" t="str">
        <f t="shared" si="1884"/>
        <v>花都四部-凤凰仓</v>
      </c>
      <c r="G5990" s="1" t="str">
        <f t="shared" si="1881"/>
        <v>卡卡杜个人护理店（抖店）</v>
      </c>
      <c r="H5990" s="1" t="str">
        <f t="shared" si="1885"/>
        <v>正常订单</v>
      </c>
      <c r="I5990" s="1" t="str">
        <f t="shared" si="1886"/>
        <v>已发货</v>
      </c>
      <c r="J5990" s="1" t="str">
        <f t="shared" si="1889"/>
        <v>3</v>
      </c>
      <c r="K5990" s="1">
        <v>3</v>
      </c>
      <c r="L5990" s="1" t="s">
        <v>54</v>
      </c>
      <c r="M5990" s="1" t="str">
        <f>"黑龙江省 哈尔滨市 延寿县 延寿镇"</f>
        <v>黑龙江省 哈尔滨市 延寿县 延寿镇</v>
      </c>
      <c r="N5990" s="1" t="str">
        <f t="shared" si="1888"/>
        <v>凡华云仓-韵达-抖音</v>
      </c>
      <c r="O5990" s="5">
        <v>320177485547611</v>
      </c>
      <c r="P5990" s="6">
        <v>0.34</v>
      </c>
      <c r="Q5990" s="11">
        <v>2.2999999999999998</v>
      </c>
      <c r="R5990" s="11"/>
      <c r="S5990" s="11"/>
      <c r="T5990" s="11"/>
      <c r="U5990" s="11">
        <f t="shared" si="1882"/>
        <v>2.2999999999999998</v>
      </c>
      <c r="W5990">
        <v>2.5</v>
      </c>
      <c r="X5990" s="1" t="s">
        <v>54</v>
      </c>
    </row>
    <row r="5991" spans="1:24" x14ac:dyDescent="0.25">
      <c r="A5991" s="1" t="str">
        <f t="shared" si="1883"/>
        <v>卡卡杜-凤凰仓</v>
      </c>
      <c r="B5991" s="1" t="str">
        <f>"CK2024101810269"</f>
        <v>CK2024101810269</v>
      </c>
      <c r="C5991" s="1" t="str">
        <f>"DD2024101815990"</f>
        <v>DD2024101815990</v>
      </c>
      <c r="D5991" s="1" t="str">
        <f>"CK2024101810089"</f>
        <v>CK2024101810089</v>
      </c>
      <c r="E5991" s="1" t="str">
        <f>"6935153768806422377"</f>
        <v>6935153768806422377</v>
      </c>
      <c r="F5991" s="1" t="str">
        <f t="shared" si="1884"/>
        <v>花都四部-凤凰仓</v>
      </c>
      <c r="G5991" s="1" t="str">
        <f t="shared" si="1881"/>
        <v>卡卡杜个人护理店（抖店）</v>
      </c>
      <c r="H5991" s="1" t="str">
        <f t="shared" si="1885"/>
        <v>正常订单</v>
      </c>
      <c r="I5991" s="1" t="str">
        <f t="shared" si="1886"/>
        <v>已发货</v>
      </c>
      <c r="J5991" s="1" t="str">
        <f t="shared" si="1889"/>
        <v>3</v>
      </c>
      <c r="K5991" s="1">
        <v>3</v>
      </c>
      <c r="L5991" s="1" t="s">
        <v>105</v>
      </c>
      <c r="M5991" s="1" t="str">
        <f>"北京 北京市 怀柔区 桥梓镇"</f>
        <v>北京 北京市 怀柔区 桥梓镇</v>
      </c>
      <c r="N5991" s="1" t="str">
        <f t="shared" si="1888"/>
        <v>凡华云仓-韵达-抖音</v>
      </c>
      <c r="O5991" s="5">
        <v>320177485547512</v>
      </c>
      <c r="P5991" s="6">
        <v>0.34</v>
      </c>
      <c r="Q5991" s="11">
        <v>2.2999999999999998</v>
      </c>
      <c r="R5991" s="11"/>
      <c r="S5991" s="11"/>
      <c r="T5991" s="11"/>
      <c r="U5991" s="11">
        <f t="shared" si="1882"/>
        <v>2.2999999999999998</v>
      </c>
      <c r="W5991">
        <v>2.5</v>
      </c>
      <c r="X5991" s="1" t="s">
        <v>105</v>
      </c>
    </row>
    <row r="5992" spans="1:24" x14ac:dyDescent="0.25">
      <c r="A5992" s="1" t="str">
        <f t="shared" si="1883"/>
        <v>卡卡杜-凤凰仓</v>
      </c>
      <c r="B5992" s="1" t="str">
        <f>"CK2024101810270"</f>
        <v>CK2024101810270</v>
      </c>
      <c r="C5992" s="1" t="str">
        <f>"DD2024101815993"</f>
        <v>DD2024101815993</v>
      </c>
      <c r="D5992" s="1" t="str">
        <f>"CK2024101810088"</f>
        <v>CK2024101810088</v>
      </c>
      <c r="E5992" s="1" t="str">
        <f>"6935149902896436630"</f>
        <v>6935149902896436630</v>
      </c>
      <c r="F5992" s="1" t="str">
        <f t="shared" si="1884"/>
        <v>花都四部-凤凰仓</v>
      </c>
      <c r="G5992" s="1" t="str">
        <f t="shared" si="1881"/>
        <v>卡卡杜个人护理店（抖店）</v>
      </c>
      <c r="H5992" s="1" t="str">
        <f t="shared" si="1885"/>
        <v>正常订单</v>
      </c>
      <c r="I5992" s="1" t="str">
        <f t="shared" si="1886"/>
        <v>已发货</v>
      </c>
      <c r="J5992" s="1" t="str">
        <f t="shared" si="1889"/>
        <v>3</v>
      </c>
      <c r="K5992" s="1">
        <v>3</v>
      </c>
      <c r="L5992" s="1" t="s">
        <v>18</v>
      </c>
      <c r="M5992" s="1" t="str">
        <f>"广东省 中山市 中山市 中山港街道"</f>
        <v>广东省 中山市 中山市 中山港街道</v>
      </c>
      <c r="N5992" s="1" t="str">
        <f t="shared" si="1888"/>
        <v>凡华云仓-韵达-抖音</v>
      </c>
      <c r="O5992" s="5">
        <v>320177485547415</v>
      </c>
      <c r="P5992" s="6">
        <v>0.34</v>
      </c>
      <c r="Q5992" s="11">
        <v>2.2999999999999998</v>
      </c>
      <c r="R5992" s="11"/>
      <c r="S5992" s="11"/>
      <c r="T5992" s="11"/>
      <c r="U5992" s="11">
        <f t="shared" si="1882"/>
        <v>2.2999999999999998</v>
      </c>
      <c r="W5992">
        <v>2.5</v>
      </c>
      <c r="X5992" s="1" t="s">
        <v>18</v>
      </c>
    </row>
    <row r="5993" spans="1:24" x14ac:dyDescent="0.25">
      <c r="A5993" s="1" t="str">
        <f t="shared" si="1883"/>
        <v>卡卡杜-凤凰仓</v>
      </c>
      <c r="B5993" s="1" t="str">
        <f>"CK2024101810271"</f>
        <v>CK2024101810271</v>
      </c>
      <c r="C5993" s="1" t="str">
        <f>"DD2024101815994"</f>
        <v>DD2024101815994</v>
      </c>
      <c r="D5993" s="1" t="str">
        <f>"CK2024101810087"</f>
        <v>CK2024101810087</v>
      </c>
      <c r="E5993" s="1" t="str">
        <f>"6935155973515908465"</f>
        <v>6935155973515908465</v>
      </c>
      <c r="F5993" s="1" t="str">
        <f t="shared" si="1884"/>
        <v>花都四部-凤凰仓</v>
      </c>
      <c r="G5993" s="1" t="str">
        <f t="shared" si="1881"/>
        <v>卡卡杜个人护理店（抖店）</v>
      </c>
      <c r="H5993" s="1" t="str">
        <f t="shared" si="1885"/>
        <v>正常订单</v>
      </c>
      <c r="I5993" s="1" t="str">
        <f t="shared" si="1886"/>
        <v>已发货</v>
      </c>
      <c r="J5993" s="1" t="str">
        <f>"6"</f>
        <v>6</v>
      </c>
      <c r="K5993" s="1">
        <v>3</v>
      </c>
      <c r="L5993" s="1" t="s">
        <v>18</v>
      </c>
      <c r="M5993" s="1" t="str">
        <f>"广东省 深圳市 罗湖区 东湖街道"</f>
        <v>广东省 深圳市 罗湖区 东湖街道</v>
      </c>
      <c r="N5993" s="1" t="str">
        <f t="shared" si="1888"/>
        <v>凡华云仓-韵达-抖音</v>
      </c>
      <c r="O5993" s="5">
        <v>320177485547320</v>
      </c>
      <c r="P5993" s="6">
        <v>0.55000000000000004</v>
      </c>
      <c r="Q5993" s="11">
        <f>CEILING(P5993-0.5,0.1)*10*0.15+2.3</f>
        <v>2.4499999999999997</v>
      </c>
      <c r="R5993" s="11"/>
      <c r="S5993" s="11"/>
      <c r="T5993" s="11"/>
      <c r="U5993" s="11">
        <f t="shared" si="1882"/>
        <v>2.4499999999999997</v>
      </c>
      <c r="V5993" t="s">
        <v>15</v>
      </c>
      <c r="W5993">
        <v>2.4500000000000002</v>
      </c>
      <c r="X5993" s="1" t="s">
        <v>18</v>
      </c>
    </row>
    <row r="5994" spans="1:24" x14ac:dyDescent="0.25">
      <c r="A5994" s="1" t="str">
        <f t="shared" si="1883"/>
        <v>卡卡杜-凤凰仓</v>
      </c>
      <c r="B5994" s="1" t="str">
        <f>"CK2024101810272"</f>
        <v>CK2024101810272</v>
      </c>
      <c r="C5994" s="1" t="str">
        <f>"DD2024101815998"</f>
        <v>DD2024101815998</v>
      </c>
      <c r="D5994" s="1" t="str">
        <f>"CK2024101810086"</f>
        <v>CK2024101810086</v>
      </c>
      <c r="E5994" s="1" t="str">
        <f>"6935147470677087337"</f>
        <v>6935147470677087337</v>
      </c>
      <c r="F5994" s="1" t="str">
        <f t="shared" si="1884"/>
        <v>花都四部-凤凰仓</v>
      </c>
      <c r="G5994" s="1" t="str">
        <f t="shared" si="1881"/>
        <v>卡卡杜个人护理店（抖店）</v>
      </c>
      <c r="H5994" s="1" t="str">
        <f t="shared" si="1885"/>
        <v>正常订单</v>
      </c>
      <c r="I5994" s="1" t="str">
        <f t="shared" si="1886"/>
        <v>已发货</v>
      </c>
      <c r="J5994" s="1" t="str">
        <f t="shared" ref="J5994:J6001" si="1890">"3"</f>
        <v>3</v>
      </c>
      <c r="K5994" s="1">
        <v>3</v>
      </c>
      <c r="L5994" s="1" t="s">
        <v>94</v>
      </c>
      <c r="M5994" s="1" t="str">
        <f>"湖南省 怀化市 溆浦县 龙潭镇"</f>
        <v>湖南省 怀化市 溆浦县 龙潭镇</v>
      </c>
      <c r="N5994" s="1" t="str">
        <f t="shared" si="1888"/>
        <v>凡华云仓-韵达-抖音</v>
      </c>
      <c r="O5994" s="5">
        <v>320177485547227</v>
      </c>
      <c r="P5994" s="6">
        <v>0.34</v>
      </c>
      <c r="Q5994" s="11">
        <v>2.2999999999999998</v>
      </c>
      <c r="R5994" s="11"/>
      <c r="S5994" s="11"/>
      <c r="T5994" s="11"/>
      <c r="U5994" s="11">
        <f t="shared" si="1882"/>
        <v>2.2999999999999998</v>
      </c>
      <c r="W5994">
        <v>2.5</v>
      </c>
      <c r="X5994" s="1" t="s">
        <v>94</v>
      </c>
    </row>
    <row r="5995" spans="1:24" x14ac:dyDescent="0.25">
      <c r="A5995" s="1" t="str">
        <f t="shared" si="1883"/>
        <v>卡卡杜-凤凰仓</v>
      </c>
      <c r="B5995" s="1" t="str">
        <f>"CK2024101810273"</f>
        <v>CK2024101810273</v>
      </c>
      <c r="C5995" s="1" t="str">
        <f>"DD2024101815997"</f>
        <v>DD2024101815997</v>
      </c>
      <c r="D5995" s="1" t="str">
        <f>"CK2024101810085"</f>
        <v>CK2024101810085</v>
      </c>
      <c r="E5995" s="1" t="str">
        <f>"6935141132829988396"</f>
        <v>6935141132829988396</v>
      </c>
      <c r="F5995" s="1" t="str">
        <f t="shared" si="1884"/>
        <v>花都四部-凤凰仓</v>
      </c>
      <c r="G5995" s="1" t="str">
        <f t="shared" si="1881"/>
        <v>卡卡杜个人护理店（抖店）</v>
      </c>
      <c r="H5995" s="1" t="str">
        <f t="shared" si="1885"/>
        <v>正常订单</v>
      </c>
      <c r="I5995" s="1" t="str">
        <f t="shared" si="1886"/>
        <v>已发货</v>
      </c>
      <c r="J5995" s="1" t="str">
        <f t="shared" si="1890"/>
        <v>3</v>
      </c>
      <c r="K5995" s="1">
        <v>3</v>
      </c>
      <c r="L5995" s="1" t="s">
        <v>41</v>
      </c>
      <c r="M5995" s="1" t="str">
        <f>"湖北省 咸宁市 咸安区 永安街道"</f>
        <v>湖北省 咸宁市 咸安区 永安街道</v>
      </c>
      <c r="N5995" s="1" t="str">
        <f t="shared" si="1888"/>
        <v>凡华云仓-韵达-抖音</v>
      </c>
      <c r="O5995" s="5">
        <v>320177485547136</v>
      </c>
      <c r="P5995" s="6">
        <v>0.34</v>
      </c>
      <c r="Q5995" s="11">
        <v>2.2999999999999998</v>
      </c>
      <c r="R5995" s="11"/>
      <c r="S5995" s="11"/>
      <c r="T5995" s="11"/>
      <c r="U5995" s="11">
        <f t="shared" si="1882"/>
        <v>2.2999999999999998</v>
      </c>
      <c r="W5995">
        <v>2.5</v>
      </c>
      <c r="X5995" s="1" t="s">
        <v>41</v>
      </c>
    </row>
    <row r="5996" spans="1:24" x14ac:dyDescent="0.25">
      <c r="A5996" s="1" t="str">
        <f t="shared" si="1883"/>
        <v>卡卡杜-凤凰仓</v>
      </c>
      <c r="B5996" s="1" t="str">
        <f>"CK2024101810274"</f>
        <v>CK2024101810274</v>
      </c>
      <c r="C5996" s="1" t="str">
        <f>"DD2024101816000"</f>
        <v>DD2024101816000</v>
      </c>
      <c r="D5996" s="1" t="str">
        <f>"CK2024101810084"</f>
        <v>CK2024101810084</v>
      </c>
      <c r="E5996" s="1" t="str">
        <f>"6935162853686514736"</f>
        <v>6935162853686514736</v>
      </c>
      <c r="F5996" s="1" t="str">
        <f t="shared" si="1884"/>
        <v>花都四部-凤凰仓</v>
      </c>
      <c r="G5996" s="1" t="str">
        <f t="shared" si="1881"/>
        <v>卡卡杜个人护理店（抖店）</v>
      </c>
      <c r="H5996" s="1" t="str">
        <f t="shared" si="1885"/>
        <v>正常订单</v>
      </c>
      <c r="I5996" s="1" t="str">
        <f t="shared" si="1886"/>
        <v>已发货</v>
      </c>
      <c r="J5996" s="1" t="str">
        <f t="shared" si="1890"/>
        <v>3</v>
      </c>
      <c r="K5996" s="1">
        <v>3</v>
      </c>
      <c r="L5996" s="1" t="s">
        <v>32</v>
      </c>
      <c r="M5996" s="1" t="str">
        <f>"陕西省 西安市 长安区 王寺街道"</f>
        <v>陕西省 西安市 长安区 王寺街道</v>
      </c>
      <c r="N5996" s="1" t="str">
        <f t="shared" si="1888"/>
        <v>凡华云仓-韵达-抖音</v>
      </c>
      <c r="O5996" s="5">
        <v>320177485547047</v>
      </c>
      <c r="P5996" s="6">
        <v>0.34</v>
      </c>
      <c r="Q5996" s="11">
        <v>2.2999999999999998</v>
      </c>
      <c r="R5996" s="11"/>
      <c r="S5996" s="11"/>
      <c r="T5996" s="11"/>
      <c r="U5996" s="11">
        <f t="shared" si="1882"/>
        <v>2.2999999999999998</v>
      </c>
      <c r="W5996">
        <v>2.5</v>
      </c>
      <c r="X5996" s="1" t="s">
        <v>32</v>
      </c>
    </row>
    <row r="5997" spans="1:24" x14ac:dyDescent="0.25">
      <c r="A5997" s="1" t="str">
        <f t="shared" si="1883"/>
        <v>卡卡杜-凤凰仓</v>
      </c>
      <c r="B5997" s="1" t="str">
        <f>"CK2024101810633"</f>
        <v>CK2024101810633</v>
      </c>
      <c r="C5997" s="1" t="str">
        <f>"DD2024101816719"</f>
        <v>DD2024101816719</v>
      </c>
      <c r="D5997" s="1" t="str">
        <f>"CK2024101810083"</f>
        <v>CK2024101810083</v>
      </c>
      <c r="E5997" s="1" t="str">
        <f>"6935151575265055923"</f>
        <v>6935151575265055923</v>
      </c>
      <c r="F5997" s="1" t="str">
        <f t="shared" si="1884"/>
        <v>花都四部-凤凰仓</v>
      </c>
      <c r="G5997" s="1" t="str">
        <f t="shared" si="1881"/>
        <v>卡卡杜个人护理店（抖店）</v>
      </c>
      <c r="H5997" s="1" t="str">
        <f t="shared" si="1885"/>
        <v>正常订单</v>
      </c>
      <c r="I5997" s="1" t="str">
        <f t="shared" si="1886"/>
        <v>已发货</v>
      </c>
      <c r="J5997" s="1" t="str">
        <f t="shared" si="1890"/>
        <v>3</v>
      </c>
      <c r="K5997" s="1">
        <v>3</v>
      </c>
      <c r="L5997" s="1" t="s">
        <v>30</v>
      </c>
      <c r="M5997" s="1" t="str">
        <f>"山东省 烟台市 福山区 福莱山街道"</f>
        <v>山东省 烟台市 福山区 福莱山街道</v>
      </c>
      <c r="N5997" s="1" t="str">
        <f t="shared" si="1888"/>
        <v>凡华云仓-韵达-抖音</v>
      </c>
      <c r="O5997" s="5">
        <v>320177487116459</v>
      </c>
      <c r="P5997" s="6">
        <v>0.34</v>
      </c>
      <c r="Q5997" s="11">
        <v>2.2999999999999998</v>
      </c>
      <c r="R5997" s="11"/>
      <c r="S5997" s="11"/>
      <c r="T5997" s="11"/>
      <c r="U5997" s="11">
        <f t="shared" si="1882"/>
        <v>2.2999999999999998</v>
      </c>
      <c r="W5997">
        <v>2.5</v>
      </c>
      <c r="X5997" s="1" t="s">
        <v>30</v>
      </c>
    </row>
    <row r="5998" spans="1:24" x14ac:dyDescent="0.25">
      <c r="A5998" s="1" t="str">
        <f t="shared" si="1883"/>
        <v>卡卡杜-凤凰仓</v>
      </c>
      <c r="B5998" s="1" t="str">
        <f>"CK2024101810275"</f>
        <v>CK2024101810275</v>
      </c>
      <c r="C5998" s="1" t="str">
        <f>"DD2024101816004"</f>
        <v>DD2024101816004</v>
      </c>
      <c r="D5998" s="1" t="str">
        <f>"CK2024101810082"</f>
        <v>CK2024101810082</v>
      </c>
      <c r="E5998" s="1" t="str">
        <f>"6935151484452607575"</f>
        <v>6935151484452607575</v>
      </c>
      <c r="F5998" s="1" t="str">
        <f t="shared" si="1884"/>
        <v>花都四部-凤凰仓</v>
      </c>
      <c r="G5998" s="1" t="str">
        <f t="shared" si="1881"/>
        <v>卡卡杜个人护理店（抖店）</v>
      </c>
      <c r="H5998" s="1" t="str">
        <f t="shared" si="1885"/>
        <v>正常订单</v>
      </c>
      <c r="I5998" s="1" t="str">
        <f t="shared" si="1886"/>
        <v>已发货</v>
      </c>
      <c r="J5998" s="1" t="str">
        <f t="shared" si="1890"/>
        <v>3</v>
      </c>
      <c r="K5998" s="1">
        <v>3</v>
      </c>
      <c r="L5998" s="1" t="s">
        <v>94</v>
      </c>
      <c r="M5998" s="1" t="str">
        <f>"湖南省 常德市 桃源县 漳江街道"</f>
        <v>湖南省 常德市 桃源县 漳江街道</v>
      </c>
      <c r="N5998" s="1" t="str">
        <f t="shared" si="1888"/>
        <v>凡华云仓-韵达-抖音</v>
      </c>
      <c r="O5998" s="5">
        <v>320177487116364</v>
      </c>
      <c r="P5998" s="6">
        <v>0.34</v>
      </c>
      <c r="Q5998" s="11">
        <v>2.2999999999999998</v>
      </c>
      <c r="R5998" s="11"/>
      <c r="S5998" s="11"/>
      <c r="T5998" s="11"/>
      <c r="U5998" s="11">
        <f t="shared" si="1882"/>
        <v>2.2999999999999998</v>
      </c>
      <c r="W5998">
        <v>2.5</v>
      </c>
      <c r="X5998" s="1" t="s">
        <v>94</v>
      </c>
    </row>
    <row r="5999" spans="1:24" x14ac:dyDescent="0.25">
      <c r="A5999" s="1" t="str">
        <f t="shared" si="1883"/>
        <v>卡卡杜-凤凰仓</v>
      </c>
      <c r="B5999" s="1" t="str">
        <f>"CK2024101810279"</f>
        <v>CK2024101810279</v>
      </c>
      <c r="C5999" s="1" t="str">
        <f>"DD2024101816009"</f>
        <v>DD2024101816009</v>
      </c>
      <c r="D5999" s="1" t="str">
        <f>"CK2024101810081"</f>
        <v>CK2024101810081</v>
      </c>
      <c r="E5999" s="1" t="str">
        <f>"6935167557489596050"</f>
        <v>6935167557489596050</v>
      </c>
      <c r="F5999" s="1" t="str">
        <f t="shared" si="1884"/>
        <v>花都四部-凤凰仓</v>
      </c>
      <c r="G5999" s="1" t="str">
        <f t="shared" si="1881"/>
        <v>卡卡杜个人护理店（抖店）</v>
      </c>
      <c r="H5999" s="1" t="str">
        <f t="shared" si="1885"/>
        <v>正常订单</v>
      </c>
      <c r="I5999" s="1" t="str">
        <f t="shared" si="1886"/>
        <v>已发货</v>
      </c>
      <c r="J5999" s="1" t="str">
        <f t="shared" si="1890"/>
        <v>3</v>
      </c>
      <c r="K5999" s="1">
        <v>3</v>
      </c>
      <c r="L5999" s="1" t="s">
        <v>30</v>
      </c>
      <c r="M5999" s="1" t="str">
        <f>"山东省 潍坊市 临朐县 东城街道"</f>
        <v>山东省 潍坊市 临朐县 东城街道</v>
      </c>
      <c r="N5999" s="1" t="str">
        <f t="shared" si="1888"/>
        <v>凡华云仓-韵达-抖音</v>
      </c>
      <c r="O5999" s="5">
        <v>320177487116271</v>
      </c>
      <c r="P5999" s="6">
        <v>0.34</v>
      </c>
      <c r="Q5999" s="11">
        <v>2.2999999999999998</v>
      </c>
      <c r="R5999" s="11"/>
      <c r="S5999" s="11"/>
      <c r="T5999" s="11"/>
      <c r="U5999" s="11">
        <f t="shared" si="1882"/>
        <v>2.2999999999999998</v>
      </c>
      <c r="W5999">
        <v>2.5</v>
      </c>
      <c r="X5999" s="1" t="s">
        <v>30</v>
      </c>
    </row>
    <row r="6000" spans="1:24" x14ac:dyDescent="0.25">
      <c r="A6000" s="1" t="str">
        <f t="shared" si="1883"/>
        <v>卡卡杜-凤凰仓</v>
      </c>
      <c r="B6000" s="1" t="str">
        <f>"CK2024101810276"</f>
        <v>CK2024101810276</v>
      </c>
      <c r="C6000" s="1" t="str">
        <f>"DD2024101816010"</f>
        <v>DD2024101816010</v>
      </c>
      <c r="D6000" s="1" t="str">
        <f>"CK2024101810080"</f>
        <v>CK2024101810080</v>
      </c>
      <c r="E6000" s="1" t="str">
        <f>"6935145343824631178"</f>
        <v>6935145343824631178</v>
      </c>
      <c r="F6000" s="1" t="str">
        <f t="shared" si="1884"/>
        <v>花都四部-凤凰仓</v>
      </c>
      <c r="G6000" s="1" t="str">
        <f t="shared" si="1881"/>
        <v>卡卡杜个人护理店（抖店）</v>
      </c>
      <c r="H6000" s="1" t="str">
        <f t="shared" si="1885"/>
        <v>正常订单</v>
      </c>
      <c r="I6000" s="1" t="str">
        <f t="shared" si="1886"/>
        <v>已发货</v>
      </c>
      <c r="J6000" s="1" t="str">
        <f t="shared" si="1890"/>
        <v>3</v>
      </c>
      <c r="K6000" s="1">
        <v>3</v>
      </c>
      <c r="L6000" s="1" t="s">
        <v>18</v>
      </c>
      <c r="M6000" s="1" t="str">
        <f>"广东省 佛山市 顺德区 大良街道"</f>
        <v>广东省 佛山市 顺德区 大良街道</v>
      </c>
      <c r="N6000" s="1" t="str">
        <f t="shared" si="1888"/>
        <v>凡华云仓-韵达-抖音</v>
      </c>
      <c r="O6000" s="5">
        <v>320177487116180</v>
      </c>
      <c r="P6000" s="6">
        <v>0.34</v>
      </c>
      <c r="Q6000" s="11">
        <v>2.2999999999999998</v>
      </c>
      <c r="R6000" s="11"/>
      <c r="S6000" s="11"/>
      <c r="T6000" s="11"/>
      <c r="U6000" s="11">
        <f t="shared" si="1882"/>
        <v>2.2999999999999998</v>
      </c>
      <c r="W6000">
        <v>2.5</v>
      </c>
      <c r="X6000" s="1" t="s">
        <v>18</v>
      </c>
    </row>
    <row r="6001" spans="1:24" x14ac:dyDescent="0.25">
      <c r="A6001" s="1" t="str">
        <f t="shared" si="1883"/>
        <v>卡卡杜-凤凰仓</v>
      </c>
      <c r="B6001" s="1" t="str">
        <f>"CK2024101810277"</f>
        <v>CK2024101810277</v>
      </c>
      <c r="C6001" s="1" t="str">
        <f>"DD2024101816005"</f>
        <v>DD2024101816005</v>
      </c>
      <c r="D6001" s="1" t="str">
        <f>"CK2024101810079"</f>
        <v>CK2024101810079</v>
      </c>
      <c r="E6001" s="1" t="str">
        <f>"6935165060127069726"</f>
        <v>6935165060127069726</v>
      </c>
      <c r="F6001" s="1" t="str">
        <f t="shared" si="1884"/>
        <v>花都四部-凤凰仓</v>
      </c>
      <c r="G6001" s="1" t="str">
        <f t="shared" si="1881"/>
        <v>卡卡杜个人护理店（抖店）</v>
      </c>
      <c r="H6001" s="1" t="str">
        <f t="shared" si="1885"/>
        <v>正常订单</v>
      </c>
      <c r="I6001" s="1" t="str">
        <f t="shared" si="1886"/>
        <v>已发货</v>
      </c>
      <c r="J6001" s="1" t="str">
        <f t="shared" si="1890"/>
        <v>3</v>
      </c>
      <c r="K6001" s="1">
        <v>3</v>
      </c>
      <c r="L6001" s="1" t="s">
        <v>36</v>
      </c>
      <c r="M6001" s="1" t="str">
        <f>"安徽省 阜阳市 临泉县 城关街道"</f>
        <v>安徽省 阜阳市 临泉县 城关街道</v>
      </c>
      <c r="N6001" s="1" t="str">
        <f t="shared" si="1888"/>
        <v>凡华云仓-韵达-抖音</v>
      </c>
      <c r="O6001" s="5">
        <v>320177487116091</v>
      </c>
      <c r="P6001" s="6">
        <v>0.34</v>
      </c>
      <c r="Q6001" s="11">
        <v>2.2999999999999998</v>
      </c>
      <c r="R6001" s="11"/>
      <c r="S6001" s="11"/>
      <c r="T6001" s="11"/>
      <c r="U6001" s="11">
        <f t="shared" si="1882"/>
        <v>2.2999999999999998</v>
      </c>
      <c r="W6001">
        <v>2.5</v>
      </c>
      <c r="X6001" s="1" t="s">
        <v>36</v>
      </c>
    </row>
    <row r="6002" spans="1:24" x14ac:dyDescent="0.25">
      <c r="A6002" s="1" t="str">
        <f t="shared" si="1883"/>
        <v>卡卡杜-凤凰仓</v>
      </c>
      <c r="B6002" s="1" t="str">
        <f>"CK2024101810278"</f>
        <v>CK2024101810278</v>
      </c>
      <c r="C6002" s="1" t="str">
        <f>"DD2024101816012"</f>
        <v>DD2024101816012</v>
      </c>
      <c r="D6002" s="1" t="str">
        <f>"CK2024101810078"</f>
        <v>CK2024101810078</v>
      </c>
      <c r="E6002" s="1" t="str">
        <f>"6935160911148488446"</f>
        <v>6935160911148488446</v>
      </c>
      <c r="F6002" s="1" t="str">
        <f t="shared" si="1884"/>
        <v>花都四部-凤凰仓</v>
      </c>
      <c r="G6002" s="1" t="str">
        <f t="shared" si="1881"/>
        <v>卡卡杜个人护理店（抖店）</v>
      </c>
      <c r="H6002" s="1" t="str">
        <f t="shared" si="1885"/>
        <v>正常订单</v>
      </c>
      <c r="I6002" s="1" t="str">
        <f t="shared" si="1886"/>
        <v>已发货</v>
      </c>
      <c r="J6002" s="1" t="str">
        <f>"6"</f>
        <v>6</v>
      </c>
      <c r="K6002" s="1">
        <v>3</v>
      </c>
      <c r="L6002" s="1" t="s">
        <v>36</v>
      </c>
      <c r="M6002" s="1" t="str">
        <f>"安徽省 黄山市 祁门县 祁山镇"</f>
        <v>安徽省 黄山市 祁门县 祁山镇</v>
      </c>
      <c r="N6002" s="1" t="str">
        <f t="shared" si="1888"/>
        <v>凡华云仓-韵达-抖音</v>
      </c>
      <c r="O6002" s="5">
        <v>320177487115965</v>
      </c>
      <c r="P6002" s="6">
        <v>0.55000000000000004</v>
      </c>
      <c r="Q6002" s="11">
        <f>CEILING(P6002-0.5,0.1)*10*0.15+2.3</f>
        <v>2.4499999999999997</v>
      </c>
      <c r="R6002" s="11"/>
      <c r="S6002" s="11"/>
      <c r="T6002" s="11"/>
      <c r="U6002" s="11">
        <f t="shared" si="1882"/>
        <v>2.4499999999999997</v>
      </c>
      <c r="V6002" t="s">
        <v>15</v>
      </c>
      <c r="W6002">
        <v>2.4500000000000002</v>
      </c>
      <c r="X6002" s="1" t="s">
        <v>36</v>
      </c>
    </row>
    <row r="6003" spans="1:24" x14ac:dyDescent="0.25">
      <c r="A6003" s="1" t="str">
        <f t="shared" si="1883"/>
        <v>卡卡杜-凤凰仓</v>
      </c>
      <c r="B6003" s="1" t="str">
        <f>"CK2024101810282"</f>
        <v>CK2024101810282</v>
      </c>
      <c r="C6003" s="1" t="str">
        <f>"DD2024101816015"</f>
        <v>DD2024101816015</v>
      </c>
      <c r="D6003" s="1" t="str">
        <f>"CK2024101810077"</f>
        <v>CK2024101810077</v>
      </c>
      <c r="E6003" s="1" t="str">
        <f>"6935145447210161908"</f>
        <v>6935145447210161908</v>
      </c>
      <c r="F6003" s="1" t="str">
        <f t="shared" si="1884"/>
        <v>花都四部-凤凰仓</v>
      </c>
      <c r="G6003" s="1" t="str">
        <f t="shared" si="1881"/>
        <v>卡卡杜个人护理店（抖店）</v>
      </c>
      <c r="H6003" s="1" t="str">
        <f t="shared" si="1885"/>
        <v>正常订单</v>
      </c>
      <c r="I6003" s="1" t="str">
        <f t="shared" si="1886"/>
        <v>已发货</v>
      </c>
      <c r="J6003" s="1" t="str">
        <f t="shared" ref="J6003:J6018" si="1891">"3"</f>
        <v>3</v>
      </c>
      <c r="K6003" s="1">
        <v>3</v>
      </c>
      <c r="L6003" s="1" t="s">
        <v>24</v>
      </c>
      <c r="M6003" s="1" t="str">
        <f>"福建省 福州市 福清市 东瀚镇"</f>
        <v>福建省 福州市 福清市 东瀚镇</v>
      </c>
      <c r="N6003" s="1" t="str">
        <f t="shared" si="1888"/>
        <v>凡华云仓-韵达-抖音</v>
      </c>
      <c r="O6003" s="5">
        <v>320177487115860</v>
      </c>
      <c r="P6003" s="6">
        <v>0.34</v>
      </c>
      <c r="Q6003" s="11">
        <v>2.2999999999999998</v>
      </c>
      <c r="R6003" s="11"/>
      <c r="S6003" s="11"/>
      <c r="T6003" s="11"/>
      <c r="U6003" s="11">
        <f t="shared" si="1882"/>
        <v>2.2999999999999998</v>
      </c>
      <c r="W6003">
        <v>2.5</v>
      </c>
      <c r="X6003" s="1" t="s">
        <v>24</v>
      </c>
    </row>
    <row r="6004" spans="1:24" x14ac:dyDescent="0.25">
      <c r="A6004" s="1" t="str">
        <f t="shared" si="1883"/>
        <v>卡卡杜-凤凰仓</v>
      </c>
      <c r="B6004" s="1" t="str">
        <f>"CK2024101810283"</f>
        <v>CK2024101810283</v>
      </c>
      <c r="C6004" s="1" t="str">
        <f>"DD2024101816016"</f>
        <v>DD2024101816016</v>
      </c>
      <c r="D6004" s="1" t="str">
        <f>"CK2024101810076"</f>
        <v>CK2024101810076</v>
      </c>
      <c r="E6004" s="1" t="str">
        <f>"6935149925430138829"</f>
        <v>6935149925430138829</v>
      </c>
      <c r="F6004" s="1" t="str">
        <f t="shared" si="1884"/>
        <v>花都四部-凤凰仓</v>
      </c>
      <c r="G6004" s="1" t="str">
        <f t="shared" ref="G6004:G6067" si="1892">"卡卡杜个人护理店（抖店）"</f>
        <v>卡卡杜个人护理店（抖店）</v>
      </c>
      <c r="H6004" s="1" t="str">
        <f t="shared" si="1885"/>
        <v>正常订单</v>
      </c>
      <c r="I6004" s="1" t="str">
        <f t="shared" si="1886"/>
        <v>已发货</v>
      </c>
      <c r="J6004" s="1" t="str">
        <f t="shared" si="1891"/>
        <v>3</v>
      </c>
      <c r="K6004" s="1">
        <v>3</v>
      </c>
      <c r="L6004" s="1" t="s">
        <v>13</v>
      </c>
      <c r="M6004" s="1" t="str">
        <f>"江苏省 徐州市 泉山区 段庄街道"</f>
        <v>江苏省 徐州市 泉山区 段庄街道</v>
      </c>
      <c r="N6004" s="1" t="str">
        <f t="shared" si="1888"/>
        <v>凡华云仓-韵达-抖音</v>
      </c>
      <c r="O6004" s="5">
        <v>320177487115757</v>
      </c>
      <c r="P6004" s="6">
        <v>0.34</v>
      </c>
      <c r="Q6004" s="11">
        <v>2.2999999999999998</v>
      </c>
      <c r="R6004" s="11"/>
      <c r="S6004" s="11"/>
      <c r="T6004" s="11"/>
      <c r="U6004" s="11">
        <f t="shared" si="1882"/>
        <v>2.2999999999999998</v>
      </c>
      <c r="W6004">
        <v>2.5</v>
      </c>
      <c r="X6004" s="1" t="s">
        <v>13</v>
      </c>
    </row>
    <row r="6005" spans="1:24" x14ac:dyDescent="0.25">
      <c r="A6005" s="1" t="str">
        <f t="shared" si="1883"/>
        <v>卡卡杜-凤凰仓</v>
      </c>
      <c r="B6005" s="1" t="str">
        <f>"CK2024101810280"</f>
        <v>CK2024101810280</v>
      </c>
      <c r="C6005" s="1" t="str">
        <f>"DD2024101816011"</f>
        <v>DD2024101816011</v>
      </c>
      <c r="D6005" s="1" t="str">
        <f>"CK2024101810075"</f>
        <v>CK2024101810075</v>
      </c>
      <c r="E6005" s="1" t="str">
        <f>"6935155983983318406"</f>
        <v>6935155983983318406</v>
      </c>
      <c r="F6005" s="1" t="str">
        <f t="shared" si="1884"/>
        <v>花都四部-凤凰仓</v>
      </c>
      <c r="G6005" s="1" t="str">
        <f t="shared" si="1892"/>
        <v>卡卡杜个人护理店（抖店）</v>
      </c>
      <c r="H6005" s="1" t="str">
        <f t="shared" si="1885"/>
        <v>正常订单</v>
      </c>
      <c r="I6005" s="1" t="str">
        <f t="shared" si="1886"/>
        <v>已发货</v>
      </c>
      <c r="J6005" s="1" t="str">
        <f t="shared" si="1891"/>
        <v>3</v>
      </c>
      <c r="K6005" s="1">
        <v>3</v>
      </c>
      <c r="L6005" s="1" t="s">
        <v>18</v>
      </c>
      <c r="M6005" s="1" t="str">
        <f>"广东省 广州市 天河区 沙河街道"</f>
        <v>广东省 广州市 天河区 沙河街道</v>
      </c>
      <c r="N6005" s="1" t="str">
        <f t="shared" si="1888"/>
        <v>凡华云仓-韵达-抖音</v>
      </c>
      <c r="O6005" s="5">
        <v>320177487115656</v>
      </c>
      <c r="P6005" s="6">
        <v>0.34</v>
      </c>
      <c r="Q6005" s="11">
        <v>2.2999999999999998</v>
      </c>
      <c r="R6005" s="11"/>
      <c r="S6005" s="11"/>
      <c r="T6005" s="11"/>
      <c r="U6005" s="11">
        <f t="shared" si="1882"/>
        <v>2.2999999999999998</v>
      </c>
      <c r="W6005">
        <v>2.5</v>
      </c>
      <c r="X6005" s="1" t="s">
        <v>18</v>
      </c>
    </row>
    <row r="6006" spans="1:24" x14ac:dyDescent="0.25">
      <c r="A6006" s="1" t="str">
        <f t="shared" si="1883"/>
        <v>卡卡杜-凤凰仓</v>
      </c>
      <c r="B6006" s="1" t="str">
        <f>"CK2024101810286"</f>
        <v>CK2024101810286</v>
      </c>
      <c r="C6006" s="1" t="str">
        <f>"DD2024101816022"</f>
        <v>DD2024101816022</v>
      </c>
      <c r="D6006" s="1" t="str">
        <f>"CK2024101810074"</f>
        <v>CK2024101810074</v>
      </c>
      <c r="E6006" s="1" t="str">
        <f>"6935151648587323270"</f>
        <v>6935151648587323270</v>
      </c>
      <c r="F6006" s="1" t="str">
        <f t="shared" si="1884"/>
        <v>花都四部-凤凰仓</v>
      </c>
      <c r="G6006" s="1" t="str">
        <f t="shared" si="1892"/>
        <v>卡卡杜个人护理店（抖店）</v>
      </c>
      <c r="H6006" s="1" t="str">
        <f t="shared" si="1885"/>
        <v>正常订单</v>
      </c>
      <c r="I6006" s="1" t="str">
        <f t="shared" si="1886"/>
        <v>已发货</v>
      </c>
      <c r="J6006" s="1" t="str">
        <f t="shared" si="1891"/>
        <v>3</v>
      </c>
      <c r="K6006" s="1">
        <v>3</v>
      </c>
      <c r="L6006" s="1" t="s">
        <v>18</v>
      </c>
      <c r="M6006" s="1" t="str">
        <f>"广东省 深圳市 龙岗区 龙城街道"</f>
        <v>广东省 深圳市 龙岗区 龙城街道</v>
      </c>
      <c r="N6006" s="1" t="str">
        <f t="shared" si="1888"/>
        <v>凡华云仓-韵达-抖音</v>
      </c>
      <c r="O6006" s="5">
        <v>320177487115557</v>
      </c>
      <c r="P6006" s="6">
        <v>0.34</v>
      </c>
      <c r="Q6006" s="11">
        <v>2.2999999999999998</v>
      </c>
      <c r="R6006" s="11"/>
      <c r="S6006" s="11"/>
      <c r="T6006" s="11"/>
      <c r="U6006" s="11">
        <f t="shared" si="1882"/>
        <v>2.2999999999999998</v>
      </c>
      <c r="W6006">
        <v>2.5</v>
      </c>
      <c r="X6006" s="1" t="s">
        <v>18</v>
      </c>
    </row>
    <row r="6007" spans="1:24" x14ac:dyDescent="0.25">
      <c r="A6007" s="1" t="str">
        <f t="shared" si="1883"/>
        <v>卡卡杜-凤凰仓</v>
      </c>
      <c r="B6007" s="1" t="str">
        <f>"CK2024101810281"</f>
        <v>CK2024101810281</v>
      </c>
      <c r="C6007" s="1" t="str">
        <f>"DD2024101816014"</f>
        <v>DD2024101816014</v>
      </c>
      <c r="D6007" s="1" t="str">
        <f>"CK2024101810073"</f>
        <v>CK2024101810073</v>
      </c>
      <c r="E6007" s="1" t="str">
        <f>"6935141097020921668"</f>
        <v>6935141097020921668</v>
      </c>
      <c r="F6007" s="1" t="str">
        <f t="shared" si="1884"/>
        <v>花都四部-凤凰仓</v>
      </c>
      <c r="G6007" s="1" t="str">
        <f t="shared" si="1892"/>
        <v>卡卡杜个人护理店（抖店）</v>
      </c>
      <c r="H6007" s="1" t="str">
        <f t="shared" si="1885"/>
        <v>正常订单</v>
      </c>
      <c r="I6007" s="1" t="str">
        <f t="shared" si="1886"/>
        <v>已发货</v>
      </c>
      <c r="J6007" s="1" t="str">
        <f t="shared" si="1891"/>
        <v>3</v>
      </c>
      <c r="K6007" s="1">
        <v>3</v>
      </c>
      <c r="L6007" s="1" t="s">
        <v>161</v>
      </c>
      <c r="M6007" s="1" t="str">
        <f>"四川省 凉山彝族自治州 西昌市 长安街道"</f>
        <v>四川省 凉山彝族自治州 西昌市 长安街道</v>
      </c>
      <c r="N6007" s="1" t="str">
        <f t="shared" si="1888"/>
        <v>凡华云仓-韵达-抖音</v>
      </c>
      <c r="O6007" s="5">
        <v>320177487834826</v>
      </c>
      <c r="P6007" s="6">
        <v>0.34</v>
      </c>
      <c r="Q6007" s="11">
        <v>2.2999999999999998</v>
      </c>
      <c r="R6007" s="11"/>
      <c r="S6007" s="11"/>
      <c r="T6007" s="11"/>
      <c r="U6007" s="11">
        <f t="shared" si="1882"/>
        <v>2.2999999999999998</v>
      </c>
      <c r="W6007">
        <v>2.5</v>
      </c>
      <c r="X6007" s="1" t="s">
        <v>161</v>
      </c>
    </row>
    <row r="6008" spans="1:24" x14ac:dyDescent="0.25">
      <c r="A6008" s="1" t="str">
        <f t="shared" si="1883"/>
        <v>卡卡杜-凤凰仓</v>
      </c>
      <c r="B6008" s="1" t="str">
        <f>"CK2024101810284"</f>
        <v>CK2024101810284</v>
      </c>
      <c r="C6008" s="1" t="str">
        <f>"DD2024101816017"</f>
        <v>DD2024101816017</v>
      </c>
      <c r="D6008" s="1" t="str">
        <f>"CK2024101810072"</f>
        <v>CK2024101810072</v>
      </c>
      <c r="E6008" s="1" t="str">
        <f>"6935160987157796606"</f>
        <v>6935160987157796606</v>
      </c>
      <c r="F6008" s="1" t="str">
        <f t="shared" si="1884"/>
        <v>花都四部-凤凰仓</v>
      </c>
      <c r="G6008" s="1" t="str">
        <f t="shared" si="1892"/>
        <v>卡卡杜个人护理店（抖店）</v>
      </c>
      <c r="H6008" s="1" t="str">
        <f t="shared" si="1885"/>
        <v>正常订单</v>
      </c>
      <c r="I6008" s="1" t="str">
        <f t="shared" si="1886"/>
        <v>已发货</v>
      </c>
      <c r="J6008" s="1" t="str">
        <f t="shared" si="1891"/>
        <v>3</v>
      </c>
      <c r="K6008" s="1">
        <v>3</v>
      </c>
      <c r="L6008" s="1" t="s">
        <v>30</v>
      </c>
      <c r="M6008" s="1" t="str">
        <f>"山东省 聊城市 莘县 燕塔街道"</f>
        <v>山东省 聊城市 莘县 燕塔街道</v>
      </c>
      <c r="N6008" s="1" t="str">
        <f t="shared" si="1888"/>
        <v>凡华云仓-韵达-抖音</v>
      </c>
      <c r="O6008" s="5">
        <v>320177487834723</v>
      </c>
      <c r="P6008" s="6">
        <v>0.34</v>
      </c>
      <c r="Q6008" s="11">
        <v>2.2999999999999998</v>
      </c>
      <c r="R6008" s="11"/>
      <c r="S6008" s="11"/>
      <c r="T6008" s="11"/>
      <c r="U6008" s="11">
        <f t="shared" si="1882"/>
        <v>2.2999999999999998</v>
      </c>
      <c r="W6008">
        <v>2.5</v>
      </c>
      <c r="X6008" s="1" t="s">
        <v>30</v>
      </c>
    </row>
    <row r="6009" spans="1:24" x14ac:dyDescent="0.25">
      <c r="A6009" s="1" t="str">
        <f t="shared" si="1883"/>
        <v>卡卡杜-凤凰仓</v>
      </c>
      <c r="B6009" s="1" t="str">
        <f>"CK2024101810285"</f>
        <v>CK2024101810285</v>
      </c>
      <c r="C6009" s="1" t="str">
        <f>"DD2024101816025"</f>
        <v>DD2024101816025</v>
      </c>
      <c r="D6009" s="1" t="str">
        <f>"CK2024101810071"</f>
        <v>CK2024101810071</v>
      </c>
      <c r="E6009" s="1" t="str">
        <f>"6935165046711916506"</f>
        <v>6935165046711916506</v>
      </c>
      <c r="F6009" s="1" t="str">
        <f t="shared" si="1884"/>
        <v>花都四部-凤凰仓</v>
      </c>
      <c r="G6009" s="1" t="str">
        <f t="shared" si="1892"/>
        <v>卡卡杜个人护理店（抖店）</v>
      </c>
      <c r="H6009" s="1" t="str">
        <f t="shared" si="1885"/>
        <v>正常订单</v>
      </c>
      <c r="I6009" s="1" t="str">
        <f t="shared" si="1886"/>
        <v>已发货</v>
      </c>
      <c r="J6009" s="1" t="str">
        <f t="shared" si="1891"/>
        <v>3</v>
      </c>
      <c r="K6009" s="1">
        <v>3</v>
      </c>
      <c r="L6009" s="1" t="s">
        <v>18</v>
      </c>
      <c r="M6009" s="1" t="str">
        <f>"广东省 茂名市 高州市 长坡镇"</f>
        <v>广东省 茂名市 高州市 长坡镇</v>
      </c>
      <c r="N6009" s="1" t="str">
        <f t="shared" si="1888"/>
        <v>凡华云仓-韵达-抖音</v>
      </c>
      <c r="O6009" s="5">
        <v>320177487834622</v>
      </c>
      <c r="P6009" s="6">
        <v>0.34</v>
      </c>
      <c r="Q6009" s="11">
        <v>2.2999999999999998</v>
      </c>
      <c r="R6009" s="11"/>
      <c r="S6009" s="11"/>
      <c r="T6009" s="11"/>
      <c r="U6009" s="11">
        <f t="shared" si="1882"/>
        <v>2.2999999999999998</v>
      </c>
      <c r="W6009">
        <v>2.5</v>
      </c>
      <c r="X6009" s="1" t="s">
        <v>18</v>
      </c>
    </row>
    <row r="6010" spans="1:24" x14ac:dyDescent="0.25">
      <c r="A6010" s="1" t="str">
        <f t="shared" si="1883"/>
        <v>卡卡杜-凤凰仓</v>
      </c>
      <c r="B6010" s="1" t="str">
        <f>"CK2024101810288"</f>
        <v>CK2024101810288</v>
      </c>
      <c r="C6010" s="1" t="str">
        <f>"DD2024101816026"</f>
        <v>DD2024101816026</v>
      </c>
      <c r="D6010" s="1" t="str">
        <f>"CK2024101810070"</f>
        <v>CK2024101810070</v>
      </c>
      <c r="E6010" s="1" t="str">
        <f>"6935164878230197356"</f>
        <v>6935164878230197356</v>
      </c>
      <c r="F6010" s="1" t="str">
        <f t="shared" si="1884"/>
        <v>花都四部-凤凰仓</v>
      </c>
      <c r="G6010" s="1" t="str">
        <f t="shared" si="1892"/>
        <v>卡卡杜个人护理店（抖店）</v>
      </c>
      <c r="H6010" s="1" t="str">
        <f t="shared" si="1885"/>
        <v>正常订单</v>
      </c>
      <c r="I6010" s="1" t="str">
        <f t="shared" si="1886"/>
        <v>已发货</v>
      </c>
      <c r="J6010" s="1" t="str">
        <f t="shared" si="1891"/>
        <v>3</v>
      </c>
      <c r="K6010" s="1">
        <v>3</v>
      </c>
      <c r="L6010" s="1" t="s">
        <v>16</v>
      </c>
      <c r="M6010" s="1" t="str">
        <f>"河北省 保定市 高碑店市 白沟镇"</f>
        <v>河北省 保定市 高碑店市 白沟镇</v>
      </c>
      <c r="N6010" s="1" t="str">
        <f t="shared" si="1888"/>
        <v>凡华云仓-韵达-抖音</v>
      </c>
      <c r="O6010" s="5">
        <v>320177487834523</v>
      </c>
      <c r="P6010" s="6">
        <v>0.34</v>
      </c>
      <c r="Q6010" s="11">
        <v>2.2999999999999998</v>
      </c>
      <c r="R6010" s="11"/>
      <c r="S6010" s="11"/>
      <c r="T6010" s="11"/>
      <c r="U6010" s="11">
        <f t="shared" si="1882"/>
        <v>2.2999999999999998</v>
      </c>
      <c r="W6010">
        <v>2.5</v>
      </c>
      <c r="X6010" s="1" t="s">
        <v>16</v>
      </c>
    </row>
    <row r="6011" spans="1:24" x14ac:dyDescent="0.25">
      <c r="A6011" s="1" t="str">
        <f t="shared" si="1883"/>
        <v>卡卡杜-凤凰仓</v>
      </c>
      <c r="B6011" s="1" t="str">
        <f>"CK2024101810634"</f>
        <v>CK2024101810634</v>
      </c>
      <c r="C6011" s="1" t="str">
        <f>"DD2024101816720"</f>
        <v>DD2024101816720</v>
      </c>
      <c r="D6011" s="1" t="str">
        <f>"CK2024101810069"</f>
        <v>CK2024101810069</v>
      </c>
      <c r="E6011" s="1" t="str">
        <f>"6935145402138432931"</f>
        <v>6935145402138432931</v>
      </c>
      <c r="F6011" s="1" t="str">
        <f t="shared" si="1884"/>
        <v>花都四部-凤凰仓</v>
      </c>
      <c r="G6011" s="1" t="str">
        <f t="shared" si="1892"/>
        <v>卡卡杜个人护理店（抖店）</v>
      </c>
      <c r="H6011" s="1" t="str">
        <f t="shared" si="1885"/>
        <v>正常订单</v>
      </c>
      <c r="I6011" s="1" t="str">
        <f t="shared" si="1886"/>
        <v>已发货</v>
      </c>
      <c r="J6011" s="1" t="str">
        <f t="shared" si="1891"/>
        <v>3</v>
      </c>
      <c r="K6011" s="1">
        <v>3</v>
      </c>
      <c r="L6011" s="1" t="s">
        <v>94</v>
      </c>
      <c r="M6011" s="1" t="str">
        <f>"湖南省 郴州市 安仁县 永乐江镇"</f>
        <v>湖南省 郴州市 安仁县 永乐江镇</v>
      </c>
      <c r="N6011" s="1" t="str">
        <f t="shared" si="1888"/>
        <v>凡华云仓-韵达-抖音</v>
      </c>
      <c r="O6011" s="5">
        <v>320177487834426</v>
      </c>
      <c r="P6011" s="6">
        <v>0.34</v>
      </c>
      <c r="Q6011" s="11">
        <v>2.2999999999999998</v>
      </c>
      <c r="R6011" s="11"/>
      <c r="S6011" s="11"/>
      <c r="T6011" s="11"/>
      <c r="U6011" s="11">
        <f t="shared" si="1882"/>
        <v>2.2999999999999998</v>
      </c>
      <c r="W6011">
        <v>2.5</v>
      </c>
      <c r="X6011" s="1" t="s">
        <v>94</v>
      </c>
    </row>
    <row r="6012" spans="1:24" x14ac:dyDescent="0.25">
      <c r="A6012" s="1" t="str">
        <f t="shared" si="1883"/>
        <v>卡卡杜-凤凰仓</v>
      </c>
      <c r="B6012" s="1" t="str">
        <f>"CK2024101810635"</f>
        <v>CK2024101810635</v>
      </c>
      <c r="C6012" s="1" t="str">
        <f>"DD2024101816722"</f>
        <v>DD2024101816722</v>
      </c>
      <c r="D6012" s="1" t="str">
        <f>"CK2024101810068"</f>
        <v>CK2024101810068</v>
      </c>
      <c r="E6012" s="1" t="str">
        <f>"6935153700397848477"</f>
        <v>6935153700397848477</v>
      </c>
      <c r="F6012" s="1" t="str">
        <f t="shared" si="1884"/>
        <v>花都四部-凤凰仓</v>
      </c>
      <c r="G6012" s="1" t="str">
        <f t="shared" si="1892"/>
        <v>卡卡杜个人护理店（抖店）</v>
      </c>
      <c r="H6012" s="1" t="str">
        <f t="shared" si="1885"/>
        <v>正常订单</v>
      </c>
      <c r="I6012" s="1" t="str">
        <f t="shared" si="1886"/>
        <v>已发货</v>
      </c>
      <c r="J6012" s="1" t="str">
        <f t="shared" si="1891"/>
        <v>3</v>
      </c>
      <c r="K6012" s="1">
        <v>3</v>
      </c>
      <c r="L6012" s="1" t="s">
        <v>30</v>
      </c>
      <c r="M6012" s="1" t="str">
        <f>"山东省 青岛市 城阳区 流亭街道"</f>
        <v>山东省 青岛市 城阳区 流亭街道</v>
      </c>
      <c r="N6012" s="1" t="str">
        <f t="shared" si="1888"/>
        <v>凡华云仓-韵达-抖音</v>
      </c>
      <c r="O6012" s="5">
        <v>320177487834331</v>
      </c>
      <c r="P6012" s="6">
        <v>0.34</v>
      </c>
      <c r="Q6012" s="11">
        <v>2.2999999999999998</v>
      </c>
      <c r="R6012" s="11"/>
      <c r="S6012" s="11"/>
      <c r="T6012" s="11"/>
      <c r="U6012" s="11">
        <f t="shared" si="1882"/>
        <v>2.2999999999999998</v>
      </c>
      <c r="W6012">
        <v>2.5</v>
      </c>
      <c r="X6012" s="1" t="s">
        <v>30</v>
      </c>
    </row>
    <row r="6013" spans="1:24" x14ac:dyDescent="0.25">
      <c r="A6013" s="1" t="str">
        <f t="shared" si="1883"/>
        <v>卡卡杜-凤凰仓</v>
      </c>
      <c r="B6013" s="1" t="str">
        <f>"CK2024101810287"</f>
        <v>CK2024101810287</v>
      </c>
      <c r="C6013" s="1" t="str">
        <f>"DD2024101816024"</f>
        <v>DD2024101816024</v>
      </c>
      <c r="D6013" s="1" t="str">
        <f>"CK2024101810067"</f>
        <v>CK2024101810067</v>
      </c>
      <c r="E6013" s="1" t="str">
        <f>"6935145384749962610"</f>
        <v>6935145384749962610</v>
      </c>
      <c r="F6013" s="1" t="str">
        <f t="shared" si="1884"/>
        <v>花都四部-凤凰仓</v>
      </c>
      <c r="G6013" s="1" t="str">
        <f t="shared" si="1892"/>
        <v>卡卡杜个人护理店（抖店）</v>
      </c>
      <c r="H6013" s="1" t="str">
        <f t="shared" si="1885"/>
        <v>正常订单</v>
      </c>
      <c r="I6013" s="1" t="str">
        <f t="shared" si="1886"/>
        <v>已发货</v>
      </c>
      <c r="J6013" s="1" t="str">
        <f t="shared" si="1891"/>
        <v>3</v>
      </c>
      <c r="K6013" s="1">
        <v>3</v>
      </c>
      <c r="L6013" s="1" t="s">
        <v>52</v>
      </c>
      <c r="M6013" s="1" t="str">
        <f>"甘肃省 武威市 凉州区 地质新村街街道"</f>
        <v>甘肃省 武威市 凉州区 地质新村街街道</v>
      </c>
      <c r="N6013" s="1" t="str">
        <f t="shared" si="1888"/>
        <v>凡华云仓-韵达-抖音</v>
      </c>
      <c r="O6013" s="5">
        <v>320177482281281</v>
      </c>
      <c r="P6013" s="6">
        <v>0.34</v>
      </c>
      <c r="Q6013" s="11">
        <v>2.2999999999999998</v>
      </c>
      <c r="R6013" s="11"/>
      <c r="S6013" s="11"/>
      <c r="T6013" s="11"/>
      <c r="U6013" s="11">
        <f t="shared" si="1882"/>
        <v>2.2999999999999998</v>
      </c>
      <c r="W6013">
        <v>2.5</v>
      </c>
      <c r="X6013" s="1" t="s">
        <v>52</v>
      </c>
    </row>
    <row r="6014" spans="1:24" x14ac:dyDescent="0.25">
      <c r="A6014" s="1" t="str">
        <f t="shared" si="1883"/>
        <v>卡卡杜-凤凰仓</v>
      </c>
      <c r="B6014" s="1" t="str">
        <f>"CK2024101810290"</f>
        <v>CK2024101810290</v>
      </c>
      <c r="C6014" s="1" t="str">
        <f>"DD2024101816029"</f>
        <v>DD2024101816029</v>
      </c>
      <c r="D6014" s="1" t="str">
        <f>"CK2024101810066"</f>
        <v>CK2024101810066</v>
      </c>
      <c r="E6014" s="1" t="str">
        <f>"6935149989271704627"</f>
        <v>6935149989271704627</v>
      </c>
      <c r="F6014" s="1" t="str">
        <f t="shared" si="1884"/>
        <v>花都四部-凤凰仓</v>
      </c>
      <c r="G6014" s="1" t="str">
        <f t="shared" si="1892"/>
        <v>卡卡杜个人护理店（抖店）</v>
      </c>
      <c r="H6014" s="1" t="str">
        <f t="shared" si="1885"/>
        <v>正常订单</v>
      </c>
      <c r="I6014" s="1" t="str">
        <f t="shared" si="1886"/>
        <v>已发货</v>
      </c>
      <c r="J6014" s="1" t="str">
        <f t="shared" si="1891"/>
        <v>3</v>
      </c>
      <c r="K6014" s="1">
        <v>3</v>
      </c>
      <c r="L6014" s="1" t="s">
        <v>105</v>
      </c>
      <c r="M6014" s="1" t="str">
        <f>"北京 北京市 通州区 北苑街道"</f>
        <v>北京 北京市 通州区 北苑街道</v>
      </c>
      <c r="N6014" s="1" t="str">
        <f t="shared" si="1888"/>
        <v>凡华云仓-韵达-抖音</v>
      </c>
      <c r="O6014" s="5">
        <v>320177482281190</v>
      </c>
      <c r="P6014" s="6">
        <v>0.34</v>
      </c>
      <c r="Q6014" s="11">
        <v>2.2999999999999998</v>
      </c>
      <c r="R6014" s="11"/>
      <c r="S6014" s="11"/>
      <c r="T6014" s="11"/>
      <c r="U6014" s="11">
        <f t="shared" si="1882"/>
        <v>2.2999999999999998</v>
      </c>
      <c r="W6014">
        <v>2.5</v>
      </c>
      <c r="X6014" s="1" t="s">
        <v>105</v>
      </c>
    </row>
    <row r="6015" spans="1:24" x14ac:dyDescent="0.25">
      <c r="A6015" s="1" t="str">
        <f t="shared" si="1883"/>
        <v>卡卡杜-凤凰仓</v>
      </c>
      <c r="B6015" s="1" t="str">
        <f>"CK2024101810289"</f>
        <v>CK2024101810289</v>
      </c>
      <c r="C6015" s="1" t="str">
        <f>"DD2024101816028"</f>
        <v>DD2024101816028</v>
      </c>
      <c r="D6015" s="1" t="str">
        <f>"CK2024101810065"</f>
        <v>CK2024101810065</v>
      </c>
      <c r="E6015" s="1" t="str">
        <f>"6935153842666214662"</f>
        <v>6935153842666214662</v>
      </c>
      <c r="F6015" s="1" t="str">
        <f t="shared" si="1884"/>
        <v>花都四部-凤凰仓</v>
      </c>
      <c r="G6015" s="1" t="str">
        <f t="shared" si="1892"/>
        <v>卡卡杜个人护理店（抖店）</v>
      </c>
      <c r="H6015" s="1" t="str">
        <f t="shared" si="1885"/>
        <v>正常订单</v>
      </c>
      <c r="I6015" s="1" t="str">
        <f t="shared" si="1886"/>
        <v>已发货</v>
      </c>
      <c r="J6015" s="1" t="str">
        <f t="shared" si="1891"/>
        <v>3</v>
      </c>
      <c r="K6015" s="1">
        <v>3</v>
      </c>
      <c r="L6015" s="1" t="s">
        <v>80</v>
      </c>
      <c r="M6015" s="1" t="str">
        <f>"河南省 商丘市 睢阳区 古宋街道"</f>
        <v>河南省 商丘市 睢阳区 古宋街道</v>
      </c>
      <c r="N6015" s="1" t="str">
        <f t="shared" si="1888"/>
        <v>凡华云仓-韵达-抖音</v>
      </c>
      <c r="O6015" s="5">
        <v>320177482281001</v>
      </c>
      <c r="P6015" s="6">
        <v>0.34</v>
      </c>
      <c r="Q6015" s="11">
        <v>2.2999999999999998</v>
      </c>
      <c r="R6015" s="11"/>
      <c r="S6015" s="11"/>
      <c r="T6015" s="11"/>
      <c r="U6015" s="11">
        <f t="shared" si="1882"/>
        <v>2.2999999999999998</v>
      </c>
      <c r="W6015">
        <v>2.5</v>
      </c>
      <c r="X6015" s="1" t="s">
        <v>80</v>
      </c>
    </row>
    <row r="6016" spans="1:24" x14ac:dyDescent="0.25">
      <c r="A6016" s="1" t="str">
        <f t="shared" si="1883"/>
        <v>卡卡杜-凤凰仓</v>
      </c>
      <c r="B6016" s="1" t="str">
        <f>"CK2024101810291"</f>
        <v>CK2024101810291</v>
      </c>
      <c r="C6016" s="1" t="str">
        <f>"DD2024101816031"</f>
        <v>DD2024101816031</v>
      </c>
      <c r="D6016" s="1" t="str">
        <f>"CK2024101810064"</f>
        <v>CK2024101810064</v>
      </c>
      <c r="E6016" s="1" t="str">
        <f>"6935143507882743082"</f>
        <v>6935143507882743082</v>
      </c>
      <c r="F6016" s="1" t="str">
        <f t="shared" si="1884"/>
        <v>花都四部-凤凰仓</v>
      </c>
      <c r="G6016" s="1" t="str">
        <f t="shared" si="1892"/>
        <v>卡卡杜个人护理店（抖店）</v>
      </c>
      <c r="H6016" s="1" t="str">
        <f t="shared" si="1885"/>
        <v>正常订单</v>
      </c>
      <c r="I6016" s="1" t="str">
        <f t="shared" si="1886"/>
        <v>已发货</v>
      </c>
      <c r="J6016" s="1" t="str">
        <f t="shared" si="1891"/>
        <v>3</v>
      </c>
      <c r="K6016" s="1">
        <v>3</v>
      </c>
      <c r="L6016" s="1" t="s">
        <v>161</v>
      </c>
      <c r="M6016" s="1" t="str">
        <f>"四川省 乐山市 五通桥区 "</f>
        <v xml:space="preserve">四川省 乐山市 五通桥区 </v>
      </c>
      <c r="N6016" s="1" t="str">
        <f t="shared" si="1888"/>
        <v>凡华云仓-韵达-抖音</v>
      </c>
      <c r="O6016" s="5">
        <v>320177482280985</v>
      </c>
      <c r="P6016" s="6">
        <v>0.34</v>
      </c>
      <c r="Q6016" s="11">
        <v>2.2999999999999998</v>
      </c>
      <c r="R6016" s="11"/>
      <c r="S6016" s="11"/>
      <c r="T6016" s="11"/>
      <c r="U6016" s="11">
        <f t="shared" si="1882"/>
        <v>2.2999999999999998</v>
      </c>
      <c r="W6016">
        <v>2.5</v>
      </c>
      <c r="X6016" s="1" t="s">
        <v>161</v>
      </c>
    </row>
    <row r="6017" spans="1:24" x14ac:dyDescent="0.25">
      <c r="A6017" s="1" t="str">
        <f t="shared" si="1883"/>
        <v>卡卡杜-凤凰仓</v>
      </c>
      <c r="B6017" s="1" t="str">
        <f>"CK2024101810292"</f>
        <v>CK2024101810292</v>
      </c>
      <c r="C6017" s="1" t="str">
        <f>"DD2024101816033"</f>
        <v>DD2024101816033</v>
      </c>
      <c r="D6017" s="1" t="str">
        <f>"CK2024101810063"</f>
        <v>CK2024101810063</v>
      </c>
      <c r="E6017" s="1" t="str">
        <f>"6935149954612860470"</f>
        <v>6935149954612860470</v>
      </c>
      <c r="F6017" s="1" t="str">
        <f t="shared" si="1884"/>
        <v>花都四部-凤凰仓</v>
      </c>
      <c r="G6017" s="1" t="str">
        <f t="shared" si="1892"/>
        <v>卡卡杜个人护理店（抖店）</v>
      </c>
      <c r="H6017" s="1" t="str">
        <f t="shared" si="1885"/>
        <v>正常订单</v>
      </c>
      <c r="I6017" s="1" t="str">
        <f t="shared" si="1886"/>
        <v>已发货</v>
      </c>
      <c r="J6017" s="1" t="str">
        <f t="shared" si="1891"/>
        <v>3</v>
      </c>
      <c r="K6017" s="1">
        <v>3</v>
      </c>
      <c r="L6017" s="1" t="s">
        <v>13</v>
      </c>
      <c r="M6017" s="1" t="str">
        <f>"江苏省 连云港市 灌南县 新安镇"</f>
        <v>江苏省 连云港市 灌南县 新安镇</v>
      </c>
      <c r="N6017" s="1" t="str">
        <f t="shared" si="1888"/>
        <v>凡华云仓-韵达-抖音</v>
      </c>
      <c r="O6017" s="5">
        <v>320177472973072</v>
      </c>
      <c r="P6017" s="6">
        <v>0.34</v>
      </c>
      <c r="Q6017" s="11">
        <v>2.2999999999999998</v>
      </c>
      <c r="R6017" s="11"/>
      <c r="S6017" s="11"/>
      <c r="T6017" s="11"/>
      <c r="U6017" s="11">
        <f t="shared" si="1882"/>
        <v>2.2999999999999998</v>
      </c>
      <c r="W6017">
        <v>2.5</v>
      </c>
      <c r="X6017" s="1" t="s">
        <v>13</v>
      </c>
    </row>
    <row r="6018" spans="1:24" x14ac:dyDescent="0.25">
      <c r="A6018" s="1" t="str">
        <f t="shared" si="1883"/>
        <v>卡卡杜-凤凰仓</v>
      </c>
      <c r="B6018" s="1" t="str">
        <f>"CK2024101810293"</f>
        <v>CK2024101810293</v>
      </c>
      <c r="C6018" s="1" t="str">
        <f>"DD2024101816034"</f>
        <v>DD2024101816034</v>
      </c>
      <c r="D6018" s="1" t="str">
        <f>"CK2024101810062"</f>
        <v>CK2024101810062</v>
      </c>
      <c r="E6018" s="1" t="str">
        <f>"6935156054751385009"</f>
        <v>6935156054751385009</v>
      </c>
      <c r="F6018" s="1" t="str">
        <f t="shared" si="1884"/>
        <v>花都四部-凤凰仓</v>
      </c>
      <c r="G6018" s="1" t="str">
        <f t="shared" si="1892"/>
        <v>卡卡杜个人护理店（抖店）</v>
      </c>
      <c r="H6018" s="1" t="str">
        <f t="shared" si="1885"/>
        <v>正常订单</v>
      </c>
      <c r="I6018" s="1" t="str">
        <f t="shared" si="1886"/>
        <v>已发货</v>
      </c>
      <c r="J6018" s="1" t="str">
        <f t="shared" si="1891"/>
        <v>3</v>
      </c>
      <c r="K6018" s="1">
        <v>3</v>
      </c>
      <c r="L6018" s="1" t="s">
        <v>94</v>
      </c>
      <c r="M6018" s="1" t="str">
        <f>"湖南省 郴州市 永兴县 便江街道"</f>
        <v>湖南省 郴州市 永兴县 便江街道</v>
      </c>
      <c r="N6018" s="1" t="str">
        <f t="shared" si="1888"/>
        <v>凡华云仓-韵达-抖音</v>
      </c>
      <c r="O6018" s="5">
        <v>320177472972952</v>
      </c>
      <c r="P6018" s="6">
        <v>0.34</v>
      </c>
      <c r="Q6018" s="11">
        <v>2.2999999999999998</v>
      </c>
      <c r="R6018" s="11"/>
      <c r="S6018" s="11"/>
      <c r="T6018" s="11"/>
      <c r="U6018" s="11">
        <f t="shared" si="1882"/>
        <v>2.2999999999999998</v>
      </c>
      <c r="W6018">
        <v>2.5</v>
      </c>
      <c r="X6018" s="1" t="s">
        <v>94</v>
      </c>
    </row>
    <row r="6019" spans="1:24" x14ac:dyDescent="0.25">
      <c r="A6019" s="1" t="str">
        <f t="shared" si="1883"/>
        <v>卡卡杜-凤凰仓</v>
      </c>
      <c r="B6019" s="1" t="str">
        <f>"CK2024101810296"</f>
        <v>CK2024101810296</v>
      </c>
      <c r="C6019" s="1" t="str">
        <f>"DD2024101816041"</f>
        <v>DD2024101816041</v>
      </c>
      <c r="D6019" s="1" t="str">
        <f>"CK2024101810061"</f>
        <v>CK2024101810061</v>
      </c>
      <c r="E6019" s="1" t="str">
        <f>"6935149930319779422"</f>
        <v>6935149930319779422</v>
      </c>
      <c r="F6019" s="1" t="str">
        <f t="shared" si="1884"/>
        <v>花都四部-凤凰仓</v>
      </c>
      <c r="G6019" s="1" t="str">
        <f t="shared" si="1892"/>
        <v>卡卡杜个人护理店（抖店）</v>
      </c>
      <c r="H6019" s="1" t="str">
        <f t="shared" si="1885"/>
        <v>正常订单</v>
      </c>
      <c r="I6019" s="1" t="str">
        <f t="shared" si="1886"/>
        <v>已发货</v>
      </c>
      <c r="J6019" s="1" t="str">
        <f>"6"</f>
        <v>6</v>
      </c>
      <c r="K6019" s="1">
        <v>3</v>
      </c>
      <c r="L6019" s="1" t="s">
        <v>30</v>
      </c>
      <c r="M6019" s="1" t="str">
        <f>"山东省 青岛市 胶州市 九龙街道"</f>
        <v>山东省 青岛市 胶州市 九龙街道</v>
      </c>
      <c r="N6019" s="1" t="str">
        <f t="shared" si="1888"/>
        <v>凡华云仓-韵达-抖音</v>
      </c>
      <c r="O6019" s="5">
        <v>320177472972847</v>
      </c>
      <c r="P6019" s="6">
        <v>0.55000000000000004</v>
      </c>
      <c r="Q6019" s="11">
        <f>CEILING(P6019-0.5,0.1)*10*0.15+2.3</f>
        <v>2.4499999999999997</v>
      </c>
      <c r="R6019" s="11"/>
      <c r="S6019" s="11"/>
      <c r="T6019" s="11"/>
      <c r="U6019" s="11">
        <f t="shared" ref="U6019:U6082" si="1893">T6019+S6019+R6019+Q6019</f>
        <v>2.4499999999999997</v>
      </c>
      <c r="V6019" t="s">
        <v>15</v>
      </c>
      <c r="W6019">
        <v>2.4500000000000002</v>
      </c>
      <c r="X6019" s="1" t="s">
        <v>30</v>
      </c>
    </row>
    <row r="6020" spans="1:24" x14ac:dyDescent="0.25">
      <c r="A6020" s="1" t="str">
        <f t="shared" si="1883"/>
        <v>卡卡杜-凤凰仓</v>
      </c>
      <c r="B6020" s="1" t="str">
        <f>"CK2024101810297"</f>
        <v>CK2024101810297</v>
      </c>
      <c r="C6020" s="1" t="str">
        <f>"DD2024101816043"</f>
        <v>DD2024101816043</v>
      </c>
      <c r="D6020" s="1" t="str">
        <f>"CK2024101810060"</f>
        <v>CK2024101810060</v>
      </c>
      <c r="E6020" s="1" t="str">
        <f>"6935167553366660570"</f>
        <v>6935167553366660570</v>
      </c>
      <c r="F6020" s="1" t="str">
        <f t="shared" si="1884"/>
        <v>花都四部-凤凰仓</v>
      </c>
      <c r="G6020" s="1" t="str">
        <f t="shared" si="1892"/>
        <v>卡卡杜个人护理店（抖店）</v>
      </c>
      <c r="H6020" s="1" t="str">
        <f t="shared" si="1885"/>
        <v>正常订单</v>
      </c>
      <c r="I6020" s="1" t="str">
        <f t="shared" si="1886"/>
        <v>已发货</v>
      </c>
      <c r="J6020" s="1" t="str">
        <f t="shared" ref="J6020:J6026" si="1894">"3"</f>
        <v>3</v>
      </c>
      <c r="K6020" s="1">
        <v>3</v>
      </c>
      <c r="L6020" s="1" t="s">
        <v>16</v>
      </c>
      <c r="M6020" s="1" t="str">
        <f>"河北省 邢台市 襄都区 祝村镇"</f>
        <v>河北省 邢台市 襄都区 祝村镇</v>
      </c>
      <c r="N6020" s="1" t="str">
        <f t="shared" si="1888"/>
        <v>凡华云仓-韵达-抖音</v>
      </c>
      <c r="O6020" s="5">
        <v>320177472972744</v>
      </c>
      <c r="P6020" s="6">
        <v>0.34</v>
      </c>
      <c r="Q6020" s="11">
        <v>2.2999999999999998</v>
      </c>
      <c r="R6020" s="11"/>
      <c r="S6020" s="11"/>
      <c r="T6020" s="11"/>
      <c r="U6020" s="11">
        <f t="shared" si="1893"/>
        <v>2.2999999999999998</v>
      </c>
      <c r="W6020">
        <v>2.5</v>
      </c>
      <c r="X6020" s="1" t="s">
        <v>16</v>
      </c>
    </row>
    <row r="6021" spans="1:24" x14ac:dyDescent="0.25">
      <c r="A6021" s="1" t="str">
        <f t="shared" ref="A6021:A6084" si="1895">"卡卡杜-凤凰仓"</f>
        <v>卡卡杜-凤凰仓</v>
      </c>
      <c r="B6021" s="1" t="str">
        <f>"CK2024101810294"</f>
        <v>CK2024101810294</v>
      </c>
      <c r="C6021" s="1" t="str">
        <f>"DD2024101816037"</f>
        <v>DD2024101816037</v>
      </c>
      <c r="D6021" s="1" t="str">
        <f>"CK2024101810059"</f>
        <v>CK2024101810059</v>
      </c>
      <c r="E6021" s="1" t="str">
        <f>"6935172007262950979"</f>
        <v>6935172007262950979</v>
      </c>
      <c r="F6021" s="1" t="str">
        <f t="shared" ref="F6021:F6084" si="1896">"花都四部-凤凰仓"</f>
        <v>花都四部-凤凰仓</v>
      </c>
      <c r="G6021" s="1" t="str">
        <f t="shared" si="1892"/>
        <v>卡卡杜个人护理店（抖店）</v>
      </c>
      <c r="H6021" s="1" t="str">
        <f t="shared" ref="H6021:H6084" si="1897">"正常订单"</f>
        <v>正常订单</v>
      </c>
      <c r="I6021" s="1" t="str">
        <f t="shared" ref="I6021:I6084" si="1898">"已发货"</f>
        <v>已发货</v>
      </c>
      <c r="J6021" s="1" t="str">
        <f t="shared" si="1894"/>
        <v>3</v>
      </c>
      <c r="K6021" s="1">
        <v>3</v>
      </c>
      <c r="L6021" s="1" t="s">
        <v>36</v>
      </c>
      <c r="M6021" s="1" t="str">
        <f>"安徽省 宿州市 泗县 大庄镇"</f>
        <v>安徽省 宿州市 泗县 大庄镇</v>
      </c>
      <c r="N6021" s="1" t="str">
        <f t="shared" si="1888"/>
        <v>凡华云仓-韵达-抖音</v>
      </c>
      <c r="O6021" s="5">
        <v>320177472972643</v>
      </c>
      <c r="P6021" s="6">
        <v>0.34</v>
      </c>
      <c r="Q6021" s="11">
        <v>2.2999999999999998</v>
      </c>
      <c r="R6021" s="11"/>
      <c r="S6021" s="11"/>
      <c r="T6021" s="11"/>
      <c r="U6021" s="11">
        <f t="shared" si="1893"/>
        <v>2.2999999999999998</v>
      </c>
      <c r="W6021">
        <v>2.5</v>
      </c>
      <c r="X6021" s="1" t="s">
        <v>36</v>
      </c>
    </row>
    <row r="6022" spans="1:24" x14ac:dyDescent="0.25">
      <c r="A6022" s="1" t="str">
        <f t="shared" si="1895"/>
        <v>卡卡杜-凤凰仓</v>
      </c>
      <c r="B6022" s="1" t="str">
        <f>"CK2024101810298"</f>
        <v>CK2024101810298</v>
      </c>
      <c r="C6022" s="1" t="str">
        <f>"DD2024101816044"</f>
        <v>DD2024101816044</v>
      </c>
      <c r="D6022" s="1" t="str">
        <f>"CK2024101810058"</f>
        <v>CK2024101810058</v>
      </c>
      <c r="E6022" s="1" t="str">
        <f>"6935162868156208479"</f>
        <v>6935162868156208479</v>
      </c>
      <c r="F6022" s="1" t="str">
        <f t="shared" si="1896"/>
        <v>花都四部-凤凰仓</v>
      </c>
      <c r="G6022" s="1" t="str">
        <f t="shared" si="1892"/>
        <v>卡卡杜个人护理店（抖店）</v>
      </c>
      <c r="H6022" s="1" t="str">
        <f t="shared" si="1897"/>
        <v>正常订单</v>
      </c>
      <c r="I6022" s="1" t="str">
        <f t="shared" si="1898"/>
        <v>已发货</v>
      </c>
      <c r="J6022" s="1" t="str">
        <f t="shared" si="1894"/>
        <v>3</v>
      </c>
      <c r="K6022" s="1">
        <v>3</v>
      </c>
      <c r="L6022" s="1" t="s">
        <v>94</v>
      </c>
      <c r="M6022" s="1" t="str">
        <f>"湖南省 株洲市 石峰区 铜塘湾街道"</f>
        <v>湖南省 株洲市 石峰区 铜塘湾街道</v>
      </c>
      <c r="N6022" s="1" t="str">
        <f t="shared" si="1888"/>
        <v>凡华云仓-韵达-抖音</v>
      </c>
      <c r="O6022" s="5">
        <v>320177472972544</v>
      </c>
      <c r="P6022" s="6">
        <v>0.34</v>
      </c>
      <c r="Q6022" s="11">
        <v>2.2999999999999998</v>
      </c>
      <c r="R6022" s="11"/>
      <c r="S6022" s="11"/>
      <c r="T6022" s="11"/>
      <c r="U6022" s="11">
        <f t="shared" si="1893"/>
        <v>2.2999999999999998</v>
      </c>
      <c r="W6022">
        <v>2.5</v>
      </c>
      <c r="X6022" s="1" t="s">
        <v>94</v>
      </c>
    </row>
    <row r="6023" spans="1:24" x14ac:dyDescent="0.25">
      <c r="A6023" s="1" t="str">
        <f t="shared" si="1895"/>
        <v>卡卡杜-凤凰仓</v>
      </c>
      <c r="B6023" s="1" t="str">
        <f>"CK2024101810302"</f>
        <v>CK2024101810302</v>
      </c>
      <c r="C6023" s="1" t="str">
        <f>"DD2024101816052"</f>
        <v>DD2024101816052</v>
      </c>
      <c r="D6023" s="1" t="str">
        <f>"CK2024101810057"</f>
        <v>CK2024101810057</v>
      </c>
      <c r="E6023" s="1" t="str">
        <f>"6935153906490742588"</f>
        <v>6935153906490742588</v>
      </c>
      <c r="F6023" s="1" t="str">
        <f t="shared" si="1896"/>
        <v>花都四部-凤凰仓</v>
      </c>
      <c r="G6023" s="1" t="str">
        <f t="shared" si="1892"/>
        <v>卡卡杜个人护理店（抖店）</v>
      </c>
      <c r="H6023" s="1" t="str">
        <f t="shared" si="1897"/>
        <v>正常订单</v>
      </c>
      <c r="I6023" s="1" t="str">
        <f t="shared" si="1898"/>
        <v>已发货</v>
      </c>
      <c r="J6023" s="1" t="str">
        <f t="shared" si="1894"/>
        <v>3</v>
      </c>
      <c r="K6023" s="1">
        <v>3</v>
      </c>
      <c r="L6023" s="1" t="s">
        <v>60</v>
      </c>
      <c r="M6023" s="1" t="str">
        <f>"云南省 玉溪市 通海县 秀山街道"</f>
        <v>云南省 玉溪市 通海县 秀山街道</v>
      </c>
      <c r="N6023" s="1" t="str">
        <f t="shared" si="1888"/>
        <v>凡华云仓-韵达-抖音</v>
      </c>
      <c r="O6023" s="5">
        <v>320177472972447</v>
      </c>
      <c r="P6023" s="6">
        <v>0.34</v>
      </c>
      <c r="Q6023" s="11">
        <v>2.2999999999999998</v>
      </c>
      <c r="R6023" s="11"/>
      <c r="S6023" s="11"/>
      <c r="T6023" s="11"/>
      <c r="U6023" s="11">
        <f t="shared" si="1893"/>
        <v>2.2999999999999998</v>
      </c>
      <c r="W6023">
        <v>2.5</v>
      </c>
      <c r="X6023" s="1" t="s">
        <v>60</v>
      </c>
    </row>
    <row r="6024" spans="1:24" x14ac:dyDescent="0.25">
      <c r="A6024" s="1" t="str">
        <f t="shared" si="1895"/>
        <v>卡卡杜-凤凰仓</v>
      </c>
      <c r="B6024" s="1" t="str">
        <f>"CK2024101810301"</f>
        <v>CK2024101810301</v>
      </c>
      <c r="C6024" s="1" t="str">
        <f>"DD2024101816053"</f>
        <v>DD2024101816053</v>
      </c>
      <c r="D6024" s="1" t="str">
        <f>"CK2024101810056"</f>
        <v>CK2024101810056</v>
      </c>
      <c r="E6024" s="1" t="str">
        <f>"6935160985858217400"</f>
        <v>6935160985858217400</v>
      </c>
      <c r="F6024" s="1" t="str">
        <f t="shared" si="1896"/>
        <v>花都四部-凤凰仓</v>
      </c>
      <c r="G6024" s="1" t="str">
        <f t="shared" si="1892"/>
        <v>卡卡杜个人护理店（抖店）</v>
      </c>
      <c r="H6024" s="1" t="str">
        <f t="shared" si="1897"/>
        <v>正常订单</v>
      </c>
      <c r="I6024" s="1" t="str">
        <f t="shared" si="1898"/>
        <v>已发货</v>
      </c>
      <c r="J6024" s="1" t="str">
        <f t="shared" si="1894"/>
        <v>3</v>
      </c>
      <c r="K6024" s="1">
        <v>3</v>
      </c>
      <c r="L6024" s="1" t="s">
        <v>20</v>
      </c>
      <c r="M6024" s="1" t="str">
        <f>"浙江省 嘉兴市 南湖区 解放街道"</f>
        <v>浙江省 嘉兴市 南湖区 解放街道</v>
      </c>
      <c r="N6024" s="1" t="str">
        <f t="shared" si="1888"/>
        <v>凡华云仓-韵达-抖音</v>
      </c>
      <c r="O6024" s="5">
        <v>320177472972352</v>
      </c>
      <c r="P6024" s="6">
        <v>0.34</v>
      </c>
      <c r="Q6024" s="11">
        <v>2.2999999999999998</v>
      </c>
      <c r="R6024" s="11"/>
      <c r="S6024" s="11"/>
      <c r="T6024" s="11"/>
      <c r="U6024" s="11">
        <f t="shared" si="1893"/>
        <v>2.2999999999999998</v>
      </c>
      <c r="W6024">
        <v>2.5</v>
      </c>
      <c r="X6024" s="1" t="s">
        <v>20</v>
      </c>
    </row>
    <row r="6025" spans="1:24" x14ac:dyDescent="0.25">
      <c r="A6025" s="1" t="str">
        <f t="shared" si="1895"/>
        <v>卡卡杜-凤凰仓</v>
      </c>
      <c r="B6025" s="1" t="str">
        <f>"CK2024101810295"</f>
        <v>CK2024101810295</v>
      </c>
      <c r="C6025" s="1" t="str">
        <f>"DD2024101816040"</f>
        <v>DD2024101816040</v>
      </c>
      <c r="D6025" s="1" t="str">
        <f>"CK2024101810055"</f>
        <v>CK2024101810055</v>
      </c>
      <c r="E6025" s="1" t="str">
        <f>"6935147343028885358"</f>
        <v>6935147343028885358</v>
      </c>
      <c r="F6025" s="1" t="str">
        <f t="shared" si="1896"/>
        <v>花都四部-凤凰仓</v>
      </c>
      <c r="G6025" s="1" t="str">
        <f t="shared" si="1892"/>
        <v>卡卡杜个人护理店（抖店）</v>
      </c>
      <c r="H6025" s="1" t="str">
        <f t="shared" si="1897"/>
        <v>正常订单</v>
      </c>
      <c r="I6025" s="1" t="str">
        <f t="shared" si="1898"/>
        <v>已发货</v>
      </c>
      <c r="J6025" s="1" t="str">
        <f t="shared" si="1894"/>
        <v>3</v>
      </c>
      <c r="K6025" s="1">
        <v>3</v>
      </c>
      <c r="L6025" s="1" t="s">
        <v>13</v>
      </c>
      <c r="M6025" s="1" t="str">
        <f>"江苏省 扬州市 宝应县 安宜镇"</f>
        <v>江苏省 扬州市 宝应县 安宜镇</v>
      </c>
      <c r="N6025" s="1" t="str">
        <f t="shared" si="1888"/>
        <v>凡华云仓-韵达-抖音</v>
      </c>
      <c r="O6025" s="5">
        <v>320177472972259</v>
      </c>
      <c r="P6025" s="6">
        <v>0.34</v>
      </c>
      <c r="Q6025" s="11">
        <v>2.2999999999999998</v>
      </c>
      <c r="R6025" s="11"/>
      <c r="S6025" s="11"/>
      <c r="T6025" s="11"/>
      <c r="U6025" s="11">
        <f t="shared" si="1893"/>
        <v>2.2999999999999998</v>
      </c>
      <c r="W6025">
        <v>2.5</v>
      </c>
      <c r="X6025" s="1" t="s">
        <v>13</v>
      </c>
    </row>
    <row r="6026" spans="1:24" x14ac:dyDescent="0.25">
      <c r="A6026" s="1" t="str">
        <f t="shared" si="1895"/>
        <v>卡卡杜-凤凰仓</v>
      </c>
      <c r="B6026" s="1" t="str">
        <f>"CK2024101810299"</f>
        <v>CK2024101810299</v>
      </c>
      <c r="C6026" s="1" t="str">
        <f>"DD2024101816047"</f>
        <v>DD2024101816047</v>
      </c>
      <c r="D6026" s="1" t="str">
        <f>"CK2024101810054"</f>
        <v>CK2024101810054</v>
      </c>
      <c r="E6026" s="1" t="str">
        <f>"6935172058139792824"</f>
        <v>6935172058139792824</v>
      </c>
      <c r="F6026" s="1" t="str">
        <f t="shared" si="1896"/>
        <v>花都四部-凤凰仓</v>
      </c>
      <c r="G6026" s="1" t="str">
        <f t="shared" si="1892"/>
        <v>卡卡杜个人护理店（抖店）</v>
      </c>
      <c r="H6026" s="1" t="str">
        <f t="shared" si="1897"/>
        <v>正常订单</v>
      </c>
      <c r="I6026" s="1" t="str">
        <f t="shared" si="1898"/>
        <v>已发货</v>
      </c>
      <c r="J6026" s="1" t="str">
        <f t="shared" si="1894"/>
        <v>3</v>
      </c>
      <c r="K6026" s="1">
        <v>3</v>
      </c>
      <c r="L6026" s="1" t="s">
        <v>18</v>
      </c>
      <c r="M6026" s="1" t="str">
        <f>"广东省 东莞市 东莞市 中堂镇"</f>
        <v>广东省 东莞市 东莞市 中堂镇</v>
      </c>
      <c r="N6026" s="1" t="str">
        <f t="shared" si="1888"/>
        <v>凡华云仓-韵达-抖音</v>
      </c>
      <c r="O6026" s="5">
        <v>320177472972168</v>
      </c>
      <c r="P6026" s="6">
        <v>0.34</v>
      </c>
      <c r="Q6026" s="11">
        <v>2.2999999999999998</v>
      </c>
      <c r="R6026" s="11"/>
      <c r="S6026" s="11"/>
      <c r="T6026" s="11"/>
      <c r="U6026" s="11">
        <f t="shared" si="1893"/>
        <v>2.2999999999999998</v>
      </c>
      <c r="W6026">
        <v>2.5</v>
      </c>
      <c r="X6026" s="1" t="s">
        <v>18</v>
      </c>
    </row>
    <row r="6027" spans="1:24" x14ac:dyDescent="0.25">
      <c r="A6027" s="1" t="str">
        <f t="shared" si="1895"/>
        <v>卡卡杜-凤凰仓</v>
      </c>
      <c r="B6027" s="1" t="str">
        <f>"CK2024101810300"</f>
        <v>CK2024101810300</v>
      </c>
      <c r="C6027" s="1" t="str">
        <f>"DD2024101816048"</f>
        <v>DD2024101816048</v>
      </c>
      <c r="D6027" s="1" t="str">
        <f>"CK2024101810053"</f>
        <v>CK2024101810053</v>
      </c>
      <c r="E6027" s="1" t="str">
        <f>"6935143521617712253"</f>
        <v>6935143521617712253</v>
      </c>
      <c r="F6027" s="1" t="str">
        <f t="shared" si="1896"/>
        <v>花都四部-凤凰仓</v>
      </c>
      <c r="G6027" s="1" t="str">
        <f t="shared" si="1892"/>
        <v>卡卡杜个人护理店（抖店）</v>
      </c>
      <c r="H6027" s="1" t="str">
        <f t="shared" si="1897"/>
        <v>正常订单</v>
      </c>
      <c r="I6027" s="1" t="str">
        <f t="shared" si="1898"/>
        <v>已发货</v>
      </c>
      <c r="J6027" s="1" t="str">
        <f>"6"</f>
        <v>6</v>
      </c>
      <c r="K6027" s="1">
        <v>3</v>
      </c>
      <c r="L6027" s="1" t="s">
        <v>187</v>
      </c>
      <c r="M6027" s="1" t="str">
        <f>"吉林省 长春市 公主岭市 范家屯镇"</f>
        <v>吉林省 长春市 公主岭市 范家屯镇</v>
      </c>
      <c r="N6027" s="1" t="str">
        <f t="shared" si="1888"/>
        <v>凡华云仓-韵达-抖音</v>
      </c>
      <c r="O6027" s="5">
        <v>320177486028276</v>
      </c>
      <c r="P6027" s="6">
        <v>0.55000000000000004</v>
      </c>
      <c r="Q6027" s="11">
        <f>CEILING(P6027-0.5,0.1)*10*0.15+2.3</f>
        <v>2.4499999999999997</v>
      </c>
      <c r="R6027" s="11"/>
      <c r="S6027" s="11"/>
      <c r="T6027" s="11"/>
      <c r="U6027" s="11">
        <f t="shared" si="1893"/>
        <v>2.4499999999999997</v>
      </c>
      <c r="V6027" t="s">
        <v>15</v>
      </c>
      <c r="W6027">
        <v>2.4500000000000002</v>
      </c>
      <c r="X6027" s="1" t="s">
        <v>187</v>
      </c>
    </row>
    <row r="6028" spans="1:24" x14ac:dyDescent="0.25">
      <c r="A6028" s="1" t="str">
        <f t="shared" si="1895"/>
        <v>卡卡杜-凤凰仓</v>
      </c>
      <c r="B6028" s="1" t="str">
        <f>"CK2024101810305"</f>
        <v>CK2024101810305</v>
      </c>
      <c r="C6028" s="1" t="str">
        <f>"DD2024101816056"</f>
        <v>DD2024101816056</v>
      </c>
      <c r="D6028" s="1" t="str">
        <f>"CK2024101810052"</f>
        <v>CK2024101810052</v>
      </c>
      <c r="E6028" s="1" t="str">
        <f>"6935143450634032719"</f>
        <v>6935143450634032719</v>
      </c>
      <c r="F6028" s="1" t="str">
        <f t="shared" si="1896"/>
        <v>花都四部-凤凰仓</v>
      </c>
      <c r="G6028" s="1" t="str">
        <f t="shared" si="1892"/>
        <v>卡卡杜个人护理店（抖店）</v>
      </c>
      <c r="H6028" s="1" t="str">
        <f t="shared" si="1897"/>
        <v>正常订单</v>
      </c>
      <c r="I6028" s="1" t="str">
        <f t="shared" si="1898"/>
        <v>已发货</v>
      </c>
      <c r="J6028" s="1" t="str">
        <f t="shared" ref="J6028:J6039" si="1899">"3"</f>
        <v>3</v>
      </c>
      <c r="K6028" s="1">
        <v>3</v>
      </c>
      <c r="L6028" s="1" t="s">
        <v>80</v>
      </c>
      <c r="M6028" s="1" t="str">
        <f>"河南省 郑州市 巩义市 站街镇"</f>
        <v>河南省 郑州市 巩义市 站街镇</v>
      </c>
      <c r="N6028" s="1" t="str">
        <f t="shared" si="1888"/>
        <v>凡华云仓-韵达-抖音</v>
      </c>
      <c r="O6028" s="5">
        <v>320177486028185</v>
      </c>
      <c r="P6028" s="6">
        <v>0.34</v>
      </c>
      <c r="Q6028" s="11">
        <v>2.2999999999999998</v>
      </c>
      <c r="R6028" s="11"/>
      <c r="S6028" s="11"/>
      <c r="T6028" s="11"/>
      <c r="U6028" s="11">
        <f t="shared" si="1893"/>
        <v>2.2999999999999998</v>
      </c>
      <c r="W6028">
        <v>2.5</v>
      </c>
      <c r="X6028" s="1" t="s">
        <v>80</v>
      </c>
    </row>
    <row r="6029" spans="1:24" x14ac:dyDescent="0.25">
      <c r="A6029" s="1" t="str">
        <f t="shared" si="1895"/>
        <v>卡卡杜-凤凰仓</v>
      </c>
      <c r="B6029" s="1" t="str">
        <f>"CK2024101810304"</f>
        <v>CK2024101810304</v>
      </c>
      <c r="C6029" s="1" t="str">
        <f>"DD2024101816058"</f>
        <v>DD2024101816058</v>
      </c>
      <c r="D6029" s="1" t="str">
        <f>"CK2024101810051"</f>
        <v>CK2024101810051</v>
      </c>
      <c r="E6029" s="1" t="str">
        <f>"6935176611552695583"</f>
        <v>6935176611552695583</v>
      </c>
      <c r="F6029" s="1" t="str">
        <f t="shared" si="1896"/>
        <v>花都四部-凤凰仓</v>
      </c>
      <c r="G6029" s="1" t="str">
        <f t="shared" si="1892"/>
        <v>卡卡杜个人护理店（抖店）</v>
      </c>
      <c r="H6029" s="1" t="str">
        <f t="shared" si="1897"/>
        <v>正常订单</v>
      </c>
      <c r="I6029" s="1" t="str">
        <f t="shared" si="1898"/>
        <v>已发货</v>
      </c>
      <c r="J6029" s="1" t="str">
        <f t="shared" si="1899"/>
        <v>3</v>
      </c>
      <c r="K6029" s="1">
        <v>3</v>
      </c>
      <c r="L6029" s="1" t="s">
        <v>24</v>
      </c>
      <c r="M6029" s="1" t="str">
        <f>"福建省 泉州市 泉港区 后龙镇"</f>
        <v>福建省 泉州市 泉港区 后龙镇</v>
      </c>
      <c r="N6029" s="1" t="str">
        <f t="shared" si="1888"/>
        <v>凡华云仓-韵达-抖音</v>
      </c>
      <c r="O6029" s="5">
        <v>320177486028096</v>
      </c>
      <c r="P6029" s="6">
        <v>0.34</v>
      </c>
      <c r="Q6029" s="11">
        <v>2.2999999999999998</v>
      </c>
      <c r="R6029" s="11"/>
      <c r="S6029" s="11"/>
      <c r="T6029" s="11"/>
      <c r="U6029" s="11">
        <f t="shared" si="1893"/>
        <v>2.2999999999999998</v>
      </c>
      <c r="W6029">
        <v>2.5</v>
      </c>
      <c r="X6029" s="1" t="s">
        <v>24</v>
      </c>
    </row>
    <row r="6030" spans="1:24" x14ac:dyDescent="0.25">
      <c r="A6030" s="1" t="str">
        <f t="shared" si="1895"/>
        <v>卡卡杜-凤凰仓</v>
      </c>
      <c r="B6030" s="1" t="str">
        <f>"CK2024101810306"</f>
        <v>CK2024101810306</v>
      </c>
      <c r="C6030" s="1" t="str">
        <f>"DD2024101816061"</f>
        <v>DD2024101816061</v>
      </c>
      <c r="D6030" s="1" t="str">
        <f>"CK2024101810050"</f>
        <v>CK2024101810050</v>
      </c>
      <c r="E6030" s="1" t="str">
        <f>"6935141068054533799"</f>
        <v>6935141068054533799</v>
      </c>
      <c r="F6030" s="1" t="str">
        <f t="shared" si="1896"/>
        <v>花都四部-凤凰仓</v>
      </c>
      <c r="G6030" s="1" t="str">
        <f t="shared" si="1892"/>
        <v>卡卡杜个人护理店（抖店）</v>
      </c>
      <c r="H6030" s="1" t="str">
        <f t="shared" si="1897"/>
        <v>正常订单</v>
      </c>
      <c r="I6030" s="1" t="str">
        <f t="shared" si="1898"/>
        <v>已发货</v>
      </c>
      <c r="J6030" s="1" t="str">
        <f t="shared" si="1899"/>
        <v>3</v>
      </c>
      <c r="K6030" s="1">
        <v>3</v>
      </c>
      <c r="L6030" s="1" t="s">
        <v>109</v>
      </c>
      <c r="M6030" s="1" t="str">
        <f>"山西省 长治市 壶关县 龙泉镇"</f>
        <v>山西省 长治市 壶关县 龙泉镇</v>
      </c>
      <c r="N6030" s="1" t="str">
        <f t="shared" si="1888"/>
        <v>凡华云仓-韵达-抖音</v>
      </c>
      <c r="O6030" s="5">
        <v>320177486027966</v>
      </c>
      <c r="P6030" s="6">
        <v>0.34</v>
      </c>
      <c r="Q6030" s="11">
        <v>2.2999999999999998</v>
      </c>
      <c r="R6030" s="11"/>
      <c r="S6030" s="11"/>
      <c r="T6030" s="11"/>
      <c r="U6030" s="11">
        <f t="shared" si="1893"/>
        <v>2.2999999999999998</v>
      </c>
      <c r="W6030">
        <v>2.5</v>
      </c>
      <c r="X6030" s="1" t="s">
        <v>109</v>
      </c>
    </row>
    <row r="6031" spans="1:24" x14ac:dyDescent="0.25">
      <c r="A6031" s="1" t="str">
        <f t="shared" si="1895"/>
        <v>卡卡杜-凤凰仓</v>
      </c>
      <c r="B6031" s="1" t="str">
        <f>"CK2024101810307"</f>
        <v>CK2024101810307</v>
      </c>
      <c r="C6031" s="1" t="str">
        <f>"DD2024101816063"</f>
        <v>DD2024101816063</v>
      </c>
      <c r="D6031" s="1" t="str">
        <f>"CK2024101810049"</f>
        <v>CK2024101810049</v>
      </c>
      <c r="E6031" s="1" t="str">
        <f>"6935143508060673893"</f>
        <v>6935143508060673893</v>
      </c>
      <c r="F6031" s="1" t="str">
        <f t="shared" si="1896"/>
        <v>花都四部-凤凰仓</v>
      </c>
      <c r="G6031" s="1" t="str">
        <f t="shared" si="1892"/>
        <v>卡卡杜个人护理店（抖店）</v>
      </c>
      <c r="H6031" s="1" t="str">
        <f t="shared" si="1897"/>
        <v>正常订单</v>
      </c>
      <c r="I6031" s="1" t="str">
        <f t="shared" si="1898"/>
        <v>已发货</v>
      </c>
      <c r="J6031" s="1" t="str">
        <f t="shared" si="1899"/>
        <v>3</v>
      </c>
      <c r="K6031" s="1">
        <v>3</v>
      </c>
      <c r="L6031" s="1" t="s">
        <v>92</v>
      </c>
      <c r="M6031" s="1" t="str">
        <f>"辽宁省 营口市 盖州市 九垄地街道"</f>
        <v>辽宁省 营口市 盖州市 九垄地街道</v>
      </c>
      <c r="N6031" s="1" t="str">
        <f t="shared" si="1888"/>
        <v>凡华云仓-韵达-抖音</v>
      </c>
      <c r="O6031" s="5">
        <v>320177486027861</v>
      </c>
      <c r="P6031" s="6">
        <v>0.34</v>
      </c>
      <c r="Q6031" s="11">
        <v>2.2999999999999998</v>
      </c>
      <c r="R6031" s="11"/>
      <c r="S6031" s="11"/>
      <c r="T6031" s="11"/>
      <c r="U6031" s="11">
        <f t="shared" si="1893"/>
        <v>2.2999999999999998</v>
      </c>
      <c r="W6031">
        <v>2.5</v>
      </c>
      <c r="X6031" s="1" t="s">
        <v>92</v>
      </c>
    </row>
    <row r="6032" spans="1:24" x14ac:dyDescent="0.25">
      <c r="A6032" s="1" t="str">
        <f t="shared" si="1895"/>
        <v>卡卡杜-凤凰仓</v>
      </c>
      <c r="B6032" s="1" t="str">
        <f>"CK2024101810308"</f>
        <v>CK2024101810308</v>
      </c>
      <c r="C6032" s="1" t="str">
        <f>"DD2024101816065"</f>
        <v>DD2024101816065</v>
      </c>
      <c r="D6032" s="1" t="str">
        <f>"CK2024101810048"</f>
        <v>CK2024101810048</v>
      </c>
      <c r="E6032" s="1" t="str">
        <f>"6935151584215766106"</f>
        <v>6935151584215766106</v>
      </c>
      <c r="F6032" s="1" t="str">
        <f t="shared" si="1896"/>
        <v>花都四部-凤凰仓</v>
      </c>
      <c r="G6032" s="1" t="str">
        <f t="shared" si="1892"/>
        <v>卡卡杜个人护理店（抖店）</v>
      </c>
      <c r="H6032" s="1" t="str">
        <f t="shared" si="1897"/>
        <v>正常订单</v>
      </c>
      <c r="I6032" s="1" t="str">
        <f t="shared" si="1898"/>
        <v>已发货</v>
      </c>
      <c r="J6032" s="1" t="str">
        <f t="shared" si="1899"/>
        <v>3</v>
      </c>
      <c r="K6032" s="1">
        <v>3</v>
      </c>
      <c r="L6032" s="1" t="s">
        <v>80</v>
      </c>
      <c r="M6032" s="1" t="str">
        <f>"河南省 洛阳市 汝阳县 "</f>
        <v xml:space="preserve">河南省 洛阳市 汝阳县 </v>
      </c>
      <c r="N6032" s="1" t="str">
        <f t="shared" si="1888"/>
        <v>凡华云仓-韵达-抖音</v>
      </c>
      <c r="O6032" s="5">
        <v>320177486027758</v>
      </c>
      <c r="P6032" s="6">
        <v>0.34</v>
      </c>
      <c r="Q6032" s="11">
        <v>2.2999999999999998</v>
      </c>
      <c r="R6032" s="11"/>
      <c r="S6032" s="11"/>
      <c r="T6032" s="11"/>
      <c r="U6032" s="11">
        <f t="shared" si="1893"/>
        <v>2.2999999999999998</v>
      </c>
      <c r="W6032">
        <v>2.5</v>
      </c>
      <c r="X6032" s="1" t="s">
        <v>80</v>
      </c>
    </row>
    <row r="6033" spans="1:24" x14ac:dyDescent="0.25">
      <c r="A6033" s="1" t="str">
        <f t="shared" si="1895"/>
        <v>卡卡杜-凤凰仓</v>
      </c>
      <c r="B6033" s="1" t="str">
        <f>"CK2024101810310"</f>
        <v>CK2024101810310</v>
      </c>
      <c r="C6033" s="1" t="str">
        <f>"DD2024101816068"</f>
        <v>DD2024101816068</v>
      </c>
      <c r="D6033" s="1" t="str">
        <f>"CK2024101810047"</f>
        <v>CK2024101810047</v>
      </c>
      <c r="E6033" s="1" t="str">
        <f>"6935174242489145234"</f>
        <v>6935174242489145234</v>
      </c>
      <c r="F6033" s="1" t="str">
        <f t="shared" si="1896"/>
        <v>花都四部-凤凰仓</v>
      </c>
      <c r="G6033" s="1" t="str">
        <f t="shared" si="1892"/>
        <v>卡卡杜个人护理店（抖店）</v>
      </c>
      <c r="H6033" s="1" t="str">
        <f t="shared" si="1897"/>
        <v>正常订单</v>
      </c>
      <c r="I6033" s="1" t="str">
        <f t="shared" si="1898"/>
        <v>已发货</v>
      </c>
      <c r="J6033" s="1" t="str">
        <f t="shared" si="1899"/>
        <v>3</v>
      </c>
      <c r="K6033" s="1">
        <v>3</v>
      </c>
      <c r="L6033" s="1" t="s">
        <v>30</v>
      </c>
      <c r="M6033" s="1" t="str">
        <f>"山东省 滨州市 滨城区 北镇街道"</f>
        <v>山东省 滨州市 滨城区 北镇街道</v>
      </c>
      <c r="N6033" s="1" t="str">
        <f t="shared" si="1888"/>
        <v>凡华云仓-韵达-抖音</v>
      </c>
      <c r="O6033" s="5">
        <v>320177486027657</v>
      </c>
      <c r="P6033" s="6">
        <v>0.34</v>
      </c>
      <c r="Q6033" s="11">
        <v>2.2999999999999998</v>
      </c>
      <c r="R6033" s="11"/>
      <c r="S6033" s="11"/>
      <c r="T6033" s="11"/>
      <c r="U6033" s="11">
        <f t="shared" si="1893"/>
        <v>2.2999999999999998</v>
      </c>
      <c r="W6033">
        <v>2.5</v>
      </c>
      <c r="X6033" s="1" t="s">
        <v>30</v>
      </c>
    </row>
    <row r="6034" spans="1:24" x14ac:dyDescent="0.25">
      <c r="A6034" s="1" t="str">
        <f t="shared" si="1895"/>
        <v>卡卡杜-凤凰仓</v>
      </c>
      <c r="B6034" s="1" t="str">
        <f>"CK2024101810311"</f>
        <v>CK2024101810311</v>
      </c>
      <c r="C6034" s="1" t="str">
        <f>"DD2024101816069"</f>
        <v>DD2024101816069</v>
      </c>
      <c r="D6034" s="1" t="str">
        <f>"CK2024101810046"</f>
        <v>CK2024101810046</v>
      </c>
      <c r="E6034" s="1" t="str">
        <f>"6935151631843071744"</f>
        <v>6935151631843071744</v>
      </c>
      <c r="F6034" s="1" t="str">
        <f t="shared" si="1896"/>
        <v>花都四部-凤凰仓</v>
      </c>
      <c r="G6034" s="1" t="str">
        <f t="shared" si="1892"/>
        <v>卡卡杜个人护理店（抖店）</v>
      </c>
      <c r="H6034" s="1" t="str">
        <f t="shared" si="1897"/>
        <v>正常订单</v>
      </c>
      <c r="I6034" s="1" t="str">
        <f t="shared" si="1898"/>
        <v>已发货</v>
      </c>
      <c r="J6034" s="1" t="str">
        <f t="shared" si="1899"/>
        <v>3</v>
      </c>
      <c r="K6034" s="1">
        <v>3</v>
      </c>
      <c r="L6034" s="1" t="s">
        <v>32</v>
      </c>
      <c r="M6034" s="1" t="str">
        <f>"陕西省 西安市 新城区 长乐中路街道"</f>
        <v>陕西省 西安市 新城区 长乐中路街道</v>
      </c>
      <c r="N6034" s="1" t="str">
        <f t="shared" si="1888"/>
        <v>凡华云仓-韵达-抖音</v>
      </c>
      <c r="O6034" s="5">
        <v>320177486027558</v>
      </c>
      <c r="P6034" s="6">
        <v>0.34</v>
      </c>
      <c r="Q6034" s="11">
        <v>2.2999999999999998</v>
      </c>
      <c r="R6034" s="11"/>
      <c r="S6034" s="11"/>
      <c r="T6034" s="11"/>
      <c r="U6034" s="11">
        <f t="shared" si="1893"/>
        <v>2.2999999999999998</v>
      </c>
      <c r="W6034">
        <v>2.5</v>
      </c>
      <c r="X6034" s="1" t="s">
        <v>32</v>
      </c>
    </row>
    <row r="6035" spans="1:24" x14ac:dyDescent="0.25">
      <c r="A6035" s="1" t="str">
        <f t="shared" si="1895"/>
        <v>卡卡杜-凤凰仓</v>
      </c>
      <c r="B6035" s="1" t="str">
        <f>"CK2024101810303"</f>
        <v>CK2024101810303</v>
      </c>
      <c r="C6035" s="1" t="str">
        <f>"DD2024101816055"</f>
        <v>DD2024101816055</v>
      </c>
      <c r="D6035" s="1" t="str">
        <f>"CK2024101810045"</f>
        <v>CK2024101810045</v>
      </c>
      <c r="E6035" s="1" t="str">
        <f>"6935160867724793314"</f>
        <v>6935160867724793314</v>
      </c>
      <c r="F6035" s="1" t="str">
        <f t="shared" si="1896"/>
        <v>花都四部-凤凰仓</v>
      </c>
      <c r="G6035" s="1" t="str">
        <f t="shared" si="1892"/>
        <v>卡卡杜个人护理店（抖店）</v>
      </c>
      <c r="H6035" s="1" t="str">
        <f t="shared" si="1897"/>
        <v>正常订单</v>
      </c>
      <c r="I6035" s="1" t="str">
        <f t="shared" si="1898"/>
        <v>已发货</v>
      </c>
      <c r="J6035" s="1" t="str">
        <f t="shared" si="1899"/>
        <v>3</v>
      </c>
      <c r="K6035" s="1">
        <v>3</v>
      </c>
      <c r="L6035" s="1" t="s">
        <v>30</v>
      </c>
      <c r="M6035" s="1" t="str">
        <f>"山东省 青岛市 胶州市 三里河街道"</f>
        <v>山东省 青岛市 胶州市 三里河街道</v>
      </c>
      <c r="N6035" s="1" t="str">
        <f t="shared" si="1888"/>
        <v>凡华云仓-韵达-抖音</v>
      </c>
      <c r="O6035" s="5">
        <v>320177486027461</v>
      </c>
      <c r="P6035" s="6">
        <v>0.34</v>
      </c>
      <c r="Q6035" s="11">
        <v>2.2999999999999998</v>
      </c>
      <c r="R6035" s="11"/>
      <c r="S6035" s="11"/>
      <c r="T6035" s="11"/>
      <c r="U6035" s="11">
        <f t="shared" si="1893"/>
        <v>2.2999999999999998</v>
      </c>
      <c r="W6035">
        <v>2.5</v>
      </c>
      <c r="X6035" s="1" t="s">
        <v>30</v>
      </c>
    </row>
    <row r="6036" spans="1:24" x14ac:dyDescent="0.25">
      <c r="A6036" s="1" t="str">
        <f t="shared" si="1895"/>
        <v>卡卡杜-凤凰仓</v>
      </c>
      <c r="B6036" s="1" t="str">
        <f>"CK2024101810309"</f>
        <v>CK2024101810309</v>
      </c>
      <c r="C6036" s="1" t="str">
        <f>"DD2024101816067"</f>
        <v>DD2024101816067</v>
      </c>
      <c r="D6036" s="1" t="str">
        <f>"CK2024101810044"</f>
        <v>CK2024101810044</v>
      </c>
      <c r="E6036" s="1" t="str">
        <f>"6935172038927062704"</f>
        <v>6935172038927062704</v>
      </c>
      <c r="F6036" s="1" t="str">
        <f t="shared" si="1896"/>
        <v>花都四部-凤凰仓</v>
      </c>
      <c r="G6036" s="1" t="str">
        <f t="shared" si="1892"/>
        <v>卡卡杜个人护理店（抖店）</v>
      </c>
      <c r="H6036" s="1" t="str">
        <f t="shared" si="1897"/>
        <v>正常订单</v>
      </c>
      <c r="I6036" s="1" t="str">
        <f t="shared" si="1898"/>
        <v>已发货</v>
      </c>
      <c r="J6036" s="1" t="str">
        <f t="shared" si="1899"/>
        <v>3</v>
      </c>
      <c r="K6036" s="1">
        <v>3</v>
      </c>
      <c r="L6036" s="1" t="s">
        <v>41</v>
      </c>
      <c r="M6036" s="1" t="str">
        <f>"湖北省 天门市 天门市 岳口镇"</f>
        <v>湖北省 天门市 天门市 岳口镇</v>
      </c>
      <c r="N6036" s="1" t="str">
        <f t="shared" si="1888"/>
        <v>凡华云仓-韵达-抖音</v>
      </c>
      <c r="O6036" s="5">
        <v>320177486027366</v>
      </c>
      <c r="P6036" s="6">
        <v>0.34</v>
      </c>
      <c r="Q6036" s="11">
        <v>2.2999999999999998</v>
      </c>
      <c r="R6036" s="11"/>
      <c r="S6036" s="11"/>
      <c r="T6036" s="11"/>
      <c r="U6036" s="11">
        <f t="shared" si="1893"/>
        <v>2.2999999999999998</v>
      </c>
      <c r="W6036">
        <v>2.5</v>
      </c>
      <c r="X6036" s="1" t="s">
        <v>41</v>
      </c>
    </row>
    <row r="6037" spans="1:24" x14ac:dyDescent="0.25">
      <c r="A6037" s="1" t="str">
        <f t="shared" si="1895"/>
        <v>卡卡杜-凤凰仓</v>
      </c>
      <c r="B6037" s="1" t="str">
        <f>"CK2024101810312"</f>
        <v>CK2024101810312</v>
      </c>
      <c r="C6037" s="1" t="str">
        <f>"DD2024101816074"</f>
        <v>DD2024101816074</v>
      </c>
      <c r="D6037" s="1" t="str">
        <f>"CK2024101810043"</f>
        <v>CK2024101810043</v>
      </c>
      <c r="E6037" s="1" t="str">
        <f>"6935162805574702215"</f>
        <v>6935162805574702215</v>
      </c>
      <c r="F6037" s="1" t="str">
        <f t="shared" si="1896"/>
        <v>花都四部-凤凰仓</v>
      </c>
      <c r="G6037" s="1" t="str">
        <f t="shared" si="1892"/>
        <v>卡卡杜个人护理店（抖店）</v>
      </c>
      <c r="H6037" s="1" t="str">
        <f t="shared" si="1897"/>
        <v>正常订单</v>
      </c>
      <c r="I6037" s="1" t="str">
        <f t="shared" si="1898"/>
        <v>已发货</v>
      </c>
      <c r="J6037" s="1" t="str">
        <f t="shared" si="1899"/>
        <v>3</v>
      </c>
      <c r="K6037" s="1">
        <v>3</v>
      </c>
      <c r="L6037" s="1" t="s">
        <v>41</v>
      </c>
      <c r="M6037" s="1" t="str">
        <f>"湖北省 黄石市 大冶市 东风路街道"</f>
        <v>湖北省 黄石市 大冶市 东风路街道</v>
      </c>
      <c r="N6037" s="1" t="str">
        <f t="shared" si="1888"/>
        <v>凡华云仓-韵达-抖音</v>
      </c>
      <c r="O6037" s="5">
        <v>320177464927731</v>
      </c>
      <c r="P6037" s="6">
        <v>0.34</v>
      </c>
      <c r="Q6037" s="11">
        <v>2.2999999999999998</v>
      </c>
      <c r="R6037" s="11"/>
      <c r="S6037" s="11"/>
      <c r="T6037" s="11"/>
      <c r="U6037" s="11">
        <f t="shared" si="1893"/>
        <v>2.2999999999999998</v>
      </c>
      <c r="W6037">
        <v>2.5</v>
      </c>
      <c r="X6037" s="1" t="s">
        <v>41</v>
      </c>
    </row>
    <row r="6038" spans="1:24" x14ac:dyDescent="0.25">
      <c r="A6038" s="1" t="str">
        <f t="shared" si="1895"/>
        <v>卡卡杜-凤凰仓</v>
      </c>
      <c r="B6038" s="1" t="str">
        <f>"CK2024101810315"</f>
        <v>CK2024101810315</v>
      </c>
      <c r="C6038" s="1" t="str">
        <f>"DD2024101816081"</f>
        <v>DD2024101816081</v>
      </c>
      <c r="D6038" s="1" t="str">
        <f>"CK2024101810042"</f>
        <v>CK2024101810042</v>
      </c>
      <c r="E6038" s="1" t="str">
        <f>"6935151577017030413"</f>
        <v>6935151577017030413</v>
      </c>
      <c r="F6038" s="1" t="str">
        <f t="shared" si="1896"/>
        <v>花都四部-凤凰仓</v>
      </c>
      <c r="G6038" s="1" t="str">
        <f t="shared" si="1892"/>
        <v>卡卡杜个人护理店（抖店）</v>
      </c>
      <c r="H6038" s="1" t="str">
        <f t="shared" si="1897"/>
        <v>正常订单</v>
      </c>
      <c r="I6038" s="1" t="str">
        <f t="shared" si="1898"/>
        <v>已发货</v>
      </c>
      <c r="J6038" s="1" t="str">
        <f t="shared" si="1899"/>
        <v>3</v>
      </c>
      <c r="K6038" s="1">
        <v>3</v>
      </c>
      <c r="L6038" s="1" t="s">
        <v>13</v>
      </c>
      <c r="M6038" s="1" t="str">
        <f>"江苏省 徐州市 邳州市 议堂镇"</f>
        <v>江苏省 徐州市 邳州市 议堂镇</v>
      </c>
      <c r="N6038" s="1" t="str">
        <f t="shared" si="1888"/>
        <v>凡华云仓-韵达-抖音</v>
      </c>
      <c r="O6038" s="5">
        <v>320177464927630</v>
      </c>
      <c r="P6038" s="6">
        <v>0.34</v>
      </c>
      <c r="Q6038" s="11">
        <v>2.2999999999999998</v>
      </c>
      <c r="R6038" s="11"/>
      <c r="S6038" s="11"/>
      <c r="T6038" s="11"/>
      <c r="U6038" s="11">
        <f t="shared" si="1893"/>
        <v>2.2999999999999998</v>
      </c>
      <c r="W6038">
        <v>2.5</v>
      </c>
      <c r="X6038" s="1" t="s">
        <v>13</v>
      </c>
    </row>
    <row r="6039" spans="1:24" x14ac:dyDescent="0.25">
      <c r="A6039" s="1" t="str">
        <f t="shared" si="1895"/>
        <v>卡卡杜-凤凰仓</v>
      </c>
      <c r="B6039" s="1" t="str">
        <f>"CK2024101810316"</f>
        <v>CK2024101810316</v>
      </c>
      <c r="C6039" s="1" t="str">
        <f>"DD2024101816085"</f>
        <v>DD2024101816085</v>
      </c>
      <c r="D6039" s="1" t="str">
        <f>"CK2024101810041"</f>
        <v>CK2024101810041</v>
      </c>
      <c r="E6039" s="1" t="str">
        <f>"6935145262018991609"</f>
        <v>6935145262018991609</v>
      </c>
      <c r="F6039" s="1" t="str">
        <f t="shared" si="1896"/>
        <v>花都四部-凤凰仓</v>
      </c>
      <c r="G6039" s="1" t="str">
        <f t="shared" si="1892"/>
        <v>卡卡杜个人护理店（抖店）</v>
      </c>
      <c r="H6039" s="1" t="str">
        <f t="shared" si="1897"/>
        <v>正常订单</v>
      </c>
      <c r="I6039" s="1" t="str">
        <f t="shared" si="1898"/>
        <v>已发货</v>
      </c>
      <c r="J6039" s="1" t="str">
        <f t="shared" si="1899"/>
        <v>3</v>
      </c>
      <c r="K6039" s="1">
        <v>3</v>
      </c>
      <c r="L6039" s="1" t="s">
        <v>47</v>
      </c>
      <c r="M6039" s="1" t="str">
        <f>"重庆 重庆市 江津区 鼎山街道"</f>
        <v>重庆 重庆市 江津区 鼎山街道</v>
      </c>
      <c r="N6039" s="1" t="str">
        <f t="shared" si="1888"/>
        <v>凡华云仓-韵达-抖音</v>
      </c>
      <c r="O6039" s="5">
        <v>320177464927531</v>
      </c>
      <c r="P6039" s="6">
        <v>0.34</v>
      </c>
      <c r="Q6039" s="11">
        <v>2.2999999999999998</v>
      </c>
      <c r="R6039" s="11"/>
      <c r="S6039" s="11"/>
      <c r="T6039" s="11"/>
      <c r="U6039" s="11">
        <f t="shared" si="1893"/>
        <v>2.2999999999999998</v>
      </c>
      <c r="W6039">
        <v>2.5</v>
      </c>
      <c r="X6039" s="1" t="s">
        <v>47</v>
      </c>
    </row>
    <row r="6040" spans="1:24" x14ac:dyDescent="0.25">
      <c r="A6040" s="1" t="str">
        <f t="shared" si="1895"/>
        <v>卡卡杜-凤凰仓</v>
      </c>
      <c r="B6040" s="1" t="str">
        <f>"CK2024101810313"</f>
        <v>CK2024101810313</v>
      </c>
      <c r="C6040" s="1" t="str">
        <f>"DD2024101816076"</f>
        <v>DD2024101816076</v>
      </c>
      <c r="D6040" s="1" t="str">
        <f>"CK2024101810040"</f>
        <v>CK2024101810040</v>
      </c>
      <c r="E6040" s="1" t="str">
        <f>"6935141001871103868"</f>
        <v>6935141001871103868</v>
      </c>
      <c r="F6040" s="1" t="str">
        <f t="shared" si="1896"/>
        <v>花都四部-凤凰仓</v>
      </c>
      <c r="G6040" s="1" t="str">
        <f t="shared" si="1892"/>
        <v>卡卡杜个人护理店（抖店）</v>
      </c>
      <c r="H6040" s="1" t="str">
        <f t="shared" si="1897"/>
        <v>正常订单</v>
      </c>
      <c r="I6040" s="1" t="str">
        <f t="shared" si="1898"/>
        <v>已发货</v>
      </c>
      <c r="J6040" s="1" t="str">
        <f>"6"</f>
        <v>6</v>
      </c>
      <c r="K6040" s="1">
        <v>3</v>
      </c>
      <c r="L6040" s="1" t="s">
        <v>24</v>
      </c>
      <c r="M6040" s="1" t="str">
        <f>"福建省 三明市 梅列区 列东街道"</f>
        <v>福建省 三明市 梅列区 列东街道</v>
      </c>
      <c r="N6040" s="1" t="str">
        <f t="shared" si="1888"/>
        <v>凡华云仓-韵达-抖音</v>
      </c>
      <c r="O6040" s="5">
        <v>320177464927434</v>
      </c>
      <c r="P6040" s="6">
        <v>0.55000000000000004</v>
      </c>
      <c r="Q6040" s="11">
        <f>CEILING(P6040-0.5,0.1)*10*0.15+2.3</f>
        <v>2.4499999999999997</v>
      </c>
      <c r="R6040" s="11"/>
      <c r="S6040" s="11"/>
      <c r="T6040" s="11"/>
      <c r="U6040" s="11">
        <f t="shared" si="1893"/>
        <v>2.4499999999999997</v>
      </c>
      <c r="V6040" t="s">
        <v>15</v>
      </c>
      <c r="W6040">
        <v>2.4500000000000002</v>
      </c>
      <c r="X6040" s="1" t="s">
        <v>24</v>
      </c>
    </row>
    <row r="6041" spans="1:24" x14ac:dyDescent="0.25">
      <c r="A6041" s="1" t="str">
        <f t="shared" si="1895"/>
        <v>卡卡杜-凤凰仓</v>
      </c>
      <c r="B6041" s="1" t="str">
        <f>"CK2024101810314"</f>
        <v>CK2024101810314</v>
      </c>
      <c r="C6041" s="1" t="str">
        <f>"DD2024101816077"</f>
        <v>DD2024101816077</v>
      </c>
      <c r="D6041" s="1" t="str">
        <f>"CK2024101810039"</f>
        <v>CK2024101810039</v>
      </c>
      <c r="E6041" s="1" t="str">
        <f>"6935151645747320715"</f>
        <v>6935151645747320715</v>
      </c>
      <c r="F6041" s="1" t="str">
        <f t="shared" si="1896"/>
        <v>花都四部-凤凰仓</v>
      </c>
      <c r="G6041" s="1" t="str">
        <f t="shared" si="1892"/>
        <v>卡卡杜个人护理店（抖店）</v>
      </c>
      <c r="H6041" s="1" t="str">
        <f t="shared" si="1897"/>
        <v>正常订单</v>
      </c>
      <c r="I6041" s="1" t="str">
        <f t="shared" si="1898"/>
        <v>已发货</v>
      </c>
      <c r="J6041" s="1" t="str">
        <f t="shared" ref="J6041:J6052" si="1900">"3"</f>
        <v>3</v>
      </c>
      <c r="K6041" s="1">
        <v>3</v>
      </c>
      <c r="L6041" s="1" t="s">
        <v>32</v>
      </c>
      <c r="M6041" s="1" t="str">
        <f>"陕西省 榆林市 榆阳区 航宇路街道"</f>
        <v>陕西省 榆林市 榆阳区 航宇路街道</v>
      </c>
      <c r="N6041" s="1" t="str">
        <f t="shared" si="1888"/>
        <v>凡华云仓-韵达-抖音</v>
      </c>
      <c r="O6041" s="5">
        <v>320177464927339</v>
      </c>
      <c r="P6041" s="6">
        <v>0.34</v>
      </c>
      <c r="Q6041" s="11">
        <v>2.2999999999999998</v>
      </c>
      <c r="R6041" s="11"/>
      <c r="S6041" s="11"/>
      <c r="T6041" s="11"/>
      <c r="U6041" s="11">
        <f t="shared" si="1893"/>
        <v>2.2999999999999998</v>
      </c>
      <c r="W6041">
        <v>2.5</v>
      </c>
      <c r="X6041" s="1" t="s">
        <v>32</v>
      </c>
    </row>
    <row r="6042" spans="1:24" x14ac:dyDescent="0.25">
      <c r="A6042" s="1" t="str">
        <f t="shared" si="1895"/>
        <v>卡卡杜-凤凰仓</v>
      </c>
      <c r="B6042" s="1" t="str">
        <f>"CK2024101810317"</f>
        <v>CK2024101810317</v>
      </c>
      <c r="C6042" s="1" t="str">
        <f>"DD2024101816084"</f>
        <v>DD2024101816084</v>
      </c>
      <c r="D6042" s="1" t="str">
        <f>"CK2024101810038"</f>
        <v>CK2024101810038</v>
      </c>
      <c r="E6042" s="1" t="str">
        <f>"6935167544017884882"</f>
        <v>6935167544017884882</v>
      </c>
      <c r="F6042" s="1" t="str">
        <f t="shared" si="1896"/>
        <v>花都四部-凤凰仓</v>
      </c>
      <c r="G6042" s="1" t="str">
        <f t="shared" si="1892"/>
        <v>卡卡杜个人护理店（抖店）</v>
      </c>
      <c r="H6042" s="1" t="str">
        <f t="shared" si="1897"/>
        <v>正常订单</v>
      </c>
      <c r="I6042" s="1" t="str">
        <f t="shared" si="1898"/>
        <v>已发货</v>
      </c>
      <c r="J6042" s="1" t="str">
        <f t="shared" si="1900"/>
        <v>3</v>
      </c>
      <c r="K6042" s="1">
        <v>3</v>
      </c>
      <c r="L6042" s="1" t="s">
        <v>30</v>
      </c>
      <c r="M6042" s="1" t="str">
        <f>"山东省 潍坊市 临朐县 沂山镇"</f>
        <v>山东省 潍坊市 临朐县 沂山镇</v>
      </c>
      <c r="N6042" s="1" t="str">
        <f t="shared" si="1888"/>
        <v>凡华云仓-韵达-抖音</v>
      </c>
      <c r="O6042" s="5">
        <v>320177464927246</v>
      </c>
      <c r="P6042" s="6">
        <v>0.34</v>
      </c>
      <c r="Q6042" s="11">
        <v>2.2999999999999998</v>
      </c>
      <c r="R6042" s="11"/>
      <c r="S6042" s="11"/>
      <c r="T6042" s="11"/>
      <c r="U6042" s="11">
        <f t="shared" si="1893"/>
        <v>2.2999999999999998</v>
      </c>
      <c r="W6042">
        <v>2.5</v>
      </c>
      <c r="X6042" s="1" t="s">
        <v>30</v>
      </c>
    </row>
    <row r="6043" spans="1:24" x14ac:dyDescent="0.25">
      <c r="A6043" s="1" t="str">
        <f t="shared" si="1895"/>
        <v>卡卡杜-凤凰仓</v>
      </c>
      <c r="B6043" s="1" t="str">
        <f>"CK2024101810319"</f>
        <v>CK2024101810319</v>
      </c>
      <c r="C6043" s="1" t="str">
        <f>"DD2024101816088"</f>
        <v>DD2024101816088</v>
      </c>
      <c r="D6043" s="1" t="str">
        <f>"CK2024101810037"</f>
        <v>CK2024101810037</v>
      </c>
      <c r="E6043" s="1" t="str">
        <f>"6935167575163409902"</f>
        <v>6935167575163409902</v>
      </c>
      <c r="F6043" s="1" t="str">
        <f t="shared" si="1896"/>
        <v>花都四部-凤凰仓</v>
      </c>
      <c r="G6043" s="1" t="str">
        <f t="shared" si="1892"/>
        <v>卡卡杜个人护理店（抖店）</v>
      </c>
      <c r="H6043" s="1" t="str">
        <f t="shared" si="1897"/>
        <v>正常订单</v>
      </c>
      <c r="I6043" s="1" t="str">
        <f t="shared" si="1898"/>
        <v>已发货</v>
      </c>
      <c r="J6043" s="1" t="str">
        <f t="shared" si="1900"/>
        <v>3</v>
      </c>
      <c r="K6043" s="1">
        <v>3</v>
      </c>
      <c r="L6043" s="1" t="s">
        <v>41</v>
      </c>
      <c r="M6043" s="1" t="str">
        <f>"湖北省 仙桃市 仙桃市 干河街道"</f>
        <v>湖北省 仙桃市 仙桃市 干河街道</v>
      </c>
      <c r="N6043" s="1" t="str">
        <f t="shared" si="1888"/>
        <v>凡华云仓-韵达-抖音</v>
      </c>
      <c r="O6043" s="5">
        <v>320177464927155</v>
      </c>
      <c r="P6043" s="6">
        <v>0.34</v>
      </c>
      <c r="Q6043" s="11">
        <v>2.2999999999999998</v>
      </c>
      <c r="R6043" s="11"/>
      <c r="S6043" s="11"/>
      <c r="T6043" s="11"/>
      <c r="U6043" s="11">
        <f t="shared" si="1893"/>
        <v>2.2999999999999998</v>
      </c>
      <c r="W6043">
        <v>2.5</v>
      </c>
      <c r="X6043" s="1" t="s">
        <v>41</v>
      </c>
    </row>
    <row r="6044" spans="1:24" x14ac:dyDescent="0.25">
      <c r="A6044" s="1" t="str">
        <f t="shared" si="1895"/>
        <v>卡卡杜-凤凰仓</v>
      </c>
      <c r="B6044" s="1" t="str">
        <f>"CK2024101810320"</f>
        <v>CK2024101810320</v>
      </c>
      <c r="C6044" s="1" t="str">
        <f>"DD2024101816089"</f>
        <v>DD2024101816089</v>
      </c>
      <c r="D6044" s="1" t="str">
        <f>"CK2024101810036"</f>
        <v>CK2024101810036</v>
      </c>
      <c r="E6044" s="1" t="str">
        <f>"6935147501178328090"</f>
        <v>6935147501178328090</v>
      </c>
      <c r="F6044" s="1" t="str">
        <f t="shared" si="1896"/>
        <v>花都四部-凤凰仓</v>
      </c>
      <c r="G6044" s="1" t="str">
        <f t="shared" si="1892"/>
        <v>卡卡杜个人护理店（抖店）</v>
      </c>
      <c r="H6044" s="1" t="str">
        <f t="shared" si="1897"/>
        <v>正常订单</v>
      </c>
      <c r="I6044" s="1" t="str">
        <f t="shared" si="1898"/>
        <v>已发货</v>
      </c>
      <c r="J6044" s="1" t="str">
        <f t="shared" si="1900"/>
        <v>3</v>
      </c>
      <c r="K6044" s="1">
        <v>3</v>
      </c>
      <c r="L6044" s="1" t="s">
        <v>18</v>
      </c>
      <c r="M6044" s="1" t="str">
        <f>"广东省 广州市 花都区 花东镇"</f>
        <v>广东省 广州市 花都区 花东镇</v>
      </c>
      <c r="N6044" s="1" t="str">
        <f t="shared" si="1888"/>
        <v>凡华云仓-韵达-抖音</v>
      </c>
      <c r="O6044" s="5">
        <v>320177464927066</v>
      </c>
      <c r="P6044" s="6">
        <v>0.34</v>
      </c>
      <c r="Q6044" s="11">
        <v>2.2999999999999998</v>
      </c>
      <c r="R6044" s="11"/>
      <c r="S6044" s="11"/>
      <c r="T6044" s="11"/>
      <c r="U6044" s="11">
        <f t="shared" si="1893"/>
        <v>2.2999999999999998</v>
      </c>
      <c r="W6044">
        <v>2.5</v>
      </c>
      <c r="X6044" s="1" t="s">
        <v>18</v>
      </c>
    </row>
    <row r="6045" spans="1:24" x14ac:dyDescent="0.25">
      <c r="A6045" s="1" t="str">
        <f t="shared" si="1895"/>
        <v>卡卡杜-凤凰仓</v>
      </c>
      <c r="B6045" s="1" t="str">
        <f>"CK2024101810322"</f>
        <v>CK2024101810322</v>
      </c>
      <c r="C6045" s="1" t="str">
        <f>"DD2024101816094"</f>
        <v>DD2024101816094</v>
      </c>
      <c r="D6045" s="1" t="str">
        <f>"CK2024101810035"</f>
        <v>CK2024101810035</v>
      </c>
      <c r="E6045" s="1" t="str">
        <f>"6935153860667184522"</f>
        <v>6935153860667184522</v>
      </c>
      <c r="F6045" s="1" t="str">
        <f t="shared" si="1896"/>
        <v>花都四部-凤凰仓</v>
      </c>
      <c r="G6045" s="1" t="str">
        <f t="shared" si="1892"/>
        <v>卡卡杜个人护理店（抖店）</v>
      </c>
      <c r="H6045" s="1" t="str">
        <f t="shared" si="1897"/>
        <v>正常订单</v>
      </c>
      <c r="I6045" s="1" t="str">
        <f t="shared" si="1898"/>
        <v>已发货</v>
      </c>
      <c r="J6045" s="1" t="str">
        <f t="shared" si="1900"/>
        <v>3</v>
      </c>
      <c r="K6045" s="1">
        <v>3</v>
      </c>
      <c r="L6045" s="1" t="s">
        <v>36</v>
      </c>
      <c r="M6045" s="1" t="str">
        <f>"安徽省 池州市 东至县 泥溪镇"</f>
        <v>安徽省 池州市 东至县 泥溪镇</v>
      </c>
      <c r="N6045" s="1" t="str">
        <f t="shared" si="1888"/>
        <v>凡华云仓-韵达-抖音</v>
      </c>
      <c r="O6045" s="5">
        <v>320177464926938</v>
      </c>
      <c r="P6045" s="6">
        <v>0.34</v>
      </c>
      <c r="Q6045" s="11">
        <v>2.2999999999999998</v>
      </c>
      <c r="R6045" s="11"/>
      <c r="S6045" s="11"/>
      <c r="T6045" s="11"/>
      <c r="U6045" s="11">
        <f t="shared" si="1893"/>
        <v>2.2999999999999998</v>
      </c>
      <c r="W6045">
        <v>2.5</v>
      </c>
      <c r="X6045" s="1" t="s">
        <v>36</v>
      </c>
    </row>
    <row r="6046" spans="1:24" x14ac:dyDescent="0.25">
      <c r="A6046" s="1" t="str">
        <f t="shared" si="1895"/>
        <v>卡卡杜-凤凰仓</v>
      </c>
      <c r="B6046" s="1" t="str">
        <f>"CK2024101810636"</f>
        <v>CK2024101810636</v>
      </c>
      <c r="C6046" s="1" t="str">
        <f>"DD2024101816723"</f>
        <v>DD2024101816723</v>
      </c>
      <c r="D6046" s="1" t="str">
        <f>"CK2024101810034"</f>
        <v>CK2024101810034</v>
      </c>
      <c r="E6046" s="1" t="str">
        <f>"6935149949463565679"</f>
        <v>6935149949463565679</v>
      </c>
      <c r="F6046" s="1" t="str">
        <f t="shared" si="1896"/>
        <v>花都四部-凤凰仓</v>
      </c>
      <c r="G6046" s="1" t="str">
        <f t="shared" si="1892"/>
        <v>卡卡杜个人护理店（抖店）</v>
      </c>
      <c r="H6046" s="1" t="str">
        <f t="shared" si="1897"/>
        <v>正常订单</v>
      </c>
      <c r="I6046" s="1" t="str">
        <f t="shared" si="1898"/>
        <v>已发货</v>
      </c>
      <c r="J6046" s="1" t="str">
        <f t="shared" si="1900"/>
        <v>3</v>
      </c>
      <c r="K6046" s="1">
        <v>3</v>
      </c>
      <c r="L6046" s="1" t="s">
        <v>161</v>
      </c>
      <c r="M6046" s="1" t="str">
        <f>"四川省 南充市 嘉陵区 南湖街道"</f>
        <v>四川省 南充市 嘉陵区 南湖街道</v>
      </c>
      <c r="N6046" s="1" t="str">
        <f t="shared" si="1888"/>
        <v>凡华云仓-韵达-抖音</v>
      </c>
      <c r="O6046" s="5">
        <v>320177464926833</v>
      </c>
      <c r="P6046" s="6">
        <v>0.34</v>
      </c>
      <c r="Q6046" s="11">
        <v>2.2999999999999998</v>
      </c>
      <c r="R6046" s="11"/>
      <c r="S6046" s="11"/>
      <c r="T6046" s="11"/>
      <c r="U6046" s="11">
        <f t="shared" si="1893"/>
        <v>2.2999999999999998</v>
      </c>
      <c r="W6046">
        <v>2.5</v>
      </c>
      <c r="X6046" s="1" t="s">
        <v>161</v>
      </c>
    </row>
    <row r="6047" spans="1:24" x14ac:dyDescent="0.25">
      <c r="A6047" s="1" t="str">
        <f t="shared" si="1895"/>
        <v>卡卡杜-凤凰仓</v>
      </c>
      <c r="B6047" s="1" t="str">
        <f>"CK2024101810318"</f>
        <v>CK2024101810318</v>
      </c>
      <c r="C6047" s="1" t="str">
        <f>"DD2024101816086"</f>
        <v>DD2024101816086</v>
      </c>
      <c r="D6047" s="1" t="str">
        <f>"CK2024101810033"</f>
        <v>CK2024101810033</v>
      </c>
      <c r="E6047" s="1" t="str">
        <f>"6935172055170815314"</f>
        <v>6935172055170815314</v>
      </c>
      <c r="F6047" s="1" t="str">
        <f t="shared" si="1896"/>
        <v>花都四部-凤凰仓</v>
      </c>
      <c r="G6047" s="1" t="str">
        <f t="shared" si="1892"/>
        <v>卡卡杜个人护理店（抖店）</v>
      </c>
      <c r="H6047" s="1" t="str">
        <f t="shared" si="1897"/>
        <v>正常订单</v>
      </c>
      <c r="I6047" s="1" t="str">
        <f t="shared" si="1898"/>
        <v>已发货</v>
      </c>
      <c r="J6047" s="1" t="str">
        <f t="shared" si="1900"/>
        <v>3</v>
      </c>
      <c r="K6047" s="1">
        <v>3</v>
      </c>
      <c r="L6047" s="1" t="s">
        <v>24</v>
      </c>
      <c r="M6047" s="1" t="str">
        <f>"福建省 龙岩市 新罗区 铁山街道"</f>
        <v>福建省 龙岩市 新罗区 铁山街道</v>
      </c>
      <c r="N6047" s="1" t="str">
        <f t="shared" si="1888"/>
        <v>凡华云仓-韵达-抖音</v>
      </c>
      <c r="O6047" s="5">
        <v>320177481403882</v>
      </c>
      <c r="P6047" s="6">
        <v>0.34</v>
      </c>
      <c r="Q6047" s="11">
        <v>2.2999999999999998</v>
      </c>
      <c r="R6047" s="11"/>
      <c r="S6047" s="11"/>
      <c r="T6047" s="11"/>
      <c r="U6047" s="11">
        <f t="shared" si="1893"/>
        <v>2.2999999999999998</v>
      </c>
      <c r="W6047">
        <v>2.5</v>
      </c>
      <c r="X6047" s="1" t="s">
        <v>24</v>
      </c>
    </row>
    <row r="6048" spans="1:24" x14ac:dyDescent="0.25">
      <c r="A6048" s="1" t="str">
        <f t="shared" si="1895"/>
        <v>卡卡杜-凤凰仓</v>
      </c>
      <c r="B6048" s="1" t="str">
        <f>"CK2024101810321"</f>
        <v>CK2024101810321</v>
      </c>
      <c r="C6048" s="1" t="str">
        <f>"DD2024101816092"</f>
        <v>DD2024101816092</v>
      </c>
      <c r="D6048" s="1" t="str">
        <f>"CK2024101810032"</f>
        <v>CK2024101810032</v>
      </c>
      <c r="E6048" s="1" t="str">
        <f>"6935151486532654544"</f>
        <v>6935151486532654544</v>
      </c>
      <c r="F6048" s="1" t="str">
        <f t="shared" si="1896"/>
        <v>花都四部-凤凰仓</v>
      </c>
      <c r="G6048" s="1" t="str">
        <f t="shared" si="1892"/>
        <v>卡卡杜个人护理店（抖店）</v>
      </c>
      <c r="H6048" s="1" t="str">
        <f t="shared" si="1897"/>
        <v>正常订单</v>
      </c>
      <c r="I6048" s="1" t="str">
        <f t="shared" si="1898"/>
        <v>已发货</v>
      </c>
      <c r="J6048" s="1" t="str">
        <f t="shared" si="1900"/>
        <v>3</v>
      </c>
      <c r="K6048" s="1">
        <v>3</v>
      </c>
      <c r="L6048" s="1" t="s">
        <v>24</v>
      </c>
      <c r="M6048" s="1" t="str">
        <f>"福建省 泉州市 晋江市 深沪镇"</f>
        <v>福建省 泉州市 晋江市 深沪镇</v>
      </c>
      <c r="N6048" s="1" t="str">
        <f t="shared" si="1888"/>
        <v>凡华云仓-韵达-抖音</v>
      </c>
      <c r="O6048" s="5">
        <v>320177481403779</v>
      </c>
      <c r="P6048" s="6">
        <v>0.34</v>
      </c>
      <c r="Q6048" s="11">
        <v>2.2999999999999998</v>
      </c>
      <c r="R6048" s="11"/>
      <c r="S6048" s="11"/>
      <c r="T6048" s="11"/>
      <c r="U6048" s="11">
        <f t="shared" si="1893"/>
        <v>2.2999999999999998</v>
      </c>
      <c r="W6048">
        <v>2.5</v>
      </c>
      <c r="X6048" s="1" t="s">
        <v>24</v>
      </c>
    </row>
    <row r="6049" spans="1:24" x14ac:dyDescent="0.25">
      <c r="A6049" s="1" t="str">
        <f t="shared" si="1895"/>
        <v>卡卡杜-凤凰仓</v>
      </c>
      <c r="B6049" s="1" t="str">
        <f>"CK2024101810323"</f>
        <v>CK2024101810323</v>
      </c>
      <c r="C6049" s="1" t="str">
        <f>"DD2024101816095"</f>
        <v>DD2024101816095</v>
      </c>
      <c r="D6049" s="1" t="str">
        <f>"CK2024101810031"</f>
        <v>CK2024101810031</v>
      </c>
      <c r="E6049" s="1" t="str">
        <f>"6935172093893940537"</f>
        <v>6935172093893940537</v>
      </c>
      <c r="F6049" s="1" t="str">
        <f t="shared" si="1896"/>
        <v>花都四部-凤凰仓</v>
      </c>
      <c r="G6049" s="1" t="str">
        <f t="shared" si="1892"/>
        <v>卡卡杜个人护理店（抖店）</v>
      </c>
      <c r="H6049" s="1" t="str">
        <f t="shared" si="1897"/>
        <v>正常订单</v>
      </c>
      <c r="I6049" s="1" t="str">
        <f t="shared" si="1898"/>
        <v>已发货</v>
      </c>
      <c r="J6049" s="1" t="str">
        <f t="shared" si="1900"/>
        <v>3</v>
      </c>
      <c r="K6049" s="1">
        <v>3</v>
      </c>
      <c r="L6049" s="1" t="s">
        <v>30</v>
      </c>
      <c r="M6049" s="1" t="str">
        <f>"山东省 聊城市 东阿县 铜城街道"</f>
        <v>山东省 聊城市 东阿县 铜城街道</v>
      </c>
      <c r="N6049" s="1" t="str">
        <f t="shared" ref="N6049:N6112" si="1901">"凡华云仓-韵达-抖音"</f>
        <v>凡华云仓-韵达-抖音</v>
      </c>
      <c r="O6049" s="5">
        <v>320177481403678</v>
      </c>
      <c r="P6049" s="6">
        <v>0.34</v>
      </c>
      <c r="Q6049" s="11">
        <v>2.2999999999999998</v>
      </c>
      <c r="R6049" s="11"/>
      <c r="S6049" s="11"/>
      <c r="T6049" s="11"/>
      <c r="U6049" s="11">
        <f t="shared" si="1893"/>
        <v>2.2999999999999998</v>
      </c>
      <c r="W6049">
        <v>2.5</v>
      </c>
      <c r="X6049" s="1" t="s">
        <v>30</v>
      </c>
    </row>
    <row r="6050" spans="1:24" x14ac:dyDescent="0.25">
      <c r="A6050" s="1" t="str">
        <f t="shared" si="1895"/>
        <v>卡卡杜-凤凰仓</v>
      </c>
      <c r="B6050" s="1" t="str">
        <f>"CK2024101810325"</f>
        <v>CK2024101810325</v>
      </c>
      <c r="C6050" s="1" t="str">
        <f>"DD2024101816098"</f>
        <v>DD2024101816098</v>
      </c>
      <c r="D6050" s="1" t="str">
        <f>"CK2024101810030"</f>
        <v>CK2024101810030</v>
      </c>
      <c r="E6050" s="1" t="str">
        <f>"6935169775407470424"</f>
        <v>6935169775407470424</v>
      </c>
      <c r="F6050" s="1" t="str">
        <f t="shared" si="1896"/>
        <v>花都四部-凤凰仓</v>
      </c>
      <c r="G6050" s="1" t="str">
        <f t="shared" si="1892"/>
        <v>卡卡杜个人护理店（抖店）</v>
      </c>
      <c r="H6050" s="1" t="str">
        <f t="shared" si="1897"/>
        <v>正常订单</v>
      </c>
      <c r="I6050" s="1" t="str">
        <f t="shared" si="1898"/>
        <v>已发货</v>
      </c>
      <c r="J6050" s="1" t="str">
        <f t="shared" si="1900"/>
        <v>3</v>
      </c>
      <c r="K6050" s="1">
        <v>3</v>
      </c>
      <c r="L6050" s="1" t="s">
        <v>30</v>
      </c>
      <c r="M6050" s="1" t="str">
        <f>"山东省 德州市 德城区 广川街道"</f>
        <v>山东省 德州市 德城区 广川街道</v>
      </c>
      <c r="N6050" s="1" t="str">
        <f t="shared" si="1901"/>
        <v>凡华云仓-韵达-抖音</v>
      </c>
      <c r="O6050" s="5">
        <v>320177481403579</v>
      </c>
      <c r="P6050" s="6">
        <v>0.34</v>
      </c>
      <c r="Q6050" s="11">
        <v>2.2999999999999998</v>
      </c>
      <c r="R6050" s="11"/>
      <c r="S6050" s="11"/>
      <c r="T6050" s="11"/>
      <c r="U6050" s="11">
        <f t="shared" si="1893"/>
        <v>2.2999999999999998</v>
      </c>
      <c r="W6050">
        <v>2.5</v>
      </c>
      <c r="X6050" s="1" t="s">
        <v>30</v>
      </c>
    </row>
    <row r="6051" spans="1:24" x14ac:dyDescent="0.25">
      <c r="A6051" s="1" t="str">
        <f t="shared" si="1895"/>
        <v>卡卡杜-凤凰仓</v>
      </c>
      <c r="B6051" s="1" t="str">
        <f>"CK2024101810637"</f>
        <v>CK2024101810637</v>
      </c>
      <c r="C6051" s="1" t="str">
        <f>"DD2024101816721"</f>
        <v>DD2024101816721</v>
      </c>
      <c r="D6051" s="1" t="str">
        <f>"CK2024101810029"</f>
        <v>CK2024101810029</v>
      </c>
      <c r="E6051" s="1" t="str">
        <f>"6935147429552789427"</f>
        <v>6935147429552789427</v>
      </c>
      <c r="F6051" s="1" t="str">
        <f t="shared" si="1896"/>
        <v>花都四部-凤凰仓</v>
      </c>
      <c r="G6051" s="1" t="str">
        <f t="shared" si="1892"/>
        <v>卡卡杜个人护理店（抖店）</v>
      </c>
      <c r="H6051" s="1" t="str">
        <f t="shared" si="1897"/>
        <v>正常订单</v>
      </c>
      <c r="I6051" s="1" t="str">
        <f t="shared" si="1898"/>
        <v>已发货</v>
      </c>
      <c r="J6051" s="1" t="str">
        <f t="shared" si="1900"/>
        <v>3</v>
      </c>
      <c r="K6051" s="1">
        <v>3</v>
      </c>
      <c r="L6051" s="1" t="s">
        <v>30</v>
      </c>
      <c r="M6051" s="1" t="str">
        <f>"山东省 潍坊市 高密市 柏城镇"</f>
        <v>山东省 潍坊市 高密市 柏城镇</v>
      </c>
      <c r="N6051" s="1" t="str">
        <f t="shared" si="1901"/>
        <v>凡华云仓-韵达-抖音</v>
      </c>
      <c r="O6051" s="5">
        <v>320177481403482</v>
      </c>
      <c r="P6051" s="6">
        <v>0.34</v>
      </c>
      <c r="Q6051" s="11">
        <v>2.2999999999999998</v>
      </c>
      <c r="R6051" s="11"/>
      <c r="S6051" s="11"/>
      <c r="T6051" s="11"/>
      <c r="U6051" s="11">
        <f t="shared" si="1893"/>
        <v>2.2999999999999998</v>
      </c>
      <c r="W6051">
        <v>2.5</v>
      </c>
      <c r="X6051" s="1" t="s">
        <v>30</v>
      </c>
    </row>
    <row r="6052" spans="1:24" x14ac:dyDescent="0.25">
      <c r="A6052" s="1" t="str">
        <f t="shared" si="1895"/>
        <v>卡卡杜-凤凰仓</v>
      </c>
      <c r="B6052" s="1" t="str">
        <f>"CK2024101810638"</f>
        <v>CK2024101810638</v>
      </c>
      <c r="C6052" s="1" t="str">
        <f>"DD2024101816724"</f>
        <v>DD2024101816724</v>
      </c>
      <c r="D6052" s="1" t="str">
        <f>"CK2024101810028"</f>
        <v>CK2024101810028</v>
      </c>
      <c r="E6052" s="1" t="str">
        <f>"6935155988982273195"</f>
        <v>6935155988982273195</v>
      </c>
      <c r="F6052" s="1" t="str">
        <f t="shared" si="1896"/>
        <v>花都四部-凤凰仓</v>
      </c>
      <c r="G6052" s="1" t="str">
        <f t="shared" si="1892"/>
        <v>卡卡杜个人护理店（抖店）</v>
      </c>
      <c r="H6052" s="1" t="str">
        <f t="shared" si="1897"/>
        <v>正常订单</v>
      </c>
      <c r="I6052" s="1" t="str">
        <f t="shared" si="1898"/>
        <v>已发货</v>
      </c>
      <c r="J6052" s="1" t="str">
        <f t="shared" si="1900"/>
        <v>3</v>
      </c>
      <c r="K6052" s="1">
        <v>3</v>
      </c>
      <c r="L6052" s="1" t="s">
        <v>30</v>
      </c>
      <c r="M6052" s="1" t="str">
        <f>"山东省 潍坊市 临朐县 东城街道"</f>
        <v>山东省 潍坊市 临朐县 东城街道</v>
      </c>
      <c r="N6052" s="1" t="str">
        <f t="shared" si="1901"/>
        <v>凡华云仓-韵达-抖音</v>
      </c>
      <c r="O6052" s="5">
        <v>320177481403387</v>
      </c>
      <c r="P6052" s="6">
        <v>0.34</v>
      </c>
      <c r="Q6052" s="11">
        <v>2.2999999999999998</v>
      </c>
      <c r="R6052" s="11"/>
      <c r="S6052" s="11"/>
      <c r="T6052" s="11"/>
      <c r="U6052" s="11">
        <f t="shared" si="1893"/>
        <v>2.2999999999999998</v>
      </c>
      <c r="W6052">
        <v>2.5</v>
      </c>
      <c r="X6052" s="1" t="s">
        <v>30</v>
      </c>
    </row>
    <row r="6053" spans="1:24" x14ac:dyDescent="0.25">
      <c r="A6053" s="1" t="str">
        <f t="shared" si="1895"/>
        <v>卡卡杜-凤凰仓</v>
      </c>
      <c r="B6053" s="1" t="str">
        <f>"CK2024101810639"</f>
        <v>CK2024101810639</v>
      </c>
      <c r="C6053" s="1" t="str">
        <f>"DD2024101816725"</f>
        <v>DD2024101816725</v>
      </c>
      <c r="D6053" s="1" t="str">
        <f>"CK2024101810027"</f>
        <v>CK2024101810027</v>
      </c>
      <c r="E6053" s="1" t="str">
        <f>"6918003993142983789"</f>
        <v>6918003993142983789</v>
      </c>
      <c r="F6053" s="1" t="str">
        <f t="shared" si="1896"/>
        <v>花都四部-凤凰仓</v>
      </c>
      <c r="G6053" s="1" t="str">
        <f t="shared" si="1892"/>
        <v>卡卡杜个人护理店（抖店）</v>
      </c>
      <c r="H6053" s="1" t="str">
        <f t="shared" si="1897"/>
        <v>正常订单</v>
      </c>
      <c r="I6053" s="1" t="str">
        <f t="shared" si="1898"/>
        <v>已发货</v>
      </c>
      <c r="J6053" s="1" t="str">
        <f>"6"</f>
        <v>6</v>
      </c>
      <c r="K6053" s="1">
        <v>3</v>
      </c>
      <c r="L6053" s="1" t="s">
        <v>20</v>
      </c>
      <c r="M6053" s="1" t="str">
        <f>"浙江省 杭州市 江干区 "</f>
        <v xml:space="preserve">浙江省 杭州市 江干区 </v>
      </c>
      <c r="N6053" s="1" t="str">
        <f t="shared" si="1901"/>
        <v>凡华云仓-韵达-抖音</v>
      </c>
      <c r="O6053" s="5">
        <v>320177481403294</v>
      </c>
      <c r="P6053" s="6">
        <v>0.55000000000000004</v>
      </c>
      <c r="Q6053" s="11">
        <f>CEILING(P6053-0.5,0.1)*10*0.15+2.3</f>
        <v>2.4499999999999997</v>
      </c>
      <c r="R6053" s="11"/>
      <c r="S6053" s="11"/>
      <c r="T6053" s="11"/>
      <c r="U6053" s="11">
        <f t="shared" si="1893"/>
        <v>2.4499999999999997</v>
      </c>
      <c r="V6053" t="s">
        <v>15</v>
      </c>
      <c r="W6053">
        <v>2.4500000000000002</v>
      </c>
      <c r="X6053" s="1" t="s">
        <v>20</v>
      </c>
    </row>
    <row r="6054" spans="1:24" x14ac:dyDescent="0.25">
      <c r="A6054" s="1" t="str">
        <f t="shared" si="1895"/>
        <v>卡卡杜-凤凰仓</v>
      </c>
      <c r="B6054" s="1" t="str">
        <f>"CK2024101810324"</f>
        <v>CK2024101810324</v>
      </c>
      <c r="C6054" s="1" t="str">
        <f>"DD2024101816099"</f>
        <v>DD2024101816099</v>
      </c>
      <c r="D6054" s="1" t="str">
        <f>"CK2024101810026"</f>
        <v>CK2024101810026</v>
      </c>
      <c r="E6054" s="1" t="str">
        <f>"6935172068677063840"</f>
        <v>6935172068677063840</v>
      </c>
      <c r="F6054" s="1" t="str">
        <f t="shared" si="1896"/>
        <v>花都四部-凤凰仓</v>
      </c>
      <c r="G6054" s="1" t="str">
        <f t="shared" si="1892"/>
        <v>卡卡杜个人护理店（抖店）</v>
      </c>
      <c r="H6054" s="1" t="str">
        <f t="shared" si="1897"/>
        <v>正常订单</v>
      </c>
      <c r="I6054" s="1" t="str">
        <f t="shared" si="1898"/>
        <v>已发货</v>
      </c>
      <c r="J6054" s="1" t="str">
        <f t="shared" ref="J6054:J6056" si="1902">"3"</f>
        <v>3</v>
      </c>
      <c r="K6054" s="1">
        <v>3</v>
      </c>
      <c r="L6054" s="1" t="s">
        <v>30</v>
      </c>
      <c r="M6054" s="1" t="str">
        <f>"山东省 济南市 莱芜区 凤城街道"</f>
        <v>山东省 济南市 莱芜区 凤城街道</v>
      </c>
      <c r="N6054" s="1" t="str">
        <f t="shared" si="1901"/>
        <v>凡华云仓-韵达-抖音</v>
      </c>
      <c r="O6054" s="5">
        <v>320177481403103</v>
      </c>
      <c r="P6054" s="6">
        <v>0.34</v>
      </c>
      <c r="Q6054" s="11">
        <v>2.2999999999999998</v>
      </c>
      <c r="R6054" s="11"/>
      <c r="S6054" s="11"/>
      <c r="T6054" s="11"/>
      <c r="U6054" s="11">
        <f t="shared" si="1893"/>
        <v>2.2999999999999998</v>
      </c>
      <c r="W6054">
        <v>2.5</v>
      </c>
      <c r="X6054" s="1" t="s">
        <v>30</v>
      </c>
    </row>
    <row r="6055" spans="1:24" x14ac:dyDescent="0.25">
      <c r="A6055" s="1" t="str">
        <f t="shared" si="1895"/>
        <v>卡卡杜-凤凰仓</v>
      </c>
      <c r="B6055" s="1" t="str">
        <f>"CK2024101810326"</f>
        <v>CK2024101810326</v>
      </c>
      <c r="C6055" s="1" t="str">
        <f>"DD2024101816101"</f>
        <v>DD2024101816101</v>
      </c>
      <c r="D6055" s="1" t="str">
        <f>"CK2024101810025"</f>
        <v>CK2024101810025</v>
      </c>
      <c r="E6055" s="1" t="str">
        <f>"6935141161363183466"</f>
        <v>6935141161363183466</v>
      </c>
      <c r="F6055" s="1" t="str">
        <f t="shared" si="1896"/>
        <v>花都四部-凤凰仓</v>
      </c>
      <c r="G6055" s="1" t="str">
        <f t="shared" si="1892"/>
        <v>卡卡杜个人护理店（抖店）</v>
      </c>
      <c r="H6055" s="1" t="str">
        <f t="shared" si="1897"/>
        <v>正常订单</v>
      </c>
      <c r="I6055" s="1" t="str">
        <f t="shared" si="1898"/>
        <v>已发货</v>
      </c>
      <c r="J6055" s="1" t="str">
        <f t="shared" si="1902"/>
        <v>3</v>
      </c>
      <c r="K6055" s="1">
        <v>3</v>
      </c>
      <c r="L6055" s="1" t="s">
        <v>105</v>
      </c>
      <c r="M6055" s="1" t="str">
        <f>"北京 北京市 昌平区 北七家镇"</f>
        <v>北京 北京市 昌平区 北七家镇</v>
      </c>
      <c r="N6055" s="1" t="str">
        <f t="shared" si="1901"/>
        <v>凡华云仓-韵达-抖音</v>
      </c>
      <c r="O6055" s="5">
        <v>320177481403014</v>
      </c>
      <c r="P6055" s="6">
        <v>0.34</v>
      </c>
      <c r="Q6055" s="11">
        <v>2.2999999999999998</v>
      </c>
      <c r="R6055" s="11"/>
      <c r="S6055" s="11"/>
      <c r="T6055" s="11"/>
      <c r="U6055" s="11">
        <f t="shared" si="1893"/>
        <v>2.2999999999999998</v>
      </c>
      <c r="W6055">
        <v>2.5</v>
      </c>
      <c r="X6055" s="1" t="s">
        <v>105</v>
      </c>
    </row>
    <row r="6056" spans="1:24" x14ac:dyDescent="0.25">
      <c r="A6056" s="1" t="str">
        <f t="shared" si="1895"/>
        <v>卡卡杜-凤凰仓</v>
      </c>
      <c r="B6056" s="1" t="str">
        <f>"CK2024101810327"</f>
        <v>CK2024101810327</v>
      </c>
      <c r="C6056" s="1" t="str">
        <f>"DD2024101816103"</f>
        <v>DD2024101816103</v>
      </c>
      <c r="D6056" s="1" t="str">
        <f>"CK2024101810024"</f>
        <v>CK2024101810024</v>
      </c>
      <c r="E6056" s="1" t="str">
        <f>"6935167436442244483"</f>
        <v>6935167436442244483</v>
      </c>
      <c r="F6056" s="1" t="str">
        <f t="shared" si="1896"/>
        <v>花都四部-凤凰仓</v>
      </c>
      <c r="G6056" s="1" t="str">
        <f t="shared" si="1892"/>
        <v>卡卡杜个人护理店（抖店）</v>
      </c>
      <c r="H6056" s="1" t="str">
        <f t="shared" si="1897"/>
        <v>正常订单</v>
      </c>
      <c r="I6056" s="1" t="str">
        <f t="shared" si="1898"/>
        <v>已发货</v>
      </c>
      <c r="J6056" s="1" t="str">
        <f t="shared" si="1902"/>
        <v>3</v>
      </c>
      <c r="K6056" s="1">
        <v>3</v>
      </c>
      <c r="L6056" s="1" t="s">
        <v>60</v>
      </c>
      <c r="M6056" s="1" t="str">
        <f>"云南省 红河哈尼族彝族自治州 绿春县 大兴镇"</f>
        <v>云南省 红河哈尼族彝族自治州 绿春县 大兴镇</v>
      </c>
      <c r="N6056" s="1" t="str">
        <f t="shared" si="1901"/>
        <v>凡华云仓-韵达-抖音</v>
      </c>
      <c r="O6056" s="5">
        <v>320177481402994</v>
      </c>
      <c r="P6056" s="6">
        <v>0.34</v>
      </c>
      <c r="Q6056" s="11">
        <v>2.2999999999999998</v>
      </c>
      <c r="R6056" s="11"/>
      <c r="S6056" s="11"/>
      <c r="T6056" s="11"/>
      <c r="U6056" s="11">
        <f t="shared" si="1893"/>
        <v>2.2999999999999998</v>
      </c>
      <c r="W6056">
        <v>2.5</v>
      </c>
      <c r="X6056" s="1" t="s">
        <v>60</v>
      </c>
    </row>
    <row r="6057" spans="1:24" x14ac:dyDescent="0.25">
      <c r="A6057" s="1" t="str">
        <f t="shared" si="1895"/>
        <v>卡卡杜-凤凰仓</v>
      </c>
      <c r="B6057" s="1" t="str">
        <f>"CK2024101810328"</f>
        <v>CK2024101810328</v>
      </c>
      <c r="C6057" s="1" t="str">
        <f>"DD2024101816106"</f>
        <v>DD2024101816106</v>
      </c>
      <c r="D6057" s="1" t="str">
        <f>"CK2024101810023"</f>
        <v>CK2024101810023</v>
      </c>
      <c r="E6057" s="1" t="str">
        <f>"6935156001316017801"</f>
        <v>6935156001316017801</v>
      </c>
      <c r="F6057" s="1" t="str">
        <f t="shared" si="1896"/>
        <v>花都四部-凤凰仓</v>
      </c>
      <c r="G6057" s="1" t="str">
        <f t="shared" si="1892"/>
        <v>卡卡杜个人护理店（抖店）</v>
      </c>
      <c r="H6057" s="1" t="str">
        <f t="shared" si="1897"/>
        <v>正常订单</v>
      </c>
      <c r="I6057" s="1" t="str">
        <f t="shared" si="1898"/>
        <v>已发货</v>
      </c>
      <c r="J6057" s="1" t="str">
        <f>"6"</f>
        <v>6</v>
      </c>
      <c r="K6057" s="1">
        <v>3</v>
      </c>
      <c r="L6057" s="1" t="s">
        <v>20</v>
      </c>
      <c r="M6057" s="1" t="str">
        <f>"浙江省 舟山市 定海区 白泉镇"</f>
        <v>浙江省 舟山市 定海区 白泉镇</v>
      </c>
      <c r="N6057" s="1" t="str">
        <f t="shared" si="1901"/>
        <v>凡华云仓-韵达-抖音</v>
      </c>
      <c r="O6057" s="5">
        <v>320177478444326</v>
      </c>
      <c r="P6057" s="6">
        <v>0.55000000000000004</v>
      </c>
      <c r="Q6057" s="11">
        <f>CEILING(P6057-0.5,0.1)*10*0.15+2.3</f>
        <v>2.4499999999999997</v>
      </c>
      <c r="R6057" s="11"/>
      <c r="S6057" s="11"/>
      <c r="T6057" s="11"/>
      <c r="U6057" s="11">
        <f t="shared" si="1893"/>
        <v>2.4499999999999997</v>
      </c>
      <c r="V6057" t="s">
        <v>15</v>
      </c>
      <c r="W6057">
        <v>2.4500000000000002</v>
      </c>
      <c r="X6057" s="1" t="s">
        <v>20</v>
      </c>
    </row>
    <row r="6058" spans="1:24" x14ac:dyDescent="0.25">
      <c r="A6058" s="1" t="str">
        <f t="shared" si="1895"/>
        <v>卡卡杜-凤凰仓</v>
      </c>
      <c r="B6058" s="1" t="str">
        <f>"CK2024101810330"</f>
        <v>CK2024101810330</v>
      </c>
      <c r="C6058" s="1" t="str">
        <f>"DD2024101816110"</f>
        <v>DD2024101816110</v>
      </c>
      <c r="D6058" s="1" t="str">
        <f>"CK2024101810022"</f>
        <v>CK2024101810022</v>
      </c>
      <c r="E6058" s="1" t="str">
        <f>"6935158324023793023"</f>
        <v>6935158324023793023</v>
      </c>
      <c r="F6058" s="1" t="str">
        <f t="shared" si="1896"/>
        <v>花都四部-凤凰仓</v>
      </c>
      <c r="G6058" s="1" t="str">
        <f t="shared" si="1892"/>
        <v>卡卡杜个人护理店（抖店）</v>
      </c>
      <c r="H6058" s="1" t="str">
        <f t="shared" si="1897"/>
        <v>正常订单</v>
      </c>
      <c r="I6058" s="1" t="str">
        <f t="shared" si="1898"/>
        <v>已发货</v>
      </c>
      <c r="J6058" s="1" t="str">
        <f t="shared" ref="J6058:J6082" si="1903">"3"</f>
        <v>3</v>
      </c>
      <c r="K6058" s="1">
        <v>3</v>
      </c>
      <c r="L6058" s="1" t="s">
        <v>187</v>
      </c>
      <c r="M6058" s="1" t="str">
        <f>"吉林省 长春市 朝阳区 清和街道"</f>
        <v>吉林省 长春市 朝阳区 清和街道</v>
      </c>
      <c r="N6058" s="1" t="str">
        <f t="shared" si="1901"/>
        <v>凡华云仓-韵达-抖音</v>
      </c>
      <c r="O6058" s="5">
        <v>320177478444233</v>
      </c>
      <c r="P6058" s="6">
        <v>0.34</v>
      </c>
      <c r="Q6058" s="11">
        <v>2.2999999999999998</v>
      </c>
      <c r="R6058" s="11"/>
      <c r="S6058" s="11"/>
      <c r="T6058" s="11"/>
      <c r="U6058" s="11">
        <f t="shared" si="1893"/>
        <v>2.2999999999999998</v>
      </c>
      <c r="W6058">
        <v>2.5</v>
      </c>
      <c r="X6058" s="1" t="s">
        <v>187</v>
      </c>
    </row>
    <row r="6059" spans="1:24" x14ac:dyDescent="0.25">
      <c r="A6059" s="1" t="str">
        <f t="shared" si="1895"/>
        <v>卡卡杜-凤凰仓</v>
      </c>
      <c r="B6059" s="1" t="str">
        <f>"CK2024101810331"</f>
        <v>CK2024101810331</v>
      </c>
      <c r="C6059" s="1" t="str">
        <f>"DD2024101816111"</f>
        <v>DD2024101816111</v>
      </c>
      <c r="D6059" s="1" t="str">
        <f>"CK2024101810021"</f>
        <v>CK2024101810021</v>
      </c>
      <c r="E6059" s="1" t="str">
        <f>"6935162799368771303"</f>
        <v>6935162799368771303</v>
      </c>
      <c r="F6059" s="1" t="str">
        <f t="shared" si="1896"/>
        <v>花都四部-凤凰仓</v>
      </c>
      <c r="G6059" s="1" t="str">
        <f t="shared" si="1892"/>
        <v>卡卡杜个人护理店（抖店）</v>
      </c>
      <c r="H6059" s="1" t="str">
        <f t="shared" si="1897"/>
        <v>正常订单</v>
      </c>
      <c r="I6059" s="1" t="str">
        <f t="shared" si="1898"/>
        <v>已发货</v>
      </c>
      <c r="J6059" s="1" t="str">
        <f t="shared" si="1903"/>
        <v>3</v>
      </c>
      <c r="K6059" s="1">
        <v>3</v>
      </c>
      <c r="L6059" s="1" t="s">
        <v>30</v>
      </c>
      <c r="M6059" s="1" t="str">
        <f>"山东省 潍坊市 安丘市 兴安街道"</f>
        <v>山东省 潍坊市 安丘市 兴安街道</v>
      </c>
      <c r="N6059" s="1" t="str">
        <f t="shared" si="1901"/>
        <v>凡华云仓-韵达-抖音</v>
      </c>
      <c r="O6059" s="5">
        <v>320177478444142</v>
      </c>
      <c r="P6059" s="6">
        <v>0.34</v>
      </c>
      <c r="Q6059" s="11">
        <v>2.2999999999999998</v>
      </c>
      <c r="R6059" s="11"/>
      <c r="S6059" s="11"/>
      <c r="T6059" s="11"/>
      <c r="U6059" s="11">
        <f t="shared" si="1893"/>
        <v>2.2999999999999998</v>
      </c>
      <c r="W6059">
        <v>2.5</v>
      </c>
      <c r="X6059" s="1" t="s">
        <v>30</v>
      </c>
    </row>
    <row r="6060" spans="1:24" x14ac:dyDescent="0.25">
      <c r="A6060" s="1" t="str">
        <f t="shared" si="1895"/>
        <v>卡卡杜-凤凰仓</v>
      </c>
      <c r="B6060" s="1" t="str">
        <f>"CK2024101810332"</f>
        <v>CK2024101810332</v>
      </c>
      <c r="C6060" s="1" t="str">
        <f>"DD2024101816112"</f>
        <v>DD2024101816112</v>
      </c>
      <c r="D6060" s="1" t="str">
        <f>"CK2024101810020"</f>
        <v>CK2024101810020</v>
      </c>
      <c r="E6060" s="1" t="str">
        <f>"6935141172013896848"</f>
        <v>6935141172013896848</v>
      </c>
      <c r="F6060" s="1" t="str">
        <f t="shared" si="1896"/>
        <v>花都四部-凤凰仓</v>
      </c>
      <c r="G6060" s="1" t="str">
        <f t="shared" si="1892"/>
        <v>卡卡杜个人护理店（抖店）</v>
      </c>
      <c r="H6060" s="1" t="str">
        <f t="shared" si="1897"/>
        <v>正常订单</v>
      </c>
      <c r="I6060" s="1" t="str">
        <f t="shared" si="1898"/>
        <v>已发货</v>
      </c>
      <c r="J6060" s="1" t="str">
        <f>"6"</f>
        <v>6</v>
      </c>
      <c r="K6060" s="1">
        <v>3</v>
      </c>
      <c r="L6060" s="1" t="s">
        <v>24</v>
      </c>
      <c r="M6060" s="1" t="str">
        <f>"福建省 南平市 建瓯市 芝山街道"</f>
        <v>福建省 南平市 建瓯市 芝山街道</v>
      </c>
      <c r="N6060" s="1" t="str">
        <f t="shared" si="1901"/>
        <v>凡华云仓-韵达-抖音</v>
      </c>
      <c r="O6060" s="5">
        <v>320177478444053</v>
      </c>
      <c r="P6060" s="6">
        <v>0.55000000000000004</v>
      </c>
      <c r="Q6060" s="11">
        <f>CEILING(P6060-0.5,0.1)*10*0.15+2.3</f>
        <v>2.4499999999999997</v>
      </c>
      <c r="R6060" s="11"/>
      <c r="S6060" s="11"/>
      <c r="T6060" s="11"/>
      <c r="U6060" s="11">
        <f t="shared" si="1893"/>
        <v>2.4499999999999997</v>
      </c>
      <c r="V6060" t="s">
        <v>15</v>
      </c>
      <c r="W6060">
        <v>2.4500000000000002</v>
      </c>
      <c r="X6060" s="1" t="s">
        <v>24</v>
      </c>
    </row>
    <row r="6061" spans="1:24" x14ac:dyDescent="0.25">
      <c r="A6061" s="1" t="str">
        <f t="shared" si="1895"/>
        <v>卡卡杜-凤凰仓</v>
      </c>
      <c r="B6061" s="1" t="str">
        <f>"CK2024101810641"</f>
        <v>CK2024101810641</v>
      </c>
      <c r="C6061" s="1" t="str">
        <f>"DD2024101816729"</f>
        <v>DD2024101816729</v>
      </c>
      <c r="D6061" s="1" t="str">
        <f>"CK2024101810019"</f>
        <v>CK2024101810019</v>
      </c>
      <c r="E6061" s="1" t="str">
        <f>"6935160963599832862"</f>
        <v>6935160963599832862</v>
      </c>
      <c r="F6061" s="1" t="str">
        <f t="shared" si="1896"/>
        <v>花都四部-凤凰仓</v>
      </c>
      <c r="G6061" s="1" t="str">
        <f t="shared" si="1892"/>
        <v>卡卡杜个人护理店（抖店）</v>
      </c>
      <c r="H6061" s="1" t="str">
        <f t="shared" si="1897"/>
        <v>正常订单</v>
      </c>
      <c r="I6061" s="1" t="str">
        <f t="shared" si="1898"/>
        <v>已发货</v>
      </c>
      <c r="J6061" s="1" t="str">
        <f t="shared" si="1903"/>
        <v>3</v>
      </c>
      <c r="K6061" s="1">
        <v>3</v>
      </c>
      <c r="L6061" s="1" t="s">
        <v>94</v>
      </c>
      <c r="M6061" s="1" t="str">
        <f>"湖南省 湘西土家族苗族自治州 吉首市 镇溪街道"</f>
        <v>湖南省 湘西土家族苗族自治州 吉首市 镇溪街道</v>
      </c>
      <c r="N6061" s="1" t="str">
        <f t="shared" si="1901"/>
        <v>凡华云仓-韵达-抖音</v>
      </c>
      <c r="O6061" s="5">
        <v>320177478443931</v>
      </c>
      <c r="P6061" s="6">
        <v>0.34</v>
      </c>
      <c r="Q6061" s="11">
        <v>2.2999999999999998</v>
      </c>
      <c r="R6061" s="11"/>
      <c r="S6061" s="11"/>
      <c r="T6061" s="11"/>
      <c r="U6061" s="11">
        <f t="shared" si="1893"/>
        <v>2.2999999999999998</v>
      </c>
      <c r="W6061">
        <v>2.5</v>
      </c>
      <c r="X6061" s="1" t="s">
        <v>94</v>
      </c>
    </row>
    <row r="6062" spans="1:24" x14ac:dyDescent="0.25">
      <c r="A6062" s="1" t="str">
        <f t="shared" si="1895"/>
        <v>卡卡杜-凤凰仓</v>
      </c>
      <c r="B6062" s="1" t="str">
        <f>"CK2024101810329"</f>
        <v>CK2024101810329</v>
      </c>
      <c r="C6062" s="1" t="str">
        <f>"DD2024101816107"</f>
        <v>DD2024101816107</v>
      </c>
      <c r="D6062" s="1" t="str">
        <f>"CK2024101810018"</f>
        <v>CK2024101810018</v>
      </c>
      <c r="E6062" s="1" t="str">
        <f>"6935147456687117604"</f>
        <v>6935147456687117604</v>
      </c>
      <c r="F6062" s="1" t="str">
        <f t="shared" si="1896"/>
        <v>花都四部-凤凰仓</v>
      </c>
      <c r="G6062" s="1" t="str">
        <f t="shared" si="1892"/>
        <v>卡卡杜个人护理店（抖店）</v>
      </c>
      <c r="H6062" s="1" t="str">
        <f t="shared" si="1897"/>
        <v>正常订单</v>
      </c>
      <c r="I6062" s="1" t="str">
        <f t="shared" si="1898"/>
        <v>已发货</v>
      </c>
      <c r="J6062" s="1" t="str">
        <f t="shared" si="1903"/>
        <v>3</v>
      </c>
      <c r="K6062" s="1">
        <v>3</v>
      </c>
      <c r="L6062" s="1" t="s">
        <v>47</v>
      </c>
      <c r="M6062" s="1" t="str">
        <f>"重庆 重庆市 永川区 中山路街道"</f>
        <v>重庆 重庆市 永川区 中山路街道</v>
      </c>
      <c r="N6062" s="1" t="str">
        <f t="shared" si="1901"/>
        <v>凡华云仓-韵达-抖音</v>
      </c>
      <c r="O6062" s="5">
        <v>320177478443826</v>
      </c>
      <c r="P6062" s="6">
        <v>0.34</v>
      </c>
      <c r="Q6062" s="11">
        <v>2.2999999999999998</v>
      </c>
      <c r="R6062" s="11"/>
      <c r="S6062" s="11"/>
      <c r="T6062" s="11"/>
      <c r="U6062" s="11">
        <f t="shared" si="1893"/>
        <v>2.2999999999999998</v>
      </c>
      <c r="W6062">
        <v>2.5</v>
      </c>
      <c r="X6062" s="1" t="s">
        <v>47</v>
      </c>
    </row>
    <row r="6063" spans="1:24" x14ac:dyDescent="0.25">
      <c r="A6063" s="1" t="str">
        <f t="shared" si="1895"/>
        <v>卡卡杜-凤凰仓</v>
      </c>
      <c r="B6063" s="1" t="str">
        <f>"CK2024101810333"</f>
        <v>CK2024101810333</v>
      </c>
      <c r="C6063" s="1" t="str">
        <f>"DD2024101816117"</f>
        <v>DD2024101816117</v>
      </c>
      <c r="D6063" s="1" t="str">
        <f>"CK2024101810017"</f>
        <v>CK2024101810017</v>
      </c>
      <c r="E6063" s="1" t="str">
        <f>"6935165025296324468"</f>
        <v>6935165025296324468</v>
      </c>
      <c r="F6063" s="1" t="str">
        <f t="shared" si="1896"/>
        <v>花都四部-凤凰仓</v>
      </c>
      <c r="G6063" s="1" t="str">
        <f t="shared" si="1892"/>
        <v>卡卡杜个人护理店（抖店）</v>
      </c>
      <c r="H6063" s="1" t="str">
        <f t="shared" si="1897"/>
        <v>正常订单</v>
      </c>
      <c r="I6063" s="1" t="str">
        <f t="shared" si="1898"/>
        <v>已发货</v>
      </c>
      <c r="J6063" s="1" t="str">
        <f t="shared" si="1903"/>
        <v>3</v>
      </c>
      <c r="K6063" s="1">
        <v>3</v>
      </c>
      <c r="L6063" s="1" t="s">
        <v>30</v>
      </c>
      <c r="M6063" s="1" t="str">
        <f>"山东省 烟台市 蓬莱区 大辛店镇"</f>
        <v>山东省 烟台市 蓬莱区 大辛店镇</v>
      </c>
      <c r="N6063" s="1" t="str">
        <f t="shared" si="1901"/>
        <v>凡华云仓-韵达-抖音</v>
      </c>
      <c r="O6063" s="5">
        <v>320177478443723</v>
      </c>
      <c r="P6063" s="6">
        <v>0.34</v>
      </c>
      <c r="Q6063" s="11">
        <v>2.2999999999999998</v>
      </c>
      <c r="R6063" s="11"/>
      <c r="S6063" s="11"/>
      <c r="T6063" s="11"/>
      <c r="U6063" s="11">
        <f t="shared" si="1893"/>
        <v>2.2999999999999998</v>
      </c>
      <c r="W6063">
        <v>2.5</v>
      </c>
      <c r="X6063" s="1" t="s">
        <v>30</v>
      </c>
    </row>
    <row r="6064" spans="1:24" x14ac:dyDescent="0.25">
      <c r="A6064" s="1" t="str">
        <f t="shared" si="1895"/>
        <v>卡卡杜-凤凰仓</v>
      </c>
      <c r="B6064" s="1" t="str">
        <f>"CK2024101810335"</f>
        <v>CK2024101810335</v>
      </c>
      <c r="C6064" s="1" t="str">
        <f>"DD2024101816118"</f>
        <v>DD2024101816118</v>
      </c>
      <c r="D6064" s="1" t="str">
        <f>"CK2024101810016"</f>
        <v>CK2024101810016</v>
      </c>
      <c r="E6064" s="1" t="str">
        <f>"6935151616484054377"</f>
        <v>6935151616484054377</v>
      </c>
      <c r="F6064" s="1" t="str">
        <f t="shared" si="1896"/>
        <v>花都四部-凤凰仓</v>
      </c>
      <c r="G6064" s="1" t="str">
        <f t="shared" si="1892"/>
        <v>卡卡杜个人护理店（抖店）</v>
      </c>
      <c r="H6064" s="1" t="str">
        <f t="shared" si="1897"/>
        <v>正常订单</v>
      </c>
      <c r="I6064" s="1" t="str">
        <f t="shared" si="1898"/>
        <v>已发货</v>
      </c>
      <c r="J6064" s="1" t="str">
        <f t="shared" si="1903"/>
        <v>3</v>
      </c>
      <c r="K6064" s="1">
        <v>3</v>
      </c>
      <c r="L6064" s="1" t="s">
        <v>94</v>
      </c>
      <c r="M6064" s="1" t="str">
        <f>"湖南省 长沙市 岳麓区 西湖街道"</f>
        <v>湖南省 长沙市 岳麓区 西湖街道</v>
      </c>
      <c r="N6064" s="1" t="str">
        <f t="shared" si="1901"/>
        <v>凡华云仓-韵达-抖音</v>
      </c>
      <c r="O6064" s="5">
        <v>320177478443622</v>
      </c>
      <c r="P6064" s="6">
        <v>0.34</v>
      </c>
      <c r="Q6064" s="11">
        <v>2.2999999999999998</v>
      </c>
      <c r="R6064" s="11"/>
      <c r="S6064" s="11"/>
      <c r="T6064" s="11"/>
      <c r="U6064" s="11">
        <f t="shared" si="1893"/>
        <v>2.2999999999999998</v>
      </c>
      <c r="W6064">
        <v>2.5</v>
      </c>
      <c r="X6064" s="1" t="s">
        <v>94</v>
      </c>
    </row>
    <row r="6065" spans="1:24" x14ac:dyDescent="0.25">
      <c r="A6065" s="1" t="str">
        <f t="shared" si="1895"/>
        <v>卡卡杜-凤凰仓</v>
      </c>
      <c r="B6065" s="1" t="str">
        <f>"CK2024101810334"</f>
        <v>CK2024101810334</v>
      </c>
      <c r="C6065" s="1" t="str">
        <f>"DD2024101816119"</f>
        <v>DD2024101816119</v>
      </c>
      <c r="D6065" s="1" t="str">
        <f>"CK2024101810015"</f>
        <v>CK2024101810015</v>
      </c>
      <c r="E6065" s="1" t="str">
        <f>"6935172027502498973"</f>
        <v>6935172027502498973</v>
      </c>
      <c r="F6065" s="1" t="str">
        <f t="shared" si="1896"/>
        <v>花都四部-凤凰仓</v>
      </c>
      <c r="G6065" s="1" t="str">
        <f t="shared" si="1892"/>
        <v>卡卡杜个人护理店（抖店）</v>
      </c>
      <c r="H6065" s="1" t="str">
        <f t="shared" si="1897"/>
        <v>正常订单</v>
      </c>
      <c r="I6065" s="1" t="str">
        <f t="shared" si="1898"/>
        <v>已发货</v>
      </c>
      <c r="J6065" s="1" t="str">
        <f t="shared" si="1903"/>
        <v>3</v>
      </c>
      <c r="K6065" s="1">
        <v>3</v>
      </c>
      <c r="L6065" s="1" t="s">
        <v>80</v>
      </c>
      <c r="M6065" s="1" t="str">
        <f>"河南省 郑州市 登封市 嵩阳街道"</f>
        <v>河南省 郑州市 登封市 嵩阳街道</v>
      </c>
      <c r="N6065" s="1" t="str">
        <f t="shared" si="1901"/>
        <v>凡华云仓-韵达-抖音</v>
      </c>
      <c r="O6065" s="5">
        <v>320177478443523</v>
      </c>
      <c r="P6065" s="6">
        <v>0.34</v>
      </c>
      <c r="Q6065" s="11">
        <v>2.2999999999999998</v>
      </c>
      <c r="R6065" s="11"/>
      <c r="S6065" s="11"/>
      <c r="T6065" s="11"/>
      <c r="U6065" s="11">
        <f t="shared" si="1893"/>
        <v>2.2999999999999998</v>
      </c>
      <c r="W6065">
        <v>2.5</v>
      </c>
      <c r="X6065" s="1" t="s">
        <v>80</v>
      </c>
    </row>
    <row r="6066" spans="1:24" x14ac:dyDescent="0.25">
      <c r="A6066" s="1" t="str">
        <f t="shared" si="1895"/>
        <v>卡卡杜-凤凰仓</v>
      </c>
      <c r="B6066" s="1" t="str">
        <f>"CK2024101810336"</f>
        <v>CK2024101810336</v>
      </c>
      <c r="C6066" s="1" t="str">
        <f>"DD2024101816120"</f>
        <v>DD2024101816120</v>
      </c>
      <c r="D6066" s="1" t="str">
        <f>"CK2024101810014"</f>
        <v>CK2024101810014</v>
      </c>
      <c r="E6066" s="1" t="str">
        <f>"6935174224091223249"</f>
        <v>6935174224091223249</v>
      </c>
      <c r="F6066" s="1" t="str">
        <f t="shared" si="1896"/>
        <v>花都四部-凤凰仓</v>
      </c>
      <c r="G6066" s="1" t="str">
        <f t="shared" si="1892"/>
        <v>卡卡杜个人护理店（抖店）</v>
      </c>
      <c r="H6066" s="1" t="str">
        <f t="shared" si="1897"/>
        <v>正常订单</v>
      </c>
      <c r="I6066" s="1" t="str">
        <f t="shared" si="1898"/>
        <v>已发货</v>
      </c>
      <c r="J6066" s="1" t="str">
        <f t="shared" si="1903"/>
        <v>3</v>
      </c>
      <c r="K6066" s="1">
        <v>3</v>
      </c>
      <c r="L6066" s="1" t="s">
        <v>16</v>
      </c>
      <c r="M6066" s="1" t="str">
        <f>"河北省 衡水市 景县 景州镇"</f>
        <v>河北省 衡水市 景县 景州镇</v>
      </c>
      <c r="N6066" s="1" t="str">
        <f t="shared" si="1901"/>
        <v>凡华云仓-韵达-抖音</v>
      </c>
      <c r="O6066" s="5">
        <v>320177478443426</v>
      </c>
      <c r="P6066" s="6">
        <v>0.34</v>
      </c>
      <c r="Q6066" s="11">
        <v>2.2999999999999998</v>
      </c>
      <c r="R6066" s="11"/>
      <c r="S6066" s="11"/>
      <c r="T6066" s="11"/>
      <c r="U6066" s="11">
        <f t="shared" si="1893"/>
        <v>2.2999999999999998</v>
      </c>
      <c r="W6066">
        <v>2.5</v>
      </c>
      <c r="X6066" s="1" t="s">
        <v>16</v>
      </c>
    </row>
    <row r="6067" spans="1:24" x14ac:dyDescent="0.25">
      <c r="A6067" s="1" t="str">
        <f t="shared" si="1895"/>
        <v>卡卡杜-凤凰仓</v>
      </c>
      <c r="B6067" s="1" t="str">
        <f>"CK2024101810338"</f>
        <v>CK2024101810338</v>
      </c>
      <c r="C6067" s="1" t="str">
        <f>"DD2024101816121"</f>
        <v>DD2024101816121</v>
      </c>
      <c r="D6067" s="1" t="str">
        <f>"CK2024101810013"</f>
        <v>CK2024101810013</v>
      </c>
      <c r="E6067" s="1" t="str">
        <f>"6918001577478225478"</f>
        <v>6918001577478225478</v>
      </c>
      <c r="F6067" s="1" t="str">
        <f t="shared" si="1896"/>
        <v>花都四部-凤凰仓</v>
      </c>
      <c r="G6067" s="1" t="str">
        <f t="shared" si="1892"/>
        <v>卡卡杜个人护理店（抖店）</v>
      </c>
      <c r="H6067" s="1" t="str">
        <f t="shared" si="1897"/>
        <v>正常订单</v>
      </c>
      <c r="I6067" s="1" t="str">
        <f t="shared" si="1898"/>
        <v>已发货</v>
      </c>
      <c r="J6067" s="1" t="str">
        <f t="shared" si="1903"/>
        <v>3</v>
      </c>
      <c r="K6067" s="1">
        <v>3</v>
      </c>
      <c r="L6067" s="1" t="s">
        <v>161</v>
      </c>
      <c r="M6067" s="1" t="str">
        <f>"四川省 宜宾市 珙县 洛亥镇"</f>
        <v>四川省 宜宾市 珙县 洛亥镇</v>
      </c>
      <c r="N6067" s="1" t="str">
        <f t="shared" si="1901"/>
        <v>凡华云仓-韵达-抖音</v>
      </c>
      <c r="O6067" s="5">
        <v>320177481402889</v>
      </c>
      <c r="P6067" s="6">
        <v>0.34</v>
      </c>
      <c r="Q6067" s="11">
        <v>2.2999999999999998</v>
      </c>
      <c r="R6067" s="11"/>
      <c r="S6067" s="11"/>
      <c r="T6067" s="11"/>
      <c r="U6067" s="11">
        <f t="shared" si="1893"/>
        <v>2.2999999999999998</v>
      </c>
      <c r="W6067">
        <v>2.5</v>
      </c>
      <c r="X6067" s="1" t="s">
        <v>161</v>
      </c>
    </row>
    <row r="6068" spans="1:24" x14ac:dyDescent="0.25">
      <c r="A6068" s="1" t="str">
        <f t="shared" si="1895"/>
        <v>卡卡杜-凤凰仓</v>
      </c>
      <c r="B6068" s="1" t="str">
        <f>"CK2024101810339"</f>
        <v>CK2024101810339</v>
      </c>
      <c r="C6068" s="1" t="str">
        <f>"DD2024101816123"</f>
        <v>DD2024101816123</v>
      </c>
      <c r="D6068" s="1" t="str">
        <f>"CK2024101810012"</f>
        <v>CK2024101810012</v>
      </c>
      <c r="E6068" s="1" t="str">
        <f>"6935140905532593402"</f>
        <v>6935140905532593402</v>
      </c>
      <c r="F6068" s="1" t="str">
        <f t="shared" si="1896"/>
        <v>花都四部-凤凰仓</v>
      </c>
      <c r="G6068" s="1" t="str">
        <f t="shared" ref="G6068:G6131" si="1904">"卡卡杜个人护理店（抖店）"</f>
        <v>卡卡杜个人护理店（抖店）</v>
      </c>
      <c r="H6068" s="1" t="str">
        <f t="shared" si="1897"/>
        <v>正常订单</v>
      </c>
      <c r="I6068" s="1" t="str">
        <f t="shared" si="1898"/>
        <v>已发货</v>
      </c>
      <c r="J6068" s="1" t="str">
        <f t="shared" si="1903"/>
        <v>3</v>
      </c>
      <c r="K6068" s="1">
        <v>3</v>
      </c>
      <c r="L6068" s="1" t="s">
        <v>16</v>
      </c>
      <c r="M6068" s="1" t="str">
        <f>"河北省 承德市 双滦区 双塔山镇"</f>
        <v>河北省 承德市 双滦区 双塔山镇</v>
      </c>
      <c r="N6068" s="1" t="str">
        <f t="shared" si="1901"/>
        <v>凡华云仓-韵达-抖音</v>
      </c>
      <c r="O6068" s="5">
        <v>320177481402786</v>
      </c>
      <c r="P6068" s="6">
        <v>0.34</v>
      </c>
      <c r="Q6068" s="11">
        <v>2.2999999999999998</v>
      </c>
      <c r="R6068" s="11"/>
      <c r="S6068" s="11"/>
      <c r="T6068" s="11"/>
      <c r="U6068" s="11">
        <f t="shared" si="1893"/>
        <v>2.2999999999999998</v>
      </c>
      <c r="W6068">
        <v>2.5</v>
      </c>
      <c r="X6068" s="1" t="s">
        <v>16</v>
      </c>
    </row>
    <row r="6069" spans="1:24" x14ac:dyDescent="0.25">
      <c r="A6069" s="1" t="str">
        <f t="shared" si="1895"/>
        <v>卡卡杜-凤凰仓</v>
      </c>
      <c r="B6069" s="1" t="str">
        <f>"CK2024101810345"</f>
        <v>CK2024101810345</v>
      </c>
      <c r="C6069" s="1" t="str">
        <f>"DD2024101816130"</f>
        <v>DD2024101816130</v>
      </c>
      <c r="D6069" s="1" t="str">
        <f>"CK2024101810011"</f>
        <v>CK2024101810011</v>
      </c>
      <c r="E6069" s="1" t="str">
        <f>"6935145322407204728"</f>
        <v>6935145322407204728</v>
      </c>
      <c r="F6069" s="1" t="str">
        <f t="shared" si="1896"/>
        <v>花都四部-凤凰仓</v>
      </c>
      <c r="G6069" s="1" t="str">
        <f t="shared" si="1904"/>
        <v>卡卡杜个人护理店（抖店）</v>
      </c>
      <c r="H6069" s="1" t="str">
        <f t="shared" si="1897"/>
        <v>正常订单</v>
      </c>
      <c r="I6069" s="1" t="str">
        <f t="shared" si="1898"/>
        <v>已发货</v>
      </c>
      <c r="J6069" s="1" t="str">
        <f t="shared" si="1903"/>
        <v>3</v>
      </c>
      <c r="K6069" s="1">
        <v>3</v>
      </c>
      <c r="L6069" s="1" t="s">
        <v>36</v>
      </c>
      <c r="M6069" s="1" t="str">
        <f>"安徽省 六安市 金安区 中市街道"</f>
        <v>安徽省 六安市 金安区 中市街道</v>
      </c>
      <c r="N6069" s="1" t="str">
        <f t="shared" si="1901"/>
        <v>凡华云仓-韵达-抖音</v>
      </c>
      <c r="O6069" s="5">
        <v>320177481402685</v>
      </c>
      <c r="P6069" s="6">
        <v>0.34</v>
      </c>
      <c r="Q6069" s="11">
        <v>2.2999999999999998</v>
      </c>
      <c r="R6069" s="11"/>
      <c r="S6069" s="11"/>
      <c r="T6069" s="11"/>
      <c r="U6069" s="11">
        <f t="shared" si="1893"/>
        <v>2.2999999999999998</v>
      </c>
      <c r="W6069">
        <v>2.5</v>
      </c>
      <c r="X6069" s="1" t="s">
        <v>36</v>
      </c>
    </row>
    <row r="6070" spans="1:24" x14ac:dyDescent="0.25">
      <c r="A6070" s="1" t="str">
        <f t="shared" si="1895"/>
        <v>卡卡杜-凤凰仓</v>
      </c>
      <c r="B6070" s="1" t="str">
        <f>"CK2024101810348"</f>
        <v>CK2024101810348</v>
      </c>
      <c r="C6070" s="1" t="str">
        <f>"DD2024101816132"</f>
        <v>DD2024101816132</v>
      </c>
      <c r="D6070" s="1" t="str">
        <f>"CK2024101810010"</f>
        <v>CK2024101810010</v>
      </c>
      <c r="E6070" s="1" t="str">
        <f>"6935151500907517240"</f>
        <v>6935151500907517240</v>
      </c>
      <c r="F6070" s="1" t="str">
        <f t="shared" si="1896"/>
        <v>花都四部-凤凰仓</v>
      </c>
      <c r="G6070" s="1" t="str">
        <f t="shared" si="1904"/>
        <v>卡卡杜个人护理店（抖店）</v>
      </c>
      <c r="H6070" s="1" t="str">
        <f t="shared" si="1897"/>
        <v>正常订单</v>
      </c>
      <c r="I6070" s="1" t="str">
        <f t="shared" si="1898"/>
        <v>已发货</v>
      </c>
      <c r="J6070" s="1" t="str">
        <f t="shared" si="1903"/>
        <v>3</v>
      </c>
      <c r="K6070" s="1">
        <v>3</v>
      </c>
      <c r="L6070" s="1" t="s">
        <v>24</v>
      </c>
      <c r="M6070" s="1" t="str">
        <f>"福建省 厦门市 集美区 侨英街道"</f>
        <v>福建省 厦门市 集美区 侨英街道</v>
      </c>
      <c r="N6070" s="1" t="str">
        <f t="shared" si="1901"/>
        <v>凡华云仓-韵达-抖音</v>
      </c>
      <c r="O6070" s="5">
        <v>320177481402586</v>
      </c>
      <c r="P6070" s="6">
        <v>0.34</v>
      </c>
      <c r="Q6070" s="11">
        <v>2.2999999999999998</v>
      </c>
      <c r="R6070" s="11"/>
      <c r="S6070" s="11"/>
      <c r="T6070" s="11"/>
      <c r="U6070" s="11">
        <f t="shared" si="1893"/>
        <v>2.2999999999999998</v>
      </c>
      <c r="W6070">
        <v>2.5</v>
      </c>
      <c r="X6070" s="1" t="s">
        <v>24</v>
      </c>
    </row>
    <row r="6071" spans="1:24" x14ac:dyDescent="0.25">
      <c r="A6071" s="1" t="str">
        <f t="shared" si="1895"/>
        <v>卡卡杜-凤凰仓</v>
      </c>
      <c r="B6071" s="1" t="str">
        <f>"CK2024101810640"</f>
        <v>CK2024101810640</v>
      </c>
      <c r="C6071" s="1" t="str">
        <f>"DD2024101816726"</f>
        <v>DD2024101816726</v>
      </c>
      <c r="D6071" s="1" t="str">
        <f>"CK2024101810009"</f>
        <v>CK2024101810009</v>
      </c>
      <c r="E6071" s="1" t="str">
        <f>"6935169859768489223"</f>
        <v>6935169859768489223</v>
      </c>
      <c r="F6071" s="1" t="str">
        <f t="shared" si="1896"/>
        <v>花都四部-凤凰仓</v>
      </c>
      <c r="G6071" s="1" t="str">
        <f t="shared" si="1904"/>
        <v>卡卡杜个人护理店（抖店）</v>
      </c>
      <c r="H6071" s="1" t="str">
        <f t="shared" si="1897"/>
        <v>正常订单</v>
      </c>
      <c r="I6071" s="1" t="str">
        <f t="shared" si="1898"/>
        <v>已发货</v>
      </c>
      <c r="J6071" s="1" t="str">
        <f t="shared" si="1903"/>
        <v>3</v>
      </c>
      <c r="K6071" s="1">
        <v>3</v>
      </c>
      <c r="L6071" s="1" t="s">
        <v>36</v>
      </c>
      <c r="M6071" s="1" t="str">
        <f>"安徽省 宿州市 砀山县 砀城镇"</f>
        <v>安徽省 宿州市 砀山县 砀城镇</v>
      </c>
      <c r="N6071" s="1" t="str">
        <f t="shared" si="1901"/>
        <v>凡华云仓-韵达-抖音</v>
      </c>
      <c r="O6071" s="5">
        <v>320177481402489</v>
      </c>
      <c r="P6071" s="6">
        <v>0.34</v>
      </c>
      <c r="Q6071" s="11">
        <v>2.2999999999999998</v>
      </c>
      <c r="R6071" s="11"/>
      <c r="S6071" s="11"/>
      <c r="T6071" s="11"/>
      <c r="U6071" s="11">
        <f t="shared" si="1893"/>
        <v>2.2999999999999998</v>
      </c>
      <c r="W6071">
        <v>2.5</v>
      </c>
      <c r="X6071" s="1" t="s">
        <v>36</v>
      </c>
    </row>
    <row r="6072" spans="1:24" x14ac:dyDescent="0.25">
      <c r="A6072" s="1" t="str">
        <f t="shared" si="1895"/>
        <v>卡卡杜-凤凰仓</v>
      </c>
      <c r="B6072" s="1" t="str">
        <f>"CK2024101810337"</f>
        <v>CK2024101810337</v>
      </c>
      <c r="C6072" s="1" t="str">
        <f>"DD2024101816122"</f>
        <v>DD2024101816122</v>
      </c>
      <c r="D6072" s="1" t="str">
        <f>"CK2024101810008"</f>
        <v>CK2024101810008</v>
      </c>
      <c r="E6072" s="1" t="str">
        <f>"6935145315402913494"</f>
        <v>6935145315402913494</v>
      </c>
      <c r="F6072" s="1" t="str">
        <f t="shared" si="1896"/>
        <v>花都四部-凤凰仓</v>
      </c>
      <c r="G6072" s="1" t="str">
        <f t="shared" si="1904"/>
        <v>卡卡杜个人护理店（抖店）</v>
      </c>
      <c r="H6072" s="1" t="str">
        <f t="shared" si="1897"/>
        <v>正常订单</v>
      </c>
      <c r="I6072" s="1" t="str">
        <f t="shared" si="1898"/>
        <v>已发货</v>
      </c>
      <c r="J6072" s="1" t="str">
        <f t="shared" si="1903"/>
        <v>3</v>
      </c>
      <c r="K6072" s="1">
        <v>3</v>
      </c>
      <c r="L6072" s="1" t="s">
        <v>109</v>
      </c>
      <c r="M6072" s="1" t="str">
        <f>"山西省 太原市 万柏林区 西铭街道"</f>
        <v>山西省 太原市 万柏林区 西铭街道</v>
      </c>
      <c r="N6072" s="1" t="str">
        <f t="shared" si="1901"/>
        <v>凡华云仓-韵达-抖音</v>
      </c>
      <c r="O6072" s="5">
        <v>320177481402394</v>
      </c>
      <c r="P6072" s="6">
        <v>0.34</v>
      </c>
      <c r="Q6072" s="11">
        <v>2.2999999999999998</v>
      </c>
      <c r="R6072" s="11"/>
      <c r="S6072" s="11"/>
      <c r="T6072" s="11"/>
      <c r="U6072" s="11">
        <f t="shared" si="1893"/>
        <v>2.2999999999999998</v>
      </c>
      <c r="W6072">
        <v>2.5</v>
      </c>
      <c r="X6072" s="1" t="s">
        <v>109</v>
      </c>
    </row>
    <row r="6073" spans="1:24" x14ac:dyDescent="0.25">
      <c r="A6073" s="1" t="str">
        <f t="shared" si="1895"/>
        <v>卡卡杜-凤凰仓</v>
      </c>
      <c r="B6073" s="1" t="str">
        <f>"CK2024101810340"</f>
        <v>CK2024101810340</v>
      </c>
      <c r="C6073" s="1" t="str">
        <f>"DD2024101816124"</f>
        <v>DD2024101816124</v>
      </c>
      <c r="D6073" s="1" t="str">
        <f>"CK2024101810007"</f>
        <v>CK2024101810007</v>
      </c>
      <c r="E6073" s="1" t="str">
        <f>"6935153856701928762"</f>
        <v>6935153856701928762</v>
      </c>
      <c r="F6073" s="1" t="str">
        <f t="shared" si="1896"/>
        <v>花都四部-凤凰仓</v>
      </c>
      <c r="G6073" s="1" t="str">
        <f t="shared" si="1904"/>
        <v>卡卡杜个人护理店（抖店）</v>
      </c>
      <c r="H6073" s="1" t="str">
        <f t="shared" si="1897"/>
        <v>正常订单</v>
      </c>
      <c r="I6073" s="1" t="str">
        <f t="shared" si="1898"/>
        <v>已发货</v>
      </c>
      <c r="J6073" s="1" t="str">
        <f t="shared" si="1903"/>
        <v>3</v>
      </c>
      <c r="K6073" s="1">
        <v>3</v>
      </c>
      <c r="L6073" s="1" t="s">
        <v>80</v>
      </c>
      <c r="M6073" s="1" t="str">
        <f>"河南省 焦作市 山阳区 艺新街道"</f>
        <v>河南省 焦作市 山阳区 艺新街道</v>
      </c>
      <c r="N6073" s="1" t="str">
        <f t="shared" si="1901"/>
        <v>凡华云仓-韵达-抖音</v>
      </c>
      <c r="O6073" s="5">
        <v>320177481402201</v>
      </c>
      <c r="P6073" s="6">
        <v>0.34</v>
      </c>
      <c r="Q6073" s="11">
        <v>2.2999999999999998</v>
      </c>
      <c r="R6073" s="11"/>
      <c r="S6073" s="11"/>
      <c r="T6073" s="11"/>
      <c r="U6073" s="11">
        <f t="shared" si="1893"/>
        <v>2.2999999999999998</v>
      </c>
      <c r="W6073">
        <v>2.5</v>
      </c>
      <c r="X6073" s="1" t="s">
        <v>80</v>
      </c>
    </row>
    <row r="6074" spans="1:24" x14ac:dyDescent="0.25">
      <c r="A6074" s="1" t="str">
        <f t="shared" si="1895"/>
        <v>卡卡杜-凤凰仓</v>
      </c>
      <c r="B6074" s="1" t="str">
        <f>"CK2024101810341"</f>
        <v>CK2024101810341</v>
      </c>
      <c r="C6074" s="1" t="str">
        <f>"DD2024101816125"</f>
        <v>DD2024101816125</v>
      </c>
      <c r="D6074" s="1" t="str">
        <f>"CK2024101810006"</f>
        <v>CK2024101810006</v>
      </c>
      <c r="E6074" s="1" t="str">
        <f>"6935147292949943903"</f>
        <v>6935147292949943903</v>
      </c>
      <c r="F6074" s="1" t="str">
        <f t="shared" si="1896"/>
        <v>花都四部-凤凰仓</v>
      </c>
      <c r="G6074" s="1" t="str">
        <f t="shared" si="1904"/>
        <v>卡卡杜个人护理店（抖店）</v>
      </c>
      <c r="H6074" s="1" t="str">
        <f t="shared" si="1897"/>
        <v>正常订单</v>
      </c>
      <c r="I6074" s="1" t="str">
        <f t="shared" si="1898"/>
        <v>已发货</v>
      </c>
      <c r="J6074" s="1" t="str">
        <f t="shared" si="1903"/>
        <v>3</v>
      </c>
      <c r="K6074" s="1">
        <v>3</v>
      </c>
      <c r="L6074" s="1" t="s">
        <v>66</v>
      </c>
      <c r="M6074" s="1" t="str">
        <f>"内蒙古自治区 巴彦淖尔市 磴口县 巴彦高勒镇"</f>
        <v>内蒙古自治区 巴彦淖尔市 磴口县 巴彦高勒镇</v>
      </c>
      <c r="N6074" s="1" t="str">
        <f t="shared" si="1901"/>
        <v>凡华云仓-韵达-抖音</v>
      </c>
      <c r="O6074" s="5">
        <v>320177481402110</v>
      </c>
      <c r="P6074" s="6">
        <v>0.34</v>
      </c>
      <c r="Q6074" s="11">
        <v>2.2999999999999998</v>
      </c>
      <c r="R6074" s="11"/>
      <c r="S6074" s="11"/>
      <c r="T6074" s="11"/>
      <c r="U6074" s="11">
        <f t="shared" si="1893"/>
        <v>2.2999999999999998</v>
      </c>
      <c r="W6074">
        <v>2.5</v>
      </c>
      <c r="X6074" s="1" t="s">
        <v>66</v>
      </c>
    </row>
    <row r="6075" spans="1:24" x14ac:dyDescent="0.25">
      <c r="A6075" s="1" t="str">
        <f t="shared" si="1895"/>
        <v>卡卡杜-凤凰仓</v>
      </c>
      <c r="B6075" s="1" t="str">
        <f>"CK2024101810342"</f>
        <v>CK2024101810342</v>
      </c>
      <c r="C6075" s="1" t="str">
        <f>"DD2024101816126"</f>
        <v>DD2024101816126</v>
      </c>
      <c r="D6075" s="1" t="str">
        <f>"CK2024101810005"</f>
        <v>CK2024101810005</v>
      </c>
      <c r="E6075" s="1" t="str">
        <f>"6935156044840376186"</f>
        <v>6935156044840376186</v>
      </c>
      <c r="F6075" s="1" t="str">
        <f t="shared" si="1896"/>
        <v>花都四部-凤凰仓</v>
      </c>
      <c r="G6075" s="1" t="str">
        <f t="shared" si="1904"/>
        <v>卡卡杜个人护理店（抖店）</v>
      </c>
      <c r="H6075" s="1" t="str">
        <f t="shared" si="1897"/>
        <v>正常订单</v>
      </c>
      <c r="I6075" s="1" t="str">
        <f t="shared" si="1898"/>
        <v>已发货</v>
      </c>
      <c r="J6075" s="1" t="str">
        <f t="shared" si="1903"/>
        <v>3</v>
      </c>
      <c r="K6075" s="1">
        <v>3</v>
      </c>
      <c r="L6075" s="1" t="s">
        <v>18</v>
      </c>
      <c r="M6075" s="1" t="str">
        <f>"广东省 佛山市 南海区 狮山镇"</f>
        <v>广东省 佛山市 南海区 狮山镇</v>
      </c>
      <c r="N6075" s="1" t="str">
        <f t="shared" si="1901"/>
        <v>凡华云仓-韵达-抖音</v>
      </c>
      <c r="O6075" s="5">
        <v>320177481402021</v>
      </c>
      <c r="P6075" s="6">
        <v>0.34</v>
      </c>
      <c r="Q6075" s="11">
        <v>2.2999999999999998</v>
      </c>
      <c r="R6075" s="11"/>
      <c r="S6075" s="11"/>
      <c r="T6075" s="11"/>
      <c r="U6075" s="11">
        <f t="shared" si="1893"/>
        <v>2.2999999999999998</v>
      </c>
      <c r="W6075">
        <v>2.5</v>
      </c>
      <c r="X6075" s="1" t="s">
        <v>18</v>
      </c>
    </row>
    <row r="6076" spans="1:24" x14ac:dyDescent="0.25">
      <c r="A6076" s="1" t="str">
        <f t="shared" si="1895"/>
        <v>卡卡杜-凤凰仓</v>
      </c>
      <c r="B6076" s="1" t="str">
        <f>"CK2024101810343"</f>
        <v>CK2024101810343</v>
      </c>
      <c r="C6076" s="1" t="str">
        <f>"DD2024101816127"</f>
        <v>DD2024101816127</v>
      </c>
      <c r="D6076" s="1" t="str">
        <f>"CK2024101810004"</f>
        <v>CK2024101810004</v>
      </c>
      <c r="E6076" s="1" t="str">
        <f>"6935162857061160299"</f>
        <v>6935162857061160299</v>
      </c>
      <c r="F6076" s="1" t="str">
        <f t="shared" si="1896"/>
        <v>花都四部-凤凰仓</v>
      </c>
      <c r="G6076" s="1" t="str">
        <f t="shared" si="1904"/>
        <v>卡卡杜个人护理店（抖店）</v>
      </c>
      <c r="H6076" s="1" t="str">
        <f t="shared" si="1897"/>
        <v>正常订单</v>
      </c>
      <c r="I6076" s="1" t="str">
        <f t="shared" si="1898"/>
        <v>已发货</v>
      </c>
      <c r="J6076" s="1" t="str">
        <f t="shared" si="1903"/>
        <v>3</v>
      </c>
      <c r="K6076" s="1">
        <v>3</v>
      </c>
      <c r="L6076" s="1" t="s">
        <v>32</v>
      </c>
      <c r="M6076" s="1" t="str">
        <f>"陕西省 西安市 长安区 魏寨街道"</f>
        <v>陕西省 西安市 长安区 魏寨街道</v>
      </c>
      <c r="N6076" s="1" t="str">
        <f t="shared" si="1901"/>
        <v>凡华云仓-韵达-抖音</v>
      </c>
      <c r="O6076" s="5">
        <v>320177481401903</v>
      </c>
      <c r="P6076" s="6">
        <v>0.34</v>
      </c>
      <c r="Q6076" s="11">
        <v>2.2999999999999998</v>
      </c>
      <c r="R6076" s="11"/>
      <c r="S6076" s="11"/>
      <c r="T6076" s="11"/>
      <c r="U6076" s="11">
        <f t="shared" si="1893"/>
        <v>2.2999999999999998</v>
      </c>
      <c r="W6076">
        <v>2.5</v>
      </c>
      <c r="X6076" s="1" t="s">
        <v>32</v>
      </c>
    </row>
    <row r="6077" spans="1:24" x14ac:dyDescent="0.25">
      <c r="A6077" s="1" t="str">
        <f t="shared" si="1895"/>
        <v>卡卡杜-凤凰仓</v>
      </c>
      <c r="B6077" s="1" t="str">
        <f>"CK2024101810344"</f>
        <v>CK2024101810344</v>
      </c>
      <c r="C6077" s="1" t="str">
        <f>"DD2024101816128"</f>
        <v>DD2024101816128</v>
      </c>
      <c r="D6077" s="1" t="str">
        <f>"CK2024101810003"</f>
        <v>CK2024101810003</v>
      </c>
      <c r="E6077" s="1" t="str">
        <f>"6935145284320302640"</f>
        <v>6935145284320302640</v>
      </c>
      <c r="F6077" s="1" t="str">
        <f t="shared" si="1896"/>
        <v>花都四部-凤凰仓</v>
      </c>
      <c r="G6077" s="1" t="str">
        <f t="shared" si="1904"/>
        <v>卡卡杜个人护理店（抖店）</v>
      </c>
      <c r="H6077" s="1" t="str">
        <f t="shared" si="1897"/>
        <v>正常订单</v>
      </c>
      <c r="I6077" s="1" t="str">
        <f t="shared" si="1898"/>
        <v>已发货</v>
      </c>
      <c r="J6077" s="1" t="str">
        <f t="shared" si="1903"/>
        <v>3</v>
      </c>
      <c r="K6077" s="1">
        <v>3</v>
      </c>
      <c r="L6077" s="1" t="s">
        <v>27</v>
      </c>
      <c r="M6077" s="1" t="str">
        <f>"贵州省 黔西南布依族苗族自治州 安龙县 普坪镇"</f>
        <v>贵州省 黔西南布依族苗族自治州 安龙县 普坪镇</v>
      </c>
      <c r="N6077" s="1" t="str">
        <f t="shared" si="1901"/>
        <v>凡华云仓-韵达-抖音</v>
      </c>
      <c r="O6077" s="5">
        <v>320177458915741</v>
      </c>
      <c r="P6077" s="6">
        <v>0.34</v>
      </c>
      <c r="Q6077" s="11">
        <v>2.2999999999999998</v>
      </c>
      <c r="R6077" s="11"/>
      <c r="S6077" s="11"/>
      <c r="T6077" s="11"/>
      <c r="U6077" s="11">
        <f t="shared" si="1893"/>
        <v>2.2999999999999998</v>
      </c>
      <c r="W6077">
        <v>2.5</v>
      </c>
      <c r="X6077" s="1" t="s">
        <v>27</v>
      </c>
    </row>
    <row r="6078" spans="1:24" x14ac:dyDescent="0.25">
      <c r="A6078" s="1" t="str">
        <f t="shared" si="1895"/>
        <v>卡卡杜-凤凰仓</v>
      </c>
      <c r="B6078" s="1" t="str">
        <f>"CK2024101810346"</f>
        <v>CK2024101810346</v>
      </c>
      <c r="C6078" s="1" t="str">
        <f>"DD2024101816129"</f>
        <v>DD2024101816129</v>
      </c>
      <c r="D6078" s="1" t="str">
        <f>"CK2024101810002"</f>
        <v>CK2024101810002</v>
      </c>
      <c r="E6078" s="1" t="str">
        <f>"6935169899688171008"</f>
        <v>6935169899688171008</v>
      </c>
      <c r="F6078" s="1" t="str">
        <f t="shared" si="1896"/>
        <v>花都四部-凤凰仓</v>
      </c>
      <c r="G6078" s="1" t="str">
        <f t="shared" si="1904"/>
        <v>卡卡杜个人护理店（抖店）</v>
      </c>
      <c r="H6078" s="1" t="str">
        <f t="shared" si="1897"/>
        <v>正常订单</v>
      </c>
      <c r="I6078" s="1" t="str">
        <f t="shared" si="1898"/>
        <v>已发货</v>
      </c>
      <c r="J6078" s="1" t="str">
        <f t="shared" si="1903"/>
        <v>3</v>
      </c>
      <c r="K6078" s="1">
        <v>3</v>
      </c>
      <c r="L6078" s="1" t="s">
        <v>36</v>
      </c>
      <c r="M6078" s="1" t="str">
        <f>"安徽省 安庆市 桐城市 文昌街道"</f>
        <v>安徽省 安庆市 桐城市 文昌街道</v>
      </c>
      <c r="N6078" s="1" t="str">
        <f t="shared" si="1901"/>
        <v>凡华云仓-韵达-抖音</v>
      </c>
      <c r="O6078" s="5">
        <v>320177458915640</v>
      </c>
      <c r="P6078" s="6">
        <v>0.34</v>
      </c>
      <c r="Q6078" s="11">
        <v>2.2999999999999998</v>
      </c>
      <c r="R6078" s="11"/>
      <c r="S6078" s="11"/>
      <c r="T6078" s="11"/>
      <c r="U6078" s="11">
        <f t="shared" si="1893"/>
        <v>2.2999999999999998</v>
      </c>
      <c r="W6078">
        <v>2.5</v>
      </c>
      <c r="X6078" s="1" t="s">
        <v>36</v>
      </c>
    </row>
    <row r="6079" spans="1:24" x14ac:dyDescent="0.25">
      <c r="A6079" s="1" t="str">
        <f t="shared" si="1895"/>
        <v>卡卡杜-凤凰仓</v>
      </c>
      <c r="B6079" s="1" t="str">
        <f>"CK2024101810347"</f>
        <v>CK2024101810347</v>
      </c>
      <c r="C6079" s="1" t="str">
        <f>"DD2024101816131"</f>
        <v>DD2024101816131</v>
      </c>
      <c r="D6079" s="1" t="str">
        <f>"CK2024101810001"</f>
        <v>CK2024101810001</v>
      </c>
      <c r="E6079" s="1" t="str">
        <f>"6935160952108750155"</f>
        <v>6935160952108750155</v>
      </c>
      <c r="F6079" s="1" t="str">
        <f t="shared" si="1896"/>
        <v>花都四部-凤凰仓</v>
      </c>
      <c r="G6079" s="1" t="str">
        <f t="shared" si="1904"/>
        <v>卡卡杜个人护理店（抖店）</v>
      </c>
      <c r="H6079" s="1" t="str">
        <f t="shared" si="1897"/>
        <v>正常订单</v>
      </c>
      <c r="I6079" s="1" t="str">
        <f t="shared" si="1898"/>
        <v>已发货</v>
      </c>
      <c r="J6079" s="1" t="str">
        <f t="shared" si="1903"/>
        <v>3</v>
      </c>
      <c r="K6079" s="1">
        <v>3</v>
      </c>
      <c r="L6079" s="1" t="s">
        <v>47</v>
      </c>
      <c r="M6079" s="1" t="str">
        <f>"重庆 重庆市 渝北区 康美街道"</f>
        <v>重庆 重庆市 渝北区 康美街道</v>
      </c>
      <c r="N6079" s="1" t="str">
        <f t="shared" si="1901"/>
        <v>凡华云仓-韵达-抖音</v>
      </c>
      <c r="O6079" s="5">
        <v>320177458915541</v>
      </c>
      <c r="P6079" s="6">
        <v>0.34</v>
      </c>
      <c r="Q6079" s="11">
        <v>2.2999999999999998</v>
      </c>
      <c r="R6079" s="11"/>
      <c r="S6079" s="11"/>
      <c r="T6079" s="11"/>
      <c r="U6079" s="11">
        <f t="shared" si="1893"/>
        <v>2.2999999999999998</v>
      </c>
      <c r="W6079">
        <v>2.5</v>
      </c>
      <c r="X6079" s="1" t="s">
        <v>47</v>
      </c>
    </row>
    <row r="6080" spans="1:24" x14ac:dyDescent="0.25">
      <c r="A6080" s="1" t="str">
        <f t="shared" si="1895"/>
        <v>卡卡杜-凤凰仓</v>
      </c>
      <c r="B6080" s="1" t="str">
        <f>"CK2024101810350"</f>
        <v>CK2024101810350</v>
      </c>
      <c r="C6080" s="1" t="str">
        <f>"DD2024101816134"</f>
        <v>DD2024101816134</v>
      </c>
      <c r="D6080" s="1" t="str">
        <f>"CK2024101810000"</f>
        <v>CK2024101810000</v>
      </c>
      <c r="E6080" s="1" t="str">
        <f>"6935167563471656494"</f>
        <v>6935167563471656494</v>
      </c>
      <c r="F6080" s="1" t="str">
        <f t="shared" si="1896"/>
        <v>花都四部-凤凰仓</v>
      </c>
      <c r="G6080" s="1" t="str">
        <f t="shared" si="1904"/>
        <v>卡卡杜个人护理店（抖店）</v>
      </c>
      <c r="H6080" s="1" t="str">
        <f t="shared" si="1897"/>
        <v>正常订单</v>
      </c>
      <c r="I6080" s="1" t="str">
        <f t="shared" si="1898"/>
        <v>已发货</v>
      </c>
      <c r="J6080" s="1" t="str">
        <f t="shared" si="1903"/>
        <v>3</v>
      </c>
      <c r="K6080" s="1">
        <v>3</v>
      </c>
      <c r="L6080" s="1" t="s">
        <v>22</v>
      </c>
      <c r="M6080" s="1" t="str">
        <f>"江西省 南昌市 青山湖区 蛟桥镇"</f>
        <v>江西省 南昌市 青山湖区 蛟桥镇</v>
      </c>
      <c r="N6080" s="1" t="str">
        <f t="shared" si="1901"/>
        <v>凡华云仓-韵达-抖音</v>
      </c>
      <c r="O6080" s="5">
        <v>320177458915444</v>
      </c>
      <c r="P6080" s="6">
        <v>0.34</v>
      </c>
      <c r="Q6080" s="11">
        <v>2.2999999999999998</v>
      </c>
      <c r="R6080" s="11"/>
      <c r="S6080" s="11"/>
      <c r="T6080" s="11"/>
      <c r="U6080" s="11">
        <f t="shared" si="1893"/>
        <v>2.2999999999999998</v>
      </c>
      <c r="W6080">
        <v>2.5</v>
      </c>
      <c r="X6080" s="1" t="s">
        <v>22</v>
      </c>
    </row>
    <row r="6081" spans="1:24" x14ac:dyDescent="0.25">
      <c r="A6081" s="1" t="str">
        <f t="shared" si="1895"/>
        <v>卡卡杜-凤凰仓</v>
      </c>
      <c r="B6081" s="1" t="str">
        <f>"CK2024101810355"</f>
        <v>CK2024101810355</v>
      </c>
      <c r="C6081" s="1" t="str">
        <f>"DD2024101816139"</f>
        <v>DD2024101816139</v>
      </c>
      <c r="D6081" s="1" t="str">
        <f>"CK202410189999"</f>
        <v>CK202410189999</v>
      </c>
      <c r="E6081" s="1" t="str">
        <f>"6935153844281677479"</f>
        <v>6935153844281677479</v>
      </c>
      <c r="F6081" s="1" t="str">
        <f t="shared" si="1896"/>
        <v>花都四部-凤凰仓</v>
      </c>
      <c r="G6081" s="1" t="str">
        <f t="shared" si="1904"/>
        <v>卡卡杜个人护理店（抖店）</v>
      </c>
      <c r="H6081" s="1" t="str">
        <f t="shared" si="1897"/>
        <v>正常订单</v>
      </c>
      <c r="I6081" s="1" t="str">
        <f t="shared" si="1898"/>
        <v>已发货</v>
      </c>
      <c r="J6081" s="1" t="str">
        <f t="shared" si="1903"/>
        <v>3</v>
      </c>
      <c r="K6081" s="1">
        <v>3</v>
      </c>
      <c r="L6081" s="1" t="s">
        <v>105</v>
      </c>
      <c r="M6081" s="1" t="str">
        <f>"北京 北京市 大兴区 清源街道"</f>
        <v>北京 北京市 大兴区 清源街道</v>
      </c>
      <c r="N6081" s="1" t="str">
        <f t="shared" si="1901"/>
        <v>凡华云仓-韵达-抖音</v>
      </c>
      <c r="O6081" s="5">
        <v>320177458915349</v>
      </c>
      <c r="P6081" s="6">
        <v>0.34</v>
      </c>
      <c r="Q6081" s="11">
        <v>2.2999999999999998</v>
      </c>
      <c r="R6081" s="11"/>
      <c r="S6081" s="11"/>
      <c r="T6081" s="11"/>
      <c r="U6081" s="11">
        <f t="shared" si="1893"/>
        <v>2.2999999999999998</v>
      </c>
      <c r="W6081">
        <v>2.5</v>
      </c>
      <c r="X6081" s="1" t="s">
        <v>105</v>
      </c>
    </row>
    <row r="6082" spans="1:24" x14ac:dyDescent="0.25">
      <c r="A6082" s="1" t="str">
        <f t="shared" si="1895"/>
        <v>卡卡杜-凤凰仓</v>
      </c>
      <c r="B6082" s="1" t="str">
        <f>"CK2024101810349"</f>
        <v>CK2024101810349</v>
      </c>
      <c r="C6082" s="1" t="str">
        <f>"DD2024101816133"</f>
        <v>DD2024101816133</v>
      </c>
      <c r="D6082" s="1" t="str">
        <f>"CK202410189998"</f>
        <v>CK202410189998</v>
      </c>
      <c r="E6082" s="1" t="str">
        <f>"6935156020956894683"</f>
        <v>6935156020956894683</v>
      </c>
      <c r="F6082" s="1" t="str">
        <f t="shared" si="1896"/>
        <v>花都四部-凤凰仓</v>
      </c>
      <c r="G6082" s="1" t="str">
        <f t="shared" si="1904"/>
        <v>卡卡杜个人护理店（抖店）</v>
      </c>
      <c r="H6082" s="1" t="str">
        <f t="shared" si="1897"/>
        <v>正常订单</v>
      </c>
      <c r="I6082" s="1" t="str">
        <f t="shared" si="1898"/>
        <v>已发货</v>
      </c>
      <c r="J6082" s="1" t="str">
        <f t="shared" si="1903"/>
        <v>3</v>
      </c>
      <c r="K6082" s="1">
        <v>3</v>
      </c>
      <c r="L6082" s="1" t="s">
        <v>16</v>
      </c>
      <c r="M6082" s="1" t="str">
        <f>"河北省 邢台市 沙河市 桥东街道"</f>
        <v>河北省 邢台市 沙河市 桥东街道</v>
      </c>
      <c r="N6082" s="1" t="str">
        <f t="shared" si="1901"/>
        <v>凡华云仓-韵达-抖音</v>
      </c>
      <c r="O6082" s="5">
        <v>320177458915256</v>
      </c>
      <c r="P6082" s="6">
        <v>0.34</v>
      </c>
      <c r="Q6082" s="11">
        <v>2.2999999999999998</v>
      </c>
      <c r="R6082" s="11"/>
      <c r="S6082" s="11"/>
      <c r="T6082" s="11"/>
      <c r="U6082" s="11">
        <f t="shared" si="1893"/>
        <v>2.2999999999999998</v>
      </c>
      <c r="W6082">
        <v>2.5</v>
      </c>
      <c r="X6082" s="1" t="s">
        <v>16</v>
      </c>
    </row>
    <row r="6083" spans="1:24" x14ac:dyDescent="0.25">
      <c r="A6083" s="1" t="str">
        <f t="shared" si="1895"/>
        <v>卡卡杜-凤凰仓</v>
      </c>
      <c r="B6083" s="1" t="str">
        <f>"CK2024101810352"</f>
        <v>CK2024101810352</v>
      </c>
      <c r="C6083" s="1" t="str">
        <f>"DD2024101816136"</f>
        <v>DD2024101816136</v>
      </c>
      <c r="D6083" s="1" t="str">
        <f>"CK202410189997"</f>
        <v>CK202410189997</v>
      </c>
      <c r="E6083" s="1" t="str">
        <f>"6935153878378550785"</f>
        <v>6935153878378550785</v>
      </c>
      <c r="F6083" s="1" t="str">
        <f t="shared" si="1896"/>
        <v>花都四部-凤凰仓</v>
      </c>
      <c r="G6083" s="1" t="str">
        <f t="shared" si="1904"/>
        <v>卡卡杜个人护理店（抖店）</v>
      </c>
      <c r="H6083" s="1" t="str">
        <f t="shared" si="1897"/>
        <v>正常订单</v>
      </c>
      <c r="I6083" s="1" t="str">
        <f t="shared" si="1898"/>
        <v>已发货</v>
      </c>
      <c r="J6083" s="1" t="str">
        <f>"6"</f>
        <v>6</v>
      </c>
      <c r="K6083" s="1">
        <v>3</v>
      </c>
      <c r="L6083" s="1" t="s">
        <v>13</v>
      </c>
      <c r="M6083" s="1" t="str">
        <f>"江苏省 无锡市 惠山区 前洲街道"</f>
        <v>江苏省 无锡市 惠山区 前洲街道</v>
      </c>
      <c r="N6083" s="1" t="str">
        <f t="shared" si="1901"/>
        <v>凡华云仓-韵达-抖音</v>
      </c>
      <c r="O6083" s="5">
        <v>320177458915165</v>
      </c>
      <c r="P6083" s="6">
        <v>0.55000000000000004</v>
      </c>
      <c r="Q6083" s="11">
        <f>CEILING(P6083-0.5,0.1)*10*0.15+2.3</f>
        <v>2.4499999999999997</v>
      </c>
      <c r="R6083" s="11"/>
      <c r="S6083" s="11"/>
      <c r="T6083" s="11"/>
      <c r="U6083" s="11">
        <f t="shared" ref="U6083:U6146" si="1905">T6083+S6083+R6083+Q6083</f>
        <v>2.4499999999999997</v>
      </c>
      <c r="V6083" t="s">
        <v>15</v>
      </c>
      <c r="W6083">
        <v>2.4500000000000002</v>
      </c>
      <c r="X6083" s="1" t="s">
        <v>13</v>
      </c>
    </row>
    <row r="6084" spans="1:24" x14ac:dyDescent="0.25">
      <c r="A6084" s="1" t="str">
        <f t="shared" si="1895"/>
        <v>卡卡杜-凤凰仓</v>
      </c>
      <c r="B6084" s="1" t="str">
        <f>"CK2024101810353"</f>
        <v>CK2024101810353</v>
      </c>
      <c r="C6084" s="1" t="str">
        <f>"DD2024101816137"</f>
        <v>DD2024101816137</v>
      </c>
      <c r="D6084" s="1" t="str">
        <f>"CK202410189996"</f>
        <v>CK202410189996</v>
      </c>
      <c r="E6084" s="1" t="str">
        <f>"6935167441681913281"</f>
        <v>6935167441681913281</v>
      </c>
      <c r="F6084" s="1" t="str">
        <f t="shared" si="1896"/>
        <v>花都四部-凤凰仓</v>
      </c>
      <c r="G6084" s="1" t="str">
        <f t="shared" si="1904"/>
        <v>卡卡杜个人护理店（抖店）</v>
      </c>
      <c r="H6084" s="1" t="str">
        <f t="shared" si="1897"/>
        <v>正常订单</v>
      </c>
      <c r="I6084" s="1" t="str">
        <f t="shared" si="1898"/>
        <v>已发货</v>
      </c>
      <c r="J6084" s="1" t="str">
        <f t="shared" ref="J6084:J6106" si="1906">"3"</f>
        <v>3</v>
      </c>
      <c r="K6084" s="1">
        <v>3</v>
      </c>
      <c r="L6084" s="1" t="s">
        <v>105</v>
      </c>
      <c r="M6084" s="1" t="str">
        <f>"北京 北京市 通州区 潞城镇"</f>
        <v>北京 北京市 通州区 潞城镇</v>
      </c>
      <c r="N6084" s="1" t="str">
        <f t="shared" si="1901"/>
        <v>凡华云仓-韵达-抖音</v>
      </c>
      <c r="O6084" s="5">
        <v>320177458915076</v>
      </c>
      <c r="P6084" s="6">
        <v>0.34</v>
      </c>
      <c r="Q6084" s="11">
        <v>2.2999999999999998</v>
      </c>
      <c r="R6084" s="11"/>
      <c r="S6084" s="11"/>
      <c r="T6084" s="11"/>
      <c r="U6084" s="11">
        <f t="shared" si="1905"/>
        <v>2.2999999999999998</v>
      </c>
      <c r="W6084">
        <v>2.5</v>
      </c>
      <c r="X6084" s="1" t="s">
        <v>105</v>
      </c>
    </row>
    <row r="6085" spans="1:24" x14ac:dyDescent="0.25">
      <c r="A6085" s="1" t="str">
        <f t="shared" ref="A6085:A6148" si="1907">"卡卡杜-凤凰仓"</f>
        <v>卡卡杜-凤凰仓</v>
      </c>
      <c r="B6085" s="1" t="str">
        <f>"CK2024101810354"</f>
        <v>CK2024101810354</v>
      </c>
      <c r="C6085" s="1" t="str">
        <f>"DD2024101816138"</f>
        <v>DD2024101816138</v>
      </c>
      <c r="D6085" s="1" t="str">
        <f>"CK202410189995"</f>
        <v>CK202410189995</v>
      </c>
      <c r="E6085" s="1" t="str">
        <f>"6935147482878645388"</f>
        <v>6935147482878645388</v>
      </c>
      <c r="F6085" s="1" t="str">
        <f t="shared" ref="F6085:F6148" si="1908">"花都四部-凤凰仓"</f>
        <v>花都四部-凤凰仓</v>
      </c>
      <c r="G6085" s="1" t="str">
        <f t="shared" si="1904"/>
        <v>卡卡杜个人护理店（抖店）</v>
      </c>
      <c r="H6085" s="1" t="str">
        <f t="shared" ref="H6085:H6148" si="1909">"正常订单"</f>
        <v>正常订单</v>
      </c>
      <c r="I6085" s="1" t="str">
        <f t="shared" ref="I6085:I6148" si="1910">"已发货"</f>
        <v>已发货</v>
      </c>
      <c r="J6085" s="1" t="str">
        <f t="shared" si="1906"/>
        <v>3</v>
      </c>
      <c r="K6085" s="1">
        <v>3</v>
      </c>
      <c r="L6085" s="1" t="s">
        <v>109</v>
      </c>
      <c r="M6085" s="1" t="str">
        <f>"山西省 吕梁市 交城县 天宁镇"</f>
        <v>山西省 吕梁市 交城县 天宁镇</v>
      </c>
      <c r="N6085" s="1" t="str">
        <f t="shared" si="1901"/>
        <v>凡华云仓-韵达-抖音</v>
      </c>
      <c r="O6085" s="5">
        <v>320177458914952</v>
      </c>
      <c r="P6085" s="6">
        <v>0.34</v>
      </c>
      <c r="Q6085" s="11">
        <v>2.2999999999999998</v>
      </c>
      <c r="R6085" s="11"/>
      <c r="S6085" s="11"/>
      <c r="T6085" s="11"/>
      <c r="U6085" s="11">
        <f t="shared" si="1905"/>
        <v>2.2999999999999998</v>
      </c>
      <c r="W6085">
        <v>2.5</v>
      </c>
      <c r="X6085" s="1" t="s">
        <v>109</v>
      </c>
    </row>
    <row r="6086" spans="1:24" x14ac:dyDescent="0.25">
      <c r="A6086" s="1" t="str">
        <f t="shared" si="1907"/>
        <v>卡卡杜-凤凰仓</v>
      </c>
      <c r="B6086" s="1" t="str">
        <f>"CK2024101810356"</f>
        <v>CK2024101810356</v>
      </c>
      <c r="C6086" s="1" t="str">
        <f>"DD2024101816140"</f>
        <v>DD2024101816140</v>
      </c>
      <c r="D6086" s="1" t="str">
        <f>"CK202410189994"</f>
        <v>CK202410189994</v>
      </c>
      <c r="E6086" s="1" t="str">
        <f>"6935141085102740510"</f>
        <v>6935141085102740510</v>
      </c>
      <c r="F6086" s="1" t="str">
        <f t="shared" si="1908"/>
        <v>花都四部-凤凰仓</v>
      </c>
      <c r="G6086" s="1" t="str">
        <f t="shared" si="1904"/>
        <v>卡卡杜个人护理店（抖店）</v>
      </c>
      <c r="H6086" s="1" t="str">
        <f t="shared" si="1909"/>
        <v>正常订单</v>
      </c>
      <c r="I6086" s="1" t="str">
        <f t="shared" si="1910"/>
        <v>已发货</v>
      </c>
      <c r="J6086" s="1" t="str">
        <f t="shared" si="1906"/>
        <v>3</v>
      </c>
      <c r="K6086" s="1">
        <v>3</v>
      </c>
      <c r="L6086" s="1" t="s">
        <v>80</v>
      </c>
      <c r="M6086" s="1" t="str">
        <f>"河南省 周口市 太康县 大许寨镇"</f>
        <v>河南省 周口市 太康县 大许寨镇</v>
      </c>
      <c r="N6086" s="1" t="str">
        <f t="shared" si="1901"/>
        <v>凡华云仓-韵达-抖音</v>
      </c>
      <c r="O6086" s="5">
        <v>320177458914847</v>
      </c>
      <c r="P6086" s="6">
        <v>0.34</v>
      </c>
      <c r="Q6086" s="11">
        <v>2.2999999999999998</v>
      </c>
      <c r="R6086" s="11"/>
      <c r="S6086" s="11"/>
      <c r="T6086" s="11"/>
      <c r="U6086" s="11">
        <f t="shared" si="1905"/>
        <v>2.2999999999999998</v>
      </c>
      <c r="W6086">
        <v>2.5</v>
      </c>
      <c r="X6086" s="1" t="s">
        <v>80</v>
      </c>
    </row>
    <row r="6087" spans="1:24" x14ac:dyDescent="0.25">
      <c r="A6087" s="1" t="str">
        <f t="shared" si="1907"/>
        <v>卡卡杜-凤凰仓</v>
      </c>
      <c r="B6087" s="1" t="str">
        <f>"CK2024101810351"</f>
        <v>CK2024101810351</v>
      </c>
      <c r="C6087" s="1" t="str">
        <f>"DD2024101816135"</f>
        <v>DD2024101816135</v>
      </c>
      <c r="D6087" s="1" t="str">
        <f>"CK202410189993"</f>
        <v>CK202410189993</v>
      </c>
      <c r="E6087" s="1" t="str">
        <f>"6935141107663967658"</f>
        <v>6935141107663967658</v>
      </c>
      <c r="F6087" s="1" t="str">
        <f t="shared" si="1908"/>
        <v>花都四部-凤凰仓</v>
      </c>
      <c r="G6087" s="1" t="str">
        <f t="shared" si="1904"/>
        <v>卡卡杜个人护理店（抖店）</v>
      </c>
      <c r="H6087" s="1" t="str">
        <f t="shared" si="1909"/>
        <v>正常订单</v>
      </c>
      <c r="I6087" s="1" t="str">
        <f t="shared" si="1910"/>
        <v>已发货</v>
      </c>
      <c r="J6087" s="1" t="str">
        <f t="shared" si="1906"/>
        <v>3</v>
      </c>
      <c r="K6087" s="1">
        <v>3</v>
      </c>
      <c r="L6087" s="1" t="s">
        <v>16</v>
      </c>
      <c r="M6087" s="1" t="str">
        <f>"河北省 衡水市 武邑县 武邑镇"</f>
        <v>河北省 衡水市 武邑县 武邑镇</v>
      </c>
      <c r="N6087" s="1" t="str">
        <f t="shared" si="1901"/>
        <v>凡华云仓-韵达-抖音</v>
      </c>
      <c r="O6087" s="5">
        <v>320177476488613</v>
      </c>
      <c r="P6087" s="6">
        <v>0.34</v>
      </c>
      <c r="Q6087" s="11">
        <v>2.2999999999999998</v>
      </c>
      <c r="R6087" s="11"/>
      <c r="S6087" s="11"/>
      <c r="T6087" s="11"/>
      <c r="U6087" s="11">
        <f t="shared" si="1905"/>
        <v>2.2999999999999998</v>
      </c>
      <c r="W6087">
        <v>2.5</v>
      </c>
      <c r="X6087" s="1" t="s">
        <v>16</v>
      </c>
    </row>
    <row r="6088" spans="1:24" x14ac:dyDescent="0.25">
      <c r="A6088" s="1" t="str">
        <f t="shared" si="1907"/>
        <v>卡卡杜-凤凰仓</v>
      </c>
      <c r="B6088" s="1" t="str">
        <f>"CK2024101810357"</f>
        <v>CK2024101810357</v>
      </c>
      <c r="C6088" s="1" t="str">
        <f>"DD2024101816141"</f>
        <v>DD2024101816141</v>
      </c>
      <c r="D6088" s="1" t="str">
        <f>"CK202410189992"</f>
        <v>CK202410189992</v>
      </c>
      <c r="E6088" s="1" t="str">
        <f>"6935158337474402255"</f>
        <v>6935158337474402255</v>
      </c>
      <c r="F6088" s="1" t="str">
        <f t="shared" si="1908"/>
        <v>花都四部-凤凰仓</v>
      </c>
      <c r="G6088" s="1" t="str">
        <f t="shared" si="1904"/>
        <v>卡卡杜个人护理店（抖店）</v>
      </c>
      <c r="H6088" s="1" t="str">
        <f t="shared" si="1909"/>
        <v>正常订单</v>
      </c>
      <c r="I6088" s="1" t="str">
        <f t="shared" si="1910"/>
        <v>已发货</v>
      </c>
      <c r="J6088" s="1" t="str">
        <f t="shared" si="1906"/>
        <v>3</v>
      </c>
      <c r="K6088" s="1">
        <v>3</v>
      </c>
      <c r="L6088" s="1" t="s">
        <v>36</v>
      </c>
      <c r="M6088" s="1" t="str">
        <f>"安徽省 马鞍山市 雨山区 雨山街道"</f>
        <v>安徽省 马鞍山市 雨山区 雨山街道</v>
      </c>
      <c r="N6088" s="1" t="str">
        <f t="shared" si="1901"/>
        <v>凡华云仓-韵达-抖音</v>
      </c>
      <c r="O6088" s="5">
        <v>320177476488514</v>
      </c>
      <c r="P6088" s="6">
        <v>0.34</v>
      </c>
      <c r="Q6088" s="11">
        <v>2.2999999999999998</v>
      </c>
      <c r="R6088" s="11"/>
      <c r="S6088" s="11"/>
      <c r="T6088" s="11"/>
      <c r="U6088" s="11">
        <f t="shared" si="1905"/>
        <v>2.2999999999999998</v>
      </c>
      <c r="W6088">
        <v>2.5</v>
      </c>
      <c r="X6088" s="1" t="s">
        <v>36</v>
      </c>
    </row>
    <row r="6089" spans="1:24" x14ac:dyDescent="0.25">
      <c r="A6089" s="1" t="str">
        <f t="shared" si="1907"/>
        <v>卡卡杜-凤凰仓</v>
      </c>
      <c r="B6089" s="1" t="str">
        <f>"CK2024101810358"</f>
        <v>CK2024101810358</v>
      </c>
      <c r="C6089" s="1" t="str">
        <f>"DD2024101816142"</f>
        <v>DD2024101816142</v>
      </c>
      <c r="D6089" s="1" t="str">
        <f>"CK202410189991"</f>
        <v>CK202410189991</v>
      </c>
      <c r="E6089" s="1" t="str">
        <f>"6935174215966463062"</f>
        <v>6935174215966463062</v>
      </c>
      <c r="F6089" s="1" t="str">
        <f t="shared" si="1908"/>
        <v>花都四部-凤凰仓</v>
      </c>
      <c r="G6089" s="1" t="str">
        <f t="shared" si="1904"/>
        <v>卡卡杜个人护理店（抖店）</v>
      </c>
      <c r="H6089" s="1" t="str">
        <f t="shared" si="1909"/>
        <v>正常订单</v>
      </c>
      <c r="I6089" s="1" t="str">
        <f t="shared" si="1910"/>
        <v>已发货</v>
      </c>
      <c r="J6089" s="1" t="str">
        <f t="shared" si="1906"/>
        <v>3</v>
      </c>
      <c r="K6089" s="1">
        <v>3</v>
      </c>
      <c r="L6089" s="1" t="s">
        <v>36</v>
      </c>
      <c r="M6089" s="1" t="str">
        <f>"安徽省 蚌埠市 固镇县 濠城镇"</f>
        <v>安徽省 蚌埠市 固镇县 濠城镇</v>
      </c>
      <c r="N6089" s="1" t="str">
        <f t="shared" si="1901"/>
        <v>凡华云仓-韵达-抖音</v>
      </c>
      <c r="O6089" s="5">
        <v>320177476488417</v>
      </c>
      <c r="P6089" s="6">
        <v>0.34</v>
      </c>
      <c r="Q6089" s="11">
        <v>2.2999999999999998</v>
      </c>
      <c r="R6089" s="11"/>
      <c r="S6089" s="11"/>
      <c r="T6089" s="11"/>
      <c r="U6089" s="11">
        <f t="shared" si="1905"/>
        <v>2.2999999999999998</v>
      </c>
      <c r="W6089">
        <v>2.5</v>
      </c>
      <c r="X6089" s="1" t="s">
        <v>36</v>
      </c>
    </row>
    <row r="6090" spans="1:24" x14ac:dyDescent="0.25">
      <c r="A6090" s="1" t="str">
        <f t="shared" si="1907"/>
        <v>卡卡杜-凤凰仓</v>
      </c>
      <c r="B6090" s="1" t="str">
        <f>"CK2024101810359"</f>
        <v>CK2024101810359</v>
      </c>
      <c r="C6090" s="1" t="str">
        <f>"DD2024101816143"</f>
        <v>DD2024101816143</v>
      </c>
      <c r="D6090" s="1" t="str">
        <f>"CK202410189990"</f>
        <v>CK202410189990</v>
      </c>
      <c r="E6090" s="1" t="str">
        <f>"6935158429278606643"</f>
        <v>6935158429278606643</v>
      </c>
      <c r="F6090" s="1" t="str">
        <f t="shared" si="1908"/>
        <v>花都四部-凤凰仓</v>
      </c>
      <c r="G6090" s="1" t="str">
        <f t="shared" si="1904"/>
        <v>卡卡杜个人护理店（抖店）</v>
      </c>
      <c r="H6090" s="1" t="str">
        <f t="shared" si="1909"/>
        <v>正常订单</v>
      </c>
      <c r="I6090" s="1" t="str">
        <f t="shared" si="1910"/>
        <v>已发货</v>
      </c>
      <c r="J6090" s="1" t="str">
        <f t="shared" si="1906"/>
        <v>3</v>
      </c>
      <c r="K6090" s="1">
        <v>3</v>
      </c>
      <c r="L6090" s="1" t="s">
        <v>161</v>
      </c>
      <c r="M6090" s="1" t="str">
        <f>"四川省 成都市 金牛区 沙河源街道"</f>
        <v>四川省 成都市 金牛区 沙河源街道</v>
      </c>
      <c r="N6090" s="1" t="str">
        <f t="shared" si="1901"/>
        <v>凡华云仓-韵达-抖音</v>
      </c>
      <c r="O6090" s="5">
        <v>320177476488322</v>
      </c>
      <c r="P6090" s="6">
        <v>0.34</v>
      </c>
      <c r="Q6090" s="11">
        <v>2.2999999999999998</v>
      </c>
      <c r="R6090" s="11"/>
      <c r="S6090" s="11"/>
      <c r="T6090" s="11"/>
      <c r="U6090" s="11">
        <f t="shared" si="1905"/>
        <v>2.2999999999999998</v>
      </c>
      <c r="W6090">
        <v>2.5</v>
      </c>
      <c r="X6090" s="1" t="s">
        <v>161</v>
      </c>
    </row>
    <row r="6091" spans="1:24" x14ac:dyDescent="0.25">
      <c r="A6091" s="1" t="str">
        <f t="shared" si="1907"/>
        <v>卡卡杜-凤凰仓</v>
      </c>
      <c r="B6091" s="1" t="str">
        <f>"CK2024101810360"</f>
        <v>CK2024101810360</v>
      </c>
      <c r="C6091" s="1" t="str">
        <f>"DD2024101816144"</f>
        <v>DD2024101816144</v>
      </c>
      <c r="D6091" s="1" t="str">
        <f>"CK202410189989"</f>
        <v>CK202410189989</v>
      </c>
      <c r="E6091" s="1" t="str">
        <f>"6935176625372861898"</f>
        <v>6935176625372861898</v>
      </c>
      <c r="F6091" s="1" t="str">
        <f t="shared" si="1908"/>
        <v>花都四部-凤凰仓</v>
      </c>
      <c r="G6091" s="1" t="str">
        <f t="shared" si="1904"/>
        <v>卡卡杜个人护理店（抖店）</v>
      </c>
      <c r="H6091" s="1" t="str">
        <f t="shared" si="1909"/>
        <v>正常订单</v>
      </c>
      <c r="I6091" s="1" t="str">
        <f t="shared" si="1910"/>
        <v>已发货</v>
      </c>
      <c r="J6091" s="1" t="str">
        <f t="shared" si="1906"/>
        <v>3</v>
      </c>
      <c r="K6091" s="1">
        <v>3</v>
      </c>
      <c r="L6091" s="1" t="s">
        <v>80</v>
      </c>
      <c r="M6091" s="1" t="str">
        <f>"河南省 周口市 西华县 东夏亭镇"</f>
        <v>河南省 周口市 西华县 东夏亭镇</v>
      </c>
      <c r="N6091" s="1" t="str">
        <f t="shared" si="1901"/>
        <v>凡华云仓-韵达-抖音</v>
      </c>
      <c r="O6091" s="5">
        <v>320177476488229</v>
      </c>
      <c r="P6091" s="6">
        <v>0.34</v>
      </c>
      <c r="Q6091" s="11">
        <v>2.2999999999999998</v>
      </c>
      <c r="R6091" s="11"/>
      <c r="S6091" s="11"/>
      <c r="T6091" s="11"/>
      <c r="U6091" s="11">
        <f t="shared" si="1905"/>
        <v>2.2999999999999998</v>
      </c>
      <c r="W6091">
        <v>2.5</v>
      </c>
      <c r="X6091" s="1" t="s">
        <v>80</v>
      </c>
    </row>
    <row r="6092" spans="1:24" x14ac:dyDescent="0.25">
      <c r="A6092" s="1" t="str">
        <f t="shared" si="1907"/>
        <v>卡卡杜-凤凰仓</v>
      </c>
      <c r="B6092" s="1" t="str">
        <f>"CK2024101810361"</f>
        <v>CK2024101810361</v>
      </c>
      <c r="C6092" s="1" t="str">
        <f>"DD2024101816145"</f>
        <v>DD2024101816145</v>
      </c>
      <c r="D6092" s="1" t="str">
        <f>"CK202410189988"</f>
        <v>CK202410189988</v>
      </c>
      <c r="E6092" s="1" t="str">
        <f>"6935160939715368169"</f>
        <v>6935160939715368169</v>
      </c>
      <c r="F6092" s="1" t="str">
        <f t="shared" si="1908"/>
        <v>花都四部-凤凰仓</v>
      </c>
      <c r="G6092" s="1" t="str">
        <f t="shared" si="1904"/>
        <v>卡卡杜个人护理店（抖店）</v>
      </c>
      <c r="H6092" s="1" t="str">
        <f t="shared" si="1909"/>
        <v>正常订单</v>
      </c>
      <c r="I6092" s="1" t="str">
        <f t="shared" si="1910"/>
        <v>已发货</v>
      </c>
      <c r="J6092" s="1" t="str">
        <f t="shared" si="1906"/>
        <v>3</v>
      </c>
      <c r="K6092" s="1">
        <v>3</v>
      </c>
      <c r="L6092" s="1" t="s">
        <v>60</v>
      </c>
      <c r="M6092" s="1" t="str">
        <f>"云南省 保山市 昌宁县 珠街彝族乡"</f>
        <v>云南省 保山市 昌宁县 珠街彝族乡</v>
      </c>
      <c r="N6092" s="1" t="str">
        <f t="shared" si="1901"/>
        <v>凡华云仓-韵达-抖音</v>
      </c>
      <c r="O6092" s="5">
        <v>320177476488138</v>
      </c>
      <c r="P6092" s="6">
        <v>0.34</v>
      </c>
      <c r="Q6092" s="11">
        <v>2.2999999999999998</v>
      </c>
      <c r="R6092" s="11"/>
      <c r="S6092" s="11"/>
      <c r="T6092" s="11"/>
      <c r="U6092" s="11">
        <f t="shared" si="1905"/>
        <v>2.2999999999999998</v>
      </c>
      <c r="W6092">
        <v>2.5</v>
      </c>
      <c r="X6092" s="1" t="s">
        <v>60</v>
      </c>
    </row>
    <row r="6093" spans="1:24" x14ac:dyDescent="0.25">
      <c r="A6093" s="1" t="str">
        <f t="shared" si="1907"/>
        <v>卡卡杜-凤凰仓</v>
      </c>
      <c r="B6093" s="1" t="str">
        <f>"CK2024101810362"</f>
        <v>CK2024101810362</v>
      </c>
      <c r="C6093" s="1" t="str">
        <f>"DD2024101816146"</f>
        <v>DD2024101816146</v>
      </c>
      <c r="D6093" s="1" t="str">
        <f>"CK202410189987"</f>
        <v>CK202410189987</v>
      </c>
      <c r="E6093" s="1" t="str">
        <f>"6935153843666425016"</f>
        <v>6935153843666425016</v>
      </c>
      <c r="F6093" s="1" t="str">
        <f t="shared" si="1908"/>
        <v>花都四部-凤凰仓</v>
      </c>
      <c r="G6093" s="1" t="str">
        <f t="shared" si="1904"/>
        <v>卡卡杜个人护理店（抖店）</v>
      </c>
      <c r="H6093" s="1" t="str">
        <f t="shared" si="1909"/>
        <v>正常订单</v>
      </c>
      <c r="I6093" s="1" t="str">
        <f t="shared" si="1910"/>
        <v>已发货</v>
      </c>
      <c r="J6093" s="1" t="str">
        <f t="shared" si="1906"/>
        <v>3</v>
      </c>
      <c r="K6093" s="1">
        <v>3</v>
      </c>
      <c r="L6093" s="1" t="s">
        <v>36</v>
      </c>
      <c r="M6093" s="1" t="str">
        <f>"安徽省 芜湖市 鸠江区 官陡街道"</f>
        <v>安徽省 芜湖市 鸠江区 官陡街道</v>
      </c>
      <c r="N6093" s="1" t="str">
        <f t="shared" si="1901"/>
        <v>凡华云仓-韵达-抖音</v>
      </c>
      <c r="O6093" s="5">
        <v>320177476488049</v>
      </c>
      <c r="P6093" s="6">
        <v>0.34</v>
      </c>
      <c r="Q6093" s="11">
        <v>2.2999999999999998</v>
      </c>
      <c r="R6093" s="11"/>
      <c r="S6093" s="11"/>
      <c r="T6093" s="11"/>
      <c r="U6093" s="11">
        <f t="shared" si="1905"/>
        <v>2.2999999999999998</v>
      </c>
      <c r="W6093">
        <v>2.5</v>
      </c>
      <c r="X6093" s="1" t="s">
        <v>36</v>
      </c>
    </row>
    <row r="6094" spans="1:24" x14ac:dyDescent="0.25">
      <c r="A6094" s="1" t="str">
        <f t="shared" si="1907"/>
        <v>卡卡杜-凤凰仓</v>
      </c>
      <c r="B6094" s="1" t="str">
        <f>"CK2024101810363"</f>
        <v>CK2024101810363</v>
      </c>
      <c r="C6094" s="1" t="str">
        <f>"DD2024101816147"</f>
        <v>DD2024101816147</v>
      </c>
      <c r="D6094" s="1" t="str">
        <f>"CK202410189986"</f>
        <v>CK202410189986</v>
      </c>
      <c r="E6094" s="1" t="str">
        <f>"6935162771906303532"</f>
        <v>6935162771906303532</v>
      </c>
      <c r="F6094" s="1" t="str">
        <f t="shared" si="1908"/>
        <v>花都四部-凤凰仓</v>
      </c>
      <c r="G6094" s="1" t="str">
        <f t="shared" si="1904"/>
        <v>卡卡杜个人护理店（抖店）</v>
      </c>
      <c r="H6094" s="1" t="str">
        <f t="shared" si="1909"/>
        <v>正常订单</v>
      </c>
      <c r="I6094" s="1" t="str">
        <f t="shared" si="1910"/>
        <v>已发货</v>
      </c>
      <c r="J6094" s="1" t="str">
        <f t="shared" si="1906"/>
        <v>3</v>
      </c>
      <c r="K6094" s="1">
        <v>3</v>
      </c>
      <c r="L6094" s="1" t="s">
        <v>80</v>
      </c>
      <c r="M6094" s="1" t="str">
        <f>"河南省 南阳市 邓州市 花洲街道"</f>
        <v>河南省 南阳市 邓州市 花洲街道</v>
      </c>
      <c r="N6094" s="1" t="str">
        <f t="shared" si="1901"/>
        <v>凡华云仓-韵达-抖音</v>
      </c>
      <c r="O6094" s="5">
        <v>320177476487919</v>
      </c>
      <c r="P6094" s="6">
        <v>0.34</v>
      </c>
      <c r="Q6094" s="11">
        <v>2.2999999999999998</v>
      </c>
      <c r="R6094" s="11"/>
      <c r="S6094" s="11"/>
      <c r="T6094" s="11"/>
      <c r="U6094" s="11">
        <f t="shared" si="1905"/>
        <v>2.2999999999999998</v>
      </c>
      <c r="W6094">
        <v>2.5</v>
      </c>
      <c r="X6094" s="1" t="s">
        <v>80</v>
      </c>
    </row>
    <row r="6095" spans="1:24" x14ac:dyDescent="0.25">
      <c r="A6095" s="1" t="str">
        <f t="shared" si="1907"/>
        <v>卡卡杜-凤凰仓</v>
      </c>
      <c r="B6095" s="1" t="str">
        <f>"CK2024101810364"</f>
        <v>CK2024101810364</v>
      </c>
      <c r="C6095" s="1" t="str">
        <f>"DD2024101816148"</f>
        <v>DD2024101816148</v>
      </c>
      <c r="D6095" s="1" t="str">
        <f>"CK202410189985"</f>
        <v>CK202410189985</v>
      </c>
      <c r="E6095" s="1" t="str">
        <f>"6935145419724297394"</f>
        <v>6935145419724297394</v>
      </c>
      <c r="F6095" s="1" t="str">
        <f t="shared" si="1908"/>
        <v>花都四部-凤凰仓</v>
      </c>
      <c r="G6095" s="1" t="str">
        <f t="shared" si="1904"/>
        <v>卡卡杜个人护理店（抖店）</v>
      </c>
      <c r="H6095" s="1" t="str">
        <f t="shared" si="1909"/>
        <v>正常订单</v>
      </c>
      <c r="I6095" s="1" t="str">
        <f t="shared" si="1910"/>
        <v>已发货</v>
      </c>
      <c r="J6095" s="1" t="str">
        <f t="shared" si="1906"/>
        <v>3</v>
      </c>
      <c r="K6095" s="1">
        <v>3</v>
      </c>
      <c r="L6095" s="1" t="s">
        <v>41</v>
      </c>
      <c r="M6095" s="1" t="str">
        <f>"湖北省 宜昌市 五峰土家族自治县 渔洋关镇"</f>
        <v>湖北省 宜昌市 五峰土家族自治县 渔洋关镇</v>
      </c>
      <c r="N6095" s="1" t="str">
        <f t="shared" si="1901"/>
        <v>凡华云仓-韵达-抖音</v>
      </c>
      <c r="O6095" s="5">
        <v>320177476487814</v>
      </c>
      <c r="P6095" s="6">
        <v>0.34</v>
      </c>
      <c r="Q6095" s="11">
        <v>2.2999999999999998</v>
      </c>
      <c r="R6095" s="11"/>
      <c r="S6095" s="11"/>
      <c r="T6095" s="11"/>
      <c r="U6095" s="11">
        <f t="shared" si="1905"/>
        <v>2.2999999999999998</v>
      </c>
      <c r="W6095">
        <v>2.5</v>
      </c>
      <c r="X6095" s="1" t="s">
        <v>41</v>
      </c>
    </row>
    <row r="6096" spans="1:24" x14ac:dyDescent="0.25">
      <c r="A6096" s="1" t="str">
        <f t="shared" si="1907"/>
        <v>卡卡杜-凤凰仓</v>
      </c>
      <c r="B6096" s="1" t="str">
        <f>"CK2024101810365"</f>
        <v>CK2024101810365</v>
      </c>
      <c r="C6096" s="1" t="str">
        <f>"DD2024101816149"</f>
        <v>DD2024101816149</v>
      </c>
      <c r="D6096" s="1" t="str">
        <f>"CK202410189984"</f>
        <v>CK202410189984</v>
      </c>
      <c r="E6096" s="1" t="str">
        <f>"6935158430628582850"</f>
        <v>6935158430628582850</v>
      </c>
      <c r="F6096" s="1" t="str">
        <f t="shared" si="1908"/>
        <v>花都四部-凤凰仓</v>
      </c>
      <c r="G6096" s="1" t="str">
        <f t="shared" si="1904"/>
        <v>卡卡杜个人护理店（抖店）</v>
      </c>
      <c r="H6096" s="1" t="str">
        <f t="shared" si="1909"/>
        <v>正常订单</v>
      </c>
      <c r="I6096" s="1" t="str">
        <f t="shared" si="1910"/>
        <v>已发货</v>
      </c>
      <c r="J6096" s="1" t="str">
        <f t="shared" si="1906"/>
        <v>3</v>
      </c>
      <c r="K6096" s="1">
        <v>3</v>
      </c>
      <c r="L6096" s="1" t="s">
        <v>80</v>
      </c>
      <c r="M6096" s="1" t="str">
        <f>"河南省 新乡市 辉县市 城关街道"</f>
        <v>河南省 新乡市 辉县市 城关街道</v>
      </c>
      <c r="N6096" s="1" t="str">
        <f t="shared" si="1901"/>
        <v>凡华云仓-韵达-抖音</v>
      </c>
      <c r="O6096" s="5">
        <v>320177476487711</v>
      </c>
      <c r="P6096" s="6">
        <v>0.34</v>
      </c>
      <c r="Q6096" s="11">
        <v>2.2999999999999998</v>
      </c>
      <c r="R6096" s="11"/>
      <c r="S6096" s="11"/>
      <c r="T6096" s="11"/>
      <c r="U6096" s="11">
        <f t="shared" si="1905"/>
        <v>2.2999999999999998</v>
      </c>
      <c r="W6096">
        <v>2.5</v>
      </c>
      <c r="X6096" s="1" t="s">
        <v>80</v>
      </c>
    </row>
    <row r="6097" spans="1:24" x14ac:dyDescent="0.25">
      <c r="A6097" s="1" t="str">
        <f t="shared" si="1907"/>
        <v>卡卡杜-凤凰仓</v>
      </c>
      <c r="B6097" s="1" t="str">
        <f>"CK2024101810367"</f>
        <v>CK2024101810367</v>
      </c>
      <c r="C6097" s="1" t="str">
        <f>"DD2024101816151"</f>
        <v>DD2024101816151</v>
      </c>
      <c r="D6097" s="1" t="str">
        <f>"CK202410189983"</f>
        <v>CK202410189983</v>
      </c>
      <c r="E6097" s="1" t="str">
        <f>"6935147438417057241"</f>
        <v>6935147438417057241</v>
      </c>
      <c r="F6097" s="1" t="str">
        <f t="shared" si="1908"/>
        <v>花都四部-凤凰仓</v>
      </c>
      <c r="G6097" s="1" t="str">
        <f t="shared" si="1904"/>
        <v>卡卡杜个人护理店（抖店）</v>
      </c>
      <c r="H6097" s="1" t="str">
        <f t="shared" si="1909"/>
        <v>正常订单</v>
      </c>
      <c r="I6097" s="1" t="str">
        <f t="shared" si="1910"/>
        <v>已发货</v>
      </c>
      <c r="J6097" s="1" t="str">
        <f t="shared" si="1906"/>
        <v>3</v>
      </c>
      <c r="K6097" s="1">
        <v>3</v>
      </c>
      <c r="L6097" s="1" t="s">
        <v>13</v>
      </c>
      <c r="M6097" s="1" t="str">
        <f>"江苏省 扬州市 邗江区 竹西街道"</f>
        <v>江苏省 扬州市 邗江区 竹西街道</v>
      </c>
      <c r="N6097" s="1" t="str">
        <f t="shared" si="1901"/>
        <v>凡华云仓-韵达-抖音</v>
      </c>
      <c r="O6097" s="5">
        <v>320177458914744</v>
      </c>
      <c r="P6097" s="6">
        <v>0.34</v>
      </c>
      <c r="Q6097" s="11">
        <v>2.2999999999999998</v>
      </c>
      <c r="R6097" s="11"/>
      <c r="S6097" s="11"/>
      <c r="T6097" s="11"/>
      <c r="U6097" s="11">
        <f t="shared" si="1905"/>
        <v>2.2999999999999998</v>
      </c>
      <c r="W6097">
        <v>2.5</v>
      </c>
      <c r="X6097" s="1" t="s">
        <v>13</v>
      </c>
    </row>
    <row r="6098" spans="1:24" x14ac:dyDescent="0.25">
      <c r="A6098" s="1" t="str">
        <f t="shared" si="1907"/>
        <v>卡卡杜-凤凰仓</v>
      </c>
      <c r="B6098" s="1" t="str">
        <f>"CK2024101810368"</f>
        <v>CK2024101810368</v>
      </c>
      <c r="C6098" s="1" t="str">
        <f>"DD2024101816152"</f>
        <v>DD2024101816152</v>
      </c>
      <c r="D6098" s="1" t="str">
        <f>"CK202410189982"</f>
        <v>CK202410189982</v>
      </c>
      <c r="E6098" s="1" t="str">
        <f>"6935172050287597283"</f>
        <v>6935172050287597283</v>
      </c>
      <c r="F6098" s="1" t="str">
        <f t="shared" si="1908"/>
        <v>花都四部-凤凰仓</v>
      </c>
      <c r="G6098" s="1" t="str">
        <f t="shared" si="1904"/>
        <v>卡卡杜个人护理店（抖店）</v>
      </c>
      <c r="H6098" s="1" t="str">
        <f t="shared" si="1909"/>
        <v>正常订单</v>
      </c>
      <c r="I6098" s="1" t="str">
        <f t="shared" si="1910"/>
        <v>已发货</v>
      </c>
      <c r="J6098" s="1" t="str">
        <f t="shared" si="1906"/>
        <v>3</v>
      </c>
      <c r="K6098" s="1">
        <v>3</v>
      </c>
      <c r="L6098" s="1" t="s">
        <v>13</v>
      </c>
      <c r="M6098" s="1" t="str">
        <f>"江苏省 苏州市 张家港市 张家港经济技术开发区"</f>
        <v>江苏省 苏州市 张家港市 张家港经济技术开发区</v>
      </c>
      <c r="N6098" s="1" t="str">
        <f t="shared" si="1901"/>
        <v>凡华云仓-韵达-抖音</v>
      </c>
      <c r="O6098" s="5">
        <v>320177458914643</v>
      </c>
      <c r="P6098" s="6">
        <v>0.34</v>
      </c>
      <c r="Q6098" s="11">
        <v>2.2999999999999998</v>
      </c>
      <c r="R6098" s="11"/>
      <c r="S6098" s="11"/>
      <c r="T6098" s="11"/>
      <c r="U6098" s="11">
        <f t="shared" si="1905"/>
        <v>2.2999999999999998</v>
      </c>
      <c r="W6098">
        <v>2.5</v>
      </c>
      <c r="X6098" s="1" t="s">
        <v>13</v>
      </c>
    </row>
    <row r="6099" spans="1:24" x14ac:dyDescent="0.25">
      <c r="A6099" s="1" t="str">
        <f t="shared" si="1907"/>
        <v>卡卡杜-凤凰仓</v>
      </c>
      <c r="B6099" s="1" t="str">
        <f>"CK2024101810366"</f>
        <v>CK2024101810366</v>
      </c>
      <c r="C6099" s="1" t="str">
        <f>"DD2024101816150"</f>
        <v>DD2024101816150</v>
      </c>
      <c r="D6099" s="1" t="str">
        <f>"CK202410189981"</f>
        <v>CK202410189981</v>
      </c>
      <c r="E6099" s="1" t="str">
        <f>"6935165168243840966"</f>
        <v>6935165168243840966</v>
      </c>
      <c r="F6099" s="1" t="str">
        <f t="shared" si="1908"/>
        <v>花都四部-凤凰仓</v>
      </c>
      <c r="G6099" s="1" t="str">
        <f t="shared" si="1904"/>
        <v>卡卡杜个人护理店（抖店）</v>
      </c>
      <c r="H6099" s="1" t="str">
        <f t="shared" si="1909"/>
        <v>正常订单</v>
      </c>
      <c r="I6099" s="1" t="str">
        <f t="shared" si="1910"/>
        <v>已发货</v>
      </c>
      <c r="J6099" s="1" t="str">
        <f t="shared" si="1906"/>
        <v>3</v>
      </c>
      <c r="K6099" s="1">
        <v>3</v>
      </c>
      <c r="L6099" s="1" t="s">
        <v>13</v>
      </c>
      <c r="M6099" s="1" t="str">
        <f>"江苏省 苏州市 吴中区 甪直镇"</f>
        <v>江苏省 苏州市 吴中区 甪直镇</v>
      </c>
      <c r="N6099" s="1" t="str">
        <f t="shared" si="1901"/>
        <v>凡华云仓-韵达-抖音</v>
      </c>
      <c r="O6099" s="5">
        <v>320177458914544</v>
      </c>
      <c r="P6099" s="6">
        <v>0.34</v>
      </c>
      <c r="Q6099" s="11">
        <v>2.2999999999999998</v>
      </c>
      <c r="R6099" s="11"/>
      <c r="S6099" s="11"/>
      <c r="T6099" s="11"/>
      <c r="U6099" s="11">
        <f t="shared" si="1905"/>
        <v>2.2999999999999998</v>
      </c>
      <c r="W6099">
        <v>2.5</v>
      </c>
      <c r="X6099" s="1" t="s">
        <v>13</v>
      </c>
    </row>
    <row r="6100" spans="1:24" x14ac:dyDescent="0.25">
      <c r="A6100" s="1" t="str">
        <f t="shared" si="1907"/>
        <v>卡卡杜-凤凰仓</v>
      </c>
      <c r="B6100" s="1" t="str">
        <f>"CK2024101810369"</f>
        <v>CK2024101810369</v>
      </c>
      <c r="C6100" s="1" t="str">
        <f>"DD2024101816153"</f>
        <v>DD2024101816153</v>
      </c>
      <c r="D6100" s="1" t="str">
        <f>"CK202410189980"</f>
        <v>CK202410189980</v>
      </c>
      <c r="E6100" s="1" t="str">
        <f>"6935143528300680260"</f>
        <v>6935143528300680260</v>
      </c>
      <c r="F6100" s="1" t="str">
        <f t="shared" si="1908"/>
        <v>花都四部-凤凰仓</v>
      </c>
      <c r="G6100" s="1" t="str">
        <f t="shared" si="1904"/>
        <v>卡卡杜个人护理店（抖店）</v>
      </c>
      <c r="H6100" s="1" t="str">
        <f t="shared" si="1909"/>
        <v>正常订单</v>
      </c>
      <c r="I6100" s="1" t="str">
        <f t="shared" si="1910"/>
        <v>已发货</v>
      </c>
      <c r="J6100" s="1" t="str">
        <f t="shared" si="1906"/>
        <v>3</v>
      </c>
      <c r="K6100" s="1">
        <v>3</v>
      </c>
      <c r="L6100" s="1" t="s">
        <v>74</v>
      </c>
      <c r="M6100" s="1" t="str">
        <f>"上海 上海市 浦东新区 宣桥镇"</f>
        <v>上海 上海市 浦东新区 宣桥镇</v>
      </c>
      <c r="N6100" s="1" t="str">
        <f t="shared" si="1901"/>
        <v>凡华云仓-韵达-抖音</v>
      </c>
      <c r="O6100" s="5">
        <v>320177458914447</v>
      </c>
      <c r="P6100" s="6">
        <v>0.34</v>
      </c>
      <c r="Q6100" s="11">
        <v>2.2999999999999998</v>
      </c>
      <c r="R6100" s="11"/>
      <c r="S6100" s="11"/>
      <c r="T6100" s="11"/>
      <c r="U6100" s="11">
        <f t="shared" si="1905"/>
        <v>2.2999999999999998</v>
      </c>
      <c r="W6100">
        <v>2.5</v>
      </c>
      <c r="X6100" s="1" t="s">
        <v>74</v>
      </c>
    </row>
    <row r="6101" spans="1:24" x14ac:dyDescent="0.25">
      <c r="A6101" s="1" t="str">
        <f t="shared" si="1907"/>
        <v>卡卡杜-凤凰仓</v>
      </c>
      <c r="B6101" s="1" t="str">
        <f>"CK2024101810370"</f>
        <v>CK2024101810370</v>
      </c>
      <c r="C6101" s="1" t="str">
        <f>"DD2024101816154"</f>
        <v>DD2024101816154</v>
      </c>
      <c r="D6101" s="1" t="str">
        <f>"CK202410189979"</f>
        <v>CK202410189979</v>
      </c>
      <c r="E6101" s="1" t="str">
        <f>"6935165214835480172"</f>
        <v>6935165214835480172</v>
      </c>
      <c r="F6101" s="1" t="str">
        <f t="shared" si="1908"/>
        <v>花都四部-凤凰仓</v>
      </c>
      <c r="G6101" s="1" t="str">
        <f t="shared" si="1904"/>
        <v>卡卡杜个人护理店（抖店）</v>
      </c>
      <c r="H6101" s="1" t="str">
        <f t="shared" si="1909"/>
        <v>正常订单</v>
      </c>
      <c r="I6101" s="1" t="str">
        <f t="shared" si="1910"/>
        <v>已发货</v>
      </c>
      <c r="J6101" s="1" t="str">
        <f t="shared" si="1906"/>
        <v>3</v>
      </c>
      <c r="K6101" s="1">
        <v>3</v>
      </c>
      <c r="L6101" s="1" t="s">
        <v>60</v>
      </c>
      <c r="M6101" s="1" t="str">
        <f>"云南省 昆明市 官渡区 金马街道"</f>
        <v>云南省 昆明市 官渡区 金马街道</v>
      </c>
      <c r="N6101" s="1" t="str">
        <f t="shared" si="1901"/>
        <v>凡华云仓-韵达-抖音</v>
      </c>
      <c r="O6101" s="5">
        <v>320177458914352</v>
      </c>
      <c r="P6101" s="6">
        <v>0.34</v>
      </c>
      <c r="Q6101" s="11">
        <v>2.2999999999999998</v>
      </c>
      <c r="R6101" s="11"/>
      <c r="S6101" s="11"/>
      <c r="T6101" s="11"/>
      <c r="U6101" s="11">
        <f t="shared" si="1905"/>
        <v>2.2999999999999998</v>
      </c>
      <c r="W6101">
        <v>2.5</v>
      </c>
      <c r="X6101" s="1" t="s">
        <v>60</v>
      </c>
    </row>
    <row r="6102" spans="1:24" x14ac:dyDescent="0.25">
      <c r="A6102" s="1" t="str">
        <f t="shared" si="1907"/>
        <v>卡卡杜-凤凰仓</v>
      </c>
      <c r="B6102" s="1" t="str">
        <f>"CK2024101810371"</f>
        <v>CK2024101810371</v>
      </c>
      <c r="C6102" s="1" t="str">
        <f>"DD2024101816155"</f>
        <v>DD2024101816155</v>
      </c>
      <c r="D6102" s="1" t="str">
        <f>"CK202410189978"</f>
        <v>CK202410189978</v>
      </c>
      <c r="E6102" s="1" t="str">
        <f>"6935145311998907571"</f>
        <v>6935145311998907571</v>
      </c>
      <c r="F6102" s="1" t="str">
        <f t="shared" si="1908"/>
        <v>花都四部-凤凰仓</v>
      </c>
      <c r="G6102" s="1" t="str">
        <f t="shared" si="1904"/>
        <v>卡卡杜个人护理店（抖店）</v>
      </c>
      <c r="H6102" s="1" t="str">
        <f t="shared" si="1909"/>
        <v>正常订单</v>
      </c>
      <c r="I6102" s="1" t="str">
        <f t="shared" si="1910"/>
        <v>已发货</v>
      </c>
      <c r="J6102" s="1" t="str">
        <f t="shared" si="1906"/>
        <v>3</v>
      </c>
      <c r="K6102" s="1">
        <v>3</v>
      </c>
      <c r="L6102" s="1" t="s">
        <v>80</v>
      </c>
      <c r="M6102" s="1" t="str">
        <f>"河南省 新乡市 卫滨区 平原镇"</f>
        <v>河南省 新乡市 卫滨区 平原镇</v>
      </c>
      <c r="N6102" s="1" t="str">
        <f t="shared" si="1901"/>
        <v>凡华云仓-韵达-抖音</v>
      </c>
      <c r="O6102" s="5">
        <v>320177458914259</v>
      </c>
      <c r="P6102" s="6">
        <v>0.34</v>
      </c>
      <c r="Q6102" s="11">
        <v>2.2999999999999998</v>
      </c>
      <c r="R6102" s="11"/>
      <c r="S6102" s="11"/>
      <c r="T6102" s="11"/>
      <c r="U6102" s="11">
        <f t="shared" si="1905"/>
        <v>2.2999999999999998</v>
      </c>
      <c r="W6102">
        <v>2.5</v>
      </c>
      <c r="X6102" s="1" t="s">
        <v>80</v>
      </c>
    </row>
    <row r="6103" spans="1:24" x14ac:dyDescent="0.25">
      <c r="A6103" s="1" t="str">
        <f t="shared" si="1907"/>
        <v>卡卡杜-凤凰仓</v>
      </c>
      <c r="B6103" s="1" t="str">
        <f>"CK2024101810372"</f>
        <v>CK2024101810372</v>
      </c>
      <c r="C6103" s="1" t="str">
        <f>"DD2024101816156"</f>
        <v>DD2024101816156</v>
      </c>
      <c r="D6103" s="1" t="str">
        <f>"CK202410189977"</f>
        <v>CK202410189977</v>
      </c>
      <c r="E6103" s="1" t="str">
        <f>"6935151538893952766"</f>
        <v>6935151538893952766</v>
      </c>
      <c r="F6103" s="1" t="str">
        <f t="shared" si="1908"/>
        <v>花都四部-凤凰仓</v>
      </c>
      <c r="G6103" s="1" t="str">
        <f t="shared" si="1904"/>
        <v>卡卡杜个人护理店（抖店）</v>
      </c>
      <c r="H6103" s="1" t="str">
        <f t="shared" si="1909"/>
        <v>正常订单</v>
      </c>
      <c r="I6103" s="1" t="str">
        <f t="shared" si="1910"/>
        <v>已发货</v>
      </c>
      <c r="J6103" s="1" t="str">
        <f t="shared" si="1906"/>
        <v>3</v>
      </c>
      <c r="K6103" s="1">
        <v>3</v>
      </c>
      <c r="L6103" s="1" t="s">
        <v>32</v>
      </c>
      <c r="M6103" s="1" t="str">
        <f>"陕西省 西安市 雁塔区 等驾坡街道"</f>
        <v>陕西省 西安市 雁塔区 等驾坡街道</v>
      </c>
      <c r="N6103" s="1" t="str">
        <f t="shared" si="1901"/>
        <v>凡华云仓-韵达-抖音</v>
      </c>
      <c r="O6103" s="5">
        <v>320177458914168</v>
      </c>
      <c r="P6103" s="6">
        <v>0.34</v>
      </c>
      <c r="Q6103" s="11">
        <v>2.2999999999999998</v>
      </c>
      <c r="R6103" s="11"/>
      <c r="S6103" s="11"/>
      <c r="T6103" s="11"/>
      <c r="U6103" s="11">
        <f t="shared" si="1905"/>
        <v>2.2999999999999998</v>
      </c>
      <c r="W6103">
        <v>2.5</v>
      </c>
      <c r="X6103" s="1" t="s">
        <v>32</v>
      </c>
    </row>
    <row r="6104" spans="1:24" x14ac:dyDescent="0.25">
      <c r="A6104" s="1" t="str">
        <f t="shared" si="1907"/>
        <v>卡卡杜-凤凰仓</v>
      </c>
      <c r="B6104" s="1" t="str">
        <f>"CK2024101810373"</f>
        <v>CK2024101810373</v>
      </c>
      <c r="C6104" s="1" t="str">
        <f>"DD2024101816157"</f>
        <v>DD2024101816157</v>
      </c>
      <c r="D6104" s="1" t="str">
        <f>"CK202410189976"</f>
        <v>CK202410189976</v>
      </c>
      <c r="E6104" s="1" t="str">
        <f>"6935156117767656549"</f>
        <v>6935156117767656549</v>
      </c>
      <c r="F6104" s="1" t="str">
        <f t="shared" si="1908"/>
        <v>花都四部-凤凰仓</v>
      </c>
      <c r="G6104" s="1" t="str">
        <f t="shared" si="1904"/>
        <v>卡卡杜个人护理店（抖店）</v>
      </c>
      <c r="H6104" s="1" t="str">
        <f t="shared" si="1909"/>
        <v>正常订单</v>
      </c>
      <c r="I6104" s="1" t="str">
        <f t="shared" si="1910"/>
        <v>已发货</v>
      </c>
      <c r="J6104" s="1" t="str">
        <f t="shared" si="1906"/>
        <v>3</v>
      </c>
      <c r="K6104" s="1">
        <v>3</v>
      </c>
      <c r="L6104" s="1" t="s">
        <v>109</v>
      </c>
      <c r="M6104" s="1" t="str">
        <f>"山西省 太原市 万柏林区 下元街道"</f>
        <v>山西省 太原市 万柏林区 下元街道</v>
      </c>
      <c r="N6104" s="1" t="str">
        <f t="shared" si="1901"/>
        <v>凡华云仓-韵达-抖音</v>
      </c>
      <c r="O6104" s="5">
        <v>320177458914079</v>
      </c>
      <c r="P6104" s="6">
        <v>0.34</v>
      </c>
      <c r="Q6104" s="11">
        <v>2.2999999999999998</v>
      </c>
      <c r="R6104" s="11"/>
      <c r="S6104" s="11"/>
      <c r="T6104" s="11"/>
      <c r="U6104" s="11">
        <f t="shared" si="1905"/>
        <v>2.2999999999999998</v>
      </c>
      <c r="W6104">
        <v>2.5</v>
      </c>
      <c r="X6104" s="1" t="s">
        <v>109</v>
      </c>
    </row>
    <row r="6105" spans="1:24" x14ac:dyDescent="0.25">
      <c r="A6105" s="1" t="str">
        <f t="shared" si="1907"/>
        <v>卡卡杜-凤凰仓</v>
      </c>
      <c r="B6105" s="1" t="str">
        <f>"CK2024101810374"</f>
        <v>CK2024101810374</v>
      </c>
      <c r="C6105" s="1" t="str">
        <f>"DD2024101816158"</f>
        <v>DD2024101816158</v>
      </c>
      <c r="D6105" s="1" t="str">
        <f>"CK202410189975"</f>
        <v>CK202410189975</v>
      </c>
      <c r="E6105" s="1" t="str">
        <f>"6935153850852316457"</f>
        <v>6935153850852316457</v>
      </c>
      <c r="F6105" s="1" t="str">
        <f t="shared" si="1908"/>
        <v>花都四部-凤凰仓</v>
      </c>
      <c r="G6105" s="1" t="str">
        <f t="shared" si="1904"/>
        <v>卡卡杜个人护理店（抖店）</v>
      </c>
      <c r="H6105" s="1" t="str">
        <f t="shared" si="1909"/>
        <v>正常订单</v>
      </c>
      <c r="I6105" s="1" t="str">
        <f t="shared" si="1910"/>
        <v>已发货</v>
      </c>
      <c r="J6105" s="1" t="str">
        <f t="shared" si="1906"/>
        <v>3</v>
      </c>
      <c r="K6105" s="1">
        <v>3</v>
      </c>
      <c r="L6105" s="1" t="s">
        <v>161</v>
      </c>
      <c r="M6105" s="1" t="str">
        <f>"四川省 资阳市 雁江区 "</f>
        <v xml:space="preserve">四川省 资阳市 雁江区 </v>
      </c>
      <c r="N6105" s="1" t="str">
        <f t="shared" si="1901"/>
        <v>凡华云仓-韵达-抖音</v>
      </c>
      <c r="O6105" s="5">
        <v>320177458913957</v>
      </c>
      <c r="P6105" s="6">
        <v>0.34</v>
      </c>
      <c r="Q6105" s="11">
        <v>2.2999999999999998</v>
      </c>
      <c r="R6105" s="11"/>
      <c r="S6105" s="11"/>
      <c r="T6105" s="11"/>
      <c r="U6105" s="11">
        <f t="shared" si="1905"/>
        <v>2.2999999999999998</v>
      </c>
      <c r="W6105">
        <v>2.5</v>
      </c>
      <c r="X6105" s="1" t="s">
        <v>161</v>
      </c>
    </row>
    <row r="6106" spans="1:24" x14ac:dyDescent="0.25">
      <c r="A6106" s="1" t="str">
        <f t="shared" si="1907"/>
        <v>卡卡杜-凤凰仓</v>
      </c>
      <c r="B6106" s="1" t="str">
        <f>"CK2024101810376"</f>
        <v>CK2024101810376</v>
      </c>
      <c r="C6106" s="1" t="str">
        <f>"DD2024101816160"</f>
        <v>DD2024101816160</v>
      </c>
      <c r="D6106" s="1" t="str">
        <f>"CK202410189974"</f>
        <v>CK202410189974</v>
      </c>
      <c r="E6106" s="1" t="str">
        <f>"6935172067950466196"</f>
        <v>6935172067950466196</v>
      </c>
      <c r="F6106" s="1" t="str">
        <f t="shared" si="1908"/>
        <v>花都四部-凤凰仓</v>
      </c>
      <c r="G6106" s="1" t="str">
        <f t="shared" si="1904"/>
        <v>卡卡杜个人护理店（抖店）</v>
      </c>
      <c r="H6106" s="1" t="str">
        <f t="shared" si="1909"/>
        <v>正常订单</v>
      </c>
      <c r="I6106" s="1" t="str">
        <f t="shared" si="1910"/>
        <v>已发货</v>
      </c>
      <c r="J6106" s="1" t="str">
        <f t="shared" si="1906"/>
        <v>3</v>
      </c>
      <c r="K6106" s="1">
        <v>3</v>
      </c>
      <c r="L6106" s="1" t="s">
        <v>16</v>
      </c>
      <c r="M6106" s="1" t="str">
        <f>"河北省 邢台市 巨鹿县 巨鹿镇"</f>
        <v>河北省 邢台市 巨鹿县 巨鹿镇</v>
      </c>
      <c r="N6106" s="1" t="str">
        <f t="shared" si="1901"/>
        <v>凡华云仓-韵达-抖音</v>
      </c>
      <c r="O6106" s="5">
        <v>320177458913852</v>
      </c>
      <c r="P6106" s="6">
        <v>0.34</v>
      </c>
      <c r="Q6106" s="11">
        <v>2.2999999999999998</v>
      </c>
      <c r="R6106" s="11"/>
      <c r="S6106" s="11"/>
      <c r="T6106" s="11"/>
      <c r="U6106" s="11">
        <f t="shared" si="1905"/>
        <v>2.2999999999999998</v>
      </c>
      <c r="W6106">
        <v>2.5</v>
      </c>
      <c r="X6106" s="1" t="s">
        <v>16</v>
      </c>
    </row>
    <row r="6107" spans="1:24" x14ac:dyDescent="0.25">
      <c r="A6107" s="1" t="str">
        <f t="shared" si="1907"/>
        <v>卡卡杜-凤凰仓</v>
      </c>
      <c r="B6107" s="1" t="str">
        <f>"CK2024101810377"</f>
        <v>CK2024101810377</v>
      </c>
      <c r="C6107" s="1" t="str">
        <f>"DD2024101816161"</f>
        <v>DD2024101816161</v>
      </c>
      <c r="D6107" s="1" t="str">
        <f>"CK202410189973"</f>
        <v>CK202410189973</v>
      </c>
      <c r="E6107" s="1" t="str">
        <f>"6935162876024067422"</f>
        <v>6935162876024067422</v>
      </c>
      <c r="F6107" s="1" t="str">
        <f t="shared" si="1908"/>
        <v>花都四部-凤凰仓</v>
      </c>
      <c r="G6107" s="1" t="str">
        <f t="shared" si="1904"/>
        <v>卡卡杜个人护理店（抖店）</v>
      </c>
      <c r="H6107" s="1" t="str">
        <f t="shared" si="1909"/>
        <v>正常订单</v>
      </c>
      <c r="I6107" s="1" t="str">
        <f t="shared" si="1910"/>
        <v>已发货</v>
      </c>
      <c r="J6107" s="1" t="str">
        <f>"6"</f>
        <v>6</v>
      </c>
      <c r="K6107" s="1">
        <v>3</v>
      </c>
      <c r="L6107" s="1" t="s">
        <v>80</v>
      </c>
      <c r="M6107" s="1" t="str">
        <f>"河南省 驻马店市 平舆县 高杨店镇"</f>
        <v>河南省 驻马店市 平舆县 高杨店镇</v>
      </c>
      <c r="N6107" s="1" t="str">
        <f t="shared" si="1901"/>
        <v>凡华云仓-韵达-抖音</v>
      </c>
      <c r="O6107" s="5">
        <v>320177484343339</v>
      </c>
      <c r="P6107" s="6">
        <v>0.55000000000000004</v>
      </c>
      <c r="Q6107" s="11">
        <f>CEILING(P6107-0.5,0.1)*10*0.15+2.3</f>
        <v>2.4499999999999997</v>
      </c>
      <c r="R6107" s="11"/>
      <c r="S6107" s="11"/>
      <c r="T6107" s="11"/>
      <c r="U6107" s="11">
        <f t="shared" si="1905"/>
        <v>2.4499999999999997</v>
      </c>
      <c r="V6107" t="s">
        <v>15</v>
      </c>
      <c r="W6107">
        <v>2.4500000000000002</v>
      </c>
      <c r="X6107" s="1" t="s">
        <v>80</v>
      </c>
    </row>
    <row r="6108" spans="1:24" x14ac:dyDescent="0.25">
      <c r="A6108" s="1" t="str">
        <f t="shared" si="1907"/>
        <v>卡卡杜-凤凰仓</v>
      </c>
      <c r="B6108" s="1" t="str">
        <f>"CK2024101810643"</f>
        <v>CK2024101810643</v>
      </c>
      <c r="C6108" s="1" t="str">
        <f>"DD2024101816727"</f>
        <v>DD2024101816727</v>
      </c>
      <c r="D6108" s="1" t="str">
        <f>"CK202410189972"</f>
        <v>CK202410189972</v>
      </c>
      <c r="E6108" s="1" t="str">
        <f>"6935156043664725171"</f>
        <v>6935156043664725171</v>
      </c>
      <c r="F6108" s="1" t="str">
        <f t="shared" si="1908"/>
        <v>花都四部-凤凰仓</v>
      </c>
      <c r="G6108" s="1" t="str">
        <f t="shared" si="1904"/>
        <v>卡卡杜个人护理店（抖店）</v>
      </c>
      <c r="H6108" s="1" t="str">
        <f t="shared" si="1909"/>
        <v>正常订单</v>
      </c>
      <c r="I6108" s="1" t="str">
        <f t="shared" si="1910"/>
        <v>已发货</v>
      </c>
      <c r="J6108" s="1" t="str">
        <f t="shared" ref="J6108:J6113" si="1911">"3"</f>
        <v>3</v>
      </c>
      <c r="K6108" s="1">
        <v>3</v>
      </c>
      <c r="L6108" s="1" t="s">
        <v>30</v>
      </c>
      <c r="M6108" s="1" t="str">
        <f>"山东省 烟台市 福山区 福莱山街道"</f>
        <v>山东省 烟台市 福山区 福莱山街道</v>
      </c>
      <c r="N6108" s="1" t="str">
        <f t="shared" si="1901"/>
        <v>凡华云仓-韵达-抖音</v>
      </c>
      <c r="O6108" s="5">
        <v>320177484343246</v>
      </c>
      <c r="P6108" s="6">
        <v>0.34</v>
      </c>
      <c r="Q6108" s="11">
        <v>2.2999999999999998</v>
      </c>
      <c r="R6108" s="11"/>
      <c r="S6108" s="11"/>
      <c r="T6108" s="11"/>
      <c r="U6108" s="11">
        <f t="shared" si="1905"/>
        <v>2.2999999999999998</v>
      </c>
      <c r="W6108">
        <v>2.5</v>
      </c>
      <c r="X6108" s="1" t="s">
        <v>30</v>
      </c>
    </row>
    <row r="6109" spans="1:24" x14ac:dyDescent="0.25">
      <c r="A6109" s="1" t="str">
        <f t="shared" si="1907"/>
        <v>卡卡杜-凤凰仓</v>
      </c>
      <c r="B6109" s="1" t="str">
        <f>"CK2024101810642"</f>
        <v>CK2024101810642</v>
      </c>
      <c r="C6109" s="1" t="str">
        <f>"DD2024101816728"</f>
        <v>DD2024101816728</v>
      </c>
      <c r="D6109" s="1" t="str">
        <f>"CK202410189971"</f>
        <v>CK202410189971</v>
      </c>
      <c r="E6109" s="1" t="str">
        <f>"6935145262965199905"</f>
        <v>6935145262965199905</v>
      </c>
      <c r="F6109" s="1" t="str">
        <f t="shared" si="1908"/>
        <v>花都四部-凤凰仓</v>
      </c>
      <c r="G6109" s="1" t="str">
        <f t="shared" si="1904"/>
        <v>卡卡杜个人护理店（抖店）</v>
      </c>
      <c r="H6109" s="1" t="str">
        <f t="shared" si="1909"/>
        <v>正常订单</v>
      </c>
      <c r="I6109" s="1" t="str">
        <f t="shared" si="1910"/>
        <v>已发货</v>
      </c>
      <c r="J6109" s="1" t="str">
        <f t="shared" si="1911"/>
        <v>3</v>
      </c>
      <c r="K6109" s="1">
        <v>3</v>
      </c>
      <c r="L6109" s="1" t="s">
        <v>94</v>
      </c>
      <c r="M6109" s="1" t="str">
        <f>"湖南省 永州市 零陵区 "</f>
        <v xml:space="preserve">湖南省 永州市 零陵区 </v>
      </c>
      <c r="N6109" s="1" t="str">
        <f t="shared" si="1901"/>
        <v>凡华云仓-韵达-抖音</v>
      </c>
      <c r="O6109" s="5">
        <v>320177484343155</v>
      </c>
      <c r="P6109" s="6">
        <v>0.34</v>
      </c>
      <c r="Q6109" s="11">
        <v>2.2999999999999998</v>
      </c>
      <c r="R6109" s="11"/>
      <c r="S6109" s="11"/>
      <c r="T6109" s="11"/>
      <c r="U6109" s="11">
        <f t="shared" si="1905"/>
        <v>2.2999999999999998</v>
      </c>
      <c r="W6109">
        <v>2.5</v>
      </c>
      <c r="X6109" s="1" t="s">
        <v>94</v>
      </c>
    </row>
    <row r="6110" spans="1:24" x14ac:dyDescent="0.25">
      <c r="A6110" s="1" t="str">
        <f t="shared" si="1907"/>
        <v>卡卡杜-凤凰仓</v>
      </c>
      <c r="B6110" s="1" t="str">
        <f>"CK2024101810644"</f>
        <v>CK2024101810644</v>
      </c>
      <c r="C6110" s="1" t="str">
        <f>"DD2024101816730"</f>
        <v>DD2024101816730</v>
      </c>
      <c r="D6110" s="1" t="str">
        <f>"CK202410189970"</f>
        <v>CK202410189970</v>
      </c>
      <c r="E6110" s="1" t="str">
        <f>"6935143446843561954"</f>
        <v>6935143446843561954</v>
      </c>
      <c r="F6110" s="1" t="str">
        <f t="shared" si="1908"/>
        <v>花都四部-凤凰仓</v>
      </c>
      <c r="G6110" s="1" t="str">
        <f t="shared" si="1904"/>
        <v>卡卡杜个人护理店（抖店）</v>
      </c>
      <c r="H6110" s="1" t="str">
        <f t="shared" si="1909"/>
        <v>正常订单</v>
      </c>
      <c r="I6110" s="1" t="str">
        <f t="shared" si="1910"/>
        <v>已发货</v>
      </c>
      <c r="J6110" s="1" t="str">
        <f t="shared" si="1911"/>
        <v>3</v>
      </c>
      <c r="K6110" s="1">
        <v>3</v>
      </c>
      <c r="L6110" s="1" t="s">
        <v>16</v>
      </c>
      <c r="M6110" s="1" t="str">
        <f>"河北省 石家庄市 桥西区 休门街道"</f>
        <v>河北省 石家庄市 桥西区 休门街道</v>
      </c>
      <c r="N6110" s="1" t="str">
        <f t="shared" si="1901"/>
        <v>凡华云仓-韵达-抖音</v>
      </c>
      <c r="O6110" s="5">
        <v>320177484343066</v>
      </c>
      <c r="P6110" s="6">
        <v>0.34</v>
      </c>
      <c r="Q6110" s="11">
        <v>2.2999999999999998</v>
      </c>
      <c r="R6110" s="11"/>
      <c r="S6110" s="11"/>
      <c r="T6110" s="11"/>
      <c r="U6110" s="11">
        <f t="shared" si="1905"/>
        <v>2.2999999999999998</v>
      </c>
      <c r="W6110">
        <v>2.5</v>
      </c>
      <c r="X6110" s="1" t="s">
        <v>16</v>
      </c>
    </row>
    <row r="6111" spans="1:24" x14ac:dyDescent="0.25">
      <c r="A6111" s="1" t="str">
        <f t="shared" si="1907"/>
        <v>卡卡杜-凤凰仓</v>
      </c>
      <c r="B6111" s="1" t="str">
        <f>"CK2024101810375"</f>
        <v>CK2024101810375</v>
      </c>
      <c r="C6111" s="1" t="str">
        <f>"DD2024101816159"</f>
        <v>DD2024101816159</v>
      </c>
      <c r="D6111" s="1" t="str">
        <f>"CK202410189969"</f>
        <v>CK202410189969</v>
      </c>
      <c r="E6111" s="1" t="str">
        <f>"6935174217371424544"</f>
        <v>6935174217371424544</v>
      </c>
      <c r="F6111" s="1" t="str">
        <f t="shared" si="1908"/>
        <v>花都四部-凤凰仓</v>
      </c>
      <c r="G6111" s="1" t="str">
        <f t="shared" si="1904"/>
        <v>卡卡杜个人护理店（抖店）</v>
      </c>
      <c r="H6111" s="1" t="str">
        <f t="shared" si="1909"/>
        <v>正常订单</v>
      </c>
      <c r="I6111" s="1" t="str">
        <f t="shared" si="1910"/>
        <v>已发货</v>
      </c>
      <c r="J6111" s="1" t="str">
        <f t="shared" si="1911"/>
        <v>3</v>
      </c>
      <c r="K6111" s="1">
        <v>3</v>
      </c>
      <c r="L6111" s="1" t="s">
        <v>41</v>
      </c>
      <c r="M6111" s="1" t="str">
        <f>"湖北省 荆州市 江陵县 "</f>
        <v xml:space="preserve">湖北省 荆州市 江陵县 </v>
      </c>
      <c r="N6111" s="1" t="str">
        <f t="shared" si="1901"/>
        <v>凡华云仓-韵达-抖音</v>
      </c>
      <c r="O6111" s="5">
        <v>320177484342946</v>
      </c>
      <c r="P6111" s="6">
        <v>0.34</v>
      </c>
      <c r="Q6111" s="11">
        <v>2.2999999999999998</v>
      </c>
      <c r="R6111" s="11"/>
      <c r="S6111" s="11"/>
      <c r="T6111" s="11"/>
      <c r="U6111" s="11">
        <f t="shared" si="1905"/>
        <v>2.2999999999999998</v>
      </c>
      <c r="W6111">
        <v>2.5</v>
      </c>
      <c r="X6111" s="1" t="s">
        <v>41</v>
      </c>
    </row>
    <row r="6112" spans="1:24" x14ac:dyDescent="0.25">
      <c r="A6112" s="1" t="str">
        <f t="shared" si="1907"/>
        <v>卡卡杜-凤凰仓</v>
      </c>
      <c r="B6112" s="1" t="str">
        <f>"CK2024101810378"</f>
        <v>CK2024101810378</v>
      </c>
      <c r="C6112" s="1" t="str">
        <f>"DD2024101816162"</f>
        <v>DD2024101816162</v>
      </c>
      <c r="D6112" s="1" t="str">
        <f>"CK202410189968"</f>
        <v>CK202410189968</v>
      </c>
      <c r="E6112" s="1" t="str">
        <f>"6935176614918952788"</f>
        <v>6935176614918952788</v>
      </c>
      <c r="F6112" s="1" t="str">
        <f t="shared" si="1908"/>
        <v>花都四部-凤凰仓</v>
      </c>
      <c r="G6112" s="1" t="str">
        <f t="shared" si="1904"/>
        <v>卡卡杜个人护理店（抖店）</v>
      </c>
      <c r="H6112" s="1" t="str">
        <f t="shared" si="1909"/>
        <v>正常订单</v>
      </c>
      <c r="I6112" s="1" t="str">
        <f t="shared" si="1910"/>
        <v>已发货</v>
      </c>
      <c r="J6112" s="1" t="str">
        <f t="shared" si="1911"/>
        <v>3</v>
      </c>
      <c r="K6112" s="1">
        <v>3</v>
      </c>
      <c r="L6112" s="1" t="s">
        <v>80</v>
      </c>
      <c r="M6112" s="1" t="str">
        <f>"河南省 新乡市 红旗区 东街街道"</f>
        <v>河南省 新乡市 红旗区 东街街道</v>
      </c>
      <c r="N6112" s="1" t="str">
        <f t="shared" si="1901"/>
        <v>凡华云仓-韵达-抖音</v>
      </c>
      <c r="O6112" s="5">
        <v>320177484342841</v>
      </c>
      <c r="P6112" s="6">
        <v>0.34</v>
      </c>
      <c r="Q6112" s="11">
        <v>2.2999999999999998</v>
      </c>
      <c r="R6112" s="11"/>
      <c r="S6112" s="11"/>
      <c r="T6112" s="11"/>
      <c r="U6112" s="11">
        <f t="shared" si="1905"/>
        <v>2.2999999999999998</v>
      </c>
      <c r="W6112">
        <v>2.5</v>
      </c>
      <c r="X6112" s="1" t="s">
        <v>80</v>
      </c>
    </row>
    <row r="6113" spans="1:24" x14ac:dyDescent="0.25">
      <c r="A6113" s="1" t="str">
        <f t="shared" si="1907"/>
        <v>卡卡杜-凤凰仓</v>
      </c>
      <c r="B6113" s="1" t="str">
        <f>"CK2024101810379"</f>
        <v>CK2024101810379</v>
      </c>
      <c r="C6113" s="1" t="str">
        <f>"DD2024101816163"</f>
        <v>DD2024101816163</v>
      </c>
      <c r="D6113" s="1" t="str">
        <f>"CK202410189967"</f>
        <v>CK202410189967</v>
      </c>
      <c r="E6113" s="1" t="str">
        <f>"6935141087895689134"</f>
        <v>6935141087895689134</v>
      </c>
      <c r="F6113" s="1" t="str">
        <f t="shared" si="1908"/>
        <v>花都四部-凤凰仓</v>
      </c>
      <c r="G6113" s="1" t="str">
        <f t="shared" si="1904"/>
        <v>卡卡杜个人护理店（抖店）</v>
      </c>
      <c r="H6113" s="1" t="str">
        <f t="shared" si="1909"/>
        <v>正常订单</v>
      </c>
      <c r="I6113" s="1" t="str">
        <f t="shared" si="1910"/>
        <v>已发货</v>
      </c>
      <c r="J6113" s="1" t="str">
        <f t="shared" si="1911"/>
        <v>3</v>
      </c>
      <c r="K6113" s="1">
        <v>3</v>
      </c>
      <c r="L6113" s="1" t="s">
        <v>36</v>
      </c>
      <c r="M6113" s="1" t="str">
        <f>"安徽省 蚌埠市 龙子湖区 曹山街道"</f>
        <v>安徽省 蚌埠市 龙子湖区 曹山街道</v>
      </c>
      <c r="N6113" s="1" t="str">
        <f t="shared" ref="N6113:N6176" si="1912">"凡华云仓-韵达-抖音"</f>
        <v>凡华云仓-韵达-抖音</v>
      </c>
      <c r="O6113" s="5">
        <v>320177484342738</v>
      </c>
      <c r="P6113" s="6">
        <v>0.34</v>
      </c>
      <c r="Q6113" s="11">
        <v>2.2999999999999998</v>
      </c>
      <c r="R6113" s="11"/>
      <c r="S6113" s="11"/>
      <c r="T6113" s="11"/>
      <c r="U6113" s="11">
        <f t="shared" si="1905"/>
        <v>2.2999999999999998</v>
      </c>
      <c r="W6113">
        <v>2.5</v>
      </c>
      <c r="X6113" s="1" t="s">
        <v>36</v>
      </c>
    </row>
    <row r="6114" spans="1:24" x14ac:dyDescent="0.25">
      <c r="A6114" s="1" t="str">
        <f t="shared" si="1907"/>
        <v>卡卡杜-凤凰仓</v>
      </c>
      <c r="B6114" s="1" t="str">
        <f>"CK2024101810380"</f>
        <v>CK2024101810380</v>
      </c>
      <c r="C6114" s="1" t="str">
        <f>"DD2024101816165"</f>
        <v>DD2024101816165</v>
      </c>
      <c r="D6114" s="1" t="str">
        <f>"CK202410189966"</f>
        <v>CK202410189966</v>
      </c>
      <c r="E6114" s="1" t="str">
        <f>"6935169907223369108"</f>
        <v>6935169907223369108</v>
      </c>
      <c r="F6114" s="1" t="str">
        <f t="shared" si="1908"/>
        <v>花都四部-凤凰仓</v>
      </c>
      <c r="G6114" s="1" t="str">
        <f t="shared" si="1904"/>
        <v>卡卡杜个人护理店（抖店）</v>
      </c>
      <c r="H6114" s="1" t="str">
        <f t="shared" si="1909"/>
        <v>正常订单</v>
      </c>
      <c r="I6114" s="1" t="str">
        <f t="shared" si="1910"/>
        <v>已发货</v>
      </c>
      <c r="J6114" s="1" t="str">
        <f>"6"</f>
        <v>6</v>
      </c>
      <c r="K6114" s="1">
        <v>3</v>
      </c>
      <c r="L6114" s="1" t="s">
        <v>36</v>
      </c>
      <c r="M6114" s="1" t="str">
        <f>"安徽省 安庆市 太湖县 刘畈乡"</f>
        <v>安徽省 安庆市 太湖县 刘畈乡</v>
      </c>
      <c r="N6114" s="1" t="str">
        <f t="shared" si="1912"/>
        <v>凡华云仓-韵达-抖音</v>
      </c>
      <c r="O6114" s="5">
        <v>320177484342637</v>
      </c>
      <c r="P6114" s="6">
        <v>0.55000000000000004</v>
      </c>
      <c r="Q6114" s="11">
        <f>CEILING(P6114-0.5,0.1)*10*0.15+2.3</f>
        <v>2.4499999999999997</v>
      </c>
      <c r="R6114" s="11"/>
      <c r="S6114" s="11"/>
      <c r="T6114" s="11"/>
      <c r="U6114" s="11">
        <f t="shared" si="1905"/>
        <v>2.4499999999999997</v>
      </c>
      <c r="V6114" t="s">
        <v>15</v>
      </c>
      <c r="W6114">
        <v>2.4500000000000002</v>
      </c>
      <c r="X6114" s="1" t="s">
        <v>36</v>
      </c>
    </row>
    <row r="6115" spans="1:24" x14ac:dyDescent="0.25">
      <c r="A6115" s="1" t="str">
        <f t="shared" si="1907"/>
        <v>卡卡杜-凤凰仓</v>
      </c>
      <c r="B6115" s="1" t="str">
        <f>"CK2024101810381"</f>
        <v>CK2024101810381</v>
      </c>
      <c r="C6115" s="1" t="str">
        <f>"DD2024101816164"</f>
        <v>DD2024101816164</v>
      </c>
      <c r="D6115" s="1" t="str">
        <f>"CK202410189965"</f>
        <v>CK202410189965</v>
      </c>
      <c r="E6115" s="1" t="str">
        <f>"6935167431829820982"</f>
        <v>6935167431829820982</v>
      </c>
      <c r="F6115" s="1" t="str">
        <f t="shared" si="1908"/>
        <v>花都四部-凤凰仓</v>
      </c>
      <c r="G6115" s="1" t="str">
        <f t="shared" si="1904"/>
        <v>卡卡杜个人护理店（抖店）</v>
      </c>
      <c r="H6115" s="1" t="str">
        <f t="shared" si="1909"/>
        <v>正常订单</v>
      </c>
      <c r="I6115" s="1" t="str">
        <f t="shared" si="1910"/>
        <v>已发货</v>
      </c>
      <c r="J6115" s="1" t="str">
        <f t="shared" ref="J6115:J6134" si="1913">"3"</f>
        <v>3</v>
      </c>
      <c r="K6115" s="1">
        <v>3</v>
      </c>
      <c r="L6115" s="1" t="s">
        <v>13</v>
      </c>
      <c r="M6115" s="1" t="str">
        <f>"江苏省 苏州市 吴江区 江陵街道"</f>
        <v>江苏省 苏州市 吴江区 江陵街道</v>
      </c>
      <c r="N6115" s="1" t="str">
        <f t="shared" si="1912"/>
        <v>凡华云仓-韵达-抖音</v>
      </c>
      <c r="O6115" s="5">
        <v>320177484342538</v>
      </c>
      <c r="P6115" s="6">
        <v>0.34</v>
      </c>
      <c r="Q6115" s="11">
        <v>2.2999999999999998</v>
      </c>
      <c r="R6115" s="11"/>
      <c r="S6115" s="11"/>
      <c r="T6115" s="11"/>
      <c r="U6115" s="11">
        <f t="shared" si="1905"/>
        <v>2.2999999999999998</v>
      </c>
      <c r="W6115">
        <v>2.5</v>
      </c>
      <c r="X6115" s="1" t="s">
        <v>13</v>
      </c>
    </row>
    <row r="6116" spans="1:24" x14ac:dyDescent="0.25">
      <c r="A6116" s="1" t="str">
        <f t="shared" si="1907"/>
        <v>卡卡杜-凤凰仓</v>
      </c>
      <c r="B6116" s="1" t="str">
        <f>"CK2024101810382"</f>
        <v>CK2024101810382</v>
      </c>
      <c r="C6116" s="1" t="str">
        <f>"DD2024101816166"</f>
        <v>DD2024101816166</v>
      </c>
      <c r="D6116" s="1" t="str">
        <f>"CK202410189964"</f>
        <v>CK202410189964</v>
      </c>
      <c r="E6116" s="1" t="str">
        <f>"6935141137092252748"</f>
        <v>6935141137092252748</v>
      </c>
      <c r="F6116" s="1" t="str">
        <f t="shared" si="1908"/>
        <v>花都四部-凤凰仓</v>
      </c>
      <c r="G6116" s="1" t="str">
        <f t="shared" si="1904"/>
        <v>卡卡杜个人护理店（抖店）</v>
      </c>
      <c r="H6116" s="1" t="str">
        <f t="shared" si="1909"/>
        <v>正常订单</v>
      </c>
      <c r="I6116" s="1" t="str">
        <f t="shared" si="1910"/>
        <v>已发货</v>
      </c>
      <c r="J6116" s="1" t="str">
        <f t="shared" si="1913"/>
        <v>3</v>
      </c>
      <c r="K6116" s="1">
        <v>3</v>
      </c>
      <c r="L6116" s="1" t="s">
        <v>105</v>
      </c>
      <c r="M6116" s="1" t="str">
        <f>"北京 北京市 昌平区 沙河地区"</f>
        <v>北京 北京市 昌平区 沙河地区</v>
      </c>
      <c r="N6116" s="1" t="str">
        <f t="shared" si="1912"/>
        <v>凡华云仓-韵达-抖音</v>
      </c>
      <c r="O6116" s="5">
        <v>320177484342441</v>
      </c>
      <c r="P6116" s="6">
        <v>0.34</v>
      </c>
      <c r="Q6116" s="11">
        <v>2.2999999999999998</v>
      </c>
      <c r="R6116" s="11"/>
      <c r="S6116" s="11"/>
      <c r="T6116" s="11"/>
      <c r="U6116" s="11">
        <f t="shared" si="1905"/>
        <v>2.2999999999999998</v>
      </c>
      <c r="W6116">
        <v>2.5</v>
      </c>
      <c r="X6116" s="1" t="s">
        <v>105</v>
      </c>
    </row>
    <row r="6117" spans="1:24" x14ac:dyDescent="0.25">
      <c r="A6117" s="1" t="str">
        <f t="shared" si="1907"/>
        <v>卡卡杜-凤凰仓</v>
      </c>
      <c r="B6117" s="1" t="str">
        <f>"CK2024101810383"</f>
        <v>CK2024101810383</v>
      </c>
      <c r="C6117" s="1" t="str">
        <f>"DD2024101816167"</f>
        <v>DD2024101816167</v>
      </c>
      <c r="D6117" s="1" t="str">
        <f>"CK202410189963"</f>
        <v>CK202410189963</v>
      </c>
      <c r="E6117" s="1" t="str">
        <f>"6935156181793576500"</f>
        <v>6935156181793576500</v>
      </c>
      <c r="F6117" s="1" t="str">
        <f t="shared" si="1908"/>
        <v>花都四部-凤凰仓</v>
      </c>
      <c r="G6117" s="1" t="str">
        <f t="shared" si="1904"/>
        <v>卡卡杜个人护理店（抖店）</v>
      </c>
      <c r="H6117" s="1" t="str">
        <f t="shared" si="1909"/>
        <v>正常订单</v>
      </c>
      <c r="I6117" s="1" t="str">
        <f t="shared" si="1910"/>
        <v>已发货</v>
      </c>
      <c r="J6117" s="1" t="str">
        <f t="shared" si="1913"/>
        <v>3</v>
      </c>
      <c r="K6117" s="1">
        <v>3</v>
      </c>
      <c r="L6117" s="1" t="s">
        <v>161</v>
      </c>
      <c r="M6117" s="1" t="str">
        <f>"四川省 成都市 郫都区 合作街道"</f>
        <v>四川省 成都市 郫都区 合作街道</v>
      </c>
      <c r="N6117" s="1" t="str">
        <f t="shared" si="1912"/>
        <v>凡华云仓-韵达-抖音</v>
      </c>
      <c r="O6117" s="5">
        <v>320177473603271</v>
      </c>
      <c r="P6117" s="6">
        <v>0.34</v>
      </c>
      <c r="Q6117" s="11">
        <v>2.2999999999999998</v>
      </c>
      <c r="R6117" s="11"/>
      <c r="S6117" s="11"/>
      <c r="T6117" s="11"/>
      <c r="U6117" s="11">
        <f t="shared" si="1905"/>
        <v>2.2999999999999998</v>
      </c>
      <c r="W6117">
        <v>2.5</v>
      </c>
      <c r="X6117" s="1" t="s">
        <v>161</v>
      </c>
    </row>
    <row r="6118" spans="1:24" x14ac:dyDescent="0.25">
      <c r="A6118" s="1" t="str">
        <f t="shared" si="1907"/>
        <v>卡卡杜-凤凰仓</v>
      </c>
      <c r="B6118" s="1" t="str">
        <f>"CK2024101810385"</f>
        <v>CK2024101810385</v>
      </c>
      <c r="C6118" s="1" t="str">
        <f>"DD2024101816168"</f>
        <v>DD2024101816168</v>
      </c>
      <c r="D6118" s="1" t="str">
        <f>"CK202410189962"</f>
        <v>CK202410189962</v>
      </c>
      <c r="E6118" s="1" t="str">
        <f>"6935162876400112654"</f>
        <v>6935162876400112654</v>
      </c>
      <c r="F6118" s="1" t="str">
        <f t="shared" si="1908"/>
        <v>花都四部-凤凰仓</v>
      </c>
      <c r="G6118" s="1" t="str">
        <f t="shared" si="1904"/>
        <v>卡卡杜个人护理店（抖店）</v>
      </c>
      <c r="H6118" s="1" t="str">
        <f t="shared" si="1909"/>
        <v>正常订单</v>
      </c>
      <c r="I6118" s="1" t="str">
        <f t="shared" si="1910"/>
        <v>已发货</v>
      </c>
      <c r="J6118" s="1" t="str">
        <f t="shared" si="1913"/>
        <v>3</v>
      </c>
      <c r="K6118" s="1">
        <v>3</v>
      </c>
      <c r="L6118" s="1" t="s">
        <v>13</v>
      </c>
      <c r="M6118" s="1" t="str">
        <f>"江苏省 连云港市 东海县 牛山街道"</f>
        <v>江苏省 连云港市 东海县 牛山街道</v>
      </c>
      <c r="N6118" s="1" t="str">
        <f t="shared" si="1912"/>
        <v>凡华云仓-韵达-抖音</v>
      </c>
      <c r="O6118" s="5">
        <v>320177473603180</v>
      </c>
      <c r="P6118" s="6">
        <v>0.34</v>
      </c>
      <c r="Q6118" s="11">
        <v>2.2999999999999998</v>
      </c>
      <c r="R6118" s="11"/>
      <c r="S6118" s="11"/>
      <c r="T6118" s="11"/>
      <c r="U6118" s="11">
        <f t="shared" si="1905"/>
        <v>2.2999999999999998</v>
      </c>
      <c r="W6118">
        <v>2.5</v>
      </c>
      <c r="X6118" s="1" t="s">
        <v>13</v>
      </c>
    </row>
    <row r="6119" spans="1:24" x14ac:dyDescent="0.25">
      <c r="A6119" s="1" t="str">
        <f t="shared" si="1907"/>
        <v>卡卡杜-凤凰仓</v>
      </c>
      <c r="B6119" s="1" t="str">
        <f>"CK2024101810384"</f>
        <v>CK2024101810384</v>
      </c>
      <c r="C6119" s="1" t="str">
        <f>"DD2024101816169"</f>
        <v>DD2024101816169</v>
      </c>
      <c r="D6119" s="1" t="str">
        <f>"CK202410189961"</f>
        <v>CK202410189961</v>
      </c>
      <c r="E6119" s="1" t="str">
        <f>"6935162890338965272"</f>
        <v>6935162890338965272</v>
      </c>
      <c r="F6119" s="1" t="str">
        <f t="shared" si="1908"/>
        <v>花都四部-凤凰仓</v>
      </c>
      <c r="G6119" s="1" t="str">
        <f t="shared" si="1904"/>
        <v>卡卡杜个人护理店（抖店）</v>
      </c>
      <c r="H6119" s="1" t="str">
        <f t="shared" si="1909"/>
        <v>正常订单</v>
      </c>
      <c r="I6119" s="1" t="str">
        <f t="shared" si="1910"/>
        <v>已发货</v>
      </c>
      <c r="J6119" s="1" t="str">
        <f t="shared" si="1913"/>
        <v>3</v>
      </c>
      <c r="K6119" s="1">
        <v>3</v>
      </c>
      <c r="L6119" s="1" t="s">
        <v>109</v>
      </c>
      <c r="M6119" s="1" t="str">
        <f>"山西省 晋中市 榆次区 安宁街道"</f>
        <v>山西省 晋中市 榆次区 安宁街道</v>
      </c>
      <c r="N6119" s="1" t="str">
        <f t="shared" si="1912"/>
        <v>凡华云仓-韵达-抖音</v>
      </c>
      <c r="O6119" s="5">
        <v>320177473603091</v>
      </c>
      <c r="P6119" s="6">
        <v>0.34</v>
      </c>
      <c r="Q6119" s="11">
        <v>2.2999999999999998</v>
      </c>
      <c r="R6119" s="11"/>
      <c r="S6119" s="11"/>
      <c r="T6119" s="11"/>
      <c r="U6119" s="11">
        <f t="shared" si="1905"/>
        <v>2.2999999999999998</v>
      </c>
      <c r="W6119">
        <v>2.5</v>
      </c>
      <c r="X6119" s="1" t="s">
        <v>109</v>
      </c>
    </row>
    <row r="6120" spans="1:24" x14ac:dyDescent="0.25">
      <c r="A6120" s="1" t="str">
        <f t="shared" si="1907"/>
        <v>卡卡杜-凤凰仓</v>
      </c>
      <c r="B6120" s="1" t="str">
        <f>"CK2024101810388"</f>
        <v>CK2024101810388</v>
      </c>
      <c r="C6120" s="1" t="str">
        <f>"DD2024101816172"</f>
        <v>DD2024101816172</v>
      </c>
      <c r="D6120" s="1" t="str">
        <f>"CK202410189960"</f>
        <v>CK202410189960</v>
      </c>
      <c r="E6120" s="1" t="str">
        <f>"6935140866843415946"</f>
        <v>6935140866843415946</v>
      </c>
      <c r="F6120" s="1" t="str">
        <f t="shared" si="1908"/>
        <v>花都四部-凤凰仓</v>
      </c>
      <c r="G6120" s="1" t="str">
        <f t="shared" si="1904"/>
        <v>卡卡杜个人护理店（抖店）</v>
      </c>
      <c r="H6120" s="1" t="str">
        <f t="shared" si="1909"/>
        <v>正常订单</v>
      </c>
      <c r="I6120" s="1" t="str">
        <f t="shared" si="1910"/>
        <v>已发货</v>
      </c>
      <c r="J6120" s="1" t="str">
        <f t="shared" si="1913"/>
        <v>3</v>
      </c>
      <c r="K6120" s="1">
        <v>3</v>
      </c>
      <c r="L6120" s="1" t="s">
        <v>13</v>
      </c>
      <c r="M6120" s="1" t="str">
        <f>"江苏省 镇江市 京口区 丁卯街道"</f>
        <v>江苏省 镇江市 京口区 丁卯街道</v>
      </c>
      <c r="N6120" s="1" t="str">
        <f t="shared" si="1912"/>
        <v>凡华云仓-韵达-抖音</v>
      </c>
      <c r="O6120" s="5">
        <v>320177473602971</v>
      </c>
      <c r="P6120" s="6">
        <v>0.34</v>
      </c>
      <c r="Q6120" s="11">
        <v>2.2999999999999998</v>
      </c>
      <c r="R6120" s="11"/>
      <c r="S6120" s="11"/>
      <c r="T6120" s="11"/>
      <c r="U6120" s="11">
        <f t="shared" si="1905"/>
        <v>2.2999999999999998</v>
      </c>
      <c r="W6120">
        <v>2.5</v>
      </c>
      <c r="X6120" s="1" t="s">
        <v>13</v>
      </c>
    </row>
    <row r="6121" spans="1:24" x14ac:dyDescent="0.25">
      <c r="A6121" s="1" t="str">
        <f t="shared" si="1907"/>
        <v>卡卡杜-凤凰仓</v>
      </c>
      <c r="B6121" s="1" t="str">
        <f>"CK2024101810389"</f>
        <v>CK2024101810389</v>
      </c>
      <c r="C6121" s="1" t="str">
        <f>"DD2024101816173"</f>
        <v>DD2024101816173</v>
      </c>
      <c r="D6121" s="1" t="str">
        <f>"CK202410189959"</f>
        <v>CK202410189959</v>
      </c>
      <c r="E6121" s="1" t="str">
        <f>"6935147486777120599"</f>
        <v>6935147486777120599</v>
      </c>
      <c r="F6121" s="1" t="str">
        <f t="shared" si="1908"/>
        <v>花都四部-凤凰仓</v>
      </c>
      <c r="G6121" s="1" t="str">
        <f t="shared" si="1904"/>
        <v>卡卡杜个人护理店（抖店）</v>
      </c>
      <c r="H6121" s="1" t="str">
        <f t="shared" si="1909"/>
        <v>正常订单</v>
      </c>
      <c r="I6121" s="1" t="str">
        <f t="shared" si="1910"/>
        <v>已发货</v>
      </c>
      <c r="J6121" s="1" t="str">
        <f t="shared" si="1913"/>
        <v>3</v>
      </c>
      <c r="K6121" s="1">
        <v>3</v>
      </c>
      <c r="L6121" s="1" t="s">
        <v>218</v>
      </c>
      <c r="M6121" s="1" t="str">
        <f>"天津 天津市 滨海新区 "</f>
        <v xml:space="preserve">天津 天津市 滨海新区 </v>
      </c>
      <c r="N6121" s="1" t="str">
        <f t="shared" si="1912"/>
        <v>凡华云仓-韵达-抖音</v>
      </c>
      <c r="O6121" s="5">
        <v>320177473602866</v>
      </c>
      <c r="P6121" s="6">
        <v>0.34</v>
      </c>
      <c r="Q6121" s="11">
        <v>2.2999999999999998</v>
      </c>
      <c r="R6121" s="11"/>
      <c r="S6121" s="11"/>
      <c r="T6121" s="11"/>
      <c r="U6121" s="11">
        <f t="shared" si="1905"/>
        <v>2.2999999999999998</v>
      </c>
      <c r="W6121">
        <v>2.5</v>
      </c>
      <c r="X6121" s="1" t="s">
        <v>218</v>
      </c>
    </row>
    <row r="6122" spans="1:24" x14ac:dyDescent="0.25">
      <c r="A6122" s="1" t="str">
        <f t="shared" si="1907"/>
        <v>卡卡杜-凤凰仓</v>
      </c>
      <c r="B6122" s="1" t="str">
        <f>"CK2024101810645"</f>
        <v>CK2024101810645</v>
      </c>
      <c r="C6122" s="1" t="str">
        <f>"DD2024101816733"</f>
        <v>DD2024101816733</v>
      </c>
      <c r="D6122" s="1" t="str">
        <f>"CK202410189958"</f>
        <v>CK202410189958</v>
      </c>
      <c r="E6122" s="1" t="str">
        <f>"6935167523568555375"</f>
        <v>6935167523568555375</v>
      </c>
      <c r="F6122" s="1" t="str">
        <f t="shared" si="1908"/>
        <v>花都四部-凤凰仓</v>
      </c>
      <c r="G6122" s="1" t="str">
        <f t="shared" si="1904"/>
        <v>卡卡杜个人护理店（抖店）</v>
      </c>
      <c r="H6122" s="1" t="str">
        <f t="shared" si="1909"/>
        <v>正常订单</v>
      </c>
      <c r="I6122" s="1" t="str">
        <f t="shared" si="1910"/>
        <v>已发货</v>
      </c>
      <c r="J6122" s="1" t="str">
        <f t="shared" si="1913"/>
        <v>3</v>
      </c>
      <c r="K6122" s="1">
        <v>3</v>
      </c>
      <c r="L6122" s="1" t="s">
        <v>161</v>
      </c>
      <c r="M6122" s="1" t="str">
        <f>"四川省 南充市 嘉陵区 南湖街道"</f>
        <v>四川省 南充市 嘉陵区 南湖街道</v>
      </c>
      <c r="N6122" s="1" t="str">
        <f t="shared" si="1912"/>
        <v>凡华云仓-韵达-抖音</v>
      </c>
      <c r="O6122" s="5">
        <v>320177473602763</v>
      </c>
      <c r="P6122" s="6">
        <v>0.34</v>
      </c>
      <c r="Q6122" s="11">
        <v>2.2999999999999998</v>
      </c>
      <c r="R6122" s="11"/>
      <c r="S6122" s="11"/>
      <c r="T6122" s="11"/>
      <c r="U6122" s="11">
        <f t="shared" si="1905"/>
        <v>2.2999999999999998</v>
      </c>
      <c r="W6122">
        <v>2.5</v>
      </c>
      <c r="X6122" s="1" t="s">
        <v>161</v>
      </c>
    </row>
    <row r="6123" spans="1:24" x14ac:dyDescent="0.25">
      <c r="A6123" s="1" t="str">
        <f t="shared" si="1907"/>
        <v>卡卡杜-凤凰仓</v>
      </c>
      <c r="B6123" s="1" t="str">
        <f>"CK2024101810386"</f>
        <v>CK2024101810386</v>
      </c>
      <c r="C6123" s="1" t="str">
        <f>"DD2024101816170"</f>
        <v>DD2024101816170</v>
      </c>
      <c r="D6123" s="1" t="str">
        <f>"CK202410189957"</f>
        <v>CK202410189957</v>
      </c>
      <c r="E6123" s="1" t="str">
        <f>"6935141097994327732"</f>
        <v>6935141097994327732</v>
      </c>
      <c r="F6123" s="1" t="str">
        <f t="shared" si="1908"/>
        <v>花都四部-凤凰仓</v>
      </c>
      <c r="G6123" s="1" t="str">
        <f t="shared" si="1904"/>
        <v>卡卡杜个人护理店（抖店）</v>
      </c>
      <c r="H6123" s="1" t="str">
        <f t="shared" si="1909"/>
        <v>正常订单</v>
      </c>
      <c r="I6123" s="1" t="str">
        <f t="shared" si="1910"/>
        <v>已发货</v>
      </c>
      <c r="J6123" s="1" t="str">
        <f t="shared" si="1913"/>
        <v>3</v>
      </c>
      <c r="K6123" s="1">
        <v>3</v>
      </c>
      <c r="L6123" s="1" t="s">
        <v>54</v>
      </c>
      <c r="M6123" s="1" t="str">
        <f>"黑龙江省 佳木斯市 东风区 佳南街道"</f>
        <v>黑龙江省 佳木斯市 东风区 佳南街道</v>
      </c>
      <c r="N6123" s="1" t="str">
        <f t="shared" si="1912"/>
        <v>凡华云仓-韵达-抖音</v>
      </c>
      <c r="O6123" s="5">
        <v>320177473602662</v>
      </c>
      <c r="P6123" s="6">
        <v>0.34</v>
      </c>
      <c r="Q6123" s="11">
        <v>2.2999999999999998</v>
      </c>
      <c r="R6123" s="11"/>
      <c r="S6123" s="11"/>
      <c r="T6123" s="11"/>
      <c r="U6123" s="11">
        <f t="shared" si="1905"/>
        <v>2.2999999999999998</v>
      </c>
      <c r="W6123">
        <v>2.5</v>
      </c>
      <c r="X6123" s="1" t="s">
        <v>54</v>
      </c>
    </row>
    <row r="6124" spans="1:24" x14ac:dyDescent="0.25">
      <c r="A6124" s="1" t="str">
        <f t="shared" si="1907"/>
        <v>卡卡杜-凤凰仓</v>
      </c>
      <c r="B6124" s="1" t="str">
        <f>"CK2024101810387"</f>
        <v>CK2024101810387</v>
      </c>
      <c r="C6124" s="1" t="str">
        <f>"DD2024101816171"</f>
        <v>DD2024101816171</v>
      </c>
      <c r="D6124" s="1" t="str">
        <f>"CK202410189956"</f>
        <v>CK202410189956</v>
      </c>
      <c r="E6124" s="1" t="str">
        <f>"6935143512156870230"</f>
        <v>6935143512156870230</v>
      </c>
      <c r="F6124" s="1" t="str">
        <f t="shared" si="1908"/>
        <v>花都四部-凤凰仓</v>
      </c>
      <c r="G6124" s="1" t="str">
        <f t="shared" si="1904"/>
        <v>卡卡杜个人护理店（抖店）</v>
      </c>
      <c r="H6124" s="1" t="str">
        <f t="shared" si="1909"/>
        <v>正常订单</v>
      </c>
      <c r="I6124" s="1" t="str">
        <f t="shared" si="1910"/>
        <v>已发货</v>
      </c>
      <c r="J6124" s="1" t="str">
        <f t="shared" si="1913"/>
        <v>3</v>
      </c>
      <c r="K6124" s="1">
        <v>3</v>
      </c>
      <c r="L6124" s="1" t="s">
        <v>36</v>
      </c>
      <c r="M6124" s="1" t="str">
        <f>"安徽省 安庆市 太湖县 晋熙镇"</f>
        <v>安徽省 安庆市 太湖县 晋熙镇</v>
      </c>
      <c r="N6124" s="1" t="str">
        <f t="shared" si="1912"/>
        <v>凡华云仓-韵达-抖音</v>
      </c>
      <c r="O6124" s="5">
        <v>320177473602563</v>
      </c>
      <c r="P6124" s="6">
        <v>0.34</v>
      </c>
      <c r="Q6124" s="11">
        <v>2.2999999999999998</v>
      </c>
      <c r="R6124" s="11"/>
      <c r="S6124" s="11"/>
      <c r="T6124" s="11"/>
      <c r="U6124" s="11">
        <f t="shared" si="1905"/>
        <v>2.2999999999999998</v>
      </c>
      <c r="W6124">
        <v>2.5</v>
      </c>
      <c r="X6124" s="1" t="s">
        <v>36</v>
      </c>
    </row>
    <row r="6125" spans="1:24" x14ac:dyDescent="0.25">
      <c r="A6125" s="1" t="str">
        <f t="shared" si="1907"/>
        <v>卡卡杜-凤凰仓</v>
      </c>
      <c r="B6125" s="1" t="str">
        <f>"CK2024101810390"</f>
        <v>CK2024101810390</v>
      </c>
      <c r="C6125" s="1" t="str">
        <f>"DD2024101816174"</f>
        <v>DD2024101816174</v>
      </c>
      <c r="D6125" s="1" t="str">
        <f>"CK202410189955"</f>
        <v>CK202410189955</v>
      </c>
      <c r="E6125" s="1" t="str">
        <f>"6935141118410692068"</f>
        <v>6935141118410692068</v>
      </c>
      <c r="F6125" s="1" t="str">
        <f t="shared" si="1908"/>
        <v>花都四部-凤凰仓</v>
      </c>
      <c r="G6125" s="1" t="str">
        <f t="shared" si="1904"/>
        <v>卡卡杜个人护理店（抖店）</v>
      </c>
      <c r="H6125" s="1" t="str">
        <f t="shared" si="1909"/>
        <v>正常订单</v>
      </c>
      <c r="I6125" s="1" t="str">
        <f t="shared" si="1910"/>
        <v>已发货</v>
      </c>
      <c r="J6125" s="1" t="str">
        <f t="shared" si="1913"/>
        <v>3</v>
      </c>
      <c r="K6125" s="1">
        <v>3</v>
      </c>
      <c r="L6125" s="1" t="s">
        <v>30</v>
      </c>
      <c r="M6125" s="1" t="str">
        <f>"山东省 潍坊市 寿光市 "</f>
        <v xml:space="preserve">山东省 潍坊市 寿光市 </v>
      </c>
      <c r="N6125" s="1" t="str">
        <f t="shared" si="1912"/>
        <v>凡华云仓-韵达-抖音</v>
      </c>
      <c r="O6125" s="5">
        <v>320177473602466</v>
      </c>
      <c r="P6125" s="6">
        <v>0.34</v>
      </c>
      <c r="Q6125" s="11">
        <v>2.2999999999999998</v>
      </c>
      <c r="R6125" s="11"/>
      <c r="S6125" s="11"/>
      <c r="T6125" s="11"/>
      <c r="U6125" s="11">
        <f t="shared" si="1905"/>
        <v>2.2999999999999998</v>
      </c>
      <c r="W6125">
        <v>2.5</v>
      </c>
      <c r="X6125" s="1" t="s">
        <v>30</v>
      </c>
    </row>
    <row r="6126" spans="1:24" x14ac:dyDescent="0.25">
      <c r="A6126" s="1" t="str">
        <f t="shared" si="1907"/>
        <v>卡卡杜-凤凰仓</v>
      </c>
      <c r="B6126" s="1" t="str">
        <f>"CK2024101810391"</f>
        <v>CK2024101810391</v>
      </c>
      <c r="C6126" s="1" t="str">
        <f>"DD2024101816175"</f>
        <v>DD2024101816175</v>
      </c>
      <c r="D6126" s="1" t="str">
        <f>"CK202410189954"</f>
        <v>CK202410189954</v>
      </c>
      <c r="E6126" s="1" t="str">
        <f>"6935145318524196336"</f>
        <v>6935145318524196336</v>
      </c>
      <c r="F6126" s="1" t="str">
        <f t="shared" si="1908"/>
        <v>花都四部-凤凰仓</v>
      </c>
      <c r="G6126" s="1" t="str">
        <f t="shared" si="1904"/>
        <v>卡卡杜个人护理店（抖店）</v>
      </c>
      <c r="H6126" s="1" t="str">
        <f t="shared" si="1909"/>
        <v>正常订单</v>
      </c>
      <c r="I6126" s="1" t="str">
        <f t="shared" si="1910"/>
        <v>已发货</v>
      </c>
      <c r="J6126" s="1" t="str">
        <f t="shared" si="1913"/>
        <v>3</v>
      </c>
      <c r="K6126" s="1">
        <v>3</v>
      </c>
      <c r="L6126" s="1" t="s">
        <v>36</v>
      </c>
      <c r="M6126" s="1" t="str">
        <f>"安徽省 阜阳市 太和县 城关镇"</f>
        <v>安徽省 阜阳市 太和县 城关镇</v>
      </c>
      <c r="N6126" s="1" t="str">
        <f t="shared" si="1912"/>
        <v>凡华云仓-韵达-抖音</v>
      </c>
      <c r="O6126" s="5">
        <v>320177473602371</v>
      </c>
      <c r="P6126" s="6">
        <v>0.34</v>
      </c>
      <c r="Q6126" s="11">
        <v>2.2999999999999998</v>
      </c>
      <c r="R6126" s="11"/>
      <c r="S6126" s="11"/>
      <c r="T6126" s="11"/>
      <c r="U6126" s="11">
        <f t="shared" si="1905"/>
        <v>2.2999999999999998</v>
      </c>
      <c r="W6126">
        <v>2.5</v>
      </c>
      <c r="X6126" s="1" t="s">
        <v>36</v>
      </c>
    </row>
    <row r="6127" spans="1:24" x14ac:dyDescent="0.25">
      <c r="A6127" s="1" t="str">
        <f t="shared" si="1907"/>
        <v>卡卡杜-凤凰仓</v>
      </c>
      <c r="B6127" s="1" t="str">
        <f>"CK2024101810392"</f>
        <v>CK2024101810392</v>
      </c>
      <c r="C6127" s="1" t="str">
        <f>"DD2024101816176"</f>
        <v>DD2024101816176</v>
      </c>
      <c r="D6127" s="1" t="str">
        <f>"CK202410189953"</f>
        <v>CK202410189953</v>
      </c>
      <c r="E6127" s="1" t="str">
        <f>"6935165229263623690"</f>
        <v>6935165229263623690</v>
      </c>
      <c r="F6127" s="1" t="str">
        <f t="shared" si="1908"/>
        <v>花都四部-凤凰仓</v>
      </c>
      <c r="G6127" s="1" t="str">
        <f t="shared" si="1904"/>
        <v>卡卡杜个人护理店（抖店）</v>
      </c>
      <c r="H6127" s="1" t="str">
        <f t="shared" si="1909"/>
        <v>正常订单</v>
      </c>
      <c r="I6127" s="1" t="str">
        <f t="shared" si="1910"/>
        <v>已发货</v>
      </c>
      <c r="J6127" s="1" t="str">
        <f t="shared" si="1913"/>
        <v>3</v>
      </c>
      <c r="K6127" s="1">
        <v>3</v>
      </c>
      <c r="L6127" s="1" t="s">
        <v>74</v>
      </c>
      <c r="M6127" s="1" t="str">
        <f>"上海 上海市 浦东新区 泥城镇"</f>
        <v>上海 上海市 浦东新区 泥城镇</v>
      </c>
      <c r="N6127" s="1" t="str">
        <f t="shared" si="1912"/>
        <v>凡华云仓-韵达-抖音</v>
      </c>
      <c r="O6127" s="5">
        <v>320177472978156</v>
      </c>
      <c r="P6127" s="6">
        <v>0.34</v>
      </c>
      <c r="Q6127" s="11">
        <v>2.2999999999999998</v>
      </c>
      <c r="R6127" s="11"/>
      <c r="S6127" s="11"/>
      <c r="T6127" s="11"/>
      <c r="U6127" s="11">
        <f t="shared" si="1905"/>
        <v>2.2999999999999998</v>
      </c>
      <c r="W6127">
        <v>2.5</v>
      </c>
      <c r="X6127" s="1" t="s">
        <v>74</v>
      </c>
    </row>
    <row r="6128" spans="1:24" x14ac:dyDescent="0.25">
      <c r="A6128" s="1" t="str">
        <f t="shared" si="1907"/>
        <v>卡卡杜-凤凰仓</v>
      </c>
      <c r="B6128" s="1" t="str">
        <f>"CK2024101810394"</f>
        <v>CK2024101810394</v>
      </c>
      <c r="C6128" s="1" t="str">
        <f>"DD2024101816177"</f>
        <v>DD2024101816177</v>
      </c>
      <c r="D6128" s="1" t="str">
        <f>"CK202410189952"</f>
        <v>CK202410189952</v>
      </c>
      <c r="E6128" s="1" t="str">
        <f>"6935169875908630087"</f>
        <v>6935169875908630087</v>
      </c>
      <c r="F6128" s="1" t="str">
        <f t="shared" si="1908"/>
        <v>花都四部-凤凰仓</v>
      </c>
      <c r="G6128" s="1" t="str">
        <f t="shared" si="1904"/>
        <v>卡卡杜个人护理店（抖店）</v>
      </c>
      <c r="H6128" s="1" t="str">
        <f t="shared" si="1909"/>
        <v>正常订单</v>
      </c>
      <c r="I6128" s="1" t="str">
        <f t="shared" si="1910"/>
        <v>已发货</v>
      </c>
      <c r="J6128" s="1" t="str">
        <f t="shared" si="1913"/>
        <v>3</v>
      </c>
      <c r="K6128" s="1">
        <v>3</v>
      </c>
      <c r="L6128" s="1" t="s">
        <v>47</v>
      </c>
      <c r="M6128" s="1" t="str">
        <f>"重庆 重庆市 渝北区 龙山街道"</f>
        <v>重庆 重庆市 渝北区 龙山街道</v>
      </c>
      <c r="N6128" s="1" t="str">
        <f t="shared" si="1912"/>
        <v>凡华云仓-韵达-抖音</v>
      </c>
      <c r="O6128" s="5">
        <v>320177472978067</v>
      </c>
      <c r="P6128" s="6">
        <v>0.34</v>
      </c>
      <c r="Q6128" s="11">
        <v>2.2999999999999998</v>
      </c>
      <c r="R6128" s="11"/>
      <c r="S6128" s="11"/>
      <c r="T6128" s="11"/>
      <c r="U6128" s="11">
        <f t="shared" si="1905"/>
        <v>2.2999999999999998</v>
      </c>
      <c r="W6128">
        <v>2.5</v>
      </c>
      <c r="X6128" s="1" t="s">
        <v>47</v>
      </c>
    </row>
    <row r="6129" spans="1:24" x14ac:dyDescent="0.25">
      <c r="A6129" s="1" t="str">
        <f t="shared" si="1907"/>
        <v>卡卡杜-凤凰仓</v>
      </c>
      <c r="B6129" s="1" t="str">
        <f>"CK2024101810393"</f>
        <v>CK2024101810393</v>
      </c>
      <c r="C6129" s="1" t="str">
        <f>"DD2024101816178"</f>
        <v>DD2024101816178</v>
      </c>
      <c r="D6129" s="1" t="str">
        <f>"CK202410189951"</f>
        <v>CK202410189951</v>
      </c>
      <c r="E6129" s="1" t="str">
        <f>"6935147343432259195"</f>
        <v>6935147343432259195</v>
      </c>
      <c r="F6129" s="1" t="str">
        <f t="shared" si="1908"/>
        <v>花都四部-凤凰仓</v>
      </c>
      <c r="G6129" s="1" t="str">
        <f t="shared" si="1904"/>
        <v>卡卡杜个人护理店（抖店）</v>
      </c>
      <c r="H6129" s="1" t="str">
        <f t="shared" si="1909"/>
        <v>正常订单</v>
      </c>
      <c r="I6129" s="1" t="str">
        <f t="shared" si="1910"/>
        <v>已发货</v>
      </c>
      <c r="J6129" s="1" t="str">
        <f t="shared" si="1913"/>
        <v>3</v>
      </c>
      <c r="K6129" s="1">
        <v>3</v>
      </c>
      <c r="L6129" s="1" t="s">
        <v>30</v>
      </c>
      <c r="M6129" s="1" t="str">
        <f>"山东省 菏泽市 单县 "</f>
        <v xml:space="preserve">山东省 菏泽市 单县 </v>
      </c>
      <c r="N6129" s="1" t="str">
        <f t="shared" si="1912"/>
        <v>凡华云仓-韵达-抖音</v>
      </c>
      <c r="O6129" s="5">
        <v>320177472977937</v>
      </c>
      <c r="P6129" s="6">
        <v>0.34</v>
      </c>
      <c r="Q6129" s="11">
        <v>2.2999999999999998</v>
      </c>
      <c r="R6129" s="11"/>
      <c r="S6129" s="11"/>
      <c r="T6129" s="11"/>
      <c r="U6129" s="11">
        <f t="shared" si="1905"/>
        <v>2.2999999999999998</v>
      </c>
      <c r="W6129">
        <v>2.5</v>
      </c>
      <c r="X6129" s="1" t="s">
        <v>30</v>
      </c>
    </row>
    <row r="6130" spans="1:24" x14ac:dyDescent="0.25">
      <c r="A6130" s="1" t="str">
        <f t="shared" si="1907"/>
        <v>卡卡杜-凤凰仓</v>
      </c>
      <c r="B6130" s="1" t="str">
        <f>"CK2024101810395"</f>
        <v>CK2024101810395</v>
      </c>
      <c r="C6130" s="1" t="str">
        <f>"DD2024101816179"</f>
        <v>DD2024101816179</v>
      </c>
      <c r="D6130" s="1" t="str">
        <f>"CK202410189950"</f>
        <v>CK202410189950</v>
      </c>
      <c r="E6130" s="1" t="str">
        <f>"6935167255565178140"</f>
        <v>6935167255565178140</v>
      </c>
      <c r="F6130" s="1" t="str">
        <f t="shared" si="1908"/>
        <v>花都四部-凤凰仓</v>
      </c>
      <c r="G6130" s="1" t="str">
        <f t="shared" si="1904"/>
        <v>卡卡杜个人护理店（抖店）</v>
      </c>
      <c r="H6130" s="1" t="str">
        <f t="shared" si="1909"/>
        <v>正常订单</v>
      </c>
      <c r="I6130" s="1" t="str">
        <f t="shared" si="1910"/>
        <v>已发货</v>
      </c>
      <c r="J6130" s="1" t="str">
        <f t="shared" si="1913"/>
        <v>3</v>
      </c>
      <c r="K6130" s="1">
        <v>3</v>
      </c>
      <c r="L6130" s="1" t="s">
        <v>36</v>
      </c>
      <c r="M6130" s="1" t="str">
        <f>"安徽省 阜阳市 颍泉区 中市街道"</f>
        <v>安徽省 阜阳市 颍泉区 中市街道</v>
      </c>
      <c r="N6130" s="1" t="str">
        <f t="shared" si="1912"/>
        <v>凡华云仓-韵达-抖音</v>
      </c>
      <c r="O6130" s="5">
        <v>320177472977832</v>
      </c>
      <c r="P6130" s="6">
        <v>0.34</v>
      </c>
      <c r="Q6130" s="11">
        <v>2.2999999999999998</v>
      </c>
      <c r="R6130" s="11"/>
      <c r="S6130" s="11"/>
      <c r="T6130" s="11"/>
      <c r="U6130" s="11">
        <f t="shared" si="1905"/>
        <v>2.2999999999999998</v>
      </c>
      <c r="W6130">
        <v>2.5</v>
      </c>
      <c r="X6130" s="1" t="s">
        <v>36</v>
      </c>
    </row>
    <row r="6131" spans="1:24" x14ac:dyDescent="0.25">
      <c r="A6131" s="1" t="str">
        <f t="shared" si="1907"/>
        <v>卡卡杜-凤凰仓</v>
      </c>
      <c r="B6131" s="1" t="str">
        <f>"CK2024101810396"</f>
        <v>CK2024101810396</v>
      </c>
      <c r="C6131" s="1" t="str">
        <f>"DD2024101816180"</f>
        <v>DD2024101816180</v>
      </c>
      <c r="D6131" s="1" t="str">
        <f>"CK202410189949"</f>
        <v>CK202410189949</v>
      </c>
      <c r="E6131" s="1" t="str">
        <f>"6935158340683175055"</f>
        <v>6935158340683175055</v>
      </c>
      <c r="F6131" s="1" t="str">
        <f t="shared" si="1908"/>
        <v>花都四部-凤凰仓</v>
      </c>
      <c r="G6131" s="1" t="str">
        <f t="shared" si="1904"/>
        <v>卡卡杜个人护理店（抖店）</v>
      </c>
      <c r="H6131" s="1" t="str">
        <f t="shared" si="1909"/>
        <v>正常订单</v>
      </c>
      <c r="I6131" s="1" t="str">
        <f t="shared" si="1910"/>
        <v>已发货</v>
      </c>
      <c r="J6131" s="1" t="str">
        <f t="shared" si="1913"/>
        <v>3</v>
      </c>
      <c r="K6131" s="1">
        <v>3</v>
      </c>
      <c r="L6131" s="1" t="s">
        <v>41</v>
      </c>
      <c r="M6131" s="1" t="str">
        <f>"湖北省 武汉市 硚口区 长丰街道"</f>
        <v>湖北省 武汉市 硚口区 长丰街道</v>
      </c>
      <c r="N6131" s="1" t="str">
        <f t="shared" si="1912"/>
        <v>凡华云仓-韵达-抖音</v>
      </c>
      <c r="O6131" s="5">
        <v>320177472977729</v>
      </c>
      <c r="P6131" s="6">
        <v>0.34</v>
      </c>
      <c r="Q6131" s="11">
        <v>2.2999999999999998</v>
      </c>
      <c r="R6131" s="11"/>
      <c r="S6131" s="11"/>
      <c r="T6131" s="11"/>
      <c r="U6131" s="11">
        <f t="shared" si="1905"/>
        <v>2.2999999999999998</v>
      </c>
      <c r="W6131">
        <v>2.5</v>
      </c>
      <c r="X6131" s="1" t="s">
        <v>41</v>
      </c>
    </row>
    <row r="6132" spans="1:24" x14ac:dyDescent="0.25">
      <c r="A6132" s="1" t="str">
        <f t="shared" si="1907"/>
        <v>卡卡杜-凤凰仓</v>
      </c>
      <c r="B6132" s="1" t="str">
        <f>"CK2024101810397"</f>
        <v>CK2024101810397</v>
      </c>
      <c r="C6132" s="1" t="str">
        <f>"DD2024101816181"</f>
        <v>DD2024101816181</v>
      </c>
      <c r="D6132" s="1" t="str">
        <f>"CK202410189948"</f>
        <v>CK202410189948</v>
      </c>
      <c r="E6132" s="1" t="str">
        <f>"6935171864304228089"</f>
        <v>6935171864304228089</v>
      </c>
      <c r="F6132" s="1" t="str">
        <f t="shared" si="1908"/>
        <v>花都四部-凤凰仓</v>
      </c>
      <c r="G6132" s="1" t="str">
        <f t="shared" ref="G6132:G6195" si="1914">"卡卡杜个人护理店（抖店）"</f>
        <v>卡卡杜个人护理店（抖店）</v>
      </c>
      <c r="H6132" s="1" t="str">
        <f t="shared" si="1909"/>
        <v>正常订单</v>
      </c>
      <c r="I6132" s="1" t="str">
        <f t="shared" si="1910"/>
        <v>已发货</v>
      </c>
      <c r="J6132" s="1" t="str">
        <f t="shared" si="1913"/>
        <v>3</v>
      </c>
      <c r="K6132" s="1">
        <v>3</v>
      </c>
      <c r="L6132" s="1" t="s">
        <v>13</v>
      </c>
      <c r="M6132" s="1" t="str">
        <f>"江苏省 南京市 江宁区 秣陵街道"</f>
        <v>江苏省 南京市 江宁区 秣陵街道</v>
      </c>
      <c r="N6132" s="1" t="str">
        <f t="shared" si="1912"/>
        <v>凡华云仓-韵达-抖音</v>
      </c>
      <c r="O6132" s="5">
        <v>320177472977628</v>
      </c>
      <c r="P6132" s="6">
        <v>0.34</v>
      </c>
      <c r="Q6132" s="11">
        <v>2.2999999999999998</v>
      </c>
      <c r="R6132" s="11"/>
      <c r="S6132" s="11"/>
      <c r="T6132" s="11"/>
      <c r="U6132" s="11">
        <f t="shared" si="1905"/>
        <v>2.2999999999999998</v>
      </c>
      <c r="W6132">
        <v>2.5</v>
      </c>
      <c r="X6132" s="1" t="s">
        <v>13</v>
      </c>
    </row>
    <row r="6133" spans="1:24" x14ac:dyDescent="0.25">
      <c r="A6133" s="1" t="str">
        <f t="shared" si="1907"/>
        <v>卡卡杜-凤凰仓</v>
      </c>
      <c r="B6133" s="1" t="str">
        <f>"CK2024101810399"</f>
        <v>CK2024101810399</v>
      </c>
      <c r="C6133" s="1" t="str">
        <f>"DD2024101816183"</f>
        <v>DD2024101816183</v>
      </c>
      <c r="D6133" s="1" t="str">
        <f>"CK202410189947"</f>
        <v>CK202410189947</v>
      </c>
      <c r="E6133" s="1" t="str">
        <f>"6935162920118851358"</f>
        <v>6935162920118851358</v>
      </c>
      <c r="F6133" s="1" t="str">
        <f t="shared" si="1908"/>
        <v>花都四部-凤凰仓</v>
      </c>
      <c r="G6133" s="1" t="str">
        <f t="shared" si="1914"/>
        <v>卡卡杜个人护理店（抖店）</v>
      </c>
      <c r="H6133" s="1" t="str">
        <f t="shared" si="1909"/>
        <v>正常订单</v>
      </c>
      <c r="I6133" s="1" t="str">
        <f t="shared" si="1910"/>
        <v>已发货</v>
      </c>
      <c r="J6133" s="1" t="str">
        <f t="shared" si="1913"/>
        <v>3</v>
      </c>
      <c r="K6133" s="1">
        <v>3</v>
      </c>
      <c r="L6133" s="1" t="s">
        <v>41</v>
      </c>
      <c r="M6133" s="1" t="str">
        <f>"湖北省 孝感市 汉川市 仙女山街道"</f>
        <v>湖北省 孝感市 汉川市 仙女山街道</v>
      </c>
      <c r="N6133" s="1" t="str">
        <f t="shared" si="1912"/>
        <v>凡华云仓-韵达-抖音</v>
      </c>
      <c r="O6133" s="5">
        <v>320177472977529</v>
      </c>
      <c r="P6133" s="6">
        <v>0.34</v>
      </c>
      <c r="Q6133" s="11">
        <v>2.2999999999999998</v>
      </c>
      <c r="R6133" s="11"/>
      <c r="S6133" s="11"/>
      <c r="T6133" s="11"/>
      <c r="U6133" s="11">
        <f t="shared" si="1905"/>
        <v>2.2999999999999998</v>
      </c>
      <c r="W6133">
        <v>2.5</v>
      </c>
      <c r="X6133" s="1" t="s">
        <v>41</v>
      </c>
    </row>
    <row r="6134" spans="1:24" x14ac:dyDescent="0.25">
      <c r="A6134" s="1" t="str">
        <f t="shared" si="1907"/>
        <v>卡卡杜-凤凰仓</v>
      </c>
      <c r="B6134" s="1" t="str">
        <f>"CK2024101810401"</f>
        <v>CK2024101810401</v>
      </c>
      <c r="C6134" s="1" t="str">
        <f>"DD2024101816480"</f>
        <v>DD2024101816480</v>
      </c>
      <c r="D6134" s="1" t="str">
        <f>"CK202410189946"</f>
        <v>CK202410189946</v>
      </c>
      <c r="E6134" s="1" t="str">
        <f>"6935151591032558676"</f>
        <v>6935151591032558676</v>
      </c>
      <c r="F6134" s="1" t="str">
        <f t="shared" si="1908"/>
        <v>花都四部-凤凰仓</v>
      </c>
      <c r="G6134" s="1" t="str">
        <f t="shared" si="1914"/>
        <v>卡卡杜个人护理店（抖店）</v>
      </c>
      <c r="H6134" s="1" t="str">
        <f t="shared" si="1909"/>
        <v>正常订单</v>
      </c>
      <c r="I6134" s="1" t="str">
        <f t="shared" si="1910"/>
        <v>已发货</v>
      </c>
      <c r="J6134" s="1" t="str">
        <f t="shared" si="1913"/>
        <v>3</v>
      </c>
      <c r="K6134" s="1">
        <v>3</v>
      </c>
      <c r="L6134" s="1" t="s">
        <v>13</v>
      </c>
      <c r="M6134" s="1" t="str">
        <f>"江苏省 无锡市 梁溪区 广瑞路街道"</f>
        <v>江苏省 无锡市 梁溪区 广瑞路街道</v>
      </c>
      <c r="N6134" s="1" t="str">
        <f t="shared" si="1912"/>
        <v>凡华云仓-韵达-抖音</v>
      </c>
      <c r="O6134" s="5">
        <v>320177472977432</v>
      </c>
      <c r="P6134" s="6">
        <v>0.34</v>
      </c>
      <c r="Q6134" s="11">
        <v>2.2999999999999998</v>
      </c>
      <c r="R6134" s="11"/>
      <c r="S6134" s="11"/>
      <c r="T6134" s="11"/>
      <c r="U6134" s="11">
        <f t="shared" si="1905"/>
        <v>2.2999999999999998</v>
      </c>
      <c r="W6134">
        <v>2.5</v>
      </c>
      <c r="X6134" s="1" t="s">
        <v>13</v>
      </c>
    </row>
    <row r="6135" spans="1:24" x14ac:dyDescent="0.25">
      <c r="A6135" s="1" t="str">
        <f t="shared" si="1907"/>
        <v>卡卡杜-凤凰仓</v>
      </c>
      <c r="B6135" s="1" t="str">
        <f>"CK2024101810646"</f>
        <v>CK2024101810646</v>
      </c>
      <c r="C6135" s="1" t="str">
        <f>"DD2024101816731"</f>
        <v>DD2024101816731</v>
      </c>
      <c r="D6135" s="1" t="str">
        <f>"CK202410189945"</f>
        <v>CK202410189945</v>
      </c>
      <c r="E6135" s="1" t="str">
        <f>"6918022781012966509"</f>
        <v>6918022781012966509</v>
      </c>
      <c r="F6135" s="1" t="str">
        <f t="shared" si="1908"/>
        <v>花都四部-凤凰仓</v>
      </c>
      <c r="G6135" s="1" t="str">
        <f t="shared" si="1914"/>
        <v>卡卡杜个人护理店（抖店）</v>
      </c>
      <c r="H6135" s="1" t="str">
        <f t="shared" si="1909"/>
        <v>正常订单</v>
      </c>
      <c r="I6135" s="1" t="str">
        <f t="shared" si="1910"/>
        <v>已发货</v>
      </c>
      <c r="J6135" s="1" t="str">
        <f>"6"</f>
        <v>6</v>
      </c>
      <c r="K6135" s="1">
        <v>3</v>
      </c>
      <c r="L6135" s="1" t="s">
        <v>20</v>
      </c>
      <c r="M6135" s="1" t="str">
        <f>"浙江省 杭州市 江干区 "</f>
        <v xml:space="preserve">浙江省 杭州市 江干区 </v>
      </c>
      <c r="N6135" s="1" t="str">
        <f t="shared" si="1912"/>
        <v>凡华云仓-韵达-抖音</v>
      </c>
      <c r="O6135" s="5">
        <v>320177472977337</v>
      </c>
      <c r="P6135" s="6">
        <v>0.55000000000000004</v>
      </c>
      <c r="Q6135" s="11">
        <f>CEILING(P6135-0.5,0.1)*10*0.15+2.3</f>
        <v>2.4499999999999997</v>
      </c>
      <c r="R6135" s="11"/>
      <c r="S6135" s="11"/>
      <c r="T6135" s="11"/>
      <c r="U6135" s="11">
        <f t="shared" si="1905"/>
        <v>2.4499999999999997</v>
      </c>
      <c r="V6135" t="s">
        <v>15</v>
      </c>
      <c r="W6135">
        <v>2.4500000000000002</v>
      </c>
      <c r="X6135" s="1" t="s">
        <v>20</v>
      </c>
    </row>
    <row r="6136" spans="1:24" x14ac:dyDescent="0.25">
      <c r="A6136" s="1" t="str">
        <f t="shared" si="1907"/>
        <v>卡卡杜-凤凰仓</v>
      </c>
      <c r="B6136" s="1" t="str">
        <f>"CK2024101810398"</f>
        <v>CK2024101810398</v>
      </c>
      <c r="C6136" s="1" t="str">
        <f>"DD2024101816182"</f>
        <v>DD2024101816182</v>
      </c>
      <c r="D6136" s="1" t="str">
        <f>"CK202410189944"</f>
        <v>CK202410189944</v>
      </c>
      <c r="E6136" s="1" t="str">
        <f>"6935162851712439389"</f>
        <v>6935162851712439389</v>
      </c>
      <c r="F6136" s="1" t="str">
        <f t="shared" si="1908"/>
        <v>花都四部-凤凰仓</v>
      </c>
      <c r="G6136" s="1" t="str">
        <f t="shared" si="1914"/>
        <v>卡卡杜个人护理店（抖店）</v>
      </c>
      <c r="H6136" s="1" t="str">
        <f t="shared" si="1909"/>
        <v>正常订单</v>
      </c>
      <c r="I6136" s="1" t="str">
        <f t="shared" si="1910"/>
        <v>已发货</v>
      </c>
      <c r="J6136" s="1" t="str">
        <f t="shared" ref="J6136:J6145" si="1915">"3"</f>
        <v>3</v>
      </c>
      <c r="K6136" s="1">
        <v>3</v>
      </c>
      <c r="L6136" s="1" t="s">
        <v>13</v>
      </c>
      <c r="M6136" s="1" t="str">
        <f>"江苏省 苏州市 常熟市 海虞镇"</f>
        <v>江苏省 苏州市 常熟市 海虞镇</v>
      </c>
      <c r="N6136" s="1" t="str">
        <f t="shared" si="1912"/>
        <v>凡华云仓-韵达-抖音</v>
      </c>
      <c r="O6136" s="5">
        <v>320177472977244</v>
      </c>
      <c r="P6136" s="6">
        <v>0.34</v>
      </c>
      <c r="Q6136" s="11">
        <v>2.2999999999999998</v>
      </c>
      <c r="R6136" s="11"/>
      <c r="S6136" s="11"/>
      <c r="T6136" s="11"/>
      <c r="U6136" s="11">
        <f t="shared" si="1905"/>
        <v>2.2999999999999998</v>
      </c>
      <c r="W6136">
        <v>2.5</v>
      </c>
      <c r="X6136" s="1" t="s">
        <v>13</v>
      </c>
    </row>
    <row r="6137" spans="1:24" x14ac:dyDescent="0.25">
      <c r="A6137" s="1" t="str">
        <f t="shared" si="1907"/>
        <v>卡卡杜-凤凰仓</v>
      </c>
      <c r="B6137" s="1" t="str">
        <f>"CK2024101810400"</f>
        <v>CK2024101810400</v>
      </c>
      <c r="C6137" s="1" t="str">
        <f>"DD2024101816184"</f>
        <v>DD2024101816184</v>
      </c>
      <c r="D6137" s="1" t="str">
        <f>"CK202410189943"</f>
        <v>CK202410189943</v>
      </c>
      <c r="E6137" s="1" t="str">
        <f>"6935143518992078527"</f>
        <v>6935143518992078527</v>
      </c>
      <c r="F6137" s="1" t="str">
        <f t="shared" si="1908"/>
        <v>花都四部-凤凰仓</v>
      </c>
      <c r="G6137" s="1" t="str">
        <f t="shared" si="1914"/>
        <v>卡卡杜个人护理店（抖店）</v>
      </c>
      <c r="H6137" s="1" t="str">
        <f t="shared" si="1909"/>
        <v>正常订单</v>
      </c>
      <c r="I6137" s="1" t="str">
        <f t="shared" si="1910"/>
        <v>已发货</v>
      </c>
      <c r="J6137" s="1" t="str">
        <f t="shared" si="1915"/>
        <v>3</v>
      </c>
      <c r="K6137" s="1">
        <v>3</v>
      </c>
      <c r="L6137" s="1" t="s">
        <v>96</v>
      </c>
      <c r="M6137" s="1" t="str">
        <f>"广西壮族自治区 桂林市 临桂区 临桂镇"</f>
        <v>广西壮族自治区 桂林市 临桂区 临桂镇</v>
      </c>
      <c r="N6137" s="1" t="str">
        <f t="shared" si="1912"/>
        <v>凡华云仓-韵达-抖音</v>
      </c>
      <c r="O6137" s="5">
        <v>320177481399272</v>
      </c>
      <c r="P6137" s="6">
        <v>0.34</v>
      </c>
      <c r="Q6137" s="11">
        <v>2.2999999999999998</v>
      </c>
      <c r="R6137" s="11"/>
      <c r="S6137" s="11"/>
      <c r="T6137" s="11"/>
      <c r="U6137" s="11">
        <f t="shared" si="1905"/>
        <v>2.2999999999999998</v>
      </c>
      <c r="W6137">
        <v>2.5</v>
      </c>
      <c r="X6137" s="1" t="s">
        <v>96</v>
      </c>
    </row>
    <row r="6138" spans="1:24" x14ac:dyDescent="0.25">
      <c r="A6138" s="1" t="str">
        <f t="shared" si="1907"/>
        <v>卡卡杜-凤凰仓</v>
      </c>
      <c r="B6138" s="1" t="str">
        <f>"CK2024101810402"</f>
        <v>CK2024101810402</v>
      </c>
      <c r="C6138" s="1" t="str">
        <f>"DD2024101816481"</f>
        <v>DD2024101816481</v>
      </c>
      <c r="D6138" s="1" t="str">
        <f>"CK202410189942"</f>
        <v>CK202410189942</v>
      </c>
      <c r="E6138" s="1" t="str">
        <f>"6935165203736696124"</f>
        <v>6935165203736696124</v>
      </c>
      <c r="F6138" s="1" t="str">
        <f t="shared" si="1908"/>
        <v>花都四部-凤凰仓</v>
      </c>
      <c r="G6138" s="1" t="str">
        <f t="shared" si="1914"/>
        <v>卡卡杜个人护理店（抖店）</v>
      </c>
      <c r="H6138" s="1" t="str">
        <f t="shared" si="1909"/>
        <v>正常订单</v>
      </c>
      <c r="I6138" s="1" t="str">
        <f t="shared" si="1910"/>
        <v>已发货</v>
      </c>
      <c r="J6138" s="1" t="str">
        <f t="shared" si="1915"/>
        <v>3</v>
      </c>
      <c r="K6138" s="1">
        <v>3</v>
      </c>
      <c r="L6138" s="1" t="s">
        <v>18</v>
      </c>
      <c r="M6138" s="1" t="str">
        <f>"广东省 佛山市 南海区 "</f>
        <v xml:space="preserve">广东省 佛山市 南海区 </v>
      </c>
      <c r="N6138" s="1" t="str">
        <f t="shared" si="1912"/>
        <v>凡华云仓-韵达-抖音</v>
      </c>
      <c r="O6138" s="5">
        <v>320177481399181</v>
      </c>
      <c r="P6138" s="6">
        <v>0.34</v>
      </c>
      <c r="Q6138" s="11">
        <v>2.2999999999999998</v>
      </c>
      <c r="R6138" s="11"/>
      <c r="S6138" s="11"/>
      <c r="T6138" s="11"/>
      <c r="U6138" s="11">
        <f t="shared" si="1905"/>
        <v>2.2999999999999998</v>
      </c>
      <c r="W6138">
        <v>2.5</v>
      </c>
      <c r="X6138" s="1" t="s">
        <v>18</v>
      </c>
    </row>
    <row r="6139" spans="1:24" x14ac:dyDescent="0.25">
      <c r="A6139" s="1" t="str">
        <f t="shared" si="1907"/>
        <v>卡卡杜-凤凰仓</v>
      </c>
      <c r="B6139" s="1" t="str">
        <f>"CK2024101810403"</f>
        <v>CK2024101810403</v>
      </c>
      <c r="C6139" s="1" t="str">
        <f>"DD2024101816482"</f>
        <v>DD2024101816482</v>
      </c>
      <c r="D6139" s="1" t="str">
        <f>"CK202410189941"</f>
        <v>CK202410189941</v>
      </c>
      <c r="E6139" s="1" t="str">
        <f>"6935169812464342772"</f>
        <v>6935169812464342772</v>
      </c>
      <c r="F6139" s="1" t="str">
        <f t="shared" si="1908"/>
        <v>花都四部-凤凰仓</v>
      </c>
      <c r="G6139" s="1" t="str">
        <f t="shared" si="1914"/>
        <v>卡卡杜个人护理店（抖店）</v>
      </c>
      <c r="H6139" s="1" t="str">
        <f t="shared" si="1909"/>
        <v>正常订单</v>
      </c>
      <c r="I6139" s="1" t="str">
        <f t="shared" si="1910"/>
        <v>已发货</v>
      </c>
      <c r="J6139" s="1" t="str">
        <f t="shared" si="1915"/>
        <v>3</v>
      </c>
      <c r="K6139" s="1">
        <v>3</v>
      </c>
      <c r="L6139" s="1" t="s">
        <v>80</v>
      </c>
      <c r="M6139" s="1" t="str">
        <f>"河南省 郑州市 二七区 长江路街道"</f>
        <v>河南省 郑州市 二七区 长江路街道</v>
      </c>
      <c r="N6139" s="1" t="str">
        <f t="shared" si="1912"/>
        <v>凡华云仓-韵达-抖音</v>
      </c>
      <c r="O6139" s="5">
        <v>320177481399092</v>
      </c>
      <c r="P6139" s="6">
        <v>0.34</v>
      </c>
      <c r="Q6139" s="11">
        <v>2.2999999999999998</v>
      </c>
      <c r="R6139" s="11"/>
      <c r="S6139" s="11"/>
      <c r="T6139" s="11"/>
      <c r="U6139" s="11">
        <f t="shared" si="1905"/>
        <v>2.2999999999999998</v>
      </c>
      <c r="W6139">
        <v>2.5</v>
      </c>
      <c r="X6139" s="1" t="s">
        <v>80</v>
      </c>
    </row>
    <row r="6140" spans="1:24" x14ac:dyDescent="0.25">
      <c r="A6140" s="1" t="str">
        <f t="shared" si="1907"/>
        <v>卡卡杜-凤凰仓</v>
      </c>
      <c r="B6140" s="1" t="str">
        <f>"CK2024101810405"</f>
        <v>CK2024101810405</v>
      </c>
      <c r="C6140" s="1" t="str">
        <f>"DD2024101816483"</f>
        <v>DD2024101816483</v>
      </c>
      <c r="D6140" s="1" t="str">
        <f>"CK202410189940"</f>
        <v>CK202410189940</v>
      </c>
      <c r="E6140" s="1" t="str">
        <f>"6935145408917739411"</f>
        <v>6935145408917739411</v>
      </c>
      <c r="F6140" s="1" t="str">
        <f t="shared" si="1908"/>
        <v>花都四部-凤凰仓</v>
      </c>
      <c r="G6140" s="1" t="str">
        <f t="shared" si="1914"/>
        <v>卡卡杜个人护理店（抖店）</v>
      </c>
      <c r="H6140" s="1" t="str">
        <f t="shared" si="1909"/>
        <v>正常订单</v>
      </c>
      <c r="I6140" s="1" t="str">
        <f t="shared" si="1910"/>
        <v>已发货</v>
      </c>
      <c r="J6140" s="1" t="str">
        <f t="shared" si="1915"/>
        <v>3</v>
      </c>
      <c r="K6140" s="1">
        <v>3</v>
      </c>
      <c r="L6140" s="1" t="s">
        <v>20</v>
      </c>
      <c r="M6140" s="1" t="str">
        <f>"浙江省 台州市 玉环市 玉城街道"</f>
        <v>浙江省 台州市 玉环市 玉城街道</v>
      </c>
      <c r="N6140" s="1" t="str">
        <f t="shared" si="1912"/>
        <v>凡华云仓-韵达-抖音</v>
      </c>
      <c r="O6140" s="5">
        <v>320177481398960</v>
      </c>
      <c r="P6140" s="6">
        <v>0.34</v>
      </c>
      <c r="Q6140" s="11">
        <v>2.2999999999999998</v>
      </c>
      <c r="R6140" s="11"/>
      <c r="S6140" s="11"/>
      <c r="T6140" s="11"/>
      <c r="U6140" s="11">
        <f t="shared" si="1905"/>
        <v>2.2999999999999998</v>
      </c>
      <c r="W6140">
        <v>2.5</v>
      </c>
      <c r="X6140" s="1" t="s">
        <v>20</v>
      </c>
    </row>
    <row r="6141" spans="1:24" x14ac:dyDescent="0.25">
      <c r="A6141" s="1" t="str">
        <f t="shared" si="1907"/>
        <v>卡卡杜-凤凰仓</v>
      </c>
      <c r="B6141" s="1" t="str">
        <f>"CK2024101810406"</f>
        <v>CK2024101810406</v>
      </c>
      <c r="C6141" s="1" t="str">
        <f>"DD2024101816484"</f>
        <v>DD2024101816484</v>
      </c>
      <c r="D6141" s="1" t="str">
        <f>"CK202410189939"</f>
        <v>CK202410189939</v>
      </c>
      <c r="E6141" s="1" t="str">
        <f>"6935156080087536772"</f>
        <v>6935156080087536772</v>
      </c>
      <c r="F6141" s="1" t="str">
        <f t="shared" si="1908"/>
        <v>花都四部-凤凰仓</v>
      </c>
      <c r="G6141" s="1" t="str">
        <f t="shared" si="1914"/>
        <v>卡卡杜个人护理店（抖店）</v>
      </c>
      <c r="H6141" s="1" t="str">
        <f t="shared" si="1909"/>
        <v>正常订单</v>
      </c>
      <c r="I6141" s="1" t="str">
        <f t="shared" si="1910"/>
        <v>已发货</v>
      </c>
      <c r="J6141" s="1" t="str">
        <f t="shared" si="1915"/>
        <v>3</v>
      </c>
      <c r="K6141" s="1">
        <v>3</v>
      </c>
      <c r="L6141" s="1" t="s">
        <v>41</v>
      </c>
      <c r="M6141" s="1" t="str">
        <f>"湖北省 武汉市 江夏区 江夏经济开发区大桥新区街道"</f>
        <v>湖北省 武汉市 江夏区 江夏经济开发区大桥新区街道</v>
      </c>
      <c r="N6141" s="1" t="str">
        <f t="shared" si="1912"/>
        <v>凡华云仓-韵达-抖音</v>
      </c>
      <c r="O6141" s="5">
        <v>320177481398855</v>
      </c>
      <c r="P6141" s="6">
        <v>0.34</v>
      </c>
      <c r="Q6141" s="11">
        <v>2.2999999999999998</v>
      </c>
      <c r="R6141" s="11"/>
      <c r="S6141" s="11"/>
      <c r="T6141" s="11"/>
      <c r="U6141" s="11">
        <f t="shared" si="1905"/>
        <v>2.2999999999999998</v>
      </c>
      <c r="W6141">
        <v>2.5</v>
      </c>
      <c r="X6141" s="1" t="s">
        <v>41</v>
      </c>
    </row>
    <row r="6142" spans="1:24" x14ac:dyDescent="0.25">
      <c r="A6142" s="1" t="str">
        <f t="shared" si="1907"/>
        <v>卡卡杜-凤凰仓</v>
      </c>
      <c r="B6142" s="1" t="str">
        <f>"CK2024101810404"</f>
        <v>CK2024101810404</v>
      </c>
      <c r="C6142" s="1" t="str">
        <f>"DD2024101816485"</f>
        <v>DD2024101816485</v>
      </c>
      <c r="D6142" s="1" t="str">
        <f>"CK202410189938"</f>
        <v>CK202410189938</v>
      </c>
      <c r="E6142" s="1" t="str">
        <f>"6935156083133584865"</f>
        <v>6935156083133584865</v>
      </c>
      <c r="F6142" s="1" t="str">
        <f t="shared" si="1908"/>
        <v>花都四部-凤凰仓</v>
      </c>
      <c r="G6142" s="1" t="str">
        <f t="shared" si="1914"/>
        <v>卡卡杜个人护理店（抖店）</v>
      </c>
      <c r="H6142" s="1" t="str">
        <f t="shared" si="1909"/>
        <v>正常订单</v>
      </c>
      <c r="I6142" s="1" t="str">
        <f t="shared" si="1910"/>
        <v>已发货</v>
      </c>
      <c r="J6142" s="1" t="str">
        <f t="shared" si="1915"/>
        <v>3</v>
      </c>
      <c r="K6142" s="1">
        <v>3</v>
      </c>
      <c r="L6142" s="1" t="s">
        <v>32</v>
      </c>
      <c r="M6142" s="1" t="str">
        <f>"陕西省 延安市 宝塔区 河庄坪镇"</f>
        <v>陕西省 延安市 宝塔区 河庄坪镇</v>
      </c>
      <c r="N6142" s="1" t="str">
        <f t="shared" si="1912"/>
        <v>凡华云仓-韵达-抖音</v>
      </c>
      <c r="O6142" s="5">
        <v>320177481398752</v>
      </c>
      <c r="P6142" s="6">
        <v>0.34</v>
      </c>
      <c r="Q6142" s="11">
        <v>2.2999999999999998</v>
      </c>
      <c r="R6142" s="11"/>
      <c r="S6142" s="11"/>
      <c r="T6142" s="11"/>
      <c r="U6142" s="11">
        <f t="shared" si="1905"/>
        <v>2.2999999999999998</v>
      </c>
      <c r="W6142">
        <v>2.5</v>
      </c>
      <c r="X6142" s="1" t="s">
        <v>32</v>
      </c>
    </row>
    <row r="6143" spans="1:24" x14ac:dyDescent="0.25">
      <c r="A6143" s="1" t="str">
        <f t="shared" si="1907"/>
        <v>卡卡杜-凤凰仓</v>
      </c>
      <c r="B6143" s="1" t="str">
        <f>"CK2024101810409"</f>
        <v>CK2024101810409</v>
      </c>
      <c r="C6143" s="1" t="str">
        <f>"DD2024101816487"</f>
        <v>DD2024101816487</v>
      </c>
      <c r="D6143" s="1" t="str">
        <f>"CK202410189937"</f>
        <v>CK202410189937</v>
      </c>
      <c r="E6143" s="1" t="str">
        <f>"6935145287865079535"</f>
        <v>6935145287865079535</v>
      </c>
      <c r="F6143" s="1" t="str">
        <f t="shared" si="1908"/>
        <v>花都四部-凤凰仓</v>
      </c>
      <c r="G6143" s="1" t="str">
        <f t="shared" si="1914"/>
        <v>卡卡杜个人护理店（抖店）</v>
      </c>
      <c r="H6143" s="1" t="str">
        <f t="shared" si="1909"/>
        <v>正常订单</v>
      </c>
      <c r="I6143" s="1" t="str">
        <f t="shared" si="1910"/>
        <v>已发货</v>
      </c>
      <c r="J6143" s="1" t="str">
        <f t="shared" si="1915"/>
        <v>3</v>
      </c>
      <c r="K6143" s="1">
        <v>3</v>
      </c>
      <c r="L6143" s="1" t="s">
        <v>13</v>
      </c>
      <c r="M6143" s="1" t="str">
        <f>"江苏省 徐州市 沛县 汉源街道"</f>
        <v>江苏省 徐州市 沛县 汉源街道</v>
      </c>
      <c r="N6143" s="1" t="str">
        <f t="shared" si="1912"/>
        <v>凡华云仓-韵达-抖音</v>
      </c>
      <c r="O6143" s="5">
        <v>320177481398651</v>
      </c>
      <c r="P6143" s="6">
        <v>0.34</v>
      </c>
      <c r="Q6143" s="11">
        <v>2.2999999999999998</v>
      </c>
      <c r="R6143" s="11"/>
      <c r="S6143" s="11"/>
      <c r="T6143" s="11"/>
      <c r="U6143" s="11">
        <f t="shared" si="1905"/>
        <v>2.2999999999999998</v>
      </c>
      <c r="W6143">
        <v>2.5</v>
      </c>
      <c r="X6143" s="1" t="s">
        <v>13</v>
      </c>
    </row>
    <row r="6144" spans="1:24" x14ac:dyDescent="0.25">
      <c r="A6144" s="1" t="str">
        <f t="shared" si="1907"/>
        <v>卡卡杜-凤凰仓</v>
      </c>
      <c r="B6144" s="1" t="str">
        <f>"CK2024101810408"</f>
        <v>CK2024101810408</v>
      </c>
      <c r="C6144" s="1" t="str">
        <f>"DD2024101816488"</f>
        <v>DD2024101816488</v>
      </c>
      <c r="D6144" s="1" t="str">
        <f>"CK202410189936"</f>
        <v>CK202410189936</v>
      </c>
      <c r="E6144" s="1" t="str">
        <f>"6935167451481708482"</f>
        <v>6935167451481708482</v>
      </c>
      <c r="F6144" s="1" t="str">
        <f t="shared" si="1908"/>
        <v>花都四部-凤凰仓</v>
      </c>
      <c r="G6144" s="1" t="str">
        <f t="shared" si="1914"/>
        <v>卡卡杜个人护理店（抖店）</v>
      </c>
      <c r="H6144" s="1" t="str">
        <f t="shared" si="1909"/>
        <v>正常订单</v>
      </c>
      <c r="I6144" s="1" t="str">
        <f t="shared" si="1910"/>
        <v>已发货</v>
      </c>
      <c r="J6144" s="1" t="str">
        <f t="shared" si="1915"/>
        <v>3</v>
      </c>
      <c r="K6144" s="1">
        <v>3</v>
      </c>
      <c r="L6144" s="1" t="s">
        <v>54</v>
      </c>
      <c r="M6144" s="1" t="str">
        <f>"黑龙江省 哈尔滨市 香坊区 幸福镇"</f>
        <v>黑龙江省 哈尔滨市 香坊区 幸福镇</v>
      </c>
      <c r="N6144" s="1" t="str">
        <f t="shared" si="1912"/>
        <v>凡华云仓-韵达-抖音</v>
      </c>
      <c r="O6144" s="5">
        <v>320177481398552</v>
      </c>
      <c r="P6144" s="6">
        <v>0.34</v>
      </c>
      <c r="Q6144" s="11">
        <v>2.2999999999999998</v>
      </c>
      <c r="R6144" s="11"/>
      <c r="S6144" s="11"/>
      <c r="T6144" s="11"/>
      <c r="U6144" s="11">
        <f t="shared" si="1905"/>
        <v>2.2999999999999998</v>
      </c>
      <c r="W6144">
        <v>2.5</v>
      </c>
      <c r="X6144" s="1" t="s">
        <v>54</v>
      </c>
    </row>
    <row r="6145" spans="1:24" x14ac:dyDescent="0.25">
      <c r="A6145" s="1" t="str">
        <f t="shared" si="1907"/>
        <v>卡卡杜-凤凰仓</v>
      </c>
      <c r="B6145" s="1" t="str">
        <f>"CK2024101810414"</f>
        <v>CK2024101810414</v>
      </c>
      <c r="C6145" s="1" t="str">
        <f>"DD2024101816493"</f>
        <v>DD2024101816493</v>
      </c>
      <c r="D6145" s="1" t="str">
        <f>"CK202410189935"</f>
        <v>CK202410189935</v>
      </c>
      <c r="E6145" s="1" t="str">
        <f>"6935165174594541174"</f>
        <v>6935165174594541174</v>
      </c>
      <c r="F6145" s="1" t="str">
        <f t="shared" si="1908"/>
        <v>花都四部-凤凰仓</v>
      </c>
      <c r="G6145" s="1" t="str">
        <f t="shared" si="1914"/>
        <v>卡卡杜个人护理店（抖店）</v>
      </c>
      <c r="H6145" s="1" t="str">
        <f t="shared" si="1909"/>
        <v>正常订单</v>
      </c>
      <c r="I6145" s="1" t="str">
        <f t="shared" si="1910"/>
        <v>已发货</v>
      </c>
      <c r="J6145" s="1" t="str">
        <f t="shared" si="1915"/>
        <v>3</v>
      </c>
      <c r="K6145" s="1">
        <v>3</v>
      </c>
      <c r="L6145" s="1" t="s">
        <v>16</v>
      </c>
      <c r="M6145" s="1" t="str">
        <f>"河北省 沧州市 新华区 东环中街街道"</f>
        <v>河北省 沧州市 新华区 东环中街街道</v>
      </c>
      <c r="N6145" s="1" t="str">
        <f t="shared" si="1912"/>
        <v>凡华云仓-韵达-抖音</v>
      </c>
      <c r="O6145" s="5">
        <v>320177481398455</v>
      </c>
      <c r="P6145" s="6">
        <v>0.34</v>
      </c>
      <c r="Q6145" s="11">
        <v>2.2999999999999998</v>
      </c>
      <c r="R6145" s="11"/>
      <c r="S6145" s="11"/>
      <c r="T6145" s="11"/>
      <c r="U6145" s="11">
        <f t="shared" si="1905"/>
        <v>2.2999999999999998</v>
      </c>
      <c r="W6145">
        <v>2.5</v>
      </c>
      <c r="X6145" s="1" t="s">
        <v>16</v>
      </c>
    </row>
    <row r="6146" spans="1:24" x14ac:dyDescent="0.25">
      <c r="A6146" s="1" t="str">
        <f t="shared" si="1907"/>
        <v>卡卡杜-凤凰仓</v>
      </c>
      <c r="B6146" s="1" t="str">
        <f>"CK2024101810420"</f>
        <v>CK2024101810420</v>
      </c>
      <c r="C6146" s="1" t="str">
        <f>"DD2024101816498"</f>
        <v>DD2024101816498</v>
      </c>
      <c r="D6146" s="1" t="str">
        <f>"CK202410189934"</f>
        <v>CK202410189934</v>
      </c>
      <c r="E6146" s="1" t="str">
        <f>"6935160893899150657"</f>
        <v>6935160893899150657</v>
      </c>
      <c r="F6146" s="1" t="str">
        <f t="shared" si="1908"/>
        <v>花都四部-凤凰仓</v>
      </c>
      <c r="G6146" s="1" t="str">
        <f t="shared" si="1914"/>
        <v>卡卡杜个人护理店（抖店）</v>
      </c>
      <c r="H6146" s="1" t="str">
        <f t="shared" si="1909"/>
        <v>正常订单</v>
      </c>
      <c r="I6146" s="1" t="str">
        <f t="shared" si="1910"/>
        <v>已发货</v>
      </c>
      <c r="J6146" s="1" t="str">
        <f>"6"</f>
        <v>6</v>
      </c>
      <c r="K6146" s="1">
        <v>3</v>
      </c>
      <c r="L6146" s="1" t="s">
        <v>161</v>
      </c>
      <c r="M6146" s="1" t="str">
        <f>"四川省 广元市 利州区 万缘街道"</f>
        <v>四川省 广元市 利州区 万缘街道</v>
      </c>
      <c r="N6146" s="1" t="str">
        <f t="shared" si="1912"/>
        <v>凡华云仓-韵达-抖音</v>
      </c>
      <c r="O6146" s="5">
        <v>320177481398360</v>
      </c>
      <c r="P6146" s="6">
        <v>0.55000000000000004</v>
      </c>
      <c r="Q6146" s="11">
        <f>CEILING(P6146-0.5,0.1)*10*0.15+2.3</f>
        <v>2.4499999999999997</v>
      </c>
      <c r="R6146" s="11"/>
      <c r="S6146" s="11"/>
      <c r="T6146" s="11"/>
      <c r="U6146" s="11">
        <f t="shared" si="1905"/>
        <v>2.4499999999999997</v>
      </c>
      <c r="V6146" t="s">
        <v>15</v>
      </c>
      <c r="W6146">
        <v>2.4500000000000002</v>
      </c>
      <c r="X6146" s="1" t="s">
        <v>161</v>
      </c>
    </row>
    <row r="6147" spans="1:24" x14ac:dyDescent="0.25">
      <c r="A6147" s="1" t="str">
        <f t="shared" si="1907"/>
        <v>卡卡杜-凤凰仓</v>
      </c>
      <c r="B6147" s="1" t="str">
        <f>"CK2024101810407"</f>
        <v>CK2024101810407</v>
      </c>
      <c r="C6147" s="1" t="str">
        <f>"DD2024101816486"</f>
        <v>DD2024101816486</v>
      </c>
      <c r="D6147" s="1" t="str">
        <f>"CK202410189933"</f>
        <v>CK202410189933</v>
      </c>
      <c r="E6147" s="1" t="str">
        <f>"6935171996243334899"</f>
        <v>6935171996243334899</v>
      </c>
      <c r="F6147" s="1" t="str">
        <f t="shared" si="1908"/>
        <v>花都四部-凤凰仓</v>
      </c>
      <c r="G6147" s="1" t="str">
        <f t="shared" si="1914"/>
        <v>卡卡杜个人护理店（抖店）</v>
      </c>
      <c r="H6147" s="1" t="str">
        <f t="shared" si="1909"/>
        <v>正常订单</v>
      </c>
      <c r="I6147" s="1" t="str">
        <f t="shared" si="1910"/>
        <v>已发货</v>
      </c>
      <c r="J6147" s="1" t="str">
        <f t="shared" ref="J6147:J6159" si="1916">"3"</f>
        <v>3</v>
      </c>
      <c r="K6147" s="1">
        <v>3</v>
      </c>
      <c r="L6147" s="1" t="s">
        <v>30</v>
      </c>
      <c r="M6147" s="1" t="str">
        <f>"山东省 济宁市 任城区 李营街道"</f>
        <v>山东省 济宁市 任城区 李营街道</v>
      </c>
      <c r="N6147" s="1" t="str">
        <f t="shared" si="1912"/>
        <v>凡华云仓-韵达-抖音</v>
      </c>
      <c r="O6147" s="5">
        <v>320177478447323</v>
      </c>
      <c r="P6147" s="6">
        <v>0.34</v>
      </c>
      <c r="Q6147" s="11">
        <v>2.2999999999999998</v>
      </c>
      <c r="R6147" s="11"/>
      <c r="S6147" s="11"/>
      <c r="T6147" s="11"/>
      <c r="U6147" s="11">
        <f t="shared" ref="U6147:U6210" si="1917">T6147+S6147+R6147+Q6147</f>
        <v>2.2999999999999998</v>
      </c>
      <c r="W6147">
        <v>2.5</v>
      </c>
      <c r="X6147" s="1" t="s">
        <v>30</v>
      </c>
    </row>
    <row r="6148" spans="1:24" x14ac:dyDescent="0.25">
      <c r="A6148" s="1" t="str">
        <f t="shared" si="1907"/>
        <v>卡卡杜-凤凰仓</v>
      </c>
      <c r="B6148" s="1" t="str">
        <f>"CK2024101810410"</f>
        <v>CK2024101810410</v>
      </c>
      <c r="C6148" s="1" t="str">
        <f>"DD2024101816489"</f>
        <v>DD2024101816489</v>
      </c>
      <c r="D6148" s="1" t="str">
        <f>"CK202410189932"</f>
        <v>CK202410189932</v>
      </c>
      <c r="E6148" s="1" t="str">
        <f>"6935167574815151794"</f>
        <v>6935167574815151794</v>
      </c>
      <c r="F6148" s="1" t="str">
        <f t="shared" si="1908"/>
        <v>花都四部-凤凰仓</v>
      </c>
      <c r="G6148" s="1" t="str">
        <f t="shared" si="1914"/>
        <v>卡卡杜个人护理店（抖店）</v>
      </c>
      <c r="H6148" s="1" t="str">
        <f t="shared" si="1909"/>
        <v>正常订单</v>
      </c>
      <c r="I6148" s="1" t="str">
        <f t="shared" si="1910"/>
        <v>已发货</v>
      </c>
      <c r="J6148" s="1" t="str">
        <f t="shared" si="1916"/>
        <v>3</v>
      </c>
      <c r="K6148" s="1">
        <v>3</v>
      </c>
      <c r="L6148" s="1" t="s">
        <v>24</v>
      </c>
      <c r="M6148" s="1" t="str">
        <f>"福建省 三明市 永安市 燕北街道"</f>
        <v>福建省 三明市 永安市 燕北街道</v>
      </c>
      <c r="N6148" s="1" t="str">
        <f t="shared" si="1912"/>
        <v>凡华云仓-韵达-抖音</v>
      </c>
      <c r="O6148" s="5">
        <v>320177478447230</v>
      </c>
      <c r="P6148" s="6">
        <v>0.34</v>
      </c>
      <c r="Q6148" s="11">
        <v>2.2999999999999998</v>
      </c>
      <c r="R6148" s="11"/>
      <c r="S6148" s="11"/>
      <c r="T6148" s="11"/>
      <c r="U6148" s="11">
        <f t="shared" si="1917"/>
        <v>2.2999999999999998</v>
      </c>
      <c r="W6148">
        <v>2.5</v>
      </c>
      <c r="X6148" s="1" t="s">
        <v>24</v>
      </c>
    </row>
    <row r="6149" spans="1:24" x14ac:dyDescent="0.25">
      <c r="A6149" s="1" t="str">
        <f t="shared" ref="A6149:A6212" si="1918">"卡卡杜-凤凰仓"</f>
        <v>卡卡杜-凤凰仓</v>
      </c>
      <c r="B6149" s="1" t="str">
        <f>"CK2024101810411"</f>
        <v>CK2024101810411</v>
      </c>
      <c r="C6149" s="1" t="str">
        <f>"DD2024101816490"</f>
        <v>DD2024101816490</v>
      </c>
      <c r="D6149" s="1" t="str">
        <f>"CK202410189931"</f>
        <v>CK202410189931</v>
      </c>
      <c r="E6149" s="1" t="str">
        <f>"6935151555731920290"</f>
        <v>6935151555731920290</v>
      </c>
      <c r="F6149" s="1" t="str">
        <f t="shared" ref="F6149:F6212" si="1919">"花都四部-凤凰仓"</f>
        <v>花都四部-凤凰仓</v>
      </c>
      <c r="G6149" s="1" t="str">
        <f t="shared" si="1914"/>
        <v>卡卡杜个人护理店（抖店）</v>
      </c>
      <c r="H6149" s="1" t="str">
        <f t="shared" ref="H6149:H6212" si="1920">"正常订单"</f>
        <v>正常订单</v>
      </c>
      <c r="I6149" s="1" t="str">
        <f t="shared" ref="I6149:I6212" si="1921">"已发货"</f>
        <v>已发货</v>
      </c>
      <c r="J6149" s="1" t="str">
        <f t="shared" si="1916"/>
        <v>3</v>
      </c>
      <c r="K6149" s="1">
        <v>3</v>
      </c>
      <c r="L6149" s="1" t="s">
        <v>32</v>
      </c>
      <c r="M6149" s="1" t="str">
        <f>"陕西省 铜川市 耀州区 正阳路街道"</f>
        <v>陕西省 铜川市 耀州区 正阳路街道</v>
      </c>
      <c r="N6149" s="1" t="str">
        <f t="shared" si="1912"/>
        <v>凡华云仓-韵达-抖音</v>
      </c>
      <c r="O6149" s="5">
        <v>320177478447139</v>
      </c>
      <c r="P6149" s="6">
        <v>0.34</v>
      </c>
      <c r="Q6149" s="11">
        <v>2.2999999999999998</v>
      </c>
      <c r="R6149" s="11"/>
      <c r="S6149" s="11"/>
      <c r="T6149" s="11"/>
      <c r="U6149" s="11">
        <f t="shared" si="1917"/>
        <v>2.2999999999999998</v>
      </c>
      <c r="W6149">
        <v>2.5</v>
      </c>
      <c r="X6149" s="1" t="s">
        <v>32</v>
      </c>
    </row>
    <row r="6150" spans="1:24" x14ac:dyDescent="0.25">
      <c r="A6150" s="1" t="str">
        <f t="shared" si="1918"/>
        <v>卡卡杜-凤凰仓</v>
      </c>
      <c r="B6150" s="1" t="str">
        <f>"CK2024101810412"</f>
        <v>CK2024101810412</v>
      </c>
      <c r="C6150" s="1" t="str">
        <f>"DD2024101816491"</f>
        <v>DD2024101816491</v>
      </c>
      <c r="D6150" s="1" t="str">
        <f>"CK202410189930"</f>
        <v>CK202410189930</v>
      </c>
      <c r="E6150" s="1" t="str">
        <f>"6935156139586426464"</f>
        <v>6935156139586426464</v>
      </c>
      <c r="F6150" s="1" t="str">
        <f t="shared" si="1919"/>
        <v>花都四部-凤凰仓</v>
      </c>
      <c r="G6150" s="1" t="str">
        <f t="shared" si="1914"/>
        <v>卡卡杜个人护理店（抖店）</v>
      </c>
      <c r="H6150" s="1" t="str">
        <f t="shared" si="1920"/>
        <v>正常订单</v>
      </c>
      <c r="I6150" s="1" t="str">
        <f t="shared" si="1921"/>
        <v>已发货</v>
      </c>
      <c r="J6150" s="1" t="str">
        <f t="shared" si="1916"/>
        <v>3</v>
      </c>
      <c r="K6150" s="1">
        <v>3</v>
      </c>
      <c r="L6150" s="1" t="s">
        <v>30</v>
      </c>
      <c r="M6150" s="1" t="str">
        <f>"山东省 潍坊市 高密市 柏城镇"</f>
        <v>山东省 潍坊市 高密市 柏城镇</v>
      </c>
      <c r="N6150" s="1" t="str">
        <f t="shared" si="1912"/>
        <v>凡华云仓-韵达-抖音</v>
      </c>
      <c r="O6150" s="5">
        <v>320177478447050</v>
      </c>
      <c r="P6150" s="6">
        <v>0.34</v>
      </c>
      <c r="Q6150" s="11">
        <v>2.2999999999999998</v>
      </c>
      <c r="R6150" s="11"/>
      <c r="S6150" s="11"/>
      <c r="T6150" s="11"/>
      <c r="U6150" s="11">
        <f t="shared" si="1917"/>
        <v>2.2999999999999998</v>
      </c>
      <c r="W6150">
        <v>2.5</v>
      </c>
      <c r="X6150" s="1" t="s">
        <v>30</v>
      </c>
    </row>
    <row r="6151" spans="1:24" x14ac:dyDescent="0.25">
      <c r="A6151" s="1" t="str">
        <f t="shared" si="1918"/>
        <v>卡卡杜-凤凰仓</v>
      </c>
      <c r="B6151" s="1" t="str">
        <f>"CK2024101810413"</f>
        <v>CK2024101810413</v>
      </c>
      <c r="C6151" s="1" t="str">
        <f>"DD2024101816492"</f>
        <v>DD2024101816492</v>
      </c>
      <c r="D6151" s="1" t="str">
        <f>"CK202410189929"</f>
        <v>CK202410189929</v>
      </c>
      <c r="E6151" s="1" t="str">
        <f>"6935172086299497900"</f>
        <v>6935172086299497900</v>
      </c>
      <c r="F6151" s="1" t="str">
        <f t="shared" si="1919"/>
        <v>花都四部-凤凰仓</v>
      </c>
      <c r="G6151" s="1" t="str">
        <f t="shared" si="1914"/>
        <v>卡卡杜个人护理店（抖店）</v>
      </c>
      <c r="H6151" s="1" t="str">
        <f t="shared" si="1920"/>
        <v>正常订单</v>
      </c>
      <c r="I6151" s="1" t="str">
        <f t="shared" si="1921"/>
        <v>已发货</v>
      </c>
      <c r="J6151" s="1" t="str">
        <f t="shared" si="1916"/>
        <v>3</v>
      </c>
      <c r="K6151" s="1">
        <v>3</v>
      </c>
      <c r="L6151" s="1" t="s">
        <v>47</v>
      </c>
      <c r="M6151" s="1" t="str">
        <f>"重庆 重庆市 江北区 铁山坪街道"</f>
        <v>重庆 重庆市 江北区 铁山坪街道</v>
      </c>
      <c r="N6151" s="1" t="str">
        <f t="shared" si="1912"/>
        <v>凡华云仓-韵达-抖音</v>
      </c>
      <c r="O6151" s="5">
        <v>320177478446922</v>
      </c>
      <c r="P6151" s="6">
        <v>0.34</v>
      </c>
      <c r="Q6151" s="11">
        <v>2.2999999999999998</v>
      </c>
      <c r="R6151" s="11"/>
      <c r="S6151" s="11"/>
      <c r="T6151" s="11"/>
      <c r="U6151" s="11">
        <f t="shared" si="1917"/>
        <v>2.2999999999999998</v>
      </c>
      <c r="W6151">
        <v>2.5</v>
      </c>
      <c r="X6151" s="1" t="s">
        <v>47</v>
      </c>
    </row>
    <row r="6152" spans="1:24" x14ac:dyDescent="0.25">
      <c r="A6152" s="1" t="str">
        <f t="shared" si="1918"/>
        <v>卡卡杜-凤凰仓</v>
      </c>
      <c r="B6152" s="1" t="str">
        <f>"CK2024101810415"</f>
        <v>CK2024101810415</v>
      </c>
      <c r="C6152" s="1" t="str">
        <f>"DD2024101816494"</f>
        <v>DD2024101816494</v>
      </c>
      <c r="D6152" s="1" t="str">
        <f>"CK202410189928"</f>
        <v>CK202410189928</v>
      </c>
      <c r="E6152" s="1" t="str">
        <f>"6935160889039000799"</f>
        <v>6935160889039000799</v>
      </c>
      <c r="F6152" s="1" t="str">
        <f t="shared" si="1919"/>
        <v>花都四部-凤凰仓</v>
      </c>
      <c r="G6152" s="1" t="str">
        <f t="shared" si="1914"/>
        <v>卡卡杜个人护理店（抖店）</v>
      </c>
      <c r="H6152" s="1" t="str">
        <f t="shared" si="1920"/>
        <v>正常订单</v>
      </c>
      <c r="I6152" s="1" t="str">
        <f t="shared" si="1921"/>
        <v>已发货</v>
      </c>
      <c r="J6152" s="1" t="str">
        <f t="shared" si="1916"/>
        <v>3</v>
      </c>
      <c r="K6152" s="1">
        <v>3</v>
      </c>
      <c r="L6152" s="1" t="s">
        <v>105</v>
      </c>
      <c r="M6152" s="1" t="str">
        <f>"北京 北京市 密云区 果园街道"</f>
        <v>北京 北京市 密云区 果园街道</v>
      </c>
      <c r="N6152" s="1" t="str">
        <f t="shared" si="1912"/>
        <v>凡华云仓-韵达-抖音</v>
      </c>
      <c r="O6152" s="5">
        <v>320177478446817</v>
      </c>
      <c r="P6152" s="6">
        <v>0.34</v>
      </c>
      <c r="Q6152" s="11">
        <v>2.2999999999999998</v>
      </c>
      <c r="R6152" s="11"/>
      <c r="S6152" s="11"/>
      <c r="T6152" s="11"/>
      <c r="U6152" s="11">
        <f t="shared" si="1917"/>
        <v>2.2999999999999998</v>
      </c>
      <c r="W6152">
        <v>2.5</v>
      </c>
      <c r="X6152" s="1" t="s">
        <v>105</v>
      </c>
    </row>
    <row r="6153" spans="1:24" x14ac:dyDescent="0.25">
      <c r="A6153" s="1" t="str">
        <f t="shared" si="1918"/>
        <v>卡卡杜-凤凰仓</v>
      </c>
      <c r="B6153" s="1" t="str">
        <f>"CK2024101810416"</f>
        <v>CK2024101810416</v>
      </c>
      <c r="C6153" s="1" t="str">
        <f>"DD2024101816495"</f>
        <v>DD2024101816495</v>
      </c>
      <c r="D6153" s="1" t="str">
        <f>"CK202410189927"</f>
        <v>CK202410189927</v>
      </c>
      <c r="E6153" s="1" t="str">
        <f>"6935158474477475357"</f>
        <v>6935158474477475357</v>
      </c>
      <c r="F6153" s="1" t="str">
        <f t="shared" si="1919"/>
        <v>花都四部-凤凰仓</v>
      </c>
      <c r="G6153" s="1" t="str">
        <f t="shared" si="1914"/>
        <v>卡卡杜个人护理店（抖店）</v>
      </c>
      <c r="H6153" s="1" t="str">
        <f t="shared" si="1920"/>
        <v>正常订单</v>
      </c>
      <c r="I6153" s="1" t="str">
        <f t="shared" si="1921"/>
        <v>已发货</v>
      </c>
      <c r="J6153" s="1" t="str">
        <f t="shared" si="1916"/>
        <v>3</v>
      </c>
      <c r="K6153" s="1">
        <v>3</v>
      </c>
      <c r="L6153" s="1" t="s">
        <v>161</v>
      </c>
      <c r="M6153" s="1" t="str">
        <f>"四川省 成都市 彭州市 致和街道"</f>
        <v>四川省 成都市 彭州市 致和街道</v>
      </c>
      <c r="N6153" s="1" t="str">
        <f t="shared" si="1912"/>
        <v>凡华云仓-韵达-抖音</v>
      </c>
      <c r="O6153" s="5">
        <v>320177478446714</v>
      </c>
      <c r="P6153" s="6">
        <v>0.34</v>
      </c>
      <c r="Q6153" s="11">
        <v>2.2999999999999998</v>
      </c>
      <c r="R6153" s="11"/>
      <c r="S6153" s="11"/>
      <c r="T6153" s="11"/>
      <c r="U6153" s="11">
        <f t="shared" si="1917"/>
        <v>2.2999999999999998</v>
      </c>
      <c r="W6153">
        <v>2.5</v>
      </c>
      <c r="X6153" s="1" t="s">
        <v>161</v>
      </c>
    </row>
    <row r="6154" spans="1:24" x14ac:dyDescent="0.25">
      <c r="A6154" s="1" t="str">
        <f t="shared" si="1918"/>
        <v>卡卡杜-凤凰仓</v>
      </c>
      <c r="B6154" s="1" t="str">
        <f>"CK2024101810417"</f>
        <v>CK2024101810417</v>
      </c>
      <c r="C6154" s="1" t="str">
        <f>"DD2024101816496"</f>
        <v>DD2024101816496</v>
      </c>
      <c r="D6154" s="1" t="str">
        <f>"CK202410189926"</f>
        <v>CK202410189926</v>
      </c>
      <c r="E6154" s="1" t="str">
        <f>"6935145386690615231"</f>
        <v>6935145386690615231</v>
      </c>
      <c r="F6154" s="1" t="str">
        <f t="shared" si="1919"/>
        <v>花都四部-凤凰仓</v>
      </c>
      <c r="G6154" s="1" t="str">
        <f t="shared" si="1914"/>
        <v>卡卡杜个人护理店（抖店）</v>
      </c>
      <c r="H6154" s="1" t="str">
        <f t="shared" si="1920"/>
        <v>正常订单</v>
      </c>
      <c r="I6154" s="1" t="str">
        <f t="shared" si="1921"/>
        <v>已发货</v>
      </c>
      <c r="J6154" s="1" t="str">
        <f t="shared" si="1916"/>
        <v>3</v>
      </c>
      <c r="K6154" s="1">
        <v>3</v>
      </c>
      <c r="L6154" s="1" t="s">
        <v>18</v>
      </c>
      <c r="M6154" s="1" t="str">
        <f>"广东省 深圳市 宝安区 福海街道"</f>
        <v>广东省 深圳市 宝安区 福海街道</v>
      </c>
      <c r="N6154" s="1" t="str">
        <f t="shared" si="1912"/>
        <v>凡华云仓-韵达-抖音</v>
      </c>
      <c r="O6154" s="5">
        <v>320177478446613</v>
      </c>
      <c r="P6154" s="6">
        <v>0.34</v>
      </c>
      <c r="Q6154" s="11">
        <v>2.2999999999999998</v>
      </c>
      <c r="R6154" s="11"/>
      <c r="S6154" s="11"/>
      <c r="T6154" s="11"/>
      <c r="U6154" s="11">
        <f t="shared" si="1917"/>
        <v>2.2999999999999998</v>
      </c>
      <c r="W6154">
        <v>2.5</v>
      </c>
      <c r="X6154" s="1" t="s">
        <v>18</v>
      </c>
    </row>
    <row r="6155" spans="1:24" x14ac:dyDescent="0.25">
      <c r="A6155" s="1" t="str">
        <f t="shared" si="1918"/>
        <v>卡卡杜-凤凰仓</v>
      </c>
      <c r="B6155" s="1" t="str">
        <f>"CK2024101810418"</f>
        <v>CK2024101810418</v>
      </c>
      <c r="C6155" s="1" t="str">
        <f>"DD2024101816497"</f>
        <v>DD2024101816497</v>
      </c>
      <c r="D6155" s="1" t="str">
        <f>"CK202410189925"</f>
        <v>CK202410189925</v>
      </c>
      <c r="E6155" s="1" t="str">
        <f>"6935156092113458856"</f>
        <v>6935156092113458856</v>
      </c>
      <c r="F6155" s="1" t="str">
        <f t="shared" si="1919"/>
        <v>花都四部-凤凰仓</v>
      </c>
      <c r="G6155" s="1" t="str">
        <f t="shared" si="1914"/>
        <v>卡卡杜个人护理店（抖店）</v>
      </c>
      <c r="H6155" s="1" t="str">
        <f t="shared" si="1920"/>
        <v>正常订单</v>
      </c>
      <c r="I6155" s="1" t="str">
        <f t="shared" si="1921"/>
        <v>已发货</v>
      </c>
      <c r="J6155" s="1" t="str">
        <f t="shared" si="1916"/>
        <v>3</v>
      </c>
      <c r="K6155" s="1">
        <v>3</v>
      </c>
      <c r="L6155" s="1" t="s">
        <v>218</v>
      </c>
      <c r="M6155" s="1" t="str">
        <f>"天津 天津市 静海区 独流镇"</f>
        <v>天津 天津市 静海区 独流镇</v>
      </c>
      <c r="N6155" s="1" t="str">
        <f t="shared" si="1912"/>
        <v>凡华云仓-韵达-抖音</v>
      </c>
      <c r="O6155" s="5">
        <v>320177478446514</v>
      </c>
      <c r="P6155" s="6">
        <v>0.34</v>
      </c>
      <c r="Q6155" s="11">
        <v>2.2999999999999998</v>
      </c>
      <c r="R6155" s="11"/>
      <c r="S6155" s="11"/>
      <c r="T6155" s="11"/>
      <c r="U6155" s="11">
        <f t="shared" si="1917"/>
        <v>2.2999999999999998</v>
      </c>
      <c r="W6155">
        <v>2.5</v>
      </c>
      <c r="X6155" s="1" t="s">
        <v>218</v>
      </c>
    </row>
    <row r="6156" spans="1:24" x14ac:dyDescent="0.25">
      <c r="A6156" s="1" t="str">
        <f t="shared" si="1918"/>
        <v>卡卡杜-凤凰仓</v>
      </c>
      <c r="B6156" s="1" t="str">
        <f>"CK2024101810419"</f>
        <v>CK2024101810419</v>
      </c>
      <c r="C6156" s="1" t="str">
        <f>"DD2024101816499"</f>
        <v>DD2024101816499</v>
      </c>
      <c r="D6156" s="1" t="str">
        <f>"CK202410189924"</f>
        <v>CK202410189924</v>
      </c>
      <c r="E6156" s="1" t="str">
        <f>"6935151661043226519"</f>
        <v>6935151661043226519</v>
      </c>
      <c r="F6156" s="1" t="str">
        <f t="shared" si="1919"/>
        <v>花都四部-凤凰仓</v>
      </c>
      <c r="G6156" s="1" t="str">
        <f t="shared" si="1914"/>
        <v>卡卡杜个人护理店（抖店）</v>
      </c>
      <c r="H6156" s="1" t="str">
        <f t="shared" si="1920"/>
        <v>正常订单</v>
      </c>
      <c r="I6156" s="1" t="str">
        <f t="shared" si="1921"/>
        <v>已发货</v>
      </c>
      <c r="J6156" s="1" t="str">
        <f t="shared" si="1916"/>
        <v>3</v>
      </c>
      <c r="K6156" s="1">
        <v>3</v>
      </c>
      <c r="L6156" s="1" t="s">
        <v>187</v>
      </c>
      <c r="M6156" s="1" t="str">
        <f>"吉林省 长春市 宽城区 "</f>
        <v xml:space="preserve">吉林省 长春市 宽城区 </v>
      </c>
      <c r="N6156" s="1" t="str">
        <f t="shared" si="1912"/>
        <v>凡华云仓-韵达-抖音</v>
      </c>
      <c r="O6156" s="5">
        <v>320177478446417</v>
      </c>
      <c r="P6156" s="6">
        <v>0.34</v>
      </c>
      <c r="Q6156" s="11">
        <v>2.2999999999999998</v>
      </c>
      <c r="R6156" s="11"/>
      <c r="S6156" s="11"/>
      <c r="T6156" s="11"/>
      <c r="U6156" s="11">
        <f t="shared" si="1917"/>
        <v>2.2999999999999998</v>
      </c>
      <c r="W6156">
        <v>2.5</v>
      </c>
      <c r="X6156" s="1" t="s">
        <v>187</v>
      </c>
    </row>
    <row r="6157" spans="1:24" x14ac:dyDescent="0.25">
      <c r="A6157" s="1" t="str">
        <f t="shared" si="1918"/>
        <v>卡卡杜-凤凰仓</v>
      </c>
      <c r="B6157" s="1" t="str">
        <f>"CK2024101810421"</f>
        <v>CK2024101810421</v>
      </c>
      <c r="C6157" s="1" t="str">
        <f>"DD2024101816500"</f>
        <v>DD2024101816500</v>
      </c>
      <c r="D6157" s="1" t="str">
        <f>"CK202410189923"</f>
        <v>CK202410189923</v>
      </c>
      <c r="E6157" s="1" t="str">
        <f>"6935158341014656549"</f>
        <v>6935158341014656549</v>
      </c>
      <c r="F6157" s="1" t="str">
        <f t="shared" si="1919"/>
        <v>花都四部-凤凰仓</v>
      </c>
      <c r="G6157" s="1" t="str">
        <f t="shared" si="1914"/>
        <v>卡卡杜个人护理店（抖店）</v>
      </c>
      <c r="H6157" s="1" t="str">
        <f t="shared" si="1920"/>
        <v>正常订单</v>
      </c>
      <c r="I6157" s="1" t="str">
        <f t="shared" si="1921"/>
        <v>已发货</v>
      </c>
      <c r="J6157" s="1" t="str">
        <f t="shared" si="1916"/>
        <v>3</v>
      </c>
      <c r="K6157" s="1">
        <v>3</v>
      </c>
      <c r="L6157" s="1" t="s">
        <v>16</v>
      </c>
      <c r="M6157" s="1" t="str">
        <f>"河北省 邢台市 广宗县 北塘疃乡"</f>
        <v>河北省 邢台市 广宗县 北塘疃乡</v>
      </c>
      <c r="N6157" s="1" t="str">
        <f t="shared" si="1912"/>
        <v>凡华云仓-韵达-抖音</v>
      </c>
      <c r="O6157" s="5">
        <v>320177471522463</v>
      </c>
      <c r="P6157" s="6">
        <v>0.34</v>
      </c>
      <c r="Q6157" s="11">
        <v>2.2999999999999998</v>
      </c>
      <c r="R6157" s="11"/>
      <c r="S6157" s="11"/>
      <c r="T6157" s="11"/>
      <c r="U6157" s="11">
        <f t="shared" si="1917"/>
        <v>2.2999999999999998</v>
      </c>
      <c r="W6157">
        <v>2.5</v>
      </c>
      <c r="X6157" s="1" t="s">
        <v>16</v>
      </c>
    </row>
    <row r="6158" spans="1:24" x14ac:dyDescent="0.25">
      <c r="A6158" s="1" t="str">
        <f t="shared" si="1918"/>
        <v>卡卡杜-凤凰仓</v>
      </c>
      <c r="B6158" s="1" t="str">
        <f>"CK2024101810422"</f>
        <v>CK2024101810422</v>
      </c>
      <c r="C6158" s="1" t="str">
        <f>"DD2024101816501"</f>
        <v>DD2024101816501</v>
      </c>
      <c r="D6158" s="1" t="str">
        <f>"CK202410189922"</f>
        <v>CK202410189922</v>
      </c>
      <c r="E6158" s="1" t="str">
        <f>"6935158399596435085"</f>
        <v>6935158399596435085</v>
      </c>
      <c r="F6158" s="1" t="str">
        <f t="shared" si="1919"/>
        <v>花都四部-凤凰仓</v>
      </c>
      <c r="G6158" s="1" t="str">
        <f t="shared" si="1914"/>
        <v>卡卡杜个人护理店（抖店）</v>
      </c>
      <c r="H6158" s="1" t="str">
        <f t="shared" si="1920"/>
        <v>正常订单</v>
      </c>
      <c r="I6158" s="1" t="str">
        <f t="shared" si="1921"/>
        <v>已发货</v>
      </c>
      <c r="J6158" s="1" t="str">
        <f t="shared" si="1916"/>
        <v>3</v>
      </c>
      <c r="K6158" s="1">
        <v>3</v>
      </c>
      <c r="L6158" s="1" t="s">
        <v>105</v>
      </c>
      <c r="M6158" s="1" t="str">
        <f>"北京 北京市 通州区 永顺地区"</f>
        <v>北京 北京市 通州区 永顺地区</v>
      </c>
      <c r="N6158" s="1" t="str">
        <f t="shared" si="1912"/>
        <v>凡华云仓-韵达-抖音</v>
      </c>
      <c r="O6158" s="5">
        <v>320177471522368</v>
      </c>
      <c r="P6158" s="6">
        <v>0.34</v>
      </c>
      <c r="Q6158" s="11">
        <v>2.2999999999999998</v>
      </c>
      <c r="R6158" s="11"/>
      <c r="S6158" s="11"/>
      <c r="T6158" s="11"/>
      <c r="U6158" s="11">
        <f t="shared" si="1917"/>
        <v>2.2999999999999998</v>
      </c>
      <c r="W6158">
        <v>2.5</v>
      </c>
      <c r="X6158" s="1" t="s">
        <v>105</v>
      </c>
    </row>
    <row r="6159" spans="1:24" x14ac:dyDescent="0.25">
      <c r="A6159" s="1" t="str">
        <f t="shared" si="1918"/>
        <v>卡卡杜-凤凰仓</v>
      </c>
      <c r="B6159" s="1" t="str">
        <f>"CK2024101810423"</f>
        <v>CK2024101810423</v>
      </c>
      <c r="C6159" s="1" t="str">
        <f>"DD2024101816502"</f>
        <v>DD2024101816502</v>
      </c>
      <c r="D6159" s="1" t="str">
        <f>"CK202410189921"</f>
        <v>CK202410189921</v>
      </c>
      <c r="E6159" s="1" t="str">
        <f>"6935169872163640621"</f>
        <v>6935169872163640621</v>
      </c>
      <c r="F6159" s="1" t="str">
        <f t="shared" si="1919"/>
        <v>花都四部-凤凰仓</v>
      </c>
      <c r="G6159" s="1" t="str">
        <f t="shared" si="1914"/>
        <v>卡卡杜个人护理店（抖店）</v>
      </c>
      <c r="H6159" s="1" t="str">
        <f t="shared" si="1920"/>
        <v>正常订单</v>
      </c>
      <c r="I6159" s="1" t="str">
        <f t="shared" si="1921"/>
        <v>已发货</v>
      </c>
      <c r="J6159" s="1" t="str">
        <f t="shared" si="1916"/>
        <v>3</v>
      </c>
      <c r="K6159" s="1">
        <v>3</v>
      </c>
      <c r="L6159" s="1" t="s">
        <v>161</v>
      </c>
      <c r="M6159" s="1" t="str">
        <f>"四川省 遂宁市 大英县 盐井街道"</f>
        <v>四川省 遂宁市 大英县 盐井街道</v>
      </c>
      <c r="N6159" s="1" t="str">
        <f t="shared" si="1912"/>
        <v>凡华云仓-韵达-抖音</v>
      </c>
      <c r="O6159" s="5">
        <v>320177471522275</v>
      </c>
      <c r="P6159" s="6">
        <v>0.34</v>
      </c>
      <c r="Q6159" s="11">
        <v>2.2999999999999998</v>
      </c>
      <c r="R6159" s="11"/>
      <c r="S6159" s="11"/>
      <c r="T6159" s="11"/>
      <c r="U6159" s="11">
        <f t="shared" si="1917"/>
        <v>2.2999999999999998</v>
      </c>
      <c r="W6159">
        <v>2.5</v>
      </c>
      <c r="X6159" s="1" t="s">
        <v>161</v>
      </c>
    </row>
    <row r="6160" spans="1:24" x14ac:dyDescent="0.25">
      <c r="A6160" s="1" t="str">
        <f t="shared" si="1918"/>
        <v>卡卡杜-凤凰仓</v>
      </c>
      <c r="B6160" s="1" t="str">
        <f>"CK2024101810425"</f>
        <v>CK2024101810425</v>
      </c>
      <c r="C6160" s="1" t="str">
        <f>"DD2024101816504"</f>
        <v>DD2024101816504</v>
      </c>
      <c r="D6160" s="1" t="str">
        <f>"CK202410189920"</f>
        <v>CK202410189920</v>
      </c>
      <c r="E6160" s="1" t="str">
        <f>"6935147388217267393"</f>
        <v>6935147388217267393</v>
      </c>
      <c r="F6160" s="1" t="str">
        <f t="shared" si="1919"/>
        <v>花都四部-凤凰仓</v>
      </c>
      <c r="G6160" s="1" t="str">
        <f t="shared" si="1914"/>
        <v>卡卡杜个人护理店（抖店）</v>
      </c>
      <c r="H6160" s="1" t="str">
        <f t="shared" si="1920"/>
        <v>正常订单</v>
      </c>
      <c r="I6160" s="1" t="str">
        <f t="shared" si="1921"/>
        <v>已发货</v>
      </c>
      <c r="J6160" s="1" t="str">
        <f>"6"</f>
        <v>6</v>
      </c>
      <c r="K6160" s="1">
        <v>3</v>
      </c>
      <c r="L6160" s="1" t="s">
        <v>92</v>
      </c>
      <c r="M6160" s="1" t="str">
        <f>"辽宁省 葫芦岛市 龙港区 双龙街道"</f>
        <v>辽宁省 葫芦岛市 龙港区 双龙街道</v>
      </c>
      <c r="N6160" s="1" t="str">
        <f t="shared" si="1912"/>
        <v>凡华云仓-韵达-抖音</v>
      </c>
      <c r="O6160" s="5">
        <v>320177471522184</v>
      </c>
      <c r="P6160" s="6">
        <v>0.55000000000000004</v>
      </c>
      <c r="Q6160" s="11">
        <f>CEILING(P6160-0.5,0.1)*10*0.15+2.3</f>
        <v>2.4499999999999997</v>
      </c>
      <c r="R6160" s="11"/>
      <c r="S6160" s="11"/>
      <c r="T6160" s="11"/>
      <c r="U6160" s="11">
        <f t="shared" si="1917"/>
        <v>2.4499999999999997</v>
      </c>
      <c r="V6160" t="s">
        <v>15</v>
      </c>
      <c r="W6160">
        <v>2.4500000000000002</v>
      </c>
      <c r="X6160" s="1" t="s">
        <v>92</v>
      </c>
    </row>
    <row r="6161" spans="1:24" x14ac:dyDescent="0.25">
      <c r="A6161" s="1" t="str">
        <f t="shared" si="1918"/>
        <v>卡卡杜-凤凰仓</v>
      </c>
      <c r="B6161" s="1" t="str">
        <f>"CK2024101810427"</f>
        <v>CK2024101810427</v>
      </c>
      <c r="C6161" s="1" t="str">
        <f>"DD2024101816505"</f>
        <v>DD2024101816505</v>
      </c>
      <c r="D6161" s="1" t="str">
        <f>"CK202410189919"</f>
        <v>CK202410189919</v>
      </c>
      <c r="E6161" s="1" t="str">
        <f>"6935162854647862935"</f>
        <v>6935162854647862935</v>
      </c>
      <c r="F6161" s="1" t="str">
        <f t="shared" si="1919"/>
        <v>花都四部-凤凰仓</v>
      </c>
      <c r="G6161" s="1" t="str">
        <f t="shared" si="1914"/>
        <v>卡卡杜个人护理店（抖店）</v>
      </c>
      <c r="H6161" s="1" t="str">
        <f t="shared" si="1920"/>
        <v>正常订单</v>
      </c>
      <c r="I6161" s="1" t="str">
        <f t="shared" si="1921"/>
        <v>已发货</v>
      </c>
      <c r="J6161" s="1" t="str">
        <f t="shared" ref="J6161:J6211" si="1922">"3"</f>
        <v>3</v>
      </c>
      <c r="K6161" s="1">
        <v>3</v>
      </c>
      <c r="L6161" s="1" t="s">
        <v>27</v>
      </c>
      <c r="M6161" s="1" t="str">
        <f>"贵州省 黔西南布依族苗族自治州 兴义市 桔山街道"</f>
        <v>贵州省 黔西南布依族苗族自治州 兴义市 桔山街道</v>
      </c>
      <c r="N6161" s="1" t="str">
        <f t="shared" si="1912"/>
        <v>凡华云仓-韵达-抖音</v>
      </c>
      <c r="O6161" s="5">
        <v>320177471522095</v>
      </c>
      <c r="P6161" s="6">
        <v>0.34</v>
      </c>
      <c r="Q6161" s="11">
        <v>2.2999999999999998</v>
      </c>
      <c r="R6161" s="11"/>
      <c r="S6161" s="11"/>
      <c r="T6161" s="11"/>
      <c r="U6161" s="11">
        <f t="shared" si="1917"/>
        <v>2.2999999999999998</v>
      </c>
      <c r="W6161">
        <v>2.5</v>
      </c>
      <c r="X6161" s="1" t="s">
        <v>27</v>
      </c>
    </row>
    <row r="6162" spans="1:24" x14ac:dyDescent="0.25">
      <c r="A6162" s="1" t="str">
        <f t="shared" si="1918"/>
        <v>卡卡杜-凤凰仓</v>
      </c>
      <c r="B6162" s="1" t="str">
        <f>"CK2024101810426"</f>
        <v>CK2024101810426</v>
      </c>
      <c r="C6162" s="1" t="str">
        <f>"DD2024101816506"</f>
        <v>DD2024101816506</v>
      </c>
      <c r="D6162" s="1" t="str">
        <f>"CK202410189918"</f>
        <v>CK202410189918</v>
      </c>
      <c r="E6162" s="1" t="str">
        <f>"6935149902534874381"</f>
        <v>6935149902534874381</v>
      </c>
      <c r="F6162" s="1" t="str">
        <f t="shared" si="1919"/>
        <v>花都四部-凤凰仓</v>
      </c>
      <c r="G6162" s="1" t="str">
        <f t="shared" si="1914"/>
        <v>卡卡杜个人护理店（抖店）</v>
      </c>
      <c r="H6162" s="1" t="str">
        <f t="shared" si="1920"/>
        <v>正常订单</v>
      </c>
      <c r="I6162" s="1" t="str">
        <f t="shared" si="1921"/>
        <v>已发货</v>
      </c>
      <c r="J6162" s="1" t="str">
        <f t="shared" si="1922"/>
        <v>3</v>
      </c>
      <c r="K6162" s="1">
        <v>3</v>
      </c>
      <c r="L6162" s="1" t="s">
        <v>30</v>
      </c>
      <c r="M6162" s="1" t="str">
        <f>"山东省 济南市 历下区 舜华路街道"</f>
        <v>山东省 济南市 历下区 舜华路街道</v>
      </c>
      <c r="N6162" s="1" t="str">
        <f t="shared" si="1912"/>
        <v>凡华云仓-韵达-抖音</v>
      </c>
      <c r="O6162" s="5">
        <v>320177471521977</v>
      </c>
      <c r="P6162" s="6">
        <v>0.34</v>
      </c>
      <c r="Q6162" s="11">
        <v>2.2999999999999998</v>
      </c>
      <c r="R6162" s="11"/>
      <c r="S6162" s="11"/>
      <c r="T6162" s="11"/>
      <c r="U6162" s="11">
        <f t="shared" si="1917"/>
        <v>2.2999999999999998</v>
      </c>
      <c r="W6162">
        <v>2.5</v>
      </c>
      <c r="X6162" s="1" t="s">
        <v>30</v>
      </c>
    </row>
    <row r="6163" spans="1:24" x14ac:dyDescent="0.25">
      <c r="A6163" s="1" t="str">
        <f t="shared" si="1918"/>
        <v>卡卡杜-凤凰仓</v>
      </c>
      <c r="B6163" s="1" t="str">
        <f>"CK2024101810428"</f>
        <v>CK2024101810428</v>
      </c>
      <c r="C6163" s="1" t="str">
        <f>"DD2024101816507"</f>
        <v>DD2024101816507</v>
      </c>
      <c r="D6163" s="1" t="str">
        <f>"CK202410189917"</f>
        <v>CK202410189917</v>
      </c>
      <c r="E6163" s="1" t="str">
        <f>"6935145386394326995"</f>
        <v>6935145386394326995</v>
      </c>
      <c r="F6163" s="1" t="str">
        <f t="shared" si="1919"/>
        <v>花都四部-凤凰仓</v>
      </c>
      <c r="G6163" s="1" t="str">
        <f t="shared" si="1914"/>
        <v>卡卡杜个人护理店（抖店）</v>
      </c>
      <c r="H6163" s="1" t="str">
        <f t="shared" si="1920"/>
        <v>正常订单</v>
      </c>
      <c r="I6163" s="1" t="str">
        <f t="shared" si="1921"/>
        <v>已发货</v>
      </c>
      <c r="J6163" s="1" t="str">
        <f t="shared" si="1922"/>
        <v>3</v>
      </c>
      <c r="K6163" s="1">
        <v>3</v>
      </c>
      <c r="L6163" s="1" t="s">
        <v>161</v>
      </c>
      <c r="M6163" s="1" t="str">
        <f>"四川省 自贡市 沿滩区 卫坪街道"</f>
        <v>四川省 自贡市 沿滩区 卫坪街道</v>
      </c>
      <c r="N6163" s="1" t="str">
        <f t="shared" si="1912"/>
        <v>凡华云仓-韵达-抖音</v>
      </c>
      <c r="O6163" s="5">
        <v>320177471521872</v>
      </c>
      <c r="P6163" s="6">
        <v>0.34</v>
      </c>
      <c r="Q6163" s="11">
        <v>2.2999999999999998</v>
      </c>
      <c r="R6163" s="11"/>
      <c r="S6163" s="11"/>
      <c r="T6163" s="11"/>
      <c r="U6163" s="11">
        <f t="shared" si="1917"/>
        <v>2.2999999999999998</v>
      </c>
      <c r="W6163">
        <v>2.5</v>
      </c>
      <c r="X6163" s="1" t="s">
        <v>161</v>
      </c>
    </row>
    <row r="6164" spans="1:24" x14ac:dyDescent="0.25">
      <c r="A6164" s="1" t="str">
        <f t="shared" si="1918"/>
        <v>卡卡杜-凤凰仓</v>
      </c>
      <c r="B6164" s="1" t="str">
        <f>"CK2024101810429"</f>
        <v>CK2024101810429</v>
      </c>
      <c r="C6164" s="1" t="str">
        <f>"DD2024101816508"</f>
        <v>DD2024101816508</v>
      </c>
      <c r="D6164" s="1" t="str">
        <f>"CK202410189916"</f>
        <v>CK202410189916</v>
      </c>
      <c r="E6164" s="1" t="str">
        <f>"6935172041556497567"</f>
        <v>6935172041556497567</v>
      </c>
      <c r="F6164" s="1" t="str">
        <f t="shared" si="1919"/>
        <v>花都四部-凤凰仓</v>
      </c>
      <c r="G6164" s="1" t="str">
        <f t="shared" si="1914"/>
        <v>卡卡杜个人护理店（抖店）</v>
      </c>
      <c r="H6164" s="1" t="str">
        <f t="shared" si="1920"/>
        <v>正常订单</v>
      </c>
      <c r="I6164" s="1" t="str">
        <f t="shared" si="1921"/>
        <v>已发货</v>
      </c>
      <c r="J6164" s="1" t="str">
        <f t="shared" si="1922"/>
        <v>3</v>
      </c>
      <c r="K6164" s="1">
        <v>3</v>
      </c>
      <c r="L6164" s="1" t="s">
        <v>80</v>
      </c>
      <c r="M6164" s="1" t="str">
        <f>"河南省 漯河市 郾城区 孟庙镇"</f>
        <v>河南省 漯河市 郾城区 孟庙镇</v>
      </c>
      <c r="N6164" s="1" t="str">
        <f t="shared" si="1912"/>
        <v>凡华云仓-韵达-抖音</v>
      </c>
      <c r="O6164" s="5">
        <v>320177471521769</v>
      </c>
      <c r="P6164" s="6">
        <v>0.34</v>
      </c>
      <c r="Q6164" s="11">
        <v>2.2999999999999998</v>
      </c>
      <c r="R6164" s="11"/>
      <c r="S6164" s="11"/>
      <c r="T6164" s="11"/>
      <c r="U6164" s="11">
        <f t="shared" si="1917"/>
        <v>2.2999999999999998</v>
      </c>
      <c r="W6164">
        <v>2.5</v>
      </c>
      <c r="X6164" s="1" t="s">
        <v>80</v>
      </c>
    </row>
    <row r="6165" spans="1:24" x14ac:dyDescent="0.25">
      <c r="A6165" s="1" t="str">
        <f t="shared" si="1918"/>
        <v>卡卡杜-凤凰仓</v>
      </c>
      <c r="B6165" s="1" t="str">
        <f>"CK2024101810435"</f>
        <v>CK2024101810435</v>
      </c>
      <c r="C6165" s="1" t="str">
        <f>"DD2024101816510"</f>
        <v>DD2024101816510</v>
      </c>
      <c r="D6165" s="1" t="str">
        <f>"CK202410189915"</f>
        <v>CK202410189915</v>
      </c>
      <c r="E6165" s="1" t="str">
        <f>"6935169868648420927"</f>
        <v>6935169868648420927</v>
      </c>
      <c r="F6165" s="1" t="str">
        <f t="shared" si="1919"/>
        <v>花都四部-凤凰仓</v>
      </c>
      <c r="G6165" s="1" t="str">
        <f t="shared" si="1914"/>
        <v>卡卡杜个人护理店（抖店）</v>
      </c>
      <c r="H6165" s="1" t="str">
        <f t="shared" si="1920"/>
        <v>正常订单</v>
      </c>
      <c r="I6165" s="1" t="str">
        <f t="shared" si="1921"/>
        <v>已发货</v>
      </c>
      <c r="J6165" s="1" t="str">
        <f t="shared" si="1922"/>
        <v>3</v>
      </c>
      <c r="K6165" s="1">
        <v>3</v>
      </c>
      <c r="L6165" s="1" t="s">
        <v>27</v>
      </c>
      <c r="M6165" s="1" t="str">
        <f>"贵州省 黔东南苗族侗族自治州 镇远县 蕉溪镇"</f>
        <v>贵州省 黔东南苗族侗族自治州 镇远县 蕉溪镇</v>
      </c>
      <c r="N6165" s="1" t="str">
        <f t="shared" si="1912"/>
        <v>凡华云仓-韵达-抖音</v>
      </c>
      <c r="O6165" s="5">
        <v>320177471521668</v>
      </c>
      <c r="P6165" s="6">
        <v>0.34</v>
      </c>
      <c r="Q6165" s="11">
        <v>2.2999999999999998</v>
      </c>
      <c r="R6165" s="11"/>
      <c r="S6165" s="11"/>
      <c r="T6165" s="11"/>
      <c r="U6165" s="11">
        <f t="shared" si="1917"/>
        <v>2.2999999999999998</v>
      </c>
      <c r="W6165">
        <v>2.5</v>
      </c>
      <c r="X6165" s="1" t="s">
        <v>27</v>
      </c>
    </row>
    <row r="6166" spans="1:24" x14ac:dyDescent="0.25">
      <c r="A6166" s="1" t="str">
        <f t="shared" si="1918"/>
        <v>卡卡杜-凤凰仓</v>
      </c>
      <c r="B6166" s="1" t="str">
        <f>"CK2024101810432"</f>
        <v>CK2024101810432</v>
      </c>
      <c r="C6166" s="1" t="str">
        <f>"DD2024101816511"</f>
        <v>DD2024101816511</v>
      </c>
      <c r="D6166" s="1" t="str">
        <f>"CK202410189914"</f>
        <v>CK202410189914</v>
      </c>
      <c r="E6166" s="1" t="str">
        <f>"6935165184770708826"</f>
        <v>6935165184770708826</v>
      </c>
      <c r="F6166" s="1" t="str">
        <f t="shared" si="1919"/>
        <v>花都四部-凤凰仓</v>
      </c>
      <c r="G6166" s="1" t="str">
        <f t="shared" si="1914"/>
        <v>卡卡杜个人护理店（抖店）</v>
      </c>
      <c r="H6166" s="1" t="str">
        <f t="shared" si="1920"/>
        <v>正常订单</v>
      </c>
      <c r="I6166" s="1" t="str">
        <f t="shared" si="1921"/>
        <v>已发货</v>
      </c>
      <c r="J6166" s="1" t="str">
        <f t="shared" si="1922"/>
        <v>3</v>
      </c>
      <c r="K6166" s="1">
        <v>3</v>
      </c>
      <c r="L6166" s="1" t="s">
        <v>80</v>
      </c>
      <c r="M6166" s="1" t="str">
        <f>"河南省 濮阳市 清丰县 城关镇"</f>
        <v>河南省 濮阳市 清丰县 城关镇</v>
      </c>
      <c r="N6166" s="1" t="str">
        <f t="shared" si="1912"/>
        <v>凡华云仓-韵达-抖音</v>
      </c>
      <c r="O6166" s="5">
        <v>320177471521569</v>
      </c>
      <c r="P6166" s="6">
        <v>0.34</v>
      </c>
      <c r="Q6166" s="11">
        <v>2.2999999999999998</v>
      </c>
      <c r="R6166" s="11"/>
      <c r="S6166" s="11"/>
      <c r="T6166" s="11"/>
      <c r="U6166" s="11">
        <f t="shared" si="1917"/>
        <v>2.2999999999999998</v>
      </c>
      <c r="W6166">
        <v>2.5</v>
      </c>
      <c r="X6166" s="1" t="s">
        <v>80</v>
      </c>
    </row>
    <row r="6167" spans="1:24" x14ac:dyDescent="0.25">
      <c r="A6167" s="1" t="str">
        <f t="shared" si="1918"/>
        <v>卡卡杜-凤凰仓</v>
      </c>
      <c r="B6167" s="1" t="str">
        <f>"CK2024101810434"</f>
        <v>CK2024101810434</v>
      </c>
      <c r="C6167" s="1" t="str">
        <f>"DD2024101816512"</f>
        <v>DD2024101816512</v>
      </c>
      <c r="D6167" s="1" t="str">
        <f>"CK202410189913"</f>
        <v>CK202410189913</v>
      </c>
      <c r="E6167" s="1" t="str">
        <f>"6935172030822946500"</f>
        <v>6935172030822946500</v>
      </c>
      <c r="F6167" s="1" t="str">
        <f t="shared" si="1919"/>
        <v>花都四部-凤凰仓</v>
      </c>
      <c r="G6167" s="1" t="str">
        <f t="shared" si="1914"/>
        <v>卡卡杜个人护理店（抖店）</v>
      </c>
      <c r="H6167" s="1" t="str">
        <f t="shared" si="1920"/>
        <v>正常订单</v>
      </c>
      <c r="I6167" s="1" t="str">
        <f t="shared" si="1921"/>
        <v>已发货</v>
      </c>
      <c r="J6167" s="1" t="str">
        <f t="shared" si="1922"/>
        <v>3</v>
      </c>
      <c r="K6167" s="1">
        <v>3</v>
      </c>
      <c r="L6167" s="1" t="s">
        <v>20</v>
      </c>
      <c r="M6167" s="1" t="str">
        <f>"浙江省 湖州市 南浔区 南浔镇"</f>
        <v>浙江省 湖州市 南浔区 南浔镇</v>
      </c>
      <c r="N6167" s="1" t="str">
        <f t="shared" si="1912"/>
        <v>凡华云仓-韵达-抖音</v>
      </c>
      <c r="O6167" s="5">
        <v>320177464930462</v>
      </c>
      <c r="P6167" s="6">
        <v>0.34</v>
      </c>
      <c r="Q6167" s="11">
        <v>2.2999999999999998</v>
      </c>
      <c r="R6167" s="11"/>
      <c r="S6167" s="11"/>
      <c r="T6167" s="11"/>
      <c r="U6167" s="11">
        <f t="shared" si="1917"/>
        <v>2.2999999999999998</v>
      </c>
      <c r="W6167">
        <v>2.5</v>
      </c>
      <c r="X6167" s="1" t="s">
        <v>20</v>
      </c>
    </row>
    <row r="6168" spans="1:24" x14ac:dyDescent="0.25">
      <c r="A6168" s="1" t="str">
        <f t="shared" si="1918"/>
        <v>卡卡杜-凤凰仓</v>
      </c>
      <c r="B6168" s="1" t="str">
        <f>"CK2024101810647"</f>
        <v>CK2024101810647</v>
      </c>
      <c r="C6168" s="1" t="str">
        <f>"DD2024101816735"</f>
        <v>DD2024101816735</v>
      </c>
      <c r="D6168" s="1" t="str">
        <f>"CK202410189912"</f>
        <v>CK202410189912</v>
      </c>
      <c r="E6168" s="1" t="str">
        <f>"6935160987156026529"</f>
        <v>6935160987156026529</v>
      </c>
      <c r="F6168" s="1" t="str">
        <f t="shared" si="1919"/>
        <v>花都四部-凤凰仓</v>
      </c>
      <c r="G6168" s="1" t="str">
        <f t="shared" si="1914"/>
        <v>卡卡杜个人护理店（抖店）</v>
      </c>
      <c r="H6168" s="1" t="str">
        <f t="shared" si="1920"/>
        <v>正常订单</v>
      </c>
      <c r="I6168" s="1" t="str">
        <f t="shared" si="1921"/>
        <v>已发货</v>
      </c>
      <c r="J6168" s="1" t="str">
        <f t="shared" si="1922"/>
        <v>3</v>
      </c>
      <c r="K6168" s="1">
        <v>3</v>
      </c>
      <c r="L6168" s="1" t="s">
        <v>105</v>
      </c>
      <c r="M6168" s="1" t="str">
        <f>"北京 北京市 大兴区 旧宫地区"</f>
        <v>北京 北京市 大兴区 旧宫地区</v>
      </c>
      <c r="N6168" s="1" t="str">
        <f t="shared" si="1912"/>
        <v>凡华云仓-韵达-抖音</v>
      </c>
      <c r="O6168" s="5">
        <v>320177464930367</v>
      </c>
      <c r="P6168" s="6">
        <v>0.34</v>
      </c>
      <c r="Q6168" s="11">
        <v>2.2999999999999998</v>
      </c>
      <c r="R6168" s="11"/>
      <c r="S6168" s="11"/>
      <c r="T6168" s="11"/>
      <c r="U6168" s="11">
        <f t="shared" si="1917"/>
        <v>2.2999999999999998</v>
      </c>
      <c r="W6168">
        <v>2.5</v>
      </c>
      <c r="X6168" s="1" t="s">
        <v>105</v>
      </c>
    </row>
    <row r="6169" spans="1:24" x14ac:dyDescent="0.25">
      <c r="A6169" s="1" t="str">
        <f t="shared" si="1918"/>
        <v>卡卡杜-凤凰仓</v>
      </c>
      <c r="B6169" s="1" t="str">
        <f>"CK2024101810424"</f>
        <v>CK2024101810424</v>
      </c>
      <c r="C6169" s="1" t="str">
        <f>"DD2024101816503"</f>
        <v>DD2024101816503</v>
      </c>
      <c r="D6169" s="1" t="str">
        <f>"CK202410189911"</f>
        <v>CK202410189911</v>
      </c>
      <c r="E6169" s="1" t="str">
        <f>"6935149910459750299"</f>
        <v>6935149910459750299</v>
      </c>
      <c r="F6169" s="1" t="str">
        <f t="shared" si="1919"/>
        <v>花都四部-凤凰仓</v>
      </c>
      <c r="G6169" s="1" t="str">
        <f t="shared" si="1914"/>
        <v>卡卡杜个人护理店（抖店）</v>
      </c>
      <c r="H6169" s="1" t="str">
        <f t="shared" si="1920"/>
        <v>正常订单</v>
      </c>
      <c r="I6169" s="1" t="str">
        <f t="shared" si="1921"/>
        <v>已发货</v>
      </c>
      <c r="J6169" s="1" t="str">
        <f t="shared" si="1922"/>
        <v>3</v>
      </c>
      <c r="K6169" s="1">
        <v>3</v>
      </c>
      <c r="L6169" s="1" t="s">
        <v>16</v>
      </c>
      <c r="M6169" s="1" t="str">
        <f>"河北省 邢台市 沙河市 褡裢街道"</f>
        <v>河北省 邢台市 沙河市 褡裢街道</v>
      </c>
      <c r="N6169" s="1" t="str">
        <f t="shared" si="1912"/>
        <v>凡华云仓-韵达-抖音</v>
      </c>
      <c r="O6169" s="5">
        <v>320177464930274</v>
      </c>
      <c r="P6169" s="6">
        <v>0.34</v>
      </c>
      <c r="Q6169" s="11">
        <v>2.2999999999999998</v>
      </c>
      <c r="R6169" s="11"/>
      <c r="S6169" s="11"/>
      <c r="T6169" s="11"/>
      <c r="U6169" s="11">
        <f t="shared" si="1917"/>
        <v>2.2999999999999998</v>
      </c>
      <c r="W6169">
        <v>2.5</v>
      </c>
      <c r="X6169" s="1" t="s">
        <v>16</v>
      </c>
    </row>
    <row r="6170" spans="1:24" x14ac:dyDescent="0.25">
      <c r="A6170" s="1" t="str">
        <f t="shared" si="1918"/>
        <v>卡卡杜-凤凰仓</v>
      </c>
      <c r="B6170" s="1" t="str">
        <f>"CK2024101810430"</f>
        <v>CK2024101810430</v>
      </c>
      <c r="C6170" s="1" t="str">
        <f>"DD2024101816509"</f>
        <v>DD2024101816509</v>
      </c>
      <c r="D6170" s="1" t="str">
        <f>"CK202410189910"</f>
        <v>CK202410189910</v>
      </c>
      <c r="E6170" s="1" t="str">
        <f>"6935141169735603560"</f>
        <v>6935141169735603560</v>
      </c>
      <c r="F6170" s="1" t="str">
        <f t="shared" si="1919"/>
        <v>花都四部-凤凰仓</v>
      </c>
      <c r="G6170" s="1" t="str">
        <f t="shared" si="1914"/>
        <v>卡卡杜个人护理店（抖店）</v>
      </c>
      <c r="H6170" s="1" t="str">
        <f t="shared" si="1920"/>
        <v>正常订单</v>
      </c>
      <c r="I6170" s="1" t="str">
        <f t="shared" si="1921"/>
        <v>已发货</v>
      </c>
      <c r="J6170" s="1" t="str">
        <f t="shared" si="1922"/>
        <v>3</v>
      </c>
      <c r="K6170" s="1">
        <v>3</v>
      </c>
      <c r="L6170" s="1" t="s">
        <v>22</v>
      </c>
      <c r="M6170" s="1" t="str">
        <f>"江西省 赣州市 会昌县 文武坝镇"</f>
        <v>江西省 赣州市 会昌县 文武坝镇</v>
      </c>
      <c r="N6170" s="1" t="str">
        <f t="shared" si="1912"/>
        <v>凡华云仓-韵达-抖音</v>
      </c>
      <c r="O6170" s="5">
        <v>320177464930183</v>
      </c>
      <c r="P6170" s="6">
        <v>0.34</v>
      </c>
      <c r="Q6170" s="11">
        <v>2.2999999999999998</v>
      </c>
      <c r="R6170" s="11"/>
      <c r="S6170" s="11"/>
      <c r="T6170" s="11"/>
      <c r="U6170" s="11">
        <f t="shared" si="1917"/>
        <v>2.2999999999999998</v>
      </c>
      <c r="W6170">
        <v>2.5</v>
      </c>
      <c r="X6170" s="1" t="s">
        <v>22</v>
      </c>
    </row>
    <row r="6171" spans="1:24" x14ac:dyDescent="0.25">
      <c r="A6171" s="1" t="str">
        <f t="shared" si="1918"/>
        <v>卡卡杜-凤凰仓</v>
      </c>
      <c r="B6171" s="1" t="str">
        <f>"CK2024101810431"</f>
        <v>CK2024101810431</v>
      </c>
      <c r="C6171" s="1" t="str">
        <f>"DD2024101816514"</f>
        <v>DD2024101816514</v>
      </c>
      <c r="D6171" s="1" t="str">
        <f>"CK202410189909"</f>
        <v>CK202410189909</v>
      </c>
      <c r="E6171" s="1" t="str">
        <f>"6935165121018271499"</f>
        <v>6935165121018271499</v>
      </c>
      <c r="F6171" s="1" t="str">
        <f t="shared" si="1919"/>
        <v>花都四部-凤凰仓</v>
      </c>
      <c r="G6171" s="1" t="str">
        <f t="shared" si="1914"/>
        <v>卡卡杜个人护理店（抖店）</v>
      </c>
      <c r="H6171" s="1" t="str">
        <f t="shared" si="1920"/>
        <v>正常订单</v>
      </c>
      <c r="I6171" s="1" t="str">
        <f t="shared" si="1921"/>
        <v>已发货</v>
      </c>
      <c r="J6171" s="1" t="str">
        <f t="shared" si="1922"/>
        <v>3</v>
      </c>
      <c r="K6171" s="1">
        <v>3</v>
      </c>
      <c r="L6171" s="1" t="s">
        <v>80</v>
      </c>
      <c r="M6171" s="1" t="str">
        <f>"河南省 信阳市 商城县 鲇鱼山街道"</f>
        <v>河南省 信阳市 商城县 鲇鱼山街道</v>
      </c>
      <c r="N6171" s="1" t="str">
        <f t="shared" si="1912"/>
        <v>凡华云仓-韵达-抖音</v>
      </c>
      <c r="O6171" s="5">
        <v>320177464930094</v>
      </c>
      <c r="P6171" s="6">
        <v>0.34</v>
      </c>
      <c r="Q6171" s="11">
        <v>2.2999999999999998</v>
      </c>
      <c r="R6171" s="11"/>
      <c r="S6171" s="11"/>
      <c r="T6171" s="11"/>
      <c r="U6171" s="11">
        <f t="shared" si="1917"/>
        <v>2.2999999999999998</v>
      </c>
      <c r="W6171">
        <v>2.5</v>
      </c>
      <c r="X6171" s="1" t="s">
        <v>80</v>
      </c>
    </row>
    <row r="6172" spans="1:24" x14ac:dyDescent="0.25">
      <c r="A6172" s="1" t="str">
        <f t="shared" si="1918"/>
        <v>卡卡杜-凤凰仓</v>
      </c>
      <c r="B6172" s="1" t="str">
        <f>"CK2024101810436"</f>
        <v>CK2024101810436</v>
      </c>
      <c r="C6172" s="1" t="str">
        <f>"DD2024101816515"</f>
        <v>DD2024101816515</v>
      </c>
      <c r="D6172" s="1" t="str">
        <f>"CK202410189908"</f>
        <v>CK202410189908</v>
      </c>
      <c r="E6172" s="1" t="str">
        <f>"6935141069569529703"</f>
        <v>6935141069569529703</v>
      </c>
      <c r="F6172" s="1" t="str">
        <f t="shared" si="1919"/>
        <v>花都四部-凤凰仓</v>
      </c>
      <c r="G6172" s="1" t="str">
        <f t="shared" si="1914"/>
        <v>卡卡杜个人护理店（抖店）</v>
      </c>
      <c r="H6172" s="1" t="str">
        <f t="shared" si="1920"/>
        <v>正常订单</v>
      </c>
      <c r="I6172" s="1" t="str">
        <f t="shared" si="1921"/>
        <v>已发货</v>
      </c>
      <c r="J6172" s="1" t="str">
        <f t="shared" si="1922"/>
        <v>3</v>
      </c>
      <c r="K6172" s="1">
        <v>3</v>
      </c>
      <c r="L6172" s="1" t="s">
        <v>30</v>
      </c>
      <c r="M6172" s="1" t="str">
        <f>"山东省 东营市 河口区 六合街道"</f>
        <v>山东省 东营市 河口区 六合街道</v>
      </c>
      <c r="N6172" s="1" t="str">
        <f t="shared" si="1912"/>
        <v>凡华云仓-韵达-抖音</v>
      </c>
      <c r="O6172" s="5">
        <v>320177464929947</v>
      </c>
      <c r="P6172" s="6">
        <v>0.34</v>
      </c>
      <c r="Q6172" s="11">
        <v>2.2999999999999998</v>
      </c>
      <c r="R6172" s="11"/>
      <c r="S6172" s="11"/>
      <c r="T6172" s="11"/>
      <c r="U6172" s="11">
        <f t="shared" si="1917"/>
        <v>2.2999999999999998</v>
      </c>
      <c r="W6172">
        <v>2.5</v>
      </c>
      <c r="X6172" s="1" t="s">
        <v>30</v>
      </c>
    </row>
    <row r="6173" spans="1:24" x14ac:dyDescent="0.25">
      <c r="A6173" s="1" t="str">
        <f t="shared" si="1918"/>
        <v>卡卡杜-凤凰仓</v>
      </c>
      <c r="B6173" s="1" t="str">
        <f>"CK2024101810437"</f>
        <v>CK2024101810437</v>
      </c>
      <c r="C6173" s="1" t="str">
        <f>"DD2024101816516"</f>
        <v>DD2024101816516</v>
      </c>
      <c r="D6173" s="1" t="str">
        <f>"CK202410189907"</f>
        <v>CK202410189907</v>
      </c>
      <c r="E6173" s="1" t="str">
        <f>"6935158382200427554"</f>
        <v>6935158382200427554</v>
      </c>
      <c r="F6173" s="1" t="str">
        <f t="shared" si="1919"/>
        <v>花都四部-凤凰仓</v>
      </c>
      <c r="G6173" s="1" t="str">
        <f t="shared" si="1914"/>
        <v>卡卡杜个人护理店（抖店）</v>
      </c>
      <c r="H6173" s="1" t="str">
        <f t="shared" si="1920"/>
        <v>正常订单</v>
      </c>
      <c r="I6173" s="1" t="str">
        <f t="shared" si="1921"/>
        <v>已发货</v>
      </c>
      <c r="J6173" s="1" t="str">
        <f t="shared" si="1922"/>
        <v>3</v>
      </c>
      <c r="K6173" s="1">
        <v>3</v>
      </c>
      <c r="L6173" s="1" t="s">
        <v>161</v>
      </c>
      <c r="M6173" s="1" t="str">
        <f>"四川省 成都市 龙泉驿区 龙泉街道"</f>
        <v>四川省 成都市 龙泉驿区 龙泉街道</v>
      </c>
      <c r="N6173" s="1" t="str">
        <f t="shared" si="1912"/>
        <v>凡华云仓-韵达-抖音</v>
      </c>
      <c r="O6173" s="5">
        <v>320177464929842</v>
      </c>
      <c r="P6173" s="6">
        <v>0.34</v>
      </c>
      <c r="Q6173" s="11">
        <v>2.2999999999999998</v>
      </c>
      <c r="R6173" s="11"/>
      <c r="S6173" s="11"/>
      <c r="T6173" s="11"/>
      <c r="U6173" s="11">
        <f t="shared" si="1917"/>
        <v>2.2999999999999998</v>
      </c>
      <c r="W6173">
        <v>2.5</v>
      </c>
      <c r="X6173" s="1" t="s">
        <v>161</v>
      </c>
    </row>
    <row r="6174" spans="1:24" x14ac:dyDescent="0.25">
      <c r="A6174" s="1" t="str">
        <f t="shared" si="1918"/>
        <v>卡卡杜-凤凰仓</v>
      </c>
      <c r="B6174" s="1" t="str">
        <f>"CK2024101810440"</f>
        <v>CK2024101810440</v>
      </c>
      <c r="C6174" s="1" t="str">
        <f>"DD2024101816517"</f>
        <v>DD2024101816517</v>
      </c>
      <c r="D6174" s="1" t="str">
        <f>"CK202410189906"</f>
        <v>CK202410189906</v>
      </c>
      <c r="E6174" s="1" t="str">
        <f>"6935160966844192108"</f>
        <v>6935160966844192108</v>
      </c>
      <c r="F6174" s="1" t="str">
        <f t="shared" si="1919"/>
        <v>花都四部-凤凰仓</v>
      </c>
      <c r="G6174" s="1" t="str">
        <f t="shared" si="1914"/>
        <v>卡卡杜个人护理店（抖店）</v>
      </c>
      <c r="H6174" s="1" t="str">
        <f t="shared" si="1920"/>
        <v>正常订单</v>
      </c>
      <c r="I6174" s="1" t="str">
        <f t="shared" si="1921"/>
        <v>已发货</v>
      </c>
      <c r="J6174" s="1" t="str">
        <f t="shared" si="1922"/>
        <v>3</v>
      </c>
      <c r="K6174" s="1">
        <v>3</v>
      </c>
      <c r="L6174" s="1" t="s">
        <v>36</v>
      </c>
      <c r="M6174" s="1" t="str">
        <f>"安徽省 合肥市 蜀山区 临湖社区管理委员会街道"</f>
        <v>安徽省 合肥市 蜀山区 临湖社区管理委员会街道</v>
      </c>
      <c r="N6174" s="1" t="str">
        <f t="shared" si="1912"/>
        <v>凡华云仓-韵达-抖音</v>
      </c>
      <c r="O6174" s="5">
        <v>320177464929739</v>
      </c>
      <c r="P6174" s="6">
        <v>0.34</v>
      </c>
      <c r="Q6174" s="11">
        <v>2.2999999999999998</v>
      </c>
      <c r="R6174" s="11"/>
      <c r="S6174" s="11"/>
      <c r="T6174" s="11"/>
      <c r="U6174" s="11">
        <f t="shared" si="1917"/>
        <v>2.2999999999999998</v>
      </c>
      <c r="W6174">
        <v>2.5</v>
      </c>
      <c r="X6174" s="1" t="s">
        <v>36</v>
      </c>
    </row>
    <row r="6175" spans="1:24" x14ac:dyDescent="0.25">
      <c r="A6175" s="1" t="str">
        <f t="shared" si="1918"/>
        <v>卡卡杜-凤凰仓</v>
      </c>
      <c r="B6175" s="1" t="str">
        <f>"CK2024101810439"</f>
        <v>CK2024101810439</v>
      </c>
      <c r="C6175" s="1" t="str">
        <f>"DD2024101816518"</f>
        <v>DD2024101816518</v>
      </c>
      <c r="D6175" s="1" t="str">
        <f>"CK202410189905"</f>
        <v>CK202410189905</v>
      </c>
      <c r="E6175" s="1" t="str">
        <f>"6935153877972621038"</f>
        <v>6935153877972621038</v>
      </c>
      <c r="F6175" s="1" t="str">
        <f t="shared" si="1919"/>
        <v>花都四部-凤凰仓</v>
      </c>
      <c r="G6175" s="1" t="str">
        <f t="shared" si="1914"/>
        <v>卡卡杜个人护理店（抖店）</v>
      </c>
      <c r="H6175" s="1" t="str">
        <f t="shared" si="1920"/>
        <v>正常订单</v>
      </c>
      <c r="I6175" s="1" t="str">
        <f t="shared" si="1921"/>
        <v>已发货</v>
      </c>
      <c r="J6175" s="1" t="str">
        <f t="shared" si="1922"/>
        <v>3</v>
      </c>
      <c r="K6175" s="1">
        <v>3</v>
      </c>
      <c r="L6175" s="1" t="s">
        <v>30</v>
      </c>
      <c r="M6175" s="1" t="str">
        <f>"山东省 济宁市 兖州区 新兖镇"</f>
        <v>山东省 济宁市 兖州区 新兖镇</v>
      </c>
      <c r="N6175" s="1" t="str">
        <f t="shared" si="1912"/>
        <v>凡华云仓-韵达-抖音</v>
      </c>
      <c r="O6175" s="5">
        <v>320177464929638</v>
      </c>
      <c r="P6175" s="6">
        <v>0.34</v>
      </c>
      <c r="Q6175" s="11">
        <v>2.2999999999999998</v>
      </c>
      <c r="R6175" s="11"/>
      <c r="S6175" s="11"/>
      <c r="T6175" s="11"/>
      <c r="U6175" s="11">
        <f t="shared" si="1917"/>
        <v>2.2999999999999998</v>
      </c>
      <c r="W6175">
        <v>2.5</v>
      </c>
      <c r="X6175" s="1" t="s">
        <v>30</v>
      </c>
    </row>
    <row r="6176" spans="1:24" x14ac:dyDescent="0.25">
      <c r="A6176" s="1" t="str">
        <f t="shared" si="1918"/>
        <v>卡卡杜-凤凰仓</v>
      </c>
      <c r="B6176" s="1" t="str">
        <f>"CK2024101810438"</f>
        <v>CK2024101810438</v>
      </c>
      <c r="C6176" s="1" t="str">
        <f>"DD2024101816519"</f>
        <v>DD2024101816519</v>
      </c>
      <c r="D6176" s="1" t="str">
        <f>"CK202410189904"</f>
        <v>CK202410189904</v>
      </c>
      <c r="E6176" s="1" t="str">
        <f>"6935156189579515347"</f>
        <v>6935156189579515347</v>
      </c>
      <c r="F6176" s="1" t="str">
        <f t="shared" si="1919"/>
        <v>花都四部-凤凰仓</v>
      </c>
      <c r="G6176" s="1" t="str">
        <f t="shared" si="1914"/>
        <v>卡卡杜个人护理店（抖店）</v>
      </c>
      <c r="H6176" s="1" t="str">
        <f t="shared" si="1920"/>
        <v>正常订单</v>
      </c>
      <c r="I6176" s="1" t="str">
        <f t="shared" si="1921"/>
        <v>已发货</v>
      </c>
      <c r="J6176" s="1" t="str">
        <f t="shared" si="1922"/>
        <v>3</v>
      </c>
      <c r="K6176" s="1">
        <v>3</v>
      </c>
      <c r="L6176" s="1" t="s">
        <v>105</v>
      </c>
      <c r="M6176" s="1" t="str">
        <f>"北京 北京市 海淀区 温泉地区"</f>
        <v>北京 北京市 海淀区 温泉地区</v>
      </c>
      <c r="N6176" s="1" t="str">
        <f t="shared" si="1912"/>
        <v>凡华云仓-韵达-抖音</v>
      </c>
      <c r="O6176" s="5">
        <v>320177464929539</v>
      </c>
      <c r="P6176" s="6">
        <v>0.34</v>
      </c>
      <c r="Q6176" s="11">
        <v>2.2999999999999998</v>
      </c>
      <c r="R6176" s="11"/>
      <c r="S6176" s="11"/>
      <c r="T6176" s="11"/>
      <c r="U6176" s="11">
        <f t="shared" si="1917"/>
        <v>2.2999999999999998</v>
      </c>
      <c r="W6176">
        <v>2.5</v>
      </c>
      <c r="X6176" s="1" t="s">
        <v>105</v>
      </c>
    </row>
    <row r="6177" spans="1:24" x14ac:dyDescent="0.25">
      <c r="A6177" s="1" t="str">
        <f t="shared" si="1918"/>
        <v>卡卡杜-凤凰仓</v>
      </c>
      <c r="B6177" s="1" t="str">
        <f>"CK2024101810441"</f>
        <v>CK2024101810441</v>
      </c>
      <c r="C6177" s="1" t="str">
        <f>"DD2024101816520"</f>
        <v>DD2024101816520</v>
      </c>
      <c r="D6177" s="1" t="str">
        <f>"CK202410189903"</f>
        <v>CK202410189903</v>
      </c>
      <c r="E6177" s="1" t="str">
        <f>"6935156101369763766"</f>
        <v>6935156101369763766</v>
      </c>
      <c r="F6177" s="1" t="str">
        <f t="shared" si="1919"/>
        <v>花都四部-凤凰仓</v>
      </c>
      <c r="G6177" s="1" t="str">
        <f t="shared" si="1914"/>
        <v>卡卡杜个人护理店（抖店）</v>
      </c>
      <c r="H6177" s="1" t="str">
        <f t="shared" si="1920"/>
        <v>正常订单</v>
      </c>
      <c r="I6177" s="1" t="str">
        <f t="shared" si="1921"/>
        <v>已发货</v>
      </c>
      <c r="J6177" s="1" t="str">
        <f t="shared" si="1922"/>
        <v>3</v>
      </c>
      <c r="K6177" s="1">
        <v>3</v>
      </c>
      <c r="L6177" s="1" t="s">
        <v>27</v>
      </c>
      <c r="M6177" s="1" t="str">
        <f>"贵州省 贵阳市 观山湖区 宾阳街道"</f>
        <v>贵州省 贵阳市 观山湖区 宾阳街道</v>
      </c>
      <c r="N6177" s="1" t="str">
        <f t="shared" ref="N6177:N6240" si="1923">"凡华云仓-韵达-抖音"</f>
        <v>凡华云仓-韵达-抖音</v>
      </c>
      <c r="O6177" s="5">
        <v>320177475492835</v>
      </c>
      <c r="P6177" s="6">
        <v>0.34</v>
      </c>
      <c r="Q6177" s="11">
        <v>2.2999999999999998</v>
      </c>
      <c r="R6177" s="11"/>
      <c r="S6177" s="11"/>
      <c r="T6177" s="11"/>
      <c r="U6177" s="11">
        <f t="shared" si="1917"/>
        <v>2.2999999999999998</v>
      </c>
      <c r="W6177">
        <v>2.5</v>
      </c>
      <c r="X6177" s="1" t="s">
        <v>27</v>
      </c>
    </row>
    <row r="6178" spans="1:24" x14ac:dyDescent="0.25">
      <c r="A6178" s="1" t="str">
        <f t="shared" si="1918"/>
        <v>卡卡杜-凤凰仓</v>
      </c>
      <c r="B6178" s="1" t="str">
        <f>"CK2024101810442"</f>
        <v>CK2024101810442</v>
      </c>
      <c r="C6178" s="1" t="str">
        <f>"DD2024101816522"</f>
        <v>DD2024101816522</v>
      </c>
      <c r="D6178" s="1" t="str">
        <f>"CK202410189902"</f>
        <v>CK202410189902</v>
      </c>
      <c r="E6178" s="1" t="str">
        <f>"6935149853734803371"</f>
        <v>6935149853734803371</v>
      </c>
      <c r="F6178" s="1" t="str">
        <f t="shared" si="1919"/>
        <v>花都四部-凤凰仓</v>
      </c>
      <c r="G6178" s="1" t="str">
        <f t="shared" si="1914"/>
        <v>卡卡杜个人护理店（抖店）</v>
      </c>
      <c r="H6178" s="1" t="str">
        <f t="shared" si="1920"/>
        <v>正常订单</v>
      </c>
      <c r="I6178" s="1" t="str">
        <f t="shared" si="1921"/>
        <v>已发货</v>
      </c>
      <c r="J6178" s="1" t="str">
        <f t="shared" si="1922"/>
        <v>3</v>
      </c>
      <c r="K6178" s="1">
        <v>3</v>
      </c>
      <c r="L6178" s="1" t="s">
        <v>109</v>
      </c>
      <c r="M6178" s="1" t="str">
        <f>"山西省 晋城市 阳城县 凤城镇"</f>
        <v>山西省 晋城市 阳城县 凤城镇</v>
      </c>
      <c r="N6178" s="1" t="str">
        <f t="shared" si="1923"/>
        <v>凡华云仓-韵达-抖音</v>
      </c>
      <c r="O6178" s="5">
        <v>320177475492732</v>
      </c>
      <c r="P6178" s="6">
        <v>0.34</v>
      </c>
      <c r="Q6178" s="11">
        <v>2.2999999999999998</v>
      </c>
      <c r="R6178" s="11"/>
      <c r="S6178" s="11"/>
      <c r="T6178" s="11"/>
      <c r="U6178" s="11">
        <f t="shared" si="1917"/>
        <v>2.2999999999999998</v>
      </c>
      <c r="W6178">
        <v>2.5</v>
      </c>
      <c r="X6178" s="1" t="s">
        <v>109</v>
      </c>
    </row>
    <row r="6179" spans="1:24" x14ac:dyDescent="0.25">
      <c r="A6179" s="1" t="str">
        <f t="shared" si="1918"/>
        <v>卡卡杜-凤凰仓</v>
      </c>
      <c r="B6179" s="1" t="str">
        <f>"CK2024101810444"</f>
        <v>CK2024101810444</v>
      </c>
      <c r="C6179" s="1" t="str">
        <f>"DD2024101816523"</f>
        <v>DD2024101816523</v>
      </c>
      <c r="D6179" s="1" t="str">
        <f>"CK202410189901"</f>
        <v>CK202410189901</v>
      </c>
      <c r="E6179" s="1" t="str">
        <f>"6935160949559923880"</f>
        <v>6935160949559923880</v>
      </c>
      <c r="F6179" s="1" t="str">
        <f t="shared" si="1919"/>
        <v>花都四部-凤凰仓</v>
      </c>
      <c r="G6179" s="1" t="str">
        <f t="shared" si="1914"/>
        <v>卡卡杜个人护理店（抖店）</v>
      </c>
      <c r="H6179" s="1" t="str">
        <f t="shared" si="1920"/>
        <v>正常订单</v>
      </c>
      <c r="I6179" s="1" t="str">
        <f t="shared" si="1921"/>
        <v>已发货</v>
      </c>
      <c r="J6179" s="1" t="str">
        <f t="shared" si="1922"/>
        <v>3</v>
      </c>
      <c r="K6179" s="1">
        <v>3</v>
      </c>
      <c r="L6179" s="1" t="s">
        <v>80</v>
      </c>
      <c r="M6179" s="1" t="str">
        <f>"河南省 新乡市 辉县市 城关街道"</f>
        <v>河南省 新乡市 辉县市 城关街道</v>
      </c>
      <c r="N6179" s="1" t="str">
        <f t="shared" si="1923"/>
        <v>凡华云仓-韵达-抖音</v>
      </c>
      <c r="O6179" s="5">
        <v>320177475492631</v>
      </c>
      <c r="P6179" s="6">
        <v>0.34</v>
      </c>
      <c r="Q6179" s="11">
        <v>2.2999999999999998</v>
      </c>
      <c r="R6179" s="11"/>
      <c r="S6179" s="11"/>
      <c r="T6179" s="11"/>
      <c r="U6179" s="11">
        <f t="shared" si="1917"/>
        <v>2.2999999999999998</v>
      </c>
      <c r="W6179">
        <v>2.5</v>
      </c>
      <c r="X6179" s="1" t="s">
        <v>80</v>
      </c>
    </row>
    <row r="6180" spans="1:24" x14ac:dyDescent="0.25">
      <c r="A6180" s="1" t="str">
        <f t="shared" si="1918"/>
        <v>卡卡杜-凤凰仓</v>
      </c>
      <c r="B6180" s="1" t="str">
        <f>"CK2024101810445"</f>
        <v>CK2024101810445</v>
      </c>
      <c r="C6180" s="1" t="str">
        <f>"DD2024101816524"</f>
        <v>DD2024101816524</v>
      </c>
      <c r="D6180" s="1" t="str">
        <f>"CK202410189900"</f>
        <v>CK202410189900</v>
      </c>
      <c r="E6180" s="1" t="str">
        <f>"6935165161168508707"</f>
        <v>6935165161168508707</v>
      </c>
      <c r="F6180" s="1" t="str">
        <f t="shared" si="1919"/>
        <v>花都四部-凤凰仓</v>
      </c>
      <c r="G6180" s="1" t="str">
        <f t="shared" si="1914"/>
        <v>卡卡杜个人护理店（抖店）</v>
      </c>
      <c r="H6180" s="1" t="str">
        <f t="shared" si="1920"/>
        <v>正常订单</v>
      </c>
      <c r="I6180" s="1" t="str">
        <f t="shared" si="1921"/>
        <v>已发货</v>
      </c>
      <c r="J6180" s="1" t="str">
        <f t="shared" si="1922"/>
        <v>3</v>
      </c>
      <c r="K6180" s="1">
        <v>3</v>
      </c>
      <c r="L6180" s="1" t="s">
        <v>32</v>
      </c>
      <c r="M6180" s="1" t="str">
        <f>"陕西省 铜川市 耀州区 正阳路街道"</f>
        <v>陕西省 铜川市 耀州区 正阳路街道</v>
      </c>
      <c r="N6180" s="1" t="str">
        <f t="shared" si="1923"/>
        <v>凡华云仓-韵达-抖音</v>
      </c>
      <c r="O6180" s="5">
        <v>320177475492532</v>
      </c>
      <c r="P6180" s="6">
        <v>0.34</v>
      </c>
      <c r="Q6180" s="11">
        <v>2.2999999999999998</v>
      </c>
      <c r="R6180" s="11"/>
      <c r="S6180" s="11"/>
      <c r="T6180" s="11"/>
      <c r="U6180" s="11">
        <f t="shared" si="1917"/>
        <v>2.2999999999999998</v>
      </c>
      <c r="W6180">
        <v>2.5</v>
      </c>
      <c r="X6180" s="1" t="s">
        <v>32</v>
      </c>
    </row>
    <row r="6181" spans="1:24" x14ac:dyDescent="0.25">
      <c r="A6181" s="1" t="str">
        <f t="shared" si="1918"/>
        <v>卡卡杜-凤凰仓</v>
      </c>
      <c r="B6181" s="1" t="str">
        <f>"CK2024101810446"</f>
        <v>CK2024101810446</v>
      </c>
      <c r="C6181" s="1" t="str">
        <f>"DD2024101816526"</f>
        <v>DD2024101816526</v>
      </c>
      <c r="D6181" s="1" t="str">
        <f>"CK202410189899"</f>
        <v>CK202410189899</v>
      </c>
      <c r="E6181" s="1" t="str">
        <f>"6935162899817567658"</f>
        <v>6935162899817567658</v>
      </c>
      <c r="F6181" s="1" t="str">
        <f t="shared" si="1919"/>
        <v>花都四部-凤凰仓</v>
      </c>
      <c r="G6181" s="1" t="str">
        <f t="shared" si="1914"/>
        <v>卡卡杜个人护理店（抖店）</v>
      </c>
      <c r="H6181" s="1" t="str">
        <f t="shared" si="1920"/>
        <v>正常订单</v>
      </c>
      <c r="I6181" s="1" t="str">
        <f t="shared" si="1921"/>
        <v>已发货</v>
      </c>
      <c r="J6181" s="1" t="str">
        <f t="shared" si="1922"/>
        <v>3</v>
      </c>
      <c r="K6181" s="1">
        <v>3</v>
      </c>
      <c r="L6181" s="1" t="s">
        <v>13</v>
      </c>
      <c r="M6181" s="1" t="str">
        <f>"江苏省 泰州市 泰兴市 黄桥镇"</f>
        <v>江苏省 泰州市 泰兴市 黄桥镇</v>
      </c>
      <c r="N6181" s="1" t="str">
        <f t="shared" si="1923"/>
        <v>凡华云仓-韵达-抖音</v>
      </c>
      <c r="O6181" s="5">
        <v>320177475492435</v>
      </c>
      <c r="P6181" s="6">
        <v>0.34</v>
      </c>
      <c r="Q6181" s="11">
        <v>2.2999999999999998</v>
      </c>
      <c r="R6181" s="11"/>
      <c r="S6181" s="11"/>
      <c r="T6181" s="11"/>
      <c r="U6181" s="11">
        <f t="shared" si="1917"/>
        <v>2.2999999999999998</v>
      </c>
      <c r="W6181">
        <v>2.5</v>
      </c>
      <c r="X6181" s="1" t="s">
        <v>13</v>
      </c>
    </row>
    <row r="6182" spans="1:24" x14ac:dyDescent="0.25">
      <c r="A6182" s="1" t="str">
        <f t="shared" si="1918"/>
        <v>卡卡杜-凤凰仓</v>
      </c>
      <c r="B6182" s="1" t="str">
        <f>"CK2024101810448"</f>
        <v>CK2024101810448</v>
      </c>
      <c r="C6182" s="1" t="str">
        <f>"DD2024101816527"</f>
        <v>DD2024101816527</v>
      </c>
      <c r="D6182" s="1" t="str">
        <f>"CK202410189898"</f>
        <v>CK202410189898</v>
      </c>
      <c r="E6182" s="1" t="str">
        <f>"6935171931568411734"</f>
        <v>6935171931568411734</v>
      </c>
      <c r="F6182" s="1" t="str">
        <f t="shared" si="1919"/>
        <v>花都四部-凤凰仓</v>
      </c>
      <c r="G6182" s="1" t="str">
        <f t="shared" si="1914"/>
        <v>卡卡杜个人护理店（抖店）</v>
      </c>
      <c r="H6182" s="1" t="str">
        <f t="shared" si="1920"/>
        <v>正常订单</v>
      </c>
      <c r="I6182" s="1" t="str">
        <f t="shared" si="1921"/>
        <v>已发货</v>
      </c>
      <c r="J6182" s="1" t="str">
        <f t="shared" si="1922"/>
        <v>3</v>
      </c>
      <c r="K6182" s="1">
        <v>3</v>
      </c>
      <c r="L6182" s="1" t="s">
        <v>30</v>
      </c>
      <c r="M6182" s="1" t="str">
        <f>"山东省 东营市 东营区 文汇街道"</f>
        <v>山东省 东营市 东营区 文汇街道</v>
      </c>
      <c r="N6182" s="1" t="str">
        <f t="shared" si="1923"/>
        <v>凡华云仓-韵达-抖音</v>
      </c>
      <c r="O6182" s="5">
        <v>320177475492340</v>
      </c>
      <c r="P6182" s="6">
        <v>0.34</v>
      </c>
      <c r="Q6182" s="11">
        <v>2.2999999999999998</v>
      </c>
      <c r="R6182" s="11"/>
      <c r="S6182" s="11"/>
      <c r="T6182" s="11"/>
      <c r="U6182" s="11">
        <f t="shared" si="1917"/>
        <v>2.2999999999999998</v>
      </c>
      <c r="W6182">
        <v>2.5</v>
      </c>
      <c r="X6182" s="1" t="s">
        <v>30</v>
      </c>
    </row>
    <row r="6183" spans="1:24" x14ac:dyDescent="0.25">
      <c r="A6183" s="1" t="str">
        <f t="shared" si="1918"/>
        <v>卡卡杜-凤凰仓</v>
      </c>
      <c r="B6183" s="1" t="str">
        <f>"CK2024101810433"</f>
        <v>CK2024101810433</v>
      </c>
      <c r="C6183" s="1" t="str">
        <f>"DD2024101816513"</f>
        <v>DD2024101816513</v>
      </c>
      <c r="D6183" s="1" t="str">
        <f>"CK202410189897"</f>
        <v>CK202410189897</v>
      </c>
      <c r="E6183" s="1" t="str">
        <f>"6935145391273285542"</f>
        <v>6935145391273285542</v>
      </c>
      <c r="F6183" s="1" t="str">
        <f t="shared" si="1919"/>
        <v>花都四部-凤凰仓</v>
      </c>
      <c r="G6183" s="1" t="str">
        <f t="shared" si="1914"/>
        <v>卡卡杜个人护理店（抖店）</v>
      </c>
      <c r="H6183" s="1" t="str">
        <f t="shared" si="1920"/>
        <v>正常订单</v>
      </c>
      <c r="I6183" s="1" t="str">
        <f t="shared" si="1921"/>
        <v>已发货</v>
      </c>
      <c r="J6183" s="1" t="str">
        <f t="shared" si="1922"/>
        <v>3</v>
      </c>
      <c r="K6183" s="1">
        <v>3</v>
      </c>
      <c r="L6183" s="1" t="s">
        <v>30</v>
      </c>
      <c r="M6183" s="1" t="str">
        <f>"山东省 聊城市 冠县 崇文街道"</f>
        <v>山东省 聊城市 冠县 崇文街道</v>
      </c>
      <c r="N6183" s="1" t="str">
        <f t="shared" si="1923"/>
        <v>凡华云仓-韵达-抖音</v>
      </c>
      <c r="O6183" s="5">
        <v>320177475492247</v>
      </c>
      <c r="P6183" s="6">
        <v>0.34</v>
      </c>
      <c r="Q6183" s="11">
        <v>2.2999999999999998</v>
      </c>
      <c r="R6183" s="11"/>
      <c r="S6183" s="11"/>
      <c r="T6183" s="11"/>
      <c r="U6183" s="11">
        <f t="shared" si="1917"/>
        <v>2.2999999999999998</v>
      </c>
      <c r="W6183">
        <v>2.5</v>
      </c>
      <c r="X6183" s="1" t="s">
        <v>30</v>
      </c>
    </row>
    <row r="6184" spans="1:24" x14ac:dyDescent="0.25">
      <c r="A6184" s="1" t="str">
        <f t="shared" si="1918"/>
        <v>卡卡杜-凤凰仓</v>
      </c>
      <c r="B6184" s="1" t="str">
        <f>"CK2024101810443"</f>
        <v>CK2024101810443</v>
      </c>
      <c r="C6184" s="1" t="str">
        <f>"DD2024101816521"</f>
        <v>DD2024101816521</v>
      </c>
      <c r="D6184" s="1" t="str">
        <f>"CK202410189896"</f>
        <v>CK202410189896</v>
      </c>
      <c r="E6184" s="1" t="str">
        <f>"6935162872721446114"</f>
        <v>6935162872721446114</v>
      </c>
      <c r="F6184" s="1" t="str">
        <f t="shared" si="1919"/>
        <v>花都四部-凤凰仓</v>
      </c>
      <c r="G6184" s="1" t="str">
        <f t="shared" si="1914"/>
        <v>卡卡杜个人护理店（抖店）</v>
      </c>
      <c r="H6184" s="1" t="str">
        <f t="shared" si="1920"/>
        <v>正常订单</v>
      </c>
      <c r="I6184" s="1" t="str">
        <f t="shared" si="1921"/>
        <v>已发货</v>
      </c>
      <c r="J6184" s="1" t="str">
        <f t="shared" si="1922"/>
        <v>3</v>
      </c>
      <c r="K6184" s="1">
        <v>3</v>
      </c>
      <c r="L6184" s="1" t="s">
        <v>30</v>
      </c>
      <c r="M6184" s="1" t="str">
        <f>"山东省 济宁市 嘉祥县 嘉祥街道"</f>
        <v>山东省 济宁市 嘉祥县 嘉祥街道</v>
      </c>
      <c r="N6184" s="1" t="str">
        <f t="shared" si="1923"/>
        <v>凡华云仓-韵达-抖音</v>
      </c>
      <c r="O6184" s="5">
        <v>320177475492156</v>
      </c>
      <c r="P6184" s="6">
        <v>0.34</v>
      </c>
      <c r="Q6184" s="11">
        <v>2.2999999999999998</v>
      </c>
      <c r="R6184" s="11"/>
      <c r="S6184" s="11"/>
      <c r="T6184" s="11"/>
      <c r="U6184" s="11">
        <f t="shared" si="1917"/>
        <v>2.2999999999999998</v>
      </c>
      <c r="W6184">
        <v>2.5</v>
      </c>
      <c r="X6184" s="1" t="s">
        <v>30</v>
      </c>
    </row>
    <row r="6185" spans="1:24" x14ac:dyDescent="0.25">
      <c r="A6185" s="1" t="str">
        <f t="shared" si="1918"/>
        <v>卡卡杜-凤凰仓</v>
      </c>
      <c r="B6185" s="1" t="str">
        <f>"CK2024101810447"</f>
        <v>CK2024101810447</v>
      </c>
      <c r="C6185" s="1" t="str">
        <f>"DD2024101816525"</f>
        <v>DD2024101816525</v>
      </c>
      <c r="D6185" s="1" t="str">
        <f>"CK202410189895"</f>
        <v>CK202410189895</v>
      </c>
      <c r="E6185" s="1" t="str">
        <f>"6935158449283077646"</f>
        <v>6935158449283077646</v>
      </c>
      <c r="F6185" s="1" t="str">
        <f t="shared" si="1919"/>
        <v>花都四部-凤凰仓</v>
      </c>
      <c r="G6185" s="1" t="str">
        <f t="shared" si="1914"/>
        <v>卡卡杜个人护理店（抖店）</v>
      </c>
      <c r="H6185" s="1" t="str">
        <f t="shared" si="1920"/>
        <v>正常订单</v>
      </c>
      <c r="I6185" s="1" t="str">
        <f t="shared" si="1921"/>
        <v>已发货</v>
      </c>
      <c r="J6185" s="1" t="str">
        <f t="shared" si="1922"/>
        <v>3</v>
      </c>
      <c r="K6185" s="1">
        <v>3</v>
      </c>
      <c r="L6185" s="1" t="s">
        <v>105</v>
      </c>
      <c r="M6185" s="1" t="str">
        <f>"北京 北京市 丰台区 大红门街道"</f>
        <v>北京 北京市 丰台区 大红门街道</v>
      </c>
      <c r="N6185" s="1" t="str">
        <f t="shared" si="1923"/>
        <v>凡华云仓-韵达-抖音</v>
      </c>
      <c r="O6185" s="5">
        <v>320177475492067</v>
      </c>
      <c r="P6185" s="6">
        <v>0.34</v>
      </c>
      <c r="Q6185" s="11">
        <v>2.2999999999999998</v>
      </c>
      <c r="R6185" s="11"/>
      <c r="S6185" s="11"/>
      <c r="T6185" s="11"/>
      <c r="U6185" s="11">
        <f t="shared" si="1917"/>
        <v>2.2999999999999998</v>
      </c>
      <c r="W6185">
        <v>2.5</v>
      </c>
      <c r="X6185" s="1" t="s">
        <v>105</v>
      </c>
    </row>
    <row r="6186" spans="1:24" x14ac:dyDescent="0.25">
      <c r="A6186" s="1" t="str">
        <f t="shared" si="1918"/>
        <v>卡卡杜-凤凰仓</v>
      </c>
      <c r="B6186" s="1" t="str">
        <f>"CK2024101810449"</f>
        <v>CK2024101810449</v>
      </c>
      <c r="C6186" s="1" t="str">
        <f>"DD2024101816528"</f>
        <v>DD2024101816528</v>
      </c>
      <c r="D6186" s="1" t="str">
        <f>"CK202410189894"</f>
        <v>CK202410189894</v>
      </c>
      <c r="E6186" s="1" t="str">
        <f>"6935162907656984546"</f>
        <v>6935162907656984546</v>
      </c>
      <c r="F6186" s="1" t="str">
        <f t="shared" si="1919"/>
        <v>花都四部-凤凰仓</v>
      </c>
      <c r="G6186" s="1" t="str">
        <f t="shared" si="1914"/>
        <v>卡卡杜个人护理店（抖店）</v>
      </c>
      <c r="H6186" s="1" t="str">
        <f t="shared" si="1920"/>
        <v>正常订单</v>
      </c>
      <c r="I6186" s="1" t="str">
        <f t="shared" si="1921"/>
        <v>已发货</v>
      </c>
      <c r="J6186" s="1" t="str">
        <f t="shared" si="1922"/>
        <v>3</v>
      </c>
      <c r="K6186" s="1">
        <v>3</v>
      </c>
      <c r="L6186" s="1" t="s">
        <v>18</v>
      </c>
      <c r="M6186" s="1" t="str">
        <f>"广东省 中山市 中山市 东区街道"</f>
        <v>广东省 中山市 中山市 东区街道</v>
      </c>
      <c r="N6186" s="1" t="str">
        <f t="shared" si="1923"/>
        <v>凡华云仓-韵达-抖音</v>
      </c>
      <c r="O6186" s="5">
        <v>320177475491949</v>
      </c>
      <c r="P6186" s="6">
        <v>0.34</v>
      </c>
      <c r="Q6186" s="11">
        <v>2.2999999999999998</v>
      </c>
      <c r="R6186" s="11"/>
      <c r="S6186" s="11"/>
      <c r="T6186" s="11"/>
      <c r="U6186" s="11">
        <f t="shared" si="1917"/>
        <v>2.2999999999999998</v>
      </c>
      <c r="W6186">
        <v>2.5</v>
      </c>
      <c r="X6186" s="1" t="s">
        <v>18</v>
      </c>
    </row>
    <row r="6187" spans="1:24" x14ac:dyDescent="0.25">
      <c r="A6187" s="1" t="str">
        <f t="shared" si="1918"/>
        <v>卡卡杜-凤凰仓</v>
      </c>
      <c r="B6187" s="1" t="str">
        <f>"CK2024101810450"</f>
        <v>CK2024101810450</v>
      </c>
      <c r="C6187" s="1" t="str">
        <f>"DD2024101816529"</f>
        <v>DD2024101816529</v>
      </c>
      <c r="D6187" s="1" t="str">
        <f>"CK202410189893"</f>
        <v>CK202410189893</v>
      </c>
      <c r="E6187" s="1" t="str">
        <f>"6935151531858794208"</f>
        <v>6935151531858794208</v>
      </c>
      <c r="F6187" s="1" t="str">
        <f t="shared" si="1919"/>
        <v>花都四部-凤凰仓</v>
      </c>
      <c r="G6187" s="1" t="str">
        <f t="shared" si="1914"/>
        <v>卡卡杜个人护理店（抖店）</v>
      </c>
      <c r="H6187" s="1" t="str">
        <f t="shared" si="1920"/>
        <v>正常订单</v>
      </c>
      <c r="I6187" s="1" t="str">
        <f t="shared" si="1921"/>
        <v>已发货</v>
      </c>
      <c r="J6187" s="1" t="str">
        <f t="shared" si="1922"/>
        <v>3</v>
      </c>
      <c r="K6187" s="1">
        <v>3</v>
      </c>
      <c r="L6187" s="1" t="s">
        <v>109</v>
      </c>
      <c r="M6187" s="1" t="str">
        <f>"山西省 晋中市 太谷区 小白乡"</f>
        <v>山西省 晋中市 太谷区 小白乡</v>
      </c>
      <c r="N6187" s="1" t="str">
        <f t="shared" si="1923"/>
        <v>凡华云仓-韵达-抖音</v>
      </c>
      <c r="O6187" s="5">
        <v>320177467897516</v>
      </c>
      <c r="P6187" s="6">
        <v>0.34</v>
      </c>
      <c r="Q6187" s="11">
        <v>2.2999999999999998</v>
      </c>
      <c r="R6187" s="11"/>
      <c r="S6187" s="11"/>
      <c r="T6187" s="11"/>
      <c r="U6187" s="11">
        <f t="shared" si="1917"/>
        <v>2.2999999999999998</v>
      </c>
      <c r="W6187">
        <v>2.5</v>
      </c>
      <c r="X6187" s="1" t="s">
        <v>109</v>
      </c>
    </row>
    <row r="6188" spans="1:24" x14ac:dyDescent="0.25">
      <c r="A6188" s="1" t="str">
        <f t="shared" si="1918"/>
        <v>卡卡杜-凤凰仓</v>
      </c>
      <c r="B6188" s="1" t="str">
        <f>"CK2024101810451"</f>
        <v>CK2024101810451</v>
      </c>
      <c r="C6188" s="1" t="str">
        <f>"DD2024101816530"</f>
        <v>DD2024101816530</v>
      </c>
      <c r="D6188" s="1" t="str">
        <f>"CK202410189892"</f>
        <v>CK202410189892</v>
      </c>
      <c r="E6188" s="1" t="str">
        <f>"6935169814650426905"</f>
        <v>6935169814650426905</v>
      </c>
      <c r="F6188" s="1" t="str">
        <f t="shared" si="1919"/>
        <v>花都四部-凤凰仓</v>
      </c>
      <c r="G6188" s="1" t="str">
        <f t="shared" si="1914"/>
        <v>卡卡杜个人护理店（抖店）</v>
      </c>
      <c r="H6188" s="1" t="str">
        <f t="shared" si="1920"/>
        <v>正常订单</v>
      </c>
      <c r="I6188" s="1" t="str">
        <f t="shared" si="1921"/>
        <v>已发货</v>
      </c>
      <c r="J6188" s="1" t="str">
        <f t="shared" si="1922"/>
        <v>3</v>
      </c>
      <c r="K6188" s="1">
        <v>3</v>
      </c>
      <c r="L6188" s="1" t="s">
        <v>80</v>
      </c>
      <c r="M6188" s="1" t="str">
        <f>"河南省 新乡市 红旗区 开发区街道"</f>
        <v>河南省 新乡市 红旗区 开发区街道</v>
      </c>
      <c r="N6188" s="1" t="str">
        <f t="shared" si="1923"/>
        <v>凡华云仓-韵达-抖音</v>
      </c>
      <c r="O6188" s="5">
        <v>320177467897419</v>
      </c>
      <c r="P6188" s="6">
        <v>0.34</v>
      </c>
      <c r="Q6188" s="11">
        <v>2.2999999999999998</v>
      </c>
      <c r="R6188" s="11"/>
      <c r="S6188" s="11"/>
      <c r="T6188" s="11"/>
      <c r="U6188" s="11">
        <f t="shared" si="1917"/>
        <v>2.2999999999999998</v>
      </c>
      <c r="W6188">
        <v>2.5</v>
      </c>
      <c r="X6188" s="1" t="s">
        <v>80</v>
      </c>
    </row>
    <row r="6189" spans="1:24" x14ac:dyDescent="0.25">
      <c r="A6189" s="1" t="str">
        <f t="shared" si="1918"/>
        <v>卡卡杜-凤凰仓</v>
      </c>
      <c r="B6189" s="1" t="str">
        <f>"CK2024101810452"</f>
        <v>CK2024101810452</v>
      </c>
      <c r="C6189" s="1" t="str">
        <f>"DD2024101816531"</f>
        <v>DD2024101816531</v>
      </c>
      <c r="D6189" s="1" t="str">
        <f>"CK202410189891"</f>
        <v>CK202410189891</v>
      </c>
      <c r="E6189" s="1" t="str">
        <f>"6935165080088024697"</f>
        <v>6935165080088024697</v>
      </c>
      <c r="F6189" s="1" t="str">
        <f t="shared" si="1919"/>
        <v>花都四部-凤凰仓</v>
      </c>
      <c r="G6189" s="1" t="str">
        <f t="shared" si="1914"/>
        <v>卡卡杜个人护理店（抖店）</v>
      </c>
      <c r="H6189" s="1" t="str">
        <f t="shared" si="1920"/>
        <v>正常订单</v>
      </c>
      <c r="I6189" s="1" t="str">
        <f t="shared" si="1921"/>
        <v>已发货</v>
      </c>
      <c r="J6189" s="1" t="str">
        <f t="shared" si="1922"/>
        <v>3</v>
      </c>
      <c r="K6189" s="1">
        <v>3</v>
      </c>
      <c r="L6189" s="1" t="s">
        <v>47</v>
      </c>
      <c r="M6189" s="1" t="str">
        <f>"重庆 重庆市 渝北区 龙溪街道"</f>
        <v>重庆 重庆市 渝北区 龙溪街道</v>
      </c>
      <c r="N6189" s="1" t="str">
        <f t="shared" si="1923"/>
        <v>凡华云仓-韵达-抖音</v>
      </c>
      <c r="O6189" s="5">
        <v>320177467897324</v>
      </c>
      <c r="P6189" s="6">
        <v>0.34</v>
      </c>
      <c r="Q6189" s="11">
        <v>2.2999999999999998</v>
      </c>
      <c r="R6189" s="11"/>
      <c r="S6189" s="11"/>
      <c r="T6189" s="11"/>
      <c r="U6189" s="11">
        <f t="shared" si="1917"/>
        <v>2.2999999999999998</v>
      </c>
      <c r="W6189">
        <v>2.5</v>
      </c>
      <c r="X6189" s="1" t="s">
        <v>47</v>
      </c>
    </row>
    <row r="6190" spans="1:24" x14ac:dyDescent="0.25">
      <c r="A6190" s="1" t="str">
        <f t="shared" si="1918"/>
        <v>卡卡杜-凤凰仓</v>
      </c>
      <c r="B6190" s="1" t="str">
        <f>"CK2024101810453"</f>
        <v>CK2024101810453</v>
      </c>
      <c r="C6190" s="1" t="str">
        <f>"DD2024101816532"</f>
        <v>DD2024101816532</v>
      </c>
      <c r="D6190" s="1" t="str">
        <f>"CK202410189890"</f>
        <v>CK202410189890</v>
      </c>
      <c r="E6190" s="1" t="str">
        <f>"6935176603865322908"</f>
        <v>6935176603865322908</v>
      </c>
      <c r="F6190" s="1" t="str">
        <f t="shared" si="1919"/>
        <v>花都四部-凤凰仓</v>
      </c>
      <c r="G6190" s="1" t="str">
        <f t="shared" si="1914"/>
        <v>卡卡杜个人护理店（抖店）</v>
      </c>
      <c r="H6190" s="1" t="str">
        <f t="shared" si="1920"/>
        <v>正常订单</v>
      </c>
      <c r="I6190" s="1" t="str">
        <f t="shared" si="1921"/>
        <v>已发货</v>
      </c>
      <c r="J6190" s="1" t="str">
        <f t="shared" si="1922"/>
        <v>3</v>
      </c>
      <c r="K6190" s="1">
        <v>3</v>
      </c>
      <c r="L6190" s="1" t="s">
        <v>80</v>
      </c>
      <c r="M6190" s="1" t="str">
        <f>"河南省 开封市 尉氏县 两湖街道"</f>
        <v>河南省 开封市 尉氏县 两湖街道</v>
      </c>
      <c r="N6190" s="1" t="str">
        <f t="shared" si="1923"/>
        <v>凡华云仓-韵达-抖音</v>
      </c>
      <c r="O6190" s="5">
        <v>320177467897231</v>
      </c>
      <c r="P6190" s="6">
        <v>0.34</v>
      </c>
      <c r="Q6190" s="11">
        <v>2.2999999999999998</v>
      </c>
      <c r="R6190" s="11"/>
      <c r="S6190" s="11"/>
      <c r="T6190" s="11"/>
      <c r="U6190" s="11">
        <f t="shared" si="1917"/>
        <v>2.2999999999999998</v>
      </c>
      <c r="W6190">
        <v>2.5</v>
      </c>
      <c r="X6190" s="1" t="s">
        <v>80</v>
      </c>
    </row>
    <row r="6191" spans="1:24" x14ac:dyDescent="0.25">
      <c r="A6191" s="1" t="str">
        <f t="shared" si="1918"/>
        <v>卡卡杜-凤凰仓</v>
      </c>
      <c r="B6191" s="1" t="str">
        <f>"CK2024101810456"</f>
        <v>CK2024101810456</v>
      </c>
      <c r="C6191" s="1" t="str">
        <f>"DD2024101816535"</f>
        <v>DD2024101816535</v>
      </c>
      <c r="D6191" s="1" t="str">
        <f>"CK202410189889"</f>
        <v>CK202410189889</v>
      </c>
      <c r="E6191" s="1" t="str">
        <f>"6935160831720297982"</f>
        <v>6935160831720297982</v>
      </c>
      <c r="F6191" s="1" t="str">
        <f t="shared" si="1919"/>
        <v>花都四部-凤凰仓</v>
      </c>
      <c r="G6191" s="1" t="str">
        <f t="shared" si="1914"/>
        <v>卡卡杜个人护理店（抖店）</v>
      </c>
      <c r="H6191" s="1" t="str">
        <f t="shared" si="1920"/>
        <v>正常订单</v>
      </c>
      <c r="I6191" s="1" t="str">
        <f t="shared" si="1921"/>
        <v>已发货</v>
      </c>
      <c r="J6191" s="1" t="str">
        <f t="shared" si="1922"/>
        <v>3</v>
      </c>
      <c r="K6191" s="1">
        <v>3</v>
      </c>
      <c r="L6191" s="1" t="s">
        <v>80</v>
      </c>
      <c r="M6191" s="1" t="str">
        <f>"河南省 郑州市 荥阳市 豫龙镇"</f>
        <v>河南省 郑州市 荥阳市 豫龙镇</v>
      </c>
      <c r="N6191" s="1" t="str">
        <f t="shared" si="1923"/>
        <v>凡华云仓-韵达-抖音</v>
      </c>
      <c r="O6191" s="5">
        <v>320177467897140</v>
      </c>
      <c r="P6191" s="6">
        <v>0.34</v>
      </c>
      <c r="Q6191" s="11">
        <v>2.2999999999999998</v>
      </c>
      <c r="R6191" s="11"/>
      <c r="S6191" s="11"/>
      <c r="T6191" s="11"/>
      <c r="U6191" s="11">
        <f t="shared" si="1917"/>
        <v>2.2999999999999998</v>
      </c>
      <c r="W6191">
        <v>2.5</v>
      </c>
      <c r="X6191" s="1" t="s">
        <v>80</v>
      </c>
    </row>
    <row r="6192" spans="1:24" x14ac:dyDescent="0.25">
      <c r="A6192" s="1" t="str">
        <f t="shared" si="1918"/>
        <v>卡卡杜-凤凰仓</v>
      </c>
      <c r="B6192" s="1" t="str">
        <f>"CK2024101810459"</f>
        <v>CK2024101810459</v>
      </c>
      <c r="C6192" s="1" t="str">
        <f>"DD2024101816538"</f>
        <v>DD2024101816538</v>
      </c>
      <c r="D6192" s="1" t="str">
        <f>"CK202410189888"</f>
        <v>CK202410189888</v>
      </c>
      <c r="E6192" s="1" t="str">
        <f>"6935158351238927379"</f>
        <v>6935158351238927379</v>
      </c>
      <c r="F6192" s="1" t="str">
        <f t="shared" si="1919"/>
        <v>花都四部-凤凰仓</v>
      </c>
      <c r="G6192" s="1" t="str">
        <f t="shared" si="1914"/>
        <v>卡卡杜个人护理店（抖店）</v>
      </c>
      <c r="H6192" s="1" t="str">
        <f t="shared" si="1920"/>
        <v>正常订单</v>
      </c>
      <c r="I6192" s="1" t="str">
        <f t="shared" si="1921"/>
        <v>已发货</v>
      </c>
      <c r="J6192" s="1" t="str">
        <f t="shared" si="1922"/>
        <v>3</v>
      </c>
      <c r="K6192" s="1">
        <v>3</v>
      </c>
      <c r="L6192" s="1" t="s">
        <v>13</v>
      </c>
      <c r="M6192" s="1" t="str">
        <f>"江苏省 苏州市 昆山市 周市镇"</f>
        <v>江苏省 苏州市 昆山市 周市镇</v>
      </c>
      <c r="N6192" s="1" t="str">
        <f t="shared" si="1923"/>
        <v>凡华云仓-韵达-抖音</v>
      </c>
      <c r="O6192" s="5">
        <v>320177467897051</v>
      </c>
      <c r="P6192" s="6">
        <v>0.34</v>
      </c>
      <c r="Q6192" s="11">
        <v>2.2999999999999998</v>
      </c>
      <c r="R6192" s="11"/>
      <c r="S6192" s="11"/>
      <c r="T6192" s="11"/>
      <c r="U6192" s="11">
        <f t="shared" si="1917"/>
        <v>2.2999999999999998</v>
      </c>
      <c r="W6192">
        <v>2.5</v>
      </c>
      <c r="X6192" s="1" t="s">
        <v>13</v>
      </c>
    </row>
    <row r="6193" spans="1:24" x14ac:dyDescent="0.25">
      <c r="A6193" s="1" t="str">
        <f t="shared" si="1918"/>
        <v>卡卡杜-凤凰仓</v>
      </c>
      <c r="B6193" s="1" t="str">
        <f>"CK2024101810648"</f>
        <v>CK2024101810648</v>
      </c>
      <c r="C6193" s="1" t="str">
        <f>"DD2024101816732"</f>
        <v>DD2024101816732</v>
      </c>
      <c r="D6193" s="1" t="str">
        <f>"CK202410189887"</f>
        <v>CK202410189887</v>
      </c>
      <c r="E6193" s="1" t="str">
        <f>"6935151675455182682"</f>
        <v>6935151675455182682</v>
      </c>
      <c r="F6193" s="1" t="str">
        <f t="shared" si="1919"/>
        <v>花都四部-凤凰仓</v>
      </c>
      <c r="G6193" s="1" t="str">
        <f t="shared" si="1914"/>
        <v>卡卡杜个人护理店（抖店）</v>
      </c>
      <c r="H6193" s="1" t="str">
        <f t="shared" si="1920"/>
        <v>正常订单</v>
      </c>
      <c r="I6193" s="1" t="str">
        <f t="shared" si="1921"/>
        <v>已发货</v>
      </c>
      <c r="J6193" s="1" t="str">
        <f t="shared" si="1922"/>
        <v>3</v>
      </c>
      <c r="K6193" s="1">
        <v>3</v>
      </c>
      <c r="L6193" s="1" t="s">
        <v>30</v>
      </c>
      <c r="M6193" s="1" t="str">
        <f>"山东省 潍坊市 临朐县 城关街道"</f>
        <v>山东省 潍坊市 临朐县 城关街道</v>
      </c>
      <c r="N6193" s="1" t="str">
        <f t="shared" si="1923"/>
        <v>凡华云仓-韵达-抖音</v>
      </c>
      <c r="O6193" s="5">
        <v>320177467896923</v>
      </c>
      <c r="P6193" s="6">
        <v>0.34</v>
      </c>
      <c r="Q6193" s="11">
        <v>2.2999999999999998</v>
      </c>
      <c r="R6193" s="11"/>
      <c r="S6193" s="11"/>
      <c r="T6193" s="11"/>
      <c r="U6193" s="11">
        <f t="shared" si="1917"/>
        <v>2.2999999999999998</v>
      </c>
      <c r="W6193">
        <v>2.5</v>
      </c>
      <c r="X6193" s="1" t="s">
        <v>30</v>
      </c>
    </row>
    <row r="6194" spans="1:24" x14ac:dyDescent="0.25">
      <c r="A6194" s="1" t="str">
        <f t="shared" si="1918"/>
        <v>卡卡杜-凤凰仓</v>
      </c>
      <c r="B6194" s="1" t="str">
        <f>"CK2024101810649"</f>
        <v>CK2024101810649</v>
      </c>
      <c r="C6194" s="1" t="str">
        <f>"DD2024101816734"</f>
        <v>DD2024101816734</v>
      </c>
      <c r="D6194" s="1" t="str">
        <f>"CK202410189886"</f>
        <v>CK202410189886</v>
      </c>
      <c r="E6194" s="1" t="str">
        <f>"6935176601898718667"</f>
        <v>6935176601898718667</v>
      </c>
      <c r="F6194" s="1" t="str">
        <f t="shared" si="1919"/>
        <v>花都四部-凤凰仓</v>
      </c>
      <c r="G6194" s="1" t="str">
        <f t="shared" si="1914"/>
        <v>卡卡杜个人护理店（抖店）</v>
      </c>
      <c r="H6194" s="1" t="str">
        <f t="shared" si="1920"/>
        <v>正常订单</v>
      </c>
      <c r="I6194" s="1" t="str">
        <f t="shared" si="1921"/>
        <v>已发货</v>
      </c>
      <c r="J6194" s="1" t="str">
        <f t="shared" si="1922"/>
        <v>3</v>
      </c>
      <c r="K6194" s="1">
        <v>3</v>
      </c>
      <c r="L6194" s="1" t="s">
        <v>41</v>
      </c>
      <c r="M6194" s="1" t="str">
        <f>"湖北省 荆州市 荆州区 纪南镇"</f>
        <v>湖北省 荆州市 荆州区 纪南镇</v>
      </c>
      <c r="N6194" s="1" t="str">
        <f t="shared" si="1923"/>
        <v>凡华云仓-韵达-抖音</v>
      </c>
      <c r="O6194" s="5">
        <v>320177467896818</v>
      </c>
      <c r="P6194" s="6">
        <v>0.34</v>
      </c>
      <c r="Q6194" s="11">
        <v>2.2999999999999998</v>
      </c>
      <c r="R6194" s="11"/>
      <c r="S6194" s="11"/>
      <c r="T6194" s="11"/>
      <c r="U6194" s="11">
        <f t="shared" si="1917"/>
        <v>2.2999999999999998</v>
      </c>
      <c r="W6194">
        <v>2.5</v>
      </c>
      <c r="X6194" s="1" t="s">
        <v>41</v>
      </c>
    </row>
    <row r="6195" spans="1:24" x14ac:dyDescent="0.25">
      <c r="A6195" s="1" t="str">
        <f t="shared" si="1918"/>
        <v>卡卡杜-凤凰仓</v>
      </c>
      <c r="B6195" s="1" t="str">
        <f>"CK2024101810650"</f>
        <v>CK2024101810650</v>
      </c>
      <c r="C6195" s="1" t="str">
        <f>"DD2024101816736"</f>
        <v>DD2024101816736</v>
      </c>
      <c r="D6195" s="1" t="str">
        <f>"CK202410189885"</f>
        <v>CK202410189885</v>
      </c>
      <c r="E6195" s="1" t="str">
        <f>"6935167484282606855"</f>
        <v>6935167484282606855</v>
      </c>
      <c r="F6195" s="1" t="str">
        <f t="shared" si="1919"/>
        <v>花都四部-凤凰仓</v>
      </c>
      <c r="G6195" s="1" t="str">
        <f t="shared" si="1914"/>
        <v>卡卡杜个人护理店（抖店）</v>
      </c>
      <c r="H6195" s="1" t="str">
        <f t="shared" si="1920"/>
        <v>正常订单</v>
      </c>
      <c r="I6195" s="1" t="str">
        <f t="shared" si="1921"/>
        <v>已发货</v>
      </c>
      <c r="J6195" s="1" t="str">
        <f t="shared" si="1922"/>
        <v>3</v>
      </c>
      <c r="K6195" s="1">
        <v>3</v>
      </c>
      <c r="L6195" s="1" t="s">
        <v>36</v>
      </c>
      <c r="M6195" s="1" t="str">
        <f>"安徽省 宿州市 砀山县 砀城镇"</f>
        <v>安徽省 宿州市 砀山县 砀城镇</v>
      </c>
      <c r="N6195" s="1" t="str">
        <f t="shared" si="1923"/>
        <v>凡华云仓-韵达-抖音</v>
      </c>
      <c r="O6195" s="5">
        <v>320177467896715</v>
      </c>
      <c r="P6195" s="6">
        <v>0.34</v>
      </c>
      <c r="Q6195" s="11">
        <v>2.2999999999999998</v>
      </c>
      <c r="R6195" s="11"/>
      <c r="S6195" s="11"/>
      <c r="T6195" s="11"/>
      <c r="U6195" s="11">
        <f t="shared" si="1917"/>
        <v>2.2999999999999998</v>
      </c>
      <c r="W6195">
        <v>2.5</v>
      </c>
      <c r="X6195" s="1" t="s">
        <v>36</v>
      </c>
    </row>
    <row r="6196" spans="1:24" x14ac:dyDescent="0.25">
      <c r="A6196" s="1" t="str">
        <f t="shared" si="1918"/>
        <v>卡卡杜-凤凰仓</v>
      </c>
      <c r="B6196" s="1" t="str">
        <f>"CK2024101810651"</f>
        <v>CK2024101810651</v>
      </c>
      <c r="C6196" s="1" t="str">
        <f>"DD2024101816741"</f>
        <v>DD2024101816741</v>
      </c>
      <c r="D6196" s="1" t="str">
        <f>"CK202410189884"</f>
        <v>CK202410189884</v>
      </c>
      <c r="E6196" s="1" t="str">
        <f>"6935169853323351838"</f>
        <v>6935169853323351838</v>
      </c>
      <c r="F6196" s="1" t="str">
        <f t="shared" si="1919"/>
        <v>花都四部-凤凰仓</v>
      </c>
      <c r="G6196" s="1" t="str">
        <f t="shared" ref="G6196:G6259" si="1924">"卡卡杜个人护理店（抖店）"</f>
        <v>卡卡杜个人护理店（抖店）</v>
      </c>
      <c r="H6196" s="1" t="str">
        <f t="shared" si="1920"/>
        <v>正常订单</v>
      </c>
      <c r="I6196" s="1" t="str">
        <f t="shared" si="1921"/>
        <v>已发货</v>
      </c>
      <c r="J6196" s="1" t="str">
        <f t="shared" si="1922"/>
        <v>3</v>
      </c>
      <c r="K6196" s="1">
        <v>3</v>
      </c>
      <c r="L6196" s="1" t="s">
        <v>94</v>
      </c>
      <c r="M6196" s="1" t="str">
        <f>"湖南省 湘西土家族苗族自治州 吉首市 镇溪街道"</f>
        <v>湖南省 湘西土家族苗族自治州 吉首市 镇溪街道</v>
      </c>
      <c r="N6196" s="1" t="str">
        <f t="shared" si="1923"/>
        <v>凡华云仓-韵达-抖音</v>
      </c>
      <c r="O6196" s="5">
        <v>320177467896614</v>
      </c>
      <c r="P6196" s="6">
        <v>0.34</v>
      </c>
      <c r="Q6196" s="11">
        <v>2.2999999999999998</v>
      </c>
      <c r="R6196" s="11"/>
      <c r="S6196" s="11"/>
      <c r="T6196" s="11"/>
      <c r="U6196" s="11">
        <f t="shared" si="1917"/>
        <v>2.2999999999999998</v>
      </c>
      <c r="W6196">
        <v>2.5</v>
      </c>
      <c r="X6196" s="1" t="s">
        <v>94</v>
      </c>
    </row>
    <row r="6197" spans="1:24" x14ac:dyDescent="0.25">
      <c r="A6197" s="1" t="str">
        <f t="shared" si="1918"/>
        <v>卡卡杜-凤凰仓</v>
      </c>
      <c r="B6197" s="1" t="str">
        <f>"CK2024101810454"</f>
        <v>CK2024101810454</v>
      </c>
      <c r="C6197" s="1" t="str">
        <f>"DD2024101816533"</f>
        <v>DD2024101816533</v>
      </c>
      <c r="D6197" s="1" t="str">
        <f>"CK202410189883"</f>
        <v>CK202410189883</v>
      </c>
      <c r="E6197" s="1" t="str">
        <f>"6935153841164654437"</f>
        <v>6935153841164654437</v>
      </c>
      <c r="F6197" s="1" t="str">
        <f t="shared" si="1919"/>
        <v>花都四部-凤凰仓</v>
      </c>
      <c r="G6197" s="1" t="str">
        <f t="shared" si="1924"/>
        <v>卡卡杜个人护理店（抖店）</v>
      </c>
      <c r="H6197" s="1" t="str">
        <f t="shared" si="1920"/>
        <v>正常订单</v>
      </c>
      <c r="I6197" s="1" t="str">
        <f t="shared" si="1921"/>
        <v>已发货</v>
      </c>
      <c r="J6197" s="1" t="str">
        <f t="shared" si="1922"/>
        <v>3</v>
      </c>
      <c r="K6197" s="1">
        <v>3</v>
      </c>
      <c r="L6197" s="1" t="s">
        <v>41</v>
      </c>
      <c r="M6197" s="1" t="str">
        <f>"湖北省 武汉市 武昌区 中华路街道"</f>
        <v>湖北省 武汉市 武昌区 中华路街道</v>
      </c>
      <c r="N6197" s="1" t="str">
        <f t="shared" si="1923"/>
        <v>凡华云仓-韵达-抖音</v>
      </c>
      <c r="O6197" s="5">
        <v>320177475493933</v>
      </c>
      <c r="P6197" s="6">
        <v>0.34</v>
      </c>
      <c r="Q6197" s="11">
        <v>2.2999999999999998</v>
      </c>
      <c r="R6197" s="11"/>
      <c r="S6197" s="11"/>
      <c r="T6197" s="11"/>
      <c r="U6197" s="11">
        <f t="shared" si="1917"/>
        <v>2.2999999999999998</v>
      </c>
      <c r="W6197">
        <v>2.5</v>
      </c>
      <c r="X6197" s="1" t="s">
        <v>41</v>
      </c>
    </row>
    <row r="6198" spans="1:24" x14ac:dyDescent="0.25">
      <c r="A6198" s="1" t="str">
        <f t="shared" si="1918"/>
        <v>卡卡杜-凤凰仓</v>
      </c>
      <c r="B6198" s="1" t="str">
        <f>"CK2024101810457"</f>
        <v>CK2024101810457</v>
      </c>
      <c r="C6198" s="1" t="str">
        <f>"DD2024101816536"</f>
        <v>DD2024101816536</v>
      </c>
      <c r="D6198" s="1" t="str">
        <f>"CK202410189882"</f>
        <v>CK202410189882</v>
      </c>
      <c r="E6198" s="1" t="str">
        <f>"6935167585290360393"</f>
        <v>6935167585290360393</v>
      </c>
      <c r="F6198" s="1" t="str">
        <f t="shared" si="1919"/>
        <v>花都四部-凤凰仓</v>
      </c>
      <c r="G6198" s="1" t="str">
        <f t="shared" si="1924"/>
        <v>卡卡杜个人护理店（抖店）</v>
      </c>
      <c r="H6198" s="1" t="str">
        <f t="shared" si="1920"/>
        <v>正常订单</v>
      </c>
      <c r="I6198" s="1" t="str">
        <f t="shared" si="1921"/>
        <v>已发货</v>
      </c>
      <c r="J6198" s="1" t="str">
        <f t="shared" si="1922"/>
        <v>3</v>
      </c>
      <c r="K6198" s="1">
        <v>3</v>
      </c>
      <c r="L6198" s="1" t="s">
        <v>105</v>
      </c>
      <c r="M6198" s="1" t="str">
        <f>"北京 北京市 通州区 永顺镇"</f>
        <v>北京 北京市 通州区 永顺镇</v>
      </c>
      <c r="N6198" s="1" t="str">
        <f t="shared" si="1923"/>
        <v>凡华云仓-韵达-抖音</v>
      </c>
      <c r="O6198" s="5">
        <v>320177475493828</v>
      </c>
      <c r="P6198" s="6">
        <v>0.34</v>
      </c>
      <c r="Q6198" s="11">
        <v>2.2999999999999998</v>
      </c>
      <c r="R6198" s="11"/>
      <c r="S6198" s="11"/>
      <c r="T6198" s="11"/>
      <c r="U6198" s="11">
        <f t="shared" si="1917"/>
        <v>2.2999999999999998</v>
      </c>
      <c r="W6198">
        <v>2.5</v>
      </c>
      <c r="X6198" s="1" t="s">
        <v>105</v>
      </c>
    </row>
    <row r="6199" spans="1:24" x14ac:dyDescent="0.25">
      <c r="A6199" s="1" t="str">
        <f t="shared" si="1918"/>
        <v>卡卡杜-凤凰仓</v>
      </c>
      <c r="B6199" s="1" t="str">
        <f>"CK2024101810458"</f>
        <v>CK2024101810458</v>
      </c>
      <c r="C6199" s="1" t="str">
        <f>"DD2024101816537"</f>
        <v>DD2024101816537</v>
      </c>
      <c r="D6199" s="1" t="str">
        <f>"CK202410189881"</f>
        <v>CK202410189881</v>
      </c>
      <c r="E6199" s="1" t="str">
        <f>"6918020513126317710"</f>
        <v>6918020513126317710</v>
      </c>
      <c r="F6199" s="1" t="str">
        <f t="shared" si="1919"/>
        <v>花都四部-凤凰仓</v>
      </c>
      <c r="G6199" s="1" t="str">
        <f t="shared" si="1924"/>
        <v>卡卡杜个人护理店（抖店）</v>
      </c>
      <c r="H6199" s="1" t="str">
        <f t="shared" si="1920"/>
        <v>正常订单</v>
      </c>
      <c r="I6199" s="1" t="str">
        <f t="shared" si="1921"/>
        <v>已发货</v>
      </c>
      <c r="J6199" s="1" t="str">
        <f t="shared" si="1922"/>
        <v>3</v>
      </c>
      <c r="K6199" s="1">
        <v>3</v>
      </c>
      <c r="L6199" s="1" t="s">
        <v>24</v>
      </c>
      <c r="M6199" s="1" t="str">
        <f>"福建省 福州市 罗源县 凤山镇"</f>
        <v>福建省 福州市 罗源县 凤山镇</v>
      </c>
      <c r="N6199" s="1" t="str">
        <f t="shared" si="1923"/>
        <v>凡华云仓-韵达-抖音</v>
      </c>
      <c r="O6199" s="5">
        <v>320177475493725</v>
      </c>
      <c r="P6199" s="6">
        <v>0.34</v>
      </c>
      <c r="Q6199" s="11">
        <v>2.2999999999999998</v>
      </c>
      <c r="R6199" s="11"/>
      <c r="S6199" s="11"/>
      <c r="T6199" s="11"/>
      <c r="U6199" s="11">
        <f t="shared" si="1917"/>
        <v>2.2999999999999998</v>
      </c>
      <c r="W6199">
        <v>2.5</v>
      </c>
      <c r="X6199" s="1" t="s">
        <v>24</v>
      </c>
    </row>
    <row r="6200" spans="1:24" x14ac:dyDescent="0.25">
      <c r="A6200" s="1" t="str">
        <f t="shared" si="1918"/>
        <v>卡卡杜-凤凰仓</v>
      </c>
      <c r="B6200" s="1" t="str">
        <f>"CK2024101810460"</f>
        <v>CK2024101810460</v>
      </c>
      <c r="C6200" s="1" t="str">
        <f>"DD2024101816539"</f>
        <v>DD2024101816539</v>
      </c>
      <c r="D6200" s="1" t="str">
        <f>"CK202410189880"</f>
        <v>CK202410189880</v>
      </c>
      <c r="E6200" s="1" t="str">
        <f>"6935149905539437744"</f>
        <v>6935149905539437744</v>
      </c>
      <c r="F6200" s="1" t="str">
        <f t="shared" si="1919"/>
        <v>花都四部-凤凰仓</v>
      </c>
      <c r="G6200" s="1" t="str">
        <f t="shared" si="1924"/>
        <v>卡卡杜个人护理店（抖店）</v>
      </c>
      <c r="H6200" s="1" t="str">
        <f t="shared" si="1920"/>
        <v>正常订单</v>
      </c>
      <c r="I6200" s="1" t="str">
        <f t="shared" si="1921"/>
        <v>已发货</v>
      </c>
      <c r="J6200" s="1" t="str">
        <f t="shared" si="1922"/>
        <v>3</v>
      </c>
      <c r="K6200" s="1">
        <v>3</v>
      </c>
      <c r="L6200" s="1" t="s">
        <v>41</v>
      </c>
      <c r="M6200" s="1" t="str">
        <f>"湖北省 襄阳市 枣阳市 北城街道"</f>
        <v>湖北省 襄阳市 枣阳市 北城街道</v>
      </c>
      <c r="N6200" s="1" t="str">
        <f t="shared" si="1923"/>
        <v>凡华云仓-韵达-抖音</v>
      </c>
      <c r="O6200" s="5">
        <v>320177475493624</v>
      </c>
      <c r="P6200" s="6">
        <v>0.34</v>
      </c>
      <c r="Q6200" s="11">
        <v>2.2999999999999998</v>
      </c>
      <c r="R6200" s="11"/>
      <c r="S6200" s="11"/>
      <c r="T6200" s="11"/>
      <c r="U6200" s="11">
        <f t="shared" si="1917"/>
        <v>2.2999999999999998</v>
      </c>
      <c r="W6200">
        <v>2.5</v>
      </c>
      <c r="X6200" s="1" t="s">
        <v>41</v>
      </c>
    </row>
    <row r="6201" spans="1:24" x14ac:dyDescent="0.25">
      <c r="A6201" s="1" t="str">
        <f t="shared" si="1918"/>
        <v>卡卡杜-凤凰仓</v>
      </c>
      <c r="B6201" s="1" t="str">
        <f>"CK2024101810462"</f>
        <v>CK2024101810462</v>
      </c>
      <c r="C6201" s="1" t="str">
        <f>"DD2024101816540"</f>
        <v>DD2024101816540</v>
      </c>
      <c r="D6201" s="1" t="str">
        <f>"CK202410189879"</f>
        <v>CK202410189879</v>
      </c>
      <c r="E6201" s="1" t="str">
        <f>"6935169784822699083"</f>
        <v>6935169784822699083</v>
      </c>
      <c r="F6201" s="1" t="str">
        <f t="shared" si="1919"/>
        <v>花都四部-凤凰仓</v>
      </c>
      <c r="G6201" s="1" t="str">
        <f t="shared" si="1924"/>
        <v>卡卡杜个人护理店（抖店）</v>
      </c>
      <c r="H6201" s="1" t="str">
        <f t="shared" si="1920"/>
        <v>正常订单</v>
      </c>
      <c r="I6201" s="1" t="str">
        <f t="shared" si="1921"/>
        <v>已发货</v>
      </c>
      <c r="J6201" s="1" t="str">
        <f t="shared" si="1922"/>
        <v>3</v>
      </c>
      <c r="K6201" s="1">
        <v>3</v>
      </c>
      <c r="L6201" s="1" t="s">
        <v>36</v>
      </c>
      <c r="M6201" s="1" t="str">
        <f>"安徽省 蚌埠市 怀远县 "</f>
        <v xml:space="preserve">安徽省 蚌埠市 怀远县 </v>
      </c>
      <c r="N6201" s="1" t="str">
        <f t="shared" si="1923"/>
        <v>凡华云仓-韵达-抖音</v>
      </c>
      <c r="O6201" s="5">
        <v>320177475493525</v>
      </c>
      <c r="P6201" s="6">
        <v>0.34</v>
      </c>
      <c r="Q6201" s="11">
        <v>2.2999999999999998</v>
      </c>
      <c r="R6201" s="11"/>
      <c r="S6201" s="11"/>
      <c r="T6201" s="11"/>
      <c r="U6201" s="11">
        <f t="shared" si="1917"/>
        <v>2.2999999999999998</v>
      </c>
      <c r="W6201">
        <v>2.5</v>
      </c>
      <c r="X6201" s="1" t="s">
        <v>36</v>
      </c>
    </row>
    <row r="6202" spans="1:24" x14ac:dyDescent="0.25">
      <c r="A6202" s="1" t="str">
        <f t="shared" si="1918"/>
        <v>卡卡杜-凤凰仓</v>
      </c>
      <c r="B6202" s="1" t="str">
        <f>"CK2024101810461"</f>
        <v>CK2024101810461</v>
      </c>
      <c r="C6202" s="1" t="str">
        <f>"DD2024101816541"</f>
        <v>DD2024101816541</v>
      </c>
      <c r="D6202" s="1" t="str">
        <f>"CK202410189878"</f>
        <v>CK202410189878</v>
      </c>
      <c r="E6202" s="1" t="str">
        <f>"6935172019187881037"</f>
        <v>6935172019187881037</v>
      </c>
      <c r="F6202" s="1" t="str">
        <f t="shared" si="1919"/>
        <v>花都四部-凤凰仓</v>
      </c>
      <c r="G6202" s="1" t="str">
        <f t="shared" si="1924"/>
        <v>卡卡杜个人护理店（抖店）</v>
      </c>
      <c r="H6202" s="1" t="str">
        <f t="shared" si="1920"/>
        <v>正常订单</v>
      </c>
      <c r="I6202" s="1" t="str">
        <f t="shared" si="1921"/>
        <v>已发货</v>
      </c>
      <c r="J6202" s="1" t="str">
        <f t="shared" si="1922"/>
        <v>3</v>
      </c>
      <c r="K6202" s="1">
        <v>3</v>
      </c>
      <c r="L6202" s="1" t="s">
        <v>36</v>
      </c>
      <c r="M6202" s="1" t="str">
        <f>"安徽省 宣城市 宣州区 古泉镇"</f>
        <v>安徽省 宣城市 宣州区 古泉镇</v>
      </c>
      <c r="N6202" s="1" t="str">
        <f t="shared" si="1923"/>
        <v>凡华云仓-韵达-抖音</v>
      </c>
      <c r="O6202" s="5">
        <v>320177475493428</v>
      </c>
      <c r="P6202" s="6">
        <v>0.34</v>
      </c>
      <c r="Q6202" s="11">
        <v>2.2999999999999998</v>
      </c>
      <c r="R6202" s="11"/>
      <c r="S6202" s="11"/>
      <c r="T6202" s="11"/>
      <c r="U6202" s="11">
        <f t="shared" si="1917"/>
        <v>2.2999999999999998</v>
      </c>
      <c r="W6202">
        <v>2.5</v>
      </c>
      <c r="X6202" s="1" t="s">
        <v>36</v>
      </c>
    </row>
    <row r="6203" spans="1:24" x14ac:dyDescent="0.25">
      <c r="A6203" s="1" t="str">
        <f t="shared" si="1918"/>
        <v>卡卡杜-凤凰仓</v>
      </c>
      <c r="B6203" s="1" t="str">
        <f>"CK2024101810463"</f>
        <v>CK2024101810463</v>
      </c>
      <c r="C6203" s="1" t="str">
        <f>"DD2024101816542"</f>
        <v>DD2024101816542</v>
      </c>
      <c r="D6203" s="1" t="str">
        <f>"CK202410189877"</f>
        <v>CK202410189877</v>
      </c>
      <c r="E6203" s="1" t="str">
        <f>"6935167540383716536"</f>
        <v>6935167540383716536</v>
      </c>
      <c r="F6203" s="1" t="str">
        <f t="shared" si="1919"/>
        <v>花都四部-凤凰仓</v>
      </c>
      <c r="G6203" s="1" t="str">
        <f t="shared" si="1924"/>
        <v>卡卡杜个人护理店（抖店）</v>
      </c>
      <c r="H6203" s="1" t="str">
        <f t="shared" si="1920"/>
        <v>正常订单</v>
      </c>
      <c r="I6203" s="1" t="str">
        <f t="shared" si="1921"/>
        <v>已发货</v>
      </c>
      <c r="J6203" s="1" t="str">
        <f t="shared" si="1922"/>
        <v>3</v>
      </c>
      <c r="K6203" s="1">
        <v>3</v>
      </c>
      <c r="L6203" s="1" t="s">
        <v>13</v>
      </c>
      <c r="M6203" s="1" t="str">
        <f>"江苏省 常州市 武进区 湖塘镇"</f>
        <v>江苏省 常州市 武进区 湖塘镇</v>
      </c>
      <c r="N6203" s="1" t="str">
        <f t="shared" si="1923"/>
        <v>凡华云仓-韵达-抖音</v>
      </c>
      <c r="O6203" s="5">
        <v>320177475493333</v>
      </c>
      <c r="P6203" s="6">
        <v>0.34</v>
      </c>
      <c r="Q6203" s="11">
        <v>2.2999999999999998</v>
      </c>
      <c r="R6203" s="11"/>
      <c r="S6203" s="11"/>
      <c r="T6203" s="11"/>
      <c r="U6203" s="11">
        <f t="shared" si="1917"/>
        <v>2.2999999999999998</v>
      </c>
      <c r="W6203">
        <v>2.5</v>
      </c>
      <c r="X6203" s="1" t="s">
        <v>13</v>
      </c>
    </row>
    <row r="6204" spans="1:24" x14ac:dyDescent="0.25">
      <c r="A6204" s="1" t="str">
        <f t="shared" si="1918"/>
        <v>卡卡杜-凤凰仓</v>
      </c>
      <c r="B6204" s="1" t="str">
        <f>"CK2024101810464"</f>
        <v>CK2024101810464</v>
      </c>
      <c r="C6204" s="1" t="str">
        <f>"DD2024101816543"</f>
        <v>DD2024101816543</v>
      </c>
      <c r="D6204" s="1" t="str">
        <f>"CK202410189876"</f>
        <v>CK202410189876</v>
      </c>
      <c r="E6204" s="1" t="str">
        <f>"6935158316183852685"</f>
        <v>6935158316183852685</v>
      </c>
      <c r="F6204" s="1" t="str">
        <f t="shared" si="1919"/>
        <v>花都四部-凤凰仓</v>
      </c>
      <c r="G6204" s="1" t="str">
        <f t="shared" si="1924"/>
        <v>卡卡杜个人护理店（抖店）</v>
      </c>
      <c r="H6204" s="1" t="str">
        <f t="shared" si="1920"/>
        <v>正常订单</v>
      </c>
      <c r="I6204" s="1" t="str">
        <f t="shared" si="1921"/>
        <v>已发货</v>
      </c>
      <c r="J6204" s="1" t="str">
        <f t="shared" si="1922"/>
        <v>3</v>
      </c>
      <c r="K6204" s="1">
        <v>3</v>
      </c>
      <c r="L6204" s="1" t="s">
        <v>16</v>
      </c>
      <c r="M6204" s="1" t="str">
        <f>"河北省 保定市 涿州市 东城坊镇"</f>
        <v>河北省 保定市 涿州市 东城坊镇</v>
      </c>
      <c r="N6204" s="1" t="str">
        <f t="shared" si="1923"/>
        <v>凡华云仓-韵达-抖音</v>
      </c>
      <c r="O6204" s="5">
        <v>320177475493240</v>
      </c>
      <c r="P6204" s="6">
        <v>0.34</v>
      </c>
      <c r="Q6204" s="11">
        <v>2.2999999999999998</v>
      </c>
      <c r="R6204" s="11"/>
      <c r="S6204" s="11"/>
      <c r="T6204" s="11"/>
      <c r="U6204" s="11">
        <f t="shared" si="1917"/>
        <v>2.2999999999999998</v>
      </c>
      <c r="W6204">
        <v>2.5</v>
      </c>
      <c r="X6204" s="1" t="s">
        <v>16</v>
      </c>
    </row>
    <row r="6205" spans="1:24" x14ac:dyDescent="0.25">
      <c r="A6205" s="1" t="str">
        <f t="shared" si="1918"/>
        <v>卡卡杜-凤凰仓</v>
      </c>
      <c r="B6205" s="1" t="str">
        <f>"CK2024101810465"</f>
        <v>CK2024101810465</v>
      </c>
      <c r="C6205" s="1" t="str">
        <f>"DD2024101816544"</f>
        <v>DD2024101816544</v>
      </c>
      <c r="D6205" s="1" t="str">
        <f>"CK202410189875"</f>
        <v>CK202410189875</v>
      </c>
      <c r="E6205" s="1" t="str">
        <f>"6935145391273088192"</f>
        <v>6935145391273088192</v>
      </c>
      <c r="F6205" s="1" t="str">
        <f t="shared" si="1919"/>
        <v>花都四部-凤凰仓</v>
      </c>
      <c r="G6205" s="1" t="str">
        <f t="shared" si="1924"/>
        <v>卡卡杜个人护理店（抖店）</v>
      </c>
      <c r="H6205" s="1" t="str">
        <f t="shared" si="1920"/>
        <v>正常订单</v>
      </c>
      <c r="I6205" s="1" t="str">
        <f t="shared" si="1921"/>
        <v>已发货</v>
      </c>
      <c r="J6205" s="1" t="str">
        <f t="shared" si="1922"/>
        <v>3</v>
      </c>
      <c r="K6205" s="1">
        <v>3</v>
      </c>
      <c r="L6205" s="1" t="s">
        <v>30</v>
      </c>
      <c r="M6205" s="1" t="str">
        <f>"山东省 德州市 乐陵市 市中街道"</f>
        <v>山东省 德州市 乐陵市 市中街道</v>
      </c>
      <c r="N6205" s="1" t="str">
        <f t="shared" si="1923"/>
        <v>凡华云仓-韵达-抖音</v>
      </c>
      <c r="O6205" s="5">
        <v>320177475493149</v>
      </c>
      <c r="P6205" s="6">
        <v>0.34</v>
      </c>
      <c r="Q6205" s="11">
        <v>2.2999999999999998</v>
      </c>
      <c r="R6205" s="11"/>
      <c r="S6205" s="11"/>
      <c r="T6205" s="11"/>
      <c r="U6205" s="11">
        <f t="shared" si="1917"/>
        <v>2.2999999999999998</v>
      </c>
      <c r="W6205">
        <v>2.5</v>
      </c>
      <c r="X6205" s="1" t="s">
        <v>30</v>
      </c>
    </row>
    <row r="6206" spans="1:24" x14ac:dyDescent="0.25">
      <c r="A6206" s="1" t="str">
        <f t="shared" si="1918"/>
        <v>卡卡杜-凤凰仓</v>
      </c>
      <c r="B6206" s="1" t="str">
        <f>"CK2024101810468"</f>
        <v>CK2024101810468</v>
      </c>
      <c r="C6206" s="1" t="str">
        <f>"DD2024101816546"</f>
        <v>DD2024101816546</v>
      </c>
      <c r="D6206" s="1" t="str">
        <f>"CK202410189874"</f>
        <v>CK202410189874</v>
      </c>
      <c r="E6206" s="1" t="str">
        <f>"6935153797647635653"</f>
        <v>6935153797647635653</v>
      </c>
      <c r="F6206" s="1" t="str">
        <f t="shared" si="1919"/>
        <v>花都四部-凤凰仓</v>
      </c>
      <c r="G6206" s="1" t="str">
        <f t="shared" si="1924"/>
        <v>卡卡杜个人护理店（抖店）</v>
      </c>
      <c r="H6206" s="1" t="str">
        <f t="shared" si="1920"/>
        <v>正常订单</v>
      </c>
      <c r="I6206" s="1" t="str">
        <f t="shared" si="1921"/>
        <v>已发货</v>
      </c>
      <c r="J6206" s="1" t="str">
        <f t="shared" si="1922"/>
        <v>3</v>
      </c>
      <c r="K6206" s="1">
        <v>3</v>
      </c>
      <c r="L6206" s="1" t="s">
        <v>92</v>
      </c>
      <c r="M6206" s="1" t="str">
        <f>"辽宁省 大连市 瓦房店市 祝华街道"</f>
        <v>辽宁省 大连市 瓦房店市 祝华街道</v>
      </c>
      <c r="N6206" s="1" t="str">
        <f t="shared" si="1923"/>
        <v>凡华云仓-韵达-抖音</v>
      </c>
      <c r="O6206" s="5">
        <v>320177475493060</v>
      </c>
      <c r="P6206" s="6">
        <v>0.34</v>
      </c>
      <c r="Q6206" s="11">
        <v>2.2999999999999998</v>
      </c>
      <c r="R6206" s="11"/>
      <c r="S6206" s="11"/>
      <c r="T6206" s="11"/>
      <c r="U6206" s="11">
        <f t="shared" si="1917"/>
        <v>2.2999999999999998</v>
      </c>
      <c r="W6206">
        <v>2.5</v>
      </c>
      <c r="X6206" s="1" t="s">
        <v>92</v>
      </c>
    </row>
    <row r="6207" spans="1:24" x14ac:dyDescent="0.25">
      <c r="A6207" s="1" t="str">
        <f t="shared" si="1918"/>
        <v>卡卡杜-凤凰仓</v>
      </c>
      <c r="B6207" s="1" t="str">
        <f>"CK2024101810652"</f>
        <v>CK2024101810652</v>
      </c>
      <c r="C6207" s="1" t="str">
        <f>"DD2024101816738"</f>
        <v>DD2024101816738</v>
      </c>
      <c r="D6207" s="1" t="str">
        <f>"CK202410189873"</f>
        <v>CK202410189873</v>
      </c>
      <c r="E6207" s="1" t="str">
        <f>"6935145314373539227"</f>
        <v>6935145314373539227</v>
      </c>
      <c r="F6207" s="1" t="str">
        <f t="shared" si="1919"/>
        <v>花都四部-凤凰仓</v>
      </c>
      <c r="G6207" s="1" t="str">
        <f t="shared" si="1924"/>
        <v>卡卡杜个人护理店（抖店）</v>
      </c>
      <c r="H6207" s="1" t="str">
        <f t="shared" si="1920"/>
        <v>正常订单</v>
      </c>
      <c r="I6207" s="1" t="str">
        <f t="shared" si="1921"/>
        <v>已发货</v>
      </c>
      <c r="J6207" s="1" t="str">
        <f t="shared" si="1922"/>
        <v>3</v>
      </c>
      <c r="K6207" s="1">
        <v>3</v>
      </c>
      <c r="L6207" s="1" t="s">
        <v>161</v>
      </c>
      <c r="M6207" s="1" t="str">
        <f>"四川省 成都市 金牛区 荷花池街道"</f>
        <v>四川省 成都市 金牛区 荷花池街道</v>
      </c>
      <c r="N6207" s="1" t="str">
        <f t="shared" si="1923"/>
        <v>凡华云仓-韵达-抖音</v>
      </c>
      <c r="O6207" s="5">
        <v>320177488086264</v>
      </c>
      <c r="P6207" s="6">
        <v>0.34</v>
      </c>
      <c r="Q6207" s="11">
        <v>2.2999999999999998</v>
      </c>
      <c r="R6207" s="11"/>
      <c r="S6207" s="11"/>
      <c r="T6207" s="11"/>
      <c r="U6207" s="11">
        <f t="shared" si="1917"/>
        <v>2.2999999999999998</v>
      </c>
      <c r="W6207">
        <v>2.5</v>
      </c>
      <c r="X6207" s="1" t="s">
        <v>161</v>
      </c>
    </row>
    <row r="6208" spans="1:24" x14ac:dyDescent="0.25">
      <c r="A6208" s="1" t="str">
        <f t="shared" si="1918"/>
        <v>卡卡杜-凤凰仓</v>
      </c>
      <c r="B6208" s="1" t="str">
        <f>"CK2024101810455"</f>
        <v>CK2024101810455</v>
      </c>
      <c r="C6208" s="1" t="str">
        <f>"DD2024101816534"</f>
        <v>DD2024101816534</v>
      </c>
      <c r="D6208" s="1" t="str">
        <f>"CK202410189872"</f>
        <v>CK202410189872</v>
      </c>
      <c r="E6208" s="1" t="str">
        <f>"6935147530935408272"</f>
        <v>6935147530935408272</v>
      </c>
      <c r="F6208" s="1" t="str">
        <f t="shared" si="1919"/>
        <v>花都四部-凤凰仓</v>
      </c>
      <c r="G6208" s="1" t="str">
        <f t="shared" si="1924"/>
        <v>卡卡杜个人护理店（抖店）</v>
      </c>
      <c r="H6208" s="1" t="str">
        <f t="shared" si="1920"/>
        <v>正常订单</v>
      </c>
      <c r="I6208" s="1" t="str">
        <f t="shared" si="1921"/>
        <v>已发货</v>
      </c>
      <c r="J6208" s="1" t="str">
        <f t="shared" si="1922"/>
        <v>3</v>
      </c>
      <c r="K6208" s="1">
        <v>3</v>
      </c>
      <c r="L6208" s="1" t="s">
        <v>30</v>
      </c>
      <c r="M6208" s="1" t="str">
        <f>"山东省 烟台市 莱山区 初家街道"</f>
        <v>山东省 烟台市 莱山区 初家街道</v>
      </c>
      <c r="N6208" s="1" t="str">
        <f t="shared" si="1923"/>
        <v>凡华云仓-韵达-抖音</v>
      </c>
      <c r="O6208" s="5">
        <v>320177488086173</v>
      </c>
      <c r="P6208" s="6">
        <v>0.34</v>
      </c>
      <c r="Q6208" s="11">
        <v>2.2999999999999998</v>
      </c>
      <c r="R6208" s="11"/>
      <c r="S6208" s="11"/>
      <c r="T6208" s="11"/>
      <c r="U6208" s="11">
        <f t="shared" si="1917"/>
        <v>2.2999999999999998</v>
      </c>
      <c r="W6208">
        <v>2.5</v>
      </c>
      <c r="X6208" s="1" t="s">
        <v>30</v>
      </c>
    </row>
    <row r="6209" spans="1:24" x14ac:dyDescent="0.25">
      <c r="A6209" s="1" t="str">
        <f t="shared" si="1918"/>
        <v>卡卡杜-凤凰仓</v>
      </c>
      <c r="B6209" s="1" t="str">
        <f>"CK2024101810466"</f>
        <v>CK2024101810466</v>
      </c>
      <c r="C6209" s="1" t="str">
        <f>"DD2024101816545"</f>
        <v>DD2024101816545</v>
      </c>
      <c r="D6209" s="1" t="str">
        <f>"CK202410189871"</f>
        <v>CK202410189871</v>
      </c>
      <c r="E6209" s="1" t="str">
        <f>"6935160990435841972"</f>
        <v>6935160990435841972</v>
      </c>
      <c r="F6209" s="1" t="str">
        <f t="shared" si="1919"/>
        <v>花都四部-凤凰仓</v>
      </c>
      <c r="G6209" s="1" t="str">
        <f t="shared" si="1924"/>
        <v>卡卡杜个人护理店（抖店）</v>
      </c>
      <c r="H6209" s="1" t="str">
        <f t="shared" si="1920"/>
        <v>正常订单</v>
      </c>
      <c r="I6209" s="1" t="str">
        <f t="shared" si="1921"/>
        <v>已发货</v>
      </c>
      <c r="J6209" s="1" t="str">
        <f t="shared" si="1922"/>
        <v>3</v>
      </c>
      <c r="K6209" s="1">
        <v>3</v>
      </c>
      <c r="L6209" s="1" t="s">
        <v>24</v>
      </c>
      <c r="M6209" s="1" t="str">
        <f>"福建省 厦门市 集美区 后溪镇"</f>
        <v>福建省 厦门市 集美区 后溪镇</v>
      </c>
      <c r="N6209" s="1" t="str">
        <f t="shared" si="1923"/>
        <v>凡华云仓-韵达-抖音</v>
      </c>
      <c r="O6209" s="5">
        <v>320177488086084</v>
      </c>
      <c r="P6209" s="6">
        <v>0.34</v>
      </c>
      <c r="Q6209" s="11">
        <v>2.2999999999999998</v>
      </c>
      <c r="R6209" s="11"/>
      <c r="S6209" s="11"/>
      <c r="T6209" s="11"/>
      <c r="U6209" s="11">
        <f t="shared" si="1917"/>
        <v>2.2999999999999998</v>
      </c>
      <c r="W6209">
        <v>2.5</v>
      </c>
      <c r="X6209" s="1" t="s">
        <v>24</v>
      </c>
    </row>
    <row r="6210" spans="1:24" x14ac:dyDescent="0.25">
      <c r="A6210" s="1" t="str">
        <f t="shared" si="1918"/>
        <v>卡卡杜-凤凰仓</v>
      </c>
      <c r="B6210" s="1" t="str">
        <f>"CK2024101810467"</f>
        <v>CK2024101810467</v>
      </c>
      <c r="C6210" s="1" t="str">
        <f>"DD2024101816547"</f>
        <v>DD2024101816547</v>
      </c>
      <c r="D6210" s="1" t="str">
        <f>"CK202410189870"</f>
        <v>CK202410189870</v>
      </c>
      <c r="E6210" s="1" t="str">
        <f>"6918020462664187019"</f>
        <v>6918020462664187019</v>
      </c>
      <c r="F6210" s="1" t="str">
        <f t="shared" si="1919"/>
        <v>花都四部-凤凰仓</v>
      </c>
      <c r="G6210" s="1" t="str">
        <f t="shared" si="1924"/>
        <v>卡卡杜个人护理店（抖店）</v>
      </c>
      <c r="H6210" s="1" t="str">
        <f t="shared" si="1920"/>
        <v>正常订单</v>
      </c>
      <c r="I6210" s="1" t="str">
        <f t="shared" si="1921"/>
        <v>已发货</v>
      </c>
      <c r="J6210" s="1" t="str">
        <f t="shared" si="1922"/>
        <v>3</v>
      </c>
      <c r="K6210" s="1">
        <v>3</v>
      </c>
      <c r="L6210" s="1" t="s">
        <v>30</v>
      </c>
      <c r="M6210" s="1" t="str">
        <f>"山东省 临沂市 河东区 九曲街道"</f>
        <v>山东省 临沂市 河东区 九曲街道</v>
      </c>
      <c r="N6210" s="1" t="str">
        <f t="shared" si="1923"/>
        <v>凡华云仓-韵达-抖音</v>
      </c>
      <c r="O6210" s="5">
        <v>320177488085958</v>
      </c>
      <c r="P6210" s="6">
        <v>0.34</v>
      </c>
      <c r="Q6210" s="11">
        <v>2.2999999999999998</v>
      </c>
      <c r="R6210" s="11"/>
      <c r="S6210" s="11"/>
      <c r="T6210" s="11"/>
      <c r="U6210" s="11">
        <f t="shared" si="1917"/>
        <v>2.2999999999999998</v>
      </c>
      <c r="W6210">
        <v>2.5</v>
      </c>
      <c r="X6210" s="1" t="s">
        <v>30</v>
      </c>
    </row>
    <row r="6211" spans="1:24" x14ac:dyDescent="0.25">
      <c r="A6211" s="1" t="str">
        <f t="shared" si="1918"/>
        <v>卡卡杜-凤凰仓</v>
      </c>
      <c r="B6211" s="1" t="str">
        <f>"CK2024101810469"</f>
        <v>CK2024101810469</v>
      </c>
      <c r="C6211" s="1" t="str">
        <f>"DD2024101816548"</f>
        <v>DD2024101816548</v>
      </c>
      <c r="D6211" s="1" t="str">
        <f>"CK202410189869"</f>
        <v>CK202410189869</v>
      </c>
      <c r="E6211" s="1" t="str">
        <f>"6935160992022992636"</f>
        <v>6935160992022992636</v>
      </c>
      <c r="F6211" s="1" t="str">
        <f t="shared" si="1919"/>
        <v>花都四部-凤凰仓</v>
      </c>
      <c r="G6211" s="1" t="str">
        <f t="shared" si="1924"/>
        <v>卡卡杜个人护理店（抖店）</v>
      </c>
      <c r="H6211" s="1" t="str">
        <f t="shared" si="1920"/>
        <v>正常订单</v>
      </c>
      <c r="I6211" s="1" t="str">
        <f t="shared" si="1921"/>
        <v>已发货</v>
      </c>
      <c r="J6211" s="1" t="str">
        <f t="shared" si="1922"/>
        <v>3</v>
      </c>
      <c r="K6211" s="1">
        <v>3</v>
      </c>
      <c r="L6211" s="1" t="s">
        <v>80</v>
      </c>
      <c r="M6211" s="1" t="str">
        <f>"河南省 郑州市 惠济区 迎宾路街道"</f>
        <v>河南省 郑州市 惠济区 迎宾路街道</v>
      </c>
      <c r="N6211" s="1" t="str">
        <f t="shared" si="1923"/>
        <v>凡华云仓-韵达-抖音</v>
      </c>
      <c r="O6211" s="5">
        <v>320177488085853</v>
      </c>
      <c r="P6211" s="6">
        <v>0.34</v>
      </c>
      <c r="Q6211" s="11">
        <v>2.2999999999999998</v>
      </c>
      <c r="R6211" s="11"/>
      <c r="S6211" s="11"/>
      <c r="T6211" s="11"/>
      <c r="U6211" s="11">
        <f t="shared" ref="U6211:U6274" si="1925">T6211+S6211+R6211+Q6211</f>
        <v>2.2999999999999998</v>
      </c>
      <c r="W6211">
        <v>2.5</v>
      </c>
      <c r="X6211" s="1" t="s">
        <v>80</v>
      </c>
    </row>
    <row r="6212" spans="1:24" x14ac:dyDescent="0.25">
      <c r="A6212" s="1" t="str">
        <f t="shared" si="1918"/>
        <v>卡卡杜-凤凰仓</v>
      </c>
      <c r="B6212" s="1" t="str">
        <f>"CK2024101810470"</f>
        <v>CK2024101810470</v>
      </c>
      <c r="C6212" s="1" t="str">
        <f>"DD2024101816549"</f>
        <v>DD2024101816549</v>
      </c>
      <c r="D6212" s="1" t="str">
        <f>"CK202410189868"</f>
        <v>CK202410189868</v>
      </c>
      <c r="E6212" s="1" t="str">
        <f>"6935151531511125193"</f>
        <v>6935151531511125193</v>
      </c>
      <c r="F6212" s="1" t="str">
        <f t="shared" si="1919"/>
        <v>花都四部-凤凰仓</v>
      </c>
      <c r="G6212" s="1" t="str">
        <f t="shared" si="1924"/>
        <v>卡卡杜个人护理店（抖店）</v>
      </c>
      <c r="H6212" s="1" t="str">
        <f t="shared" si="1920"/>
        <v>正常订单</v>
      </c>
      <c r="I6212" s="1" t="str">
        <f t="shared" si="1921"/>
        <v>已发货</v>
      </c>
      <c r="J6212" s="1" t="str">
        <f>"6"</f>
        <v>6</v>
      </c>
      <c r="K6212" s="1">
        <v>3</v>
      </c>
      <c r="L6212" s="1" t="s">
        <v>27</v>
      </c>
      <c r="M6212" s="1" t="str">
        <f>"贵州省 贵阳市 清镇市 卫城镇"</f>
        <v>贵州省 贵阳市 清镇市 卫城镇</v>
      </c>
      <c r="N6212" s="1" t="str">
        <f t="shared" si="1923"/>
        <v>凡华云仓-韵达-抖音</v>
      </c>
      <c r="O6212" s="5">
        <v>320177488085750</v>
      </c>
      <c r="P6212" s="6">
        <v>0.55000000000000004</v>
      </c>
      <c r="Q6212" s="11">
        <f>CEILING(P6212-0.5,0.1)*10*0.15+2.3</f>
        <v>2.4499999999999997</v>
      </c>
      <c r="R6212" s="11"/>
      <c r="S6212" s="11"/>
      <c r="T6212" s="11"/>
      <c r="U6212" s="11">
        <f t="shared" si="1925"/>
        <v>2.4499999999999997</v>
      </c>
      <c r="V6212" t="s">
        <v>15</v>
      </c>
      <c r="W6212">
        <v>2.4500000000000002</v>
      </c>
      <c r="X6212" s="1" t="s">
        <v>27</v>
      </c>
    </row>
    <row r="6213" spans="1:24" x14ac:dyDescent="0.25">
      <c r="A6213" s="1" t="str">
        <f t="shared" ref="A6213:A6276" si="1926">"卡卡杜-凤凰仓"</f>
        <v>卡卡杜-凤凰仓</v>
      </c>
      <c r="B6213" s="1" t="str">
        <f>"CK2024101810471"</f>
        <v>CK2024101810471</v>
      </c>
      <c r="C6213" s="1" t="str">
        <f>"DD2024101816550"</f>
        <v>DD2024101816550</v>
      </c>
      <c r="D6213" s="1" t="str">
        <f>"CK202410189867"</f>
        <v>CK202410189867</v>
      </c>
      <c r="E6213" s="1" t="str">
        <f>"6935158370640401824"</f>
        <v>6935158370640401824</v>
      </c>
      <c r="F6213" s="1" t="str">
        <f t="shared" ref="F6213:F6276" si="1927">"花都四部-凤凰仓"</f>
        <v>花都四部-凤凰仓</v>
      </c>
      <c r="G6213" s="1" t="str">
        <f t="shared" si="1924"/>
        <v>卡卡杜个人护理店（抖店）</v>
      </c>
      <c r="H6213" s="1" t="str">
        <f t="shared" ref="H6213:H6276" si="1928">"正常订单"</f>
        <v>正常订单</v>
      </c>
      <c r="I6213" s="1" t="str">
        <f t="shared" ref="I6213:I6276" si="1929">"已发货"</f>
        <v>已发货</v>
      </c>
      <c r="J6213" s="1" t="str">
        <f t="shared" ref="J6213:J6223" si="1930">"3"</f>
        <v>3</v>
      </c>
      <c r="K6213" s="1">
        <v>3</v>
      </c>
      <c r="L6213" s="1" t="s">
        <v>41</v>
      </c>
      <c r="M6213" s="1" t="str">
        <f>"湖北省 武汉市 汉阳区 建桥街道"</f>
        <v>湖北省 武汉市 汉阳区 建桥街道</v>
      </c>
      <c r="N6213" s="1" t="str">
        <f t="shared" si="1923"/>
        <v>凡华云仓-韵达-抖音</v>
      </c>
      <c r="O6213" s="5">
        <v>320177488085649</v>
      </c>
      <c r="P6213" s="6">
        <v>0.34</v>
      </c>
      <c r="Q6213" s="11">
        <v>2.2999999999999998</v>
      </c>
      <c r="R6213" s="11"/>
      <c r="S6213" s="11"/>
      <c r="T6213" s="11"/>
      <c r="U6213" s="11">
        <f t="shared" si="1925"/>
        <v>2.2999999999999998</v>
      </c>
      <c r="W6213">
        <v>2.5</v>
      </c>
      <c r="X6213" s="1" t="s">
        <v>41</v>
      </c>
    </row>
    <row r="6214" spans="1:24" x14ac:dyDescent="0.25">
      <c r="A6214" s="1" t="str">
        <f t="shared" si="1926"/>
        <v>卡卡杜-凤凰仓</v>
      </c>
      <c r="B6214" s="1" t="str">
        <f>"CK2024101810473"</f>
        <v>CK2024101810473</v>
      </c>
      <c r="C6214" s="1" t="str">
        <f>"DD2024101816552"</f>
        <v>DD2024101816552</v>
      </c>
      <c r="D6214" s="1" t="str">
        <f>"CK202410189866"</f>
        <v>CK202410189866</v>
      </c>
      <c r="E6214" s="1" t="str">
        <f>"6935147350653998861"</f>
        <v>6935147350653998861</v>
      </c>
      <c r="F6214" s="1" t="str">
        <f t="shared" si="1927"/>
        <v>花都四部-凤凰仓</v>
      </c>
      <c r="G6214" s="1" t="str">
        <f t="shared" si="1924"/>
        <v>卡卡杜个人护理店（抖店）</v>
      </c>
      <c r="H6214" s="1" t="str">
        <f t="shared" si="1928"/>
        <v>正常订单</v>
      </c>
      <c r="I6214" s="1" t="str">
        <f t="shared" si="1929"/>
        <v>已发货</v>
      </c>
      <c r="J6214" s="1" t="str">
        <f t="shared" si="1930"/>
        <v>3</v>
      </c>
      <c r="K6214" s="1">
        <v>3</v>
      </c>
      <c r="L6214" s="1" t="s">
        <v>30</v>
      </c>
      <c r="M6214" s="1" t="str">
        <f>"山东省 潍坊市 寒亭区 大家洼街道"</f>
        <v>山东省 潍坊市 寒亭区 大家洼街道</v>
      </c>
      <c r="N6214" s="1" t="str">
        <f t="shared" si="1923"/>
        <v>凡华云仓-韵达-抖音</v>
      </c>
      <c r="O6214" s="5">
        <v>320177488085550</v>
      </c>
      <c r="P6214" s="6">
        <v>0.34</v>
      </c>
      <c r="Q6214" s="11">
        <v>2.2999999999999998</v>
      </c>
      <c r="R6214" s="11"/>
      <c r="S6214" s="11"/>
      <c r="T6214" s="11"/>
      <c r="U6214" s="11">
        <f t="shared" si="1925"/>
        <v>2.2999999999999998</v>
      </c>
      <c r="W6214">
        <v>2.5</v>
      </c>
      <c r="X6214" s="1" t="s">
        <v>30</v>
      </c>
    </row>
    <row r="6215" spans="1:24" x14ac:dyDescent="0.25">
      <c r="A6215" s="1" t="str">
        <f t="shared" si="1926"/>
        <v>卡卡杜-凤凰仓</v>
      </c>
      <c r="B6215" s="1" t="str">
        <f>"CK2024101810474"</f>
        <v>CK2024101810474</v>
      </c>
      <c r="C6215" s="1" t="str">
        <f>"DD2024101816553"</f>
        <v>DD2024101816553</v>
      </c>
      <c r="D6215" s="1" t="str">
        <f>"CK202410189865"</f>
        <v>CK202410189865</v>
      </c>
      <c r="E6215" s="1" t="str">
        <f>"6935172048000390908"</f>
        <v>6935172048000390908</v>
      </c>
      <c r="F6215" s="1" t="str">
        <f t="shared" si="1927"/>
        <v>花都四部-凤凰仓</v>
      </c>
      <c r="G6215" s="1" t="str">
        <f t="shared" si="1924"/>
        <v>卡卡杜个人护理店（抖店）</v>
      </c>
      <c r="H6215" s="1" t="str">
        <f t="shared" si="1928"/>
        <v>正常订单</v>
      </c>
      <c r="I6215" s="1" t="str">
        <f t="shared" si="1929"/>
        <v>已发货</v>
      </c>
      <c r="J6215" s="1" t="str">
        <f t="shared" si="1930"/>
        <v>3</v>
      </c>
      <c r="K6215" s="1">
        <v>3</v>
      </c>
      <c r="L6215" s="1" t="s">
        <v>80</v>
      </c>
      <c r="M6215" s="1" t="str">
        <f>"河南省 开封市 杞县 金城街道"</f>
        <v>河南省 开封市 杞县 金城街道</v>
      </c>
      <c r="N6215" s="1" t="str">
        <f t="shared" si="1923"/>
        <v>凡华云仓-韵达-抖音</v>
      </c>
      <c r="O6215" s="5">
        <v>320177488085453</v>
      </c>
      <c r="P6215" s="6">
        <v>0.34</v>
      </c>
      <c r="Q6215" s="11">
        <v>2.2999999999999998</v>
      </c>
      <c r="R6215" s="11"/>
      <c r="S6215" s="11"/>
      <c r="T6215" s="11"/>
      <c r="U6215" s="11">
        <f t="shared" si="1925"/>
        <v>2.2999999999999998</v>
      </c>
      <c r="W6215">
        <v>2.5</v>
      </c>
      <c r="X6215" s="1" t="s">
        <v>80</v>
      </c>
    </row>
    <row r="6216" spans="1:24" x14ac:dyDescent="0.25">
      <c r="A6216" s="1" t="str">
        <f t="shared" si="1926"/>
        <v>卡卡杜-凤凰仓</v>
      </c>
      <c r="B6216" s="1" t="str">
        <f>"CK2024101810472"</f>
        <v>CK2024101810472</v>
      </c>
      <c r="C6216" s="1" t="str">
        <f>"DD2024101816551"</f>
        <v>DD2024101816551</v>
      </c>
      <c r="D6216" s="1" t="str">
        <f>"CK202410189864"</f>
        <v>CK202410189864</v>
      </c>
      <c r="E6216" s="1" t="str">
        <f>"6935167476407670513"</f>
        <v>6935167476407670513</v>
      </c>
      <c r="F6216" s="1" t="str">
        <f t="shared" si="1927"/>
        <v>花都四部-凤凰仓</v>
      </c>
      <c r="G6216" s="1" t="str">
        <f t="shared" si="1924"/>
        <v>卡卡杜个人护理店（抖店）</v>
      </c>
      <c r="H6216" s="1" t="str">
        <f t="shared" si="1928"/>
        <v>正常订单</v>
      </c>
      <c r="I6216" s="1" t="str">
        <f t="shared" si="1929"/>
        <v>已发货</v>
      </c>
      <c r="J6216" s="1" t="str">
        <f t="shared" si="1930"/>
        <v>3</v>
      </c>
      <c r="K6216" s="1">
        <v>3</v>
      </c>
      <c r="L6216" s="1" t="s">
        <v>16</v>
      </c>
      <c r="M6216" s="1" t="str">
        <f>"河北省 邯郸市 涉县 西戌镇"</f>
        <v>河北省 邯郸市 涉县 西戌镇</v>
      </c>
      <c r="N6216" s="1" t="str">
        <f t="shared" si="1923"/>
        <v>凡华云仓-韵达-抖音</v>
      </c>
      <c r="O6216" s="5">
        <v>320177488085358</v>
      </c>
      <c r="P6216" s="6">
        <v>0.34</v>
      </c>
      <c r="Q6216" s="11">
        <v>2.2999999999999998</v>
      </c>
      <c r="R6216" s="11"/>
      <c r="S6216" s="11"/>
      <c r="T6216" s="11"/>
      <c r="U6216" s="11">
        <f t="shared" si="1925"/>
        <v>2.2999999999999998</v>
      </c>
      <c r="W6216">
        <v>2.5</v>
      </c>
      <c r="X6216" s="1" t="s">
        <v>16</v>
      </c>
    </row>
    <row r="6217" spans="1:24" x14ac:dyDescent="0.25">
      <c r="A6217" s="1" t="str">
        <f t="shared" si="1926"/>
        <v>卡卡杜-凤凰仓</v>
      </c>
      <c r="B6217" s="1" t="str">
        <f>"CK2024101810475"</f>
        <v>CK2024101810475</v>
      </c>
      <c r="C6217" s="1" t="str">
        <f>"DD2024101816554"</f>
        <v>DD2024101816554</v>
      </c>
      <c r="D6217" s="1" t="str">
        <f>"CK202410189863"</f>
        <v>CK202410189863</v>
      </c>
      <c r="E6217" s="1" t="str">
        <f>"6935167582420014120"</f>
        <v>6935167582420014120</v>
      </c>
      <c r="F6217" s="1" t="str">
        <f t="shared" si="1927"/>
        <v>花都四部-凤凰仓</v>
      </c>
      <c r="G6217" s="1" t="str">
        <f t="shared" si="1924"/>
        <v>卡卡杜个人护理店（抖店）</v>
      </c>
      <c r="H6217" s="1" t="str">
        <f t="shared" si="1928"/>
        <v>正常订单</v>
      </c>
      <c r="I6217" s="1" t="str">
        <f t="shared" si="1929"/>
        <v>已发货</v>
      </c>
      <c r="J6217" s="1" t="str">
        <f t="shared" si="1930"/>
        <v>3</v>
      </c>
      <c r="K6217" s="1">
        <v>3</v>
      </c>
      <c r="L6217" s="1" t="s">
        <v>32</v>
      </c>
      <c r="M6217" s="1" t="str">
        <f>"陕西省 汉中市 宁强县 汉源街道"</f>
        <v>陕西省 汉中市 宁强县 汉源街道</v>
      </c>
      <c r="N6217" s="1" t="str">
        <f t="shared" si="1923"/>
        <v>凡华云仓-韵达-抖音</v>
      </c>
      <c r="O6217" s="5">
        <v>320177478443331</v>
      </c>
      <c r="P6217" s="6">
        <v>0.34</v>
      </c>
      <c r="Q6217" s="11">
        <v>2.2999999999999998</v>
      </c>
      <c r="R6217" s="11"/>
      <c r="S6217" s="11"/>
      <c r="T6217" s="11"/>
      <c r="U6217" s="11">
        <f t="shared" si="1925"/>
        <v>2.2999999999999998</v>
      </c>
      <c r="W6217">
        <v>2.5</v>
      </c>
      <c r="X6217" s="1" t="s">
        <v>32</v>
      </c>
    </row>
    <row r="6218" spans="1:24" x14ac:dyDescent="0.25">
      <c r="A6218" s="1" t="str">
        <f t="shared" si="1926"/>
        <v>卡卡杜-凤凰仓</v>
      </c>
      <c r="B6218" s="1" t="str">
        <f>"CK2024101810476"</f>
        <v>CK2024101810476</v>
      </c>
      <c r="C6218" s="1" t="str">
        <f>"DD2024101816555"</f>
        <v>DD2024101816555</v>
      </c>
      <c r="D6218" s="1" t="str">
        <f>"CK202410189862"</f>
        <v>CK202410189862</v>
      </c>
      <c r="E6218" s="1" t="str">
        <f>"6935147360469456828"</f>
        <v>6935147360469456828</v>
      </c>
      <c r="F6218" s="1" t="str">
        <f t="shared" si="1927"/>
        <v>花都四部-凤凰仓</v>
      </c>
      <c r="G6218" s="1" t="str">
        <f t="shared" si="1924"/>
        <v>卡卡杜个人护理店（抖店）</v>
      </c>
      <c r="H6218" s="1" t="str">
        <f t="shared" si="1928"/>
        <v>正常订单</v>
      </c>
      <c r="I6218" s="1" t="str">
        <f t="shared" si="1929"/>
        <v>已发货</v>
      </c>
      <c r="J6218" s="1" t="str">
        <f t="shared" si="1930"/>
        <v>3</v>
      </c>
      <c r="K6218" s="1">
        <v>3</v>
      </c>
      <c r="L6218" s="1" t="s">
        <v>74</v>
      </c>
      <c r="M6218" s="1" t="str">
        <f>"上海 上海市 闵行区 颛桥镇"</f>
        <v>上海 上海市 闵行区 颛桥镇</v>
      </c>
      <c r="N6218" s="1" t="str">
        <f t="shared" si="1923"/>
        <v>凡华云仓-韵达-抖音</v>
      </c>
      <c r="O6218" s="5">
        <v>320177478443238</v>
      </c>
      <c r="P6218" s="6">
        <v>0.34</v>
      </c>
      <c r="Q6218" s="11">
        <v>2.2999999999999998</v>
      </c>
      <c r="R6218" s="11"/>
      <c r="S6218" s="11"/>
      <c r="T6218" s="11"/>
      <c r="U6218" s="11">
        <f t="shared" si="1925"/>
        <v>2.2999999999999998</v>
      </c>
      <c r="W6218">
        <v>2.5</v>
      </c>
      <c r="X6218" s="1" t="s">
        <v>74</v>
      </c>
    </row>
    <row r="6219" spans="1:24" x14ac:dyDescent="0.25">
      <c r="A6219" s="1" t="str">
        <f t="shared" si="1926"/>
        <v>卡卡杜-凤凰仓</v>
      </c>
      <c r="B6219" s="1" t="str">
        <f>"CK2024101810478"</f>
        <v>CK2024101810478</v>
      </c>
      <c r="C6219" s="1" t="str">
        <f>"DD2024101816557"</f>
        <v>DD2024101816557</v>
      </c>
      <c r="D6219" s="1" t="str">
        <f>"CK202410189861"</f>
        <v>CK202410189861</v>
      </c>
      <c r="E6219" s="1" t="str">
        <f>"6935162891016934549"</f>
        <v>6935162891016934549</v>
      </c>
      <c r="F6219" s="1" t="str">
        <f t="shared" si="1927"/>
        <v>花都四部-凤凰仓</v>
      </c>
      <c r="G6219" s="1" t="str">
        <f t="shared" si="1924"/>
        <v>卡卡杜个人护理店（抖店）</v>
      </c>
      <c r="H6219" s="1" t="str">
        <f t="shared" si="1928"/>
        <v>正常订单</v>
      </c>
      <c r="I6219" s="1" t="str">
        <f t="shared" si="1929"/>
        <v>已发货</v>
      </c>
      <c r="J6219" s="1" t="str">
        <f t="shared" si="1930"/>
        <v>3</v>
      </c>
      <c r="K6219" s="1">
        <v>3</v>
      </c>
      <c r="L6219" s="1" t="s">
        <v>30</v>
      </c>
      <c r="M6219" s="1" t="str">
        <f>"山东省 青岛市 胶州市 九龙街道"</f>
        <v>山东省 青岛市 胶州市 九龙街道</v>
      </c>
      <c r="N6219" s="1" t="str">
        <f t="shared" si="1923"/>
        <v>凡华云仓-韵达-抖音</v>
      </c>
      <c r="O6219" s="5">
        <v>320177478443147</v>
      </c>
      <c r="P6219" s="6">
        <v>0.34</v>
      </c>
      <c r="Q6219" s="11">
        <v>2.2999999999999998</v>
      </c>
      <c r="R6219" s="11"/>
      <c r="S6219" s="11"/>
      <c r="T6219" s="11"/>
      <c r="U6219" s="11">
        <f t="shared" si="1925"/>
        <v>2.2999999999999998</v>
      </c>
      <c r="W6219">
        <v>2.5</v>
      </c>
      <c r="X6219" s="1" t="s">
        <v>30</v>
      </c>
    </row>
    <row r="6220" spans="1:24" x14ac:dyDescent="0.25">
      <c r="A6220" s="1" t="str">
        <f t="shared" si="1926"/>
        <v>卡卡杜-凤凰仓</v>
      </c>
      <c r="B6220" s="1" t="str">
        <f>"CK2024101810479"</f>
        <v>CK2024101810479</v>
      </c>
      <c r="C6220" s="1" t="str">
        <f>"DD2024101816558"</f>
        <v>DD2024101816558</v>
      </c>
      <c r="D6220" s="1" t="str">
        <f>"CK202410189860"</f>
        <v>CK202410189860</v>
      </c>
      <c r="E6220" s="1" t="str">
        <f>"6935149924815541507"</f>
        <v>6935149924815541507</v>
      </c>
      <c r="F6220" s="1" t="str">
        <f t="shared" si="1927"/>
        <v>花都四部-凤凰仓</v>
      </c>
      <c r="G6220" s="1" t="str">
        <f t="shared" si="1924"/>
        <v>卡卡杜个人护理店（抖店）</v>
      </c>
      <c r="H6220" s="1" t="str">
        <f t="shared" si="1928"/>
        <v>正常订单</v>
      </c>
      <c r="I6220" s="1" t="str">
        <f t="shared" si="1929"/>
        <v>已发货</v>
      </c>
      <c r="J6220" s="1" t="str">
        <f t="shared" si="1930"/>
        <v>3</v>
      </c>
      <c r="K6220" s="1">
        <v>3</v>
      </c>
      <c r="L6220" s="1" t="s">
        <v>30</v>
      </c>
      <c r="M6220" s="1" t="str">
        <f>"山东省 泰安市 肥城市 新城街道"</f>
        <v>山东省 泰安市 肥城市 新城街道</v>
      </c>
      <c r="N6220" s="1" t="str">
        <f t="shared" si="1923"/>
        <v>凡华云仓-韵达-抖音</v>
      </c>
      <c r="O6220" s="5">
        <v>320177478443058</v>
      </c>
      <c r="P6220" s="6">
        <v>0.34</v>
      </c>
      <c r="Q6220" s="11">
        <v>2.2999999999999998</v>
      </c>
      <c r="R6220" s="11"/>
      <c r="S6220" s="11"/>
      <c r="T6220" s="11"/>
      <c r="U6220" s="11">
        <f t="shared" si="1925"/>
        <v>2.2999999999999998</v>
      </c>
      <c r="W6220">
        <v>2.5</v>
      </c>
      <c r="X6220" s="1" t="s">
        <v>30</v>
      </c>
    </row>
    <row r="6221" spans="1:24" x14ac:dyDescent="0.25">
      <c r="A6221" s="1" t="str">
        <f t="shared" si="1926"/>
        <v>卡卡杜-凤凰仓</v>
      </c>
      <c r="B6221" s="1" t="str">
        <f>"CK2024101810481"</f>
        <v>CK2024101810481</v>
      </c>
      <c r="C6221" s="1" t="str">
        <f>"DD2024101816562"</f>
        <v>DD2024101816562</v>
      </c>
      <c r="D6221" s="1" t="str">
        <f>"CK202410189859"</f>
        <v>CK202410189859</v>
      </c>
      <c r="E6221" s="1" t="str">
        <f>"6935145347445954528"</f>
        <v>6935145347445954528</v>
      </c>
      <c r="F6221" s="1" t="str">
        <f t="shared" si="1927"/>
        <v>花都四部-凤凰仓</v>
      </c>
      <c r="G6221" s="1" t="str">
        <f t="shared" si="1924"/>
        <v>卡卡杜个人护理店（抖店）</v>
      </c>
      <c r="H6221" s="1" t="str">
        <f t="shared" si="1928"/>
        <v>正常订单</v>
      </c>
      <c r="I6221" s="1" t="str">
        <f t="shared" si="1929"/>
        <v>已发货</v>
      </c>
      <c r="J6221" s="1" t="str">
        <f t="shared" si="1930"/>
        <v>3</v>
      </c>
      <c r="K6221" s="1">
        <v>3</v>
      </c>
      <c r="L6221" s="1" t="s">
        <v>32</v>
      </c>
      <c r="M6221" s="1" t="str">
        <f>"陕西省 西安市 灞桥区 席王街道"</f>
        <v>陕西省 西安市 灞桥区 席王街道</v>
      </c>
      <c r="N6221" s="1" t="str">
        <f t="shared" si="1923"/>
        <v>凡华云仓-韵达-抖音</v>
      </c>
      <c r="O6221" s="5">
        <v>320177478442938</v>
      </c>
      <c r="P6221" s="6">
        <v>0.34</v>
      </c>
      <c r="Q6221" s="11">
        <v>2.2999999999999998</v>
      </c>
      <c r="R6221" s="11"/>
      <c r="S6221" s="11"/>
      <c r="T6221" s="11"/>
      <c r="U6221" s="11">
        <f t="shared" si="1925"/>
        <v>2.2999999999999998</v>
      </c>
      <c r="W6221">
        <v>2.5</v>
      </c>
      <c r="X6221" s="1" t="s">
        <v>32</v>
      </c>
    </row>
    <row r="6222" spans="1:24" x14ac:dyDescent="0.25">
      <c r="A6222" s="1" t="str">
        <f t="shared" si="1926"/>
        <v>卡卡杜-凤凰仓</v>
      </c>
      <c r="B6222" s="1" t="str">
        <f>"CK2024101810477"</f>
        <v>CK2024101810477</v>
      </c>
      <c r="C6222" s="1" t="str">
        <f>"DD2024101816556"</f>
        <v>DD2024101816556</v>
      </c>
      <c r="D6222" s="1" t="str">
        <f>"CK202410189858"</f>
        <v>CK202410189858</v>
      </c>
      <c r="E6222" s="1" t="str">
        <f>"6935143488598971794"</f>
        <v>6935143488598971794</v>
      </c>
      <c r="F6222" s="1" t="str">
        <f t="shared" si="1927"/>
        <v>花都四部-凤凰仓</v>
      </c>
      <c r="G6222" s="1" t="str">
        <f t="shared" si="1924"/>
        <v>卡卡杜个人护理店（抖店）</v>
      </c>
      <c r="H6222" s="1" t="str">
        <f t="shared" si="1928"/>
        <v>正常订单</v>
      </c>
      <c r="I6222" s="1" t="str">
        <f t="shared" si="1929"/>
        <v>已发货</v>
      </c>
      <c r="J6222" s="1" t="str">
        <f t="shared" si="1930"/>
        <v>3</v>
      </c>
      <c r="K6222" s="1">
        <v>3</v>
      </c>
      <c r="L6222" s="1" t="s">
        <v>16</v>
      </c>
      <c r="M6222" s="1" t="str">
        <f>"河北省 邯郸市 丛台区 丛台东街道"</f>
        <v>河北省 邯郸市 丛台区 丛台东街道</v>
      </c>
      <c r="N6222" s="1" t="str">
        <f t="shared" si="1923"/>
        <v>凡华云仓-韵达-抖音</v>
      </c>
      <c r="O6222" s="5">
        <v>320177478442833</v>
      </c>
      <c r="P6222" s="6">
        <v>0.34</v>
      </c>
      <c r="Q6222" s="11">
        <v>2.2999999999999998</v>
      </c>
      <c r="R6222" s="11"/>
      <c r="S6222" s="11"/>
      <c r="T6222" s="11"/>
      <c r="U6222" s="11">
        <f t="shared" si="1925"/>
        <v>2.2999999999999998</v>
      </c>
      <c r="W6222">
        <v>2.5</v>
      </c>
      <c r="X6222" s="1" t="s">
        <v>16</v>
      </c>
    </row>
    <row r="6223" spans="1:24" x14ac:dyDescent="0.25">
      <c r="A6223" s="1" t="str">
        <f t="shared" si="1926"/>
        <v>卡卡杜-凤凰仓</v>
      </c>
      <c r="B6223" s="1" t="str">
        <f>"CK2024101810480"</f>
        <v>CK2024101810480</v>
      </c>
      <c r="C6223" s="1" t="str">
        <f>"DD2024101816559"</f>
        <v>DD2024101816559</v>
      </c>
      <c r="D6223" s="1" t="str">
        <f>"CK202410189857"</f>
        <v>CK202410189857</v>
      </c>
      <c r="E6223" s="1" t="str">
        <f>"6935162901554468147"</f>
        <v>6935162901554468147</v>
      </c>
      <c r="F6223" s="1" t="str">
        <f t="shared" si="1927"/>
        <v>花都四部-凤凰仓</v>
      </c>
      <c r="G6223" s="1" t="str">
        <f t="shared" si="1924"/>
        <v>卡卡杜个人护理店（抖店）</v>
      </c>
      <c r="H6223" s="1" t="str">
        <f t="shared" si="1928"/>
        <v>正常订单</v>
      </c>
      <c r="I6223" s="1" t="str">
        <f t="shared" si="1929"/>
        <v>已发货</v>
      </c>
      <c r="J6223" s="1" t="str">
        <f t="shared" si="1930"/>
        <v>3</v>
      </c>
      <c r="K6223" s="1">
        <v>3</v>
      </c>
      <c r="L6223" s="1" t="s">
        <v>13</v>
      </c>
      <c r="M6223" s="1" t="str">
        <f>"江苏省 常州市 武进区 礼嘉镇"</f>
        <v>江苏省 常州市 武进区 礼嘉镇</v>
      </c>
      <c r="N6223" s="1" t="str">
        <f t="shared" si="1923"/>
        <v>凡华云仓-韵达-抖音</v>
      </c>
      <c r="O6223" s="5">
        <v>320177478442730</v>
      </c>
      <c r="P6223" s="6">
        <v>0.34</v>
      </c>
      <c r="Q6223" s="11">
        <v>2.2999999999999998</v>
      </c>
      <c r="R6223" s="11"/>
      <c r="S6223" s="11"/>
      <c r="T6223" s="11"/>
      <c r="U6223" s="11">
        <f t="shared" si="1925"/>
        <v>2.2999999999999998</v>
      </c>
      <c r="W6223">
        <v>2.5</v>
      </c>
      <c r="X6223" s="1" t="s">
        <v>13</v>
      </c>
    </row>
    <row r="6224" spans="1:24" x14ac:dyDescent="0.25">
      <c r="A6224" s="1" t="str">
        <f t="shared" si="1926"/>
        <v>卡卡杜-凤凰仓</v>
      </c>
      <c r="B6224" s="1" t="str">
        <f>"CK202410186772"</f>
        <v>CK202410186772</v>
      </c>
      <c r="C6224" s="1" t="str">
        <f>"DD2024101812330"</f>
        <v>DD2024101812330</v>
      </c>
      <c r="D6224" s="1" t="str">
        <f>"CK202410189856"</f>
        <v>CK202410189856</v>
      </c>
      <c r="E6224" s="1" t="str">
        <f>"6935153815093974197"</f>
        <v>6935153815093974197</v>
      </c>
      <c r="F6224" s="1" t="str">
        <f t="shared" si="1927"/>
        <v>花都四部-凤凰仓</v>
      </c>
      <c r="G6224" s="1" t="str">
        <f t="shared" si="1924"/>
        <v>卡卡杜个人护理店（抖店）</v>
      </c>
      <c r="H6224" s="1" t="str">
        <f t="shared" si="1928"/>
        <v>正常订单</v>
      </c>
      <c r="I6224" s="1" t="str">
        <f t="shared" si="1929"/>
        <v>已发货</v>
      </c>
      <c r="J6224" s="1" t="str">
        <f>"8"</f>
        <v>8</v>
      </c>
      <c r="K6224" s="1">
        <v>5</v>
      </c>
      <c r="L6224" s="1" t="s">
        <v>30</v>
      </c>
      <c r="M6224" s="1" t="str">
        <f>"山东省 青岛市 黄岛区 长江路街道"</f>
        <v>山东省 青岛市 黄岛区 长江路街道</v>
      </c>
      <c r="N6224" s="1" t="str">
        <f t="shared" si="1923"/>
        <v>凡华云仓-韵达-抖音</v>
      </c>
      <c r="O6224" s="5">
        <v>320177478442629</v>
      </c>
      <c r="P6224" s="6">
        <v>1.38</v>
      </c>
      <c r="Q6224" s="11">
        <f>CEILING(P6224-0.5,0.1)*10*0.15+2.3</f>
        <v>3.6499999999999995</v>
      </c>
      <c r="R6224" s="11">
        <f>(K6224-3)*0.1</f>
        <v>0.2</v>
      </c>
      <c r="S6224" s="11"/>
      <c r="T6224" s="11"/>
      <c r="U6224" s="11">
        <f t="shared" si="1925"/>
        <v>3.8499999999999996</v>
      </c>
      <c r="V6224" t="s">
        <v>15</v>
      </c>
      <c r="W6224">
        <v>3.85</v>
      </c>
      <c r="X6224" s="1" t="s">
        <v>30</v>
      </c>
    </row>
    <row r="6225" spans="1:24" x14ac:dyDescent="0.25">
      <c r="A6225" s="1" t="str">
        <f t="shared" si="1926"/>
        <v>卡卡杜-凤凰仓</v>
      </c>
      <c r="B6225" s="1" t="str">
        <f>"CK2024101810482"</f>
        <v>CK2024101810482</v>
      </c>
      <c r="C6225" s="1" t="str">
        <f>"DD2024101816560"</f>
        <v>DD2024101816560</v>
      </c>
      <c r="D6225" s="1" t="str">
        <f>"CK202410189855"</f>
        <v>CK202410189855</v>
      </c>
      <c r="E6225" s="1" t="str">
        <f>"6935172097476204072"</f>
        <v>6935172097476204072</v>
      </c>
      <c r="F6225" s="1" t="str">
        <f t="shared" si="1927"/>
        <v>花都四部-凤凰仓</v>
      </c>
      <c r="G6225" s="1" t="str">
        <f t="shared" si="1924"/>
        <v>卡卡杜个人护理店（抖店）</v>
      </c>
      <c r="H6225" s="1" t="str">
        <f t="shared" si="1928"/>
        <v>正常订单</v>
      </c>
      <c r="I6225" s="1" t="str">
        <f t="shared" si="1929"/>
        <v>已发货</v>
      </c>
      <c r="J6225" s="1" t="str">
        <f t="shared" ref="J6225:J6256" si="1931">"3"</f>
        <v>3</v>
      </c>
      <c r="K6225" s="1">
        <v>3</v>
      </c>
      <c r="L6225" s="1" t="s">
        <v>20</v>
      </c>
      <c r="M6225" s="1" t="str">
        <f>"浙江省 杭州市 萧山区 新塘街道"</f>
        <v>浙江省 杭州市 萧山区 新塘街道</v>
      </c>
      <c r="N6225" s="1" t="str">
        <f t="shared" si="1923"/>
        <v>凡华云仓-韵达-抖音</v>
      </c>
      <c r="O6225" s="5">
        <v>320177478442530</v>
      </c>
      <c r="P6225" s="6">
        <v>0.34</v>
      </c>
      <c r="Q6225" s="11">
        <v>2.2999999999999998</v>
      </c>
      <c r="R6225" s="11"/>
      <c r="S6225" s="11"/>
      <c r="T6225" s="11"/>
      <c r="U6225" s="11">
        <f t="shared" si="1925"/>
        <v>2.2999999999999998</v>
      </c>
      <c r="W6225">
        <v>2.5</v>
      </c>
      <c r="X6225" s="1" t="s">
        <v>20</v>
      </c>
    </row>
    <row r="6226" spans="1:24" x14ac:dyDescent="0.25">
      <c r="A6226" s="1" t="str">
        <f t="shared" si="1926"/>
        <v>卡卡杜-凤凰仓</v>
      </c>
      <c r="B6226" s="1" t="str">
        <f>"CK2024101810483"</f>
        <v>CK2024101810483</v>
      </c>
      <c r="C6226" s="1" t="str">
        <f>"DD2024101816561"</f>
        <v>DD2024101816561</v>
      </c>
      <c r="D6226" s="1" t="str">
        <f>"CK202410189854"</f>
        <v>CK202410189854</v>
      </c>
      <c r="E6226" s="1" t="str">
        <f>"6935167393868092655"</f>
        <v>6935167393868092655</v>
      </c>
      <c r="F6226" s="1" t="str">
        <f t="shared" si="1927"/>
        <v>花都四部-凤凰仓</v>
      </c>
      <c r="G6226" s="1" t="str">
        <f t="shared" si="1924"/>
        <v>卡卡杜个人护理店（抖店）</v>
      </c>
      <c r="H6226" s="1" t="str">
        <f t="shared" si="1928"/>
        <v>正常订单</v>
      </c>
      <c r="I6226" s="1" t="str">
        <f t="shared" si="1929"/>
        <v>已发货</v>
      </c>
      <c r="J6226" s="1" t="str">
        <f t="shared" si="1931"/>
        <v>3</v>
      </c>
      <c r="K6226" s="1">
        <v>3</v>
      </c>
      <c r="L6226" s="1" t="s">
        <v>20</v>
      </c>
      <c r="M6226" s="1" t="str">
        <f>"浙江省 金华市 永康市 东城街道"</f>
        <v>浙江省 金华市 永康市 东城街道</v>
      </c>
      <c r="N6226" s="1" t="str">
        <f t="shared" si="1923"/>
        <v>凡华云仓-韵达-抖音</v>
      </c>
      <c r="O6226" s="5">
        <v>320177478442433</v>
      </c>
      <c r="P6226" s="6">
        <v>0.34</v>
      </c>
      <c r="Q6226" s="11">
        <v>2.2999999999999998</v>
      </c>
      <c r="R6226" s="11"/>
      <c r="S6226" s="11"/>
      <c r="T6226" s="11"/>
      <c r="U6226" s="11">
        <f t="shared" si="1925"/>
        <v>2.2999999999999998</v>
      </c>
      <c r="W6226">
        <v>2.5</v>
      </c>
      <c r="X6226" s="1" t="s">
        <v>20</v>
      </c>
    </row>
    <row r="6227" spans="1:24" x14ac:dyDescent="0.25">
      <c r="A6227" s="1" t="str">
        <f t="shared" si="1926"/>
        <v>卡卡杜-凤凰仓</v>
      </c>
      <c r="B6227" s="1" t="str">
        <f>"CK2024101810484"</f>
        <v>CK2024101810484</v>
      </c>
      <c r="C6227" s="1" t="str">
        <f>"DD2024101816563"</f>
        <v>DD2024101816563</v>
      </c>
      <c r="D6227" s="1" t="str">
        <f>"CK202410189853"</f>
        <v>CK202410189853</v>
      </c>
      <c r="E6227" s="1" t="str">
        <f>"6935147492365636988"</f>
        <v>6935147492365636988</v>
      </c>
      <c r="F6227" s="1" t="str">
        <f t="shared" si="1927"/>
        <v>花都四部-凤凰仓</v>
      </c>
      <c r="G6227" s="1" t="str">
        <f t="shared" si="1924"/>
        <v>卡卡杜个人护理店（抖店）</v>
      </c>
      <c r="H6227" s="1" t="str">
        <f t="shared" si="1928"/>
        <v>正常订单</v>
      </c>
      <c r="I6227" s="1" t="str">
        <f t="shared" si="1929"/>
        <v>已发货</v>
      </c>
      <c r="J6227" s="1" t="str">
        <f t="shared" si="1931"/>
        <v>3</v>
      </c>
      <c r="K6227" s="1">
        <v>3</v>
      </c>
      <c r="L6227" s="1" t="s">
        <v>18</v>
      </c>
      <c r="M6227" s="1" t="str">
        <f>"广东省 珠海市 香洲区 南屏镇"</f>
        <v>广东省 珠海市 香洲区 南屏镇</v>
      </c>
      <c r="N6227" s="1" t="str">
        <f t="shared" si="1923"/>
        <v>凡华云仓-韵达-抖音</v>
      </c>
      <c r="O6227" s="5">
        <v>320177472977153</v>
      </c>
      <c r="P6227" s="6">
        <v>0.34</v>
      </c>
      <c r="Q6227" s="11">
        <v>2.2999999999999998</v>
      </c>
      <c r="R6227" s="11"/>
      <c r="S6227" s="11"/>
      <c r="T6227" s="11"/>
      <c r="U6227" s="11">
        <f t="shared" si="1925"/>
        <v>2.2999999999999998</v>
      </c>
      <c r="W6227">
        <v>2.5</v>
      </c>
      <c r="X6227" s="1" t="s">
        <v>18</v>
      </c>
    </row>
    <row r="6228" spans="1:24" x14ac:dyDescent="0.25">
      <c r="A6228" s="1" t="str">
        <f t="shared" si="1926"/>
        <v>卡卡杜-凤凰仓</v>
      </c>
      <c r="B6228" s="1" t="str">
        <f>"CK2024101810485"</f>
        <v>CK2024101810485</v>
      </c>
      <c r="C6228" s="1" t="str">
        <f>"DD2024101816564"</f>
        <v>DD2024101816564</v>
      </c>
      <c r="D6228" s="1" t="str">
        <f>"CK202410189852"</f>
        <v>CK202410189852</v>
      </c>
      <c r="E6228" s="1" t="str">
        <f>"6935141141036537593"</f>
        <v>6935141141036537593</v>
      </c>
      <c r="F6228" s="1" t="str">
        <f t="shared" si="1927"/>
        <v>花都四部-凤凰仓</v>
      </c>
      <c r="G6228" s="1" t="str">
        <f t="shared" si="1924"/>
        <v>卡卡杜个人护理店（抖店）</v>
      </c>
      <c r="H6228" s="1" t="str">
        <f t="shared" si="1928"/>
        <v>正常订单</v>
      </c>
      <c r="I6228" s="1" t="str">
        <f t="shared" si="1929"/>
        <v>已发货</v>
      </c>
      <c r="J6228" s="1" t="str">
        <f t="shared" si="1931"/>
        <v>3</v>
      </c>
      <c r="K6228" s="1">
        <v>3</v>
      </c>
      <c r="L6228" s="1" t="s">
        <v>30</v>
      </c>
      <c r="M6228" s="1" t="str">
        <f>"山东省 潍坊市 昌乐县 宝都街道"</f>
        <v>山东省 潍坊市 昌乐县 宝都街道</v>
      </c>
      <c r="N6228" s="1" t="str">
        <f t="shared" si="1923"/>
        <v>凡华云仓-韵达-抖音</v>
      </c>
      <c r="O6228" s="5">
        <v>320177472977064</v>
      </c>
      <c r="P6228" s="6">
        <v>0.34</v>
      </c>
      <c r="Q6228" s="11">
        <v>2.2999999999999998</v>
      </c>
      <c r="R6228" s="11"/>
      <c r="S6228" s="11"/>
      <c r="T6228" s="11"/>
      <c r="U6228" s="11">
        <f t="shared" si="1925"/>
        <v>2.2999999999999998</v>
      </c>
      <c r="W6228">
        <v>2.5</v>
      </c>
      <c r="X6228" s="1" t="s">
        <v>30</v>
      </c>
    </row>
    <row r="6229" spans="1:24" x14ac:dyDescent="0.25">
      <c r="A6229" s="1" t="str">
        <f t="shared" si="1926"/>
        <v>卡卡杜-凤凰仓</v>
      </c>
      <c r="B6229" s="1" t="str">
        <f>"CK2024101810486"</f>
        <v>CK2024101810486</v>
      </c>
      <c r="C6229" s="1" t="str">
        <f>"DD2024101816565"</f>
        <v>DD2024101816565</v>
      </c>
      <c r="D6229" s="1" t="str">
        <f>"CK202410189851"</f>
        <v>CK202410189851</v>
      </c>
      <c r="E6229" s="1" t="str">
        <f>"6935171942749378526"</f>
        <v>6935171942749378526</v>
      </c>
      <c r="F6229" s="1" t="str">
        <f t="shared" si="1927"/>
        <v>花都四部-凤凰仓</v>
      </c>
      <c r="G6229" s="1" t="str">
        <f t="shared" si="1924"/>
        <v>卡卡杜个人护理店（抖店）</v>
      </c>
      <c r="H6229" s="1" t="str">
        <f t="shared" si="1928"/>
        <v>正常订单</v>
      </c>
      <c r="I6229" s="1" t="str">
        <f t="shared" si="1929"/>
        <v>已发货</v>
      </c>
      <c r="J6229" s="1" t="str">
        <f t="shared" si="1931"/>
        <v>3</v>
      </c>
      <c r="K6229" s="1">
        <v>3</v>
      </c>
      <c r="L6229" s="1" t="s">
        <v>16</v>
      </c>
      <c r="M6229" s="1" t="str">
        <f>"河北省 唐山市 路北区 钓鱼台街道"</f>
        <v>河北省 唐山市 路北区 钓鱼台街道</v>
      </c>
      <c r="N6229" s="1" t="str">
        <f t="shared" si="1923"/>
        <v>凡华云仓-韵达-抖音</v>
      </c>
      <c r="O6229" s="5">
        <v>320177472976936</v>
      </c>
      <c r="P6229" s="6">
        <v>0.34</v>
      </c>
      <c r="Q6229" s="11">
        <v>2.2999999999999998</v>
      </c>
      <c r="R6229" s="11"/>
      <c r="S6229" s="11"/>
      <c r="T6229" s="11"/>
      <c r="U6229" s="11">
        <f t="shared" si="1925"/>
        <v>2.2999999999999998</v>
      </c>
      <c r="W6229">
        <v>2.5</v>
      </c>
      <c r="X6229" s="1" t="s">
        <v>16</v>
      </c>
    </row>
    <row r="6230" spans="1:24" x14ac:dyDescent="0.25">
      <c r="A6230" s="1" t="str">
        <f t="shared" si="1926"/>
        <v>卡卡杜-凤凰仓</v>
      </c>
      <c r="B6230" s="1" t="str">
        <f>"CK2024101810487"</f>
        <v>CK2024101810487</v>
      </c>
      <c r="C6230" s="1" t="str">
        <f>"DD2024101816566"</f>
        <v>DD2024101816566</v>
      </c>
      <c r="D6230" s="1" t="str">
        <f>"CK202410189850"</f>
        <v>CK202410189850</v>
      </c>
      <c r="E6230" s="1" t="str">
        <f>"6935143436202152969"</f>
        <v>6935143436202152969</v>
      </c>
      <c r="F6230" s="1" t="str">
        <f t="shared" si="1927"/>
        <v>花都四部-凤凰仓</v>
      </c>
      <c r="G6230" s="1" t="str">
        <f t="shared" si="1924"/>
        <v>卡卡杜个人护理店（抖店）</v>
      </c>
      <c r="H6230" s="1" t="str">
        <f t="shared" si="1928"/>
        <v>正常订单</v>
      </c>
      <c r="I6230" s="1" t="str">
        <f t="shared" si="1929"/>
        <v>已发货</v>
      </c>
      <c r="J6230" s="1" t="str">
        <f t="shared" si="1931"/>
        <v>3</v>
      </c>
      <c r="K6230" s="1">
        <v>3</v>
      </c>
      <c r="L6230" s="1" t="s">
        <v>30</v>
      </c>
      <c r="M6230" s="1" t="str">
        <f>"山东省 烟台市 海阳市 发城镇"</f>
        <v>山东省 烟台市 海阳市 发城镇</v>
      </c>
      <c r="N6230" s="1" t="str">
        <f t="shared" si="1923"/>
        <v>凡华云仓-韵达-抖音</v>
      </c>
      <c r="O6230" s="5">
        <v>320177472976831</v>
      </c>
      <c r="P6230" s="6">
        <v>0.34</v>
      </c>
      <c r="Q6230" s="11">
        <v>2.2999999999999998</v>
      </c>
      <c r="R6230" s="11"/>
      <c r="S6230" s="11"/>
      <c r="T6230" s="11"/>
      <c r="U6230" s="11">
        <f t="shared" si="1925"/>
        <v>2.2999999999999998</v>
      </c>
      <c r="W6230">
        <v>2.5</v>
      </c>
      <c r="X6230" s="1" t="s">
        <v>30</v>
      </c>
    </row>
    <row r="6231" spans="1:24" x14ac:dyDescent="0.25">
      <c r="A6231" s="1" t="str">
        <f t="shared" si="1926"/>
        <v>卡卡杜-凤凰仓</v>
      </c>
      <c r="B6231" s="1" t="str">
        <f>"CK2024101810488"</f>
        <v>CK2024101810488</v>
      </c>
      <c r="C6231" s="1" t="str">
        <f>"DD2024101816568"</f>
        <v>DD2024101816568</v>
      </c>
      <c r="D6231" s="1" t="str">
        <f>"CK202410189849"</f>
        <v>CK202410189849</v>
      </c>
      <c r="E6231" s="1" t="str">
        <f>"6935153800645318294"</f>
        <v>6935153800645318294</v>
      </c>
      <c r="F6231" s="1" t="str">
        <f t="shared" si="1927"/>
        <v>花都四部-凤凰仓</v>
      </c>
      <c r="G6231" s="1" t="str">
        <f t="shared" si="1924"/>
        <v>卡卡杜个人护理店（抖店）</v>
      </c>
      <c r="H6231" s="1" t="str">
        <f t="shared" si="1928"/>
        <v>正常订单</v>
      </c>
      <c r="I6231" s="1" t="str">
        <f t="shared" si="1929"/>
        <v>已发货</v>
      </c>
      <c r="J6231" s="1" t="str">
        <f t="shared" si="1931"/>
        <v>3</v>
      </c>
      <c r="K6231" s="1">
        <v>3</v>
      </c>
      <c r="L6231" s="1" t="s">
        <v>30</v>
      </c>
      <c r="M6231" s="1" t="str">
        <f>"山东省 滨州市 邹平市 黛溪街道"</f>
        <v>山东省 滨州市 邹平市 黛溪街道</v>
      </c>
      <c r="N6231" s="1" t="str">
        <f t="shared" si="1923"/>
        <v>凡华云仓-韵达-抖音</v>
      </c>
      <c r="O6231" s="5">
        <v>320177472976728</v>
      </c>
      <c r="P6231" s="6">
        <v>0.34</v>
      </c>
      <c r="Q6231" s="11">
        <v>2.2999999999999998</v>
      </c>
      <c r="R6231" s="11"/>
      <c r="S6231" s="11"/>
      <c r="T6231" s="11"/>
      <c r="U6231" s="11">
        <f t="shared" si="1925"/>
        <v>2.2999999999999998</v>
      </c>
      <c r="W6231">
        <v>2.5</v>
      </c>
      <c r="X6231" s="1" t="s">
        <v>30</v>
      </c>
    </row>
    <row r="6232" spans="1:24" x14ac:dyDescent="0.25">
      <c r="A6232" s="1" t="str">
        <f t="shared" si="1926"/>
        <v>卡卡杜-凤凰仓</v>
      </c>
      <c r="B6232" s="1" t="str">
        <f>"CK2024101810489"</f>
        <v>CK2024101810489</v>
      </c>
      <c r="C6232" s="1" t="str">
        <f>"DD2024101816567"</f>
        <v>DD2024101816567</v>
      </c>
      <c r="D6232" s="1" t="str">
        <f>"CK202410189848"</f>
        <v>CK202410189848</v>
      </c>
      <c r="E6232" s="1" t="str">
        <f>"6935172018860987435"</f>
        <v>6935172018860987435</v>
      </c>
      <c r="F6232" s="1" t="str">
        <f t="shared" si="1927"/>
        <v>花都四部-凤凰仓</v>
      </c>
      <c r="G6232" s="1" t="str">
        <f t="shared" si="1924"/>
        <v>卡卡杜个人护理店（抖店）</v>
      </c>
      <c r="H6232" s="1" t="str">
        <f t="shared" si="1928"/>
        <v>正常订单</v>
      </c>
      <c r="I6232" s="1" t="str">
        <f t="shared" si="1929"/>
        <v>已发货</v>
      </c>
      <c r="J6232" s="1" t="str">
        <f t="shared" si="1931"/>
        <v>3</v>
      </c>
      <c r="K6232" s="1">
        <v>3</v>
      </c>
      <c r="L6232" s="1" t="s">
        <v>109</v>
      </c>
      <c r="M6232" s="1" t="str">
        <f>"山西省 太原市 尖草坪区 迎新街道"</f>
        <v>山西省 太原市 尖草坪区 迎新街道</v>
      </c>
      <c r="N6232" s="1" t="str">
        <f t="shared" si="1923"/>
        <v>凡华云仓-韵达-抖音</v>
      </c>
      <c r="O6232" s="5">
        <v>320177472976627</v>
      </c>
      <c r="P6232" s="6">
        <v>0.34</v>
      </c>
      <c r="Q6232" s="11">
        <v>2.2999999999999998</v>
      </c>
      <c r="R6232" s="11"/>
      <c r="S6232" s="11"/>
      <c r="T6232" s="11"/>
      <c r="U6232" s="11">
        <f t="shared" si="1925"/>
        <v>2.2999999999999998</v>
      </c>
      <c r="W6232">
        <v>2.5</v>
      </c>
      <c r="X6232" s="1" t="s">
        <v>109</v>
      </c>
    </row>
    <row r="6233" spans="1:24" x14ac:dyDescent="0.25">
      <c r="A6233" s="1" t="str">
        <f t="shared" si="1926"/>
        <v>卡卡杜-凤凰仓</v>
      </c>
      <c r="B6233" s="1" t="str">
        <f>"CK2024101810491"</f>
        <v>CK2024101810491</v>
      </c>
      <c r="C6233" s="1" t="str">
        <f>"DD2024101816570"</f>
        <v>DD2024101816570</v>
      </c>
      <c r="D6233" s="1" t="str">
        <f>"CK202410189847"</f>
        <v>CK202410189847</v>
      </c>
      <c r="E6233" s="1" t="str">
        <f>"6935149981735916771"</f>
        <v>6935149981735916771</v>
      </c>
      <c r="F6233" s="1" t="str">
        <f t="shared" si="1927"/>
        <v>花都四部-凤凰仓</v>
      </c>
      <c r="G6233" s="1" t="str">
        <f t="shared" si="1924"/>
        <v>卡卡杜个人护理店（抖店）</v>
      </c>
      <c r="H6233" s="1" t="str">
        <f t="shared" si="1928"/>
        <v>正常订单</v>
      </c>
      <c r="I6233" s="1" t="str">
        <f t="shared" si="1929"/>
        <v>已发货</v>
      </c>
      <c r="J6233" s="1" t="str">
        <f t="shared" si="1931"/>
        <v>3</v>
      </c>
      <c r="K6233" s="1">
        <v>3</v>
      </c>
      <c r="L6233" s="1" t="s">
        <v>13</v>
      </c>
      <c r="M6233" s="1" t="str">
        <f>"江苏省 苏州市 相城区 北桥街道"</f>
        <v>江苏省 苏州市 相城区 北桥街道</v>
      </c>
      <c r="N6233" s="1" t="str">
        <f t="shared" si="1923"/>
        <v>凡华云仓-韵达-抖音</v>
      </c>
      <c r="O6233" s="5">
        <v>320177472976528</v>
      </c>
      <c r="P6233" s="6">
        <v>0.34</v>
      </c>
      <c r="Q6233" s="11">
        <v>2.2999999999999998</v>
      </c>
      <c r="R6233" s="11"/>
      <c r="S6233" s="11"/>
      <c r="T6233" s="11"/>
      <c r="U6233" s="11">
        <f t="shared" si="1925"/>
        <v>2.2999999999999998</v>
      </c>
      <c r="W6233">
        <v>2.5</v>
      </c>
      <c r="X6233" s="1" t="s">
        <v>13</v>
      </c>
    </row>
    <row r="6234" spans="1:24" x14ac:dyDescent="0.25">
      <c r="A6234" s="1" t="str">
        <f t="shared" si="1926"/>
        <v>卡卡杜-凤凰仓</v>
      </c>
      <c r="B6234" s="1" t="str">
        <f>"CK2024101810490"</f>
        <v>CK2024101810490</v>
      </c>
      <c r="C6234" s="1" t="str">
        <f>"DD2024101816569"</f>
        <v>DD2024101816569</v>
      </c>
      <c r="D6234" s="1" t="str">
        <f>"CK202410189846"</f>
        <v>CK202410189846</v>
      </c>
      <c r="E6234" s="1" t="str">
        <f>"6935141154848839105"</f>
        <v>6935141154848839105</v>
      </c>
      <c r="F6234" s="1" t="str">
        <f t="shared" si="1927"/>
        <v>花都四部-凤凰仓</v>
      </c>
      <c r="G6234" s="1" t="str">
        <f t="shared" si="1924"/>
        <v>卡卡杜个人护理店（抖店）</v>
      </c>
      <c r="H6234" s="1" t="str">
        <f t="shared" si="1928"/>
        <v>正常订单</v>
      </c>
      <c r="I6234" s="1" t="str">
        <f t="shared" si="1929"/>
        <v>已发货</v>
      </c>
      <c r="J6234" s="1" t="str">
        <f t="shared" si="1931"/>
        <v>3</v>
      </c>
      <c r="K6234" s="1">
        <v>3</v>
      </c>
      <c r="L6234" s="1" t="s">
        <v>13</v>
      </c>
      <c r="M6234" s="1" t="str">
        <f>"江苏省 盐城市 亭湖区 五星街道"</f>
        <v>江苏省 盐城市 亭湖区 五星街道</v>
      </c>
      <c r="N6234" s="1" t="str">
        <f t="shared" si="1923"/>
        <v>凡华云仓-韵达-抖音</v>
      </c>
      <c r="O6234" s="5">
        <v>320177472976431</v>
      </c>
      <c r="P6234" s="6">
        <v>0.34</v>
      </c>
      <c r="Q6234" s="11">
        <v>2.2999999999999998</v>
      </c>
      <c r="R6234" s="11"/>
      <c r="S6234" s="11"/>
      <c r="T6234" s="11"/>
      <c r="U6234" s="11">
        <f t="shared" si="1925"/>
        <v>2.2999999999999998</v>
      </c>
      <c r="W6234">
        <v>2.5</v>
      </c>
      <c r="X6234" s="1" t="s">
        <v>13</v>
      </c>
    </row>
    <row r="6235" spans="1:24" x14ac:dyDescent="0.25">
      <c r="A6235" s="1" t="str">
        <f t="shared" si="1926"/>
        <v>卡卡杜-凤凰仓</v>
      </c>
      <c r="B6235" s="1" t="str">
        <f>"CK2024101810494"</f>
        <v>CK2024101810494</v>
      </c>
      <c r="C6235" s="1" t="str">
        <f>"DD2024101816571"</f>
        <v>DD2024101816571</v>
      </c>
      <c r="D6235" s="1" t="str">
        <f>"CK202410189845"</f>
        <v>CK202410189845</v>
      </c>
      <c r="E6235" s="1" t="str">
        <f>"6935149935735280971"</f>
        <v>6935149935735280971</v>
      </c>
      <c r="F6235" s="1" t="str">
        <f t="shared" si="1927"/>
        <v>花都四部-凤凰仓</v>
      </c>
      <c r="G6235" s="1" t="str">
        <f t="shared" si="1924"/>
        <v>卡卡杜个人护理店（抖店）</v>
      </c>
      <c r="H6235" s="1" t="str">
        <f t="shared" si="1928"/>
        <v>正常订单</v>
      </c>
      <c r="I6235" s="1" t="str">
        <f t="shared" si="1929"/>
        <v>已发货</v>
      </c>
      <c r="J6235" s="1" t="str">
        <f t="shared" si="1931"/>
        <v>3</v>
      </c>
      <c r="K6235" s="1">
        <v>3</v>
      </c>
      <c r="L6235" s="1" t="s">
        <v>30</v>
      </c>
      <c r="M6235" s="1" t="str">
        <f>"山东省 烟台市 福山区 古现街道"</f>
        <v>山东省 烟台市 福山区 古现街道</v>
      </c>
      <c r="N6235" s="1" t="str">
        <f t="shared" si="1923"/>
        <v>凡华云仓-韵达-抖音</v>
      </c>
      <c r="O6235" s="5">
        <v>320177472976336</v>
      </c>
      <c r="P6235" s="6">
        <v>0.34</v>
      </c>
      <c r="Q6235" s="11">
        <v>2.2999999999999998</v>
      </c>
      <c r="R6235" s="11"/>
      <c r="S6235" s="11"/>
      <c r="T6235" s="11"/>
      <c r="U6235" s="11">
        <f t="shared" si="1925"/>
        <v>2.2999999999999998</v>
      </c>
      <c r="W6235">
        <v>2.5</v>
      </c>
      <c r="X6235" s="1" t="s">
        <v>30</v>
      </c>
    </row>
    <row r="6236" spans="1:24" x14ac:dyDescent="0.25">
      <c r="A6236" s="1" t="str">
        <f t="shared" si="1926"/>
        <v>卡卡杜-凤凰仓</v>
      </c>
      <c r="B6236" s="1" t="str">
        <f>"CK2024101810492"</f>
        <v>CK2024101810492</v>
      </c>
      <c r="C6236" s="1" t="str">
        <f>"DD2024101816573"</f>
        <v>DD2024101816573</v>
      </c>
      <c r="D6236" s="1" t="str">
        <f>"CK202410189844"</f>
        <v>CK202410189844</v>
      </c>
      <c r="E6236" s="1" t="str">
        <f>"6935162921408992793"</f>
        <v>6935162921408992793</v>
      </c>
      <c r="F6236" s="1" t="str">
        <f t="shared" si="1927"/>
        <v>花都四部-凤凰仓</v>
      </c>
      <c r="G6236" s="1" t="str">
        <f t="shared" si="1924"/>
        <v>卡卡杜个人护理店（抖店）</v>
      </c>
      <c r="H6236" s="1" t="str">
        <f t="shared" si="1928"/>
        <v>正常订单</v>
      </c>
      <c r="I6236" s="1" t="str">
        <f t="shared" si="1929"/>
        <v>已发货</v>
      </c>
      <c r="J6236" s="1" t="str">
        <f t="shared" si="1931"/>
        <v>3</v>
      </c>
      <c r="K6236" s="1">
        <v>3</v>
      </c>
      <c r="L6236" s="1" t="s">
        <v>30</v>
      </c>
      <c r="M6236" s="1" t="str">
        <f>"山东省 枣庄市 市中区 文化路街道"</f>
        <v>山东省 枣庄市 市中区 文化路街道</v>
      </c>
      <c r="N6236" s="1" t="str">
        <f t="shared" si="1923"/>
        <v>凡华云仓-韵达-抖音</v>
      </c>
      <c r="O6236" s="5">
        <v>320177472976243</v>
      </c>
      <c r="P6236" s="6">
        <v>0.34</v>
      </c>
      <c r="Q6236" s="11">
        <v>2.2999999999999998</v>
      </c>
      <c r="R6236" s="11"/>
      <c r="S6236" s="11"/>
      <c r="T6236" s="11"/>
      <c r="U6236" s="11">
        <f t="shared" si="1925"/>
        <v>2.2999999999999998</v>
      </c>
      <c r="W6236">
        <v>2.5</v>
      </c>
      <c r="X6236" s="1" t="s">
        <v>30</v>
      </c>
    </row>
    <row r="6237" spans="1:24" x14ac:dyDescent="0.25">
      <c r="A6237" s="1" t="str">
        <f t="shared" si="1926"/>
        <v>卡卡杜-凤凰仓</v>
      </c>
      <c r="B6237" s="1" t="str">
        <f>"CK2024101810653"</f>
        <v>CK2024101810653</v>
      </c>
      <c r="C6237" s="1" t="str">
        <f>"DD2024101816737"</f>
        <v>DD2024101816737</v>
      </c>
      <c r="D6237" s="1" t="str">
        <f>"CK202410189843"</f>
        <v>CK202410189843</v>
      </c>
      <c r="E6237" s="1" t="str">
        <f>"6935153937532852125"</f>
        <v>6935153937532852125</v>
      </c>
      <c r="F6237" s="1" t="str">
        <f t="shared" si="1927"/>
        <v>花都四部-凤凰仓</v>
      </c>
      <c r="G6237" s="1" t="str">
        <f t="shared" si="1924"/>
        <v>卡卡杜个人护理店（抖店）</v>
      </c>
      <c r="H6237" s="1" t="str">
        <f t="shared" si="1928"/>
        <v>正常订单</v>
      </c>
      <c r="I6237" s="1" t="str">
        <f t="shared" si="1929"/>
        <v>已发货</v>
      </c>
      <c r="J6237" s="1" t="str">
        <f t="shared" si="1931"/>
        <v>3</v>
      </c>
      <c r="K6237" s="1">
        <v>3</v>
      </c>
      <c r="L6237" s="1" t="s">
        <v>30</v>
      </c>
      <c r="M6237" s="1" t="str">
        <f>"山东省 青岛市 城阳区 流亭街道"</f>
        <v>山东省 青岛市 城阳区 流亭街道</v>
      </c>
      <c r="N6237" s="1" t="str">
        <f t="shared" si="1923"/>
        <v>凡华云仓-韵达-抖音</v>
      </c>
      <c r="O6237" s="5">
        <v>320177479465924</v>
      </c>
      <c r="P6237" s="6">
        <v>0.34</v>
      </c>
      <c r="Q6237" s="11">
        <v>2.2999999999999998</v>
      </c>
      <c r="R6237" s="11"/>
      <c r="S6237" s="11"/>
      <c r="T6237" s="11"/>
      <c r="U6237" s="11">
        <f t="shared" si="1925"/>
        <v>2.2999999999999998</v>
      </c>
      <c r="W6237">
        <v>2.5</v>
      </c>
      <c r="X6237" s="1" t="s">
        <v>30</v>
      </c>
    </row>
    <row r="6238" spans="1:24" x14ac:dyDescent="0.25">
      <c r="A6238" s="1" t="str">
        <f t="shared" si="1926"/>
        <v>卡卡杜-凤凰仓</v>
      </c>
      <c r="B6238" s="1" t="str">
        <f>"CK2024101810493"</f>
        <v>CK2024101810493</v>
      </c>
      <c r="C6238" s="1" t="str">
        <f>"DD2024101816572"</f>
        <v>DD2024101816572</v>
      </c>
      <c r="D6238" s="1" t="str">
        <f>"CK202410189842"</f>
        <v>CK202410189842</v>
      </c>
      <c r="E6238" s="1" t="str">
        <f>"6935158408539870557"</f>
        <v>6935158408539870557</v>
      </c>
      <c r="F6238" s="1" t="str">
        <f t="shared" si="1927"/>
        <v>花都四部-凤凰仓</v>
      </c>
      <c r="G6238" s="1" t="str">
        <f t="shared" si="1924"/>
        <v>卡卡杜个人护理店（抖店）</v>
      </c>
      <c r="H6238" s="1" t="str">
        <f t="shared" si="1928"/>
        <v>正常订单</v>
      </c>
      <c r="I6238" s="1" t="str">
        <f t="shared" si="1929"/>
        <v>已发货</v>
      </c>
      <c r="J6238" s="1" t="str">
        <f t="shared" si="1931"/>
        <v>3</v>
      </c>
      <c r="K6238" s="1">
        <v>3</v>
      </c>
      <c r="L6238" s="1" t="s">
        <v>74</v>
      </c>
      <c r="M6238" s="1" t="str">
        <f>"上海 上海市 普陀区 真如镇街道"</f>
        <v>上海 上海市 普陀区 真如镇街道</v>
      </c>
      <c r="N6238" s="1" t="str">
        <f t="shared" si="1923"/>
        <v>凡华云仓-韵达-抖音</v>
      </c>
      <c r="O6238" s="5">
        <v>320177479465819</v>
      </c>
      <c r="P6238" s="6">
        <v>0.34</v>
      </c>
      <c r="Q6238" s="11">
        <v>2.2999999999999998</v>
      </c>
      <c r="R6238" s="11"/>
      <c r="S6238" s="11"/>
      <c r="T6238" s="11"/>
      <c r="U6238" s="11">
        <f t="shared" si="1925"/>
        <v>2.2999999999999998</v>
      </c>
      <c r="W6238">
        <v>2.5</v>
      </c>
      <c r="X6238" s="1" t="s">
        <v>74</v>
      </c>
    </row>
    <row r="6239" spans="1:24" x14ac:dyDescent="0.25">
      <c r="A6239" s="1" t="str">
        <f t="shared" si="1926"/>
        <v>卡卡杜-凤凰仓</v>
      </c>
      <c r="B6239" s="1" t="str">
        <f>"CK2024101810495"</f>
        <v>CK2024101810495</v>
      </c>
      <c r="C6239" s="1" t="str">
        <f>"DD2024101816574"</f>
        <v>DD2024101816574</v>
      </c>
      <c r="D6239" s="1" t="str">
        <f>"CK202410189841"</f>
        <v>CK202410189841</v>
      </c>
      <c r="E6239" s="1" t="str">
        <f>"6935145382523770089"</f>
        <v>6935145382523770089</v>
      </c>
      <c r="F6239" s="1" t="str">
        <f t="shared" si="1927"/>
        <v>花都四部-凤凰仓</v>
      </c>
      <c r="G6239" s="1" t="str">
        <f t="shared" si="1924"/>
        <v>卡卡杜个人护理店（抖店）</v>
      </c>
      <c r="H6239" s="1" t="str">
        <f t="shared" si="1928"/>
        <v>正常订单</v>
      </c>
      <c r="I6239" s="1" t="str">
        <f t="shared" si="1929"/>
        <v>已发货</v>
      </c>
      <c r="J6239" s="1" t="str">
        <f t="shared" si="1931"/>
        <v>3</v>
      </c>
      <c r="K6239" s="1">
        <v>3</v>
      </c>
      <c r="L6239" s="1" t="s">
        <v>30</v>
      </c>
      <c r="M6239" s="1" t="str">
        <f>"山东省 淄博市 临淄区 闻韶街道"</f>
        <v>山东省 淄博市 临淄区 闻韶街道</v>
      </c>
      <c r="N6239" s="1" t="str">
        <f t="shared" si="1923"/>
        <v>凡华云仓-韵达-抖音</v>
      </c>
      <c r="O6239" s="5">
        <v>320177479465716</v>
      </c>
      <c r="P6239" s="6">
        <v>0.34</v>
      </c>
      <c r="Q6239" s="11">
        <v>2.2999999999999998</v>
      </c>
      <c r="R6239" s="11"/>
      <c r="S6239" s="11"/>
      <c r="T6239" s="11"/>
      <c r="U6239" s="11">
        <f t="shared" si="1925"/>
        <v>2.2999999999999998</v>
      </c>
      <c r="W6239">
        <v>2.5</v>
      </c>
      <c r="X6239" s="1" t="s">
        <v>30</v>
      </c>
    </row>
    <row r="6240" spans="1:24" x14ac:dyDescent="0.25">
      <c r="A6240" s="1" t="str">
        <f t="shared" si="1926"/>
        <v>卡卡杜-凤凰仓</v>
      </c>
      <c r="B6240" s="1" t="str">
        <f>"CK2024101810496"</f>
        <v>CK2024101810496</v>
      </c>
      <c r="C6240" s="1" t="str">
        <f>"DD2024101816575"</f>
        <v>DD2024101816575</v>
      </c>
      <c r="D6240" s="1" t="str">
        <f>"CK202410189840"</f>
        <v>CK202410189840</v>
      </c>
      <c r="E6240" s="1" t="str">
        <f>"6935153813504989083"</f>
        <v>6935153813504989083</v>
      </c>
      <c r="F6240" s="1" t="str">
        <f t="shared" si="1927"/>
        <v>花都四部-凤凰仓</v>
      </c>
      <c r="G6240" s="1" t="str">
        <f t="shared" si="1924"/>
        <v>卡卡杜个人护理店（抖店）</v>
      </c>
      <c r="H6240" s="1" t="str">
        <f t="shared" si="1928"/>
        <v>正常订单</v>
      </c>
      <c r="I6240" s="1" t="str">
        <f t="shared" si="1929"/>
        <v>已发货</v>
      </c>
      <c r="J6240" s="1" t="str">
        <f t="shared" si="1931"/>
        <v>3</v>
      </c>
      <c r="K6240" s="1">
        <v>3</v>
      </c>
      <c r="L6240" s="1" t="s">
        <v>30</v>
      </c>
      <c r="M6240" s="1" t="str">
        <f>"山东省 烟台市 牟平区 "</f>
        <v xml:space="preserve">山东省 烟台市 牟平区 </v>
      </c>
      <c r="N6240" s="1" t="str">
        <f t="shared" si="1923"/>
        <v>凡华云仓-韵达-抖音</v>
      </c>
      <c r="O6240" s="5">
        <v>320177479465615</v>
      </c>
      <c r="P6240" s="6">
        <v>0.34</v>
      </c>
      <c r="Q6240" s="11">
        <v>2.2999999999999998</v>
      </c>
      <c r="R6240" s="11"/>
      <c r="S6240" s="11"/>
      <c r="T6240" s="11"/>
      <c r="U6240" s="11">
        <f t="shared" si="1925"/>
        <v>2.2999999999999998</v>
      </c>
      <c r="W6240">
        <v>2.5</v>
      </c>
      <c r="X6240" s="1" t="s">
        <v>30</v>
      </c>
    </row>
    <row r="6241" spans="1:24" x14ac:dyDescent="0.25">
      <c r="A6241" s="1" t="str">
        <f t="shared" si="1926"/>
        <v>卡卡杜-凤凰仓</v>
      </c>
      <c r="B6241" s="1" t="str">
        <f>"CK2024101810497"</f>
        <v>CK2024101810497</v>
      </c>
      <c r="C6241" s="1" t="str">
        <f>"DD2024101816576"</f>
        <v>DD2024101816576</v>
      </c>
      <c r="D6241" s="1" t="str">
        <f>"CK202410189839"</f>
        <v>CK202410189839</v>
      </c>
      <c r="E6241" s="1" t="str">
        <f>"6935162804335088910"</f>
        <v>6935162804335088910</v>
      </c>
      <c r="F6241" s="1" t="str">
        <f t="shared" si="1927"/>
        <v>花都四部-凤凰仓</v>
      </c>
      <c r="G6241" s="1" t="str">
        <f t="shared" si="1924"/>
        <v>卡卡杜个人护理店（抖店）</v>
      </c>
      <c r="H6241" s="1" t="str">
        <f t="shared" si="1928"/>
        <v>正常订单</v>
      </c>
      <c r="I6241" s="1" t="str">
        <f t="shared" si="1929"/>
        <v>已发货</v>
      </c>
      <c r="J6241" s="1" t="str">
        <f t="shared" si="1931"/>
        <v>3</v>
      </c>
      <c r="K6241" s="1">
        <v>3</v>
      </c>
      <c r="L6241" s="1" t="s">
        <v>109</v>
      </c>
      <c r="M6241" s="1" t="str">
        <f>"山西省 大同市 平城区 水泊寺街道"</f>
        <v>山西省 大同市 平城区 水泊寺街道</v>
      </c>
      <c r="N6241" s="1" t="str">
        <f t="shared" ref="N6241:N6304" si="1932">"凡华云仓-韵达-抖音"</f>
        <v>凡华云仓-韵达-抖音</v>
      </c>
      <c r="O6241" s="5">
        <v>320177479465516</v>
      </c>
      <c r="P6241" s="6">
        <v>0.34</v>
      </c>
      <c r="Q6241" s="11">
        <v>2.2999999999999998</v>
      </c>
      <c r="R6241" s="11"/>
      <c r="S6241" s="11"/>
      <c r="T6241" s="11"/>
      <c r="U6241" s="11">
        <f t="shared" si="1925"/>
        <v>2.2999999999999998</v>
      </c>
      <c r="W6241">
        <v>2.5</v>
      </c>
      <c r="X6241" s="1" t="s">
        <v>109</v>
      </c>
    </row>
    <row r="6242" spans="1:24" x14ac:dyDescent="0.25">
      <c r="A6242" s="1" t="str">
        <f t="shared" si="1926"/>
        <v>卡卡杜-凤凰仓</v>
      </c>
      <c r="B6242" s="1" t="str">
        <f>"CK2024101810498"</f>
        <v>CK2024101810498</v>
      </c>
      <c r="C6242" s="1" t="str">
        <f>"DD2024101816577"</f>
        <v>DD2024101816577</v>
      </c>
      <c r="D6242" s="1" t="str">
        <f>"CK202410189838"</f>
        <v>CK202410189838</v>
      </c>
      <c r="E6242" s="1" t="str">
        <f>"6935167477979354599"</f>
        <v>6935167477979354599</v>
      </c>
      <c r="F6242" s="1" t="str">
        <f t="shared" si="1927"/>
        <v>花都四部-凤凰仓</v>
      </c>
      <c r="G6242" s="1" t="str">
        <f t="shared" si="1924"/>
        <v>卡卡杜个人护理店（抖店）</v>
      </c>
      <c r="H6242" s="1" t="str">
        <f t="shared" si="1928"/>
        <v>正常订单</v>
      </c>
      <c r="I6242" s="1" t="str">
        <f t="shared" si="1929"/>
        <v>已发货</v>
      </c>
      <c r="J6242" s="1" t="str">
        <f t="shared" si="1931"/>
        <v>3</v>
      </c>
      <c r="K6242" s="1">
        <v>3</v>
      </c>
      <c r="L6242" s="1" t="s">
        <v>30</v>
      </c>
      <c r="M6242" s="1" t="str">
        <f>"山东省 泰安市 泰山区 财源街道"</f>
        <v>山东省 泰安市 泰山区 财源街道</v>
      </c>
      <c r="N6242" s="1" t="str">
        <f t="shared" si="1932"/>
        <v>凡华云仓-韵达-抖音</v>
      </c>
      <c r="O6242" s="5">
        <v>320177479465419</v>
      </c>
      <c r="P6242" s="6">
        <v>0.34</v>
      </c>
      <c r="Q6242" s="11">
        <v>2.2999999999999998</v>
      </c>
      <c r="R6242" s="11"/>
      <c r="S6242" s="11"/>
      <c r="T6242" s="11"/>
      <c r="U6242" s="11">
        <f t="shared" si="1925"/>
        <v>2.2999999999999998</v>
      </c>
      <c r="W6242">
        <v>2.5</v>
      </c>
      <c r="X6242" s="1" t="s">
        <v>30</v>
      </c>
    </row>
    <row r="6243" spans="1:24" x14ac:dyDescent="0.25">
      <c r="A6243" s="1" t="str">
        <f t="shared" si="1926"/>
        <v>卡卡杜-凤凰仓</v>
      </c>
      <c r="B6243" s="1" t="str">
        <f>"CK2024101810499"</f>
        <v>CK2024101810499</v>
      </c>
      <c r="C6243" s="1" t="str">
        <f>"DD2024101816578"</f>
        <v>DD2024101816578</v>
      </c>
      <c r="D6243" s="1" t="str">
        <f>"CK202410189837"</f>
        <v>CK202410189837</v>
      </c>
      <c r="E6243" s="1" t="str">
        <f>"6935169867276162792"</f>
        <v>6935169867276162792</v>
      </c>
      <c r="F6243" s="1" t="str">
        <f t="shared" si="1927"/>
        <v>花都四部-凤凰仓</v>
      </c>
      <c r="G6243" s="1" t="str">
        <f t="shared" si="1924"/>
        <v>卡卡杜个人护理店（抖店）</v>
      </c>
      <c r="H6243" s="1" t="str">
        <f t="shared" si="1928"/>
        <v>正常订单</v>
      </c>
      <c r="I6243" s="1" t="str">
        <f t="shared" si="1929"/>
        <v>已发货</v>
      </c>
      <c r="J6243" s="1" t="str">
        <f t="shared" si="1931"/>
        <v>3</v>
      </c>
      <c r="K6243" s="1">
        <v>3</v>
      </c>
      <c r="L6243" s="1" t="s">
        <v>16</v>
      </c>
      <c r="M6243" s="1" t="str">
        <f>"河北省 保定市 涞水县 涞水镇"</f>
        <v>河北省 保定市 涞水县 涞水镇</v>
      </c>
      <c r="N6243" s="1" t="str">
        <f t="shared" si="1932"/>
        <v>凡华云仓-韵达-抖音</v>
      </c>
      <c r="O6243" s="5">
        <v>320177479465324</v>
      </c>
      <c r="P6243" s="6">
        <v>0.34</v>
      </c>
      <c r="Q6243" s="11">
        <v>2.2999999999999998</v>
      </c>
      <c r="R6243" s="11"/>
      <c r="S6243" s="11"/>
      <c r="T6243" s="11"/>
      <c r="U6243" s="11">
        <f t="shared" si="1925"/>
        <v>2.2999999999999998</v>
      </c>
      <c r="W6243">
        <v>2.5</v>
      </c>
      <c r="X6243" s="1" t="s">
        <v>16</v>
      </c>
    </row>
    <row r="6244" spans="1:24" x14ac:dyDescent="0.25">
      <c r="A6244" s="1" t="str">
        <f t="shared" si="1926"/>
        <v>卡卡杜-凤凰仓</v>
      </c>
      <c r="B6244" s="1" t="str">
        <f>"CK2024101810500"</f>
        <v>CK2024101810500</v>
      </c>
      <c r="C6244" s="1" t="str">
        <f>"DD2024101816579"</f>
        <v>DD2024101816579</v>
      </c>
      <c r="D6244" s="1" t="str">
        <f>"CK202410189836"</f>
        <v>CK202410189836</v>
      </c>
      <c r="E6244" s="1" t="str">
        <f>"6935156003703297701"</f>
        <v>6935156003703297701</v>
      </c>
      <c r="F6244" s="1" t="str">
        <f t="shared" si="1927"/>
        <v>花都四部-凤凰仓</v>
      </c>
      <c r="G6244" s="1" t="str">
        <f t="shared" si="1924"/>
        <v>卡卡杜个人护理店（抖店）</v>
      </c>
      <c r="H6244" s="1" t="str">
        <f t="shared" si="1928"/>
        <v>正常订单</v>
      </c>
      <c r="I6244" s="1" t="str">
        <f t="shared" si="1929"/>
        <v>已发货</v>
      </c>
      <c r="J6244" s="1" t="str">
        <f t="shared" si="1931"/>
        <v>3</v>
      </c>
      <c r="K6244" s="1">
        <v>3</v>
      </c>
      <c r="L6244" s="1" t="s">
        <v>16</v>
      </c>
      <c r="M6244" s="1" t="str">
        <f>"河北省 邯郸市 峰峰矿区 临水镇"</f>
        <v>河北省 邯郸市 峰峰矿区 临水镇</v>
      </c>
      <c r="N6244" s="1" t="str">
        <f t="shared" si="1932"/>
        <v>凡华云仓-韵达-抖音</v>
      </c>
      <c r="O6244" s="5">
        <v>320177479465231</v>
      </c>
      <c r="P6244" s="6">
        <v>0.34</v>
      </c>
      <c r="Q6244" s="11">
        <v>2.2999999999999998</v>
      </c>
      <c r="R6244" s="11"/>
      <c r="S6244" s="11"/>
      <c r="T6244" s="11"/>
      <c r="U6244" s="11">
        <f t="shared" si="1925"/>
        <v>2.2999999999999998</v>
      </c>
      <c r="W6244">
        <v>2.5</v>
      </c>
      <c r="X6244" s="1" t="s">
        <v>16</v>
      </c>
    </row>
    <row r="6245" spans="1:24" x14ac:dyDescent="0.25">
      <c r="A6245" s="1" t="str">
        <f t="shared" si="1926"/>
        <v>卡卡杜-凤凰仓</v>
      </c>
      <c r="B6245" s="1" t="str">
        <f>"CK2024101810503"</f>
        <v>CK2024101810503</v>
      </c>
      <c r="C6245" s="1" t="str">
        <f>"DD2024101816582"</f>
        <v>DD2024101816582</v>
      </c>
      <c r="D6245" s="1" t="str">
        <f>"CK202410189835"</f>
        <v>CK202410189835</v>
      </c>
      <c r="E6245" s="1" t="str">
        <f>"6935176611257849279"</f>
        <v>6935176611257849279</v>
      </c>
      <c r="F6245" s="1" t="str">
        <f t="shared" si="1927"/>
        <v>花都四部-凤凰仓</v>
      </c>
      <c r="G6245" s="1" t="str">
        <f t="shared" si="1924"/>
        <v>卡卡杜个人护理店（抖店）</v>
      </c>
      <c r="H6245" s="1" t="str">
        <f t="shared" si="1928"/>
        <v>正常订单</v>
      </c>
      <c r="I6245" s="1" t="str">
        <f t="shared" si="1929"/>
        <v>已发货</v>
      </c>
      <c r="J6245" s="1" t="str">
        <f t="shared" si="1931"/>
        <v>3</v>
      </c>
      <c r="K6245" s="1">
        <v>3</v>
      </c>
      <c r="L6245" s="1" t="s">
        <v>30</v>
      </c>
      <c r="M6245" s="1" t="str">
        <f>"山东省 烟台市 莱州市 城港路街道"</f>
        <v>山东省 烟台市 莱州市 城港路街道</v>
      </c>
      <c r="N6245" s="1" t="str">
        <f t="shared" si="1932"/>
        <v>凡华云仓-韵达-抖音</v>
      </c>
      <c r="O6245" s="5">
        <v>320177479465140</v>
      </c>
      <c r="P6245" s="6">
        <v>0.34</v>
      </c>
      <c r="Q6245" s="11">
        <v>2.2999999999999998</v>
      </c>
      <c r="R6245" s="11"/>
      <c r="S6245" s="11"/>
      <c r="T6245" s="11"/>
      <c r="U6245" s="11">
        <f t="shared" si="1925"/>
        <v>2.2999999999999998</v>
      </c>
      <c r="W6245">
        <v>2.5</v>
      </c>
      <c r="X6245" s="1" t="s">
        <v>30</v>
      </c>
    </row>
    <row r="6246" spans="1:24" x14ac:dyDescent="0.25">
      <c r="A6246" s="1" t="str">
        <f t="shared" si="1926"/>
        <v>卡卡杜-凤凰仓</v>
      </c>
      <c r="B6246" s="1" t="str">
        <f>"CK2024101810504"</f>
        <v>CK2024101810504</v>
      </c>
      <c r="C6246" s="1" t="str">
        <f>"DD2024101816583"</f>
        <v>DD2024101816583</v>
      </c>
      <c r="D6246" s="1" t="str">
        <f>"CK202410189834"</f>
        <v>CK202410189834</v>
      </c>
      <c r="E6246" s="1" t="str">
        <f>"6935153738118403835"</f>
        <v>6935153738118403835</v>
      </c>
      <c r="F6246" s="1" t="str">
        <f t="shared" si="1927"/>
        <v>花都四部-凤凰仓</v>
      </c>
      <c r="G6246" s="1" t="str">
        <f t="shared" si="1924"/>
        <v>卡卡杜个人护理店（抖店）</v>
      </c>
      <c r="H6246" s="1" t="str">
        <f t="shared" si="1928"/>
        <v>正常订单</v>
      </c>
      <c r="I6246" s="1" t="str">
        <f t="shared" si="1929"/>
        <v>已发货</v>
      </c>
      <c r="J6246" s="1" t="str">
        <f t="shared" si="1931"/>
        <v>3</v>
      </c>
      <c r="K6246" s="1">
        <v>3</v>
      </c>
      <c r="L6246" s="1" t="s">
        <v>41</v>
      </c>
      <c r="M6246" s="1" t="str">
        <f>"湖北省 襄阳市 枣阳市 环城街道"</f>
        <v>湖北省 襄阳市 枣阳市 环城街道</v>
      </c>
      <c r="N6246" s="1" t="str">
        <f t="shared" si="1932"/>
        <v>凡华云仓-韵达-抖音</v>
      </c>
      <c r="O6246" s="5">
        <v>320177479465051</v>
      </c>
      <c r="P6246" s="6">
        <v>0.34</v>
      </c>
      <c r="Q6246" s="11">
        <v>2.2999999999999998</v>
      </c>
      <c r="R6246" s="11"/>
      <c r="S6246" s="11"/>
      <c r="T6246" s="11"/>
      <c r="U6246" s="11">
        <f t="shared" si="1925"/>
        <v>2.2999999999999998</v>
      </c>
      <c r="W6246">
        <v>2.5</v>
      </c>
      <c r="X6246" s="1" t="s">
        <v>41</v>
      </c>
    </row>
    <row r="6247" spans="1:24" x14ac:dyDescent="0.25">
      <c r="A6247" s="1" t="str">
        <f t="shared" si="1926"/>
        <v>卡卡杜-凤凰仓</v>
      </c>
      <c r="B6247" s="1" t="str">
        <f>"CK2024101810502"</f>
        <v>CK2024101810502</v>
      </c>
      <c r="C6247" s="1" t="str">
        <f>"DD2024101816581"</f>
        <v>DD2024101816581</v>
      </c>
      <c r="D6247" s="1" t="str">
        <f>"CK202410189833"</f>
        <v>CK202410189833</v>
      </c>
      <c r="E6247" s="1" t="str">
        <f>"6935156021624837407"</f>
        <v>6935156021624837407</v>
      </c>
      <c r="F6247" s="1" t="str">
        <f t="shared" si="1927"/>
        <v>花都四部-凤凰仓</v>
      </c>
      <c r="G6247" s="1" t="str">
        <f t="shared" si="1924"/>
        <v>卡卡杜个人护理店（抖店）</v>
      </c>
      <c r="H6247" s="1" t="str">
        <f t="shared" si="1928"/>
        <v>正常订单</v>
      </c>
      <c r="I6247" s="1" t="str">
        <f t="shared" si="1929"/>
        <v>已发货</v>
      </c>
      <c r="J6247" s="1" t="str">
        <f t="shared" si="1931"/>
        <v>3</v>
      </c>
      <c r="K6247" s="1">
        <v>3</v>
      </c>
      <c r="L6247" s="1" t="s">
        <v>20</v>
      </c>
      <c r="M6247" s="1" t="str">
        <f>"浙江省 嘉兴市 嘉善县 罗星街道"</f>
        <v>浙江省 嘉兴市 嘉善县 罗星街道</v>
      </c>
      <c r="N6247" s="1" t="str">
        <f t="shared" si="1932"/>
        <v>凡华云仓-韵达-抖音</v>
      </c>
      <c r="O6247" s="5">
        <v>320177464929163</v>
      </c>
      <c r="P6247" s="6">
        <v>0.34</v>
      </c>
      <c r="Q6247" s="11">
        <v>2.2999999999999998</v>
      </c>
      <c r="R6247" s="11"/>
      <c r="S6247" s="11"/>
      <c r="T6247" s="11"/>
      <c r="U6247" s="11">
        <f t="shared" si="1925"/>
        <v>2.2999999999999998</v>
      </c>
      <c r="W6247">
        <v>2.5</v>
      </c>
      <c r="X6247" s="1" t="s">
        <v>20</v>
      </c>
    </row>
    <row r="6248" spans="1:24" x14ac:dyDescent="0.25">
      <c r="A6248" s="1" t="str">
        <f t="shared" si="1926"/>
        <v>卡卡杜-凤凰仓</v>
      </c>
      <c r="B6248" s="1" t="str">
        <f>"CK2024101810505"</f>
        <v>CK2024101810505</v>
      </c>
      <c r="C6248" s="1" t="str">
        <f>"DD2024101816584"</f>
        <v>DD2024101816584</v>
      </c>
      <c r="D6248" s="1" t="str">
        <f>"CK202410189832"</f>
        <v>CK202410189832</v>
      </c>
      <c r="E6248" s="1" t="str">
        <f>"6935151283186767786"</f>
        <v>6935151283186767786</v>
      </c>
      <c r="F6248" s="1" t="str">
        <f t="shared" si="1927"/>
        <v>花都四部-凤凰仓</v>
      </c>
      <c r="G6248" s="1" t="str">
        <f t="shared" si="1924"/>
        <v>卡卡杜个人护理店（抖店）</v>
      </c>
      <c r="H6248" s="1" t="str">
        <f t="shared" si="1928"/>
        <v>正常订单</v>
      </c>
      <c r="I6248" s="1" t="str">
        <f t="shared" si="1929"/>
        <v>已发货</v>
      </c>
      <c r="J6248" s="1" t="str">
        <f t="shared" si="1931"/>
        <v>3</v>
      </c>
      <c r="K6248" s="1">
        <v>3</v>
      </c>
      <c r="L6248" s="1" t="s">
        <v>20</v>
      </c>
      <c r="M6248" s="1" t="str">
        <f>"浙江省 宁波市 北仑区 戚家山街道"</f>
        <v>浙江省 宁波市 北仑区 戚家山街道</v>
      </c>
      <c r="N6248" s="1" t="str">
        <f t="shared" si="1932"/>
        <v>凡华云仓-韵达-抖音</v>
      </c>
      <c r="O6248" s="5">
        <v>320177464929074</v>
      </c>
      <c r="P6248" s="6">
        <v>0.34</v>
      </c>
      <c r="Q6248" s="11">
        <v>2.2999999999999998</v>
      </c>
      <c r="R6248" s="11"/>
      <c r="S6248" s="11"/>
      <c r="T6248" s="11"/>
      <c r="U6248" s="11">
        <f t="shared" si="1925"/>
        <v>2.2999999999999998</v>
      </c>
      <c r="W6248">
        <v>2.5</v>
      </c>
      <c r="X6248" s="1" t="s">
        <v>20</v>
      </c>
    </row>
    <row r="6249" spans="1:24" x14ac:dyDescent="0.25">
      <c r="A6249" s="1" t="str">
        <f t="shared" si="1926"/>
        <v>卡卡杜-凤凰仓</v>
      </c>
      <c r="B6249" s="1" t="str">
        <f>"CK2024101810506"</f>
        <v>CK2024101810506</v>
      </c>
      <c r="C6249" s="1" t="str">
        <f>"DD2024101816585"</f>
        <v>DD2024101816585</v>
      </c>
      <c r="D6249" s="1" t="str">
        <f>"CK202410189831"</f>
        <v>CK202410189831</v>
      </c>
      <c r="E6249" s="1" t="str">
        <f>"6935153828853389227"</f>
        <v>6935153828853389227</v>
      </c>
      <c r="F6249" s="1" t="str">
        <f t="shared" si="1927"/>
        <v>花都四部-凤凰仓</v>
      </c>
      <c r="G6249" s="1" t="str">
        <f t="shared" si="1924"/>
        <v>卡卡杜个人护理店（抖店）</v>
      </c>
      <c r="H6249" s="1" t="str">
        <f t="shared" si="1928"/>
        <v>正常订单</v>
      </c>
      <c r="I6249" s="1" t="str">
        <f t="shared" si="1929"/>
        <v>已发货</v>
      </c>
      <c r="J6249" s="1" t="str">
        <f t="shared" si="1931"/>
        <v>3</v>
      </c>
      <c r="K6249" s="1">
        <v>3</v>
      </c>
      <c r="L6249" s="1" t="s">
        <v>30</v>
      </c>
      <c r="M6249" s="1" t="str">
        <f>"山东省 潍坊市 临朐县 冶源街道"</f>
        <v>山东省 潍坊市 临朐县 冶源街道</v>
      </c>
      <c r="N6249" s="1" t="str">
        <f t="shared" si="1932"/>
        <v>凡华云仓-韵达-抖音</v>
      </c>
      <c r="O6249" s="5">
        <v>320177464928942</v>
      </c>
      <c r="P6249" s="6">
        <v>0.34</v>
      </c>
      <c r="Q6249" s="11">
        <v>2.2999999999999998</v>
      </c>
      <c r="R6249" s="11"/>
      <c r="S6249" s="11"/>
      <c r="T6249" s="11"/>
      <c r="U6249" s="11">
        <f t="shared" si="1925"/>
        <v>2.2999999999999998</v>
      </c>
      <c r="W6249">
        <v>2.5</v>
      </c>
      <c r="X6249" s="1" t="s">
        <v>30</v>
      </c>
    </row>
    <row r="6250" spans="1:24" x14ac:dyDescent="0.25">
      <c r="A6250" s="1" t="str">
        <f t="shared" si="1926"/>
        <v>卡卡杜-凤凰仓</v>
      </c>
      <c r="B6250" s="1" t="str">
        <f>"CK2024101810510"</f>
        <v>CK2024101810510</v>
      </c>
      <c r="C6250" s="1" t="str">
        <f>"DD2024101816588"</f>
        <v>DD2024101816588</v>
      </c>
      <c r="D6250" s="1" t="str">
        <f>"CK202410189830"</f>
        <v>CK202410189830</v>
      </c>
      <c r="E6250" s="1" t="str">
        <f>"6935174222844663243"</f>
        <v>6935174222844663243</v>
      </c>
      <c r="F6250" s="1" t="str">
        <f t="shared" si="1927"/>
        <v>花都四部-凤凰仓</v>
      </c>
      <c r="G6250" s="1" t="str">
        <f t="shared" si="1924"/>
        <v>卡卡杜个人护理店（抖店）</v>
      </c>
      <c r="H6250" s="1" t="str">
        <f t="shared" si="1928"/>
        <v>正常订单</v>
      </c>
      <c r="I6250" s="1" t="str">
        <f t="shared" si="1929"/>
        <v>已发货</v>
      </c>
      <c r="J6250" s="1" t="str">
        <f t="shared" si="1931"/>
        <v>3</v>
      </c>
      <c r="K6250" s="1">
        <v>3</v>
      </c>
      <c r="L6250" s="1" t="s">
        <v>30</v>
      </c>
      <c r="M6250" s="1" t="str">
        <f>"山东省 潍坊市 安丘市 新安街道"</f>
        <v>山东省 潍坊市 安丘市 新安街道</v>
      </c>
      <c r="N6250" s="1" t="str">
        <f t="shared" si="1932"/>
        <v>凡华云仓-韵达-抖音</v>
      </c>
      <c r="O6250" s="5">
        <v>320177464928837</v>
      </c>
      <c r="P6250" s="6">
        <v>0.34</v>
      </c>
      <c r="Q6250" s="11">
        <v>2.2999999999999998</v>
      </c>
      <c r="R6250" s="11"/>
      <c r="S6250" s="11"/>
      <c r="T6250" s="11"/>
      <c r="U6250" s="11">
        <f t="shared" si="1925"/>
        <v>2.2999999999999998</v>
      </c>
      <c r="W6250">
        <v>2.5</v>
      </c>
      <c r="X6250" s="1" t="s">
        <v>30</v>
      </c>
    </row>
    <row r="6251" spans="1:24" x14ac:dyDescent="0.25">
      <c r="A6251" s="1" t="str">
        <f t="shared" si="1926"/>
        <v>卡卡杜-凤凰仓</v>
      </c>
      <c r="B6251" s="1" t="str">
        <f>"CK2024101810509"</f>
        <v>CK2024101810509</v>
      </c>
      <c r="C6251" s="1" t="str">
        <f>"DD2024101816589"</f>
        <v>DD2024101816589</v>
      </c>
      <c r="D6251" s="1" t="str">
        <f>"CK202410189829"</f>
        <v>CK202410189829</v>
      </c>
      <c r="E6251" s="1" t="str">
        <f>"6935158409483719784"</f>
        <v>6935158409483719784</v>
      </c>
      <c r="F6251" s="1" t="str">
        <f t="shared" si="1927"/>
        <v>花都四部-凤凰仓</v>
      </c>
      <c r="G6251" s="1" t="str">
        <f t="shared" si="1924"/>
        <v>卡卡杜个人护理店（抖店）</v>
      </c>
      <c r="H6251" s="1" t="str">
        <f t="shared" si="1928"/>
        <v>正常订单</v>
      </c>
      <c r="I6251" s="1" t="str">
        <f t="shared" si="1929"/>
        <v>已发货</v>
      </c>
      <c r="J6251" s="1" t="str">
        <f t="shared" si="1931"/>
        <v>3</v>
      </c>
      <c r="K6251" s="1">
        <v>3</v>
      </c>
      <c r="L6251" s="1" t="s">
        <v>30</v>
      </c>
      <c r="M6251" s="1" t="str">
        <f>"山东省 青岛市 即墨区 通济街道"</f>
        <v>山东省 青岛市 即墨区 通济街道</v>
      </c>
      <c r="N6251" s="1" t="str">
        <f t="shared" si="1932"/>
        <v>凡华云仓-韵达-抖音</v>
      </c>
      <c r="O6251" s="5">
        <v>320177464928734</v>
      </c>
      <c r="P6251" s="6">
        <v>0.34</v>
      </c>
      <c r="Q6251" s="11">
        <v>2.2999999999999998</v>
      </c>
      <c r="R6251" s="11"/>
      <c r="S6251" s="11"/>
      <c r="T6251" s="11"/>
      <c r="U6251" s="11">
        <f t="shared" si="1925"/>
        <v>2.2999999999999998</v>
      </c>
      <c r="W6251">
        <v>2.5</v>
      </c>
      <c r="X6251" s="1" t="s">
        <v>30</v>
      </c>
    </row>
    <row r="6252" spans="1:24" x14ac:dyDescent="0.25">
      <c r="A6252" s="1" t="str">
        <f t="shared" si="1926"/>
        <v>卡卡杜-凤凰仓</v>
      </c>
      <c r="B6252" s="1" t="str">
        <f>"CK2024101810507"</f>
        <v>CK2024101810507</v>
      </c>
      <c r="C6252" s="1" t="str">
        <f>"DD2024101816586"</f>
        <v>DD2024101816586</v>
      </c>
      <c r="D6252" s="1" t="str">
        <f>"CK202410189828"</f>
        <v>CK202410189828</v>
      </c>
      <c r="E6252" s="1" t="str">
        <f>"6935167547071076191"</f>
        <v>6935167547071076191</v>
      </c>
      <c r="F6252" s="1" t="str">
        <f t="shared" si="1927"/>
        <v>花都四部-凤凰仓</v>
      </c>
      <c r="G6252" s="1" t="str">
        <f t="shared" si="1924"/>
        <v>卡卡杜个人护理店（抖店）</v>
      </c>
      <c r="H6252" s="1" t="str">
        <f t="shared" si="1928"/>
        <v>正常订单</v>
      </c>
      <c r="I6252" s="1" t="str">
        <f t="shared" si="1929"/>
        <v>已发货</v>
      </c>
      <c r="J6252" s="1" t="str">
        <f t="shared" si="1931"/>
        <v>3</v>
      </c>
      <c r="K6252" s="1">
        <v>3</v>
      </c>
      <c r="L6252" s="1" t="s">
        <v>41</v>
      </c>
      <c r="M6252" s="1" t="str">
        <f>"湖北省 黄冈市 武穴市 梅川镇"</f>
        <v>湖北省 黄冈市 武穴市 梅川镇</v>
      </c>
      <c r="N6252" s="1" t="str">
        <f t="shared" si="1932"/>
        <v>凡华云仓-韵达-抖音</v>
      </c>
      <c r="O6252" s="5">
        <v>320177464928633</v>
      </c>
      <c r="P6252" s="6">
        <v>0.34</v>
      </c>
      <c r="Q6252" s="11">
        <v>2.2999999999999998</v>
      </c>
      <c r="R6252" s="11"/>
      <c r="S6252" s="11"/>
      <c r="T6252" s="11"/>
      <c r="U6252" s="11">
        <f t="shared" si="1925"/>
        <v>2.2999999999999998</v>
      </c>
      <c r="W6252">
        <v>2.5</v>
      </c>
      <c r="X6252" s="1" t="s">
        <v>41</v>
      </c>
    </row>
    <row r="6253" spans="1:24" x14ac:dyDescent="0.25">
      <c r="A6253" s="1" t="str">
        <f t="shared" si="1926"/>
        <v>卡卡杜-凤凰仓</v>
      </c>
      <c r="B6253" s="1" t="str">
        <f>"CK2024101810508"</f>
        <v>CK2024101810508</v>
      </c>
      <c r="C6253" s="1" t="str">
        <f>"DD2024101816587"</f>
        <v>DD2024101816587</v>
      </c>
      <c r="D6253" s="1" t="str">
        <f>"CK202410189827"</f>
        <v>CK202410189827</v>
      </c>
      <c r="E6253" s="1" t="str">
        <f>"6935141142983612081"</f>
        <v>6935141142983612081</v>
      </c>
      <c r="F6253" s="1" t="str">
        <f t="shared" si="1927"/>
        <v>花都四部-凤凰仓</v>
      </c>
      <c r="G6253" s="1" t="str">
        <f t="shared" si="1924"/>
        <v>卡卡杜个人护理店（抖店）</v>
      </c>
      <c r="H6253" s="1" t="str">
        <f t="shared" si="1928"/>
        <v>正常订单</v>
      </c>
      <c r="I6253" s="1" t="str">
        <f t="shared" si="1929"/>
        <v>已发货</v>
      </c>
      <c r="J6253" s="1" t="str">
        <f t="shared" si="1931"/>
        <v>3</v>
      </c>
      <c r="K6253" s="1">
        <v>3</v>
      </c>
      <c r="L6253" s="1" t="s">
        <v>80</v>
      </c>
      <c r="M6253" s="1" t="str">
        <f>"河南省 南阳市 西峡县 白羽街道"</f>
        <v>河南省 南阳市 西峡县 白羽街道</v>
      </c>
      <c r="N6253" s="1" t="str">
        <f t="shared" si="1932"/>
        <v>凡华云仓-韵达-抖音</v>
      </c>
      <c r="O6253" s="5">
        <v>320177464928534</v>
      </c>
      <c r="P6253" s="6">
        <v>0.34</v>
      </c>
      <c r="Q6253" s="11">
        <v>2.2999999999999998</v>
      </c>
      <c r="R6253" s="11"/>
      <c r="S6253" s="11"/>
      <c r="T6253" s="11"/>
      <c r="U6253" s="11">
        <f t="shared" si="1925"/>
        <v>2.2999999999999998</v>
      </c>
      <c r="W6253">
        <v>2.5</v>
      </c>
      <c r="X6253" s="1" t="s">
        <v>80</v>
      </c>
    </row>
    <row r="6254" spans="1:24" x14ac:dyDescent="0.25">
      <c r="A6254" s="1" t="str">
        <f t="shared" si="1926"/>
        <v>卡卡杜-凤凰仓</v>
      </c>
      <c r="B6254" s="1" t="str">
        <f>"CK2024101810513"</f>
        <v>CK2024101810513</v>
      </c>
      <c r="C6254" s="1" t="str">
        <f>"DD2024101816592"</f>
        <v>DD2024101816592</v>
      </c>
      <c r="D6254" s="1" t="str">
        <f>"CK202410189826"</f>
        <v>CK202410189826</v>
      </c>
      <c r="E6254" s="1" t="str">
        <f>"6935167459726857475"</f>
        <v>6935167459726857475</v>
      </c>
      <c r="F6254" s="1" t="str">
        <f t="shared" si="1927"/>
        <v>花都四部-凤凰仓</v>
      </c>
      <c r="G6254" s="1" t="str">
        <f t="shared" si="1924"/>
        <v>卡卡杜个人护理店（抖店）</v>
      </c>
      <c r="H6254" s="1" t="str">
        <f t="shared" si="1928"/>
        <v>正常订单</v>
      </c>
      <c r="I6254" s="1" t="str">
        <f t="shared" si="1929"/>
        <v>已发货</v>
      </c>
      <c r="J6254" s="1" t="str">
        <f t="shared" si="1931"/>
        <v>3</v>
      </c>
      <c r="K6254" s="1">
        <v>3</v>
      </c>
      <c r="L6254" s="1" t="s">
        <v>13</v>
      </c>
      <c r="M6254" s="1" t="str">
        <f>"江苏省 盐城市 响水县 小尖镇"</f>
        <v>江苏省 盐城市 响水县 小尖镇</v>
      </c>
      <c r="N6254" s="1" t="str">
        <f t="shared" si="1932"/>
        <v>凡华云仓-韵达-抖音</v>
      </c>
      <c r="O6254" s="5">
        <v>320177464928437</v>
      </c>
      <c r="P6254" s="6">
        <v>0.34</v>
      </c>
      <c r="Q6254" s="11">
        <v>2.2999999999999998</v>
      </c>
      <c r="R6254" s="11"/>
      <c r="S6254" s="11"/>
      <c r="T6254" s="11"/>
      <c r="U6254" s="11">
        <f t="shared" si="1925"/>
        <v>2.2999999999999998</v>
      </c>
      <c r="W6254">
        <v>2.5</v>
      </c>
      <c r="X6254" s="1" t="s">
        <v>13</v>
      </c>
    </row>
    <row r="6255" spans="1:24" x14ac:dyDescent="0.25">
      <c r="A6255" s="1" t="str">
        <f t="shared" si="1926"/>
        <v>卡卡杜-凤凰仓</v>
      </c>
      <c r="B6255" s="1" t="str">
        <f>"CK2024101810515"</f>
        <v>CK2024101810515</v>
      </c>
      <c r="C6255" s="1" t="str">
        <f>"DD2024101816594"</f>
        <v>DD2024101816594</v>
      </c>
      <c r="D6255" s="1" t="str">
        <f>"CK202410189825"</f>
        <v>CK202410189825</v>
      </c>
      <c r="E6255" s="1" t="str">
        <f>"6935169812020729737"</f>
        <v>6935169812020729737</v>
      </c>
      <c r="F6255" s="1" t="str">
        <f t="shared" si="1927"/>
        <v>花都四部-凤凰仓</v>
      </c>
      <c r="G6255" s="1" t="str">
        <f t="shared" si="1924"/>
        <v>卡卡杜个人护理店（抖店）</v>
      </c>
      <c r="H6255" s="1" t="str">
        <f t="shared" si="1928"/>
        <v>正常订单</v>
      </c>
      <c r="I6255" s="1" t="str">
        <f t="shared" si="1929"/>
        <v>已发货</v>
      </c>
      <c r="J6255" s="1" t="str">
        <f t="shared" si="1931"/>
        <v>3</v>
      </c>
      <c r="K6255" s="1">
        <v>3</v>
      </c>
      <c r="L6255" s="1" t="s">
        <v>24</v>
      </c>
      <c r="M6255" s="1" t="str">
        <f>"福建省 龙岩市 新罗区 曹溪街道"</f>
        <v>福建省 龙岩市 新罗区 曹溪街道</v>
      </c>
      <c r="N6255" s="1" t="str">
        <f t="shared" si="1932"/>
        <v>凡华云仓-韵达-抖音</v>
      </c>
      <c r="O6255" s="5">
        <v>320177464928342</v>
      </c>
      <c r="P6255" s="6">
        <v>0.34</v>
      </c>
      <c r="Q6255" s="11">
        <v>2.2999999999999998</v>
      </c>
      <c r="R6255" s="11"/>
      <c r="S6255" s="11"/>
      <c r="T6255" s="11"/>
      <c r="U6255" s="11">
        <f t="shared" si="1925"/>
        <v>2.2999999999999998</v>
      </c>
      <c r="W6255">
        <v>2.5</v>
      </c>
      <c r="X6255" s="1" t="s">
        <v>24</v>
      </c>
    </row>
    <row r="6256" spans="1:24" x14ac:dyDescent="0.25">
      <c r="A6256" s="1" t="str">
        <f t="shared" si="1926"/>
        <v>卡卡杜-凤凰仓</v>
      </c>
      <c r="B6256" s="1" t="str">
        <f>"CK2024101810516"</f>
        <v>CK2024101810516</v>
      </c>
      <c r="C6256" s="1" t="str">
        <f>"DD2024101816595"</f>
        <v>DD2024101816595</v>
      </c>
      <c r="D6256" s="1" t="str">
        <f>"CK202410189824"</f>
        <v>CK202410189824</v>
      </c>
      <c r="E6256" s="1" t="str">
        <f>"6935172003742291899"</f>
        <v>6935172003742291899</v>
      </c>
      <c r="F6256" s="1" t="str">
        <f t="shared" si="1927"/>
        <v>花都四部-凤凰仓</v>
      </c>
      <c r="G6256" s="1" t="str">
        <f t="shared" si="1924"/>
        <v>卡卡杜个人护理店（抖店）</v>
      </c>
      <c r="H6256" s="1" t="str">
        <f t="shared" si="1928"/>
        <v>正常订单</v>
      </c>
      <c r="I6256" s="1" t="str">
        <f t="shared" si="1929"/>
        <v>已发货</v>
      </c>
      <c r="J6256" s="1" t="str">
        <f t="shared" si="1931"/>
        <v>3</v>
      </c>
      <c r="K6256" s="1">
        <v>3</v>
      </c>
      <c r="L6256" s="1" t="s">
        <v>24</v>
      </c>
      <c r="M6256" s="1" t="str">
        <f>"福建省 福州市 长乐区 潭头镇"</f>
        <v>福建省 福州市 长乐区 潭头镇</v>
      </c>
      <c r="N6256" s="1" t="str">
        <f t="shared" si="1932"/>
        <v>凡华云仓-韵达-抖音</v>
      </c>
      <c r="O6256" s="5">
        <v>320177464928249</v>
      </c>
      <c r="P6256" s="6">
        <v>0.34</v>
      </c>
      <c r="Q6256" s="11">
        <v>2.2999999999999998</v>
      </c>
      <c r="R6256" s="11"/>
      <c r="S6256" s="11"/>
      <c r="T6256" s="11"/>
      <c r="U6256" s="11">
        <f t="shared" si="1925"/>
        <v>2.2999999999999998</v>
      </c>
      <c r="W6256">
        <v>2.5</v>
      </c>
      <c r="X6256" s="1" t="s">
        <v>24</v>
      </c>
    </row>
    <row r="6257" spans="1:24" x14ac:dyDescent="0.25">
      <c r="A6257" s="1" t="str">
        <f t="shared" si="1926"/>
        <v>卡卡杜-凤凰仓</v>
      </c>
      <c r="B6257" s="1" t="str">
        <f>"CK2024101810522"</f>
        <v>CK2024101810522</v>
      </c>
      <c r="C6257" s="1" t="str">
        <f>"DD2024101816601"</f>
        <v>DD2024101816601</v>
      </c>
      <c r="D6257" s="1" t="str">
        <f>"CK202410189823"</f>
        <v>CK202410189823</v>
      </c>
      <c r="E6257" s="1" t="str">
        <f>"6935147499858368180"</f>
        <v>6935147499858368180</v>
      </c>
      <c r="F6257" s="1" t="str">
        <f t="shared" si="1927"/>
        <v>花都四部-凤凰仓</v>
      </c>
      <c r="G6257" s="1" t="str">
        <f t="shared" si="1924"/>
        <v>卡卡杜个人护理店（抖店）</v>
      </c>
      <c r="H6257" s="1" t="str">
        <f t="shared" si="1928"/>
        <v>正常订单</v>
      </c>
      <c r="I6257" s="1" t="str">
        <f t="shared" si="1929"/>
        <v>已发货</v>
      </c>
      <c r="J6257" s="1" t="str">
        <f>"6"</f>
        <v>6</v>
      </c>
      <c r="K6257" s="1">
        <v>3</v>
      </c>
      <c r="L6257" s="1" t="s">
        <v>218</v>
      </c>
      <c r="M6257" s="1" t="str">
        <f>"天津 天津市 蓟州区 渔阳镇"</f>
        <v>天津 天津市 蓟州区 渔阳镇</v>
      </c>
      <c r="N6257" s="1" t="str">
        <f t="shared" si="1932"/>
        <v>凡华云仓-韵达-抖音</v>
      </c>
      <c r="O6257" s="5">
        <v>320177486025657</v>
      </c>
      <c r="P6257" s="6">
        <v>0.55000000000000004</v>
      </c>
      <c r="Q6257" s="11">
        <f>CEILING(P6257-0.5,0.1)*10*0.15+2.3</f>
        <v>2.4499999999999997</v>
      </c>
      <c r="R6257" s="11"/>
      <c r="S6257" s="11"/>
      <c r="T6257" s="11"/>
      <c r="U6257" s="11">
        <f t="shared" si="1925"/>
        <v>2.4499999999999997</v>
      </c>
      <c r="V6257" t="s">
        <v>15</v>
      </c>
      <c r="W6257">
        <v>2.4500000000000002</v>
      </c>
      <c r="X6257" s="1" t="s">
        <v>218</v>
      </c>
    </row>
    <row r="6258" spans="1:24" x14ac:dyDescent="0.25">
      <c r="A6258" s="1" t="str">
        <f t="shared" si="1926"/>
        <v>卡卡杜-凤凰仓</v>
      </c>
      <c r="B6258" s="1" t="str">
        <f>"CK2024101810511"</f>
        <v>CK2024101810511</v>
      </c>
      <c r="C6258" s="1" t="str">
        <f>"DD2024101816590"</f>
        <v>DD2024101816590</v>
      </c>
      <c r="D6258" s="1" t="str">
        <f>"CK202410189822"</f>
        <v>CK202410189822</v>
      </c>
      <c r="E6258" s="1" t="str">
        <f>"6935167454447409013"</f>
        <v>6935167454447409013</v>
      </c>
      <c r="F6258" s="1" t="str">
        <f t="shared" si="1927"/>
        <v>花都四部-凤凰仓</v>
      </c>
      <c r="G6258" s="1" t="str">
        <f t="shared" si="1924"/>
        <v>卡卡杜个人护理店（抖店）</v>
      </c>
      <c r="H6258" s="1" t="str">
        <f t="shared" si="1928"/>
        <v>正常订单</v>
      </c>
      <c r="I6258" s="1" t="str">
        <f t="shared" si="1929"/>
        <v>已发货</v>
      </c>
      <c r="J6258" s="1" t="str">
        <f t="shared" ref="J6258:J6296" si="1933">"3"</f>
        <v>3</v>
      </c>
      <c r="K6258" s="1">
        <v>3</v>
      </c>
      <c r="L6258" s="1" t="s">
        <v>13</v>
      </c>
      <c r="M6258" s="1" t="str">
        <f>"江苏省 盐城市 盐都区 龙冈镇"</f>
        <v>江苏省 盐城市 盐都区 龙冈镇</v>
      </c>
      <c r="N6258" s="1" t="str">
        <f t="shared" si="1932"/>
        <v>凡华云仓-韵达-抖音</v>
      </c>
      <c r="O6258" s="5">
        <v>320177486025558</v>
      </c>
      <c r="P6258" s="6">
        <v>0.34</v>
      </c>
      <c r="Q6258" s="11">
        <v>2.2999999999999998</v>
      </c>
      <c r="R6258" s="11"/>
      <c r="S6258" s="11"/>
      <c r="T6258" s="11"/>
      <c r="U6258" s="11">
        <f t="shared" si="1925"/>
        <v>2.2999999999999998</v>
      </c>
      <c r="W6258">
        <v>2.5</v>
      </c>
      <c r="X6258" s="1" t="s">
        <v>13</v>
      </c>
    </row>
    <row r="6259" spans="1:24" x14ac:dyDescent="0.25">
      <c r="A6259" s="1" t="str">
        <f t="shared" si="1926"/>
        <v>卡卡杜-凤凰仓</v>
      </c>
      <c r="B6259" s="1" t="str">
        <f>"CK2024101810512"</f>
        <v>CK2024101810512</v>
      </c>
      <c r="C6259" s="1" t="str">
        <f>"DD2024101816591"</f>
        <v>DD2024101816591</v>
      </c>
      <c r="D6259" s="1" t="str">
        <f>"CK202410189821"</f>
        <v>CK202410189821</v>
      </c>
      <c r="E6259" s="1" t="str">
        <f>"6935147529302971669"</f>
        <v>6935147529302971669</v>
      </c>
      <c r="F6259" s="1" t="str">
        <f t="shared" si="1927"/>
        <v>花都四部-凤凰仓</v>
      </c>
      <c r="G6259" s="1" t="str">
        <f t="shared" si="1924"/>
        <v>卡卡杜个人护理店（抖店）</v>
      </c>
      <c r="H6259" s="1" t="str">
        <f t="shared" si="1928"/>
        <v>正常订单</v>
      </c>
      <c r="I6259" s="1" t="str">
        <f t="shared" si="1929"/>
        <v>已发货</v>
      </c>
      <c r="J6259" s="1" t="str">
        <f t="shared" si="1933"/>
        <v>3</v>
      </c>
      <c r="K6259" s="1">
        <v>3</v>
      </c>
      <c r="L6259" s="1" t="s">
        <v>47</v>
      </c>
      <c r="M6259" s="1" t="str">
        <f>"重庆 重庆市 渝北区 仙桃街道"</f>
        <v>重庆 重庆市 渝北区 仙桃街道</v>
      </c>
      <c r="N6259" s="1" t="str">
        <f t="shared" si="1932"/>
        <v>凡华云仓-韵达-抖音</v>
      </c>
      <c r="O6259" s="5">
        <v>320177486025461</v>
      </c>
      <c r="P6259" s="6">
        <v>0.34</v>
      </c>
      <c r="Q6259" s="11">
        <v>2.2999999999999998</v>
      </c>
      <c r="R6259" s="11"/>
      <c r="S6259" s="11"/>
      <c r="T6259" s="11"/>
      <c r="U6259" s="11">
        <f t="shared" si="1925"/>
        <v>2.2999999999999998</v>
      </c>
      <c r="W6259">
        <v>2.5</v>
      </c>
      <c r="X6259" s="1" t="s">
        <v>47</v>
      </c>
    </row>
    <row r="6260" spans="1:24" x14ac:dyDescent="0.25">
      <c r="A6260" s="1" t="str">
        <f t="shared" si="1926"/>
        <v>卡卡杜-凤凰仓</v>
      </c>
      <c r="B6260" s="1" t="str">
        <f>"CK2024101810514"</f>
        <v>CK2024101810514</v>
      </c>
      <c r="C6260" s="1" t="str">
        <f>"DD2024101816593"</f>
        <v>DD2024101816593</v>
      </c>
      <c r="D6260" s="1" t="str">
        <f>"CK202410189820"</f>
        <v>CK202410189820</v>
      </c>
      <c r="E6260" s="1" t="str">
        <f>"6935162751928046688"</f>
        <v>6935162751928046688</v>
      </c>
      <c r="F6260" s="1" t="str">
        <f t="shared" si="1927"/>
        <v>花都四部-凤凰仓</v>
      </c>
      <c r="G6260" s="1" t="str">
        <f t="shared" ref="G6260:G6323" si="1934">"卡卡杜个人护理店（抖店）"</f>
        <v>卡卡杜个人护理店（抖店）</v>
      </c>
      <c r="H6260" s="1" t="str">
        <f t="shared" si="1928"/>
        <v>正常订单</v>
      </c>
      <c r="I6260" s="1" t="str">
        <f t="shared" si="1929"/>
        <v>已发货</v>
      </c>
      <c r="J6260" s="1" t="str">
        <f t="shared" si="1933"/>
        <v>3</v>
      </c>
      <c r="K6260" s="1">
        <v>3</v>
      </c>
      <c r="L6260" s="1" t="s">
        <v>13</v>
      </c>
      <c r="M6260" s="1" t="str">
        <f>"江苏省 南京市 浦口区 桥林街道"</f>
        <v>江苏省 南京市 浦口区 桥林街道</v>
      </c>
      <c r="N6260" s="1" t="str">
        <f t="shared" si="1932"/>
        <v>凡华云仓-韵达-抖音</v>
      </c>
      <c r="O6260" s="5">
        <v>320177486025366</v>
      </c>
      <c r="P6260" s="6">
        <v>0.34</v>
      </c>
      <c r="Q6260" s="11">
        <v>2.2999999999999998</v>
      </c>
      <c r="R6260" s="11"/>
      <c r="S6260" s="11"/>
      <c r="T6260" s="11"/>
      <c r="U6260" s="11">
        <f t="shared" si="1925"/>
        <v>2.2999999999999998</v>
      </c>
      <c r="W6260">
        <v>2.5</v>
      </c>
      <c r="X6260" s="1" t="s">
        <v>13</v>
      </c>
    </row>
    <row r="6261" spans="1:24" x14ac:dyDescent="0.25">
      <c r="A6261" s="1" t="str">
        <f t="shared" si="1926"/>
        <v>卡卡杜-凤凰仓</v>
      </c>
      <c r="B6261" s="1" t="str">
        <f>"CK2024101810518"</f>
        <v>CK2024101810518</v>
      </c>
      <c r="C6261" s="1" t="str">
        <f>"DD2024101816596"</f>
        <v>DD2024101816596</v>
      </c>
      <c r="D6261" s="1" t="str">
        <f>"CK202410189819"</f>
        <v>CK202410189819</v>
      </c>
      <c r="E6261" s="1" t="str">
        <f>"6935169839537330114"</f>
        <v>6935169839537330114</v>
      </c>
      <c r="F6261" s="1" t="str">
        <f t="shared" si="1927"/>
        <v>花都四部-凤凰仓</v>
      </c>
      <c r="G6261" s="1" t="str">
        <f t="shared" si="1934"/>
        <v>卡卡杜个人护理店（抖店）</v>
      </c>
      <c r="H6261" s="1" t="str">
        <f t="shared" si="1928"/>
        <v>正常订单</v>
      </c>
      <c r="I6261" s="1" t="str">
        <f t="shared" si="1929"/>
        <v>已发货</v>
      </c>
      <c r="J6261" s="1" t="str">
        <f t="shared" si="1933"/>
        <v>3</v>
      </c>
      <c r="K6261" s="1">
        <v>3</v>
      </c>
      <c r="L6261" s="1" t="s">
        <v>30</v>
      </c>
      <c r="M6261" s="1" t="str">
        <f>"山东省 临沂市 兰山区 柳青街道"</f>
        <v>山东省 临沂市 兰山区 柳青街道</v>
      </c>
      <c r="N6261" s="1" t="str">
        <f t="shared" si="1932"/>
        <v>凡华云仓-韵达-抖音</v>
      </c>
      <c r="O6261" s="5">
        <v>320177486025273</v>
      </c>
      <c r="P6261" s="6">
        <v>0.34</v>
      </c>
      <c r="Q6261" s="11">
        <v>2.2999999999999998</v>
      </c>
      <c r="R6261" s="11"/>
      <c r="S6261" s="11"/>
      <c r="T6261" s="11"/>
      <c r="U6261" s="11">
        <f t="shared" si="1925"/>
        <v>2.2999999999999998</v>
      </c>
      <c r="W6261">
        <v>2.5</v>
      </c>
      <c r="X6261" s="1" t="s">
        <v>30</v>
      </c>
    </row>
    <row r="6262" spans="1:24" x14ac:dyDescent="0.25">
      <c r="A6262" s="1" t="str">
        <f t="shared" si="1926"/>
        <v>卡卡杜-凤凰仓</v>
      </c>
      <c r="B6262" s="1" t="str">
        <f>"CK2024101810517"</f>
        <v>CK2024101810517</v>
      </c>
      <c r="C6262" s="1" t="str">
        <f>"DD2024101816597"</f>
        <v>DD2024101816597</v>
      </c>
      <c r="D6262" s="1" t="str">
        <f>"CK202410189818"</f>
        <v>CK202410189818</v>
      </c>
      <c r="E6262" s="1" t="str">
        <f>"6935160946576922358"</f>
        <v>6935160946576922358</v>
      </c>
      <c r="F6262" s="1" t="str">
        <f t="shared" si="1927"/>
        <v>花都四部-凤凰仓</v>
      </c>
      <c r="G6262" s="1" t="str">
        <f t="shared" si="1934"/>
        <v>卡卡杜个人护理店（抖店）</v>
      </c>
      <c r="H6262" s="1" t="str">
        <f t="shared" si="1928"/>
        <v>正常订单</v>
      </c>
      <c r="I6262" s="1" t="str">
        <f t="shared" si="1929"/>
        <v>已发货</v>
      </c>
      <c r="J6262" s="1" t="str">
        <f t="shared" si="1933"/>
        <v>3</v>
      </c>
      <c r="K6262" s="1">
        <v>3</v>
      </c>
      <c r="L6262" s="1" t="s">
        <v>92</v>
      </c>
      <c r="M6262" s="1" t="str">
        <f>"辽宁省 本溪市 桓仁满族自治县 八卦城街道"</f>
        <v>辽宁省 本溪市 桓仁满族自治县 八卦城街道</v>
      </c>
      <c r="N6262" s="1" t="str">
        <f t="shared" si="1932"/>
        <v>凡华云仓-韵达-抖音</v>
      </c>
      <c r="O6262" s="5">
        <v>320177486025182</v>
      </c>
      <c r="P6262" s="6">
        <v>0.34</v>
      </c>
      <c r="Q6262" s="11">
        <v>2.2999999999999998</v>
      </c>
      <c r="R6262" s="11"/>
      <c r="S6262" s="11"/>
      <c r="T6262" s="11"/>
      <c r="U6262" s="11">
        <f t="shared" si="1925"/>
        <v>2.2999999999999998</v>
      </c>
      <c r="W6262">
        <v>2.5</v>
      </c>
      <c r="X6262" s="1" t="s">
        <v>92</v>
      </c>
    </row>
    <row r="6263" spans="1:24" x14ac:dyDescent="0.25">
      <c r="A6263" s="1" t="str">
        <f t="shared" si="1926"/>
        <v>卡卡杜-凤凰仓</v>
      </c>
      <c r="B6263" s="1" t="str">
        <f>"CK2024101810519"</f>
        <v>CK2024101810519</v>
      </c>
      <c r="C6263" s="1" t="str">
        <f>"DD2024101816598"</f>
        <v>DD2024101816598</v>
      </c>
      <c r="D6263" s="1" t="str">
        <f>"CK202410189817"</f>
        <v>CK202410189817</v>
      </c>
      <c r="E6263" s="1" t="str">
        <f>"6935153903436043951"</f>
        <v>6935153903436043951</v>
      </c>
      <c r="F6263" s="1" t="str">
        <f t="shared" si="1927"/>
        <v>花都四部-凤凰仓</v>
      </c>
      <c r="G6263" s="1" t="str">
        <f t="shared" si="1934"/>
        <v>卡卡杜个人护理店（抖店）</v>
      </c>
      <c r="H6263" s="1" t="str">
        <f t="shared" si="1928"/>
        <v>正常订单</v>
      </c>
      <c r="I6263" s="1" t="str">
        <f t="shared" si="1929"/>
        <v>已发货</v>
      </c>
      <c r="J6263" s="1" t="str">
        <f t="shared" si="1933"/>
        <v>3</v>
      </c>
      <c r="K6263" s="1">
        <v>3</v>
      </c>
      <c r="L6263" s="1" t="s">
        <v>54</v>
      </c>
      <c r="M6263" s="1" t="str">
        <f>"黑龙江省 大庆市 让胡路区 西宾街道"</f>
        <v>黑龙江省 大庆市 让胡路区 西宾街道</v>
      </c>
      <c r="N6263" s="1" t="str">
        <f t="shared" si="1932"/>
        <v>凡华云仓-韵达-抖音</v>
      </c>
      <c r="O6263" s="5">
        <v>320177486025093</v>
      </c>
      <c r="P6263" s="6">
        <v>0.34</v>
      </c>
      <c r="Q6263" s="11">
        <v>2.2999999999999998</v>
      </c>
      <c r="R6263" s="11"/>
      <c r="S6263" s="11"/>
      <c r="T6263" s="11"/>
      <c r="U6263" s="11">
        <f t="shared" si="1925"/>
        <v>2.2999999999999998</v>
      </c>
      <c r="W6263">
        <v>2.5</v>
      </c>
      <c r="X6263" s="1" t="s">
        <v>54</v>
      </c>
    </row>
    <row r="6264" spans="1:24" x14ac:dyDescent="0.25">
      <c r="A6264" s="1" t="str">
        <f t="shared" si="1926"/>
        <v>卡卡杜-凤凰仓</v>
      </c>
      <c r="B6264" s="1" t="str">
        <f>"CK2024101810520"</f>
        <v>CK2024101810520</v>
      </c>
      <c r="C6264" s="1" t="str">
        <f>"DD2024101816599"</f>
        <v>DD2024101816599</v>
      </c>
      <c r="D6264" s="1" t="str">
        <f>"CK202410189816"</f>
        <v>CK202410189816</v>
      </c>
      <c r="E6264" s="1" t="str">
        <f>"6935167586646103444"</f>
        <v>6935167586646103444</v>
      </c>
      <c r="F6264" s="1" t="str">
        <f t="shared" si="1927"/>
        <v>花都四部-凤凰仓</v>
      </c>
      <c r="G6264" s="1" t="str">
        <f t="shared" si="1934"/>
        <v>卡卡杜个人护理店（抖店）</v>
      </c>
      <c r="H6264" s="1" t="str">
        <f t="shared" si="1928"/>
        <v>正常订单</v>
      </c>
      <c r="I6264" s="1" t="str">
        <f t="shared" si="1929"/>
        <v>已发货</v>
      </c>
      <c r="J6264" s="1" t="str">
        <f t="shared" si="1933"/>
        <v>3</v>
      </c>
      <c r="K6264" s="1">
        <v>3</v>
      </c>
      <c r="L6264" s="1" t="s">
        <v>36</v>
      </c>
      <c r="M6264" s="1" t="str">
        <f>"安徽省 合肥市 肥西县 上派镇"</f>
        <v>安徽省 合肥市 肥西县 上派镇</v>
      </c>
      <c r="N6264" s="1" t="str">
        <f t="shared" si="1932"/>
        <v>凡华云仓-韵达-抖音</v>
      </c>
      <c r="O6264" s="5">
        <v>320177486024969</v>
      </c>
      <c r="P6264" s="6">
        <v>0.34</v>
      </c>
      <c r="Q6264" s="11">
        <v>2.2999999999999998</v>
      </c>
      <c r="R6264" s="11"/>
      <c r="S6264" s="11"/>
      <c r="T6264" s="11"/>
      <c r="U6264" s="11">
        <f t="shared" si="1925"/>
        <v>2.2999999999999998</v>
      </c>
      <c r="W6264">
        <v>2.5</v>
      </c>
      <c r="X6264" s="1" t="s">
        <v>36</v>
      </c>
    </row>
    <row r="6265" spans="1:24" x14ac:dyDescent="0.25">
      <c r="A6265" s="1" t="str">
        <f t="shared" si="1926"/>
        <v>卡卡杜-凤凰仓</v>
      </c>
      <c r="B6265" s="1" t="str">
        <f>"CK2024101810521"</f>
        <v>CK2024101810521</v>
      </c>
      <c r="C6265" s="1" t="str">
        <f>"DD2024101816600"</f>
        <v>DD2024101816600</v>
      </c>
      <c r="D6265" s="1" t="str">
        <f>"CK202410189815"</f>
        <v>CK202410189815</v>
      </c>
      <c r="E6265" s="1" t="str">
        <f>"6935147507989878189"</f>
        <v>6935147507989878189</v>
      </c>
      <c r="F6265" s="1" t="str">
        <f t="shared" si="1927"/>
        <v>花都四部-凤凰仓</v>
      </c>
      <c r="G6265" s="1" t="str">
        <f t="shared" si="1934"/>
        <v>卡卡杜个人护理店（抖店）</v>
      </c>
      <c r="H6265" s="1" t="str">
        <f t="shared" si="1928"/>
        <v>正常订单</v>
      </c>
      <c r="I6265" s="1" t="str">
        <f t="shared" si="1929"/>
        <v>已发货</v>
      </c>
      <c r="J6265" s="1" t="str">
        <f t="shared" si="1933"/>
        <v>3</v>
      </c>
      <c r="K6265" s="1">
        <v>3</v>
      </c>
      <c r="L6265" s="1" t="s">
        <v>16</v>
      </c>
      <c r="M6265" s="1" t="str">
        <f>"河北省 沧州市 运河区 南陈屯乡"</f>
        <v>河北省 沧州市 运河区 南陈屯乡</v>
      </c>
      <c r="N6265" s="1" t="str">
        <f t="shared" si="1932"/>
        <v>凡华云仓-韵达-抖音</v>
      </c>
      <c r="O6265" s="5">
        <v>320177486024864</v>
      </c>
      <c r="P6265" s="6">
        <v>0.34</v>
      </c>
      <c r="Q6265" s="11">
        <v>2.2999999999999998</v>
      </c>
      <c r="R6265" s="11"/>
      <c r="S6265" s="11"/>
      <c r="T6265" s="11"/>
      <c r="U6265" s="11">
        <f t="shared" si="1925"/>
        <v>2.2999999999999998</v>
      </c>
      <c r="W6265">
        <v>2.5</v>
      </c>
      <c r="X6265" s="1" t="s">
        <v>16</v>
      </c>
    </row>
    <row r="6266" spans="1:24" x14ac:dyDescent="0.25">
      <c r="A6266" s="1" t="str">
        <f t="shared" si="1926"/>
        <v>卡卡杜-凤凰仓</v>
      </c>
      <c r="B6266" s="1" t="str">
        <f>"CK2024101810523"</f>
        <v>CK2024101810523</v>
      </c>
      <c r="C6266" s="1" t="str">
        <f>"DD2024101816603"</f>
        <v>DD2024101816603</v>
      </c>
      <c r="D6266" s="1" t="str">
        <f>"CK202410189814"</f>
        <v>CK202410189814</v>
      </c>
      <c r="E6266" s="1" t="str">
        <f>"6935158340678915167"</f>
        <v>6935158340678915167</v>
      </c>
      <c r="F6266" s="1" t="str">
        <f t="shared" si="1927"/>
        <v>花都四部-凤凰仓</v>
      </c>
      <c r="G6266" s="1" t="str">
        <f t="shared" si="1934"/>
        <v>卡卡杜个人护理店（抖店）</v>
      </c>
      <c r="H6266" s="1" t="str">
        <f t="shared" si="1928"/>
        <v>正常订单</v>
      </c>
      <c r="I6266" s="1" t="str">
        <f t="shared" si="1929"/>
        <v>已发货</v>
      </c>
      <c r="J6266" s="1" t="str">
        <f t="shared" si="1933"/>
        <v>3</v>
      </c>
      <c r="K6266" s="1">
        <v>3</v>
      </c>
      <c r="L6266" s="1" t="s">
        <v>105</v>
      </c>
      <c r="M6266" s="1" t="str">
        <f>"北京 北京市 海淀区 甘家口街道"</f>
        <v>北京 北京市 海淀区 甘家口街道</v>
      </c>
      <c r="N6266" s="1" t="str">
        <f t="shared" si="1932"/>
        <v>凡华云仓-韵达-抖音</v>
      </c>
      <c r="O6266" s="5">
        <v>320177486024761</v>
      </c>
      <c r="P6266" s="6">
        <v>0.34</v>
      </c>
      <c r="Q6266" s="11">
        <v>2.2999999999999998</v>
      </c>
      <c r="R6266" s="11"/>
      <c r="S6266" s="11"/>
      <c r="T6266" s="11"/>
      <c r="U6266" s="11">
        <f t="shared" si="1925"/>
        <v>2.2999999999999998</v>
      </c>
      <c r="W6266">
        <v>2.5</v>
      </c>
      <c r="X6266" s="1" t="s">
        <v>105</v>
      </c>
    </row>
    <row r="6267" spans="1:24" x14ac:dyDescent="0.25">
      <c r="A6267" s="1" t="str">
        <f t="shared" si="1926"/>
        <v>卡卡杜-凤凰仓</v>
      </c>
      <c r="B6267" s="1" t="str">
        <f>"CK2024101810525"</f>
        <v>CK2024101810525</v>
      </c>
      <c r="C6267" s="1" t="str">
        <f>"DD2024101816604"</f>
        <v>DD2024101816604</v>
      </c>
      <c r="D6267" s="1" t="str">
        <f>"CK202410189813"</f>
        <v>CK202410189813</v>
      </c>
      <c r="E6267" s="1" t="str">
        <f>"6935169875256284767"</f>
        <v>6935169875256284767</v>
      </c>
      <c r="F6267" s="1" t="str">
        <f t="shared" si="1927"/>
        <v>花都四部-凤凰仓</v>
      </c>
      <c r="G6267" s="1" t="str">
        <f t="shared" si="1934"/>
        <v>卡卡杜个人护理店（抖店）</v>
      </c>
      <c r="H6267" s="1" t="str">
        <f t="shared" si="1928"/>
        <v>正常订单</v>
      </c>
      <c r="I6267" s="1" t="str">
        <f t="shared" si="1929"/>
        <v>已发货</v>
      </c>
      <c r="J6267" s="1" t="str">
        <f t="shared" si="1933"/>
        <v>3</v>
      </c>
      <c r="K6267" s="1">
        <v>3</v>
      </c>
      <c r="L6267" s="1" t="s">
        <v>22</v>
      </c>
      <c r="M6267" s="1" t="str">
        <f>"江西省 南昌市 青山湖区 京东镇"</f>
        <v>江西省 南昌市 青山湖区 京东镇</v>
      </c>
      <c r="N6267" s="1" t="str">
        <f t="shared" si="1932"/>
        <v>凡华云仓-韵达-抖音</v>
      </c>
      <c r="O6267" s="5">
        <v>320177480799659</v>
      </c>
      <c r="P6267" s="6">
        <v>0.34</v>
      </c>
      <c r="Q6267" s="11">
        <v>2.2999999999999998</v>
      </c>
      <c r="R6267" s="11"/>
      <c r="S6267" s="11"/>
      <c r="T6267" s="11"/>
      <c r="U6267" s="11">
        <f t="shared" si="1925"/>
        <v>2.2999999999999998</v>
      </c>
      <c r="W6267">
        <v>2.5</v>
      </c>
      <c r="X6267" s="1" t="s">
        <v>22</v>
      </c>
    </row>
    <row r="6268" spans="1:24" x14ac:dyDescent="0.25">
      <c r="A6268" s="1" t="str">
        <f t="shared" si="1926"/>
        <v>卡卡杜-凤凰仓</v>
      </c>
      <c r="B6268" s="1" t="str">
        <f>"CK2024101810526"</f>
        <v>CK2024101810526</v>
      </c>
      <c r="C6268" s="1" t="str">
        <f>"DD2024101816605"</f>
        <v>DD2024101816605</v>
      </c>
      <c r="D6268" s="1" t="str">
        <f>"CK202410189812"</f>
        <v>CK202410189812</v>
      </c>
      <c r="E6268" s="1" t="str">
        <f>"6935147432854688997"</f>
        <v>6935147432854688997</v>
      </c>
      <c r="F6268" s="1" t="str">
        <f t="shared" si="1927"/>
        <v>花都四部-凤凰仓</v>
      </c>
      <c r="G6268" s="1" t="str">
        <f t="shared" si="1934"/>
        <v>卡卡杜个人护理店（抖店）</v>
      </c>
      <c r="H6268" s="1" t="str">
        <f t="shared" si="1928"/>
        <v>正常订单</v>
      </c>
      <c r="I6268" s="1" t="str">
        <f t="shared" si="1929"/>
        <v>已发货</v>
      </c>
      <c r="J6268" s="1" t="str">
        <f t="shared" si="1933"/>
        <v>3</v>
      </c>
      <c r="K6268" s="1">
        <v>3</v>
      </c>
      <c r="L6268" s="1" t="s">
        <v>161</v>
      </c>
      <c r="M6268" s="1" t="str">
        <f>"四川省 成都市 双流区 协和街道"</f>
        <v>四川省 成都市 双流区 协和街道</v>
      </c>
      <c r="N6268" s="1" t="str">
        <f t="shared" si="1932"/>
        <v>凡华云仓-韵达-抖音</v>
      </c>
      <c r="O6268" s="5">
        <v>320177480799560</v>
      </c>
      <c r="P6268" s="6">
        <v>0.34</v>
      </c>
      <c r="Q6268" s="11">
        <v>2.2999999999999998</v>
      </c>
      <c r="R6268" s="11"/>
      <c r="S6268" s="11"/>
      <c r="T6268" s="11"/>
      <c r="U6268" s="11">
        <f t="shared" si="1925"/>
        <v>2.2999999999999998</v>
      </c>
      <c r="W6268">
        <v>2.5</v>
      </c>
      <c r="X6268" s="1" t="s">
        <v>161</v>
      </c>
    </row>
    <row r="6269" spans="1:24" x14ac:dyDescent="0.25">
      <c r="A6269" s="1" t="str">
        <f t="shared" si="1926"/>
        <v>卡卡杜-凤凰仓</v>
      </c>
      <c r="B6269" s="1" t="str">
        <f>"CK2024101810527"</f>
        <v>CK2024101810527</v>
      </c>
      <c r="C6269" s="1" t="str">
        <f>"DD2024101816606"</f>
        <v>DD2024101816606</v>
      </c>
      <c r="D6269" s="1" t="str">
        <f>"CK202410189811"</f>
        <v>CK202410189811</v>
      </c>
      <c r="E6269" s="1" t="str">
        <f>"6935141057794086357"</f>
        <v>6935141057794086357</v>
      </c>
      <c r="F6269" s="1" t="str">
        <f t="shared" si="1927"/>
        <v>花都四部-凤凰仓</v>
      </c>
      <c r="G6269" s="1" t="str">
        <f t="shared" si="1934"/>
        <v>卡卡杜个人护理店（抖店）</v>
      </c>
      <c r="H6269" s="1" t="str">
        <f t="shared" si="1928"/>
        <v>正常订单</v>
      </c>
      <c r="I6269" s="1" t="str">
        <f t="shared" si="1929"/>
        <v>已发货</v>
      </c>
      <c r="J6269" s="1" t="str">
        <f t="shared" si="1933"/>
        <v>3</v>
      </c>
      <c r="K6269" s="1">
        <v>3</v>
      </c>
      <c r="L6269" s="1" t="s">
        <v>13</v>
      </c>
      <c r="M6269" s="1" t="str">
        <f>"江苏省 盐城市 射阳县 江苏省射阳经济开发区"</f>
        <v>江苏省 盐城市 射阳县 江苏省射阳经济开发区</v>
      </c>
      <c r="N6269" s="1" t="str">
        <f t="shared" si="1932"/>
        <v>凡华云仓-韵达-抖音</v>
      </c>
      <c r="O6269" s="5">
        <v>320177480799463</v>
      </c>
      <c r="P6269" s="6">
        <v>0.34</v>
      </c>
      <c r="Q6269" s="11">
        <v>2.2999999999999998</v>
      </c>
      <c r="R6269" s="11"/>
      <c r="S6269" s="11"/>
      <c r="T6269" s="11"/>
      <c r="U6269" s="11">
        <f t="shared" si="1925"/>
        <v>2.2999999999999998</v>
      </c>
      <c r="W6269">
        <v>2.5</v>
      </c>
      <c r="X6269" s="1" t="s">
        <v>13</v>
      </c>
    </row>
    <row r="6270" spans="1:24" x14ac:dyDescent="0.25">
      <c r="A6270" s="1" t="str">
        <f t="shared" si="1926"/>
        <v>卡卡杜-凤凰仓</v>
      </c>
      <c r="B6270" s="1" t="str">
        <f>"CK2024101810528"</f>
        <v>CK2024101810528</v>
      </c>
      <c r="C6270" s="1" t="str">
        <f>"DD2024101816607"</f>
        <v>DD2024101816607</v>
      </c>
      <c r="D6270" s="1" t="str">
        <f>"CK202410189810"</f>
        <v>CK202410189810</v>
      </c>
      <c r="E6270" s="1" t="str">
        <f>"6935167453510309082"</f>
        <v>6935167453510309082</v>
      </c>
      <c r="F6270" s="1" t="str">
        <f t="shared" si="1927"/>
        <v>花都四部-凤凰仓</v>
      </c>
      <c r="G6270" s="1" t="str">
        <f t="shared" si="1934"/>
        <v>卡卡杜个人护理店（抖店）</v>
      </c>
      <c r="H6270" s="1" t="str">
        <f t="shared" si="1928"/>
        <v>正常订单</v>
      </c>
      <c r="I6270" s="1" t="str">
        <f t="shared" si="1929"/>
        <v>已发货</v>
      </c>
      <c r="J6270" s="1" t="str">
        <f t="shared" si="1933"/>
        <v>3</v>
      </c>
      <c r="K6270" s="1">
        <v>3</v>
      </c>
      <c r="L6270" s="1" t="s">
        <v>20</v>
      </c>
      <c r="M6270" s="1" t="str">
        <f>"浙江省 嘉兴市 海宁市 许村镇"</f>
        <v>浙江省 嘉兴市 海宁市 许村镇</v>
      </c>
      <c r="N6270" s="1" t="str">
        <f t="shared" si="1932"/>
        <v>凡华云仓-韵达-抖音</v>
      </c>
      <c r="O6270" s="5">
        <v>320177480799368</v>
      </c>
      <c r="P6270" s="6">
        <v>0.34</v>
      </c>
      <c r="Q6270" s="11">
        <v>2.2999999999999998</v>
      </c>
      <c r="R6270" s="11"/>
      <c r="S6270" s="11"/>
      <c r="T6270" s="11"/>
      <c r="U6270" s="11">
        <f t="shared" si="1925"/>
        <v>2.2999999999999998</v>
      </c>
      <c r="W6270">
        <v>2.5</v>
      </c>
      <c r="X6270" s="1" t="s">
        <v>20</v>
      </c>
    </row>
    <row r="6271" spans="1:24" x14ac:dyDescent="0.25">
      <c r="A6271" s="1" t="str">
        <f t="shared" si="1926"/>
        <v>卡卡杜-凤凰仓</v>
      </c>
      <c r="B6271" s="1" t="str">
        <f>"CK2024101810530"</f>
        <v>CK2024101810530</v>
      </c>
      <c r="C6271" s="1" t="str">
        <f>"DD2024101816608"</f>
        <v>DD2024101816608</v>
      </c>
      <c r="D6271" s="1" t="str">
        <f>"CK202410189809"</f>
        <v>CK202410189809</v>
      </c>
      <c r="E6271" s="1" t="str">
        <f>"6935165035256944236"</f>
        <v>6935165035256944236</v>
      </c>
      <c r="F6271" s="1" t="str">
        <f t="shared" si="1927"/>
        <v>花都四部-凤凰仓</v>
      </c>
      <c r="G6271" s="1" t="str">
        <f t="shared" si="1934"/>
        <v>卡卡杜个人护理店（抖店）</v>
      </c>
      <c r="H6271" s="1" t="str">
        <f t="shared" si="1928"/>
        <v>正常订单</v>
      </c>
      <c r="I6271" s="1" t="str">
        <f t="shared" si="1929"/>
        <v>已发货</v>
      </c>
      <c r="J6271" s="1" t="str">
        <f t="shared" si="1933"/>
        <v>3</v>
      </c>
      <c r="K6271" s="1">
        <v>3</v>
      </c>
      <c r="L6271" s="1" t="s">
        <v>32</v>
      </c>
      <c r="M6271" s="1" t="str">
        <f>"陕西省 西安市 雁塔区 丈八街道"</f>
        <v>陕西省 西安市 雁塔区 丈八街道</v>
      </c>
      <c r="N6271" s="1" t="str">
        <f t="shared" si="1932"/>
        <v>凡华云仓-韵达-抖音</v>
      </c>
      <c r="O6271" s="5">
        <v>320177480799275</v>
      </c>
      <c r="P6271" s="6">
        <v>0.34</v>
      </c>
      <c r="Q6271" s="11">
        <v>2.2999999999999998</v>
      </c>
      <c r="R6271" s="11"/>
      <c r="S6271" s="11"/>
      <c r="T6271" s="11"/>
      <c r="U6271" s="11">
        <f t="shared" si="1925"/>
        <v>2.2999999999999998</v>
      </c>
      <c r="W6271">
        <v>2.5</v>
      </c>
      <c r="X6271" s="1" t="s">
        <v>32</v>
      </c>
    </row>
    <row r="6272" spans="1:24" x14ac:dyDescent="0.25">
      <c r="A6272" s="1" t="str">
        <f t="shared" si="1926"/>
        <v>卡卡杜-凤凰仓</v>
      </c>
      <c r="B6272" s="1" t="str">
        <f>"CK2024101810529"</f>
        <v>CK2024101810529</v>
      </c>
      <c r="C6272" s="1" t="str">
        <f>"DD2024101816609"</f>
        <v>DD2024101816609</v>
      </c>
      <c r="D6272" s="1" t="str">
        <f>"CK202410189808"</f>
        <v>CK202410189808</v>
      </c>
      <c r="E6272" s="1" t="str">
        <f>"6935172079809860792"</f>
        <v>6935172079809860792</v>
      </c>
      <c r="F6272" s="1" t="str">
        <f t="shared" si="1927"/>
        <v>花都四部-凤凰仓</v>
      </c>
      <c r="G6272" s="1" t="str">
        <f t="shared" si="1934"/>
        <v>卡卡杜个人护理店（抖店）</v>
      </c>
      <c r="H6272" s="1" t="str">
        <f t="shared" si="1928"/>
        <v>正常订单</v>
      </c>
      <c r="I6272" s="1" t="str">
        <f t="shared" si="1929"/>
        <v>已发货</v>
      </c>
      <c r="J6272" s="1" t="str">
        <f t="shared" si="1933"/>
        <v>3</v>
      </c>
      <c r="K6272" s="1">
        <v>3</v>
      </c>
      <c r="L6272" s="1" t="s">
        <v>13</v>
      </c>
      <c r="M6272" s="1" t="str">
        <f>"江苏省 南京市 浦口区 江浦街道"</f>
        <v>江苏省 南京市 浦口区 江浦街道</v>
      </c>
      <c r="N6272" s="1" t="str">
        <f t="shared" si="1932"/>
        <v>凡华云仓-韵达-抖音</v>
      </c>
      <c r="O6272" s="5">
        <v>320177480799184</v>
      </c>
      <c r="P6272" s="6">
        <v>0.34</v>
      </c>
      <c r="Q6272" s="11">
        <v>2.2999999999999998</v>
      </c>
      <c r="R6272" s="11"/>
      <c r="S6272" s="11"/>
      <c r="T6272" s="11"/>
      <c r="U6272" s="11">
        <f t="shared" si="1925"/>
        <v>2.2999999999999998</v>
      </c>
      <c r="W6272">
        <v>2.5</v>
      </c>
      <c r="X6272" s="1" t="s">
        <v>13</v>
      </c>
    </row>
    <row r="6273" spans="1:24" x14ac:dyDescent="0.25">
      <c r="A6273" s="1" t="str">
        <f t="shared" si="1926"/>
        <v>卡卡杜-凤凰仓</v>
      </c>
      <c r="B6273" s="1" t="str">
        <f>"CK2024101810531"</f>
        <v>CK2024101810531</v>
      </c>
      <c r="C6273" s="1" t="str">
        <f>"DD2024101816610"</f>
        <v>DD2024101816610</v>
      </c>
      <c r="D6273" s="1" t="str">
        <f>"CK202410189807"</f>
        <v>CK202410189807</v>
      </c>
      <c r="E6273" s="1" t="str">
        <f>"6935174247011652680"</f>
        <v>6935174247011652680</v>
      </c>
      <c r="F6273" s="1" t="str">
        <f t="shared" si="1927"/>
        <v>花都四部-凤凰仓</v>
      </c>
      <c r="G6273" s="1" t="str">
        <f t="shared" si="1934"/>
        <v>卡卡杜个人护理店（抖店）</v>
      </c>
      <c r="H6273" s="1" t="str">
        <f t="shared" si="1928"/>
        <v>正常订单</v>
      </c>
      <c r="I6273" s="1" t="str">
        <f t="shared" si="1929"/>
        <v>已发货</v>
      </c>
      <c r="J6273" s="1" t="str">
        <f t="shared" si="1933"/>
        <v>3</v>
      </c>
      <c r="K6273" s="1">
        <v>3</v>
      </c>
      <c r="L6273" s="1" t="s">
        <v>30</v>
      </c>
      <c r="M6273" s="1" t="str">
        <f>"山东省 聊城市 临清市 "</f>
        <v xml:space="preserve">山东省 聊城市 临清市 </v>
      </c>
      <c r="N6273" s="1" t="str">
        <f t="shared" si="1932"/>
        <v>凡华云仓-韵达-抖音</v>
      </c>
      <c r="O6273" s="5">
        <v>320177480799095</v>
      </c>
      <c r="P6273" s="6">
        <v>0.34</v>
      </c>
      <c r="Q6273" s="11">
        <v>2.2999999999999998</v>
      </c>
      <c r="R6273" s="11"/>
      <c r="S6273" s="11"/>
      <c r="T6273" s="11"/>
      <c r="U6273" s="11">
        <f t="shared" si="1925"/>
        <v>2.2999999999999998</v>
      </c>
      <c r="W6273">
        <v>2.5</v>
      </c>
      <c r="X6273" s="1" t="s">
        <v>30</v>
      </c>
    </row>
    <row r="6274" spans="1:24" x14ac:dyDescent="0.25">
      <c r="A6274" s="1" t="str">
        <f t="shared" si="1926"/>
        <v>卡卡杜-凤凰仓</v>
      </c>
      <c r="B6274" s="1" t="str">
        <f>"CK2024101810533"</f>
        <v>CK2024101810533</v>
      </c>
      <c r="C6274" s="1" t="str">
        <f>"DD2024101816613"</f>
        <v>DD2024101816613</v>
      </c>
      <c r="D6274" s="1" t="str">
        <f>"CK202410189806"</f>
        <v>CK202410189806</v>
      </c>
      <c r="E6274" s="1" t="str">
        <f>"6935145413875995653"</f>
        <v>6935145413875995653</v>
      </c>
      <c r="F6274" s="1" t="str">
        <f t="shared" si="1927"/>
        <v>花都四部-凤凰仓</v>
      </c>
      <c r="G6274" s="1" t="str">
        <f t="shared" si="1934"/>
        <v>卡卡杜个人护理店（抖店）</v>
      </c>
      <c r="H6274" s="1" t="str">
        <f t="shared" si="1928"/>
        <v>正常订单</v>
      </c>
      <c r="I6274" s="1" t="str">
        <f t="shared" si="1929"/>
        <v>已发货</v>
      </c>
      <c r="J6274" s="1" t="str">
        <f t="shared" si="1933"/>
        <v>3</v>
      </c>
      <c r="K6274" s="1">
        <v>3</v>
      </c>
      <c r="L6274" s="1" t="s">
        <v>16</v>
      </c>
      <c r="M6274" s="1" t="str">
        <f>"河北省 沧州市 运河区 南陈屯乡"</f>
        <v>河北省 沧州市 运河区 南陈屯乡</v>
      </c>
      <c r="N6274" s="1" t="str">
        <f t="shared" si="1932"/>
        <v>凡华云仓-韵达-抖音</v>
      </c>
      <c r="O6274" s="5">
        <v>320177480798963</v>
      </c>
      <c r="P6274" s="6">
        <v>0.34</v>
      </c>
      <c r="Q6274" s="11">
        <v>2.2999999999999998</v>
      </c>
      <c r="R6274" s="11"/>
      <c r="S6274" s="11"/>
      <c r="T6274" s="11"/>
      <c r="U6274" s="11">
        <f t="shared" si="1925"/>
        <v>2.2999999999999998</v>
      </c>
      <c r="W6274">
        <v>2.5</v>
      </c>
      <c r="X6274" s="1" t="s">
        <v>16</v>
      </c>
    </row>
    <row r="6275" spans="1:24" x14ac:dyDescent="0.25">
      <c r="A6275" s="1" t="str">
        <f t="shared" si="1926"/>
        <v>卡卡杜-凤凰仓</v>
      </c>
      <c r="B6275" s="1" t="str">
        <f>"CK2024101810654"</f>
        <v>CK2024101810654</v>
      </c>
      <c r="C6275" s="1" t="str">
        <f>"DD2024101816739"</f>
        <v>DD2024101816739</v>
      </c>
      <c r="D6275" s="1" t="str">
        <f>"CK202410189805"</f>
        <v>CK202410189805</v>
      </c>
      <c r="E6275" s="1" t="str">
        <f>"6935153902138169267"</f>
        <v>6935153902138169267</v>
      </c>
      <c r="F6275" s="1" t="str">
        <f t="shared" si="1927"/>
        <v>花都四部-凤凰仓</v>
      </c>
      <c r="G6275" s="1" t="str">
        <f t="shared" si="1934"/>
        <v>卡卡杜个人护理店（抖店）</v>
      </c>
      <c r="H6275" s="1" t="str">
        <f t="shared" si="1928"/>
        <v>正常订单</v>
      </c>
      <c r="I6275" s="1" t="str">
        <f t="shared" si="1929"/>
        <v>已发货</v>
      </c>
      <c r="J6275" s="1" t="str">
        <f t="shared" si="1933"/>
        <v>3</v>
      </c>
      <c r="K6275" s="1">
        <v>3</v>
      </c>
      <c r="L6275" s="1" t="s">
        <v>30</v>
      </c>
      <c r="M6275" s="1" t="str">
        <f>"山东省 潍坊市 高密市 柏城镇"</f>
        <v>山东省 潍坊市 高密市 柏城镇</v>
      </c>
      <c r="N6275" s="1" t="str">
        <f t="shared" si="1932"/>
        <v>凡华云仓-韵达-抖音</v>
      </c>
      <c r="O6275" s="5">
        <v>320177480798858</v>
      </c>
      <c r="P6275" s="6">
        <v>0.34</v>
      </c>
      <c r="Q6275" s="11">
        <v>2.2999999999999998</v>
      </c>
      <c r="R6275" s="11"/>
      <c r="S6275" s="11"/>
      <c r="T6275" s="11"/>
      <c r="U6275" s="11">
        <f t="shared" ref="U6275:U6338" si="1935">T6275+S6275+R6275+Q6275</f>
        <v>2.2999999999999998</v>
      </c>
      <c r="W6275">
        <v>2.5</v>
      </c>
      <c r="X6275" s="1" t="s">
        <v>30</v>
      </c>
    </row>
    <row r="6276" spans="1:24" x14ac:dyDescent="0.25">
      <c r="A6276" s="1" t="str">
        <f t="shared" si="1926"/>
        <v>卡卡杜-凤凰仓</v>
      </c>
      <c r="B6276" s="1" t="str">
        <f>"CK2024101810655"</f>
        <v>CK2024101810655</v>
      </c>
      <c r="C6276" s="1" t="str">
        <f>"DD2024101816740"</f>
        <v>DD2024101816740</v>
      </c>
      <c r="D6276" s="1" t="str">
        <f>"CK202410189804"</f>
        <v>CK202410189804</v>
      </c>
      <c r="E6276" s="1" t="str">
        <f>"6935171982346950051"</f>
        <v>6935171982346950051</v>
      </c>
      <c r="F6276" s="1" t="str">
        <f t="shared" si="1927"/>
        <v>花都四部-凤凰仓</v>
      </c>
      <c r="G6276" s="1" t="str">
        <f t="shared" si="1934"/>
        <v>卡卡杜个人护理店（抖店）</v>
      </c>
      <c r="H6276" s="1" t="str">
        <f t="shared" si="1928"/>
        <v>正常订单</v>
      </c>
      <c r="I6276" s="1" t="str">
        <f t="shared" si="1929"/>
        <v>已发货</v>
      </c>
      <c r="J6276" s="1" t="str">
        <f t="shared" si="1933"/>
        <v>3</v>
      </c>
      <c r="K6276" s="1">
        <v>3</v>
      </c>
      <c r="L6276" s="1" t="s">
        <v>94</v>
      </c>
      <c r="M6276" s="1" t="str">
        <f>"湖南省 郴州市 安仁县 永乐江镇"</f>
        <v>湖南省 郴州市 安仁县 永乐江镇</v>
      </c>
      <c r="N6276" s="1" t="str">
        <f t="shared" si="1932"/>
        <v>凡华云仓-韵达-抖音</v>
      </c>
      <c r="O6276" s="5">
        <v>320177480798755</v>
      </c>
      <c r="P6276" s="6">
        <v>0.34</v>
      </c>
      <c r="Q6276" s="11">
        <v>2.2999999999999998</v>
      </c>
      <c r="R6276" s="11"/>
      <c r="S6276" s="11"/>
      <c r="T6276" s="11"/>
      <c r="U6276" s="11">
        <f t="shared" si="1935"/>
        <v>2.2999999999999998</v>
      </c>
      <c r="W6276">
        <v>2.5</v>
      </c>
      <c r="X6276" s="1" t="s">
        <v>94</v>
      </c>
    </row>
    <row r="6277" spans="1:24" x14ac:dyDescent="0.25">
      <c r="A6277" s="1" t="str">
        <f t="shared" ref="A6277:A6340" si="1936">"卡卡杜-凤凰仓"</f>
        <v>卡卡杜-凤凰仓</v>
      </c>
      <c r="B6277" s="1" t="str">
        <f>"CK2024101810656"</f>
        <v>CK2024101810656</v>
      </c>
      <c r="C6277" s="1" t="str">
        <f>"DD2024101816742"</f>
        <v>DD2024101816742</v>
      </c>
      <c r="D6277" s="1" t="str">
        <f>"CK202410189803"</f>
        <v>CK202410189803</v>
      </c>
      <c r="E6277" s="1" t="str">
        <f>"6935165069579064731"</f>
        <v>6935165069579064731</v>
      </c>
      <c r="F6277" s="1" t="str">
        <f t="shared" ref="F6277:F6340" si="1937">"花都四部-凤凰仓"</f>
        <v>花都四部-凤凰仓</v>
      </c>
      <c r="G6277" s="1" t="str">
        <f t="shared" si="1934"/>
        <v>卡卡杜个人护理店（抖店）</v>
      </c>
      <c r="H6277" s="1" t="str">
        <f t="shared" ref="H6277:H6340" si="1938">"正常订单"</f>
        <v>正常订单</v>
      </c>
      <c r="I6277" s="1" t="str">
        <f t="shared" ref="I6277:I6340" si="1939">"已发货"</f>
        <v>已发货</v>
      </c>
      <c r="J6277" s="1" t="str">
        <f t="shared" si="1933"/>
        <v>3</v>
      </c>
      <c r="K6277" s="1">
        <v>3</v>
      </c>
      <c r="L6277" s="1" t="s">
        <v>161</v>
      </c>
      <c r="M6277" s="1" t="str">
        <f>"四川省 成都市 金牛区 荷花池街道"</f>
        <v>四川省 成都市 金牛区 荷花池街道</v>
      </c>
      <c r="N6277" s="1" t="str">
        <f t="shared" si="1932"/>
        <v>凡华云仓-韵达-抖音</v>
      </c>
      <c r="O6277" s="5">
        <v>320177489004025</v>
      </c>
      <c r="P6277" s="6">
        <v>0.34</v>
      </c>
      <c r="Q6277" s="11">
        <v>2.2999999999999998</v>
      </c>
      <c r="R6277" s="11"/>
      <c r="S6277" s="11"/>
      <c r="T6277" s="11"/>
      <c r="U6277" s="11">
        <f t="shared" si="1935"/>
        <v>2.2999999999999998</v>
      </c>
      <c r="W6277">
        <v>2.5</v>
      </c>
      <c r="X6277" s="1" t="s">
        <v>161</v>
      </c>
    </row>
    <row r="6278" spans="1:24" x14ac:dyDescent="0.25">
      <c r="A6278" s="1" t="str">
        <f t="shared" si="1936"/>
        <v>卡卡杜-凤凰仓</v>
      </c>
      <c r="B6278" s="1" t="str">
        <f>"CK2024101810657"</f>
        <v>CK2024101810657</v>
      </c>
      <c r="C6278" s="1" t="str">
        <f>"DD2024101816743"</f>
        <v>DD2024101816743</v>
      </c>
      <c r="D6278" s="1" t="str">
        <f>"CK202410189802"</f>
        <v>CK202410189802</v>
      </c>
      <c r="E6278" s="1" t="str">
        <f>"6935153789592147811"</f>
        <v>6935153789592147811</v>
      </c>
      <c r="F6278" s="1" t="str">
        <f t="shared" si="1937"/>
        <v>花都四部-凤凰仓</v>
      </c>
      <c r="G6278" s="1" t="str">
        <f t="shared" si="1934"/>
        <v>卡卡杜个人护理店（抖店）</v>
      </c>
      <c r="H6278" s="1" t="str">
        <f t="shared" si="1938"/>
        <v>正常订单</v>
      </c>
      <c r="I6278" s="1" t="str">
        <f t="shared" si="1939"/>
        <v>已发货</v>
      </c>
      <c r="J6278" s="1" t="str">
        <f t="shared" si="1933"/>
        <v>3</v>
      </c>
      <c r="K6278" s="1">
        <v>3</v>
      </c>
      <c r="L6278" s="1" t="s">
        <v>80</v>
      </c>
      <c r="M6278" s="1" t="str">
        <f>"河南省 三门峡市 湖滨区 前进街道"</f>
        <v>河南省 三门峡市 湖滨区 前进街道</v>
      </c>
      <c r="N6278" s="1" t="str">
        <f t="shared" si="1932"/>
        <v>凡华云仓-韵达-抖音</v>
      </c>
      <c r="O6278" s="5">
        <v>320177489003903</v>
      </c>
      <c r="P6278" s="6">
        <v>0.34</v>
      </c>
      <c r="Q6278" s="11">
        <v>2.2999999999999998</v>
      </c>
      <c r="R6278" s="11"/>
      <c r="S6278" s="11"/>
      <c r="T6278" s="11"/>
      <c r="U6278" s="11">
        <f t="shared" si="1935"/>
        <v>2.2999999999999998</v>
      </c>
      <c r="W6278">
        <v>2.5</v>
      </c>
      <c r="X6278" s="1" t="s">
        <v>80</v>
      </c>
    </row>
    <row r="6279" spans="1:24" x14ac:dyDescent="0.25">
      <c r="A6279" s="1" t="str">
        <f t="shared" si="1936"/>
        <v>卡卡杜-凤凰仓</v>
      </c>
      <c r="B6279" s="1" t="str">
        <f>"CK2024101810658"</f>
        <v>CK2024101810658</v>
      </c>
      <c r="C6279" s="1" t="str">
        <f>"DD2024101816744"</f>
        <v>DD2024101816744</v>
      </c>
      <c r="D6279" s="1" t="str">
        <f>"CK202410189801"</f>
        <v>CK202410189801</v>
      </c>
      <c r="E6279" s="1" t="str">
        <f>"6935169820660536779"</f>
        <v>6935169820660536779</v>
      </c>
      <c r="F6279" s="1" t="str">
        <f t="shared" si="1937"/>
        <v>花都四部-凤凰仓</v>
      </c>
      <c r="G6279" s="1" t="str">
        <f t="shared" si="1934"/>
        <v>卡卡杜个人护理店（抖店）</v>
      </c>
      <c r="H6279" s="1" t="str">
        <f t="shared" si="1938"/>
        <v>正常订单</v>
      </c>
      <c r="I6279" s="1" t="str">
        <f t="shared" si="1939"/>
        <v>已发货</v>
      </c>
      <c r="J6279" s="1" t="str">
        <f t="shared" si="1933"/>
        <v>3</v>
      </c>
      <c r="K6279" s="1">
        <v>3</v>
      </c>
      <c r="L6279" s="1" t="s">
        <v>41</v>
      </c>
      <c r="M6279" s="1" t="str">
        <f>"湖北省 荆州市 荆州区 纪南镇"</f>
        <v>湖北省 荆州市 荆州区 纪南镇</v>
      </c>
      <c r="N6279" s="1" t="str">
        <f t="shared" si="1932"/>
        <v>凡华云仓-韵达-抖音</v>
      </c>
      <c r="O6279" s="5">
        <v>320177489003898</v>
      </c>
      <c r="P6279" s="6">
        <v>0.34</v>
      </c>
      <c r="Q6279" s="11">
        <v>2.2999999999999998</v>
      </c>
      <c r="R6279" s="11"/>
      <c r="S6279" s="11"/>
      <c r="T6279" s="11"/>
      <c r="U6279" s="11">
        <f t="shared" si="1935"/>
        <v>2.2999999999999998</v>
      </c>
      <c r="W6279">
        <v>2.5</v>
      </c>
      <c r="X6279" s="1" t="s">
        <v>41</v>
      </c>
    </row>
    <row r="6280" spans="1:24" x14ac:dyDescent="0.25">
      <c r="A6280" s="1" t="str">
        <f t="shared" si="1936"/>
        <v>卡卡杜-凤凰仓</v>
      </c>
      <c r="B6280" s="1" t="str">
        <f>"CK2024101810659"</f>
        <v>CK2024101810659</v>
      </c>
      <c r="C6280" s="1" t="str">
        <f>"DD2024101816745"</f>
        <v>DD2024101816745</v>
      </c>
      <c r="D6280" s="1" t="str">
        <f>"CK202410189800"</f>
        <v>CK202410189800</v>
      </c>
      <c r="E6280" s="1" t="str">
        <f>"6935160933362177727"</f>
        <v>6935160933362177727</v>
      </c>
      <c r="F6280" s="1" t="str">
        <f t="shared" si="1937"/>
        <v>花都四部-凤凰仓</v>
      </c>
      <c r="G6280" s="1" t="str">
        <f t="shared" si="1934"/>
        <v>卡卡杜个人护理店（抖店）</v>
      </c>
      <c r="H6280" s="1" t="str">
        <f t="shared" si="1938"/>
        <v>正常订单</v>
      </c>
      <c r="I6280" s="1" t="str">
        <f t="shared" si="1939"/>
        <v>已发货</v>
      </c>
      <c r="J6280" s="1" t="str">
        <f t="shared" si="1933"/>
        <v>3</v>
      </c>
      <c r="K6280" s="1">
        <v>3</v>
      </c>
      <c r="L6280" s="1" t="s">
        <v>96</v>
      </c>
      <c r="M6280" s="1" t="str">
        <f>"广西壮族自治区 桂林市 七星区 东江街道"</f>
        <v>广西壮族自治区 桂林市 七星区 东江街道</v>
      </c>
      <c r="N6280" s="1" t="str">
        <f t="shared" si="1932"/>
        <v>凡华云仓-韵达-抖音</v>
      </c>
      <c r="O6280" s="5">
        <v>320177489003795</v>
      </c>
      <c r="P6280" s="6">
        <v>0.34</v>
      </c>
      <c r="Q6280" s="11">
        <v>2.2999999999999998</v>
      </c>
      <c r="R6280" s="11"/>
      <c r="S6280" s="11"/>
      <c r="T6280" s="11"/>
      <c r="U6280" s="11">
        <f t="shared" si="1935"/>
        <v>2.2999999999999998</v>
      </c>
      <c r="W6280">
        <v>2.5</v>
      </c>
      <c r="X6280" s="1" t="s">
        <v>96</v>
      </c>
    </row>
    <row r="6281" spans="1:24" x14ac:dyDescent="0.25">
      <c r="A6281" s="1" t="str">
        <f t="shared" si="1936"/>
        <v>卡卡杜-凤凰仓</v>
      </c>
      <c r="B6281" s="1" t="str">
        <f>"CK2024101810524"</f>
        <v>CK2024101810524</v>
      </c>
      <c r="C6281" s="1" t="str">
        <f>"DD2024101816602"</f>
        <v>DD2024101816602</v>
      </c>
      <c r="D6281" s="1" t="str">
        <f>"CK202410189799"</f>
        <v>CK202410189799</v>
      </c>
      <c r="E6281" s="1" t="str">
        <f>"6935151466021131820"</f>
        <v>6935151466021131820</v>
      </c>
      <c r="F6281" s="1" t="str">
        <f t="shared" si="1937"/>
        <v>花都四部-凤凰仓</v>
      </c>
      <c r="G6281" s="1" t="str">
        <f t="shared" si="1934"/>
        <v>卡卡杜个人护理店（抖店）</v>
      </c>
      <c r="H6281" s="1" t="str">
        <f t="shared" si="1938"/>
        <v>正常订单</v>
      </c>
      <c r="I6281" s="1" t="str">
        <f t="shared" si="1939"/>
        <v>已发货</v>
      </c>
      <c r="J6281" s="1" t="str">
        <f t="shared" si="1933"/>
        <v>3</v>
      </c>
      <c r="K6281" s="1">
        <v>3</v>
      </c>
      <c r="L6281" s="1" t="s">
        <v>92</v>
      </c>
      <c r="M6281" s="1" t="str">
        <f>"辽宁省 鞍山市 海城市 南台镇"</f>
        <v>辽宁省 鞍山市 海城市 南台镇</v>
      </c>
      <c r="N6281" s="1" t="str">
        <f t="shared" si="1932"/>
        <v>凡华云仓-韵达-抖音</v>
      </c>
      <c r="O6281" s="5">
        <v>320177489003694</v>
      </c>
      <c r="P6281" s="6">
        <v>0.34</v>
      </c>
      <c r="Q6281" s="11">
        <v>2.2999999999999998</v>
      </c>
      <c r="R6281" s="11"/>
      <c r="S6281" s="11"/>
      <c r="T6281" s="11"/>
      <c r="U6281" s="11">
        <f t="shared" si="1935"/>
        <v>2.2999999999999998</v>
      </c>
      <c r="W6281">
        <v>2.5</v>
      </c>
      <c r="X6281" s="1" t="s">
        <v>92</v>
      </c>
    </row>
    <row r="6282" spans="1:24" x14ac:dyDescent="0.25">
      <c r="A6282" s="1" t="str">
        <f t="shared" si="1936"/>
        <v>卡卡杜-凤凰仓</v>
      </c>
      <c r="B6282" s="1" t="str">
        <f>"CK2024101810532"</f>
        <v>CK2024101810532</v>
      </c>
      <c r="C6282" s="1" t="str">
        <f>"DD2024101816611"</f>
        <v>DD2024101816611</v>
      </c>
      <c r="D6282" s="1" t="str">
        <f>"CK202410189798"</f>
        <v>CK202410189798</v>
      </c>
      <c r="E6282" s="1" t="str">
        <f>"6935145397169558876"</f>
        <v>6935145397169558876</v>
      </c>
      <c r="F6282" s="1" t="str">
        <f t="shared" si="1937"/>
        <v>花都四部-凤凰仓</v>
      </c>
      <c r="G6282" s="1" t="str">
        <f t="shared" si="1934"/>
        <v>卡卡杜个人护理店（抖店）</v>
      </c>
      <c r="H6282" s="1" t="str">
        <f t="shared" si="1938"/>
        <v>正常订单</v>
      </c>
      <c r="I6282" s="1" t="str">
        <f t="shared" si="1939"/>
        <v>已发货</v>
      </c>
      <c r="J6282" s="1" t="str">
        <f t="shared" si="1933"/>
        <v>3</v>
      </c>
      <c r="K6282" s="1">
        <v>3</v>
      </c>
      <c r="L6282" s="1" t="s">
        <v>96</v>
      </c>
      <c r="M6282" s="1" t="str">
        <f>"广西壮族自治区 河池市 大化瑶族自治县 大化镇"</f>
        <v>广西壮族自治区 河池市 大化瑶族自治县 大化镇</v>
      </c>
      <c r="N6282" s="1" t="str">
        <f t="shared" si="1932"/>
        <v>凡华云仓-韵达-抖音</v>
      </c>
      <c r="O6282" s="5">
        <v>320177489003595</v>
      </c>
      <c r="P6282" s="6">
        <v>0.34</v>
      </c>
      <c r="Q6282" s="11">
        <v>2.2999999999999998</v>
      </c>
      <c r="R6282" s="11"/>
      <c r="S6282" s="11"/>
      <c r="T6282" s="11"/>
      <c r="U6282" s="11">
        <f t="shared" si="1935"/>
        <v>2.2999999999999998</v>
      </c>
      <c r="W6282">
        <v>2.5</v>
      </c>
      <c r="X6282" s="1" t="s">
        <v>96</v>
      </c>
    </row>
    <row r="6283" spans="1:24" x14ac:dyDescent="0.25">
      <c r="A6283" s="1" t="str">
        <f t="shared" si="1936"/>
        <v>卡卡杜-凤凰仓</v>
      </c>
      <c r="B6283" s="1" t="str">
        <f>"CK2024101810534"</f>
        <v>CK2024101810534</v>
      </c>
      <c r="C6283" s="1" t="str">
        <f>"DD2024101816612"</f>
        <v>DD2024101816612</v>
      </c>
      <c r="D6283" s="1" t="str">
        <f>"CK202410189797"</f>
        <v>CK202410189797</v>
      </c>
      <c r="E6283" s="1" t="str">
        <f>"6935149965276812342"</f>
        <v>6935149965276812342</v>
      </c>
      <c r="F6283" s="1" t="str">
        <f t="shared" si="1937"/>
        <v>花都四部-凤凰仓</v>
      </c>
      <c r="G6283" s="1" t="str">
        <f t="shared" si="1934"/>
        <v>卡卡杜个人护理店（抖店）</v>
      </c>
      <c r="H6283" s="1" t="str">
        <f t="shared" si="1938"/>
        <v>正常订单</v>
      </c>
      <c r="I6283" s="1" t="str">
        <f t="shared" si="1939"/>
        <v>已发货</v>
      </c>
      <c r="J6283" s="1" t="str">
        <f t="shared" si="1933"/>
        <v>3</v>
      </c>
      <c r="K6283" s="1">
        <v>3</v>
      </c>
      <c r="L6283" s="1" t="s">
        <v>80</v>
      </c>
      <c r="M6283" s="1" t="str">
        <f>"河南省 周口市 鹿邑县 杨湖口镇"</f>
        <v>河南省 周口市 鹿邑县 杨湖口镇</v>
      </c>
      <c r="N6283" s="1" t="str">
        <f t="shared" si="1932"/>
        <v>凡华云仓-韵达-抖音</v>
      </c>
      <c r="O6283" s="5">
        <v>320177489003498</v>
      </c>
      <c r="P6283" s="6">
        <v>0.34</v>
      </c>
      <c r="Q6283" s="11">
        <v>2.2999999999999998</v>
      </c>
      <c r="R6283" s="11"/>
      <c r="S6283" s="11"/>
      <c r="T6283" s="11"/>
      <c r="U6283" s="11">
        <f t="shared" si="1935"/>
        <v>2.2999999999999998</v>
      </c>
      <c r="W6283">
        <v>2.5</v>
      </c>
      <c r="X6283" s="1" t="s">
        <v>80</v>
      </c>
    </row>
    <row r="6284" spans="1:24" x14ac:dyDescent="0.25">
      <c r="A6284" s="1" t="str">
        <f t="shared" si="1936"/>
        <v>卡卡杜-凤凰仓</v>
      </c>
      <c r="B6284" s="1" t="str">
        <f>"CK2024101810535"</f>
        <v>CK2024101810535</v>
      </c>
      <c r="C6284" s="1" t="str">
        <f>"DD2024101816615"</f>
        <v>DD2024101816615</v>
      </c>
      <c r="D6284" s="1" t="str">
        <f>"CK202410189796"</f>
        <v>CK202410189796</v>
      </c>
      <c r="E6284" s="1" t="str">
        <f>"6935156098346259510"</f>
        <v>6935156098346259510</v>
      </c>
      <c r="F6284" s="1" t="str">
        <f t="shared" si="1937"/>
        <v>花都四部-凤凰仓</v>
      </c>
      <c r="G6284" s="1" t="str">
        <f t="shared" si="1934"/>
        <v>卡卡杜个人护理店（抖店）</v>
      </c>
      <c r="H6284" s="1" t="str">
        <f t="shared" si="1938"/>
        <v>正常订单</v>
      </c>
      <c r="I6284" s="1" t="str">
        <f t="shared" si="1939"/>
        <v>已发货</v>
      </c>
      <c r="J6284" s="1" t="str">
        <f t="shared" si="1933"/>
        <v>3</v>
      </c>
      <c r="K6284" s="1">
        <v>3</v>
      </c>
      <c r="L6284" s="1" t="s">
        <v>105</v>
      </c>
      <c r="M6284" s="1" t="str">
        <f>"北京 北京市 海淀区 北下关街道"</f>
        <v>北京 北京市 海淀区 北下关街道</v>
      </c>
      <c r="N6284" s="1" t="str">
        <f t="shared" si="1932"/>
        <v>凡华云仓-韵达-抖音</v>
      </c>
      <c r="O6284" s="5">
        <v>320177489003303</v>
      </c>
      <c r="P6284" s="6">
        <v>0.34</v>
      </c>
      <c r="Q6284" s="11">
        <v>2.2999999999999998</v>
      </c>
      <c r="R6284" s="11"/>
      <c r="S6284" s="11"/>
      <c r="T6284" s="11"/>
      <c r="U6284" s="11">
        <f t="shared" si="1935"/>
        <v>2.2999999999999998</v>
      </c>
      <c r="W6284">
        <v>2.5</v>
      </c>
      <c r="X6284" s="1" t="s">
        <v>105</v>
      </c>
    </row>
    <row r="6285" spans="1:24" x14ac:dyDescent="0.25">
      <c r="A6285" s="1" t="str">
        <f t="shared" si="1936"/>
        <v>卡卡杜-凤凰仓</v>
      </c>
      <c r="B6285" s="1" t="str">
        <f>"CK2024101810536"</f>
        <v>CK2024101810536</v>
      </c>
      <c r="C6285" s="1" t="str">
        <f>"DD2024101816614"</f>
        <v>DD2024101816614</v>
      </c>
      <c r="D6285" s="1" t="str">
        <f>"CK202410189795"</f>
        <v>CK202410189795</v>
      </c>
      <c r="E6285" s="1" t="str">
        <f>"6935149967978010089"</f>
        <v>6935149967978010089</v>
      </c>
      <c r="F6285" s="1" t="str">
        <f t="shared" si="1937"/>
        <v>花都四部-凤凰仓</v>
      </c>
      <c r="G6285" s="1" t="str">
        <f t="shared" si="1934"/>
        <v>卡卡杜个人护理店（抖店）</v>
      </c>
      <c r="H6285" s="1" t="str">
        <f t="shared" si="1938"/>
        <v>正常订单</v>
      </c>
      <c r="I6285" s="1" t="str">
        <f t="shared" si="1939"/>
        <v>已发货</v>
      </c>
      <c r="J6285" s="1" t="str">
        <f t="shared" si="1933"/>
        <v>3</v>
      </c>
      <c r="K6285" s="1">
        <v>3</v>
      </c>
      <c r="L6285" s="1" t="s">
        <v>16</v>
      </c>
      <c r="M6285" s="1" t="str">
        <f>"河北省 邯郸市 武安市 "</f>
        <v xml:space="preserve">河北省 邯郸市 武安市 </v>
      </c>
      <c r="N6285" s="1" t="str">
        <f t="shared" si="1932"/>
        <v>凡华云仓-韵达-抖音</v>
      </c>
      <c r="O6285" s="5">
        <v>320177489003210</v>
      </c>
      <c r="P6285" s="6">
        <v>0.34</v>
      </c>
      <c r="Q6285" s="11">
        <v>2.2999999999999998</v>
      </c>
      <c r="R6285" s="11"/>
      <c r="S6285" s="11"/>
      <c r="T6285" s="11"/>
      <c r="U6285" s="11">
        <f t="shared" si="1935"/>
        <v>2.2999999999999998</v>
      </c>
      <c r="W6285">
        <v>2.5</v>
      </c>
      <c r="X6285" s="1" t="s">
        <v>16</v>
      </c>
    </row>
    <row r="6286" spans="1:24" x14ac:dyDescent="0.25">
      <c r="A6286" s="1" t="str">
        <f t="shared" si="1936"/>
        <v>卡卡杜-凤凰仓</v>
      </c>
      <c r="B6286" s="1" t="str">
        <f>"CK2024101810537"</f>
        <v>CK2024101810537</v>
      </c>
      <c r="C6286" s="1" t="str">
        <f>"DD2024101816616"</f>
        <v>DD2024101816616</v>
      </c>
      <c r="D6286" s="1" t="str">
        <f>"CK202410189794"</f>
        <v>CK202410189794</v>
      </c>
      <c r="E6286" s="1" t="str">
        <f>"6935174209425053428"</f>
        <v>6935174209425053428</v>
      </c>
      <c r="F6286" s="1" t="str">
        <f t="shared" si="1937"/>
        <v>花都四部-凤凰仓</v>
      </c>
      <c r="G6286" s="1" t="str">
        <f t="shared" si="1934"/>
        <v>卡卡杜个人护理店（抖店）</v>
      </c>
      <c r="H6286" s="1" t="str">
        <f t="shared" si="1938"/>
        <v>正常订单</v>
      </c>
      <c r="I6286" s="1" t="str">
        <f t="shared" si="1939"/>
        <v>已发货</v>
      </c>
      <c r="J6286" s="1" t="str">
        <f t="shared" si="1933"/>
        <v>3</v>
      </c>
      <c r="K6286" s="1">
        <v>3</v>
      </c>
      <c r="L6286" s="1" t="s">
        <v>18</v>
      </c>
      <c r="M6286" s="1" t="str">
        <f>"广东省 潮州市 饶平县 饶洋镇"</f>
        <v>广东省 潮州市 饶平县 饶洋镇</v>
      </c>
      <c r="N6286" s="1" t="str">
        <f t="shared" si="1932"/>
        <v>凡华云仓-韵达-抖音</v>
      </c>
      <c r="O6286" s="5">
        <v>320177489003119</v>
      </c>
      <c r="P6286" s="6">
        <v>0.34</v>
      </c>
      <c r="Q6286" s="11">
        <v>2.2999999999999998</v>
      </c>
      <c r="R6286" s="11"/>
      <c r="S6286" s="11"/>
      <c r="T6286" s="11"/>
      <c r="U6286" s="11">
        <f t="shared" si="1935"/>
        <v>2.2999999999999998</v>
      </c>
      <c r="W6286">
        <v>2.5</v>
      </c>
      <c r="X6286" s="1" t="s">
        <v>18</v>
      </c>
    </row>
    <row r="6287" spans="1:24" x14ac:dyDescent="0.25">
      <c r="A6287" s="1" t="str">
        <f t="shared" si="1936"/>
        <v>卡卡杜-凤凰仓</v>
      </c>
      <c r="B6287" s="1" t="str">
        <f>"CK2024101810538"</f>
        <v>CK2024101810538</v>
      </c>
      <c r="C6287" s="1" t="str">
        <f>"DD2024101816617"</f>
        <v>DD2024101816617</v>
      </c>
      <c r="D6287" s="1" t="str">
        <f>"CK202410189793"</f>
        <v>CK202410189793</v>
      </c>
      <c r="E6287" s="1" t="str">
        <f>"6935143516827751454"</f>
        <v>6935143516827751454</v>
      </c>
      <c r="F6287" s="1" t="str">
        <f t="shared" si="1937"/>
        <v>花都四部-凤凰仓</v>
      </c>
      <c r="G6287" s="1" t="str">
        <f t="shared" si="1934"/>
        <v>卡卡杜个人护理店（抖店）</v>
      </c>
      <c r="H6287" s="1" t="str">
        <f t="shared" si="1938"/>
        <v>正常订单</v>
      </c>
      <c r="I6287" s="1" t="str">
        <f t="shared" si="1939"/>
        <v>已发货</v>
      </c>
      <c r="J6287" s="1" t="str">
        <f t="shared" si="1933"/>
        <v>3</v>
      </c>
      <c r="K6287" s="1">
        <v>3</v>
      </c>
      <c r="L6287" s="1" t="s">
        <v>218</v>
      </c>
      <c r="M6287" s="1" t="str">
        <f>"天津 天津市 滨海新区 胡家园街道"</f>
        <v>天津 天津市 滨海新区 胡家园街道</v>
      </c>
      <c r="N6287" s="1" t="str">
        <f t="shared" si="1932"/>
        <v>凡华云仓-韵达-抖音</v>
      </c>
      <c r="O6287" s="5">
        <v>320177481401694</v>
      </c>
      <c r="P6287" s="6">
        <v>0.34</v>
      </c>
      <c r="Q6287" s="11">
        <v>2.2999999999999998</v>
      </c>
      <c r="R6287" s="11"/>
      <c r="S6287" s="11"/>
      <c r="T6287" s="11"/>
      <c r="U6287" s="11">
        <f t="shared" si="1935"/>
        <v>2.2999999999999998</v>
      </c>
      <c r="W6287">
        <v>2.5</v>
      </c>
      <c r="X6287" s="1" t="s">
        <v>218</v>
      </c>
    </row>
    <row r="6288" spans="1:24" x14ac:dyDescent="0.25">
      <c r="A6288" s="1" t="str">
        <f t="shared" si="1936"/>
        <v>卡卡杜-凤凰仓</v>
      </c>
      <c r="B6288" s="1" t="str">
        <f>"CK2024101810539"</f>
        <v>CK2024101810539</v>
      </c>
      <c r="C6288" s="1" t="str">
        <f>"DD2024101816618"</f>
        <v>DD2024101816618</v>
      </c>
      <c r="D6288" s="1" t="str">
        <f>"CK202410189792"</f>
        <v>CK202410189792</v>
      </c>
      <c r="E6288" s="1" t="str">
        <f>"6935160930177324261"</f>
        <v>6935160930177324261</v>
      </c>
      <c r="F6288" s="1" t="str">
        <f t="shared" si="1937"/>
        <v>花都四部-凤凰仓</v>
      </c>
      <c r="G6288" s="1" t="str">
        <f t="shared" si="1934"/>
        <v>卡卡杜个人护理店（抖店）</v>
      </c>
      <c r="H6288" s="1" t="str">
        <f t="shared" si="1938"/>
        <v>正常订单</v>
      </c>
      <c r="I6288" s="1" t="str">
        <f t="shared" si="1939"/>
        <v>已发货</v>
      </c>
      <c r="J6288" s="1" t="str">
        <f t="shared" si="1933"/>
        <v>3</v>
      </c>
      <c r="K6288" s="1">
        <v>3</v>
      </c>
      <c r="L6288" s="1" t="s">
        <v>80</v>
      </c>
      <c r="M6288" s="1" t="str">
        <f>"河南省 焦作市 山阳区 李万街道"</f>
        <v>河南省 焦作市 山阳区 李万街道</v>
      </c>
      <c r="N6288" s="1" t="str">
        <f t="shared" si="1932"/>
        <v>凡华云仓-韵达-抖音</v>
      </c>
      <c r="O6288" s="5">
        <v>320177481401595</v>
      </c>
      <c r="P6288" s="6">
        <v>0.34</v>
      </c>
      <c r="Q6288" s="11">
        <v>2.2999999999999998</v>
      </c>
      <c r="R6288" s="11"/>
      <c r="S6288" s="11"/>
      <c r="T6288" s="11"/>
      <c r="U6288" s="11">
        <f t="shared" si="1935"/>
        <v>2.2999999999999998</v>
      </c>
      <c r="W6288">
        <v>2.5</v>
      </c>
      <c r="X6288" s="1" t="s">
        <v>80</v>
      </c>
    </row>
    <row r="6289" spans="1:24" x14ac:dyDescent="0.25">
      <c r="A6289" s="1" t="str">
        <f t="shared" si="1936"/>
        <v>卡卡杜-凤凰仓</v>
      </c>
      <c r="B6289" s="1" t="str">
        <f>"CK2024101810540"</f>
        <v>CK2024101810540</v>
      </c>
      <c r="C6289" s="1" t="str">
        <f>"DD2024101816619"</f>
        <v>DD2024101816619</v>
      </c>
      <c r="D6289" s="1" t="str">
        <f>"CK202410189791"</f>
        <v>CK202410189791</v>
      </c>
      <c r="E6289" s="1" t="str">
        <f>"6935167494737237627"</f>
        <v>6935167494737237627</v>
      </c>
      <c r="F6289" s="1" t="str">
        <f t="shared" si="1937"/>
        <v>花都四部-凤凰仓</v>
      </c>
      <c r="G6289" s="1" t="str">
        <f t="shared" si="1934"/>
        <v>卡卡杜个人护理店（抖店）</v>
      </c>
      <c r="H6289" s="1" t="str">
        <f t="shared" si="1938"/>
        <v>正常订单</v>
      </c>
      <c r="I6289" s="1" t="str">
        <f t="shared" si="1939"/>
        <v>已发货</v>
      </c>
      <c r="J6289" s="1" t="str">
        <f t="shared" si="1933"/>
        <v>3</v>
      </c>
      <c r="K6289" s="1">
        <v>3</v>
      </c>
      <c r="L6289" s="1" t="s">
        <v>30</v>
      </c>
      <c r="M6289" s="1" t="str">
        <f>"山东省 威海市 环翠区 皇冠街道"</f>
        <v>山东省 威海市 环翠区 皇冠街道</v>
      </c>
      <c r="N6289" s="1" t="str">
        <f t="shared" si="1932"/>
        <v>凡华云仓-韵达-抖音</v>
      </c>
      <c r="O6289" s="5">
        <v>320177481401498</v>
      </c>
      <c r="P6289" s="6">
        <v>0.34</v>
      </c>
      <c r="Q6289" s="11">
        <v>2.2999999999999998</v>
      </c>
      <c r="R6289" s="11"/>
      <c r="S6289" s="11"/>
      <c r="T6289" s="11"/>
      <c r="U6289" s="11">
        <f t="shared" si="1935"/>
        <v>2.2999999999999998</v>
      </c>
      <c r="W6289">
        <v>2.5</v>
      </c>
      <c r="X6289" s="1" t="s">
        <v>30</v>
      </c>
    </row>
    <row r="6290" spans="1:24" x14ac:dyDescent="0.25">
      <c r="A6290" s="1" t="str">
        <f t="shared" si="1936"/>
        <v>卡卡杜-凤凰仓</v>
      </c>
      <c r="B6290" s="1" t="str">
        <f>"CK2024101810660"</f>
        <v>CK2024101810660</v>
      </c>
      <c r="C6290" s="1" t="str">
        <f>"DD2024101816747"</f>
        <v>DD2024101816747</v>
      </c>
      <c r="D6290" s="1" t="str">
        <f>"CK202410189790"</f>
        <v>CK202410189790</v>
      </c>
      <c r="E6290" s="1" t="str">
        <f>"6935147402064959296"</f>
        <v>6935147402064959296</v>
      </c>
      <c r="F6290" s="1" t="str">
        <f t="shared" si="1937"/>
        <v>花都四部-凤凰仓</v>
      </c>
      <c r="G6290" s="1" t="str">
        <f t="shared" si="1934"/>
        <v>卡卡杜个人护理店（抖店）</v>
      </c>
      <c r="H6290" s="1" t="str">
        <f t="shared" si="1938"/>
        <v>正常订单</v>
      </c>
      <c r="I6290" s="1" t="str">
        <f t="shared" si="1939"/>
        <v>已发货</v>
      </c>
      <c r="J6290" s="1" t="str">
        <f t="shared" si="1933"/>
        <v>3</v>
      </c>
      <c r="K6290" s="1">
        <v>3</v>
      </c>
      <c r="L6290" s="1" t="s">
        <v>41</v>
      </c>
      <c r="M6290" s="1" t="str">
        <f>"湖北省 武汉市 洪山区 洪山街街道"</f>
        <v>湖北省 武汉市 洪山区 洪山街街道</v>
      </c>
      <c r="N6290" s="1" t="str">
        <f t="shared" si="1932"/>
        <v>凡华云仓-韵达-抖音</v>
      </c>
      <c r="O6290" s="5">
        <v>320177481401303</v>
      </c>
      <c r="P6290" s="6">
        <v>0.34</v>
      </c>
      <c r="Q6290" s="11">
        <v>2.2999999999999998</v>
      </c>
      <c r="R6290" s="11"/>
      <c r="S6290" s="11"/>
      <c r="T6290" s="11"/>
      <c r="U6290" s="11">
        <f t="shared" si="1935"/>
        <v>2.2999999999999998</v>
      </c>
      <c r="W6290">
        <v>2.5</v>
      </c>
      <c r="X6290" s="1" t="s">
        <v>41</v>
      </c>
    </row>
    <row r="6291" spans="1:24" x14ac:dyDescent="0.25">
      <c r="A6291" s="1" t="str">
        <f t="shared" si="1936"/>
        <v>卡卡杜-凤凰仓</v>
      </c>
      <c r="B6291" s="1" t="str">
        <f>"CK2024101810542"</f>
        <v>CK2024101810542</v>
      </c>
      <c r="C6291" s="1" t="str">
        <f>"DD2024101816621"</f>
        <v>DD2024101816621</v>
      </c>
      <c r="D6291" s="1" t="str">
        <f>"CK202410189789"</f>
        <v>CK202410189789</v>
      </c>
      <c r="E6291" s="1" t="str">
        <f>"6935149891959657492"</f>
        <v>6935149891959657492</v>
      </c>
      <c r="F6291" s="1" t="str">
        <f t="shared" si="1937"/>
        <v>花都四部-凤凰仓</v>
      </c>
      <c r="G6291" s="1" t="str">
        <f t="shared" si="1934"/>
        <v>卡卡杜个人护理店（抖店）</v>
      </c>
      <c r="H6291" s="1" t="str">
        <f t="shared" si="1938"/>
        <v>正常订单</v>
      </c>
      <c r="I6291" s="1" t="str">
        <f t="shared" si="1939"/>
        <v>已发货</v>
      </c>
      <c r="J6291" s="1" t="str">
        <f t="shared" si="1933"/>
        <v>3</v>
      </c>
      <c r="K6291" s="1">
        <v>3</v>
      </c>
      <c r="L6291" s="1" t="s">
        <v>80</v>
      </c>
      <c r="M6291" s="1" t="str">
        <f>"河南省 新乡市 长垣市 蒲西街道"</f>
        <v>河南省 新乡市 长垣市 蒲西街道</v>
      </c>
      <c r="N6291" s="1" t="str">
        <f t="shared" si="1932"/>
        <v>凡华云仓-韵达-抖音</v>
      </c>
      <c r="O6291" s="5">
        <v>320177481401210</v>
      </c>
      <c r="P6291" s="6">
        <v>0.34</v>
      </c>
      <c r="Q6291" s="11">
        <v>2.2999999999999998</v>
      </c>
      <c r="R6291" s="11"/>
      <c r="S6291" s="11"/>
      <c r="T6291" s="11"/>
      <c r="U6291" s="11">
        <f t="shared" si="1935"/>
        <v>2.2999999999999998</v>
      </c>
      <c r="W6291">
        <v>2.5</v>
      </c>
      <c r="X6291" s="1" t="s">
        <v>80</v>
      </c>
    </row>
    <row r="6292" spans="1:24" x14ac:dyDescent="0.25">
      <c r="A6292" s="1" t="str">
        <f t="shared" si="1936"/>
        <v>卡卡杜-凤凰仓</v>
      </c>
      <c r="B6292" s="1" t="str">
        <f>"CK2024101810543"</f>
        <v>CK2024101810543</v>
      </c>
      <c r="C6292" s="1" t="str">
        <f>"DD2024101816622"</f>
        <v>DD2024101816622</v>
      </c>
      <c r="D6292" s="1" t="str">
        <f>"CK202410189788"</f>
        <v>CK202410189788</v>
      </c>
      <c r="E6292" s="1" t="str">
        <f>"6935151509868516464"</f>
        <v>6935151509868516464</v>
      </c>
      <c r="F6292" s="1" t="str">
        <f t="shared" si="1937"/>
        <v>花都四部-凤凰仓</v>
      </c>
      <c r="G6292" s="1" t="str">
        <f t="shared" si="1934"/>
        <v>卡卡杜个人护理店（抖店）</v>
      </c>
      <c r="H6292" s="1" t="str">
        <f t="shared" si="1938"/>
        <v>正常订单</v>
      </c>
      <c r="I6292" s="1" t="str">
        <f t="shared" si="1939"/>
        <v>已发货</v>
      </c>
      <c r="J6292" s="1" t="str">
        <f t="shared" si="1933"/>
        <v>3</v>
      </c>
      <c r="K6292" s="1">
        <v>3</v>
      </c>
      <c r="L6292" s="1" t="s">
        <v>80</v>
      </c>
      <c r="M6292" s="1" t="str">
        <f>"河南省 郑州市 金水区 东风路街道"</f>
        <v>河南省 郑州市 金水区 东风路街道</v>
      </c>
      <c r="N6292" s="1" t="str">
        <f t="shared" si="1932"/>
        <v>凡华云仓-韵达-抖音</v>
      </c>
      <c r="O6292" s="5">
        <v>320177481401119</v>
      </c>
      <c r="P6292" s="6">
        <v>0.34</v>
      </c>
      <c r="Q6292" s="11">
        <v>2.2999999999999998</v>
      </c>
      <c r="R6292" s="11"/>
      <c r="S6292" s="11"/>
      <c r="T6292" s="11"/>
      <c r="U6292" s="11">
        <f t="shared" si="1935"/>
        <v>2.2999999999999998</v>
      </c>
      <c r="W6292">
        <v>2.5</v>
      </c>
      <c r="X6292" s="1" t="s">
        <v>80</v>
      </c>
    </row>
    <row r="6293" spans="1:24" x14ac:dyDescent="0.25">
      <c r="A6293" s="1" t="str">
        <f t="shared" si="1936"/>
        <v>卡卡杜-凤凰仓</v>
      </c>
      <c r="B6293" s="1" t="str">
        <f>"CK2024101810544"</f>
        <v>CK2024101810544</v>
      </c>
      <c r="C6293" s="1" t="str">
        <f>"DD2024101816623"</f>
        <v>DD2024101816623</v>
      </c>
      <c r="D6293" s="1" t="str">
        <f>"CK202410189787"</f>
        <v>CK202410189787</v>
      </c>
      <c r="E6293" s="1" t="str">
        <f>"6935167523884177322"</f>
        <v>6935167523884177322</v>
      </c>
      <c r="F6293" s="1" t="str">
        <f t="shared" si="1937"/>
        <v>花都四部-凤凰仓</v>
      </c>
      <c r="G6293" s="1" t="str">
        <f t="shared" si="1934"/>
        <v>卡卡杜个人护理店（抖店）</v>
      </c>
      <c r="H6293" s="1" t="str">
        <f t="shared" si="1938"/>
        <v>正常订单</v>
      </c>
      <c r="I6293" s="1" t="str">
        <f t="shared" si="1939"/>
        <v>已发货</v>
      </c>
      <c r="J6293" s="1" t="str">
        <f t="shared" si="1933"/>
        <v>3</v>
      </c>
      <c r="K6293" s="1">
        <v>3</v>
      </c>
      <c r="L6293" s="1" t="s">
        <v>13</v>
      </c>
      <c r="M6293" s="1" t="str">
        <f>"江苏省 南京市 江宁区 禄口街道"</f>
        <v>江苏省 南京市 江宁区 禄口街道</v>
      </c>
      <c r="N6293" s="1" t="str">
        <f t="shared" si="1932"/>
        <v>凡华云仓-韵达-抖音</v>
      </c>
      <c r="O6293" s="5">
        <v>320177481401030</v>
      </c>
      <c r="P6293" s="6">
        <v>0.34</v>
      </c>
      <c r="Q6293" s="11">
        <v>2.2999999999999998</v>
      </c>
      <c r="R6293" s="11"/>
      <c r="S6293" s="11"/>
      <c r="T6293" s="11"/>
      <c r="U6293" s="11">
        <f t="shared" si="1935"/>
        <v>2.2999999999999998</v>
      </c>
      <c r="W6293">
        <v>2.5</v>
      </c>
      <c r="X6293" s="1" t="s">
        <v>13</v>
      </c>
    </row>
    <row r="6294" spans="1:24" x14ac:dyDescent="0.25">
      <c r="A6294" s="1" t="str">
        <f t="shared" si="1936"/>
        <v>卡卡杜-凤凰仓</v>
      </c>
      <c r="B6294" s="1" t="str">
        <f>"CK2024101810546"</f>
        <v>CK2024101810546</v>
      </c>
      <c r="C6294" s="1" t="str">
        <f>"DD2024101816625"</f>
        <v>DD2024101816625</v>
      </c>
      <c r="D6294" s="1" t="str">
        <f>"CK202410189786"</f>
        <v>CK202410189786</v>
      </c>
      <c r="E6294" s="1" t="str">
        <f>"6935172038680647614"</f>
        <v>6935172038680647614</v>
      </c>
      <c r="F6294" s="1" t="str">
        <f t="shared" si="1937"/>
        <v>花都四部-凤凰仓</v>
      </c>
      <c r="G6294" s="1" t="str">
        <f t="shared" si="1934"/>
        <v>卡卡杜个人护理店（抖店）</v>
      </c>
      <c r="H6294" s="1" t="str">
        <f t="shared" si="1938"/>
        <v>正常订单</v>
      </c>
      <c r="I6294" s="1" t="str">
        <f t="shared" si="1939"/>
        <v>已发货</v>
      </c>
      <c r="J6294" s="1" t="str">
        <f t="shared" si="1933"/>
        <v>3</v>
      </c>
      <c r="K6294" s="1">
        <v>3</v>
      </c>
      <c r="L6294" s="1" t="s">
        <v>16</v>
      </c>
      <c r="M6294" s="1" t="str">
        <f>"河北省 石家庄市 裕华区 东苑街道"</f>
        <v>河北省 石家庄市 裕华区 东苑街道</v>
      </c>
      <c r="N6294" s="1" t="str">
        <f t="shared" si="1932"/>
        <v>凡华云仓-韵达-抖音</v>
      </c>
      <c r="O6294" s="5">
        <v>320177481400914</v>
      </c>
      <c r="P6294" s="6">
        <v>0.34</v>
      </c>
      <c r="Q6294" s="11">
        <v>2.2999999999999998</v>
      </c>
      <c r="R6294" s="11"/>
      <c r="S6294" s="11"/>
      <c r="T6294" s="11"/>
      <c r="U6294" s="11">
        <f t="shared" si="1935"/>
        <v>2.2999999999999998</v>
      </c>
      <c r="W6294">
        <v>2.5</v>
      </c>
      <c r="X6294" s="1" t="s">
        <v>16</v>
      </c>
    </row>
    <row r="6295" spans="1:24" x14ac:dyDescent="0.25">
      <c r="A6295" s="1" t="str">
        <f t="shared" si="1936"/>
        <v>卡卡杜-凤凰仓</v>
      </c>
      <c r="B6295" s="1" t="str">
        <f>"CK2024101810545"</f>
        <v>CK2024101810545</v>
      </c>
      <c r="C6295" s="1" t="str">
        <f>"DD2024101816624"</f>
        <v>DD2024101816624</v>
      </c>
      <c r="D6295" s="1" t="str">
        <f>"CK202410189785"</f>
        <v>CK202410189785</v>
      </c>
      <c r="E6295" s="1" t="str">
        <f>"6935141142979220633"</f>
        <v>6935141142979220633</v>
      </c>
      <c r="F6295" s="1" t="str">
        <f t="shared" si="1937"/>
        <v>花都四部-凤凰仓</v>
      </c>
      <c r="G6295" s="1" t="str">
        <f t="shared" si="1934"/>
        <v>卡卡杜个人护理店（抖店）</v>
      </c>
      <c r="H6295" s="1" t="str">
        <f t="shared" si="1938"/>
        <v>正常订单</v>
      </c>
      <c r="I6295" s="1" t="str">
        <f t="shared" si="1939"/>
        <v>已发货</v>
      </c>
      <c r="J6295" s="1" t="str">
        <f t="shared" si="1933"/>
        <v>3</v>
      </c>
      <c r="K6295" s="1">
        <v>3</v>
      </c>
      <c r="L6295" s="1" t="s">
        <v>30</v>
      </c>
      <c r="M6295" s="1" t="str">
        <f>"山东省 德州市 乐陵市 市中街道"</f>
        <v>山东省 德州市 乐陵市 市中街道</v>
      </c>
      <c r="N6295" s="1" t="str">
        <f t="shared" si="1932"/>
        <v>凡华云仓-韵达-抖音</v>
      </c>
      <c r="O6295" s="5">
        <v>320177481400809</v>
      </c>
      <c r="P6295" s="6">
        <v>0.34</v>
      </c>
      <c r="Q6295" s="11">
        <v>2.2999999999999998</v>
      </c>
      <c r="R6295" s="11"/>
      <c r="S6295" s="11"/>
      <c r="T6295" s="11"/>
      <c r="U6295" s="11">
        <f t="shared" si="1935"/>
        <v>2.2999999999999998</v>
      </c>
      <c r="W6295">
        <v>2.5</v>
      </c>
      <c r="X6295" s="1" t="s">
        <v>30</v>
      </c>
    </row>
    <row r="6296" spans="1:24" x14ac:dyDescent="0.25">
      <c r="A6296" s="1" t="str">
        <f t="shared" si="1936"/>
        <v>卡卡杜-凤凰仓</v>
      </c>
      <c r="B6296" s="1" t="str">
        <f>"CK2024101810547"</f>
        <v>CK2024101810547</v>
      </c>
      <c r="C6296" s="1" t="str">
        <f>"DD2024101816626"</f>
        <v>DD2024101816626</v>
      </c>
      <c r="D6296" s="1" t="str">
        <f>"CK202410189784"</f>
        <v>CK202410189784</v>
      </c>
      <c r="E6296" s="1" t="str">
        <f>"6935141116578567528"</f>
        <v>6935141116578567528</v>
      </c>
      <c r="F6296" s="1" t="str">
        <f t="shared" si="1937"/>
        <v>花都四部-凤凰仓</v>
      </c>
      <c r="G6296" s="1" t="str">
        <f t="shared" si="1934"/>
        <v>卡卡杜个人护理店（抖店）</v>
      </c>
      <c r="H6296" s="1" t="str">
        <f t="shared" si="1938"/>
        <v>正常订单</v>
      </c>
      <c r="I6296" s="1" t="str">
        <f t="shared" si="1939"/>
        <v>已发货</v>
      </c>
      <c r="J6296" s="1" t="str">
        <f t="shared" si="1933"/>
        <v>3</v>
      </c>
      <c r="K6296" s="1">
        <v>3</v>
      </c>
      <c r="L6296" s="1" t="s">
        <v>80</v>
      </c>
      <c r="M6296" s="1" t="str">
        <f>"河南省 信阳市 息县 龙湖街道"</f>
        <v>河南省 信阳市 息县 龙湖街道</v>
      </c>
      <c r="N6296" s="1" t="str">
        <f t="shared" si="1932"/>
        <v>凡华云仓-韵达-抖音</v>
      </c>
      <c r="O6296" s="5">
        <v>320177481400706</v>
      </c>
      <c r="P6296" s="6">
        <v>0.34</v>
      </c>
      <c r="Q6296" s="11">
        <v>2.2999999999999998</v>
      </c>
      <c r="R6296" s="11"/>
      <c r="S6296" s="11"/>
      <c r="T6296" s="11"/>
      <c r="U6296" s="11">
        <f t="shared" si="1935"/>
        <v>2.2999999999999998</v>
      </c>
      <c r="W6296">
        <v>2.5</v>
      </c>
      <c r="X6296" s="1" t="s">
        <v>80</v>
      </c>
    </row>
    <row r="6297" spans="1:24" x14ac:dyDescent="0.25">
      <c r="A6297" s="1" t="str">
        <f t="shared" si="1936"/>
        <v>卡卡杜-凤凰仓</v>
      </c>
      <c r="B6297" s="1" t="str">
        <f>"CK2024101810549"</f>
        <v>CK2024101810549</v>
      </c>
      <c r="C6297" s="1" t="str">
        <f>"DD2024101816628"</f>
        <v>DD2024101816628</v>
      </c>
      <c r="D6297" s="1" t="str">
        <f>"CK202410189783"</f>
        <v>CK202410189783</v>
      </c>
      <c r="E6297" s="1" t="str">
        <f>"6935171929961731878"</f>
        <v>6935171929961731878</v>
      </c>
      <c r="F6297" s="1" t="str">
        <f t="shared" si="1937"/>
        <v>花都四部-凤凰仓</v>
      </c>
      <c r="G6297" s="1" t="str">
        <f t="shared" si="1934"/>
        <v>卡卡杜个人护理店（抖店）</v>
      </c>
      <c r="H6297" s="1" t="str">
        <f t="shared" si="1938"/>
        <v>正常订单</v>
      </c>
      <c r="I6297" s="1" t="str">
        <f t="shared" si="1939"/>
        <v>已发货</v>
      </c>
      <c r="J6297" s="1" t="str">
        <f>"6"</f>
        <v>6</v>
      </c>
      <c r="K6297" s="1">
        <v>3</v>
      </c>
      <c r="L6297" s="1" t="s">
        <v>16</v>
      </c>
      <c r="M6297" s="1" t="str">
        <f>"河北省 衡水市 饶阳县 留楚乡"</f>
        <v>河北省 衡水市 饶阳县 留楚乡</v>
      </c>
      <c r="N6297" s="1" t="str">
        <f t="shared" si="1932"/>
        <v>凡华云仓-韵达-抖音</v>
      </c>
      <c r="O6297" s="5">
        <v>320177472969839</v>
      </c>
      <c r="P6297" s="6">
        <v>0.55000000000000004</v>
      </c>
      <c r="Q6297" s="11">
        <f>CEILING(P6297-0.5,0.1)*10*0.15+2.3</f>
        <v>2.4499999999999997</v>
      </c>
      <c r="R6297" s="11"/>
      <c r="S6297" s="11"/>
      <c r="T6297" s="11"/>
      <c r="U6297" s="11">
        <f t="shared" si="1935"/>
        <v>2.4499999999999997</v>
      </c>
      <c r="V6297" t="s">
        <v>15</v>
      </c>
      <c r="W6297">
        <v>2.4500000000000002</v>
      </c>
      <c r="X6297" s="1" t="s">
        <v>16</v>
      </c>
    </row>
    <row r="6298" spans="1:24" x14ac:dyDescent="0.25">
      <c r="A6298" s="1" t="str">
        <f t="shared" si="1936"/>
        <v>卡卡杜-凤凰仓</v>
      </c>
      <c r="B6298" s="1" t="str">
        <f>"CK2024101810550"</f>
        <v>CK2024101810550</v>
      </c>
      <c r="C6298" s="1" t="str">
        <f>"DD2024101816630"</f>
        <v>DD2024101816630</v>
      </c>
      <c r="D6298" s="1" t="str">
        <f>"CK202410189782"</f>
        <v>CK202410189782</v>
      </c>
      <c r="E6298" s="1" t="str">
        <f>"6935141118402106920"</f>
        <v>6935141118402106920</v>
      </c>
      <c r="F6298" s="1" t="str">
        <f t="shared" si="1937"/>
        <v>花都四部-凤凰仓</v>
      </c>
      <c r="G6298" s="1" t="str">
        <f t="shared" si="1934"/>
        <v>卡卡杜个人护理店（抖店）</v>
      </c>
      <c r="H6298" s="1" t="str">
        <f t="shared" si="1938"/>
        <v>正常订单</v>
      </c>
      <c r="I6298" s="1" t="str">
        <f t="shared" si="1939"/>
        <v>已发货</v>
      </c>
      <c r="J6298" s="1" t="str">
        <f>"6"</f>
        <v>6</v>
      </c>
      <c r="K6298" s="1">
        <v>3</v>
      </c>
      <c r="L6298" s="1" t="s">
        <v>32</v>
      </c>
      <c r="M6298" s="1" t="str">
        <f>"陕西省 延安市 宝塔区 "</f>
        <v xml:space="preserve">陕西省 延安市 宝塔区 </v>
      </c>
      <c r="N6298" s="1" t="str">
        <f t="shared" si="1932"/>
        <v>凡华云仓-韵达-抖音</v>
      </c>
      <c r="O6298" s="5">
        <v>320177472969736</v>
      </c>
      <c r="P6298" s="6">
        <v>0.55000000000000004</v>
      </c>
      <c r="Q6298" s="11">
        <f>CEILING(P6298-0.5,0.1)*10*0.15+2.3</f>
        <v>2.4499999999999997</v>
      </c>
      <c r="R6298" s="11"/>
      <c r="S6298" s="11"/>
      <c r="T6298" s="11"/>
      <c r="U6298" s="11">
        <f t="shared" si="1935"/>
        <v>2.4499999999999997</v>
      </c>
      <c r="V6298" t="s">
        <v>15</v>
      </c>
      <c r="W6298">
        <v>2.4500000000000002</v>
      </c>
      <c r="X6298" s="1" t="s">
        <v>32</v>
      </c>
    </row>
    <row r="6299" spans="1:24" x14ac:dyDescent="0.25">
      <c r="A6299" s="1" t="str">
        <f t="shared" si="1936"/>
        <v>卡卡杜-凤凰仓</v>
      </c>
      <c r="B6299" s="1" t="str">
        <f>"CK2024101810661"</f>
        <v>CK2024101810661</v>
      </c>
      <c r="C6299" s="1" t="str">
        <f>"DD2024101816746"</f>
        <v>DD2024101816746</v>
      </c>
      <c r="D6299" s="1" t="str">
        <f>"CK202410189781"</f>
        <v>CK202410189781</v>
      </c>
      <c r="E6299" s="1" t="str">
        <f>"6935162738150872964"</f>
        <v>6935162738150872964</v>
      </c>
      <c r="F6299" s="1" t="str">
        <f t="shared" si="1937"/>
        <v>花都四部-凤凰仓</v>
      </c>
      <c r="G6299" s="1" t="str">
        <f t="shared" si="1934"/>
        <v>卡卡杜个人护理店（抖店）</v>
      </c>
      <c r="H6299" s="1" t="str">
        <f t="shared" si="1938"/>
        <v>正常订单</v>
      </c>
      <c r="I6299" s="1" t="str">
        <f t="shared" si="1939"/>
        <v>已发货</v>
      </c>
      <c r="J6299" s="1" t="str">
        <f t="shared" ref="J6299:J6362" si="1940">"3"</f>
        <v>3</v>
      </c>
      <c r="K6299" s="1">
        <v>3</v>
      </c>
      <c r="L6299" s="1" t="s">
        <v>24</v>
      </c>
      <c r="M6299" s="1" t="str">
        <f>"福建省 泉州市 晋江市 池店镇"</f>
        <v>福建省 泉州市 晋江市 池店镇</v>
      </c>
      <c r="N6299" s="1" t="str">
        <f t="shared" si="1932"/>
        <v>凡华云仓-韵达-抖音</v>
      </c>
      <c r="O6299" s="5">
        <v>320177472969635</v>
      </c>
      <c r="P6299" s="6">
        <v>0.34</v>
      </c>
      <c r="Q6299" s="11">
        <v>2.2999999999999998</v>
      </c>
      <c r="R6299" s="11"/>
      <c r="S6299" s="11"/>
      <c r="T6299" s="11"/>
      <c r="U6299" s="11">
        <f t="shared" si="1935"/>
        <v>2.2999999999999998</v>
      </c>
      <c r="W6299">
        <v>2.5</v>
      </c>
      <c r="X6299" s="1" t="s">
        <v>24</v>
      </c>
    </row>
    <row r="6300" spans="1:24" x14ac:dyDescent="0.25">
      <c r="A6300" s="1" t="str">
        <f t="shared" si="1936"/>
        <v>卡卡杜-凤凰仓</v>
      </c>
      <c r="B6300" s="1" t="str">
        <f>"CK2024101810548"</f>
        <v>CK2024101810548</v>
      </c>
      <c r="C6300" s="1" t="str">
        <f>"DD2024101816627"</f>
        <v>DD2024101816627</v>
      </c>
      <c r="D6300" s="1" t="str">
        <f>"CK202410189780"</f>
        <v>CK202410189780</v>
      </c>
      <c r="E6300" s="1" t="str">
        <f>"6935149898119190161"</f>
        <v>6935149898119190161</v>
      </c>
      <c r="F6300" s="1" t="str">
        <f t="shared" si="1937"/>
        <v>花都四部-凤凰仓</v>
      </c>
      <c r="G6300" s="1" t="str">
        <f t="shared" si="1934"/>
        <v>卡卡杜个人护理店（抖店）</v>
      </c>
      <c r="H6300" s="1" t="str">
        <f t="shared" si="1938"/>
        <v>正常订单</v>
      </c>
      <c r="I6300" s="1" t="str">
        <f t="shared" si="1939"/>
        <v>已发货</v>
      </c>
      <c r="J6300" s="1" t="str">
        <f t="shared" si="1940"/>
        <v>3</v>
      </c>
      <c r="K6300" s="1">
        <v>3</v>
      </c>
      <c r="L6300" s="1" t="s">
        <v>92</v>
      </c>
      <c r="M6300" s="1" t="str">
        <f>"辽宁省 大连市 金州区 马桥子街道"</f>
        <v>辽宁省 大连市 金州区 马桥子街道</v>
      </c>
      <c r="N6300" s="1" t="str">
        <f t="shared" si="1932"/>
        <v>凡华云仓-韵达-抖音</v>
      </c>
      <c r="O6300" s="5">
        <v>320177472969536</v>
      </c>
      <c r="P6300" s="6">
        <v>0.34</v>
      </c>
      <c r="Q6300" s="11">
        <v>2.2999999999999998</v>
      </c>
      <c r="R6300" s="11"/>
      <c r="S6300" s="11"/>
      <c r="T6300" s="11"/>
      <c r="U6300" s="11">
        <f t="shared" si="1935"/>
        <v>2.2999999999999998</v>
      </c>
      <c r="W6300">
        <v>2.5</v>
      </c>
      <c r="X6300" s="1" t="s">
        <v>92</v>
      </c>
    </row>
    <row r="6301" spans="1:24" x14ac:dyDescent="0.25">
      <c r="A6301" s="1" t="str">
        <f t="shared" si="1936"/>
        <v>卡卡杜-凤凰仓</v>
      </c>
      <c r="B6301" s="1" t="str">
        <f>"CK2024101810552"</f>
        <v>CK2024101810552</v>
      </c>
      <c r="C6301" s="1" t="str">
        <f>"DD2024101816629"</f>
        <v>DD2024101816629</v>
      </c>
      <c r="D6301" s="1" t="str">
        <f>"CK202410189779"</f>
        <v>CK202410189779</v>
      </c>
      <c r="E6301" s="1" t="str">
        <f>"6935149864622953578"</f>
        <v>6935149864622953578</v>
      </c>
      <c r="F6301" s="1" t="str">
        <f t="shared" si="1937"/>
        <v>花都四部-凤凰仓</v>
      </c>
      <c r="G6301" s="1" t="str">
        <f t="shared" si="1934"/>
        <v>卡卡杜个人护理店（抖店）</v>
      </c>
      <c r="H6301" s="1" t="str">
        <f t="shared" si="1938"/>
        <v>正常订单</v>
      </c>
      <c r="I6301" s="1" t="str">
        <f t="shared" si="1939"/>
        <v>已发货</v>
      </c>
      <c r="J6301" s="1" t="str">
        <f t="shared" si="1940"/>
        <v>3</v>
      </c>
      <c r="K6301" s="1">
        <v>3</v>
      </c>
      <c r="L6301" s="1" t="s">
        <v>30</v>
      </c>
      <c r="M6301" s="1" t="str">
        <f>"山东省 青岛市 平度市 崔家集镇"</f>
        <v>山东省 青岛市 平度市 崔家集镇</v>
      </c>
      <c r="N6301" s="1" t="str">
        <f t="shared" si="1932"/>
        <v>凡华云仓-韵达-抖音</v>
      </c>
      <c r="O6301" s="5">
        <v>320177472969439</v>
      </c>
      <c r="P6301" s="6">
        <v>0.34</v>
      </c>
      <c r="Q6301" s="11">
        <v>2.2999999999999998</v>
      </c>
      <c r="R6301" s="11"/>
      <c r="S6301" s="11"/>
      <c r="T6301" s="11"/>
      <c r="U6301" s="11">
        <f t="shared" si="1935"/>
        <v>2.2999999999999998</v>
      </c>
      <c r="W6301">
        <v>2.5</v>
      </c>
      <c r="X6301" s="1" t="s">
        <v>30</v>
      </c>
    </row>
    <row r="6302" spans="1:24" x14ac:dyDescent="0.25">
      <c r="A6302" s="1" t="str">
        <f t="shared" si="1936"/>
        <v>卡卡杜-凤凰仓</v>
      </c>
      <c r="B6302" s="1" t="str">
        <f>"CK2024101810551"</f>
        <v>CK2024101810551</v>
      </c>
      <c r="C6302" s="1" t="str">
        <f>"DD2024101816631"</f>
        <v>DD2024101816631</v>
      </c>
      <c r="D6302" s="1" t="str">
        <f>"CK202410189778"</f>
        <v>CK202410189778</v>
      </c>
      <c r="E6302" s="1" t="str">
        <f>"6935151618630031033"</f>
        <v>6935151618630031033</v>
      </c>
      <c r="F6302" s="1" t="str">
        <f t="shared" si="1937"/>
        <v>花都四部-凤凰仓</v>
      </c>
      <c r="G6302" s="1" t="str">
        <f t="shared" si="1934"/>
        <v>卡卡杜个人护理店（抖店）</v>
      </c>
      <c r="H6302" s="1" t="str">
        <f t="shared" si="1938"/>
        <v>正常订单</v>
      </c>
      <c r="I6302" s="1" t="str">
        <f t="shared" si="1939"/>
        <v>已发货</v>
      </c>
      <c r="J6302" s="1" t="str">
        <f t="shared" si="1940"/>
        <v>3</v>
      </c>
      <c r="K6302" s="1">
        <v>3</v>
      </c>
      <c r="L6302" s="1" t="s">
        <v>24</v>
      </c>
      <c r="M6302" s="1" t="str">
        <f>"福建省 漳州市 漳浦县 绥安镇"</f>
        <v>福建省 漳州市 漳浦县 绥安镇</v>
      </c>
      <c r="N6302" s="1" t="str">
        <f t="shared" si="1932"/>
        <v>凡华云仓-韵达-抖音</v>
      </c>
      <c r="O6302" s="5">
        <v>320177472969344</v>
      </c>
      <c r="P6302" s="6">
        <v>0.34</v>
      </c>
      <c r="Q6302" s="11">
        <v>2.2999999999999998</v>
      </c>
      <c r="R6302" s="11"/>
      <c r="S6302" s="11"/>
      <c r="T6302" s="11"/>
      <c r="U6302" s="11">
        <f t="shared" si="1935"/>
        <v>2.2999999999999998</v>
      </c>
      <c r="W6302">
        <v>2.5</v>
      </c>
      <c r="X6302" s="1" t="s">
        <v>24</v>
      </c>
    </row>
    <row r="6303" spans="1:24" x14ac:dyDescent="0.25">
      <c r="A6303" s="1" t="str">
        <f t="shared" si="1936"/>
        <v>卡卡杜-凤凰仓</v>
      </c>
      <c r="B6303" s="1" t="str">
        <f>"CK2024101810554"</f>
        <v>CK2024101810554</v>
      </c>
      <c r="C6303" s="1" t="str">
        <f>"DD2024101816633"</f>
        <v>DD2024101816633</v>
      </c>
      <c r="D6303" s="1" t="str">
        <f>"CK202410189776"</f>
        <v>CK202410189776</v>
      </c>
      <c r="E6303" s="1" t="str">
        <f>"6935153903200638699"</f>
        <v>6935153903200638699</v>
      </c>
      <c r="F6303" s="1" t="str">
        <f t="shared" si="1937"/>
        <v>花都四部-凤凰仓</v>
      </c>
      <c r="G6303" s="1" t="str">
        <f t="shared" si="1934"/>
        <v>卡卡杜个人护理店（抖店）</v>
      </c>
      <c r="H6303" s="1" t="str">
        <f t="shared" si="1938"/>
        <v>正常订单</v>
      </c>
      <c r="I6303" s="1" t="str">
        <f t="shared" si="1939"/>
        <v>已发货</v>
      </c>
      <c r="J6303" s="1" t="str">
        <f t="shared" si="1940"/>
        <v>3</v>
      </c>
      <c r="K6303" s="1">
        <v>3</v>
      </c>
      <c r="L6303" s="1" t="s">
        <v>30</v>
      </c>
      <c r="M6303" s="1" t="str">
        <f>"山东省 菏泽市 成武县 大田集镇"</f>
        <v>山东省 菏泽市 成武县 大田集镇</v>
      </c>
      <c r="N6303" s="1" t="str">
        <f t="shared" si="1932"/>
        <v>凡华云仓-韵达-抖音</v>
      </c>
      <c r="O6303" s="5">
        <v>320177472969160</v>
      </c>
      <c r="P6303" s="6">
        <v>0.34</v>
      </c>
      <c r="Q6303" s="11">
        <v>2.2999999999999998</v>
      </c>
      <c r="R6303" s="11"/>
      <c r="S6303" s="11"/>
      <c r="T6303" s="11"/>
      <c r="U6303" s="11">
        <f t="shared" si="1935"/>
        <v>2.2999999999999998</v>
      </c>
      <c r="W6303">
        <v>2.5</v>
      </c>
      <c r="X6303" s="1" t="s">
        <v>30</v>
      </c>
    </row>
    <row r="6304" spans="1:24" x14ac:dyDescent="0.25">
      <c r="A6304" s="1" t="str">
        <f t="shared" si="1936"/>
        <v>卡卡杜-凤凰仓</v>
      </c>
      <c r="B6304" s="1" t="str">
        <f>"CK2024101810555"</f>
        <v>CK2024101810555</v>
      </c>
      <c r="C6304" s="1" t="str">
        <f>"DD2024101816634"</f>
        <v>DD2024101816634</v>
      </c>
      <c r="D6304" s="1" t="str">
        <f>"CK202410189775"</f>
        <v>CK202410189775</v>
      </c>
      <c r="E6304" s="1" t="str">
        <f>"6935167326717285479"</f>
        <v>6935167326717285479</v>
      </c>
      <c r="F6304" s="1" t="str">
        <f t="shared" si="1937"/>
        <v>花都四部-凤凰仓</v>
      </c>
      <c r="G6304" s="1" t="str">
        <f t="shared" si="1934"/>
        <v>卡卡杜个人护理店（抖店）</v>
      </c>
      <c r="H6304" s="1" t="str">
        <f t="shared" si="1938"/>
        <v>正常订单</v>
      </c>
      <c r="I6304" s="1" t="str">
        <f t="shared" si="1939"/>
        <v>已发货</v>
      </c>
      <c r="J6304" s="1" t="str">
        <f t="shared" si="1940"/>
        <v>3</v>
      </c>
      <c r="K6304" s="1">
        <v>3</v>
      </c>
      <c r="L6304" s="1" t="s">
        <v>30</v>
      </c>
      <c r="M6304" s="1" t="str">
        <f>"山东省 烟台市 龙口市 徐福街道"</f>
        <v>山东省 烟台市 龙口市 徐福街道</v>
      </c>
      <c r="N6304" s="1" t="str">
        <f t="shared" si="1932"/>
        <v>凡华云仓-韵达-抖音</v>
      </c>
      <c r="O6304" s="5">
        <v>320177472969071</v>
      </c>
      <c r="P6304" s="6">
        <v>0.34</v>
      </c>
      <c r="Q6304" s="11">
        <v>2.2999999999999998</v>
      </c>
      <c r="R6304" s="11"/>
      <c r="S6304" s="11"/>
      <c r="T6304" s="11"/>
      <c r="U6304" s="11">
        <f t="shared" si="1935"/>
        <v>2.2999999999999998</v>
      </c>
      <c r="W6304">
        <v>2.5</v>
      </c>
      <c r="X6304" s="1" t="s">
        <v>30</v>
      </c>
    </row>
    <row r="6305" spans="1:24" x14ac:dyDescent="0.25">
      <c r="A6305" s="1" t="str">
        <f t="shared" si="1936"/>
        <v>卡卡杜-凤凰仓</v>
      </c>
      <c r="B6305" s="1" t="str">
        <f>"CK2024101810557"</f>
        <v>CK2024101810557</v>
      </c>
      <c r="C6305" s="1" t="str">
        <f>"DD2024101816635"</f>
        <v>DD2024101816635</v>
      </c>
      <c r="D6305" s="1" t="str">
        <f>"CK202410189774"</f>
        <v>CK202410189774</v>
      </c>
      <c r="E6305" s="1" t="str">
        <f>"6935158436599240136"</f>
        <v>6935158436599240136</v>
      </c>
      <c r="F6305" s="1" t="str">
        <f t="shared" si="1937"/>
        <v>花都四部-凤凰仓</v>
      </c>
      <c r="G6305" s="1" t="str">
        <f t="shared" si="1934"/>
        <v>卡卡杜个人护理店（抖店）</v>
      </c>
      <c r="H6305" s="1" t="str">
        <f t="shared" si="1938"/>
        <v>正常订单</v>
      </c>
      <c r="I6305" s="1" t="str">
        <f t="shared" si="1939"/>
        <v>已发货</v>
      </c>
      <c r="J6305" s="1" t="str">
        <f t="shared" si="1940"/>
        <v>3</v>
      </c>
      <c r="K6305" s="1">
        <v>3</v>
      </c>
      <c r="L6305" s="1" t="s">
        <v>30</v>
      </c>
      <c r="M6305" s="1" t="str">
        <f>"山东省 东营市 东营区 胜利街道"</f>
        <v>山东省 东营市 东营区 胜利街道</v>
      </c>
      <c r="N6305" s="1" t="str">
        <f t="shared" ref="N6305:N6368" si="1941">"凡华云仓-韵达-抖音"</f>
        <v>凡华云仓-韵达-抖音</v>
      </c>
      <c r="O6305" s="5">
        <v>320177472968939</v>
      </c>
      <c r="P6305" s="6">
        <v>0.34</v>
      </c>
      <c r="Q6305" s="11">
        <v>2.2999999999999998</v>
      </c>
      <c r="R6305" s="11"/>
      <c r="S6305" s="11"/>
      <c r="T6305" s="11"/>
      <c r="U6305" s="11">
        <f t="shared" si="1935"/>
        <v>2.2999999999999998</v>
      </c>
      <c r="W6305">
        <v>2.5</v>
      </c>
      <c r="X6305" s="1" t="s">
        <v>30</v>
      </c>
    </row>
    <row r="6306" spans="1:24" x14ac:dyDescent="0.25">
      <c r="A6306" s="1" t="str">
        <f t="shared" si="1936"/>
        <v>卡卡杜-凤凰仓</v>
      </c>
      <c r="B6306" s="1" t="str">
        <f>"CK2024101810556"</f>
        <v>CK2024101810556</v>
      </c>
      <c r="C6306" s="1" t="str">
        <f>"DD2024101816636"</f>
        <v>DD2024101816636</v>
      </c>
      <c r="D6306" s="1" t="str">
        <f>"CK202410189773"</f>
        <v>CK202410189773</v>
      </c>
      <c r="E6306" s="1" t="str">
        <f>"6935147449469506760"</f>
        <v>6935147449469506760</v>
      </c>
      <c r="F6306" s="1" t="str">
        <f t="shared" si="1937"/>
        <v>花都四部-凤凰仓</v>
      </c>
      <c r="G6306" s="1" t="str">
        <f t="shared" si="1934"/>
        <v>卡卡杜个人护理店（抖店）</v>
      </c>
      <c r="H6306" s="1" t="str">
        <f t="shared" si="1938"/>
        <v>正常订单</v>
      </c>
      <c r="I6306" s="1" t="str">
        <f t="shared" si="1939"/>
        <v>已发货</v>
      </c>
      <c r="J6306" s="1" t="str">
        <f t="shared" si="1940"/>
        <v>3</v>
      </c>
      <c r="K6306" s="1">
        <v>3</v>
      </c>
      <c r="L6306" s="1" t="s">
        <v>96</v>
      </c>
      <c r="M6306" s="1" t="str">
        <f>"广西壮族自治区 玉林市 玉州区 城西街道"</f>
        <v>广西壮族自治区 玉林市 玉州区 城西街道</v>
      </c>
      <c r="N6306" s="1" t="str">
        <f t="shared" si="1941"/>
        <v>凡华云仓-韵达-抖音</v>
      </c>
      <c r="O6306" s="5">
        <v>320177478446322</v>
      </c>
      <c r="P6306" s="6">
        <v>0.34</v>
      </c>
      <c r="Q6306" s="11">
        <v>2.2999999999999998</v>
      </c>
      <c r="R6306" s="11"/>
      <c r="S6306" s="11"/>
      <c r="T6306" s="11"/>
      <c r="U6306" s="11">
        <f t="shared" si="1935"/>
        <v>2.2999999999999998</v>
      </c>
      <c r="W6306">
        <v>2.5</v>
      </c>
      <c r="X6306" s="1" t="s">
        <v>96</v>
      </c>
    </row>
    <row r="6307" spans="1:24" x14ac:dyDescent="0.25">
      <c r="A6307" s="1" t="str">
        <f t="shared" si="1936"/>
        <v>卡卡杜-凤凰仓</v>
      </c>
      <c r="B6307" s="1" t="str">
        <f>"CK2024101810558"</f>
        <v>CK2024101810558</v>
      </c>
      <c r="C6307" s="1" t="str">
        <f>"DD2024101816637"</f>
        <v>DD2024101816637</v>
      </c>
      <c r="D6307" s="1" t="str">
        <f>"CK202410189772"</f>
        <v>CK202410189772</v>
      </c>
      <c r="E6307" s="1" t="str">
        <f>"6935165150870312312"</f>
        <v>6935165150870312312</v>
      </c>
      <c r="F6307" s="1" t="str">
        <f t="shared" si="1937"/>
        <v>花都四部-凤凰仓</v>
      </c>
      <c r="G6307" s="1" t="str">
        <f t="shared" si="1934"/>
        <v>卡卡杜个人护理店（抖店）</v>
      </c>
      <c r="H6307" s="1" t="str">
        <f t="shared" si="1938"/>
        <v>正常订单</v>
      </c>
      <c r="I6307" s="1" t="str">
        <f t="shared" si="1939"/>
        <v>已发货</v>
      </c>
      <c r="J6307" s="1" t="str">
        <f t="shared" si="1940"/>
        <v>3</v>
      </c>
      <c r="K6307" s="1">
        <v>3</v>
      </c>
      <c r="L6307" s="1" t="s">
        <v>30</v>
      </c>
      <c r="M6307" s="1" t="str">
        <f>"山东省 临沂市 兰陵县 卞庄街道"</f>
        <v>山东省 临沂市 兰陵县 卞庄街道</v>
      </c>
      <c r="N6307" s="1" t="str">
        <f t="shared" si="1941"/>
        <v>凡华云仓-韵达-抖音</v>
      </c>
      <c r="O6307" s="5">
        <v>320177478446229</v>
      </c>
      <c r="P6307" s="6">
        <v>0.34</v>
      </c>
      <c r="Q6307" s="11">
        <v>2.2999999999999998</v>
      </c>
      <c r="R6307" s="11"/>
      <c r="S6307" s="11"/>
      <c r="T6307" s="11"/>
      <c r="U6307" s="11">
        <f t="shared" si="1935"/>
        <v>2.2999999999999998</v>
      </c>
      <c r="W6307">
        <v>2.5</v>
      </c>
      <c r="X6307" s="1" t="s">
        <v>30</v>
      </c>
    </row>
    <row r="6308" spans="1:24" x14ac:dyDescent="0.25">
      <c r="A6308" s="1" t="str">
        <f t="shared" si="1936"/>
        <v>卡卡杜-凤凰仓</v>
      </c>
      <c r="B6308" s="1" t="str">
        <f>"CK2024101810559"</f>
        <v>CK2024101810559</v>
      </c>
      <c r="C6308" s="1" t="str">
        <f>"DD2024101816638"</f>
        <v>DD2024101816638</v>
      </c>
      <c r="D6308" s="1" t="str">
        <f>"CK202410189771"</f>
        <v>CK202410189771</v>
      </c>
      <c r="E6308" s="1" t="str">
        <f>"6935153974425949932"</f>
        <v>6935153974425949932</v>
      </c>
      <c r="F6308" s="1" t="str">
        <f t="shared" si="1937"/>
        <v>花都四部-凤凰仓</v>
      </c>
      <c r="G6308" s="1" t="str">
        <f t="shared" si="1934"/>
        <v>卡卡杜个人护理店（抖店）</v>
      </c>
      <c r="H6308" s="1" t="str">
        <f t="shared" si="1938"/>
        <v>正常订单</v>
      </c>
      <c r="I6308" s="1" t="str">
        <f t="shared" si="1939"/>
        <v>已发货</v>
      </c>
      <c r="J6308" s="1" t="str">
        <f t="shared" si="1940"/>
        <v>3</v>
      </c>
      <c r="K6308" s="1">
        <v>3</v>
      </c>
      <c r="L6308" s="1" t="s">
        <v>27</v>
      </c>
      <c r="M6308" s="1" t="str">
        <f>"贵州省 六盘水市 盘州市 亦资街道"</f>
        <v>贵州省 六盘水市 盘州市 亦资街道</v>
      </c>
      <c r="N6308" s="1" t="str">
        <f t="shared" si="1941"/>
        <v>凡华云仓-韵达-抖音</v>
      </c>
      <c r="O6308" s="5">
        <v>320177478446138</v>
      </c>
      <c r="P6308" s="6">
        <v>0.34</v>
      </c>
      <c r="Q6308" s="11">
        <v>2.2999999999999998</v>
      </c>
      <c r="R6308" s="11"/>
      <c r="S6308" s="11"/>
      <c r="T6308" s="11"/>
      <c r="U6308" s="11">
        <f t="shared" si="1935"/>
        <v>2.2999999999999998</v>
      </c>
      <c r="W6308">
        <v>2.5</v>
      </c>
      <c r="X6308" s="1" t="s">
        <v>27</v>
      </c>
    </row>
    <row r="6309" spans="1:24" x14ac:dyDescent="0.25">
      <c r="A6309" s="1" t="str">
        <f t="shared" si="1936"/>
        <v>卡卡杜-凤凰仓</v>
      </c>
      <c r="B6309" s="1" t="str">
        <f>"CK2024101810561"</f>
        <v>CK2024101810561</v>
      </c>
      <c r="C6309" s="1" t="str">
        <f>"DD2024101816640"</f>
        <v>DD2024101816640</v>
      </c>
      <c r="D6309" s="1" t="str">
        <f>"CK202410189770"</f>
        <v>CK202410189770</v>
      </c>
      <c r="E6309" s="1" t="str">
        <f>"6935141164957964209"</f>
        <v>6935141164957964209</v>
      </c>
      <c r="F6309" s="1" t="str">
        <f t="shared" si="1937"/>
        <v>花都四部-凤凰仓</v>
      </c>
      <c r="G6309" s="1" t="str">
        <f t="shared" si="1934"/>
        <v>卡卡杜个人护理店（抖店）</v>
      </c>
      <c r="H6309" s="1" t="str">
        <f t="shared" si="1938"/>
        <v>正常订单</v>
      </c>
      <c r="I6309" s="1" t="str">
        <f t="shared" si="1939"/>
        <v>已发货</v>
      </c>
      <c r="J6309" s="1" t="str">
        <f t="shared" si="1940"/>
        <v>3</v>
      </c>
      <c r="K6309" s="1">
        <v>3</v>
      </c>
      <c r="L6309" s="1" t="s">
        <v>92</v>
      </c>
      <c r="M6309" s="1" t="str">
        <f>"辽宁省 沈阳市 和平区 南市场街道"</f>
        <v>辽宁省 沈阳市 和平区 南市场街道</v>
      </c>
      <c r="N6309" s="1" t="str">
        <f t="shared" si="1941"/>
        <v>凡华云仓-韵达-抖音</v>
      </c>
      <c r="O6309" s="5">
        <v>320177478446049</v>
      </c>
      <c r="P6309" s="6">
        <v>0.34</v>
      </c>
      <c r="Q6309" s="11">
        <v>2.2999999999999998</v>
      </c>
      <c r="R6309" s="11"/>
      <c r="S6309" s="11"/>
      <c r="T6309" s="11"/>
      <c r="U6309" s="11">
        <f t="shared" si="1935"/>
        <v>2.2999999999999998</v>
      </c>
      <c r="W6309">
        <v>2.5</v>
      </c>
      <c r="X6309" s="1" t="s">
        <v>92</v>
      </c>
    </row>
    <row r="6310" spans="1:24" x14ac:dyDescent="0.25">
      <c r="A6310" s="1" t="str">
        <f t="shared" si="1936"/>
        <v>卡卡杜-凤凰仓</v>
      </c>
      <c r="B6310" s="1" t="str">
        <f>"CK2024101810662"</f>
        <v>CK2024101810662</v>
      </c>
      <c r="C6310" s="1" t="str">
        <f>"DD2024101816749"</f>
        <v>DD2024101816749</v>
      </c>
      <c r="D6310" s="1" t="str">
        <f>"CK202410189769"</f>
        <v>CK202410189769</v>
      </c>
      <c r="E6310" s="1" t="str">
        <f>"6935165162165179985"</f>
        <v>6935165162165179985</v>
      </c>
      <c r="F6310" s="1" t="str">
        <f t="shared" si="1937"/>
        <v>花都四部-凤凰仓</v>
      </c>
      <c r="G6310" s="1" t="str">
        <f t="shared" si="1934"/>
        <v>卡卡杜个人护理店（抖店）</v>
      </c>
      <c r="H6310" s="1" t="str">
        <f t="shared" si="1938"/>
        <v>正常订单</v>
      </c>
      <c r="I6310" s="1" t="str">
        <f t="shared" si="1939"/>
        <v>已发货</v>
      </c>
      <c r="J6310" s="1" t="str">
        <f t="shared" si="1940"/>
        <v>3</v>
      </c>
      <c r="K6310" s="1">
        <v>3</v>
      </c>
      <c r="L6310" s="1" t="s">
        <v>41</v>
      </c>
      <c r="M6310" s="1" t="str">
        <f>"湖北省 武汉市 硚口区 六角亭街道"</f>
        <v>湖北省 武汉市 硚口区 六角亭街道</v>
      </c>
      <c r="N6310" s="1" t="str">
        <f t="shared" si="1941"/>
        <v>凡华云仓-韵达-抖音</v>
      </c>
      <c r="O6310" s="5">
        <v>320177478445923</v>
      </c>
      <c r="P6310" s="6">
        <v>0.34</v>
      </c>
      <c r="Q6310" s="11">
        <v>2.2999999999999998</v>
      </c>
      <c r="R6310" s="11"/>
      <c r="S6310" s="11"/>
      <c r="T6310" s="11"/>
      <c r="U6310" s="11">
        <f t="shared" si="1935"/>
        <v>2.2999999999999998</v>
      </c>
      <c r="W6310">
        <v>2.5</v>
      </c>
      <c r="X6310" s="1" t="s">
        <v>41</v>
      </c>
    </row>
    <row r="6311" spans="1:24" x14ac:dyDescent="0.25">
      <c r="A6311" s="1" t="str">
        <f t="shared" si="1936"/>
        <v>卡卡杜-凤凰仓</v>
      </c>
      <c r="B6311" s="1" t="str">
        <f>"CK2024101810663"</f>
        <v>CK2024101810663</v>
      </c>
      <c r="C6311" s="1" t="str">
        <f>"DD2024101816750"</f>
        <v>DD2024101816750</v>
      </c>
      <c r="D6311" s="1" t="str">
        <f>"CK202410189768"</f>
        <v>CK202410189768</v>
      </c>
      <c r="E6311" s="1" t="str">
        <f>"6935176593234073570"</f>
        <v>6935176593234073570</v>
      </c>
      <c r="F6311" s="1" t="str">
        <f t="shared" si="1937"/>
        <v>花都四部-凤凰仓</v>
      </c>
      <c r="G6311" s="1" t="str">
        <f t="shared" si="1934"/>
        <v>卡卡杜个人护理店（抖店）</v>
      </c>
      <c r="H6311" s="1" t="str">
        <f t="shared" si="1938"/>
        <v>正常订单</v>
      </c>
      <c r="I6311" s="1" t="str">
        <f t="shared" si="1939"/>
        <v>已发货</v>
      </c>
      <c r="J6311" s="1" t="str">
        <f t="shared" si="1940"/>
        <v>3</v>
      </c>
      <c r="K6311" s="1">
        <v>3</v>
      </c>
      <c r="L6311" s="1" t="s">
        <v>16</v>
      </c>
      <c r="M6311" s="1" t="str">
        <f>"河北省 石家庄市 桥西区 休门街道"</f>
        <v>河北省 石家庄市 桥西区 休门街道</v>
      </c>
      <c r="N6311" s="1" t="str">
        <f t="shared" si="1941"/>
        <v>凡华云仓-韵达-抖音</v>
      </c>
      <c r="O6311" s="5">
        <v>320177478445818</v>
      </c>
      <c r="P6311" s="6">
        <v>0.34</v>
      </c>
      <c r="Q6311" s="11">
        <v>2.2999999999999998</v>
      </c>
      <c r="R6311" s="11"/>
      <c r="S6311" s="11"/>
      <c r="T6311" s="11"/>
      <c r="U6311" s="11">
        <f t="shared" si="1935"/>
        <v>2.2999999999999998</v>
      </c>
      <c r="W6311">
        <v>2.5</v>
      </c>
      <c r="X6311" s="1" t="s">
        <v>16</v>
      </c>
    </row>
    <row r="6312" spans="1:24" x14ac:dyDescent="0.25">
      <c r="A6312" s="1" t="str">
        <f t="shared" si="1936"/>
        <v>卡卡杜-凤凰仓</v>
      </c>
      <c r="B6312" s="1" t="str">
        <f>"CK2024101810560"</f>
        <v>CK2024101810560</v>
      </c>
      <c r="C6312" s="1" t="str">
        <f>"DD2024101816639"</f>
        <v>DD2024101816639</v>
      </c>
      <c r="D6312" s="1" t="str">
        <f>"CK202410189767"</f>
        <v>CK202410189767</v>
      </c>
      <c r="E6312" s="1" t="str">
        <f>"6935167540208998343"</f>
        <v>6935167540208998343</v>
      </c>
      <c r="F6312" s="1" t="str">
        <f t="shared" si="1937"/>
        <v>花都四部-凤凰仓</v>
      </c>
      <c r="G6312" s="1" t="str">
        <f t="shared" si="1934"/>
        <v>卡卡杜个人护理店（抖店）</v>
      </c>
      <c r="H6312" s="1" t="str">
        <f t="shared" si="1938"/>
        <v>正常订单</v>
      </c>
      <c r="I6312" s="1" t="str">
        <f t="shared" si="1939"/>
        <v>已发货</v>
      </c>
      <c r="J6312" s="1" t="str">
        <f t="shared" si="1940"/>
        <v>3</v>
      </c>
      <c r="K6312" s="1">
        <v>3</v>
      </c>
      <c r="L6312" s="1" t="s">
        <v>60</v>
      </c>
      <c r="M6312" s="1" t="str">
        <f>"云南省 昆明市 五华区 龙翔街道"</f>
        <v>云南省 昆明市 五华区 龙翔街道</v>
      </c>
      <c r="N6312" s="1" t="str">
        <f t="shared" si="1941"/>
        <v>凡华云仓-韵达-抖音</v>
      </c>
      <c r="O6312" s="5">
        <v>320177478445715</v>
      </c>
      <c r="P6312" s="6">
        <v>0.34</v>
      </c>
      <c r="Q6312" s="11">
        <v>2.2999999999999998</v>
      </c>
      <c r="R6312" s="11"/>
      <c r="S6312" s="11"/>
      <c r="T6312" s="11"/>
      <c r="U6312" s="11">
        <f t="shared" si="1935"/>
        <v>2.2999999999999998</v>
      </c>
      <c r="W6312">
        <v>2.5</v>
      </c>
      <c r="X6312" s="1" t="s">
        <v>60</v>
      </c>
    </row>
    <row r="6313" spans="1:24" x14ac:dyDescent="0.25">
      <c r="A6313" s="1" t="str">
        <f t="shared" si="1936"/>
        <v>卡卡杜-凤凰仓</v>
      </c>
      <c r="B6313" s="1" t="str">
        <f>"CK2024101810562"</f>
        <v>CK2024101810562</v>
      </c>
      <c r="C6313" s="1" t="str">
        <f>"DD2024101816641"</f>
        <v>DD2024101816641</v>
      </c>
      <c r="D6313" s="1" t="str">
        <f>"CK202410189766"</f>
        <v>CK202410189766</v>
      </c>
      <c r="E6313" s="1" t="str">
        <f>"6935158405368255642"</f>
        <v>6935158405368255642</v>
      </c>
      <c r="F6313" s="1" t="str">
        <f t="shared" si="1937"/>
        <v>花都四部-凤凰仓</v>
      </c>
      <c r="G6313" s="1" t="str">
        <f t="shared" si="1934"/>
        <v>卡卡杜个人护理店（抖店）</v>
      </c>
      <c r="H6313" s="1" t="str">
        <f t="shared" si="1938"/>
        <v>正常订单</v>
      </c>
      <c r="I6313" s="1" t="str">
        <f t="shared" si="1939"/>
        <v>已发货</v>
      </c>
      <c r="J6313" s="1" t="str">
        <f t="shared" si="1940"/>
        <v>3</v>
      </c>
      <c r="K6313" s="1">
        <v>3</v>
      </c>
      <c r="L6313" s="1" t="s">
        <v>80</v>
      </c>
      <c r="M6313" s="1" t="str">
        <f>"河南省 郑州市 管城回族区 明湖街道"</f>
        <v>河南省 郑州市 管城回族区 明湖街道</v>
      </c>
      <c r="N6313" s="1" t="str">
        <f t="shared" si="1941"/>
        <v>凡华云仓-韵达-抖音</v>
      </c>
      <c r="O6313" s="5">
        <v>320177478445614</v>
      </c>
      <c r="P6313" s="6">
        <v>0.34</v>
      </c>
      <c r="Q6313" s="11">
        <v>2.2999999999999998</v>
      </c>
      <c r="R6313" s="11"/>
      <c r="S6313" s="11"/>
      <c r="T6313" s="11"/>
      <c r="U6313" s="11">
        <f t="shared" si="1935"/>
        <v>2.2999999999999998</v>
      </c>
      <c r="W6313">
        <v>2.5</v>
      </c>
      <c r="X6313" s="1" t="s">
        <v>80</v>
      </c>
    </row>
    <row r="6314" spans="1:24" x14ac:dyDescent="0.25">
      <c r="A6314" s="1" t="str">
        <f t="shared" si="1936"/>
        <v>卡卡杜-凤凰仓</v>
      </c>
      <c r="B6314" s="1" t="str">
        <f>"CK2024101810563"</f>
        <v>CK2024101810563</v>
      </c>
      <c r="C6314" s="1" t="str">
        <f>"DD2024101816642"</f>
        <v>DD2024101816642</v>
      </c>
      <c r="D6314" s="1" t="str">
        <f>"CK202410189765"</f>
        <v>CK202410189765</v>
      </c>
      <c r="E6314" s="1" t="str">
        <f>"6935151570654140107"</f>
        <v>6935151570654140107</v>
      </c>
      <c r="F6314" s="1" t="str">
        <f t="shared" si="1937"/>
        <v>花都四部-凤凰仓</v>
      </c>
      <c r="G6314" s="1" t="str">
        <f t="shared" si="1934"/>
        <v>卡卡杜个人护理店（抖店）</v>
      </c>
      <c r="H6314" s="1" t="str">
        <f t="shared" si="1938"/>
        <v>正常订单</v>
      </c>
      <c r="I6314" s="1" t="str">
        <f t="shared" si="1939"/>
        <v>已发货</v>
      </c>
      <c r="J6314" s="1" t="str">
        <f t="shared" si="1940"/>
        <v>3</v>
      </c>
      <c r="K6314" s="1">
        <v>3</v>
      </c>
      <c r="L6314" s="1" t="s">
        <v>36</v>
      </c>
      <c r="M6314" s="1" t="str">
        <f>"安徽省 合肥市 蜀山区 蜀山区城区"</f>
        <v>安徽省 合肥市 蜀山区 蜀山区城区</v>
      </c>
      <c r="N6314" s="1" t="str">
        <f t="shared" si="1941"/>
        <v>凡华云仓-韵达-抖音</v>
      </c>
      <c r="O6314" s="5">
        <v>320177478445515</v>
      </c>
      <c r="P6314" s="6">
        <v>0.34</v>
      </c>
      <c r="Q6314" s="11">
        <v>2.2999999999999998</v>
      </c>
      <c r="R6314" s="11"/>
      <c r="S6314" s="11"/>
      <c r="T6314" s="11"/>
      <c r="U6314" s="11">
        <f t="shared" si="1935"/>
        <v>2.2999999999999998</v>
      </c>
      <c r="W6314">
        <v>2.5</v>
      </c>
      <c r="X6314" s="1" t="s">
        <v>36</v>
      </c>
    </row>
    <row r="6315" spans="1:24" x14ac:dyDescent="0.25">
      <c r="A6315" s="1" t="str">
        <f t="shared" si="1936"/>
        <v>卡卡杜-凤凰仓</v>
      </c>
      <c r="B6315" s="1" t="str">
        <f>"CK2024101810565"</f>
        <v>CK2024101810565</v>
      </c>
      <c r="C6315" s="1" t="str">
        <f>"DD2024101816643"</f>
        <v>DD2024101816643</v>
      </c>
      <c r="D6315" s="1" t="str">
        <f>"CK202410189764"</f>
        <v>CK202410189764</v>
      </c>
      <c r="E6315" s="1" t="str">
        <f>"6935174225480718045"</f>
        <v>6935174225480718045</v>
      </c>
      <c r="F6315" s="1" t="str">
        <f t="shared" si="1937"/>
        <v>花都四部-凤凰仓</v>
      </c>
      <c r="G6315" s="1" t="str">
        <f t="shared" si="1934"/>
        <v>卡卡杜个人护理店（抖店）</v>
      </c>
      <c r="H6315" s="1" t="str">
        <f t="shared" si="1938"/>
        <v>正常订单</v>
      </c>
      <c r="I6315" s="1" t="str">
        <f t="shared" si="1939"/>
        <v>已发货</v>
      </c>
      <c r="J6315" s="1" t="str">
        <f t="shared" si="1940"/>
        <v>3</v>
      </c>
      <c r="K6315" s="1">
        <v>3</v>
      </c>
      <c r="L6315" s="1" t="s">
        <v>187</v>
      </c>
      <c r="M6315" s="1" t="str">
        <f>"吉林省 长春市 宽城区 站前街道"</f>
        <v>吉林省 长春市 宽城区 站前街道</v>
      </c>
      <c r="N6315" s="1" t="str">
        <f t="shared" si="1941"/>
        <v>凡华云仓-韵达-抖音</v>
      </c>
      <c r="O6315" s="5">
        <v>320177478445418</v>
      </c>
      <c r="P6315" s="6">
        <v>0.34</v>
      </c>
      <c r="Q6315" s="11">
        <v>2.2999999999999998</v>
      </c>
      <c r="R6315" s="11"/>
      <c r="S6315" s="11"/>
      <c r="T6315" s="11"/>
      <c r="U6315" s="11">
        <f t="shared" si="1935"/>
        <v>2.2999999999999998</v>
      </c>
      <c r="W6315">
        <v>2.5</v>
      </c>
      <c r="X6315" s="1" t="s">
        <v>187</v>
      </c>
    </row>
    <row r="6316" spans="1:24" x14ac:dyDescent="0.25">
      <c r="A6316" s="1" t="str">
        <f t="shared" si="1936"/>
        <v>卡卡杜-凤凰仓</v>
      </c>
      <c r="B6316" s="1" t="str">
        <f>"CK2024101810564"</f>
        <v>CK2024101810564</v>
      </c>
      <c r="C6316" s="1" t="str">
        <f>"DD2024101816644"</f>
        <v>DD2024101816644</v>
      </c>
      <c r="D6316" s="1" t="str">
        <f>"CK202410189763"</f>
        <v>CK202410189763</v>
      </c>
      <c r="E6316" s="1" t="str">
        <f>"6935169817243817363"</f>
        <v>6935169817243817363</v>
      </c>
      <c r="F6316" s="1" t="str">
        <f t="shared" si="1937"/>
        <v>花都四部-凤凰仓</v>
      </c>
      <c r="G6316" s="1" t="str">
        <f t="shared" si="1934"/>
        <v>卡卡杜个人护理店（抖店）</v>
      </c>
      <c r="H6316" s="1" t="str">
        <f t="shared" si="1938"/>
        <v>正常订单</v>
      </c>
      <c r="I6316" s="1" t="str">
        <f t="shared" si="1939"/>
        <v>已发货</v>
      </c>
      <c r="J6316" s="1" t="str">
        <f t="shared" si="1940"/>
        <v>3</v>
      </c>
      <c r="K6316" s="1">
        <v>3</v>
      </c>
      <c r="L6316" s="1" t="s">
        <v>30</v>
      </c>
      <c r="M6316" s="1" t="str">
        <f>"山东省 济南市 历下区 "</f>
        <v xml:space="preserve">山东省 济南市 历下区 </v>
      </c>
      <c r="N6316" s="1" t="str">
        <f t="shared" si="1941"/>
        <v>凡华云仓-韵达-抖音</v>
      </c>
      <c r="O6316" s="5">
        <v>320177472968834</v>
      </c>
      <c r="P6316" s="6">
        <v>0.34</v>
      </c>
      <c r="Q6316" s="11">
        <v>2.2999999999999998</v>
      </c>
      <c r="R6316" s="11"/>
      <c r="S6316" s="11"/>
      <c r="T6316" s="11"/>
      <c r="U6316" s="11">
        <f t="shared" si="1935"/>
        <v>2.2999999999999998</v>
      </c>
      <c r="W6316">
        <v>2.5</v>
      </c>
      <c r="X6316" s="1" t="s">
        <v>30</v>
      </c>
    </row>
    <row r="6317" spans="1:24" x14ac:dyDescent="0.25">
      <c r="A6317" s="1" t="str">
        <f t="shared" si="1936"/>
        <v>卡卡杜-凤凰仓</v>
      </c>
      <c r="B6317" s="1" t="str">
        <f>"CK2024101810566"</f>
        <v>CK2024101810566</v>
      </c>
      <c r="C6317" s="1" t="str">
        <f>"DD2024101816646"</f>
        <v>DD2024101816646</v>
      </c>
      <c r="D6317" s="1" t="str">
        <f>"CK202410189762"</f>
        <v>CK202410189762</v>
      </c>
      <c r="E6317" s="1" t="str">
        <f>"6935169793705055679"</f>
        <v>6935169793705055679</v>
      </c>
      <c r="F6317" s="1" t="str">
        <f t="shared" si="1937"/>
        <v>花都四部-凤凰仓</v>
      </c>
      <c r="G6317" s="1" t="str">
        <f t="shared" si="1934"/>
        <v>卡卡杜个人护理店（抖店）</v>
      </c>
      <c r="H6317" s="1" t="str">
        <f t="shared" si="1938"/>
        <v>正常订单</v>
      </c>
      <c r="I6317" s="1" t="str">
        <f t="shared" si="1939"/>
        <v>已发货</v>
      </c>
      <c r="J6317" s="1" t="str">
        <f t="shared" si="1940"/>
        <v>3</v>
      </c>
      <c r="K6317" s="1">
        <v>3</v>
      </c>
      <c r="L6317" s="1" t="s">
        <v>96</v>
      </c>
      <c r="M6317" s="1" t="str">
        <f>"广西壮族自治区 玉林市 玉州区 名山街道"</f>
        <v>广西壮族自治区 玉林市 玉州区 名山街道</v>
      </c>
      <c r="N6317" s="1" t="str">
        <f t="shared" si="1941"/>
        <v>凡华云仓-韵达-抖音</v>
      </c>
      <c r="O6317" s="5">
        <v>320177472968731</v>
      </c>
      <c r="P6317" s="6">
        <v>0.34</v>
      </c>
      <c r="Q6317" s="11">
        <v>2.2999999999999998</v>
      </c>
      <c r="R6317" s="11"/>
      <c r="S6317" s="11"/>
      <c r="T6317" s="11"/>
      <c r="U6317" s="11">
        <f t="shared" si="1935"/>
        <v>2.2999999999999998</v>
      </c>
      <c r="W6317">
        <v>2.5</v>
      </c>
      <c r="X6317" s="1" t="s">
        <v>96</v>
      </c>
    </row>
    <row r="6318" spans="1:24" x14ac:dyDescent="0.25">
      <c r="A6318" s="1" t="str">
        <f t="shared" si="1936"/>
        <v>卡卡杜-凤凰仓</v>
      </c>
      <c r="B6318" s="1" t="str">
        <f>"CK2024101810572"</f>
        <v>CK2024101810572</v>
      </c>
      <c r="C6318" s="1" t="str">
        <f>"DD2024101816651"</f>
        <v>DD2024101816651</v>
      </c>
      <c r="D6318" s="1" t="str">
        <f>"CK202410189761"</f>
        <v>CK202410189761</v>
      </c>
      <c r="E6318" s="1" t="str">
        <f>"6935164925457405742"</f>
        <v>6935164925457405742</v>
      </c>
      <c r="F6318" s="1" t="str">
        <f t="shared" si="1937"/>
        <v>花都四部-凤凰仓</v>
      </c>
      <c r="G6318" s="1" t="str">
        <f t="shared" si="1934"/>
        <v>卡卡杜个人护理店（抖店）</v>
      </c>
      <c r="H6318" s="1" t="str">
        <f t="shared" si="1938"/>
        <v>正常订单</v>
      </c>
      <c r="I6318" s="1" t="str">
        <f t="shared" si="1939"/>
        <v>已发货</v>
      </c>
      <c r="J6318" s="1" t="str">
        <f t="shared" si="1940"/>
        <v>3</v>
      </c>
      <c r="K6318" s="1">
        <v>3</v>
      </c>
      <c r="L6318" s="1" t="s">
        <v>30</v>
      </c>
      <c r="M6318" s="1" t="str">
        <f>"山东省 青岛市 黄岛区 胶南街道"</f>
        <v>山东省 青岛市 黄岛区 胶南街道</v>
      </c>
      <c r="N6318" s="1" t="str">
        <f t="shared" si="1941"/>
        <v>凡华云仓-韵达-抖音</v>
      </c>
      <c r="O6318" s="5">
        <v>320177472968630</v>
      </c>
      <c r="P6318" s="6">
        <v>0.34</v>
      </c>
      <c r="Q6318" s="11">
        <v>2.2999999999999998</v>
      </c>
      <c r="R6318" s="11"/>
      <c r="S6318" s="11"/>
      <c r="T6318" s="11"/>
      <c r="U6318" s="11">
        <f t="shared" si="1935"/>
        <v>2.2999999999999998</v>
      </c>
      <c r="W6318">
        <v>2.5</v>
      </c>
      <c r="X6318" s="1" t="s">
        <v>30</v>
      </c>
    </row>
    <row r="6319" spans="1:24" x14ac:dyDescent="0.25">
      <c r="A6319" s="1" t="str">
        <f t="shared" si="1936"/>
        <v>卡卡杜-凤凰仓</v>
      </c>
      <c r="B6319" s="1" t="str">
        <f>"CK2024101810664"</f>
        <v>CK2024101810664</v>
      </c>
      <c r="C6319" s="1" t="str">
        <f>"DD2024101816751"</f>
        <v>DD2024101816751</v>
      </c>
      <c r="D6319" s="1" t="str">
        <f>"CK202410189760"</f>
        <v>CK202410189760</v>
      </c>
      <c r="E6319" s="1" t="str">
        <f>"6935156155148342443"</f>
        <v>6935156155148342443</v>
      </c>
      <c r="F6319" s="1" t="str">
        <f t="shared" si="1937"/>
        <v>花都四部-凤凰仓</v>
      </c>
      <c r="G6319" s="1" t="str">
        <f t="shared" si="1934"/>
        <v>卡卡杜个人护理店（抖店）</v>
      </c>
      <c r="H6319" s="1" t="str">
        <f t="shared" si="1938"/>
        <v>正常订单</v>
      </c>
      <c r="I6319" s="1" t="str">
        <f t="shared" si="1939"/>
        <v>已发货</v>
      </c>
      <c r="J6319" s="1" t="str">
        <f t="shared" si="1940"/>
        <v>3</v>
      </c>
      <c r="K6319" s="1">
        <v>3</v>
      </c>
      <c r="L6319" s="1" t="s">
        <v>30</v>
      </c>
      <c r="M6319" s="1" t="str">
        <f>"山东省 潍坊市 临朐县 东城街道"</f>
        <v>山东省 潍坊市 临朐县 东城街道</v>
      </c>
      <c r="N6319" s="1" t="str">
        <f t="shared" si="1941"/>
        <v>凡华云仓-韵达-抖音</v>
      </c>
      <c r="O6319" s="5">
        <v>320177472968531</v>
      </c>
      <c r="P6319" s="6">
        <v>0.34</v>
      </c>
      <c r="Q6319" s="11">
        <v>2.2999999999999998</v>
      </c>
      <c r="R6319" s="11"/>
      <c r="S6319" s="11"/>
      <c r="T6319" s="11"/>
      <c r="U6319" s="11">
        <f t="shared" si="1935"/>
        <v>2.2999999999999998</v>
      </c>
      <c r="W6319">
        <v>2.5</v>
      </c>
      <c r="X6319" s="1" t="s">
        <v>30</v>
      </c>
    </row>
    <row r="6320" spans="1:24" x14ac:dyDescent="0.25">
      <c r="A6320" s="1" t="str">
        <f t="shared" si="1936"/>
        <v>卡卡杜-凤凰仓</v>
      </c>
      <c r="B6320" s="1" t="str">
        <f>"CK2024101810567"</f>
        <v>CK2024101810567</v>
      </c>
      <c r="C6320" s="1" t="str">
        <f>"DD2024101816645"</f>
        <v>DD2024101816645</v>
      </c>
      <c r="D6320" s="1" t="str">
        <f>"CK202410189759"</f>
        <v>CK202410189759</v>
      </c>
      <c r="E6320" s="1" t="str">
        <f>"6935171933516207260"</f>
        <v>6935171933516207260</v>
      </c>
      <c r="F6320" s="1" t="str">
        <f t="shared" si="1937"/>
        <v>花都四部-凤凰仓</v>
      </c>
      <c r="G6320" s="1" t="str">
        <f t="shared" si="1934"/>
        <v>卡卡杜个人护理店（抖店）</v>
      </c>
      <c r="H6320" s="1" t="str">
        <f t="shared" si="1938"/>
        <v>正常订单</v>
      </c>
      <c r="I6320" s="1" t="str">
        <f t="shared" si="1939"/>
        <v>已发货</v>
      </c>
      <c r="J6320" s="1" t="str">
        <f t="shared" si="1940"/>
        <v>3</v>
      </c>
      <c r="K6320" s="1">
        <v>3</v>
      </c>
      <c r="L6320" s="1" t="s">
        <v>47</v>
      </c>
      <c r="M6320" s="1" t="str">
        <f>"重庆 重庆市 綦江区 文龙街道"</f>
        <v>重庆 重庆市 綦江区 文龙街道</v>
      </c>
      <c r="N6320" s="1" t="str">
        <f t="shared" si="1941"/>
        <v>凡华云仓-韵达-抖音</v>
      </c>
      <c r="O6320" s="5">
        <v>320177472968434</v>
      </c>
      <c r="P6320" s="6">
        <v>0.34</v>
      </c>
      <c r="Q6320" s="11">
        <v>2.2999999999999998</v>
      </c>
      <c r="R6320" s="11"/>
      <c r="S6320" s="11"/>
      <c r="T6320" s="11"/>
      <c r="U6320" s="11">
        <f t="shared" si="1935"/>
        <v>2.2999999999999998</v>
      </c>
      <c r="W6320">
        <v>2.5</v>
      </c>
      <c r="X6320" s="1" t="s">
        <v>47</v>
      </c>
    </row>
    <row r="6321" spans="1:24" x14ac:dyDescent="0.25">
      <c r="A6321" s="1" t="str">
        <f t="shared" si="1936"/>
        <v>卡卡杜-凤凰仓</v>
      </c>
      <c r="B6321" s="1" t="str">
        <f>"CK2024101810569"</f>
        <v>CK2024101810569</v>
      </c>
      <c r="C6321" s="1" t="str">
        <f>"DD2024101816647"</f>
        <v>DD2024101816647</v>
      </c>
      <c r="D6321" s="1" t="str">
        <f>"CK202410189758"</f>
        <v>CK202410189758</v>
      </c>
      <c r="E6321" s="1" t="str">
        <f>"6935160933168321687"</f>
        <v>6935160933168321687</v>
      </c>
      <c r="F6321" s="1" t="str">
        <f t="shared" si="1937"/>
        <v>花都四部-凤凰仓</v>
      </c>
      <c r="G6321" s="1" t="str">
        <f t="shared" si="1934"/>
        <v>卡卡杜个人护理店（抖店）</v>
      </c>
      <c r="H6321" s="1" t="str">
        <f t="shared" si="1938"/>
        <v>正常订单</v>
      </c>
      <c r="I6321" s="1" t="str">
        <f t="shared" si="1939"/>
        <v>已发货</v>
      </c>
      <c r="J6321" s="1" t="str">
        <f t="shared" si="1940"/>
        <v>3</v>
      </c>
      <c r="K6321" s="1">
        <v>3</v>
      </c>
      <c r="L6321" s="1" t="s">
        <v>36</v>
      </c>
      <c r="M6321" s="1" t="str">
        <f>"安徽省 滁州市 琅琊区 丰山街道"</f>
        <v>安徽省 滁州市 琅琊区 丰山街道</v>
      </c>
      <c r="N6321" s="1" t="str">
        <f t="shared" si="1941"/>
        <v>凡华云仓-韵达-抖音</v>
      </c>
      <c r="O6321" s="5">
        <v>320177472968339</v>
      </c>
      <c r="P6321" s="6">
        <v>0.34</v>
      </c>
      <c r="Q6321" s="11">
        <v>2.2999999999999998</v>
      </c>
      <c r="R6321" s="11"/>
      <c r="S6321" s="11"/>
      <c r="T6321" s="11"/>
      <c r="U6321" s="11">
        <f t="shared" si="1935"/>
        <v>2.2999999999999998</v>
      </c>
      <c r="W6321">
        <v>2.5</v>
      </c>
      <c r="X6321" s="1" t="s">
        <v>36</v>
      </c>
    </row>
    <row r="6322" spans="1:24" x14ac:dyDescent="0.25">
      <c r="A6322" s="1" t="str">
        <f t="shared" si="1936"/>
        <v>卡卡杜-凤凰仓</v>
      </c>
      <c r="B6322" s="1" t="str">
        <f>"CK2024101810570"</f>
        <v>CK2024101810570</v>
      </c>
      <c r="C6322" s="1" t="str">
        <f>"DD2024101816648"</f>
        <v>DD2024101816648</v>
      </c>
      <c r="D6322" s="1" t="str">
        <f>"CK202410189757"</f>
        <v>CK202410189757</v>
      </c>
      <c r="E6322" s="1" t="str">
        <f>"6935149969878423164"</f>
        <v>6935149969878423164</v>
      </c>
      <c r="F6322" s="1" t="str">
        <f t="shared" si="1937"/>
        <v>花都四部-凤凰仓</v>
      </c>
      <c r="G6322" s="1" t="str">
        <f t="shared" si="1934"/>
        <v>卡卡杜个人护理店（抖店）</v>
      </c>
      <c r="H6322" s="1" t="str">
        <f t="shared" si="1938"/>
        <v>正常订单</v>
      </c>
      <c r="I6322" s="1" t="str">
        <f t="shared" si="1939"/>
        <v>已发货</v>
      </c>
      <c r="J6322" s="1" t="str">
        <f t="shared" si="1940"/>
        <v>3</v>
      </c>
      <c r="K6322" s="1">
        <v>3</v>
      </c>
      <c r="L6322" s="1" t="s">
        <v>13</v>
      </c>
      <c r="M6322" s="1" t="str">
        <f>"江苏省 扬州市 江都区 邵伯镇"</f>
        <v>江苏省 扬州市 江都区 邵伯镇</v>
      </c>
      <c r="N6322" s="1" t="str">
        <f t="shared" si="1941"/>
        <v>凡华云仓-韵达-抖音</v>
      </c>
      <c r="O6322" s="5">
        <v>320177472968246</v>
      </c>
      <c r="P6322" s="6">
        <v>0.34</v>
      </c>
      <c r="Q6322" s="11">
        <v>2.2999999999999998</v>
      </c>
      <c r="R6322" s="11"/>
      <c r="S6322" s="11"/>
      <c r="T6322" s="11"/>
      <c r="U6322" s="11">
        <f t="shared" si="1935"/>
        <v>2.2999999999999998</v>
      </c>
      <c r="W6322">
        <v>2.5</v>
      </c>
      <c r="X6322" s="1" t="s">
        <v>13</v>
      </c>
    </row>
    <row r="6323" spans="1:24" x14ac:dyDescent="0.25">
      <c r="A6323" s="1" t="str">
        <f t="shared" si="1936"/>
        <v>卡卡杜-凤凰仓</v>
      </c>
      <c r="B6323" s="1" t="str">
        <f>"CK2024101810568"</f>
        <v>CK2024101810568</v>
      </c>
      <c r="C6323" s="1" t="str">
        <f>"DD2024101816649"</f>
        <v>DD2024101816649</v>
      </c>
      <c r="D6323" s="1" t="str">
        <f>"CK202410189756"</f>
        <v>CK202410189756</v>
      </c>
      <c r="E6323" s="1" t="str">
        <f>"6935151523347502528"</f>
        <v>6935151523347502528</v>
      </c>
      <c r="F6323" s="1" t="str">
        <f t="shared" si="1937"/>
        <v>花都四部-凤凰仓</v>
      </c>
      <c r="G6323" s="1" t="str">
        <f t="shared" si="1934"/>
        <v>卡卡杜个人护理店（抖店）</v>
      </c>
      <c r="H6323" s="1" t="str">
        <f t="shared" si="1938"/>
        <v>正常订单</v>
      </c>
      <c r="I6323" s="1" t="str">
        <f t="shared" si="1939"/>
        <v>已发货</v>
      </c>
      <c r="J6323" s="1" t="str">
        <f t="shared" si="1940"/>
        <v>3</v>
      </c>
      <c r="K6323" s="1">
        <v>3</v>
      </c>
      <c r="L6323" s="1" t="s">
        <v>74</v>
      </c>
      <c r="M6323" s="1" t="str">
        <f>"上海 上海市 宝山区 罗店镇"</f>
        <v>上海 上海市 宝山区 罗店镇</v>
      </c>
      <c r="N6323" s="1" t="str">
        <f t="shared" si="1941"/>
        <v>凡华云仓-韵达-抖音</v>
      </c>
      <c r="O6323" s="5">
        <v>320177472968155</v>
      </c>
      <c r="P6323" s="6">
        <v>0.34</v>
      </c>
      <c r="Q6323" s="11">
        <v>2.2999999999999998</v>
      </c>
      <c r="R6323" s="11"/>
      <c r="S6323" s="11"/>
      <c r="T6323" s="11"/>
      <c r="U6323" s="11">
        <f t="shared" si="1935"/>
        <v>2.2999999999999998</v>
      </c>
      <c r="W6323">
        <v>2.5</v>
      </c>
      <c r="X6323" s="1" t="s">
        <v>74</v>
      </c>
    </row>
    <row r="6324" spans="1:24" x14ac:dyDescent="0.25">
      <c r="A6324" s="1" t="str">
        <f t="shared" si="1936"/>
        <v>卡卡杜-凤凰仓</v>
      </c>
      <c r="B6324" s="1" t="str">
        <f>"CK2024101810571"</f>
        <v>CK2024101810571</v>
      </c>
      <c r="C6324" s="1" t="str">
        <f>"DD2024101816650"</f>
        <v>DD2024101816650</v>
      </c>
      <c r="D6324" s="1" t="str">
        <f>"CK202410189755"</f>
        <v>CK202410189755</v>
      </c>
      <c r="E6324" s="1" t="str">
        <f>"6935145418382251771"</f>
        <v>6935145418382251771</v>
      </c>
      <c r="F6324" s="1" t="str">
        <f t="shared" si="1937"/>
        <v>花都四部-凤凰仓</v>
      </c>
      <c r="G6324" s="1" t="str">
        <f t="shared" ref="G6324:G6387" si="1942">"卡卡杜个人护理店（抖店）"</f>
        <v>卡卡杜个人护理店（抖店）</v>
      </c>
      <c r="H6324" s="1" t="str">
        <f t="shared" si="1938"/>
        <v>正常订单</v>
      </c>
      <c r="I6324" s="1" t="str">
        <f t="shared" si="1939"/>
        <v>已发货</v>
      </c>
      <c r="J6324" s="1" t="str">
        <f t="shared" si="1940"/>
        <v>3</v>
      </c>
      <c r="K6324" s="1">
        <v>3</v>
      </c>
      <c r="L6324" s="1" t="s">
        <v>41</v>
      </c>
      <c r="M6324" s="1" t="str">
        <f>"湖北省 武汉市 新洲区 阳逻街道"</f>
        <v>湖北省 武汉市 新洲区 阳逻街道</v>
      </c>
      <c r="N6324" s="1" t="str">
        <f t="shared" si="1941"/>
        <v>凡华云仓-韵达-抖音</v>
      </c>
      <c r="O6324" s="5">
        <v>320177472968066</v>
      </c>
      <c r="P6324" s="6">
        <v>0.34</v>
      </c>
      <c r="Q6324" s="11">
        <v>2.2999999999999998</v>
      </c>
      <c r="R6324" s="11"/>
      <c r="S6324" s="11"/>
      <c r="T6324" s="11"/>
      <c r="U6324" s="11">
        <f t="shared" si="1935"/>
        <v>2.2999999999999998</v>
      </c>
      <c r="W6324">
        <v>2.5</v>
      </c>
      <c r="X6324" s="1" t="s">
        <v>41</v>
      </c>
    </row>
    <row r="6325" spans="1:24" x14ac:dyDescent="0.25">
      <c r="A6325" s="1" t="str">
        <f t="shared" si="1936"/>
        <v>卡卡杜-凤凰仓</v>
      </c>
      <c r="B6325" s="1" t="str">
        <f>"CK2024101810573"</f>
        <v>CK2024101810573</v>
      </c>
      <c r="C6325" s="1" t="str">
        <f>"DD2024101816652"</f>
        <v>DD2024101816652</v>
      </c>
      <c r="D6325" s="1" t="str">
        <f>"CK202410189754"</f>
        <v>CK202410189754</v>
      </c>
      <c r="E6325" s="1" t="str">
        <f>"6935167533358912617"</f>
        <v>6935167533358912617</v>
      </c>
      <c r="F6325" s="1" t="str">
        <f t="shared" si="1937"/>
        <v>花都四部-凤凰仓</v>
      </c>
      <c r="G6325" s="1" t="str">
        <f t="shared" si="1942"/>
        <v>卡卡杜个人护理店（抖店）</v>
      </c>
      <c r="H6325" s="1" t="str">
        <f t="shared" si="1938"/>
        <v>正常订单</v>
      </c>
      <c r="I6325" s="1" t="str">
        <f t="shared" si="1939"/>
        <v>已发货</v>
      </c>
      <c r="J6325" s="1" t="str">
        <f t="shared" si="1940"/>
        <v>3</v>
      </c>
      <c r="K6325" s="1">
        <v>3</v>
      </c>
      <c r="L6325" s="1" t="s">
        <v>36</v>
      </c>
      <c r="M6325" s="1" t="str">
        <f>"安徽省 芜湖市 镜湖区 天门山街道"</f>
        <v>安徽省 芜湖市 镜湖区 天门山街道</v>
      </c>
      <c r="N6325" s="1" t="str">
        <f t="shared" si="1941"/>
        <v>凡华云仓-韵达-抖音</v>
      </c>
      <c r="O6325" s="5">
        <v>320177472967936</v>
      </c>
      <c r="P6325" s="6">
        <v>0.34</v>
      </c>
      <c r="Q6325" s="11">
        <v>2.2999999999999998</v>
      </c>
      <c r="R6325" s="11"/>
      <c r="S6325" s="11"/>
      <c r="T6325" s="11"/>
      <c r="U6325" s="11">
        <f t="shared" si="1935"/>
        <v>2.2999999999999998</v>
      </c>
      <c r="W6325">
        <v>2.5</v>
      </c>
      <c r="X6325" s="1" t="s">
        <v>36</v>
      </c>
    </row>
    <row r="6326" spans="1:24" x14ac:dyDescent="0.25">
      <c r="A6326" s="1" t="str">
        <f t="shared" si="1936"/>
        <v>卡卡杜-凤凰仓</v>
      </c>
      <c r="B6326" s="1" t="str">
        <f>"CK2024101810576"</f>
        <v>CK2024101810576</v>
      </c>
      <c r="C6326" s="1" t="str">
        <f>"DD2024101816653"</f>
        <v>DD2024101816653</v>
      </c>
      <c r="D6326" s="1" t="str">
        <f>"CK202410189753"</f>
        <v>CK202410189753</v>
      </c>
      <c r="E6326" s="1" t="str">
        <f>"6935158430619997743"</f>
        <v>6935158430619997743</v>
      </c>
      <c r="F6326" s="1" t="str">
        <f t="shared" si="1937"/>
        <v>花都四部-凤凰仓</v>
      </c>
      <c r="G6326" s="1" t="str">
        <f t="shared" si="1942"/>
        <v>卡卡杜个人护理店（抖店）</v>
      </c>
      <c r="H6326" s="1" t="str">
        <f t="shared" si="1938"/>
        <v>正常订单</v>
      </c>
      <c r="I6326" s="1" t="str">
        <f t="shared" si="1939"/>
        <v>已发货</v>
      </c>
      <c r="J6326" s="1" t="str">
        <f t="shared" si="1940"/>
        <v>3</v>
      </c>
      <c r="K6326" s="1">
        <v>3</v>
      </c>
      <c r="L6326" s="1" t="s">
        <v>41</v>
      </c>
      <c r="M6326" s="1" t="str">
        <f>"湖北省 孝感市 大悟县 城关镇"</f>
        <v>湖北省 孝感市 大悟县 城关镇</v>
      </c>
      <c r="N6326" s="1" t="str">
        <f t="shared" si="1941"/>
        <v>凡华云仓-韵达-抖音</v>
      </c>
      <c r="O6326" s="5">
        <v>320177476487511</v>
      </c>
      <c r="P6326" s="6">
        <v>0.34</v>
      </c>
      <c r="Q6326" s="11">
        <v>2.2999999999999998</v>
      </c>
      <c r="R6326" s="11"/>
      <c r="S6326" s="11"/>
      <c r="T6326" s="11"/>
      <c r="U6326" s="11">
        <f t="shared" si="1935"/>
        <v>2.2999999999999998</v>
      </c>
      <c r="W6326">
        <v>2.5</v>
      </c>
      <c r="X6326" s="1" t="s">
        <v>41</v>
      </c>
    </row>
    <row r="6327" spans="1:24" x14ac:dyDescent="0.25">
      <c r="A6327" s="1" t="str">
        <f t="shared" si="1936"/>
        <v>卡卡杜-凤凰仓</v>
      </c>
      <c r="B6327" s="1" t="str">
        <f>"CK2024101810575"</f>
        <v>CK2024101810575</v>
      </c>
      <c r="C6327" s="1" t="str">
        <f>"DD2024101816654"</f>
        <v>DD2024101816654</v>
      </c>
      <c r="D6327" s="1" t="str">
        <f>"CK202410189752"</f>
        <v>CK202410189752</v>
      </c>
      <c r="E6327" s="1" t="str">
        <f>"6935156169691436153"</f>
        <v>6935156169691436153</v>
      </c>
      <c r="F6327" s="1" t="str">
        <f t="shared" si="1937"/>
        <v>花都四部-凤凰仓</v>
      </c>
      <c r="G6327" s="1" t="str">
        <f t="shared" si="1942"/>
        <v>卡卡杜个人护理店（抖店）</v>
      </c>
      <c r="H6327" s="1" t="str">
        <f t="shared" si="1938"/>
        <v>正常订单</v>
      </c>
      <c r="I6327" s="1" t="str">
        <f t="shared" si="1939"/>
        <v>已发货</v>
      </c>
      <c r="J6327" s="1" t="str">
        <f t="shared" si="1940"/>
        <v>3</v>
      </c>
      <c r="K6327" s="1">
        <v>3</v>
      </c>
      <c r="L6327" s="1" t="s">
        <v>161</v>
      </c>
      <c r="M6327" s="1" t="str">
        <f>"四川省 泸州市 泸县 玉蟾街道"</f>
        <v>四川省 泸州市 泸县 玉蟾街道</v>
      </c>
      <c r="N6327" s="1" t="str">
        <f t="shared" si="1941"/>
        <v>凡华云仓-韵达-抖音</v>
      </c>
      <c r="O6327" s="5">
        <v>320177476487414</v>
      </c>
      <c r="P6327" s="6">
        <v>0.34</v>
      </c>
      <c r="Q6327" s="11">
        <v>2.2999999999999998</v>
      </c>
      <c r="R6327" s="11"/>
      <c r="S6327" s="11"/>
      <c r="T6327" s="11"/>
      <c r="U6327" s="11">
        <f t="shared" si="1935"/>
        <v>2.2999999999999998</v>
      </c>
      <c r="W6327">
        <v>2.5</v>
      </c>
      <c r="X6327" s="1" t="s">
        <v>161</v>
      </c>
    </row>
    <row r="6328" spans="1:24" x14ac:dyDescent="0.25">
      <c r="A6328" s="1" t="str">
        <f t="shared" si="1936"/>
        <v>卡卡杜-凤凰仓</v>
      </c>
      <c r="B6328" s="1" t="str">
        <f>"CK2024101810577"</f>
        <v>CK2024101810577</v>
      </c>
      <c r="C6328" s="1" t="str">
        <f>"DD2024101816656"</f>
        <v>DD2024101816656</v>
      </c>
      <c r="D6328" s="1" t="str">
        <f>"CK202410189751"</f>
        <v>CK202410189751</v>
      </c>
      <c r="E6328" s="1" t="str">
        <f>"6935167496350406610"</f>
        <v>6935167496350406610</v>
      </c>
      <c r="F6328" s="1" t="str">
        <f t="shared" si="1937"/>
        <v>花都四部-凤凰仓</v>
      </c>
      <c r="G6328" s="1" t="str">
        <f t="shared" si="1942"/>
        <v>卡卡杜个人护理店（抖店）</v>
      </c>
      <c r="H6328" s="1" t="str">
        <f t="shared" si="1938"/>
        <v>正常订单</v>
      </c>
      <c r="I6328" s="1" t="str">
        <f t="shared" si="1939"/>
        <v>已发货</v>
      </c>
      <c r="J6328" s="1" t="str">
        <f t="shared" si="1940"/>
        <v>3</v>
      </c>
      <c r="K6328" s="1">
        <v>3</v>
      </c>
      <c r="L6328" s="1" t="s">
        <v>218</v>
      </c>
      <c r="M6328" s="1" t="str">
        <f>"天津 天津市 滨海新区 大港街道"</f>
        <v>天津 天津市 滨海新区 大港街道</v>
      </c>
      <c r="N6328" s="1" t="str">
        <f t="shared" si="1941"/>
        <v>凡华云仓-韵达-抖音</v>
      </c>
      <c r="O6328" s="5">
        <v>320177476487319</v>
      </c>
      <c r="P6328" s="6">
        <v>0.34</v>
      </c>
      <c r="Q6328" s="11">
        <v>2.2999999999999998</v>
      </c>
      <c r="R6328" s="11"/>
      <c r="S6328" s="11"/>
      <c r="T6328" s="11"/>
      <c r="U6328" s="11">
        <f t="shared" si="1935"/>
        <v>2.2999999999999998</v>
      </c>
      <c r="W6328">
        <v>2.5</v>
      </c>
      <c r="X6328" s="1" t="s">
        <v>218</v>
      </c>
    </row>
    <row r="6329" spans="1:24" x14ac:dyDescent="0.25">
      <c r="A6329" s="1" t="str">
        <f t="shared" si="1936"/>
        <v>卡卡杜-凤凰仓</v>
      </c>
      <c r="B6329" s="1" t="str">
        <f>"CK2024101810578"</f>
        <v>CK2024101810578</v>
      </c>
      <c r="C6329" s="1" t="str">
        <f>"DD2024101816657"</f>
        <v>DD2024101816657</v>
      </c>
      <c r="D6329" s="1" t="str">
        <f>"CK202410189750"</f>
        <v>CK202410189750</v>
      </c>
      <c r="E6329" s="1" t="str">
        <f>"6935165165089854556"</f>
        <v>6935165165089854556</v>
      </c>
      <c r="F6329" s="1" t="str">
        <f t="shared" si="1937"/>
        <v>花都四部-凤凰仓</v>
      </c>
      <c r="G6329" s="1" t="str">
        <f t="shared" si="1942"/>
        <v>卡卡杜个人护理店（抖店）</v>
      </c>
      <c r="H6329" s="1" t="str">
        <f t="shared" si="1938"/>
        <v>正常订单</v>
      </c>
      <c r="I6329" s="1" t="str">
        <f t="shared" si="1939"/>
        <v>已发货</v>
      </c>
      <c r="J6329" s="1" t="str">
        <f t="shared" si="1940"/>
        <v>3</v>
      </c>
      <c r="K6329" s="1">
        <v>3</v>
      </c>
      <c r="L6329" s="1" t="s">
        <v>13</v>
      </c>
      <c r="M6329" s="1" t="str">
        <f>"江苏省 无锡市 滨湖区 蠡园街道"</f>
        <v>江苏省 无锡市 滨湖区 蠡园街道</v>
      </c>
      <c r="N6329" s="1" t="str">
        <f t="shared" si="1941"/>
        <v>凡华云仓-韵达-抖音</v>
      </c>
      <c r="O6329" s="5">
        <v>320177476487226</v>
      </c>
      <c r="P6329" s="6">
        <v>0.34</v>
      </c>
      <c r="Q6329" s="11">
        <v>2.2999999999999998</v>
      </c>
      <c r="R6329" s="11"/>
      <c r="S6329" s="11"/>
      <c r="T6329" s="11"/>
      <c r="U6329" s="11">
        <f t="shared" si="1935"/>
        <v>2.2999999999999998</v>
      </c>
      <c r="W6329">
        <v>2.5</v>
      </c>
      <c r="X6329" s="1" t="s">
        <v>13</v>
      </c>
    </row>
    <row r="6330" spans="1:24" x14ac:dyDescent="0.25">
      <c r="A6330" s="1" t="str">
        <f t="shared" si="1936"/>
        <v>卡卡杜-凤凰仓</v>
      </c>
      <c r="B6330" s="1" t="str">
        <f>"CK2024101810580"</f>
        <v>CK2024101810580</v>
      </c>
      <c r="C6330" s="1" t="str">
        <f>"DD2024101816659"</f>
        <v>DD2024101816659</v>
      </c>
      <c r="D6330" s="1" t="str">
        <f>"CK202410189749"</f>
        <v>CK202410189749</v>
      </c>
      <c r="E6330" s="1" t="str">
        <f>"6935160847279920741"</f>
        <v>6935160847279920741</v>
      </c>
      <c r="F6330" s="1" t="str">
        <f t="shared" si="1937"/>
        <v>花都四部-凤凰仓</v>
      </c>
      <c r="G6330" s="1" t="str">
        <f t="shared" si="1942"/>
        <v>卡卡杜个人护理店（抖店）</v>
      </c>
      <c r="H6330" s="1" t="str">
        <f t="shared" si="1938"/>
        <v>正常订单</v>
      </c>
      <c r="I6330" s="1" t="str">
        <f t="shared" si="1939"/>
        <v>已发货</v>
      </c>
      <c r="J6330" s="1" t="str">
        <f t="shared" si="1940"/>
        <v>3</v>
      </c>
      <c r="K6330" s="1">
        <v>3</v>
      </c>
      <c r="L6330" s="1" t="s">
        <v>18</v>
      </c>
      <c r="M6330" s="1" t="str">
        <f>"广东省 惠州市 惠阳区 澳头街道"</f>
        <v>广东省 惠州市 惠阳区 澳头街道</v>
      </c>
      <c r="N6330" s="1" t="str">
        <f t="shared" si="1941"/>
        <v>凡华云仓-韵达-抖音</v>
      </c>
      <c r="O6330" s="5">
        <v>320177476487135</v>
      </c>
      <c r="P6330" s="6">
        <v>0.34</v>
      </c>
      <c r="Q6330" s="11">
        <v>2.2999999999999998</v>
      </c>
      <c r="R6330" s="11"/>
      <c r="S6330" s="11"/>
      <c r="T6330" s="11"/>
      <c r="U6330" s="11">
        <f t="shared" si="1935"/>
        <v>2.2999999999999998</v>
      </c>
      <c r="W6330">
        <v>2.5</v>
      </c>
      <c r="X6330" s="1" t="s">
        <v>18</v>
      </c>
    </row>
    <row r="6331" spans="1:24" x14ac:dyDescent="0.25">
      <c r="A6331" s="1" t="str">
        <f t="shared" si="1936"/>
        <v>卡卡杜-凤凰仓</v>
      </c>
      <c r="B6331" s="1" t="str">
        <f>"CK2024101810582"</f>
        <v>CK2024101810582</v>
      </c>
      <c r="C6331" s="1" t="str">
        <f>"DD2024101816660"</f>
        <v>DD2024101816660</v>
      </c>
      <c r="D6331" s="1" t="str">
        <f>"CK202410189748"</f>
        <v>CK202410189748</v>
      </c>
      <c r="E6331" s="1" t="str">
        <f>"6935145334299432154"</f>
        <v>6935145334299432154</v>
      </c>
      <c r="F6331" s="1" t="str">
        <f t="shared" si="1937"/>
        <v>花都四部-凤凰仓</v>
      </c>
      <c r="G6331" s="1" t="str">
        <f t="shared" si="1942"/>
        <v>卡卡杜个人护理店（抖店）</v>
      </c>
      <c r="H6331" s="1" t="str">
        <f t="shared" si="1938"/>
        <v>正常订单</v>
      </c>
      <c r="I6331" s="1" t="str">
        <f t="shared" si="1939"/>
        <v>已发货</v>
      </c>
      <c r="J6331" s="1" t="str">
        <f t="shared" si="1940"/>
        <v>3</v>
      </c>
      <c r="K6331" s="1">
        <v>3</v>
      </c>
      <c r="L6331" s="1" t="s">
        <v>16</v>
      </c>
      <c r="M6331" s="1" t="str">
        <f>"河北省 衡水市 桃城区 "</f>
        <v xml:space="preserve">河北省 衡水市 桃城区 </v>
      </c>
      <c r="N6331" s="1" t="str">
        <f t="shared" si="1941"/>
        <v>凡华云仓-韵达-抖音</v>
      </c>
      <c r="O6331" s="5">
        <v>320177476487046</v>
      </c>
      <c r="P6331" s="6">
        <v>0.34</v>
      </c>
      <c r="Q6331" s="11">
        <v>2.2999999999999998</v>
      </c>
      <c r="R6331" s="11"/>
      <c r="S6331" s="11"/>
      <c r="T6331" s="11"/>
      <c r="U6331" s="11">
        <f t="shared" si="1935"/>
        <v>2.2999999999999998</v>
      </c>
      <c r="W6331">
        <v>2.5</v>
      </c>
      <c r="X6331" s="1" t="s">
        <v>16</v>
      </c>
    </row>
    <row r="6332" spans="1:24" x14ac:dyDescent="0.25">
      <c r="A6332" s="1" t="str">
        <f t="shared" si="1936"/>
        <v>卡卡杜-凤凰仓</v>
      </c>
      <c r="B6332" s="1" t="str">
        <f>"CK2024101810586"</f>
        <v>CK2024101810586</v>
      </c>
      <c r="C6332" s="1" t="str">
        <f>"DD2024101816665"</f>
        <v>DD2024101816665</v>
      </c>
      <c r="D6332" s="1" t="str">
        <f>"CK202410189747"</f>
        <v>CK202410189747</v>
      </c>
      <c r="E6332" s="1" t="str">
        <f>"6935134057689519376"</f>
        <v>6935134057689519376</v>
      </c>
      <c r="F6332" s="1" t="str">
        <f t="shared" si="1937"/>
        <v>花都四部-凤凰仓</v>
      </c>
      <c r="G6332" s="1" t="str">
        <f t="shared" si="1942"/>
        <v>卡卡杜个人护理店（抖店）</v>
      </c>
      <c r="H6332" s="1" t="str">
        <f t="shared" si="1938"/>
        <v>正常订单</v>
      </c>
      <c r="I6332" s="1" t="str">
        <f t="shared" si="1939"/>
        <v>已发货</v>
      </c>
      <c r="J6332" s="1" t="str">
        <f t="shared" si="1940"/>
        <v>3</v>
      </c>
      <c r="K6332" s="1">
        <v>3</v>
      </c>
      <c r="L6332" s="1" t="s">
        <v>24</v>
      </c>
      <c r="M6332" s="1" t="str">
        <f>"福建省 漳州市 龙海区 "</f>
        <v xml:space="preserve">福建省 漳州市 龙海区 </v>
      </c>
      <c r="N6332" s="1" t="str">
        <f t="shared" si="1941"/>
        <v>凡华云仓-韵达-抖音</v>
      </c>
      <c r="O6332" s="5">
        <v>320177476486918</v>
      </c>
      <c r="P6332" s="6">
        <v>0.34</v>
      </c>
      <c r="Q6332" s="11">
        <v>2.2999999999999998</v>
      </c>
      <c r="R6332" s="11"/>
      <c r="S6332" s="11"/>
      <c r="T6332" s="11"/>
      <c r="U6332" s="11">
        <f t="shared" si="1935"/>
        <v>2.2999999999999998</v>
      </c>
      <c r="W6332">
        <v>2.5</v>
      </c>
      <c r="X6332" s="1" t="s">
        <v>24</v>
      </c>
    </row>
    <row r="6333" spans="1:24" x14ac:dyDescent="0.25">
      <c r="A6333" s="1" t="str">
        <f t="shared" si="1936"/>
        <v>卡卡杜-凤凰仓</v>
      </c>
      <c r="B6333" s="1" t="str">
        <f>"CK2024101810665"</f>
        <v>CK2024101810665</v>
      </c>
      <c r="C6333" s="1" t="str">
        <f>"DD2024101816748"</f>
        <v>DD2024101816748</v>
      </c>
      <c r="D6333" s="1" t="str">
        <f>"CK202410189746"</f>
        <v>CK202410189746</v>
      </c>
      <c r="E6333" s="1" t="str">
        <f>"6935140981242009384"</f>
        <v>6935140981242009384</v>
      </c>
      <c r="F6333" s="1" t="str">
        <f t="shared" si="1937"/>
        <v>花都四部-凤凰仓</v>
      </c>
      <c r="G6333" s="1" t="str">
        <f t="shared" si="1942"/>
        <v>卡卡杜个人护理店（抖店）</v>
      </c>
      <c r="H6333" s="1" t="str">
        <f t="shared" si="1938"/>
        <v>正常订单</v>
      </c>
      <c r="I6333" s="1" t="str">
        <f t="shared" si="1939"/>
        <v>已发货</v>
      </c>
      <c r="J6333" s="1" t="str">
        <f t="shared" si="1940"/>
        <v>3</v>
      </c>
      <c r="K6333" s="1">
        <v>3</v>
      </c>
      <c r="L6333" s="1" t="s">
        <v>13</v>
      </c>
      <c r="M6333" s="1" t="str">
        <f>"江苏省 苏州市 昆山市 花桥镇"</f>
        <v>江苏省 苏州市 昆山市 花桥镇</v>
      </c>
      <c r="N6333" s="1" t="str">
        <f t="shared" si="1941"/>
        <v>凡华云仓-韵达-抖音</v>
      </c>
      <c r="O6333" s="5">
        <v>320177476486813</v>
      </c>
      <c r="P6333" s="6">
        <v>0.34</v>
      </c>
      <c r="Q6333" s="11">
        <v>2.2999999999999998</v>
      </c>
      <c r="R6333" s="11"/>
      <c r="S6333" s="11"/>
      <c r="T6333" s="11"/>
      <c r="U6333" s="11">
        <f t="shared" si="1935"/>
        <v>2.2999999999999998</v>
      </c>
      <c r="W6333">
        <v>2.5</v>
      </c>
      <c r="X6333" s="1" t="s">
        <v>13</v>
      </c>
    </row>
    <row r="6334" spans="1:24" x14ac:dyDescent="0.25">
      <c r="A6334" s="1" t="str">
        <f t="shared" si="1936"/>
        <v>卡卡杜-凤凰仓</v>
      </c>
      <c r="B6334" s="1" t="str">
        <f>"CK2024101810574"</f>
        <v>CK2024101810574</v>
      </c>
      <c r="C6334" s="1" t="str">
        <f>"DD2024101816655"</f>
        <v>DD2024101816655</v>
      </c>
      <c r="D6334" s="1" t="str">
        <f>"CK202410189745"</f>
        <v>CK202410189745</v>
      </c>
      <c r="E6334" s="1" t="str">
        <f>"6935167579430262190"</f>
        <v>6935167579430262190</v>
      </c>
      <c r="F6334" s="1" t="str">
        <f t="shared" si="1937"/>
        <v>花都四部-凤凰仓</v>
      </c>
      <c r="G6334" s="1" t="str">
        <f t="shared" si="1942"/>
        <v>卡卡杜个人护理店（抖店）</v>
      </c>
      <c r="H6334" s="1" t="str">
        <f t="shared" si="1938"/>
        <v>正常订单</v>
      </c>
      <c r="I6334" s="1" t="str">
        <f t="shared" si="1939"/>
        <v>已发货</v>
      </c>
      <c r="J6334" s="1" t="str">
        <f t="shared" si="1940"/>
        <v>3</v>
      </c>
      <c r="K6334" s="1">
        <v>3</v>
      </c>
      <c r="L6334" s="1" t="s">
        <v>22</v>
      </c>
      <c r="M6334" s="1" t="str">
        <f>"江西省 景德镇市 乐平市 接渡镇"</f>
        <v>江西省 景德镇市 乐平市 接渡镇</v>
      </c>
      <c r="N6334" s="1" t="str">
        <f t="shared" si="1941"/>
        <v>凡华云仓-韵达-抖音</v>
      </c>
      <c r="O6334" s="5">
        <v>320177476486710</v>
      </c>
      <c r="P6334" s="6">
        <v>0.34</v>
      </c>
      <c r="Q6334" s="11">
        <v>2.2999999999999998</v>
      </c>
      <c r="R6334" s="11"/>
      <c r="S6334" s="11"/>
      <c r="T6334" s="11"/>
      <c r="U6334" s="11">
        <f t="shared" si="1935"/>
        <v>2.2999999999999998</v>
      </c>
      <c r="W6334">
        <v>2.5</v>
      </c>
      <c r="X6334" s="1" t="s">
        <v>22</v>
      </c>
    </row>
    <row r="6335" spans="1:24" x14ac:dyDescent="0.25">
      <c r="A6335" s="1" t="str">
        <f t="shared" si="1936"/>
        <v>卡卡杜-凤凰仓</v>
      </c>
      <c r="B6335" s="1" t="str">
        <f>"CK2024101810579"</f>
        <v>CK2024101810579</v>
      </c>
      <c r="C6335" s="1" t="str">
        <f>"DD2024101816658"</f>
        <v>DD2024101816658</v>
      </c>
      <c r="D6335" s="1" t="str">
        <f>"CK202410189744"</f>
        <v>CK202410189744</v>
      </c>
      <c r="E6335" s="1" t="str">
        <f>"6935160927519577477"</f>
        <v>6935160927519577477</v>
      </c>
      <c r="F6335" s="1" t="str">
        <f t="shared" si="1937"/>
        <v>花都四部-凤凰仓</v>
      </c>
      <c r="G6335" s="1" t="str">
        <f t="shared" si="1942"/>
        <v>卡卡杜个人护理店（抖店）</v>
      </c>
      <c r="H6335" s="1" t="str">
        <f t="shared" si="1938"/>
        <v>正常订单</v>
      </c>
      <c r="I6335" s="1" t="str">
        <f t="shared" si="1939"/>
        <v>已发货</v>
      </c>
      <c r="J6335" s="1" t="str">
        <f t="shared" si="1940"/>
        <v>3</v>
      </c>
      <c r="K6335" s="1">
        <v>3</v>
      </c>
      <c r="L6335" s="1" t="s">
        <v>22</v>
      </c>
      <c r="M6335" s="1" t="str">
        <f>"江西省 吉安市 泰和县 澄江镇"</f>
        <v>江西省 吉安市 泰和县 澄江镇</v>
      </c>
      <c r="N6335" s="1" t="str">
        <f t="shared" si="1941"/>
        <v>凡华云仓-韵达-抖音</v>
      </c>
      <c r="O6335" s="5">
        <v>320177476486609</v>
      </c>
      <c r="P6335" s="6">
        <v>0.34</v>
      </c>
      <c r="Q6335" s="11">
        <v>2.2999999999999998</v>
      </c>
      <c r="R6335" s="11"/>
      <c r="S6335" s="11"/>
      <c r="T6335" s="11"/>
      <c r="U6335" s="11">
        <f t="shared" si="1935"/>
        <v>2.2999999999999998</v>
      </c>
      <c r="W6335">
        <v>2.5</v>
      </c>
      <c r="X6335" s="1" t="s">
        <v>22</v>
      </c>
    </row>
    <row r="6336" spans="1:24" x14ac:dyDescent="0.25">
      <c r="A6336" s="1" t="str">
        <f t="shared" si="1936"/>
        <v>卡卡杜-凤凰仓</v>
      </c>
      <c r="B6336" s="1" t="str">
        <f>"CK2024101810583"</f>
        <v>CK2024101810583</v>
      </c>
      <c r="C6336" s="1" t="str">
        <f>"DD2024101816661"</f>
        <v>DD2024101816661</v>
      </c>
      <c r="D6336" s="1" t="str">
        <f>"CK202410189743"</f>
        <v>CK202410189743</v>
      </c>
      <c r="E6336" s="1" t="str">
        <f>"6935134033452340286"</f>
        <v>6935134033452340286</v>
      </c>
      <c r="F6336" s="1" t="str">
        <f t="shared" si="1937"/>
        <v>花都四部-凤凰仓</v>
      </c>
      <c r="G6336" s="1" t="str">
        <f t="shared" si="1942"/>
        <v>卡卡杜个人护理店（抖店）</v>
      </c>
      <c r="H6336" s="1" t="str">
        <f t="shared" si="1938"/>
        <v>正常订单</v>
      </c>
      <c r="I6336" s="1" t="str">
        <f t="shared" si="1939"/>
        <v>已发货</v>
      </c>
      <c r="J6336" s="1" t="str">
        <f t="shared" si="1940"/>
        <v>3</v>
      </c>
      <c r="K6336" s="1">
        <v>3</v>
      </c>
      <c r="L6336" s="1" t="s">
        <v>30</v>
      </c>
      <c r="M6336" s="1" t="str">
        <f>"山东省 临沂市 平邑县 平邑街道"</f>
        <v>山东省 临沂市 平邑县 平邑街道</v>
      </c>
      <c r="N6336" s="1" t="str">
        <f t="shared" si="1941"/>
        <v>凡华云仓-韵达-抖音</v>
      </c>
      <c r="O6336" s="5">
        <v>320177489002910</v>
      </c>
      <c r="P6336" s="6">
        <v>0.34</v>
      </c>
      <c r="Q6336" s="11">
        <v>2.2999999999999998</v>
      </c>
      <c r="R6336" s="11"/>
      <c r="S6336" s="11"/>
      <c r="T6336" s="11"/>
      <c r="U6336" s="11">
        <f t="shared" si="1935"/>
        <v>2.2999999999999998</v>
      </c>
      <c r="W6336">
        <v>2.5</v>
      </c>
      <c r="X6336" s="1" t="s">
        <v>30</v>
      </c>
    </row>
    <row r="6337" spans="1:24" x14ac:dyDescent="0.25">
      <c r="A6337" s="1" t="str">
        <f t="shared" si="1936"/>
        <v>卡卡杜-凤凰仓</v>
      </c>
      <c r="B6337" s="1" t="str">
        <f>"CK2024101810581"</f>
        <v>CK2024101810581</v>
      </c>
      <c r="C6337" s="1" t="str">
        <f>"DD2024101816662"</f>
        <v>DD2024101816662</v>
      </c>
      <c r="D6337" s="1" t="str">
        <f>"CK202410189742"</f>
        <v>CK202410189742</v>
      </c>
      <c r="E6337" s="1" t="str">
        <f>"6935169870666405273"</f>
        <v>6935169870666405273</v>
      </c>
      <c r="F6337" s="1" t="str">
        <f t="shared" si="1937"/>
        <v>花都四部-凤凰仓</v>
      </c>
      <c r="G6337" s="1" t="str">
        <f t="shared" si="1942"/>
        <v>卡卡杜个人护理店（抖店）</v>
      </c>
      <c r="H6337" s="1" t="str">
        <f t="shared" si="1938"/>
        <v>正常订单</v>
      </c>
      <c r="I6337" s="1" t="str">
        <f t="shared" si="1939"/>
        <v>已发货</v>
      </c>
      <c r="J6337" s="1" t="str">
        <f t="shared" si="1940"/>
        <v>3</v>
      </c>
      <c r="K6337" s="1">
        <v>3</v>
      </c>
      <c r="L6337" s="1" t="s">
        <v>16</v>
      </c>
      <c r="M6337" s="1" t="str">
        <f>"河北省 廊坊市 固安县 固安镇"</f>
        <v>河北省 廊坊市 固安县 固安镇</v>
      </c>
      <c r="N6337" s="1" t="str">
        <f t="shared" si="1941"/>
        <v>凡华云仓-韵达-抖音</v>
      </c>
      <c r="O6337" s="5">
        <v>320177489002805</v>
      </c>
      <c r="P6337" s="6">
        <v>0.34</v>
      </c>
      <c r="Q6337" s="11">
        <v>2.2999999999999998</v>
      </c>
      <c r="R6337" s="11"/>
      <c r="S6337" s="11"/>
      <c r="T6337" s="11"/>
      <c r="U6337" s="11">
        <f t="shared" si="1935"/>
        <v>2.2999999999999998</v>
      </c>
      <c r="W6337">
        <v>2.5</v>
      </c>
      <c r="X6337" s="1" t="s">
        <v>16</v>
      </c>
    </row>
    <row r="6338" spans="1:24" x14ac:dyDescent="0.25">
      <c r="A6338" s="1" t="str">
        <f t="shared" si="1936"/>
        <v>卡卡杜-凤凰仓</v>
      </c>
      <c r="B6338" s="1" t="str">
        <f>"CK2024101810584"</f>
        <v>CK2024101810584</v>
      </c>
      <c r="C6338" s="1" t="str">
        <f>"DD2024101816663"</f>
        <v>DD2024101816663</v>
      </c>
      <c r="D6338" s="1" t="str">
        <f>"CK202410189741"</f>
        <v>CK202410189741</v>
      </c>
      <c r="E6338" s="1" t="str">
        <f>"6935145349044245922"</f>
        <v>6935145349044245922</v>
      </c>
      <c r="F6338" s="1" t="str">
        <f t="shared" si="1937"/>
        <v>花都四部-凤凰仓</v>
      </c>
      <c r="G6338" s="1" t="str">
        <f t="shared" si="1942"/>
        <v>卡卡杜个人护理店（抖店）</v>
      </c>
      <c r="H6338" s="1" t="str">
        <f t="shared" si="1938"/>
        <v>正常订单</v>
      </c>
      <c r="I6338" s="1" t="str">
        <f t="shared" si="1939"/>
        <v>已发货</v>
      </c>
      <c r="J6338" s="1" t="str">
        <f t="shared" si="1940"/>
        <v>3</v>
      </c>
      <c r="K6338" s="1">
        <v>3</v>
      </c>
      <c r="L6338" s="1" t="s">
        <v>218</v>
      </c>
      <c r="M6338" s="1" t="str">
        <f>"天津 天津市 武清区 东蒲洼街道"</f>
        <v>天津 天津市 武清区 东蒲洼街道</v>
      </c>
      <c r="N6338" s="1" t="str">
        <f t="shared" si="1941"/>
        <v>凡华云仓-韵达-抖音</v>
      </c>
      <c r="O6338" s="5">
        <v>320177489002702</v>
      </c>
      <c r="P6338" s="6">
        <v>0.34</v>
      </c>
      <c r="Q6338" s="11">
        <v>2.2999999999999998</v>
      </c>
      <c r="R6338" s="11"/>
      <c r="S6338" s="11"/>
      <c r="T6338" s="11"/>
      <c r="U6338" s="11">
        <f t="shared" si="1935"/>
        <v>2.2999999999999998</v>
      </c>
      <c r="W6338">
        <v>2.5</v>
      </c>
      <c r="X6338" s="1" t="s">
        <v>218</v>
      </c>
    </row>
    <row r="6339" spans="1:24" x14ac:dyDescent="0.25">
      <c r="A6339" s="1" t="str">
        <f t="shared" si="1936"/>
        <v>卡卡杜-凤凰仓</v>
      </c>
      <c r="B6339" s="1" t="str">
        <f>"CK2024101810585"</f>
        <v>CK2024101810585</v>
      </c>
      <c r="C6339" s="1" t="str">
        <f>"DD2024101816664"</f>
        <v>DD2024101816664</v>
      </c>
      <c r="D6339" s="1" t="str">
        <f>"CK202410189740"</f>
        <v>CK202410189740</v>
      </c>
      <c r="E6339" s="1" t="str">
        <f>"6935176593896445817"</f>
        <v>6935176593896445817</v>
      </c>
      <c r="F6339" s="1" t="str">
        <f t="shared" si="1937"/>
        <v>花都四部-凤凰仓</v>
      </c>
      <c r="G6339" s="1" t="str">
        <f t="shared" si="1942"/>
        <v>卡卡杜个人护理店（抖店）</v>
      </c>
      <c r="H6339" s="1" t="str">
        <f t="shared" si="1938"/>
        <v>正常订单</v>
      </c>
      <c r="I6339" s="1" t="str">
        <f t="shared" si="1939"/>
        <v>已发货</v>
      </c>
      <c r="J6339" s="1" t="str">
        <f t="shared" si="1940"/>
        <v>3</v>
      </c>
      <c r="K6339" s="1">
        <v>3</v>
      </c>
      <c r="L6339" s="1" t="s">
        <v>80</v>
      </c>
      <c r="M6339" s="1" t="str">
        <f>"河南省 南阳市 唐河县 文峰街道"</f>
        <v>河南省 南阳市 唐河县 文峰街道</v>
      </c>
      <c r="N6339" s="1" t="str">
        <f t="shared" si="1941"/>
        <v>凡华云仓-韵达-抖音</v>
      </c>
      <c r="O6339" s="5">
        <v>320177489002601</v>
      </c>
      <c r="P6339" s="6">
        <v>0.34</v>
      </c>
      <c r="Q6339" s="11">
        <v>2.2999999999999998</v>
      </c>
      <c r="R6339" s="11"/>
      <c r="S6339" s="11"/>
      <c r="T6339" s="11"/>
      <c r="U6339" s="11">
        <f t="shared" ref="U6339:U6402" si="1943">T6339+S6339+R6339+Q6339</f>
        <v>2.2999999999999998</v>
      </c>
      <c r="W6339">
        <v>2.5</v>
      </c>
      <c r="X6339" s="1" t="s">
        <v>80</v>
      </c>
    </row>
    <row r="6340" spans="1:24" x14ac:dyDescent="0.25">
      <c r="A6340" s="1" t="str">
        <f t="shared" si="1936"/>
        <v>卡卡杜-凤凰仓</v>
      </c>
      <c r="B6340" s="1" t="str">
        <f>"CK2024101810588"</f>
        <v>CK2024101810588</v>
      </c>
      <c r="C6340" s="1" t="str">
        <f>"DD2024101816666"</f>
        <v>DD2024101816666</v>
      </c>
      <c r="D6340" s="1" t="str">
        <f>"CK202410189739"</f>
        <v>CK202410189739</v>
      </c>
      <c r="E6340" s="1" t="str">
        <f>"6935167548969719584"</f>
        <v>6935167548969719584</v>
      </c>
      <c r="F6340" s="1" t="str">
        <f t="shared" si="1937"/>
        <v>花都四部-凤凰仓</v>
      </c>
      <c r="G6340" s="1" t="str">
        <f t="shared" si="1942"/>
        <v>卡卡杜个人护理店（抖店）</v>
      </c>
      <c r="H6340" s="1" t="str">
        <f t="shared" si="1938"/>
        <v>正常订单</v>
      </c>
      <c r="I6340" s="1" t="str">
        <f t="shared" si="1939"/>
        <v>已发货</v>
      </c>
      <c r="J6340" s="1" t="str">
        <f t="shared" si="1940"/>
        <v>3</v>
      </c>
      <c r="K6340" s="1">
        <v>3</v>
      </c>
      <c r="L6340" s="1" t="s">
        <v>47</v>
      </c>
      <c r="M6340" s="1" t="str">
        <f>"重庆 重庆市 江北区 铁山坪街道"</f>
        <v>重庆 重庆市 江北区 铁山坪街道</v>
      </c>
      <c r="N6340" s="1" t="str">
        <f t="shared" si="1941"/>
        <v>凡华云仓-韵达-抖音</v>
      </c>
      <c r="O6340" s="5">
        <v>320177489002502</v>
      </c>
      <c r="P6340" s="6">
        <v>0.34</v>
      </c>
      <c r="Q6340" s="11">
        <v>2.2999999999999998</v>
      </c>
      <c r="R6340" s="11"/>
      <c r="S6340" s="11"/>
      <c r="T6340" s="11"/>
      <c r="U6340" s="11">
        <f t="shared" si="1943"/>
        <v>2.2999999999999998</v>
      </c>
      <c r="W6340">
        <v>2.5</v>
      </c>
      <c r="X6340" s="1" t="s">
        <v>47</v>
      </c>
    </row>
    <row r="6341" spans="1:24" x14ac:dyDescent="0.25">
      <c r="A6341" s="1" t="str">
        <f t="shared" ref="A6341:A6404" si="1944">"卡卡杜-凤凰仓"</f>
        <v>卡卡杜-凤凰仓</v>
      </c>
      <c r="B6341" s="1" t="str">
        <f>"CK2024101810589"</f>
        <v>CK2024101810589</v>
      </c>
      <c r="C6341" s="1" t="str">
        <f>"DD2024101816667"</f>
        <v>DD2024101816667</v>
      </c>
      <c r="D6341" s="1" t="str">
        <f>"CK202410189738"</f>
        <v>CK202410189738</v>
      </c>
      <c r="E6341" s="1" t="str">
        <f>"6935165196549560210"</f>
        <v>6935165196549560210</v>
      </c>
      <c r="F6341" s="1" t="str">
        <f t="shared" ref="F6341:F6404" si="1945">"花都四部-凤凰仓"</f>
        <v>花都四部-凤凰仓</v>
      </c>
      <c r="G6341" s="1" t="str">
        <f t="shared" si="1942"/>
        <v>卡卡杜个人护理店（抖店）</v>
      </c>
      <c r="H6341" s="1" t="str">
        <f t="shared" ref="H6341:H6404" si="1946">"正常订单"</f>
        <v>正常订单</v>
      </c>
      <c r="I6341" s="1" t="str">
        <f t="shared" ref="I6341:I6404" si="1947">"已发货"</f>
        <v>已发货</v>
      </c>
      <c r="J6341" s="1" t="str">
        <f t="shared" si="1940"/>
        <v>3</v>
      </c>
      <c r="K6341" s="1">
        <v>3</v>
      </c>
      <c r="L6341" s="1" t="s">
        <v>109</v>
      </c>
      <c r="M6341" s="1" t="str">
        <f>"山西省 太原市 晋源区 义井街道"</f>
        <v>山西省 太原市 晋源区 义井街道</v>
      </c>
      <c r="N6341" s="1" t="str">
        <f t="shared" si="1941"/>
        <v>凡华云仓-韵达-抖音</v>
      </c>
      <c r="O6341" s="5">
        <v>320177489002405</v>
      </c>
      <c r="P6341" s="6">
        <v>0.34</v>
      </c>
      <c r="Q6341" s="11">
        <v>2.2999999999999998</v>
      </c>
      <c r="R6341" s="11"/>
      <c r="S6341" s="11"/>
      <c r="T6341" s="11"/>
      <c r="U6341" s="11">
        <f t="shared" si="1943"/>
        <v>2.2999999999999998</v>
      </c>
      <c r="W6341">
        <v>2.5</v>
      </c>
      <c r="X6341" s="1" t="s">
        <v>109</v>
      </c>
    </row>
    <row r="6342" spans="1:24" x14ac:dyDescent="0.25">
      <c r="A6342" s="1" t="str">
        <f t="shared" si="1944"/>
        <v>卡卡杜-凤凰仓</v>
      </c>
      <c r="B6342" s="1" t="str">
        <f>"CK2024101810587"</f>
        <v>CK2024101810587</v>
      </c>
      <c r="C6342" s="1" t="str">
        <f>"DD2024101816668"</f>
        <v>DD2024101816668</v>
      </c>
      <c r="D6342" s="1" t="str">
        <f>"CK202410189737"</f>
        <v>CK202410189737</v>
      </c>
      <c r="E6342" s="1" t="str">
        <f>"6935145351724144170"</f>
        <v>6935145351724144170</v>
      </c>
      <c r="F6342" s="1" t="str">
        <f t="shared" si="1945"/>
        <v>花都四部-凤凰仓</v>
      </c>
      <c r="G6342" s="1" t="str">
        <f t="shared" si="1942"/>
        <v>卡卡杜个人护理店（抖店）</v>
      </c>
      <c r="H6342" s="1" t="str">
        <f t="shared" si="1946"/>
        <v>正常订单</v>
      </c>
      <c r="I6342" s="1" t="str">
        <f t="shared" si="1947"/>
        <v>已发货</v>
      </c>
      <c r="J6342" s="1" t="str">
        <f t="shared" si="1940"/>
        <v>3</v>
      </c>
      <c r="K6342" s="1">
        <v>3</v>
      </c>
      <c r="L6342" s="1" t="s">
        <v>32</v>
      </c>
      <c r="M6342" s="1" t="str">
        <f>"陕西省 渭南市 富平县 到贤镇"</f>
        <v>陕西省 渭南市 富平县 到贤镇</v>
      </c>
      <c r="N6342" s="1" t="str">
        <f t="shared" si="1941"/>
        <v>凡华云仓-韵达-抖音</v>
      </c>
      <c r="O6342" s="5">
        <v>320177489002310</v>
      </c>
      <c r="P6342" s="6">
        <v>0.34</v>
      </c>
      <c r="Q6342" s="11">
        <v>2.2999999999999998</v>
      </c>
      <c r="R6342" s="11"/>
      <c r="S6342" s="11"/>
      <c r="T6342" s="11"/>
      <c r="U6342" s="11">
        <f t="shared" si="1943"/>
        <v>2.2999999999999998</v>
      </c>
      <c r="W6342">
        <v>2.5</v>
      </c>
      <c r="X6342" s="1" t="s">
        <v>32</v>
      </c>
    </row>
    <row r="6343" spans="1:24" x14ac:dyDescent="0.25">
      <c r="A6343" s="1" t="str">
        <f t="shared" si="1944"/>
        <v>卡卡杜-凤凰仓</v>
      </c>
      <c r="B6343" s="1" t="str">
        <f>"CK2024101810591"</f>
        <v>CK2024101810591</v>
      </c>
      <c r="C6343" s="1" t="str">
        <f>"DD2024101816669"</f>
        <v>DD2024101816669</v>
      </c>
      <c r="D6343" s="1" t="str">
        <f>"CK202410189736"</f>
        <v>CK202410189736</v>
      </c>
      <c r="E6343" s="1" t="str">
        <f>"6935174234890900904"</f>
        <v>6935174234890900904</v>
      </c>
      <c r="F6343" s="1" t="str">
        <f t="shared" si="1945"/>
        <v>花都四部-凤凰仓</v>
      </c>
      <c r="G6343" s="1" t="str">
        <f t="shared" si="1942"/>
        <v>卡卡杜个人护理店（抖店）</v>
      </c>
      <c r="H6343" s="1" t="str">
        <f t="shared" si="1946"/>
        <v>正常订单</v>
      </c>
      <c r="I6343" s="1" t="str">
        <f t="shared" si="1947"/>
        <v>已发货</v>
      </c>
      <c r="J6343" s="1" t="str">
        <f t="shared" si="1940"/>
        <v>3</v>
      </c>
      <c r="K6343" s="1">
        <v>3</v>
      </c>
      <c r="L6343" s="1" t="s">
        <v>13</v>
      </c>
      <c r="M6343" s="1" t="str">
        <f>"江苏省 无锡市 锡山区 锡山开发区"</f>
        <v>江苏省 无锡市 锡山区 锡山开发区</v>
      </c>
      <c r="N6343" s="1" t="str">
        <f t="shared" si="1941"/>
        <v>凡华云仓-韵达-抖音</v>
      </c>
      <c r="O6343" s="5">
        <v>320177489002217</v>
      </c>
      <c r="P6343" s="6">
        <v>0.34</v>
      </c>
      <c r="Q6343" s="11">
        <v>2.2999999999999998</v>
      </c>
      <c r="R6343" s="11"/>
      <c r="S6343" s="11"/>
      <c r="T6343" s="11"/>
      <c r="U6343" s="11">
        <f t="shared" si="1943"/>
        <v>2.2999999999999998</v>
      </c>
      <c r="W6343">
        <v>2.5</v>
      </c>
      <c r="X6343" s="1" t="s">
        <v>13</v>
      </c>
    </row>
    <row r="6344" spans="1:24" x14ac:dyDescent="0.25">
      <c r="A6344" s="1" t="str">
        <f t="shared" si="1944"/>
        <v>卡卡杜-凤凰仓</v>
      </c>
      <c r="B6344" s="1" t="str">
        <f>"CK2024101810592"</f>
        <v>CK2024101810592</v>
      </c>
      <c r="C6344" s="1" t="str">
        <f>"DD2024101816671"</f>
        <v>DD2024101816671</v>
      </c>
      <c r="D6344" s="1" t="str">
        <f>"CK202410189735"</f>
        <v>CK202410189735</v>
      </c>
      <c r="E6344" s="1" t="str">
        <f>"6935156038952359907"</f>
        <v>6935156038952359907</v>
      </c>
      <c r="F6344" s="1" t="str">
        <f t="shared" si="1945"/>
        <v>花都四部-凤凰仓</v>
      </c>
      <c r="G6344" s="1" t="str">
        <f t="shared" si="1942"/>
        <v>卡卡杜个人护理店（抖店）</v>
      </c>
      <c r="H6344" s="1" t="str">
        <f t="shared" si="1946"/>
        <v>正常订单</v>
      </c>
      <c r="I6344" s="1" t="str">
        <f t="shared" si="1947"/>
        <v>已发货</v>
      </c>
      <c r="J6344" s="1" t="str">
        <f t="shared" si="1940"/>
        <v>3</v>
      </c>
      <c r="K6344" s="1">
        <v>3</v>
      </c>
      <c r="L6344" s="1" t="s">
        <v>16</v>
      </c>
      <c r="M6344" s="1" t="str">
        <f>"河北省 石家庄市 桥西区 振头街道"</f>
        <v>河北省 石家庄市 桥西区 振头街道</v>
      </c>
      <c r="N6344" s="1" t="str">
        <f t="shared" si="1941"/>
        <v>凡华云仓-韵达-抖音</v>
      </c>
      <c r="O6344" s="5">
        <v>320177489002126</v>
      </c>
      <c r="P6344" s="6">
        <v>0.34</v>
      </c>
      <c r="Q6344" s="11">
        <v>2.2999999999999998</v>
      </c>
      <c r="R6344" s="11"/>
      <c r="S6344" s="11"/>
      <c r="T6344" s="11"/>
      <c r="U6344" s="11">
        <f t="shared" si="1943"/>
        <v>2.2999999999999998</v>
      </c>
      <c r="W6344">
        <v>2.5</v>
      </c>
      <c r="X6344" s="1" t="s">
        <v>16</v>
      </c>
    </row>
    <row r="6345" spans="1:24" x14ac:dyDescent="0.25">
      <c r="A6345" s="1" t="str">
        <f t="shared" si="1944"/>
        <v>卡卡杜-凤凰仓</v>
      </c>
      <c r="B6345" s="1" t="str">
        <f>"CK2024101810593"</f>
        <v>CK2024101810593</v>
      </c>
      <c r="C6345" s="1" t="str">
        <f>"DD2024101816672"</f>
        <v>DD2024101816672</v>
      </c>
      <c r="D6345" s="1" t="str">
        <f>"CK202410189734"</f>
        <v>CK202410189734</v>
      </c>
      <c r="E6345" s="1" t="str">
        <f>"6935160962942833711"</f>
        <v>6935160962942833711</v>
      </c>
      <c r="F6345" s="1" t="str">
        <f t="shared" si="1945"/>
        <v>花都四部-凤凰仓</v>
      </c>
      <c r="G6345" s="1" t="str">
        <f t="shared" si="1942"/>
        <v>卡卡杜个人护理店（抖店）</v>
      </c>
      <c r="H6345" s="1" t="str">
        <f t="shared" si="1946"/>
        <v>正常订单</v>
      </c>
      <c r="I6345" s="1" t="str">
        <f t="shared" si="1947"/>
        <v>已发货</v>
      </c>
      <c r="J6345" s="1" t="str">
        <f t="shared" si="1940"/>
        <v>3</v>
      </c>
      <c r="K6345" s="1">
        <v>3</v>
      </c>
      <c r="L6345" s="1" t="s">
        <v>94</v>
      </c>
      <c r="M6345" s="1" t="str">
        <f>"湖南省 永州市 零陵区 富家桥镇"</f>
        <v>湖南省 永州市 零陵区 富家桥镇</v>
      </c>
      <c r="N6345" s="1" t="str">
        <f t="shared" si="1941"/>
        <v>凡华云仓-韵达-抖音</v>
      </c>
      <c r="O6345" s="5">
        <v>320177489002037</v>
      </c>
      <c r="P6345" s="6">
        <v>0.34</v>
      </c>
      <c r="Q6345" s="11">
        <v>2.2999999999999998</v>
      </c>
      <c r="R6345" s="11"/>
      <c r="S6345" s="11"/>
      <c r="T6345" s="11"/>
      <c r="U6345" s="11">
        <f t="shared" si="1943"/>
        <v>2.2999999999999998</v>
      </c>
      <c r="W6345">
        <v>2.5</v>
      </c>
      <c r="X6345" s="1" t="s">
        <v>94</v>
      </c>
    </row>
    <row r="6346" spans="1:24" x14ac:dyDescent="0.25">
      <c r="A6346" s="1" t="str">
        <f t="shared" si="1944"/>
        <v>卡卡杜-凤凰仓</v>
      </c>
      <c r="B6346" s="1" t="str">
        <f>"CK2024101810590"</f>
        <v>CK2024101810590</v>
      </c>
      <c r="C6346" s="1" t="str">
        <f>"DD2024101816670"</f>
        <v>DD2024101816670</v>
      </c>
      <c r="D6346" s="1" t="str">
        <f>"CK202410189733"</f>
        <v>CK202410189733</v>
      </c>
      <c r="E6346" s="1" t="str">
        <f>"6935160940113893046"</f>
        <v>6935160940113893046</v>
      </c>
      <c r="F6346" s="1" t="str">
        <f t="shared" si="1945"/>
        <v>花都四部-凤凰仓</v>
      </c>
      <c r="G6346" s="1" t="str">
        <f t="shared" si="1942"/>
        <v>卡卡杜个人护理店（抖店）</v>
      </c>
      <c r="H6346" s="1" t="str">
        <f t="shared" si="1946"/>
        <v>正常订单</v>
      </c>
      <c r="I6346" s="1" t="str">
        <f t="shared" si="1947"/>
        <v>已发货</v>
      </c>
      <c r="J6346" s="1" t="str">
        <f t="shared" si="1940"/>
        <v>3</v>
      </c>
      <c r="K6346" s="1">
        <v>3</v>
      </c>
      <c r="L6346" s="1" t="s">
        <v>13</v>
      </c>
      <c r="M6346" s="1" t="str">
        <f>"江苏省 徐州市 睢宁县 "</f>
        <v xml:space="preserve">江苏省 徐州市 睢宁县 </v>
      </c>
      <c r="N6346" s="1" t="str">
        <f t="shared" si="1941"/>
        <v>凡华云仓-韵达-抖音</v>
      </c>
      <c r="O6346" s="5">
        <v>320177467896418</v>
      </c>
      <c r="P6346" s="6">
        <v>0.34</v>
      </c>
      <c r="Q6346" s="11">
        <v>2.2999999999999998</v>
      </c>
      <c r="R6346" s="11"/>
      <c r="S6346" s="11"/>
      <c r="T6346" s="11"/>
      <c r="U6346" s="11">
        <f t="shared" si="1943"/>
        <v>2.2999999999999998</v>
      </c>
      <c r="W6346">
        <v>2.5</v>
      </c>
      <c r="X6346" s="1" t="s">
        <v>13</v>
      </c>
    </row>
    <row r="6347" spans="1:24" x14ac:dyDescent="0.25">
      <c r="A6347" s="1" t="str">
        <f t="shared" si="1944"/>
        <v>卡卡杜-凤凰仓</v>
      </c>
      <c r="B6347" s="1" t="str">
        <f>"CK2024101810594"</f>
        <v>CK2024101810594</v>
      </c>
      <c r="C6347" s="1" t="str">
        <f>"DD2024101816673"</f>
        <v>DD2024101816673</v>
      </c>
      <c r="D6347" s="1" t="str">
        <f>"CK202410189732"</f>
        <v>CK202410189732</v>
      </c>
      <c r="E6347" s="1" t="str">
        <f>"6918022788209737104"</f>
        <v>6918022788209737104</v>
      </c>
      <c r="F6347" s="1" t="str">
        <f t="shared" si="1945"/>
        <v>花都四部-凤凰仓</v>
      </c>
      <c r="G6347" s="1" t="str">
        <f t="shared" si="1942"/>
        <v>卡卡杜个人护理店（抖店）</v>
      </c>
      <c r="H6347" s="1" t="str">
        <f t="shared" si="1946"/>
        <v>正常订单</v>
      </c>
      <c r="I6347" s="1" t="str">
        <f t="shared" si="1947"/>
        <v>已发货</v>
      </c>
      <c r="J6347" s="1" t="str">
        <f t="shared" si="1940"/>
        <v>3</v>
      </c>
      <c r="K6347" s="1">
        <v>3</v>
      </c>
      <c r="L6347" s="1" t="s">
        <v>41</v>
      </c>
      <c r="M6347" s="1" t="str">
        <f>"湖北省 恩施土家族苗族自治州 来凤县 翔凤镇"</f>
        <v>湖北省 恩施土家族苗族自治州 来凤县 翔凤镇</v>
      </c>
      <c r="N6347" s="1" t="str">
        <f t="shared" si="1941"/>
        <v>凡华云仓-韵达-抖音</v>
      </c>
      <c r="O6347" s="5">
        <v>320177467896323</v>
      </c>
      <c r="P6347" s="6">
        <v>0.34</v>
      </c>
      <c r="Q6347" s="11">
        <v>2.2999999999999998</v>
      </c>
      <c r="R6347" s="11"/>
      <c r="S6347" s="11"/>
      <c r="T6347" s="11"/>
      <c r="U6347" s="11">
        <f t="shared" si="1943"/>
        <v>2.2999999999999998</v>
      </c>
      <c r="W6347">
        <v>2.5</v>
      </c>
      <c r="X6347" s="1" t="s">
        <v>41</v>
      </c>
    </row>
    <row r="6348" spans="1:24" x14ac:dyDescent="0.25">
      <c r="A6348" s="1" t="str">
        <f t="shared" si="1944"/>
        <v>卡卡杜-凤凰仓</v>
      </c>
      <c r="B6348" s="1" t="str">
        <f>"CK2024101810595"</f>
        <v>CK2024101810595</v>
      </c>
      <c r="C6348" s="1" t="str">
        <f>"DD2024101816674"</f>
        <v>DD2024101816674</v>
      </c>
      <c r="D6348" s="1" t="str">
        <f>"CK202410189731"</f>
        <v>CK202410189731</v>
      </c>
      <c r="E6348" s="1" t="str">
        <f>"6935162850399688634"</f>
        <v>6935162850399688634</v>
      </c>
      <c r="F6348" s="1" t="str">
        <f t="shared" si="1945"/>
        <v>花都四部-凤凰仓</v>
      </c>
      <c r="G6348" s="1" t="str">
        <f t="shared" si="1942"/>
        <v>卡卡杜个人护理店（抖店）</v>
      </c>
      <c r="H6348" s="1" t="str">
        <f t="shared" si="1946"/>
        <v>正常订单</v>
      </c>
      <c r="I6348" s="1" t="str">
        <f t="shared" si="1947"/>
        <v>已发货</v>
      </c>
      <c r="J6348" s="1" t="str">
        <f t="shared" si="1940"/>
        <v>3</v>
      </c>
      <c r="K6348" s="1">
        <v>3</v>
      </c>
      <c r="L6348" s="1" t="s">
        <v>80</v>
      </c>
      <c r="M6348" s="1" t="str">
        <f>"河南省 安阳市 林州市 黄华镇"</f>
        <v>河南省 安阳市 林州市 黄华镇</v>
      </c>
      <c r="N6348" s="1" t="str">
        <f t="shared" si="1941"/>
        <v>凡华云仓-韵达-抖音</v>
      </c>
      <c r="O6348" s="5">
        <v>320177467896230</v>
      </c>
      <c r="P6348" s="6">
        <v>0.34</v>
      </c>
      <c r="Q6348" s="11">
        <v>2.2999999999999998</v>
      </c>
      <c r="R6348" s="11"/>
      <c r="S6348" s="11"/>
      <c r="T6348" s="11"/>
      <c r="U6348" s="11">
        <f t="shared" si="1943"/>
        <v>2.2999999999999998</v>
      </c>
      <c r="W6348">
        <v>2.5</v>
      </c>
      <c r="X6348" s="1" t="s">
        <v>80</v>
      </c>
    </row>
    <row r="6349" spans="1:24" x14ac:dyDescent="0.25">
      <c r="A6349" s="1" t="str">
        <f t="shared" si="1944"/>
        <v>卡卡杜-凤凰仓</v>
      </c>
      <c r="B6349" s="1" t="str">
        <f>"CK2024101810596"</f>
        <v>CK2024101810596</v>
      </c>
      <c r="C6349" s="1" t="str">
        <f>"DD2024101816675"</f>
        <v>DD2024101816675</v>
      </c>
      <c r="D6349" s="1" t="str">
        <f>"CK202410189730"</f>
        <v>CK202410189730</v>
      </c>
      <c r="E6349" s="1" t="str">
        <f>"6935151579038225896"</f>
        <v>6935151579038225896</v>
      </c>
      <c r="F6349" s="1" t="str">
        <f t="shared" si="1945"/>
        <v>花都四部-凤凰仓</v>
      </c>
      <c r="G6349" s="1" t="str">
        <f t="shared" si="1942"/>
        <v>卡卡杜个人护理店（抖店）</v>
      </c>
      <c r="H6349" s="1" t="str">
        <f t="shared" si="1946"/>
        <v>正常订单</v>
      </c>
      <c r="I6349" s="1" t="str">
        <f t="shared" si="1947"/>
        <v>已发货</v>
      </c>
      <c r="J6349" s="1" t="str">
        <f t="shared" si="1940"/>
        <v>3</v>
      </c>
      <c r="K6349" s="1">
        <v>3</v>
      </c>
      <c r="L6349" s="1" t="s">
        <v>30</v>
      </c>
      <c r="M6349" s="1" t="str">
        <f>"山东省 临沂市 蒙阴县 "</f>
        <v xml:space="preserve">山东省 临沂市 蒙阴县 </v>
      </c>
      <c r="N6349" s="1" t="str">
        <f t="shared" si="1941"/>
        <v>凡华云仓-韵达-抖音</v>
      </c>
      <c r="O6349" s="5">
        <v>320177467896139</v>
      </c>
      <c r="P6349" s="6">
        <v>0.34</v>
      </c>
      <c r="Q6349" s="11">
        <v>2.2999999999999998</v>
      </c>
      <c r="R6349" s="11"/>
      <c r="S6349" s="11"/>
      <c r="T6349" s="11"/>
      <c r="U6349" s="11">
        <f t="shared" si="1943"/>
        <v>2.2999999999999998</v>
      </c>
      <c r="W6349">
        <v>2.5</v>
      </c>
      <c r="X6349" s="1" t="s">
        <v>30</v>
      </c>
    </row>
    <row r="6350" spans="1:24" x14ac:dyDescent="0.25">
      <c r="A6350" s="1" t="str">
        <f t="shared" si="1944"/>
        <v>卡卡杜-凤凰仓</v>
      </c>
      <c r="B6350" s="1" t="str">
        <f>"CK2024101810597"</f>
        <v>CK2024101810597</v>
      </c>
      <c r="C6350" s="1" t="str">
        <f>"DD2024101816676"</f>
        <v>DD2024101816676</v>
      </c>
      <c r="D6350" s="1" t="str">
        <f>"CK202410189729"</f>
        <v>CK202410189729</v>
      </c>
      <c r="E6350" s="1" t="str">
        <f>"6935151491800372468"</f>
        <v>6935151491800372468</v>
      </c>
      <c r="F6350" s="1" t="str">
        <f t="shared" si="1945"/>
        <v>花都四部-凤凰仓</v>
      </c>
      <c r="G6350" s="1" t="str">
        <f t="shared" si="1942"/>
        <v>卡卡杜个人护理店（抖店）</v>
      </c>
      <c r="H6350" s="1" t="str">
        <f t="shared" si="1946"/>
        <v>正常订单</v>
      </c>
      <c r="I6350" s="1" t="str">
        <f t="shared" si="1947"/>
        <v>已发货</v>
      </c>
      <c r="J6350" s="1" t="str">
        <f t="shared" si="1940"/>
        <v>3</v>
      </c>
      <c r="K6350" s="1">
        <v>3</v>
      </c>
      <c r="L6350" s="1" t="s">
        <v>13</v>
      </c>
      <c r="M6350" s="1" t="str">
        <f>"江苏省 连云港市 灌云县 东王集镇"</f>
        <v>江苏省 连云港市 灌云县 东王集镇</v>
      </c>
      <c r="N6350" s="1" t="str">
        <f t="shared" si="1941"/>
        <v>凡华云仓-韵达-抖音</v>
      </c>
      <c r="O6350" s="5">
        <v>320177467896050</v>
      </c>
      <c r="P6350" s="6">
        <v>0.34</v>
      </c>
      <c r="Q6350" s="11">
        <v>2.2999999999999998</v>
      </c>
      <c r="R6350" s="11"/>
      <c r="S6350" s="11"/>
      <c r="T6350" s="11"/>
      <c r="U6350" s="11">
        <f t="shared" si="1943"/>
        <v>2.2999999999999998</v>
      </c>
      <c r="W6350">
        <v>2.5</v>
      </c>
      <c r="X6350" s="1" t="s">
        <v>13</v>
      </c>
    </row>
    <row r="6351" spans="1:24" x14ac:dyDescent="0.25">
      <c r="A6351" s="1" t="str">
        <f t="shared" si="1944"/>
        <v>卡卡杜-凤凰仓</v>
      </c>
      <c r="B6351" s="1" t="str">
        <f>"CK2024101810598"</f>
        <v>CK2024101810598</v>
      </c>
      <c r="C6351" s="1" t="str">
        <f>"DD2024101816677"</f>
        <v>DD2024101816677</v>
      </c>
      <c r="D6351" s="1" t="str">
        <f>"CK202410189728"</f>
        <v>CK202410189728</v>
      </c>
      <c r="E6351" s="1" t="str">
        <f>"6935174211446510912"</f>
        <v>6935174211446510912</v>
      </c>
      <c r="F6351" s="1" t="str">
        <f t="shared" si="1945"/>
        <v>花都四部-凤凰仓</v>
      </c>
      <c r="G6351" s="1" t="str">
        <f t="shared" si="1942"/>
        <v>卡卡杜个人护理店（抖店）</v>
      </c>
      <c r="H6351" s="1" t="str">
        <f t="shared" si="1946"/>
        <v>正常订单</v>
      </c>
      <c r="I6351" s="1" t="str">
        <f t="shared" si="1947"/>
        <v>已发货</v>
      </c>
      <c r="J6351" s="1" t="str">
        <f t="shared" si="1940"/>
        <v>3</v>
      </c>
      <c r="K6351" s="1">
        <v>3</v>
      </c>
      <c r="L6351" s="1" t="s">
        <v>30</v>
      </c>
      <c r="M6351" s="1" t="str">
        <f>"山东省 济南市 历下区 解放路街道"</f>
        <v>山东省 济南市 历下区 解放路街道</v>
      </c>
      <c r="N6351" s="1" t="str">
        <f t="shared" si="1941"/>
        <v>凡华云仓-韵达-抖音</v>
      </c>
      <c r="O6351" s="5">
        <v>320177467895924</v>
      </c>
      <c r="P6351" s="6">
        <v>0.34</v>
      </c>
      <c r="Q6351" s="11">
        <v>2.2999999999999998</v>
      </c>
      <c r="R6351" s="11"/>
      <c r="S6351" s="11"/>
      <c r="T6351" s="11"/>
      <c r="U6351" s="11">
        <f t="shared" si="1943"/>
        <v>2.2999999999999998</v>
      </c>
      <c r="W6351">
        <v>2.5</v>
      </c>
      <c r="X6351" s="1" t="s">
        <v>30</v>
      </c>
    </row>
    <row r="6352" spans="1:24" x14ac:dyDescent="0.25">
      <c r="A6352" s="1" t="str">
        <f t="shared" si="1944"/>
        <v>卡卡杜-凤凰仓</v>
      </c>
      <c r="B6352" s="1" t="str">
        <f>"CK2024101810599"</f>
        <v>CK2024101810599</v>
      </c>
      <c r="C6352" s="1" t="str">
        <f>"DD2024101816678"</f>
        <v>DD2024101816678</v>
      </c>
      <c r="D6352" s="1" t="str">
        <f>"CK202410189727"</f>
        <v>CK202410189727</v>
      </c>
      <c r="E6352" s="1" t="str">
        <f>"6935165153988383798"</f>
        <v>6935165153988383798</v>
      </c>
      <c r="F6352" s="1" t="str">
        <f t="shared" si="1945"/>
        <v>花都四部-凤凰仓</v>
      </c>
      <c r="G6352" s="1" t="str">
        <f t="shared" si="1942"/>
        <v>卡卡杜个人护理店（抖店）</v>
      </c>
      <c r="H6352" s="1" t="str">
        <f t="shared" si="1946"/>
        <v>正常订单</v>
      </c>
      <c r="I6352" s="1" t="str">
        <f t="shared" si="1947"/>
        <v>已发货</v>
      </c>
      <c r="J6352" s="1" t="str">
        <f t="shared" si="1940"/>
        <v>3</v>
      </c>
      <c r="K6352" s="1">
        <v>3</v>
      </c>
      <c r="L6352" s="1" t="s">
        <v>24</v>
      </c>
      <c r="M6352" s="1" t="str">
        <f>"福建省 福州市 台江区 洋中街道"</f>
        <v>福建省 福州市 台江区 洋中街道</v>
      </c>
      <c r="N6352" s="1" t="str">
        <f t="shared" si="1941"/>
        <v>凡华云仓-韵达-抖音</v>
      </c>
      <c r="O6352" s="5">
        <v>320177467895819</v>
      </c>
      <c r="P6352" s="6">
        <v>0.34</v>
      </c>
      <c r="Q6352" s="11">
        <v>2.2999999999999998</v>
      </c>
      <c r="R6352" s="11"/>
      <c r="S6352" s="11"/>
      <c r="T6352" s="11"/>
      <c r="U6352" s="11">
        <f t="shared" si="1943"/>
        <v>2.2999999999999998</v>
      </c>
      <c r="W6352">
        <v>2.5</v>
      </c>
      <c r="X6352" s="1" t="s">
        <v>24</v>
      </c>
    </row>
    <row r="6353" spans="1:24" x14ac:dyDescent="0.25">
      <c r="A6353" s="1" t="str">
        <f t="shared" si="1944"/>
        <v>卡卡杜-凤凰仓</v>
      </c>
      <c r="B6353" s="1" t="str">
        <f>"CK2024101810600"</f>
        <v>CK2024101810600</v>
      </c>
      <c r="C6353" s="1" t="str">
        <f>"DD2024101816679"</f>
        <v>DD2024101816679</v>
      </c>
      <c r="D6353" s="1" t="str">
        <f>"CK202410189726"</f>
        <v>CK202410189726</v>
      </c>
      <c r="E6353" s="1" t="str">
        <f>"6935145262637061539"</f>
        <v>6935145262637061539</v>
      </c>
      <c r="F6353" s="1" t="str">
        <f t="shared" si="1945"/>
        <v>花都四部-凤凰仓</v>
      </c>
      <c r="G6353" s="1" t="str">
        <f t="shared" si="1942"/>
        <v>卡卡杜个人护理店（抖店）</v>
      </c>
      <c r="H6353" s="1" t="str">
        <f t="shared" si="1946"/>
        <v>正常订单</v>
      </c>
      <c r="I6353" s="1" t="str">
        <f t="shared" si="1947"/>
        <v>已发货</v>
      </c>
      <c r="J6353" s="1" t="str">
        <f t="shared" si="1940"/>
        <v>3</v>
      </c>
      <c r="K6353" s="1">
        <v>3</v>
      </c>
      <c r="L6353" s="1" t="s">
        <v>24</v>
      </c>
      <c r="M6353" s="1" t="str">
        <f>"福建省 泉州市 惠安县 螺阳镇"</f>
        <v>福建省 泉州市 惠安县 螺阳镇</v>
      </c>
      <c r="N6353" s="1" t="str">
        <f t="shared" si="1941"/>
        <v>凡华云仓-韵达-抖音</v>
      </c>
      <c r="O6353" s="5">
        <v>320177467895716</v>
      </c>
      <c r="P6353" s="6">
        <v>0.34</v>
      </c>
      <c r="Q6353" s="11">
        <v>2.2999999999999998</v>
      </c>
      <c r="R6353" s="11"/>
      <c r="S6353" s="11"/>
      <c r="T6353" s="11"/>
      <c r="U6353" s="11">
        <f t="shared" si="1943"/>
        <v>2.2999999999999998</v>
      </c>
      <c r="W6353">
        <v>2.5</v>
      </c>
      <c r="X6353" s="1" t="s">
        <v>24</v>
      </c>
    </row>
    <row r="6354" spans="1:24" x14ac:dyDescent="0.25">
      <c r="A6354" s="1" t="str">
        <f t="shared" si="1944"/>
        <v>卡卡杜-凤凰仓</v>
      </c>
      <c r="B6354" s="1" t="str">
        <f>"CK2024101810601"</f>
        <v>CK2024101810601</v>
      </c>
      <c r="C6354" s="1" t="str">
        <f>"DD2024101816680"</f>
        <v>DD2024101816680</v>
      </c>
      <c r="D6354" s="1" t="str">
        <f>"CK202410189725"</f>
        <v>CK202410189725</v>
      </c>
      <c r="E6354" s="1" t="str">
        <f>"6935165192968017884"</f>
        <v>6935165192968017884</v>
      </c>
      <c r="F6354" s="1" t="str">
        <f t="shared" si="1945"/>
        <v>花都四部-凤凰仓</v>
      </c>
      <c r="G6354" s="1" t="str">
        <f t="shared" si="1942"/>
        <v>卡卡杜个人护理店（抖店）</v>
      </c>
      <c r="H6354" s="1" t="str">
        <f t="shared" si="1946"/>
        <v>正常订单</v>
      </c>
      <c r="I6354" s="1" t="str">
        <f t="shared" si="1947"/>
        <v>已发货</v>
      </c>
      <c r="J6354" s="1" t="str">
        <f t="shared" si="1940"/>
        <v>3</v>
      </c>
      <c r="K6354" s="1">
        <v>3</v>
      </c>
      <c r="L6354" s="1" t="s">
        <v>41</v>
      </c>
      <c r="M6354" s="1" t="str">
        <f>"湖北省 恩施土家族苗族自治州 恩施市 小渡船街道"</f>
        <v>湖北省 恩施土家族苗族自治州 恩施市 小渡船街道</v>
      </c>
      <c r="N6354" s="1" t="str">
        <f t="shared" si="1941"/>
        <v>凡华云仓-韵达-抖音</v>
      </c>
      <c r="O6354" s="5">
        <v>320177467895615</v>
      </c>
      <c r="P6354" s="6">
        <v>0.34</v>
      </c>
      <c r="Q6354" s="11">
        <v>2.2999999999999998</v>
      </c>
      <c r="R6354" s="11"/>
      <c r="S6354" s="11"/>
      <c r="T6354" s="11"/>
      <c r="U6354" s="11">
        <f t="shared" si="1943"/>
        <v>2.2999999999999998</v>
      </c>
      <c r="W6354">
        <v>2.5</v>
      </c>
      <c r="X6354" s="1" t="s">
        <v>41</v>
      </c>
    </row>
    <row r="6355" spans="1:24" x14ac:dyDescent="0.25">
      <c r="A6355" s="1" t="str">
        <f t="shared" si="1944"/>
        <v>卡卡杜-凤凰仓</v>
      </c>
      <c r="B6355" s="1" t="str">
        <f>"CK2024101810602"</f>
        <v>CK2024101810602</v>
      </c>
      <c r="C6355" s="1" t="str">
        <f>"DD2024101816681"</f>
        <v>DD2024101816681</v>
      </c>
      <c r="D6355" s="1" t="str">
        <f>"CK202410189724"</f>
        <v>CK202410189724</v>
      </c>
      <c r="E6355" s="1" t="str">
        <f>"6935169774705579223"</f>
        <v>6935169774705579223</v>
      </c>
      <c r="F6355" s="1" t="str">
        <f t="shared" si="1945"/>
        <v>花都四部-凤凰仓</v>
      </c>
      <c r="G6355" s="1" t="str">
        <f t="shared" si="1942"/>
        <v>卡卡杜个人护理店（抖店）</v>
      </c>
      <c r="H6355" s="1" t="str">
        <f t="shared" si="1946"/>
        <v>正常订单</v>
      </c>
      <c r="I6355" s="1" t="str">
        <f t="shared" si="1947"/>
        <v>已发货</v>
      </c>
      <c r="J6355" s="1" t="str">
        <f t="shared" si="1940"/>
        <v>3</v>
      </c>
      <c r="K6355" s="1">
        <v>3</v>
      </c>
      <c r="L6355" s="1" t="s">
        <v>36</v>
      </c>
      <c r="M6355" s="1" t="str">
        <f>"安徽省 六安市 叶集区 姚李镇"</f>
        <v>安徽省 六安市 叶集区 姚李镇</v>
      </c>
      <c r="N6355" s="1" t="str">
        <f t="shared" si="1941"/>
        <v>凡华云仓-韵达-抖音</v>
      </c>
      <c r="O6355" s="5">
        <v>320177467895516</v>
      </c>
      <c r="P6355" s="6">
        <v>0.34</v>
      </c>
      <c r="Q6355" s="11">
        <v>2.2999999999999998</v>
      </c>
      <c r="R6355" s="11"/>
      <c r="S6355" s="11"/>
      <c r="T6355" s="11"/>
      <c r="U6355" s="11">
        <f t="shared" si="1943"/>
        <v>2.2999999999999998</v>
      </c>
      <c r="W6355">
        <v>2.5</v>
      </c>
      <c r="X6355" s="1" t="s">
        <v>36</v>
      </c>
    </row>
    <row r="6356" spans="1:24" x14ac:dyDescent="0.25">
      <c r="A6356" s="1" t="str">
        <f t="shared" si="1944"/>
        <v>卡卡杜-凤凰仓</v>
      </c>
      <c r="B6356" s="1" t="str">
        <f>"CK2024101810603"</f>
        <v>CK2024101810603</v>
      </c>
      <c r="C6356" s="1" t="str">
        <f>"DD2024101816682"</f>
        <v>DD2024101816682</v>
      </c>
      <c r="D6356" s="1" t="str">
        <f>"CK202410189723"</f>
        <v>CK202410189723</v>
      </c>
      <c r="E6356" s="1" t="str">
        <f>"6935153941048334092"</f>
        <v>6935153941048334092</v>
      </c>
      <c r="F6356" s="1" t="str">
        <f t="shared" si="1945"/>
        <v>花都四部-凤凰仓</v>
      </c>
      <c r="G6356" s="1" t="str">
        <f t="shared" si="1942"/>
        <v>卡卡杜个人护理店（抖店）</v>
      </c>
      <c r="H6356" s="1" t="str">
        <f t="shared" si="1946"/>
        <v>正常订单</v>
      </c>
      <c r="I6356" s="1" t="str">
        <f t="shared" si="1947"/>
        <v>已发货</v>
      </c>
      <c r="J6356" s="1" t="str">
        <f t="shared" si="1940"/>
        <v>3</v>
      </c>
      <c r="K6356" s="1">
        <v>3</v>
      </c>
      <c r="L6356" s="1" t="s">
        <v>41</v>
      </c>
      <c r="M6356" s="1" t="str">
        <f>"湖北省 武汉市 江汉区 "</f>
        <v xml:space="preserve">湖北省 武汉市 江汉区 </v>
      </c>
      <c r="N6356" s="1" t="str">
        <f t="shared" si="1941"/>
        <v>凡华云仓-韵达-抖音</v>
      </c>
      <c r="O6356" s="5">
        <v>320177478442245</v>
      </c>
      <c r="P6356" s="6">
        <v>0.34</v>
      </c>
      <c r="Q6356" s="11">
        <v>2.2999999999999998</v>
      </c>
      <c r="R6356" s="11"/>
      <c r="S6356" s="11"/>
      <c r="T6356" s="11"/>
      <c r="U6356" s="11">
        <f t="shared" si="1943"/>
        <v>2.2999999999999998</v>
      </c>
      <c r="W6356">
        <v>2.5</v>
      </c>
      <c r="X6356" s="1" t="s">
        <v>41</v>
      </c>
    </row>
    <row r="6357" spans="1:24" x14ac:dyDescent="0.25">
      <c r="A6357" s="1" t="str">
        <f t="shared" si="1944"/>
        <v>卡卡杜-凤凰仓</v>
      </c>
      <c r="B6357" s="1" t="str">
        <f>"CK2024101810604"</f>
        <v>CK2024101810604</v>
      </c>
      <c r="C6357" s="1" t="str">
        <f>"DD2024101816684"</f>
        <v>DD2024101816684</v>
      </c>
      <c r="D6357" s="1" t="str">
        <f>"CK202410189722"</f>
        <v>CK202410189722</v>
      </c>
      <c r="E6357" s="1" t="str">
        <f>"6935167508428625313"</f>
        <v>6935167508428625313</v>
      </c>
      <c r="F6357" s="1" t="str">
        <f t="shared" si="1945"/>
        <v>花都四部-凤凰仓</v>
      </c>
      <c r="G6357" s="1" t="str">
        <f t="shared" si="1942"/>
        <v>卡卡杜个人护理店（抖店）</v>
      </c>
      <c r="H6357" s="1" t="str">
        <f t="shared" si="1946"/>
        <v>正常订单</v>
      </c>
      <c r="I6357" s="1" t="str">
        <f t="shared" si="1947"/>
        <v>已发货</v>
      </c>
      <c r="J6357" s="1" t="str">
        <f t="shared" si="1940"/>
        <v>3</v>
      </c>
      <c r="K6357" s="1">
        <v>3</v>
      </c>
      <c r="L6357" s="1" t="s">
        <v>109</v>
      </c>
      <c r="M6357" s="1" t="str">
        <f>"山西省 临汾市 尧都区 解放路街道"</f>
        <v>山西省 临汾市 尧都区 解放路街道</v>
      </c>
      <c r="N6357" s="1" t="str">
        <f t="shared" si="1941"/>
        <v>凡华云仓-韵达-抖音</v>
      </c>
      <c r="O6357" s="5">
        <v>320177478442154</v>
      </c>
      <c r="P6357" s="6">
        <v>0.34</v>
      </c>
      <c r="Q6357" s="11">
        <v>2.2999999999999998</v>
      </c>
      <c r="R6357" s="11"/>
      <c r="S6357" s="11"/>
      <c r="T6357" s="11"/>
      <c r="U6357" s="11">
        <f t="shared" si="1943"/>
        <v>2.2999999999999998</v>
      </c>
      <c r="W6357">
        <v>2.5</v>
      </c>
      <c r="X6357" s="1" t="s">
        <v>109</v>
      </c>
    </row>
    <row r="6358" spans="1:24" x14ac:dyDescent="0.25">
      <c r="A6358" s="1" t="str">
        <f t="shared" si="1944"/>
        <v>卡卡杜-凤凰仓</v>
      </c>
      <c r="B6358" s="1" t="str">
        <f>"CK2024101810605"</f>
        <v>CK2024101810605</v>
      </c>
      <c r="C6358" s="1" t="str">
        <f>"DD2024101816683"</f>
        <v>DD2024101816683</v>
      </c>
      <c r="D6358" s="1" t="str">
        <f>"CK202410189721"</f>
        <v>CK202410189721</v>
      </c>
      <c r="E6358" s="1" t="str">
        <f>"6935145375321036554"</f>
        <v>6935145375321036554</v>
      </c>
      <c r="F6358" s="1" t="str">
        <f t="shared" si="1945"/>
        <v>花都四部-凤凰仓</v>
      </c>
      <c r="G6358" s="1" t="str">
        <f t="shared" si="1942"/>
        <v>卡卡杜个人护理店（抖店）</v>
      </c>
      <c r="H6358" s="1" t="str">
        <f t="shared" si="1946"/>
        <v>正常订单</v>
      </c>
      <c r="I6358" s="1" t="str">
        <f t="shared" si="1947"/>
        <v>已发货</v>
      </c>
      <c r="J6358" s="1" t="str">
        <f t="shared" si="1940"/>
        <v>3</v>
      </c>
      <c r="K6358" s="1">
        <v>3</v>
      </c>
      <c r="L6358" s="1" t="s">
        <v>18</v>
      </c>
      <c r="M6358" s="1" t="str">
        <f>"广东省 东莞市 东莞市 谢岗镇"</f>
        <v>广东省 东莞市 东莞市 谢岗镇</v>
      </c>
      <c r="N6358" s="1" t="str">
        <f t="shared" si="1941"/>
        <v>凡华云仓-韵达-抖音</v>
      </c>
      <c r="O6358" s="5">
        <v>320177478442065</v>
      </c>
      <c r="P6358" s="6">
        <v>0.34</v>
      </c>
      <c r="Q6358" s="11">
        <v>2.2999999999999998</v>
      </c>
      <c r="R6358" s="11"/>
      <c r="S6358" s="11"/>
      <c r="T6358" s="11"/>
      <c r="U6358" s="11">
        <f t="shared" si="1943"/>
        <v>2.2999999999999998</v>
      </c>
      <c r="W6358">
        <v>2.5</v>
      </c>
      <c r="X6358" s="1" t="s">
        <v>18</v>
      </c>
    </row>
    <row r="6359" spans="1:24" x14ac:dyDescent="0.25">
      <c r="A6359" s="1" t="str">
        <f t="shared" si="1944"/>
        <v>卡卡杜-凤凰仓</v>
      </c>
      <c r="B6359" s="1" t="str">
        <f>"CK2024101810606"</f>
        <v>CK2024101810606</v>
      </c>
      <c r="C6359" s="1" t="str">
        <f>"DD2024101816685"</f>
        <v>DD2024101816685</v>
      </c>
      <c r="D6359" s="1" t="str">
        <f>"CK202410189720"</f>
        <v>CK202410189720</v>
      </c>
      <c r="E6359" s="1" t="str">
        <f>"6935145243678217949"</f>
        <v>6935145243678217949</v>
      </c>
      <c r="F6359" s="1" t="str">
        <f t="shared" si="1945"/>
        <v>花都四部-凤凰仓</v>
      </c>
      <c r="G6359" s="1" t="str">
        <f t="shared" si="1942"/>
        <v>卡卡杜个人护理店（抖店）</v>
      </c>
      <c r="H6359" s="1" t="str">
        <f t="shared" si="1946"/>
        <v>正常订单</v>
      </c>
      <c r="I6359" s="1" t="str">
        <f t="shared" si="1947"/>
        <v>已发货</v>
      </c>
      <c r="J6359" s="1" t="str">
        <f t="shared" si="1940"/>
        <v>3</v>
      </c>
      <c r="K6359" s="1">
        <v>3</v>
      </c>
      <c r="L6359" s="1" t="s">
        <v>218</v>
      </c>
      <c r="M6359" s="1" t="str">
        <f>"天津 天津市 滨海新区 胡家园街道"</f>
        <v>天津 天津市 滨海新区 胡家园街道</v>
      </c>
      <c r="N6359" s="1" t="str">
        <f t="shared" si="1941"/>
        <v>凡华云仓-韵达-抖音</v>
      </c>
      <c r="O6359" s="5">
        <v>320177478441947</v>
      </c>
      <c r="P6359" s="6">
        <v>0.34</v>
      </c>
      <c r="Q6359" s="11">
        <v>2.2999999999999998</v>
      </c>
      <c r="R6359" s="11"/>
      <c r="S6359" s="11"/>
      <c r="T6359" s="11"/>
      <c r="U6359" s="11">
        <f t="shared" si="1943"/>
        <v>2.2999999999999998</v>
      </c>
      <c r="W6359">
        <v>2.5</v>
      </c>
      <c r="X6359" s="1" t="s">
        <v>218</v>
      </c>
    </row>
    <row r="6360" spans="1:24" x14ac:dyDescent="0.25">
      <c r="A6360" s="1" t="str">
        <f t="shared" si="1944"/>
        <v>卡卡杜-凤凰仓</v>
      </c>
      <c r="B6360" s="1" t="str">
        <f>"CK2024101810607"</f>
        <v>CK2024101810607</v>
      </c>
      <c r="C6360" s="1" t="str">
        <f>"DD2024101816686"</f>
        <v>DD2024101816686</v>
      </c>
      <c r="D6360" s="1" t="str">
        <f>"CK202410189719"</f>
        <v>CK202410189719</v>
      </c>
      <c r="E6360" s="1" t="str">
        <f>"6935153924098889158"</f>
        <v>6935153924098889158</v>
      </c>
      <c r="F6360" s="1" t="str">
        <f t="shared" si="1945"/>
        <v>花都四部-凤凰仓</v>
      </c>
      <c r="G6360" s="1" t="str">
        <f t="shared" si="1942"/>
        <v>卡卡杜个人护理店（抖店）</v>
      </c>
      <c r="H6360" s="1" t="str">
        <f t="shared" si="1946"/>
        <v>正常订单</v>
      </c>
      <c r="I6360" s="1" t="str">
        <f t="shared" si="1947"/>
        <v>已发货</v>
      </c>
      <c r="J6360" s="1" t="str">
        <f t="shared" si="1940"/>
        <v>3</v>
      </c>
      <c r="K6360" s="1">
        <v>3</v>
      </c>
      <c r="L6360" s="1" t="s">
        <v>109</v>
      </c>
      <c r="M6360" s="1" t="str">
        <f>"山西省 长治市 潞州区 长治高新技术产业开发区"</f>
        <v>山西省 长治市 潞州区 长治高新技术产业开发区</v>
      </c>
      <c r="N6360" s="1" t="str">
        <f t="shared" si="1941"/>
        <v>凡华云仓-韵达-抖音</v>
      </c>
      <c r="O6360" s="5">
        <v>320177478441842</v>
      </c>
      <c r="P6360" s="6">
        <v>0.34</v>
      </c>
      <c r="Q6360" s="11">
        <v>2.2999999999999998</v>
      </c>
      <c r="R6360" s="11"/>
      <c r="S6360" s="11"/>
      <c r="T6360" s="11"/>
      <c r="U6360" s="11">
        <f t="shared" si="1943"/>
        <v>2.2999999999999998</v>
      </c>
      <c r="W6360">
        <v>2.5</v>
      </c>
      <c r="X6360" s="1" t="s">
        <v>109</v>
      </c>
    </row>
    <row r="6361" spans="1:24" x14ac:dyDescent="0.25">
      <c r="A6361" s="1" t="str">
        <f t="shared" si="1944"/>
        <v>卡卡杜-凤凰仓</v>
      </c>
      <c r="B6361" s="1" t="str">
        <f>"CK2024101810608"</f>
        <v>CK2024101810608</v>
      </c>
      <c r="C6361" s="1" t="str">
        <f>"DD2024101816687"</f>
        <v>DD2024101816687</v>
      </c>
      <c r="D6361" s="1" t="str">
        <f>"CK202410189718"</f>
        <v>CK202410189718</v>
      </c>
      <c r="E6361" s="1" t="str">
        <f>"6935156091226297466"</f>
        <v>6935156091226297466</v>
      </c>
      <c r="F6361" s="1" t="str">
        <f t="shared" si="1945"/>
        <v>花都四部-凤凰仓</v>
      </c>
      <c r="G6361" s="1" t="str">
        <f t="shared" si="1942"/>
        <v>卡卡杜个人护理店（抖店）</v>
      </c>
      <c r="H6361" s="1" t="str">
        <f t="shared" si="1946"/>
        <v>正常订单</v>
      </c>
      <c r="I6361" s="1" t="str">
        <f t="shared" si="1947"/>
        <v>已发货</v>
      </c>
      <c r="J6361" s="1" t="str">
        <f t="shared" si="1940"/>
        <v>3</v>
      </c>
      <c r="K6361" s="1">
        <v>3</v>
      </c>
      <c r="L6361" s="1" t="s">
        <v>96</v>
      </c>
      <c r="M6361" s="1" t="str">
        <f>"广西壮族自治区 柳州市 鱼峰区 五里亭街道"</f>
        <v>广西壮族自治区 柳州市 鱼峰区 五里亭街道</v>
      </c>
      <c r="N6361" s="1" t="str">
        <f t="shared" si="1941"/>
        <v>凡华云仓-韵达-抖音</v>
      </c>
      <c r="O6361" s="5">
        <v>320177478441739</v>
      </c>
      <c r="P6361" s="6">
        <v>0.34</v>
      </c>
      <c r="Q6361" s="11">
        <v>2.2999999999999998</v>
      </c>
      <c r="R6361" s="11"/>
      <c r="S6361" s="11"/>
      <c r="T6361" s="11"/>
      <c r="U6361" s="11">
        <f t="shared" si="1943"/>
        <v>2.2999999999999998</v>
      </c>
      <c r="W6361">
        <v>2.5</v>
      </c>
      <c r="X6361" s="1" t="s">
        <v>96</v>
      </c>
    </row>
    <row r="6362" spans="1:24" x14ac:dyDescent="0.25">
      <c r="A6362" s="1" t="str">
        <f t="shared" si="1944"/>
        <v>卡卡杜-凤凰仓</v>
      </c>
      <c r="B6362" s="1" t="str">
        <f>"CK2024101810609"</f>
        <v>CK2024101810609</v>
      </c>
      <c r="C6362" s="1" t="str">
        <f>"DD2024101816688"</f>
        <v>DD2024101816688</v>
      </c>
      <c r="D6362" s="1" t="str">
        <f>"CK202410189717"</f>
        <v>CK202410189717</v>
      </c>
      <c r="E6362" s="1" t="str">
        <f>"6935169805147707089"</f>
        <v>6935169805147707089</v>
      </c>
      <c r="F6362" s="1" t="str">
        <f t="shared" si="1945"/>
        <v>花都四部-凤凰仓</v>
      </c>
      <c r="G6362" s="1" t="str">
        <f t="shared" si="1942"/>
        <v>卡卡杜个人护理店（抖店）</v>
      </c>
      <c r="H6362" s="1" t="str">
        <f t="shared" si="1946"/>
        <v>正常订单</v>
      </c>
      <c r="I6362" s="1" t="str">
        <f t="shared" si="1947"/>
        <v>已发货</v>
      </c>
      <c r="J6362" s="1" t="str">
        <f t="shared" si="1940"/>
        <v>3</v>
      </c>
      <c r="K6362" s="1">
        <v>3</v>
      </c>
      <c r="L6362" s="1" t="s">
        <v>30</v>
      </c>
      <c r="M6362" s="1" t="str">
        <f>"山东省 菏泽市 曹县 磐石街道"</f>
        <v>山东省 菏泽市 曹县 磐石街道</v>
      </c>
      <c r="N6362" s="1" t="str">
        <f t="shared" si="1941"/>
        <v>凡华云仓-韵达-抖音</v>
      </c>
      <c r="O6362" s="5">
        <v>320177478441638</v>
      </c>
      <c r="P6362" s="6">
        <v>0.34</v>
      </c>
      <c r="Q6362" s="11">
        <v>2.2999999999999998</v>
      </c>
      <c r="R6362" s="11"/>
      <c r="S6362" s="11"/>
      <c r="T6362" s="11"/>
      <c r="U6362" s="11">
        <f t="shared" si="1943"/>
        <v>2.2999999999999998</v>
      </c>
      <c r="W6362">
        <v>2.5</v>
      </c>
      <c r="X6362" s="1" t="s">
        <v>30</v>
      </c>
    </row>
    <row r="6363" spans="1:24" x14ac:dyDescent="0.25">
      <c r="A6363" s="1" t="str">
        <f t="shared" si="1944"/>
        <v>卡卡杜-凤凰仓</v>
      </c>
      <c r="B6363" s="1" t="str">
        <f>"CK2024101810610"</f>
        <v>CK2024101810610</v>
      </c>
      <c r="C6363" s="1" t="str">
        <f>"DD2024101816689"</f>
        <v>DD2024101816689</v>
      </c>
      <c r="D6363" s="1" t="str">
        <f>"CK202410189716"</f>
        <v>CK202410189716</v>
      </c>
      <c r="E6363" s="1" t="str">
        <f>"6935151411183883330"</f>
        <v>6935151411183883330</v>
      </c>
      <c r="F6363" s="1" t="str">
        <f t="shared" si="1945"/>
        <v>花都四部-凤凰仓</v>
      </c>
      <c r="G6363" s="1" t="str">
        <f t="shared" si="1942"/>
        <v>卡卡杜个人护理店（抖店）</v>
      </c>
      <c r="H6363" s="1" t="str">
        <f t="shared" si="1946"/>
        <v>正常订单</v>
      </c>
      <c r="I6363" s="1" t="str">
        <f t="shared" si="1947"/>
        <v>已发货</v>
      </c>
      <c r="J6363" s="1" t="str">
        <f t="shared" ref="J6363:J6369" si="1948">"3"</f>
        <v>3</v>
      </c>
      <c r="K6363" s="1">
        <v>3</v>
      </c>
      <c r="L6363" s="1" t="s">
        <v>30</v>
      </c>
      <c r="M6363" s="1" t="str">
        <f>"山东省 青岛市 平度市 "</f>
        <v xml:space="preserve">山东省 青岛市 平度市 </v>
      </c>
      <c r="N6363" s="1" t="str">
        <f t="shared" si="1941"/>
        <v>凡华云仓-韵达-抖音</v>
      </c>
      <c r="O6363" s="5">
        <v>320177478441539</v>
      </c>
      <c r="P6363" s="6">
        <v>0.34</v>
      </c>
      <c r="Q6363" s="11">
        <v>2.2999999999999998</v>
      </c>
      <c r="R6363" s="11"/>
      <c r="S6363" s="11"/>
      <c r="T6363" s="11"/>
      <c r="U6363" s="11">
        <f t="shared" si="1943"/>
        <v>2.2999999999999998</v>
      </c>
      <c r="W6363">
        <v>2.5</v>
      </c>
      <c r="X6363" s="1" t="s">
        <v>30</v>
      </c>
    </row>
    <row r="6364" spans="1:24" x14ac:dyDescent="0.25">
      <c r="A6364" s="1" t="str">
        <f t="shared" si="1944"/>
        <v>卡卡杜-凤凰仓</v>
      </c>
      <c r="B6364" s="1" t="str">
        <f>"CK2024101810611"</f>
        <v>CK2024101810611</v>
      </c>
      <c r="C6364" s="1" t="str">
        <f>"DD2024101816690"</f>
        <v>DD2024101816690</v>
      </c>
      <c r="D6364" s="1" t="str">
        <f>"CK202410189715"</f>
        <v>CK202410189715</v>
      </c>
      <c r="E6364" s="1" t="str">
        <f>"6935162784607376548"</f>
        <v>6935162784607376548</v>
      </c>
      <c r="F6364" s="1" t="str">
        <f t="shared" si="1945"/>
        <v>花都四部-凤凰仓</v>
      </c>
      <c r="G6364" s="1" t="str">
        <f t="shared" si="1942"/>
        <v>卡卡杜个人护理店（抖店）</v>
      </c>
      <c r="H6364" s="1" t="str">
        <f t="shared" si="1946"/>
        <v>正常订单</v>
      </c>
      <c r="I6364" s="1" t="str">
        <f t="shared" si="1947"/>
        <v>已发货</v>
      </c>
      <c r="J6364" s="1" t="str">
        <f t="shared" si="1948"/>
        <v>3</v>
      </c>
      <c r="K6364" s="1">
        <v>3</v>
      </c>
      <c r="L6364" s="1" t="s">
        <v>20</v>
      </c>
      <c r="M6364" s="1" t="str">
        <f>"浙江省 杭州市 拱墅区 祥符街道"</f>
        <v>浙江省 杭州市 拱墅区 祥符街道</v>
      </c>
      <c r="N6364" s="1" t="str">
        <f t="shared" si="1941"/>
        <v>凡华云仓-韵达-抖音</v>
      </c>
      <c r="O6364" s="5">
        <v>320177478441442</v>
      </c>
      <c r="P6364" s="6">
        <v>0.34</v>
      </c>
      <c r="Q6364" s="11">
        <v>2.2999999999999998</v>
      </c>
      <c r="R6364" s="11"/>
      <c r="S6364" s="11"/>
      <c r="T6364" s="11"/>
      <c r="U6364" s="11">
        <f t="shared" si="1943"/>
        <v>2.2999999999999998</v>
      </c>
      <c r="W6364">
        <v>2.5</v>
      </c>
      <c r="X6364" s="1" t="s">
        <v>20</v>
      </c>
    </row>
    <row r="6365" spans="1:24" x14ac:dyDescent="0.25">
      <c r="A6365" s="1" t="str">
        <f t="shared" si="1944"/>
        <v>卡卡杜-凤凰仓</v>
      </c>
      <c r="B6365" s="1" t="str">
        <f>"CK2024101810666"</f>
        <v>CK2024101810666</v>
      </c>
      <c r="C6365" s="1" t="str">
        <f>"DD2024101816752"</f>
        <v>DD2024101816752</v>
      </c>
      <c r="D6365" s="1" t="str">
        <f>"CK202410189714"</f>
        <v>CK202410189714</v>
      </c>
      <c r="E6365" s="1" t="str">
        <f>"6935155962752014144"</f>
        <v>6935155962752014144</v>
      </c>
      <c r="F6365" s="1" t="str">
        <f t="shared" si="1945"/>
        <v>花都四部-凤凰仓</v>
      </c>
      <c r="G6365" s="1" t="str">
        <f t="shared" si="1942"/>
        <v>卡卡杜个人护理店（抖店）</v>
      </c>
      <c r="H6365" s="1" t="str">
        <f t="shared" si="1946"/>
        <v>正常订单</v>
      </c>
      <c r="I6365" s="1" t="str">
        <f t="shared" si="1947"/>
        <v>已发货</v>
      </c>
      <c r="J6365" s="1" t="str">
        <f t="shared" si="1948"/>
        <v>3</v>
      </c>
      <c r="K6365" s="1">
        <v>3</v>
      </c>
      <c r="L6365" s="1" t="s">
        <v>41</v>
      </c>
      <c r="M6365" s="1" t="str">
        <f>"湖北省 武汉市 洪山区 洪山街街道"</f>
        <v>湖北省 武汉市 洪山区 洪山街街道</v>
      </c>
      <c r="N6365" s="1" t="str">
        <f t="shared" si="1941"/>
        <v>凡华云仓-韵达-抖音</v>
      </c>
      <c r="O6365" s="5">
        <v>320177478441347</v>
      </c>
      <c r="P6365" s="6">
        <v>0.34</v>
      </c>
      <c r="Q6365" s="11">
        <v>2.2999999999999998</v>
      </c>
      <c r="R6365" s="11"/>
      <c r="S6365" s="11"/>
      <c r="T6365" s="11"/>
      <c r="U6365" s="11">
        <f t="shared" si="1943"/>
        <v>2.2999999999999998</v>
      </c>
      <c r="W6365">
        <v>2.5</v>
      </c>
      <c r="X6365" s="1" t="s">
        <v>41</v>
      </c>
    </row>
    <row r="6366" spans="1:24" x14ac:dyDescent="0.25">
      <c r="A6366" s="1" t="str">
        <f t="shared" si="1944"/>
        <v>卡卡杜-凤凰仓</v>
      </c>
      <c r="B6366" s="1" t="str">
        <f>"CK2024101810612"</f>
        <v>CK2024101810612</v>
      </c>
      <c r="C6366" s="1" t="str">
        <f>"DD2024101816692"</f>
        <v>DD2024101816692</v>
      </c>
      <c r="D6366" s="1" t="str">
        <f>"CK202410189713"</f>
        <v>CK202410189713</v>
      </c>
      <c r="E6366" s="1" t="str">
        <f>"6935160909626676697"</f>
        <v>6935160909626676697</v>
      </c>
      <c r="F6366" s="1" t="str">
        <f t="shared" si="1945"/>
        <v>花都四部-凤凰仓</v>
      </c>
      <c r="G6366" s="1" t="str">
        <f t="shared" si="1942"/>
        <v>卡卡杜个人护理店（抖店）</v>
      </c>
      <c r="H6366" s="1" t="str">
        <f t="shared" si="1946"/>
        <v>正常订单</v>
      </c>
      <c r="I6366" s="1" t="str">
        <f t="shared" si="1947"/>
        <v>已发货</v>
      </c>
      <c r="J6366" s="1" t="str">
        <f t="shared" si="1948"/>
        <v>3</v>
      </c>
      <c r="K6366" s="1">
        <v>3</v>
      </c>
      <c r="L6366" s="1" t="s">
        <v>13</v>
      </c>
      <c r="M6366" s="1" t="str">
        <f>"江苏省 盐城市 盐都区 盐渎街道"</f>
        <v>江苏省 盐城市 盐都区 盐渎街道</v>
      </c>
      <c r="N6366" s="1" t="str">
        <f t="shared" si="1941"/>
        <v>凡华云仓-韵达-抖音</v>
      </c>
      <c r="O6366" s="5">
        <v>320177458916843</v>
      </c>
      <c r="P6366" s="6">
        <v>0.34</v>
      </c>
      <c r="Q6366" s="11">
        <v>2.2999999999999998</v>
      </c>
      <c r="R6366" s="11"/>
      <c r="S6366" s="11"/>
      <c r="T6366" s="11"/>
      <c r="U6366" s="11">
        <f t="shared" si="1943"/>
        <v>2.2999999999999998</v>
      </c>
      <c r="W6366">
        <v>2.5</v>
      </c>
      <c r="X6366" s="1" t="s">
        <v>13</v>
      </c>
    </row>
    <row r="6367" spans="1:24" x14ac:dyDescent="0.25">
      <c r="A6367" s="1" t="str">
        <f t="shared" si="1944"/>
        <v>卡卡杜-凤凰仓</v>
      </c>
      <c r="B6367" s="1" t="str">
        <f>"CK2024101810613"</f>
        <v>CK2024101810613</v>
      </c>
      <c r="C6367" s="1" t="str">
        <f>"DD2024101816691"</f>
        <v>DD2024101816691</v>
      </c>
      <c r="D6367" s="1" t="str">
        <f>"CK202410189712"</f>
        <v>CK202410189712</v>
      </c>
      <c r="E6367" s="1" t="str">
        <f>"6935156193567577754"</f>
        <v>6935156193567577754</v>
      </c>
      <c r="F6367" s="1" t="str">
        <f t="shared" si="1945"/>
        <v>花都四部-凤凰仓</v>
      </c>
      <c r="G6367" s="1" t="str">
        <f t="shared" si="1942"/>
        <v>卡卡杜个人护理店（抖店）</v>
      </c>
      <c r="H6367" s="1" t="str">
        <f t="shared" si="1946"/>
        <v>正常订单</v>
      </c>
      <c r="I6367" s="1" t="str">
        <f t="shared" si="1947"/>
        <v>已发货</v>
      </c>
      <c r="J6367" s="1" t="str">
        <f t="shared" si="1948"/>
        <v>3</v>
      </c>
      <c r="K6367" s="1">
        <v>3</v>
      </c>
      <c r="L6367" s="1" t="s">
        <v>74</v>
      </c>
      <c r="M6367" s="1" t="str">
        <f>"上海 上海市 闵行区 华漕镇"</f>
        <v>上海 上海市 闵行区 华漕镇</v>
      </c>
      <c r="N6367" s="1" t="str">
        <f t="shared" si="1941"/>
        <v>凡华云仓-韵达-抖音</v>
      </c>
      <c r="O6367" s="5">
        <v>320177458916740</v>
      </c>
      <c r="P6367" s="6">
        <v>0.34</v>
      </c>
      <c r="Q6367" s="11">
        <v>2.2999999999999998</v>
      </c>
      <c r="R6367" s="11"/>
      <c r="S6367" s="11"/>
      <c r="T6367" s="11"/>
      <c r="U6367" s="11">
        <f t="shared" si="1943"/>
        <v>2.2999999999999998</v>
      </c>
      <c r="W6367">
        <v>2.5</v>
      </c>
      <c r="X6367" s="1" t="s">
        <v>74</v>
      </c>
    </row>
    <row r="6368" spans="1:24" x14ac:dyDescent="0.25">
      <c r="A6368" s="1" t="str">
        <f t="shared" si="1944"/>
        <v>卡卡杜-凤凰仓</v>
      </c>
      <c r="B6368" s="1" t="str">
        <f>"CK2024101810616"</f>
        <v>CK2024101810616</v>
      </c>
      <c r="C6368" s="1" t="str">
        <f>"DD2024101816695"</f>
        <v>DD2024101816695</v>
      </c>
      <c r="D6368" s="1" t="str">
        <f>"CK202410189711"</f>
        <v>CK202410189711</v>
      </c>
      <c r="E6368" s="1" t="str">
        <f>"6935158401024595311"</f>
        <v>6935158401024595311</v>
      </c>
      <c r="F6368" s="1" t="str">
        <f t="shared" si="1945"/>
        <v>花都四部-凤凰仓</v>
      </c>
      <c r="G6368" s="1" t="str">
        <f t="shared" si="1942"/>
        <v>卡卡杜个人护理店（抖店）</v>
      </c>
      <c r="H6368" s="1" t="str">
        <f t="shared" si="1946"/>
        <v>正常订单</v>
      </c>
      <c r="I6368" s="1" t="str">
        <f t="shared" si="1947"/>
        <v>已发货</v>
      </c>
      <c r="J6368" s="1" t="str">
        <f t="shared" si="1948"/>
        <v>3</v>
      </c>
      <c r="K6368" s="1">
        <v>3</v>
      </c>
      <c r="L6368" s="1" t="s">
        <v>18</v>
      </c>
      <c r="M6368" s="1" t="str">
        <f>"广东省 湛江市 霞山区 新兴街道"</f>
        <v>广东省 湛江市 霞山区 新兴街道</v>
      </c>
      <c r="N6368" s="1" t="str">
        <f t="shared" si="1941"/>
        <v>凡华云仓-韵达-抖音</v>
      </c>
      <c r="O6368" s="5">
        <v>320177458916639</v>
      </c>
      <c r="P6368" s="6">
        <v>0.34</v>
      </c>
      <c r="Q6368" s="11">
        <v>2.2999999999999998</v>
      </c>
      <c r="R6368" s="11"/>
      <c r="S6368" s="11"/>
      <c r="T6368" s="11"/>
      <c r="U6368" s="11">
        <f t="shared" si="1943"/>
        <v>2.2999999999999998</v>
      </c>
      <c r="W6368">
        <v>2.5</v>
      </c>
      <c r="X6368" s="1" t="s">
        <v>18</v>
      </c>
    </row>
    <row r="6369" spans="1:24" x14ac:dyDescent="0.25">
      <c r="A6369" s="1" t="str">
        <f t="shared" si="1944"/>
        <v>卡卡杜-凤凰仓</v>
      </c>
      <c r="B6369" s="1" t="str">
        <f>"CK2024101810614"</f>
        <v>CK2024101810614</v>
      </c>
      <c r="C6369" s="1" t="str">
        <f>"DD2024101816693"</f>
        <v>DD2024101816693</v>
      </c>
      <c r="D6369" s="1" t="str">
        <f>"CK202410189710"</f>
        <v>CK202410189710</v>
      </c>
      <c r="E6369" s="1" t="str">
        <f>"6935167572491703324"</f>
        <v>6935167572491703324</v>
      </c>
      <c r="F6369" s="1" t="str">
        <f t="shared" si="1945"/>
        <v>花都四部-凤凰仓</v>
      </c>
      <c r="G6369" s="1" t="str">
        <f t="shared" si="1942"/>
        <v>卡卡杜个人护理店（抖店）</v>
      </c>
      <c r="H6369" s="1" t="str">
        <f t="shared" si="1946"/>
        <v>正常订单</v>
      </c>
      <c r="I6369" s="1" t="str">
        <f t="shared" si="1947"/>
        <v>已发货</v>
      </c>
      <c r="J6369" s="1" t="str">
        <f t="shared" si="1948"/>
        <v>3</v>
      </c>
      <c r="K6369" s="1">
        <v>3</v>
      </c>
      <c r="L6369" s="1" t="s">
        <v>54</v>
      </c>
      <c r="M6369" s="1" t="str">
        <f>"黑龙江省 鹤岗市 向阳区 光明街道"</f>
        <v>黑龙江省 鹤岗市 向阳区 光明街道</v>
      </c>
      <c r="N6369" s="1" t="str">
        <f t="shared" ref="N6369:N6432" si="1949">"凡华云仓-韵达-抖音"</f>
        <v>凡华云仓-韵达-抖音</v>
      </c>
      <c r="O6369" s="5">
        <v>320177458916540</v>
      </c>
      <c r="P6369" s="6">
        <v>0.34</v>
      </c>
      <c r="Q6369" s="11">
        <v>2.2999999999999998</v>
      </c>
      <c r="R6369" s="11"/>
      <c r="S6369" s="11"/>
      <c r="T6369" s="11"/>
      <c r="U6369" s="11">
        <f t="shared" si="1943"/>
        <v>2.2999999999999998</v>
      </c>
      <c r="W6369">
        <v>2.5</v>
      </c>
      <c r="X6369" s="1" t="s">
        <v>54</v>
      </c>
    </row>
    <row r="6370" spans="1:24" x14ac:dyDescent="0.25">
      <c r="A6370" s="1" t="str">
        <f t="shared" si="1944"/>
        <v>卡卡杜-凤凰仓</v>
      </c>
      <c r="B6370" s="1" t="str">
        <f>"CK2024101810615"</f>
        <v>CK2024101810615</v>
      </c>
      <c r="C6370" s="1" t="str">
        <f>"DD2024101816694"</f>
        <v>DD2024101816694</v>
      </c>
      <c r="D6370" s="1" t="str">
        <f>"CK202410189709"</f>
        <v>CK202410189709</v>
      </c>
      <c r="E6370" s="1" t="str">
        <f>"6935162864154580608"</f>
        <v>6935162864154580608</v>
      </c>
      <c r="F6370" s="1" t="str">
        <f t="shared" si="1945"/>
        <v>花都四部-凤凰仓</v>
      </c>
      <c r="G6370" s="1" t="str">
        <f t="shared" si="1942"/>
        <v>卡卡杜个人护理店（抖店）</v>
      </c>
      <c r="H6370" s="1" t="str">
        <f t="shared" si="1946"/>
        <v>正常订单</v>
      </c>
      <c r="I6370" s="1" t="str">
        <f t="shared" si="1947"/>
        <v>已发货</v>
      </c>
      <c r="J6370" s="1" t="str">
        <f>"6"</f>
        <v>6</v>
      </c>
      <c r="K6370" s="1">
        <v>3</v>
      </c>
      <c r="L6370" s="1" t="s">
        <v>32</v>
      </c>
      <c r="M6370" s="1" t="str">
        <f>"陕西省 宝鸡市 陈仓区 千渭街道"</f>
        <v>陕西省 宝鸡市 陈仓区 千渭街道</v>
      </c>
      <c r="N6370" s="1" t="str">
        <f t="shared" si="1949"/>
        <v>凡华云仓-韵达-抖音</v>
      </c>
      <c r="O6370" s="5">
        <v>320177458916443</v>
      </c>
      <c r="P6370" s="6">
        <v>0.55000000000000004</v>
      </c>
      <c r="Q6370" s="11">
        <f>CEILING(P6370-0.5,0.1)*10*0.15+2.3</f>
        <v>2.4499999999999997</v>
      </c>
      <c r="R6370" s="11"/>
      <c r="S6370" s="11"/>
      <c r="T6370" s="11"/>
      <c r="U6370" s="11">
        <f t="shared" si="1943"/>
        <v>2.4499999999999997</v>
      </c>
      <c r="V6370" t="s">
        <v>15</v>
      </c>
      <c r="W6370">
        <v>2.4500000000000002</v>
      </c>
      <c r="X6370" s="1" t="s">
        <v>32</v>
      </c>
    </row>
    <row r="6371" spans="1:24" x14ac:dyDescent="0.25">
      <c r="A6371" s="1" t="str">
        <f t="shared" si="1944"/>
        <v>卡卡杜-凤凰仓</v>
      </c>
      <c r="B6371" s="1" t="str">
        <f>"CK2024101810617"</f>
        <v>CK2024101810617</v>
      </c>
      <c r="C6371" s="1" t="str">
        <f>"DD2024101816696"</f>
        <v>DD2024101816696</v>
      </c>
      <c r="D6371" s="1" t="str">
        <f>"CK202410189708"</f>
        <v>CK202410189708</v>
      </c>
      <c r="E6371" s="1" t="str">
        <f>"6935145284307391856"</f>
        <v>6935145284307391856</v>
      </c>
      <c r="F6371" s="1" t="str">
        <f t="shared" si="1945"/>
        <v>花都四部-凤凰仓</v>
      </c>
      <c r="G6371" s="1" t="str">
        <f t="shared" si="1942"/>
        <v>卡卡杜个人护理店（抖店）</v>
      </c>
      <c r="H6371" s="1" t="str">
        <f t="shared" si="1946"/>
        <v>正常订单</v>
      </c>
      <c r="I6371" s="1" t="str">
        <f t="shared" si="1947"/>
        <v>已发货</v>
      </c>
      <c r="J6371" s="1" t="str">
        <f t="shared" ref="J6371:J6374" si="1950">"3"</f>
        <v>3</v>
      </c>
      <c r="K6371" s="1">
        <v>3</v>
      </c>
      <c r="L6371" s="1" t="s">
        <v>80</v>
      </c>
      <c r="M6371" s="1" t="str">
        <f>"河南省 濮阳市 清丰县 城关镇"</f>
        <v>河南省 濮阳市 清丰县 城关镇</v>
      </c>
      <c r="N6371" s="1" t="str">
        <f t="shared" si="1949"/>
        <v>凡华云仓-韵达-抖音</v>
      </c>
      <c r="O6371" s="5">
        <v>320177458916348</v>
      </c>
      <c r="P6371" s="6">
        <v>0.34</v>
      </c>
      <c r="Q6371" s="11">
        <v>2.2999999999999998</v>
      </c>
      <c r="R6371" s="11"/>
      <c r="S6371" s="11"/>
      <c r="T6371" s="11"/>
      <c r="U6371" s="11">
        <f t="shared" si="1943"/>
        <v>2.2999999999999998</v>
      </c>
      <c r="W6371">
        <v>2.5</v>
      </c>
      <c r="X6371" s="1" t="s">
        <v>80</v>
      </c>
    </row>
    <row r="6372" spans="1:24" x14ac:dyDescent="0.25">
      <c r="A6372" s="1" t="str">
        <f t="shared" si="1944"/>
        <v>卡卡杜-凤凰仓</v>
      </c>
      <c r="B6372" s="1" t="str">
        <f>"CK2024101810619"</f>
        <v>CK2024101810619</v>
      </c>
      <c r="C6372" s="1" t="str">
        <f>"DD2024101816698"</f>
        <v>DD2024101816698</v>
      </c>
      <c r="D6372" s="1" t="str">
        <f>"CK202410189707"</f>
        <v>CK202410189707</v>
      </c>
      <c r="E6372" s="1" t="str">
        <f>"6935162830928876871"</f>
        <v>6935162830928876871</v>
      </c>
      <c r="F6372" s="1" t="str">
        <f t="shared" si="1945"/>
        <v>花都四部-凤凰仓</v>
      </c>
      <c r="G6372" s="1" t="str">
        <f t="shared" si="1942"/>
        <v>卡卡杜个人护理店（抖店）</v>
      </c>
      <c r="H6372" s="1" t="str">
        <f t="shared" si="1946"/>
        <v>正常订单</v>
      </c>
      <c r="I6372" s="1" t="str">
        <f t="shared" si="1947"/>
        <v>已发货</v>
      </c>
      <c r="J6372" s="1" t="str">
        <f t="shared" si="1950"/>
        <v>3</v>
      </c>
      <c r="K6372" s="1">
        <v>3</v>
      </c>
      <c r="L6372" s="1" t="s">
        <v>92</v>
      </c>
      <c r="M6372" s="1" t="str">
        <f>"辽宁省 大连市 瓦房店市 共济街道"</f>
        <v>辽宁省 大连市 瓦房店市 共济街道</v>
      </c>
      <c r="N6372" s="1" t="str">
        <f t="shared" si="1949"/>
        <v>凡华云仓-韵达-抖音</v>
      </c>
      <c r="O6372" s="5">
        <v>320177458916255</v>
      </c>
      <c r="P6372" s="6">
        <v>0.34</v>
      </c>
      <c r="Q6372" s="11">
        <v>2.2999999999999998</v>
      </c>
      <c r="R6372" s="11"/>
      <c r="S6372" s="11"/>
      <c r="T6372" s="11"/>
      <c r="U6372" s="11">
        <f t="shared" si="1943"/>
        <v>2.2999999999999998</v>
      </c>
      <c r="W6372">
        <v>2.5</v>
      </c>
      <c r="X6372" s="1" t="s">
        <v>92</v>
      </c>
    </row>
    <row r="6373" spans="1:24" x14ac:dyDescent="0.25">
      <c r="A6373" s="1" t="str">
        <f t="shared" si="1944"/>
        <v>卡卡杜-凤凰仓</v>
      </c>
      <c r="B6373" s="1" t="str">
        <f>"CK202410183663"</f>
        <v>CK202410183663</v>
      </c>
      <c r="C6373" s="1" t="str">
        <f>"DD2024101811782"</f>
        <v>DD2024101811782</v>
      </c>
      <c r="D6373" s="1" t="str">
        <f>"CK202410189706"</f>
        <v>CK202410189706</v>
      </c>
      <c r="E6373" s="1" t="str">
        <f>"6935149946428790407"</f>
        <v>6935149946428790407</v>
      </c>
      <c r="F6373" s="1" t="str">
        <f t="shared" si="1945"/>
        <v>花都四部-凤凰仓</v>
      </c>
      <c r="G6373" s="1" t="str">
        <f t="shared" si="1942"/>
        <v>卡卡杜个人护理店（抖店）</v>
      </c>
      <c r="H6373" s="1" t="str">
        <f t="shared" si="1946"/>
        <v>正常订单</v>
      </c>
      <c r="I6373" s="1" t="str">
        <f t="shared" si="1947"/>
        <v>已发货</v>
      </c>
      <c r="J6373" s="1" t="str">
        <f t="shared" si="1950"/>
        <v>3</v>
      </c>
      <c r="K6373" s="1">
        <v>2</v>
      </c>
      <c r="L6373" s="1" t="s">
        <v>22</v>
      </c>
      <c r="M6373" s="1" t="str">
        <f>"江西省 九江市 柴桑区 "</f>
        <v xml:space="preserve">江西省 九江市 柴桑区 </v>
      </c>
      <c r="N6373" s="1" t="str">
        <f t="shared" si="1949"/>
        <v>凡华云仓-韵达-抖音</v>
      </c>
      <c r="O6373" s="5">
        <v>320177458916164</v>
      </c>
      <c r="P6373" s="6">
        <v>0.35</v>
      </c>
      <c r="Q6373" s="11">
        <v>2.2999999999999998</v>
      </c>
      <c r="R6373" s="11"/>
      <c r="S6373" s="11"/>
      <c r="T6373" s="11"/>
      <c r="U6373" s="11">
        <f t="shared" si="1943"/>
        <v>2.2999999999999998</v>
      </c>
      <c r="W6373">
        <v>2.5</v>
      </c>
      <c r="X6373" s="1" t="s">
        <v>22</v>
      </c>
    </row>
    <row r="6374" spans="1:24" x14ac:dyDescent="0.25">
      <c r="A6374" s="1" t="str">
        <f t="shared" si="1944"/>
        <v>卡卡杜-凤凰仓</v>
      </c>
      <c r="B6374" s="1" t="str">
        <f>"CK202410183662"</f>
        <v>CK202410183662</v>
      </c>
      <c r="C6374" s="1" t="str">
        <f>"DD2024101811781"</f>
        <v>DD2024101811781</v>
      </c>
      <c r="D6374" s="1" t="str">
        <f>"CK202410189705"</f>
        <v>CK202410189705</v>
      </c>
      <c r="E6374" s="1" t="str">
        <f>"6935171982179767554"</f>
        <v>6935171982179767554</v>
      </c>
      <c r="F6374" s="1" t="str">
        <f t="shared" si="1945"/>
        <v>花都四部-凤凰仓</v>
      </c>
      <c r="G6374" s="1" t="str">
        <f t="shared" si="1942"/>
        <v>卡卡杜个人护理店（抖店）</v>
      </c>
      <c r="H6374" s="1" t="str">
        <f t="shared" si="1946"/>
        <v>正常订单</v>
      </c>
      <c r="I6374" s="1" t="str">
        <f t="shared" si="1947"/>
        <v>已发货</v>
      </c>
      <c r="J6374" s="1" t="str">
        <f t="shared" si="1950"/>
        <v>3</v>
      </c>
      <c r="K6374" s="1">
        <v>2</v>
      </c>
      <c r="L6374" s="1" t="s">
        <v>18</v>
      </c>
      <c r="M6374" s="1" t="str">
        <f>"广东省 茂名市 信宜市 "</f>
        <v xml:space="preserve">广东省 茂名市 信宜市 </v>
      </c>
      <c r="N6374" s="1" t="str">
        <f t="shared" si="1949"/>
        <v>凡华云仓-韵达-抖音</v>
      </c>
      <c r="O6374" s="5">
        <v>320177458916075</v>
      </c>
      <c r="P6374" s="6">
        <v>0.35</v>
      </c>
      <c r="Q6374" s="11">
        <v>2.2999999999999998</v>
      </c>
      <c r="R6374" s="11"/>
      <c r="S6374" s="11"/>
      <c r="T6374" s="11"/>
      <c r="U6374" s="11">
        <f t="shared" si="1943"/>
        <v>2.2999999999999998</v>
      </c>
      <c r="W6374">
        <v>2.5</v>
      </c>
      <c r="X6374" s="1" t="s">
        <v>18</v>
      </c>
    </row>
    <row r="6375" spans="1:24" x14ac:dyDescent="0.25">
      <c r="A6375" s="1" t="str">
        <f t="shared" si="1944"/>
        <v>卡卡杜-凤凰仓</v>
      </c>
      <c r="B6375" s="1" t="str">
        <f>"CK202410183622"</f>
        <v>CK202410183622</v>
      </c>
      <c r="C6375" s="1" t="str">
        <f>"DD2024101811741"</f>
        <v>DD2024101811741</v>
      </c>
      <c r="D6375" s="1" t="str">
        <f>"CK202410189704"</f>
        <v>CK202410189704</v>
      </c>
      <c r="E6375" s="1" t="str">
        <f>"6935162832708900437"</f>
        <v>6935162832708900437</v>
      </c>
      <c r="F6375" s="1" t="str">
        <f t="shared" si="1945"/>
        <v>花都四部-凤凰仓</v>
      </c>
      <c r="G6375" s="1" t="str">
        <f t="shared" si="1942"/>
        <v>卡卡杜个人护理店（抖店）</v>
      </c>
      <c r="H6375" s="1" t="str">
        <f t="shared" si="1946"/>
        <v>正常订单</v>
      </c>
      <c r="I6375" s="1" t="str">
        <f t="shared" si="1947"/>
        <v>已发货</v>
      </c>
      <c r="J6375" s="1" t="str">
        <f t="shared" ref="J6375:J6380" si="1951">"5"</f>
        <v>5</v>
      </c>
      <c r="K6375" s="1">
        <v>2</v>
      </c>
      <c r="L6375" s="1" t="s">
        <v>36</v>
      </c>
      <c r="M6375" s="1" t="str">
        <f>"安徽省 合肥市 蜀山区 南岗镇"</f>
        <v>安徽省 合肥市 蜀山区 南岗镇</v>
      </c>
      <c r="N6375" s="1" t="str">
        <f t="shared" si="1949"/>
        <v>凡华云仓-韵达-抖音</v>
      </c>
      <c r="O6375" s="5">
        <v>320177458915949</v>
      </c>
      <c r="P6375" s="6">
        <v>0.59</v>
      </c>
      <c r="Q6375" s="11">
        <f>CEILING(P6375-0.5,0.1)*10*0.15+2.3</f>
        <v>2.4499999999999997</v>
      </c>
      <c r="R6375" s="11"/>
      <c r="S6375" s="11"/>
      <c r="T6375" s="11"/>
      <c r="U6375" s="11">
        <f t="shared" si="1943"/>
        <v>2.4499999999999997</v>
      </c>
      <c r="V6375" t="s">
        <v>15</v>
      </c>
      <c r="W6375">
        <v>2.4500000000000002</v>
      </c>
      <c r="X6375" s="1" t="s">
        <v>36</v>
      </c>
    </row>
    <row r="6376" spans="1:24" x14ac:dyDescent="0.25">
      <c r="A6376" s="1" t="str">
        <f t="shared" si="1944"/>
        <v>卡卡杜-凤凰仓</v>
      </c>
      <c r="B6376" s="1" t="str">
        <f>"CK202410186773"</f>
        <v>CK202410186773</v>
      </c>
      <c r="C6376" s="1" t="str">
        <f>"DD2024101812332"</f>
        <v>DD2024101812332</v>
      </c>
      <c r="D6376" s="1" t="str">
        <f>"CK202410189703"</f>
        <v>CK202410189703</v>
      </c>
      <c r="E6376" s="1" t="str">
        <f>"6935151499329148014"</f>
        <v>6935151499329148014</v>
      </c>
      <c r="F6376" s="1" t="str">
        <f t="shared" si="1945"/>
        <v>花都四部-凤凰仓</v>
      </c>
      <c r="G6376" s="1" t="str">
        <f t="shared" si="1942"/>
        <v>卡卡杜个人护理店（抖店）</v>
      </c>
      <c r="H6376" s="1" t="str">
        <f t="shared" si="1946"/>
        <v>正常订单</v>
      </c>
      <c r="I6376" s="1" t="str">
        <f t="shared" si="1947"/>
        <v>已发货</v>
      </c>
      <c r="J6376" s="1" t="str">
        <f t="shared" ref="J6376:J6378" si="1952">"3"</f>
        <v>3</v>
      </c>
      <c r="K6376" s="1">
        <v>3</v>
      </c>
      <c r="L6376" s="1" t="s">
        <v>16</v>
      </c>
      <c r="M6376" s="1" t="str">
        <f>"河北省 廊坊市 三河市 燕郊镇"</f>
        <v>河北省 廊坊市 三河市 燕郊镇</v>
      </c>
      <c r="N6376" s="1" t="str">
        <f t="shared" si="1949"/>
        <v>凡华云仓-韵达-抖音</v>
      </c>
      <c r="O6376" s="5">
        <v>320177483244346</v>
      </c>
      <c r="P6376" s="6">
        <v>0.28000000000000003</v>
      </c>
      <c r="Q6376" s="11">
        <v>2</v>
      </c>
      <c r="R6376" s="11"/>
      <c r="S6376" s="11"/>
      <c r="T6376" s="11"/>
      <c r="U6376" s="11">
        <f t="shared" si="1943"/>
        <v>2</v>
      </c>
      <c r="W6376">
        <v>2.2000000000000002</v>
      </c>
      <c r="X6376" s="1" t="s">
        <v>16</v>
      </c>
    </row>
    <row r="6377" spans="1:24" x14ac:dyDescent="0.25">
      <c r="A6377" s="1" t="str">
        <f t="shared" si="1944"/>
        <v>卡卡杜-凤凰仓</v>
      </c>
      <c r="B6377" s="1" t="str">
        <f>"CK202410186776"</f>
        <v>CK202410186776</v>
      </c>
      <c r="C6377" s="1" t="str">
        <f>"DD2024101812335"</f>
        <v>DD2024101812335</v>
      </c>
      <c r="D6377" s="1" t="str">
        <f>"CK202410189702"</f>
        <v>CK202410189702</v>
      </c>
      <c r="E6377" s="1" t="str">
        <f>"6935149834849555561"</f>
        <v>6935149834849555561</v>
      </c>
      <c r="F6377" s="1" t="str">
        <f t="shared" si="1945"/>
        <v>花都四部-凤凰仓</v>
      </c>
      <c r="G6377" s="1" t="str">
        <f t="shared" si="1942"/>
        <v>卡卡杜个人护理店（抖店）</v>
      </c>
      <c r="H6377" s="1" t="str">
        <f t="shared" si="1946"/>
        <v>正常订单</v>
      </c>
      <c r="I6377" s="1" t="str">
        <f t="shared" si="1947"/>
        <v>已发货</v>
      </c>
      <c r="J6377" s="1" t="str">
        <f t="shared" si="1952"/>
        <v>3</v>
      </c>
      <c r="K6377" s="1">
        <v>3</v>
      </c>
      <c r="L6377" s="1" t="s">
        <v>18</v>
      </c>
      <c r="M6377" s="1" t="str">
        <f>"广东省 清远市 连州市 连州镇"</f>
        <v>广东省 清远市 连州市 连州镇</v>
      </c>
      <c r="N6377" s="1" t="str">
        <f t="shared" si="1949"/>
        <v>凡华云仓-韵达-抖音</v>
      </c>
      <c r="O6377" s="5">
        <v>320177483244253</v>
      </c>
      <c r="P6377" s="6">
        <v>0.28000000000000003</v>
      </c>
      <c r="Q6377" s="11">
        <v>2</v>
      </c>
      <c r="R6377" s="11"/>
      <c r="S6377" s="11"/>
      <c r="T6377" s="11"/>
      <c r="U6377" s="11">
        <f t="shared" si="1943"/>
        <v>2</v>
      </c>
      <c r="W6377">
        <v>2.2000000000000002</v>
      </c>
      <c r="X6377" s="1" t="s">
        <v>18</v>
      </c>
    </row>
    <row r="6378" spans="1:24" x14ac:dyDescent="0.25">
      <c r="A6378" s="1" t="str">
        <f t="shared" si="1944"/>
        <v>卡卡杜-凤凰仓</v>
      </c>
      <c r="B6378" s="1" t="str">
        <f>"CK202410186774"</f>
        <v>CK202410186774</v>
      </c>
      <c r="C6378" s="1" t="str">
        <f>"DD2024101812333"</f>
        <v>DD2024101812333</v>
      </c>
      <c r="D6378" s="1" t="str">
        <f>"CK202410189701"</f>
        <v>CK202410189701</v>
      </c>
      <c r="E6378" s="1" t="str">
        <f>"6935153791273407932"</f>
        <v>6935153791273407932</v>
      </c>
      <c r="F6378" s="1" t="str">
        <f t="shared" si="1945"/>
        <v>花都四部-凤凰仓</v>
      </c>
      <c r="G6378" s="1" t="str">
        <f t="shared" si="1942"/>
        <v>卡卡杜个人护理店（抖店）</v>
      </c>
      <c r="H6378" s="1" t="str">
        <f t="shared" si="1946"/>
        <v>正常订单</v>
      </c>
      <c r="I6378" s="1" t="str">
        <f t="shared" si="1947"/>
        <v>已发货</v>
      </c>
      <c r="J6378" s="1" t="str">
        <f t="shared" si="1952"/>
        <v>3</v>
      </c>
      <c r="K6378" s="1">
        <v>3</v>
      </c>
      <c r="L6378" s="1" t="s">
        <v>74</v>
      </c>
      <c r="M6378" s="1" t="str">
        <f>"上海 上海市 浦东新区 唐镇"</f>
        <v>上海 上海市 浦东新区 唐镇</v>
      </c>
      <c r="N6378" s="1" t="str">
        <f t="shared" si="1949"/>
        <v>凡华云仓-韵达-抖音</v>
      </c>
      <c r="O6378" s="5">
        <v>320177483244162</v>
      </c>
      <c r="P6378" s="6">
        <v>0.28000000000000003</v>
      </c>
      <c r="Q6378" s="11">
        <v>2</v>
      </c>
      <c r="R6378" s="11"/>
      <c r="S6378" s="11"/>
      <c r="T6378" s="11"/>
      <c r="U6378" s="11">
        <f t="shared" si="1943"/>
        <v>2</v>
      </c>
      <c r="W6378">
        <v>2.2000000000000002</v>
      </c>
      <c r="X6378" s="1" t="s">
        <v>74</v>
      </c>
    </row>
    <row r="6379" spans="1:24" x14ac:dyDescent="0.25">
      <c r="A6379" s="1" t="str">
        <f t="shared" si="1944"/>
        <v>卡卡杜-凤凰仓</v>
      </c>
      <c r="B6379" s="1" t="str">
        <f>"CK202410186775"</f>
        <v>CK202410186775</v>
      </c>
      <c r="C6379" s="1" t="str">
        <f>"DD2024101812334"</f>
        <v>DD2024101812334</v>
      </c>
      <c r="D6379" s="1" t="str">
        <f>"CK202410189700"</f>
        <v>CK202410189700</v>
      </c>
      <c r="E6379" s="1" t="str">
        <f>"6935145147047417459"</f>
        <v>6935145147047417459</v>
      </c>
      <c r="F6379" s="1" t="str">
        <f t="shared" si="1945"/>
        <v>花都四部-凤凰仓</v>
      </c>
      <c r="G6379" s="1" t="str">
        <f t="shared" si="1942"/>
        <v>卡卡杜个人护理店（抖店）</v>
      </c>
      <c r="H6379" s="1" t="str">
        <f t="shared" si="1946"/>
        <v>正常订单</v>
      </c>
      <c r="I6379" s="1" t="str">
        <f t="shared" si="1947"/>
        <v>已发货</v>
      </c>
      <c r="J6379" s="1" t="str">
        <f t="shared" si="1951"/>
        <v>5</v>
      </c>
      <c r="K6379" s="1">
        <v>3</v>
      </c>
      <c r="L6379" s="1" t="s">
        <v>18</v>
      </c>
      <c r="M6379" s="1" t="str">
        <f>"广东省 东莞市 东莞市 东城街道"</f>
        <v>广东省 东莞市 东莞市 东城街道</v>
      </c>
      <c r="N6379" s="1" t="str">
        <f t="shared" si="1949"/>
        <v>凡华云仓-韵达-抖音</v>
      </c>
      <c r="O6379" s="5">
        <v>320177483244073</v>
      </c>
      <c r="P6379" s="6">
        <v>0.47</v>
      </c>
      <c r="Q6379" s="11">
        <v>2.2999999999999998</v>
      </c>
      <c r="R6379" s="11"/>
      <c r="S6379" s="11"/>
      <c r="T6379" s="11"/>
      <c r="U6379" s="11">
        <f t="shared" si="1943"/>
        <v>2.2999999999999998</v>
      </c>
      <c r="W6379">
        <v>2.5</v>
      </c>
      <c r="X6379" s="1" t="s">
        <v>18</v>
      </c>
    </row>
    <row r="6380" spans="1:24" x14ac:dyDescent="0.25">
      <c r="A6380" s="1" t="str">
        <f t="shared" si="1944"/>
        <v>卡卡杜-凤凰仓</v>
      </c>
      <c r="B6380" s="1" t="str">
        <f>"CK202410186777"</f>
        <v>CK202410186777</v>
      </c>
      <c r="C6380" s="1" t="str">
        <f>"DD2024101812337"</f>
        <v>DD2024101812337</v>
      </c>
      <c r="D6380" s="1" t="str">
        <f>"CK202410189699"</f>
        <v>CK202410189699</v>
      </c>
      <c r="E6380" s="1" t="str">
        <f>"6935162777953637958"</f>
        <v>6935162777953637958</v>
      </c>
      <c r="F6380" s="1" t="str">
        <f t="shared" si="1945"/>
        <v>花都四部-凤凰仓</v>
      </c>
      <c r="G6380" s="1" t="str">
        <f t="shared" si="1942"/>
        <v>卡卡杜个人护理店（抖店）</v>
      </c>
      <c r="H6380" s="1" t="str">
        <f t="shared" si="1946"/>
        <v>正常订单</v>
      </c>
      <c r="I6380" s="1" t="str">
        <f t="shared" si="1947"/>
        <v>已发货</v>
      </c>
      <c r="J6380" s="1" t="str">
        <f t="shared" si="1951"/>
        <v>5</v>
      </c>
      <c r="K6380" s="1">
        <v>3</v>
      </c>
      <c r="L6380" s="1" t="s">
        <v>36</v>
      </c>
      <c r="M6380" s="1" t="str">
        <f>"安徽省 宿州市 泗县 虹城街道"</f>
        <v>安徽省 宿州市 泗县 虹城街道</v>
      </c>
      <c r="N6380" s="1" t="str">
        <f t="shared" si="1949"/>
        <v>凡华云仓-韵达-抖音</v>
      </c>
      <c r="O6380" s="5">
        <v>320177483243951</v>
      </c>
      <c r="P6380" s="6">
        <v>0.47</v>
      </c>
      <c r="Q6380" s="11">
        <v>2.2999999999999998</v>
      </c>
      <c r="R6380" s="11"/>
      <c r="S6380" s="11"/>
      <c r="T6380" s="11"/>
      <c r="U6380" s="11">
        <f t="shared" si="1943"/>
        <v>2.2999999999999998</v>
      </c>
      <c r="W6380">
        <v>2.5</v>
      </c>
      <c r="X6380" s="1" t="s">
        <v>36</v>
      </c>
    </row>
    <row r="6381" spans="1:24" x14ac:dyDescent="0.25">
      <c r="A6381" s="1" t="str">
        <f t="shared" si="1944"/>
        <v>卡卡杜-凤凰仓</v>
      </c>
      <c r="B6381" s="1" t="str">
        <f>"CK202410186778"</f>
        <v>CK202410186778</v>
      </c>
      <c r="C6381" s="1" t="str">
        <f>"DD2024101812338"</f>
        <v>DD2024101812338</v>
      </c>
      <c r="D6381" s="1" t="str">
        <f>"CK202410189698"</f>
        <v>CK202410189698</v>
      </c>
      <c r="E6381" s="1" t="str">
        <f>"6935149818864014354"</f>
        <v>6935149818864014354</v>
      </c>
      <c r="F6381" s="1" t="str">
        <f t="shared" si="1945"/>
        <v>花都四部-凤凰仓</v>
      </c>
      <c r="G6381" s="1" t="str">
        <f t="shared" si="1942"/>
        <v>卡卡杜个人护理店（抖店）</v>
      </c>
      <c r="H6381" s="1" t="str">
        <f t="shared" si="1946"/>
        <v>正常订单</v>
      </c>
      <c r="I6381" s="1" t="str">
        <f t="shared" si="1947"/>
        <v>已发货</v>
      </c>
      <c r="J6381" s="1" t="str">
        <f t="shared" ref="J6381:J6444" si="1953">"3"</f>
        <v>3</v>
      </c>
      <c r="K6381" s="1">
        <v>3</v>
      </c>
      <c r="L6381" s="1" t="s">
        <v>18</v>
      </c>
      <c r="M6381" s="1" t="str">
        <f>"广东省 韶关市 翁源县 "</f>
        <v xml:space="preserve">广东省 韶关市 翁源县 </v>
      </c>
      <c r="N6381" s="1" t="str">
        <f t="shared" si="1949"/>
        <v>凡华云仓-韵达-抖音</v>
      </c>
      <c r="O6381" s="5">
        <v>320177483243846</v>
      </c>
      <c r="P6381" s="6">
        <v>0.28000000000000003</v>
      </c>
      <c r="Q6381" s="11">
        <v>2</v>
      </c>
      <c r="R6381" s="11"/>
      <c r="S6381" s="11"/>
      <c r="T6381" s="11"/>
      <c r="U6381" s="11">
        <f t="shared" si="1943"/>
        <v>2</v>
      </c>
      <c r="W6381">
        <v>2.2000000000000002</v>
      </c>
      <c r="X6381" s="1" t="s">
        <v>18</v>
      </c>
    </row>
    <row r="6382" spans="1:24" x14ac:dyDescent="0.25">
      <c r="A6382" s="1" t="str">
        <f t="shared" si="1944"/>
        <v>卡卡杜-凤凰仓</v>
      </c>
      <c r="B6382" s="1" t="str">
        <f>"CK202410186779"</f>
        <v>CK202410186779</v>
      </c>
      <c r="C6382" s="1" t="str">
        <f>"DD2024101812336"</f>
        <v>DD2024101812336</v>
      </c>
      <c r="D6382" s="1" t="str">
        <f>"CK202410189697"</f>
        <v>CK202410189697</v>
      </c>
      <c r="E6382" s="1" t="str">
        <f>"6935153827685799585"</f>
        <v>6935153827685799585</v>
      </c>
      <c r="F6382" s="1" t="str">
        <f t="shared" si="1945"/>
        <v>花都四部-凤凰仓</v>
      </c>
      <c r="G6382" s="1" t="str">
        <f t="shared" si="1942"/>
        <v>卡卡杜个人护理店（抖店）</v>
      </c>
      <c r="H6382" s="1" t="str">
        <f t="shared" si="1946"/>
        <v>正常订单</v>
      </c>
      <c r="I6382" s="1" t="str">
        <f t="shared" si="1947"/>
        <v>已发货</v>
      </c>
      <c r="J6382" s="1" t="str">
        <f t="shared" si="1953"/>
        <v>3</v>
      </c>
      <c r="K6382" s="1">
        <v>3</v>
      </c>
      <c r="L6382" s="1" t="s">
        <v>96</v>
      </c>
      <c r="M6382" s="1" t="str">
        <f>"广西壮族自治区 崇左市 宁明县 城中镇"</f>
        <v>广西壮族自治区 崇左市 宁明县 城中镇</v>
      </c>
      <c r="N6382" s="1" t="str">
        <f t="shared" si="1949"/>
        <v>凡华云仓-韵达-抖音</v>
      </c>
      <c r="O6382" s="5">
        <v>320177483243743</v>
      </c>
      <c r="P6382" s="6">
        <v>0.28000000000000003</v>
      </c>
      <c r="Q6382" s="11">
        <v>2</v>
      </c>
      <c r="R6382" s="11"/>
      <c r="S6382" s="11"/>
      <c r="T6382" s="11"/>
      <c r="U6382" s="11">
        <f t="shared" si="1943"/>
        <v>2</v>
      </c>
      <c r="W6382">
        <v>2.2000000000000002</v>
      </c>
      <c r="X6382" s="1" t="s">
        <v>96</v>
      </c>
    </row>
    <row r="6383" spans="1:24" x14ac:dyDescent="0.25">
      <c r="A6383" s="1" t="str">
        <f t="shared" si="1944"/>
        <v>卡卡杜-凤凰仓</v>
      </c>
      <c r="B6383" s="1" t="str">
        <f>"CK202410186780"</f>
        <v>CK202410186780</v>
      </c>
      <c r="C6383" s="1" t="str">
        <f>"DD2024101812339"</f>
        <v>DD2024101812339</v>
      </c>
      <c r="D6383" s="1" t="str">
        <f>"CK202410189696"</f>
        <v>CK202410189696</v>
      </c>
      <c r="E6383" s="1" t="str">
        <f>"6935158377862337835"</f>
        <v>6935158377862337835</v>
      </c>
      <c r="F6383" s="1" t="str">
        <f t="shared" si="1945"/>
        <v>花都四部-凤凰仓</v>
      </c>
      <c r="G6383" s="1" t="str">
        <f t="shared" si="1942"/>
        <v>卡卡杜个人护理店（抖店）</v>
      </c>
      <c r="H6383" s="1" t="str">
        <f t="shared" si="1946"/>
        <v>正常订单</v>
      </c>
      <c r="I6383" s="1" t="str">
        <f t="shared" si="1947"/>
        <v>已发货</v>
      </c>
      <c r="J6383" s="1" t="str">
        <f t="shared" si="1953"/>
        <v>3</v>
      </c>
      <c r="K6383" s="1">
        <v>3</v>
      </c>
      <c r="L6383" s="1" t="s">
        <v>16</v>
      </c>
      <c r="M6383" s="1" t="str">
        <f>"河北省 廊坊市 三河市 李旗庄镇"</f>
        <v>河北省 廊坊市 三河市 李旗庄镇</v>
      </c>
      <c r="N6383" s="1" t="str">
        <f t="shared" si="1949"/>
        <v>凡华云仓-韵达-抖音</v>
      </c>
      <c r="O6383" s="5">
        <v>320177483243642</v>
      </c>
      <c r="P6383" s="6">
        <v>0.28000000000000003</v>
      </c>
      <c r="Q6383" s="11">
        <v>2</v>
      </c>
      <c r="R6383" s="11"/>
      <c r="S6383" s="11"/>
      <c r="T6383" s="11"/>
      <c r="U6383" s="11">
        <f t="shared" si="1943"/>
        <v>2</v>
      </c>
      <c r="W6383">
        <v>2.2000000000000002</v>
      </c>
      <c r="X6383" s="1" t="s">
        <v>16</v>
      </c>
    </row>
    <row r="6384" spans="1:24" x14ac:dyDescent="0.25">
      <c r="A6384" s="1" t="str">
        <f t="shared" si="1944"/>
        <v>卡卡杜-凤凰仓</v>
      </c>
      <c r="B6384" s="1" t="str">
        <f>"CK2024101810002"</f>
        <v>CK2024101810002</v>
      </c>
      <c r="C6384" s="1" t="str">
        <f>"DD2024101815586"</f>
        <v>DD2024101815586</v>
      </c>
      <c r="D6384" s="1" t="str">
        <f>"CK202410189695"</f>
        <v>CK202410189695</v>
      </c>
      <c r="E6384" s="1" t="str">
        <f>"6935169636025243222"</f>
        <v>6935169636025243222</v>
      </c>
      <c r="F6384" s="1" t="str">
        <f t="shared" si="1945"/>
        <v>花都四部-凤凰仓</v>
      </c>
      <c r="G6384" s="1" t="str">
        <f t="shared" si="1942"/>
        <v>卡卡杜个人护理店（抖店）</v>
      </c>
      <c r="H6384" s="1" t="str">
        <f t="shared" si="1946"/>
        <v>正常订单</v>
      </c>
      <c r="I6384" s="1" t="str">
        <f t="shared" si="1947"/>
        <v>已发货</v>
      </c>
      <c r="J6384" s="1" t="str">
        <f t="shared" si="1953"/>
        <v>3</v>
      </c>
      <c r="K6384" s="1">
        <v>3</v>
      </c>
      <c r="L6384" s="1" t="s">
        <v>22</v>
      </c>
      <c r="M6384" s="1" t="str">
        <f>"江西省 赣州市 南康区 东山街道"</f>
        <v>江西省 赣州市 南康区 东山街道</v>
      </c>
      <c r="N6384" s="1" t="str">
        <f t="shared" si="1949"/>
        <v>凡华云仓-韵达-抖音</v>
      </c>
      <c r="O6384" s="5">
        <v>320177483243543</v>
      </c>
      <c r="P6384" s="6">
        <v>0.28000000000000003</v>
      </c>
      <c r="Q6384" s="11">
        <v>2</v>
      </c>
      <c r="R6384" s="11"/>
      <c r="S6384" s="11"/>
      <c r="T6384" s="11"/>
      <c r="U6384" s="11">
        <f t="shared" si="1943"/>
        <v>2</v>
      </c>
      <c r="W6384">
        <v>2.2000000000000002</v>
      </c>
      <c r="X6384" s="1" t="s">
        <v>22</v>
      </c>
    </row>
    <row r="6385" spans="1:24" x14ac:dyDescent="0.25">
      <c r="A6385" s="1" t="str">
        <f t="shared" si="1944"/>
        <v>卡卡杜-凤凰仓</v>
      </c>
      <c r="B6385" s="1" t="str">
        <f>"CK202410186781"</f>
        <v>CK202410186781</v>
      </c>
      <c r="C6385" s="1" t="str">
        <f>"DD2024101812340"</f>
        <v>DD2024101812340</v>
      </c>
      <c r="D6385" s="1" t="str">
        <f>"CK202410189694"</f>
        <v>CK202410189694</v>
      </c>
      <c r="E6385" s="1" t="str">
        <f>"6935155975792104709"</f>
        <v>6935155975792104709</v>
      </c>
      <c r="F6385" s="1" t="str">
        <f t="shared" si="1945"/>
        <v>花都四部-凤凰仓</v>
      </c>
      <c r="G6385" s="1" t="str">
        <f t="shared" si="1942"/>
        <v>卡卡杜个人护理店（抖店）</v>
      </c>
      <c r="H6385" s="1" t="str">
        <f t="shared" si="1946"/>
        <v>正常订单</v>
      </c>
      <c r="I6385" s="1" t="str">
        <f t="shared" si="1947"/>
        <v>已发货</v>
      </c>
      <c r="J6385" s="1" t="str">
        <f t="shared" si="1953"/>
        <v>3</v>
      </c>
      <c r="K6385" s="1">
        <v>3</v>
      </c>
      <c r="L6385" s="1" t="s">
        <v>20</v>
      </c>
      <c r="M6385" s="1" t="str">
        <f>"浙江省 绍兴市 上虞区 小越街道"</f>
        <v>浙江省 绍兴市 上虞区 小越街道</v>
      </c>
      <c r="N6385" s="1" t="str">
        <f t="shared" si="1949"/>
        <v>凡华云仓-韵达-抖音</v>
      </c>
      <c r="O6385" s="5">
        <v>320177483243446</v>
      </c>
      <c r="P6385" s="6">
        <v>0.28000000000000003</v>
      </c>
      <c r="Q6385" s="11">
        <v>2</v>
      </c>
      <c r="R6385" s="11"/>
      <c r="S6385" s="11"/>
      <c r="T6385" s="11"/>
      <c r="U6385" s="11">
        <f t="shared" si="1943"/>
        <v>2</v>
      </c>
      <c r="W6385">
        <v>2.2000000000000002</v>
      </c>
      <c r="X6385" s="1" t="s">
        <v>20</v>
      </c>
    </row>
    <row r="6386" spans="1:24" x14ac:dyDescent="0.25">
      <c r="A6386" s="1" t="str">
        <f t="shared" si="1944"/>
        <v>卡卡杜-凤凰仓</v>
      </c>
      <c r="B6386" s="1" t="str">
        <f>"CK202410186782"</f>
        <v>CK202410186782</v>
      </c>
      <c r="C6386" s="1" t="str">
        <f>"DD2024101812341"</f>
        <v>DD2024101812341</v>
      </c>
      <c r="D6386" s="1" t="str">
        <f>"CK202410189693"</f>
        <v>CK202410189693</v>
      </c>
      <c r="E6386" s="1" t="str">
        <f>"6935149720720971496"</f>
        <v>6935149720720971496</v>
      </c>
      <c r="F6386" s="1" t="str">
        <f t="shared" si="1945"/>
        <v>花都四部-凤凰仓</v>
      </c>
      <c r="G6386" s="1" t="str">
        <f t="shared" si="1942"/>
        <v>卡卡杜个人护理店（抖店）</v>
      </c>
      <c r="H6386" s="1" t="str">
        <f t="shared" si="1946"/>
        <v>正常订单</v>
      </c>
      <c r="I6386" s="1" t="str">
        <f t="shared" si="1947"/>
        <v>已发货</v>
      </c>
      <c r="J6386" s="1" t="str">
        <f t="shared" si="1953"/>
        <v>3</v>
      </c>
      <c r="K6386" s="1">
        <v>3</v>
      </c>
      <c r="L6386" s="1" t="s">
        <v>20</v>
      </c>
      <c r="M6386" s="1" t="str">
        <f>"浙江省 宁波市 海曙区 横街镇"</f>
        <v>浙江省 宁波市 海曙区 横街镇</v>
      </c>
      <c r="N6386" s="1" t="str">
        <f t="shared" si="1949"/>
        <v>凡华云仓-韵达-抖音</v>
      </c>
      <c r="O6386" s="5">
        <v>320177470885547</v>
      </c>
      <c r="P6386" s="6">
        <v>0.28000000000000003</v>
      </c>
      <c r="Q6386" s="11">
        <v>2</v>
      </c>
      <c r="R6386" s="11"/>
      <c r="S6386" s="11"/>
      <c r="T6386" s="11"/>
      <c r="U6386" s="11">
        <f t="shared" si="1943"/>
        <v>2</v>
      </c>
      <c r="W6386">
        <v>2.2000000000000002</v>
      </c>
      <c r="X6386" s="1" t="s">
        <v>20</v>
      </c>
    </row>
    <row r="6387" spans="1:24" x14ac:dyDescent="0.25">
      <c r="A6387" s="1" t="str">
        <f t="shared" si="1944"/>
        <v>卡卡杜-凤凰仓</v>
      </c>
      <c r="B6387" s="1" t="str">
        <f>"CK202410186783"</f>
        <v>CK202410186783</v>
      </c>
      <c r="C6387" s="1" t="str">
        <f>"DD2024101812342"</f>
        <v>DD2024101812342</v>
      </c>
      <c r="D6387" s="1" t="str">
        <f>"CK202410189692"</f>
        <v>CK202410189692</v>
      </c>
      <c r="E6387" s="1" t="str">
        <f>"6935141042816554535"</f>
        <v>6935141042816554535</v>
      </c>
      <c r="F6387" s="1" t="str">
        <f t="shared" si="1945"/>
        <v>花都四部-凤凰仓</v>
      </c>
      <c r="G6387" s="1" t="str">
        <f t="shared" si="1942"/>
        <v>卡卡杜个人护理店（抖店）</v>
      </c>
      <c r="H6387" s="1" t="str">
        <f t="shared" si="1946"/>
        <v>正常订单</v>
      </c>
      <c r="I6387" s="1" t="str">
        <f t="shared" si="1947"/>
        <v>已发货</v>
      </c>
      <c r="J6387" s="1" t="str">
        <f t="shared" si="1953"/>
        <v>3</v>
      </c>
      <c r="K6387" s="1">
        <v>3</v>
      </c>
      <c r="L6387" s="1" t="s">
        <v>41</v>
      </c>
      <c r="M6387" s="1" t="str">
        <f>"湖北省 武汉市 洪山区 关山街道"</f>
        <v>湖北省 武汉市 洪山区 关山街道</v>
      </c>
      <c r="N6387" s="1" t="str">
        <f t="shared" si="1949"/>
        <v>凡华云仓-韵达-抖音</v>
      </c>
      <c r="O6387" s="5">
        <v>320177470885450</v>
      </c>
      <c r="P6387" s="6">
        <v>0.28000000000000003</v>
      </c>
      <c r="Q6387" s="11">
        <v>2</v>
      </c>
      <c r="R6387" s="11"/>
      <c r="S6387" s="11"/>
      <c r="T6387" s="11"/>
      <c r="U6387" s="11">
        <f t="shared" si="1943"/>
        <v>2</v>
      </c>
      <c r="W6387">
        <v>2.2000000000000002</v>
      </c>
      <c r="X6387" s="1" t="s">
        <v>41</v>
      </c>
    </row>
    <row r="6388" spans="1:24" x14ac:dyDescent="0.25">
      <c r="A6388" s="1" t="str">
        <f t="shared" si="1944"/>
        <v>卡卡杜-凤凰仓</v>
      </c>
      <c r="B6388" s="1" t="str">
        <f>"CK202410186785"</f>
        <v>CK202410186785</v>
      </c>
      <c r="C6388" s="1" t="str">
        <f>"DD2024101812343"</f>
        <v>DD2024101812343</v>
      </c>
      <c r="D6388" s="1" t="str">
        <f>"CK202410189691"</f>
        <v>CK202410189691</v>
      </c>
      <c r="E6388" s="1" t="str">
        <f>"6935160743233066627"</f>
        <v>6935160743233066627</v>
      </c>
      <c r="F6388" s="1" t="str">
        <f t="shared" si="1945"/>
        <v>花都四部-凤凰仓</v>
      </c>
      <c r="G6388" s="1" t="str">
        <f t="shared" ref="G6388:G6451" si="1954">"卡卡杜个人护理店（抖店）"</f>
        <v>卡卡杜个人护理店（抖店）</v>
      </c>
      <c r="H6388" s="1" t="str">
        <f t="shared" si="1946"/>
        <v>正常订单</v>
      </c>
      <c r="I6388" s="1" t="str">
        <f t="shared" si="1947"/>
        <v>已发货</v>
      </c>
      <c r="J6388" s="1" t="str">
        <f t="shared" si="1953"/>
        <v>3</v>
      </c>
      <c r="K6388" s="1">
        <v>3</v>
      </c>
      <c r="L6388" s="1" t="s">
        <v>13</v>
      </c>
      <c r="M6388" s="1" t="str">
        <f>"江苏省 徐州市 贾汪区 紫庄镇"</f>
        <v>江苏省 徐州市 贾汪区 紫庄镇</v>
      </c>
      <c r="N6388" s="1" t="str">
        <f t="shared" si="1949"/>
        <v>凡华云仓-韵达-抖音</v>
      </c>
      <c r="O6388" s="5">
        <v>320177470885355</v>
      </c>
      <c r="P6388" s="6">
        <v>0.28000000000000003</v>
      </c>
      <c r="Q6388" s="11">
        <v>2</v>
      </c>
      <c r="R6388" s="11"/>
      <c r="S6388" s="11"/>
      <c r="T6388" s="11"/>
      <c r="U6388" s="11">
        <f t="shared" si="1943"/>
        <v>2</v>
      </c>
      <c r="W6388">
        <v>2.2000000000000002</v>
      </c>
      <c r="X6388" s="1" t="s">
        <v>13</v>
      </c>
    </row>
    <row r="6389" spans="1:24" x14ac:dyDescent="0.25">
      <c r="A6389" s="1" t="str">
        <f t="shared" si="1944"/>
        <v>卡卡杜-凤凰仓</v>
      </c>
      <c r="B6389" s="1" t="str">
        <f>"CK202410186784"</f>
        <v>CK202410186784</v>
      </c>
      <c r="C6389" s="1" t="str">
        <f>"DD2024101812344"</f>
        <v>DD2024101812344</v>
      </c>
      <c r="D6389" s="1" t="str">
        <f>"CK202410189690"</f>
        <v>CK202410189690</v>
      </c>
      <c r="E6389" s="1" t="str">
        <f>"6935149786101913098"</f>
        <v>6935149786101913098</v>
      </c>
      <c r="F6389" s="1" t="str">
        <f t="shared" si="1945"/>
        <v>花都四部-凤凰仓</v>
      </c>
      <c r="G6389" s="1" t="str">
        <f t="shared" si="1954"/>
        <v>卡卡杜个人护理店（抖店）</v>
      </c>
      <c r="H6389" s="1" t="str">
        <f t="shared" si="1946"/>
        <v>正常订单</v>
      </c>
      <c r="I6389" s="1" t="str">
        <f t="shared" si="1947"/>
        <v>已发货</v>
      </c>
      <c r="J6389" s="1" t="str">
        <f t="shared" si="1953"/>
        <v>3</v>
      </c>
      <c r="K6389" s="1">
        <v>3</v>
      </c>
      <c r="L6389" s="1" t="s">
        <v>16</v>
      </c>
      <c r="M6389" s="1" t="str">
        <f>"河北省 沧州市 运河区 "</f>
        <v xml:space="preserve">河北省 沧州市 运河区 </v>
      </c>
      <c r="N6389" s="1" t="str">
        <f t="shared" si="1949"/>
        <v>凡华云仓-韵达-抖音</v>
      </c>
      <c r="O6389" s="5">
        <v>320177470885262</v>
      </c>
      <c r="P6389" s="6">
        <v>0.28000000000000003</v>
      </c>
      <c r="Q6389" s="11">
        <v>2</v>
      </c>
      <c r="R6389" s="11"/>
      <c r="S6389" s="11"/>
      <c r="T6389" s="11"/>
      <c r="U6389" s="11">
        <f t="shared" si="1943"/>
        <v>2</v>
      </c>
      <c r="W6389">
        <v>2.2000000000000002</v>
      </c>
      <c r="X6389" s="1" t="s">
        <v>16</v>
      </c>
    </row>
    <row r="6390" spans="1:24" x14ac:dyDescent="0.25">
      <c r="A6390" s="1" t="str">
        <f t="shared" si="1944"/>
        <v>卡卡杜-凤凰仓</v>
      </c>
      <c r="B6390" s="1" t="str">
        <f>"CK202410186786"</f>
        <v>CK202410186786</v>
      </c>
      <c r="C6390" s="1" t="str">
        <f>"DD2024101812345"</f>
        <v>DD2024101812345</v>
      </c>
      <c r="D6390" s="1" t="str">
        <f>"CK202410189689"</f>
        <v>CK202410189689</v>
      </c>
      <c r="E6390" s="1" t="str">
        <f>"6935165031200658437"</f>
        <v>6935165031200658437</v>
      </c>
      <c r="F6390" s="1" t="str">
        <f t="shared" si="1945"/>
        <v>花都四部-凤凰仓</v>
      </c>
      <c r="G6390" s="1" t="str">
        <f t="shared" si="1954"/>
        <v>卡卡杜个人护理店（抖店）</v>
      </c>
      <c r="H6390" s="1" t="str">
        <f t="shared" si="1946"/>
        <v>正常订单</v>
      </c>
      <c r="I6390" s="1" t="str">
        <f t="shared" si="1947"/>
        <v>已发货</v>
      </c>
      <c r="J6390" s="1" t="str">
        <f t="shared" si="1953"/>
        <v>3</v>
      </c>
      <c r="K6390" s="1">
        <v>3</v>
      </c>
      <c r="L6390" s="1" t="s">
        <v>18</v>
      </c>
      <c r="M6390" s="1" t="str">
        <f>"广东省 广州市 花都区 花东镇"</f>
        <v>广东省 广州市 花都区 花东镇</v>
      </c>
      <c r="N6390" s="1" t="str">
        <f t="shared" si="1949"/>
        <v>凡华云仓-韵达-抖音</v>
      </c>
      <c r="O6390" s="5">
        <v>320177470885171</v>
      </c>
      <c r="P6390" s="6">
        <v>0.28000000000000003</v>
      </c>
      <c r="Q6390" s="11">
        <v>2</v>
      </c>
      <c r="R6390" s="11"/>
      <c r="S6390" s="11"/>
      <c r="T6390" s="11"/>
      <c r="U6390" s="11">
        <f t="shared" si="1943"/>
        <v>2</v>
      </c>
      <c r="W6390">
        <v>2.2000000000000002</v>
      </c>
      <c r="X6390" s="1" t="s">
        <v>18</v>
      </c>
    </row>
    <row r="6391" spans="1:24" x14ac:dyDescent="0.25">
      <c r="A6391" s="1" t="str">
        <f t="shared" si="1944"/>
        <v>卡卡杜-凤凰仓</v>
      </c>
      <c r="B6391" s="1" t="str">
        <f>"CK202410186787"</f>
        <v>CK202410186787</v>
      </c>
      <c r="C6391" s="1" t="str">
        <f>"DD2024101812346"</f>
        <v>DD2024101812346</v>
      </c>
      <c r="D6391" s="1" t="str">
        <f>"CK202410189688"</f>
        <v>CK202410189688</v>
      </c>
      <c r="E6391" s="1" t="str">
        <f>"6935151520216454531"</f>
        <v>6935151520216454531</v>
      </c>
      <c r="F6391" s="1" t="str">
        <f t="shared" si="1945"/>
        <v>花都四部-凤凰仓</v>
      </c>
      <c r="G6391" s="1" t="str">
        <f t="shared" si="1954"/>
        <v>卡卡杜个人护理店（抖店）</v>
      </c>
      <c r="H6391" s="1" t="str">
        <f t="shared" si="1946"/>
        <v>正常订单</v>
      </c>
      <c r="I6391" s="1" t="str">
        <f t="shared" si="1947"/>
        <v>已发货</v>
      </c>
      <c r="J6391" s="1" t="str">
        <f t="shared" si="1953"/>
        <v>3</v>
      </c>
      <c r="K6391" s="1">
        <v>3</v>
      </c>
      <c r="L6391" s="1" t="s">
        <v>18</v>
      </c>
      <c r="M6391" s="1" t="str">
        <f>"广东省 中山市 中山市 横栏镇"</f>
        <v>广东省 中山市 中山市 横栏镇</v>
      </c>
      <c r="N6391" s="1" t="str">
        <f t="shared" si="1949"/>
        <v>凡华云仓-韵达-抖音</v>
      </c>
      <c r="O6391" s="5">
        <v>320177470885082</v>
      </c>
      <c r="P6391" s="6">
        <v>0.28000000000000003</v>
      </c>
      <c r="Q6391" s="11">
        <v>2</v>
      </c>
      <c r="R6391" s="11"/>
      <c r="S6391" s="11"/>
      <c r="T6391" s="11"/>
      <c r="U6391" s="11">
        <f t="shared" si="1943"/>
        <v>2</v>
      </c>
      <c r="W6391">
        <v>2.2000000000000002</v>
      </c>
      <c r="X6391" s="1" t="s">
        <v>18</v>
      </c>
    </row>
    <row r="6392" spans="1:24" x14ac:dyDescent="0.25">
      <c r="A6392" s="1" t="str">
        <f t="shared" si="1944"/>
        <v>卡卡杜-凤凰仓</v>
      </c>
      <c r="B6392" s="1" t="str">
        <f>"CK202410186788"</f>
        <v>CK202410186788</v>
      </c>
      <c r="C6392" s="1" t="str">
        <f>"DD2024101812347"</f>
        <v>DD2024101812347</v>
      </c>
      <c r="D6392" s="1" t="str">
        <f>"CK202410189687"</f>
        <v>CK202410189687</v>
      </c>
      <c r="E6392" s="1" t="str">
        <f>"6935153753867229049"</f>
        <v>6935153753867229049</v>
      </c>
      <c r="F6392" s="1" t="str">
        <f t="shared" si="1945"/>
        <v>花都四部-凤凰仓</v>
      </c>
      <c r="G6392" s="1" t="str">
        <f t="shared" si="1954"/>
        <v>卡卡杜个人护理店（抖店）</v>
      </c>
      <c r="H6392" s="1" t="str">
        <f t="shared" si="1946"/>
        <v>正常订单</v>
      </c>
      <c r="I6392" s="1" t="str">
        <f t="shared" si="1947"/>
        <v>已发货</v>
      </c>
      <c r="J6392" s="1" t="str">
        <f t="shared" si="1953"/>
        <v>3</v>
      </c>
      <c r="K6392" s="1">
        <v>3</v>
      </c>
      <c r="L6392" s="1" t="s">
        <v>13</v>
      </c>
      <c r="M6392" s="1" t="str">
        <f>"江苏省 苏州市 太仓市 沙溪镇"</f>
        <v>江苏省 苏州市 太仓市 沙溪镇</v>
      </c>
      <c r="N6392" s="1" t="str">
        <f t="shared" si="1949"/>
        <v>凡华云仓-韵达-抖音</v>
      </c>
      <c r="O6392" s="5">
        <v>320177470884958</v>
      </c>
      <c r="P6392" s="6">
        <v>0.28000000000000003</v>
      </c>
      <c r="Q6392" s="11">
        <v>2</v>
      </c>
      <c r="R6392" s="11"/>
      <c r="S6392" s="11"/>
      <c r="T6392" s="11"/>
      <c r="U6392" s="11">
        <f t="shared" si="1943"/>
        <v>2</v>
      </c>
      <c r="W6392">
        <v>2.2000000000000002</v>
      </c>
      <c r="X6392" s="1" t="s">
        <v>13</v>
      </c>
    </row>
    <row r="6393" spans="1:24" x14ac:dyDescent="0.25">
      <c r="A6393" s="1" t="str">
        <f t="shared" si="1944"/>
        <v>卡卡杜-凤凰仓</v>
      </c>
      <c r="B6393" s="1" t="str">
        <f>"CK202410186789"</f>
        <v>CK202410186789</v>
      </c>
      <c r="C6393" s="1" t="str">
        <f>"DD2024101812348"</f>
        <v>DD2024101812348</v>
      </c>
      <c r="D6393" s="1" t="str">
        <f>"CK202410189686"</f>
        <v>CK202410189686</v>
      </c>
      <c r="E6393" s="1" t="str">
        <f>"6935156103035557244"</f>
        <v>6935156103035557244</v>
      </c>
      <c r="F6393" s="1" t="str">
        <f t="shared" si="1945"/>
        <v>花都四部-凤凰仓</v>
      </c>
      <c r="G6393" s="1" t="str">
        <f t="shared" si="1954"/>
        <v>卡卡杜个人护理店（抖店）</v>
      </c>
      <c r="H6393" s="1" t="str">
        <f t="shared" si="1946"/>
        <v>正常订单</v>
      </c>
      <c r="I6393" s="1" t="str">
        <f t="shared" si="1947"/>
        <v>已发货</v>
      </c>
      <c r="J6393" s="1" t="str">
        <f t="shared" si="1953"/>
        <v>3</v>
      </c>
      <c r="K6393" s="1">
        <v>3</v>
      </c>
      <c r="L6393" s="1" t="s">
        <v>94</v>
      </c>
      <c r="M6393" s="1" t="str">
        <f>"湖南省 株洲市 天元区 泰山路街道"</f>
        <v>湖南省 株洲市 天元区 泰山路街道</v>
      </c>
      <c r="N6393" s="1" t="str">
        <f t="shared" si="1949"/>
        <v>凡华云仓-韵达-抖音</v>
      </c>
      <c r="O6393" s="5">
        <v>320177470884853</v>
      </c>
      <c r="P6393" s="6">
        <v>0.28000000000000003</v>
      </c>
      <c r="Q6393" s="11">
        <v>2</v>
      </c>
      <c r="R6393" s="11"/>
      <c r="S6393" s="11"/>
      <c r="T6393" s="11"/>
      <c r="U6393" s="11">
        <f t="shared" si="1943"/>
        <v>2</v>
      </c>
      <c r="W6393">
        <v>2.2000000000000002</v>
      </c>
      <c r="X6393" s="1" t="s">
        <v>94</v>
      </c>
    </row>
    <row r="6394" spans="1:24" x14ac:dyDescent="0.25">
      <c r="A6394" s="1" t="str">
        <f t="shared" si="1944"/>
        <v>卡卡杜-凤凰仓</v>
      </c>
      <c r="B6394" s="1" t="str">
        <f>"CK2024101810003"</f>
        <v>CK2024101810003</v>
      </c>
      <c r="C6394" s="1" t="str">
        <f>"DD2024101815587"</f>
        <v>DD2024101815587</v>
      </c>
      <c r="D6394" s="1" t="str">
        <f>"CK202410189685"</f>
        <v>CK202410189685</v>
      </c>
      <c r="E6394" s="1" t="str">
        <f>"6935143419433850329"</f>
        <v>6935143419433850329</v>
      </c>
      <c r="F6394" s="1" t="str">
        <f t="shared" si="1945"/>
        <v>花都四部-凤凰仓</v>
      </c>
      <c r="G6394" s="1" t="str">
        <f t="shared" si="1954"/>
        <v>卡卡杜个人护理店（抖店）</v>
      </c>
      <c r="H6394" s="1" t="str">
        <f t="shared" si="1946"/>
        <v>正常订单</v>
      </c>
      <c r="I6394" s="1" t="str">
        <f t="shared" si="1947"/>
        <v>已发货</v>
      </c>
      <c r="J6394" s="1" t="str">
        <f t="shared" si="1953"/>
        <v>3</v>
      </c>
      <c r="K6394" s="1">
        <v>3</v>
      </c>
      <c r="L6394" s="1" t="s">
        <v>30</v>
      </c>
      <c r="M6394" s="1" t="str">
        <f>"山东省 烟台市 龙口市 龙港街道"</f>
        <v>山东省 烟台市 龙口市 龙港街道</v>
      </c>
      <c r="N6394" s="1" t="str">
        <f t="shared" si="1949"/>
        <v>凡华云仓-韵达-抖音</v>
      </c>
      <c r="O6394" s="5">
        <v>320177470884750</v>
      </c>
      <c r="P6394" s="6">
        <v>0.28000000000000003</v>
      </c>
      <c r="Q6394" s="11">
        <v>2</v>
      </c>
      <c r="R6394" s="11"/>
      <c r="S6394" s="11"/>
      <c r="T6394" s="11"/>
      <c r="U6394" s="11">
        <f t="shared" si="1943"/>
        <v>2</v>
      </c>
      <c r="W6394">
        <v>2.2000000000000002</v>
      </c>
      <c r="X6394" s="1" t="s">
        <v>30</v>
      </c>
    </row>
    <row r="6395" spans="1:24" x14ac:dyDescent="0.25">
      <c r="A6395" s="1" t="str">
        <f t="shared" si="1944"/>
        <v>卡卡杜-凤凰仓</v>
      </c>
      <c r="B6395" s="1" t="str">
        <f>"CK202410186790"</f>
        <v>CK202410186790</v>
      </c>
      <c r="C6395" s="1" t="str">
        <f>"DD2024101812349"</f>
        <v>DD2024101812349</v>
      </c>
      <c r="D6395" s="1" t="str">
        <f>"CK202410189684"</f>
        <v>CK202410189684</v>
      </c>
      <c r="E6395" s="1" t="str">
        <f>"6935151484269172380"</f>
        <v>6935151484269172380</v>
      </c>
      <c r="F6395" s="1" t="str">
        <f t="shared" si="1945"/>
        <v>花都四部-凤凰仓</v>
      </c>
      <c r="G6395" s="1" t="str">
        <f t="shared" si="1954"/>
        <v>卡卡杜个人护理店（抖店）</v>
      </c>
      <c r="H6395" s="1" t="str">
        <f t="shared" si="1946"/>
        <v>正常订单</v>
      </c>
      <c r="I6395" s="1" t="str">
        <f t="shared" si="1947"/>
        <v>已发货</v>
      </c>
      <c r="J6395" s="1" t="str">
        <f t="shared" si="1953"/>
        <v>3</v>
      </c>
      <c r="K6395" s="1">
        <v>3</v>
      </c>
      <c r="L6395" s="1" t="s">
        <v>105</v>
      </c>
      <c r="M6395" s="1" t="str">
        <f>"北京 北京市 顺义区 "</f>
        <v xml:space="preserve">北京 北京市 顺义区 </v>
      </c>
      <c r="N6395" s="1" t="str">
        <f t="shared" si="1949"/>
        <v>凡华云仓-韵达-抖音</v>
      </c>
      <c r="O6395" s="5">
        <v>320177470884649</v>
      </c>
      <c r="P6395" s="6">
        <v>0.28000000000000003</v>
      </c>
      <c r="Q6395" s="11">
        <v>2</v>
      </c>
      <c r="R6395" s="11"/>
      <c r="S6395" s="11"/>
      <c r="T6395" s="11"/>
      <c r="U6395" s="11">
        <f t="shared" si="1943"/>
        <v>2</v>
      </c>
      <c r="W6395">
        <v>2.2000000000000002</v>
      </c>
      <c r="X6395" s="1" t="s">
        <v>105</v>
      </c>
    </row>
    <row r="6396" spans="1:24" x14ac:dyDescent="0.25">
      <c r="A6396" s="1" t="str">
        <f t="shared" si="1944"/>
        <v>卡卡杜-凤凰仓</v>
      </c>
      <c r="B6396" s="1" t="str">
        <f>"CK202410186791"</f>
        <v>CK202410186791</v>
      </c>
      <c r="C6396" s="1" t="str">
        <f>"DD2024101812350"</f>
        <v>DD2024101812350</v>
      </c>
      <c r="D6396" s="1" t="str">
        <f>"CK202410189683"</f>
        <v>CK202410189683</v>
      </c>
      <c r="E6396" s="1" t="str">
        <f>"6935162773006193976"</f>
        <v>6935162773006193976</v>
      </c>
      <c r="F6396" s="1" t="str">
        <f t="shared" si="1945"/>
        <v>花都四部-凤凰仓</v>
      </c>
      <c r="G6396" s="1" t="str">
        <f t="shared" si="1954"/>
        <v>卡卡杜个人护理店（抖店）</v>
      </c>
      <c r="H6396" s="1" t="str">
        <f t="shared" si="1946"/>
        <v>正常订单</v>
      </c>
      <c r="I6396" s="1" t="str">
        <f t="shared" si="1947"/>
        <v>已发货</v>
      </c>
      <c r="J6396" s="1" t="str">
        <f t="shared" si="1953"/>
        <v>3</v>
      </c>
      <c r="K6396" s="1">
        <v>3</v>
      </c>
      <c r="L6396" s="1" t="s">
        <v>36</v>
      </c>
      <c r="M6396" s="1" t="str">
        <f>"安徽省 黄山市 屯溪区 新潭镇"</f>
        <v>安徽省 黄山市 屯溪区 新潭镇</v>
      </c>
      <c r="N6396" s="1" t="str">
        <f t="shared" si="1949"/>
        <v>凡华云仓-韵达-抖音</v>
      </c>
      <c r="O6396" s="5">
        <v>320177482280777</v>
      </c>
      <c r="P6396" s="6">
        <v>0.28000000000000003</v>
      </c>
      <c r="Q6396" s="11">
        <v>2</v>
      </c>
      <c r="R6396" s="11"/>
      <c r="S6396" s="11"/>
      <c r="T6396" s="11"/>
      <c r="U6396" s="11">
        <f t="shared" si="1943"/>
        <v>2</v>
      </c>
      <c r="W6396">
        <v>2.2000000000000002</v>
      </c>
      <c r="X6396" s="1" t="s">
        <v>36</v>
      </c>
    </row>
    <row r="6397" spans="1:24" x14ac:dyDescent="0.25">
      <c r="A6397" s="1" t="str">
        <f t="shared" si="1944"/>
        <v>卡卡杜-凤凰仓</v>
      </c>
      <c r="B6397" s="1" t="str">
        <f>"CK202410186792"</f>
        <v>CK202410186792</v>
      </c>
      <c r="C6397" s="1" t="str">
        <f>"DD2024101812351"</f>
        <v>DD2024101812351</v>
      </c>
      <c r="D6397" s="1" t="str">
        <f>"CK202410189682"</f>
        <v>CK202410189682</v>
      </c>
      <c r="E6397" s="1" t="str">
        <f>"6935167450917574311"</f>
        <v>6935167450917574311</v>
      </c>
      <c r="F6397" s="1" t="str">
        <f t="shared" si="1945"/>
        <v>花都四部-凤凰仓</v>
      </c>
      <c r="G6397" s="1" t="str">
        <f t="shared" si="1954"/>
        <v>卡卡杜个人护理店（抖店）</v>
      </c>
      <c r="H6397" s="1" t="str">
        <f t="shared" si="1946"/>
        <v>正常订单</v>
      </c>
      <c r="I6397" s="1" t="str">
        <f t="shared" si="1947"/>
        <v>已发货</v>
      </c>
      <c r="J6397" s="1" t="str">
        <f t="shared" si="1953"/>
        <v>3</v>
      </c>
      <c r="K6397" s="1">
        <v>3</v>
      </c>
      <c r="L6397" s="1" t="s">
        <v>18</v>
      </c>
      <c r="M6397" s="1" t="str">
        <f>"广东省 东莞市 东莞市 厚街镇"</f>
        <v>广东省 东莞市 东莞市 厚街镇</v>
      </c>
      <c r="N6397" s="1" t="str">
        <f t="shared" si="1949"/>
        <v>凡华云仓-韵达-抖音</v>
      </c>
      <c r="O6397" s="5">
        <v>320177482280676</v>
      </c>
      <c r="P6397" s="6">
        <v>0.28000000000000003</v>
      </c>
      <c r="Q6397" s="11">
        <v>2</v>
      </c>
      <c r="R6397" s="11"/>
      <c r="S6397" s="11"/>
      <c r="T6397" s="11"/>
      <c r="U6397" s="11">
        <f t="shared" si="1943"/>
        <v>2</v>
      </c>
      <c r="W6397">
        <v>2.2000000000000002</v>
      </c>
      <c r="X6397" s="1" t="s">
        <v>18</v>
      </c>
    </row>
    <row r="6398" spans="1:24" x14ac:dyDescent="0.25">
      <c r="A6398" s="1" t="str">
        <f t="shared" si="1944"/>
        <v>卡卡杜-凤凰仓</v>
      </c>
      <c r="B6398" s="1" t="str">
        <f>"CK202410186793"</f>
        <v>CK202410186793</v>
      </c>
      <c r="C6398" s="1" t="str">
        <f>"DD2024101812352"</f>
        <v>DD2024101812352</v>
      </c>
      <c r="D6398" s="1" t="str">
        <f>"CK202410189681"</f>
        <v>CK202410189681</v>
      </c>
      <c r="E6398" s="1" t="str">
        <f>"6935149882039342594"</f>
        <v>6935149882039342594</v>
      </c>
      <c r="F6398" s="1" t="str">
        <f t="shared" si="1945"/>
        <v>花都四部-凤凰仓</v>
      </c>
      <c r="G6398" s="1" t="str">
        <f t="shared" si="1954"/>
        <v>卡卡杜个人护理店（抖店）</v>
      </c>
      <c r="H6398" s="1" t="str">
        <f t="shared" si="1946"/>
        <v>正常订单</v>
      </c>
      <c r="I6398" s="1" t="str">
        <f t="shared" si="1947"/>
        <v>已发货</v>
      </c>
      <c r="J6398" s="1" t="str">
        <f t="shared" si="1953"/>
        <v>3</v>
      </c>
      <c r="K6398" s="1">
        <v>3</v>
      </c>
      <c r="L6398" s="1" t="s">
        <v>16</v>
      </c>
      <c r="M6398" s="1" t="str">
        <f>"河北省 邢台市 南宫市 凤岗街道"</f>
        <v>河北省 邢台市 南宫市 凤岗街道</v>
      </c>
      <c r="N6398" s="1" t="str">
        <f t="shared" si="1949"/>
        <v>凡华云仓-韵达-抖音</v>
      </c>
      <c r="O6398" s="5">
        <v>320177482280577</v>
      </c>
      <c r="P6398" s="6">
        <v>0.28000000000000003</v>
      </c>
      <c r="Q6398" s="11">
        <v>2</v>
      </c>
      <c r="R6398" s="11"/>
      <c r="S6398" s="11"/>
      <c r="T6398" s="11"/>
      <c r="U6398" s="11">
        <f t="shared" si="1943"/>
        <v>2</v>
      </c>
      <c r="W6398">
        <v>2.2000000000000002</v>
      </c>
      <c r="X6398" s="1" t="s">
        <v>16</v>
      </c>
    </row>
    <row r="6399" spans="1:24" x14ac:dyDescent="0.25">
      <c r="A6399" s="1" t="str">
        <f t="shared" si="1944"/>
        <v>卡卡杜-凤凰仓</v>
      </c>
      <c r="B6399" s="1" t="str">
        <f>"CK202410186794"</f>
        <v>CK202410186794</v>
      </c>
      <c r="C6399" s="1" t="str">
        <f>"DD2024101812353"</f>
        <v>DD2024101812353</v>
      </c>
      <c r="D6399" s="1" t="str">
        <f>"CK202410189680"</f>
        <v>CK202410189680</v>
      </c>
      <c r="E6399" s="1" t="str">
        <f>"6935145274969560731"</f>
        <v>6935145274969560731</v>
      </c>
      <c r="F6399" s="1" t="str">
        <f t="shared" si="1945"/>
        <v>花都四部-凤凰仓</v>
      </c>
      <c r="G6399" s="1" t="str">
        <f t="shared" si="1954"/>
        <v>卡卡杜个人护理店（抖店）</v>
      </c>
      <c r="H6399" s="1" t="str">
        <f t="shared" si="1946"/>
        <v>正常订单</v>
      </c>
      <c r="I6399" s="1" t="str">
        <f t="shared" si="1947"/>
        <v>已发货</v>
      </c>
      <c r="J6399" s="1" t="str">
        <f t="shared" si="1953"/>
        <v>3</v>
      </c>
      <c r="K6399" s="1">
        <v>3</v>
      </c>
      <c r="L6399" s="1" t="s">
        <v>96</v>
      </c>
      <c r="M6399" s="1" t="str">
        <f>"广西壮族自治区 玉林市 北流市 白马镇"</f>
        <v>广西壮族自治区 玉林市 北流市 白马镇</v>
      </c>
      <c r="N6399" s="1" t="str">
        <f t="shared" si="1949"/>
        <v>凡华云仓-韵达-抖音</v>
      </c>
      <c r="O6399" s="5">
        <v>320177482280480</v>
      </c>
      <c r="P6399" s="6">
        <v>0.28000000000000003</v>
      </c>
      <c r="Q6399" s="11">
        <v>2</v>
      </c>
      <c r="R6399" s="11"/>
      <c r="S6399" s="11"/>
      <c r="T6399" s="11"/>
      <c r="U6399" s="11">
        <f t="shared" si="1943"/>
        <v>2</v>
      </c>
      <c r="W6399">
        <v>2.2000000000000002</v>
      </c>
      <c r="X6399" s="1" t="s">
        <v>96</v>
      </c>
    </row>
    <row r="6400" spans="1:24" x14ac:dyDescent="0.25">
      <c r="A6400" s="1" t="str">
        <f t="shared" si="1944"/>
        <v>卡卡杜-凤凰仓</v>
      </c>
      <c r="B6400" s="1" t="str">
        <f>"CK202410186795"</f>
        <v>CK202410186795</v>
      </c>
      <c r="C6400" s="1" t="str">
        <f>"DD2024101812355"</f>
        <v>DD2024101812355</v>
      </c>
      <c r="D6400" s="1" t="str">
        <f>"CK202410189679"</f>
        <v>CK202410189679</v>
      </c>
      <c r="E6400" s="1" t="str">
        <f>"6935158320861812645"</f>
        <v>6935158320861812645</v>
      </c>
      <c r="F6400" s="1" t="str">
        <f t="shared" si="1945"/>
        <v>花都四部-凤凰仓</v>
      </c>
      <c r="G6400" s="1" t="str">
        <f t="shared" si="1954"/>
        <v>卡卡杜个人护理店（抖店）</v>
      </c>
      <c r="H6400" s="1" t="str">
        <f t="shared" si="1946"/>
        <v>正常订单</v>
      </c>
      <c r="I6400" s="1" t="str">
        <f t="shared" si="1947"/>
        <v>已发货</v>
      </c>
      <c r="J6400" s="1" t="str">
        <f t="shared" si="1953"/>
        <v>3</v>
      </c>
      <c r="K6400" s="1">
        <v>3</v>
      </c>
      <c r="L6400" s="1" t="s">
        <v>13</v>
      </c>
      <c r="M6400" s="1" t="str">
        <f>"江苏省 连云港市 海州区 新东街道"</f>
        <v>江苏省 连云港市 海州区 新东街道</v>
      </c>
      <c r="N6400" s="1" t="str">
        <f t="shared" si="1949"/>
        <v>凡华云仓-韵达-抖音</v>
      </c>
      <c r="O6400" s="5">
        <v>320177482280385</v>
      </c>
      <c r="P6400" s="6">
        <v>0.28000000000000003</v>
      </c>
      <c r="Q6400" s="11">
        <v>2</v>
      </c>
      <c r="R6400" s="11"/>
      <c r="S6400" s="11"/>
      <c r="T6400" s="11"/>
      <c r="U6400" s="11">
        <f t="shared" si="1943"/>
        <v>2</v>
      </c>
      <c r="W6400">
        <v>2.2000000000000002</v>
      </c>
      <c r="X6400" s="1" t="s">
        <v>13</v>
      </c>
    </row>
    <row r="6401" spans="1:24" x14ac:dyDescent="0.25">
      <c r="A6401" s="1" t="str">
        <f t="shared" si="1944"/>
        <v>卡卡杜-凤凰仓</v>
      </c>
      <c r="B6401" s="1" t="str">
        <f>"CK202410186796"</f>
        <v>CK202410186796</v>
      </c>
      <c r="C6401" s="1" t="str">
        <f>"DD2024101812354"</f>
        <v>DD2024101812354</v>
      </c>
      <c r="D6401" s="1" t="str">
        <f>"CK202410189678"</f>
        <v>CK202410189678</v>
      </c>
      <c r="E6401" s="1" t="str">
        <f>"6935162802863871240"</f>
        <v>6935162802863871240</v>
      </c>
      <c r="F6401" s="1" t="str">
        <f t="shared" si="1945"/>
        <v>花都四部-凤凰仓</v>
      </c>
      <c r="G6401" s="1" t="str">
        <f t="shared" si="1954"/>
        <v>卡卡杜个人护理店（抖店）</v>
      </c>
      <c r="H6401" s="1" t="str">
        <f t="shared" si="1946"/>
        <v>正常订单</v>
      </c>
      <c r="I6401" s="1" t="str">
        <f t="shared" si="1947"/>
        <v>已发货</v>
      </c>
      <c r="J6401" s="1" t="str">
        <f t="shared" si="1953"/>
        <v>3</v>
      </c>
      <c r="K6401" s="1">
        <v>3</v>
      </c>
      <c r="L6401" s="1" t="s">
        <v>30</v>
      </c>
      <c r="M6401" s="1" t="str">
        <f>"山东省 泰安市 新泰市 青云街道"</f>
        <v>山东省 泰安市 新泰市 青云街道</v>
      </c>
      <c r="N6401" s="1" t="str">
        <f t="shared" si="1949"/>
        <v>凡华云仓-韵达-抖音</v>
      </c>
      <c r="O6401" s="5">
        <v>320177482280292</v>
      </c>
      <c r="P6401" s="6">
        <v>0.28000000000000003</v>
      </c>
      <c r="Q6401" s="11">
        <v>2</v>
      </c>
      <c r="R6401" s="11"/>
      <c r="S6401" s="11"/>
      <c r="T6401" s="11"/>
      <c r="U6401" s="11">
        <f t="shared" si="1943"/>
        <v>2</v>
      </c>
      <c r="W6401">
        <v>2.2000000000000002</v>
      </c>
      <c r="X6401" s="1" t="s">
        <v>30</v>
      </c>
    </row>
    <row r="6402" spans="1:24" x14ac:dyDescent="0.25">
      <c r="A6402" s="1" t="str">
        <f t="shared" si="1944"/>
        <v>卡卡杜-凤凰仓</v>
      </c>
      <c r="B6402" s="1" t="str">
        <f>"CK202410186797"</f>
        <v>CK202410186797</v>
      </c>
      <c r="C6402" s="1" t="str">
        <f>"DD2024101812356"</f>
        <v>DD2024101812356</v>
      </c>
      <c r="D6402" s="1" t="str">
        <f>"CK202410189677"</f>
        <v>CK202410189677</v>
      </c>
      <c r="E6402" s="1" t="str">
        <f>"6935153803553215527"</f>
        <v>6935153803553215527</v>
      </c>
      <c r="F6402" s="1" t="str">
        <f t="shared" si="1945"/>
        <v>花都四部-凤凰仓</v>
      </c>
      <c r="G6402" s="1" t="str">
        <f t="shared" si="1954"/>
        <v>卡卡杜个人护理店（抖店）</v>
      </c>
      <c r="H6402" s="1" t="str">
        <f t="shared" si="1946"/>
        <v>正常订单</v>
      </c>
      <c r="I6402" s="1" t="str">
        <f t="shared" si="1947"/>
        <v>已发货</v>
      </c>
      <c r="J6402" s="1" t="str">
        <f t="shared" si="1953"/>
        <v>3</v>
      </c>
      <c r="K6402" s="1">
        <v>3</v>
      </c>
      <c r="L6402" s="1" t="s">
        <v>20</v>
      </c>
      <c r="M6402" s="1" t="str">
        <f>"浙江省 温州市 乐清市 柳市镇"</f>
        <v>浙江省 温州市 乐清市 柳市镇</v>
      </c>
      <c r="N6402" s="1" t="str">
        <f t="shared" si="1949"/>
        <v>凡华云仓-韵达-抖音</v>
      </c>
      <c r="O6402" s="5">
        <v>320177482280101</v>
      </c>
      <c r="P6402" s="6">
        <v>0.28000000000000003</v>
      </c>
      <c r="Q6402" s="11">
        <v>2</v>
      </c>
      <c r="R6402" s="11"/>
      <c r="S6402" s="11"/>
      <c r="T6402" s="11"/>
      <c r="U6402" s="11">
        <f t="shared" si="1943"/>
        <v>2</v>
      </c>
      <c r="W6402">
        <v>2.2000000000000002</v>
      </c>
      <c r="X6402" s="1" t="s">
        <v>20</v>
      </c>
    </row>
    <row r="6403" spans="1:24" x14ac:dyDescent="0.25">
      <c r="A6403" s="1" t="str">
        <f t="shared" si="1944"/>
        <v>卡卡杜-凤凰仓</v>
      </c>
      <c r="B6403" s="1" t="str">
        <f>"CK202410186798"</f>
        <v>CK202410186798</v>
      </c>
      <c r="C6403" s="1" t="str">
        <f>"DD2024101812358"</f>
        <v>DD2024101812358</v>
      </c>
      <c r="D6403" s="1" t="str">
        <f>"CK202410189676"</f>
        <v>CK202410189676</v>
      </c>
      <c r="E6403" s="1" t="str">
        <f>"6935162714481563113"</f>
        <v>6935162714481563113</v>
      </c>
      <c r="F6403" s="1" t="str">
        <f t="shared" si="1945"/>
        <v>花都四部-凤凰仓</v>
      </c>
      <c r="G6403" s="1" t="str">
        <f t="shared" si="1954"/>
        <v>卡卡杜个人护理店（抖店）</v>
      </c>
      <c r="H6403" s="1" t="str">
        <f t="shared" si="1946"/>
        <v>正常订单</v>
      </c>
      <c r="I6403" s="1" t="str">
        <f t="shared" si="1947"/>
        <v>已发货</v>
      </c>
      <c r="J6403" s="1" t="str">
        <f t="shared" si="1953"/>
        <v>3</v>
      </c>
      <c r="K6403" s="1">
        <v>3</v>
      </c>
      <c r="L6403" s="1" t="s">
        <v>16</v>
      </c>
      <c r="M6403" s="1" t="str">
        <f>"河北省 沧州市 任丘市 青塔乡"</f>
        <v>河北省 沧州市 任丘市 青塔乡</v>
      </c>
      <c r="N6403" s="1" t="str">
        <f t="shared" si="1949"/>
        <v>凡华云仓-韵达-抖音</v>
      </c>
      <c r="O6403" s="5">
        <v>320177482280012</v>
      </c>
      <c r="P6403" s="6">
        <v>0.28000000000000003</v>
      </c>
      <c r="Q6403" s="11">
        <v>2</v>
      </c>
      <c r="R6403" s="11"/>
      <c r="S6403" s="11"/>
      <c r="T6403" s="11"/>
      <c r="U6403" s="11">
        <f t="shared" ref="U6403:U6466" si="1955">T6403+S6403+R6403+Q6403</f>
        <v>2</v>
      </c>
      <c r="W6403">
        <v>2.2000000000000002</v>
      </c>
      <c r="X6403" s="1" t="s">
        <v>16</v>
      </c>
    </row>
    <row r="6404" spans="1:24" x14ac:dyDescent="0.25">
      <c r="A6404" s="1" t="str">
        <f t="shared" si="1944"/>
        <v>卡卡杜-凤凰仓</v>
      </c>
      <c r="B6404" s="1" t="str">
        <f>"CK202410186799"</f>
        <v>CK202410186799</v>
      </c>
      <c r="C6404" s="1" t="str">
        <f>"DD2024101812357"</f>
        <v>DD2024101812357</v>
      </c>
      <c r="D6404" s="1" t="str">
        <f>"CK202410189675"</f>
        <v>CK202410189675</v>
      </c>
      <c r="E6404" s="1" t="str">
        <f>"6935153787075237813"</f>
        <v>6935153787075237813</v>
      </c>
      <c r="F6404" s="1" t="str">
        <f t="shared" si="1945"/>
        <v>花都四部-凤凰仓</v>
      </c>
      <c r="G6404" s="1" t="str">
        <f t="shared" si="1954"/>
        <v>卡卡杜个人护理店（抖店）</v>
      </c>
      <c r="H6404" s="1" t="str">
        <f t="shared" si="1946"/>
        <v>正常订单</v>
      </c>
      <c r="I6404" s="1" t="str">
        <f t="shared" si="1947"/>
        <v>已发货</v>
      </c>
      <c r="J6404" s="1" t="str">
        <f t="shared" si="1953"/>
        <v>3</v>
      </c>
      <c r="K6404" s="1">
        <v>3</v>
      </c>
      <c r="L6404" s="1" t="s">
        <v>18</v>
      </c>
      <c r="M6404" s="1" t="str">
        <f>"广东省 东莞市 东莞市 大朗镇"</f>
        <v>广东省 东莞市 东莞市 大朗镇</v>
      </c>
      <c r="N6404" s="1" t="str">
        <f t="shared" si="1949"/>
        <v>凡华云仓-韵达-抖音</v>
      </c>
      <c r="O6404" s="5">
        <v>320177482279955</v>
      </c>
      <c r="P6404" s="6">
        <v>0.28000000000000003</v>
      </c>
      <c r="Q6404" s="11">
        <v>2</v>
      </c>
      <c r="R6404" s="11"/>
      <c r="S6404" s="11"/>
      <c r="T6404" s="11"/>
      <c r="U6404" s="11">
        <f t="shared" si="1955"/>
        <v>2</v>
      </c>
      <c r="W6404">
        <v>2.2000000000000002</v>
      </c>
      <c r="X6404" s="1" t="s">
        <v>18</v>
      </c>
    </row>
    <row r="6405" spans="1:24" x14ac:dyDescent="0.25">
      <c r="A6405" s="1" t="str">
        <f t="shared" ref="A6405:A6468" si="1956">"卡卡杜-凤凰仓"</f>
        <v>卡卡杜-凤凰仓</v>
      </c>
      <c r="B6405" s="1" t="str">
        <f>"CK202410186801"</f>
        <v>CK202410186801</v>
      </c>
      <c r="C6405" s="1" t="str">
        <f>"DD2024101812359"</f>
        <v>DD2024101812359</v>
      </c>
      <c r="D6405" s="1" t="str">
        <f>"CK202410189674"</f>
        <v>CK202410189674</v>
      </c>
      <c r="E6405" s="1" t="str">
        <f>"6935162819193869328"</f>
        <v>6935162819193869328</v>
      </c>
      <c r="F6405" s="1" t="str">
        <f t="shared" ref="F6405:F6468" si="1957">"花都四部-凤凰仓"</f>
        <v>花都四部-凤凰仓</v>
      </c>
      <c r="G6405" s="1" t="str">
        <f t="shared" si="1954"/>
        <v>卡卡杜个人护理店（抖店）</v>
      </c>
      <c r="H6405" s="1" t="str">
        <f t="shared" ref="H6405:H6468" si="1958">"正常订单"</f>
        <v>正常订单</v>
      </c>
      <c r="I6405" s="1" t="str">
        <f t="shared" ref="I6405:I6468" si="1959">"已发货"</f>
        <v>已发货</v>
      </c>
      <c r="J6405" s="1" t="str">
        <f t="shared" si="1953"/>
        <v>3</v>
      </c>
      <c r="K6405" s="1">
        <v>3</v>
      </c>
      <c r="L6405" s="1" t="s">
        <v>80</v>
      </c>
      <c r="M6405" s="1" t="str">
        <f>"河南省 信阳市 罗山县 庙仙乡"</f>
        <v>河南省 信阳市 罗山县 庙仙乡</v>
      </c>
      <c r="N6405" s="1" t="str">
        <f t="shared" si="1949"/>
        <v>凡华云仓-韵达-抖音</v>
      </c>
      <c r="O6405" s="5">
        <v>320177482279850</v>
      </c>
      <c r="P6405" s="6">
        <v>0.28000000000000003</v>
      </c>
      <c r="Q6405" s="11">
        <v>2</v>
      </c>
      <c r="R6405" s="11"/>
      <c r="S6405" s="11"/>
      <c r="T6405" s="11"/>
      <c r="U6405" s="11">
        <f t="shared" si="1955"/>
        <v>2</v>
      </c>
      <c r="W6405">
        <v>2.2000000000000002</v>
      </c>
      <c r="X6405" s="1" t="s">
        <v>80</v>
      </c>
    </row>
    <row r="6406" spans="1:24" x14ac:dyDescent="0.25">
      <c r="A6406" s="1" t="str">
        <f t="shared" si="1956"/>
        <v>卡卡杜-凤凰仓</v>
      </c>
      <c r="B6406" s="1" t="str">
        <f>"CK202410186800"</f>
        <v>CK202410186800</v>
      </c>
      <c r="C6406" s="1" t="str">
        <f>"DD2024101812362"</f>
        <v>DD2024101812362</v>
      </c>
      <c r="D6406" s="1" t="str">
        <f>"CK202410189673"</f>
        <v>CK202410189673</v>
      </c>
      <c r="E6406" s="1" t="str">
        <f>"6935162741446022711"</f>
        <v>6935162741446022711</v>
      </c>
      <c r="F6406" s="1" t="str">
        <f t="shared" si="1957"/>
        <v>花都四部-凤凰仓</v>
      </c>
      <c r="G6406" s="1" t="str">
        <f t="shared" si="1954"/>
        <v>卡卡杜个人护理店（抖店）</v>
      </c>
      <c r="H6406" s="1" t="str">
        <f t="shared" si="1958"/>
        <v>正常订单</v>
      </c>
      <c r="I6406" s="1" t="str">
        <f t="shared" si="1959"/>
        <v>已发货</v>
      </c>
      <c r="J6406" s="1" t="str">
        <f t="shared" si="1953"/>
        <v>3</v>
      </c>
      <c r="K6406" s="1">
        <v>3</v>
      </c>
      <c r="L6406" s="1" t="s">
        <v>20</v>
      </c>
      <c r="M6406" s="1" t="str">
        <f>"浙江省 温州市 苍南县 钱库镇"</f>
        <v>浙江省 温州市 苍南县 钱库镇</v>
      </c>
      <c r="N6406" s="1" t="str">
        <f t="shared" si="1949"/>
        <v>凡华云仓-韵达-抖音</v>
      </c>
      <c r="O6406" s="5">
        <v>320177484340861</v>
      </c>
      <c r="P6406" s="6">
        <v>0.28000000000000003</v>
      </c>
      <c r="Q6406" s="11">
        <v>2</v>
      </c>
      <c r="R6406" s="11"/>
      <c r="S6406" s="11"/>
      <c r="T6406" s="11"/>
      <c r="U6406" s="11">
        <f t="shared" si="1955"/>
        <v>2</v>
      </c>
      <c r="W6406">
        <v>2.2000000000000002</v>
      </c>
      <c r="X6406" s="1" t="s">
        <v>20</v>
      </c>
    </row>
    <row r="6407" spans="1:24" x14ac:dyDescent="0.25">
      <c r="A6407" s="1" t="str">
        <f t="shared" si="1956"/>
        <v>卡卡杜-凤凰仓</v>
      </c>
      <c r="B6407" s="1" t="str">
        <f>"CK202410186802"</f>
        <v>CK202410186802</v>
      </c>
      <c r="C6407" s="1" t="str">
        <f>"DD2024101812360"</f>
        <v>DD2024101812360</v>
      </c>
      <c r="D6407" s="1" t="str">
        <f>"CK202410189672"</f>
        <v>CK202410189672</v>
      </c>
      <c r="E6407" s="1" t="str">
        <f>"6935169683293148293"</f>
        <v>6935169683293148293</v>
      </c>
      <c r="F6407" s="1" t="str">
        <f t="shared" si="1957"/>
        <v>花都四部-凤凰仓</v>
      </c>
      <c r="G6407" s="1" t="str">
        <f t="shared" si="1954"/>
        <v>卡卡杜个人护理店（抖店）</v>
      </c>
      <c r="H6407" s="1" t="str">
        <f t="shared" si="1958"/>
        <v>正常订单</v>
      </c>
      <c r="I6407" s="1" t="str">
        <f t="shared" si="1959"/>
        <v>已发货</v>
      </c>
      <c r="J6407" s="1" t="str">
        <f t="shared" si="1953"/>
        <v>3</v>
      </c>
      <c r="K6407" s="1">
        <v>3</v>
      </c>
      <c r="L6407" s="1" t="s">
        <v>109</v>
      </c>
      <c r="M6407" s="1" t="str">
        <f>"山西省 太原市 杏花岭区 敦化坊街道"</f>
        <v>山西省 太原市 杏花岭区 敦化坊街道</v>
      </c>
      <c r="N6407" s="1" t="str">
        <f t="shared" si="1949"/>
        <v>凡华云仓-韵达-抖音</v>
      </c>
      <c r="O6407" s="5">
        <v>320177484340758</v>
      </c>
      <c r="P6407" s="6">
        <v>0.28000000000000003</v>
      </c>
      <c r="Q6407" s="11">
        <v>2</v>
      </c>
      <c r="R6407" s="11"/>
      <c r="S6407" s="11"/>
      <c r="T6407" s="11"/>
      <c r="U6407" s="11">
        <f t="shared" si="1955"/>
        <v>2</v>
      </c>
      <c r="W6407">
        <v>2.2000000000000002</v>
      </c>
      <c r="X6407" s="1" t="s">
        <v>109</v>
      </c>
    </row>
    <row r="6408" spans="1:24" x14ac:dyDescent="0.25">
      <c r="A6408" s="1" t="str">
        <f t="shared" si="1956"/>
        <v>卡卡杜-凤凰仓</v>
      </c>
      <c r="B6408" s="1" t="str">
        <f>"CK202410186803"</f>
        <v>CK202410186803</v>
      </c>
      <c r="C6408" s="1" t="str">
        <f>"DD2024101812361"</f>
        <v>DD2024101812361</v>
      </c>
      <c r="D6408" s="1" t="str">
        <f>"CK202410189671"</f>
        <v>CK202410189671</v>
      </c>
      <c r="E6408" s="1" t="str">
        <f>"6935151479700854746"</f>
        <v>6935151479700854746</v>
      </c>
      <c r="F6408" s="1" t="str">
        <f t="shared" si="1957"/>
        <v>花都四部-凤凰仓</v>
      </c>
      <c r="G6408" s="1" t="str">
        <f t="shared" si="1954"/>
        <v>卡卡杜个人护理店（抖店）</v>
      </c>
      <c r="H6408" s="1" t="str">
        <f t="shared" si="1958"/>
        <v>正常订单</v>
      </c>
      <c r="I6408" s="1" t="str">
        <f t="shared" si="1959"/>
        <v>已发货</v>
      </c>
      <c r="J6408" s="1" t="str">
        <f t="shared" si="1953"/>
        <v>3</v>
      </c>
      <c r="K6408" s="1">
        <v>3</v>
      </c>
      <c r="L6408" s="1" t="s">
        <v>105</v>
      </c>
      <c r="M6408" s="1" t="str">
        <f>"北京 北京市 平谷区 夏各庄镇"</f>
        <v>北京 北京市 平谷区 夏各庄镇</v>
      </c>
      <c r="N6408" s="1" t="str">
        <f t="shared" si="1949"/>
        <v>凡华云仓-韵达-抖音</v>
      </c>
      <c r="O6408" s="5">
        <v>320177484340657</v>
      </c>
      <c r="P6408" s="6">
        <v>0.28000000000000003</v>
      </c>
      <c r="Q6408" s="11">
        <v>2</v>
      </c>
      <c r="R6408" s="11"/>
      <c r="S6408" s="11"/>
      <c r="T6408" s="11"/>
      <c r="U6408" s="11">
        <f t="shared" si="1955"/>
        <v>2</v>
      </c>
      <c r="W6408">
        <v>2.2000000000000002</v>
      </c>
      <c r="X6408" s="1" t="s">
        <v>105</v>
      </c>
    </row>
    <row r="6409" spans="1:24" x14ac:dyDescent="0.25">
      <c r="A6409" s="1" t="str">
        <f t="shared" si="1956"/>
        <v>卡卡杜-凤凰仓</v>
      </c>
      <c r="B6409" s="1" t="str">
        <f>"CK202410186804"</f>
        <v>CK202410186804</v>
      </c>
      <c r="C6409" s="1" t="str">
        <f>"DD2024101812363"</f>
        <v>DD2024101812363</v>
      </c>
      <c r="D6409" s="1" t="str">
        <f>"CK202410189670"</f>
        <v>CK202410189670</v>
      </c>
      <c r="E6409" s="1" t="str">
        <f>"6935169707462105064"</f>
        <v>6935169707462105064</v>
      </c>
      <c r="F6409" s="1" t="str">
        <f t="shared" si="1957"/>
        <v>花都四部-凤凰仓</v>
      </c>
      <c r="G6409" s="1" t="str">
        <f t="shared" si="1954"/>
        <v>卡卡杜个人护理店（抖店）</v>
      </c>
      <c r="H6409" s="1" t="str">
        <f t="shared" si="1958"/>
        <v>正常订单</v>
      </c>
      <c r="I6409" s="1" t="str">
        <f t="shared" si="1959"/>
        <v>已发货</v>
      </c>
      <c r="J6409" s="1" t="str">
        <f t="shared" si="1953"/>
        <v>3</v>
      </c>
      <c r="K6409" s="1">
        <v>3</v>
      </c>
      <c r="L6409" s="1" t="s">
        <v>41</v>
      </c>
      <c r="M6409" s="1" t="str">
        <f>"湖北省 襄阳市 襄城区 庞公街道"</f>
        <v>湖北省 襄阳市 襄城区 庞公街道</v>
      </c>
      <c r="N6409" s="1" t="str">
        <f t="shared" si="1949"/>
        <v>凡华云仓-韵达-抖音</v>
      </c>
      <c r="O6409" s="5">
        <v>320177484340558</v>
      </c>
      <c r="P6409" s="6">
        <v>0.28000000000000003</v>
      </c>
      <c r="Q6409" s="11">
        <v>2</v>
      </c>
      <c r="R6409" s="11"/>
      <c r="S6409" s="11"/>
      <c r="T6409" s="11"/>
      <c r="U6409" s="11">
        <f t="shared" si="1955"/>
        <v>2</v>
      </c>
      <c r="W6409">
        <v>2.2000000000000002</v>
      </c>
      <c r="X6409" s="1" t="s">
        <v>41</v>
      </c>
    </row>
    <row r="6410" spans="1:24" x14ac:dyDescent="0.25">
      <c r="A6410" s="1" t="str">
        <f t="shared" si="1956"/>
        <v>卡卡杜-凤凰仓</v>
      </c>
      <c r="B6410" s="1" t="str">
        <f>"CK202410186805"</f>
        <v>CK202410186805</v>
      </c>
      <c r="C6410" s="1" t="str">
        <f>"DD2024101812364"</f>
        <v>DD2024101812364</v>
      </c>
      <c r="D6410" s="1" t="str">
        <f>"CK202410189669"</f>
        <v>CK202410189669</v>
      </c>
      <c r="E6410" s="1" t="str">
        <f>"6935145172264490487"</f>
        <v>6935145172264490487</v>
      </c>
      <c r="F6410" s="1" t="str">
        <f t="shared" si="1957"/>
        <v>花都四部-凤凰仓</v>
      </c>
      <c r="G6410" s="1" t="str">
        <f t="shared" si="1954"/>
        <v>卡卡杜个人护理店（抖店）</v>
      </c>
      <c r="H6410" s="1" t="str">
        <f t="shared" si="1958"/>
        <v>正常订单</v>
      </c>
      <c r="I6410" s="1" t="str">
        <f t="shared" si="1959"/>
        <v>已发货</v>
      </c>
      <c r="J6410" s="1" t="str">
        <f t="shared" si="1953"/>
        <v>3</v>
      </c>
      <c r="K6410" s="1">
        <v>3</v>
      </c>
      <c r="L6410" s="1" t="s">
        <v>60</v>
      </c>
      <c r="M6410" s="1" t="str">
        <f>"云南省 文山壮族苗族自治州 西畴县 西洒镇"</f>
        <v>云南省 文山壮族苗族自治州 西畴县 西洒镇</v>
      </c>
      <c r="N6410" s="1" t="str">
        <f t="shared" si="1949"/>
        <v>凡华云仓-韵达-抖音</v>
      </c>
      <c r="O6410" s="5">
        <v>320177484340461</v>
      </c>
      <c r="P6410" s="6">
        <v>0.28000000000000003</v>
      </c>
      <c r="Q6410" s="11">
        <v>2</v>
      </c>
      <c r="R6410" s="11"/>
      <c r="S6410" s="11"/>
      <c r="T6410" s="11"/>
      <c r="U6410" s="11">
        <f t="shared" si="1955"/>
        <v>2</v>
      </c>
      <c r="W6410">
        <v>2.2000000000000002</v>
      </c>
      <c r="X6410" s="1" t="s">
        <v>60</v>
      </c>
    </row>
    <row r="6411" spans="1:24" x14ac:dyDescent="0.25">
      <c r="A6411" s="1" t="str">
        <f t="shared" si="1956"/>
        <v>卡卡杜-凤凰仓</v>
      </c>
      <c r="B6411" s="1" t="str">
        <f>"CK202410186807"</f>
        <v>CK202410186807</v>
      </c>
      <c r="C6411" s="1" t="str">
        <f>"DD2024101812365"</f>
        <v>DD2024101812365</v>
      </c>
      <c r="D6411" s="1" t="str">
        <f>"CK202410189668"</f>
        <v>CK202410189668</v>
      </c>
      <c r="E6411" s="1" t="str">
        <f>"6935147186099393818"</f>
        <v>6935147186099393818</v>
      </c>
      <c r="F6411" s="1" t="str">
        <f t="shared" si="1957"/>
        <v>花都四部-凤凰仓</v>
      </c>
      <c r="G6411" s="1" t="str">
        <f t="shared" si="1954"/>
        <v>卡卡杜个人护理店（抖店）</v>
      </c>
      <c r="H6411" s="1" t="str">
        <f t="shared" si="1958"/>
        <v>正常订单</v>
      </c>
      <c r="I6411" s="1" t="str">
        <f t="shared" si="1959"/>
        <v>已发货</v>
      </c>
      <c r="J6411" s="1" t="str">
        <f t="shared" si="1953"/>
        <v>3</v>
      </c>
      <c r="K6411" s="1">
        <v>3</v>
      </c>
      <c r="L6411" s="1" t="s">
        <v>30</v>
      </c>
      <c r="M6411" s="1" t="str">
        <f>"山东省 青岛市 平度市 东阁街道"</f>
        <v>山东省 青岛市 平度市 东阁街道</v>
      </c>
      <c r="N6411" s="1" t="str">
        <f t="shared" si="1949"/>
        <v>凡华云仓-韵达-抖音</v>
      </c>
      <c r="O6411" s="5">
        <v>320177484340366</v>
      </c>
      <c r="P6411" s="6">
        <v>0.28000000000000003</v>
      </c>
      <c r="Q6411" s="11">
        <v>2</v>
      </c>
      <c r="R6411" s="11"/>
      <c r="S6411" s="11"/>
      <c r="T6411" s="11"/>
      <c r="U6411" s="11">
        <f t="shared" si="1955"/>
        <v>2</v>
      </c>
      <c r="W6411">
        <v>2.2000000000000002</v>
      </c>
      <c r="X6411" s="1" t="s">
        <v>30</v>
      </c>
    </row>
    <row r="6412" spans="1:24" x14ac:dyDescent="0.25">
      <c r="A6412" s="1" t="str">
        <f t="shared" si="1956"/>
        <v>卡卡杜-凤凰仓</v>
      </c>
      <c r="B6412" s="1" t="str">
        <f>"CK202410186806"</f>
        <v>CK202410186806</v>
      </c>
      <c r="C6412" s="1" t="str">
        <f>"DD2024101812366"</f>
        <v>DD2024101812366</v>
      </c>
      <c r="D6412" s="1" t="str">
        <f>"CK202410189667"</f>
        <v>CK202410189667</v>
      </c>
      <c r="E6412" s="1" t="str">
        <f>"6935145220772337053"</f>
        <v>6935145220772337053</v>
      </c>
      <c r="F6412" s="1" t="str">
        <f t="shared" si="1957"/>
        <v>花都四部-凤凰仓</v>
      </c>
      <c r="G6412" s="1" t="str">
        <f t="shared" si="1954"/>
        <v>卡卡杜个人护理店（抖店）</v>
      </c>
      <c r="H6412" s="1" t="str">
        <f t="shared" si="1958"/>
        <v>正常订单</v>
      </c>
      <c r="I6412" s="1" t="str">
        <f t="shared" si="1959"/>
        <v>已发货</v>
      </c>
      <c r="J6412" s="1" t="str">
        <f t="shared" si="1953"/>
        <v>3</v>
      </c>
      <c r="K6412" s="1">
        <v>3</v>
      </c>
      <c r="L6412" s="1" t="s">
        <v>94</v>
      </c>
      <c r="M6412" s="1" t="str">
        <f>"湖南省 常德市 临澧县 佘市桥镇"</f>
        <v>湖南省 常德市 临澧县 佘市桥镇</v>
      </c>
      <c r="N6412" s="1" t="str">
        <f t="shared" si="1949"/>
        <v>凡华云仓-韵达-抖音</v>
      </c>
      <c r="O6412" s="5">
        <v>320177484340273</v>
      </c>
      <c r="P6412" s="6">
        <v>0.28000000000000003</v>
      </c>
      <c r="Q6412" s="11">
        <v>2</v>
      </c>
      <c r="R6412" s="11"/>
      <c r="S6412" s="11"/>
      <c r="T6412" s="11"/>
      <c r="U6412" s="11">
        <f t="shared" si="1955"/>
        <v>2</v>
      </c>
      <c r="W6412">
        <v>2.2000000000000002</v>
      </c>
      <c r="X6412" s="1" t="s">
        <v>94</v>
      </c>
    </row>
    <row r="6413" spans="1:24" x14ac:dyDescent="0.25">
      <c r="A6413" s="1" t="str">
        <f t="shared" si="1956"/>
        <v>卡卡杜-凤凰仓</v>
      </c>
      <c r="B6413" s="1" t="str">
        <f>"CK202410186809"</f>
        <v>CK202410186809</v>
      </c>
      <c r="C6413" s="1" t="str">
        <f>"DD2024101812367"</f>
        <v>DD2024101812367</v>
      </c>
      <c r="D6413" s="1" t="str">
        <f>"CK202410189666"</f>
        <v>CK202410189666</v>
      </c>
      <c r="E6413" s="1" t="str">
        <f>"6935171957534103438"</f>
        <v>6935171957534103438</v>
      </c>
      <c r="F6413" s="1" t="str">
        <f t="shared" si="1957"/>
        <v>花都四部-凤凰仓</v>
      </c>
      <c r="G6413" s="1" t="str">
        <f t="shared" si="1954"/>
        <v>卡卡杜个人护理店（抖店）</v>
      </c>
      <c r="H6413" s="1" t="str">
        <f t="shared" si="1958"/>
        <v>正常订单</v>
      </c>
      <c r="I6413" s="1" t="str">
        <f t="shared" si="1959"/>
        <v>已发货</v>
      </c>
      <c r="J6413" s="1" t="str">
        <f t="shared" si="1953"/>
        <v>3</v>
      </c>
      <c r="K6413" s="1">
        <v>3</v>
      </c>
      <c r="L6413" s="1" t="s">
        <v>41</v>
      </c>
      <c r="M6413" s="1" t="str">
        <f>"湖北省 武汉市 硚口区 宝丰街道"</f>
        <v>湖北省 武汉市 硚口区 宝丰街道</v>
      </c>
      <c r="N6413" s="1" t="str">
        <f t="shared" si="1949"/>
        <v>凡华云仓-韵达-抖音</v>
      </c>
      <c r="O6413" s="5">
        <v>320177484340182</v>
      </c>
      <c r="P6413" s="6">
        <v>0.28000000000000003</v>
      </c>
      <c r="Q6413" s="11">
        <v>2</v>
      </c>
      <c r="R6413" s="11"/>
      <c r="S6413" s="11"/>
      <c r="T6413" s="11"/>
      <c r="U6413" s="11">
        <f t="shared" si="1955"/>
        <v>2</v>
      </c>
      <c r="W6413">
        <v>2.2000000000000002</v>
      </c>
      <c r="X6413" s="1" t="s">
        <v>41</v>
      </c>
    </row>
    <row r="6414" spans="1:24" x14ac:dyDescent="0.25">
      <c r="A6414" s="1" t="str">
        <f t="shared" si="1956"/>
        <v>卡卡杜-凤凰仓</v>
      </c>
      <c r="B6414" s="1" t="str">
        <f>"CK202410186808"</f>
        <v>CK202410186808</v>
      </c>
      <c r="C6414" s="1" t="str">
        <f>"DD2024101812368"</f>
        <v>DD2024101812368</v>
      </c>
      <c r="D6414" s="1" t="str">
        <f>"CK202410189665"</f>
        <v>CK202410189665</v>
      </c>
      <c r="E6414" s="1" t="str">
        <f>"6935141000682805018"</f>
        <v>6935141000682805018</v>
      </c>
      <c r="F6414" s="1" t="str">
        <f t="shared" si="1957"/>
        <v>花都四部-凤凰仓</v>
      </c>
      <c r="G6414" s="1" t="str">
        <f t="shared" si="1954"/>
        <v>卡卡杜个人护理店（抖店）</v>
      </c>
      <c r="H6414" s="1" t="str">
        <f t="shared" si="1958"/>
        <v>正常订单</v>
      </c>
      <c r="I6414" s="1" t="str">
        <f t="shared" si="1959"/>
        <v>已发货</v>
      </c>
      <c r="J6414" s="1" t="str">
        <f t="shared" si="1953"/>
        <v>3</v>
      </c>
      <c r="K6414" s="1">
        <v>3</v>
      </c>
      <c r="L6414" s="1" t="s">
        <v>36</v>
      </c>
      <c r="M6414" s="1" t="str">
        <f>"安徽省 蚌埠市 固镇县 石湖乡"</f>
        <v>安徽省 蚌埠市 固镇县 石湖乡</v>
      </c>
      <c r="N6414" s="1" t="str">
        <f t="shared" si="1949"/>
        <v>凡华云仓-韵达-抖音</v>
      </c>
      <c r="O6414" s="5">
        <v>320177484340093</v>
      </c>
      <c r="P6414" s="6">
        <v>0.28000000000000003</v>
      </c>
      <c r="Q6414" s="11">
        <v>2</v>
      </c>
      <c r="R6414" s="11"/>
      <c r="S6414" s="11"/>
      <c r="T6414" s="11"/>
      <c r="U6414" s="11">
        <f t="shared" si="1955"/>
        <v>2</v>
      </c>
      <c r="W6414">
        <v>2.2000000000000002</v>
      </c>
      <c r="X6414" s="1" t="s">
        <v>36</v>
      </c>
    </row>
    <row r="6415" spans="1:24" x14ac:dyDescent="0.25">
      <c r="A6415" s="1" t="str">
        <f t="shared" si="1956"/>
        <v>卡卡杜-凤凰仓</v>
      </c>
      <c r="B6415" s="1" t="str">
        <f>"CK202410186810"</f>
        <v>CK202410186810</v>
      </c>
      <c r="C6415" s="1" t="str">
        <f>"DD2024101812369"</f>
        <v>DD2024101812369</v>
      </c>
      <c r="D6415" s="1" t="str">
        <f>"CK202410189664"</f>
        <v>CK202410189664</v>
      </c>
      <c r="E6415" s="1" t="str">
        <f>"6935165029945448394"</f>
        <v>6935165029945448394</v>
      </c>
      <c r="F6415" s="1" t="str">
        <f t="shared" si="1957"/>
        <v>花都四部-凤凰仓</v>
      </c>
      <c r="G6415" s="1" t="str">
        <f t="shared" si="1954"/>
        <v>卡卡杜个人护理店（抖店）</v>
      </c>
      <c r="H6415" s="1" t="str">
        <f t="shared" si="1958"/>
        <v>正常订单</v>
      </c>
      <c r="I6415" s="1" t="str">
        <f t="shared" si="1959"/>
        <v>已发货</v>
      </c>
      <c r="J6415" s="1" t="str">
        <f t="shared" si="1953"/>
        <v>3</v>
      </c>
      <c r="K6415" s="1">
        <v>3</v>
      </c>
      <c r="L6415" s="1" t="s">
        <v>96</v>
      </c>
      <c r="M6415" s="1" t="str">
        <f>"广西壮族自治区 桂林市 永福县 永福镇"</f>
        <v>广西壮族自治区 桂林市 永福县 永福镇</v>
      </c>
      <c r="N6415" s="1" t="str">
        <f t="shared" si="1949"/>
        <v>凡华云仓-韵达-抖音</v>
      </c>
      <c r="O6415" s="5">
        <v>320177484339944</v>
      </c>
      <c r="P6415" s="6">
        <v>0.28000000000000003</v>
      </c>
      <c r="Q6415" s="11">
        <v>2</v>
      </c>
      <c r="R6415" s="11"/>
      <c r="S6415" s="11"/>
      <c r="T6415" s="11"/>
      <c r="U6415" s="11">
        <f t="shared" si="1955"/>
        <v>2</v>
      </c>
      <c r="W6415">
        <v>2.2000000000000002</v>
      </c>
      <c r="X6415" s="1" t="s">
        <v>96</v>
      </c>
    </row>
    <row r="6416" spans="1:24" x14ac:dyDescent="0.25">
      <c r="A6416" s="1" t="str">
        <f t="shared" si="1956"/>
        <v>卡卡杜-凤凰仓</v>
      </c>
      <c r="B6416" s="1" t="str">
        <f>"CK202410186812"</f>
        <v>CK202410186812</v>
      </c>
      <c r="C6416" s="1" t="str">
        <f>"DD2024101812373"</f>
        <v>DD2024101812373</v>
      </c>
      <c r="D6416" s="1" t="str">
        <f>"CK202410189663"</f>
        <v>CK202410189663</v>
      </c>
      <c r="E6416" s="1" t="str">
        <f>"6935141071249151960"</f>
        <v>6935141071249151960</v>
      </c>
      <c r="F6416" s="1" t="str">
        <f t="shared" si="1957"/>
        <v>花都四部-凤凰仓</v>
      </c>
      <c r="G6416" s="1" t="str">
        <f t="shared" si="1954"/>
        <v>卡卡杜个人护理店（抖店）</v>
      </c>
      <c r="H6416" s="1" t="str">
        <f t="shared" si="1958"/>
        <v>正常订单</v>
      </c>
      <c r="I6416" s="1" t="str">
        <f t="shared" si="1959"/>
        <v>已发货</v>
      </c>
      <c r="J6416" s="1" t="str">
        <f t="shared" si="1953"/>
        <v>3</v>
      </c>
      <c r="K6416" s="1">
        <v>3</v>
      </c>
      <c r="L6416" s="1" t="s">
        <v>13</v>
      </c>
      <c r="M6416" s="1" t="str">
        <f>"江苏省 南京市 六合区 大厂街道"</f>
        <v>江苏省 南京市 六合区 大厂街道</v>
      </c>
      <c r="N6416" s="1" t="str">
        <f t="shared" si="1949"/>
        <v>凡华云仓-韵达-抖音</v>
      </c>
      <c r="O6416" s="5">
        <v>320177471521284</v>
      </c>
      <c r="P6416" s="6">
        <v>0.28000000000000003</v>
      </c>
      <c r="Q6416" s="11">
        <v>2</v>
      </c>
      <c r="R6416" s="11"/>
      <c r="S6416" s="11"/>
      <c r="T6416" s="11"/>
      <c r="U6416" s="11">
        <f t="shared" si="1955"/>
        <v>2</v>
      </c>
      <c r="W6416">
        <v>2.2000000000000002</v>
      </c>
      <c r="X6416" s="1" t="s">
        <v>13</v>
      </c>
    </row>
    <row r="6417" spans="1:24" x14ac:dyDescent="0.25">
      <c r="A6417" s="1" t="str">
        <f t="shared" si="1956"/>
        <v>卡卡杜-凤凰仓</v>
      </c>
      <c r="B6417" s="1" t="str">
        <f>"CK202410186811"</f>
        <v>CK202410186811</v>
      </c>
      <c r="C6417" s="1" t="str">
        <f>"DD2024101812370"</f>
        <v>DD2024101812370</v>
      </c>
      <c r="D6417" s="1" t="str">
        <f>"CK202410189662"</f>
        <v>CK202410189662</v>
      </c>
      <c r="E6417" s="1" t="str">
        <f>"6935171870288516139"</f>
        <v>6935171870288516139</v>
      </c>
      <c r="F6417" s="1" t="str">
        <f t="shared" si="1957"/>
        <v>花都四部-凤凰仓</v>
      </c>
      <c r="G6417" s="1" t="str">
        <f t="shared" si="1954"/>
        <v>卡卡杜个人护理店（抖店）</v>
      </c>
      <c r="H6417" s="1" t="str">
        <f t="shared" si="1958"/>
        <v>正常订单</v>
      </c>
      <c r="I6417" s="1" t="str">
        <f t="shared" si="1959"/>
        <v>已发货</v>
      </c>
      <c r="J6417" s="1" t="str">
        <f t="shared" si="1953"/>
        <v>3</v>
      </c>
      <c r="K6417" s="1">
        <v>3</v>
      </c>
      <c r="L6417" s="1" t="s">
        <v>96</v>
      </c>
      <c r="M6417" s="1" t="str">
        <f>"广西壮族自治区 南宁市 江南区 福建园街道"</f>
        <v>广西壮族自治区 南宁市 江南区 福建园街道</v>
      </c>
      <c r="N6417" s="1" t="str">
        <f t="shared" si="1949"/>
        <v>凡华云仓-韵达-抖音</v>
      </c>
      <c r="O6417" s="5">
        <v>320177471521193</v>
      </c>
      <c r="P6417" s="6">
        <v>0.28000000000000003</v>
      </c>
      <c r="Q6417" s="11">
        <v>2</v>
      </c>
      <c r="R6417" s="11"/>
      <c r="S6417" s="11"/>
      <c r="T6417" s="11"/>
      <c r="U6417" s="11">
        <f t="shared" si="1955"/>
        <v>2</v>
      </c>
      <c r="W6417">
        <v>2.2000000000000002</v>
      </c>
      <c r="X6417" s="1" t="s">
        <v>96</v>
      </c>
    </row>
    <row r="6418" spans="1:24" x14ac:dyDescent="0.25">
      <c r="A6418" s="1" t="str">
        <f t="shared" si="1956"/>
        <v>卡卡杜-凤凰仓</v>
      </c>
      <c r="B6418" s="1" t="str">
        <f>"CK202410186813"</f>
        <v>CK202410186813</v>
      </c>
      <c r="C6418" s="1" t="str">
        <f>"DD2024101812371"</f>
        <v>DD2024101812371</v>
      </c>
      <c r="D6418" s="1" t="str">
        <f>"CK202410189661"</f>
        <v>CK202410189661</v>
      </c>
      <c r="E6418" s="1" t="str">
        <f>"6935169570318128378"</f>
        <v>6935169570318128378</v>
      </c>
      <c r="F6418" s="1" t="str">
        <f t="shared" si="1957"/>
        <v>花都四部-凤凰仓</v>
      </c>
      <c r="G6418" s="1" t="str">
        <f t="shared" si="1954"/>
        <v>卡卡杜个人护理店（抖店）</v>
      </c>
      <c r="H6418" s="1" t="str">
        <f t="shared" si="1958"/>
        <v>正常订单</v>
      </c>
      <c r="I6418" s="1" t="str">
        <f t="shared" si="1959"/>
        <v>已发货</v>
      </c>
      <c r="J6418" s="1" t="str">
        <f t="shared" si="1953"/>
        <v>3</v>
      </c>
      <c r="K6418" s="1">
        <v>3</v>
      </c>
      <c r="L6418" s="1" t="s">
        <v>13</v>
      </c>
      <c r="M6418" s="1" t="str">
        <f>"江苏省 淮安市 淮安区 淮城街道"</f>
        <v>江苏省 淮安市 淮安区 淮城街道</v>
      </c>
      <c r="N6418" s="1" t="str">
        <f t="shared" si="1949"/>
        <v>凡华云仓-韵达-抖音</v>
      </c>
      <c r="O6418" s="5">
        <v>320177471521004</v>
      </c>
      <c r="P6418" s="6">
        <v>0.28000000000000003</v>
      </c>
      <c r="Q6418" s="11">
        <v>2</v>
      </c>
      <c r="R6418" s="11"/>
      <c r="S6418" s="11"/>
      <c r="T6418" s="11"/>
      <c r="U6418" s="11">
        <f t="shared" si="1955"/>
        <v>2</v>
      </c>
      <c r="W6418">
        <v>2.2000000000000002</v>
      </c>
      <c r="X6418" s="1" t="s">
        <v>13</v>
      </c>
    </row>
    <row r="6419" spans="1:24" x14ac:dyDescent="0.25">
      <c r="A6419" s="1" t="str">
        <f t="shared" si="1956"/>
        <v>卡卡杜-凤凰仓</v>
      </c>
      <c r="B6419" s="1" t="str">
        <f>"CK202410186815"</f>
        <v>CK202410186815</v>
      </c>
      <c r="C6419" s="1" t="str">
        <f>"DD2024101812374"</f>
        <v>DD2024101812374</v>
      </c>
      <c r="D6419" s="1" t="str">
        <f>"CK202410189660"</f>
        <v>CK202410189660</v>
      </c>
      <c r="E6419" s="1" t="str">
        <f>"6935171938497140456"</f>
        <v>6935171938497140456</v>
      </c>
      <c r="F6419" s="1" t="str">
        <f t="shared" si="1957"/>
        <v>花都四部-凤凰仓</v>
      </c>
      <c r="G6419" s="1" t="str">
        <f t="shared" si="1954"/>
        <v>卡卡杜个人护理店（抖店）</v>
      </c>
      <c r="H6419" s="1" t="str">
        <f t="shared" si="1958"/>
        <v>正常订单</v>
      </c>
      <c r="I6419" s="1" t="str">
        <f t="shared" si="1959"/>
        <v>已发货</v>
      </c>
      <c r="J6419" s="1" t="str">
        <f t="shared" si="1953"/>
        <v>3</v>
      </c>
      <c r="K6419" s="1">
        <v>3</v>
      </c>
      <c r="L6419" s="1" t="s">
        <v>30</v>
      </c>
      <c r="M6419" s="1" t="str">
        <f>"山东省 德州市 陵城区 临齐街道"</f>
        <v>山东省 德州市 陵城区 临齐街道</v>
      </c>
      <c r="N6419" s="1" t="str">
        <f t="shared" si="1949"/>
        <v>凡华云仓-韵达-抖音</v>
      </c>
      <c r="O6419" s="5">
        <v>320177471520988</v>
      </c>
      <c r="P6419" s="6">
        <v>0.28000000000000003</v>
      </c>
      <c r="Q6419" s="11">
        <v>2</v>
      </c>
      <c r="R6419" s="11"/>
      <c r="S6419" s="11"/>
      <c r="T6419" s="11"/>
      <c r="U6419" s="11">
        <f t="shared" si="1955"/>
        <v>2</v>
      </c>
      <c r="W6419">
        <v>2.2000000000000002</v>
      </c>
      <c r="X6419" s="1" t="s">
        <v>30</v>
      </c>
    </row>
    <row r="6420" spans="1:24" x14ac:dyDescent="0.25">
      <c r="A6420" s="1" t="str">
        <f t="shared" si="1956"/>
        <v>卡卡杜-凤凰仓</v>
      </c>
      <c r="B6420" s="1" t="str">
        <f>"CK202410186814"</f>
        <v>CK202410186814</v>
      </c>
      <c r="C6420" s="1" t="str">
        <f>"DD2024101812372"</f>
        <v>DD2024101812372</v>
      </c>
      <c r="D6420" s="1" t="str">
        <f>"CK202410189659"</f>
        <v>CK202410189659</v>
      </c>
      <c r="E6420" s="1" t="str">
        <f>"6935160853852395403"</f>
        <v>6935160853852395403</v>
      </c>
      <c r="F6420" s="1" t="str">
        <f t="shared" si="1957"/>
        <v>花都四部-凤凰仓</v>
      </c>
      <c r="G6420" s="1" t="str">
        <f t="shared" si="1954"/>
        <v>卡卡杜个人护理店（抖店）</v>
      </c>
      <c r="H6420" s="1" t="str">
        <f t="shared" si="1958"/>
        <v>正常订单</v>
      </c>
      <c r="I6420" s="1" t="str">
        <f t="shared" si="1959"/>
        <v>已发货</v>
      </c>
      <c r="J6420" s="1" t="str">
        <f t="shared" si="1953"/>
        <v>3</v>
      </c>
      <c r="K6420" s="1">
        <v>3</v>
      </c>
      <c r="L6420" s="1" t="s">
        <v>13</v>
      </c>
      <c r="M6420" s="1" t="str">
        <f>"江苏省 连云港市 东海县 牛山街道"</f>
        <v>江苏省 连云港市 东海县 牛山街道</v>
      </c>
      <c r="N6420" s="1" t="str">
        <f t="shared" si="1949"/>
        <v>凡华云仓-韵达-抖音</v>
      </c>
      <c r="O6420" s="5">
        <v>320177471520883</v>
      </c>
      <c r="P6420" s="6">
        <v>0.28000000000000003</v>
      </c>
      <c r="Q6420" s="11">
        <v>2</v>
      </c>
      <c r="R6420" s="11"/>
      <c r="S6420" s="11"/>
      <c r="T6420" s="11"/>
      <c r="U6420" s="11">
        <f t="shared" si="1955"/>
        <v>2</v>
      </c>
      <c r="W6420">
        <v>2.2000000000000002</v>
      </c>
      <c r="X6420" s="1" t="s">
        <v>13</v>
      </c>
    </row>
    <row r="6421" spans="1:24" x14ac:dyDescent="0.25">
      <c r="A6421" s="1" t="str">
        <f t="shared" si="1956"/>
        <v>卡卡杜-凤凰仓</v>
      </c>
      <c r="B6421" s="1" t="str">
        <f>"CK202410186818"</f>
        <v>CK202410186818</v>
      </c>
      <c r="C6421" s="1" t="str">
        <f>"DD2024101812378"</f>
        <v>DD2024101812378</v>
      </c>
      <c r="D6421" s="1" t="str">
        <f>"CK202410189658"</f>
        <v>CK202410189658</v>
      </c>
      <c r="E6421" s="1" t="str">
        <f>"6935143444321998320"</f>
        <v>6935143444321998320</v>
      </c>
      <c r="F6421" s="1" t="str">
        <f t="shared" si="1957"/>
        <v>花都四部-凤凰仓</v>
      </c>
      <c r="G6421" s="1" t="str">
        <f t="shared" si="1954"/>
        <v>卡卡杜个人护理店（抖店）</v>
      </c>
      <c r="H6421" s="1" t="str">
        <f t="shared" si="1958"/>
        <v>正常订单</v>
      </c>
      <c r="I6421" s="1" t="str">
        <f t="shared" si="1959"/>
        <v>已发货</v>
      </c>
      <c r="J6421" s="1" t="str">
        <f t="shared" si="1953"/>
        <v>3</v>
      </c>
      <c r="K6421" s="1">
        <v>3</v>
      </c>
      <c r="L6421" s="1" t="s">
        <v>96</v>
      </c>
      <c r="M6421" s="1" t="str">
        <f>"广西壮族自治区 南宁市 江南区 吴圩镇"</f>
        <v>广西壮族自治区 南宁市 江南区 吴圩镇</v>
      </c>
      <c r="N6421" s="1" t="str">
        <f t="shared" si="1949"/>
        <v>凡华云仓-韵达-抖音</v>
      </c>
      <c r="O6421" s="5">
        <v>320177471520780</v>
      </c>
      <c r="P6421" s="6">
        <v>0.28000000000000003</v>
      </c>
      <c r="Q6421" s="11">
        <v>2</v>
      </c>
      <c r="R6421" s="11"/>
      <c r="S6421" s="11"/>
      <c r="T6421" s="11"/>
      <c r="U6421" s="11">
        <f t="shared" si="1955"/>
        <v>2</v>
      </c>
      <c r="W6421">
        <v>2.2000000000000002</v>
      </c>
      <c r="X6421" s="1" t="s">
        <v>96</v>
      </c>
    </row>
    <row r="6422" spans="1:24" x14ac:dyDescent="0.25">
      <c r="A6422" s="1" t="str">
        <f t="shared" si="1956"/>
        <v>卡卡杜-凤凰仓</v>
      </c>
      <c r="B6422" s="1" t="str">
        <f>"CK202410186816"</f>
        <v>CK202410186816</v>
      </c>
      <c r="C6422" s="1" t="str">
        <f>"DD2024101812375"</f>
        <v>DD2024101812375</v>
      </c>
      <c r="D6422" s="1" t="str">
        <f>"CK202410189657"</f>
        <v>CK202410189657</v>
      </c>
      <c r="E6422" s="1" t="str">
        <f>"6935145230440077178"</f>
        <v>6935145230440077178</v>
      </c>
      <c r="F6422" s="1" t="str">
        <f t="shared" si="1957"/>
        <v>花都四部-凤凰仓</v>
      </c>
      <c r="G6422" s="1" t="str">
        <f t="shared" si="1954"/>
        <v>卡卡杜个人护理店（抖店）</v>
      </c>
      <c r="H6422" s="1" t="str">
        <f t="shared" si="1958"/>
        <v>正常订单</v>
      </c>
      <c r="I6422" s="1" t="str">
        <f t="shared" si="1959"/>
        <v>已发货</v>
      </c>
      <c r="J6422" s="1" t="str">
        <f t="shared" si="1953"/>
        <v>3</v>
      </c>
      <c r="K6422" s="1">
        <v>3</v>
      </c>
      <c r="L6422" s="1" t="s">
        <v>13</v>
      </c>
      <c r="M6422" s="1" t="str">
        <f>"江苏省 连云港市 灌云县 "</f>
        <v xml:space="preserve">江苏省 连云港市 灌云县 </v>
      </c>
      <c r="N6422" s="1" t="str">
        <f t="shared" si="1949"/>
        <v>凡华云仓-韵达-抖音</v>
      </c>
      <c r="O6422" s="5">
        <v>320177471520679</v>
      </c>
      <c r="P6422" s="6">
        <v>0.28000000000000003</v>
      </c>
      <c r="Q6422" s="11">
        <v>2</v>
      </c>
      <c r="R6422" s="11"/>
      <c r="S6422" s="11"/>
      <c r="T6422" s="11"/>
      <c r="U6422" s="11">
        <f t="shared" si="1955"/>
        <v>2</v>
      </c>
      <c r="W6422">
        <v>2.2000000000000002</v>
      </c>
      <c r="X6422" s="1" t="s">
        <v>13</v>
      </c>
    </row>
    <row r="6423" spans="1:24" x14ac:dyDescent="0.25">
      <c r="A6423" s="1" t="str">
        <f t="shared" si="1956"/>
        <v>卡卡杜-凤凰仓</v>
      </c>
      <c r="B6423" s="1" t="str">
        <f>"CK202410186817"</f>
        <v>CK202410186817</v>
      </c>
      <c r="C6423" s="1" t="str">
        <f>"DD2024101812376"</f>
        <v>DD2024101812376</v>
      </c>
      <c r="D6423" s="1" t="str">
        <f>"CK202410189656"</f>
        <v>CK202410189656</v>
      </c>
      <c r="E6423" s="1" t="str">
        <f>"6935162809376184126"</f>
        <v>6935162809376184126</v>
      </c>
      <c r="F6423" s="1" t="str">
        <f t="shared" si="1957"/>
        <v>花都四部-凤凰仓</v>
      </c>
      <c r="G6423" s="1" t="str">
        <f t="shared" si="1954"/>
        <v>卡卡杜个人护理店（抖店）</v>
      </c>
      <c r="H6423" s="1" t="str">
        <f t="shared" si="1958"/>
        <v>正常订单</v>
      </c>
      <c r="I6423" s="1" t="str">
        <f t="shared" si="1959"/>
        <v>已发货</v>
      </c>
      <c r="J6423" s="1" t="str">
        <f t="shared" si="1953"/>
        <v>3</v>
      </c>
      <c r="K6423" s="1">
        <v>3</v>
      </c>
      <c r="L6423" s="1" t="s">
        <v>105</v>
      </c>
      <c r="M6423" s="1" t="str">
        <f>"北京 北京市 朝阳区 双井街道"</f>
        <v>北京 北京市 朝阳区 双井街道</v>
      </c>
      <c r="N6423" s="1" t="str">
        <f t="shared" si="1949"/>
        <v>凡华云仓-韵达-抖音</v>
      </c>
      <c r="O6423" s="5">
        <v>320177471520580</v>
      </c>
      <c r="P6423" s="6">
        <v>0.28000000000000003</v>
      </c>
      <c r="Q6423" s="11">
        <v>2</v>
      </c>
      <c r="R6423" s="11"/>
      <c r="S6423" s="11"/>
      <c r="T6423" s="11"/>
      <c r="U6423" s="11">
        <f t="shared" si="1955"/>
        <v>2</v>
      </c>
      <c r="W6423">
        <v>2.2000000000000002</v>
      </c>
      <c r="X6423" s="1" t="s">
        <v>105</v>
      </c>
    </row>
    <row r="6424" spans="1:24" x14ac:dyDescent="0.25">
      <c r="A6424" s="1" t="str">
        <f t="shared" si="1956"/>
        <v>卡卡杜-凤凰仓</v>
      </c>
      <c r="B6424" s="1" t="str">
        <f>"CK202410186819"</f>
        <v>CK202410186819</v>
      </c>
      <c r="C6424" s="1" t="str">
        <f>"DD2024101812377"</f>
        <v>DD2024101812377</v>
      </c>
      <c r="D6424" s="1" t="str">
        <f>"CK202410189655"</f>
        <v>CK202410189655</v>
      </c>
      <c r="E6424" s="1" t="str">
        <f>"6935162764892378678"</f>
        <v>6935162764892378678</v>
      </c>
      <c r="F6424" s="1" t="str">
        <f t="shared" si="1957"/>
        <v>花都四部-凤凰仓</v>
      </c>
      <c r="G6424" s="1" t="str">
        <f t="shared" si="1954"/>
        <v>卡卡杜个人护理店（抖店）</v>
      </c>
      <c r="H6424" s="1" t="str">
        <f t="shared" si="1958"/>
        <v>正常订单</v>
      </c>
      <c r="I6424" s="1" t="str">
        <f t="shared" si="1959"/>
        <v>已发货</v>
      </c>
      <c r="J6424" s="1" t="str">
        <f t="shared" si="1953"/>
        <v>3</v>
      </c>
      <c r="K6424" s="1">
        <v>3</v>
      </c>
      <c r="L6424" s="1" t="s">
        <v>74</v>
      </c>
      <c r="M6424" s="1" t="str">
        <f>"上海 上海市 松江区 九里亭街道"</f>
        <v>上海 上海市 松江区 九里亭街道</v>
      </c>
      <c r="N6424" s="1" t="str">
        <f t="shared" si="1949"/>
        <v>凡华云仓-韵达-抖音</v>
      </c>
      <c r="O6424" s="5">
        <v>320177471520483</v>
      </c>
      <c r="P6424" s="6">
        <v>0.28000000000000003</v>
      </c>
      <c r="Q6424" s="11">
        <v>2</v>
      </c>
      <c r="R6424" s="11"/>
      <c r="S6424" s="11"/>
      <c r="T6424" s="11"/>
      <c r="U6424" s="11">
        <f t="shared" si="1955"/>
        <v>2</v>
      </c>
      <c r="W6424">
        <v>2.2000000000000002</v>
      </c>
      <c r="X6424" s="1" t="s">
        <v>74</v>
      </c>
    </row>
    <row r="6425" spans="1:24" x14ac:dyDescent="0.25">
      <c r="A6425" s="1" t="str">
        <f t="shared" si="1956"/>
        <v>卡卡杜-凤凰仓</v>
      </c>
      <c r="B6425" s="1" t="str">
        <f>"CK202410186820"</f>
        <v>CK202410186820</v>
      </c>
      <c r="C6425" s="1" t="str">
        <f>"DD2024101812379"</f>
        <v>DD2024101812379</v>
      </c>
      <c r="D6425" s="1" t="str">
        <f>"CK202410189654"</f>
        <v>CK202410189654</v>
      </c>
      <c r="E6425" s="1" t="str">
        <f>"6935149808236565936"</f>
        <v>6935149808236565936</v>
      </c>
      <c r="F6425" s="1" t="str">
        <f t="shared" si="1957"/>
        <v>花都四部-凤凰仓</v>
      </c>
      <c r="G6425" s="1" t="str">
        <f t="shared" si="1954"/>
        <v>卡卡杜个人护理店（抖店）</v>
      </c>
      <c r="H6425" s="1" t="str">
        <f t="shared" si="1958"/>
        <v>正常订单</v>
      </c>
      <c r="I6425" s="1" t="str">
        <f t="shared" si="1959"/>
        <v>已发货</v>
      </c>
      <c r="J6425" s="1" t="str">
        <f t="shared" si="1953"/>
        <v>3</v>
      </c>
      <c r="K6425" s="1">
        <v>3</v>
      </c>
      <c r="L6425" s="1" t="s">
        <v>30</v>
      </c>
      <c r="M6425" s="1" t="str">
        <f>"山东省 菏泽市 单县 北城街道"</f>
        <v>山东省 菏泽市 单县 北城街道</v>
      </c>
      <c r="N6425" s="1" t="str">
        <f t="shared" si="1949"/>
        <v>凡华云仓-韵达-抖音</v>
      </c>
      <c r="O6425" s="5">
        <v>320177471520388</v>
      </c>
      <c r="P6425" s="6">
        <v>0.28000000000000003</v>
      </c>
      <c r="Q6425" s="11">
        <v>2</v>
      </c>
      <c r="R6425" s="11"/>
      <c r="S6425" s="11"/>
      <c r="T6425" s="11"/>
      <c r="U6425" s="11">
        <f t="shared" si="1955"/>
        <v>2</v>
      </c>
      <c r="W6425">
        <v>2.2000000000000002</v>
      </c>
      <c r="X6425" s="1" t="s">
        <v>30</v>
      </c>
    </row>
    <row r="6426" spans="1:24" x14ac:dyDescent="0.25">
      <c r="A6426" s="1" t="str">
        <f t="shared" si="1956"/>
        <v>卡卡杜-凤凰仓</v>
      </c>
      <c r="B6426" s="1" t="str">
        <f>"CK202410186821"</f>
        <v>CK202410186821</v>
      </c>
      <c r="C6426" s="1" t="str">
        <f>"DD2024101812380"</f>
        <v>DD2024101812380</v>
      </c>
      <c r="D6426" s="1" t="str">
        <f>"CK202410189653"</f>
        <v>CK202410189653</v>
      </c>
      <c r="E6426" s="1" t="str">
        <f>"6935153859145176269"</f>
        <v>6935153859145176269</v>
      </c>
      <c r="F6426" s="1" t="str">
        <f t="shared" si="1957"/>
        <v>花都四部-凤凰仓</v>
      </c>
      <c r="G6426" s="1" t="str">
        <f t="shared" si="1954"/>
        <v>卡卡杜个人护理店（抖店）</v>
      </c>
      <c r="H6426" s="1" t="str">
        <f t="shared" si="1958"/>
        <v>正常订单</v>
      </c>
      <c r="I6426" s="1" t="str">
        <f t="shared" si="1959"/>
        <v>已发货</v>
      </c>
      <c r="J6426" s="1" t="str">
        <f t="shared" si="1953"/>
        <v>3</v>
      </c>
      <c r="K6426" s="1">
        <v>3</v>
      </c>
      <c r="L6426" s="1" t="s">
        <v>80</v>
      </c>
      <c r="M6426" s="1" t="str">
        <f>"河南省 开封市 通许县 冯庄乡"</f>
        <v>河南省 开封市 通许县 冯庄乡</v>
      </c>
      <c r="N6426" s="1" t="str">
        <f t="shared" si="1949"/>
        <v>凡华云仓-韵达-抖音</v>
      </c>
      <c r="O6426" s="5">
        <v>320177484342073</v>
      </c>
      <c r="P6426" s="6">
        <v>0.28000000000000003</v>
      </c>
      <c r="Q6426" s="11">
        <v>2</v>
      </c>
      <c r="R6426" s="11"/>
      <c r="S6426" s="11"/>
      <c r="T6426" s="11"/>
      <c r="U6426" s="11">
        <f t="shared" si="1955"/>
        <v>2</v>
      </c>
      <c r="W6426">
        <v>2.2000000000000002</v>
      </c>
      <c r="X6426" s="1" t="s">
        <v>80</v>
      </c>
    </row>
    <row r="6427" spans="1:24" x14ac:dyDescent="0.25">
      <c r="A6427" s="1" t="str">
        <f t="shared" si="1956"/>
        <v>卡卡杜-凤凰仓</v>
      </c>
      <c r="B6427" s="1" t="str">
        <f>"CK2024101810004"</f>
        <v>CK2024101810004</v>
      </c>
      <c r="C6427" s="1" t="str">
        <f>"DD2024101815588"</f>
        <v>DD2024101815588</v>
      </c>
      <c r="D6427" s="1" t="str">
        <f>"CK202410189652"</f>
        <v>CK202410189652</v>
      </c>
      <c r="E6427" s="1" t="str">
        <f>"6935164953620977373"</f>
        <v>6935164953620977373</v>
      </c>
      <c r="F6427" s="1" t="str">
        <f t="shared" si="1957"/>
        <v>花都四部-凤凰仓</v>
      </c>
      <c r="G6427" s="1" t="str">
        <f t="shared" si="1954"/>
        <v>卡卡杜个人护理店（抖店）</v>
      </c>
      <c r="H6427" s="1" t="str">
        <f t="shared" si="1958"/>
        <v>正常订单</v>
      </c>
      <c r="I6427" s="1" t="str">
        <f t="shared" si="1959"/>
        <v>已发货</v>
      </c>
      <c r="J6427" s="1" t="str">
        <f t="shared" si="1953"/>
        <v>3</v>
      </c>
      <c r="K6427" s="1">
        <v>3</v>
      </c>
      <c r="L6427" s="1" t="s">
        <v>218</v>
      </c>
      <c r="M6427" s="1" t="str">
        <f>"天津 天津市 滨海新区 胡家园街道"</f>
        <v>天津 天津市 滨海新区 胡家园街道</v>
      </c>
      <c r="N6427" s="1" t="str">
        <f t="shared" si="1949"/>
        <v>凡华云仓-韵达-抖音</v>
      </c>
      <c r="O6427" s="5">
        <v>320177484341955</v>
      </c>
      <c r="P6427" s="6">
        <v>0.28000000000000003</v>
      </c>
      <c r="Q6427" s="11">
        <v>2</v>
      </c>
      <c r="R6427" s="11"/>
      <c r="S6427" s="11"/>
      <c r="T6427" s="11"/>
      <c r="U6427" s="11">
        <f t="shared" si="1955"/>
        <v>2</v>
      </c>
      <c r="W6427">
        <v>2.2000000000000002</v>
      </c>
      <c r="X6427" s="1" t="s">
        <v>218</v>
      </c>
    </row>
    <row r="6428" spans="1:24" x14ac:dyDescent="0.25">
      <c r="A6428" s="1" t="str">
        <f t="shared" si="1956"/>
        <v>卡卡杜-凤凰仓</v>
      </c>
      <c r="B6428" s="1" t="str">
        <f>"CK202410186822"</f>
        <v>CK202410186822</v>
      </c>
      <c r="C6428" s="1" t="str">
        <f>"DD2024101812381"</f>
        <v>DD2024101812381</v>
      </c>
      <c r="D6428" s="1" t="str">
        <f>"CK202410189651"</f>
        <v>CK202410189651</v>
      </c>
      <c r="E6428" s="1" t="str">
        <f>"6935171977607714625"</f>
        <v>6935171977607714625</v>
      </c>
      <c r="F6428" s="1" t="str">
        <f t="shared" si="1957"/>
        <v>花都四部-凤凰仓</v>
      </c>
      <c r="G6428" s="1" t="str">
        <f t="shared" si="1954"/>
        <v>卡卡杜个人护理店（抖店）</v>
      </c>
      <c r="H6428" s="1" t="str">
        <f t="shared" si="1958"/>
        <v>正常订单</v>
      </c>
      <c r="I6428" s="1" t="str">
        <f t="shared" si="1959"/>
        <v>已发货</v>
      </c>
      <c r="J6428" s="1" t="str">
        <f t="shared" si="1953"/>
        <v>3</v>
      </c>
      <c r="K6428" s="1">
        <v>3</v>
      </c>
      <c r="L6428" s="1" t="s">
        <v>96</v>
      </c>
      <c r="M6428" s="1" t="str">
        <f>"广西壮族自治区 百色市 田阳区 那坡镇"</f>
        <v>广西壮族自治区 百色市 田阳区 那坡镇</v>
      </c>
      <c r="N6428" s="1" t="str">
        <f t="shared" si="1949"/>
        <v>凡华云仓-韵达-抖音</v>
      </c>
      <c r="O6428" s="5">
        <v>320177484341850</v>
      </c>
      <c r="P6428" s="6">
        <v>0.28000000000000003</v>
      </c>
      <c r="Q6428" s="11">
        <v>2</v>
      </c>
      <c r="R6428" s="11"/>
      <c r="S6428" s="11"/>
      <c r="T6428" s="11"/>
      <c r="U6428" s="11">
        <f t="shared" si="1955"/>
        <v>2</v>
      </c>
      <c r="W6428">
        <v>2.2000000000000002</v>
      </c>
      <c r="X6428" s="1" t="s">
        <v>96</v>
      </c>
    </row>
    <row r="6429" spans="1:24" x14ac:dyDescent="0.25">
      <c r="A6429" s="1" t="str">
        <f t="shared" si="1956"/>
        <v>卡卡杜-凤凰仓</v>
      </c>
      <c r="B6429" s="1" t="str">
        <f>"CK202410186823"</f>
        <v>CK202410186823</v>
      </c>
      <c r="C6429" s="1" t="str">
        <f>"DD2024101812382"</f>
        <v>DD2024101812382</v>
      </c>
      <c r="D6429" s="1" t="str">
        <f>"CK202410189650"</f>
        <v>CK202410189650</v>
      </c>
      <c r="E6429" s="1" t="str">
        <f>"6935171938496944020"</f>
        <v>6935171938496944020</v>
      </c>
      <c r="F6429" s="1" t="str">
        <f t="shared" si="1957"/>
        <v>花都四部-凤凰仓</v>
      </c>
      <c r="G6429" s="1" t="str">
        <f t="shared" si="1954"/>
        <v>卡卡杜个人护理店（抖店）</v>
      </c>
      <c r="H6429" s="1" t="str">
        <f t="shared" si="1958"/>
        <v>正常订单</v>
      </c>
      <c r="I6429" s="1" t="str">
        <f t="shared" si="1959"/>
        <v>已发货</v>
      </c>
      <c r="J6429" s="1" t="str">
        <f t="shared" si="1953"/>
        <v>3</v>
      </c>
      <c r="K6429" s="1">
        <v>3</v>
      </c>
      <c r="L6429" s="1" t="s">
        <v>16</v>
      </c>
      <c r="M6429" s="1" t="str">
        <f>"河北省 石家庄市 正定县 "</f>
        <v xml:space="preserve">河北省 石家庄市 正定县 </v>
      </c>
      <c r="N6429" s="1" t="str">
        <f t="shared" si="1949"/>
        <v>凡华云仓-韵达-抖音</v>
      </c>
      <c r="O6429" s="5">
        <v>320177484341747</v>
      </c>
      <c r="P6429" s="6">
        <v>0.28000000000000003</v>
      </c>
      <c r="Q6429" s="11">
        <v>2</v>
      </c>
      <c r="R6429" s="11"/>
      <c r="S6429" s="11"/>
      <c r="T6429" s="11"/>
      <c r="U6429" s="11">
        <f t="shared" si="1955"/>
        <v>2</v>
      </c>
      <c r="W6429">
        <v>2.2000000000000002</v>
      </c>
      <c r="X6429" s="1" t="s">
        <v>16</v>
      </c>
    </row>
    <row r="6430" spans="1:24" x14ac:dyDescent="0.25">
      <c r="A6430" s="1" t="str">
        <f t="shared" si="1956"/>
        <v>卡卡杜-凤凰仓</v>
      </c>
      <c r="B6430" s="1" t="str">
        <f>"CK202410186824"</f>
        <v>CK202410186824</v>
      </c>
      <c r="C6430" s="1" t="str">
        <f>"DD2024101812383"</f>
        <v>DD2024101812383</v>
      </c>
      <c r="D6430" s="1" t="str">
        <f>"CK202410189649"</f>
        <v>CK202410189649</v>
      </c>
      <c r="E6430" s="1" t="str">
        <f>"6935171883377366749"</f>
        <v>6935171883377366749</v>
      </c>
      <c r="F6430" s="1" t="str">
        <f t="shared" si="1957"/>
        <v>花都四部-凤凰仓</v>
      </c>
      <c r="G6430" s="1" t="str">
        <f t="shared" si="1954"/>
        <v>卡卡杜个人护理店（抖店）</v>
      </c>
      <c r="H6430" s="1" t="str">
        <f t="shared" si="1958"/>
        <v>正常订单</v>
      </c>
      <c r="I6430" s="1" t="str">
        <f t="shared" si="1959"/>
        <v>已发货</v>
      </c>
      <c r="J6430" s="1" t="str">
        <f t="shared" si="1953"/>
        <v>3</v>
      </c>
      <c r="K6430" s="1">
        <v>3</v>
      </c>
      <c r="L6430" s="1" t="s">
        <v>20</v>
      </c>
      <c r="M6430" s="1" t="str">
        <f>"浙江省 绍兴市 嵊州市 长乐镇"</f>
        <v>浙江省 绍兴市 嵊州市 长乐镇</v>
      </c>
      <c r="N6430" s="1" t="str">
        <f t="shared" si="1949"/>
        <v>凡华云仓-韵达-抖音</v>
      </c>
      <c r="O6430" s="5">
        <v>320177484341646</v>
      </c>
      <c r="P6430" s="6">
        <v>0.28000000000000003</v>
      </c>
      <c r="Q6430" s="11">
        <v>2</v>
      </c>
      <c r="R6430" s="11"/>
      <c r="S6430" s="11"/>
      <c r="T6430" s="11"/>
      <c r="U6430" s="11">
        <f t="shared" si="1955"/>
        <v>2</v>
      </c>
      <c r="W6430">
        <v>2.2000000000000002</v>
      </c>
      <c r="X6430" s="1" t="s">
        <v>20</v>
      </c>
    </row>
    <row r="6431" spans="1:24" x14ac:dyDescent="0.25">
      <c r="A6431" s="1" t="str">
        <f t="shared" si="1956"/>
        <v>卡卡杜-凤凰仓</v>
      </c>
      <c r="B6431" s="1" t="str">
        <f>"CK202410186825"</f>
        <v>CK202410186825</v>
      </c>
      <c r="C6431" s="1" t="str">
        <f>"DD2024101812384"</f>
        <v>DD2024101812384</v>
      </c>
      <c r="D6431" s="1" t="str">
        <f>"CK202410189648"</f>
        <v>CK202410189648</v>
      </c>
      <c r="E6431" s="1" t="str">
        <f>"6935160734315451407"</f>
        <v>6935160734315451407</v>
      </c>
      <c r="F6431" s="1" t="str">
        <f t="shared" si="1957"/>
        <v>花都四部-凤凰仓</v>
      </c>
      <c r="G6431" s="1" t="str">
        <f t="shared" si="1954"/>
        <v>卡卡杜个人护理店（抖店）</v>
      </c>
      <c r="H6431" s="1" t="str">
        <f t="shared" si="1958"/>
        <v>正常订单</v>
      </c>
      <c r="I6431" s="1" t="str">
        <f t="shared" si="1959"/>
        <v>已发货</v>
      </c>
      <c r="J6431" s="1" t="str">
        <f t="shared" si="1953"/>
        <v>3</v>
      </c>
      <c r="K6431" s="1">
        <v>3</v>
      </c>
      <c r="L6431" s="1" t="s">
        <v>20</v>
      </c>
      <c r="M6431" s="1" t="str">
        <f>"浙江省 嘉兴市 海宁市 袁花镇"</f>
        <v>浙江省 嘉兴市 海宁市 袁花镇</v>
      </c>
      <c r="N6431" s="1" t="str">
        <f t="shared" si="1949"/>
        <v>凡华云仓-韵达-抖音</v>
      </c>
      <c r="O6431" s="5">
        <v>320177484341547</v>
      </c>
      <c r="P6431" s="6">
        <v>0.28000000000000003</v>
      </c>
      <c r="Q6431" s="11">
        <v>2</v>
      </c>
      <c r="R6431" s="11"/>
      <c r="S6431" s="11"/>
      <c r="T6431" s="11"/>
      <c r="U6431" s="11">
        <f t="shared" si="1955"/>
        <v>2</v>
      </c>
      <c r="W6431">
        <v>2.2000000000000002</v>
      </c>
      <c r="X6431" s="1" t="s">
        <v>20</v>
      </c>
    </row>
    <row r="6432" spans="1:24" x14ac:dyDescent="0.25">
      <c r="A6432" s="1" t="str">
        <f t="shared" si="1956"/>
        <v>卡卡杜-凤凰仓</v>
      </c>
      <c r="B6432" s="1" t="str">
        <f>"CK202410186828"</f>
        <v>CK202410186828</v>
      </c>
      <c r="C6432" s="1" t="str">
        <f>"DD2024101812386"</f>
        <v>DD2024101812386</v>
      </c>
      <c r="D6432" s="1" t="str">
        <f>"CK202410189647"</f>
        <v>CK202410189647</v>
      </c>
      <c r="E6432" s="1" t="str">
        <f>"6935147145849280089"</f>
        <v>6935147145849280089</v>
      </c>
      <c r="F6432" s="1" t="str">
        <f t="shared" si="1957"/>
        <v>花都四部-凤凰仓</v>
      </c>
      <c r="G6432" s="1" t="str">
        <f t="shared" si="1954"/>
        <v>卡卡杜个人护理店（抖店）</v>
      </c>
      <c r="H6432" s="1" t="str">
        <f t="shared" si="1958"/>
        <v>正常订单</v>
      </c>
      <c r="I6432" s="1" t="str">
        <f t="shared" si="1959"/>
        <v>已发货</v>
      </c>
      <c r="J6432" s="1" t="str">
        <f t="shared" si="1953"/>
        <v>3</v>
      </c>
      <c r="K6432" s="1">
        <v>3</v>
      </c>
      <c r="L6432" s="1" t="s">
        <v>30</v>
      </c>
      <c r="M6432" s="1" t="str">
        <f>"山东省 济南市 长清区 文昌街道"</f>
        <v>山东省 济南市 长清区 文昌街道</v>
      </c>
      <c r="N6432" s="1" t="str">
        <f t="shared" si="1949"/>
        <v>凡华云仓-韵达-抖音</v>
      </c>
      <c r="O6432" s="5">
        <v>320177484341450</v>
      </c>
      <c r="P6432" s="6">
        <v>0.28000000000000003</v>
      </c>
      <c r="Q6432" s="11">
        <v>2</v>
      </c>
      <c r="R6432" s="11"/>
      <c r="S6432" s="11"/>
      <c r="T6432" s="11"/>
      <c r="U6432" s="11">
        <f t="shared" si="1955"/>
        <v>2</v>
      </c>
      <c r="W6432">
        <v>2.2000000000000002</v>
      </c>
      <c r="X6432" s="1" t="s">
        <v>30</v>
      </c>
    </row>
    <row r="6433" spans="1:24" x14ac:dyDescent="0.25">
      <c r="A6433" s="1" t="str">
        <f t="shared" si="1956"/>
        <v>卡卡杜-凤凰仓</v>
      </c>
      <c r="B6433" s="1" t="str">
        <f>"CK202410186829"</f>
        <v>CK202410186829</v>
      </c>
      <c r="C6433" s="1" t="str">
        <f>"DD2024101812388"</f>
        <v>DD2024101812388</v>
      </c>
      <c r="D6433" s="1" t="str">
        <f>"CK202410189646"</f>
        <v>CK202410189646</v>
      </c>
      <c r="E6433" s="1" t="str">
        <f>"6935169708457792539"</f>
        <v>6935169708457792539</v>
      </c>
      <c r="F6433" s="1" t="str">
        <f t="shared" si="1957"/>
        <v>花都四部-凤凰仓</v>
      </c>
      <c r="G6433" s="1" t="str">
        <f t="shared" si="1954"/>
        <v>卡卡杜个人护理店（抖店）</v>
      </c>
      <c r="H6433" s="1" t="str">
        <f t="shared" si="1958"/>
        <v>正常订单</v>
      </c>
      <c r="I6433" s="1" t="str">
        <f t="shared" si="1959"/>
        <v>已发货</v>
      </c>
      <c r="J6433" s="1" t="str">
        <f t="shared" si="1953"/>
        <v>3</v>
      </c>
      <c r="K6433" s="1">
        <v>3</v>
      </c>
      <c r="L6433" s="1" t="s">
        <v>30</v>
      </c>
      <c r="M6433" s="1" t="str">
        <f>"山东省 菏泽市 牡丹区 佃户屯街道"</f>
        <v>山东省 菏泽市 牡丹区 佃户屯街道</v>
      </c>
      <c r="N6433" s="1" t="str">
        <f t="shared" ref="N6433:N6496" si="1960">"凡华云仓-韵达-抖音"</f>
        <v>凡华云仓-韵达-抖音</v>
      </c>
      <c r="O6433" s="5">
        <v>320177484341355</v>
      </c>
      <c r="P6433" s="6">
        <v>0.28000000000000003</v>
      </c>
      <c r="Q6433" s="11">
        <v>2</v>
      </c>
      <c r="R6433" s="11"/>
      <c r="S6433" s="11"/>
      <c r="T6433" s="11"/>
      <c r="U6433" s="11">
        <f t="shared" si="1955"/>
        <v>2</v>
      </c>
      <c r="W6433">
        <v>2.2000000000000002</v>
      </c>
      <c r="X6433" s="1" t="s">
        <v>30</v>
      </c>
    </row>
    <row r="6434" spans="1:24" x14ac:dyDescent="0.25">
      <c r="A6434" s="1" t="str">
        <f t="shared" si="1956"/>
        <v>卡卡杜-凤凰仓</v>
      </c>
      <c r="B6434" s="1" t="str">
        <f>"CK202410186830"</f>
        <v>CK202410186830</v>
      </c>
      <c r="C6434" s="1" t="str">
        <f>"DD2024101812389"</f>
        <v>DD2024101812389</v>
      </c>
      <c r="D6434" s="1" t="str">
        <f>"CK202410189645"</f>
        <v>CK202410189645</v>
      </c>
      <c r="E6434" s="1" t="str">
        <f>"6935153695480682193"</f>
        <v>6935153695480682193</v>
      </c>
      <c r="F6434" s="1" t="str">
        <f t="shared" si="1957"/>
        <v>花都四部-凤凰仓</v>
      </c>
      <c r="G6434" s="1" t="str">
        <f t="shared" si="1954"/>
        <v>卡卡杜个人护理店（抖店）</v>
      </c>
      <c r="H6434" s="1" t="str">
        <f t="shared" si="1958"/>
        <v>正常订单</v>
      </c>
      <c r="I6434" s="1" t="str">
        <f t="shared" si="1959"/>
        <v>已发货</v>
      </c>
      <c r="J6434" s="1" t="str">
        <f t="shared" si="1953"/>
        <v>3</v>
      </c>
      <c r="K6434" s="1">
        <v>3</v>
      </c>
      <c r="L6434" s="1" t="s">
        <v>36</v>
      </c>
      <c r="M6434" s="1" t="str">
        <f>"安徽省 六安市 金安区 三里桥街道"</f>
        <v>安徽省 六安市 金安区 三里桥街道</v>
      </c>
      <c r="N6434" s="1" t="str">
        <f t="shared" si="1960"/>
        <v>凡华云仓-韵达-抖音</v>
      </c>
      <c r="O6434" s="5">
        <v>320177484341262</v>
      </c>
      <c r="P6434" s="6">
        <v>0.28000000000000003</v>
      </c>
      <c r="Q6434" s="11">
        <v>2</v>
      </c>
      <c r="R6434" s="11"/>
      <c r="S6434" s="11"/>
      <c r="T6434" s="11"/>
      <c r="U6434" s="11">
        <f t="shared" si="1955"/>
        <v>2</v>
      </c>
      <c r="W6434">
        <v>2.2000000000000002</v>
      </c>
      <c r="X6434" s="1" t="s">
        <v>36</v>
      </c>
    </row>
    <row r="6435" spans="1:24" x14ac:dyDescent="0.25">
      <c r="A6435" s="1" t="str">
        <f t="shared" si="1956"/>
        <v>卡卡杜-凤凰仓</v>
      </c>
      <c r="B6435" s="1" t="str">
        <f>"CK202410186826"</f>
        <v>CK202410186826</v>
      </c>
      <c r="C6435" s="1" t="str">
        <f>"DD2024101812385"</f>
        <v>DD2024101812385</v>
      </c>
      <c r="D6435" s="1" t="str">
        <f>"CK202410189644"</f>
        <v>CK202410189644</v>
      </c>
      <c r="E6435" s="1" t="str">
        <f>"6935147275815359818"</f>
        <v>6935147275815359818</v>
      </c>
      <c r="F6435" s="1" t="str">
        <f t="shared" si="1957"/>
        <v>花都四部-凤凰仓</v>
      </c>
      <c r="G6435" s="1" t="str">
        <f t="shared" si="1954"/>
        <v>卡卡杜个人护理店（抖店）</v>
      </c>
      <c r="H6435" s="1" t="str">
        <f t="shared" si="1958"/>
        <v>正常订单</v>
      </c>
      <c r="I6435" s="1" t="str">
        <f t="shared" si="1959"/>
        <v>已发货</v>
      </c>
      <c r="J6435" s="1" t="str">
        <f t="shared" si="1953"/>
        <v>3</v>
      </c>
      <c r="K6435" s="1">
        <v>3</v>
      </c>
      <c r="L6435" s="1" t="s">
        <v>80</v>
      </c>
      <c r="M6435" s="1" t="str">
        <f>"河南省 安阳市 文峰区 商颂大街街道"</f>
        <v>河南省 安阳市 文峰区 商颂大街街道</v>
      </c>
      <c r="N6435" s="1" t="str">
        <f t="shared" si="1960"/>
        <v>凡华云仓-韵达-抖音</v>
      </c>
      <c r="O6435" s="5">
        <v>320177484341171</v>
      </c>
      <c r="P6435" s="6">
        <v>0.28000000000000003</v>
      </c>
      <c r="Q6435" s="11">
        <v>2</v>
      </c>
      <c r="R6435" s="11"/>
      <c r="S6435" s="11"/>
      <c r="T6435" s="11"/>
      <c r="U6435" s="11">
        <f t="shared" si="1955"/>
        <v>2</v>
      </c>
      <c r="W6435">
        <v>2.2000000000000002</v>
      </c>
      <c r="X6435" s="1" t="s">
        <v>80</v>
      </c>
    </row>
    <row r="6436" spans="1:24" x14ac:dyDescent="0.25">
      <c r="A6436" s="1" t="str">
        <f t="shared" si="1956"/>
        <v>卡卡杜-凤凰仓</v>
      </c>
      <c r="B6436" s="1" t="str">
        <f>"CK202410186827"</f>
        <v>CK202410186827</v>
      </c>
      <c r="C6436" s="1" t="str">
        <f>"DD2024101812387"</f>
        <v>DD2024101812387</v>
      </c>
      <c r="D6436" s="1" t="str">
        <f>"CK202410189643"</f>
        <v>CK202410189643</v>
      </c>
      <c r="E6436" s="1" t="str">
        <f>"6935141004798596977"</f>
        <v>6935141004798596977</v>
      </c>
      <c r="F6436" s="1" t="str">
        <f t="shared" si="1957"/>
        <v>花都四部-凤凰仓</v>
      </c>
      <c r="G6436" s="1" t="str">
        <f t="shared" si="1954"/>
        <v>卡卡杜个人护理店（抖店）</v>
      </c>
      <c r="H6436" s="1" t="str">
        <f t="shared" si="1958"/>
        <v>正常订单</v>
      </c>
      <c r="I6436" s="1" t="str">
        <f t="shared" si="1959"/>
        <v>已发货</v>
      </c>
      <c r="J6436" s="1" t="str">
        <f t="shared" si="1953"/>
        <v>3</v>
      </c>
      <c r="K6436" s="1">
        <v>3</v>
      </c>
      <c r="L6436" s="1" t="s">
        <v>161</v>
      </c>
      <c r="M6436" s="1" t="str">
        <f>"四川省 凉山彝族自治州 西昌市 长安街道"</f>
        <v>四川省 凉山彝族自治州 西昌市 长安街道</v>
      </c>
      <c r="N6436" s="1" t="str">
        <f t="shared" si="1960"/>
        <v>凡华云仓-韵达-抖音</v>
      </c>
      <c r="O6436" s="5">
        <v>320177470880990</v>
      </c>
      <c r="P6436" s="6">
        <v>0.28000000000000003</v>
      </c>
      <c r="Q6436" s="11">
        <v>2</v>
      </c>
      <c r="R6436" s="11"/>
      <c r="S6436" s="11"/>
      <c r="T6436" s="11"/>
      <c r="U6436" s="11">
        <f t="shared" si="1955"/>
        <v>2</v>
      </c>
      <c r="W6436">
        <v>2.2000000000000002</v>
      </c>
      <c r="X6436" s="1" t="s">
        <v>161</v>
      </c>
    </row>
    <row r="6437" spans="1:24" x14ac:dyDescent="0.25">
      <c r="A6437" s="1" t="str">
        <f t="shared" si="1956"/>
        <v>卡卡杜-凤凰仓</v>
      </c>
      <c r="B6437" s="1" t="str">
        <f>"CK202410186831"</f>
        <v>CK202410186831</v>
      </c>
      <c r="C6437" s="1" t="str">
        <f>"DD2024101812390"</f>
        <v>DD2024101812390</v>
      </c>
      <c r="D6437" s="1" t="str">
        <f>"CK202410189642"</f>
        <v>CK202410189642</v>
      </c>
      <c r="E6437" s="1" t="str">
        <f>"6935156028157269986"</f>
        <v>6935156028157269986</v>
      </c>
      <c r="F6437" s="1" t="str">
        <f t="shared" si="1957"/>
        <v>花都四部-凤凰仓</v>
      </c>
      <c r="G6437" s="1" t="str">
        <f t="shared" si="1954"/>
        <v>卡卡杜个人护理店（抖店）</v>
      </c>
      <c r="H6437" s="1" t="str">
        <f t="shared" si="1958"/>
        <v>正常订单</v>
      </c>
      <c r="I6437" s="1" t="str">
        <f t="shared" si="1959"/>
        <v>已发货</v>
      </c>
      <c r="J6437" s="1" t="str">
        <f t="shared" si="1953"/>
        <v>3</v>
      </c>
      <c r="K6437" s="1">
        <v>3</v>
      </c>
      <c r="L6437" s="1" t="s">
        <v>32</v>
      </c>
      <c r="M6437" s="1" t="str">
        <f>"陕西省 榆林市 榆阳区 "</f>
        <v xml:space="preserve">陕西省 榆林市 榆阳区 </v>
      </c>
      <c r="N6437" s="1" t="str">
        <f t="shared" si="1960"/>
        <v>凡华云仓-韵达-抖音</v>
      </c>
      <c r="O6437" s="5">
        <v>320177470880885</v>
      </c>
      <c r="P6437" s="6">
        <v>0.28000000000000003</v>
      </c>
      <c r="Q6437" s="11">
        <v>2</v>
      </c>
      <c r="R6437" s="11"/>
      <c r="S6437" s="11"/>
      <c r="T6437" s="11"/>
      <c r="U6437" s="11">
        <f t="shared" si="1955"/>
        <v>2</v>
      </c>
      <c r="W6437">
        <v>2.2000000000000002</v>
      </c>
      <c r="X6437" s="1" t="s">
        <v>32</v>
      </c>
    </row>
    <row r="6438" spans="1:24" x14ac:dyDescent="0.25">
      <c r="A6438" s="1" t="str">
        <f t="shared" si="1956"/>
        <v>卡卡杜-凤凰仓</v>
      </c>
      <c r="B6438" s="1" t="str">
        <f>"CK202410186832"</f>
        <v>CK202410186832</v>
      </c>
      <c r="C6438" s="1" t="str">
        <f>"DD2024101812391"</f>
        <v>DD2024101812391</v>
      </c>
      <c r="D6438" s="1" t="str">
        <f>"CK202410189641"</f>
        <v>CK202410189641</v>
      </c>
      <c r="E6438" s="1" t="str">
        <f>"6935145257309312788"</f>
        <v>6935145257309312788</v>
      </c>
      <c r="F6438" s="1" t="str">
        <f t="shared" si="1957"/>
        <v>花都四部-凤凰仓</v>
      </c>
      <c r="G6438" s="1" t="str">
        <f t="shared" si="1954"/>
        <v>卡卡杜个人护理店（抖店）</v>
      </c>
      <c r="H6438" s="1" t="str">
        <f t="shared" si="1958"/>
        <v>正常订单</v>
      </c>
      <c r="I6438" s="1" t="str">
        <f t="shared" si="1959"/>
        <v>已发货</v>
      </c>
      <c r="J6438" s="1" t="str">
        <f t="shared" si="1953"/>
        <v>3</v>
      </c>
      <c r="K6438" s="1">
        <v>3</v>
      </c>
      <c r="L6438" s="1" t="s">
        <v>30</v>
      </c>
      <c r="M6438" s="1" t="str">
        <f>"山东省 烟台市 芝罘区 通伸街道"</f>
        <v>山东省 烟台市 芝罘区 通伸街道</v>
      </c>
      <c r="N6438" s="1" t="str">
        <f t="shared" si="1960"/>
        <v>凡华云仓-韵达-抖音</v>
      </c>
      <c r="O6438" s="5">
        <v>320177470880782</v>
      </c>
      <c r="P6438" s="6">
        <v>0.28000000000000003</v>
      </c>
      <c r="Q6438" s="11">
        <v>2</v>
      </c>
      <c r="R6438" s="11"/>
      <c r="S6438" s="11"/>
      <c r="T6438" s="11"/>
      <c r="U6438" s="11">
        <f t="shared" si="1955"/>
        <v>2</v>
      </c>
      <c r="W6438">
        <v>2.2000000000000002</v>
      </c>
      <c r="X6438" s="1" t="s">
        <v>30</v>
      </c>
    </row>
    <row r="6439" spans="1:24" x14ac:dyDescent="0.25">
      <c r="A6439" s="1" t="str">
        <f t="shared" si="1956"/>
        <v>卡卡杜-凤凰仓</v>
      </c>
      <c r="B6439" s="1" t="str">
        <f>"CK2024101810005"</f>
        <v>CK2024101810005</v>
      </c>
      <c r="C6439" s="1" t="str">
        <f>"DD2024101815590"</f>
        <v>DD2024101815590</v>
      </c>
      <c r="D6439" s="1" t="str">
        <f>"CK202410189640"</f>
        <v>CK202410189640</v>
      </c>
      <c r="E6439" s="1" t="str">
        <f>"6935165075036378475"</f>
        <v>6935165075036378475</v>
      </c>
      <c r="F6439" s="1" t="str">
        <f t="shared" si="1957"/>
        <v>花都四部-凤凰仓</v>
      </c>
      <c r="G6439" s="1" t="str">
        <f t="shared" si="1954"/>
        <v>卡卡杜个人护理店（抖店）</v>
      </c>
      <c r="H6439" s="1" t="str">
        <f t="shared" si="1958"/>
        <v>正常订单</v>
      </c>
      <c r="I6439" s="1" t="str">
        <f t="shared" si="1959"/>
        <v>已发货</v>
      </c>
      <c r="J6439" s="1" t="str">
        <f t="shared" si="1953"/>
        <v>3</v>
      </c>
      <c r="K6439" s="1">
        <v>3</v>
      </c>
      <c r="L6439" s="1" t="s">
        <v>32</v>
      </c>
      <c r="M6439" s="1" t="str">
        <f>"陕西省 西安市 长安区 魏寨街道"</f>
        <v>陕西省 西安市 长安区 魏寨街道</v>
      </c>
      <c r="N6439" s="1" t="str">
        <f t="shared" si="1960"/>
        <v>凡华云仓-韵达-抖音</v>
      </c>
      <c r="O6439" s="5">
        <v>320177470880681</v>
      </c>
      <c r="P6439" s="6">
        <v>0.28000000000000003</v>
      </c>
      <c r="Q6439" s="11">
        <v>2</v>
      </c>
      <c r="R6439" s="11"/>
      <c r="S6439" s="11"/>
      <c r="T6439" s="11"/>
      <c r="U6439" s="11">
        <f t="shared" si="1955"/>
        <v>2</v>
      </c>
      <c r="W6439">
        <v>2.2000000000000002</v>
      </c>
      <c r="X6439" s="1" t="s">
        <v>32</v>
      </c>
    </row>
    <row r="6440" spans="1:24" x14ac:dyDescent="0.25">
      <c r="A6440" s="1" t="str">
        <f t="shared" si="1956"/>
        <v>卡卡杜-凤凰仓</v>
      </c>
      <c r="B6440" s="1" t="str">
        <f>"CK202410186833"</f>
        <v>CK202410186833</v>
      </c>
      <c r="C6440" s="1" t="str">
        <f>"DD2024101812392"</f>
        <v>DD2024101812392</v>
      </c>
      <c r="D6440" s="1" t="str">
        <f>"CK202410189639"</f>
        <v>CK202410189639</v>
      </c>
      <c r="E6440" s="1" t="str">
        <f>"6935165052029769335"</f>
        <v>6935165052029769335</v>
      </c>
      <c r="F6440" s="1" t="str">
        <f t="shared" si="1957"/>
        <v>花都四部-凤凰仓</v>
      </c>
      <c r="G6440" s="1" t="str">
        <f t="shared" si="1954"/>
        <v>卡卡杜个人护理店（抖店）</v>
      </c>
      <c r="H6440" s="1" t="str">
        <f t="shared" si="1958"/>
        <v>正常订单</v>
      </c>
      <c r="I6440" s="1" t="str">
        <f t="shared" si="1959"/>
        <v>已发货</v>
      </c>
      <c r="J6440" s="1" t="str">
        <f t="shared" si="1953"/>
        <v>3</v>
      </c>
      <c r="K6440" s="1">
        <v>3</v>
      </c>
      <c r="L6440" s="1" t="s">
        <v>60</v>
      </c>
      <c r="M6440" s="1" t="str">
        <f>"云南省 昆明市 五华区 丰宁街道"</f>
        <v>云南省 昆明市 五华区 丰宁街道</v>
      </c>
      <c r="N6440" s="1" t="str">
        <f t="shared" si="1960"/>
        <v>凡华云仓-韵达-抖音</v>
      </c>
      <c r="O6440" s="5">
        <v>320177470880582</v>
      </c>
      <c r="P6440" s="6">
        <v>0.28000000000000003</v>
      </c>
      <c r="Q6440" s="11">
        <v>2</v>
      </c>
      <c r="R6440" s="11"/>
      <c r="S6440" s="11"/>
      <c r="T6440" s="11"/>
      <c r="U6440" s="11">
        <f t="shared" si="1955"/>
        <v>2</v>
      </c>
      <c r="W6440">
        <v>2.2000000000000002</v>
      </c>
      <c r="X6440" s="1" t="s">
        <v>60</v>
      </c>
    </row>
    <row r="6441" spans="1:24" x14ac:dyDescent="0.25">
      <c r="A6441" s="1" t="str">
        <f t="shared" si="1956"/>
        <v>卡卡杜-凤凰仓</v>
      </c>
      <c r="B6441" s="1" t="str">
        <f>"CK202410186834"</f>
        <v>CK202410186834</v>
      </c>
      <c r="C6441" s="1" t="str">
        <f>"DD2024101812393"</f>
        <v>DD2024101812393</v>
      </c>
      <c r="D6441" s="1" t="str">
        <f>"CK202410189638"</f>
        <v>CK202410189638</v>
      </c>
      <c r="E6441" s="1" t="str">
        <f>"6935171934881846510"</f>
        <v>6935171934881846510</v>
      </c>
      <c r="F6441" s="1" t="str">
        <f t="shared" si="1957"/>
        <v>花都四部-凤凰仓</v>
      </c>
      <c r="G6441" s="1" t="str">
        <f t="shared" si="1954"/>
        <v>卡卡杜个人护理店（抖店）</v>
      </c>
      <c r="H6441" s="1" t="str">
        <f t="shared" si="1958"/>
        <v>正常订单</v>
      </c>
      <c r="I6441" s="1" t="str">
        <f t="shared" si="1959"/>
        <v>已发货</v>
      </c>
      <c r="J6441" s="1" t="str">
        <f t="shared" si="1953"/>
        <v>3</v>
      </c>
      <c r="K6441" s="1">
        <v>3</v>
      </c>
      <c r="L6441" s="1" t="s">
        <v>16</v>
      </c>
      <c r="M6441" s="1" t="str">
        <f>"河北省 邯郸市 魏县 双井镇"</f>
        <v>河北省 邯郸市 魏县 双井镇</v>
      </c>
      <c r="N6441" s="1" t="str">
        <f t="shared" si="1960"/>
        <v>凡华云仓-韵达-抖音</v>
      </c>
      <c r="O6441" s="5">
        <v>320177470880485</v>
      </c>
      <c r="P6441" s="6">
        <v>0.28000000000000003</v>
      </c>
      <c r="Q6441" s="11">
        <v>2</v>
      </c>
      <c r="R6441" s="11"/>
      <c r="S6441" s="11"/>
      <c r="T6441" s="11"/>
      <c r="U6441" s="11">
        <f t="shared" si="1955"/>
        <v>2</v>
      </c>
      <c r="W6441">
        <v>2.2000000000000002</v>
      </c>
      <c r="X6441" s="1" t="s">
        <v>16</v>
      </c>
    </row>
    <row r="6442" spans="1:24" x14ac:dyDescent="0.25">
      <c r="A6442" s="1" t="str">
        <f t="shared" si="1956"/>
        <v>卡卡杜-凤凰仓</v>
      </c>
      <c r="B6442" s="1" t="str">
        <f>"CK202410186835"</f>
        <v>CK202410186835</v>
      </c>
      <c r="C6442" s="1" t="str">
        <f>"DD2024101812394"</f>
        <v>DD2024101812394</v>
      </c>
      <c r="D6442" s="1" t="str">
        <f>"CK202410189637"</f>
        <v>CK202410189637</v>
      </c>
      <c r="E6442" s="1" t="str">
        <f>"6935143399528994476"</f>
        <v>6935143399528994476</v>
      </c>
      <c r="F6442" s="1" t="str">
        <f t="shared" si="1957"/>
        <v>花都四部-凤凰仓</v>
      </c>
      <c r="G6442" s="1" t="str">
        <f t="shared" si="1954"/>
        <v>卡卡杜个人护理店（抖店）</v>
      </c>
      <c r="H6442" s="1" t="str">
        <f t="shared" si="1958"/>
        <v>正常订单</v>
      </c>
      <c r="I6442" s="1" t="str">
        <f t="shared" si="1959"/>
        <v>已发货</v>
      </c>
      <c r="J6442" s="1" t="str">
        <f t="shared" si="1953"/>
        <v>3</v>
      </c>
      <c r="K6442" s="1">
        <v>3</v>
      </c>
      <c r="L6442" s="1" t="s">
        <v>30</v>
      </c>
      <c r="M6442" s="1" t="str">
        <f>"山东省 潍坊市 诸城市 密州街道"</f>
        <v>山东省 潍坊市 诸城市 密州街道</v>
      </c>
      <c r="N6442" s="1" t="str">
        <f t="shared" si="1960"/>
        <v>凡华云仓-韵达-抖音</v>
      </c>
      <c r="O6442" s="5">
        <v>320177470880390</v>
      </c>
      <c r="P6442" s="6">
        <v>0.28000000000000003</v>
      </c>
      <c r="Q6442" s="11">
        <v>2</v>
      </c>
      <c r="R6442" s="11"/>
      <c r="S6442" s="11"/>
      <c r="T6442" s="11"/>
      <c r="U6442" s="11">
        <f t="shared" si="1955"/>
        <v>2</v>
      </c>
      <c r="W6442">
        <v>2.2000000000000002</v>
      </c>
      <c r="X6442" s="1" t="s">
        <v>30</v>
      </c>
    </row>
    <row r="6443" spans="1:24" x14ac:dyDescent="0.25">
      <c r="A6443" s="1" t="str">
        <f t="shared" si="1956"/>
        <v>卡卡杜-凤凰仓</v>
      </c>
      <c r="B6443" s="1" t="str">
        <f>"CK202410186836"</f>
        <v>CK202410186836</v>
      </c>
      <c r="C6443" s="1" t="str">
        <f>"DD2024101812395"</f>
        <v>DD2024101812395</v>
      </c>
      <c r="D6443" s="1" t="str">
        <f>"CK202410189636"</f>
        <v>CK202410189636</v>
      </c>
      <c r="E6443" s="1" t="str">
        <f>"6935167405575116641"</f>
        <v>6935167405575116641</v>
      </c>
      <c r="F6443" s="1" t="str">
        <f t="shared" si="1957"/>
        <v>花都四部-凤凰仓</v>
      </c>
      <c r="G6443" s="1" t="str">
        <f t="shared" si="1954"/>
        <v>卡卡杜个人护理店（抖店）</v>
      </c>
      <c r="H6443" s="1" t="str">
        <f t="shared" si="1958"/>
        <v>正常订单</v>
      </c>
      <c r="I6443" s="1" t="str">
        <f t="shared" si="1959"/>
        <v>已发货</v>
      </c>
      <c r="J6443" s="1" t="str">
        <f t="shared" si="1953"/>
        <v>3</v>
      </c>
      <c r="K6443" s="1">
        <v>3</v>
      </c>
      <c r="L6443" s="1" t="s">
        <v>47</v>
      </c>
      <c r="M6443" s="1" t="str">
        <f>"重庆 重庆市 酉阳土家族苗族自治县 桃花源街道"</f>
        <v>重庆 重庆市 酉阳土家族苗族自治县 桃花源街道</v>
      </c>
      <c r="N6443" s="1" t="str">
        <f t="shared" si="1960"/>
        <v>凡华云仓-韵达-抖音</v>
      </c>
      <c r="O6443" s="5">
        <v>320177470880297</v>
      </c>
      <c r="P6443" s="6">
        <v>0.28000000000000003</v>
      </c>
      <c r="Q6443" s="11">
        <v>2</v>
      </c>
      <c r="R6443" s="11"/>
      <c r="S6443" s="11"/>
      <c r="T6443" s="11"/>
      <c r="U6443" s="11">
        <f t="shared" si="1955"/>
        <v>2</v>
      </c>
      <c r="W6443">
        <v>2.2000000000000002</v>
      </c>
      <c r="X6443" s="1" t="s">
        <v>47</v>
      </c>
    </row>
    <row r="6444" spans="1:24" x14ac:dyDescent="0.25">
      <c r="A6444" s="1" t="str">
        <f t="shared" si="1956"/>
        <v>卡卡杜-凤凰仓</v>
      </c>
      <c r="B6444" s="1" t="str">
        <f>"CK202410186837"</f>
        <v>CK202410186837</v>
      </c>
      <c r="C6444" s="1" t="str">
        <f>"DD2024101812396"</f>
        <v>DD2024101812396</v>
      </c>
      <c r="D6444" s="1" t="str">
        <f>"CK202410189635"</f>
        <v>CK202410189635</v>
      </c>
      <c r="E6444" s="1" t="str">
        <f>"6935160750061786701"</f>
        <v>6935160750061786701</v>
      </c>
      <c r="F6444" s="1" t="str">
        <f t="shared" si="1957"/>
        <v>花都四部-凤凰仓</v>
      </c>
      <c r="G6444" s="1" t="str">
        <f t="shared" si="1954"/>
        <v>卡卡杜个人护理店（抖店）</v>
      </c>
      <c r="H6444" s="1" t="str">
        <f t="shared" si="1958"/>
        <v>正常订单</v>
      </c>
      <c r="I6444" s="1" t="str">
        <f t="shared" si="1959"/>
        <v>已发货</v>
      </c>
      <c r="J6444" s="1" t="str">
        <f t="shared" si="1953"/>
        <v>3</v>
      </c>
      <c r="K6444" s="1">
        <v>3</v>
      </c>
      <c r="L6444" s="1" t="s">
        <v>41</v>
      </c>
      <c r="M6444" s="1" t="str">
        <f>"湖北省 荆州市 松滋市 卸甲坪土家族乡"</f>
        <v>湖北省 荆州市 松滋市 卸甲坪土家族乡</v>
      </c>
      <c r="N6444" s="1" t="str">
        <f t="shared" si="1960"/>
        <v>凡华云仓-韵达-抖音</v>
      </c>
      <c r="O6444" s="5">
        <v>320177470880106</v>
      </c>
      <c r="P6444" s="6">
        <v>0.28000000000000003</v>
      </c>
      <c r="Q6444" s="11">
        <v>2</v>
      </c>
      <c r="R6444" s="11"/>
      <c r="S6444" s="11"/>
      <c r="T6444" s="11"/>
      <c r="U6444" s="11">
        <f t="shared" si="1955"/>
        <v>2</v>
      </c>
      <c r="W6444">
        <v>2.2000000000000002</v>
      </c>
      <c r="X6444" s="1" t="s">
        <v>41</v>
      </c>
    </row>
    <row r="6445" spans="1:24" x14ac:dyDescent="0.25">
      <c r="A6445" s="1" t="str">
        <f t="shared" si="1956"/>
        <v>卡卡杜-凤凰仓</v>
      </c>
      <c r="B6445" s="1" t="str">
        <f>"CK202410186838"</f>
        <v>CK202410186838</v>
      </c>
      <c r="C6445" s="1" t="str">
        <f>"DD2024101812397"</f>
        <v>DD2024101812397</v>
      </c>
      <c r="D6445" s="1" t="str">
        <f>"CK202410189634"</f>
        <v>CK202410189634</v>
      </c>
      <c r="E6445" s="1" t="str">
        <f>"6935156032719492852"</f>
        <v>6935156032719492852</v>
      </c>
      <c r="F6445" s="1" t="str">
        <f t="shared" si="1957"/>
        <v>花都四部-凤凰仓</v>
      </c>
      <c r="G6445" s="1" t="str">
        <f t="shared" si="1954"/>
        <v>卡卡杜个人护理店（抖店）</v>
      </c>
      <c r="H6445" s="1" t="str">
        <f t="shared" si="1958"/>
        <v>正常订单</v>
      </c>
      <c r="I6445" s="1" t="str">
        <f t="shared" si="1959"/>
        <v>已发货</v>
      </c>
      <c r="J6445" s="1" t="str">
        <f t="shared" ref="J6445:J6453" si="1961">"3"</f>
        <v>3</v>
      </c>
      <c r="K6445" s="1">
        <v>3</v>
      </c>
      <c r="L6445" s="1" t="s">
        <v>30</v>
      </c>
      <c r="M6445" s="1" t="str">
        <f>"山东省 菏泽市 牡丹区 马岭岗镇"</f>
        <v>山东省 菏泽市 牡丹区 马岭岗镇</v>
      </c>
      <c r="N6445" s="1" t="str">
        <f t="shared" si="1960"/>
        <v>凡华云仓-韵达-抖音</v>
      </c>
      <c r="O6445" s="5">
        <v>320177470880017</v>
      </c>
      <c r="P6445" s="6">
        <v>0.28000000000000003</v>
      </c>
      <c r="Q6445" s="11">
        <v>2</v>
      </c>
      <c r="R6445" s="11"/>
      <c r="S6445" s="11"/>
      <c r="T6445" s="11"/>
      <c r="U6445" s="11">
        <f t="shared" si="1955"/>
        <v>2</v>
      </c>
      <c r="W6445">
        <v>2.2000000000000002</v>
      </c>
      <c r="X6445" s="1" t="s">
        <v>30</v>
      </c>
    </row>
    <row r="6446" spans="1:24" x14ac:dyDescent="0.25">
      <c r="A6446" s="1" t="str">
        <f t="shared" si="1956"/>
        <v>卡卡杜-凤凰仓</v>
      </c>
      <c r="B6446" s="1" t="str">
        <f>"CK202410186839"</f>
        <v>CK202410186839</v>
      </c>
      <c r="C6446" s="1" t="str">
        <f>"DD2024101812398"</f>
        <v>DD2024101812398</v>
      </c>
      <c r="D6446" s="1" t="str">
        <f>"CK202410189633"</f>
        <v>CK202410189633</v>
      </c>
      <c r="E6446" s="1" t="str">
        <f>"6935141025968296970"</f>
        <v>6935141025968296970</v>
      </c>
      <c r="F6446" s="1" t="str">
        <f t="shared" si="1957"/>
        <v>花都四部-凤凰仓</v>
      </c>
      <c r="G6446" s="1" t="str">
        <f t="shared" si="1954"/>
        <v>卡卡杜个人护理店（抖店）</v>
      </c>
      <c r="H6446" s="1" t="str">
        <f t="shared" si="1958"/>
        <v>正常订单</v>
      </c>
      <c r="I6446" s="1" t="str">
        <f t="shared" si="1959"/>
        <v>已发货</v>
      </c>
      <c r="J6446" s="1" t="str">
        <f t="shared" si="1961"/>
        <v>3</v>
      </c>
      <c r="K6446" s="1">
        <v>3</v>
      </c>
      <c r="L6446" s="1" t="s">
        <v>20</v>
      </c>
      <c r="M6446" s="1" t="str">
        <f>"浙江省 杭州市 上城区 彭埠街道"</f>
        <v>浙江省 杭州市 上城区 彭埠街道</v>
      </c>
      <c r="N6446" s="1" t="str">
        <f t="shared" si="1960"/>
        <v>凡华云仓-韵达-抖音</v>
      </c>
      <c r="O6446" s="5">
        <v>320177484339635</v>
      </c>
      <c r="P6446" s="6">
        <v>0.28000000000000003</v>
      </c>
      <c r="Q6446" s="11">
        <v>2</v>
      </c>
      <c r="R6446" s="11"/>
      <c r="S6446" s="11"/>
      <c r="T6446" s="11"/>
      <c r="U6446" s="11">
        <f t="shared" si="1955"/>
        <v>2</v>
      </c>
      <c r="W6446">
        <v>2.2000000000000002</v>
      </c>
      <c r="X6446" s="1" t="s">
        <v>20</v>
      </c>
    </row>
    <row r="6447" spans="1:24" x14ac:dyDescent="0.25">
      <c r="A6447" s="1" t="str">
        <f t="shared" si="1956"/>
        <v>卡卡杜-凤凰仓</v>
      </c>
      <c r="B6447" s="1" t="str">
        <f>"CK202410186840"</f>
        <v>CK202410186840</v>
      </c>
      <c r="C6447" s="1" t="str">
        <f>"DD2024101812399"</f>
        <v>DD2024101812399</v>
      </c>
      <c r="D6447" s="1" t="str">
        <f>"CK202410189632"</f>
        <v>CK202410189632</v>
      </c>
      <c r="E6447" s="1" t="str">
        <f>"6935143423654827995"</f>
        <v>6935143423654827995</v>
      </c>
      <c r="F6447" s="1" t="str">
        <f t="shared" si="1957"/>
        <v>花都四部-凤凰仓</v>
      </c>
      <c r="G6447" s="1" t="str">
        <f t="shared" si="1954"/>
        <v>卡卡杜个人护理店（抖店）</v>
      </c>
      <c r="H6447" s="1" t="str">
        <f t="shared" si="1958"/>
        <v>正常订单</v>
      </c>
      <c r="I6447" s="1" t="str">
        <f t="shared" si="1959"/>
        <v>已发货</v>
      </c>
      <c r="J6447" s="1" t="str">
        <f t="shared" si="1961"/>
        <v>3</v>
      </c>
      <c r="K6447" s="1">
        <v>3</v>
      </c>
      <c r="L6447" s="1" t="s">
        <v>80</v>
      </c>
      <c r="M6447" s="1" t="str">
        <f>"河南省 新乡市 原阳县 原武镇"</f>
        <v>河南省 新乡市 原阳县 原武镇</v>
      </c>
      <c r="N6447" s="1" t="str">
        <f t="shared" si="1960"/>
        <v>凡华云仓-韵达-抖音</v>
      </c>
      <c r="O6447" s="5">
        <v>320177484339536</v>
      </c>
      <c r="P6447" s="6">
        <v>0.28000000000000003</v>
      </c>
      <c r="Q6447" s="11">
        <v>2</v>
      </c>
      <c r="R6447" s="11"/>
      <c r="S6447" s="11"/>
      <c r="T6447" s="11"/>
      <c r="U6447" s="11">
        <f t="shared" si="1955"/>
        <v>2</v>
      </c>
      <c r="W6447">
        <v>2.2000000000000002</v>
      </c>
      <c r="X6447" s="1" t="s">
        <v>80</v>
      </c>
    </row>
    <row r="6448" spans="1:24" x14ac:dyDescent="0.25">
      <c r="A6448" s="1" t="str">
        <f t="shared" si="1956"/>
        <v>卡卡杜-凤凰仓</v>
      </c>
      <c r="B6448" s="1" t="str">
        <f>"CK202410186841"</f>
        <v>CK202410186841</v>
      </c>
      <c r="C6448" s="1" t="str">
        <f>"DD2024101812400"</f>
        <v>DD2024101812400</v>
      </c>
      <c r="D6448" s="1" t="str">
        <f>"CK202410189631"</f>
        <v>CK202410189631</v>
      </c>
      <c r="E6448" s="1" t="str">
        <f>"6935147371715827392"</f>
        <v>6935147371715827392</v>
      </c>
      <c r="F6448" s="1" t="str">
        <f t="shared" si="1957"/>
        <v>花都四部-凤凰仓</v>
      </c>
      <c r="G6448" s="1" t="str">
        <f t="shared" si="1954"/>
        <v>卡卡杜个人护理店（抖店）</v>
      </c>
      <c r="H6448" s="1" t="str">
        <f t="shared" si="1958"/>
        <v>正常订单</v>
      </c>
      <c r="I6448" s="1" t="str">
        <f t="shared" si="1959"/>
        <v>已发货</v>
      </c>
      <c r="J6448" s="1" t="str">
        <f t="shared" si="1961"/>
        <v>3</v>
      </c>
      <c r="K6448" s="1">
        <v>3</v>
      </c>
      <c r="L6448" s="1" t="s">
        <v>41</v>
      </c>
      <c r="M6448" s="1" t="str">
        <f>"湖北省 十堰市 茅箭区 白浪街道"</f>
        <v>湖北省 十堰市 茅箭区 白浪街道</v>
      </c>
      <c r="N6448" s="1" t="str">
        <f t="shared" si="1960"/>
        <v>凡华云仓-韵达-抖音</v>
      </c>
      <c r="O6448" s="5">
        <v>320177484339439</v>
      </c>
      <c r="P6448" s="6">
        <v>0.28000000000000003</v>
      </c>
      <c r="Q6448" s="11">
        <v>2</v>
      </c>
      <c r="R6448" s="11"/>
      <c r="S6448" s="11"/>
      <c r="T6448" s="11"/>
      <c r="U6448" s="11">
        <f t="shared" si="1955"/>
        <v>2</v>
      </c>
      <c r="W6448">
        <v>2.2000000000000002</v>
      </c>
      <c r="X6448" s="1" t="s">
        <v>41</v>
      </c>
    </row>
    <row r="6449" spans="1:24" x14ac:dyDescent="0.25">
      <c r="A6449" s="1" t="str">
        <f t="shared" si="1956"/>
        <v>卡卡杜-凤凰仓</v>
      </c>
      <c r="B6449" s="1" t="str">
        <f>"CK202410186842"</f>
        <v>CK202410186842</v>
      </c>
      <c r="C6449" s="1" t="str">
        <f>"DD2024101812401"</f>
        <v>DD2024101812401</v>
      </c>
      <c r="D6449" s="1" t="str">
        <f>"CK202410189630"</f>
        <v>CK202410189630</v>
      </c>
      <c r="E6449" s="1" t="str">
        <f>"6935153749420152690"</f>
        <v>6935153749420152690</v>
      </c>
      <c r="F6449" s="1" t="str">
        <f t="shared" si="1957"/>
        <v>花都四部-凤凰仓</v>
      </c>
      <c r="G6449" s="1" t="str">
        <f t="shared" si="1954"/>
        <v>卡卡杜个人护理店（抖店）</v>
      </c>
      <c r="H6449" s="1" t="str">
        <f t="shared" si="1958"/>
        <v>正常订单</v>
      </c>
      <c r="I6449" s="1" t="str">
        <f t="shared" si="1959"/>
        <v>已发货</v>
      </c>
      <c r="J6449" s="1" t="str">
        <f t="shared" si="1961"/>
        <v>3</v>
      </c>
      <c r="K6449" s="1">
        <v>3</v>
      </c>
      <c r="L6449" s="1" t="s">
        <v>105</v>
      </c>
      <c r="M6449" s="1" t="str">
        <f>"北京 北京市 昌平区 南邵镇"</f>
        <v>北京 北京市 昌平区 南邵镇</v>
      </c>
      <c r="N6449" s="1" t="str">
        <f t="shared" si="1960"/>
        <v>凡华云仓-韵达-抖音</v>
      </c>
      <c r="O6449" s="5">
        <v>320177484339344</v>
      </c>
      <c r="P6449" s="6">
        <v>0.28000000000000003</v>
      </c>
      <c r="Q6449" s="11">
        <v>2</v>
      </c>
      <c r="R6449" s="11"/>
      <c r="S6449" s="11"/>
      <c r="T6449" s="11"/>
      <c r="U6449" s="11">
        <f t="shared" si="1955"/>
        <v>2</v>
      </c>
      <c r="W6449">
        <v>2.2000000000000002</v>
      </c>
      <c r="X6449" s="1" t="s">
        <v>105</v>
      </c>
    </row>
    <row r="6450" spans="1:24" x14ac:dyDescent="0.25">
      <c r="A6450" s="1" t="str">
        <f t="shared" si="1956"/>
        <v>卡卡杜-凤凰仓</v>
      </c>
      <c r="B6450" s="1" t="str">
        <f>"CK2024101810006"</f>
        <v>CK2024101810006</v>
      </c>
      <c r="C6450" s="1" t="str">
        <f>"DD2024101815589"</f>
        <v>DD2024101815589</v>
      </c>
      <c r="D6450" s="1" t="str">
        <f>"CK202410189629"</f>
        <v>CK202410189629</v>
      </c>
      <c r="E6450" s="1" t="str">
        <f>"6935165073684370569"</f>
        <v>6935165073684370569</v>
      </c>
      <c r="F6450" s="1" t="str">
        <f t="shared" si="1957"/>
        <v>花都四部-凤凰仓</v>
      </c>
      <c r="G6450" s="1" t="str">
        <f t="shared" si="1954"/>
        <v>卡卡杜个人护理店（抖店）</v>
      </c>
      <c r="H6450" s="1" t="str">
        <f t="shared" si="1958"/>
        <v>正常订单</v>
      </c>
      <c r="I6450" s="1" t="str">
        <f t="shared" si="1959"/>
        <v>已发货</v>
      </c>
      <c r="J6450" s="1" t="str">
        <f t="shared" si="1961"/>
        <v>3</v>
      </c>
      <c r="K6450" s="1">
        <v>3</v>
      </c>
      <c r="L6450" s="1" t="s">
        <v>30</v>
      </c>
      <c r="M6450" s="1" t="str">
        <f>"山东省 烟台市 芝罘区 幸福街道"</f>
        <v>山东省 烟台市 芝罘区 幸福街道</v>
      </c>
      <c r="N6450" s="1" t="str">
        <f t="shared" si="1960"/>
        <v>凡华云仓-韵达-抖音</v>
      </c>
      <c r="O6450" s="5">
        <v>320177484339251</v>
      </c>
      <c r="P6450" s="6">
        <v>0.28000000000000003</v>
      </c>
      <c r="Q6450" s="11">
        <v>2</v>
      </c>
      <c r="R6450" s="11"/>
      <c r="S6450" s="11"/>
      <c r="T6450" s="11"/>
      <c r="U6450" s="11">
        <f t="shared" si="1955"/>
        <v>2</v>
      </c>
      <c r="W6450">
        <v>2.2000000000000002</v>
      </c>
      <c r="X6450" s="1" t="s">
        <v>30</v>
      </c>
    </row>
    <row r="6451" spans="1:24" x14ac:dyDescent="0.25">
      <c r="A6451" s="1" t="str">
        <f t="shared" si="1956"/>
        <v>卡卡杜-凤凰仓</v>
      </c>
      <c r="B6451" s="1" t="str">
        <f>"CK202410186843"</f>
        <v>CK202410186843</v>
      </c>
      <c r="C6451" s="1" t="str">
        <f>"DD2024101812402"</f>
        <v>DD2024101812402</v>
      </c>
      <c r="D6451" s="1" t="str">
        <f>"CK202410189628"</f>
        <v>CK202410189628</v>
      </c>
      <c r="E6451" s="1" t="str">
        <f>"6935162749824734774"</f>
        <v>6935162749824734774</v>
      </c>
      <c r="F6451" s="1" t="str">
        <f t="shared" si="1957"/>
        <v>花都四部-凤凰仓</v>
      </c>
      <c r="G6451" s="1" t="str">
        <f t="shared" si="1954"/>
        <v>卡卡杜个人护理店（抖店）</v>
      </c>
      <c r="H6451" s="1" t="str">
        <f t="shared" si="1958"/>
        <v>正常订单</v>
      </c>
      <c r="I6451" s="1" t="str">
        <f t="shared" si="1959"/>
        <v>已发货</v>
      </c>
      <c r="J6451" s="1" t="str">
        <f t="shared" si="1961"/>
        <v>3</v>
      </c>
      <c r="K6451" s="1">
        <v>3</v>
      </c>
      <c r="L6451" s="1" t="s">
        <v>22</v>
      </c>
      <c r="M6451" s="1" t="str">
        <f>"江西省 南昌市 青山湖区 湖坊镇"</f>
        <v>江西省 南昌市 青山湖区 湖坊镇</v>
      </c>
      <c r="N6451" s="1" t="str">
        <f t="shared" si="1960"/>
        <v>凡华云仓-韵达-抖音</v>
      </c>
      <c r="O6451" s="5">
        <v>320177484339160</v>
      </c>
      <c r="P6451" s="6">
        <v>0.28000000000000003</v>
      </c>
      <c r="Q6451" s="11">
        <v>2</v>
      </c>
      <c r="R6451" s="11"/>
      <c r="S6451" s="11"/>
      <c r="T6451" s="11"/>
      <c r="U6451" s="11">
        <f t="shared" si="1955"/>
        <v>2</v>
      </c>
      <c r="W6451">
        <v>2.2000000000000002</v>
      </c>
      <c r="X6451" s="1" t="s">
        <v>22</v>
      </c>
    </row>
    <row r="6452" spans="1:24" x14ac:dyDescent="0.25">
      <c r="A6452" s="1" t="str">
        <f t="shared" si="1956"/>
        <v>卡卡杜-凤凰仓</v>
      </c>
      <c r="B6452" s="1" t="str">
        <f>"CK202410186844"</f>
        <v>CK202410186844</v>
      </c>
      <c r="C6452" s="1" t="str">
        <f>"DD2024101812403"</f>
        <v>DD2024101812403</v>
      </c>
      <c r="D6452" s="1" t="str">
        <f>"CK202410189627"</f>
        <v>CK202410189627</v>
      </c>
      <c r="E6452" s="1" t="str">
        <f>"6935141047652456230"</f>
        <v>6935141047652456230</v>
      </c>
      <c r="F6452" s="1" t="str">
        <f t="shared" si="1957"/>
        <v>花都四部-凤凰仓</v>
      </c>
      <c r="G6452" s="1" t="str">
        <f t="shared" ref="G6452:G6515" si="1962">"卡卡杜个人护理店（抖店）"</f>
        <v>卡卡杜个人护理店（抖店）</v>
      </c>
      <c r="H6452" s="1" t="str">
        <f t="shared" si="1958"/>
        <v>正常订单</v>
      </c>
      <c r="I6452" s="1" t="str">
        <f t="shared" si="1959"/>
        <v>已发货</v>
      </c>
      <c r="J6452" s="1" t="str">
        <f t="shared" si="1961"/>
        <v>3</v>
      </c>
      <c r="K6452" s="1">
        <v>3</v>
      </c>
      <c r="L6452" s="1" t="s">
        <v>30</v>
      </c>
      <c r="M6452" s="1" t="str">
        <f>"山东省 泰安市 泰山区 上高街道"</f>
        <v>山东省 泰安市 泰山区 上高街道</v>
      </c>
      <c r="N6452" s="1" t="str">
        <f t="shared" si="1960"/>
        <v>凡华云仓-韵达-抖音</v>
      </c>
      <c r="O6452" s="5">
        <v>320177484339071</v>
      </c>
      <c r="P6452" s="6">
        <v>0.28000000000000003</v>
      </c>
      <c r="Q6452" s="11">
        <v>2</v>
      </c>
      <c r="R6452" s="11"/>
      <c r="S6452" s="11"/>
      <c r="T6452" s="11"/>
      <c r="U6452" s="11">
        <f t="shared" si="1955"/>
        <v>2</v>
      </c>
      <c r="W6452">
        <v>2.2000000000000002</v>
      </c>
      <c r="X6452" s="1" t="s">
        <v>30</v>
      </c>
    </row>
    <row r="6453" spans="1:24" x14ac:dyDescent="0.25">
      <c r="A6453" s="1" t="str">
        <f t="shared" si="1956"/>
        <v>卡卡杜-凤凰仓</v>
      </c>
      <c r="B6453" s="1" t="str">
        <f>"CK202410186845"</f>
        <v>CK202410186845</v>
      </c>
      <c r="C6453" s="1" t="str">
        <f>"DD2024101812404"</f>
        <v>DD2024101812404</v>
      </c>
      <c r="D6453" s="1" t="str">
        <f>"CK202410189626"</f>
        <v>CK202410189626</v>
      </c>
      <c r="E6453" s="1" t="str">
        <f>"6935151438795248649"</f>
        <v>6935151438795248649</v>
      </c>
      <c r="F6453" s="1" t="str">
        <f t="shared" si="1957"/>
        <v>花都四部-凤凰仓</v>
      </c>
      <c r="G6453" s="1" t="str">
        <f t="shared" si="1962"/>
        <v>卡卡杜个人护理店（抖店）</v>
      </c>
      <c r="H6453" s="1" t="str">
        <f t="shared" si="1958"/>
        <v>正常订单</v>
      </c>
      <c r="I6453" s="1" t="str">
        <f t="shared" si="1959"/>
        <v>已发货</v>
      </c>
      <c r="J6453" s="1" t="str">
        <f t="shared" si="1961"/>
        <v>3</v>
      </c>
      <c r="K6453" s="1">
        <v>3</v>
      </c>
      <c r="L6453" s="1" t="s">
        <v>13</v>
      </c>
      <c r="M6453" s="1" t="str">
        <f>"江苏省 连云港市 东海县 桃林镇"</f>
        <v>江苏省 连云港市 东海县 桃林镇</v>
      </c>
      <c r="N6453" s="1" t="str">
        <f t="shared" si="1960"/>
        <v>凡华云仓-韵达-抖音</v>
      </c>
      <c r="O6453" s="5">
        <v>320177484338939</v>
      </c>
      <c r="P6453" s="6">
        <v>0.28000000000000003</v>
      </c>
      <c r="Q6453" s="11">
        <v>2</v>
      </c>
      <c r="R6453" s="11"/>
      <c r="S6453" s="11"/>
      <c r="T6453" s="11"/>
      <c r="U6453" s="11">
        <f t="shared" si="1955"/>
        <v>2</v>
      </c>
      <c r="W6453">
        <v>2.2000000000000002</v>
      </c>
      <c r="X6453" s="1" t="s">
        <v>13</v>
      </c>
    </row>
    <row r="6454" spans="1:24" x14ac:dyDescent="0.25">
      <c r="A6454" s="1" t="str">
        <f t="shared" si="1956"/>
        <v>卡卡杜-凤凰仓</v>
      </c>
      <c r="B6454" s="1" t="str">
        <f>"CK202410186846"</f>
        <v>CK202410186846</v>
      </c>
      <c r="C6454" s="1" t="str">
        <f>"DD2024101812405"</f>
        <v>DD2024101812405</v>
      </c>
      <c r="D6454" s="1" t="str">
        <f>"CK202410189625"</f>
        <v>CK202410189625</v>
      </c>
      <c r="E6454" s="1" t="str">
        <f>"6935149868919690861"</f>
        <v>6935149868919690861</v>
      </c>
      <c r="F6454" s="1" t="str">
        <f t="shared" si="1957"/>
        <v>花都四部-凤凰仓</v>
      </c>
      <c r="G6454" s="1" t="str">
        <f t="shared" si="1962"/>
        <v>卡卡杜个人护理店（抖店）</v>
      </c>
      <c r="H6454" s="1" t="str">
        <f t="shared" si="1958"/>
        <v>正常订单</v>
      </c>
      <c r="I6454" s="1" t="str">
        <f t="shared" si="1959"/>
        <v>已发货</v>
      </c>
      <c r="J6454" s="1" t="str">
        <f>"6"</f>
        <v>6</v>
      </c>
      <c r="K6454" s="1">
        <v>3</v>
      </c>
      <c r="L6454" s="1" t="s">
        <v>32</v>
      </c>
      <c r="M6454" s="1" t="str">
        <f>"陕西省 榆林市 榆阳区 航宇路街道"</f>
        <v>陕西省 榆林市 榆阳区 航宇路街道</v>
      </c>
      <c r="N6454" s="1" t="str">
        <f t="shared" si="1960"/>
        <v>凡华云仓-韵达-抖音</v>
      </c>
      <c r="O6454" s="5">
        <v>320177484338834</v>
      </c>
      <c r="P6454" s="6">
        <v>0.47</v>
      </c>
      <c r="Q6454" s="11">
        <v>2.2999999999999998</v>
      </c>
      <c r="R6454" s="11"/>
      <c r="S6454" s="11"/>
      <c r="T6454" s="11"/>
      <c r="U6454" s="11">
        <f t="shared" si="1955"/>
        <v>2.2999999999999998</v>
      </c>
      <c r="W6454">
        <v>2.5</v>
      </c>
      <c r="X6454" s="1" t="s">
        <v>32</v>
      </c>
    </row>
    <row r="6455" spans="1:24" x14ac:dyDescent="0.25">
      <c r="A6455" s="1" t="str">
        <f t="shared" si="1956"/>
        <v>卡卡杜-凤凰仓</v>
      </c>
      <c r="B6455" s="1" t="str">
        <f>"CK202410186847"</f>
        <v>CK202410186847</v>
      </c>
      <c r="C6455" s="1" t="str">
        <f>"DD2024101812406"</f>
        <v>DD2024101812406</v>
      </c>
      <c r="D6455" s="1" t="str">
        <f>"CK202410189624"</f>
        <v>CK202410189624</v>
      </c>
      <c r="E6455" s="1" t="str">
        <f>"6935143437635491253"</f>
        <v>6935143437635491253</v>
      </c>
      <c r="F6455" s="1" t="str">
        <f t="shared" si="1957"/>
        <v>花都四部-凤凰仓</v>
      </c>
      <c r="G6455" s="1" t="str">
        <f t="shared" si="1962"/>
        <v>卡卡杜个人护理店（抖店）</v>
      </c>
      <c r="H6455" s="1" t="str">
        <f t="shared" si="1958"/>
        <v>正常订单</v>
      </c>
      <c r="I6455" s="1" t="str">
        <f t="shared" si="1959"/>
        <v>已发货</v>
      </c>
      <c r="J6455" s="1" t="str">
        <f t="shared" ref="J6455:J6472" si="1963">"3"</f>
        <v>3</v>
      </c>
      <c r="K6455" s="1">
        <v>3</v>
      </c>
      <c r="L6455" s="1" t="s">
        <v>80</v>
      </c>
      <c r="M6455" s="1" t="str">
        <f>"河南省 周口市 鹿邑县 张店镇"</f>
        <v>河南省 周口市 鹿邑县 张店镇</v>
      </c>
      <c r="N6455" s="1" t="str">
        <f t="shared" si="1960"/>
        <v>凡华云仓-韵达-抖音</v>
      </c>
      <c r="O6455" s="5">
        <v>320177484338731</v>
      </c>
      <c r="P6455" s="6">
        <v>0.28000000000000003</v>
      </c>
      <c r="Q6455" s="11">
        <v>2</v>
      </c>
      <c r="R6455" s="11"/>
      <c r="S6455" s="11"/>
      <c r="T6455" s="11"/>
      <c r="U6455" s="11">
        <f t="shared" si="1955"/>
        <v>2</v>
      </c>
      <c r="W6455">
        <v>2.2000000000000002</v>
      </c>
      <c r="X6455" s="1" t="s">
        <v>80</v>
      </c>
    </row>
    <row r="6456" spans="1:24" x14ac:dyDescent="0.25">
      <c r="A6456" s="1" t="str">
        <f t="shared" si="1956"/>
        <v>卡卡杜-凤凰仓</v>
      </c>
      <c r="B6456" s="1" t="str">
        <f>"CK202410186849"</f>
        <v>CK202410186849</v>
      </c>
      <c r="C6456" s="1" t="str">
        <f>"DD2024101812407"</f>
        <v>DD2024101812407</v>
      </c>
      <c r="D6456" s="1" t="str">
        <f>"CK202410189623"</f>
        <v>CK202410189623</v>
      </c>
      <c r="E6456" s="1" t="str">
        <f>"6935164961023857985"</f>
        <v>6935164961023857985</v>
      </c>
      <c r="F6456" s="1" t="str">
        <f t="shared" si="1957"/>
        <v>花都四部-凤凰仓</v>
      </c>
      <c r="G6456" s="1" t="str">
        <f t="shared" si="1962"/>
        <v>卡卡杜个人护理店（抖店）</v>
      </c>
      <c r="H6456" s="1" t="str">
        <f t="shared" si="1958"/>
        <v>正常订单</v>
      </c>
      <c r="I6456" s="1" t="str">
        <f t="shared" si="1959"/>
        <v>已发货</v>
      </c>
      <c r="J6456" s="1" t="str">
        <f t="shared" si="1963"/>
        <v>3</v>
      </c>
      <c r="K6456" s="1">
        <v>3</v>
      </c>
      <c r="L6456" s="1" t="s">
        <v>22</v>
      </c>
      <c r="M6456" s="1" t="str">
        <f>"江西省 赣州市 南康区 东山街道"</f>
        <v>江西省 赣州市 南康区 东山街道</v>
      </c>
      <c r="N6456" s="1" t="str">
        <f t="shared" si="1960"/>
        <v>凡华云仓-韵达-抖音</v>
      </c>
      <c r="O6456" s="5">
        <v>320177484333251</v>
      </c>
      <c r="P6456" s="6">
        <v>0.28000000000000003</v>
      </c>
      <c r="Q6456" s="11">
        <v>2</v>
      </c>
      <c r="R6456" s="11"/>
      <c r="S6456" s="11"/>
      <c r="T6456" s="11"/>
      <c r="U6456" s="11">
        <f t="shared" si="1955"/>
        <v>2</v>
      </c>
      <c r="W6456">
        <v>2.2000000000000002</v>
      </c>
      <c r="X6456" s="1" t="s">
        <v>22</v>
      </c>
    </row>
    <row r="6457" spans="1:24" x14ac:dyDescent="0.25">
      <c r="A6457" s="1" t="str">
        <f t="shared" si="1956"/>
        <v>卡卡杜-凤凰仓</v>
      </c>
      <c r="B6457" s="1" t="str">
        <f>"CK202410186848"</f>
        <v>CK202410186848</v>
      </c>
      <c r="C6457" s="1" t="str">
        <f>"DD2024101812408"</f>
        <v>DD2024101812408</v>
      </c>
      <c r="D6457" s="1" t="str">
        <f>"CK202410189622"</f>
        <v>CK202410189622</v>
      </c>
      <c r="E6457" s="1" t="str">
        <f>"6935164885405537524"</f>
        <v>6935164885405537524</v>
      </c>
      <c r="F6457" s="1" t="str">
        <f t="shared" si="1957"/>
        <v>花都四部-凤凰仓</v>
      </c>
      <c r="G6457" s="1" t="str">
        <f t="shared" si="1962"/>
        <v>卡卡杜个人护理店（抖店）</v>
      </c>
      <c r="H6457" s="1" t="str">
        <f t="shared" si="1958"/>
        <v>正常订单</v>
      </c>
      <c r="I6457" s="1" t="str">
        <f t="shared" si="1959"/>
        <v>已发货</v>
      </c>
      <c r="J6457" s="1" t="str">
        <f t="shared" si="1963"/>
        <v>3</v>
      </c>
      <c r="K6457" s="1">
        <v>3</v>
      </c>
      <c r="L6457" s="1" t="s">
        <v>16</v>
      </c>
      <c r="M6457" s="1" t="str">
        <f>"河北省 邢台市 南和区 和阳镇"</f>
        <v>河北省 邢台市 南和区 和阳镇</v>
      </c>
      <c r="N6457" s="1" t="str">
        <f t="shared" si="1960"/>
        <v>凡华云仓-韵达-抖音</v>
      </c>
      <c r="O6457" s="5">
        <v>320177484333160</v>
      </c>
      <c r="P6457" s="6">
        <v>0.28000000000000003</v>
      </c>
      <c r="Q6457" s="11">
        <v>2</v>
      </c>
      <c r="R6457" s="11"/>
      <c r="S6457" s="11"/>
      <c r="T6457" s="11"/>
      <c r="U6457" s="11">
        <f t="shared" si="1955"/>
        <v>2</v>
      </c>
      <c r="W6457">
        <v>2.2000000000000002</v>
      </c>
      <c r="X6457" s="1" t="s">
        <v>16</v>
      </c>
    </row>
    <row r="6458" spans="1:24" x14ac:dyDescent="0.25">
      <c r="A6458" s="1" t="str">
        <f t="shared" si="1956"/>
        <v>卡卡杜-凤凰仓</v>
      </c>
      <c r="B6458" s="1" t="str">
        <f>"CK2024101810007"</f>
        <v>CK2024101810007</v>
      </c>
      <c r="C6458" s="1" t="str">
        <f>"DD2024101815591"</f>
        <v>DD2024101815591</v>
      </c>
      <c r="D6458" s="1" t="str">
        <f>"CK202410189621"</f>
        <v>CK202410189621</v>
      </c>
      <c r="E6458" s="1" t="str">
        <f>"6935149820233651673"</f>
        <v>6935149820233651673</v>
      </c>
      <c r="F6458" s="1" t="str">
        <f t="shared" si="1957"/>
        <v>花都四部-凤凰仓</v>
      </c>
      <c r="G6458" s="1" t="str">
        <f t="shared" si="1962"/>
        <v>卡卡杜个人护理店（抖店）</v>
      </c>
      <c r="H6458" s="1" t="str">
        <f t="shared" si="1958"/>
        <v>正常订单</v>
      </c>
      <c r="I6458" s="1" t="str">
        <f t="shared" si="1959"/>
        <v>已发货</v>
      </c>
      <c r="J6458" s="1" t="str">
        <f t="shared" si="1963"/>
        <v>3</v>
      </c>
      <c r="K6458" s="1">
        <v>3</v>
      </c>
      <c r="L6458" s="1" t="s">
        <v>30</v>
      </c>
      <c r="M6458" s="1" t="str">
        <f>"山东省 烟台市 龙口市 龙港街道"</f>
        <v>山东省 烟台市 龙口市 龙港街道</v>
      </c>
      <c r="N6458" s="1" t="str">
        <f t="shared" si="1960"/>
        <v>凡华云仓-韵达-抖音</v>
      </c>
      <c r="O6458" s="5">
        <v>320177484333071</v>
      </c>
      <c r="P6458" s="6">
        <v>0.28000000000000003</v>
      </c>
      <c r="Q6458" s="11">
        <v>2</v>
      </c>
      <c r="R6458" s="11"/>
      <c r="S6458" s="11"/>
      <c r="T6458" s="11"/>
      <c r="U6458" s="11">
        <f t="shared" si="1955"/>
        <v>2</v>
      </c>
      <c r="W6458">
        <v>2.2000000000000002</v>
      </c>
      <c r="X6458" s="1" t="s">
        <v>30</v>
      </c>
    </row>
    <row r="6459" spans="1:24" x14ac:dyDescent="0.25">
      <c r="A6459" s="1" t="str">
        <f t="shared" si="1956"/>
        <v>卡卡杜-凤凰仓</v>
      </c>
      <c r="B6459" s="1" t="str">
        <f>"CK202410186850"</f>
        <v>CK202410186850</v>
      </c>
      <c r="C6459" s="1" t="str">
        <f>"DD2024101812409"</f>
        <v>DD2024101812409</v>
      </c>
      <c r="D6459" s="1" t="str">
        <f>"CK202410189620"</f>
        <v>CK202410189620</v>
      </c>
      <c r="E6459" s="1" t="str">
        <f>"6935141063693637575"</f>
        <v>6935141063693637575</v>
      </c>
      <c r="F6459" s="1" t="str">
        <f t="shared" si="1957"/>
        <v>花都四部-凤凰仓</v>
      </c>
      <c r="G6459" s="1" t="str">
        <f t="shared" si="1962"/>
        <v>卡卡杜个人护理店（抖店）</v>
      </c>
      <c r="H6459" s="1" t="str">
        <f t="shared" si="1958"/>
        <v>正常订单</v>
      </c>
      <c r="I6459" s="1" t="str">
        <f t="shared" si="1959"/>
        <v>已发货</v>
      </c>
      <c r="J6459" s="1" t="str">
        <f t="shared" si="1963"/>
        <v>3</v>
      </c>
      <c r="K6459" s="1">
        <v>3</v>
      </c>
      <c r="L6459" s="1" t="s">
        <v>80</v>
      </c>
      <c r="M6459" s="1" t="str">
        <f>"河南省 南阳市 桐柏县 埠江镇"</f>
        <v>河南省 南阳市 桐柏县 埠江镇</v>
      </c>
      <c r="N6459" s="1" t="str">
        <f t="shared" si="1960"/>
        <v>凡华云仓-韵达-抖音</v>
      </c>
      <c r="O6459" s="5">
        <v>320177484332951</v>
      </c>
      <c r="P6459" s="6">
        <v>0.28000000000000003</v>
      </c>
      <c r="Q6459" s="11">
        <v>2</v>
      </c>
      <c r="R6459" s="11"/>
      <c r="S6459" s="11"/>
      <c r="T6459" s="11"/>
      <c r="U6459" s="11">
        <f t="shared" si="1955"/>
        <v>2</v>
      </c>
      <c r="W6459">
        <v>2.2000000000000002</v>
      </c>
      <c r="X6459" s="1" t="s">
        <v>80</v>
      </c>
    </row>
    <row r="6460" spans="1:24" x14ac:dyDescent="0.25">
      <c r="A6460" s="1" t="str">
        <f t="shared" si="1956"/>
        <v>卡卡杜-凤凰仓</v>
      </c>
      <c r="B6460" s="1" t="str">
        <f>"CK202410186851"</f>
        <v>CK202410186851</v>
      </c>
      <c r="C6460" s="1" t="str">
        <f>"DD2024101812410"</f>
        <v>DD2024101812410</v>
      </c>
      <c r="D6460" s="1" t="str">
        <f>"CK202410189619"</f>
        <v>CK202410189619</v>
      </c>
      <c r="E6460" s="1" t="str">
        <f>"6935169617150547309"</f>
        <v>6935169617150547309</v>
      </c>
      <c r="F6460" s="1" t="str">
        <f t="shared" si="1957"/>
        <v>花都四部-凤凰仓</v>
      </c>
      <c r="G6460" s="1" t="str">
        <f t="shared" si="1962"/>
        <v>卡卡杜个人护理店（抖店）</v>
      </c>
      <c r="H6460" s="1" t="str">
        <f t="shared" si="1958"/>
        <v>正常订单</v>
      </c>
      <c r="I6460" s="1" t="str">
        <f t="shared" si="1959"/>
        <v>已发货</v>
      </c>
      <c r="J6460" s="1" t="str">
        <f t="shared" si="1963"/>
        <v>3</v>
      </c>
      <c r="K6460" s="1">
        <v>3</v>
      </c>
      <c r="L6460" s="1" t="s">
        <v>74</v>
      </c>
      <c r="M6460" s="1" t="str">
        <f>"上海 上海市 宝山区 大场镇"</f>
        <v>上海 上海市 宝山区 大场镇</v>
      </c>
      <c r="N6460" s="1" t="str">
        <f t="shared" si="1960"/>
        <v>凡华云仓-韵达-抖音</v>
      </c>
      <c r="O6460" s="5">
        <v>320177484332846</v>
      </c>
      <c r="P6460" s="6">
        <v>0.28000000000000003</v>
      </c>
      <c r="Q6460" s="11">
        <v>2</v>
      </c>
      <c r="R6460" s="11"/>
      <c r="S6460" s="11"/>
      <c r="T6460" s="11"/>
      <c r="U6460" s="11">
        <f t="shared" si="1955"/>
        <v>2</v>
      </c>
      <c r="W6460">
        <v>2.2000000000000002</v>
      </c>
      <c r="X6460" s="1" t="s">
        <v>74</v>
      </c>
    </row>
    <row r="6461" spans="1:24" x14ac:dyDescent="0.25">
      <c r="A6461" s="1" t="str">
        <f t="shared" si="1956"/>
        <v>卡卡杜-凤凰仓</v>
      </c>
      <c r="B6461" s="1" t="str">
        <f>"CK202410186852"</f>
        <v>CK202410186852</v>
      </c>
      <c r="C6461" s="1" t="str">
        <f>"DD2024101812411"</f>
        <v>DD2024101812411</v>
      </c>
      <c r="D6461" s="1" t="str">
        <f>"CK202410189618"</f>
        <v>CK202410189618</v>
      </c>
      <c r="E6461" s="1" t="str">
        <f>"6935155999128950183"</f>
        <v>6935155999128950183</v>
      </c>
      <c r="F6461" s="1" t="str">
        <f t="shared" si="1957"/>
        <v>花都四部-凤凰仓</v>
      </c>
      <c r="G6461" s="1" t="str">
        <f t="shared" si="1962"/>
        <v>卡卡杜个人护理店（抖店）</v>
      </c>
      <c r="H6461" s="1" t="str">
        <f t="shared" si="1958"/>
        <v>正常订单</v>
      </c>
      <c r="I6461" s="1" t="str">
        <f t="shared" si="1959"/>
        <v>已发货</v>
      </c>
      <c r="J6461" s="1" t="str">
        <f t="shared" si="1963"/>
        <v>3</v>
      </c>
      <c r="K6461" s="1">
        <v>3</v>
      </c>
      <c r="L6461" s="1" t="s">
        <v>30</v>
      </c>
      <c r="M6461" s="1" t="str">
        <f>"山东省 临沂市 罗庄区 盛庄街道"</f>
        <v>山东省 临沂市 罗庄区 盛庄街道</v>
      </c>
      <c r="N6461" s="1" t="str">
        <f t="shared" si="1960"/>
        <v>凡华云仓-韵达-抖音</v>
      </c>
      <c r="O6461" s="5">
        <v>320177484332743</v>
      </c>
      <c r="P6461" s="6">
        <v>0.28000000000000003</v>
      </c>
      <c r="Q6461" s="11">
        <v>2</v>
      </c>
      <c r="R6461" s="11"/>
      <c r="S6461" s="11"/>
      <c r="T6461" s="11"/>
      <c r="U6461" s="11">
        <f t="shared" si="1955"/>
        <v>2</v>
      </c>
      <c r="W6461">
        <v>2.2000000000000002</v>
      </c>
      <c r="X6461" s="1" t="s">
        <v>30</v>
      </c>
    </row>
    <row r="6462" spans="1:24" x14ac:dyDescent="0.25">
      <c r="A6462" s="1" t="str">
        <f t="shared" si="1956"/>
        <v>卡卡杜-凤凰仓</v>
      </c>
      <c r="B6462" s="1" t="str">
        <f>"CK202410186853"</f>
        <v>CK202410186853</v>
      </c>
      <c r="C6462" s="1" t="str">
        <f>"DD2024101812412"</f>
        <v>DD2024101812412</v>
      </c>
      <c r="D6462" s="1" t="str">
        <f>"CK202410189617"</f>
        <v>CK202410189617</v>
      </c>
      <c r="E6462" s="1" t="str">
        <f>"6935160832537597297"</f>
        <v>6935160832537597297</v>
      </c>
      <c r="F6462" s="1" t="str">
        <f t="shared" si="1957"/>
        <v>花都四部-凤凰仓</v>
      </c>
      <c r="G6462" s="1" t="str">
        <f t="shared" si="1962"/>
        <v>卡卡杜个人护理店（抖店）</v>
      </c>
      <c r="H6462" s="1" t="str">
        <f t="shared" si="1958"/>
        <v>正常订单</v>
      </c>
      <c r="I6462" s="1" t="str">
        <f t="shared" si="1959"/>
        <v>已发货</v>
      </c>
      <c r="J6462" s="1" t="str">
        <f t="shared" si="1963"/>
        <v>3</v>
      </c>
      <c r="K6462" s="1">
        <v>3</v>
      </c>
      <c r="L6462" s="1" t="s">
        <v>16</v>
      </c>
      <c r="M6462" s="1" t="str">
        <f>"河北省 石家庄市 鹿泉区 大河镇"</f>
        <v>河北省 石家庄市 鹿泉区 大河镇</v>
      </c>
      <c r="N6462" s="1" t="str">
        <f t="shared" si="1960"/>
        <v>凡华云仓-韵达-抖音</v>
      </c>
      <c r="O6462" s="5">
        <v>320177484332642</v>
      </c>
      <c r="P6462" s="6">
        <v>0.28000000000000003</v>
      </c>
      <c r="Q6462" s="11">
        <v>2</v>
      </c>
      <c r="R6462" s="11"/>
      <c r="S6462" s="11"/>
      <c r="T6462" s="11"/>
      <c r="U6462" s="11">
        <f t="shared" si="1955"/>
        <v>2</v>
      </c>
      <c r="W6462">
        <v>2.2000000000000002</v>
      </c>
      <c r="X6462" s="1" t="s">
        <v>16</v>
      </c>
    </row>
    <row r="6463" spans="1:24" x14ac:dyDescent="0.25">
      <c r="A6463" s="1" t="str">
        <f t="shared" si="1956"/>
        <v>卡卡杜-凤凰仓</v>
      </c>
      <c r="B6463" s="1" t="str">
        <f>"CK202410186855"</f>
        <v>CK202410186855</v>
      </c>
      <c r="C6463" s="1" t="str">
        <f>"DD2024101812413"</f>
        <v>DD2024101812413</v>
      </c>
      <c r="D6463" s="1" t="str">
        <f>"CK202410189616"</f>
        <v>CK202410189616</v>
      </c>
      <c r="E6463" s="1" t="str">
        <f>"6935143423331866160"</f>
        <v>6935143423331866160</v>
      </c>
      <c r="F6463" s="1" t="str">
        <f t="shared" si="1957"/>
        <v>花都四部-凤凰仓</v>
      </c>
      <c r="G6463" s="1" t="str">
        <f t="shared" si="1962"/>
        <v>卡卡杜个人护理店（抖店）</v>
      </c>
      <c r="H6463" s="1" t="str">
        <f t="shared" si="1958"/>
        <v>正常订单</v>
      </c>
      <c r="I6463" s="1" t="str">
        <f t="shared" si="1959"/>
        <v>已发货</v>
      </c>
      <c r="J6463" s="1" t="str">
        <f t="shared" si="1963"/>
        <v>3</v>
      </c>
      <c r="K6463" s="1">
        <v>3</v>
      </c>
      <c r="L6463" s="1" t="s">
        <v>30</v>
      </c>
      <c r="M6463" s="1" t="str">
        <f>"山东省 临沂市 莒南县 十字路街道"</f>
        <v>山东省 临沂市 莒南县 十字路街道</v>
      </c>
      <c r="N6463" s="1" t="str">
        <f t="shared" si="1960"/>
        <v>凡华云仓-韵达-抖音</v>
      </c>
      <c r="O6463" s="5">
        <v>320177484332543</v>
      </c>
      <c r="P6463" s="6">
        <v>0.28000000000000003</v>
      </c>
      <c r="Q6463" s="11">
        <v>2</v>
      </c>
      <c r="R6463" s="11"/>
      <c r="S6463" s="11"/>
      <c r="T6463" s="11"/>
      <c r="U6463" s="11">
        <f t="shared" si="1955"/>
        <v>2</v>
      </c>
      <c r="W6463">
        <v>2.2000000000000002</v>
      </c>
      <c r="X6463" s="1" t="s">
        <v>30</v>
      </c>
    </row>
    <row r="6464" spans="1:24" x14ac:dyDescent="0.25">
      <c r="A6464" s="1" t="str">
        <f t="shared" si="1956"/>
        <v>卡卡杜-凤凰仓</v>
      </c>
      <c r="B6464" s="1" t="str">
        <f>"CK202410186854"</f>
        <v>CK202410186854</v>
      </c>
      <c r="C6464" s="1" t="str">
        <f>"DD2024101812414"</f>
        <v>DD2024101812414</v>
      </c>
      <c r="D6464" s="1" t="str">
        <f>"CK202410189615"</f>
        <v>CK202410189615</v>
      </c>
      <c r="E6464" s="1" t="str">
        <f>"6935153787856754333"</f>
        <v>6935153787856754333</v>
      </c>
      <c r="F6464" s="1" t="str">
        <f t="shared" si="1957"/>
        <v>花都四部-凤凰仓</v>
      </c>
      <c r="G6464" s="1" t="str">
        <f t="shared" si="1962"/>
        <v>卡卡杜个人护理店（抖店）</v>
      </c>
      <c r="H6464" s="1" t="str">
        <f t="shared" si="1958"/>
        <v>正常订单</v>
      </c>
      <c r="I6464" s="1" t="str">
        <f t="shared" si="1959"/>
        <v>已发货</v>
      </c>
      <c r="J6464" s="1" t="str">
        <f t="shared" si="1963"/>
        <v>3</v>
      </c>
      <c r="K6464" s="1">
        <v>3</v>
      </c>
      <c r="L6464" s="1" t="s">
        <v>20</v>
      </c>
      <c r="M6464" s="1" t="str">
        <f>"浙江省 嘉兴市 桐乡市 石门镇"</f>
        <v>浙江省 嘉兴市 桐乡市 石门镇</v>
      </c>
      <c r="N6464" s="1" t="str">
        <f t="shared" si="1960"/>
        <v>凡华云仓-韵达-抖音</v>
      </c>
      <c r="O6464" s="5">
        <v>320177484332446</v>
      </c>
      <c r="P6464" s="6">
        <v>0.28000000000000003</v>
      </c>
      <c r="Q6464" s="11">
        <v>2</v>
      </c>
      <c r="R6464" s="11"/>
      <c r="S6464" s="11"/>
      <c r="T6464" s="11"/>
      <c r="U6464" s="11">
        <f t="shared" si="1955"/>
        <v>2</v>
      </c>
      <c r="W6464">
        <v>2.2000000000000002</v>
      </c>
      <c r="X6464" s="1" t="s">
        <v>20</v>
      </c>
    </row>
    <row r="6465" spans="1:24" x14ac:dyDescent="0.25">
      <c r="A6465" s="1" t="str">
        <f t="shared" si="1956"/>
        <v>卡卡杜-凤凰仓</v>
      </c>
      <c r="B6465" s="1" t="str">
        <f>"CK202410186856"</f>
        <v>CK202410186856</v>
      </c>
      <c r="C6465" s="1" t="str">
        <f>"DD2024101812415"</f>
        <v>DD2024101812415</v>
      </c>
      <c r="D6465" s="1" t="str">
        <f>"CK202410189614"</f>
        <v>CK202410189614</v>
      </c>
      <c r="E6465" s="1" t="str">
        <f>"6935167435914024787"</f>
        <v>6935167435914024787</v>
      </c>
      <c r="F6465" s="1" t="str">
        <f t="shared" si="1957"/>
        <v>花都四部-凤凰仓</v>
      </c>
      <c r="G6465" s="1" t="str">
        <f t="shared" si="1962"/>
        <v>卡卡杜个人护理店（抖店）</v>
      </c>
      <c r="H6465" s="1" t="str">
        <f t="shared" si="1958"/>
        <v>正常订单</v>
      </c>
      <c r="I6465" s="1" t="str">
        <f t="shared" si="1959"/>
        <v>已发货</v>
      </c>
      <c r="J6465" s="1" t="str">
        <f t="shared" si="1963"/>
        <v>3</v>
      </c>
      <c r="K6465" s="1">
        <v>3</v>
      </c>
      <c r="L6465" s="1" t="s">
        <v>109</v>
      </c>
      <c r="M6465" s="1" t="str">
        <f>"山西省 运城市 盐湖区 "</f>
        <v xml:space="preserve">山西省 运城市 盐湖区 </v>
      </c>
      <c r="N6465" s="1" t="str">
        <f t="shared" si="1960"/>
        <v>凡华云仓-韵达-抖音</v>
      </c>
      <c r="O6465" s="5">
        <v>320177484332351</v>
      </c>
      <c r="P6465" s="6">
        <v>0.28000000000000003</v>
      </c>
      <c r="Q6465" s="11">
        <v>2</v>
      </c>
      <c r="R6465" s="11"/>
      <c r="S6465" s="11"/>
      <c r="T6465" s="11"/>
      <c r="U6465" s="11">
        <f t="shared" si="1955"/>
        <v>2</v>
      </c>
      <c r="W6465">
        <v>2.2000000000000002</v>
      </c>
      <c r="X6465" s="1" t="s">
        <v>109</v>
      </c>
    </row>
    <row r="6466" spans="1:24" x14ac:dyDescent="0.25">
      <c r="A6466" s="1" t="str">
        <f t="shared" si="1956"/>
        <v>卡卡杜-凤凰仓</v>
      </c>
      <c r="B6466" s="1" t="str">
        <f>"CK2024101810008"</f>
        <v>CK2024101810008</v>
      </c>
      <c r="C6466" s="1" t="str">
        <f>"DD2024101815592"</f>
        <v>DD2024101815592</v>
      </c>
      <c r="D6466" s="1" t="str">
        <f>"CK202410189613"</f>
        <v>CK202410189613</v>
      </c>
      <c r="E6466" s="1" t="str">
        <f>"6935147432980911668"</f>
        <v>6935147432980911668</v>
      </c>
      <c r="F6466" s="1" t="str">
        <f t="shared" si="1957"/>
        <v>花都四部-凤凰仓</v>
      </c>
      <c r="G6466" s="1" t="str">
        <f t="shared" si="1962"/>
        <v>卡卡杜个人护理店（抖店）</v>
      </c>
      <c r="H6466" s="1" t="str">
        <f t="shared" si="1958"/>
        <v>正常订单</v>
      </c>
      <c r="I6466" s="1" t="str">
        <f t="shared" si="1959"/>
        <v>已发货</v>
      </c>
      <c r="J6466" s="1" t="str">
        <f t="shared" si="1963"/>
        <v>3</v>
      </c>
      <c r="K6466" s="1">
        <v>3</v>
      </c>
      <c r="L6466" s="1" t="s">
        <v>161</v>
      </c>
      <c r="M6466" s="1" t="str">
        <f>"四川省 成都市 郫都区 合作街道"</f>
        <v>四川省 成都市 郫都区 合作街道</v>
      </c>
      <c r="N6466" s="1" t="str">
        <f t="shared" si="1960"/>
        <v>凡华云仓-韵达-抖音</v>
      </c>
      <c r="O6466" s="5">
        <v>320177478445323</v>
      </c>
      <c r="P6466" s="6">
        <v>0.28000000000000003</v>
      </c>
      <c r="Q6466" s="11">
        <v>2</v>
      </c>
      <c r="R6466" s="11"/>
      <c r="S6466" s="11"/>
      <c r="T6466" s="11"/>
      <c r="U6466" s="11">
        <f t="shared" si="1955"/>
        <v>2</v>
      </c>
      <c r="W6466">
        <v>2.2000000000000002</v>
      </c>
      <c r="X6466" s="1" t="s">
        <v>161</v>
      </c>
    </row>
    <row r="6467" spans="1:24" x14ac:dyDescent="0.25">
      <c r="A6467" s="1" t="str">
        <f t="shared" si="1956"/>
        <v>卡卡杜-凤凰仓</v>
      </c>
      <c r="B6467" s="1" t="str">
        <f>"CK202410186857"</f>
        <v>CK202410186857</v>
      </c>
      <c r="C6467" s="1" t="str">
        <f>"DD2024101812416"</f>
        <v>DD2024101812416</v>
      </c>
      <c r="D6467" s="1" t="str">
        <f>"CK202410189612"</f>
        <v>CK202410189612</v>
      </c>
      <c r="E6467" s="1" t="str">
        <f>"6935156079850821541"</f>
        <v>6935156079850821541</v>
      </c>
      <c r="F6467" s="1" t="str">
        <f t="shared" si="1957"/>
        <v>花都四部-凤凰仓</v>
      </c>
      <c r="G6467" s="1" t="str">
        <f t="shared" si="1962"/>
        <v>卡卡杜个人护理店（抖店）</v>
      </c>
      <c r="H6467" s="1" t="str">
        <f t="shared" si="1958"/>
        <v>正常订单</v>
      </c>
      <c r="I6467" s="1" t="str">
        <f t="shared" si="1959"/>
        <v>已发货</v>
      </c>
      <c r="J6467" s="1" t="str">
        <f t="shared" si="1963"/>
        <v>3</v>
      </c>
      <c r="K6467" s="1">
        <v>3</v>
      </c>
      <c r="L6467" s="1" t="s">
        <v>20</v>
      </c>
      <c r="M6467" s="1" t="str">
        <f>"浙江省 宁波市 宁海县 西店镇"</f>
        <v>浙江省 宁波市 宁海县 西店镇</v>
      </c>
      <c r="N6467" s="1" t="str">
        <f t="shared" si="1960"/>
        <v>凡华云仓-韵达-抖音</v>
      </c>
      <c r="O6467" s="5">
        <v>320177478445230</v>
      </c>
      <c r="P6467" s="6">
        <v>0.28000000000000003</v>
      </c>
      <c r="Q6467" s="11">
        <v>2</v>
      </c>
      <c r="R6467" s="11"/>
      <c r="S6467" s="11"/>
      <c r="T6467" s="11"/>
      <c r="U6467" s="11">
        <f t="shared" ref="U6467:U6530" si="1964">T6467+S6467+R6467+Q6467</f>
        <v>2</v>
      </c>
      <c r="W6467">
        <v>2.2000000000000002</v>
      </c>
      <c r="X6467" s="1" t="s">
        <v>20</v>
      </c>
    </row>
    <row r="6468" spans="1:24" x14ac:dyDescent="0.25">
      <c r="A6468" s="1" t="str">
        <f t="shared" si="1956"/>
        <v>卡卡杜-凤凰仓</v>
      </c>
      <c r="B6468" s="1" t="str">
        <f>"CK202410186859"</f>
        <v>CK202410186859</v>
      </c>
      <c r="C6468" s="1" t="str">
        <f>"DD2024101812418"</f>
        <v>DD2024101812418</v>
      </c>
      <c r="D6468" s="1" t="str">
        <f>"CK202410189611"</f>
        <v>CK202410189611</v>
      </c>
      <c r="E6468" s="1" t="str">
        <f>"6935165000383862683"</f>
        <v>6935165000383862683</v>
      </c>
      <c r="F6468" s="1" t="str">
        <f t="shared" si="1957"/>
        <v>花都四部-凤凰仓</v>
      </c>
      <c r="G6468" s="1" t="str">
        <f t="shared" si="1962"/>
        <v>卡卡杜个人护理店（抖店）</v>
      </c>
      <c r="H6468" s="1" t="str">
        <f t="shared" si="1958"/>
        <v>正常订单</v>
      </c>
      <c r="I6468" s="1" t="str">
        <f t="shared" si="1959"/>
        <v>已发货</v>
      </c>
      <c r="J6468" s="1" t="str">
        <f t="shared" si="1963"/>
        <v>3</v>
      </c>
      <c r="K6468" s="1">
        <v>3</v>
      </c>
      <c r="L6468" s="1" t="s">
        <v>105</v>
      </c>
      <c r="M6468" s="1" t="str">
        <f>"北京 北京市 怀柔区 渤海镇"</f>
        <v>北京 北京市 怀柔区 渤海镇</v>
      </c>
      <c r="N6468" s="1" t="str">
        <f t="shared" si="1960"/>
        <v>凡华云仓-韵达-抖音</v>
      </c>
      <c r="O6468" s="5">
        <v>320177478445139</v>
      </c>
      <c r="P6468" s="6">
        <v>0.28000000000000003</v>
      </c>
      <c r="Q6468" s="11">
        <v>2</v>
      </c>
      <c r="R6468" s="11"/>
      <c r="S6468" s="11"/>
      <c r="T6468" s="11"/>
      <c r="U6468" s="11">
        <f t="shared" si="1964"/>
        <v>2</v>
      </c>
      <c r="W6468">
        <v>2.2000000000000002</v>
      </c>
      <c r="X6468" s="1" t="s">
        <v>105</v>
      </c>
    </row>
    <row r="6469" spans="1:24" x14ac:dyDescent="0.25">
      <c r="A6469" s="1" t="str">
        <f t="shared" ref="A6469:A6532" si="1965">"卡卡杜-凤凰仓"</f>
        <v>卡卡杜-凤凰仓</v>
      </c>
      <c r="B6469" s="1" t="str">
        <f>"CK2024101810009"</f>
        <v>CK2024101810009</v>
      </c>
      <c r="C6469" s="1" t="str">
        <f>"DD2024101815594"</f>
        <v>DD2024101815594</v>
      </c>
      <c r="D6469" s="1" t="str">
        <f>"CK202410189610"</f>
        <v>CK202410189610</v>
      </c>
      <c r="E6469" s="1" t="str">
        <f>"6935158282309998319"</f>
        <v>6935158282309998319</v>
      </c>
      <c r="F6469" s="1" t="str">
        <f t="shared" ref="F6469:F6532" si="1966">"花都四部-凤凰仓"</f>
        <v>花都四部-凤凰仓</v>
      </c>
      <c r="G6469" s="1" t="str">
        <f t="shared" si="1962"/>
        <v>卡卡杜个人护理店（抖店）</v>
      </c>
      <c r="H6469" s="1" t="str">
        <f t="shared" ref="H6469:H6532" si="1967">"正常订单"</f>
        <v>正常订单</v>
      </c>
      <c r="I6469" s="1" t="str">
        <f t="shared" ref="I6469:I6532" si="1968">"已发货"</f>
        <v>已发货</v>
      </c>
      <c r="J6469" s="1" t="str">
        <f t="shared" si="1963"/>
        <v>3</v>
      </c>
      <c r="K6469" s="1">
        <v>3</v>
      </c>
      <c r="L6469" s="1" t="s">
        <v>218</v>
      </c>
      <c r="M6469" s="1" t="str">
        <f>"天津 天津市 西青区 "</f>
        <v xml:space="preserve">天津 天津市 西青区 </v>
      </c>
      <c r="N6469" s="1" t="str">
        <f t="shared" si="1960"/>
        <v>凡华云仓-韵达-抖音</v>
      </c>
      <c r="O6469" s="5">
        <v>320177478445050</v>
      </c>
      <c r="P6469" s="6">
        <v>0.28000000000000003</v>
      </c>
      <c r="Q6469" s="11">
        <v>2</v>
      </c>
      <c r="R6469" s="11"/>
      <c r="S6469" s="11"/>
      <c r="T6469" s="11"/>
      <c r="U6469" s="11">
        <f t="shared" si="1964"/>
        <v>2</v>
      </c>
      <c r="W6469">
        <v>2.2000000000000002</v>
      </c>
      <c r="X6469" s="1" t="s">
        <v>218</v>
      </c>
    </row>
    <row r="6470" spans="1:24" x14ac:dyDescent="0.25">
      <c r="A6470" s="1" t="str">
        <f t="shared" si="1965"/>
        <v>卡卡杜-凤凰仓</v>
      </c>
      <c r="B6470" s="1" t="str">
        <f>"CK202410186858"</f>
        <v>CK202410186858</v>
      </c>
      <c r="C6470" s="1" t="str">
        <f>"DD2024101812417"</f>
        <v>DD2024101812417</v>
      </c>
      <c r="D6470" s="1" t="str">
        <f>"CK202410189609"</f>
        <v>CK202410189609</v>
      </c>
      <c r="E6470" s="1" t="str">
        <f>"6935155853335598643"</f>
        <v>6935155853335598643</v>
      </c>
      <c r="F6470" s="1" t="str">
        <f t="shared" si="1966"/>
        <v>花都四部-凤凰仓</v>
      </c>
      <c r="G6470" s="1" t="str">
        <f t="shared" si="1962"/>
        <v>卡卡杜个人护理店（抖店）</v>
      </c>
      <c r="H6470" s="1" t="str">
        <f t="shared" si="1967"/>
        <v>正常订单</v>
      </c>
      <c r="I6470" s="1" t="str">
        <f t="shared" si="1968"/>
        <v>已发货</v>
      </c>
      <c r="J6470" s="1" t="str">
        <f t="shared" si="1963"/>
        <v>3</v>
      </c>
      <c r="K6470" s="1">
        <v>3</v>
      </c>
      <c r="L6470" s="1" t="s">
        <v>16</v>
      </c>
      <c r="M6470" s="1" t="str">
        <f>"河北省 邢台市 平乡县 节固乡"</f>
        <v>河北省 邢台市 平乡县 节固乡</v>
      </c>
      <c r="N6470" s="1" t="str">
        <f t="shared" si="1960"/>
        <v>凡华云仓-韵达-抖音</v>
      </c>
      <c r="O6470" s="5">
        <v>320177478444926</v>
      </c>
      <c r="P6470" s="6">
        <v>0.28000000000000003</v>
      </c>
      <c r="Q6470" s="11">
        <v>2</v>
      </c>
      <c r="R6470" s="11"/>
      <c r="S6470" s="11"/>
      <c r="T6470" s="11"/>
      <c r="U6470" s="11">
        <f t="shared" si="1964"/>
        <v>2</v>
      </c>
      <c r="W6470">
        <v>2.2000000000000002</v>
      </c>
      <c r="X6470" s="1" t="s">
        <v>16</v>
      </c>
    </row>
    <row r="6471" spans="1:24" x14ac:dyDescent="0.25">
      <c r="A6471" s="1" t="str">
        <f t="shared" si="1965"/>
        <v>卡卡杜-凤凰仓</v>
      </c>
      <c r="B6471" s="1" t="str">
        <f>"CK202410186861"</f>
        <v>CK202410186861</v>
      </c>
      <c r="C6471" s="1" t="str">
        <f>"DD2024101812419"</f>
        <v>DD2024101812419</v>
      </c>
      <c r="D6471" s="1" t="str">
        <f>"CK202410189608"</f>
        <v>CK202410189608</v>
      </c>
      <c r="E6471" s="1" t="str">
        <f>"6935149774814188556"</f>
        <v>6935149774814188556</v>
      </c>
      <c r="F6471" s="1" t="str">
        <f t="shared" si="1966"/>
        <v>花都四部-凤凰仓</v>
      </c>
      <c r="G6471" s="1" t="str">
        <f t="shared" si="1962"/>
        <v>卡卡杜个人护理店（抖店）</v>
      </c>
      <c r="H6471" s="1" t="str">
        <f t="shared" si="1967"/>
        <v>正常订单</v>
      </c>
      <c r="I6471" s="1" t="str">
        <f t="shared" si="1968"/>
        <v>已发货</v>
      </c>
      <c r="J6471" s="1" t="str">
        <f t="shared" si="1963"/>
        <v>3</v>
      </c>
      <c r="K6471" s="1">
        <v>3</v>
      </c>
      <c r="L6471" s="1" t="s">
        <v>16</v>
      </c>
      <c r="M6471" s="1" t="str">
        <f>"河北省 邯郸市 鸡泽县 吴官营乡"</f>
        <v>河北省 邯郸市 鸡泽县 吴官营乡</v>
      </c>
      <c r="N6471" s="1" t="str">
        <f t="shared" si="1960"/>
        <v>凡华云仓-韵达-抖音</v>
      </c>
      <c r="O6471" s="5">
        <v>320177478444821</v>
      </c>
      <c r="P6471" s="6">
        <v>0.28000000000000003</v>
      </c>
      <c r="Q6471" s="11">
        <v>2</v>
      </c>
      <c r="R6471" s="11"/>
      <c r="S6471" s="11"/>
      <c r="T6471" s="11"/>
      <c r="U6471" s="11">
        <f t="shared" si="1964"/>
        <v>2</v>
      </c>
      <c r="W6471">
        <v>2.2000000000000002</v>
      </c>
      <c r="X6471" s="1" t="s">
        <v>16</v>
      </c>
    </row>
    <row r="6472" spans="1:24" x14ac:dyDescent="0.25">
      <c r="A6472" s="1" t="str">
        <f t="shared" si="1965"/>
        <v>卡卡杜-凤凰仓</v>
      </c>
      <c r="B6472" s="1" t="str">
        <f>"CK202410186860"</f>
        <v>CK202410186860</v>
      </c>
      <c r="C6472" s="1" t="str">
        <f>"DD2024101812420"</f>
        <v>DD2024101812420</v>
      </c>
      <c r="D6472" s="1" t="str">
        <f>"CK202410189607"</f>
        <v>CK202410189607</v>
      </c>
      <c r="E6472" s="1" t="str">
        <f>"6935147296434034439"</f>
        <v>6935147296434034439</v>
      </c>
      <c r="F6472" s="1" t="str">
        <f t="shared" si="1966"/>
        <v>花都四部-凤凰仓</v>
      </c>
      <c r="G6472" s="1" t="str">
        <f t="shared" si="1962"/>
        <v>卡卡杜个人护理店（抖店）</v>
      </c>
      <c r="H6472" s="1" t="str">
        <f t="shared" si="1967"/>
        <v>正常订单</v>
      </c>
      <c r="I6472" s="1" t="str">
        <f t="shared" si="1968"/>
        <v>已发货</v>
      </c>
      <c r="J6472" s="1" t="str">
        <f t="shared" si="1963"/>
        <v>3</v>
      </c>
      <c r="K6472" s="1">
        <v>3</v>
      </c>
      <c r="L6472" s="1" t="s">
        <v>13</v>
      </c>
      <c r="M6472" s="1" t="str">
        <f>"江苏省 连云港市 东海县 安峰镇"</f>
        <v>江苏省 连云港市 东海县 安峰镇</v>
      </c>
      <c r="N6472" s="1" t="str">
        <f t="shared" si="1960"/>
        <v>凡华云仓-韵达-抖音</v>
      </c>
      <c r="O6472" s="5">
        <v>320177478444718</v>
      </c>
      <c r="P6472" s="6">
        <v>0.28000000000000003</v>
      </c>
      <c r="Q6472" s="11">
        <v>2</v>
      </c>
      <c r="R6472" s="11"/>
      <c r="S6472" s="11"/>
      <c r="T6472" s="11"/>
      <c r="U6472" s="11">
        <f t="shared" si="1964"/>
        <v>2</v>
      </c>
      <c r="W6472">
        <v>2.2000000000000002</v>
      </c>
      <c r="X6472" s="1" t="s">
        <v>13</v>
      </c>
    </row>
    <row r="6473" spans="1:24" x14ac:dyDescent="0.25">
      <c r="A6473" s="1" t="str">
        <f t="shared" si="1965"/>
        <v>卡卡杜-凤凰仓</v>
      </c>
      <c r="B6473" s="1" t="str">
        <f>"CK202410186862"</f>
        <v>CK202410186862</v>
      </c>
      <c r="C6473" s="1" t="str">
        <f>"DD2024101812422"</f>
        <v>DD2024101812422</v>
      </c>
      <c r="D6473" s="1" t="str">
        <f>"CK202410189606"</f>
        <v>CK202410189606</v>
      </c>
      <c r="E6473" s="1" t="str">
        <f>"6935151540528355034"</f>
        <v>6935151540528355034</v>
      </c>
      <c r="F6473" s="1" t="str">
        <f t="shared" si="1966"/>
        <v>花都四部-凤凰仓</v>
      </c>
      <c r="G6473" s="1" t="str">
        <f t="shared" si="1962"/>
        <v>卡卡杜个人护理店（抖店）</v>
      </c>
      <c r="H6473" s="1" t="str">
        <f t="shared" si="1967"/>
        <v>正常订单</v>
      </c>
      <c r="I6473" s="1" t="str">
        <f t="shared" si="1968"/>
        <v>已发货</v>
      </c>
      <c r="J6473" s="1" t="str">
        <f>"6"</f>
        <v>6</v>
      </c>
      <c r="K6473" s="1">
        <v>3</v>
      </c>
      <c r="L6473" s="1" t="s">
        <v>16</v>
      </c>
      <c r="M6473" s="1" t="str">
        <f>"河北省 邯郸市 邯山区 代召乡"</f>
        <v>河北省 邯郸市 邯山区 代召乡</v>
      </c>
      <c r="N6473" s="1" t="str">
        <f t="shared" si="1960"/>
        <v>凡华云仓-韵达-抖音</v>
      </c>
      <c r="O6473" s="5">
        <v>320177478444617</v>
      </c>
      <c r="P6473" s="6">
        <v>0.47</v>
      </c>
      <c r="Q6473" s="11">
        <v>2.2999999999999998</v>
      </c>
      <c r="R6473" s="11"/>
      <c r="S6473" s="11"/>
      <c r="T6473" s="11"/>
      <c r="U6473" s="11">
        <f t="shared" si="1964"/>
        <v>2.2999999999999998</v>
      </c>
      <c r="W6473">
        <v>2.5</v>
      </c>
      <c r="X6473" s="1" t="s">
        <v>16</v>
      </c>
    </row>
    <row r="6474" spans="1:24" x14ac:dyDescent="0.25">
      <c r="A6474" s="1" t="str">
        <f t="shared" si="1965"/>
        <v>卡卡杜-凤凰仓</v>
      </c>
      <c r="B6474" s="1" t="str">
        <f>"CK202410186865"</f>
        <v>CK202410186865</v>
      </c>
      <c r="C6474" s="1" t="str">
        <f>"DD2024101812424"</f>
        <v>DD2024101812424</v>
      </c>
      <c r="D6474" s="1" t="str">
        <f>"CK202410189605"</f>
        <v>CK202410189605</v>
      </c>
      <c r="E6474" s="1" t="str">
        <f>"6935155936163337905"</f>
        <v>6935155936163337905</v>
      </c>
      <c r="F6474" s="1" t="str">
        <f t="shared" si="1966"/>
        <v>花都四部-凤凰仓</v>
      </c>
      <c r="G6474" s="1" t="str">
        <f t="shared" si="1962"/>
        <v>卡卡杜个人护理店（抖店）</v>
      </c>
      <c r="H6474" s="1" t="str">
        <f t="shared" si="1967"/>
        <v>正常订单</v>
      </c>
      <c r="I6474" s="1" t="str">
        <f t="shared" si="1968"/>
        <v>已发货</v>
      </c>
      <c r="J6474" s="1" t="str">
        <f t="shared" ref="J6474:J6501" si="1969">"3"</f>
        <v>3</v>
      </c>
      <c r="K6474" s="1">
        <v>3</v>
      </c>
      <c r="L6474" s="1" t="s">
        <v>16</v>
      </c>
      <c r="M6474" s="1" t="str">
        <f>"河北省 廊坊市 大厂回族自治县 夏垫镇"</f>
        <v>河北省 廊坊市 大厂回族自治县 夏垫镇</v>
      </c>
      <c r="N6474" s="1" t="str">
        <f t="shared" si="1960"/>
        <v>凡华云仓-韵达-抖音</v>
      </c>
      <c r="O6474" s="5">
        <v>320177478444518</v>
      </c>
      <c r="P6474" s="6">
        <v>0.28000000000000003</v>
      </c>
      <c r="Q6474" s="11">
        <v>2</v>
      </c>
      <c r="R6474" s="11"/>
      <c r="S6474" s="11"/>
      <c r="T6474" s="11"/>
      <c r="U6474" s="11">
        <f t="shared" si="1964"/>
        <v>2</v>
      </c>
      <c r="W6474">
        <v>2.2000000000000002</v>
      </c>
      <c r="X6474" s="1" t="s">
        <v>16</v>
      </c>
    </row>
    <row r="6475" spans="1:24" x14ac:dyDescent="0.25">
      <c r="A6475" s="1" t="str">
        <f t="shared" si="1965"/>
        <v>卡卡杜-凤凰仓</v>
      </c>
      <c r="B6475" s="1" t="str">
        <f>"CK202410186863"</f>
        <v>CK202410186863</v>
      </c>
      <c r="C6475" s="1" t="str">
        <f>"DD2024101812421"</f>
        <v>DD2024101812421</v>
      </c>
      <c r="D6475" s="1" t="str">
        <f>"CK202410189604"</f>
        <v>CK202410189604</v>
      </c>
      <c r="E6475" s="1" t="str">
        <f>"6935158226318791825"</f>
        <v>6935158226318791825</v>
      </c>
      <c r="F6475" s="1" t="str">
        <f t="shared" si="1966"/>
        <v>花都四部-凤凰仓</v>
      </c>
      <c r="G6475" s="1" t="str">
        <f t="shared" si="1962"/>
        <v>卡卡杜个人护理店（抖店）</v>
      </c>
      <c r="H6475" s="1" t="str">
        <f t="shared" si="1967"/>
        <v>正常订单</v>
      </c>
      <c r="I6475" s="1" t="str">
        <f t="shared" si="1968"/>
        <v>已发货</v>
      </c>
      <c r="J6475" s="1" t="str">
        <f t="shared" si="1969"/>
        <v>3</v>
      </c>
      <c r="K6475" s="1">
        <v>3</v>
      </c>
      <c r="L6475" s="1" t="s">
        <v>22</v>
      </c>
      <c r="M6475" s="1" t="str">
        <f>"江西省 萍乡市 安源区 "</f>
        <v xml:space="preserve">江西省 萍乡市 安源区 </v>
      </c>
      <c r="N6475" s="1" t="str">
        <f t="shared" si="1960"/>
        <v>凡华云仓-韵达-抖音</v>
      </c>
      <c r="O6475" s="5">
        <v>320177478444421</v>
      </c>
      <c r="P6475" s="6">
        <v>0.28000000000000003</v>
      </c>
      <c r="Q6475" s="11">
        <v>2</v>
      </c>
      <c r="R6475" s="11"/>
      <c r="S6475" s="11"/>
      <c r="T6475" s="11"/>
      <c r="U6475" s="11">
        <f t="shared" si="1964"/>
        <v>2</v>
      </c>
      <c r="W6475">
        <v>2.2000000000000002</v>
      </c>
      <c r="X6475" s="1" t="s">
        <v>22</v>
      </c>
    </row>
    <row r="6476" spans="1:24" x14ac:dyDescent="0.25">
      <c r="A6476" s="1" t="str">
        <f t="shared" si="1965"/>
        <v>卡卡杜-凤凰仓</v>
      </c>
      <c r="B6476" s="1" t="str">
        <f>"CK202410186864"</f>
        <v>CK202410186864</v>
      </c>
      <c r="C6476" s="1" t="str">
        <f>"DD2024101812423"</f>
        <v>DD2024101812423</v>
      </c>
      <c r="D6476" s="1" t="str">
        <f>"CK202410189603"</f>
        <v>CK202410189603</v>
      </c>
      <c r="E6476" s="1" t="str">
        <f>"6935143491284571944"</f>
        <v>6935143491284571944</v>
      </c>
      <c r="F6476" s="1" t="str">
        <f t="shared" si="1966"/>
        <v>花都四部-凤凰仓</v>
      </c>
      <c r="G6476" s="1" t="str">
        <f t="shared" si="1962"/>
        <v>卡卡杜个人护理店（抖店）</v>
      </c>
      <c r="H6476" s="1" t="str">
        <f t="shared" si="1967"/>
        <v>正常订单</v>
      </c>
      <c r="I6476" s="1" t="str">
        <f t="shared" si="1968"/>
        <v>已发货</v>
      </c>
      <c r="J6476" s="1" t="str">
        <f t="shared" si="1969"/>
        <v>3</v>
      </c>
      <c r="K6476" s="1">
        <v>3</v>
      </c>
      <c r="L6476" s="1" t="s">
        <v>92</v>
      </c>
      <c r="M6476" s="1" t="str">
        <f>"辽宁省 沈阳市 沈河区 南塔街道"</f>
        <v>辽宁省 沈阳市 沈河区 南塔街道</v>
      </c>
      <c r="N6476" s="1" t="str">
        <f t="shared" si="1960"/>
        <v>凡华云仓-韵达-抖音</v>
      </c>
      <c r="O6476" s="5">
        <v>320177485064849</v>
      </c>
      <c r="P6476" s="6">
        <v>0.28000000000000003</v>
      </c>
      <c r="Q6476" s="11">
        <v>2</v>
      </c>
      <c r="R6476" s="11"/>
      <c r="S6476" s="11"/>
      <c r="T6476" s="11"/>
      <c r="U6476" s="11">
        <f t="shared" si="1964"/>
        <v>2</v>
      </c>
      <c r="W6476">
        <v>2.2000000000000002</v>
      </c>
      <c r="X6476" s="1" t="s">
        <v>92</v>
      </c>
    </row>
    <row r="6477" spans="1:24" x14ac:dyDescent="0.25">
      <c r="A6477" s="1" t="str">
        <f t="shared" si="1965"/>
        <v>卡卡杜-凤凰仓</v>
      </c>
      <c r="B6477" s="1" t="str">
        <f>"CK202410186866"</f>
        <v>CK202410186866</v>
      </c>
      <c r="C6477" s="1" t="str">
        <f>"DD2024101812425"</f>
        <v>DD2024101812425</v>
      </c>
      <c r="D6477" s="1" t="str">
        <f>"CK202410189602"</f>
        <v>CK202410189602</v>
      </c>
      <c r="E6477" s="1" t="str">
        <f>"6935162811003705105"</f>
        <v>6935162811003705105</v>
      </c>
      <c r="F6477" s="1" t="str">
        <f t="shared" si="1966"/>
        <v>花都四部-凤凰仓</v>
      </c>
      <c r="G6477" s="1" t="str">
        <f t="shared" si="1962"/>
        <v>卡卡杜个人护理店（抖店）</v>
      </c>
      <c r="H6477" s="1" t="str">
        <f t="shared" si="1967"/>
        <v>正常订单</v>
      </c>
      <c r="I6477" s="1" t="str">
        <f t="shared" si="1968"/>
        <v>已发货</v>
      </c>
      <c r="J6477" s="1" t="str">
        <f t="shared" si="1969"/>
        <v>3</v>
      </c>
      <c r="K6477" s="1">
        <v>3</v>
      </c>
      <c r="L6477" s="1" t="s">
        <v>16</v>
      </c>
      <c r="M6477" s="1" t="str">
        <f>"河北省 保定市 涿州市 清凉寺街道"</f>
        <v>河北省 保定市 涿州市 清凉寺街道</v>
      </c>
      <c r="N6477" s="1" t="str">
        <f t="shared" si="1960"/>
        <v>凡华云仓-韵达-抖音</v>
      </c>
      <c r="O6477" s="5">
        <v>320177485064746</v>
      </c>
      <c r="P6477" s="6">
        <v>0.28000000000000003</v>
      </c>
      <c r="Q6477" s="11">
        <v>2</v>
      </c>
      <c r="R6477" s="11"/>
      <c r="S6477" s="11"/>
      <c r="T6477" s="11"/>
      <c r="U6477" s="11">
        <f t="shared" si="1964"/>
        <v>2</v>
      </c>
      <c r="W6477">
        <v>2.2000000000000002</v>
      </c>
      <c r="X6477" s="1" t="s">
        <v>16</v>
      </c>
    </row>
    <row r="6478" spans="1:24" x14ac:dyDescent="0.25">
      <c r="A6478" s="1" t="str">
        <f t="shared" si="1965"/>
        <v>卡卡杜-凤凰仓</v>
      </c>
      <c r="B6478" s="1" t="str">
        <f>"CK2024101810010"</f>
        <v>CK2024101810010</v>
      </c>
      <c r="C6478" s="1" t="str">
        <f>"DD2024101815593"</f>
        <v>DD2024101815593</v>
      </c>
      <c r="D6478" s="1" t="str">
        <f>"CK202410189601"</f>
        <v>CK202410189601</v>
      </c>
      <c r="E6478" s="1" t="str">
        <f>"6935143503421707264"</f>
        <v>6935143503421707264</v>
      </c>
      <c r="F6478" s="1" t="str">
        <f t="shared" si="1966"/>
        <v>花都四部-凤凰仓</v>
      </c>
      <c r="G6478" s="1" t="str">
        <f t="shared" si="1962"/>
        <v>卡卡杜个人护理店（抖店）</v>
      </c>
      <c r="H6478" s="1" t="str">
        <f t="shared" si="1967"/>
        <v>正常订单</v>
      </c>
      <c r="I6478" s="1" t="str">
        <f t="shared" si="1968"/>
        <v>已发货</v>
      </c>
      <c r="J6478" s="1" t="str">
        <f t="shared" si="1969"/>
        <v>3</v>
      </c>
      <c r="K6478" s="1">
        <v>3</v>
      </c>
      <c r="L6478" s="1" t="s">
        <v>18</v>
      </c>
      <c r="M6478" s="1" t="str">
        <f>"广东省 东莞市 东莞市 桥头镇"</f>
        <v>广东省 东莞市 东莞市 桥头镇</v>
      </c>
      <c r="N6478" s="1" t="str">
        <f t="shared" si="1960"/>
        <v>凡华云仓-韵达-抖音</v>
      </c>
      <c r="O6478" s="5">
        <v>320177485064645</v>
      </c>
      <c r="P6478" s="6">
        <v>0.28000000000000003</v>
      </c>
      <c r="Q6478" s="11">
        <v>2</v>
      </c>
      <c r="R6478" s="11"/>
      <c r="S6478" s="11"/>
      <c r="T6478" s="11"/>
      <c r="U6478" s="11">
        <f t="shared" si="1964"/>
        <v>2</v>
      </c>
      <c r="W6478">
        <v>2.2000000000000002</v>
      </c>
      <c r="X6478" s="1" t="s">
        <v>18</v>
      </c>
    </row>
    <row r="6479" spans="1:24" x14ac:dyDescent="0.25">
      <c r="A6479" s="1" t="str">
        <f t="shared" si="1965"/>
        <v>卡卡杜-凤凰仓</v>
      </c>
      <c r="B6479" s="1" t="str">
        <f>"CK2024101810011"</f>
        <v>CK2024101810011</v>
      </c>
      <c r="C6479" s="1" t="str">
        <f>"DD2024101815595"</f>
        <v>DD2024101815595</v>
      </c>
      <c r="D6479" s="1" t="str">
        <f>"CK202410189600"</f>
        <v>CK202410189600</v>
      </c>
      <c r="E6479" s="1" t="str">
        <f>"6935160786416833704"</f>
        <v>6935160786416833704</v>
      </c>
      <c r="F6479" s="1" t="str">
        <f t="shared" si="1966"/>
        <v>花都四部-凤凰仓</v>
      </c>
      <c r="G6479" s="1" t="str">
        <f t="shared" si="1962"/>
        <v>卡卡杜个人护理店（抖店）</v>
      </c>
      <c r="H6479" s="1" t="str">
        <f t="shared" si="1967"/>
        <v>正常订单</v>
      </c>
      <c r="I6479" s="1" t="str">
        <f t="shared" si="1968"/>
        <v>已发货</v>
      </c>
      <c r="J6479" s="1" t="str">
        <f t="shared" si="1969"/>
        <v>3</v>
      </c>
      <c r="K6479" s="1">
        <v>3</v>
      </c>
      <c r="L6479" s="1" t="s">
        <v>80</v>
      </c>
      <c r="M6479" s="1" t="str">
        <f>"河南省 新乡市 辉县市 城关街道"</f>
        <v>河南省 新乡市 辉县市 城关街道</v>
      </c>
      <c r="N6479" s="1" t="str">
        <f t="shared" si="1960"/>
        <v>凡华云仓-韵达-抖音</v>
      </c>
      <c r="O6479" s="5">
        <v>320177485064546</v>
      </c>
      <c r="P6479" s="6">
        <v>0.28000000000000003</v>
      </c>
      <c r="Q6479" s="11">
        <v>2</v>
      </c>
      <c r="R6479" s="11"/>
      <c r="S6479" s="11"/>
      <c r="T6479" s="11"/>
      <c r="U6479" s="11">
        <f t="shared" si="1964"/>
        <v>2</v>
      </c>
      <c r="W6479">
        <v>2.2000000000000002</v>
      </c>
      <c r="X6479" s="1" t="s">
        <v>80</v>
      </c>
    </row>
    <row r="6480" spans="1:24" x14ac:dyDescent="0.25">
      <c r="A6480" s="1" t="str">
        <f t="shared" si="1965"/>
        <v>卡卡杜-凤凰仓</v>
      </c>
      <c r="B6480" s="1" t="str">
        <f>"CK202410186867"</f>
        <v>CK202410186867</v>
      </c>
      <c r="C6480" s="1" t="str">
        <f>"DD2024101812426"</f>
        <v>DD2024101812426</v>
      </c>
      <c r="D6480" s="1" t="str">
        <f>"CK202410189599"</f>
        <v>CK202410189599</v>
      </c>
      <c r="E6480" s="1" t="str">
        <f>"6935147320723904353"</f>
        <v>6935147320723904353</v>
      </c>
      <c r="F6480" s="1" t="str">
        <f t="shared" si="1966"/>
        <v>花都四部-凤凰仓</v>
      </c>
      <c r="G6480" s="1" t="str">
        <f t="shared" si="1962"/>
        <v>卡卡杜个人护理店（抖店）</v>
      </c>
      <c r="H6480" s="1" t="str">
        <f t="shared" si="1967"/>
        <v>正常订单</v>
      </c>
      <c r="I6480" s="1" t="str">
        <f t="shared" si="1968"/>
        <v>已发货</v>
      </c>
      <c r="J6480" s="1" t="str">
        <f t="shared" si="1969"/>
        <v>3</v>
      </c>
      <c r="K6480" s="1">
        <v>3</v>
      </c>
      <c r="L6480" s="1" t="s">
        <v>36</v>
      </c>
      <c r="M6480" s="1" t="str">
        <f>"安徽省 马鞍山市 雨山区 安民街道"</f>
        <v>安徽省 马鞍山市 雨山区 安民街道</v>
      </c>
      <c r="N6480" s="1" t="str">
        <f t="shared" si="1960"/>
        <v>凡华云仓-韵达-抖音</v>
      </c>
      <c r="O6480" s="5">
        <v>320177485064449</v>
      </c>
      <c r="P6480" s="6">
        <v>0.28000000000000003</v>
      </c>
      <c r="Q6480" s="11">
        <v>2</v>
      </c>
      <c r="R6480" s="11"/>
      <c r="S6480" s="11"/>
      <c r="T6480" s="11"/>
      <c r="U6480" s="11">
        <f t="shared" si="1964"/>
        <v>2</v>
      </c>
      <c r="W6480">
        <v>2.2000000000000002</v>
      </c>
      <c r="X6480" s="1" t="s">
        <v>36</v>
      </c>
    </row>
    <row r="6481" spans="1:24" x14ac:dyDescent="0.25">
      <c r="A6481" s="1" t="str">
        <f t="shared" si="1965"/>
        <v>卡卡杜-凤凰仓</v>
      </c>
      <c r="B6481" s="1" t="str">
        <f>"CK202410186868"</f>
        <v>CK202410186868</v>
      </c>
      <c r="C6481" s="1" t="str">
        <f>"DD2024101812427"</f>
        <v>DD2024101812427</v>
      </c>
      <c r="D6481" s="1" t="str">
        <f>"CK202410189598"</f>
        <v>CK202410189598</v>
      </c>
      <c r="E6481" s="1" t="str">
        <f>"6935153830681515228"</f>
        <v>6935153830681515228</v>
      </c>
      <c r="F6481" s="1" t="str">
        <f t="shared" si="1966"/>
        <v>花都四部-凤凰仓</v>
      </c>
      <c r="G6481" s="1" t="str">
        <f t="shared" si="1962"/>
        <v>卡卡杜个人护理店（抖店）</v>
      </c>
      <c r="H6481" s="1" t="str">
        <f t="shared" si="1967"/>
        <v>正常订单</v>
      </c>
      <c r="I6481" s="1" t="str">
        <f t="shared" si="1968"/>
        <v>已发货</v>
      </c>
      <c r="J6481" s="1" t="str">
        <f t="shared" si="1969"/>
        <v>3</v>
      </c>
      <c r="K6481" s="1">
        <v>3</v>
      </c>
      <c r="L6481" s="1" t="s">
        <v>60</v>
      </c>
      <c r="M6481" s="1" t="str">
        <f>"云南省 保山市 腾冲市 腾越街道"</f>
        <v>云南省 保山市 腾冲市 腾越街道</v>
      </c>
      <c r="N6481" s="1" t="str">
        <f t="shared" si="1960"/>
        <v>凡华云仓-韵达-抖音</v>
      </c>
      <c r="O6481" s="5">
        <v>320177485064354</v>
      </c>
      <c r="P6481" s="6">
        <v>0.28000000000000003</v>
      </c>
      <c r="Q6481" s="11">
        <v>2</v>
      </c>
      <c r="R6481" s="11"/>
      <c r="S6481" s="11"/>
      <c r="T6481" s="11"/>
      <c r="U6481" s="11">
        <f t="shared" si="1964"/>
        <v>2</v>
      </c>
      <c r="W6481">
        <v>2.2000000000000002</v>
      </c>
      <c r="X6481" s="1" t="s">
        <v>60</v>
      </c>
    </row>
    <row r="6482" spans="1:24" x14ac:dyDescent="0.25">
      <c r="A6482" s="1" t="str">
        <f t="shared" si="1965"/>
        <v>卡卡杜-凤凰仓</v>
      </c>
      <c r="B6482" s="1" t="str">
        <f>"CK202410186869"</f>
        <v>CK202410186869</v>
      </c>
      <c r="C6482" s="1" t="str">
        <f>"DD2024101812428"</f>
        <v>DD2024101812428</v>
      </c>
      <c r="D6482" s="1" t="str">
        <f>"CK202410189597"</f>
        <v>CK202410189597</v>
      </c>
      <c r="E6482" s="1" t="str">
        <f>"6935171905886623277"</f>
        <v>6935171905886623277</v>
      </c>
      <c r="F6482" s="1" t="str">
        <f t="shared" si="1966"/>
        <v>花都四部-凤凰仓</v>
      </c>
      <c r="G6482" s="1" t="str">
        <f t="shared" si="1962"/>
        <v>卡卡杜个人护理店（抖店）</v>
      </c>
      <c r="H6482" s="1" t="str">
        <f t="shared" si="1967"/>
        <v>正常订单</v>
      </c>
      <c r="I6482" s="1" t="str">
        <f t="shared" si="1968"/>
        <v>已发货</v>
      </c>
      <c r="J6482" s="1" t="str">
        <f t="shared" si="1969"/>
        <v>3</v>
      </c>
      <c r="K6482" s="1">
        <v>3</v>
      </c>
      <c r="L6482" s="1" t="s">
        <v>24</v>
      </c>
      <c r="M6482" s="1" t="str">
        <f>"福建省 福州市 福清市 新厝镇"</f>
        <v>福建省 福州市 福清市 新厝镇</v>
      </c>
      <c r="N6482" s="1" t="str">
        <f t="shared" si="1960"/>
        <v>凡华云仓-韵达-抖音</v>
      </c>
      <c r="O6482" s="5">
        <v>320177485064261</v>
      </c>
      <c r="P6482" s="6">
        <v>0.28000000000000003</v>
      </c>
      <c r="Q6482" s="11">
        <v>2</v>
      </c>
      <c r="R6482" s="11"/>
      <c r="S6482" s="11"/>
      <c r="T6482" s="11"/>
      <c r="U6482" s="11">
        <f t="shared" si="1964"/>
        <v>2</v>
      </c>
      <c r="W6482">
        <v>2.2000000000000002</v>
      </c>
      <c r="X6482" s="1" t="s">
        <v>24</v>
      </c>
    </row>
    <row r="6483" spans="1:24" x14ac:dyDescent="0.25">
      <c r="A6483" s="1" t="str">
        <f t="shared" si="1965"/>
        <v>卡卡杜-凤凰仓</v>
      </c>
      <c r="B6483" s="1" t="str">
        <f>"CK2024101810012"</f>
        <v>CK2024101810012</v>
      </c>
      <c r="C6483" s="1" t="str">
        <f>"DD2024101815596"</f>
        <v>DD2024101815596</v>
      </c>
      <c r="D6483" s="1" t="str">
        <f>"CK202410189596"</f>
        <v>CK202410189596</v>
      </c>
      <c r="E6483" s="1" t="str">
        <f>"6935165020392461514"</f>
        <v>6935165020392461514</v>
      </c>
      <c r="F6483" s="1" t="str">
        <f t="shared" si="1966"/>
        <v>花都四部-凤凰仓</v>
      </c>
      <c r="G6483" s="1" t="str">
        <f t="shared" si="1962"/>
        <v>卡卡杜个人护理店（抖店）</v>
      </c>
      <c r="H6483" s="1" t="str">
        <f t="shared" si="1967"/>
        <v>正常订单</v>
      </c>
      <c r="I6483" s="1" t="str">
        <f t="shared" si="1968"/>
        <v>已发货</v>
      </c>
      <c r="J6483" s="1" t="str">
        <f t="shared" si="1969"/>
        <v>3</v>
      </c>
      <c r="K6483" s="1">
        <v>3</v>
      </c>
      <c r="L6483" s="1" t="s">
        <v>30</v>
      </c>
      <c r="M6483" s="1" t="str">
        <f>"山东省 泰安市 岱岳区 粥店街道"</f>
        <v>山东省 泰安市 岱岳区 粥店街道</v>
      </c>
      <c r="N6483" s="1" t="str">
        <f t="shared" si="1960"/>
        <v>凡华云仓-韵达-抖音</v>
      </c>
      <c r="O6483" s="5">
        <v>320177485064170</v>
      </c>
      <c r="P6483" s="6">
        <v>0.28000000000000003</v>
      </c>
      <c r="Q6483" s="11">
        <v>2</v>
      </c>
      <c r="R6483" s="11"/>
      <c r="S6483" s="11"/>
      <c r="T6483" s="11"/>
      <c r="U6483" s="11">
        <f t="shared" si="1964"/>
        <v>2</v>
      </c>
      <c r="W6483">
        <v>2.2000000000000002</v>
      </c>
      <c r="X6483" s="1" t="s">
        <v>30</v>
      </c>
    </row>
    <row r="6484" spans="1:24" x14ac:dyDescent="0.25">
      <c r="A6484" s="1" t="str">
        <f t="shared" si="1965"/>
        <v>卡卡杜-凤凰仓</v>
      </c>
      <c r="B6484" s="1" t="str">
        <f>"CK202410186870"</f>
        <v>CK202410186870</v>
      </c>
      <c r="C6484" s="1" t="str">
        <f>"DD2024101812429"</f>
        <v>DD2024101812429</v>
      </c>
      <c r="D6484" s="1" t="str">
        <f>"CK202410189595"</f>
        <v>CK202410189595</v>
      </c>
      <c r="E6484" s="1" t="str">
        <f>"6935143356499825812"</f>
        <v>6935143356499825812</v>
      </c>
      <c r="F6484" s="1" t="str">
        <f t="shared" si="1966"/>
        <v>花都四部-凤凰仓</v>
      </c>
      <c r="G6484" s="1" t="str">
        <f t="shared" si="1962"/>
        <v>卡卡杜个人护理店（抖店）</v>
      </c>
      <c r="H6484" s="1" t="str">
        <f t="shared" si="1967"/>
        <v>正常订单</v>
      </c>
      <c r="I6484" s="1" t="str">
        <f t="shared" si="1968"/>
        <v>已发货</v>
      </c>
      <c r="J6484" s="1" t="str">
        <f t="shared" si="1969"/>
        <v>3</v>
      </c>
      <c r="K6484" s="1">
        <v>3</v>
      </c>
      <c r="L6484" s="1" t="s">
        <v>30</v>
      </c>
      <c r="M6484" s="1" t="str">
        <f>"山东省 潍坊市 昌乐县 宝都街道"</f>
        <v>山东省 潍坊市 昌乐县 宝都街道</v>
      </c>
      <c r="N6484" s="1" t="str">
        <f t="shared" si="1960"/>
        <v>凡华云仓-韵达-抖音</v>
      </c>
      <c r="O6484" s="5">
        <v>320177485064081</v>
      </c>
      <c r="P6484" s="6">
        <v>0.28000000000000003</v>
      </c>
      <c r="Q6484" s="11">
        <v>2</v>
      </c>
      <c r="R6484" s="11"/>
      <c r="S6484" s="11"/>
      <c r="T6484" s="11"/>
      <c r="U6484" s="11">
        <f t="shared" si="1964"/>
        <v>2</v>
      </c>
      <c r="W6484">
        <v>2.2000000000000002</v>
      </c>
      <c r="X6484" s="1" t="s">
        <v>30</v>
      </c>
    </row>
    <row r="6485" spans="1:24" x14ac:dyDescent="0.25">
      <c r="A6485" s="1" t="str">
        <f t="shared" si="1965"/>
        <v>卡卡杜-凤凰仓</v>
      </c>
      <c r="B6485" s="1" t="str">
        <f>"CK202410186871"</f>
        <v>CK202410186871</v>
      </c>
      <c r="C6485" s="1" t="str">
        <f>"DD2024101812430"</f>
        <v>DD2024101812430</v>
      </c>
      <c r="D6485" s="1" t="str">
        <f>"CK202410189594"</f>
        <v>CK202410189594</v>
      </c>
      <c r="E6485" s="1" t="str">
        <f>"6935147103570892332"</f>
        <v>6935147103570892332</v>
      </c>
      <c r="F6485" s="1" t="str">
        <f t="shared" si="1966"/>
        <v>花都四部-凤凰仓</v>
      </c>
      <c r="G6485" s="1" t="str">
        <f t="shared" si="1962"/>
        <v>卡卡杜个人护理店（抖店）</v>
      </c>
      <c r="H6485" s="1" t="str">
        <f t="shared" si="1967"/>
        <v>正常订单</v>
      </c>
      <c r="I6485" s="1" t="str">
        <f t="shared" si="1968"/>
        <v>已发货</v>
      </c>
      <c r="J6485" s="1" t="str">
        <f t="shared" si="1969"/>
        <v>3</v>
      </c>
      <c r="K6485" s="1">
        <v>3</v>
      </c>
      <c r="L6485" s="1" t="s">
        <v>36</v>
      </c>
      <c r="M6485" s="1" t="str">
        <f>"安徽省 阜阳市 太和县 原墙镇"</f>
        <v>安徽省 阜阳市 太和县 原墙镇</v>
      </c>
      <c r="N6485" s="1" t="str">
        <f t="shared" si="1960"/>
        <v>凡华云仓-韵达-抖音</v>
      </c>
      <c r="O6485" s="5">
        <v>320177485063959</v>
      </c>
      <c r="P6485" s="6">
        <v>0.28000000000000003</v>
      </c>
      <c r="Q6485" s="11">
        <v>2</v>
      </c>
      <c r="R6485" s="11"/>
      <c r="S6485" s="11"/>
      <c r="T6485" s="11"/>
      <c r="U6485" s="11">
        <f t="shared" si="1964"/>
        <v>2</v>
      </c>
      <c r="W6485">
        <v>2.2000000000000002</v>
      </c>
      <c r="X6485" s="1" t="s">
        <v>36</v>
      </c>
    </row>
    <row r="6486" spans="1:24" x14ac:dyDescent="0.25">
      <c r="A6486" s="1" t="str">
        <f t="shared" si="1965"/>
        <v>卡卡杜-凤凰仓</v>
      </c>
      <c r="B6486" s="1" t="str">
        <f>"CK202410186872"</f>
        <v>CK202410186872</v>
      </c>
      <c r="C6486" s="1" t="str">
        <f>"DD2024101812431"</f>
        <v>DD2024101812431</v>
      </c>
      <c r="D6486" s="1" t="str">
        <f>"CK202410189593"</f>
        <v>CK202410189593</v>
      </c>
      <c r="E6486" s="1" t="str">
        <f>"6935143435025782236"</f>
        <v>6935143435025782236</v>
      </c>
      <c r="F6486" s="1" t="str">
        <f t="shared" si="1966"/>
        <v>花都四部-凤凰仓</v>
      </c>
      <c r="G6486" s="1" t="str">
        <f t="shared" si="1962"/>
        <v>卡卡杜个人护理店（抖店）</v>
      </c>
      <c r="H6486" s="1" t="str">
        <f t="shared" si="1967"/>
        <v>正常订单</v>
      </c>
      <c r="I6486" s="1" t="str">
        <f t="shared" si="1968"/>
        <v>已发货</v>
      </c>
      <c r="J6486" s="1" t="str">
        <f t="shared" si="1969"/>
        <v>3</v>
      </c>
      <c r="K6486" s="1">
        <v>3</v>
      </c>
      <c r="L6486" s="1" t="s">
        <v>92</v>
      </c>
      <c r="M6486" s="1" t="str">
        <f>"辽宁省 大连市 旅顺口区 旅顺经济开发区"</f>
        <v>辽宁省 大连市 旅顺口区 旅顺经济开发区</v>
      </c>
      <c r="N6486" s="1" t="str">
        <f t="shared" si="1960"/>
        <v>凡华云仓-韵达-抖音</v>
      </c>
      <c r="O6486" s="5">
        <v>320177484338630</v>
      </c>
      <c r="P6486" s="6">
        <v>0.28000000000000003</v>
      </c>
      <c r="Q6486" s="11">
        <v>2</v>
      </c>
      <c r="R6486" s="11"/>
      <c r="S6486" s="11"/>
      <c r="T6486" s="11"/>
      <c r="U6486" s="11">
        <f t="shared" si="1964"/>
        <v>2</v>
      </c>
      <c r="W6486">
        <v>2.2000000000000002</v>
      </c>
      <c r="X6486" s="1" t="s">
        <v>92</v>
      </c>
    </row>
    <row r="6487" spans="1:24" x14ac:dyDescent="0.25">
      <c r="A6487" s="1" t="str">
        <f t="shared" si="1965"/>
        <v>卡卡杜-凤凰仓</v>
      </c>
      <c r="B6487" s="1" t="str">
        <f>"CK202410186873"</f>
        <v>CK202410186873</v>
      </c>
      <c r="C6487" s="1" t="str">
        <f>"DD2024101812432"</f>
        <v>DD2024101812432</v>
      </c>
      <c r="D6487" s="1" t="str">
        <f>"CK202410189592"</f>
        <v>CK202410189592</v>
      </c>
      <c r="E6487" s="1" t="str">
        <f>"6935147342612665395"</f>
        <v>6935147342612665395</v>
      </c>
      <c r="F6487" s="1" t="str">
        <f t="shared" si="1966"/>
        <v>花都四部-凤凰仓</v>
      </c>
      <c r="G6487" s="1" t="str">
        <f t="shared" si="1962"/>
        <v>卡卡杜个人护理店（抖店）</v>
      </c>
      <c r="H6487" s="1" t="str">
        <f t="shared" si="1967"/>
        <v>正常订单</v>
      </c>
      <c r="I6487" s="1" t="str">
        <f t="shared" si="1968"/>
        <v>已发货</v>
      </c>
      <c r="J6487" s="1" t="str">
        <f t="shared" si="1969"/>
        <v>3</v>
      </c>
      <c r="K6487" s="1">
        <v>3</v>
      </c>
      <c r="L6487" s="1" t="s">
        <v>13</v>
      </c>
      <c r="M6487" s="1" t="str">
        <f>"江苏省 无锡市 宜兴市 屺亭街道"</f>
        <v>江苏省 无锡市 宜兴市 屺亭街道</v>
      </c>
      <c r="N6487" s="1" t="str">
        <f t="shared" si="1960"/>
        <v>凡华云仓-韵达-抖音</v>
      </c>
      <c r="O6487" s="5">
        <v>320177484338531</v>
      </c>
      <c r="P6487" s="6">
        <v>0.28000000000000003</v>
      </c>
      <c r="Q6487" s="11">
        <v>2</v>
      </c>
      <c r="R6487" s="11"/>
      <c r="S6487" s="11"/>
      <c r="T6487" s="11"/>
      <c r="U6487" s="11">
        <f t="shared" si="1964"/>
        <v>2</v>
      </c>
      <c r="W6487">
        <v>2.2000000000000002</v>
      </c>
      <c r="X6487" s="1" t="s">
        <v>13</v>
      </c>
    </row>
    <row r="6488" spans="1:24" x14ac:dyDescent="0.25">
      <c r="A6488" s="1" t="str">
        <f t="shared" si="1965"/>
        <v>卡卡杜-凤凰仓</v>
      </c>
      <c r="B6488" s="1" t="str">
        <f>"CK202410186874"</f>
        <v>CK202410186874</v>
      </c>
      <c r="C6488" s="1" t="str">
        <f>"DD2024101812433"</f>
        <v>DD2024101812433</v>
      </c>
      <c r="D6488" s="1" t="str">
        <f>"CK202410189591"</f>
        <v>CK202410189591</v>
      </c>
      <c r="E6488" s="1" t="str">
        <f>"6935169770599618048"</f>
        <v>6935169770599618048</v>
      </c>
      <c r="F6488" s="1" t="str">
        <f t="shared" si="1966"/>
        <v>花都四部-凤凰仓</v>
      </c>
      <c r="G6488" s="1" t="str">
        <f t="shared" si="1962"/>
        <v>卡卡杜个人护理店（抖店）</v>
      </c>
      <c r="H6488" s="1" t="str">
        <f t="shared" si="1967"/>
        <v>正常订单</v>
      </c>
      <c r="I6488" s="1" t="str">
        <f t="shared" si="1968"/>
        <v>已发货</v>
      </c>
      <c r="J6488" s="1" t="str">
        <f t="shared" si="1969"/>
        <v>3</v>
      </c>
      <c r="K6488" s="1">
        <v>3</v>
      </c>
      <c r="L6488" s="1" t="s">
        <v>47</v>
      </c>
      <c r="M6488" s="1" t="str">
        <f>"重庆 重庆市 荣昌区 昌州街道"</f>
        <v>重庆 重庆市 荣昌区 昌州街道</v>
      </c>
      <c r="N6488" s="1" t="str">
        <f t="shared" si="1960"/>
        <v>凡华云仓-韵达-抖音</v>
      </c>
      <c r="O6488" s="5">
        <v>320177484338434</v>
      </c>
      <c r="P6488" s="6">
        <v>0.28000000000000003</v>
      </c>
      <c r="Q6488" s="11">
        <v>2</v>
      </c>
      <c r="R6488" s="11"/>
      <c r="S6488" s="11"/>
      <c r="T6488" s="11"/>
      <c r="U6488" s="11">
        <f t="shared" si="1964"/>
        <v>2</v>
      </c>
      <c r="W6488">
        <v>2.2000000000000002</v>
      </c>
      <c r="X6488" s="1" t="s">
        <v>47</v>
      </c>
    </row>
    <row r="6489" spans="1:24" x14ac:dyDescent="0.25">
      <c r="A6489" s="1" t="str">
        <f t="shared" si="1965"/>
        <v>卡卡杜-凤凰仓</v>
      </c>
      <c r="B6489" s="1" t="str">
        <f>"CK202410186877"</f>
        <v>CK202410186877</v>
      </c>
      <c r="C6489" s="1" t="str">
        <f>"DD2024101812434"</f>
        <v>DD2024101812434</v>
      </c>
      <c r="D6489" s="1" t="str">
        <f>"CK202410189590"</f>
        <v>CK202410189590</v>
      </c>
      <c r="E6489" s="1" t="str">
        <f>"6935149880790095248"</f>
        <v>6935149880790095248</v>
      </c>
      <c r="F6489" s="1" t="str">
        <f t="shared" si="1966"/>
        <v>花都四部-凤凰仓</v>
      </c>
      <c r="G6489" s="1" t="str">
        <f t="shared" si="1962"/>
        <v>卡卡杜个人护理店（抖店）</v>
      </c>
      <c r="H6489" s="1" t="str">
        <f t="shared" si="1967"/>
        <v>正常订单</v>
      </c>
      <c r="I6489" s="1" t="str">
        <f t="shared" si="1968"/>
        <v>已发货</v>
      </c>
      <c r="J6489" s="1" t="str">
        <f t="shared" si="1969"/>
        <v>3</v>
      </c>
      <c r="K6489" s="1">
        <v>3</v>
      </c>
      <c r="L6489" s="1" t="s">
        <v>32</v>
      </c>
      <c r="M6489" s="1" t="str">
        <f>"陕西省 西安市 未央区 三桥街道"</f>
        <v>陕西省 西安市 未央区 三桥街道</v>
      </c>
      <c r="N6489" s="1" t="str">
        <f t="shared" si="1960"/>
        <v>凡华云仓-韵达-抖音</v>
      </c>
      <c r="O6489" s="5">
        <v>320177484338339</v>
      </c>
      <c r="P6489" s="6">
        <v>0.28000000000000003</v>
      </c>
      <c r="Q6489" s="11">
        <v>2</v>
      </c>
      <c r="R6489" s="11"/>
      <c r="S6489" s="11"/>
      <c r="T6489" s="11"/>
      <c r="U6489" s="11">
        <f t="shared" si="1964"/>
        <v>2</v>
      </c>
      <c r="W6489">
        <v>2.2000000000000002</v>
      </c>
      <c r="X6489" s="1" t="s">
        <v>32</v>
      </c>
    </row>
    <row r="6490" spans="1:24" x14ac:dyDescent="0.25">
      <c r="A6490" s="1" t="str">
        <f t="shared" si="1965"/>
        <v>卡卡杜-凤凰仓</v>
      </c>
      <c r="B6490" s="1" t="str">
        <f>"CK202410186875"</f>
        <v>CK202410186875</v>
      </c>
      <c r="C6490" s="1" t="str">
        <f>"DD2024101812435"</f>
        <v>DD2024101812435</v>
      </c>
      <c r="D6490" s="1" t="str">
        <f>"CK202410189589"</f>
        <v>CK202410189589</v>
      </c>
      <c r="E6490" s="1" t="str">
        <f>"6935167459441579486"</f>
        <v>6935167459441579486</v>
      </c>
      <c r="F6490" s="1" t="str">
        <f t="shared" si="1966"/>
        <v>花都四部-凤凰仓</v>
      </c>
      <c r="G6490" s="1" t="str">
        <f t="shared" si="1962"/>
        <v>卡卡杜个人护理店（抖店）</v>
      </c>
      <c r="H6490" s="1" t="str">
        <f t="shared" si="1967"/>
        <v>正常订单</v>
      </c>
      <c r="I6490" s="1" t="str">
        <f t="shared" si="1968"/>
        <v>已发货</v>
      </c>
      <c r="J6490" s="1" t="str">
        <f t="shared" si="1969"/>
        <v>3</v>
      </c>
      <c r="K6490" s="1">
        <v>3</v>
      </c>
      <c r="L6490" s="1" t="s">
        <v>20</v>
      </c>
      <c r="M6490" s="1" t="str">
        <f>"浙江省 绍兴市 新昌县 七星街道"</f>
        <v>浙江省 绍兴市 新昌县 七星街道</v>
      </c>
      <c r="N6490" s="1" t="str">
        <f t="shared" si="1960"/>
        <v>凡华云仓-韵达-抖音</v>
      </c>
      <c r="O6490" s="5">
        <v>320177484338246</v>
      </c>
      <c r="P6490" s="6">
        <v>0.28000000000000003</v>
      </c>
      <c r="Q6490" s="11">
        <v>2</v>
      </c>
      <c r="R6490" s="11"/>
      <c r="S6490" s="11"/>
      <c r="T6490" s="11"/>
      <c r="U6490" s="11">
        <f t="shared" si="1964"/>
        <v>2</v>
      </c>
      <c r="W6490">
        <v>2.2000000000000002</v>
      </c>
      <c r="X6490" s="1" t="s">
        <v>20</v>
      </c>
    </row>
    <row r="6491" spans="1:24" x14ac:dyDescent="0.25">
      <c r="A6491" s="1" t="str">
        <f t="shared" si="1965"/>
        <v>卡卡杜-凤凰仓</v>
      </c>
      <c r="B6491" s="1" t="str">
        <f>"CK202410186878"</f>
        <v>CK202410186878</v>
      </c>
      <c r="C6491" s="1" t="str">
        <f>"DD2024101812436"</f>
        <v>DD2024101812436</v>
      </c>
      <c r="D6491" s="1" t="str">
        <f>"CK202410189588"</f>
        <v>CK202410189588</v>
      </c>
      <c r="E6491" s="1" t="str">
        <f>"6935141053566292993"</f>
        <v>6935141053566292993</v>
      </c>
      <c r="F6491" s="1" t="str">
        <f t="shared" si="1966"/>
        <v>花都四部-凤凰仓</v>
      </c>
      <c r="G6491" s="1" t="str">
        <f t="shared" si="1962"/>
        <v>卡卡杜个人护理店（抖店）</v>
      </c>
      <c r="H6491" s="1" t="str">
        <f t="shared" si="1967"/>
        <v>正常订单</v>
      </c>
      <c r="I6491" s="1" t="str">
        <f t="shared" si="1968"/>
        <v>已发货</v>
      </c>
      <c r="J6491" s="1" t="str">
        <f t="shared" si="1969"/>
        <v>3</v>
      </c>
      <c r="K6491" s="1">
        <v>3</v>
      </c>
      <c r="L6491" s="1" t="s">
        <v>161</v>
      </c>
      <c r="M6491" s="1" t="str">
        <f>"四川省 成都市 新都区 新都街道"</f>
        <v>四川省 成都市 新都区 新都街道</v>
      </c>
      <c r="N6491" s="1" t="str">
        <f t="shared" si="1960"/>
        <v>凡华云仓-韵达-抖音</v>
      </c>
      <c r="O6491" s="5">
        <v>320177484338155</v>
      </c>
      <c r="P6491" s="6">
        <v>0.28000000000000003</v>
      </c>
      <c r="Q6491" s="11">
        <v>2</v>
      </c>
      <c r="R6491" s="11"/>
      <c r="S6491" s="11"/>
      <c r="T6491" s="11"/>
      <c r="U6491" s="11">
        <f t="shared" si="1964"/>
        <v>2</v>
      </c>
      <c r="W6491">
        <v>2.2000000000000002</v>
      </c>
      <c r="X6491" s="1" t="s">
        <v>161</v>
      </c>
    </row>
    <row r="6492" spans="1:24" x14ac:dyDescent="0.25">
      <c r="A6492" s="1" t="str">
        <f t="shared" si="1965"/>
        <v>卡卡杜-凤凰仓</v>
      </c>
      <c r="B6492" s="1" t="str">
        <f>"CK202410186876"</f>
        <v>CK202410186876</v>
      </c>
      <c r="C6492" s="1" t="str">
        <f>"DD2024101812437"</f>
        <v>DD2024101812437</v>
      </c>
      <c r="D6492" s="1" t="str">
        <f>"CK202410189587"</f>
        <v>CK202410189587</v>
      </c>
      <c r="E6492" s="1" t="str">
        <f>"6935149804864935072"</f>
        <v>6935149804864935072</v>
      </c>
      <c r="F6492" s="1" t="str">
        <f t="shared" si="1966"/>
        <v>花都四部-凤凰仓</v>
      </c>
      <c r="G6492" s="1" t="str">
        <f t="shared" si="1962"/>
        <v>卡卡杜个人护理店（抖店）</v>
      </c>
      <c r="H6492" s="1" t="str">
        <f t="shared" si="1967"/>
        <v>正常订单</v>
      </c>
      <c r="I6492" s="1" t="str">
        <f t="shared" si="1968"/>
        <v>已发货</v>
      </c>
      <c r="J6492" s="1" t="str">
        <f t="shared" si="1969"/>
        <v>3</v>
      </c>
      <c r="K6492" s="1">
        <v>3</v>
      </c>
      <c r="L6492" s="1" t="s">
        <v>13</v>
      </c>
      <c r="M6492" s="1" t="str">
        <f>"江苏省 徐州市 新沂市 唐店街道"</f>
        <v>江苏省 徐州市 新沂市 唐店街道</v>
      </c>
      <c r="N6492" s="1" t="str">
        <f t="shared" si="1960"/>
        <v>凡华云仓-韵达-抖音</v>
      </c>
      <c r="O6492" s="5">
        <v>320177484338066</v>
      </c>
      <c r="P6492" s="6">
        <v>0.28000000000000003</v>
      </c>
      <c r="Q6492" s="11">
        <v>2</v>
      </c>
      <c r="R6492" s="11"/>
      <c r="S6492" s="11"/>
      <c r="T6492" s="11"/>
      <c r="U6492" s="11">
        <f t="shared" si="1964"/>
        <v>2</v>
      </c>
      <c r="W6492">
        <v>2.2000000000000002</v>
      </c>
      <c r="X6492" s="1" t="s">
        <v>13</v>
      </c>
    </row>
    <row r="6493" spans="1:24" x14ac:dyDescent="0.25">
      <c r="A6493" s="1" t="str">
        <f t="shared" si="1965"/>
        <v>卡卡杜-凤凰仓</v>
      </c>
      <c r="B6493" s="1" t="str">
        <f>"CK202410186879"</f>
        <v>CK202410186879</v>
      </c>
      <c r="C6493" s="1" t="str">
        <f>"DD2024101812442"</f>
        <v>DD2024101812442</v>
      </c>
      <c r="D6493" s="1" t="str">
        <f>"CK202410189586"</f>
        <v>CK202410189586</v>
      </c>
      <c r="E6493" s="1" t="str">
        <f>"6935134077990737400"</f>
        <v>6935134077990737400</v>
      </c>
      <c r="F6493" s="1" t="str">
        <f t="shared" si="1966"/>
        <v>花都四部-凤凰仓</v>
      </c>
      <c r="G6493" s="1" t="str">
        <f t="shared" si="1962"/>
        <v>卡卡杜个人护理店（抖店）</v>
      </c>
      <c r="H6493" s="1" t="str">
        <f t="shared" si="1967"/>
        <v>正常订单</v>
      </c>
      <c r="I6493" s="1" t="str">
        <f t="shared" si="1968"/>
        <v>已发货</v>
      </c>
      <c r="J6493" s="1" t="str">
        <f t="shared" si="1969"/>
        <v>3</v>
      </c>
      <c r="K6493" s="1">
        <v>3</v>
      </c>
      <c r="L6493" s="1" t="s">
        <v>54</v>
      </c>
      <c r="M6493" s="1" t="str">
        <f>"黑龙江省 哈尔滨市 平房区 兴建街道"</f>
        <v>黑龙江省 哈尔滨市 平房区 兴建街道</v>
      </c>
      <c r="N6493" s="1" t="str">
        <f t="shared" si="1960"/>
        <v>凡华云仓-韵达-抖音</v>
      </c>
      <c r="O6493" s="5">
        <v>320177484337936</v>
      </c>
      <c r="P6493" s="6">
        <v>0.28000000000000003</v>
      </c>
      <c r="Q6493" s="11">
        <v>2</v>
      </c>
      <c r="R6493" s="11"/>
      <c r="S6493" s="11"/>
      <c r="T6493" s="11"/>
      <c r="U6493" s="11">
        <f t="shared" si="1964"/>
        <v>2</v>
      </c>
      <c r="W6493">
        <v>2.2000000000000002</v>
      </c>
      <c r="X6493" s="1" t="s">
        <v>54</v>
      </c>
    </row>
    <row r="6494" spans="1:24" x14ac:dyDescent="0.25">
      <c r="A6494" s="1" t="str">
        <f t="shared" si="1965"/>
        <v>卡卡杜-凤凰仓</v>
      </c>
      <c r="B6494" s="1" t="str">
        <f>"CK2024101810014"</f>
        <v>CK2024101810014</v>
      </c>
      <c r="C6494" s="1" t="str">
        <f>"DD2024101815598"</f>
        <v>DD2024101815598</v>
      </c>
      <c r="D6494" s="1" t="str">
        <f>"CK202410189585"</f>
        <v>CK202410189585</v>
      </c>
      <c r="E6494" s="1" t="str">
        <f>"6935162692516714152"</f>
        <v>6935162692516714152</v>
      </c>
      <c r="F6494" s="1" t="str">
        <f t="shared" si="1966"/>
        <v>花都四部-凤凰仓</v>
      </c>
      <c r="G6494" s="1" t="str">
        <f t="shared" si="1962"/>
        <v>卡卡杜个人护理店（抖店）</v>
      </c>
      <c r="H6494" s="1" t="str">
        <f t="shared" si="1967"/>
        <v>正常订单</v>
      </c>
      <c r="I6494" s="1" t="str">
        <f t="shared" si="1968"/>
        <v>已发货</v>
      </c>
      <c r="J6494" s="1" t="str">
        <f t="shared" si="1969"/>
        <v>3</v>
      </c>
      <c r="K6494" s="1">
        <v>3</v>
      </c>
      <c r="L6494" s="1" t="s">
        <v>218</v>
      </c>
      <c r="M6494" s="1" t="str">
        <f>"天津 天津市 静海区 独流镇"</f>
        <v>天津 天津市 静海区 独流镇</v>
      </c>
      <c r="N6494" s="1" t="str">
        <f t="shared" si="1960"/>
        <v>凡华云仓-韵达-抖音</v>
      </c>
      <c r="O6494" s="5">
        <v>320177484337831</v>
      </c>
      <c r="P6494" s="6">
        <v>0.28000000000000003</v>
      </c>
      <c r="Q6494" s="11">
        <v>2</v>
      </c>
      <c r="R6494" s="11"/>
      <c r="S6494" s="11"/>
      <c r="T6494" s="11"/>
      <c r="U6494" s="11">
        <f t="shared" si="1964"/>
        <v>2</v>
      </c>
      <c r="W6494">
        <v>2.2000000000000002</v>
      </c>
      <c r="X6494" s="1" t="s">
        <v>218</v>
      </c>
    </row>
    <row r="6495" spans="1:24" x14ac:dyDescent="0.25">
      <c r="A6495" s="1" t="str">
        <f t="shared" si="1965"/>
        <v>卡卡杜-凤凰仓</v>
      </c>
      <c r="B6495" s="1" t="str">
        <f>"CK202410186881"</f>
        <v>CK202410186881</v>
      </c>
      <c r="C6495" s="1" t="str">
        <f>"DD2024101812438"</f>
        <v>DD2024101812438</v>
      </c>
      <c r="D6495" s="1" t="str">
        <f>"CK202410189584"</f>
        <v>CK202410189584</v>
      </c>
      <c r="E6495" s="1" t="str">
        <f>"6935169668816246674"</f>
        <v>6935169668816246674</v>
      </c>
      <c r="F6495" s="1" t="str">
        <f t="shared" si="1966"/>
        <v>花都四部-凤凰仓</v>
      </c>
      <c r="G6495" s="1" t="str">
        <f t="shared" si="1962"/>
        <v>卡卡杜个人护理店（抖店）</v>
      </c>
      <c r="H6495" s="1" t="str">
        <f t="shared" si="1967"/>
        <v>正常订单</v>
      </c>
      <c r="I6495" s="1" t="str">
        <f t="shared" si="1968"/>
        <v>已发货</v>
      </c>
      <c r="J6495" s="1" t="str">
        <f t="shared" si="1969"/>
        <v>3</v>
      </c>
      <c r="K6495" s="1">
        <v>3</v>
      </c>
      <c r="L6495" s="1" t="s">
        <v>94</v>
      </c>
      <c r="M6495" s="1" t="str">
        <f>"湖南省 常德市 安乡县 "</f>
        <v xml:space="preserve">湖南省 常德市 安乡县 </v>
      </c>
      <c r="N6495" s="1" t="str">
        <f t="shared" si="1960"/>
        <v>凡华云仓-韵达-抖音</v>
      </c>
      <c r="O6495" s="5">
        <v>320177484337728</v>
      </c>
      <c r="P6495" s="6">
        <v>0.28000000000000003</v>
      </c>
      <c r="Q6495" s="11">
        <v>2</v>
      </c>
      <c r="R6495" s="11"/>
      <c r="S6495" s="11"/>
      <c r="T6495" s="11"/>
      <c r="U6495" s="11">
        <f t="shared" si="1964"/>
        <v>2</v>
      </c>
      <c r="W6495">
        <v>2.2000000000000002</v>
      </c>
      <c r="X6495" s="1" t="s">
        <v>94</v>
      </c>
    </row>
    <row r="6496" spans="1:24" x14ac:dyDescent="0.25">
      <c r="A6496" s="1" t="str">
        <f t="shared" si="1965"/>
        <v>卡卡杜-凤凰仓</v>
      </c>
      <c r="B6496" s="1" t="str">
        <f>"CK202410186880"</f>
        <v>CK202410186880</v>
      </c>
      <c r="C6496" s="1" t="str">
        <f>"DD2024101812439"</f>
        <v>DD2024101812439</v>
      </c>
      <c r="D6496" s="1" t="str">
        <f>"CK202410189583"</f>
        <v>CK202410189583</v>
      </c>
      <c r="E6496" s="1" t="str">
        <f>"6935147384885810622"</f>
        <v>6935147384885810622</v>
      </c>
      <c r="F6496" s="1" t="str">
        <f t="shared" si="1966"/>
        <v>花都四部-凤凰仓</v>
      </c>
      <c r="G6496" s="1" t="str">
        <f t="shared" si="1962"/>
        <v>卡卡杜个人护理店（抖店）</v>
      </c>
      <c r="H6496" s="1" t="str">
        <f t="shared" si="1967"/>
        <v>正常订单</v>
      </c>
      <c r="I6496" s="1" t="str">
        <f t="shared" si="1968"/>
        <v>已发货</v>
      </c>
      <c r="J6496" s="1" t="str">
        <f t="shared" si="1969"/>
        <v>3</v>
      </c>
      <c r="K6496" s="1">
        <v>3</v>
      </c>
      <c r="L6496" s="1" t="s">
        <v>18</v>
      </c>
      <c r="M6496" s="1" t="str">
        <f>"广东省 东莞市 东莞市 塘厦镇"</f>
        <v>广东省 东莞市 东莞市 塘厦镇</v>
      </c>
      <c r="N6496" s="1" t="str">
        <f t="shared" si="1960"/>
        <v>凡华云仓-韵达-抖音</v>
      </c>
      <c r="O6496" s="5">
        <v>320177484334246</v>
      </c>
      <c r="P6496" s="6">
        <v>0.28000000000000003</v>
      </c>
      <c r="Q6496" s="11">
        <v>2</v>
      </c>
      <c r="R6496" s="11"/>
      <c r="S6496" s="11"/>
      <c r="T6496" s="11"/>
      <c r="U6496" s="11">
        <f t="shared" si="1964"/>
        <v>2</v>
      </c>
      <c r="W6496">
        <v>2.2000000000000002</v>
      </c>
      <c r="X6496" s="1" t="s">
        <v>18</v>
      </c>
    </row>
    <row r="6497" spans="1:24" x14ac:dyDescent="0.25">
      <c r="A6497" s="1" t="str">
        <f t="shared" si="1965"/>
        <v>卡卡杜-凤凰仓</v>
      </c>
      <c r="B6497" s="1" t="str">
        <f>"CK202410186882"</f>
        <v>CK202410186882</v>
      </c>
      <c r="C6497" s="1" t="str">
        <f>"DD2024101812440"</f>
        <v>DD2024101812440</v>
      </c>
      <c r="D6497" s="1" t="str">
        <f>"CK202410189582"</f>
        <v>CK202410189582</v>
      </c>
      <c r="E6497" s="1" t="str">
        <f>"6935169620480890156"</f>
        <v>6935169620480890156</v>
      </c>
      <c r="F6497" s="1" t="str">
        <f t="shared" si="1966"/>
        <v>花都四部-凤凰仓</v>
      </c>
      <c r="G6497" s="1" t="str">
        <f t="shared" si="1962"/>
        <v>卡卡杜个人护理店（抖店）</v>
      </c>
      <c r="H6497" s="1" t="str">
        <f t="shared" si="1967"/>
        <v>正常订单</v>
      </c>
      <c r="I6497" s="1" t="str">
        <f t="shared" si="1968"/>
        <v>已发货</v>
      </c>
      <c r="J6497" s="1" t="str">
        <f t="shared" si="1969"/>
        <v>3</v>
      </c>
      <c r="K6497" s="1">
        <v>3</v>
      </c>
      <c r="L6497" s="1" t="s">
        <v>80</v>
      </c>
      <c r="M6497" s="1" t="str">
        <f>"河南省 周口市 郸城县 洺北街道"</f>
        <v>河南省 周口市 郸城县 洺北街道</v>
      </c>
      <c r="N6497" s="1" t="str">
        <f t="shared" ref="N6497:N6538" si="1970">"凡华云仓-韵达-抖音"</f>
        <v>凡华云仓-韵达-抖音</v>
      </c>
      <c r="O6497" s="5">
        <v>320177484334155</v>
      </c>
      <c r="P6497" s="6">
        <v>0.28000000000000003</v>
      </c>
      <c r="Q6497" s="11">
        <v>2</v>
      </c>
      <c r="R6497" s="11"/>
      <c r="S6497" s="11"/>
      <c r="T6497" s="11"/>
      <c r="U6497" s="11">
        <f t="shared" si="1964"/>
        <v>2</v>
      </c>
      <c r="W6497">
        <v>2.2000000000000002</v>
      </c>
      <c r="X6497" s="1" t="s">
        <v>80</v>
      </c>
    </row>
    <row r="6498" spans="1:24" x14ac:dyDescent="0.25">
      <c r="A6498" s="1" t="str">
        <f t="shared" si="1965"/>
        <v>卡卡杜-凤凰仓</v>
      </c>
      <c r="B6498" s="1" t="str">
        <f>"CK202410186883"</f>
        <v>CK202410186883</v>
      </c>
      <c r="C6498" s="1" t="str">
        <f>"DD2024101812441"</f>
        <v>DD2024101812441</v>
      </c>
      <c r="D6498" s="1" t="str">
        <f>"CK202410189581"</f>
        <v>CK202410189581</v>
      </c>
      <c r="E6498" s="1" t="str">
        <f>"6935171903652762767"</f>
        <v>6935171903652762767</v>
      </c>
      <c r="F6498" s="1" t="str">
        <f t="shared" si="1966"/>
        <v>花都四部-凤凰仓</v>
      </c>
      <c r="G6498" s="1" t="str">
        <f t="shared" si="1962"/>
        <v>卡卡杜个人护理店（抖店）</v>
      </c>
      <c r="H6498" s="1" t="str">
        <f t="shared" si="1967"/>
        <v>正常订单</v>
      </c>
      <c r="I6498" s="1" t="str">
        <f t="shared" si="1968"/>
        <v>已发货</v>
      </c>
      <c r="J6498" s="1" t="str">
        <f t="shared" si="1969"/>
        <v>3</v>
      </c>
      <c r="K6498" s="1">
        <v>3</v>
      </c>
      <c r="L6498" s="1" t="s">
        <v>24</v>
      </c>
      <c r="M6498" s="1" t="str">
        <f>"福建省 南平市 建瓯市 芝山街道"</f>
        <v>福建省 南平市 建瓯市 芝山街道</v>
      </c>
      <c r="N6498" s="1" t="str">
        <f t="shared" si="1970"/>
        <v>凡华云仓-韵达-抖音</v>
      </c>
      <c r="O6498" s="5">
        <v>320177484334066</v>
      </c>
      <c r="P6498" s="6">
        <v>0.28000000000000003</v>
      </c>
      <c r="Q6498" s="11">
        <v>2</v>
      </c>
      <c r="R6498" s="11"/>
      <c r="S6498" s="11"/>
      <c r="T6498" s="11"/>
      <c r="U6498" s="11">
        <f t="shared" si="1964"/>
        <v>2</v>
      </c>
      <c r="W6498">
        <v>2.2000000000000002</v>
      </c>
      <c r="X6498" s="1" t="s">
        <v>24</v>
      </c>
    </row>
    <row r="6499" spans="1:24" x14ac:dyDescent="0.25">
      <c r="A6499" s="1" t="str">
        <f t="shared" si="1965"/>
        <v>卡卡杜-凤凰仓</v>
      </c>
      <c r="B6499" s="1" t="str">
        <f>"CK2024101810013"</f>
        <v>CK2024101810013</v>
      </c>
      <c r="C6499" s="1" t="str">
        <f>"DD2024101815597"</f>
        <v>DD2024101815597</v>
      </c>
      <c r="D6499" s="1" t="str">
        <f>"CK202410189580"</f>
        <v>CK202410189580</v>
      </c>
      <c r="E6499" s="1" t="str">
        <f>"6935167479119353826"</f>
        <v>6935167479119353826</v>
      </c>
      <c r="F6499" s="1" t="str">
        <f t="shared" si="1966"/>
        <v>花都四部-凤凰仓</v>
      </c>
      <c r="G6499" s="1" t="str">
        <f t="shared" si="1962"/>
        <v>卡卡杜个人护理店（抖店）</v>
      </c>
      <c r="H6499" s="1" t="str">
        <f t="shared" si="1967"/>
        <v>正常订单</v>
      </c>
      <c r="I6499" s="1" t="str">
        <f t="shared" si="1968"/>
        <v>已发货</v>
      </c>
      <c r="J6499" s="1" t="str">
        <f t="shared" si="1969"/>
        <v>3</v>
      </c>
      <c r="K6499" s="1">
        <v>3</v>
      </c>
      <c r="L6499" s="1" t="s">
        <v>16</v>
      </c>
      <c r="M6499" s="1" t="str">
        <f>"河北省 石家庄市 桥西区 休门街道"</f>
        <v>河北省 石家庄市 桥西区 休门街道</v>
      </c>
      <c r="N6499" s="1" t="str">
        <f t="shared" si="1970"/>
        <v>凡华云仓-韵达-抖音</v>
      </c>
      <c r="O6499" s="5">
        <v>320177484333944</v>
      </c>
      <c r="P6499" s="6">
        <v>0.28000000000000003</v>
      </c>
      <c r="Q6499" s="11">
        <v>2</v>
      </c>
      <c r="R6499" s="11"/>
      <c r="S6499" s="11"/>
      <c r="T6499" s="11"/>
      <c r="U6499" s="11">
        <f t="shared" si="1964"/>
        <v>2</v>
      </c>
      <c r="W6499">
        <v>2.2000000000000002</v>
      </c>
      <c r="X6499" s="1" t="s">
        <v>16</v>
      </c>
    </row>
    <row r="6500" spans="1:24" x14ac:dyDescent="0.25">
      <c r="A6500" s="1" t="str">
        <f t="shared" si="1965"/>
        <v>卡卡杜-凤凰仓</v>
      </c>
      <c r="B6500" s="1" t="str">
        <f>"CK2024101810015"</f>
        <v>CK2024101810015</v>
      </c>
      <c r="C6500" s="1" t="str">
        <f>"DD2024101815600"</f>
        <v>DD2024101815600</v>
      </c>
      <c r="D6500" s="1" t="str">
        <f>"CK202410189579"</f>
        <v>CK202410189579</v>
      </c>
      <c r="E6500" s="1" t="str">
        <f>"6935171916714677790"</f>
        <v>6935171916714677790</v>
      </c>
      <c r="F6500" s="1" t="str">
        <f t="shared" si="1966"/>
        <v>花都四部-凤凰仓</v>
      </c>
      <c r="G6500" s="1" t="str">
        <f t="shared" si="1962"/>
        <v>卡卡杜个人护理店（抖店）</v>
      </c>
      <c r="H6500" s="1" t="str">
        <f t="shared" si="1967"/>
        <v>正常订单</v>
      </c>
      <c r="I6500" s="1" t="str">
        <f t="shared" si="1968"/>
        <v>已发货</v>
      </c>
      <c r="J6500" s="1" t="str">
        <f t="shared" si="1969"/>
        <v>3</v>
      </c>
      <c r="K6500" s="1">
        <v>3</v>
      </c>
      <c r="L6500" s="1" t="s">
        <v>36</v>
      </c>
      <c r="M6500" s="1" t="str">
        <f>"安徽省 阜阳市 临泉县 城关街道"</f>
        <v>安徽省 阜阳市 临泉县 城关街道</v>
      </c>
      <c r="N6500" s="1" t="str">
        <f t="shared" si="1970"/>
        <v>凡华云仓-韵达-抖音</v>
      </c>
      <c r="O6500" s="5">
        <v>320177484333839</v>
      </c>
      <c r="P6500" s="6">
        <v>0.28000000000000003</v>
      </c>
      <c r="Q6500" s="11">
        <v>2</v>
      </c>
      <c r="R6500" s="11"/>
      <c r="S6500" s="11"/>
      <c r="T6500" s="11"/>
      <c r="U6500" s="11">
        <f t="shared" si="1964"/>
        <v>2</v>
      </c>
      <c r="W6500">
        <v>2.2000000000000002</v>
      </c>
      <c r="X6500" s="1" t="s">
        <v>36</v>
      </c>
    </row>
    <row r="6501" spans="1:24" x14ac:dyDescent="0.25">
      <c r="A6501" s="1" t="str">
        <f t="shared" si="1965"/>
        <v>卡卡杜-凤凰仓</v>
      </c>
      <c r="B6501" s="1" t="str">
        <f>"CK202410186884"</f>
        <v>CK202410186884</v>
      </c>
      <c r="C6501" s="1" t="str">
        <f>"DD2024101812443"</f>
        <v>DD2024101812443</v>
      </c>
      <c r="D6501" s="1" t="str">
        <f>"CK202410189578"</f>
        <v>CK202410189578</v>
      </c>
      <c r="E6501" s="1" t="str">
        <f>"6935147319620933325"</f>
        <v>6935147319620933325</v>
      </c>
      <c r="F6501" s="1" t="str">
        <f t="shared" si="1966"/>
        <v>花都四部-凤凰仓</v>
      </c>
      <c r="G6501" s="1" t="str">
        <f t="shared" si="1962"/>
        <v>卡卡杜个人护理店（抖店）</v>
      </c>
      <c r="H6501" s="1" t="str">
        <f t="shared" si="1967"/>
        <v>正常订单</v>
      </c>
      <c r="I6501" s="1" t="str">
        <f t="shared" si="1968"/>
        <v>已发货</v>
      </c>
      <c r="J6501" s="1" t="str">
        <f t="shared" si="1969"/>
        <v>3</v>
      </c>
      <c r="K6501" s="1">
        <v>3</v>
      </c>
      <c r="L6501" s="1" t="s">
        <v>105</v>
      </c>
      <c r="M6501" s="1" t="str">
        <f>"北京 北京市 顺义区 胜利街道"</f>
        <v>北京 北京市 顺义区 胜利街道</v>
      </c>
      <c r="N6501" s="1" t="str">
        <f t="shared" si="1970"/>
        <v>凡华云仓-韵达-抖音</v>
      </c>
      <c r="O6501" s="5">
        <v>320177484333736</v>
      </c>
      <c r="P6501" s="6">
        <v>0.28000000000000003</v>
      </c>
      <c r="Q6501" s="11">
        <v>2</v>
      </c>
      <c r="R6501" s="11"/>
      <c r="S6501" s="11"/>
      <c r="T6501" s="11"/>
      <c r="U6501" s="11">
        <f t="shared" si="1964"/>
        <v>2</v>
      </c>
      <c r="W6501">
        <v>2.2000000000000002</v>
      </c>
      <c r="X6501" s="1" t="s">
        <v>105</v>
      </c>
    </row>
    <row r="6502" spans="1:24" x14ac:dyDescent="0.25">
      <c r="A6502" s="1" t="str">
        <f t="shared" si="1965"/>
        <v>卡卡杜-凤凰仓</v>
      </c>
      <c r="B6502" s="1" t="str">
        <f>"CK202410186885"</f>
        <v>CK202410186885</v>
      </c>
      <c r="C6502" s="1" t="str">
        <f>"DD2024101812444"</f>
        <v>DD2024101812444</v>
      </c>
      <c r="D6502" s="1" t="str">
        <f>"CK202410189577"</f>
        <v>CK202410189577</v>
      </c>
      <c r="E6502" s="1" t="str">
        <f>"6935162701744969026"</f>
        <v>6935162701744969026</v>
      </c>
      <c r="F6502" s="1" t="str">
        <f t="shared" si="1966"/>
        <v>花都四部-凤凰仓</v>
      </c>
      <c r="G6502" s="1" t="str">
        <f t="shared" si="1962"/>
        <v>卡卡杜个人护理店（抖店）</v>
      </c>
      <c r="H6502" s="1" t="str">
        <f t="shared" si="1967"/>
        <v>正常订单</v>
      </c>
      <c r="I6502" s="1" t="str">
        <f t="shared" si="1968"/>
        <v>已发货</v>
      </c>
      <c r="J6502" s="1" t="str">
        <f>"6"</f>
        <v>6</v>
      </c>
      <c r="K6502" s="1">
        <v>3</v>
      </c>
      <c r="L6502" s="1" t="s">
        <v>13</v>
      </c>
      <c r="M6502" s="1" t="str">
        <f>"江苏省 宿迁市 泗洪县 大楼街道"</f>
        <v>江苏省 宿迁市 泗洪县 大楼街道</v>
      </c>
      <c r="N6502" s="1" t="str">
        <f t="shared" si="1970"/>
        <v>凡华云仓-韵达-抖音</v>
      </c>
      <c r="O6502" s="5">
        <v>320177484333635</v>
      </c>
      <c r="P6502" s="6">
        <v>0.47</v>
      </c>
      <c r="Q6502" s="11">
        <v>2.2999999999999998</v>
      </c>
      <c r="R6502" s="11"/>
      <c r="S6502" s="11"/>
      <c r="T6502" s="11"/>
      <c r="U6502" s="11">
        <f t="shared" si="1964"/>
        <v>2.2999999999999998</v>
      </c>
      <c r="W6502">
        <v>2.5</v>
      </c>
      <c r="X6502" s="1" t="s">
        <v>13</v>
      </c>
    </row>
    <row r="6503" spans="1:24" x14ac:dyDescent="0.25">
      <c r="A6503" s="1" t="str">
        <f t="shared" si="1965"/>
        <v>卡卡杜-凤凰仓</v>
      </c>
      <c r="B6503" s="1" t="str">
        <f>"CK202410186886"</f>
        <v>CK202410186886</v>
      </c>
      <c r="C6503" s="1" t="str">
        <f>"DD2024101812445"</f>
        <v>DD2024101812445</v>
      </c>
      <c r="D6503" s="1" t="str">
        <f>"CK202410189576"</f>
        <v>CK202410189576</v>
      </c>
      <c r="E6503" s="1" t="str">
        <f>"6935165074294445627"</f>
        <v>6935165074294445627</v>
      </c>
      <c r="F6503" s="1" t="str">
        <f t="shared" si="1966"/>
        <v>花都四部-凤凰仓</v>
      </c>
      <c r="G6503" s="1" t="str">
        <f t="shared" si="1962"/>
        <v>卡卡杜个人护理店（抖店）</v>
      </c>
      <c r="H6503" s="1" t="str">
        <f t="shared" si="1967"/>
        <v>正常订单</v>
      </c>
      <c r="I6503" s="1" t="str">
        <f t="shared" si="1968"/>
        <v>已发货</v>
      </c>
      <c r="J6503" s="1" t="str">
        <f t="shared" ref="J6503:J6537" si="1971">"3"</f>
        <v>3</v>
      </c>
      <c r="K6503" s="1">
        <v>3</v>
      </c>
      <c r="L6503" s="1" t="s">
        <v>161</v>
      </c>
      <c r="M6503" s="1" t="str">
        <f>"四川省 成都市 金牛区 西华街道"</f>
        <v>四川省 成都市 金牛区 西华街道</v>
      </c>
      <c r="N6503" s="1" t="str">
        <f t="shared" si="1970"/>
        <v>凡华云仓-韵达-抖音</v>
      </c>
      <c r="O6503" s="5">
        <v>320177484333536</v>
      </c>
      <c r="P6503" s="6">
        <v>0.28000000000000003</v>
      </c>
      <c r="Q6503" s="11">
        <v>2</v>
      </c>
      <c r="R6503" s="11"/>
      <c r="S6503" s="11"/>
      <c r="T6503" s="11"/>
      <c r="U6503" s="11">
        <f t="shared" si="1964"/>
        <v>2</v>
      </c>
      <c r="W6503">
        <v>2.2000000000000002</v>
      </c>
      <c r="X6503" s="1" t="s">
        <v>161</v>
      </c>
    </row>
    <row r="6504" spans="1:24" x14ac:dyDescent="0.25">
      <c r="A6504" s="1" t="str">
        <f t="shared" si="1965"/>
        <v>卡卡杜-凤凰仓</v>
      </c>
      <c r="B6504" s="1" t="str">
        <f>"CK202410186887"</f>
        <v>CK202410186887</v>
      </c>
      <c r="C6504" s="1" t="str">
        <f>"DD2024101812446"</f>
        <v>DD2024101812446</v>
      </c>
      <c r="D6504" s="1" t="str">
        <f>"CK202410189575"</f>
        <v>CK202410189575</v>
      </c>
      <c r="E6504" s="1" t="str">
        <f>"6935162724777072300"</f>
        <v>6935162724777072300</v>
      </c>
      <c r="F6504" s="1" t="str">
        <f t="shared" si="1966"/>
        <v>花都四部-凤凰仓</v>
      </c>
      <c r="G6504" s="1" t="str">
        <f t="shared" si="1962"/>
        <v>卡卡杜个人护理店（抖店）</v>
      </c>
      <c r="H6504" s="1" t="str">
        <f t="shared" si="1967"/>
        <v>正常订单</v>
      </c>
      <c r="I6504" s="1" t="str">
        <f t="shared" si="1968"/>
        <v>已发货</v>
      </c>
      <c r="J6504" s="1" t="str">
        <f t="shared" si="1971"/>
        <v>3</v>
      </c>
      <c r="K6504" s="1">
        <v>3</v>
      </c>
      <c r="L6504" s="1" t="s">
        <v>18</v>
      </c>
      <c r="M6504" s="1" t="str">
        <f>"广东省 中山市 中山市 东区街道"</f>
        <v>广东省 中山市 中山市 东区街道</v>
      </c>
      <c r="N6504" s="1" t="str">
        <f t="shared" si="1970"/>
        <v>凡华云仓-韵达-抖音</v>
      </c>
      <c r="O6504" s="5">
        <v>320177484333439</v>
      </c>
      <c r="P6504" s="6">
        <v>0.28000000000000003</v>
      </c>
      <c r="Q6504" s="11">
        <v>2</v>
      </c>
      <c r="R6504" s="11"/>
      <c r="S6504" s="11"/>
      <c r="T6504" s="11"/>
      <c r="U6504" s="11">
        <f t="shared" si="1964"/>
        <v>2</v>
      </c>
      <c r="W6504">
        <v>2.2000000000000002</v>
      </c>
      <c r="X6504" s="1" t="s">
        <v>18</v>
      </c>
    </row>
    <row r="6505" spans="1:24" x14ac:dyDescent="0.25">
      <c r="A6505" s="1" t="str">
        <f t="shared" si="1965"/>
        <v>卡卡杜-凤凰仓</v>
      </c>
      <c r="B6505" s="1" t="str">
        <f>"CK202410186889"</f>
        <v>CK202410186889</v>
      </c>
      <c r="C6505" s="1" t="str">
        <f>"DD2024101812447"</f>
        <v>DD2024101812447</v>
      </c>
      <c r="D6505" s="1" t="str">
        <f>"CK202410189574"</f>
        <v>CK202410189574</v>
      </c>
      <c r="E6505" s="1" t="str">
        <f>"6935171884038165536"</f>
        <v>6935171884038165536</v>
      </c>
      <c r="F6505" s="1" t="str">
        <f t="shared" si="1966"/>
        <v>花都四部-凤凰仓</v>
      </c>
      <c r="G6505" s="1" t="str">
        <f t="shared" si="1962"/>
        <v>卡卡杜个人护理店（抖店）</v>
      </c>
      <c r="H6505" s="1" t="str">
        <f t="shared" si="1967"/>
        <v>正常订单</v>
      </c>
      <c r="I6505" s="1" t="str">
        <f t="shared" si="1968"/>
        <v>已发货</v>
      </c>
      <c r="J6505" s="1" t="str">
        <f t="shared" si="1971"/>
        <v>3</v>
      </c>
      <c r="K6505" s="1">
        <v>3</v>
      </c>
      <c r="L6505" s="1" t="s">
        <v>30</v>
      </c>
      <c r="M6505" s="1" t="str">
        <f>"山东省 济南市 槐荫区 腊山街道"</f>
        <v>山东省 济南市 槐荫区 腊山街道</v>
      </c>
      <c r="N6505" s="1" t="str">
        <f t="shared" si="1970"/>
        <v>凡华云仓-韵达-抖音</v>
      </c>
      <c r="O6505" s="5">
        <v>320177484333344</v>
      </c>
      <c r="P6505" s="6">
        <v>0.28000000000000003</v>
      </c>
      <c r="Q6505" s="11">
        <v>2</v>
      </c>
      <c r="R6505" s="11"/>
      <c r="S6505" s="11"/>
      <c r="T6505" s="11"/>
      <c r="U6505" s="11">
        <f t="shared" si="1964"/>
        <v>2</v>
      </c>
      <c r="W6505">
        <v>2.2000000000000002</v>
      </c>
      <c r="X6505" s="1" t="s">
        <v>30</v>
      </c>
    </row>
    <row r="6506" spans="1:24" x14ac:dyDescent="0.25">
      <c r="A6506" s="1" t="str">
        <f t="shared" si="1965"/>
        <v>卡卡杜-凤凰仓</v>
      </c>
      <c r="B6506" s="1" t="str">
        <f>"CK202410186888"</f>
        <v>CK202410186888</v>
      </c>
      <c r="C6506" s="1" t="str">
        <f>"DD2024101812448"</f>
        <v>DD2024101812448</v>
      </c>
      <c r="D6506" s="1" t="str">
        <f>"CK202410189573"</f>
        <v>CK202410189573</v>
      </c>
      <c r="E6506" s="1" t="str">
        <f>"6935164943470630843"</f>
        <v>6935164943470630843</v>
      </c>
      <c r="F6506" s="1" t="str">
        <f t="shared" si="1966"/>
        <v>花都四部-凤凰仓</v>
      </c>
      <c r="G6506" s="1" t="str">
        <f t="shared" si="1962"/>
        <v>卡卡杜个人护理店（抖店）</v>
      </c>
      <c r="H6506" s="1" t="str">
        <f t="shared" si="1967"/>
        <v>正常订单</v>
      </c>
      <c r="I6506" s="1" t="str">
        <f t="shared" si="1968"/>
        <v>已发货</v>
      </c>
      <c r="J6506" s="1" t="str">
        <f t="shared" si="1971"/>
        <v>3</v>
      </c>
      <c r="K6506" s="1">
        <v>3</v>
      </c>
      <c r="L6506" s="1" t="s">
        <v>27</v>
      </c>
      <c r="M6506" s="1" t="str">
        <f>"贵州省 贵阳市 南明区 二戈街道"</f>
        <v>贵州省 贵阳市 南明区 二戈街道</v>
      </c>
      <c r="N6506" s="1" t="str">
        <f t="shared" si="1970"/>
        <v>凡华云仓-韵达-抖音</v>
      </c>
      <c r="O6506" s="5">
        <v>320177476486510</v>
      </c>
      <c r="P6506" s="6">
        <v>0.28000000000000003</v>
      </c>
      <c r="Q6506" s="11">
        <v>2</v>
      </c>
      <c r="R6506" s="11"/>
      <c r="S6506" s="11"/>
      <c r="T6506" s="11"/>
      <c r="U6506" s="11">
        <f t="shared" si="1964"/>
        <v>2</v>
      </c>
      <c r="W6506">
        <v>2.2000000000000002</v>
      </c>
      <c r="X6506" s="1" t="s">
        <v>27</v>
      </c>
    </row>
    <row r="6507" spans="1:24" x14ac:dyDescent="0.25">
      <c r="A6507" s="1" t="str">
        <f t="shared" si="1965"/>
        <v>卡卡杜-凤凰仓</v>
      </c>
      <c r="B6507" s="1" t="str">
        <f>"CK2024101810016"</f>
        <v>CK2024101810016</v>
      </c>
      <c r="C6507" s="1" t="str">
        <f>"DD2024101815599"</f>
        <v>DD2024101815599</v>
      </c>
      <c r="D6507" s="1" t="str">
        <f>"CK202410189572"</f>
        <v>CK202410189572</v>
      </c>
      <c r="E6507" s="1" t="str">
        <f>"6935149772245308818"</f>
        <v>6935149772245308818</v>
      </c>
      <c r="F6507" s="1" t="str">
        <f t="shared" si="1966"/>
        <v>花都四部-凤凰仓</v>
      </c>
      <c r="G6507" s="1" t="str">
        <f t="shared" si="1962"/>
        <v>卡卡杜个人护理店（抖店）</v>
      </c>
      <c r="H6507" s="1" t="str">
        <f t="shared" si="1967"/>
        <v>正常订单</v>
      </c>
      <c r="I6507" s="1" t="str">
        <f t="shared" si="1968"/>
        <v>已发货</v>
      </c>
      <c r="J6507" s="1" t="str">
        <f t="shared" si="1971"/>
        <v>3</v>
      </c>
      <c r="K6507" s="1">
        <v>3</v>
      </c>
      <c r="L6507" s="1" t="s">
        <v>16</v>
      </c>
      <c r="M6507" s="1" t="str">
        <f>"河北省 邯郸市 丛台区 丛台东街道"</f>
        <v>河北省 邯郸市 丛台区 丛台东街道</v>
      </c>
      <c r="N6507" s="1" t="str">
        <f t="shared" si="1970"/>
        <v>凡华云仓-韵达-抖音</v>
      </c>
      <c r="O6507" s="5">
        <v>320177476486413</v>
      </c>
      <c r="P6507" s="6">
        <v>0.28000000000000003</v>
      </c>
      <c r="Q6507" s="11">
        <v>2</v>
      </c>
      <c r="R6507" s="11"/>
      <c r="S6507" s="11"/>
      <c r="T6507" s="11"/>
      <c r="U6507" s="11">
        <f t="shared" si="1964"/>
        <v>2</v>
      </c>
      <c r="W6507">
        <v>2.2000000000000002</v>
      </c>
      <c r="X6507" s="1" t="s">
        <v>16</v>
      </c>
    </row>
    <row r="6508" spans="1:24" x14ac:dyDescent="0.25">
      <c r="A6508" s="1" t="str">
        <f t="shared" si="1965"/>
        <v>卡卡杜-凤凰仓</v>
      </c>
      <c r="B6508" s="1" t="str">
        <f>"CK202410186890"</f>
        <v>CK202410186890</v>
      </c>
      <c r="C6508" s="1" t="str">
        <f>"DD2024101812449"</f>
        <v>DD2024101812449</v>
      </c>
      <c r="D6508" s="1" t="str">
        <f>"CK202410189571"</f>
        <v>CK202410189571</v>
      </c>
      <c r="E6508" s="1" t="str">
        <f>"6935160790603011878"</f>
        <v>6935160790603011878</v>
      </c>
      <c r="F6508" s="1" t="str">
        <f t="shared" si="1966"/>
        <v>花都四部-凤凰仓</v>
      </c>
      <c r="G6508" s="1" t="str">
        <f t="shared" si="1962"/>
        <v>卡卡杜个人护理店（抖店）</v>
      </c>
      <c r="H6508" s="1" t="str">
        <f t="shared" si="1967"/>
        <v>正常订单</v>
      </c>
      <c r="I6508" s="1" t="str">
        <f t="shared" si="1968"/>
        <v>已发货</v>
      </c>
      <c r="J6508" s="1" t="str">
        <f t="shared" si="1971"/>
        <v>3</v>
      </c>
      <c r="K6508" s="1">
        <v>3</v>
      </c>
      <c r="L6508" s="1" t="s">
        <v>13</v>
      </c>
      <c r="M6508" s="1" t="str">
        <f>"江苏省 盐城市 响水县 "</f>
        <v xml:space="preserve">江苏省 盐城市 响水县 </v>
      </c>
      <c r="N6508" s="1" t="str">
        <f t="shared" si="1970"/>
        <v>凡华云仓-韵达-抖音</v>
      </c>
      <c r="O6508" s="5">
        <v>320177476486318</v>
      </c>
      <c r="P6508" s="6">
        <v>0.28000000000000003</v>
      </c>
      <c r="Q6508" s="11">
        <v>2</v>
      </c>
      <c r="R6508" s="11"/>
      <c r="S6508" s="11"/>
      <c r="T6508" s="11"/>
      <c r="U6508" s="11">
        <f t="shared" si="1964"/>
        <v>2</v>
      </c>
      <c r="W6508">
        <v>2.2000000000000002</v>
      </c>
      <c r="X6508" s="1" t="s">
        <v>13</v>
      </c>
    </row>
    <row r="6509" spans="1:24" x14ac:dyDescent="0.25">
      <c r="A6509" s="1" t="str">
        <f t="shared" si="1965"/>
        <v>卡卡杜-凤凰仓</v>
      </c>
      <c r="B6509" s="1" t="str">
        <f>"CK202410186892"</f>
        <v>CK202410186892</v>
      </c>
      <c r="C6509" s="1" t="str">
        <f>"DD2024101812450"</f>
        <v>DD2024101812450</v>
      </c>
      <c r="D6509" s="1" t="str">
        <f>"CK202410189570"</f>
        <v>CK202410189570</v>
      </c>
      <c r="E6509" s="1" t="str">
        <f>"6935153773325063731"</f>
        <v>6935153773325063731</v>
      </c>
      <c r="F6509" s="1" t="str">
        <f t="shared" si="1966"/>
        <v>花都四部-凤凰仓</v>
      </c>
      <c r="G6509" s="1" t="str">
        <f t="shared" si="1962"/>
        <v>卡卡杜个人护理店（抖店）</v>
      </c>
      <c r="H6509" s="1" t="str">
        <f t="shared" si="1967"/>
        <v>正常订单</v>
      </c>
      <c r="I6509" s="1" t="str">
        <f t="shared" si="1968"/>
        <v>已发货</v>
      </c>
      <c r="J6509" s="1" t="str">
        <f t="shared" si="1971"/>
        <v>3</v>
      </c>
      <c r="K6509" s="1">
        <v>3</v>
      </c>
      <c r="L6509" s="1" t="s">
        <v>18</v>
      </c>
      <c r="M6509" s="1" t="str">
        <f>"广东省 佛山市 顺德区 杏坛镇"</f>
        <v>广东省 佛山市 顺德区 杏坛镇</v>
      </c>
      <c r="N6509" s="1" t="str">
        <f t="shared" si="1970"/>
        <v>凡华云仓-韵达-抖音</v>
      </c>
      <c r="O6509" s="5">
        <v>320177476486225</v>
      </c>
      <c r="P6509" s="6">
        <v>0.28000000000000003</v>
      </c>
      <c r="Q6509" s="11">
        <v>2</v>
      </c>
      <c r="R6509" s="11"/>
      <c r="S6509" s="11"/>
      <c r="T6509" s="11"/>
      <c r="U6509" s="11">
        <f t="shared" si="1964"/>
        <v>2</v>
      </c>
      <c r="W6509">
        <v>2.2000000000000002</v>
      </c>
      <c r="X6509" s="1" t="s">
        <v>18</v>
      </c>
    </row>
    <row r="6510" spans="1:24" x14ac:dyDescent="0.25">
      <c r="A6510" s="1" t="str">
        <f t="shared" si="1965"/>
        <v>卡卡杜-凤凰仓</v>
      </c>
      <c r="B6510" s="1" t="str">
        <f>"CK202410186891"</f>
        <v>CK202410186891</v>
      </c>
      <c r="C6510" s="1" t="str">
        <f>"DD2024101812451"</f>
        <v>DD2024101812451</v>
      </c>
      <c r="D6510" s="1" t="str">
        <f>"CK202410189569"</f>
        <v>CK202410189569</v>
      </c>
      <c r="E6510" s="1" t="str">
        <f>"6935145273954473402"</f>
        <v>6935145273954473402</v>
      </c>
      <c r="F6510" s="1" t="str">
        <f t="shared" si="1966"/>
        <v>花都四部-凤凰仓</v>
      </c>
      <c r="G6510" s="1" t="str">
        <f t="shared" si="1962"/>
        <v>卡卡杜个人护理店（抖店）</v>
      </c>
      <c r="H6510" s="1" t="str">
        <f t="shared" si="1967"/>
        <v>正常订单</v>
      </c>
      <c r="I6510" s="1" t="str">
        <f t="shared" si="1968"/>
        <v>已发货</v>
      </c>
      <c r="J6510" s="1" t="str">
        <f t="shared" si="1971"/>
        <v>3</v>
      </c>
      <c r="K6510" s="1">
        <v>3</v>
      </c>
      <c r="L6510" s="1" t="s">
        <v>96</v>
      </c>
      <c r="M6510" s="1" t="str">
        <f>"广西壮族自治区 崇左市 扶绥县 新宁镇"</f>
        <v>广西壮族自治区 崇左市 扶绥县 新宁镇</v>
      </c>
      <c r="N6510" s="1" t="str">
        <f t="shared" si="1970"/>
        <v>凡华云仓-韵达-抖音</v>
      </c>
      <c r="O6510" s="5">
        <v>320177476486134</v>
      </c>
      <c r="P6510" s="6">
        <v>0.28000000000000003</v>
      </c>
      <c r="Q6510" s="11">
        <v>2</v>
      </c>
      <c r="R6510" s="11"/>
      <c r="S6510" s="11"/>
      <c r="T6510" s="11"/>
      <c r="U6510" s="11">
        <f t="shared" si="1964"/>
        <v>2</v>
      </c>
      <c r="W6510">
        <v>2.2000000000000002</v>
      </c>
      <c r="X6510" s="1" t="s">
        <v>96</v>
      </c>
    </row>
    <row r="6511" spans="1:24" x14ac:dyDescent="0.25">
      <c r="A6511" s="1" t="str">
        <f t="shared" si="1965"/>
        <v>卡卡杜-凤凰仓</v>
      </c>
      <c r="B6511" s="1" t="str">
        <f>"CK202410186893"</f>
        <v>CK202410186893</v>
      </c>
      <c r="C6511" s="1" t="str">
        <f>"DD2024101812452"</f>
        <v>DD2024101812452</v>
      </c>
      <c r="D6511" s="1" t="str">
        <f>"CK202410189568"</f>
        <v>CK202410189568</v>
      </c>
      <c r="E6511" s="1" t="str">
        <f>"6935156050719872971"</f>
        <v>6935156050719872971</v>
      </c>
      <c r="F6511" s="1" t="str">
        <f t="shared" si="1966"/>
        <v>花都四部-凤凰仓</v>
      </c>
      <c r="G6511" s="1" t="str">
        <f t="shared" si="1962"/>
        <v>卡卡杜个人护理店（抖店）</v>
      </c>
      <c r="H6511" s="1" t="str">
        <f t="shared" si="1967"/>
        <v>正常订单</v>
      </c>
      <c r="I6511" s="1" t="str">
        <f t="shared" si="1968"/>
        <v>已发货</v>
      </c>
      <c r="J6511" s="1" t="str">
        <f t="shared" si="1971"/>
        <v>3</v>
      </c>
      <c r="K6511" s="1">
        <v>3</v>
      </c>
      <c r="L6511" s="1" t="s">
        <v>30</v>
      </c>
      <c r="M6511" s="1" t="str">
        <f>"山东省 烟台市 福山区 大季家街道"</f>
        <v>山东省 烟台市 福山区 大季家街道</v>
      </c>
      <c r="N6511" s="1" t="str">
        <f t="shared" si="1970"/>
        <v>凡华云仓-韵达-抖音</v>
      </c>
      <c r="O6511" s="5">
        <v>320177476486045</v>
      </c>
      <c r="P6511" s="6">
        <v>0.28000000000000003</v>
      </c>
      <c r="Q6511" s="11">
        <v>2</v>
      </c>
      <c r="R6511" s="11"/>
      <c r="S6511" s="11"/>
      <c r="T6511" s="11"/>
      <c r="U6511" s="11">
        <f t="shared" si="1964"/>
        <v>2</v>
      </c>
      <c r="W6511">
        <v>2.2000000000000002</v>
      </c>
      <c r="X6511" s="1" t="s">
        <v>30</v>
      </c>
    </row>
    <row r="6512" spans="1:24" x14ac:dyDescent="0.25">
      <c r="A6512" s="1" t="str">
        <f t="shared" si="1965"/>
        <v>卡卡杜-凤凰仓</v>
      </c>
      <c r="B6512" s="1" t="str">
        <f>"CK202410186894"</f>
        <v>CK202410186894</v>
      </c>
      <c r="C6512" s="1" t="str">
        <f>"DD2024101812453"</f>
        <v>DD2024101812453</v>
      </c>
      <c r="D6512" s="1" t="str">
        <f>"CK202410189567"</f>
        <v>CK202410189567</v>
      </c>
      <c r="E6512" s="1" t="str">
        <f>"6935151578781193328"</f>
        <v>6935151578781193328</v>
      </c>
      <c r="F6512" s="1" t="str">
        <f t="shared" si="1966"/>
        <v>花都四部-凤凰仓</v>
      </c>
      <c r="G6512" s="1" t="str">
        <f t="shared" si="1962"/>
        <v>卡卡杜个人护理店（抖店）</v>
      </c>
      <c r="H6512" s="1" t="str">
        <f t="shared" si="1967"/>
        <v>正常订单</v>
      </c>
      <c r="I6512" s="1" t="str">
        <f t="shared" si="1968"/>
        <v>已发货</v>
      </c>
      <c r="J6512" s="1" t="str">
        <f t="shared" si="1971"/>
        <v>3</v>
      </c>
      <c r="K6512" s="1">
        <v>3</v>
      </c>
      <c r="L6512" s="1" t="s">
        <v>30</v>
      </c>
      <c r="M6512" s="1" t="str">
        <f>"山东省 聊城市 冠县 崇文街道"</f>
        <v>山东省 聊城市 冠县 崇文街道</v>
      </c>
      <c r="N6512" s="1" t="str">
        <f t="shared" si="1970"/>
        <v>凡华云仓-韵达-抖音</v>
      </c>
      <c r="O6512" s="5">
        <v>320177476485919</v>
      </c>
      <c r="P6512" s="6">
        <v>0.28000000000000003</v>
      </c>
      <c r="Q6512" s="11">
        <v>2</v>
      </c>
      <c r="R6512" s="11"/>
      <c r="S6512" s="11"/>
      <c r="T6512" s="11"/>
      <c r="U6512" s="11">
        <f t="shared" si="1964"/>
        <v>2</v>
      </c>
      <c r="W6512">
        <v>2.2000000000000002</v>
      </c>
      <c r="X6512" s="1" t="s">
        <v>30</v>
      </c>
    </row>
    <row r="6513" spans="1:24" x14ac:dyDescent="0.25">
      <c r="A6513" s="1" t="str">
        <f t="shared" si="1965"/>
        <v>卡卡杜-凤凰仓</v>
      </c>
      <c r="B6513" s="1" t="str">
        <f>"CK202410186895"</f>
        <v>CK202410186895</v>
      </c>
      <c r="C6513" s="1" t="str">
        <f>"DD2024101812454"</f>
        <v>DD2024101812454</v>
      </c>
      <c r="D6513" s="1" t="str">
        <f>"CK202410189566"</f>
        <v>CK202410189566</v>
      </c>
      <c r="E6513" s="1" t="str">
        <f>"6935145277999813960"</f>
        <v>6935145277999813960</v>
      </c>
      <c r="F6513" s="1" t="str">
        <f t="shared" si="1966"/>
        <v>花都四部-凤凰仓</v>
      </c>
      <c r="G6513" s="1" t="str">
        <f t="shared" si="1962"/>
        <v>卡卡杜个人护理店（抖店）</v>
      </c>
      <c r="H6513" s="1" t="str">
        <f t="shared" si="1967"/>
        <v>正常订单</v>
      </c>
      <c r="I6513" s="1" t="str">
        <f t="shared" si="1968"/>
        <v>已发货</v>
      </c>
      <c r="J6513" s="1" t="str">
        <f t="shared" si="1971"/>
        <v>3</v>
      </c>
      <c r="K6513" s="1">
        <v>3</v>
      </c>
      <c r="L6513" s="1" t="s">
        <v>36</v>
      </c>
      <c r="M6513" s="1" t="str">
        <f>"安徽省 阜阳市 颍上县 六十铺镇"</f>
        <v>安徽省 阜阳市 颍上县 六十铺镇</v>
      </c>
      <c r="N6513" s="1" t="str">
        <f t="shared" si="1970"/>
        <v>凡华云仓-韵达-抖音</v>
      </c>
      <c r="O6513" s="5">
        <v>320177476485814</v>
      </c>
      <c r="P6513" s="6">
        <v>0.28000000000000003</v>
      </c>
      <c r="Q6513" s="11">
        <v>2</v>
      </c>
      <c r="R6513" s="11"/>
      <c r="S6513" s="11"/>
      <c r="T6513" s="11"/>
      <c r="U6513" s="11">
        <f t="shared" si="1964"/>
        <v>2</v>
      </c>
      <c r="W6513">
        <v>2.2000000000000002</v>
      </c>
      <c r="X6513" s="1" t="s">
        <v>36</v>
      </c>
    </row>
    <row r="6514" spans="1:24" x14ac:dyDescent="0.25">
      <c r="A6514" s="1" t="str">
        <f t="shared" si="1965"/>
        <v>卡卡杜-凤凰仓</v>
      </c>
      <c r="B6514" s="1" t="str">
        <f>"CK202410186896"</f>
        <v>CK202410186896</v>
      </c>
      <c r="C6514" s="1" t="str">
        <f>"DD2024101812455"</f>
        <v>DD2024101812455</v>
      </c>
      <c r="D6514" s="1" t="str">
        <f>"CK202410189565"</f>
        <v>CK202410189565</v>
      </c>
      <c r="E6514" s="1" t="str">
        <f>"6935153784578315583"</f>
        <v>6935153784578315583</v>
      </c>
      <c r="F6514" s="1" t="str">
        <f t="shared" si="1966"/>
        <v>花都四部-凤凰仓</v>
      </c>
      <c r="G6514" s="1" t="str">
        <f t="shared" si="1962"/>
        <v>卡卡杜个人护理店（抖店）</v>
      </c>
      <c r="H6514" s="1" t="str">
        <f t="shared" si="1967"/>
        <v>正常订单</v>
      </c>
      <c r="I6514" s="1" t="str">
        <f t="shared" si="1968"/>
        <v>已发货</v>
      </c>
      <c r="J6514" s="1" t="str">
        <f t="shared" si="1971"/>
        <v>3</v>
      </c>
      <c r="K6514" s="1">
        <v>3</v>
      </c>
      <c r="L6514" s="1" t="s">
        <v>30</v>
      </c>
      <c r="M6514" s="1" t="str">
        <f>"山东省 济南市 天桥区 北园街道"</f>
        <v>山东省 济南市 天桥区 北园街道</v>
      </c>
      <c r="N6514" s="1" t="str">
        <f t="shared" si="1970"/>
        <v>凡华云仓-韵达-抖音</v>
      </c>
      <c r="O6514" s="5">
        <v>320177476485711</v>
      </c>
      <c r="P6514" s="6">
        <v>0.28000000000000003</v>
      </c>
      <c r="Q6514" s="11">
        <v>2</v>
      </c>
      <c r="R6514" s="11"/>
      <c r="S6514" s="11"/>
      <c r="T6514" s="11"/>
      <c r="U6514" s="11">
        <f t="shared" si="1964"/>
        <v>2</v>
      </c>
      <c r="W6514">
        <v>2.2000000000000002</v>
      </c>
      <c r="X6514" s="1" t="s">
        <v>30</v>
      </c>
    </row>
    <row r="6515" spans="1:24" x14ac:dyDescent="0.25">
      <c r="A6515" s="1" t="str">
        <f t="shared" si="1965"/>
        <v>卡卡杜-凤凰仓</v>
      </c>
      <c r="B6515" s="1" t="str">
        <f>"CK202410186897"</f>
        <v>CK202410186897</v>
      </c>
      <c r="C6515" s="1" t="str">
        <f>"DD2024101812456"</f>
        <v>DD2024101812456</v>
      </c>
      <c r="D6515" s="1" t="str">
        <f>"CK202410189564"</f>
        <v>CK202410189564</v>
      </c>
      <c r="E6515" s="1" t="str">
        <f>"6935169716362613858"</f>
        <v>6935169716362613858</v>
      </c>
      <c r="F6515" s="1" t="str">
        <f t="shared" si="1966"/>
        <v>花都四部-凤凰仓</v>
      </c>
      <c r="G6515" s="1" t="str">
        <f t="shared" si="1962"/>
        <v>卡卡杜个人护理店（抖店）</v>
      </c>
      <c r="H6515" s="1" t="str">
        <f t="shared" si="1967"/>
        <v>正常订单</v>
      </c>
      <c r="I6515" s="1" t="str">
        <f t="shared" si="1968"/>
        <v>已发货</v>
      </c>
      <c r="J6515" s="1" t="str">
        <f t="shared" si="1971"/>
        <v>3</v>
      </c>
      <c r="K6515" s="1">
        <v>3</v>
      </c>
      <c r="L6515" s="1" t="s">
        <v>30</v>
      </c>
      <c r="M6515" s="1" t="str">
        <f>"山东省 青岛市 莱西市 水集街道"</f>
        <v>山东省 青岛市 莱西市 水集街道</v>
      </c>
      <c r="N6515" s="1" t="str">
        <f t="shared" si="1970"/>
        <v>凡华云仓-韵达-抖音</v>
      </c>
      <c r="O6515" s="5">
        <v>320177476485610</v>
      </c>
      <c r="P6515" s="6">
        <v>0.28000000000000003</v>
      </c>
      <c r="Q6515" s="11">
        <v>2</v>
      </c>
      <c r="R6515" s="11"/>
      <c r="S6515" s="11"/>
      <c r="T6515" s="11"/>
      <c r="U6515" s="11">
        <f t="shared" si="1964"/>
        <v>2</v>
      </c>
      <c r="W6515">
        <v>2.2000000000000002</v>
      </c>
      <c r="X6515" s="1" t="s">
        <v>30</v>
      </c>
    </row>
    <row r="6516" spans="1:24" x14ac:dyDescent="0.25">
      <c r="A6516" s="1" t="str">
        <f t="shared" si="1965"/>
        <v>卡卡杜-凤凰仓</v>
      </c>
      <c r="B6516" s="1" t="str">
        <f>"CK202410186898"</f>
        <v>CK202410186898</v>
      </c>
      <c r="C6516" s="1" t="str">
        <f>"DD2024101812457"</f>
        <v>DD2024101812457</v>
      </c>
      <c r="D6516" s="1" t="str">
        <f>"CK202410189563"</f>
        <v>CK202410189563</v>
      </c>
      <c r="E6516" s="1" t="str">
        <f>"6935145286812308773"</f>
        <v>6935145286812308773</v>
      </c>
      <c r="F6516" s="1" t="str">
        <f t="shared" si="1966"/>
        <v>花都四部-凤凰仓</v>
      </c>
      <c r="G6516" s="1" t="str">
        <f t="shared" ref="G6516:G6579" si="1972">"卡卡杜个人护理店（抖店）"</f>
        <v>卡卡杜个人护理店（抖店）</v>
      </c>
      <c r="H6516" s="1" t="str">
        <f t="shared" si="1967"/>
        <v>正常订单</v>
      </c>
      <c r="I6516" s="1" t="str">
        <f t="shared" si="1968"/>
        <v>已发货</v>
      </c>
      <c r="J6516" s="1" t="str">
        <f t="shared" si="1971"/>
        <v>3</v>
      </c>
      <c r="K6516" s="1">
        <v>3</v>
      </c>
      <c r="L6516" s="1" t="s">
        <v>32</v>
      </c>
      <c r="M6516" s="1" t="str">
        <f>"陕西省 西安市 长安区 韦曲街道"</f>
        <v>陕西省 西安市 长安区 韦曲街道</v>
      </c>
      <c r="N6516" s="1" t="str">
        <f t="shared" si="1970"/>
        <v>凡华云仓-韵达-抖音</v>
      </c>
      <c r="O6516" s="5">
        <v>320177469924163</v>
      </c>
      <c r="P6516" s="6">
        <v>0.28000000000000003</v>
      </c>
      <c r="Q6516" s="11">
        <v>2</v>
      </c>
      <c r="R6516" s="11"/>
      <c r="S6516" s="11"/>
      <c r="T6516" s="11"/>
      <c r="U6516" s="11">
        <f t="shared" si="1964"/>
        <v>2</v>
      </c>
      <c r="W6516">
        <v>2.2000000000000002</v>
      </c>
      <c r="X6516" s="1" t="s">
        <v>32</v>
      </c>
    </row>
    <row r="6517" spans="1:24" x14ac:dyDescent="0.25">
      <c r="A6517" s="1" t="str">
        <f t="shared" si="1965"/>
        <v>卡卡杜-凤凰仓</v>
      </c>
      <c r="B6517" s="1" t="str">
        <f>"CK202410186899"</f>
        <v>CK202410186899</v>
      </c>
      <c r="C6517" s="1" t="str">
        <f>"DD2024101812458"</f>
        <v>DD2024101812458</v>
      </c>
      <c r="D6517" s="1" t="str">
        <f>"CK202410189562"</f>
        <v>CK202410189562</v>
      </c>
      <c r="E6517" s="1" t="str">
        <f>"6935145233156937248"</f>
        <v>6935145233156937248</v>
      </c>
      <c r="F6517" s="1" t="str">
        <f t="shared" si="1966"/>
        <v>花都四部-凤凰仓</v>
      </c>
      <c r="G6517" s="1" t="str">
        <f t="shared" si="1972"/>
        <v>卡卡杜个人护理店（抖店）</v>
      </c>
      <c r="H6517" s="1" t="str">
        <f t="shared" si="1967"/>
        <v>正常订单</v>
      </c>
      <c r="I6517" s="1" t="str">
        <f t="shared" si="1968"/>
        <v>已发货</v>
      </c>
      <c r="J6517" s="1" t="str">
        <f t="shared" si="1971"/>
        <v>3</v>
      </c>
      <c r="K6517" s="1">
        <v>3</v>
      </c>
      <c r="L6517" s="1" t="s">
        <v>161</v>
      </c>
      <c r="M6517" s="1" t="str">
        <f>"四川省 成都市 双流区 正兴街道"</f>
        <v>四川省 成都市 双流区 正兴街道</v>
      </c>
      <c r="N6517" s="1" t="str">
        <f t="shared" si="1970"/>
        <v>凡华云仓-韵达-抖音</v>
      </c>
      <c r="O6517" s="5">
        <v>320177469924074</v>
      </c>
      <c r="P6517" s="6">
        <v>0.28000000000000003</v>
      </c>
      <c r="Q6517" s="11">
        <v>2</v>
      </c>
      <c r="R6517" s="11"/>
      <c r="S6517" s="11"/>
      <c r="T6517" s="11"/>
      <c r="U6517" s="11">
        <f t="shared" si="1964"/>
        <v>2</v>
      </c>
      <c r="W6517">
        <v>2.2000000000000002</v>
      </c>
      <c r="X6517" s="1" t="s">
        <v>161</v>
      </c>
    </row>
    <row r="6518" spans="1:24" x14ac:dyDescent="0.25">
      <c r="A6518" s="1" t="str">
        <f t="shared" si="1965"/>
        <v>卡卡杜-凤凰仓</v>
      </c>
      <c r="B6518" s="1" t="str">
        <f>"CK202410186900"</f>
        <v>CK202410186900</v>
      </c>
      <c r="C6518" s="1" t="str">
        <f>"DD2024101812459"</f>
        <v>DD2024101812459</v>
      </c>
      <c r="D6518" s="1" t="str">
        <f>"CK202410189561"</f>
        <v>CK202410189561</v>
      </c>
      <c r="E6518" s="1" t="str">
        <f>"6935143439748503033"</f>
        <v>6935143439748503033</v>
      </c>
      <c r="F6518" s="1" t="str">
        <f t="shared" si="1966"/>
        <v>花都四部-凤凰仓</v>
      </c>
      <c r="G6518" s="1" t="str">
        <f t="shared" si="1972"/>
        <v>卡卡杜个人护理店（抖店）</v>
      </c>
      <c r="H6518" s="1" t="str">
        <f t="shared" si="1967"/>
        <v>正常订单</v>
      </c>
      <c r="I6518" s="1" t="str">
        <f t="shared" si="1968"/>
        <v>已发货</v>
      </c>
      <c r="J6518" s="1" t="str">
        <f t="shared" si="1971"/>
        <v>3</v>
      </c>
      <c r="K6518" s="1">
        <v>3</v>
      </c>
      <c r="L6518" s="1" t="s">
        <v>22</v>
      </c>
      <c r="M6518" s="1" t="str">
        <f>"江西省 九江市 柴桑区 沙河街道"</f>
        <v>江西省 九江市 柴桑区 沙河街道</v>
      </c>
      <c r="N6518" s="1" t="str">
        <f t="shared" si="1970"/>
        <v>凡华云仓-韵达-抖音</v>
      </c>
      <c r="O6518" s="5">
        <v>320177469923952</v>
      </c>
      <c r="P6518" s="6">
        <v>0.28000000000000003</v>
      </c>
      <c r="Q6518" s="11">
        <v>2</v>
      </c>
      <c r="R6518" s="11"/>
      <c r="S6518" s="11"/>
      <c r="T6518" s="11"/>
      <c r="U6518" s="11">
        <f t="shared" si="1964"/>
        <v>2</v>
      </c>
      <c r="W6518">
        <v>2.2000000000000002</v>
      </c>
      <c r="X6518" s="1" t="s">
        <v>22</v>
      </c>
    </row>
    <row r="6519" spans="1:24" x14ac:dyDescent="0.25">
      <c r="A6519" s="1" t="str">
        <f t="shared" si="1965"/>
        <v>卡卡杜-凤凰仓</v>
      </c>
      <c r="B6519" s="1" t="str">
        <f>"CK202410186902"</f>
        <v>CK202410186902</v>
      </c>
      <c r="C6519" s="1" t="str">
        <f>"DD2024101812462"</f>
        <v>DD2024101812462</v>
      </c>
      <c r="D6519" s="1" t="str">
        <f>"CK202410189560"</f>
        <v>CK202410189560</v>
      </c>
      <c r="E6519" s="1" t="str">
        <f>"6935143439749420125"</f>
        <v>6935143439749420125</v>
      </c>
      <c r="F6519" s="1" t="str">
        <f t="shared" si="1966"/>
        <v>花都四部-凤凰仓</v>
      </c>
      <c r="G6519" s="1" t="str">
        <f t="shared" si="1972"/>
        <v>卡卡杜个人护理店（抖店）</v>
      </c>
      <c r="H6519" s="1" t="str">
        <f t="shared" si="1967"/>
        <v>正常订单</v>
      </c>
      <c r="I6519" s="1" t="str">
        <f t="shared" si="1968"/>
        <v>已发货</v>
      </c>
      <c r="J6519" s="1" t="str">
        <f t="shared" si="1971"/>
        <v>3</v>
      </c>
      <c r="K6519" s="1">
        <v>3</v>
      </c>
      <c r="L6519" s="1" t="s">
        <v>30</v>
      </c>
      <c r="M6519" s="1" t="str">
        <f>"山东省 济南市 历城区 王舍人街道"</f>
        <v>山东省 济南市 历城区 王舍人街道</v>
      </c>
      <c r="N6519" s="1" t="str">
        <f t="shared" si="1970"/>
        <v>凡华云仓-韵达-抖音</v>
      </c>
      <c r="O6519" s="5">
        <v>320177469923847</v>
      </c>
      <c r="P6519" s="6">
        <v>0.28000000000000003</v>
      </c>
      <c r="Q6519" s="11">
        <v>2</v>
      </c>
      <c r="R6519" s="11"/>
      <c r="S6519" s="11"/>
      <c r="T6519" s="11"/>
      <c r="U6519" s="11">
        <f t="shared" si="1964"/>
        <v>2</v>
      </c>
      <c r="W6519">
        <v>2.2000000000000002</v>
      </c>
      <c r="X6519" s="1" t="s">
        <v>30</v>
      </c>
    </row>
    <row r="6520" spans="1:24" x14ac:dyDescent="0.25">
      <c r="A6520" s="1" t="str">
        <f t="shared" si="1965"/>
        <v>卡卡杜-凤凰仓</v>
      </c>
      <c r="B6520" s="1" t="str">
        <f>"CK2024101810017"</f>
        <v>CK2024101810017</v>
      </c>
      <c r="C6520" s="1" t="str">
        <f>"DD2024101815601"</f>
        <v>DD2024101815601</v>
      </c>
      <c r="D6520" s="1" t="str">
        <f>"CK202410189559"</f>
        <v>CK202410189559</v>
      </c>
      <c r="E6520" s="1" t="str">
        <f>"6935151221903201346"</f>
        <v>6935151221903201346</v>
      </c>
      <c r="F6520" s="1" t="str">
        <f t="shared" si="1966"/>
        <v>花都四部-凤凰仓</v>
      </c>
      <c r="G6520" s="1" t="str">
        <f t="shared" si="1972"/>
        <v>卡卡杜个人护理店（抖店）</v>
      </c>
      <c r="H6520" s="1" t="str">
        <f t="shared" si="1967"/>
        <v>正常订单</v>
      </c>
      <c r="I6520" s="1" t="str">
        <f t="shared" si="1968"/>
        <v>已发货</v>
      </c>
      <c r="J6520" s="1" t="str">
        <f t="shared" si="1971"/>
        <v>3</v>
      </c>
      <c r="K6520" s="1">
        <v>3</v>
      </c>
      <c r="L6520" s="1" t="s">
        <v>13</v>
      </c>
      <c r="M6520" s="1" t="str">
        <f>"江苏省 淮安市 淮安区 淮城街道"</f>
        <v>江苏省 淮安市 淮安区 淮城街道</v>
      </c>
      <c r="N6520" s="1" t="str">
        <f t="shared" si="1970"/>
        <v>凡华云仓-韵达-抖音</v>
      </c>
      <c r="O6520" s="5">
        <v>320177469923744</v>
      </c>
      <c r="P6520" s="6">
        <v>0.28000000000000003</v>
      </c>
      <c r="Q6520" s="11">
        <v>2</v>
      </c>
      <c r="R6520" s="11"/>
      <c r="S6520" s="11"/>
      <c r="T6520" s="11"/>
      <c r="U6520" s="11">
        <f t="shared" si="1964"/>
        <v>2</v>
      </c>
      <c r="W6520">
        <v>2.2000000000000002</v>
      </c>
      <c r="X6520" s="1" t="s">
        <v>13</v>
      </c>
    </row>
    <row r="6521" spans="1:24" x14ac:dyDescent="0.25">
      <c r="A6521" s="1" t="str">
        <f t="shared" si="1965"/>
        <v>卡卡杜-凤凰仓</v>
      </c>
      <c r="B6521" s="1" t="str">
        <f>"CK202410186901"</f>
        <v>CK202410186901</v>
      </c>
      <c r="C6521" s="1" t="str">
        <f>"DD2024101812460"</f>
        <v>DD2024101812460</v>
      </c>
      <c r="D6521" s="1" t="str">
        <f>"CK202410189558"</f>
        <v>CK202410189558</v>
      </c>
      <c r="E6521" s="1" t="str">
        <f>"6935162689315346109"</f>
        <v>6935162689315346109</v>
      </c>
      <c r="F6521" s="1" t="str">
        <f t="shared" si="1966"/>
        <v>花都四部-凤凰仓</v>
      </c>
      <c r="G6521" s="1" t="str">
        <f t="shared" si="1972"/>
        <v>卡卡杜个人护理店（抖店）</v>
      </c>
      <c r="H6521" s="1" t="str">
        <f t="shared" si="1967"/>
        <v>正常订单</v>
      </c>
      <c r="I6521" s="1" t="str">
        <f t="shared" si="1968"/>
        <v>已发货</v>
      </c>
      <c r="J6521" s="1" t="str">
        <f t="shared" si="1971"/>
        <v>3</v>
      </c>
      <c r="K6521" s="1">
        <v>3</v>
      </c>
      <c r="L6521" s="1" t="s">
        <v>96</v>
      </c>
      <c r="M6521" s="1" t="str">
        <f>"广西壮族自治区 梧州市 藤县 太平镇"</f>
        <v>广西壮族自治区 梧州市 藤县 太平镇</v>
      </c>
      <c r="N6521" s="1" t="str">
        <f t="shared" si="1970"/>
        <v>凡华云仓-韵达-抖音</v>
      </c>
      <c r="O6521" s="5">
        <v>320177469923643</v>
      </c>
      <c r="P6521" s="6">
        <v>0.28000000000000003</v>
      </c>
      <c r="Q6521" s="11">
        <v>2</v>
      </c>
      <c r="R6521" s="11"/>
      <c r="S6521" s="11"/>
      <c r="T6521" s="11"/>
      <c r="U6521" s="11">
        <f t="shared" si="1964"/>
        <v>2</v>
      </c>
      <c r="W6521">
        <v>2.2000000000000002</v>
      </c>
      <c r="X6521" s="1" t="s">
        <v>96</v>
      </c>
    </row>
    <row r="6522" spans="1:24" x14ac:dyDescent="0.25">
      <c r="A6522" s="1" t="str">
        <f t="shared" si="1965"/>
        <v>卡卡杜-凤凰仓</v>
      </c>
      <c r="B6522" s="1" t="str">
        <f>"CK202410186904"</f>
        <v>CK202410186904</v>
      </c>
      <c r="C6522" s="1" t="str">
        <f>"DD2024101812461"</f>
        <v>DD2024101812461</v>
      </c>
      <c r="D6522" s="1" t="str">
        <f>"CK202410189557"</f>
        <v>CK202410189557</v>
      </c>
      <c r="E6522" s="1" t="str">
        <f>"6935155766726104471"</f>
        <v>6935155766726104471</v>
      </c>
      <c r="F6522" s="1" t="str">
        <f t="shared" si="1966"/>
        <v>花都四部-凤凰仓</v>
      </c>
      <c r="G6522" s="1" t="str">
        <f t="shared" si="1972"/>
        <v>卡卡杜个人护理店（抖店）</v>
      </c>
      <c r="H6522" s="1" t="str">
        <f t="shared" si="1967"/>
        <v>正常订单</v>
      </c>
      <c r="I6522" s="1" t="str">
        <f t="shared" si="1968"/>
        <v>已发货</v>
      </c>
      <c r="J6522" s="1" t="str">
        <f t="shared" si="1971"/>
        <v>3</v>
      </c>
      <c r="K6522" s="1">
        <v>3</v>
      </c>
      <c r="L6522" s="1" t="s">
        <v>30</v>
      </c>
      <c r="M6522" s="1" t="str">
        <f>"山东省 聊城市 东昌府区 东城街道"</f>
        <v>山东省 聊城市 东昌府区 东城街道</v>
      </c>
      <c r="N6522" s="1" t="str">
        <f t="shared" si="1970"/>
        <v>凡华云仓-韵达-抖音</v>
      </c>
      <c r="O6522" s="5">
        <v>320177469923544</v>
      </c>
      <c r="P6522" s="6">
        <v>0.28000000000000003</v>
      </c>
      <c r="Q6522" s="11">
        <v>2</v>
      </c>
      <c r="R6522" s="11"/>
      <c r="S6522" s="11"/>
      <c r="T6522" s="11"/>
      <c r="U6522" s="11">
        <f t="shared" si="1964"/>
        <v>2</v>
      </c>
      <c r="W6522">
        <v>2.2000000000000002</v>
      </c>
      <c r="X6522" s="1" t="s">
        <v>30</v>
      </c>
    </row>
    <row r="6523" spans="1:24" x14ac:dyDescent="0.25">
      <c r="A6523" s="1" t="str">
        <f t="shared" si="1965"/>
        <v>卡卡杜-凤凰仓</v>
      </c>
      <c r="B6523" s="1" t="str">
        <f>"CK202410186905"</f>
        <v>CK202410186905</v>
      </c>
      <c r="C6523" s="1" t="str">
        <f>"DD2024101812463"</f>
        <v>DD2024101812463</v>
      </c>
      <c r="D6523" s="1" t="str">
        <f>"CK202410189556"</f>
        <v>CK202410189556</v>
      </c>
      <c r="E6523" s="1" t="str">
        <f>"6935162793388610974"</f>
        <v>6935162793388610974</v>
      </c>
      <c r="F6523" s="1" t="str">
        <f t="shared" si="1966"/>
        <v>花都四部-凤凰仓</v>
      </c>
      <c r="G6523" s="1" t="str">
        <f t="shared" si="1972"/>
        <v>卡卡杜个人护理店（抖店）</v>
      </c>
      <c r="H6523" s="1" t="str">
        <f t="shared" si="1967"/>
        <v>正常订单</v>
      </c>
      <c r="I6523" s="1" t="str">
        <f t="shared" si="1968"/>
        <v>已发货</v>
      </c>
      <c r="J6523" s="1" t="str">
        <f t="shared" si="1971"/>
        <v>3</v>
      </c>
      <c r="K6523" s="1">
        <v>3</v>
      </c>
      <c r="L6523" s="1" t="s">
        <v>22</v>
      </c>
      <c r="M6523" s="1" t="str">
        <f>"江西省 九江市 都昌县 都昌镇"</f>
        <v>江西省 九江市 都昌县 都昌镇</v>
      </c>
      <c r="N6523" s="1" t="str">
        <f t="shared" si="1970"/>
        <v>凡华云仓-韵达-抖音</v>
      </c>
      <c r="O6523" s="5">
        <v>320177469923447</v>
      </c>
      <c r="P6523" s="6">
        <v>0.28000000000000003</v>
      </c>
      <c r="Q6523" s="11">
        <v>2</v>
      </c>
      <c r="R6523" s="11"/>
      <c r="S6523" s="11"/>
      <c r="T6523" s="11"/>
      <c r="U6523" s="11">
        <f t="shared" si="1964"/>
        <v>2</v>
      </c>
      <c r="W6523">
        <v>2.2000000000000002</v>
      </c>
      <c r="X6523" s="1" t="s">
        <v>22</v>
      </c>
    </row>
    <row r="6524" spans="1:24" x14ac:dyDescent="0.25">
      <c r="A6524" s="1" t="str">
        <f t="shared" si="1965"/>
        <v>卡卡杜-凤凰仓</v>
      </c>
      <c r="B6524" s="1" t="str">
        <f>"CK202410186907"</f>
        <v>CK202410186907</v>
      </c>
      <c r="C6524" s="1" t="str">
        <f>"DD2024101812465"</f>
        <v>DD2024101812465</v>
      </c>
      <c r="D6524" s="1" t="str">
        <f>"CK202410189555"</f>
        <v>CK202410189555</v>
      </c>
      <c r="E6524" s="1" t="str">
        <f>"6935147355961431758"</f>
        <v>6935147355961431758</v>
      </c>
      <c r="F6524" s="1" t="str">
        <f t="shared" si="1966"/>
        <v>花都四部-凤凰仓</v>
      </c>
      <c r="G6524" s="1" t="str">
        <f t="shared" si="1972"/>
        <v>卡卡杜个人护理店（抖店）</v>
      </c>
      <c r="H6524" s="1" t="str">
        <f t="shared" si="1967"/>
        <v>正常订单</v>
      </c>
      <c r="I6524" s="1" t="str">
        <f t="shared" si="1968"/>
        <v>已发货</v>
      </c>
      <c r="J6524" s="1" t="str">
        <f t="shared" si="1971"/>
        <v>3</v>
      </c>
      <c r="K6524" s="1">
        <v>3</v>
      </c>
      <c r="L6524" s="1" t="s">
        <v>80</v>
      </c>
      <c r="M6524" s="1" t="str">
        <f>"河南省 郑州市 中原区 桐柏路街道"</f>
        <v>河南省 郑州市 中原区 桐柏路街道</v>
      </c>
      <c r="N6524" s="1" t="str">
        <f t="shared" si="1970"/>
        <v>凡华云仓-韵达-抖音</v>
      </c>
      <c r="O6524" s="5">
        <v>320177469923352</v>
      </c>
      <c r="P6524" s="6">
        <v>0.28000000000000003</v>
      </c>
      <c r="Q6524" s="11">
        <v>2</v>
      </c>
      <c r="R6524" s="11"/>
      <c r="S6524" s="11"/>
      <c r="T6524" s="11"/>
      <c r="U6524" s="11">
        <f t="shared" si="1964"/>
        <v>2</v>
      </c>
      <c r="W6524">
        <v>2.2000000000000002</v>
      </c>
      <c r="X6524" s="1" t="s">
        <v>80</v>
      </c>
    </row>
    <row r="6525" spans="1:24" x14ac:dyDescent="0.25">
      <c r="A6525" s="1" t="str">
        <f t="shared" si="1965"/>
        <v>卡卡杜-凤凰仓</v>
      </c>
      <c r="B6525" s="1" t="str">
        <f>"CK202410186909"</f>
        <v>CK202410186909</v>
      </c>
      <c r="C6525" s="1" t="str">
        <f>"DD2024101812467"</f>
        <v>DD2024101812467</v>
      </c>
      <c r="D6525" s="1" t="str">
        <f>"CK202410189554"</f>
        <v>CK202410189554</v>
      </c>
      <c r="E6525" s="1" t="str">
        <f>"6935151555872757165"</f>
        <v>6935151555872757165</v>
      </c>
      <c r="F6525" s="1" t="str">
        <f t="shared" si="1966"/>
        <v>花都四部-凤凰仓</v>
      </c>
      <c r="G6525" s="1" t="str">
        <f t="shared" si="1972"/>
        <v>卡卡杜个人护理店（抖店）</v>
      </c>
      <c r="H6525" s="1" t="str">
        <f t="shared" si="1967"/>
        <v>正常订单</v>
      </c>
      <c r="I6525" s="1" t="str">
        <f t="shared" si="1968"/>
        <v>已发货</v>
      </c>
      <c r="J6525" s="1" t="str">
        <f t="shared" si="1971"/>
        <v>3</v>
      </c>
      <c r="K6525" s="1">
        <v>3</v>
      </c>
      <c r="L6525" s="1" t="s">
        <v>18</v>
      </c>
      <c r="M6525" s="1" t="str">
        <f>"广东省 深圳市 光明区 马田街道"</f>
        <v>广东省 深圳市 光明区 马田街道</v>
      </c>
      <c r="N6525" s="1" t="str">
        <f t="shared" si="1970"/>
        <v>凡华云仓-韵达-抖音</v>
      </c>
      <c r="O6525" s="5">
        <v>320177469923259</v>
      </c>
      <c r="P6525" s="6">
        <v>0.28000000000000003</v>
      </c>
      <c r="Q6525" s="11">
        <v>2</v>
      </c>
      <c r="R6525" s="11"/>
      <c r="S6525" s="11"/>
      <c r="T6525" s="11"/>
      <c r="U6525" s="11">
        <f t="shared" si="1964"/>
        <v>2</v>
      </c>
      <c r="W6525">
        <v>2.2000000000000002</v>
      </c>
      <c r="X6525" s="1" t="s">
        <v>18</v>
      </c>
    </row>
    <row r="6526" spans="1:24" x14ac:dyDescent="0.25">
      <c r="A6526" s="1" t="str">
        <f t="shared" si="1965"/>
        <v>卡卡杜-凤凰仓</v>
      </c>
      <c r="B6526" s="1" t="str">
        <f>"CK202410186903"</f>
        <v>CK202410186903</v>
      </c>
      <c r="C6526" s="1" t="str">
        <f>"DD2024101812468"</f>
        <v>DD2024101812468</v>
      </c>
      <c r="D6526" s="1" t="str">
        <f>"CK202410189553"</f>
        <v>CK202410189553</v>
      </c>
      <c r="E6526" s="1" t="str">
        <f>"6935147339747300581"</f>
        <v>6935147339747300581</v>
      </c>
      <c r="F6526" s="1" t="str">
        <f t="shared" si="1966"/>
        <v>花都四部-凤凰仓</v>
      </c>
      <c r="G6526" s="1" t="str">
        <f t="shared" si="1972"/>
        <v>卡卡杜个人护理店（抖店）</v>
      </c>
      <c r="H6526" s="1" t="str">
        <f t="shared" si="1967"/>
        <v>正常订单</v>
      </c>
      <c r="I6526" s="1" t="str">
        <f t="shared" si="1968"/>
        <v>已发货</v>
      </c>
      <c r="J6526" s="1" t="str">
        <f t="shared" si="1971"/>
        <v>3</v>
      </c>
      <c r="K6526" s="1">
        <v>3</v>
      </c>
      <c r="L6526" s="1" t="s">
        <v>27</v>
      </c>
      <c r="M6526" s="1" t="str">
        <f>"贵州省 黔南布依族苗族自治州 独山县 百泉镇"</f>
        <v>贵州省 黔南布依族苗族自治州 独山县 百泉镇</v>
      </c>
      <c r="N6526" s="1" t="str">
        <f t="shared" si="1970"/>
        <v>凡华云仓-韵达-抖音</v>
      </c>
      <c r="O6526" s="5">
        <v>320177473604359</v>
      </c>
      <c r="P6526" s="6">
        <v>0.28000000000000003</v>
      </c>
      <c r="Q6526" s="11">
        <v>2</v>
      </c>
      <c r="R6526" s="11"/>
      <c r="S6526" s="11"/>
      <c r="T6526" s="11"/>
      <c r="U6526" s="11">
        <f t="shared" si="1964"/>
        <v>2</v>
      </c>
      <c r="W6526">
        <v>2.2000000000000002</v>
      </c>
      <c r="X6526" s="1" t="s">
        <v>27</v>
      </c>
    </row>
    <row r="6527" spans="1:24" x14ac:dyDescent="0.25">
      <c r="A6527" s="1" t="str">
        <f t="shared" si="1965"/>
        <v>卡卡杜-凤凰仓</v>
      </c>
      <c r="B6527" s="1" t="str">
        <f>"CK2024101810018"</f>
        <v>CK2024101810018</v>
      </c>
      <c r="C6527" s="1" t="str">
        <f>"DD2024101815602"</f>
        <v>DD2024101815602</v>
      </c>
      <c r="D6527" s="1" t="str">
        <f>"CK202410189552"</f>
        <v>CK202410189552</v>
      </c>
      <c r="E6527" s="1" t="str">
        <f>"6935158297452156507"</f>
        <v>6935158297452156507</v>
      </c>
      <c r="F6527" s="1" t="str">
        <f t="shared" si="1966"/>
        <v>花都四部-凤凰仓</v>
      </c>
      <c r="G6527" s="1" t="str">
        <f t="shared" si="1972"/>
        <v>卡卡杜个人护理店（抖店）</v>
      </c>
      <c r="H6527" s="1" t="str">
        <f t="shared" si="1967"/>
        <v>正常订单</v>
      </c>
      <c r="I6527" s="1" t="str">
        <f t="shared" si="1968"/>
        <v>已发货</v>
      </c>
      <c r="J6527" s="1" t="str">
        <f t="shared" si="1971"/>
        <v>3</v>
      </c>
      <c r="K6527" s="1">
        <v>3</v>
      </c>
      <c r="L6527" s="1" t="s">
        <v>13</v>
      </c>
      <c r="M6527" s="1" t="str">
        <f>"江苏省 苏州市 昆山市 张浦镇"</f>
        <v>江苏省 苏州市 昆山市 张浦镇</v>
      </c>
      <c r="N6527" s="1" t="str">
        <f t="shared" si="1970"/>
        <v>凡华云仓-韵达-抖音</v>
      </c>
      <c r="O6527" s="5">
        <v>320177473604266</v>
      </c>
      <c r="P6527" s="6">
        <v>0.28000000000000003</v>
      </c>
      <c r="Q6527" s="11">
        <v>2</v>
      </c>
      <c r="R6527" s="11"/>
      <c r="S6527" s="11"/>
      <c r="T6527" s="11"/>
      <c r="U6527" s="11">
        <f t="shared" si="1964"/>
        <v>2</v>
      </c>
      <c r="W6527">
        <v>2.2000000000000002</v>
      </c>
      <c r="X6527" s="1" t="s">
        <v>13</v>
      </c>
    </row>
    <row r="6528" spans="1:24" x14ac:dyDescent="0.25">
      <c r="A6528" s="1" t="str">
        <f t="shared" si="1965"/>
        <v>卡卡杜-凤凰仓</v>
      </c>
      <c r="B6528" s="1" t="str">
        <f>"CK202410186906"</f>
        <v>CK202410186906</v>
      </c>
      <c r="C6528" s="1" t="str">
        <f>"DD2024101812464"</f>
        <v>DD2024101812464</v>
      </c>
      <c r="D6528" s="1" t="str">
        <f>"CK202410189551"</f>
        <v>CK202410189551</v>
      </c>
      <c r="E6528" s="1" t="str">
        <f>"6935160719012337193"</f>
        <v>6935160719012337193</v>
      </c>
      <c r="F6528" s="1" t="str">
        <f t="shared" si="1966"/>
        <v>花都四部-凤凰仓</v>
      </c>
      <c r="G6528" s="1" t="str">
        <f t="shared" si="1972"/>
        <v>卡卡杜个人护理店（抖店）</v>
      </c>
      <c r="H6528" s="1" t="str">
        <f t="shared" si="1967"/>
        <v>正常订单</v>
      </c>
      <c r="I6528" s="1" t="str">
        <f t="shared" si="1968"/>
        <v>已发货</v>
      </c>
      <c r="J6528" s="1" t="str">
        <f t="shared" si="1971"/>
        <v>3</v>
      </c>
      <c r="K6528" s="1">
        <v>3</v>
      </c>
      <c r="L6528" s="1" t="s">
        <v>16</v>
      </c>
      <c r="M6528" s="1" t="str">
        <f>"河北省 衡水市 枣强县 大营镇"</f>
        <v>河北省 衡水市 枣强县 大营镇</v>
      </c>
      <c r="N6528" s="1" t="str">
        <f t="shared" si="1970"/>
        <v>凡华云仓-韵达-抖音</v>
      </c>
      <c r="O6528" s="5">
        <v>320177473604175</v>
      </c>
      <c r="P6528" s="6">
        <v>0.28000000000000003</v>
      </c>
      <c r="Q6528" s="11">
        <v>2</v>
      </c>
      <c r="R6528" s="11"/>
      <c r="S6528" s="11"/>
      <c r="T6528" s="11"/>
      <c r="U6528" s="11">
        <f t="shared" si="1964"/>
        <v>2</v>
      </c>
      <c r="W6528">
        <v>2.2000000000000002</v>
      </c>
      <c r="X6528" s="1" t="s">
        <v>16</v>
      </c>
    </row>
    <row r="6529" spans="1:24" x14ac:dyDescent="0.25">
      <c r="A6529" s="1" t="str">
        <f t="shared" si="1965"/>
        <v>卡卡杜-凤凰仓</v>
      </c>
      <c r="B6529" s="1" t="str">
        <f>"CK202410186908"</f>
        <v>CK202410186908</v>
      </c>
      <c r="C6529" s="1" t="str">
        <f>"DD2024101812466"</f>
        <v>DD2024101812466</v>
      </c>
      <c r="D6529" s="1" t="str">
        <f>"CK202410189550"</f>
        <v>CK202410189550</v>
      </c>
      <c r="E6529" s="1" t="str">
        <f>"6935167453238466458"</f>
        <v>6935167453238466458</v>
      </c>
      <c r="F6529" s="1" t="str">
        <f t="shared" si="1966"/>
        <v>花都四部-凤凰仓</v>
      </c>
      <c r="G6529" s="1" t="str">
        <f t="shared" si="1972"/>
        <v>卡卡杜个人护理店（抖店）</v>
      </c>
      <c r="H6529" s="1" t="str">
        <f t="shared" si="1967"/>
        <v>正常订单</v>
      </c>
      <c r="I6529" s="1" t="str">
        <f t="shared" si="1968"/>
        <v>已发货</v>
      </c>
      <c r="J6529" s="1" t="str">
        <f t="shared" si="1971"/>
        <v>3</v>
      </c>
      <c r="K6529" s="1">
        <v>3</v>
      </c>
      <c r="L6529" s="1" t="s">
        <v>80</v>
      </c>
      <c r="M6529" s="1" t="str">
        <f>"河南省 商丘市 永城市 演集街道"</f>
        <v>河南省 商丘市 永城市 演集街道</v>
      </c>
      <c r="N6529" s="1" t="str">
        <f t="shared" si="1970"/>
        <v>凡华云仓-韵达-抖音</v>
      </c>
      <c r="O6529" s="5">
        <v>320177473604086</v>
      </c>
      <c r="P6529" s="6">
        <v>0.28000000000000003</v>
      </c>
      <c r="Q6529" s="11">
        <v>2</v>
      </c>
      <c r="R6529" s="11"/>
      <c r="S6529" s="11"/>
      <c r="T6529" s="11"/>
      <c r="U6529" s="11">
        <f t="shared" si="1964"/>
        <v>2</v>
      </c>
      <c r="W6529">
        <v>2.2000000000000002</v>
      </c>
      <c r="X6529" s="1" t="s">
        <v>80</v>
      </c>
    </row>
    <row r="6530" spans="1:24" x14ac:dyDescent="0.25">
      <c r="A6530" s="1" t="str">
        <f t="shared" si="1965"/>
        <v>卡卡杜-凤凰仓</v>
      </c>
      <c r="B6530" s="1" t="str">
        <f>"CK202410186910"</f>
        <v>CK202410186910</v>
      </c>
      <c r="C6530" s="1" t="str">
        <f>"DD2024101812469"</f>
        <v>DD2024101812469</v>
      </c>
      <c r="D6530" s="1" t="str">
        <f>"CK202410189549"</f>
        <v>CK202410189549</v>
      </c>
      <c r="E6530" s="1" t="str">
        <f>"6935156040602424372"</f>
        <v>6935156040602424372</v>
      </c>
      <c r="F6530" s="1" t="str">
        <f t="shared" si="1966"/>
        <v>花都四部-凤凰仓</v>
      </c>
      <c r="G6530" s="1" t="str">
        <f t="shared" si="1972"/>
        <v>卡卡杜个人护理店（抖店）</v>
      </c>
      <c r="H6530" s="1" t="str">
        <f t="shared" si="1967"/>
        <v>正常订单</v>
      </c>
      <c r="I6530" s="1" t="str">
        <f t="shared" si="1968"/>
        <v>已发货</v>
      </c>
      <c r="J6530" s="1" t="str">
        <f t="shared" si="1971"/>
        <v>3</v>
      </c>
      <c r="K6530" s="1">
        <v>3</v>
      </c>
      <c r="L6530" s="1" t="s">
        <v>218</v>
      </c>
      <c r="M6530" s="1" t="str">
        <f>"天津 天津市 北辰区 大张庄镇"</f>
        <v>天津 天津市 北辰区 大张庄镇</v>
      </c>
      <c r="N6530" s="1" t="str">
        <f t="shared" si="1970"/>
        <v>凡华云仓-韵达-抖音</v>
      </c>
      <c r="O6530" s="5">
        <v>320177473603964</v>
      </c>
      <c r="P6530" s="6">
        <v>0.28000000000000003</v>
      </c>
      <c r="Q6530" s="11">
        <v>2</v>
      </c>
      <c r="R6530" s="11"/>
      <c r="S6530" s="11"/>
      <c r="T6530" s="11"/>
      <c r="U6530" s="11">
        <f t="shared" si="1964"/>
        <v>2</v>
      </c>
      <c r="W6530">
        <v>2.2000000000000002</v>
      </c>
      <c r="X6530" s="1" t="s">
        <v>218</v>
      </c>
    </row>
    <row r="6531" spans="1:24" x14ac:dyDescent="0.25">
      <c r="A6531" s="1" t="str">
        <f t="shared" si="1965"/>
        <v>卡卡杜-凤凰仓</v>
      </c>
      <c r="B6531" s="1" t="str">
        <f>"CK202410186911"</f>
        <v>CK202410186911</v>
      </c>
      <c r="C6531" s="1" t="str">
        <f>"DD2024101812471"</f>
        <v>DD2024101812471</v>
      </c>
      <c r="D6531" s="1" t="str">
        <f>"CK202410189548"</f>
        <v>CK202410189548</v>
      </c>
      <c r="E6531" s="1" t="str">
        <f>"6935167383898035730"</f>
        <v>6935167383898035730</v>
      </c>
      <c r="F6531" s="1" t="str">
        <f t="shared" si="1966"/>
        <v>花都四部-凤凰仓</v>
      </c>
      <c r="G6531" s="1" t="str">
        <f t="shared" si="1972"/>
        <v>卡卡杜个人护理店（抖店）</v>
      </c>
      <c r="H6531" s="1" t="str">
        <f t="shared" si="1967"/>
        <v>正常订单</v>
      </c>
      <c r="I6531" s="1" t="str">
        <f t="shared" si="1968"/>
        <v>已发货</v>
      </c>
      <c r="J6531" s="1" t="str">
        <f t="shared" si="1971"/>
        <v>3</v>
      </c>
      <c r="K6531" s="1">
        <v>3</v>
      </c>
      <c r="L6531" s="1" t="s">
        <v>41</v>
      </c>
      <c r="M6531" s="1" t="str">
        <f>"湖北省 襄阳市 宜城市 鄢城街道"</f>
        <v>湖北省 襄阳市 宜城市 鄢城街道</v>
      </c>
      <c r="N6531" s="1" t="str">
        <f t="shared" si="1970"/>
        <v>凡华云仓-韵达-抖音</v>
      </c>
      <c r="O6531" s="5">
        <v>320177473603859</v>
      </c>
      <c r="P6531" s="6">
        <v>0.28000000000000003</v>
      </c>
      <c r="Q6531" s="11">
        <v>2</v>
      </c>
      <c r="R6531" s="11"/>
      <c r="S6531" s="11"/>
      <c r="T6531" s="11"/>
      <c r="U6531" s="11">
        <f t="shared" ref="U6531:U6594" si="1973">T6531+S6531+R6531+Q6531</f>
        <v>2</v>
      </c>
      <c r="W6531">
        <v>2.2000000000000002</v>
      </c>
      <c r="X6531" s="1" t="s">
        <v>41</v>
      </c>
    </row>
    <row r="6532" spans="1:24" x14ac:dyDescent="0.25">
      <c r="A6532" s="1" t="str">
        <f t="shared" si="1965"/>
        <v>卡卡杜-凤凰仓</v>
      </c>
      <c r="B6532" s="1" t="str">
        <f>"CK202410189248"</f>
        <v>CK202410189248</v>
      </c>
      <c r="C6532" s="1" t="str">
        <f>"DD2024101814830"</f>
        <v>DD2024101814830</v>
      </c>
      <c r="D6532" s="1" t="str">
        <f>"CK202410189547"</f>
        <v>CK202410189547</v>
      </c>
      <c r="E6532" s="1" t="str">
        <f>"6935143351005484880"</f>
        <v>6935143351005484880</v>
      </c>
      <c r="F6532" s="1" t="str">
        <f t="shared" si="1966"/>
        <v>花都四部-凤凰仓</v>
      </c>
      <c r="G6532" s="1" t="str">
        <f t="shared" si="1972"/>
        <v>卡卡杜个人护理店（抖店）</v>
      </c>
      <c r="H6532" s="1" t="str">
        <f t="shared" si="1967"/>
        <v>正常订单</v>
      </c>
      <c r="I6532" s="1" t="str">
        <f t="shared" si="1968"/>
        <v>已发货</v>
      </c>
      <c r="J6532" s="1" t="str">
        <f t="shared" si="1971"/>
        <v>3</v>
      </c>
      <c r="K6532" s="1">
        <v>3</v>
      </c>
      <c r="L6532" s="1" t="s">
        <v>161</v>
      </c>
      <c r="M6532" s="1" t="str">
        <f>"四川省 雅安市 雨城区 东城街道"</f>
        <v>四川省 雅安市 雨城区 东城街道</v>
      </c>
      <c r="N6532" s="1" t="str">
        <f t="shared" si="1970"/>
        <v>凡华云仓-韵达-抖音</v>
      </c>
      <c r="O6532" s="5">
        <v>320177473603756</v>
      </c>
      <c r="P6532" s="6">
        <v>0.28000000000000003</v>
      </c>
      <c r="Q6532" s="11">
        <v>2</v>
      </c>
      <c r="R6532" s="11"/>
      <c r="S6532" s="11"/>
      <c r="T6532" s="11"/>
      <c r="U6532" s="11">
        <f t="shared" si="1973"/>
        <v>2</v>
      </c>
      <c r="W6532">
        <v>2.2000000000000002</v>
      </c>
      <c r="X6532" s="1" t="s">
        <v>161</v>
      </c>
    </row>
    <row r="6533" spans="1:24" x14ac:dyDescent="0.25">
      <c r="A6533" s="1" t="str">
        <f t="shared" ref="A6533:A6596" si="1974">"卡卡杜-凤凰仓"</f>
        <v>卡卡杜-凤凰仓</v>
      </c>
      <c r="B6533" s="1" t="str">
        <f>"CK2024101810019"</f>
        <v>CK2024101810019</v>
      </c>
      <c r="C6533" s="1" t="str">
        <f>"DD2024101815603"</f>
        <v>DD2024101815603</v>
      </c>
      <c r="D6533" s="1" t="str">
        <f>"CK202410189546"</f>
        <v>CK202410189546</v>
      </c>
      <c r="E6533" s="1" t="str">
        <f>"6935167389599667433"</f>
        <v>6935167389599667433</v>
      </c>
      <c r="F6533" s="1" t="str">
        <f t="shared" ref="F6533:F6596" si="1975">"花都四部-凤凰仓"</f>
        <v>花都四部-凤凰仓</v>
      </c>
      <c r="G6533" s="1" t="str">
        <f t="shared" si="1972"/>
        <v>卡卡杜个人护理店（抖店）</v>
      </c>
      <c r="H6533" s="1" t="str">
        <f t="shared" ref="H6533:H6596" si="1976">"正常订单"</f>
        <v>正常订单</v>
      </c>
      <c r="I6533" s="1" t="str">
        <f t="shared" ref="I6533:I6596" si="1977">"已发货"</f>
        <v>已发货</v>
      </c>
      <c r="J6533" s="1" t="str">
        <f t="shared" si="1971"/>
        <v>3</v>
      </c>
      <c r="K6533" s="1">
        <v>3</v>
      </c>
      <c r="L6533" s="1" t="s">
        <v>60</v>
      </c>
      <c r="M6533" s="1" t="str">
        <f>"云南省 保山市 昌宁县 珠街彝族乡"</f>
        <v>云南省 保山市 昌宁县 珠街彝族乡</v>
      </c>
      <c r="N6533" s="1" t="str">
        <f t="shared" si="1970"/>
        <v>凡华云仓-韵达-抖音</v>
      </c>
      <c r="O6533" s="5">
        <v>320177473603655</v>
      </c>
      <c r="P6533" s="6">
        <v>0.28000000000000003</v>
      </c>
      <c r="Q6533" s="11">
        <v>2</v>
      </c>
      <c r="R6533" s="11"/>
      <c r="S6533" s="11"/>
      <c r="T6533" s="11"/>
      <c r="U6533" s="11">
        <f t="shared" si="1973"/>
        <v>2</v>
      </c>
      <c r="W6533">
        <v>2.2000000000000002</v>
      </c>
      <c r="X6533" s="1" t="s">
        <v>60</v>
      </c>
    </row>
    <row r="6534" spans="1:24" x14ac:dyDescent="0.25">
      <c r="A6534" s="1" t="str">
        <f t="shared" si="1974"/>
        <v>卡卡杜-凤凰仓</v>
      </c>
      <c r="B6534" s="1" t="str">
        <f>"CK2024101810020"</f>
        <v>CK2024101810020</v>
      </c>
      <c r="C6534" s="1" t="str">
        <f>"DD2024101815604"</f>
        <v>DD2024101815604</v>
      </c>
      <c r="D6534" s="1" t="str">
        <f>"CK202410189545"</f>
        <v>CK202410189545</v>
      </c>
      <c r="E6534" s="1" t="str">
        <f>"6935171921369306674"</f>
        <v>6935171921369306674</v>
      </c>
      <c r="F6534" s="1" t="str">
        <f t="shared" si="1975"/>
        <v>花都四部-凤凰仓</v>
      </c>
      <c r="G6534" s="1" t="str">
        <f t="shared" si="1972"/>
        <v>卡卡杜个人护理店（抖店）</v>
      </c>
      <c r="H6534" s="1" t="str">
        <f t="shared" si="1976"/>
        <v>正常订单</v>
      </c>
      <c r="I6534" s="1" t="str">
        <f t="shared" si="1977"/>
        <v>已发货</v>
      </c>
      <c r="J6534" s="1" t="str">
        <f t="shared" si="1971"/>
        <v>3</v>
      </c>
      <c r="K6534" s="1">
        <v>3</v>
      </c>
      <c r="L6534" s="1" t="s">
        <v>161</v>
      </c>
      <c r="M6534" s="1" t="str">
        <f>"四川省 达州市 通川区 蒲家镇"</f>
        <v>四川省 达州市 通川区 蒲家镇</v>
      </c>
      <c r="N6534" s="1" t="str">
        <f t="shared" si="1970"/>
        <v>凡华云仓-韵达-抖音</v>
      </c>
      <c r="O6534" s="5">
        <v>320177473603556</v>
      </c>
      <c r="P6534" s="6">
        <v>0.28000000000000003</v>
      </c>
      <c r="Q6534" s="11">
        <v>2</v>
      </c>
      <c r="R6534" s="11"/>
      <c r="S6534" s="11"/>
      <c r="T6534" s="11"/>
      <c r="U6534" s="11">
        <f t="shared" si="1973"/>
        <v>2</v>
      </c>
      <c r="W6534">
        <v>2.2000000000000002</v>
      </c>
      <c r="X6534" s="1" t="s">
        <v>161</v>
      </c>
    </row>
    <row r="6535" spans="1:24" x14ac:dyDescent="0.25">
      <c r="A6535" s="1" t="str">
        <f t="shared" si="1974"/>
        <v>卡卡杜-凤凰仓</v>
      </c>
      <c r="B6535" s="1" t="str">
        <f>"CK202410186912"</f>
        <v>CK202410186912</v>
      </c>
      <c r="C6535" s="1" t="str">
        <f>"DD2024101812470"</f>
        <v>DD2024101812470</v>
      </c>
      <c r="D6535" s="1" t="str">
        <f>"CK202410189544"</f>
        <v>CK202410189544</v>
      </c>
      <c r="E6535" s="1" t="str">
        <f>"6935169756473333281"</f>
        <v>6935169756473333281</v>
      </c>
      <c r="F6535" s="1" t="str">
        <f t="shared" si="1975"/>
        <v>花都四部-凤凰仓</v>
      </c>
      <c r="G6535" s="1" t="str">
        <f t="shared" si="1972"/>
        <v>卡卡杜个人护理店（抖店）</v>
      </c>
      <c r="H6535" s="1" t="str">
        <f t="shared" si="1976"/>
        <v>正常订单</v>
      </c>
      <c r="I6535" s="1" t="str">
        <f t="shared" si="1977"/>
        <v>已发货</v>
      </c>
      <c r="J6535" s="1" t="str">
        <f t="shared" si="1971"/>
        <v>3</v>
      </c>
      <c r="K6535" s="1">
        <v>3</v>
      </c>
      <c r="L6535" s="1" t="s">
        <v>18</v>
      </c>
      <c r="M6535" s="1" t="str">
        <f>"广东省 深圳市 龙岗区 横岗街道"</f>
        <v>广东省 深圳市 龙岗区 横岗街道</v>
      </c>
      <c r="N6535" s="1" t="str">
        <f t="shared" si="1970"/>
        <v>凡华云仓-韵达-抖音</v>
      </c>
      <c r="O6535" s="5">
        <v>320177473603459</v>
      </c>
      <c r="P6535" s="6">
        <v>0.28000000000000003</v>
      </c>
      <c r="Q6535" s="11">
        <v>2</v>
      </c>
      <c r="R6535" s="11"/>
      <c r="S6535" s="11"/>
      <c r="T6535" s="11"/>
      <c r="U6535" s="11">
        <f t="shared" si="1973"/>
        <v>2</v>
      </c>
      <c r="W6535">
        <v>2.2000000000000002</v>
      </c>
      <c r="X6535" s="1" t="s">
        <v>18</v>
      </c>
    </row>
    <row r="6536" spans="1:24" x14ac:dyDescent="0.25">
      <c r="A6536" s="1" t="str">
        <f t="shared" si="1974"/>
        <v>卡卡杜-凤凰仓</v>
      </c>
      <c r="B6536" s="1" t="str">
        <f>"CK202410186913"</f>
        <v>CK202410186913</v>
      </c>
      <c r="C6536" s="1" t="str">
        <f>"DD2024101812472"</f>
        <v>DD2024101812472</v>
      </c>
      <c r="D6536" s="1" t="str">
        <f>"CK202410189543"</f>
        <v>CK202410189543</v>
      </c>
      <c r="E6536" s="1" t="str">
        <f>"6935165099208742558"</f>
        <v>6935165099208742558</v>
      </c>
      <c r="F6536" s="1" t="str">
        <f t="shared" si="1975"/>
        <v>花都四部-凤凰仓</v>
      </c>
      <c r="G6536" s="1" t="str">
        <f t="shared" si="1972"/>
        <v>卡卡杜个人护理店（抖店）</v>
      </c>
      <c r="H6536" s="1" t="str">
        <f t="shared" si="1976"/>
        <v>正常订单</v>
      </c>
      <c r="I6536" s="1" t="str">
        <f t="shared" si="1977"/>
        <v>已发货</v>
      </c>
      <c r="J6536" s="1" t="str">
        <f t="shared" si="1971"/>
        <v>3</v>
      </c>
      <c r="K6536" s="1">
        <v>3</v>
      </c>
      <c r="L6536" s="1" t="s">
        <v>36</v>
      </c>
      <c r="M6536" s="1" t="str">
        <f>"安徽省 阜阳市 颍东区 老庙镇"</f>
        <v>安徽省 阜阳市 颍东区 老庙镇</v>
      </c>
      <c r="N6536" s="1" t="str">
        <f t="shared" si="1970"/>
        <v>凡华云仓-韵达-抖音</v>
      </c>
      <c r="O6536" s="5">
        <v>320177480795960</v>
      </c>
      <c r="P6536" s="6">
        <v>0.28000000000000003</v>
      </c>
      <c r="Q6536" s="11">
        <v>2</v>
      </c>
      <c r="R6536" s="11"/>
      <c r="S6536" s="11"/>
      <c r="T6536" s="11"/>
      <c r="U6536" s="11">
        <f t="shared" si="1973"/>
        <v>2</v>
      </c>
      <c r="W6536">
        <v>2.2000000000000002</v>
      </c>
      <c r="X6536" s="1" t="s">
        <v>36</v>
      </c>
    </row>
    <row r="6537" spans="1:24" x14ac:dyDescent="0.25">
      <c r="A6537" s="1" t="str">
        <f t="shared" si="1974"/>
        <v>卡卡杜-凤凰仓</v>
      </c>
      <c r="B6537" s="1" t="str">
        <f>"CK202410186914"</f>
        <v>CK202410186914</v>
      </c>
      <c r="C6537" s="1" t="str">
        <f>"DD2024101812474"</f>
        <v>DD2024101812474</v>
      </c>
      <c r="D6537" s="1" t="str">
        <f>"CK202410189542"</f>
        <v>CK202410189542</v>
      </c>
      <c r="E6537" s="1" t="str">
        <f>"6935165080492971953"</f>
        <v>6935165080492971953</v>
      </c>
      <c r="F6537" s="1" t="str">
        <f t="shared" si="1975"/>
        <v>花都四部-凤凰仓</v>
      </c>
      <c r="G6537" s="1" t="str">
        <f t="shared" si="1972"/>
        <v>卡卡杜个人护理店（抖店）</v>
      </c>
      <c r="H6537" s="1" t="str">
        <f t="shared" si="1976"/>
        <v>正常订单</v>
      </c>
      <c r="I6537" s="1" t="str">
        <f t="shared" si="1977"/>
        <v>已发货</v>
      </c>
      <c r="J6537" s="1" t="str">
        <f t="shared" si="1971"/>
        <v>3</v>
      </c>
      <c r="K6537" s="1">
        <v>3</v>
      </c>
      <c r="L6537" s="1" t="s">
        <v>80</v>
      </c>
      <c r="M6537" s="1" t="str">
        <f>"河南省 郑州市 金水区 丰庆路街道"</f>
        <v>河南省 郑州市 金水区 丰庆路街道</v>
      </c>
      <c r="N6537" s="1" t="str">
        <f t="shared" si="1970"/>
        <v>凡华云仓-韵达-抖音</v>
      </c>
      <c r="O6537" s="5">
        <v>320177480795855</v>
      </c>
      <c r="P6537" s="6">
        <v>0.28000000000000003</v>
      </c>
      <c r="Q6537" s="11">
        <v>2</v>
      </c>
      <c r="R6537" s="11"/>
      <c r="S6537" s="11"/>
      <c r="T6537" s="11"/>
      <c r="U6537" s="11">
        <f t="shared" si="1973"/>
        <v>2</v>
      </c>
      <c r="W6537">
        <v>2.2000000000000002</v>
      </c>
      <c r="X6537" s="1" t="s">
        <v>80</v>
      </c>
    </row>
    <row r="6538" spans="1:24" x14ac:dyDescent="0.25">
      <c r="A6538" s="1" t="str">
        <f t="shared" si="1974"/>
        <v>卡卡杜-凤凰仓</v>
      </c>
      <c r="B6538" s="1" t="str">
        <f>"CK202410189250"</f>
        <v>CK202410189250</v>
      </c>
      <c r="C6538" s="1" t="str">
        <f>"DD2024101814832"</f>
        <v>DD2024101814832</v>
      </c>
      <c r="D6538" s="1" t="str">
        <f>"CK202410189541"</f>
        <v>CK202410189541</v>
      </c>
      <c r="E6538" s="1" t="str">
        <f>"6935151482996921351"</f>
        <v>6935151482996921351</v>
      </c>
      <c r="F6538" s="1" t="str">
        <f t="shared" si="1975"/>
        <v>花都四部-凤凰仓</v>
      </c>
      <c r="G6538" s="1" t="str">
        <f t="shared" si="1972"/>
        <v>卡卡杜个人护理店（抖店）</v>
      </c>
      <c r="H6538" s="1" t="str">
        <f t="shared" si="1976"/>
        <v>正常订单</v>
      </c>
      <c r="I6538" s="1" t="str">
        <f t="shared" si="1977"/>
        <v>已发货</v>
      </c>
      <c r="J6538" s="1" t="str">
        <f>"6"</f>
        <v>6</v>
      </c>
      <c r="K6538" s="1">
        <v>3</v>
      </c>
      <c r="L6538" s="1" t="s">
        <v>20</v>
      </c>
      <c r="M6538" s="1" t="str">
        <f>"浙江省 台州市 天台县 白鹤镇"</f>
        <v>浙江省 台州市 天台县 白鹤镇</v>
      </c>
      <c r="N6538" s="1" t="str">
        <f t="shared" si="1970"/>
        <v>凡华云仓-韵达-抖音</v>
      </c>
      <c r="O6538" s="5">
        <v>320177480795752</v>
      </c>
      <c r="P6538" s="6">
        <v>0.45</v>
      </c>
      <c r="Q6538" s="11">
        <v>2.2999999999999998</v>
      </c>
      <c r="R6538" s="11"/>
      <c r="S6538" s="11"/>
      <c r="T6538" s="11"/>
      <c r="U6538" s="11">
        <f t="shared" si="1973"/>
        <v>2.2999999999999998</v>
      </c>
      <c r="W6538">
        <v>2.5</v>
      </c>
      <c r="X6538" s="1" t="s">
        <v>20</v>
      </c>
    </row>
    <row r="6539" spans="1:24" x14ac:dyDescent="0.25">
      <c r="A6539" s="1" t="str">
        <f t="shared" si="1974"/>
        <v>卡卡杜-凤凰仓</v>
      </c>
      <c r="B6539" s="1" t="str">
        <f>"CK2024101810022"</f>
        <v>CK2024101810022</v>
      </c>
      <c r="C6539" s="1" t="str">
        <f>"DD2024101815605"</f>
        <v>DD2024101815605</v>
      </c>
      <c r="D6539" s="1" t="str">
        <f>"CK202410189540"</f>
        <v>CK202410189540</v>
      </c>
      <c r="E6539" s="1" t="str">
        <f>"6935162689316131894"</f>
        <v>6935162689316131894</v>
      </c>
      <c r="F6539" s="1" t="str">
        <f t="shared" si="1975"/>
        <v>花都四部-凤凰仓</v>
      </c>
      <c r="G6539" s="1" t="str">
        <f t="shared" si="1972"/>
        <v>卡卡杜个人护理店（抖店）</v>
      </c>
      <c r="H6539" s="1" t="str">
        <f t="shared" si="1976"/>
        <v>正常订单</v>
      </c>
      <c r="I6539" s="1" t="str">
        <f t="shared" si="1977"/>
        <v>已发货</v>
      </c>
      <c r="J6539" s="1" t="str">
        <f t="shared" ref="J6539:J6583" si="1978">"3"</f>
        <v>3</v>
      </c>
      <c r="K6539" s="1">
        <v>3</v>
      </c>
      <c r="L6539" s="1" t="s">
        <v>30</v>
      </c>
      <c r="M6539" s="1" t="str">
        <f>"山东省 济南市 济阳区 济北街道"</f>
        <v>山东省 济南市 济阳区 济北街道</v>
      </c>
      <c r="N6539" s="1" t="str">
        <f>"凡华云仓-竹料中通-抖音"</f>
        <v>凡华云仓-竹料中通-抖音</v>
      </c>
      <c r="O6539" s="5">
        <v>76432348195148</v>
      </c>
      <c r="P6539" s="6">
        <v>0.28000000000000003</v>
      </c>
      <c r="Q6539" s="11">
        <v>2.2999999999999998</v>
      </c>
      <c r="R6539" s="11"/>
      <c r="S6539" s="11"/>
      <c r="T6539" s="11"/>
      <c r="U6539" s="11">
        <f t="shared" si="1973"/>
        <v>2.2999999999999998</v>
      </c>
      <c r="W6539">
        <v>2.5</v>
      </c>
      <c r="X6539" s="1" t="s">
        <v>30</v>
      </c>
    </row>
    <row r="6540" spans="1:24" x14ac:dyDescent="0.25">
      <c r="A6540" s="1" t="str">
        <f t="shared" si="1974"/>
        <v>卡卡杜-凤凰仓</v>
      </c>
      <c r="B6540" s="1" t="str">
        <f>"CK2024101810021"</f>
        <v>CK2024101810021</v>
      </c>
      <c r="C6540" s="1" t="str">
        <f>"DD2024101815606"</f>
        <v>DD2024101815606</v>
      </c>
      <c r="D6540" s="1" t="str">
        <f>"CK202410189539"</f>
        <v>CK202410189539</v>
      </c>
      <c r="E6540" s="1" t="str">
        <f>"6935147270056318826"</f>
        <v>6935147270056318826</v>
      </c>
      <c r="F6540" s="1" t="str">
        <f t="shared" si="1975"/>
        <v>花都四部-凤凰仓</v>
      </c>
      <c r="G6540" s="1" t="str">
        <f t="shared" si="1972"/>
        <v>卡卡杜个人护理店（抖店）</v>
      </c>
      <c r="H6540" s="1" t="str">
        <f t="shared" si="1976"/>
        <v>正常订单</v>
      </c>
      <c r="I6540" s="1" t="str">
        <f t="shared" si="1977"/>
        <v>已发货</v>
      </c>
      <c r="J6540" s="1" t="str">
        <f t="shared" si="1978"/>
        <v>3</v>
      </c>
      <c r="K6540" s="1">
        <v>3</v>
      </c>
      <c r="L6540" s="1" t="s">
        <v>105</v>
      </c>
      <c r="M6540" s="1" t="str">
        <f>"北京 北京市 昌平区 北七家镇"</f>
        <v>北京 北京市 昌平区 北七家镇</v>
      </c>
      <c r="N6540" s="1" t="str">
        <f t="shared" ref="N6540:N6603" si="1979">"凡华云仓-韵达-抖音"</f>
        <v>凡华云仓-韵达-抖音</v>
      </c>
      <c r="O6540" s="5">
        <v>320177480795651</v>
      </c>
      <c r="P6540" s="6">
        <v>0.28000000000000003</v>
      </c>
      <c r="Q6540" s="11">
        <v>2</v>
      </c>
      <c r="R6540" s="11"/>
      <c r="S6540" s="11"/>
      <c r="T6540" s="11"/>
      <c r="U6540" s="11">
        <f t="shared" si="1973"/>
        <v>2</v>
      </c>
      <c r="W6540">
        <v>2.2000000000000002</v>
      </c>
      <c r="X6540" s="1" t="s">
        <v>105</v>
      </c>
    </row>
    <row r="6541" spans="1:24" x14ac:dyDescent="0.25">
      <c r="A6541" s="1" t="str">
        <f t="shared" si="1974"/>
        <v>卡卡杜-凤凰仓</v>
      </c>
      <c r="B6541" s="1" t="str">
        <f>"CK202410189252"</f>
        <v>CK202410189252</v>
      </c>
      <c r="C6541" s="1" t="str">
        <f>"DD2024101814835"</f>
        <v>DD2024101814835</v>
      </c>
      <c r="D6541" s="1" t="str">
        <f>"CK202410189538"</f>
        <v>CK202410189538</v>
      </c>
      <c r="E6541" s="1" t="str">
        <f>"6935155966960932388"</f>
        <v>6935155966960932388</v>
      </c>
      <c r="F6541" s="1" t="str">
        <f t="shared" si="1975"/>
        <v>花都四部-凤凰仓</v>
      </c>
      <c r="G6541" s="1" t="str">
        <f t="shared" si="1972"/>
        <v>卡卡杜个人护理店（抖店）</v>
      </c>
      <c r="H6541" s="1" t="str">
        <f t="shared" si="1976"/>
        <v>正常订单</v>
      </c>
      <c r="I6541" s="1" t="str">
        <f t="shared" si="1977"/>
        <v>已发货</v>
      </c>
      <c r="J6541" s="1" t="str">
        <f t="shared" si="1978"/>
        <v>3</v>
      </c>
      <c r="K6541" s="1">
        <v>3</v>
      </c>
      <c r="L6541" s="1" t="s">
        <v>18</v>
      </c>
      <c r="M6541" s="1" t="str">
        <f>"广东省 东莞市 东莞市 桥头镇"</f>
        <v>广东省 东莞市 东莞市 桥头镇</v>
      </c>
      <c r="N6541" s="1" t="str">
        <f t="shared" si="1979"/>
        <v>凡华云仓-韵达-抖音</v>
      </c>
      <c r="O6541" s="5">
        <v>320177480795552</v>
      </c>
      <c r="P6541" s="6">
        <v>0.28000000000000003</v>
      </c>
      <c r="Q6541" s="11">
        <v>2</v>
      </c>
      <c r="R6541" s="11"/>
      <c r="S6541" s="11"/>
      <c r="T6541" s="11"/>
      <c r="U6541" s="11">
        <f t="shared" si="1973"/>
        <v>2</v>
      </c>
      <c r="W6541">
        <v>2.2000000000000002</v>
      </c>
      <c r="X6541" s="1" t="s">
        <v>18</v>
      </c>
    </row>
    <row r="6542" spans="1:24" x14ac:dyDescent="0.25">
      <c r="A6542" s="1" t="str">
        <f t="shared" si="1974"/>
        <v>卡卡杜-凤凰仓</v>
      </c>
      <c r="B6542" s="1" t="str">
        <f>"CK202410189254"</f>
        <v>CK202410189254</v>
      </c>
      <c r="C6542" s="1" t="str">
        <f>"DD2024101814837"</f>
        <v>DD2024101814837</v>
      </c>
      <c r="D6542" s="1" t="str">
        <f>"CK202410189537"</f>
        <v>CK202410189537</v>
      </c>
      <c r="E6542" s="1" t="str">
        <f>"6935160794285020405"</f>
        <v>6935160794285020405</v>
      </c>
      <c r="F6542" s="1" t="str">
        <f t="shared" si="1975"/>
        <v>花都四部-凤凰仓</v>
      </c>
      <c r="G6542" s="1" t="str">
        <f t="shared" si="1972"/>
        <v>卡卡杜个人护理店（抖店）</v>
      </c>
      <c r="H6542" s="1" t="str">
        <f t="shared" si="1976"/>
        <v>正常订单</v>
      </c>
      <c r="I6542" s="1" t="str">
        <f t="shared" si="1977"/>
        <v>已发货</v>
      </c>
      <c r="J6542" s="1" t="str">
        <f t="shared" si="1978"/>
        <v>3</v>
      </c>
      <c r="K6542" s="1">
        <v>3</v>
      </c>
      <c r="L6542" s="1" t="s">
        <v>80</v>
      </c>
      <c r="M6542" s="1" t="str">
        <f>"河南省 洛阳市 伊川县 河滨街道"</f>
        <v>河南省 洛阳市 伊川县 河滨街道</v>
      </c>
      <c r="N6542" s="1" t="str">
        <f t="shared" si="1979"/>
        <v>凡华云仓-韵达-抖音</v>
      </c>
      <c r="O6542" s="5">
        <v>320177480795455</v>
      </c>
      <c r="P6542" s="6">
        <v>0.28000000000000003</v>
      </c>
      <c r="Q6542" s="11">
        <v>2</v>
      </c>
      <c r="R6542" s="11"/>
      <c r="S6542" s="11"/>
      <c r="T6542" s="11"/>
      <c r="U6542" s="11">
        <f t="shared" si="1973"/>
        <v>2</v>
      </c>
      <c r="W6542">
        <v>2.2000000000000002</v>
      </c>
      <c r="X6542" s="1" t="s">
        <v>80</v>
      </c>
    </row>
    <row r="6543" spans="1:24" x14ac:dyDescent="0.25">
      <c r="A6543" s="1" t="str">
        <f t="shared" si="1974"/>
        <v>卡卡杜-凤凰仓</v>
      </c>
      <c r="B6543" s="1" t="str">
        <f>"CK202410189256"</f>
        <v>CK202410189256</v>
      </c>
      <c r="C6543" s="1" t="str">
        <f>"DD2024101814838"</f>
        <v>DD2024101814838</v>
      </c>
      <c r="D6543" s="1" t="str">
        <f>"CK202410189536"</f>
        <v>CK202410189536</v>
      </c>
      <c r="E6543" s="1" t="str">
        <f>"6935158222633899747"</f>
        <v>6935158222633899747</v>
      </c>
      <c r="F6543" s="1" t="str">
        <f t="shared" si="1975"/>
        <v>花都四部-凤凰仓</v>
      </c>
      <c r="G6543" s="1" t="str">
        <f t="shared" si="1972"/>
        <v>卡卡杜个人护理店（抖店）</v>
      </c>
      <c r="H6543" s="1" t="str">
        <f t="shared" si="1976"/>
        <v>正常订单</v>
      </c>
      <c r="I6543" s="1" t="str">
        <f t="shared" si="1977"/>
        <v>已发货</v>
      </c>
      <c r="J6543" s="1" t="str">
        <f t="shared" si="1978"/>
        <v>3</v>
      </c>
      <c r="K6543" s="1">
        <v>3</v>
      </c>
      <c r="L6543" s="1" t="s">
        <v>80</v>
      </c>
      <c r="M6543" s="1" t="str">
        <f>"河南省 商丘市 夏邑县 城关镇"</f>
        <v>河南省 商丘市 夏邑县 城关镇</v>
      </c>
      <c r="N6543" s="1" t="str">
        <f t="shared" si="1979"/>
        <v>凡华云仓-韵达-抖音</v>
      </c>
      <c r="O6543" s="5">
        <v>320177480795360</v>
      </c>
      <c r="P6543" s="6">
        <v>0.28000000000000003</v>
      </c>
      <c r="Q6543" s="11">
        <v>2</v>
      </c>
      <c r="R6543" s="11"/>
      <c r="S6543" s="11"/>
      <c r="T6543" s="11"/>
      <c r="U6543" s="11">
        <f t="shared" si="1973"/>
        <v>2</v>
      </c>
      <c r="W6543">
        <v>2.2000000000000002</v>
      </c>
      <c r="X6543" s="1" t="s">
        <v>80</v>
      </c>
    </row>
    <row r="6544" spans="1:24" x14ac:dyDescent="0.25">
      <c r="A6544" s="1" t="str">
        <f t="shared" si="1974"/>
        <v>卡卡杜-凤凰仓</v>
      </c>
      <c r="B6544" s="1" t="str">
        <f>"CK202410189258"</f>
        <v>CK202410189258</v>
      </c>
      <c r="C6544" s="1" t="str">
        <f>"DD2024101814841"</f>
        <v>DD2024101814841</v>
      </c>
      <c r="D6544" s="1" t="str">
        <f>"CK202410189535"</f>
        <v>CK202410189535</v>
      </c>
      <c r="E6544" s="1" t="str">
        <f>"6935151507183310332"</f>
        <v>6935151507183310332</v>
      </c>
      <c r="F6544" s="1" t="str">
        <f t="shared" si="1975"/>
        <v>花都四部-凤凰仓</v>
      </c>
      <c r="G6544" s="1" t="str">
        <f t="shared" si="1972"/>
        <v>卡卡杜个人护理店（抖店）</v>
      </c>
      <c r="H6544" s="1" t="str">
        <f t="shared" si="1976"/>
        <v>正常订单</v>
      </c>
      <c r="I6544" s="1" t="str">
        <f t="shared" si="1977"/>
        <v>已发货</v>
      </c>
      <c r="J6544" s="1" t="str">
        <f t="shared" si="1978"/>
        <v>3</v>
      </c>
      <c r="K6544" s="1">
        <v>3</v>
      </c>
      <c r="L6544" s="1" t="s">
        <v>30</v>
      </c>
      <c r="M6544" s="1" t="str">
        <f>"山东省 潍坊市 坊子区 "</f>
        <v xml:space="preserve">山东省 潍坊市 坊子区 </v>
      </c>
      <c r="N6544" s="1" t="str">
        <f t="shared" si="1979"/>
        <v>凡华云仓-韵达-抖音</v>
      </c>
      <c r="O6544" s="5">
        <v>320177480795267</v>
      </c>
      <c r="P6544" s="6">
        <v>0.28000000000000003</v>
      </c>
      <c r="Q6544" s="11">
        <v>2</v>
      </c>
      <c r="R6544" s="11"/>
      <c r="S6544" s="11"/>
      <c r="T6544" s="11"/>
      <c r="U6544" s="11">
        <f t="shared" si="1973"/>
        <v>2</v>
      </c>
      <c r="W6544">
        <v>2.2000000000000002</v>
      </c>
      <c r="X6544" s="1" t="s">
        <v>30</v>
      </c>
    </row>
    <row r="6545" spans="1:24" x14ac:dyDescent="0.25">
      <c r="A6545" s="1" t="str">
        <f t="shared" si="1974"/>
        <v>卡卡杜-凤凰仓</v>
      </c>
      <c r="B6545" s="1" t="str">
        <f>"CK202410189260"</f>
        <v>CK202410189260</v>
      </c>
      <c r="C6545" s="1" t="str">
        <f>"DD2024101814843"</f>
        <v>DD2024101814843</v>
      </c>
      <c r="D6545" s="1" t="str">
        <f>"CK202410189534"</f>
        <v>CK202410189534</v>
      </c>
      <c r="E6545" s="1" t="str">
        <f>"6935169779156587906"</f>
        <v>6935169779156587906</v>
      </c>
      <c r="F6545" s="1" t="str">
        <f t="shared" si="1975"/>
        <v>花都四部-凤凰仓</v>
      </c>
      <c r="G6545" s="1" t="str">
        <f t="shared" si="1972"/>
        <v>卡卡杜个人护理店（抖店）</v>
      </c>
      <c r="H6545" s="1" t="str">
        <f t="shared" si="1976"/>
        <v>正常订单</v>
      </c>
      <c r="I6545" s="1" t="str">
        <f t="shared" si="1977"/>
        <v>已发货</v>
      </c>
      <c r="J6545" s="1" t="str">
        <f t="shared" si="1978"/>
        <v>3</v>
      </c>
      <c r="K6545" s="1">
        <v>3</v>
      </c>
      <c r="L6545" s="1" t="s">
        <v>52</v>
      </c>
      <c r="M6545" s="1" t="str">
        <f>"甘肃省 陇南市 西和县 汉源镇"</f>
        <v>甘肃省 陇南市 西和县 汉源镇</v>
      </c>
      <c r="N6545" s="1" t="str">
        <f t="shared" si="1979"/>
        <v>凡华云仓-韵达-抖音</v>
      </c>
      <c r="O6545" s="5">
        <v>320177480795176</v>
      </c>
      <c r="P6545" s="6">
        <v>0.28000000000000003</v>
      </c>
      <c r="Q6545" s="11">
        <v>2</v>
      </c>
      <c r="R6545" s="11"/>
      <c r="S6545" s="11"/>
      <c r="T6545" s="11"/>
      <c r="U6545" s="11">
        <f t="shared" si="1973"/>
        <v>2</v>
      </c>
      <c r="W6545">
        <v>2.2000000000000002</v>
      </c>
      <c r="X6545" s="1" t="s">
        <v>52</v>
      </c>
    </row>
    <row r="6546" spans="1:24" x14ac:dyDescent="0.25">
      <c r="A6546" s="1" t="str">
        <f t="shared" si="1974"/>
        <v>卡卡杜-凤凰仓</v>
      </c>
      <c r="B6546" s="1" t="str">
        <f>"CK202410189262"</f>
        <v>CK202410189262</v>
      </c>
      <c r="C6546" s="1" t="str">
        <f>"DD2024101814845"</f>
        <v>DD2024101814845</v>
      </c>
      <c r="D6546" s="1" t="str">
        <f>"CK202410189533"</f>
        <v>CK202410189533</v>
      </c>
      <c r="E6546" s="1" t="str">
        <f>"6935162673584740247"</f>
        <v>6935162673584740247</v>
      </c>
      <c r="F6546" s="1" t="str">
        <f t="shared" si="1975"/>
        <v>花都四部-凤凰仓</v>
      </c>
      <c r="G6546" s="1" t="str">
        <f t="shared" si="1972"/>
        <v>卡卡杜个人护理店（抖店）</v>
      </c>
      <c r="H6546" s="1" t="str">
        <f t="shared" si="1976"/>
        <v>正常订单</v>
      </c>
      <c r="I6546" s="1" t="str">
        <f t="shared" si="1977"/>
        <v>已发货</v>
      </c>
      <c r="J6546" s="1" t="str">
        <f t="shared" si="1978"/>
        <v>3</v>
      </c>
      <c r="K6546" s="1">
        <v>3</v>
      </c>
      <c r="L6546" s="1" t="s">
        <v>80</v>
      </c>
      <c r="M6546" s="1" t="str">
        <f>"河南省 安阳市 文峰区 东关街道"</f>
        <v>河南省 安阳市 文峰区 东关街道</v>
      </c>
      <c r="N6546" s="1" t="str">
        <f t="shared" si="1979"/>
        <v>凡华云仓-韵达-抖音</v>
      </c>
      <c r="O6546" s="5">
        <v>320177487115365</v>
      </c>
      <c r="P6546" s="6">
        <v>0.28000000000000003</v>
      </c>
      <c r="Q6546" s="11">
        <v>2</v>
      </c>
      <c r="R6546" s="11"/>
      <c r="S6546" s="11"/>
      <c r="T6546" s="11"/>
      <c r="U6546" s="11">
        <f t="shared" si="1973"/>
        <v>2</v>
      </c>
      <c r="W6546">
        <v>2.2000000000000002</v>
      </c>
      <c r="X6546" s="1" t="s">
        <v>80</v>
      </c>
    </row>
    <row r="6547" spans="1:24" x14ac:dyDescent="0.25">
      <c r="A6547" s="1" t="str">
        <f t="shared" si="1974"/>
        <v>卡卡杜-凤凰仓</v>
      </c>
      <c r="B6547" s="1" t="str">
        <f>"CK202410189265"</f>
        <v>CK202410189265</v>
      </c>
      <c r="C6547" s="1" t="str">
        <f>"DD2024101814847"</f>
        <v>DD2024101814847</v>
      </c>
      <c r="D6547" s="1" t="str">
        <f>"CK202410189532"</f>
        <v>CK202410189532</v>
      </c>
      <c r="E6547" s="1" t="str">
        <f>"6935145303408121332"</f>
        <v>6935145303408121332</v>
      </c>
      <c r="F6547" s="1" t="str">
        <f t="shared" si="1975"/>
        <v>花都四部-凤凰仓</v>
      </c>
      <c r="G6547" s="1" t="str">
        <f t="shared" si="1972"/>
        <v>卡卡杜个人护理店（抖店）</v>
      </c>
      <c r="H6547" s="1" t="str">
        <f t="shared" si="1976"/>
        <v>正常订单</v>
      </c>
      <c r="I6547" s="1" t="str">
        <f t="shared" si="1977"/>
        <v>已发货</v>
      </c>
      <c r="J6547" s="1" t="str">
        <f t="shared" si="1978"/>
        <v>3</v>
      </c>
      <c r="K6547" s="1">
        <v>3</v>
      </c>
      <c r="L6547" s="1" t="s">
        <v>80</v>
      </c>
      <c r="M6547" s="1" t="str">
        <f>"河南省 驻马店市 泌阳县 泌水街道"</f>
        <v>河南省 驻马店市 泌阳县 泌水街道</v>
      </c>
      <c r="N6547" s="1" t="str">
        <f t="shared" si="1979"/>
        <v>凡华云仓-韵达-抖音</v>
      </c>
      <c r="O6547" s="5">
        <v>320177487115272</v>
      </c>
      <c r="P6547" s="6">
        <v>0.28000000000000003</v>
      </c>
      <c r="Q6547" s="11">
        <v>2</v>
      </c>
      <c r="R6547" s="11"/>
      <c r="S6547" s="11"/>
      <c r="T6547" s="11"/>
      <c r="U6547" s="11">
        <f t="shared" si="1973"/>
        <v>2</v>
      </c>
      <c r="W6547">
        <v>2.2000000000000002</v>
      </c>
      <c r="X6547" s="1" t="s">
        <v>80</v>
      </c>
    </row>
    <row r="6548" spans="1:24" x14ac:dyDescent="0.25">
      <c r="A6548" s="1" t="str">
        <f t="shared" si="1974"/>
        <v>卡卡杜-凤凰仓</v>
      </c>
      <c r="B6548" s="1" t="str">
        <f>"CK202410189267"</f>
        <v>CK202410189267</v>
      </c>
      <c r="C6548" s="1" t="str">
        <f>"DD2024101814849"</f>
        <v>DD2024101814849</v>
      </c>
      <c r="D6548" s="1" t="str">
        <f>"CK202410189531"</f>
        <v>CK202410189531</v>
      </c>
      <c r="E6548" s="1" t="str">
        <f>"6935149895151523553"</f>
        <v>6935149895151523553</v>
      </c>
      <c r="F6548" s="1" t="str">
        <f t="shared" si="1975"/>
        <v>花都四部-凤凰仓</v>
      </c>
      <c r="G6548" s="1" t="str">
        <f t="shared" si="1972"/>
        <v>卡卡杜个人护理店（抖店）</v>
      </c>
      <c r="H6548" s="1" t="str">
        <f t="shared" si="1976"/>
        <v>正常订单</v>
      </c>
      <c r="I6548" s="1" t="str">
        <f t="shared" si="1977"/>
        <v>已发货</v>
      </c>
      <c r="J6548" s="1" t="str">
        <f t="shared" si="1978"/>
        <v>3</v>
      </c>
      <c r="K6548" s="1">
        <v>3</v>
      </c>
      <c r="L6548" s="1" t="s">
        <v>30</v>
      </c>
      <c r="M6548" s="1" t="str">
        <f>"山东省 潍坊市 昌邑市 "</f>
        <v xml:space="preserve">山东省 潍坊市 昌邑市 </v>
      </c>
      <c r="N6548" s="1" t="str">
        <f t="shared" si="1979"/>
        <v>凡华云仓-韵达-抖音</v>
      </c>
      <c r="O6548" s="5">
        <v>320177487115181</v>
      </c>
      <c r="P6548" s="6">
        <v>0.28000000000000003</v>
      </c>
      <c r="Q6548" s="11">
        <v>2</v>
      </c>
      <c r="R6548" s="11"/>
      <c r="S6548" s="11"/>
      <c r="T6548" s="11"/>
      <c r="U6548" s="11">
        <f t="shared" si="1973"/>
        <v>2</v>
      </c>
      <c r="W6548">
        <v>2.2000000000000002</v>
      </c>
      <c r="X6548" s="1" t="s">
        <v>30</v>
      </c>
    </row>
    <row r="6549" spans="1:24" x14ac:dyDescent="0.25">
      <c r="A6549" s="1" t="str">
        <f t="shared" si="1974"/>
        <v>卡卡杜-凤凰仓</v>
      </c>
      <c r="B6549" s="1" t="str">
        <f>"CK202410189269"</f>
        <v>CK202410189269</v>
      </c>
      <c r="C6549" s="1" t="str">
        <f>"DD2024101814851"</f>
        <v>DD2024101814851</v>
      </c>
      <c r="D6549" s="1" t="str">
        <f>"CK202410189530"</f>
        <v>CK202410189530</v>
      </c>
      <c r="E6549" s="1" t="str">
        <f>"6935162799527564796"</f>
        <v>6935162799527564796</v>
      </c>
      <c r="F6549" s="1" t="str">
        <f t="shared" si="1975"/>
        <v>花都四部-凤凰仓</v>
      </c>
      <c r="G6549" s="1" t="str">
        <f t="shared" si="1972"/>
        <v>卡卡杜个人护理店（抖店）</v>
      </c>
      <c r="H6549" s="1" t="str">
        <f t="shared" si="1976"/>
        <v>正常订单</v>
      </c>
      <c r="I6549" s="1" t="str">
        <f t="shared" si="1977"/>
        <v>已发货</v>
      </c>
      <c r="J6549" s="1" t="str">
        <f t="shared" si="1978"/>
        <v>3</v>
      </c>
      <c r="K6549" s="1">
        <v>3</v>
      </c>
      <c r="L6549" s="1" t="s">
        <v>13</v>
      </c>
      <c r="M6549" s="1" t="str">
        <f>"江苏省 苏州市 昆山市 玉山镇"</f>
        <v>江苏省 苏州市 昆山市 玉山镇</v>
      </c>
      <c r="N6549" s="1" t="str">
        <f t="shared" si="1979"/>
        <v>凡华云仓-韵达-抖音</v>
      </c>
      <c r="O6549" s="5">
        <v>320177487115092</v>
      </c>
      <c r="P6549" s="6">
        <v>0.28000000000000003</v>
      </c>
      <c r="Q6549" s="11">
        <v>2</v>
      </c>
      <c r="R6549" s="11"/>
      <c r="S6549" s="11"/>
      <c r="T6549" s="11"/>
      <c r="U6549" s="11">
        <f t="shared" si="1973"/>
        <v>2</v>
      </c>
      <c r="W6549">
        <v>2.2000000000000002</v>
      </c>
      <c r="X6549" s="1" t="s">
        <v>13</v>
      </c>
    </row>
    <row r="6550" spans="1:24" x14ac:dyDescent="0.25">
      <c r="A6550" s="1" t="str">
        <f t="shared" si="1974"/>
        <v>卡卡杜-凤凰仓</v>
      </c>
      <c r="B6550" s="1" t="str">
        <f>"CK202410189271"</f>
        <v>CK202410189271</v>
      </c>
      <c r="C6550" s="1" t="str">
        <f>"DD2024101814853"</f>
        <v>DD2024101814853</v>
      </c>
      <c r="D6550" s="1" t="str">
        <f>"CK202410189529"</f>
        <v>CK202410189529</v>
      </c>
      <c r="E6550" s="1" t="str">
        <f>"6935155962408670496"</f>
        <v>6935155962408670496</v>
      </c>
      <c r="F6550" s="1" t="str">
        <f t="shared" si="1975"/>
        <v>花都四部-凤凰仓</v>
      </c>
      <c r="G6550" s="1" t="str">
        <f t="shared" si="1972"/>
        <v>卡卡杜个人护理店（抖店）</v>
      </c>
      <c r="H6550" s="1" t="str">
        <f t="shared" si="1976"/>
        <v>正常订单</v>
      </c>
      <c r="I6550" s="1" t="str">
        <f t="shared" si="1977"/>
        <v>已发货</v>
      </c>
      <c r="J6550" s="1" t="str">
        <f t="shared" si="1978"/>
        <v>3</v>
      </c>
      <c r="K6550" s="1">
        <v>3</v>
      </c>
      <c r="L6550" s="1" t="s">
        <v>16</v>
      </c>
      <c r="M6550" s="1" t="str">
        <f>"河北省 保定市 高碑店市 "</f>
        <v xml:space="preserve">河北省 保定市 高碑店市 </v>
      </c>
      <c r="N6550" s="1" t="str">
        <f t="shared" si="1979"/>
        <v>凡华云仓-韵达-抖音</v>
      </c>
      <c r="O6550" s="5">
        <v>320177487114968</v>
      </c>
      <c r="P6550" s="6">
        <v>0.28000000000000003</v>
      </c>
      <c r="Q6550" s="11">
        <v>2</v>
      </c>
      <c r="R6550" s="11"/>
      <c r="S6550" s="11"/>
      <c r="T6550" s="11"/>
      <c r="U6550" s="11">
        <f t="shared" si="1973"/>
        <v>2</v>
      </c>
      <c r="W6550">
        <v>2.2000000000000002</v>
      </c>
      <c r="X6550" s="1" t="s">
        <v>16</v>
      </c>
    </row>
    <row r="6551" spans="1:24" x14ac:dyDescent="0.25">
      <c r="A6551" s="1" t="str">
        <f t="shared" si="1974"/>
        <v>卡卡杜-凤凰仓</v>
      </c>
      <c r="B6551" s="1" t="str">
        <f>"CK202410189274"</f>
        <v>CK202410189274</v>
      </c>
      <c r="C6551" s="1" t="str">
        <f>"DD2024101814857"</f>
        <v>DD2024101814857</v>
      </c>
      <c r="D6551" s="1" t="str">
        <f>"CK202410189528"</f>
        <v>CK202410189528</v>
      </c>
      <c r="E6551" s="1" t="str">
        <f>"6935143491648624053"</f>
        <v>6935143491648624053</v>
      </c>
      <c r="F6551" s="1" t="str">
        <f t="shared" si="1975"/>
        <v>花都四部-凤凰仓</v>
      </c>
      <c r="G6551" s="1" t="str">
        <f t="shared" si="1972"/>
        <v>卡卡杜个人护理店（抖店）</v>
      </c>
      <c r="H6551" s="1" t="str">
        <f t="shared" si="1976"/>
        <v>正常订单</v>
      </c>
      <c r="I6551" s="1" t="str">
        <f t="shared" si="1977"/>
        <v>已发货</v>
      </c>
      <c r="J6551" s="1" t="str">
        <f t="shared" si="1978"/>
        <v>3</v>
      </c>
      <c r="K6551" s="1">
        <v>3</v>
      </c>
      <c r="L6551" s="1" t="s">
        <v>30</v>
      </c>
      <c r="M6551" s="1" t="str">
        <f>"山东省 泰安市 岱岳区 北集坡街道"</f>
        <v>山东省 泰安市 岱岳区 北集坡街道</v>
      </c>
      <c r="N6551" s="1" t="str">
        <f t="shared" si="1979"/>
        <v>凡华云仓-韵达-抖音</v>
      </c>
      <c r="O6551" s="5">
        <v>320177487114863</v>
      </c>
      <c r="P6551" s="6">
        <v>0.28000000000000003</v>
      </c>
      <c r="Q6551" s="11">
        <v>2</v>
      </c>
      <c r="R6551" s="11"/>
      <c r="S6551" s="11"/>
      <c r="T6551" s="11"/>
      <c r="U6551" s="11">
        <f t="shared" si="1973"/>
        <v>2</v>
      </c>
      <c r="W6551">
        <v>2.2000000000000002</v>
      </c>
      <c r="X6551" s="1" t="s">
        <v>30</v>
      </c>
    </row>
    <row r="6552" spans="1:24" x14ac:dyDescent="0.25">
      <c r="A6552" s="1" t="str">
        <f t="shared" si="1974"/>
        <v>卡卡杜-凤凰仓</v>
      </c>
      <c r="B6552" s="1" t="str">
        <f>"CK202410189283"</f>
        <v>CK202410189283</v>
      </c>
      <c r="C6552" s="1" t="str">
        <f>"DD2024101814865"</f>
        <v>DD2024101814865</v>
      </c>
      <c r="D6552" s="1" t="str">
        <f>"CK202410189527"</f>
        <v>CK202410189527</v>
      </c>
      <c r="E6552" s="1" t="str">
        <f>"6935167248367032175"</f>
        <v>6935167248367032175</v>
      </c>
      <c r="F6552" s="1" t="str">
        <f t="shared" si="1975"/>
        <v>花都四部-凤凰仓</v>
      </c>
      <c r="G6552" s="1" t="str">
        <f t="shared" si="1972"/>
        <v>卡卡杜个人护理店（抖店）</v>
      </c>
      <c r="H6552" s="1" t="str">
        <f t="shared" si="1976"/>
        <v>正常订单</v>
      </c>
      <c r="I6552" s="1" t="str">
        <f t="shared" si="1977"/>
        <v>已发货</v>
      </c>
      <c r="J6552" s="1" t="str">
        <f t="shared" si="1978"/>
        <v>3</v>
      </c>
      <c r="K6552" s="1">
        <v>3</v>
      </c>
      <c r="L6552" s="1" t="s">
        <v>41</v>
      </c>
      <c r="M6552" s="1" t="str">
        <f>"湖北省 荆州市 荆州区 城南街道"</f>
        <v>湖北省 荆州市 荆州区 城南街道</v>
      </c>
      <c r="N6552" s="1" t="str">
        <f t="shared" si="1979"/>
        <v>凡华云仓-韵达-抖音</v>
      </c>
      <c r="O6552" s="5">
        <v>320177487114760</v>
      </c>
      <c r="P6552" s="6">
        <v>0.28000000000000003</v>
      </c>
      <c r="Q6552" s="11">
        <v>2</v>
      </c>
      <c r="R6552" s="11"/>
      <c r="S6552" s="11"/>
      <c r="T6552" s="11"/>
      <c r="U6552" s="11">
        <f t="shared" si="1973"/>
        <v>2</v>
      </c>
      <c r="W6552">
        <v>2.2000000000000002</v>
      </c>
      <c r="X6552" s="1" t="s">
        <v>41</v>
      </c>
    </row>
    <row r="6553" spans="1:24" x14ac:dyDescent="0.25">
      <c r="A6553" s="1" t="str">
        <f t="shared" si="1974"/>
        <v>卡卡杜-凤凰仓</v>
      </c>
      <c r="B6553" s="1" t="str">
        <f>"CK2024101810024"</f>
        <v>CK2024101810024</v>
      </c>
      <c r="C6553" s="1" t="str">
        <f>"DD2024101815607"</f>
        <v>DD2024101815607</v>
      </c>
      <c r="D6553" s="1" t="str">
        <f>"CK202410189526"</f>
        <v>CK202410189526</v>
      </c>
      <c r="E6553" s="1" t="str">
        <f>"6935155931484722468"</f>
        <v>6935155931484722468</v>
      </c>
      <c r="F6553" s="1" t="str">
        <f t="shared" si="1975"/>
        <v>花都四部-凤凰仓</v>
      </c>
      <c r="G6553" s="1" t="str">
        <f t="shared" si="1972"/>
        <v>卡卡杜个人护理店（抖店）</v>
      </c>
      <c r="H6553" s="1" t="str">
        <f t="shared" si="1976"/>
        <v>正常订单</v>
      </c>
      <c r="I6553" s="1" t="str">
        <f t="shared" si="1977"/>
        <v>已发货</v>
      </c>
      <c r="J6553" s="1" t="str">
        <f t="shared" si="1978"/>
        <v>3</v>
      </c>
      <c r="K6553" s="1">
        <v>3</v>
      </c>
      <c r="L6553" s="1" t="s">
        <v>47</v>
      </c>
      <c r="M6553" s="1" t="str">
        <f>"重庆 重庆市 永川区 中山路街道"</f>
        <v>重庆 重庆市 永川区 中山路街道</v>
      </c>
      <c r="N6553" s="1" t="str">
        <f t="shared" si="1979"/>
        <v>凡华云仓-韵达-抖音</v>
      </c>
      <c r="O6553" s="5">
        <v>320177487114659</v>
      </c>
      <c r="P6553" s="6">
        <v>0.28000000000000003</v>
      </c>
      <c r="Q6553" s="11">
        <v>2</v>
      </c>
      <c r="R6553" s="11"/>
      <c r="S6553" s="11"/>
      <c r="T6553" s="11"/>
      <c r="U6553" s="11">
        <f t="shared" si="1973"/>
        <v>2</v>
      </c>
      <c r="W6553">
        <v>2.2000000000000002</v>
      </c>
      <c r="X6553" s="1" t="s">
        <v>47</v>
      </c>
    </row>
    <row r="6554" spans="1:24" x14ac:dyDescent="0.25">
      <c r="A6554" s="1" t="str">
        <f t="shared" si="1974"/>
        <v>卡卡杜-凤凰仓</v>
      </c>
      <c r="B6554" s="1" t="str">
        <f>"CK2024101810025"</f>
        <v>CK2024101810025</v>
      </c>
      <c r="C6554" s="1" t="str">
        <f>"DD2024101815609"</f>
        <v>DD2024101815609</v>
      </c>
      <c r="D6554" s="1" t="str">
        <f>"CK202410189525"</f>
        <v>CK202410189525</v>
      </c>
      <c r="E6554" s="1" t="str">
        <f>"6935147223847409529"</f>
        <v>6935147223847409529</v>
      </c>
      <c r="F6554" s="1" t="str">
        <f t="shared" si="1975"/>
        <v>花都四部-凤凰仓</v>
      </c>
      <c r="G6554" s="1" t="str">
        <f t="shared" si="1972"/>
        <v>卡卡杜个人护理店（抖店）</v>
      </c>
      <c r="H6554" s="1" t="str">
        <f t="shared" si="1976"/>
        <v>正常订单</v>
      </c>
      <c r="I6554" s="1" t="str">
        <f t="shared" si="1977"/>
        <v>已发货</v>
      </c>
      <c r="J6554" s="1" t="str">
        <f t="shared" si="1978"/>
        <v>3</v>
      </c>
      <c r="K6554" s="1">
        <v>3</v>
      </c>
      <c r="L6554" s="1" t="s">
        <v>161</v>
      </c>
      <c r="M6554" s="1" t="str">
        <f>"四川省 成都市 郫都区 犀浦街道"</f>
        <v>四川省 成都市 郫都区 犀浦街道</v>
      </c>
      <c r="N6554" s="1" t="str">
        <f t="shared" si="1979"/>
        <v>凡华云仓-韵达-抖音</v>
      </c>
      <c r="O6554" s="5">
        <v>320177487114560</v>
      </c>
      <c r="P6554" s="6">
        <v>0.28000000000000003</v>
      </c>
      <c r="Q6554" s="11">
        <v>2</v>
      </c>
      <c r="R6554" s="11"/>
      <c r="S6554" s="11"/>
      <c r="T6554" s="11"/>
      <c r="U6554" s="11">
        <f t="shared" si="1973"/>
        <v>2</v>
      </c>
      <c r="W6554">
        <v>2.2000000000000002</v>
      </c>
      <c r="X6554" s="1" t="s">
        <v>161</v>
      </c>
    </row>
    <row r="6555" spans="1:24" x14ac:dyDescent="0.25">
      <c r="A6555" s="1" t="str">
        <f t="shared" si="1974"/>
        <v>卡卡杜-凤凰仓</v>
      </c>
      <c r="B6555" s="1" t="str">
        <f>"CK202410189273"</f>
        <v>CK202410189273</v>
      </c>
      <c r="C6555" s="1" t="str">
        <f>"DD2024101814856"</f>
        <v>DD2024101814856</v>
      </c>
      <c r="D6555" s="1" t="str">
        <f>"CK202410189524"</f>
        <v>CK202410189524</v>
      </c>
      <c r="E6555" s="1" t="str">
        <f>"6935162787072710500"</f>
        <v>6935162787072710500</v>
      </c>
      <c r="F6555" s="1" t="str">
        <f t="shared" si="1975"/>
        <v>花都四部-凤凰仓</v>
      </c>
      <c r="G6555" s="1" t="str">
        <f t="shared" si="1972"/>
        <v>卡卡杜个人护理店（抖店）</v>
      </c>
      <c r="H6555" s="1" t="str">
        <f t="shared" si="1976"/>
        <v>正常订单</v>
      </c>
      <c r="I6555" s="1" t="str">
        <f t="shared" si="1977"/>
        <v>已发货</v>
      </c>
      <c r="J6555" s="1" t="str">
        <f t="shared" si="1978"/>
        <v>3</v>
      </c>
      <c r="K6555" s="1">
        <v>3</v>
      </c>
      <c r="L6555" s="1" t="s">
        <v>80</v>
      </c>
      <c r="M6555" s="1" t="str">
        <f>"河南省 新乡市 新乡县 合河乡"</f>
        <v>河南省 新乡市 新乡县 合河乡</v>
      </c>
      <c r="N6555" s="1" t="str">
        <f t="shared" si="1979"/>
        <v>凡华云仓-韵达-抖音</v>
      </c>
      <c r="O6555" s="5">
        <v>320177487114463</v>
      </c>
      <c r="P6555" s="6">
        <v>0.28000000000000003</v>
      </c>
      <c r="Q6555" s="11">
        <v>2</v>
      </c>
      <c r="R6555" s="11"/>
      <c r="S6555" s="11"/>
      <c r="T6555" s="11"/>
      <c r="U6555" s="11">
        <f t="shared" si="1973"/>
        <v>2</v>
      </c>
      <c r="W6555">
        <v>2.2000000000000002</v>
      </c>
      <c r="X6555" s="1" t="s">
        <v>80</v>
      </c>
    </row>
    <row r="6556" spans="1:24" x14ac:dyDescent="0.25">
      <c r="A6556" s="1" t="str">
        <f t="shared" si="1974"/>
        <v>卡卡杜-凤凰仓</v>
      </c>
      <c r="B6556" s="1" t="str">
        <f>"CK202410189277"</f>
        <v>CK202410189277</v>
      </c>
      <c r="C6556" s="1" t="str">
        <f>"DD2024101814859"</f>
        <v>DD2024101814859</v>
      </c>
      <c r="D6556" s="1" t="str">
        <f>"CK202410189523"</f>
        <v>CK202410189523</v>
      </c>
      <c r="E6556" s="1" t="str">
        <f>"6935153826068633031"</f>
        <v>6935153826068633031</v>
      </c>
      <c r="F6556" s="1" t="str">
        <f t="shared" si="1975"/>
        <v>花都四部-凤凰仓</v>
      </c>
      <c r="G6556" s="1" t="str">
        <f t="shared" si="1972"/>
        <v>卡卡杜个人护理店（抖店）</v>
      </c>
      <c r="H6556" s="1" t="str">
        <f t="shared" si="1976"/>
        <v>正常订单</v>
      </c>
      <c r="I6556" s="1" t="str">
        <f t="shared" si="1977"/>
        <v>已发货</v>
      </c>
      <c r="J6556" s="1" t="str">
        <f t="shared" si="1978"/>
        <v>3</v>
      </c>
      <c r="K6556" s="1">
        <v>3</v>
      </c>
      <c r="L6556" s="1" t="s">
        <v>80</v>
      </c>
      <c r="M6556" s="1" t="str">
        <f>"河南省 新乡市 延津县 司寨乡"</f>
        <v>河南省 新乡市 延津县 司寨乡</v>
      </c>
      <c r="N6556" s="1" t="str">
        <f t="shared" si="1979"/>
        <v>凡华云仓-韵达-抖音</v>
      </c>
      <c r="O6556" s="5">
        <v>320177479464719</v>
      </c>
      <c r="P6556" s="6">
        <v>0.28000000000000003</v>
      </c>
      <c r="Q6556" s="11">
        <v>2</v>
      </c>
      <c r="R6556" s="11"/>
      <c r="S6556" s="11"/>
      <c r="T6556" s="11"/>
      <c r="U6556" s="11">
        <f t="shared" si="1973"/>
        <v>2</v>
      </c>
      <c r="W6556">
        <v>2.2000000000000002</v>
      </c>
      <c r="X6556" s="1" t="s">
        <v>80</v>
      </c>
    </row>
    <row r="6557" spans="1:24" x14ac:dyDescent="0.25">
      <c r="A6557" s="1" t="str">
        <f t="shared" si="1974"/>
        <v>卡卡杜-凤凰仓</v>
      </c>
      <c r="B6557" s="1" t="str">
        <f>"CK202410189279"</f>
        <v>CK202410189279</v>
      </c>
      <c r="C6557" s="1" t="str">
        <f>"DD2024101814862"</f>
        <v>DD2024101814862</v>
      </c>
      <c r="D6557" s="1" t="str">
        <f>"CK202410189522"</f>
        <v>CK202410189522</v>
      </c>
      <c r="E6557" s="1" t="str">
        <f>"6935171876107720036"</f>
        <v>6935171876107720036</v>
      </c>
      <c r="F6557" s="1" t="str">
        <f t="shared" si="1975"/>
        <v>花都四部-凤凰仓</v>
      </c>
      <c r="G6557" s="1" t="str">
        <f t="shared" si="1972"/>
        <v>卡卡杜个人护理店（抖店）</v>
      </c>
      <c r="H6557" s="1" t="str">
        <f t="shared" si="1976"/>
        <v>正常订单</v>
      </c>
      <c r="I6557" s="1" t="str">
        <f t="shared" si="1977"/>
        <v>已发货</v>
      </c>
      <c r="J6557" s="1" t="str">
        <f t="shared" si="1978"/>
        <v>3</v>
      </c>
      <c r="K6557" s="1">
        <v>3</v>
      </c>
      <c r="L6557" s="1" t="s">
        <v>13</v>
      </c>
      <c r="M6557" s="1" t="str">
        <f>"江苏省 扬州市 广陵区 "</f>
        <v xml:space="preserve">江苏省 扬州市 广陵区 </v>
      </c>
      <c r="N6557" s="1" t="str">
        <f t="shared" si="1979"/>
        <v>凡华云仓-韵达-抖音</v>
      </c>
      <c r="O6557" s="5">
        <v>320177479464618</v>
      </c>
      <c r="P6557" s="6">
        <v>0.28000000000000003</v>
      </c>
      <c r="Q6557" s="11">
        <v>2</v>
      </c>
      <c r="R6557" s="11"/>
      <c r="S6557" s="11"/>
      <c r="T6557" s="11"/>
      <c r="U6557" s="11">
        <f t="shared" si="1973"/>
        <v>2</v>
      </c>
      <c r="W6557">
        <v>2.2000000000000002</v>
      </c>
      <c r="X6557" s="1" t="s">
        <v>13</v>
      </c>
    </row>
    <row r="6558" spans="1:24" x14ac:dyDescent="0.25">
      <c r="A6558" s="1" t="str">
        <f t="shared" si="1974"/>
        <v>卡卡杜-凤凰仓</v>
      </c>
      <c r="B6558" s="1" t="str">
        <f>"CK202410189281"</f>
        <v>CK202410189281</v>
      </c>
      <c r="C6558" s="1" t="str">
        <f>"DD2024101814863"</f>
        <v>DD2024101814863</v>
      </c>
      <c r="D6558" s="1" t="str">
        <f>"CK202410189521"</f>
        <v>CK202410189521</v>
      </c>
      <c r="E6558" s="1" t="str">
        <f>"6935147291913360542"</f>
        <v>6935147291913360542</v>
      </c>
      <c r="F6558" s="1" t="str">
        <f t="shared" si="1975"/>
        <v>花都四部-凤凰仓</v>
      </c>
      <c r="G6558" s="1" t="str">
        <f t="shared" si="1972"/>
        <v>卡卡杜个人护理店（抖店）</v>
      </c>
      <c r="H6558" s="1" t="str">
        <f t="shared" si="1976"/>
        <v>正常订单</v>
      </c>
      <c r="I6558" s="1" t="str">
        <f t="shared" si="1977"/>
        <v>已发货</v>
      </c>
      <c r="J6558" s="1" t="str">
        <f t="shared" si="1978"/>
        <v>3</v>
      </c>
      <c r="K6558" s="1">
        <v>3</v>
      </c>
      <c r="L6558" s="1" t="s">
        <v>80</v>
      </c>
      <c r="M6558" s="1" t="str">
        <f>"河南省 安阳市 龙安区 龙泉镇"</f>
        <v>河南省 安阳市 龙安区 龙泉镇</v>
      </c>
      <c r="N6558" s="1" t="str">
        <f t="shared" si="1979"/>
        <v>凡华云仓-韵达-抖音</v>
      </c>
      <c r="O6558" s="5">
        <v>320177479464519</v>
      </c>
      <c r="P6558" s="6">
        <v>0.28000000000000003</v>
      </c>
      <c r="Q6558" s="11">
        <v>2</v>
      </c>
      <c r="R6558" s="11"/>
      <c r="S6558" s="11"/>
      <c r="T6558" s="11"/>
      <c r="U6558" s="11">
        <f t="shared" si="1973"/>
        <v>2</v>
      </c>
      <c r="W6558">
        <v>2.2000000000000002</v>
      </c>
      <c r="X6558" s="1" t="s">
        <v>80</v>
      </c>
    </row>
    <row r="6559" spans="1:24" x14ac:dyDescent="0.25">
      <c r="A6559" s="1" t="str">
        <f t="shared" si="1974"/>
        <v>卡卡杜-凤凰仓</v>
      </c>
      <c r="B6559" s="1" t="str">
        <f>"CK202410189286"</f>
        <v>CK202410189286</v>
      </c>
      <c r="C6559" s="1" t="str">
        <f>"DD2024101814867"</f>
        <v>DD2024101814867</v>
      </c>
      <c r="D6559" s="1" t="str">
        <f>"CK202410189520"</f>
        <v>CK202410189520</v>
      </c>
      <c r="E6559" s="1" t="str">
        <f>"6935171978493039875"</f>
        <v>6935171978493039875</v>
      </c>
      <c r="F6559" s="1" t="str">
        <f t="shared" si="1975"/>
        <v>花都四部-凤凰仓</v>
      </c>
      <c r="G6559" s="1" t="str">
        <f t="shared" si="1972"/>
        <v>卡卡杜个人护理店（抖店）</v>
      </c>
      <c r="H6559" s="1" t="str">
        <f t="shared" si="1976"/>
        <v>正常订单</v>
      </c>
      <c r="I6559" s="1" t="str">
        <f t="shared" si="1977"/>
        <v>已发货</v>
      </c>
      <c r="J6559" s="1" t="str">
        <f t="shared" si="1978"/>
        <v>3</v>
      </c>
      <c r="K6559" s="1">
        <v>3</v>
      </c>
      <c r="L6559" s="1" t="s">
        <v>36</v>
      </c>
      <c r="M6559" s="1" t="str">
        <f>"安徽省 阜阳市 临泉县 "</f>
        <v xml:space="preserve">安徽省 阜阳市 临泉县 </v>
      </c>
      <c r="N6559" s="1" t="str">
        <f t="shared" si="1979"/>
        <v>凡华云仓-韵达-抖音</v>
      </c>
      <c r="O6559" s="5">
        <v>320177479464422</v>
      </c>
      <c r="P6559" s="6">
        <v>0.28000000000000003</v>
      </c>
      <c r="Q6559" s="11">
        <v>2</v>
      </c>
      <c r="R6559" s="11"/>
      <c r="S6559" s="11"/>
      <c r="T6559" s="11"/>
      <c r="U6559" s="11">
        <f t="shared" si="1973"/>
        <v>2</v>
      </c>
      <c r="W6559">
        <v>2.2000000000000002</v>
      </c>
      <c r="X6559" s="1" t="s">
        <v>36</v>
      </c>
    </row>
    <row r="6560" spans="1:24" x14ac:dyDescent="0.25">
      <c r="A6560" s="1" t="str">
        <f t="shared" si="1974"/>
        <v>卡卡杜-凤凰仓</v>
      </c>
      <c r="B6560" s="1" t="str">
        <f>"CK202410189284"</f>
        <v>CK202410189284</v>
      </c>
      <c r="C6560" s="1" t="str">
        <f>"DD2024101814868"</f>
        <v>DD2024101814868</v>
      </c>
      <c r="D6560" s="1" t="str">
        <f>"CK202410189519"</f>
        <v>CK202410189519</v>
      </c>
      <c r="E6560" s="1" t="str">
        <f>"6935143442880140791"</f>
        <v>6935143442880140791</v>
      </c>
      <c r="F6560" s="1" t="str">
        <f t="shared" si="1975"/>
        <v>花都四部-凤凰仓</v>
      </c>
      <c r="G6560" s="1" t="str">
        <f t="shared" si="1972"/>
        <v>卡卡杜个人护理店（抖店）</v>
      </c>
      <c r="H6560" s="1" t="str">
        <f t="shared" si="1976"/>
        <v>正常订单</v>
      </c>
      <c r="I6560" s="1" t="str">
        <f t="shared" si="1977"/>
        <v>已发货</v>
      </c>
      <c r="J6560" s="1" t="str">
        <f t="shared" si="1978"/>
        <v>3</v>
      </c>
      <c r="K6560" s="1">
        <v>3</v>
      </c>
      <c r="L6560" s="1" t="s">
        <v>109</v>
      </c>
      <c r="M6560" s="1" t="str">
        <f>"山西省 长治市 武乡县 丰州镇"</f>
        <v>山西省 长治市 武乡县 丰州镇</v>
      </c>
      <c r="N6560" s="1" t="str">
        <f t="shared" si="1979"/>
        <v>凡华云仓-韵达-抖音</v>
      </c>
      <c r="O6560" s="5">
        <v>320177479464327</v>
      </c>
      <c r="P6560" s="6">
        <v>0.28000000000000003</v>
      </c>
      <c r="Q6560" s="11">
        <v>2</v>
      </c>
      <c r="R6560" s="11"/>
      <c r="S6560" s="11"/>
      <c r="T6560" s="11"/>
      <c r="U6560" s="11">
        <f t="shared" si="1973"/>
        <v>2</v>
      </c>
      <c r="W6560">
        <v>2.2000000000000002</v>
      </c>
      <c r="X6560" s="1" t="s">
        <v>109</v>
      </c>
    </row>
    <row r="6561" spans="1:24" x14ac:dyDescent="0.25">
      <c r="A6561" s="1" t="str">
        <f t="shared" si="1974"/>
        <v>卡卡杜-凤凰仓</v>
      </c>
      <c r="B6561" s="1" t="str">
        <f>"CK202410189288"</f>
        <v>CK202410189288</v>
      </c>
      <c r="C6561" s="1" t="str">
        <f>"DD2024101814871"</f>
        <v>DD2024101814871</v>
      </c>
      <c r="D6561" s="1" t="str">
        <f>"CK202410189518"</f>
        <v>CK202410189518</v>
      </c>
      <c r="E6561" s="1" t="str">
        <f>"6935143435651257439"</f>
        <v>6935143435651257439</v>
      </c>
      <c r="F6561" s="1" t="str">
        <f t="shared" si="1975"/>
        <v>花都四部-凤凰仓</v>
      </c>
      <c r="G6561" s="1" t="str">
        <f t="shared" si="1972"/>
        <v>卡卡杜个人护理店（抖店）</v>
      </c>
      <c r="H6561" s="1" t="str">
        <f t="shared" si="1976"/>
        <v>正常订单</v>
      </c>
      <c r="I6561" s="1" t="str">
        <f t="shared" si="1977"/>
        <v>已发货</v>
      </c>
      <c r="J6561" s="1" t="str">
        <f t="shared" si="1978"/>
        <v>3</v>
      </c>
      <c r="K6561" s="1">
        <v>3</v>
      </c>
      <c r="L6561" s="1" t="s">
        <v>22</v>
      </c>
      <c r="M6561" s="1" t="str">
        <f>"江西省 南昌市 青山湖区 罗家镇"</f>
        <v>江西省 南昌市 青山湖区 罗家镇</v>
      </c>
      <c r="N6561" s="1" t="str">
        <f t="shared" si="1979"/>
        <v>凡华云仓-韵达-抖音</v>
      </c>
      <c r="O6561" s="5">
        <v>320177479464234</v>
      </c>
      <c r="P6561" s="6">
        <v>0.28000000000000003</v>
      </c>
      <c r="Q6561" s="11">
        <v>2</v>
      </c>
      <c r="R6561" s="11"/>
      <c r="S6561" s="11"/>
      <c r="T6561" s="11"/>
      <c r="U6561" s="11">
        <f t="shared" si="1973"/>
        <v>2</v>
      </c>
      <c r="W6561">
        <v>2.2000000000000002</v>
      </c>
      <c r="X6561" s="1" t="s">
        <v>22</v>
      </c>
    </row>
    <row r="6562" spans="1:24" x14ac:dyDescent="0.25">
      <c r="A6562" s="1" t="str">
        <f t="shared" si="1974"/>
        <v>卡卡杜-凤凰仓</v>
      </c>
      <c r="B6562" s="1" t="str">
        <f>"CK202410189290"</f>
        <v>CK202410189290</v>
      </c>
      <c r="C6562" s="1" t="str">
        <f>"DD2024101814872"</f>
        <v>DD2024101814872</v>
      </c>
      <c r="D6562" s="1" t="str">
        <f>"CK202410189517"</f>
        <v>CK202410189517</v>
      </c>
      <c r="E6562" s="1" t="str">
        <f>"6935155912197805542"</f>
        <v>6935155912197805542</v>
      </c>
      <c r="F6562" s="1" t="str">
        <f t="shared" si="1975"/>
        <v>花都四部-凤凰仓</v>
      </c>
      <c r="G6562" s="1" t="str">
        <f t="shared" si="1972"/>
        <v>卡卡杜个人护理店（抖店）</v>
      </c>
      <c r="H6562" s="1" t="str">
        <f t="shared" si="1976"/>
        <v>正常订单</v>
      </c>
      <c r="I6562" s="1" t="str">
        <f t="shared" si="1977"/>
        <v>已发货</v>
      </c>
      <c r="J6562" s="1" t="str">
        <f t="shared" si="1978"/>
        <v>3</v>
      </c>
      <c r="K6562" s="1">
        <v>3</v>
      </c>
      <c r="L6562" s="1" t="s">
        <v>80</v>
      </c>
      <c r="M6562" s="1" t="str">
        <f>"河南省 焦作市 沁阳市 王曲乡"</f>
        <v>河南省 焦作市 沁阳市 王曲乡</v>
      </c>
      <c r="N6562" s="1" t="str">
        <f t="shared" si="1979"/>
        <v>凡华云仓-韵达-抖音</v>
      </c>
      <c r="O6562" s="5">
        <v>320177479464143</v>
      </c>
      <c r="P6562" s="6">
        <v>0.28000000000000003</v>
      </c>
      <c r="Q6562" s="11">
        <v>2</v>
      </c>
      <c r="R6562" s="11"/>
      <c r="S6562" s="11"/>
      <c r="T6562" s="11"/>
      <c r="U6562" s="11">
        <f t="shared" si="1973"/>
        <v>2</v>
      </c>
      <c r="W6562">
        <v>2.2000000000000002</v>
      </c>
      <c r="X6562" s="1" t="s">
        <v>80</v>
      </c>
    </row>
    <row r="6563" spans="1:24" x14ac:dyDescent="0.25">
      <c r="A6563" s="1" t="str">
        <f t="shared" si="1974"/>
        <v>卡卡杜-凤凰仓</v>
      </c>
      <c r="B6563" s="1" t="str">
        <f>"CK202410189292"</f>
        <v>CK202410189292</v>
      </c>
      <c r="C6563" s="1" t="str">
        <f>"DD2024101814874"</f>
        <v>DD2024101814874</v>
      </c>
      <c r="D6563" s="1" t="str">
        <f>"CK202410189516"</f>
        <v>CK202410189516</v>
      </c>
      <c r="E6563" s="1" t="str">
        <f>"6935158340474574626"</f>
        <v>6935158340474574626</v>
      </c>
      <c r="F6563" s="1" t="str">
        <f t="shared" si="1975"/>
        <v>花都四部-凤凰仓</v>
      </c>
      <c r="G6563" s="1" t="str">
        <f t="shared" si="1972"/>
        <v>卡卡杜个人护理店（抖店）</v>
      </c>
      <c r="H6563" s="1" t="str">
        <f t="shared" si="1976"/>
        <v>正常订单</v>
      </c>
      <c r="I6563" s="1" t="str">
        <f t="shared" si="1977"/>
        <v>已发货</v>
      </c>
      <c r="J6563" s="1" t="str">
        <f t="shared" si="1978"/>
        <v>3</v>
      </c>
      <c r="K6563" s="1">
        <v>3</v>
      </c>
      <c r="L6563" s="1" t="s">
        <v>30</v>
      </c>
      <c r="M6563" s="1" t="str">
        <f>"山东省 临沂市 费县 费城街道"</f>
        <v>山东省 临沂市 费县 费城街道</v>
      </c>
      <c r="N6563" s="1" t="str">
        <f t="shared" si="1979"/>
        <v>凡华云仓-韵达-抖音</v>
      </c>
      <c r="O6563" s="5">
        <v>320177479464054</v>
      </c>
      <c r="P6563" s="6">
        <v>0.28000000000000003</v>
      </c>
      <c r="Q6563" s="11">
        <v>2</v>
      </c>
      <c r="R6563" s="11"/>
      <c r="S6563" s="11"/>
      <c r="T6563" s="11"/>
      <c r="U6563" s="11">
        <f t="shared" si="1973"/>
        <v>2</v>
      </c>
      <c r="W6563">
        <v>2.2000000000000002</v>
      </c>
      <c r="X6563" s="1" t="s">
        <v>30</v>
      </c>
    </row>
    <row r="6564" spans="1:24" x14ac:dyDescent="0.25">
      <c r="A6564" s="1" t="str">
        <f t="shared" si="1974"/>
        <v>卡卡杜-凤凰仓</v>
      </c>
      <c r="B6564" s="1" t="str">
        <f>"CK202410189294"</f>
        <v>CK202410189294</v>
      </c>
      <c r="C6564" s="1" t="str">
        <f>"DD2024101814877"</f>
        <v>DD2024101814877</v>
      </c>
      <c r="D6564" s="1" t="str">
        <f>"CK202410189515"</f>
        <v>CK202410189515</v>
      </c>
      <c r="E6564" s="1" t="str">
        <f>"6935153698061489792"</f>
        <v>6935153698061489792</v>
      </c>
      <c r="F6564" s="1" t="str">
        <f t="shared" si="1975"/>
        <v>花都四部-凤凰仓</v>
      </c>
      <c r="G6564" s="1" t="str">
        <f t="shared" si="1972"/>
        <v>卡卡杜个人护理店（抖店）</v>
      </c>
      <c r="H6564" s="1" t="str">
        <f t="shared" si="1976"/>
        <v>正常订单</v>
      </c>
      <c r="I6564" s="1" t="str">
        <f t="shared" si="1977"/>
        <v>已发货</v>
      </c>
      <c r="J6564" s="1" t="str">
        <f t="shared" si="1978"/>
        <v>3</v>
      </c>
      <c r="K6564" s="1">
        <v>3</v>
      </c>
      <c r="L6564" s="1" t="s">
        <v>30</v>
      </c>
      <c r="M6564" s="1" t="str">
        <f>"山东省 淄博市 桓台县 果里镇"</f>
        <v>山东省 淄博市 桓台县 果里镇</v>
      </c>
      <c r="N6564" s="1" t="str">
        <f t="shared" si="1979"/>
        <v>凡华云仓-韵达-抖音</v>
      </c>
      <c r="O6564" s="5">
        <v>320177479463932</v>
      </c>
      <c r="P6564" s="6">
        <v>0.28000000000000003</v>
      </c>
      <c r="Q6564" s="11">
        <v>2</v>
      </c>
      <c r="R6564" s="11"/>
      <c r="S6564" s="11"/>
      <c r="T6564" s="11"/>
      <c r="U6564" s="11">
        <f t="shared" si="1973"/>
        <v>2</v>
      </c>
      <c r="W6564">
        <v>2.2000000000000002</v>
      </c>
      <c r="X6564" s="1" t="s">
        <v>30</v>
      </c>
    </row>
    <row r="6565" spans="1:24" x14ac:dyDescent="0.25">
      <c r="A6565" s="1" t="str">
        <f t="shared" si="1974"/>
        <v>卡卡杜-凤凰仓</v>
      </c>
      <c r="B6565" s="1" t="str">
        <f>"CK202410189305"</f>
        <v>CK202410189305</v>
      </c>
      <c r="C6565" s="1" t="str">
        <f>"DD2024101814888"</f>
        <v>DD2024101814888</v>
      </c>
      <c r="D6565" s="1" t="str">
        <f>"CK202410189514"</f>
        <v>CK202410189514</v>
      </c>
      <c r="E6565" s="1" t="str">
        <f>"6935169745678833052"</f>
        <v>6935169745678833052</v>
      </c>
      <c r="F6565" s="1" t="str">
        <f t="shared" si="1975"/>
        <v>花都四部-凤凰仓</v>
      </c>
      <c r="G6565" s="1" t="str">
        <f t="shared" si="1972"/>
        <v>卡卡杜个人护理店（抖店）</v>
      </c>
      <c r="H6565" s="1" t="str">
        <f t="shared" si="1976"/>
        <v>正常订单</v>
      </c>
      <c r="I6565" s="1" t="str">
        <f t="shared" si="1977"/>
        <v>已发货</v>
      </c>
      <c r="J6565" s="1" t="str">
        <f t="shared" si="1978"/>
        <v>3</v>
      </c>
      <c r="K6565" s="1">
        <v>3</v>
      </c>
      <c r="L6565" s="1" t="s">
        <v>94</v>
      </c>
      <c r="M6565" s="1" t="str">
        <f>"湖南省 岳阳市 平江县 三阳乡"</f>
        <v>湖南省 岳阳市 平江县 三阳乡</v>
      </c>
      <c r="N6565" s="1" t="str">
        <f t="shared" si="1979"/>
        <v>凡华云仓-韵达-抖音</v>
      </c>
      <c r="O6565" s="5">
        <v>320177479463827</v>
      </c>
      <c r="P6565" s="6">
        <v>0.28000000000000003</v>
      </c>
      <c r="Q6565" s="11">
        <v>2</v>
      </c>
      <c r="R6565" s="11"/>
      <c r="S6565" s="11"/>
      <c r="T6565" s="11"/>
      <c r="U6565" s="11">
        <f t="shared" si="1973"/>
        <v>2</v>
      </c>
      <c r="W6565">
        <v>2.2000000000000002</v>
      </c>
      <c r="X6565" s="1" t="s">
        <v>94</v>
      </c>
    </row>
    <row r="6566" spans="1:24" x14ac:dyDescent="0.25">
      <c r="A6566" s="1" t="str">
        <f t="shared" si="1974"/>
        <v>卡卡杜-凤凰仓</v>
      </c>
      <c r="B6566" s="1" t="str">
        <f>"CK2024101810023"</f>
        <v>CK2024101810023</v>
      </c>
      <c r="C6566" s="1" t="str">
        <f>"DD2024101815608"</f>
        <v>DD2024101815608</v>
      </c>
      <c r="D6566" s="1" t="str">
        <f>"CK202410189513"</f>
        <v>CK202410189513</v>
      </c>
      <c r="E6566" s="1" t="str">
        <f>"6935140936964510821"</f>
        <v>6935140936964510821</v>
      </c>
      <c r="F6566" s="1" t="str">
        <f t="shared" si="1975"/>
        <v>花都四部-凤凰仓</v>
      </c>
      <c r="G6566" s="1" t="str">
        <f t="shared" si="1972"/>
        <v>卡卡杜个人护理店（抖店）</v>
      </c>
      <c r="H6566" s="1" t="str">
        <f t="shared" si="1976"/>
        <v>正常订单</v>
      </c>
      <c r="I6566" s="1" t="str">
        <f t="shared" si="1977"/>
        <v>已发货</v>
      </c>
      <c r="J6566" s="1" t="str">
        <f t="shared" si="1978"/>
        <v>3</v>
      </c>
      <c r="K6566" s="1">
        <v>3</v>
      </c>
      <c r="L6566" s="1" t="s">
        <v>109</v>
      </c>
      <c r="M6566" s="1" t="str">
        <f>"山西省 太原市 万柏林区 下元街道"</f>
        <v>山西省 太原市 万柏林区 下元街道</v>
      </c>
      <c r="N6566" s="1" t="str">
        <f t="shared" si="1979"/>
        <v>凡华云仓-韵达-抖音</v>
      </c>
      <c r="O6566" s="5">
        <v>320177479468234</v>
      </c>
      <c r="P6566" s="6">
        <v>0.28000000000000003</v>
      </c>
      <c r="Q6566" s="11">
        <v>2</v>
      </c>
      <c r="R6566" s="11"/>
      <c r="S6566" s="11"/>
      <c r="T6566" s="11"/>
      <c r="U6566" s="11">
        <f t="shared" si="1973"/>
        <v>2</v>
      </c>
      <c r="W6566">
        <v>2.2000000000000002</v>
      </c>
      <c r="X6566" s="1" t="s">
        <v>109</v>
      </c>
    </row>
    <row r="6567" spans="1:24" x14ac:dyDescent="0.25">
      <c r="A6567" s="1" t="str">
        <f t="shared" si="1974"/>
        <v>卡卡杜-凤凰仓</v>
      </c>
      <c r="B6567" s="1" t="str">
        <f>"CK202410189296"</f>
        <v>CK202410189296</v>
      </c>
      <c r="C6567" s="1" t="str">
        <f>"DD2024101814878"</f>
        <v>DD2024101814878</v>
      </c>
      <c r="D6567" s="1" t="str">
        <f>"CK202410189512"</f>
        <v>CK202410189512</v>
      </c>
      <c r="E6567" s="1" t="str">
        <f>"6935158284353672971"</f>
        <v>6935158284353672971</v>
      </c>
      <c r="F6567" s="1" t="str">
        <f t="shared" si="1975"/>
        <v>花都四部-凤凰仓</v>
      </c>
      <c r="G6567" s="1" t="str">
        <f t="shared" si="1972"/>
        <v>卡卡杜个人护理店（抖店）</v>
      </c>
      <c r="H6567" s="1" t="str">
        <f t="shared" si="1976"/>
        <v>正常订单</v>
      </c>
      <c r="I6567" s="1" t="str">
        <f t="shared" si="1977"/>
        <v>已发货</v>
      </c>
      <c r="J6567" s="1" t="str">
        <f t="shared" si="1978"/>
        <v>3</v>
      </c>
      <c r="K6567" s="1">
        <v>3</v>
      </c>
      <c r="L6567" s="1" t="s">
        <v>24</v>
      </c>
      <c r="M6567" s="1" t="str">
        <f>"福建省 莆田市 荔城区 "</f>
        <v xml:space="preserve">福建省 莆田市 荔城区 </v>
      </c>
      <c r="N6567" s="1" t="str">
        <f t="shared" si="1979"/>
        <v>凡华云仓-韵达-抖音</v>
      </c>
      <c r="O6567" s="5">
        <v>320177479468143</v>
      </c>
      <c r="P6567" s="6">
        <v>0.28000000000000003</v>
      </c>
      <c r="Q6567" s="11">
        <v>2</v>
      </c>
      <c r="R6567" s="11"/>
      <c r="S6567" s="11"/>
      <c r="T6567" s="11"/>
      <c r="U6567" s="11">
        <f t="shared" si="1973"/>
        <v>2</v>
      </c>
      <c r="W6567">
        <v>2.2000000000000002</v>
      </c>
      <c r="X6567" s="1" t="s">
        <v>24</v>
      </c>
    </row>
    <row r="6568" spans="1:24" x14ac:dyDescent="0.25">
      <c r="A6568" s="1" t="str">
        <f t="shared" si="1974"/>
        <v>卡卡杜-凤凰仓</v>
      </c>
      <c r="B6568" s="1" t="str">
        <f>"CK202410189298"</f>
        <v>CK202410189298</v>
      </c>
      <c r="C6568" s="1" t="str">
        <f>"DD2024101814879"</f>
        <v>DD2024101814879</v>
      </c>
      <c r="D6568" s="1" t="str">
        <f>"CK202410189511"</f>
        <v>CK202410189511</v>
      </c>
      <c r="E6568" s="1" t="str">
        <f>"6935153615602849069"</f>
        <v>6935153615602849069</v>
      </c>
      <c r="F6568" s="1" t="str">
        <f t="shared" si="1975"/>
        <v>花都四部-凤凰仓</v>
      </c>
      <c r="G6568" s="1" t="str">
        <f t="shared" si="1972"/>
        <v>卡卡杜个人护理店（抖店）</v>
      </c>
      <c r="H6568" s="1" t="str">
        <f t="shared" si="1976"/>
        <v>正常订单</v>
      </c>
      <c r="I6568" s="1" t="str">
        <f t="shared" si="1977"/>
        <v>已发货</v>
      </c>
      <c r="J6568" s="1" t="str">
        <f t="shared" si="1978"/>
        <v>3</v>
      </c>
      <c r="K6568" s="1">
        <v>3</v>
      </c>
      <c r="L6568" s="1" t="s">
        <v>13</v>
      </c>
      <c r="M6568" s="1" t="str">
        <f>"江苏省 南京市 江宁区 淳化街道"</f>
        <v>江苏省 南京市 江宁区 淳化街道</v>
      </c>
      <c r="N6568" s="1" t="str">
        <f t="shared" si="1979"/>
        <v>凡华云仓-韵达-抖音</v>
      </c>
      <c r="O6568" s="5">
        <v>320177479468054</v>
      </c>
      <c r="P6568" s="6">
        <v>0.28000000000000003</v>
      </c>
      <c r="Q6568" s="11">
        <v>2</v>
      </c>
      <c r="R6568" s="11"/>
      <c r="S6568" s="11"/>
      <c r="T6568" s="11"/>
      <c r="U6568" s="11">
        <f t="shared" si="1973"/>
        <v>2</v>
      </c>
      <c r="W6568">
        <v>2.2000000000000002</v>
      </c>
      <c r="X6568" s="1" t="s">
        <v>13</v>
      </c>
    </row>
    <row r="6569" spans="1:24" x14ac:dyDescent="0.25">
      <c r="A6569" s="1" t="str">
        <f t="shared" si="1974"/>
        <v>卡卡杜-凤凰仓</v>
      </c>
      <c r="B6569" s="1" t="str">
        <f>"CK202410189300"</f>
        <v>CK202410189300</v>
      </c>
      <c r="C6569" s="1" t="str">
        <f>"DD2024101814882"</f>
        <v>DD2024101814882</v>
      </c>
      <c r="D6569" s="1" t="str">
        <f>"CK202410189510"</f>
        <v>CK202410189510</v>
      </c>
      <c r="E6569" s="1" t="str">
        <f>"6935155949560599736"</f>
        <v>6935155949560599736</v>
      </c>
      <c r="F6569" s="1" t="str">
        <f t="shared" si="1975"/>
        <v>花都四部-凤凰仓</v>
      </c>
      <c r="G6569" s="1" t="str">
        <f t="shared" si="1972"/>
        <v>卡卡杜个人护理店（抖店）</v>
      </c>
      <c r="H6569" s="1" t="str">
        <f t="shared" si="1976"/>
        <v>正常订单</v>
      </c>
      <c r="I6569" s="1" t="str">
        <f t="shared" si="1977"/>
        <v>已发货</v>
      </c>
      <c r="J6569" s="1" t="str">
        <f t="shared" si="1978"/>
        <v>3</v>
      </c>
      <c r="K6569" s="1">
        <v>3</v>
      </c>
      <c r="L6569" s="1" t="s">
        <v>36</v>
      </c>
      <c r="M6569" s="1" t="str">
        <f>"安徽省 淮南市 凤台县 城关镇"</f>
        <v>安徽省 淮南市 凤台县 城关镇</v>
      </c>
      <c r="N6569" s="1" t="str">
        <f t="shared" si="1979"/>
        <v>凡华云仓-韵达-抖音</v>
      </c>
      <c r="O6569" s="5">
        <v>320177479467924</v>
      </c>
      <c r="P6569" s="6">
        <v>0.28000000000000003</v>
      </c>
      <c r="Q6569" s="11">
        <v>2</v>
      </c>
      <c r="R6569" s="11"/>
      <c r="S6569" s="11"/>
      <c r="T6569" s="11"/>
      <c r="U6569" s="11">
        <f t="shared" si="1973"/>
        <v>2</v>
      </c>
      <c r="W6569">
        <v>2.2000000000000002</v>
      </c>
      <c r="X6569" s="1" t="s">
        <v>36</v>
      </c>
    </row>
    <row r="6570" spans="1:24" x14ac:dyDescent="0.25">
      <c r="A6570" s="1" t="str">
        <f t="shared" si="1974"/>
        <v>卡卡杜-凤凰仓</v>
      </c>
      <c r="B6570" s="1" t="str">
        <f>"CK202410189304"</f>
        <v>CK202410189304</v>
      </c>
      <c r="C6570" s="1" t="str">
        <f>"DD2024101814885"</f>
        <v>DD2024101814885</v>
      </c>
      <c r="D6570" s="1" t="str">
        <f>"CK202410189509"</f>
        <v>CK202410189509</v>
      </c>
      <c r="E6570" s="1" t="str">
        <f>"6935145219065517837"</f>
        <v>6935145219065517837</v>
      </c>
      <c r="F6570" s="1" t="str">
        <f t="shared" si="1975"/>
        <v>花都四部-凤凰仓</v>
      </c>
      <c r="G6570" s="1" t="str">
        <f t="shared" si="1972"/>
        <v>卡卡杜个人护理店（抖店）</v>
      </c>
      <c r="H6570" s="1" t="str">
        <f t="shared" si="1976"/>
        <v>正常订单</v>
      </c>
      <c r="I6570" s="1" t="str">
        <f t="shared" si="1977"/>
        <v>已发货</v>
      </c>
      <c r="J6570" s="1" t="str">
        <f t="shared" si="1978"/>
        <v>3</v>
      </c>
      <c r="K6570" s="1">
        <v>3</v>
      </c>
      <c r="L6570" s="1" t="s">
        <v>20</v>
      </c>
      <c r="M6570" s="1" t="str">
        <f>"浙江省 嘉兴市 海宁市 硖石街道"</f>
        <v>浙江省 嘉兴市 海宁市 硖石街道</v>
      </c>
      <c r="N6570" s="1" t="str">
        <f t="shared" si="1979"/>
        <v>凡华云仓-韵达-抖音</v>
      </c>
      <c r="O6570" s="5">
        <v>320177479467819</v>
      </c>
      <c r="P6570" s="6">
        <v>0.28000000000000003</v>
      </c>
      <c r="Q6570" s="11">
        <v>2</v>
      </c>
      <c r="R6570" s="11"/>
      <c r="S6570" s="11"/>
      <c r="T6570" s="11"/>
      <c r="U6570" s="11">
        <f t="shared" si="1973"/>
        <v>2</v>
      </c>
      <c r="W6570">
        <v>2.2000000000000002</v>
      </c>
      <c r="X6570" s="1" t="s">
        <v>20</v>
      </c>
    </row>
    <row r="6571" spans="1:24" x14ac:dyDescent="0.25">
      <c r="A6571" s="1" t="str">
        <f t="shared" si="1974"/>
        <v>卡卡杜-凤凰仓</v>
      </c>
      <c r="B6571" s="1" t="str">
        <f>"CK202410189301"</f>
        <v>CK202410189301</v>
      </c>
      <c r="C6571" s="1" t="str">
        <f>"DD2024101814886"</f>
        <v>DD2024101814886</v>
      </c>
      <c r="D6571" s="1" t="str">
        <f>"CK202410189508"</f>
        <v>CK202410189508</v>
      </c>
      <c r="E6571" s="1" t="str">
        <f>"6935145309349222374"</f>
        <v>6935145309349222374</v>
      </c>
      <c r="F6571" s="1" t="str">
        <f t="shared" si="1975"/>
        <v>花都四部-凤凰仓</v>
      </c>
      <c r="G6571" s="1" t="str">
        <f t="shared" si="1972"/>
        <v>卡卡杜个人护理店（抖店）</v>
      </c>
      <c r="H6571" s="1" t="str">
        <f t="shared" si="1976"/>
        <v>正常订单</v>
      </c>
      <c r="I6571" s="1" t="str">
        <f t="shared" si="1977"/>
        <v>已发货</v>
      </c>
      <c r="J6571" s="1" t="str">
        <f t="shared" si="1978"/>
        <v>3</v>
      </c>
      <c r="K6571" s="1">
        <v>3</v>
      </c>
      <c r="L6571" s="1" t="s">
        <v>30</v>
      </c>
      <c r="M6571" s="1" t="str">
        <f>"山东省 淄博市 沂源县 西里镇"</f>
        <v>山东省 淄博市 沂源县 西里镇</v>
      </c>
      <c r="N6571" s="1" t="str">
        <f t="shared" si="1979"/>
        <v>凡华云仓-韵达-抖音</v>
      </c>
      <c r="O6571" s="5">
        <v>320177479467716</v>
      </c>
      <c r="P6571" s="6">
        <v>0.28000000000000003</v>
      </c>
      <c r="Q6571" s="11">
        <v>2</v>
      </c>
      <c r="R6571" s="11"/>
      <c r="S6571" s="11"/>
      <c r="T6571" s="11"/>
      <c r="U6571" s="11">
        <f t="shared" si="1973"/>
        <v>2</v>
      </c>
      <c r="W6571">
        <v>2.2000000000000002</v>
      </c>
      <c r="X6571" s="1" t="s">
        <v>30</v>
      </c>
    </row>
    <row r="6572" spans="1:24" x14ac:dyDescent="0.25">
      <c r="A6572" s="1" t="str">
        <f t="shared" si="1974"/>
        <v>卡卡杜-凤凰仓</v>
      </c>
      <c r="B6572" s="1" t="str">
        <f>"CK202410189308"</f>
        <v>CK202410189308</v>
      </c>
      <c r="C6572" s="1" t="str">
        <f>"DD2024101814890"</f>
        <v>DD2024101814890</v>
      </c>
      <c r="D6572" s="1" t="str">
        <f>"CK202410189507"</f>
        <v>CK202410189507</v>
      </c>
      <c r="E6572" s="1" t="str">
        <f>"6935162791675761954"</f>
        <v>6935162791675761954</v>
      </c>
      <c r="F6572" s="1" t="str">
        <f t="shared" si="1975"/>
        <v>花都四部-凤凰仓</v>
      </c>
      <c r="G6572" s="1" t="str">
        <f t="shared" si="1972"/>
        <v>卡卡杜个人护理店（抖店）</v>
      </c>
      <c r="H6572" s="1" t="str">
        <f t="shared" si="1976"/>
        <v>正常订单</v>
      </c>
      <c r="I6572" s="1" t="str">
        <f t="shared" si="1977"/>
        <v>已发货</v>
      </c>
      <c r="J6572" s="1" t="str">
        <f t="shared" si="1978"/>
        <v>3</v>
      </c>
      <c r="K6572" s="1">
        <v>3</v>
      </c>
      <c r="L6572" s="1" t="s">
        <v>109</v>
      </c>
      <c r="M6572" s="1" t="str">
        <f>"山西省 运城市 盐湖区 姚孟街道"</f>
        <v>山西省 运城市 盐湖区 姚孟街道</v>
      </c>
      <c r="N6572" s="1" t="str">
        <f t="shared" si="1979"/>
        <v>凡华云仓-韵达-抖音</v>
      </c>
      <c r="O6572" s="5">
        <v>320177479467615</v>
      </c>
      <c r="P6572" s="6">
        <v>0.28000000000000003</v>
      </c>
      <c r="Q6572" s="11">
        <v>2</v>
      </c>
      <c r="R6572" s="11"/>
      <c r="S6572" s="11"/>
      <c r="T6572" s="11"/>
      <c r="U6572" s="11">
        <f t="shared" si="1973"/>
        <v>2</v>
      </c>
      <c r="W6572">
        <v>2.2000000000000002</v>
      </c>
      <c r="X6572" s="1" t="s">
        <v>109</v>
      </c>
    </row>
    <row r="6573" spans="1:24" x14ac:dyDescent="0.25">
      <c r="A6573" s="1" t="str">
        <f t="shared" si="1974"/>
        <v>卡卡杜-凤凰仓</v>
      </c>
      <c r="B6573" s="1" t="str">
        <f>"CK202410189309"</f>
        <v>CK202410189309</v>
      </c>
      <c r="C6573" s="1" t="str">
        <f>"DD2024101814892"</f>
        <v>DD2024101814892</v>
      </c>
      <c r="D6573" s="1" t="str">
        <f>"CK202410189506"</f>
        <v>CK202410189506</v>
      </c>
      <c r="E6573" s="1" t="str">
        <f>"6935158368625038661"</f>
        <v>6935158368625038661</v>
      </c>
      <c r="F6573" s="1" t="str">
        <f t="shared" si="1975"/>
        <v>花都四部-凤凰仓</v>
      </c>
      <c r="G6573" s="1" t="str">
        <f t="shared" si="1972"/>
        <v>卡卡杜个人护理店（抖店）</v>
      </c>
      <c r="H6573" s="1" t="str">
        <f t="shared" si="1976"/>
        <v>正常订单</v>
      </c>
      <c r="I6573" s="1" t="str">
        <f t="shared" si="1977"/>
        <v>已发货</v>
      </c>
      <c r="J6573" s="1" t="str">
        <f t="shared" si="1978"/>
        <v>3</v>
      </c>
      <c r="K6573" s="1">
        <v>3</v>
      </c>
      <c r="L6573" s="1" t="s">
        <v>74</v>
      </c>
      <c r="M6573" s="1" t="str">
        <f>"上海 上海市 松江区 "</f>
        <v xml:space="preserve">上海 上海市 松江区 </v>
      </c>
      <c r="N6573" s="1" t="str">
        <f t="shared" si="1979"/>
        <v>凡华云仓-韵达-抖音</v>
      </c>
      <c r="O6573" s="5">
        <v>320177479467516</v>
      </c>
      <c r="P6573" s="6">
        <v>0.28000000000000003</v>
      </c>
      <c r="Q6573" s="11">
        <v>2</v>
      </c>
      <c r="R6573" s="11"/>
      <c r="S6573" s="11"/>
      <c r="T6573" s="11"/>
      <c r="U6573" s="11">
        <f t="shared" si="1973"/>
        <v>2</v>
      </c>
      <c r="W6573">
        <v>2.2000000000000002</v>
      </c>
      <c r="X6573" s="1" t="s">
        <v>74</v>
      </c>
    </row>
    <row r="6574" spans="1:24" x14ac:dyDescent="0.25">
      <c r="A6574" s="1" t="str">
        <f t="shared" si="1974"/>
        <v>卡卡杜-凤凰仓</v>
      </c>
      <c r="B6574" s="1" t="str">
        <f>"CK202410189311"</f>
        <v>CK202410189311</v>
      </c>
      <c r="C6574" s="1" t="str">
        <f>"DD2024101814894"</f>
        <v>DD2024101814894</v>
      </c>
      <c r="D6574" s="1" t="str">
        <f>"CK202410189505"</f>
        <v>CK202410189505</v>
      </c>
      <c r="E6574" s="1" t="str">
        <f>"6935164928880416446"</f>
        <v>6935164928880416446</v>
      </c>
      <c r="F6574" s="1" t="str">
        <f t="shared" si="1975"/>
        <v>花都四部-凤凰仓</v>
      </c>
      <c r="G6574" s="1" t="str">
        <f t="shared" si="1972"/>
        <v>卡卡杜个人护理店（抖店）</v>
      </c>
      <c r="H6574" s="1" t="str">
        <f t="shared" si="1976"/>
        <v>正常订单</v>
      </c>
      <c r="I6574" s="1" t="str">
        <f t="shared" si="1977"/>
        <v>已发货</v>
      </c>
      <c r="J6574" s="1" t="str">
        <f t="shared" si="1978"/>
        <v>3</v>
      </c>
      <c r="K6574" s="1">
        <v>3</v>
      </c>
      <c r="L6574" s="1" t="s">
        <v>60</v>
      </c>
      <c r="M6574" s="1" t="str">
        <f>"云南省 玉溪市 通海县 秀山街道"</f>
        <v>云南省 玉溪市 通海县 秀山街道</v>
      </c>
      <c r="N6574" s="1" t="str">
        <f t="shared" si="1979"/>
        <v>凡华云仓-韵达-抖音</v>
      </c>
      <c r="O6574" s="5">
        <v>320177479467419</v>
      </c>
      <c r="P6574" s="6">
        <v>0.28000000000000003</v>
      </c>
      <c r="Q6574" s="11">
        <v>2</v>
      </c>
      <c r="R6574" s="11"/>
      <c r="S6574" s="11"/>
      <c r="T6574" s="11"/>
      <c r="U6574" s="11">
        <f t="shared" si="1973"/>
        <v>2</v>
      </c>
      <c r="W6574">
        <v>2.2000000000000002</v>
      </c>
      <c r="X6574" s="1" t="s">
        <v>60</v>
      </c>
    </row>
    <row r="6575" spans="1:24" x14ac:dyDescent="0.25">
      <c r="A6575" s="1" t="str">
        <f t="shared" si="1974"/>
        <v>卡卡杜-凤凰仓</v>
      </c>
      <c r="B6575" s="1" t="str">
        <f>"CK202410189313"</f>
        <v>CK202410189313</v>
      </c>
      <c r="C6575" s="1" t="str">
        <f>"DD2024101814897"</f>
        <v>DD2024101814897</v>
      </c>
      <c r="D6575" s="1" t="str">
        <f>"CK202410189504"</f>
        <v>CK202410189504</v>
      </c>
      <c r="E6575" s="1" t="str">
        <f>"6935162827356312776"</f>
        <v>6935162827356312776</v>
      </c>
      <c r="F6575" s="1" t="str">
        <f t="shared" si="1975"/>
        <v>花都四部-凤凰仓</v>
      </c>
      <c r="G6575" s="1" t="str">
        <f t="shared" si="1972"/>
        <v>卡卡杜个人护理店（抖店）</v>
      </c>
      <c r="H6575" s="1" t="str">
        <f t="shared" si="1976"/>
        <v>正常订单</v>
      </c>
      <c r="I6575" s="1" t="str">
        <f t="shared" si="1977"/>
        <v>已发货</v>
      </c>
      <c r="J6575" s="1" t="str">
        <f t="shared" si="1978"/>
        <v>3</v>
      </c>
      <c r="K6575" s="1">
        <v>3</v>
      </c>
      <c r="L6575" s="1" t="s">
        <v>36</v>
      </c>
      <c r="M6575" s="1" t="str">
        <f>"安徽省 宣城市 宁国市 南山街道"</f>
        <v>安徽省 宣城市 宁国市 南山街道</v>
      </c>
      <c r="N6575" s="1" t="str">
        <f t="shared" si="1979"/>
        <v>凡华云仓-韵达-抖音</v>
      </c>
      <c r="O6575" s="5">
        <v>320177479467324</v>
      </c>
      <c r="P6575" s="6">
        <v>0.28000000000000003</v>
      </c>
      <c r="Q6575" s="11">
        <v>2</v>
      </c>
      <c r="R6575" s="11"/>
      <c r="S6575" s="11"/>
      <c r="T6575" s="11"/>
      <c r="U6575" s="11">
        <f t="shared" si="1973"/>
        <v>2</v>
      </c>
      <c r="W6575">
        <v>2.2000000000000002</v>
      </c>
      <c r="X6575" s="1" t="s">
        <v>36</v>
      </c>
    </row>
    <row r="6576" spans="1:24" x14ac:dyDescent="0.25">
      <c r="A6576" s="1" t="str">
        <f t="shared" si="1974"/>
        <v>卡卡杜-凤凰仓</v>
      </c>
      <c r="B6576" s="1" t="str">
        <f>"CK202410189315"</f>
        <v>CK202410189315</v>
      </c>
      <c r="C6576" s="1" t="str">
        <f>"DD2024101814898"</f>
        <v>DD2024101814898</v>
      </c>
      <c r="D6576" s="1" t="str">
        <f>"CK202410189503"</f>
        <v>CK202410189503</v>
      </c>
      <c r="E6576" s="1" t="str">
        <f>"6935158323168286568"</f>
        <v>6935158323168286568</v>
      </c>
      <c r="F6576" s="1" t="str">
        <f t="shared" si="1975"/>
        <v>花都四部-凤凰仓</v>
      </c>
      <c r="G6576" s="1" t="str">
        <f t="shared" si="1972"/>
        <v>卡卡杜个人护理店（抖店）</v>
      </c>
      <c r="H6576" s="1" t="str">
        <f t="shared" si="1976"/>
        <v>正常订单</v>
      </c>
      <c r="I6576" s="1" t="str">
        <f t="shared" si="1977"/>
        <v>已发货</v>
      </c>
      <c r="J6576" s="1" t="str">
        <f t="shared" si="1978"/>
        <v>3</v>
      </c>
      <c r="K6576" s="1">
        <v>3</v>
      </c>
      <c r="L6576" s="1" t="s">
        <v>16</v>
      </c>
      <c r="M6576" s="1" t="str">
        <f>"河北省 衡水市 安平县 安平镇"</f>
        <v>河北省 衡水市 安平县 安平镇</v>
      </c>
      <c r="N6576" s="1" t="str">
        <f t="shared" si="1979"/>
        <v>凡华云仓-韵达-抖音</v>
      </c>
      <c r="O6576" s="5">
        <v>320177489000825</v>
      </c>
      <c r="P6576" s="6">
        <v>0.28000000000000003</v>
      </c>
      <c r="Q6576" s="11">
        <v>2</v>
      </c>
      <c r="R6576" s="11"/>
      <c r="S6576" s="11"/>
      <c r="T6576" s="11"/>
      <c r="U6576" s="11">
        <f t="shared" si="1973"/>
        <v>2</v>
      </c>
      <c r="W6576">
        <v>2.2000000000000002</v>
      </c>
      <c r="X6576" s="1" t="s">
        <v>16</v>
      </c>
    </row>
    <row r="6577" spans="1:24" x14ac:dyDescent="0.25">
      <c r="A6577" s="1" t="str">
        <f t="shared" si="1974"/>
        <v>卡卡杜-凤凰仓</v>
      </c>
      <c r="B6577" s="1" t="str">
        <f>"CK202410189317"</f>
        <v>CK202410189317</v>
      </c>
      <c r="C6577" s="1" t="str">
        <f>"DD2024101814900"</f>
        <v>DD2024101814900</v>
      </c>
      <c r="D6577" s="1" t="str">
        <f>"CK202410189502"</f>
        <v>CK202410189502</v>
      </c>
      <c r="E6577" s="1" t="str">
        <f>"6935149862419764408"</f>
        <v>6935149862419764408</v>
      </c>
      <c r="F6577" s="1" t="str">
        <f t="shared" si="1975"/>
        <v>花都四部-凤凰仓</v>
      </c>
      <c r="G6577" s="1" t="str">
        <f t="shared" si="1972"/>
        <v>卡卡杜个人护理店（抖店）</v>
      </c>
      <c r="H6577" s="1" t="str">
        <f t="shared" si="1976"/>
        <v>正常订单</v>
      </c>
      <c r="I6577" s="1" t="str">
        <f t="shared" si="1977"/>
        <v>已发货</v>
      </c>
      <c r="J6577" s="1" t="str">
        <f t="shared" si="1978"/>
        <v>3</v>
      </c>
      <c r="K6577" s="1">
        <v>3</v>
      </c>
      <c r="L6577" s="1" t="s">
        <v>74</v>
      </c>
      <c r="M6577" s="1" t="str">
        <f>"上海 上海市 闵行区 颛桥镇"</f>
        <v>上海 上海市 闵行区 颛桥镇</v>
      </c>
      <c r="N6577" s="1" t="str">
        <f t="shared" si="1979"/>
        <v>凡华云仓-韵达-抖音</v>
      </c>
      <c r="O6577" s="5">
        <v>320177489000722</v>
      </c>
      <c r="P6577" s="6">
        <v>0.28000000000000003</v>
      </c>
      <c r="Q6577" s="11">
        <v>2</v>
      </c>
      <c r="R6577" s="11"/>
      <c r="S6577" s="11"/>
      <c r="T6577" s="11"/>
      <c r="U6577" s="11">
        <f t="shared" si="1973"/>
        <v>2</v>
      </c>
      <c r="W6577">
        <v>2.2000000000000002</v>
      </c>
      <c r="X6577" s="1" t="s">
        <v>74</v>
      </c>
    </row>
    <row r="6578" spans="1:24" x14ac:dyDescent="0.25">
      <c r="A6578" s="1" t="str">
        <f t="shared" si="1974"/>
        <v>卡卡杜-凤凰仓</v>
      </c>
      <c r="B6578" s="1" t="str">
        <f>"CK202410189319"</f>
        <v>CK202410189319</v>
      </c>
      <c r="C6578" s="1" t="str">
        <f>"DD2024101814901"</f>
        <v>DD2024101814901</v>
      </c>
      <c r="D6578" s="1" t="str">
        <f>"CK202410189501"</f>
        <v>CK202410189501</v>
      </c>
      <c r="E6578" s="1" t="str">
        <f>"6935162669365138654"</f>
        <v>6935162669365138654</v>
      </c>
      <c r="F6578" s="1" t="str">
        <f t="shared" si="1975"/>
        <v>花都四部-凤凰仓</v>
      </c>
      <c r="G6578" s="1" t="str">
        <f t="shared" si="1972"/>
        <v>卡卡杜个人护理店（抖店）</v>
      </c>
      <c r="H6578" s="1" t="str">
        <f t="shared" si="1976"/>
        <v>正常订单</v>
      </c>
      <c r="I6578" s="1" t="str">
        <f t="shared" si="1977"/>
        <v>已发货</v>
      </c>
      <c r="J6578" s="1" t="str">
        <f t="shared" si="1978"/>
        <v>3</v>
      </c>
      <c r="K6578" s="1">
        <v>3</v>
      </c>
      <c r="L6578" s="1" t="s">
        <v>30</v>
      </c>
      <c r="M6578" s="1" t="str">
        <f>"山东省 青岛市 平度市 东阁街道"</f>
        <v>山东省 青岛市 平度市 东阁街道</v>
      </c>
      <c r="N6578" s="1" t="str">
        <f t="shared" si="1979"/>
        <v>凡华云仓-韵达-抖音</v>
      </c>
      <c r="O6578" s="5">
        <v>320177489000621</v>
      </c>
      <c r="P6578" s="6">
        <v>0.28000000000000003</v>
      </c>
      <c r="Q6578" s="11">
        <v>2</v>
      </c>
      <c r="R6578" s="11"/>
      <c r="S6578" s="11"/>
      <c r="T6578" s="11"/>
      <c r="U6578" s="11">
        <f t="shared" si="1973"/>
        <v>2</v>
      </c>
      <c r="W6578">
        <v>2.2000000000000002</v>
      </c>
      <c r="X6578" s="1" t="s">
        <v>30</v>
      </c>
    </row>
    <row r="6579" spans="1:24" x14ac:dyDescent="0.25">
      <c r="A6579" s="1" t="str">
        <f t="shared" si="1974"/>
        <v>卡卡杜-凤凰仓</v>
      </c>
      <c r="B6579" s="1" t="str">
        <f>"CK202410189321"</f>
        <v>CK202410189321</v>
      </c>
      <c r="C6579" s="1" t="str">
        <f>"DD2024101814902"</f>
        <v>DD2024101814902</v>
      </c>
      <c r="D6579" s="1" t="str">
        <f>"CK202410189500"</f>
        <v>CK202410189500</v>
      </c>
      <c r="E6579" s="1" t="str">
        <f>"6935141138291692669"</f>
        <v>6935141138291692669</v>
      </c>
      <c r="F6579" s="1" t="str">
        <f t="shared" si="1975"/>
        <v>花都四部-凤凰仓</v>
      </c>
      <c r="G6579" s="1" t="str">
        <f t="shared" si="1972"/>
        <v>卡卡杜个人护理店（抖店）</v>
      </c>
      <c r="H6579" s="1" t="str">
        <f t="shared" si="1976"/>
        <v>正常订单</v>
      </c>
      <c r="I6579" s="1" t="str">
        <f t="shared" si="1977"/>
        <v>已发货</v>
      </c>
      <c r="J6579" s="1" t="str">
        <f t="shared" si="1978"/>
        <v>3</v>
      </c>
      <c r="K6579" s="1">
        <v>3</v>
      </c>
      <c r="L6579" s="1" t="s">
        <v>13</v>
      </c>
      <c r="M6579" s="1" t="str">
        <f>"江苏省 南通市 如东县 城中街道"</f>
        <v>江苏省 南通市 如东县 城中街道</v>
      </c>
      <c r="N6579" s="1" t="str">
        <f t="shared" si="1979"/>
        <v>凡华云仓-韵达-抖音</v>
      </c>
      <c r="O6579" s="5">
        <v>320177489000522</v>
      </c>
      <c r="P6579" s="6">
        <v>0.28000000000000003</v>
      </c>
      <c r="Q6579" s="11">
        <v>2</v>
      </c>
      <c r="R6579" s="11"/>
      <c r="S6579" s="11"/>
      <c r="T6579" s="11"/>
      <c r="U6579" s="11">
        <f t="shared" si="1973"/>
        <v>2</v>
      </c>
      <c r="W6579">
        <v>2.2000000000000002</v>
      </c>
      <c r="X6579" s="1" t="s">
        <v>13</v>
      </c>
    </row>
    <row r="6580" spans="1:24" x14ac:dyDescent="0.25">
      <c r="A6580" s="1" t="str">
        <f t="shared" si="1974"/>
        <v>卡卡杜-凤凰仓</v>
      </c>
      <c r="B6580" s="1" t="str">
        <f>"CK202410189326"</f>
        <v>CK202410189326</v>
      </c>
      <c r="C6580" s="1" t="str">
        <f>"DD2024101814910"</f>
        <v>DD2024101814910</v>
      </c>
      <c r="D6580" s="1" t="str">
        <f>"CK202410189499"</f>
        <v>CK202410189499</v>
      </c>
      <c r="E6580" s="1" t="str">
        <f>"6935153721767958004"</f>
        <v>6935153721767958004</v>
      </c>
      <c r="F6580" s="1" t="str">
        <f t="shared" si="1975"/>
        <v>花都四部-凤凰仓</v>
      </c>
      <c r="G6580" s="1" t="str">
        <f t="shared" ref="G6580:G6643" si="1980">"卡卡杜个人护理店（抖店）"</f>
        <v>卡卡杜个人护理店（抖店）</v>
      </c>
      <c r="H6580" s="1" t="str">
        <f t="shared" si="1976"/>
        <v>正常订单</v>
      </c>
      <c r="I6580" s="1" t="str">
        <f t="shared" si="1977"/>
        <v>已发货</v>
      </c>
      <c r="J6580" s="1" t="str">
        <f t="shared" si="1978"/>
        <v>3</v>
      </c>
      <c r="K6580" s="1">
        <v>3</v>
      </c>
      <c r="L6580" s="1" t="s">
        <v>109</v>
      </c>
      <c r="M6580" s="1" t="str">
        <f>"山西省 晋中市 祁县 昭馀镇"</f>
        <v>山西省 晋中市 祁县 昭馀镇</v>
      </c>
      <c r="N6580" s="1" t="str">
        <f t="shared" si="1979"/>
        <v>凡华云仓-韵达-抖音</v>
      </c>
      <c r="O6580" s="5">
        <v>320177489000425</v>
      </c>
      <c r="P6580" s="6">
        <v>0.28000000000000003</v>
      </c>
      <c r="Q6580" s="11">
        <v>2</v>
      </c>
      <c r="R6580" s="11"/>
      <c r="S6580" s="11"/>
      <c r="T6580" s="11"/>
      <c r="U6580" s="11">
        <f t="shared" si="1973"/>
        <v>2</v>
      </c>
      <c r="W6580">
        <v>2.2000000000000002</v>
      </c>
      <c r="X6580" s="1" t="s">
        <v>109</v>
      </c>
    </row>
    <row r="6581" spans="1:24" x14ac:dyDescent="0.25">
      <c r="A6581" s="1" t="str">
        <f t="shared" si="1974"/>
        <v>卡卡杜-凤凰仓</v>
      </c>
      <c r="B6581" s="1" t="str">
        <f>"CK202410189324"</f>
        <v>CK202410189324</v>
      </c>
      <c r="C6581" s="1" t="str">
        <f>"DD2024101814906"</f>
        <v>DD2024101814906</v>
      </c>
      <c r="D6581" s="1" t="str">
        <f>"CK202410189498"</f>
        <v>CK202410189498</v>
      </c>
      <c r="E6581" s="1" t="str">
        <f>"6935162778338399438"</f>
        <v>6935162778338399438</v>
      </c>
      <c r="F6581" s="1" t="str">
        <f t="shared" si="1975"/>
        <v>花都四部-凤凰仓</v>
      </c>
      <c r="G6581" s="1" t="str">
        <f t="shared" si="1980"/>
        <v>卡卡杜个人护理店（抖店）</v>
      </c>
      <c r="H6581" s="1" t="str">
        <f t="shared" si="1976"/>
        <v>正常订单</v>
      </c>
      <c r="I6581" s="1" t="str">
        <f t="shared" si="1977"/>
        <v>已发货</v>
      </c>
      <c r="J6581" s="1" t="str">
        <f t="shared" si="1978"/>
        <v>3</v>
      </c>
      <c r="K6581" s="1">
        <v>3</v>
      </c>
      <c r="L6581" s="1" t="s">
        <v>36</v>
      </c>
      <c r="M6581" s="1" t="str">
        <f>"安徽省 阜阳市 临泉县 城东街道"</f>
        <v>安徽省 阜阳市 临泉县 城东街道</v>
      </c>
      <c r="N6581" s="1" t="str">
        <f t="shared" si="1979"/>
        <v>凡华云仓-韵达-抖音</v>
      </c>
      <c r="O6581" s="5">
        <v>320177489000330</v>
      </c>
      <c r="P6581" s="6">
        <v>0.28000000000000003</v>
      </c>
      <c r="Q6581" s="11">
        <v>2</v>
      </c>
      <c r="R6581" s="11"/>
      <c r="S6581" s="11"/>
      <c r="T6581" s="11"/>
      <c r="U6581" s="11">
        <f t="shared" si="1973"/>
        <v>2</v>
      </c>
      <c r="W6581">
        <v>2.2000000000000002</v>
      </c>
      <c r="X6581" s="1" t="s">
        <v>36</v>
      </c>
    </row>
    <row r="6582" spans="1:24" x14ac:dyDescent="0.25">
      <c r="A6582" s="1" t="str">
        <f t="shared" si="1974"/>
        <v>卡卡杜-凤凰仓</v>
      </c>
      <c r="B6582" s="1" t="str">
        <f>"CK202410189328"</f>
        <v>CK202410189328</v>
      </c>
      <c r="C6582" s="1" t="str">
        <f>"DD2024101814909"</f>
        <v>DD2024101814909</v>
      </c>
      <c r="D6582" s="1" t="str">
        <f>"CK202410189497"</f>
        <v>CK202410189497</v>
      </c>
      <c r="E6582" s="1" t="str">
        <f>"6935143452667942297"</f>
        <v>6935143452667942297</v>
      </c>
      <c r="F6582" s="1" t="str">
        <f t="shared" si="1975"/>
        <v>花都四部-凤凰仓</v>
      </c>
      <c r="G6582" s="1" t="str">
        <f t="shared" si="1980"/>
        <v>卡卡杜个人护理店（抖店）</v>
      </c>
      <c r="H6582" s="1" t="str">
        <f t="shared" si="1976"/>
        <v>正常订单</v>
      </c>
      <c r="I6582" s="1" t="str">
        <f t="shared" si="1977"/>
        <v>已发货</v>
      </c>
      <c r="J6582" s="1" t="str">
        <f t="shared" si="1978"/>
        <v>3</v>
      </c>
      <c r="K6582" s="1">
        <v>3</v>
      </c>
      <c r="L6582" s="1" t="s">
        <v>16</v>
      </c>
      <c r="M6582" s="1" t="str">
        <f>"河北省 邯郸市 丛台区 "</f>
        <v xml:space="preserve">河北省 邯郸市 丛台区 </v>
      </c>
      <c r="N6582" s="1" t="str">
        <f t="shared" si="1979"/>
        <v>凡华云仓-韵达-抖音</v>
      </c>
      <c r="O6582" s="5">
        <v>320177489000237</v>
      </c>
      <c r="P6582" s="6">
        <v>0.28000000000000003</v>
      </c>
      <c r="Q6582" s="11">
        <v>2</v>
      </c>
      <c r="R6582" s="11"/>
      <c r="S6582" s="11"/>
      <c r="T6582" s="11"/>
      <c r="U6582" s="11">
        <f t="shared" si="1973"/>
        <v>2</v>
      </c>
      <c r="W6582">
        <v>2.2000000000000002</v>
      </c>
      <c r="X6582" s="1" t="s">
        <v>16</v>
      </c>
    </row>
    <row r="6583" spans="1:24" x14ac:dyDescent="0.25">
      <c r="A6583" s="1" t="str">
        <f t="shared" si="1974"/>
        <v>卡卡杜-凤凰仓</v>
      </c>
      <c r="B6583" s="1" t="str">
        <f>"CK202410189330"</f>
        <v>CK202410189330</v>
      </c>
      <c r="C6583" s="1" t="str">
        <f>"DD2024101814912"</f>
        <v>DD2024101814912</v>
      </c>
      <c r="D6583" s="1" t="str">
        <f>"CK202410189496"</f>
        <v>CK202410189496</v>
      </c>
      <c r="E6583" s="1" t="str">
        <f>"6935160778956739936"</f>
        <v>6935160778956739936</v>
      </c>
      <c r="F6583" s="1" t="str">
        <f t="shared" si="1975"/>
        <v>花都四部-凤凰仓</v>
      </c>
      <c r="G6583" s="1" t="str">
        <f t="shared" si="1980"/>
        <v>卡卡杜个人护理店（抖店）</v>
      </c>
      <c r="H6583" s="1" t="str">
        <f t="shared" si="1976"/>
        <v>正常订单</v>
      </c>
      <c r="I6583" s="1" t="str">
        <f t="shared" si="1977"/>
        <v>已发货</v>
      </c>
      <c r="J6583" s="1" t="str">
        <f t="shared" si="1978"/>
        <v>3</v>
      </c>
      <c r="K6583" s="1">
        <v>3</v>
      </c>
      <c r="L6583" s="1" t="s">
        <v>30</v>
      </c>
      <c r="M6583" s="1" t="str">
        <f>"山东省 枣庄市 市中区 齐村镇"</f>
        <v>山东省 枣庄市 市中区 齐村镇</v>
      </c>
      <c r="N6583" s="1" t="str">
        <f t="shared" si="1979"/>
        <v>凡华云仓-韵达-抖音</v>
      </c>
      <c r="O6583" s="5">
        <v>320177489000146</v>
      </c>
      <c r="P6583" s="6">
        <v>0.28000000000000003</v>
      </c>
      <c r="Q6583" s="11">
        <v>2</v>
      </c>
      <c r="R6583" s="11"/>
      <c r="S6583" s="11"/>
      <c r="T6583" s="11"/>
      <c r="U6583" s="11">
        <f t="shared" si="1973"/>
        <v>2</v>
      </c>
      <c r="W6583">
        <v>2.2000000000000002</v>
      </c>
      <c r="X6583" s="1" t="s">
        <v>30</v>
      </c>
    </row>
    <row r="6584" spans="1:24" x14ac:dyDescent="0.25">
      <c r="A6584" s="1" t="str">
        <f t="shared" si="1974"/>
        <v>卡卡杜-凤凰仓</v>
      </c>
      <c r="B6584" s="1" t="str">
        <f>"CK202410189331"</f>
        <v>CK202410189331</v>
      </c>
      <c r="C6584" s="1" t="str">
        <f>"DD2024101814914"</f>
        <v>DD2024101814914</v>
      </c>
      <c r="D6584" s="1" t="str">
        <f>"CK202410189495"</f>
        <v>CK202410189495</v>
      </c>
      <c r="E6584" s="1" t="str">
        <f>"6935153718020478236"</f>
        <v>6935153718020478236</v>
      </c>
      <c r="F6584" s="1" t="str">
        <f t="shared" si="1975"/>
        <v>花都四部-凤凰仓</v>
      </c>
      <c r="G6584" s="1" t="str">
        <f t="shared" si="1980"/>
        <v>卡卡杜个人护理店（抖店）</v>
      </c>
      <c r="H6584" s="1" t="str">
        <f t="shared" si="1976"/>
        <v>正常订单</v>
      </c>
      <c r="I6584" s="1" t="str">
        <f t="shared" si="1977"/>
        <v>已发货</v>
      </c>
      <c r="J6584" s="1" t="str">
        <f>"6"</f>
        <v>6</v>
      </c>
      <c r="K6584" s="1">
        <v>3</v>
      </c>
      <c r="L6584" s="1" t="s">
        <v>18</v>
      </c>
      <c r="M6584" s="1" t="str">
        <f>"广东省 深圳市 光明区 光明街道"</f>
        <v>广东省 深圳市 光明区 光明街道</v>
      </c>
      <c r="N6584" s="1" t="str">
        <f t="shared" si="1979"/>
        <v>凡华云仓-韵达-抖音</v>
      </c>
      <c r="O6584" s="5">
        <v>320177466000044</v>
      </c>
      <c r="P6584" s="6">
        <v>0.45</v>
      </c>
      <c r="Q6584" s="11">
        <v>2.2999999999999998</v>
      </c>
      <c r="R6584" s="11"/>
      <c r="S6584" s="11"/>
      <c r="T6584" s="11"/>
      <c r="U6584" s="11">
        <f t="shared" si="1973"/>
        <v>2.2999999999999998</v>
      </c>
      <c r="W6584">
        <v>2.5</v>
      </c>
      <c r="X6584" s="1" t="s">
        <v>18</v>
      </c>
    </row>
    <row r="6585" spans="1:24" x14ac:dyDescent="0.25">
      <c r="A6585" s="1" t="str">
        <f t="shared" si="1974"/>
        <v>卡卡杜-凤凰仓</v>
      </c>
      <c r="B6585" s="1" t="str">
        <f>"CK202410189334"</f>
        <v>CK202410189334</v>
      </c>
      <c r="C6585" s="1" t="str">
        <f>"DD2024101814917"</f>
        <v>DD2024101814917</v>
      </c>
      <c r="D6585" s="1" t="str">
        <f>"CK202410189494"</f>
        <v>CK202410189494</v>
      </c>
      <c r="E6585" s="1" t="str">
        <f>"6935141050899764318"</f>
        <v>6935141050899764318</v>
      </c>
      <c r="F6585" s="1" t="str">
        <f t="shared" si="1975"/>
        <v>花都四部-凤凰仓</v>
      </c>
      <c r="G6585" s="1" t="str">
        <f t="shared" si="1980"/>
        <v>卡卡杜个人护理店（抖店）</v>
      </c>
      <c r="H6585" s="1" t="str">
        <f t="shared" si="1976"/>
        <v>正常订单</v>
      </c>
      <c r="I6585" s="1" t="str">
        <f t="shared" si="1977"/>
        <v>已发货</v>
      </c>
      <c r="J6585" s="1" t="str">
        <f t="shared" ref="J6585:J6594" si="1981">"3"</f>
        <v>3</v>
      </c>
      <c r="K6585" s="1">
        <v>3</v>
      </c>
      <c r="L6585" s="1" t="s">
        <v>30</v>
      </c>
      <c r="M6585" s="1" t="str">
        <f>"山东省 泰安市 新泰市 岳家庄乡"</f>
        <v>山东省 泰安市 新泰市 岳家庄乡</v>
      </c>
      <c r="N6585" s="1" t="str">
        <f t="shared" si="1979"/>
        <v>凡华云仓-韵达-抖音</v>
      </c>
      <c r="O6585" s="5">
        <v>320177465999937</v>
      </c>
      <c r="P6585" s="6">
        <v>0.28000000000000003</v>
      </c>
      <c r="Q6585" s="11">
        <v>2</v>
      </c>
      <c r="R6585" s="11"/>
      <c r="S6585" s="11"/>
      <c r="T6585" s="11"/>
      <c r="U6585" s="11">
        <f t="shared" si="1973"/>
        <v>2</v>
      </c>
      <c r="W6585">
        <v>2.2000000000000002</v>
      </c>
      <c r="X6585" s="1" t="s">
        <v>30</v>
      </c>
    </row>
    <row r="6586" spans="1:24" x14ac:dyDescent="0.25">
      <c r="A6586" s="1" t="str">
        <f t="shared" si="1974"/>
        <v>卡卡杜-凤凰仓</v>
      </c>
      <c r="B6586" s="1" t="str">
        <f>"CK202410189341"</f>
        <v>CK202410189341</v>
      </c>
      <c r="C6586" s="1" t="str">
        <f>"DD2024101814925"</f>
        <v>DD2024101814925</v>
      </c>
      <c r="D6586" s="1" t="str">
        <f>"CK202410189493"</f>
        <v>CK202410189493</v>
      </c>
      <c r="E6586" s="1" t="str">
        <f>"6935151557560767602"</f>
        <v>6935151557560767602</v>
      </c>
      <c r="F6586" s="1" t="str">
        <f t="shared" si="1975"/>
        <v>花都四部-凤凰仓</v>
      </c>
      <c r="G6586" s="1" t="str">
        <f t="shared" si="1980"/>
        <v>卡卡杜个人护理店（抖店）</v>
      </c>
      <c r="H6586" s="1" t="str">
        <f t="shared" si="1976"/>
        <v>正常订单</v>
      </c>
      <c r="I6586" s="1" t="str">
        <f t="shared" si="1977"/>
        <v>已发货</v>
      </c>
      <c r="J6586" s="1" t="str">
        <f t="shared" si="1981"/>
        <v>3</v>
      </c>
      <c r="K6586" s="1">
        <v>3</v>
      </c>
      <c r="L6586" s="1" t="s">
        <v>80</v>
      </c>
      <c r="M6586" s="1" t="str">
        <f>"河南省 安阳市 林州市 "</f>
        <v xml:space="preserve">河南省 安阳市 林州市 </v>
      </c>
      <c r="N6586" s="1" t="str">
        <f t="shared" si="1979"/>
        <v>凡华云仓-韵达-抖音</v>
      </c>
      <c r="O6586" s="5">
        <v>320177480798654</v>
      </c>
      <c r="P6586" s="6">
        <v>0.28000000000000003</v>
      </c>
      <c r="Q6586" s="11">
        <v>2</v>
      </c>
      <c r="R6586" s="11"/>
      <c r="S6586" s="11"/>
      <c r="T6586" s="11"/>
      <c r="U6586" s="11">
        <f t="shared" si="1973"/>
        <v>2</v>
      </c>
      <c r="W6586">
        <v>2.2000000000000002</v>
      </c>
      <c r="X6586" s="1" t="s">
        <v>80</v>
      </c>
    </row>
    <row r="6587" spans="1:24" x14ac:dyDescent="0.25">
      <c r="A6587" s="1" t="str">
        <f t="shared" si="1974"/>
        <v>卡卡杜-凤凰仓</v>
      </c>
      <c r="B6587" s="1" t="str">
        <f>"CK2024101810026"</f>
        <v>CK2024101810026</v>
      </c>
      <c r="C6587" s="1" t="str">
        <f>"DD2024101815610"</f>
        <v>DD2024101815610</v>
      </c>
      <c r="D6587" s="1" t="str">
        <f>"CK202410189492"</f>
        <v>CK202410189492</v>
      </c>
      <c r="E6587" s="1" t="str">
        <f>"6935145188897003038"</f>
        <v>6935145188897003038</v>
      </c>
      <c r="F6587" s="1" t="str">
        <f t="shared" si="1975"/>
        <v>花都四部-凤凰仓</v>
      </c>
      <c r="G6587" s="1" t="str">
        <f t="shared" si="1980"/>
        <v>卡卡杜个人护理店（抖店）</v>
      </c>
      <c r="H6587" s="1" t="str">
        <f t="shared" si="1976"/>
        <v>正常订单</v>
      </c>
      <c r="I6587" s="1" t="str">
        <f t="shared" si="1977"/>
        <v>已发货</v>
      </c>
      <c r="J6587" s="1" t="str">
        <f t="shared" si="1981"/>
        <v>3</v>
      </c>
      <c r="K6587" s="1">
        <v>3</v>
      </c>
      <c r="L6587" s="1" t="s">
        <v>30</v>
      </c>
      <c r="M6587" s="1" t="str">
        <f>"山东省 潍坊市 高密市 朝阳街道"</f>
        <v>山东省 潍坊市 高密市 朝阳街道</v>
      </c>
      <c r="N6587" s="1" t="str">
        <f t="shared" si="1979"/>
        <v>凡华云仓-韵达-抖音</v>
      </c>
      <c r="O6587" s="5">
        <v>320177480798555</v>
      </c>
      <c r="P6587" s="6">
        <v>0.28000000000000003</v>
      </c>
      <c r="Q6587" s="11">
        <v>2</v>
      </c>
      <c r="R6587" s="11"/>
      <c r="S6587" s="11"/>
      <c r="T6587" s="11"/>
      <c r="U6587" s="11">
        <f t="shared" si="1973"/>
        <v>2</v>
      </c>
      <c r="W6587">
        <v>2.2000000000000002</v>
      </c>
      <c r="X6587" s="1" t="s">
        <v>30</v>
      </c>
    </row>
    <row r="6588" spans="1:24" x14ac:dyDescent="0.25">
      <c r="A6588" s="1" t="str">
        <f t="shared" si="1974"/>
        <v>卡卡杜-凤凰仓</v>
      </c>
      <c r="B6588" s="1" t="str">
        <f>"CK2024101810028"</f>
        <v>CK2024101810028</v>
      </c>
      <c r="C6588" s="1" t="str">
        <f>"DD2024101815612"</f>
        <v>DD2024101815612</v>
      </c>
      <c r="D6588" s="1" t="str">
        <f>"CK202410189491"</f>
        <v>CK202410189491</v>
      </c>
      <c r="E6588" s="1" t="str">
        <f>"6935149859844986111"</f>
        <v>6935149859844986111</v>
      </c>
      <c r="F6588" s="1" t="str">
        <f t="shared" si="1975"/>
        <v>花都四部-凤凰仓</v>
      </c>
      <c r="G6588" s="1" t="str">
        <f t="shared" si="1980"/>
        <v>卡卡杜个人护理店（抖店）</v>
      </c>
      <c r="H6588" s="1" t="str">
        <f t="shared" si="1976"/>
        <v>正常订单</v>
      </c>
      <c r="I6588" s="1" t="str">
        <f t="shared" si="1977"/>
        <v>已发货</v>
      </c>
      <c r="J6588" s="1" t="str">
        <f t="shared" si="1981"/>
        <v>3</v>
      </c>
      <c r="K6588" s="1">
        <v>3</v>
      </c>
      <c r="L6588" s="1" t="s">
        <v>18</v>
      </c>
      <c r="M6588" s="1" t="str">
        <f>"广东省 深圳市 宝安区 松岗街道"</f>
        <v>广东省 深圳市 宝安区 松岗街道</v>
      </c>
      <c r="N6588" s="1" t="str">
        <f t="shared" si="1979"/>
        <v>凡华云仓-韵达-抖音</v>
      </c>
      <c r="O6588" s="5">
        <v>320177480798458</v>
      </c>
      <c r="P6588" s="6">
        <v>0.28000000000000003</v>
      </c>
      <c r="Q6588" s="11">
        <v>2</v>
      </c>
      <c r="R6588" s="11"/>
      <c r="S6588" s="11"/>
      <c r="T6588" s="11"/>
      <c r="U6588" s="11">
        <f t="shared" si="1973"/>
        <v>2</v>
      </c>
      <c r="W6588">
        <v>2.2000000000000002</v>
      </c>
      <c r="X6588" s="1" t="s">
        <v>18</v>
      </c>
    </row>
    <row r="6589" spans="1:24" x14ac:dyDescent="0.25">
      <c r="A6589" s="1" t="str">
        <f t="shared" si="1974"/>
        <v>卡卡杜-凤凰仓</v>
      </c>
      <c r="B6589" s="1" t="str">
        <f>"CK2024101810030"</f>
        <v>CK2024101810030</v>
      </c>
      <c r="C6589" s="1" t="str">
        <f>"DD2024101815613"</f>
        <v>DD2024101815613</v>
      </c>
      <c r="D6589" s="1" t="str">
        <f>"CK202410189490"</f>
        <v>CK202410189490</v>
      </c>
      <c r="E6589" s="1" t="str">
        <f>"6935153781322028971"</f>
        <v>6935153781322028971</v>
      </c>
      <c r="F6589" s="1" t="str">
        <f t="shared" si="1975"/>
        <v>花都四部-凤凰仓</v>
      </c>
      <c r="G6589" s="1" t="str">
        <f t="shared" si="1980"/>
        <v>卡卡杜个人护理店（抖店）</v>
      </c>
      <c r="H6589" s="1" t="str">
        <f t="shared" si="1976"/>
        <v>正常订单</v>
      </c>
      <c r="I6589" s="1" t="str">
        <f t="shared" si="1977"/>
        <v>已发货</v>
      </c>
      <c r="J6589" s="1" t="str">
        <f t="shared" si="1981"/>
        <v>3</v>
      </c>
      <c r="K6589" s="1">
        <v>3</v>
      </c>
      <c r="L6589" s="1" t="s">
        <v>30</v>
      </c>
      <c r="M6589" s="1" t="str">
        <f>"山东省 潍坊市 临朐县 冶源街道"</f>
        <v>山东省 潍坊市 临朐县 冶源街道</v>
      </c>
      <c r="N6589" s="1" t="str">
        <f t="shared" si="1979"/>
        <v>凡华云仓-韵达-抖音</v>
      </c>
      <c r="O6589" s="5">
        <v>320177480798363</v>
      </c>
      <c r="P6589" s="6">
        <v>0.28000000000000003</v>
      </c>
      <c r="Q6589" s="11">
        <v>2</v>
      </c>
      <c r="R6589" s="11"/>
      <c r="S6589" s="11"/>
      <c r="T6589" s="11"/>
      <c r="U6589" s="11">
        <f t="shared" si="1973"/>
        <v>2</v>
      </c>
      <c r="W6589">
        <v>2.2000000000000002</v>
      </c>
      <c r="X6589" s="1" t="s">
        <v>30</v>
      </c>
    </row>
    <row r="6590" spans="1:24" x14ac:dyDescent="0.25">
      <c r="A6590" s="1" t="str">
        <f t="shared" si="1974"/>
        <v>卡卡杜-凤凰仓</v>
      </c>
      <c r="B6590" s="1" t="str">
        <f>"CK202410189337"</f>
        <v>CK202410189337</v>
      </c>
      <c r="C6590" s="1" t="str">
        <f>"DD2024101814920"</f>
        <v>DD2024101814920</v>
      </c>
      <c r="D6590" s="1" t="str">
        <f>"CK202410189489"</f>
        <v>CK202410189489</v>
      </c>
      <c r="E6590" s="1" t="str">
        <f>"6935160776031409884"</f>
        <v>6935160776031409884</v>
      </c>
      <c r="F6590" s="1" t="str">
        <f t="shared" si="1975"/>
        <v>花都四部-凤凰仓</v>
      </c>
      <c r="G6590" s="1" t="str">
        <f t="shared" si="1980"/>
        <v>卡卡杜个人护理店（抖店）</v>
      </c>
      <c r="H6590" s="1" t="str">
        <f t="shared" si="1976"/>
        <v>正常订单</v>
      </c>
      <c r="I6590" s="1" t="str">
        <f t="shared" si="1977"/>
        <v>已发货</v>
      </c>
      <c r="J6590" s="1" t="str">
        <f t="shared" si="1981"/>
        <v>3</v>
      </c>
      <c r="K6590" s="1">
        <v>3</v>
      </c>
      <c r="L6590" s="1" t="s">
        <v>20</v>
      </c>
      <c r="M6590" s="1" t="str">
        <f>"浙江省 湖州市 长兴县 雉城街道"</f>
        <v>浙江省 湖州市 长兴县 雉城街道</v>
      </c>
      <c r="N6590" s="1" t="str">
        <f t="shared" si="1979"/>
        <v>凡华云仓-韵达-抖音</v>
      </c>
      <c r="O6590" s="5">
        <v>320177480798270</v>
      </c>
      <c r="P6590" s="6">
        <v>0.28000000000000003</v>
      </c>
      <c r="Q6590" s="11">
        <v>2</v>
      </c>
      <c r="R6590" s="11"/>
      <c r="S6590" s="11"/>
      <c r="T6590" s="11"/>
      <c r="U6590" s="11">
        <f t="shared" si="1973"/>
        <v>2</v>
      </c>
      <c r="W6590">
        <v>2.2000000000000002</v>
      </c>
      <c r="X6590" s="1" t="s">
        <v>20</v>
      </c>
    </row>
    <row r="6591" spans="1:24" x14ac:dyDescent="0.25">
      <c r="A6591" s="1" t="str">
        <f t="shared" si="1974"/>
        <v>卡卡杜-凤凰仓</v>
      </c>
      <c r="B6591" s="1" t="str">
        <f>"CK202410189339"</f>
        <v>CK202410189339</v>
      </c>
      <c r="C6591" s="1" t="str">
        <f>"DD2024101814921"</f>
        <v>DD2024101814921</v>
      </c>
      <c r="D6591" s="1" t="str">
        <f>"CK202410189488"</f>
        <v>CK202410189488</v>
      </c>
      <c r="E6591" s="1" t="str">
        <f>"6935158204076201322"</f>
        <v>6935158204076201322</v>
      </c>
      <c r="F6591" s="1" t="str">
        <f t="shared" si="1975"/>
        <v>花都四部-凤凰仓</v>
      </c>
      <c r="G6591" s="1" t="str">
        <f t="shared" si="1980"/>
        <v>卡卡杜个人护理店（抖店）</v>
      </c>
      <c r="H6591" s="1" t="str">
        <f t="shared" si="1976"/>
        <v>正常订单</v>
      </c>
      <c r="I6591" s="1" t="str">
        <f t="shared" si="1977"/>
        <v>已发货</v>
      </c>
      <c r="J6591" s="1" t="str">
        <f t="shared" si="1981"/>
        <v>3</v>
      </c>
      <c r="K6591" s="1">
        <v>3</v>
      </c>
      <c r="L6591" s="1" t="s">
        <v>13</v>
      </c>
      <c r="M6591" s="1" t="str">
        <f>"江苏省 徐州市 睢宁县 睢城街道"</f>
        <v>江苏省 徐州市 睢宁县 睢城街道</v>
      </c>
      <c r="N6591" s="1" t="str">
        <f t="shared" si="1979"/>
        <v>凡华云仓-韵达-抖音</v>
      </c>
      <c r="O6591" s="5">
        <v>320177480798179</v>
      </c>
      <c r="P6591" s="6">
        <v>0.28000000000000003</v>
      </c>
      <c r="Q6591" s="11">
        <v>2</v>
      </c>
      <c r="R6591" s="11"/>
      <c r="S6591" s="11"/>
      <c r="T6591" s="11"/>
      <c r="U6591" s="11">
        <f t="shared" si="1973"/>
        <v>2</v>
      </c>
      <c r="W6591">
        <v>2.2000000000000002</v>
      </c>
      <c r="X6591" s="1" t="s">
        <v>13</v>
      </c>
    </row>
    <row r="6592" spans="1:24" x14ac:dyDescent="0.25">
      <c r="A6592" s="1" t="str">
        <f t="shared" si="1974"/>
        <v>卡卡杜-凤凰仓</v>
      </c>
      <c r="B6592" s="1" t="str">
        <f>"CK202410189343"</f>
        <v>CK202410189343</v>
      </c>
      <c r="C6592" s="1" t="str">
        <f>"DD2024101814926"</f>
        <v>DD2024101814926</v>
      </c>
      <c r="D6592" s="1" t="str">
        <f>"CK202410189487"</f>
        <v>CK202410189487</v>
      </c>
      <c r="E6592" s="1" t="str">
        <f>"6935140968959645088"</f>
        <v>6935140968959645088</v>
      </c>
      <c r="F6592" s="1" t="str">
        <f t="shared" si="1975"/>
        <v>花都四部-凤凰仓</v>
      </c>
      <c r="G6592" s="1" t="str">
        <f t="shared" si="1980"/>
        <v>卡卡杜个人护理店（抖店）</v>
      </c>
      <c r="H6592" s="1" t="str">
        <f t="shared" si="1976"/>
        <v>正常订单</v>
      </c>
      <c r="I6592" s="1" t="str">
        <f t="shared" si="1977"/>
        <v>已发货</v>
      </c>
      <c r="J6592" s="1" t="str">
        <f t="shared" si="1981"/>
        <v>3</v>
      </c>
      <c r="K6592" s="1">
        <v>3</v>
      </c>
      <c r="L6592" s="1" t="s">
        <v>30</v>
      </c>
      <c r="M6592" s="1" t="str">
        <f>"山东省 济宁市 邹城市 唐村镇"</f>
        <v>山东省 济宁市 邹城市 唐村镇</v>
      </c>
      <c r="N6592" s="1" t="str">
        <f t="shared" si="1979"/>
        <v>凡华云仓-韵达-抖音</v>
      </c>
      <c r="O6592" s="5">
        <v>320177480798090</v>
      </c>
      <c r="P6592" s="6">
        <v>0.28000000000000003</v>
      </c>
      <c r="Q6592" s="11">
        <v>2</v>
      </c>
      <c r="R6592" s="11"/>
      <c r="S6592" s="11"/>
      <c r="T6592" s="11"/>
      <c r="U6592" s="11">
        <f t="shared" si="1973"/>
        <v>2</v>
      </c>
      <c r="W6592">
        <v>2.2000000000000002</v>
      </c>
      <c r="X6592" s="1" t="s">
        <v>30</v>
      </c>
    </row>
    <row r="6593" spans="1:24" x14ac:dyDescent="0.25">
      <c r="A6593" s="1" t="str">
        <f t="shared" si="1974"/>
        <v>卡卡杜-凤凰仓</v>
      </c>
      <c r="B6593" s="1" t="str">
        <f>"CK202410189349"</f>
        <v>CK202410189349</v>
      </c>
      <c r="C6593" s="1" t="str">
        <f>"DD2024101814931"</f>
        <v>DD2024101814931</v>
      </c>
      <c r="D6593" s="1" t="str">
        <f>"CK202410189486"</f>
        <v>CK202410189486</v>
      </c>
      <c r="E6593" s="1" t="str">
        <f>"6935140953310173003"</f>
        <v>6935140953310173003</v>
      </c>
      <c r="F6593" s="1" t="str">
        <f t="shared" si="1975"/>
        <v>花都四部-凤凰仓</v>
      </c>
      <c r="G6593" s="1" t="str">
        <f t="shared" si="1980"/>
        <v>卡卡杜个人护理店（抖店）</v>
      </c>
      <c r="H6593" s="1" t="str">
        <f t="shared" si="1976"/>
        <v>正常订单</v>
      </c>
      <c r="I6593" s="1" t="str">
        <f t="shared" si="1977"/>
        <v>已发货</v>
      </c>
      <c r="J6593" s="1" t="str">
        <f t="shared" si="1981"/>
        <v>3</v>
      </c>
      <c r="K6593" s="1">
        <v>3</v>
      </c>
      <c r="L6593" s="1" t="s">
        <v>30</v>
      </c>
      <c r="M6593" s="1" t="str">
        <f>"山东省 青岛市 市北区 辽源路街道"</f>
        <v>山东省 青岛市 市北区 辽源路街道</v>
      </c>
      <c r="N6593" s="1" t="str">
        <f t="shared" si="1979"/>
        <v>凡华云仓-韵达-抖音</v>
      </c>
      <c r="O6593" s="5">
        <v>320177480797960</v>
      </c>
      <c r="P6593" s="6">
        <v>0.28000000000000003</v>
      </c>
      <c r="Q6593" s="11">
        <v>2</v>
      </c>
      <c r="R6593" s="11"/>
      <c r="S6593" s="11"/>
      <c r="T6593" s="11"/>
      <c r="U6593" s="11">
        <f t="shared" si="1973"/>
        <v>2</v>
      </c>
      <c r="W6593">
        <v>2.2000000000000002</v>
      </c>
      <c r="X6593" s="1" t="s">
        <v>30</v>
      </c>
    </row>
    <row r="6594" spans="1:24" x14ac:dyDescent="0.25">
      <c r="A6594" s="1" t="str">
        <f t="shared" si="1974"/>
        <v>卡卡杜-凤凰仓</v>
      </c>
      <c r="B6594" s="1" t="str">
        <f>"CK202410189351"</f>
        <v>CK202410189351</v>
      </c>
      <c r="C6594" s="1" t="str">
        <f>"DD2024101814933"</f>
        <v>DD2024101814933</v>
      </c>
      <c r="D6594" s="1" t="str">
        <f>"CK202410189485"</f>
        <v>CK202410189485</v>
      </c>
      <c r="E6594" s="1" t="str">
        <f>"6935151266769606402"</f>
        <v>6935151266769606402</v>
      </c>
      <c r="F6594" s="1" t="str">
        <f t="shared" si="1975"/>
        <v>花都四部-凤凰仓</v>
      </c>
      <c r="G6594" s="1" t="str">
        <f t="shared" si="1980"/>
        <v>卡卡杜个人护理店（抖店）</v>
      </c>
      <c r="H6594" s="1" t="str">
        <f t="shared" si="1976"/>
        <v>正常订单</v>
      </c>
      <c r="I6594" s="1" t="str">
        <f t="shared" si="1977"/>
        <v>已发货</v>
      </c>
      <c r="J6594" s="1" t="str">
        <f t="shared" si="1981"/>
        <v>3</v>
      </c>
      <c r="K6594" s="1">
        <v>3</v>
      </c>
      <c r="L6594" s="1" t="s">
        <v>30</v>
      </c>
      <c r="M6594" s="1" t="str">
        <f>"山东省 临沂市 兰山区 义堂镇"</f>
        <v>山东省 临沂市 兰山区 义堂镇</v>
      </c>
      <c r="N6594" s="1" t="str">
        <f t="shared" si="1979"/>
        <v>凡华云仓-韵达-抖音</v>
      </c>
      <c r="O6594" s="5">
        <v>320177480797855</v>
      </c>
      <c r="P6594" s="6">
        <v>0.28000000000000003</v>
      </c>
      <c r="Q6594" s="11">
        <v>2</v>
      </c>
      <c r="R6594" s="11"/>
      <c r="S6594" s="11"/>
      <c r="T6594" s="11"/>
      <c r="U6594" s="11">
        <f t="shared" si="1973"/>
        <v>2</v>
      </c>
      <c r="W6594">
        <v>2.2000000000000002</v>
      </c>
      <c r="X6594" s="1" t="s">
        <v>30</v>
      </c>
    </row>
    <row r="6595" spans="1:24" x14ac:dyDescent="0.25">
      <c r="A6595" s="1" t="str">
        <f t="shared" si="1974"/>
        <v>卡卡杜-凤凰仓</v>
      </c>
      <c r="B6595" s="1" t="str">
        <f>"CK202410189353"</f>
        <v>CK202410189353</v>
      </c>
      <c r="C6595" s="1" t="str">
        <f>"DD2024101814936"</f>
        <v>DD2024101814936</v>
      </c>
      <c r="D6595" s="1" t="str">
        <f>"CK202410189484"</f>
        <v>CK202410189484</v>
      </c>
      <c r="E6595" s="1" t="str">
        <f>"6935147175318328989"</f>
        <v>6935147175318328989</v>
      </c>
      <c r="F6595" s="1" t="str">
        <f t="shared" si="1975"/>
        <v>花都四部-凤凰仓</v>
      </c>
      <c r="G6595" s="1" t="str">
        <f t="shared" si="1980"/>
        <v>卡卡杜个人护理店（抖店）</v>
      </c>
      <c r="H6595" s="1" t="str">
        <f t="shared" si="1976"/>
        <v>正常订单</v>
      </c>
      <c r="I6595" s="1" t="str">
        <f t="shared" si="1977"/>
        <v>已发货</v>
      </c>
      <c r="J6595" s="1" t="str">
        <f>"6"</f>
        <v>6</v>
      </c>
      <c r="K6595" s="1">
        <v>3</v>
      </c>
      <c r="L6595" s="1" t="s">
        <v>80</v>
      </c>
      <c r="M6595" s="1" t="str">
        <f>"河南省 新乡市 辉县市 孟庄镇"</f>
        <v>河南省 新乡市 辉县市 孟庄镇</v>
      </c>
      <c r="N6595" s="1" t="str">
        <f t="shared" si="1979"/>
        <v>凡华云仓-韵达-抖音</v>
      </c>
      <c r="O6595" s="5">
        <v>320177480797752</v>
      </c>
      <c r="P6595" s="6">
        <v>0.45</v>
      </c>
      <c r="Q6595" s="11">
        <v>2.2999999999999998</v>
      </c>
      <c r="R6595" s="11"/>
      <c r="S6595" s="11"/>
      <c r="T6595" s="11"/>
      <c r="U6595" s="11">
        <f t="shared" ref="U6595:U6658" si="1982">T6595+S6595+R6595+Q6595</f>
        <v>2.2999999999999998</v>
      </c>
      <c r="W6595">
        <v>2.5</v>
      </c>
      <c r="X6595" s="1" t="s">
        <v>80</v>
      </c>
    </row>
    <row r="6596" spans="1:24" x14ac:dyDescent="0.25">
      <c r="A6596" s="1" t="str">
        <f t="shared" si="1974"/>
        <v>卡卡杜-凤凰仓</v>
      </c>
      <c r="B6596" s="1" t="str">
        <f>"CK202410189355"</f>
        <v>CK202410189355</v>
      </c>
      <c r="C6596" s="1" t="str">
        <f>"DD2024101814937"</f>
        <v>DD2024101814937</v>
      </c>
      <c r="D6596" s="1" t="str">
        <f>"CK202410189483"</f>
        <v>CK202410189483</v>
      </c>
      <c r="E6596" s="1" t="str">
        <f>"6935160709525345929"</f>
        <v>6935160709525345929</v>
      </c>
      <c r="F6596" s="1" t="str">
        <f t="shared" si="1975"/>
        <v>花都四部-凤凰仓</v>
      </c>
      <c r="G6596" s="1" t="str">
        <f t="shared" si="1980"/>
        <v>卡卡杜个人护理店（抖店）</v>
      </c>
      <c r="H6596" s="1" t="str">
        <f t="shared" si="1976"/>
        <v>正常订单</v>
      </c>
      <c r="I6596" s="1" t="str">
        <f t="shared" si="1977"/>
        <v>已发货</v>
      </c>
      <c r="J6596" s="1" t="str">
        <f t="shared" ref="J6596:J6618" si="1983">"3"</f>
        <v>3</v>
      </c>
      <c r="K6596" s="1">
        <v>3</v>
      </c>
      <c r="L6596" s="1" t="s">
        <v>30</v>
      </c>
      <c r="M6596" s="1" t="str">
        <f>"山东省 泰安市 泰山区 岱庙街道"</f>
        <v>山东省 泰安市 泰山区 岱庙街道</v>
      </c>
      <c r="N6596" s="1" t="str">
        <f t="shared" si="1979"/>
        <v>凡华云仓-韵达-抖音</v>
      </c>
      <c r="O6596" s="5">
        <v>320177488083758</v>
      </c>
      <c r="P6596" s="6">
        <v>0.28000000000000003</v>
      </c>
      <c r="Q6596" s="11">
        <v>2</v>
      </c>
      <c r="R6596" s="11"/>
      <c r="S6596" s="11"/>
      <c r="T6596" s="11"/>
      <c r="U6596" s="11">
        <f t="shared" si="1982"/>
        <v>2</v>
      </c>
      <c r="W6596">
        <v>2.2000000000000002</v>
      </c>
      <c r="X6596" s="1" t="s">
        <v>30</v>
      </c>
    </row>
    <row r="6597" spans="1:24" x14ac:dyDescent="0.25">
      <c r="A6597" s="1" t="str">
        <f t="shared" ref="A6597:A6660" si="1984">"卡卡杜-凤凰仓"</f>
        <v>卡卡杜-凤凰仓</v>
      </c>
      <c r="B6597" s="1" t="str">
        <f>"CK202410189359"</f>
        <v>CK202410189359</v>
      </c>
      <c r="C6597" s="1" t="str">
        <f>"DD2024101814944"</f>
        <v>DD2024101814944</v>
      </c>
      <c r="D6597" s="1" t="str">
        <f>"CK202410189482"</f>
        <v>CK202410189482</v>
      </c>
      <c r="E6597" s="1" t="str">
        <f>"6935151306717402817"</f>
        <v>6935151306717402817</v>
      </c>
      <c r="F6597" s="1" t="str">
        <f t="shared" ref="F6597:F6660" si="1985">"花都四部-凤凰仓"</f>
        <v>花都四部-凤凰仓</v>
      </c>
      <c r="G6597" s="1" t="str">
        <f t="shared" si="1980"/>
        <v>卡卡杜个人护理店（抖店）</v>
      </c>
      <c r="H6597" s="1" t="str">
        <f t="shared" ref="H6597:H6660" si="1986">"正常订单"</f>
        <v>正常订单</v>
      </c>
      <c r="I6597" s="1" t="str">
        <f t="shared" ref="I6597:I6660" si="1987">"已发货"</f>
        <v>已发货</v>
      </c>
      <c r="J6597" s="1" t="str">
        <f t="shared" si="1983"/>
        <v>3</v>
      </c>
      <c r="K6597" s="1">
        <v>3</v>
      </c>
      <c r="L6597" s="1" t="s">
        <v>80</v>
      </c>
      <c r="M6597" s="1" t="str">
        <f>"河南省 郑州市 中牟县 姚家镇"</f>
        <v>河南省 郑州市 中牟县 姚家镇</v>
      </c>
      <c r="N6597" s="1" t="str">
        <f t="shared" si="1979"/>
        <v>凡华云仓-韵达-抖音</v>
      </c>
      <c r="O6597" s="5">
        <v>320177488083657</v>
      </c>
      <c r="P6597" s="6">
        <v>0.28000000000000003</v>
      </c>
      <c r="Q6597" s="11">
        <v>2</v>
      </c>
      <c r="R6597" s="11"/>
      <c r="S6597" s="11"/>
      <c r="T6597" s="11"/>
      <c r="U6597" s="11">
        <f t="shared" si="1982"/>
        <v>2</v>
      </c>
      <c r="W6597">
        <v>2.2000000000000002</v>
      </c>
      <c r="X6597" s="1" t="s">
        <v>80</v>
      </c>
    </row>
    <row r="6598" spans="1:24" x14ac:dyDescent="0.25">
      <c r="A6598" s="1" t="str">
        <f t="shared" si="1984"/>
        <v>卡卡杜-凤凰仓</v>
      </c>
      <c r="B6598" s="1" t="str">
        <f>"CK202410189372"</f>
        <v>CK202410189372</v>
      </c>
      <c r="C6598" s="1" t="str">
        <f>"DD2024101814955"</f>
        <v>DD2024101814955</v>
      </c>
      <c r="D6598" s="1" t="str">
        <f>"CK202410189481"</f>
        <v>CK202410189481</v>
      </c>
      <c r="E6598" s="1" t="str">
        <f>"6935134044246709635"</f>
        <v>6935134044246709635</v>
      </c>
      <c r="F6598" s="1" t="str">
        <f t="shared" si="1985"/>
        <v>花都四部-凤凰仓</v>
      </c>
      <c r="G6598" s="1" t="str">
        <f t="shared" si="1980"/>
        <v>卡卡杜个人护理店（抖店）</v>
      </c>
      <c r="H6598" s="1" t="str">
        <f t="shared" si="1986"/>
        <v>正常订单</v>
      </c>
      <c r="I6598" s="1" t="str">
        <f t="shared" si="1987"/>
        <v>已发货</v>
      </c>
      <c r="J6598" s="1" t="str">
        <f t="shared" si="1983"/>
        <v>3</v>
      </c>
      <c r="K6598" s="1">
        <v>3</v>
      </c>
      <c r="L6598" s="1" t="s">
        <v>16</v>
      </c>
      <c r="M6598" s="1" t="str">
        <f>"河北省 邯郸市 成安县 道东堡乡"</f>
        <v>河北省 邯郸市 成安县 道东堡乡</v>
      </c>
      <c r="N6598" s="1" t="str">
        <f t="shared" si="1979"/>
        <v>凡华云仓-韵达-抖音</v>
      </c>
      <c r="O6598" s="5">
        <v>320177488083558</v>
      </c>
      <c r="P6598" s="6">
        <v>0.28000000000000003</v>
      </c>
      <c r="Q6598" s="11">
        <v>2</v>
      </c>
      <c r="R6598" s="11"/>
      <c r="S6598" s="11"/>
      <c r="T6598" s="11"/>
      <c r="U6598" s="11">
        <f t="shared" si="1982"/>
        <v>2</v>
      </c>
      <c r="W6598">
        <v>2.2000000000000002</v>
      </c>
      <c r="X6598" s="1" t="s">
        <v>16</v>
      </c>
    </row>
    <row r="6599" spans="1:24" x14ac:dyDescent="0.25">
      <c r="A6599" s="1" t="str">
        <f t="shared" si="1984"/>
        <v>卡卡杜-凤凰仓</v>
      </c>
      <c r="B6599" s="1" t="str">
        <f>"CK2024101810027"</f>
        <v>CK2024101810027</v>
      </c>
      <c r="C6599" s="1" t="str">
        <f>"DD2024101815611"</f>
        <v>DD2024101815611</v>
      </c>
      <c r="D6599" s="1" t="str">
        <f>"CK202410189480"</f>
        <v>CK202410189480</v>
      </c>
      <c r="E6599" s="1" t="str">
        <f>"6935169672768722159"</f>
        <v>6935169672768722159</v>
      </c>
      <c r="F6599" s="1" t="str">
        <f t="shared" si="1985"/>
        <v>花都四部-凤凰仓</v>
      </c>
      <c r="G6599" s="1" t="str">
        <f t="shared" si="1980"/>
        <v>卡卡杜个人护理店（抖店）</v>
      </c>
      <c r="H6599" s="1" t="str">
        <f t="shared" si="1986"/>
        <v>正常订单</v>
      </c>
      <c r="I6599" s="1" t="str">
        <f t="shared" si="1987"/>
        <v>已发货</v>
      </c>
      <c r="J6599" s="1" t="str">
        <f t="shared" si="1983"/>
        <v>3</v>
      </c>
      <c r="K6599" s="1">
        <v>3</v>
      </c>
      <c r="L6599" s="1" t="s">
        <v>36</v>
      </c>
      <c r="M6599" s="1" t="str">
        <f>"安徽省 马鞍山市 含山县 环峰镇"</f>
        <v>安徽省 马鞍山市 含山县 环峰镇</v>
      </c>
      <c r="N6599" s="1" t="str">
        <f t="shared" si="1979"/>
        <v>凡华云仓-韵达-抖音</v>
      </c>
      <c r="O6599" s="5">
        <v>320177488083461</v>
      </c>
      <c r="P6599" s="6">
        <v>0.28000000000000003</v>
      </c>
      <c r="Q6599" s="11">
        <v>2</v>
      </c>
      <c r="R6599" s="11"/>
      <c r="S6599" s="11"/>
      <c r="T6599" s="11"/>
      <c r="U6599" s="11">
        <f t="shared" si="1982"/>
        <v>2</v>
      </c>
      <c r="W6599">
        <v>2.2000000000000002</v>
      </c>
      <c r="X6599" s="1" t="s">
        <v>36</v>
      </c>
    </row>
    <row r="6600" spans="1:24" x14ac:dyDescent="0.25">
      <c r="A6600" s="1" t="str">
        <f t="shared" si="1984"/>
        <v>卡卡杜-凤凰仓</v>
      </c>
      <c r="B6600" s="1" t="str">
        <f>"CK2024101810029"</f>
        <v>CK2024101810029</v>
      </c>
      <c r="C6600" s="1" t="str">
        <f>"DD2024101815614"</f>
        <v>DD2024101815614</v>
      </c>
      <c r="D6600" s="1" t="str">
        <f>"CK202410189479"</f>
        <v>CK202410189479</v>
      </c>
      <c r="E6600" s="1" t="str">
        <f>"6935164933939992185"</f>
        <v>6935164933939992185</v>
      </c>
      <c r="F6600" s="1" t="str">
        <f t="shared" si="1985"/>
        <v>花都四部-凤凰仓</v>
      </c>
      <c r="G6600" s="1" t="str">
        <f t="shared" si="1980"/>
        <v>卡卡杜个人护理店（抖店）</v>
      </c>
      <c r="H6600" s="1" t="str">
        <f t="shared" si="1986"/>
        <v>正常订单</v>
      </c>
      <c r="I6600" s="1" t="str">
        <f t="shared" si="1987"/>
        <v>已发货</v>
      </c>
      <c r="J6600" s="1" t="str">
        <f t="shared" si="1983"/>
        <v>3</v>
      </c>
      <c r="K6600" s="1">
        <v>3</v>
      </c>
      <c r="L6600" s="1" t="s">
        <v>47</v>
      </c>
      <c r="M6600" s="1" t="str">
        <f>"重庆 重庆市 渝北区 龙溪街道"</f>
        <v>重庆 重庆市 渝北区 龙溪街道</v>
      </c>
      <c r="N6600" s="1" t="str">
        <f t="shared" si="1979"/>
        <v>凡华云仓-韵达-抖音</v>
      </c>
      <c r="O6600" s="5">
        <v>320177488083366</v>
      </c>
      <c r="P6600" s="6">
        <v>0.28000000000000003</v>
      </c>
      <c r="Q6600" s="11">
        <v>2</v>
      </c>
      <c r="R6600" s="11"/>
      <c r="S6600" s="11"/>
      <c r="T6600" s="11"/>
      <c r="U6600" s="11">
        <f t="shared" si="1982"/>
        <v>2</v>
      </c>
      <c r="W6600">
        <v>2.2000000000000002</v>
      </c>
      <c r="X6600" s="1" t="s">
        <v>47</v>
      </c>
    </row>
    <row r="6601" spans="1:24" x14ac:dyDescent="0.25">
      <c r="A6601" s="1" t="str">
        <f t="shared" si="1984"/>
        <v>卡卡杜-凤凰仓</v>
      </c>
      <c r="B6601" s="1" t="str">
        <f>"CK2024101810032"</f>
        <v>CK2024101810032</v>
      </c>
      <c r="C6601" s="1" t="str">
        <f>"DD2024101815616"</f>
        <v>DD2024101815616</v>
      </c>
      <c r="D6601" s="1" t="str">
        <f>"CK202410189478"</f>
        <v>CK202410189478</v>
      </c>
      <c r="E6601" s="1" t="str">
        <f>"6935153712214644106"</f>
        <v>6935153712214644106</v>
      </c>
      <c r="F6601" s="1" t="str">
        <f t="shared" si="1985"/>
        <v>花都四部-凤凰仓</v>
      </c>
      <c r="G6601" s="1" t="str">
        <f t="shared" si="1980"/>
        <v>卡卡杜个人护理店（抖店）</v>
      </c>
      <c r="H6601" s="1" t="str">
        <f t="shared" si="1986"/>
        <v>正常订单</v>
      </c>
      <c r="I6601" s="1" t="str">
        <f t="shared" si="1987"/>
        <v>已发货</v>
      </c>
      <c r="J6601" s="1" t="str">
        <f t="shared" si="1983"/>
        <v>3</v>
      </c>
      <c r="K6601" s="1">
        <v>3</v>
      </c>
      <c r="L6601" s="1" t="s">
        <v>13</v>
      </c>
      <c r="M6601" s="1" t="str">
        <f>"江苏省 镇江市 京口区 丁卯街道"</f>
        <v>江苏省 镇江市 京口区 丁卯街道</v>
      </c>
      <c r="N6601" s="1" t="str">
        <f t="shared" si="1979"/>
        <v>凡华云仓-韵达-抖音</v>
      </c>
      <c r="O6601" s="5">
        <v>320177488083273</v>
      </c>
      <c r="P6601" s="6">
        <v>0.28000000000000003</v>
      </c>
      <c r="Q6601" s="11">
        <v>2</v>
      </c>
      <c r="R6601" s="11"/>
      <c r="S6601" s="11"/>
      <c r="T6601" s="11"/>
      <c r="U6601" s="11">
        <f t="shared" si="1982"/>
        <v>2</v>
      </c>
      <c r="W6601">
        <v>2.2000000000000002</v>
      </c>
      <c r="X6601" s="1" t="s">
        <v>13</v>
      </c>
    </row>
    <row r="6602" spans="1:24" x14ac:dyDescent="0.25">
      <c r="A6602" s="1" t="str">
        <f t="shared" si="1984"/>
        <v>卡卡杜-凤凰仓</v>
      </c>
      <c r="B6602" s="1" t="str">
        <f>"CK202410189345"</f>
        <v>CK202410189345</v>
      </c>
      <c r="C6602" s="1" t="str">
        <f>"DD2024101814928"</f>
        <v>DD2024101814928</v>
      </c>
      <c r="D6602" s="1" t="str">
        <f>"CK202410189477"</f>
        <v>CK202410189477</v>
      </c>
      <c r="E6602" s="1" t="str">
        <f>"6935160873733264776"</f>
        <v>6935160873733264776</v>
      </c>
      <c r="F6602" s="1" t="str">
        <f t="shared" si="1985"/>
        <v>花都四部-凤凰仓</v>
      </c>
      <c r="G6602" s="1" t="str">
        <f t="shared" si="1980"/>
        <v>卡卡杜个人护理店（抖店）</v>
      </c>
      <c r="H6602" s="1" t="str">
        <f t="shared" si="1986"/>
        <v>正常订单</v>
      </c>
      <c r="I6602" s="1" t="str">
        <f t="shared" si="1987"/>
        <v>已发货</v>
      </c>
      <c r="J6602" s="1" t="str">
        <f t="shared" si="1983"/>
        <v>3</v>
      </c>
      <c r="K6602" s="1">
        <v>3</v>
      </c>
      <c r="L6602" s="1" t="s">
        <v>13</v>
      </c>
      <c r="M6602" s="1" t="str">
        <f>"江苏省 宿迁市 宿城区 "</f>
        <v xml:space="preserve">江苏省 宿迁市 宿城区 </v>
      </c>
      <c r="N6602" s="1" t="str">
        <f t="shared" si="1979"/>
        <v>凡华云仓-韵达-抖音</v>
      </c>
      <c r="O6602" s="5">
        <v>320177488083182</v>
      </c>
      <c r="P6602" s="6">
        <v>0.28000000000000003</v>
      </c>
      <c r="Q6602" s="11">
        <v>2</v>
      </c>
      <c r="R6602" s="11"/>
      <c r="S6602" s="11"/>
      <c r="T6602" s="11"/>
      <c r="U6602" s="11">
        <f t="shared" si="1982"/>
        <v>2</v>
      </c>
      <c r="W6602">
        <v>2.2000000000000002</v>
      </c>
      <c r="X6602" s="1" t="s">
        <v>13</v>
      </c>
    </row>
    <row r="6603" spans="1:24" x14ac:dyDescent="0.25">
      <c r="A6603" s="1" t="str">
        <f t="shared" si="1984"/>
        <v>卡卡杜-凤凰仓</v>
      </c>
      <c r="B6603" s="1" t="str">
        <f>"CK202410189357"</f>
        <v>CK202410189357</v>
      </c>
      <c r="C6603" s="1" t="str">
        <f>"DD2024101814940"</f>
        <v>DD2024101814940</v>
      </c>
      <c r="D6603" s="1" t="str">
        <f>"CK202410189476"</f>
        <v>CK202410189476</v>
      </c>
      <c r="E6603" s="1" t="str">
        <f>"6935143471746847888"</f>
        <v>6935143471746847888</v>
      </c>
      <c r="F6603" s="1" t="str">
        <f t="shared" si="1985"/>
        <v>花都四部-凤凰仓</v>
      </c>
      <c r="G6603" s="1" t="str">
        <f t="shared" si="1980"/>
        <v>卡卡杜个人护理店（抖店）</v>
      </c>
      <c r="H6603" s="1" t="str">
        <f t="shared" si="1986"/>
        <v>正常订单</v>
      </c>
      <c r="I6603" s="1" t="str">
        <f t="shared" si="1987"/>
        <v>已发货</v>
      </c>
      <c r="J6603" s="1" t="str">
        <f t="shared" si="1983"/>
        <v>3</v>
      </c>
      <c r="K6603" s="1">
        <v>3</v>
      </c>
      <c r="L6603" s="1" t="s">
        <v>30</v>
      </c>
      <c r="M6603" s="1" t="str">
        <f>"山东省 淄博市 张店区 "</f>
        <v xml:space="preserve">山东省 淄博市 张店区 </v>
      </c>
      <c r="N6603" s="1" t="str">
        <f t="shared" si="1979"/>
        <v>凡华云仓-韵达-抖音</v>
      </c>
      <c r="O6603" s="5">
        <v>320177488083093</v>
      </c>
      <c r="P6603" s="6">
        <v>0.28000000000000003</v>
      </c>
      <c r="Q6603" s="11">
        <v>2</v>
      </c>
      <c r="R6603" s="11"/>
      <c r="S6603" s="11"/>
      <c r="T6603" s="11"/>
      <c r="U6603" s="11">
        <f t="shared" si="1982"/>
        <v>2</v>
      </c>
      <c r="W6603">
        <v>2.2000000000000002</v>
      </c>
      <c r="X6603" s="1" t="s">
        <v>30</v>
      </c>
    </row>
    <row r="6604" spans="1:24" x14ac:dyDescent="0.25">
      <c r="A6604" s="1" t="str">
        <f t="shared" si="1984"/>
        <v>卡卡杜-凤凰仓</v>
      </c>
      <c r="B6604" s="1" t="str">
        <f>"CK202410189361"</f>
        <v>CK202410189361</v>
      </c>
      <c r="C6604" s="1" t="str">
        <f>"DD2024101814942"</f>
        <v>DD2024101814942</v>
      </c>
      <c r="D6604" s="1" t="str">
        <f>"CK202410189475"</f>
        <v>CK202410189475</v>
      </c>
      <c r="E6604" s="1" t="str">
        <f>"6935141039172687077"</f>
        <v>6935141039172687077</v>
      </c>
      <c r="F6604" s="1" t="str">
        <f t="shared" si="1985"/>
        <v>花都四部-凤凰仓</v>
      </c>
      <c r="G6604" s="1" t="str">
        <f t="shared" si="1980"/>
        <v>卡卡杜个人护理店（抖店）</v>
      </c>
      <c r="H6604" s="1" t="str">
        <f t="shared" si="1986"/>
        <v>正常订单</v>
      </c>
      <c r="I6604" s="1" t="str">
        <f t="shared" si="1987"/>
        <v>已发货</v>
      </c>
      <c r="J6604" s="1" t="str">
        <f t="shared" si="1983"/>
        <v>3</v>
      </c>
      <c r="K6604" s="1">
        <v>3</v>
      </c>
      <c r="L6604" s="1" t="s">
        <v>94</v>
      </c>
      <c r="M6604" s="1" t="str">
        <f>"湖南省 娄底市 娄星区 涟滨街道"</f>
        <v>湖南省 娄底市 娄星区 涟滨街道</v>
      </c>
      <c r="N6604" s="1" t="str">
        <f t="shared" ref="N6604:N6667" si="1988">"凡华云仓-韵达-抖音"</f>
        <v>凡华云仓-韵达-抖音</v>
      </c>
      <c r="O6604" s="5">
        <v>320177488082973</v>
      </c>
      <c r="P6604" s="6">
        <v>0.28000000000000003</v>
      </c>
      <c r="Q6604" s="11">
        <v>2</v>
      </c>
      <c r="R6604" s="11"/>
      <c r="S6604" s="11"/>
      <c r="T6604" s="11"/>
      <c r="U6604" s="11">
        <f t="shared" si="1982"/>
        <v>2</v>
      </c>
      <c r="W6604">
        <v>2.2000000000000002</v>
      </c>
      <c r="X6604" s="1" t="s">
        <v>94</v>
      </c>
    </row>
    <row r="6605" spans="1:24" x14ac:dyDescent="0.25">
      <c r="A6605" s="1" t="str">
        <f t="shared" si="1984"/>
        <v>卡卡杜-凤凰仓</v>
      </c>
      <c r="B6605" s="1" t="str">
        <f>"CK202410189363"</f>
        <v>CK202410189363</v>
      </c>
      <c r="C6605" s="1" t="str">
        <f>"DD2024101814946"</f>
        <v>DD2024101814946</v>
      </c>
      <c r="D6605" s="1" t="str">
        <f>"CK202410189474"</f>
        <v>CK202410189474</v>
      </c>
      <c r="E6605" s="1" t="str">
        <f>"6935162673283209138"</f>
        <v>6935162673283209138</v>
      </c>
      <c r="F6605" s="1" t="str">
        <f t="shared" si="1985"/>
        <v>花都四部-凤凰仓</v>
      </c>
      <c r="G6605" s="1" t="str">
        <f t="shared" si="1980"/>
        <v>卡卡杜个人护理店（抖店）</v>
      </c>
      <c r="H6605" s="1" t="str">
        <f t="shared" si="1986"/>
        <v>正常订单</v>
      </c>
      <c r="I6605" s="1" t="str">
        <f t="shared" si="1987"/>
        <v>已发货</v>
      </c>
      <c r="J6605" s="1" t="str">
        <f t="shared" si="1983"/>
        <v>3</v>
      </c>
      <c r="K6605" s="1">
        <v>3</v>
      </c>
      <c r="L6605" s="1" t="s">
        <v>30</v>
      </c>
      <c r="M6605" s="1" t="str">
        <f>"山东省 潍坊市 寿光市 圣城街道"</f>
        <v>山东省 潍坊市 寿光市 圣城街道</v>
      </c>
      <c r="N6605" s="1" t="str">
        <f t="shared" si="1988"/>
        <v>凡华云仓-韵达-抖音</v>
      </c>
      <c r="O6605" s="5">
        <v>320177488082868</v>
      </c>
      <c r="P6605" s="6">
        <v>0.28000000000000003</v>
      </c>
      <c r="Q6605" s="11">
        <v>2</v>
      </c>
      <c r="R6605" s="11"/>
      <c r="S6605" s="11"/>
      <c r="T6605" s="11"/>
      <c r="U6605" s="11">
        <f t="shared" si="1982"/>
        <v>2</v>
      </c>
      <c r="W6605">
        <v>2.2000000000000002</v>
      </c>
      <c r="X6605" s="1" t="s">
        <v>30</v>
      </c>
    </row>
    <row r="6606" spans="1:24" x14ac:dyDescent="0.25">
      <c r="A6606" s="1" t="str">
        <f t="shared" si="1984"/>
        <v>卡卡杜-凤凰仓</v>
      </c>
      <c r="B6606" s="1" t="str">
        <f>"CK202410189365"</f>
        <v>CK202410189365</v>
      </c>
      <c r="C6606" s="1" t="str">
        <f>"DD2024101814948"</f>
        <v>DD2024101814948</v>
      </c>
      <c r="D6606" s="1" t="str">
        <f>"CK202410189473"</f>
        <v>CK202410189473</v>
      </c>
      <c r="E6606" s="1" t="str">
        <f>"6935169595846497699"</f>
        <v>6935169595846497699</v>
      </c>
      <c r="F6606" s="1" t="str">
        <f t="shared" si="1985"/>
        <v>花都四部-凤凰仓</v>
      </c>
      <c r="G6606" s="1" t="str">
        <f t="shared" si="1980"/>
        <v>卡卡杜个人护理店（抖店）</v>
      </c>
      <c r="H6606" s="1" t="str">
        <f t="shared" si="1986"/>
        <v>正常订单</v>
      </c>
      <c r="I6606" s="1" t="str">
        <f t="shared" si="1987"/>
        <v>已发货</v>
      </c>
      <c r="J6606" s="1" t="str">
        <f t="shared" si="1983"/>
        <v>3</v>
      </c>
      <c r="K6606" s="1">
        <v>3</v>
      </c>
      <c r="L6606" s="1" t="s">
        <v>16</v>
      </c>
      <c r="M6606" s="1" t="str">
        <f>"河北省 沧州市 任丘市 "</f>
        <v xml:space="preserve">河北省 沧州市 任丘市 </v>
      </c>
      <c r="N6606" s="1" t="str">
        <f t="shared" si="1988"/>
        <v>凡华云仓-韵达-抖音</v>
      </c>
      <c r="O6606" s="5">
        <v>320177467895324</v>
      </c>
      <c r="P6606" s="6">
        <v>0.28000000000000003</v>
      </c>
      <c r="Q6606" s="11">
        <v>2</v>
      </c>
      <c r="R6606" s="11"/>
      <c r="S6606" s="11"/>
      <c r="T6606" s="11"/>
      <c r="U6606" s="11">
        <f t="shared" si="1982"/>
        <v>2</v>
      </c>
      <c r="W6606">
        <v>2.2000000000000002</v>
      </c>
      <c r="X6606" s="1" t="s">
        <v>16</v>
      </c>
    </row>
    <row r="6607" spans="1:24" x14ac:dyDescent="0.25">
      <c r="A6607" s="1" t="str">
        <f t="shared" si="1984"/>
        <v>卡卡杜-凤凰仓</v>
      </c>
      <c r="B6607" s="1" t="str">
        <f>"CK202410189367"</f>
        <v>CK202410189367</v>
      </c>
      <c r="C6607" s="1" t="str">
        <f>"DD2024101814949"</f>
        <v>DD2024101814949</v>
      </c>
      <c r="D6607" s="1" t="str">
        <f>"CK202410189472"</f>
        <v>CK202410189472</v>
      </c>
      <c r="E6607" s="1" t="str">
        <f>"6935160849292990135"</f>
        <v>6935160849292990135</v>
      </c>
      <c r="F6607" s="1" t="str">
        <f t="shared" si="1985"/>
        <v>花都四部-凤凰仓</v>
      </c>
      <c r="G6607" s="1" t="str">
        <f t="shared" si="1980"/>
        <v>卡卡杜个人护理店（抖店）</v>
      </c>
      <c r="H6607" s="1" t="str">
        <f t="shared" si="1986"/>
        <v>正常订单</v>
      </c>
      <c r="I6607" s="1" t="str">
        <f t="shared" si="1987"/>
        <v>已发货</v>
      </c>
      <c r="J6607" s="1" t="str">
        <f t="shared" si="1983"/>
        <v>3</v>
      </c>
      <c r="K6607" s="1">
        <v>3</v>
      </c>
      <c r="L6607" s="1" t="s">
        <v>36</v>
      </c>
      <c r="M6607" s="1" t="str">
        <f>"安徽省 铜陵市 义安区 顺安镇"</f>
        <v>安徽省 铜陵市 义安区 顺安镇</v>
      </c>
      <c r="N6607" s="1" t="str">
        <f t="shared" si="1988"/>
        <v>凡华云仓-韵达-抖音</v>
      </c>
      <c r="O6607" s="5">
        <v>320177467895231</v>
      </c>
      <c r="P6607" s="6">
        <v>0.28000000000000003</v>
      </c>
      <c r="Q6607" s="11">
        <v>2</v>
      </c>
      <c r="R6607" s="11"/>
      <c r="S6607" s="11"/>
      <c r="T6607" s="11"/>
      <c r="U6607" s="11">
        <f t="shared" si="1982"/>
        <v>2</v>
      </c>
      <c r="W6607">
        <v>2.2000000000000002</v>
      </c>
      <c r="X6607" s="1" t="s">
        <v>36</v>
      </c>
    </row>
    <row r="6608" spans="1:24" x14ac:dyDescent="0.25">
      <c r="A6608" s="1" t="str">
        <f t="shared" si="1984"/>
        <v>卡卡杜-凤凰仓</v>
      </c>
      <c r="B6608" s="1" t="str">
        <f>"CK202410189370"</f>
        <v>CK202410189370</v>
      </c>
      <c r="C6608" s="1" t="str">
        <f>"DD2024101814952"</f>
        <v>DD2024101814952</v>
      </c>
      <c r="D6608" s="1" t="str">
        <f>"CK202410189471"</f>
        <v>CK202410189471</v>
      </c>
      <c r="E6608" s="1" t="str">
        <f>"6935141031154947621"</f>
        <v>6935141031154947621</v>
      </c>
      <c r="F6608" s="1" t="str">
        <f t="shared" si="1985"/>
        <v>花都四部-凤凰仓</v>
      </c>
      <c r="G6608" s="1" t="str">
        <f t="shared" si="1980"/>
        <v>卡卡杜个人护理店（抖店）</v>
      </c>
      <c r="H6608" s="1" t="str">
        <f t="shared" si="1986"/>
        <v>正常订单</v>
      </c>
      <c r="I6608" s="1" t="str">
        <f t="shared" si="1987"/>
        <v>已发货</v>
      </c>
      <c r="J6608" s="1" t="str">
        <f t="shared" si="1983"/>
        <v>3</v>
      </c>
      <c r="K6608" s="1">
        <v>3</v>
      </c>
      <c r="L6608" s="1" t="s">
        <v>30</v>
      </c>
      <c r="M6608" s="1" t="str">
        <f>"山东省 烟台市 莱州市 金仓街道"</f>
        <v>山东省 烟台市 莱州市 金仓街道</v>
      </c>
      <c r="N6608" s="1" t="str">
        <f t="shared" si="1988"/>
        <v>凡华云仓-韵达-抖音</v>
      </c>
      <c r="O6608" s="5">
        <v>320177467895140</v>
      </c>
      <c r="P6608" s="6">
        <v>0.28000000000000003</v>
      </c>
      <c r="Q6608" s="11">
        <v>2</v>
      </c>
      <c r="R6608" s="11"/>
      <c r="S6608" s="11"/>
      <c r="T6608" s="11"/>
      <c r="U6608" s="11">
        <f t="shared" si="1982"/>
        <v>2</v>
      </c>
      <c r="W6608">
        <v>2.2000000000000002</v>
      </c>
      <c r="X6608" s="1" t="s">
        <v>30</v>
      </c>
    </row>
    <row r="6609" spans="1:24" x14ac:dyDescent="0.25">
      <c r="A6609" s="1" t="str">
        <f t="shared" si="1984"/>
        <v>卡卡杜-凤凰仓</v>
      </c>
      <c r="B6609" s="1" t="str">
        <f>"CK202410189374"</f>
        <v>CK202410189374</v>
      </c>
      <c r="C6609" s="1" t="str">
        <f>"DD2024101814954"</f>
        <v>DD2024101814954</v>
      </c>
      <c r="D6609" s="1" t="str">
        <f>"CK202410189470"</f>
        <v>CK202410189470</v>
      </c>
      <c r="E6609" s="1" t="str">
        <f>"6935141061695116944"</f>
        <v>6935141061695116944</v>
      </c>
      <c r="F6609" s="1" t="str">
        <f t="shared" si="1985"/>
        <v>花都四部-凤凰仓</v>
      </c>
      <c r="G6609" s="1" t="str">
        <f t="shared" si="1980"/>
        <v>卡卡杜个人护理店（抖店）</v>
      </c>
      <c r="H6609" s="1" t="str">
        <f t="shared" si="1986"/>
        <v>正常订单</v>
      </c>
      <c r="I6609" s="1" t="str">
        <f t="shared" si="1987"/>
        <v>已发货</v>
      </c>
      <c r="J6609" s="1" t="str">
        <f t="shared" si="1983"/>
        <v>3</v>
      </c>
      <c r="K6609" s="1">
        <v>3</v>
      </c>
      <c r="L6609" s="1" t="s">
        <v>13</v>
      </c>
      <c r="M6609" s="1" t="str">
        <f>"江苏省 苏州市 姑苏区 双塔街道"</f>
        <v>江苏省 苏州市 姑苏区 双塔街道</v>
      </c>
      <c r="N6609" s="1" t="str">
        <f t="shared" si="1988"/>
        <v>凡华云仓-韵达-抖音</v>
      </c>
      <c r="O6609" s="5">
        <v>320177467895051</v>
      </c>
      <c r="P6609" s="6">
        <v>0.28000000000000003</v>
      </c>
      <c r="Q6609" s="11">
        <v>2</v>
      </c>
      <c r="R6609" s="11"/>
      <c r="S6609" s="11"/>
      <c r="T6609" s="11"/>
      <c r="U6609" s="11">
        <f t="shared" si="1982"/>
        <v>2</v>
      </c>
      <c r="W6609">
        <v>2.2000000000000002</v>
      </c>
      <c r="X6609" s="1" t="s">
        <v>13</v>
      </c>
    </row>
    <row r="6610" spans="1:24" x14ac:dyDescent="0.25">
      <c r="A6610" s="1" t="str">
        <f t="shared" si="1984"/>
        <v>卡卡杜-凤凰仓</v>
      </c>
      <c r="B6610" s="1" t="str">
        <f>"CK202410189376"</f>
        <v>CK202410189376</v>
      </c>
      <c r="C6610" s="1" t="str">
        <f>"DD2024101814957"</f>
        <v>DD2024101814957</v>
      </c>
      <c r="D6610" s="1" t="str">
        <f>"CK202410189469"</f>
        <v>CK202410189469</v>
      </c>
      <c r="E6610" s="1" t="str">
        <f>"6935171873542247997"</f>
        <v>6935171873542247997</v>
      </c>
      <c r="F6610" s="1" t="str">
        <f t="shared" si="1985"/>
        <v>花都四部-凤凰仓</v>
      </c>
      <c r="G6610" s="1" t="str">
        <f t="shared" si="1980"/>
        <v>卡卡杜个人护理店（抖店）</v>
      </c>
      <c r="H6610" s="1" t="str">
        <f t="shared" si="1986"/>
        <v>正常订单</v>
      </c>
      <c r="I6610" s="1" t="str">
        <f t="shared" si="1987"/>
        <v>已发货</v>
      </c>
      <c r="J6610" s="1" t="str">
        <f t="shared" si="1983"/>
        <v>3</v>
      </c>
      <c r="K6610" s="1">
        <v>3</v>
      </c>
      <c r="L6610" s="1" t="s">
        <v>13</v>
      </c>
      <c r="M6610" s="1" t="str">
        <f>"江苏省 淮安市 金湖县 "</f>
        <v xml:space="preserve">江苏省 淮安市 金湖县 </v>
      </c>
      <c r="N6610" s="1" t="str">
        <f t="shared" si="1988"/>
        <v>凡华云仓-韵达-抖音</v>
      </c>
      <c r="O6610" s="5">
        <v>320177467894927</v>
      </c>
      <c r="P6610" s="6">
        <v>0.28000000000000003</v>
      </c>
      <c r="Q6610" s="11">
        <v>2</v>
      </c>
      <c r="R6610" s="11"/>
      <c r="S6610" s="11"/>
      <c r="T6610" s="11"/>
      <c r="U6610" s="11">
        <f t="shared" si="1982"/>
        <v>2</v>
      </c>
      <c r="W6610">
        <v>2.2000000000000002</v>
      </c>
      <c r="X6610" s="1" t="s">
        <v>13</v>
      </c>
    </row>
    <row r="6611" spans="1:24" x14ac:dyDescent="0.25">
      <c r="A6611" s="1" t="str">
        <f t="shared" si="1984"/>
        <v>卡卡杜-凤凰仓</v>
      </c>
      <c r="B6611" s="1" t="str">
        <f>"CK202410189381"</f>
        <v>CK202410189381</v>
      </c>
      <c r="C6611" s="1" t="str">
        <f>"DD2024101814969"</f>
        <v>DD2024101814969</v>
      </c>
      <c r="D6611" s="1" t="str">
        <f>"CK202410189468"</f>
        <v>CK202410189468</v>
      </c>
      <c r="E6611" s="1" t="str">
        <f>"6935171923629315530"</f>
        <v>6935171923629315530</v>
      </c>
      <c r="F6611" s="1" t="str">
        <f t="shared" si="1985"/>
        <v>花都四部-凤凰仓</v>
      </c>
      <c r="G6611" s="1" t="str">
        <f t="shared" si="1980"/>
        <v>卡卡杜个人护理店（抖店）</v>
      </c>
      <c r="H6611" s="1" t="str">
        <f t="shared" si="1986"/>
        <v>正常订单</v>
      </c>
      <c r="I6611" s="1" t="str">
        <f t="shared" si="1987"/>
        <v>已发货</v>
      </c>
      <c r="J6611" s="1" t="str">
        <f t="shared" si="1983"/>
        <v>3</v>
      </c>
      <c r="K6611" s="1">
        <v>3</v>
      </c>
      <c r="L6611" s="1" t="s">
        <v>20</v>
      </c>
      <c r="M6611" s="1" t="str">
        <f>"浙江省 金华市 婺城区 白龙桥镇"</f>
        <v>浙江省 金华市 婺城区 白龙桥镇</v>
      </c>
      <c r="N6611" s="1" t="str">
        <f t="shared" si="1988"/>
        <v>凡华云仓-韵达-抖音</v>
      </c>
      <c r="O6611" s="5">
        <v>320177467894822</v>
      </c>
      <c r="P6611" s="6">
        <v>0.28000000000000003</v>
      </c>
      <c r="Q6611" s="11">
        <v>2</v>
      </c>
      <c r="R6611" s="11"/>
      <c r="S6611" s="11"/>
      <c r="T6611" s="11"/>
      <c r="U6611" s="11">
        <f t="shared" si="1982"/>
        <v>2</v>
      </c>
      <c r="W6611">
        <v>2.2000000000000002</v>
      </c>
      <c r="X6611" s="1" t="s">
        <v>20</v>
      </c>
    </row>
    <row r="6612" spans="1:24" x14ac:dyDescent="0.25">
      <c r="A6612" s="1" t="str">
        <f t="shared" si="1984"/>
        <v>卡卡杜-凤凰仓</v>
      </c>
      <c r="B6612" s="1" t="str">
        <f>"CK202410189387"</f>
        <v>CK202410189387</v>
      </c>
      <c r="C6612" s="1" t="str">
        <f>"DD2024101814970"</f>
        <v>DD2024101814970</v>
      </c>
      <c r="D6612" s="1" t="str">
        <f>"CK202410189467"</f>
        <v>CK202410189467</v>
      </c>
      <c r="E6612" s="1" t="str">
        <f>"6935147378555556878"</f>
        <v>6935147378555556878</v>
      </c>
      <c r="F6612" s="1" t="str">
        <f t="shared" si="1985"/>
        <v>花都四部-凤凰仓</v>
      </c>
      <c r="G6612" s="1" t="str">
        <f t="shared" si="1980"/>
        <v>卡卡杜个人护理店（抖店）</v>
      </c>
      <c r="H6612" s="1" t="str">
        <f t="shared" si="1986"/>
        <v>正常订单</v>
      </c>
      <c r="I6612" s="1" t="str">
        <f t="shared" si="1987"/>
        <v>已发货</v>
      </c>
      <c r="J6612" s="1" t="str">
        <f t="shared" si="1983"/>
        <v>3</v>
      </c>
      <c r="K6612" s="1">
        <v>3</v>
      </c>
      <c r="L6612" s="1" t="s">
        <v>41</v>
      </c>
      <c r="M6612" s="1" t="str">
        <f>"湖北省 荆州市 沙市区 联合街道"</f>
        <v>湖北省 荆州市 沙市区 联合街道</v>
      </c>
      <c r="N6612" s="1" t="str">
        <f t="shared" si="1988"/>
        <v>凡华云仓-韵达-抖音</v>
      </c>
      <c r="O6612" s="5">
        <v>320177467894719</v>
      </c>
      <c r="P6612" s="6">
        <v>0.28000000000000003</v>
      </c>
      <c r="Q6612" s="11">
        <v>2</v>
      </c>
      <c r="R6612" s="11"/>
      <c r="S6612" s="11"/>
      <c r="T6612" s="11"/>
      <c r="U6612" s="11">
        <f t="shared" si="1982"/>
        <v>2</v>
      </c>
      <c r="W6612">
        <v>2.2000000000000002</v>
      </c>
      <c r="X6612" s="1" t="s">
        <v>41</v>
      </c>
    </row>
    <row r="6613" spans="1:24" x14ac:dyDescent="0.25">
      <c r="A6613" s="1" t="str">
        <f t="shared" si="1984"/>
        <v>卡卡杜-凤凰仓</v>
      </c>
      <c r="B6613" s="1" t="str">
        <f>"CK202410189379"</f>
        <v>CK202410189379</v>
      </c>
      <c r="C6613" s="1" t="str">
        <f>"DD2024101814959"</f>
        <v>DD2024101814959</v>
      </c>
      <c r="D6613" s="1" t="str">
        <f>"CK202410189466"</f>
        <v>CK202410189466</v>
      </c>
      <c r="E6613" s="1" t="str">
        <f>"6935141107196237115"</f>
        <v>6935141107196237115</v>
      </c>
      <c r="F6613" s="1" t="str">
        <f t="shared" si="1985"/>
        <v>花都四部-凤凰仓</v>
      </c>
      <c r="G6613" s="1" t="str">
        <f t="shared" si="1980"/>
        <v>卡卡杜个人护理店（抖店）</v>
      </c>
      <c r="H6613" s="1" t="str">
        <f t="shared" si="1986"/>
        <v>正常订单</v>
      </c>
      <c r="I6613" s="1" t="str">
        <f t="shared" si="1987"/>
        <v>已发货</v>
      </c>
      <c r="J6613" s="1" t="str">
        <f t="shared" si="1983"/>
        <v>3</v>
      </c>
      <c r="K6613" s="1">
        <v>3</v>
      </c>
      <c r="L6613" s="1" t="s">
        <v>74</v>
      </c>
      <c r="M6613" s="1" t="str">
        <f>"上海 上海市 奉贤区 四团镇"</f>
        <v>上海 上海市 奉贤区 四团镇</v>
      </c>
      <c r="N6613" s="1" t="str">
        <f t="shared" si="1988"/>
        <v>凡华云仓-韵达-抖音</v>
      </c>
      <c r="O6613" s="5">
        <v>320177467894618</v>
      </c>
      <c r="P6613" s="6">
        <v>0.28000000000000003</v>
      </c>
      <c r="Q6613" s="11">
        <v>2</v>
      </c>
      <c r="R6613" s="11"/>
      <c r="S6613" s="11"/>
      <c r="T6613" s="11"/>
      <c r="U6613" s="11">
        <f t="shared" si="1982"/>
        <v>2</v>
      </c>
      <c r="W6613">
        <v>2.2000000000000002</v>
      </c>
      <c r="X6613" s="1" t="s">
        <v>74</v>
      </c>
    </row>
    <row r="6614" spans="1:24" x14ac:dyDescent="0.25">
      <c r="A6614" s="1" t="str">
        <f t="shared" si="1984"/>
        <v>卡卡杜-凤凰仓</v>
      </c>
      <c r="B6614" s="1" t="str">
        <f>"CK202410189386"</f>
        <v>CK202410189386</v>
      </c>
      <c r="C6614" s="1" t="str">
        <f>"DD2024101814965"</f>
        <v>DD2024101814965</v>
      </c>
      <c r="D6614" s="1" t="str">
        <f>"CK202410189465"</f>
        <v>CK202410189465</v>
      </c>
      <c r="E6614" s="1" t="str">
        <f>"6935147199950296809"</f>
        <v>6935147199950296809</v>
      </c>
      <c r="F6614" s="1" t="str">
        <f t="shared" si="1985"/>
        <v>花都四部-凤凰仓</v>
      </c>
      <c r="G6614" s="1" t="str">
        <f t="shared" si="1980"/>
        <v>卡卡杜个人护理店（抖店）</v>
      </c>
      <c r="H6614" s="1" t="str">
        <f t="shared" si="1986"/>
        <v>正常订单</v>
      </c>
      <c r="I6614" s="1" t="str">
        <f t="shared" si="1987"/>
        <v>已发货</v>
      </c>
      <c r="J6614" s="1" t="str">
        <f t="shared" si="1983"/>
        <v>3</v>
      </c>
      <c r="K6614" s="1">
        <v>3</v>
      </c>
      <c r="L6614" s="1" t="s">
        <v>30</v>
      </c>
      <c r="M6614" s="1" t="str">
        <f>"山东省 德州市 临邑县 德平镇"</f>
        <v>山东省 德州市 临邑县 德平镇</v>
      </c>
      <c r="N6614" s="1" t="str">
        <f t="shared" si="1988"/>
        <v>凡华云仓-韵达-抖音</v>
      </c>
      <c r="O6614" s="5">
        <v>320177467894519</v>
      </c>
      <c r="P6614" s="6">
        <v>0.28000000000000003</v>
      </c>
      <c r="Q6614" s="11">
        <v>2</v>
      </c>
      <c r="R6614" s="11"/>
      <c r="S6614" s="11"/>
      <c r="T6614" s="11"/>
      <c r="U6614" s="11">
        <f t="shared" si="1982"/>
        <v>2</v>
      </c>
      <c r="W6614">
        <v>2.2000000000000002</v>
      </c>
      <c r="X6614" s="1" t="s">
        <v>30</v>
      </c>
    </row>
    <row r="6615" spans="1:24" x14ac:dyDescent="0.25">
      <c r="A6615" s="1" t="str">
        <f t="shared" si="1984"/>
        <v>卡卡杜-凤凰仓</v>
      </c>
      <c r="B6615" s="1" t="str">
        <f>"CK202410189389"</f>
        <v>CK202410189389</v>
      </c>
      <c r="C6615" s="1" t="str">
        <f>"DD2024101814972"</f>
        <v>DD2024101814972</v>
      </c>
      <c r="D6615" s="1" t="str">
        <f>"CK202410189464"</f>
        <v>CK202410189464</v>
      </c>
      <c r="E6615" s="1" t="str">
        <f>"6935143388288718498"</f>
        <v>6935143388288718498</v>
      </c>
      <c r="F6615" s="1" t="str">
        <f t="shared" si="1985"/>
        <v>花都四部-凤凰仓</v>
      </c>
      <c r="G6615" s="1" t="str">
        <f t="shared" si="1980"/>
        <v>卡卡杜个人护理店（抖店）</v>
      </c>
      <c r="H6615" s="1" t="str">
        <f t="shared" si="1986"/>
        <v>正常订单</v>
      </c>
      <c r="I6615" s="1" t="str">
        <f t="shared" si="1987"/>
        <v>已发货</v>
      </c>
      <c r="J6615" s="1" t="str">
        <f t="shared" si="1983"/>
        <v>3</v>
      </c>
      <c r="K6615" s="1">
        <v>3</v>
      </c>
      <c r="L6615" s="1" t="s">
        <v>30</v>
      </c>
      <c r="M6615" s="1" t="str">
        <f>"山东省 青岛市 即墨区 潮海街道"</f>
        <v>山东省 青岛市 即墨区 潮海街道</v>
      </c>
      <c r="N6615" s="1" t="str">
        <f t="shared" si="1988"/>
        <v>凡华云仓-韵达-抖音</v>
      </c>
      <c r="O6615" s="5">
        <v>320177467894422</v>
      </c>
      <c r="P6615" s="6">
        <v>0.28000000000000003</v>
      </c>
      <c r="Q6615" s="11">
        <v>2</v>
      </c>
      <c r="R6615" s="11"/>
      <c r="S6615" s="11"/>
      <c r="T6615" s="11"/>
      <c r="U6615" s="11">
        <f t="shared" si="1982"/>
        <v>2</v>
      </c>
      <c r="W6615">
        <v>2.2000000000000002</v>
      </c>
      <c r="X6615" s="1" t="s">
        <v>30</v>
      </c>
    </row>
    <row r="6616" spans="1:24" x14ac:dyDescent="0.25">
      <c r="A6616" s="1" t="str">
        <f t="shared" si="1984"/>
        <v>卡卡杜-凤凰仓</v>
      </c>
      <c r="B6616" s="1" t="str">
        <f>"CK202410189391"</f>
        <v>CK202410189391</v>
      </c>
      <c r="C6616" s="1" t="str">
        <f>"DD2024101814974"</f>
        <v>DD2024101814974</v>
      </c>
      <c r="D6616" s="1" t="str">
        <f>"CK202410189463"</f>
        <v>CK202410189463</v>
      </c>
      <c r="E6616" s="1" t="str">
        <f>"6935160879669515901"</f>
        <v>6935160879669515901</v>
      </c>
      <c r="F6616" s="1" t="str">
        <f t="shared" si="1985"/>
        <v>花都四部-凤凰仓</v>
      </c>
      <c r="G6616" s="1" t="str">
        <f t="shared" si="1980"/>
        <v>卡卡杜个人护理店（抖店）</v>
      </c>
      <c r="H6616" s="1" t="str">
        <f t="shared" si="1986"/>
        <v>正常订单</v>
      </c>
      <c r="I6616" s="1" t="str">
        <f t="shared" si="1987"/>
        <v>已发货</v>
      </c>
      <c r="J6616" s="1" t="str">
        <f t="shared" si="1983"/>
        <v>3</v>
      </c>
      <c r="K6616" s="1">
        <v>3</v>
      </c>
      <c r="L6616" s="1" t="s">
        <v>20</v>
      </c>
      <c r="M6616" s="1" t="str">
        <f>"浙江省 宁波市 镇海区 招宝山街道"</f>
        <v>浙江省 宁波市 镇海区 招宝山街道</v>
      </c>
      <c r="N6616" s="1" t="str">
        <f t="shared" si="1988"/>
        <v>凡华云仓-韵达-抖音</v>
      </c>
      <c r="O6616" s="5">
        <v>320177489001814</v>
      </c>
      <c r="P6616" s="6">
        <v>0.28000000000000003</v>
      </c>
      <c r="Q6616" s="11">
        <v>2</v>
      </c>
      <c r="R6616" s="11"/>
      <c r="S6616" s="11"/>
      <c r="T6616" s="11"/>
      <c r="U6616" s="11">
        <f t="shared" si="1982"/>
        <v>2</v>
      </c>
      <c r="W6616">
        <v>2.2000000000000002</v>
      </c>
      <c r="X6616" s="1" t="s">
        <v>20</v>
      </c>
    </row>
    <row r="6617" spans="1:24" x14ac:dyDescent="0.25">
      <c r="A6617" s="1" t="str">
        <f t="shared" si="1984"/>
        <v>卡卡杜-凤凰仓</v>
      </c>
      <c r="B6617" s="1" t="str">
        <f>"CK202410189393"</f>
        <v>CK202410189393</v>
      </c>
      <c r="C6617" s="1" t="str">
        <f>"DD2024101814976"</f>
        <v>DD2024101814976</v>
      </c>
      <c r="D6617" s="1" t="str">
        <f>"CK202410189462"</f>
        <v>CK202410189462</v>
      </c>
      <c r="E6617" s="1" t="str">
        <f>"6935153814255638367"</f>
        <v>6935153814255638367</v>
      </c>
      <c r="F6617" s="1" t="str">
        <f t="shared" si="1985"/>
        <v>花都四部-凤凰仓</v>
      </c>
      <c r="G6617" s="1" t="str">
        <f t="shared" si="1980"/>
        <v>卡卡杜个人护理店（抖店）</v>
      </c>
      <c r="H6617" s="1" t="str">
        <f t="shared" si="1986"/>
        <v>正常订单</v>
      </c>
      <c r="I6617" s="1" t="str">
        <f t="shared" si="1987"/>
        <v>已发货</v>
      </c>
      <c r="J6617" s="1" t="str">
        <f t="shared" si="1983"/>
        <v>3</v>
      </c>
      <c r="K6617" s="1">
        <v>3</v>
      </c>
      <c r="L6617" s="1" t="s">
        <v>161</v>
      </c>
      <c r="M6617" s="1" t="str">
        <f>"四川省 绵阳市 江油市 "</f>
        <v xml:space="preserve">四川省 绵阳市 江油市 </v>
      </c>
      <c r="N6617" s="1" t="str">
        <f t="shared" si="1988"/>
        <v>凡华云仓-韵达-抖音</v>
      </c>
      <c r="O6617" s="5">
        <v>320177489001711</v>
      </c>
      <c r="P6617" s="6">
        <v>0.28000000000000003</v>
      </c>
      <c r="Q6617" s="11">
        <v>2</v>
      </c>
      <c r="R6617" s="11"/>
      <c r="S6617" s="11"/>
      <c r="T6617" s="11"/>
      <c r="U6617" s="11">
        <f t="shared" si="1982"/>
        <v>2</v>
      </c>
      <c r="W6617">
        <v>2.2000000000000002</v>
      </c>
      <c r="X6617" s="1" t="s">
        <v>161</v>
      </c>
    </row>
    <row r="6618" spans="1:24" x14ac:dyDescent="0.25">
      <c r="A6618" s="1" t="str">
        <f t="shared" si="1984"/>
        <v>卡卡杜-凤凰仓</v>
      </c>
      <c r="B6618" s="1" t="str">
        <f>"CK202410189395"</f>
        <v>CK202410189395</v>
      </c>
      <c r="C6618" s="1" t="str">
        <f>"DD2024101814978"</f>
        <v>DD2024101814978</v>
      </c>
      <c r="D6618" s="1" t="str">
        <f>"CK202410189461"</f>
        <v>CK202410189461</v>
      </c>
      <c r="E6618" s="1" t="str">
        <f>"6935143455069049886"</f>
        <v>6935143455069049886</v>
      </c>
      <c r="F6618" s="1" t="str">
        <f t="shared" si="1985"/>
        <v>花都四部-凤凰仓</v>
      </c>
      <c r="G6618" s="1" t="str">
        <f t="shared" si="1980"/>
        <v>卡卡杜个人护理店（抖店）</v>
      </c>
      <c r="H6618" s="1" t="str">
        <f t="shared" si="1986"/>
        <v>正常订单</v>
      </c>
      <c r="I6618" s="1" t="str">
        <f t="shared" si="1987"/>
        <v>已发货</v>
      </c>
      <c r="J6618" s="1" t="str">
        <f t="shared" si="1983"/>
        <v>3</v>
      </c>
      <c r="K6618" s="1">
        <v>3</v>
      </c>
      <c r="L6618" s="1" t="s">
        <v>13</v>
      </c>
      <c r="M6618" s="1" t="str">
        <f>"江苏省 徐州市 丰县 欢口镇"</f>
        <v>江苏省 徐州市 丰县 欢口镇</v>
      </c>
      <c r="N6618" s="1" t="str">
        <f t="shared" si="1988"/>
        <v>凡华云仓-韵达-抖音</v>
      </c>
      <c r="O6618" s="5">
        <v>320177489001610</v>
      </c>
      <c r="P6618" s="6">
        <v>0.28000000000000003</v>
      </c>
      <c r="Q6618" s="11">
        <v>2</v>
      </c>
      <c r="R6618" s="11"/>
      <c r="S6618" s="11"/>
      <c r="T6618" s="11"/>
      <c r="U6618" s="11">
        <f t="shared" si="1982"/>
        <v>2</v>
      </c>
      <c r="W6618">
        <v>2.2000000000000002</v>
      </c>
      <c r="X6618" s="1" t="s">
        <v>13</v>
      </c>
    </row>
    <row r="6619" spans="1:24" x14ac:dyDescent="0.25">
      <c r="A6619" s="1" t="str">
        <f t="shared" si="1984"/>
        <v>卡卡杜-凤凰仓</v>
      </c>
      <c r="B6619" s="1" t="str">
        <f>"CK202410189397"</f>
        <v>CK202410189397</v>
      </c>
      <c r="C6619" s="1" t="str">
        <f>"DD2024101814980"</f>
        <v>DD2024101814980</v>
      </c>
      <c r="D6619" s="1" t="str">
        <f>"CK202410189460"</f>
        <v>CK202410189460</v>
      </c>
      <c r="E6619" s="1" t="str">
        <f>"6935158261755876570"</f>
        <v>6935158261755876570</v>
      </c>
      <c r="F6619" s="1" t="str">
        <f t="shared" si="1985"/>
        <v>花都四部-凤凰仓</v>
      </c>
      <c r="G6619" s="1" t="str">
        <f t="shared" si="1980"/>
        <v>卡卡杜个人护理店（抖店）</v>
      </c>
      <c r="H6619" s="1" t="str">
        <f t="shared" si="1986"/>
        <v>正常订单</v>
      </c>
      <c r="I6619" s="1" t="str">
        <f t="shared" si="1987"/>
        <v>已发货</v>
      </c>
      <c r="J6619" s="1" t="str">
        <f t="shared" ref="J6619:J6623" si="1989">"6"</f>
        <v>6</v>
      </c>
      <c r="K6619" s="1">
        <v>3</v>
      </c>
      <c r="L6619" s="1" t="s">
        <v>74</v>
      </c>
      <c r="M6619" s="1" t="str">
        <f>"上海 上海市 浦东新区 川沙新镇"</f>
        <v>上海 上海市 浦东新区 川沙新镇</v>
      </c>
      <c r="N6619" s="1" t="str">
        <f t="shared" si="1988"/>
        <v>凡华云仓-韵达-抖音</v>
      </c>
      <c r="O6619" s="5">
        <v>320177489001511</v>
      </c>
      <c r="P6619" s="6">
        <v>0.45</v>
      </c>
      <c r="Q6619" s="11">
        <v>2.2999999999999998</v>
      </c>
      <c r="R6619" s="11"/>
      <c r="S6619" s="11"/>
      <c r="T6619" s="11"/>
      <c r="U6619" s="11">
        <f t="shared" si="1982"/>
        <v>2.2999999999999998</v>
      </c>
      <c r="W6619">
        <v>2.5</v>
      </c>
      <c r="X6619" s="1" t="s">
        <v>74</v>
      </c>
    </row>
    <row r="6620" spans="1:24" x14ac:dyDescent="0.25">
      <c r="A6620" s="1" t="str">
        <f t="shared" si="1984"/>
        <v>卡卡杜-凤凰仓</v>
      </c>
      <c r="B6620" s="1" t="str">
        <f>"CK202410189399"</f>
        <v>CK202410189399</v>
      </c>
      <c r="C6620" s="1" t="str">
        <f>"DD2024101814983"</f>
        <v>DD2024101814983</v>
      </c>
      <c r="D6620" s="1" t="str">
        <f>"CK202410189459"</f>
        <v>CK202410189459</v>
      </c>
      <c r="E6620" s="1" t="str">
        <f>"6935147419185780293"</f>
        <v>6935147419185780293</v>
      </c>
      <c r="F6620" s="1" t="str">
        <f t="shared" si="1985"/>
        <v>花都四部-凤凰仓</v>
      </c>
      <c r="G6620" s="1" t="str">
        <f t="shared" si="1980"/>
        <v>卡卡杜个人护理店（抖店）</v>
      </c>
      <c r="H6620" s="1" t="str">
        <f t="shared" si="1986"/>
        <v>正常订单</v>
      </c>
      <c r="I6620" s="1" t="str">
        <f t="shared" si="1987"/>
        <v>已发货</v>
      </c>
      <c r="J6620" s="1" t="str">
        <f t="shared" si="1989"/>
        <v>6</v>
      </c>
      <c r="K6620" s="1">
        <v>3</v>
      </c>
      <c r="L6620" s="1" t="s">
        <v>16</v>
      </c>
      <c r="M6620" s="1" t="str">
        <f>"河北省 邢台市 任泽区 辛店镇"</f>
        <v>河北省 邢台市 任泽区 辛店镇</v>
      </c>
      <c r="N6620" s="1" t="str">
        <f t="shared" si="1988"/>
        <v>凡华云仓-韵达-抖音</v>
      </c>
      <c r="O6620" s="5">
        <v>320177489001414</v>
      </c>
      <c r="P6620" s="6">
        <v>0.45</v>
      </c>
      <c r="Q6620" s="11">
        <v>2.2999999999999998</v>
      </c>
      <c r="R6620" s="11"/>
      <c r="S6620" s="11"/>
      <c r="T6620" s="11"/>
      <c r="U6620" s="11">
        <f t="shared" si="1982"/>
        <v>2.2999999999999998</v>
      </c>
      <c r="W6620">
        <v>2.5</v>
      </c>
      <c r="X6620" s="1" t="s">
        <v>16</v>
      </c>
    </row>
    <row r="6621" spans="1:24" x14ac:dyDescent="0.25">
      <c r="A6621" s="1" t="str">
        <f t="shared" si="1984"/>
        <v>卡卡杜-凤凰仓</v>
      </c>
      <c r="B6621" s="1" t="str">
        <f>"CK202410189401"</f>
        <v>CK202410189401</v>
      </c>
      <c r="C6621" s="1" t="str">
        <f>"DD2024101814985"</f>
        <v>DD2024101814985</v>
      </c>
      <c r="D6621" s="1" t="str">
        <f>"CK202410189458"</f>
        <v>CK202410189458</v>
      </c>
      <c r="E6621" s="1" t="str">
        <f>"6935156064776820118"</f>
        <v>6935156064776820118</v>
      </c>
      <c r="F6621" s="1" t="str">
        <f t="shared" si="1985"/>
        <v>花都四部-凤凰仓</v>
      </c>
      <c r="G6621" s="1" t="str">
        <f t="shared" si="1980"/>
        <v>卡卡杜个人护理店（抖店）</v>
      </c>
      <c r="H6621" s="1" t="str">
        <f t="shared" si="1986"/>
        <v>正常订单</v>
      </c>
      <c r="I6621" s="1" t="str">
        <f t="shared" si="1987"/>
        <v>已发货</v>
      </c>
      <c r="J6621" s="1" t="str">
        <f t="shared" ref="J6621:J6625" si="1990">"3"</f>
        <v>3</v>
      </c>
      <c r="K6621" s="1">
        <v>3</v>
      </c>
      <c r="L6621" s="1" t="s">
        <v>105</v>
      </c>
      <c r="M6621" s="1" t="str">
        <f>"北京 北京市 海淀区 万寿路街道"</f>
        <v>北京 北京市 海淀区 万寿路街道</v>
      </c>
      <c r="N6621" s="1" t="str">
        <f t="shared" si="1988"/>
        <v>凡华云仓-韵达-抖音</v>
      </c>
      <c r="O6621" s="5">
        <v>320177489001319</v>
      </c>
      <c r="P6621" s="6">
        <v>0.28000000000000003</v>
      </c>
      <c r="Q6621" s="11">
        <v>2</v>
      </c>
      <c r="R6621" s="11"/>
      <c r="S6621" s="11"/>
      <c r="T6621" s="11"/>
      <c r="U6621" s="11">
        <f t="shared" si="1982"/>
        <v>2</v>
      </c>
      <c r="W6621">
        <v>2.2000000000000002</v>
      </c>
      <c r="X6621" s="1" t="s">
        <v>105</v>
      </c>
    </row>
    <row r="6622" spans="1:24" x14ac:dyDescent="0.25">
      <c r="A6622" s="1" t="str">
        <f t="shared" si="1984"/>
        <v>卡卡杜-凤凰仓</v>
      </c>
      <c r="B6622" s="1" t="str">
        <f>"CK202410189403"</f>
        <v>CK202410189403</v>
      </c>
      <c r="C6622" s="1" t="str">
        <f>"DD2024101814986"</f>
        <v>DD2024101814986</v>
      </c>
      <c r="D6622" s="1" t="str">
        <f>"CK202410189457"</f>
        <v>CK202410189457</v>
      </c>
      <c r="E6622" s="1" t="str">
        <f>"6935151508445796125"</f>
        <v>6935151508445796125</v>
      </c>
      <c r="F6622" s="1" t="str">
        <f t="shared" si="1985"/>
        <v>花都四部-凤凰仓</v>
      </c>
      <c r="G6622" s="1" t="str">
        <f t="shared" si="1980"/>
        <v>卡卡杜个人护理店（抖店）</v>
      </c>
      <c r="H6622" s="1" t="str">
        <f t="shared" si="1986"/>
        <v>正常订单</v>
      </c>
      <c r="I6622" s="1" t="str">
        <f t="shared" si="1987"/>
        <v>已发货</v>
      </c>
      <c r="J6622" s="1" t="str">
        <f t="shared" si="1990"/>
        <v>3</v>
      </c>
      <c r="K6622" s="1">
        <v>3</v>
      </c>
      <c r="L6622" s="1" t="s">
        <v>187</v>
      </c>
      <c r="M6622" s="1" t="str">
        <f>"吉林省 长春市 九台区 "</f>
        <v xml:space="preserve">吉林省 长春市 九台区 </v>
      </c>
      <c r="N6622" s="1" t="str">
        <f t="shared" si="1988"/>
        <v>凡华云仓-韵达-抖音</v>
      </c>
      <c r="O6622" s="5">
        <v>320177489001226</v>
      </c>
      <c r="P6622" s="6">
        <v>0.28000000000000003</v>
      </c>
      <c r="Q6622" s="11">
        <v>2</v>
      </c>
      <c r="R6622" s="11"/>
      <c r="S6622" s="11"/>
      <c r="T6622" s="11"/>
      <c r="U6622" s="11">
        <f t="shared" si="1982"/>
        <v>2</v>
      </c>
      <c r="W6622">
        <v>2.2000000000000002</v>
      </c>
      <c r="X6622" s="1" t="s">
        <v>187</v>
      </c>
    </row>
    <row r="6623" spans="1:24" x14ac:dyDescent="0.25">
      <c r="A6623" s="1" t="str">
        <f t="shared" si="1984"/>
        <v>卡卡杜-凤凰仓</v>
      </c>
      <c r="B6623" s="1" t="str">
        <f>"CK202410189405"</f>
        <v>CK202410189405</v>
      </c>
      <c r="C6623" s="1" t="str">
        <f>"DD2024101814989"</f>
        <v>DD2024101814989</v>
      </c>
      <c r="D6623" s="1" t="str">
        <f>"CK202410189456"</f>
        <v>CK202410189456</v>
      </c>
      <c r="E6623" s="1" t="str">
        <f>"6935167408239744302"</f>
        <v>6935167408239744302</v>
      </c>
      <c r="F6623" s="1" t="str">
        <f t="shared" si="1985"/>
        <v>花都四部-凤凰仓</v>
      </c>
      <c r="G6623" s="1" t="str">
        <f t="shared" si="1980"/>
        <v>卡卡杜个人护理店（抖店）</v>
      </c>
      <c r="H6623" s="1" t="str">
        <f t="shared" si="1986"/>
        <v>正常订单</v>
      </c>
      <c r="I6623" s="1" t="str">
        <f t="shared" si="1987"/>
        <v>已发货</v>
      </c>
      <c r="J6623" s="1" t="str">
        <f t="shared" si="1989"/>
        <v>6</v>
      </c>
      <c r="K6623" s="1">
        <v>3</v>
      </c>
      <c r="L6623" s="1" t="s">
        <v>94</v>
      </c>
      <c r="M6623" s="1" t="str">
        <f>"湖南省 益阳市 桃江县 桃花江镇"</f>
        <v>湖南省 益阳市 桃江县 桃花江镇</v>
      </c>
      <c r="N6623" s="1" t="str">
        <f t="shared" si="1988"/>
        <v>凡华云仓-韵达-抖音</v>
      </c>
      <c r="O6623" s="5">
        <v>320177489001135</v>
      </c>
      <c r="P6623" s="6">
        <v>0.45</v>
      </c>
      <c r="Q6623" s="11">
        <v>2.2999999999999998</v>
      </c>
      <c r="R6623" s="11"/>
      <c r="S6623" s="11"/>
      <c r="T6623" s="11"/>
      <c r="U6623" s="11">
        <f t="shared" si="1982"/>
        <v>2.2999999999999998</v>
      </c>
      <c r="W6623">
        <v>2.5</v>
      </c>
      <c r="X6623" s="1" t="s">
        <v>94</v>
      </c>
    </row>
    <row r="6624" spans="1:24" x14ac:dyDescent="0.25">
      <c r="A6624" s="1" t="str">
        <f t="shared" si="1984"/>
        <v>卡卡杜-凤凰仓</v>
      </c>
      <c r="B6624" s="1" t="str">
        <f>"CK202410189407"</f>
        <v>CK202410189407</v>
      </c>
      <c r="C6624" s="1" t="str">
        <f>"DD2024101814990"</f>
        <v>DD2024101814990</v>
      </c>
      <c r="D6624" s="1" t="str">
        <f>"CK202410189455"</f>
        <v>CK202410189455</v>
      </c>
      <c r="E6624" s="1" t="str">
        <f>"6935160802416989377"</f>
        <v>6935160802416989377</v>
      </c>
      <c r="F6624" s="1" t="str">
        <f t="shared" si="1985"/>
        <v>花都四部-凤凰仓</v>
      </c>
      <c r="G6624" s="1" t="str">
        <f t="shared" si="1980"/>
        <v>卡卡杜个人护理店（抖店）</v>
      </c>
      <c r="H6624" s="1" t="str">
        <f t="shared" si="1986"/>
        <v>正常订单</v>
      </c>
      <c r="I6624" s="1" t="str">
        <f t="shared" si="1987"/>
        <v>已发货</v>
      </c>
      <c r="J6624" s="1" t="str">
        <f t="shared" si="1990"/>
        <v>3</v>
      </c>
      <c r="K6624" s="1">
        <v>3</v>
      </c>
      <c r="L6624" s="1" t="s">
        <v>36</v>
      </c>
      <c r="M6624" s="1" t="str">
        <f>"安徽省 铜陵市 义安区 "</f>
        <v xml:space="preserve">安徽省 铜陵市 义安区 </v>
      </c>
      <c r="N6624" s="1" t="str">
        <f t="shared" si="1988"/>
        <v>凡华云仓-韵达-抖音</v>
      </c>
      <c r="O6624" s="5">
        <v>320177489001046</v>
      </c>
      <c r="P6624" s="6">
        <v>0.28000000000000003</v>
      </c>
      <c r="Q6624" s="11">
        <v>2</v>
      </c>
      <c r="R6624" s="11"/>
      <c r="S6624" s="11"/>
      <c r="T6624" s="11"/>
      <c r="U6624" s="11">
        <f t="shared" si="1982"/>
        <v>2</v>
      </c>
      <c r="W6624">
        <v>2.2000000000000002</v>
      </c>
      <c r="X6624" s="1" t="s">
        <v>36</v>
      </c>
    </row>
    <row r="6625" spans="1:24" x14ac:dyDescent="0.25">
      <c r="A6625" s="1" t="str">
        <f t="shared" si="1984"/>
        <v>卡卡杜-凤凰仓</v>
      </c>
      <c r="B6625" s="1" t="str">
        <f>"CK202410189409"</f>
        <v>CK202410189409</v>
      </c>
      <c r="C6625" s="1" t="str">
        <f>"DD2024101814993"</f>
        <v>DD2024101814993</v>
      </c>
      <c r="D6625" s="1" t="str">
        <f>"CK202410189454"</f>
        <v>CK202410189454</v>
      </c>
      <c r="E6625" s="1" t="str">
        <f>"6935167324700153353"</f>
        <v>6935167324700153353</v>
      </c>
      <c r="F6625" s="1" t="str">
        <f t="shared" si="1985"/>
        <v>花都四部-凤凰仓</v>
      </c>
      <c r="G6625" s="1" t="str">
        <f t="shared" si="1980"/>
        <v>卡卡杜个人护理店（抖店）</v>
      </c>
      <c r="H6625" s="1" t="str">
        <f t="shared" si="1986"/>
        <v>正常订单</v>
      </c>
      <c r="I6625" s="1" t="str">
        <f t="shared" si="1987"/>
        <v>已发货</v>
      </c>
      <c r="J6625" s="1" t="str">
        <f t="shared" si="1990"/>
        <v>3</v>
      </c>
      <c r="K6625" s="1">
        <v>3</v>
      </c>
      <c r="L6625" s="1" t="s">
        <v>80</v>
      </c>
      <c r="M6625" s="1" t="str">
        <f>"河南省 安阳市 内黄县 城关镇"</f>
        <v>河南省 安阳市 内黄县 城关镇</v>
      </c>
      <c r="N6625" s="1" t="str">
        <f t="shared" si="1988"/>
        <v>凡华云仓-韵达-抖音</v>
      </c>
      <c r="O6625" s="5">
        <v>320177489000930</v>
      </c>
      <c r="P6625" s="6">
        <v>0.28000000000000003</v>
      </c>
      <c r="Q6625" s="11">
        <v>2</v>
      </c>
      <c r="R6625" s="11"/>
      <c r="S6625" s="11"/>
      <c r="T6625" s="11"/>
      <c r="U6625" s="11">
        <f t="shared" si="1982"/>
        <v>2</v>
      </c>
      <c r="W6625">
        <v>2.2000000000000002</v>
      </c>
      <c r="X6625" s="1" t="s">
        <v>80</v>
      </c>
    </row>
    <row r="6626" spans="1:24" x14ac:dyDescent="0.25">
      <c r="A6626" s="1" t="str">
        <f t="shared" si="1984"/>
        <v>卡卡杜-凤凰仓</v>
      </c>
      <c r="B6626" s="1" t="str">
        <f>"CK202410189413"</f>
        <v>CK202410189413</v>
      </c>
      <c r="C6626" s="1" t="str">
        <f>"DD2024101814995"</f>
        <v>DD2024101814995</v>
      </c>
      <c r="D6626" s="1" t="str">
        <f>"CK202410189453"</f>
        <v>CK202410189453</v>
      </c>
      <c r="E6626" s="1" t="str">
        <f>"6935162650078614635"</f>
        <v>6935162650078614635</v>
      </c>
      <c r="F6626" s="1" t="str">
        <f t="shared" si="1985"/>
        <v>花都四部-凤凰仓</v>
      </c>
      <c r="G6626" s="1" t="str">
        <f t="shared" si="1980"/>
        <v>卡卡杜个人护理店（抖店）</v>
      </c>
      <c r="H6626" s="1" t="str">
        <f t="shared" si="1986"/>
        <v>正常订单</v>
      </c>
      <c r="I6626" s="1" t="str">
        <f t="shared" si="1987"/>
        <v>已发货</v>
      </c>
      <c r="J6626" s="1" t="str">
        <f>"6"</f>
        <v>6</v>
      </c>
      <c r="K6626" s="1">
        <v>3</v>
      </c>
      <c r="L6626" s="1" t="s">
        <v>18</v>
      </c>
      <c r="M6626" s="1" t="str">
        <f>"广东省 韶关市 乐昌市 乐城街道"</f>
        <v>广东省 韶关市 乐昌市 乐城街道</v>
      </c>
      <c r="N6626" s="1" t="str">
        <f t="shared" si="1988"/>
        <v>凡华云仓-韵达-抖音</v>
      </c>
      <c r="O6626" s="5">
        <v>320177488082765</v>
      </c>
      <c r="P6626" s="6">
        <v>0.45</v>
      </c>
      <c r="Q6626" s="11">
        <v>2.2999999999999998</v>
      </c>
      <c r="R6626" s="11"/>
      <c r="S6626" s="11"/>
      <c r="T6626" s="11"/>
      <c r="U6626" s="11">
        <f t="shared" si="1982"/>
        <v>2.2999999999999998</v>
      </c>
      <c r="W6626">
        <v>2.5</v>
      </c>
      <c r="X6626" s="1" t="s">
        <v>18</v>
      </c>
    </row>
    <row r="6627" spans="1:24" x14ac:dyDescent="0.25">
      <c r="A6627" s="1" t="str">
        <f t="shared" si="1984"/>
        <v>卡卡杜-凤凰仓</v>
      </c>
      <c r="B6627" s="1" t="str">
        <f>"CK202410189415"</f>
        <v>CK202410189415</v>
      </c>
      <c r="C6627" s="1" t="str">
        <f>"DD2024101814999"</f>
        <v>DD2024101814999</v>
      </c>
      <c r="D6627" s="1" t="str">
        <f>"CK202410189452"</f>
        <v>CK202410189452</v>
      </c>
      <c r="E6627" s="1" t="str">
        <f>"6935167357265187964"</f>
        <v>6935167357265187964</v>
      </c>
      <c r="F6627" s="1" t="str">
        <f t="shared" si="1985"/>
        <v>花都四部-凤凰仓</v>
      </c>
      <c r="G6627" s="1" t="str">
        <f t="shared" si="1980"/>
        <v>卡卡杜个人护理店（抖店）</v>
      </c>
      <c r="H6627" s="1" t="str">
        <f t="shared" si="1986"/>
        <v>正常订单</v>
      </c>
      <c r="I6627" s="1" t="str">
        <f t="shared" si="1987"/>
        <v>已发货</v>
      </c>
      <c r="J6627" s="1" t="str">
        <f t="shared" ref="J6627:J6639" si="1991">"3"</f>
        <v>3</v>
      </c>
      <c r="K6627" s="1">
        <v>3</v>
      </c>
      <c r="L6627" s="1" t="s">
        <v>30</v>
      </c>
      <c r="M6627" s="1" t="str">
        <f>"山东省 临沂市 兰陵县 "</f>
        <v xml:space="preserve">山东省 临沂市 兰陵县 </v>
      </c>
      <c r="N6627" s="1" t="str">
        <f t="shared" si="1988"/>
        <v>凡华云仓-韵达-抖音</v>
      </c>
      <c r="O6627" s="5">
        <v>320177488082664</v>
      </c>
      <c r="P6627" s="6">
        <v>0.28000000000000003</v>
      </c>
      <c r="Q6627" s="11">
        <v>2</v>
      </c>
      <c r="R6627" s="11"/>
      <c r="S6627" s="11"/>
      <c r="T6627" s="11"/>
      <c r="U6627" s="11">
        <f t="shared" si="1982"/>
        <v>2</v>
      </c>
      <c r="W6627">
        <v>2.2000000000000002</v>
      </c>
      <c r="X6627" s="1" t="s">
        <v>30</v>
      </c>
    </row>
    <row r="6628" spans="1:24" x14ac:dyDescent="0.25">
      <c r="A6628" s="1" t="str">
        <f t="shared" si="1984"/>
        <v>卡卡杜-凤凰仓</v>
      </c>
      <c r="B6628" s="1" t="str">
        <f>"CK202410189419"</f>
        <v>CK202410189419</v>
      </c>
      <c r="C6628" s="1" t="str">
        <f>"DD2024101815001"</f>
        <v>DD2024101815001</v>
      </c>
      <c r="D6628" s="1" t="str">
        <f>"CK202410189451"</f>
        <v>CK202410189451</v>
      </c>
      <c r="E6628" s="1" t="str">
        <f>"6935143326729901720"</f>
        <v>6935143326729901720</v>
      </c>
      <c r="F6628" s="1" t="str">
        <f t="shared" si="1985"/>
        <v>花都四部-凤凰仓</v>
      </c>
      <c r="G6628" s="1" t="str">
        <f t="shared" si="1980"/>
        <v>卡卡杜个人护理店（抖店）</v>
      </c>
      <c r="H6628" s="1" t="str">
        <f t="shared" si="1986"/>
        <v>正常订单</v>
      </c>
      <c r="I6628" s="1" t="str">
        <f t="shared" si="1987"/>
        <v>已发货</v>
      </c>
      <c r="J6628" s="1" t="str">
        <f t="shared" si="1991"/>
        <v>3</v>
      </c>
      <c r="K6628" s="1">
        <v>3</v>
      </c>
      <c r="L6628" s="1" t="s">
        <v>60</v>
      </c>
      <c r="M6628" s="1" t="str">
        <f>"云南省 昆明市 官渡区 关上街道"</f>
        <v>云南省 昆明市 官渡区 关上街道</v>
      </c>
      <c r="N6628" s="1" t="str">
        <f t="shared" si="1988"/>
        <v>凡华云仓-韵达-抖音</v>
      </c>
      <c r="O6628" s="5">
        <v>320177488082565</v>
      </c>
      <c r="P6628" s="6">
        <v>0.28000000000000003</v>
      </c>
      <c r="Q6628" s="11">
        <v>2</v>
      </c>
      <c r="R6628" s="11"/>
      <c r="S6628" s="11"/>
      <c r="T6628" s="11"/>
      <c r="U6628" s="11">
        <f t="shared" si="1982"/>
        <v>2</v>
      </c>
      <c r="W6628">
        <v>2.2000000000000002</v>
      </c>
      <c r="X6628" s="1" t="s">
        <v>60</v>
      </c>
    </row>
    <row r="6629" spans="1:24" x14ac:dyDescent="0.25">
      <c r="A6629" s="1" t="str">
        <f t="shared" si="1984"/>
        <v>卡卡杜-凤凰仓</v>
      </c>
      <c r="B6629" s="1" t="str">
        <f>"CK2024101810031"</f>
        <v>CK2024101810031</v>
      </c>
      <c r="C6629" s="1" t="str">
        <f>"DD2024101815615"</f>
        <v>DD2024101815615</v>
      </c>
      <c r="D6629" s="1" t="str">
        <f>"CK202410189450"</f>
        <v>CK202410189450</v>
      </c>
      <c r="E6629" s="1" t="str">
        <f>"6935165075965744684"</f>
        <v>6935165075965744684</v>
      </c>
      <c r="F6629" s="1" t="str">
        <f t="shared" si="1985"/>
        <v>花都四部-凤凰仓</v>
      </c>
      <c r="G6629" s="1" t="str">
        <f t="shared" si="1980"/>
        <v>卡卡杜个人护理店（抖店）</v>
      </c>
      <c r="H6629" s="1" t="str">
        <f t="shared" si="1986"/>
        <v>正常订单</v>
      </c>
      <c r="I6629" s="1" t="str">
        <f t="shared" si="1987"/>
        <v>已发货</v>
      </c>
      <c r="J6629" s="1" t="str">
        <f t="shared" si="1991"/>
        <v>3</v>
      </c>
      <c r="K6629" s="1">
        <v>3</v>
      </c>
      <c r="L6629" s="1" t="s">
        <v>80</v>
      </c>
      <c r="M6629" s="1" t="str">
        <f>"河南省 南阳市 邓州市 花洲街道"</f>
        <v>河南省 南阳市 邓州市 花洲街道</v>
      </c>
      <c r="N6629" s="1" t="str">
        <f t="shared" si="1988"/>
        <v>凡华云仓-韵达-抖音</v>
      </c>
      <c r="O6629" s="5">
        <v>320177488082468</v>
      </c>
      <c r="P6629" s="6">
        <v>0.28000000000000003</v>
      </c>
      <c r="Q6629" s="11">
        <v>2</v>
      </c>
      <c r="R6629" s="11"/>
      <c r="S6629" s="11"/>
      <c r="T6629" s="11"/>
      <c r="U6629" s="11">
        <f t="shared" si="1982"/>
        <v>2</v>
      </c>
      <c r="W6629">
        <v>2.2000000000000002</v>
      </c>
      <c r="X6629" s="1" t="s">
        <v>80</v>
      </c>
    </row>
    <row r="6630" spans="1:24" x14ac:dyDescent="0.25">
      <c r="A6630" s="1" t="str">
        <f t="shared" si="1984"/>
        <v>卡卡杜-凤凰仓</v>
      </c>
      <c r="B6630" s="1" t="str">
        <f>"CK2024101810033"</f>
        <v>CK2024101810033</v>
      </c>
      <c r="C6630" s="1" t="str">
        <f>"DD2024101815617"</f>
        <v>DD2024101815617</v>
      </c>
      <c r="D6630" s="1" t="str">
        <f>"CK202410189449"</f>
        <v>CK202410189449</v>
      </c>
      <c r="E6630" s="1" t="str">
        <f>"6935169722213865212"</f>
        <v>6935169722213865212</v>
      </c>
      <c r="F6630" s="1" t="str">
        <f t="shared" si="1985"/>
        <v>花都四部-凤凰仓</v>
      </c>
      <c r="G6630" s="1" t="str">
        <f t="shared" si="1980"/>
        <v>卡卡杜个人护理店（抖店）</v>
      </c>
      <c r="H6630" s="1" t="str">
        <f t="shared" si="1986"/>
        <v>正常订单</v>
      </c>
      <c r="I6630" s="1" t="str">
        <f t="shared" si="1987"/>
        <v>已发货</v>
      </c>
      <c r="J6630" s="1" t="str">
        <f t="shared" si="1991"/>
        <v>3</v>
      </c>
      <c r="K6630" s="1">
        <v>3</v>
      </c>
      <c r="L6630" s="1" t="s">
        <v>80</v>
      </c>
      <c r="M6630" s="1" t="str">
        <f>"河南省 郑州市 惠济区 迎宾路街道"</f>
        <v>河南省 郑州市 惠济区 迎宾路街道</v>
      </c>
      <c r="N6630" s="1" t="str">
        <f t="shared" si="1988"/>
        <v>凡华云仓-韵达-抖音</v>
      </c>
      <c r="O6630" s="5">
        <v>320177488082373</v>
      </c>
      <c r="P6630" s="6">
        <v>0.28000000000000003</v>
      </c>
      <c r="Q6630" s="11">
        <v>2</v>
      </c>
      <c r="R6630" s="11"/>
      <c r="S6630" s="11"/>
      <c r="T6630" s="11"/>
      <c r="U6630" s="11">
        <f t="shared" si="1982"/>
        <v>2</v>
      </c>
      <c r="W6630">
        <v>2.2000000000000002</v>
      </c>
      <c r="X6630" s="1" t="s">
        <v>80</v>
      </c>
    </row>
    <row r="6631" spans="1:24" x14ac:dyDescent="0.25">
      <c r="A6631" s="1" t="str">
        <f t="shared" si="1984"/>
        <v>卡卡杜-凤凰仓</v>
      </c>
      <c r="B6631" s="1" t="str">
        <f>"CK202410189384"</f>
        <v>CK202410189384</v>
      </c>
      <c r="C6631" s="1" t="str">
        <f>"DD2024101814964"</f>
        <v>DD2024101814964</v>
      </c>
      <c r="D6631" s="1" t="str">
        <f>"CK202410189448"</f>
        <v>CK202410189448</v>
      </c>
      <c r="E6631" s="1" t="str">
        <f>"6935156025760355713"</f>
        <v>6935156025760355713</v>
      </c>
      <c r="F6631" s="1" t="str">
        <f t="shared" si="1985"/>
        <v>花都四部-凤凰仓</v>
      </c>
      <c r="G6631" s="1" t="str">
        <f t="shared" si="1980"/>
        <v>卡卡杜个人护理店（抖店）</v>
      </c>
      <c r="H6631" s="1" t="str">
        <f t="shared" si="1986"/>
        <v>正常订单</v>
      </c>
      <c r="I6631" s="1" t="str">
        <f t="shared" si="1987"/>
        <v>已发货</v>
      </c>
      <c r="J6631" s="1" t="str">
        <f t="shared" si="1991"/>
        <v>3</v>
      </c>
      <c r="K6631" s="1">
        <v>3</v>
      </c>
      <c r="L6631" s="1" t="s">
        <v>13</v>
      </c>
      <c r="M6631" s="1" t="str">
        <f>"江苏省 南通市 如皋市 如皋高新技术产业开发区"</f>
        <v>江苏省 南通市 如皋市 如皋高新技术产业开发区</v>
      </c>
      <c r="N6631" s="1" t="str">
        <f t="shared" si="1988"/>
        <v>凡华云仓-韵达-抖音</v>
      </c>
      <c r="O6631" s="5">
        <v>320177488082280</v>
      </c>
      <c r="P6631" s="6">
        <v>0.28000000000000003</v>
      </c>
      <c r="Q6631" s="11">
        <v>2</v>
      </c>
      <c r="R6631" s="11"/>
      <c r="S6631" s="11"/>
      <c r="T6631" s="11"/>
      <c r="U6631" s="11">
        <f t="shared" si="1982"/>
        <v>2</v>
      </c>
      <c r="W6631">
        <v>2.2000000000000002</v>
      </c>
      <c r="X6631" s="1" t="s">
        <v>13</v>
      </c>
    </row>
    <row r="6632" spans="1:24" x14ac:dyDescent="0.25">
      <c r="A6632" s="1" t="str">
        <f t="shared" si="1984"/>
        <v>卡卡杜-凤凰仓</v>
      </c>
      <c r="B6632" s="1" t="str">
        <f>"CK202410189412"</f>
        <v>CK202410189412</v>
      </c>
      <c r="C6632" s="1" t="str">
        <f>"DD2024101814996"</f>
        <v>DD2024101814996</v>
      </c>
      <c r="D6632" s="1" t="str">
        <f>"CK202410189447"</f>
        <v>CK202410189447</v>
      </c>
      <c r="E6632" s="1" t="str">
        <f>"6935147440827405672"</f>
        <v>6935147440827405672</v>
      </c>
      <c r="F6632" s="1" t="str">
        <f t="shared" si="1985"/>
        <v>花都四部-凤凰仓</v>
      </c>
      <c r="G6632" s="1" t="str">
        <f t="shared" si="1980"/>
        <v>卡卡杜个人护理店（抖店）</v>
      </c>
      <c r="H6632" s="1" t="str">
        <f t="shared" si="1986"/>
        <v>正常订单</v>
      </c>
      <c r="I6632" s="1" t="str">
        <f t="shared" si="1987"/>
        <v>已发货</v>
      </c>
      <c r="J6632" s="1" t="str">
        <f t="shared" si="1991"/>
        <v>3</v>
      </c>
      <c r="K6632" s="1">
        <v>3</v>
      </c>
      <c r="L6632" s="1" t="s">
        <v>105</v>
      </c>
      <c r="M6632" s="1" t="str">
        <f>"北京 北京市 朝阳区 朝外街道"</f>
        <v>北京 北京市 朝阳区 朝外街道</v>
      </c>
      <c r="N6632" s="1" t="str">
        <f t="shared" si="1988"/>
        <v>凡华云仓-韵达-抖音</v>
      </c>
      <c r="O6632" s="5">
        <v>320177488082189</v>
      </c>
      <c r="P6632" s="6">
        <v>0.28000000000000003</v>
      </c>
      <c r="Q6632" s="11">
        <v>2</v>
      </c>
      <c r="R6632" s="11"/>
      <c r="S6632" s="11"/>
      <c r="T6632" s="11"/>
      <c r="U6632" s="11">
        <f t="shared" si="1982"/>
        <v>2</v>
      </c>
      <c r="W6632">
        <v>2.2000000000000002</v>
      </c>
      <c r="X6632" s="1" t="s">
        <v>105</v>
      </c>
    </row>
    <row r="6633" spans="1:24" x14ac:dyDescent="0.25">
      <c r="A6633" s="1" t="str">
        <f t="shared" si="1984"/>
        <v>卡卡杜-凤凰仓</v>
      </c>
      <c r="B6633" s="1" t="str">
        <f>"CK202410189417"</f>
        <v>CK202410189417</v>
      </c>
      <c r="C6633" s="1" t="str">
        <f>"DD2024101815002"</f>
        <v>DD2024101815002</v>
      </c>
      <c r="D6633" s="1" t="str">
        <f>"CK202410189446"</f>
        <v>CK202410189446</v>
      </c>
      <c r="E6633" s="1" t="str">
        <f>"6935171961852859538"</f>
        <v>6935171961852859538</v>
      </c>
      <c r="F6633" s="1" t="str">
        <f t="shared" si="1985"/>
        <v>花都四部-凤凰仓</v>
      </c>
      <c r="G6633" s="1" t="str">
        <f t="shared" si="1980"/>
        <v>卡卡杜个人护理店（抖店）</v>
      </c>
      <c r="H6633" s="1" t="str">
        <f t="shared" si="1986"/>
        <v>正常订单</v>
      </c>
      <c r="I6633" s="1" t="str">
        <f t="shared" si="1987"/>
        <v>已发货</v>
      </c>
      <c r="J6633" s="1" t="str">
        <f t="shared" si="1991"/>
        <v>3</v>
      </c>
      <c r="K6633" s="1">
        <v>3</v>
      </c>
      <c r="L6633" s="1" t="s">
        <v>13</v>
      </c>
      <c r="M6633" s="1" t="str">
        <f>"江苏省 镇江市 丹徒区 高资街道"</f>
        <v>江苏省 镇江市 丹徒区 高资街道</v>
      </c>
      <c r="N6633" s="1" t="str">
        <f t="shared" si="1988"/>
        <v>凡华云仓-韵达-抖音</v>
      </c>
      <c r="O6633" s="5">
        <v>320177488082000</v>
      </c>
      <c r="P6633" s="6">
        <v>0.28000000000000003</v>
      </c>
      <c r="Q6633" s="11">
        <v>2</v>
      </c>
      <c r="R6633" s="11"/>
      <c r="S6633" s="11"/>
      <c r="T6633" s="11"/>
      <c r="U6633" s="11">
        <f t="shared" si="1982"/>
        <v>2</v>
      </c>
      <c r="W6633">
        <v>2.2000000000000002</v>
      </c>
      <c r="X6633" s="1" t="s">
        <v>13</v>
      </c>
    </row>
    <row r="6634" spans="1:24" x14ac:dyDescent="0.25">
      <c r="A6634" s="1" t="str">
        <f t="shared" si="1984"/>
        <v>卡卡杜-凤凰仓</v>
      </c>
      <c r="B6634" s="1" t="str">
        <f>"CK202410189421"</f>
        <v>CK202410189421</v>
      </c>
      <c r="C6634" s="1" t="str">
        <f>"DD2024101815004"</f>
        <v>DD2024101815004</v>
      </c>
      <c r="D6634" s="1" t="str">
        <f>"CK202410189445"</f>
        <v>CK202410189445</v>
      </c>
      <c r="E6634" s="1" t="str">
        <f>"6935167459809302046"</f>
        <v>6935167459809302046</v>
      </c>
      <c r="F6634" s="1" t="str">
        <f t="shared" si="1985"/>
        <v>花都四部-凤凰仓</v>
      </c>
      <c r="G6634" s="1" t="str">
        <f t="shared" si="1980"/>
        <v>卡卡杜个人护理店（抖店）</v>
      </c>
      <c r="H6634" s="1" t="str">
        <f t="shared" si="1986"/>
        <v>正常订单</v>
      </c>
      <c r="I6634" s="1" t="str">
        <f t="shared" si="1987"/>
        <v>已发货</v>
      </c>
      <c r="J6634" s="1" t="str">
        <f t="shared" si="1991"/>
        <v>3</v>
      </c>
      <c r="K6634" s="1">
        <v>3</v>
      </c>
      <c r="L6634" s="1" t="s">
        <v>13</v>
      </c>
      <c r="M6634" s="1" t="str">
        <f>"江苏省 无锡市 滨湖区 蠡园街道"</f>
        <v>江苏省 无锡市 滨湖区 蠡园街道</v>
      </c>
      <c r="N6634" s="1" t="str">
        <f t="shared" si="1988"/>
        <v>凡华云仓-韵达-抖音</v>
      </c>
      <c r="O6634" s="5">
        <v>320177488081982</v>
      </c>
      <c r="P6634" s="6">
        <v>0.28000000000000003</v>
      </c>
      <c r="Q6634" s="11">
        <v>2</v>
      </c>
      <c r="R6634" s="11"/>
      <c r="S6634" s="11"/>
      <c r="T6634" s="11"/>
      <c r="U6634" s="11">
        <f t="shared" si="1982"/>
        <v>2</v>
      </c>
      <c r="W6634">
        <v>2.2000000000000002</v>
      </c>
      <c r="X6634" s="1" t="s">
        <v>13</v>
      </c>
    </row>
    <row r="6635" spans="1:24" x14ac:dyDescent="0.25">
      <c r="A6635" s="1" t="str">
        <f t="shared" si="1984"/>
        <v>卡卡杜-凤凰仓</v>
      </c>
      <c r="B6635" s="1" t="str">
        <f>"CK202410189423"</f>
        <v>CK202410189423</v>
      </c>
      <c r="C6635" s="1" t="str">
        <f>"DD2024101815006"</f>
        <v>DD2024101815006</v>
      </c>
      <c r="D6635" s="1" t="str">
        <f>"CK202410189444"</f>
        <v>CK202410189444</v>
      </c>
      <c r="E6635" s="1" t="str">
        <f>"6935167437270685216"</f>
        <v>6935167437270685216</v>
      </c>
      <c r="F6635" s="1" t="str">
        <f t="shared" si="1985"/>
        <v>花都四部-凤凰仓</v>
      </c>
      <c r="G6635" s="1" t="str">
        <f t="shared" si="1980"/>
        <v>卡卡杜个人护理店（抖店）</v>
      </c>
      <c r="H6635" s="1" t="str">
        <f t="shared" si="1986"/>
        <v>正常订单</v>
      </c>
      <c r="I6635" s="1" t="str">
        <f t="shared" si="1987"/>
        <v>已发货</v>
      </c>
      <c r="J6635" s="1" t="str">
        <f t="shared" si="1991"/>
        <v>3</v>
      </c>
      <c r="K6635" s="1">
        <v>3</v>
      </c>
      <c r="L6635" s="1" t="s">
        <v>740</v>
      </c>
      <c r="M6635" s="1" t="str">
        <f>"宁夏回族自治区 银川市 金凤区 满城北街街道"</f>
        <v>宁夏回族自治区 银川市 金凤区 满城北街街道</v>
      </c>
      <c r="N6635" s="1" t="str">
        <f t="shared" si="1988"/>
        <v>凡华云仓-韵达-抖音</v>
      </c>
      <c r="O6635" s="5">
        <v>320177488081877</v>
      </c>
      <c r="P6635" s="6">
        <v>0.28000000000000003</v>
      </c>
      <c r="Q6635" s="11">
        <v>2</v>
      </c>
      <c r="R6635" s="11"/>
      <c r="S6635" s="11"/>
      <c r="T6635" s="11"/>
      <c r="U6635" s="11">
        <f t="shared" si="1982"/>
        <v>2</v>
      </c>
      <c r="W6635">
        <v>2.2000000000000002</v>
      </c>
      <c r="X6635" s="1" t="s">
        <v>740</v>
      </c>
    </row>
    <row r="6636" spans="1:24" x14ac:dyDescent="0.25">
      <c r="A6636" s="1" t="str">
        <f t="shared" si="1984"/>
        <v>卡卡杜-凤凰仓</v>
      </c>
      <c r="B6636" s="1" t="str">
        <f>"CK202410189427"</f>
        <v>CK202410189427</v>
      </c>
      <c r="C6636" s="1" t="str">
        <f>"DD2024101815010"</f>
        <v>DD2024101815010</v>
      </c>
      <c r="D6636" s="1" t="str">
        <f>"CK202410189443"</f>
        <v>CK202410189443</v>
      </c>
      <c r="E6636" s="1" t="str">
        <f>"6935153802191574129"</f>
        <v>6935153802191574129</v>
      </c>
      <c r="F6636" s="1" t="str">
        <f t="shared" si="1985"/>
        <v>花都四部-凤凰仓</v>
      </c>
      <c r="G6636" s="1" t="str">
        <f t="shared" si="1980"/>
        <v>卡卡杜个人护理店（抖店）</v>
      </c>
      <c r="H6636" s="1" t="str">
        <f t="shared" si="1986"/>
        <v>正常订单</v>
      </c>
      <c r="I6636" s="1" t="str">
        <f t="shared" si="1987"/>
        <v>已发货</v>
      </c>
      <c r="J6636" s="1" t="str">
        <f t="shared" si="1991"/>
        <v>3</v>
      </c>
      <c r="K6636" s="1">
        <v>3</v>
      </c>
      <c r="L6636" s="1" t="s">
        <v>47</v>
      </c>
      <c r="M6636" s="1" t="str">
        <f>"重庆 重庆市 南川区 南城街道"</f>
        <v>重庆 重庆市 南川区 南城街道</v>
      </c>
      <c r="N6636" s="1" t="str">
        <f t="shared" si="1988"/>
        <v>凡华云仓-韵达-抖音</v>
      </c>
      <c r="O6636" s="5">
        <v>320177458913357</v>
      </c>
      <c r="P6636" s="6">
        <v>0.28000000000000003</v>
      </c>
      <c r="Q6636" s="11">
        <v>2</v>
      </c>
      <c r="R6636" s="11"/>
      <c r="S6636" s="11"/>
      <c r="T6636" s="11"/>
      <c r="U6636" s="11">
        <f t="shared" si="1982"/>
        <v>2</v>
      </c>
      <c r="W6636">
        <v>2.2000000000000002</v>
      </c>
      <c r="X6636" s="1" t="s">
        <v>47</v>
      </c>
    </row>
    <row r="6637" spans="1:24" x14ac:dyDescent="0.25">
      <c r="A6637" s="1" t="str">
        <f t="shared" si="1984"/>
        <v>卡卡杜-凤凰仓</v>
      </c>
      <c r="B6637" s="1" t="str">
        <f>"CK202410189432"</f>
        <v>CK202410189432</v>
      </c>
      <c r="C6637" s="1" t="str">
        <f>"DD2024101815015"</f>
        <v>DD2024101815015</v>
      </c>
      <c r="D6637" s="1" t="str">
        <f>"CK202410189442"</f>
        <v>CK202410189442</v>
      </c>
      <c r="E6637" s="1" t="str">
        <f>"6935147190955218543"</f>
        <v>6935147190955218543</v>
      </c>
      <c r="F6637" s="1" t="str">
        <f t="shared" si="1985"/>
        <v>花都四部-凤凰仓</v>
      </c>
      <c r="G6637" s="1" t="str">
        <f t="shared" si="1980"/>
        <v>卡卡杜个人护理店（抖店）</v>
      </c>
      <c r="H6637" s="1" t="str">
        <f t="shared" si="1986"/>
        <v>正常订单</v>
      </c>
      <c r="I6637" s="1" t="str">
        <f t="shared" si="1987"/>
        <v>已发货</v>
      </c>
      <c r="J6637" s="1" t="str">
        <f t="shared" si="1991"/>
        <v>3</v>
      </c>
      <c r="K6637" s="1">
        <v>3</v>
      </c>
      <c r="L6637" s="1" t="s">
        <v>27</v>
      </c>
      <c r="M6637" s="1" t="str">
        <f>"贵州省 六盘水市 钟山区 大河镇"</f>
        <v>贵州省 六盘水市 钟山区 大河镇</v>
      </c>
      <c r="N6637" s="1" t="str">
        <f t="shared" si="1988"/>
        <v>凡华云仓-韵达-抖音</v>
      </c>
      <c r="O6637" s="5">
        <v>320177458913264</v>
      </c>
      <c r="P6637" s="6">
        <v>0.28000000000000003</v>
      </c>
      <c r="Q6637" s="11">
        <v>2</v>
      </c>
      <c r="R6637" s="11"/>
      <c r="S6637" s="11"/>
      <c r="T6637" s="11"/>
      <c r="U6637" s="11">
        <f t="shared" si="1982"/>
        <v>2</v>
      </c>
      <c r="W6637">
        <v>2.2000000000000002</v>
      </c>
      <c r="X6637" s="1" t="s">
        <v>27</v>
      </c>
    </row>
    <row r="6638" spans="1:24" x14ac:dyDescent="0.25">
      <c r="A6638" s="1" t="str">
        <f t="shared" si="1984"/>
        <v>卡卡杜-凤凰仓</v>
      </c>
      <c r="B6638" s="1" t="str">
        <f>"CK202410189434"</f>
        <v>CK202410189434</v>
      </c>
      <c r="C6638" s="1" t="str">
        <f>"DD2024101815018"</f>
        <v>DD2024101815018</v>
      </c>
      <c r="D6638" s="1" t="str">
        <f>"CK202410189441"</f>
        <v>CK202410189441</v>
      </c>
      <c r="E6638" s="1" t="str">
        <f>"6935149753449453539"</f>
        <v>6935149753449453539</v>
      </c>
      <c r="F6638" s="1" t="str">
        <f t="shared" si="1985"/>
        <v>花都四部-凤凰仓</v>
      </c>
      <c r="G6638" s="1" t="str">
        <f t="shared" si="1980"/>
        <v>卡卡杜个人护理店（抖店）</v>
      </c>
      <c r="H6638" s="1" t="str">
        <f t="shared" si="1986"/>
        <v>正常订单</v>
      </c>
      <c r="I6638" s="1" t="str">
        <f t="shared" si="1987"/>
        <v>已发货</v>
      </c>
      <c r="J6638" s="1" t="str">
        <f t="shared" si="1991"/>
        <v>3</v>
      </c>
      <c r="K6638" s="1">
        <v>3</v>
      </c>
      <c r="L6638" s="1" t="s">
        <v>13</v>
      </c>
      <c r="M6638" s="1" t="str">
        <f>"江苏省 无锡市 江阴市 "</f>
        <v xml:space="preserve">江苏省 无锡市 江阴市 </v>
      </c>
      <c r="N6638" s="1" t="str">
        <f t="shared" si="1988"/>
        <v>凡华云仓-韵达-抖音</v>
      </c>
      <c r="O6638" s="5">
        <v>320177458913173</v>
      </c>
      <c r="P6638" s="6">
        <v>0.28000000000000003</v>
      </c>
      <c r="Q6638" s="11">
        <v>2</v>
      </c>
      <c r="R6638" s="11"/>
      <c r="S6638" s="11"/>
      <c r="T6638" s="11"/>
      <c r="U6638" s="11">
        <f t="shared" si="1982"/>
        <v>2</v>
      </c>
      <c r="W6638">
        <v>2.2000000000000002</v>
      </c>
      <c r="X6638" s="1" t="s">
        <v>13</v>
      </c>
    </row>
    <row r="6639" spans="1:24" x14ac:dyDescent="0.25">
      <c r="A6639" s="1" t="str">
        <f t="shared" si="1984"/>
        <v>卡卡杜-凤凰仓</v>
      </c>
      <c r="B6639" s="1" t="str">
        <f>"CK202410189436"</f>
        <v>CK202410189436</v>
      </c>
      <c r="C6639" s="1" t="str">
        <f>"DD2024101815020"</f>
        <v>DD2024101815020</v>
      </c>
      <c r="D6639" s="1" t="str">
        <f>"CK202410189440"</f>
        <v>CK202410189440</v>
      </c>
      <c r="E6639" s="1" t="str">
        <f>"6935153736356009124"</f>
        <v>6935153736356009124</v>
      </c>
      <c r="F6639" s="1" t="str">
        <f t="shared" si="1985"/>
        <v>花都四部-凤凰仓</v>
      </c>
      <c r="G6639" s="1" t="str">
        <f t="shared" si="1980"/>
        <v>卡卡杜个人护理店（抖店）</v>
      </c>
      <c r="H6639" s="1" t="str">
        <f t="shared" si="1986"/>
        <v>正常订单</v>
      </c>
      <c r="I6639" s="1" t="str">
        <f t="shared" si="1987"/>
        <v>已发货</v>
      </c>
      <c r="J6639" s="1" t="str">
        <f t="shared" si="1991"/>
        <v>3</v>
      </c>
      <c r="K6639" s="1">
        <v>3</v>
      </c>
      <c r="L6639" s="1" t="s">
        <v>30</v>
      </c>
      <c r="M6639" s="1" t="str">
        <f>"山东省 潍坊市 昌邑市 奎聚街道"</f>
        <v>山东省 潍坊市 昌邑市 奎聚街道</v>
      </c>
      <c r="N6639" s="1" t="str">
        <f t="shared" si="1988"/>
        <v>凡华云仓-韵达-抖音</v>
      </c>
      <c r="O6639" s="5">
        <v>320177458913084</v>
      </c>
      <c r="P6639" s="6">
        <v>0.28000000000000003</v>
      </c>
      <c r="Q6639" s="11">
        <v>2</v>
      </c>
      <c r="R6639" s="11"/>
      <c r="S6639" s="11"/>
      <c r="T6639" s="11"/>
      <c r="U6639" s="11">
        <f t="shared" si="1982"/>
        <v>2</v>
      </c>
      <c r="W6639">
        <v>2.2000000000000002</v>
      </c>
      <c r="X6639" s="1" t="s">
        <v>30</v>
      </c>
    </row>
    <row r="6640" spans="1:24" x14ac:dyDescent="0.25">
      <c r="A6640" s="1" t="str">
        <f t="shared" si="1984"/>
        <v>卡卡杜-凤凰仓</v>
      </c>
      <c r="B6640" s="1" t="str">
        <f>"CK2024101810034"</f>
        <v>CK2024101810034</v>
      </c>
      <c r="C6640" s="1" t="str">
        <f>"DD2024101815618"</f>
        <v>DD2024101815618</v>
      </c>
      <c r="D6640" s="1" t="str">
        <f>"CK202410189439"</f>
        <v>CK202410189439</v>
      </c>
      <c r="E6640" s="1" t="str">
        <f>"6935147271538742928"</f>
        <v>6935147271538742928</v>
      </c>
      <c r="F6640" s="1" t="str">
        <f t="shared" si="1985"/>
        <v>花都四部-凤凰仓</v>
      </c>
      <c r="G6640" s="1" t="str">
        <f t="shared" si="1980"/>
        <v>卡卡杜个人护理店（抖店）</v>
      </c>
      <c r="H6640" s="1" t="str">
        <f t="shared" si="1986"/>
        <v>正常订单</v>
      </c>
      <c r="I6640" s="1" t="str">
        <f t="shared" si="1987"/>
        <v>已发货</v>
      </c>
      <c r="J6640" s="1" t="str">
        <f>"6"</f>
        <v>6</v>
      </c>
      <c r="K6640" s="1">
        <v>3</v>
      </c>
      <c r="L6640" s="1" t="s">
        <v>30</v>
      </c>
      <c r="M6640" s="1" t="str">
        <f>"山东省 烟台市 莱山区 初家街道"</f>
        <v>山东省 烟台市 莱山区 初家街道</v>
      </c>
      <c r="N6640" s="1" t="str">
        <f t="shared" si="1988"/>
        <v>凡华云仓-韵达-抖音</v>
      </c>
      <c r="O6640" s="5">
        <v>320177458912964</v>
      </c>
      <c r="P6640" s="6">
        <v>0.45</v>
      </c>
      <c r="Q6640" s="11">
        <v>2.2999999999999998</v>
      </c>
      <c r="R6640" s="11"/>
      <c r="S6640" s="11"/>
      <c r="T6640" s="11"/>
      <c r="U6640" s="11">
        <f t="shared" si="1982"/>
        <v>2.2999999999999998</v>
      </c>
      <c r="W6640">
        <v>2.5</v>
      </c>
      <c r="X6640" s="1" t="s">
        <v>30</v>
      </c>
    </row>
    <row r="6641" spans="1:24" x14ac:dyDescent="0.25">
      <c r="A6641" s="1" t="str">
        <f t="shared" si="1984"/>
        <v>卡卡杜-凤凰仓</v>
      </c>
      <c r="B6641" s="1" t="str">
        <f>"CK2024101810035"</f>
        <v>CK2024101810035</v>
      </c>
      <c r="C6641" s="1" t="str">
        <f>"DD2024101815620"</f>
        <v>DD2024101815620</v>
      </c>
      <c r="D6641" s="1" t="str">
        <f>"CK202410189438"</f>
        <v>CK202410189438</v>
      </c>
      <c r="E6641" s="1" t="str">
        <f>"6935169617806628834"</f>
        <v>6935169617806628834</v>
      </c>
      <c r="F6641" s="1" t="str">
        <f t="shared" si="1985"/>
        <v>花都四部-凤凰仓</v>
      </c>
      <c r="G6641" s="1" t="str">
        <f t="shared" si="1980"/>
        <v>卡卡杜个人护理店（抖店）</v>
      </c>
      <c r="H6641" s="1" t="str">
        <f t="shared" si="1986"/>
        <v>正常订单</v>
      </c>
      <c r="I6641" s="1" t="str">
        <f t="shared" si="1987"/>
        <v>已发货</v>
      </c>
      <c r="J6641" s="1" t="str">
        <f t="shared" ref="J6641:J6647" si="1992">"3"</f>
        <v>3</v>
      </c>
      <c r="K6641" s="1">
        <v>3</v>
      </c>
      <c r="L6641" s="1" t="s">
        <v>16</v>
      </c>
      <c r="M6641" s="1" t="str">
        <f>"河北省 石家庄市 桥西区 休门街道"</f>
        <v>河北省 石家庄市 桥西区 休门街道</v>
      </c>
      <c r="N6641" s="1" t="str">
        <f t="shared" si="1988"/>
        <v>凡华云仓-韵达-抖音</v>
      </c>
      <c r="O6641" s="5">
        <v>320177458912859</v>
      </c>
      <c r="P6641" s="6">
        <v>0.28000000000000003</v>
      </c>
      <c r="Q6641" s="11">
        <v>2</v>
      </c>
      <c r="R6641" s="11"/>
      <c r="S6641" s="11"/>
      <c r="T6641" s="11"/>
      <c r="U6641" s="11">
        <f t="shared" si="1982"/>
        <v>2</v>
      </c>
      <c r="W6641">
        <v>2.2000000000000002</v>
      </c>
      <c r="X6641" s="1" t="s">
        <v>16</v>
      </c>
    </row>
    <row r="6642" spans="1:24" x14ac:dyDescent="0.25">
      <c r="A6642" s="1" t="str">
        <f t="shared" si="1984"/>
        <v>卡卡杜-凤凰仓</v>
      </c>
      <c r="B6642" s="1" t="str">
        <f>"CK202410189425"</f>
        <v>CK202410189425</v>
      </c>
      <c r="C6642" s="1" t="str">
        <f>"DD2024101815009"</f>
        <v>DD2024101815009</v>
      </c>
      <c r="D6642" s="1" t="str">
        <f>"CK202410189437"</f>
        <v>CK202410189437</v>
      </c>
      <c r="E6642" s="1" t="str">
        <f>"6935149868918052835"</f>
        <v>6935149868918052835</v>
      </c>
      <c r="F6642" s="1" t="str">
        <f t="shared" si="1985"/>
        <v>花都四部-凤凰仓</v>
      </c>
      <c r="G6642" s="1" t="str">
        <f t="shared" si="1980"/>
        <v>卡卡杜个人护理店（抖店）</v>
      </c>
      <c r="H6642" s="1" t="str">
        <f t="shared" si="1986"/>
        <v>正常订单</v>
      </c>
      <c r="I6642" s="1" t="str">
        <f t="shared" si="1987"/>
        <v>已发货</v>
      </c>
      <c r="J6642" s="1" t="str">
        <f t="shared" si="1992"/>
        <v>3</v>
      </c>
      <c r="K6642" s="1">
        <v>3</v>
      </c>
      <c r="L6642" s="1" t="s">
        <v>80</v>
      </c>
      <c r="M6642" s="1" t="str">
        <f>"河南省 开封市 尉氏县 南曹乡"</f>
        <v>河南省 开封市 尉氏县 南曹乡</v>
      </c>
      <c r="N6642" s="1" t="str">
        <f t="shared" si="1988"/>
        <v>凡华云仓-韵达-抖音</v>
      </c>
      <c r="O6642" s="5">
        <v>320177458912756</v>
      </c>
      <c r="P6642" s="6">
        <v>0.28000000000000003</v>
      </c>
      <c r="Q6642" s="11">
        <v>2</v>
      </c>
      <c r="R6642" s="11"/>
      <c r="S6642" s="11"/>
      <c r="T6642" s="11"/>
      <c r="U6642" s="11">
        <f t="shared" si="1982"/>
        <v>2</v>
      </c>
      <c r="W6642">
        <v>2.2000000000000002</v>
      </c>
      <c r="X6642" s="1" t="s">
        <v>80</v>
      </c>
    </row>
    <row r="6643" spans="1:24" x14ac:dyDescent="0.25">
      <c r="A6643" s="1" t="str">
        <f t="shared" si="1984"/>
        <v>卡卡杜-凤凰仓</v>
      </c>
      <c r="B6643" s="1" t="str">
        <f>"CK202410189429"</f>
        <v>CK202410189429</v>
      </c>
      <c r="C6643" s="1" t="str">
        <f>"DD2024101815012"</f>
        <v>DD2024101815012</v>
      </c>
      <c r="D6643" s="1" t="str">
        <f>"CK202410189436"</f>
        <v>CK202410189436</v>
      </c>
      <c r="E6643" s="1" t="str">
        <f>"6935158276098888966"</f>
        <v>6935158276098888966</v>
      </c>
      <c r="F6643" s="1" t="str">
        <f t="shared" si="1985"/>
        <v>花都四部-凤凰仓</v>
      </c>
      <c r="G6643" s="1" t="str">
        <f t="shared" si="1980"/>
        <v>卡卡杜个人护理店（抖店）</v>
      </c>
      <c r="H6643" s="1" t="str">
        <f t="shared" si="1986"/>
        <v>正常订单</v>
      </c>
      <c r="I6643" s="1" t="str">
        <f t="shared" si="1987"/>
        <v>已发货</v>
      </c>
      <c r="J6643" s="1" t="str">
        <f t="shared" si="1992"/>
        <v>3</v>
      </c>
      <c r="K6643" s="1">
        <v>3</v>
      </c>
      <c r="L6643" s="1" t="s">
        <v>80</v>
      </c>
      <c r="M6643" s="1" t="str">
        <f>"河南省 驻马店市 新蔡县 砖店镇"</f>
        <v>河南省 驻马店市 新蔡县 砖店镇</v>
      </c>
      <c r="N6643" s="1" t="str">
        <f t="shared" si="1988"/>
        <v>凡华云仓-韵达-抖音</v>
      </c>
      <c r="O6643" s="5">
        <v>320177458912655</v>
      </c>
      <c r="P6643" s="6">
        <v>0.28000000000000003</v>
      </c>
      <c r="Q6643" s="11">
        <v>2</v>
      </c>
      <c r="R6643" s="11"/>
      <c r="S6643" s="11"/>
      <c r="T6643" s="11"/>
      <c r="U6643" s="11">
        <f t="shared" si="1982"/>
        <v>2</v>
      </c>
      <c r="W6643">
        <v>2.2000000000000002</v>
      </c>
      <c r="X6643" s="1" t="s">
        <v>80</v>
      </c>
    </row>
    <row r="6644" spans="1:24" x14ac:dyDescent="0.25">
      <c r="A6644" s="1" t="str">
        <f t="shared" si="1984"/>
        <v>卡卡杜-凤凰仓</v>
      </c>
      <c r="B6644" s="1" t="str">
        <f>"CK202410189430"</f>
        <v>CK202410189430</v>
      </c>
      <c r="C6644" s="1" t="str">
        <f>"DD2024101815014"</f>
        <v>DD2024101815014</v>
      </c>
      <c r="D6644" s="1" t="str">
        <f>"CK202410189435"</f>
        <v>CK202410189435</v>
      </c>
      <c r="E6644" s="1" t="str">
        <f>"6935169692315358978"</f>
        <v>6935169692315358978</v>
      </c>
      <c r="F6644" s="1" t="str">
        <f t="shared" si="1985"/>
        <v>花都四部-凤凰仓</v>
      </c>
      <c r="G6644" s="1" t="str">
        <f t="shared" ref="G6644:G6707" si="1993">"卡卡杜个人护理店（抖店）"</f>
        <v>卡卡杜个人护理店（抖店）</v>
      </c>
      <c r="H6644" s="1" t="str">
        <f t="shared" si="1986"/>
        <v>正常订单</v>
      </c>
      <c r="I6644" s="1" t="str">
        <f t="shared" si="1987"/>
        <v>已发货</v>
      </c>
      <c r="J6644" s="1" t="str">
        <f t="shared" si="1992"/>
        <v>3</v>
      </c>
      <c r="K6644" s="1">
        <v>3</v>
      </c>
      <c r="L6644" s="1" t="s">
        <v>30</v>
      </c>
      <c r="M6644" s="1" t="str">
        <f>"山东省 聊城市 东昌府区 顾官屯镇"</f>
        <v>山东省 聊城市 东昌府区 顾官屯镇</v>
      </c>
      <c r="N6644" s="1" t="str">
        <f t="shared" si="1988"/>
        <v>凡华云仓-韵达-抖音</v>
      </c>
      <c r="O6644" s="5">
        <v>320177458912556</v>
      </c>
      <c r="P6644" s="6">
        <v>0.28000000000000003</v>
      </c>
      <c r="Q6644" s="11">
        <v>2</v>
      </c>
      <c r="R6644" s="11"/>
      <c r="S6644" s="11"/>
      <c r="T6644" s="11"/>
      <c r="U6644" s="11">
        <f t="shared" si="1982"/>
        <v>2</v>
      </c>
      <c r="W6644">
        <v>2.2000000000000002</v>
      </c>
      <c r="X6644" s="1" t="s">
        <v>30</v>
      </c>
    </row>
    <row r="6645" spans="1:24" x14ac:dyDescent="0.25">
      <c r="A6645" s="1" t="str">
        <f t="shared" si="1984"/>
        <v>卡卡杜-凤凰仓</v>
      </c>
      <c r="B6645" s="1" t="str">
        <f>"CK202410189438"</f>
        <v>CK202410189438</v>
      </c>
      <c r="C6645" s="1" t="str">
        <f>"DD2024101815022"</f>
        <v>DD2024101815022</v>
      </c>
      <c r="D6645" s="1" t="str">
        <f>"CK202410189434"</f>
        <v>CK202410189434</v>
      </c>
      <c r="E6645" s="1" t="str">
        <f>"6935160871501109196"</f>
        <v>6935160871501109196</v>
      </c>
      <c r="F6645" s="1" t="str">
        <f t="shared" si="1985"/>
        <v>花都四部-凤凰仓</v>
      </c>
      <c r="G6645" s="1" t="str">
        <f t="shared" si="1993"/>
        <v>卡卡杜个人护理店（抖店）</v>
      </c>
      <c r="H6645" s="1" t="str">
        <f t="shared" si="1986"/>
        <v>正常订单</v>
      </c>
      <c r="I6645" s="1" t="str">
        <f t="shared" si="1987"/>
        <v>已发货</v>
      </c>
      <c r="J6645" s="1" t="str">
        <f t="shared" si="1992"/>
        <v>3</v>
      </c>
      <c r="K6645" s="1">
        <v>3</v>
      </c>
      <c r="L6645" s="1" t="s">
        <v>30</v>
      </c>
      <c r="M6645" s="1" t="str">
        <f>"山东省 临沂市 罗庄区 罗庄街道"</f>
        <v>山东省 临沂市 罗庄区 罗庄街道</v>
      </c>
      <c r="N6645" s="1" t="str">
        <f t="shared" si="1988"/>
        <v>凡华云仓-韵达-抖音</v>
      </c>
      <c r="O6645" s="5">
        <v>320177458912459</v>
      </c>
      <c r="P6645" s="6">
        <v>0.28000000000000003</v>
      </c>
      <c r="Q6645" s="11">
        <v>2</v>
      </c>
      <c r="R6645" s="11"/>
      <c r="S6645" s="11"/>
      <c r="T6645" s="11"/>
      <c r="U6645" s="11">
        <f t="shared" si="1982"/>
        <v>2</v>
      </c>
      <c r="W6645">
        <v>2.2000000000000002</v>
      </c>
      <c r="X6645" s="1" t="s">
        <v>30</v>
      </c>
    </row>
    <row r="6646" spans="1:24" x14ac:dyDescent="0.25">
      <c r="A6646" s="1" t="str">
        <f t="shared" si="1984"/>
        <v>卡卡杜-凤凰仓</v>
      </c>
      <c r="B6646" s="1" t="str">
        <f>"CK202410189441"</f>
        <v>CK202410189441</v>
      </c>
      <c r="C6646" s="1" t="str">
        <f>"DD2024101815025"</f>
        <v>DD2024101815025</v>
      </c>
      <c r="D6646" s="1" t="str">
        <f>"CK202410189433"</f>
        <v>CK202410189433</v>
      </c>
      <c r="E6646" s="1" t="str">
        <f>"6935151463618713140"</f>
        <v>6935151463618713140</v>
      </c>
      <c r="F6646" s="1" t="str">
        <f t="shared" si="1985"/>
        <v>花都四部-凤凰仓</v>
      </c>
      <c r="G6646" s="1" t="str">
        <f t="shared" si="1993"/>
        <v>卡卡杜个人护理店（抖店）</v>
      </c>
      <c r="H6646" s="1" t="str">
        <f t="shared" si="1986"/>
        <v>正常订单</v>
      </c>
      <c r="I6646" s="1" t="str">
        <f t="shared" si="1987"/>
        <v>已发货</v>
      </c>
      <c r="J6646" s="1" t="str">
        <f t="shared" si="1992"/>
        <v>3</v>
      </c>
      <c r="K6646" s="1">
        <v>3</v>
      </c>
      <c r="L6646" s="1" t="s">
        <v>32</v>
      </c>
      <c r="M6646" s="1" t="str">
        <f>"陕西省 西安市 雁塔区 大雁塔街道"</f>
        <v>陕西省 西安市 雁塔区 大雁塔街道</v>
      </c>
      <c r="N6646" s="1" t="str">
        <f t="shared" si="1988"/>
        <v>凡华云仓-韵达-抖音</v>
      </c>
      <c r="O6646" s="5">
        <v>320177460789266</v>
      </c>
      <c r="P6646" s="6">
        <v>0.28000000000000003</v>
      </c>
      <c r="Q6646" s="11">
        <v>2</v>
      </c>
      <c r="R6646" s="11"/>
      <c r="S6646" s="11"/>
      <c r="T6646" s="11"/>
      <c r="U6646" s="11">
        <f t="shared" si="1982"/>
        <v>2</v>
      </c>
      <c r="W6646">
        <v>2.2000000000000002</v>
      </c>
      <c r="X6646" s="1" t="s">
        <v>32</v>
      </c>
    </row>
    <row r="6647" spans="1:24" x14ac:dyDescent="0.25">
      <c r="A6647" s="1" t="str">
        <f t="shared" si="1984"/>
        <v>卡卡杜-凤凰仓</v>
      </c>
      <c r="B6647" s="1" t="str">
        <f>"CK202410189443"</f>
        <v>CK202410189443</v>
      </c>
      <c r="C6647" s="1" t="str">
        <f>"DD2024101815026"</f>
        <v>DD2024101815026</v>
      </c>
      <c r="D6647" s="1" t="str">
        <f>"CK202410189432"</f>
        <v>CK202410189432</v>
      </c>
      <c r="E6647" s="1" t="str">
        <f>"6935147333590717717"</f>
        <v>6935147333590717717</v>
      </c>
      <c r="F6647" s="1" t="str">
        <f t="shared" si="1985"/>
        <v>花都四部-凤凰仓</v>
      </c>
      <c r="G6647" s="1" t="str">
        <f t="shared" si="1993"/>
        <v>卡卡杜个人护理店（抖店）</v>
      </c>
      <c r="H6647" s="1" t="str">
        <f t="shared" si="1986"/>
        <v>正常订单</v>
      </c>
      <c r="I6647" s="1" t="str">
        <f t="shared" si="1987"/>
        <v>已发货</v>
      </c>
      <c r="J6647" s="1" t="str">
        <f t="shared" si="1992"/>
        <v>3</v>
      </c>
      <c r="K6647" s="1">
        <v>3</v>
      </c>
      <c r="L6647" s="1" t="s">
        <v>30</v>
      </c>
      <c r="M6647" s="1" t="str">
        <f>"山东省 菏泽市 牡丹区 牡丹街道"</f>
        <v>山东省 菏泽市 牡丹区 牡丹街道</v>
      </c>
      <c r="N6647" s="1" t="str">
        <f t="shared" si="1988"/>
        <v>凡华云仓-韵达-抖音</v>
      </c>
      <c r="O6647" s="5">
        <v>320177460789175</v>
      </c>
      <c r="P6647" s="6">
        <v>0.28000000000000003</v>
      </c>
      <c r="Q6647" s="11">
        <v>2</v>
      </c>
      <c r="R6647" s="11"/>
      <c r="S6647" s="11"/>
      <c r="T6647" s="11"/>
      <c r="U6647" s="11">
        <f t="shared" si="1982"/>
        <v>2</v>
      </c>
      <c r="W6647">
        <v>2.2000000000000002</v>
      </c>
      <c r="X6647" s="1" t="s">
        <v>30</v>
      </c>
    </row>
    <row r="6648" spans="1:24" x14ac:dyDescent="0.25">
      <c r="A6648" s="1" t="str">
        <f t="shared" si="1984"/>
        <v>卡卡杜-凤凰仓</v>
      </c>
      <c r="B6648" s="1" t="str">
        <f>"CK202410189445"</f>
        <v>CK202410189445</v>
      </c>
      <c r="C6648" s="1" t="str">
        <f>"DD2024101815029"</f>
        <v>DD2024101815029</v>
      </c>
      <c r="D6648" s="1" t="str">
        <f>"CK202410189431"</f>
        <v>CK202410189431</v>
      </c>
      <c r="E6648" s="1" t="str">
        <f>"6935149820601504915"</f>
        <v>6935149820601504915</v>
      </c>
      <c r="F6648" s="1" t="str">
        <f t="shared" si="1985"/>
        <v>花都四部-凤凰仓</v>
      </c>
      <c r="G6648" s="1" t="str">
        <f t="shared" si="1993"/>
        <v>卡卡杜个人护理店（抖店）</v>
      </c>
      <c r="H6648" s="1" t="str">
        <f t="shared" si="1986"/>
        <v>正常订单</v>
      </c>
      <c r="I6648" s="1" t="str">
        <f t="shared" si="1987"/>
        <v>已发货</v>
      </c>
      <c r="J6648" s="1" t="str">
        <f>"6"</f>
        <v>6</v>
      </c>
      <c r="K6648" s="1">
        <v>3</v>
      </c>
      <c r="L6648" s="1" t="s">
        <v>161</v>
      </c>
      <c r="M6648" s="1" t="str">
        <f>"四川省 雅安市 宝兴县 灵关镇"</f>
        <v>四川省 雅安市 宝兴县 灵关镇</v>
      </c>
      <c r="N6648" s="1" t="str">
        <f t="shared" si="1988"/>
        <v>凡华云仓-韵达-抖音</v>
      </c>
      <c r="O6648" s="5">
        <v>320177460789086</v>
      </c>
      <c r="P6648" s="6">
        <v>0.45</v>
      </c>
      <c r="Q6648" s="11">
        <v>2.2999999999999998</v>
      </c>
      <c r="R6648" s="11"/>
      <c r="S6648" s="11"/>
      <c r="T6648" s="11"/>
      <c r="U6648" s="11">
        <f t="shared" si="1982"/>
        <v>2.2999999999999998</v>
      </c>
      <c r="W6648">
        <v>2.5</v>
      </c>
      <c r="X6648" s="1" t="s">
        <v>161</v>
      </c>
    </row>
    <row r="6649" spans="1:24" x14ac:dyDescent="0.25">
      <c r="A6649" s="1" t="str">
        <f t="shared" si="1984"/>
        <v>卡卡杜-凤凰仓</v>
      </c>
      <c r="B6649" s="1" t="str">
        <f>"CK202410189447"</f>
        <v>CK202410189447</v>
      </c>
      <c r="C6649" s="1" t="str">
        <f>"DD2024101815030"</f>
        <v>DD2024101815030</v>
      </c>
      <c r="D6649" s="1" t="str">
        <f>"CK202410189430"</f>
        <v>CK202410189430</v>
      </c>
      <c r="E6649" s="1" t="str">
        <f>"6935155941093611294"</f>
        <v>6935155941093611294</v>
      </c>
      <c r="F6649" s="1" t="str">
        <f t="shared" si="1985"/>
        <v>花都四部-凤凰仓</v>
      </c>
      <c r="G6649" s="1" t="str">
        <f t="shared" si="1993"/>
        <v>卡卡杜个人护理店（抖店）</v>
      </c>
      <c r="H6649" s="1" t="str">
        <f t="shared" si="1986"/>
        <v>正常订单</v>
      </c>
      <c r="I6649" s="1" t="str">
        <f t="shared" si="1987"/>
        <v>已发货</v>
      </c>
      <c r="J6649" s="1" t="str">
        <f t="shared" ref="J6649:J6708" si="1994">"3"</f>
        <v>3</v>
      </c>
      <c r="K6649" s="1">
        <v>3</v>
      </c>
      <c r="L6649" s="1" t="s">
        <v>80</v>
      </c>
      <c r="M6649" s="1" t="str">
        <f>"河南省 郑州市 金水区 丰庆路街道"</f>
        <v>河南省 郑州市 金水区 丰庆路街道</v>
      </c>
      <c r="N6649" s="1" t="str">
        <f t="shared" si="1988"/>
        <v>凡华云仓-韵达-抖音</v>
      </c>
      <c r="O6649" s="5">
        <v>320177460788954</v>
      </c>
      <c r="P6649" s="6">
        <v>0.28000000000000003</v>
      </c>
      <c r="Q6649" s="11">
        <v>2</v>
      </c>
      <c r="R6649" s="11"/>
      <c r="S6649" s="11"/>
      <c r="T6649" s="11"/>
      <c r="U6649" s="11">
        <f t="shared" si="1982"/>
        <v>2</v>
      </c>
      <c r="W6649">
        <v>2.2000000000000002</v>
      </c>
      <c r="X6649" s="1" t="s">
        <v>80</v>
      </c>
    </row>
    <row r="6650" spans="1:24" x14ac:dyDescent="0.25">
      <c r="A6650" s="1" t="str">
        <f t="shared" si="1984"/>
        <v>卡卡杜-凤凰仓</v>
      </c>
      <c r="B6650" s="1" t="str">
        <f>"CK202410189449"</f>
        <v>CK202410189449</v>
      </c>
      <c r="C6650" s="1" t="str">
        <f>"DD2024101815033"</f>
        <v>DD2024101815033</v>
      </c>
      <c r="D6650" s="1" t="str">
        <f>"CK202410189429"</f>
        <v>CK202410189429</v>
      </c>
      <c r="E6650" s="1" t="str">
        <f>"6935160789722010902"</f>
        <v>6935160789722010902</v>
      </c>
      <c r="F6650" s="1" t="str">
        <f t="shared" si="1985"/>
        <v>花都四部-凤凰仓</v>
      </c>
      <c r="G6650" s="1" t="str">
        <f t="shared" si="1993"/>
        <v>卡卡杜个人护理店（抖店）</v>
      </c>
      <c r="H6650" s="1" t="str">
        <f t="shared" si="1986"/>
        <v>正常订单</v>
      </c>
      <c r="I6650" s="1" t="str">
        <f t="shared" si="1987"/>
        <v>已发货</v>
      </c>
      <c r="J6650" s="1" t="str">
        <f t="shared" si="1994"/>
        <v>3</v>
      </c>
      <c r="K6650" s="1">
        <v>3</v>
      </c>
      <c r="L6650" s="1" t="s">
        <v>13</v>
      </c>
      <c r="M6650" s="1" t="str">
        <f>"江苏省 镇江市 句容市 宝华镇"</f>
        <v>江苏省 镇江市 句容市 宝华镇</v>
      </c>
      <c r="N6650" s="1" t="str">
        <f t="shared" si="1988"/>
        <v>凡华云仓-韵达-抖音</v>
      </c>
      <c r="O6650" s="5">
        <v>320177460788849</v>
      </c>
      <c r="P6650" s="6">
        <v>0.28000000000000003</v>
      </c>
      <c r="Q6650" s="11">
        <v>2</v>
      </c>
      <c r="R6650" s="11"/>
      <c r="S6650" s="11"/>
      <c r="T6650" s="11"/>
      <c r="U6650" s="11">
        <f t="shared" si="1982"/>
        <v>2</v>
      </c>
      <c r="W6650">
        <v>2.2000000000000002</v>
      </c>
      <c r="X6650" s="1" t="s">
        <v>13</v>
      </c>
    </row>
    <row r="6651" spans="1:24" x14ac:dyDescent="0.25">
      <c r="A6651" s="1" t="str">
        <f t="shared" si="1984"/>
        <v>卡卡杜-凤凰仓</v>
      </c>
      <c r="B6651" s="1" t="str">
        <f>"CK202410189452"</f>
        <v>CK202410189452</v>
      </c>
      <c r="C6651" s="1" t="str">
        <f>"DD2024101815035"</f>
        <v>DD2024101815035</v>
      </c>
      <c r="D6651" s="1" t="str">
        <f>"CK202410189428"</f>
        <v>CK202410189428</v>
      </c>
      <c r="E6651" s="1" t="str">
        <f>"6935151489851724942"</f>
        <v>6935151489851724942</v>
      </c>
      <c r="F6651" s="1" t="str">
        <f t="shared" si="1985"/>
        <v>花都四部-凤凰仓</v>
      </c>
      <c r="G6651" s="1" t="str">
        <f t="shared" si="1993"/>
        <v>卡卡杜个人护理店（抖店）</v>
      </c>
      <c r="H6651" s="1" t="str">
        <f t="shared" si="1986"/>
        <v>正常订单</v>
      </c>
      <c r="I6651" s="1" t="str">
        <f t="shared" si="1987"/>
        <v>已发货</v>
      </c>
      <c r="J6651" s="1" t="str">
        <f t="shared" si="1994"/>
        <v>3</v>
      </c>
      <c r="K6651" s="1">
        <v>3</v>
      </c>
      <c r="L6651" s="1" t="s">
        <v>80</v>
      </c>
      <c r="M6651" s="1" t="str">
        <f>"河南省 安阳市 文峰区 "</f>
        <v xml:space="preserve">河南省 安阳市 文峰区 </v>
      </c>
      <c r="N6651" s="1" t="str">
        <f t="shared" si="1988"/>
        <v>凡华云仓-韵达-抖音</v>
      </c>
      <c r="O6651" s="5">
        <v>320177460788746</v>
      </c>
      <c r="P6651" s="6">
        <v>0.28000000000000003</v>
      </c>
      <c r="Q6651" s="11">
        <v>2</v>
      </c>
      <c r="R6651" s="11"/>
      <c r="S6651" s="11"/>
      <c r="T6651" s="11"/>
      <c r="U6651" s="11">
        <f t="shared" si="1982"/>
        <v>2</v>
      </c>
      <c r="W6651">
        <v>2.2000000000000002</v>
      </c>
      <c r="X6651" s="1" t="s">
        <v>80</v>
      </c>
    </row>
    <row r="6652" spans="1:24" x14ac:dyDescent="0.25">
      <c r="A6652" s="1" t="str">
        <f t="shared" si="1984"/>
        <v>卡卡杜-凤凰仓</v>
      </c>
      <c r="B6652" s="1" t="str">
        <f>"CK202410189454"</f>
        <v>CK202410189454</v>
      </c>
      <c r="C6652" s="1" t="str">
        <f>"DD2024101815037"</f>
        <v>DD2024101815037</v>
      </c>
      <c r="D6652" s="1" t="str">
        <f>"CK202410189427"</f>
        <v>CK202410189427</v>
      </c>
      <c r="E6652" s="1" t="str">
        <f>"6935147363162461697"</f>
        <v>6935147363162461697</v>
      </c>
      <c r="F6652" s="1" t="str">
        <f t="shared" si="1985"/>
        <v>花都四部-凤凰仓</v>
      </c>
      <c r="G6652" s="1" t="str">
        <f t="shared" si="1993"/>
        <v>卡卡杜个人护理店（抖店）</v>
      </c>
      <c r="H6652" s="1" t="str">
        <f t="shared" si="1986"/>
        <v>正常订单</v>
      </c>
      <c r="I6652" s="1" t="str">
        <f t="shared" si="1987"/>
        <v>已发货</v>
      </c>
      <c r="J6652" s="1" t="str">
        <f t="shared" si="1994"/>
        <v>3</v>
      </c>
      <c r="K6652" s="1">
        <v>3</v>
      </c>
      <c r="L6652" s="1" t="s">
        <v>32</v>
      </c>
      <c r="M6652" s="1" t="str">
        <f>"陕西省 西安市 未央区 张家堡街道"</f>
        <v>陕西省 西安市 未央区 张家堡街道</v>
      </c>
      <c r="N6652" s="1" t="str">
        <f t="shared" si="1988"/>
        <v>凡华云仓-韵达-抖音</v>
      </c>
      <c r="O6652" s="5">
        <v>320177460788645</v>
      </c>
      <c r="P6652" s="6">
        <v>0.28000000000000003</v>
      </c>
      <c r="Q6652" s="11">
        <v>2</v>
      </c>
      <c r="R6652" s="11"/>
      <c r="S6652" s="11"/>
      <c r="T6652" s="11"/>
      <c r="U6652" s="11">
        <f t="shared" si="1982"/>
        <v>2</v>
      </c>
      <c r="W6652">
        <v>2.2000000000000002</v>
      </c>
      <c r="X6652" s="1" t="s">
        <v>32</v>
      </c>
    </row>
    <row r="6653" spans="1:24" x14ac:dyDescent="0.25">
      <c r="A6653" s="1" t="str">
        <f t="shared" si="1984"/>
        <v>卡卡杜-凤凰仓</v>
      </c>
      <c r="B6653" s="1" t="str">
        <f>"CK202410189458"</f>
        <v>CK202410189458</v>
      </c>
      <c r="C6653" s="1" t="str">
        <f>"DD2024101815038"</f>
        <v>DD2024101815038</v>
      </c>
      <c r="D6653" s="1" t="str">
        <f>"CK202410189426"</f>
        <v>CK202410189426</v>
      </c>
      <c r="E6653" s="1" t="str">
        <f>"6935165035704489483"</f>
        <v>6935165035704489483</v>
      </c>
      <c r="F6653" s="1" t="str">
        <f t="shared" si="1985"/>
        <v>花都四部-凤凰仓</v>
      </c>
      <c r="G6653" s="1" t="str">
        <f t="shared" si="1993"/>
        <v>卡卡杜个人护理店（抖店）</v>
      </c>
      <c r="H6653" s="1" t="str">
        <f t="shared" si="1986"/>
        <v>正常订单</v>
      </c>
      <c r="I6653" s="1" t="str">
        <f t="shared" si="1987"/>
        <v>已发货</v>
      </c>
      <c r="J6653" s="1" t="str">
        <f t="shared" si="1994"/>
        <v>3</v>
      </c>
      <c r="K6653" s="1">
        <v>3</v>
      </c>
      <c r="L6653" s="1" t="s">
        <v>13</v>
      </c>
      <c r="M6653" s="1" t="str">
        <f>"江苏省 泰州市 姜堰区 "</f>
        <v xml:space="preserve">江苏省 泰州市 姜堰区 </v>
      </c>
      <c r="N6653" s="1" t="str">
        <f t="shared" si="1988"/>
        <v>凡华云仓-韵达-抖音</v>
      </c>
      <c r="O6653" s="5">
        <v>320177460788546</v>
      </c>
      <c r="P6653" s="6">
        <v>0.28000000000000003</v>
      </c>
      <c r="Q6653" s="11">
        <v>2</v>
      </c>
      <c r="R6653" s="11"/>
      <c r="S6653" s="11"/>
      <c r="T6653" s="11"/>
      <c r="U6653" s="11">
        <f t="shared" si="1982"/>
        <v>2</v>
      </c>
      <c r="W6653">
        <v>2.2000000000000002</v>
      </c>
      <c r="X6653" s="1" t="s">
        <v>13</v>
      </c>
    </row>
    <row r="6654" spans="1:24" x14ac:dyDescent="0.25">
      <c r="A6654" s="1" t="str">
        <f t="shared" si="1984"/>
        <v>卡卡杜-凤凰仓</v>
      </c>
      <c r="B6654" s="1" t="str">
        <f>"CK202410189456"</f>
        <v>CK202410189456</v>
      </c>
      <c r="C6654" s="1" t="str">
        <f>"DD2024101815041"</f>
        <v>DD2024101815041</v>
      </c>
      <c r="D6654" s="1" t="str">
        <f>"CK202410189425"</f>
        <v>CK202410189425</v>
      </c>
      <c r="E6654" s="1" t="str">
        <f>"6935145177298638037"</f>
        <v>6935145177298638037</v>
      </c>
      <c r="F6654" s="1" t="str">
        <f t="shared" si="1985"/>
        <v>花都四部-凤凰仓</v>
      </c>
      <c r="G6654" s="1" t="str">
        <f t="shared" si="1993"/>
        <v>卡卡杜个人护理店（抖店）</v>
      </c>
      <c r="H6654" s="1" t="str">
        <f t="shared" si="1986"/>
        <v>正常订单</v>
      </c>
      <c r="I6654" s="1" t="str">
        <f t="shared" si="1987"/>
        <v>已发货</v>
      </c>
      <c r="J6654" s="1" t="str">
        <f t="shared" si="1994"/>
        <v>3</v>
      </c>
      <c r="K6654" s="1">
        <v>3</v>
      </c>
      <c r="L6654" s="1" t="s">
        <v>22</v>
      </c>
      <c r="M6654" s="1" t="str">
        <f>"江西省 南昌市 南昌县 莲塘镇"</f>
        <v>江西省 南昌市 南昌县 莲塘镇</v>
      </c>
      <c r="N6654" s="1" t="str">
        <f t="shared" si="1988"/>
        <v>凡华云仓-韵达-抖音</v>
      </c>
      <c r="O6654" s="5">
        <v>320177460788449</v>
      </c>
      <c r="P6654" s="6">
        <v>0.28000000000000003</v>
      </c>
      <c r="Q6654" s="11">
        <v>2</v>
      </c>
      <c r="R6654" s="11"/>
      <c r="S6654" s="11"/>
      <c r="T6654" s="11"/>
      <c r="U6654" s="11">
        <f t="shared" si="1982"/>
        <v>2</v>
      </c>
      <c r="W6654">
        <v>2.2000000000000002</v>
      </c>
      <c r="X6654" s="1" t="s">
        <v>22</v>
      </c>
    </row>
    <row r="6655" spans="1:24" x14ac:dyDescent="0.25">
      <c r="A6655" s="1" t="str">
        <f t="shared" si="1984"/>
        <v>卡卡杜-凤凰仓</v>
      </c>
      <c r="B6655" s="1" t="str">
        <f>"CK202410189460"</f>
        <v>CK202410189460</v>
      </c>
      <c r="C6655" s="1" t="str">
        <f>"DD2024101815042"</f>
        <v>DD2024101815042</v>
      </c>
      <c r="D6655" s="1" t="str">
        <f>"CK202410189424"</f>
        <v>CK202410189424</v>
      </c>
      <c r="E6655" s="1" t="str">
        <f>"6935151446486816542"</f>
        <v>6935151446486816542</v>
      </c>
      <c r="F6655" s="1" t="str">
        <f t="shared" si="1985"/>
        <v>花都四部-凤凰仓</v>
      </c>
      <c r="G6655" s="1" t="str">
        <f t="shared" si="1993"/>
        <v>卡卡杜个人护理店（抖店）</v>
      </c>
      <c r="H6655" s="1" t="str">
        <f t="shared" si="1986"/>
        <v>正常订单</v>
      </c>
      <c r="I6655" s="1" t="str">
        <f t="shared" si="1987"/>
        <v>已发货</v>
      </c>
      <c r="J6655" s="1" t="str">
        <f t="shared" si="1994"/>
        <v>3</v>
      </c>
      <c r="K6655" s="1">
        <v>3</v>
      </c>
      <c r="L6655" s="1" t="s">
        <v>47</v>
      </c>
      <c r="M6655" s="1" t="str">
        <f>"重庆 重庆市 永川区 "</f>
        <v xml:space="preserve">重庆 重庆市 永川区 </v>
      </c>
      <c r="N6655" s="1" t="str">
        <f t="shared" si="1988"/>
        <v>凡华云仓-韵达-抖音</v>
      </c>
      <c r="O6655" s="5">
        <v>320177460788354</v>
      </c>
      <c r="P6655" s="6">
        <v>0.28000000000000003</v>
      </c>
      <c r="Q6655" s="11">
        <v>2</v>
      </c>
      <c r="R6655" s="11"/>
      <c r="S6655" s="11"/>
      <c r="T6655" s="11"/>
      <c r="U6655" s="11">
        <f t="shared" si="1982"/>
        <v>2</v>
      </c>
      <c r="W6655">
        <v>2.2000000000000002</v>
      </c>
      <c r="X6655" s="1" t="s">
        <v>47</v>
      </c>
    </row>
    <row r="6656" spans="1:24" x14ac:dyDescent="0.25">
      <c r="A6656" s="1" t="str">
        <f t="shared" si="1984"/>
        <v>卡卡杜-凤凰仓</v>
      </c>
      <c r="B6656" s="1" t="str">
        <f>"CK202410189462"</f>
        <v>CK202410189462</v>
      </c>
      <c r="C6656" s="1" t="str">
        <f>"DD2024101815045"</f>
        <v>DD2024101815045</v>
      </c>
      <c r="D6656" s="1" t="str">
        <f>"CK202410189423"</f>
        <v>CK202410189423</v>
      </c>
      <c r="E6656" s="1" t="str">
        <f>"6935167297404474638"</f>
        <v>6935167297404474638</v>
      </c>
      <c r="F6656" s="1" t="str">
        <f t="shared" si="1985"/>
        <v>花都四部-凤凰仓</v>
      </c>
      <c r="G6656" s="1" t="str">
        <f t="shared" si="1993"/>
        <v>卡卡杜个人护理店（抖店）</v>
      </c>
      <c r="H6656" s="1" t="str">
        <f t="shared" si="1986"/>
        <v>正常订单</v>
      </c>
      <c r="I6656" s="1" t="str">
        <f t="shared" si="1987"/>
        <v>已发货</v>
      </c>
      <c r="J6656" s="1" t="str">
        <f t="shared" si="1994"/>
        <v>3</v>
      </c>
      <c r="K6656" s="1">
        <v>3</v>
      </c>
      <c r="L6656" s="1" t="s">
        <v>30</v>
      </c>
      <c r="M6656" s="1" t="str">
        <f>"山东省 聊城市 阳谷县 侨润街道"</f>
        <v>山东省 聊城市 阳谷县 侨润街道</v>
      </c>
      <c r="N6656" s="1" t="str">
        <f t="shared" si="1988"/>
        <v>凡华云仓-韵达-抖音</v>
      </c>
      <c r="O6656" s="5">
        <v>320177482278257</v>
      </c>
      <c r="P6656" s="6">
        <v>0.28000000000000003</v>
      </c>
      <c r="Q6656" s="11">
        <v>2</v>
      </c>
      <c r="R6656" s="11"/>
      <c r="S6656" s="11"/>
      <c r="T6656" s="11"/>
      <c r="U6656" s="11">
        <f t="shared" si="1982"/>
        <v>2</v>
      </c>
      <c r="W6656">
        <v>2.2000000000000002</v>
      </c>
      <c r="X6656" s="1" t="s">
        <v>30</v>
      </c>
    </row>
    <row r="6657" spans="1:24" x14ac:dyDescent="0.25">
      <c r="A6657" s="1" t="str">
        <f t="shared" si="1984"/>
        <v>卡卡杜-凤凰仓</v>
      </c>
      <c r="B6657" s="1" t="str">
        <f>"CK202410189464"</f>
        <v>CK202410189464</v>
      </c>
      <c r="C6657" s="1" t="str">
        <f>"DD2024101815048"</f>
        <v>DD2024101815048</v>
      </c>
      <c r="D6657" s="1" t="str">
        <f>"CK202410189422"</f>
        <v>CK202410189422</v>
      </c>
      <c r="E6657" s="1" t="str">
        <f>"6935151390646736126"</f>
        <v>6935151390646736126</v>
      </c>
      <c r="F6657" s="1" t="str">
        <f t="shared" si="1985"/>
        <v>花都四部-凤凰仓</v>
      </c>
      <c r="G6657" s="1" t="str">
        <f t="shared" si="1993"/>
        <v>卡卡杜个人护理店（抖店）</v>
      </c>
      <c r="H6657" s="1" t="str">
        <f t="shared" si="1986"/>
        <v>正常订单</v>
      </c>
      <c r="I6657" s="1" t="str">
        <f t="shared" si="1987"/>
        <v>已发货</v>
      </c>
      <c r="J6657" s="1" t="str">
        <f t="shared" si="1994"/>
        <v>3</v>
      </c>
      <c r="K6657" s="1">
        <v>3</v>
      </c>
      <c r="L6657" s="1" t="s">
        <v>30</v>
      </c>
      <c r="M6657" s="1" t="str">
        <f>"山东省 聊城市 东昌府区 柳园街道"</f>
        <v>山东省 聊城市 东昌府区 柳园街道</v>
      </c>
      <c r="N6657" s="1" t="str">
        <f t="shared" si="1988"/>
        <v>凡华云仓-韵达-抖音</v>
      </c>
      <c r="O6657" s="5">
        <v>320177482278166</v>
      </c>
      <c r="P6657" s="6">
        <v>0.28000000000000003</v>
      </c>
      <c r="Q6657" s="11">
        <v>2</v>
      </c>
      <c r="R6657" s="11"/>
      <c r="S6657" s="11"/>
      <c r="T6657" s="11"/>
      <c r="U6657" s="11">
        <f t="shared" si="1982"/>
        <v>2</v>
      </c>
      <c r="W6657">
        <v>2.2000000000000002</v>
      </c>
      <c r="X6657" s="1" t="s">
        <v>30</v>
      </c>
    </row>
    <row r="6658" spans="1:24" x14ac:dyDescent="0.25">
      <c r="A6658" s="1" t="str">
        <f t="shared" si="1984"/>
        <v>卡卡杜-凤凰仓</v>
      </c>
      <c r="B6658" s="1" t="str">
        <f>"CK202410189467"</f>
        <v>CK202410189467</v>
      </c>
      <c r="C6658" s="1" t="str">
        <f>"DD2024101815050"</f>
        <v>DD2024101815050</v>
      </c>
      <c r="D6658" s="1" t="str">
        <f>"CK202410189421"</f>
        <v>CK202410189421</v>
      </c>
      <c r="E6658" s="1" t="str">
        <f>"6935149777712322376"</f>
        <v>6935149777712322376</v>
      </c>
      <c r="F6658" s="1" t="str">
        <f t="shared" si="1985"/>
        <v>花都四部-凤凰仓</v>
      </c>
      <c r="G6658" s="1" t="str">
        <f t="shared" si="1993"/>
        <v>卡卡杜个人护理店（抖店）</v>
      </c>
      <c r="H6658" s="1" t="str">
        <f t="shared" si="1986"/>
        <v>正常订单</v>
      </c>
      <c r="I6658" s="1" t="str">
        <f t="shared" si="1987"/>
        <v>已发货</v>
      </c>
      <c r="J6658" s="1" t="str">
        <f t="shared" si="1994"/>
        <v>3</v>
      </c>
      <c r="K6658" s="1">
        <v>3</v>
      </c>
      <c r="L6658" s="1" t="s">
        <v>22</v>
      </c>
      <c r="M6658" s="1" t="str">
        <f>"江西省 宜春市 袁州区 官园街道"</f>
        <v>江西省 宜春市 袁州区 官园街道</v>
      </c>
      <c r="N6658" s="1" t="str">
        <f t="shared" si="1988"/>
        <v>凡华云仓-韵达-抖音</v>
      </c>
      <c r="O6658" s="5">
        <v>320177482278077</v>
      </c>
      <c r="P6658" s="6">
        <v>0.28000000000000003</v>
      </c>
      <c r="Q6658" s="11">
        <v>2</v>
      </c>
      <c r="R6658" s="11"/>
      <c r="S6658" s="11"/>
      <c r="T6658" s="11"/>
      <c r="U6658" s="11">
        <f t="shared" si="1982"/>
        <v>2</v>
      </c>
      <c r="W6658">
        <v>2.2000000000000002</v>
      </c>
      <c r="X6658" s="1" t="s">
        <v>22</v>
      </c>
    </row>
    <row r="6659" spans="1:24" x14ac:dyDescent="0.25">
      <c r="A6659" s="1" t="str">
        <f t="shared" si="1984"/>
        <v>卡卡杜-凤凰仓</v>
      </c>
      <c r="B6659" s="1" t="str">
        <f>"CK202410189469"</f>
        <v>CK202410189469</v>
      </c>
      <c r="C6659" s="1" t="str">
        <f>"DD2024101815051"</f>
        <v>DD2024101815051</v>
      </c>
      <c r="D6659" s="1" t="str">
        <f>"CK202410189420"</f>
        <v>CK202410189420</v>
      </c>
      <c r="E6659" s="1" t="str">
        <f>"6935156076537910308"</f>
        <v>6935156076537910308</v>
      </c>
      <c r="F6659" s="1" t="str">
        <f t="shared" si="1985"/>
        <v>花都四部-凤凰仓</v>
      </c>
      <c r="G6659" s="1" t="str">
        <f t="shared" si="1993"/>
        <v>卡卡杜个人护理店（抖店）</v>
      </c>
      <c r="H6659" s="1" t="str">
        <f t="shared" si="1986"/>
        <v>正常订单</v>
      </c>
      <c r="I6659" s="1" t="str">
        <f t="shared" si="1987"/>
        <v>已发货</v>
      </c>
      <c r="J6659" s="1" t="str">
        <f t="shared" si="1994"/>
        <v>3</v>
      </c>
      <c r="K6659" s="1">
        <v>3</v>
      </c>
      <c r="L6659" s="1" t="s">
        <v>16</v>
      </c>
      <c r="M6659" s="1" t="str">
        <f>"河北省 邢台市 广宗县 东召乡"</f>
        <v>河北省 邢台市 广宗县 东召乡</v>
      </c>
      <c r="N6659" s="1" t="str">
        <f t="shared" si="1988"/>
        <v>凡华云仓-韵达-抖音</v>
      </c>
      <c r="O6659" s="5">
        <v>320177482277947</v>
      </c>
      <c r="P6659" s="6">
        <v>0.28000000000000003</v>
      </c>
      <c r="Q6659" s="11">
        <v>2</v>
      </c>
      <c r="R6659" s="11"/>
      <c r="S6659" s="11"/>
      <c r="T6659" s="11"/>
      <c r="U6659" s="11">
        <f t="shared" ref="U6659:U6722" si="1995">T6659+S6659+R6659+Q6659</f>
        <v>2</v>
      </c>
      <c r="W6659">
        <v>2.2000000000000002</v>
      </c>
      <c r="X6659" s="1" t="s">
        <v>16</v>
      </c>
    </row>
    <row r="6660" spans="1:24" x14ac:dyDescent="0.25">
      <c r="A6660" s="1" t="str">
        <f t="shared" si="1984"/>
        <v>卡卡杜-凤凰仓</v>
      </c>
      <c r="B6660" s="1" t="str">
        <f>"CK202410189471"</f>
        <v>CK202410189471</v>
      </c>
      <c r="C6660" s="1" t="str">
        <f>"DD2024101815054"</f>
        <v>DD2024101815054</v>
      </c>
      <c r="D6660" s="1" t="str">
        <f>"CK202410189419"</f>
        <v>CK202410189419</v>
      </c>
      <c r="E6660" s="1" t="str">
        <f>"6935149832285263405"</f>
        <v>6935149832285263405</v>
      </c>
      <c r="F6660" s="1" t="str">
        <f t="shared" si="1985"/>
        <v>花都四部-凤凰仓</v>
      </c>
      <c r="G6660" s="1" t="str">
        <f t="shared" si="1993"/>
        <v>卡卡杜个人护理店（抖店）</v>
      </c>
      <c r="H6660" s="1" t="str">
        <f t="shared" si="1986"/>
        <v>正常订单</v>
      </c>
      <c r="I6660" s="1" t="str">
        <f t="shared" si="1987"/>
        <v>已发货</v>
      </c>
      <c r="J6660" s="1" t="str">
        <f t="shared" si="1994"/>
        <v>3</v>
      </c>
      <c r="K6660" s="1">
        <v>3</v>
      </c>
      <c r="L6660" s="1" t="s">
        <v>41</v>
      </c>
      <c r="M6660" s="1" t="str">
        <f>"湖北省 宜昌市 枝江市 马家店街道"</f>
        <v>湖北省 宜昌市 枝江市 马家店街道</v>
      </c>
      <c r="N6660" s="1" t="str">
        <f t="shared" si="1988"/>
        <v>凡华云仓-韵达-抖音</v>
      </c>
      <c r="O6660" s="5">
        <v>320177482277842</v>
      </c>
      <c r="P6660" s="6">
        <v>0.28000000000000003</v>
      </c>
      <c r="Q6660" s="11">
        <v>2</v>
      </c>
      <c r="R6660" s="11"/>
      <c r="S6660" s="11"/>
      <c r="T6660" s="11"/>
      <c r="U6660" s="11">
        <f t="shared" si="1995"/>
        <v>2</v>
      </c>
      <c r="W6660">
        <v>2.2000000000000002</v>
      </c>
      <c r="X6660" s="1" t="s">
        <v>41</v>
      </c>
    </row>
    <row r="6661" spans="1:24" x14ac:dyDescent="0.25">
      <c r="A6661" s="1" t="str">
        <f t="shared" ref="A6661:A6724" si="1996">"卡卡杜-凤凰仓"</f>
        <v>卡卡杜-凤凰仓</v>
      </c>
      <c r="B6661" s="1" t="str">
        <f>"CK202410189484"</f>
        <v>CK202410189484</v>
      </c>
      <c r="C6661" s="1" t="str">
        <f>"DD2024101815067"</f>
        <v>DD2024101815067</v>
      </c>
      <c r="D6661" s="1" t="str">
        <f>"CK202410189418"</f>
        <v>CK202410189418</v>
      </c>
      <c r="E6661" s="1" t="str">
        <f>"6935145309633124269"</f>
        <v>6935145309633124269</v>
      </c>
      <c r="F6661" s="1" t="str">
        <f t="shared" ref="F6661:F6724" si="1997">"花都四部-凤凰仓"</f>
        <v>花都四部-凤凰仓</v>
      </c>
      <c r="G6661" s="1" t="str">
        <f t="shared" si="1993"/>
        <v>卡卡杜个人护理店（抖店）</v>
      </c>
      <c r="H6661" s="1" t="str">
        <f t="shared" ref="H6661:H6724" si="1998">"正常订单"</f>
        <v>正常订单</v>
      </c>
      <c r="I6661" s="1" t="str">
        <f t="shared" ref="I6661:I6724" si="1999">"已发货"</f>
        <v>已发货</v>
      </c>
      <c r="J6661" s="1" t="str">
        <f t="shared" si="1994"/>
        <v>3</v>
      </c>
      <c r="K6661" s="1">
        <v>3</v>
      </c>
      <c r="L6661" s="1" t="s">
        <v>161</v>
      </c>
      <c r="M6661" s="1" t="str">
        <f>"四川省 绵阳市 涪城区 普明街道"</f>
        <v>四川省 绵阳市 涪城区 普明街道</v>
      </c>
      <c r="N6661" s="1" t="str">
        <f t="shared" si="1988"/>
        <v>凡华云仓-韵达-抖音</v>
      </c>
      <c r="O6661" s="5">
        <v>320177482277739</v>
      </c>
      <c r="P6661" s="6">
        <v>0.28000000000000003</v>
      </c>
      <c r="Q6661" s="11">
        <v>2</v>
      </c>
      <c r="R6661" s="11"/>
      <c r="S6661" s="11"/>
      <c r="T6661" s="11"/>
      <c r="U6661" s="11">
        <f t="shared" si="1995"/>
        <v>2</v>
      </c>
      <c r="W6661">
        <v>2.2000000000000002</v>
      </c>
      <c r="X6661" s="1" t="s">
        <v>161</v>
      </c>
    </row>
    <row r="6662" spans="1:24" x14ac:dyDescent="0.25">
      <c r="A6662" s="1" t="str">
        <f t="shared" si="1996"/>
        <v>卡卡杜-凤凰仓</v>
      </c>
      <c r="B6662" s="1" t="str">
        <f>"CK202410189488"</f>
        <v>CK202410189488</v>
      </c>
      <c r="C6662" s="1" t="str">
        <f>"DD2024101815072"</f>
        <v>DD2024101815072</v>
      </c>
      <c r="D6662" s="1" t="str">
        <f>"CK202410189417"</f>
        <v>CK202410189417</v>
      </c>
      <c r="E6662" s="1" t="str">
        <f>"6935147341638800487"</f>
        <v>6935147341638800487</v>
      </c>
      <c r="F6662" s="1" t="str">
        <f t="shared" si="1997"/>
        <v>花都四部-凤凰仓</v>
      </c>
      <c r="G6662" s="1" t="str">
        <f t="shared" si="1993"/>
        <v>卡卡杜个人护理店（抖店）</v>
      </c>
      <c r="H6662" s="1" t="str">
        <f t="shared" si="1998"/>
        <v>正常订单</v>
      </c>
      <c r="I6662" s="1" t="str">
        <f t="shared" si="1999"/>
        <v>已发货</v>
      </c>
      <c r="J6662" s="1" t="str">
        <f t="shared" si="1994"/>
        <v>3</v>
      </c>
      <c r="K6662" s="1">
        <v>3</v>
      </c>
      <c r="L6662" s="1" t="s">
        <v>36</v>
      </c>
      <c r="M6662" s="1" t="str">
        <f>"安徽省 宿州市 萧县 丁里镇"</f>
        <v>安徽省 宿州市 萧县 丁里镇</v>
      </c>
      <c r="N6662" s="1" t="str">
        <f t="shared" si="1988"/>
        <v>凡华云仓-韵达-抖音</v>
      </c>
      <c r="O6662" s="5">
        <v>320177482277638</v>
      </c>
      <c r="P6662" s="6">
        <v>0.28000000000000003</v>
      </c>
      <c r="Q6662" s="11">
        <v>2</v>
      </c>
      <c r="R6662" s="11"/>
      <c r="S6662" s="11"/>
      <c r="T6662" s="11"/>
      <c r="U6662" s="11">
        <f t="shared" si="1995"/>
        <v>2</v>
      </c>
      <c r="W6662">
        <v>2.2000000000000002</v>
      </c>
      <c r="X6662" s="1" t="s">
        <v>36</v>
      </c>
    </row>
    <row r="6663" spans="1:24" x14ac:dyDescent="0.25">
      <c r="A6663" s="1" t="str">
        <f t="shared" si="1996"/>
        <v>卡卡杜-凤凰仓</v>
      </c>
      <c r="B6663" s="1" t="str">
        <f>"CK202410189490"</f>
        <v>CK202410189490</v>
      </c>
      <c r="C6663" s="1" t="str">
        <f>"DD2024101815074"</f>
        <v>DD2024101815074</v>
      </c>
      <c r="D6663" s="1" t="str">
        <f>"CK202410189416"</f>
        <v>CK202410189416</v>
      </c>
      <c r="E6663" s="1" t="str">
        <f>"6935143474274179018"</f>
        <v>6935143474274179018</v>
      </c>
      <c r="F6663" s="1" t="str">
        <f t="shared" si="1997"/>
        <v>花都四部-凤凰仓</v>
      </c>
      <c r="G6663" s="1" t="str">
        <f t="shared" si="1993"/>
        <v>卡卡杜个人护理店（抖店）</v>
      </c>
      <c r="H6663" s="1" t="str">
        <f t="shared" si="1998"/>
        <v>正常订单</v>
      </c>
      <c r="I6663" s="1" t="str">
        <f t="shared" si="1999"/>
        <v>已发货</v>
      </c>
      <c r="J6663" s="1" t="str">
        <f t="shared" si="1994"/>
        <v>3</v>
      </c>
      <c r="K6663" s="1">
        <v>3</v>
      </c>
      <c r="L6663" s="1" t="s">
        <v>36</v>
      </c>
      <c r="M6663" s="1" t="str">
        <f>"安徽省 蚌埠市 禹会区 禹会虚镇"</f>
        <v>安徽省 蚌埠市 禹会区 禹会虚镇</v>
      </c>
      <c r="N6663" s="1" t="str">
        <f t="shared" si="1988"/>
        <v>凡华云仓-韵达-抖音</v>
      </c>
      <c r="O6663" s="5">
        <v>320177482277539</v>
      </c>
      <c r="P6663" s="6">
        <v>0.28000000000000003</v>
      </c>
      <c r="Q6663" s="11">
        <v>2</v>
      </c>
      <c r="R6663" s="11"/>
      <c r="S6663" s="11"/>
      <c r="T6663" s="11"/>
      <c r="U6663" s="11">
        <f t="shared" si="1995"/>
        <v>2</v>
      </c>
      <c r="W6663">
        <v>2.2000000000000002</v>
      </c>
      <c r="X6663" s="1" t="s">
        <v>36</v>
      </c>
    </row>
    <row r="6664" spans="1:24" x14ac:dyDescent="0.25">
      <c r="A6664" s="1" t="str">
        <f t="shared" si="1996"/>
        <v>卡卡杜-凤凰仓</v>
      </c>
      <c r="B6664" s="1" t="str">
        <f>"CK202410189492"</f>
        <v>CK202410189492</v>
      </c>
      <c r="C6664" s="1" t="str">
        <f>"DD2024101815076"</f>
        <v>DD2024101815076</v>
      </c>
      <c r="D6664" s="1" t="str">
        <f>"CK202410189415"</f>
        <v>CK202410189415</v>
      </c>
      <c r="E6664" s="1" t="str">
        <f>"6935145313577210947"</f>
        <v>6935145313577210947</v>
      </c>
      <c r="F6664" s="1" t="str">
        <f t="shared" si="1997"/>
        <v>花都四部-凤凰仓</v>
      </c>
      <c r="G6664" s="1" t="str">
        <f t="shared" si="1993"/>
        <v>卡卡杜个人护理店（抖店）</v>
      </c>
      <c r="H6664" s="1" t="str">
        <f t="shared" si="1998"/>
        <v>正常订单</v>
      </c>
      <c r="I6664" s="1" t="str">
        <f t="shared" si="1999"/>
        <v>已发货</v>
      </c>
      <c r="J6664" s="1" t="str">
        <f t="shared" si="1994"/>
        <v>3</v>
      </c>
      <c r="K6664" s="1">
        <v>3</v>
      </c>
      <c r="L6664" s="1" t="s">
        <v>13</v>
      </c>
      <c r="M6664" s="1" t="str">
        <f>"江苏省 无锡市 江阴市 徐霞客镇"</f>
        <v>江苏省 无锡市 江阴市 徐霞客镇</v>
      </c>
      <c r="N6664" s="1" t="str">
        <f t="shared" si="1988"/>
        <v>凡华云仓-韵达-抖音</v>
      </c>
      <c r="O6664" s="5">
        <v>320177482277442</v>
      </c>
      <c r="P6664" s="6">
        <v>0.28000000000000003</v>
      </c>
      <c r="Q6664" s="11">
        <v>2</v>
      </c>
      <c r="R6664" s="11"/>
      <c r="S6664" s="11"/>
      <c r="T6664" s="11"/>
      <c r="U6664" s="11">
        <f t="shared" si="1995"/>
        <v>2</v>
      </c>
      <c r="W6664">
        <v>2.2000000000000002</v>
      </c>
      <c r="X6664" s="1" t="s">
        <v>13</v>
      </c>
    </row>
    <row r="6665" spans="1:24" x14ac:dyDescent="0.25">
      <c r="A6665" s="1" t="str">
        <f t="shared" si="1996"/>
        <v>卡卡杜-凤凰仓</v>
      </c>
      <c r="B6665" s="1" t="str">
        <f>"CK202410189498"</f>
        <v>CK202410189498</v>
      </c>
      <c r="C6665" s="1" t="str">
        <f>"DD2024101815081"</f>
        <v>DD2024101815081</v>
      </c>
      <c r="D6665" s="1" t="str">
        <f>"CK202410189414"</f>
        <v>CK202410189414</v>
      </c>
      <c r="E6665" s="1" t="str">
        <f>"6935141028848604984"</f>
        <v>6935141028848604984</v>
      </c>
      <c r="F6665" s="1" t="str">
        <f t="shared" si="1997"/>
        <v>花都四部-凤凰仓</v>
      </c>
      <c r="G6665" s="1" t="str">
        <f t="shared" si="1993"/>
        <v>卡卡杜个人护理店（抖店）</v>
      </c>
      <c r="H6665" s="1" t="str">
        <f t="shared" si="1998"/>
        <v>正常订单</v>
      </c>
      <c r="I6665" s="1" t="str">
        <f t="shared" si="1999"/>
        <v>已发货</v>
      </c>
      <c r="J6665" s="1" t="str">
        <f t="shared" si="1994"/>
        <v>3</v>
      </c>
      <c r="K6665" s="1">
        <v>3</v>
      </c>
      <c r="L6665" s="1" t="s">
        <v>41</v>
      </c>
      <c r="M6665" s="1" t="str">
        <f>"湖北省 黄冈市 麻城市 乘马岗镇"</f>
        <v>湖北省 黄冈市 麻城市 乘马岗镇</v>
      </c>
      <c r="N6665" s="1" t="str">
        <f t="shared" si="1988"/>
        <v>凡华云仓-韵达-抖音</v>
      </c>
      <c r="O6665" s="5">
        <v>320177482277347</v>
      </c>
      <c r="P6665" s="6">
        <v>0.28000000000000003</v>
      </c>
      <c r="Q6665" s="11">
        <v>2</v>
      </c>
      <c r="R6665" s="11"/>
      <c r="S6665" s="11"/>
      <c r="T6665" s="11"/>
      <c r="U6665" s="11">
        <f t="shared" si="1995"/>
        <v>2</v>
      </c>
      <c r="W6665">
        <v>2.2000000000000002</v>
      </c>
      <c r="X6665" s="1" t="s">
        <v>41</v>
      </c>
    </row>
    <row r="6666" spans="1:24" x14ac:dyDescent="0.25">
      <c r="A6666" s="1" t="str">
        <f t="shared" si="1996"/>
        <v>卡卡杜-凤凰仓</v>
      </c>
      <c r="B6666" s="1" t="str">
        <f>"CK202410189502"</f>
        <v>CK202410189502</v>
      </c>
      <c r="C6666" s="1" t="str">
        <f>"DD2024101815085"</f>
        <v>DD2024101815085</v>
      </c>
      <c r="D6666" s="1" t="str">
        <f>"CK202410189413"</f>
        <v>CK202410189413</v>
      </c>
      <c r="E6666" s="1" t="str">
        <f>"6935169579682370936"</f>
        <v>6935169579682370936</v>
      </c>
      <c r="F6666" s="1" t="str">
        <f t="shared" si="1997"/>
        <v>花都四部-凤凰仓</v>
      </c>
      <c r="G6666" s="1" t="str">
        <f t="shared" si="1993"/>
        <v>卡卡杜个人护理店（抖店）</v>
      </c>
      <c r="H6666" s="1" t="str">
        <f t="shared" si="1998"/>
        <v>正常订单</v>
      </c>
      <c r="I6666" s="1" t="str">
        <f t="shared" si="1999"/>
        <v>已发货</v>
      </c>
      <c r="J6666" s="1" t="str">
        <f t="shared" si="1994"/>
        <v>3</v>
      </c>
      <c r="K6666" s="1">
        <v>3</v>
      </c>
      <c r="L6666" s="1" t="s">
        <v>80</v>
      </c>
      <c r="M6666" s="1" t="str">
        <f>"河南省 郑州市 中原区 西流湖街道"</f>
        <v>河南省 郑州市 中原区 西流湖街道</v>
      </c>
      <c r="N6666" s="1" t="str">
        <f t="shared" si="1988"/>
        <v>凡华云仓-韵达-抖音</v>
      </c>
      <c r="O6666" s="5">
        <v>320177472970867</v>
      </c>
      <c r="P6666" s="6">
        <v>0.28000000000000003</v>
      </c>
      <c r="Q6666" s="11">
        <v>2</v>
      </c>
      <c r="R6666" s="11"/>
      <c r="S6666" s="11"/>
      <c r="T6666" s="11"/>
      <c r="U6666" s="11">
        <f t="shared" si="1995"/>
        <v>2</v>
      </c>
      <c r="W6666">
        <v>2.2000000000000002</v>
      </c>
      <c r="X6666" s="1" t="s">
        <v>80</v>
      </c>
    </row>
    <row r="6667" spans="1:24" x14ac:dyDescent="0.25">
      <c r="A6667" s="1" t="str">
        <f t="shared" si="1996"/>
        <v>卡卡杜-凤凰仓</v>
      </c>
      <c r="B6667" s="1" t="str">
        <f>"CK202410189510"</f>
        <v>CK202410189510</v>
      </c>
      <c r="C6667" s="1" t="str">
        <f>"DD2024101815093"</f>
        <v>DD2024101815093</v>
      </c>
      <c r="D6667" s="1" t="str">
        <f>"CK202410189412"</f>
        <v>CK202410189412</v>
      </c>
      <c r="E6667" s="1" t="str">
        <f>"6935164936283034721"</f>
        <v>6935164936283034721</v>
      </c>
      <c r="F6667" s="1" t="str">
        <f t="shared" si="1997"/>
        <v>花都四部-凤凰仓</v>
      </c>
      <c r="G6667" s="1" t="str">
        <f t="shared" si="1993"/>
        <v>卡卡杜个人护理店（抖店）</v>
      </c>
      <c r="H6667" s="1" t="str">
        <f t="shared" si="1998"/>
        <v>正常订单</v>
      </c>
      <c r="I6667" s="1" t="str">
        <f t="shared" si="1999"/>
        <v>已发货</v>
      </c>
      <c r="J6667" s="1" t="str">
        <f t="shared" si="1994"/>
        <v>3</v>
      </c>
      <c r="K6667" s="1">
        <v>3</v>
      </c>
      <c r="L6667" s="1" t="s">
        <v>30</v>
      </c>
      <c r="M6667" s="1" t="str">
        <f>"山东省 青岛市 黄岛区 滨海街道"</f>
        <v>山东省 青岛市 黄岛区 滨海街道</v>
      </c>
      <c r="N6667" s="1" t="str">
        <f t="shared" si="1988"/>
        <v>凡华云仓-韵达-抖音</v>
      </c>
      <c r="O6667" s="5">
        <v>320177472970764</v>
      </c>
      <c r="P6667" s="6">
        <v>0.28000000000000003</v>
      </c>
      <c r="Q6667" s="11">
        <v>2</v>
      </c>
      <c r="R6667" s="11"/>
      <c r="S6667" s="11"/>
      <c r="T6667" s="11"/>
      <c r="U6667" s="11">
        <f t="shared" si="1995"/>
        <v>2</v>
      </c>
      <c r="W6667">
        <v>2.2000000000000002</v>
      </c>
      <c r="X6667" s="1" t="s">
        <v>30</v>
      </c>
    </row>
    <row r="6668" spans="1:24" x14ac:dyDescent="0.25">
      <c r="A6668" s="1" t="str">
        <f t="shared" si="1996"/>
        <v>卡卡杜-凤凰仓</v>
      </c>
      <c r="B6668" s="1" t="str">
        <f>"CK2024101810036"</f>
        <v>CK2024101810036</v>
      </c>
      <c r="C6668" s="1" t="str">
        <f>"DD2024101815619"</f>
        <v>DD2024101815619</v>
      </c>
      <c r="D6668" s="1" t="str">
        <f>"CK202410189411"</f>
        <v>CK202410189411</v>
      </c>
      <c r="E6668" s="1" t="str">
        <f>"6935145315808973967"</f>
        <v>6935145315808973967</v>
      </c>
      <c r="F6668" s="1" t="str">
        <f t="shared" si="1997"/>
        <v>花都四部-凤凰仓</v>
      </c>
      <c r="G6668" s="1" t="str">
        <f t="shared" si="1993"/>
        <v>卡卡杜个人护理店（抖店）</v>
      </c>
      <c r="H6668" s="1" t="str">
        <f t="shared" si="1998"/>
        <v>正常订单</v>
      </c>
      <c r="I6668" s="1" t="str">
        <f t="shared" si="1999"/>
        <v>已发货</v>
      </c>
      <c r="J6668" s="1" t="str">
        <f t="shared" si="1994"/>
        <v>3</v>
      </c>
      <c r="K6668" s="1">
        <v>3</v>
      </c>
      <c r="L6668" s="1" t="s">
        <v>41</v>
      </c>
      <c r="M6668" s="1" t="str">
        <f>"湖北省 武汉市 硚口区 长丰街道"</f>
        <v>湖北省 武汉市 硚口区 长丰街道</v>
      </c>
      <c r="N6668" s="1" t="str">
        <f t="shared" ref="N6668:N6675" si="2000">"凡华云仓-韵达-抖音"</f>
        <v>凡华云仓-韵达-抖音</v>
      </c>
      <c r="O6668" s="5">
        <v>320177472970663</v>
      </c>
      <c r="P6668" s="6">
        <v>0.28000000000000003</v>
      </c>
      <c r="Q6668" s="11">
        <v>2</v>
      </c>
      <c r="R6668" s="11"/>
      <c r="S6668" s="11"/>
      <c r="T6668" s="11"/>
      <c r="U6668" s="11">
        <f t="shared" si="1995"/>
        <v>2</v>
      </c>
      <c r="W6668">
        <v>2.2000000000000002</v>
      </c>
      <c r="X6668" s="1" t="s">
        <v>41</v>
      </c>
    </row>
    <row r="6669" spans="1:24" x14ac:dyDescent="0.25">
      <c r="A6669" s="1" t="str">
        <f t="shared" si="1996"/>
        <v>卡卡杜-凤凰仓</v>
      </c>
      <c r="B6669" s="1" t="str">
        <f>"CK2024101810037"</f>
        <v>CK2024101810037</v>
      </c>
      <c r="C6669" s="1" t="str">
        <f>"DD2024101815621"</f>
        <v>DD2024101815621</v>
      </c>
      <c r="D6669" s="1" t="str">
        <f>"CK202410189410"</f>
        <v>CK202410189410</v>
      </c>
      <c r="E6669" s="1" t="str">
        <f>"6935169686551271155"</f>
        <v>6935169686551271155</v>
      </c>
      <c r="F6669" s="1" t="str">
        <f t="shared" si="1997"/>
        <v>花都四部-凤凰仓</v>
      </c>
      <c r="G6669" s="1" t="str">
        <f t="shared" si="1993"/>
        <v>卡卡杜个人护理店（抖店）</v>
      </c>
      <c r="H6669" s="1" t="str">
        <f t="shared" si="1998"/>
        <v>正常订单</v>
      </c>
      <c r="I6669" s="1" t="str">
        <f t="shared" si="1999"/>
        <v>已发货</v>
      </c>
      <c r="J6669" s="1" t="str">
        <f t="shared" si="1994"/>
        <v>3</v>
      </c>
      <c r="K6669" s="1">
        <v>3</v>
      </c>
      <c r="L6669" s="1" t="s">
        <v>24</v>
      </c>
      <c r="M6669" s="1" t="str">
        <f>"福建省 福州市 福清市 城头镇"</f>
        <v>福建省 福州市 福清市 城头镇</v>
      </c>
      <c r="N6669" s="1" t="str">
        <f t="shared" si="2000"/>
        <v>凡华云仓-韵达-抖音</v>
      </c>
      <c r="O6669" s="5">
        <v>320177472970564</v>
      </c>
      <c r="P6669" s="6">
        <v>0.28000000000000003</v>
      </c>
      <c r="Q6669" s="11">
        <v>2</v>
      </c>
      <c r="R6669" s="11"/>
      <c r="S6669" s="11"/>
      <c r="T6669" s="11"/>
      <c r="U6669" s="11">
        <f t="shared" si="1995"/>
        <v>2</v>
      </c>
      <c r="W6669">
        <v>2.2000000000000002</v>
      </c>
      <c r="X6669" s="1" t="s">
        <v>24</v>
      </c>
    </row>
    <row r="6670" spans="1:24" x14ac:dyDescent="0.25">
      <c r="A6670" s="1" t="str">
        <f t="shared" si="1996"/>
        <v>卡卡杜-凤凰仓</v>
      </c>
      <c r="B6670" s="1" t="str">
        <f>"CK2024101810038"</f>
        <v>CK2024101810038</v>
      </c>
      <c r="C6670" s="1" t="str">
        <f>"DD2024101815622"</f>
        <v>DD2024101815622</v>
      </c>
      <c r="D6670" s="1" t="str">
        <f>"CK202410189409"</f>
        <v>CK202410189409</v>
      </c>
      <c r="E6670" s="1" t="str">
        <f>"6935151529802077672"</f>
        <v>6935151529802077672</v>
      </c>
      <c r="F6670" s="1" t="str">
        <f t="shared" si="1997"/>
        <v>花都四部-凤凰仓</v>
      </c>
      <c r="G6670" s="1" t="str">
        <f t="shared" si="1993"/>
        <v>卡卡杜个人护理店（抖店）</v>
      </c>
      <c r="H6670" s="1" t="str">
        <f t="shared" si="1998"/>
        <v>正常订单</v>
      </c>
      <c r="I6670" s="1" t="str">
        <f t="shared" si="1999"/>
        <v>已发货</v>
      </c>
      <c r="J6670" s="1" t="str">
        <f t="shared" si="1994"/>
        <v>3</v>
      </c>
      <c r="K6670" s="1">
        <v>3</v>
      </c>
      <c r="L6670" s="1" t="s">
        <v>30</v>
      </c>
      <c r="M6670" s="1" t="str">
        <f>"山东省 临沂市 蒙阴县 "</f>
        <v xml:space="preserve">山东省 临沂市 蒙阴县 </v>
      </c>
      <c r="N6670" s="1" t="str">
        <f t="shared" si="2000"/>
        <v>凡华云仓-韵达-抖音</v>
      </c>
      <c r="O6670" s="5">
        <v>320177472970467</v>
      </c>
      <c r="P6670" s="6">
        <v>0.28000000000000003</v>
      </c>
      <c r="Q6670" s="11">
        <v>2</v>
      </c>
      <c r="R6670" s="11"/>
      <c r="S6670" s="11"/>
      <c r="T6670" s="11"/>
      <c r="U6670" s="11">
        <f t="shared" si="1995"/>
        <v>2</v>
      </c>
      <c r="W6670">
        <v>2.2000000000000002</v>
      </c>
      <c r="X6670" s="1" t="s">
        <v>30</v>
      </c>
    </row>
    <row r="6671" spans="1:24" x14ac:dyDescent="0.25">
      <c r="A6671" s="1" t="str">
        <f t="shared" si="1996"/>
        <v>卡卡杜-凤凰仓</v>
      </c>
      <c r="B6671" s="1" t="str">
        <f>"CK2024101810039"</f>
        <v>CK2024101810039</v>
      </c>
      <c r="C6671" s="1" t="str">
        <f>"DD2024101815623"</f>
        <v>DD2024101815623</v>
      </c>
      <c r="D6671" s="1" t="str">
        <f>"CK202410189408"</f>
        <v>CK202410189408</v>
      </c>
      <c r="E6671" s="1" t="str">
        <f>"6935151530048034555"</f>
        <v>6935151530048034555</v>
      </c>
      <c r="F6671" s="1" t="str">
        <f t="shared" si="1997"/>
        <v>花都四部-凤凰仓</v>
      </c>
      <c r="G6671" s="1" t="str">
        <f t="shared" si="1993"/>
        <v>卡卡杜个人护理店（抖店）</v>
      </c>
      <c r="H6671" s="1" t="str">
        <f t="shared" si="1998"/>
        <v>正常订单</v>
      </c>
      <c r="I6671" s="1" t="str">
        <f t="shared" si="1999"/>
        <v>已发货</v>
      </c>
      <c r="J6671" s="1" t="str">
        <f t="shared" si="1994"/>
        <v>3</v>
      </c>
      <c r="K6671" s="1">
        <v>3</v>
      </c>
      <c r="L6671" s="1" t="s">
        <v>41</v>
      </c>
      <c r="M6671" s="1" t="str">
        <f>"湖北省 襄阳市 枣阳市 环城街道"</f>
        <v>湖北省 襄阳市 枣阳市 环城街道</v>
      </c>
      <c r="N6671" s="1" t="str">
        <f t="shared" si="2000"/>
        <v>凡华云仓-韵达-抖音</v>
      </c>
      <c r="O6671" s="5">
        <v>320177472970372</v>
      </c>
      <c r="P6671" s="6">
        <v>0.28000000000000003</v>
      </c>
      <c r="Q6671" s="11">
        <v>2</v>
      </c>
      <c r="R6671" s="11"/>
      <c r="S6671" s="11"/>
      <c r="T6671" s="11"/>
      <c r="U6671" s="11">
        <f t="shared" si="1995"/>
        <v>2</v>
      </c>
      <c r="W6671">
        <v>2.2000000000000002</v>
      </c>
      <c r="X6671" s="1" t="s">
        <v>41</v>
      </c>
    </row>
    <row r="6672" spans="1:24" x14ac:dyDescent="0.25">
      <c r="A6672" s="1" t="str">
        <f t="shared" si="1996"/>
        <v>卡卡杜-凤凰仓</v>
      </c>
      <c r="B6672" s="1" t="str">
        <f>"CK202410189473"</f>
        <v>CK202410189473</v>
      </c>
      <c r="C6672" s="1" t="str">
        <f>"DD2024101815056"</f>
        <v>DD2024101815056</v>
      </c>
      <c r="D6672" s="1" t="str">
        <f>"CK202410189407"</f>
        <v>CK202410189407</v>
      </c>
      <c r="E6672" s="1" t="str">
        <f>"6935169647968458563"</f>
        <v>6935169647968458563</v>
      </c>
      <c r="F6672" s="1" t="str">
        <f t="shared" si="1997"/>
        <v>花都四部-凤凰仓</v>
      </c>
      <c r="G6672" s="1" t="str">
        <f t="shared" si="1993"/>
        <v>卡卡杜个人护理店（抖店）</v>
      </c>
      <c r="H6672" s="1" t="str">
        <f t="shared" si="1998"/>
        <v>正常订单</v>
      </c>
      <c r="I6672" s="1" t="str">
        <f t="shared" si="1999"/>
        <v>已发货</v>
      </c>
      <c r="J6672" s="1" t="str">
        <f t="shared" si="1994"/>
        <v>3</v>
      </c>
      <c r="K6672" s="1">
        <v>3</v>
      </c>
      <c r="L6672" s="1" t="s">
        <v>105</v>
      </c>
      <c r="M6672" s="1" t="str">
        <f>"北京 北京市 昌平区 城北街道"</f>
        <v>北京 北京市 昌平区 城北街道</v>
      </c>
      <c r="N6672" s="1" t="str">
        <f t="shared" si="2000"/>
        <v>凡华云仓-韵达-抖音</v>
      </c>
      <c r="O6672" s="5">
        <v>320177472970279</v>
      </c>
      <c r="P6672" s="6">
        <v>0.28000000000000003</v>
      </c>
      <c r="Q6672" s="11">
        <v>2</v>
      </c>
      <c r="R6672" s="11"/>
      <c r="S6672" s="11"/>
      <c r="T6672" s="11"/>
      <c r="U6672" s="11">
        <f t="shared" si="1995"/>
        <v>2</v>
      </c>
      <c r="W6672">
        <v>2.2000000000000002</v>
      </c>
      <c r="X6672" s="1" t="s">
        <v>105</v>
      </c>
    </row>
    <row r="6673" spans="1:24" x14ac:dyDescent="0.25">
      <c r="A6673" s="1" t="str">
        <f t="shared" si="1996"/>
        <v>卡卡杜-凤凰仓</v>
      </c>
      <c r="B6673" s="1" t="str">
        <f>"CK202410189475"</f>
        <v>CK202410189475</v>
      </c>
      <c r="C6673" s="1" t="str">
        <f>"DD2024101815059"</f>
        <v>DD2024101815059</v>
      </c>
      <c r="D6673" s="1" t="str">
        <f>"CK202410189406"</f>
        <v>CK202410189406</v>
      </c>
      <c r="E6673" s="1" t="str">
        <f>"6935160798309324378"</f>
        <v>6935160798309324378</v>
      </c>
      <c r="F6673" s="1" t="str">
        <f t="shared" si="1997"/>
        <v>花都四部-凤凰仓</v>
      </c>
      <c r="G6673" s="1" t="str">
        <f t="shared" si="1993"/>
        <v>卡卡杜个人护理店（抖店）</v>
      </c>
      <c r="H6673" s="1" t="str">
        <f t="shared" si="1998"/>
        <v>正常订单</v>
      </c>
      <c r="I6673" s="1" t="str">
        <f t="shared" si="1999"/>
        <v>已发货</v>
      </c>
      <c r="J6673" s="1" t="str">
        <f t="shared" si="1994"/>
        <v>3</v>
      </c>
      <c r="K6673" s="1">
        <v>3</v>
      </c>
      <c r="L6673" s="1" t="s">
        <v>218</v>
      </c>
      <c r="M6673" s="1" t="str">
        <f>"天津 天津市 津南区 双港镇"</f>
        <v>天津 天津市 津南区 双港镇</v>
      </c>
      <c r="N6673" s="1" t="str">
        <f t="shared" si="2000"/>
        <v>凡华云仓-韵达-抖音</v>
      </c>
      <c r="O6673" s="5">
        <v>320177472970188</v>
      </c>
      <c r="P6673" s="6">
        <v>0.28000000000000003</v>
      </c>
      <c r="Q6673" s="11">
        <v>2</v>
      </c>
      <c r="R6673" s="11"/>
      <c r="S6673" s="11"/>
      <c r="T6673" s="11"/>
      <c r="U6673" s="11">
        <f t="shared" si="1995"/>
        <v>2</v>
      </c>
      <c r="W6673">
        <v>2.2000000000000002</v>
      </c>
      <c r="X6673" s="1" t="s">
        <v>218</v>
      </c>
    </row>
    <row r="6674" spans="1:24" x14ac:dyDescent="0.25">
      <c r="A6674" s="1" t="str">
        <f t="shared" si="1996"/>
        <v>卡卡杜-凤凰仓</v>
      </c>
      <c r="B6674" s="1" t="str">
        <f>"CK202410189477"</f>
        <v>CK202410189477</v>
      </c>
      <c r="C6674" s="1" t="str">
        <f>"DD2024101815061"</f>
        <v>DD2024101815061</v>
      </c>
      <c r="D6674" s="1" t="str">
        <f>"CK202410189405"</f>
        <v>CK202410189405</v>
      </c>
      <c r="E6674" s="1" t="str">
        <f>"6935149705042794171"</f>
        <v>6935149705042794171</v>
      </c>
      <c r="F6674" s="1" t="str">
        <f t="shared" si="1997"/>
        <v>花都四部-凤凰仓</v>
      </c>
      <c r="G6674" s="1" t="str">
        <f t="shared" si="1993"/>
        <v>卡卡杜个人护理店（抖店）</v>
      </c>
      <c r="H6674" s="1" t="str">
        <f t="shared" si="1998"/>
        <v>正常订单</v>
      </c>
      <c r="I6674" s="1" t="str">
        <f t="shared" si="1999"/>
        <v>已发货</v>
      </c>
      <c r="J6674" s="1" t="str">
        <f t="shared" si="1994"/>
        <v>3</v>
      </c>
      <c r="K6674" s="1">
        <v>3</v>
      </c>
      <c r="L6674" s="1" t="s">
        <v>13</v>
      </c>
      <c r="M6674" s="1" t="str">
        <f>"江苏省 连云港市 东海县 白塔埠镇"</f>
        <v>江苏省 连云港市 东海县 白塔埠镇</v>
      </c>
      <c r="N6674" s="1" t="str">
        <f t="shared" si="2000"/>
        <v>凡华云仓-韵达-抖音</v>
      </c>
      <c r="O6674" s="5">
        <v>320177472970099</v>
      </c>
      <c r="P6674" s="6">
        <v>0.28000000000000003</v>
      </c>
      <c r="Q6674" s="11">
        <v>2</v>
      </c>
      <c r="R6674" s="11"/>
      <c r="S6674" s="11"/>
      <c r="T6674" s="11"/>
      <c r="U6674" s="11">
        <f t="shared" si="1995"/>
        <v>2</v>
      </c>
      <c r="W6674">
        <v>2.2000000000000002</v>
      </c>
      <c r="X6674" s="1" t="s">
        <v>13</v>
      </c>
    </row>
    <row r="6675" spans="1:24" x14ac:dyDescent="0.25">
      <c r="A6675" s="1" t="str">
        <f t="shared" si="1996"/>
        <v>卡卡杜-凤凰仓</v>
      </c>
      <c r="B6675" s="1" t="str">
        <f>"CK202410189479"</f>
        <v>CK202410189479</v>
      </c>
      <c r="C6675" s="1" t="str">
        <f>"DD2024101815063"</f>
        <v>DD2024101815063</v>
      </c>
      <c r="D6675" s="1" t="str">
        <f>"CK202410189404"</f>
        <v>CK202410189404</v>
      </c>
      <c r="E6675" s="1" t="str">
        <f>"6935167447660500904"</f>
        <v>6935167447660500904</v>
      </c>
      <c r="F6675" s="1" t="str">
        <f t="shared" si="1997"/>
        <v>花都四部-凤凰仓</v>
      </c>
      <c r="G6675" s="1" t="str">
        <f t="shared" si="1993"/>
        <v>卡卡杜个人护理店（抖店）</v>
      </c>
      <c r="H6675" s="1" t="str">
        <f t="shared" si="1998"/>
        <v>正常订单</v>
      </c>
      <c r="I6675" s="1" t="str">
        <f t="shared" si="1999"/>
        <v>已发货</v>
      </c>
      <c r="J6675" s="1" t="str">
        <f t="shared" si="1994"/>
        <v>3</v>
      </c>
      <c r="K6675" s="1">
        <v>3</v>
      </c>
      <c r="L6675" s="1" t="s">
        <v>18</v>
      </c>
      <c r="M6675" s="1" t="str">
        <f>"广东省 东莞市 东莞市 石碣镇"</f>
        <v>广东省 东莞市 东莞市 石碣镇</v>
      </c>
      <c r="N6675" s="1" t="str">
        <f t="shared" si="2000"/>
        <v>凡华云仓-韵达-抖音</v>
      </c>
      <c r="O6675" s="5">
        <v>320177472969944</v>
      </c>
      <c r="P6675" s="6">
        <v>0.28000000000000003</v>
      </c>
      <c r="Q6675" s="11">
        <v>2</v>
      </c>
      <c r="R6675" s="11"/>
      <c r="S6675" s="11"/>
      <c r="T6675" s="11"/>
      <c r="U6675" s="11">
        <f t="shared" si="1995"/>
        <v>2</v>
      </c>
      <c r="W6675">
        <v>2.2000000000000002</v>
      </c>
      <c r="X6675" s="1" t="s">
        <v>18</v>
      </c>
    </row>
    <row r="6676" spans="1:24" x14ac:dyDescent="0.25">
      <c r="A6676" s="1" t="str">
        <f t="shared" si="1996"/>
        <v>卡卡杜-凤凰仓</v>
      </c>
      <c r="B6676" s="1" t="str">
        <f>"CK202410189482"</f>
        <v>CK202410189482</v>
      </c>
      <c r="C6676" s="1" t="str">
        <f>"DD2024101815066"</f>
        <v>DD2024101815066</v>
      </c>
      <c r="D6676" s="1" t="str">
        <f>"CK202410189403"</f>
        <v>CK202410189403</v>
      </c>
      <c r="E6676" s="1" t="str">
        <f>"6935169617148122245"</f>
        <v>6935169617148122245</v>
      </c>
      <c r="F6676" s="1" t="str">
        <f t="shared" si="1997"/>
        <v>花都四部-凤凰仓</v>
      </c>
      <c r="G6676" s="1" t="str">
        <f t="shared" si="1993"/>
        <v>卡卡杜个人护理店（抖店）</v>
      </c>
      <c r="H6676" s="1" t="str">
        <f t="shared" si="1998"/>
        <v>正常订单</v>
      </c>
      <c r="I6676" s="1" t="str">
        <f t="shared" si="1999"/>
        <v>已发货</v>
      </c>
      <c r="J6676" s="1" t="str">
        <f t="shared" si="1994"/>
        <v>3</v>
      </c>
      <c r="K6676" s="1">
        <v>3</v>
      </c>
      <c r="L6676" s="1" t="s">
        <v>94</v>
      </c>
      <c r="M6676" s="1" t="str">
        <f>"湖南省 长沙市 岳麓区 观沙岭街道"</f>
        <v>湖南省 长沙市 岳麓区 观沙岭街道</v>
      </c>
      <c r="N6676" s="1" t="str">
        <f>"凡华云仓-竹料中通-抖音"</f>
        <v>凡华云仓-竹料中通-抖音</v>
      </c>
      <c r="O6676" s="5">
        <v>76432348195135</v>
      </c>
      <c r="P6676" s="6">
        <v>0.28000000000000003</v>
      </c>
      <c r="Q6676" s="11">
        <v>2.2999999999999998</v>
      </c>
      <c r="R6676" s="11"/>
      <c r="S6676" s="11"/>
      <c r="T6676" s="11"/>
      <c r="U6676" s="11">
        <f t="shared" si="1995"/>
        <v>2.2999999999999998</v>
      </c>
      <c r="W6676">
        <v>2.5</v>
      </c>
      <c r="X6676" s="1" t="s">
        <v>94</v>
      </c>
    </row>
    <row r="6677" spans="1:24" x14ac:dyDescent="0.25">
      <c r="A6677" s="1" t="str">
        <f t="shared" si="1996"/>
        <v>卡卡杜-凤凰仓</v>
      </c>
      <c r="B6677" s="1" t="str">
        <f>"CK202410189486"</f>
        <v>CK202410189486</v>
      </c>
      <c r="C6677" s="1" t="str">
        <f>"DD2024101815069"</f>
        <v>DD2024101815069</v>
      </c>
      <c r="D6677" s="1" t="str">
        <f>"CK202410189402"</f>
        <v>CK202410189402</v>
      </c>
      <c r="E6677" s="1" t="str">
        <f>"6918018127928327935"</f>
        <v>6918018127928327935</v>
      </c>
      <c r="F6677" s="1" t="str">
        <f t="shared" si="1997"/>
        <v>花都四部-凤凰仓</v>
      </c>
      <c r="G6677" s="1" t="str">
        <f t="shared" si="1993"/>
        <v>卡卡杜个人护理店（抖店）</v>
      </c>
      <c r="H6677" s="1" t="str">
        <f t="shared" si="1998"/>
        <v>正常订单</v>
      </c>
      <c r="I6677" s="1" t="str">
        <f t="shared" si="1999"/>
        <v>已发货</v>
      </c>
      <c r="J6677" s="1" t="str">
        <f t="shared" si="1994"/>
        <v>3</v>
      </c>
      <c r="K6677" s="1">
        <v>3</v>
      </c>
      <c r="L6677" s="1" t="s">
        <v>94</v>
      </c>
      <c r="M6677" s="1" t="str">
        <f>"湖南省 常德市 汉寿县 龙阳街道"</f>
        <v>湖南省 常德市 汉寿县 龙阳街道</v>
      </c>
      <c r="N6677" s="1" t="str">
        <f t="shared" ref="N6677:N6740" si="2001">"凡华云仓-韵达-抖音"</f>
        <v>凡华云仓-韵达-抖音</v>
      </c>
      <c r="O6677" s="5">
        <v>320177470877352</v>
      </c>
      <c r="P6677" s="6">
        <v>0.28000000000000003</v>
      </c>
      <c r="Q6677" s="11">
        <v>2</v>
      </c>
      <c r="R6677" s="11"/>
      <c r="S6677" s="11"/>
      <c r="T6677" s="11"/>
      <c r="U6677" s="11">
        <f t="shared" si="1995"/>
        <v>2</v>
      </c>
      <c r="W6677">
        <v>2.2000000000000002</v>
      </c>
      <c r="X6677" s="1" t="s">
        <v>94</v>
      </c>
    </row>
    <row r="6678" spans="1:24" x14ac:dyDescent="0.25">
      <c r="A6678" s="1" t="str">
        <f t="shared" si="1996"/>
        <v>卡卡杜-凤凰仓</v>
      </c>
      <c r="B6678" s="1" t="str">
        <f>"CK202410189495"</f>
        <v>CK202410189495</v>
      </c>
      <c r="C6678" s="1" t="str">
        <f>"DD2024101815079"</f>
        <v>DD2024101815079</v>
      </c>
      <c r="D6678" s="1" t="str">
        <f>"CK202410189401"</f>
        <v>CK202410189401</v>
      </c>
      <c r="E6678" s="1" t="str">
        <f>"6935145285876717060"</f>
        <v>6935145285876717060</v>
      </c>
      <c r="F6678" s="1" t="str">
        <f t="shared" si="1997"/>
        <v>花都四部-凤凰仓</v>
      </c>
      <c r="G6678" s="1" t="str">
        <f t="shared" si="1993"/>
        <v>卡卡杜个人护理店（抖店）</v>
      </c>
      <c r="H6678" s="1" t="str">
        <f t="shared" si="1998"/>
        <v>正常订单</v>
      </c>
      <c r="I6678" s="1" t="str">
        <f t="shared" si="1999"/>
        <v>已发货</v>
      </c>
      <c r="J6678" s="1" t="str">
        <f t="shared" si="1994"/>
        <v>3</v>
      </c>
      <c r="K6678" s="1">
        <v>3</v>
      </c>
      <c r="L6678" s="1" t="s">
        <v>30</v>
      </c>
      <c r="M6678" s="1" t="str">
        <f>"山东省 聊城市 东昌府区 东城街道"</f>
        <v>山东省 聊城市 东昌府区 东城街道</v>
      </c>
      <c r="N6678" s="1" t="str">
        <f t="shared" si="2001"/>
        <v>凡华云仓-韵达-抖音</v>
      </c>
      <c r="O6678" s="5">
        <v>320177470877259</v>
      </c>
      <c r="P6678" s="6">
        <v>0.28000000000000003</v>
      </c>
      <c r="Q6678" s="11">
        <v>2</v>
      </c>
      <c r="R6678" s="11"/>
      <c r="S6678" s="11"/>
      <c r="T6678" s="11"/>
      <c r="U6678" s="11">
        <f t="shared" si="1995"/>
        <v>2</v>
      </c>
      <c r="W6678">
        <v>2.2000000000000002</v>
      </c>
      <c r="X6678" s="1" t="s">
        <v>30</v>
      </c>
    </row>
    <row r="6679" spans="1:24" x14ac:dyDescent="0.25">
      <c r="A6679" s="1" t="str">
        <f t="shared" si="1996"/>
        <v>卡卡杜-凤凰仓</v>
      </c>
      <c r="B6679" s="1" t="str">
        <f>"CK202410189500"</f>
        <v>CK202410189500</v>
      </c>
      <c r="C6679" s="1" t="str">
        <f>"DD2024101815082"</f>
        <v>DD2024101815082</v>
      </c>
      <c r="D6679" s="1" t="str">
        <f>"CK202410189400"</f>
        <v>CK202410189400</v>
      </c>
      <c r="E6679" s="1" t="str">
        <f>"6935160788802541516"</f>
        <v>6935160788802541516</v>
      </c>
      <c r="F6679" s="1" t="str">
        <f t="shared" si="1997"/>
        <v>花都四部-凤凰仓</v>
      </c>
      <c r="G6679" s="1" t="str">
        <f t="shared" si="1993"/>
        <v>卡卡杜个人护理店（抖店）</v>
      </c>
      <c r="H6679" s="1" t="str">
        <f t="shared" si="1998"/>
        <v>正常订单</v>
      </c>
      <c r="I6679" s="1" t="str">
        <f t="shared" si="1999"/>
        <v>已发货</v>
      </c>
      <c r="J6679" s="1" t="str">
        <f t="shared" si="1994"/>
        <v>3</v>
      </c>
      <c r="K6679" s="1">
        <v>3</v>
      </c>
      <c r="L6679" s="1" t="s">
        <v>13</v>
      </c>
      <c r="M6679" s="1" t="str">
        <f>"江苏省 无锡市 江阴市 澄江街道"</f>
        <v>江苏省 无锡市 江阴市 澄江街道</v>
      </c>
      <c r="N6679" s="1" t="str">
        <f t="shared" si="2001"/>
        <v>凡华云仓-韵达-抖音</v>
      </c>
      <c r="O6679" s="5">
        <v>320177470877168</v>
      </c>
      <c r="P6679" s="6">
        <v>0.28000000000000003</v>
      </c>
      <c r="Q6679" s="11">
        <v>2</v>
      </c>
      <c r="R6679" s="11"/>
      <c r="S6679" s="11"/>
      <c r="T6679" s="11"/>
      <c r="U6679" s="11">
        <f t="shared" si="1995"/>
        <v>2</v>
      </c>
      <c r="W6679">
        <v>2.2000000000000002</v>
      </c>
      <c r="X6679" s="1" t="s">
        <v>13</v>
      </c>
    </row>
    <row r="6680" spans="1:24" x14ac:dyDescent="0.25">
      <c r="A6680" s="1" t="str">
        <f t="shared" si="1996"/>
        <v>卡卡杜-凤凰仓</v>
      </c>
      <c r="B6680" s="1" t="str">
        <f>"CK202410189504"</f>
        <v>CK202410189504</v>
      </c>
      <c r="C6680" s="1" t="str">
        <f>"DD2024101815087"</f>
        <v>DD2024101815087</v>
      </c>
      <c r="D6680" s="1" t="str">
        <f>"CK202410189399"</f>
        <v>CK202410189399</v>
      </c>
      <c r="E6680" s="1" t="str">
        <f>"6935155991383905767"</f>
        <v>6935155991383905767</v>
      </c>
      <c r="F6680" s="1" t="str">
        <f t="shared" si="1997"/>
        <v>花都四部-凤凰仓</v>
      </c>
      <c r="G6680" s="1" t="str">
        <f t="shared" si="1993"/>
        <v>卡卡杜个人护理店（抖店）</v>
      </c>
      <c r="H6680" s="1" t="str">
        <f t="shared" si="1998"/>
        <v>正常订单</v>
      </c>
      <c r="I6680" s="1" t="str">
        <f t="shared" si="1999"/>
        <v>已发货</v>
      </c>
      <c r="J6680" s="1" t="str">
        <f t="shared" si="1994"/>
        <v>3</v>
      </c>
      <c r="K6680" s="1">
        <v>3</v>
      </c>
      <c r="L6680" s="1" t="s">
        <v>96</v>
      </c>
      <c r="M6680" s="1" t="str">
        <f>"广西壮族自治区 南宁市 西乡塘区 新阳街道"</f>
        <v>广西壮族自治区 南宁市 西乡塘区 新阳街道</v>
      </c>
      <c r="N6680" s="1" t="str">
        <f t="shared" si="2001"/>
        <v>凡华云仓-韵达-抖音</v>
      </c>
      <c r="O6680" s="5">
        <v>320177470877079</v>
      </c>
      <c r="P6680" s="6">
        <v>0.28000000000000003</v>
      </c>
      <c r="Q6680" s="11">
        <v>2</v>
      </c>
      <c r="R6680" s="11"/>
      <c r="S6680" s="11"/>
      <c r="T6680" s="11"/>
      <c r="U6680" s="11">
        <f t="shared" si="1995"/>
        <v>2</v>
      </c>
      <c r="W6680">
        <v>2.2000000000000002</v>
      </c>
      <c r="X6680" s="1" t="s">
        <v>96</v>
      </c>
    </row>
    <row r="6681" spans="1:24" x14ac:dyDescent="0.25">
      <c r="A6681" s="1" t="str">
        <f t="shared" si="1996"/>
        <v>卡卡杜-凤凰仓</v>
      </c>
      <c r="B6681" s="1" t="str">
        <f>"CK202410189506"</f>
        <v>CK202410189506</v>
      </c>
      <c r="C6681" s="1" t="str">
        <f>"DD2024101815088"</f>
        <v>DD2024101815088</v>
      </c>
      <c r="D6681" s="1" t="str">
        <f>"CK202410189398"</f>
        <v>CK202410189398</v>
      </c>
      <c r="E6681" s="1" t="str">
        <f>"6935151426529465672"</f>
        <v>6935151426529465672</v>
      </c>
      <c r="F6681" s="1" t="str">
        <f t="shared" si="1997"/>
        <v>花都四部-凤凰仓</v>
      </c>
      <c r="G6681" s="1" t="str">
        <f t="shared" si="1993"/>
        <v>卡卡杜个人护理店（抖店）</v>
      </c>
      <c r="H6681" s="1" t="str">
        <f t="shared" si="1998"/>
        <v>正常订单</v>
      </c>
      <c r="I6681" s="1" t="str">
        <f t="shared" si="1999"/>
        <v>已发货</v>
      </c>
      <c r="J6681" s="1" t="str">
        <f t="shared" si="1994"/>
        <v>3</v>
      </c>
      <c r="K6681" s="1">
        <v>3</v>
      </c>
      <c r="L6681" s="1" t="s">
        <v>20</v>
      </c>
      <c r="M6681" s="1" t="str">
        <f>"浙江省 杭州市 余杭区 东湖街道"</f>
        <v>浙江省 杭州市 余杭区 东湖街道</v>
      </c>
      <c r="N6681" s="1" t="str">
        <f t="shared" si="2001"/>
        <v>凡华云仓-韵达-抖音</v>
      </c>
      <c r="O6681" s="5">
        <v>320177470876951</v>
      </c>
      <c r="P6681" s="6">
        <v>0.28000000000000003</v>
      </c>
      <c r="Q6681" s="11">
        <v>2</v>
      </c>
      <c r="R6681" s="11"/>
      <c r="S6681" s="11"/>
      <c r="T6681" s="11"/>
      <c r="U6681" s="11">
        <f t="shared" si="1995"/>
        <v>2</v>
      </c>
      <c r="W6681">
        <v>2.2000000000000002</v>
      </c>
      <c r="X6681" s="1" t="s">
        <v>20</v>
      </c>
    </row>
    <row r="6682" spans="1:24" x14ac:dyDescent="0.25">
      <c r="A6682" s="1" t="str">
        <f t="shared" si="1996"/>
        <v>卡卡杜-凤凰仓</v>
      </c>
      <c r="B6682" s="1" t="str">
        <f>"CK202410189508"</f>
        <v>CK202410189508</v>
      </c>
      <c r="C6682" s="1" t="str">
        <f>"DD2024101815091"</f>
        <v>DD2024101815091</v>
      </c>
      <c r="D6682" s="1" t="str">
        <f>"CK202410189397"</f>
        <v>CK202410189397</v>
      </c>
      <c r="E6682" s="1" t="str">
        <f>"6935167428721645011"</f>
        <v>6935167428721645011</v>
      </c>
      <c r="F6682" s="1" t="str">
        <f t="shared" si="1997"/>
        <v>花都四部-凤凰仓</v>
      </c>
      <c r="G6682" s="1" t="str">
        <f t="shared" si="1993"/>
        <v>卡卡杜个人护理店（抖店）</v>
      </c>
      <c r="H6682" s="1" t="str">
        <f t="shared" si="1998"/>
        <v>正常订单</v>
      </c>
      <c r="I6682" s="1" t="str">
        <f t="shared" si="1999"/>
        <v>已发货</v>
      </c>
      <c r="J6682" s="1" t="str">
        <f t="shared" si="1994"/>
        <v>3</v>
      </c>
      <c r="K6682" s="1">
        <v>3</v>
      </c>
      <c r="L6682" s="1" t="s">
        <v>41</v>
      </c>
      <c r="M6682" s="1" t="str">
        <f>"湖北省 武汉市 洪山区 卓刀泉街道"</f>
        <v>湖北省 武汉市 洪山区 卓刀泉街道</v>
      </c>
      <c r="N6682" s="1" t="str">
        <f t="shared" si="2001"/>
        <v>凡华云仓-韵达-抖音</v>
      </c>
      <c r="O6682" s="5">
        <v>320177470876846</v>
      </c>
      <c r="P6682" s="6">
        <v>0.28000000000000003</v>
      </c>
      <c r="Q6682" s="11">
        <v>2</v>
      </c>
      <c r="R6682" s="11"/>
      <c r="S6682" s="11"/>
      <c r="T6682" s="11"/>
      <c r="U6682" s="11">
        <f t="shared" si="1995"/>
        <v>2</v>
      </c>
      <c r="W6682">
        <v>2.2000000000000002</v>
      </c>
      <c r="X6682" s="1" t="s">
        <v>41</v>
      </c>
    </row>
    <row r="6683" spans="1:24" x14ac:dyDescent="0.25">
      <c r="A6683" s="1" t="str">
        <f t="shared" si="1996"/>
        <v>卡卡杜-凤凰仓</v>
      </c>
      <c r="B6683" s="1" t="str">
        <f>"CK202410189512"</f>
        <v>CK202410189512</v>
      </c>
      <c r="C6683" s="1" t="str">
        <f>"DD2024101815094"</f>
        <v>DD2024101815094</v>
      </c>
      <c r="D6683" s="1" t="str">
        <f>"CK202410189396"</f>
        <v>CK202410189396</v>
      </c>
      <c r="E6683" s="1" t="str">
        <f>"6935162571050390912"</f>
        <v>6935162571050390912</v>
      </c>
      <c r="F6683" s="1" t="str">
        <f t="shared" si="1997"/>
        <v>花都四部-凤凰仓</v>
      </c>
      <c r="G6683" s="1" t="str">
        <f t="shared" si="1993"/>
        <v>卡卡杜个人护理店（抖店）</v>
      </c>
      <c r="H6683" s="1" t="str">
        <f t="shared" si="1998"/>
        <v>正常订单</v>
      </c>
      <c r="I6683" s="1" t="str">
        <f t="shared" si="1999"/>
        <v>已发货</v>
      </c>
      <c r="J6683" s="1" t="str">
        <f t="shared" si="1994"/>
        <v>3</v>
      </c>
      <c r="K6683" s="1">
        <v>3</v>
      </c>
      <c r="L6683" s="1" t="s">
        <v>18</v>
      </c>
      <c r="M6683" s="1" t="str">
        <f>"广东省 茂名市 信宜市 钱排镇"</f>
        <v>广东省 茂名市 信宜市 钱排镇</v>
      </c>
      <c r="N6683" s="1" t="str">
        <f t="shared" si="2001"/>
        <v>凡华云仓-韵达-抖音</v>
      </c>
      <c r="O6683" s="5">
        <v>320177470876743</v>
      </c>
      <c r="P6683" s="6">
        <v>0.28000000000000003</v>
      </c>
      <c r="Q6683" s="11">
        <v>2</v>
      </c>
      <c r="R6683" s="11"/>
      <c r="S6683" s="11"/>
      <c r="T6683" s="11"/>
      <c r="U6683" s="11">
        <f t="shared" si="1995"/>
        <v>2</v>
      </c>
      <c r="W6683">
        <v>2.2000000000000002</v>
      </c>
      <c r="X6683" s="1" t="s">
        <v>18</v>
      </c>
    </row>
    <row r="6684" spans="1:24" x14ac:dyDescent="0.25">
      <c r="A6684" s="1" t="str">
        <f t="shared" si="1996"/>
        <v>卡卡杜-凤凰仓</v>
      </c>
      <c r="B6684" s="1" t="str">
        <f>"CK202410189515"</f>
        <v>CK202410189515</v>
      </c>
      <c r="C6684" s="1" t="str">
        <f>"DD2024101815097"</f>
        <v>DD2024101815097</v>
      </c>
      <c r="D6684" s="1" t="str">
        <f>"CK202410189395"</f>
        <v>CK202410189395</v>
      </c>
      <c r="E6684" s="1" t="str">
        <f>"6935147305410631432"</f>
        <v>6935147305410631432</v>
      </c>
      <c r="F6684" s="1" t="str">
        <f t="shared" si="1997"/>
        <v>花都四部-凤凰仓</v>
      </c>
      <c r="G6684" s="1" t="str">
        <f t="shared" si="1993"/>
        <v>卡卡杜个人护理店（抖店）</v>
      </c>
      <c r="H6684" s="1" t="str">
        <f t="shared" si="1998"/>
        <v>正常订单</v>
      </c>
      <c r="I6684" s="1" t="str">
        <f t="shared" si="1999"/>
        <v>已发货</v>
      </c>
      <c r="J6684" s="1" t="str">
        <f t="shared" si="1994"/>
        <v>3</v>
      </c>
      <c r="K6684" s="1">
        <v>3</v>
      </c>
      <c r="L6684" s="1" t="s">
        <v>161</v>
      </c>
      <c r="M6684" s="1" t="str">
        <f>"四川省 资阳市 雁江区 三贤祠街道"</f>
        <v>四川省 资阳市 雁江区 三贤祠街道</v>
      </c>
      <c r="N6684" s="1" t="str">
        <f t="shared" si="2001"/>
        <v>凡华云仓-韵达-抖音</v>
      </c>
      <c r="O6684" s="5">
        <v>320177470876642</v>
      </c>
      <c r="P6684" s="6">
        <v>0.28000000000000003</v>
      </c>
      <c r="Q6684" s="11">
        <v>2</v>
      </c>
      <c r="R6684" s="11"/>
      <c r="S6684" s="11"/>
      <c r="T6684" s="11"/>
      <c r="U6684" s="11">
        <f t="shared" si="1995"/>
        <v>2</v>
      </c>
      <c r="W6684">
        <v>2.2000000000000002</v>
      </c>
      <c r="X6684" s="1" t="s">
        <v>161</v>
      </c>
    </row>
    <row r="6685" spans="1:24" x14ac:dyDescent="0.25">
      <c r="A6685" s="1" t="str">
        <f t="shared" si="1996"/>
        <v>卡卡杜-凤凰仓</v>
      </c>
      <c r="B6685" s="1" t="str">
        <f>"CK202410189517"</f>
        <v>CK202410189517</v>
      </c>
      <c r="C6685" s="1" t="str">
        <f>"DD2024101815101"</f>
        <v>DD2024101815101</v>
      </c>
      <c r="D6685" s="1" t="str">
        <f>"CK202410189394"</f>
        <v>CK202410189394</v>
      </c>
      <c r="E6685" s="1" t="str">
        <f>"6935165003081390052"</f>
        <v>6935165003081390052</v>
      </c>
      <c r="F6685" s="1" t="str">
        <f t="shared" si="1997"/>
        <v>花都四部-凤凰仓</v>
      </c>
      <c r="G6685" s="1" t="str">
        <f t="shared" si="1993"/>
        <v>卡卡杜个人护理店（抖店）</v>
      </c>
      <c r="H6685" s="1" t="str">
        <f t="shared" si="1998"/>
        <v>正常订单</v>
      </c>
      <c r="I6685" s="1" t="str">
        <f t="shared" si="1999"/>
        <v>已发货</v>
      </c>
      <c r="J6685" s="1" t="str">
        <f t="shared" si="1994"/>
        <v>3</v>
      </c>
      <c r="K6685" s="1">
        <v>3</v>
      </c>
      <c r="L6685" s="1" t="s">
        <v>74</v>
      </c>
      <c r="M6685" s="1" t="str">
        <f>"上海 上海市 青浦区 白鹤镇"</f>
        <v>上海 上海市 青浦区 白鹤镇</v>
      </c>
      <c r="N6685" s="1" t="str">
        <f t="shared" si="2001"/>
        <v>凡华云仓-韵达-抖音</v>
      </c>
      <c r="O6685" s="5">
        <v>320177470876543</v>
      </c>
      <c r="P6685" s="6">
        <v>0.28000000000000003</v>
      </c>
      <c r="Q6685" s="11">
        <v>2</v>
      </c>
      <c r="R6685" s="11"/>
      <c r="S6685" s="11"/>
      <c r="T6685" s="11"/>
      <c r="U6685" s="11">
        <f t="shared" si="1995"/>
        <v>2</v>
      </c>
      <c r="W6685">
        <v>2.2000000000000002</v>
      </c>
      <c r="X6685" s="1" t="s">
        <v>74</v>
      </c>
    </row>
    <row r="6686" spans="1:24" x14ac:dyDescent="0.25">
      <c r="A6686" s="1" t="str">
        <f t="shared" si="1996"/>
        <v>卡卡杜-凤凰仓</v>
      </c>
      <c r="B6686" s="1" t="str">
        <f>"CK202410189519"</f>
        <v>CK202410189519</v>
      </c>
      <c r="C6686" s="1" t="str">
        <f>"DD2024101815102"</f>
        <v>DD2024101815102</v>
      </c>
      <c r="D6686" s="1" t="str">
        <f>"CK202410189393"</f>
        <v>CK202410189393</v>
      </c>
      <c r="E6686" s="1" t="str">
        <f>"6935151477450348203"</f>
        <v>6935151477450348203</v>
      </c>
      <c r="F6686" s="1" t="str">
        <f t="shared" si="1997"/>
        <v>花都四部-凤凰仓</v>
      </c>
      <c r="G6686" s="1" t="str">
        <f t="shared" si="1993"/>
        <v>卡卡杜个人护理店（抖店）</v>
      </c>
      <c r="H6686" s="1" t="str">
        <f t="shared" si="1998"/>
        <v>正常订单</v>
      </c>
      <c r="I6686" s="1" t="str">
        <f t="shared" si="1999"/>
        <v>已发货</v>
      </c>
      <c r="J6686" s="1" t="str">
        <f t="shared" si="1994"/>
        <v>3</v>
      </c>
      <c r="K6686" s="1">
        <v>3</v>
      </c>
      <c r="L6686" s="1" t="s">
        <v>20</v>
      </c>
      <c r="M6686" s="1" t="str">
        <f>"浙江省 嘉兴市 桐乡市 濮院镇"</f>
        <v>浙江省 嘉兴市 桐乡市 濮院镇</v>
      </c>
      <c r="N6686" s="1" t="str">
        <f t="shared" si="2001"/>
        <v>凡华云仓-韵达-抖音</v>
      </c>
      <c r="O6686" s="5">
        <v>320177473601380</v>
      </c>
      <c r="P6686" s="6">
        <v>0.28000000000000003</v>
      </c>
      <c r="Q6686" s="11">
        <v>2</v>
      </c>
      <c r="R6686" s="11"/>
      <c r="S6686" s="11"/>
      <c r="T6686" s="11"/>
      <c r="U6686" s="11">
        <f t="shared" si="1995"/>
        <v>2</v>
      </c>
      <c r="W6686">
        <v>2.2000000000000002</v>
      </c>
      <c r="X6686" s="1" t="s">
        <v>20</v>
      </c>
    </row>
    <row r="6687" spans="1:24" x14ac:dyDescent="0.25">
      <c r="A6687" s="1" t="str">
        <f t="shared" si="1996"/>
        <v>卡卡杜-凤凰仓</v>
      </c>
      <c r="B6687" s="1" t="str">
        <f>"CK202410189521"</f>
        <v>CK202410189521</v>
      </c>
      <c r="C6687" s="1" t="str">
        <f>"DD2024101815104"</f>
        <v>DD2024101815104</v>
      </c>
      <c r="D6687" s="1" t="str">
        <f>"CK202410189392"</f>
        <v>CK202410189392</v>
      </c>
      <c r="E6687" s="1" t="str">
        <f>"6935167371281175818"</f>
        <v>6935167371281175818</v>
      </c>
      <c r="F6687" s="1" t="str">
        <f t="shared" si="1997"/>
        <v>花都四部-凤凰仓</v>
      </c>
      <c r="G6687" s="1" t="str">
        <f t="shared" si="1993"/>
        <v>卡卡杜个人护理店（抖店）</v>
      </c>
      <c r="H6687" s="1" t="str">
        <f t="shared" si="1998"/>
        <v>正常订单</v>
      </c>
      <c r="I6687" s="1" t="str">
        <f t="shared" si="1999"/>
        <v>已发货</v>
      </c>
      <c r="J6687" s="1" t="str">
        <f t="shared" si="1994"/>
        <v>3</v>
      </c>
      <c r="K6687" s="1">
        <v>3</v>
      </c>
      <c r="L6687" s="1" t="s">
        <v>109</v>
      </c>
      <c r="M6687" s="1" t="str">
        <f>"山西省 吕梁市 交城县 天宁镇"</f>
        <v>山西省 吕梁市 交城县 天宁镇</v>
      </c>
      <c r="N6687" s="1" t="str">
        <f t="shared" si="2001"/>
        <v>凡华云仓-韵达-抖音</v>
      </c>
      <c r="O6687" s="5">
        <v>320177473601287</v>
      </c>
      <c r="P6687" s="6">
        <v>0.28000000000000003</v>
      </c>
      <c r="Q6687" s="11">
        <v>2</v>
      </c>
      <c r="R6687" s="11"/>
      <c r="S6687" s="11"/>
      <c r="T6687" s="11"/>
      <c r="U6687" s="11">
        <f t="shared" si="1995"/>
        <v>2</v>
      </c>
      <c r="W6687">
        <v>2.2000000000000002</v>
      </c>
      <c r="X6687" s="1" t="s">
        <v>109</v>
      </c>
    </row>
    <row r="6688" spans="1:24" x14ac:dyDescent="0.25">
      <c r="A6688" s="1" t="str">
        <f t="shared" si="1996"/>
        <v>卡卡杜-凤凰仓</v>
      </c>
      <c r="B6688" s="1" t="str">
        <f>"CK202410189528"</f>
        <v>CK202410189528</v>
      </c>
      <c r="C6688" s="1" t="str">
        <f>"DD2024101815111"</f>
        <v>DD2024101815111</v>
      </c>
      <c r="D6688" s="1" t="str">
        <f>"CK202410189391"</f>
        <v>CK202410189391</v>
      </c>
      <c r="E6688" s="1" t="str">
        <f>"6935155942607296281"</f>
        <v>6935155942607296281</v>
      </c>
      <c r="F6688" s="1" t="str">
        <f t="shared" si="1997"/>
        <v>花都四部-凤凰仓</v>
      </c>
      <c r="G6688" s="1" t="str">
        <f t="shared" si="1993"/>
        <v>卡卡杜个人护理店（抖店）</v>
      </c>
      <c r="H6688" s="1" t="str">
        <f t="shared" si="1998"/>
        <v>正常订单</v>
      </c>
      <c r="I6688" s="1" t="str">
        <f t="shared" si="1999"/>
        <v>已发货</v>
      </c>
      <c r="J6688" s="1" t="str">
        <f t="shared" si="1994"/>
        <v>3</v>
      </c>
      <c r="K6688" s="1">
        <v>3</v>
      </c>
      <c r="L6688" s="1" t="s">
        <v>13</v>
      </c>
      <c r="M6688" s="1" t="str">
        <f>"江苏省 常州市 溧阳市 戴埠镇"</f>
        <v>江苏省 常州市 溧阳市 戴埠镇</v>
      </c>
      <c r="N6688" s="1" t="str">
        <f t="shared" si="2001"/>
        <v>凡华云仓-韵达-抖音</v>
      </c>
      <c r="O6688" s="5">
        <v>320177473601196</v>
      </c>
      <c r="P6688" s="6">
        <v>0.28000000000000003</v>
      </c>
      <c r="Q6688" s="11">
        <v>2</v>
      </c>
      <c r="R6688" s="11"/>
      <c r="S6688" s="11"/>
      <c r="T6688" s="11"/>
      <c r="U6688" s="11">
        <f t="shared" si="1995"/>
        <v>2</v>
      </c>
      <c r="W6688">
        <v>2.2000000000000002</v>
      </c>
      <c r="X6688" s="1" t="s">
        <v>13</v>
      </c>
    </row>
    <row r="6689" spans="1:24" x14ac:dyDescent="0.25">
      <c r="A6689" s="1" t="str">
        <f t="shared" si="1996"/>
        <v>卡卡杜-凤凰仓</v>
      </c>
      <c r="B6689" s="1" t="str">
        <f>"CK202410189532"</f>
        <v>CK202410189532</v>
      </c>
      <c r="C6689" s="1" t="str">
        <f>"DD2024101815115"</f>
        <v>DD2024101815115</v>
      </c>
      <c r="D6689" s="1" t="str">
        <f>"CK202410189390"</f>
        <v>CK202410189390</v>
      </c>
      <c r="E6689" s="1" t="str">
        <f>"6935145310036170269"</f>
        <v>6935145310036170269</v>
      </c>
      <c r="F6689" s="1" t="str">
        <f t="shared" si="1997"/>
        <v>花都四部-凤凰仓</v>
      </c>
      <c r="G6689" s="1" t="str">
        <f t="shared" si="1993"/>
        <v>卡卡杜个人护理店（抖店）</v>
      </c>
      <c r="H6689" s="1" t="str">
        <f t="shared" si="1998"/>
        <v>正常订单</v>
      </c>
      <c r="I6689" s="1" t="str">
        <f t="shared" si="1999"/>
        <v>已发货</v>
      </c>
      <c r="J6689" s="1" t="str">
        <f t="shared" si="1994"/>
        <v>3</v>
      </c>
      <c r="K6689" s="1">
        <v>3</v>
      </c>
      <c r="L6689" s="1" t="s">
        <v>218</v>
      </c>
      <c r="M6689" s="1" t="str">
        <f>"天津 天津市 宁河区 北淮淀镇"</f>
        <v>天津 天津市 宁河区 北淮淀镇</v>
      </c>
      <c r="N6689" s="1" t="str">
        <f t="shared" si="2001"/>
        <v>凡华云仓-韵达-抖音</v>
      </c>
      <c r="O6689" s="5">
        <v>320177473601007</v>
      </c>
      <c r="P6689" s="6">
        <v>0.28000000000000003</v>
      </c>
      <c r="Q6689" s="11">
        <v>2</v>
      </c>
      <c r="R6689" s="11"/>
      <c r="S6689" s="11"/>
      <c r="T6689" s="11"/>
      <c r="U6689" s="11">
        <f t="shared" si="1995"/>
        <v>2</v>
      </c>
      <c r="W6689">
        <v>2.2000000000000002</v>
      </c>
      <c r="X6689" s="1" t="s">
        <v>218</v>
      </c>
    </row>
    <row r="6690" spans="1:24" x14ac:dyDescent="0.25">
      <c r="A6690" s="1" t="str">
        <f t="shared" si="1996"/>
        <v>卡卡杜-凤凰仓</v>
      </c>
      <c r="B6690" s="1" t="str">
        <f>"CK202410189536"</f>
        <v>CK202410189536</v>
      </c>
      <c r="C6690" s="1" t="str">
        <f>"DD2024101815119"</f>
        <v>DD2024101815119</v>
      </c>
      <c r="D6690" s="1" t="str">
        <f>"CK202410189389"</f>
        <v>CK202410189389</v>
      </c>
      <c r="E6690" s="1" t="str">
        <f>"6935143495940904042"</f>
        <v>6935143495940904042</v>
      </c>
      <c r="F6690" s="1" t="str">
        <f t="shared" si="1997"/>
        <v>花都四部-凤凰仓</v>
      </c>
      <c r="G6690" s="1" t="str">
        <f t="shared" si="1993"/>
        <v>卡卡杜个人护理店（抖店）</v>
      </c>
      <c r="H6690" s="1" t="str">
        <f t="shared" si="1998"/>
        <v>正常订单</v>
      </c>
      <c r="I6690" s="1" t="str">
        <f t="shared" si="1999"/>
        <v>已发货</v>
      </c>
      <c r="J6690" s="1" t="str">
        <f t="shared" si="1994"/>
        <v>3</v>
      </c>
      <c r="K6690" s="1">
        <v>3</v>
      </c>
      <c r="L6690" s="1" t="s">
        <v>60</v>
      </c>
      <c r="M6690" s="1" t="str">
        <f>"云南省 曲靖市 会泽县 "</f>
        <v xml:space="preserve">云南省 曲靖市 会泽县 </v>
      </c>
      <c r="N6690" s="1" t="str">
        <f t="shared" si="2001"/>
        <v>凡华云仓-韵达-抖音</v>
      </c>
      <c r="O6690" s="5">
        <v>320177473600991</v>
      </c>
      <c r="P6690" s="6">
        <v>0.28000000000000003</v>
      </c>
      <c r="Q6690" s="11">
        <v>2</v>
      </c>
      <c r="R6690" s="11"/>
      <c r="S6690" s="11"/>
      <c r="T6690" s="11"/>
      <c r="U6690" s="11">
        <f t="shared" si="1995"/>
        <v>2</v>
      </c>
      <c r="W6690">
        <v>2.2000000000000002</v>
      </c>
      <c r="X6690" s="1" t="s">
        <v>60</v>
      </c>
    </row>
    <row r="6691" spans="1:24" x14ac:dyDescent="0.25">
      <c r="A6691" s="1" t="str">
        <f t="shared" si="1996"/>
        <v>卡卡杜-凤凰仓</v>
      </c>
      <c r="B6691" s="1" t="str">
        <f>"CK2024101810040"</f>
        <v>CK2024101810040</v>
      </c>
      <c r="C6691" s="1" t="str">
        <f>"DD2024101815624"</f>
        <v>DD2024101815624</v>
      </c>
      <c r="D6691" s="1" t="str">
        <f>"CK202410189388"</f>
        <v>CK202410189388</v>
      </c>
      <c r="E6691" s="1" t="str">
        <f>"6935158247549900555"</f>
        <v>6935158247549900555</v>
      </c>
      <c r="F6691" s="1" t="str">
        <f t="shared" si="1997"/>
        <v>花都四部-凤凰仓</v>
      </c>
      <c r="G6691" s="1" t="str">
        <f t="shared" si="1993"/>
        <v>卡卡杜个人护理店（抖店）</v>
      </c>
      <c r="H6691" s="1" t="str">
        <f t="shared" si="1998"/>
        <v>正常订单</v>
      </c>
      <c r="I6691" s="1" t="str">
        <f t="shared" si="1999"/>
        <v>已发货</v>
      </c>
      <c r="J6691" s="1" t="str">
        <f t="shared" si="1994"/>
        <v>3</v>
      </c>
      <c r="K6691" s="1">
        <v>3</v>
      </c>
      <c r="L6691" s="1" t="s">
        <v>80</v>
      </c>
      <c r="M6691" s="1" t="str">
        <f>"河南省 信阳市 商城县 鲇鱼山街道"</f>
        <v>河南省 信阳市 商城县 鲇鱼山街道</v>
      </c>
      <c r="N6691" s="1" t="str">
        <f t="shared" si="2001"/>
        <v>凡华云仓-韵达-抖音</v>
      </c>
      <c r="O6691" s="5">
        <v>320177473600886</v>
      </c>
      <c r="P6691" s="6">
        <v>0.28000000000000003</v>
      </c>
      <c r="Q6691" s="11">
        <v>2</v>
      </c>
      <c r="R6691" s="11"/>
      <c r="S6691" s="11"/>
      <c r="T6691" s="11"/>
      <c r="U6691" s="11">
        <f t="shared" si="1995"/>
        <v>2</v>
      </c>
      <c r="W6691">
        <v>2.2000000000000002</v>
      </c>
      <c r="X6691" s="1" t="s">
        <v>80</v>
      </c>
    </row>
    <row r="6692" spans="1:24" x14ac:dyDescent="0.25">
      <c r="A6692" s="1" t="str">
        <f t="shared" si="1996"/>
        <v>卡卡杜-凤凰仓</v>
      </c>
      <c r="B6692" s="1" t="str">
        <f>"CK202410189523"</f>
        <v>CK202410189523</v>
      </c>
      <c r="C6692" s="1" t="str">
        <f>"DD2024101815108"</f>
        <v>DD2024101815108</v>
      </c>
      <c r="D6692" s="1" t="str">
        <f>"CK202410189387"</f>
        <v>CK202410189387</v>
      </c>
      <c r="E6692" s="1" t="str">
        <f>"6935149830655972365"</f>
        <v>6935149830655972365</v>
      </c>
      <c r="F6692" s="1" t="str">
        <f t="shared" si="1997"/>
        <v>花都四部-凤凰仓</v>
      </c>
      <c r="G6692" s="1" t="str">
        <f t="shared" si="1993"/>
        <v>卡卡杜个人护理店（抖店）</v>
      </c>
      <c r="H6692" s="1" t="str">
        <f t="shared" si="1998"/>
        <v>正常订单</v>
      </c>
      <c r="I6692" s="1" t="str">
        <f t="shared" si="1999"/>
        <v>已发货</v>
      </c>
      <c r="J6692" s="1" t="str">
        <f t="shared" si="1994"/>
        <v>3</v>
      </c>
      <c r="K6692" s="1">
        <v>3</v>
      </c>
      <c r="L6692" s="1" t="s">
        <v>218</v>
      </c>
      <c r="M6692" s="1" t="str">
        <f>"天津 天津市 滨海新区 海滨街道"</f>
        <v>天津 天津市 滨海新区 海滨街道</v>
      </c>
      <c r="N6692" s="1" t="str">
        <f t="shared" si="2001"/>
        <v>凡华云仓-韵达-抖音</v>
      </c>
      <c r="O6692" s="5">
        <v>320177473600783</v>
      </c>
      <c r="P6692" s="6">
        <v>0.28000000000000003</v>
      </c>
      <c r="Q6692" s="11">
        <v>2</v>
      </c>
      <c r="R6692" s="11"/>
      <c r="S6692" s="11"/>
      <c r="T6692" s="11"/>
      <c r="U6692" s="11">
        <f t="shared" si="1995"/>
        <v>2</v>
      </c>
      <c r="W6692">
        <v>2.2000000000000002</v>
      </c>
      <c r="X6692" s="1" t="s">
        <v>218</v>
      </c>
    </row>
    <row r="6693" spans="1:24" x14ac:dyDescent="0.25">
      <c r="A6693" s="1" t="str">
        <f t="shared" si="1996"/>
        <v>卡卡杜-凤凰仓</v>
      </c>
      <c r="B6693" s="1" t="str">
        <f>"CK202410189526"</f>
        <v>CK202410189526</v>
      </c>
      <c r="C6693" s="1" t="str">
        <f>"DD2024101815109"</f>
        <v>DD2024101815109</v>
      </c>
      <c r="D6693" s="1" t="str">
        <f>"CK202410189386"</f>
        <v>CK202410189386</v>
      </c>
      <c r="E6693" s="1" t="str">
        <f>"6935143469440702179"</f>
        <v>6935143469440702179</v>
      </c>
      <c r="F6693" s="1" t="str">
        <f t="shared" si="1997"/>
        <v>花都四部-凤凰仓</v>
      </c>
      <c r="G6693" s="1" t="str">
        <f t="shared" si="1993"/>
        <v>卡卡杜个人护理店（抖店）</v>
      </c>
      <c r="H6693" s="1" t="str">
        <f t="shared" si="1998"/>
        <v>正常订单</v>
      </c>
      <c r="I6693" s="1" t="str">
        <f t="shared" si="1999"/>
        <v>已发货</v>
      </c>
      <c r="J6693" s="1" t="str">
        <f t="shared" si="1994"/>
        <v>3</v>
      </c>
      <c r="K6693" s="1">
        <v>3</v>
      </c>
      <c r="L6693" s="1" t="s">
        <v>30</v>
      </c>
      <c r="M6693" s="1" t="str">
        <f>"山东省 青岛市 即墨区 潮海街道"</f>
        <v>山东省 青岛市 即墨区 潮海街道</v>
      </c>
      <c r="N6693" s="1" t="str">
        <f t="shared" si="2001"/>
        <v>凡华云仓-韵达-抖音</v>
      </c>
      <c r="O6693" s="5">
        <v>320177473600682</v>
      </c>
      <c r="P6693" s="6">
        <v>0.28000000000000003</v>
      </c>
      <c r="Q6693" s="11">
        <v>2</v>
      </c>
      <c r="R6693" s="11"/>
      <c r="S6693" s="11"/>
      <c r="T6693" s="11"/>
      <c r="U6693" s="11">
        <f t="shared" si="1995"/>
        <v>2</v>
      </c>
      <c r="W6693">
        <v>2.2000000000000002</v>
      </c>
      <c r="X6693" s="1" t="s">
        <v>30</v>
      </c>
    </row>
    <row r="6694" spans="1:24" x14ac:dyDescent="0.25">
      <c r="A6694" s="1" t="str">
        <f t="shared" si="1996"/>
        <v>卡卡杜-凤凰仓</v>
      </c>
      <c r="B6694" s="1" t="str">
        <f>"CK202410189530"</f>
        <v>CK202410189530</v>
      </c>
      <c r="C6694" s="1" t="str">
        <f>"DD2024101815113"</f>
        <v>DD2024101815113</v>
      </c>
      <c r="D6694" s="1" t="str">
        <f>"CK202410189385"</f>
        <v>CK202410189385</v>
      </c>
      <c r="E6694" s="1" t="str">
        <f>"6935167401516733677"</f>
        <v>6935167401516733677</v>
      </c>
      <c r="F6694" s="1" t="str">
        <f t="shared" si="1997"/>
        <v>花都四部-凤凰仓</v>
      </c>
      <c r="G6694" s="1" t="str">
        <f t="shared" si="1993"/>
        <v>卡卡杜个人护理店（抖店）</v>
      </c>
      <c r="H6694" s="1" t="str">
        <f t="shared" si="1998"/>
        <v>正常订单</v>
      </c>
      <c r="I6694" s="1" t="str">
        <f t="shared" si="1999"/>
        <v>已发货</v>
      </c>
      <c r="J6694" s="1" t="str">
        <f t="shared" si="1994"/>
        <v>3</v>
      </c>
      <c r="K6694" s="1">
        <v>3</v>
      </c>
      <c r="L6694" s="1" t="s">
        <v>30</v>
      </c>
      <c r="M6694" s="1" t="str">
        <f>"山东省 青岛市 平度市 新河镇"</f>
        <v>山东省 青岛市 平度市 新河镇</v>
      </c>
      <c r="N6694" s="1" t="str">
        <f t="shared" si="2001"/>
        <v>凡华云仓-韵达-抖音</v>
      </c>
      <c r="O6694" s="5">
        <v>320177473600583</v>
      </c>
      <c r="P6694" s="6">
        <v>0.28000000000000003</v>
      </c>
      <c r="Q6694" s="11">
        <v>2</v>
      </c>
      <c r="R6694" s="11"/>
      <c r="S6694" s="11"/>
      <c r="T6694" s="11"/>
      <c r="U6694" s="11">
        <f t="shared" si="1995"/>
        <v>2</v>
      </c>
      <c r="W6694">
        <v>2.2000000000000002</v>
      </c>
      <c r="X6694" s="1" t="s">
        <v>30</v>
      </c>
    </row>
    <row r="6695" spans="1:24" x14ac:dyDescent="0.25">
      <c r="A6695" s="1" t="str">
        <f t="shared" si="1996"/>
        <v>卡卡杜-凤凰仓</v>
      </c>
      <c r="B6695" s="1" t="str">
        <f>"CK202410189534"</f>
        <v>CK202410189534</v>
      </c>
      <c r="C6695" s="1" t="str">
        <f>"DD2024101815118"</f>
        <v>DD2024101815118</v>
      </c>
      <c r="D6695" s="1" t="str">
        <f>"CK202410189384"</f>
        <v>CK202410189384</v>
      </c>
      <c r="E6695" s="1" t="str">
        <f>"6935147301431219483"</f>
        <v>6935147301431219483</v>
      </c>
      <c r="F6695" s="1" t="str">
        <f t="shared" si="1997"/>
        <v>花都四部-凤凰仓</v>
      </c>
      <c r="G6695" s="1" t="str">
        <f t="shared" si="1993"/>
        <v>卡卡杜个人护理店（抖店）</v>
      </c>
      <c r="H6695" s="1" t="str">
        <f t="shared" si="1998"/>
        <v>正常订单</v>
      </c>
      <c r="I6695" s="1" t="str">
        <f t="shared" si="1999"/>
        <v>已发货</v>
      </c>
      <c r="J6695" s="1" t="str">
        <f t="shared" si="1994"/>
        <v>3</v>
      </c>
      <c r="K6695" s="1">
        <v>3</v>
      </c>
      <c r="L6695" s="1" t="s">
        <v>92</v>
      </c>
      <c r="M6695" s="1" t="str">
        <f>"辽宁省 沈阳市 于洪区 北陵街道"</f>
        <v>辽宁省 沈阳市 于洪区 北陵街道</v>
      </c>
      <c r="N6695" s="1" t="str">
        <f t="shared" si="2001"/>
        <v>凡华云仓-韵达-抖音</v>
      </c>
      <c r="O6695" s="5">
        <v>320177473600486</v>
      </c>
      <c r="P6695" s="6">
        <v>0.28000000000000003</v>
      </c>
      <c r="Q6695" s="11">
        <v>2</v>
      </c>
      <c r="R6695" s="11"/>
      <c r="S6695" s="11"/>
      <c r="T6695" s="11"/>
      <c r="U6695" s="11">
        <f t="shared" si="1995"/>
        <v>2</v>
      </c>
      <c r="W6695">
        <v>2.2000000000000002</v>
      </c>
      <c r="X6695" s="1" t="s">
        <v>92</v>
      </c>
    </row>
    <row r="6696" spans="1:24" x14ac:dyDescent="0.25">
      <c r="A6696" s="1" t="str">
        <f t="shared" si="1996"/>
        <v>卡卡杜-凤凰仓</v>
      </c>
      <c r="B6696" s="1" t="str">
        <f>"CK202410189538"</f>
        <v>CK202410189538</v>
      </c>
      <c r="C6696" s="1" t="str">
        <f>"DD2024101815122"</f>
        <v>DD2024101815122</v>
      </c>
      <c r="D6696" s="1" t="str">
        <f>"CK202410189383"</f>
        <v>CK202410189383</v>
      </c>
      <c r="E6696" s="1" t="str">
        <f>"6935147392093197421"</f>
        <v>6935147392093197421</v>
      </c>
      <c r="F6696" s="1" t="str">
        <f t="shared" si="1997"/>
        <v>花都四部-凤凰仓</v>
      </c>
      <c r="G6696" s="1" t="str">
        <f t="shared" si="1993"/>
        <v>卡卡杜个人护理店（抖店）</v>
      </c>
      <c r="H6696" s="1" t="str">
        <f t="shared" si="1998"/>
        <v>正常订单</v>
      </c>
      <c r="I6696" s="1" t="str">
        <f t="shared" si="1999"/>
        <v>已发货</v>
      </c>
      <c r="J6696" s="1" t="str">
        <f t="shared" si="1994"/>
        <v>3</v>
      </c>
      <c r="K6696" s="1">
        <v>3</v>
      </c>
      <c r="L6696" s="1" t="s">
        <v>109</v>
      </c>
      <c r="M6696" s="1" t="str">
        <f>"山西省 运城市 闻喜县 郭家庄镇"</f>
        <v>山西省 运城市 闻喜县 郭家庄镇</v>
      </c>
      <c r="N6696" s="1" t="str">
        <f t="shared" si="2001"/>
        <v>凡华云仓-韵达-抖音</v>
      </c>
      <c r="O6696" s="5">
        <v>320177484327838</v>
      </c>
      <c r="P6696" s="6">
        <v>0.28000000000000003</v>
      </c>
      <c r="Q6696" s="11">
        <v>2</v>
      </c>
      <c r="R6696" s="11"/>
      <c r="S6696" s="11"/>
      <c r="T6696" s="11"/>
      <c r="U6696" s="11">
        <f t="shared" si="1995"/>
        <v>2</v>
      </c>
      <c r="W6696">
        <v>2.2000000000000002</v>
      </c>
      <c r="X6696" s="1" t="s">
        <v>109</v>
      </c>
    </row>
    <row r="6697" spans="1:24" x14ac:dyDescent="0.25">
      <c r="A6697" s="1" t="str">
        <f t="shared" si="1996"/>
        <v>卡卡杜-凤凰仓</v>
      </c>
      <c r="B6697" s="1" t="str">
        <f>"CK202410189540"</f>
        <v>CK202410189540</v>
      </c>
      <c r="C6697" s="1" t="str">
        <f>"DD2024101815123"</f>
        <v>DD2024101815123</v>
      </c>
      <c r="D6697" s="1" t="str">
        <f>"CK202410189382"</f>
        <v>CK202410189382</v>
      </c>
      <c r="E6697" s="1" t="str">
        <f>"6935151450292032716"</f>
        <v>6935151450292032716</v>
      </c>
      <c r="F6697" s="1" t="str">
        <f t="shared" si="1997"/>
        <v>花都四部-凤凰仓</v>
      </c>
      <c r="G6697" s="1" t="str">
        <f t="shared" si="1993"/>
        <v>卡卡杜个人护理店（抖店）</v>
      </c>
      <c r="H6697" s="1" t="str">
        <f t="shared" si="1998"/>
        <v>正常订单</v>
      </c>
      <c r="I6697" s="1" t="str">
        <f t="shared" si="1999"/>
        <v>已发货</v>
      </c>
      <c r="J6697" s="1" t="str">
        <f t="shared" si="1994"/>
        <v>3</v>
      </c>
      <c r="K6697" s="1">
        <v>3</v>
      </c>
      <c r="L6697" s="1" t="s">
        <v>80</v>
      </c>
      <c r="M6697" s="1" t="str">
        <f>"河南省 濮阳市 清丰县 城关镇"</f>
        <v>河南省 濮阳市 清丰县 城关镇</v>
      </c>
      <c r="N6697" s="1" t="str">
        <f t="shared" si="2001"/>
        <v>凡华云仓-韵达-抖音</v>
      </c>
      <c r="O6697" s="5">
        <v>320177484327735</v>
      </c>
      <c r="P6697" s="6">
        <v>0.28000000000000003</v>
      </c>
      <c r="Q6697" s="11">
        <v>2</v>
      </c>
      <c r="R6697" s="11"/>
      <c r="S6697" s="11"/>
      <c r="T6697" s="11"/>
      <c r="U6697" s="11">
        <f t="shared" si="1995"/>
        <v>2</v>
      </c>
      <c r="W6697">
        <v>2.2000000000000002</v>
      </c>
      <c r="X6697" s="1" t="s">
        <v>80</v>
      </c>
    </row>
    <row r="6698" spans="1:24" x14ac:dyDescent="0.25">
      <c r="A6698" s="1" t="str">
        <f t="shared" si="1996"/>
        <v>卡卡杜-凤凰仓</v>
      </c>
      <c r="B6698" s="1" t="str">
        <f>"CK202410189542"</f>
        <v>CK202410189542</v>
      </c>
      <c r="C6698" s="1" t="str">
        <f>"DD2024101815126"</f>
        <v>DD2024101815126</v>
      </c>
      <c r="D6698" s="1" t="str">
        <f>"CK202410189381"</f>
        <v>CK202410189381</v>
      </c>
      <c r="E6698" s="1" t="str">
        <f>"6935169765370697575"</f>
        <v>6935169765370697575</v>
      </c>
      <c r="F6698" s="1" t="str">
        <f t="shared" si="1997"/>
        <v>花都四部-凤凰仓</v>
      </c>
      <c r="G6698" s="1" t="str">
        <f t="shared" si="1993"/>
        <v>卡卡杜个人护理店（抖店）</v>
      </c>
      <c r="H6698" s="1" t="str">
        <f t="shared" si="1998"/>
        <v>正常订单</v>
      </c>
      <c r="I6698" s="1" t="str">
        <f t="shared" si="1999"/>
        <v>已发货</v>
      </c>
      <c r="J6698" s="1" t="str">
        <f t="shared" si="1994"/>
        <v>3</v>
      </c>
      <c r="K6698" s="1">
        <v>3</v>
      </c>
      <c r="L6698" s="1" t="s">
        <v>30</v>
      </c>
      <c r="M6698" s="1" t="str">
        <f>"山东省 潍坊市 昌乐县 鄌郚镇"</f>
        <v>山东省 潍坊市 昌乐县 鄌郚镇</v>
      </c>
      <c r="N6698" s="1" t="str">
        <f t="shared" si="2001"/>
        <v>凡华云仓-韵达-抖音</v>
      </c>
      <c r="O6698" s="5">
        <v>320177484327634</v>
      </c>
      <c r="P6698" s="6">
        <v>0.28000000000000003</v>
      </c>
      <c r="Q6698" s="11">
        <v>2</v>
      </c>
      <c r="R6698" s="11"/>
      <c r="S6698" s="11"/>
      <c r="T6698" s="11"/>
      <c r="U6698" s="11">
        <f t="shared" si="1995"/>
        <v>2</v>
      </c>
      <c r="W6698">
        <v>2.2000000000000002</v>
      </c>
      <c r="X6698" s="1" t="s">
        <v>30</v>
      </c>
    </row>
    <row r="6699" spans="1:24" x14ac:dyDescent="0.25">
      <c r="A6699" s="1" t="str">
        <f t="shared" si="1996"/>
        <v>卡卡杜-凤凰仓</v>
      </c>
      <c r="B6699" s="1" t="str">
        <f>"CK202410189544"</f>
        <v>CK202410189544</v>
      </c>
      <c r="C6699" s="1" t="str">
        <f>"DD2024101815128"</f>
        <v>DD2024101815128</v>
      </c>
      <c r="D6699" s="1" t="str">
        <f>"CK202410189380"</f>
        <v>CK202410189380</v>
      </c>
      <c r="E6699" s="1" t="str">
        <f>"6935165094917379883"</f>
        <v>6935165094917379883</v>
      </c>
      <c r="F6699" s="1" t="str">
        <f t="shared" si="1997"/>
        <v>花都四部-凤凰仓</v>
      </c>
      <c r="G6699" s="1" t="str">
        <f t="shared" si="1993"/>
        <v>卡卡杜个人护理店（抖店）</v>
      </c>
      <c r="H6699" s="1" t="str">
        <f t="shared" si="1998"/>
        <v>正常订单</v>
      </c>
      <c r="I6699" s="1" t="str">
        <f t="shared" si="1999"/>
        <v>已发货</v>
      </c>
      <c r="J6699" s="1" t="str">
        <f t="shared" si="1994"/>
        <v>3</v>
      </c>
      <c r="K6699" s="1">
        <v>3</v>
      </c>
      <c r="L6699" s="1" t="s">
        <v>24</v>
      </c>
      <c r="M6699" s="1" t="str">
        <f>"福建省 南平市 武夷山市 崇安街道"</f>
        <v>福建省 南平市 武夷山市 崇安街道</v>
      </c>
      <c r="N6699" s="1" t="str">
        <f t="shared" si="2001"/>
        <v>凡华云仓-韵达-抖音</v>
      </c>
      <c r="O6699" s="5">
        <v>320177484327535</v>
      </c>
      <c r="P6699" s="6">
        <v>0.28000000000000003</v>
      </c>
      <c r="Q6699" s="11">
        <v>2</v>
      </c>
      <c r="R6699" s="11"/>
      <c r="S6699" s="11"/>
      <c r="T6699" s="11"/>
      <c r="U6699" s="11">
        <f t="shared" si="1995"/>
        <v>2</v>
      </c>
      <c r="W6699">
        <v>2.2000000000000002</v>
      </c>
      <c r="X6699" s="1" t="s">
        <v>24</v>
      </c>
    </row>
    <row r="6700" spans="1:24" x14ac:dyDescent="0.25">
      <c r="A6700" s="1" t="str">
        <f t="shared" si="1996"/>
        <v>卡卡杜-凤凰仓</v>
      </c>
      <c r="B6700" s="1" t="str">
        <f>"CK202410189546"</f>
        <v>CK202410189546</v>
      </c>
      <c r="C6700" s="1" t="str">
        <f>"DD2024101815130"</f>
        <v>DD2024101815130</v>
      </c>
      <c r="D6700" s="1" t="str">
        <f>"CK202410189379"</f>
        <v>CK202410189379</v>
      </c>
      <c r="E6700" s="1" t="str">
        <f>"6935158373536634689"</f>
        <v>6935158373536634689</v>
      </c>
      <c r="F6700" s="1" t="str">
        <f t="shared" si="1997"/>
        <v>花都四部-凤凰仓</v>
      </c>
      <c r="G6700" s="1" t="str">
        <f t="shared" si="1993"/>
        <v>卡卡杜个人护理店（抖店）</v>
      </c>
      <c r="H6700" s="1" t="str">
        <f t="shared" si="1998"/>
        <v>正常订单</v>
      </c>
      <c r="I6700" s="1" t="str">
        <f t="shared" si="1999"/>
        <v>已发货</v>
      </c>
      <c r="J6700" s="1" t="str">
        <f t="shared" si="1994"/>
        <v>3</v>
      </c>
      <c r="K6700" s="1">
        <v>3</v>
      </c>
      <c r="L6700" s="1" t="s">
        <v>24</v>
      </c>
      <c r="M6700" s="1" t="str">
        <f>"福建省 厦门市 湖里区 "</f>
        <v xml:space="preserve">福建省 厦门市 湖里区 </v>
      </c>
      <c r="N6700" s="1" t="str">
        <f t="shared" si="2001"/>
        <v>凡华云仓-韵达-抖音</v>
      </c>
      <c r="O6700" s="5">
        <v>320177484327438</v>
      </c>
      <c r="P6700" s="6">
        <v>0.28000000000000003</v>
      </c>
      <c r="Q6700" s="11">
        <v>2</v>
      </c>
      <c r="R6700" s="11"/>
      <c r="S6700" s="11"/>
      <c r="T6700" s="11"/>
      <c r="U6700" s="11">
        <f t="shared" si="1995"/>
        <v>2</v>
      </c>
      <c r="W6700">
        <v>2.2000000000000002</v>
      </c>
      <c r="X6700" s="1" t="s">
        <v>24</v>
      </c>
    </row>
    <row r="6701" spans="1:24" x14ac:dyDescent="0.25">
      <c r="A6701" s="1" t="str">
        <f t="shared" si="1996"/>
        <v>卡卡杜-凤凰仓</v>
      </c>
      <c r="B6701" s="1" t="str">
        <f>"CK202410189550"</f>
        <v>CK202410189550</v>
      </c>
      <c r="C6701" s="1" t="str">
        <f>"DD2024101815134"</f>
        <v>DD2024101815134</v>
      </c>
      <c r="D6701" s="1" t="str">
        <f>"CK202410189378"</f>
        <v>CK202410189378</v>
      </c>
      <c r="E6701" s="1" t="str">
        <f>"6935167419971409172"</f>
        <v>6935167419971409172</v>
      </c>
      <c r="F6701" s="1" t="str">
        <f t="shared" si="1997"/>
        <v>花都四部-凤凰仓</v>
      </c>
      <c r="G6701" s="1" t="str">
        <f t="shared" si="1993"/>
        <v>卡卡杜个人护理店（抖店）</v>
      </c>
      <c r="H6701" s="1" t="str">
        <f t="shared" si="1998"/>
        <v>正常订单</v>
      </c>
      <c r="I6701" s="1" t="str">
        <f t="shared" si="1999"/>
        <v>已发货</v>
      </c>
      <c r="J6701" s="1" t="str">
        <f t="shared" si="1994"/>
        <v>3</v>
      </c>
      <c r="K6701" s="1">
        <v>3</v>
      </c>
      <c r="L6701" s="1" t="s">
        <v>74</v>
      </c>
      <c r="M6701" s="1" t="str">
        <f>"上海 上海市 松江区 佘山镇"</f>
        <v>上海 上海市 松江区 佘山镇</v>
      </c>
      <c r="N6701" s="1" t="str">
        <f t="shared" si="2001"/>
        <v>凡华云仓-韵达-抖音</v>
      </c>
      <c r="O6701" s="5">
        <v>320177484327343</v>
      </c>
      <c r="P6701" s="6">
        <v>0.28000000000000003</v>
      </c>
      <c r="Q6701" s="11">
        <v>2</v>
      </c>
      <c r="R6701" s="11"/>
      <c r="S6701" s="11"/>
      <c r="T6701" s="11"/>
      <c r="U6701" s="11">
        <f t="shared" si="1995"/>
        <v>2</v>
      </c>
      <c r="W6701">
        <v>2.2000000000000002</v>
      </c>
      <c r="X6701" s="1" t="s">
        <v>74</v>
      </c>
    </row>
    <row r="6702" spans="1:24" x14ac:dyDescent="0.25">
      <c r="A6702" s="1" t="str">
        <f t="shared" si="1996"/>
        <v>卡卡杜-凤凰仓</v>
      </c>
      <c r="B6702" s="1" t="str">
        <f>"CK202410189552"</f>
        <v>CK202410189552</v>
      </c>
      <c r="C6702" s="1" t="str">
        <f>"DD2024101815136"</f>
        <v>DD2024101815136</v>
      </c>
      <c r="D6702" s="1" t="str">
        <f>"CK202410189377"</f>
        <v>CK202410189377</v>
      </c>
      <c r="E6702" s="1" t="str">
        <f>"6935171980799776665"</f>
        <v>6935171980799776665</v>
      </c>
      <c r="F6702" s="1" t="str">
        <f t="shared" si="1997"/>
        <v>花都四部-凤凰仓</v>
      </c>
      <c r="G6702" s="1" t="str">
        <f t="shared" si="1993"/>
        <v>卡卡杜个人护理店（抖店）</v>
      </c>
      <c r="H6702" s="1" t="str">
        <f t="shared" si="1998"/>
        <v>正常订单</v>
      </c>
      <c r="I6702" s="1" t="str">
        <f t="shared" si="1999"/>
        <v>已发货</v>
      </c>
      <c r="J6702" s="1" t="str">
        <f t="shared" si="1994"/>
        <v>3</v>
      </c>
      <c r="K6702" s="1">
        <v>3</v>
      </c>
      <c r="L6702" s="1" t="s">
        <v>24</v>
      </c>
      <c r="M6702" s="1" t="str">
        <f>"福建省 泉州市 永春县 桃城镇"</f>
        <v>福建省 泉州市 永春县 桃城镇</v>
      </c>
      <c r="N6702" s="1" t="str">
        <f t="shared" si="2001"/>
        <v>凡华云仓-韵达-抖音</v>
      </c>
      <c r="O6702" s="5">
        <v>320177484327250</v>
      </c>
      <c r="P6702" s="6">
        <v>0.28000000000000003</v>
      </c>
      <c r="Q6702" s="11">
        <v>2</v>
      </c>
      <c r="R6702" s="11"/>
      <c r="S6702" s="11"/>
      <c r="T6702" s="11"/>
      <c r="U6702" s="11">
        <f t="shared" si="1995"/>
        <v>2</v>
      </c>
      <c r="W6702">
        <v>2.2000000000000002</v>
      </c>
      <c r="X6702" s="1" t="s">
        <v>24</v>
      </c>
    </row>
    <row r="6703" spans="1:24" x14ac:dyDescent="0.25">
      <c r="A6703" s="1" t="str">
        <f t="shared" si="1996"/>
        <v>卡卡杜-凤凰仓</v>
      </c>
      <c r="B6703" s="1" t="str">
        <f>"CK202410189564"</f>
        <v>CK202410189564</v>
      </c>
      <c r="C6703" s="1" t="str">
        <f>"DD2024101815147"</f>
        <v>DD2024101815147</v>
      </c>
      <c r="D6703" s="1" t="str">
        <f>"CK202410189376"</f>
        <v>CK202410189376</v>
      </c>
      <c r="E6703" s="1" t="str">
        <f>"6935169769924138576"</f>
        <v>6935169769924138576</v>
      </c>
      <c r="F6703" s="1" t="str">
        <f t="shared" si="1997"/>
        <v>花都四部-凤凰仓</v>
      </c>
      <c r="G6703" s="1" t="str">
        <f t="shared" si="1993"/>
        <v>卡卡杜个人护理店（抖店）</v>
      </c>
      <c r="H6703" s="1" t="str">
        <f t="shared" si="1998"/>
        <v>正常订单</v>
      </c>
      <c r="I6703" s="1" t="str">
        <f t="shared" si="1999"/>
        <v>已发货</v>
      </c>
      <c r="J6703" s="1" t="str">
        <f t="shared" si="1994"/>
        <v>3</v>
      </c>
      <c r="K6703" s="1">
        <v>3</v>
      </c>
      <c r="L6703" s="1" t="s">
        <v>20</v>
      </c>
      <c r="M6703" s="1" t="str">
        <f>"浙江省 金华市 东阳市 白云街道"</f>
        <v>浙江省 金华市 东阳市 白云街道</v>
      </c>
      <c r="N6703" s="1" t="str">
        <f t="shared" si="2001"/>
        <v>凡华云仓-韵达-抖音</v>
      </c>
      <c r="O6703" s="5">
        <v>320177484327159</v>
      </c>
      <c r="P6703" s="6">
        <v>0.28000000000000003</v>
      </c>
      <c r="Q6703" s="11">
        <v>2</v>
      </c>
      <c r="R6703" s="11"/>
      <c r="S6703" s="11"/>
      <c r="T6703" s="11"/>
      <c r="U6703" s="11">
        <f t="shared" si="1995"/>
        <v>2</v>
      </c>
      <c r="W6703">
        <v>2.2000000000000002</v>
      </c>
      <c r="X6703" s="1" t="s">
        <v>20</v>
      </c>
    </row>
    <row r="6704" spans="1:24" x14ac:dyDescent="0.25">
      <c r="A6704" s="1" t="str">
        <f t="shared" si="1996"/>
        <v>卡卡杜-凤凰仓</v>
      </c>
      <c r="B6704" s="1" t="str">
        <f>"CK2024101810041"</f>
        <v>CK2024101810041</v>
      </c>
      <c r="C6704" s="1" t="str">
        <f>"DD2024101815625"</f>
        <v>DD2024101815625</v>
      </c>
      <c r="D6704" s="1" t="str">
        <f>"CK202410189375"</f>
        <v>CK202410189375</v>
      </c>
      <c r="E6704" s="1" t="str">
        <f>"6935156062213642108"</f>
        <v>6935156062213642108</v>
      </c>
      <c r="F6704" s="1" t="str">
        <f t="shared" si="1997"/>
        <v>花都四部-凤凰仓</v>
      </c>
      <c r="G6704" s="1" t="str">
        <f t="shared" si="1993"/>
        <v>卡卡杜个人护理店（抖店）</v>
      </c>
      <c r="H6704" s="1" t="str">
        <f t="shared" si="1998"/>
        <v>正常订单</v>
      </c>
      <c r="I6704" s="1" t="str">
        <f t="shared" si="1999"/>
        <v>已发货</v>
      </c>
      <c r="J6704" s="1" t="str">
        <f t="shared" si="1994"/>
        <v>3</v>
      </c>
      <c r="K6704" s="1">
        <v>3</v>
      </c>
      <c r="L6704" s="1" t="s">
        <v>24</v>
      </c>
      <c r="M6704" s="1" t="str">
        <f>"福建省 三明市 梅列区 列东街道"</f>
        <v>福建省 三明市 梅列区 列东街道</v>
      </c>
      <c r="N6704" s="1" t="str">
        <f t="shared" si="2001"/>
        <v>凡华云仓-韵达-抖音</v>
      </c>
      <c r="O6704" s="5">
        <v>320177484327070</v>
      </c>
      <c r="P6704" s="6">
        <v>0.28000000000000003</v>
      </c>
      <c r="Q6704" s="11">
        <v>2</v>
      </c>
      <c r="R6704" s="11"/>
      <c r="S6704" s="11"/>
      <c r="T6704" s="11"/>
      <c r="U6704" s="11">
        <f t="shared" si="1995"/>
        <v>2</v>
      </c>
      <c r="W6704">
        <v>2.2000000000000002</v>
      </c>
      <c r="X6704" s="1" t="s">
        <v>24</v>
      </c>
    </row>
    <row r="6705" spans="1:24" x14ac:dyDescent="0.25">
      <c r="A6705" s="1" t="str">
        <f t="shared" si="1996"/>
        <v>卡卡杜-凤凰仓</v>
      </c>
      <c r="B6705" s="1" t="str">
        <f>"CK202410189548"</f>
        <v>CK202410189548</v>
      </c>
      <c r="C6705" s="1" t="str">
        <f>"DD2024101815132"</f>
        <v>DD2024101815132</v>
      </c>
      <c r="D6705" s="1" t="str">
        <f>"CK202410189374"</f>
        <v>CK202410189374</v>
      </c>
      <c r="E6705" s="1" t="str">
        <f>"6935151494447306540"</f>
        <v>6935151494447306540</v>
      </c>
      <c r="F6705" s="1" t="str">
        <f t="shared" si="1997"/>
        <v>花都四部-凤凰仓</v>
      </c>
      <c r="G6705" s="1" t="str">
        <f t="shared" si="1993"/>
        <v>卡卡杜个人护理店（抖店）</v>
      </c>
      <c r="H6705" s="1" t="str">
        <f t="shared" si="1998"/>
        <v>正常订单</v>
      </c>
      <c r="I6705" s="1" t="str">
        <f t="shared" si="1999"/>
        <v>已发货</v>
      </c>
      <c r="J6705" s="1" t="str">
        <f t="shared" si="1994"/>
        <v>3</v>
      </c>
      <c r="K6705" s="1">
        <v>3</v>
      </c>
      <c r="L6705" s="1" t="s">
        <v>109</v>
      </c>
      <c r="M6705" s="1" t="str">
        <f>"山西省 太原市 尖草坪区 汇丰街道"</f>
        <v>山西省 太原市 尖草坪区 汇丰街道</v>
      </c>
      <c r="N6705" s="1" t="str">
        <f t="shared" si="2001"/>
        <v>凡华云仓-韵达-抖音</v>
      </c>
      <c r="O6705" s="5">
        <v>320177484326942</v>
      </c>
      <c r="P6705" s="6">
        <v>0.28000000000000003</v>
      </c>
      <c r="Q6705" s="11">
        <v>2</v>
      </c>
      <c r="R6705" s="11"/>
      <c r="S6705" s="11"/>
      <c r="T6705" s="11"/>
      <c r="U6705" s="11">
        <f t="shared" si="1995"/>
        <v>2</v>
      </c>
      <c r="W6705">
        <v>2.2000000000000002</v>
      </c>
      <c r="X6705" s="1" t="s">
        <v>109</v>
      </c>
    </row>
    <row r="6706" spans="1:24" x14ac:dyDescent="0.25">
      <c r="A6706" s="1" t="str">
        <f t="shared" si="1996"/>
        <v>卡卡杜-凤凰仓</v>
      </c>
      <c r="B6706" s="1" t="str">
        <f>"CK202410189554"</f>
        <v>CK202410189554</v>
      </c>
      <c r="C6706" s="1" t="str">
        <f>"DD2024101815138"</f>
        <v>DD2024101815138</v>
      </c>
      <c r="D6706" s="1" t="str">
        <f>"CK202410189373"</f>
        <v>CK202410189373</v>
      </c>
      <c r="E6706" s="1" t="str">
        <f>"6935145260933846924"</f>
        <v>6935145260933846924</v>
      </c>
      <c r="F6706" s="1" t="str">
        <f t="shared" si="1997"/>
        <v>花都四部-凤凰仓</v>
      </c>
      <c r="G6706" s="1" t="str">
        <f t="shared" si="1993"/>
        <v>卡卡杜个人护理店（抖店）</v>
      </c>
      <c r="H6706" s="1" t="str">
        <f t="shared" si="1998"/>
        <v>正常订单</v>
      </c>
      <c r="I6706" s="1" t="str">
        <f t="shared" si="1999"/>
        <v>已发货</v>
      </c>
      <c r="J6706" s="1" t="str">
        <f t="shared" si="1994"/>
        <v>3</v>
      </c>
      <c r="K6706" s="1">
        <v>3</v>
      </c>
      <c r="L6706" s="1" t="s">
        <v>30</v>
      </c>
      <c r="M6706" s="1" t="str">
        <f>"山东省 德州市 乐陵市 花园镇"</f>
        <v>山东省 德州市 乐陵市 花园镇</v>
      </c>
      <c r="N6706" s="1" t="str">
        <f t="shared" si="2001"/>
        <v>凡华云仓-韵达-抖音</v>
      </c>
      <c r="O6706" s="5">
        <v>320177464926629</v>
      </c>
      <c r="P6706" s="6">
        <v>0.28000000000000003</v>
      </c>
      <c r="Q6706" s="11">
        <v>2</v>
      </c>
      <c r="R6706" s="11"/>
      <c r="S6706" s="11"/>
      <c r="T6706" s="11"/>
      <c r="U6706" s="11">
        <f t="shared" si="1995"/>
        <v>2</v>
      </c>
      <c r="W6706">
        <v>2.2000000000000002</v>
      </c>
      <c r="X6706" s="1" t="s">
        <v>30</v>
      </c>
    </row>
    <row r="6707" spans="1:24" x14ac:dyDescent="0.25">
      <c r="A6707" s="1" t="str">
        <f t="shared" si="1996"/>
        <v>卡卡杜-凤凰仓</v>
      </c>
      <c r="B6707" s="1" t="str">
        <f>"CK202410189557"</f>
        <v>CK202410189557</v>
      </c>
      <c r="C6707" s="1" t="str">
        <f>"DD2024101815140"</f>
        <v>DD2024101815140</v>
      </c>
      <c r="D6707" s="1" t="str">
        <f>"CK202410189372"</f>
        <v>CK202410189372</v>
      </c>
      <c r="E6707" s="1" t="str">
        <f>"6935158344102319902"</f>
        <v>6935158344102319902</v>
      </c>
      <c r="F6707" s="1" t="str">
        <f t="shared" si="1997"/>
        <v>花都四部-凤凰仓</v>
      </c>
      <c r="G6707" s="1" t="str">
        <f t="shared" si="1993"/>
        <v>卡卡杜个人护理店（抖店）</v>
      </c>
      <c r="H6707" s="1" t="str">
        <f t="shared" si="1998"/>
        <v>正常订单</v>
      </c>
      <c r="I6707" s="1" t="str">
        <f t="shared" si="1999"/>
        <v>已发货</v>
      </c>
      <c r="J6707" s="1" t="str">
        <f t="shared" si="1994"/>
        <v>3</v>
      </c>
      <c r="K6707" s="1">
        <v>3</v>
      </c>
      <c r="L6707" s="1" t="s">
        <v>18</v>
      </c>
      <c r="M6707" s="1" t="str">
        <f>"广东省 佛山市 禅城区 "</f>
        <v xml:space="preserve">广东省 佛山市 禅城区 </v>
      </c>
      <c r="N6707" s="1" t="str">
        <f t="shared" si="2001"/>
        <v>凡华云仓-韵达-抖音</v>
      </c>
      <c r="O6707" s="5">
        <v>320177464926530</v>
      </c>
      <c r="P6707" s="6">
        <v>0.28000000000000003</v>
      </c>
      <c r="Q6707" s="11">
        <v>2</v>
      </c>
      <c r="R6707" s="11"/>
      <c r="S6707" s="11"/>
      <c r="T6707" s="11"/>
      <c r="U6707" s="11">
        <f t="shared" si="1995"/>
        <v>2</v>
      </c>
      <c r="W6707">
        <v>2.2000000000000002</v>
      </c>
      <c r="X6707" s="1" t="s">
        <v>18</v>
      </c>
    </row>
    <row r="6708" spans="1:24" x14ac:dyDescent="0.25">
      <c r="A6708" s="1" t="str">
        <f t="shared" si="1996"/>
        <v>卡卡杜-凤凰仓</v>
      </c>
      <c r="B6708" s="1" t="str">
        <f>"CK202410189560"</f>
        <v>CK202410189560</v>
      </c>
      <c r="C6708" s="1" t="str">
        <f>"DD2024101815143"</f>
        <v>DD2024101815143</v>
      </c>
      <c r="D6708" s="1" t="str">
        <f>"CK202410189371"</f>
        <v>CK202410189371</v>
      </c>
      <c r="E6708" s="1" t="str">
        <f>"6935165057005524702"</f>
        <v>6935165057005524702</v>
      </c>
      <c r="F6708" s="1" t="str">
        <f t="shared" si="1997"/>
        <v>花都四部-凤凰仓</v>
      </c>
      <c r="G6708" s="1" t="str">
        <f t="shared" ref="G6708:G6771" si="2002">"卡卡杜个人护理店（抖店）"</f>
        <v>卡卡杜个人护理店（抖店）</v>
      </c>
      <c r="H6708" s="1" t="str">
        <f t="shared" si="1998"/>
        <v>正常订单</v>
      </c>
      <c r="I6708" s="1" t="str">
        <f t="shared" si="1999"/>
        <v>已发货</v>
      </c>
      <c r="J6708" s="1" t="str">
        <f t="shared" si="1994"/>
        <v>3</v>
      </c>
      <c r="K6708" s="1">
        <v>3</v>
      </c>
      <c r="L6708" s="1" t="s">
        <v>20</v>
      </c>
      <c r="M6708" s="1" t="str">
        <f>"浙江省 温州市 乐清市 北白象镇"</f>
        <v>浙江省 温州市 乐清市 北白象镇</v>
      </c>
      <c r="N6708" s="1" t="str">
        <f t="shared" si="2001"/>
        <v>凡华云仓-韵达-抖音</v>
      </c>
      <c r="O6708" s="5">
        <v>320177464926433</v>
      </c>
      <c r="P6708" s="6">
        <v>0.28000000000000003</v>
      </c>
      <c r="Q6708" s="11">
        <v>2</v>
      </c>
      <c r="R6708" s="11"/>
      <c r="S6708" s="11"/>
      <c r="T6708" s="11"/>
      <c r="U6708" s="11">
        <f t="shared" si="1995"/>
        <v>2</v>
      </c>
      <c r="W6708">
        <v>2.2000000000000002</v>
      </c>
      <c r="X6708" s="1" t="s">
        <v>20</v>
      </c>
    </row>
    <row r="6709" spans="1:24" x14ac:dyDescent="0.25">
      <c r="A6709" s="1" t="str">
        <f t="shared" si="1996"/>
        <v>卡卡杜-凤凰仓</v>
      </c>
      <c r="B6709" s="1" t="str">
        <f>"CK202410189562"</f>
        <v>CK202410189562</v>
      </c>
      <c r="C6709" s="1" t="str">
        <f>"DD2024101815145"</f>
        <v>DD2024101815145</v>
      </c>
      <c r="D6709" s="1" t="str">
        <f>"CK202410189370"</f>
        <v>CK202410189370</v>
      </c>
      <c r="E6709" s="1" t="str">
        <f>"6935169570968901360"</f>
        <v>6935169570968901360</v>
      </c>
      <c r="F6709" s="1" t="str">
        <f t="shared" si="1997"/>
        <v>花都四部-凤凰仓</v>
      </c>
      <c r="G6709" s="1" t="str">
        <f t="shared" si="2002"/>
        <v>卡卡杜个人护理店（抖店）</v>
      </c>
      <c r="H6709" s="1" t="str">
        <f t="shared" si="1998"/>
        <v>正常订单</v>
      </c>
      <c r="I6709" s="1" t="str">
        <f t="shared" si="1999"/>
        <v>已发货</v>
      </c>
      <c r="J6709" s="1" t="str">
        <f>"9"</f>
        <v>9</v>
      </c>
      <c r="K6709" s="1">
        <v>3</v>
      </c>
      <c r="L6709" s="1" t="s">
        <v>30</v>
      </c>
      <c r="M6709" s="1" t="str">
        <f>"山东省 济宁市 任城区 柳行街道"</f>
        <v>山东省 济宁市 任城区 柳行街道</v>
      </c>
      <c r="N6709" s="1" t="str">
        <f t="shared" si="2001"/>
        <v>凡华云仓-韵达-抖音</v>
      </c>
      <c r="O6709" s="5">
        <v>320177464926338</v>
      </c>
      <c r="P6709" s="6">
        <v>0.62</v>
      </c>
      <c r="Q6709" s="11">
        <f>CEILING(P6709-0.5,0.1)*10*0.15+2.3</f>
        <v>2.5999999999999996</v>
      </c>
      <c r="R6709" s="11"/>
      <c r="S6709" s="11"/>
      <c r="T6709" s="11"/>
      <c r="U6709" s="11">
        <f t="shared" si="1995"/>
        <v>2.5999999999999996</v>
      </c>
      <c r="V6709" t="s">
        <v>15</v>
      </c>
      <c r="W6709">
        <v>2.6</v>
      </c>
      <c r="X6709" s="1" t="s">
        <v>30</v>
      </c>
    </row>
    <row r="6710" spans="1:24" x14ac:dyDescent="0.25">
      <c r="A6710" s="1" t="str">
        <f t="shared" si="1996"/>
        <v>卡卡杜-凤凰仓</v>
      </c>
      <c r="B6710" s="1" t="str">
        <f>"CK202410189566"</f>
        <v>CK202410189566</v>
      </c>
      <c r="C6710" s="1" t="str">
        <f>"DD2024101815149"</f>
        <v>DD2024101815149</v>
      </c>
      <c r="D6710" s="1" t="str">
        <f>"CK202410189369"</f>
        <v>CK202410189369</v>
      </c>
      <c r="E6710" s="1" t="str">
        <f>"6935169662692038602"</f>
        <v>6935169662692038602</v>
      </c>
      <c r="F6710" s="1" t="str">
        <f t="shared" si="1997"/>
        <v>花都四部-凤凰仓</v>
      </c>
      <c r="G6710" s="1" t="str">
        <f t="shared" si="2002"/>
        <v>卡卡杜个人护理店（抖店）</v>
      </c>
      <c r="H6710" s="1" t="str">
        <f t="shared" si="1998"/>
        <v>正常订单</v>
      </c>
      <c r="I6710" s="1" t="str">
        <f t="shared" si="1999"/>
        <v>已发货</v>
      </c>
      <c r="J6710" s="1" t="str">
        <f t="shared" ref="J6710:J6723" si="2003">"3"</f>
        <v>3</v>
      </c>
      <c r="K6710" s="1">
        <v>3</v>
      </c>
      <c r="L6710" s="1" t="s">
        <v>36</v>
      </c>
      <c r="M6710" s="1" t="str">
        <f>"安徽省 宿州市 砀山县 砀城镇"</f>
        <v>安徽省 宿州市 砀山县 砀城镇</v>
      </c>
      <c r="N6710" s="1" t="str">
        <f t="shared" si="2001"/>
        <v>凡华云仓-韵达-抖音</v>
      </c>
      <c r="O6710" s="5">
        <v>320177464926245</v>
      </c>
      <c r="P6710" s="6">
        <v>0.28000000000000003</v>
      </c>
      <c r="Q6710" s="11">
        <v>2</v>
      </c>
      <c r="R6710" s="11"/>
      <c r="S6710" s="11"/>
      <c r="T6710" s="11"/>
      <c r="U6710" s="11">
        <f t="shared" si="1995"/>
        <v>2</v>
      </c>
      <c r="W6710">
        <v>2.2000000000000002</v>
      </c>
      <c r="X6710" s="1" t="s">
        <v>36</v>
      </c>
    </row>
    <row r="6711" spans="1:24" x14ac:dyDescent="0.25">
      <c r="A6711" s="1" t="str">
        <f t="shared" si="1996"/>
        <v>卡卡杜-凤凰仓</v>
      </c>
      <c r="B6711" s="1" t="str">
        <f>"CK202410189568"</f>
        <v>CK202410189568</v>
      </c>
      <c r="C6711" s="1" t="str">
        <f>"DD2024101815152"</f>
        <v>DD2024101815152</v>
      </c>
      <c r="D6711" s="1" t="str">
        <f>"CK202410189368"</f>
        <v>CK202410189368</v>
      </c>
      <c r="E6711" s="1" t="str">
        <f>"6935149837825873110"</f>
        <v>6935149837825873110</v>
      </c>
      <c r="F6711" s="1" t="str">
        <f t="shared" si="1997"/>
        <v>花都四部-凤凰仓</v>
      </c>
      <c r="G6711" s="1" t="str">
        <f t="shared" si="2002"/>
        <v>卡卡杜个人护理店（抖店）</v>
      </c>
      <c r="H6711" s="1" t="str">
        <f t="shared" si="1998"/>
        <v>正常订单</v>
      </c>
      <c r="I6711" s="1" t="str">
        <f t="shared" si="1999"/>
        <v>已发货</v>
      </c>
      <c r="J6711" s="1" t="str">
        <f t="shared" si="2003"/>
        <v>3</v>
      </c>
      <c r="K6711" s="1">
        <v>3</v>
      </c>
      <c r="L6711" s="1" t="s">
        <v>16</v>
      </c>
      <c r="M6711" s="1" t="str">
        <f>"河北省 保定市 满城区 满城镇"</f>
        <v>河北省 保定市 满城区 满城镇</v>
      </c>
      <c r="N6711" s="1" t="str">
        <f t="shared" si="2001"/>
        <v>凡华云仓-韵达-抖音</v>
      </c>
      <c r="O6711" s="5">
        <v>320177464926154</v>
      </c>
      <c r="P6711" s="6">
        <v>0.28000000000000003</v>
      </c>
      <c r="Q6711" s="11">
        <v>2</v>
      </c>
      <c r="R6711" s="11"/>
      <c r="S6711" s="11"/>
      <c r="T6711" s="11"/>
      <c r="U6711" s="11">
        <f t="shared" si="1995"/>
        <v>2</v>
      </c>
      <c r="W6711">
        <v>2.2000000000000002</v>
      </c>
      <c r="X6711" s="1" t="s">
        <v>16</v>
      </c>
    </row>
    <row r="6712" spans="1:24" x14ac:dyDescent="0.25">
      <c r="A6712" s="1" t="str">
        <f t="shared" si="1996"/>
        <v>卡卡杜-凤凰仓</v>
      </c>
      <c r="B6712" s="1" t="str">
        <f>"CK202410189570"</f>
        <v>CK202410189570</v>
      </c>
      <c r="C6712" s="1" t="str">
        <f>"DD2024101815153"</f>
        <v>DD2024101815153</v>
      </c>
      <c r="D6712" s="1" t="str">
        <f>"CK202410189367"</f>
        <v>CK202410189367</v>
      </c>
      <c r="E6712" s="1" t="str">
        <f>"6935151309614224784"</f>
        <v>6935151309614224784</v>
      </c>
      <c r="F6712" s="1" t="str">
        <f t="shared" si="1997"/>
        <v>花都四部-凤凰仓</v>
      </c>
      <c r="G6712" s="1" t="str">
        <f t="shared" si="2002"/>
        <v>卡卡杜个人护理店（抖店）</v>
      </c>
      <c r="H6712" s="1" t="str">
        <f t="shared" si="1998"/>
        <v>正常订单</v>
      </c>
      <c r="I6712" s="1" t="str">
        <f t="shared" si="1999"/>
        <v>已发货</v>
      </c>
      <c r="J6712" s="1" t="str">
        <f t="shared" si="2003"/>
        <v>3</v>
      </c>
      <c r="K6712" s="1">
        <v>3</v>
      </c>
      <c r="L6712" s="1" t="s">
        <v>30</v>
      </c>
      <c r="M6712" s="1" t="str">
        <f>"山东省 济宁市 微山县 赵庙镇"</f>
        <v>山东省 济宁市 微山县 赵庙镇</v>
      </c>
      <c r="N6712" s="1" t="str">
        <f t="shared" si="2001"/>
        <v>凡华云仓-韵达-抖音</v>
      </c>
      <c r="O6712" s="5">
        <v>320177464926065</v>
      </c>
      <c r="P6712" s="6">
        <v>0.28000000000000003</v>
      </c>
      <c r="Q6712" s="11">
        <v>2</v>
      </c>
      <c r="R6712" s="11"/>
      <c r="S6712" s="11"/>
      <c r="T6712" s="11"/>
      <c r="U6712" s="11">
        <f t="shared" si="1995"/>
        <v>2</v>
      </c>
      <c r="W6712">
        <v>2.2000000000000002</v>
      </c>
      <c r="X6712" s="1" t="s">
        <v>30</v>
      </c>
    </row>
    <row r="6713" spans="1:24" x14ac:dyDescent="0.25">
      <c r="A6713" s="1" t="str">
        <f t="shared" si="1996"/>
        <v>卡卡杜-凤凰仓</v>
      </c>
      <c r="B6713" s="1" t="str">
        <f>"CK202410189572"</f>
        <v>CK202410189572</v>
      </c>
      <c r="C6713" s="1" t="str">
        <f>"DD2024101815155"</f>
        <v>DD2024101815155</v>
      </c>
      <c r="D6713" s="1" t="str">
        <f>"CK202410189366"</f>
        <v>CK202410189366</v>
      </c>
      <c r="E6713" s="1" t="str">
        <f>"6935160793675339537"</f>
        <v>6935160793675339537</v>
      </c>
      <c r="F6713" s="1" t="str">
        <f t="shared" si="1997"/>
        <v>花都四部-凤凰仓</v>
      </c>
      <c r="G6713" s="1" t="str">
        <f t="shared" si="2002"/>
        <v>卡卡杜个人护理店（抖店）</v>
      </c>
      <c r="H6713" s="1" t="str">
        <f t="shared" si="1998"/>
        <v>正常订单</v>
      </c>
      <c r="I6713" s="1" t="str">
        <f t="shared" si="1999"/>
        <v>已发货</v>
      </c>
      <c r="J6713" s="1" t="str">
        <f t="shared" si="2003"/>
        <v>3</v>
      </c>
      <c r="K6713" s="1">
        <v>3</v>
      </c>
      <c r="L6713" s="1" t="s">
        <v>16</v>
      </c>
      <c r="M6713" s="1" t="str">
        <f>"河北省 张家口市 沽源县 平定堡镇"</f>
        <v>河北省 张家口市 沽源县 平定堡镇</v>
      </c>
      <c r="N6713" s="1" t="str">
        <f t="shared" si="2001"/>
        <v>凡华云仓-韵达-抖音</v>
      </c>
      <c r="O6713" s="5">
        <v>320177464925939</v>
      </c>
      <c r="P6713" s="6">
        <v>0.28000000000000003</v>
      </c>
      <c r="Q6713" s="11">
        <v>2</v>
      </c>
      <c r="R6713" s="11"/>
      <c r="S6713" s="11"/>
      <c r="T6713" s="11"/>
      <c r="U6713" s="11">
        <f t="shared" si="1995"/>
        <v>2</v>
      </c>
      <c r="W6713">
        <v>2.2000000000000002</v>
      </c>
      <c r="X6713" s="1" t="s">
        <v>16</v>
      </c>
    </row>
    <row r="6714" spans="1:24" x14ac:dyDescent="0.25">
      <c r="A6714" s="1" t="str">
        <f t="shared" si="1996"/>
        <v>卡卡杜-凤凰仓</v>
      </c>
      <c r="B6714" s="1" t="str">
        <f>"CK202410189574"</f>
        <v>CK202410189574</v>
      </c>
      <c r="C6714" s="1" t="str">
        <f>"DD2024101815158"</f>
        <v>DD2024101815158</v>
      </c>
      <c r="D6714" s="1" t="str">
        <f>"CK202410189365"</f>
        <v>CK202410189365</v>
      </c>
      <c r="E6714" s="1" t="str">
        <f>"6935158229559482269"</f>
        <v>6935158229559482269</v>
      </c>
      <c r="F6714" s="1" t="str">
        <f t="shared" si="1997"/>
        <v>花都四部-凤凰仓</v>
      </c>
      <c r="G6714" s="1" t="str">
        <f t="shared" si="2002"/>
        <v>卡卡杜个人护理店（抖店）</v>
      </c>
      <c r="H6714" s="1" t="str">
        <f t="shared" si="1998"/>
        <v>正常订单</v>
      </c>
      <c r="I6714" s="1" t="str">
        <f t="shared" si="1999"/>
        <v>已发货</v>
      </c>
      <c r="J6714" s="1" t="str">
        <f t="shared" si="2003"/>
        <v>3</v>
      </c>
      <c r="K6714" s="1">
        <v>3</v>
      </c>
      <c r="L6714" s="1" t="s">
        <v>36</v>
      </c>
      <c r="M6714" s="1" t="str">
        <f>"安徽省 淮南市 凤台县 夏集镇"</f>
        <v>安徽省 淮南市 凤台县 夏集镇</v>
      </c>
      <c r="N6714" s="1" t="str">
        <f t="shared" si="2001"/>
        <v>凡华云仓-韵达-抖音</v>
      </c>
      <c r="O6714" s="5">
        <v>320177464925834</v>
      </c>
      <c r="P6714" s="6">
        <v>0.28000000000000003</v>
      </c>
      <c r="Q6714" s="11">
        <v>2</v>
      </c>
      <c r="R6714" s="11"/>
      <c r="S6714" s="11"/>
      <c r="T6714" s="11"/>
      <c r="U6714" s="11">
        <f t="shared" si="1995"/>
        <v>2</v>
      </c>
      <c r="W6714">
        <v>2.2000000000000002</v>
      </c>
      <c r="X6714" s="1" t="s">
        <v>36</v>
      </c>
    </row>
    <row r="6715" spans="1:24" x14ac:dyDescent="0.25">
      <c r="A6715" s="1" t="str">
        <f t="shared" si="1996"/>
        <v>卡卡杜-凤凰仓</v>
      </c>
      <c r="B6715" s="1" t="str">
        <f>"CK202410189577"</f>
        <v>CK202410189577</v>
      </c>
      <c r="C6715" s="1" t="str">
        <f>"DD2024101815160"</f>
        <v>DD2024101815160</v>
      </c>
      <c r="D6715" s="1" t="str">
        <f>"CK202410189364"</f>
        <v>CK202410189364</v>
      </c>
      <c r="E6715" s="1" t="str">
        <f>"6935145266489071478"</f>
        <v>6935145266489071478</v>
      </c>
      <c r="F6715" s="1" t="str">
        <f t="shared" si="1997"/>
        <v>花都四部-凤凰仓</v>
      </c>
      <c r="G6715" s="1" t="str">
        <f t="shared" si="2002"/>
        <v>卡卡杜个人护理店（抖店）</v>
      </c>
      <c r="H6715" s="1" t="str">
        <f t="shared" si="1998"/>
        <v>正常订单</v>
      </c>
      <c r="I6715" s="1" t="str">
        <f t="shared" si="1999"/>
        <v>已发货</v>
      </c>
      <c r="J6715" s="1" t="str">
        <f t="shared" si="2003"/>
        <v>3</v>
      </c>
      <c r="K6715" s="1">
        <v>3</v>
      </c>
      <c r="L6715" s="1" t="s">
        <v>218</v>
      </c>
      <c r="M6715" s="1" t="str">
        <f>"天津 天津市 南开区 王顶堤街道"</f>
        <v>天津 天津市 南开区 王顶堤街道</v>
      </c>
      <c r="N6715" s="1" t="str">
        <f t="shared" si="2001"/>
        <v>凡华云仓-韵达-抖音</v>
      </c>
      <c r="O6715" s="5">
        <v>320177464925731</v>
      </c>
      <c r="P6715" s="6">
        <v>0.28000000000000003</v>
      </c>
      <c r="Q6715" s="11">
        <v>2</v>
      </c>
      <c r="R6715" s="11"/>
      <c r="S6715" s="11"/>
      <c r="T6715" s="11"/>
      <c r="U6715" s="11">
        <f t="shared" si="1995"/>
        <v>2</v>
      </c>
      <c r="W6715">
        <v>2.2000000000000002</v>
      </c>
      <c r="X6715" s="1" t="s">
        <v>218</v>
      </c>
    </row>
    <row r="6716" spans="1:24" x14ac:dyDescent="0.25">
      <c r="A6716" s="1" t="str">
        <f t="shared" si="1996"/>
        <v>卡卡杜-凤凰仓</v>
      </c>
      <c r="B6716" s="1" t="str">
        <f>"CK202410189582"</f>
        <v>CK202410189582</v>
      </c>
      <c r="C6716" s="1" t="str">
        <f>"DD2024101815167"</f>
        <v>DD2024101815167</v>
      </c>
      <c r="D6716" s="1" t="str">
        <f>"CK202410189362"</f>
        <v>CK202410189362</v>
      </c>
      <c r="E6716" s="1" t="str">
        <f>"6935167419970819374"</f>
        <v>6935167419970819374</v>
      </c>
      <c r="F6716" s="1" t="str">
        <f t="shared" si="1997"/>
        <v>花都四部-凤凰仓</v>
      </c>
      <c r="G6716" s="1" t="str">
        <f t="shared" si="2002"/>
        <v>卡卡杜个人护理店（抖店）</v>
      </c>
      <c r="H6716" s="1" t="str">
        <f t="shared" si="1998"/>
        <v>正常订单</v>
      </c>
      <c r="I6716" s="1" t="str">
        <f t="shared" si="1999"/>
        <v>已发货</v>
      </c>
      <c r="J6716" s="1" t="str">
        <f t="shared" si="2003"/>
        <v>3</v>
      </c>
      <c r="K6716" s="1">
        <v>3</v>
      </c>
      <c r="L6716" s="1" t="s">
        <v>30</v>
      </c>
      <c r="M6716" s="1" t="str">
        <f>"山东省 烟台市 福山区 清洋街道"</f>
        <v>山东省 烟台市 福山区 清洋街道</v>
      </c>
      <c r="N6716" s="1" t="str">
        <f t="shared" si="2001"/>
        <v>凡华云仓-韵达-抖音</v>
      </c>
      <c r="O6716" s="5">
        <v>320177464924534</v>
      </c>
      <c r="P6716" s="6">
        <v>0.28000000000000003</v>
      </c>
      <c r="Q6716" s="11">
        <v>2</v>
      </c>
      <c r="R6716" s="11"/>
      <c r="S6716" s="11"/>
      <c r="T6716" s="11"/>
      <c r="U6716" s="11">
        <f t="shared" si="1995"/>
        <v>2</v>
      </c>
      <c r="W6716">
        <v>2.2000000000000002</v>
      </c>
      <c r="X6716" s="1" t="s">
        <v>30</v>
      </c>
    </row>
    <row r="6717" spans="1:24" x14ac:dyDescent="0.25">
      <c r="A6717" s="1" t="str">
        <f t="shared" si="1996"/>
        <v>卡卡杜-凤凰仓</v>
      </c>
      <c r="B6717" s="1" t="str">
        <f>"CK202410189588"</f>
        <v>CK202410189588</v>
      </c>
      <c r="C6717" s="1" t="str">
        <f>"DD2024101815171"</f>
        <v>DD2024101815171</v>
      </c>
      <c r="D6717" s="1" t="str">
        <f>"CK202410189361"</f>
        <v>CK202410189361</v>
      </c>
      <c r="E6717" s="1" t="str">
        <f>"6935145214296004498"</f>
        <v>6935145214296004498</v>
      </c>
      <c r="F6717" s="1" t="str">
        <f t="shared" si="1997"/>
        <v>花都四部-凤凰仓</v>
      </c>
      <c r="G6717" s="1" t="str">
        <f t="shared" si="2002"/>
        <v>卡卡杜个人护理店（抖店）</v>
      </c>
      <c r="H6717" s="1" t="str">
        <f t="shared" si="1998"/>
        <v>正常订单</v>
      </c>
      <c r="I6717" s="1" t="str">
        <f t="shared" si="1999"/>
        <v>已发货</v>
      </c>
      <c r="J6717" s="1" t="str">
        <f t="shared" si="2003"/>
        <v>3</v>
      </c>
      <c r="K6717" s="1">
        <v>3</v>
      </c>
      <c r="L6717" s="1" t="s">
        <v>18</v>
      </c>
      <c r="M6717" s="1" t="str">
        <f>"广东省 中山市 中山市 板芙镇"</f>
        <v>广东省 中山市 中山市 板芙镇</v>
      </c>
      <c r="N6717" s="1" t="str">
        <f t="shared" si="2001"/>
        <v>凡华云仓-韵达-抖音</v>
      </c>
      <c r="O6717" s="5">
        <v>320177464924437</v>
      </c>
      <c r="P6717" s="6">
        <v>0.28000000000000003</v>
      </c>
      <c r="Q6717" s="11">
        <v>2</v>
      </c>
      <c r="R6717" s="11"/>
      <c r="S6717" s="11"/>
      <c r="T6717" s="11"/>
      <c r="U6717" s="11">
        <f t="shared" si="1995"/>
        <v>2</v>
      </c>
      <c r="W6717">
        <v>2.2000000000000002</v>
      </c>
      <c r="X6717" s="1" t="s">
        <v>18</v>
      </c>
    </row>
    <row r="6718" spans="1:24" x14ac:dyDescent="0.25">
      <c r="A6718" s="1" t="str">
        <f t="shared" si="1996"/>
        <v>卡卡杜-凤凰仓</v>
      </c>
      <c r="B6718" s="1" t="str">
        <f>"CK202410189586"</f>
        <v>CK202410189586</v>
      </c>
      <c r="C6718" s="1" t="str">
        <f>"DD2024101815173"</f>
        <v>DD2024101815173</v>
      </c>
      <c r="D6718" s="1" t="str">
        <f>"CK202410189360"</f>
        <v>CK202410189360</v>
      </c>
      <c r="E6718" s="1" t="str">
        <f>"6935145164890969091"</f>
        <v>6935145164890969091</v>
      </c>
      <c r="F6718" s="1" t="str">
        <f t="shared" si="1997"/>
        <v>花都四部-凤凰仓</v>
      </c>
      <c r="G6718" s="1" t="str">
        <f t="shared" si="2002"/>
        <v>卡卡杜个人护理店（抖店）</v>
      </c>
      <c r="H6718" s="1" t="str">
        <f t="shared" si="1998"/>
        <v>正常订单</v>
      </c>
      <c r="I6718" s="1" t="str">
        <f t="shared" si="1999"/>
        <v>已发货</v>
      </c>
      <c r="J6718" s="1" t="str">
        <f t="shared" si="2003"/>
        <v>3</v>
      </c>
      <c r="K6718" s="1">
        <v>3</v>
      </c>
      <c r="L6718" s="1" t="s">
        <v>20</v>
      </c>
      <c r="M6718" s="1" t="str">
        <f>"浙江省 温州市 龙港市 龙港市辖镇"</f>
        <v>浙江省 温州市 龙港市 龙港市辖镇</v>
      </c>
      <c r="N6718" s="1" t="str">
        <f t="shared" si="2001"/>
        <v>凡华云仓-韵达-抖音</v>
      </c>
      <c r="O6718" s="5">
        <v>320177464924342</v>
      </c>
      <c r="P6718" s="6">
        <v>0.28000000000000003</v>
      </c>
      <c r="Q6718" s="11">
        <v>2</v>
      </c>
      <c r="R6718" s="11"/>
      <c r="S6718" s="11"/>
      <c r="T6718" s="11"/>
      <c r="U6718" s="11">
        <f t="shared" si="1995"/>
        <v>2</v>
      </c>
      <c r="W6718">
        <v>2.2000000000000002</v>
      </c>
      <c r="X6718" s="1" t="s">
        <v>20</v>
      </c>
    </row>
    <row r="6719" spans="1:24" x14ac:dyDescent="0.25">
      <c r="A6719" s="1" t="str">
        <f t="shared" si="1996"/>
        <v>卡卡杜-凤凰仓</v>
      </c>
      <c r="B6719" s="1" t="str">
        <f>"CK202410189595"</f>
        <v>CK202410189595</v>
      </c>
      <c r="C6719" s="1" t="str">
        <f>"DD2024101815178"</f>
        <v>DD2024101815178</v>
      </c>
      <c r="D6719" s="1" t="str">
        <f>"CK202410189359"</f>
        <v>CK202410189359</v>
      </c>
      <c r="E6719" s="1" t="str">
        <f>"6935147358264169646"</f>
        <v>6935147358264169646</v>
      </c>
      <c r="F6719" s="1" t="str">
        <f t="shared" si="1997"/>
        <v>花都四部-凤凰仓</v>
      </c>
      <c r="G6719" s="1" t="str">
        <f t="shared" si="2002"/>
        <v>卡卡杜个人护理店（抖店）</v>
      </c>
      <c r="H6719" s="1" t="str">
        <f t="shared" si="1998"/>
        <v>正常订单</v>
      </c>
      <c r="I6719" s="1" t="str">
        <f t="shared" si="1999"/>
        <v>已发货</v>
      </c>
      <c r="J6719" s="1" t="str">
        <f t="shared" si="2003"/>
        <v>3</v>
      </c>
      <c r="K6719" s="1">
        <v>3</v>
      </c>
      <c r="L6719" s="1" t="s">
        <v>13</v>
      </c>
      <c r="M6719" s="1" t="str">
        <f>"江苏省 苏州市 常熟市 常福街道"</f>
        <v>江苏省 苏州市 常熟市 常福街道</v>
      </c>
      <c r="N6719" s="1" t="str">
        <f t="shared" si="2001"/>
        <v>凡华云仓-韵达-抖音</v>
      </c>
      <c r="O6719" s="5">
        <v>320177464924249</v>
      </c>
      <c r="P6719" s="6">
        <v>0.28000000000000003</v>
      </c>
      <c r="Q6719" s="11">
        <v>2</v>
      </c>
      <c r="R6719" s="11"/>
      <c r="S6719" s="11"/>
      <c r="T6719" s="11"/>
      <c r="U6719" s="11">
        <f t="shared" si="1995"/>
        <v>2</v>
      </c>
      <c r="W6719">
        <v>2.2000000000000002</v>
      </c>
      <c r="X6719" s="1" t="s">
        <v>13</v>
      </c>
    </row>
    <row r="6720" spans="1:24" x14ac:dyDescent="0.25">
      <c r="A6720" s="1" t="str">
        <f t="shared" si="1996"/>
        <v>卡卡杜-凤凰仓</v>
      </c>
      <c r="B6720" s="1" t="str">
        <f>"CK202410189607"</f>
        <v>CK202410189607</v>
      </c>
      <c r="C6720" s="1" t="str">
        <f>"DD2024101815190"</f>
        <v>DD2024101815190</v>
      </c>
      <c r="D6720" s="1" t="str">
        <f>"CK202410189358"</f>
        <v>CK202410189358</v>
      </c>
      <c r="E6720" s="1" t="str">
        <f>"6935164784162838137"</f>
        <v>6935164784162838137</v>
      </c>
      <c r="F6720" s="1" t="str">
        <f t="shared" si="1997"/>
        <v>花都四部-凤凰仓</v>
      </c>
      <c r="G6720" s="1" t="str">
        <f t="shared" si="2002"/>
        <v>卡卡杜个人护理店（抖店）</v>
      </c>
      <c r="H6720" s="1" t="str">
        <f t="shared" si="1998"/>
        <v>正常订单</v>
      </c>
      <c r="I6720" s="1" t="str">
        <f t="shared" si="1999"/>
        <v>已发货</v>
      </c>
      <c r="J6720" s="1" t="str">
        <f t="shared" si="2003"/>
        <v>3</v>
      </c>
      <c r="K6720" s="1">
        <v>3</v>
      </c>
      <c r="L6720" s="1" t="s">
        <v>18</v>
      </c>
      <c r="M6720" s="1" t="str">
        <f>"广东省 深圳市 宝安区 沙井街道"</f>
        <v>广东省 深圳市 宝安区 沙井街道</v>
      </c>
      <c r="N6720" s="1" t="str">
        <f t="shared" si="2001"/>
        <v>凡华云仓-韵达-抖音</v>
      </c>
      <c r="O6720" s="5">
        <v>320177464924158</v>
      </c>
      <c r="P6720" s="6">
        <v>0.28000000000000003</v>
      </c>
      <c r="Q6720" s="11">
        <v>2</v>
      </c>
      <c r="R6720" s="11"/>
      <c r="S6720" s="11"/>
      <c r="T6720" s="11"/>
      <c r="U6720" s="11">
        <f t="shared" si="1995"/>
        <v>2</v>
      </c>
      <c r="W6720">
        <v>2.2000000000000002</v>
      </c>
      <c r="X6720" s="1" t="s">
        <v>18</v>
      </c>
    </row>
    <row r="6721" spans="1:24" x14ac:dyDescent="0.25">
      <c r="A6721" s="1" t="str">
        <f t="shared" si="1996"/>
        <v>卡卡杜-凤凰仓</v>
      </c>
      <c r="B6721" s="1" t="str">
        <f>"CK202410189609"</f>
        <v>CK202410189609</v>
      </c>
      <c r="C6721" s="1" t="str">
        <f>"DD2024101815192"</f>
        <v>DD2024101815192</v>
      </c>
      <c r="D6721" s="1" t="str">
        <f>"CK202410189357"</f>
        <v>CK202410189357</v>
      </c>
      <c r="E6721" s="1" t="str">
        <f>"6935149830655382629"</f>
        <v>6935149830655382629</v>
      </c>
      <c r="F6721" s="1" t="str">
        <f t="shared" si="1997"/>
        <v>花都四部-凤凰仓</v>
      </c>
      <c r="G6721" s="1" t="str">
        <f t="shared" si="2002"/>
        <v>卡卡杜个人护理店（抖店）</v>
      </c>
      <c r="H6721" s="1" t="str">
        <f t="shared" si="1998"/>
        <v>正常订单</v>
      </c>
      <c r="I6721" s="1" t="str">
        <f t="shared" si="1999"/>
        <v>已发货</v>
      </c>
      <c r="J6721" s="1" t="str">
        <f t="shared" si="2003"/>
        <v>3</v>
      </c>
      <c r="K6721" s="1">
        <v>3</v>
      </c>
      <c r="L6721" s="1" t="s">
        <v>96</v>
      </c>
      <c r="M6721" s="1" t="str">
        <f>"广西壮族自治区 南宁市 西乡塘区 西乡塘街道"</f>
        <v>广西壮族自治区 南宁市 西乡塘区 西乡塘街道</v>
      </c>
      <c r="N6721" s="1" t="str">
        <f t="shared" si="2001"/>
        <v>凡华云仓-韵达-抖音</v>
      </c>
      <c r="O6721" s="5">
        <v>320177464924069</v>
      </c>
      <c r="P6721" s="6">
        <v>0.28000000000000003</v>
      </c>
      <c r="Q6721" s="11">
        <v>2</v>
      </c>
      <c r="R6721" s="11"/>
      <c r="S6721" s="11"/>
      <c r="T6721" s="11"/>
      <c r="U6721" s="11">
        <f t="shared" si="1995"/>
        <v>2</v>
      </c>
      <c r="W6721">
        <v>2.2000000000000002</v>
      </c>
      <c r="X6721" s="1" t="s">
        <v>96</v>
      </c>
    </row>
    <row r="6722" spans="1:24" x14ac:dyDescent="0.25">
      <c r="A6722" s="1" t="str">
        <f t="shared" si="1996"/>
        <v>卡卡杜-凤凰仓</v>
      </c>
      <c r="B6722" s="1" t="str">
        <f>"CK2024101810043"</f>
        <v>CK2024101810043</v>
      </c>
      <c r="C6722" s="1" t="str">
        <f>"DD2024101815626"</f>
        <v>DD2024101815626</v>
      </c>
      <c r="D6722" s="1" t="str">
        <f>"CK202410189356"</f>
        <v>CK202410189356</v>
      </c>
      <c r="E6722" s="1" t="str">
        <f>"6935158341427008661"</f>
        <v>6935158341427008661</v>
      </c>
      <c r="F6722" s="1" t="str">
        <f t="shared" si="1997"/>
        <v>花都四部-凤凰仓</v>
      </c>
      <c r="G6722" s="1" t="str">
        <f t="shared" si="2002"/>
        <v>卡卡杜个人护理店（抖店）</v>
      </c>
      <c r="H6722" s="1" t="str">
        <f t="shared" si="1998"/>
        <v>正常订单</v>
      </c>
      <c r="I6722" s="1" t="str">
        <f t="shared" si="1999"/>
        <v>已发货</v>
      </c>
      <c r="J6722" s="1" t="str">
        <f t="shared" si="2003"/>
        <v>3</v>
      </c>
      <c r="K6722" s="1">
        <v>3</v>
      </c>
      <c r="L6722" s="1" t="s">
        <v>30</v>
      </c>
      <c r="M6722" s="1" t="str">
        <f>"山东省 青岛市 胶州市 九龙街道"</f>
        <v>山东省 青岛市 胶州市 九龙街道</v>
      </c>
      <c r="N6722" s="1" t="str">
        <f t="shared" si="2001"/>
        <v>凡华云仓-韵达-抖音</v>
      </c>
      <c r="O6722" s="5">
        <v>320177464923947</v>
      </c>
      <c r="P6722" s="6">
        <v>0.28000000000000003</v>
      </c>
      <c r="Q6722" s="11">
        <v>2</v>
      </c>
      <c r="R6722" s="11"/>
      <c r="S6722" s="11"/>
      <c r="T6722" s="11"/>
      <c r="U6722" s="11">
        <f t="shared" si="1995"/>
        <v>2</v>
      </c>
      <c r="W6722">
        <v>2.2000000000000002</v>
      </c>
      <c r="X6722" s="1" t="s">
        <v>30</v>
      </c>
    </row>
    <row r="6723" spans="1:24" x14ac:dyDescent="0.25">
      <c r="A6723" s="1" t="str">
        <f t="shared" si="1996"/>
        <v>卡卡杜-凤凰仓</v>
      </c>
      <c r="B6723" s="1" t="str">
        <f>"CK2024101810042"</f>
        <v>CK2024101810042</v>
      </c>
      <c r="C6723" s="1" t="str">
        <f>"DD2024101815627"</f>
        <v>DD2024101815627</v>
      </c>
      <c r="D6723" s="1" t="str">
        <f>"CK202410189355"</f>
        <v>CK202410189355</v>
      </c>
      <c r="E6723" s="1" t="str">
        <f>"6935147209619608662"</f>
        <v>6935147209619608662</v>
      </c>
      <c r="F6723" s="1" t="str">
        <f t="shared" si="1997"/>
        <v>花都四部-凤凰仓</v>
      </c>
      <c r="G6723" s="1" t="str">
        <f t="shared" si="2002"/>
        <v>卡卡杜个人护理店（抖店）</v>
      </c>
      <c r="H6723" s="1" t="str">
        <f t="shared" si="1998"/>
        <v>正常订单</v>
      </c>
      <c r="I6723" s="1" t="str">
        <f t="shared" si="1999"/>
        <v>已发货</v>
      </c>
      <c r="J6723" s="1" t="str">
        <f t="shared" si="2003"/>
        <v>3</v>
      </c>
      <c r="K6723" s="1">
        <v>3</v>
      </c>
      <c r="L6723" s="1" t="s">
        <v>36</v>
      </c>
      <c r="M6723" s="1" t="str">
        <f>"安徽省 蚌埠市 固镇县 濠城镇"</f>
        <v>安徽省 蚌埠市 固镇县 濠城镇</v>
      </c>
      <c r="N6723" s="1" t="str">
        <f t="shared" si="2001"/>
        <v>凡华云仓-韵达-抖音</v>
      </c>
      <c r="O6723" s="5">
        <v>320177464923842</v>
      </c>
      <c r="P6723" s="6">
        <v>0.28000000000000003</v>
      </c>
      <c r="Q6723" s="11">
        <v>2</v>
      </c>
      <c r="R6723" s="11"/>
      <c r="S6723" s="11"/>
      <c r="T6723" s="11"/>
      <c r="U6723" s="11">
        <f t="shared" ref="U6723:U6786" si="2004">T6723+S6723+R6723+Q6723</f>
        <v>2</v>
      </c>
      <c r="W6723">
        <v>2.2000000000000002</v>
      </c>
      <c r="X6723" s="1" t="s">
        <v>36</v>
      </c>
    </row>
    <row r="6724" spans="1:24" x14ac:dyDescent="0.25">
      <c r="A6724" s="1" t="str">
        <f t="shared" si="1996"/>
        <v>卡卡杜-凤凰仓</v>
      </c>
      <c r="B6724" s="1" t="str">
        <f>"CK2024101810044"</f>
        <v>CK2024101810044</v>
      </c>
      <c r="C6724" s="1" t="str">
        <f>"DD2024101815629"</f>
        <v>DD2024101815629</v>
      </c>
      <c r="D6724" s="1" t="str">
        <f>"CK202410189354"</f>
        <v>CK202410189354</v>
      </c>
      <c r="E6724" s="1" t="str">
        <f>"6935147276272145592"</f>
        <v>6935147276272145592</v>
      </c>
      <c r="F6724" s="1" t="str">
        <f t="shared" si="1997"/>
        <v>花都四部-凤凰仓</v>
      </c>
      <c r="G6724" s="1" t="str">
        <f t="shared" si="2002"/>
        <v>卡卡杜个人护理店（抖店）</v>
      </c>
      <c r="H6724" s="1" t="str">
        <f t="shared" si="1998"/>
        <v>正常订单</v>
      </c>
      <c r="I6724" s="1" t="str">
        <f t="shared" si="1999"/>
        <v>已发货</v>
      </c>
      <c r="J6724" s="1" t="str">
        <f>"6"</f>
        <v>6</v>
      </c>
      <c r="K6724" s="1">
        <v>3</v>
      </c>
      <c r="L6724" s="1" t="s">
        <v>36</v>
      </c>
      <c r="M6724" s="1" t="str">
        <f>"安徽省 芜湖市 鸠江区 官陡街道"</f>
        <v>安徽省 芜湖市 鸠江区 官陡街道</v>
      </c>
      <c r="N6724" s="1" t="str">
        <f t="shared" si="2001"/>
        <v>凡华云仓-韵达-抖音</v>
      </c>
      <c r="O6724" s="5">
        <v>320177464923739</v>
      </c>
      <c r="P6724" s="6">
        <v>0.45</v>
      </c>
      <c r="Q6724" s="11">
        <v>2.2999999999999998</v>
      </c>
      <c r="R6724" s="11"/>
      <c r="S6724" s="11"/>
      <c r="T6724" s="11"/>
      <c r="U6724" s="11">
        <f t="shared" si="2004"/>
        <v>2.2999999999999998</v>
      </c>
      <c r="W6724">
        <v>2.5</v>
      </c>
      <c r="X6724" s="1" t="s">
        <v>36</v>
      </c>
    </row>
    <row r="6725" spans="1:24" x14ac:dyDescent="0.25">
      <c r="A6725" s="1" t="str">
        <f t="shared" ref="A6725:A6788" si="2005">"卡卡杜-凤凰仓"</f>
        <v>卡卡杜-凤凰仓</v>
      </c>
      <c r="B6725" s="1" t="str">
        <f>"CK2024101810045"</f>
        <v>CK2024101810045</v>
      </c>
      <c r="C6725" s="1" t="str">
        <f>"DD2024101815630"</f>
        <v>DD2024101815630</v>
      </c>
      <c r="D6725" s="1" t="str">
        <f>"CK202410189353"</f>
        <v>CK202410189353</v>
      </c>
      <c r="E6725" s="1" t="str">
        <f>"6935147406776407400"</f>
        <v>6935147406776407400</v>
      </c>
      <c r="F6725" s="1" t="str">
        <f t="shared" ref="F6725:F6788" si="2006">"花都四部-凤凰仓"</f>
        <v>花都四部-凤凰仓</v>
      </c>
      <c r="G6725" s="1" t="str">
        <f t="shared" si="2002"/>
        <v>卡卡杜个人护理店（抖店）</v>
      </c>
      <c r="H6725" s="1" t="str">
        <f t="shared" ref="H6725:H6788" si="2007">"正常订单"</f>
        <v>正常订单</v>
      </c>
      <c r="I6725" s="1" t="str">
        <f t="shared" ref="I6725:I6788" si="2008">"已发货"</f>
        <v>已发货</v>
      </c>
      <c r="J6725" s="1" t="str">
        <f t="shared" ref="J6725:J6782" si="2009">"3"</f>
        <v>3</v>
      </c>
      <c r="K6725" s="1">
        <v>3</v>
      </c>
      <c r="L6725" s="1" t="s">
        <v>80</v>
      </c>
      <c r="M6725" s="1" t="str">
        <f>"河南省 信阳市 息县 龙湖街道"</f>
        <v>河南省 信阳市 息县 龙湖街道</v>
      </c>
      <c r="N6725" s="1" t="str">
        <f t="shared" si="2001"/>
        <v>凡华云仓-韵达-抖音</v>
      </c>
      <c r="O6725" s="5">
        <v>320177479462630</v>
      </c>
      <c r="P6725" s="6">
        <v>0.28000000000000003</v>
      </c>
      <c r="Q6725" s="11">
        <v>2</v>
      </c>
      <c r="R6725" s="11"/>
      <c r="S6725" s="11"/>
      <c r="T6725" s="11"/>
      <c r="U6725" s="11">
        <f t="shared" si="2004"/>
        <v>2</v>
      </c>
      <c r="W6725">
        <v>2.2000000000000002</v>
      </c>
      <c r="X6725" s="1" t="s">
        <v>80</v>
      </c>
    </row>
    <row r="6726" spans="1:24" x14ac:dyDescent="0.25">
      <c r="A6726" s="1" t="str">
        <f t="shared" si="2005"/>
        <v>卡卡杜-凤凰仓</v>
      </c>
      <c r="B6726" s="1" t="str">
        <f>"CK202410189585"</f>
        <v>CK202410189585</v>
      </c>
      <c r="C6726" s="1" t="str">
        <f>"DD2024101815168"</f>
        <v>DD2024101815168</v>
      </c>
      <c r="D6726" s="1" t="str">
        <f>"CK202410189352"</f>
        <v>CK202410189352</v>
      </c>
      <c r="E6726" s="1" t="str">
        <f>"6935149869923570939"</f>
        <v>6935149869923570939</v>
      </c>
      <c r="F6726" s="1" t="str">
        <f t="shared" si="2006"/>
        <v>花都四部-凤凰仓</v>
      </c>
      <c r="G6726" s="1" t="str">
        <f t="shared" si="2002"/>
        <v>卡卡杜个人护理店（抖店）</v>
      </c>
      <c r="H6726" s="1" t="str">
        <f t="shared" si="2007"/>
        <v>正常订单</v>
      </c>
      <c r="I6726" s="1" t="str">
        <f t="shared" si="2008"/>
        <v>已发货</v>
      </c>
      <c r="J6726" s="1" t="str">
        <f t="shared" si="2009"/>
        <v>3</v>
      </c>
      <c r="K6726" s="1">
        <v>3</v>
      </c>
      <c r="L6726" s="1" t="s">
        <v>74</v>
      </c>
      <c r="M6726" s="1" t="str">
        <f>"上海 上海市 奉贤区 庄行镇"</f>
        <v>上海 上海市 奉贤区 庄行镇</v>
      </c>
      <c r="N6726" s="1" t="str">
        <f t="shared" si="2001"/>
        <v>凡华云仓-韵达-抖音</v>
      </c>
      <c r="O6726" s="5">
        <v>320177479462531</v>
      </c>
      <c r="P6726" s="6">
        <v>0.28000000000000003</v>
      </c>
      <c r="Q6726" s="11">
        <v>2</v>
      </c>
      <c r="R6726" s="11"/>
      <c r="S6726" s="11"/>
      <c r="T6726" s="11"/>
      <c r="U6726" s="11">
        <f t="shared" si="2004"/>
        <v>2</v>
      </c>
      <c r="W6726">
        <v>2.2000000000000002</v>
      </c>
      <c r="X6726" s="1" t="s">
        <v>74</v>
      </c>
    </row>
    <row r="6727" spans="1:24" x14ac:dyDescent="0.25">
      <c r="A6727" s="1" t="str">
        <f t="shared" si="2005"/>
        <v>卡卡杜-凤凰仓</v>
      </c>
      <c r="B6727" s="1" t="str">
        <f>"CK202410189591"</f>
        <v>CK202410189591</v>
      </c>
      <c r="C6727" s="1" t="str">
        <f>"DD2024101815172"</f>
        <v>DD2024101815172</v>
      </c>
      <c r="D6727" s="1" t="str">
        <f>"CK202410189351"</f>
        <v>CK202410189351</v>
      </c>
      <c r="E6727" s="1" t="str">
        <f>"6935149720435692625"</f>
        <v>6935149720435692625</v>
      </c>
      <c r="F6727" s="1" t="str">
        <f t="shared" si="2006"/>
        <v>花都四部-凤凰仓</v>
      </c>
      <c r="G6727" s="1" t="str">
        <f t="shared" si="2002"/>
        <v>卡卡杜个人护理店（抖店）</v>
      </c>
      <c r="H6727" s="1" t="str">
        <f t="shared" si="2007"/>
        <v>正常订单</v>
      </c>
      <c r="I6727" s="1" t="str">
        <f t="shared" si="2008"/>
        <v>已发货</v>
      </c>
      <c r="J6727" s="1" t="str">
        <f t="shared" si="2009"/>
        <v>3</v>
      </c>
      <c r="K6727" s="1">
        <v>3</v>
      </c>
      <c r="L6727" s="1" t="s">
        <v>92</v>
      </c>
      <c r="M6727" s="1" t="str">
        <f>"辽宁省 铁岭市 银州区 铜钟街道"</f>
        <v>辽宁省 铁岭市 银州区 铜钟街道</v>
      </c>
      <c r="N6727" s="1" t="str">
        <f t="shared" si="2001"/>
        <v>凡华云仓-韵达-抖音</v>
      </c>
      <c r="O6727" s="5">
        <v>320177479462434</v>
      </c>
      <c r="P6727" s="6">
        <v>0.28000000000000003</v>
      </c>
      <c r="Q6727" s="11">
        <v>2</v>
      </c>
      <c r="R6727" s="11"/>
      <c r="S6727" s="11"/>
      <c r="T6727" s="11"/>
      <c r="U6727" s="11">
        <f t="shared" si="2004"/>
        <v>2</v>
      </c>
      <c r="W6727">
        <v>2.2000000000000002</v>
      </c>
      <c r="X6727" s="1" t="s">
        <v>92</v>
      </c>
    </row>
    <row r="6728" spans="1:24" x14ac:dyDescent="0.25">
      <c r="A6728" s="1" t="str">
        <f t="shared" si="2005"/>
        <v>卡卡杜-凤凰仓</v>
      </c>
      <c r="B6728" s="1" t="str">
        <f>"CK202410189593"</f>
        <v>CK202410189593</v>
      </c>
      <c r="C6728" s="1" t="str">
        <f>"DD2024101815177"</f>
        <v>DD2024101815177</v>
      </c>
      <c r="D6728" s="1" t="str">
        <f>"CK202410189350"</f>
        <v>CK202410189350</v>
      </c>
      <c r="E6728" s="1" t="str">
        <f>"6935143382979581737"</f>
        <v>6935143382979581737</v>
      </c>
      <c r="F6728" s="1" t="str">
        <f t="shared" si="2006"/>
        <v>花都四部-凤凰仓</v>
      </c>
      <c r="G6728" s="1" t="str">
        <f t="shared" si="2002"/>
        <v>卡卡杜个人护理店（抖店）</v>
      </c>
      <c r="H6728" s="1" t="str">
        <f t="shared" si="2007"/>
        <v>正常订单</v>
      </c>
      <c r="I6728" s="1" t="str">
        <f t="shared" si="2008"/>
        <v>已发货</v>
      </c>
      <c r="J6728" s="1" t="str">
        <f t="shared" si="2009"/>
        <v>3</v>
      </c>
      <c r="K6728" s="1">
        <v>3</v>
      </c>
      <c r="L6728" s="1" t="s">
        <v>13</v>
      </c>
      <c r="M6728" s="1" t="str">
        <f>"江苏省 南京市 江宁区 东山街道"</f>
        <v>江苏省 南京市 江宁区 东山街道</v>
      </c>
      <c r="N6728" s="1" t="str">
        <f t="shared" si="2001"/>
        <v>凡华云仓-韵达-抖音</v>
      </c>
      <c r="O6728" s="5">
        <v>320177479462339</v>
      </c>
      <c r="P6728" s="6">
        <v>0.28000000000000003</v>
      </c>
      <c r="Q6728" s="11">
        <v>2</v>
      </c>
      <c r="R6728" s="11"/>
      <c r="S6728" s="11"/>
      <c r="T6728" s="11"/>
      <c r="U6728" s="11">
        <f t="shared" si="2004"/>
        <v>2</v>
      </c>
      <c r="W6728">
        <v>2.2000000000000002</v>
      </c>
      <c r="X6728" s="1" t="s">
        <v>13</v>
      </c>
    </row>
    <row r="6729" spans="1:24" x14ac:dyDescent="0.25">
      <c r="A6729" s="1" t="str">
        <f t="shared" si="2005"/>
        <v>卡卡杜-凤凰仓</v>
      </c>
      <c r="B6729" s="1" t="str">
        <f>"CK202410189597"</f>
        <v>CK202410189597</v>
      </c>
      <c r="C6729" s="1" t="str">
        <f>"DD2024101815179"</f>
        <v>DD2024101815179</v>
      </c>
      <c r="D6729" s="1" t="str">
        <f>"CK202410189349"</f>
        <v>CK202410189349</v>
      </c>
      <c r="E6729" s="1" t="str">
        <f>"6935145245526201587"</f>
        <v>6935145245526201587</v>
      </c>
      <c r="F6729" s="1" t="str">
        <f t="shared" si="2006"/>
        <v>花都四部-凤凰仓</v>
      </c>
      <c r="G6729" s="1" t="str">
        <f t="shared" si="2002"/>
        <v>卡卡杜个人护理店（抖店）</v>
      </c>
      <c r="H6729" s="1" t="str">
        <f t="shared" si="2007"/>
        <v>正常订单</v>
      </c>
      <c r="I6729" s="1" t="str">
        <f t="shared" si="2008"/>
        <v>已发货</v>
      </c>
      <c r="J6729" s="1" t="str">
        <f t="shared" si="2009"/>
        <v>3</v>
      </c>
      <c r="K6729" s="1">
        <v>3</v>
      </c>
      <c r="L6729" s="1" t="s">
        <v>30</v>
      </c>
      <c r="M6729" s="1" t="str">
        <f>"山东省 济南市 莱芜区 张家洼街道"</f>
        <v>山东省 济南市 莱芜区 张家洼街道</v>
      </c>
      <c r="N6729" s="1" t="str">
        <f t="shared" si="2001"/>
        <v>凡华云仓-韵达-抖音</v>
      </c>
      <c r="O6729" s="5">
        <v>320177479462246</v>
      </c>
      <c r="P6729" s="6">
        <v>0.28000000000000003</v>
      </c>
      <c r="Q6729" s="11">
        <v>2</v>
      </c>
      <c r="R6729" s="11"/>
      <c r="S6729" s="11"/>
      <c r="T6729" s="11"/>
      <c r="U6729" s="11">
        <f t="shared" si="2004"/>
        <v>2</v>
      </c>
      <c r="W6729">
        <v>2.2000000000000002</v>
      </c>
      <c r="X6729" s="1" t="s">
        <v>30</v>
      </c>
    </row>
    <row r="6730" spans="1:24" x14ac:dyDescent="0.25">
      <c r="A6730" s="1" t="str">
        <f t="shared" si="2005"/>
        <v>卡卡杜-凤凰仓</v>
      </c>
      <c r="B6730" s="1" t="str">
        <f>"CK202410189600"</f>
        <v>CK202410189600</v>
      </c>
      <c r="C6730" s="1" t="str">
        <f>"DD2024101815183"</f>
        <v>DD2024101815183</v>
      </c>
      <c r="D6730" s="1" t="str">
        <f>"CK202410189348"</f>
        <v>CK202410189348</v>
      </c>
      <c r="E6730" s="1" t="str">
        <f>"6935147269315892256"</f>
        <v>6935147269315892256</v>
      </c>
      <c r="F6730" s="1" t="str">
        <f t="shared" si="2006"/>
        <v>花都四部-凤凰仓</v>
      </c>
      <c r="G6730" s="1" t="str">
        <f t="shared" si="2002"/>
        <v>卡卡杜个人护理店（抖店）</v>
      </c>
      <c r="H6730" s="1" t="str">
        <f t="shared" si="2007"/>
        <v>正常订单</v>
      </c>
      <c r="I6730" s="1" t="str">
        <f t="shared" si="2008"/>
        <v>已发货</v>
      </c>
      <c r="J6730" s="1" t="str">
        <f t="shared" si="2009"/>
        <v>3</v>
      </c>
      <c r="K6730" s="1">
        <v>3</v>
      </c>
      <c r="L6730" s="1" t="s">
        <v>36</v>
      </c>
      <c r="M6730" s="1" t="str">
        <f>"安徽省 六安市 金安区 东市街道"</f>
        <v>安徽省 六安市 金安区 东市街道</v>
      </c>
      <c r="N6730" s="1" t="str">
        <f t="shared" si="2001"/>
        <v>凡华云仓-韵达-抖音</v>
      </c>
      <c r="O6730" s="5">
        <v>320177479462155</v>
      </c>
      <c r="P6730" s="6">
        <v>0.28000000000000003</v>
      </c>
      <c r="Q6730" s="11">
        <v>2</v>
      </c>
      <c r="R6730" s="11"/>
      <c r="S6730" s="11"/>
      <c r="T6730" s="11"/>
      <c r="U6730" s="11">
        <f t="shared" si="2004"/>
        <v>2</v>
      </c>
      <c r="W6730">
        <v>2.2000000000000002</v>
      </c>
      <c r="X6730" s="1" t="s">
        <v>36</v>
      </c>
    </row>
    <row r="6731" spans="1:24" x14ac:dyDescent="0.25">
      <c r="A6731" s="1" t="str">
        <f t="shared" si="2005"/>
        <v>卡卡杜-凤凰仓</v>
      </c>
      <c r="B6731" s="1" t="str">
        <f>"CK202410189602"</f>
        <v>CK202410189602</v>
      </c>
      <c r="C6731" s="1" t="str">
        <f>"DD2024101815186"</f>
        <v>DD2024101815186</v>
      </c>
      <c r="D6731" s="1" t="str">
        <f>"CK202410189347"</f>
        <v>CK202410189347</v>
      </c>
      <c r="E6731" s="1" t="str">
        <f>"6935165004975707344"</f>
        <v>6935165004975707344</v>
      </c>
      <c r="F6731" s="1" t="str">
        <f t="shared" si="2006"/>
        <v>花都四部-凤凰仓</v>
      </c>
      <c r="G6731" s="1" t="str">
        <f t="shared" si="2002"/>
        <v>卡卡杜个人护理店（抖店）</v>
      </c>
      <c r="H6731" s="1" t="str">
        <f t="shared" si="2007"/>
        <v>正常订单</v>
      </c>
      <c r="I6731" s="1" t="str">
        <f t="shared" si="2008"/>
        <v>已发货</v>
      </c>
      <c r="J6731" s="1" t="str">
        <f t="shared" si="2009"/>
        <v>3</v>
      </c>
      <c r="K6731" s="1">
        <v>3</v>
      </c>
      <c r="L6731" s="1" t="s">
        <v>16</v>
      </c>
      <c r="M6731" s="1" t="str">
        <f>"河北省 衡水市 桃城区 河西街道"</f>
        <v>河北省 衡水市 桃城区 河西街道</v>
      </c>
      <c r="N6731" s="1" t="str">
        <f t="shared" si="2001"/>
        <v>凡华云仓-韵达-抖音</v>
      </c>
      <c r="O6731" s="5">
        <v>320177479462066</v>
      </c>
      <c r="P6731" s="6">
        <v>0.28000000000000003</v>
      </c>
      <c r="Q6731" s="11">
        <v>2</v>
      </c>
      <c r="R6731" s="11"/>
      <c r="S6731" s="11"/>
      <c r="T6731" s="11"/>
      <c r="U6731" s="11">
        <f t="shared" si="2004"/>
        <v>2</v>
      </c>
      <c r="W6731">
        <v>2.2000000000000002</v>
      </c>
      <c r="X6731" s="1" t="s">
        <v>16</v>
      </c>
    </row>
    <row r="6732" spans="1:24" x14ac:dyDescent="0.25">
      <c r="A6732" s="1" t="str">
        <f t="shared" si="2005"/>
        <v>卡卡杜-凤凰仓</v>
      </c>
      <c r="B6732" s="1" t="str">
        <f>"CK202410189604"</f>
        <v>CK202410189604</v>
      </c>
      <c r="C6732" s="1" t="str">
        <f>"DD2024101815188"</f>
        <v>DD2024101815188</v>
      </c>
      <c r="D6732" s="1" t="str">
        <f>"CK202410189346"</f>
        <v>CK202410189346</v>
      </c>
      <c r="E6732" s="1" t="str">
        <f>"6935171974281958698"</f>
        <v>6935171974281958698</v>
      </c>
      <c r="F6732" s="1" t="str">
        <f t="shared" si="2006"/>
        <v>花都四部-凤凰仓</v>
      </c>
      <c r="G6732" s="1" t="str">
        <f t="shared" si="2002"/>
        <v>卡卡杜个人护理店（抖店）</v>
      </c>
      <c r="H6732" s="1" t="str">
        <f t="shared" si="2007"/>
        <v>正常订单</v>
      </c>
      <c r="I6732" s="1" t="str">
        <f t="shared" si="2008"/>
        <v>已发货</v>
      </c>
      <c r="J6732" s="1" t="str">
        <f t="shared" si="2009"/>
        <v>3</v>
      </c>
      <c r="K6732" s="1">
        <v>3</v>
      </c>
      <c r="L6732" s="1" t="s">
        <v>187</v>
      </c>
      <c r="M6732" s="1" t="str">
        <f>"吉林省 延边朝鲜族自治州 汪清县 汪清镇"</f>
        <v>吉林省 延边朝鲜族自治州 汪清县 汪清镇</v>
      </c>
      <c r="N6732" s="1" t="str">
        <f t="shared" si="2001"/>
        <v>凡华云仓-韵达-抖音</v>
      </c>
      <c r="O6732" s="5">
        <v>320177479461948</v>
      </c>
      <c r="P6732" s="6">
        <v>0.28000000000000003</v>
      </c>
      <c r="Q6732" s="11">
        <v>2</v>
      </c>
      <c r="R6732" s="11"/>
      <c r="S6732" s="11"/>
      <c r="T6732" s="11"/>
      <c r="U6732" s="11">
        <f t="shared" si="2004"/>
        <v>2</v>
      </c>
      <c r="W6732">
        <v>2.2000000000000002</v>
      </c>
      <c r="X6732" s="1" t="s">
        <v>187</v>
      </c>
    </row>
    <row r="6733" spans="1:24" x14ac:dyDescent="0.25">
      <c r="A6733" s="1" t="str">
        <f t="shared" si="2005"/>
        <v>卡卡杜-凤凰仓</v>
      </c>
      <c r="B6733" s="1" t="str">
        <f>"CK202410189612"</f>
        <v>CK202410189612</v>
      </c>
      <c r="C6733" s="1" t="str">
        <f>"DD2024101815195"</f>
        <v>DD2024101815195</v>
      </c>
      <c r="D6733" s="1" t="str">
        <f>"CK202410189345"</f>
        <v>CK202410189345</v>
      </c>
      <c r="E6733" s="1" t="str">
        <f>"6935171986679535468"</f>
        <v>6935171986679535468</v>
      </c>
      <c r="F6733" s="1" t="str">
        <f t="shared" si="2006"/>
        <v>花都四部-凤凰仓</v>
      </c>
      <c r="G6733" s="1" t="str">
        <f t="shared" si="2002"/>
        <v>卡卡杜个人护理店（抖店）</v>
      </c>
      <c r="H6733" s="1" t="str">
        <f t="shared" si="2007"/>
        <v>正常订单</v>
      </c>
      <c r="I6733" s="1" t="str">
        <f t="shared" si="2008"/>
        <v>已发货</v>
      </c>
      <c r="J6733" s="1" t="str">
        <f t="shared" si="2009"/>
        <v>3</v>
      </c>
      <c r="K6733" s="1">
        <v>3</v>
      </c>
      <c r="L6733" s="1" t="s">
        <v>13</v>
      </c>
      <c r="M6733" s="1" t="str">
        <f>"江苏省 南通市 通州区 "</f>
        <v xml:space="preserve">江苏省 南通市 通州区 </v>
      </c>
      <c r="N6733" s="1" t="str">
        <f t="shared" si="2001"/>
        <v>凡华云仓-韵达-抖音</v>
      </c>
      <c r="O6733" s="5">
        <v>320177479461843</v>
      </c>
      <c r="P6733" s="6">
        <v>0.28000000000000003</v>
      </c>
      <c r="Q6733" s="11">
        <v>2</v>
      </c>
      <c r="R6733" s="11"/>
      <c r="S6733" s="11"/>
      <c r="T6733" s="11"/>
      <c r="U6733" s="11">
        <f t="shared" si="2004"/>
        <v>2</v>
      </c>
      <c r="W6733">
        <v>2.2000000000000002</v>
      </c>
      <c r="X6733" s="1" t="s">
        <v>13</v>
      </c>
    </row>
    <row r="6734" spans="1:24" x14ac:dyDescent="0.25">
      <c r="A6734" s="1" t="str">
        <f t="shared" si="2005"/>
        <v>卡卡杜-凤凰仓</v>
      </c>
      <c r="B6734" s="1" t="str">
        <f>"CK202410189617"</f>
        <v>CK202410189617</v>
      </c>
      <c r="C6734" s="1" t="str">
        <f>"DD2024101815201"</f>
        <v>DD2024101815201</v>
      </c>
      <c r="D6734" s="1" t="str">
        <f>"CK202410189344"</f>
        <v>CK202410189344</v>
      </c>
      <c r="E6734" s="1" t="str">
        <f>"6935149796221786012"</f>
        <v>6935149796221786012</v>
      </c>
      <c r="F6734" s="1" t="str">
        <f t="shared" si="2006"/>
        <v>花都四部-凤凰仓</v>
      </c>
      <c r="G6734" s="1" t="str">
        <f t="shared" si="2002"/>
        <v>卡卡杜个人护理店（抖店）</v>
      </c>
      <c r="H6734" s="1" t="str">
        <f t="shared" si="2007"/>
        <v>正常订单</v>
      </c>
      <c r="I6734" s="1" t="str">
        <f t="shared" si="2008"/>
        <v>已发货</v>
      </c>
      <c r="J6734" s="1" t="str">
        <f t="shared" si="2009"/>
        <v>3</v>
      </c>
      <c r="K6734" s="1">
        <v>3</v>
      </c>
      <c r="L6734" s="1" t="s">
        <v>74</v>
      </c>
      <c r="M6734" s="1" t="str">
        <f>"上海 上海市 青浦区 "</f>
        <v xml:space="preserve">上海 上海市 青浦区 </v>
      </c>
      <c r="N6734" s="1" t="str">
        <f t="shared" si="2001"/>
        <v>凡华云仓-韵达-抖音</v>
      </c>
      <c r="O6734" s="5">
        <v>320177479461740</v>
      </c>
      <c r="P6734" s="6">
        <v>0.28000000000000003</v>
      </c>
      <c r="Q6734" s="11">
        <v>2</v>
      </c>
      <c r="R6734" s="11"/>
      <c r="S6734" s="11"/>
      <c r="T6734" s="11"/>
      <c r="U6734" s="11">
        <f t="shared" si="2004"/>
        <v>2</v>
      </c>
      <c r="W6734">
        <v>2.2000000000000002</v>
      </c>
      <c r="X6734" s="1" t="s">
        <v>74</v>
      </c>
    </row>
    <row r="6735" spans="1:24" x14ac:dyDescent="0.25">
      <c r="A6735" s="1" t="str">
        <f t="shared" si="2005"/>
        <v>卡卡杜-凤凰仓</v>
      </c>
      <c r="B6735" s="1" t="str">
        <f>"CK202410189622"</f>
        <v>CK202410189622</v>
      </c>
      <c r="C6735" s="1" t="str">
        <f>"DD2024101815205"</f>
        <v>DD2024101815205</v>
      </c>
      <c r="D6735" s="1" t="str">
        <f>"CK202410189343"</f>
        <v>CK202410189343</v>
      </c>
      <c r="E6735" s="1" t="str">
        <f>"6935149710315624151"</f>
        <v>6935149710315624151</v>
      </c>
      <c r="F6735" s="1" t="str">
        <f t="shared" si="2006"/>
        <v>花都四部-凤凰仓</v>
      </c>
      <c r="G6735" s="1" t="str">
        <f t="shared" si="2002"/>
        <v>卡卡杜个人护理店（抖店）</v>
      </c>
      <c r="H6735" s="1" t="str">
        <f t="shared" si="2007"/>
        <v>正常订单</v>
      </c>
      <c r="I6735" s="1" t="str">
        <f t="shared" si="2008"/>
        <v>已发货</v>
      </c>
      <c r="J6735" s="1" t="str">
        <f t="shared" si="2009"/>
        <v>3</v>
      </c>
      <c r="K6735" s="1">
        <v>3</v>
      </c>
      <c r="L6735" s="1" t="s">
        <v>18</v>
      </c>
      <c r="M6735" s="1" t="str">
        <f>"广东省 惠州市 惠阳区 秋长街道"</f>
        <v>广东省 惠州市 惠阳区 秋长街道</v>
      </c>
      <c r="N6735" s="1" t="str">
        <f t="shared" si="2001"/>
        <v>凡华云仓-韵达-抖音</v>
      </c>
      <c r="O6735" s="5">
        <v>320177483242958</v>
      </c>
      <c r="P6735" s="6">
        <v>0.28000000000000003</v>
      </c>
      <c r="Q6735" s="11">
        <v>2</v>
      </c>
      <c r="R6735" s="11"/>
      <c r="S6735" s="11"/>
      <c r="T6735" s="11"/>
      <c r="U6735" s="11">
        <f t="shared" si="2004"/>
        <v>2</v>
      </c>
      <c r="W6735">
        <v>2.2000000000000002</v>
      </c>
      <c r="X6735" s="1" t="s">
        <v>18</v>
      </c>
    </row>
    <row r="6736" spans="1:24" x14ac:dyDescent="0.25">
      <c r="A6736" s="1" t="str">
        <f t="shared" si="2005"/>
        <v>卡卡杜-凤凰仓</v>
      </c>
      <c r="B6736" s="1" t="str">
        <f>"CK202410189624"</f>
        <v>CK202410189624</v>
      </c>
      <c r="C6736" s="1" t="str">
        <f>"DD2024101815207"</f>
        <v>DD2024101815207</v>
      </c>
      <c r="D6736" s="1" t="str">
        <f>"CK202410189342"</f>
        <v>CK202410189342</v>
      </c>
      <c r="E6736" s="1" t="str">
        <f>"6935171919590004422"</f>
        <v>6935171919590004422</v>
      </c>
      <c r="F6736" s="1" t="str">
        <f t="shared" si="2006"/>
        <v>花都四部-凤凰仓</v>
      </c>
      <c r="G6736" s="1" t="str">
        <f t="shared" si="2002"/>
        <v>卡卡杜个人护理店（抖店）</v>
      </c>
      <c r="H6736" s="1" t="str">
        <f t="shared" si="2007"/>
        <v>正常订单</v>
      </c>
      <c r="I6736" s="1" t="str">
        <f t="shared" si="2008"/>
        <v>已发货</v>
      </c>
      <c r="J6736" s="1" t="str">
        <f t="shared" si="2009"/>
        <v>3</v>
      </c>
      <c r="K6736" s="1">
        <v>3</v>
      </c>
      <c r="L6736" s="1" t="s">
        <v>109</v>
      </c>
      <c r="M6736" s="1" t="str">
        <f>"山西省 长治市 屯留区 麟绛街道"</f>
        <v>山西省 长治市 屯留区 麟绛街道</v>
      </c>
      <c r="N6736" s="1" t="str">
        <f t="shared" si="2001"/>
        <v>凡华云仓-韵达-抖音</v>
      </c>
      <c r="O6736" s="5">
        <v>320177483242853</v>
      </c>
      <c r="P6736" s="6">
        <v>0.28000000000000003</v>
      </c>
      <c r="Q6736" s="11">
        <v>2</v>
      </c>
      <c r="R6736" s="11"/>
      <c r="S6736" s="11"/>
      <c r="T6736" s="11"/>
      <c r="U6736" s="11">
        <f t="shared" si="2004"/>
        <v>2</v>
      </c>
      <c r="W6736">
        <v>2.2000000000000002</v>
      </c>
      <c r="X6736" s="1" t="s">
        <v>109</v>
      </c>
    </row>
    <row r="6737" spans="1:24" x14ac:dyDescent="0.25">
      <c r="A6737" s="1" t="str">
        <f t="shared" si="2005"/>
        <v>卡卡杜-凤凰仓</v>
      </c>
      <c r="B6737" s="1" t="str">
        <f>"CK202410189631"</f>
        <v>CK202410189631</v>
      </c>
      <c r="C6737" s="1" t="str">
        <f>"DD2024101815214"</f>
        <v>DD2024101815214</v>
      </c>
      <c r="D6737" s="1" t="str">
        <f>"CK202410189341"</f>
        <v>CK202410189341</v>
      </c>
      <c r="E6737" s="1" t="str">
        <f>"6935143400737085061"</f>
        <v>6935143400737085061</v>
      </c>
      <c r="F6737" s="1" t="str">
        <f t="shared" si="2006"/>
        <v>花都四部-凤凰仓</v>
      </c>
      <c r="G6737" s="1" t="str">
        <f t="shared" si="2002"/>
        <v>卡卡杜个人护理店（抖店）</v>
      </c>
      <c r="H6737" s="1" t="str">
        <f t="shared" si="2007"/>
        <v>正常订单</v>
      </c>
      <c r="I6737" s="1" t="str">
        <f t="shared" si="2008"/>
        <v>已发货</v>
      </c>
      <c r="J6737" s="1" t="str">
        <f t="shared" si="2009"/>
        <v>3</v>
      </c>
      <c r="K6737" s="1">
        <v>3</v>
      </c>
      <c r="L6737" s="1" t="s">
        <v>80</v>
      </c>
      <c r="M6737" s="1" t="str">
        <f>"河南省 郑州市 金水区 东风路街道"</f>
        <v>河南省 郑州市 金水区 东风路街道</v>
      </c>
      <c r="N6737" s="1" t="str">
        <f t="shared" si="2001"/>
        <v>凡华云仓-韵达-抖音</v>
      </c>
      <c r="O6737" s="5">
        <v>320177483242750</v>
      </c>
      <c r="P6737" s="6">
        <v>0.28000000000000003</v>
      </c>
      <c r="Q6737" s="11">
        <v>2</v>
      </c>
      <c r="R6737" s="11"/>
      <c r="S6737" s="11"/>
      <c r="T6737" s="11"/>
      <c r="U6737" s="11">
        <f t="shared" si="2004"/>
        <v>2</v>
      </c>
      <c r="W6737">
        <v>2.2000000000000002</v>
      </c>
      <c r="X6737" s="1" t="s">
        <v>80</v>
      </c>
    </row>
    <row r="6738" spans="1:24" x14ac:dyDescent="0.25">
      <c r="A6738" s="1" t="str">
        <f t="shared" si="2005"/>
        <v>卡卡杜-凤凰仓</v>
      </c>
      <c r="B6738" s="1" t="str">
        <f>"CK202410189635"</f>
        <v>CK202410189635</v>
      </c>
      <c r="C6738" s="1" t="str">
        <f>"DD2024101815219"</f>
        <v>DD2024101815219</v>
      </c>
      <c r="D6738" s="1" t="str">
        <f>"CK202410189340"</f>
        <v>CK202410189340</v>
      </c>
      <c r="E6738" s="1" t="str">
        <f>"6935160811032614560"</f>
        <v>6935160811032614560</v>
      </c>
      <c r="F6738" s="1" t="str">
        <f t="shared" si="2006"/>
        <v>花都四部-凤凰仓</v>
      </c>
      <c r="G6738" s="1" t="str">
        <f t="shared" si="2002"/>
        <v>卡卡杜个人护理店（抖店）</v>
      </c>
      <c r="H6738" s="1" t="str">
        <f t="shared" si="2007"/>
        <v>正常订单</v>
      </c>
      <c r="I6738" s="1" t="str">
        <f t="shared" si="2008"/>
        <v>已发货</v>
      </c>
      <c r="J6738" s="1" t="str">
        <f t="shared" si="2009"/>
        <v>3</v>
      </c>
      <c r="K6738" s="1">
        <v>3</v>
      </c>
      <c r="L6738" s="1" t="s">
        <v>36</v>
      </c>
      <c r="M6738" s="1" t="str">
        <f>"安徽省 合肥市 巢湖市 槐林镇"</f>
        <v>安徽省 合肥市 巢湖市 槐林镇</v>
      </c>
      <c r="N6738" s="1" t="str">
        <f t="shared" si="2001"/>
        <v>凡华云仓-韵达-抖音</v>
      </c>
      <c r="O6738" s="5">
        <v>320177483242649</v>
      </c>
      <c r="P6738" s="6">
        <v>0.28000000000000003</v>
      </c>
      <c r="Q6738" s="11">
        <v>2</v>
      </c>
      <c r="R6738" s="11"/>
      <c r="S6738" s="11"/>
      <c r="T6738" s="11"/>
      <c r="U6738" s="11">
        <f t="shared" si="2004"/>
        <v>2</v>
      </c>
      <c r="W6738">
        <v>2.2000000000000002</v>
      </c>
      <c r="X6738" s="1" t="s">
        <v>36</v>
      </c>
    </row>
    <row r="6739" spans="1:24" x14ac:dyDescent="0.25">
      <c r="A6739" s="1" t="str">
        <f t="shared" si="2005"/>
        <v>卡卡杜-凤凰仓</v>
      </c>
      <c r="B6739" s="1" t="str">
        <f>"CK202410189638"</f>
        <v>CK202410189638</v>
      </c>
      <c r="C6739" s="1" t="str">
        <f>"DD2024101815221"</f>
        <v>DD2024101815221</v>
      </c>
      <c r="D6739" s="1" t="str">
        <f>"CK202410189339"</f>
        <v>CK202410189339</v>
      </c>
      <c r="E6739" s="1" t="str">
        <f>"6935160833502484215"</f>
        <v>6935160833502484215</v>
      </c>
      <c r="F6739" s="1" t="str">
        <f t="shared" si="2006"/>
        <v>花都四部-凤凰仓</v>
      </c>
      <c r="G6739" s="1" t="str">
        <f t="shared" si="2002"/>
        <v>卡卡杜个人护理店（抖店）</v>
      </c>
      <c r="H6739" s="1" t="str">
        <f t="shared" si="2007"/>
        <v>正常订单</v>
      </c>
      <c r="I6739" s="1" t="str">
        <f t="shared" si="2008"/>
        <v>已发货</v>
      </c>
      <c r="J6739" s="1" t="str">
        <f t="shared" si="2009"/>
        <v>3</v>
      </c>
      <c r="K6739" s="1">
        <v>3</v>
      </c>
      <c r="L6739" s="1" t="s">
        <v>13</v>
      </c>
      <c r="M6739" s="1" t="str">
        <f>"江苏省 苏州市 昆山市 巴城镇"</f>
        <v>江苏省 苏州市 昆山市 巴城镇</v>
      </c>
      <c r="N6739" s="1" t="str">
        <f t="shared" si="2001"/>
        <v>凡华云仓-韵达-抖音</v>
      </c>
      <c r="O6739" s="5">
        <v>320177483242550</v>
      </c>
      <c r="P6739" s="6">
        <v>0.28000000000000003</v>
      </c>
      <c r="Q6739" s="11">
        <v>2</v>
      </c>
      <c r="R6739" s="11"/>
      <c r="S6739" s="11"/>
      <c r="T6739" s="11"/>
      <c r="U6739" s="11">
        <f t="shared" si="2004"/>
        <v>2</v>
      </c>
      <c r="W6739">
        <v>2.2000000000000002</v>
      </c>
      <c r="X6739" s="1" t="s">
        <v>13</v>
      </c>
    </row>
    <row r="6740" spans="1:24" x14ac:dyDescent="0.25">
      <c r="A6740" s="1" t="str">
        <f t="shared" si="2005"/>
        <v>卡卡杜-凤凰仓</v>
      </c>
      <c r="B6740" s="1" t="str">
        <f>"CK2024101810046"</f>
        <v>CK2024101810046</v>
      </c>
      <c r="C6740" s="1" t="str">
        <f>"DD2024101815628"</f>
        <v>DD2024101815628</v>
      </c>
      <c r="D6740" s="1" t="str">
        <f>"CK202410189338"</f>
        <v>CK202410189338</v>
      </c>
      <c r="E6740" s="1" t="str">
        <f>"6935160856055321832"</f>
        <v>6935160856055321832</v>
      </c>
      <c r="F6740" s="1" t="str">
        <f t="shared" si="2006"/>
        <v>花都四部-凤凰仓</v>
      </c>
      <c r="G6740" s="1" t="str">
        <f t="shared" si="2002"/>
        <v>卡卡杜个人护理店（抖店）</v>
      </c>
      <c r="H6740" s="1" t="str">
        <f t="shared" si="2007"/>
        <v>正常订单</v>
      </c>
      <c r="I6740" s="1" t="str">
        <f t="shared" si="2008"/>
        <v>已发货</v>
      </c>
      <c r="J6740" s="1" t="str">
        <f t="shared" si="2009"/>
        <v>3</v>
      </c>
      <c r="K6740" s="1">
        <v>3</v>
      </c>
      <c r="L6740" s="1" t="s">
        <v>60</v>
      </c>
      <c r="M6740" s="1" t="str">
        <f>"云南省 昭通市 昭阳区 旧圃镇"</f>
        <v>云南省 昭通市 昭阳区 旧圃镇</v>
      </c>
      <c r="N6740" s="1" t="str">
        <f t="shared" si="2001"/>
        <v>凡华云仓-韵达-抖音</v>
      </c>
      <c r="O6740" s="5">
        <v>320177483242453</v>
      </c>
      <c r="P6740" s="6">
        <v>0.28000000000000003</v>
      </c>
      <c r="Q6740" s="11">
        <v>2</v>
      </c>
      <c r="R6740" s="11"/>
      <c r="S6740" s="11"/>
      <c r="T6740" s="11"/>
      <c r="U6740" s="11">
        <f t="shared" si="2004"/>
        <v>2</v>
      </c>
      <c r="W6740">
        <v>2.2000000000000002</v>
      </c>
      <c r="X6740" s="1" t="s">
        <v>60</v>
      </c>
    </row>
    <row r="6741" spans="1:24" x14ac:dyDescent="0.25">
      <c r="A6741" s="1" t="str">
        <f t="shared" si="2005"/>
        <v>卡卡杜-凤凰仓</v>
      </c>
      <c r="B6741" s="1" t="str">
        <f>"CK2024101810048"</f>
        <v>CK2024101810048</v>
      </c>
      <c r="C6741" s="1" t="str">
        <f>"DD2024101815631"</f>
        <v>DD2024101815631</v>
      </c>
      <c r="D6741" s="1" t="str">
        <f>"CK202410189337"</f>
        <v>CK202410189337</v>
      </c>
      <c r="E6741" s="1" t="str">
        <f>"6935156023269201044"</f>
        <v>6935156023269201044</v>
      </c>
      <c r="F6741" s="1" t="str">
        <f t="shared" si="2006"/>
        <v>花都四部-凤凰仓</v>
      </c>
      <c r="G6741" s="1" t="str">
        <f t="shared" si="2002"/>
        <v>卡卡杜个人护理店（抖店）</v>
      </c>
      <c r="H6741" s="1" t="str">
        <f t="shared" si="2007"/>
        <v>正常订单</v>
      </c>
      <c r="I6741" s="1" t="str">
        <f t="shared" si="2008"/>
        <v>已发货</v>
      </c>
      <c r="J6741" s="1" t="str">
        <f t="shared" si="2009"/>
        <v>3</v>
      </c>
      <c r="K6741" s="1">
        <v>3</v>
      </c>
      <c r="L6741" s="1" t="s">
        <v>18</v>
      </c>
      <c r="M6741" s="1" t="str">
        <f>"广东省 佛山市 高明区 荷城街道"</f>
        <v>广东省 佛山市 高明区 荷城街道</v>
      </c>
      <c r="N6741" s="1" t="str">
        <f t="shared" ref="N6741:N6766" si="2010">"凡华云仓-韵达-抖音"</f>
        <v>凡华云仓-韵达-抖音</v>
      </c>
      <c r="O6741" s="5">
        <v>320177483242358</v>
      </c>
      <c r="P6741" s="6">
        <v>0.28000000000000003</v>
      </c>
      <c r="Q6741" s="11">
        <v>2</v>
      </c>
      <c r="R6741" s="11"/>
      <c r="S6741" s="11"/>
      <c r="T6741" s="11"/>
      <c r="U6741" s="11">
        <f t="shared" si="2004"/>
        <v>2</v>
      </c>
      <c r="W6741">
        <v>2.2000000000000002</v>
      </c>
      <c r="X6741" s="1" t="s">
        <v>18</v>
      </c>
    </row>
    <row r="6742" spans="1:24" x14ac:dyDescent="0.25">
      <c r="A6742" s="1" t="str">
        <f t="shared" si="2005"/>
        <v>卡卡杜-凤凰仓</v>
      </c>
      <c r="B6742" s="1" t="str">
        <f>"CK2024101810047"</f>
        <v>CK2024101810047</v>
      </c>
      <c r="C6742" s="1" t="str">
        <f>"DD2024101815632"</f>
        <v>DD2024101815632</v>
      </c>
      <c r="D6742" s="1" t="str">
        <f>"CK202410189336"</f>
        <v>CK202410189336</v>
      </c>
      <c r="E6742" s="1" t="str">
        <f>"6935160871500519144"</f>
        <v>6935160871500519144</v>
      </c>
      <c r="F6742" s="1" t="str">
        <f t="shared" si="2006"/>
        <v>花都四部-凤凰仓</v>
      </c>
      <c r="G6742" s="1" t="str">
        <f t="shared" si="2002"/>
        <v>卡卡杜个人护理店（抖店）</v>
      </c>
      <c r="H6742" s="1" t="str">
        <f t="shared" si="2007"/>
        <v>正常订单</v>
      </c>
      <c r="I6742" s="1" t="str">
        <f t="shared" si="2008"/>
        <v>已发货</v>
      </c>
      <c r="J6742" s="1" t="str">
        <f t="shared" si="2009"/>
        <v>3</v>
      </c>
      <c r="K6742" s="1">
        <v>3</v>
      </c>
      <c r="L6742" s="1" t="s">
        <v>16</v>
      </c>
      <c r="M6742" s="1" t="str">
        <f>"河北省 保定市 涞水县 涞水镇"</f>
        <v>河北省 保定市 涞水县 涞水镇</v>
      </c>
      <c r="N6742" s="1" t="str">
        <f t="shared" si="2010"/>
        <v>凡华云仓-韵达-抖音</v>
      </c>
      <c r="O6742" s="5">
        <v>320177483242265</v>
      </c>
      <c r="P6742" s="6">
        <v>0.28000000000000003</v>
      </c>
      <c r="Q6742" s="11">
        <v>2</v>
      </c>
      <c r="R6742" s="11"/>
      <c r="S6742" s="11"/>
      <c r="T6742" s="11"/>
      <c r="U6742" s="11">
        <f t="shared" si="2004"/>
        <v>2</v>
      </c>
      <c r="W6742">
        <v>2.2000000000000002</v>
      </c>
      <c r="X6742" s="1" t="s">
        <v>16</v>
      </c>
    </row>
    <row r="6743" spans="1:24" x14ac:dyDescent="0.25">
      <c r="A6743" s="1" t="str">
        <f t="shared" si="2005"/>
        <v>卡卡杜-凤凰仓</v>
      </c>
      <c r="B6743" s="1" t="str">
        <f>"CK2024101810049"</f>
        <v>CK2024101810049</v>
      </c>
      <c r="C6743" s="1" t="str">
        <f>"DD2024101815633"</f>
        <v>DD2024101815633</v>
      </c>
      <c r="D6743" s="1" t="str">
        <f>"CK202410189335"</f>
        <v>CK202410189335</v>
      </c>
      <c r="E6743" s="1" t="str">
        <f>"6935140980552046301"</f>
        <v>6935140980552046301</v>
      </c>
      <c r="F6743" s="1" t="str">
        <f t="shared" si="2006"/>
        <v>花都四部-凤凰仓</v>
      </c>
      <c r="G6743" s="1" t="str">
        <f t="shared" si="2002"/>
        <v>卡卡杜个人护理店（抖店）</v>
      </c>
      <c r="H6743" s="1" t="str">
        <f t="shared" si="2007"/>
        <v>正常订单</v>
      </c>
      <c r="I6743" s="1" t="str">
        <f t="shared" si="2008"/>
        <v>已发货</v>
      </c>
      <c r="J6743" s="1" t="str">
        <f t="shared" si="2009"/>
        <v>3</v>
      </c>
      <c r="K6743" s="1">
        <v>3</v>
      </c>
      <c r="L6743" s="1" t="s">
        <v>187</v>
      </c>
      <c r="M6743" s="1" t="str">
        <f>"吉林省 长春市 宽城区 站前街道"</f>
        <v>吉林省 长春市 宽城区 站前街道</v>
      </c>
      <c r="N6743" s="1" t="str">
        <f t="shared" si="2010"/>
        <v>凡华云仓-韵达-抖音</v>
      </c>
      <c r="O6743" s="5">
        <v>320177483242174</v>
      </c>
      <c r="P6743" s="6">
        <v>0.28000000000000003</v>
      </c>
      <c r="Q6743" s="11">
        <v>2</v>
      </c>
      <c r="R6743" s="11"/>
      <c r="S6743" s="11"/>
      <c r="T6743" s="11"/>
      <c r="U6743" s="11">
        <f t="shared" si="2004"/>
        <v>2</v>
      </c>
      <c r="W6743">
        <v>2.2000000000000002</v>
      </c>
      <c r="X6743" s="1" t="s">
        <v>187</v>
      </c>
    </row>
    <row r="6744" spans="1:24" x14ac:dyDescent="0.25">
      <c r="A6744" s="1" t="str">
        <f t="shared" si="2005"/>
        <v>卡卡杜-凤凰仓</v>
      </c>
      <c r="B6744" s="1" t="str">
        <f>"CK202410189615"</f>
        <v>CK202410189615</v>
      </c>
      <c r="C6744" s="1" t="str">
        <f>"DD2024101815198"</f>
        <v>DD2024101815198</v>
      </c>
      <c r="D6744" s="1" t="str">
        <f>"CK202410189334"</f>
        <v>CK202410189334</v>
      </c>
      <c r="E6744" s="1" t="str">
        <f>"6935158327456569203"</f>
        <v>6935158327456569203</v>
      </c>
      <c r="F6744" s="1" t="str">
        <f t="shared" si="2006"/>
        <v>花都四部-凤凰仓</v>
      </c>
      <c r="G6744" s="1" t="str">
        <f t="shared" si="2002"/>
        <v>卡卡杜个人护理店（抖店）</v>
      </c>
      <c r="H6744" s="1" t="str">
        <f t="shared" si="2007"/>
        <v>正常订单</v>
      </c>
      <c r="I6744" s="1" t="str">
        <f t="shared" si="2008"/>
        <v>已发货</v>
      </c>
      <c r="J6744" s="1" t="str">
        <f t="shared" si="2009"/>
        <v>3</v>
      </c>
      <c r="K6744" s="1">
        <v>3</v>
      </c>
      <c r="L6744" s="1" t="s">
        <v>30</v>
      </c>
      <c r="M6744" s="1" t="str">
        <f>"山东省 潍坊市 诸城市 舜王街道"</f>
        <v>山东省 潍坊市 诸城市 舜王街道</v>
      </c>
      <c r="N6744" s="1" t="str">
        <f t="shared" si="2010"/>
        <v>凡华云仓-韵达-抖音</v>
      </c>
      <c r="O6744" s="5">
        <v>320177483242085</v>
      </c>
      <c r="P6744" s="6">
        <v>0.28000000000000003</v>
      </c>
      <c r="Q6744" s="11">
        <v>2</v>
      </c>
      <c r="R6744" s="11"/>
      <c r="S6744" s="11"/>
      <c r="T6744" s="11"/>
      <c r="U6744" s="11">
        <f t="shared" si="2004"/>
        <v>2</v>
      </c>
      <c r="W6744">
        <v>2.2000000000000002</v>
      </c>
      <c r="X6744" s="1" t="s">
        <v>30</v>
      </c>
    </row>
    <row r="6745" spans="1:24" x14ac:dyDescent="0.25">
      <c r="A6745" s="1" t="str">
        <f t="shared" si="2005"/>
        <v>卡卡杜-凤凰仓</v>
      </c>
      <c r="B6745" s="1" t="str">
        <f>"CK202410189620"</f>
        <v>CK202410189620</v>
      </c>
      <c r="C6745" s="1" t="str">
        <f>"DD2024101815204"</f>
        <v>DD2024101815204</v>
      </c>
      <c r="D6745" s="1" t="str">
        <f>"CK202410189333"</f>
        <v>CK202410189333</v>
      </c>
      <c r="E6745" s="1" t="str">
        <f>"6935153744184481667"</f>
        <v>6935153744184481667</v>
      </c>
      <c r="F6745" s="1" t="str">
        <f t="shared" si="2006"/>
        <v>花都四部-凤凰仓</v>
      </c>
      <c r="G6745" s="1" t="str">
        <f t="shared" si="2002"/>
        <v>卡卡杜个人护理店（抖店）</v>
      </c>
      <c r="H6745" s="1" t="str">
        <f t="shared" si="2007"/>
        <v>正常订单</v>
      </c>
      <c r="I6745" s="1" t="str">
        <f t="shared" si="2008"/>
        <v>已发货</v>
      </c>
      <c r="J6745" s="1" t="str">
        <f t="shared" si="2009"/>
        <v>3</v>
      </c>
      <c r="K6745" s="1">
        <v>3</v>
      </c>
      <c r="L6745" s="1" t="s">
        <v>41</v>
      </c>
      <c r="M6745" s="1" t="str">
        <f>"湖北省 黄石市 黄石港区 花湖街道"</f>
        <v>湖北省 黄石市 黄石港区 花湖街道</v>
      </c>
      <c r="N6745" s="1" t="str">
        <f t="shared" si="2010"/>
        <v>凡华云仓-韵达-抖音</v>
      </c>
      <c r="O6745" s="5">
        <v>320177488081774</v>
      </c>
      <c r="P6745" s="6">
        <v>0.28000000000000003</v>
      </c>
      <c r="Q6745" s="11">
        <v>2</v>
      </c>
      <c r="R6745" s="11"/>
      <c r="S6745" s="11"/>
      <c r="T6745" s="11"/>
      <c r="U6745" s="11">
        <f t="shared" si="2004"/>
        <v>2</v>
      </c>
      <c r="W6745">
        <v>2.2000000000000002</v>
      </c>
      <c r="X6745" s="1" t="s">
        <v>41</v>
      </c>
    </row>
    <row r="6746" spans="1:24" x14ac:dyDescent="0.25">
      <c r="A6746" s="1" t="str">
        <f t="shared" si="2005"/>
        <v>卡卡杜-凤凰仓</v>
      </c>
      <c r="B6746" s="1" t="str">
        <f>"CK202410189627"</f>
        <v>CK202410189627</v>
      </c>
      <c r="C6746" s="1" t="str">
        <f>"DD2024101815209"</f>
        <v>DD2024101815209</v>
      </c>
      <c r="D6746" s="1" t="str">
        <f>"CK202410189332"</f>
        <v>CK202410189332</v>
      </c>
      <c r="E6746" s="1" t="str">
        <f>"6935155990412138197"</f>
        <v>6935155990412138197</v>
      </c>
      <c r="F6746" s="1" t="str">
        <f t="shared" si="2006"/>
        <v>花都四部-凤凰仓</v>
      </c>
      <c r="G6746" s="1" t="str">
        <f t="shared" si="2002"/>
        <v>卡卡杜个人护理店（抖店）</v>
      </c>
      <c r="H6746" s="1" t="str">
        <f t="shared" si="2007"/>
        <v>正常订单</v>
      </c>
      <c r="I6746" s="1" t="str">
        <f t="shared" si="2008"/>
        <v>已发货</v>
      </c>
      <c r="J6746" s="1" t="str">
        <f t="shared" si="2009"/>
        <v>3</v>
      </c>
      <c r="K6746" s="1">
        <v>3</v>
      </c>
      <c r="L6746" s="1" t="s">
        <v>24</v>
      </c>
      <c r="M6746" s="1" t="str">
        <f>"福建省 厦门市 集美区 杏滨街道"</f>
        <v>福建省 厦门市 集美区 杏滨街道</v>
      </c>
      <c r="N6746" s="1" t="str">
        <f t="shared" si="2010"/>
        <v>凡华云仓-韵达-抖音</v>
      </c>
      <c r="O6746" s="5">
        <v>320177488081673</v>
      </c>
      <c r="P6746" s="6">
        <v>0.28000000000000003</v>
      </c>
      <c r="Q6746" s="11">
        <v>2</v>
      </c>
      <c r="R6746" s="11"/>
      <c r="S6746" s="11"/>
      <c r="T6746" s="11"/>
      <c r="U6746" s="11">
        <f t="shared" si="2004"/>
        <v>2</v>
      </c>
      <c r="W6746">
        <v>2.2000000000000002</v>
      </c>
      <c r="X6746" s="1" t="s">
        <v>24</v>
      </c>
    </row>
    <row r="6747" spans="1:24" x14ac:dyDescent="0.25">
      <c r="A6747" s="1" t="str">
        <f t="shared" si="2005"/>
        <v>卡卡杜-凤凰仓</v>
      </c>
      <c r="B6747" s="1" t="str">
        <f>"CK202410189629"</f>
        <v>CK202410189629</v>
      </c>
      <c r="C6747" s="1" t="str">
        <f>"DD2024101815212"</f>
        <v>DD2024101815212</v>
      </c>
      <c r="D6747" s="1" t="str">
        <f>"CK202410189331"</f>
        <v>CK202410189331</v>
      </c>
      <c r="E6747" s="1" t="str">
        <f>"6935147304912230363"</f>
        <v>6935147304912230363</v>
      </c>
      <c r="F6747" s="1" t="str">
        <f t="shared" si="2006"/>
        <v>花都四部-凤凰仓</v>
      </c>
      <c r="G6747" s="1" t="str">
        <f t="shared" si="2002"/>
        <v>卡卡杜个人护理店（抖店）</v>
      </c>
      <c r="H6747" s="1" t="str">
        <f t="shared" si="2007"/>
        <v>正常订单</v>
      </c>
      <c r="I6747" s="1" t="str">
        <f t="shared" si="2008"/>
        <v>已发货</v>
      </c>
      <c r="J6747" s="1" t="str">
        <f t="shared" si="2009"/>
        <v>3</v>
      </c>
      <c r="K6747" s="1">
        <v>3</v>
      </c>
      <c r="L6747" s="1" t="s">
        <v>80</v>
      </c>
      <c r="M6747" s="1" t="str">
        <f>"河南省 洛阳市 偃师市 商城街道"</f>
        <v>河南省 洛阳市 偃师市 商城街道</v>
      </c>
      <c r="N6747" s="1" t="str">
        <f t="shared" si="2010"/>
        <v>凡华云仓-韵达-抖音</v>
      </c>
      <c r="O6747" s="5">
        <v>320177488081574</v>
      </c>
      <c r="P6747" s="6">
        <v>0.28000000000000003</v>
      </c>
      <c r="Q6747" s="11">
        <v>2</v>
      </c>
      <c r="R6747" s="11"/>
      <c r="S6747" s="11"/>
      <c r="T6747" s="11"/>
      <c r="U6747" s="11">
        <f t="shared" si="2004"/>
        <v>2</v>
      </c>
      <c r="W6747">
        <v>2.2000000000000002</v>
      </c>
      <c r="X6747" s="1" t="s">
        <v>80</v>
      </c>
    </row>
    <row r="6748" spans="1:24" x14ac:dyDescent="0.25">
      <c r="A6748" s="1" t="str">
        <f t="shared" si="2005"/>
        <v>卡卡杜-凤凰仓</v>
      </c>
      <c r="B6748" s="1" t="str">
        <f>"CK202410189633"</f>
        <v>CK202410189633</v>
      </c>
      <c r="C6748" s="1" t="str">
        <f>"DD2024101815217"</f>
        <v>DD2024101815217</v>
      </c>
      <c r="D6748" s="1" t="str">
        <f>"CK202410189330"</f>
        <v>CK202410189330</v>
      </c>
      <c r="E6748" s="1" t="str">
        <f>"6935164892642087971"</f>
        <v>6935164892642087971</v>
      </c>
      <c r="F6748" s="1" t="str">
        <f t="shared" si="2006"/>
        <v>花都四部-凤凰仓</v>
      </c>
      <c r="G6748" s="1" t="str">
        <f t="shared" si="2002"/>
        <v>卡卡杜个人护理店（抖店）</v>
      </c>
      <c r="H6748" s="1" t="str">
        <f t="shared" si="2007"/>
        <v>正常订单</v>
      </c>
      <c r="I6748" s="1" t="str">
        <f t="shared" si="2008"/>
        <v>已发货</v>
      </c>
      <c r="J6748" s="1" t="str">
        <f t="shared" si="2009"/>
        <v>3</v>
      </c>
      <c r="K6748" s="1">
        <v>3</v>
      </c>
      <c r="L6748" s="1" t="s">
        <v>36</v>
      </c>
      <c r="M6748" s="1" t="str">
        <f>"安徽省 宿州市 萧县 黄口镇"</f>
        <v>安徽省 宿州市 萧县 黄口镇</v>
      </c>
      <c r="N6748" s="1" t="str">
        <f t="shared" si="2010"/>
        <v>凡华云仓-韵达-抖音</v>
      </c>
      <c r="O6748" s="5">
        <v>320177488081477</v>
      </c>
      <c r="P6748" s="6">
        <v>0.28000000000000003</v>
      </c>
      <c r="Q6748" s="11">
        <v>2</v>
      </c>
      <c r="R6748" s="11"/>
      <c r="S6748" s="11"/>
      <c r="T6748" s="11"/>
      <c r="U6748" s="11">
        <f t="shared" si="2004"/>
        <v>2</v>
      </c>
      <c r="W6748">
        <v>2.2000000000000002</v>
      </c>
      <c r="X6748" s="1" t="s">
        <v>36</v>
      </c>
    </row>
    <row r="6749" spans="1:24" x14ac:dyDescent="0.25">
      <c r="A6749" s="1" t="str">
        <f t="shared" si="2005"/>
        <v>卡卡杜-凤凰仓</v>
      </c>
      <c r="B6749" s="1" t="str">
        <f>"CK202410189640"</f>
        <v>CK202410189640</v>
      </c>
      <c r="C6749" s="1" t="str">
        <f>"DD2024101815223"</f>
        <v>DD2024101815223</v>
      </c>
      <c r="D6749" s="1" t="str">
        <f>"CK202410189329"</f>
        <v>CK202410189329</v>
      </c>
      <c r="E6749" s="1" t="str">
        <f>"6935141061269984805"</f>
        <v>6935141061269984805</v>
      </c>
      <c r="F6749" s="1" t="str">
        <f t="shared" si="2006"/>
        <v>花都四部-凤凰仓</v>
      </c>
      <c r="G6749" s="1" t="str">
        <f t="shared" si="2002"/>
        <v>卡卡杜个人护理店（抖店）</v>
      </c>
      <c r="H6749" s="1" t="str">
        <f t="shared" si="2007"/>
        <v>正常订单</v>
      </c>
      <c r="I6749" s="1" t="str">
        <f t="shared" si="2008"/>
        <v>已发货</v>
      </c>
      <c r="J6749" s="1" t="str">
        <f t="shared" si="2009"/>
        <v>3</v>
      </c>
      <c r="K6749" s="1">
        <v>3</v>
      </c>
      <c r="L6749" s="1" t="s">
        <v>80</v>
      </c>
      <c r="M6749" s="1" t="str">
        <f>"河南省 焦作市 山阳区 阳庙镇"</f>
        <v>河南省 焦作市 山阳区 阳庙镇</v>
      </c>
      <c r="N6749" s="1" t="str">
        <f t="shared" si="2010"/>
        <v>凡华云仓-韵达-抖音</v>
      </c>
      <c r="O6749" s="5">
        <v>320177488081382</v>
      </c>
      <c r="P6749" s="6">
        <v>0.28000000000000003</v>
      </c>
      <c r="Q6749" s="11">
        <v>2</v>
      </c>
      <c r="R6749" s="11"/>
      <c r="S6749" s="11"/>
      <c r="T6749" s="11"/>
      <c r="U6749" s="11">
        <f t="shared" si="2004"/>
        <v>2</v>
      </c>
      <c r="W6749">
        <v>2.2000000000000002</v>
      </c>
      <c r="X6749" s="1" t="s">
        <v>80</v>
      </c>
    </row>
    <row r="6750" spans="1:24" x14ac:dyDescent="0.25">
      <c r="A6750" s="1" t="str">
        <f t="shared" si="2005"/>
        <v>卡卡杜-凤凰仓</v>
      </c>
      <c r="B6750" s="1" t="str">
        <f>"CK202410189642"</f>
        <v>CK202410189642</v>
      </c>
      <c r="C6750" s="1" t="str">
        <f>"DD2024101815226"</f>
        <v>DD2024101815226</v>
      </c>
      <c r="D6750" s="1" t="str">
        <f>"CK202410189328"</f>
        <v>CK202410189328</v>
      </c>
      <c r="E6750" s="1" t="str">
        <f>"6935169624374318808"</f>
        <v>6935169624374318808</v>
      </c>
      <c r="F6750" s="1" t="str">
        <f t="shared" si="2006"/>
        <v>花都四部-凤凰仓</v>
      </c>
      <c r="G6750" s="1" t="str">
        <f t="shared" si="2002"/>
        <v>卡卡杜个人护理店（抖店）</v>
      </c>
      <c r="H6750" s="1" t="str">
        <f t="shared" si="2007"/>
        <v>正常订单</v>
      </c>
      <c r="I6750" s="1" t="str">
        <f t="shared" si="2008"/>
        <v>已发货</v>
      </c>
      <c r="J6750" s="1" t="str">
        <f t="shared" si="2009"/>
        <v>3</v>
      </c>
      <c r="K6750" s="1">
        <v>3</v>
      </c>
      <c r="L6750" s="1" t="s">
        <v>80</v>
      </c>
      <c r="M6750" s="1" t="str">
        <f>"河南省 开封市 祥符区 兴隆乡"</f>
        <v>河南省 开封市 祥符区 兴隆乡</v>
      </c>
      <c r="N6750" s="1" t="str">
        <f t="shared" si="2010"/>
        <v>凡华云仓-韵达-抖音</v>
      </c>
      <c r="O6750" s="5">
        <v>320177488081289</v>
      </c>
      <c r="P6750" s="6">
        <v>0.28000000000000003</v>
      </c>
      <c r="Q6750" s="11">
        <v>2</v>
      </c>
      <c r="R6750" s="11"/>
      <c r="S6750" s="11"/>
      <c r="T6750" s="11"/>
      <c r="U6750" s="11">
        <f t="shared" si="2004"/>
        <v>2</v>
      </c>
      <c r="W6750">
        <v>2.2000000000000002</v>
      </c>
      <c r="X6750" s="1" t="s">
        <v>80</v>
      </c>
    </row>
    <row r="6751" spans="1:24" x14ac:dyDescent="0.25">
      <c r="A6751" s="1" t="str">
        <f t="shared" si="2005"/>
        <v>卡卡杜-凤凰仓</v>
      </c>
      <c r="B6751" s="1" t="str">
        <f>"CK202410189644"</f>
        <v>CK202410189644</v>
      </c>
      <c r="C6751" s="1" t="str">
        <f>"DD2024101815228"</f>
        <v>DD2024101815228</v>
      </c>
      <c r="D6751" s="1" t="str">
        <f>"CK202410189327"</f>
        <v>CK202410189327</v>
      </c>
      <c r="E6751" s="1" t="str">
        <f>"6935145296867169527"</f>
        <v>6935145296867169527</v>
      </c>
      <c r="F6751" s="1" t="str">
        <f t="shared" si="2006"/>
        <v>花都四部-凤凰仓</v>
      </c>
      <c r="G6751" s="1" t="str">
        <f t="shared" si="2002"/>
        <v>卡卡杜个人护理店（抖店）</v>
      </c>
      <c r="H6751" s="1" t="str">
        <f t="shared" si="2007"/>
        <v>正常订单</v>
      </c>
      <c r="I6751" s="1" t="str">
        <f t="shared" si="2008"/>
        <v>已发货</v>
      </c>
      <c r="J6751" s="1" t="str">
        <f t="shared" si="2009"/>
        <v>3</v>
      </c>
      <c r="K6751" s="1">
        <v>3</v>
      </c>
      <c r="L6751" s="1" t="s">
        <v>80</v>
      </c>
      <c r="M6751" s="1" t="str">
        <f>"河南省 商丘市 梁园区 白云街道"</f>
        <v>河南省 商丘市 梁园区 白云街道</v>
      </c>
      <c r="N6751" s="1" t="str">
        <f t="shared" si="2010"/>
        <v>凡华云仓-韵达-抖音</v>
      </c>
      <c r="O6751" s="5">
        <v>320177488081198</v>
      </c>
      <c r="P6751" s="6">
        <v>0.28000000000000003</v>
      </c>
      <c r="Q6751" s="11">
        <v>2</v>
      </c>
      <c r="R6751" s="11"/>
      <c r="S6751" s="11"/>
      <c r="T6751" s="11"/>
      <c r="U6751" s="11">
        <f t="shared" si="2004"/>
        <v>2</v>
      </c>
      <c r="W6751">
        <v>2.2000000000000002</v>
      </c>
      <c r="X6751" s="1" t="s">
        <v>80</v>
      </c>
    </row>
    <row r="6752" spans="1:24" x14ac:dyDescent="0.25">
      <c r="A6752" s="1" t="str">
        <f t="shared" si="2005"/>
        <v>卡卡杜-凤凰仓</v>
      </c>
      <c r="B6752" s="1" t="str">
        <f>"CK202410189647"</f>
        <v>CK202410189647</v>
      </c>
      <c r="C6752" s="1" t="str">
        <f>"DD2024101815231"</f>
        <v>DD2024101815231</v>
      </c>
      <c r="D6752" s="1" t="str">
        <f>"CK202410189326"</f>
        <v>CK202410189326</v>
      </c>
      <c r="E6752" s="1" t="str">
        <f>"6935171887913834112"</f>
        <v>6935171887913834112</v>
      </c>
      <c r="F6752" s="1" t="str">
        <f t="shared" si="2006"/>
        <v>花都四部-凤凰仓</v>
      </c>
      <c r="G6752" s="1" t="str">
        <f t="shared" si="2002"/>
        <v>卡卡杜个人护理店（抖店）</v>
      </c>
      <c r="H6752" s="1" t="str">
        <f t="shared" si="2007"/>
        <v>正常订单</v>
      </c>
      <c r="I6752" s="1" t="str">
        <f t="shared" si="2008"/>
        <v>已发货</v>
      </c>
      <c r="J6752" s="1" t="str">
        <f t="shared" si="2009"/>
        <v>3</v>
      </c>
      <c r="K6752" s="1">
        <v>3</v>
      </c>
      <c r="L6752" s="1" t="s">
        <v>16</v>
      </c>
      <c r="M6752" s="1" t="str">
        <f>"河北省 邢台市 任泽区 "</f>
        <v xml:space="preserve">河北省 邢台市 任泽区 </v>
      </c>
      <c r="N6752" s="1" t="str">
        <f t="shared" si="2010"/>
        <v>凡华云仓-韵达-抖音</v>
      </c>
      <c r="O6752" s="5">
        <v>320177488081009</v>
      </c>
      <c r="P6752" s="6">
        <v>0.28000000000000003</v>
      </c>
      <c r="Q6752" s="11">
        <v>2</v>
      </c>
      <c r="R6752" s="11"/>
      <c r="S6752" s="11"/>
      <c r="T6752" s="11"/>
      <c r="U6752" s="11">
        <f t="shared" si="2004"/>
        <v>2</v>
      </c>
      <c r="W6752">
        <v>2.2000000000000002</v>
      </c>
      <c r="X6752" s="1" t="s">
        <v>16</v>
      </c>
    </row>
    <row r="6753" spans="1:24" x14ac:dyDescent="0.25">
      <c r="A6753" s="1" t="str">
        <f t="shared" si="2005"/>
        <v>卡卡杜-凤凰仓</v>
      </c>
      <c r="B6753" s="1" t="str">
        <f>"CK202410189649"</f>
        <v>CK202410189649</v>
      </c>
      <c r="C6753" s="1" t="str">
        <f>"DD2024101815232"</f>
        <v>DD2024101815232</v>
      </c>
      <c r="D6753" s="1" t="str">
        <f>"CK202410189325"</f>
        <v>CK202410189325</v>
      </c>
      <c r="E6753" s="1" t="str">
        <f>"6935143341394039916"</f>
        <v>6935143341394039916</v>
      </c>
      <c r="F6753" s="1" t="str">
        <f t="shared" si="2006"/>
        <v>花都四部-凤凰仓</v>
      </c>
      <c r="G6753" s="1" t="str">
        <f t="shared" si="2002"/>
        <v>卡卡杜个人护理店（抖店）</v>
      </c>
      <c r="H6753" s="1" t="str">
        <f t="shared" si="2007"/>
        <v>正常订单</v>
      </c>
      <c r="I6753" s="1" t="str">
        <f t="shared" si="2008"/>
        <v>已发货</v>
      </c>
      <c r="J6753" s="1" t="str">
        <f t="shared" si="2009"/>
        <v>3</v>
      </c>
      <c r="K6753" s="1">
        <v>3</v>
      </c>
      <c r="L6753" s="1" t="s">
        <v>41</v>
      </c>
      <c r="M6753" s="1" t="str">
        <f>"湖北省 孝感市 安陆市 府城街道"</f>
        <v>湖北省 孝感市 安陆市 府城街道</v>
      </c>
      <c r="N6753" s="1" t="str">
        <f t="shared" si="2010"/>
        <v>凡华云仓-韵达-抖音</v>
      </c>
      <c r="O6753" s="5">
        <v>320177488080993</v>
      </c>
      <c r="P6753" s="6">
        <v>0.28000000000000003</v>
      </c>
      <c r="Q6753" s="11">
        <v>2</v>
      </c>
      <c r="R6753" s="11"/>
      <c r="S6753" s="11"/>
      <c r="T6753" s="11"/>
      <c r="U6753" s="11">
        <f t="shared" si="2004"/>
        <v>2</v>
      </c>
      <c r="W6753">
        <v>2.2000000000000002</v>
      </c>
      <c r="X6753" s="1" t="s">
        <v>41</v>
      </c>
    </row>
    <row r="6754" spans="1:24" x14ac:dyDescent="0.25">
      <c r="A6754" s="1" t="str">
        <f t="shared" si="2005"/>
        <v>卡卡杜-凤凰仓</v>
      </c>
      <c r="B6754" s="1" t="str">
        <f>"CK202410189651"</f>
        <v>CK202410189651</v>
      </c>
      <c r="C6754" s="1" t="str">
        <f>"DD2024101815234"</f>
        <v>DD2024101815234</v>
      </c>
      <c r="D6754" s="1" t="str">
        <f>"CK202410189324"</f>
        <v>CK202410189324</v>
      </c>
      <c r="E6754" s="1" t="str">
        <f>"6935143441866102066"</f>
        <v>6935143441866102066</v>
      </c>
      <c r="F6754" s="1" t="str">
        <f t="shared" si="2006"/>
        <v>花都四部-凤凰仓</v>
      </c>
      <c r="G6754" s="1" t="str">
        <f t="shared" si="2002"/>
        <v>卡卡杜个人护理店（抖店）</v>
      </c>
      <c r="H6754" s="1" t="str">
        <f t="shared" si="2007"/>
        <v>正常订单</v>
      </c>
      <c r="I6754" s="1" t="str">
        <f t="shared" si="2008"/>
        <v>已发货</v>
      </c>
      <c r="J6754" s="1" t="str">
        <f t="shared" si="2009"/>
        <v>3</v>
      </c>
      <c r="K6754" s="1">
        <v>3</v>
      </c>
      <c r="L6754" s="1" t="s">
        <v>13</v>
      </c>
      <c r="M6754" s="1" t="str">
        <f>"江苏省 宿迁市 沭阳县 贤官镇"</f>
        <v>江苏省 宿迁市 沭阳县 贤官镇</v>
      </c>
      <c r="N6754" s="1" t="str">
        <f t="shared" si="2010"/>
        <v>凡华云仓-韵达-抖音</v>
      </c>
      <c r="O6754" s="5">
        <v>320177488080888</v>
      </c>
      <c r="P6754" s="6">
        <v>0.28000000000000003</v>
      </c>
      <c r="Q6754" s="11">
        <v>2</v>
      </c>
      <c r="R6754" s="11"/>
      <c r="S6754" s="11"/>
      <c r="T6754" s="11"/>
      <c r="U6754" s="11">
        <f t="shared" si="2004"/>
        <v>2</v>
      </c>
      <c r="W6754">
        <v>2.2000000000000002</v>
      </c>
      <c r="X6754" s="1" t="s">
        <v>13</v>
      </c>
    </row>
    <row r="6755" spans="1:24" x14ac:dyDescent="0.25">
      <c r="A6755" s="1" t="str">
        <f t="shared" si="2005"/>
        <v>卡卡杜-凤凰仓</v>
      </c>
      <c r="B6755" s="1" t="str">
        <f>"CK202410189655"</f>
        <v>CK202410189655</v>
      </c>
      <c r="C6755" s="1" t="str">
        <f>"DD2024101815239"</f>
        <v>DD2024101815239</v>
      </c>
      <c r="D6755" s="1" t="str">
        <f>"CK202410189323"</f>
        <v>CK202410189323</v>
      </c>
      <c r="E6755" s="1" t="str">
        <f>"6935153740353771229"</f>
        <v>6935153740353771229</v>
      </c>
      <c r="F6755" s="1" t="str">
        <f t="shared" si="2006"/>
        <v>花都四部-凤凰仓</v>
      </c>
      <c r="G6755" s="1" t="str">
        <f t="shared" si="2002"/>
        <v>卡卡杜个人护理店（抖店）</v>
      </c>
      <c r="H6755" s="1" t="str">
        <f t="shared" si="2007"/>
        <v>正常订单</v>
      </c>
      <c r="I6755" s="1" t="str">
        <f t="shared" si="2008"/>
        <v>已发货</v>
      </c>
      <c r="J6755" s="1" t="str">
        <f t="shared" si="2009"/>
        <v>3</v>
      </c>
      <c r="K6755" s="1">
        <v>3</v>
      </c>
      <c r="L6755" s="1" t="s">
        <v>47</v>
      </c>
      <c r="M6755" s="1" t="str">
        <f>"重庆 重庆市 万州区 "</f>
        <v xml:space="preserve">重庆 重庆市 万州区 </v>
      </c>
      <c r="N6755" s="1" t="str">
        <f t="shared" si="2010"/>
        <v>凡华云仓-韵达-抖音</v>
      </c>
      <c r="O6755" s="5">
        <v>320177477596921</v>
      </c>
      <c r="P6755" s="6">
        <v>0.28000000000000003</v>
      </c>
      <c r="Q6755" s="11">
        <v>2</v>
      </c>
      <c r="R6755" s="11"/>
      <c r="S6755" s="11"/>
      <c r="T6755" s="11"/>
      <c r="U6755" s="11">
        <f t="shared" si="2004"/>
        <v>2</v>
      </c>
      <c r="W6755">
        <v>2.2000000000000002</v>
      </c>
      <c r="X6755" s="1" t="s">
        <v>47</v>
      </c>
    </row>
    <row r="6756" spans="1:24" x14ac:dyDescent="0.25">
      <c r="A6756" s="1" t="str">
        <f t="shared" si="2005"/>
        <v>卡卡杜-凤凰仓</v>
      </c>
      <c r="B6756" s="1" t="str">
        <f>"CK202410189657"</f>
        <v>CK202410189657</v>
      </c>
      <c r="C6756" s="1" t="str">
        <f>"DD2024101815241"</f>
        <v>DD2024101815241</v>
      </c>
      <c r="D6756" s="1" t="str">
        <f>"CK202410189322"</f>
        <v>CK202410189322</v>
      </c>
      <c r="E6756" s="1" t="str">
        <f>"6935169797443884170"</f>
        <v>6935169797443884170</v>
      </c>
      <c r="F6756" s="1" t="str">
        <f t="shared" si="2006"/>
        <v>花都四部-凤凰仓</v>
      </c>
      <c r="G6756" s="1" t="str">
        <f t="shared" si="2002"/>
        <v>卡卡杜个人护理店（抖店）</v>
      </c>
      <c r="H6756" s="1" t="str">
        <f t="shared" si="2007"/>
        <v>正常订单</v>
      </c>
      <c r="I6756" s="1" t="str">
        <f t="shared" si="2008"/>
        <v>已发货</v>
      </c>
      <c r="J6756" s="1" t="str">
        <f t="shared" si="2009"/>
        <v>3</v>
      </c>
      <c r="K6756" s="1">
        <v>3</v>
      </c>
      <c r="L6756" s="1" t="s">
        <v>22</v>
      </c>
      <c r="M6756" s="1" t="str">
        <f>"江西省 九江市 浔阳区 白水湖街道"</f>
        <v>江西省 九江市 浔阳区 白水湖街道</v>
      </c>
      <c r="N6756" s="1" t="str">
        <f t="shared" si="2010"/>
        <v>凡华云仓-韵达-抖音</v>
      </c>
      <c r="O6756" s="5">
        <v>320177477596816</v>
      </c>
      <c r="P6756" s="6">
        <v>0.28000000000000003</v>
      </c>
      <c r="Q6756" s="11">
        <v>2</v>
      </c>
      <c r="R6756" s="11"/>
      <c r="S6756" s="11"/>
      <c r="T6756" s="11"/>
      <c r="U6756" s="11">
        <f t="shared" si="2004"/>
        <v>2</v>
      </c>
      <c r="W6756">
        <v>2.2000000000000002</v>
      </c>
      <c r="X6756" s="1" t="s">
        <v>22</v>
      </c>
    </row>
    <row r="6757" spans="1:24" x14ac:dyDescent="0.25">
      <c r="A6757" s="1" t="str">
        <f t="shared" si="2005"/>
        <v>卡卡杜-凤凰仓</v>
      </c>
      <c r="B6757" s="1" t="str">
        <f>"CK202410189660"</f>
        <v>CK202410189660</v>
      </c>
      <c r="C6757" s="1" t="str">
        <f>"DD2024101815243"</f>
        <v>DD2024101815243</v>
      </c>
      <c r="D6757" s="1" t="str">
        <f>"CK202410189321"</f>
        <v>CK202410189321</v>
      </c>
      <c r="E6757" s="1" t="str">
        <f>"6935149804292609293"</f>
        <v>6935149804292609293</v>
      </c>
      <c r="F6757" s="1" t="str">
        <f t="shared" si="2006"/>
        <v>花都四部-凤凰仓</v>
      </c>
      <c r="G6757" s="1" t="str">
        <f t="shared" si="2002"/>
        <v>卡卡杜个人护理店（抖店）</v>
      </c>
      <c r="H6757" s="1" t="str">
        <f t="shared" si="2007"/>
        <v>正常订单</v>
      </c>
      <c r="I6757" s="1" t="str">
        <f t="shared" si="2008"/>
        <v>已发货</v>
      </c>
      <c r="J6757" s="1" t="str">
        <f t="shared" si="2009"/>
        <v>3</v>
      </c>
      <c r="K6757" s="1">
        <v>3</v>
      </c>
      <c r="L6757" s="1" t="s">
        <v>20</v>
      </c>
      <c r="M6757" s="1" t="str">
        <f>"浙江省 宁波市 海曙区 石碶街道"</f>
        <v>浙江省 宁波市 海曙区 石碶街道</v>
      </c>
      <c r="N6757" s="1" t="str">
        <f t="shared" si="2010"/>
        <v>凡华云仓-韵达-抖音</v>
      </c>
      <c r="O6757" s="5">
        <v>320177477596713</v>
      </c>
      <c r="P6757" s="6">
        <v>0.28000000000000003</v>
      </c>
      <c r="Q6757" s="11">
        <v>2</v>
      </c>
      <c r="R6757" s="11"/>
      <c r="S6757" s="11"/>
      <c r="T6757" s="11"/>
      <c r="U6757" s="11">
        <f t="shared" si="2004"/>
        <v>2</v>
      </c>
      <c r="W6757">
        <v>2.2000000000000002</v>
      </c>
      <c r="X6757" s="1" t="s">
        <v>20</v>
      </c>
    </row>
    <row r="6758" spans="1:24" x14ac:dyDescent="0.25">
      <c r="A6758" s="1" t="str">
        <f t="shared" si="2005"/>
        <v>卡卡杜-凤凰仓</v>
      </c>
      <c r="B6758" s="1" t="str">
        <f>"CK202410189663"</f>
        <v>CK202410189663</v>
      </c>
      <c r="C6758" s="1" t="str">
        <f>"DD2024101815246"</f>
        <v>DD2024101815246</v>
      </c>
      <c r="D6758" s="1" t="str">
        <f>"CK202410189320"</f>
        <v>CK202410189320</v>
      </c>
      <c r="E6758" s="1" t="str">
        <f>"6935167374146081799"</f>
        <v>6935167374146081799</v>
      </c>
      <c r="F6758" s="1" t="str">
        <f t="shared" si="2006"/>
        <v>花都四部-凤凰仓</v>
      </c>
      <c r="G6758" s="1" t="str">
        <f t="shared" si="2002"/>
        <v>卡卡杜个人护理店（抖店）</v>
      </c>
      <c r="H6758" s="1" t="str">
        <f t="shared" si="2007"/>
        <v>正常订单</v>
      </c>
      <c r="I6758" s="1" t="str">
        <f t="shared" si="2008"/>
        <v>已发货</v>
      </c>
      <c r="J6758" s="1" t="str">
        <f t="shared" si="2009"/>
        <v>3</v>
      </c>
      <c r="K6758" s="1">
        <v>3</v>
      </c>
      <c r="L6758" s="1" t="s">
        <v>30</v>
      </c>
      <c r="M6758" s="1" t="str">
        <f>"山东省 泰安市 肥城市 老城街道"</f>
        <v>山东省 泰安市 肥城市 老城街道</v>
      </c>
      <c r="N6758" s="1" t="str">
        <f t="shared" si="2010"/>
        <v>凡华云仓-韵达-抖音</v>
      </c>
      <c r="O6758" s="5">
        <v>320177477596612</v>
      </c>
      <c r="P6758" s="6">
        <v>0.28000000000000003</v>
      </c>
      <c r="Q6758" s="11">
        <v>2</v>
      </c>
      <c r="R6758" s="11"/>
      <c r="S6758" s="11"/>
      <c r="T6758" s="11"/>
      <c r="U6758" s="11">
        <f t="shared" si="2004"/>
        <v>2</v>
      </c>
      <c r="W6758">
        <v>2.2000000000000002</v>
      </c>
      <c r="X6758" s="1" t="s">
        <v>30</v>
      </c>
    </row>
    <row r="6759" spans="1:24" x14ac:dyDescent="0.25">
      <c r="A6759" s="1" t="str">
        <f t="shared" si="2005"/>
        <v>卡卡杜-凤凰仓</v>
      </c>
      <c r="B6759" s="1" t="str">
        <f>"CK202410189665"</f>
        <v>CK202410189665</v>
      </c>
      <c r="C6759" s="1" t="str">
        <f>"DD2024101815248"</f>
        <v>DD2024101815248</v>
      </c>
      <c r="D6759" s="1" t="str">
        <f>"CK202410189319"</f>
        <v>CK202410189319</v>
      </c>
      <c r="E6759" s="1" t="str">
        <f>"6935147197602141539"</f>
        <v>6935147197602141539</v>
      </c>
      <c r="F6759" s="1" t="str">
        <f t="shared" si="2006"/>
        <v>花都四部-凤凰仓</v>
      </c>
      <c r="G6759" s="1" t="str">
        <f t="shared" si="2002"/>
        <v>卡卡杜个人护理店（抖店）</v>
      </c>
      <c r="H6759" s="1" t="str">
        <f t="shared" si="2007"/>
        <v>正常订单</v>
      </c>
      <c r="I6759" s="1" t="str">
        <f t="shared" si="2008"/>
        <v>已发货</v>
      </c>
      <c r="J6759" s="1" t="str">
        <f t="shared" si="2009"/>
        <v>3</v>
      </c>
      <c r="K6759" s="1">
        <v>3</v>
      </c>
      <c r="L6759" s="1" t="s">
        <v>22</v>
      </c>
      <c r="M6759" s="1" t="str">
        <f>"江西省 上饶市 信州区 西市街道"</f>
        <v>江西省 上饶市 信州区 西市街道</v>
      </c>
      <c r="N6759" s="1" t="str">
        <f t="shared" si="2010"/>
        <v>凡华云仓-韵达-抖音</v>
      </c>
      <c r="O6759" s="5">
        <v>320177477596513</v>
      </c>
      <c r="P6759" s="6">
        <v>0.28000000000000003</v>
      </c>
      <c r="Q6759" s="11">
        <v>2</v>
      </c>
      <c r="R6759" s="11"/>
      <c r="S6759" s="11"/>
      <c r="T6759" s="11"/>
      <c r="U6759" s="11">
        <f t="shared" si="2004"/>
        <v>2</v>
      </c>
      <c r="W6759">
        <v>2.2000000000000002</v>
      </c>
      <c r="X6759" s="1" t="s">
        <v>22</v>
      </c>
    </row>
    <row r="6760" spans="1:24" x14ac:dyDescent="0.25">
      <c r="A6760" s="1" t="str">
        <f t="shared" si="2005"/>
        <v>卡卡杜-凤凰仓</v>
      </c>
      <c r="B6760" s="1" t="str">
        <f>"CK202410189670"</f>
        <v>CK202410189670</v>
      </c>
      <c r="C6760" s="1" t="str">
        <f>"DD2024101815253"</f>
        <v>DD2024101815253</v>
      </c>
      <c r="D6760" s="1" t="str">
        <f>"CK202410189318"</f>
        <v>CK202410189318</v>
      </c>
      <c r="E6760" s="1" t="str">
        <f>"6935149822893692783"</f>
        <v>6935149822893692783</v>
      </c>
      <c r="F6760" s="1" t="str">
        <f t="shared" si="2006"/>
        <v>花都四部-凤凰仓</v>
      </c>
      <c r="G6760" s="1" t="str">
        <f t="shared" si="2002"/>
        <v>卡卡杜个人护理店（抖店）</v>
      </c>
      <c r="H6760" s="1" t="str">
        <f t="shared" si="2007"/>
        <v>正常订单</v>
      </c>
      <c r="I6760" s="1" t="str">
        <f t="shared" si="2008"/>
        <v>已发货</v>
      </c>
      <c r="J6760" s="1" t="str">
        <f t="shared" si="2009"/>
        <v>3</v>
      </c>
      <c r="K6760" s="1">
        <v>3</v>
      </c>
      <c r="L6760" s="1" t="s">
        <v>30</v>
      </c>
      <c r="M6760" s="1" t="str">
        <f>"山东省 济宁市 任城区 洸河街道"</f>
        <v>山东省 济宁市 任城区 洸河街道</v>
      </c>
      <c r="N6760" s="1" t="str">
        <f t="shared" si="2010"/>
        <v>凡华云仓-韵达-抖音</v>
      </c>
      <c r="O6760" s="5">
        <v>320177477596416</v>
      </c>
      <c r="P6760" s="6">
        <v>0.28000000000000003</v>
      </c>
      <c r="Q6760" s="11">
        <v>2</v>
      </c>
      <c r="R6760" s="11"/>
      <c r="S6760" s="11"/>
      <c r="T6760" s="11"/>
      <c r="U6760" s="11">
        <f t="shared" si="2004"/>
        <v>2</v>
      </c>
      <c r="W6760">
        <v>2.2000000000000002</v>
      </c>
      <c r="X6760" s="1" t="s">
        <v>30</v>
      </c>
    </row>
    <row r="6761" spans="1:24" x14ac:dyDescent="0.25">
      <c r="A6761" s="1" t="str">
        <f t="shared" si="2005"/>
        <v>卡卡杜-凤凰仓</v>
      </c>
      <c r="B6761" s="1" t="str">
        <f>"CK202410189673"</f>
        <v>CK202410189673</v>
      </c>
      <c r="C6761" s="1" t="str">
        <f>"DD2024101815257"</f>
        <v>DD2024101815257</v>
      </c>
      <c r="D6761" s="1" t="str">
        <f>"CK202410189317"</f>
        <v>CK202410189317</v>
      </c>
      <c r="E6761" s="1" t="str">
        <f>"6935162729689257897"</f>
        <v>6935162729689257897</v>
      </c>
      <c r="F6761" s="1" t="str">
        <f t="shared" si="2006"/>
        <v>花都四部-凤凰仓</v>
      </c>
      <c r="G6761" s="1" t="str">
        <f t="shared" si="2002"/>
        <v>卡卡杜个人护理店（抖店）</v>
      </c>
      <c r="H6761" s="1" t="str">
        <f t="shared" si="2007"/>
        <v>正常订单</v>
      </c>
      <c r="I6761" s="1" t="str">
        <f t="shared" si="2008"/>
        <v>已发货</v>
      </c>
      <c r="J6761" s="1" t="str">
        <f t="shared" si="2009"/>
        <v>3</v>
      </c>
      <c r="K6761" s="1">
        <v>3</v>
      </c>
      <c r="L6761" s="1" t="s">
        <v>30</v>
      </c>
      <c r="M6761" s="1" t="str">
        <f>"山东省 济南市 平阴县 榆山街道"</f>
        <v>山东省 济南市 平阴县 榆山街道</v>
      </c>
      <c r="N6761" s="1" t="str">
        <f t="shared" si="2010"/>
        <v>凡华云仓-韵达-抖音</v>
      </c>
      <c r="O6761" s="5">
        <v>320177477596321</v>
      </c>
      <c r="P6761" s="6">
        <v>0.28000000000000003</v>
      </c>
      <c r="Q6761" s="11">
        <v>2</v>
      </c>
      <c r="R6761" s="11"/>
      <c r="S6761" s="11"/>
      <c r="T6761" s="11"/>
      <c r="U6761" s="11">
        <f t="shared" si="2004"/>
        <v>2</v>
      </c>
      <c r="W6761">
        <v>2.2000000000000002</v>
      </c>
      <c r="X6761" s="1" t="s">
        <v>30</v>
      </c>
    </row>
    <row r="6762" spans="1:24" x14ac:dyDescent="0.25">
      <c r="A6762" s="1" t="str">
        <f t="shared" si="2005"/>
        <v>卡卡杜-凤凰仓</v>
      </c>
      <c r="B6762" s="1" t="str">
        <f>"CK202410189683"</f>
        <v>CK202410189683</v>
      </c>
      <c r="C6762" s="1" t="str">
        <f>"DD2024101815266"</f>
        <v>DD2024101815266</v>
      </c>
      <c r="D6762" s="1" t="str">
        <f>"CK202410189316"</f>
        <v>CK202410189316</v>
      </c>
      <c r="E6762" s="1" t="str">
        <f>"6935149841840608567"</f>
        <v>6935149841840608567</v>
      </c>
      <c r="F6762" s="1" t="str">
        <f t="shared" si="2006"/>
        <v>花都四部-凤凰仓</v>
      </c>
      <c r="G6762" s="1" t="str">
        <f t="shared" si="2002"/>
        <v>卡卡杜个人护理店（抖店）</v>
      </c>
      <c r="H6762" s="1" t="str">
        <f t="shared" si="2007"/>
        <v>正常订单</v>
      </c>
      <c r="I6762" s="1" t="str">
        <f t="shared" si="2008"/>
        <v>已发货</v>
      </c>
      <c r="J6762" s="1" t="str">
        <f t="shared" si="2009"/>
        <v>3</v>
      </c>
      <c r="K6762" s="1">
        <v>3</v>
      </c>
      <c r="L6762" s="1" t="s">
        <v>13</v>
      </c>
      <c r="M6762" s="1" t="str">
        <f>"江苏省 苏州市 昆山市 玉山镇"</f>
        <v>江苏省 苏州市 昆山市 玉山镇</v>
      </c>
      <c r="N6762" s="1" t="str">
        <f t="shared" si="2010"/>
        <v>凡华云仓-韵达-抖音</v>
      </c>
      <c r="O6762" s="5">
        <v>320177477596228</v>
      </c>
      <c r="P6762" s="6">
        <v>0.28000000000000003</v>
      </c>
      <c r="Q6762" s="11">
        <v>2</v>
      </c>
      <c r="R6762" s="11"/>
      <c r="S6762" s="11"/>
      <c r="T6762" s="11"/>
      <c r="U6762" s="11">
        <f t="shared" si="2004"/>
        <v>2</v>
      </c>
      <c r="W6762">
        <v>2.2000000000000002</v>
      </c>
      <c r="X6762" s="1" t="s">
        <v>13</v>
      </c>
    </row>
    <row r="6763" spans="1:24" x14ac:dyDescent="0.25">
      <c r="A6763" s="1" t="str">
        <f t="shared" si="2005"/>
        <v>卡卡杜-凤凰仓</v>
      </c>
      <c r="B6763" s="1" t="str">
        <f>"CK202410189687"</f>
        <v>CK202410189687</v>
      </c>
      <c r="C6763" s="1" t="str">
        <f>"DD2024101815270"</f>
        <v>DD2024101815270</v>
      </c>
      <c r="D6763" s="1" t="str">
        <f>"CK202410189315"</f>
        <v>CK202410189315</v>
      </c>
      <c r="E6763" s="1" t="str">
        <f>"6935147364286076689"</f>
        <v>6935147364286076689</v>
      </c>
      <c r="F6763" s="1" t="str">
        <f t="shared" si="2006"/>
        <v>花都四部-凤凰仓</v>
      </c>
      <c r="G6763" s="1" t="str">
        <f t="shared" si="2002"/>
        <v>卡卡杜个人护理店（抖店）</v>
      </c>
      <c r="H6763" s="1" t="str">
        <f t="shared" si="2007"/>
        <v>正常订单</v>
      </c>
      <c r="I6763" s="1" t="str">
        <f t="shared" si="2008"/>
        <v>已发货</v>
      </c>
      <c r="J6763" s="1" t="str">
        <f t="shared" si="2009"/>
        <v>3</v>
      </c>
      <c r="K6763" s="1">
        <v>3</v>
      </c>
      <c r="L6763" s="1" t="s">
        <v>20</v>
      </c>
      <c r="M6763" s="1" t="str">
        <f>"浙江省 宁波市 鄞州区 东钱湖镇"</f>
        <v>浙江省 宁波市 鄞州区 东钱湖镇</v>
      </c>
      <c r="N6763" s="1" t="str">
        <f t="shared" si="2010"/>
        <v>凡华云仓-韵达-抖音</v>
      </c>
      <c r="O6763" s="5">
        <v>320177477596137</v>
      </c>
      <c r="P6763" s="6">
        <v>0.28000000000000003</v>
      </c>
      <c r="Q6763" s="11">
        <v>2</v>
      </c>
      <c r="R6763" s="11"/>
      <c r="S6763" s="11"/>
      <c r="T6763" s="11"/>
      <c r="U6763" s="11">
        <f t="shared" si="2004"/>
        <v>2</v>
      </c>
      <c r="W6763">
        <v>2.2000000000000002</v>
      </c>
      <c r="X6763" s="1" t="s">
        <v>20</v>
      </c>
    </row>
    <row r="6764" spans="1:24" x14ac:dyDescent="0.25">
      <c r="A6764" s="1" t="str">
        <f t="shared" si="2005"/>
        <v>卡卡杜-凤凰仓</v>
      </c>
      <c r="B6764" s="1" t="str">
        <f>"CK2024101810052"</f>
        <v>CK2024101810052</v>
      </c>
      <c r="C6764" s="1" t="str">
        <f>"DD2024101815634"</f>
        <v>DD2024101815634</v>
      </c>
      <c r="D6764" s="1" t="str">
        <f>"CK202410189314"</f>
        <v>CK202410189314</v>
      </c>
      <c r="E6764" s="1" t="str">
        <f>"6935145268455085552"</f>
        <v>6935145268455085552</v>
      </c>
      <c r="F6764" s="1" t="str">
        <f t="shared" si="2006"/>
        <v>花都四部-凤凰仓</v>
      </c>
      <c r="G6764" s="1" t="str">
        <f t="shared" si="2002"/>
        <v>卡卡杜个人护理店（抖店）</v>
      </c>
      <c r="H6764" s="1" t="str">
        <f t="shared" si="2007"/>
        <v>正常订单</v>
      </c>
      <c r="I6764" s="1" t="str">
        <f t="shared" si="2008"/>
        <v>已发货</v>
      </c>
      <c r="J6764" s="1" t="str">
        <f t="shared" si="2009"/>
        <v>3</v>
      </c>
      <c r="K6764" s="1">
        <v>3</v>
      </c>
      <c r="L6764" s="1" t="s">
        <v>36</v>
      </c>
      <c r="M6764" s="1" t="str">
        <f>"安徽省 阜阳市 太和县 城关镇"</f>
        <v>安徽省 阜阳市 太和县 城关镇</v>
      </c>
      <c r="N6764" s="1" t="str">
        <f t="shared" si="2010"/>
        <v>凡华云仓-韵达-抖音</v>
      </c>
      <c r="O6764" s="5">
        <v>320177477596048</v>
      </c>
      <c r="P6764" s="6">
        <v>0.28000000000000003</v>
      </c>
      <c r="Q6764" s="11">
        <v>2</v>
      </c>
      <c r="R6764" s="11"/>
      <c r="S6764" s="11"/>
      <c r="T6764" s="11"/>
      <c r="U6764" s="11">
        <f t="shared" si="2004"/>
        <v>2</v>
      </c>
      <c r="W6764">
        <v>2.2000000000000002</v>
      </c>
      <c r="X6764" s="1" t="s">
        <v>36</v>
      </c>
    </row>
    <row r="6765" spans="1:24" x14ac:dyDescent="0.25">
      <c r="A6765" s="1" t="str">
        <f t="shared" si="2005"/>
        <v>卡卡杜-凤凰仓</v>
      </c>
      <c r="B6765" s="1" t="str">
        <f>"CK2024101810050"</f>
        <v>CK2024101810050</v>
      </c>
      <c r="C6765" s="1" t="str">
        <f>"DD2024101815635"</f>
        <v>DD2024101815635</v>
      </c>
      <c r="D6765" s="1" t="str">
        <f>"CK202410189313"</f>
        <v>CK202410189313</v>
      </c>
      <c r="E6765" s="1" t="str">
        <f>"6935149851295225684"</f>
        <v>6935149851295225684</v>
      </c>
      <c r="F6765" s="1" t="str">
        <f t="shared" si="2006"/>
        <v>花都四部-凤凰仓</v>
      </c>
      <c r="G6765" s="1" t="str">
        <f t="shared" si="2002"/>
        <v>卡卡杜个人护理店（抖店）</v>
      </c>
      <c r="H6765" s="1" t="str">
        <f t="shared" si="2007"/>
        <v>正常订单</v>
      </c>
      <c r="I6765" s="1" t="str">
        <f t="shared" si="2008"/>
        <v>已发货</v>
      </c>
      <c r="J6765" s="1" t="str">
        <f t="shared" si="2009"/>
        <v>3</v>
      </c>
      <c r="K6765" s="1">
        <v>3</v>
      </c>
      <c r="L6765" s="1" t="s">
        <v>80</v>
      </c>
      <c r="M6765" s="1" t="str">
        <f>"河南省 新乡市 红旗区 东街街道"</f>
        <v>河南省 新乡市 红旗区 东街街道</v>
      </c>
      <c r="N6765" s="1" t="str">
        <f t="shared" si="2010"/>
        <v>凡华云仓-韵达-抖音</v>
      </c>
      <c r="O6765" s="5">
        <v>320177472967336</v>
      </c>
      <c r="P6765" s="6">
        <v>0.28000000000000003</v>
      </c>
      <c r="Q6765" s="11">
        <v>2</v>
      </c>
      <c r="R6765" s="11"/>
      <c r="S6765" s="11"/>
      <c r="T6765" s="11"/>
      <c r="U6765" s="11">
        <f t="shared" si="2004"/>
        <v>2</v>
      </c>
      <c r="W6765">
        <v>2.2000000000000002</v>
      </c>
      <c r="X6765" s="1" t="s">
        <v>80</v>
      </c>
    </row>
    <row r="6766" spans="1:24" x14ac:dyDescent="0.25">
      <c r="A6766" s="1" t="str">
        <f t="shared" si="2005"/>
        <v>卡卡杜-凤凰仓</v>
      </c>
      <c r="B6766" s="1" t="str">
        <f>"CK2024101810051"</f>
        <v>CK2024101810051</v>
      </c>
      <c r="C6766" s="1" t="str">
        <f>"DD2024101815636"</f>
        <v>DD2024101815636</v>
      </c>
      <c r="D6766" s="1" t="str">
        <f>"CK202410189312"</f>
        <v>CK202410189312</v>
      </c>
      <c r="E6766" s="1" t="str">
        <f>"6935153844723914176"</f>
        <v>6935153844723914176</v>
      </c>
      <c r="F6766" s="1" t="str">
        <f t="shared" si="2006"/>
        <v>花都四部-凤凰仓</v>
      </c>
      <c r="G6766" s="1" t="str">
        <f t="shared" si="2002"/>
        <v>卡卡杜个人护理店（抖店）</v>
      </c>
      <c r="H6766" s="1" t="str">
        <f t="shared" si="2007"/>
        <v>正常订单</v>
      </c>
      <c r="I6766" s="1" t="str">
        <f t="shared" si="2008"/>
        <v>已发货</v>
      </c>
      <c r="J6766" s="1" t="str">
        <f t="shared" si="2009"/>
        <v>3</v>
      </c>
      <c r="K6766" s="1">
        <v>3</v>
      </c>
      <c r="L6766" s="1" t="s">
        <v>74</v>
      </c>
      <c r="M6766" s="1" t="str">
        <f>"上海 上海市 宝山区 罗店镇"</f>
        <v>上海 上海市 宝山区 罗店镇</v>
      </c>
      <c r="N6766" s="1" t="str">
        <f t="shared" si="2010"/>
        <v>凡华云仓-韵达-抖音</v>
      </c>
      <c r="O6766" s="5">
        <v>320177472967243</v>
      </c>
      <c r="P6766" s="6">
        <v>0.28000000000000003</v>
      </c>
      <c r="Q6766" s="11">
        <v>2</v>
      </c>
      <c r="R6766" s="11"/>
      <c r="S6766" s="11"/>
      <c r="T6766" s="11"/>
      <c r="U6766" s="11">
        <f t="shared" si="2004"/>
        <v>2</v>
      </c>
      <c r="W6766">
        <v>2.2000000000000002</v>
      </c>
      <c r="X6766" s="1" t="s">
        <v>74</v>
      </c>
    </row>
    <row r="6767" spans="1:24" x14ac:dyDescent="0.25">
      <c r="A6767" s="1" t="str">
        <f t="shared" si="2005"/>
        <v>卡卡杜-凤凰仓</v>
      </c>
      <c r="B6767" s="1" t="str">
        <f>"CK2024101810053"</f>
        <v>CK2024101810053</v>
      </c>
      <c r="C6767" s="1" t="str">
        <f>"DD2024101815637"</f>
        <v>DD2024101815637</v>
      </c>
      <c r="D6767" s="1" t="str">
        <f>"CK202410189311"</f>
        <v>CK202410189311</v>
      </c>
      <c r="E6767" s="1" t="str">
        <f>"6935158382388843574"</f>
        <v>6935158382388843574</v>
      </c>
      <c r="F6767" s="1" t="str">
        <f t="shared" si="2006"/>
        <v>花都四部-凤凰仓</v>
      </c>
      <c r="G6767" s="1" t="str">
        <f t="shared" si="2002"/>
        <v>卡卡杜个人护理店（抖店）</v>
      </c>
      <c r="H6767" s="1" t="str">
        <f t="shared" si="2007"/>
        <v>正常订单</v>
      </c>
      <c r="I6767" s="1" t="str">
        <f t="shared" si="2008"/>
        <v>已发货</v>
      </c>
      <c r="J6767" s="1" t="str">
        <f t="shared" si="2009"/>
        <v>3</v>
      </c>
      <c r="K6767" s="1">
        <v>3</v>
      </c>
      <c r="L6767" s="1" t="s">
        <v>30</v>
      </c>
      <c r="M6767" s="1" t="str">
        <f>"山东省 济南市 济阳区 济北街道"</f>
        <v>山东省 济南市 济阳区 济北街道</v>
      </c>
      <c r="N6767" s="1" t="str">
        <f>"凡华云仓-竹料中通-抖音"</f>
        <v>凡华云仓-竹料中通-抖音</v>
      </c>
      <c r="O6767" s="5">
        <v>76432348195122</v>
      </c>
      <c r="P6767" s="6">
        <v>0.28000000000000003</v>
      </c>
      <c r="Q6767" s="11">
        <v>2.2999999999999998</v>
      </c>
      <c r="R6767" s="11"/>
      <c r="S6767" s="11"/>
      <c r="T6767" s="11"/>
      <c r="U6767" s="11">
        <f t="shared" si="2004"/>
        <v>2.2999999999999998</v>
      </c>
      <c r="W6767">
        <v>2.5</v>
      </c>
      <c r="X6767" s="1" t="s">
        <v>30</v>
      </c>
    </row>
    <row r="6768" spans="1:24" x14ac:dyDescent="0.25">
      <c r="A6768" s="1" t="str">
        <f t="shared" si="2005"/>
        <v>卡卡杜-凤凰仓</v>
      </c>
      <c r="B6768" s="1" t="str">
        <f>"CK202410189652"</f>
        <v>CK202410189652</v>
      </c>
      <c r="C6768" s="1" t="str">
        <f>"DD2024101815238"</f>
        <v>DD2024101815238</v>
      </c>
      <c r="D6768" s="1" t="str">
        <f>"CK202410189310"</f>
        <v>CK202410189310</v>
      </c>
      <c r="E6768" s="1" t="str">
        <f>"6935145284748711076"</f>
        <v>6935145284748711076</v>
      </c>
      <c r="F6768" s="1" t="str">
        <f t="shared" si="2006"/>
        <v>花都四部-凤凰仓</v>
      </c>
      <c r="G6768" s="1" t="str">
        <f t="shared" si="2002"/>
        <v>卡卡杜个人护理店（抖店）</v>
      </c>
      <c r="H6768" s="1" t="str">
        <f t="shared" si="2007"/>
        <v>正常订单</v>
      </c>
      <c r="I6768" s="1" t="str">
        <f t="shared" si="2008"/>
        <v>已发货</v>
      </c>
      <c r="J6768" s="1" t="str">
        <f t="shared" si="2009"/>
        <v>3</v>
      </c>
      <c r="K6768" s="1">
        <v>3</v>
      </c>
      <c r="L6768" s="1" t="s">
        <v>20</v>
      </c>
      <c r="M6768" s="1" t="str">
        <f>"浙江省 杭州市 临安区 锦城街道"</f>
        <v>浙江省 杭州市 临安区 锦城街道</v>
      </c>
      <c r="N6768" s="1" t="str">
        <f t="shared" ref="N6768:N6831" si="2011">"凡华云仓-韵达-抖音"</f>
        <v>凡华云仓-韵达-抖音</v>
      </c>
      <c r="O6768" s="5">
        <v>320177472967152</v>
      </c>
      <c r="P6768" s="6">
        <v>0.28000000000000003</v>
      </c>
      <c r="Q6768" s="11">
        <v>2</v>
      </c>
      <c r="R6768" s="11"/>
      <c r="S6768" s="11"/>
      <c r="T6768" s="11"/>
      <c r="U6768" s="11">
        <f t="shared" si="2004"/>
        <v>2</v>
      </c>
      <c r="W6768">
        <v>2.2000000000000002</v>
      </c>
      <c r="X6768" s="1" t="s">
        <v>20</v>
      </c>
    </row>
    <row r="6769" spans="1:24" x14ac:dyDescent="0.25">
      <c r="A6769" s="1" t="str">
        <f t="shared" si="2005"/>
        <v>卡卡杜-凤凰仓</v>
      </c>
      <c r="B6769" s="1" t="str">
        <f>"CK202410189667"</f>
        <v>CK202410189667</v>
      </c>
      <c r="C6769" s="1" t="str">
        <f>"DD2024101815250"</f>
        <v>DD2024101815250</v>
      </c>
      <c r="D6769" s="1" t="str">
        <f>"CK202410189309"</f>
        <v>CK202410189309</v>
      </c>
      <c r="E6769" s="1" t="str">
        <f>"6935165016387425968"</f>
        <v>6935165016387425968</v>
      </c>
      <c r="F6769" s="1" t="str">
        <f t="shared" si="2006"/>
        <v>花都四部-凤凰仓</v>
      </c>
      <c r="G6769" s="1" t="str">
        <f t="shared" si="2002"/>
        <v>卡卡杜个人护理店（抖店）</v>
      </c>
      <c r="H6769" s="1" t="str">
        <f t="shared" si="2007"/>
        <v>正常订单</v>
      </c>
      <c r="I6769" s="1" t="str">
        <f t="shared" si="2008"/>
        <v>已发货</v>
      </c>
      <c r="J6769" s="1" t="str">
        <f t="shared" si="2009"/>
        <v>3</v>
      </c>
      <c r="K6769" s="1">
        <v>3</v>
      </c>
      <c r="L6769" s="1" t="s">
        <v>80</v>
      </c>
      <c r="M6769" s="1" t="str">
        <f>"河南省 周口市 鹿邑县 真源街道"</f>
        <v>河南省 周口市 鹿邑县 真源街道</v>
      </c>
      <c r="N6769" s="1" t="str">
        <f t="shared" si="2011"/>
        <v>凡华云仓-韵达-抖音</v>
      </c>
      <c r="O6769" s="5">
        <v>320177472967063</v>
      </c>
      <c r="P6769" s="6">
        <v>0.28000000000000003</v>
      </c>
      <c r="Q6769" s="11">
        <v>2</v>
      </c>
      <c r="R6769" s="11"/>
      <c r="S6769" s="11"/>
      <c r="T6769" s="11"/>
      <c r="U6769" s="11">
        <f t="shared" si="2004"/>
        <v>2</v>
      </c>
      <c r="W6769">
        <v>2.2000000000000002</v>
      </c>
      <c r="X6769" s="1" t="s">
        <v>80</v>
      </c>
    </row>
    <row r="6770" spans="1:24" x14ac:dyDescent="0.25">
      <c r="A6770" s="1" t="str">
        <f t="shared" si="2005"/>
        <v>卡卡杜-凤凰仓</v>
      </c>
      <c r="B6770" s="1" t="str">
        <f>"CK202410189672"</f>
        <v>CK202410189672</v>
      </c>
      <c r="C6770" s="1" t="str">
        <f>"DD2024101815255"</f>
        <v>DD2024101815255</v>
      </c>
      <c r="D6770" s="1" t="str">
        <f>"CK202410189308"</f>
        <v>CK202410189308</v>
      </c>
      <c r="E6770" s="1" t="str">
        <f>"6935140717757863325"</f>
        <v>6935140717757863325</v>
      </c>
      <c r="F6770" s="1" t="str">
        <f t="shared" si="2006"/>
        <v>花都四部-凤凰仓</v>
      </c>
      <c r="G6770" s="1" t="str">
        <f t="shared" si="2002"/>
        <v>卡卡杜个人护理店（抖店）</v>
      </c>
      <c r="H6770" s="1" t="str">
        <f t="shared" si="2007"/>
        <v>正常订单</v>
      </c>
      <c r="I6770" s="1" t="str">
        <f t="shared" si="2008"/>
        <v>已发货</v>
      </c>
      <c r="J6770" s="1" t="str">
        <f t="shared" si="2009"/>
        <v>3</v>
      </c>
      <c r="K6770" s="1">
        <v>3</v>
      </c>
      <c r="L6770" s="1" t="s">
        <v>13</v>
      </c>
      <c r="M6770" s="1" t="str">
        <f>"江苏省 镇江市 句容市 华阳镇"</f>
        <v>江苏省 镇江市 句容市 华阳镇</v>
      </c>
      <c r="N6770" s="1" t="str">
        <f t="shared" si="2011"/>
        <v>凡华云仓-韵达-抖音</v>
      </c>
      <c r="O6770" s="5">
        <v>320177472966935</v>
      </c>
      <c r="P6770" s="6">
        <v>0.28000000000000003</v>
      </c>
      <c r="Q6770" s="11">
        <v>2</v>
      </c>
      <c r="R6770" s="11"/>
      <c r="S6770" s="11"/>
      <c r="T6770" s="11"/>
      <c r="U6770" s="11">
        <f t="shared" si="2004"/>
        <v>2</v>
      </c>
      <c r="W6770">
        <v>2.2000000000000002</v>
      </c>
      <c r="X6770" s="1" t="s">
        <v>13</v>
      </c>
    </row>
    <row r="6771" spans="1:24" x14ac:dyDescent="0.25">
      <c r="A6771" s="1" t="str">
        <f t="shared" si="2005"/>
        <v>卡卡杜-凤凰仓</v>
      </c>
      <c r="B6771" s="1" t="str">
        <f>"CK202410189675"</f>
        <v>CK202410189675</v>
      </c>
      <c r="C6771" s="1" t="str">
        <f>"DD2024101815259"</f>
        <v>DD2024101815259</v>
      </c>
      <c r="D6771" s="1" t="str">
        <f>"CK202410189307"</f>
        <v>CK202410189307</v>
      </c>
      <c r="E6771" s="1" t="str">
        <f>"6935145340417217860"</f>
        <v>6935145340417217860</v>
      </c>
      <c r="F6771" s="1" t="str">
        <f t="shared" si="2006"/>
        <v>花都四部-凤凰仓</v>
      </c>
      <c r="G6771" s="1" t="str">
        <f t="shared" si="2002"/>
        <v>卡卡杜个人护理店（抖店）</v>
      </c>
      <c r="H6771" s="1" t="str">
        <f t="shared" si="2007"/>
        <v>正常订单</v>
      </c>
      <c r="I6771" s="1" t="str">
        <f t="shared" si="2008"/>
        <v>已发货</v>
      </c>
      <c r="J6771" s="1" t="str">
        <f t="shared" si="2009"/>
        <v>3</v>
      </c>
      <c r="K6771" s="1">
        <v>3</v>
      </c>
      <c r="L6771" s="1" t="s">
        <v>80</v>
      </c>
      <c r="M6771" s="1" t="str">
        <f>"河南省 郑州市 新郑市 新建路街道"</f>
        <v>河南省 郑州市 新郑市 新建路街道</v>
      </c>
      <c r="N6771" s="1" t="str">
        <f t="shared" si="2011"/>
        <v>凡华云仓-韵达-抖音</v>
      </c>
      <c r="O6771" s="5">
        <v>320177472966830</v>
      </c>
      <c r="P6771" s="6">
        <v>0.28000000000000003</v>
      </c>
      <c r="Q6771" s="11">
        <v>2</v>
      </c>
      <c r="R6771" s="11"/>
      <c r="S6771" s="11"/>
      <c r="T6771" s="11"/>
      <c r="U6771" s="11">
        <f t="shared" si="2004"/>
        <v>2</v>
      </c>
      <c r="W6771">
        <v>2.2000000000000002</v>
      </c>
      <c r="X6771" s="1" t="s">
        <v>80</v>
      </c>
    </row>
    <row r="6772" spans="1:24" x14ac:dyDescent="0.25">
      <c r="A6772" s="1" t="str">
        <f t="shared" si="2005"/>
        <v>卡卡杜-凤凰仓</v>
      </c>
      <c r="B6772" s="1" t="str">
        <f>"CK202410189677"</f>
        <v>CK202410189677</v>
      </c>
      <c r="C6772" s="1" t="str">
        <f>"DD2024101815260"</f>
        <v>DD2024101815260</v>
      </c>
      <c r="D6772" s="1" t="str">
        <f>"CK202410189306"</f>
        <v>CK202410189306</v>
      </c>
      <c r="E6772" s="1" t="str">
        <f>"6935153821822490001"</f>
        <v>6935153821822490001</v>
      </c>
      <c r="F6772" s="1" t="str">
        <f t="shared" si="2006"/>
        <v>花都四部-凤凰仓</v>
      </c>
      <c r="G6772" s="1" t="str">
        <f t="shared" ref="G6772:G6835" si="2012">"卡卡杜个人护理店（抖店）"</f>
        <v>卡卡杜个人护理店（抖店）</v>
      </c>
      <c r="H6772" s="1" t="str">
        <f t="shared" si="2007"/>
        <v>正常订单</v>
      </c>
      <c r="I6772" s="1" t="str">
        <f t="shared" si="2008"/>
        <v>已发货</v>
      </c>
      <c r="J6772" s="1" t="str">
        <f t="shared" si="2009"/>
        <v>3</v>
      </c>
      <c r="K6772" s="1">
        <v>3</v>
      </c>
      <c r="L6772" s="1" t="s">
        <v>161</v>
      </c>
      <c r="M6772" s="1" t="str">
        <f>"四川省 达州市 达川区 翠屏街道"</f>
        <v>四川省 达州市 达川区 翠屏街道</v>
      </c>
      <c r="N6772" s="1" t="str">
        <f t="shared" si="2011"/>
        <v>凡华云仓-韵达-抖音</v>
      </c>
      <c r="O6772" s="5">
        <v>320177472966727</v>
      </c>
      <c r="P6772" s="6">
        <v>0.28000000000000003</v>
      </c>
      <c r="Q6772" s="11">
        <v>2</v>
      </c>
      <c r="R6772" s="11"/>
      <c r="S6772" s="11"/>
      <c r="T6772" s="11"/>
      <c r="U6772" s="11">
        <f t="shared" si="2004"/>
        <v>2</v>
      </c>
      <c r="W6772">
        <v>2.2000000000000002</v>
      </c>
      <c r="X6772" s="1" t="s">
        <v>161</v>
      </c>
    </row>
    <row r="6773" spans="1:24" x14ac:dyDescent="0.25">
      <c r="A6773" s="1" t="str">
        <f t="shared" si="2005"/>
        <v>卡卡杜-凤凰仓</v>
      </c>
      <c r="B6773" s="1" t="str">
        <f>"CK202410189679"</f>
        <v>CK202410189679</v>
      </c>
      <c r="C6773" s="1" t="str">
        <f>"DD2024101815262"</f>
        <v>DD2024101815262</v>
      </c>
      <c r="D6773" s="1" t="str">
        <f>"CK202410189305"</f>
        <v>CK202410189305</v>
      </c>
      <c r="E6773" s="1" t="str">
        <f>"6935160793063036247"</f>
        <v>6935160793063036247</v>
      </c>
      <c r="F6773" s="1" t="str">
        <f t="shared" si="2006"/>
        <v>花都四部-凤凰仓</v>
      </c>
      <c r="G6773" s="1" t="str">
        <f t="shared" si="2012"/>
        <v>卡卡杜个人护理店（抖店）</v>
      </c>
      <c r="H6773" s="1" t="str">
        <f t="shared" si="2007"/>
        <v>正常订单</v>
      </c>
      <c r="I6773" s="1" t="str">
        <f t="shared" si="2008"/>
        <v>已发货</v>
      </c>
      <c r="J6773" s="1" t="str">
        <f t="shared" si="2009"/>
        <v>3</v>
      </c>
      <c r="K6773" s="1">
        <v>3</v>
      </c>
      <c r="L6773" s="1" t="s">
        <v>22</v>
      </c>
      <c r="M6773" s="1" t="str">
        <f>"江西省 南昌市 红谷滩区 沙井街道"</f>
        <v>江西省 南昌市 红谷滩区 沙井街道</v>
      </c>
      <c r="N6773" s="1" t="str">
        <f t="shared" si="2011"/>
        <v>凡华云仓-韵达-抖音</v>
      </c>
      <c r="O6773" s="5">
        <v>320177472966626</v>
      </c>
      <c r="P6773" s="6">
        <v>0.28000000000000003</v>
      </c>
      <c r="Q6773" s="11">
        <v>2</v>
      </c>
      <c r="R6773" s="11"/>
      <c r="S6773" s="11"/>
      <c r="T6773" s="11"/>
      <c r="U6773" s="11">
        <f t="shared" si="2004"/>
        <v>2</v>
      </c>
      <c r="W6773">
        <v>2.2000000000000002</v>
      </c>
      <c r="X6773" s="1" t="s">
        <v>22</v>
      </c>
    </row>
    <row r="6774" spans="1:24" x14ac:dyDescent="0.25">
      <c r="A6774" s="1" t="str">
        <f t="shared" si="2005"/>
        <v>卡卡杜-凤凰仓</v>
      </c>
      <c r="B6774" s="1" t="str">
        <f>"CK202410189681"</f>
        <v>CK202410189681</v>
      </c>
      <c r="C6774" s="1" t="str">
        <f>"DD2024101815264"</f>
        <v>DD2024101815264</v>
      </c>
      <c r="D6774" s="1" t="str">
        <f>"CK202410189304"</f>
        <v>CK202410189304</v>
      </c>
      <c r="E6774" s="1" t="str">
        <f>"6935143387042027455"</f>
        <v>6935143387042027455</v>
      </c>
      <c r="F6774" s="1" t="str">
        <f t="shared" si="2006"/>
        <v>花都四部-凤凰仓</v>
      </c>
      <c r="G6774" s="1" t="str">
        <f t="shared" si="2012"/>
        <v>卡卡杜个人护理店（抖店）</v>
      </c>
      <c r="H6774" s="1" t="str">
        <f t="shared" si="2007"/>
        <v>正常订单</v>
      </c>
      <c r="I6774" s="1" t="str">
        <f t="shared" si="2008"/>
        <v>已发货</v>
      </c>
      <c r="J6774" s="1" t="str">
        <f t="shared" si="2009"/>
        <v>3</v>
      </c>
      <c r="K6774" s="1">
        <v>3</v>
      </c>
      <c r="L6774" s="1" t="s">
        <v>80</v>
      </c>
      <c r="M6774" s="1" t="str">
        <f>"河南省 信阳市 息县 龙湖街道"</f>
        <v>河南省 信阳市 息县 龙湖街道</v>
      </c>
      <c r="N6774" s="1" t="str">
        <f t="shared" si="2011"/>
        <v>凡华云仓-韵达-抖音</v>
      </c>
      <c r="O6774" s="5">
        <v>320177472966527</v>
      </c>
      <c r="P6774" s="6">
        <v>0.28000000000000003</v>
      </c>
      <c r="Q6774" s="11">
        <v>2</v>
      </c>
      <c r="R6774" s="11"/>
      <c r="S6774" s="11"/>
      <c r="T6774" s="11"/>
      <c r="U6774" s="11">
        <f t="shared" si="2004"/>
        <v>2</v>
      </c>
      <c r="W6774">
        <v>2.2000000000000002</v>
      </c>
      <c r="X6774" s="1" t="s">
        <v>80</v>
      </c>
    </row>
    <row r="6775" spans="1:24" x14ac:dyDescent="0.25">
      <c r="A6775" s="1" t="str">
        <f t="shared" si="2005"/>
        <v>卡卡杜-凤凰仓</v>
      </c>
      <c r="B6775" s="1" t="str">
        <f>"CK202410189685"</f>
        <v>CK202410189685</v>
      </c>
      <c r="C6775" s="1" t="str">
        <f>"DD2024101815268"</f>
        <v>DD2024101815268</v>
      </c>
      <c r="D6775" s="1" t="str">
        <f>"CK202410189303"</f>
        <v>CK202410189303</v>
      </c>
      <c r="E6775" s="1" t="str">
        <f>"6935141008714830865"</f>
        <v>6935141008714830865</v>
      </c>
      <c r="F6775" s="1" t="str">
        <f t="shared" si="2006"/>
        <v>花都四部-凤凰仓</v>
      </c>
      <c r="G6775" s="1" t="str">
        <f t="shared" si="2012"/>
        <v>卡卡杜个人护理店（抖店）</v>
      </c>
      <c r="H6775" s="1" t="str">
        <f t="shared" si="2007"/>
        <v>正常订单</v>
      </c>
      <c r="I6775" s="1" t="str">
        <f t="shared" si="2008"/>
        <v>已发货</v>
      </c>
      <c r="J6775" s="1" t="str">
        <f t="shared" si="2009"/>
        <v>3</v>
      </c>
      <c r="K6775" s="1">
        <v>3</v>
      </c>
      <c r="L6775" s="1" t="s">
        <v>16</v>
      </c>
      <c r="M6775" s="1" t="str">
        <f>"河北省 保定市 容城县 容城镇"</f>
        <v>河北省 保定市 容城县 容城镇</v>
      </c>
      <c r="N6775" s="1" t="str">
        <f t="shared" si="2011"/>
        <v>凡华云仓-韵达-抖音</v>
      </c>
      <c r="O6775" s="5">
        <v>320177487111016</v>
      </c>
      <c r="P6775" s="6">
        <v>0.28000000000000003</v>
      </c>
      <c r="Q6775" s="11">
        <v>2</v>
      </c>
      <c r="R6775" s="11"/>
      <c r="S6775" s="11"/>
      <c r="T6775" s="11"/>
      <c r="U6775" s="11">
        <f t="shared" si="2004"/>
        <v>2</v>
      </c>
      <c r="W6775">
        <v>2.2000000000000002</v>
      </c>
      <c r="X6775" s="1" t="s">
        <v>16</v>
      </c>
    </row>
    <row r="6776" spans="1:24" x14ac:dyDescent="0.25">
      <c r="A6776" s="1" t="str">
        <f t="shared" si="2005"/>
        <v>卡卡杜-凤凰仓</v>
      </c>
      <c r="B6776" s="1" t="str">
        <f>"CK202410189689"</f>
        <v>CK202410189689</v>
      </c>
      <c r="C6776" s="1" t="str">
        <f>"DD2024101815273"</f>
        <v>DD2024101815273</v>
      </c>
      <c r="D6776" s="1" t="str">
        <f>"CK202410189302"</f>
        <v>CK202410189302</v>
      </c>
      <c r="E6776" s="1" t="str">
        <f>"6935147338459518693"</f>
        <v>6935147338459518693</v>
      </c>
      <c r="F6776" s="1" t="str">
        <f t="shared" si="2006"/>
        <v>花都四部-凤凰仓</v>
      </c>
      <c r="G6776" s="1" t="str">
        <f t="shared" si="2012"/>
        <v>卡卡杜个人护理店（抖店）</v>
      </c>
      <c r="H6776" s="1" t="str">
        <f t="shared" si="2007"/>
        <v>正常订单</v>
      </c>
      <c r="I6776" s="1" t="str">
        <f t="shared" si="2008"/>
        <v>已发货</v>
      </c>
      <c r="J6776" s="1" t="str">
        <f t="shared" si="2009"/>
        <v>3</v>
      </c>
      <c r="K6776" s="1">
        <v>3</v>
      </c>
      <c r="L6776" s="1" t="s">
        <v>32</v>
      </c>
      <c r="M6776" s="1" t="str">
        <f>"陕西省 西安市 雁塔区 长延堡街道"</f>
        <v>陕西省 西安市 雁塔区 长延堡街道</v>
      </c>
      <c r="N6776" s="1" t="str">
        <f t="shared" si="2011"/>
        <v>凡华云仓-韵达-抖音</v>
      </c>
      <c r="O6776" s="5">
        <v>320177487110900</v>
      </c>
      <c r="P6776" s="6">
        <v>0.28000000000000003</v>
      </c>
      <c r="Q6776" s="11">
        <v>2</v>
      </c>
      <c r="R6776" s="11"/>
      <c r="S6776" s="11"/>
      <c r="T6776" s="11"/>
      <c r="U6776" s="11">
        <f t="shared" si="2004"/>
        <v>2</v>
      </c>
      <c r="W6776">
        <v>2.2000000000000002</v>
      </c>
      <c r="X6776" s="1" t="s">
        <v>32</v>
      </c>
    </row>
    <row r="6777" spans="1:24" x14ac:dyDescent="0.25">
      <c r="A6777" s="1" t="str">
        <f t="shared" si="2005"/>
        <v>卡卡杜-凤凰仓</v>
      </c>
      <c r="B6777" s="1" t="str">
        <f>"CK202410189693"</f>
        <v>CK202410189693</v>
      </c>
      <c r="C6777" s="1" t="str">
        <f>"DD2024101815277"</f>
        <v>DD2024101815277</v>
      </c>
      <c r="D6777" s="1" t="str">
        <f>"CK202410189301"</f>
        <v>CK202410189301</v>
      </c>
      <c r="E6777" s="1" t="str">
        <f>"6935160839497652094"</f>
        <v>6935160839497652094</v>
      </c>
      <c r="F6777" s="1" t="str">
        <f t="shared" si="2006"/>
        <v>花都四部-凤凰仓</v>
      </c>
      <c r="G6777" s="1" t="str">
        <f t="shared" si="2012"/>
        <v>卡卡杜个人护理店（抖店）</v>
      </c>
      <c r="H6777" s="1" t="str">
        <f t="shared" si="2007"/>
        <v>正常订单</v>
      </c>
      <c r="I6777" s="1" t="str">
        <f t="shared" si="2008"/>
        <v>已发货</v>
      </c>
      <c r="J6777" s="1" t="str">
        <f t="shared" si="2009"/>
        <v>3</v>
      </c>
      <c r="K6777" s="1">
        <v>3</v>
      </c>
      <c r="L6777" s="1" t="s">
        <v>20</v>
      </c>
      <c r="M6777" s="1" t="str">
        <f>"浙江省 绍兴市 上虞区 盖北镇"</f>
        <v>浙江省 绍兴市 上虞区 盖北镇</v>
      </c>
      <c r="N6777" s="1" t="str">
        <f t="shared" si="2011"/>
        <v>凡华云仓-韵达-抖音</v>
      </c>
      <c r="O6777" s="5">
        <v>320177487110895</v>
      </c>
      <c r="P6777" s="6">
        <v>0.28000000000000003</v>
      </c>
      <c r="Q6777" s="11">
        <v>2</v>
      </c>
      <c r="R6777" s="11"/>
      <c r="S6777" s="11"/>
      <c r="T6777" s="11"/>
      <c r="U6777" s="11">
        <f t="shared" si="2004"/>
        <v>2</v>
      </c>
      <c r="W6777">
        <v>2.2000000000000002</v>
      </c>
      <c r="X6777" s="1" t="s">
        <v>20</v>
      </c>
    </row>
    <row r="6778" spans="1:24" x14ac:dyDescent="0.25">
      <c r="A6778" s="1" t="str">
        <f t="shared" si="2005"/>
        <v>卡卡杜-凤凰仓</v>
      </c>
      <c r="B6778" s="1" t="str">
        <f>"CK202410189700"</f>
        <v>CK202410189700</v>
      </c>
      <c r="C6778" s="1" t="str">
        <f>"DD2024101815285"</f>
        <v>DD2024101815285</v>
      </c>
      <c r="D6778" s="1" t="str">
        <f>"CK202410189300"</f>
        <v>CK202410189300</v>
      </c>
      <c r="E6778" s="1" t="str">
        <f>"6935145324345694034"</f>
        <v>6935145324345694034</v>
      </c>
      <c r="F6778" s="1" t="str">
        <f t="shared" si="2006"/>
        <v>花都四部-凤凰仓</v>
      </c>
      <c r="G6778" s="1" t="str">
        <f t="shared" si="2012"/>
        <v>卡卡杜个人护理店（抖店）</v>
      </c>
      <c r="H6778" s="1" t="str">
        <f t="shared" si="2007"/>
        <v>正常订单</v>
      </c>
      <c r="I6778" s="1" t="str">
        <f t="shared" si="2008"/>
        <v>已发货</v>
      </c>
      <c r="J6778" s="1" t="str">
        <f t="shared" si="2009"/>
        <v>3</v>
      </c>
      <c r="K6778" s="1">
        <v>3</v>
      </c>
      <c r="L6778" s="1" t="s">
        <v>92</v>
      </c>
      <c r="M6778" s="1" t="str">
        <f>"辽宁省 葫芦岛市 兴城市 钓鱼台街道"</f>
        <v>辽宁省 葫芦岛市 兴城市 钓鱼台街道</v>
      </c>
      <c r="N6778" s="1" t="str">
        <f t="shared" si="2011"/>
        <v>凡华云仓-韵达-抖音</v>
      </c>
      <c r="O6778" s="5">
        <v>320177487110792</v>
      </c>
      <c r="P6778" s="6">
        <v>0.28000000000000003</v>
      </c>
      <c r="Q6778" s="11">
        <v>2</v>
      </c>
      <c r="R6778" s="11"/>
      <c r="S6778" s="11"/>
      <c r="T6778" s="11"/>
      <c r="U6778" s="11">
        <f t="shared" si="2004"/>
        <v>2</v>
      </c>
      <c r="W6778">
        <v>2.2000000000000002</v>
      </c>
      <c r="X6778" s="1" t="s">
        <v>92</v>
      </c>
    </row>
    <row r="6779" spans="1:24" x14ac:dyDescent="0.25">
      <c r="A6779" s="1" t="str">
        <f t="shared" si="2005"/>
        <v>卡卡杜-凤凰仓</v>
      </c>
      <c r="B6779" s="1" t="str">
        <f>"CK202410189704"</f>
        <v>CK202410189704</v>
      </c>
      <c r="C6779" s="1" t="str">
        <f>"DD2024101815287"</f>
        <v>DD2024101815287</v>
      </c>
      <c r="D6779" s="1" t="str">
        <f>"CK202410189299"</f>
        <v>CK202410189299</v>
      </c>
      <c r="E6779" s="1" t="str">
        <f>"6935151535295109008"</f>
        <v>6935151535295109008</v>
      </c>
      <c r="F6779" s="1" t="str">
        <f t="shared" si="2006"/>
        <v>花都四部-凤凰仓</v>
      </c>
      <c r="G6779" s="1" t="str">
        <f t="shared" si="2012"/>
        <v>卡卡杜个人护理店（抖店）</v>
      </c>
      <c r="H6779" s="1" t="str">
        <f t="shared" si="2007"/>
        <v>正常订单</v>
      </c>
      <c r="I6779" s="1" t="str">
        <f t="shared" si="2008"/>
        <v>已发货</v>
      </c>
      <c r="J6779" s="1" t="str">
        <f t="shared" si="2009"/>
        <v>3</v>
      </c>
      <c r="K6779" s="1">
        <v>3</v>
      </c>
      <c r="L6779" s="1" t="s">
        <v>94</v>
      </c>
      <c r="M6779" s="1" t="str">
        <f>"湖南省 邵阳市 隆回县 南岳庙镇"</f>
        <v>湖南省 邵阳市 隆回县 南岳庙镇</v>
      </c>
      <c r="N6779" s="1" t="str">
        <f t="shared" si="2011"/>
        <v>凡华云仓-韵达-抖音</v>
      </c>
      <c r="O6779" s="5">
        <v>320177487110691</v>
      </c>
      <c r="P6779" s="6">
        <v>0.28000000000000003</v>
      </c>
      <c r="Q6779" s="11">
        <v>2</v>
      </c>
      <c r="R6779" s="11"/>
      <c r="S6779" s="11"/>
      <c r="T6779" s="11"/>
      <c r="U6779" s="11">
        <f t="shared" si="2004"/>
        <v>2</v>
      </c>
      <c r="W6779">
        <v>2.2000000000000002</v>
      </c>
      <c r="X6779" s="1" t="s">
        <v>94</v>
      </c>
    </row>
    <row r="6780" spans="1:24" x14ac:dyDescent="0.25">
      <c r="A6780" s="1" t="str">
        <f t="shared" si="2005"/>
        <v>卡卡杜-凤凰仓</v>
      </c>
      <c r="B6780" s="1" t="str">
        <f>"CK202410189706"</f>
        <v>CK202410189706</v>
      </c>
      <c r="C6780" s="1" t="str">
        <f>"DD2024101815289"</f>
        <v>DD2024101815289</v>
      </c>
      <c r="D6780" s="1" t="str">
        <f>"CK202410189298"</f>
        <v>CK202410189298</v>
      </c>
      <c r="E6780" s="1" t="str">
        <f>"6935153656886859208"</f>
        <v>6935153656886859208</v>
      </c>
      <c r="F6780" s="1" t="str">
        <f t="shared" si="2006"/>
        <v>花都四部-凤凰仓</v>
      </c>
      <c r="G6780" s="1" t="str">
        <f t="shared" si="2012"/>
        <v>卡卡杜个人护理店（抖店）</v>
      </c>
      <c r="H6780" s="1" t="str">
        <f t="shared" si="2007"/>
        <v>正常订单</v>
      </c>
      <c r="I6780" s="1" t="str">
        <f t="shared" si="2008"/>
        <v>已发货</v>
      </c>
      <c r="J6780" s="1" t="str">
        <f t="shared" si="2009"/>
        <v>3</v>
      </c>
      <c r="K6780" s="1">
        <v>3</v>
      </c>
      <c r="L6780" s="1" t="s">
        <v>92</v>
      </c>
      <c r="M6780" s="1" t="str">
        <f>"辽宁省 大连市 沙河口区 春柳街道"</f>
        <v>辽宁省 大连市 沙河口区 春柳街道</v>
      </c>
      <c r="N6780" s="1" t="str">
        <f t="shared" si="2011"/>
        <v>凡华云仓-韵达-抖音</v>
      </c>
      <c r="O6780" s="5">
        <v>320177487110592</v>
      </c>
      <c r="P6780" s="6">
        <v>0.28000000000000003</v>
      </c>
      <c r="Q6780" s="11">
        <v>2</v>
      </c>
      <c r="R6780" s="11"/>
      <c r="S6780" s="11"/>
      <c r="T6780" s="11"/>
      <c r="U6780" s="11">
        <f t="shared" si="2004"/>
        <v>2</v>
      </c>
      <c r="W6780">
        <v>2.2000000000000002</v>
      </c>
      <c r="X6780" s="1" t="s">
        <v>92</v>
      </c>
    </row>
    <row r="6781" spans="1:24" x14ac:dyDescent="0.25">
      <c r="A6781" s="1" t="str">
        <f t="shared" si="2005"/>
        <v>卡卡杜-凤凰仓</v>
      </c>
      <c r="B6781" s="1" t="str">
        <f>"CK202410189713"</f>
        <v>CK202410189713</v>
      </c>
      <c r="C6781" s="1" t="str">
        <f>"DD2024101815298"</f>
        <v>DD2024101815298</v>
      </c>
      <c r="D6781" s="1" t="str">
        <f>"CK202410189297"</f>
        <v>CK202410189297</v>
      </c>
      <c r="E6781" s="1" t="str">
        <f>"6935153783860696103"</f>
        <v>6935153783860696103</v>
      </c>
      <c r="F6781" s="1" t="str">
        <f t="shared" si="2006"/>
        <v>花都四部-凤凰仓</v>
      </c>
      <c r="G6781" s="1" t="str">
        <f t="shared" si="2012"/>
        <v>卡卡杜个人护理店（抖店）</v>
      </c>
      <c r="H6781" s="1" t="str">
        <f t="shared" si="2007"/>
        <v>正常订单</v>
      </c>
      <c r="I6781" s="1" t="str">
        <f t="shared" si="2008"/>
        <v>已发货</v>
      </c>
      <c r="J6781" s="1" t="str">
        <f t="shared" si="2009"/>
        <v>3</v>
      </c>
      <c r="K6781" s="1">
        <v>3</v>
      </c>
      <c r="L6781" s="1" t="s">
        <v>13</v>
      </c>
      <c r="M6781" s="1" t="str">
        <f>"江苏省 泰州市 海陵区 明珠街道"</f>
        <v>江苏省 泰州市 海陵区 明珠街道</v>
      </c>
      <c r="N6781" s="1" t="str">
        <f t="shared" si="2011"/>
        <v>凡华云仓-韵达-抖音</v>
      </c>
      <c r="O6781" s="5">
        <v>320177487110495</v>
      </c>
      <c r="P6781" s="6">
        <v>0.28000000000000003</v>
      </c>
      <c r="Q6781" s="11">
        <v>2</v>
      </c>
      <c r="R6781" s="11"/>
      <c r="S6781" s="11"/>
      <c r="T6781" s="11"/>
      <c r="U6781" s="11">
        <f t="shared" si="2004"/>
        <v>2</v>
      </c>
      <c r="W6781">
        <v>2.2000000000000002</v>
      </c>
      <c r="X6781" s="1" t="s">
        <v>13</v>
      </c>
    </row>
    <row r="6782" spans="1:24" x14ac:dyDescent="0.25">
      <c r="A6782" s="1" t="str">
        <f t="shared" si="2005"/>
        <v>卡卡杜-凤凰仓</v>
      </c>
      <c r="B6782" s="1" t="str">
        <f>"CK202410189728"</f>
        <v>CK202410189728</v>
      </c>
      <c r="C6782" s="1" t="str">
        <f>"DD2024101815312"</f>
        <v>DD2024101815312</v>
      </c>
      <c r="D6782" s="1" t="str">
        <f>"CK202410189296"</f>
        <v>CK202410189296</v>
      </c>
      <c r="E6782" s="1" t="str">
        <f>"6935167297404671295"</f>
        <v>6935167297404671295</v>
      </c>
      <c r="F6782" s="1" t="str">
        <f t="shared" si="2006"/>
        <v>花都四部-凤凰仓</v>
      </c>
      <c r="G6782" s="1" t="str">
        <f t="shared" si="2012"/>
        <v>卡卡杜个人护理店（抖店）</v>
      </c>
      <c r="H6782" s="1" t="str">
        <f t="shared" si="2007"/>
        <v>正常订单</v>
      </c>
      <c r="I6782" s="1" t="str">
        <f t="shared" si="2008"/>
        <v>已发货</v>
      </c>
      <c r="J6782" s="1" t="str">
        <f t="shared" si="2009"/>
        <v>3</v>
      </c>
      <c r="K6782" s="1">
        <v>3</v>
      </c>
      <c r="L6782" s="1" t="s">
        <v>41</v>
      </c>
      <c r="M6782" s="1" t="str">
        <f>"湖北省 武汉市 汉阳区 鹦鹉街道"</f>
        <v>湖北省 武汉市 汉阳区 鹦鹉街道</v>
      </c>
      <c r="N6782" s="1" t="str">
        <f t="shared" si="2011"/>
        <v>凡华云仓-韵达-抖音</v>
      </c>
      <c r="O6782" s="5">
        <v>320177487110300</v>
      </c>
      <c r="P6782" s="6">
        <v>0.28000000000000003</v>
      </c>
      <c r="Q6782" s="11">
        <v>2</v>
      </c>
      <c r="R6782" s="11"/>
      <c r="S6782" s="11"/>
      <c r="T6782" s="11"/>
      <c r="U6782" s="11">
        <f t="shared" si="2004"/>
        <v>2</v>
      </c>
      <c r="W6782">
        <v>2.2000000000000002</v>
      </c>
      <c r="X6782" s="1" t="s">
        <v>41</v>
      </c>
    </row>
    <row r="6783" spans="1:24" x14ac:dyDescent="0.25">
      <c r="A6783" s="1" t="str">
        <f t="shared" si="2005"/>
        <v>卡卡杜-凤凰仓</v>
      </c>
      <c r="B6783" s="1" t="str">
        <f>"CK2024101810054"</f>
        <v>CK2024101810054</v>
      </c>
      <c r="C6783" s="1" t="str">
        <f>"DD2024101815638"</f>
        <v>DD2024101815638</v>
      </c>
      <c r="D6783" s="1" t="str">
        <f>"CK202410189295"</f>
        <v>CK202410189295</v>
      </c>
      <c r="E6783" s="1" t="str">
        <f>"6935153830361502921"</f>
        <v>6935153830361502921</v>
      </c>
      <c r="F6783" s="1" t="str">
        <f t="shared" si="2006"/>
        <v>花都四部-凤凰仓</v>
      </c>
      <c r="G6783" s="1" t="str">
        <f t="shared" si="2012"/>
        <v>卡卡杜个人护理店（抖店）</v>
      </c>
      <c r="H6783" s="1" t="str">
        <f t="shared" si="2007"/>
        <v>正常订单</v>
      </c>
      <c r="I6783" s="1" t="str">
        <f t="shared" si="2008"/>
        <v>已发货</v>
      </c>
      <c r="J6783" s="1" t="str">
        <f>"6"</f>
        <v>6</v>
      </c>
      <c r="K6783" s="1">
        <v>3</v>
      </c>
      <c r="L6783" s="1" t="s">
        <v>27</v>
      </c>
      <c r="M6783" s="1" t="str">
        <f>"贵州省 贵阳市 清镇市 卫城镇"</f>
        <v>贵州省 贵阳市 清镇市 卫城镇</v>
      </c>
      <c r="N6783" s="1" t="str">
        <f t="shared" si="2011"/>
        <v>凡华云仓-韵达-抖音</v>
      </c>
      <c r="O6783" s="5">
        <v>320177487110207</v>
      </c>
      <c r="P6783" s="6">
        <v>0.45</v>
      </c>
      <c r="Q6783" s="11">
        <v>2.2999999999999998</v>
      </c>
      <c r="R6783" s="11"/>
      <c r="S6783" s="11"/>
      <c r="T6783" s="11"/>
      <c r="U6783" s="11">
        <f t="shared" si="2004"/>
        <v>2.2999999999999998</v>
      </c>
      <c r="W6783">
        <v>2.5</v>
      </c>
      <c r="X6783" s="1" t="s">
        <v>27</v>
      </c>
    </row>
    <row r="6784" spans="1:24" x14ac:dyDescent="0.25">
      <c r="A6784" s="1" t="str">
        <f t="shared" si="2005"/>
        <v>卡卡杜-凤凰仓</v>
      </c>
      <c r="B6784" s="1" t="str">
        <f>"CK2024101810056"</f>
        <v>CK2024101810056</v>
      </c>
      <c r="C6784" s="1" t="str">
        <f>"DD2024101815640"</f>
        <v>DD2024101815640</v>
      </c>
      <c r="D6784" s="1" t="str">
        <f>"CK202410189294"</f>
        <v>CK202410189294</v>
      </c>
      <c r="E6784" s="1" t="str">
        <f>"6935140994819888437"</f>
        <v>6935140994819888437</v>
      </c>
      <c r="F6784" s="1" t="str">
        <f t="shared" si="2006"/>
        <v>花都四部-凤凰仓</v>
      </c>
      <c r="G6784" s="1" t="str">
        <f t="shared" si="2012"/>
        <v>卡卡杜个人护理店（抖店）</v>
      </c>
      <c r="H6784" s="1" t="str">
        <f t="shared" si="2007"/>
        <v>正常订单</v>
      </c>
      <c r="I6784" s="1" t="str">
        <f t="shared" si="2008"/>
        <v>已发货</v>
      </c>
      <c r="J6784" s="1" t="str">
        <f t="shared" ref="J6784:J6786" si="2013">"3"</f>
        <v>3</v>
      </c>
      <c r="K6784" s="1">
        <v>3</v>
      </c>
      <c r="L6784" s="1" t="s">
        <v>161</v>
      </c>
      <c r="M6784" s="1" t="str">
        <f>"四川省 乐山市 峨眉山市 胜利街道"</f>
        <v>四川省 乐山市 峨眉山市 胜利街道</v>
      </c>
      <c r="N6784" s="1" t="str">
        <f t="shared" si="2011"/>
        <v>凡华云仓-韵达-抖音</v>
      </c>
      <c r="O6784" s="5">
        <v>320177487110116</v>
      </c>
      <c r="P6784" s="6">
        <v>0.28000000000000003</v>
      </c>
      <c r="Q6784" s="11">
        <v>2</v>
      </c>
      <c r="R6784" s="11"/>
      <c r="S6784" s="11"/>
      <c r="T6784" s="11"/>
      <c r="U6784" s="11">
        <f t="shared" si="2004"/>
        <v>2</v>
      </c>
      <c r="W6784">
        <v>2.2000000000000002</v>
      </c>
      <c r="X6784" s="1" t="s">
        <v>161</v>
      </c>
    </row>
    <row r="6785" spans="1:24" x14ac:dyDescent="0.25">
      <c r="A6785" s="1" t="str">
        <f t="shared" si="2005"/>
        <v>卡卡杜-凤凰仓</v>
      </c>
      <c r="B6785" s="1" t="str">
        <f>"CK2024101810057"</f>
        <v>CK2024101810057</v>
      </c>
      <c r="C6785" s="1" t="str">
        <f>"DD2024101815641"</f>
        <v>DD2024101815641</v>
      </c>
      <c r="D6785" s="1" t="str">
        <f>"CK202410189293"</f>
        <v>CK202410189293</v>
      </c>
      <c r="E6785" s="1" t="str">
        <f>"6935158312161777391"</f>
        <v>6935158312161777391</v>
      </c>
      <c r="F6785" s="1" t="str">
        <f t="shared" si="2006"/>
        <v>花都四部-凤凰仓</v>
      </c>
      <c r="G6785" s="1" t="str">
        <f t="shared" si="2012"/>
        <v>卡卡杜个人护理店（抖店）</v>
      </c>
      <c r="H6785" s="1" t="str">
        <f t="shared" si="2007"/>
        <v>正常订单</v>
      </c>
      <c r="I6785" s="1" t="str">
        <f t="shared" si="2008"/>
        <v>已发货</v>
      </c>
      <c r="J6785" s="1" t="str">
        <f t="shared" si="2013"/>
        <v>3</v>
      </c>
      <c r="K6785" s="1">
        <v>3</v>
      </c>
      <c r="L6785" s="1" t="s">
        <v>218</v>
      </c>
      <c r="M6785" s="1" t="str">
        <f>"天津 天津市 西青区 "</f>
        <v xml:space="preserve">天津 天津市 西青区 </v>
      </c>
      <c r="N6785" s="1" t="str">
        <f t="shared" si="2011"/>
        <v>凡华云仓-韵达-抖音</v>
      </c>
      <c r="O6785" s="5">
        <v>320177480792002</v>
      </c>
      <c r="P6785" s="6">
        <v>0.28000000000000003</v>
      </c>
      <c r="Q6785" s="11">
        <v>2</v>
      </c>
      <c r="R6785" s="11"/>
      <c r="S6785" s="11"/>
      <c r="T6785" s="11"/>
      <c r="U6785" s="11">
        <f t="shared" si="2004"/>
        <v>2</v>
      </c>
      <c r="W6785">
        <v>2.2000000000000002</v>
      </c>
      <c r="X6785" s="1" t="s">
        <v>218</v>
      </c>
    </row>
    <row r="6786" spans="1:24" x14ac:dyDescent="0.25">
      <c r="A6786" s="1" t="str">
        <f t="shared" si="2005"/>
        <v>卡卡杜-凤凰仓</v>
      </c>
      <c r="B6786" s="1" t="str">
        <f>"CK2024101810058"</f>
        <v>CK2024101810058</v>
      </c>
      <c r="C6786" s="1" t="str">
        <f>"DD2024101815642"</f>
        <v>DD2024101815642</v>
      </c>
      <c r="D6786" s="1" t="str">
        <f>"CK202410189292"</f>
        <v>CK202410189292</v>
      </c>
      <c r="E6786" s="1" t="str">
        <f>"6935164953185359501"</f>
        <v>6935164953185359501</v>
      </c>
      <c r="F6786" s="1" t="str">
        <f t="shared" si="2006"/>
        <v>花都四部-凤凰仓</v>
      </c>
      <c r="G6786" s="1" t="str">
        <f t="shared" si="2012"/>
        <v>卡卡杜个人护理店（抖店）</v>
      </c>
      <c r="H6786" s="1" t="str">
        <f t="shared" si="2007"/>
        <v>正常订单</v>
      </c>
      <c r="I6786" s="1" t="str">
        <f t="shared" si="2008"/>
        <v>已发货</v>
      </c>
      <c r="J6786" s="1" t="str">
        <f t="shared" si="2013"/>
        <v>3</v>
      </c>
      <c r="K6786" s="1">
        <v>3</v>
      </c>
      <c r="L6786" s="1" t="s">
        <v>105</v>
      </c>
      <c r="M6786" s="1" t="str">
        <f>"北京 北京市 通州区 永顺地区"</f>
        <v>北京 北京市 通州区 永顺地区</v>
      </c>
      <c r="N6786" s="1" t="str">
        <f t="shared" si="2011"/>
        <v>凡华云仓-韵达-抖音</v>
      </c>
      <c r="O6786" s="5">
        <v>320177480791984</v>
      </c>
      <c r="P6786" s="6">
        <v>0.28000000000000003</v>
      </c>
      <c r="Q6786" s="11">
        <v>2</v>
      </c>
      <c r="R6786" s="11"/>
      <c r="S6786" s="11"/>
      <c r="T6786" s="11"/>
      <c r="U6786" s="11">
        <f t="shared" si="2004"/>
        <v>2</v>
      </c>
      <c r="W6786">
        <v>2.2000000000000002</v>
      </c>
      <c r="X6786" s="1" t="s">
        <v>105</v>
      </c>
    </row>
    <row r="6787" spans="1:24" x14ac:dyDescent="0.25">
      <c r="A6787" s="1" t="str">
        <f t="shared" si="2005"/>
        <v>卡卡杜-凤凰仓</v>
      </c>
      <c r="B6787" s="1" t="str">
        <f>"CK202410189691"</f>
        <v>CK202410189691</v>
      </c>
      <c r="C6787" s="1" t="str">
        <f>"DD2024101815275"</f>
        <v>DD2024101815275</v>
      </c>
      <c r="D6787" s="1" t="str">
        <f>"CK202410189291"</f>
        <v>CK202410189291</v>
      </c>
      <c r="E6787" s="1" t="str">
        <f>"6935155967554098476"</f>
        <v>6935155967554098476</v>
      </c>
      <c r="F6787" s="1" t="str">
        <f t="shared" si="2006"/>
        <v>花都四部-凤凰仓</v>
      </c>
      <c r="G6787" s="1" t="str">
        <f t="shared" si="2012"/>
        <v>卡卡杜个人护理店（抖店）</v>
      </c>
      <c r="H6787" s="1" t="str">
        <f t="shared" si="2007"/>
        <v>正常订单</v>
      </c>
      <c r="I6787" s="1" t="str">
        <f t="shared" si="2008"/>
        <v>已发货</v>
      </c>
      <c r="J6787" s="1" t="str">
        <f>"6"</f>
        <v>6</v>
      </c>
      <c r="K6787" s="1">
        <v>3</v>
      </c>
      <c r="L6787" s="1" t="s">
        <v>218</v>
      </c>
      <c r="M6787" s="1" t="str">
        <f>"天津 天津市 静海区 静海镇"</f>
        <v>天津 天津市 静海区 静海镇</v>
      </c>
      <c r="N6787" s="1" t="str">
        <f t="shared" si="2011"/>
        <v>凡华云仓-韵达-抖音</v>
      </c>
      <c r="O6787" s="5">
        <v>320177480791879</v>
      </c>
      <c r="P6787" s="6">
        <v>0.45</v>
      </c>
      <c r="Q6787" s="11">
        <v>2.2999999999999998</v>
      </c>
      <c r="R6787" s="11"/>
      <c r="S6787" s="11"/>
      <c r="T6787" s="11"/>
      <c r="U6787" s="11">
        <f t="shared" ref="U6787:U6850" si="2014">T6787+S6787+R6787+Q6787</f>
        <v>2.2999999999999998</v>
      </c>
      <c r="W6787">
        <v>2.5</v>
      </c>
      <c r="X6787" s="1" t="s">
        <v>218</v>
      </c>
    </row>
    <row r="6788" spans="1:24" x14ac:dyDescent="0.25">
      <c r="A6788" s="1" t="str">
        <f t="shared" si="2005"/>
        <v>卡卡杜-凤凰仓</v>
      </c>
      <c r="B6788" s="1" t="str">
        <f>"CK202410189695"</f>
        <v>CK202410189695</v>
      </c>
      <c r="C6788" s="1" t="str">
        <f>"DD2024101815279"</f>
        <v>DD2024101815279</v>
      </c>
      <c r="D6788" s="1" t="str">
        <f>"CK202410189290"</f>
        <v>CK202410189290</v>
      </c>
      <c r="E6788" s="1" t="str">
        <f>"6935141041750021127"</f>
        <v>6935141041750021127</v>
      </c>
      <c r="F6788" s="1" t="str">
        <f t="shared" si="2006"/>
        <v>花都四部-凤凰仓</v>
      </c>
      <c r="G6788" s="1" t="str">
        <f t="shared" si="2012"/>
        <v>卡卡杜个人护理店（抖店）</v>
      </c>
      <c r="H6788" s="1" t="str">
        <f t="shared" si="2007"/>
        <v>正常订单</v>
      </c>
      <c r="I6788" s="1" t="str">
        <f t="shared" si="2008"/>
        <v>已发货</v>
      </c>
      <c r="J6788" s="1" t="str">
        <f t="shared" ref="J6788:J6851" si="2015">"3"</f>
        <v>3</v>
      </c>
      <c r="K6788" s="1">
        <v>3</v>
      </c>
      <c r="L6788" s="1" t="s">
        <v>92</v>
      </c>
      <c r="M6788" s="1" t="str">
        <f>"辽宁省 沈阳市 浑南区 浑河站东街道"</f>
        <v>辽宁省 沈阳市 浑南区 浑河站东街道</v>
      </c>
      <c r="N6788" s="1" t="str">
        <f t="shared" si="2011"/>
        <v>凡华云仓-韵达-抖音</v>
      </c>
      <c r="O6788" s="5">
        <v>320177480791776</v>
      </c>
      <c r="P6788" s="6">
        <v>0.28000000000000003</v>
      </c>
      <c r="Q6788" s="11">
        <v>2</v>
      </c>
      <c r="R6788" s="11"/>
      <c r="S6788" s="11"/>
      <c r="T6788" s="11"/>
      <c r="U6788" s="11">
        <f t="shared" si="2014"/>
        <v>2</v>
      </c>
      <c r="W6788">
        <v>2.2000000000000002</v>
      </c>
      <c r="X6788" s="1" t="s">
        <v>92</v>
      </c>
    </row>
    <row r="6789" spans="1:24" x14ac:dyDescent="0.25">
      <c r="A6789" s="1" t="str">
        <f t="shared" ref="A6789:A6852" si="2016">"卡卡杜-凤凰仓"</f>
        <v>卡卡杜-凤凰仓</v>
      </c>
      <c r="B6789" s="1" t="str">
        <f>"CK202410189698"</f>
        <v>CK202410189698</v>
      </c>
      <c r="C6789" s="1" t="str">
        <f>"DD2024101815281"</f>
        <v>DD2024101815281</v>
      </c>
      <c r="D6789" s="1" t="str">
        <f>"CK202410189289"</f>
        <v>CK202410189289</v>
      </c>
      <c r="E6789" s="1" t="str">
        <f>"6918003942364642315"</f>
        <v>6918003942364642315</v>
      </c>
      <c r="F6789" s="1" t="str">
        <f t="shared" ref="F6789:F6852" si="2017">"花都四部-凤凰仓"</f>
        <v>花都四部-凤凰仓</v>
      </c>
      <c r="G6789" s="1" t="str">
        <f t="shared" si="2012"/>
        <v>卡卡杜个人护理店（抖店）</v>
      </c>
      <c r="H6789" s="1" t="str">
        <f t="shared" ref="H6789:H6852" si="2018">"正常订单"</f>
        <v>正常订单</v>
      </c>
      <c r="I6789" s="1" t="str">
        <f t="shared" ref="I6789:I6852" si="2019">"已发货"</f>
        <v>已发货</v>
      </c>
      <c r="J6789" s="1" t="str">
        <f t="shared" si="2015"/>
        <v>3</v>
      </c>
      <c r="K6789" s="1">
        <v>3</v>
      </c>
      <c r="L6789" s="1" t="s">
        <v>30</v>
      </c>
      <c r="M6789" s="1" t="str">
        <f>"山东省 滨州市 邹平市 好生街道"</f>
        <v>山东省 滨州市 邹平市 好生街道</v>
      </c>
      <c r="N6789" s="1" t="str">
        <f t="shared" si="2011"/>
        <v>凡华云仓-韵达-抖音</v>
      </c>
      <c r="O6789" s="5">
        <v>320177480791675</v>
      </c>
      <c r="P6789" s="6">
        <v>0.28000000000000003</v>
      </c>
      <c r="Q6789" s="11">
        <v>2</v>
      </c>
      <c r="R6789" s="11"/>
      <c r="S6789" s="11"/>
      <c r="T6789" s="11"/>
      <c r="U6789" s="11">
        <f t="shared" si="2014"/>
        <v>2</v>
      </c>
      <c r="W6789">
        <v>2.2000000000000002</v>
      </c>
      <c r="X6789" s="1" t="s">
        <v>30</v>
      </c>
    </row>
    <row r="6790" spans="1:24" x14ac:dyDescent="0.25">
      <c r="A6790" s="1" t="str">
        <f t="shared" si="2016"/>
        <v>卡卡杜-凤凰仓</v>
      </c>
      <c r="B6790" s="1" t="str">
        <f>"CK202410189709"</f>
        <v>CK202410189709</v>
      </c>
      <c r="C6790" s="1" t="str">
        <f>"DD2024101815291"</f>
        <v>DD2024101815291</v>
      </c>
      <c r="D6790" s="1" t="str">
        <f>"CK202410189288"</f>
        <v>CK202410189288</v>
      </c>
      <c r="E6790" s="1" t="str">
        <f>"6935158205628814657"</f>
        <v>6935158205628814657</v>
      </c>
      <c r="F6790" s="1" t="str">
        <f t="shared" si="2017"/>
        <v>花都四部-凤凰仓</v>
      </c>
      <c r="G6790" s="1" t="str">
        <f t="shared" si="2012"/>
        <v>卡卡杜个人护理店（抖店）</v>
      </c>
      <c r="H6790" s="1" t="str">
        <f t="shared" si="2018"/>
        <v>正常订单</v>
      </c>
      <c r="I6790" s="1" t="str">
        <f t="shared" si="2019"/>
        <v>已发货</v>
      </c>
      <c r="J6790" s="1" t="str">
        <f t="shared" si="2015"/>
        <v>3</v>
      </c>
      <c r="K6790" s="1">
        <v>3</v>
      </c>
      <c r="L6790" s="1" t="s">
        <v>13</v>
      </c>
      <c r="M6790" s="1" t="str">
        <f>"江苏省 南京市 浦口区 江浦街道"</f>
        <v>江苏省 南京市 浦口区 江浦街道</v>
      </c>
      <c r="N6790" s="1" t="str">
        <f t="shared" si="2011"/>
        <v>凡华云仓-韵达-抖音</v>
      </c>
      <c r="O6790" s="5">
        <v>320177480791576</v>
      </c>
      <c r="P6790" s="6">
        <v>0.28000000000000003</v>
      </c>
      <c r="Q6790" s="11">
        <v>2</v>
      </c>
      <c r="R6790" s="11"/>
      <c r="S6790" s="11"/>
      <c r="T6790" s="11"/>
      <c r="U6790" s="11">
        <f t="shared" si="2014"/>
        <v>2</v>
      </c>
      <c r="W6790">
        <v>2.2000000000000002</v>
      </c>
      <c r="X6790" s="1" t="s">
        <v>13</v>
      </c>
    </row>
    <row r="6791" spans="1:24" x14ac:dyDescent="0.25">
      <c r="A6791" s="1" t="str">
        <f t="shared" si="2016"/>
        <v>卡卡杜-凤凰仓</v>
      </c>
      <c r="B6791" s="1" t="str">
        <f>"CK202410189710"</f>
        <v>CK202410189710</v>
      </c>
      <c r="C6791" s="1" t="str">
        <f>"DD2024101815294"</f>
        <v>DD2024101815294</v>
      </c>
      <c r="D6791" s="1" t="str">
        <f>"CK202410189287"</f>
        <v>CK202410189287</v>
      </c>
      <c r="E6791" s="1" t="str">
        <f>"6935143458292241744"</f>
        <v>6935143458292241744</v>
      </c>
      <c r="F6791" s="1" t="str">
        <f t="shared" si="2017"/>
        <v>花都四部-凤凰仓</v>
      </c>
      <c r="G6791" s="1" t="str">
        <f t="shared" si="2012"/>
        <v>卡卡杜个人护理店（抖店）</v>
      </c>
      <c r="H6791" s="1" t="str">
        <f t="shared" si="2018"/>
        <v>正常订单</v>
      </c>
      <c r="I6791" s="1" t="str">
        <f t="shared" si="2019"/>
        <v>已发货</v>
      </c>
      <c r="J6791" s="1" t="str">
        <f t="shared" si="2015"/>
        <v>3</v>
      </c>
      <c r="K6791" s="1">
        <v>3</v>
      </c>
      <c r="L6791" s="1" t="s">
        <v>30</v>
      </c>
      <c r="M6791" s="1" t="str">
        <f>"山东省 德州市 陵城区 丁庄镇"</f>
        <v>山东省 德州市 陵城区 丁庄镇</v>
      </c>
      <c r="N6791" s="1" t="str">
        <f t="shared" si="2011"/>
        <v>凡华云仓-韵达-抖音</v>
      </c>
      <c r="O6791" s="5">
        <v>320177480791479</v>
      </c>
      <c r="P6791" s="6">
        <v>0.28000000000000003</v>
      </c>
      <c r="Q6791" s="11">
        <v>2</v>
      </c>
      <c r="R6791" s="11"/>
      <c r="S6791" s="11"/>
      <c r="T6791" s="11"/>
      <c r="U6791" s="11">
        <f t="shared" si="2014"/>
        <v>2</v>
      </c>
      <c r="W6791">
        <v>2.2000000000000002</v>
      </c>
      <c r="X6791" s="1" t="s">
        <v>30</v>
      </c>
    </row>
    <row r="6792" spans="1:24" x14ac:dyDescent="0.25">
      <c r="A6792" s="1" t="str">
        <f t="shared" si="2016"/>
        <v>卡卡杜-凤凰仓</v>
      </c>
      <c r="B6792" s="1" t="str">
        <f>"CK202410189717"</f>
        <v>CK202410189717</v>
      </c>
      <c r="C6792" s="1" t="str">
        <f>"DD2024101815297"</f>
        <v>DD2024101815297</v>
      </c>
      <c r="D6792" s="1" t="str">
        <f>"CK202410189286"</f>
        <v>CK202410189286</v>
      </c>
      <c r="E6792" s="1" t="str">
        <f>"6935155943930074612"</f>
        <v>6935155943930074612</v>
      </c>
      <c r="F6792" s="1" t="str">
        <f t="shared" si="2017"/>
        <v>花都四部-凤凰仓</v>
      </c>
      <c r="G6792" s="1" t="str">
        <f t="shared" si="2012"/>
        <v>卡卡杜个人护理店（抖店）</v>
      </c>
      <c r="H6792" s="1" t="str">
        <f t="shared" si="2018"/>
        <v>正常订单</v>
      </c>
      <c r="I6792" s="1" t="str">
        <f t="shared" si="2019"/>
        <v>已发货</v>
      </c>
      <c r="J6792" s="1" t="str">
        <f t="shared" si="2015"/>
        <v>3</v>
      </c>
      <c r="K6792" s="1">
        <v>3</v>
      </c>
      <c r="L6792" s="1" t="s">
        <v>218</v>
      </c>
      <c r="M6792" s="1" t="str">
        <f>"天津 天津市 西青区 精武镇"</f>
        <v>天津 天津市 西青区 精武镇</v>
      </c>
      <c r="N6792" s="1" t="str">
        <f t="shared" si="2011"/>
        <v>凡华云仓-韵达-抖音</v>
      </c>
      <c r="O6792" s="5">
        <v>320177480791384</v>
      </c>
      <c r="P6792" s="6">
        <v>0.28000000000000003</v>
      </c>
      <c r="Q6792" s="11">
        <v>2</v>
      </c>
      <c r="R6792" s="11"/>
      <c r="S6792" s="11"/>
      <c r="T6792" s="11"/>
      <c r="U6792" s="11">
        <f t="shared" si="2014"/>
        <v>2</v>
      </c>
      <c r="W6792">
        <v>2.2000000000000002</v>
      </c>
      <c r="X6792" s="1" t="s">
        <v>218</v>
      </c>
    </row>
    <row r="6793" spans="1:24" x14ac:dyDescent="0.25">
      <c r="A6793" s="1" t="str">
        <f t="shared" si="2016"/>
        <v>卡卡杜-凤凰仓</v>
      </c>
      <c r="B6793" s="1" t="str">
        <f>"CK202410189715"</f>
        <v>CK202410189715</v>
      </c>
      <c r="C6793" s="1" t="str">
        <f>"DD2024101815305"</f>
        <v>DD2024101815305</v>
      </c>
      <c r="D6793" s="1" t="str">
        <f>"CK202410189285"</f>
        <v>CK202410189285</v>
      </c>
      <c r="E6793" s="1" t="str">
        <f>"6935160815520978049"</f>
        <v>6935160815520978049</v>
      </c>
      <c r="F6793" s="1" t="str">
        <f t="shared" si="2017"/>
        <v>花都四部-凤凰仓</v>
      </c>
      <c r="G6793" s="1" t="str">
        <f t="shared" si="2012"/>
        <v>卡卡杜个人护理店（抖店）</v>
      </c>
      <c r="H6793" s="1" t="str">
        <f t="shared" si="2018"/>
        <v>正常订单</v>
      </c>
      <c r="I6793" s="1" t="str">
        <f t="shared" si="2019"/>
        <v>已发货</v>
      </c>
      <c r="J6793" s="1" t="str">
        <f t="shared" si="2015"/>
        <v>3</v>
      </c>
      <c r="K6793" s="1">
        <v>3</v>
      </c>
      <c r="L6793" s="1" t="s">
        <v>41</v>
      </c>
      <c r="M6793" s="1" t="str">
        <f>"湖北省 襄阳市 樊城区 团山镇"</f>
        <v>湖北省 襄阳市 樊城区 团山镇</v>
      </c>
      <c r="N6793" s="1" t="str">
        <f t="shared" si="2011"/>
        <v>凡华云仓-韵达-抖音</v>
      </c>
      <c r="O6793" s="5">
        <v>320177480791291</v>
      </c>
      <c r="P6793" s="6">
        <v>0.28000000000000003</v>
      </c>
      <c r="Q6793" s="11">
        <v>2</v>
      </c>
      <c r="R6793" s="11"/>
      <c r="S6793" s="11"/>
      <c r="T6793" s="11"/>
      <c r="U6793" s="11">
        <f t="shared" si="2014"/>
        <v>2</v>
      </c>
      <c r="W6793">
        <v>2.2000000000000002</v>
      </c>
      <c r="X6793" s="1" t="s">
        <v>41</v>
      </c>
    </row>
    <row r="6794" spans="1:24" x14ac:dyDescent="0.25">
      <c r="A6794" s="1" t="str">
        <f t="shared" si="2016"/>
        <v>卡卡杜-凤凰仓</v>
      </c>
      <c r="B6794" s="1" t="str">
        <f>"CK202410189720"</f>
        <v>CK202410189720</v>
      </c>
      <c r="C6794" s="1" t="str">
        <f>"DD2024101815306"</f>
        <v>DD2024101815306</v>
      </c>
      <c r="D6794" s="1" t="str">
        <f>"CK202410189284"</f>
        <v>CK202410189284</v>
      </c>
      <c r="E6794" s="1" t="str">
        <f>"6935151308845356759"</f>
        <v>6935151308845356759</v>
      </c>
      <c r="F6794" s="1" t="str">
        <f t="shared" si="2017"/>
        <v>花都四部-凤凰仓</v>
      </c>
      <c r="G6794" s="1" t="str">
        <f t="shared" si="2012"/>
        <v>卡卡杜个人护理店（抖店）</v>
      </c>
      <c r="H6794" s="1" t="str">
        <f t="shared" si="2018"/>
        <v>正常订单</v>
      </c>
      <c r="I6794" s="1" t="str">
        <f t="shared" si="2019"/>
        <v>已发货</v>
      </c>
      <c r="J6794" s="1" t="str">
        <f t="shared" si="2015"/>
        <v>3</v>
      </c>
      <c r="K6794" s="1">
        <v>3</v>
      </c>
      <c r="L6794" s="1" t="s">
        <v>22</v>
      </c>
      <c r="M6794" s="1" t="str">
        <f>"江西省 吉安市 吉水县 螺田镇"</f>
        <v>江西省 吉安市 吉水县 螺田镇</v>
      </c>
      <c r="N6794" s="1" t="str">
        <f t="shared" si="2011"/>
        <v>凡华云仓-韵达-抖音</v>
      </c>
      <c r="O6794" s="5">
        <v>320177480791100</v>
      </c>
      <c r="P6794" s="6">
        <v>0.28000000000000003</v>
      </c>
      <c r="Q6794" s="11">
        <v>2</v>
      </c>
      <c r="R6794" s="11"/>
      <c r="S6794" s="11"/>
      <c r="T6794" s="11"/>
      <c r="U6794" s="11">
        <f t="shared" si="2014"/>
        <v>2</v>
      </c>
      <c r="W6794">
        <v>2.2000000000000002</v>
      </c>
      <c r="X6794" s="1" t="s">
        <v>22</v>
      </c>
    </row>
    <row r="6795" spans="1:24" x14ac:dyDescent="0.25">
      <c r="A6795" s="1" t="str">
        <f t="shared" si="2016"/>
        <v>卡卡杜-凤凰仓</v>
      </c>
      <c r="B6795" s="1" t="str">
        <f>"CK202410189726"</f>
        <v>CK202410189726</v>
      </c>
      <c r="C6795" s="1" t="str">
        <f>"DD2024101815308"</f>
        <v>DD2024101815308</v>
      </c>
      <c r="D6795" s="1" t="str">
        <f>"CK202410189283"</f>
        <v>CK202410189283</v>
      </c>
      <c r="E6795" s="1" t="str">
        <f>"6935171938644989834"</f>
        <v>6935171938644989834</v>
      </c>
      <c r="F6795" s="1" t="str">
        <f t="shared" si="2017"/>
        <v>花都四部-凤凰仓</v>
      </c>
      <c r="G6795" s="1" t="str">
        <f t="shared" si="2012"/>
        <v>卡卡杜个人护理店（抖店）</v>
      </c>
      <c r="H6795" s="1" t="str">
        <f t="shared" si="2018"/>
        <v>正常订单</v>
      </c>
      <c r="I6795" s="1" t="str">
        <f t="shared" si="2019"/>
        <v>已发货</v>
      </c>
      <c r="J6795" s="1" t="str">
        <f t="shared" si="2015"/>
        <v>3</v>
      </c>
      <c r="K6795" s="1">
        <v>3</v>
      </c>
      <c r="L6795" s="1" t="s">
        <v>94</v>
      </c>
      <c r="M6795" s="1" t="str">
        <f>"湖南省 衡阳市 蒸湘区 华兴街道"</f>
        <v>湖南省 衡阳市 蒸湘区 华兴街道</v>
      </c>
      <c r="N6795" s="1" t="str">
        <f t="shared" si="2011"/>
        <v>凡华云仓-韵达-抖音</v>
      </c>
      <c r="O6795" s="5">
        <v>320177479458055</v>
      </c>
      <c r="P6795" s="6">
        <v>0.28000000000000003</v>
      </c>
      <c r="Q6795" s="11">
        <v>2</v>
      </c>
      <c r="R6795" s="11"/>
      <c r="S6795" s="11"/>
      <c r="T6795" s="11"/>
      <c r="U6795" s="11">
        <f t="shared" si="2014"/>
        <v>2</v>
      </c>
      <c r="W6795">
        <v>2.2000000000000002</v>
      </c>
      <c r="X6795" s="1" t="s">
        <v>94</v>
      </c>
    </row>
    <row r="6796" spans="1:24" x14ac:dyDescent="0.25">
      <c r="A6796" s="1" t="str">
        <f t="shared" si="2016"/>
        <v>卡卡杜-凤凰仓</v>
      </c>
      <c r="B6796" s="1" t="str">
        <f>"CK202410189730"</f>
        <v>CK202410189730</v>
      </c>
      <c r="C6796" s="1" t="str">
        <f>"DD2024101815313"</f>
        <v>DD2024101815313</v>
      </c>
      <c r="D6796" s="1" t="str">
        <f>"CK202410189282"</f>
        <v>CK202410189282</v>
      </c>
      <c r="E6796" s="1" t="str">
        <f>"6935155973855253906"</f>
        <v>6935155973855253906</v>
      </c>
      <c r="F6796" s="1" t="str">
        <f t="shared" si="2017"/>
        <v>花都四部-凤凰仓</v>
      </c>
      <c r="G6796" s="1" t="str">
        <f t="shared" si="2012"/>
        <v>卡卡杜个人护理店（抖店）</v>
      </c>
      <c r="H6796" s="1" t="str">
        <f t="shared" si="2018"/>
        <v>正常订单</v>
      </c>
      <c r="I6796" s="1" t="str">
        <f t="shared" si="2019"/>
        <v>已发货</v>
      </c>
      <c r="J6796" s="1" t="str">
        <f t="shared" si="2015"/>
        <v>3</v>
      </c>
      <c r="K6796" s="1">
        <v>3</v>
      </c>
      <c r="L6796" s="1" t="s">
        <v>13</v>
      </c>
      <c r="M6796" s="1" t="str">
        <f>"江苏省 徐州市 邳州市 东湖街道"</f>
        <v>江苏省 徐州市 邳州市 东湖街道</v>
      </c>
      <c r="N6796" s="1" t="str">
        <f t="shared" si="2011"/>
        <v>凡华云仓-韵达-抖音</v>
      </c>
      <c r="O6796" s="5">
        <v>320177479457925</v>
      </c>
      <c r="P6796" s="6">
        <v>0.28000000000000003</v>
      </c>
      <c r="Q6796" s="11">
        <v>2</v>
      </c>
      <c r="R6796" s="11"/>
      <c r="S6796" s="11"/>
      <c r="T6796" s="11"/>
      <c r="U6796" s="11">
        <f t="shared" si="2014"/>
        <v>2</v>
      </c>
      <c r="W6796">
        <v>2.2000000000000002</v>
      </c>
      <c r="X6796" s="1" t="s">
        <v>13</v>
      </c>
    </row>
    <row r="6797" spans="1:24" x14ac:dyDescent="0.25">
      <c r="A6797" s="1" t="str">
        <f t="shared" si="2016"/>
        <v>卡卡杜-凤凰仓</v>
      </c>
      <c r="B6797" s="1" t="str">
        <f>"CK202410189732"</f>
        <v>CK202410189732</v>
      </c>
      <c r="C6797" s="1" t="str">
        <f>"DD2024101815320"</f>
        <v>DD2024101815320</v>
      </c>
      <c r="D6797" s="1" t="str">
        <f>"CK202410189281"</f>
        <v>CK202410189281</v>
      </c>
      <c r="E6797" s="1" t="str">
        <f>"6935167465662322388"</f>
        <v>6935167465662322388</v>
      </c>
      <c r="F6797" s="1" t="str">
        <f t="shared" si="2017"/>
        <v>花都四部-凤凰仓</v>
      </c>
      <c r="G6797" s="1" t="str">
        <f t="shared" si="2012"/>
        <v>卡卡杜个人护理店（抖店）</v>
      </c>
      <c r="H6797" s="1" t="str">
        <f t="shared" si="2018"/>
        <v>正常订单</v>
      </c>
      <c r="I6797" s="1" t="str">
        <f t="shared" si="2019"/>
        <v>已发货</v>
      </c>
      <c r="J6797" s="1" t="str">
        <f t="shared" si="2015"/>
        <v>3</v>
      </c>
      <c r="K6797" s="1">
        <v>3</v>
      </c>
      <c r="L6797" s="1" t="s">
        <v>105</v>
      </c>
      <c r="M6797" s="1" t="str">
        <f>"北京 北京市 顺义区 "</f>
        <v xml:space="preserve">北京 北京市 顺义区 </v>
      </c>
      <c r="N6797" s="1" t="str">
        <f t="shared" si="2011"/>
        <v>凡华云仓-韵达-抖音</v>
      </c>
      <c r="O6797" s="5">
        <v>320177479457820</v>
      </c>
      <c r="P6797" s="6">
        <v>0.28000000000000003</v>
      </c>
      <c r="Q6797" s="11">
        <v>2</v>
      </c>
      <c r="R6797" s="11"/>
      <c r="S6797" s="11"/>
      <c r="T6797" s="11"/>
      <c r="U6797" s="11">
        <f t="shared" si="2014"/>
        <v>2</v>
      </c>
      <c r="W6797">
        <v>2.2000000000000002</v>
      </c>
      <c r="X6797" s="1" t="s">
        <v>105</v>
      </c>
    </row>
    <row r="6798" spans="1:24" x14ac:dyDescent="0.25">
      <c r="A6798" s="1" t="str">
        <f t="shared" si="2016"/>
        <v>卡卡杜-凤凰仓</v>
      </c>
      <c r="B6798" s="1" t="str">
        <f>"CK202410189737"</f>
        <v>CK202410189737</v>
      </c>
      <c r="C6798" s="1" t="str">
        <f>"DD2024101815322"</f>
        <v>DD2024101815322</v>
      </c>
      <c r="D6798" s="1" t="str">
        <f>"CK202410189280"</f>
        <v>CK202410189280</v>
      </c>
      <c r="E6798" s="1" t="str">
        <f>"6935153878098777729"</f>
        <v>6935153878098777729</v>
      </c>
      <c r="F6798" s="1" t="str">
        <f t="shared" si="2017"/>
        <v>花都四部-凤凰仓</v>
      </c>
      <c r="G6798" s="1" t="str">
        <f t="shared" si="2012"/>
        <v>卡卡杜个人护理店（抖店）</v>
      </c>
      <c r="H6798" s="1" t="str">
        <f t="shared" si="2018"/>
        <v>正常订单</v>
      </c>
      <c r="I6798" s="1" t="str">
        <f t="shared" si="2019"/>
        <v>已发货</v>
      </c>
      <c r="J6798" s="1" t="str">
        <f t="shared" si="2015"/>
        <v>3</v>
      </c>
      <c r="K6798" s="1">
        <v>3</v>
      </c>
      <c r="L6798" s="1" t="s">
        <v>94</v>
      </c>
      <c r="M6798" s="1" t="str">
        <f>"湖南省 怀化市 鹤城区 盈口乡"</f>
        <v>湖南省 怀化市 鹤城区 盈口乡</v>
      </c>
      <c r="N6798" s="1" t="str">
        <f t="shared" si="2011"/>
        <v>凡华云仓-韵达-抖音</v>
      </c>
      <c r="O6798" s="5">
        <v>320177479457717</v>
      </c>
      <c r="P6798" s="6">
        <v>0.28000000000000003</v>
      </c>
      <c r="Q6798" s="11">
        <v>2</v>
      </c>
      <c r="R6798" s="11"/>
      <c r="S6798" s="11"/>
      <c r="T6798" s="11"/>
      <c r="U6798" s="11">
        <f t="shared" si="2014"/>
        <v>2</v>
      </c>
      <c r="W6798">
        <v>2.2000000000000002</v>
      </c>
      <c r="X6798" s="1" t="s">
        <v>94</v>
      </c>
    </row>
    <row r="6799" spans="1:24" x14ac:dyDescent="0.25">
      <c r="A6799" s="1" t="str">
        <f t="shared" si="2016"/>
        <v>卡卡杜-凤凰仓</v>
      </c>
      <c r="B6799" s="1" t="str">
        <f>"CK2024101810055"</f>
        <v>CK2024101810055</v>
      </c>
      <c r="C6799" s="1" t="str">
        <f>"DD2024101815639"</f>
        <v>DD2024101815639</v>
      </c>
      <c r="D6799" s="1" t="str">
        <f>"CK202410189279"</f>
        <v>CK202410189279</v>
      </c>
      <c r="E6799" s="1" t="str">
        <f>"6935171980491822642"</f>
        <v>6935171980491822642</v>
      </c>
      <c r="F6799" s="1" t="str">
        <f t="shared" si="2017"/>
        <v>花都四部-凤凰仓</v>
      </c>
      <c r="G6799" s="1" t="str">
        <f t="shared" si="2012"/>
        <v>卡卡杜个人护理店（抖店）</v>
      </c>
      <c r="H6799" s="1" t="str">
        <f t="shared" si="2018"/>
        <v>正常订单</v>
      </c>
      <c r="I6799" s="1" t="str">
        <f t="shared" si="2019"/>
        <v>已发货</v>
      </c>
      <c r="J6799" s="1" t="str">
        <f t="shared" si="2015"/>
        <v>3</v>
      </c>
      <c r="K6799" s="1">
        <v>3</v>
      </c>
      <c r="L6799" s="1" t="s">
        <v>161</v>
      </c>
      <c r="M6799" s="1" t="str">
        <f>"四川省 达州市 通川区 蒲家镇"</f>
        <v>四川省 达州市 通川区 蒲家镇</v>
      </c>
      <c r="N6799" s="1" t="str">
        <f t="shared" si="2011"/>
        <v>凡华云仓-韵达-抖音</v>
      </c>
      <c r="O6799" s="5">
        <v>320177479457616</v>
      </c>
      <c r="P6799" s="6">
        <v>0.28000000000000003</v>
      </c>
      <c r="Q6799" s="11">
        <v>2</v>
      </c>
      <c r="R6799" s="11"/>
      <c r="S6799" s="11"/>
      <c r="T6799" s="11"/>
      <c r="U6799" s="11">
        <f t="shared" si="2014"/>
        <v>2</v>
      </c>
      <c r="W6799">
        <v>2.2000000000000002</v>
      </c>
      <c r="X6799" s="1" t="s">
        <v>161</v>
      </c>
    </row>
    <row r="6800" spans="1:24" x14ac:dyDescent="0.25">
      <c r="A6800" s="1" t="str">
        <f t="shared" si="2016"/>
        <v>卡卡杜-凤凰仓</v>
      </c>
      <c r="B6800" s="1" t="str">
        <f>"CK2024101810060"</f>
        <v>CK2024101810060</v>
      </c>
      <c r="C6800" s="1" t="str">
        <f>"DD2024101815643"</f>
        <v>DD2024101815643</v>
      </c>
      <c r="D6800" s="1" t="str">
        <f>"CK202410189278"</f>
        <v>CK202410189278</v>
      </c>
      <c r="E6800" s="1" t="str">
        <f>"6935155896031647712"</f>
        <v>6935155896031647712</v>
      </c>
      <c r="F6800" s="1" t="str">
        <f t="shared" si="2017"/>
        <v>花都四部-凤凰仓</v>
      </c>
      <c r="G6800" s="1" t="str">
        <f t="shared" si="2012"/>
        <v>卡卡杜个人护理店（抖店）</v>
      </c>
      <c r="H6800" s="1" t="str">
        <f t="shared" si="2018"/>
        <v>正常订单</v>
      </c>
      <c r="I6800" s="1" t="str">
        <f t="shared" si="2019"/>
        <v>已发货</v>
      </c>
      <c r="J6800" s="1" t="str">
        <f t="shared" si="2015"/>
        <v>3</v>
      </c>
      <c r="K6800" s="1">
        <v>3</v>
      </c>
      <c r="L6800" s="1" t="s">
        <v>36</v>
      </c>
      <c r="M6800" s="1" t="str">
        <f>"安徽省 合肥市 庐阳区 双岗街道"</f>
        <v>安徽省 合肥市 庐阳区 双岗街道</v>
      </c>
      <c r="N6800" s="1" t="str">
        <f t="shared" si="2011"/>
        <v>凡华云仓-韵达-抖音</v>
      </c>
      <c r="O6800" s="5">
        <v>320177479457517</v>
      </c>
      <c r="P6800" s="6">
        <v>0.28000000000000003</v>
      </c>
      <c r="Q6800" s="11">
        <v>2</v>
      </c>
      <c r="R6800" s="11"/>
      <c r="S6800" s="11"/>
      <c r="T6800" s="11"/>
      <c r="U6800" s="11">
        <f t="shared" si="2014"/>
        <v>2</v>
      </c>
      <c r="W6800">
        <v>2.2000000000000002</v>
      </c>
      <c r="X6800" s="1" t="s">
        <v>36</v>
      </c>
    </row>
    <row r="6801" spans="1:24" x14ac:dyDescent="0.25">
      <c r="A6801" s="1" t="str">
        <f t="shared" si="2016"/>
        <v>卡卡杜-凤凰仓</v>
      </c>
      <c r="B6801" s="1" t="str">
        <f>"CK2024101810059"</f>
        <v>CK2024101810059</v>
      </c>
      <c r="C6801" s="1" t="str">
        <f>"DD2024101815644"</f>
        <v>DD2024101815644</v>
      </c>
      <c r="D6801" s="1" t="str">
        <f>"CK202410189277"</f>
        <v>CK202410189277</v>
      </c>
      <c r="E6801" s="1" t="str">
        <f>"6935162692832990386"</f>
        <v>6935162692832990386</v>
      </c>
      <c r="F6801" s="1" t="str">
        <f t="shared" si="2017"/>
        <v>花都四部-凤凰仓</v>
      </c>
      <c r="G6801" s="1" t="str">
        <f t="shared" si="2012"/>
        <v>卡卡杜个人护理店（抖店）</v>
      </c>
      <c r="H6801" s="1" t="str">
        <f t="shared" si="2018"/>
        <v>正常订单</v>
      </c>
      <c r="I6801" s="1" t="str">
        <f t="shared" si="2019"/>
        <v>已发货</v>
      </c>
      <c r="J6801" s="1" t="str">
        <f t="shared" si="2015"/>
        <v>3</v>
      </c>
      <c r="K6801" s="1">
        <v>3</v>
      </c>
      <c r="L6801" s="1" t="s">
        <v>41</v>
      </c>
      <c r="M6801" s="1" t="str">
        <f>"湖北省 宜昌市 五峰土家族自治县 渔洋关镇"</f>
        <v>湖北省 宜昌市 五峰土家族自治县 渔洋关镇</v>
      </c>
      <c r="N6801" s="1" t="str">
        <f t="shared" si="2011"/>
        <v>凡华云仓-韵达-抖音</v>
      </c>
      <c r="O6801" s="5">
        <v>320177479457420</v>
      </c>
      <c r="P6801" s="6">
        <v>0.28000000000000003</v>
      </c>
      <c r="Q6801" s="11">
        <v>2</v>
      </c>
      <c r="R6801" s="11"/>
      <c r="S6801" s="11"/>
      <c r="T6801" s="11"/>
      <c r="U6801" s="11">
        <f t="shared" si="2014"/>
        <v>2</v>
      </c>
      <c r="W6801">
        <v>2.2000000000000002</v>
      </c>
      <c r="X6801" s="1" t="s">
        <v>41</v>
      </c>
    </row>
    <row r="6802" spans="1:24" x14ac:dyDescent="0.25">
      <c r="A6802" s="1" t="str">
        <f t="shared" si="2016"/>
        <v>卡卡杜-凤凰仓</v>
      </c>
      <c r="B6802" s="1" t="str">
        <f>"CK2024101810061"</f>
        <v>CK2024101810061</v>
      </c>
      <c r="C6802" s="1" t="str">
        <f>"DD2024101815645"</f>
        <v>DD2024101815645</v>
      </c>
      <c r="D6802" s="1" t="str">
        <f>"CK202410189276"</f>
        <v>CK202410189276</v>
      </c>
      <c r="E6802" s="1" t="str">
        <f>"6935143474273982434"</f>
        <v>6935143474273982434</v>
      </c>
      <c r="F6802" s="1" t="str">
        <f t="shared" si="2017"/>
        <v>花都四部-凤凰仓</v>
      </c>
      <c r="G6802" s="1" t="str">
        <f t="shared" si="2012"/>
        <v>卡卡杜个人护理店（抖店）</v>
      </c>
      <c r="H6802" s="1" t="str">
        <f t="shared" si="2018"/>
        <v>正常订单</v>
      </c>
      <c r="I6802" s="1" t="str">
        <f t="shared" si="2019"/>
        <v>已发货</v>
      </c>
      <c r="J6802" s="1" t="str">
        <f t="shared" si="2015"/>
        <v>3</v>
      </c>
      <c r="K6802" s="1">
        <v>3</v>
      </c>
      <c r="L6802" s="1" t="s">
        <v>16</v>
      </c>
      <c r="M6802" s="1" t="str">
        <f>"河北省 石家庄市 桥西区 休门街道"</f>
        <v>河北省 石家庄市 桥西区 休门街道</v>
      </c>
      <c r="N6802" s="1" t="str">
        <f t="shared" si="2011"/>
        <v>凡华云仓-韵达-抖音</v>
      </c>
      <c r="O6802" s="5">
        <v>320177479457325</v>
      </c>
      <c r="P6802" s="6">
        <v>0.28000000000000003</v>
      </c>
      <c r="Q6802" s="11">
        <v>2</v>
      </c>
      <c r="R6802" s="11"/>
      <c r="S6802" s="11"/>
      <c r="T6802" s="11"/>
      <c r="U6802" s="11">
        <f t="shared" si="2014"/>
        <v>2</v>
      </c>
      <c r="W6802">
        <v>2.2000000000000002</v>
      </c>
      <c r="X6802" s="1" t="s">
        <v>16</v>
      </c>
    </row>
    <row r="6803" spans="1:24" x14ac:dyDescent="0.25">
      <c r="A6803" s="1" t="str">
        <f t="shared" si="2016"/>
        <v>卡卡杜-凤凰仓</v>
      </c>
      <c r="B6803" s="1" t="str">
        <f>"CK2024101810062"</f>
        <v>CK2024101810062</v>
      </c>
      <c r="C6803" s="1" t="str">
        <f>"DD2024101815646"</f>
        <v>DD2024101815646</v>
      </c>
      <c r="D6803" s="1" t="str">
        <f>"CK202410189275"</f>
        <v>CK202410189275</v>
      </c>
      <c r="E6803" s="1" t="str">
        <f>"6935155835585435432"</f>
        <v>6935155835585435432</v>
      </c>
      <c r="F6803" s="1" t="str">
        <f t="shared" si="2017"/>
        <v>花都四部-凤凰仓</v>
      </c>
      <c r="G6803" s="1" t="str">
        <f t="shared" si="2012"/>
        <v>卡卡杜个人护理店（抖店）</v>
      </c>
      <c r="H6803" s="1" t="str">
        <f t="shared" si="2018"/>
        <v>正常订单</v>
      </c>
      <c r="I6803" s="1" t="str">
        <f t="shared" si="2019"/>
        <v>已发货</v>
      </c>
      <c r="J6803" s="1" t="str">
        <f t="shared" si="2015"/>
        <v>3</v>
      </c>
      <c r="K6803" s="1">
        <v>3</v>
      </c>
      <c r="L6803" s="1" t="s">
        <v>13</v>
      </c>
      <c r="M6803" s="1" t="str">
        <f>"江苏省 苏州市 昆山市 花桥镇"</f>
        <v>江苏省 苏州市 昆山市 花桥镇</v>
      </c>
      <c r="N6803" s="1" t="str">
        <f t="shared" si="2011"/>
        <v>凡华云仓-韵达-抖音</v>
      </c>
      <c r="O6803" s="5">
        <v>320177479457232</v>
      </c>
      <c r="P6803" s="6">
        <v>0.28000000000000003</v>
      </c>
      <c r="Q6803" s="11">
        <v>2</v>
      </c>
      <c r="R6803" s="11"/>
      <c r="S6803" s="11"/>
      <c r="T6803" s="11"/>
      <c r="U6803" s="11">
        <f t="shared" si="2014"/>
        <v>2</v>
      </c>
      <c r="W6803">
        <v>2.2000000000000002</v>
      </c>
      <c r="X6803" s="1" t="s">
        <v>13</v>
      </c>
    </row>
    <row r="6804" spans="1:24" x14ac:dyDescent="0.25">
      <c r="A6804" s="1" t="str">
        <f t="shared" si="2016"/>
        <v>卡卡杜-凤凰仓</v>
      </c>
      <c r="B6804" s="1" t="str">
        <f>"CK2024101810063"</f>
        <v>CK2024101810063</v>
      </c>
      <c r="C6804" s="1" t="str">
        <f>"DD2024101815647"</f>
        <v>DD2024101815647</v>
      </c>
      <c r="D6804" s="1" t="str">
        <f>"CK202410189274"</f>
        <v>CK202410189274</v>
      </c>
      <c r="E6804" s="1" t="str">
        <f>"6935169609210336309"</f>
        <v>6935169609210336309</v>
      </c>
      <c r="F6804" s="1" t="str">
        <f t="shared" si="2017"/>
        <v>花都四部-凤凰仓</v>
      </c>
      <c r="G6804" s="1" t="str">
        <f t="shared" si="2012"/>
        <v>卡卡杜个人护理店（抖店）</v>
      </c>
      <c r="H6804" s="1" t="str">
        <f t="shared" si="2018"/>
        <v>正常订单</v>
      </c>
      <c r="I6804" s="1" t="str">
        <f t="shared" si="2019"/>
        <v>已发货</v>
      </c>
      <c r="J6804" s="1" t="str">
        <f t="shared" si="2015"/>
        <v>3</v>
      </c>
      <c r="K6804" s="1">
        <v>3</v>
      </c>
      <c r="L6804" s="1" t="s">
        <v>161</v>
      </c>
      <c r="M6804" s="1" t="str">
        <f>"四川省 绵阳市 涪城区 南山街道"</f>
        <v>四川省 绵阳市 涪城区 南山街道</v>
      </c>
      <c r="N6804" s="1" t="str">
        <f t="shared" si="2011"/>
        <v>凡华云仓-韵达-抖音</v>
      </c>
      <c r="O6804" s="5">
        <v>320177479457141</v>
      </c>
      <c r="P6804" s="6">
        <v>0.28000000000000003</v>
      </c>
      <c r="Q6804" s="11">
        <v>2</v>
      </c>
      <c r="R6804" s="11"/>
      <c r="S6804" s="11"/>
      <c r="T6804" s="11"/>
      <c r="U6804" s="11">
        <f t="shared" si="2014"/>
        <v>2</v>
      </c>
      <c r="W6804">
        <v>2.2000000000000002</v>
      </c>
      <c r="X6804" s="1" t="s">
        <v>161</v>
      </c>
    </row>
    <row r="6805" spans="1:24" x14ac:dyDescent="0.25">
      <c r="A6805" s="1" t="str">
        <f t="shared" si="2016"/>
        <v>卡卡杜-凤凰仓</v>
      </c>
      <c r="B6805" s="1" t="str">
        <f>"CK2024101810064"</f>
        <v>CK2024101810064</v>
      </c>
      <c r="C6805" s="1" t="str">
        <f>"DD2024101815648"</f>
        <v>DD2024101815648</v>
      </c>
      <c r="D6805" s="1" t="str">
        <f>"CK202410189273"</f>
        <v>CK202410189273</v>
      </c>
      <c r="E6805" s="1" t="str">
        <f>"6935147184514864347"</f>
        <v>6935147184514864347</v>
      </c>
      <c r="F6805" s="1" t="str">
        <f t="shared" si="2017"/>
        <v>花都四部-凤凰仓</v>
      </c>
      <c r="G6805" s="1" t="str">
        <f t="shared" si="2012"/>
        <v>卡卡杜个人护理店（抖店）</v>
      </c>
      <c r="H6805" s="1" t="str">
        <f t="shared" si="2018"/>
        <v>正常订单</v>
      </c>
      <c r="I6805" s="1" t="str">
        <f t="shared" si="2019"/>
        <v>已发货</v>
      </c>
      <c r="J6805" s="1" t="str">
        <f t="shared" si="2015"/>
        <v>3</v>
      </c>
      <c r="K6805" s="1">
        <v>3</v>
      </c>
      <c r="L6805" s="1" t="s">
        <v>13</v>
      </c>
      <c r="M6805" s="1" t="str">
        <f>"江苏省 宿迁市 宿城区 古城街道"</f>
        <v>江苏省 宿迁市 宿城区 古城街道</v>
      </c>
      <c r="N6805" s="1" t="str">
        <f t="shared" si="2011"/>
        <v>凡华云仓-韵达-抖音</v>
      </c>
      <c r="O6805" s="5">
        <v>320177481397852</v>
      </c>
      <c r="P6805" s="6">
        <v>0.28000000000000003</v>
      </c>
      <c r="Q6805" s="11">
        <v>2</v>
      </c>
      <c r="R6805" s="11"/>
      <c r="S6805" s="11"/>
      <c r="T6805" s="11"/>
      <c r="U6805" s="11">
        <f t="shared" si="2014"/>
        <v>2</v>
      </c>
      <c r="W6805">
        <v>2.2000000000000002</v>
      </c>
      <c r="X6805" s="1" t="s">
        <v>13</v>
      </c>
    </row>
    <row r="6806" spans="1:24" x14ac:dyDescent="0.25">
      <c r="A6806" s="1" t="str">
        <f t="shared" si="2016"/>
        <v>卡卡杜-凤凰仓</v>
      </c>
      <c r="B6806" s="1" t="str">
        <f>"CK2024101810066"</f>
        <v>CK2024101810066</v>
      </c>
      <c r="C6806" s="1" t="str">
        <f>"DD2024101815650"</f>
        <v>DD2024101815650</v>
      </c>
      <c r="D6806" s="1" t="str">
        <f>"CK202410189272"</f>
        <v>CK202410189272</v>
      </c>
      <c r="E6806" s="1" t="str">
        <f>"6935151530047247892"</f>
        <v>6935151530047247892</v>
      </c>
      <c r="F6806" s="1" t="str">
        <f t="shared" si="2017"/>
        <v>花都四部-凤凰仓</v>
      </c>
      <c r="G6806" s="1" t="str">
        <f t="shared" si="2012"/>
        <v>卡卡杜个人护理店（抖店）</v>
      </c>
      <c r="H6806" s="1" t="str">
        <f t="shared" si="2018"/>
        <v>正常订单</v>
      </c>
      <c r="I6806" s="1" t="str">
        <f t="shared" si="2019"/>
        <v>已发货</v>
      </c>
      <c r="J6806" s="1" t="str">
        <f t="shared" si="2015"/>
        <v>3</v>
      </c>
      <c r="K6806" s="1">
        <v>3</v>
      </c>
      <c r="L6806" s="1" t="s">
        <v>13</v>
      </c>
      <c r="M6806" s="1" t="str">
        <f>"江苏省 苏州市 昆山市 昆山经济技术开发区"</f>
        <v>江苏省 苏州市 昆山市 昆山经济技术开发区</v>
      </c>
      <c r="N6806" s="1" t="str">
        <f t="shared" si="2011"/>
        <v>凡华云仓-韵达-抖音</v>
      </c>
      <c r="O6806" s="5">
        <v>320177481397749</v>
      </c>
      <c r="P6806" s="6">
        <v>0.28000000000000003</v>
      </c>
      <c r="Q6806" s="11">
        <v>2</v>
      </c>
      <c r="R6806" s="11"/>
      <c r="S6806" s="11"/>
      <c r="T6806" s="11"/>
      <c r="U6806" s="11">
        <f t="shared" si="2014"/>
        <v>2</v>
      </c>
      <c r="W6806">
        <v>2.2000000000000002</v>
      </c>
      <c r="X6806" s="1" t="s">
        <v>13</v>
      </c>
    </row>
    <row r="6807" spans="1:24" x14ac:dyDescent="0.25">
      <c r="A6807" s="1" t="str">
        <f t="shared" si="2016"/>
        <v>卡卡杜-凤凰仓</v>
      </c>
      <c r="B6807" s="1" t="str">
        <f>"CK2024101810072"</f>
        <v>CK2024101810072</v>
      </c>
      <c r="C6807" s="1" t="str">
        <f>"DD2024101815655"</f>
        <v>DD2024101815655</v>
      </c>
      <c r="D6807" s="1" t="str">
        <f>"CK202410189271"</f>
        <v>CK202410189271</v>
      </c>
      <c r="E6807" s="1" t="str">
        <f>"6935164999389484255"</f>
        <v>6935164999389484255</v>
      </c>
      <c r="F6807" s="1" t="str">
        <f t="shared" si="2017"/>
        <v>花都四部-凤凰仓</v>
      </c>
      <c r="G6807" s="1" t="str">
        <f t="shared" si="2012"/>
        <v>卡卡杜个人护理店（抖店）</v>
      </c>
      <c r="H6807" s="1" t="str">
        <f t="shared" si="2018"/>
        <v>正常订单</v>
      </c>
      <c r="I6807" s="1" t="str">
        <f t="shared" si="2019"/>
        <v>已发货</v>
      </c>
      <c r="J6807" s="1" t="str">
        <f t="shared" si="2015"/>
        <v>3</v>
      </c>
      <c r="K6807" s="1">
        <v>3</v>
      </c>
      <c r="L6807" s="1" t="s">
        <v>30</v>
      </c>
      <c r="M6807" s="1" t="str">
        <f>"山东省 威海市 环翠区 怡园街道"</f>
        <v>山东省 威海市 环翠区 怡园街道</v>
      </c>
      <c r="N6807" s="1" t="str">
        <f t="shared" si="2011"/>
        <v>凡华云仓-韵达-抖音</v>
      </c>
      <c r="O6807" s="5">
        <v>320177481397648</v>
      </c>
      <c r="P6807" s="6">
        <v>0.28000000000000003</v>
      </c>
      <c r="Q6807" s="11">
        <v>2</v>
      </c>
      <c r="R6807" s="11"/>
      <c r="S6807" s="11"/>
      <c r="T6807" s="11"/>
      <c r="U6807" s="11">
        <f t="shared" si="2014"/>
        <v>2</v>
      </c>
      <c r="W6807">
        <v>2.2000000000000002</v>
      </c>
      <c r="X6807" s="1" t="s">
        <v>30</v>
      </c>
    </row>
    <row r="6808" spans="1:24" x14ac:dyDescent="0.25">
      <c r="A6808" s="1" t="str">
        <f t="shared" si="2016"/>
        <v>卡卡杜-凤凰仓</v>
      </c>
      <c r="B6808" s="1" t="str">
        <f>"CK2024101810143"</f>
        <v>CK2024101810143</v>
      </c>
      <c r="C6808" s="1" t="str">
        <f>"DD2024101815727"</f>
        <v>DD2024101815727</v>
      </c>
      <c r="D6808" s="1" t="str">
        <f>"CK202410189270"</f>
        <v>CK202410189270</v>
      </c>
      <c r="E6808" s="1" t="str">
        <f>"6935153782224328523"</f>
        <v>6935153782224328523</v>
      </c>
      <c r="F6808" s="1" t="str">
        <f t="shared" si="2017"/>
        <v>花都四部-凤凰仓</v>
      </c>
      <c r="G6808" s="1" t="str">
        <f t="shared" si="2012"/>
        <v>卡卡杜个人护理店（抖店）</v>
      </c>
      <c r="H6808" s="1" t="str">
        <f t="shared" si="2018"/>
        <v>正常订单</v>
      </c>
      <c r="I6808" s="1" t="str">
        <f t="shared" si="2019"/>
        <v>已发货</v>
      </c>
      <c r="J6808" s="1" t="str">
        <f t="shared" si="2015"/>
        <v>3</v>
      </c>
      <c r="K6808" s="1">
        <v>3</v>
      </c>
      <c r="L6808" s="1" t="s">
        <v>30</v>
      </c>
      <c r="M6808" s="1" t="str">
        <f>"山东省 潍坊市 潍城区 "</f>
        <v xml:space="preserve">山东省 潍坊市 潍城区 </v>
      </c>
      <c r="N6808" s="1" t="str">
        <f t="shared" si="2011"/>
        <v>凡华云仓-韵达-抖音</v>
      </c>
      <c r="O6808" s="5">
        <v>320177481397549</v>
      </c>
      <c r="P6808" s="6">
        <v>0.28000000000000003</v>
      </c>
      <c r="Q6808" s="11">
        <v>2</v>
      </c>
      <c r="R6808" s="11"/>
      <c r="S6808" s="11"/>
      <c r="T6808" s="11"/>
      <c r="U6808" s="11">
        <f t="shared" si="2014"/>
        <v>2</v>
      </c>
      <c r="W6808">
        <v>2.2000000000000002</v>
      </c>
      <c r="X6808" s="1" t="s">
        <v>30</v>
      </c>
    </row>
    <row r="6809" spans="1:24" x14ac:dyDescent="0.25">
      <c r="A6809" s="1" t="str">
        <f t="shared" si="2016"/>
        <v>卡卡杜-凤凰仓</v>
      </c>
      <c r="B6809" s="1" t="str">
        <f>"CK2024101810144"</f>
        <v>CK2024101810144</v>
      </c>
      <c r="C6809" s="1" t="str">
        <f>"DD2024101815728"</f>
        <v>DD2024101815728</v>
      </c>
      <c r="D6809" s="1" t="str">
        <f>"CK202410189269"</f>
        <v>CK202410189269</v>
      </c>
      <c r="E6809" s="1" t="str">
        <f>"6935145236153964008"</f>
        <v>6935145236153964008</v>
      </c>
      <c r="F6809" s="1" t="str">
        <f t="shared" si="2017"/>
        <v>花都四部-凤凰仓</v>
      </c>
      <c r="G6809" s="1" t="str">
        <f t="shared" si="2012"/>
        <v>卡卡杜个人护理店（抖店）</v>
      </c>
      <c r="H6809" s="1" t="str">
        <f t="shared" si="2018"/>
        <v>正常订单</v>
      </c>
      <c r="I6809" s="1" t="str">
        <f t="shared" si="2019"/>
        <v>已发货</v>
      </c>
      <c r="J6809" s="1" t="str">
        <f t="shared" si="2015"/>
        <v>3</v>
      </c>
      <c r="K6809" s="1">
        <v>3</v>
      </c>
      <c r="L6809" s="1" t="s">
        <v>16</v>
      </c>
      <c r="M6809" s="1" t="str">
        <f>"河北省 邢台市 南宫市 凤岗街道"</f>
        <v>河北省 邢台市 南宫市 凤岗街道</v>
      </c>
      <c r="N6809" s="1" t="str">
        <f t="shared" si="2011"/>
        <v>凡华云仓-韵达-抖音</v>
      </c>
      <c r="O6809" s="5">
        <v>320177481397452</v>
      </c>
      <c r="P6809" s="6">
        <v>0.28000000000000003</v>
      </c>
      <c r="Q6809" s="11">
        <v>2</v>
      </c>
      <c r="R6809" s="11"/>
      <c r="S6809" s="11"/>
      <c r="T6809" s="11"/>
      <c r="U6809" s="11">
        <f t="shared" si="2014"/>
        <v>2</v>
      </c>
      <c r="W6809">
        <v>2.2000000000000002</v>
      </c>
      <c r="X6809" s="1" t="s">
        <v>16</v>
      </c>
    </row>
    <row r="6810" spans="1:24" x14ac:dyDescent="0.25">
      <c r="A6810" s="1" t="str">
        <f t="shared" si="2016"/>
        <v>卡卡杜-凤凰仓</v>
      </c>
      <c r="B6810" s="1" t="str">
        <f>"CK202410189723"</f>
        <v>CK202410189723</v>
      </c>
      <c r="C6810" s="1" t="str">
        <f>"DD2024101815307"</f>
        <v>DD2024101815307</v>
      </c>
      <c r="D6810" s="1" t="str">
        <f>"CK202410189268"</f>
        <v>CK202410189268</v>
      </c>
      <c r="E6810" s="1" t="str">
        <f>"6935165053650867373"</f>
        <v>6935165053650867373</v>
      </c>
      <c r="F6810" s="1" t="str">
        <f t="shared" si="2017"/>
        <v>花都四部-凤凰仓</v>
      </c>
      <c r="G6810" s="1" t="str">
        <f t="shared" si="2012"/>
        <v>卡卡杜个人护理店（抖店）</v>
      </c>
      <c r="H6810" s="1" t="str">
        <f t="shared" si="2018"/>
        <v>正常订单</v>
      </c>
      <c r="I6810" s="1" t="str">
        <f t="shared" si="2019"/>
        <v>已发货</v>
      </c>
      <c r="J6810" s="1" t="str">
        <f t="shared" si="2015"/>
        <v>3</v>
      </c>
      <c r="K6810" s="1">
        <v>3</v>
      </c>
      <c r="L6810" s="1" t="s">
        <v>24</v>
      </c>
      <c r="M6810" s="1" t="str">
        <f>"福建省 福州市 晋安区 新店镇"</f>
        <v>福建省 福州市 晋安区 新店镇</v>
      </c>
      <c r="N6810" s="1" t="str">
        <f t="shared" si="2011"/>
        <v>凡华云仓-韵达-抖音</v>
      </c>
      <c r="O6810" s="5">
        <v>320177481397357</v>
      </c>
      <c r="P6810" s="6">
        <v>0.28000000000000003</v>
      </c>
      <c r="Q6810" s="11">
        <v>2</v>
      </c>
      <c r="R6810" s="11"/>
      <c r="S6810" s="11"/>
      <c r="T6810" s="11"/>
      <c r="U6810" s="11">
        <f t="shared" si="2014"/>
        <v>2</v>
      </c>
      <c r="W6810">
        <v>2.2000000000000002</v>
      </c>
      <c r="X6810" s="1" t="s">
        <v>24</v>
      </c>
    </row>
    <row r="6811" spans="1:24" x14ac:dyDescent="0.25">
      <c r="A6811" s="1" t="str">
        <f t="shared" si="2016"/>
        <v>卡卡杜-凤凰仓</v>
      </c>
      <c r="B6811" s="1" t="str">
        <f>"CK202410189735"</f>
        <v>CK202410189735</v>
      </c>
      <c r="C6811" s="1" t="str">
        <f>"DD2024101815316"</f>
        <v>DD2024101815316</v>
      </c>
      <c r="D6811" s="1" t="str">
        <f>"CK202410189267"</f>
        <v>CK202410189267</v>
      </c>
      <c r="E6811" s="1" t="str">
        <f>"6935149811995514367"</f>
        <v>6935149811995514367</v>
      </c>
      <c r="F6811" s="1" t="str">
        <f t="shared" si="2017"/>
        <v>花都四部-凤凰仓</v>
      </c>
      <c r="G6811" s="1" t="str">
        <f t="shared" si="2012"/>
        <v>卡卡杜个人护理店（抖店）</v>
      </c>
      <c r="H6811" s="1" t="str">
        <f t="shared" si="2018"/>
        <v>正常订单</v>
      </c>
      <c r="I6811" s="1" t="str">
        <f t="shared" si="2019"/>
        <v>已发货</v>
      </c>
      <c r="J6811" s="1" t="str">
        <f t="shared" si="2015"/>
        <v>3</v>
      </c>
      <c r="K6811" s="1">
        <v>3</v>
      </c>
      <c r="L6811" s="1" t="s">
        <v>13</v>
      </c>
      <c r="M6811" s="1" t="str">
        <f>"江苏省 泰州市 高港区 刁铺街道"</f>
        <v>江苏省 泰州市 高港区 刁铺街道</v>
      </c>
      <c r="N6811" s="1" t="str">
        <f t="shared" si="2011"/>
        <v>凡华云仓-韵达-抖音</v>
      </c>
      <c r="O6811" s="5">
        <v>320177481397264</v>
      </c>
      <c r="P6811" s="6">
        <v>0.28000000000000003</v>
      </c>
      <c r="Q6811" s="11">
        <v>2</v>
      </c>
      <c r="R6811" s="11"/>
      <c r="S6811" s="11"/>
      <c r="T6811" s="11"/>
      <c r="U6811" s="11">
        <f t="shared" si="2014"/>
        <v>2</v>
      </c>
      <c r="W6811">
        <v>2.2000000000000002</v>
      </c>
      <c r="X6811" s="1" t="s">
        <v>13</v>
      </c>
    </row>
    <row r="6812" spans="1:24" x14ac:dyDescent="0.25">
      <c r="A6812" s="1" t="str">
        <f t="shared" si="2016"/>
        <v>卡卡杜-凤凰仓</v>
      </c>
      <c r="B6812" s="1" t="str">
        <f>"CK2024101810065"</f>
        <v>CK2024101810065</v>
      </c>
      <c r="C6812" s="1" t="str">
        <f>"DD2024101815649"</f>
        <v>DD2024101815649</v>
      </c>
      <c r="D6812" s="1" t="str">
        <f>"CK202410189266"</f>
        <v>CK202410189266</v>
      </c>
      <c r="E6812" s="1" t="str">
        <f>"6935165001970226937"</f>
        <v>6935165001970226937</v>
      </c>
      <c r="F6812" s="1" t="str">
        <f t="shared" si="2017"/>
        <v>花都四部-凤凰仓</v>
      </c>
      <c r="G6812" s="1" t="str">
        <f t="shared" si="2012"/>
        <v>卡卡杜个人护理店（抖店）</v>
      </c>
      <c r="H6812" s="1" t="str">
        <f t="shared" si="2018"/>
        <v>正常订单</v>
      </c>
      <c r="I6812" s="1" t="str">
        <f t="shared" si="2019"/>
        <v>已发货</v>
      </c>
      <c r="J6812" s="1" t="str">
        <f t="shared" si="2015"/>
        <v>3</v>
      </c>
      <c r="K6812" s="1">
        <v>3</v>
      </c>
      <c r="L6812" s="1" t="s">
        <v>20</v>
      </c>
      <c r="M6812" s="1" t="str">
        <f>"浙江省 嘉兴市 嘉善县 惠民街道"</f>
        <v>浙江省 嘉兴市 嘉善县 惠民街道</v>
      </c>
      <c r="N6812" s="1" t="str">
        <f t="shared" si="2011"/>
        <v>凡华云仓-韵达-抖音</v>
      </c>
      <c r="O6812" s="5">
        <v>320177481397173</v>
      </c>
      <c r="P6812" s="6">
        <v>0.28000000000000003</v>
      </c>
      <c r="Q6812" s="11">
        <v>2</v>
      </c>
      <c r="R6812" s="11"/>
      <c r="S6812" s="11"/>
      <c r="T6812" s="11"/>
      <c r="U6812" s="11">
        <f t="shared" si="2014"/>
        <v>2</v>
      </c>
      <c r="W6812">
        <v>2.2000000000000002</v>
      </c>
      <c r="X6812" s="1" t="s">
        <v>20</v>
      </c>
    </row>
    <row r="6813" spans="1:24" x14ac:dyDescent="0.25">
      <c r="A6813" s="1" t="str">
        <f t="shared" si="2016"/>
        <v>卡卡杜-凤凰仓</v>
      </c>
      <c r="B6813" s="1" t="str">
        <f>"CK2024101810067"</f>
        <v>CK2024101810067</v>
      </c>
      <c r="C6813" s="1" t="str">
        <f>"DD2024101815651"</f>
        <v>DD2024101815651</v>
      </c>
      <c r="D6813" s="1" t="str">
        <f>"CK202410189265"</f>
        <v>CK202410189265</v>
      </c>
      <c r="E6813" s="1" t="str">
        <f>"6935143421350319442"</f>
        <v>6935143421350319442</v>
      </c>
      <c r="F6813" s="1" t="str">
        <f t="shared" si="2017"/>
        <v>花都四部-凤凰仓</v>
      </c>
      <c r="G6813" s="1" t="str">
        <f t="shared" si="2012"/>
        <v>卡卡杜个人护理店（抖店）</v>
      </c>
      <c r="H6813" s="1" t="str">
        <f t="shared" si="2018"/>
        <v>正常订单</v>
      </c>
      <c r="I6813" s="1" t="str">
        <f t="shared" si="2019"/>
        <v>已发货</v>
      </c>
      <c r="J6813" s="1" t="str">
        <f t="shared" si="2015"/>
        <v>3</v>
      </c>
      <c r="K6813" s="1">
        <v>3</v>
      </c>
      <c r="L6813" s="1" t="s">
        <v>92</v>
      </c>
      <c r="M6813" s="1" t="str">
        <f>"辽宁省 沈阳市 苏家屯区 沈水街道"</f>
        <v>辽宁省 沈阳市 苏家屯区 沈水街道</v>
      </c>
      <c r="N6813" s="1" t="str">
        <f t="shared" si="2011"/>
        <v>凡华云仓-韵达-抖音</v>
      </c>
      <c r="O6813" s="5">
        <v>320177481397084</v>
      </c>
      <c r="P6813" s="6">
        <v>0.28000000000000003</v>
      </c>
      <c r="Q6813" s="11">
        <v>2</v>
      </c>
      <c r="R6813" s="11"/>
      <c r="S6813" s="11"/>
      <c r="T6813" s="11"/>
      <c r="U6813" s="11">
        <f t="shared" si="2014"/>
        <v>2</v>
      </c>
      <c r="W6813">
        <v>2.2000000000000002</v>
      </c>
      <c r="X6813" s="1" t="s">
        <v>92</v>
      </c>
    </row>
    <row r="6814" spans="1:24" x14ac:dyDescent="0.25">
      <c r="A6814" s="1" t="str">
        <f t="shared" si="2016"/>
        <v>卡卡杜-凤凰仓</v>
      </c>
      <c r="B6814" s="1" t="str">
        <f>"CK2024101810068"</f>
        <v>CK2024101810068</v>
      </c>
      <c r="C6814" s="1" t="str">
        <f>"DD2024101815652"</f>
        <v>DD2024101815652</v>
      </c>
      <c r="D6814" s="1" t="str">
        <f>"CK202410189264"</f>
        <v>CK202410189264</v>
      </c>
      <c r="E6814" s="1" t="str">
        <f>"6935147336465585827"</f>
        <v>6935147336465585827</v>
      </c>
      <c r="F6814" s="1" t="str">
        <f t="shared" si="2017"/>
        <v>花都四部-凤凰仓</v>
      </c>
      <c r="G6814" s="1" t="str">
        <f t="shared" si="2012"/>
        <v>卡卡杜个人护理店（抖店）</v>
      </c>
      <c r="H6814" s="1" t="str">
        <f t="shared" si="2018"/>
        <v>正常订单</v>
      </c>
      <c r="I6814" s="1" t="str">
        <f t="shared" si="2019"/>
        <v>已发货</v>
      </c>
      <c r="J6814" s="1" t="str">
        <f t="shared" si="2015"/>
        <v>3</v>
      </c>
      <c r="K6814" s="1">
        <v>3</v>
      </c>
      <c r="L6814" s="1" t="s">
        <v>30</v>
      </c>
      <c r="M6814" s="1" t="str">
        <f>"山东省 德州市 德城区 新华街道"</f>
        <v>山东省 德州市 德城区 新华街道</v>
      </c>
      <c r="N6814" s="1" t="str">
        <f t="shared" si="2011"/>
        <v>凡华云仓-韵达-抖音</v>
      </c>
      <c r="O6814" s="5">
        <v>320177481396956</v>
      </c>
      <c r="P6814" s="6">
        <v>0.28000000000000003</v>
      </c>
      <c r="Q6814" s="11">
        <v>2</v>
      </c>
      <c r="R6814" s="11"/>
      <c r="S6814" s="11"/>
      <c r="T6814" s="11"/>
      <c r="U6814" s="11">
        <f t="shared" si="2014"/>
        <v>2</v>
      </c>
      <c r="W6814">
        <v>2.2000000000000002</v>
      </c>
      <c r="X6814" s="1" t="s">
        <v>30</v>
      </c>
    </row>
    <row r="6815" spans="1:24" x14ac:dyDescent="0.25">
      <c r="A6815" s="1" t="str">
        <f t="shared" si="2016"/>
        <v>卡卡杜-凤凰仓</v>
      </c>
      <c r="B6815" s="1" t="str">
        <f>"CK2024101810070"</f>
        <v>CK2024101810070</v>
      </c>
      <c r="C6815" s="1" t="str">
        <f>"DD2024101815653"</f>
        <v>DD2024101815653</v>
      </c>
      <c r="D6815" s="1" t="str">
        <f>"CK202410189263"</f>
        <v>CK202410189263</v>
      </c>
      <c r="E6815" s="1" t="str">
        <f>"6935155947274376973"</f>
        <v>6935155947274376973</v>
      </c>
      <c r="F6815" s="1" t="str">
        <f t="shared" si="2017"/>
        <v>花都四部-凤凰仓</v>
      </c>
      <c r="G6815" s="1" t="str">
        <f t="shared" si="2012"/>
        <v>卡卡杜个人护理店（抖店）</v>
      </c>
      <c r="H6815" s="1" t="str">
        <f t="shared" si="2018"/>
        <v>正常订单</v>
      </c>
      <c r="I6815" s="1" t="str">
        <f t="shared" si="2019"/>
        <v>已发货</v>
      </c>
      <c r="J6815" s="1" t="str">
        <f t="shared" si="2015"/>
        <v>3</v>
      </c>
      <c r="K6815" s="1">
        <v>3</v>
      </c>
      <c r="L6815" s="1" t="s">
        <v>13</v>
      </c>
      <c r="M6815" s="1" t="str">
        <f>"江苏省 苏州市 吴中区 "</f>
        <v xml:space="preserve">江苏省 苏州市 吴中区 </v>
      </c>
      <c r="N6815" s="1" t="str">
        <f t="shared" si="2011"/>
        <v>凡华云仓-韵达-抖音</v>
      </c>
      <c r="O6815" s="5">
        <v>320177473598240</v>
      </c>
      <c r="P6815" s="6">
        <v>0.28000000000000003</v>
      </c>
      <c r="Q6815" s="11">
        <v>2</v>
      </c>
      <c r="R6815" s="11"/>
      <c r="S6815" s="11"/>
      <c r="T6815" s="11"/>
      <c r="U6815" s="11">
        <f t="shared" si="2014"/>
        <v>2</v>
      </c>
      <c r="W6815">
        <v>2.2000000000000002</v>
      </c>
      <c r="X6815" s="1" t="s">
        <v>13</v>
      </c>
    </row>
    <row r="6816" spans="1:24" x14ac:dyDescent="0.25">
      <c r="A6816" s="1" t="str">
        <f t="shared" si="2016"/>
        <v>卡卡杜-凤凰仓</v>
      </c>
      <c r="B6816" s="1" t="str">
        <f>"CK2024101810069"</f>
        <v>CK2024101810069</v>
      </c>
      <c r="C6816" s="1" t="str">
        <f>"DD2024101815654"</f>
        <v>DD2024101815654</v>
      </c>
      <c r="D6816" s="1" t="str">
        <f>"CK202410189262"</f>
        <v>CK202410189262</v>
      </c>
      <c r="E6816" s="1" t="str">
        <f>"6935167415057585924"</f>
        <v>6935167415057585924</v>
      </c>
      <c r="F6816" s="1" t="str">
        <f t="shared" si="2017"/>
        <v>花都四部-凤凰仓</v>
      </c>
      <c r="G6816" s="1" t="str">
        <f t="shared" si="2012"/>
        <v>卡卡杜个人护理店（抖店）</v>
      </c>
      <c r="H6816" s="1" t="str">
        <f t="shared" si="2018"/>
        <v>正常订单</v>
      </c>
      <c r="I6816" s="1" t="str">
        <f t="shared" si="2019"/>
        <v>已发货</v>
      </c>
      <c r="J6816" s="1" t="str">
        <f t="shared" si="2015"/>
        <v>3</v>
      </c>
      <c r="K6816" s="1">
        <v>3</v>
      </c>
      <c r="L6816" s="1" t="s">
        <v>41</v>
      </c>
      <c r="M6816" s="1" t="str">
        <f>"湖北省 襄阳市 襄城区 庞公街道"</f>
        <v>湖北省 襄阳市 襄城区 庞公街道</v>
      </c>
      <c r="N6816" s="1" t="str">
        <f t="shared" si="2011"/>
        <v>凡华云仓-韵达-抖音</v>
      </c>
      <c r="O6816" s="5">
        <v>320177473598149</v>
      </c>
      <c r="P6816" s="6">
        <v>0.28000000000000003</v>
      </c>
      <c r="Q6816" s="11">
        <v>2</v>
      </c>
      <c r="R6816" s="11"/>
      <c r="S6816" s="11"/>
      <c r="T6816" s="11"/>
      <c r="U6816" s="11">
        <f t="shared" si="2014"/>
        <v>2</v>
      </c>
      <c r="W6816">
        <v>2.2000000000000002</v>
      </c>
      <c r="X6816" s="1" t="s">
        <v>41</v>
      </c>
    </row>
    <row r="6817" spans="1:24" x14ac:dyDescent="0.25">
      <c r="A6817" s="1" t="str">
        <f t="shared" si="2016"/>
        <v>卡卡杜-凤凰仓</v>
      </c>
      <c r="B6817" s="1" t="str">
        <f>"CK2024101810071"</f>
        <v>CK2024101810071</v>
      </c>
      <c r="C6817" s="1" t="str">
        <f>"DD2024101815656"</f>
        <v>DD2024101815656</v>
      </c>
      <c r="D6817" s="1" t="str">
        <f>"CK202410189261"</f>
        <v>CK202410189261</v>
      </c>
      <c r="E6817" s="1" t="str">
        <f>"6935169575893341294"</f>
        <v>6935169575893341294</v>
      </c>
      <c r="F6817" s="1" t="str">
        <f t="shared" si="2017"/>
        <v>花都四部-凤凰仓</v>
      </c>
      <c r="G6817" s="1" t="str">
        <f t="shared" si="2012"/>
        <v>卡卡杜个人护理店（抖店）</v>
      </c>
      <c r="H6817" s="1" t="str">
        <f t="shared" si="2018"/>
        <v>正常订单</v>
      </c>
      <c r="I6817" s="1" t="str">
        <f t="shared" si="2019"/>
        <v>已发货</v>
      </c>
      <c r="J6817" s="1" t="str">
        <f t="shared" si="2015"/>
        <v>3</v>
      </c>
      <c r="K6817" s="1">
        <v>3</v>
      </c>
      <c r="L6817" s="1" t="s">
        <v>80</v>
      </c>
      <c r="M6817" s="1" t="str">
        <f>"河南省 三门峡市 渑池县 城关镇"</f>
        <v>河南省 三门峡市 渑池县 城关镇</v>
      </c>
      <c r="N6817" s="1" t="str">
        <f t="shared" si="2011"/>
        <v>凡华云仓-韵达-抖音</v>
      </c>
      <c r="O6817" s="5">
        <v>320177473598060</v>
      </c>
      <c r="P6817" s="6">
        <v>0.28000000000000003</v>
      </c>
      <c r="Q6817" s="11">
        <v>2</v>
      </c>
      <c r="R6817" s="11"/>
      <c r="S6817" s="11"/>
      <c r="T6817" s="11"/>
      <c r="U6817" s="11">
        <f t="shared" si="2014"/>
        <v>2</v>
      </c>
      <c r="W6817">
        <v>2.2000000000000002</v>
      </c>
      <c r="X6817" s="1" t="s">
        <v>80</v>
      </c>
    </row>
    <row r="6818" spans="1:24" x14ac:dyDescent="0.25">
      <c r="A6818" s="1" t="str">
        <f t="shared" si="2016"/>
        <v>卡卡杜-凤凰仓</v>
      </c>
      <c r="B6818" s="1" t="str">
        <f>"CK2024101810073"</f>
        <v>CK2024101810073</v>
      </c>
      <c r="C6818" s="1" t="str">
        <f>"DD2024101815657"</f>
        <v>DD2024101815657</v>
      </c>
      <c r="D6818" s="1" t="str">
        <f>"CK202410189260"</f>
        <v>CK202410189260</v>
      </c>
      <c r="E6818" s="1" t="str">
        <f>"6935171948749395527"</f>
        <v>6935171948749395527</v>
      </c>
      <c r="F6818" s="1" t="str">
        <f t="shared" si="2017"/>
        <v>花都四部-凤凰仓</v>
      </c>
      <c r="G6818" s="1" t="str">
        <f t="shared" si="2012"/>
        <v>卡卡杜个人护理店（抖店）</v>
      </c>
      <c r="H6818" s="1" t="str">
        <f t="shared" si="2018"/>
        <v>正常订单</v>
      </c>
      <c r="I6818" s="1" t="str">
        <f t="shared" si="2019"/>
        <v>已发货</v>
      </c>
      <c r="J6818" s="1" t="str">
        <f t="shared" si="2015"/>
        <v>3</v>
      </c>
      <c r="K6818" s="1">
        <v>3</v>
      </c>
      <c r="L6818" s="1" t="s">
        <v>92</v>
      </c>
      <c r="M6818" s="1" t="str">
        <f>"辽宁省 盘锦市 兴隆台区 兴海街道"</f>
        <v>辽宁省 盘锦市 兴隆台区 兴海街道</v>
      </c>
      <c r="N6818" s="1" t="str">
        <f t="shared" si="2011"/>
        <v>凡华云仓-韵达-抖音</v>
      </c>
      <c r="O6818" s="5">
        <v>320177473597930</v>
      </c>
      <c r="P6818" s="6">
        <v>0.28000000000000003</v>
      </c>
      <c r="Q6818" s="11">
        <v>2</v>
      </c>
      <c r="R6818" s="11"/>
      <c r="S6818" s="11"/>
      <c r="T6818" s="11"/>
      <c r="U6818" s="11">
        <f t="shared" si="2014"/>
        <v>2</v>
      </c>
      <c r="W6818">
        <v>2.2000000000000002</v>
      </c>
      <c r="X6818" s="1" t="s">
        <v>92</v>
      </c>
    </row>
    <row r="6819" spans="1:24" x14ac:dyDescent="0.25">
      <c r="A6819" s="1" t="str">
        <f t="shared" si="2016"/>
        <v>卡卡杜-凤凰仓</v>
      </c>
      <c r="B6819" s="1" t="str">
        <f>"CK2024101810074"</f>
        <v>CK2024101810074</v>
      </c>
      <c r="C6819" s="1" t="str">
        <f>"DD2024101815658"</f>
        <v>DD2024101815658</v>
      </c>
      <c r="D6819" s="1" t="str">
        <f>"CK202410189259"</f>
        <v>CK202410189259</v>
      </c>
      <c r="E6819" s="1" t="str">
        <f>"6935143436710713075"</f>
        <v>6935143436710713075</v>
      </c>
      <c r="F6819" s="1" t="str">
        <f t="shared" si="2017"/>
        <v>花都四部-凤凰仓</v>
      </c>
      <c r="G6819" s="1" t="str">
        <f t="shared" si="2012"/>
        <v>卡卡杜个人护理店（抖店）</v>
      </c>
      <c r="H6819" s="1" t="str">
        <f t="shared" si="2018"/>
        <v>正常订单</v>
      </c>
      <c r="I6819" s="1" t="str">
        <f t="shared" si="2019"/>
        <v>已发货</v>
      </c>
      <c r="J6819" s="1" t="str">
        <f t="shared" si="2015"/>
        <v>3</v>
      </c>
      <c r="K6819" s="1">
        <v>3</v>
      </c>
      <c r="L6819" s="1" t="s">
        <v>24</v>
      </c>
      <c r="M6819" s="1" t="str">
        <f>"福建省 福州市 福清市 城头镇"</f>
        <v>福建省 福州市 福清市 城头镇</v>
      </c>
      <c r="N6819" s="1" t="str">
        <f t="shared" si="2011"/>
        <v>凡华云仓-韵达-抖音</v>
      </c>
      <c r="O6819" s="5">
        <v>320177473597825</v>
      </c>
      <c r="P6819" s="6">
        <v>0.28000000000000003</v>
      </c>
      <c r="Q6819" s="11">
        <v>2</v>
      </c>
      <c r="R6819" s="11"/>
      <c r="S6819" s="11"/>
      <c r="T6819" s="11"/>
      <c r="U6819" s="11">
        <f t="shared" si="2014"/>
        <v>2</v>
      </c>
      <c r="W6819">
        <v>2.2000000000000002</v>
      </c>
      <c r="X6819" s="1" t="s">
        <v>24</v>
      </c>
    </row>
    <row r="6820" spans="1:24" x14ac:dyDescent="0.25">
      <c r="A6820" s="1" t="str">
        <f t="shared" si="2016"/>
        <v>卡卡杜-凤凰仓</v>
      </c>
      <c r="B6820" s="1" t="str">
        <f>"CK2024101810076"</f>
        <v>CK2024101810076</v>
      </c>
      <c r="C6820" s="1" t="str">
        <f>"DD2024101815659"</f>
        <v>DD2024101815659</v>
      </c>
      <c r="D6820" s="1" t="str">
        <f>"CK202410189258"</f>
        <v>CK202410189258</v>
      </c>
      <c r="E6820" s="1" t="str">
        <f>"6935169689841768337"</f>
        <v>6935169689841768337</v>
      </c>
      <c r="F6820" s="1" t="str">
        <f t="shared" si="2017"/>
        <v>花都四部-凤凰仓</v>
      </c>
      <c r="G6820" s="1" t="str">
        <f t="shared" si="2012"/>
        <v>卡卡杜个人护理店（抖店）</v>
      </c>
      <c r="H6820" s="1" t="str">
        <f t="shared" si="2018"/>
        <v>正常订单</v>
      </c>
      <c r="I6820" s="1" t="str">
        <f t="shared" si="2019"/>
        <v>已发货</v>
      </c>
      <c r="J6820" s="1" t="str">
        <f t="shared" si="2015"/>
        <v>3</v>
      </c>
      <c r="K6820" s="1">
        <v>3</v>
      </c>
      <c r="L6820" s="1" t="s">
        <v>105</v>
      </c>
      <c r="M6820" s="1" t="str">
        <f>"北京 北京市 昌平区 城北街道"</f>
        <v>北京 北京市 昌平区 城北街道</v>
      </c>
      <c r="N6820" s="1" t="str">
        <f t="shared" si="2011"/>
        <v>凡华云仓-韵达-抖音</v>
      </c>
      <c r="O6820" s="5">
        <v>320177473597722</v>
      </c>
      <c r="P6820" s="6">
        <v>0.28000000000000003</v>
      </c>
      <c r="Q6820" s="11">
        <v>2</v>
      </c>
      <c r="R6820" s="11"/>
      <c r="S6820" s="11"/>
      <c r="T6820" s="11"/>
      <c r="U6820" s="11">
        <f t="shared" si="2014"/>
        <v>2</v>
      </c>
      <c r="W6820">
        <v>2.2000000000000002</v>
      </c>
      <c r="X6820" s="1" t="s">
        <v>105</v>
      </c>
    </row>
    <row r="6821" spans="1:24" x14ac:dyDescent="0.25">
      <c r="A6821" s="1" t="str">
        <f t="shared" si="2016"/>
        <v>卡卡杜-凤凰仓</v>
      </c>
      <c r="B6821" s="1" t="str">
        <f>"CK2024101810075"</f>
        <v>CK2024101810075</v>
      </c>
      <c r="C6821" s="1" t="str">
        <f>"DD2024101815660"</f>
        <v>DD2024101815660</v>
      </c>
      <c r="D6821" s="1" t="str">
        <f>"CK202410189257"</f>
        <v>CK202410189257</v>
      </c>
      <c r="E6821" s="1" t="str">
        <f>"6935162740322342585"</f>
        <v>6935162740322342585</v>
      </c>
      <c r="F6821" s="1" t="str">
        <f t="shared" si="2017"/>
        <v>花都四部-凤凰仓</v>
      </c>
      <c r="G6821" s="1" t="str">
        <f t="shared" si="2012"/>
        <v>卡卡杜个人护理店（抖店）</v>
      </c>
      <c r="H6821" s="1" t="str">
        <f t="shared" si="2018"/>
        <v>正常订单</v>
      </c>
      <c r="I6821" s="1" t="str">
        <f t="shared" si="2019"/>
        <v>已发货</v>
      </c>
      <c r="J6821" s="1" t="str">
        <f t="shared" si="2015"/>
        <v>3</v>
      </c>
      <c r="K6821" s="1">
        <v>3</v>
      </c>
      <c r="L6821" s="1" t="s">
        <v>20</v>
      </c>
      <c r="M6821" s="1" t="str">
        <f>"浙江省 宁波市 余姚市 阳明街道"</f>
        <v>浙江省 宁波市 余姚市 阳明街道</v>
      </c>
      <c r="N6821" s="1" t="str">
        <f t="shared" si="2011"/>
        <v>凡华云仓-韵达-抖音</v>
      </c>
      <c r="O6821" s="5">
        <v>320177473597621</v>
      </c>
      <c r="P6821" s="6">
        <v>0.28000000000000003</v>
      </c>
      <c r="Q6821" s="11">
        <v>2</v>
      </c>
      <c r="R6821" s="11"/>
      <c r="S6821" s="11"/>
      <c r="T6821" s="11"/>
      <c r="U6821" s="11">
        <f t="shared" si="2014"/>
        <v>2</v>
      </c>
      <c r="W6821">
        <v>2.2000000000000002</v>
      </c>
      <c r="X6821" s="1" t="s">
        <v>20</v>
      </c>
    </row>
    <row r="6822" spans="1:24" x14ac:dyDescent="0.25">
      <c r="A6822" s="1" t="str">
        <f t="shared" si="2016"/>
        <v>卡卡杜-凤凰仓</v>
      </c>
      <c r="B6822" s="1" t="str">
        <f>"CK2024101810078"</f>
        <v>CK2024101810078</v>
      </c>
      <c r="C6822" s="1" t="str">
        <f>"DD2024101815661"</f>
        <v>DD2024101815661</v>
      </c>
      <c r="D6822" s="1" t="str">
        <f>"CK202410189256"</f>
        <v>CK202410189256</v>
      </c>
      <c r="E6822" s="1" t="str">
        <f>"6935149874520594176"</f>
        <v>6935149874520594176</v>
      </c>
      <c r="F6822" s="1" t="str">
        <f t="shared" si="2017"/>
        <v>花都四部-凤凰仓</v>
      </c>
      <c r="G6822" s="1" t="str">
        <f t="shared" si="2012"/>
        <v>卡卡杜个人护理店（抖店）</v>
      </c>
      <c r="H6822" s="1" t="str">
        <f t="shared" si="2018"/>
        <v>正常订单</v>
      </c>
      <c r="I6822" s="1" t="str">
        <f t="shared" si="2019"/>
        <v>已发货</v>
      </c>
      <c r="J6822" s="1" t="str">
        <f t="shared" si="2015"/>
        <v>3</v>
      </c>
      <c r="K6822" s="1">
        <v>3</v>
      </c>
      <c r="L6822" s="1" t="s">
        <v>96</v>
      </c>
      <c r="M6822" s="1" t="str">
        <f>"广西壮族自治区 梧州市 龙圩区 龙圩镇"</f>
        <v>广西壮族自治区 梧州市 龙圩区 龙圩镇</v>
      </c>
      <c r="N6822" s="1" t="str">
        <f t="shared" si="2011"/>
        <v>凡华云仓-韵达-抖音</v>
      </c>
      <c r="O6822" s="5">
        <v>320177473597522</v>
      </c>
      <c r="P6822" s="6">
        <v>0.28000000000000003</v>
      </c>
      <c r="Q6822" s="11">
        <v>2</v>
      </c>
      <c r="R6822" s="11"/>
      <c r="S6822" s="11"/>
      <c r="T6822" s="11"/>
      <c r="U6822" s="11">
        <f t="shared" si="2014"/>
        <v>2</v>
      </c>
      <c r="W6822">
        <v>2.2000000000000002</v>
      </c>
      <c r="X6822" s="1" t="s">
        <v>96</v>
      </c>
    </row>
    <row r="6823" spans="1:24" x14ac:dyDescent="0.25">
      <c r="A6823" s="1" t="str">
        <f t="shared" si="2016"/>
        <v>卡卡杜-凤凰仓</v>
      </c>
      <c r="B6823" s="1" t="str">
        <f>"CK2024101810077"</f>
        <v>CK2024101810077</v>
      </c>
      <c r="C6823" s="1" t="str">
        <f>"DD2024101815662"</f>
        <v>DD2024101815662</v>
      </c>
      <c r="D6823" s="1" t="str">
        <f>"CK202410189255"</f>
        <v>CK202410189255</v>
      </c>
      <c r="E6823" s="1" t="str">
        <f>"6935171936787305552"</f>
        <v>6935171936787305552</v>
      </c>
      <c r="F6823" s="1" t="str">
        <f t="shared" si="2017"/>
        <v>花都四部-凤凰仓</v>
      </c>
      <c r="G6823" s="1" t="str">
        <f t="shared" si="2012"/>
        <v>卡卡杜个人护理店（抖店）</v>
      </c>
      <c r="H6823" s="1" t="str">
        <f t="shared" si="2018"/>
        <v>正常订单</v>
      </c>
      <c r="I6823" s="1" t="str">
        <f t="shared" si="2019"/>
        <v>已发货</v>
      </c>
      <c r="J6823" s="1" t="str">
        <f t="shared" si="2015"/>
        <v>3</v>
      </c>
      <c r="K6823" s="1">
        <v>3</v>
      </c>
      <c r="L6823" s="1" t="s">
        <v>94</v>
      </c>
      <c r="M6823" s="1" t="str">
        <f>"湖南省 长沙市 岳麓区 西湖街道"</f>
        <v>湖南省 长沙市 岳麓区 西湖街道</v>
      </c>
      <c r="N6823" s="1" t="str">
        <f t="shared" si="2011"/>
        <v>凡华云仓-韵达-抖音</v>
      </c>
      <c r="O6823" s="5">
        <v>320177473597425</v>
      </c>
      <c r="P6823" s="6">
        <v>0.28000000000000003</v>
      </c>
      <c r="Q6823" s="11">
        <v>2</v>
      </c>
      <c r="R6823" s="11"/>
      <c r="S6823" s="11"/>
      <c r="T6823" s="11"/>
      <c r="U6823" s="11">
        <f t="shared" si="2014"/>
        <v>2</v>
      </c>
      <c r="W6823">
        <v>2.2000000000000002</v>
      </c>
      <c r="X6823" s="1" t="s">
        <v>94</v>
      </c>
    </row>
    <row r="6824" spans="1:24" x14ac:dyDescent="0.25">
      <c r="A6824" s="1" t="str">
        <f t="shared" si="2016"/>
        <v>卡卡杜-凤凰仓</v>
      </c>
      <c r="B6824" s="1" t="str">
        <f>"CK2024101810080"</f>
        <v>CK2024101810080</v>
      </c>
      <c r="C6824" s="1" t="str">
        <f>"DD2024101815664"</f>
        <v>DD2024101815664</v>
      </c>
      <c r="D6824" s="1" t="str">
        <f>"CK202410189254"</f>
        <v>CK202410189254</v>
      </c>
      <c r="E6824" s="1" t="str">
        <f>"6935145293630674248"</f>
        <v>6935145293630674248</v>
      </c>
      <c r="F6824" s="1" t="str">
        <f t="shared" si="2017"/>
        <v>花都四部-凤凰仓</v>
      </c>
      <c r="G6824" s="1" t="str">
        <f t="shared" si="2012"/>
        <v>卡卡杜个人护理店（抖店）</v>
      </c>
      <c r="H6824" s="1" t="str">
        <f t="shared" si="2018"/>
        <v>正常订单</v>
      </c>
      <c r="I6824" s="1" t="str">
        <f t="shared" si="2019"/>
        <v>已发货</v>
      </c>
      <c r="J6824" s="1" t="str">
        <f t="shared" si="2015"/>
        <v>3</v>
      </c>
      <c r="K6824" s="1">
        <v>3</v>
      </c>
      <c r="L6824" s="1" t="s">
        <v>161</v>
      </c>
      <c r="M6824" s="1" t="str">
        <f>"四川省 成都市 金牛区 抚琴街道"</f>
        <v>四川省 成都市 金牛区 抚琴街道</v>
      </c>
      <c r="N6824" s="1" t="str">
        <f t="shared" si="2011"/>
        <v>凡华云仓-韵达-抖音</v>
      </c>
      <c r="O6824" s="5">
        <v>320177473597330</v>
      </c>
      <c r="P6824" s="6">
        <v>0.28000000000000003</v>
      </c>
      <c r="Q6824" s="11">
        <v>2</v>
      </c>
      <c r="R6824" s="11"/>
      <c r="S6824" s="11"/>
      <c r="T6824" s="11"/>
      <c r="U6824" s="11">
        <f t="shared" si="2014"/>
        <v>2</v>
      </c>
      <c r="W6824">
        <v>2.2000000000000002</v>
      </c>
      <c r="X6824" s="1" t="s">
        <v>161</v>
      </c>
    </row>
    <row r="6825" spans="1:24" x14ac:dyDescent="0.25">
      <c r="A6825" s="1" t="str">
        <f t="shared" si="2016"/>
        <v>卡卡杜-凤凰仓</v>
      </c>
      <c r="B6825" s="1" t="str">
        <f>"CK2024101810082"</f>
        <v>CK2024101810082</v>
      </c>
      <c r="C6825" s="1" t="str">
        <f>"DD2024101815665"</f>
        <v>DD2024101815665</v>
      </c>
      <c r="D6825" s="1" t="str">
        <f>"CK202410189253"</f>
        <v>CK202410189253</v>
      </c>
      <c r="E6825" s="1" t="str">
        <f>"6935145318173513251"</f>
        <v>6935145318173513251</v>
      </c>
      <c r="F6825" s="1" t="str">
        <f t="shared" si="2017"/>
        <v>花都四部-凤凰仓</v>
      </c>
      <c r="G6825" s="1" t="str">
        <f t="shared" si="2012"/>
        <v>卡卡杜个人护理店（抖店）</v>
      </c>
      <c r="H6825" s="1" t="str">
        <f t="shared" si="2018"/>
        <v>正常订单</v>
      </c>
      <c r="I6825" s="1" t="str">
        <f t="shared" si="2019"/>
        <v>已发货</v>
      </c>
      <c r="J6825" s="1" t="str">
        <f t="shared" si="2015"/>
        <v>3</v>
      </c>
      <c r="K6825" s="1">
        <v>3</v>
      </c>
      <c r="L6825" s="1" t="s">
        <v>22</v>
      </c>
      <c r="M6825" s="1" t="str">
        <f>"江西省 南昌市 新建区 冠山管理处"</f>
        <v>江西省 南昌市 新建区 冠山管理处</v>
      </c>
      <c r="N6825" s="1" t="str">
        <f t="shared" si="2011"/>
        <v>凡华云仓-韵达-抖音</v>
      </c>
      <c r="O6825" s="5">
        <v>320177471519465</v>
      </c>
      <c r="P6825" s="6">
        <v>0.28000000000000003</v>
      </c>
      <c r="Q6825" s="11">
        <v>2</v>
      </c>
      <c r="R6825" s="11"/>
      <c r="S6825" s="11"/>
      <c r="T6825" s="11"/>
      <c r="U6825" s="11">
        <f t="shared" si="2014"/>
        <v>2</v>
      </c>
      <c r="W6825">
        <v>2.2000000000000002</v>
      </c>
      <c r="X6825" s="1" t="s">
        <v>22</v>
      </c>
    </row>
    <row r="6826" spans="1:24" x14ac:dyDescent="0.25">
      <c r="A6826" s="1" t="str">
        <f t="shared" si="2016"/>
        <v>卡卡杜-凤凰仓</v>
      </c>
      <c r="B6826" s="1" t="str">
        <f>"CK2024101810081"</f>
        <v>CK2024101810081</v>
      </c>
      <c r="C6826" s="1" t="str">
        <f>"DD2024101815667"</f>
        <v>DD2024101815667</v>
      </c>
      <c r="D6826" s="1" t="str">
        <f>"CK202410189252"</f>
        <v>CK202410189252</v>
      </c>
      <c r="E6826" s="1" t="str">
        <f>"6935164984449045983"</f>
        <v>6935164984449045983</v>
      </c>
      <c r="F6826" s="1" t="str">
        <f t="shared" si="2017"/>
        <v>花都四部-凤凰仓</v>
      </c>
      <c r="G6826" s="1" t="str">
        <f t="shared" si="2012"/>
        <v>卡卡杜个人护理店（抖店）</v>
      </c>
      <c r="H6826" s="1" t="str">
        <f t="shared" si="2018"/>
        <v>正常订单</v>
      </c>
      <c r="I6826" s="1" t="str">
        <f t="shared" si="2019"/>
        <v>已发货</v>
      </c>
      <c r="J6826" s="1" t="str">
        <f t="shared" si="2015"/>
        <v>3</v>
      </c>
      <c r="K6826" s="1">
        <v>3</v>
      </c>
      <c r="L6826" s="1" t="s">
        <v>22</v>
      </c>
      <c r="M6826" s="1" t="str">
        <f>"江西省 宜春市 高安市 大城镇"</f>
        <v>江西省 宜春市 高安市 大城镇</v>
      </c>
      <c r="N6826" s="1" t="str">
        <f t="shared" si="2011"/>
        <v>凡华云仓-韵达-抖音</v>
      </c>
      <c r="O6826" s="5">
        <v>320177471519370</v>
      </c>
      <c r="P6826" s="6">
        <v>0.28000000000000003</v>
      </c>
      <c r="Q6826" s="11">
        <v>2</v>
      </c>
      <c r="R6826" s="11"/>
      <c r="S6826" s="11"/>
      <c r="T6826" s="11"/>
      <c r="U6826" s="11">
        <f t="shared" si="2014"/>
        <v>2</v>
      </c>
      <c r="W6826">
        <v>2.2000000000000002</v>
      </c>
      <c r="X6826" s="1" t="s">
        <v>22</v>
      </c>
    </row>
    <row r="6827" spans="1:24" x14ac:dyDescent="0.25">
      <c r="A6827" s="1" t="str">
        <f t="shared" si="2016"/>
        <v>卡卡杜-凤凰仓</v>
      </c>
      <c r="B6827" s="1" t="str">
        <f>"CK2024101810142"</f>
        <v>CK2024101810142</v>
      </c>
      <c r="C6827" s="1" t="str">
        <f>"DD2024101815726"</f>
        <v>DD2024101815726</v>
      </c>
      <c r="D6827" s="1" t="str">
        <f>"CK202410189251"</f>
        <v>CK202410189251</v>
      </c>
      <c r="E6827" s="1" t="str">
        <f>"6935160762924799759"</f>
        <v>6935160762924799759</v>
      </c>
      <c r="F6827" s="1" t="str">
        <f t="shared" si="2017"/>
        <v>花都四部-凤凰仓</v>
      </c>
      <c r="G6827" s="1" t="str">
        <f t="shared" si="2012"/>
        <v>卡卡杜个人护理店（抖店）</v>
      </c>
      <c r="H6827" s="1" t="str">
        <f t="shared" si="2018"/>
        <v>正常订单</v>
      </c>
      <c r="I6827" s="1" t="str">
        <f t="shared" si="2019"/>
        <v>已发货</v>
      </c>
      <c r="J6827" s="1" t="str">
        <f t="shared" si="2015"/>
        <v>3</v>
      </c>
      <c r="K6827" s="1">
        <v>3</v>
      </c>
      <c r="L6827" s="1" t="s">
        <v>20</v>
      </c>
      <c r="M6827" s="1" t="str">
        <f>"浙江省 杭州市 西湖区 留下街道"</f>
        <v>浙江省 杭州市 西湖区 留下街道</v>
      </c>
      <c r="N6827" s="1" t="str">
        <f t="shared" si="2011"/>
        <v>凡华云仓-韵达-抖音</v>
      </c>
      <c r="O6827" s="5">
        <v>320177471519277</v>
      </c>
      <c r="P6827" s="6">
        <v>0.28000000000000003</v>
      </c>
      <c r="Q6827" s="11">
        <v>2</v>
      </c>
      <c r="R6827" s="11"/>
      <c r="S6827" s="11"/>
      <c r="T6827" s="11"/>
      <c r="U6827" s="11">
        <f t="shared" si="2014"/>
        <v>2</v>
      </c>
      <c r="W6827">
        <v>2.2000000000000002</v>
      </c>
      <c r="X6827" s="1" t="s">
        <v>20</v>
      </c>
    </row>
    <row r="6828" spans="1:24" x14ac:dyDescent="0.25">
      <c r="A6828" s="1" t="str">
        <f t="shared" si="2016"/>
        <v>卡卡杜-凤凰仓</v>
      </c>
      <c r="B6828" s="1" t="str">
        <f>"CK2024101810145"</f>
        <v>CK2024101810145</v>
      </c>
      <c r="C6828" s="1" t="str">
        <f>"DD2024101815730"</f>
        <v>DD2024101815730</v>
      </c>
      <c r="D6828" s="1" t="str">
        <f>"CK202410189250"</f>
        <v>CK202410189250</v>
      </c>
      <c r="E6828" s="1" t="str">
        <f>"6935156013742429482"</f>
        <v>6935156013742429482</v>
      </c>
      <c r="F6828" s="1" t="str">
        <f t="shared" si="2017"/>
        <v>花都四部-凤凰仓</v>
      </c>
      <c r="G6828" s="1" t="str">
        <f t="shared" si="2012"/>
        <v>卡卡杜个人护理店（抖店）</v>
      </c>
      <c r="H6828" s="1" t="str">
        <f t="shared" si="2018"/>
        <v>正常订单</v>
      </c>
      <c r="I6828" s="1" t="str">
        <f t="shared" si="2019"/>
        <v>已发货</v>
      </c>
      <c r="J6828" s="1" t="str">
        <f t="shared" si="2015"/>
        <v>3</v>
      </c>
      <c r="K6828" s="1">
        <v>3</v>
      </c>
      <c r="L6828" s="1" t="s">
        <v>105</v>
      </c>
      <c r="M6828" s="1" t="str">
        <f>"北京 北京市 密云区 果园街道"</f>
        <v>北京 北京市 密云区 果园街道</v>
      </c>
      <c r="N6828" s="1" t="str">
        <f t="shared" si="2011"/>
        <v>凡华云仓-韵达-抖音</v>
      </c>
      <c r="O6828" s="5">
        <v>320177471519186</v>
      </c>
      <c r="P6828" s="6">
        <v>0.28000000000000003</v>
      </c>
      <c r="Q6828" s="11">
        <v>2</v>
      </c>
      <c r="R6828" s="11"/>
      <c r="S6828" s="11"/>
      <c r="T6828" s="11"/>
      <c r="U6828" s="11">
        <f t="shared" si="2014"/>
        <v>2</v>
      </c>
      <c r="W6828">
        <v>2.2000000000000002</v>
      </c>
      <c r="X6828" s="1" t="s">
        <v>105</v>
      </c>
    </row>
    <row r="6829" spans="1:24" x14ac:dyDescent="0.25">
      <c r="A6829" s="1" t="str">
        <f t="shared" si="2016"/>
        <v>卡卡杜-凤凰仓</v>
      </c>
      <c r="B6829" s="1" t="str">
        <f>"CK2024101810079"</f>
        <v>CK2024101810079</v>
      </c>
      <c r="C6829" s="1" t="str">
        <f>"DD2024101815663"</f>
        <v>DD2024101815663</v>
      </c>
      <c r="D6829" s="1" t="str">
        <f>"CK202410189249"</f>
        <v>CK202410189249</v>
      </c>
      <c r="E6829" s="1" t="str">
        <f>"6935153814017480651"</f>
        <v>6935153814017480651</v>
      </c>
      <c r="F6829" s="1" t="str">
        <f t="shared" si="2017"/>
        <v>花都四部-凤凰仓</v>
      </c>
      <c r="G6829" s="1" t="str">
        <f t="shared" si="2012"/>
        <v>卡卡杜个人护理店（抖店）</v>
      </c>
      <c r="H6829" s="1" t="str">
        <f t="shared" si="2018"/>
        <v>正常订单</v>
      </c>
      <c r="I6829" s="1" t="str">
        <f t="shared" si="2019"/>
        <v>已发货</v>
      </c>
      <c r="J6829" s="1" t="str">
        <f t="shared" si="2015"/>
        <v>3</v>
      </c>
      <c r="K6829" s="1">
        <v>3</v>
      </c>
      <c r="L6829" s="1" t="s">
        <v>36</v>
      </c>
      <c r="M6829" s="1" t="str">
        <f>"安徽省 安庆市 太湖县 弥陀镇"</f>
        <v>安徽省 安庆市 太湖县 弥陀镇</v>
      </c>
      <c r="N6829" s="1" t="str">
        <f t="shared" si="2011"/>
        <v>凡华云仓-韵达-抖音</v>
      </c>
      <c r="O6829" s="5">
        <v>320177471519097</v>
      </c>
      <c r="P6829" s="6">
        <v>0.28000000000000003</v>
      </c>
      <c r="Q6829" s="11">
        <v>2</v>
      </c>
      <c r="R6829" s="11"/>
      <c r="S6829" s="11"/>
      <c r="T6829" s="11"/>
      <c r="U6829" s="11">
        <f t="shared" si="2014"/>
        <v>2</v>
      </c>
      <c r="W6829">
        <v>2.2000000000000002</v>
      </c>
      <c r="X6829" s="1" t="s">
        <v>36</v>
      </c>
    </row>
    <row r="6830" spans="1:24" x14ac:dyDescent="0.25">
      <c r="A6830" s="1" t="str">
        <f t="shared" si="2016"/>
        <v>卡卡杜-凤凰仓</v>
      </c>
      <c r="B6830" s="1" t="str">
        <f>"CK2024101810083"</f>
        <v>CK2024101810083</v>
      </c>
      <c r="C6830" s="1" t="str">
        <f>"DD2024101815666"</f>
        <v>DD2024101815666</v>
      </c>
      <c r="D6830" s="1" t="str">
        <f>"CK202410189248"</f>
        <v>CK202410189248</v>
      </c>
      <c r="E6830" s="1" t="str">
        <f>"6935153878761280755"</f>
        <v>6935153878761280755</v>
      </c>
      <c r="F6830" s="1" t="str">
        <f t="shared" si="2017"/>
        <v>花都四部-凤凰仓</v>
      </c>
      <c r="G6830" s="1" t="str">
        <f t="shared" si="2012"/>
        <v>卡卡杜个人护理店（抖店）</v>
      </c>
      <c r="H6830" s="1" t="str">
        <f t="shared" si="2018"/>
        <v>正常订单</v>
      </c>
      <c r="I6830" s="1" t="str">
        <f t="shared" si="2019"/>
        <v>已发货</v>
      </c>
      <c r="J6830" s="1" t="str">
        <f t="shared" si="2015"/>
        <v>3</v>
      </c>
      <c r="K6830" s="1">
        <v>3</v>
      </c>
      <c r="L6830" s="1" t="s">
        <v>20</v>
      </c>
      <c r="M6830" s="1" t="str">
        <f>"浙江省 金华市 婺城区 城东街道"</f>
        <v>浙江省 金华市 婺城区 城东街道</v>
      </c>
      <c r="N6830" s="1" t="str">
        <f t="shared" si="2011"/>
        <v>凡华云仓-韵达-抖音</v>
      </c>
      <c r="O6830" s="5">
        <v>320177471518965</v>
      </c>
      <c r="P6830" s="6">
        <v>0.28000000000000003</v>
      </c>
      <c r="Q6830" s="11">
        <v>2</v>
      </c>
      <c r="R6830" s="11"/>
      <c r="S6830" s="11"/>
      <c r="T6830" s="11"/>
      <c r="U6830" s="11">
        <f t="shared" si="2014"/>
        <v>2</v>
      </c>
      <c r="W6830">
        <v>2.2000000000000002</v>
      </c>
      <c r="X6830" s="1" t="s">
        <v>20</v>
      </c>
    </row>
    <row r="6831" spans="1:24" x14ac:dyDescent="0.25">
      <c r="A6831" s="1" t="str">
        <f t="shared" si="2016"/>
        <v>卡卡杜-凤凰仓</v>
      </c>
      <c r="B6831" s="1" t="str">
        <f>"CK2024101810084"</f>
        <v>CK2024101810084</v>
      </c>
      <c r="C6831" s="1" t="str">
        <f>"DD2024101815668"</f>
        <v>DD2024101815668</v>
      </c>
      <c r="D6831" s="1" t="str">
        <f>"CK202410189247"</f>
        <v>CK202410189247</v>
      </c>
      <c r="E6831" s="1" t="str">
        <f>"6935158141831156831"</f>
        <v>6935158141831156831</v>
      </c>
      <c r="F6831" s="1" t="str">
        <f t="shared" si="2017"/>
        <v>花都四部-凤凰仓</v>
      </c>
      <c r="G6831" s="1" t="str">
        <f t="shared" si="2012"/>
        <v>卡卡杜个人护理店（抖店）</v>
      </c>
      <c r="H6831" s="1" t="str">
        <f t="shared" si="2018"/>
        <v>正常订单</v>
      </c>
      <c r="I6831" s="1" t="str">
        <f t="shared" si="2019"/>
        <v>已发货</v>
      </c>
      <c r="J6831" s="1" t="str">
        <f t="shared" si="2015"/>
        <v>3</v>
      </c>
      <c r="K6831" s="1">
        <v>3</v>
      </c>
      <c r="L6831" s="1" t="s">
        <v>13</v>
      </c>
      <c r="M6831" s="1" t="str">
        <f>"江苏省 南通市 如皋市 磨头镇"</f>
        <v>江苏省 南通市 如皋市 磨头镇</v>
      </c>
      <c r="N6831" s="1" t="str">
        <f t="shared" si="2011"/>
        <v>凡华云仓-韵达-抖音</v>
      </c>
      <c r="O6831" s="5">
        <v>320177471518860</v>
      </c>
      <c r="P6831" s="6">
        <v>0.28000000000000003</v>
      </c>
      <c r="Q6831" s="11">
        <v>2</v>
      </c>
      <c r="R6831" s="11"/>
      <c r="S6831" s="11"/>
      <c r="T6831" s="11"/>
      <c r="U6831" s="11">
        <f t="shared" si="2014"/>
        <v>2</v>
      </c>
      <c r="W6831">
        <v>2.2000000000000002</v>
      </c>
      <c r="X6831" s="1" t="s">
        <v>13</v>
      </c>
    </row>
    <row r="6832" spans="1:24" x14ac:dyDescent="0.25">
      <c r="A6832" s="1" t="str">
        <f t="shared" si="2016"/>
        <v>卡卡杜-凤凰仓</v>
      </c>
      <c r="B6832" s="1" t="str">
        <f>"CK2024101810085"</f>
        <v>CK2024101810085</v>
      </c>
      <c r="C6832" s="1" t="str">
        <f>"DD2024101815669"</f>
        <v>DD2024101815669</v>
      </c>
      <c r="D6832" s="1" t="str">
        <f>"CK202410189246"</f>
        <v>CK202410189246</v>
      </c>
      <c r="E6832" s="1" t="str">
        <f>"6935160872142640226"</f>
        <v>6935160872142640226</v>
      </c>
      <c r="F6832" s="1" t="str">
        <f t="shared" si="2017"/>
        <v>花都四部-凤凰仓</v>
      </c>
      <c r="G6832" s="1" t="str">
        <f t="shared" si="2012"/>
        <v>卡卡杜个人护理店（抖店）</v>
      </c>
      <c r="H6832" s="1" t="str">
        <f t="shared" si="2018"/>
        <v>正常订单</v>
      </c>
      <c r="I6832" s="1" t="str">
        <f t="shared" si="2019"/>
        <v>已发货</v>
      </c>
      <c r="J6832" s="1" t="str">
        <f t="shared" si="2015"/>
        <v>3</v>
      </c>
      <c r="K6832" s="1">
        <v>3</v>
      </c>
      <c r="L6832" s="1" t="s">
        <v>13</v>
      </c>
      <c r="M6832" s="1" t="str">
        <f>"江苏省 常州市 钟楼区 邹区镇"</f>
        <v>江苏省 常州市 钟楼区 邹区镇</v>
      </c>
      <c r="N6832" s="1" t="str">
        <f t="shared" ref="N6832:N6895" si="2020">"凡华云仓-韵达-抖音"</f>
        <v>凡华云仓-韵达-抖音</v>
      </c>
      <c r="O6832" s="5">
        <v>320177471518757</v>
      </c>
      <c r="P6832" s="6">
        <v>0.28000000000000003</v>
      </c>
      <c r="Q6832" s="11">
        <v>2</v>
      </c>
      <c r="R6832" s="11"/>
      <c r="S6832" s="11"/>
      <c r="T6832" s="11"/>
      <c r="U6832" s="11">
        <f t="shared" si="2014"/>
        <v>2</v>
      </c>
      <c r="W6832">
        <v>2.2000000000000002</v>
      </c>
      <c r="X6832" s="1" t="s">
        <v>13</v>
      </c>
    </row>
    <row r="6833" spans="1:24" x14ac:dyDescent="0.25">
      <c r="A6833" s="1" t="str">
        <f t="shared" si="2016"/>
        <v>卡卡杜-凤凰仓</v>
      </c>
      <c r="B6833" s="1" t="str">
        <f>"CK2024101810086"</f>
        <v>CK2024101810086</v>
      </c>
      <c r="C6833" s="1" t="str">
        <f>"DD2024101815670"</f>
        <v>DD2024101815670</v>
      </c>
      <c r="D6833" s="1" t="str">
        <f>"CK202410189245"</f>
        <v>CK202410189245</v>
      </c>
      <c r="E6833" s="1" t="str">
        <f>"6935164985107683115"</f>
        <v>6935164985107683115</v>
      </c>
      <c r="F6833" s="1" t="str">
        <f t="shared" si="2017"/>
        <v>花都四部-凤凰仓</v>
      </c>
      <c r="G6833" s="1" t="str">
        <f t="shared" si="2012"/>
        <v>卡卡杜个人护理店（抖店）</v>
      </c>
      <c r="H6833" s="1" t="str">
        <f t="shared" si="2018"/>
        <v>正常订单</v>
      </c>
      <c r="I6833" s="1" t="str">
        <f t="shared" si="2019"/>
        <v>已发货</v>
      </c>
      <c r="J6833" s="1" t="str">
        <f t="shared" si="2015"/>
        <v>3</v>
      </c>
      <c r="K6833" s="1">
        <v>3</v>
      </c>
      <c r="L6833" s="1" t="s">
        <v>18</v>
      </c>
      <c r="M6833" s="1" t="str">
        <f>"广东省 阳江市 阳东区 "</f>
        <v xml:space="preserve">广东省 阳江市 阳东区 </v>
      </c>
      <c r="N6833" s="1" t="str">
        <f t="shared" si="2020"/>
        <v>凡华云仓-韵达-抖音</v>
      </c>
      <c r="O6833" s="5">
        <v>320177471518656</v>
      </c>
      <c r="P6833" s="6">
        <v>0.28000000000000003</v>
      </c>
      <c r="Q6833" s="11">
        <v>2</v>
      </c>
      <c r="R6833" s="11"/>
      <c r="S6833" s="11"/>
      <c r="T6833" s="11"/>
      <c r="U6833" s="11">
        <f t="shared" si="2014"/>
        <v>2</v>
      </c>
      <c r="W6833">
        <v>2.2000000000000002</v>
      </c>
      <c r="X6833" s="1" t="s">
        <v>18</v>
      </c>
    </row>
    <row r="6834" spans="1:24" x14ac:dyDescent="0.25">
      <c r="A6834" s="1" t="str">
        <f t="shared" si="2016"/>
        <v>卡卡杜-凤凰仓</v>
      </c>
      <c r="B6834" s="1" t="str">
        <f>"CK2024101810087"</f>
        <v>CK2024101810087</v>
      </c>
      <c r="C6834" s="1" t="str">
        <f>"DD2024101815671"</f>
        <v>DD2024101815671</v>
      </c>
      <c r="D6834" s="1" t="str">
        <f>"CK202410189244"</f>
        <v>CK202410189244</v>
      </c>
      <c r="E6834" s="1" t="str">
        <f>"6935140866737116183"</f>
        <v>6935140866737116183</v>
      </c>
      <c r="F6834" s="1" t="str">
        <f t="shared" si="2017"/>
        <v>花都四部-凤凰仓</v>
      </c>
      <c r="G6834" s="1" t="str">
        <f t="shared" si="2012"/>
        <v>卡卡杜个人护理店（抖店）</v>
      </c>
      <c r="H6834" s="1" t="str">
        <f t="shared" si="2018"/>
        <v>正常订单</v>
      </c>
      <c r="I6834" s="1" t="str">
        <f t="shared" si="2019"/>
        <v>已发货</v>
      </c>
      <c r="J6834" s="1" t="str">
        <f t="shared" si="2015"/>
        <v>3</v>
      </c>
      <c r="K6834" s="1">
        <v>3</v>
      </c>
      <c r="L6834" s="1" t="s">
        <v>41</v>
      </c>
      <c r="M6834" s="1" t="str">
        <f>"湖北省 武汉市 东西湖区 金银湖街道"</f>
        <v>湖北省 武汉市 东西湖区 金银湖街道</v>
      </c>
      <c r="N6834" s="1" t="str">
        <f t="shared" si="2020"/>
        <v>凡华云仓-韵达-抖音</v>
      </c>
      <c r="O6834" s="5">
        <v>320177471518557</v>
      </c>
      <c r="P6834" s="6">
        <v>0.28000000000000003</v>
      </c>
      <c r="Q6834" s="11">
        <v>2</v>
      </c>
      <c r="R6834" s="11"/>
      <c r="S6834" s="11"/>
      <c r="T6834" s="11"/>
      <c r="U6834" s="11">
        <f t="shared" si="2014"/>
        <v>2</v>
      </c>
      <c r="W6834">
        <v>2.2000000000000002</v>
      </c>
      <c r="X6834" s="1" t="s">
        <v>41</v>
      </c>
    </row>
    <row r="6835" spans="1:24" x14ac:dyDescent="0.25">
      <c r="A6835" s="1" t="str">
        <f t="shared" si="2016"/>
        <v>卡卡杜-凤凰仓</v>
      </c>
      <c r="B6835" s="1" t="str">
        <f>"CK2024101810088"</f>
        <v>CK2024101810088</v>
      </c>
      <c r="C6835" s="1" t="str">
        <f>"DD2024101815672"</f>
        <v>DD2024101815672</v>
      </c>
      <c r="D6835" s="1" t="str">
        <f>"CK202410189243"</f>
        <v>CK202410189243</v>
      </c>
      <c r="E6835" s="1" t="str">
        <f>"6935141058607125904"</f>
        <v>6935141058607125904</v>
      </c>
      <c r="F6835" s="1" t="str">
        <f t="shared" si="2017"/>
        <v>花都四部-凤凰仓</v>
      </c>
      <c r="G6835" s="1" t="str">
        <f t="shared" si="2012"/>
        <v>卡卡杜个人护理店（抖店）</v>
      </c>
      <c r="H6835" s="1" t="str">
        <f t="shared" si="2018"/>
        <v>正常订单</v>
      </c>
      <c r="I6835" s="1" t="str">
        <f t="shared" si="2019"/>
        <v>已发货</v>
      </c>
      <c r="J6835" s="1" t="str">
        <f t="shared" si="2015"/>
        <v>3</v>
      </c>
      <c r="K6835" s="1">
        <v>3</v>
      </c>
      <c r="L6835" s="1" t="s">
        <v>109</v>
      </c>
      <c r="M6835" s="1" t="str">
        <f>"山西省 太原市 尖草坪区 南寨街道"</f>
        <v>山西省 太原市 尖草坪区 南寨街道</v>
      </c>
      <c r="N6835" s="1" t="str">
        <f t="shared" si="2020"/>
        <v>凡华云仓-韵达-抖音</v>
      </c>
      <c r="O6835" s="5">
        <v>320177484321462</v>
      </c>
      <c r="P6835" s="6">
        <v>0.28000000000000003</v>
      </c>
      <c r="Q6835" s="11">
        <v>2</v>
      </c>
      <c r="R6835" s="11"/>
      <c r="S6835" s="11"/>
      <c r="T6835" s="11"/>
      <c r="U6835" s="11">
        <f t="shared" si="2014"/>
        <v>2</v>
      </c>
      <c r="W6835">
        <v>2.2000000000000002</v>
      </c>
      <c r="X6835" s="1" t="s">
        <v>109</v>
      </c>
    </row>
    <row r="6836" spans="1:24" x14ac:dyDescent="0.25">
      <c r="A6836" s="1" t="str">
        <f t="shared" si="2016"/>
        <v>卡卡杜-凤凰仓</v>
      </c>
      <c r="B6836" s="1" t="str">
        <f>"CK2024101810090"</f>
        <v>CK2024101810090</v>
      </c>
      <c r="C6836" s="1" t="str">
        <f>"DD2024101815673"</f>
        <v>DD2024101815673</v>
      </c>
      <c r="D6836" s="1" t="str">
        <f>"CK202410189242"</f>
        <v>CK202410189242</v>
      </c>
      <c r="E6836" s="1" t="str">
        <f>"6935156070347510851"</f>
        <v>6935156070347510851</v>
      </c>
      <c r="F6836" s="1" t="str">
        <f t="shared" si="2017"/>
        <v>花都四部-凤凰仓</v>
      </c>
      <c r="G6836" s="1" t="str">
        <f t="shared" ref="G6836:G6899" si="2021">"卡卡杜个人护理店（抖店）"</f>
        <v>卡卡杜个人护理店（抖店）</v>
      </c>
      <c r="H6836" s="1" t="str">
        <f t="shared" si="2018"/>
        <v>正常订单</v>
      </c>
      <c r="I6836" s="1" t="str">
        <f t="shared" si="2019"/>
        <v>已发货</v>
      </c>
      <c r="J6836" s="1" t="str">
        <f t="shared" si="2015"/>
        <v>3</v>
      </c>
      <c r="K6836" s="1">
        <v>3</v>
      </c>
      <c r="L6836" s="1" t="s">
        <v>94</v>
      </c>
      <c r="M6836" s="1" t="str">
        <f>"湖南省 娄底市 新化县 白溪镇"</f>
        <v>湖南省 娄底市 新化县 白溪镇</v>
      </c>
      <c r="N6836" s="1" t="str">
        <f t="shared" si="2020"/>
        <v>凡华云仓-韵达-抖音</v>
      </c>
      <c r="O6836" s="5">
        <v>320177484321367</v>
      </c>
      <c r="P6836" s="6">
        <v>0.28000000000000003</v>
      </c>
      <c r="Q6836" s="11">
        <v>2</v>
      </c>
      <c r="R6836" s="11"/>
      <c r="S6836" s="11"/>
      <c r="T6836" s="11"/>
      <c r="U6836" s="11">
        <f t="shared" si="2014"/>
        <v>2</v>
      </c>
      <c r="W6836">
        <v>2.2000000000000002</v>
      </c>
      <c r="X6836" s="1" t="s">
        <v>94</v>
      </c>
    </row>
    <row r="6837" spans="1:24" x14ac:dyDescent="0.25">
      <c r="A6837" s="1" t="str">
        <f t="shared" si="2016"/>
        <v>卡卡杜-凤凰仓</v>
      </c>
      <c r="B6837" s="1" t="str">
        <f>"CK2024101810089"</f>
        <v>CK2024101810089</v>
      </c>
      <c r="C6837" s="1" t="str">
        <f>"DD2024101815674"</f>
        <v>DD2024101815674</v>
      </c>
      <c r="D6837" s="1" t="str">
        <f>"CK202410189241"</f>
        <v>CK202410189241</v>
      </c>
      <c r="E6837" s="1" t="str">
        <f>"6935149747276814000"</f>
        <v>6935149747276814000</v>
      </c>
      <c r="F6837" s="1" t="str">
        <f t="shared" si="2017"/>
        <v>花都四部-凤凰仓</v>
      </c>
      <c r="G6837" s="1" t="str">
        <f t="shared" si="2021"/>
        <v>卡卡杜个人护理店（抖店）</v>
      </c>
      <c r="H6837" s="1" t="str">
        <f t="shared" si="2018"/>
        <v>正常订单</v>
      </c>
      <c r="I6837" s="1" t="str">
        <f t="shared" si="2019"/>
        <v>已发货</v>
      </c>
      <c r="J6837" s="1" t="str">
        <f t="shared" si="2015"/>
        <v>3</v>
      </c>
      <c r="K6837" s="1">
        <v>3</v>
      </c>
      <c r="L6837" s="1" t="s">
        <v>94</v>
      </c>
      <c r="M6837" s="1" t="str">
        <f>"湖南省 怀化市 鹤城区 红星街道"</f>
        <v>湖南省 怀化市 鹤城区 红星街道</v>
      </c>
      <c r="N6837" s="1" t="str">
        <f t="shared" si="2020"/>
        <v>凡华云仓-韵达-抖音</v>
      </c>
      <c r="O6837" s="5">
        <v>320177484321274</v>
      </c>
      <c r="P6837" s="6">
        <v>0.28000000000000003</v>
      </c>
      <c r="Q6837" s="11">
        <v>2</v>
      </c>
      <c r="R6837" s="11"/>
      <c r="S6837" s="11"/>
      <c r="T6837" s="11"/>
      <c r="U6837" s="11">
        <f t="shared" si="2014"/>
        <v>2</v>
      </c>
      <c r="W6837">
        <v>2.2000000000000002</v>
      </c>
      <c r="X6837" s="1" t="s">
        <v>94</v>
      </c>
    </row>
    <row r="6838" spans="1:24" x14ac:dyDescent="0.25">
      <c r="A6838" s="1" t="str">
        <f t="shared" si="2016"/>
        <v>卡卡杜-凤凰仓</v>
      </c>
      <c r="B6838" s="1" t="str">
        <f>"CK2024101810091"</f>
        <v>CK2024101810091</v>
      </c>
      <c r="C6838" s="1" t="str">
        <f>"DD2024101815675"</f>
        <v>DD2024101815675</v>
      </c>
      <c r="D6838" s="1" t="str">
        <f>"CK202410189240"</f>
        <v>CK202410189240</v>
      </c>
      <c r="E6838" s="1" t="str">
        <f>"6935141005460378909"</f>
        <v>6935141005460378909</v>
      </c>
      <c r="F6838" s="1" t="str">
        <f t="shared" si="2017"/>
        <v>花都四部-凤凰仓</v>
      </c>
      <c r="G6838" s="1" t="str">
        <f t="shared" si="2021"/>
        <v>卡卡杜个人护理店（抖店）</v>
      </c>
      <c r="H6838" s="1" t="str">
        <f t="shared" si="2018"/>
        <v>正常订单</v>
      </c>
      <c r="I6838" s="1" t="str">
        <f t="shared" si="2019"/>
        <v>已发货</v>
      </c>
      <c r="J6838" s="1" t="str">
        <f t="shared" si="2015"/>
        <v>3</v>
      </c>
      <c r="K6838" s="1">
        <v>3</v>
      </c>
      <c r="L6838" s="1" t="s">
        <v>60</v>
      </c>
      <c r="M6838" s="1" t="str">
        <f>"云南省 玉溪市 通海县 四街镇"</f>
        <v>云南省 玉溪市 通海县 四街镇</v>
      </c>
      <c r="N6838" s="1" t="str">
        <f t="shared" si="2020"/>
        <v>凡华云仓-韵达-抖音</v>
      </c>
      <c r="O6838" s="5">
        <v>320177484321183</v>
      </c>
      <c r="P6838" s="6">
        <v>0.28000000000000003</v>
      </c>
      <c r="Q6838" s="11">
        <v>2</v>
      </c>
      <c r="R6838" s="11"/>
      <c r="S6838" s="11"/>
      <c r="T6838" s="11"/>
      <c r="U6838" s="11">
        <f t="shared" si="2014"/>
        <v>2</v>
      </c>
      <c r="W6838">
        <v>2.2000000000000002</v>
      </c>
      <c r="X6838" s="1" t="s">
        <v>60</v>
      </c>
    </row>
    <row r="6839" spans="1:24" x14ac:dyDescent="0.25">
      <c r="A6839" s="1" t="str">
        <f t="shared" si="2016"/>
        <v>卡卡杜-凤凰仓</v>
      </c>
      <c r="B6839" s="1" t="str">
        <f>"CK2024101810093"</f>
        <v>CK2024101810093</v>
      </c>
      <c r="C6839" s="1" t="str">
        <f>"DD2024101815677"</f>
        <v>DD2024101815677</v>
      </c>
      <c r="D6839" s="1" t="str">
        <f>"CK202410189239"</f>
        <v>CK202410189239</v>
      </c>
      <c r="E6839" s="1" t="str">
        <f>"6935145167235978383"</f>
        <v>6935145167235978383</v>
      </c>
      <c r="F6839" s="1" t="str">
        <f t="shared" si="2017"/>
        <v>花都四部-凤凰仓</v>
      </c>
      <c r="G6839" s="1" t="str">
        <f t="shared" si="2021"/>
        <v>卡卡杜个人护理店（抖店）</v>
      </c>
      <c r="H6839" s="1" t="str">
        <f t="shared" si="2018"/>
        <v>正常订单</v>
      </c>
      <c r="I6839" s="1" t="str">
        <f t="shared" si="2019"/>
        <v>已发货</v>
      </c>
      <c r="J6839" s="1" t="str">
        <f t="shared" si="2015"/>
        <v>3</v>
      </c>
      <c r="K6839" s="1">
        <v>3</v>
      </c>
      <c r="L6839" s="1" t="s">
        <v>16</v>
      </c>
      <c r="M6839" s="1" t="str">
        <f>"河北省 石家庄市 长安区 谈固街道"</f>
        <v>河北省 石家庄市 长安区 谈固街道</v>
      </c>
      <c r="N6839" s="1" t="str">
        <f t="shared" si="2020"/>
        <v>凡华云仓-韵达-抖音</v>
      </c>
      <c r="O6839" s="5">
        <v>320177484321094</v>
      </c>
      <c r="P6839" s="6">
        <v>0.28000000000000003</v>
      </c>
      <c r="Q6839" s="11">
        <v>2</v>
      </c>
      <c r="R6839" s="11"/>
      <c r="S6839" s="11"/>
      <c r="T6839" s="11"/>
      <c r="U6839" s="11">
        <f t="shared" si="2014"/>
        <v>2</v>
      </c>
      <c r="W6839">
        <v>2.2000000000000002</v>
      </c>
      <c r="X6839" s="1" t="s">
        <v>16</v>
      </c>
    </row>
    <row r="6840" spans="1:24" x14ac:dyDescent="0.25">
      <c r="A6840" s="1" t="str">
        <f t="shared" si="2016"/>
        <v>卡卡杜-凤凰仓</v>
      </c>
      <c r="B6840" s="1" t="str">
        <f>"CK2024101810094"</f>
        <v>CK2024101810094</v>
      </c>
      <c r="C6840" s="1" t="str">
        <f>"DD2024101815678"</f>
        <v>DD2024101815678</v>
      </c>
      <c r="D6840" s="1" t="str">
        <f>"CK202410189238"</f>
        <v>CK202410189238</v>
      </c>
      <c r="E6840" s="1" t="str">
        <f>"6935143471746455317"</f>
        <v>6935143471746455317</v>
      </c>
      <c r="F6840" s="1" t="str">
        <f t="shared" si="2017"/>
        <v>花都四部-凤凰仓</v>
      </c>
      <c r="G6840" s="1" t="str">
        <f t="shared" si="2021"/>
        <v>卡卡杜个人护理店（抖店）</v>
      </c>
      <c r="H6840" s="1" t="str">
        <f t="shared" si="2018"/>
        <v>正常订单</v>
      </c>
      <c r="I6840" s="1" t="str">
        <f t="shared" si="2019"/>
        <v>已发货</v>
      </c>
      <c r="J6840" s="1" t="str">
        <f t="shared" si="2015"/>
        <v>3</v>
      </c>
      <c r="K6840" s="1">
        <v>3</v>
      </c>
      <c r="L6840" s="1" t="s">
        <v>105</v>
      </c>
      <c r="M6840" s="1" t="str">
        <f>"北京 北京市 大兴区 黄村地区"</f>
        <v>北京 北京市 大兴区 黄村地区</v>
      </c>
      <c r="N6840" s="1" t="str">
        <f t="shared" si="2020"/>
        <v>凡华云仓-韵达-抖音</v>
      </c>
      <c r="O6840" s="5">
        <v>320177484320978</v>
      </c>
      <c r="P6840" s="6">
        <v>0.28000000000000003</v>
      </c>
      <c r="Q6840" s="11">
        <v>2</v>
      </c>
      <c r="R6840" s="11"/>
      <c r="S6840" s="11"/>
      <c r="T6840" s="11"/>
      <c r="U6840" s="11">
        <f t="shared" si="2014"/>
        <v>2</v>
      </c>
      <c r="W6840">
        <v>2.2000000000000002</v>
      </c>
      <c r="X6840" s="1" t="s">
        <v>105</v>
      </c>
    </row>
    <row r="6841" spans="1:24" x14ac:dyDescent="0.25">
      <c r="A6841" s="1" t="str">
        <f t="shared" si="2016"/>
        <v>卡卡杜-凤凰仓</v>
      </c>
      <c r="B6841" s="1" t="str">
        <f>"CK2024101810095"</f>
        <v>CK2024101810095</v>
      </c>
      <c r="C6841" s="1" t="str">
        <f>"DD2024101815679"</f>
        <v>DD2024101815679</v>
      </c>
      <c r="D6841" s="1" t="str">
        <f>"CK202410189237"</f>
        <v>CK202410189237</v>
      </c>
      <c r="E6841" s="1" t="str">
        <f>"6935147416603923718"</f>
        <v>6935147416603923718</v>
      </c>
      <c r="F6841" s="1" t="str">
        <f t="shared" si="2017"/>
        <v>花都四部-凤凰仓</v>
      </c>
      <c r="G6841" s="1" t="str">
        <f t="shared" si="2021"/>
        <v>卡卡杜个人护理店（抖店）</v>
      </c>
      <c r="H6841" s="1" t="str">
        <f t="shared" si="2018"/>
        <v>正常订单</v>
      </c>
      <c r="I6841" s="1" t="str">
        <f t="shared" si="2019"/>
        <v>已发货</v>
      </c>
      <c r="J6841" s="1" t="str">
        <f t="shared" si="2015"/>
        <v>3</v>
      </c>
      <c r="K6841" s="1">
        <v>3</v>
      </c>
      <c r="L6841" s="1" t="s">
        <v>80</v>
      </c>
      <c r="M6841" s="1" t="str">
        <f>"河南省 新乡市 延津县 "</f>
        <v xml:space="preserve">河南省 新乡市 延津县 </v>
      </c>
      <c r="N6841" s="1" t="str">
        <f t="shared" si="2020"/>
        <v>凡华云仓-韵达-抖音</v>
      </c>
      <c r="O6841" s="5">
        <v>320177484320873</v>
      </c>
      <c r="P6841" s="6">
        <v>0.28000000000000003</v>
      </c>
      <c r="Q6841" s="11">
        <v>2</v>
      </c>
      <c r="R6841" s="11"/>
      <c r="S6841" s="11"/>
      <c r="T6841" s="11"/>
      <c r="U6841" s="11">
        <f t="shared" si="2014"/>
        <v>2</v>
      </c>
      <c r="W6841">
        <v>2.2000000000000002</v>
      </c>
      <c r="X6841" s="1" t="s">
        <v>80</v>
      </c>
    </row>
    <row r="6842" spans="1:24" x14ac:dyDescent="0.25">
      <c r="A6842" s="1" t="str">
        <f t="shared" si="2016"/>
        <v>卡卡杜-凤凰仓</v>
      </c>
      <c r="B6842" s="1" t="str">
        <f>"CK2024101810096"</f>
        <v>CK2024101810096</v>
      </c>
      <c r="C6842" s="1" t="str">
        <f>"DD2024101815682"</f>
        <v>DD2024101815682</v>
      </c>
      <c r="D6842" s="1" t="str">
        <f>"CK202410189236"</f>
        <v>CK202410189236</v>
      </c>
      <c r="E6842" s="1" t="str">
        <f>"6935147245104993612"</f>
        <v>6935147245104993612</v>
      </c>
      <c r="F6842" s="1" t="str">
        <f t="shared" si="2017"/>
        <v>花都四部-凤凰仓</v>
      </c>
      <c r="G6842" s="1" t="str">
        <f t="shared" si="2021"/>
        <v>卡卡杜个人护理店（抖店）</v>
      </c>
      <c r="H6842" s="1" t="str">
        <f t="shared" si="2018"/>
        <v>正常订单</v>
      </c>
      <c r="I6842" s="1" t="str">
        <f t="shared" si="2019"/>
        <v>已发货</v>
      </c>
      <c r="J6842" s="1" t="str">
        <f t="shared" si="2015"/>
        <v>3</v>
      </c>
      <c r="K6842" s="1">
        <v>3</v>
      </c>
      <c r="L6842" s="1" t="s">
        <v>109</v>
      </c>
      <c r="M6842" s="1" t="str">
        <f>"山西省 长治市 屯留区 麟绛街道"</f>
        <v>山西省 长治市 屯留区 麟绛街道</v>
      </c>
      <c r="N6842" s="1" t="str">
        <f t="shared" si="2020"/>
        <v>凡华云仓-韵达-抖音</v>
      </c>
      <c r="O6842" s="5">
        <v>320177484320770</v>
      </c>
      <c r="P6842" s="6">
        <v>0.28000000000000003</v>
      </c>
      <c r="Q6842" s="11">
        <v>2</v>
      </c>
      <c r="R6842" s="11"/>
      <c r="S6842" s="11"/>
      <c r="T6842" s="11"/>
      <c r="U6842" s="11">
        <f t="shared" si="2014"/>
        <v>2</v>
      </c>
      <c r="W6842">
        <v>2.2000000000000002</v>
      </c>
      <c r="X6842" s="1" t="s">
        <v>109</v>
      </c>
    </row>
    <row r="6843" spans="1:24" x14ac:dyDescent="0.25">
      <c r="A6843" s="1" t="str">
        <f t="shared" si="2016"/>
        <v>卡卡杜-凤凰仓</v>
      </c>
      <c r="B6843" s="1" t="str">
        <f>"CK2024101810147"</f>
        <v>CK2024101810147</v>
      </c>
      <c r="C6843" s="1" t="str">
        <f>"DD2024101815731"</f>
        <v>DD2024101815731</v>
      </c>
      <c r="D6843" s="1" t="str">
        <f>"CK202410189235"</f>
        <v>CK202410189235</v>
      </c>
      <c r="E6843" s="1" t="str">
        <f>"6935162777314989314"</f>
        <v>6935162777314989314</v>
      </c>
      <c r="F6843" s="1" t="str">
        <f t="shared" si="2017"/>
        <v>花都四部-凤凰仓</v>
      </c>
      <c r="G6843" s="1" t="str">
        <f t="shared" si="2021"/>
        <v>卡卡杜个人护理店（抖店）</v>
      </c>
      <c r="H6843" s="1" t="str">
        <f t="shared" si="2018"/>
        <v>正常订单</v>
      </c>
      <c r="I6843" s="1" t="str">
        <f t="shared" si="2019"/>
        <v>已发货</v>
      </c>
      <c r="J6843" s="1" t="str">
        <f t="shared" si="2015"/>
        <v>3</v>
      </c>
      <c r="K6843" s="1">
        <v>3</v>
      </c>
      <c r="L6843" s="1" t="s">
        <v>92</v>
      </c>
      <c r="M6843" s="1" t="str">
        <f>"辽宁省 沈阳市 浑南区 白塔街道"</f>
        <v>辽宁省 沈阳市 浑南区 白塔街道</v>
      </c>
      <c r="N6843" s="1" t="str">
        <f t="shared" si="2020"/>
        <v>凡华云仓-韵达-抖音</v>
      </c>
      <c r="O6843" s="5">
        <v>320177484320669</v>
      </c>
      <c r="P6843" s="6">
        <v>0.28000000000000003</v>
      </c>
      <c r="Q6843" s="11">
        <v>2</v>
      </c>
      <c r="R6843" s="11"/>
      <c r="S6843" s="11"/>
      <c r="T6843" s="11"/>
      <c r="U6843" s="11">
        <f t="shared" si="2014"/>
        <v>2</v>
      </c>
      <c r="W6843">
        <v>2.2000000000000002</v>
      </c>
      <c r="X6843" s="1" t="s">
        <v>92</v>
      </c>
    </row>
    <row r="6844" spans="1:24" x14ac:dyDescent="0.25">
      <c r="A6844" s="1" t="str">
        <f t="shared" si="2016"/>
        <v>卡卡杜-凤凰仓</v>
      </c>
      <c r="B6844" s="1" t="str">
        <f>"CK2024101810092"</f>
        <v>CK2024101810092</v>
      </c>
      <c r="C6844" s="1" t="str">
        <f>"DD2024101815676"</f>
        <v>DD2024101815676</v>
      </c>
      <c r="D6844" s="1" t="str">
        <f>"CK202410189234"</f>
        <v>CK202410189234</v>
      </c>
      <c r="E6844" s="1" t="str">
        <f>"6935167381358384199"</f>
        <v>6935167381358384199</v>
      </c>
      <c r="F6844" s="1" t="str">
        <f t="shared" si="2017"/>
        <v>花都四部-凤凰仓</v>
      </c>
      <c r="G6844" s="1" t="str">
        <f t="shared" si="2021"/>
        <v>卡卡杜个人护理店（抖店）</v>
      </c>
      <c r="H6844" s="1" t="str">
        <f t="shared" si="2018"/>
        <v>正常订单</v>
      </c>
      <c r="I6844" s="1" t="str">
        <f t="shared" si="2019"/>
        <v>已发货</v>
      </c>
      <c r="J6844" s="1" t="str">
        <f t="shared" si="2015"/>
        <v>3</v>
      </c>
      <c r="K6844" s="1">
        <v>3</v>
      </c>
      <c r="L6844" s="1" t="s">
        <v>74</v>
      </c>
      <c r="M6844" s="1" t="str">
        <f>"上海 上海市 青浦区 重固镇"</f>
        <v>上海 上海市 青浦区 重固镇</v>
      </c>
      <c r="N6844" s="1" t="str">
        <f t="shared" si="2020"/>
        <v>凡华云仓-韵达-抖音</v>
      </c>
      <c r="O6844" s="5">
        <v>320177484320570</v>
      </c>
      <c r="P6844" s="6">
        <v>0.28000000000000003</v>
      </c>
      <c r="Q6844" s="11">
        <v>2</v>
      </c>
      <c r="R6844" s="11"/>
      <c r="S6844" s="11"/>
      <c r="T6844" s="11"/>
      <c r="U6844" s="11">
        <f t="shared" si="2014"/>
        <v>2</v>
      </c>
      <c r="W6844">
        <v>2.2000000000000002</v>
      </c>
      <c r="X6844" s="1" t="s">
        <v>74</v>
      </c>
    </row>
    <row r="6845" spans="1:24" x14ac:dyDescent="0.25">
      <c r="A6845" s="1" t="str">
        <f t="shared" si="2016"/>
        <v>卡卡杜-凤凰仓</v>
      </c>
      <c r="B6845" s="1" t="str">
        <f>"CK2024101810097"</f>
        <v>CK2024101810097</v>
      </c>
      <c r="C6845" s="1" t="str">
        <f>"DD2024101815680"</f>
        <v>DD2024101815680</v>
      </c>
      <c r="D6845" s="1" t="str">
        <f>"CK202410189233"</f>
        <v>CK202410189233</v>
      </c>
      <c r="E6845" s="1" t="str">
        <f>"6935158224095483655"</f>
        <v>6935158224095483655</v>
      </c>
      <c r="F6845" s="1" t="str">
        <f t="shared" si="2017"/>
        <v>花都四部-凤凰仓</v>
      </c>
      <c r="G6845" s="1" t="str">
        <f t="shared" si="2021"/>
        <v>卡卡杜个人护理店（抖店）</v>
      </c>
      <c r="H6845" s="1" t="str">
        <f t="shared" si="2018"/>
        <v>正常订单</v>
      </c>
      <c r="I6845" s="1" t="str">
        <f t="shared" si="2019"/>
        <v>已发货</v>
      </c>
      <c r="J6845" s="1" t="str">
        <f t="shared" si="2015"/>
        <v>3</v>
      </c>
      <c r="K6845" s="1">
        <v>3</v>
      </c>
      <c r="L6845" s="1" t="s">
        <v>22</v>
      </c>
      <c r="M6845" s="1" t="str">
        <f>"江西省 上饶市 横峰县 "</f>
        <v xml:space="preserve">江西省 上饶市 横峰县 </v>
      </c>
      <c r="N6845" s="1" t="str">
        <f t="shared" si="2020"/>
        <v>凡华云仓-韵达-抖音</v>
      </c>
      <c r="O6845" s="5">
        <v>320177470878355</v>
      </c>
      <c r="P6845" s="6">
        <v>0.28000000000000003</v>
      </c>
      <c r="Q6845" s="11">
        <v>2</v>
      </c>
      <c r="R6845" s="11"/>
      <c r="S6845" s="11"/>
      <c r="T6845" s="11"/>
      <c r="U6845" s="11">
        <f t="shared" si="2014"/>
        <v>2</v>
      </c>
      <c r="W6845">
        <v>2.2000000000000002</v>
      </c>
      <c r="X6845" s="1" t="s">
        <v>22</v>
      </c>
    </row>
    <row r="6846" spans="1:24" x14ac:dyDescent="0.25">
      <c r="A6846" s="1" t="str">
        <f t="shared" si="2016"/>
        <v>卡卡杜-凤凰仓</v>
      </c>
      <c r="B6846" s="1" t="str">
        <f>"CK2024101810098"</f>
        <v>CK2024101810098</v>
      </c>
      <c r="C6846" s="1" t="str">
        <f>"DD2024101815681"</f>
        <v>DD2024101815681</v>
      </c>
      <c r="D6846" s="1" t="str">
        <f>"CK202410189232"</f>
        <v>CK202410189232</v>
      </c>
      <c r="E6846" s="1" t="str">
        <f>"6935145169240986826"</f>
        <v>6935145169240986826</v>
      </c>
      <c r="F6846" s="1" t="str">
        <f t="shared" si="2017"/>
        <v>花都四部-凤凰仓</v>
      </c>
      <c r="G6846" s="1" t="str">
        <f t="shared" si="2021"/>
        <v>卡卡杜个人护理店（抖店）</v>
      </c>
      <c r="H6846" s="1" t="str">
        <f t="shared" si="2018"/>
        <v>正常订单</v>
      </c>
      <c r="I6846" s="1" t="str">
        <f t="shared" si="2019"/>
        <v>已发货</v>
      </c>
      <c r="J6846" s="1" t="str">
        <f t="shared" si="2015"/>
        <v>3</v>
      </c>
      <c r="K6846" s="1">
        <v>3</v>
      </c>
      <c r="L6846" s="1" t="s">
        <v>30</v>
      </c>
      <c r="M6846" s="1" t="str">
        <f>"山东省 泰安市 岱岳区 粥店街道"</f>
        <v>山东省 泰安市 岱岳区 粥店街道</v>
      </c>
      <c r="N6846" s="1" t="str">
        <f t="shared" si="2020"/>
        <v>凡华云仓-韵达-抖音</v>
      </c>
      <c r="O6846" s="5">
        <v>320177470878262</v>
      </c>
      <c r="P6846" s="6">
        <v>0.28000000000000003</v>
      </c>
      <c r="Q6846" s="11">
        <v>2</v>
      </c>
      <c r="R6846" s="11"/>
      <c r="S6846" s="11"/>
      <c r="T6846" s="11"/>
      <c r="U6846" s="11">
        <f t="shared" si="2014"/>
        <v>2</v>
      </c>
      <c r="W6846">
        <v>2.2000000000000002</v>
      </c>
      <c r="X6846" s="1" t="s">
        <v>30</v>
      </c>
    </row>
    <row r="6847" spans="1:24" x14ac:dyDescent="0.25">
      <c r="A6847" s="1" t="str">
        <f t="shared" si="2016"/>
        <v>卡卡杜-凤凰仓</v>
      </c>
      <c r="B6847" s="1" t="str">
        <f>"CK2024101810099"</f>
        <v>CK2024101810099</v>
      </c>
      <c r="C6847" s="1" t="str">
        <f>"DD2024101815683"</f>
        <v>DD2024101815683</v>
      </c>
      <c r="D6847" s="1" t="str">
        <f>"CK202410189231"</f>
        <v>CK202410189231</v>
      </c>
      <c r="E6847" s="1" t="str">
        <f>"6935145200648656549"</f>
        <v>6935145200648656549</v>
      </c>
      <c r="F6847" s="1" t="str">
        <f t="shared" si="2017"/>
        <v>花都四部-凤凰仓</v>
      </c>
      <c r="G6847" s="1" t="str">
        <f t="shared" si="2021"/>
        <v>卡卡杜个人护理店（抖店）</v>
      </c>
      <c r="H6847" s="1" t="str">
        <f t="shared" si="2018"/>
        <v>正常订单</v>
      </c>
      <c r="I6847" s="1" t="str">
        <f t="shared" si="2019"/>
        <v>已发货</v>
      </c>
      <c r="J6847" s="1" t="str">
        <f t="shared" si="2015"/>
        <v>3</v>
      </c>
      <c r="K6847" s="1">
        <v>3</v>
      </c>
      <c r="L6847" s="1" t="s">
        <v>74</v>
      </c>
      <c r="M6847" s="1" t="str">
        <f>"上海 上海市 金山区 石化街道"</f>
        <v>上海 上海市 金山区 石化街道</v>
      </c>
      <c r="N6847" s="1" t="str">
        <f t="shared" si="2020"/>
        <v>凡华云仓-韵达-抖音</v>
      </c>
      <c r="O6847" s="5">
        <v>320177470878171</v>
      </c>
      <c r="P6847" s="6">
        <v>0.28000000000000003</v>
      </c>
      <c r="Q6847" s="11">
        <v>2</v>
      </c>
      <c r="R6847" s="11"/>
      <c r="S6847" s="11"/>
      <c r="T6847" s="11"/>
      <c r="U6847" s="11">
        <f t="shared" si="2014"/>
        <v>2</v>
      </c>
      <c r="W6847">
        <v>2.2000000000000002</v>
      </c>
      <c r="X6847" s="1" t="s">
        <v>74</v>
      </c>
    </row>
    <row r="6848" spans="1:24" x14ac:dyDescent="0.25">
      <c r="A6848" s="1" t="str">
        <f t="shared" si="2016"/>
        <v>卡卡杜-凤凰仓</v>
      </c>
      <c r="B6848" s="1" t="str">
        <f>"CK2024101810100"</f>
        <v>CK2024101810100</v>
      </c>
      <c r="C6848" s="1" t="str">
        <f>"DD2024101815684"</f>
        <v>DD2024101815684</v>
      </c>
      <c r="D6848" s="1" t="str">
        <f>"CK202410189230"</f>
        <v>CK202410189230</v>
      </c>
      <c r="E6848" s="1" t="str">
        <f>"6935147295595304378"</f>
        <v>6935147295595304378</v>
      </c>
      <c r="F6848" s="1" t="str">
        <f t="shared" si="2017"/>
        <v>花都四部-凤凰仓</v>
      </c>
      <c r="G6848" s="1" t="str">
        <f t="shared" si="2021"/>
        <v>卡卡杜个人护理店（抖店）</v>
      </c>
      <c r="H6848" s="1" t="str">
        <f t="shared" si="2018"/>
        <v>正常订单</v>
      </c>
      <c r="I6848" s="1" t="str">
        <f t="shared" si="2019"/>
        <v>已发货</v>
      </c>
      <c r="J6848" s="1" t="str">
        <f t="shared" si="2015"/>
        <v>3</v>
      </c>
      <c r="K6848" s="1">
        <v>3</v>
      </c>
      <c r="L6848" s="1" t="s">
        <v>16</v>
      </c>
      <c r="M6848" s="1" t="str">
        <f>"河北省 沧州市 新华区 小赵庄乡"</f>
        <v>河北省 沧州市 新华区 小赵庄乡</v>
      </c>
      <c r="N6848" s="1" t="str">
        <f t="shared" si="2020"/>
        <v>凡华云仓-韵达-抖音</v>
      </c>
      <c r="O6848" s="5">
        <v>320177470878082</v>
      </c>
      <c r="P6848" s="6">
        <v>0.28000000000000003</v>
      </c>
      <c r="Q6848" s="11">
        <v>2</v>
      </c>
      <c r="R6848" s="11"/>
      <c r="S6848" s="11"/>
      <c r="T6848" s="11"/>
      <c r="U6848" s="11">
        <f t="shared" si="2014"/>
        <v>2</v>
      </c>
      <c r="W6848">
        <v>2.2000000000000002</v>
      </c>
      <c r="X6848" s="1" t="s">
        <v>16</v>
      </c>
    </row>
    <row r="6849" spans="1:24" x14ac:dyDescent="0.25">
      <c r="A6849" s="1" t="str">
        <f t="shared" si="2016"/>
        <v>卡卡杜-凤凰仓</v>
      </c>
      <c r="B6849" s="1" t="str">
        <f>"CK2024101810101"</f>
        <v>CK2024101810101</v>
      </c>
      <c r="C6849" s="1" t="str">
        <f>"DD2024101815685"</f>
        <v>DD2024101815685</v>
      </c>
      <c r="D6849" s="1" t="str">
        <f>"CK202410189229"</f>
        <v>CK202410189229</v>
      </c>
      <c r="E6849" s="1" t="str">
        <f>"6935165074005170139"</f>
        <v>6935165074005170139</v>
      </c>
      <c r="F6849" s="1" t="str">
        <f t="shared" si="2017"/>
        <v>花都四部-凤凰仓</v>
      </c>
      <c r="G6849" s="1" t="str">
        <f t="shared" si="2021"/>
        <v>卡卡杜个人护理店（抖店）</v>
      </c>
      <c r="H6849" s="1" t="str">
        <f t="shared" si="2018"/>
        <v>正常订单</v>
      </c>
      <c r="I6849" s="1" t="str">
        <f t="shared" si="2019"/>
        <v>已发货</v>
      </c>
      <c r="J6849" s="1" t="str">
        <f t="shared" si="2015"/>
        <v>3</v>
      </c>
      <c r="K6849" s="1">
        <v>3</v>
      </c>
      <c r="L6849" s="1" t="s">
        <v>109</v>
      </c>
      <c r="M6849" s="1" t="str">
        <f>"山西省 临汾市 尧都区 南街街道"</f>
        <v>山西省 临汾市 尧都区 南街街道</v>
      </c>
      <c r="N6849" s="1" t="str">
        <f t="shared" si="2020"/>
        <v>凡华云仓-韵达-抖音</v>
      </c>
      <c r="O6849" s="5">
        <v>320177470877952</v>
      </c>
      <c r="P6849" s="6">
        <v>0.28000000000000003</v>
      </c>
      <c r="Q6849" s="11">
        <v>2</v>
      </c>
      <c r="R6849" s="11"/>
      <c r="S6849" s="11"/>
      <c r="T6849" s="11"/>
      <c r="U6849" s="11">
        <f t="shared" si="2014"/>
        <v>2</v>
      </c>
      <c r="W6849">
        <v>2.2000000000000002</v>
      </c>
      <c r="X6849" s="1" t="s">
        <v>109</v>
      </c>
    </row>
    <row r="6850" spans="1:24" x14ac:dyDescent="0.25">
      <c r="A6850" s="1" t="str">
        <f t="shared" si="2016"/>
        <v>卡卡杜-凤凰仓</v>
      </c>
      <c r="B6850" s="1" t="str">
        <f>"CK2024101810103"</f>
        <v>CK2024101810103</v>
      </c>
      <c r="C6850" s="1" t="str">
        <f>"DD2024101815686"</f>
        <v>DD2024101815686</v>
      </c>
      <c r="D6850" s="1" t="str">
        <f>"CK202410189228"</f>
        <v>CK202410189228</v>
      </c>
      <c r="E6850" s="1" t="str">
        <f>"6935143467453585336"</f>
        <v>6935143467453585336</v>
      </c>
      <c r="F6850" s="1" t="str">
        <f t="shared" si="2017"/>
        <v>花都四部-凤凰仓</v>
      </c>
      <c r="G6850" s="1" t="str">
        <f t="shared" si="2021"/>
        <v>卡卡杜个人护理店（抖店）</v>
      </c>
      <c r="H6850" s="1" t="str">
        <f t="shared" si="2018"/>
        <v>正常订单</v>
      </c>
      <c r="I6850" s="1" t="str">
        <f t="shared" si="2019"/>
        <v>已发货</v>
      </c>
      <c r="J6850" s="1" t="str">
        <f t="shared" si="2015"/>
        <v>3</v>
      </c>
      <c r="K6850" s="1">
        <v>3</v>
      </c>
      <c r="L6850" s="1" t="s">
        <v>22</v>
      </c>
      <c r="M6850" s="1" t="str">
        <f>"江西省 宜春市 袁州区 官园街道"</f>
        <v>江西省 宜春市 袁州区 官园街道</v>
      </c>
      <c r="N6850" s="1" t="str">
        <f t="shared" si="2020"/>
        <v>凡华云仓-韵达-抖音</v>
      </c>
      <c r="O6850" s="5">
        <v>320177470877847</v>
      </c>
      <c r="P6850" s="6">
        <v>0.28000000000000003</v>
      </c>
      <c r="Q6850" s="11">
        <v>2</v>
      </c>
      <c r="R6850" s="11"/>
      <c r="S6850" s="11"/>
      <c r="T6850" s="11"/>
      <c r="U6850" s="11">
        <f t="shared" si="2014"/>
        <v>2</v>
      </c>
      <c r="W6850">
        <v>2.2000000000000002</v>
      </c>
      <c r="X6850" s="1" t="s">
        <v>22</v>
      </c>
    </row>
    <row r="6851" spans="1:24" x14ac:dyDescent="0.25">
      <c r="A6851" s="1" t="str">
        <f t="shared" si="2016"/>
        <v>卡卡杜-凤凰仓</v>
      </c>
      <c r="B6851" s="1" t="str">
        <f>"CK2024101810105"</f>
        <v>CK2024101810105</v>
      </c>
      <c r="C6851" s="1" t="str">
        <f>"DD2024101815688"</f>
        <v>DD2024101815688</v>
      </c>
      <c r="D6851" s="1" t="str">
        <f>"CK202410189227"</f>
        <v>CK202410189227</v>
      </c>
      <c r="E6851" s="1" t="str">
        <f>"6935167431993267432"</f>
        <v>6935167431993267432</v>
      </c>
      <c r="F6851" s="1" t="str">
        <f t="shared" si="2017"/>
        <v>花都四部-凤凰仓</v>
      </c>
      <c r="G6851" s="1" t="str">
        <f t="shared" si="2021"/>
        <v>卡卡杜个人护理店（抖店）</v>
      </c>
      <c r="H6851" s="1" t="str">
        <f t="shared" si="2018"/>
        <v>正常订单</v>
      </c>
      <c r="I6851" s="1" t="str">
        <f t="shared" si="2019"/>
        <v>已发货</v>
      </c>
      <c r="J6851" s="1" t="str">
        <f t="shared" si="2015"/>
        <v>3</v>
      </c>
      <c r="K6851" s="1">
        <v>3</v>
      </c>
      <c r="L6851" s="1" t="s">
        <v>92</v>
      </c>
      <c r="M6851" s="1" t="str">
        <f>"辽宁省 大连市 甘井子区 椒金山街道"</f>
        <v>辽宁省 大连市 甘井子区 椒金山街道</v>
      </c>
      <c r="N6851" s="1" t="str">
        <f t="shared" si="2020"/>
        <v>凡华云仓-韵达-抖音</v>
      </c>
      <c r="O6851" s="5">
        <v>320177470877744</v>
      </c>
      <c r="P6851" s="6">
        <v>0.28000000000000003</v>
      </c>
      <c r="Q6851" s="11">
        <v>2</v>
      </c>
      <c r="R6851" s="11"/>
      <c r="S6851" s="11"/>
      <c r="T6851" s="11"/>
      <c r="U6851" s="11">
        <f t="shared" ref="U6851:U6914" si="2022">T6851+S6851+R6851+Q6851</f>
        <v>2</v>
      </c>
      <c r="W6851">
        <v>2.2000000000000002</v>
      </c>
      <c r="X6851" s="1" t="s">
        <v>92</v>
      </c>
    </row>
    <row r="6852" spans="1:24" x14ac:dyDescent="0.25">
      <c r="A6852" s="1" t="str">
        <f t="shared" si="2016"/>
        <v>卡卡杜-凤凰仓</v>
      </c>
      <c r="B6852" s="1" t="str">
        <f>"CK2024101810104"</f>
        <v>CK2024101810104</v>
      </c>
      <c r="C6852" s="1" t="str">
        <f>"DD2024101815690"</f>
        <v>DD2024101815690</v>
      </c>
      <c r="D6852" s="1" t="str">
        <f>"CK202410189226"</f>
        <v>CK202410189226</v>
      </c>
      <c r="E6852" s="1" t="str">
        <f>"6935143341710513213"</f>
        <v>6935143341710513213</v>
      </c>
      <c r="F6852" s="1" t="str">
        <f t="shared" si="2017"/>
        <v>花都四部-凤凰仓</v>
      </c>
      <c r="G6852" s="1" t="str">
        <f t="shared" si="2021"/>
        <v>卡卡杜个人护理店（抖店）</v>
      </c>
      <c r="H6852" s="1" t="str">
        <f t="shared" si="2018"/>
        <v>正常订单</v>
      </c>
      <c r="I6852" s="1" t="str">
        <f t="shared" si="2019"/>
        <v>已发货</v>
      </c>
      <c r="J6852" s="1" t="str">
        <f t="shared" ref="J6852:J6904" si="2023">"3"</f>
        <v>3</v>
      </c>
      <c r="K6852" s="1">
        <v>3</v>
      </c>
      <c r="L6852" s="1" t="s">
        <v>13</v>
      </c>
      <c r="M6852" s="1" t="str">
        <f>"江苏省 无锡市 宜兴市 屺亭街道"</f>
        <v>江苏省 无锡市 宜兴市 屺亭街道</v>
      </c>
      <c r="N6852" s="1" t="str">
        <f t="shared" si="2020"/>
        <v>凡华云仓-韵达-抖音</v>
      </c>
      <c r="O6852" s="5">
        <v>320177470877643</v>
      </c>
      <c r="P6852" s="6">
        <v>0.28000000000000003</v>
      </c>
      <c r="Q6852" s="11">
        <v>2</v>
      </c>
      <c r="R6852" s="11"/>
      <c r="S6852" s="11"/>
      <c r="T6852" s="11"/>
      <c r="U6852" s="11">
        <f t="shared" si="2022"/>
        <v>2</v>
      </c>
      <c r="W6852">
        <v>2.2000000000000002</v>
      </c>
      <c r="X6852" s="1" t="s">
        <v>13</v>
      </c>
    </row>
    <row r="6853" spans="1:24" x14ac:dyDescent="0.25">
      <c r="A6853" s="1" t="str">
        <f t="shared" ref="A6853:A6916" si="2024">"卡卡杜-凤凰仓"</f>
        <v>卡卡杜-凤凰仓</v>
      </c>
      <c r="B6853" s="1" t="str">
        <f>"CK2024101810107"</f>
        <v>CK2024101810107</v>
      </c>
      <c r="C6853" s="1" t="str">
        <f>"DD2024101815691"</f>
        <v>DD2024101815691</v>
      </c>
      <c r="D6853" s="1" t="str">
        <f>"CK202410189225"</f>
        <v>CK202410189225</v>
      </c>
      <c r="E6853" s="1" t="str">
        <f>"6935171869625226486"</f>
        <v>6935171869625226486</v>
      </c>
      <c r="F6853" s="1" t="str">
        <f t="shared" ref="F6853:F6916" si="2025">"花都四部-凤凰仓"</f>
        <v>花都四部-凤凰仓</v>
      </c>
      <c r="G6853" s="1" t="str">
        <f t="shared" si="2021"/>
        <v>卡卡杜个人护理店（抖店）</v>
      </c>
      <c r="H6853" s="1" t="str">
        <f t="shared" ref="H6853:H6916" si="2026">"正常订单"</f>
        <v>正常订单</v>
      </c>
      <c r="I6853" s="1" t="str">
        <f t="shared" ref="I6853:I6916" si="2027">"已发货"</f>
        <v>已发货</v>
      </c>
      <c r="J6853" s="1" t="str">
        <f t="shared" si="2023"/>
        <v>3</v>
      </c>
      <c r="K6853" s="1">
        <v>3</v>
      </c>
      <c r="L6853" s="1" t="s">
        <v>13</v>
      </c>
      <c r="M6853" s="1" t="str">
        <f>"江苏省 徐州市 新沂市 新安街道"</f>
        <v>江苏省 徐州市 新沂市 新安街道</v>
      </c>
      <c r="N6853" s="1" t="str">
        <f t="shared" si="2020"/>
        <v>凡华云仓-韵达-抖音</v>
      </c>
      <c r="O6853" s="5">
        <v>320177470877544</v>
      </c>
      <c r="P6853" s="6">
        <v>0.28000000000000003</v>
      </c>
      <c r="Q6853" s="11">
        <v>2</v>
      </c>
      <c r="R6853" s="11"/>
      <c r="S6853" s="11"/>
      <c r="T6853" s="11"/>
      <c r="U6853" s="11">
        <f t="shared" si="2022"/>
        <v>2</v>
      </c>
      <c r="W6853">
        <v>2.2000000000000002</v>
      </c>
      <c r="X6853" s="1" t="s">
        <v>13</v>
      </c>
    </row>
    <row r="6854" spans="1:24" x14ac:dyDescent="0.25">
      <c r="A6854" s="1" t="str">
        <f t="shared" si="2024"/>
        <v>卡卡杜-凤凰仓</v>
      </c>
      <c r="B6854" s="1" t="str">
        <f>"CK2024101810108"</f>
        <v>CK2024101810108</v>
      </c>
      <c r="C6854" s="1" t="str">
        <f>"DD2024101815692"</f>
        <v>DD2024101815692</v>
      </c>
      <c r="D6854" s="1" t="str">
        <f>"CK202410189224"</f>
        <v>CK202410189224</v>
      </c>
      <c r="E6854" s="1" t="str">
        <f>"6935151469217716184"</f>
        <v>6935151469217716184</v>
      </c>
      <c r="F6854" s="1" t="str">
        <f t="shared" si="2025"/>
        <v>花都四部-凤凰仓</v>
      </c>
      <c r="G6854" s="1" t="str">
        <f t="shared" si="2021"/>
        <v>卡卡杜个人护理店（抖店）</v>
      </c>
      <c r="H6854" s="1" t="str">
        <f t="shared" si="2026"/>
        <v>正常订单</v>
      </c>
      <c r="I6854" s="1" t="str">
        <f t="shared" si="2027"/>
        <v>已发货</v>
      </c>
      <c r="J6854" s="1" t="str">
        <f t="shared" si="2023"/>
        <v>3</v>
      </c>
      <c r="K6854" s="1">
        <v>3</v>
      </c>
      <c r="L6854" s="1" t="s">
        <v>27</v>
      </c>
      <c r="M6854" s="1" t="str">
        <f>"贵州省 黔东南苗族侗族自治州 凯里市 西门街道"</f>
        <v>贵州省 黔东南苗族侗族自治州 凯里市 西门街道</v>
      </c>
      <c r="N6854" s="1" t="str">
        <f t="shared" si="2020"/>
        <v>凡华云仓-韵达-抖音</v>
      </c>
      <c r="O6854" s="5">
        <v>320177470877447</v>
      </c>
      <c r="P6854" s="6">
        <v>0.28000000000000003</v>
      </c>
      <c r="Q6854" s="11">
        <v>2</v>
      </c>
      <c r="R6854" s="11"/>
      <c r="S6854" s="11"/>
      <c r="T6854" s="11"/>
      <c r="U6854" s="11">
        <f t="shared" si="2022"/>
        <v>2</v>
      </c>
      <c r="W6854">
        <v>2.2000000000000002</v>
      </c>
      <c r="X6854" s="1" t="s">
        <v>27</v>
      </c>
    </row>
    <row r="6855" spans="1:24" x14ac:dyDescent="0.25">
      <c r="A6855" s="1" t="str">
        <f t="shared" si="2024"/>
        <v>卡卡杜-凤凰仓</v>
      </c>
      <c r="B6855" s="1" t="str">
        <f>"CK2024101810109"</f>
        <v>CK2024101810109</v>
      </c>
      <c r="C6855" s="1" t="str">
        <f>"DD2024101815693"</f>
        <v>DD2024101815693</v>
      </c>
      <c r="D6855" s="1" t="str">
        <f>"CK202410189223"</f>
        <v>CK202410189223</v>
      </c>
      <c r="E6855" s="1" t="str">
        <f>"6918022833745788001"</f>
        <v>6918022833745788001</v>
      </c>
      <c r="F6855" s="1" t="str">
        <f t="shared" si="2025"/>
        <v>花都四部-凤凰仓</v>
      </c>
      <c r="G6855" s="1" t="str">
        <f t="shared" si="2021"/>
        <v>卡卡杜个人护理店（抖店）</v>
      </c>
      <c r="H6855" s="1" t="str">
        <f t="shared" si="2026"/>
        <v>正常订单</v>
      </c>
      <c r="I6855" s="1" t="str">
        <f t="shared" si="2027"/>
        <v>已发货</v>
      </c>
      <c r="J6855" s="1" t="str">
        <f t="shared" si="2023"/>
        <v>3</v>
      </c>
      <c r="K6855" s="1">
        <v>3</v>
      </c>
      <c r="L6855" s="1" t="s">
        <v>18</v>
      </c>
      <c r="M6855" s="1" t="str">
        <f>"广东省 江门市 开平市 水口镇"</f>
        <v>广东省 江门市 开平市 水口镇</v>
      </c>
      <c r="N6855" s="1" t="str">
        <f t="shared" si="2020"/>
        <v>凡华云仓-韵达-抖音</v>
      </c>
      <c r="O6855" s="5">
        <v>320177464923442</v>
      </c>
      <c r="P6855" s="6">
        <v>0.28000000000000003</v>
      </c>
      <c r="Q6855" s="11">
        <v>2</v>
      </c>
      <c r="R6855" s="11"/>
      <c r="S6855" s="11"/>
      <c r="T6855" s="11"/>
      <c r="U6855" s="11">
        <f t="shared" si="2022"/>
        <v>2</v>
      </c>
      <c r="W6855">
        <v>2.2000000000000002</v>
      </c>
      <c r="X6855" s="1" t="s">
        <v>18</v>
      </c>
    </row>
    <row r="6856" spans="1:24" x14ac:dyDescent="0.25">
      <c r="A6856" s="1" t="str">
        <f t="shared" si="2024"/>
        <v>卡卡杜-凤凰仓</v>
      </c>
      <c r="B6856" s="1" t="str">
        <f>"CK2024101810110"</f>
        <v>CK2024101810110</v>
      </c>
      <c r="C6856" s="1" t="str">
        <f>"DD2024101815694"</f>
        <v>DD2024101815694</v>
      </c>
      <c r="D6856" s="1" t="str">
        <f>"CK202410189222"</f>
        <v>CK202410189222</v>
      </c>
      <c r="E6856" s="1" t="str">
        <f>"6935151436012066015"</f>
        <v>6935151436012066015</v>
      </c>
      <c r="F6856" s="1" t="str">
        <f t="shared" si="2025"/>
        <v>花都四部-凤凰仓</v>
      </c>
      <c r="G6856" s="1" t="str">
        <f t="shared" si="2021"/>
        <v>卡卡杜个人护理店（抖店）</v>
      </c>
      <c r="H6856" s="1" t="str">
        <f t="shared" si="2026"/>
        <v>正常订单</v>
      </c>
      <c r="I6856" s="1" t="str">
        <f t="shared" si="2027"/>
        <v>已发货</v>
      </c>
      <c r="J6856" s="1" t="str">
        <f t="shared" si="2023"/>
        <v>3</v>
      </c>
      <c r="K6856" s="1">
        <v>3</v>
      </c>
      <c r="L6856" s="1" t="s">
        <v>22</v>
      </c>
      <c r="M6856" s="1" t="str">
        <f>"江西省 抚州市 广昌县 旴江镇"</f>
        <v>江西省 抚州市 广昌县 旴江镇</v>
      </c>
      <c r="N6856" s="1" t="str">
        <f t="shared" si="2020"/>
        <v>凡华云仓-韵达-抖音</v>
      </c>
      <c r="O6856" s="5">
        <v>320177464923347</v>
      </c>
      <c r="P6856" s="6">
        <v>0.28000000000000003</v>
      </c>
      <c r="Q6856" s="11">
        <v>2</v>
      </c>
      <c r="R6856" s="11"/>
      <c r="S6856" s="11"/>
      <c r="T6856" s="11"/>
      <c r="U6856" s="11">
        <f t="shared" si="2022"/>
        <v>2</v>
      </c>
      <c r="W6856">
        <v>2.2000000000000002</v>
      </c>
      <c r="X6856" s="1" t="s">
        <v>22</v>
      </c>
    </row>
    <row r="6857" spans="1:24" x14ac:dyDescent="0.25">
      <c r="A6857" s="1" t="str">
        <f t="shared" si="2024"/>
        <v>卡卡杜-凤凰仓</v>
      </c>
      <c r="B6857" s="1" t="str">
        <f>"CK2024101810146"</f>
        <v>CK2024101810146</v>
      </c>
      <c r="C6857" s="1" t="str">
        <f>"DD2024101815729"</f>
        <v>DD2024101815729</v>
      </c>
      <c r="D6857" s="1" t="str">
        <f>"CK202410189221"</f>
        <v>CK202410189221</v>
      </c>
      <c r="E6857" s="1" t="str">
        <f>"6935165056294000355"</f>
        <v>6935165056294000355</v>
      </c>
      <c r="F6857" s="1" t="str">
        <f t="shared" si="2025"/>
        <v>花都四部-凤凰仓</v>
      </c>
      <c r="G6857" s="1" t="str">
        <f t="shared" si="2021"/>
        <v>卡卡杜个人护理店（抖店）</v>
      </c>
      <c r="H6857" s="1" t="str">
        <f t="shared" si="2026"/>
        <v>正常订单</v>
      </c>
      <c r="I6857" s="1" t="str">
        <f t="shared" si="2027"/>
        <v>已发货</v>
      </c>
      <c r="J6857" s="1" t="str">
        <f t="shared" si="2023"/>
        <v>3</v>
      </c>
      <c r="K6857" s="1">
        <v>3</v>
      </c>
      <c r="L6857" s="1" t="s">
        <v>13</v>
      </c>
      <c r="M6857" s="1" t="str">
        <f>"江苏省 苏州市 张家港市 张家港经济技术开发区"</f>
        <v>江苏省 苏州市 张家港市 张家港经济技术开发区</v>
      </c>
      <c r="N6857" s="1" t="str">
        <f t="shared" si="2020"/>
        <v>凡华云仓-韵达-抖音</v>
      </c>
      <c r="O6857" s="5">
        <v>320177464923254</v>
      </c>
      <c r="P6857" s="6">
        <v>0.28000000000000003</v>
      </c>
      <c r="Q6857" s="11">
        <v>2</v>
      </c>
      <c r="R6857" s="11"/>
      <c r="S6857" s="11"/>
      <c r="T6857" s="11"/>
      <c r="U6857" s="11">
        <f t="shared" si="2022"/>
        <v>2</v>
      </c>
      <c r="W6857">
        <v>2.2000000000000002</v>
      </c>
      <c r="X6857" s="1" t="s">
        <v>13</v>
      </c>
    </row>
    <row r="6858" spans="1:24" x14ac:dyDescent="0.25">
      <c r="A6858" s="1" t="str">
        <f t="shared" si="2024"/>
        <v>卡卡杜-凤凰仓</v>
      </c>
      <c r="B6858" s="1" t="str">
        <f>"CK2024101810102"</f>
        <v>CK2024101810102</v>
      </c>
      <c r="C6858" s="1" t="str">
        <f>"DD2024101815687"</f>
        <v>DD2024101815687</v>
      </c>
      <c r="D6858" s="1" t="str">
        <f>"CK202410189220"</f>
        <v>CK202410189220</v>
      </c>
      <c r="E6858" s="1" t="str">
        <f>"6935171924180145163"</f>
        <v>6935171924180145163</v>
      </c>
      <c r="F6858" s="1" t="str">
        <f t="shared" si="2025"/>
        <v>花都四部-凤凰仓</v>
      </c>
      <c r="G6858" s="1" t="str">
        <f t="shared" si="2021"/>
        <v>卡卡杜个人护理店（抖店）</v>
      </c>
      <c r="H6858" s="1" t="str">
        <f t="shared" si="2026"/>
        <v>正常订单</v>
      </c>
      <c r="I6858" s="1" t="str">
        <f t="shared" si="2027"/>
        <v>已发货</v>
      </c>
      <c r="J6858" s="1" t="str">
        <f t="shared" si="2023"/>
        <v>3</v>
      </c>
      <c r="K6858" s="1">
        <v>3</v>
      </c>
      <c r="L6858" s="1" t="s">
        <v>22</v>
      </c>
      <c r="M6858" s="1" t="str">
        <f>"江西省 上饶市 鄱阳县 鄱阳镇"</f>
        <v>江西省 上饶市 鄱阳县 鄱阳镇</v>
      </c>
      <c r="N6858" s="1" t="str">
        <f t="shared" si="2020"/>
        <v>凡华云仓-韵达-抖音</v>
      </c>
      <c r="O6858" s="5">
        <v>320177464923163</v>
      </c>
      <c r="P6858" s="6">
        <v>0.28000000000000003</v>
      </c>
      <c r="Q6858" s="11">
        <v>2</v>
      </c>
      <c r="R6858" s="11"/>
      <c r="S6858" s="11"/>
      <c r="T6858" s="11"/>
      <c r="U6858" s="11">
        <f t="shared" si="2022"/>
        <v>2</v>
      </c>
      <c r="W6858">
        <v>2.2000000000000002</v>
      </c>
      <c r="X6858" s="1" t="s">
        <v>22</v>
      </c>
    </row>
    <row r="6859" spans="1:24" x14ac:dyDescent="0.25">
      <c r="A6859" s="1" t="str">
        <f t="shared" si="2024"/>
        <v>卡卡杜-凤凰仓</v>
      </c>
      <c r="B6859" s="1" t="str">
        <f>"CK2024101810106"</f>
        <v>CK2024101810106</v>
      </c>
      <c r="C6859" s="1" t="str">
        <f>"DD2024101815689"</f>
        <v>DD2024101815689</v>
      </c>
      <c r="D6859" s="1" t="str">
        <f>"CK202410189219"</f>
        <v>CK202410189219</v>
      </c>
      <c r="E6859" s="1" t="str">
        <f>"6935169738891793964"</f>
        <v>6935169738891793964</v>
      </c>
      <c r="F6859" s="1" t="str">
        <f t="shared" si="2025"/>
        <v>花都四部-凤凰仓</v>
      </c>
      <c r="G6859" s="1" t="str">
        <f t="shared" si="2021"/>
        <v>卡卡杜个人护理店（抖店）</v>
      </c>
      <c r="H6859" s="1" t="str">
        <f t="shared" si="2026"/>
        <v>正常订单</v>
      </c>
      <c r="I6859" s="1" t="str">
        <f t="shared" si="2027"/>
        <v>已发货</v>
      </c>
      <c r="J6859" s="1" t="str">
        <f t="shared" si="2023"/>
        <v>3</v>
      </c>
      <c r="K6859" s="1">
        <v>3</v>
      </c>
      <c r="L6859" s="1" t="s">
        <v>109</v>
      </c>
      <c r="M6859" s="1" t="str">
        <f>"山西省 太原市 迎泽区 庙前街道"</f>
        <v>山西省 太原市 迎泽区 庙前街道</v>
      </c>
      <c r="N6859" s="1" t="str">
        <f t="shared" si="2020"/>
        <v>凡华云仓-韵达-抖音</v>
      </c>
      <c r="O6859" s="5">
        <v>320177464923074</v>
      </c>
      <c r="P6859" s="6">
        <v>0.28000000000000003</v>
      </c>
      <c r="Q6859" s="11">
        <v>2</v>
      </c>
      <c r="R6859" s="11"/>
      <c r="S6859" s="11"/>
      <c r="T6859" s="11"/>
      <c r="U6859" s="11">
        <f t="shared" si="2022"/>
        <v>2</v>
      </c>
      <c r="W6859">
        <v>2.2000000000000002</v>
      </c>
      <c r="X6859" s="1" t="s">
        <v>109</v>
      </c>
    </row>
    <row r="6860" spans="1:24" x14ac:dyDescent="0.25">
      <c r="A6860" s="1" t="str">
        <f t="shared" si="2024"/>
        <v>卡卡杜-凤凰仓</v>
      </c>
      <c r="B6860" s="1" t="str">
        <f>"CK2024101810111"</f>
        <v>CK2024101810111</v>
      </c>
      <c r="C6860" s="1" t="str">
        <f>"DD2024101815695"</f>
        <v>DD2024101815695</v>
      </c>
      <c r="D6860" s="1" t="str">
        <f>"CK202410189218"</f>
        <v>CK202410189218</v>
      </c>
      <c r="E6860" s="1" t="str">
        <f>"6935153800000247311"</f>
        <v>6935153800000247311</v>
      </c>
      <c r="F6860" s="1" t="str">
        <f t="shared" si="2025"/>
        <v>花都四部-凤凰仓</v>
      </c>
      <c r="G6860" s="1" t="str">
        <f t="shared" si="2021"/>
        <v>卡卡杜个人护理店（抖店）</v>
      </c>
      <c r="H6860" s="1" t="str">
        <f t="shared" si="2026"/>
        <v>正常订单</v>
      </c>
      <c r="I6860" s="1" t="str">
        <f t="shared" si="2027"/>
        <v>已发货</v>
      </c>
      <c r="J6860" s="1" t="str">
        <f t="shared" si="2023"/>
        <v>3</v>
      </c>
      <c r="K6860" s="1">
        <v>3</v>
      </c>
      <c r="L6860" s="1" t="s">
        <v>13</v>
      </c>
      <c r="M6860" s="1" t="str">
        <f>"江苏省 常州市 溧阳市 戴埠镇"</f>
        <v>江苏省 常州市 溧阳市 戴埠镇</v>
      </c>
      <c r="N6860" s="1" t="str">
        <f t="shared" si="2020"/>
        <v>凡华云仓-韵达-抖音</v>
      </c>
      <c r="O6860" s="5">
        <v>320177464922954</v>
      </c>
      <c r="P6860" s="6">
        <v>0.28000000000000003</v>
      </c>
      <c r="Q6860" s="11">
        <v>2</v>
      </c>
      <c r="R6860" s="11"/>
      <c r="S6860" s="11"/>
      <c r="T6860" s="11"/>
      <c r="U6860" s="11">
        <f t="shared" si="2022"/>
        <v>2</v>
      </c>
      <c r="W6860">
        <v>2.2000000000000002</v>
      </c>
      <c r="X6860" s="1" t="s">
        <v>13</v>
      </c>
    </row>
    <row r="6861" spans="1:24" x14ac:dyDescent="0.25">
      <c r="A6861" s="1" t="str">
        <f t="shared" si="2024"/>
        <v>卡卡杜-凤凰仓</v>
      </c>
      <c r="B6861" s="1" t="str">
        <f>"CK2024101810112"</f>
        <v>CK2024101810112</v>
      </c>
      <c r="C6861" s="1" t="str">
        <f>"DD2024101815696"</f>
        <v>DD2024101815696</v>
      </c>
      <c r="D6861" s="1" t="str">
        <f>"CK202410189217"</f>
        <v>CK202410189217</v>
      </c>
      <c r="E6861" s="1" t="str">
        <f>"6935149810038347158"</f>
        <v>6935149810038347158</v>
      </c>
      <c r="F6861" s="1" t="str">
        <f t="shared" si="2025"/>
        <v>花都四部-凤凰仓</v>
      </c>
      <c r="G6861" s="1" t="str">
        <f t="shared" si="2021"/>
        <v>卡卡杜个人护理店（抖店）</v>
      </c>
      <c r="H6861" s="1" t="str">
        <f t="shared" si="2026"/>
        <v>正常订单</v>
      </c>
      <c r="I6861" s="1" t="str">
        <f t="shared" si="2027"/>
        <v>已发货</v>
      </c>
      <c r="J6861" s="1" t="str">
        <f t="shared" si="2023"/>
        <v>3</v>
      </c>
      <c r="K6861" s="1">
        <v>3</v>
      </c>
      <c r="L6861" s="1" t="s">
        <v>13</v>
      </c>
      <c r="M6861" s="1" t="str">
        <f>"江苏省 无锡市 新吴区 鸿山街道"</f>
        <v>江苏省 无锡市 新吴区 鸿山街道</v>
      </c>
      <c r="N6861" s="1" t="str">
        <f t="shared" si="2020"/>
        <v>凡华云仓-韵达-抖音</v>
      </c>
      <c r="O6861" s="5">
        <v>320177464922849</v>
      </c>
      <c r="P6861" s="6">
        <v>0.28000000000000003</v>
      </c>
      <c r="Q6861" s="11">
        <v>2</v>
      </c>
      <c r="R6861" s="11"/>
      <c r="S6861" s="11"/>
      <c r="T6861" s="11"/>
      <c r="U6861" s="11">
        <f t="shared" si="2022"/>
        <v>2</v>
      </c>
      <c r="W6861">
        <v>2.2000000000000002</v>
      </c>
      <c r="X6861" s="1" t="s">
        <v>13</v>
      </c>
    </row>
    <row r="6862" spans="1:24" x14ac:dyDescent="0.25">
      <c r="A6862" s="1" t="str">
        <f t="shared" si="2024"/>
        <v>卡卡杜-凤凰仓</v>
      </c>
      <c r="B6862" s="1" t="str">
        <f>"CK2024101810113"</f>
        <v>CK2024101810113</v>
      </c>
      <c r="C6862" s="1" t="str">
        <f>"DD2024101815699"</f>
        <v>DD2024101815699</v>
      </c>
      <c r="D6862" s="1" t="str">
        <f>"CK202410189216"</f>
        <v>CK202410189216</v>
      </c>
      <c r="E6862" s="1" t="str">
        <f>"6918001614516288709"</f>
        <v>6918001614516288709</v>
      </c>
      <c r="F6862" s="1" t="str">
        <f t="shared" si="2025"/>
        <v>花都四部-凤凰仓</v>
      </c>
      <c r="G6862" s="1" t="str">
        <f t="shared" si="2021"/>
        <v>卡卡杜个人护理店（抖店）</v>
      </c>
      <c r="H6862" s="1" t="str">
        <f t="shared" si="2026"/>
        <v>正常订单</v>
      </c>
      <c r="I6862" s="1" t="str">
        <f t="shared" si="2027"/>
        <v>已发货</v>
      </c>
      <c r="J6862" s="1" t="str">
        <f t="shared" si="2023"/>
        <v>3</v>
      </c>
      <c r="K6862" s="1">
        <v>3</v>
      </c>
      <c r="L6862" s="1" t="s">
        <v>109</v>
      </c>
      <c r="M6862" s="1" t="str">
        <f>"山西省 大同市 平城区 水泊寺街道"</f>
        <v>山西省 大同市 平城区 水泊寺街道</v>
      </c>
      <c r="N6862" s="1" t="str">
        <f t="shared" si="2020"/>
        <v>凡华云仓-韵达-抖音</v>
      </c>
      <c r="O6862" s="5">
        <v>320177464922746</v>
      </c>
      <c r="P6862" s="6">
        <v>0.28000000000000003</v>
      </c>
      <c r="Q6862" s="11">
        <v>2</v>
      </c>
      <c r="R6862" s="11"/>
      <c r="S6862" s="11"/>
      <c r="T6862" s="11"/>
      <c r="U6862" s="11">
        <f t="shared" si="2022"/>
        <v>2</v>
      </c>
      <c r="W6862">
        <v>2.2000000000000002</v>
      </c>
      <c r="X6862" s="1" t="s">
        <v>109</v>
      </c>
    </row>
    <row r="6863" spans="1:24" x14ac:dyDescent="0.25">
      <c r="A6863" s="1" t="str">
        <f t="shared" si="2024"/>
        <v>卡卡杜-凤凰仓</v>
      </c>
      <c r="B6863" s="1" t="str">
        <f>"CK2024101810148"</f>
        <v>CK2024101810148</v>
      </c>
      <c r="C6863" s="1" t="str">
        <f>"DD2024101815732"</f>
        <v>DD2024101815732</v>
      </c>
      <c r="D6863" s="1" t="str">
        <f>"CK202410189215"</f>
        <v>CK202410189215</v>
      </c>
      <c r="E6863" s="1" t="str">
        <f>"6935165006674794398"</f>
        <v>6935165006674794398</v>
      </c>
      <c r="F6863" s="1" t="str">
        <f t="shared" si="2025"/>
        <v>花都四部-凤凰仓</v>
      </c>
      <c r="G6863" s="1" t="str">
        <f t="shared" si="2021"/>
        <v>卡卡杜个人护理店（抖店）</v>
      </c>
      <c r="H6863" s="1" t="str">
        <f t="shared" si="2026"/>
        <v>正常订单</v>
      </c>
      <c r="I6863" s="1" t="str">
        <f t="shared" si="2027"/>
        <v>已发货</v>
      </c>
      <c r="J6863" s="1" t="str">
        <f t="shared" si="2023"/>
        <v>3</v>
      </c>
      <c r="K6863" s="1">
        <v>3</v>
      </c>
      <c r="L6863" s="1" t="s">
        <v>36</v>
      </c>
      <c r="M6863" s="1" t="str">
        <f>"安徽省 淮北市 相山区 西街道"</f>
        <v>安徽省 淮北市 相山区 西街道</v>
      </c>
      <c r="N6863" s="1" t="str">
        <f t="shared" si="2020"/>
        <v>凡华云仓-韵达-抖音</v>
      </c>
      <c r="O6863" s="5">
        <v>320177464922645</v>
      </c>
      <c r="P6863" s="6">
        <v>0.28000000000000003</v>
      </c>
      <c r="Q6863" s="11">
        <v>2</v>
      </c>
      <c r="R6863" s="11"/>
      <c r="S6863" s="11"/>
      <c r="T6863" s="11"/>
      <c r="U6863" s="11">
        <f t="shared" si="2022"/>
        <v>2</v>
      </c>
      <c r="W6863">
        <v>2.2000000000000002</v>
      </c>
      <c r="X6863" s="1" t="s">
        <v>36</v>
      </c>
    </row>
    <row r="6864" spans="1:24" x14ac:dyDescent="0.25">
      <c r="A6864" s="1" t="str">
        <f t="shared" si="2024"/>
        <v>卡卡杜-凤凰仓</v>
      </c>
      <c r="B6864" s="1" t="str">
        <f>"CK2024101810114"</f>
        <v>CK2024101810114</v>
      </c>
      <c r="C6864" s="1" t="str">
        <f>"DD2024101815697"</f>
        <v>DD2024101815697</v>
      </c>
      <c r="D6864" s="1" t="str">
        <f>"CK202410189214"</f>
        <v>CK202410189214</v>
      </c>
      <c r="E6864" s="1" t="str">
        <f>"6935160852133188928"</f>
        <v>6935160852133188928</v>
      </c>
      <c r="F6864" s="1" t="str">
        <f t="shared" si="2025"/>
        <v>花都四部-凤凰仓</v>
      </c>
      <c r="G6864" s="1" t="str">
        <f t="shared" si="2021"/>
        <v>卡卡杜个人护理店（抖店）</v>
      </c>
      <c r="H6864" s="1" t="str">
        <f t="shared" si="2026"/>
        <v>正常订单</v>
      </c>
      <c r="I6864" s="1" t="str">
        <f t="shared" si="2027"/>
        <v>已发货</v>
      </c>
      <c r="J6864" s="1" t="str">
        <f t="shared" si="2023"/>
        <v>3</v>
      </c>
      <c r="K6864" s="1">
        <v>3</v>
      </c>
      <c r="L6864" s="1" t="s">
        <v>22</v>
      </c>
      <c r="M6864" s="1" t="str">
        <f>"江西省 上饶市 玉山县 冰溪街道"</f>
        <v>江西省 上饶市 玉山县 冰溪街道</v>
      </c>
      <c r="N6864" s="1" t="str">
        <f t="shared" si="2020"/>
        <v>凡华云仓-韵达-抖音</v>
      </c>
      <c r="O6864" s="5">
        <v>320177464922546</v>
      </c>
      <c r="P6864" s="6">
        <v>0.28000000000000003</v>
      </c>
      <c r="Q6864" s="11">
        <v>2</v>
      </c>
      <c r="R6864" s="11"/>
      <c r="S6864" s="11"/>
      <c r="T6864" s="11"/>
      <c r="U6864" s="11">
        <f t="shared" si="2022"/>
        <v>2</v>
      </c>
      <c r="W6864">
        <v>2.2000000000000002</v>
      </c>
      <c r="X6864" s="1" t="s">
        <v>22</v>
      </c>
    </row>
    <row r="6865" spans="1:24" x14ac:dyDescent="0.25">
      <c r="A6865" s="1" t="str">
        <f t="shared" si="2024"/>
        <v>卡卡杜-凤凰仓</v>
      </c>
      <c r="B6865" s="1" t="str">
        <f>"CK2024101810149"</f>
        <v>CK2024101810149</v>
      </c>
      <c r="C6865" s="1" t="str">
        <f>"DD2024101815733"</f>
        <v>DD2024101815733</v>
      </c>
      <c r="D6865" s="1" t="str">
        <f>"CK202410189213"</f>
        <v>CK202410189213</v>
      </c>
      <c r="E6865" s="1" t="str">
        <f>"6935143508976277201"</f>
        <v>6935143508976277201</v>
      </c>
      <c r="F6865" s="1" t="str">
        <f t="shared" si="2025"/>
        <v>花都四部-凤凰仓</v>
      </c>
      <c r="G6865" s="1" t="str">
        <f t="shared" si="2021"/>
        <v>卡卡杜个人护理店（抖店）</v>
      </c>
      <c r="H6865" s="1" t="str">
        <f t="shared" si="2026"/>
        <v>正常订单</v>
      </c>
      <c r="I6865" s="1" t="str">
        <f t="shared" si="2027"/>
        <v>已发货</v>
      </c>
      <c r="J6865" s="1" t="str">
        <f t="shared" si="2023"/>
        <v>3</v>
      </c>
      <c r="K6865" s="1">
        <v>3</v>
      </c>
      <c r="L6865" s="1" t="s">
        <v>30</v>
      </c>
      <c r="M6865" s="1" t="str">
        <f>"山东省 菏泽市 曹县 磐石街道"</f>
        <v>山东省 菏泽市 曹县 磐石街道</v>
      </c>
      <c r="N6865" s="1" t="str">
        <f t="shared" si="2020"/>
        <v>凡华云仓-韵达-抖音</v>
      </c>
      <c r="O6865" s="5">
        <v>320177484329543</v>
      </c>
      <c r="P6865" s="6">
        <v>0.28000000000000003</v>
      </c>
      <c r="Q6865" s="11">
        <v>2</v>
      </c>
      <c r="R6865" s="11"/>
      <c r="S6865" s="11"/>
      <c r="T6865" s="11"/>
      <c r="U6865" s="11">
        <f t="shared" si="2022"/>
        <v>2</v>
      </c>
      <c r="W6865">
        <v>2.2000000000000002</v>
      </c>
      <c r="X6865" s="1" t="s">
        <v>30</v>
      </c>
    </row>
    <row r="6866" spans="1:24" x14ac:dyDescent="0.25">
      <c r="A6866" s="1" t="str">
        <f t="shared" si="2024"/>
        <v>卡卡杜-凤凰仓</v>
      </c>
      <c r="B6866" s="1" t="str">
        <f>"CK2024101810150"</f>
        <v>CK2024101810150</v>
      </c>
      <c r="C6866" s="1" t="str">
        <f>"DD2024101815734"</f>
        <v>DD2024101815734</v>
      </c>
      <c r="D6866" s="1" t="str">
        <f>"CK202410189212"</f>
        <v>CK202410189212</v>
      </c>
      <c r="E6866" s="1" t="str">
        <f>"6935160607645046233"</f>
        <v>6935160607645046233</v>
      </c>
      <c r="F6866" s="1" t="str">
        <f t="shared" si="2025"/>
        <v>花都四部-凤凰仓</v>
      </c>
      <c r="G6866" s="1" t="str">
        <f t="shared" si="2021"/>
        <v>卡卡杜个人护理店（抖店）</v>
      </c>
      <c r="H6866" s="1" t="str">
        <f t="shared" si="2026"/>
        <v>正常订单</v>
      </c>
      <c r="I6866" s="1" t="str">
        <f t="shared" si="2027"/>
        <v>已发货</v>
      </c>
      <c r="J6866" s="1" t="str">
        <f t="shared" si="2023"/>
        <v>3</v>
      </c>
      <c r="K6866" s="1">
        <v>3</v>
      </c>
      <c r="L6866" s="1" t="s">
        <v>13</v>
      </c>
      <c r="M6866" s="1" t="str">
        <f>"江苏省 盐城市 盐都区 盐渎街道"</f>
        <v>江苏省 盐城市 盐都区 盐渎街道</v>
      </c>
      <c r="N6866" s="1" t="str">
        <f t="shared" si="2020"/>
        <v>凡华云仓-韵达-抖音</v>
      </c>
      <c r="O6866" s="5">
        <v>320177484329446</v>
      </c>
      <c r="P6866" s="6">
        <v>0.28000000000000003</v>
      </c>
      <c r="Q6866" s="11">
        <v>2</v>
      </c>
      <c r="R6866" s="11"/>
      <c r="S6866" s="11"/>
      <c r="T6866" s="11"/>
      <c r="U6866" s="11">
        <f t="shared" si="2022"/>
        <v>2</v>
      </c>
      <c r="W6866">
        <v>2.2000000000000002</v>
      </c>
      <c r="X6866" s="1" t="s">
        <v>13</v>
      </c>
    </row>
    <row r="6867" spans="1:24" x14ac:dyDescent="0.25">
      <c r="A6867" s="1" t="str">
        <f t="shared" si="2024"/>
        <v>卡卡杜-凤凰仓</v>
      </c>
      <c r="B6867" s="1" t="str">
        <f>"CK2024101810151"</f>
        <v>CK2024101810151</v>
      </c>
      <c r="C6867" s="1" t="str">
        <f>"DD2024101815735"</f>
        <v>DD2024101815735</v>
      </c>
      <c r="D6867" s="1" t="str">
        <f>"CK202410189211"</f>
        <v>CK202410189211</v>
      </c>
      <c r="E6867" s="1" t="str">
        <f>"6935165040897628036"</f>
        <v>6935165040897628036</v>
      </c>
      <c r="F6867" s="1" t="str">
        <f t="shared" si="2025"/>
        <v>花都四部-凤凰仓</v>
      </c>
      <c r="G6867" s="1" t="str">
        <f t="shared" si="2021"/>
        <v>卡卡杜个人护理店（抖店）</v>
      </c>
      <c r="H6867" s="1" t="str">
        <f t="shared" si="2026"/>
        <v>正常订单</v>
      </c>
      <c r="I6867" s="1" t="str">
        <f t="shared" si="2027"/>
        <v>已发货</v>
      </c>
      <c r="J6867" s="1" t="str">
        <f t="shared" si="2023"/>
        <v>3</v>
      </c>
      <c r="K6867" s="1">
        <v>3</v>
      </c>
      <c r="L6867" s="1" t="s">
        <v>24</v>
      </c>
      <c r="M6867" s="1" t="str">
        <f>"福建省 泉州市 晋江市 池店镇"</f>
        <v>福建省 泉州市 晋江市 池店镇</v>
      </c>
      <c r="N6867" s="1" t="str">
        <f t="shared" si="2020"/>
        <v>凡华云仓-韵达-抖音</v>
      </c>
      <c r="O6867" s="5">
        <v>320177484329351</v>
      </c>
      <c r="P6867" s="6">
        <v>0.28000000000000003</v>
      </c>
      <c r="Q6867" s="11">
        <v>2</v>
      </c>
      <c r="R6867" s="11"/>
      <c r="S6867" s="11"/>
      <c r="T6867" s="11"/>
      <c r="U6867" s="11">
        <f t="shared" si="2022"/>
        <v>2</v>
      </c>
      <c r="W6867">
        <v>2.2000000000000002</v>
      </c>
      <c r="X6867" s="1" t="s">
        <v>24</v>
      </c>
    </row>
    <row r="6868" spans="1:24" x14ac:dyDescent="0.25">
      <c r="A6868" s="1" t="str">
        <f t="shared" si="2024"/>
        <v>卡卡杜-凤凰仓</v>
      </c>
      <c r="B6868" s="1" t="str">
        <f>"CK2024101810115"</f>
        <v>CK2024101810115</v>
      </c>
      <c r="C6868" s="1" t="str">
        <f>"DD2024101815698"</f>
        <v>DD2024101815698</v>
      </c>
      <c r="D6868" s="1" t="str">
        <f>"CK202410189210"</f>
        <v>CK202410189210</v>
      </c>
      <c r="E6868" s="1" t="str">
        <f>"6935158308717925513"</f>
        <v>6935158308717925513</v>
      </c>
      <c r="F6868" s="1" t="str">
        <f t="shared" si="2025"/>
        <v>花都四部-凤凰仓</v>
      </c>
      <c r="G6868" s="1" t="str">
        <f t="shared" si="2021"/>
        <v>卡卡杜个人护理店（抖店）</v>
      </c>
      <c r="H6868" s="1" t="str">
        <f t="shared" si="2026"/>
        <v>正常订单</v>
      </c>
      <c r="I6868" s="1" t="str">
        <f t="shared" si="2027"/>
        <v>已发货</v>
      </c>
      <c r="J6868" s="1" t="str">
        <f t="shared" si="2023"/>
        <v>3</v>
      </c>
      <c r="K6868" s="1">
        <v>3</v>
      </c>
      <c r="L6868" s="1" t="s">
        <v>30</v>
      </c>
      <c r="M6868" s="1" t="str">
        <f>"山东省 烟台市 芝罘区 幸福街道"</f>
        <v>山东省 烟台市 芝罘区 幸福街道</v>
      </c>
      <c r="N6868" s="1" t="str">
        <f t="shared" si="2020"/>
        <v>凡华云仓-韵达-抖音</v>
      </c>
      <c r="O6868" s="5">
        <v>320177484329258</v>
      </c>
      <c r="P6868" s="6">
        <v>0.28000000000000003</v>
      </c>
      <c r="Q6868" s="11">
        <v>2</v>
      </c>
      <c r="R6868" s="11"/>
      <c r="S6868" s="11"/>
      <c r="T6868" s="11"/>
      <c r="U6868" s="11">
        <f t="shared" si="2022"/>
        <v>2</v>
      </c>
      <c r="W6868">
        <v>2.2000000000000002</v>
      </c>
      <c r="X6868" s="1" t="s">
        <v>30</v>
      </c>
    </row>
    <row r="6869" spans="1:24" x14ac:dyDescent="0.25">
      <c r="A6869" s="1" t="str">
        <f t="shared" si="2024"/>
        <v>卡卡杜-凤凰仓</v>
      </c>
      <c r="B6869" s="1" t="str">
        <f>"CK2024101810116"</f>
        <v>CK2024101810116</v>
      </c>
      <c r="C6869" s="1" t="str">
        <f>"DD2024101815700"</f>
        <v>DD2024101815700</v>
      </c>
      <c r="D6869" s="1" t="str">
        <f>"CK202410189209"</f>
        <v>CK202410189209</v>
      </c>
      <c r="E6869" s="1" t="str">
        <f>"6935145273951917182"</f>
        <v>6935145273951917182</v>
      </c>
      <c r="F6869" s="1" t="str">
        <f t="shared" si="2025"/>
        <v>花都四部-凤凰仓</v>
      </c>
      <c r="G6869" s="1" t="str">
        <f t="shared" si="2021"/>
        <v>卡卡杜个人护理店（抖店）</v>
      </c>
      <c r="H6869" s="1" t="str">
        <f t="shared" si="2026"/>
        <v>正常订单</v>
      </c>
      <c r="I6869" s="1" t="str">
        <f t="shared" si="2027"/>
        <v>已发货</v>
      </c>
      <c r="J6869" s="1" t="str">
        <f t="shared" si="2023"/>
        <v>3</v>
      </c>
      <c r="K6869" s="1">
        <v>3</v>
      </c>
      <c r="L6869" s="1" t="s">
        <v>13</v>
      </c>
      <c r="M6869" s="1" t="str">
        <f>"江苏省 徐州市 沛县 "</f>
        <v xml:space="preserve">江苏省 徐州市 沛县 </v>
      </c>
      <c r="N6869" s="1" t="str">
        <f t="shared" si="2020"/>
        <v>凡华云仓-韵达-抖音</v>
      </c>
      <c r="O6869" s="5">
        <v>320177484329167</v>
      </c>
      <c r="P6869" s="6">
        <v>0.28000000000000003</v>
      </c>
      <c r="Q6869" s="11">
        <v>2</v>
      </c>
      <c r="R6869" s="11"/>
      <c r="S6869" s="11"/>
      <c r="T6869" s="11"/>
      <c r="U6869" s="11">
        <f t="shared" si="2022"/>
        <v>2</v>
      </c>
      <c r="W6869">
        <v>2.2000000000000002</v>
      </c>
      <c r="X6869" s="1" t="s">
        <v>13</v>
      </c>
    </row>
    <row r="6870" spans="1:24" x14ac:dyDescent="0.25">
      <c r="A6870" s="1" t="str">
        <f t="shared" si="2024"/>
        <v>卡卡杜-凤凰仓</v>
      </c>
      <c r="B6870" s="1" t="str">
        <f>"CK2024101810117"</f>
        <v>CK2024101810117</v>
      </c>
      <c r="C6870" s="1" t="str">
        <f>"DD2024101815701"</f>
        <v>DD2024101815701</v>
      </c>
      <c r="D6870" s="1" t="str">
        <f>"CK202410189208"</f>
        <v>CK202410189208</v>
      </c>
      <c r="E6870" s="1" t="str">
        <f>"6935167427723072894"</f>
        <v>6935167427723072894</v>
      </c>
      <c r="F6870" s="1" t="str">
        <f t="shared" si="2025"/>
        <v>花都四部-凤凰仓</v>
      </c>
      <c r="G6870" s="1" t="str">
        <f t="shared" si="2021"/>
        <v>卡卡杜个人护理店（抖店）</v>
      </c>
      <c r="H6870" s="1" t="str">
        <f t="shared" si="2026"/>
        <v>正常订单</v>
      </c>
      <c r="I6870" s="1" t="str">
        <f t="shared" si="2027"/>
        <v>已发货</v>
      </c>
      <c r="J6870" s="1" t="str">
        <f t="shared" si="2023"/>
        <v>3</v>
      </c>
      <c r="K6870" s="1">
        <v>3</v>
      </c>
      <c r="L6870" s="1" t="s">
        <v>32</v>
      </c>
      <c r="M6870" s="1" t="str">
        <f>"陕西省 渭南市 临渭区 崇业路街道"</f>
        <v>陕西省 渭南市 临渭区 崇业路街道</v>
      </c>
      <c r="N6870" s="1" t="str">
        <f t="shared" si="2020"/>
        <v>凡华云仓-韵达-抖音</v>
      </c>
      <c r="O6870" s="5">
        <v>320177484329078</v>
      </c>
      <c r="P6870" s="6">
        <v>0.28000000000000003</v>
      </c>
      <c r="Q6870" s="11">
        <v>2</v>
      </c>
      <c r="R6870" s="11"/>
      <c r="S6870" s="11"/>
      <c r="T6870" s="11"/>
      <c r="U6870" s="11">
        <f t="shared" si="2022"/>
        <v>2</v>
      </c>
      <c r="W6870">
        <v>2.2000000000000002</v>
      </c>
      <c r="X6870" s="1" t="s">
        <v>32</v>
      </c>
    </row>
    <row r="6871" spans="1:24" x14ac:dyDescent="0.25">
      <c r="A6871" s="1" t="str">
        <f t="shared" si="2024"/>
        <v>卡卡杜-凤凰仓</v>
      </c>
      <c r="B6871" s="1" t="str">
        <f>"CK2024101810153"</f>
        <v>CK2024101810153</v>
      </c>
      <c r="C6871" s="1" t="str">
        <f>"DD2024101815737"</f>
        <v>DD2024101815737</v>
      </c>
      <c r="D6871" s="1" t="str">
        <f>"CK202410189207"</f>
        <v>CK202410189207</v>
      </c>
      <c r="E6871" s="1" t="str">
        <f>"6935165031553046237"</f>
        <v>6935165031553046237</v>
      </c>
      <c r="F6871" s="1" t="str">
        <f t="shared" si="2025"/>
        <v>花都四部-凤凰仓</v>
      </c>
      <c r="G6871" s="1" t="str">
        <f t="shared" si="2021"/>
        <v>卡卡杜个人护理店（抖店）</v>
      </c>
      <c r="H6871" s="1" t="str">
        <f t="shared" si="2026"/>
        <v>正常订单</v>
      </c>
      <c r="I6871" s="1" t="str">
        <f t="shared" si="2027"/>
        <v>已发货</v>
      </c>
      <c r="J6871" s="1" t="str">
        <f t="shared" si="2023"/>
        <v>3</v>
      </c>
      <c r="K6871" s="1">
        <v>3</v>
      </c>
      <c r="L6871" s="1" t="s">
        <v>218</v>
      </c>
      <c r="M6871" s="1" t="str">
        <f>"天津 天津市 滨海新区 胡家园街道"</f>
        <v>天津 天津市 滨海新区 胡家园街道</v>
      </c>
      <c r="N6871" s="1" t="str">
        <f t="shared" si="2020"/>
        <v>凡华云仓-韵达-抖音</v>
      </c>
      <c r="O6871" s="5">
        <v>320177484328946</v>
      </c>
      <c r="P6871" s="6">
        <v>0.28000000000000003</v>
      </c>
      <c r="Q6871" s="11">
        <v>2</v>
      </c>
      <c r="R6871" s="11"/>
      <c r="S6871" s="11"/>
      <c r="T6871" s="11"/>
      <c r="U6871" s="11">
        <f t="shared" si="2022"/>
        <v>2</v>
      </c>
      <c r="W6871">
        <v>2.2000000000000002</v>
      </c>
      <c r="X6871" s="1" t="s">
        <v>218</v>
      </c>
    </row>
    <row r="6872" spans="1:24" x14ac:dyDescent="0.25">
      <c r="A6872" s="1" t="str">
        <f t="shared" si="2024"/>
        <v>卡卡杜-凤凰仓</v>
      </c>
      <c r="B6872" s="1" t="str">
        <f>"CK2024101810118"</f>
        <v>CK2024101810118</v>
      </c>
      <c r="C6872" s="1" t="str">
        <f>"DD2024101815702"</f>
        <v>DD2024101815702</v>
      </c>
      <c r="D6872" s="1" t="str">
        <f>"CK202410189206"</f>
        <v>CK202410189206</v>
      </c>
      <c r="E6872" s="1" t="str">
        <f>"6935149867332605037"</f>
        <v>6935149867332605037</v>
      </c>
      <c r="F6872" s="1" t="str">
        <f t="shared" si="2025"/>
        <v>花都四部-凤凰仓</v>
      </c>
      <c r="G6872" s="1" t="str">
        <f t="shared" si="2021"/>
        <v>卡卡杜个人护理店（抖店）</v>
      </c>
      <c r="H6872" s="1" t="str">
        <f t="shared" si="2026"/>
        <v>正常订单</v>
      </c>
      <c r="I6872" s="1" t="str">
        <f t="shared" si="2027"/>
        <v>已发货</v>
      </c>
      <c r="J6872" s="1" t="str">
        <f t="shared" si="2023"/>
        <v>3</v>
      </c>
      <c r="K6872" s="1">
        <v>3</v>
      </c>
      <c r="L6872" s="1" t="s">
        <v>18</v>
      </c>
      <c r="M6872" s="1" t="str">
        <f>"广东省 广州市 白云区 白云湖街道"</f>
        <v>广东省 广州市 白云区 白云湖街道</v>
      </c>
      <c r="N6872" s="1" t="str">
        <f t="shared" si="2020"/>
        <v>凡华云仓-韵达-抖音</v>
      </c>
      <c r="O6872" s="5">
        <v>320177484328841</v>
      </c>
      <c r="P6872" s="6">
        <v>0.28000000000000003</v>
      </c>
      <c r="Q6872" s="11">
        <v>2</v>
      </c>
      <c r="R6872" s="11"/>
      <c r="S6872" s="11"/>
      <c r="T6872" s="11"/>
      <c r="U6872" s="11">
        <f t="shared" si="2022"/>
        <v>2</v>
      </c>
      <c r="W6872">
        <v>2.2000000000000002</v>
      </c>
      <c r="X6872" s="1" t="s">
        <v>18</v>
      </c>
    </row>
    <row r="6873" spans="1:24" x14ac:dyDescent="0.25">
      <c r="A6873" s="1" t="str">
        <f t="shared" si="2024"/>
        <v>卡卡杜-凤凰仓</v>
      </c>
      <c r="B6873" s="1" t="str">
        <f>"CK2024101810152"</f>
        <v>CK2024101810152</v>
      </c>
      <c r="C6873" s="1" t="str">
        <f>"DD2024101815736"</f>
        <v>DD2024101815736</v>
      </c>
      <c r="D6873" s="1" t="str">
        <f>"CK202410189205"</f>
        <v>CK202410189205</v>
      </c>
      <c r="E6873" s="1" t="str">
        <f>"6935167397024175860"</f>
        <v>6935167397024175860</v>
      </c>
      <c r="F6873" s="1" t="str">
        <f t="shared" si="2025"/>
        <v>花都四部-凤凰仓</v>
      </c>
      <c r="G6873" s="1" t="str">
        <f t="shared" si="2021"/>
        <v>卡卡杜个人护理店（抖店）</v>
      </c>
      <c r="H6873" s="1" t="str">
        <f t="shared" si="2026"/>
        <v>正常订单</v>
      </c>
      <c r="I6873" s="1" t="str">
        <f t="shared" si="2027"/>
        <v>已发货</v>
      </c>
      <c r="J6873" s="1" t="str">
        <f t="shared" si="2023"/>
        <v>3</v>
      </c>
      <c r="K6873" s="1">
        <v>3</v>
      </c>
      <c r="L6873" s="1" t="s">
        <v>80</v>
      </c>
      <c r="M6873" s="1" t="str">
        <f>"河南省 郑州市 二七区 长江路街道"</f>
        <v>河南省 郑州市 二七区 长江路街道</v>
      </c>
      <c r="N6873" s="1" t="str">
        <f t="shared" si="2020"/>
        <v>凡华云仓-韵达-抖音</v>
      </c>
      <c r="O6873" s="5">
        <v>320177484328738</v>
      </c>
      <c r="P6873" s="6">
        <v>0.28000000000000003</v>
      </c>
      <c r="Q6873" s="11">
        <v>2</v>
      </c>
      <c r="R6873" s="11"/>
      <c r="S6873" s="11"/>
      <c r="T6873" s="11"/>
      <c r="U6873" s="11">
        <f t="shared" si="2022"/>
        <v>2</v>
      </c>
      <c r="W6873">
        <v>2.2000000000000002</v>
      </c>
      <c r="X6873" s="1" t="s">
        <v>80</v>
      </c>
    </row>
    <row r="6874" spans="1:24" x14ac:dyDescent="0.25">
      <c r="A6874" s="1" t="str">
        <f t="shared" si="2024"/>
        <v>卡卡杜-凤凰仓</v>
      </c>
      <c r="B6874" s="1" t="str">
        <f>"CK2024101810154"</f>
        <v>CK2024101810154</v>
      </c>
      <c r="C6874" s="1" t="str">
        <f>"DD2024101815738"</f>
        <v>DD2024101815738</v>
      </c>
      <c r="D6874" s="1" t="str">
        <f>"CK202410189204"</f>
        <v>CK202410189204</v>
      </c>
      <c r="E6874" s="1" t="str">
        <f>"6935151280845821643"</f>
        <v>6935151280845821643</v>
      </c>
      <c r="F6874" s="1" t="str">
        <f t="shared" si="2025"/>
        <v>花都四部-凤凰仓</v>
      </c>
      <c r="G6874" s="1" t="str">
        <f t="shared" si="2021"/>
        <v>卡卡杜个人护理店（抖店）</v>
      </c>
      <c r="H6874" s="1" t="str">
        <f t="shared" si="2026"/>
        <v>正常订单</v>
      </c>
      <c r="I6874" s="1" t="str">
        <f t="shared" si="2027"/>
        <v>已发货</v>
      </c>
      <c r="J6874" s="1" t="str">
        <f t="shared" si="2023"/>
        <v>3</v>
      </c>
      <c r="K6874" s="1">
        <v>3</v>
      </c>
      <c r="L6874" s="1" t="s">
        <v>36</v>
      </c>
      <c r="M6874" s="1" t="str">
        <f>"安徽省 合肥市 蜀山区 蜀山区城区"</f>
        <v>安徽省 合肥市 蜀山区 蜀山区城区</v>
      </c>
      <c r="N6874" s="1" t="str">
        <f t="shared" si="2020"/>
        <v>凡华云仓-韵达-抖音</v>
      </c>
      <c r="O6874" s="5">
        <v>320177484328637</v>
      </c>
      <c r="P6874" s="6">
        <v>0.28000000000000003</v>
      </c>
      <c r="Q6874" s="11">
        <v>2</v>
      </c>
      <c r="R6874" s="11"/>
      <c r="S6874" s="11"/>
      <c r="T6874" s="11"/>
      <c r="U6874" s="11">
        <f t="shared" si="2022"/>
        <v>2</v>
      </c>
      <c r="W6874">
        <v>2.2000000000000002</v>
      </c>
      <c r="X6874" s="1" t="s">
        <v>36</v>
      </c>
    </row>
    <row r="6875" spans="1:24" x14ac:dyDescent="0.25">
      <c r="A6875" s="1" t="str">
        <f t="shared" si="2024"/>
        <v>卡卡杜-凤凰仓</v>
      </c>
      <c r="B6875" s="1" t="str">
        <f>"CK2024101810155"</f>
        <v>CK2024101810155</v>
      </c>
      <c r="C6875" s="1" t="str">
        <f>"DD2024101815739"</f>
        <v>DD2024101815739</v>
      </c>
      <c r="D6875" s="1" t="str">
        <f>"CK202410189203"</f>
        <v>CK202410189203</v>
      </c>
      <c r="E6875" s="1" t="str">
        <f>"6935171950697780887"</f>
        <v>6935171950697780887</v>
      </c>
      <c r="F6875" s="1" t="str">
        <f t="shared" si="2025"/>
        <v>花都四部-凤凰仓</v>
      </c>
      <c r="G6875" s="1" t="str">
        <f t="shared" si="2021"/>
        <v>卡卡杜个人护理店（抖店）</v>
      </c>
      <c r="H6875" s="1" t="str">
        <f t="shared" si="2026"/>
        <v>正常订单</v>
      </c>
      <c r="I6875" s="1" t="str">
        <f t="shared" si="2027"/>
        <v>已发货</v>
      </c>
      <c r="J6875" s="1" t="str">
        <f t="shared" si="2023"/>
        <v>3</v>
      </c>
      <c r="K6875" s="1">
        <v>3</v>
      </c>
      <c r="L6875" s="1" t="s">
        <v>27</v>
      </c>
      <c r="M6875" s="1" t="str">
        <f>"贵州省 黔西南布依族苗族自治州 兴义市 桔山街道"</f>
        <v>贵州省 黔西南布依族苗族自治州 兴义市 桔山街道</v>
      </c>
      <c r="N6875" s="1" t="str">
        <f t="shared" si="2020"/>
        <v>凡华云仓-韵达-抖音</v>
      </c>
      <c r="O6875" s="5">
        <v>320177484324441</v>
      </c>
      <c r="P6875" s="6">
        <v>0.28000000000000003</v>
      </c>
      <c r="Q6875" s="11">
        <v>2</v>
      </c>
      <c r="R6875" s="11"/>
      <c r="S6875" s="11"/>
      <c r="T6875" s="11"/>
      <c r="U6875" s="11">
        <f t="shared" si="2022"/>
        <v>2</v>
      </c>
      <c r="W6875">
        <v>2.2000000000000002</v>
      </c>
      <c r="X6875" s="1" t="s">
        <v>27</v>
      </c>
    </row>
    <row r="6876" spans="1:24" x14ac:dyDescent="0.25">
      <c r="A6876" s="1" t="str">
        <f t="shared" si="2024"/>
        <v>卡卡杜-凤凰仓</v>
      </c>
      <c r="B6876" s="1" t="str">
        <f>"CK2024101810119"</f>
        <v>CK2024101810119</v>
      </c>
      <c r="C6876" s="1" t="str">
        <f>"DD2024101815704"</f>
        <v>DD2024101815704</v>
      </c>
      <c r="D6876" s="1" t="str">
        <f>"CK202410189202"</f>
        <v>CK202410189202</v>
      </c>
      <c r="E6876" s="1" t="str">
        <f>"6935167463732221462"</f>
        <v>6935167463732221462</v>
      </c>
      <c r="F6876" s="1" t="str">
        <f t="shared" si="2025"/>
        <v>花都四部-凤凰仓</v>
      </c>
      <c r="G6876" s="1" t="str">
        <f t="shared" si="2021"/>
        <v>卡卡杜个人护理店（抖店）</v>
      </c>
      <c r="H6876" s="1" t="str">
        <f t="shared" si="2026"/>
        <v>正常订单</v>
      </c>
      <c r="I6876" s="1" t="str">
        <f t="shared" si="2027"/>
        <v>已发货</v>
      </c>
      <c r="J6876" s="1" t="str">
        <f t="shared" si="2023"/>
        <v>3</v>
      </c>
      <c r="K6876" s="1">
        <v>3</v>
      </c>
      <c r="L6876" s="1" t="s">
        <v>161</v>
      </c>
      <c r="M6876" s="1" t="str">
        <f>"四川省 广安市 广安区 枣山街道"</f>
        <v>四川省 广安市 广安区 枣山街道</v>
      </c>
      <c r="N6876" s="1" t="str">
        <f t="shared" si="2020"/>
        <v>凡华云仓-韵达-抖音</v>
      </c>
      <c r="O6876" s="5">
        <v>320177484324346</v>
      </c>
      <c r="P6876" s="6">
        <v>0.28000000000000003</v>
      </c>
      <c r="Q6876" s="11">
        <v>2</v>
      </c>
      <c r="R6876" s="11"/>
      <c r="S6876" s="11"/>
      <c r="T6876" s="11"/>
      <c r="U6876" s="11">
        <f t="shared" si="2022"/>
        <v>2</v>
      </c>
      <c r="W6876">
        <v>2.2000000000000002</v>
      </c>
      <c r="X6876" s="1" t="s">
        <v>161</v>
      </c>
    </row>
    <row r="6877" spans="1:24" x14ac:dyDescent="0.25">
      <c r="A6877" s="1" t="str">
        <f t="shared" si="2024"/>
        <v>卡卡杜-凤凰仓</v>
      </c>
      <c r="B6877" s="1" t="str">
        <f>"CK2024101810122"</f>
        <v>CK2024101810122</v>
      </c>
      <c r="C6877" s="1" t="str">
        <f>"DD2024101815703"</f>
        <v>DD2024101815703</v>
      </c>
      <c r="D6877" s="1" t="str">
        <f>"CK202410189201"</f>
        <v>CK202410189201</v>
      </c>
      <c r="E6877" s="1" t="str">
        <f>"6935167469006886025"</f>
        <v>6935167469006886025</v>
      </c>
      <c r="F6877" s="1" t="str">
        <f t="shared" si="2025"/>
        <v>花都四部-凤凰仓</v>
      </c>
      <c r="G6877" s="1" t="str">
        <f t="shared" si="2021"/>
        <v>卡卡杜个人护理店（抖店）</v>
      </c>
      <c r="H6877" s="1" t="str">
        <f t="shared" si="2026"/>
        <v>正常订单</v>
      </c>
      <c r="I6877" s="1" t="str">
        <f t="shared" si="2027"/>
        <v>已发货</v>
      </c>
      <c r="J6877" s="1" t="str">
        <f t="shared" si="2023"/>
        <v>3</v>
      </c>
      <c r="K6877" s="1">
        <v>3</v>
      </c>
      <c r="L6877" s="1" t="s">
        <v>74</v>
      </c>
      <c r="M6877" s="1" t="str">
        <f>"上海 上海市 松江区 车墩镇"</f>
        <v>上海 上海市 松江区 车墩镇</v>
      </c>
      <c r="N6877" s="1" t="str">
        <f t="shared" si="2020"/>
        <v>凡华云仓-韵达-抖音</v>
      </c>
      <c r="O6877" s="5">
        <v>320177484324253</v>
      </c>
      <c r="P6877" s="6">
        <v>0.28000000000000003</v>
      </c>
      <c r="Q6877" s="11">
        <v>2</v>
      </c>
      <c r="R6877" s="11"/>
      <c r="S6877" s="11"/>
      <c r="T6877" s="11"/>
      <c r="U6877" s="11">
        <f t="shared" si="2022"/>
        <v>2</v>
      </c>
      <c r="W6877">
        <v>2.2000000000000002</v>
      </c>
      <c r="X6877" s="1" t="s">
        <v>74</v>
      </c>
    </row>
    <row r="6878" spans="1:24" x14ac:dyDescent="0.25">
      <c r="A6878" s="1" t="str">
        <f t="shared" si="2024"/>
        <v>卡卡杜-凤凰仓</v>
      </c>
      <c r="B6878" s="1" t="str">
        <f>"CK2024101810120"</f>
        <v>CK2024101810120</v>
      </c>
      <c r="C6878" s="1" t="str">
        <f>"DD2024101815705"</f>
        <v>DD2024101815705</v>
      </c>
      <c r="D6878" s="1" t="str">
        <f>"CK202410189200"</f>
        <v>CK202410189200</v>
      </c>
      <c r="E6878" s="1" t="str">
        <f>"6935140952968075129"</f>
        <v>6935140952968075129</v>
      </c>
      <c r="F6878" s="1" t="str">
        <f t="shared" si="2025"/>
        <v>花都四部-凤凰仓</v>
      </c>
      <c r="G6878" s="1" t="str">
        <f t="shared" si="2021"/>
        <v>卡卡杜个人护理店（抖店）</v>
      </c>
      <c r="H6878" s="1" t="str">
        <f t="shared" si="2026"/>
        <v>正常订单</v>
      </c>
      <c r="I6878" s="1" t="str">
        <f t="shared" si="2027"/>
        <v>已发货</v>
      </c>
      <c r="J6878" s="1" t="str">
        <f t="shared" si="2023"/>
        <v>3</v>
      </c>
      <c r="K6878" s="1">
        <v>3</v>
      </c>
      <c r="L6878" s="1" t="s">
        <v>161</v>
      </c>
      <c r="M6878" s="1" t="str">
        <f>"四川省 成都市 郫都区 犀浦街道"</f>
        <v>四川省 成都市 郫都区 犀浦街道</v>
      </c>
      <c r="N6878" s="1" t="str">
        <f t="shared" si="2020"/>
        <v>凡华云仓-韵达-抖音</v>
      </c>
      <c r="O6878" s="5">
        <v>320177484324162</v>
      </c>
      <c r="P6878" s="6">
        <v>0.28000000000000003</v>
      </c>
      <c r="Q6878" s="11">
        <v>2</v>
      </c>
      <c r="R6878" s="11"/>
      <c r="S6878" s="11"/>
      <c r="T6878" s="11"/>
      <c r="U6878" s="11">
        <f t="shared" si="2022"/>
        <v>2</v>
      </c>
      <c r="W6878">
        <v>2.2000000000000002</v>
      </c>
      <c r="X6878" s="1" t="s">
        <v>161</v>
      </c>
    </row>
    <row r="6879" spans="1:24" x14ac:dyDescent="0.25">
      <c r="A6879" s="1" t="str">
        <f t="shared" si="2024"/>
        <v>卡卡杜-凤凰仓</v>
      </c>
      <c r="B6879" s="1" t="str">
        <f>"CK2024101810121"</f>
        <v>CK2024101810121</v>
      </c>
      <c r="C6879" s="1" t="str">
        <f>"DD2024101815706"</f>
        <v>DD2024101815706</v>
      </c>
      <c r="D6879" s="1" t="str">
        <f>"CK202410189199"</f>
        <v>CK202410189199</v>
      </c>
      <c r="E6879" s="1" t="str">
        <f>"6935141004039821019"</f>
        <v>6935141004039821019</v>
      </c>
      <c r="F6879" s="1" t="str">
        <f t="shared" si="2025"/>
        <v>花都四部-凤凰仓</v>
      </c>
      <c r="G6879" s="1" t="str">
        <f t="shared" si="2021"/>
        <v>卡卡杜个人护理店（抖店）</v>
      </c>
      <c r="H6879" s="1" t="str">
        <f t="shared" si="2026"/>
        <v>正常订单</v>
      </c>
      <c r="I6879" s="1" t="str">
        <f t="shared" si="2027"/>
        <v>已发货</v>
      </c>
      <c r="J6879" s="1" t="str">
        <f t="shared" si="2023"/>
        <v>3</v>
      </c>
      <c r="K6879" s="1">
        <v>3</v>
      </c>
      <c r="L6879" s="1" t="s">
        <v>94</v>
      </c>
      <c r="M6879" s="1" t="str">
        <f>"湖南省 益阳市 桃江县 桃花江镇"</f>
        <v>湖南省 益阳市 桃江县 桃花江镇</v>
      </c>
      <c r="N6879" s="1" t="str">
        <f t="shared" si="2020"/>
        <v>凡华云仓-韵达-抖音</v>
      </c>
      <c r="O6879" s="5">
        <v>320177484324073</v>
      </c>
      <c r="P6879" s="6">
        <v>0.28000000000000003</v>
      </c>
      <c r="Q6879" s="11">
        <v>2</v>
      </c>
      <c r="R6879" s="11"/>
      <c r="S6879" s="11"/>
      <c r="T6879" s="11"/>
      <c r="U6879" s="11">
        <f t="shared" si="2022"/>
        <v>2</v>
      </c>
      <c r="W6879">
        <v>2.2000000000000002</v>
      </c>
      <c r="X6879" s="1" t="s">
        <v>94</v>
      </c>
    </row>
    <row r="6880" spans="1:24" x14ac:dyDescent="0.25">
      <c r="A6880" s="1" t="str">
        <f t="shared" si="2024"/>
        <v>卡卡杜-凤凰仓</v>
      </c>
      <c r="B6880" s="1" t="str">
        <f>"CK2024101810123"</f>
        <v>CK2024101810123</v>
      </c>
      <c r="C6880" s="1" t="str">
        <f>"DD2024101815707"</f>
        <v>DD2024101815707</v>
      </c>
      <c r="D6880" s="1" t="str">
        <f>"CK202410189198"</f>
        <v>CK202410189198</v>
      </c>
      <c r="E6880" s="1" t="str">
        <f>"6935158337617663108"</f>
        <v>6935158337617663108</v>
      </c>
      <c r="F6880" s="1" t="str">
        <f t="shared" si="2025"/>
        <v>花都四部-凤凰仓</v>
      </c>
      <c r="G6880" s="1" t="str">
        <f t="shared" si="2021"/>
        <v>卡卡杜个人护理店（抖店）</v>
      </c>
      <c r="H6880" s="1" t="str">
        <f t="shared" si="2026"/>
        <v>正常订单</v>
      </c>
      <c r="I6880" s="1" t="str">
        <f t="shared" si="2027"/>
        <v>已发货</v>
      </c>
      <c r="J6880" s="1" t="str">
        <f t="shared" si="2023"/>
        <v>3</v>
      </c>
      <c r="K6880" s="1">
        <v>3</v>
      </c>
      <c r="L6880" s="1" t="s">
        <v>13</v>
      </c>
      <c r="M6880" s="1" t="str">
        <f>"江苏省 无锡市 江阴市 祝塘镇"</f>
        <v>江苏省 无锡市 江阴市 祝塘镇</v>
      </c>
      <c r="N6880" s="1" t="str">
        <f t="shared" si="2020"/>
        <v>凡华云仓-韵达-抖音</v>
      </c>
      <c r="O6880" s="5">
        <v>320177484323951</v>
      </c>
      <c r="P6880" s="6">
        <v>0.28000000000000003</v>
      </c>
      <c r="Q6880" s="11">
        <v>2</v>
      </c>
      <c r="R6880" s="11"/>
      <c r="S6880" s="11"/>
      <c r="T6880" s="11"/>
      <c r="U6880" s="11">
        <f t="shared" si="2022"/>
        <v>2</v>
      </c>
      <c r="W6880">
        <v>2.2000000000000002</v>
      </c>
      <c r="X6880" s="1" t="s">
        <v>13</v>
      </c>
    </row>
    <row r="6881" spans="1:24" x14ac:dyDescent="0.25">
      <c r="A6881" s="1" t="str">
        <f t="shared" si="2024"/>
        <v>卡卡杜-凤凰仓</v>
      </c>
      <c r="B6881" s="1" t="str">
        <f>"CK2024101810124"</f>
        <v>CK2024101810124</v>
      </c>
      <c r="C6881" s="1" t="str">
        <f>"DD2024101815708"</f>
        <v>DD2024101815708</v>
      </c>
      <c r="D6881" s="1" t="str">
        <f>"CK202410189197"</f>
        <v>CK202410189197</v>
      </c>
      <c r="E6881" s="1" t="str">
        <f>"6935147358569239803"</f>
        <v>6935147358569239803</v>
      </c>
      <c r="F6881" s="1" t="str">
        <f t="shared" si="2025"/>
        <v>花都四部-凤凰仓</v>
      </c>
      <c r="G6881" s="1" t="str">
        <f t="shared" si="2021"/>
        <v>卡卡杜个人护理店（抖店）</v>
      </c>
      <c r="H6881" s="1" t="str">
        <f t="shared" si="2026"/>
        <v>正常订单</v>
      </c>
      <c r="I6881" s="1" t="str">
        <f t="shared" si="2027"/>
        <v>已发货</v>
      </c>
      <c r="J6881" s="1" t="str">
        <f t="shared" si="2023"/>
        <v>3</v>
      </c>
      <c r="K6881" s="1">
        <v>3</v>
      </c>
      <c r="L6881" s="1" t="s">
        <v>32</v>
      </c>
      <c r="M6881" s="1" t="str">
        <f>"陕西省 西安市 雁塔区 曲江街道"</f>
        <v>陕西省 西安市 雁塔区 曲江街道</v>
      </c>
      <c r="N6881" s="1" t="str">
        <f t="shared" si="2020"/>
        <v>凡华云仓-韵达-抖音</v>
      </c>
      <c r="O6881" s="5">
        <v>320177484323846</v>
      </c>
      <c r="P6881" s="6">
        <v>0.28000000000000003</v>
      </c>
      <c r="Q6881" s="11">
        <v>2</v>
      </c>
      <c r="R6881" s="11"/>
      <c r="S6881" s="11"/>
      <c r="T6881" s="11"/>
      <c r="U6881" s="11">
        <f t="shared" si="2022"/>
        <v>2</v>
      </c>
      <c r="W6881">
        <v>2.2000000000000002</v>
      </c>
      <c r="X6881" s="1" t="s">
        <v>32</v>
      </c>
    </row>
    <row r="6882" spans="1:24" x14ac:dyDescent="0.25">
      <c r="A6882" s="1" t="str">
        <f t="shared" si="2024"/>
        <v>卡卡杜-凤凰仓</v>
      </c>
      <c r="B6882" s="1" t="str">
        <f>"CK2024101810125"</f>
        <v>CK2024101810125</v>
      </c>
      <c r="C6882" s="1" t="str">
        <f>"DD2024101815709"</f>
        <v>DD2024101815709</v>
      </c>
      <c r="D6882" s="1" t="str">
        <f>"CK202410189196"</f>
        <v>CK202410189196</v>
      </c>
      <c r="E6882" s="1" t="str">
        <f>"6935145294846170616"</f>
        <v>6935145294846170616</v>
      </c>
      <c r="F6882" s="1" t="str">
        <f t="shared" si="2025"/>
        <v>花都四部-凤凰仓</v>
      </c>
      <c r="G6882" s="1" t="str">
        <f t="shared" si="2021"/>
        <v>卡卡杜个人护理店（抖店）</v>
      </c>
      <c r="H6882" s="1" t="str">
        <f t="shared" si="2026"/>
        <v>正常订单</v>
      </c>
      <c r="I6882" s="1" t="str">
        <f t="shared" si="2027"/>
        <v>已发货</v>
      </c>
      <c r="J6882" s="1" t="str">
        <f t="shared" si="2023"/>
        <v>3</v>
      </c>
      <c r="K6882" s="1">
        <v>3</v>
      </c>
      <c r="L6882" s="1" t="s">
        <v>30</v>
      </c>
      <c r="M6882" s="1" t="str">
        <f>"山东省 青岛市 平度市 东阁街道"</f>
        <v>山东省 青岛市 平度市 东阁街道</v>
      </c>
      <c r="N6882" s="1" t="str">
        <f t="shared" si="2020"/>
        <v>凡华云仓-韵达-抖音</v>
      </c>
      <c r="O6882" s="5">
        <v>320177484323743</v>
      </c>
      <c r="P6882" s="6">
        <v>0.28000000000000003</v>
      </c>
      <c r="Q6882" s="11">
        <v>2</v>
      </c>
      <c r="R6882" s="11"/>
      <c r="S6882" s="11"/>
      <c r="T6882" s="11"/>
      <c r="U6882" s="11">
        <f t="shared" si="2022"/>
        <v>2</v>
      </c>
      <c r="W6882">
        <v>2.2000000000000002</v>
      </c>
      <c r="X6882" s="1" t="s">
        <v>30</v>
      </c>
    </row>
    <row r="6883" spans="1:24" x14ac:dyDescent="0.25">
      <c r="A6883" s="1" t="str">
        <f t="shared" si="2024"/>
        <v>卡卡杜-凤凰仓</v>
      </c>
      <c r="B6883" s="1" t="str">
        <f>"CK2024101810127"</f>
        <v>CK2024101810127</v>
      </c>
      <c r="C6883" s="1" t="str">
        <f>"DD2024101815711"</f>
        <v>DD2024101815711</v>
      </c>
      <c r="D6883" s="1" t="str">
        <f>"CK202410189195"</f>
        <v>CK202410189195</v>
      </c>
      <c r="E6883" s="1" t="str">
        <f>"6935151491316782291"</f>
        <v>6935151491316782291</v>
      </c>
      <c r="F6883" s="1" t="str">
        <f t="shared" si="2025"/>
        <v>花都四部-凤凰仓</v>
      </c>
      <c r="G6883" s="1" t="str">
        <f t="shared" si="2021"/>
        <v>卡卡杜个人护理店（抖店）</v>
      </c>
      <c r="H6883" s="1" t="str">
        <f t="shared" si="2026"/>
        <v>正常订单</v>
      </c>
      <c r="I6883" s="1" t="str">
        <f t="shared" si="2027"/>
        <v>已发货</v>
      </c>
      <c r="J6883" s="1" t="str">
        <f t="shared" si="2023"/>
        <v>3</v>
      </c>
      <c r="K6883" s="1">
        <v>3</v>
      </c>
      <c r="L6883" s="1" t="s">
        <v>13</v>
      </c>
      <c r="M6883" s="1" t="str">
        <f>"江苏省 盐城市 射阳县 合德镇"</f>
        <v>江苏省 盐城市 射阳县 合德镇</v>
      </c>
      <c r="N6883" s="1" t="str">
        <f t="shared" si="2020"/>
        <v>凡华云仓-韵达-抖音</v>
      </c>
      <c r="O6883" s="5">
        <v>320177484323642</v>
      </c>
      <c r="P6883" s="6">
        <v>0.28000000000000003</v>
      </c>
      <c r="Q6883" s="11">
        <v>2</v>
      </c>
      <c r="R6883" s="11"/>
      <c r="S6883" s="11"/>
      <c r="T6883" s="11"/>
      <c r="U6883" s="11">
        <f t="shared" si="2022"/>
        <v>2</v>
      </c>
      <c r="W6883">
        <v>2.2000000000000002</v>
      </c>
      <c r="X6883" s="1" t="s">
        <v>13</v>
      </c>
    </row>
    <row r="6884" spans="1:24" x14ac:dyDescent="0.25">
      <c r="A6884" s="1" t="str">
        <f t="shared" si="2024"/>
        <v>卡卡杜-凤凰仓</v>
      </c>
      <c r="B6884" s="1" t="str">
        <f>"CK2024101810156"</f>
        <v>CK2024101810156</v>
      </c>
      <c r="C6884" s="1" t="str">
        <f>"DD2024101815740"</f>
        <v>DD2024101815740</v>
      </c>
      <c r="D6884" s="1" t="str">
        <f>"CK202410189194"</f>
        <v>CK202410189194</v>
      </c>
      <c r="E6884" s="1" t="str">
        <f>"6935164950652261969"</f>
        <v>6935164950652261969</v>
      </c>
      <c r="F6884" s="1" t="str">
        <f t="shared" si="2025"/>
        <v>花都四部-凤凰仓</v>
      </c>
      <c r="G6884" s="1" t="str">
        <f t="shared" si="2021"/>
        <v>卡卡杜个人护理店（抖店）</v>
      </c>
      <c r="H6884" s="1" t="str">
        <f t="shared" si="2026"/>
        <v>正常订单</v>
      </c>
      <c r="I6884" s="1" t="str">
        <f t="shared" si="2027"/>
        <v>已发货</v>
      </c>
      <c r="J6884" s="1" t="str">
        <f t="shared" si="2023"/>
        <v>3</v>
      </c>
      <c r="K6884" s="1">
        <v>3</v>
      </c>
      <c r="L6884" s="1" t="s">
        <v>41</v>
      </c>
      <c r="M6884" s="1" t="str">
        <f>"湖北省 武汉市 硚口区 六角亭街道"</f>
        <v>湖北省 武汉市 硚口区 六角亭街道</v>
      </c>
      <c r="N6884" s="1" t="str">
        <f t="shared" si="2020"/>
        <v>凡华云仓-韵达-抖音</v>
      </c>
      <c r="O6884" s="5">
        <v>320177484323543</v>
      </c>
      <c r="P6884" s="6">
        <v>0.28000000000000003</v>
      </c>
      <c r="Q6884" s="11">
        <v>2</v>
      </c>
      <c r="R6884" s="11"/>
      <c r="S6884" s="11"/>
      <c r="T6884" s="11"/>
      <c r="U6884" s="11">
        <f t="shared" si="2022"/>
        <v>2</v>
      </c>
      <c r="W6884">
        <v>2.2000000000000002</v>
      </c>
      <c r="X6884" s="1" t="s">
        <v>41</v>
      </c>
    </row>
    <row r="6885" spans="1:24" x14ac:dyDescent="0.25">
      <c r="A6885" s="1" t="str">
        <f t="shared" si="2024"/>
        <v>卡卡杜-凤凰仓</v>
      </c>
      <c r="B6885" s="1" t="str">
        <f>"CK2024101810157"</f>
        <v>CK2024101810157</v>
      </c>
      <c r="C6885" s="1" t="str">
        <f>"DD2024101815742"</f>
        <v>DD2024101815742</v>
      </c>
      <c r="D6885" s="1" t="str">
        <f>"CK202410189193"</f>
        <v>CK202410189193</v>
      </c>
      <c r="E6885" s="1" t="str">
        <f>"6935160856386869007"</f>
        <v>6935160856386869007</v>
      </c>
      <c r="F6885" s="1" t="str">
        <f t="shared" si="2025"/>
        <v>花都四部-凤凰仓</v>
      </c>
      <c r="G6885" s="1" t="str">
        <f t="shared" si="2021"/>
        <v>卡卡杜个人护理店（抖店）</v>
      </c>
      <c r="H6885" s="1" t="str">
        <f t="shared" si="2026"/>
        <v>正常订单</v>
      </c>
      <c r="I6885" s="1" t="str">
        <f t="shared" si="2027"/>
        <v>已发货</v>
      </c>
      <c r="J6885" s="1" t="str">
        <f t="shared" si="2023"/>
        <v>3</v>
      </c>
      <c r="K6885" s="1">
        <v>3</v>
      </c>
      <c r="L6885" s="1" t="s">
        <v>20</v>
      </c>
      <c r="M6885" s="1" t="str">
        <f>"浙江省 杭州市 西湖区 留下街道"</f>
        <v>浙江省 杭州市 西湖区 留下街道</v>
      </c>
      <c r="N6885" s="1" t="str">
        <f t="shared" si="2020"/>
        <v>凡华云仓-韵达-抖音</v>
      </c>
      <c r="O6885" s="5">
        <v>320177473600391</v>
      </c>
      <c r="P6885" s="6">
        <v>0.28000000000000003</v>
      </c>
      <c r="Q6885" s="11">
        <v>2</v>
      </c>
      <c r="R6885" s="11"/>
      <c r="S6885" s="11"/>
      <c r="T6885" s="11"/>
      <c r="U6885" s="11">
        <f t="shared" si="2022"/>
        <v>2</v>
      </c>
      <c r="W6885">
        <v>2.2000000000000002</v>
      </c>
      <c r="X6885" s="1" t="s">
        <v>20</v>
      </c>
    </row>
    <row r="6886" spans="1:24" x14ac:dyDescent="0.25">
      <c r="A6886" s="1" t="str">
        <f t="shared" si="2024"/>
        <v>卡卡杜-凤凰仓</v>
      </c>
      <c r="B6886" s="1" t="str">
        <f>"CK2024101810158"</f>
        <v>CK2024101810158</v>
      </c>
      <c r="C6886" s="1" t="str">
        <f>"DD2024101815743"</f>
        <v>DD2024101815743</v>
      </c>
      <c r="D6886" s="1" t="str">
        <f>"CK202410189192"</f>
        <v>CK202410189192</v>
      </c>
      <c r="E6886" s="1" t="str">
        <f>"6935151548692829490"</f>
        <v>6935151548692829490</v>
      </c>
      <c r="F6886" s="1" t="str">
        <f t="shared" si="2025"/>
        <v>花都四部-凤凰仓</v>
      </c>
      <c r="G6886" s="1" t="str">
        <f t="shared" si="2021"/>
        <v>卡卡杜个人护理店（抖店）</v>
      </c>
      <c r="H6886" s="1" t="str">
        <f t="shared" si="2026"/>
        <v>正常订单</v>
      </c>
      <c r="I6886" s="1" t="str">
        <f t="shared" si="2027"/>
        <v>已发货</v>
      </c>
      <c r="J6886" s="1" t="str">
        <f t="shared" si="2023"/>
        <v>3</v>
      </c>
      <c r="K6886" s="1">
        <v>3</v>
      </c>
      <c r="L6886" s="1" t="s">
        <v>94</v>
      </c>
      <c r="M6886" s="1" t="str">
        <f>"湖南省 常德市 武陵区 府坪街道"</f>
        <v>湖南省 常德市 武陵区 府坪街道</v>
      </c>
      <c r="N6886" s="1" t="str">
        <f t="shared" si="2020"/>
        <v>凡华云仓-韵达-抖音</v>
      </c>
      <c r="O6886" s="5">
        <v>320177473600298</v>
      </c>
      <c r="P6886" s="6">
        <v>0.28000000000000003</v>
      </c>
      <c r="Q6886" s="11">
        <v>2</v>
      </c>
      <c r="R6886" s="11"/>
      <c r="S6886" s="11"/>
      <c r="T6886" s="11"/>
      <c r="U6886" s="11">
        <f t="shared" si="2022"/>
        <v>2</v>
      </c>
      <c r="W6886">
        <v>2.2000000000000002</v>
      </c>
      <c r="X6886" s="1" t="s">
        <v>94</v>
      </c>
    </row>
    <row r="6887" spans="1:24" x14ac:dyDescent="0.25">
      <c r="A6887" s="1" t="str">
        <f t="shared" si="2024"/>
        <v>卡卡杜-凤凰仓</v>
      </c>
      <c r="B6887" s="1" t="str">
        <f>"CK2024101810126"</f>
        <v>CK2024101810126</v>
      </c>
      <c r="C6887" s="1" t="str">
        <f>"DD2024101815710"</f>
        <v>DD2024101815710</v>
      </c>
      <c r="D6887" s="1" t="str">
        <f>"CK202410189191"</f>
        <v>CK202410189191</v>
      </c>
      <c r="E6887" s="1" t="str">
        <f>"6935169709811570403"</f>
        <v>6935169709811570403</v>
      </c>
      <c r="F6887" s="1" t="str">
        <f t="shared" si="2025"/>
        <v>花都四部-凤凰仓</v>
      </c>
      <c r="G6887" s="1" t="str">
        <f t="shared" si="2021"/>
        <v>卡卡杜个人护理店（抖店）</v>
      </c>
      <c r="H6887" s="1" t="str">
        <f t="shared" si="2026"/>
        <v>正常订单</v>
      </c>
      <c r="I6887" s="1" t="str">
        <f t="shared" si="2027"/>
        <v>已发货</v>
      </c>
      <c r="J6887" s="1" t="str">
        <f t="shared" si="2023"/>
        <v>3</v>
      </c>
      <c r="K6887" s="1">
        <v>3</v>
      </c>
      <c r="L6887" s="1" t="s">
        <v>92</v>
      </c>
      <c r="M6887" s="1" t="str">
        <f>"辽宁省 大连市 甘井子区 南关岭街道"</f>
        <v>辽宁省 大连市 甘井子区 南关岭街道</v>
      </c>
      <c r="N6887" s="1" t="str">
        <f t="shared" si="2020"/>
        <v>凡华云仓-韵达-抖音</v>
      </c>
      <c r="O6887" s="5">
        <v>320177473600107</v>
      </c>
      <c r="P6887" s="6">
        <v>0.28000000000000003</v>
      </c>
      <c r="Q6887" s="11">
        <v>2</v>
      </c>
      <c r="R6887" s="11"/>
      <c r="S6887" s="11"/>
      <c r="T6887" s="11"/>
      <c r="U6887" s="11">
        <f t="shared" si="2022"/>
        <v>2</v>
      </c>
      <c r="W6887">
        <v>2.2000000000000002</v>
      </c>
      <c r="X6887" s="1" t="s">
        <v>92</v>
      </c>
    </row>
    <row r="6888" spans="1:24" x14ac:dyDescent="0.25">
      <c r="A6888" s="1" t="str">
        <f t="shared" si="2024"/>
        <v>卡卡杜-凤凰仓</v>
      </c>
      <c r="B6888" s="1" t="str">
        <f>"CK2024101810128"</f>
        <v>CK2024101810128</v>
      </c>
      <c r="C6888" s="1" t="str">
        <f>"DD2024101815712"</f>
        <v>DD2024101815712</v>
      </c>
      <c r="D6888" s="1" t="str">
        <f>"CK202410189190"</f>
        <v>CK202410189190</v>
      </c>
      <c r="E6888" s="1" t="str">
        <f>"6935147307682763895"</f>
        <v>6935147307682763895</v>
      </c>
      <c r="F6888" s="1" t="str">
        <f t="shared" si="2025"/>
        <v>花都四部-凤凰仓</v>
      </c>
      <c r="G6888" s="1" t="str">
        <f t="shared" si="2021"/>
        <v>卡卡杜个人护理店（抖店）</v>
      </c>
      <c r="H6888" s="1" t="str">
        <f t="shared" si="2026"/>
        <v>正常订单</v>
      </c>
      <c r="I6888" s="1" t="str">
        <f t="shared" si="2027"/>
        <v>已发货</v>
      </c>
      <c r="J6888" s="1" t="str">
        <f t="shared" si="2023"/>
        <v>3</v>
      </c>
      <c r="K6888" s="1">
        <v>3</v>
      </c>
      <c r="L6888" s="1" t="s">
        <v>96</v>
      </c>
      <c r="M6888" s="1" t="str">
        <f>"广西壮族自治区 贵港市 桂平市 白沙镇"</f>
        <v>广西壮族自治区 贵港市 桂平市 白沙镇</v>
      </c>
      <c r="N6888" s="1" t="str">
        <f t="shared" si="2020"/>
        <v>凡华云仓-韵达-抖音</v>
      </c>
      <c r="O6888" s="5">
        <v>320177473600018</v>
      </c>
      <c r="P6888" s="6">
        <v>0.28000000000000003</v>
      </c>
      <c r="Q6888" s="11">
        <v>2</v>
      </c>
      <c r="R6888" s="11"/>
      <c r="S6888" s="11"/>
      <c r="T6888" s="11"/>
      <c r="U6888" s="11">
        <f t="shared" si="2022"/>
        <v>2</v>
      </c>
      <c r="W6888">
        <v>2.2000000000000002</v>
      </c>
      <c r="X6888" s="1" t="s">
        <v>96</v>
      </c>
    </row>
    <row r="6889" spans="1:24" x14ac:dyDescent="0.25">
      <c r="A6889" s="1" t="str">
        <f t="shared" si="2024"/>
        <v>卡卡杜-凤凰仓</v>
      </c>
      <c r="B6889" s="1" t="str">
        <f>"CK2024101810129"</f>
        <v>CK2024101810129</v>
      </c>
      <c r="C6889" s="1" t="str">
        <f>"DD2024101815713"</f>
        <v>DD2024101815713</v>
      </c>
      <c r="D6889" s="1" t="str">
        <f>"CK202410189189"</f>
        <v>CK202410189189</v>
      </c>
      <c r="E6889" s="1" t="str">
        <f>"6935140997961421890"</f>
        <v>6935140997961421890</v>
      </c>
      <c r="F6889" s="1" t="str">
        <f t="shared" si="2025"/>
        <v>花都四部-凤凰仓</v>
      </c>
      <c r="G6889" s="1" t="str">
        <f t="shared" si="2021"/>
        <v>卡卡杜个人护理店（抖店）</v>
      </c>
      <c r="H6889" s="1" t="str">
        <f t="shared" si="2026"/>
        <v>正常订单</v>
      </c>
      <c r="I6889" s="1" t="str">
        <f t="shared" si="2027"/>
        <v>已发货</v>
      </c>
      <c r="J6889" s="1" t="str">
        <f t="shared" si="2023"/>
        <v>3</v>
      </c>
      <c r="K6889" s="1">
        <v>3</v>
      </c>
      <c r="L6889" s="1" t="s">
        <v>13</v>
      </c>
      <c r="M6889" s="1" t="str">
        <f>"江苏省 淮安市 淮安区 淮城街道"</f>
        <v>江苏省 淮安市 淮安区 淮城街道</v>
      </c>
      <c r="N6889" s="1" t="str">
        <f t="shared" si="2020"/>
        <v>凡华云仓-韵达-抖音</v>
      </c>
      <c r="O6889" s="5">
        <v>320177473599938</v>
      </c>
      <c r="P6889" s="6">
        <v>0.28000000000000003</v>
      </c>
      <c r="Q6889" s="11">
        <v>2</v>
      </c>
      <c r="R6889" s="11"/>
      <c r="S6889" s="11"/>
      <c r="T6889" s="11"/>
      <c r="U6889" s="11">
        <f t="shared" si="2022"/>
        <v>2</v>
      </c>
      <c r="W6889">
        <v>2.2000000000000002</v>
      </c>
      <c r="X6889" s="1" t="s">
        <v>13</v>
      </c>
    </row>
    <row r="6890" spans="1:24" x14ac:dyDescent="0.25">
      <c r="A6890" s="1" t="str">
        <f t="shared" si="2024"/>
        <v>卡卡杜-凤凰仓</v>
      </c>
      <c r="B6890" s="1" t="str">
        <f>"CK2024101810132"</f>
        <v>CK2024101810132</v>
      </c>
      <c r="C6890" s="1" t="str">
        <f>"DD2024101815715"</f>
        <v>DD2024101815715</v>
      </c>
      <c r="D6890" s="1" t="str">
        <f>"CK202410189188"</f>
        <v>CK202410189188</v>
      </c>
      <c r="E6890" s="1" t="str">
        <f>"6935147433619101650"</f>
        <v>6935147433619101650</v>
      </c>
      <c r="F6890" s="1" t="str">
        <f t="shared" si="2025"/>
        <v>花都四部-凤凰仓</v>
      </c>
      <c r="G6890" s="1" t="str">
        <f t="shared" si="2021"/>
        <v>卡卡杜个人护理店（抖店）</v>
      </c>
      <c r="H6890" s="1" t="str">
        <f t="shared" si="2026"/>
        <v>正常订单</v>
      </c>
      <c r="I6890" s="1" t="str">
        <f t="shared" si="2027"/>
        <v>已发货</v>
      </c>
      <c r="J6890" s="1" t="str">
        <f t="shared" si="2023"/>
        <v>3</v>
      </c>
      <c r="K6890" s="1">
        <v>3</v>
      </c>
      <c r="L6890" s="1" t="s">
        <v>20</v>
      </c>
      <c r="M6890" s="1" t="str">
        <f>"浙江省 金华市 东阳市 横店镇"</f>
        <v>浙江省 金华市 东阳市 横店镇</v>
      </c>
      <c r="N6890" s="1" t="str">
        <f t="shared" si="2020"/>
        <v>凡华云仓-韵达-抖音</v>
      </c>
      <c r="O6890" s="5">
        <v>320177473599833</v>
      </c>
      <c r="P6890" s="6">
        <v>0.28000000000000003</v>
      </c>
      <c r="Q6890" s="11">
        <v>2</v>
      </c>
      <c r="R6890" s="11"/>
      <c r="S6890" s="11"/>
      <c r="T6890" s="11"/>
      <c r="U6890" s="11">
        <f t="shared" si="2022"/>
        <v>2</v>
      </c>
      <c r="W6890">
        <v>2.2000000000000002</v>
      </c>
      <c r="X6890" s="1" t="s">
        <v>20</v>
      </c>
    </row>
    <row r="6891" spans="1:24" x14ac:dyDescent="0.25">
      <c r="A6891" s="1" t="str">
        <f t="shared" si="2024"/>
        <v>卡卡杜-凤凰仓</v>
      </c>
      <c r="B6891" s="1" t="str">
        <f>"CK2024101810133"</f>
        <v>CK2024101810133</v>
      </c>
      <c r="C6891" s="1" t="str">
        <f>"DD2024101815716"</f>
        <v>DD2024101815716</v>
      </c>
      <c r="D6891" s="1" t="str">
        <f>"CK202410189187"</f>
        <v>CK202410189187</v>
      </c>
      <c r="E6891" s="1" t="str">
        <f>"6935167365620307670"</f>
        <v>6935167365620307670</v>
      </c>
      <c r="F6891" s="1" t="str">
        <f t="shared" si="2025"/>
        <v>花都四部-凤凰仓</v>
      </c>
      <c r="G6891" s="1" t="str">
        <f t="shared" si="2021"/>
        <v>卡卡杜个人护理店（抖店）</v>
      </c>
      <c r="H6891" s="1" t="str">
        <f t="shared" si="2026"/>
        <v>正常订单</v>
      </c>
      <c r="I6891" s="1" t="str">
        <f t="shared" si="2027"/>
        <v>已发货</v>
      </c>
      <c r="J6891" s="1" t="str">
        <f t="shared" si="2023"/>
        <v>3</v>
      </c>
      <c r="K6891" s="1">
        <v>3</v>
      </c>
      <c r="L6891" s="1" t="s">
        <v>27</v>
      </c>
      <c r="M6891" s="1" t="str">
        <f>"贵州省 遵义市 红花岗区 中华路街道"</f>
        <v>贵州省 遵义市 红花岗区 中华路街道</v>
      </c>
      <c r="N6891" s="1" t="str">
        <f t="shared" si="2020"/>
        <v>凡华云仓-韵达-抖音</v>
      </c>
      <c r="O6891" s="5">
        <v>320177473599730</v>
      </c>
      <c r="P6891" s="6">
        <v>0.28000000000000003</v>
      </c>
      <c r="Q6891" s="11">
        <v>2</v>
      </c>
      <c r="R6891" s="11"/>
      <c r="S6891" s="11"/>
      <c r="T6891" s="11"/>
      <c r="U6891" s="11">
        <f t="shared" si="2022"/>
        <v>2</v>
      </c>
      <c r="W6891">
        <v>2.2000000000000002</v>
      </c>
      <c r="X6891" s="1" t="s">
        <v>27</v>
      </c>
    </row>
    <row r="6892" spans="1:24" x14ac:dyDescent="0.25">
      <c r="A6892" s="1" t="str">
        <f t="shared" si="2024"/>
        <v>卡卡杜-凤凰仓</v>
      </c>
      <c r="B6892" s="1" t="str">
        <f>"CK2024101810131"</f>
        <v>CK2024101810131</v>
      </c>
      <c r="C6892" s="1" t="str">
        <f>"DD2024101815718"</f>
        <v>DD2024101815718</v>
      </c>
      <c r="D6892" s="1" t="str">
        <f>"CK202410189186"</f>
        <v>CK202410189186</v>
      </c>
      <c r="E6892" s="1" t="str">
        <f>"6935143464845448540"</f>
        <v>6935143464845448540</v>
      </c>
      <c r="F6892" s="1" t="str">
        <f t="shared" si="2025"/>
        <v>花都四部-凤凰仓</v>
      </c>
      <c r="G6892" s="1" t="str">
        <f t="shared" si="2021"/>
        <v>卡卡杜个人护理店（抖店）</v>
      </c>
      <c r="H6892" s="1" t="str">
        <f t="shared" si="2026"/>
        <v>正常订单</v>
      </c>
      <c r="I6892" s="1" t="str">
        <f t="shared" si="2027"/>
        <v>已发货</v>
      </c>
      <c r="J6892" s="1" t="str">
        <f t="shared" si="2023"/>
        <v>3</v>
      </c>
      <c r="K6892" s="1">
        <v>3</v>
      </c>
      <c r="L6892" s="1" t="s">
        <v>66</v>
      </c>
      <c r="M6892" s="1" t="str">
        <f>"内蒙古自治区 乌海市 海勃湾区 新华西街道"</f>
        <v>内蒙古自治区 乌海市 海勃湾区 新华西街道</v>
      </c>
      <c r="N6892" s="1" t="str">
        <f t="shared" si="2020"/>
        <v>凡华云仓-韵达-抖音</v>
      </c>
      <c r="O6892" s="5">
        <v>320177473599629</v>
      </c>
      <c r="P6892" s="6">
        <v>0.28000000000000003</v>
      </c>
      <c r="Q6892" s="11">
        <v>2</v>
      </c>
      <c r="R6892" s="11"/>
      <c r="S6892" s="11"/>
      <c r="T6892" s="11"/>
      <c r="U6892" s="11">
        <f t="shared" si="2022"/>
        <v>2</v>
      </c>
      <c r="W6892">
        <v>2.2000000000000002</v>
      </c>
      <c r="X6892" s="1" t="s">
        <v>66</v>
      </c>
    </row>
    <row r="6893" spans="1:24" x14ac:dyDescent="0.25">
      <c r="A6893" s="1" t="str">
        <f t="shared" si="2024"/>
        <v>卡卡杜-凤凰仓</v>
      </c>
      <c r="B6893" s="1" t="str">
        <f>"CK2024101810159"</f>
        <v>CK2024101810159</v>
      </c>
      <c r="C6893" s="1" t="str">
        <f>"DD2024101815741"</f>
        <v>DD2024101815741</v>
      </c>
      <c r="D6893" s="1" t="str">
        <f>"CK202410189185"</f>
        <v>CK202410189185</v>
      </c>
      <c r="E6893" s="1" t="str">
        <f>"6935165082185373276"</f>
        <v>6935165082185373276</v>
      </c>
      <c r="F6893" s="1" t="str">
        <f t="shared" si="2025"/>
        <v>花都四部-凤凰仓</v>
      </c>
      <c r="G6893" s="1" t="str">
        <f t="shared" si="2021"/>
        <v>卡卡杜个人护理店（抖店）</v>
      </c>
      <c r="H6893" s="1" t="str">
        <f t="shared" si="2026"/>
        <v>正常订单</v>
      </c>
      <c r="I6893" s="1" t="str">
        <f t="shared" si="2027"/>
        <v>已发货</v>
      </c>
      <c r="J6893" s="1" t="str">
        <f t="shared" si="2023"/>
        <v>3</v>
      </c>
      <c r="K6893" s="1">
        <v>3</v>
      </c>
      <c r="L6893" s="1" t="s">
        <v>20</v>
      </c>
      <c r="M6893" s="1" t="str">
        <f>"浙江省 台州市 路桥区 路北街道"</f>
        <v>浙江省 台州市 路桥区 路北街道</v>
      </c>
      <c r="N6893" s="1" t="str">
        <f t="shared" si="2020"/>
        <v>凡华云仓-韵达-抖音</v>
      </c>
      <c r="O6893" s="5">
        <v>320177473599530</v>
      </c>
      <c r="P6893" s="6">
        <v>0.28000000000000003</v>
      </c>
      <c r="Q6893" s="11">
        <v>2</v>
      </c>
      <c r="R6893" s="11"/>
      <c r="S6893" s="11"/>
      <c r="T6893" s="11"/>
      <c r="U6893" s="11">
        <f t="shared" si="2022"/>
        <v>2</v>
      </c>
      <c r="W6893">
        <v>2.2000000000000002</v>
      </c>
      <c r="X6893" s="1" t="s">
        <v>20</v>
      </c>
    </row>
    <row r="6894" spans="1:24" x14ac:dyDescent="0.25">
      <c r="A6894" s="1" t="str">
        <f t="shared" si="2024"/>
        <v>卡卡杜-凤凰仓</v>
      </c>
      <c r="B6894" s="1" t="str">
        <f>"CK2024101810130"</f>
        <v>CK2024101810130</v>
      </c>
      <c r="C6894" s="1" t="str">
        <f>"DD2024101815714"</f>
        <v>DD2024101815714</v>
      </c>
      <c r="D6894" s="1" t="str">
        <f>"CK202410189184"</f>
        <v>CK202410189184</v>
      </c>
      <c r="E6894" s="1" t="str">
        <f>"6935162794310899669"</f>
        <v>6935162794310899669</v>
      </c>
      <c r="F6894" s="1" t="str">
        <f t="shared" si="2025"/>
        <v>花都四部-凤凰仓</v>
      </c>
      <c r="G6894" s="1" t="str">
        <f t="shared" si="2021"/>
        <v>卡卡杜个人护理店（抖店）</v>
      </c>
      <c r="H6894" s="1" t="str">
        <f t="shared" si="2026"/>
        <v>正常订单</v>
      </c>
      <c r="I6894" s="1" t="str">
        <f t="shared" si="2027"/>
        <v>已发货</v>
      </c>
      <c r="J6894" s="1" t="str">
        <f t="shared" si="2023"/>
        <v>3</v>
      </c>
      <c r="K6894" s="1">
        <v>3</v>
      </c>
      <c r="L6894" s="1" t="s">
        <v>105</v>
      </c>
      <c r="M6894" s="1" t="str">
        <f>"北京 北京市 顺义区 仁和地区"</f>
        <v>北京 北京市 顺义区 仁和地区</v>
      </c>
      <c r="N6894" s="1" t="str">
        <f t="shared" si="2020"/>
        <v>凡华云仓-韵达-抖音</v>
      </c>
      <c r="O6894" s="5">
        <v>320177473599433</v>
      </c>
      <c r="P6894" s="6">
        <v>0.28000000000000003</v>
      </c>
      <c r="Q6894" s="11">
        <v>2</v>
      </c>
      <c r="R6894" s="11"/>
      <c r="S6894" s="11"/>
      <c r="T6894" s="11"/>
      <c r="U6894" s="11">
        <f t="shared" si="2022"/>
        <v>2</v>
      </c>
      <c r="W6894">
        <v>2.2000000000000002</v>
      </c>
      <c r="X6894" s="1" t="s">
        <v>105</v>
      </c>
    </row>
    <row r="6895" spans="1:24" x14ac:dyDescent="0.25">
      <c r="A6895" s="1" t="str">
        <f t="shared" si="2024"/>
        <v>卡卡杜-凤凰仓</v>
      </c>
      <c r="B6895" s="1" t="str">
        <f>"CK2024101810134"</f>
        <v>CK2024101810134</v>
      </c>
      <c r="C6895" s="1" t="str">
        <f>"DD2024101815717"</f>
        <v>DD2024101815717</v>
      </c>
      <c r="D6895" s="1" t="str">
        <f>"CK202410189183"</f>
        <v>CK202410189183</v>
      </c>
      <c r="E6895" s="1" t="str">
        <f>"6935153811716183248"</f>
        <v>6935153811716183248</v>
      </c>
      <c r="F6895" s="1" t="str">
        <f t="shared" si="2025"/>
        <v>花都四部-凤凰仓</v>
      </c>
      <c r="G6895" s="1" t="str">
        <f t="shared" si="2021"/>
        <v>卡卡杜个人护理店（抖店）</v>
      </c>
      <c r="H6895" s="1" t="str">
        <f t="shared" si="2026"/>
        <v>正常订单</v>
      </c>
      <c r="I6895" s="1" t="str">
        <f t="shared" si="2027"/>
        <v>已发货</v>
      </c>
      <c r="J6895" s="1" t="str">
        <f t="shared" si="2023"/>
        <v>3</v>
      </c>
      <c r="K6895" s="1">
        <v>3</v>
      </c>
      <c r="L6895" s="1" t="s">
        <v>36</v>
      </c>
      <c r="M6895" s="1" t="str">
        <f>"安徽省 宿州市 埇桥区 灰古镇"</f>
        <v>安徽省 宿州市 埇桥区 灰古镇</v>
      </c>
      <c r="N6895" s="1" t="str">
        <f t="shared" si="2020"/>
        <v>凡华云仓-韵达-抖音</v>
      </c>
      <c r="O6895" s="5">
        <v>320177488078358</v>
      </c>
      <c r="P6895" s="6">
        <v>0.28000000000000003</v>
      </c>
      <c r="Q6895" s="11">
        <v>2</v>
      </c>
      <c r="R6895" s="11"/>
      <c r="S6895" s="11"/>
      <c r="T6895" s="11"/>
      <c r="U6895" s="11">
        <f t="shared" si="2022"/>
        <v>2</v>
      </c>
      <c r="W6895">
        <v>2.2000000000000002</v>
      </c>
      <c r="X6895" s="1" t="s">
        <v>36</v>
      </c>
    </row>
    <row r="6896" spans="1:24" x14ac:dyDescent="0.25">
      <c r="A6896" s="1" t="str">
        <f t="shared" si="2024"/>
        <v>卡卡杜-凤凰仓</v>
      </c>
      <c r="B6896" s="1" t="str">
        <f>"CK2024101810135"</f>
        <v>CK2024101810135</v>
      </c>
      <c r="C6896" s="1" t="str">
        <f>"DD2024101815719"</f>
        <v>DD2024101815719</v>
      </c>
      <c r="D6896" s="1" t="str">
        <f>"CK202410189182"</f>
        <v>CK202410189182</v>
      </c>
      <c r="E6896" s="1" t="str">
        <f>"6935141047648327006"</f>
        <v>6935141047648327006</v>
      </c>
      <c r="F6896" s="1" t="str">
        <f t="shared" si="2025"/>
        <v>花都四部-凤凰仓</v>
      </c>
      <c r="G6896" s="1" t="str">
        <f t="shared" si="2021"/>
        <v>卡卡杜个人护理店（抖店）</v>
      </c>
      <c r="H6896" s="1" t="str">
        <f t="shared" si="2026"/>
        <v>正常订单</v>
      </c>
      <c r="I6896" s="1" t="str">
        <f t="shared" si="2027"/>
        <v>已发货</v>
      </c>
      <c r="J6896" s="1" t="str">
        <f t="shared" si="2023"/>
        <v>3</v>
      </c>
      <c r="K6896" s="1">
        <v>3</v>
      </c>
      <c r="L6896" s="1" t="s">
        <v>18</v>
      </c>
      <c r="M6896" s="1" t="str">
        <f>"广东省 佛山市 南海区 狮山镇"</f>
        <v>广东省 佛山市 南海区 狮山镇</v>
      </c>
      <c r="N6896" s="1" t="str">
        <f t="shared" ref="N6896:N6949" si="2028">"凡华云仓-韵达-抖音"</f>
        <v>凡华云仓-韵达-抖音</v>
      </c>
      <c r="O6896" s="5">
        <v>320177488078265</v>
      </c>
      <c r="P6896" s="6">
        <v>0.28000000000000003</v>
      </c>
      <c r="Q6896" s="11">
        <v>2</v>
      </c>
      <c r="R6896" s="11"/>
      <c r="S6896" s="11"/>
      <c r="T6896" s="11"/>
      <c r="U6896" s="11">
        <f t="shared" si="2022"/>
        <v>2</v>
      </c>
      <c r="W6896">
        <v>2.2000000000000002</v>
      </c>
      <c r="X6896" s="1" t="s">
        <v>18</v>
      </c>
    </row>
    <row r="6897" spans="1:24" x14ac:dyDescent="0.25">
      <c r="A6897" s="1" t="str">
        <f t="shared" si="2024"/>
        <v>卡卡杜-凤凰仓</v>
      </c>
      <c r="B6897" s="1" t="str">
        <f>"CK2024101810136"</f>
        <v>CK2024101810136</v>
      </c>
      <c r="C6897" s="1" t="str">
        <f>"DD2024101815720"</f>
        <v>DD2024101815720</v>
      </c>
      <c r="D6897" s="1" t="str">
        <f>"CK202410189181"</f>
        <v>CK202410189181</v>
      </c>
      <c r="E6897" s="1" t="str">
        <f>"6935145274377704869"</f>
        <v>6935145274377704869</v>
      </c>
      <c r="F6897" s="1" t="str">
        <f t="shared" si="2025"/>
        <v>花都四部-凤凰仓</v>
      </c>
      <c r="G6897" s="1" t="str">
        <f t="shared" si="2021"/>
        <v>卡卡杜个人护理店（抖店）</v>
      </c>
      <c r="H6897" s="1" t="str">
        <f t="shared" si="2026"/>
        <v>正常订单</v>
      </c>
      <c r="I6897" s="1" t="str">
        <f t="shared" si="2027"/>
        <v>已发货</v>
      </c>
      <c r="J6897" s="1" t="str">
        <f t="shared" si="2023"/>
        <v>3</v>
      </c>
      <c r="K6897" s="1">
        <v>3</v>
      </c>
      <c r="L6897" s="1" t="s">
        <v>30</v>
      </c>
      <c r="M6897" s="1" t="str">
        <f>"山东省 威海市 乳山市 夏村镇"</f>
        <v>山东省 威海市 乳山市 夏村镇</v>
      </c>
      <c r="N6897" s="1" t="str">
        <f t="shared" si="2028"/>
        <v>凡华云仓-韵达-抖音</v>
      </c>
      <c r="O6897" s="5">
        <v>320177488078174</v>
      </c>
      <c r="P6897" s="6">
        <v>0.28000000000000003</v>
      </c>
      <c r="Q6897" s="11">
        <v>2</v>
      </c>
      <c r="R6897" s="11"/>
      <c r="S6897" s="11"/>
      <c r="T6897" s="11"/>
      <c r="U6897" s="11">
        <f t="shared" si="2022"/>
        <v>2</v>
      </c>
      <c r="W6897">
        <v>2.2000000000000002</v>
      </c>
      <c r="X6897" s="1" t="s">
        <v>30</v>
      </c>
    </row>
    <row r="6898" spans="1:24" x14ac:dyDescent="0.25">
      <c r="A6898" s="1" t="str">
        <f t="shared" si="2024"/>
        <v>卡卡杜-凤凰仓</v>
      </c>
      <c r="B6898" s="1" t="str">
        <f>"CK2024101810137"</f>
        <v>CK2024101810137</v>
      </c>
      <c r="C6898" s="1" t="str">
        <f>"DD2024101815721"</f>
        <v>DD2024101815721</v>
      </c>
      <c r="D6898" s="1" t="str">
        <f>"CK202410189180"</f>
        <v>CK202410189180</v>
      </c>
      <c r="E6898" s="1" t="str">
        <f>"6935156073289553725"</f>
        <v>6935156073289553725</v>
      </c>
      <c r="F6898" s="1" t="str">
        <f t="shared" si="2025"/>
        <v>花都四部-凤凰仓</v>
      </c>
      <c r="G6898" s="1" t="str">
        <f t="shared" si="2021"/>
        <v>卡卡杜个人护理店（抖店）</v>
      </c>
      <c r="H6898" s="1" t="str">
        <f t="shared" si="2026"/>
        <v>正常订单</v>
      </c>
      <c r="I6898" s="1" t="str">
        <f t="shared" si="2027"/>
        <v>已发货</v>
      </c>
      <c r="J6898" s="1" t="str">
        <f t="shared" si="2023"/>
        <v>3</v>
      </c>
      <c r="K6898" s="1">
        <v>3</v>
      </c>
      <c r="L6898" s="1" t="s">
        <v>27</v>
      </c>
      <c r="M6898" s="1" t="str">
        <f>"贵州省 贵阳市 云岩区 黔灵镇"</f>
        <v>贵州省 贵阳市 云岩区 黔灵镇</v>
      </c>
      <c r="N6898" s="1" t="str">
        <f t="shared" si="2028"/>
        <v>凡华云仓-韵达-抖音</v>
      </c>
      <c r="O6898" s="5">
        <v>320177488078085</v>
      </c>
      <c r="P6898" s="6">
        <v>0.28000000000000003</v>
      </c>
      <c r="Q6898" s="11">
        <v>2</v>
      </c>
      <c r="R6898" s="11"/>
      <c r="S6898" s="11"/>
      <c r="T6898" s="11"/>
      <c r="U6898" s="11">
        <f t="shared" si="2022"/>
        <v>2</v>
      </c>
      <c r="W6898">
        <v>2.2000000000000002</v>
      </c>
      <c r="X6898" s="1" t="s">
        <v>27</v>
      </c>
    </row>
    <row r="6899" spans="1:24" x14ac:dyDescent="0.25">
      <c r="A6899" s="1" t="str">
        <f t="shared" si="2024"/>
        <v>卡卡杜-凤凰仓</v>
      </c>
      <c r="B6899" s="1" t="str">
        <f>"CK2024101810138"</f>
        <v>CK2024101810138</v>
      </c>
      <c r="C6899" s="1" t="str">
        <f>"DD2024101815722"</f>
        <v>DD2024101815722</v>
      </c>
      <c r="D6899" s="1" t="str">
        <f>"CK202410189179"</f>
        <v>CK202410189179</v>
      </c>
      <c r="E6899" s="1" t="str">
        <f>"6935145215204398319"</f>
        <v>6935145215204398319</v>
      </c>
      <c r="F6899" s="1" t="str">
        <f t="shared" si="2025"/>
        <v>花都四部-凤凰仓</v>
      </c>
      <c r="G6899" s="1" t="str">
        <f t="shared" si="2021"/>
        <v>卡卡杜个人护理店（抖店）</v>
      </c>
      <c r="H6899" s="1" t="str">
        <f t="shared" si="2026"/>
        <v>正常订单</v>
      </c>
      <c r="I6899" s="1" t="str">
        <f t="shared" si="2027"/>
        <v>已发货</v>
      </c>
      <c r="J6899" s="1" t="str">
        <f t="shared" si="2023"/>
        <v>3</v>
      </c>
      <c r="K6899" s="1">
        <v>3</v>
      </c>
      <c r="L6899" s="1" t="s">
        <v>94</v>
      </c>
      <c r="M6899" s="1" t="str">
        <f>"湖南省 湘西土家族苗族自治州 龙山县 民安街道"</f>
        <v>湖南省 湘西土家族苗族自治州 龙山县 民安街道</v>
      </c>
      <c r="N6899" s="1" t="str">
        <f t="shared" si="2028"/>
        <v>凡华云仓-韵达-抖音</v>
      </c>
      <c r="O6899" s="5">
        <v>320177488077955</v>
      </c>
      <c r="P6899" s="6">
        <v>0.28000000000000003</v>
      </c>
      <c r="Q6899" s="11">
        <v>2</v>
      </c>
      <c r="R6899" s="11"/>
      <c r="S6899" s="11"/>
      <c r="T6899" s="11"/>
      <c r="U6899" s="11">
        <f t="shared" si="2022"/>
        <v>2</v>
      </c>
      <c r="W6899">
        <v>2.2000000000000002</v>
      </c>
      <c r="X6899" s="1" t="s">
        <v>94</v>
      </c>
    </row>
    <row r="6900" spans="1:24" x14ac:dyDescent="0.25">
      <c r="A6900" s="1" t="str">
        <f t="shared" si="2024"/>
        <v>卡卡杜-凤凰仓</v>
      </c>
      <c r="B6900" s="1" t="str">
        <f>"CK2024101810139"</f>
        <v>CK2024101810139</v>
      </c>
      <c r="C6900" s="1" t="str">
        <f>"DD2024101815724"</f>
        <v>DD2024101815724</v>
      </c>
      <c r="D6900" s="1" t="str">
        <f>"CK202410189178"</f>
        <v>CK202410189178</v>
      </c>
      <c r="E6900" s="1" t="str">
        <f>"6935145303403533533"</f>
        <v>6935145303403533533</v>
      </c>
      <c r="F6900" s="1" t="str">
        <f t="shared" si="2025"/>
        <v>花都四部-凤凰仓</v>
      </c>
      <c r="G6900" s="1" t="str">
        <f t="shared" ref="G6900:G6949" si="2029">"卡卡杜个人护理店（抖店）"</f>
        <v>卡卡杜个人护理店（抖店）</v>
      </c>
      <c r="H6900" s="1" t="str">
        <f t="shared" si="2026"/>
        <v>正常订单</v>
      </c>
      <c r="I6900" s="1" t="str">
        <f t="shared" si="2027"/>
        <v>已发货</v>
      </c>
      <c r="J6900" s="1" t="str">
        <f t="shared" si="2023"/>
        <v>3</v>
      </c>
      <c r="K6900" s="1">
        <v>3</v>
      </c>
      <c r="L6900" s="1" t="s">
        <v>30</v>
      </c>
      <c r="M6900" s="1" t="str">
        <f>"山东省 青岛市 即墨区 通济街道"</f>
        <v>山东省 青岛市 即墨区 通济街道</v>
      </c>
      <c r="N6900" s="1" t="str">
        <f t="shared" si="2028"/>
        <v>凡华云仓-韵达-抖音</v>
      </c>
      <c r="O6900" s="5">
        <v>320177488077850</v>
      </c>
      <c r="P6900" s="6">
        <v>0.28000000000000003</v>
      </c>
      <c r="Q6900" s="11">
        <v>2</v>
      </c>
      <c r="R6900" s="11"/>
      <c r="S6900" s="11"/>
      <c r="T6900" s="11"/>
      <c r="U6900" s="11">
        <f t="shared" si="2022"/>
        <v>2</v>
      </c>
      <c r="W6900">
        <v>2.2000000000000002</v>
      </c>
      <c r="X6900" s="1" t="s">
        <v>30</v>
      </c>
    </row>
    <row r="6901" spans="1:24" x14ac:dyDescent="0.25">
      <c r="A6901" s="1" t="str">
        <f t="shared" si="2024"/>
        <v>卡卡杜-凤凰仓</v>
      </c>
      <c r="B6901" s="1" t="str">
        <f>"CK2024101810140"</f>
        <v>CK2024101810140</v>
      </c>
      <c r="C6901" s="1" t="str">
        <f>"DD2024101815725"</f>
        <v>DD2024101815725</v>
      </c>
      <c r="D6901" s="1" t="str">
        <f>"CK202410189177"</f>
        <v>CK202410189177</v>
      </c>
      <c r="E6901" s="1" t="str">
        <f>"6935160833498551941"</f>
        <v>6935160833498551941</v>
      </c>
      <c r="F6901" s="1" t="str">
        <f t="shared" si="2025"/>
        <v>花都四部-凤凰仓</v>
      </c>
      <c r="G6901" s="1" t="str">
        <f t="shared" si="2029"/>
        <v>卡卡杜个人护理店（抖店）</v>
      </c>
      <c r="H6901" s="1" t="str">
        <f t="shared" si="2026"/>
        <v>正常订单</v>
      </c>
      <c r="I6901" s="1" t="str">
        <f t="shared" si="2027"/>
        <v>已发货</v>
      </c>
      <c r="J6901" s="1" t="str">
        <f t="shared" si="2023"/>
        <v>3</v>
      </c>
      <c r="K6901" s="1">
        <v>3</v>
      </c>
      <c r="L6901" s="1" t="s">
        <v>740</v>
      </c>
      <c r="M6901" s="1" t="str">
        <f>"宁夏回族自治区 银川市 西夏区 西花园路街道"</f>
        <v>宁夏回族自治区 银川市 西夏区 西花园路街道</v>
      </c>
      <c r="N6901" s="1" t="str">
        <f t="shared" si="2028"/>
        <v>凡华云仓-韵达-抖音</v>
      </c>
      <c r="O6901" s="5">
        <v>320177488077747</v>
      </c>
      <c r="P6901" s="6">
        <v>0.28000000000000003</v>
      </c>
      <c r="Q6901" s="11">
        <v>2</v>
      </c>
      <c r="R6901" s="11"/>
      <c r="S6901" s="11"/>
      <c r="T6901" s="11"/>
      <c r="U6901" s="11">
        <f t="shared" si="2022"/>
        <v>2</v>
      </c>
      <c r="W6901">
        <v>2.2000000000000002</v>
      </c>
      <c r="X6901" s="1" t="s">
        <v>740</v>
      </c>
    </row>
    <row r="6902" spans="1:24" x14ac:dyDescent="0.25">
      <c r="A6902" s="1" t="str">
        <f t="shared" si="2024"/>
        <v>卡卡杜-凤凰仓</v>
      </c>
      <c r="B6902" s="1" t="str">
        <f>"CK2024101810141"</f>
        <v>CK2024101810141</v>
      </c>
      <c r="C6902" s="1" t="str">
        <f>"DD2024101815723"</f>
        <v>DD2024101815723</v>
      </c>
      <c r="D6902" s="1" t="str">
        <f>"CK202410189176"</f>
        <v>CK202410189176</v>
      </c>
      <c r="E6902" s="1" t="str">
        <f>"6935145321383532266"</f>
        <v>6935145321383532266</v>
      </c>
      <c r="F6902" s="1" t="str">
        <f t="shared" si="2025"/>
        <v>花都四部-凤凰仓</v>
      </c>
      <c r="G6902" s="1" t="str">
        <f t="shared" si="2029"/>
        <v>卡卡杜个人护理店（抖店）</v>
      </c>
      <c r="H6902" s="1" t="str">
        <f t="shared" si="2026"/>
        <v>正常订单</v>
      </c>
      <c r="I6902" s="1" t="str">
        <f t="shared" si="2027"/>
        <v>已发货</v>
      </c>
      <c r="J6902" s="1" t="str">
        <f t="shared" si="2023"/>
        <v>3</v>
      </c>
      <c r="K6902" s="1">
        <v>3</v>
      </c>
      <c r="L6902" s="1" t="s">
        <v>30</v>
      </c>
      <c r="M6902" s="1" t="str">
        <f>"山东省 德州市 德城区 袁桥镇"</f>
        <v>山东省 德州市 德城区 袁桥镇</v>
      </c>
      <c r="N6902" s="1" t="str">
        <f t="shared" si="2028"/>
        <v>凡华云仓-韵达-抖音</v>
      </c>
      <c r="O6902" s="5">
        <v>320177488077646</v>
      </c>
      <c r="P6902" s="6">
        <v>0.28000000000000003</v>
      </c>
      <c r="Q6902" s="11">
        <v>2</v>
      </c>
      <c r="R6902" s="11"/>
      <c r="S6902" s="11"/>
      <c r="T6902" s="11"/>
      <c r="U6902" s="11">
        <f t="shared" si="2022"/>
        <v>2</v>
      </c>
      <c r="W6902">
        <v>2.2000000000000002</v>
      </c>
      <c r="X6902" s="1" t="s">
        <v>30</v>
      </c>
    </row>
    <row r="6903" spans="1:24" x14ac:dyDescent="0.25">
      <c r="A6903" s="1" t="str">
        <f t="shared" si="2024"/>
        <v>卡卡杜-凤凰仓</v>
      </c>
      <c r="B6903" s="1" t="str">
        <f>"CK2024101810160"</f>
        <v>CK2024101810160</v>
      </c>
      <c r="C6903" s="1" t="str">
        <f>"DD2024101815744"</f>
        <v>DD2024101815744</v>
      </c>
      <c r="D6903" s="1" t="str">
        <f>"CK202410189175"</f>
        <v>CK202410189175</v>
      </c>
      <c r="E6903" s="1" t="str">
        <f>"6935171939684914410"</f>
        <v>6935171939684914410</v>
      </c>
      <c r="F6903" s="1" t="str">
        <f t="shared" si="2025"/>
        <v>花都四部-凤凰仓</v>
      </c>
      <c r="G6903" s="1" t="str">
        <f t="shared" si="2029"/>
        <v>卡卡杜个人护理店（抖店）</v>
      </c>
      <c r="H6903" s="1" t="str">
        <f t="shared" si="2026"/>
        <v>正常订单</v>
      </c>
      <c r="I6903" s="1" t="str">
        <f t="shared" si="2027"/>
        <v>已发货</v>
      </c>
      <c r="J6903" s="1" t="str">
        <f t="shared" si="2023"/>
        <v>3</v>
      </c>
      <c r="K6903" s="1">
        <v>3</v>
      </c>
      <c r="L6903" s="1" t="s">
        <v>13</v>
      </c>
      <c r="M6903" s="1" t="str">
        <f>"江苏省 镇江市 丹阳市 陵口镇"</f>
        <v>江苏省 镇江市 丹阳市 陵口镇</v>
      </c>
      <c r="N6903" s="1" t="str">
        <f t="shared" si="2028"/>
        <v>凡华云仓-韵达-抖音</v>
      </c>
      <c r="O6903" s="5">
        <v>320177488077547</v>
      </c>
      <c r="P6903" s="6">
        <v>0.28000000000000003</v>
      </c>
      <c r="Q6903" s="11">
        <v>2</v>
      </c>
      <c r="R6903" s="11"/>
      <c r="S6903" s="11"/>
      <c r="T6903" s="11"/>
      <c r="U6903" s="11">
        <f t="shared" si="2022"/>
        <v>2</v>
      </c>
      <c r="W6903">
        <v>2.2000000000000002</v>
      </c>
      <c r="X6903" s="1" t="s">
        <v>13</v>
      </c>
    </row>
    <row r="6904" spans="1:24" x14ac:dyDescent="0.25">
      <c r="A6904" s="1" t="str">
        <f t="shared" si="2024"/>
        <v>卡卡杜-凤凰仓</v>
      </c>
      <c r="B6904" s="1" t="str">
        <f>"CK202410183661"</f>
        <v>CK202410183661</v>
      </c>
      <c r="C6904" s="1" t="str">
        <f>"DD2024101811780"</f>
        <v>DD2024101811780</v>
      </c>
      <c r="D6904" s="1" t="str">
        <f>"CK202410189174"</f>
        <v>CK202410189174</v>
      </c>
      <c r="E6904" s="1" t="str">
        <f>"6935149549398333352"</f>
        <v>6935149549398333352</v>
      </c>
      <c r="F6904" s="1" t="str">
        <f t="shared" si="2025"/>
        <v>花都四部-凤凰仓</v>
      </c>
      <c r="G6904" s="1" t="str">
        <f t="shared" si="2029"/>
        <v>卡卡杜个人护理店（抖店）</v>
      </c>
      <c r="H6904" s="1" t="str">
        <f t="shared" si="2026"/>
        <v>正常订单</v>
      </c>
      <c r="I6904" s="1" t="str">
        <f t="shared" si="2027"/>
        <v>已发货</v>
      </c>
      <c r="J6904" s="1" t="str">
        <f t="shared" si="2023"/>
        <v>3</v>
      </c>
      <c r="K6904" s="1">
        <v>2</v>
      </c>
      <c r="L6904" s="1" t="s">
        <v>24</v>
      </c>
      <c r="M6904" s="1" t="str">
        <f>"福建省 泉州市 惠安县 黄塘镇"</f>
        <v>福建省 泉州市 惠安县 黄塘镇</v>
      </c>
      <c r="N6904" s="1" t="str">
        <f t="shared" si="2028"/>
        <v>凡华云仓-韵达-抖音</v>
      </c>
      <c r="O6904" s="5">
        <v>320177488077450</v>
      </c>
      <c r="P6904" s="6">
        <v>0.35</v>
      </c>
      <c r="Q6904" s="11">
        <v>2.2999999999999998</v>
      </c>
      <c r="R6904" s="11"/>
      <c r="S6904" s="11"/>
      <c r="T6904" s="11"/>
      <c r="U6904" s="11">
        <f t="shared" si="2022"/>
        <v>2.2999999999999998</v>
      </c>
      <c r="W6904">
        <v>2.5</v>
      </c>
      <c r="X6904" s="1" t="s">
        <v>24</v>
      </c>
    </row>
    <row r="6905" spans="1:24" x14ac:dyDescent="0.25">
      <c r="A6905" s="1" t="str">
        <f t="shared" si="2024"/>
        <v>卡卡杜-凤凰仓</v>
      </c>
      <c r="B6905" s="1" t="str">
        <f>"CK202410183763"</f>
        <v>CK202410183763</v>
      </c>
      <c r="C6905" s="1" t="str">
        <f>"DD2024101811818"</f>
        <v>DD2024101811818</v>
      </c>
      <c r="D6905" s="1" t="str">
        <f>"CK202410189173"</f>
        <v>CK202410189173</v>
      </c>
      <c r="E6905" s="1" t="str">
        <f>"6935153677357487166"</f>
        <v>6935153677357487166</v>
      </c>
      <c r="F6905" s="1" t="str">
        <f t="shared" si="2025"/>
        <v>花都四部-凤凰仓</v>
      </c>
      <c r="G6905" s="1" t="str">
        <f t="shared" si="2029"/>
        <v>卡卡杜个人护理店（抖店）</v>
      </c>
      <c r="H6905" s="1" t="str">
        <f t="shared" si="2026"/>
        <v>正常订单</v>
      </c>
      <c r="I6905" s="1" t="str">
        <f t="shared" si="2027"/>
        <v>已发货</v>
      </c>
      <c r="J6905" s="1" t="str">
        <f>"5"</f>
        <v>5</v>
      </c>
      <c r="K6905" s="1">
        <v>3</v>
      </c>
      <c r="L6905" s="1" t="s">
        <v>24</v>
      </c>
      <c r="M6905" s="1" t="str">
        <f>"福建省 莆田市 城厢区 凤凰山街道"</f>
        <v>福建省 莆田市 城厢区 凤凰山街道</v>
      </c>
      <c r="N6905" s="1" t="str">
        <f t="shared" si="2028"/>
        <v>凡华云仓-韵达-抖音</v>
      </c>
      <c r="O6905" s="5">
        <v>320177465999529</v>
      </c>
      <c r="P6905" s="6">
        <v>0.47</v>
      </c>
      <c r="Q6905" s="11">
        <v>2.2999999999999998</v>
      </c>
      <c r="R6905" s="11"/>
      <c r="S6905" s="11"/>
      <c r="T6905" s="11"/>
      <c r="U6905" s="11">
        <f t="shared" si="2022"/>
        <v>2.2999999999999998</v>
      </c>
      <c r="W6905">
        <v>2.5</v>
      </c>
      <c r="X6905" s="1" t="s">
        <v>24</v>
      </c>
    </row>
    <row r="6906" spans="1:24" x14ac:dyDescent="0.25">
      <c r="A6906" s="1" t="str">
        <f t="shared" si="2024"/>
        <v>卡卡杜-凤凰仓</v>
      </c>
      <c r="B6906" s="1" t="str">
        <f>"CK202410183659"</f>
        <v>CK202410183659</v>
      </c>
      <c r="C6906" s="1" t="str">
        <f>"DD2024101811778"</f>
        <v>DD2024101811778</v>
      </c>
      <c r="D6906" s="1" t="str">
        <f>"CK202410189172"</f>
        <v>CK202410189172</v>
      </c>
      <c r="E6906" s="1" t="str">
        <f>"6935147230851568812"</f>
        <v>6935147230851568812</v>
      </c>
      <c r="F6906" s="1" t="str">
        <f t="shared" si="2025"/>
        <v>花都四部-凤凰仓</v>
      </c>
      <c r="G6906" s="1" t="str">
        <f t="shared" si="2029"/>
        <v>卡卡杜个人护理店（抖店）</v>
      </c>
      <c r="H6906" s="1" t="str">
        <f t="shared" si="2026"/>
        <v>正常订单</v>
      </c>
      <c r="I6906" s="1" t="str">
        <f t="shared" si="2027"/>
        <v>已发货</v>
      </c>
      <c r="J6906" s="1" t="str">
        <f t="shared" ref="J6906:J6923" si="2030">"3"</f>
        <v>3</v>
      </c>
      <c r="K6906" s="1">
        <v>2</v>
      </c>
      <c r="L6906" s="1" t="s">
        <v>20</v>
      </c>
      <c r="M6906" s="1" t="str">
        <f>"浙江省 湖州市 安吉县 昌硕街道"</f>
        <v>浙江省 湖州市 安吉县 昌硕街道</v>
      </c>
      <c r="N6906" s="1" t="str">
        <f t="shared" si="2028"/>
        <v>凡华云仓-韵达-抖音</v>
      </c>
      <c r="O6906" s="5">
        <v>320177465999432</v>
      </c>
      <c r="P6906" s="6">
        <v>0.35</v>
      </c>
      <c r="Q6906" s="11">
        <v>2.2999999999999998</v>
      </c>
      <c r="R6906" s="11"/>
      <c r="S6906" s="11"/>
      <c r="T6906" s="11"/>
      <c r="U6906" s="11">
        <f t="shared" si="2022"/>
        <v>2.2999999999999998</v>
      </c>
      <c r="W6906">
        <v>2.5</v>
      </c>
      <c r="X6906" s="1" t="s">
        <v>20</v>
      </c>
    </row>
    <row r="6907" spans="1:24" x14ac:dyDescent="0.25">
      <c r="A6907" s="1" t="str">
        <f t="shared" si="2024"/>
        <v>卡卡杜-凤凰仓</v>
      </c>
      <c r="B6907" s="1" t="str">
        <f>"CK202410183658"</f>
        <v>CK202410183658</v>
      </c>
      <c r="C6907" s="1" t="str">
        <f>"DD2024101811777"</f>
        <v>DD2024101811777</v>
      </c>
      <c r="D6907" s="1" t="str">
        <f>"CK202410189171"</f>
        <v>CK202410189171</v>
      </c>
      <c r="E6907" s="1" t="str">
        <f>"6935147069789246568"</f>
        <v>6935147069789246568</v>
      </c>
      <c r="F6907" s="1" t="str">
        <f t="shared" si="2025"/>
        <v>花都四部-凤凰仓</v>
      </c>
      <c r="G6907" s="1" t="str">
        <f t="shared" si="2029"/>
        <v>卡卡杜个人护理店（抖店）</v>
      </c>
      <c r="H6907" s="1" t="str">
        <f t="shared" si="2026"/>
        <v>正常订单</v>
      </c>
      <c r="I6907" s="1" t="str">
        <f t="shared" si="2027"/>
        <v>已发货</v>
      </c>
      <c r="J6907" s="1" t="str">
        <f t="shared" si="2030"/>
        <v>3</v>
      </c>
      <c r="K6907" s="1">
        <v>2</v>
      </c>
      <c r="L6907" s="1" t="s">
        <v>60</v>
      </c>
      <c r="M6907" s="1" t="str">
        <f>"云南省 临沧市 临翔区 凤翔街道"</f>
        <v>云南省 临沧市 临翔区 凤翔街道</v>
      </c>
      <c r="N6907" s="1" t="str">
        <f t="shared" si="2028"/>
        <v>凡华云仓-韵达-抖音</v>
      </c>
      <c r="O6907" s="5">
        <v>320177465999337</v>
      </c>
      <c r="P6907" s="6">
        <v>0.35</v>
      </c>
      <c r="Q6907" s="11">
        <v>2.2999999999999998</v>
      </c>
      <c r="R6907" s="11"/>
      <c r="S6907" s="11"/>
      <c r="T6907" s="11"/>
      <c r="U6907" s="11">
        <f t="shared" si="2022"/>
        <v>2.2999999999999998</v>
      </c>
      <c r="W6907">
        <v>2.5</v>
      </c>
      <c r="X6907" s="1" t="s">
        <v>60</v>
      </c>
    </row>
    <row r="6908" spans="1:24" x14ac:dyDescent="0.25">
      <c r="A6908" s="1" t="str">
        <f t="shared" si="2024"/>
        <v>卡卡杜-凤凰仓</v>
      </c>
      <c r="B6908" s="1" t="str">
        <f>"CK202410183657"</f>
        <v>CK202410183657</v>
      </c>
      <c r="C6908" s="1" t="str">
        <f>"DD2024101811776"</f>
        <v>DD2024101811776</v>
      </c>
      <c r="D6908" s="1" t="str">
        <f>"CK202410189170"</f>
        <v>CK202410189170</v>
      </c>
      <c r="E6908" s="1" t="str">
        <f>"6935147045459858885"</f>
        <v>6935147045459858885</v>
      </c>
      <c r="F6908" s="1" t="str">
        <f t="shared" si="2025"/>
        <v>花都四部-凤凰仓</v>
      </c>
      <c r="G6908" s="1" t="str">
        <f t="shared" si="2029"/>
        <v>卡卡杜个人护理店（抖店）</v>
      </c>
      <c r="H6908" s="1" t="str">
        <f t="shared" si="2026"/>
        <v>正常订单</v>
      </c>
      <c r="I6908" s="1" t="str">
        <f t="shared" si="2027"/>
        <v>已发货</v>
      </c>
      <c r="J6908" s="1" t="str">
        <f t="shared" si="2030"/>
        <v>3</v>
      </c>
      <c r="K6908" s="1">
        <v>2</v>
      </c>
      <c r="L6908" s="1" t="s">
        <v>18</v>
      </c>
      <c r="M6908" s="1" t="str">
        <f>"广东省 广州市 南沙区 东涌镇"</f>
        <v>广东省 广州市 南沙区 东涌镇</v>
      </c>
      <c r="N6908" s="1" t="str">
        <f t="shared" si="2028"/>
        <v>凡华云仓-韵达-抖音</v>
      </c>
      <c r="O6908" s="5">
        <v>320177465999244</v>
      </c>
      <c r="P6908" s="6">
        <v>0.35</v>
      </c>
      <c r="Q6908" s="11">
        <v>2.2999999999999998</v>
      </c>
      <c r="R6908" s="11"/>
      <c r="S6908" s="11"/>
      <c r="T6908" s="11"/>
      <c r="U6908" s="11">
        <f t="shared" si="2022"/>
        <v>2.2999999999999998</v>
      </c>
      <c r="W6908">
        <v>2.5</v>
      </c>
      <c r="X6908" s="1" t="s">
        <v>18</v>
      </c>
    </row>
    <row r="6909" spans="1:24" x14ac:dyDescent="0.25">
      <c r="A6909" s="1" t="str">
        <f t="shared" si="2024"/>
        <v>卡卡杜-凤凰仓</v>
      </c>
      <c r="B6909" s="1" t="str">
        <f>"CK202410183666"</f>
        <v>CK202410183666</v>
      </c>
      <c r="C6909" s="1" t="str">
        <f>"DD2024101811784"</f>
        <v>DD2024101811784</v>
      </c>
      <c r="D6909" s="1" t="str">
        <f>"CK202410189169"</f>
        <v>CK202410189169</v>
      </c>
      <c r="E6909" s="1" t="str">
        <f>"6935153377302288225"</f>
        <v>6935153377302288225</v>
      </c>
      <c r="F6909" s="1" t="str">
        <f t="shared" si="2025"/>
        <v>花都四部-凤凰仓</v>
      </c>
      <c r="G6909" s="1" t="str">
        <f t="shared" si="2029"/>
        <v>卡卡杜个人护理店（抖店）</v>
      </c>
      <c r="H6909" s="1" t="str">
        <f t="shared" si="2026"/>
        <v>正常订单</v>
      </c>
      <c r="I6909" s="1" t="str">
        <f t="shared" si="2027"/>
        <v>已发货</v>
      </c>
      <c r="J6909" s="1" t="str">
        <f t="shared" si="2030"/>
        <v>3</v>
      </c>
      <c r="K6909" s="1">
        <v>2</v>
      </c>
      <c r="L6909" s="1" t="s">
        <v>13</v>
      </c>
      <c r="M6909" s="1" t="str">
        <f>"江苏省 苏州市 常熟市 辛庄镇"</f>
        <v>江苏省 苏州市 常熟市 辛庄镇</v>
      </c>
      <c r="N6909" s="1" t="str">
        <f t="shared" si="2028"/>
        <v>凡华云仓-韵达-抖音</v>
      </c>
      <c r="O6909" s="5">
        <v>320177465999153</v>
      </c>
      <c r="P6909" s="6">
        <v>0.35</v>
      </c>
      <c r="Q6909" s="11">
        <v>2.2999999999999998</v>
      </c>
      <c r="R6909" s="11"/>
      <c r="S6909" s="11"/>
      <c r="T6909" s="11"/>
      <c r="U6909" s="11">
        <f t="shared" si="2022"/>
        <v>2.2999999999999998</v>
      </c>
      <c r="W6909">
        <v>2.5</v>
      </c>
      <c r="X6909" s="1" t="s">
        <v>13</v>
      </c>
    </row>
    <row r="6910" spans="1:24" x14ac:dyDescent="0.25">
      <c r="A6910" s="1" t="str">
        <f t="shared" si="2024"/>
        <v>卡卡杜-凤凰仓</v>
      </c>
      <c r="B6910" s="1" t="str">
        <f>"CK202410183652"</f>
        <v>CK202410183652</v>
      </c>
      <c r="C6910" s="1" t="str">
        <f>"DD2024101811772"</f>
        <v>DD2024101811772</v>
      </c>
      <c r="D6910" s="1" t="str">
        <f>"CK202410189168"</f>
        <v>CK202410189168</v>
      </c>
      <c r="E6910" s="1" t="str">
        <f>"6935140506701075876"</f>
        <v>6935140506701075876</v>
      </c>
      <c r="F6910" s="1" t="str">
        <f t="shared" si="2025"/>
        <v>花都四部-凤凰仓</v>
      </c>
      <c r="G6910" s="1" t="str">
        <f t="shared" si="2029"/>
        <v>卡卡杜个人护理店（抖店）</v>
      </c>
      <c r="H6910" s="1" t="str">
        <f t="shared" si="2026"/>
        <v>正常订单</v>
      </c>
      <c r="I6910" s="1" t="str">
        <f t="shared" si="2027"/>
        <v>已发货</v>
      </c>
      <c r="J6910" s="1" t="str">
        <f t="shared" si="2030"/>
        <v>3</v>
      </c>
      <c r="K6910" s="1">
        <v>2</v>
      </c>
      <c r="L6910" s="1" t="s">
        <v>27</v>
      </c>
      <c r="M6910" s="1" t="str">
        <f>"贵州省 黔南布依族苗族自治州 三都水族自治县 凤羽街道"</f>
        <v>贵州省 黔南布依族苗族自治州 三都水族自治县 凤羽街道</v>
      </c>
      <c r="N6910" s="1" t="str">
        <f t="shared" si="2028"/>
        <v>凡华云仓-韵达-抖音</v>
      </c>
      <c r="O6910" s="5">
        <v>320177465999064</v>
      </c>
      <c r="P6910" s="6">
        <v>0.35</v>
      </c>
      <c r="Q6910" s="11">
        <v>2.2999999999999998</v>
      </c>
      <c r="R6910" s="11"/>
      <c r="S6910" s="11"/>
      <c r="T6910" s="11"/>
      <c r="U6910" s="11">
        <f t="shared" si="2022"/>
        <v>2.2999999999999998</v>
      </c>
      <c r="W6910">
        <v>2.5</v>
      </c>
      <c r="X6910" s="1" t="s">
        <v>27</v>
      </c>
    </row>
    <row r="6911" spans="1:24" x14ac:dyDescent="0.25">
      <c r="A6911" s="1" t="str">
        <f t="shared" si="2024"/>
        <v>卡卡杜-凤凰仓</v>
      </c>
      <c r="B6911" s="1" t="str">
        <f>"CK202410183667"</f>
        <v>CK202410183667</v>
      </c>
      <c r="C6911" s="1" t="str">
        <f>"DD2024101811786"</f>
        <v>DD2024101811786</v>
      </c>
      <c r="D6911" s="1" t="str">
        <f>"CK202410189167"</f>
        <v>CK202410189167</v>
      </c>
      <c r="E6911" s="1" t="str">
        <f>"6935146785246877472"</f>
        <v>6935146785246877472</v>
      </c>
      <c r="F6911" s="1" t="str">
        <f t="shared" si="2025"/>
        <v>花都四部-凤凰仓</v>
      </c>
      <c r="G6911" s="1" t="str">
        <f t="shared" si="2029"/>
        <v>卡卡杜个人护理店（抖店）</v>
      </c>
      <c r="H6911" s="1" t="str">
        <f t="shared" si="2026"/>
        <v>正常订单</v>
      </c>
      <c r="I6911" s="1" t="str">
        <f t="shared" si="2027"/>
        <v>已发货</v>
      </c>
      <c r="J6911" s="1" t="str">
        <f t="shared" si="2030"/>
        <v>3</v>
      </c>
      <c r="K6911" s="1">
        <v>2</v>
      </c>
      <c r="L6911" s="1" t="s">
        <v>60</v>
      </c>
      <c r="M6911" s="1" t="str">
        <f>"云南省 楚雄彝族自治州 元谋县 物茂乡"</f>
        <v>云南省 楚雄彝族自治州 元谋县 物茂乡</v>
      </c>
      <c r="N6911" s="1" t="str">
        <f t="shared" si="2028"/>
        <v>凡华云仓-韵达-抖音</v>
      </c>
      <c r="O6911" s="5">
        <v>320177465998932</v>
      </c>
      <c r="P6911" s="6">
        <v>0.35</v>
      </c>
      <c r="Q6911" s="11">
        <v>2.2999999999999998</v>
      </c>
      <c r="R6911" s="11"/>
      <c r="S6911" s="11"/>
      <c r="T6911" s="11"/>
      <c r="U6911" s="11">
        <f t="shared" si="2022"/>
        <v>2.2999999999999998</v>
      </c>
      <c r="W6911">
        <v>2.5</v>
      </c>
      <c r="X6911" s="1" t="s">
        <v>60</v>
      </c>
    </row>
    <row r="6912" spans="1:24" x14ac:dyDescent="0.25">
      <c r="A6912" s="1" t="str">
        <f t="shared" si="2024"/>
        <v>卡卡杜-凤凰仓</v>
      </c>
      <c r="B6912" s="1" t="str">
        <f>"CK202410183680"</f>
        <v>CK202410183680</v>
      </c>
      <c r="C6912" s="1" t="str">
        <f>"DD2024101811800"</f>
        <v>DD2024101811800</v>
      </c>
      <c r="D6912" s="1" t="str">
        <f>"CK202410189166"</f>
        <v>CK202410189166</v>
      </c>
      <c r="E6912" s="1" t="str">
        <f>"6935133595493668164"</f>
        <v>6935133595493668164</v>
      </c>
      <c r="F6912" s="1" t="str">
        <f t="shared" si="2025"/>
        <v>花都四部-凤凰仓</v>
      </c>
      <c r="G6912" s="1" t="str">
        <f t="shared" si="2029"/>
        <v>卡卡杜个人护理店（抖店）</v>
      </c>
      <c r="H6912" s="1" t="str">
        <f t="shared" si="2026"/>
        <v>正常订单</v>
      </c>
      <c r="I6912" s="1" t="str">
        <f t="shared" si="2027"/>
        <v>已发货</v>
      </c>
      <c r="J6912" s="1" t="str">
        <f t="shared" si="2030"/>
        <v>3</v>
      </c>
      <c r="K6912" s="1">
        <v>2</v>
      </c>
      <c r="L6912" s="1" t="s">
        <v>36</v>
      </c>
      <c r="M6912" s="1" t="str">
        <f>"安徽省 蚌埠市 蚌山区 湖滨社区行政事务管理中心"</f>
        <v>安徽省 蚌埠市 蚌山区 湖滨社区行政事务管理中心</v>
      </c>
      <c r="N6912" s="1" t="str">
        <f t="shared" si="2028"/>
        <v>凡华云仓-韵达-抖音</v>
      </c>
      <c r="O6912" s="5">
        <v>320177465998827</v>
      </c>
      <c r="P6912" s="6">
        <v>0.35</v>
      </c>
      <c r="Q6912" s="11">
        <v>2.2999999999999998</v>
      </c>
      <c r="R6912" s="11"/>
      <c r="S6912" s="11"/>
      <c r="T6912" s="11"/>
      <c r="U6912" s="11">
        <f t="shared" si="2022"/>
        <v>2.2999999999999998</v>
      </c>
      <c r="W6912">
        <v>2.5</v>
      </c>
      <c r="X6912" s="1" t="s">
        <v>36</v>
      </c>
    </row>
    <row r="6913" spans="1:24" x14ac:dyDescent="0.25">
      <c r="A6913" s="1" t="str">
        <f t="shared" si="2024"/>
        <v>卡卡杜-凤凰仓</v>
      </c>
      <c r="B6913" s="1" t="str">
        <f>"CK202410183679"</f>
        <v>CK202410183679</v>
      </c>
      <c r="C6913" s="1" t="str">
        <f>"DD2024101811798"</f>
        <v>DD2024101811798</v>
      </c>
      <c r="D6913" s="1" t="str">
        <f>"CK202410189165"</f>
        <v>CK202410189165</v>
      </c>
      <c r="E6913" s="1" t="str">
        <f>"6935135918552257996"</f>
        <v>6935135918552257996</v>
      </c>
      <c r="F6913" s="1" t="str">
        <f t="shared" si="2025"/>
        <v>花都四部-凤凰仓</v>
      </c>
      <c r="G6913" s="1" t="str">
        <f t="shared" si="2029"/>
        <v>卡卡杜个人护理店（抖店）</v>
      </c>
      <c r="H6913" s="1" t="str">
        <f t="shared" si="2026"/>
        <v>正常订单</v>
      </c>
      <c r="I6913" s="1" t="str">
        <f t="shared" si="2027"/>
        <v>已发货</v>
      </c>
      <c r="J6913" s="1" t="str">
        <f t="shared" si="2030"/>
        <v>3</v>
      </c>
      <c r="K6913" s="1">
        <v>2</v>
      </c>
      <c r="L6913" s="1" t="s">
        <v>13</v>
      </c>
      <c r="M6913" s="1" t="str">
        <f>"江苏省 南京市 浦口区 顶山街道"</f>
        <v>江苏省 南京市 浦口区 顶山街道</v>
      </c>
      <c r="N6913" s="1" t="str">
        <f t="shared" si="2028"/>
        <v>凡华云仓-韵达-抖音</v>
      </c>
      <c r="O6913" s="5">
        <v>320177465998724</v>
      </c>
      <c r="P6913" s="6">
        <v>0.35</v>
      </c>
      <c r="Q6913" s="11">
        <v>2.2999999999999998</v>
      </c>
      <c r="R6913" s="11"/>
      <c r="S6913" s="11"/>
      <c r="T6913" s="11"/>
      <c r="U6913" s="11">
        <f t="shared" si="2022"/>
        <v>2.2999999999999998</v>
      </c>
      <c r="W6913">
        <v>2.5</v>
      </c>
      <c r="X6913" s="1" t="s">
        <v>13</v>
      </c>
    </row>
    <row r="6914" spans="1:24" x14ac:dyDescent="0.25">
      <c r="A6914" s="1" t="str">
        <f t="shared" si="2024"/>
        <v>卡卡杜-凤凰仓</v>
      </c>
      <c r="B6914" s="1" t="str">
        <f>"CK202410183678"</f>
        <v>CK202410183678</v>
      </c>
      <c r="C6914" s="1" t="str">
        <f>"DD2024101811797"</f>
        <v>DD2024101811797</v>
      </c>
      <c r="D6914" s="1" t="str">
        <f>"CK202410189164"</f>
        <v>CK202410189164</v>
      </c>
      <c r="E6914" s="1" t="str">
        <f>"6935142879451223841"</f>
        <v>6935142879451223841</v>
      </c>
      <c r="F6914" s="1" t="str">
        <f t="shared" si="2025"/>
        <v>花都四部-凤凰仓</v>
      </c>
      <c r="G6914" s="1" t="str">
        <f t="shared" si="2029"/>
        <v>卡卡杜个人护理店（抖店）</v>
      </c>
      <c r="H6914" s="1" t="str">
        <f t="shared" si="2026"/>
        <v>正常订单</v>
      </c>
      <c r="I6914" s="1" t="str">
        <f t="shared" si="2027"/>
        <v>已发货</v>
      </c>
      <c r="J6914" s="1" t="str">
        <f t="shared" si="2030"/>
        <v>3</v>
      </c>
      <c r="K6914" s="1">
        <v>2</v>
      </c>
      <c r="L6914" s="1" t="s">
        <v>13</v>
      </c>
      <c r="M6914" s="1" t="str">
        <f>"江苏省 徐州市 丰县 中阳里街道"</f>
        <v>江苏省 徐州市 丰县 中阳里街道</v>
      </c>
      <c r="N6914" s="1" t="str">
        <f t="shared" si="2028"/>
        <v>凡华云仓-韵达-抖音</v>
      </c>
      <c r="O6914" s="5">
        <v>320177465998623</v>
      </c>
      <c r="P6914" s="6">
        <v>0.35</v>
      </c>
      <c r="Q6914" s="11">
        <v>2.2999999999999998</v>
      </c>
      <c r="R6914" s="11"/>
      <c r="S6914" s="11"/>
      <c r="T6914" s="11"/>
      <c r="U6914" s="11">
        <f t="shared" si="2022"/>
        <v>2.2999999999999998</v>
      </c>
      <c r="W6914">
        <v>2.5</v>
      </c>
      <c r="X6914" s="1" t="s">
        <v>13</v>
      </c>
    </row>
    <row r="6915" spans="1:24" x14ac:dyDescent="0.25">
      <c r="A6915" s="1" t="str">
        <f t="shared" si="2024"/>
        <v>卡卡杜-凤凰仓</v>
      </c>
      <c r="B6915" s="1" t="str">
        <f>"CK202410183677"</f>
        <v>CK202410183677</v>
      </c>
      <c r="C6915" s="1" t="str">
        <f>"DD2024101811796"</f>
        <v>DD2024101811796</v>
      </c>
      <c r="D6915" s="1" t="str">
        <f>"CK202410189163"</f>
        <v>CK202410189163</v>
      </c>
      <c r="E6915" s="1" t="str">
        <f>"6935140432909899630"</f>
        <v>6935140432909899630</v>
      </c>
      <c r="F6915" s="1" t="str">
        <f t="shared" si="2025"/>
        <v>花都四部-凤凰仓</v>
      </c>
      <c r="G6915" s="1" t="str">
        <f t="shared" si="2029"/>
        <v>卡卡杜个人护理店（抖店）</v>
      </c>
      <c r="H6915" s="1" t="str">
        <f t="shared" si="2026"/>
        <v>正常订单</v>
      </c>
      <c r="I6915" s="1" t="str">
        <f t="shared" si="2027"/>
        <v>已发货</v>
      </c>
      <c r="J6915" s="1" t="str">
        <f t="shared" si="2030"/>
        <v>3</v>
      </c>
      <c r="K6915" s="1">
        <v>2</v>
      </c>
      <c r="L6915" s="1" t="s">
        <v>13</v>
      </c>
      <c r="M6915" s="1" t="str">
        <f>"江苏省 镇江市 扬中市 三茅街道"</f>
        <v>江苏省 镇江市 扬中市 三茅街道</v>
      </c>
      <c r="N6915" s="1" t="str">
        <f t="shared" si="2028"/>
        <v>凡华云仓-韵达-抖音</v>
      </c>
      <c r="O6915" s="5">
        <v>320177460787846</v>
      </c>
      <c r="P6915" s="6">
        <v>0.35</v>
      </c>
      <c r="Q6915" s="11">
        <v>2.2999999999999998</v>
      </c>
      <c r="R6915" s="11"/>
      <c r="S6915" s="11"/>
      <c r="T6915" s="11"/>
      <c r="U6915" s="11">
        <f t="shared" ref="U6915:U6978" si="2031">T6915+S6915+R6915+Q6915</f>
        <v>2.2999999999999998</v>
      </c>
      <c r="W6915">
        <v>2.5</v>
      </c>
      <c r="X6915" s="1" t="s">
        <v>13</v>
      </c>
    </row>
    <row r="6916" spans="1:24" x14ac:dyDescent="0.25">
      <c r="A6916" s="1" t="str">
        <f t="shared" si="2024"/>
        <v>卡卡杜-凤凰仓</v>
      </c>
      <c r="B6916" s="1" t="str">
        <f>"CK202410183676"</f>
        <v>CK202410183676</v>
      </c>
      <c r="C6916" s="1" t="str">
        <f>"DD2024101811795"</f>
        <v>DD2024101811795</v>
      </c>
      <c r="D6916" s="1" t="str">
        <f>"CK202410189162"</f>
        <v>CK202410189162</v>
      </c>
      <c r="E6916" s="1" t="str">
        <f>"6935138309907945106"</f>
        <v>6935138309907945106</v>
      </c>
      <c r="F6916" s="1" t="str">
        <f t="shared" si="2025"/>
        <v>花都四部-凤凰仓</v>
      </c>
      <c r="G6916" s="1" t="str">
        <f t="shared" si="2029"/>
        <v>卡卡杜个人护理店（抖店）</v>
      </c>
      <c r="H6916" s="1" t="str">
        <f t="shared" si="2026"/>
        <v>正常订单</v>
      </c>
      <c r="I6916" s="1" t="str">
        <f t="shared" si="2027"/>
        <v>已发货</v>
      </c>
      <c r="J6916" s="1" t="str">
        <f t="shared" si="2030"/>
        <v>3</v>
      </c>
      <c r="K6916" s="1">
        <v>2</v>
      </c>
      <c r="L6916" s="1" t="s">
        <v>18</v>
      </c>
      <c r="M6916" s="1" t="str">
        <f>"广东省 深圳市 龙岗区 龙岗街道"</f>
        <v>广东省 深圳市 龙岗区 龙岗街道</v>
      </c>
      <c r="N6916" s="1" t="str">
        <f t="shared" si="2028"/>
        <v>凡华云仓-韵达-抖音</v>
      </c>
      <c r="O6916" s="5">
        <v>320177460787743</v>
      </c>
      <c r="P6916" s="6">
        <v>0.35</v>
      </c>
      <c r="Q6916" s="11">
        <v>2.2999999999999998</v>
      </c>
      <c r="R6916" s="11"/>
      <c r="S6916" s="11"/>
      <c r="T6916" s="11"/>
      <c r="U6916" s="11">
        <f t="shared" si="2031"/>
        <v>2.2999999999999998</v>
      </c>
      <c r="W6916">
        <v>2.5</v>
      </c>
      <c r="X6916" s="1" t="s">
        <v>18</v>
      </c>
    </row>
    <row r="6917" spans="1:24" x14ac:dyDescent="0.25">
      <c r="A6917" s="1" t="str">
        <f t="shared" ref="A6917:A6980" si="2032">"卡卡杜-凤凰仓"</f>
        <v>卡卡杜-凤凰仓</v>
      </c>
      <c r="B6917" s="1" t="str">
        <f>"CK202410183674"</f>
        <v>CK202410183674</v>
      </c>
      <c r="C6917" s="1" t="str">
        <f>"DD2024101811794"</f>
        <v>DD2024101811794</v>
      </c>
      <c r="D6917" s="1" t="str">
        <f>"CK202410189161"</f>
        <v>CK202410189161</v>
      </c>
      <c r="E6917" s="1" t="str">
        <f>"6935129075657413704"</f>
        <v>6935129075657413704</v>
      </c>
      <c r="F6917" s="1" t="str">
        <f t="shared" ref="F6917:F6980" si="2033">"花都四部-凤凰仓"</f>
        <v>花都四部-凤凰仓</v>
      </c>
      <c r="G6917" s="1" t="str">
        <f t="shared" si="2029"/>
        <v>卡卡杜个人护理店（抖店）</v>
      </c>
      <c r="H6917" s="1" t="str">
        <f t="shared" ref="H6917:H6980" si="2034">"正常订单"</f>
        <v>正常订单</v>
      </c>
      <c r="I6917" s="1" t="str">
        <f t="shared" ref="I6917:I6980" si="2035">"已发货"</f>
        <v>已发货</v>
      </c>
      <c r="J6917" s="1" t="str">
        <f t="shared" si="2030"/>
        <v>3</v>
      </c>
      <c r="K6917" s="1">
        <v>2</v>
      </c>
      <c r="L6917" s="1" t="s">
        <v>30</v>
      </c>
      <c r="M6917" s="1" t="str">
        <f>"山东省 威海市 环翠区 张村镇"</f>
        <v>山东省 威海市 环翠区 张村镇</v>
      </c>
      <c r="N6917" s="1" t="str">
        <f t="shared" si="2028"/>
        <v>凡华云仓-韵达-抖音</v>
      </c>
      <c r="O6917" s="5">
        <v>320177460787642</v>
      </c>
      <c r="P6917" s="6">
        <v>0.35</v>
      </c>
      <c r="Q6917" s="11">
        <v>2.2999999999999998</v>
      </c>
      <c r="R6917" s="11"/>
      <c r="S6917" s="11"/>
      <c r="T6917" s="11"/>
      <c r="U6917" s="11">
        <f t="shared" si="2031"/>
        <v>2.2999999999999998</v>
      </c>
      <c r="W6917">
        <v>2.5</v>
      </c>
      <c r="X6917" s="1" t="s">
        <v>30</v>
      </c>
    </row>
    <row r="6918" spans="1:24" x14ac:dyDescent="0.25">
      <c r="A6918" s="1" t="str">
        <f t="shared" si="2032"/>
        <v>卡卡杜-凤凰仓</v>
      </c>
      <c r="B6918" s="1" t="str">
        <f>"CK202410183668"</f>
        <v>CK202410183668</v>
      </c>
      <c r="C6918" s="1" t="str">
        <f>"DD2024101811787"</f>
        <v>DD2024101811787</v>
      </c>
      <c r="D6918" s="1" t="str">
        <f>"CK202410189160"</f>
        <v>CK202410189160</v>
      </c>
      <c r="E6918" s="1" t="str">
        <f>"6935153225736459670"</f>
        <v>6935153225736459670</v>
      </c>
      <c r="F6918" s="1" t="str">
        <f t="shared" si="2033"/>
        <v>花都四部-凤凰仓</v>
      </c>
      <c r="G6918" s="1" t="str">
        <f t="shared" si="2029"/>
        <v>卡卡杜个人护理店（抖店）</v>
      </c>
      <c r="H6918" s="1" t="str">
        <f t="shared" si="2034"/>
        <v>正常订单</v>
      </c>
      <c r="I6918" s="1" t="str">
        <f t="shared" si="2035"/>
        <v>已发货</v>
      </c>
      <c r="J6918" s="1" t="str">
        <f t="shared" si="2030"/>
        <v>3</v>
      </c>
      <c r="K6918" s="1">
        <v>2</v>
      </c>
      <c r="L6918" s="1" t="s">
        <v>41</v>
      </c>
      <c r="M6918" s="1" t="str">
        <f>"湖北省 潜江市 潜江市 杨市街道"</f>
        <v>湖北省 潜江市 潜江市 杨市街道</v>
      </c>
      <c r="N6918" s="1" t="str">
        <f t="shared" si="2028"/>
        <v>凡华云仓-韵达-抖音</v>
      </c>
      <c r="O6918" s="5">
        <v>320177460787543</v>
      </c>
      <c r="P6918" s="6">
        <v>0.35</v>
      </c>
      <c r="Q6918" s="11">
        <v>2.2999999999999998</v>
      </c>
      <c r="R6918" s="11"/>
      <c r="S6918" s="11"/>
      <c r="T6918" s="11"/>
      <c r="U6918" s="11">
        <f t="shared" si="2031"/>
        <v>2.2999999999999998</v>
      </c>
      <c r="W6918">
        <v>2.5</v>
      </c>
      <c r="X6918" s="1" t="s">
        <v>41</v>
      </c>
    </row>
    <row r="6919" spans="1:24" x14ac:dyDescent="0.25">
      <c r="A6919" s="1" t="str">
        <f t="shared" si="2032"/>
        <v>卡卡杜-凤凰仓</v>
      </c>
      <c r="B6919" s="1" t="str">
        <f>"CK202410183673"</f>
        <v>CK202410183673</v>
      </c>
      <c r="C6919" s="1" t="str">
        <f>"DD2024101811791"</f>
        <v>DD2024101811791</v>
      </c>
      <c r="D6919" s="1" t="str">
        <f>"CK202410189159"</f>
        <v>CK202410189159</v>
      </c>
      <c r="E6919" s="1" t="str">
        <f>"6935144702763144320"</f>
        <v>6935144702763144320</v>
      </c>
      <c r="F6919" s="1" t="str">
        <f t="shared" si="2033"/>
        <v>花都四部-凤凰仓</v>
      </c>
      <c r="G6919" s="1" t="str">
        <f t="shared" si="2029"/>
        <v>卡卡杜个人护理店（抖店）</v>
      </c>
      <c r="H6919" s="1" t="str">
        <f t="shared" si="2034"/>
        <v>正常订单</v>
      </c>
      <c r="I6919" s="1" t="str">
        <f t="shared" si="2035"/>
        <v>已发货</v>
      </c>
      <c r="J6919" s="1" t="str">
        <f t="shared" si="2030"/>
        <v>3</v>
      </c>
      <c r="K6919" s="1">
        <v>2</v>
      </c>
      <c r="L6919" s="1" t="s">
        <v>74</v>
      </c>
      <c r="M6919" s="1" t="str">
        <f>"上海 上海市 杨浦区 长海路街道"</f>
        <v>上海 上海市 杨浦区 长海路街道</v>
      </c>
      <c r="N6919" s="1" t="str">
        <f t="shared" si="2028"/>
        <v>凡华云仓-韵达-抖音</v>
      </c>
      <c r="O6919" s="5">
        <v>320177460787446</v>
      </c>
      <c r="P6919" s="6">
        <v>0.35</v>
      </c>
      <c r="Q6919" s="11">
        <v>2.2999999999999998</v>
      </c>
      <c r="R6919" s="11"/>
      <c r="S6919" s="11"/>
      <c r="T6919" s="11"/>
      <c r="U6919" s="11">
        <f t="shared" si="2031"/>
        <v>2.2999999999999998</v>
      </c>
      <c r="W6919">
        <v>2.5</v>
      </c>
      <c r="X6919" s="1" t="s">
        <v>74</v>
      </c>
    </row>
    <row r="6920" spans="1:24" x14ac:dyDescent="0.25">
      <c r="A6920" s="1" t="str">
        <f t="shared" si="2032"/>
        <v>卡卡杜-凤凰仓</v>
      </c>
      <c r="B6920" s="1" t="str">
        <f>"CK202410183672"</f>
        <v>CK202410183672</v>
      </c>
      <c r="C6920" s="1" t="str">
        <f>"DD2024101811792"</f>
        <v>DD2024101811792</v>
      </c>
      <c r="D6920" s="1" t="str">
        <f>"CK202410189158"</f>
        <v>CK202410189158</v>
      </c>
      <c r="E6920" s="1" t="str">
        <f>"6935155465062782524"</f>
        <v>6935155465062782524</v>
      </c>
      <c r="F6920" s="1" t="str">
        <f t="shared" si="2033"/>
        <v>花都四部-凤凰仓</v>
      </c>
      <c r="G6920" s="1" t="str">
        <f t="shared" si="2029"/>
        <v>卡卡杜个人护理店（抖店）</v>
      </c>
      <c r="H6920" s="1" t="str">
        <f t="shared" si="2034"/>
        <v>正常订单</v>
      </c>
      <c r="I6920" s="1" t="str">
        <f t="shared" si="2035"/>
        <v>已发货</v>
      </c>
      <c r="J6920" s="1" t="str">
        <f t="shared" si="2030"/>
        <v>3</v>
      </c>
      <c r="K6920" s="1">
        <v>2</v>
      </c>
      <c r="L6920" s="1" t="s">
        <v>13</v>
      </c>
      <c r="M6920" s="1" t="str">
        <f>"江苏省 徐州市 邳州市 东湖街道"</f>
        <v>江苏省 徐州市 邳州市 东湖街道</v>
      </c>
      <c r="N6920" s="1" t="str">
        <f t="shared" si="2028"/>
        <v>凡华云仓-韵达-抖音</v>
      </c>
      <c r="O6920" s="5">
        <v>320177460787351</v>
      </c>
      <c r="P6920" s="6">
        <v>0.35</v>
      </c>
      <c r="Q6920" s="11">
        <v>2.2999999999999998</v>
      </c>
      <c r="R6920" s="11"/>
      <c r="S6920" s="11"/>
      <c r="T6920" s="11"/>
      <c r="U6920" s="11">
        <f t="shared" si="2031"/>
        <v>2.2999999999999998</v>
      </c>
      <c r="W6920">
        <v>2.5</v>
      </c>
      <c r="X6920" s="1" t="s">
        <v>13</v>
      </c>
    </row>
    <row r="6921" spans="1:24" x14ac:dyDescent="0.25">
      <c r="A6921" s="1" t="str">
        <f t="shared" si="2032"/>
        <v>卡卡杜-凤凰仓</v>
      </c>
      <c r="B6921" s="1" t="str">
        <f>"CK202410183671"</f>
        <v>CK202410183671</v>
      </c>
      <c r="C6921" s="1" t="str">
        <f>"DD2024101811790"</f>
        <v>DD2024101811790</v>
      </c>
      <c r="D6921" s="1" t="str">
        <f>"CK202410189157"</f>
        <v>CK202410189157</v>
      </c>
      <c r="E6921" s="1" t="str">
        <f>"6935138399256713116"</f>
        <v>6935138399256713116</v>
      </c>
      <c r="F6921" s="1" t="str">
        <f t="shared" si="2033"/>
        <v>花都四部-凤凰仓</v>
      </c>
      <c r="G6921" s="1" t="str">
        <f t="shared" si="2029"/>
        <v>卡卡杜个人护理店（抖店）</v>
      </c>
      <c r="H6921" s="1" t="str">
        <f t="shared" si="2034"/>
        <v>正常订单</v>
      </c>
      <c r="I6921" s="1" t="str">
        <f t="shared" si="2035"/>
        <v>已发货</v>
      </c>
      <c r="J6921" s="1" t="str">
        <f t="shared" si="2030"/>
        <v>3</v>
      </c>
      <c r="K6921" s="1">
        <v>2</v>
      </c>
      <c r="L6921" s="1" t="s">
        <v>36</v>
      </c>
      <c r="M6921" s="1" t="str">
        <f>"安徽省 合肥市 肥东县 店埠镇"</f>
        <v>安徽省 合肥市 肥东县 店埠镇</v>
      </c>
      <c r="N6921" s="1" t="str">
        <f t="shared" si="2028"/>
        <v>凡华云仓-韵达-抖音</v>
      </c>
      <c r="O6921" s="5">
        <v>320177460787258</v>
      </c>
      <c r="P6921" s="6">
        <v>0.35</v>
      </c>
      <c r="Q6921" s="11">
        <v>2.2999999999999998</v>
      </c>
      <c r="R6921" s="11"/>
      <c r="S6921" s="11"/>
      <c r="T6921" s="11"/>
      <c r="U6921" s="11">
        <f t="shared" si="2031"/>
        <v>2.2999999999999998</v>
      </c>
      <c r="W6921">
        <v>2.5</v>
      </c>
      <c r="X6921" s="1" t="s">
        <v>36</v>
      </c>
    </row>
    <row r="6922" spans="1:24" x14ac:dyDescent="0.25">
      <c r="A6922" s="1" t="str">
        <f t="shared" si="2032"/>
        <v>卡卡杜-凤凰仓</v>
      </c>
      <c r="B6922" s="1" t="str">
        <f>"CK202410183670"</f>
        <v>CK202410183670</v>
      </c>
      <c r="C6922" s="1" t="str">
        <f>"DD2024101811789"</f>
        <v>DD2024101811789</v>
      </c>
      <c r="D6922" s="1" t="str">
        <f>"CK202410189156"</f>
        <v>CK202410189156</v>
      </c>
      <c r="E6922" s="1" t="str">
        <f>"6935142857781285909"</f>
        <v>6935142857781285909</v>
      </c>
      <c r="F6922" s="1" t="str">
        <f t="shared" si="2033"/>
        <v>花都四部-凤凰仓</v>
      </c>
      <c r="G6922" s="1" t="str">
        <f t="shared" si="2029"/>
        <v>卡卡杜个人护理店（抖店）</v>
      </c>
      <c r="H6922" s="1" t="str">
        <f t="shared" si="2034"/>
        <v>正常订单</v>
      </c>
      <c r="I6922" s="1" t="str">
        <f t="shared" si="2035"/>
        <v>已发货</v>
      </c>
      <c r="J6922" s="1" t="str">
        <f t="shared" si="2030"/>
        <v>3</v>
      </c>
      <c r="K6922" s="1">
        <v>2</v>
      </c>
      <c r="L6922" s="1" t="s">
        <v>13</v>
      </c>
      <c r="M6922" s="1" t="str">
        <f>"江苏省 徐州市 丰县 凤城街道"</f>
        <v>江苏省 徐州市 丰县 凤城街道</v>
      </c>
      <c r="N6922" s="1" t="str">
        <f t="shared" si="2028"/>
        <v>凡华云仓-韵达-抖音</v>
      </c>
      <c r="O6922" s="5">
        <v>320177460787167</v>
      </c>
      <c r="P6922" s="6">
        <v>0.35</v>
      </c>
      <c r="Q6922" s="11">
        <v>2.2999999999999998</v>
      </c>
      <c r="R6922" s="11"/>
      <c r="S6922" s="11"/>
      <c r="T6922" s="11"/>
      <c r="U6922" s="11">
        <f t="shared" si="2031"/>
        <v>2.2999999999999998</v>
      </c>
      <c r="W6922">
        <v>2.5</v>
      </c>
      <c r="X6922" s="1" t="s">
        <v>13</v>
      </c>
    </row>
    <row r="6923" spans="1:24" x14ac:dyDescent="0.25">
      <c r="A6923" s="1" t="str">
        <f t="shared" si="2032"/>
        <v>卡卡杜-凤凰仓</v>
      </c>
      <c r="B6923" s="1" t="str">
        <f>"CK202410183654"</f>
        <v>CK202410183654</v>
      </c>
      <c r="C6923" s="1" t="str">
        <f>"DD2024101811774"</f>
        <v>DD2024101811774</v>
      </c>
      <c r="D6923" s="1" t="str">
        <f>"CK202410189155"</f>
        <v>CK202410189155</v>
      </c>
      <c r="E6923" s="1" t="str">
        <f>"6935160178244457744"</f>
        <v>6935160178244457744</v>
      </c>
      <c r="F6923" s="1" t="str">
        <f t="shared" si="2033"/>
        <v>花都四部-凤凰仓</v>
      </c>
      <c r="G6923" s="1" t="str">
        <f t="shared" si="2029"/>
        <v>卡卡杜个人护理店（抖店）</v>
      </c>
      <c r="H6923" s="1" t="str">
        <f t="shared" si="2034"/>
        <v>正常订单</v>
      </c>
      <c r="I6923" s="1" t="str">
        <f t="shared" si="2035"/>
        <v>已发货</v>
      </c>
      <c r="J6923" s="1" t="str">
        <f t="shared" si="2030"/>
        <v>3</v>
      </c>
      <c r="K6923" s="1">
        <v>2</v>
      </c>
      <c r="L6923" s="1" t="s">
        <v>80</v>
      </c>
      <c r="M6923" s="1" t="str">
        <f>"河南省 南阳市 内乡县 大桥乡"</f>
        <v>河南省 南阳市 内乡县 大桥乡</v>
      </c>
      <c r="N6923" s="1" t="str">
        <f t="shared" si="2028"/>
        <v>凡华云仓-韵达-抖音</v>
      </c>
      <c r="O6923" s="5">
        <v>320177460787078</v>
      </c>
      <c r="P6923" s="6">
        <v>0.35</v>
      </c>
      <c r="Q6923" s="11">
        <v>2.2999999999999998</v>
      </c>
      <c r="R6923" s="11"/>
      <c r="S6923" s="11"/>
      <c r="T6923" s="11"/>
      <c r="U6923" s="11">
        <f t="shared" si="2031"/>
        <v>2.2999999999999998</v>
      </c>
      <c r="W6923">
        <v>2.5</v>
      </c>
      <c r="X6923" s="1" t="s">
        <v>80</v>
      </c>
    </row>
    <row r="6924" spans="1:24" x14ac:dyDescent="0.25">
      <c r="A6924" s="1" t="str">
        <f t="shared" si="2032"/>
        <v>卡卡杜-凤凰仓</v>
      </c>
      <c r="B6924" s="1" t="str">
        <f>"CK202410183623"</f>
        <v>CK202410183623</v>
      </c>
      <c r="C6924" s="1" t="str">
        <f>"DD2024101811744"</f>
        <v>DD2024101811744</v>
      </c>
      <c r="D6924" s="1" t="str">
        <f>"CK202410189154"</f>
        <v>CK202410189154</v>
      </c>
      <c r="E6924" s="1" t="str">
        <f>"6935136023600764639"</f>
        <v>6935136023600764639</v>
      </c>
      <c r="F6924" s="1" t="str">
        <f t="shared" si="2033"/>
        <v>花都四部-凤凰仓</v>
      </c>
      <c r="G6924" s="1" t="str">
        <f t="shared" si="2029"/>
        <v>卡卡杜个人护理店（抖店）</v>
      </c>
      <c r="H6924" s="1" t="str">
        <f t="shared" si="2034"/>
        <v>正常订单</v>
      </c>
      <c r="I6924" s="1" t="str">
        <f t="shared" si="2035"/>
        <v>已发货</v>
      </c>
      <c r="J6924" s="1" t="str">
        <f>"5"</f>
        <v>5</v>
      </c>
      <c r="K6924" s="1">
        <v>2</v>
      </c>
      <c r="L6924" s="1" t="s">
        <v>30</v>
      </c>
      <c r="M6924" s="1" t="str">
        <f>"山东省 烟台市 蓬莱区 刘家沟镇"</f>
        <v>山东省 烟台市 蓬莱区 刘家沟镇</v>
      </c>
      <c r="N6924" s="1" t="str">
        <f t="shared" si="2028"/>
        <v>凡华云仓-韵达-抖音</v>
      </c>
      <c r="O6924" s="5">
        <v>320177460786950</v>
      </c>
      <c r="P6924" s="6">
        <v>0.59</v>
      </c>
      <c r="Q6924" s="11">
        <f>CEILING(P6924-0.5,0.1)*10*0.15+2.3</f>
        <v>2.4499999999999997</v>
      </c>
      <c r="R6924" s="11"/>
      <c r="S6924" s="11"/>
      <c r="T6924" s="11"/>
      <c r="U6924" s="11">
        <f t="shared" si="2031"/>
        <v>2.4499999999999997</v>
      </c>
      <c r="V6924" t="s">
        <v>15</v>
      </c>
      <c r="W6924">
        <v>2.4500000000000002</v>
      </c>
      <c r="X6924" s="1" t="s">
        <v>30</v>
      </c>
    </row>
    <row r="6925" spans="1:24" x14ac:dyDescent="0.25">
      <c r="A6925" s="1" t="str">
        <f t="shared" si="2032"/>
        <v>卡卡杜-凤凰仓</v>
      </c>
      <c r="B6925" s="1" t="str">
        <f>"CK202410183675"</f>
        <v>CK202410183675</v>
      </c>
      <c r="C6925" s="1" t="str">
        <f>"DD2024101811793"</f>
        <v>DD2024101811793</v>
      </c>
      <c r="D6925" s="1" t="str">
        <f>"CK202410189153"</f>
        <v>CK202410189153</v>
      </c>
      <c r="E6925" s="1" t="str">
        <f>"6935133549038408789"</f>
        <v>6935133549038408789</v>
      </c>
      <c r="F6925" s="1" t="str">
        <f t="shared" si="2033"/>
        <v>花都四部-凤凰仓</v>
      </c>
      <c r="G6925" s="1" t="str">
        <f t="shared" si="2029"/>
        <v>卡卡杜个人护理店（抖店）</v>
      </c>
      <c r="H6925" s="1" t="str">
        <f t="shared" si="2034"/>
        <v>正常订单</v>
      </c>
      <c r="I6925" s="1" t="str">
        <f t="shared" si="2035"/>
        <v>已发货</v>
      </c>
      <c r="J6925" s="1" t="str">
        <f t="shared" ref="J6925:J6939" si="2036">"3"</f>
        <v>3</v>
      </c>
      <c r="K6925" s="1">
        <v>2</v>
      </c>
      <c r="L6925" s="1" t="s">
        <v>13</v>
      </c>
      <c r="M6925" s="1" t="str">
        <f>"江苏省 徐州市 睢宁县 睢城街道"</f>
        <v>江苏省 徐州市 睢宁县 睢城街道</v>
      </c>
      <c r="N6925" s="1" t="str">
        <f t="shared" si="2028"/>
        <v>凡华云仓-韵达-抖音</v>
      </c>
      <c r="O6925" s="5">
        <v>320177477599057</v>
      </c>
      <c r="P6925" s="6">
        <v>0.35</v>
      </c>
      <c r="Q6925" s="11">
        <v>2.2999999999999998</v>
      </c>
      <c r="R6925" s="11"/>
      <c r="S6925" s="11"/>
      <c r="T6925" s="11"/>
      <c r="U6925" s="11">
        <f t="shared" si="2031"/>
        <v>2.2999999999999998</v>
      </c>
      <c r="W6925">
        <v>2.5</v>
      </c>
      <c r="X6925" s="1" t="s">
        <v>13</v>
      </c>
    </row>
    <row r="6926" spans="1:24" x14ac:dyDescent="0.25">
      <c r="A6926" s="1" t="str">
        <f t="shared" si="2032"/>
        <v>卡卡杜-凤凰仓</v>
      </c>
      <c r="B6926" s="1" t="str">
        <f>"CK202410183641"</f>
        <v>CK202410183641</v>
      </c>
      <c r="C6926" s="1" t="str">
        <f>"DD2024101811760"</f>
        <v>DD2024101811760</v>
      </c>
      <c r="D6926" s="1" t="str">
        <f>"CK202410189152"</f>
        <v>CK202410189152</v>
      </c>
      <c r="E6926" s="1" t="str">
        <f>"6935155356052428059"</f>
        <v>6935155356052428059</v>
      </c>
      <c r="F6926" s="1" t="str">
        <f t="shared" si="2033"/>
        <v>花都四部-凤凰仓</v>
      </c>
      <c r="G6926" s="1" t="str">
        <f t="shared" si="2029"/>
        <v>卡卡杜个人护理店（抖店）</v>
      </c>
      <c r="H6926" s="1" t="str">
        <f t="shared" si="2034"/>
        <v>正常订单</v>
      </c>
      <c r="I6926" s="1" t="str">
        <f t="shared" si="2035"/>
        <v>已发货</v>
      </c>
      <c r="J6926" s="1" t="str">
        <f t="shared" si="2036"/>
        <v>3</v>
      </c>
      <c r="K6926" s="1">
        <v>2</v>
      </c>
      <c r="L6926" s="1" t="s">
        <v>80</v>
      </c>
      <c r="M6926" s="1" t="str">
        <f>"河南省 商丘市 柘城县 邵园街道"</f>
        <v>河南省 商丘市 柘城县 邵园街道</v>
      </c>
      <c r="N6926" s="1" t="str">
        <f t="shared" si="2028"/>
        <v>凡华云仓-韵达-抖音</v>
      </c>
      <c r="O6926" s="5">
        <v>320177477598925</v>
      </c>
      <c r="P6926" s="6">
        <v>0.35</v>
      </c>
      <c r="Q6926" s="11">
        <v>2.2999999999999998</v>
      </c>
      <c r="R6926" s="11"/>
      <c r="S6926" s="11"/>
      <c r="T6926" s="11"/>
      <c r="U6926" s="11">
        <f t="shared" si="2031"/>
        <v>2.2999999999999998</v>
      </c>
      <c r="W6926">
        <v>2.5</v>
      </c>
      <c r="X6926" s="1" t="s">
        <v>80</v>
      </c>
    </row>
    <row r="6927" spans="1:24" x14ac:dyDescent="0.25">
      <c r="A6927" s="1" t="str">
        <f t="shared" si="2032"/>
        <v>卡卡杜-凤凰仓</v>
      </c>
      <c r="B6927" s="1" t="str">
        <f>"CK202410183636"</f>
        <v>CK202410183636</v>
      </c>
      <c r="C6927" s="1" t="str">
        <f>"DD2024101811754"</f>
        <v>DD2024101811754</v>
      </c>
      <c r="D6927" s="1" t="str">
        <f>"CK202410189151"</f>
        <v>CK202410189151</v>
      </c>
      <c r="E6927" s="1" t="str">
        <f>"6935140377223697984"</f>
        <v>6935140377223697984</v>
      </c>
      <c r="F6927" s="1" t="str">
        <f t="shared" si="2033"/>
        <v>花都四部-凤凰仓</v>
      </c>
      <c r="G6927" s="1" t="str">
        <f t="shared" si="2029"/>
        <v>卡卡杜个人护理店（抖店）</v>
      </c>
      <c r="H6927" s="1" t="str">
        <f t="shared" si="2034"/>
        <v>正常订单</v>
      </c>
      <c r="I6927" s="1" t="str">
        <f t="shared" si="2035"/>
        <v>已发货</v>
      </c>
      <c r="J6927" s="1" t="str">
        <f t="shared" si="2036"/>
        <v>3</v>
      </c>
      <c r="K6927" s="1">
        <v>2</v>
      </c>
      <c r="L6927" s="1" t="s">
        <v>30</v>
      </c>
      <c r="M6927" s="1" t="str">
        <f>"山东省 青岛市 胶州市 中云街道"</f>
        <v>山东省 青岛市 胶州市 中云街道</v>
      </c>
      <c r="N6927" s="1" t="str">
        <f t="shared" si="2028"/>
        <v>凡华云仓-韵达-抖音</v>
      </c>
      <c r="O6927" s="5">
        <v>320177477598820</v>
      </c>
      <c r="P6927" s="6">
        <v>0.35</v>
      </c>
      <c r="Q6927" s="11">
        <v>2.2999999999999998</v>
      </c>
      <c r="R6927" s="11"/>
      <c r="S6927" s="11"/>
      <c r="T6927" s="11"/>
      <c r="U6927" s="11">
        <f t="shared" si="2031"/>
        <v>2.2999999999999998</v>
      </c>
      <c r="W6927">
        <v>2.5</v>
      </c>
      <c r="X6927" s="1" t="s">
        <v>30</v>
      </c>
    </row>
    <row r="6928" spans="1:24" x14ac:dyDescent="0.25">
      <c r="A6928" s="1" t="str">
        <f t="shared" si="2032"/>
        <v>卡卡杜-凤凰仓</v>
      </c>
      <c r="B6928" s="1" t="str">
        <f>"CK202410183635"</f>
        <v>CK202410183635</v>
      </c>
      <c r="C6928" s="1" t="str">
        <f>"DD2024101811756"</f>
        <v>DD2024101811756</v>
      </c>
      <c r="D6928" s="1" t="str">
        <f>"CK202410189150"</f>
        <v>CK202410189150</v>
      </c>
      <c r="E6928" s="1" t="str">
        <f>"6935122289642968895"</f>
        <v>6935122289642968895</v>
      </c>
      <c r="F6928" s="1" t="str">
        <f t="shared" si="2033"/>
        <v>花都四部-凤凰仓</v>
      </c>
      <c r="G6928" s="1" t="str">
        <f t="shared" si="2029"/>
        <v>卡卡杜个人护理店（抖店）</v>
      </c>
      <c r="H6928" s="1" t="str">
        <f t="shared" si="2034"/>
        <v>正常订单</v>
      </c>
      <c r="I6928" s="1" t="str">
        <f t="shared" si="2035"/>
        <v>已发货</v>
      </c>
      <c r="J6928" s="1" t="str">
        <f t="shared" si="2036"/>
        <v>3</v>
      </c>
      <c r="K6928" s="1">
        <v>2</v>
      </c>
      <c r="L6928" s="1" t="s">
        <v>13</v>
      </c>
      <c r="M6928" s="1" t="str">
        <f>"江苏省 苏州市 昆山市 巴城镇"</f>
        <v>江苏省 苏州市 昆山市 巴城镇</v>
      </c>
      <c r="N6928" s="1" t="str">
        <f t="shared" si="2028"/>
        <v>凡华云仓-韵达-抖音</v>
      </c>
      <c r="O6928" s="5">
        <v>320177477598717</v>
      </c>
      <c r="P6928" s="6">
        <v>0.35</v>
      </c>
      <c r="Q6928" s="11">
        <v>2.2999999999999998</v>
      </c>
      <c r="R6928" s="11"/>
      <c r="S6928" s="11"/>
      <c r="T6928" s="11"/>
      <c r="U6928" s="11">
        <f t="shared" si="2031"/>
        <v>2.2999999999999998</v>
      </c>
      <c r="W6928">
        <v>2.5</v>
      </c>
      <c r="X6928" s="1" t="s">
        <v>13</v>
      </c>
    </row>
    <row r="6929" spans="1:24" x14ac:dyDescent="0.25">
      <c r="A6929" s="1" t="str">
        <f t="shared" si="2032"/>
        <v>卡卡杜-凤凰仓</v>
      </c>
      <c r="B6929" s="1" t="str">
        <f>"CK202410183634"</f>
        <v>CK202410183634</v>
      </c>
      <c r="C6929" s="1" t="str">
        <f>"DD2024101811755"</f>
        <v>DD2024101811755</v>
      </c>
      <c r="D6929" s="1" t="str">
        <f>"CK202410189149"</f>
        <v>CK202410189149</v>
      </c>
      <c r="E6929" s="1" t="str">
        <f>"6935133457049589666"</f>
        <v>6935133457049589666</v>
      </c>
      <c r="F6929" s="1" t="str">
        <f t="shared" si="2033"/>
        <v>花都四部-凤凰仓</v>
      </c>
      <c r="G6929" s="1" t="str">
        <f t="shared" si="2029"/>
        <v>卡卡杜个人护理店（抖店）</v>
      </c>
      <c r="H6929" s="1" t="str">
        <f t="shared" si="2034"/>
        <v>正常订单</v>
      </c>
      <c r="I6929" s="1" t="str">
        <f t="shared" si="2035"/>
        <v>已发货</v>
      </c>
      <c r="J6929" s="1" t="str">
        <f t="shared" si="2036"/>
        <v>3</v>
      </c>
      <c r="K6929" s="1">
        <v>2</v>
      </c>
      <c r="L6929" s="1" t="s">
        <v>36</v>
      </c>
      <c r="M6929" s="1" t="str">
        <f>"安徽省 宿州市 萧县 杨楼镇"</f>
        <v>安徽省 宿州市 萧县 杨楼镇</v>
      </c>
      <c r="N6929" s="1" t="str">
        <f t="shared" si="2028"/>
        <v>凡华云仓-韵达-抖音</v>
      </c>
      <c r="O6929" s="5">
        <v>320177477598616</v>
      </c>
      <c r="P6929" s="6">
        <v>0.35</v>
      </c>
      <c r="Q6929" s="11">
        <v>2.2999999999999998</v>
      </c>
      <c r="R6929" s="11"/>
      <c r="S6929" s="11"/>
      <c r="T6929" s="11"/>
      <c r="U6929" s="11">
        <f t="shared" si="2031"/>
        <v>2.2999999999999998</v>
      </c>
      <c r="W6929">
        <v>2.5</v>
      </c>
      <c r="X6929" s="1" t="s">
        <v>36</v>
      </c>
    </row>
    <row r="6930" spans="1:24" x14ac:dyDescent="0.25">
      <c r="A6930" s="1" t="str">
        <f t="shared" si="2032"/>
        <v>卡卡杜-凤凰仓</v>
      </c>
      <c r="B6930" s="1" t="str">
        <f>"CK202410183633"</f>
        <v>CK202410183633</v>
      </c>
      <c r="C6930" s="1" t="str">
        <f>"DD2024101811752"</f>
        <v>DD2024101811752</v>
      </c>
      <c r="D6930" s="1" t="str">
        <f>"CK202410189148"</f>
        <v>CK202410189148</v>
      </c>
      <c r="E6930" s="1" t="str">
        <f>"6935160125749270333"</f>
        <v>6935160125749270333</v>
      </c>
      <c r="F6930" s="1" t="str">
        <f t="shared" si="2033"/>
        <v>花都四部-凤凰仓</v>
      </c>
      <c r="G6930" s="1" t="str">
        <f t="shared" si="2029"/>
        <v>卡卡杜个人护理店（抖店）</v>
      </c>
      <c r="H6930" s="1" t="str">
        <f t="shared" si="2034"/>
        <v>正常订单</v>
      </c>
      <c r="I6930" s="1" t="str">
        <f t="shared" si="2035"/>
        <v>已发货</v>
      </c>
      <c r="J6930" s="1" t="str">
        <f t="shared" si="2036"/>
        <v>3</v>
      </c>
      <c r="K6930" s="1">
        <v>2</v>
      </c>
      <c r="L6930" s="1" t="s">
        <v>13</v>
      </c>
      <c r="M6930" s="1" t="str">
        <f>"江苏省 淮安市 淮安区 "</f>
        <v xml:space="preserve">江苏省 淮安市 淮安区 </v>
      </c>
      <c r="N6930" s="1" t="str">
        <f t="shared" si="2028"/>
        <v>凡华云仓-韵达-抖音</v>
      </c>
      <c r="O6930" s="5">
        <v>320177477598517</v>
      </c>
      <c r="P6930" s="6">
        <v>0.35</v>
      </c>
      <c r="Q6930" s="11">
        <v>2.2999999999999998</v>
      </c>
      <c r="R6930" s="11"/>
      <c r="S6930" s="11"/>
      <c r="T6930" s="11"/>
      <c r="U6930" s="11">
        <f t="shared" si="2031"/>
        <v>2.2999999999999998</v>
      </c>
      <c r="W6930">
        <v>2.5</v>
      </c>
      <c r="X6930" s="1" t="s">
        <v>13</v>
      </c>
    </row>
    <row r="6931" spans="1:24" x14ac:dyDescent="0.25">
      <c r="A6931" s="1" t="str">
        <f t="shared" si="2032"/>
        <v>卡卡杜-凤凰仓</v>
      </c>
      <c r="B6931" s="1" t="str">
        <f>"CK202410183631"</f>
        <v>CK202410183631</v>
      </c>
      <c r="C6931" s="1" t="str">
        <f>"DD2024101811750"</f>
        <v>DD2024101811750</v>
      </c>
      <c r="D6931" s="1" t="str">
        <f>"CK202410189147"</f>
        <v>CK202410189147</v>
      </c>
      <c r="E6931" s="1" t="str">
        <f>"6935150649741546516"</f>
        <v>6935150649741546516</v>
      </c>
      <c r="F6931" s="1" t="str">
        <f t="shared" si="2033"/>
        <v>花都四部-凤凰仓</v>
      </c>
      <c r="G6931" s="1" t="str">
        <f t="shared" si="2029"/>
        <v>卡卡杜个人护理店（抖店）</v>
      </c>
      <c r="H6931" s="1" t="str">
        <f t="shared" si="2034"/>
        <v>正常订单</v>
      </c>
      <c r="I6931" s="1" t="str">
        <f t="shared" si="2035"/>
        <v>已发货</v>
      </c>
      <c r="J6931" s="1" t="str">
        <f t="shared" si="2036"/>
        <v>3</v>
      </c>
      <c r="K6931" s="1">
        <v>2</v>
      </c>
      <c r="L6931" s="1" t="s">
        <v>109</v>
      </c>
      <c r="M6931" s="1" t="str">
        <f>"山西省 晋中市 灵石县 翠峰镇"</f>
        <v>山西省 晋中市 灵石县 翠峰镇</v>
      </c>
      <c r="N6931" s="1" t="str">
        <f t="shared" si="2028"/>
        <v>凡华云仓-韵达-抖音</v>
      </c>
      <c r="O6931" s="5">
        <v>320177477598420</v>
      </c>
      <c r="P6931" s="6">
        <v>0.35</v>
      </c>
      <c r="Q6931" s="11">
        <v>2.2999999999999998</v>
      </c>
      <c r="R6931" s="11"/>
      <c r="S6931" s="11"/>
      <c r="T6931" s="11"/>
      <c r="U6931" s="11">
        <f t="shared" si="2031"/>
        <v>2.2999999999999998</v>
      </c>
      <c r="W6931">
        <v>2.5</v>
      </c>
      <c r="X6931" s="1" t="s">
        <v>109</v>
      </c>
    </row>
    <row r="6932" spans="1:24" x14ac:dyDescent="0.25">
      <c r="A6932" s="1" t="str">
        <f t="shared" si="2032"/>
        <v>卡卡杜-凤凰仓</v>
      </c>
      <c r="B6932" s="1" t="str">
        <f>"CK202410183626"</f>
        <v>CK202410183626</v>
      </c>
      <c r="C6932" s="1" t="str">
        <f>"DD2024101811743"</f>
        <v>DD2024101811743</v>
      </c>
      <c r="D6932" s="1" t="str">
        <f>"CK202410189146"</f>
        <v>CK202410189146</v>
      </c>
      <c r="E6932" s="1" t="str">
        <f>"6935142851476460625"</f>
        <v>6935142851476460625</v>
      </c>
      <c r="F6932" s="1" t="str">
        <f t="shared" si="2033"/>
        <v>花都四部-凤凰仓</v>
      </c>
      <c r="G6932" s="1" t="str">
        <f t="shared" si="2029"/>
        <v>卡卡杜个人护理店（抖店）</v>
      </c>
      <c r="H6932" s="1" t="str">
        <f t="shared" si="2034"/>
        <v>正常订单</v>
      </c>
      <c r="I6932" s="1" t="str">
        <f t="shared" si="2035"/>
        <v>已发货</v>
      </c>
      <c r="J6932" s="1" t="str">
        <f t="shared" si="2036"/>
        <v>3</v>
      </c>
      <c r="K6932" s="1">
        <v>2</v>
      </c>
      <c r="L6932" s="1" t="s">
        <v>80</v>
      </c>
      <c r="M6932" s="1" t="str">
        <f>"河南省 南阳市 宛城区 仲景街道"</f>
        <v>河南省 南阳市 宛城区 仲景街道</v>
      </c>
      <c r="N6932" s="1" t="str">
        <f t="shared" si="2028"/>
        <v>凡华云仓-韵达-抖音</v>
      </c>
      <c r="O6932" s="5">
        <v>320177477598325</v>
      </c>
      <c r="P6932" s="6">
        <v>0.35</v>
      </c>
      <c r="Q6932" s="11">
        <v>2.2999999999999998</v>
      </c>
      <c r="R6932" s="11"/>
      <c r="S6932" s="11"/>
      <c r="T6932" s="11"/>
      <c r="U6932" s="11">
        <f t="shared" si="2031"/>
        <v>2.2999999999999998</v>
      </c>
      <c r="W6932">
        <v>2.5</v>
      </c>
      <c r="X6932" s="1" t="s">
        <v>80</v>
      </c>
    </row>
    <row r="6933" spans="1:24" x14ac:dyDescent="0.25">
      <c r="A6933" s="1" t="str">
        <f t="shared" si="2032"/>
        <v>卡卡杜-凤凰仓</v>
      </c>
      <c r="B6933" s="1" t="str">
        <f>"CK202410183630"</f>
        <v>CK202410183630</v>
      </c>
      <c r="C6933" s="1" t="str">
        <f>"DD2024101811748"</f>
        <v>DD2024101811748</v>
      </c>
      <c r="D6933" s="1" t="str">
        <f>"CK202410189145"</f>
        <v>CK202410189145</v>
      </c>
      <c r="E6933" s="1" t="str">
        <f>"6935129100737320478"</f>
        <v>6935129100737320478</v>
      </c>
      <c r="F6933" s="1" t="str">
        <f t="shared" si="2033"/>
        <v>花都四部-凤凰仓</v>
      </c>
      <c r="G6933" s="1" t="str">
        <f t="shared" si="2029"/>
        <v>卡卡杜个人护理店（抖店）</v>
      </c>
      <c r="H6933" s="1" t="str">
        <f t="shared" si="2034"/>
        <v>正常订单</v>
      </c>
      <c r="I6933" s="1" t="str">
        <f t="shared" si="2035"/>
        <v>已发货</v>
      </c>
      <c r="J6933" s="1" t="str">
        <f t="shared" si="2036"/>
        <v>3</v>
      </c>
      <c r="K6933" s="1">
        <v>2</v>
      </c>
      <c r="L6933" s="1" t="s">
        <v>80</v>
      </c>
      <c r="M6933" s="1" t="str">
        <f>"河南省 鹤壁市 淇滨区 黎阳路街道"</f>
        <v>河南省 鹤壁市 淇滨区 黎阳路街道</v>
      </c>
      <c r="N6933" s="1" t="str">
        <f t="shared" si="2028"/>
        <v>凡华云仓-韵达-抖音</v>
      </c>
      <c r="O6933" s="5">
        <v>320177477598232</v>
      </c>
      <c r="P6933" s="6">
        <v>0.35</v>
      </c>
      <c r="Q6933" s="11">
        <v>2.2999999999999998</v>
      </c>
      <c r="R6933" s="11"/>
      <c r="S6933" s="11"/>
      <c r="T6933" s="11"/>
      <c r="U6933" s="11">
        <f t="shared" si="2031"/>
        <v>2.2999999999999998</v>
      </c>
      <c r="W6933">
        <v>2.5</v>
      </c>
      <c r="X6933" s="1" t="s">
        <v>80</v>
      </c>
    </row>
    <row r="6934" spans="1:24" x14ac:dyDescent="0.25">
      <c r="A6934" s="1" t="str">
        <f t="shared" si="2032"/>
        <v>卡卡杜-凤凰仓</v>
      </c>
      <c r="B6934" s="1" t="str">
        <f>"CK202410183629"</f>
        <v>CK202410183629</v>
      </c>
      <c r="C6934" s="1" t="str">
        <f>"DD2024101811749"</f>
        <v>DD2024101811749</v>
      </c>
      <c r="D6934" s="1" t="str">
        <f>"CK202410189144"</f>
        <v>CK202410189144</v>
      </c>
      <c r="E6934" s="1" t="str">
        <f>"6935135895237891659"</f>
        <v>6935135895237891659</v>
      </c>
      <c r="F6934" s="1" t="str">
        <f t="shared" si="2033"/>
        <v>花都四部-凤凰仓</v>
      </c>
      <c r="G6934" s="1" t="str">
        <f t="shared" si="2029"/>
        <v>卡卡杜个人护理店（抖店）</v>
      </c>
      <c r="H6934" s="1" t="str">
        <f t="shared" si="2034"/>
        <v>正常订单</v>
      </c>
      <c r="I6934" s="1" t="str">
        <f t="shared" si="2035"/>
        <v>已发货</v>
      </c>
      <c r="J6934" s="1" t="str">
        <f t="shared" si="2036"/>
        <v>3</v>
      </c>
      <c r="K6934" s="1">
        <v>2</v>
      </c>
      <c r="L6934" s="1" t="s">
        <v>36</v>
      </c>
      <c r="M6934" s="1" t="str">
        <f>"安徽省 滁州市 凤阳县 总铺镇"</f>
        <v>安徽省 滁州市 凤阳县 总铺镇</v>
      </c>
      <c r="N6934" s="1" t="str">
        <f t="shared" si="2028"/>
        <v>凡华云仓-韵达-抖音</v>
      </c>
      <c r="O6934" s="5">
        <v>320177477598141</v>
      </c>
      <c r="P6934" s="6">
        <v>0.35</v>
      </c>
      <c r="Q6934" s="11">
        <v>2.2999999999999998</v>
      </c>
      <c r="R6934" s="11"/>
      <c r="S6934" s="11"/>
      <c r="T6934" s="11"/>
      <c r="U6934" s="11">
        <f t="shared" si="2031"/>
        <v>2.2999999999999998</v>
      </c>
      <c r="W6934">
        <v>2.5</v>
      </c>
      <c r="X6934" s="1" t="s">
        <v>36</v>
      </c>
    </row>
    <row r="6935" spans="1:24" x14ac:dyDescent="0.25">
      <c r="A6935" s="1" t="str">
        <f t="shared" si="2032"/>
        <v>卡卡杜-凤凰仓</v>
      </c>
      <c r="B6935" s="1" t="str">
        <f>"CK202410183628"</f>
        <v>CK202410183628</v>
      </c>
      <c r="C6935" s="1" t="str">
        <f>"DD2024101811747"</f>
        <v>DD2024101811747</v>
      </c>
      <c r="D6935" s="1" t="str">
        <f>"CK202410189143"</f>
        <v>CK202410189143</v>
      </c>
      <c r="E6935" s="1" t="str">
        <f>"6935144651680585321"</f>
        <v>6935144651680585321</v>
      </c>
      <c r="F6935" s="1" t="str">
        <f t="shared" si="2033"/>
        <v>花都四部-凤凰仓</v>
      </c>
      <c r="G6935" s="1" t="str">
        <f t="shared" si="2029"/>
        <v>卡卡杜个人护理店（抖店）</v>
      </c>
      <c r="H6935" s="1" t="str">
        <f t="shared" si="2034"/>
        <v>正常订单</v>
      </c>
      <c r="I6935" s="1" t="str">
        <f t="shared" si="2035"/>
        <v>已发货</v>
      </c>
      <c r="J6935" s="1" t="str">
        <f t="shared" si="2036"/>
        <v>3</v>
      </c>
      <c r="K6935" s="1">
        <v>2</v>
      </c>
      <c r="L6935" s="1" t="s">
        <v>80</v>
      </c>
      <c r="M6935" s="1" t="str">
        <f>"河南省 郑州市 新郑市 龙湖镇"</f>
        <v>河南省 郑州市 新郑市 龙湖镇</v>
      </c>
      <c r="N6935" s="1" t="str">
        <f t="shared" si="2028"/>
        <v>凡华云仓-韵达-抖音</v>
      </c>
      <c r="O6935" s="5">
        <v>320177487109011</v>
      </c>
      <c r="P6935" s="6">
        <v>0.35</v>
      </c>
      <c r="Q6935" s="11">
        <v>2.2999999999999998</v>
      </c>
      <c r="R6935" s="11"/>
      <c r="S6935" s="11"/>
      <c r="T6935" s="11"/>
      <c r="U6935" s="11">
        <f t="shared" si="2031"/>
        <v>2.2999999999999998</v>
      </c>
      <c r="W6935">
        <v>2.5</v>
      </c>
      <c r="X6935" s="1" t="s">
        <v>80</v>
      </c>
    </row>
    <row r="6936" spans="1:24" x14ac:dyDescent="0.25">
      <c r="A6936" s="1" t="str">
        <f t="shared" si="2032"/>
        <v>卡卡杜-凤凰仓</v>
      </c>
      <c r="B6936" s="1" t="str">
        <f>"CK202410183637"</f>
        <v>CK202410183637</v>
      </c>
      <c r="C6936" s="1" t="str">
        <f>"DD2024101811753"</f>
        <v>DD2024101811753</v>
      </c>
      <c r="D6936" s="1" t="str">
        <f>"CK202410189142"</f>
        <v>CK202410189142</v>
      </c>
      <c r="E6936" s="1" t="str">
        <f>"6935148959253141197"</f>
        <v>6935148959253141197</v>
      </c>
      <c r="F6936" s="1" t="str">
        <f t="shared" si="2033"/>
        <v>花都四部-凤凰仓</v>
      </c>
      <c r="G6936" s="1" t="str">
        <f t="shared" si="2029"/>
        <v>卡卡杜个人护理店（抖店）</v>
      </c>
      <c r="H6936" s="1" t="str">
        <f t="shared" si="2034"/>
        <v>正常订单</v>
      </c>
      <c r="I6936" s="1" t="str">
        <f t="shared" si="2035"/>
        <v>已发货</v>
      </c>
      <c r="J6936" s="1" t="str">
        <f t="shared" si="2036"/>
        <v>3</v>
      </c>
      <c r="K6936" s="1">
        <v>2</v>
      </c>
      <c r="L6936" s="1" t="s">
        <v>80</v>
      </c>
      <c r="M6936" s="1" t="str">
        <f>"河南省 郑州市 管城回族区 商都路街道"</f>
        <v>河南省 郑州市 管城回族区 商都路街道</v>
      </c>
      <c r="N6936" s="1" t="str">
        <f t="shared" si="2028"/>
        <v>凡华云仓-韵达-抖音</v>
      </c>
      <c r="O6936" s="5">
        <v>320177487108979</v>
      </c>
      <c r="P6936" s="6">
        <v>0.35</v>
      </c>
      <c r="Q6936" s="11">
        <v>2.2999999999999998</v>
      </c>
      <c r="R6936" s="11"/>
      <c r="S6936" s="11"/>
      <c r="T6936" s="11"/>
      <c r="U6936" s="11">
        <f t="shared" si="2031"/>
        <v>2.2999999999999998</v>
      </c>
      <c r="W6936">
        <v>2.5</v>
      </c>
      <c r="X6936" s="1" t="s">
        <v>80</v>
      </c>
    </row>
    <row r="6937" spans="1:24" x14ac:dyDescent="0.25">
      <c r="A6937" s="1" t="str">
        <f t="shared" si="2032"/>
        <v>卡卡杜-凤凰仓</v>
      </c>
      <c r="B6937" s="1" t="str">
        <f>"CK202410183632"</f>
        <v>CK202410183632</v>
      </c>
      <c r="C6937" s="1" t="str">
        <f>"DD2024101811751"</f>
        <v>DD2024101811751</v>
      </c>
      <c r="D6937" s="1" t="str">
        <f>"CK202410189141"</f>
        <v>CK202410189141</v>
      </c>
      <c r="E6937" s="1" t="str">
        <f>"6935149093057730027"</f>
        <v>6935149093057730027</v>
      </c>
      <c r="F6937" s="1" t="str">
        <f t="shared" si="2033"/>
        <v>花都四部-凤凰仓</v>
      </c>
      <c r="G6937" s="1" t="str">
        <f t="shared" si="2029"/>
        <v>卡卡杜个人护理店（抖店）</v>
      </c>
      <c r="H6937" s="1" t="str">
        <f t="shared" si="2034"/>
        <v>正常订单</v>
      </c>
      <c r="I6937" s="1" t="str">
        <f t="shared" si="2035"/>
        <v>已发货</v>
      </c>
      <c r="J6937" s="1" t="str">
        <f t="shared" si="2036"/>
        <v>3</v>
      </c>
      <c r="K6937" s="1">
        <v>2</v>
      </c>
      <c r="L6937" s="1" t="s">
        <v>36</v>
      </c>
      <c r="M6937" s="1" t="str">
        <f>"安徽省 黄山市 休宁县 万安镇"</f>
        <v>安徽省 黄山市 休宁县 万安镇</v>
      </c>
      <c r="N6937" s="1" t="str">
        <f t="shared" si="2028"/>
        <v>凡华云仓-韵达-抖音</v>
      </c>
      <c r="O6937" s="5">
        <v>320177487108874</v>
      </c>
      <c r="P6937" s="6">
        <v>0.35</v>
      </c>
      <c r="Q6937" s="11">
        <v>2.2999999999999998</v>
      </c>
      <c r="R6937" s="11"/>
      <c r="S6937" s="11"/>
      <c r="T6937" s="11"/>
      <c r="U6937" s="11">
        <f t="shared" si="2031"/>
        <v>2.2999999999999998</v>
      </c>
      <c r="W6937">
        <v>2.5</v>
      </c>
      <c r="X6937" s="1" t="s">
        <v>36</v>
      </c>
    </row>
    <row r="6938" spans="1:24" x14ac:dyDescent="0.25">
      <c r="A6938" s="1" t="str">
        <f t="shared" si="2032"/>
        <v>卡卡杜-凤凰仓</v>
      </c>
      <c r="B6938" s="1" t="str">
        <f>"CK202410183638"</f>
        <v>CK202410183638</v>
      </c>
      <c r="C6938" s="1" t="str">
        <f>"DD2024101811757"</f>
        <v>DD2024101811757</v>
      </c>
      <c r="D6938" s="1" t="str">
        <f>"CK202410189140"</f>
        <v>CK202410189140</v>
      </c>
      <c r="E6938" s="1" t="str">
        <f>"6935146516888294459"</f>
        <v>6935146516888294459</v>
      </c>
      <c r="F6938" s="1" t="str">
        <f t="shared" si="2033"/>
        <v>花都四部-凤凰仓</v>
      </c>
      <c r="G6938" s="1" t="str">
        <f t="shared" si="2029"/>
        <v>卡卡杜个人护理店（抖店）</v>
      </c>
      <c r="H6938" s="1" t="str">
        <f t="shared" si="2034"/>
        <v>正常订单</v>
      </c>
      <c r="I6938" s="1" t="str">
        <f t="shared" si="2035"/>
        <v>已发货</v>
      </c>
      <c r="J6938" s="1" t="str">
        <f t="shared" si="2036"/>
        <v>3</v>
      </c>
      <c r="K6938" s="1">
        <v>2</v>
      </c>
      <c r="L6938" s="1" t="s">
        <v>13</v>
      </c>
      <c r="M6938" s="1" t="str">
        <f>"江苏省 苏州市 虎丘区 横塘街道"</f>
        <v>江苏省 苏州市 虎丘区 横塘街道</v>
      </c>
      <c r="N6938" s="1" t="str">
        <f t="shared" si="2028"/>
        <v>凡华云仓-韵达-抖音</v>
      </c>
      <c r="O6938" s="5">
        <v>320177487108771</v>
      </c>
      <c r="P6938" s="6">
        <v>0.35</v>
      </c>
      <c r="Q6938" s="11">
        <v>2.2999999999999998</v>
      </c>
      <c r="R6938" s="11"/>
      <c r="S6938" s="11"/>
      <c r="T6938" s="11"/>
      <c r="U6938" s="11">
        <f t="shared" si="2031"/>
        <v>2.2999999999999998</v>
      </c>
      <c r="W6938">
        <v>2.5</v>
      </c>
      <c r="X6938" s="1" t="s">
        <v>13</v>
      </c>
    </row>
    <row r="6939" spans="1:24" x14ac:dyDescent="0.25">
      <c r="A6939" s="1" t="str">
        <f t="shared" si="2032"/>
        <v>卡卡杜-凤凰仓</v>
      </c>
      <c r="B6939" s="1" t="str">
        <f>"CK202410183646"</f>
        <v>CK202410183646</v>
      </c>
      <c r="C6939" s="1" t="str">
        <f>"DD2024101811765"</f>
        <v>DD2024101811765</v>
      </c>
      <c r="D6939" s="1" t="str">
        <f>"CK202410189139"</f>
        <v>CK202410189139</v>
      </c>
      <c r="E6939" s="1" t="str">
        <f>"6935144462826018103"</f>
        <v>6935144462826018103</v>
      </c>
      <c r="F6939" s="1" t="str">
        <f t="shared" si="2033"/>
        <v>花都四部-凤凰仓</v>
      </c>
      <c r="G6939" s="1" t="str">
        <f t="shared" si="2029"/>
        <v>卡卡杜个人护理店（抖店）</v>
      </c>
      <c r="H6939" s="1" t="str">
        <f t="shared" si="2034"/>
        <v>正常订单</v>
      </c>
      <c r="I6939" s="1" t="str">
        <f t="shared" si="2035"/>
        <v>已发货</v>
      </c>
      <c r="J6939" s="1" t="str">
        <f t="shared" si="2036"/>
        <v>3</v>
      </c>
      <c r="K6939" s="1">
        <v>2</v>
      </c>
      <c r="L6939" s="1" t="s">
        <v>36</v>
      </c>
      <c r="M6939" s="1" t="str">
        <f>"安徽省 六安市 霍邱县 周集镇"</f>
        <v>安徽省 六安市 霍邱县 周集镇</v>
      </c>
      <c r="N6939" s="1" t="str">
        <f t="shared" si="2028"/>
        <v>凡华云仓-韵达-抖音</v>
      </c>
      <c r="O6939" s="5">
        <v>320177487108670</v>
      </c>
      <c r="P6939" s="6">
        <v>0.35</v>
      </c>
      <c r="Q6939" s="11">
        <v>2.2999999999999998</v>
      </c>
      <c r="R6939" s="11"/>
      <c r="S6939" s="11"/>
      <c r="T6939" s="11"/>
      <c r="U6939" s="11">
        <f t="shared" si="2031"/>
        <v>2.2999999999999998</v>
      </c>
      <c r="W6939">
        <v>2.5</v>
      </c>
      <c r="X6939" s="1" t="s">
        <v>36</v>
      </c>
    </row>
    <row r="6940" spans="1:24" x14ac:dyDescent="0.25">
      <c r="A6940" s="1" t="str">
        <f t="shared" si="2032"/>
        <v>卡卡杜-凤凰仓</v>
      </c>
      <c r="B6940" s="1" t="str">
        <f>"CK202410183624"</f>
        <v>CK202410183624</v>
      </c>
      <c r="C6940" s="1" t="str">
        <f>"DD2024101811746"</f>
        <v>DD2024101811746</v>
      </c>
      <c r="D6940" s="1" t="str">
        <f>"CK202410189138"</f>
        <v>CK202410189138</v>
      </c>
      <c r="E6940" s="1" t="str">
        <f>"6935140048477099011"</f>
        <v>6935140048477099011</v>
      </c>
      <c r="F6940" s="1" t="str">
        <f t="shared" si="2033"/>
        <v>花都四部-凤凰仓</v>
      </c>
      <c r="G6940" s="1" t="str">
        <f t="shared" si="2029"/>
        <v>卡卡杜个人护理店（抖店）</v>
      </c>
      <c r="H6940" s="1" t="str">
        <f t="shared" si="2034"/>
        <v>正常订单</v>
      </c>
      <c r="I6940" s="1" t="str">
        <f t="shared" si="2035"/>
        <v>已发货</v>
      </c>
      <c r="J6940" s="1" t="str">
        <f>"6"</f>
        <v>6</v>
      </c>
      <c r="K6940" s="1">
        <v>2</v>
      </c>
      <c r="L6940" s="1" t="s">
        <v>20</v>
      </c>
      <c r="M6940" s="1" t="str">
        <f>"浙江省 宁波市 奉化区 方桥街道"</f>
        <v>浙江省 宁波市 奉化区 方桥街道</v>
      </c>
      <c r="N6940" s="1" t="str">
        <f t="shared" si="2028"/>
        <v>凡华云仓-韵达-抖音</v>
      </c>
      <c r="O6940" s="5">
        <v>320177487108571</v>
      </c>
      <c r="P6940" s="6">
        <v>0.57999999999999996</v>
      </c>
      <c r="Q6940" s="11">
        <f>CEILING(P6940-0.5,0.1)*10*0.15+2.3</f>
        <v>2.4499999999999997</v>
      </c>
      <c r="R6940" s="11"/>
      <c r="S6940" s="11"/>
      <c r="T6940" s="11"/>
      <c r="U6940" s="11">
        <f t="shared" si="2031"/>
        <v>2.4499999999999997</v>
      </c>
      <c r="V6940" t="s">
        <v>15</v>
      </c>
      <c r="W6940">
        <v>2.4500000000000002</v>
      </c>
      <c r="X6940" s="1" t="s">
        <v>20</v>
      </c>
    </row>
    <row r="6941" spans="1:24" x14ac:dyDescent="0.25">
      <c r="A6941" s="1" t="str">
        <f t="shared" si="2032"/>
        <v>卡卡杜-凤凰仓</v>
      </c>
      <c r="B6941" s="1" t="str">
        <f>"CK202410183645"</f>
        <v>CK202410183645</v>
      </c>
      <c r="C6941" s="1" t="str">
        <f>"DD2024101811764"</f>
        <v>DD2024101811764</v>
      </c>
      <c r="D6941" s="1" t="str">
        <f>"CK202410189137"</f>
        <v>CK202410189137</v>
      </c>
      <c r="E6941" s="1" t="str">
        <f>"6935124351370204268"</f>
        <v>6935124351370204268</v>
      </c>
      <c r="F6941" s="1" t="str">
        <f t="shared" si="2033"/>
        <v>花都四部-凤凰仓</v>
      </c>
      <c r="G6941" s="1" t="str">
        <f t="shared" si="2029"/>
        <v>卡卡杜个人护理店（抖店）</v>
      </c>
      <c r="H6941" s="1" t="str">
        <f t="shared" si="2034"/>
        <v>正常订单</v>
      </c>
      <c r="I6941" s="1" t="str">
        <f t="shared" si="2035"/>
        <v>已发货</v>
      </c>
      <c r="J6941" s="1" t="str">
        <f t="shared" ref="J6941:J6957" si="2037">"3"</f>
        <v>3</v>
      </c>
      <c r="K6941" s="1">
        <v>2</v>
      </c>
      <c r="L6941" s="1" t="s">
        <v>41</v>
      </c>
      <c r="M6941" s="1" t="str">
        <f>"湖北省 武汉市 江夏区 佛祖岭街道"</f>
        <v>湖北省 武汉市 江夏区 佛祖岭街道</v>
      </c>
      <c r="N6941" s="1" t="str">
        <f t="shared" si="2028"/>
        <v>凡华云仓-韵达-抖音</v>
      </c>
      <c r="O6941" s="5">
        <v>320177487108474</v>
      </c>
      <c r="P6941" s="6">
        <v>0.35</v>
      </c>
      <c r="Q6941" s="11">
        <v>2.2999999999999998</v>
      </c>
      <c r="R6941" s="11"/>
      <c r="S6941" s="11"/>
      <c r="T6941" s="11"/>
      <c r="U6941" s="11">
        <f t="shared" si="2031"/>
        <v>2.2999999999999998</v>
      </c>
      <c r="W6941">
        <v>2.5</v>
      </c>
      <c r="X6941" s="1" t="s">
        <v>41</v>
      </c>
    </row>
    <row r="6942" spans="1:24" x14ac:dyDescent="0.25">
      <c r="A6942" s="1" t="str">
        <f t="shared" si="2032"/>
        <v>卡卡杜-凤凰仓</v>
      </c>
      <c r="B6942" s="1" t="str">
        <f>"CK202410183640"</f>
        <v>CK202410183640</v>
      </c>
      <c r="C6942" s="1" t="str">
        <f>"DD2024101811762"</f>
        <v>DD2024101811762</v>
      </c>
      <c r="D6942" s="1" t="str">
        <f>"CK202410189136"</f>
        <v>CK202410189136</v>
      </c>
      <c r="E6942" s="1" t="str">
        <f>"6935131138907051563"</f>
        <v>6935131138907051563</v>
      </c>
      <c r="F6942" s="1" t="str">
        <f t="shared" si="2033"/>
        <v>花都四部-凤凰仓</v>
      </c>
      <c r="G6942" s="1" t="str">
        <f t="shared" si="2029"/>
        <v>卡卡杜个人护理店（抖店）</v>
      </c>
      <c r="H6942" s="1" t="str">
        <f t="shared" si="2034"/>
        <v>正常订单</v>
      </c>
      <c r="I6942" s="1" t="str">
        <f t="shared" si="2035"/>
        <v>已发货</v>
      </c>
      <c r="J6942" s="1" t="str">
        <f t="shared" si="2037"/>
        <v>3</v>
      </c>
      <c r="K6942" s="1">
        <v>2</v>
      </c>
      <c r="L6942" s="1" t="s">
        <v>47</v>
      </c>
      <c r="M6942" s="1" t="str">
        <f>"重庆 重庆市 开州区 汉丰街道"</f>
        <v>重庆 重庆市 开州区 汉丰街道</v>
      </c>
      <c r="N6942" s="1" t="str">
        <f t="shared" si="2028"/>
        <v>凡华云仓-韵达-抖音</v>
      </c>
      <c r="O6942" s="5">
        <v>320177487108379</v>
      </c>
      <c r="P6942" s="6">
        <v>0.35</v>
      </c>
      <c r="Q6942" s="11">
        <v>2.2999999999999998</v>
      </c>
      <c r="R6942" s="11"/>
      <c r="S6942" s="11"/>
      <c r="T6942" s="11"/>
      <c r="U6942" s="11">
        <f t="shared" si="2031"/>
        <v>2.2999999999999998</v>
      </c>
      <c r="W6942">
        <v>2.5</v>
      </c>
      <c r="X6942" s="1" t="s">
        <v>47</v>
      </c>
    </row>
    <row r="6943" spans="1:24" x14ac:dyDescent="0.25">
      <c r="A6943" s="1" t="str">
        <f t="shared" si="2032"/>
        <v>卡卡杜-凤凰仓</v>
      </c>
      <c r="B6943" s="1" t="str">
        <f>"CK202410183644"</f>
        <v>CK202410183644</v>
      </c>
      <c r="C6943" s="1" t="str">
        <f>"DD2024101811763"</f>
        <v>DD2024101811763</v>
      </c>
      <c r="D6943" s="1" t="str">
        <f>"CK202410189135"</f>
        <v>CK202410189135</v>
      </c>
      <c r="E6943" s="1" t="str">
        <f>"6935124334422267768"</f>
        <v>6935124334422267768</v>
      </c>
      <c r="F6943" s="1" t="str">
        <f t="shared" si="2033"/>
        <v>花都四部-凤凰仓</v>
      </c>
      <c r="G6943" s="1" t="str">
        <f t="shared" si="2029"/>
        <v>卡卡杜个人护理店（抖店）</v>
      </c>
      <c r="H6943" s="1" t="str">
        <f t="shared" si="2034"/>
        <v>正常订单</v>
      </c>
      <c r="I6943" s="1" t="str">
        <f t="shared" si="2035"/>
        <v>已发货</v>
      </c>
      <c r="J6943" s="1" t="str">
        <f t="shared" si="2037"/>
        <v>3</v>
      </c>
      <c r="K6943" s="1">
        <v>2</v>
      </c>
      <c r="L6943" s="1" t="s">
        <v>18</v>
      </c>
      <c r="M6943" s="1" t="str">
        <f>"广东省 广州市 荔湾区 石围塘街道"</f>
        <v>广东省 广州市 荔湾区 石围塘街道</v>
      </c>
      <c r="N6943" s="1" t="str">
        <f t="shared" si="2028"/>
        <v>凡华云仓-韵达-抖音</v>
      </c>
      <c r="O6943" s="5">
        <v>320177487108286</v>
      </c>
      <c r="P6943" s="6">
        <v>0.35</v>
      </c>
      <c r="Q6943" s="11">
        <v>2.2999999999999998</v>
      </c>
      <c r="R6943" s="11"/>
      <c r="S6943" s="11"/>
      <c r="T6943" s="11"/>
      <c r="U6943" s="11">
        <f t="shared" si="2031"/>
        <v>2.2999999999999998</v>
      </c>
      <c r="W6943">
        <v>2.5</v>
      </c>
      <c r="X6943" s="1" t="s">
        <v>18</v>
      </c>
    </row>
    <row r="6944" spans="1:24" x14ac:dyDescent="0.25">
      <c r="A6944" s="1" t="str">
        <f t="shared" si="2032"/>
        <v>卡卡杜-凤凰仓</v>
      </c>
      <c r="B6944" s="1" t="str">
        <f>"CK202410183627"</f>
        <v>CK202410183627</v>
      </c>
      <c r="C6944" s="1" t="str">
        <f>"DD2024101811742"</f>
        <v>DD2024101811742</v>
      </c>
      <c r="D6944" s="1" t="str">
        <f>"CK202410189134"</f>
        <v>CK202410189134</v>
      </c>
      <c r="E6944" s="1" t="str">
        <f>"6935126531124434283"</f>
        <v>6935126531124434283</v>
      </c>
      <c r="F6944" s="1" t="str">
        <f t="shared" si="2033"/>
        <v>花都四部-凤凰仓</v>
      </c>
      <c r="G6944" s="1" t="str">
        <f t="shared" si="2029"/>
        <v>卡卡杜个人护理店（抖店）</v>
      </c>
      <c r="H6944" s="1" t="str">
        <f t="shared" si="2034"/>
        <v>正常订单</v>
      </c>
      <c r="I6944" s="1" t="str">
        <f t="shared" si="2035"/>
        <v>已发货</v>
      </c>
      <c r="J6944" s="1" t="str">
        <f t="shared" si="2037"/>
        <v>3</v>
      </c>
      <c r="K6944" s="1">
        <v>2</v>
      </c>
      <c r="L6944" s="1" t="s">
        <v>30</v>
      </c>
      <c r="M6944" s="1" t="str">
        <f>"山东省 聊城市 莘县 莘亭街道"</f>
        <v>山东省 聊城市 莘县 莘亭街道</v>
      </c>
      <c r="N6944" s="1" t="str">
        <f t="shared" si="2028"/>
        <v>凡华云仓-韵达-抖音</v>
      </c>
      <c r="O6944" s="5">
        <v>320177487108195</v>
      </c>
      <c r="P6944" s="6">
        <v>0.35</v>
      </c>
      <c r="Q6944" s="11">
        <v>2.2999999999999998</v>
      </c>
      <c r="R6944" s="11"/>
      <c r="S6944" s="11"/>
      <c r="T6944" s="11"/>
      <c r="U6944" s="11">
        <f t="shared" si="2031"/>
        <v>2.2999999999999998</v>
      </c>
      <c r="W6944">
        <v>2.5</v>
      </c>
      <c r="X6944" s="1" t="s">
        <v>30</v>
      </c>
    </row>
    <row r="6945" spans="1:24" x14ac:dyDescent="0.25">
      <c r="A6945" s="1" t="str">
        <f t="shared" si="2032"/>
        <v>卡卡杜-凤凰仓</v>
      </c>
      <c r="B6945" s="1" t="str">
        <f>"CK202410183651"</f>
        <v>CK202410183651</v>
      </c>
      <c r="C6945" s="1" t="str">
        <f>"DD2024101811770"</f>
        <v>DD2024101811770</v>
      </c>
      <c r="D6945" s="1" t="str">
        <f>"CK202410189133"</f>
        <v>CK202410189133</v>
      </c>
      <c r="E6945" s="1" t="str">
        <f>"6935132961888933056"</f>
        <v>6935132961888933056</v>
      </c>
      <c r="F6945" s="1" t="str">
        <f t="shared" si="2033"/>
        <v>花都四部-凤凰仓</v>
      </c>
      <c r="G6945" s="1" t="str">
        <f t="shared" si="2029"/>
        <v>卡卡杜个人护理店（抖店）</v>
      </c>
      <c r="H6945" s="1" t="str">
        <f t="shared" si="2034"/>
        <v>正常订单</v>
      </c>
      <c r="I6945" s="1" t="str">
        <f t="shared" si="2035"/>
        <v>已发货</v>
      </c>
      <c r="J6945" s="1" t="str">
        <f t="shared" si="2037"/>
        <v>3</v>
      </c>
      <c r="K6945" s="1">
        <v>2</v>
      </c>
      <c r="L6945" s="1" t="s">
        <v>22</v>
      </c>
      <c r="M6945" s="1" t="str">
        <f>"江西省 上饶市 鄱阳县 田畈街镇"</f>
        <v>江西省 上饶市 鄱阳县 田畈街镇</v>
      </c>
      <c r="N6945" s="1" t="str">
        <f t="shared" si="2028"/>
        <v>凡华云仓-韵达-抖音</v>
      </c>
      <c r="O6945" s="5">
        <v>320177484331552</v>
      </c>
      <c r="P6945" s="6">
        <v>0.35</v>
      </c>
      <c r="Q6945" s="11">
        <v>2.2999999999999998</v>
      </c>
      <c r="R6945" s="11"/>
      <c r="S6945" s="11"/>
      <c r="T6945" s="11"/>
      <c r="U6945" s="11">
        <f t="shared" si="2031"/>
        <v>2.2999999999999998</v>
      </c>
      <c r="W6945">
        <v>2.5</v>
      </c>
      <c r="X6945" s="1" t="s">
        <v>22</v>
      </c>
    </row>
    <row r="6946" spans="1:24" x14ac:dyDescent="0.25">
      <c r="A6946" s="1" t="str">
        <f t="shared" si="2032"/>
        <v>卡卡杜-凤凰仓</v>
      </c>
      <c r="B6946" s="1" t="str">
        <f>"CK202410183648"</f>
        <v>CK202410183648</v>
      </c>
      <c r="C6946" s="1" t="str">
        <f>"DD2024101811767"</f>
        <v>DD2024101811767</v>
      </c>
      <c r="D6946" s="1" t="str">
        <f>"CK202410189132"</f>
        <v>CK202410189132</v>
      </c>
      <c r="E6946" s="1" t="str">
        <f>"6935117258603042622"</f>
        <v>6935117258603042622</v>
      </c>
      <c r="F6946" s="1" t="str">
        <f t="shared" si="2033"/>
        <v>花都四部-凤凰仓</v>
      </c>
      <c r="G6946" s="1" t="str">
        <f t="shared" si="2029"/>
        <v>卡卡杜个人护理店（抖店）</v>
      </c>
      <c r="H6946" s="1" t="str">
        <f t="shared" si="2034"/>
        <v>正常订单</v>
      </c>
      <c r="I6946" s="1" t="str">
        <f t="shared" si="2035"/>
        <v>已发货</v>
      </c>
      <c r="J6946" s="1" t="str">
        <f t="shared" si="2037"/>
        <v>3</v>
      </c>
      <c r="K6946" s="1">
        <v>2</v>
      </c>
      <c r="L6946" s="1" t="s">
        <v>218</v>
      </c>
      <c r="M6946" s="1" t="str">
        <f>"天津 天津市 北辰区 双口镇"</f>
        <v>天津 天津市 北辰区 双口镇</v>
      </c>
      <c r="N6946" s="1" t="str">
        <f t="shared" si="2028"/>
        <v>凡华云仓-韵达-抖音</v>
      </c>
      <c r="O6946" s="5">
        <v>320177484331455</v>
      </c>
      <c r="P6946" s="6">
        <v>0.35</v>
      </c>
      <c r="Q6946" s="11">
        <v>2.2999999999999998</v>
      </c>
      <c r="R6946" s="11"/>
      <c r="S6946" s="11"/>
      <c r="T6946" s="11"/>
      <c r="U6946" s="11">
        <f t="shared" si="2031"/>
        <v>2.2999999999999998</v>
      </c>
      <c r="W6946">
        <v>2.5</v>
      </c>
      <c r="X6946" s="1" t="s">
        <v>218</v>
      </c>
    </row>
    <row r="6947" spans="1:24" x14ac:dyDescent="0.25">
      <c r="A6947" s="1" t="str">
        <f t="shared" si="2032"/>
        <v>卡卡杜-凤凰仓</v>
      </c>
      <c r="B6947" s="1" t="str">
        <f>"CK202410183639"</f>
        <v>CK202410183639</v>
      </c>
      <c r="C6947" s="1" t="str">
        <f>"DD2024101811758"</f>
        <v>DD2024101811758</v>
      </c>
      <c r="D6947" s="1" t="str">
        <f>"CK202410189131"</f>
        <v>CK202410189131</v>
      </c>
      <c r="E6947" s="1" t="str">
        <f>"6935119579467421437"</f>
        <v>6935119579467421437</v>
      </c>
      <c r="F6947" s="1" t="str">
        <f t="shared" si="2033"/>
        <v>花都四部-凤凰仓</v>
      </c>
      <c r="G6947" s="1" t="str">
        <f t="shared" si="2029"/>
        <v>卡卡杜个人护理店（抖店）</v>
      </c>
      <c r="H6947" s="1" t="str">
        <f t="shared" si="2034"/>
        <v>正常订单</v>
      </c>
      <c r="I6947" s="1" t="str">
        <f t="shared" si="2035"/>
        <v>已发货</v>
      </c>
      <c r="J6947" s="1" t="str">
        <f t="shared" si="2037"/>
        <v>3</v>
      </c>
      <c r="K6947" s="1">
        <v>2</v>
      </c>
      <c r="L6947" s="1" t="s">
        <v>36</v>
      </c>
      <c r="M6947" s="1" t="str">
        <f>"安徽省 合肥市 瑶海区 大兴镇"</f>
        <v>安徽省 合肥市 瑶海区 大兴镇</v>
      </c>
      <c r="N6947" s="1" t="str">
        <f t="shared" si="2028"/>
        <v>凡华云仓-韵达-抖音</v>
      </c>
      <c r="O6947" s="5">
        <v>320177484331360</v>
      </c>
      <c r="P6947" s="6">
        <v>0.35</v>
      </c>
      <c r="Q6947" s="11">
        <v>2.2999999999999998</v>
      </c>
      <c r="R6947" s="11"/>
      <c r="S6947" s="11"/>
      <c r="T6947" s="11"/>
      <c r="U6947" s="11">
        <f t="shared" si="2031"/>
        <v>2.2999999999999998</v>
      </c>
      <c r="W6947">
        <v>2.5</v>
      </c>
      <c r="X6947" s="1" t="s">
        <v>36</v>
      </c>
    </row>
    <row r="6948" spans="1:24" x14ac:dyDescent="0.25">
      <c r="A6948" s="1" t="str">
        <f t="shared" si="2032"/>
        <v>卡卡杜-凤凰仓</v>
      </c>
      <c r="B6948" s="1" t="str">
        <f>"CK202410183649"</f>
        <v>CK202410183649</v>
      </c>
      <c r="C6948" s="1" t="str">
        <f>"DD2024101811766"</f>
        <v>DD2024101811766</v>
      </c>
      <c r="D6948" s="1" t="str">
        <f>"CK202410189130"</f>
        <v>CK202410189130</v>
      </c>
      <c r="E6948" s="1" t="str">
        <f>"6935139816594478461"</f>
        <v>6935139816594478461</v>
      </c>
      <c r="F6948" s="1" t="str">
        <f t="shared" si="2033"/>
        <v>花都四部-凤凰仓</v>
      </c>
      <c r="G6948" s="1" t="str">
        <f t="shared" si="2029"/>
        <v>卡卡杜个人护理店（抖店）</v>
      </c>
      <c r="H6948" s="1" t="str">
        <f t="shared" si="2034"/>
        <v>正常订单</v>
      </c>
      <c r="I6948" s="1" t="str">
        <f t="shared" si="2035"/>
        <v>已发货</v>
      </c>
      <c r="J6948" s="1" t="str">
        <f t="shared" si="2037"/>
        <v>3</v>
      </c>
      <c r="K6948" s="1">
        <v>2</v>
      </c>
      <c r="L6948" s="1" t="s">
        <v>13</v>
      </c>
      <c r="M6948" s="1" t="str">
        <f>"江苏省 宿迁市 泗阳县 众兴街道"</f>
        <v>江苏省 宿迁市 泗阳县 众兴街道</v>
      </c>
      <c r="N6948" s="1" t="str">
        <f t="shared" si="2028"/>
        <v>凡华云仓-韵达-抖音</v>
      </c>
      <c r="O6948" s="5">
        <v>320177484331267</v>
      </c>
      <c r="P6948" s="6">
        <v>0.35</v>
      </c>
      <c r="Q6948" s="11">
        <v>2.2999999999999998</v>
      </c>
      <c r="R6948" s="11"/>
      <c r="S6948" s="11"/>
      <c r="T6948" s="11"/>
      <c r="U6948" s="11">
        <f t="shared" si="2031"/>
        <v>2.2999999999999998</v>
      </c>
      <c r="W6948">
        <v>2.5</v>
      </c>
      <c r="X6948" s="1" t="s">
        <v>13</v>
      </c>
    </row>
    <row r="6949" spans="1:24" x14ac:dyDescent="0.25">
      <c r="A6949" s="1" t="str">
        <f t="shared" si="2032"/>
        <v>卡卡杜-凤凰仓</v>
      </c>
      <c r="B6949" s="1" t="str">
        <f>"CK202410183681"</f>
        <v>CK202410183681</v>
      </c>
      <c r="C6949" s="1" t="str">
        <f>"DD2024101811799"</f>
        <v>DD2024101811799</v>
      </c>
      <c r="D6949" s="1" t="str">
        <f>"CK202410189129"</f>
        <v>CK202410189129</v>
      </c>
      <c r="E6949" s="1" t="str">
        <f>"6935128509129627282"</f>
        <v>6935128509129627282</v>
      </c>
      <c r="F6949" s="1" t="str">
        <f t="shared" si="2033"/>
        <v>花都四部-凤凰仓</v>
      </c>
      <c r="G6949" s="1" t="str">
        <f t="shared" si="2029"/>
        <v>卡卡杜个人护理店（抖店）</v>
      </c>
      <c r="H6949" s="1" t="str">
        <f t="shared" si="2034"/>
        <v>正常订单</v>
      </c>
      <c r="I6949" s="1" t="str">
        <f t="shared" si="2035"/>
        <v>已发货</v>
      </c>
      <c r="J6949" s="1" t="str">
        <f t="shared" si="2037"/>
        <v>3</v>
      </c>
      <c r="K6949" s="1">
        <v>2</v>
      </c>
      <c r="L6949" s="1" t="s">
        <v>80</v>
      </c>
      <c r="M6949" s="1" t="str">
        <f>"河南省 开封市 龙亭区 西湖街道"</f>
        <v>河南省 开封市 龙亭区 西湖街道</v>
      </c>
      <c r="N6949" s="1" t="str">
        <f t="shared" si="2028"/>
        <v>凡华云仓-韵达-抖音</v>
      </c>
      <c r="O6949" s="5">
        <v>320177484331176</v>
      </c>
      <c r="P6949" s="6">
        <v>0.35</v>
      </c>
      <c r="Q6949" s="11">
        <v>2.2999999999999998</v>
      </c>
      <c r="R6949" s="11"/>
      <c r="S6949" s="11"/>
      <c r="T6949" s="11"/>
      <c r="U6949" s="11">
        <f t="shared" si="2031"/>
        <v>2.2999999999999998</v>
      </c>
      <c r="W6949">
        <v>2.5</v>
      </c>
      <c r="X6949" s="1" t="s">
        <v>80</v>
      </c>
    </row>
    <row r="6950" spans="1:24" x14ac:dyDescent="0.25">
      <c r="A6950" s="1" t="str">
        <f t="shared" si="2032"/>
        <v>卡卡杜-凤凰仓</v>
      </c>
      <c r="B6950" s="1" t="str">
        <f>"CK2024101722409"</f>
        <v>CK2024101722409</v>
      </c>
      <c r="C6950" s="1" t="str">
        <f>"DD2024101737585"</f>
        <v>DD2024101737585</v>
      </c>
      <c r="D6950" s="1" t="str">
        <f>"CK2024101736315"</f>
        <v>CK2024101736315</v>
      </c>
      <c r="E6950" s="1" t="str">
        <f>"2429102179192465"</f>
        <v>2429102179192465</v>
      </c>
      <c r="F6950" s="1" t="str">
        <f t="shared" si="2033"/>
        <v>花都四部-凤凰仓</v>
      </c>
      <c r="G6950" s="1" t="str">
        <f t="shared" ref="G6950:G6952" si="2038">"卡卡杜佳旺专卖店（快手店）"</f>
        <v>卡卡杜佳旺专卖店（快手店）</v>
      </c>
      <c r="H6950" s="1" t="str">
        <f t="shared" si="2034"/>
        <v>正常订单</v>
      </c>
      <c r="I6950" s="1" t="str">
        <f t="shared" si="2035"/>
        <v>已发货</v>
      </c>
      <c r="J6950" s="1" t="str">
        <f t="shared" si="2037"/>
        <v>3</v>
      </c>
      <c r="K6950" s="1">
        <v>2</v>
      </c>
      <c r="L6950" s="1" t="s">
        <v>92</v>
      </c>
      <c r="M6950" s="1" t="str">
        <f>"辽宁省 鞍山市 岫岩满族自治县 阜昌街道"</f>
        <v>辽宁省 鞍山市 岫岩满族自治县 阜昌街道</v>
      </c>
      <c r="N6950" s="1" t="str">
        <f t="shared" ref="N6950:N6952" si="2039">"凡华云仓-韵达-快手"</f>
        <v>凡华云仓-韵达-快手</v>
      </c>
      <c r="O6950" s="5">
        <v>319208501234599</v>
      </c>
      <c r="P6950" s="6">
        <v>0.35</v>
      </c>
      <c r="Q6950" s="11">
        <v>2.2999999999999998</v>
      </c>
      <c r="R6950" s="11"/>
      <c r="S6950" s="11"/>
      <c r="T6950" s="11"/>
      <c r="U6950" s="11">
        <f t="shared" si="2031"/>
        <v>2.2999999999999998</v>
      </c>
      <c r="W6950">
        <v>2.5</v>
      </c>
      <c r="X6950" s="1" t="s">
        <v>92</v>
      </c>
    </row>
    <row r="6951" spans="1:24" x14ac:dyDescent="0.25">
      <c r="A6951" s="1" t="str">
        <f t="shared" si="2032"/>
        <v>卡卡杜-凤凰仓</v>
      </c>
      <c r="B6951" s="1" t="str">
        <f>"CK2024101722411"</f>
        <v>CK2024101722411</v>
      </c>
      <c r="C6951" s="1" t="str">
        <f>"DD2024101737588"</f>
        <v>DD2024101737588</v>
      </c>
      <c r="D6951" s="1" t="str">
        <f>"CK2024101736314"</f>
        <v>CK2024101736314</v>
      </c>
      <c r="E6951" s="1" t="str">
        <f>"2429102485610531"</f>
        <v>2429102485610531</v>
      </c>
      <c r="F6951" s="1" t="str">
        <f t="shared" si="2033"/>
        <v>花都四部-凤凰仓</v>
      </c>
      <c r="G6951" s="1" t="str">
        <f t="shared" si="2038"/>
        <v>卡卡杜佳旺专卖店（快手店）</v>
      </c>
      <c r="H6951" s="1" t="str">
        <f t="shared" si="2034"/>
        <v>正常订单</v>
      </c>
      <c r="I6951" s="1" t="str">
        <f t="shared" si="2035"/>
        <v>已发货</v>
      </c>
      <c r="J6951" s="1" t="str">
        <f t="shared" si="2037"/>
        <v>3</v>
      </c>
      <c r="K6951" s="1">
        <v>3</v>
      </c>
      <c r="L6951" s="1" t="s">
        <v>16</v>
      </c>
      <c r="M6951" s="1" t="str">
        <f>"河北省 沧州市 河间市 诗经村镇"</f>
        <v>河北省 沧州市 河间市 诗经村镇</v>
      </c>
      <c r="N6951" s="1" t="str">
        <f t="shared" si="2039"/>
        <v>凡华云仓-韵达-快手</v>
      </c>
      <c r="O6951" s="5">
        <v>319207858577517</v>
      </c>
      <c r="P6951" s="6">
        <v>0.34</v>
      </c>
      <c r="Q6951" s="11">
        <v>2.2999999999999998</v>
      </c>
      <c r="R6951" s="11"/>
      <c r="S6951" s="11"/>
      <c r="T6951" s="11"/>
      <c r="U6951" s="11">
        <f t="shared" si="2031"/>
        <v>2.2999999999999998</v>
      </c>
      <c r="W6951">
        <v>2.5</v>
      </c>
      <c r="X6951" s="1" t="s">
        <v>16</v>
      </c>
    </row>
    <row r="6952" spans="1:24" x14ac:dyDescent="0.25">
      <c r="A6952" s="1" t="str">
        <f t="shared" si="2032"/>
        <v>卡卡杜-凤凰仓</v>
      </c>
      <c r="B6952" s="1" t="str">
        <f>"CK2024101722412"</f>
        <v>CK2024101722412</v>
      </c>
      <c r="C6952" s="1" t="str">
        <f>"DD2024101737584"</f>
        <v>DD2024101737584</v>
      </c>
      <c r="D6952" s="1" t="str">
        <f>"CK2024101736313"</f>
        <v>CK2024101736313</v>
      </c>
      <c r="E6952" s="1" t="str">
        <f>"2429102324816365"</f>
        <v>2429102324816365</v>
      </c>
      <c r="F6952" s="1" t="str">
        <f t="shared" si="2033"/>
        <v>花都四部-凤凰仓</v>
      </c>
      <c r="G6952" s="1" t="str">
        <f t="shared" si="2038"/>
        <v>卡卡杜佳旺专卖店（快手店）</v>
      </c>
      <c r="H6952" s="1" t="str">
        <f t="shared" si="2034"/>
        <v>正常订单</v>
      </c>
      <c r="I6952" s="1" t="str">
        <f t="shared" si="2035"/>
        <v>已发货</v>
      </c>
      <c r="J6952" s="1" t="str">
        <f t="shared" si="2037"/>
        <v>3</v>
      </c>
      <c r="K6952" s="1">
        <v>2</v>
      </c>
      <c r="L6952" s="1" t="s">
        <v>20</v>
      </c>
      <c r="M6952" s="1" t="str">
        <f>"浙江省 嘉兴市 海宁市 许村镇"</f>
        <v>浙江省 嘉兴市 海宁市 许村镇</v>
      </c>
      <c r="N6952" s="1" t="str">
        <f t="shared" si="2039"/>
        <v>凡华云仓-韵达-快手</v>
      </c>
      <c r="O6952" s="5">
        <v>319207973583073</v>
      </c>
      <c r="P6952" s="6">
        <v>0.35</v>
      </c>
      <c r="Q6952" s="11">
        <v>2.2999999999999998</v>
      </c>
      <c r="R6952" s="11"/>
      <c r="S6952" s="11"/>
      <c r="T6952" s="11"/>
      <c r="U6952" s="11">
        <f t="shared" si="2031"/>
        <v>2.2999999999999998</v>
      </c>
      <c r="W6952">
        <v>2.5</v>
      </c>
      <c r="X6952" s="1" t="s">
        <v>20</v>
      </c>
    </row>
    <row r="6953" spans="1:24" x14ac:dyDescent="0.25">
      <c r="A6953" s="1" t="str">
        <f t="shared" si="2032"/>
        <v>卡卡杜-凤凰仓</v>
      </c>
      <c r="B6953" s="1" t="str">
        <f>"CK2024101722408"</f>
        <v>CK2024101722408</v>
      </c>
      <c r="C6953" s="1" t="str">
        <f>"DD2024101737583"</f>
        <v>DD2024101737583</v>
      </c>
      <c r="D6953" s="1" t="str">
        <f>"CK2024101736312"</f>
        <v>CK2024101736312</v>
      </c>
      <c r="E6953" s="1" t="str">
        <f>"6935141903955597261"</f>
        <v>6935141903955597261</v>
      </c>
      <c r="F6953" s="1" t="str">
        <f t="shared" si="2033"/>
        <v>花都四部-凤凰仓</v>
      </c>
      <c r="G6953" s="1" t="str">
        <f t="shared" ref="G6953:G6966" si="2040">"卡卡杜个人护理店（抖店）"</f>
        <v>卡卡杜个人护理店（抖店）</v>
      </c>
      <c r="H6953" s="1" t="str">
        <f t="shared" si="2034"/>
        <v>正常订单</v>
      </c>
      <c r="I6953" s="1" t="str">
        <f t="shared" si="2035"/>
        <v>已发货</v>
      </c>
      <c r="J6953" s="1" t="str">
        <f t="shared" si="2037"/>
        <v>3</v>
      </c>
      <c r="K6953" s="1">
        <v>2</v>
      </c>
      <c r="L6953" s="1" t="s">
        <v>18</v>
      </c>
      <c r="M6953" s="1" t="str">
        <f>"广东省 阳江市 江城区 岗列街道"</f>
        <v>广东省 阳江市 江城区 岗列街道</v>
      </c>
      <c r="N6953" s="1" t="str">
        <f t="shared" ref="N6953:N6966" si="2041">"凡华云仓-韵达-抖音"</f>
        <v>凡华云仓-韵达-抖音</v>
      </c>
      <c r="O6953" s="5">
        <v>320176666061557</v>
      </c>
      <c r="P6953" s="6">
        <v>0.35</v>
      </c>
      <c r="Q6953" s="11">
        <v>2.2999999999999998</v>
      </c>
      <c r="R6953" s="11"/>
      <c r="S6953" s="11"/>
      <c r="T6953" s="11"/>
      <c r="U6953" s="11">
        <f t="shared" si="2031"/>
        <v>2.2999999999999998</v>
      </c>
      <c r="W6953">
        <v>2.5</v>
      </c>
      <c r="X6953" s="1" t="s">
        <v>18</v>
      </c>
    </row>
    <row r="6954" spans="1:24" x14ac:dyDescent="0.25">
      <c r="A6954" s="1" t="str">
        <f t="shared" si="2032"/>
        <v>卡卡杜-凤凰仓</v>
      </c>
      <c r="B6954" s="1" t="str">
        <f>"CK2024101722410"</f>
        <v>CK2024101722410</v>
      </c>
      <c r="C6954" s="1" t="str">
        <f>"DD2024101737587"</f>
        <v>DD2024101737587</v>
      </c>
      <c r="D6954" s="1" t="str">
        <f>"CK2024101736311"</f>
        <v>CK2024101736311</v>
      </c>
      <c r="E6954" s="1" t="str">
        <f>"6935145959818400879"</f>
        <v>6935145959818400879</v>
      </c>
      <c r="F6954" s="1" t="str">
        <f t="shared" si="2033"/>
        <v>花都四部-凤凰仓</v>
      </c>
      <c r="G6954" s="1" t="str">
        <f t="shared" si="2040"/>
        <v>卡卡杜个人护理店（抖店）</v>
      </c>
      <c r="H6954" s="1" t="str">
        <f t="shared" si="2034"/>
        <v>正常订单</v>
      </c>
      <c r="I6954" s="1" t="str">
        <f t="shared" si="2035"/>
        <v>已发货</v>
      </c>
      <c r="J6954" s="1" t="str">
        <f t="shared" si="2037"/>
        <v>3</v>
      </c>
      <c r="K6954" s="1">
        <v>3</v>
      </c>
      <c r="L6954" s="1" t="s">
        <v>30</v>
      </c>
      <c r="M6954" s="1" t="str">
        <f>"山东省 淄博市 张店区 马尚街道"</f>
        <v>山东省 淄博市 张店区 马尚街道</v>
      </c>
      <c r="N6954" s="1" t="str">
        <f t="shared" si="2041"/>
        <v>凡华云仓-韵达-抖音</v>
      </c>
      <c r="O6954" s="5">
        <v>320176666061460</v>
      </c>
      <c r="P6954" s="6">
        <v>0.34</v>
      </c>
      <c r="Q6954" s="11">
        <v>2.2999999999999998</v>
      </c>
      <c r="R6954" s="11"/>
      <c r="S6954" s="11"/>
      <c r="T6954" s="11"/>
      <c r="U6954" s="11">
        <f t="shared" si="2031"/>
        <v>2.2999999999999998</v>
      </c>
      <c r="W6954">
        <v>2.5</v>
      </c>
      <c r="X6954" s="1" t="s">
        <v>30</v>
      </c>
    </row>
    <row r="6955" spans="1:24" x14ac:dyDescent="0.25">
      <c r="A6955" s="1" t="str">
        <f t="shared" si="2032"/>
        <v>卡卡杜-凤凰仓</v>
      </c>
      <c r="B6955" s="1" t="str">
        <f>"CK2024101722413"</f>
        <v>CK2024101722413</v>
      </c>
      <c r="C6955" s="1" t="str">
        <f>"DD2024101737586"</f>
        <v>DD2024101737586</v>
      </c>
      <c r="D6955" s="1" t="str">
        <f>"CK2024101736310"</f>
        <v>CK2024101736310</v>
      </c>
      <c r="E6955" s="1" t="str">
        <f>"6935132804334163882"</f>
        <v>6935132804334163882</v>
      </c>
      <c r="F6955" s="1" t="str">
        <f t="shared" si="2033"/>
        <v>花都四部-凤凰仓</v>
      </c>
      <c r="G6955" s="1" t="str">
        <f t="shared" si="2040"/>
        <v>卡卡杜个人护理店（抖店）</v>
      </c>
      <c r="H6955" s="1" t="str">
        <f t="shared" si="2034"/>
        <v>正常订单</v>
      </c>
      <c r="I6955" s="1" t="str">
        <f t="shared" si="2035"/>
        <v>已发货</v>
      </c>
      <c r="J6955" s="1" t="str">
        <f t="shared" si="2037"/>
        <v>3</v>
      </c>
      <c r="K6955" s="1">
        <v>2</v>
      </c>
      <c r="L6955" s="1" t="s">
        <v>80</v>
      </c>
      <c r="M6955" s="1" t="str">
        <f>"河南省 郑州市 惠济区 刘寨街道"</f>
        <v>河南省 郑州市 惠济区 刘寨街道</v>
      </c>
      <c r="N6955" s="1" t="str">
        <f t="shared" si="2041"/>
        <v>凡华云仓-韵达-抖音</v>
      </c>
      <c r="O6955" s="5">
        <v>320176666061365</v>
      </c>
      <c r="P6955" s="6">
        <v>0.35</v>
      </c>
      <c r="Q6955" s="11">
        <v>2.2999999999999998</v>
      </c>
      <c r="R6955" s="11"/>
      <c r="S6955" s="11"/>
      <c r="T6955" s="11"/>
      <c r="U6955" s="11">
        <f t="shared" si="2031"/>
        <v>2.2999999999999998</v>
      </c>
      <c r="W6955">
        <v>2.5</v>
      </c>
      <c r="X6955" s="1" t="s">
        <v>80</v>
      </c>
    </row>
    <row r="6956" spans="1:24" x14ac:dyDescent="0.25">
      <c r="A6956" s="1" t="str">
        <f t="shared" si="2032"/>
        <v>卡卡杜-凤凰仓</v>
      </c>
      <c r="B6956" s="1" t="str">
        <f>"CK2024101722414"</f>
        <v>CK2024101722414</v>
      </c>
      <c r="C6956" s="1" t="str">
        <f>"DD2024101737590"</f>
        <v>DD2024101737590</v>
      </c>
      <c r="D6956" s="1" t="str">
        <f>"CK2024101736309"</f>
        <v>CK2024101736309</v>
      </c>
      <c r="E6956" s="1" t="str">
        <f>"6935112673224038087"</f>
        <v>6935112673224038087</v>
      </c>
      <c r="F6956" s="1" t="str">
        <f t="shared" si="2033"/>
        <v>花都四部-凤凰仓</v>
      </c>
      <c r="G6956" s="1" t="str">
        <f t="shared" si="2040"/>
        <v>卡卡杜个人护理店（抖店）</v>
      </c>
      <c r="H6956" s="1" t="str">
        <f t="shared" si="2034"/>
        <v>正常订单</v>
      </c>
      <c r="I6956" s="1" t="str">
        <f t="shared" si="2035"/>
        <v>已发货</v>
      </c>
      <c r="J6956" s="1" t="str">
        <f t="shared" si="2037"/>
        <v>3</v>
      </c>
      <c r="K6956" s="1">
        <v>2</v>
      </c>
      <c r="L6956" s="1" t="s">
        <v>13</v>
      </c>
      <c r="M6956" s="1" t="str">
        <f>"江苏省 南京市 栖霞区 西岗街道"</f>
        <v>江苏省 南京市 栖霞区 西岗街道</v>
      </c>
      <c r="N6956" s="1" t="str">
        <f t="shared" si="2041"/>
        <v>凡华云仓-韵达-抖音</v>
      </c>
      <c r="O6956" s="5">
        <v>320176666061272</v>
      </c>
      <c r="P6956" s="6">
        <v>0.35</v>
      </c>
      <c r="Q6956" s="11">
        <v>2.2999999999999998</v>
      </c>
      <c r="R6956" s="11"/>
      <c r="S6956" s="11"/>
      <c r="T6956" s="11"/>
      <c r="U6956" s="11">
        <f t="shared" si="2031"/>
        <v>2.2999999999999998</v>
      </c>
      <c r="W6956">
        <v>2.5</v>
      </c>
      <c r="X6956" s="1" t="s">
        <v>13</v>
      </c>
    </row>
    <row r="6957" spans="1:24" x14ac:dyDescent="0.25">
      <c r="A6957" s="1" t="str">
        <f t="shared" si="2032"/>
        <v>卡卡杜-凤凰仓</v>
      </c>
      <c r="B6957" s="1" t="str">
        <f>"CK2024101722415"</f>
        <v>CK2024101722415</v>
      </c>
      <c r="C6957" s="1" t="str">
        <f>"DD2024101737593"</f>
        <v>DD2024101737593</v>
      </c>
      <c r="D6957" s="1" t="str">
        <f>"CK2024101736308"</f>
        <v>CK2024101736308</v>
      </c>
      <c r="E6957" s="1" t="str">
        <f>"6935139578026465038"</f>
        <v>6935139578026465038</v>
      </c>
      <c r="F6957" s="1" t="str">
        <f t="shared" si="2033"/>
        <v>花都四部-凤凰仓</v>
      </c>
      <c r="G6957" s="1" t="str">
        <f t="shared" si="2040"/>
        <v>卡卡杜个人护理店（抖店）</v>
      </c>
      <c r="H6957" s="1" t="str">
        <f t="shared" si="2034"/>
        <v>正常订单</v>
      </c>
      <c r="I6957" s="1" t="str">
        <f t="shared" si="2035"/>
        <v>已发货</v>
      </c>
      <c r="J6957" s="1" t="str">
        <f t="shared" si="2037"/>
        <v>3</v>
      </c>
      <c r="K6957" s="1">
        <v>2</v>
      </c>
      <c r="L6957" s="1" t="s">
        <v>13</v>
      </c>
      <c r="M6957" s="1" t="str">
        <f>"江苏省 苏州市 张家港市 金港街道"</f>
        <v>江苏省 苏州市 张家港市 金港街道</v>
      </c>
      <c r="N6957" s="1" t="str">
        <f t="shared" si="2041"/>
        <v>凡华云仓-韵达-抖音</v>
      </c>
      <c r="O6957" s="5">
        <v>320176666061181</v>
      </c>
      <c r="P6957" s="6">
        <v>0.35</v>
      </c>
      <c r="Q6957" s="11">
        <v>2.2999999999999998</v>
      </c>
      <c r="R6957" s="11"/>
      <c r="S6957" s="11"/>
      <c r="T6957" s="11"/>
      <c r="U6957" s="11">
        <f t="shared" si="2031"/>
        <v>2.2999999999999998</v>
      </c>
      <c r="W6957">
        <v>2.5</v>
      </c>
      <c r="X6957" s="1" t="s">
        <v>13</v>
      </c>
    </row>
    <row r="6958" spans="1:24" x14ac:dyDescent="0.25">
      <c r="A6958" s="1" t="str">
        <f t="shared" si="2032"/>
        <v>卡卡杜-凤凰仓</v>
      </c>
      <c r="B6958" s="1" t="str">
        <f>"CK2024101722417"</f>
        <v>CK2024101722417</v>
      </c>
      <c r="C6958" s="1" t="str">
        <f>"DD2024101737589"</f>
        <v>DD2024101737589</v>
      </c>
      <c r="D6958" s="1" t="str">
        <f>"CK2024101736307"</f>
        <v>CK2024101736307</v>
      </c>
      <c r="E6958" s="1" t="str">
        <f>"6935119290326325131"</f>
        <v>6935119290326325131</v>
      </c>
      <c r="F6958" s="1" t="str">
        <f t="shared" si="2033"/>
        <v>花都四部-凤凰仓</v>
      </c>
      <c r="G6958" s="1" t="str">
        <f t="shared" si="2040"/>
        <v>卡卡杜个人护理店（抖店）</v>
      </c>
      <c r="H6958" s="1" t="str">
        <f t="shared" si="2034"/>
        <v>正常订单</v>
      </c>
      <c r="I6958" s="1" t="str">
        <f t="shared" si="2035"/>
        <v>已发货</v>
      </c>
      <c r="J6958" s="1" t="str">
        <f>"5"</f>
        <v>5</v>
      </c>
      <c r="K6958" s="1">
        <v>2</v>
      </c>
      <c r="L6958" s="1" t="s">
        <v>36</v>
      </c>
      <c r="M6958" s="1" t="str">
        <f>"安徽省 合肥市 肥西县 上派镇"</f>
        <v>安徽省 合肥市 肥西县 上派镇</v>
      </c>
      <c r="N6958" s="1" t="str">
        <f t="shared" si="2041"/>
        <v>凡华云仓-韵达-抖音</v>
      </c>
      <c r="O6958" s="5">
        <v>320176653768610</v>
      </c>
      <c r="P6958" s="6">
        <v>0.59</v>
      </c>
      <c r="Q6958" s="11">
        <f>CEILING(P6958-0.5,0.1)*10*0.15+2.3</f>
        <v>2.4499999999999997</v>
      </c>
      <c r="R6958" s="11"/>
      <c r="S6958" s="11"/>
      <c r="T6958" s="11"/>
      <c r="U6958" s="11">
        <f t="shared" si="2031"/>
        <v>2.4499999999999997</v>
      </c>
      <c r="V6958" t="s">
        <v>15</v>
      </c>
      <c r="W6958">
        <v>2.4500000000000002</v>
      </c>
      <c r="X6958" s="1" t="s">
        <v>36</v>
      </c>
    </row>
    <row r="6959" spans="1:24" x14ac:dyDescent="0.25">
      <c r="A6959" s="1" t="str">
        <f t="shared" si="2032"/>
        <v>卡卡杜-凤凰仓</v>
      </c>
      <c r="B6959" s="1" t="str">
        <f>"CK2024101722418"</f>
        <v>CK2024101722418</v>
      </c>
      <c r="C6959" s="1" t="str">
        <f>"DD2024101737592"</f>
        <v>DD2024101737592</v>
      </c>
      <c r="D6959" s="1" t="str">
        <f>"CK2024101736306"</f>
        <v>CK2024101736306</v>
      </c>
      <c r="E6959" s="1" t="str">
        <f>"6935123590933845334"</f>
        <v>6935123590933845334</v>
      </c>
      <c r="F6959" s="1" t="str">
        <f t="shared" si="2033"/>
        <v>花都四部-凤凰仓</v>
      </c>
      <c r="G6959" s="1" t="str">
        <f t="shared" si="2040"/>
        <v>卡卡杜个人护理店（抖店）</v>
      </c>
      <c r="H6959" s="1" t="str">
        <f t="shared" si="2034"/>
        <v>正常订单</v>
      </c>
      <c r="I6959" s="1" t="str">
        <f t="shared" si="2035"/>
        <v>已发货</v>
      </c>
      <c r="J6959" s="1" t="str">
        <f t="shared" ref="J6959:J6968" si="2042">"3"</f>
        <v>3</v>
      </c>
      <c r="K6959" s="1">
        <v>2</v>
      </c>
      <c r="L6959" s="1" t="s">
        <v>27</v>
      </c>
      <c r="M6959" s="1" t="str">
        <f>"贵州省 贵阳市 花溪区 平桥街道"</f>
        <v>贵州省 贵阳市 花溪区 平桥街道</v>
      </c>
      <c r="N6959" s="1" t="str">
        <f t="shared" si="2041"/>
        <v>凡华云仓-韵达-抖音</v>
      </c>
      <c r="O6959" s="5">
        <v>320176653768511</v>
      </c>
      <c r="P6959" s="6">
        <v>0.35</v>
      </c>
      <c r="Q6959" s="11">
        <v>2.2999999999999998</v>
      </c>
      <c r="R6959" s="11"/>
      <c r="S6959" s="11"/>
      <c r="T6959" s="11"/>
      <c r="U6959" s="11">
        <f t="shared" si="2031"/>
        <v>2.2999999999999998</v>
      </c>
      <c r="W6959">
        <v>2.5</v>
      </c>
      <c r="X6959" s="1" t="s">
        <v>27</v>
      </c>
    </row>
    <row r="6960" spans="1:24" x14ac:dyDescent="0.25">
      <c r="A6960" s="1" t="str">
        <f t="shared" si="2032"/>
        <v>卡卡杜-凤凰仓</v>
      </c>
      <c r="B6960" s="1" t="str">
        <f>"CK2024101722419"</f>
        <v>CK2024101722419</v>
      </c>
      <c r="C6960" s="1" t="str">
        <f>"DD2024101737591"</f>
        <v>DD2024101737591</v>
      </c>
      <c r="D6960" s="1" t="str">
        <f>"CK2024101736305"</f>
        <v>CK2024101736305</v>
      </c>
      <c r="E6960" s="1" t="str">
        <f>"6935121479827723264"</f>
        <v>6935121479827723264</v>
      </c>
      <c r="F6960" s="1" t="str">
        <f t="shared" si="2033"/>
        <v>花都四部-凤凰仓</v>
      </c>
      <c r="G6960" s="1" t="str">
        <f t="shared" si="2040"/>
        <v>卡卡杜个人护理店（抖店）</v>
      </c>
      <c r="H6960" s="1" t="str">
        <f t="shared" si="2034"/>
        <v>正常订单</v>
      </c>
      <c r="I6960" s="1" t="str">
        <f t="shared" si="2035"/>
        <v>已发货</v>
      </c>
      <c r="J6960" s="1" t="str">
        <f t="shared" si="2042"/>
        <v>3</v>
      </c>
      <c r="K6960" s="1">
        <v>2</v>
      </c>
      <c r="L6960" s="1" t="s">
        <v>13</v>
      </c>
      <c r="M6960" s="1" t="str">
        <f>"江苏省 无锡市 江阴市 月城镇"</f>
        <v>江苏省 无锡市 江阴市 月城镇</v>
      </c>
      <c r="N6960" s="1" t="str">
        <f t="shared" si="2041"/>
        <v>凡华云仓-韵达-抖音</v>
      </c>
      <c r="O6960" s="5">
        <v>320176653768414</v>
      </c>
      <c r="P6960" s="6">
        <v>0.35</v>
      </c>
      <c r="Q6960" s="11">
        <v>2.2999999999999998</v>
      </c>
      <c r="R6960" s="11"/>
      <c r="S6960" s="11"/>
      <c r="T6960" s="11"/>
      <c r="U6960" s="11">
        <f t="shared" si="2031"/>
        <v>2.2999999999999998</v>
      </c>
      <c r="W6960">
        <v>2.5</v>
      </c>
      <c r="X6960" s="1" t="s">
        <v>13</v>
      </c>
    </row>
    <row r="6961" spans="1:24" x14ac:dyDescent="0.25">
      <c r="A6961" s="1" t="str">
        <f t="shared" si="2032"/>
        <v>卡卡杜-凤凰仓</v>
      </c>
      <c r="B6961" s="1" t="str">
        <f>"CK2024101722420"</f>
        <v>CK2024101722420</v>
      </c>
      <c r="C6961" s="1" t="str">
        <f>"DD2024101737594"</f>
        <v>DD2024101737594</v>
      </c>
      <c r="D6961" s="1" t="str">
        <f>"CK2024101736304"</f>
        <v>CK2024101736304</v>
      </c>
      <c r="E6961" s="1" t="str">
        <f>"6935119197552515046"</f>
        <v>6935119197552515046</v>
      </c>
      <c r="F6961" s="1" t="str">
        <f t="shared" si="2033"/>
        <v>花都四部-凤凰仓</v>
      </c>
      <c r="G6961" s="1" t="str">
        <f t="shared" si="2040"/>
        <v>卡卡杜个人护理店（抖店）</v>
      </c>
      <c r="H6961" s="1" t="str">
        <f t="shared" si="2034"/>
        <v>正常订单</v>
      </c>
      <c r="I6961" s="1" t="str">
        <f t="shared" si="2035"/>
        <v>已发货</v>
      </c>
      <c r="J6961" s="1" t="str">
        <f t="shared" si="2042"/>
        <v>3</v>
      </c>
      <c r="K6961" s="1">
        <v>2</v>
      </c>
      <c r="L6961" s="1" t="s">
        <v>30</v>
      </c>
      <c r="M6961" s="1" t="str">
        <f>"山东省 临沂市 兰山区 兰山街道"</f>
        <v>山东省 临沂市 兰山区 兰山街道</v>
      </c>
      <c r="N6961" s="1" t="str">
        <f t="shared" si="2041"/>
        <v>凡华云仓-韵达-抖音</v>
      </c>
      <c r="O6961" s="5">
        <v>320176653768319</v>
      </c>
      <c r="P6961" s="6">
        <v>0.35</v>
      </c>
      <c r="Q6961" s="11">
        <v>2.2999999999999998</v>
      </c>
      <c r="R6961" s="11"/>
      <c r="S6961" s="11"/>
      <c r="T6961" s="11"/>
      <c r="U6961" s="11">
        <f t="shared" si="2031"/>
        <v>2.2999999999999998</v>
      </c>
      <c r="W6961">
        <v>2.5</v>
      </c>
      <c r="X6961" s="1" t="s">
        <v>30</v>
      </c>
    </row>
    <row r="6962" spans="1:24" x14ac:dyDescent="0.25">
      <c r="A6962" s="1" t="str">
        <f t="shared" si="2032"/>
        <v>卡卡杜-凤凰仓</v>
      </c>
      <c r="B6962" s="1" t="str">
        <f>"CK2024101722421"</f>
        <v>CK2024101722421</v>
      </c>
      <c r="C6962" s="1" t="str">
        <f>"DD2024101737595"</f>
        <v>DD2024101737595</v>
      </c>
      <c r="D6962" s="1" t="str">
        <f>"CK2024101736303"</f>
        <v>CK2024101736303</v>
      </c>
      <c r="E6962" s="1" t="str">
        <f>"6935130107738396265"</f>
        <v>6935130107738396265</v>
      </c>
      <c r="F6962" s="1" t="str">
        <f t="shared" si="2033"/>
        <v>花都四部-凤凰仓</v>
      </c>
      <c r="G6962" s="1" t="str">
        <f t="shared" si="2040"/>
        <v>卡卡杜个人护理店（抖店）</v>
      </c>
      <c r="H6962" s="1" t="str">
        <f t="shared" si="2034"/>
        <v>正常订单</v>
      </c>
      <c r="I6962" s="1" t="str">
        <f t="shared" si="2035"/>
        <v>已发货</v>
      </c>
      <c r="J6962" s="1" t="str">
        <f t="shared" si="2042"/>
        <v>3</v>
      </c>
      <c r="K6962" s="1">
        <v>2</v>
      </c>
      <c r="L6962" s="1" t="s">
        <v>24</v>
      </c>
      <c r="M6962" s="1" t="str">
        <f>"福建省 莆田市 秀屿区 笏石镇"</f>
        <v>福建省 莆田市 秀屿区 笏石镇</v>
      </c>
      <c r="N6962" s="1" t="str">
        <f t="shared" si="2041"/>
        <v>凡华云仓-韵达-抖音</v>
      </c>
      <c r="O6962" s="5">
        <v>320176653768226</v>
      </c>
      <c r="P6962" s="6">
        <v>0.35</v>
      </c>
      <c r="Q6962" s="11">
        <v>2.2999999999999998</v>
      </c>
      <c r="R6962" s="11"/>
      <c r="S6962" s="11"/>
      <c r="T6962" s="11"/>
      <c r="U6962" s="11">
        <f t="shared" si="2031"/>
        <v>2.2999999999999998</v>
      </c>
      <c r="W6962">
        <v>2.5</v>
      </c>
      <c r="X6962" s="1" t="s">
        <v>24</v>
      </c>
    </row>
    <row r="6963" spans="1:24" x14ac:dyDescent="0.25">
      <c r="A6963" s="1" t="str">
        <f t="shared" si="2032"/>
        <v>卡卡杜-凤凰仓</v>
      </c>
      <c r="B6963" s="1" t="str">
        <f>"CK2024101722422"</f>
        <v>CK2024101722422</v>
      </c>
      <c r="C6963" s="1" t="str">
        <f>"DD2024101737599"</f>
        <v>DD2024101737599</v>
      </c>
      <c r="D6963" s="1" t="str">
        <f>"CK2024101736302"</f>
        <v>CK2024101736302</v>
      </c>
      <c r="E6963" s="1" t="str">
        <f>"6935125950044575443"</f>
        <v>6935125950044575443</v>
      </c>
      <c r="F6963" s="1" t="str">
        <f t="shared" si="2033"/>
        <v>花都四部-凤凰仓</v>
      </c>
      <c r="G6963" s="1" t="str">
        <f t="shared" si="2040"/>
        <v>卡卡杜个人护理店（抖店）</v>
      </c>
      <c r="H6963" s="1" t="str">
        <f t="shared" si="2034"/>
        <v>正常订单</v>
      </c>
      <c r="I6963" s="1" t="str">
        <f t="shared" si="2035"/>
        <v>已发货</v>
      </c>
      <c r="J6963" s="1" t="str">
        <f t="shared" si="2042"/>
        <v>3</v>
      </c>
      <c r="K6963" s="1">
        <v>2</v>
      </c>
      <c r="L6963" s="1" t="s">
        <v>13</v>
      </c>
      <c r="M6963" s="1" t="str">
        <f>"江苏省 盐城市 建湖县 近湖街道"</f>
        <v>江苏省 盐城市 建湖县 近湖街道</v>
      </c>
      <c r="N6963" s="1" t="str">
        <f t="shared" si="2041"/>
        <v>凡华云仓-韵达-抖音</v>
      </c>
      <c r="O6963" s="5">
        <v>320176653768135</v>
      </c>
      <c r="P6963" s="6">
        <v>0.35</v>
      </c>
      <c r="Q6963" s="11">
        <v>2.2999999999999998</v>
      </c>
      <c r="R6963" s="11"/>
      <c r="S6963" s="11"/>
      <c r="T6963" s="11"/>
      <c r="U6963" s="11">
        <f t="shared" si="2031"/>
        <v>2.2999999999999998</v>
      </c>
      <c r="W6963">
        <v>2.5</v>
      </c>
      <c r="X6963" s="1" t="s">
        <v>13</v>
      </c>
    </row>
    <row r="6964" spans="1:24" x14ac:dyDescent="0.25">
      <c r="A6964" s="1" t="str">
        <f t="shared" si="2032"/>
        <v>卡卡杜-凤凰仓</v>
      </c>
      <c r="B6964" s="1" t="str">
        <f>"CK2024101722423"</f>
        <v>CK2024101722423</v>
      </c>
      <c r="C6964" s="1" t="str">
        <f>"DD2024101737596"</f>
        <v>DD2024101737596</v>
      </c>
      <c r="D6964" s="1" t="str">
        <f>"CK2024101736301"</f>
        <v>CK2024101736301</v>
      </c>
      <c r="E6964" s="1" t="str">
        <f>"6935123631037814040"</f>
        <v>6935123631037814040</v>
      </c>
      <c r="F6964" s="1" t="str">
        <f t="shared" si="2033"/>
        <v>花都四部-凤凰仓</v>
      </c>
      <c r="G6964" s="1" t="str">
        <f t="shared" si="2040"/>
        <v>卡卡杜个人护理店（抖店）</v>
      </c>
      <c r="H6964" s="1" t="str">
        <f t="shared" si="2034"/>
        <v>正常订单</v>
      </c>
      <c r="I6964" s="1" t="str">
        <f t="shared" si="2035"/>
        <v>已发货</v>
      </c>
      <c r="J6964" s="1" t="str">
        <f t="shared" si="2042"/>
        <v>3</v>
      </c>
      <c r="K6964" s="1">
        <v>2</v>
      </c>
      <c r="L6964" s="1" t="s">
        <v>20</v>
      </c>
      <c r="M6964" s="1" t="str">
        <f>"浙江省 温州市 瑞安市 安阳街道"</f>
        <v>浙江省 温州市 瑞安市 安阳街道</v>
      </c>
      <c r="N6964" s="1" t="str">
        <f t="shared" si="2041"/>
        <v>凡华云仓-韵达-抖音</v>
      </c>
      <c r="O6964" s="5">
        <v>320176653768046</v>
      </c>
      <c r="P6964" s="6">
        <v>0.35</v>
      </c>
      <c r="Q6964" s="11">
        <v>2.2999999999999998</v>
      </c>
      <c r="R6964" s="11"/>
      <c r="S6964" s="11"/>
      <c r="T6964" s="11"/>
      <c r="U6964" s="11">
        <f t="shared" si="2031"/>
        <v>2.2999999999999998</v>
      </c>
      <c r="W6964">
        <v>2.5</v>
      </c>
      <c r="X6964" s="1" t="s">
        <v>20</v>
      </c>
    </row>
    <row r="6965" spans="1:24" x14ac:dyDescent="0.25">
      <c r="A6965" s="1" t="str">
        <f t="shared" si="2032"/>
        <v>卡卡杜-凤凰仓</v>
      </c>
      <c r="B6965" s="1" t="str">
        <f>"CK2024101722424"</f>
        <v>CK2024101722424</v>
      </c>
      <c r="C6965" s="1" t="str">
        <f>"DD2024101737597"</f>
        <v>DD2024101737597</v>
      </c>
      <c r="D6965" s="1" t="str">
        <f>"CK2024101736300"</f>
        <v>CK2024101736300</v>
      </c>
      <c r="E6965" s="1" t="str">
        <f>"6935137223793055012"</f>
        <v>6935137223793055012</v>
      </c>
      <c r="F6965" s="1" t="str">
        <f t="shared" si="2033"/>
        <v>花都四部-凤凰仓</v>
      </c>
      <c r="G6965" s="1" t="str">
        <f t="shared" si="2040"/>
        <v>卡卡杜个人护理店（抖店）</v>
      </c>
      <c r="H6965" s="1" t="str">
        <f t="shared" si="2034"/>
        <v>正常订单</v>
      </c>
      <c r="I6965" s="1" t="str">
        <f t="shared" si="2035"/>
        <v>已发货</v>
      </c>
      <c r="J6965" s="1" t="str">
        <f t="shared" si="2042"/>
        <v>3</v>
      </c>
      <c r="K6965" s="1">
        <v>2</v>
      </c>
      <c r="L6965" s="1" t="s">
        <v>13</v>
      </c>
      <c r="M6965" s="1" t="str">
        <f>"江苏省 南京市 雨花台区 西善桥街道"</f>
        <v>江苏省 南京市 雨花台区 西善桥街道</v>
      </c>
      <c r="N6965" s="1" t="str">
        <f t="shared" si="2041"/>
        <v>凡华云仓-韵达-抖音</v>
      </c>
      <c r="O6965" s="5">
        <v>320176653767916</v>
      </c>
      <c r="P6965" s="6">
        <v>0.35</v>
      </c>
      <c r="Q6965" s="11">
        <v>2.2999999999999998</v>
      </c>
      <c r="R6965" s="11"/>
      <c r="S6965" s="11"/>
      <c r="T6965" s="11"/>
      <c r="U6965" s="11">
        <f t="shared" si="2031"/>
        <v>2.2999999999999998</v>
      </c>
      <c r="W6965">
        <v>2.5</v>
      </c>
      <c r="X6965" s="1" t="s">
        <v>13</v>
      </c>
    </row>
    <row r="6966" spans="1:24" x14ac:dyDescent="0.25">
      <c r="A6966" s="1" t="str">
        <f t="shared" si="2032"/>
        <v>卡卡杜-凤凰仓</v>
      </c>
      <c r="B6966" s="1" t="str">
        <f>"CK2024101722425"</f>
        <v>CK2024101722425</v>
      </c>
      <c r="C6966" s="1" t="str">
        <f>"DD2024101737598"</f>
        <v>DD2024101737598</v>
      </c>
      <c r="D6966" s="1" t="str">
        <f>"CK2024101736299"</f>
        <v>CK2024101736299</v>
      </c>
      <c r="E6966" s="1" t="str">
        <f>"6935112858207786004"</f>
        <v>6935112858207786004</v>
      </c>
      <c r="F6966" s="1" t="str">
        <f t="shared" si="2033"/>
        <v>花都四部-凤凰仓</v>
      </c>
      <c r="G6966" s="1" t="str">
        <f t="shared" si="2040"/>
        <v>卡卡杜个人护理店（抖店）</v>
      </c>
      <c r="H6966" s="1" t="str">
        <f t="shared" si="2034"/>
        <v>正常订单</v>
      </c>
      <c r="I6966" s="1" t="str">
        <f t="shared" si="2035"/>
        <v>已发货</v>
      </c>
      <c r="J6966" s="1" t="str">
        <f t="shared" si="2042"/>
        <v>3</v>
      </c>
      <c r="K6966" s="1">
        <v>2</v>
      </c>
      <c r="L6966" s="1" t="s">
        <v>13</v>
      </c>
      <c r="M6966" s="1" t="str">
        <f>"江苏省 南京市 浦口区 江浦街道"</f>
        <v>江苏省 南京市 浦口区 江浦街道</v>
      </c>
      <c r="N6966" s="1" t="str">
        <f t="shared" si="2041"/>
        <v>凡华云仓-韵达-抖音</v>
      </c>
      <c r="O6966" s="5">
        <v>320176653767811</v>
      </c>
      <c r="P6966" s="6">
        <v>0.35</v>
      </c>
      <c r="Q6966" s="11">
        <v>2.2999999999999998</v>
      </c>
      <c r="R6966" s="11"/>
      <c r="S6966" s="11"/>
      <c r="T6966" s="11"/>
      <c r="U6966" s="11">
        <f t="shared" si="2031"/>
        <v>2.2999999999999998</v>
      </c>
      <c r="W6966">
        <v>2.5</v>
      </c>
      <c r="X6966" s="1" t="s">
        <v>13</v>
      </c>
    </row>
    <row r="6967" spans="1:24" x14ac:dyDescent="0.25">
      <c r="A6967" s="1" t="str">
        <f t="shared" si="2032"/>
        <v>卡卡杜-凤凰仓</v>
      </c>
      <c r="B6967" s="1" t="str">
        <f>"CK2024101719396"</f>
        <v>CK2024101719396</v>
      </c>
      <c r="C6967" s="1" t="str">
        <f>"DD2024101728341"</f>
        <v>DD2024101728341</v>
      </c>
      <c r="D6967" s="1" t="str">
        <f>"CK2024101727574"</f>
        <v>CK2024101727574</v>
      </c>
      <c r="E6967" s="1" t="str">
        <f>"2429102177154673"</f>
        <v>2429102177154673</v>
      </c>
      <c r="F6967" s="1" t="str">
        <f t="shared" si="2033"/>
        <v>花都四部-凤凰仓</v>
      </c>
      <c r="G6967" s="1" t="str">
        <f>"卡卡杜佳旺专卖店（快手店）"</f>
        <v>卡卡杜佳旺专卖店（快手店）</v>
      </c>
      <c r="H6967" s="1" t="str">
        <f t="shared" si="2034"/>
        <v>正常订单</v>
      </c>
      <c r="I6967" s="1" t="str">
        <f t="shared" si="2035"/>
        <v>已发货</v>
      </c>
      <c r="J6967" s="1" t="str">
        <f t="shared" si="2042"/>
        <v>3</v>
      </c>
      <c r="K6967" s="1">
        <v>2</v>
      </c>
      <c r="L6967" s="1" t="s">
        <v>20</v>
      </c>
      <c r="M6967" s="1" t="str">
        <f>"浙江省 宁波市 江北区 甬江街道"</f>
        <v>浙江省 宁波市 江北区 甬江街道</v>
      </c>
      <c r="N6967" s="1" t="str">
        <f>"凡华云仓-韵达-快手"</f>
        <v>凡华云仓-韵达-快手</v>
      </c>
      <c r="O6967" s="5">
        <v>319207968327847</v>
      </c>
      <c r="P6967" s="6">
        <v>0.35</v>
      </c>
      <c r="Q6967" s="11">
        <v>2.2999999999999998</v>
      </c>
      <c r="R6967" s="11"/>
      <c r="S6967" s="11"/>
      <c r="T6967" s="11"/>
      <c r="U6967" s="11">
        <f t="shared" si="2031"/>
        <v>2.2999999999999998</v>
      </c>
      <c r="W6967">
        <v>2.5</v>
      </c>
      <c r="X6967" s="1" t="s">
        <v>20</v>
      </c>
    </row>
    <row r="6968" spans="1:24" x14ac:dyDescent="0.25">
      <c r="A6968" s="1" t="str">
        <f t="shared" si="2032"/>
        <v>卡卡杜-凤凰仓</v>
      </c>
      <c r="B6968" s="1" t="str">
        <f>"CK2024101719410"</f>
        <v>CK2024101719410</v>
      </c>
      <c r="C6968" s="1" t="str">
        <f>"DD2024101728351"</f>
        <v>DD2024101728351</v>
      </c>
      <c r="D6968" s="1" t="str">
        <f>"CK2024101727573"</f>
        <v>CK2024101727573</v>
      </c>
      <c r="E6968" s="1" t="str">
        <f>"3723368004379348992"</f>
        <v>3723368004379348992</v>
      </c>
      <c r="F6968" s="1" t="str">
        <f t="shared" si="2033"/>
        <v>花都四部-凤凰仓</v>
      </c>
      <c r="G6968" s="1" t="str">
        <f>"卡卡杜企业店（视频号）"</f>
        <v>卡卡杜企业店（视频号）</v>
      </c>
      <c r="H6968" s="1" t="str">
        <f t="shared" si="2034"/>
        <v>正常订单</v>
      </c>
      <c r="I6968" s="1" t="str">
        <f t="shared" si="2035"/>
        <v>已发货</v>
      </c>
      <c r="J6968" s="1" t="str">
        <f t="shared" si="2042"/>
        <v>3</v>
      </c>
      <c r="K6968" s="1">
        <v>3</v>
      </c>
      <c r="L6968" s="1" t="s">
        <v>54</v>
      </c>
      <c r="M6968" s="1" t="str">
        <f>"黑龙江省 大庆市 让胡路区 "</f>
        <v xml:space="preserve">黑龙江省 大庆市 让胡路区 </v>
      </c>
      <c r="N6968" s="1" t="str">
        <f>"凡华云仓-韵达-微信视频号"</f>
        <v>凡华云仓-韵达-微信视频号</v>
      </c>
      <c r="O6968" s="5">
        <v>315013299544965</v>
      </c>
      <c r="P6968" s="6">
        <v>0.34</v>
      </c>
      <c r="Q6968" s="11">
        <v>2.2999999999999998</v>
      </c>
      <c r="R6968" s="11"/>
      <c r="S6968" s="11"/>
      <c r="T6968" s="11"/>
      <c r="U6968" s="11">
        <f t="shared" si="2031"/>
        <v>2.2999999999999998</v>
      </c>
      <c r="W6968">
        <v>2.5</v>
      </c>
      <c r="X6968" s="1" t="s">
        <v>54</v>
      </c>
    </row>
    <row r="6969" spans="1:24" x14ac:dyDescent="0.25">
      <c r="A6969" s="1" t="str">
        <f t="shared" si="2032"/>
        <v>卡卡杜-凤凰仓</v>
      </c>
      <c r="B6969" s="1" t="str">
        <f>"CK2024101413597"</f>
        <v>CK2024101413597</v>
      </c>
      <c r="C6969" s="1" t="str">
        <f>"DD2024101460102"</f>
        <v>DD2024101460102</v>
      </c>
      <c r="D6969" s="1" t="str">
        <f>"CK2024101455080"</f>
        <v>CK2024101455080</v>
      </c>
      <c r="E6969" s="1" t="str">
        <f>"KKD20241014YP006"</f>
        <v>KKD20241014YP006</v>
      </c>
      <c r="F6969" s="1" t="str">
        <f t="shared" si="2033"/>
        <v>花都四部-凤凰仓</v>
      </c>
      <c r="G6969" s="1" t="str">
        <f>"卡卡杜全欣样品"</f>
        <v>卡卡杜全欣样品</v>
      </c>
      <c r="H6969" s="1" t="str">
        <f t="shared" si="2034"/>
        <v>正常订单</v>
      </c>
      <c r="I6969" s="1" t="str">
        <f t="shared" si="2035"/>
        <v>已发货</v>
      </c>
      <c r="J6969" s="1" t="str">
        <f>"4"</f>
        <v>4</v>
      </c>
      <c r="K6969" s="1">
        <v>3</v>
      </c>
      <c r="L6969" s="1" t="s">
        <v>18</v>
      </c>
      <c r="M6969" s="1" t="str">
        <f>"广东省 惠州市 惠阳区 "</f>
        <v xml:space="preserve">广东省 惠州市 惠阳区 </v>
      </c>
      <c r="N6969" s="1" t="str">
        <f>"凡华云仓-韵达-淘宝"</f>
        <v>凡华云仓-韵达-淘宝</v>
      </c>
      <c r="O6969" s="3">
        <v>434188988823818</v>
      </c>
      <c r="P6969" s="6">
        <v>0.57999999999999996</v>
      </c>
      <c r="Q6969" s="11">
        <f t="shared" ref="Q6969:Q6979" si="2043">CEILING(P6969-0.5,0.1)*10*0.15+2.3</f>
        <v>2.4499999999999997</v>
      </c>
      <c r="R6969" s="11"/>
      <c r="S6969" s="11">
        <v>0.15</v>
      </c>
      <c r="T6969" s="11"/>
      <c r="U6969" s="11">
        <f t="shared" si="2031"/>
        <v>2.5999999999999996</v>
      </c>
      <c r="V6969" t="s">
        <v>15</v>
      </c>
      <c r="W6969">
        <v>2.6</v>
      </c>
      <c r="X6969" s="1" t="s">
        <v>18</v>
      </c>
    </row>
    <row r="6970" spans="1:24" x14ac:dyDescent="0.25">
      <c r="A6970" s="1" t="str">
        <f t="shared" si="2032"/>
        <v>卡卡杜-凤凰仓</v>
      </c>
      <c r="B6970" s="1" t="str">
        <f>"CK2024101413594"</f>
        <v>CK2024101413594</v>
      </c>
      <c r="C6970" s="1" t="str">
        <f>"DD2024101460101"</f>
        <v>DD2024101460101</v>
      </c>
      <c r="D6970" s="1" t="str">
        <f>"CK2024101455081"</f>
        <v>CK2024101455081</v>
      </c>
      <c r="E6970" s="1" t="str">
        <f>"KKD20241014YP014"</f>
        <v>KKD20241014YP014</v>
      </c>
      <c r="F6970" s="1" t="str">
        <f t="shared" si="2033"/>
        <v>花都四部-凤凰仓</v>
      </c>
      <c r="G6970" s="1" t="str">
        <f>"卡卡杜全欣样品"</f>
        <v>卡卡杜全欣样品</v>
      </c>
      <c r="H6970" s="1" t="str">
        <f t="shared" si="2034"/>
        <v>正常订单</v>
      </c>
      <c r="I6970" s="1" t="str">
        <f t="shared" si="2035"/>
        <v>已发货</v>
      </c>
      <c r="J6970" s="1" t="str">
        <f>"4"</f>
        <v>4</v>
      </c>
      <c r="K6970" s="1">
        <v>3</v>
      </c>
      <c r="L6970" s="1" t="s">
        <v>24</v>
      </c>
      <c r="M6970" s="1" t="str">
        <f>"福建省 莆田市 秀屿区 "</f>
        <v xml:space="preserve">福建省 莆田市 秀屿区 </v>
      </c>
      <c r="N6970" s="1" t="str">
        <f>"凡华云仓-韵达-淘宝"</f>
        <v>凡华云仓-韵达-淘宝</v>
      </c>
      <c r="O6970" s="3">
        <v>434188988823909</v>
      </c>
      <c r="P6970" s="6">
        <v>0.57999999999999996</v>
      </c>
      <c r="Q6970" s="11">
        <f t="shared" si="2043"/>
        <v>2.4499999999999997</v>
      </c>
      <c r="R6970" s="11"/>
      <c r="S6970" s="11">
        <v>0.15</v>
      </c>
      <c r="T6970" s="11"/>
      <c r="U6970" s="11">
        <f t="shared" si="2031"/>
        <v>2.5999999999999996</v>
      </c>
      <c r="V6970" t="s">
        <v>15</v>
      </c>
      <c r="W6970">
        <v>2.6</v>
      </c>
      <c r="X6970" s="1" t="s">
        <v>24</v>
      </c>
    </row>
    <row r="6971" spans="1:24" x14ac:dyDescent="0.25">
      <c r="A6971" s="1" t="str">
        <f t="shared" si="2032"/>
        <v>卡卡杜-凤凰仓</v>
      </c>
      <c r="B6971" s="1" t="str">
        <f>"CK2024101719365"</f>
        <v>CK2024101719365</v>
      </c>
      <c r="C6971" s="1" t="str">
        <f>"DD2024101728302"</f>
        <v>DD2024101728302</v>
      </c>
      <c r="D6971" s="1" t="str">
        <f>"CK2024101727570"</f>
        <v>CK2024101727570</v>
      </c>
      <c r="E6971" s="1" t="str">
        <f>"KKD20241017YP007"</f>
        <v>KKD20241017YP007</v>
      </c>
      <c r="F6971" s="1" t="str">
        <f t="shared" si="2033"/>
        <v>花都四部-凤凰仓</v>
      </c>
      <c r="G6971" s="1" t="str">
        <f t="shared" ref="G6971:G6979" si="2044">"卡卡杜全欣样品"</f>
        <v>卡卡杜全欣样品</v>
      </c>
      <c r="H6971" s="1" t="str">
        <f t="shared" si="2034"/>
        <v>正常订单</v>
      </c>
      <c r="I6971" s="1" t="str">
        <f t="shared" si="2035"/>
        <v>已发货</v>
      </c>
      <c r="J6971" s="1" t="str">
        <f t="shared" ref="J6971:J6976" si="2045">"15"</f>
        <v>15</v>
      </c>
      <c r="K6971" s="1">
        <v>10</v>
      </c>
      <c r="L6971" s="1" t="s">
        <v>80</v>
      </c>
      <c r="M6971" s="1" t="str">
        <f>"河南省 郑州市 新郑市 "</f>
        <v xml:space="preserve">河南省 郑州市 新郑市 </v>
      </c>
      <c r="N6971" s="1" t="str">
        <f t="shared" ref="N6971:N6979" si="2046">"凡华云仓-韵达-淘宝"</f>
        <v>凡华云仓-韵达-淘宝</v>
      </c>
      <c r="O6971" s="3">
        <v>434195075942238</v>
      </c>
      <c r="P6971" s="6">
        <v>1.62</v>
      </c>
      <c r="Q6971" s="11">
        <f t="shared" si="2043"/>
        <v>4.0999999999999996</v>
      </c>
      <c r="R6971" s="11">
        <f t="shared" ref="R6971:R6976" si="2047">(K6971-3)*0.1</f>
        <v>0.70000000000000007</v>
      </c>
      <c r="S6971" s="11">
        <v>0.15</v>
      </c>
      <c r="T6971" s="11"/>
      <c r="U6971" s="11">
        <f t="shared" si="2031"/>
        <v>4.9499999999999993</v>
      </c>
      <c r="V6971" t="s">
        <v>15</v>
      </c>
      <c r="W6971">
        <v>4.95</v>
      </c>
      <c r="X6971" s="1" t="s">
        <v>80</v>
      </c>
    </row>
    <row r="6972" spans="1:24" x14ac:dyDescent="0.25">
      <c r="A6972" s="1" t="str">
        <f t="shared" si="2032"/>
        <v>卡卡杜-凤凰仓</v>
      </c>
      <c r="B6972" s="1" t="str">
        <f>"CK2024101719364"</f>
        <v>CK2024101719364</v>
      </c>
      <c r="C6972" s="1" t="str">
        <f>"DD2024101728301"</f>
        <v>DD2024101728301</v>
      </c>
      <c r="D6972" s="1" t="str">
        <f>"CK2024101727569"</f>
        <v>CK2024101727569</v>
      </c>
      <c r="E6972" s="1" t="str">
        <f>"KKD20241017YP011"</f>
        <v>KKD20241017YP011</v>
      </c>
      <c r="F6972" s="1" t="str">
        <f t="shared" si="2033"/>
        <v>花都四部-凤凰仓</v>
      </c>
      <c r="G6972" s="1" t="str">
        <f t="shared" si="2044"/>
        <v>卡卡杜全欣样品</v>
      </c>
      <c r="H6972" s="1" t="str">
        <f t="shared" si="2034"/>
        <v>正常订单</v>
      </c>
      <c r="I6972" s="1" t="str">
        <f t="shared" si="2035"/>
        <v>已发货</v>
      </c>
      <c r="J6972" s="1" t="str">
        <f t="shared" si="2045"/>
        <v>15</v>
      </c>
      <c r="K6972" s="1">
        <v>10</v>
      </c>
      <c r="L6972" s="1" t="s">
        <v>20</v>
      </c>
      <c r="M6972" s="1" t="str">
        <f>"浙江省 金华市 义乌市 "</f>
        <v xml:space="preserve">浙江省 金华市 义乌市 </v>
      </c>
      <c r="N6972" s="1" t="str">
        <f t="shared" si="2046"/>
        <v>凡华云仓-韵达-淘宝</v>
      </c>
      <c r="O6972" s="3">
        <v>434195075942148</v>
      </c>
      <c r="P6972" s="6">
        <v>1.62</v>
      </c>
      <c r="Q6972" s="11">
        <f t="shared" si="2043"/>
        <v>4.0999999999999996</v>
      </c>
      <c r="R6972" s="11">
        <f t="shared" si="2047"/>
        <v>0.70000000000000007</v>
      </c>
      <c r="S6972" s="11">
        <v>0.15</v>
      </c>
      <c r="T6972" s="11"/>
      <c r="U6972" s="11">
        <f t="shared" si="2031"/>
        <v>4.9499999999999993</v>
      </c>
      <c r="V6972" t="s">
        <v>15</v>
      </c>
      <c r="W6972">
        <v>4.95</v>
      </c>
      <c r="X6972" s="1" t="s">
        <v>20</v>
      </c>
    </row>
    <row r="6973" spans="1:24" x14ac:dyDescent="0.25">
      <c r="A6973" s="1" t="str">
        <f t="shared" si="2032"/>
        <v>卡卡杜-凤凰仓</v>
      </c>
      <c r="B6973" s="1" t="str">
        <f>"CK2024101719366"</f>
        <v>CK2024101719366</v>
      </c>
      <c r="C6973" s="1" t="str">
        <f>"DD2024101728300"</f>
        <v>DD2024101728300</v>
      </c>
      <c r="D6973" s="1" t="str">
        <f>"CK2024101727568"</f>
        <v>CK2024101727568</v>
      </c>
      <c r="E6973" s="1" t="str">
        <f>"KKD20241017YP006"</f>
        <v>KKD20241017YP006</v>
      </c>
      <c r="F6973" s="1" t="str">
        <f t="shared" si="2033"/>
        <v>花都四部-凤凰仓</v>
      </c>
      <c r="G6973" s="1" t="str">
        <f t="shared" si="2044"/>
        <v>卡卡杜全欣样品</v>
      </c>
      <c r="H6973" s="1" t="str">
        <f t="shared" si="2034"/>
        <v>正常订单</v>
      </c>
      <c r="I6973" s="1" t="str">
        <f t="shared" si="2035"/>
        <v>已发货</v>
      </c>
      <c r="J6973" s="1" t="str">
        <f t="shared" si="2045"/>
        <v>15</v>
      </c>
      <c r="K6973" s="1">
        <v>10</v>
      </c>
      <c r="L6973" s="1" t="s">
        <v>20</v>
      </c>
      <c r="M6973" s="1" t="str">
        <f>"浙江省 杭州市 西湖区 "</f>
        <v xml:space="preserve">浙江省 杭州市 西湖区 </v>
      </c>
      <c r="N6973" s="1" t="str">
        <f t="shared" si="2046"/>
        <v>凡华云仓-韵达-淘宝</v>
      </c>
      <c r="O6973" s="3">
        <v>434195075942058</v>
      </c>
      <c r="P6973" s="6">
        <v>1.62</v>
      </c>
      <c r="Q6973" s="11">
        <f t="shared" si="2043"/>
        <v>4.0999999999999996</v>
      </c>
      <c r="R6973" s="11">
        <f t="shared" si="2047"/>
        <v>0.70000000000000007</v>
      </c>
      <c r="S6973" s="11">
        <v>0.15</v>
      </c>
      <c r="T6973" s="11"/>
      <c r="U6973" s="11">
        <f t="shared" si="2031"/>
        <v>4.9499999999999993</v>
      </c>
      <c r="V6973" t="s">
        <v>15</v>
      </c>
      <c r="W6973">
        <v>4.95</v>
      </c>
      <c r="X6973" s="1" t="s">
        <v>20</v>
      </c>
    </row>
    <row r="6974" spans="1:24" x14ac:dyDescent="0.25">
      <c r="A6974" s="1" t="str">
        <f t="shared" si="2032"/>
        <v>卡卡杜-凤凰仓</v>
      </c>
      <c r="B6974" s="1" t="str">
        <f>"CK2024101719367"</f>
        <v>CK2024101719367</v>
      </c>
      <c r="C6974" s="1" t="str">
        <f>"DD2024101728299"</f>
        <v>DD2024101728299</v>
      </c>
      <c r="D6974" s="1" t="str">
        <f>"CK2024101727567"</f>
        <v>CK2024101727567</v>
      </c>
      <c r="E6974" s="1" t="str">
        <f>"KKD20241017YP005"</f>
        <v>KKD20241017YP005</v>
      </c>
      <c r="F6974" s="1" t="str">
        <f t="shared" si="2033"/>
        <v>花都四部-凤凰仓</v>
      </c>
      <c r="G6974" s="1" t="str">
        <f t="shared" si="2044"/>
        <v>卡卡杜全欣样品</v>
      </c>
      <c r="H6974" s="1" t="str">
        <f t="shared" si="2034"/>
        <v>正常订单</v>
      </c>
      <c r="I6974" s="1" t="str">
        <f t="shared" si="2035"/>
        <v>已发货</v>
      </c>
      <c r="J6974" s="1" t="str">
        <f t="shared" si="2045"/>
        <v>15</v>
      </c>
      <c r="K6974" s="1">
        <v>10</v>
      </c>
      <c r="L6974" s="1" t="s">
        <v>18</v>
      </c>
      <c r="M6974" s="1" t="str">
        <f>"广东省 深圳市 宝安区 "</f>
        <v xml:space="preserve">广东省 深圳市 宝安区 </v>
      </c>
      <c r="N6974" s="1" t="str">
        <f t="shared" si="2046"/>
        <v>凡华云仓-韵达-淘宝</v>
      </c>
      <c r="O6974" s="3">
        <v>434195075941967</v>
      </c>
      <c r="P6974" s="6">
        <v>1.62</v>
      </c>
      <c r="Q6974" s="11">
        <f t="shared" si="2043"/>
        <v>4.0999999999999996</v>
      </c>
      <c r="R6974" s="11">
        <f t="shared" si="2047"/>
        <v>0.70000000000000007</v>
      </c>
      <c r="S6974" s="11">
        <v>0.15</v>
      </c>
      <c r="T6974" s="11"/>
      <c r="U6974" s="11">
        <f t="shared" si="2031"/>
        <v>4.9499999999999993</v>
      </c>
      <c r="V6974" t="s">
        <v>15</v>
      </c>
      <c r="W6974">
        <v>4.95</v>
      </c>
      <c r="X6974" s="1" t="s">
        <v>18</v>
      </c>
    </row>
    <row r="6975" spans="1:24" x14ac:dyDescent="0.25">
      <c r="A6975" s="1" t="str">
        <f t="shared" si="2032"/>
        <v>卡卡杜-凤凰仓</v>
      </c>
      <c r="B6975" s="1" t="str">
        <f>"CK2024101719369"</f>
        <v>CK2024101719369</v>
      </c>
      <c r="C6975" s="1" t="str">
        <f>"DD2024101728303"</f>
        <v>DD2024101728303</v>
      </c>
      <c r="D6975" s="1" t="str">
        <f>"CK2024101727566"</f>
        <v>CK2024101727566</v>
      </c>
      <c r="E6975" s="1" t="str">
        <f>"KKD20241017YP001"</f>
        <v>KKD20241017YP001</v>
      </c>
      <c r="F6975" s="1" t="str">
        <f t="shared" si="2033"/>
        <v>花都四部-凤凰仓</v>
      </c>
      <c r="G6975" s="1" t="str">
        <f t="shared" si="2044"/>
        <v>卡卡杜全欣样品</v>
      </c>
      <c r="H6975" s="1" t="str">
        <f t="shared" si="2034"/>
        <v>正常订单</v>
      </c>
      <c r="I6975" s="1" t="str">
        <f t="shared" si="2035"/>
        <v>已发货</v>
      </c>
      <c r="J6975" s="1" t="str">
        <f t="shared" si="2045"/>
        <v>15</v>
      </c>
      <c r="K6975" s="1">
        <v>10</v>
      </c>
      <c r="L6975" s="1" t="s">
        <v>218</v>
      </c>
      <c r="M6975" s="1" t="str">
        <f>"天津 天津市 西青区 "</f>
        <v xml:space="preserve">天津 天津市 西青区 </v>
      </c>
      <c r="N6975" s="1" t="str">
        <f t="shared" si="2046"/>
        <v>凡华云仓-韵达-淘宝</v>
      </c>
      <c r="O6975" s="3">
        <v>434195075941878</v>
      </c>
      <c r="P6975" s="6">
        <v>1.62</v>
      </c>
      <c r="Q6975" s="11">
        <f t="shared" si="2043"/>
        <v>4.0999999999999996</v>
      </c>
      <c r="R6975" s="11">
        <f t="shared" si="2047"/>
        <v>0.70000000000000007</v>
      </c>
      <c r="S6975" s="11">
        <v>0.15</v>
      </c>
      <c r="T6975" s="11"/>
      <c r="U6975" s="11">
        <f t="shared" si="2031"/>
        <v>4.9499999999999993</v>
      </c>
      <c r="V6975" t="s">
        <v>15</v>
      </c>
      <c r="W6975">
        <v>4.95</v>
      </c>
      <c r="X6975" s="1" t="s">
        <v>218</v>
      </c>
    </row>
    <row r="6976" spans="1:24" x14ac:dyDescent="0.25">
      <c r="A6976" s="1" t="str">
        <f t="shared" si="2032"/>
        <v>卡卡杜-凤凰仓</v>
      </c>
      <c r="B6976" s="1" t="str">
        <f>"CK2024101719368"</f>
        <v>CK2024101719368</v>
      </c>
      <c r="C6976" s="1" t="str">
        <f>"DD2024101728298"</f>
        <v>DD2024101728298</v>
      </c>
      <c r="D6976" s="1" t="str">
        <f>"CK2024101727565"</f>
        <v>CK2024101727565</v>
      </c>
      <c r="E6976" s="1" t="str">
        <f>"KKD20241017YP002"</f>
        <v>KKD20241017YP002</v>
      </c>
      <c r="F6976" s="1" t="str">
        <f t="shared" si="2033"/>
        <v>花都四部-凤凰仓</v>
      </c>
      <c r="G6976" s="1" t="str">
        <f t="shared" si="2044"/>
        <v>卡卡杜全欣样品</v>
      </c>
      <c r="H6976" s="1" t="str">
        <f t="shared" si="2034"/>
        <v>正常订单</v>
      </c>
      <c r="I6976" s="1" t="str">
        <f t="shared" si="2035"/>
        <v>已发货</v>
      </c>
      <c r="J6976" s="1" t="str">
        <f t="shared" si="2045"/>
        <v>15</v>
      </c>
      <c r="K6976" s="1">
        <v>10</v>
      </c>
      <c r="L6976" s="1" t="s">
        <v>187</v>
      </c>
      <c r="M6976" s="1" t="str">
        <f>"吉林省 长春市 二道区 "</f>
        <v xml:space="preserve">吉林省 长春市 二道区 </v>
      </c>
      <c r="N6976" s="1" t="str">
        <f t="shared" si="2046"/>
        <v>凡华云仓-韵达-淘宝</v>
      </c>
      <c r="O6976" s="3">
        <v>434195075941789</v>
      </c>
      <c r="P6976" s="6">
        <v>1.62</v>
      </c>
      <c r="Q6976" s="11">
        <f t="shared" si="2043"/>
        <v>4.0999999999999996</v>
      </c>
      <c r="R6976" s="11">
        <f t="shared" si="2047"/>
        <v>0.70000000000000007</v>
      </c>
      <c r="S6976" s="11">
        <v>0.15</v>
      </c>
      <c r="T6976" s="11"/>
      <c r="U6976" s="11">
        <f t="shared" si="2031"/>
        <v>4.9499999999999993</v>
      </c>
      <c r="V6976" t="s">
        <v>15</v>
      </c>
      <c r="W6976">
        <v>4.95</v>
      </c>
      <c r="X6976" s="1" t="s">
        <v>187</v>
      </c>
    </row>
    <row r="6977" spans="1:24" x14ac:dyDescent="0.25">
      <c r="A6977" s="1" t="str">
        <f t="shared" si="2032"/>
        <v>卡卡杜-凤凰仓</v>
      </c>
      <c r="B6977" s="1" t="str">
        <f>"CK2024101719373"</f>
        <v>CK2024101719373</v>
      </c>
      <c r="C6977" s="1" t="str">
        <f>"DD2024101728307"</f>
        <v>DD2024101728307</v>
      </c>
      <c r="D6977" s="1" t="str">
        <f>"CK2024101727564"</f>
        <v>CK2024101727564</v>
      </c>
      <c r="E6977" s="1" t="str">
        <f>"KKD20241017YP008"</f>
        <v>KKD20241017YP008</v>
      </c>
      <c r="F6977" s="1" t="str">
        <f t="shared" si="2033"/>
        <v>花都四部-凤凰仓</v>
      </c>
      <c r="G6977" s="1" t="str">
        <f t="shared" si="2044"/>
        <v>卡卡杜全欣样品</v>
      </c>
      <c r="H6977" s="1" t="str">
        <f t="shared" si="2034"/>
        <v>正常订单</v>
      </c>
      <c r="I6977" s="1" t="str">
        <f t="shared" si="2035"/>
        <v>已发货</v>
      </c>
      <c r="J6977" s="1" t="str">
        <f>"4"</f>
        <v>4</v>
      </c>
      <c r="K6977" s="1">
        <v>3</v>
      </c>
      <c r="L6977" s="1" t="s">
        <v>20</v>
      </c>
      <c r="M6977" s="1" t="str">
        <f>"浙江省 湖州市 吴兴区 "</f>
        <v xml:space="preserve">浙江省 湖州市 吴兴区 </v>
      </c>
      <c r="N6977" s="1" t="str">
        <f t="shared" si="2046"/>
        <v>凡华云仓-韵达-淘宝</v>
      </c>
      <c r="O6977" s="3">
        <v>434195075941600</v>
      </c>
      <c r="P6977" s="6">
        <v>0.57999999999999996</v>
      </c>
      <c r="Q6977" s="11">
        <f t="shared" si="2043"/>
        <v>2.4499999999999997</v>
      </c>
      <c r="R6977" s="11"/>
      <c r="S6977" s="11">
        <v>0.15</v>
      </c>
      <c r="T6977" s="11"/>
      <c r="U6977" s="11">
        <f t="shared" si="2031"/>
        <v>2.5999999999999996</v>
      </c>
      <c r="V6977" t="s">
        <v>15</v>
      </c>
      <c r="W6977">
        <v>2.6</v>
      </c>
      <c r="X6977" s="1" t="s">
        <v>20</v>
      </c>
    </row>
    <row r="6978" spans="1:24" x14ac:dyDescent="0.25">
      <c r="A6978" s="1" t="str">
        <f t="shared" si="2032"/>
        <v>卡卡杜-凤凰仓</v>
      </c>
      <c r="B6978" s="1" t="str">
        <f>"CK2024101719370"</f>
        <v>CK2024101719370</v>
      </c>
      <c r="C6978" s="1" t="str">
        <f>"DD2024101728305"</f>
        <v>DD2024101728305</v>
      </c>
      <c r="D6978" s="1" t="str">
        <f>"CK2024101727563"</f>
        <v>CK2024101727563</v>
      </c>
      <c r="E6978" s="1" t="str">
        <f>"KKD20241017YP012"</f>
        <v>KKD20241017YP012</v>
      </c>
      <c r="F6978" s="1" t="str">
        <f t="shared" si="2033"/>
        <v>花都四部-凤凰仓</v>
      </c>
      <c r="G6978" s="1" t="str">
        <f t="shared" si="2044"/>
        <v>卡卡杜全欣样品</v>
      </c>
      <c r="H6978" s="1" t="str">
        <f t="shared" si="2034"/>
        <v>正常订单</v>
      </c>
      <c r="I6978" s="1" t="str">
        <f t="shared" si="2035"/>
        <v>已发货</v>
      </c>
      <c r="J6978" s="1" t="str">
        <f>"5"</f>
        <v>5</v>
      </c>
      <c r="K6978" s="1">
        <v>4</v>
      </c>
      <c r="L6978" s="1" t="s">
        <v>18</v>
      </c>
      <c r="M6978" s="1" t="str">
        <f>"广东省 广州市 白云区 "</f>
        <v xml:space="preserve">广东省 广州市 白云区 </v>
      </c>
      <c r="N6978" s="1" t="str">
        <f t="shared" si="2046"/>
        <v>凡华云仓-韵达-淘宝</v>
      </c>
      <c r="O6978" s="3">
        <v>434195075941511</v>
      </c>
      <c r="P6978" s="6">
        <v>0.62</v>
      </c>
      <c r="Q6978" s="11">
        <f t="shared" si="2043"/>
        <v>2.5999999999999996</v>
      </c>
      <c r="R6978" s="11"/>
      <c r="S6978" s="11">
        <v>0.15</v>
      </c>
      <c r="T6978" s="11"/>
      <c r="U6978" s="11">
        <f t="shared" si="2031"/>
        <v>2.7499999999999996</v>
      </c>
      <c r="V6978" t="s">
        <v>15</v>
      </c>
      <c r="W6978">
        <v>2.75</v>
      </c>
      <c r="X6978" s="1" t="s">
        <v>18</v>
      </c>
    </row>
    <row r="6979" spans="1:24" x14ac:dyDescent="0.25">
      <c r="A6979" s="1" t="str">
        <f t="shared" si="2032"/>
        <v>卡卡杜-凤凰仓</v>
      </c>
      <c r="B6979" s="1" t="str">
        <f>"CK2024100819777"</f>
        <v>CK2024100819777</v>
      </c>
      <c r="C6979" s="1" t="str">
        <f>"DD2024100853394"</f>
        <v>DD2024100853394</v>
      </c>
      <c r="D6979" s="1" t="str">
        <f>"CK2024100852241"</f>
        <v>CK2024100852241</v>
      </c>
      <c r="E6979" s="1" t="str">
        <f>"KKD2024108YP006"</f>
        <v>KKD2024108YP006</v>
      </c>
      <c r="F6979" s="1" t="str">
        <f t="shared" si="2033"/>
        <v>花都四部-凤凰仓</v>
      </c>
      <c r="G6979" s="1" t="str">
        <f t="shared" si="2044"/>
        <v>卡卡杜全欣样品</v>
      </c>
      <c r="H6979" s="1" t="str">
        <f t="shared" si="2034"/>
        <v>正常订单</v>
      </c>
      <c r="I6979" s="1" t="str">
        <f t="shared" si="2035"/>
        <v>已发货</v>
      </c>
      <c r="J6979" s="1" t="str">
        <f>"7"</f>
        <v>7</v>
      </c>
      <c r="K6979" s="1">
        <v>5</v>
      </c>
      <c r="L6979" s="1" t="s">
        <v>74</v>
      </c>
      <c r="M6979" s="1" t="str">
        <f>"上海 上海市 杨浦区 "</f>
        <v xml:space="preserve">上海 上海市 杨浦区 </v>
      </c>
      <c r="N6979" s="1" t="str">
        <f t="shared" si="2046"/>
        <v>凡华云仓-韵达-淘宝</v>
      </c>
      <c r="O6979" s="3">
        <v>434176963265625</v>
      </c>
      <c r="P6979" s="6">
        <v>0.86</v>
      </c>
      <c r="Q6979" s="11">
        <f t="shared" si="2043"/>
        <v>2.9</v>
      </c>
      <c r="R6979" s="11">
        <f>(K6979-3)*0.1</f>
        <v>0.2</v>
      </c>
      <c r="S6979" s="11">
        <v>0.15</v>
      </c>
      <c r="T6979" s="11"/>
      <c r="U6979" s="11">
        <f t="shared" ref="U6979:U7042" si="2048">T6979+S6979+R6979+Q6979</f>
        <v>3.25</v>
      </c>
      <c r="V6979" t="s">
        <v>15</v>
      </c>
      <c r="W6979">
        <v>3.25</v>
      </c>
      <c r="X6979" s="1" t="s">
        <v>74</v>
      </c>
    </row>
    <row r="6980" spans="1:24" x14ac:dyDescent="0.25">
      <c r="A6980" s="1" t="str">
        <f t="shared" si="2032"/>
        <v>卡卡杜-凤凰仓</v>
      </c>
      <c r="B6980" s="1" t="str">
        <f>"CK2024101719376"</f>
        <v>CK2024101719376</v>
      </c>
      <c r="C6980" s="1" t="str">
        <f>"DD2024101728320"</f>
        <v>DD2024101728320</v>
      </c>
      <c r="D6980" s="1" t="str">
        <f>"CK2024101727552"</f>
        <v>CK2024101727552</v>
      </c>
      <c r="E6980" s="1" t="str">
        <f>"6935141731323418408"</f>
        <v>6935141731323418408</v>
      </c>
      <c r="F6980" s="1" t="str">
        <f t="shared" si="2033"/>
        <v>花都四部-凤凰仓</v>
      </c>
      <c r="G6980" s="1" t="str">
        <f t="shared" ref="G6980:G7043" si="2049">"卡卡杜个人护理店（抖店）"</f>
        <v>卡卡杜个人护理店（抖店）</v>
      </c>
      <c r="H6980" s="1" t="str">
        <f t="shared" si="2034"/>
        <v>正常订单</v>
      </c>
      <c r="I6980" s="1" t="str">
        <f t="shared" si="2035"/>
        <v>已发货</v>
      </c>
      <c r="J6980" s="1" t="str">
        <f t="shared" ref="J6980:J6989" si="2050">"3"</f>
        <v>3</v>
      </c>
      <c r="K6980" s="1">
        <v>2</v>
      </c>
      <c r="L6980" s="1" t="s">
        <v>36</v>
      </c>
      <c r="M6980" s="1" t="str">
        <f>"安徽省 马鞍山市 含山县 环峰镇"</f>
        <v>安徽省 马鞍山市 含山县 环峰镇</v>
      </c>
      <c r="N6980" s="1" t="str">
        <f t="shared" ref="N6980:N7043" si="2051">"凡华云仓-韵达-抖音"</f>
        <v>凡华云仓-韵达-抖音</v>
      </c>
      <c r="O6980" s="5">
        <v>320176504811690</v>
      </c>
      <c r="P6980" s="6">
        <v>0.35</v>
      </c>
      <c r="Q6980" s="11">
        <v>2.2999999999999998</v>
      </c>
      <c r="R6980" s="11"/>
      <c r="S6980" s="11"/>
      <c r="T6980" s="11"/>
      <c r="U6980" s="11">
        <f t="shared" si="2048"/>
        <v>2.2999999999999998</v>
      </c>
      <c r="W6980">
        <v>2.5</v>
      </c>
      <c r="X6980" s="1" t="s">
        <v>36</v>
      </c>
    </row>
    <row r="6981" spans="1:24" x14ac:dyDescent="0.25">
      <c r="A6981" s="1" t="str">
        <f t="shared" ref="A6981:A7044" si="2052">"卡卡杜-凤凰仓"</f>
        <v>卡卡杜-凤凰仓</v>
      </c>
      <c r="B6981" s="1" t="str">
        <f>"CK2024101719395"</f>
        <v>CK2024101719395</v>
      </c>
      <c r="C6981" s="1" t="str">
        <f>"DD2024101728342"</f>
        <v>DD2024101728342</v>
      </c>
      <c r="D6981" s="1" t="str">
        <f>"CK2024101727551"</f>
        <v>CK2024101727551</v>
      </c>
      <c r="E6981" s="1" t="str">
        <f>"6935116930578256896"</f>
        <v>6935116930578256896</v>
      </c>
      <c r="F6981" s="1" t="str">
        <f t="shared" ref="F6981:F7044" si="2053">"花都四部-凤凰仓"</f>
        <v>花都四部-凤凰仓</v>
      </c>
      <c r="G6981" s="1" t="str">
        <f t="shared" si="2049"/>
        <v>卡卡杜个人护理店（抖店）</v>
      </c>
      <c r="H6981" s="1" t="str">
        <f t="shared" ref="H6981:H7044" si="2054">"正常订单"</f>
        <v>正常订单</v>
      </c>
      <c r="I6981" s="1" t="str">
        <f t="shared" ref="I6981:I7044" si="2055">"已发货"</f>
        <v>已发货</v>
      </c>
      <c r="J6981" s="1" t="str">
        <f t="shared" si="2050"/>
        <v>3</v>
      </c>
      <c r="K6981" s="1">
        <v>2</v>
      </c>
      <c r="L6981" s="1" t="s">
        <v>13</v>
      </c>
      <c r="M6981" s="1" t="str">
        <f>"江苏省 无锡市 江阴市 月城镇"</f>
        <v>江苏省 无锡市 江阴市 月城镇</v>
      </c>
      <c r="N6981" s="1" t="str">
        <f t="shared" si="2051"/>
        <v>凡华云仓-韵达-抖音</v>
      </c>
      <c r="O6981" s="5">
        <v>320176504811591</v>
      </c>
      <c r="P6981" s="6">
        <v>0.35</v>
      </c>
      <c r="Q6981" s="11">
        <v>2.2999999999999998</v>
      </c>
      <c r="R6981" s="11"/>
      <c r="S6981" s="11"/>
      <c r="T6981" s="11"/>
      <c r="U6981" s="11">
        <f t="shared" si="2048"/>
        <v>2.2999999999999998</v>
      </c>
      <c r="W6981">
        <v>2.5</v>
      </c>
      <c r="X6981" s="1" t="s">
        <v>13</v>
      </c>
    </row>
    <row r="6982" spans="1:24" x14ac:dyDescent="0.25">
      <c r="A6982" s="1" t="str">
        <f t="shared" si="2052"/>
        <v>卡卡杜-凤凰仓</v>
      </c>
      <c r="B6982" s="1" t="str">
        <f>"CK2024101719394"</f>
        <v>CK2024101719394</v>
      </c>
      <c r="C6982" s="1" t="str">
        <f>"DD2024101728340"</f>
        <v>DD2024101728340</v>
      </c>
      <c r="D6982" s="1" t="str">
        <f>"CK2024101727550"</f>
        <v>CK2024101727550</v>
      </c>
      <c r="E6982" s="1" t="str">
        <f>"6935132497356068521"</f>
        <v>6935132497356068521</v>
      </c>
      <c r="F6982" s="1" t="str">
        <f t="shared" si="2053"/>
        <v>花都四部-凤凰仓</v>
      </c>
      <c r="G6982" s="1" t="str">
        <f t="shared" si="2049"/>
        <v>卡卡杜个人护理店（抖店）</v>
      </c>
      <c r="H6982" s="1" t="str">
        <f t="shared" si="2054"/>
        <v>正常订单</v>
      </c>
      <c r="I6982" s="1" t="str">
        <f t="shared" si="2055"/>
        <v>已发货</v>
      </c>
      <c r="J6982" s="1" t="str">
        <f t="shared" si="2050"/>
        <v>3</v>
      </c>
      <c r="K6982" s="1">
        <v>2</v>
      </c>
      <c r="L6982" s="1" t="s">
        <v>94</v>
      </c>
      <c r="M6982" s="1" t="str">
        <f>"湖南省 长沙市 岳麓区 观沙岭街道"</f>
        <v>湖南省 长沙市 岳麓区 观沙岭街道</v>
      </c>
      <c r="N6982" s="1" t="str">
        <f>"凡华云仓-竹料中通-抖音"</f>
        <v>凡华云仓-竹料中通-抖音</v>
      </c>
      <c r="O6982" s="5">
        <v>76432169718403</v>
      </c>
      <c r="P6982" s="6">
        <v>0.35</v>
      </c>
      <c r="Q6982" s="11">
        <v>2.6</v>
      </c>
      <c r="R6982" s="11"/>
      <c r="S6982" s="11"/>
      <c r="T6982" s="11"/>
      <c r="U6982" s="11">
        <f t="shared" si="2048"/>
        <v>2.6</v>
      </c>
      <c r="W6982">
        <v>2.6</v>
      </c>
      <c r="X6982" s="1" t="s">
        <v>94</v>
      </c>
    </row>
    <row r="6983" spans="1:24" x14ac:dyDescent="0.25">
      <c r="A6983" s="1" t="str">
        <f t="shared" si="2052"/>
        <v>卡卡杜-凤凰仓</v>
      </c>
      <c r="B6983" s="1" t="str">
        <f>"CK2024101719398"</f>
        <v>CK2024101719398</v>
      </c>
      <c r="C6983" s="1" t="str">
        <f>"DD2024101728343"</f>
        <v>DD2024101728343</v>
      </c>
      <c r="D6983" s="1" t="str">
        <f>"CK2024101727549"</f>
        <v>CK2024101727549</v>
      </c>
      <c r="E6983" s="1" t="str">
        <f>"6935127918460212857"</f>
        <v>6935127918460212857</v>
      </c>
      <c r="F6983" s="1" t="str">
        <f t="shared" si="2053"/>
        <v>花都四部-凤凰仓</v>
      </c>
      <c r="G6983" s="1" t="str">
        <f t="shared" si="2049"/>
        <v>卡卡杜个人护理店（抖店）</v>
      </c>
      <c r="H6983" s="1" t="str">
        <f t="shared" si="2054"/>
        <v>正常订单</v>
      </c>
      <c r="I6983" s="1" t="str">
        <f t="shared" si="2055"/>
        <v>已发货</v>
      </c>
      <c r="J6983" s="1" t="str">
        <f t="shared" si="2050"/>
        <v>3</v>
      </c>
      <c r="K6983" s="1">
        <v>2</v>
      </c>
      <c r="L6983" s="1" t="s">
        <v>54</v>
      </c>
      <c r="M6983" s="1" t="str">
        <f>"黑龙江省 双鸭山市 集贤县 福利镇"</f>
        <v>黑龙江省 双鸭山市 集贤县 福利镇</v>
      </c>
      <c r="N6983" s="1" t="str">
        <f t="shared" si="2051"/>
        <v>凡华云仓-韵达-抖音</v>
      </c>
      <c r="O6983" s="5">
        <v>320176504811494</v>
      </c>
      <c r="P6983" s="6">
        <v>0.35</v>
      </c>
      <c r="Q6983" s="11">
        <v>2.2999999999999998</v>
      </c>
      <c r="R6983" s="11"/>
      <c r="S6983" s="11"/>
      <c r="T6983" s="11"/>
      <c r="U6983" s="11">
        <f t="shared" si="2048"/>
        <v>2.2999999999999998</v>
      </c>
      <c r="W6983">
        <v>2.5</v>
      </c>
      <c r="X6983" s="1" t="s">
        <v>54</v>
      </c>
    </row>
    <row r="6984" spans="1:24" x14ac:dyDescent="0.25">
      <c r="A6984" s="1" t="str">
        <f t="shared" si="2052"/>
        <v>卡卡杜-凤凰仓</v>
      </c>
      <c r="B6984" s="1" t="str">
        <f>"CK2024101719393"</f>
        <v>CK2024101719393</v>
      </c>
      <c r="C6984" s="1" t="str">
        <f>"DD2024101728339"</f>
        <v>DD2024101728339</v>
      </c>
      <c r="D6984" s="1" t="str">
        <f>"CK2024101727548"</f>
        <v>CK2024101727548</v>
      </c>
      <c r="E6984" s="1" t="str">
        <f>"6935143602735486504"</f>
        <v>6935143602735486504</v>
      </c>
      <c r="F6984" s="1" t="str">
        <f t="shared" si="2053"/>
        <v>花都四部-凤凰仓</v>
      </c>
      <c r="G6984" s="1" t="str">
        <f t="shared" si="2049"/>
        <v>卡卡杜个人护理店（抖店）</v>
      </c>
      <c r="H6984" s="1" t="str">
        <f t="shared" si="2054"/>
        <v>正常订单</v>
      </c>
      <c r="I6984" s="1" t="str">
        <f t="shared" si="2055"/>
        <v>已发货</v>
      </c>
      <c r="J6984" s="1" t="str">
        <f t="shared" si="2050"/>
        <v>3</v>
      </c>
      <c r="K6984" s="1">
        <v>2</v>
      </c>
      <c r="L6984" s="1" t="s">
        <v>13</v>
      </c>
      <c r="M6984" s="1" t="str">
        <f>"江苏省 南京市 江宁区 麒麟街道"</f>
        <v>江苏省 南京市 江宁区 麒麟街道</v>
      </c>
      <c r="N6984" s="1" t="str">
        <f t="shared" si="2051"/>
        <v>凡华云仓-韵达-抖音</v>
      </c>
      <c r="O6984" s="5">
        <v>320176504811399</v>
      </c>
      <c r="P6984" s="6">
        <v>0.35</v>
      </c>
      <c r="Q6984" s="11">
        <v>2.2999999999999998</v>
      </c>
      <c r="R6984" s="11"/>
      <c r="S6984" s="11"/>
      <c r="T6984" s="11"/>
      <c r="U6984" s="11">
        <f t="shared" si="2048"/>
        <v>2.2999999999999998</v>
      </c>
      <c r="W6984">
        <v>2.5</v>
      </c>
      <c r="X6984" s="1" t="s">
        <v>13</v>
      </c>
    </row>
    <row r="6985" spans="1:24" x14ac:dyDescent="0.25">
      <c r="A6985" s="1" t="str">
        <f t="shared" si="2052"/>
        <v>卡卡杜-凤凰仓</v>
      </c>
      <c r="B6985" s="1" t="str">
        <f>"CK2024101719391"</f>
        <v>CK2024101719391</v>
      </c>
      <c r="C6985" s="1" t="str">
        <f>"DD2024101728338"</f>
        <v>DD2024101728338</v>
      </c>
      <c r="D6985" s="1" t="str">
        <f>"CK2024101727547"</f>
        <v>CK2024101727547</v>
      </c>
      <c r="E6985" s="1" t="str">
        <f>"6935121460121179608"</f>
        <v>6935121460121179608</v>
      </c>
      <c r="F6985" s="1" t="str">
        <f t="shared" si="2053"/>
        <v>花都四部-凤凰仓</v>
      </c>
      <c r="G6985" s="1" t="str">
        <f t="shared" si="2049"/>
        <v>卡卡杜个人护理店（抖店）</v>
      </c>
      <c r="H6985" s="1" t="str">
        <f t="shared" si="2054"/>
        <v>正常订单</v>
      </c>
      <c r="I6985" s="1" t="str">
        <f t="shared" si="2055"/>
        <v>已发货</v>
      </c>
      <c r="J6985" s="1" t="str">
        <f t="shared" si="2050"/>
        <v>3</v>
      </c>
      <c r="K6985" s="1">
        <v>2</v>
      </c>
      <c r="L6985" s="1" t="s">
        <v>20</v>
      </c>
      <c r="M6985" s="1" t="str">
        <f>"浙江省 金华市 武义县 泉溪镇"</f>
        <v>浙江省 金华市 武义县 泉溪镇</v>
      </c>
      <c r="N6985" s="1" t="str">
        <f t="shared" si="2051"/>
        <v>凡华云仓-韵达-抖音</v>
      </c>
      <c r="O6985" s="5">
        <v>320176504811206</v>
      </c>
      <c r="P6985" s="6">
        <v>0.35</v>
      </c>
      <c r="Q6985" s="11">
        <v>2.2999999999999998</v>
      </c>
      <c r="R6985" s="11"/>
      <c r="S6985" s="11"/>
      <c r="T6985" s="11"/>
      <c r="U6985" s="11">
        <f t="shared" si="2048"/>
        <v>2.2999999999999998</v>
      </c>
      <c r="W6985">
        <v>2.5</v>
      </c>
      <c r="X6985" s="1" t="s">
        <v>20</v>
      </c>
    </row>
    <row r="6986" spans="1:24" x14ac:dyDescent="0.25">
      <c r="A6986" s="1" t="str">
        <f t="shared" si="2052"/>
        <v>卡卡杜-凤凰仓</v>
      </c>
      <c r="B6986" s="1" t="str">
        <f>"CK2024101719390"</f>
        <v>CK2024101719390</v>
      </c>
      <c r="C6986" s="1" t="str">
        <f>"DD2024101728335"</f>
        <v>DD2024101728335</v>
      </c>
      <c r="D6986" s="1" t="str">
        <f>"CK2024101727546"</f>
        <v>CK2024101727546</v>
      </c>
      <c r="E6986" s="1" t="str">
        <f>"6935143637832963946"</f>
        <v>6935143637832963946</v>
      </c>
      <c r="F6986" s="1" t="str">
        <f t="shared" si="2053"/>
        <v>花都四部-凤凰仓</v>
      </c>
      <c r="G6986" s="1" t="str">
        <f t="shared" si="2049"/>
        <v>卡卡杜个人护理店（抖店）</v>
      </c>
      <c r="H6986" s="1" t="str">
        <f t="shared" si="2054"/>
        <v>正常订单</v>
      </c>
      <c r="I6986" s="1" t="str">
        <f t="shared" si="2055"/>
        <v>已发货</v>
      </c>
      <c r="J6986" s="1" t="str">
        <f t="shared" si="2050"/>
        <v>3</v>
      </c>
      <c r="K6986" s="1">
        <v>2</v>
      </c>
      <c r="L6986" s="1" t="s">
        <v>32</v>
      </c>
      <c r="M6986" s="1" t="str">
        <f>"陕西省 汉中市 城固县 柳林镇"</f>
        <v>陕西省 汉中市 城固县 柳林镇</v>
      </c>
      <c r="N6986" s="1" t="str">
        <f t="shared" si="2051"/>
        <v>凡华云仓-韵达-抖音</v>
      </c>
      <c r="O6986" s="5">
        <v>320176504811115</v>
      </c>
      <c r="P6986" s="6">
        <v>0.35</v>
      </c>
      <c r="Q6986" s="11">
        <v>2.2999999999999998</v>
      </c>
      <c r="R6986" s="11"/>
      <c r="S6986" s="11"/>
      <c r="T6986" s="11"/>
      <c r="U6986" s="11">
        <f t="shared" si="2048"/>
        <v>2.2999999999999998</v>
      </c>
      <c r="W6986">
        <v>2.5</v>
      </c>
      <c r="X6986" s="1" t="s">
        <v>32</v>
      </c>
    </row>
    <row r="6987" spans="1:24" x14ac:dyDescent="0.25">
      <c r="A6987" s="1" t="str">
        <f t="shared" si="2052"/>
        <v>卡卡杜-凤凰仓</v>
      </c>
      <c r="B6987" s="1" t="str">
        <f>"CK2024101719397"</f>
        <v>CK2024101719397</v>
      </c>
      <c r="C6987" s="1" t="str">
        <f>"DD2024101728344"</f>
        <v>DD2024101728344</v>
      </c>
      <c r="D6987" s="1" t="str">
        <f>"CK2024101727545"</f>
        <v>CK2024101727545</v>
      </c>
      <c r="E6987" s="1" t="str">
        <f>"6935123566729041396"</f>
        <v>6935123566729041396</v>
      </c>
      <c r="F6987" s="1" t="str">
        <f t="shared" si="2053"/>
        <v>花都四部-凤凰仓</v>
      </c>
      <c r="G6987" s="1" t="str">
        <f t="shared" si="2049"/>
        <v>卡卡杜个人护理店（抖店）</v>
      </c>
      <c r="H6987" s="1" t="str">
        <f t="shared" si="2054"/>
        <v>正常订单</v>
      </c>
      <c r="I6987" s="1" t="str">
        <f t="shared" si="2055"/>
        <v>已发货</v>
      </c>
      <c r="J6987" s="1" t="str">
        <f t="shared" si="2050"/>
        <v>3</v>
      </c>
      <c r="K6987" s="1">
        <v>2</v>
      </c>
      <c r="L6987" s="1" t="s">
        <v>13</v>
      </c>
      <c r="M6987" s="1" t="str">
        <f>"江苏省 徐州市 鼓楼区 牌楼街道"</f>
        <v>江苏省 徐州市 鼓楼区 牌楼街道</v>
      </c>
      <c r="N6987" s="1" t="str">
        <f t="shared" si="2051"/>
        <v>凡华云仓-韵达-抖音</v>
      </c>
      <c r="O6987" s="5">
        <v>320176504811026</v>
      </c>
      <c r="P6987" s="6">
        <v>0.35</v>
      </c>
      <c r="Q6987" s="11">
        <v>2.2999999999999998</v>
      </c>
      <c r="R6987" s="11"/>
      <c r="S6987" s="11"/>
      <c r="T6987" s="11"/>
      <c r="U6987" s="11">
        <f t="shared" si="2048"/>
        <v>2.2999999999999998</v>
      </c>
      <c r="W6987">
        <v>2.5</v>
      </c>
      <c r="X6987" s="1" t="s">
        <v>13</v>
      </c>
    </row>
    <row r="6988" spans="1:24" x14ac:dyDescent="0.25">
      <c r="A6988" s="1" t="str">
        <f t="shared" si="2052"/>
        <v>卡卡杜-凤凰仓</v>
      </c>
      <c r="B6988" s="1" t="str">
        <f>"CK2024101719392"</f>
        <v>CK2024101719392</v>
      </c>
      <c r="C6988" s="1" t="str">
        <f>"DD2024101728336"</f>
        <v>DD2024101728336</v>
      </c>
      <c r="D6988" s="1" t="str">
        <f>"CK2024101727544"</f>
        <v>CK2024101727544</v>
      </c>
      <c r="E6988" s="1" t="str">
        <f>"6935139561160841008"</f>
        <v>6935139561160841008</v>
      </c>
      <c r="F6988" s="1" t="str">
        <f t="shared" si="2053"/>
        <v>花都四部-凤凰仓</v>
      </c>
      <c r="G6988" s="1" t="str">
        <f t="shared" si="2049"/>
        <v>卡卡杜个人护理店（抖店）</v>
      </c>
      <c r="H6988" s="1" t="str">
        <f t="shared" si="2054"/>
        <v>正常订单</v>
      </c>
      <c r="I6988" s="1" t="str">
        <f t="shared" si="2055"/>
        <v>已发货</v>
      </c>
      <c r="J6988" s="1" t="str">
        <f t="shared" si="2050"/>
        <v>3</v>
      </c>
      <c r="K6988" s="1">
        <v>2</v>
      </c>
      <c r="L6988" s="1" t="s">
        <v>54</v>
      </c>
      <c r="M6988" s="1" t="str">
        <f>"黑龙江省 七台河市 茄子河区 "</f>
        <v xml:space="preserve">黑龙江省 七台河市 茄子河区 </v>
      </c>
      <c r="N6988" s="1" t="str">
        <f t="shared" si="2051"/>
        <v>凡华云仓-韵达-抖音</v>
      </c>
      <c r="O6988" s="5">
        <v>320176504810910</v>
      </c>
      <c r="P6988" s="6">
        <v>0.35</v>
      </c>
      <c r="Q6988" s="11">
        <v>2.2999999999999998</v>
      </c>
      <c r="R6988" s="11"/>
      <c r="S6988" s="11"/>
      <c r="T6988" s="11"/>
      <c r="U6988" s="11">
        <f t="shared" si="2048"/>
        <v>2.2999999999999998</v>
      </c>
      <c r="W6988">
        <v>2.5</v>
      </c>
      <c r="X6988" s="1" t="s">
        <v>54</v>
      </c>
    </row>
    <row r="6989" spans="1:24" x14ac:dyDescent="0.25">
      <c r="A6989" s="1" t="str">
        <f t="shared" si="2052"/>
        <v>卡卡杜-凤凰仓</v>
      </c>
      <c r="B6989" s="1" t="str">
        <f>"CK2024101719388"</f>
        <v>CK2024101719388</v>
      </c>
      <c r="C6989" s="1" t="str">
        <f>"DD2024101728334"</f>
        <v>DD2024101728334</v>
      </c>
      <c r="D6989" s="1" t="str">
        <f>"CK2024101727543"</f>
        <v>CK2024101727543</v>
      </c>
      <c r="E6989" s="1" t="str">
        <f>"6935125900714383250"</f>
        <v>6935125900714383250</v>
      </c>
      <c r="F6989" s="1" t="str">
        <f t="shared" si="2053"/>
        <v>花都四部-凤凰仓</v>
      </c>
      <c r="G6989" s="1" t="str">
        <f t="shared" si="2049"/>
        <v>卡卡杜个人护理店（抖店）</v>
      </c>
      <c r="H6989" s="1" t="str">
        <f t="shared" si="2054"/>
        <v>正常订单</v>
      </c>
      <c r="I6989" s="1" t="str">
        <f t="shared" si="2055"/>
        <v>已发货</v>
      </c>
      <c r="J6989" s="1" t="str">
        <f t="shared" si="2050"/>
        <v>3</v>
      </c>
      <c r="K6989" s="1">
        <v>2</v>
      </c>
      <c r="L6989" s="1" t="s">
        <v>47</v>
      </c>
      <c r="M6989" s="1" t="str">
        <f>"重庆 重庆市 铜梁区 东城街道"</f>
        <v>重庆 重庆市 铜梁区 东城街道</v>
      </c>
      <c r="N6989" s="1" t="str">
        <f t="shared" si="2051"/>
        <v>凡华云仓-韵达-抖音</v>
      </c>
      <c r="O6989" s="5">
        <v>320176525002405</v>
      </c>
      <c r="P6989" s="6">
        <v>0.35</v>
      </c>
      <c r="Q6989" s="11">
        <v>2.2999999999999998</v>
      </c>
      <c r="R6989" s="11"/>
      <c r="S6989" s="11"/>
      <c r="T6989" s="11"/>
      <c r="U6989" s="11">
        <f t="shared" si="2048"/>
        <v>2.2999999999999998</v>
      </c>
      <c r="W6989">
        <v>2.5</v>
      </c>
      <c r="X6989" s="1" t="s">
        <v>47</v>
      </c>
    </row>
    <row r="6990" spans="1:24" x14ac:dyDescent="0.25">
      <c r="A6990" s="1" t="str">
        <f t="shared" si="2052"/>
        <v>卡卡杜-凤凰仓</v>
      </c>
      <c r="B6990" s="1" t="str">
        <f>"CK2024101719399"</f>
        <v>CK2024101719399</v>
      </c>
      <c r="C6990" s="1" t="str">
        <f>"DD2024101728345"</f>
        <v>DD2024101728345</v>
      </c>
      <c r="D6990" s="1" t="str">
        <f>"CK2024101727542"</f>
        <v>CK2024101727542</v>
      </c>
      <c r="E6990" s="1" t="str">
        <f>"6935116475610633950"</f>
        <v>6935116475610633950</v>
      </c>
      <c r="F6990" s="1" t="str">
        <f t="shared" si="2053"/>
        <v>花都四部-凤凰仓</v>
      </c>
      <c r="G6990" s="1" t="str">
        <f t="shared" si="2049"/>
        <v>卡卡杜个人护理店（抖店）</v>
      </c>
      <c r="H6990" s="1" t="str">
        <f t="shared" si="2054"/>
        <v>正常订单</v>
      </c>
      <c r="I6990" s="1" t="str">
        <f t="shared" si="2055"/>
        <v>已发货</v>
      </c>
      <c r="J6990" s="1" t="str">
        <f>"5"</f>
        <v>5</v>
      </c>
      <c r="K6990" s="1">
        <v>2</v>
      </c>
      <c r="L6990" s="1" t="s">
        <v>187</v>
      </c>
      <c r="M6990" s="1" t="str">
        <f>"吉林省 通化市 集安市 城东街道"</f>
        <v>吉林省 通化市 集安市 城东街道</v>
      </c>
      <c r="N6990" s="1" t="str">
        <f t="shared" si="2051"/>
        <v>凡华云仓-韵达-抖音</v>
      </c>
      <c r="O6990" s="5">
        <v>320176525002310</v>
      </c>
      <c r="P6990" s="6">
        <v>0.59</v>
      </c>
      <c r="Q6990" s="11">
        <f>CEILING(P6990-0.5,0.1)*10*0.15+2.3</f>
        <v>2.4499999999999997</v>
      </c>
      <c r="R6990" s="11"/>
      <c r="S6990" s="11"/>
      <c r="T6990" s="11"/>
      <c r="U6990" s="11">
        <f t="shared" si="2048"/>
        <v>2.4499999999999997</v>
      </c>
      <c r="V6990" t="s">
        <v>15</v>
      </c>
      <c r="W6990">
        <v>2.4500000000000002</v>
      </c>
      <c r="X6990" s="1" t="s">
        <v>187</v>
      </c>
    </row>
    <row r="6991" spans="1:24" x14ac:dyDescent="0.25">
      <c r="A6991" s="1" t="str">
        <f t="shared" si="2052"/>
        <v>卡卡杜-凤凰仓</v>
      </c>
      <c r="B6991" s="1" t="str">
        <f>"CK2024101719401"</f>
        <v>CK2024101719401</v>
      </c>
      <c r="C6991" s="1" t="str">
        <f>"DD2024101728347"</f>
        <v>DD2024101728347</v>
      </c>
      <c r="D6991" s="1" t="str">
        <f>"CK2024101727541"</f>
        <v>CK2024101727541</v>
      </c>
      <c r="E6991" s="1" t="str">
        <f>"6935127722924250270"</f>
        <v>6935127722924250270</v>
      </c>
      <c r="F6991" s="1" t="str">
        <f t="shared" si="2053"/>
        <v>花都四部-凤凰仓</v>
      </c>
      <c r="G6991" s="1" t="str">
        <f t="shared" si="2049"/>
        <v>卡卡杜个人护理店（抖店）</v>
      </c>
      <c r="H6991" s="1" t="str">
        <f t="shared" si="2054"/>
        <v>正常订单</v>
      </c>
      <c r="I6991" s="1" t="str">
        <f t="shared" si="2055"/>
        <v>已发货</v>
      </c>
      <c r="J6991" s="1" t="str">
        <f t="shared" ref="J6991:J6997" si="2056">"3"</f>
        <v>3</v>
      </c>
      <c r="K6991" s="1">
        <v>2</v>
      </c>
      <c r="L6991" s="1" t="s">
        <v>22</v>
      </c>
      <c r="M6991" s="1" t="str">
        <f>"江西省 景德镇市 浮梁县 浮梁镇"</f>
        <v>江西省 景德镇市 浮梁县 浮梁镇</v>
      </c>
      <c r="N6991" s="1" t="str">
        <f t="shared" si="2051"/>
        <v>凡华云仓-韵达-抖音</v>
      </c>
      <c r="O6991" s="5">
        <v>320176525002217</v>
      </c>
      <c r="P6991" s="6">
        <v>0.35</v>
      </c>
      <c r="Q6991" s="11">
        <v>2.2999999999999998</v>
      </c>
      <c r="R6991" s="11"/>
      <c r="S6991" s="11"/>
      <c r="T6991" s="11"/>
      <c r="U6991" s="11">
        <f t="shared" si="2048"/>
        <v>2.2999999999999998</v>
      </c>
      <c r="W6991">
        <v>2.5</v>
      </c>
      <c r="X6991" s="1" t="s">
        <v>22</v>
      </c>
    </row>
    <row r="6992" spans="1:24" x14ac:dyDescent="0.25">
      <c r="A6992" s="1" t="str">
        <f t="shared" si="2052"/>
        <v>卡卡杜-凤凰仓</v>
      </c>
      <c r="B6992" s="1" t="str">
        <f>"CK2024101719412"</f>
        <v>CK2024101719412</v>
      </c>
      <c r="C6992" s="1" t="str">
        <f>"DD2024101728355"</f>
        <v>DD2024101728355</v>
      </c>
      <c r="D6992" s="1" t="str">
        <f>"CK2024101727540"</f>
        <v>CK2024101727540</v>
      </c>
      <c r="E6992" s="1" t="str">
        <f>"6935100874511750360"</f>
        <v>6935100874511750360</v>
      </c>
      <c r="F6992" s="1" t="str">
        <f t="shared" si="2053"/>
        <v>花都四部-凤凰仓</v>
      </c>
      <c r="G6992" s="1" t="str">
        <f t="shared" si="2049"/>
        <v>卡卡杜个人护理店（抖店）</v>
      </c>
      <c r="H6992" s="1" t="str">
        <f t="shared" si="2054"/>
        <v>正常订单</v>
      </c>
      <c r="I6992" s="1" t="str">
        <f t="shared" si="2055"/>
        <v>已发货</v>
      </c>
      <c r="J6992" s="1" t="str">
        <f t="shared" si="2056"/>
        <v>3</v>
      </c>
      <c r="K6992" s="1">
        <v>2</v>
      </c>
      <c r="L6992" s="1" t="s">
        <v>30</v>
      </c>
      <c r="M6992" s="1" t="str">
        <f>"山东省 潍坊市 高密市 密水街道"</f>
        <v>山东省 潍坊市 高密市 密水街道</v>
      </c>
      <c r="N6992" s="1" t="str">
        <f t="shared" si="2051"/>
        <v>凡华云仓-韵达-抖音</v>
      </c>
      <c r="O6992" s="5">
        <v>320176525002126</v>
      </c>
      <c r="P6992" s="6">
        <v>0.35</v>
      </c>
      <c r="Q6992" s="11">
        <v>2.2999999999999998</v>
      </c>
      <c r="R6992" s="11"/>
      <c r="S6992" s="11"/>
      <c r="T6992" s="11"/>
      <c r="U6992" s="11">
        <f t="shared" si="2048"/>
        <v>2.2999999999999998</v>
      </c>
      <c r="W6992">
        <v>2.5</v>
      </c>
      <c r="X6992" s="1" t="s">
        <v>30</v>
      </c>
    </row>
    <row r="6993" spans="1:24" x14ac:dyDescent="0.25">
      <c r="A6993" s="1" t="str">
        <f t="shared" si="2052"/>
        <v>卡卡杜-凤凰仓</v>
      </c>
      <c r="B6993" s="1" t="str">
        <f>"CK2024101719409"</f>
        <v>CK2024101719409</v>
      </c>
      <c r="C6993" s="1" t="str">
        <f>"DD2024101728353"</f>
        <v>DD2024101728353</v>
      </c>
      <c r="D6993" s="1" t="str">
        <f>"CK2024101727539"</f>
        <v>CK2024101727539</v>
      </c>
      <c r="E6993" s="1" t="str">
        <f>"6935118505363903940"</f>
        <v>6935118505363903940</v>
      </c>
      <c r="F6993" s="1" t="str">
        <f t="shared" si="2053"/>
        <v>花都四部-凤凰仓</v>
      </c>
      <c r="G6993" s="1" t="str">
        <f t="shared" si="2049"/>
        <v>卡卡杜个人护理店（抖店）</v>
      </c>
      <c r="H6993" s="1" t="str">
        <f t="shared" si="2054"/>
        <v>正常订单</v>
      </c>
      <c r="I6993" s="1" t="str">
        <f t="shared" si="2055"/>
        <v>已发货</v>
      </c>
      <c r="J6993" s="1" t="str">
        <f>"5"</f>
        <v>5</v>
      </c>
      <c r="K6993" s="1">
        <v>2</v>
      </c>
      <c r="L6993" s="1" t="s">
        <v>32</v>
      </c>
      <c r="M6993" s="1" t="str">
        <f>"陕西省 宝鸡市 渭滨区 高家镇"</f>
        <v>陕西省 宝鸡市 渭滨区 高家镇</v>
      </c>
      <c r="N6993" s="1" t="str">
        <f t="shared" si="2051"/>
        <v>凡华云仓-韵达-抖音</v>
      </c>
      <c r="O6993" s="5">
        <v>320176525002037</v>
      </c>
      <c r="P6993" s="6">
        <v>0.59</v>
      </c>
      <c r="Q6993" s="11">
        <f>CEILING(P6993-0.5,0.1)*10*0.15+2.3</f>
        <v>2.4499999999999997</v>
      </c>
      <c r="R6993" s="11"/>
      <c r="S6993" s="11"/>
      <c r="T6993" s="11"/>
      <c r="U6993" s="11">
        <f t="shared" si="2048"/>
        <v>2.4499999999999997</v>
      </c>
      <c r="V6993" t="s">
        <v>15</v>
      </c>
      <c r="W6993">
        <v>2.4500000000000002</v>
      </c>
      <c r="X6993" s="1" t="s">
        <v>32</v>
      </c>
    </row>
    <row r="6994" spans="1:24" x14ac:dyDescent="0.25">
      <c r="A6994" s="1" t="str">
        <f t="shared" si="2052"/>
        <v>卡卡杜-凤凰仓</v>
      </c>
      <c r="B6994" s="1" t="str">
        <f>"CK2024101719400"</f>
        <v>CK2024101719400</v>
      </c>
      <c r="C6994" s="1" t="str">
        <f>"DD2024101728346"</f>
        <v>DD2024101728346</v>
      </c>
      <c r="D6994" s="1" t="str">
        <f>"CK2024101727538"</f>
        <v>CK2024101727538</v>
      </c>
      <c r="E6994" s="1" t="str">
        <f>"6935110400693442327"</f>
        <v>6935110400693442327</v>
      </c>
      <c r="F6994" s="1" t="str">
        <f t="shared" si="2053"/>
        <v>花都四部-凤凰仓</v>
      </c>
      <c r="G6994" s="1" t="str">
        <f t="shared" si="2049"/>
        <v>卡卡杜个人护理店（抖店）</v>
      </c>
      <c r="H6994" s="1" t="str">
        <f t="shared" si="2054"/>
        <v>正常订单</v>
      </c>
      <c r="I6994" s="1" t="str">
        <f t="shared" si="2055"/>
        <v>已发货</v>
      </c>
      <c r="J6994" s="1" t="str">
        <f t="shared" si="2056"/>
        <v>3</v>
      </c>
      <c r="K6994" s="1">
        <v>2</v>
      </c>
      <c r="L6994" s="1" t="s">
        <v>36</v>
      </c>
      <c r="M6994" s="1" t="str">
        <f>"安徽省 合肥市 长丰县 岗集镇"</f>
        <v>安徽省 合肥市 长丰县 岗集镇</v>
      </c>
      <c r="N6994" s="1" t="str">
        <f t="shared" si="2051"/>
        <v>凡华云仓-韵达-抖音</v>
      </c>
      <c r="O6994" s="5">
        <v>320176525001919</v>
      </c>
      <c r="P6994" s="6">
        <v>0.35</v>
      </c>
      <c r="Q6994" s="11">
        <v>2.2999999999999998</v>
      </c>
      <c r="R6994" s="11"/>
      <c r="S6994" s="11"/>
      <c r="T6994" s="11"/>
      <c r="U6994" s="11">
        <f t="shared" si="2048"/>
        <v>2.2999999999999998</v>
      </c>
      <c r="W6994">
        <v>2.5</v>
      </c>
      <c r="X6994" s="1" t="s">
        <v>36</v>
      </c>
    </row>
    <row r="6995" spans="1:24" x14ac:dyDescent="0.25">
      <c r="A6995" s="1" t="str">
        <f t="shared" si="2052"/>
        <v>卡卡杜-凤凰仓</v>
      </c>
      <c r="B6995" s="1" t="str">
        <f>"CK2024101719408"</f>
        <v>CK2024101719408</v>
      </c>
      <c r="C6995" s="1" t="str">
        <f>"DD2024101728352"</f>
        <v>DD2024101728352</v>
      </c>
      <c r="D6995" s="1" t="str">
        <f>"CK2024101727537"</f>
        <v>CK2024101727537</v>
      </c>
      <c r="E6995" s="1" t="str">
        <f>"6935114246354048092"</f>
        <v>6935114246354048092</v>
      </c>
      <c r="F6995" s="1" t="str">
        <f t="shared" si="2053"/>
        <v>花都四部-凤凰仓</v>
      </c>
      <c r="G6995" s="1" t="str">
        <f t="shared" si="2049"/>
        <v>卡卡杜个人护理店（抖店）</v>
      </c>
      <c r="H6995" s="1" t="str">
        <f t="shared" si="2054"/>
        <v>正常订单</v>
      </c>
      <c r="I6995" s="1" t="str">
        <f t="shared" si="2055"/>
        <v>已发货</v>
      </c>
      <c r="J6995" s="1" t="str">
        <f t="shared" si="2056"/>
        <v>3</v>
      </c>
      <c r="K6995" s="1">
        <v>3</v>
      </c>
      <c r="L6995" s="1" t="s">
        <v>36</v>
      </c>
      <c r="M6995" s="1" t="str">
        <f>"安徽省 合肥市 蜀山区 合肥高新技术产业开发区"</f>
        <v>安徽省 合肥市 蜀山区 合肥高新技术产业开发区</v>
      </c>
      <c r="N6995" s="1" t="str">
        <f t="shared" si="2051"/>
        <v>凡华云仓-韵达-抖音</v>
      </c>
      <c r="O6995" s="5">
        <v>320176525001814</v>
      </c>
      <c r="P6995" s="6">
        <v>0.34</v>
      </c>
      <c r="Q6995" s="11">
        <v>2.2999999999999998</v>
      </c>
      <c r="R6995" s="11"/>
      <c r="S6995" s="11"/>
      <c r="T6995" s="11"/>
      <c r="U6995" s="11">
        <f t="shared" si="2048"/>
        <v>2.2999999999999998</v>
      </c>
      <c r="W6995">
        <v>2.5</v>
      </c>
      <c r="X6995" s="1" t="s">
        <v>36</v>
      </c>
    </row>
    <row r="6996" spans="1:24" x14ac:dyDescent="0.25">
      <c r="A6996" s="1" t="str">
        <f t="shared" si="2052"/>
        <v>卡卡杜-凤凰仓</v>
      </c>
      <c r="B6996" s="1" t="str">
        <f>"CK2024101719403"</f>
        <v>CK2024101719403</v>
      </c>
      <c r="C6996" s="1" t="str">
        <f>"DD2024101728348"</f>
        <v>DD2024101728348</v>
      </c>
      <c r="D6996" s="1" t="str">
        <f>"CK2024101727536"</f>
        <v>CK2024101727536</v>
      </c>
      <c r="E6996" s="1" t="str">
        <f>"6935116065091491643"</f>
        <v>6935116065091491643</v>
      </c>
      <c r="F6996" s="1" t="str">
        <f t="shared" si="2053"/>
        <v>花都四部-凤凰仓</v>
      </c>
      <c r="G6996" s="1" t="str">
        <f t="shared" si="2049"/>
        <v>卡卡杜个人护理店（抖店）</v>
      </c>
      <c r="H6996" s="1" t="str">
        <f t="shared" si="2054"/>
        <v>正常订单</v>
      </c>
      <c r="I6996" s="1" t="str">
        <f t="shared" si="2055"/>
        <v>已发货</v>
      </c>
      <c r="J6996" s="1" t="str">
        <f t="shared" si="2056"/>
        <v>3</v>
      </c>
      <c r="K6996" s="1">
        <v>2</v>
      </c>
      <c r="L6996" s="1" t="s">
        <v>18</v>
      </c>
      <c r="M6996" s="1" t="str">
        <f>"广东省 深圳市 坪山区 龙田街道"</f>
        <v>广东省 深圳市 坪山区 龙田街道</v>
      </c>
      <c r="N6996" s="1" t="str">
        <f t="shared" si="2051"/>
        <v>凡华云仓-韵达-抖音</v>
      </c>
      <c r="O6996" s="5">
        <v>320176525001711</v>
      </c>
      <c r="P6996" s="6">
        <v>0.35</v>
      </c>
      <c r="Q6996" s="11">
        <v>2.2999999999999998</v>
      </c>
      <c r="R6996" s="11"/>
      <c r="S6996" s="11"/>
      <c r="T6996" s="11"/>
      <c r="U6996" s="11">
        <f t="shared" si="2048"/>
        <v>2.2999999999999998</v>
      </c>
      <c r="W6996">
        <v>2.5</v>
      </c>
      <c r="X6996" s="1" t="s">
        <v>18</v>
      </c>
    </row>
    <row r="6997" spans="1:24" x14ac:dyDescent="0.25">
      <c r="A6997" s="1" t="str">
        <f t="shared" si="2052"/>
        <v>卡卡杜-凤凰仓</v>
      </c>
      <c r="B6997" s="1" t="str">
        <f>"CK2024101719402"</f>
        <v>CK2024101719402</v>
      </c>
      <c r="C6997" s="1" t="str">
        <f>"DD2024101728349"</f>
        <v>DD2024101728349</v>
      </c>
      <c r="D6997" s="1" t="str">
        <f>"CK2024101727535"</f>
        <v>CK2024101727535</v>
      </c>
      <c r="E6997" s="1" t="str">
        <f>"6935112137690649915"</f>
        <v>6935112137690649915</v>
      </c>
      <c r="F6997" s="1" t="str">
        <f t="shared" si="2053"/>
        <v>花都四部-凤凰仓</v>
      </c>
      <c r="G6997" s="1" t="str">
        <f t="shared" si="2049"/>
        <v>卡卡杜个人护理店（抖店）</v>
      </c>
      <c r="H6997" s="1" t="str">
        <f t="shared" si="2054"/>
        <v>正常订单</v>
      </c>
      <c r="I6997" s="1" t="str">
        <f t="shared" si="2055"/>
        <v>已发货</v>
      </c>
      <c r="J6997" s="1" t="str">
        <f t="shared" si="2056"/>
        <v>3</v>
      </c>
      <c r="K6997" s="1">
        <v>2</v>
      </c>
      <c r="L6997" s="1" t="s">
        <v>13</v>
      </c>
      <c r="M6997" s="1" t="str">
        <f>"江苏省 徐州市 邳州市 运河街道"</f>
        <v>江苏省 徐州市 邳州市 运河街道</v>
      </c>
      <c r="N6997" s="1" t="str">
        <f t="shared" si="2051"/>
        <v>凡华云仓-韵达-抖音</v>
      </c>
      <c r="O6997" s="5">
        <v>320176525001610</v>
      </c>
      <c r="P6997" s="6">
        <v>0.35</v>
      </c>
      <c r="Q6997" s="11">
        <v>2.2999999999999998</v>
      </c>
      <c r="R6997" s="11"/>
      <c r="S6997" s="11"/>
      <c r="T6997" s="11"/>
      <c r="U6997" s="11">
        <f t="shared" si="2048"/>
        <v>2.2999999999999998</v>
      </c>
      <c r="W6997">
        <v>2.5</v>
      </c>
      <c r="X6997" s="1" t="s">
        <v>13</v>
      </c>
    </row>
    <row r="6998" spans="1:24" x14ac:dyDescent="0.25">
      <c r="A6998" s="1" t="str">
        <f t="shared" si="2052"/>
        <v>卡卡杜-凤凰仓</v>
      </c>
      <c r="B6998" s="1" t="str">
        <f>"CK2024101719389"</f>
        <v>CK2024101719389</v>
      </c>
      <c r="C6998" s="1" t="str">
        <f>"DD2024101728337"</f>
        <v>DD2024101728337</v>
      </c>
      <c r="D6998" s="1" t="str">
        <f>"CK2024101727534"</f>
        <v>CK2024101727534</v>
      </c>
      <c r="E6998" s="1" t="str">
        <f>"6935130353969665359"</f>
        <v>6935130353969665359</v>
      </c>
      <c r="F6998" s="1" t="str">
        <f t="shared" si="2053"/>
        <v>花都四部-凤凰仓</v>
      </c>
      <c r="G6998" s="1" t="str">
        <f t="shared" si="2049"/>
        <v>卡卡杜个人护理店（抖店）</v>
      </c>
      <c r="H6998" s="1" t="str">
        <f t="shared" si="2054"/>
        <v>正常订单</v>
      </c>
      <c r="I6998" s="1" t="str">
        <f t="shared" si="2055"/>
        <v>已发货</v>
      </c>
      <c r="J6998" s="1" t="str">
        <f>"5"</f>
        <v>5</v>
      </c>
      <c r="K6998" s="1">
        <v>2</v>
      </c>
      <c r="L6998" s="1" t="s">
        <v>52</v>
      </c>
      <c r="M6998" s="1" t="str">
        <f>"甘肃省 兰州市 城关区 广武门街道"</f>
        <v>甘肃省 兰州市 城关区 广武门街道</v>
      </c>
      <c r="N6998" s="1" t="str">
        <f t="shared" si="2051"/>
        <v>凡华云仓-韵达-抖音</v>
      </c>
      <c r="O6998" s="5">
        <v>320176525001511</v>
      </c>
      <c r="P6998" s="6">
        <v>0.59</v>
      </c>
      <c r="Q6998" s="11">
        <f>CEILING(P6998-0.5,0.1)*10*0.15+2.3</f>
        <v>2.4499999999999997</v>
      </c>
      <c r="R6998" s="11"/>
      <c r="S6998" s="11"/>
      <c r="T6998" s="11"/>
      <c r="U6998" s="11">
        <f t="shared" si="2048"/>
        <v>2.4499999999999997</v>
      </c>
      <c r="V6998" t="s">
        <v>15</v>
      </c>
      <c r="W6998">
        <v>2.4500000000000002</v>
      </c>
      <c r="X6998" s="1" t="s">
        <v>52</v>
      </c>
    </row>
    <row r="6999" spans="1:24" x14ac:dyDescent="0.25">
      <c r="A6999" s="1" t="str">
        <f t="shared" si="2052"/>
        <v>卡卡杜-凤凰仓</v>
      </c>
      <c r="B6999" s="1" t="str">
        <f>"CK2024101719407"</f>
        <v>CK2024101719407</v>
      </c>
      <c r="C6999" s="1" t="str">
        <f>"DD2024101728350"</f>
        <v>DD2024101728350</v>
      </c>
      <c r="D6999" s="1" t="str">
        <f>"CK2024101727533"</f>
        <v>CK2024101727533</v>
      </c>
      <c r="E6999" s="1" t="str">
        <f>"6935129707590391096"</f>
        <v>6935129707590391096</v>
      </c>
      <c r="F6999" s="1" t="str">
        <f t="shared" si="2053"/>
        <v>花都四部-凤凰仓</v>
      </c>
      <c r="G6999" s="1" t="str">
        <f t="shared" si="2049"/>
        <v>卡卡杜个人护理店（抖店）</v>
      </c>
      <c r="H6999" s="1" t="str">
        <f t="shared" si="2054"/>
        <v>正常订单</v>
      </c>
      <c r="I6999" s="1" t="str">
        <f t="shared" si="2055"/>
        <v>已发货</v>
      </c>
      <c r="J6999" s="1" t="str">
        <f t="shared" ref="J6999:J7017" si="2057">"3"</f>
        <v>3</v>
      </c>
      <c r="K6999" s="1">
        <v>2</v>
      </c>
      <c r="L6999" s="1" t="s">
        <v>13</v>
      </c>
      <c r="M6999" s="1" t="str">
        <f>"江苏省 苏州市 虎丘区 浒墅关镇"</f>
        <v>江苏省 苏州市 虎丘区 浒墅关镇</v>
      </c>
      <c r="N6999" s="1" t="str">
        <f t="shared" si="2051"/>
        <v>凡华云仓-韵达-抖音</v>
      </c>
      <c r="O6999" s="5">
        <v>320176515346344</v>
      </c>
      <c r="P6999" s="6">
        <v>0.35</v>
      </c>
      <c r="Q6999" s="11">
        <v>2.2999999999999998</v>
      </c>
      <c r="R6999" s="11"/>
      <c r="S6999" s="11"/>
      <c r="T6999" s="11"/>
      <c r="U6999" s="11">
        <f t="shared" si="2048"/>
        <v>2.2999999999999998</v>
      </c>
      <c r="W6999">
        <v>2.5</v>
      </c>
      <c r="X6999" s="1" t="s">
        <v>13</v>
      </c>
    </row>
    <row r="7000" spans="1:24" x14ac:dyDescent="0.25">
      <c r="A7000" s="1" t="str">
        <f t="shared" si="2052"/>
        <v>卡卡杜-凤凰仓</v>
      </c>
      <c r="B7000" s="1" t="str">
        <f>"CK2024101719416"</f>
        <v>CK2024101719416</v>
      </c>
      <c r="C7000" s="1" t="str">
        <f>"DD2024101728356"</f>
        <v>DD2024101728356</v>
      </c>
      <c r="D7000" s="1" t="str">
        <f>"CK2024101727532"</f>
        <v>CK2024101727532</v>
      </c>
      <c r="E7000" s="1" t="str">
        <f>"6935103404336813911"</f>
        <v>6935103404336813911</v>
      </c>
      <c r="F7000" s="1" t="str">
        <f t="shared" si="2053"/>
        <v>花都四部-凤凰仓</v>
      </c>
      <c r="G7000" s="1" t="str">
        <f t="shared" si="2049"/>
        <v>卡卡杜个人护理店（抖店）</v>
      </c>
      <c r="H7000" s="1" t="str">
        <f t="shared" si="2054"/>
        <v>正常订单</v>
      </c>
      <c r="I7000" s="1" t="str">
        <f t="shared" si="2055"/>
        <v>已发货</v>
      </c>
      <c r="J7000" s="1" t="str">
        <f t="shared" si="2057"/>
        <v>3</v>
      </c>
      <c r="K7000" s="1">
        <v>2</v>
      </c>
      <c r="L7000" s="1" t="s">
        <v>36</v>
      </c>
      <c r="M7000" s="1" t="str">
        <f>"安徽省 亳州市 利辛县 城关镇"</f>
        <v>安徽省 亳州市 利辛县 城关镇</v>
      </c>
      <c r="N7000" s="1" t="str">
        <f t="shared" si="2051"/>
        <v>凡华云仓-韵达-抖音</v>
      </c>
      <c r="O7000" s="5">
        <v>320176515346251</v>
      </c>
      <c r="P7000" s="6">
        <v>0.35</v>
      </c>
      <c r="Q7000" s="11">
        <v>2.2999999999999998</v>
      </c>
      <c r="R7000" s="11"/>
      <c r="S7000" s="11"/>
      <c r="T7000" s="11"/>
      <c r="U7000" s="11">
        <f t="shared" si="2048"/>
        <v>2.2999999999999998</v>
      </c>
      <c r="W7000">
        <v>2.5</v>
      </c>
      <c r="X7000" s="1" t="s">
        <v>36</v>
      </c>
    </row>
    <row r="7001" spans="1:24" x14ac:dyDescent="0.25">
      <c r="A7001" s="1" t="str">
        <f t="shared" si="2052"/>
        <v>卡卡杜-凤凰仓</v>
      </c>
      <c r="B7001" s="1" t="str">
        <f>"CK2024101719379"</f>
        <v>CK2024101719379</v>
      </c>
      <c r="C7001" s="1" t="str">
        <f>"DD2024101728321"</f>
        <v>DD2024101728321</v>
      </c>
      <c r="D7001" s="1" t="str">
        <f>"CK2024101727531"</f>
        <v>CK2024101727531</v>
      </c>
      <c r="E7001" s="1" t="str">
        <f>"6935143588033074622"</f>
        <v>6935143588033074622</v>
      </c>
      <c r="F7001" s="1" t="str">
        <f t="shared" si="2053"/>
        <v>花都四部-凤凰仓</v>
      </c>
      <c r="G7001" s="1" t="str">
        <f t="shared" si="2049"/>
        <v>卡卡杜个人护理店（抖店）</v>
      </c>
      <c r="H7001" s="1" t="str">
        <f t="shared" si="2054"/>
        <v>正常订单</v>
      </c>
      <c r="I7001" s="1" t="str">
        <f t="shared" si="2055"/>
        <v>已发货</v>
      </c>
      <c r="J7001" s="1" t="str">
        <f>"5"</f>
        <v>5</v>
      </c>
      <c r="K7001" s="1">
        <v>2</v>
      </c>
      <c r="L7001" s="1" t="s">
        <v>80</v>
      </c>
      <c r="M7001" s="1" t="str">
        <f>"河南省 郑州市 管城回族区 航海东路街道"</f>
        <v>河南省 郑州市 管城回族区 航海东路街道</v>
      </c>
      <c r="N7001" s="1" t="str">
        <f t="shared" si="2051"/>
        <v>凡华云仓-韵达-抖音</v>
      </c>
      <c r="O7001" s="5">
        <v>320176515346160</v>
      </c>
      <c r="P7001" s="6">
        <v>0.59</v>
      </c>
      <c r="Q7001" s="11">
        <f>CEILING(P7001-0.5,0.1)*10*0.15+2.3</f>
        <v>2.4499999999999997</v>
      </c>
      <c r="R7001" s="11"/>
      <c r="S7001" s="11"/>
      <c r="T7001" s="11"/>
      <c r="U7001" s="11">
        <f t="shared" si="2048"/>
        <v>2.4499999999999997</v>
      </c>
      <c r="V7001" t="s">
        <v>15</v>
      </c>
      <c r="W7001">
        <v>2.4500000000000002</v>
      </c>
      <c r="X7001" s="1" t="s">
        <v>80</v>
      </c>
    </row>
    <row r="7002" spans="1:24" x14ac:dyDescent="0.25">
      <c r="A7002" s="1" t="str">
        <f t="shared" si="2052"/>
        <v>卡卡杜-凤凰仓</v>
      </c>
      <c r="B7002" s="1" t="str">
        <f>"CK2024101719378"</f>
        <v>CK2024101719378</v>
      </c>
      <c r="C7002" s="1" t="str">
        <f>"DD2024101728319"</f>
        <v>DD2024101728319</v>
      </c>
      <c r="D7002" s="1" t="str">
        <f>"CK2024101727530"</f>
        <v>CK2024101727530</v>
      </c>
      <c r="E7002" s="1" t="str">
        <f>"6935139528418268627"</f>
        <v>6935139528418268627</v>
      </c>
      <c r="F7002" s="1" t="str">
        <f t="shared" si="2053"/>
        <v>花都四部-凤凰仓</v>
      </c>
      <c r="G7002" s="1" t="str">
        <f t="shared" si="2049"/>
        <v>卡卡杜个人护理店（抖店）</v>
      </c>
      <c r="H7002" s="1" t="str">
        <f t="shared" si="2054"/>
        <v>正常订单</v>
      </c>
      <c r="I7002" s="1" t="str">
        <f t="shared" si="2055"/>
        <v>已发货</v>
      </c>
      <c r="J7002" s="1" t="str">
        <f t="shared" si="2057"/>
        <v>3</v>
      </c>
      <c r="K7002" s="1">
        <v>2</v>
      </c>
      <c r="L7002" s="1" t="s">
        <v>13</v>
      </c>
      <c r="M7002" s="1" t="str">
        <f>"江苏省 苏州市 吴江区 "</f>
        <v xml:space="preserve">江苏省 苏州市 吴江区 </v>
      </c>
      <c r="N7002" s="1" t="str">
        <f t="shared" si="2051"/>
        <v>凡华云仓-韵达-抖音</v>
      </c>
      <c r="O7002" s="5">
        <v>320176515346071</v>
      </c>
      <c r="P7002" s="6">
        <v>0.35</v>
      </c>
      <c r="Q7002" s="11">
        <v>2.2999999999999998</v>
      </c>
      <c r="R7002" s="11"/>
      <c r="S7002" s="11"/>
      <c r="T7002" s="11"/>
      <c r="U7002" s="11">
        <f t="shared" si="2048"/>
        <v>2.2999999999999998</v>
      </c>
      <c r="W7002">
        <v>2.5</v>
      </c>
      <c r="X7002" s="1" t="s">
        <v>13</v>
      </c>
    </row>
    <row r="7003" spans="1:24" x14ac:dyDescent="0.25">
      <c r="A7003" s="1" t="str">
        <f t="shared" si="2052"/>
        <v>卡卡杜-凤凰仓</v>
      </c>
      <c r="B7003" s="1" t="str">
        <f>"CK2024101719377"</f>
        <v>CK2024101719377</v>
      </c>
      <c r="C7003" s="1" t="str">
        <f>"DD2024101728322"</f>
        <v>DD2024101728322</v>
      </c>
      <c r="D7003" s="1" t="str">
        <f>"CK2024101727529"</f>
        <v>CK2024101727529</v>
      </c>
      <c r="E7003" s="1" t="str">
        <f>"6935128027708003479"</f>
        <v>6935128027708003479</v>
      </c>
      <c r="F7003" s="1" t="str">
        <f t="shared" si="2053"/>
        <v>花都四部-凤凰仓</v>
      </c>
      <c r="G7003" s="1" t="str">
        <f t="shared" si="2049"/>
        <v>卡卡杜个人护理店（抖店）</v>
      </c>
      <c r="H7003" s="1" t="str">
        <f t="shared" si="2054"/>
        <v>正常订单</v>
      </c>
      <c r="I7003" s="1" t="str">
        <f t="shared" si="2055"/>
        <v>已发货</v>
      </c>
      <c r="J7003" s="1" t="str">
        <f t="shared" si="2057"/>
        <v>3</v>
      </c>
      <c r="K7003" s="1">
        <v>2</v>
      </c>
      <c r="L7003" s="1" t="s">
        <v>13</v>
      </c>
      <c r="M7003" s="1" t="str">
        <f>"江苏省 苏州市 虎丘区 狮山街道"</f>
        <v>江苏省 苏州市 虎丘区 狮山街道</v>
      </c>
      <c r="N7003" s="1" t="str">
        <f t="shared" si="2051"/>
        <v>凡华云仓-韵达-抖音</v>
      </c>
      <c r="O7003" s="5">
        <v>320176515345945</v>
      </c>
      <c r="P7003" s="6">
        <v>0.35</v>
      </c>
      <c r="Q7003" s="11">
        <v>2.2999999999999998</v>
      </c>
      <c r="R7003" s="11"/>
      <c r="S7003" s="11"/>
      <c r="T7003" s="11"/>
      <c r="U7003" s="11">
        <f t="shared" si="2048"/>
        <v>2.2999999999999998</v>
      </c>
      <c r="W7003">
        <v>2.5</v>
      </c>
      <c r="X7003" s="1" t="s">
        <v>13</v>
      </c>
    </row>
    <row r="7004" spans="1:24" x14ac:dyDescent="0.25">
      <c r="A7004" s="1" t="str">
        <f t="shared" si="2052"/>
        <v>卡卡杜-凤凰仓</v>
      </c>
      <c r="B7004" s="1" t="str">
        <f>"CK2024101719380"</f>
        <v>CK2024101719380</v>
      </c>
      <c r="C7004" s="1" t="str">
        <f>"DD2024101728323"</f>
        <v>DD2024101728323</v>
      </c>
      <c r="D7004" s="1" t="str">
        <f>"CK2024101727528"</f>
        <v>CK2024101727528</v>
      </c>
      <c r="E7004" s="1" t="str">
        <f>"6935134873363617151"</f>
        <v>6935134873363617151</v>
      </c>
      <c r="F7004" s="1" t="str">
        <f t="shared" si="2053"/>
        <v>花都四部-凤凰仓</v>
      </c>
      <c r="G7004" s="1" t="str">
        <f t="shared" si="2049"/>
        <v>卡卡杜个人护理店（抖店）</v>
      </c>
      <c r="H7004" s="1" t="str">
        <f t="shared" si="2054"/>
        <v>正常订单</v>
      </c>
      <c r="I7004" s="1" t="str">
        <f t="shared" si="2055"/>
        <v>已发货</v>
      </c>
      <c r="J7004" s="1" t="str">
        <f t="shared" si="2057"/>
        <v>3</v>
      </c>
      <c r="K7004" s="1">
        <v>2</v>
      </c>
      <c r="L7004" s="1" t="s">
        <v>22</v>
      </c>
      <c r="M7004" s="1" t="str">
        <f>"江西省 上饶市 玉山县 冰溪街道"</f>
        <v>江西省 上饶市 玉山县 冰溪街道</v>
      </c>
      <c r="N7004" s="1" t="str">
        <f t="shared" si="2051"/>
        <v>凡华云仓-韵达-抖音</v>
      </c>
      <c r="O7004" s="5">
        <v>320176515345840</v>
      </c>
      <c r="P7004" s="6">
        <v>0.35</v>
      </c>
      <c r="Q7004" s="11">
        <v>2.2999999999999998</v>
      </c>
      <c r="R7004" s="11"/>
      <c r="S7004" s="11"/>
      <c r="T7004" s="11"/>
      <c r="U7004" s="11">
        <f t="shared" si="2048"/>
        <v>2.2999999999999998</v>
      </c>
      <c r="W7004">
        <v>2.5</v>
      </c>
      <c r="X7004" s="1" t="s">
        <v>22</v>
      </c>
    </row>
    <row r="7005" spans="1:24" x14ac:dyDescent="0.25">
      <c r="A7005" s="1" t="str">
        <f t="shared" si="2052"/>
        <v>卡卡杜-凤凰仓</v>
      </c>
      <c r="B7005" s="1" t="str">
        <f>"CK2024101719382"</f>
        <v>CK2024101719382</v>
      </c>
      <c r="C7005" s="1" t="str">
        <f>"DD2024101728328"</f>
        <v>DD2024101728328</v>
      </c>
      <c r="D7005" s="1" t="str">
        <f>"CK2024101727527"</f>
        <v>CK2024101727527</v>
      </c>
      <c r="E7005" s="1" t="str">
        <f>"6935121412290778792"</f>
        <v>6935121412290778792</v>
      </c>
      <c r="F7005" s="1" t="str">
        <f t="shared" si="2053"/>
        <v>花都四部-凤凰仓</v>
      </c>
      <c r="G7005" s="1" t="str">
        <f t="shared" si="2049"/>
        <v>卡卡杜个人护理店（抖店）</v>
      </c>
      <c r="H7005" s="1" t="str">
        <f t="shared" si="2054"/>
        <v>正常订单</v>
      </c>
      <c r="I7005" s="1" t="str">
        <f t="shared" si="2055"/>
        <v>已发货</v>
      </c>
      <c r="J7005" s="1" t="str">
        <f t="shared" si="2057"/>
        <v>3</v>
      </c>
      <c r="K7005" s="1">
        <v>2</v>
      </c>
      <c r="L7005" s="1" t="s">
        <v>161</v>
      </c>
      <c r="M7005" s="1" t="str">
        <f>"四川省 成都市 武侯区 望江路街道"</f>
        <v>四川省 成都市 武侯区 望江路街道</v>
      </c>
      <c r="N7005" s="1" t="str">
        <f t="shared" si="2051"/>
        <v>凡华云仓-韵达-抖音</v>
      </c>
      <c r="O7005" s="5">
        <v>320176515345737</v>
      </c>
      <c r="P7005" s="6">
        <v>0.35</v>
      </c>
      <c r="Q7005" s="11">
        <v>2.2999999999999998</v>
      </c>
      <c r="R7005" s="11"/>
      <c r="S7005" s="11"/>
      <c r="T7005" s="11"/>
      <c r="U7005" s="11">
        <f t="shared" si="2048"/>
        <v>2.2999999999999998</v>
      </c>
      <c r="W7005">
        <v>2.5</v>
      </c>
      <c r="X7005" s="1" t="s">
        <v>161</v>
      </c>
    </row>
    <row r="7006" spans="1:24" x14ac:dyDescent="0.25">
      <c r="A7006" s="1" t="str">
        <f t="shared" si="2052"/>
        <v>卡卡杜-凤凰仓</v>
      </c>
      <c r="B7006" s="1" t="str">
        <f>"CK2024101719387"</f>
        <v>CK2024101719387</v>
      </c>
      <c r="C7006" s="1" t="str">
        <f>"DD2024101728331"</f>
        <v>DD2024101728331</v>
      </c>
      <c r="D7006" s="1" t="str">
        <f>"CK2024101727526"</f>
        <v>CK2024101727526</v>
      </c>
      <c r="E7006" s="1" t="str">
        <f>"6935114917008578180"</f>
        <v>6935114917008578180</v>
      </c>
      <c r="F7006" s="1" t="str">
        <f t="shared" si="2053"/>
        <v>花都四部-凤凰仓</v>
      </c>
      <c r="G7006" s="1" t="str">
        <f t="shared" si="2049"/>
        <v>卡卡杜个人护理店（抖店）</v>
      </c>
      <c r="H7006" s="1" t="str">
        <f t="shared" si="2054"/>
        <v>正常订单</v>
      </c>
      <c r="I7006" s="1" t="str">
        <f t="shared" si="2055"/>
        <v>已发货</v>
      </c>
      <c r="J7006" s="1" t="str">
        <f t="shared" si="2057"/>
        <v>3</v>
      </c>
      <c r="K7006" s="1">
        <v>2</v>
      </c>
      <c r="L7006" s="1" t="s">
        <v>13</v>
      </c>
      <c r="M7006" s="1" t="str">
        <f>"江苏省 镇江市 丹阳市 丹阳经济技术开发区"</f>
        <v>江苏省 镇江市 丹阳市 丹阳经济技术开发区</v>
      </c>
      <c r="N7006" s="1" t="str">
        <f t="shared" si="2051"/>
        <v>凡华云仓-韵达-抖音</v>
      </c>
      <c r="O7006" s="5">
        <v>320176515345636</v>
      </c>
      <c r="P7006" s="6">
        <v>0.35</v>
      </c>
      <c r="Q7006" s="11">
        <v>2.2999999999999998</v>
      </c>
      <c r="R7006" s="11"/>
      <c r="S7006" s="11"/>
      <c r="T7006" s="11"/>
      <c r="U7006" s="11">
        <f t="shared" si="2048"/>
        <v>2.2999999999999998</v>
      </c>
      <c r="W7006">
        <v>2.5</v>
      </c>
      <c r="X7006" s="1" t="s">
        <v>13</v>
      </c>
    </row>
    <row r="7007" spans="1:24" x14ac:dyDescent="0.25">
      <c r="A7007" s="1" t="str">
        <f t="shared" si="2052"/>
        <v>卡卡杜-凤凰仓</v>
      </c>
      <c r="B7007" s="1" t="str">
        <f>"CK2024101719381"</f>
        <v>CK2024101719381</v>
      </c>
      <c r="C7007" s="1" t="str">
        <f>"DD2024101728317"</f>
        <v>DD2024101728317</v>
      </c>
      <c r="D7007" s="1" t="str">
        <f>"CK2024101727525"</f>
        <v>CK2024101727525</v>
      </c>
      <c r="E7007" s="1" t="str">
        <f>"6935132467968022269"</f>
        <v>6935132467968022269</v>
      </c>
      <c r="F7007" s="1" t="str">
        <f t="shared" si="2053"/>
        <v>花都四部-凤凰仓</v>
      </c>
      <c r="G7007" s="1" t="str">
        <f t="shared" si="2049"/>
        <v>卡卡杜个人护理店（抖店）</v>
      </c>
      <c r="H7007" s="1" t="str">
        <f t="shared" si="2054"/>
        <v>正常订单</v>
      </c>
      <c r="I7007" s="1" t="str">
        <f t="shared" si="2055"/>
        <v>已发货</v>
      </c>
      <c r="J7007" s="1" t="str">
        <f t="shared" si="2057"/>
        <v>3</v>
      </c>
      <c r="K7007" s="1">
        <v>2</v>
      </c>
      <c r="L7007" s="1" t="s">
        <v>20</v>
      </c>
      <c r="M7007" s="1" t="str">
        <f>"浙江省 宁波市 海曙区 古林镇"</f>
        <v>浙江省 宁波市 海曙区 古林镇</v>
      </c>
      <c r="N7007" s="1" t="str">
        <f t="shared" si="2051"/>
        <v>凡华云仓-韵达-抖音</v>
      </c>
      <c r="O7007" s="5">
        <v>320176515345537</v>
      </c>
      <c r="P7007" s="6">
        <v>0.35</v>
      </c>
      <c r="Q7007" s="11">
        <v>2.2999999999999998</v>
      </c>
      <c r="R7007" s="11"/>
      <c r="S7007" s="11"/>
      <c r="T7007" s="11"/>
      <c r="U7007" s="11">
        <f t="shared" si="2048"/>
        <v>2.2999999999999998</v>
      </c>
      <c r="W7007">
        <v>2.5</v>
      </c>
      <c r="X7007" s="1" t="s">
        <v>20</v>
      </c>
    </row>
    <row r="7008" spans="1:24" x14ac:dyDescent="0.25">
      <c r="A7008" s="1" t="str">
        <f t="shared" si="2052"/>
        <v>卡卡杜-凤凰仓</v>
      </c>
      <c r="B7008" s="1" t="str">
        <f>"CK2024101719386"</f>
        <v>CK2024101719386</v>
      </c>
      <c r="C7008" s="1" t="str">
        <f>"DD2024101728330"</f>
        <v>DD2024101728330</v>
      </c>
      <c r="D7008" s="1" t="str">
        <f>"CK2024101727524"</f>
        <v>CK2024101727524</v>
      </c>
      <c r="E7008" s="1" t="str">
        <f>"6935130262111327395"</f>
        <v>6935130262111327395</v>
      </c>
      <c r="F7008" s="1" t="str">
        <f t="shared" si="2053"/>
        <v>花都四部-凤凰仓</v>
      </c>
      <c r="G7008" s="1" t="str">
        <f t="shared" si="2049"/>
        <v>卡卡杜个人护理店（抖店）</v>
      </c>
      <c r="H7008" s="1" t="str">
        <f t="shared" si="2054"/>
        <v>正常订单</v>
      </c>
      <c r="I7008" s="1" t="str">
        <f t="shared" si="2055"/>
        <v>已发货</v>
      </c>
      <c r="J7008" s="1" t="str">
        <f t="shared" si="2057"/>
        <v>3</v>
      </c>
      <c r="K7008" s="1">
        <v>2</v>
      </c>
      <c r="L7008" s="1" t="s">
        <v>80</v>
      </c>
      <c r="M7008" s="1" t="str">
        <f>"河南省 新乡市 原阳县 城关镇"</f>
        <v>河南省 新乡市 原阳县 城关镇</v>
      </c>
      <c r="N7008" s="1" t="str">
        <f t="shared" si="2051"/>
        <v>凡华云仓-韵达-抖音</v>
      </c>
      <c r="O7008" s="5">
        <v>320176515345440</v>
      </c>
      <c r="P7008" s="6">
        <v>0.35</v>
      </c>
      <c r="Q7008" s="11">
        <v>2.2999999999999998</v>
      </c>
      <c r="R7008" s="11"/>
      <c r="S7008" s="11"/>
      <c r="T7008" s="11"/>
      <c r="U7008" s="11">
        <f t="shared" si="2048"/>
        <v>2.2999999999999998</v>
      </c>
      <c r="W7008">
        <v>2.5</v>
      </c>
      <c r="X7008" s="1" t="s">
        <v>80</v>
      </c>
    </row>
    <row r="7009" spans="1:24" x14ac:dyDescent="0.25">
      <c r="A7009" s="1" t="str">
        <f t="shared" si="2052"/>
        <v>卡卡杜-凤凰仓</v>
      </c>
      <c r="B7009" s="1" t="str">
        <f>"CK2024101719384"</f>
        <v>CK2024101719384</v>
      </c>
      <c r="C7009" s="1" t="str">
        <f>"DD2024101728332"</f>
        <v>DD2024101728332</v>
      </c>
      <c r="D7009" s="1" t="str">
        <f>"CK2024101727523"</f>
        <v>CK2024101727523</v>
      </c>
      <c r="E7009" s="1" t="str">
        <f>"6935127976878282426"</f>
        <v>6935127976878282426</v>
      </c>
      <c r="F7009" s="1" t="str">
        <f t="shared" si="2053"/>
        <v>花都四部-凤凰仓</v>
      </c>
      <c r="G7009" s="1" t="str">
        <f t="shared" si="2049"/>
        <v>卡卡杜个人护理店（抖店）</v>
      </c>
      <c r="H7009" s="1" t="str">
        <f t="shared" si="2054"/>
        <v>正常订单</v>
      </c>
      <c r="I7009" s="1" t="str">
        <f t="shared" si="2055"/>
        <v>已发货</v>
      </c>
      <c r="J7009" s="1" t="str">
        <f t="shared" si="2057"/>
        <v>3</v>
      </c>
      <c r="K7009" s="1">
        <v>2</v>
      </c>
      <c r="L7009" s="1" t="s">
        <v>32</v>
      </c>
      <c r="M7009" s="1" t="str">
        <f>"陕西省 西安市 未央区 徐家湾街道"</f>
        <v>陕西省 西安市 未央区 徐家湾街道</v>
      </c>
      <c r="N7009" s="1" t="str">
        <f t="shared" si="2051"/>
        <v>凡华云仓-韵达-抖音</v>
      </c>
      <c r="O7009" s="5">
        <v>320176506628268</v>
      </c>
      <c r="P7009" s="6">
        <v>0.35</v>
      </c>
      <c r="Q7009" s="11">
        <v>2.2999999999999998</v>
      </c>
      <c r="R7009" s="11"/>
      <c r="S7009" s="11"/>
      <c r="T7009" s="11"/>
      <c r="U7009" s="11">
        <f t="shared" si="2048"/>
        <v>2.2999999999999998</v>
      </c>
      <c r="W7009">
        <v>2.5</v>
      </c>
      <c r="X7009" s="1" t="s">
        <v>32</v>
      </c>
    </row>
    <row r="7010" spans="1:24" x14ac:dyDescent="0.25">
      <c r="A7010" s="1" t="str">
        <f t="shared" si="2052"/>
        <v>卡卡杜-凤凰仓</v>
      </c>
      <c r="B7010" s="1" t="str">
        <f>"CK2024101719383"</f>
        <v>CK2024101719383</v>
      </c>
      <c r="C7010" s="1" t="str">
        <f>"DD2024101728329"</f>
        <v>DD2024101728329</v>
      </c>
      <c r="D7010" s="1" t="str">
        <f>"CK2024101727522"</f>
        <v>CK2024101727522</v>
      </c>
      <c r="E7010" s="1" t="str">
        <f>"6935121385102055331"</f>
        <v>6935121385102055331</v>
      </c>
      <c r="F7010" s="1" t="str">
        <f t="shared" si="2053"/>
        <v>花都四部-凤凰仓</v>
      </c>
      <c r="G7010" s="1" t="str">
        <f t="shared" si="2049"/>
        <v>卡卡杜个人护理店（抖店）</v>
      </c>
      <c r="H7010" s="1" t="str">
        <f t="shared" si="2054"/>
        <v>正常订单</v>
      </c>
      <c r="I7010" s="1" t="str">
        <f t="shared" si="2055"/>
        <v>已发货</v>
      </c>
      <c r="J7010" s="1" t="str">
        <f t="shared" si="2057"/>
        <v>3</v>
      </c>
      <c r="K7010" s="1">
        <v>2</v>
      </c>
      <c r="L7010" s="1" t="s">
        <v>41</v>
      </c>
      <c r="M7010" s="1" t="str">
        <f>"湖北省 武汉市 青山区 青山镇街道"</f>
        <v>湖北省 武汉市 青山区 青山镇街道</v>
      </c>
      <c r="N7010" s="1" t="str">
        <f t="shared" si="2051"/>
        <v>凡华云仓-韵达-抖音</v>
      </c>
      <c r="O7010" s="5">
        <v>320176506628177</v>
      </c>
      <c r="P7010" s="6">
        <v>0.35</v>
      </c>
      <c r="Q7010" s="11">
        <v>2.2999999999999998</v>
      </c>
      <c r="R7010" s="11"/>
      <c r="S7010" s="11"/>
      <c r="T7010" s="11"/>
      <c r="U7010" s="11">
        <f t="shared" si="2048"/>
        <v>2.2999999999999998</v>
      </c>
      <c r="W7010">
        <v>2.5</v>
      </c>
      <c r="X7010" s="1" t="s">
        <v>41</v>
      </c>
    </row>
    <row r="7011" spans="1:24" x14ac:dyDescent="0.25">
      <c r="A7011" s="1" t="str">
        <f t="shared" si="2052"/>
        <v>卡卡杜-凤凰仓</v>
      </c>
      <c r="B7011" s="1" t="str">
        <f>"CK2024101719413"</f>
        <v>CK2024101719413</v>
      </c>
      <c r="C7011" s="1" t="str">
        <f>"DD2024101728354"</f>
        <v>DD2024101728354</v>
      </c>
      <c r="D7011" s="1" t="str">
        <f>"CK2024101727521"</f>
        <v>CK2024101727521</v>
      </c>
      <c r="E7011" s="1" t="str">
        <f>"6935127303797216460"</f>
        <v>6935127303797216460</v>
      </c>
      <c r="F7011" s="1" t="str">
        <f t="shared" si="2053"/>
        <v>花都四部-凤凰仓</v>
      </c>
      <c r="G7011" s="1" t="str">
        <f t="shared" si="2049"/>
        <v>卡卡杜个人护理店（抖店）</v>
      </c>
      <c r="H7011" s="1" t="str">
        <f t="shared" si="2054"/>
        <v>正常订单</v>
      </c>
      <c r="I7011" s="1" t="str">
        <f t="shared" si="2055"/>
        <v>已发货</v>
      </c>
      <c r="J7011" s="1" t="str">
        <f t="shared" si="2057"/>
        <v>3</v>
      </c>
      <c r="K7011" s="1">
        <v>2</v>
      </c>
      <c r="L7011" s="1" t="s">
        <v>20</v>
      </c>
      <c r="M7011" s="1" t="str">
        <f>"浙江省 嘉兴市 平湖市 乍浦镇"</f>
        <v>浙江省 嘉兴市 平湖市 乍浦镇</v>
      </c>
      <c r="N7011" s="1" t="str">
        <f t="shared" si="2051"/>
        <v>凡华云仓-韵达-抖音</v>
      </c>
      <c r="O7011" s="5">
        <v>320176506628088</v>
      </c>
      <c r="P7011" s="6">
        <v>0.35</v>
      </c>
      <c r="Q7011" s="11">
        <v>2.2999999999999998</v>
      </c>
      <c r="R7011" s="11"/>
      <c r="S7011" s="11"/>
      <c r="T7011" s="11"/>
      <c r="U7011" s="11">
        <f t="shared" si="2048"/>
        <v>2.2999999999999998</v>
      </c>
      <c r="W7011">
        <v>2.5</v>
      </c>
      <c r="X7011" s="1" t="s">
        <v>20</v>
      </c>
    </row>
    <row r="7012" spans="1:24" x14ac:dyDescent="0.25">
      <c r="A7012" s="1" t="str">
        <f t="shared" si="2052"/>
        <v>卡卡杜-凤凰仓</v>
      </c>
      <c r="B7012" s="1" t="str">
        <f>"CK2024101719385"</f>
        <v>CK2024101719385</v>
      </c>
      <c r="C7012" s="1" t="str">
        <f>"DD2024101728333"</f>
        <v>DD2024101728333</v>
      </c>
      <c r="D7012" s="1" t="str">
        <f>"CK2024101727520"</f>
        <v>CK2024101727520</v>
      </c>
      <c r="E7012" s="1" t="str">
        <f>"6935121403112003144"</f>
        <v>6935121403112003144</v>
      </c>
      <c r="F7012" s="1" t="str">
        <f t="shared" si="2053"/>
        <v>花都四部-凤凰仓</v>
      </c>
      <c r="G7012" s="1" t="str">
        <f t="shared" si="2049"/>
        <v>卡卡杜个人护理店（抖店）</v>
      </c>
      <c r="H7012" s="1" t="str">
        <f t="shared" si="2054"/>
        <v>正常订单</v>
      </c>
      <c r="I7012" s="1" t="str">
        <f t="shared" si="2055"/>
        <v>已发货</v>
      </c>
      <c r="J7012" s="1" t="str">
        <f t="shared" si="2057"/>
        <v>3</v>
      </c>
      <c r="K7012" s="1">
        <v>2</v>
      </c>
      <c r="L7012" s="1" t="s">
        <v>27</v>
      </c>
      <c r="M7012" s="1" t="str">
        <f>"贵州省 遵义市 播州区 桂花桥街道"</f>
        <v>贵州省 遵义市 播州区 桂花桥街道</v>
      </c>
      <c r="N7012" s="1" t="str">
        <f t="shared" si="2051"/>
        <v>凡华云仓-韵达-抖音</v>
      </c>
      <c r="O7012" s="5">
        <v>320176506627958</v>
      </c>
      <c r="P7012" s="6">
        <v>0.35</v>
      </c>
      <c r="Q7012" s="11">
        <v>2.2999999999999998</v>
      </c>
      <c r="R7012" s="11"/>
      <c r="S7012" s="11"/>
      <c r="T7012" s="11"/>
      <c r="U7012" s="11">
        <f t="shared" si="2048"/>
        <v>2.2999999999999998</v>
      </c>
      <c r="W7012">
        <v>2.5</v>
      </c>
      <c r="X7012" s="1" t="s">
        <v>27</v>
      </c>
    </row>
    <row r="7013" spans="1:24" x14ac:dyDescent="0.25">
      <c r="A7013" s="1" t="str">
        <f t="shared" si="2052"/>
        <v>卡卡杜-凤凰仓</v>
      </c>
      <c r="B7013" s="1" t="str">
        <f>"CK20241017122"</f>
        <v>CK20241017122</v>
      </c>
      <c r="C7013" s="1" t="str">
        <f>"DD202410176172"</f>
        <v>DD202410176172</v>
      </c>
      <c r="D7013" s="1" t="str">
        <f>"CK2024101712559"</f>
        <v>CK2024101712559</v>
      </c>
      <c r="E7013" s="1" t="str">
        <f>"6935125023063873005"</f>
        <v>6935125023063873005</v>
      </c>
      <c r="F7013" s="1" t="str">
        <f t="shared" si="2053"/>
        <v>花都四部-凤凰仓</v>
      </c>
      <c r="G7013" s="1" t="str">
        <f t="shared" si="2049"/>
        <v>卡卡杜个人护理店（抖店）</v>
      </c>
      <c r="H7013" s="1" t="str">
        <f t="shared" si="2054"/>
        <v>正常订单</v>
      </c>
      <c r="I7013" s="1" t="str">
        <f t="shared" si="2055"/>
        <v>已发货</v>
      </c>
      <c r="J7013" s="1" t="str">
        <f t="shared" si="2057"/>
        <v>3</v>
      </c>
      <c r="K7013" s="1">
        <v>2</v>
      </c>
      <c r="L7013" s="1" t="s">
        <v>13</v>
      </c>
      <c r="M7013" s="1" t="str">
        <f>"江苏省 泰州市 兴化市 临城街道"</f>
        <v>江苏省 泰州市 兴化市 临城街道</v>
      </c>
      <c r="N7013" s="1" t="str">
        <f t="shared" si="2051"/>
        <v>凡华云仓-韵达-抖音</v>
      </c>
      <c r="O7013" s="5">
        <v>320175897037557</v>
      </c>
      <c r="P7013" s="6">
        <v>0.35</v>
      </c>
      <c r="Q7013" s="11">
        <v>2.2999999999999998</v>
      </c>
      <c r="R7013" s="11"/>
      <c r="S7013" s="11"/>
      <c r="T7013" s="11"/>
      <c r="U7013" s="11">
        <f t="shared" si="2048"/>
        <v>2.2999999999999998</v>
      </c>
      <c r="W7013">
        <v>2.5</v>
      </c>
      <c r="X7013" s="1" t="s">
        <v>13</v>
      </c>
    </row>
    <row r="7014" spans="1:24" x14ac:dyDescent="0.25">
      <c r="A7014" s="1" t="str">
        <f t="shared" si="2052"/>
        <v>卡卡杜-凤凰仓</v>
      </c>
      <c r="B7014" s="1" t="str">
        <f>"CK2024101726"</f>
        <v>CK2024101726</v>
      </c>
      <c r="C7014" s="1" t="str">
        <f>"DD202410176079"</f>
        <v>DD202410176079</v>
      </c>
      <c r="D7014" s="1" t="str">
        <f>"CK2024101712558"</f>
        <v>CK2024101712558</v>
      </c>
      <c r="E7014" s="1" t="str">
        <f>"6935098549781927710"</f>
        <v>6935098549781927710</v>
      </c>
      <c r="F7014" s="1" t="str">
        <f t="shared" si="2053"/>
        <v>花都四部-凤凰仓</v>
      </c>
      <c r="G7014" s="1" t="str">
        <f t="shared" si="2049"/>
        <v>卡卡杜个人护理店（抖店）</v>
      </c>
      <c r="H7014" s="1" t="str">
        <f t="shared" si="2054"/>
        <v>正常订单</v>
      </c>
      <c r="I7014" s="1" t="str">
        <f t="shared" si="2055"/>
        <v>已发货</v>
      </c>
      <c r="J7014" s="1" t="str">
        <f>"5"</f>
        <v>5</v>
      </c>
      <c r="K7014" s="1">
        <v>2</v>
      </c>
      <c r="L7014" s="1" t="s">
        <v>36</v>
      </c>
      <c r="M7014" s="1" t="str">
        <f>"安徽省 合肥市 蜀山区 蜀山区城区"</f>
        <v>安徽省 合肥市 蜀山区 蜀山区城区</v>
      </c>
      <c r="N7014" s="1" t="str">
        <f t="shared" si="2051"/>
        <v>凡华云仓-韵达-抖音</v>
      </c>
      <c r="O7014" s="5">
        <v>320175897037460</v>
      </c>
      <c r="P7014" s="6">
        <v>0.59</v>
      </c>
      <c r="Q7014" s="11">
        <f>CEILING(P7014-0.5,0.1)*10*0.15+2.3</f>
        <v>2.4499999999999997</v>
      </c>
      <c r="R7014" s="11"/>
      <c r="S7014" s="11"/>
      <c r="T7014" s="11"/>
      <c r="U7014" s="11">
        <f t="shared" si="2048"/>
        <v>2.4499999999999997</v>
      </c>
      <c r="V7014" t="s">
        <v>15</v>
      </c>
      <c r="W7014">
        <v>2.4500000000000002</v>
      </c>
      <c r="X7014" s="1" t="s">
        <v>36</v>
      </c>
    </row>
    <row r="7015" spans="1:24" x14ac:dyDescent="0.25">
      <c r="A7015" s="1" t="str">
        <f t="shared" si="2052"/>
        <v>卡卡杜-凤凰仓</v>
      </c>
      <c r="B7015" s="1" t="str">
        <f>"CK2024101742"</f>
        <v>CK2024101742</v>
      </c>
      <c r="C7015" s="1" t="str">
        <f>"DD202410176092"</f>
        <v>DD202410176092</v>
      </c>
      <c r="D7015" s="1" t="str">
        <f>"CK2024101712557"</f>
        <v>CK2024101712557</v>
      </c>
      <c r="E7015" s="1" t="str">
        <f>"6935096005369074934"</f>
        <v>6935096005369074934</v>
      </c>
      <c r="F7015" s="1" t="str">
        <f t="shared" si="2053"/>
        <v>花都四部-凤凰仓</v>
      </c>
      <c r="G7015" s="1" t="str">
        <f t="shared" si="2049"/>
        <v>卡卡杜个人护理店（抖店）</v>
      </c>
      <c r="H7015" s="1" t="str">
        <f t="shared" si="2054"/>
        <v>正常订单</v>
      </c>
      <c r="I7015" s="1" t="str">
        <f t="shared" si="2055"/>
        <v>已发货</v>
      </c>
      <c r="J7015" s="1" t="str">
        <f t="shared" si="2057"/>
        <v>3</v>
      </c>
      <c r="K7015" s="1">
        <v>2</v>
      </c>
      <c r="L7015" s="1" t="s">
        <v>60</v>
      </c>
      <c r="M7015" s="1" t="str">
        <f>"云南省 昭通市 昭阳区 龙泉街道"</f>
        <v>云南省 昭通市 昭阳区 龙泉街道</v>
      </c>
      <c r="N7015" s="1" t="str">
        <f t="shared" si="2051"/>
        <v>凡华云仓-韵达-抖音</v>
      </c>
      <c r="O7015" s="5">
        <v>320175897037365</v>
      </c>
      <c r="P7015" s="6">
        <v>0.35</v>
      </c>
      <c r="Q7015" s="11">
        <v>2.2999999999999998</v>
      </c>
      <c r="R7015" s="11"/>
      <c r="S7015" s="11"/>
      <c r="T7015" s="11"/>
      <c r="U7015" s="11">
        <f t="shared" si="2048"/>
        <v>2.2999999999999998</v>
      </c>
      <c r="W7015">
        <v>2.5</v>
      </c>
      <c r="X7015" s="1" t="s">
        <v>60</v>
      </c>
    </row>
    <row r="7016" spans="1:24" x14ac:dyDescent="0.25">
      <c r="A7016" s="1" t="str">
        <f t="shared" si="2052"/>
        <v>卡卡杜-凤凰仓</v>
      </c>
      <c r="B7016" s="1" t="str">
        <f>"CK2024101746"</f>
        <v>CK2024101746</v>
      </c>
      <c r="C7016" s="1" t="str">
        <f>"DD202410176096"</f>
        <v>DD202410176096</v>
      </c>
      <c r="D7016" s="1" t="str">
        <f>"CK2024101712556"</f>
        <v>CK2024101712556</v>
      </c>
      <c r="E7016" s="1" t="str">
        <f>"6935081712274052101"</f>
        <v>6935081712274052101</v>
      </c>
      <c r="F7016" s="1" t="str">
        <f t="shared" si="2053"/>
        <v>花都四部-凤凰仓</v>
      </c>
      <c r="G7016" s="1" t="str">
        <f t="shared" si="2049"/>
        <v>卡卡杜个人护理店（抖店）</v>
      </c>
      <c r="H7016" s="1" t="str">
        <f t="shared" si="2054"/>
        <v>正常订单</v>
      </c>
      <c r="I7016" s="1" t="str">
        <f t="shared" si="2055"/>
        <v>已发货</v>
      </c>
      <c r="J7016" s="1" t="str">
        <f t="shared" si="2057"/>
        <v>3</v>
      </c>
      <c r="K7016" s="1">
        <v>2</v>
      </c>
      <c r="L7016" s="1" t="s">
        <v>20</v>
      </c>
      <c r="M7016" s="1" t="str">
        <f>"浙江省 杭州市 余杭区 良渚街道"</f>
        <v>浙江省 杭州市 余杭区 良渚街道</v>
      </c>
      <c r="N7016" s="1" t="str">
        <f t="shared" si="2051"/>
        <v>凡华云仓-韵达-抖音</v>
      </c>
      <c r="O7016" s="5">
        <v>320175886299254</v>
      </c>
      <c r="P7016" s="6">
        <v>0.35</v>
      </c>
      <c r="Q7016" s="11">
        <v>2.2999999999999998</v>
      </c>
      <c r="R7016" s="11"/>
      <c r="S7016" s="11"/>
      <c r="T7016" s="11"/>
      <c r="U7016" s="11">
        <f t="shared" si="2048"/>
        <v>2.2999999999999998</v>
      </c>
      <c r="W7016">
        <v>2.5</v>
      </c>
      <c r="X7016" s="1" t="s">
        <v>20</v>
      </c>
    </row>
    <row r="7017" spans="1:24" x14ac:dyDescent="0.25">
      <c r="A7017" s="1" t="str">
        <f t="shared" si="2052"/>
        <v>卡卡杜-凤凰仓</v>
      </c>
      <c r="B7017" s="1" t="str">
        <f>"CK2024101748"</f>
        <v>CK2024101748</v>
      </c>
      <c r="C7017" s="1" t="str">
        <f>"DD202410176097"</f>
        <v>DD202410176097</v>
      </c>
      <c r="D7017" s="1" t="str">
        <f>"CK2024101712555"</f>
        <v>CK2024101712555</v>
      </c>
      <c r="E7017" s="1" t="str">
        <f>"6935081558396442445"</f>
        <v>6935081558396442445</v>
      </c>
      <c r="F7017" s="1" t="str">
        <f t="shared" si="2053"/>
        <v>花都四部-凤凰仓</v>
      </c>
      <c r="G7017" s="1" t="str">
        <f t="shared" si="2049"/>
        <v>卡卡杜个人护理店（抖店）</v>
      </c>
      <c r="H7017" s="1" t="str">
        <f t="shared" si="2054"/>
        <v>正常订单</v>
      </c>
      <c r="I7017" s="1" t="str">
        <f t="shared" si="2055"/>
        <v>已发货</v>
      </c>
      <c r="J7017" s="1" t="str">
        <f t="shared" si="2057"/>
        <v>3</v>
      </c>
      <c r="K7017" s="1">
        <v>2</v>
      </c>
      <c r="L7017" s="1" t="s">
        <v>36</v>
      </c>
      <c r="M7017" s="1" t="str">
        <f>"安徽省 合肥市 包河区 "</f>
        <v xml:space="preserve">安徽省 合肥市 包河区 </v>
      </c>
      <c r="N7017" s="1" t="str">
        <f t="shared" si="2051"/>
        <v>凡华云仓-韵达-抖音</v>
      </c>
      <c r="O7017" s="5">
        <v>320175886299163</v>
      </c>
      <c r="P7017" s="6">
        <v>0.35</v>
      </c>
      <c r="Q7017" s="11">
        <v>2.2999999999999998</v>
      </c>
      <c r="R7017" s="11"/>
      <c r="S7017" s="11"/>
      <c r="T7017" s="11"/>
      <c r="U7017" s="11">
        <f t="shared" si="2048"/>
        <v>2.2999999999999998</v>
      </c>
      <c r="W7017">
        <v>2.5</v>
      </c>
      <c r="X7017" s="1" t="s">
        <v>36</v>
      </c>
    </row>
    <row r="7018" spans="1:24" x14ac:dyDescent="0.25">
      <c r="A7018" s="1" t="str">
        <f t="shared" si="2052"/>
        <v>卡卡杜-凤凰仓</v>
      </c>
      <c r="B7018" s="1" t="str">
        <f>"CK2024101725"</f>
        <v>CK2024101725</v>
      </c>
      <c r="C7018" s="1" t="str">
        <f>"DD202410176075"</f>
        <v>DD202410176075</v>
      </c>
      <c r="D7018" s="1" t="str">
        <f>"CK2024101712554"</f>
        <v>CK2024101712554</v>
      </c>
      <c r="E7018" s="1" t="str">
        <f>"6935106451694294290"</f>
        <v>6935106451694294290</v>
      </c>
      <c r="F7018" s="1" t="str">
        <f t="shared" si="2053"/>
        <v>花都四部-凤凰仓</v>
      </c>
      <c r="G7018" s="1" t="str">
        <f t="shared" si="2049"/>
        <v>卡卡杜个人护理店（抖店）</v>
      </c>
      <c r="H7018" s="1" t="str">
        <f t="shared" si="2054"/>
        <v>正常订单</v>
      </c>
      <c r="I7018" s="1" t="str">
        <f t="shared" si="2055"/>
        <v>已发货</v>
      </c>
      <c r="J7018" s="1" t="str">
        <f>"5"</f>
        <v>5</v>
      </c>
      <c r="K7018" s="1">
        <v>2</v>
      </c>
      <c r="L7018" s="1" t="s">
        <v>13</v>
      </c>
      <c r="M7018" s="1" t="str">
        <f>"江苏省 徐州市 新沂市 新安街道"</f>
        <v>江苏省 徐州市 新沂市 新安街道</v>
      </c>
      <c r="N7018" s="1" t="str">
        <f t="shared" si="2051"/>
        <v>凡华云仓-韵达-抖音</v>
      </c>
      <c r="O7018" s="5">
        <v>320175886299074</v>
      </c>
      <c r="P7018" s="6">
        <v>0.59</v>
      </c>
      <c r="Q7018" s="11">
        <f>CEILING(P7018-0.5,0.1)*10*0.15+2.3</f>
        <v>2.4499999999999997</v>
      </c>
      <c r="R7018" s="11"/>
      <c r="S7018" s="11"/>
      <c r="T7018" s="11"/>
      <c r="U7018" s="11">
        <f t="shared" si="2048"/>
        <v>2.4499999999999997</v>
      </c>
      <c r="V7018" t="s">
        <v>15</v>
      </c>
      <c r="W7018">
        <v>2.4500000000000002</v>
      </c>
      <c r="X7018" s="1" t="s">
        <v>13</v>
      </c>
    </row>
    <row r="7019" spans="1:24" x14ac:dyDescent="0.25">
      <c r="A7019" s="1" t="str">
        <f t="shared" si="2052"/>
        <v>卡卡杜-凤凰仓</v>
      </c>
      <c r="B7019" s="1" t="str">
        <f>"CK2024101737"</f>
        <v>CK2024101737</v>
      </c>
      <c r="C7019" s="1" t="str">
        <f>"DD202410176088"</f>
        <v>DD202410176088</v>
      </c>
      <c r="D7019" s="1" t="str">
        <f>"CK2024101712553"</f>
        <v>CK2024101712553</v>
      </c>
      <c r="E7019" s="1" t="str">
        <f>"6935088540830603086"</f>
        <v>6935088540830603086</v>
      </c>
      <c r="F7019" s="1" t="str">
        <f t="shared" si="2053"/>
        <v>花都四部-凤凰仓</v>
      </c>
      <c r="G7019" s="1" t="str">
        <f t="shared" si="2049"/>
        <v>卡卡杜个人护理店（抖店）</v>
      </c>
      <c r="H7019" s="1" t="str">
        <f t="shared" si="2054"/>
        <v>正常订单</v>
      </c>
      <c r="I7019" s="1" t="str">
        <f t="shared" si="2055"/>
        <v>已发货</v>
      </c>
      <c r="J7019" s="1" t="str">
        <f t="shared" ref="J7019:J7025" si="2058">"3"</f>
        <v>3</v>
      </c>
      <c r="K7019" s="1">
        <v>2</v>
      </c>
      <c r="L7019" s="1" t="s">
        <v>18</v>
      </c>
      <c r="M7019" s="1" t="str">
        <f>"广东省 惠州市 惠东县 黄埠镇"</f>
        <v>广东省 惠州市 惠东县 黄埠镇</v>
      </c>
      <c r="N7019" s="1" t="str">
        <f t="shared" si="2051"/>
        <v>凡华云仓-韵达-抖音</v>
      </c>
      <c r="O7019" s="5">
        <v>320175886298942</v>
      </c>
      <c r="P7019" s="6">
        <v>0.35</v>
      </c>
      <c r="Q7019" s="11">
        <v>2.2999999999999998</v>
      </c>
      <c r="R7019" s="11"/>
      <c r="S7019" s="11"/>
      <c r="T7019" s="11"/>
      <c r="U7019" s="11">
        <f t="shared" si="2048"/>
        <v>2.2999999999999998</v>
      </c>
      <c r="W7019">
        <v>2.5</v>
      </c>
      <c r="X7019" s="1" t="s">
        <v>18</v>
      </c>
    </row>
    <row r="7020" spans="1:24" x14ac:dyDescent="0.25">
      <c r="A7020" s="1" t="str">
        <f t="shared" si="2052"/>
        <v>卡卡杜-凤凰仓</v>
      </c>
      <c r="B7020" s="1" t="str">
        <f>"CK2024101738"</f>
        <v>CK2024101738</v>
      </c>
      <c r="C7020" s="1" t="str">
        <f>"DD202410176091"</f>
        <v>DD202410176091</v>
      </c>
      <c r="D7020" s="1" t="str">
        <f>"CK2024101712552"</f>
        <v>CK2024101712552</v>
      </c>
      <c r="E7020" s="1" t="str">
        <f>"6935083840364287024"</f>
        <v>6935083840364287024</v>
      </c>
      <c r="F7020" s="1" t="str">
        <f t="shared" si="2053"/>
        <v>花都四部-凤凰仓</v>
      </c>
      <c r="G7020" s="1" t="str">
        <f t="shared" si="2049"/>
        <v>卡卡杜个人护理店（抖店）</v>
      </c>
      <c r="H7020" s="1" t="str">
        <f t="shared" si="2054"/>
        <v>正常订单</v>
      </c>
      <c r="I7020" s="1" t="str">
        <f t="shared" si="2055"/>
        <v>已发货</v>
      </c>
      <c r="J7020" s="1" t="str">
        <f t="shared" si="2058"/>
        <v>3</v>
      </c>
      <c r="K7020" s="1">
        <v>2</v>
      </c>
      <c r="L7020" s="1" t="s">
        <v>24</v>
      </c>
      <c r="M7020" s="1" t="str">
        <f>"福建省 泉州市 晋江市 陈埭镇"</f>
        <v>福建省 泉州市 晋江市 陈埭镇</v>
      </c>
      <c r="N7020" s="1" t="str">
        <f t="shared" si="2051"/>
        <v>凡华云仓-韵达-抖音</v>
      </c>
      <c r="O7020" s="5">
        <v>320175886298837</v>
      </c>
      <c r="P7020" s="6">
        <v>0.35</v>
      </c>
      <c r="Q7020" s="11">
        <v>2.2999999999999998</v>
      </c>
      <c r="R7020" s="11"/>
      <c r="S7020" s="11"/>
      <c r="T7020" s="11"/>
      <c r="U7020" s="11">
        <f t="shared" si="2048"/>
        <v>2.2999999999999998</v>
      </c>
      <c r="W7020">
        <v>2.5</v>
      </c>
      <c r="X7020" s="1" t="s">
        <v>24</v>
      </c>
    </row>
    <row r="7021" spans="1:24" x14ac:dyDescent="0.25">
      <c r="A7021" s="1" t="str">
        <f t="shared" si="2052"/>
        <v>卡卡杜-凤凰仓</v>
      </c>
      <c r="B7021" s="1" t="str">
        <f>"CK2024101741"</f>
        <v>CK2024101741</v>
      </c>
      <c r="C7021" s="1" t="str">
        <f>"DD202410176094"</f>
        <v>DD202410176094</v>
      </c>
      <c r="D7021" s="1" t="str">
        <f>"CK2024101712551"</f>
        <v>CK2024101712551</v>
      </c>
      <c r="E7021" s="1" t="str">
        <f>"6935097370841847778"</f>
        <v>6935097370841847778</v>
      </c>
      <c r="F7021" s="1" t="str">
        <f t="shared" si="2053"/>
        <v>花都四部-凤凰仓</v>
      </c>
      <c r="G7021" s="1" t="str">
        <f t="shared" si="2049"/>
        <v>卡卡杜个人护理店（抖店）</v>
      </c>
      <c r="H7021" s="1" t="str">
        <f t="shared" si="2054"/>
        <v>正常订单</v>
      </c>
      <c r="I7021" s="1" t="str">
        <f t="shared" si="2055"/>
        <v>已发货</v>
      </c>
      <c r="J7021" s="1" t="str">
        <f t="shared" si="2058"/>
        <v>3</v>
      </c>
      <c r="K7021" s="1">
        <v>2</v>
      </c>
      <c r="L7021" s="1" t="s">
        <v>36</v>
      </c>
      <c r="M7021" s="1" t="str">
        <f>"安徽省 合肥市 庐江县 移湖街道"</f>
        <v>安徽省 合肥市 庐江县 移湖街道</v>
      </c>
      <c r="N7021" s="1" t="str">
        <f t="shared" si="2051"/>
        <v>凡华云仓-韵达-抖音</v>
      </c>
      <c r="O7021" s="5">
        <v>320175886298734</v>
      </c>
      <c r="P7021" s="6">
        <v>0.35</v>
      </c>
      <c r="Q7021" s="11">
        <v>2.2999999999999998</v>
      </c>
      <c r="R7021" s="11"/>
      <c r="S7021" s="11"/>
      <c r="T7021" s="11"/>
      <c r="U7021" s="11">
        <f t="shared" si="2048"/>
        <v>2.2999999999999998</v>
      </c>
      <c r="W7021">
        <v>2.5</v>
      </c>
      <c r="X7021" s="1" t="s">
        <v>36</v>
      </c>
    </row>
    <row r="7022" spans="1:24" x14ac:dyDescent="0.25">
      <c r="A7022" s="1" t="str">
        <f t="shared" si="2052"/>
        <v>卡卡杜-凤凰仓</v>
      </c>
      <c r="B7022" s="1" t="str">
        <f>"CK2024101740"</f>
        <v>CK2024101740</v>
      </c>
      <c r="C7022" s="1" t="str">
        <f>"DD202410176089"</f>
        <v>DD202410176089</v>
      </c>
      <c r="D7022" s="1" t="str">
        <f>"CK2024101712550"</f>
        <v>CK2024101712550</v>
      </c>
      <c r="E7022" s="1" t="str">
        <f>"6935088480561010480"</f>
        <v>6935088480561010480</v>
      </c>
      <c r="F7022" s="1" t="str">
        <f t="shared" si="2053"/>
        <v>花都四部-凤凰仓</v>
      </c>
      <c r="G7022" s="1" t="str">
        <f t="shared" si="2049"/>
        <v>卡卡杜个人护理店（抖店）</v>
      </c>
      <c r="H7022" s="1" t="str">
        <f t="shared" si="2054"/>
        <v>正常订单</v>
      </c>
      <c r="I7022" s="1" t="str">
        <f t="shared" si="2055"/>
        <v>已发货</v>
      </c>
      <c r="J7022" s="1" t="str">
        <f t="shared" si="2058"/>
        <v>3</v>
      </c>
      <c r="K7022" s="1">
        <v>2</v>
      </c>
      <c r="L7022" s="1" t="s">
        <v>13</v>
      </c>
      <c r="M7022" s="1" t="str">
        <f>"江苏省 泰州市 兴化市 "</f>
        <v xml:space="preserve">江苏省 泰州市 兴化市 </v>
      </c>
      <c r="N7022" s="1" t="str">
        <f t="shared" si="2051"/>
        <v>凡华云仓-韵达-抖音</v>
      </c>
      <c r="O7022" s="5">
        <v>320175886298633</v>
      </c>
      <c r="P7022" s="6">
        <v>0.35</v>
      </c>
      <c r="Q7022" s="11">
        <v>2.2999999999999998</v>
      </c>
      <c r="R7022" s="11"/>
      <c r="S7022" s="11"/>
      <c r="T7022" s="11"/>
      <c r="U7022" s="11">
        <f t="shared" si="2048"/>
        <v>2.2999999999999998</v>
      </c>
      <c r="W7022">
        <v>2.5</v>
      </c>
      <c r="X7022" s="1" t="s">
        <v>13</v>
      </c>
    </row>
    <row r="7023" spans="1:24" x14ac:dyDescent="0.25">
      <c r="A7023" s="1" t="str">
        <f t="shared" si="2052"/>
        <v>卡卡杜-凤凰仓</v>
      </c>
      <c r="B7023" s="1" t="str">
        <f>"CK2024101747"</f>
        <v>CK2024101747</v>
      </c>
      <c r="C7023" s="1" t="str">
        <f>"DD202410176102"</f>
        <v>DD202410176102</v>
      </c>
      <c r="D7023" s="1" t="str">
        <f>"CK2024101712549"</f>
        <v>CK2024101712549</v>
      </c>
      <c r="E7023" s="1" t="str">
        <f>"6935104214335035252"</f>
        <v>6935104214335035252</v>
      </c>
      <c r="F7023" s="1" t="str">
        <f t="shared" si="2053"/>
        <v>花都四部-凤凰仓</v>
      </c>
      <c r="G7023" s="1" t="str">
        <f t="shared" si="2049"/>
        <v>卡卡杜个人护理店（抖店）</v>
      </c>
      <c r="H7023" s="1" t="str">
        <f t="shared" si="2054"/>
        <v>正常订单</v>
      </c>
      <c r="I7023" s="1" t="str">
        <f t="shared" si="2055"/>
        <v>已发货</v>
      </c>
      <c r="J7023" s="1" t="str">
        <f t="shared" si="2058"/>
        <v>3</v>
      </c>
      <c r="K7023" s="1">
        <v>2</v>
      </c>
      <c r="L7023" s="1" t="s">
        <v>13</v>
      </c>
      <c r="M7023" s="1" t="str">
        <f>"江苏省 盐城市 亭湖区 毓龙街道"</f>
        <v>江苏省 盐城市 亭湖区 毓龙街道</v>
      </c>
      <c r="N7023" s="1" t="str">
        <f t="shared" si="2051"/>
        <v>凡华云仓-韵达-抖音</v>
      </c>
      <c r="O7023" s="5">
        <v>320175886298534</v>
      </c>
      <c r="P7023" s="6">
        <v>0.35</v>
      </c>
      <c r="Q7023" s="11">
        <v>2.2999999999999998</v>
      </c>
      <c r="R7023" s="11"/>
      <c r="S7023" s="11"/>
      <c r="T7023" s="11"/>
      <c r="U7023" s="11">
        <f t="shared" si="2048"/>
        <v>2.2999999999999998</v>
      </c>
      <c r="W7023">
        <v>2.5</v>
      </c>
      <c r="X7023" s="1" t="s">
        <v>13</v>
      </c>
    </row>
    <row r="7024" spans="1:24" x14ac:dyDescent="0.25">
      <c r="A7024" s="1" t="str">
        <f t="shared" si="2052"/>
        <v>卡卡杜-凤凰仓</v>
      </c>
      <c r="B7024" s="1" t="str">
        <f>"CK2024101735"</f>
        <v>CK2024101735</v>
      </c>
      <c r="C7024" s="1" t="str">
        <f>"DD202410176086"</f>
        <v>DD202410176086</v>
      </c>
      <c r="D7024" s="1" t="str">
        <f>"CK2024101712548"</f>
        <v>CK2024101712548</v>
      </c>
      <c r="E7024" s="1" t="str">
        <f>"6935090526037546183"</f>
        <v>6935090526037546183</v>
      </c>
      <c r="F7024" s="1" t="str">
        <f t="shared" si="2053"/>
        <v>花都四部-凤凰仓</v>
      </c>
      <c r="G7024" s="1" t="str">
        <f t="shared" si="2049"/>
        <v>卡卡杜个人护理店（抖店）</v>
      </c>
      <c r="H7024" s="1" t="str">
        <f t="shared" si="2054"/>
        <v>正常订单</v>
      </c>
      <c r="I7024" s="1" t="str">
        <f t="shared" si="2055"/>
        <v>已发货</v>
      </c>
      <c r="J7024" s="1" t="str">
        <f t="shared" si="2058"/>
        <v>3</v>
      </c>
      <c r="K7024" s="1">
        <v>3</v>
      </c>
      <c r="L7024" s="1" t="s">
        <v>60</v>
      </c>
      <c r="M7024" s="1" t="str">
        <f>"云南省 昆明市 五华区 红云街道"</f>
        <v>云南省 昆明市 五华区 红云街道</v>
      </c>
      <c r="N7024" s="1" t="str">
        <f t="shared" si="2051"/>
        <v>凡华云仓-韵达-抖音</v>
      </c>
      <c r="O7024" s="5">
        <v>320175886298437</v>
      </c>
      <c r="P7024" s="6">
        <v>0.34</v>
      </c>
      <c r="Q7024" s="11">
        <v>2.2999999999999998</v>
      </c>
      <c r="R7024" s="11"/>
      <c r="S7024" s="11"/>
      <c r="T7024" s="11"/>
      <c r="U7024" s="11">
        <f t="shared" si="2048"/>
        <v>2.2999999999999998</v>
      </c>
      <c r="W7024">
        <v>2.5</v>
      </c>
      <c r="X7024" s="1" t="s">
        <v>60</v>
      </c>
    </row>
    <row r="7025" spans="1:24" x14ac:dyDescent="0.25">
      <c r="A7025" s="1" t="str">
        <f t="shared" si="2052"/>
        <v>卡卡杜-凤凰仓</v>
      </c>
      <c r="B7025" s="1" t="str">
        <f>"CK2024101736"</f>
        <v>CK2024101736</v>
      </c>
      <c r="C7025" s="1" t="str">
        <f>"DD202410176087"</f>
        <v>DD202410176087</v>
      </c>
      <c r="D7025" s="1" t="str">
        <f>"CK2024101712547"</f>
        <v>CK2024101712547</v>
      </c>
      <c r="E7025" s="1" t="str">
        <f>"6935106309083567992"</f>
        <v>6935106309083567992</v>
      </c>
      <c r="F7025" s="1" t="str">
        <f t="shared" si="2053"/>
        <v>花都四部-凤凰仓</v>
      </c>
      <c r="G7025" s="1" t="str">
        <f t="shared" si="2049"/>
        <v>卡卡杜个人护理店（抖店）</v>
      </c>
      <c r="H7025" s="1" t="str">
        <f t="shared" si="2054"/>
        <v>正常订单</v>
      </c>
      <c r="I7025" s="1" t="str">
        <f t="shared" si="2055"/>
        <v>已发货</v>
      </c>
      <c r="J7025" s="1" t="str">
        <f t="shared" si="2058"/>
        <v>3</v>
      </c>
      <c r="K7025" s="1">
        <v>2</v>
      </c>
      <c r="L7025" s="1" t="s">
        <v>18</v>
      </c>
      <c r="M7025" s="1" t="str">
        <f>"广东省 深圳市 龙华区 观湖街道"</f>
        <v>广东省 深圳市 龙华区 观湖街道</v>
      </c>
      <c r="N7025" s="1" t="str">
        <f t="shared" si="2051"/>
        <v>凡华云仓-韵达-抖音</v>
      </c>
      <c r="O7025" s="5">
        <v>320175886298342</v>
      </c>
      <c r="P7025" s="6">
        <v>0.35</v>
      </c>
      <c r="Q7025" s="11">
        <v>2.2999999999999998</v>
      </c>
      <c r="R7025" s="11"/>
      <c r="S7025" s="11"/>
      <c r="T7025" s="11"/>
      <c r="U7025" s="11">
        <f t="shared" si="2048"/>
        <v>2.2999999999999998</v>
      </c>
      <c r="W7025">
        <v>2.5</v>
      </c>
      <c r="X7025" s="1" t="s">
        <v>18</v>
      </c>
    </row>
    <row r="7026" spans="1:24" x14ac:dyDescent="0.25">
      <c r="A7026" s="1" t="str">
        <f t="shared" si="2052"/>
        <v>卡卡杜-凤凰仓</v>
      </c>
      <c r="B7026" s="1" t="str">
        <f>"CK2024101730"</f>
        <v>CK2024101730</v>
      </c>
      <c r="C7026" s="1" t="str">
        <f>"DD202410176081"</f>
        <v>DD202410176081</v>
      </c>
      <c r="D7026" s="1" t="str">
        <f>"CK2024101712546"</f>
        <v>CK2024101712546</v>
      </c>
      <c r="E7026" s="1" t="str">
        <f>"6935099475787650916"</f>
        <v>6935099475787650916</v>
      </c>
      <c r="F7026" s="1" t="str">
        <f t="shared" si="2053"/>
        <v>花都四部-凤凰仓</v>
      </c>
      <c r="G7026" s="1" t="str">
        <f t="shared" si="2049"/>
        <v>卡卡杜个人护理店（抖店）</v>
      </c>
      <c r="H7026" s="1" t="str">
        <f t="shared" si="2054"/>
        <v>正常订单</v>
      </c>
      <c r="I7026" s="1" t="str">
        <f t="shared" si="2055"/>
        <v>已发货</v>
      </c>
      <c r="J7026" s="1" t="str">
        <f>"5"</f>
        <v>5</v>
      </c>
      <c r="K7026" s="1">
        <v>2</v>
      </c>
      <c r="L7026" s="1" t="s">
        <v>16</v>
      </c>
      <c r="M7026" s="1" t="str">
        <f>"河北省 衡水市 深州市 深州镇"</f>
        <v>河北省 衡水市 深州市 深州镇</v>
      </c>
      <c r="N7026" s="1" t="str">
        <f t="shared" si="2051"/>
        <v>凡华云仓-韵达-抖音</v>
      </c>
      <c r="O7026" s="5">
        <v>320175862875622</v>
      </c>
      <c r="P7026" s="6">
        <v>0.59</v>
      </c>
      <c r="Q7026" s="11">
        <f>CEILING(P7026-0.5,0.1)*10*0.15+2.3</f>
        <v>2.4499999999999997</v>
      </c>
      <c r="R7026" s="11"/>
      <c r="S7026" s="11"/>
      <c r="T7026" s="11"/>
      <c r="U7026" s="11">
        <f t="shared" si="2048"/>
        <v>2.4499999999999997</v>
      </c>
      <c r="V7026" t="s">
        <v>15</v>
      </c>
      <c r="W7026">
        <v>2.4500000000000002</v>
      </c>
      <c r="X7026" s="1" t="s">
        <v>16</v>
      </c>
    </row>
    <row r="7027" spans="1:24" x14ac:dyDescent="0.25">
      <c r="A7027" s="1" t="str">
        <f t="shared" si="2052"/>
        <v>卡卡杜-凤凰仓</v>
      </c>
      <c r="B7027" s="1" t="str">
        <f>"CK2024101751"</f>
        <v>CK2024101751</v>
      </c>
      <c r="C7027" s="1" t="str">
        <f>"DD202410176101"</f>
        <v>DD202410176101</v>
      </c>
      <c r="D7027" s="1" t="str">
        <f>"CK2024101712545"</f>
        <v>CK2024101712545</v>
      </c>
      <c r="E7027" s="1" t="str">
        <f>"6935083874129679711"</f>
        <v>6935083874129679711</v>
      </c>
      <c r="F7027" s="1" t="str">
        <f t="shared" si="2053"/>
        <v>花都四部-凤凰仓</v>
      </c>
      <c r="G7027" s="1" t="str">
        <f t="shared" si="2049"/>
        <v>卡卡杜个人护理店（抖店）</v>
      </c>
      <c r="H7027" s="1" t="str">
        <f t="shared" si="2054"/>
        <v>正常订单</v>
      </c>
      <c r="I7027" s="1" t="str">
        <f t="shared" si="2055"/>
        <v>已发货</v>
      </c>
      <c r="J7027" s="1" t="str">
        <f t="shared" ref="J7027:J7065" si="2059">"3"</f>
        <v>3</v>
      </c>
      <c r="K7027" s="1">
        <v>2</v>
      </c>
      <c r="L7027" s="1" t="s">
        <v>13</v>
      </c>
      <c r="M7027" s="1" t="str">
        <f>"江苏省 宿迁市 宿城区 双庄街道"</f>
        <v>江苏省 宿迁市 宿城区 双庄街道</v>
      </c>
      <c r="N7027" s="1" t="str">
        <f t="shared" si="2051"/>
        <v>凡华云仓-韵达-抖音</v>
      </c>
      <c r="O7027" s="5">
        <v>320175862875523</v>
      </c>
      <c r="P7027" s="6">
        <v>0.35</v>
      </c>
      <c r="Q7027" s="11">
        <v>2.2999999999999998</v>
      </c>
      <c r="R7027" s="11"/>
      <c r="S7027" s="11"/>
      <c r="T7027" s="11"/>
      <c r="U7027" s="11">
        <f t="shared" si="2048"/>
        <v>2.2999999999999998</v>
      </c>
      <c r="W7027">
        <v>2.5</v>
      </c>
      <c r="X7027" s="1" t="s">
        <v>13</v>
      </c>
    </row>
    <row r="7028" spans="1:24" x14ac:dyDescent="0.25">
      <c r="A7028" s="1" t="str">
        <f t="shared" si="2052"/>
        <v>卡卡杜-凤凰仓</v>
      </c>
      <c r="B7028" s="1" t="str">
        <f>"CK2024101786"</f>
        <v>CK2024101786</v>
      </c>
      <c r="C7028" s="1" t="str">
        <f>"DD202410176137"</f>
        <v>DD202410176137</v>
      </c>
      <c r="D7028" s="1" t="str">
        <f>"CK2024101712544"</f>
        <v>CK2024101712544</v>
      </c>
      <c r="E7028" s="1" t="str">
        <f>"6935079468802381277"</f>
        <v>6935079468802381277</v>
      </c>
      <c r="F7028" s="1" t="str">
        <f t="shared" si="2053"/>
        <v>花都四部-凤凰仓</v>
      </c>
      <c r="G7028" s="1" t="str">
        <f t="shared" si="2049"/>
        <v>卡卡杜个人护理店（抖店）</v>
      </c>
      <c r="H7028" s="1" t="str">
        <f t="shared" si="2054"/>
        <v>正常订单</v>
      </c>
      <c r="I7028" s="1" t="str">
        <f t="shared" si="2055"/>
        <v>已发货</v>
      </c>
      <c r="J7028" s="1" t="str">
        <f t="shared" si="2059"/>
        <v>3</v>
      </c>
      <c r="K7028" s="1">
        <v>2</v>
      </c>
      <c r="L7028" s="1" t="s">
        <v>13</v>
      </c>
      <c r="M7028" s="1" t="str">
        <f>"江苏省 徐州市 鼓楼区 琵琶街道"</f>
        <v>江苏省 徐州市 鼓楼区 琵琶街道</v>
      </c>
      <c r="N7028" s="1" t="str">
        <f t="shared" si="2051"/>
        <v>凡华云仓-韵达-抖音</v>
      </c>
      <c r="O7028" s="5">
        <v>320175862875426</v>
      </c>
      <c r="P7028" s="6">
        <v>0.35</v>
      </c>
      <c r="Q7028" s="11">
        <v>2.2999999999999998</v>
      </c>
      <c r="R7028" s="11"/>
      <c r="S7028" s="11"/>
      <c r="T7028" s="11"/>
      <c r="U7028" s="11">
        <f t="shared" si="2048"/>
        <v>2.2999999999999998</v>
      </c>
      <c r="W7028">
        <v>2.5</v>
      </c>
      <c r="X7028" s="1" t="s">
        <v>13</v>
      </c>
    </row>
    <row r="7029" spans="1:24" x14ac:dyDescent="0.25">
      <c r="A7029" s="1" t="str">
        <f t="shared" si="2052"/>
        <v>卡卡杜-凤凰仓</v>
      </c>
      <c r="B7029" s="1" t="str">
        <f>"CK20241017102"</f>
        <v>CK20241017102</v>
      </c>
      <c r="C7029" s="1" t="str">
        <f>"DD202410176155"</f>
        <v>DD202410176155</v>
      </c>
      <c r="D7029" s="1" t="str">
        <f>"CK2024101712543"</f>
        <v>CK2024101712543</v>
      </c>
      <c r="E7029" s="1" t="str">
        <f>"6935106249323058550"</f>
        <v>6935106249323058550</v>
      </c>
      <c r="F7029" s="1" t="str">
        <f t="shared" si="2053"/>
        <v>花都四部-凤凰仓</v>
      </c>
      <c r="G7029" s="1" t="str">
        <f t="shared" si="2049"/>
        <v>卡卡杜个人护理店（抖店）</v>
      </c>
      <c r="H7029" s="1" t="str">
        <f t="shared" si="2054"/>
        <v>正常订单</v>
      </c>
      <c r="I7029" s="1" t="str">
        <f t="shared" si="2055"/>
        <v>已发货</v>
      </c>
      <c r="J7029" s="1" t="str">
        <f t="shared" si="2059"/>
        <v>3</v>
      </c>
      <c r="K7029" s="1">
        <v>2</v>
      </c>
      <c r="L7029" s="1" t="s">
        <v>13</v>
      </c>
      <c r="M7029" s="1" t="str">
        <f>"江苏省 徐州市 丰县 中阳里街道"</f>
        <v>江苏省 徐州市 丰县 中阳里街道</v>
      </c>
      <c r="N7029" s="1" t="str">
        <f t="shared" si="2051"/>
        <v>凡华云仓-韵达-抖音</v>
      </c>
      <c r="O7029" s="5">
        <v>320175862875331</v>
      </c>
      <c r="P7029" s="6">
        <v>0.35</v>
      </c>
      <c r="Q7029" s="11">
        <v>2.2999999999999998</v>
      </c>
      <c r="R7029" s="11"/>
      <c r="S7029" s="11"/>
      <c r="T7029" s="11"/>
      <c r="U7029" s="11">
        <f t="shared" si="2048"/>
        <v>2.2999999999999998</v>
      </c>
      <c r="W7029">
        <v>2.5</v>
      </c>
      <c r="X7029" s="1" t="s">
        <v>13</v>
      </c>
    </row>
    <row r="7030" spans="1:24" x14ac:dyDescent="0.25">
      <c r="A7030" s="1" t="str">
        <f t="shared" si="2052"/>
        <v>卡卡杜-凤凰仓</v>
      </c>
      <c r="B7030" s="1" t="str">
        <f>"CK20241017103"</f>
        <v>CK20241017103</v>
      </c>
      <c r="C7030" s="1" t="str">
        <f>"DD202410176153"</f>
        <v>DD202410176153</v>
      </c>
      <c r="D7030" s="1" t="str">
        <f>"CK2024101712542"</f>
        <v>CK2024101712542</v>
      </c>
      <c r="E7030" s="1" t="str">
        <f>"6935083826019833214"</f>
        <v>6935083826019833214</v>
      </c>
      <c r="F7030" s="1" t="str">
        <f t="shared" si="2053"/>
        <v>花都四部-凤凰仓</v>
      </c>
      <c r="G7030" s="1" t="str">
        <f t="shared" si="2049"/>
        <v>卡卡杜个人护理店（抖店）</v>
      </c>
      <c r="H7030" s="1" t="str">
        <f t="shared" si="2054"/>
        <v>正常订单</v>
      </c>
      <c r="I7030" s="1" t="str">
        <f t="shared" si="2055"/>
        <v>已发货</v>
      </c>
      <c r="J7030" s="1" t="str">
        <f t="shared" si="2059"/>
        <v>3</v>
      </c>
      <c r="K7030" s="1">
        <v>2</v>
      </c>
      <c r="L7030" s="1" t="s">
        <v>36</v>
      </c>
      <c r="M7030" s="1" t="str">
        <f>"安徽省 阜阳市 颍泉区 中市街道"</f>
        <v>安徽省 阜阳市 颍泉区 中市街道</v>
      </c>
      <c r="N7030" s="1" t="str">
        <f t="shared" si="2051"/>
        <v>凡华云仓-韵达-抖音</v>
      </c>
      <c r="O7030" s="5">
        <v>320175862875238</v>
      </c>
      <c r="P7030" s="6">
        <v>0.35</v>
      </c>
      <c r="Q7030" s="11">
        <v>2.2999999999999998</v>
      </c>
      <c r="R7030" s="11"/>
      <c r="S7030" s="11"/>
      <c r="T7030" s="11"/>
      <c r="U7030" s="11">
        <f t="shared" si="2048"/>
        <v>2.2999999999999998</v>
      </c>
      <c r="W7030">
        <v>2.5</v>
      </c>
      <c r="X7030" s="1" t="s">
        <v>36</v>
      </c>
    </row>
    <row r="7031" spans="1:24" x14ac:dyDescent="0.25">
      <c r="A7031" s="1" t="str">
        <f t="shared" si="2052"/>
        <v>卡卡杜-凤凰仓</v>
      </c>
      <c r="B7031" s="1" t="str">
        <f>"CK2024101794"</f>
        <v>CK2024101794</v>
      </c>
      <c r="C7031" s="1" t="str">
        <f>"DD202410176145"</f>
        <v>DD202410176145</v>
      </c>
      <c r="D7031" s="1" t="str">
        <f>"CK2024101712541"</f>
        <v>CK2024101712541</v>
      </c>
      <c r="E7031" s="1" t="str">
        <f>"6935104194265487259"</f>
        <v>6935104194265487259</v>
      </c>
      <c r="F7031" s="1" t="str">
        <f t="shared" si="2053"/>
        <v>花都四部-凤凰仓</v>
      </c>
      <c r="G7031" s="1" t="str">
        <f t="shared" si="2049"/>
        <v>卡卡杜个人护理店（抖店）</v>
      </c>
      <c r="H7031" s="1" t="str">
        <f t="shared" si="2054"/>
        <v>正常订单</v>
      </c>
      <c r="I7031" s="1" t="str">
        <f t="shared" si="2055"/>
        <v>已发货</v>
      </c>
      <c r="J7031" s="1" t="str">
        <f t="shared" si="2059"/>
        <v>3</v>
      </c>
      <c r="K7031" s="1">
        <v>2</v>
      </c>
      <c r="L7031" s="1" t="s">
        <v>80</v>
      </c>
      <c r="M7031" s="1" t="str">
        <f>"河南省 新乡市 红旗区 渠东街道"</f>
        <v>河南省 新乡市 红旗区 渠东街道</v>
      </c>
      <c r="N7031" s="1" t="str">
        <f t="shared" si="2051"/>
        <v>凡华云仓-韵达-抖音</v>
      </c>
      <c r="O7031" s="5">
        <v>320175862875147</v>
      </c>
      <c r="P7031" s="6">
        <v>0.35</v>
      </c>
      <c r="Q7031" s="11">
        <v>2.2999999999999998</v>
      </c>
      <c r="R7031" s="11"/>
      <c r="S7031" s="11"/>
      <c r="T7031" s="11"/>
      <c r="U7031" s="11">
        <f t="shared" si="2048"/>
        <v>2.2999999999999998</v>
      </c>
      <c r="W7031">
        <v>2.5</v>
      </c>
      <c r="X7031" s="1" t="s">
        <v>80</v>
      </c>
    </row>
    <row r="7032" spans="1:24" x14ac:dyDescent="0.25">
      <c r="A7032" s="1" t="str">
        <f t="shared" si="2052"/>
        <v>卡卡杜-凤凰仓</v>
      </c>
      <c r="B7032" s="1" t="str">
        <f>"CK2024101799"</f>
        <v>CK2024101799</v>
      </c>
      <c r="C7032" s="1" t="str">
        <f>"DD202410176151"</f>
        <v>DD202410176151</v>
      </c>
      <c r="D7032" s="1" t="str">
        <f>"CK2024101712540"</f>
        <v>CK2024101712540</v>
      </c>
      <c r="E7032" s="1" t="str">
        <f>"6935081543382668428"</f>
        <v>6935081543382668428</v>
      </c>
      <c r="F7032" s="1" t="str">
        <f t="shared" si="2053"/>
        <v>花都四部-凤凰仓</v>
      </c>
      <c r="G7032" s="1" t="str">
        <f t="shared" si="2049"/>
        <v>卡卡杜个人护理店（抖店）</v>
      </c>
      <c r="H7032" s="1" t="str">
        <f t="shared" si="2054"/>
        <v>正常订单</v>
      </c>
      <c r="I7032" s="1" t="str">
        <f t="shared" si="2055"/>
        <v>已发货</v>
      </c>
      <c r="J7032" s="1" t="str">
        <f t="shared" si="2059"/>
        <v>3</v>
      </c>
      <c r="K7032" s="1">
        <v>2</v>
      </c>
      <c r="L7032" s="1" t="s">
        <v>27</v>
      </c>
      <c r="M7032" s="1" t="str">
        <f>"贵州省 黔南布依族苗族自治州 独山县 百泉镇"</f>
        <v>贵州省 黔南布依族苗族自治州 独山县 百泉镇</v>
      </c>
      <c r="N7032" s="1" t="str">
        <f t="shared" si="2051"/>
        <v>凡华云仓-韵达-抖音</v>
      </c>
      <c r="O7032" s="5">
        <v>320175862875058</v>
      </c>
      <c r="P7032" s="6">
        <v>0.35</v>
      </c>
      <c r="Q7032" s="11">
        <v>2.2999999999999998</v>
      </c>
      <c r="R7032" s="11"/>
      <c r="S7032" s="11"/>
      <c r="T7032" s="11"/>
      <c r="U7032" s="11">
        <f t="shared" si="2048"/>
        <v>2.2999999999999998</v>
      </c>
      <c r="W7032">
        <v>2.5</v>
      </c>
      <c r="X7032" s="1" t="s">
        <v>27</v>
      </c>
    </row>
    <row r="7033" spans="1:24" x14ac:dyDescent="0.25">
      <c r="A7033" s="1" t="str">
        <f t="shared" si="2052"/>
        <v>卡卡杜-凤凰仓</v>
      </c>
      <c r="B7033" s="1" t="str">
        <f>"CK20241017106"</f>
        <v>CK20241017106</v>
      </c>
      <c r="C7033" s="1" t="str">
        <f>"DD202410176156"</f>
        <v>DD202410176156</v>
      </c>
      <c r="D7033" s="1" t="str">
        <f>"CK2024101712539"</f>
        <v>CK2024101712539</v>
      </c>
      <c r="E7033" s="1" t="str">
        <f>"6935095292195378870"</f>
        <v>6935095292195378870</v>
      </c>
      <c r="F7033" s="1" t="str">
        <f t="shared" si="2053"/>
        <v>花都四部-凤凰仓</v>
      </c>
      <c r="G7033" s="1" t="str">
        <f t="shared" si="2049"/>
        <v>卡卡杜个人护理店（抖店）</v>
      </c>
      <c r="H7033" s="1" t="str">
        <f t="shared" si="2054"/>
        <v>正常订单</v>
      </c>
      <c r="I7033" s="1" t="str">
        <f t="shared" si="2055"/>
        <v>已发货</v>
      </c>
      <c r="J7033" s="1" t="str">
        <f t="shared" si="2059"/>
        <v>3</v>
      </c>
      <c r="K7033" s="1">
        <v>2</v>
      </c>
      <c r="L7033" s="1" t="s">
        <v>30</v>
      </c>
      <c r="M7033" s="1" t="str">
        <f>"山东省 潍坊市 寿光市 圣城街道"</f>
        <v>山东省 潍坊市 寿光市 圣城街道</v>
      </c>
      <c r="N7033" s="1" t="str">
        <f t="shared" si="2051"/>
        <v>凡华云仓-韵达-抖音</v>
      </c>
      <c r="O7033" s="5">
        <v>320175862874934</v>
      </c>
      <c r="P7033" s="6">
        <v>0.35</v>
      </c>
      <c r="Q7033" s="11">
        <v>2.2999999999999998</v>
      </c>
      <c r="R7033" s="11"/>
      <c r="S7033" s="11"/>
      <c r="T7033" s="11"/>
      <c r="U7033" s="11">
        <f t="shared" si="2048"/>
        <v>2.2999999999999998</v>
      </c>
      <c r="W7033">
        <v>2.5</v>
      </c>
      <c r="X7033" s="1" t="s">
        <v>30</v>
      </c>
    </row>
    <row r="7034" spans="1:24" x14ac:dyDescent="0.25">
      <c r="A7034" s="1" t="str">
        <f t="shared" si="2052"/>
        <v>卡卡杜-凤凰仓</v>
      </c>
      <c r="B7034" s="1" t="str">
        <f>"CK2024101765"</f>
        <v>CK2024101765</v>
      </c>
      <c r="C7034" s="1" t="str">
        <f>"DD202410176116"</f>
        <v>DD202410176116</v>
      </c>
      <c r="D7034" s="1" t="str">
        <f>"CK2024101712538"</f>
        <v>CK2024101712538</v>
      </c>
      <c r="E7034" s="1" t="str">
        <f>"6935088302935381757"</f>
        <v>6935088302935381757</v>
      </c>
      <c r="F7034" s="1" t="str">
        <f t="shared" si="2053"/>
        <v>花都四部-凤凰仓</v>
      </c>
      <c r="G7034" s="1" t="str">
        <f t="shared" si="2049"/>
        <v>卡卡杜个人护理店（抖店）</v>
      </c>
      <c r="H7034" s="1" t="str">
        <f t="shared" si="2054"/>
        <v>正常订单</v>
      </c>
      <c r="I7034" s="1" t="str">
        <f t="shared" si="2055"/>
        <v>已发货</v>
      </c>
      <c r="J7034" s="1" t="str">
        <f t="shared" si="2059"/>
        <v>3</v>
      </c>
      <c r="K7034" s="1">
        <v>2</v>
      </c>
      <c r="L7034" s="1" t="s">
        <v>36</v>
      </c>
      <c r="M7034" s="1" t="str">
        <f>"安徽省 宿州市 灵璧县 灵城镇"</f>
        <v>安徽省 宿州市 灵璧县 灵城镇</v>
      </c>
      <c r="N7034" s="1" t="str">
        <f t="shared" si="2051"/>
        <v>凡华云仓-韵达-抖音</v>
      </c>
      <c r="O7034" s="5">
        <v>320175862874829</v>
      </c>
      <c r="P7034" s="6">
        <v>0.35</v>
      </c>
      <c r="Q7034" s="11">
        <v>2.2999999999999998</v>
      </c>
      <c r="R7034" s="11"/>
      <c r="S7034" s="11"/>
      <c r="T7034" s="11"/>
      <c r="U7034" s="11">
        <f t="shared" si="2048"/>
        <v>2.2999999999999998</v>
      </c>
      <c r="W7034">
        <v>2.5</v>
      </c>
      <c r="X7034" s="1" t="s">
        <v>36</v>
      </c>
    </row>
    <row r="7035" spans="1:24" x14ac:dyDescent="0.25">
      <c r="A7035" s="1" t="str">
        <f t="shared" si="2052"/>
        <v>卡卡杜-凤凰仓</v>
      </c>
      <c r="B7035" s="1" t="str">
        <f>"CK20241017116"</f>
        <v>CK20241017116</v>
      </c>
      <c r="C7035" s="1" t="str">
        <f>"DD202410176165"</f>
        <v>DD202410176165</v>
      </c>
      <c r="D7035" s="1" t="str">
        <f>"CK2024101712537"</f>
        <v>CK2024101712537</v>
      </c>
      <c r="E7035" s="1" t="str">
        <f>"6935106318692325083"</f>
        <v>6935106318692325083</v>
      </c>
      <c r="F7035" s="1" t="str">
        <f t="shared" si="2053"/>
        <v>花都四部-凤凰仓</v>
      </c>
      <c r="G7035" s="1" t="str">
        <f t="shared" si="2049"/>
        <v>卡卡杜个人护理店（抖店）</v>
      </c>
      <c r="H7035" s="1" t="str">
        <f t="shared" si="2054"/>
        <v>正常订单</v>
      </c>
      <c r="I7035" s="1" t="str">
        <f t="shared" si="2055"/>
        <v>已发货</v>
      </c>
      <c r="J7035" s="1" t="str">
        <f t="shared" si="2059"/>
        <v>3</v>
      </c>
      <c r="K7035" s="1">
        <v>2</v>
      </c>
      <c r="L7035" s="1" t="s">
        <v>18</v>
      </c>
      <c r="M7035" s="1" t="str">
        <f>"广东省 东莞市 东莞市 虎门镇"</f>
        <v>广东省 东莞市 东莞市 虎门镇</v>
      </c>
      <c r="N7035" s="1" t="str">
        <f t="shared" si="2051"/>
        <v>凡华云仓-韵达-抖音</v>
      </c>
      <c r="O7035" s="5">
        <v>320175862874726</v>
      </c>
      <c r="P7035" s="6">
        <v>0.35</v>
      </c>
      <c r="Q7035" s="11">
        <v>2.2999999999999998</v>
      </c>
      <c r="R7035" s="11"/>
      <c r="S7035" s="11"/>
      <c r="T7035" s="11"/>
      <c r="U7035" s="11">
        <f t="shared" si="2048"/>
        <v>2.2999999999999998</v>
      </c>
      <c r="W7035">
        <v>2.5</v>
      </c>
      <c r="X7035" s="1" t="s">
        <v>18</v>
      </c>
    </row>
    <row r="7036" spans="1:24" x14ac:dyDescent="0.25">
      <c r="A7036" s="1" t="str">
        <f t="shared" si="2052"/>
        <v>卡卡杜-凤凰仓</v>
      </c>
      <c r="B7036" s="1" t="str">
        <f>"CK2024101739"</f>
        <v>CK2024101739</v>
      </c>
      <c r="C7036" s="1" t="str">
        <f>"DD202410176090"</f>
        <v>DD202410176090</v>
      </c>
      <c r="D7036" s="1" t="str">
        <f>"CK2024101712536"</f>
        <v>CK2024101712536</v>
      </c>
      <c r="E7036" s="1" t="str">
        <f>"6935092731122030344"</f>
        <v>6935092731122030344</v>
      </c>
      <c r="F7036" s="1" t="str">
        <f t="shared" si="2053"/>
        <v>花都四部-凤凰仓</v>
      </c>
      <c r="G7036" s="1" t="str">
        <f t="shared" si="2049"/>
        <v>卡卡杜个人护理店（抖店）</v>
      </c>
      <c r="H7036" s="1" t="str">
        <f t="shared" si="2054"/>
        <v>正常订单</v>
      </c>
      <c r="I7036" s="1" t="str">
        <f t="shared" si="2055"/>
        <v>已发货</v>
      </c>
      <c r="J7036" s="1" t="str">
        <f t="shared" si="2059"/>
        <v>3</v>
      </c>
      <c r="K7036" s="1">
        <v>2</v>
      </c>
      <c r="L7036" s="1" t="s">
        <v>109</v>
      </c>
      <c r="M7036" s="1" t="str">
        <f>"山西省 晋中市 太谷区 明星镇"</f>
        <v>山西省 晋中市 太谷区 明星镇</v>
      </c>
      <c r="N7036" s="1" t="str">
        <f t="shared" si="2051"/>
        <v>凡华云仓-韵达-抖音</v>
      </c>
      <c r="O7036" s="5">
        <v>320175883443531</v>
      </c>
      <c r="P7036" s="6">
        <v>0.35</v>
      </c>
      <c r="Q7036" s="11">
        <v>2.2999999999999998</v>
      </c>
      <c r="R7036" s="11"/>
      <c r="S7036" s="11"/>
      <c r="T7036" s="11"/>
      <c r="U7036" s="11">
        <f t="shared" si="2048"/>
        <v>2.2999999999999998</v>
      </c>
      <c r="W7036">
        <v>2.5</v>
      </c>
      <c r="X7036" s="1" t="s">
        <v>109</v>
      </c>
    </row>
    <row r="7037" spans="1:24" x14ac:dyDescent="0.25">
      <c r="A7037" s="1" t="str">
        <f t="shared" si="2052"/>
        <v>卡卡杜-凤凰仓</v>
      </c>
      <c r="B7037" s="1" t="str">
        <f>"CK2024101755"</f>
        <v>CK2024101755</v>
      </c>
      <c r="C7037" s="1" t="str">
        <f>"DD202410176106"</f>
        <v>DD202410176106</v>
      </c>
      <c r="D7037" s="1" t="str">
        <f>"CK2024101712535"</f>
        <v>CK2024101712535</v>
      </c>
      <c r="E7037" s="1" t="str">
        <f>"6935108384385078286"</f>
        <v>6935108384385078286</v>
      </c>
      <c r="F7037" s="1" t="str">
        <f t="shared" si="2053"/>
        <v>花都四部-凤凰仓</v>
      </c>
      <c r="G7037" s="1" t="str">
        <f t="shared" si="2049"/>
        <v>卡卡杜个人护理店（抖店）</v>
      </c>
      <c r="H7037" s="1" t="str">
        <f t="shared" si="2054"/>
        <v>正常订单</v>
      </c>
      <c r="I7037" s="1" t="str">
        <f t="shared" si="2055"/>
        <v>已发货</v>
      </c>
      <c r="J7037" s="1" t="str">
        <f t="shared" si="2059"/>
        <v>3</v>
      </c>
      <c r="K7037" s="1">
        <v>2</v>
      </c>
      <c r="L7037" s="1" t="s">
        <v>13</v>
      </c>
      <c r="M7037" s="1" t="str">
        <f>"江苏省 徐州市 邳州市 东湖街道"</f>
        <v>江苏省 徐州市 邳州市 东湖街道</v>
      </c>
      <c r="N7037" s="1" t="str">
        <f t="shared" si="2051"/>
        <v>凡华云仓-韵达-抖音</v>
      </c>
      <c r="O7037" s="5">
        <v>320175883443434</v>
      </c>
      <c r="P7037" s="6">
        <v>0.35</v>
      </c>
      <c r="Q7037" s="11">
        <v>2.2999999999999998</v>
      </c>
      <c r="R7037" s="11"/>
      <c r="S7037" s="11"/>
      <c r="T7037" s="11"/>
      <c r="U7037" s="11">
        <f t="shared" si="2048"/>
        <v>2.2999999999999998</v>
      </c>
      <c r="W7037">
        <v>2.5</v>
      </c>
      <c r="X7037" s="1" t="s">
        <v>13</v>
      </c>
    </row>
    <row r="7038" spans="1:24" x14ac:dyDescent="0.25">
      <c r="A7038" s="1" t="str">
        <f t="shared" si="2052"/>
        <v>卡卡杜-凤凰仓</v>
      </c>
      <c r="B7038" s="1" t="str">
        <f>"CK2024101743"</f>
        <v>CK2024101743</v>
      </c>
      <c r="C7038" s="1" t="str">
        <f>"DD202410176093"</f>
        <v>DD202410176093</v>
      </c>
      <c r="D7038" s="1" t="str">
        <f>"CK2024101712534"</f>
        <v>CK2024101712534</v>
      </c>
      <c r="E7038" s="1" t="str">
        <f>"6935108347074122885"</f>
        <v>6935108347074122885</v>
      </c>
      <c r="F7038" s="1" t="str">
        <f t="shared" si="2053"/>
        <v>花都四部-凤凰仓</v>
      </c>
      <c r="G7038" s="1" t="str">
        <f t="shared" si="2049"/>
        <v>卡卡杜个人护理店（抖店）</v>
      </c>
      <c r="H7038" s="1" t="str">
        <f t="shared" si="2054"/>
        <v>正常订单</v>
      </c>
      <c r="I7038" s="1" t="str">
        <f t="shared" si="2055"/>
        <v>已发货</v>
      </c>
      <c r="J7038" s="1" t="str">
        <f t="shared" si="2059"/>
        <v>3</v>
      </c>
      <c r="K7038" s="1">
        <v>2</v>
      </c>
      <c r="L7038" s="1" t="s">
        <v>13</v>
      </c>
      <c r="M7038" s="1" t="str">
        <f>"江苏省 宿迁市 沭阳县 沭城街道"</f>
        <v>江苏省 宿迁市 沭阳县 沭城街道</v>
      </c>
      <c r="N7038" s="1" t="str">
        <f t="shared" si="2051"/>
        <v>凡华云仓-韵达-抖音</v>
      </c>
      <c r="O7038" s="5">
        <v>320175883443339</v>
      </c>
      <c r="P7038" s="6">
        <v>0.35</v>
      </c>
      <c r="Q7038" s="11">
        <v>2.2999999999999998</v>
      </c>
      <c r="R7038" s="11"/>
      <c r="S7038" s="11"/>
      <c r="T7038" s="11"/>
      <c r="U7038" s="11">
        <f t="shared" si="2048"/>
        <v>2.2999999999999998</v>
      </c>
      <c r="W7038">
        <v>2.5</v>
      </c>
      <c r="X7038" s="1" t="s">
        <v>13</v>
      </c>
    </row>
    <row r="7039" spans="1:24" x14ac:dyDescent="0.25">
      <c r="A7039" s="1" t="str">
        <f t="shared" si="2052"/>
        <v>卡卡杜-凤凰仓</v>
      </c>
      <c r="B7039" s="1" t="str">
        <f>"CK2024101768"</f>
        <v>CK2024101768</v>
      </c>
      <c r="C7039" s="1" t="str">
        <f>"DD202410176119"</f>
        <v>DD202410176119</v>
      </c>
      <c r="D7039" s="1" t="str">
        <f>"CK2024101712533"</f>
        <v>CK2024101712533</v>
      </c>
      <c r="E7039" s="1" t="str">
        <f>"6935083794055960277"</f>
        <v>6935083794055960277</v>
      </c>
      <c r="F7039" s="1" t="str">
        <f t="shared" si="2053"/>
        <v>花都四部-凤凰仓</v>
      </c>
      <c r="G7039" s="1" t="str">
        <f t="shared" si="2049"/>
        <v>卡卡杜个人护理店（抖店）</v>
      </c>
      <c r="H7039" s="1" t="str">
        <f t="shared" si="2054"/>
        <v>正常订单</v>
      </c>
      <c r="I7039" s="1" t="str">
        <f t="shared" si="2055"/>
        <v>已发货</v>
      </c>
      <c r="J7039" s="1" t="str">
        <f t="shared" si="2059"/>
        <v>3</v>
      </c>
      <c r="K7039" s="1">
        <v>2</v>
      </c>
      <c r="L7039" s="1" t="s">
        <v>20</v>
      </c>
      <c r="M7039" s="1" t="str">
        <f>"浙江省 宁波市 海曙区 洞桥镇"</f>
        <v>浙江省 宁波市 海曙区 洞桥镇</v>
      </c>
      <c r="N7039" s="1" t="str">
        <f t="shared" si="2051"/>
        <v>凡华云仓-韵达-抖音</v>
      </c>
      <c r="O7039" s="5">
        <v>320175883443246</v>
      </c>
      <c r="P7039" s="6">
        <v>0.35</v>
      </c>
      <c r="Q7039" s="11">
        <v>2.2999999999999998</v>
      </c>
      <c r="R7039" s="11"/>
      <c r="S7039" s="11"/>
      <c r="T7039" s="11"/>
      <c r="U7039" s="11">
        <f t="shared" si="2048"/>
        <v>2.2999999999999998</v>
      </c>
      <c r="W7039">
        <v>2.5</v>
      </c>
      <c r="X7039" s="1" t="s">
        <v>20</v>
      </c>
    </row>
    <row r="7040" spans="1:24" x14ac:dyDescent="0.25">
      <c r="A7040" s="1" t="str">
        <f t="shared" si="2052"/>
        <v>卡卡杜-凤凰仓</v>
      </c>
      <c r="B7040" s="1" t="str">
        <f>"CK2024101744"</f>
        <v>CK2024101744</v>
      </c>
      <c r="C7040" s="1" t="str">
        <f>"DD202410176100"</f>
        <v>DD202410176100</v>
      </c>
      <c r="D7040" s="1" t="str">
        <f>"CK2024101712532"</f>
        <v>CK2024101712532</v>
      </c>
      <c r="E7040" s="1" t="str">
        <f>"6935088248675767750"</f>
        <v>6935088248675767750</v>
      </c>
      <c r="F7040" s="1" t="str">
        <f t="shared" si="2053"/>
        <v>花都四部-凤凰仓</v>
      </c>
      <c r="G7040" s="1" t="str">
        <f t="shared" si="2049"/>
        <v>卡卡杜个人护理店（抖店）</v>
      </c>
      <c r="H7040" s="1" t="str">
        <f t="shared" si="2054"/>
        <v>正常订单</v>
      </c>
      <c r="I7040" s="1" t="str">
        <f t="shared" si="2055"/>
        <v>已发货</v>
      </c>
      <c r="J7040" s="1" t="str">
        <f t="shared" si="2059"/>
        <v>3</v>
      </c>
      <c r="K7040" s="1">
        <v>2</v>
      </c>
      <c r="L7040" s="1" t="s">
        <v>18</v>
      </c>
      <c r="M7040" s="1" t="str">
        <f>"广东省 东莞市 东莞市 大岭山镇"</f>
        <v>广东省 东莞市 东莞市 大岭山镇</v>
      </c>
      <c r="N7040" s="1" t="str">
        <f t="shared" si="2051"/>
        <v>凡华云仓-韵达-抖音</v>
      </c>
      <c r="O7040" s="5">
        <v>320175883443155</v>
      </c>
      <c r="P7040" s="6">
        <v>0.35</v>
      </c>
      <c r="Q7040" s="11">
        <v>2.2999999999999998</v>
      </c>
      <c r="R7040" s="11"/>
      <c r="S7040" s="11"/>
      <c r="T7040" s="11"/>
      <c r="U7040" s="11">
        <f t="shared" si="2048"/>
        <v>2.2999999999999998</v>
      </c>
      <c r="W7040">
        <v>2.5</v>
      </c>
      <c r="X7040" s="1" t="s">
        <v>18</v>
      </c>
    </row>
    <row r="7041" spans="1:24" x14ac:dyDescent="0.25">
      <c r="A7041" s="1" t="str">
        <f t="shared" si="2052"/>
        <v>卡卡杜-凤凰仓</v>
      </c>
      <c r="B7041" s="1" t="str">
        <f>"CK2024101761"</f>
        <v>CK2024101761</v>
      </c>
      <c r="C7041" s="1" t="str">
        <f>"DD202410176111"</f>
        <v>DD202410176111</v>
      </c>
      <c r="D7041" s="1" t="str">
        <f>"CK2024101712531"</f>
        <v>CK2024101712531</v>
      </c>
      <c r="E7041" s="1" t="str">
        <f>"6935104140865049878"</f>
        <v>6935104140865049878</v>
      </c>
      <c r="F7041" s="1" t="str">
        <f t="shared" si="2053"/>
        <v>花都四部-凤凰仓</v>
      </c>
      <c r="G7041" s="1" t="str">
        <f t="shared" si="2049"/>
        <v>卡卡杜个人护理店（抖店）</v>
      </c>
      <c r="H7041" s="1" t="str">
        <f t="shared" si="2054"/>
        <v>正常订单</v>
      </c>
      <c r="I7041" s="1" t="str">
        <f t="shared" si="2055"/>
        <v>已发货</v>
      </c>
      <c r="J7041" s="1" t="str">
        <f t="shared" si="2059"/>
        <v>3</v>
      </c>
      <c r="K7041" s="1">
        <v>2</v>
      </c>
      <c r="L7041" s="1" t="s">
        <v>13</v>
      </c>
      <c r="M7041" s="1" t="str">
        <f>"江苏省 盐城市 建湖县 庆丰镇"</f>
        <v>江苏省 盐城市 建湖县 庆丰镇</v>
      </c>
      <c r="N7041" s="1" t="str">
        <f t="shared" si="2051"/>
        <v>凡华云仓-韵达-抖音</v>
      </c>
      <c r="O7041" s="5">
        <v>320175883443066</v>
      </c>
      <c r="P7041" s="6">
        <v>0.35</v>
      </c>
      <c r="Q7041" s="11">
        <v>2.2999999999999998</v>
      </c>
      <c r="R7041" s="11"/>
      <c r="S7041" s="11"/>
      <c r="T7041" s="11"/>
      <c r="U7041" s="11">
        <f t="shared" si="2048"/>
        <v>2.2999999999999998</v>
      </c>
      <c r="W7041">
        <v>2.5</v>
      </c>
      <c r="X7041" s="1" t="s">
        <v>13</v>
      </c>
    </row>
    <row r="7042" spans="1:24" x14ac:dyDescent="0.25">
      <c r="A7042" s="1" t="str">
        <f t="shared" si="2052"/>
        <v>卡卡杜-凤凰仓</v>
      </c>
      <c r="B7042" s="1" t="str">
        <f>"CK2024101750"</f>
        <v>CK2024101750</v>
      </c>
      <c r="C7042" s="1" t="str">
        <f>"DD202410176099"</f>
        <v>DD202410176099</v>
      </c>
      <c r="D7042" s="1" t="str">
        <f>"CK2024101712530"</f>
        <v>CK2024101712530</v>
      </c>
      <c r="E7042" s="1" t="str">
        <f>"6935085931901818048"</f>
        <v>6935085931901818048</v>
      </c>
      <c r="F7042" s="1" t="str">
        <f t="shared" si="2053"/>
        <v>花都四部-凤凰仓</v>
      </c>
      <c r="G7042" s="1" t="str">
        <f t="shared" si="2049"/>
        <v>卡卡杜个人护理店（抖店）</v>
      </c>
      <c r="H7042" s="1" t="str">
        <f t="shared" si="2054"/>
        <v>正常订单</v>
      </c>
      <c r="I7042" s="1" t="str">
        <f t="shared" si="2055"/>
        <v>已发货</v>
      </c>
      <c r="J7042" s="1" t="str">
        <f t="shared" si="2059"/>
        <v>3</v>
      </c>
      <c r="K7042" s="1">
        <v>2</v>
      </c>
      <c r="L7042" s="1" t="s">
        <v>32</v>
      </c>
      <c r="M7042" s="1" t="str">
        <f>"陕西省 西安市 未央区 "</f>
        <v xml:space="preserve">陕西省 西安市 未央区 </v>
      </c>
      <c r="N7042" s="1" t="str">
        <f t="shared" si="2051"/>
        <v>凡华云仓-韵达-抖音</v>
      </c>
      <c r="O7042" s="5">
        <v>320175883442946</v>
      </c>
      <c r="P7042" s="6">
        <v>0.35</v>
      </c>
      <c r="Q7042" s="11">
        <v>2.2999999999999998</v>
      </c>
      <c r="R7042" s="11"/>
      <c r="S7042" s="11"/>
      <c r="T7042" s="11"/>
      <c r="U7042" s="11">
        <f t="shared" si="2048"/>
        <v>2.2999999999999998</v>
      </c>
      <c r="W7042">
        <v>2.5</v>
      </c>
      <c r="X7042" s="1" t="s">
        <v>32</v>
      </c>
    </row>
    <row r="7043" spans="1:24" x14ac:dyDescent="0.25">
      <c r="A7043" s="1" t="str">
        <f t="shared" si="2052"/>
        <v>卡卡杜-凤凰仓</v>
      </c>
      <c r="B7043" s="1" t="str">
        <f>"CK2024101752"</f>
        <v>CK2024101752</v>
      </c>
      <c r="C7043" s="1" t="str">
        <f>"DD202410176104"</f>
        <v>DD202410176104</v>
      </c>
      <c r="D7043" s="1" t="str">
        <f>"CK2024101712529"</f>
        <v>CK2024101712529</v>
      </c>
      <c r="E7043" s="1" t="str">
        <f>"6935097267568645282"</f>
        <v>6935097267568645282</v>
      </c>
      <c r="F7043" s="1" t="str">
        <f t="shared" si="2053"/>
        <v>花都四部-凤凰仓</v>
      </c>
      <c r="G7043" s="1" t="str">
        <f t="shared" si="2049"/>
        <v>卡卡杜个人护理店（抖店）</v>
      </c>
      <c r="H7043" s="1" t="str">
        <f t="shared" si="2054"/>
        <v>正常订单</v>
      </c>
      <c r="I7043" s="1" t="str">
        <f t="shared" si="2055"/>
        <v>已发货</v>
      </c>
      <c r="J7043" s="1" t="str">
        <f t="shared" si="2059"/>
        <v>3</v>
      </c>
      <c r="K7043" s="1">
        <v>2</v>
      </c>
      <c r="L7043" s="1" t="s">
        <v>20</v>
      </c>
      <c r="M7043" s="1" t="str">
        <f>"浙江省 杭州市 余杭区 良渚街道"</f>
        <v>浙江省 杭州市 余杭区 良渚街道</v>
      </c>
      <c r="N7043" s="1" t="str">
        <f t="shared" si="2051"/>
        <v>凡华云仓-韵达-抖音</v>
      </c>
      <c r="O7043" s="5">
        <v>320175883442841</v>
      </c>
      <c r="P7043" s="6">
        <v>0.35</v>
      </c>
      <c r="Q7043" s="11">
        <v>2.2999999999999998</v>
      </c>
      <c r="R7043" s="11"/>
      <c r="S7043" s="11"/>
      <c r="T7043" s="11"/>
      <c r="U7043" s="11">
        <f t="shared" ref="U7043:U7106" si="2060">T7043+S7043+R7043+Q7043</f>
        <v>2.2999999999999998</v>
      </c>
      <c r="W7043">
        <v>2.5</v>
      </c>
      <c r="X7043" s="1" t="s">
        <v>20</v>
      </c>
    </row>
    <row r="7044" spans="1:24" x14ac:dyDescent="0.25">
      <c r="A7044" s="1" t="str">
        <f t="shared" si="2052"/>
        <v>卡卡杜-凤凰仓</v>
      </c>
      <c r="B7044" s="1" t="str">
        <f>"CK2024101757"</f>
        <v>CK2024101757</v>
      </c>
      <c r="C7044" s="1" t="str">
        <f>"DD202410176108"</f>
        <v>DD202410176108</v>
      </c>
      <c r="D7044" s="1" t="str">
        <f>"CK2024101712528"</f>
        <v>CK2024101712528</v>
      </c>
      <c r="E7044" s="1" t="str">
        <f>"6935097215206889384"</f>
        <v>6935097215206889384</v>
      </c>
      <c r="F7044" s="1" t="str">
        <f t="shared" si="2053"/>
        <v>花都四部-凤凰仓</v>
      </c>
      <c r="G7044" s="1" t="str">
        <f t="shared" ref="G7044:G7107" si="2061">"卡卡杜个人护理店（抖店）"</f>
        <v>卡卡杜个人护理店（抖店）</v>
      </c>
      <c r="H7044" s="1" t="str">
        <f t="shared" si="2054"/>
        <v>正常订单</v>
      </c>
      <c r="I7044" s="1" t="str">
        <f t="shared" si="2055"/>
        <v>已发货</v>
      </c>
      <c r="J7044" s="1" t="str">
        <f t="shared" si="2059"/>
        <v>3</v>
      </c>
      <c r="K7044" s="1">
        <v>2</v>
      </c>
      <c r="L7044" s="1" t="s">
        <v>30</v>
      </c>
      <c r="M7044" s="1" t="str">
        <f>"山东省 济宁市 鱼台县 滨湖街道"</f>
        <v>山东省 济宁市 鱼台县 滨湖街道</v>
      </c>
      <c r="N7044" s="1" t="str">
        <f t="shared" ref="N7044:N7107" si="2062">"凡华云仓-韵达-抖音"</f>
        <v>凡华云仓-韵达-抖音</v>
      </c>
      <c r="O7044" s="5">
        <v>320175883442738</v>
      </c>
      <c r="P7044" s="6">
        <v>0.35</v>
      </c>
      <c r="Q7044" s="11">
        <v>2.2999999999999998</v>
      </c>
      <c r="R7044" s="11"/>
      <c r="S7044" s="11"/>
      <c r="T7044" s="11"/>
      <c r="U7044" s="11">
        <f t="shared" si="2060"/>
        <v>2.2999999999999998</v>
      </c>
      <c r="W7044">
        <v>2.5</v>
      </c>
      <c r="X7044" s="1" t="s">
        <v>30</v>
      </c>
    </row>
    <row r="7045" spans="1:24" x14ac:dyDescent="0.25">
      <c r="A7045" s="1" t="str">
        <f t="shared" ref="A7045:A7108" si="2063">"卡卡杜-凤凰仓"</f>
        <v>卡卡杜-凤凰仓</v>
      </c>
      <c r="B7045" s="1" t="str">
        <f>"CK2024101762"</f>
        <v>CK2024101762</v>
      </c>
      <c r="C7045" s="1" t="str">
        <f>"DD202410176112"</f>
        <v>DD202410176112</v>
      </c>
      <c r="D7045" s="1" t="str">
        <f>"CK2024101712527"</f>
        <v>CK2024101712527</v>
      </c>
      <c r="E7045" s="1" t="str">
        <f>"6935108257133434787"</f>
        <v>6935108257133434787</v>
      </c>
      <c r="F7045" s="1" t="str">
        <f t="shared" ref="F7045:F7108" si="2064">"花都四部-凤凰仓"</f>
        <v>花都四部-凤凰仓</v>
      </c>
      <c r="G7045" s="1" t="str">
        <f t="shared" si="2061"/>
        <v>卡卡杜个人护理店（抖店）</v>
      </c>
      <c r="H7045" s="1" t="str">
        <f t="shared" ref="H7045:H7108" si="2065">"正常订单"</f>
        <v>正常订单</v>
      </c>
      <c r="I7045" s="1" t="str">
        <f t="shared" ref="I7045:I7108" si="2066">"已发货"</f>
        <v>已发货</v>
      </c>
      <c r="J7045" s="1" t="str">
        <f t="shared" si="2059"/>
        <v>3</v>
      </c>
      <c r="K7045" s="1">
        <v>2</v>
      </c>
      <c r="L7045" s="1" t="s">
        <v>13</v>
      </c>
      <c r="M7045" s="1" t="str">
        <f>"江苏省 常州市 天宁区 青龙街道"</f>
        <v>江苏省 常州市 天宁区 青龙街道</v>
      </c>
      <c r="N7045" s="1" t="str">
        <f t="shared" si="2062"/>
        <v>凡华云仓-韵达-抖音</v>
      </c>
      <c r="O7045" s="5">
        <v>320175883442637</v>
      </c>
      <c r="P7045" s="6">
        <v>0.35</v>
      </c>
      <c r="Q7045" s="11">
        <v>2.2999999999999998</v>
      </c>
      <c r="R7045" s="11"/>
      <c r="S7045" s="11"/>
      <c r="T7045" s="11"/>
      <c r="U7045" s="11">
        <f t="shared" si="2060"/>
        <v>2.2999999999999998</v>
      </c>
      <c r="W7045">
        <v>2.5</v>
      </c>
      <c r="X7045" s="1" t="s">
        <v>13</v>
      </c>
    </row>
    <row r="7046" spans="1:24" x14ac:dyDescent="0.25">
      <c r="A7046" s="1" t="str">
        <f t="shared" si="2063"/>
        <v>卡卡杜-凤凰仓</v>
      </c>
      <c r="B7046" s="1" t="str">
        <f>"CK2024101754"</f>
        <v>CK2024101754</v>
      </c>
      <c r="C7046" s="1" t="str">
        <f>"DD202410176105"</f>
        <v>DD202410176105</v>
      </c>
      <c r="D7046" s="1" t="str">
        <f>"CK2024101712526"</f>
        <v>CK2024101712526</v>
      </c>
      <c r="E7046" s="1" t="str">
        <f>"6935086019230831628"</f>
        <v>6935086019230831628</v>
      </c>
      <c r="F7046" s="1" t="str">
        <f t="shared" si="2064"/>
        <v>花都四部-凤凰仓</v>
      </c>
      <c r="G7046" s="1" t="str">
        <f t="shared" si="2061"/>
        <v>卡卡杜个人护理店（抖店）</v>
      </c>
      <c r="H7046" s="1" t="str">
        <f t="shared" si="2065"/>
        <v>正常订单</v>
      </c>
      <c r="I7046" s="1" t="str">
        <f t="shared" si="2066"/>
        <v>已发货</v>
      </c>
      <c r="J7046" s="1" t="str">
        <f t="shared" si="2059"/>
        <v>3</v>
      </c>
      <c r="K7046" s="1">
        <v>2</v>
      </c>
      <c r="L7046" s="1" t="s">
        <v>30</v>
      </c>
      <c r="M7046" s="1" t="str">
        <f>"山东省 济南市 章丘区 双山街道"</f>
        <v>山东省 济南市 章丘区 双山街道</v>
      </c>
      <c r="N7046" s="1" t="str">
        <f t="shared" si="2062"/>
        <v>凡华云仓-韵达-抖音</v>
      </c>
      <c r="O7046" s="5">
        <v>320175878568814</v>
      </c>
      <c r="P7046" s="6">
        <v>0.35</v>
      </c>
      <c r="Q7046" s="11">
        <v>2.2999999999999998</v>
      </c>
      <c r="R7046" s="11"/>
      <c r="S7046" s="11"/>
      <c r="T7046" s="11"/>
      <c r="U7046" s="11">
        <f t="shared" si="2060"/>
        <v>2.2999999999999998</v>
      </c>
      <c r="W7046">
        <v>2.5</v>
      </c>
      <c r="X7046" s="1" t="s">
        <v>30</v>
      </c>
    </row>
    <row r="7047" spans="1:24" x14ac:dyDescent="0.25">
      <c r="A7047" s="1" t="str">
        <f t="shared" si="2063"/>
        <v>卡卡杜-凤凰仓</v>
      </c>
      <c r="B7047" s="1" t="str">
        <f>"CK2024101758"</f>
        <v>CK2024101758</v>
      </c>
      <c r="C7047" s="1" t="str">
        <f>"DD202410176109"</f>
        <v>DD202410176109</v>
      </c>
      <c r="D7047" s="1" t="str">
        <f>"CK2024101712525"</f>
        <v>CK2024101712525</v>
      </c>
      <c r="E7047" s="1" t="str">
        <f>"6935079537460974962"</f>
        <v>6935079537460974962</v>
      </c>
      <c r="F7047" s="1" t="str">
        <f t="shared" si="2064"/>
        <v>花都四部-凤凰仓</v>
      </c>
      <c r="G7047" s="1" t="str">
        <f t="shared" si="2061"/>
        <v>卡卡杜个人护理店（抖店）</v>
      </c>
      <c r="H7047" s="1" t="str">
        <f t="shared" si="2065"/>
        <v>正常订单</v>
      </c>
      <c r="I7047" s="1" t="str">
        <f t="shared" si="2066"/>
        <v>已发货</v>
      </c>
      <c r="J7047" s="1" t="str">
        <f t="shared" si="2059"/>
        <v>3</v>
      </c>
      <c r="K7047" s="1">
        <v>2</v>
      </c>
      <c r="L7047" s="1" t="s">
        <v>80</v>
      </c>
      <c r="M7047" s="1" t="str">
        <f>"河南省 郑州市 二七区 "</f>
        <v xml:space="preserve">河南省 郑州市 二七区 </v>
      </c>
      <c r="N7047" s="1" t="str">
        <f t="shared" si="2062"/>
        <v>凡华云仓-韵达-抖音</v>
      </c>
      <c r="O7047" s="5">
        <v>320175878568711</v>
      </c>
      <c r="P7047" s="6">
        <v>0.35</v>
      </c>
      <c r="Q7047" s="11">
        <v>2.2999999999999998</v>
      </c>
      <c r="R7047" s="11"/>
      <c r="S7047" s="11"/>
      <c r="T7047" s="11"/>
      <c r="U7047" s="11">
        <f t="shared" si="2060"/>
        <v>2.2999999999999998</v>
      </c>
      <c r="W7047">
        <v>2.5</v>
      </c>
      <c r="X7047" s="1" t="s">
        <v>80</v>
      </c>
    </row>
    <row r="7048" spans="1:24" x14ac:dyDescent="0.25">
      <c r="A7048" s="1" t="str">
        <f t="shared" si="2063"/>
        <v>卡卡杜-凤凰仓</v>
      </c>
      <c r="B7048" s="1" t="str">
        <f>"CK2024101745"</f>
        <v>CK2024101745</v>
      </c>
      <c r="C7048" s="1" t="str">
        <f>"DD202410176095"</f>
        <v>DD202410176095</v>
      </c>
      <c r="D7048" s="1" t="str">
        <f>"CK2024101712524"</f>
        <v>CK2024101712524</v>
      </c>
      <c r="E7048" s="1" t="str">
        <f>"6935081437384414591"</f>
        <v>6935081437384414591</v>
      </c>
      <c r="F7048" s="1" t="str">
        <f t="shared" si="2064"/>
        <v>花都四部-凤凰仓</v>
      </c>
      <c r="G7048" s="1" t="str">
        <f t="shared" si="2061"/>
        <v>卡卡杜个人护理店（抖店）</v>
      </c>
      <c r="H7048" s="1" t="str">
        <f t="shared" si="2065"/>
        <v>正常订单</v>
      </c>
      <c r="I7048" s="1" t="str">
        <f t="shared" si="2066"/>
        <v>已发货</v>
      </c>
      <c r="J7048" s="1" t="str">
        <f t="shared" si="2059"/>
        <v>3</v>
      </c>
      <c r="K7048" s="1">
        <v>2</v>
      </c>
      <c r="L7048" s="1" t="s">
        <v>13</v>
      </c>
      <c r="M7048" s="1" t="str">
        <f>"江苏省 徐州市 贾汪区 老矿街道"</f>
        <v>江苏省 徐州市 贾汪区 老矿街道</v>
      </c>
      <c r="N7048" s="1" t="str">
        <f t="shared" si="2062"/>
        <v>凡华云仓-韵达-抖音</v>
      </c>
      <c r="O7048" s="5">
        <v>320175878568610</v>
      </c>
      <c r="P7048" s="6">
        <v>0.35</v>
      </c>
      <c r="Q7048" s="11">
        <v>2.2999999999999998</v>
      </c>
      <c r="R7048" s="11"/>
      <c r="S7048" s="11"/>
      <c r="T7048" s="11"/>
      <c r="U7048" s="11">
        <f t="shared" si="2060"/>
        <v>2.2999999999999998</v>
      </c>
      <c r="W7048">
        <v>2.5</v>
      </c>
      <c r="X7048" s="1" t="s">
        <v>13</v>
      </c>
    </row>
    <row r="7049" spans="1:24" x14ac:dyDescent="0.25">
      <c r="A7049" s="1" t="str">
        <f t="shared" si="2063"/>
        <v>卡卡杜-凤凰仓</v>
      </c>
      <c r="B7049" s="1" t="str">
        <f>"CK2024101756"</f>
        <v>CK2024101756</v>
      </c>
      <c r="C7049" s="1" t="str">
        <f>"DD202410176107"</f>
        <v>DD202410176107</v>
      </c>
      <c r="D7049" s="1" t="str">
        <f>"CK2024101712523"</f>
        <v>CK2024101712523</v>
      </c>
      <c r="E7049" s="1" t="str">
        <f>"6935086001218459171"</f>
        <v>6935086001218459171</v>
      </c>
      <c r="F7049" s="1" t="str">
        <f t="shared" si="2064"/>
        <v>花都四部-凤凰仓</v>
      </c>
      <c r="G7049" s="1" t="str">
        <f t="shared" si="2061"/>
        <v>卡卡杜个人护理店（抖店）</v>
      </c>
      <c r="H7049" s="1" t="str">
        <f t="shared" si="2065"/>
        <v>正常订单</v>
      </c>
      <c r="I7049" s="1" t="str">
        <f t="shared" si="2066"/>
        <v>已发货</v>
      </c>
      <c r="J7049" s="1" t="str">
        <f t="shared" si="2059"/>
        <v>3</v>
      </c>
      <c r="K7049" s="1">
        <v>2</v>
      </c>
      <c r="L7049" s="1" t="s">
        <v>13</v>
      </c>
      <c r="M7049" s="1" t="str">
        <f>"江苏省 宿迁市 宿城区 陈集镇"</f>
        <v>江苏省 宿迁市 宿城区 陈集镇</v>
      </c>
      <c r="N7049" s="1" t="str">
        <f t="shared" si="2062"/>
        <v>凡华云仓-韵达-抖音</v>
      </c>
      <c r="O7049" s="5">
        <v>320175878568511</v>
      </c>
      <c r="P7049" s="6">
        <v>0.35</v>
      </c>
      <c r="Q7049" s="11">
        <v>2.2999999999999998</v>
      </c>
      <c r="R7049" s="11"/>
      <c r="S7049" s="11"/>
      <c r="T7049" s="11"/>
      <c r="U7049" s="11">
        <f t="shared" si="2060"/>
        <v>2.2999999999999998</v>
      </c>
      <c r="W7049">
        <v>2.5</v>
      </c>
      <c r="X7049" s="1" t="s">
        <v>13</v>
      </c>
    </row>
    <row r="7050" spans="1:24" x14ac:dyDescent="0.25">
      <c r="A7050" s="1" t="str">
        <f t="shared" si="2063"/>
        <v>卡卡杜-凤凰仓</v>
      </c>
      <c r="B7050" s="1" t="str">
        <f>"CK2024101763"</f>
        <v>CK2024101763</v>
      </c>
      <c r="C7050" s="1" t="str">
        <f>"DD202410176114"</f>
        <v>DD202410176114</v>
      </c>
      <c r="D7050" s="1" t="str">
        <f>"CK2024101712522"</f>
        <v>CK2024101712522</v>
      </c>
      <c r="E7050" s="1" t="str">
        <f>"6935088377847355153"</f>
        <v>6935088377847355153</v>
      </c>
      <c r="F7050" s="1" t="str">
        <f t="shared" si="2064"/>
        <v>花都四部-凤凰仓</v>
      </c>
      <c r="G7050" s="1" t="str">
        <f t="shared" si="2061"/>
        <v>卡卡杜个人护理店（抖店）</v>
      </c>
      <c r="H7050" s="1" t="str">
        <f t="shared" si="2065"/>
        <v>正常订单</v>
      </c>
      <c r="I7050" s="1" t="str">
        <f t="shared" si="2066"/>
        <v>已发货</v>
      </c>
      <c r="J7050" s="1" t="str">
        <f t="shared" si="2059"/>
        <v>3</v>
      </c>
      <c r="K7050" s="1">
        <v>2</v>
      </c>
      <c r="L7050" s="1" t="s">
        <v>92</v>
      </c>
      <c r="M7050" s="1" t="str">
        <f>"辽宁省 大连市 甘井子区 凌水街道"</f>
        <v>辽宁省 大连市 甘井子区 凌水街道</v>
      </c>
      <c r="N7050" s="1" t="str">
        <f t="shared" si="2062"/>
        <v>凡华云仓-韵达-抖音</v>
      </c>
      <c r="O7050" s="5">
        <v>320175878568414</v>
      </c>
      <c r="P7050" s="6">
        <v>0.35</v>
      </c>
      <c r="Q7050" s="11">
        <v>2.2999999999999998</v>
      </c>
      <c r="R7050" s="11"/>
      <c r="S7050" s="11"/>
      <c r="T7050" s="11"/>
      <c r="U7050" s="11">
        <f t="shared" si="2060"/>
        <v>2.2999999999999998</v>
      </c>
      <c r="W7050">
        <v>2.5</v>
      </c>
      <c r="X7050" s="1" t="s">
        <v>92</v>
      </c>
    </row>
    <row r="7051" spans="1:24" x14ac:dyDescent="0.25">
      <c r="A7051" s="1" t="str">
        <f t="shared" si="2063"/>
        <v>卡卡杜-凤凰仓</v>
      </c>
      <c r="B7051" s="1" t="str">
        <f>"CK20241017100"</f>
        <v>CK20241017100</v>
      </c>
      <c r="C7051" s="1" t="str">
        <f>"DD202410176150"</f>
        <v>DD202410176150</v>
      </c>
      <c r="D7051" s="1" t="str">
        <f>"CK2024101712521"</f>
        <v>CK2024101712521</v>
      </c>
      <c r="E7051" s="1" t="str">
        <f>"6935083820171531342"</f>
        <v>6935083820171531342</v>
      </c>
      <c r="F7051" s="1" t="str">
        <f t="shared" si="2064"/>
        <v>花都四部-凤凰仓</v>
      </c>
      <c r="G7051" s="1" t="str">
        <f t="shared" si="2061"/>
        <v>卡卡杜个人护理店（抖店）</v>
      </c>
      <c r="H7051" s="1" t="str">
        <f t="shared" si="2065"/>
        <v>正常订单</v>
      </c>
      <c r="I7051" s="1" t="str">
        <f t="shared" si="2066"/>
        <v>已发货</v>
      </c>
      <c r="J7051" s="1" t="str">
        <f t="shared" si="2059"/>
        <v>3</v>
      </c>
      <c r="K7051" s="1">
        <v>2</v>
      </c>
      <c r="L7051" s="1" t="s">
        <v>109</v>
      </c>
      <c r="M7051" s="1" t="str">
        <f>"山西省 运城市 新绛县 "</f>
        <v xml:space="preserve">山西省 运城市 新绛县 </v>
      </c>
      <c r="N7051" s="1" t="str">
        <f t="shared" si="2062"/>
        <v>凡华云仓-韵达-抖音</v>
      </c>
      <c r="O7051" s="5">
        <v>320175878568319</v>
      </c>
      <c r="P7051" s="6">
        <v>0.35</v>
      </c>
      <c r="Q7051" s="11">
        <v>2.2999999999999998</v>
      </c>
      <c r="R7051" s="11"/>
      <c r="S7051" s="11"/>
      <c r="T7051" s="11"/>
      <c r="U7051" s="11">
        <f t="shared" si="2060"/>
        <v>2.2999999999999998</v>
      </c>
      <c r="W7051">
        <v>2.5</v>
      </c>
      <c r="X7051" s="1" t="s">
        <v>109</v>
      </c>
    </row>
    <row r="7052" spans="1:24" x14ac:dyDescent="0.25">
      <c r="A7052" s="1" t="str">
        <f t="shared" si="2063"/>
        <v>卡卡杜-凤凰仓</v>
      </c>
      <c r="B7052" s="1" t="str">
        <f>"CK2024101753"</f>
        <v>CK2024101753</v>
      </c>
      <c r="C7052" s="1" t="str">
        <f>"DD202410176103"</f>
        <v>DD202410176103</v>
      </c>
      <c r="D7052" s="1" t="str">
        <f>"CK2024101712520"</f>
        <v>CK2024101712520</v>
      </c>
      <c r="E7052" s="1" t="str">
        <f>"6935079429010232974"</f>
        <v>6935079429010232974</v>
      </c>
      <c r="F7052" s="1" t="str">
        <f t="shared" si="2064"/>
        <v>花都四部-凤凰仓</v>
      </c>
      <c r="G7052" s="1" t="str">
        <f t="shared" si="2061"/>
        <v>卡卡杜个人护理店（抖店）</v>
      </c>
      <c r="H7052" s="1" t="str">
        <f t="shared" si="2065"/>
        <v>正常订单</v>
      </c>
      <c r="I7052" s="1" t="str">
        <f t="shared" si="2066"/>
        <v>已发货</v>
      </c>
      <c r="J7052" s="1" t="str">
        <f t="shared" si="2059"/>
        <v>3</v>
      </c>
      <c r="K7052" s="1">
        <v>2</v>
      </c>
      <c r="L7052" s="1" t="s">
        <v>13</v>
      </c>
      <c r="M7052" s="1" t="str">
        <f>"江苏省 宿迁市 泗阳县 众兴街道"</f>
        <v>江苏省 宿迁市 泗阳县 众兴街道</v>
      </c>
      <c r="N7052" s="1" t="str">
        <f t="shared" si="2062"/>
        <v>凡华云仓-韵达-抖音</v>
      </c>
      <c r="O7052" s="5">
        <v>320175878568226</v>
      </c>
      <c r="P7052" s="6">
        <v>0.35</v>
      </c>
      <c r="Q7052" s="11">
        <v>2.2999999999999998</v>
      </c>
      <c r="R7052" s="11"/>
      <c r="S7052" s="11"/>
      <c r="T7052" s="11"/>
      <c r="U7052" s="11">
        <f t="shared" si="2060"/>
        <v>2.2999999999999998</v>
      </c>
      <c r="W7052">
        <v>2.5</v>
      </c>
      <c r="X7052" s="1" t="s">
        <v>13</v>
      </c>
    </row>
    <row r="7053" spans="1:24" x14ac:dyDescent="0.25">
      <c r="A7053" s="1" t="str">
        <f t="shared" si="2063"/>
        <v>卡卡杜-凤凰仓</v>
      </c>
      <c r="B7053" s="1" t="str">
        <f>"CK20241017104"</f>
        <v>CK20241017104</v>
      </c>
      <c r="C7053" s="1" t="str">
        <f>"DD202410176157"</f>
        <v>DD202410176157</v>
      </c>
      <c r="D7053" s="1" t="str">
        <f>"CK2024101712519"</f>
        <v>CK2024101712519</v>
      </c>
      <c r="E7053" s="1" t="str">
        <f>"6935077265871017824"</f>
        <v>6935077265871017824</v>
      </c>
      <c r="F7053" s="1" t="str">
        <f t="shared" si="2064"/>
        <v>花都四部-凤凰仓</v>
      </c>
      <c r="G7053" s="1" t="str">
        <f t="shared" si="2061"/>
        <v>卡卡杜个人护理店（抖店）</v>
      </c>
      <c r="H7053" s="1" t="str">
        <f t="shared" si="2065"/>
        <v>正常订单</v>
      </c>
      <c r="I7053" s="1" t="str">
        <f t="shared" si="2066"/>
        <v>已发货</v>
      </c>
      <c r="J7053" s="1" t="str">
        <f t="shared" si="2059"/>
        <v>3</v>
      </c>
      <c r="K7053" s="1">
        <v>2</v>
      </c>
      <c r="L7053" s="1" t="s">
        <v>30</v>
      </c>
      <c r="M7053" s="1" t="str">
        <f>"山东省 济宁市 汶上县 中都街道"</f>
        <v>山东省 济宁市 汶上县 中都街道</v>
      </c>
      <c r="N7053" s="1" t="str">
        <f t="shared" si="2062"/>
        <v>凡华云仓-韵达-抖音</v>
      </c>
      <c r="O7053" s="5">
        <v>320175878568135</v>
      </c>
      <c r="P7053" s="6">
        <v>0.35</v>
      </c>
      <c r="Q7053" s="11">
        <v>2.2999999999999998</v>
      </c>
      <c r="R7053" s="11"/>
      <c r="S7053" s="11"/>
      <c r="T7053" s="11"/>
      <c r="U7053" s="11">
        <f t="shared" si="2060"/>
        <v>2.2999999999999998</v>
      </c>
      <c r="W7053">
        <v>2.5</v>
      </c>
      <c r="X7053" s="1" t="s">
        <v>30</v>
      </c>
    </row>
    <row r="7054" spans="1:24" x14ac:dyDescent="0.25">
      <c r="A7054" s="1" t="str">
        <f t="shared" si="2063"/>
        <v>卡卡杜-凤凰仓</v>
      </c>
      <c r="B7054" s="1" t="str">
        <f>"CK2024101779"</f>
        <v>CK2024101779</v>
      </c>
      <c r="C7054" s="1" t="str">
        <f>"DD202410176131"</f>
        <v>DD202410176131</v>
      </c>
      <c r="D7054" s="1" t="str">
        <f>"CK2024101712518"</f>
        <v>CK2024101712518</v>
      </c>
      <c r="E7054" s="1" t="str">
        <f>"6935099200665687320"</f>
        <v>6935099200665687320</v>
      </c>
      <c r="F7054" s="1" t="str">
        <f t="shared" si="2064"/>
        <v>花都四部-凤凰仓</v>
      </c>
      <c r="G7054" s="1" t="str">
        <f t="shared" si="2061"/>
        <v>卡卡杜个人护理店（抖店）</v>
      </c>
      <c r="H7054" s="1" t="str">
        <f t="shared" si="2065"/>
        <v>正常订单</v>
      </c>
      <c r="I7054" s="1" t="str">
        <f t="shared" si="2066"/>
        <v>已发货</v>
      </c>
      <c r="J7054" s="1" t="str">
        <f t="shared" si="2059"/>
        <v>3</v>
      </c>
      <c r="K7054" s="1">
        <v>2</v>
      </c>
      <c r="L7054" s="1" t="s">
        <v>24</v>
      </c>
      <c r="M7054" s="1" t="str">
        <f>"福建省 龙岩市 新罗区 西陂街道"</f>
        <v>福建省 龙岩市 新罗区 西陂街道</v>
      </c>
      <c r="N7054" s="1" t="str">
        <f t="shared" si="2062"/>
        <v>凡华云仓-韵达-抖音</v>
      </c>
      <c r="O7054" s="5">
        <v>320175878568046</v>
      </c>
      <c r="P7054" s="6">
        <v>0.35</v>
      </c>
      <c r="Q7054" s="11">
        <v>2.2999999999999998</v>
      </c>
      <c r="R7054" s="11"/>
      <c r="S7054" s="11"/>
      <c r="T7054" s="11"/>
      <c r="U7054" s="11">
        <f t="shared" si="2060"/>
        <v>2.2999999999999998</v>
      </c>
      <c r="W7054">
        <v>2.5</v>
      </c>
      <c r="X7054" s="1" t="s">
        <v>24</v>
      </c>
    </row>
    <row r="7055" spans="1:24" x14ac:dyDescent="0.25">
      <c r="A7055" s="1" t="str">
        <f t="shared" si="2063"/>
        <v>卡卡杜-凤凰仓</v>
      </c>
      <c r="B7055" s="1" t="str">
        <f>"CK2024101771"</f>
        <v>CK2024101771</v>
      </c>
      <c r="C7055" s="1" t="str">
        <f>"DD202410176121"</f>
        <v>DD202410176121</v>
      </c>
      <c r="D7055" s="1" t="str">
        <f>"CK2024101712517"</f>
        <v>CK2024101712517</v>
      </c>
      <c r="E7055" s="1" t="str">
        <f>"6935106131882546838"</f>
        <v>6935106131882546838</v>
      </c>
      <c r="F7055" s="1" t="str">
        <f t="shared" si="2064"/>
        <v>花都四部-凤凰仓</v>
      </c>
      <c r="G7055" s="1" t="str">
        <f t="shared" si="2061"/>
        <v>卡卡杜个人护理店（抖店）</v>
      </c>
      <c r="H7055" s="1" t="str">
        <f t="shared" si="2065"/>
        <v>正常订单</v>
      </c>
      <c r="I7055" s="1" t="str">
        <f t="shared" si="2066"/>
        <v>已发货</v>
      </c>
      <c r="J7055" s="1" t="str">
        <f t="shared" si="2059"/>
        <v>3</v>
      </c>
      <c r="K7055" s="1">
        <v>2</v>
      </c>
      <c r="L7055" s="1" t="s">
        <v>52</v>
      </c>
      <c r="M7055" s="1" t="str">
        <f>"甘肃省 兰州市 七里河区 "</f>
        <v xml:space="preserve">甘肃省 兰州市 七里河区 </v>
      </c>
      <c r="N7055" s="1" t="str">
        <f t="shared" si="2062"/>
        <v>凡华云仓-韵达-抖音</v>
      </c>
      <c r="O7055" s="5">
        <v>320175878567916</v>
      </c>
      <c r="P7055" s="6">
        <v>0.35</v>
      </c>
      <c r="Q7055" s="11">
        <v>2.2999999999999998</v>
      </c>
      <c r="R7055" s="11"/>
      <c r="S7055" s="11"/>
      <c r="T7055" s="11"/>
      <c r="U7055" s="11">
        <f t="shared" si="2060"/>
        <v>2.2999999999999998</v>
      </c>
      <c r="W7055">
        <v>2.5</v>
      </c>
      <c r="X7055" s="1" t="s">
        <v>52</v>
      </c>
    </row>
    <row r="7056" spans="1:24" x14ac:dyDescent="0.25">
      <c r="A7056" s="1" t="str">
        <f t="shared" si="2063"/>
        <v>卡卡杜-凤凰仓</v>
      </c>
      <c r="B7056" s="1" t="str">
        <f>"CK2024101777"</f>
        <v>CK2024101777</v>
      </c>
      <c r="C7056" s="1" t="str">
        <f>"DD202410176127"</f>
        <v>DD202410176127</v>
      </c>
      <c r="D7056" s="1" t="str">
        <f>"CK2024101712516"</f>
        <v>CK2024101712516</v>
      </c>
      <c r="E7056" s="1" t="str">
        <f>"6935077079853962774"</f>
        <v>6935077079853962774</v>
      </c>
      <c r="F7056" s="1" t="str">
        <f t="shared" si="2064"/>
        <v>花都四部-凤凰仓</v>
      </c>
      <c r="G7056" s="1" t="str">
        <f t="shared" si="2061"/>
        <v>卡卡杜个人护理店（抖店）</v>
      </c>
      <c r="H7056" s="1" t="str">
        <f t="shared" si="2065"/>
        <v>正常订单</v>
      </c>
      <c r="I7056" s="1" t="str">
        <f t="shared" si="2066"/>
        <v>已发货</v>
      </c>
      <c r="J7056" s="1" t="str">
        <f t="shared" si="2059"/>
        <v>3</v>
      </c>
      <c r="K7056" s="1">
        <v>2</v>
      </c>
      <c r="L7056" s="1" t="s">
        <v>36</v>
      </c>
      <c r="M7056" s="1" t="str">
        <f>"安徽省 阜阳市 界首市 东城街道"</f>
        <v>安徽省 阜阳市 界首市 东城街道</v>
      </c>
      <c r="N7056" s="1" t="str">
        <f t="shared" si="2062"/>
        <v>凡华云仓-韵达-抖音</v>
      </c>
      <c r="O7056" s="5">
        <v>320175875786508</v>
      </c>
      <c r="P7056" s="6">
        <v>0.35</v>
      </c>
      <c r="Q7056" s="11">
        <v>2.2999999999999998</v>
      </c>
      <c r="R7056" s="11"/>
      <c r="S7056" s="11"/>
      <c r="T7056" s="11"/>
      <c r="U7056" s="11">
        <f t="shared" si="2060"/>
        <v>2.2999999999999998</v>
      </c>
      <c r="W7056">
        <v>2.5</v>
      </c>
      <c r="X7056" s="1" t="s">
        <v>36</v>
      </c>
    </row>
    <row r="7057" spans="1:24" x14ac:dyDescent="0.25">
      <c r="A7057" s="1" t="str">
        <f t="shared" si="2063"/>
        <v>卡卡杜-凤凰仓</v>
      </c>
      <c r="B7057" s="1" t="str">
        <f>"CK2024101766"</f>
        <v>CK2024101766</v>
      </c>
      <c r="C7057" s="1" t="str">
        <f>"DD202410176118"</f>
        <v>DD202410176118</v>
      </c>
      <c r="D7057" s="1" t="str">
        <f>"CK2024101712515"</f>
        <v>CK2024101712515</v>
      </c>
      <c r="E7057" s="1" t="str">
        <f>"6935095111299372370"</f>
        <v>6935095111299372370</v>
      </c>
      <c r="F7057" s="1" t="str">
        <f t="shared" si="2064"/>
        <v>花都四部-凤凰仓</v>
      </c>
      <c r="G7057" s="1" t="str">
        <f t="shared" si="2061"/>
        <v>卡卡杜个人护理店（抖店）</v>
      </c>
      <c r="H7057" s="1" t="str">
        <f t="shared" si="2065"/>
        <v>正常订单</v>
      </c>
      <c r="I7057" s="1" t="str">
        <f t="shared" si="2066"/>
        <v>已发货</v>
      </c>
      <c r="J7057" s="1" t="str">
        <f t="shared" si="2059"/>
        <v>3</v>
      </c>
      <c r="K7057" s="1">
        <v>2</v>
      </c>
      <c r="L7057" s="1" t="s">
        <v>13</v>
      </c>
      <c r="M7057" s="1" t="str">
        <f>"江苏省 泰州市 兴化市 垛田街道"</f>
        <v>江苏省 泰州市 兴化市 垛田街道</v>
      </c>
      <c r="N7057" s="1" t="str">
        <f t="shared" si="2062"/>
        <v>凡华云仓-韵达-抖音</v>
      </c>
      <c r="O7057" s="5">
        <v>320175875786411</v>
      </c>
      <c r="P7057" s="6">
        <v>0.35</v>
      </c>
      <c r="Q7057" s="11">
        <v>2.2999999999999998</v>
      </c>
      <c r="R7057" s="11"/>
      <c r="S7057" s="11"/>
      <c r="T7057" s="11"/>
      <c r="U7057" s="11">
        <f t="shared" si="2060"/>
        <v>2.2999999999999998</v>
      </c>
      <c r="W7057">
        <v>2.5</v>
      </c>
      <c r="X7057" s="1" t="s">
        <v>13</v>
      </c>
    </row>
    <row r="7058" spans="1:24" x14ac:dyDescent="0.25">
      <c r="A7058" s="1" t="str">
        <f t="shared" si="2063"/>
        <v>卡卡杜-凤凰仓</v>
      </c>
      <c r="B7058" s="1" t="str">
        <f>"CK20241017110"</f>
        <v>CK20241017110</v>
      </c>
      <c r="C7058" s="1" t="str">
        <f>"DD202410176161"</f>
        <v>DD202410176161</v>
      </c>
      <c r="D7058" s="1" t="str">
        <f>"CK2024101712514"</f>
        <v>CK2024101712514</v>
      </c>
      <c r="E7058" s="1" t="str">
        <f>"6935088251100468441"</f>
        <v>6935088251100468441</v>
      </c>
      <c r="F7058" s="1" t="str">
        <f t="shared" si="2064"/>
        <v>花都四部-凤凰仓</v>
      </c>
      <c r="G7058" s="1" t="str">
        <f t="shared" si="2061"/>
        <v>卡卡杜个人护理店（抖店）</v>
      </c>
      <c r="H7058" s="1" t="str">
        <f t="shared" si="2065"/>
        <v>正常订单</v>
      </c>
      <c r="I7058" s="1" t="str">
        <f t="shared" si="2066"/>
        <v>已发货</v>
      </c>
      <c r="J7058" s="1" t="str">
        <f t="shared" si="2059"/>
        <v>3</v>
      </c>
      <c r="K7058" s="1">
        <v>2</v>
      </c>
      <c r="L7058" s="1" t="s">
        <v>36</v>
      </c>
      <c r="M7058" s="1" t="str">
        <f>"安徽省 滁州市 凤阳县 "</f>
        <v xml:space="preserve">安徽省 滁州市 凤阳县 </v>
      </c>
      <c r="N7058" s="1" t="str">
        <f t="shared" si="2062"/>
        <v>凡华云仓-韵达-抖音</v>
      </c>
      <c r="O7058" s="5">
        <v>320175875786316</v>
      </c>
      <c r="P7058" s="6">
        <v>0.35</v>
      </c>
      <c r="Q7058" s="11">
        <v>2.2999999999999998</v>
      </c>
      <c r="R7058" s="11"/>
      <c r="S7058" s="11"/>
      <c r="T7058" s="11"/>
      <c r="U7058" s="11">
        <f t="shared" si="2060"/>
        <v>2.2999999999999998</v>
      </c>
      <c r="W7058">
        <v>2.5</v>
      </c>
      <c r="X7058" s="1" t="s">
        <v>36</v>
      </c>
    </row>
    <row r="7059" spans="1:24" x14ac:dyDescent="0.25">
      <c r="A7059" s="1" t="str">
        <f t="shared" si="2063"/>
        <v>卡卡杜-凤凰仓</v>
      </c>
      <c r="B7059" s="1" t="str">
        <f>"CK2024101767"</f>
        <v>CK2024101767</v>
      </c>
      <c r="C7059" s="1" t="str">
        <f>"DD202410176117"</f>
        <v>DD202410176117</v>
      </c>
      <c r="D7059" s="1" t="str">
        <f>"CK2024101712513"</f>
        <v>CK2024101712513</v>
      </c>
      <c r="E7059" s="1" t="str">
        <f>"6935088282798396659"</f>
        <v>6935088282798396659</v>
      </c>
      <c r="F7059" s="1" t="str">
        <f t="shared" si="2064"/>
        <v>花都四部-凤凰仓</v>
      </c>
      <c r="G7059" s="1" t="str">
        <f t="shared" si="2061"/>
        <v>卡卡杜个人护理店（抖店）</v>
      </c>
      <c r="H7059" s="1" t="str">
        <f t="shared" si="2065"/>
        <v>正常订单</v>
      </c>
      <c r="I7059" s="1" t="str">
        <f t="shared" si="2066"/>
        <v>已发货</v>
      </c>
      <c r="J7059" s="1" t="str">
        <f t="shared" si="2059"/>
        <v>3</v>
      </c>
      <c r="K7059" s="1">
        <v>2</v>
      </c>
      <c r="L7059" s="1" t="s">
        <v>13</v>
      </c>
      <c r="M7059" s="1" t="str">
        <f>"江苏省 徐州市 睢宁县 睢城街道"</f>
        <v>江苏省 徐州市 睢宁县 睢城街道</v>
      </c>
      <c r="N7059" s="1" t="str">
        <f t="shared" si="2062"/>
        <v>凡华云仓-韵达-抖音</v>
      </c>
      <c r="O7059" s="5">
        <v>320175875786223</v>
      </c>
      <c r="P7059" s="6">
        <v>0.35</v>
      </c>
      <c r="Q7059" s="11">
        <v>2.2999999999999998</v>
      </c>
      <c r="R7059" s="11"/>
      <c r="S7059" s="11"/>
      <c r="T7059" s="11"/>
      <c r="U7059" s="11">
        <f t="shared" si="2060"/>
        <v>2.2999999999999998</v>
      </c>
      <c r="W7059">
        <v>2.5</v>
      </c>
      <c r="X7059" s="1" t="s">
        <v>13</v>
      </c>
    </row>
    <row r="7060" spans="1:24" x14ac:dyDescent="0.25">
      <c r="A7060" s="1" t="str">
        <f t="shared" si="2063"/>
        <v>卡卡杜-凤凰仓</v>
      </c>
      <c r="B7060" s="1" t="str">
        <f>"CK2024101769"</f>
        <v>CK2024101769</v>
      </c>
      <c r="C7060" s="1" t="str">
        <f>"DD202410176120"</f>
        <v>DD202410176120</v>
      </c>
      <c r="D7060" s="1" t="str">
        <f>"CK2024101712512"</f>
        <v>CK2024101712512</v>
      </c>
      <c r="E7060" s="1" t="str">
        <f>"6935081284972057647"</f>
        <v>6935081284972057647</v>
      </c>
      <c r="F7060" s="1" t="str">
        <f t="shared" si="2064"/>
        <v>花都四部-凤凰仓</v>
      </c>
      <c r="G7060" s="1" t="str">
        <f t="shared" si="2061"/>
        <v>卡卡杜个人护理店（抖店）</v>
      </c>
      <c r="H7060" s="1" t="str">
        <f t="shared" si="2065"/>
        <v>正常订单</v>
      </c>
      <c r="I7060" s="1" t="str">
        <f t="shared" si="2066"/>
        <v>已发货</v>
      </c>
      <c r="J7060" s="1" t="str">
        <f t="shared" si="2059"/>
        <v>3</v>
      </c>
      <c r="K7060" s="1">
        <v>2</v>
      </c>
      <c r="L7060" s="1" t="s">
        <v>13</v>
      </c>
      <c r="M7060" s="1" t="str">
        <f>"江苏省 无锡市 江阴市 周庄镇"</f>
        <v>江苏省 无锡市 江阴市 周庄镇</v>
      </c>
      <c r="N7060" s="1" t="str">
        <f t="shared" si="2062"/>
        <v>凡华云仓-韵达-抖音</v>
      </c>
      <c r="O7060" s="5">
        <v>320175875786132</v>
      </c>
      <c r="P7060" s="6">
        <v>0.35</v>
      </c>
      <c r="Q7060" s="11">
        <v>2.2999999999999998</v>
      </c>
      <c r="R7060" s="11"/>
      <c r="S7060" s="11"/>
      <c r="T7060" s="11"/>
      <c r="U7060" s="11">
        <f t="shared" si="2060"/>
        <v>2.2999999999999998</v>
      </c>
      <c r="W7060">
        <v>2.5</v>
      </c>
      <c r="X7060" s="1" t="s">
        <v>13</v>
      </c>
    </row>
    <row r="7061" spans="1:24" x14ac:dyDescent="0.25">
      <c r="A7061" s="1" t="str">
        <f t="shared" si="2063"/>
        <v>卡卡杜-凤凰仓</v>
      </c>
      <c r="B7061" s="1" t="str">
        <f>"CK2024101793"</f>
        <v>CK2024101793</v>
      </c>
      <c r="C7061" s="1" t="str">
        <f>"DD202410176144"</f>
        <v>DD202410176144</v>
      </c>
      <c r="D7061" s="1" t="str">
        <f>"CK2024101712511"</f>
        <v>CK2024101712511</v>
      </c>
      <c r="E7061" s="1" t="str">
        <f>"6935106094600950953"</f>
        <v>6935106094600950953</v>
      </c>
      <c r="F7061" s="1" t="str">
        <f t="shared" si="2064"/>
        <v>花都四部-凤凰仓</v>
      </c>
      <c r="G7061" s="1" t="str">
        <f t="shared" si="2061"/>
        <v>卡卡杜个人护理店（抖店）</v>
      </c>
      <c r="H7061" s="1" t="str">
        <f t="shared" si="2065"/>
        <v>正常订单</v>
      </c>
      <c r="I7061" s="1" t="str">
        <f t="shared" si="2066"/>
        <v>已发货</v>
      </c>
      <c r="J7061" s="1" t="str">
        <f t="shared" si="2059"/>
        <v>3</v>
      </c>
      <c r="K7061" s="1">
        <v>2</v>
      </c>
      <c r="L7061" s="1" t="s">
        <v>36</v>
      </c>
      <c r="M7061" s="1" t="str">
        <f>"安徽省 阜阳市 界首市 东城街道"</f>
        <v>安徽省 阜阳市 界首市 东城街道</v>
      </c>
      <c r="N7061" s="1" t="str">
        <f t="shared" si="2062"/>
        <v>凡华云仓-韵达-抖音</v>
      </c>
      <c r="O7061" s="5">
        <v>320175875786043</v>
      </c>
      <c r="P7061" s="6">
        <v>0.35</v>
      </c>
      <c r="Q7061" s="11">
        <v>2.2999999999999998</v>
      </c>
      <c r="R7061" s="11"/>
      <c r="S7061" s="11"/>
      <c r="T7061" s="11"/>
      <c r="U7061" s="11">
        <f t="shared" si="2060"/>
        <v>2.2999999999999998</v>
      </c>
      <c r="W7061">
        <v>2.5</v>
      </c>
      <c r="X7061" s="1" t="s">
        <v>36</v>
      </c>
    </row>
    <row r="7062" spans="1:24" x14ac:dyDescent="0.25">
      <c r="A7062" s="1" t="str">
        <f t="shared" si="2063"/>
        <v>卡卡杜-凤凰仓</v>
      </c>
      <c r="B7062" s="1" t="str">
        <f>"CK2024101764"</f>
        <v>CK2024101764</v>
      </c>
      <c r="C7062" s="1" t="str">
        <f>"DD202410176113"</f>
        <v>DD202410176113</v>
      </c>
      <c r="D7062" s="1" t="str">
        <f>"CK2024101712510"</f>
        <v>CK2024101712510</v>
      </c>
      <c r="E7062" s="1" t="str">
        <f>"6935108181255328799"</f>
        <v>6935108181255328799</v>
      </c>
      <c r="F7062" s="1" t="str">
        <f t="shared" si="2064"/>
        <v>花都四部-凤凰仓</v>
      </c>
      <c r="G7062" s="1" t="str">
        <f t="shared" si="2061"/>
        <v>卡卡杜个人护理店（抖店）</v>
      </c>
      <c r="H7062" s="1" t="str">
        <f t="shared" si="2065"/>
        <v>正常订单</v>
      </c>
      <c r="I7062" s="1" t="str">
        <f t="shared" si="2066"/>
        <v>已发货</v>
      </c>
      <c r="J7062" s="1" t="str">
        <f t="shared" si="2059"/>
        <v>3</v>
      </c>
      <c r="K7062" s="1">
        <v>2</v>
      </c>
      <c r="L7062" s="1" t="s">
        <v>740</v>
      </c>
      <c r="M7062" s="1" t="str">
        <f>"宁夏回族自治区 吴忠市 青铜峡市 小坝镇"</f>
        <v>宁夏回族自治区 吴忠市 青铜峡市 小坝镇</v>
      </c>
      <c r="N7062" s="1" t="str">
        <f t="shared" si="2062"/>
        <v>凡华云仓-韵达-抖音</v>
      </c>
      <c r="O7062" s="5">
        <v>320175875785917</v>
      </c>
      <c r="P7062" s="6">
        <v>0.35</v>
      </c>
      <c r="Q7062" s="11">
        <v>2.2999999999999998</v>
      </c>
      <c r="R7062" s="11"/>
      <c r="S7062" s="11"/>
      <c r="T7062" s="11"/>
      <c r="U7062" s="11">
        <f t="shared" si="2060"/>
        <v>2.2999999999999998</v>
      </c>
      <c r="W7062">
        <v>2.5</v>
      </c>
      <c r="X7062" s="1" t="s">
        <v>740</v>
      </c>
    </row>
    <row r="7063" spans="1:24" x14ac:dyDescent="0.25">
      <c r="A7063" s="1" t="str">
        <f t="shared" si="2063"/>
        <v>卡卡杜-凤凰仓</v>
      </c>
      <c r="B7063" s="1" t="str">
        <f>"CK2024101770"</f>
        <v>CK2024101770</v>
      </c>
      <c r="C7063" s="1" t="str">
        <f>"DD202410176122"</f>
        <v>DD202410176122</v>
      </c>
      <c r="D7063" s="1" t="str">
        <f>"CK2024101712509"</f>
        <v>CK2024101712509</v>
      </c>
      <c r="E7063" s="1" t="str">
        <f>"6935085796540749481"</f>
        <v>6935085796540749481</v>
      </c>
      <c r="F7063" s="1" t="str">
        <f t="shared" si="2064"/>
        <v>花都四部-凤凰仓</v>
      </c>
      <c r="G7063" s="1" t="str">
        <f t="shared" si="2061"/>
        <v>卡卡杜个人护理店（抖店）</v>
      </c>
      <c r="H7063" s="1" t="str">
        <f t="shared" si="2065"/>
        <v>正常订单</v>
      </c>
      <c r="I7063" s="1" t="str">
        <f t="shared" si="2066"/>
        <v>已发货</v>
      </c>
      <c r="J7063" s="1" t="str">
        <f t="shared" si="2059"/>
        <v>3</v>
      </c>
      <c r="K7063" s="1">
        <v>2</v>
      </c>
      <c r="L7063" s="1" t="s">
        <v>13</v>
      </c>
      <c r="M7063" s="1" t="str">
        <f>"江苏省 徐州市 铜山区 张集镇"</f>
        <v>江苏省 徐州市 铜山区 张集镇</v>
      </c>
      <c r="N7063" s="1" t="str">
        <f t="shared" si="2062"/>
        <v>凡华云仓-韵达-抖音</v>
      </c>
      <c r="O7063" s="5">
        <v>320175875785812</v>
      </c>
      <c r="P7063" s="6">
        <v>0.35</v>
      </c>
      <c r="Q7063" s="11">
        <v>2.2999999999999998</v>
      </c>
      <c r="R7063" s="11"/>
      <c r="S7063" s="11"/>
      <c r="T7063" s="11"/>
      <c r="U7063" s="11">
        <f t="shared" si="2060"/>
        <v>2.2999999999999998</v>
      </c>
      <c r="W7063">
        <v>2.5</v>
      </c>
      <c r="X7063" s="1" t="s">
        <v>13</v>
      </c>
    </row>
    <row r="7064" spans="1:24" x14ac:dyDescent="0.25">
      <c r="A7064" s="1" t="str">
        <f t="shared" si="2063"/>
        <v>卡卡杜-凤凰仓</v>
      </c>
      <c r="B7064" s="1" t="str">
        <f>"CK2024101778"</f>
        <v>CK2024101778</v>
      </c>
      <c r="C7064" s="1" t="str">
        <f>"DD202410176129"</f>
        <v>DD202410176129</v>
      </c>
      <c r="D7064" s="1" t="str">
        <f>"CK2024101712508"</f>
        <v>CK2024101712508</v>
      </c>
      <c r="E7064" s="1" t="str">
        <f>"6935097074273293864"</f>
        <v>6935097074273293864</v>
      </c>
      <c r="F7064" s="1" t="str">
        <f t="shared" si="2064"/>
        <v>花都四部-凤凰仓</v>
      </c>
      <c r="G7064" s="1" t="str">
        <f t="shared" si="2061"/>
        <v>卡卡杜个人护理店（抖店）</v>
      </c>
      <c r="H7064" s="1" t="str">
        <f t="shared" si="2065"/>
        <v>正常订单</v>
      </c>
      <c r="I7064" s="1" t="str">
        <f t="shared" si="2066"/>
        <v>已发货</v>
      </c>
      <c r="J7064" s="1" t="str">
        <f t="shared" si="2059"/>
        <v>3</v>
      </c>
      <c r="K7064" s="1">
        <v>2</v>
      </c>
      <c r="L7064" s="1" t="s">
        <v>36</v>
      </c>
      <c r="M7064" s="1" t="str">
        <f>"安徽省 合肥市 瑶海区 方庙街道"</f>
        <v>安徽省 合肥市 瑶海区 方庙街道</v>
      </c>
      <c r="N7064" s="1" t="str">
        <f t="shared" si="2062"/>
        <v>凡华云仓-韵达-抖音</v>
      </c>
      <c r="O7064" s="5">
        <v>320175875785709</v>
      </c>
      <c r="P7064" s="6">
        <v>0.35</v>
      </c>
      <c r="Q7064" s="11">
        <v>2.2999999999999998</v>
      </c>
      <c r="R7064" s="11"/>
      <c r="S7064" s="11"/>
      <c r="T7064" s="11"/>
      <c r="U7064" s="11">
        <f t="shared" si="2060"/>
        <v>2.2999999999999998</v>
      </c>
      <c r="W7064">
        <v>2.5</v>
      </c>
      <c r="X7064" s="1" t="s">
        <v>36</v>
      </c>
    </row>
    <row r="7065" spans="1:24" x14ac:dyDescent="0.25">
      <c r="A7065" s="1" t="str">
        <f t="shared" si="2063"/>
        <v>卡卡杜-凤凰仓</v>
      </c>
      <c r="B7065" s="1" t="str">
        <f>"CK2024101759"</f>
        <v>CK2024101759</v>
      </c>
      <c r="C7065" s="1" t="str">
        <f>"DD202410176110"</f>
        <v>DD202410176110</v>
      </c>
      <c r="D7065" s="1" t="str">
        <f>"CK2024101712507"</f>
        <v>CK2024101712507</v>
      </c>
      <c r="E7065" s="1" t="str">
        <f>"6935099165887043132"</f>
        <v>6935099165887043132</v>
      </c>
      <c r="F7065" s="1" t="str">
        <f t="shared" si="2064"/>
        <v>花都四部-凤凰仓</v>
      </c>
      <c r="G7065" s="1" t="str">
        <f t="shared" si="2061"/>
        <v>卡卡杜个人护理店（抖店）</v>
      </c>
      <c r="H7065" s="1" t="str">
        <f t="shared" si="2065"/>
        <v>正常订单</v>
      </c>
      <c r="I7065" s="1" t="str">
        <f t="shared" si="2066"/>
        <v>已发货</v>
      </c>
      <c r="J7065" s="1" t="str">
        <f t="shared" si="2059"/>
        <v>3</v>
      </c>
      <c r="K7065" s="1">
        <v>2</v>
      </c>
      <c r="L7065" s="1" t="s">
        <v>13</v>
      </c>
      <c r="M7065" s="1" t="str">
        <f>"江苏省 苏州市 昆山市 玉山镇"</f>
        <v>江苏省 苏州市 昆山市 玉山镇</v>
      </c>
      <c r="N7065" s="1" t="str">
        <f t="shared" si="2062"/>
        <v>凡华云仓-韵达-抖音</v>
      </c>
      <c r="O7065" s="5">
        <v>320175875785608</v>
      </c>
      <c r="P7065" s="6">
        <v>0.35</v>
      </c>
      <c r="Q7065" s="11">
        <v>2.2999999999999998</v>
      </c>
      <c r="R7065" s="11"/>
      <c r="S7065" s="11"/>
      <c r="T7065" s="11"/>
      <c r="U7065" s="11">
        <f t="shared" si="2060"/>
        <v>2.2999999999999998</v>
      </c>
      <c r="W7065">
        <v>2.5</v>
      </c>
      <c r="X7065" s="1" t="s">
        <v>13</v>
      </c>
    </row>
    <row r="7066" spans="1:24" x14ac:dyDescent="0.25">
      <c r="A7066" s="1" t="str">
        <f t="shared" si="2063"/>
        <v>卡卡杜-凤凰仓</v>
      </c>
      <c r="B7066" s="1" t="str">
        <f>"CK2024101732"</f>
        <v>CK2024101732</v>
      </c>
      <c r="C7066" s="1" t="str">
        <f>"DD202410176083"</f>
        <v>DD202410176083</v>
      </c>
      <c r="D7066" s="1" t="str">
        <f>"CK2024101712506"</f>
        <v>CK2024101712506</v>
      </c>
      <c r="E7066" s="1" t="str">
        <f>"6935092549284468358"</f>
        <v>6935092549284468358</v>
      </c>
      <c r="F7066" s="1" t="str">
        <f t="shared" si="2064"/>
        <v>花都四部-凤凰仓</v>
      </c>
      <c r="G7066" s="1" t="str">
        <f t="shared" si="2061"/>
        <v>卡卡杜个人护理店（抖店）</v>
      </c>
      <c r="H7066" s="1" t="str">
        <f t="shared" si="2065"/>
        <v>正常订单</v>
      </c>
      <c r="I7066" s="1" t="str">
        <f t="shared" si="2066"/>
        <v>已发货</v>
      </c>
      <c r="J7066" s="1" t="str">
        <f>"5"</f>
        <v>5</v>
      </c>
      <c r="K7066" s="1">
        <v>2</v>
      </c>
      <c r="L7066" s="1" t="s">
        <v>13</v>
      </c>
      <c r="M7066" s="1" t="str">
        <f>"江苏省 徐州市 邳州市 "</f>
        <v xml:space="preserve">江苏省 徐州市 邳州市 </v>
      </c>
      <c r="N7066" s="1" t="str">
        <f t="shared" si="2062"/>
        <v>凡华云仓-韵达-抖音</v>
      </c>
      <c r="O7066" s="5">
        <v>320175874828530</v>
      </c>
      <c r="P7066" s="6">
        <v>0.59</v>
      </c>
      <c r="Q7066" s="11">
        <f>CEILING(P7066-0.5,0.1)*10*0.15+2.3</f>
        <v>2.4499999999999997</v>
      </c>
      <c r="R7066" s="11"/>
      <c r="S7066" s="11"/>
      <c r="T7066" s="11"/>
      <c r="U7066" s="11">
        <f t="shared" si="2060"/>
        <v>2.4499999999999997</v>
      </c>
      <c r="V7066" t="s">
        <v>15</v>
      </c>
      <c r="W7066">
        <v>2.4500000000000002</v>
      </c>
      <c r="X7066" s="1" t="s">
        <v>13</v>
      </c>
    </row>
    <row r="7067" spans="1:24" x14ac:dyDescent="0.25">
      <c r="A7067" s="1" t="str">
        <f t="shared" si="2063"/>
        <v>卡卡杜-凤凰仓</v>
      </c>
      <c r="B7067" s="1" t="str">
        <f>"CK2024101790"</f>
        <v>CK2024101790</v>
      </c>
      <c r="C7067" s="1" t="str">
        <f>"DD202410176140"</f>
        <v>DD202410176140</v>
      </c>
      <c r="D7067" s="1" t="str">
        <f>"CK2024101712505"</f>
        <v>CK2024101712505</v>
      </c>
      <c r="E7067" s="1" t="str">
        <f>"6935090129749546222"</f>
        <v>6935090129749546222</v>
      </c>
      <c r="F7067" s="1" t="str">
        <f t="shared" si="2064"/>
        <v>花都四部-凤凰仓</v>
      </c>
      <c r="G7067" s="1" t="str">
        <f t="shared" si="2061"/>
        <v>卡卡杜个人护理店（抖店）</v>
      </c>
      <c r="H7067" s="1" t="str">
        <f t="shared" si="2065"/>
        <v>正常订单</v>
      </c>
      <c r="I7067" s="1" t="str">
        <f t="shared" si="2066"/>
        <v>已发货</v>
      </c>
      <c r="J7067" s="1" t="str">
        <f t="shared" ref="J7067:J7072" si="2067">"3"</f>
        <v>3</v>
      </c>
      <c r="K7067" s="1">
        <v>2</v>
      </c>
      <c r="L7067" s="1" t="s">
        <v>13</v>
      </c>
      <c r="M7067" s="1" t="str">
        <f>"江苏省 徐州市 新沂市 新店镇"</f>
        <v>江苏省 徐州市 新沂市 新店镇</v>
      </c>
      <c r="N7067" s="1" t="str">
        <f t="shared" si="2062"/>
        <v>凡华云仓-韵达-抖音</v>
      </c>
      <c r="O7067" s="5">
        <v>320175874828433</v>
      </c>
      <c r="P7067" s="6">
        <v>0.35</v>
      </c>
      <c r="Q7067" s="11">
        <v>2.2999999999999998</v>
      </c>
      <c r="R7067" s="11"/>
      <c r="S7067" s="11"/>
      <c r="T7067" s="11"/>
      <c r="U7067" s="11">
        <f t="shared" si="2060"/>
        <v>2.2999999999999998</v>
      </c>
      <c r="W7067">
        <v>2.5</v>
      </c>
      <c r="X7067" s="1" t="s">
        <v>13</v>
      </c>
    </row>
    <row r="7068" spans="1:24" x14ac:dyDescent="0.25">
      <c r="A7068" s="1" t="str">
        <f t="shared" si="2063"/>
        <v>卡卡杜-凤凰仓</v>
      </c>
      <c r="B7068" s="1" t="str">
        <f>"CK2024101774"</f>
        <v>CK2024101774</v>
      </c>
      <c r="C7068" s="1" t="str">
        <f>"DD202410176124"</f>
        <v>DD202410176124</v>
      </c>
      <c r="D7068" s="1" t="str">
        <f>"CK2024101712504"</f>
        <v>CK2024101712504</v>
      </c>
      <c r="E7068" s="1" t="str">
        <f>"6935083434066057091"</f>
        <v>6935083434066057091</v>
      </c>
      <c r="F7068" s="1" t="str">
        <f t="shared" si="2064"/>
        <v>花都四部-凤凰仓</v>
      </c>
      <c r="G7068" s="1" t="str">
        <f t="shared" si="2061"/>
        <v>卡卡杜个人护理店（抖店）</v>
      </c>
      <c r="H7068" s="1" t="str">
        <f t="shared" si="2065"/>
        <v>正常订单</v>
      </c>
      <c r="I7068" s="1" t="str">
        <f t="shared" si="2066"/>
        <v>已发货</v>
      </c>
      <c r="J7068" s="1" t="str">
        <f t="shared" si="2067"/>
        <v>3</v>
      </c>
      <c r="K7068" s="1">
        <v>2</v>
      </c>
      <c r="L7068" s="1" t="s">
        <v>80</v>
      </c>
      <c r="M7068" s="1" t="str">
        <f>"河南省 濮阳市 南乐县 寺庄乡"</f>
        <v>河南省 濮阳市 南乐县 寺庄乡</v>
      </c>
      <c r="N7068" s="1" t="str">
        <f t="shared" si="2062"/>
        <v>凡华云仓-韵达-抖音</v>
      </c>
      <c r="O7068" s="5">
        <v>320175874828338</v>
      </c>
      <c r="P7068" s="6">
        <v>0.35</v>
      </c>
      <c r="Q7068" s="11">
        <v>2.2999999999999998</v>
      </c>
      <c r="R7068" s="11"/>
      <c r="S7068" s="11"/>
      <c r="T7068" s="11"/>
      <c r="U7068" s="11">
        <f t="shared" si="2060"/>
        <v>2.2999999999999998</v>
      </c>
      <c r="W7068">
        <v>2.5</v>
      </c>
      <c r="X7068" s="1" t="s">
        <v>80</v>
      </c>
    </row>
    <row r="7069" spans="1:24" x14ac:dyDescent="0.25">
      <c r="A7069" s="1" t="str">
        <f t="shared" si="2063"/>
        <v>卡卡杜-凤凰仓</v>
      </c>
      <c r="B7069" s="1" t="str">
        <f>"CK2024101731"</f>
        <v>CK2024101731</v>
      </c>
      <c r="C7069" s="1" t="str">
        <f>"DD202410176082"</f>
        <v>DD202410176082</v>
      </c>
      <c r="D7069" s="1" t="str">
        <f>"CK2024101712503"</f>
        <v>CK2024101712503</v>
      </c>
      <c r="E7069" s="1" t="str">
        <f>"6935094946029835790"</f>
        <v>6935094946029835790</v>
      </c>
      <c r="F7069" s="1" t="str">
        <f t="shared" si="2064"/>
        <v>花都四部-凤凰仓</v>
      </c>
      <c r="G7069" s="1" t="str">
        <f t="shared" si="2061"/>
        <v>卡卡杜个人护理店（抖店）</v>
      </c>
      <c r="H7069" s="1" t="str">
        <f t="shared" si="2065"/>
        <v>正常订单</v>
      </c>
      <c r="I7069" s="1" t="str">
        <f t="shared" si="2066"/>
        <v>已发货</v>
      </c>
      <c r="J7069" s="1" t="str">
        <f>"5"</f>
        <v>5</v>
      </c>
      <c r="K7069" s="1">
        <v>2</v>
      </c>
      <c r="L7069" s="1" t="s">
        <v>13</v>
      </c>
      <c r="M7069" s="1" t="str">
        <f>"江苏省 徐州市 睢宁县 "</f>
        <v xml:space="preserve">江苏省 徐州市 睢宁县 </v>
      </c>
      <c r="N7069" s="1" t="str">
        <f t="shared" si="2062"/>
        <v>凡华云仓-韵达-抖音</v>
      </c>
      <c r="O7069" s="5">
        <v>320175874828245</v>
      </c>
      <c r="P7069" s="6">
        <v>0.59</v>
      </c>
      <c r="Q7069" s="11">
        <f>CEILING(P7069-0.5,0.1)*10*0.15+2.3</f>
        <v>2.4499999999999997</v>
      </c>
      <c r="R7069" s="11"/>
      <c r="S7069" s="11"/>
      <c r="T7069" s="11"/>
      <c r="U7069" s="11">
        <f t="shared" si="2060"/>
        <v>2.4499999999999997</v>
      </c>
      <c r="V7069" t="s">
        <v>15</v>
      </c>
      <c r="W7069">
        <v>2.4500000000000002</v>
      </c>
      <c r="X7069" s="1" t="s">
        <v>13</v>
      </c>
    </row>
    <row r="7070" spans="1:24" x14ac:dyDescent="0.25">
      <c r="A7070" s="1" t="str">
        <f t="shared" si="2063"/>
        <v>卡卡杜-凤凰仓</v>
      </c>
      <c r="B7070" s="1" t="str">
        <f>"CK2024101789"</f>
        <v>CK2024101789</v>
      </c>
      <c r="C7070" s="1" t="str">
        <f>"DD202410176141"</f>
        <v>DD202410176141</v>
      </c>
      <c r="D7070" s="1" t="str">
        <f>"CK2024101712502"</f>
        <v>CK2024101712502</v>
      </c>
      <c r="E7070" s="1" t="str">
        <f>"6935095011448198312"</f>
        <v>6935095011448198312</v>
      </c>
      <c r="F7070" s="1" t="str">
        <f t="shared" si="2064"/>
        <v>花都四部-凤凰仓</v>
      </c>
      <c r="G7070" s="1" t="str">
        <f t="shared" si="2061"/>
        <v>卡卡杜个人护理店（抖店）</v>
      </c>
      <c r="H7070" s="1" t="str">
        <f t="shared" si="2065"/>
        <v>正常订单</v>
      </c>
      <c r="I7070" s="1" t="str">
        <f t="shared" si="2066"/>
        <v>已发货</v>
      </c>
      <c r="J7070" s="1" t="str">
        <f t="shared" si="2067"/>
        <v>3</v>
      </c>
      <c r="K7070" s="1">
        <v>2</v>
      </c>
      <c r="L7070" s="1" t="s">
        <v>13</v>
      </c>
      <c r="M7070" s="1" t="str">
        <f>"江苏省 盐城市 建湖县 近湖街道"</f>
        <v>江苏省 盐城市 建湖县 近湖街道</v>
      </c>
      <c r="N7070" s="1" t="str">
        <f t="shared" si="2062"/>
        <v>凡华云仓-韵达-抖音</v>
      </c>
      <c r="O7070" s="5">
        <v>320175874828154</v>
      </c>
      <c r="P7070" s="6">
        <v>0.35</v>
      </c>
      <c r="Q7070" s="11">
        <v>2.2999999999999998</v>
      </c>
      <c r="R7070" s="11"/>
      <c r="S7070" s="11"/>
      <c r="T7070" s="11"/>
      <c r="U7070" s="11">
        <f t="shared" si="2060"/>
        <v>2.2999999999999998</v>
      </c>
      <c r="W7070">
        <v>2.5</v>
      </c>
      <c r="X7070" s="1" t="s">
        <v>13</v>
      </c>
    </row>
    <row r="7071" spans="1:24" x14ac:dyDescent="0.25">
      <c r="A7071" s="1" t="str">
        <f t="shared" si="2063"/>
        <v>卡卡杜-凤凰仓</v>
      </c>
      <c r="B7071" s="1" t="str">
        <f>"CK2024101781"</f>
        <v>CK2024101781</v>
      </c>
      <c r="C7071" s="1" t="str">
        <f>"DD202410176132"</f>
        <v>DD202410176132</v>
      </c>
      <c r="D7071" s="1" t="str">
        <f>"CK2024101712501"</f>
        <v>CK2024101712501</v>
      </c>
      <c r="E7071" s="1" t="str">
        <f>"6935081287497946452"</f>
        <v>6935081287497946452</v>
      </c>
      <c r="F7071" s="1" t="str">
        <f t="shared" si="2064"/>
        <v>花都四部-凤凰仓</v>
      </c>
      <c r="G7071" s="1" t="str">
        <f t="shared" si="2061"/>
        <v>卡卡杜个人护理店（抖店）</v>
      </c>
      <c r="H7071" s="1" t="str">
        <f t="shared" si="2065"/>
        <v>正常订单</v>
      </c>
      <c r="I7071" s="1" t="str">
        <f t="shared" si="2066"/>
        <v>已发货</v>
      </c>
      <c r="J7071" s="1" t="str">
        <f t="shared" si="2067"/>
        <v>3</v>
      </c>
      <c r="K7071" s="1">
        <v>2</v>
      </c>
      <c r="L7071" s="1" t="s">
        <v>13</v>
      </c>
      <c r="M7071" s="1" t="str">
        <f>"江苏省 淮安市 淮安区 淮城街道"</f>
        <v>江苏省 淮安市 淮安区 淮城街道</v>
      </c>
      <c r="N7071" s="1" t="str">
        <f t="shared" si="2062"/>
        <v>凡华云仓-韵达-抖音</v>
      </c>
      <c r="O7071" s="5">
        <v>320175874828065</v>
      </c>
      <c r="P7071" s="6">
        <v>0.35</v>
      </c>
      <c r="Q7071" s="11">
        <v>2.2999999999999998</v>
      </c>
      <c r="R7071" s="11"/>
      <c r="S7071" s="11"/>
      <c r="T7071" s="11"/>
      <c r="U7071" s="11">
        <f t="shared" si="2060"/>
        <v>2.2999999999999998</v>
      </c>
      <c r="W7071">
        <v>2.5</v>
      </c>
      <c r="X7071" s="1" t="s">
        <v>13</v>
      </c>
    </row>
    <row r="7072" spans="1:24" x14ac:dyDescent="0.25">
      <c r="A7072" s="1" t="str">
        <f t="shared" si="2063"/>
        <v>卡卡杜-凤凰仓</v>
      </c>
      <c r="B7072" s="1" t="str">
        <f>"CK2024101782"</f>
        <v>CK2024101782</v>
      </c>
      <c r="C7072" s="1" t="str">
        <f>"DD202410176133"</f>
        <v>DD202410176133</v>
      </c>
      <c r="D7072" s="1" t="str">
        <f>"CK2024101712500"</f>
        <v>CK2024101712500</v>
      </c>
      <c r="E7072" s="1" t="str">
        <f>"6935099160860497344"</f>
        <v>6935099160860497344</v>
      </c>
      <c r="F7072" s="1" t="str">
        <f t="shared" si="2064"/>
        <v>花都四部-凤凰仓</v>
      </c>
      <c r="G7072" s="1" t="str">
        <f t="shared" si="2061"/>
        <v>卡卡杜个人护理店（抖店）</v>
      </c>
      <c r="H7072" s="1" t="str">
        <f t="shared" si="2065"/>
        <v>正常订单</v>
      </c>
      <c r="I7072" s="1" t="str">
        <f t="shared" si="2066"/>
        <v>已发货</v>
      </c>
      <c r="J7072" s="1" t="str">
        <f t="shared" si="2067"/>
        <v>3</v>
      </c>
      <c r="K7072" s="1">
        <v>2</v>
      </c>
      <c r="L7072" s="1" t="s">
        <v>74</v>
      </c>
      <c r="M7072" s="1" t="str">
        <f>"上海 上海市 松江区 车墩镇"</f>
        <v>上海 上海市 松江区 车墩镇</v>
      </c>
      <c r="N7072" s="1" t="str">
        <f t="shared" si="2062"/>
        <v>凡华云仓-韵达-抖音</v>
      </c>
      <c r="O7072" s="5">
        <v>320175874827935</v>
      </c>
      <c r="P7072" s="6">
        <v>0.35</v>
      </c>
      <c r="Q7072" s="11">
        <v>2.2999999999999998</v>
      </c>
      <c r="R7072" s="11"/>
      <c r="S7072" s="11"/>
      <c r="T7072" s="11"/>
      <c r="U7072" s="11">
        <f t="shared" si="2060"/>
        <v>2.2999999999999998</v>
      </c>
      <c r="W7072">
        <v>2.5</v>
      </c>
      <c r="X7072" s="1" t="s">
        <v>74</v>
      </c>
    </row>
    <row r="7073" spans="1:24" x14ac:dyDescent="0.25">
      <c r="A7073" s="1" t="str">
        <f t="shared" si="2063"/>
        <v>卡卡杜-凤凰仓</v>
      </c>
      <c r="B7073" s="1" t="str">
        <f>"CK2024101727"</f>
        <v>CK2024101727</v>
      </c>
      <c r="C7073" s="1" t="str">
        <f>"DD202410176077"</f>
        <v>DD202410176077</v>
      </c>
      <c r="D7073" s="1" t="str">
        <f>"CK2024101712499"</f>
        <v>CK2024101712499</v>
      </c>
      <c r="E7073" s="1" t="str">
        <f>"6935092564573426805"</f>
        <v>6935092564573426805</v>
      </c>
      <c r="F7073" s="1" t="str">
        <f t="shared" si="2064"/>
        <v>花都四部-凤凰仓</v>
      </c>
      <c r="G7073" s="1" t="str">
        <f t="shared" si="2061"/>
        <v>卡卡杜个人护理店（抖店）</v>
      </c>
      <c r="H7073" s="1" t="str">
        <f t="shared" si="2065"/>
        <v>正常订单</v>
      </c>
      <c r="I7073" s="1" t="str">
        <f t="shared" si="2066"/>
        <v>已发货</v>
      </c>
      <c r="J7073" s="1" t="str">
        <f>"5"</f>
        <v>5</v>
      </c>
      <c r="K7073" s="1">
        <v>2</v>
      </c>
      <c r="L7073" s="1" t="s">
        <v>13</v>
      </c>
      <c r="M7073" s="1" t="str">
        <f>"江苏省 无锡市 锡山区 锡山开发区"</f>
        <v>江苏省 无锡市 锡山区 锡山开发区</v>
      </c>
      <c r="N7073" s="1" t="str">
        <f t="shared" si="2062"/>
        <v>凡华云仓-韵达-抖音</v>
      </c>
      <c r="O7073" s="5">
        <v>320175874827830</v>
      </c>
      <c r="P7073" s="6">
        <v>0.59</v>
      </c>
      <c r="Q7073" s="11">
        <f>CEILING(P7073-0.5,0.1)*10*0.15+2.3</f>
        <v>2.4499999999999997</v>
      </c>
      <c r="R7073" s="11"/>
      <c r="S7073" s="11"/>
      <c r="T7073" s="11"/>
      <c r="U7073" s="11">
        <f t="shared" si="2060"/>
        <v>2.4499999999999997</v>
      </c>
      <c r="V7073" t="s">
        <v>15</v>
      </c>
      <c r="W7073">
        <v>2.4500000000000002</v>
      </c>
      <c r="X7073" s="1" t="s">
        <v>13</v>
      </c>
    </row>
    <row r="7074" spans="1:24" x14ac:dyDescent="0.25">
      <c r="A7074" s="1" t="str">
        <f t="shared" si="2063"/>
        <v>卡卡杜-凤凰仓</v>
      </c>
      <c r="B7074" s="1" t="str">
        <f>"CK2024101783"</f>
        <v>CK2024101783</v>
      </c>
      <c r="C7074" s="1" t="str">
        <f>"DD202410176135"</f>
        <v>DD202410176135</v>
      </c>
      <c r="D7074" s="1" t="str">
        <f>"CK2024101712498"</f>
        <v>CK2024101712498</v>
      </c>
      <c r="E7074" s="1" t="str">
        <f>"6935103912254576239"</f>
        <v>6935103912254576239</v>
      </c>
      <c r="F7074" s="1" t="str">
        <f t="shared" si="2064"/>
        <v>花都四部-凤凰仓</v>
      </c>
      <c r="G7074" s="1" t="str">
        <f t="shared" si="2061"/>
        <v>卡卡杜个人护理店（抖店）</v>
      </c>
      <c r="H7074" s="1" t="str">
        <f t="shared" si="2065"/>
        <v>正常订单</v>
      </c>
      <c r="I7074" s="1" t="str">
        <f t="shared" si="2066"/>
        <v>已发货</v>
      </c>
      <c r="J7074" s="1" t="str">
        <f t="shared" ref="J7074:J7084" si="2068">"3"</f>
        <v>3</v>
      </c>
      <c r="K7074" s="1">
        <v>2</v>
      </c>
      <c r="L7074" s="1" t="s">
        <v>13</v>
      </c>
      <c r="M7074" s="1" t="str">
        <f>"江苏省 徐州市 邳州市 运河街道"</f>
        <v>江苏省 徐州市 邳州市 运河街道</v>
      </c>
      <c r="N7074" s="1" t="str">
        <f t="shared" si="2062"/>
        <v>凡华云仓-韵达-抖音</v>
      </c>
      <c r="O7074" s="5">
        <v>320175874827727</v>
      </c>
      <c r="P7074" s="6">
        <v>0.35</v>
      </c>
      <c r="Q7074" s="11">
        <v>2.2999999999999998</v>
      </c>
      <c r="R7074" s="11"/>
      <c r="S7074" s="11"/>
      <c r="T7074" s="11"/>
      <c r="U7074" s="11">
        <f t="shared" si="2060"/>
        <v>2.2999999999999998</v>
      </c>
      <c r="W7074">
        <v>2.5</v>
      </c>
      <c r="X7074" s="1" t="s">
        <v>13</v>
      </c>
    </row>
    <row r="7075" spans="1:24" x14ac:dyDescent="0.25">
      <c r="A7075" s="1" t="str">
        <f t="shared" si="2063"/>
        <v>卡卡杜-凤凰仓</v>
      </c>
      <c r="B7075" s="1" t="str">
        <f>"CK2024101760"</f>
        <v>CK2024101760</v>
      </c>
      <c r="C7075" s="1" t="str">
        <f>"DD202410176115"</f>
        <v>DD202410176115</v>
      </c>
      <c r="D7075" s="1" t="str">
        <f>"CK2024101712497"</f>
        <v>CK2024101712497</v>
      </c>
      <c r="E7075" s="1" t="str">
        <f>"6935099283023271007"</f>
        <v>6935099283023271007</v>
      </c>
      <c r="F7075" s="1" t="str">
        <f t="shared" si="2064"/>
        <v>花都四部-凤凰仓</v>
      </c>
      <c r="G7075" s="1" t="str">
        <f t="shared" si="2061"/>
        <v>卡卡杜个人护理店（抖店）</v>
      </c>
      <c r="H7075" s="1" t="str">
        <f t="shared" si="2065"/>
        <v>正常订单</v>
      </c>
      <c r="I7075" s="1" t="str">
        <f t="shared" si="2066"/>
        <v>已发货</v>
      </c>
      <c r="J7075" s="1" t="str">
        <f t="shared" si="2068"/>
        <v>3</v>
      </c>
      <c r="K7075" s="1">
        <v>2</v>
      </c>
      <c r="L7075" s="1" t="s">
        <v>18</v>
      </c>
      <c r="M7075" s="1" t="str">
        <f>"广东省 东莞市 东莞市 麻涌镇"</f>
        <v>广东省 东莞市 东莞市 麻涌镇</v>
      </c>
      <c r="N7075" s="1" t="str">
        <f t="shared" si="2062"/>
        <v>凡华云仓-韵达-抖音</v>
      </c>
      <c r="O7075" s="5">
        <v>320175874827626</v>
      </c>
      <c r="P7075" s="6">
        <v>0.35</v>
      </c>
      <c r="Q7075" s="11">
        <v>2.2999999999999998</v>
      </c>
      <c r="R7075" s="11"/>
      <c r="S7075" s="11"/>
      <c r="T7075" s="11"/>
      <c r="U7075" s="11">
        <f t="shared" si="2060"/>
        <v>2.2999999999999998</v>
      </c>
      <c r="W7075">
        <v>2.5</v>
      </c>
      <c r="X7075" s="1" t="s">
        <v>18</v>
      </c>
    </row>
    <row r="7076" spans="1:24" x14ac:dyDescent="0.25">
      <c r="A7076" s="1" t="str">
        <f t="shared" si="2063"/>
        <v>卡卡杜-凤凰仓</v>
      </c>
      <c r="B7076" s="1" t="str">
        <f>"CK2024101784"</f>
        <v>CK2024101784</v>
      </c>
      <c r="C7076" s="1" t="str">
        <f>"DD202410176134"</f>
        <v>DD202410176134</v>
      </c>
      <c r="D7076" s="1" t="str">
        <f>"CK2024101712496"</f>
        <v>CK2024101712496</v>
      </c>
      <c r="E7076" s="1" t="str">
        <f>"6935081085860648270"</f>
        <v>6935081085860648270</v>
      </c>
      <c r="F7076" s="1" t="str">
        <f t="shared" si="2064"/>
        <v>花都四部-凤凰仓</v>
      </c>
      <c r="G7076" s="1" t="str">
        <f t="shared" si="2061"/>
        <v>卡卡杜个人护理店（抖店）</v>
      </c>
      <c r="H7076" s="1" t="str">
        <f t="shared" si="2065"/>
        <v>正常订单</v>
      </c>
      <c r="I7076" s="1" t="str">
        <f t="shared" si="2066"/>
        <v>已发货</v>
      </c>
      <c r="J7076" s="1" t="str">
        <f t="shared" si="2068"/>
        <v>3</v>
      </c>
      <c r="K7076" s="1">
        <v>2</v>
      </c>
      <c r="L7076" s="1" t="s">
        <v>13</v>
      </c>
      <c r="M7076" s="1" t="str">
        <f>"江苏省 南通市 崇川区 天生港镇街道"</f>
        <v>江苏省 南通市 崇川区 天生港镇街道</v>
      </c>
      <c r="N7076" s="1" t="str">
        <f t="shared" si="2062"/>
        <v>凡华云仓-韵达-抖音</v>
      </c>
      <c r="O7076" s="5">
        <v>320175875785044</v>
      </c>
      <c r="P7076" s="6">
        <v>0.35</v>
      </c>
      <c r="Q7076" s="11">
        <v>2.2999999999999998</v>
      </c>
      <c r="R7076" s="11"/>
      <c r="S7076" s="11"/>
      <c r="T7076" s="11"/>
      <c r="U7076" s="11">
        <f t="shared" si="2060"/>
        <v>2.2999999999999998</v>
      </c>
      <c r="W7076">
        <v>2.5</v>
      </c>
      <c r="X7076" s="1" t="s">
        <v>13</v>
      </c>
    </row>
    <row r="7077" spans="1:24" x14ac:dyDescent="0.25">
      <c r="A7077" s="1" t="str">
        <f t="shared" si="2063"/>
        <v>卡卡杜-凤凰仓</v>
      </c>
      <c r="B7077" s="1" t="str">
        <f>"CK2024101780"</f>
        <v>CK2024101780</v>
      </c>
      <c r="C7077" s="1" t="str">
        <f>"DD202410176130"</f>
        <v>DD202410176130</v>
      </c>
      <c r="D7077" s="1" t="str">
        <f>"CK2024101712495"</f>
        <v>CK2024101712495</v>
      </c>
      <c r="E7077" s="1" t="str">
        <f>"6935072732159481564"</f>
        <v>6935072732159481564</v>
      </c>
      <c r="F7077" s="1" t="str">
        <f t="shared" si="2064"/>
        <v>花都四部-凤凰仓</v>
      </c>
      <c r="G7077" s="1" t="str">
        <f t="shared" si="2061"/>
        <v>卡卡杜个人护理店（抖店）</v>
      </c>
      <c r="H7077" s="1" t="str">
        <f t="shared" si="2065"/>
        <v>正常订单</v>
      </c>
      <c r="I7077" s="1" t="str">
        <f t="shared" si="2066"/>
        <v>已发货</v>
      </c>
      <c r="J7077" s="1" t="str">
        <f t="shared" si="2068"/>
        <v>3</v>
      </c>
      <c r="K7077" s="1">
        <v>2</v>
      </c>
      <c r="L7077" s="1" t="s">
        <v>13</v>
      </c>
      <c r="M7077" s="1" t="str">
        <f>"江苏省 徐州市 云龙区 大龙湖街道"</f>
        <v>江苏省 徐州市 云龙区 大龙湖街道</v>
      </c>
      <c r="N7077" s="1" t="str">
        <f t="shared" si="2062"/>
        <v>凡华云仓-韵达-抖音</v>
      </c>
      <c r="O7077" s="5">
        <v>320175875784920</v>
      </c>
      <c r="P7077" s="6">
        <v>0.35</v>
      </c>
      <c r="Q7077" s="11">
        <v>2.2999999999999998</v>
      </c>
      <c r="R7077" s="11"/>
      <c r="S7077" s="11"/>
      <c r="T7077" s="11"/>
      <c r="U7077" s="11">
        <f t="shared" si="2060"/>
        <v>2.2999999999999998</v>
      </c>
      <c r="W7077">
        <v>2.5</v>
      </c>
      <c r="X7077" s="1" t="s">
        <v>13</v>
      </c>
    </row>
    <row r="7078" spans="1:24" x14ac:dyDescent="0.25">
      <c r="A7078" s="1" t="str">
        <f t="shared" si="2063"/>
        <v>卡卡杜-凤凰仓</v>
      </c>
      <c r="B7078" s="1" t="str">
        <f>"CK20241017111"</f>
        <v>CK20241017111</v>
      </c>
      <c r="C7078" s="1" t="str">
        <f>"DD202410176159"</f>
        <v>DD202410176159</v>
      </c>
      <c r="D7078" s="1" t="str">
        <f>"CK2024101712494"</f>
        <v>CK2024101712494</v>
      </c>
      <c r="E7078" s="1" t="str">
        <f>"6935103800305849803"</f>
        <v>6935103800305849803</v>
      </c>
      <c r="F7078" s="1" t="str">
        <f t="shared" si="2064"/>
        <v>花都四部-凤凰仓</v>
      </c>
      <c r="G7078" s="1" t="str">
        <f t="shared" si="2061"/>
        <v>卡卡杜个人护理店（抖店）</v>
      </c>
      <c r="H7078" s="1" t="str">
        <f t="shared" si="2065"/>
        <v>正常订单</v>
      </c>
      <c r="I7078" s="1" t="str">
        <f t="shared" si="2066"/>
        <v>已发货</v>
      </c>
      <c r="J7078" s="1" t="str">
        <f t="shared" si="2068"/>
        <v>3</v>
      </c>
      <c r="K7078" s="1">
        <v>2</v>
      </c>
      <c r="L7078" s="1" t="s">
        <v>22</v>
      </c>
      <c r="M7078" s="1" t="str">
        <f>"江西省 九江市 瑞昌市 "</f>
        <v xml:space="preserve">江西省 九江市 瑞昌市 </v>
      </c>
      <c r="N7078" s="1" t="str">
        <f t="shared" si="2062"/>
        <v>凡华云仓-韵达-抖音</v>
      </c>
      <c r="O7078" s="5">
        <v>320175875784815</v>
      </c>
      <c r="P7078" s="6">
        <v>0.35</v>
      </c>
      <c r="Q7078" s="11">
        <v>2.2999999999999998</v>
      </c>
      <c r="R7078" s="11"/>
      <c r="S7078" s="11"/>
      <c r="T7078" s="11"/>
      <c r="U7078" s="11">
        <f t="shared" si="2060"/>
        <v>2.2999999999999998</v>
      </c>
      <c r="W7078">
        <v>2.5</v>
      </c>
      <c r="X7078" s="1" t="s">
        <v>22</v>
      </c>
    </row>
    <row r="7079" spans="1:24" x14ac:dyDescent="0.25">
      <c r="A7079" s="1" t="str">
        <f t="shared" si="2063"/>
        <v>卡卡杜-凤凰仓</v>
      </c>
      <c r="B7079" s="1" t="str">
        <f>"CK2024101788"</f>
        <v>CK2024101788</v>
      </c>
      <c r="C7079" s="1" t="str">
        <f>"DD202410176138"</f>
        <v>DD202410176138</v>
      </c>
      <c r="D7079" s="1" t="str">
        <f>"CK2024101712493"</f>
        <v>CK2024101712493</v>
      </c>
      <c r="E7079" s="1" t="str">
        <f>"6935085746044409179"</f>
        <v>6935085746044409179</v>
      </c>
      <c r="F7079" s="1" t="str">
        <f t="shared" si="2064"/>
        <v>花都四部-凤凰仓</v>
      </c>
      <c r="G7079" s="1" t="str">
        <f t="shared" si="2061"/>
        <v>卡卡杜个人护理店（抖店）</v>
      </c>
      <c r="H7079" s="1" t="str">
        <f t="shared" si="2065"/>
        <v>正常订单</v>
      </c>
      <c r="I7079" s="1" t="str">
        <f t="shared" si="2066"/>
        <v>已发货</v>
      </c>
      <c r="J7079" s="1" t="str">
        <f t="shared" si="2068"/>
        <v>3</v>
      </c>
      <c r="K7079" s="1">
        <v>2</v>
      </c>
      <c r="L7079" s="1" t="s">
        <v>13</v>
      </c>
      <c r="M7079" s="1" t="str">
        <f>"江苏省 淮安市 洪泽区 高良涧街道"</f>
        <v>江苏省 淮安市 洪泽区 高良涧街道</v>
      </c>
      <c r="N7079" s="1" t="str">
        <f t="shared" si="2062"/>
        <v>凡华云仓-韵达-抖音</v>
      </c>
      <c r="O7079" s="5">
        <v>320175875784712</v>
      </c>
      <c r="P7079" s="6">
        <v>0.35</v>
      </c>
      <c r="Q7079" s="11">
        <v>2.2999999999999998</v>
      </c>
      <c r="R7079" s="11"/>
      <c r="S7079" s="11"/>
      <c r="T7079" s="11"/>
      <c r="U7079" s="11">
        <f t="shared" si="2060"/>
        <v>2.2999999999999998</v>
      </c>
      <c r="W7079">
        <v>2.5</v>
      </c>
      <c r="X7079" s="1" t="s">
        <v>13</v>
      </c>
    </row>
    <row r="7080" spans="1:24" x14ac:dyDescent="0.25">
      <c r="A7080" s="1" t="str">
        <f t="shared" si="2063"/>
        <v>卡卡杜-凤凰仓</v>
      </c>
      <c r="B7080" s="1" t="str">
        <f>"CK2024101772"</f>
        <v>CK2024101772</v>
      </c>
      <c r="C7080" s="1" t="str">
        <f>"DD202410176123"</f>
        <v>DD202410176123</v>
      </c>
      <c r="D7080" s="1" t="str">
        <f>"CK2024101712492"</f>
        <v>CK2024101712492</v>
      </c>
      <c r="E7080" s="1" t="str">
        <f>"6935094955115681152"</f>
        <v>6935094955115681152</v>
      </c>
      <c r="F7080" s="1" t="str">
        <f t="shared" si="2064"/>
        <v>花都四部-凤凰仓</v>
      </c>
      <c r="G7080" s="1" t="str">
        <f t="shared" si="2061"/>
        <v>卡卡杜个人护理店（抖店）</v>
      </c>
      <c r="H7080" s="1" t="str">
        <f t="shared" si="2065"/>
        <v>正常订单</v>
      </c>
      <c r="I7080" s="1" t="str">
        <f t="shared" si="2066"/>
        <v>已发货</v>
      </c>
      <c r="J7080" s="1" t="str">
        <f t="shared" si="2068"/>
        <v>3</v>
      </c>
      <c r="K7080" s="1">
        <v>2</v>
      </c>
      <c r="L7080" s="1" t="s">
        <v>80</v>
      </c>
      <c r="M7080" s="1" t="str">
        <f>"河南省 安阳市 殷都区 "</f>
        <v xml:space="preserve">河南省 安阳市 殷都区 </v>
      </c>
      <c r="N7080" s="1" t="str">
        <f t="shared" si="2062"/>
        <v>凡华云仓-韵达-抖音</v>
      </c>
      <c r="O7080" s="5">
        <v>320175875784611</v>
      </c>
      <c r="P7080" s="6">
        <v>0.35</v>
      </c>
      <c r="Q7080" s="11">
        <v>2.2999999999999998</v>
      </c>
      <c r="R7080" s="11"/>
      <c r="S7080" s="11"/>
      <c r="T7080" s="11"/>
      <c r="U7080" s="11">
        <f t="shared" si="2060"/>
        <v>2.2999999999999998</v>
      </c>
      <c r="W7080">
        <v>2.5</v>
      </c>
      <c r="X7080" s="1" t="s">
        <v>80</v>
      </c>
    </row>
    <row r="7081" spans="1:24" x14ac:dyDescent="0.25">
      <c r="A7081" s="1" t="str">
        <f t="shared" si="2063"/>
        <v>卡卡杜-凤凰仓</v>
      </c>
      <c r="B7081" s="1" t="str">
        <f>"CK2024101791"</f>
        <v>CK2024101791</v>
      </c>
      <c r="C7081" s="1" t="str">
        <f>"DD202410176142"</f>
        <v>DD202410176142</v>
      </c>
      <c r="D7081" s="1" t="str">
        <f>"CK2024101712491"</f>
        <v>CK2024101712491</v>
      </c>
      <c r="E7081" s="1" t="str">
        <f>"6935079273339032916"</f>
        <v>6935079273339032916</v>
      </c>
      <c r="F7081" s="1" t="str">
        <f t="shared" si="2064"/>
        <v>花都四部-凤凰仓</v>
      </c>
      <c r="G7081" s="1" t="str">
        <f t="shared" si="2061"/>
        <v>卡卡杜个人护理店（抖店）</v>
      </c>
      <c r="H7081" s="1" t="str">
        <f t="shared" si="2065"/>
        <v>正常订单</v>
      </c>
      <c r="I7081" s="1" t="str">
        <f t="shared" si="2066"/>
        <v>已发货</v>
      </c>
      <c r="J7081" s="1" t="str">
        <f t="shared" si="2068"/>
        <v>3</v>
      </c>
      <c r="K7081" s="1">
        <v>2</v>
      </c>
      <c r="L7081" s="1" t="s">
        <v>13</v>
      </c>
      <c r="M7081" s="1" t="str">
        <f>"江苏省 无锡市 宜兴市 张渚镇"</f>
        <v>江苏省 无锡市 宜兴市 张渚镇</v>
      </c>
      <c r="N7081" s="1" t="str">
        <f t="shared" si="2062"/>
        <v>凡华云仓-韵达-抖音</v>
      </c>
      <c r="O7081" s="5">
        <v>320175875784512</v>
      </c>
      <c r="P7081" s="6">
        <v>0.35</v>
      </c>
      <c r="Q7081" s="11">
        <v>2.2999999999999998</v>
      </c>
      <c r="R7081" s="11"/>
      <c r="S7081" s="11"/>
      <c r="T7081" s="11"/>
      <c r="U7081" s="11">
        <f t="shared" si="2060"/>
        <v>2.2999999999999998</v>
      </c>
      <c r="W7081">
        <v>2.5</v>
      </c>
      <c r="X7081" s="1" t="s">
        <v>13</v>
      </c>
    </row>
    <row r="7082" spans="1:24" x14ac:dyDescent="0.25">
      <c r="A7082" s="1" t="str">
        <f t="shared" si="2063"/>
        <v>卡卡杜-凤凰仓</v>
      </c>
      <c r="B7082" s="1" t="str">
        <f>"CK2024101773"</f>
        <v>CK2024101773</v>
      </c>
      <c r="C7082" s="1" t="str">
        <f>"DD202410176126"</f>
        <v>DD202410176126</v>
      </c>
      <c r="D7082" s="1" t="str">
        <f>"CK2024101712490"</f>
        <v>CK2024101712490</v>
      </c>
      <c r="E7082" s="1" t="str">
        <f>"6935083446497056584"</f>
        <v>6935083446497056584</v>
      </c>
      <c r="F7082" s="1" t="str">
        <f t="shared" si="2064"/>
        <v>花都四部-凤凰仓</v>
      </c>
      <c r="G7082" s="1" t="str">
        <f t="shared" si="2061"/>
        <v>卡卡杜个人护理店（抖店）</v>
      </c>
      <c r="H7082" s="1" t="str">
        <f t="shared" si="2065"/>
        <v>正常订单</v>
      </c>
      <c r="I7082" s="1" t="str">
        <f t="shared" si="2066"/>
        <v>已发货</v>
      </c>
      <c r="J7082" s="1" t="str">
        <f t="shared" si="2068"/>
        <v>3</v>
      </c>
      <c r="K7082" s="1">
        <v>2</v>
      </c>
      <c r="L7082" s="1" t="s">
        <v>36</v>
      </c>
      <c r="M7082" s="1" t="str">
        <f>"安徽省 亳州市 利辛县 城关镇"</f>
        <v>安徽省 亳州市 利辛县 城关镇</v>
      </c>
      <c r="N7082" s="1" t="str">
        <f t="shared" si="2062"/>
        <v>凡华云仓-韵达-抖音</v>
      </c>
      <c r="O7082" s="5">
        <v>320175875784415</v>
      </c>
      <c r="P7082" s="6">
        <v>0.35</v>
      </c>
      <c r="Q7082" s="11">
        <v>2.2999999999999998</v>
      </c>
      <c r="R7082" s="11"/>
      <c r="S7082" s="11"/>
      <c r="T7082" s="11"/>
      <c r="U7082" s="11">
        <f t="shared" si="2060"/>
        <v>2.2999999999999998</v>
      </c>
      <c r="W7082">
        <v>2.5</v>
      </c>
      <c r="X7082" s="1" t="s">
        <v>36</v>
      </c>
    </row>
    <row r="7083" spans="1:24" x14ac:dyDescent="0.25">
      <c r="A7083" s="1" t="str">
        <f t="shared" si="2063"/>
        <v>卡卡杜-凤凰仓</v>
      </c>
      <c r="B7083" s="1" t="str">
        <f>"CK2024101785"</f>
        <v>CK2024101785</v>
      </c>
      <c r="C7083" s="1" t="str">
        <f>"DD202410176139"</f>
        <v>DD202410176139</v>
      </c>
      <c r="D7083" s="1" t="str">
        <f>"CK2024101712489"</f>
        <v>CK2024101712489</v>
      </c>
      <c r="E7083" s="1" t="str">
        <f>"6935072673894700482"</f>
        <v>6935072673894700482</v>
      </c>
      <c r="F7083" s="1" t="str">
        <f t="shared" si="2064"/>
        <v>花都四部-凤凰仓</v>
      </c>
      <c r="G7083" s="1" t="str">
        <f t="shared" si="2061"/>
        <v>卡卡杜个人护理店（抖店）</v>
      </c>
      <c r="H7083" s="1" t="str">
        <f t="shared" si="2065"/>
        <v>正常订单</v>
      </c>
      <c r="I7083" s="1" t="str">
        <f t="shared" si="2066"/>
        <v>已发货</v>
      </c>
      <c r="J7083" s="1" t="str">
        <f t="shared" si="2068"/>
        <v>3</v>
      </c>
      <c r="K7083" s="1">
        <v>2</v>
      </c>
      <c r="L7083" s="1" t="s">
        <v>36</v>
      </c>
      <c r="M7083" s="1" t="str">
        <f>"安徽省 宿州市 砀山县 砀城镇"</f>
        <v>安徽省 宿州市 砀山县 砀城镇</v>
      </c>
      <c r="N7083" s="1" t="str">
        <f t="shared" si="2062"/>
        <v>凡华云仓-韵达-抖音</v>
      </c>
      <c r="O7083" s="5">
        <v>320175875784320</v>
      </c>
      <c r="P7083" s="6">
        <v>0.35</v>
      </c>
      <c r="Q7083" s="11">
        <v>2.2999999999999998</v>
      </c>
      <c r="R7083" s="11"/>
      <c r="S7083" s="11"/>
      <c r="T7083" s="11"/>
      <c r="U7083" s="11">
        <f t="shared" si="2060"/>
        <v>2.2999999999999998</v>
      </c>
      <c r="W7083">
        <v>2.5</v>
      </c>
      <c r="X7083" s="1" t="s">
        <v>36</v>
      </c>
    </row>
    <row r="7084" spans="1:24" x14ac:dyDescent="0.25">
      <c r="A7084" s="1" t="str">
        <f t="shared" si="2063"/>
        <v>卡卡杜-凤凰仓</v>
      </c>
      <c r="B7084" s="1" t="str">
        <f>"CK2024101776"</f>
        <v>CK2024101776</v>
      </c>
      <c r="C7084" s="1" t="str">
        <f>"DD202410176128"</f>
        <v>DD202410176128</v>
      </c>
      <c r="D7084" s="1" t="str">
        <f>"CK2024101712488"</f>
        <v>CK2024101712488</v>
      </c>
      <c r="E7084" s="1" t="str">
        <f>"6935088088332900047"</f>
        <v>6935088088332900047</v>
      </c>
      <c r="F7084" s="1" t="str">
        <f t="shared" si="2064"/>
        <v>花都四部-凤凰仓</v>
      </c>
      <c r="G7084" s="1" t="str">
        <f t="shared" si="2061"/>
        <v>卡卡杜个人护理店（抖店）</v>
      </c>
      <c r="H7084" s="1" t="str">
        <f t="shared" si="2065"/>
        <v>正常订单</v>
      </c>
      <c r="I7084" s="1" t="str">
        <f t="shared" si="2066"/>
        <v>已发货</v>
      </c>
      <c r="J7084" s="1" t="str">
        <f t="shared" si="2068"/>
        <v>3</v>
      </c>
      <c r="K7084" s="1">
        <v>2</v>
      </c>
      <c r="L7084" s="1" t="s">
        <v>161</v>
      </c>
      <c r="M7084" s="1" t="str">
        <f>"四川省 资阳市 乐至县 佛星镇"</f>
        <v>四川省 资阳市 乐至县 佛星镇</v>
      </c>
      <c r="N7084" s="1" t="str">
        <f t="shared" si="2062"/>
        <v>凡华云仓-韵达-抖音</v>
      </c>
      <c r="O7084" s="5">
        <v>320175875784227</v>
      </c>
      <c r="P7084" s="6">
        <v>0.35</v>
      </c>
      <c r="Q7084" s="11">
        <v>2.2999999999999998</v>
      </c>
      <c r="R7084" s="11"/>
      <c r="S7084" s="11"/>
      <c r="T7084" s="11"/>
      <c r="U7084" s="11">
        <f t="shared" si="2060"/>
        <v>2.2999999999999998</v>
      </c>
      <c r="W7084">
        <v>2.5</v>
      </c>
      <c r="X7084" s="1" t="s">
        <v>161</v>
      </c>
    </row>
    <row r="7085" spans="1:24" x14ac:dyDescent="0.25">
      <c r="A7085" s="1" t="str">
        <f t="shared" si="2063"/>
        <v>卡卡杜-凤凰仓</v>
      </c>
      <c r="B7085" s="1" t="str">
        <f>"CK2024101724"</f>
        <v>CK2024101724</v>
      </c>
      <c r="C7085" s="1" t="str">
        <f>"DD202410176076"</f>
        <v>DD202410176076</v>
      </c>
      <c r="D7085" s="1" t="str">
        <f>"CK2024101712487"</f>
        <v>CK2024101712487</v>
      </c>
      <c r="E7085" s="1" t="str">
        <f>"6935094916567733825"</f>
        <v>6935094916567733825</v>
      </c>
      <c r="F7085" s="1" t="str">
        <f t="shared" si="2064"/>
        <v>花都四部-凤凰仓</v>
      </c>
      <c r="G7085" s="1" t="str">
        <f t="shared" si="2061"/>
        <v>卡卡杜个人护理店（抖店）</v>
      </c>
      <c r="H7085" s="1" t="str">
        <f t="shared" si="2065"/>
        <v>正常订单</v>
      </c>
      <c r="I7085" s="1" t="str">
        <f t="shared" si="2066"/>
        <v>已发货</v>
      </c>
      <c r="J7085" s="1" t="str">
        <f>"5"</f>
        <v>5</v>
      </c>
      <c r="K7085" s="1">
        <v>2</v>
      </c>
      <c r="L7085" s="1" t="s">
        <v>13</v>
      </c>
      <c r="M7085" s="1" t="str">
        <f>"江苏省 苏州市 张家港市 杨舍镇"</f>
        <v>江苏省 苏州市 张家港市 杨舍镇</v>
      </c>
      <c r="N7085" s="1" t="str">
        <f t="shared" si="2062"/>
        <v>凡华云仓-韵达-抖音</v>
      </c>
      <c r="O7085" s="5">
        <v>320175875784136</v>
      </c>
      <c r="P7085" s="6">
        <v>0.59</v>
      </c>
      <c r="Q7085" s="11">
        <f>CEILING(P7085-0.5,0.1)*10*0.15+2.3</f>
        <v>2.4499999999999997</v>
      </c>
      <c r="R7085" s="11"/>
      <c r="S7085" s="11"/>
      <c r="T7085" s="11"/>
      <c r="U7085" s="11">
        <f t="shared" si="2060"/>
        <v>2.4499999999999997</v>
      </c>
      <c r="V7085" t="s">
        <v>15</v>
      </c>
      <c r="W7085">
        <v>2.4500000000000002</v>
      </c>
      <c r="X7085" s="1" t="s">
        <v>13</v>
      </c>
    </row>
    <row r="7086" spans="1:24" x14ac:dyDescent="0.25">
      <c r="A7086" s="1" t="str">
        <f t="shared" si="2063"/>
        <v>卡卡杜-凤凰仓</v>
      </c>
      <c r="B7086" s="1" t="str">
        <f>"CK20241017120"</f>
        <v>CK20241017120</v>
      </c>
      <c r="C7086" s="1" t="str">
        <f>"DD202410176171"</f>
        <v>DD202410176171</v>
      </c>
      <c r="D7086" s="1" t="str">
        <f>"CK2024101712486"</f>
        <v>CK2024101712486</v>
      </c>
      <c r="E7086" s="1" t="str">
        <f>"6935094956076504353"</f>
        <v>6935094956076504353</v>
      </c>
      <c r="F7086" s="1" t="str">
        <f t="shared" si="2064"/>
        <v>花都四部-凤凰仓</v>
      </c>
      <c r="G7086" s="1" t="str">
        <f t="shared" si="2061"/>
        <v>卡卡杜个人护理店（抖店）</v>
      </c>
      <c r="H7086" s="1" t="str">
        <f t="shared" si="2065"/>
        <v>正常订单</v>
      </c>
      <c r="I7086" s="1" t="str">
        <f t="shared" si="2066"/>
        <v>已发货</v>
      </c>
      <c r="J7086" s="1" t="str">
        <f t="shared" ref="J7086:J7089" si="2069">"3"</f>
        <v>3</v>
      </c>
      <c r="K7086" s="1">
        <v>2</v>
      </c>
      <c r="L7086" s="1" t="s">
        <v>30</v>
      </c>
      <c r="M7086" s="1" t="str">
        <f>"山东省 泰安市 岱岳区 粥店街道"</f>
        <v>山东省 泰安市 岱岳区 粥店街道</v>
      </c>
      <c r="N7086" s="1" t="str">
        <f t="shared" si="2062"/>
        <v>凡华云仓-韵达-抖音</v>
      </c>
      <c r="O7086" s="5">
        <v>320175882474730</v>
      </c>
      <c r="P7086" s="6">
        <v>0.35</v>
      </c>
      <c r="Q7086" s="11">
        <v>2.2999999999999998</v>
      </c>
      <c r="R7086" s="11"/>
      <c r="S7086" s="11"/>
      <c r="T7086" s="11"/>
      <c r="U7086" s="11">
        <f t="shared" si="2060"/>
        <v>2.2999999999999998</v>
      </c>
      <c r="W7086">
        <v>2.5</v>
      </c>
      <c r="X7086" s="1" t="s">
        <v>30</v>
      </c>
    </row>
    <row r="7087" spans="1:24" x14ac:dyDescent="0.25">
      <c r="A7087" s="1" t="str">
        <f t="shared" si="2063"/>
        <v>卡卡杜-凤凰仓</v>
      </c>
      <c r="B7087" s="1" t="str">
        <f>"CK20241017121"</f>
        <v>CK20241017121</v>
      </c>
      <c r="C7087" s="1" t="str">
        <f>"DD202410176173"</f>
        <v>DD202410176173</v>
      </c>
      <c r="D7087" s="1" t="str">
        <f>"CK2024101712485"</f>
        <v>CK2024101712485</v>
      </c>
      <c r="E7087" s="1" t="str">
        <f>"6935099017454622197"</f>
        <v>6935099017454622197</v>
      </c>
      <c r="F7087" s="1" t="str">
        <f t="shared" si="2064"/>
        <v>花都四部-凤凰仓</v>
      </c>
      <c r="G7087" s="1" t="str">
        <f t="shared" si="2061"/>
        <v>卡卡杜个人护理店（抖店）</v>
      </c>
      <c r="H7087" s="1" t="str">
        <f t="shared" si="2065"/>
        <v>正常订单</v>
      </c>
      <c r="I7087" s="1" t="str">
        <f t="shared" si="2066"/>
        <v>已发货</v>
      </c>
      <c r="J7087" s="1" t="str">
        <f t="shared" si="2069"/>
        <v>3</v>
      </c>
      <c r="K7087" s="1">
        <v>2</v>
      </c>
      <c r="L7087" s="1" t="s">
        <v>13</v>
      </c>
      <c r="M7087" s="1" t="str">
        <f>"江苏省 南京市 高淳区 淳溪街道"</f>
        <v>江苏省 南京市 高淳区 淳溪街道</v>
      </c>
      <c r="N7087" s="1" t="str">
        <f t="shared" si="2062"/>
        <v>凡华云仓-韵达-抖音</v>
      </c>
      <c r="O7087" s="5">
        <v>320175882474629</v>
      </c>
      <c r="P7087" s="6">
        <v>0.35</v>
      </c>
      <c r="Q7087" s="11">
        <v>2.2999999999999998</v>
      </c>
      <c r="R7087" s="11"/>
      <c r="S7087" s="11"/>
      <c r="T7087" s="11"/>
      <c r="U7087" s="11">
        <f t="shared" si="2060"/>
        <v>2.2999999999999998</v>
      </c>
      <c r="W7087">
        <v>2.5</v>
      </c>
      <c r="X7087" s="1" t="s">
        <v>13</v>
      </c>
    </row>
    <row r="7088" spans="1:24" x14ac:dyDescent="0.25">
      <c r="A7088" s="1" t="str">
        <f t="shared" si="2063"/>
        <v>卡卡杜-凤凰仓</v>
      </c>
      <c r="B7088" s="1" t="str">
        <f>"CK20241017105"</f>
        <v>CK20241017105</v>
      </c>
      <c r="C7088" s="1" t="str">
        <f>"DD202410176154"</f>
        <v>DD202410176154</v>
      </c>
      <c r="D7088" s="1" t="str">
        <f>"CK2024101712484"</f>
        <v>CK2024101712484</v>
      </c>
      <c r="E7088" s="1" t="str">
        <f>"6935099074387711358"</f>
        <v>6935099074387711358</v>
      </c>
      <c r="F7088" s="1" t="str">
        <f t="shared" si="2064"/>
        <v>花都四部-凤凰仓</v>
      </c>
      <c r="G7088" s="1" t="str">
        <f t="shared" si="2061"/>
        <v>卡卡杜个人护理店（抖店）</v>
      </c>
      <c r="H7088" s="1" t="str">
        <f t="shared" si="2065"/>
        <v>正常订单</v>
      </c>
      <c r="I7088" s="1" t="str">
        <f t="shared" si="2066"/>
        <v>已发货</v>
      </c>
      <c r="J7088" s="1" t="str">
        <f t="shared" si="2069"/>
        <v>3</v>
      </c>
      <c r="K7088" s="1">
        <v>2</v>
      </c>
      <c r="L7088" s="1" t="s">
        <v>52</v>
      </c>
      <c r="M7088" s="1" t="str">
        <f>"甘肃省 酒泉市 肃州区 西北街街道"</f>
        <v>甘肃省 酒泉市 肃州区 西北街街道</v>
      </c>
      <c r="N7088" s="1" t="str">
        <f t="shared" si="2062"/>
        <v>凡华云仓-韵达-抖音</v>
      </c>
      <c r="O7088" s="5">
        <v>320175882474530</v>
      </c>
      <c r="P7088" s="6">
        <v>0.35</v>
      </c>
      <c r="Q7088" s="11">
        <v>2.2999999999999998</v>
      </c>
      <c r="R7088" s="11"/>
      <c r="S7088" s="11"/>
      <c r="T7088" s="11"/>
      <c r="U7088" s="11">
        <f t="shared" si="2060"/>
        <v>2.2999999999999998</v>
      </c>
      <c r="W7088">
        <v>2.5</v>
      </c>
      <c r="X7088" s="1" t="s">
        <v>52</v>
      </c>
    </row>
    <row r="7089" spans="1:24" x14ac:dyDescent="0.25">
      <c r="A7089" s="1" t="str">
        <f t="shared" si="2063"/>
        <v>卡卡杜-凤凰仓</v>
      </c>
      <c r="B7089" s="1" t="str">
        <f>"CK20241017117"</f>
        <v>CK20241017117</v>
      </c>
      <c r="C7089" s="1" t="str">
        <f>"DD202410176168"</f>
        <v>DD202410176168</v>
      </c>
      <c r="D7089" s="1" t="str">
        <f>"CK2024101712483"</f>
        <v>CK2024101712483</v>
      </c>
      <c r="E7089" s="1" t="str">
        <f>"6935079256294167920"</f>
        <v>6935079256294167920</v>
      </c>
      <c r="F7089" s="1" t="str">
        <f t="shared" si="2064"/>
        <v>花都四部-凤凰仓</v>
      </c>
      <c r="G7089" s="1" t="str">
        <f t="shared" si="2061"/>
        <v>卡卡杜个人护理店（抖店）</v>
      </c>
      <c r="H7089" s="1" t="str">
        <f t="shared" si="2065"/>
        <v>正常订单</v>
      </c>
      <c r="I7089" s="1" t="str">
        <f t="shared" si="2066"/>
        <v>已发货</v>
      </c>
      <c r="J7089" s="1" t="str">
        <f t="shared" si="2069"/>
        <v>3</v>
      </c>
      <c r="K7089" s="1">
        <v>2</v>
      </c>
      <c r="L7089" s="1" t="s">
        <v>13</v>
      </c>
      <c r="M7089" s="1" t="str">
        <f>"江苏省 宿迁市 宿豫区 豫新街道"</f>
        <v>江苏省 宿迁市 宿豫区 豫新街道</v>
      </c>
      <c r="N7089" s="1" t="str">
        <f t="shared" si="2062"/>
        <v>凡华云仓-韵达-抖音</v>
      </c>
      <c r="O7089" s="5">
        <v>320175882474433</v>
      </c>
      <c r="P7089" s="6">
        <v>0.35</v>
      </c>
      <c r="Q7089" s="11">
        <v>2.2999999999999998</v>
      </c>
      <c r="R7089" s="11"/>
      <c r="S7089" s="11"/>
      <c r="T7089" s="11"/>
      <c r="U7089" s="11">
        <f t="shared" si="2060"/>
        <v>2.2999999999999998</v>
      </c>
      <c r="W7089">
        <v>2.5</v>
      </c>
      <c r="X7089" s="1" t="s">
        <v>13</v>
      </c>
    </row>
    <row r="7090" spans="1:24" x14ac:dyDescent="0.25">
      <c r="A7090" s="1" t="str">
        <f t="shared" si="2063"/>
        <v>卡卡杜-凤凰仓</v>
      </c>
      <c r="B7090" s="1" t="str">
        <f>"CK2024101729"</f>
        <v>CK2024101729</v>
      </c>
      <c r="C7090" s="1" t="str">
        <f>"DD202410176078"</f>
        <v>DD202410176078</v>
      </c>
      <c r="D7090" s="1" t="str">
        <f>"CK2024101712482"</f>
        <v>CK2024101712482</v>
      </c>
      <c r="E7090" s="1" t="str">
        <f>"6935077012255479455"</f>
        <v>6935077012255479455</v>
      </c>
      <c r="F7090" s="1" t="str">
        <f t="shared" si="2064"/>
        <v>花都四部-凤凰仓</v>
      </c>
      <c r="G7090" s="1" t="str">
        <f t="shared" si="2061"/>
        <v>卡卡杜个人护理店（抖店）</v>
      </c>
      <c r="H7090" s="1" t="str">
        <f t="shared" si="2065"/>
        <v>正常订单</v>
      </c>
      <c r="I7090" s="1" t="str">
        <f t="shared" si="2066"/>
        <v>已发货</v>
      </c>
      <c r="J7090" s="1" t="str">
        <f>"5"</f>
        <v>5</v>
      </c>
      <c r="K7090" s="1">
        <v>2</v>
      </c>
      <c r="L7090" s="1" t="s">
        <v>27</v>
      </c>
      <c r="M7090" s="1" t="str">
        <f>"贵州省 贵阳市 云岩区 三桥路街道"</f>
        <v>贵州省 贵阳市 云岩区 三桥路街道</v>
      </c>
      <c r="N7090" s="1" t="str">
        <f t="shared" si="2062"/>
        <v>凡华云仓-韵达-抖音</v>
      </c>
      <c r="O7090" s="5">
        <v>320175882474338</v>
      </c>
      <c r="P7090" s="6">
        <v>0.59</v>
      </c>
      <c r="Q7090" s="11">
        <f>CEILING(P7090-0.5,0.1)*10*0.15+2.3</f>
        <v>2.4499999999999997</v>
      </c>
      <c r="R7090" s="11"/>
      <c r="S7090" s="11"/>
      <c r="T7090" s="11"/>
      <c r="U7090" s="11">
        <f t="shared" si="2060"/>
        <v>2.4499999999999997</v>
      </c>
      <c r="V7090" t="s">
        <v>15</v>
      </c>
      <c r="W7090">
        <v>2.4500000000000002</v>
      </c>
      <c r="X7090" s="1" t="s">
        <v>27</v>
      </c>
    </row>
    <row r="7091" spans="1:24" x14ac:dyDescent="0.25">
      <c r="A7091" s="1" t="str">
        <f t="shared" si="2063"/>
        <v>卡卡杜-凤凰仓</v>
      </c>
      <c r="B7091" s="1" t="str">
        <f>"CK20241017108"</f>
        <v>CK20241017108</v>
      </c>
      <c r="C7091" s="1" t="str">
        <f>"DD202410176160"</f>
        <v>DD202410176160</v>
      </c>
      <c r="D7091" s="1" t="str">
        <f>"CK2024101712481"</f>
        <v>CK2024101712481</v>
      </c>
      <c r="E7091" s="1" t="str">
        <f>"6935092420119369577"</f>
        <v>6935092420119369577</v>
      </c>
      <c r="F7091" s="1" t="str">
        <f t="shared" si="2064"/>
        <v>花都四部-凤凰仓</v>
      </c>
      <c r="G7091" s="1" t="str">
        <f t="shared" si="2061"/>
        <v>卡卡杜个人护理店（抖店）</v>
      </c>
      <c r="H7091" s="1" t="str">
        <f t="shared" si="2065"/>
        <v>正常订单</v>
      </c>
      <c r="I7091" s="1" t="str">
        <f t="shared" si="2066"/>
        <v>已发货</v>
      </c>
      <c r="J7091" s="1" t="str">
        <f t="shared" ref="J7091:J7095" si="2070">"3"</f>
        <v>3</v>
      </c>
      <c r="K7091" s="1">
        <v>2</v>
      </c>
      <c r="L7091" s="1" t="s">
        <v>13</v>
      </c>
      <c r="M7091" s="1" t="str">
        <f>"江苏省 泰州市 泰兴市 济川街道"</f>
        <v>江苏省 泰州市 泰兴市 济川街道</v>
      </c>
      <c r="N7091" s="1" t="str">
        <f t="shared" si="2062"/>
        <v>凡华云仓-韵达-抖音</v>
      </c>
      <c r="O7091" s="5">
        <v>320175882474245</v>
      </c>
      <c r="P7091" s="6">
        <v>0.35</v>
      </c>
      <c r="Q7091" s="11">
        <v>2.2999999999999998</v>
      </c>
      <c r="R7091" s="11"/>
      <c r="S7091" s="11"/>
      <c r="T7091" s="11"/>
      <c r="U7091" s="11">
        <f t="shared" si="2060"/>
        <v>2.2999999999999998</v>
      </c>
      <c r="W7091">
        <v>2.5</v>
      </c>
      <c r="X7091" s="1" t="s">
        <v>13</v>
      </c>
    </row>
    <row r="7092" spans="1:24" x14ac:dyDescent="0.25">
      <c r="A7092" s="1" t="str">
        <f t="shared" si="2063"/>
        <v>卡卡杜-凤凰仓</v>
      </c>
      <c r="B7092" s="1" t="str">
        <f>"CK20241017107"</f>
        <v>CK20241017107</v>
      </c>
      <c r="C7092" s="1" t="str">
        <f>"DD202410176158"</f>
        <v>DD202410176158</v>
      </c>
      <c r="D7092" s="1" t="str">
        <f>"CK2024101712480"</f>
        <v>CK2024101712480</v>
      </c>
      <c r="E7092" s="1" t="str">
        <f>"6935081052978812219"</f>
        <v>6935081052978812219</v>
      </c>
      <c r="F7092" s="1" t="str">
        <f t="shared" si="2064"/>
        <v>花都四部-凤凰仓</v>
      </c>
      <c r="G7092" s="1" t="str">
        <f t="shared" si="2061"/>
        <v>卡卡杜个人护理店（抖店）</v>
      </c>
      <c r="H7092" s="1" t="str">
        <f t="shared" si="2065"/>
        <v>正常订单</v>
      </c>
      <c r="I7092" s="1" t="str">
        <f t="shared" si="2066"/>
        <v>已发货</v>
      </c>
      <c r="J7092" s="1" t="str">
        <f t="shared" si="2070"/>
        <v>3</v>
      </c>
      <c r="K7092" s="1">
        <v>2</v>
      </c>
      <c r="L7092" s="1" t="s">
        <v>22</v>
      </c>
      <c r="M7092" s="1" t="str">
        <f>"江西省 抚州市 临川区 青云街道"</f>
        <v>江西省 抚州市 临川区 青云街道</v>
      </c>
      <c r="N7092" s="1" t="str">
        <f t="shared" si="2062"/>
        <v>凡华云仓-韵达-抖音</v>
      </c>
      <c r="O7092" s="5">
        <v>320175882474154</v>
      </c>
      <c r="P7092" s="6">
        <v>0.35</v>
      </c>
      <c r="Q7092" s="11">
        <v>2.2999999999999998</v>
      </c>
      <c r="R7092" s="11"/>
      <c r="S7092" s="11"/>
      <c r="T7092" s="11"/>
      <c r="U7092" s="11">
        <f t="shared" si="2060"/>
        <v>2.2999999999999998</v>
      </c>
      <c r="W7092">
        <v>2.5</v>
      </c>
      <c r="X7092" s="1" t="s">
        <v>22</v>
      </c>
    </row>
    <row r="7093" spans="1:24" x14ac:dyDescent="0.25">
      <c r="A7093" s="1" t="str">
        <f t="shared" si="2063"/>
        <v>卡卡杜-凤凰仓</v>
      </c>
      <c r="B7093" s="1" t="str">
        <f>"CK2024101796"</f>
        <v>CK2024101796</v>
      </c>
      <c r="C7093" s="1" t="str">
        <f>"DD202410176147"</f>
        <v>DD202410176147</v>
      </c>
      <c r="D7093" s="1" t="str">
        <f>"CK2024101712479"</f>
        <v>CK2024101712479</v>
      </c>
      <c r="E7093" s="1" t="str">
        <f>"6935079154663888033"</f>
        <v>6935079154663888033</v>
      </c>
      <c r="F7093" s="1" t="str">
        <f t="shared" si="2064"/>
        <v>花都四部-凤凰仓</v>
      </c>
      <c r="G7093" s="1" t="str">
        <f t="shared" si="2061"/>
        <v>卡卡杜个人护理店（抖店）</v>
      </c>
      <c r="H7093" s="1" t="str">
        <f t="shared" si="2065"/>
        <v>正常订单</v>
      </c>
      <c r="I7093" s="1" t="str">
        <f t="shared" si="2066"/>
        <v>已发货</v>
      </c>
      <c r="J7093" s="1" t="str">
        <f t="shared" si="2070"/>
        <v>3</v>
      </c>
      <c r="K7093" s="1">
        <v>2</v>
      </c>
      <c r="L7093" s="1" t="s">
        <v>96</v>
      </c>
      <c r="M7093" s="1" t="str">
        <f>"广西壮族自治区 南宁市 良庆区 良庆镇"</f>
        <v>广西壮族自治区 南宁市 良庆区 良庆镇</v>
      </c>
      <c r="N7093" s="1" t="str">
        <f t="shared" si="2062"/>
        <v>凡华云仓-韵达-抖音</v>
      </c>
      <c r="O7093" s="5">
        <v>320175882474065</v>
      </c>
      <c r="P7093" s="6">
        <v>0.35</v>
      </c>
      <c r="Q7093" s="11">
        <v>2.2999999999999998</v>
      </c>
      <c r="R7093" s="11"/>
      <c r="S7093" s="11"/>
      <c r="T7093" s="11"/>
      <c r="U7093" s="11">
        <f t="shared" si="2060"/>
        <v>2.2999999999999998</v>
      </c>
      <c r="W7093">
        <v>2.5</v>
      </c>
      <c r="X7093" s="1" t="s">
        <v>96</v>
      </c>
    </row>
    <row r="7094" spans="1:24" x14ac:dyDescent="0.25">
      <c r="A7094" s="1" t="str">
        <f t="shared" si="2063"/>
        <v>卡卡杜-凤凰仓</v>
      </c>
      <c r="B7094" s="1" t="str">
        <f>"CK2024101797"</f>
        <v>CK2024101797</v>
      </c>
      <c r="C7094" s="1" t="str">
        <f>"DD202410176149"</f>
        <v>DD202410176149</v>
      </c>
      <c r="D7094" s="1" t="str">
        <f>"CK2024101712478"</f>
        <v>CK2024101712478</v>
      </c>
      <c r="E7094" s="1" t="str">
        <f>"6935079004116227522"</f>
        <v>6935079004116227522</v>
      </c>
      <c r="F7094" s="1" t="str">
        <f t="shared" si="2064"/>
        <v>花都四部-凤凰仓</v>
      </c>
      <c r="G7094" s="1" t="str">
        <f t="shared" si="2061"/>
        <v>卡卡杜个人护理店（抖店）</v>
      </c>
      <c r="H7094" s="1" t="str">
        <f t="shared" si="2065"/>
        <v>正常订单</v>
      </c>
      <c r="I7094" s="1" t="str">
        <f t="shared" si="2066"/>
        <v>已发货</v>
      </c>
      <c r="J7094" s="1" t="str">
        <f t="shared" si="2070"/>
        <v>3</v>
      </c>
      <c r="K7094" s="1">
        <v>2</v>
      </c>
      <c r="L7094" s="1" t="s">
        <v>13</v>
      </c>
      <c r="M7094" s="1" t="str">
        <f>"江苏省 徐州市 新沂市 新安街道"</f>
        <v>江苏省 徐州市 新沂市 新安街道</v>
      </c>
      <c r="N7094" s="1" t="str">
        <f t="shared" si="2062"/>
        <v>凡华云仓-韵达-抖音</v>
      </c>
      <c r="O7094" s="5">
        <v>320175882473943</v>
      </c>
      <c r="P7094" s="6">
        <v>0.35</v>
      </c>
      <c r="Q7094" s="11">
        <v>2.2999999999999998</v>
      </c>
      <c r="R7094" s="11"/>
      <c r="S7094" s="11"/>
      <c r="T7094" s="11"/>
      <c r="U7094" s="11">
        <f t="shared" si="2060"/>
        <v>2.2999999999999998</v>
      </c>
      <c r="W7094">
        <v>2.5</v>
      </c>
      <c r="X7094" s="1" t="s">
        <v>13</v>
      </c>
    </row>
    <row r="7095" spans="1:24" x14ac:dyDescent="0.25">
      <c r="A7095" s="1" t="str">
        <f t="shared" si="2063"/>
        <v>卡卡杜-凤凰仓</v>
      </c>
      <c r="B7095" s="1" t="str">
        <f>"CK20241017119"</f>
        <v>CK20241017119</v>
      </c>
      <c r="C7095" s="1" t="str">
        <f>"DD202410176170"</f>
        <v>DD202410176170</v>
      </c>
      <c r="D7095" s="1" t="str">
        <f>"CK2024101712477"</f>
        <v>CK2024101712477</v>
      </c>
      <c r="E7095" s="1" t="str">
        <f>"6935074970468030015"</f>
        <v>6935074970468030015</v>
      </c>
      <c r="F7095" s="1" t="str">
        <f t="shared" si="2064"/>
        <v>花都四部-凤凰仓</v>
      </c>
      <c r="G7095" s="1" t="str">
        <f t="shared" si="2061"/>
        <v>卡卡杜个人护理店（抖店）</v>
      </c>
      <c r="H7095" s="1" t="str">
        <f t="shared" si="2065"/>
        <v>正常订单</v>
      </c>
      <c r="I7095" s="1" t="str">
        <f t="shared" si="2066"/>
        <v>已发货</v>
      </c>
      <c r="J7095" s="1" t="str">
        <f t="shared" si="2070"/>
        <v>3</v>
      </c>
      <c r="K7095" s="1">
        <v>2</v>
      </c>
      <c r="L7095" s="1" t="s">
        <v>96</v>
      </c>
      <c r="M7095" s="1" t="str">
        <f>"广西壮族自治区 百色市 右江区 "</f>
        <v xml:space="preserve">广西壮族自治区 百色市 右江区 </v>
      </c>
      <c r="N7095" s="1" t="str">
        <f t="shared" si="2062"/>
        <v>凡华云仓-韵达-抖音</v>
      </c>
      <c r="O7095" s="5">
        <v>320175882473838</v>
      </c>
      <c r="P7095" s="6">
        <v>0.35</v>
      </c>
      <c r="Q7095" s="11">
        <v>2.2999999999999998</v>
      </c>
      <c r="R7095" s="11"/>
      <c r="S7095" s="11"/>
      <c r="T7095" s="11"/>
      <c r="U7095" s="11">
        <f t="shared" si="2060"/>
        <v>2.2999999999999998</v>
      </c>
      <c r="W7095">
        <v>2.5</v>
      </c>
      <c r="X7095" s="1" t="s">
        <v>96</v>
      </c>
    </row>
    <row r="7096" spans="1:24" x14ac:dyDescent="0.25">
      <c r="A7096" s="1" t="str">
        <f t="shared" si="2063"/>
        <v>卡卡杜-凤凰仓</v>
      </c>
      <c r="B7096" s="1" t="str">
        <f>"CK2024101733"</f>
        <v>CK2024101733</v>
      </c>
      <c r="C7096" s="1" t="str">
        <f>"DD202410176084"</f>
        <v>DD202410176084</v>
      </c>
      <c r="D7096" s="1" t="str">
        <f>"CK2024101712476"</f>
        <v>CK2024101712476</v>
      </c>
      <c r="E7096" s="1" t="str">
        <f>"6935096465186625147"</f>
        <v>6935096465186625147</v>
      </c>
      <c r="F7096" s="1" t="str">
        <f t="shared" si="2064"/>
        <v>花都四部-凤凰仓</v>
      </c>
      <c r="G7096" s="1" t="str">
        <f t="shared" si="2061"/>
        <v>卡卡杜个人护理店（抖店）</v>
      </c>
      <c r="H7096" s="1" t="str">
        <f t="shared" si="2065"/>
        <v>正常订单</v>
      </c>
      <c r="I7096" s="1" t="str">
        <f t="shared" si="2066"/>
        <v>已发货</v>
      </c>
      <c r="J7096" s="1" t="str">
        <f>"6"</f>
        <v>6</v>
      </c>
      <c r="K7096" s="1">
        <v>3</v>
      </c>
      <c r="L7096" s="1" t="s">
        <v>22</v>
      </c>
      <c r="M7096" s="1" t="str">
        <f>"江西省 南昌市 青山湖区 "</f>
        <v xml:space="preserve">江西省 南昌市 青山湖区 </v>
      </c>
      <c r="N7096" s="1" t="str">
        <f t="shared" si="2062"/>
        <v>凡华云仓-韵达-抖音</v>
      </c>
      <c r="O7096" s="5">
        <v>320175893110313</v>
      </c>
      <c r="P7096" s="6">
        <v>0.55000000000000004</v>
      </c>
      <c r="Q7096" s="11">
        <f>CEILING(P7096-0.5,0.1)*10*0.15+2.3</f>
        <v>2.4499999999999997</v>
      </c>
      <c r="R7096" s="11"/>
      <c r="S7096" s="11"/>
      <c r="T7096" s="11"/>
      <c r="U7096" s="11">
        <f t="shared" si="2060"/>
        <v>2.4499999999999997</v>
      </c>
      <c r="V7096" t="s">
        <v>15</v>
      </c>
      <c r="W7096">
        <v>2.4500000000000002</v>
      </c>
      <c r="X7096" s="1" t="s">
        <v>22</v>
      </c>
    </row>
    <row r="7097" spans="1:24" x14ac:dyDescent="0.25">
      <c r="A7097" s="1" t="str">
        <f t="shared" si="2063"/>
        <v>卡卡杜-凤凰仓</v>
      </c>
      <c r="B7097" s="1" t="str">
        <f>"CK20241017101"</f>
        <v>CK20241017101</v>
      </c>
      <c r="C7097" s="1" t="str">
        <f>"DD202410176152"</f>
        <v>DD202410176152</v>
      </c>
      <c r="D7097" s="1" t="str">
        <f>"CK2024101712475"</f>
        <v>CK2024101712475</v>
      </c>
      <c r="E7097" s="1" t="str">
        <f>"6935096642693764408"</f>
        <v>6935096642693764408</v>
      </c>
      <c r="F7097" s="1" t="str">
        <f t="shared" si="2064"/>
        <v>花都四部-凤凰仓</v>
      </c>
      <c r="G7097" s="1" t="str">
        <f t="shared" si="2061"/>
        <v>卡卡杜个人护理店（抖店）</v>
      </c>
      <c r="H7097" s="1" t="str">
        <f t="shared" si="2065"/>
        <v>正常订单</v>
      </c>
      <c r="I7097" s="1" t="str">
        <f t="shared" si="2066"/>
        <v>已发货</v>
      </c>
      <c r="J7097" s="1" t="str">
        <f t="shared" ref="J7097:J7101" si="2071">"3"</f>
        <v>3</v>
      </c>
      <c r="K7097" s="1">
        <v>2</v>
      </c>
      <c r="L7097" s="1" t="s">
        <v>18</v>
      </c>
      <c r="M7097" s="1" t="str">
        <f>"广东省 河源市 东源县 柳城镇"</f>
        <v>广东省 河源市 东源县 柳城镇</v>
      </c>
      <c r="N7097" s="1" t="str">
        <f t="shared" si="2062"/>
        <v>凡华云仓-韵达-抖音</v>
      </c>
      <c r="O7097" s="5">
        <v>320175893110220</v>
      </c>
      <c r="P7097" s="6">
        <v>0.35</v>
      </c>
      <c r="Q7097" s="11">
        <v>2.2999999999999998</v>
      </c>
      <c r="R7097" s="11"/>
      <c r="S7097" s="11"/>
      <c r="T7097" s="11"/>
      <c r="U7097" s="11">
        <f t="shared" si="2060"/>
        <v>2.2999999999999998</v>
      </c>
      <c r="W7097">
        <v>2.5</v>
      </c>
      <c r="X7097" s="1" t="s">
        <v>18</v>
      </c>
    </row>
    <row r="7098" spans="1:24" x14ac:dyDescent="0.25">
      <c r="A7098" s="1" t="str">
        <f t="shared" si="2063"/>
        <v>卡卡杜-凤凰仓</v>
      </c>
      <c r="B7098" s="1" t="str">
        <f>"CK20241017115"</f>
        <v>CK20241017115</v>
      </c>
      <c r="C7098" s="1" t="str">
        <f>"DD202410176166"</f>
        <v>DD202410176166</v>
      </c>
      <c r="D7098" s="1" t="str">
        <f>"CK2024101712474"</f>
        <v>CK2024101712474</v>
      </c>
      <c r="E7098" s="1" t="str">
        <f>"6935096587326330484"</f>
        <v>6935096587326330484</v>
      </c>
      <c r="F7098" s="1" t="str">
        <f t="shared" si="2064"/>
        <v>花都四部-凤凰仓</v>
      </c>
      <c r="G7098" s="1" t="str">
        <f t="shared" si="2061"/>
        <v>卡卡杜个人护理店（抖店）</v>
      </c>
      <c r="H7098" s="1" t="str">
        <f t="shared" si="2065"/>
        <v>正常订单</v>
      </c>
      <c r="I7098" s="1" t="str">
        <f t="shared" si="2066"/>
        <v>已发货</v>
      </c>
      <c r="J7098" s="1" t="str">
        <f t="shared" si="2071"/>
        <v>3</v>
      </c>
      <c r="K7098" s="1">
        <v>2</v>
      </c>
      <c r="L7098" s="1" t="s">
        <v>20</v>
      </c>
      <c r="M7098" s="1" t="str">
        <f>"浙江省 丽水市 莲都区 紫金街道"</f>
        <v>浙江省 丽水市 莲都区 紫金街道</v>
      </c>
      <c r="N7098" s="1" t="str">
        <f t="shared" si="2062"/>
        <v>凡华云仓-韵达-抖音</v>
      </c>
      <c r="O7098" s="5">
        <v>320175893110129</v>
      </c>
      <c r="P7098" s="6">
        <v>0.35</v>
      </c>
      <c r="Q7098" s="11">
        <v>2.2999999999999998</v>
      </c>
      <c r="R7098" s="11"/>
      <c r="S7098" s="11"/>
      <c r="T7098" s="11"/>
      <c r="U7098" s="11">
        <f t="shared" si="2060"/>
        <v>2.2999999999999998</v>
      </c>
      <c r="W7098">
        <v>2.5</v>
      </c>
      <c r="X7098" s="1" t="s">
        <v>20</v>
      </c>
    </row>
    <row r="7099" spans="1:24" x14ac:dyDescent="0.25">
      <c r="A7099" s="1" t="str">
        <f t="shared" si="2063"/>
        <v>卡卡杜-凤凰仓</v>
      </c>
      <c r="B7099" s="1" t="str">
        <f>"CK20241017112"</f>
        <v>CK20241017112</v>
      </c>
      <c r="C7099" s="1" t="str">
        <f>"DD202410176163"</f>
        <v>DD202410176163</v>
      </c>
      <c r="D7099" s="1" t="str">
        <f>"CK2024101712473"</f>
        <v>CK2024101712473</v>
      </c>
      <c r="E7099" s="1" t="str">
        <f>"6935083080904480455"</f>
        <v>6935083080904480455</v>
      </c>
      <c r="F7099" s="1" t="str">
        <f t="shared" si="2064"/>
        <v>花都四部-凤凰仓</v>
      </c>
      <c r="G7099" s="1" t="str">
        <f t="shared" si="2061"/>
        <v>卡卡杜个人护理店（抖店）</v>
      </c>
      <c r="H7099" s="1" t="str">
        <f t="shared" si="2065"/>
        <v>正常订单</v>
      </c>
      <c r="I7099" s="1" t="str">
        <f t="shared" si="2066"/>
        <v>已发货</v>
      </c>
      <c r="J7099" s="1" t="str">
        <f t="shared" si="2071"/>
        <v>3</v>
      </c>
      <c r="K7099" s="1">
        <v>2</v>
      </c>
      <c r="L7099" s="1" t="s">
        <v>24</v>
      </c>
      <c r="M7099" s="1" t="str">
        <f>"福建省 宁德市 福鼎市 "</f>
        <v xml:space="preserve">福建省 宁德市 福鼎市 </v>
      </c>
      <c r="N7099" s="1" t="str">
        <f t="shared" si="2062"/>
        <v>凡华云仓-韵达-抖音</v>
      </c>
      <c r="O7099" s="5">
        <v>320175893110040</v>
      </c>
      <c r="P7099" s="6">
        <v>0.35</v>
      </c>
      <c r="Q7099" s="11">
        <v>2.2999999999999998</v>
      </c>
      <c r="R7099" s="11"/>
      <c r="S7099" s="11"/>
      <c r="T7099" s="11"/>
      <c r="U7099" s="11">
        <f t="shared" si="2060"/>
        <v>2.2999999999999998</v>
      </c>
      <c r="W7099">
        <v>2.5</v>
      </c>
      <c r="X7099" s="1" t="s">
        <v>24</v>
      </c>
    </row>
    <row r="7100" spans="1:24" x14ac:dyDescent="0.25">
      <c r="A7100" s="1" t="str">
        <f t="shared" si="2063"/>
        <v>卡卡杜-凤凰仓</v>
      </c>
      <c r="B7100" s="1" t="str">
        <f>"CK20241017109"</f>
        <v>CK20241017109</v>
      </c>
      <c r="C7100" s="1" t="str">
        <f>"DD202410176162"</f>
        <v>DD202410176162</v>
      </c>
      <c r="D7100" s="1" t="str">
        <f>"CK2024101712472"</f>
        <v>CK2024101712472</v>
      </c>
      <c r="E7100" s="1" t="str">
        <f>"6935094396340212936"</f>
        <v>6935094396340212936</v>
      </c>
      <c r="F7100" s="1" t="str">
        <f t="shared" si="2064"/>
        <v>花都四部-凤凰仓</v>
      </c>
      <c r="G7100" s="1" t="str">
        <f t="shared" si="2061"/>
        <v>卡卡杜个人护理店（抖店）</v>
      </c>
      <c r="H7100" s="1" t="str">
        <f t="shared" si="2065"/>
        <v>正常订单</v>
      </c>
      <c r="I7100" s="1" t="str">
        <f t="shared" si="2066"/>
        <v>已发货</v>
      </c>
      <c r="J7100" s="1" t="str">
        <f t="shared" si="2071"/>
        <v>3</v>
      </c>
      <c r="K7100" s="1">
        <v>2</v>
      </c>
      <c r="L7100" s="1" t="s">
        <v>13</v>
      </c>
      <c r="M7100" s="1" t="str">
        <f>"江苏省 盐城市 盐都区 盐龙街道"</f>
        <v>江苏省 盐城市 盐都区 盐龙街道</v>
      </c>
      <c r="N7100" s="1" t="str">
        <f t="shared" si="2062"/>
        <v>凡华云仓-韵达-抖音</v>
      </c>
      <c r="O7100" s="5">
        <v>320175893109997</v>
      </c>
      <c r="P7100" s="6">
        <v>0.35</v>
      </c>
      <c r="Q7100" s="11">
        <v>2.2999999999999998</v>
      </c>
      <c r="R7100" s="11"/>
      <c r="S7100" s="11"/>
      <c r="T7100" s="11"/>
      <c r="U7100" s="11">
        <f t="shared" si="2060"/>
        <v>2.2999999999999998</v>
      </c>
      <c r="W7100">
        <v>2.5</v>
      </c>
      <c r="X7100" s="1" t="s">
        <v>13</v>
      </c>
    </row>
    <row r="7101" spans="1:24" x14ac:dyDescent="0.25">
      <c r="A7101" s="1" t="str">
        <f t="shared" si="2063"/>
        <v>卡卡杜-凤凰仓</v>
      </c>
      <c r="B7101" s="1" t="str">
        <f>"CK20241017118"</f>
        <v>CK20241017118</v>
      </c>
      <c r="C7101" s="1" t="str">
        <f>"DD202410176169"</f>
        <v>DD202410176169</v>
      </c>
      <c r="D7101" s="1" t="str">
        <f>"CK2024101712471"</f>
        <v>CK2024101712471</v>
      </c>
      <c r="E7101" s="1" t="str">
        <f>"6935078751035790592"</f>
        <v>6935078751035790592</v>
      </c>
      <c r="F7101" s="1" t="str">
        <f t="shared" si="2064"/>
        <v>花都四部-凤凰仓</v>
      </c>
      <c r="G7101" s="1" t="str">
        <f t="shared" si="2061"/>
        <v>卡卡杜个人护理店（抖店）</v>
      </c>
      <c r="H7101" s="1" t="str">
        <f t="shared" si="2065"/>
        <v>正常订单</v>
      </c>
      <c r="I7101" s="1" t="str">
        <f t="shared" si="2066"/>
        <v>已发货</v>
      </c>
      <c r="J7101" s="1" t="str">
        <f t="shared" si="2071"/>
        <v>3</v>
      </c>
      <c r="K7101" s="1">
        <v>2</v>
      </c>
      <c r="L7101" s="1" t="s">
        <v>30</v>
      </c>
      <c r="M7101" s="1" t="str">
        <f>"山东省 泰安市 岱岳区 粥店街道"</f>
        <v>山东省 泰安市 岱岳区 粥店街道</v>
      </c>
      <c r="N7101" s="1" t="str">
        <f t="shared" si="2062"/>
        <v>凡华云仓-韵达-抖音</v>
      </c>
      <c r="O7101" s="5">
        <v>320175893109892</v>
      </c>
      <c r="P7101" s="6">
        <v>0.35</v>
      </c>
      <c r="Q7101" s="11">
        <v>2.2999999999999998</v>
      </c>
      <c r="R7101" s="11"/>
      <c r="S7101" s="11"/>
      <c r="T7101" s="11"/>
      <c r="U7101" s="11">
        <f t="shared" si="2060"/>
        <v>2.2999999999999998</v>
      </c>
      <c r="W7101">
        <v>2.5</v>
      </c>
      <c r="X7101" s="1" t="s">
        <v>30</v>
      </c>
    </row>
    <row r="7102" spans="1:24" x14ac:dyDescent="0.25">
      <c r="A7102" s="1" t="str">
        <f t="shared" si="2063"/>
        <v>卡卡杜-凤凰仓</v>
      </c>
      <c r="B7102" s="1" t="str">
        <f>"CK2024101728"</f>
        <v>CK2024101728</v>
      </c>
      <c r="C7102" s="1" t="str">
        <f>"DD202410176080"</f>
        <v>DD202410176080</v>
      </c>
      <c r="D7102" s="1" t="str">
        <f>"CK2024101712470"</f>
        <v>CK2024101712470</v>
      </c>
      <c r="E7102" s="1" t="str">
        <f>"6935091851836462110"</f>
        <v>6935091851836462110</v>
      </c>
      <c r="F7102" s="1" t="str">
        <f t="shared" si="2064"/>
        <v>花都四部-凤凰仓</v>
      </c>
      <c r="G7102" s="1" t="str">
        <f t="shared" si="2061"/>
        <v>卡卡杜个人护理店（抖店）</v>
      </c>
      <c r="H7102" s="1" t="str">
        <f t="shared" si="2065"/>
        <v>正常订单</v>
      </c>
      <c r="I7102" s="1" t="str">
        <f t="shared" si="2066"/>
        <v>已发货</v>
      </c>
      <c r="J7102" s="1" t="str">
        <f>"5"</f>
        <v>5</v>
      </c>
      <c r="K7102" s="1">
        <v>2</v>
      </c>
      <c r="L7102" s="1" t="s">
        <v>27</v>
      </c>
      <c r="M7102" s="1" t="str">
        <f>"贵州省 贵阳市 花溪区 "</f>
        <v xml:space="preserve">贵州省 贵阳市 花溪区 </v>
      </c>
      <c r="N7102" s="1" t="str">
        <f t="shared" si="2062"/>
        <v>凡华云仓-韵达-抖音</v>
      </c>
      <c r="O7102" s="5">
        <v>320175893109789</v>
      </c>
      <c r="P7102" s="6">
        <v>0.59</v>
      </c>
      <c r="Q7102" s="11">
        <f>CEILING(P7102-0.5,0.1)*10*0.15+2.3</f>
        <v>2.4499999999999997</v>
      </c>
      <c r="R7102" s="11"/>
      <c r="S7102" s="11"/>
      <c r="T7102" s="11"/>
      <c r="U7102" s="11">
        <f t="shared" si="2060"/>
        <v>2.4499999999999997</v>
      </c>
      <c r="V7102" t="s">
        <v>15</v>
      </c>
      <c r="W7102">
        <v>2.4500000000000002</v>
      </c>
      <c r="X7102" s="1" t="s">
        <v>27</v>
      </c>
    </row>
    <row r="7103" spans="1:24" x14ac:dyDescent="0.25">
      <c r="A7103" s="1" t="str">
        <f t="shared" si="2063"/>
        <v>卡卡杜-凤凰仓</v>
      </c>
      <c r="B7103" s="1" t="str">
        <f>"CK2024101787"</f>
        <v>CK2024101787</v>
      </c>
      <c r="C7103" s="1" t="str">
        <f>"DD202410176136"</f>
        <v>DD202410176136</v>
      </c>
      <c r="D7103" s="1" t="str">
        <f>"CK2024101712469"</f>
        <v>CK2024101712469</v>
      </c>
      <c r="E7103" s="1" t="str">
        <f>"6935091769127146760"</f>
        <v>6935091769127146760</v>
      </c>
      <c r="F7103" s="1" t="str">
        <f t="shared" si="2064"/>
        <v>花都四部-凤凰仓</v>
      </c>
      <c r="G7103" s="1" t="str">
        <f t="shared" si="2061"/>
        <v>卡卡杜个人护理店（抖店）</v>
      </c>
      <c r="H7103" s="1" t="str">
        <f t="shared" si="2065"/>
        <v>正常订单</v>
      </c>
      <c r="I7103" s="1" t="str">
        <f t="shared" si="2066"/>
        <v>已发货</v>
      </c>
      <c r="J7103" s="1" t="str">
        <f t="shared" ref="J7103:J7110" si="2072">"3"</f>
        <v>3</v>
      </c>
      <c r="K7103" s="1">
        <v>2</v>
      </c>
      <c r="L7103" s="1" t="s">
        <v>94</v>
      </c>
      <c r="M7103" s="1" t="str">
        <f>"湖南省 株洲市 天元区 栗雨街道"</f>
        <v>湖南省 株洲市 天元区 栗雨街道</v>
      </c>
      <c r="N7103" s="1" t="str">
        <f t="shared" si="2062"/>
        <v>凡华云仓-韵达-抖音</v>
      </c>
      <c r="O7103" s="5">
        <v>320175893109688</v>
      </c>
      <c r="P7103" s="6">
        <v>0.35</v>
      </c>
      <c r="Q7103" s="11">
        <v>2.2999999999999998</v>
      </c>
      <c r="R7103" s="11"/>
      <c r="S7103" s="11"/>
      <c r="T7103" s="11"/>
      <c r="U7103" s="11">
        <f t="shared" si="2060"/>
        <v>2.2999999999999998</v>
      </c>
      <c r="W7103">
        <v>2.5</v>
      </c>
      <c r="X7103" s="1" t="s">
        <v>94</v>
      </c>
    </row>
    <row r="7104" spans="1:24" x14ac:dyDescent="0.25">
      <c r="A7104" s="1" t="str">
        <f t="shared" si="2063"/>
        <v>卡卡杜-凤凰仓</v>
      </c>
      <c r="B7104" s="1" t="str">
        <f>"CK2024101792"</f>
        <v>CK2024101792</v>
      </c>
      <c r="C7104" s="1" t="str">
        <f>"DD202410176143"</f>
        <v>DD202410176143</v>
      </c>
      <c r="D7104" s="1" t="str">
        <f>"CK2024101712468"</f>
        <v>CK2024101712468</v>
      </c>
      <c r="E7104" s="1" t="str">
        <f>"6935065331239884253"</f>
        <v>6935065331239884253</v>
      </c>
      <c r="F7104" s="1" t="str">
        <f t="shared" si="2064"/>
        <v>花都四部-凤凰仓</v>
      </c>
      <c r="G7104" s="1" t="str">
        <f t="shared" si="2061"/>
        <v>卡卡杜个人护理店（抖店）</v>
      </c>
      <c r="H7104" s="1" t="str">
        <f t="shared" si="2065"/>
        <v>正常订单</v>
      </c>
      <c r="I7104" s="1" t="str">
        <f t="shared" si="2066"/>
        <v>已发货</v>
      </c>
      <c r="J7104" s="1" t="str">
        <f t="shared" si="2072"/>
        <v>3</v>
      </c>
      <c r="K7104" s="1">
        <v>2</v>
      </c>
      <c r="L7104" s="1" t="s">
        <v>36</v>
      </c>
      <c r="M7104" s="1" t="str">
        <f>"安徽省 亳州市 谯城区 汤陵街道"</f>
        <v>安徽省 亳州市 谯城区 汤陵街道</v>
      </c>
      <c r="N7104" s="1" t="str">
        <f t="shared" si="2062"/>
        <v>凡华云仓-韵达-抖音</v>
      </c>
      <c r="O7104" s="5">
        <v>320175893109589</v>
      </c>
      <c r="P7104" s="6">
        <v>0.35</v>
      </c>
      <c r="Q7104" s="11">
        <v>2.2999999999999998</v>
      </c>
      <c r="R7104" s="11"/>
      <c r="S7104" s="11"/>
      <c r="T7104" s="11"/>
      <c r="U7104" s="11">
        <f t="shared" si="2060"/>
        <v>2.2999999999999998</v>
      </c>
      <c r="W7104">
        <v>2.5</v>
      </c>
      <c r="X7104" s="1" t="s">
        <v>36</v>
      </c>
    </row>
    <row r="7105" spans="1:24" x14ac:dyDescent="0.25">
      <c r="A7105" s="1" t="str">
        <f t="shared" si="2063"/>
        <v>卡卡杜-凤凰仓</v>
      </c>
      <c r="B7105" s="1" t="str">
        <f>"CK2024101775"</f>
        <v>CK2024101775</v>
      </c>
      <c r="C7105" s="1" t="str">
        <f>"DD202410176125"</f>
        <v>DD202410176125</v>
      </c>
      <c r="D7105" s="1" t="str">
        <f>"CK2024101712467"</f>
        <v>CK2024101712467</v>
      </c>
      <c r="E7105" s="1" t="str">
        <f>"6935078380518642720"</f>
        <v>6935078380518642720</v>
      </c>
      <c r="F7105" s="1" t="str">
        <f t="shared" si="2064"/>
        <v>花都四部-凤凰仓</v>
      </c>
      <c r="G7105" s="1" t="str">
        <f t="shared" si="2061"/>
        <v>卡卡杜个人护理店（抖店）</v>
      </c>
      <c r="H7105" s="1" t="str">
        <f t="shared" si="2065"/>
        <v>正常订单</v>
      </c>
      <c r="I7105" s="1" t="str">
        <f t="shared" si="2066"/>
        <v>已发货</v>
      </c>
      <c r="J7105" s="1" t="str">
        <f t="shared" si="2072"/>
        <v>3</v>
      </c>
      <c r="K7105" s="1">
        <v>2</v>
      </c>
      <c r="L7105" s="1" t="s">
        <v>94</v>
      </c>
      <c r="M7105" s="1" t="str">
        <f>"湖南省 株洲市 芦淞区 建宁街道"</f>
        <v>湖南省 株洲市 芦淞区 建宁街道</v>
      </c>
      <c r="N7105" s="1" t="str">
        <f t="shared" si="2062"/>
        <v>凡华云仓-韵达-抖音</v>
      </c>
      <c r="O7105" s="5">
        <v>320175893109492</v>
      </c>
      <c r="P7105" s="6">
        <v>0.35</v>
      </c>
      <c r="Q7105" s="11">
        <v>2.2999999999999998</v>
      </c>
      <c r="R7105" s="11"/>
      <c r="S7105" s="11"/>
      <c r="T7105" s="11"/>
      <c r="U7105" s="11">
        <f t="shared" si="2060"/>
        <v>2.2999999999999998</v>
      </c>
      <c r="W7105">
        <v>2.5</v>
      </c>
      <c r="X7105" s="1" t="s">
        <v>94</v>
      </c>
    </row>
    <row r="7106" spans="1:24" x14ac:dyDescent="0.25">
      <c r="A7106" s="1" t="str">
        <f t="shared" si="2063"/>
        <v>卡卡杜-凤凰仓</v>
      </c>
      <c r="B7106" s="1" t="str">
        <f>"CK2024101795"</f>
        <v>CK2024101795</v>
      </c>
      <c r="C7106" s="1" t="str">
        <f>"DD202410176146"</f>
        <v>DD202410176146</v>
      </c>
      <c r="D7106" s="1" t="str">
        <f>"CK2024101712466"</f>
        <v>CK2024101712466</v>
      </c>
      <c r="E7106" s="1" t="str">
        <f>"6935065363207296051"</f>
        <v>6935065363207296051</v>
      </c>
      <c r="F7106" s="1" t="str">
        <f t="shared" si="2064"/>
        <v>花都四部-凤凰仓</v>
      </c>
      <c r="G7106" s="1" t="str">
        <f t="shared" si="2061"/>
        <v>卡卡杜个人护理店（抖店）</v>
      </c>
      <c r="H7106" s="1" t="str">
        <f t="shared" si="2065"/>
        <v>正常订单</v>
      </c>
      <c r="I7106" s="1" t="str">
        <f t="shared" si="2066"/>
        <v>已发货</v>
      </c>
      <c r="J7106" s="1" t="str">
        <f t="shared" si="2072"/>
        <v>3</v>
      </c>
      <c r="K7106" s="1">
        <v>2</v>
      </c>
      <c r="L7106" s="1" t="s">
        <v>18</v>
      </c>
      <c r="M7106" s="1" t="str">
        <f>"广东省 深圳市 宝安区 沙井街道"</f>
        <v>广东省 深圳市 宝安区 沙井街道</v>
      </c>
      <c r="N7106" s="1" t="str">
        <f t="shared" si="2062"/>
        <v>凡华云仓-韵达-抖音</v>
      </c>
      <c r="O7106" s="5">
        <v>320175878565316</v>
      </c>
      <c r="P7106" s="6">
        <v>0.35</v>
      </c>
      <c r="Q7106" s="11">
        <v>2.2999999999999998</v>
      </c>
      <c r="R7106" s="11"/>
      <c r="S7106" s="11"/>
      <c r="T7106" s="11"/>
      <c r="U7106" s="11">
        <f t="shared" si="2060"/>
        <v>2.2999999999999998</v>
      </c>
      <c r="W7106">
        <v>2.5</v>
      </c>
      <c r="X7106" s="1" t="s">
        <v>18</v>
      </c>
    </row>
    <row r="7107" spans="1:24" x14ac:dyDescent="0.25">
      <c r="A7107" s="1" t="str">
        <f t="shared" si="2063"/>
        <v>卡卡杜-凤凰仓</v>
      </c>
      <c r="B7107" s="1" t="str">
        <f>"CK2024101798"</f>
        <v>CK2024101798</v>
      </c>
      <c r="C7107" s="1" t="str">
        <f>"DD202410176148"</f>
        <v>DD202410176148</v>
      </c>
      <c r="D7107" s="1" t="str">
        <f>"CK2024101712465"</f>
        <v>CK2024101712465</v>
      </c>
      <c r="E7107" s="1" t="str">
        <f>"6935060914734307241"</f>
        <v>6935060914734307241</v>
      </c>
      <c r="F7107" s="1" t="str">
        <f t="shared" si="2064"/>
        <v>花都四部-凤凰仓</v>
      </c>
      <c r="G7107" s="1" t="str">
        <f t="shared" si="2061"/>
        <v>卡卡杜个人护理店（抖店）</v>
      </c>
      <c r="H7107" s="1" t="str">
        <f t="shared" si="2065"/>
        <v>正常订单</v>
      </c>
      <c r="I7107" s="1" t="str">
        <f t="shared" si="2066"/>
        <v>已发货</v>
      </c>
      <c r="J7107" s="1" t="str">
        <f t="shared" si="2072"/>
        <v>3</v>
      </c>
      <c r="K7107" s="1">
        <v>2</v>
      </c>
      <c r="L7107" s="1" t="s">
        <v>52</v>
      </c>
      <c r="M7107" s="1" t="str">
        <f>"甘肃省 陇南市 康县 城关镇"</f>
        <v>甘肃省 陇南市 康县 城关镇</v>
      </c>
      <c r="N7107" s="1" t="str">
        <f t="shared" si="2062"/>
        <v>凡华云仓-韵达-抖音</v>
      </c>
      <c r="O7107" s="5">
        <v>320175878565223</v>
      </c>
      <c r="P7107" s="6">
        <v>0.35</v>
      </c>
      <c r="Q7107" s="11">
        <v>2.2999999999999998</v>
      </c>
      <c r="R7107" s="11"/>
      <c r="S7107" s="11"/>
      <c r="T7107" s="11"/>
      <c r="U7107" s="11">
        <f t="shared" ref="U7107:U7170" si="2073">T7107+S7107+R7107+Q7107</f>
        <v>2.2999999999999998</v>
      </c>
      <c r="W7107">
        <v>2.5</v>
      </c>
      <c r="X7107" s="1" t="s">
        <v>52</v>
      </c>
    </row>
    <row r="7108" spans="1:24" x14ac:dyDescent="0.25">
      <c r="A7108" s="1" t="str">
        <f t="shared" si="2063"/>
        <v>卡卡杜-凤凰仓</v>
      </c>
      <c r="B7108" s="1" t="str">
        <f>"CK20241017113"</f>
        <v>CK20241017113</v>
      </c>
      <c r="C7108" s="1" t="str">
        <f>"DD202410176164"</f>
        <v>DD202410176164</v>
      </c>
      <c r="D7108" s="1" t="str">
        <f>"CK2024101712464"</f>
        <v>CK2024101712464</v>
      </c>
      <c r="E7108" s="1" t="str">
        <f>"6935089443846427659"</f>
        <v>6935089443846427659</v>
      </c>
      <c r="F7108" s="1" t="str">
        <f t="shared" si="2064"/>
        <v>花都四部-凤凰仓</v>
      </c>
      <c r="G7108" s="1" t="str">
        <f t="shared" ref="G7108:G7110" si="2074">"卡卡杜个人护理店（抖店）"</f>
        <v>卡卡杜个人护理店（抖店）</v>
      </c>
      <c r="H7108" s="1" t="str">
        <f t="shared" si="2065"/>
        <v>正常订单</v>
      </c>
      <c r="I7108" s="1" t="str">
        <f t="shared" si="2066"/>
        <v>已发货</v>
      </c>
      <c r="J7108" s="1" t="str">
        <f t="shared" si="2072"/>
        <v>3</v>
      </c>
      <c r="K7108" s="1">
        <v>2</v>
      </c>
      <c r="L7108" s="1" t="s">
        <v>18</v>
      </c>
      <c r="M7108" s="1" t="str">
        <f>"广东省 汕头市 龙湖区 "</f>
        <v xml:space="preserve">广东省 汕头市 龙湖区 </v>
      </c>
      <c r="N7108" s="1" t="str">
        <f t="shared" ref="N7108:N7110" si="2075">"凡华云仓-韵达-抖音"</f>
        <v>凡华云仓-韵达-抖音</v>
      </c>
      <c r="O7108" s="5">
        <v>320175878565132</v>
      </c>
      <c r="P7108" s="6">
        <v>0.35</v>
      </c>
      <c r="Q7108" s="11">
        <v>2.2999999999999998</v>
      </c>
      <c r="R7108" s="11"/>
      <c r="S7108" s="11"/>
      <c r="T7108" s="11"/>
      <c r="U7108" s="11">
        <f t="shared" si="2073"/>
        <v>2.2999999999999998</v>
      </c>
      <c r="W7108">
        <v>2.5</v>
      </c>
      <c r="X7108" s="1" t="s">
        <v>18</v>
      </c>
    </row>
    <row r="7109" spans="1:24" x14ac:dyDescent="0.25">
      <c r="A7109" s="1" t="str">
        <f t="shared" ref="A7109:A7172" si="2076">"卡卡杜-凤凰仓"</f>
        <v>卡卡杜-凤凰仓</v>
      </c>
      <c r="B7109" s="1" t="str">
        <f>"CK20241017114"</f>
        <v>CK20241017114</v>
      </c>
      <c r="C7109" s="1" t="str">
        <f>"DD202410176167"</f>
        <v>DD202410176167</v>
      </c>
      <c r="D7109" s="1" t="str">
        <f>"CK2024101712463"</f>
        <v>CK2024101712463</v>
      </c>
      <c r="E7109" s="1" t="str">
        <f>"6918022670952922349"</f>
        <v>6918022670952922349</v>
      </c>
      <c r="F7109" s="1" t="str">
        <f t="shared" ref="F7109:F7172" si="2077">"花都四部-凤凰仓"</f>
        <v>花都四部-凤凰仓</v>
      </c>
      <c r="G7109" s="1" t="str">
        <f t="shared" si="2074"/>
        <v>卡卡杜个人护理店（抖店）</v>
      </c>
      <c r="H7109" s="1" t="str">
        <f t="shared" ref="H7109:H7172" si="2078">"正常订单"</f>
        <v>正常订单</v>
      </c>
      <c r="I7109" s="1" t="str">
        <f t="shared" ref="I7109:I7172" si="2079">"已发货"</f>
        <v>已发货</v>
      </c>
      <c r="J7109" s="1" t="str">
        <f t="shared" si="2072"/>
        <v>3</v>
      </c>
      <c r="K7109" s="1">
        <v>2</v>
      </c>
      <c r="L7109" s="1" t="s">
        <v>52</v>
      </c>
      <c r="M7109" s="1" t="str">
        <f>"甘肃省 平凉市 崇信县 锦屏镇"</f>
        <v>甘肃省 平凉市 崇信县 锦屏镇</v>
      </c>
      <c r="N7109" s="1" t="str">
        <f t="shared" si="2075"/>
        <v>凡华云仓-韵达-抖音</v>
      </c>
      <c r="O7109" s="5">
        <v>320175878565043</v>
      </c>
      <c r="P7109" s="6">
        <v>0.35</v>
      </c>
      <c r="Q7109" s="11">
        <v>2.2999999999999998</v>
      </c>
      <c r="R7109" s="11"/>
      <c r="S7109" s="11"/>
      <c r="T7109" s="11"/>
      <c r="U7109" s="11">
        <f t="shared" si="2073"/>
        <v>2.2999999999999998</v>
      </c>
      <c r="W7109">
        <v>2.5</v>
      </c>
      <c r="X7109" s="1" t="s">
        <v>52</v>
      </c>
    </row>
    <row r="7110" spans="1:24" x14ac:dyDescent="0.25">
      <c r="A7110" s="1" t="str">
        <f t="shared" si="2076"/>
        <v>卡卡杜-凤凰仓</v>
      </c>
      <c r="B7110" s="1" t="str">
        <f>"CK2024101749"</f>
        <v>CK2024101749</v>
      </c>
      <c r="C7110" s="1" t="str">
        <f>"DD202410176098"</f>
        <v>DD202410176098</v>
      </c>
      <c r="D7110" s="1" t="str">
        <f>"CK2024101712462"</f>
        <v>CK2024101712462</v>
      </c>
      <c r="E7110" s="1" t="str">
        <f>"6935060881928951183"</f>
        <v>6935060881928951183</v>
      </c>
      <c r="F7110" s="1" t="str">
        <f t="shared" si="2077"/>
        <v>花都四部-凤凰仓</v>
      </c>
      <c r="G7110" s="1" t="str">
        <f t="shared" si="2074"/>
        <v>卡卡杜个人护理店（抖店）</v>
      </c>
      <c r="H7110" s="1" t="str">
        <f t="shared" si="2078"/>
        <v>正常订单</v>
      </c>
      <c r="I7110" s="1" t="str">
        <f t="shared" si="2079"/>
        <v>已发货</v>
      </c>
      <c r="J7110" s="1" t="str">
        <f t="shared" si="2072"/>
        <v>3</v>
      </c>
      <c r="K7110" s="1">
        <v>2</v>
      </c>
      <c r="L7110" s="1" t="s">
        <v>18</v>
      </c>
      <c r="M7110" s="1" t="str">
        <f>"广东省 汕头市 潮南区 司马浦镇"</f>
        <v>广东省 汕头市 潮南区 司马浦镇</v>
      </c>
      <c r="N7110" s="1" t="str">
        <f t="shared" si="2075"/>
        <v>凡华云仓-韵达-抖音</v>
      </c>
      <c r="O7110" s="5">
        <v>320175878564919</v>
      </c>
      <c r="P7110" s="6">
        <v>0.35</v>
      </c>
      <c r="Q7110" s="11">
        <v>2.2999999999999998</v>
      </c>
      <c r="R7110" s="11"/>
      <c r="S7110" s="11"/>
      <c r="T7110" s="11"/>
      <c r="U7110" s="11">
        <f t="shared" si="2073"/>
        <v>2.2999999999999998</v>
      </c>
      <c r="W7110">
        <v>2.5</v>
      </c>
      <c r="X7110" s="1" t="s">
        <v>18</v>
      </c>
    </row>
    <row r="7111" spans="1:24" x14ac:dyDescent="0.25">
      <c r="A7111" s="1" t="str">
        <f t="shared" si="2076"/>
        <v>卡卡杜-凤凰仓</v>
      </c>
      <c r="B7111" s="1" t="str">
        <f>"CK2024101734"</f>
        <v>CK2024101734</v>
      </c>
      <c r="C7111" s="1" t="str">
        <f>"DD202410176085"</f>
        <v>DD202410176085</v>
      </c>
      <c r="D7111" s="1" t="str">
        <f>"CK202410175428"</f>
        <v>CK202410175428</v>
      </c>
      <c r="E7111" s="1" t="str">
        <f>"3723356250845086977"</f>
        <v>3723356250845086977</v>
      </c>
      <c r="F7111" s="1" t="str">
        <f t="shared" si="2077"/>
        <v>花都四部-凤凰仓</v>
      </c>
      <c r="G7111" s="1" t="str">
        <f>"RO橙心外贸供应链 （视频号）"</f>
        <v>RO橙心外贸供应链 （视频号）</v>
      </c>
      <c r="H7111" s="1" t="str">
        <f t="shared" si="2078"/>
        <v>正常订单</v>
      </c>
      <c r="I7111" s="1" t="str">
        <f t="shared" si="2079"/>
        <v>已发货</v>
      </c>
      <c r="J7111" s="1" t="str">
        <f t="shared" ref="J7111:J7115" si="2080">"5"</f>
        <v>5</v>
      </c>
      <c r="K7111" s="1">
        <v>3</v>
      </c>
      <c r="L7111" s="1" t="s">
        <v>105</v>
      </c>
      <c r="M7111" s="1" t="str">
        <f>"北京 北京市 朝阳区 "</f>
        <v xml:space="preserve">北京 北京市 朝阳区 </v>
      </c>
      <c r="N7111" s="1" t="str">
        <f>"凡华云仓-韵达-微信视频号"</f>
        <v>凡华云仓-韵达-微信视频号</v>
      </c>
      <c r="O7111" s="5">
        <v>315013247865639</v>
      </c>
      <c r="P7111" s="6">
        <v>0.55000000000000004</v>
      </c>
      <c r="Q7111" s="11">
        <f>CEILING(P7111-0.5,0.1)*10*0.15+2.3</f>
        <v>2.4499999999999997</v>
      </c>
      <c r="R7111" s="11"/>
      <c r="S7111" s="11"/>
      <c r="T7111" s="11"/>
      <c r="U7111" s="11">
        <f t="shared" si="2073"/>
        <v>2.4499999999999997</v>
      </c>
      <c r="V7111" t="s">
        <v>15</v>
      </c>
      <c r="W7111">
        <v>2.4500000000000002</v>
      </c>
      <c r="X7111" s="1" t="s">
        <v>105</v>
      </c>
    </row>
    <row r="7112" spans="1:24" x14ac:dyDescent="0.25">
      <c r="A7112" s="1" t="str">
        <f t="shared" si="2076"/>
        <v>卡卡杜-凤凰仓</v>
      </c>
      <c r="B7112" s="1" t="str">
        <f>"CK2024101619979"</f>
        <v>CK2024101619979</v>
      </c>
      <c r="C7112" s="1" t="str">
        <f>"DD2024101636267"</f>
        <v>DD2024101636267</v>
      </c>
      <c r="D7112" s="1" t="str">
        <f>"CK2024101631588"</f>
        <v>CK2024101631588</v>
      </c>
      <c r="E7112" s="1" t="str">
        <f>"2429002114577914"</f>
        <v>2429002114577914</v>
      </c>
      <c r="F7112" s="1" t="str">
        <f t="shared" si="2077"/>
        <v>花都四部-凤凰仓</v>
      </c>
      <c r="G7112" s="1" t="str">
        <f t="shared" ref="G7112:G7123" si="2081">"卡卡杜佳旺专卖店（快手店）"</f>
        <v>卡卡杜佳旺专卖店（快手店）</v>
      </c>
      <c r="H7112" s="1" t="str">
        <f t="shared" si="2078"/>
        <v>正常订单</v>
      </c>
      <c r="I7112" s="1" t="str">
        <f t="shared" si="2079"/>
        <v>已发货</v>
      </c>
      <c r="J7112" s="1" t="str">
        <f t="shared" ref="J7112:J7116" si="2082">"3"</f>
        <v>3</v>
      </c>
      <c r="K7112" s="1">
        <v>3</v>
      </c>
      <c r="L7112" s="1" t="s">
        <v>30</v>
      </c>
      <c r="M7112" s="1" t="str">
        <f>"山东省 青岛市 胶州市 九龙街道"</f>
        <v>山东省 青岛市 胶州市 九龙街道</v>
      </c>
      <c r="N7112" s="1" t="str">
        <f t="shared" ref="N7112:N7123" si="2083">"凡华云仓-韵达-快手"</f>
        <v>凡华云仓-韵达-快手</v>
      </c>
      <c r="O7112" s="5">
        <v>319207716402202</v>
      </c>
      <c r="P7112" s="6">
        <v>0.34</v>
      </c>
      <c r="Q7112" s="11">
        <v>2.2999999999999998</v>
      </c>
      <c r="R7112" s="11"/>
      <c r="S7112" s="11"/>
      <c r="T7112" s="11"/>
      <c r="U7112" s="11">
        <f t="shared" si="2073"/>
        <v>2.2999999999999998</v>
      </c>
      <c r="W7112">
        <v>2.5</v>
      </c>
      <c r="X7112" s="1" t="s">
        <v>30</v>
      </c>
    </row>
    <row r="7113" spans="1:24" x14ac:dyDescent="0.25">
      <c r="A7113" s="1" t="str">
        <f t="shared" si="2076"/>
        <v>卡卡杜-凤凰仓</v>
      </c>
      <c r="B7113" s="1" t="str">
        <f>"CK2024101619970"</f>
        <v>CK2024101619970</v>
      </c>
      <c r="C7113" s="1" t="str">
        <f>"DD2024101636257"</f>
        <v>DD2024101636257</v>
      </c>
      <c r="D7113" s="1" t="str">
        <f>"CK2024101631587"</f>
        <v>CK2024101631587</v>
      </c>
      <c r="E7113" s="1" t="str">
        <f>"2429002033554882"</f>
        <v>2429002033554882</v>
      </c>
      <c r="F7113" s="1" t="str">
        <f t="shared" si="2077"/>
        <v>花都四部-凤凰仓</v>
      </c>
      <c r="G7113" s="1" t="str">
        <f t="shared" si="2081"/>
        <v>卡卡杜佳旺专卖店（快手店）</v>
      </c>
      <c r="H7113" s="1" t="str">
        <f t="shared" si="2078"/>
        <v>正常订单</v>
      </c>
      <c r="I7113" s="1" t="str">
        <f t="shared" si="2079"/>
        <v>已发货</v>
      </c>
      <c r="J7113" s="1" t="str">
        <f t="shared" si="2082"/>
        <v>3</v>
      </c>
      <c r="K7113" s="1">
        <v>3</v>
      </c>
      <c r="L7113" s="1" t="s">
        <v>66</v>
      </c>
      <c r="M7113" s="1" t="str">
        <f>"内蒙古自治区 通辽市 库伦旗 库伦街道"</f>
        <v>内蒙古自治区 通辽市 库伦旗 库伦街道</v>
      </c>
      <c r="N7113" s="1" t="str">
        <f t="shared" si="2083"/>
        <v>凡华云仓-韵达-快手</v>
      </c>
      <c r="O7113" s="5">
        <v>319208188693462</v>
      </c>
      <c r="P7113" s="6">
        <v>0.34</v>
      </c>
      <c r="Q7113" s="11">
        <v>2.2999999999999998</v>
      </c>
      <c r="R7113" s="11"/>
      <c r="S7113" s="11"/>
      <c r="T7113" s="11"/>
      <c r="U7113" s="11">
        <f t="shared" si="2073"/>
        <v>2.2999999999999998</v>
      </c>
      <c r="W7113">
        <v>2.5</v>
      </c>
      <c r="X7113" s="1" t="s">
        <v>66</v>
      </c>
    </row>
    <row r="7114" spans="1:24" x14ac:dyDescent="0.25">
      <c r="A7114" s="1" t="str">
        <f t="shared" si="2076"/>
        <v>卡卡杜-凤凰仓</v>
      </c>
      <c r="B7114" s="1" t="str">
        <f>"CK2024101619972"</f>
        <v>CK2024101619972</v>
      </c>
      <c r="C7114" s="1" t="str">
        <f>"DD2024101636261"</f>
        <v>DD2024101636261</v>
      </c>
      <c r="D7114" s="1" t="str">
        <f>"CK2024101631586"</f>
        <v>CK2024101631586</v>
      </c>
      <c r="E7114" s="1" t="str">
        <f>"2429001872153448"</f>
        <v>2429001872153448</v>
      </c>
      <c r="F7114" s="1" t="str">
        <f t="shared" si="2077"/>
        <v>花都四部-凤凰仓</v>
      </c>
      <c r="G7114" s="1" t="str">
        <f t="shared" si="2081"/>
        <v>卡卡杜佳旺专卖店（快手店）</v>
      </c>
      <c r="H7114" s="1" t="str">
        <f t="shared" si="2078"/>
        <v>正常订单</v>
      </c>
      <c r="I7114" s="1" t="str">
        <f t="shared" si="2079"/>
        <v>已发货</v>
      </c>
      <c r="J7114" s="1" t="str">
        <f t="shared" si="2080"/>
        <v>5</v>
      </c>
      <c r="K7114" s="1">
        <v>3</v>
      </c>
      <c r="L7114" s="1" t="s">
        <v>22</v>
      </c>
      <c r="M7114" s="1" t="str">
        <f>"江西省 新余市 渝水区 城南街道"</f>
        <v>江西省 新余市 渝水区 城南街道</v>
      </c>
      <c r="N7114" s="1" t="str">
        <f t="shared" si="2083"/>
        <v>凡华云仓-韵达-快手</v>
      </c>
      <c r="O7114" s="5">
        <v>319207574144544</v>
      </c>
      <c r="P7114" s="6">
        <v>0.47</v>
      </c>
      <c r="Q7114" s="11">
        <v>2.2999999999999998</v>
      </c>
      <c r="R7114" s="11"/>
      <c r="S7114" s="11"/>
      <c r="T7114" s="11"/>
      <c r="U7114" s="11">
        <f t="shared" si="2073"/>
        <v>2.2999999999999998</v>
      </c>
      <c r="W7114">
        <v>2.5</v>
      </c>
      <c r="X7114" s="1" t="s">
        <v>22</v>
      </c>
    </row>
    <row r="7115" spans="1:24" x14ac:dyDescent="0.25">
      <c r="A7115" s="1" t="str">
        <f t="shared" si="2076"/>
        <v>卡卡杜-凤凰仓</v>
      </c>
      <c r="B7115" s="1" t="str">
        <f>"CK2024101619978"</f>
        <v>CK2024101619978</v>
      </c>
      <c r="C7115" s="1" t="str">
        <f>"DD2024101636271"</f>
        <v>DD2024101636271</v>
      </c>
      <c r="D7115" s="1" t="str">
        <f>"CK2024101631585"</f>
        <v>CK2024101631585</v>
      </c>
      <c r="E7115" s="1" t="str">
        <f>"2429001715721925"</f>
        <v>2429001715721925</v>
      </c>
      <c r="F7115" s="1" t="str">
        <f t="shared" si="2077"/>
        <v>花都四部-凤凰仓</v>
      </c>
      <c r="G7115" s="1" t="str">
        <f t="shared" si="2081"/>
        <v>卡卡杜佳旺专卖店（快手店）</v>
      </c>
      <c r="H7115" s="1" t="str">
        <f t="shared" si="2078"/>
        <v>正常订单</v>
      </c>
      <c r="I7115" s="1" t="str">
        <f t="shared" si="2079"/>
        <v>已发货</v>
      </c>
      <c r="J7115" s="1" t="str">
        <f t="shared" si="2080"/>
        <v>5</v>
      </c>
      <c r="K7115" s="1">
        <v>3</v>
      </c>
      <c r="L7115" s="1" t="s">
        <v>54</v>
      </c>
      <c r="M7115" s="1" t="str">
        <f>"黑龙江省 伊春市 嘉荫县 朝阳镇"</f>
        <v>黑龙江省 伊春市 嘉荫县 朝阳镇</v>
      </c>
      <c r="N7115" s="1" t="str">
        <f t="shared" si="2083"/>
        <v>凡华云仓-韵达-快手</v>
      </c>
      <c r="O7115" s="5">
        <v>319207914770484</v>
      </c>
      <c r="P7115" s="6">
        <v>0.47</v>
      </c>
      <c r="Q7115" s="11">
        <v>2.2999999999999998</v>
      </c>
      <c r="R7115" s="11"/>
      <c r="S7115" s="11"/>
      <c r="T7115" s="11"/>
      <c r="U7115" s="11">
        <f t="shared" si="2073"/>
        <v>2.2999999999999998</v>
      </c>
      <c r="W7115">
        <v>2.5</v>
      </c>
      <c r="X7115" s="1" t="s">
        <v>54</v>
      </c>
    </row>
    <row r="7116" spans="1:24" x14ac:dyDescent="0.25">
      <c r="A7116" s="1" t="str">
        <f t="shared" si="2076"/>
        <v>卡卡杜-凤凰仓</v>
      </c>
      <c r="B7116" s="1" t="str">
        <f>"CK2024101619980"</f>
        <v>CK2024101619980</v>
      </c>
      <c r="C7116" s="1" t="str">
        <f>"DD2024101636268"</f>
        <v>DD2024101636268</v>
      </c>
      <c r="D7116" s="1" t="str">
        <f>"CK2024101631584"</f>
        <v>CK2024101631584</v>
      </c>
      <c r="E7116" s="1" t="str">
        <f>"2429001631401925"</f>
        <v>2429001631401925</v>
      </c>
      <c r="F7116" s="1" t="str">
        <f t="shared" si="2077"/>
        <v>花都四部-凤凰仓</v>
      </c>
      <c r="G7116" s="1" t="str">
        <f t="shared" si="2081"/>
        <v>卡卡杜佳旺专卖店（快手店）</v>
      </c>
      <c r="H7116" s="1" t="str">
        <f t="shared" si="2078"/>
        <v>正常订单</v>
      </c>
      <c r="I7116" s="1" t="str">
        <f t="shared" si="2079"/>
        <v>已发货</v>
      </c>
      <c r="J7116" s="1" t="str">
        <f t="shared" si="2082"/>
        <v>3</v>
      </c>
      <c r="K7116" s="1">
        <v>3</v>
      </c>
      <c r="L7116" s="1" t="s">
        <v>54</v>
      </c>
      <c r="M7116" s="1" t="str">
        <f>"黑龙江省 伊春市 嘉荫县 朝阳镇"</f>
        <v>黑龙江省 伊春市 嘉荫县 朝阳镇</v>
      </c>
      <c r="N7116" s="1" t="str">
        <f t="shared" si="2083"/>
        <v>凡华云仓-韵达-快手</v>
      </c>
      <c r="O7116" s="5">
        <v>319207916202915</v>
      </c>
      <c r="P7116" s="6">
        <v>0.34</v>
      </c>
      <c r="Q7116" s="11">
        <v>2.2999999999999998</v>
      </c>
      <c r="R7116" s="11"/>
      <c r="S7116" s="11"/>
      <c r="T7116" s="11"/>
      <c r="U7116" s="11">
        <f t="shared" si="2073"/>
        <v>2.2999999999999998</v>
      </c>
      <c r="W7116">
        <v>2.5</v>
      </c>
      <c r="X7116" s="1" t="s">
        <v>54</v>
      </c>
    </row>
    <row r="7117" spans="1:24" x14ac:dyDescent="0.25">
      <c r="A7117" s="1" t="str">
        <f t="shared" si="2076"/>
        <v>卡卡杜-凤凰仓</v>
      </c>
      <c r="B7117" s="1" t="str">
        <f>"CK2024101619981"</f>
        <v>CK2024101619981</v>
      </c>
      <c r="C7117" s="1" t="str">
        <f>"DD2024101636270"</f>
        <v>DD2024101636270</v>
      </c>
      <c r="D7117" s="1" t="str">
        <f>"CK2024101631583"</f>
        <v>CK2024101631583</v>
      </c>
      <c r="E7117" s="1" t="str">
        <f>"2429001707416914"</f>
        <v>2429001707416914</v>
      </c>
      <c r="F7117" s="1" t="str">
        <f t="shared" si="2077"/>
        <v>花都四部-凤凰仓</v>
      </c>
      <c r="G7117" s="1" t="str">
        <f t="shared" si="2081"/>
        <v>卡卡杜佳旺专卖店（快手店）</v>
      </c>
      <c r="H7117" s="1" t="str">
        <f t="shared" si="2078"/>
        <v>正常订单</v>
      </c>
      <c r="I7117" s="1" t="str">
        <f t="shared" si="2079"/>
        <v>已发货</v>
      </c>
      <c r="J7117" s="1" t="str">
        <f t="shared" ref="J7117:J7120" si="2084">"5"</f>
        <v>5</v>
      </c>
      <c r="K7117" s="1">
        <v>3</v>
      </c>
      <c r="L7117" s="1" t="s">
        <v>30</v>
      </c>
      <c r="M7117" s="1" t="str">
        <f>"山东省 青岛市 胶州市 九龙街道"</f>
        <v>山东省 青岛市 胶州市 九龙街道</v>
      </c>
      <c r="N7117" s="1" t="str">
        <f t="shared" si="2083"/>
        <v>凡华云仓-韵达-快手</v>
      </c>
      <c r="O7117" s="5">
        <v>319207913323782</v>
      </c>
      <c r="P7117" s="6">
        <v>0.47</v>
      </c>
      <c r="Q7117" s="11">
        <v>2.2999999999999998</v>
      </c>
      <c r="R7117" s="11"/>
      <c r="S7117" s="11"/>
      <c r="T7117" s="11"/>
      <c r="U7117" s="11">
        <f t="shared" si="2073"/>
        <v>2.2999999999999998</v>
      </c>
      <c r="W7117">
        <v>2.5</v>
      </c>
      <c r="X7117" s="1" t="s">
        <v>30</v>
      </c>
    </row>
    <row r="7118" spans="1:24" x14ac:dyDescent="0.25">
      <c r="A7118" s="1" t="str">
        <f t="shared" si="2076"/>
        <v>卡卡杜-凤凰仓</v>
      </c>
      <c r="B7118" s="1" t="str">
        <f>"CK2024101619973"</f>
        <v>CK2024101619973</v>
      </c>
      <c r="C7118" s="1" t="str">
        <f>"DD2024101636263"</f>
        <v>DD2024101636263</v>
      </c>
      <c r="D7118" s="1" t="str">
        <f>"CK2024101631582"</f>
        <v>CK2024101631582</v>
      </c>
      <c r="E7118" s="1" t="str">
        <f>"2429001960001712"</f>
        <v>2429001960001712</v>
      </c>
      <c r="F7118" s="1" t="str">
        <f t="shared" si="2077"/>
        <v>花都四部-凤凰仓</v>
      </c>
      <c r="G7118" s="1" t="str">
        <f t="shared" si="2081"/>
        <v>卡卡杜佳旺专卖店（快手店）</v>
      </c>
      <c r="H7118" s="1" t="str">
        <f t="shared" si="2078"/>
        <v>正常订单</v>
      </c>
      <c r="I7118" s="1" t="str">
        <f t="shared" si="2079"/>
        <v>已发货</v>
      </c>
      <c r="J7118" s="1" t="str">
        <f>"3"</f>
        <v>3</v>
      </c>
      <c r="K7118" s="1">
        <v>3</v>
      </c>
      <c r="L7118" s="1" t="s">
        <v>187</v>
      </c>
      <c r="M7118" s="1" t="str">
        <f>"吉林省 长春市 农安县 宝塔街道"</f>
        <v>吉林省 长春市 农安县 宝塔街道</v>
      </c>
      <c r="N7118" s="1" t="str">
        <f t="shared" si="2083"/>
        <v>凡华云仓-韵达-快手</v>
      </c>
      <c r="O7118" s="5">
        <v>319207807239780</v>
      </c>
      <c r="P7118" s="6">
        <v>0.34</v>
      </c>
      <c r="Q7118" s="11">
        <v>2.2999999999999998</v>
      </c>
      <c r="R7118" s="11"/>
      <c r="S7118" s="11"/>
      <c r="T7118" s="11"/>
      <c r="U7118" s="11">
        <f t="shared" si="2073"/>
        <v>2.2999999999999998</v>
      </c>
      <c r="W7118">
        <v>2.5</v>
      </c>
      <c r="X7118" s="1" t="s">
        <v>187</v>
      </c>
    </row>
    <row r="7119" spans="1:24" x14ac:dyDescent="0.25">
      <c r="A7119" s="1" t="str">
        <f t="shared" si="2076"/>
        <v>卡卡杜-凤凰仓</v>
      </c>
      <c r="B7119" s="1" t="str">
        <f>"CK2024101619975"</f>
        <v>CK2024101619975</v>
      </c>
      <c r="C7119" s="1" t="str">
        <f>"DD2024101636266"</f>
        <v>DD2024101636266</v>
      </c>
      <c r="D7119" s="1" t="str">
        <f>"CK2024101631581"</f>
        <v>CK2024101631581</v>
      </c>
      <c r="E7119" s="1" t="str">
        <f>"2429001631081054"</f>
        <v>2429001631081054</v>
      </c>
      <c r="F7119" s="1" t="str">
        <f t="shared" si="2077"/>
        <v>花都四部-凤凰仓</v>
      </c>
      <c r="G7119" s="1" t="str">
        <f t="shared" si="2081"/>
        <v>卡卡杜佳旺专卖店（快手店）</v>
      </c>
      <c r="H7119" s="1" t="str">
        <f t="shared" si="2078"/>
        <v>正常订单</v>
      </c>
      <c r="I7119" s="1" t="str">
        <f t="shared" si="2079"/>
        <v>已发货</v>
      </c>
      <c r="J7119" s="1" t="str">
        <f t="shared" si="2084"/>
        <v>5</v>
      </c>
      <c r="K7119" s="1">
        <v>3</v>
      </c>
      <c r="L7119" s="1" t="s">
        <v>92</v>
      </c>
      <c r="M7119" s="1" t="str">
        <f>"辽宁省 盘锦市 盘山县 坝墙子镇"</f>
        <v>辽宁省 盘锦市 盘山县 坝墙子镇</v>
      </c>
      <c r="N7119" s="1" t="str">
        <f t="shared" si="2083"/>
        <v>凡华云仓-韵达-快手</v>
      </c>
      <c r="O7119" s="5">
        <v>319207913272296</v>
      </c>
      <c r="P7119" s="6">
        <v>0.47</v>
      </c>
      <c r="Q7119" s="11">
        <v>2.2999999999999998</v>
      </c>
      <c r="R7119" s="11"/>
      <c r="S7119" s="11"/>
      <c r="T7119" s="11"/>
      <c r="U7119" s="11">
        <f t="shared" si="2073"/>
        <v>2.2999999999999998</v>
      </c>
      <c r="W7119">
        <v>2.5</v>
      </c>
      <c r="X7119" s="1" t="s">
        <v>92</v>
      </c>
    </row>
    <row r="7120" spans="1:24" x14ac:dyDescent="0.25">
      <c r="A7120" s="1" t="str">
        <f t="shared" si="2076"/>
        <v>卡卡杜-凤凰仓</v>
      </c>
      <c r="B7120" s="1" t="str">
        <f>"CK2024101619974"</f>
        <v>CK2024101619974</v>
      </c>
      <c r="C7120" s="1" t="str">
        <f>"DD2024101636262"</f>
        <v>DD2024101636262</v>
      </c>
      <c r="D7120" s="1" t="str">
        <f>"CK2024101631580"</f>
        <v>CK2024101631580</v>
      </c>
      <c r="E7120" s="1" t="str">
        <f>"2429001801619622"</f>
        <v>2429001801619622</v>
      </c>
      <c r="F7120" s="1" t="str">
        <f t="shared" si="2077"/>
        <v>花都四部-凤凰仓</v>
      </c>
      <c r="G7120" s="1" t="str">
        <f t="shared" si="2081"/>
        <v>卡卡杜佳旺专卖店（快手店）</v>
      </c>
      <c r="H7120" s="1" t="str">
        <f t="shared" si="2078"/>
        <v>正常订单</v>
      </c>
      <c r="I7120" s="1" t="str">
        <f t="shared" si="2079"/>
        <v>已发货</v>
      </c>
      <c r="J7120" s="1" t="str">
        <f t="shared" si="2084"/>
        <v>5</v>
      </c>
      <c r="K7120" s="1">
        <v>3</v>
      </c>
      <c r="L7120" s="1" t="s">
        <v>44</v>
      </c>
      <c r="M7120" s="1" t="str">
        <f>"海南省 三亚市 吉阳区 吉阳区直辖村级区划"</f>
        <v>海南省 三亚市 吉阳区 吉阳区直辖村级区划</v>
      </c>
      <c r="N7120" s="1" t="str">
        <f t="shared" si="2083"/>
        <v>凡华云仓-韵达-快手</v>
      </c>
      <c r="O7120" s="5">
        <v>319208003391067</v>
      </c>
      <c r="P7120" s="6">
        <v>0.47</v>
      </c>
      <c r="Q7120" s="11">
        <v>2.2999999999999998</v>
      </c>
      <c r="R7120" s="11"/>
      <c r="S7120" s="11"/>
      <c r="T7120" s="11"/>
      <c r="U7120" s="11">
        <f t="shared" si="2073"/>
        <v>2.2999999999999998</v>
      </c>
      <c r="W7120">
        <v>2.5</v>
      </c>
      <c r="X7120" s="1" t="s">
        <v>44</v>
      </c>
    </row>
    <row r="7121" spans="1:24" x14ac:dyDescent="0.25">
      <c r="A7121" s="1" t="str">
        <f t="shared" si="2076"/>
        <v>卡卡杜-凤凰仓</v>
      </c>
      <c r="B7121" s="1" t="str">
        <f>"CK2024101619983"</f>
        <v>CK2024101619983</v>
      </c>
      <c r="C7121" s="1" t="str">
        <f>"DD2024101636272"</f>
        <v>DD2024101636272</v>
      </c>
      <c r="D7121" s="1" t="str">
        <f>"CK2024101631579"</f>
        <v>CK2024101631579</v>
      </c>
      <c r="E7121" s="1" t="str">
        <f>"2429002109256478"</f>
        <v>2429002109256478</v>
      </c>
      <c r="F7121" s="1" t="str">
        <f t="shared" si="2077"/>
        <v>花都四部-凤凰仓</v>
      </c>
      <c r="G7121" s="1" t="str">
        <f t="shared" si="2081"/>
        <v>卡卡杜佳旺专卖店（快手店）</v>
      </c>
      <c r="H7121" s="1" t="str">
        <f t="shared" si="2078"/>
        <v>正常订单</v>
      </c>
      <c r="I7121" s="1" t="str">
        <f t="shared" si="2079"/>
        <v>已发货</v>
      </c>
      <c r="J7121" s="1" t="str">
        <f t="shared" ref="J7121:J7134" si="2085">"3"</f>
        <v>3</v>
      </c>
      <c r="K7121" s="1">
        <v>3</v>
      </c>
      <c r="L7121" s="1" t="s">
        <v>710</v>
      </c>
      <c r="M7121" s="1" t="str">
        <f>"上海市 上海市 浦东新区 川沙新镇"</f>
        <v>上海市 上海市 浦东新区 川沙新镇</v>
      </c>
      <c r="N7121" s="1" t="str">
        <f t="shared" si="2083"/>
        <v>凡华云仓-韵达-快手</v>
      </c>
      <c r="O7121" s="5">
        <v>319208003389814</v>
      </c>
      <c r="P7121" s="6">
        <v>0.34</v>
      </c>
      <c r="Q7121" s="11">
        <v>2.2999999999999998</v>
      </c>
      <c r="R7121" s="11"/>
      <c r="S7121" s="11"/>
      <c r="T7121" s="11"/>
      <c r="U7121" s="11">
        <f t="shared" si="2073"/>
        <v>2.2999999999999998</v>
      </c>
      <c r="W7121">
        <v>2.5</v>
      </c>
      <c r="X7121" s="1" t="s">
        <v>710</v>
      </c>
    </row>
    <row r="7122" spans="1:24" x14ac:dyDescent="0.25">
      <c r="A7122" s="1" t="str">
        <f t="shared" si="2076"/>
        <v>卡卡杜-凤凰仓</v>
      </c>
      <c r="B7122" s="1" t="str">
        <f>"CK2024101619982"</f>
        <v>CK2024101619982</v>
      </c>
      <c r="C7122" s="1" t="str">
        <f>"DD2024101636269"</f>
        <v>DD2024101636269</v>
      </c>
      <c r="D7122" s="1" t="str">
        <f>"CK2024101631578"</f>
        <v>CK2024101631578</v>
      </c>
      <c r="E7122" s="1" t="str">
        <f>"2429002201880478"</f>
        <v>2429002201880478</v>
      </c>
      <c r="F7122" s="1" t="str">
        <f t="shared" si="2077"/>
        <v>花都四部-凤凰仓</v>
      </c>
      <c r="G7122" s="1" t="str">
        <f t="shared" si="2081"/>
        <v>卡卡杜佳旺专卖店（快手店）</v>
      </c>
      <c r="H7122" s="1" t="str">
        <f t="shared" si="2078"/>
        <v>正常订单</v>
      </c>
      <c r="I7122" s="1" t="str">
        <f t="shared" si="2079"/>
        <v>已发货</v>
      </c>
      <c r="J7122" s="1" t="str">
        <f>"5"</f>
        <v>5</v>
      </c>
      <c r="K7122" s="1">
        <v>3</v>
      </c>
      <c r="L7122" s="1" t="s">
        <v>710</v>
      </c>
      <c r="M7122" s="1" t="str">
        <f>"上海市 上海市 浦东新区 川沙新镇"</f>
        <v>上海市 上海市 浦东新区 川沙新镇</v>
      </c>
      <c r="N7122" s="1" t="str">
        <f t="shared" si="2083"/>
        <v>凡华云仓-韵达-快手</v>
      </c>
      <c r="O7122" s="5">
        <v>319207809207606</v>
      </c>
      <c r="P7122" s="6">
        <v>0.47</v>
      </c>
      <c r="Q7122" s="11">
        <v>2.2999999999999998</v>
      </c>
      <c r="R7122" s="11"/>
      <c r="S7122" s="11"/>
      <c r="T7122" s="11"/>
      <c r="U7122" s="11">
        <f t="shared" si="2073"/>
        <v>2.2999999999999998</v>
      </c>
      <c r="W7122">
        <v>2.5</v>
      </c>
      <c r="X7122" s="1" t="s">
        <v>710</v>
      </c>
    </row>
    <row r="7123" spans="1:24" x14ac:dyDescent="0.25">
      <c r="A7123" s="1" t="str">
        <f t="shared" si="2076"/>
        <v>卡卡杜-凤凰仓</v>
      </c>
      <c r="B7123" s="1" t="str">
        <f>"CK2024101619976"</f>
        <v>CK2024101619976</v>
      </c>
      <c r="C7123" s="1" t="str">
        <f>"DD2024101636264"</f>
        <v>DD2024101636264</v>
      </c>
      <c r="D7123" s="1" t="str">
        <f>"CK2024101631577"</f>
        <v>CK2024101631577</v>
      </c>
      <c r="E7123" s="1" t="str">
        <f>"2429001786530397"</f>
        <v>2429001786530397</v>
      </c>
      <c r="F7123" s="1" t="str">
        <f t="shared" si="2077"/>
        <v>花都四部-凤凰仓</v>
      </c>
      <c r="G7123" s="1" t="str">
        <f t="shared" si="2081"/>
        <v>卡卡杜佳旺专卖店（快手店）</v>
      </c>
      <c r="H7123" s="1" t="str">
        <f t="shared" si="2078"/>
        <v>正常订单</v>
      </c>
      <c r="I7123" s="1" t="str">
        <f t="shared" si="2079"/>
        <v>已发货</v>
      </c>
      <c r="J7123" s="1" t="str">
        <f>"5"</f>
        <v>5</v>
      </c>
      <c r="K7123" s="1">
        <v>3</v>
      </c>
      <c r="L7123" s="1" t="s">
        <v>66</v>
      </c>
      <c r="M7123" s="1" t="str">
        <f>"内蒙古自治区 呼伦贝尔市 阿荣旗 那吉镇"</f>
        <v>内蒙古自治区 呼伦贝尔市 阿荣旗 那吉镇</v>
      </c>
      <c r="N7123" s="1" t="str">
        <f t="shared" si="2083"/>
        <v>凡华云仓-韵达-快手</v>
      </c>
      <c r="O7123" s="5">
        <v>319207809695867</v>
      </c>
      <c r="P7123" s="6">
        <v>0.47</v>
      </c>
      <c r="Q7123" s="11">
        <v>2.2999999999999998</v>
      </c>
      <c r="R7123" s="11"/>
      <c r="S7123" s="11"/>
      <c r="T7123" s="11"/>
      <c r="U7123" s="11">
        <f t="shared" si="2073"/>
        <v>2.2999999999999998</v>
      </c>
      <c r="W7123">
        <v>2.5</v>
      </c>
      <c r="X7123" s="1" t="s">
        <v>66</v>
      </c>
    </row>
    <row r="7124" spans="1:24" x14ac:dyDescent="0.25">
      <c r="A7124" s="1" t="str">
        <f t="shared" si="2076"/>
        <v>卡卡杜-凤凰仓</v>
      </c>
      <c r="B7124" s="1" t="str">
        <f>"CK2024101619963"</f>
        <v>CK2024101619963</v>
      </c>
      <c r="C7124" s="1" t="str">
        <f>"DD2024101636252"</f>
        <v>DD2024101636252</v>
      </c>
      <c r="D7124" s="1" t="str">
        <f>"CK2024101631575"</f>
        <v>CK2024101631575</v>
      </c>
      <c r="E7124" s="1" t="str">
        <f>"6935063036386219791"</f>
        <v>6935063036386219791</v>
      </c>
      <c r="F7124" s="1" t="str">
        <f t="shared" si="2077"/>
        <v>花都四部-凤凰仓</v>
      </c>
      <c r="G7124" s="1" t="str">
        <f t="shared" ref="G7124:G7134" si="2086">"卡卡杜个人护理店（抖店）"</f>
        <v>卡卡杜个人护理店（抖店）</v>
      </c>
      <c r="H7124" s="1" t="str">
        <f t="shared" si="2078"/>
        <v>正常订单</v>
      </c>
      <c r="I7124" s="1" t="str">
        <f t="shared" si="2079"/>
        <v>已发货</v>
      </c>
      <c r="J7124" s="1" t="str">
        <f t="shared" si="2085"/>
        <v>3</v>
      </c>
      <c r="K7124" s="1">
        <v>2</v>
      </c>
      <c r="L7124" s="1" t="s">
        <v>24</v>
      </c>
      <c r="M7124" s="1" t="str">
        <f>"福建省 莆田市 仙游县 鲤南镇"</f>
        <v>福建省 莆田市 仙游县 鲤南镇</v>
      </c>
      <c r="N7124" s="1" t="str">
        <f t="shared" ref="N7124:N7134" si="2087">"凡华云仓-韵达-抖音"</f>
        <v>凡华云仓-韵达-抖音</v>
      </c>
      <c r="O7124" s="5">
        <v>320174824402483</v>
      </c>
      <c r="P7124" s="6">
        <v>0.35</v>
      </c>
      <c r="Q7124" s="11">
        <v>2.2999999999999998</v>
      </c>
      <c r="R7124" s="11"/>
      <c r="S7124" s="11"/>
      <c r="T7124" s="11"/>
      <c r="U7124" s="11">
        <f t="shared" si="2073"/>
        <v>2.2999999999999998</v>
      </c>
      <c r="W7124">
        <v>2.5</v>
      </c>
      <c r="X7124" s="1" t="s">
        <v>24</v>
      </c>
    </row>
    <row r="7125" spans="1:24" x14ac:dyDescent="0.25">
      <c r="A7125" s="1" t="str">
        <f t="shared" si="2076"/>
        <v>卡卡杜-凤凰仓</v>
      </c>
      <c r="B7125" s="1" t="str">
        <f>"CK2024101619965"</f>
        <v>CK2024101619965</v>
      </c>
      <c r="C7125" s="1" t="str">
        <f>"DD2024101636254"</f>
        <v>DD2024101636254</v>
      </c>
      <c r="D7125" s="1" t="str">
        <f>"CK2024101631574"</f>
        <v>CK2024101631574</v>
      </c>
      <c r="E7125" s="1" t="str">
        <f>"6935060675160119262"</f>
        <v>6935060675160119262</v>
      </c>
      <c r="F7125" s="1" t="str">
        <f t="shared" si="2077"/>
        <v>花都四部-凤凰仓</v>
      </c>
      <c r="G7125" s="1" t="str">
        <f t="shared" si="2086"/>
        <v>卡卡杜个人护理店（抖店）</v>
      </c>
      <c r="H7125" s="1" t="str">
        <f t="shared" si="2078"/>
        <v>正常订单</v>
      </c>
      <c r="I7125" s="1" t="str">
        <f t="shared" si="2079"/>
        <v>已发货</v>
      </c>
      <c r="J7125" s="1" t="str">
        <f t="shared" si="2085"/>
        <v>3</v>
      </c>
      <c r="K7125" s="1">
        <v>2</v>
      </c>
      <c r="L7125" s="1" t="s">
        <v>60</v>
      </c>
      <c r="M7125" s="1" t="str">
        <f>"云南省 德宏傣族景颇族自治州 瑞丽市 勐卯镇"</f>
        <v>云南省 德宏傣族景颇族自治州 瑞丽市 勐卯镇</v>
      </c>
      <c r="N7125" s="1" t="str">
        <f t="shared" si="2087"/>
        <v>凡华云仓-韵达-抖音</v>
      </c>
      <c r="O7125" s="5">
        <v>320174811976764</v>
      </c>
      <c r="P7125" s="6">
        <v>0.35</v>
      </c>
      <c r="Q7125" s="11">
        <v>2.2999999999999998</v>
      </c>
      <c r="R7125" s="11"/>
      <c r="S7125" s="11"/>
      <c r="T7125" s="11"/>
      <c r="U7125" s="11">
        <f t="shared" si="2073"/>
        <v>2.2999999999999998</v>
      </c>
      <c r="W7125">
        <v>2.5</v>
      </c>
      <c r="X7125" s="1" t="s">
        <v>60</v>
      </c>
    </row>
    <row r="7126" spans="1:24" x14ac:dyDescent="0.25">
      <c r="A7126" s="1" t="str">
        <f t="shared" si="2076"/>
        <v>卡卡杜-凤凰仓</v>
      </c>
      <c r="B7126" s="1" t="str">
        <f>"CK2024101619967"</f>
        <v>CK2024101619967</v>
      </c>
      <c r="C7126" s="1" t="str">
        <f>"DD2024101636256"</f>
        <v>DD2024101636256</v>
      </c>
      <c r="D7126" s="1" t="str">
        <f>"CK2024101631573"</f>
        <v>CK2024101631573</v>
      </c>
      <c r="E7126" s="1" t="str">
        <f>"6918045249411644674"</f>
        <v>6918045249411644674</v>
      </c>
      <c r="F7126" s="1" t="str">
        <f t="shared" si="2077"/>
        <v>花都四部-凤凰仓</v>
      </c>
      <c r="G7126" s="1" t="str">
        <f t="shared" si="2086"/>
        <v>卡卡杜个人护理店（抖店）</v>
      </c>
      <c r="H7126" s="1" t="str">
        <f t="shared" si="2078"/>
        <v>正常订单</v>
      </c>
      <c r="I7126" s="1" t="str">
        <f t="shared" si="2079"/>
        <v>已发货</v>
      </c>
      <c r="J7126" s="1" t="str">
        <f t="shared" si="2085"/>
        <v>3</v>
      </c>
      <c r="K7126" s="1">
        <v>2</v>
      </c>
      <c r="L7126" s="1" t="s">
        <v>20</v>
      </c>
      <c r="M7126" s="1" t="str">
        <f>"浙江省 金华市 义乌市 稠江街道"</f>
        <v>浙江省 金华市 义乌市 稠江街道</v>
      </c>
      <c r="N7126" s="1" t="str">
        <f t="shared" si="2087"/>
        <v>凡华云仓-韵达-抖音</v>
      </c>
      <c r="O7126" s="5">
        <v>320174811976663</v>
      </c>
      <c r="P7126" s="6">
        <v>0.35</v>
      </c>
      <c r="Q7126" s="11">
        <v>2.2999999999999998</v>
      </c>
      <c r="R7126" s="11"/>
      <c r="S7126" s="11"/>
      <c r="T7126" s="11"/>
      <c r="U7126" s="11">
        <f t="shared" si="2073"/>
        <v>2.2999999999999998</v>
      </c>
      <c r="W7126">
        <v>2.5</v>
      </c>
      <c r="X7126" s="1" t="s">
        <v>20</v>
      </c>
    </row>
    <row r="7127" spans="1:24" x14ac:dyDescent="0.25">
      <c r="A7127" s="1" t="str">
        <f t="shared" si="2076"/>
        <v>卡卡杜-凤凰仓</v>
      </c>
      <c r="B7127" s="1" t="str">
        <f>"CK2024101619966"</f>
        <v>CK2024101619966</v>
      </c>
      <c r="C7127" s="1" t="str">
        <f>"DD2024101636255"</f>
        <v>DD2024101636255</v>
      </c>
      <c r="D7127" s="1" t="str">
        <f>"CK2024101631572"</f>
        <v>CK2024101631572</v>
      </c>
      <c r="E7127" s="1" t="str">
        <f>"6935058502343595187"</f>
        <v>6935058502343595187</v>
      </c>
      <c r="F7127" s="1" t="str">
        <f t="shared" si="2077"/>
        <v>花都四部-凤凰仓</v>
      </c>
      <c r="G7127" s="1" t="str">
        <f t="shared" si="2086"/>
        <v>卡卡杜个人护理店（抖店）</v>
      </c>
      <c r="H7127" s="1" t="str">
        <f t="shared" si="2078"/>
        <v>正常订单</v>
      </c>
      <c r="I7127" s="1" t="str">
        <f t="shared" si="2079"/>
        <v>已发货</v>
      </c>
      <c r="J7127" s="1" t="str">
        <f t="shared" si="2085"/>
        <v>3</v>
      </c>
      <c r="K7127" s="1">
        <v>2</v>
      </c>
      <c r="L7127" s="1" t="s">
        <v>20</v>
      </c>
      <c r="M7127" s="1" t="str">
        <f>"浙江省 宁波市 余姚市 低塘街道"</f>
        <v>浙江省 宁波市 余姚市 低塘街道</v>
      </c>
      <c r="N7127" s="1" t="str">
        <f t="shared" si="2087"/>
        <v>凡华云仓-韵达-抖音</v>
      </c>
      <c r="O7127" s="5">
        <v>320174811976564</v>
      </c>
      <c r="P7127" s="6">
        <v>0.35</v>
      </c>
      <c r="Q7127" s="11">
        <v>2.2999999999999998</v>
      </c>
      <c r="R7127" s="11"/>
      <c r="S7127" s="11"/>
      <c r="T7127" s="11"/>
      <c r="U7127" s="11">
        <f t="shared" si="2073"/>
        <v>2.2999999999999998</v>
      </c>
      <c r="W7127">
        <v>2.5</v>
      </c>
      <c r="X7127" s="1" t="s">
        <v>20</v>
      </c>
    </row>
    <row r="7128" spans="1:24" x14ac:dyDescent="0.25">
      <c r="A7128" s="1" t="str">
        <f t="shared" si="2076"/>
        <v>卡卡杜-凤凰仓</v>
      </c>
      <c r="B7128" s="1" t="str">
        <f>"CK2024101619964"</f>
        <v>CK2024101619964</v>
      </c>
      <c r="C7128" s="1" t="str">
        <f>"DD2024101636250"</f>
        <v>DD2024101636250</v>
      </c>
      <c r="D7128" s="1" t="str">
        <f>"CK2024101631571"</f>
        <v>CK2024101631571</v>
      </c>
      <c r="E7128" s="1" t="str">
        <f>"6935064918192100791"</f>
        <v>6935064918192100791</v>
      </c>
      <c r="F7128" s="1" t="str">
        <f t="shared" si="2077"/>
        <v>花都四部-凤凰仓</v>
      </c>
      <c r="G7128" s="1" t="str">
        <f t="shared" si="2086"/>
        <v>卡卡杜个人护理店（抖店）</v>
      </c>
      <c r="H7128" s="1" t="str">
        <f t="shared" si="2078"/>
        <v>正常订单</v>
      </c>
      <c r="I7128" s="1" t="str">
        <f t="shared" si="2079"/>
        <v>已发货</v>
      </c>
      <c r="J7128" s="1" t="str">
        <f t="shared" si="2085"/>
        <v>3</v>
      </c>
      <c r="K7128" s="1">
        <v>2</v>
      </c>
      <c r="L7128" s="1" t="s">
        <v>36</v>
      </c>
      <c r="M7128" s="1" t="str">
        <f>"安徽省 宿州市 埇桥区 大泽乡镇"</f>
        <v>安徽省 宿州市 埇桥区 大泽乡镇</v>
      </c>
      <c r="N7128" s="1" t="str">
        <f t="shared" si="2087"/>
        <v>凡华云仓-韵达-抖音</v>
      </c>
      <c r="O7128" s="5">
        <v>320174811976467</v>
      </c>
      <c r="P7128" s="6">
        <v>0.35</v>
      </c>
      <c r="Q7128" s="11">
        <v>2.2999999999999998</v>
      </c>
      <c r="R7128" s="11"/>
      <c r="S7128" s="11"/>
      <c r="T7128" s="11"/>
      <c r="U7128" s="11">
        <f t="shared" si="2073"/>
        <v>2.2999999999999998</v>
      </c>
      <c r="W7128">
        <v>2.5</v>
      </c>
      <c r="X7128" s="1" t="s">
        <v>36</v>
      </c>
    </row>
    <row r="7129" spans="1:24" x14ac:dyDescent="0.25">
      <c r="A7129" s="1" t="str">
        <f t="shared" si="2076"/>
        <v>卡卡杜-凤凰仓</v>
      </c>
      <c r="B7129" s="1" t="str">
        <f>"CK2024101619969"</f>
        <v>CK2024101619969</v>
      </c>
      <c r="C7129" s="1" t="str">
        <f>"DD2024101636258"</f>
        <v>DD2024101636258</v>
      </c>
      <c r="D7129" s="1" t="str">
        <f>"CK2024101631570"</f>
        <v>CK2024101631570</v>
      </c>
      <c r="E7129" s="1" t="str">
        <f>"6918040763334753880"</f>
        <v>6918040763334753880</v>
      </c>
      <c r="F7129" s="1" t="str">
        <f t="shared" si="2077"/>
        <v>花都四部-凤凰仓</v>
      </c>
      <c r="G7129" s="1" t="str">
        <f t="shared" si="2086"/>
        <v>卡卡杜个人护理店（抖店）</v>
      </c>
      <c r="H7129" s="1" t="str">
        <f t="shared" si="2078"/>
        <v>正常订单</v>
      </c>
      <c r="I7129" s="1" t="str">
        <f t="shared" si="2079"/>
        <v>已发货</v>
      </c>
      <c r="J7129" s="1" t="str">
        <f t="shared" si="2085"/>
        <v>3</v>
      </c>
      <c r="K7129" s="1">
        <v>2</v>
      </c>
      <c r="L7129" s="1" t="s">
        <v>18</v>
      </c>
      <c r="M7129" s="1" t="str">
        <f>"广东省 珠海市 斗门区 乾务镇"</f>
        <v>广东省 珠海市 斗门区 乾务镇</v>
      </c>
      <c r="N7129" s="1" t="str">
        <f t="shared" si="2087"/>
        <v>凡华云仓-韵达-抖音</v>
      </c>
      <c r="O7129" s="5">
        <v>320174811976372</v>
      </c>
      <c r="P7129" s="6">
        <v>0.35</v>
      </c>
      <c r="Q7129" s="11">
        <v>2.2999999999999998</v>
      </c>
      <c r="R7129" s="11"/>
      <c r="S7129" s="11"/>
      <c r="T7129" s="11"/>
      <c r="U7129" s="11">
        <f t="shared" si="2073"/>
        <v>2.2999999999999998</v>
      </c>
      <c r="W7129">
        <v>2.5</v>
      </c>
      <c r="X7129" s="1" t="s">
        <v>18</v>
      </c>
    </row>
    <row r="7130" spans="1:24" x14ac:dyDescent="0.25">
      <c r="A7130" s="1" t="str">
        <f t="shared" si="2076"/>
        <v>卡卡杜-凤凰仓</v>
      </c>
      <c r="B7130" s="1" t="str">
        <f>"CK2024101619971"</f>
        <v>CK2024101619971</v>
      </c>
      <c r="C7130" s="1" t="str">
        <f>"DD2024101636260"</f>
        <v>DD2024101636260</v>
      </c>
      <c r="D7130" s="1" t="str">
        <f>"CK2024101631569"</f>
        <v>CK2024101631569</v>
      </c>
      <c r="E7130" s="1" t="str">
        <f>"6935076108381198300"</f>
        <v>6935076108381198300</v>
      </c>
      <c r="F7130" s="1" t="str">
        <f t="shared" si="2077"/>
        <v>花都四部-凤凰仓</v>
      </c>
      <c r="G7130" s="1" t="str">
        <f t="shared" si="2086"/>
        <v>卡卡杜个人护理店（抖店）</v>
      </c>
      <c r="H7130" s="1" t="str">
        <f t="shared" si="2078"/>
        <v>正常订单</v>
      </c>
      <c r="I7130" s="1" t="str">
        <f t="shared" si="2079"/>
        <v>已发货</v>
      </c>
      <c r="J7130" s="1" t="str">
        <f t="shared" si="2085"/>
        <v>3</v>
      </c>
      <c r="K7130" s="1">
        <v>2</v>
      </c>
      <c r="L7130" s="1" t="s">
        <v>20</v>
      </c>
      <c r="M7130" s="1" t="str">
        <f>"浙江省 杭州市 临安区 锦北街道"</f>
        <v>浙江省 杭州市 临安区 锦北街道</v>
      </c>
      <c r="N7130" s="1" t="str">
        <f t="shared" si="2087"/>
        <v>凡华云仓-韵达-抖音</v>
      </c>
      <c r="O7130" s="5">
        <v>320174811976279</v>
      </c>
      <c r="P7130" s="6">
        <v>0.35</v>
      </c>
      <c r="Q7130" s="11">
        <v>2.2999999999999998</v>
      </c>
      <c r="R7130" s="11"/>
      <c r="S7130" s="11"/>
      <c r="T7130" s="11"/>
      <c r="U7130" s="11">
        <f t="shared" si="2073"/>
        <v>2.2999999999999998</v>
      </c>
      <c r="W7130">
        <v>2.5</v>
      </c>
      <c r="X7130" s="1" t="s">
        <v>20</v>
      </c>
    </row>
    <row r="7131" spans="1:24" x14ac:dyDescent="0.25">
      <c r="A7131" s="1" t="str">
        <f t="shared" si="2076"/>
        <v>卡卡杜-凤凰仓</v>
      </c>
      <c r="B7131" s="1" t="str">
        <f>"CK2024101619961"</f>
        <v>CK2024101619961</v>
      </c>
      <c r="C7131" s="1" t="str">
        <f>"DD2024101636251"</f>
        <v>DD2024101636251</v>
      </c>
      <c r="D7131" s="1" t="str">
        <f>"CK2024101631568"</f>
        <v>CK2024101631568</v>
      </c>
      <c r="E7131" s="1" t="str">
        <f>"6935058225856255494"</f>
        <v>6935058225856255494</v>
      </c>
      <c r="F7131" s="1" t="str">
        <f t="shared" si="2077"/>
        <v>花都四部-凤凰仓</v>
      </c>
      <c r="G7131" s="1" t="str">
        <f t="shared" si="2086"/>
        <v>卡卡杜个人护理店（抖店）</v>
      </c>
      <c r="H7131" s="1" t="str">
        <f t="shared" si="2078"/>
        <v>正常订单</v>
      </c>
      <c r="I7131" s="1" t="str">
        <f t="shared" si="2079"/>
        <v>已发货</v>
      </c>
      <c r="J7131" s="1" t="str">
        <f t="shared" si="2085"/>
        <v>3</v>
      </c>
      <c r="K7131" s="1">
        <v>2</v>
      </c>
      <c r="L7131" s="1" t="s">
        <v>20</v>
      </c>
      <c r="M7131" s="1" t="str">
        <f>"浙江省 台州市 临海市 杜桥镇"</f>
        <v>浙江省 台州市 临海市 杜桥镇</v>
      </c>
      <c r="N7131" s="1" t="str">
        <f t="shared" si="2087"/>
        <v>凡华云仓-韵达-抖音</v>
      </c>
      <c r="O7131" s="5">
        <v>320174811976188</v>
      </c>
      <c r="P7131" s="6">
        <v>0.35</v>
      </c>
      <c r="Q7131" s="11">
        <v>2.2999999999999998</v>
      </c>
      <c r="R7131" s="11"/>
      <c r="S7131" s="11"/>
      <c r="T7131" s="11"/>
      <c r="U7131" s="11">
        <f t="shared" si="2073"/>
        <v>2.2999999999999998</v>
      </c>
      <c r="W7131">
        <v>2.5</v>
      </c>
      <c r="X7131" s="1" t="s">
        <v>20</v>
      </c>
    </row>
    <row r="7132" spans="1:24" x14ac:dyDescent="0.25">
      <c r="A7132" s="1" t="str">
        <f t="shared" si="2076"/>
        <v>卡卡杜-凤凰仓</v>
      </c>
      <c r="B7132" s="1" t="str">
        <f>"CK2024101619977"</f>
        <v>CK2024101619977</v>
      </c>
      <c r="C7132" s="1" t="str">
        <f>"DD2024101636265"</f>
        <v>DD2024101636265</v>
      </c>
      <c r="D7132" s="1" t="str">
        <f>"CK2024101631567"</f>
        <v>CK2024101631567</v>
      </c>
      <c r="E7132" s="1" t="str">
        <f>"6935094012967065222"</f>
        <v>6935094012967065222</v>
      </c>
      <c r="F7132" s="1" t="str">
        <f t="shared" si="2077"/>
        <v>花都四部-凤凰仓</v>
      </c>
      <c r="G7132" s="1" t="str">
        <f t="shared" si="2086"/>
        <v>卡卡杜个人护理店（抖店）</v>
      </c>
      <c r="H7132" s="1" t="str">
        <f t="shared" si="2078"/>
        <v>正常订单</v>
      </c>
      <c r="I7132" s="1" t="str">
        <f t="shared" si="2079"/>
        <v>已发货</v>
      </c>
      <c r="J7132" s="1" t="str">
        <f t="shared" si="2085"/>
        <v>3</v>
      </c>
      <c r="K7132" s="1">
        <v>2</v>
      </c>
      <c r="L7132" s="1" t="s">
        <v>27</v>
      </c>
      <c r="M7132" s="1" t="str">
        <f>"贵州省 贵阳市 云岩区 马王街道"</f>
        <v>贵州省 贵阳市 云岩区 马王街道</v>
      </c>
      <c r="N7132" s="1" t="str">
        <f t="shared" si="2087"/>
        <v>凡华云仓-韵达-抖音</v>
      </c>
      <c r="O7132" s="5">
        <v>320174811976099</v>
      </c>
      <c r="P7132" s="6">
        <v>0.35</v>
      </c>
      <c r="Q7132" s="11">
        <v>2.2999999999999998</v>
      </c>
      <c r="R7132" s="11"/>
      <c r="S7132" s="11"/>
      <c r="T7132" s="11"/>
      <c r="U7132" s="11">
        <f t="shared" si="2073"/>
        <v>2.2999999999999998</v>
      </c>
      <c r="W7132">
        <v>2.5</v>
      </c>
      <c r="X7132" s="1" t="s">
        <v>27</v>
      </c>
    </row>
    <row r="7133" spans="1:24" x14ac:dyDescent="0.25">
      <c r="A7133" s="1" t="str">
        <f t="shared" si="2076"/>
        <v>卡卡杜-凤凰仓</v>
      </c>
      <c r="B7133" s="1" t="str">
        <f>"CK2024101619962"</f>
        <v>CK2024101619962</v>
      </c>
      <c r="C7133" s="1" t="str">
        <f>"DD2024101636253"</f>
        <v>DD2024101636253</v>
      </c>
      <c r="D7133" s="1" t="str">
        <f>"CK2024101631566"</f>
        <v>CK2024101631566</v>
      </c>
      <c r="E7133" s="1" t="str">
        <f>"6935060452990260601"</f>
        <v>6935060452990260601</v>
      </c>
      <c r="F7133" s="1" t="str">
        <f t="shared" si="2077"/>
        <v>花都四部-凤凰仓</v>
      </c>
      <c r="G7133" s="1" t="str">
        <f t="shared" si="2086"/>
        <v>卡卡杜个人护理店（抖店）</v>
      </c>
      <c r="H7133" s="1" t="str">
        <f t="shared" si="2078"/>
        <v>正常订单</v>
      </c>
      <c r="I7133" s="1" t="str">
        <f t="shared" si="2079"/>
        <v>已发货</v>
      </c>
      <c r="J7133" s="1" t="str">
        <f t="shared" si="2085"/>
        <v>3</v>
      </c>
      <c r="K7133" s="1">
        <v>2</v>
      </c>
      <c r="L7133" s="1" t="s">
        <v>13</v>
      </c>
      <c r="M7133" s="1" t="str">
        <f>"江苏省 扬州市 江都区 仙女镇"</f>
        <v>江苏省 扬州市 江都区 仙女镇</v>
      </c>
      <c r="N7133" s="1" t="str">
        <f t="shared" si="2087"/>
        <v>凡华云仓-韵达-抖音</v>
      </c>
      <c r="O7133" s="5">
        <v>320174811975973</v>
      </c>
      <c r="P7133" s="6">
        <v>0.35</v>
      </c>
      <c r="Q7133" s="11">
        <v>2.2999999999999998</v>
      </c>
      <c r="R7133" s="11"/>
      <c r="S7133" s="11"/>
      <c r="T7133" s="11"/>
      <c r="U7133" s="11">
        <f t="shared" si="2073"/>
        <v>2.2999999999999998</v>
      </c>
      <c r="W7133">
        <v>2.5</v>
      </c>
      <c r="X7133" s="1" t="s">
        <v>13</v>
      </c>
    </row>
    <row r="7134" spans="1:24" x14ac:dyDescent="0.25">
      <c r="A7134" s="1" t="str">
        <f t="shared" si="2076"/>
        <v>卡卡杜-凤凰仓</v>
      </c>
      <c r="B7134" s="1" t="str">
        <f>"CK2024101619968"</f>
        <v>CK2024101619968</v>
      </c>
      <c r="C7134" s="1" t="str">
        <f>"DD2024101636259"</f>
        <v>DD2024101636259</v>
      </c>
      <c r="D7134" s="1" t="str">
        <f>"CK2024101631565"</f>
        <v>CK2024101631565</v>
      </c>
      <c r="E7134" s="1" t="str">
        <f>"6935082597138110189"</f>
        <v>6935082597138110189</v>
      </c>
      <c r="F7134" s="1" t="str">
        <f t="shared" si="2077"/>
        <v>花都四部-凤凰仓</v>
      </c>
      <c r="G7134" s="1" t="str">
        <f t="shared" si="2086"/>
        <v>卡卡杜个人护理店（抖店）</v>
      </c>
      <c r="H7134" s="1" t="str">
        <f t="shared" si="2078"/>
        <v>正常订单</v>
      </c>
      <c r="I7134" s="1" t="str">
        <f t="shared" si="2079"/>
        <v>已发货</v>
      </c>
      <c r="J7134" s="1" t="str">
        <f t="shared" si="2085"/>
        <v>3</v>
      </c>
      <c r="K7134" s="1">
        <v>2</v>
      </c>
      <c r="L7134" s="1" t="s">
        <v>105</v>
      </c>
      <c r="M7134" s="1" t="str">
        <f>"北京 北京市 昌平区 小汤山镇"</f>
        <v>北京 北京市 昌平区 小汤山镇</v>
      </c>
      <c r="N7134" s="1" t="str">
        <f t="shared" si="2087"/>
        <v>凡华云仓-韵达-抖音</v>
      </c>
      <c r="O7134" s="5">
        <v>320174811975868</v>
      </c>
      <c r="P7134" s="6">
        <v>0.35</v>
      </c>
      <c r="Q7134" s="11">
        <v>2.2999999999999998</v>
      </c>
      <c r="R7134" s="11"/>
      <c r="S7134" s="11"/>
      <c r="T7134" s="11"/>
      <c r="U7134" s="11">
        <f t="shared" si="2073"/>
        <v>2.2999999999999998</v>
      </c>
      <c r="W7134">
        <v>2.5</v>
      </c>
      <c r="X7134" s="1" t="s">
        <v>105</v>
      </c>
    </row>
    <row r="7135" spans="1:24" x14ac:dyDescent="0.25">
      <c r="A7135" s="1" t="str">
        <f t="shared" si="2076"/>
        <v>卡卡杜-凤凰仓</v>
      </c>
      <c r="B7135" s="1" t="str">
        <f>"CK2024101619949"</f>
        <v>CK2024101619949</v>
      </c>
      <c r="C7135" s="1" t="str">
        <f>"DD2024101636244"</f>
        <v>DD2024101636244</v>
      </c>
      <c r="D7135" s="1" t="str">
        <f>"CK2024101631515"</f>
        <v>CK2024101631515</v>
      </c>
      <c r="E7135" s="1" t="str">
        <f>"KKD20241016YP010"</f>
        <v>KKD20241016YP010</v>
      </c>
      <c r="F7135" s="1" t="str">
        <f t="shared" si="2077"/>
        <v>花都四部-凤凰仓</v>
      </c>
      <c r="G7135" s="1" t="str">
        <f>"卡卡杜全欣样品"</f>
        <v>卡卡杜全欣样品</v>
      </c>
      <c r="H7135" s="1" t="str">
        <f t="shared" si="2078"/>
        <v>正常订单</v>
      </c>
      <c r="I7135" s="1" t="str">
        <f t="shared" si="2079"/>
        <v>已发货</v>
      </c>
      <c r="J7135" s="1" t="str">
        <f>"12"</f>
        <v>12</v>
      </c>
      <c r="K7135" s="1">
        <v>8</v>
      </c>
      <c r="L7135" s="1" t="s">
        <v>105</v>
      </c>
      <c r="M7135" s="1" t="str">
        <f>"北京 北京市 朝阳区 "</f>
        <v xml:space="preserve">北京 北京市 朝阳区 </v>
      </c>
      <c r="N7135" s="1" t="str">
        <f t="shared" ref="N7135:N7151" si="2088">"凡华云仓-韵达-淘宝"</f>
        <v>凡华云仓-韵达-淘宝</v>
      </c>
      <c r="O7135" s="3">
        <v>434192952797587</v>
      </c>
      <c r="P7135" s="6">
        <v>1.42</v>
      </c>
      <c r="Q7135" s="11">
        <f t="shared" ref="Q7135:Q7151" si="2089">CEILING(P7135-0.5,0.1)*10*0.15+2.3</f>
        <v>3.8</v>
      </c>
      <c r="R7135" s="11">
        <f t="shared" ref="R7135:R7151" si="2090">(K7135-3)*0.1</f>
        <v>0.5</v>
      </c>
      <c r="S7135" s="11">
        <v>0.15</v>
      </c>
      <c r="T7135" s="11"/>
      <c r="U7135" s="11">
        <f t="shared" si="2073"/>
        <v>4.45</v>
      </c>
      <c r="V7135" t="s">
        <v>15</v>
      </c>
      <c r="W7135">
        <v>4.45</v>
      </c>
      <c r="X7135" s="1" t="s">
        <v>105</v>
      </c>
    </row>
    <row r="7136" spans="1:24" x14ac:dyDescent="0.25">
      <c r="A7136" s="1" t="str">
        <f t="shared" si="2076"/>
        <v>卡卡杜-凤凰仓</v>
      </c>
      <c r="B7136" s="1" t="str">
        <f>"CK2024101619941"</f>
        <v>CK2024101619941</v>
      </c>
      <c r="C7136" s="1" t="str">
        <f>"DD2024101636220"</f>
        <v>DD2024101636220</v>
      </c>
      <c r="D7136" s="1" t="str">
        <f>"CK2024101631492"</f>
        <v>CK2024101631492</v>
      </c>
      <c r="E7136" s="1" t="str">
        <f>"KKD20241016YP012"</f>
        <v>KKD20241016YP012</v>
      </c>
      <c r="F7136" s="1" t="str">
        <f t="shared" si="2077"/>
        <v>花都四部-凤凰仓</v>
      </c>
      <c r="G7136" s="1" t="str">
        <f>"卡卡杜全欣样品"</f>
        <v>卡卡杜全欣样品</v>
      </c>
      <c r="H7136" s="1" t="str">
        <f t="shared" si="2078"/>
        <v>正常订单</v>
      </c>
      <c r="I7136" s="1" t="str">
        <f t="shared" si="2079"/>
        <v>已发货</v>
      </c>
      <c r="J7136" s="1" t="str">
        <f>"5"</f>
        <v>5</v>
      </c>
      <c r="K7136" s="1">
        <v>4</v>
      </c>
      <c r="L7136" s="1" t="s">
        <v>24</v>
      </c>
      <c r="M7136" s="1" t="str">
        <f>"福建省 厦门市 湖里区 "</f>
        <v xml:space="preserve">福建省 厦门市 湖里区 </v>
      </c>
      <c r="N7136" s="1" t="str">
        <f t="shared" si="2088"/>
        <v>凡华云仓-韵达-淘宝</v>
      </c>
      <c r="O7136" s="3">
        <v>434192959582200</v>
      </c>
      <c r="P7136" s="6">
        <v>0.62</v>
      </c>
      <c r="Q7136" s="11">
        <f t="shared" si="2089"/>
        <v>2.5999999999999996</v>
      </c>
      <c r="R7136" s="11"/>
      <c r="S7136" s="11">
        <v>0.15</v>
      </c>
      <c r="T7136" s="11"/>
      <c r="U7136" s="11">
        <f t="shared" si="2073"/>
        <v>2.7499999999999996</v>
      </c>
      <c r="V7136" t="s">
        <v>15</v>
      </c>
      <c r="W7136">
        <v>2.75</v>
      </c>
      <c r="X7136" s="1" t="s">
        <v>24</v>
      </c>
    </row>
    <row r="7137" spans="1:24" x14ac:dyDescent="0.25">
      <c r="A7137" s="1" t="str">
        <f t="shared" si="2076"/>
        <v>卡卡杜-凤凰仓</v>
      </c>
      <c r="B7137" s="1" t="str">
        <f>"CK2024100518324"</f>
        <v>CK2024100518324</v>
      </c>
      <c r="C7137" s="1" t="str">
        <f>"DD2024100549472"</f>
        <v>DD2024100549472</v>
      </c>
      <c r="D7137" s="1" t="str">
        <f>"CK2024100542719"</f>
        <v>CK2024100542719</v>
      </c>
      <c r="E7137" s="1" t="str">
        <f>"KKD20240105YP004"</f>
        <v>KKD20240105YP004</v>
      </c>
      <c r="F7137" s="1" t="str">
        <f t="shared" si="2077"/>
        <v>花都四部-凤凰仓</v>
      </c>
      <c r="G7137" s="1" t="str">
        <f>"卡卡杜全欣样品"</f>
        <v>卡卡杜全欣样品</v>
      </c>
      <c r="H7137" s="1" t="str">
        <f t="shared" si="2078"/>
        <v>正常订单</v>
      </c>
      <c r="I7137" s="1" t="str">
        <f t="shared" si="2079"/>
        <v>已发货</v>
      </c>
      <c r="J7137" s="1" t="str">
        <f>"7"</f>
        <v>7</v>
      </c>
      <c r="K7137" s="1">
        <v>5</v>
      </c>
      <c r="L7137" s="1" t="s">
        <v>18</v>
      </c>
      <c r="M7137" s="1" t="str">
        <f>"广东省 佛山市 顺德区 "</f>
        <v xml:space="preserve">广东省 佛山市 顺德区 </v>
      </c>
      <c r="N7137" s="1" t="str">
        <f t="shared" si="2088"/>
        <v>凡华云仓-韵达-淘宝</v>
      </c>
      <c r="O7137" s="3">
        <v>434170734328038</v>
      </c>
      <c r="P7137" s="6">
        <v>0.86</v>
      </c>
      <c r="Q7137" s="11">
        <f t="shared" si="2089"/>
        <v>2.9</v>
      </c>
      <c r="R7137" s="11">
        <f t="shared" si="2090"/>
        <v>0.2</v>
      </c>
      <c r="S7137" s="11">
        <v>0.15</v>
      </c>
      <c r="T7137" s="11"/>
      <c r="U7137" s="11">
        <f t="shared" si="2073"/>
        <v>3.25</v>
      </c>
      <c r="V7137" t="s">
        <v>15</v>
      </c>
      <c r="W7137">
        <v>3.25</v>
      </c>
      <c r="X7137" s="1" t="s">
        <v>18</v>
      </c>
    </row>
    <row r="7138" spans="1:24" x14ac:dyDescent="0.25">
      <c r="A7138" s="1" t="str">
        <f t="shared" si="2076"/>
        <v>卡卡杜-凤凰仓</v>
      </c>
      <c r="B7138" s="1" t="str">
        <f>"CK2024100415772"</f>
        <v>CK2024100415772</v>
      </c>
      <c r="C7138" s="1" t="str">
        <f>"DD2024100447509"</f>
        <v>DD2024100447509</v>
      </c>
      <c r="D7138" s="1" t="str">
        <f>"CK2024100446944"</f>
        <v>CK2024100446944</v>
      </c>
      <c r="E7138" s="1" t="str">
        <f>"KKD20240104YP026"</f>
        <v>KKD20240104YP026</v>
      </c>
      <c r="F7138" s="1" t="str">
        <f t="shared" si="2077"/>
        <v>花都四部-凤凰仓</v>
      </c>
      <c r="G7138" s="1" t="str">
        <f>"卡卡杜全欣样品"</f>
        <v>卡卡杜全欣样品</v>
      </c>
      <c r="H7138" s="1" t="str">
        <f t="shared" si="2078"/>
        <v>正常订单</v>
      </c>
      <c r="I7138" s="1" t="str">
        <f t="shared" si="2079"/>
        <v>已发货</v>
      </c>
      <c r="J7138" s="1" t="str">
        <f>"7"</f>
        <v>7</v>
      </c>
      <c r="K7138" s="1">
        <v>5</v>
      </c>
      <c r="L7138" s="1" t="s">
        <v>13</v>
      </c>
      <c r="M7138" s="1" t="str">
        <f>"江苏省 常州市 钟楼区 "</f>
        <v xml:space="preserve">江苏省 常州市 钟楼区 </v>
      </c>
      <c r="N7138" s="1" t="str">
        <f t="shared" si="2088"/>
        <v>凡华云仓-韵达-淘宝</v>
      </c>
      <c r="O7138" s="3">
        <v>434168960912161</v>
      </c>
      <c r="P7138" s="6">
        <v>0.95</v>
      </c>
      <c r="Q7138" s="11">
        <f t="shared" si="2089"/>
        <v>3.05</v>
      </c>
      <c r="R7138" s="11">
        <f t="shared" si="2090"/>
        <v>0.2</v>
      </c>
      <c r="S7138" s="11">
        <v>0.15</v>
      </c>
      <c r="T7138" s="11"/>
      <c r="U7138" s="11">
        <f t="shared" si="2073"/>
        <v>3.4</v>
      </c>
      <c r="V7138" t="s">
        <v>15</v>
      </c>
      <c r="W7138">
        <v>3.4</v>
      </c>
      <c r="X7138" s="1" t="s">
        <v>13</v>
      </c>
    </row>
    <row r="7139" spans="1:24" x14ac:dyDescent="0.25">
      <c r="A7139" s="1" t="str">
        <f t="shared" si="2076"/>
        <v>卡卡杜-凤凰仓</v>
      </c>
      <c r="B7139" s="1" t="str">
        <f>"CK2024101619947"</f>
        <v>CK2024101619947</v>
      </c>
      <c r="C7139" s="1" t="str">
        <f>"DD2024101636224"</f>
        <v>DD2024101636224</v>
      </c>
      <c r="D7139" s="1" t="str">
        <f>"CK2024101631488"</f>
        <v>CK2024101631488</v>
      </c>
      <c r="E7139" s="1" t="str">
        <f>"KKD20241016YP018"</f>
        <v>KKD20241016YP018</v>
      </c>
      <c r="F7139" s="1" t="str">
        <f t="shared" si="2077"/>
        <v>花都四部-凤凰仓</v>
      </c>
      <c r="G7139" s="1" t="str">
        <f t="shared" ref="G7139:G7151" si="2091">"卡卡杜全欣样品"</f>
        <v>卡卡杜全欣样品</v>
      </c>
      <c r="H7139" s="1" t="str">
        <f t="shared" si="2078"/>
        <v>正常订单</v>
      </c>
      <c r="I7139" s="1" t="str">
        <f t="shared" si="2079"/>
        <v>已发货</v>
      </c>
      <c r="J7139" s="1" t="str">
        <f>"15"</f>
        <v>15</v>
      </c>
      <c r="K7139" s="1">
        <v>10</v>
      </c>
      <c r="L7139" s="1" t="s">
        <v>218</v>
      </c>
      <c r="M7139" s="1" t="str">
        <f>"天津 天津市 西青区 "</f>
        <v xml:space="preserve">天津 天津市 西青区 </v>
      </c>
      <c r="N7139" s="1" t="str">
        <f t="shared" si="2088"/>
        <v>凡华云仓-韵达-淘宝</v>
      </c>
      <c r="O7139" s="3">
        <v>434192959581836</v>
      </c>
      <c r="P7139" s="6">
        <v>1.62</v>
      </c>
      <c r="Q7139" s="11">
        <f t="shared" si="2089"/>
        <v>4.0999999999999996</v>
      </c>
      <c r="R7139" s="11">
        <f t="shared" si="2090"/>
        <v>0.70000000000000007</v>
      </c>
      <c r="S7139" s="11">
        <v>0.15</v>
      </c>
      <c r="T7139" s="11"/>
      <c r="U7139" s="11">
        <f t="shared" si="2073"/>
        <v>4.9499999999999993</v>
      </c>
      <c r="V7139" t="s">
        <v>15</v>
      </c>
      <c r="W7139">
        <v>4.95</v>
      </c>
      <c r="X7139" s="1" t="s">
        <v>218</v>
      </c>
    </row>
    <row r="7140" spans="1:24" x14ac:dyDescent="0.25">
      <c r="A7140" s="1" t="str">
        <f t="shared" si="2076"/>
        <v>卡卡杜-凤凰仓</v>
      </c>
      <c r="B7140" s="1" t="str">
        <f>"CK2024101619943"</f>
        <v>CK2024101619943</v>
      </c>
      <c r="C7140" s="1" t="str">
        <f>"DD2024101636225"</f>
        <v>DD2024101636225</v>
      </c>
      <c r="D7140" s="1" t="str">
        <f>"CK2024101631487"</f>
        <v>CK2024101631487</v>
      </c>
      <c r="E7140" s="1" t="str">
        <f>"KKD20241016YP014"</f>
        <v>KKD20241016YP014</v>
      </c>
      <c r="F7140" s="1" t="str">
        <f t="shared" si="2077"/>
        <v>花都四部-凤凰仓</v>
      </c>
      <c r="G7140" s="1" t="str">
        <f t="shared" si="2091"/>
        <v>卡卡杜全欣样品</v>
      </c>
      <c r="H7140" s="1" t="str">
        <f t="shared" si="2078"/>
        <v>正常订单</v>
      </c>
      <c r="I7140" s="1" t="str">
        <f t="shared" si="2079"/>
        <v>已发货</v>
      </c>
      <c r="J7140" s="1" t="str">
        <f>"13"</f>
        <v>13</v>
      </c>
      <c r="K7140" s="1">
        <v>10</v>
      </c>
      <c r="L7140" s="1" t="s">
        <v>27</v>
      </c>
      <c r="M7140" s="1" t="str">
        <f>"贵州省 贵阳市 云岩区 "</f>
        <v xml:space="preserve">贵州省 贵阳市 云岩区 </v>
      </c>
      <c r="N7140" s="1" t="str">
        <f t="shared" si="2088"/>
        <v>凡华云仓-韵达-淘宝</v>
      </c>
      <c r="O7140" s="3">
        <v>434192959581747</v>
      </c>
      <c r="P7140" s="6">
        <v>1.4</v>
      </c>
      <c r="Q7140" s="11">
        <f t="shared" si="2089"/>
        <v>3.6499999999999995</v>
      </c>
      <c r="R7140" s="11">
        <f t="shared" si="2090"/>
        <v>0.70000000000000007</v>
      </c>
      <c r="S7140" s="11">
        <v>0.15</v>
      </c>
      <c r="T7140" s="11"/>
      <c r="U7140" s="11">
        <f t="shared" si="2073"/>
        <v>4.5</v>
      </c>
      <c r="V7140" t="s">
        <v>15</v>
      </c>
      <c r="W7140">
        <v>4.5</v>
      </c>
      <c r="X7140" s="1" t="s">
        <v>27</v>
      </c>
    </row>
    <row r="7141" spans="1:24" x14ac:dyDescent="0.25">
      <c r="A7141" s="1" t="str">
        <f t="shared" si="2076"/>
        <v>卡卡杜-凤凰仓</v>
      </c>
      <c r="B7141" s="1" t="str">
        <f>"CK2024101619946"</f>
        <v>CK2024101619946</v>
      </c>
      <c r="C7141" s="1" t="str">
        <f>"DD2024101636226"</f>
        <v>DD2024101636226</v>
      </c>
      <c r="D7141" s="1" t="str">
        <f>"CK2024101631486"</f>
        <v>CK2024101631486</v>
      </c>
      <c r="E7141" s="1" t="str">
        <f>"KKD20241016YP017"</f>
        <v>KKD20241016YP017</v>
      </c>
      <c r="F7141" s="1" t="str">
        <f t="shared" si="2077"/>
        <v>花都四部-凤凰仓</v>
      </c>
      <c r="G7141" s="1" t="str">
        <f t="shared" si="2091"/>
        <v>卡卡杜全欣样品</v>
      </c>
      <c r="H7141" s="1" t="str">
        <f t="shared" si="2078"/>
        <v>正常订单</v>
      </c>
      <c r="I7141" s="1" t="str">
        <f t="shared" si="2079"/>
        <v>已发货</v>
      </c>
      <c r="J7141" s="1" t="str">
        <f>"15"</f>
        <v>15</v>
      </c>
      <c r="K7141" s="1">
        <v>10</v>
      </c>
      <c r="L7141" s="1" t="s">
        <v>187</v>
      </c>
      <c r="M7141" s="1" t="str">
        <f>"吉林省 长春市 宽城区 "</f>
        <v xml:space="preserve">吉林省 长春市 宽城区 </v>
      </c>
      <c r="N7141" s="1" t="str">
        <f t="shared" si="2088"/>
        <v>凡华云仓-韵达-淘宝</v>
      </c>
      <c r="O7141" s="3">
        <v>434192959581658</v>
      </c>
      <c r="P7141" s="6">
        <v>1.62</v>
      </c>
      <c r="Q7141" s="11">
        <f t="shared" si="2089"/>
        <v>4.0999999999999996</v>
      </c>
      <c r="R7141" s="11">
        <f t="shared" si="2090"/>
        <v>0.70000000000000007</v>
      </c>
      <c r="S7141" s="11">
        <v>0.15</v>
      </c>
      <c r="T7141" s="11"/>
      <c r="U7141" s="11">
        <f t="shared" si="2073"/>
        <v>4.9499999999999993</v>
      </c>
      <c r="V7141" t="s">
        <v>15</v>
      </c>
      <c r="W7141">
        <v>4.95</v>
      </c>
      <c r="X7141" s="1" t="s">
        <v>187</v>
      </c>
    </row>
    <row r="7142" spans="1:24" x14ac:dyDescent="0.25">
      <c r="A7142" s="1" t="str">
        <f t="shared" si="2076"/>
        <v>卡卡杜-凤凰仓</v>
      </c>
      <c r="B7142" s="1" t="str">
        <f>"CK2024101619934"</f>
        <v>CK2024101619934</v>
      </c>
      <c r="C7142" s="1" t="str">
        <f>"DD2024101636210"</f>
        <v>DD2024101636210</v>
      </c>
      <c r="D7142" s="1" t="str">
        <f>"CK2024101631485"</f>
        <v>CK2024101631485</v>
      </c>
      <c r="E7142" s="1" t="str">
        <f>"KKD20241016YP004"</f>
        <v>KKD20241016YP004</v>
      </c>
      <c r="F7142" s="1" t="str">
        <f t="shared" si="2077"/>
        <v>花都四部-凤凰仓</v>
      </c>
      <c r="G7142" s="1" t="str">
        <f t="shared" si="2091"/>
        <v>卡卡杜全欣样品</v>
      </c>
      <c r="H7142" s="1" t="str">
        <f t="shared" si="2078"/>
        <v>正常订单</v>
      </c>
      <c r="I7142" s="1" t="str">
        <f t="shared" si="2079"/>
        <v>已发货</v>
      </c>
      <c r="J7142" s="1" t="str">
        <f>"7"</f>
        <v>7</v>
      </c>
      <c r="K7142" s="1">
        <v>6</v>
      </c>
      <c r="L7142" s="1" t="s">
        <v>32</v>
      </c>
      <c r="M7142" s="1" t="str">
        <f>"陕西省 西安市 未央区 "</f>
        <v xml:space="preserve">陕西省 西安市 未央区 </v>
      </c>
      <c r="N7142" s="1" t="str">
        <f t="shared" si="2088"/>
        <v>凡华云仓-韵达-淘宝</v>
      </c>
      <c r="O7142" s="3">
        <v>434192959581391</v>
      </c>
      <c r="P7142" s="6">
        <v>1.08</v>
      </c>
      <c r="Q7142" s="11">
        <f t="shared" si="2089"/>
        <v>3.2</v>
      </c>
      <c r="R7142" s="11">
        <f t="shared" si="2090"/>
        <v>0.30000000000000004</v>
      </c>
      <c r="S7142" s="11">
        <v>0.15</v>
      </c>
      <c r="T7142" s="11"/>
      <c r="U7142" s="11">
        <f t="shared" si="2073"/>
        <v>3.6500000000000004</v>
      </c>
      <c r="V7142" t="s">
        <v>15</v>
      </c>
      <c r="W7142">
        <v>3.65</v>
      </c>
      <c r="X7142" s="1" t="s">
        <v>32</v>
      </c>
    </row>
    <row r="7143" spans="1:24" x14ac:dyDescent="0.25">
      <c r="A7143" s="1" t="str">
        <f t="shared" si="2076"/>
        <v>卡卡杜-凤凰仓</v>
      </c>
      <c r="B7143" s="1" t="str">
        <f>"CK2024101619936"</f>
        <v>CK2024101619936</v>
      </c>
      <c r="C7143" s="1" t="str">
        <f>"DD2024101636211"</f>
        <v>DD2024101636211</v>
      </c>
      <c r="D7143" s="1" t="str">
        <f>"CK2024101631484"</f>
        <v>CK2024101631484</v>
      </c>
      <c r="E7143" s="1" t="str">
        <f>"KKD20241016YP006"</f>
        <v>KKD20241016YP006</v>
      </c>
      <c r="F7143" s="1" t="str">
        <f t="shared" si="2077"/>
        <v>花都四部-凤凰仓</v>
      </c>
      <c r="G7143" s="1" t="str">
        <f t="shared" si="2091"/>
        <v>卡卡杜全欣样品</v>
      </c>
      <c r="H7143" s="1" t="str">
        <f t="shared" si="2078"/>
        <v>正常订单</v>
      </c>
      <c r="I7143" s="1" t="str">
        <f t="shared" si="2079"/>
        <v>已发货</v>
      </c>
      <c r="J7143" s="1" t="str">
        <f>"7"</f>
        <v>7</v>
      </c>
      <c r="K7143" s="1">
        <v>6</v>
      </c>
      <c r="L7143" s="1" t="s">
        <v>105</v>
      </c>
      <c r="M7143" s="1" t="str">
        <f>"北京 北京市 朝阳区 "</f>
        <v xml:space="preserve">北京 北京市 朝阳区 </v>
      </c>
      <c r="N7143" s="1" t="str">
        <f t="shared" si="2088"/>
        <v>凡华云仓-韵达-淘宝</v>
      </c>
      <c r="O7143" s="3">
        <v>434192959581202</v>
      </c>
      <c r="P7143" s="6">
        <v>1.08</v>
      </c>
      <c r="Q7143" s="11">
        <f t="shared" si="2089"/>
        <v>3.2</v>
      </c>
      <c r="R7143" s="11">
        <f t="shared" si="2090"/>
        <v>0.30000000000000004</v>
      </c>
      <c r="S7143" s="11">
        <v>0.15</v>
      </c>
      <c r="T7143" s="11"/>
      <c r="U7143" s="11">
        <f t="shared" si="2073"/>
        <v>3.6500000000000004</v>
      </c>
      <c r="V7143" t="s">
        <v>15</v>
      </c>
      <c r="W7143">
        <v>3.65</v>
      </c>
      <c r="X7143" s="1" t="s">
        <v>105</v>
      </c>
    </row>
    <row r="7144" spans="1:24" x14ac:dyDescent="0.25">
      <c r="A7144" s="1" t="str">
        <f t="shared" si="2076"/>
        <v>卡卡杜-凤凰仓</v>
      </c>
      <c r="B7144" s="1" t="str">
        <f>"CK2024101619933"</f>
        <v>CK2024101619933</v>
      </c>
      <c r="C7144" s="1" t="str">
        <f>"DD2024101636212"</f>
        <v>DD2024101636212</v>
      </c>
      <c r="D7144" s="1" t="str">
        <f>"CK2024101631483"</f>
        <v>CK2024101631483</v>
      </c>
      <c r="E7144" s="1" t="str">
        <f>"KKD20241016YP003"</f>
        <v>KKD20241016YP003</v>
      </c>
      <c r="F7144" s="1" t="str">
        <f t="shared" si="2077"/>
        <v>花都四部-凤凰仓</v>
      </c>
      <c r="G7144" s="1" t="str">
        <f t="shared" si="2091"/>
        <v>卡卡杜全欣样品</v>
      </c>
      <c r="H7144" s="1" t="str">
        <f t="shared" si="2078"/>
        <v>正常订单</v>
      </c>
      <c r="I7144" s="1" t="str">
        <f t="shared" si="2079"/>
        <v>已发货</v>
      </c>
      <c r="J7144" s="1" t="str">
        <f>"16"</f>
        <v>16</v>
      </c>
      <c r="K7144" s="1">
        <v>12</v>
      </c>
      <c r="L7144" s="1" t="s">
        <v>30</v>
      </c>
      <c r="M7144" s="1" t="str">
        <f>"山东省 青岛市 崂山区 "</f>
        <v xml:space="preserve">山东省 青岛市 崂山区 </v>
      </c>
      <c r="N7144" s="1" t="str">
        <f t="shared" si="2088"/>
        <v>凡华云仓-韵达-淘宝</v>
      </c>
      <c r="O7144" s="3">
        <v>434192959581113</v>
      </c>
      <c r="P7144" s="6">
        <v>1.75</v>
      </c>
      <c r="Q7144" s="11">
        <f t="shared" si="2089"/>
        <v>4.25</v>
      </c>
      <c r="R7144" s="11">
        <f t="shared" si="2090"/>
        <v>0.9</v>
      </c>
      <c r="S7144" s="11">
        <v>0.15</v>
      </c>
      <c r="T7144" s="11"/>
      <c r="U7144" s="11">
        <f t="shared" si="2073"/>
        <v>5.3</v>
      </c>
      <c r="V7144" t="s">
        <v>15</v>
      </c>
      <c r="W7144">
        <v>5.3</v>
      </c>
      <c r="X7144" s="1" t="s">
        <v>30</v>
      </c>
    </row>
    <row r="7145" spans="1:24" x14ac:dyDescent="0.25">
      <c r="A7145" s="1" t="str">
        <f t="shared" si="2076"/>
        <v>卡卡杜-凤凰仓</v>
      </c>
      <c r="B7145" s="1" t="str">
        <f>"CK2024101619931"</f>
        <v>CK2024101619931</v>
      </c>
      <c r="C7145" s="1" t="str">
        <f>"DD2024101636213"</f>
        <v>DD2024101636213</v>
      </c>
      <c r="D7145" s="1" t="str">
        <f>"CK2024101631482"</f>
        <v>CK2024101631482</v>
      </c>
      <c r="E7145" s="1" t="str">
        <f>"KKD20241016YP001"</f>
        <v>KKD20241016YP001</v>
      </c>
      <c r="F7145" s="1" t="str">
        <f t="shared" si="2077"/>
        <v>花都四部-凤凰仓</v>
      </c>
      <c r="G7145" s="1" t="str">
        <f t="shared" si="2091"/>
        <v>卡卡杜全欣样品</v>
      </c>
      <c r="H7145" s="1" t="str">
        <f t="shared" si="2078"/>
        <v>正常订单</v>
      </c>
      <c r="I7145" s="1" t="str">
        <f t="shared" si="2079"/>
        <v>已发货</v>
      </c>
      <c r="J7145" s="1" t="str">
        <f>"10"</f>
        <v>10</v>
      </c>
      <c r="K7145" s="1">
        <v>7</v>
      </c>
      <c r="L7145" s="1" t="s">
        <v>18</v>
      </c>
      <c r="M7145" s="1" t="str">
        <f>"广东省 韶关市 浈江区 "</f>
        <v xml:space="preserve">广东省 韶关市 浈江区 </v>
      </c>
      <c r="N7145" s="1" t="str">
        <f t="shared" si="2088"/>
        <v>凡华云仓-韵达-淘宝</v>
      </c>
      <c r="O7145" s="3">
        <v>434192959581024</v>
      </c>
      <c r="P7145" s="6">
        <v>1.0900000000000001</v>
      </c>
      <c r="Q7145" s="11">
        <f t="shared" si="2089"/>
        <v>3.2</v>
      </c>
      <c r="R7145" s="11">
        <f t="shared" si="2090"/>
        <v>0.4</v>
      </c>
      <c r="S7145" s="11">
        <v>0.15</v>
      </c>
      <c r="T7145" s="11"/>
      <c r="U7145" s="11">
        <f t="shared" si="2073"/>
        <v>3.75</v>
      </c>
      <c r="V7145" t="s">
        <v>15</v>
      </c>
      <c r="W7145">
        <v>3.75</v>
      </c>
      <c r="X7145" s="1" t="s">
        <v>18</v>
      </c>
    </row>
    <row r="7146" spans="1:24" x14ac:dyDescent="0.25">
      <c r="A7146" s="1" t="str">
        <f t="shared" si="2076"/>
        <v>卡卡杜-凤凰仓</v>
      </c>
      <c r="B7146" s="1" t="str">
        <f>"CK2024101619935"</f>
        <v>CK2024101619935</v>
      </c>
      <c r="C7146" s="1" t="str">
        <f>"DD2024101636214"</f>
        <v>DD2024101636214</v>
      </c>
      <c r="D7146" s="1" t="str">
        <f>"CK2024101631481"</f>
        <v>CK2024101631481</v>
      </c>
      <c r="E7146" s="1" t="str">
        <f>"KKD20241016YP005"</f>
        <v>KKD20241016YP005</v>
      </c>
      <c r="F7146" s="1" t="str">
        <f t="shared" si="2077"/>
        <v>花都四部-凤凰仓</v>
      </c>
      <c r="G7146" s="1" t="str">
        <f t="shared" si="2091"/>
        <v>卡卡杜全欣样品</v>
      </c>
      <c r="H7146" s="1" t="str">
        <f t="shared" si="2078"/>
        <v>正常订单</v>
      </c>
      <c r="I7146" s="1" t="str">
        <f t="shared" si="2079"/>
        <v>已发货</v>
      </c>
      <c r="J7146" s="1" t="str">
        <f t="shared" ref="J7146:J7150" si="2092">"7"</f>
        <v>7</v>
      </c>
      <c r="K7146" s="1">
        <v>6</v>
      </c>
      <c r="L7146" s="1" t="s">
        <v>105</v>
      </c>
      <c r="M7146" s="1" t="str">
        <f>"北京 北京市 通州区 "</f>
        <v xml:space="preserve">北京 北京市 通州区 </v>
      </c>
      <c r="N7146" s="1" t="str">
        <f t="shared" si="2088"/>
        <v>凡华云仓-韵达-淘宝</v>
      </c>
      <c r="O7146" s="3">
        <v>434192959580920</v>
      </c>
      <c r="P7146" s="6">
        <v>1.08</v>
      </c>
      <c r="Q7146" s="11">
        <f t="shared" si="2089"/>
        <v>3.2</v>
      </c>
      <c r="R7146" s="11">
        <f t="shared" si="2090"/>
        <v>0.30000000000000004</v>
      </c>
      <c r="S7146" s="11">
        <v>0.15</v>
      </c>
      <c r="T7146" s="11"/>
      <c r="U7146" s="11">
        <f t="shared" si="2073"/>
        <v>3.6500000000000004</v>
      </c>
      <c r="V7146" t="s">
        <v>15</v>
      </c>
      <c r="W7146">
        <v>3.65</v>
      </c>
      <c r="X7146" s="1" t="s">
        <v>105</v>
      </c>
    </row>
    <row r="7147" spans="1:24" x14ac:dyDescent="0.25">
      <c r="A7147" s="1" t="str">
        <f t="shared" si="2076"/>
        <v>卡卡杜-凤凰仓</v>
      </c>
      <c r="B7147" s="1" t="str">
        <f>"CK2024101619932"</f>
        <v>CK2024101619932</v>
      </c>
      <c r="C7147" s="1" t="str">
        <f>"DD2024101636215"</f>
        <v>DD2024101636215</v>
      </c>
      <c r="D7147" s="1" t="str">
        <f>"CK2024101631480"</f>
        <v>CK2024101631480</v>
      </c>
      <c r="E7147" s="1" t="str">
        <f>"KKD20241016YP002"</f>
        <v>KKD20241016YP002</v>
      </c>
      <c r="F7147" s="1" t="str">
        <f t="shared" si="2077"/>
        <v>花都四部-凤凰仓</v>
      </c>
      <c r="G7147" s="1" t="str">
        <f t="shared" si="2091"/>
        <v>卡卡杜全欣样品</v>
      </c>
      <c r="H7147" s="1" t="str">
        <f t="shared" si="2078"/>
        <v>正常订单</v>
      </c>
      <c r="I7147" s="1" t="str">
        <f t="shared" si="2079"/>
        <v>已发货</v>
      </c>
      <c r="J7147" s="1" t="str">
        <f>"10"</f>
        <v>10</v>
      </c>
      <c r="K7147" s="1">
        <v>7</v>
      </c>
      <c r="L7147" s="1" t="s">
        <v>80</v>
      </c>
      <c r="M7147" s="1" t="str">
        <f>"河南省 鹤壁市 淇滨区 "</f>
        <v xml:space="preserve">河南省 鹤壁市 淇滨区 </v>
      </c>
      <c r="N7147" s="1" t="str">
        <f t="shared" si="2088"/>
        <v>凡华云仓-韵达-淘宝</v>
      </c>
      <c r="O7147" s="3">
        <v>434192959580832</v>
      </c>
      <c r="P7147" s="6">
        <v>1.0900000000000001</v>
      </c>
      <c r="Q7147" s="11">
        <f t="shared" si="2089"/>
        <v>3.2</v>
      </c>
      <c r="R7147" s="11">
        <f t="shared" si="2090"/>
        <v>0.4</v>
      </c>
      <c r="S7147" s="11">
        <v>0.15</v>
      </c>
      <c r="T7147" s="11"/>
      <c r="U7147" s="11">
        <f t="shared" si="2073"/>
        <v>3.75</v>
      </c>
      <c r="V7147" t="s">
        <v>15</v>
      </c>
      <c r="W7147">
        <v>3.75</v>
      </c>
      <c r="X7147" s="1" t="s">
        <v>80</v>
      </c>
    </row>
    <row r="7148" spans="1:24" x14ac:dyDescent="0.25">
      <c r="A7148" s="1" t="str">
        <f t="shared" si="2076"/>
        <v>卡卡杜-凤凰仓</v>
      </c>
      <c r="B7148" s="1" t="str">
        <f>"CK2024101619938"</f>
        <v>CK2024101619938</v>
      </c>
      <c r="C7148" s="1" t="str">
        <f>"DD2024101636216"</f>
        <v>DD2024101636216</v>
      </c>
      <c r="D7148" s="1" t="str">
        <f>"CK2024101631479"</f>
        <v>CK2024101631479</v>
      </c>
      <c r="E7148" s="1" t="str">
        <f>"KKD20241016YP008"</f>
        <v>KKD20241016YP008</v>
      </c>
      <c r="F7148" s="1" t="str">
        <f t="shared" si="2077"/>
        <v>花都四部-凤凰仓</v>
      </c>
      <c r="G7148" s="1" t="str">
        <f t="shared" si="2091"/>
        <v>卡卡杜全欣样品</v>
      </c>
      <c r="H7148" s="1" t="str">
        <f t="shared" si="2078"/>
        <v>正常订单</v>
      </c>
      <c r="I7148" s="1" t="str">
        <f t="shared" si="2079"/>
        <v>已发货</v>
      </c>
      <c r="J7148" s="1" t="str">
        <f t="shared" si="2092"/>
        <v>7</v>
      </c>
      <c r="K7148" s="1">
        <v>6</v>
      </c>
      <c r="L7148" s="1" t="s">
        <v>105</v>
      </c>
      <c r="M7148" s="1" t="str">
        <f>"北京 北京市 通州区 "</f>
        <v xml:space="preserve">北京 北京市 通州区 </v>
      </c>
      <c r="N7148" s="1" t="str">
        <f t="shared" si="2088"/>
        <v>凡华云仓-韵达-淘宝</v>
      </c>
      <c r="O7148" s="3">
        <v>434192959580744</v>
      </c>
      <c r="P7148" s="6">
        <v>1.08</v>
      </c>
      <c r="Q7148" s="11">
        <f t="shared" si="2089"/>
        <v>3.2</v>
      </c>
      <c r="R7148" s="11">
        <f t="shared" si="2090"/>
        <v>0.30000000000000004</v>
      </c>
      <c r="S7148" s="11">
        <v>0.15</v>
      </c>
      <c r="T7148" s="11"/>
      <c r="U7148" s="11">
        <f t="shared" si="2073"/>
        <v>3.6500000000000004</v>
      </c>
      <c r="V7148" t="s">
        <v>15</v>
      </c>
      <c r="W7148">
        <v>3.65</v>
      </c>
      <c r="X7148" s="1" t="s">
        <v>105</v>
      </c>
    </row>
    <row r="7149" spans="1:24" x14ac:dyDescent="0.25">
      <c r="A7149" s="1" t="str">
        <f t="shared" si="2076"/>
        <v>卡卡杜-凤凰仓</v>
      </c>
      <c r="B7149" s="1" t="str">
        <f>"CK2024101619937"</f>
        <v>CK2024101619937</v>
      </c>
      <c r="C7149" s="1" t="str">
        <f>"DD2024101636217"</f>
        <v>DD2024101636217</v>
      </c>
      <c r="D7149" s="1" t="str">
        <f>"CK2024101631478"</f>
        <v>CK2024101631478</v>
      </c>
      <c r="E7149" s="1" t="str">
        <f>"KKD20241016YP007"</f>
        <v>KKD20241016YP007</v>
      </c>
      <c r="F7149" s="1" t="str">
        <f t="shared" si="2077"/>
        <v>花都四部-凤凰仓</v>
      </c>
      <c r="G7149" s="1" t="str">
        <f t="shared" si="2091"/>
        <v>卡卡杜全欣样品</v>
      </c>
      <c r="H7149" s="1" t="str">
        <f t="shared" si="2078"/>
        <v>正常订单</v>
      </c>
      <c r="I7149" s="1" t="str">
        <f t="shared" si="2079"/>
        <v>已发货</v>
      </c>
      <c r="J7149" s="1" t="str">
        <f t="shared" si="2092"/>
        <v>7</v>
      </c>
      <c r="K7149" s="1">
        <v>6</v>
      </c>
      <c r="L7149" s="1" t="s">
        <v>24</v>
      </c>
      <c r="M7149" s="1" t="str">
        <f>"福建省 莆田市 荔城区 "</f>
        <v xml:space="preserve">福建省 莆田市 荔城区 </v>
      </c>
      <c r="N7149" s="1" t="str">
        <f t="shared" si="2088"/>
        <v>凡华云仓-韵达-淘宝</v>
      </c>
      <c r="O7149" s="3">
        <v>434192959580656</v>
      </c>
      <c r="P7149" s="6">
        <v>1.0900000000000001</v>
      </c>
      <c r="Q7149" s="11">
        <f t="shared" si="2089"/>
        <v>3.2</v>
      </c>
      <c r="R7149" s="11">
        <f t="shared" si="2090"/>
        <v>0.30000000000000004</v>
      </c>
      <c r="S7149" s="11">
        <v>0.15</v>
      </c>
      <c r="T7149" s="11"/>
      <c r="U7149" s="11">
        <f t="shared" si="2073"/>
        <v>3.6500000000000004</v>
      </c>
      <c r="V7149" t="s">
        <v>15</v>
      </c>
      <c r="W7149">
        <v>3.65</v>
      </c>
      <c r="X7149" s="1" t="s">
        <v>24</v>
      </c>
    </row>
    <row r="7150" spans="1:24" x14ac:dyDescent="0.25">
      <c r="A7150" s="1" t="str">
        <f t="shared" si="2076"/>
        <v>卡卡杜-凤凰仓</v>
      </c>
      <c r="B7150" s="1" t="str">
        <f>"CK2024101619939"</f>
        <v>CK2024101619939</v>
      </c>
      <c r="C7150" s="1" t="str">
        <f>"DD2024101636218"</f>
        <v>DD2024101636218</v>
      </c>
      <c r="D7150" s="1" t="str">
        <f>"CK2024101631477"</f>
        <v>CK2024101631477</v>
      </c>
      <c r="E7150" s="1" t="str">
        <f>"KKD20241016YP009"</f>
        <v>KKD20241016YP009</v>
      </c>
      <c r="F7150" s="1" t="str">
        <f t="shared" si="2077"/>
        <v>花都四部-凤凰仓</v>
      </c>
      <c r="G7150" s="1" t="str">
        <f t="shared" si="2091"/>
        <v>卡卡杜全欣样品</v>
      </c>
      <c r="H7150" s="1" t="str">
        <f t="shared" si="2078"/>
        <v>正常订单</v>
      </c>
      <c r="I7150" s="1" t="str">
        <f t="shared" si="2079"/>
        <v>已发货</v>
      </c>
      <c r="J7150" s="1" t="str">
        <f t="shared" si="2092"/>
        <v>7</v>
      </c>
      <c r="K7150" s="1">
        <v>6</v>
      </c>
      <c r="L7150" s="1" t="s">
        <v>32</v>
      </c>
      <c r="M7150" s="1" t="str">
        <f>"陕西省 西安市 雁塔区 "</f>
        <v xml:space="preserve">陕西省 西安市 雁塔区 </v>
      </c>
      <c r="N7150" s="1" t="str">
        <f t="shared" si="2088"/>
        <v>凡华云仓-韵达-淘宝</v>
      </c>
      <c r="O7150" s="3">
        <v>434192959580568</v>
      </c>
      <c r="P7150" s="6">
        <v>1.08</v>
      </c>
      <c r="Q7150" s="11">
        <f t="shared" si="2089"/>
        <v>3.2</v>
      </c>
      <c r="R7150" s="11">
        <f t="shared" si="2090"/>
        <v>0.30000000000000004</v>
      </c>
      <c r="S7150" s="11">
        <v>0.15</v>
      </c>
      <c r="T7150" s="11"/>
      <c r="U7150" s="11">
        <f t="shared" si="2073"/>
        <v>3.6500000000000004</v>
      </c>
      <c r="V7150" t="s">
        <v>15</v>
      </c>
      <c r="W7150">
        <v>3.65</v>
      </c>
      <c r="X7150" s="1" t="s">
        <v>32</v>
      </c>
    </row>
    <row r="7151" spans="1:24" x14ac:dyDescent="0.25">
      <c r="A7151" s="1" t="str">
        <f t="shared" si="2076"/>
        <v>卡卡杜-凤凰仓</v>
      </c>
      <c r="B7151" s="1" t="str">
        <f>"CK2024101619940"</f>
        <v>CK2024101619940</v>
      </c>
      <c r="C7151" s="1" t="str">
        <f>"DD2024101636219"</f>
        <v>DD2024101636219</v>
      </c>
      <c r="D7151" s="1" t="str">
        <f>"CK2024101631476"</f>
        <v>CK2024101631476</v>
      </c>
      <c r="E7151" s="1" t="str">
        <f>"KKD20241016YP011"</f>
        <v>KKD20241016YP011</v>
      </c>
      <c r="F7151" s="1" t="str">
        <f t="shared" si="2077"/>
        <v>花都四部-凤凰仓</v>
      </c>
      <c r="G7151" s="1" t="str">
        <f t="shared" si="2091"/>
        <v>卡卡杜全欣样品</v>
      </c>
      <c r="H7151" s="1" t="str">
        <f t="shared" si="2078"/>
        <v>正常订单</v>
      </c>
      <c r="I7151" s="1" t="str">
        <f t="shared" si="2079"/>
        <v>已发货</v>
      </c>
      <c r="J7151" s="1" t="str">
        <f>"10"</f>
        <v>10</v>
      </c>
      <c r="K7151" s="1">
        <v>7</v>
      </c>
      <c r="L7151" s="1" t="s">
        <v>20</v>
      </c>
      <c r="M7151" s="1" t="str">
        <f>"浙江省 杭州市 萧山区 "</f>
        <v xml:space="preserve">浙江省 杭州市 萧山区 </v>
      </c>
      <c r="N7151" s="1" t="str">
        <f t="shared" si="2088"/>
        <v>凡华云仓-韵达-淘宝</v>
      </c>
      <c r="O7151" s="3">
        <v>434192959580480</v>
      </c>
      <c r="P7151" s="6">
        <v>1.0900000000000001</v>
      </c>
      <c r="Q7151" s="11">
        <f t="shared" si="2089"/>
        <v>3.2</v>
      </c>
      <c r="R7151" s="11">
        <f t="shared" si="2090"/>
        <v>0.4</v>
      </c>
      <c r="S7151" s="11">
        <v>0.15</v>
      </c>
      <c r="T7151" s="11"/>
      <c r="U7151" s="11">
        <f t="shared" si="2073"/>
        <v>3.75</v>
      </c>
      <c r="V7151" t="s">
        <v>15</v>
      </c>
      <c r="W7151">
        <v>3.75</v>
      </c>
      <c r="X7151" s="1" t="s">
        <v>20</v>
      </c>
    </row>
    <row r="7152" spans="1:24" x14ac:dyDescent="0.25">
      <c r="A7152" s="1" t="str">
        <f t="shared" si="2076"/>
        <v>卡卡杜-凤凰仓</v>
      </c>
      <c r="B7152" s="1" t="str">
        <f>"CK2024101662"</f>
        <v>CK2024101662</v>
      </c>
      <c r="C7152" s="1" t="str">
        <f>"DD2024101610105"</f>
        <v>DD2024101610105</v>
      </c>
      <c r="D7152" s="1" t="str">
        <f>"CK202410168301"</f>
        <v>CK202410168301</v>
      </c>
      <c r="E7152" s="1" t="str">
        <f>"3723332479696114689"</f>
        <v>3723332479696114689</v>
      </c>
      <c r="F7152" s="1" t="str">
        <f t="shared" si="2077"/>
        <v>花都四部-凤凰仓</v>
      </c>
      <c r="G7152" s="1" t="str">
        <f>"卡卡杜企业店（视频号）"</f>
        <v>卡卡杜企业店（视频号）</v>
      </c>
      <c r="H7152" s="1" t="str">
        <f t="shared" si="2078"/>
        <v>正常订单</v>
      </c>
      <c r="I7152" s="1" t="str">
        <f t="shared" si="2079"/>
        <v>已发货</v>
      </c>
      <c r="J7152" s="1" t="str">
        <f t="shared" ref="J7152:J7157" si="2093">"5"</f>
        <v>5</v>
      </c>
      <c r="K7152" s="1">
        <v>3</v>
      </c>
      <c r="L7152" s="1" t="s">
        <v>105</v>
      </c>
      <c r="M7152" s="1" t="str">
        <f>"北京 北京市 海淀区 "</f>
        <v xml:space="preserve">北京 北京市 海淀区 </v>
      </c>
      <c r="N7152" s="1" t="str">
        <f>"凡华云仓-韵达-微信视频号"</f>
        <v>凡华云仓-韵达-微信视频号</v>
      </c>
      <c r="O7152" s="5">
        <v>315013131090089</v>
      </c>
      <c r="P7152" s="6">
        <v>0.47</v>
      </c>
      <c r="Q7152" s="11">
        <v>2.2999999999999998</v>
      </c>
      <c r="R7152" s="11"/>
      <c r="S7152" s="11"/>
      <c r="T7152" s="11"/>
      <c r="U7152" s="11">
        <f t="shared" si="2073"/>
        <v>2.2999999999999998</v>
      </c>
      <c r="W7152">
        <v>2.5</v>
      </c>
      <c r="X7152" s="1" t="s">
        <v>105</v>
      </c>
    </row>
    <row r="7153" spans="1:24" x14ac:dyDescent="0.25">
      <c r="A7153" s="1" t="str">
        <f t="shared" si="2076"/>
        <v>卡卡杜-凤凰仓</v>
      </c>
      <c r="B7153" s="1" t="str">
        <f>"CK2024101659"</f>
        <v>CK2024101659</v>
      </c>
      <c r="C7153" s="1" t="str">
        <f>"DD2024101610101"</f>
        <v>DD2024101610101</v>
      </c>
      <c r="D7153" s="1" t="str">
        <f>"CK202410168300"</f>
        <v>CK202410168300</v>
      </c>
      <c r="E7153" s="1" t="str">
        <f>"3723332092069022721"</f>
        <v>3723332092069022721</v>
      </c>
      <c r="F7153" s="1" t="str">
        <f t="shared" si="2077"/>
        <v>花都四部-凤凰仓</v>
      </c>
      <c r="G7153" s="1" t="str">
        <f>"卡卡杜企业店（视频号）"</f>
        <v>卡卡杜企业店（视频号）</v>
      </c>
      <c r="H7153" s="1" t="str">
        <f t="shared" si="2078"/>
        <v>正常订单</v>
      </c>
      <c r="I7153" s="1" t="str">
        <f t="shared" si="2079"/>
        <v>已发货</v>
      </c>
      <c r="J7153" s="1" t="str">
        <f t="shared" ref="J7153:J7162" si="2094">"3"</f>
        <v>3</v>
      </c>
      <c r="K7153" s="1">
        <v>3</v>
      </c>
      <c r="L7153" s="1" t="s">
        <v>18</v>
      </c>
      <c r="M7153" s="1" t="str">
        <f>"广东省 潮州市 潮安区 "</f>
        <v xml:space="preserve">广东省 潮州市 潮安区 </v>
      </c>
      <c r="N7153" s="1" t="str">
        <f>"凡华云仓-韵达-微信视频号"</f>
        <v>凡华云仓-韵达-微信视频号</v>
      </c>
      <c r="O7153" s="5">
        <v>315013131079422</v>
      </c>
      <c r="P7153" s="6">
        <v>0.34</v>
      </c>
      <c r="Q7153" s="11">
        <v>2.2999999999999998</v>
      </c>
      <c r="R7153" s="11"/>
      <c r="S7153" s="11"/>
      <c r="T7153" s="11"/>
      <c r="U7153" s="11">
        <f t="shared" si="2073"/>
        <v>2.2999999999999998</v>
      </c>
      <c r="W7153">
        <v>2.5</v>
      </c>
      <c r="X7153" s="1" t="s">
        <v>18</v>
      </c>
    </row>
    <row r="7154" spans="1:24" x14ac:dyDescent="0.25">
      <c r="A7154" s="1" t="str">
        <f t="shared" si="2076"/>
        <v>卡卡杜-凤凰仓</v>
      </c>
      <c r="B7154" s="1" t="str">
        <f>"CK20241016102"</f>
        <v>CK20241016102</v>
      </c>
      <c r="C7154" s="1" t="str">
        <f>"DD2024101610143"</f>
        <v>DD2024101610143</v>
      </c>
      <c r="D7154" s="1" t="str">
        <f>"CK202410168299"</f>
        <v>CK202410168299</v>
      </c>
      <c r="E7154" s="1" t="str">
        <f>"2429002025299107"</f>
        <v>2429002025299107</v>
      </c>
      <c r="F7154" s="1" t="str">
        <f t="shared" si="2077"/>
        <v>花都四部-凤凰仓</v>
      </c>
      <c r="G7154" s="1" t="str">
        <f t="shared" ref="G7154:G7157" si="2095">"卡卡杜佳旺专卖店（快手店）"</f>
        <v>卡卡杜佳旺专卖店（快手店）</v>
      </c>
      <c r="H7154" s="1" t="str">
        <f t="shared" si="2078"/>
        <v>正常订单</v>
      </c>
      <c r="I7154" s="1" t="str">
        <f t="shared" si="2079"/>
        <v>已发货</v>
      </c>
      <c r="J7154" s="1" t="str">
        <f t="shared" si="2094"/>
        <v>3</v>
      </c>
      <c r="K7154" s="1">
        <v>3</v>
      </c>
      <c r="L7154" s="1" t="s">
        <v>92</v>
      </c>
      <c r="M7154" s="1" t="str">
        <f>"辽宁省 营口市 盖州市 西城街道"</f>
        <v>辽宁省 营口市 盖州市 西城街道</v>
      </c>
      <c r="N7154" s="1" t="str">
        <f t="shared" ref="N7154:N7157" si="2096">"凡华云仓-韵达-快手"</f>
        <v>凡华云仓-韵达-快手</v>
      </c>
      <c r="O7154" s="5">
        <v>319207381064886</v>
      </c>
      <c r="P7154" s="6">
        <v>0.34</v>
      </c>
      <c r="Q7154" s="11">
        <v>2.2999999999999998</v>
      </c>
      <c r="R7154" s="11"/>
      <c r="S7154" s="11"/>
      <c r="T7154" s="11"/>
      <c r="U7154" s="11">
        <f t="shared" si="2073"/>
        <v>2.2999999999999998</v>
      </c>
      <c r="W7154">
        <v>2.5</v>
      </c>
      <c r="X7154" s="1" t="s">
        <v>92</v>
      </c>
    </row>
    <row r="7155" spans="1:24" x14ac:dyDescent="0.25">
      <c r="A7155" s="1" t="str">
        <f t="shared" si="2076"/>
        <v>卡卡杜-凤凰仓</v>
      </c>
      <c r="B7155" s="1" t="str">
        <f>"CK2024101698"</f>
        <v>CK2024101698</v>
      </c>
      <c r="C7155" s="1" t="str">
        <f>"DD2024101610140"</f>
        <v>DD2024101610140</v>
      </c>
      <c r="D7155" s="1" t="str">
        <f>"CK202410168298"</f>
        <v>CK202410168298</v>
      </c>
      <c r="E7155" s="1" t="str">
        <f>"2429001707731666"</f>
        <v>2429001707731666</v>
      </c>
      <c r="F7155" s="1" t="str">
        <f t="shared" si="2077"/>
        <v>花都四部-凤凰仓</v>
      </c>
      <c r="G7155" s="1" t="str">
        <f t="shared" si="2095"/>
        <v>卡卡杜佳旺专卖店（快手店）</v>
      </c>
      <c r="H7155" s="1" t="str">
        <f t="shared" si="2078"/>
        <v>正常订单</v>
      </c>
      <c r="I7155" s="1" t="str">
        <f t="shared" si="2079"/>
        <v>已发货</v>
      </c>
      <c r="J7155" s="1" t="str">
        <f t="shared" si="2093"/>
        <v>5</v>
      </c>
      <c r="K7155" s="1">
        <v>3</v>
      </c>
      <c r="L7155" s="1" t="s">
        <v>187</v>
      </c>
      <c r="M7155" s="1" t="str">
        <f>"吉林省 通化市 梅河口市 解放街道"</f>
        <v>吉林省 通化市 梅河口市 解放街道</v>
      </c>
      <c r="N7155" s="1" t="str">
        <f t="shared" si="2096"/>
        <v>凡华云仓-韵达-快手</v>
      </c>
      <c r="O7155" s="5">
        <v>319207381620595</v>
      </c>
      <c r="P7155" s="6">
        <v>0.47</v>
      </c>
      <c r="Q7155" s="11">
        <v>2.2999999999999998</v>
      </c>
      <c r="R7155" s="11"/>
      <c r="S7155" s="11"/>
      <c r="T7155" s="11"/>
      <c r="U7155" s="11">
        <f t="shared" si="2073"/>
        <v>2.2999999999999998</v>
      </c>
      <c r="W7155">
        <v>2.5</v>
      </c>
      <c r="X7155" s="1" t="s">
        <v>187</v>
      </c>
    </row>
    <row r="7156" spans="1:24" x14ac:dyDescent="0.25">
      <c r="A7156" s="1" t="str">
        <f t="shared" si="2076"/>
        <v>卡卡杜-凤凰仓</v>
      </c>
      <c r="B7156" s="1" t="str">
        <f>"CK2024101695"</f>
        <v>CK2024101695</v>
      </c>
      <c r="C7156" s="1" t="str">
        <f>"DD2024101610137"</f>
        <v>DD2024101610137</v>
      </c>
      <c r="D7156" s="1" t="str">
        <f>"CK202410168297"</f>
        <v>CK202410168297</v>
      </c>
      <c r="E7156" s="1" t="str">
        <f>"2429001870232724"</f>
        <v>2429001870232724</v>
      </c>
      <c r="F7156" s="1" t="str">
        <f t="shared" si="2077"/>
        <v>花都四部-凤凰仓</v>
      </c>
      <c r="G7156" s="1" t="str">
        <f t="shared" si="2095"/>
        <v>卡卡杜佳旺专卖店（快手店）</v>
      </c>
      <c r="H7156" s="1" t="str">
        <f t="shared" si="2078"/>
        <v>正常订单</v>
      </c>
      <c r="I7156" s="1" t="str">
        <f t="shared" si="2079"/>
        <v>已发货</v>
      </c>
      <c r="J7156" s="1" t="str">
        <f t="shared" si="2093"/>
        <v>5</v>
      </c>
      <c r="K7156" s="1">
        <v>3</v>
      </c>
      <c r="L7156" s="1" t="s">
        <v>136</v>
      </c>
      <c r="M7156" s="1" t="str">
        <f>"北京市 北京市 通州区 永顺镇"</f>
        <v>北京市 北京市 通州区 永顺镇</v>
      </c>
      <c r="N7156" s="1" t="str">
        <f t="shared" si="2096"/>
        <v>凡华云仓-韵达-快手</v>
      </c>
      <c r="O7156" s="5">
        <v>319207381620210</v>
      </c>
      <c r="P7156" s="6">
        <v>0.47</v>
      </c>
      <c r="Q7156" s="11">
        <v>2.2999999999999998</v>
      </c>
      <c r="R7156" s="11"/>
      <c r="S7156" s="11"/>
      <c r="T7156" s="11"/>
      <c r="U7156" s="11">
        <f t="shared" si="2073"/>
        <v>2.2999999999999998</v>
      </c>
      <c r="W7156">
        <v>2.5</v>
      </c>
      <c r="X7156" s="1" t="s">
        <v>136</v>
      </c>
    </row>
    <row r="7157" spans="1:24" x14ac:dyDescent="0.25">
      <c r="A7157" s="1" t="str">
        <f t="shared" si="2076"/>
        <v>卡卡杜-凤凰仓</v>
      </c>
      <c r="B7157" s="1" t="str">
        <f>"CK2024101686"</f>
        <v>CK2024101686</v>
      </c>
      <c r="C7157" s="1" t="str">
        <f>"DD2024101610126"</f>
        <v>DD2024101610126</v>
      </c>
      <c r="D7157" s="1" t="str">
        <f>"CK202410168296"</f>
        <v>CK202410168296</v>
      </c>
      <c r="E7157" s="1" t="str">
        <f>"2429001682345354"</f>
        <v>2429001682345354</v>
      </c>
      <c r="F7157" s="1" t="str">
        <f t="shared" si="2077"/>
        <v>花都四部-凤凰仓</v>
      </c>
      <c r="G7157" s="1" t="str">
        <f t="shared" si="2095"/>
        <v>卡卡杜佳旺专卖店（快手店）</v>
      </c>
      <c r="H7157" s="1" t="str">
        <f t="shared" si="2078"/>
        <v>正常订单</v>
      </c>
      <c r="I7157" s="1" t="str">
        <f t="shared" si="2079"/>
        <v>已发货</v>
      </c>
      <c r="J7157" s="1" t="str">
        <f t="shared" si="2093"/>
        <v>5</v>
      </c>
      <c r="K7157" s="1">
        <v>3</v>
      </c>
      <c r="L7157" s="1" t="s">
        <v>92</v>
      </c>
      <c r="M7157" s="1" t="str">
        <f>"辽宁省 沈阳市 铁西区 大潘街道"</f>
        <v>辽宁省 沈阳市 铁西区 大潘街道</v>
      </c>
      <c r="N7157" s="1" t="str">
        <f t="shared" si="2096"/>
        <v>凡华云仓-韵达-快手</v>
      </c>
      <c r="O7157" s="5">
        <v>319207706785263</v>
      </c>
      <c r="P7157" s="6">
        <v>0.47</v>
      </c>
      <c r="Q7157" s="11">
        <v>2.2999999999999998</v>
      </c>
      <c r="R7157" s="11"/>
      <c r="S7157" s="11"/>
      <c r="T7157" s="11"/>
      <c r="U7157" s="11">
        <f t="shared" si="2073"/>
        <v>2.2999999999999998</v>
      </c>
      <c r="W7157">
        <v>2.5</v>
      </c>
      <c r="X7157" s="1" t="s">
        <v>92</v>
      </c>
    </row>
    <row r="7158" spans="1:24" x14ac:dyDescent="0.25">
      <c r="A7158" s="1" t="str">
        <f t="shared" si="2076"/>
        <v>卡卡杜-凤凰仓</v>
      </c>
      <c r="B7158" s="1" t="str">
        <f>"CK20241016103"</f>
        <v>CK20241016103</v>
      </c>
      <c r="C7158" s="1" t="str">
        <f>"DD2024101610145"</f>
        <v>DD2024101610145</v>
      </c>
      <c r="D7158" s="1" t="str">
        <f>"CK202410168295"</f>
        <v>CK202410168295</v>
      </c>
      <c r="E7158" s="1" t="str">
        <f>"6935071396966897044"</f>
        <v>6935071396966897044</v>
      </c>
      <c r="F7158" s="1" t="str">
        <f t="shared" si="2077"/>
        <v>花都四部-凤凰仓</v>
      </c>
      <c r="G7158" s="1" t="str">
        <f t="shared" ref="G7158:G7221" si="2097">"卡卡杜个人护理店（抖店）"</f>
        <v>卡卡杜个人护理店（抖店）</v>
      </c>
      <c r="H7158" s="1" t="str">
        <f t="shared" si="2078"/>
        <v>正常订单</v>
      </c>
      <c r="I7158" s="1" t="str">
        <f t="shared" si="2079"/>
        <v>已发货</v>
      </c>
      <c r="J7158" s="1" t="str">
        <f t="shared" si="2094"/>
        <v>3</v>
      </c>
      <c r="K7158" s="1">
        <v>2</v>
      </c>
      <c r="L7158" s="1" t="s">
        <v>13</v>
      </c>
      <c r="M7158" s="1" t="str">
        <f>"江苏省 苏州市 相城区 漕湖街道"</f>
        <v>江苏省 苏州市 相城区 漕湖街道</v>
      </c>
      <c r="N7158" s="1" t="str">
        <f t="shared" ref="N7158:N7221" si="2098">"凡华云仓-韵达-抖音"</f>
        <v>凡华云仓-韵达-抖音</v>
      </c>
      <c r="O7158" s="5">
        <v>320174171916888</v>
      </c>
      <c r="P7158" s="6">
        <v>0.35</v>
      </c>
      <c r="Q7158" s="11">
        <v>2.2999999999999998</v>
      </c>
      <c r="R7158" s="11"/>
      <c r="S7158" s="11"/>
      <c r="T7158" s="11"/>
      <c r="U7158" s="11">
        <f t="shared" si="2073"/>
        <v>2.2999999999999998</v>
      </c>
      <c r="W7158">
        <v>2.5</v>
      </c>
      <c r="X7158" s="1" t="s">
        <v>13</v>
      </c>
    </row>
    <row r="7159" spans="1:24" x14ac:dyDescent="0.25">
      <c r="A7159" s="1" t="str">
        <f t="shared" si="2076"/>
        <v>卡卡杜-凤凰仓</v>
      </c>
      <c r="B7159" s="1" t="str">
        <f>"CK20241016101"</f>
        <v>CK20241016101</v>
      </c>
      <c r="C7159" s="1" t="str">
        <f>"DD2024101610144"</f>
        <v>DD2024101610144</v>
      </c>
      <c r="D7159" s="1" t="str">
        <f>"CK202410168294"</f>
        <v>CK202410168294</v>
      </c>
      <c r="E7159" s="1" t="str">
        <f>"6935062729532643069"</f>
        <v>6935062729532643069</v>
      </c>
      <c r="F7159" s="1" t="str">
        <f t="shared" si="2077"/>
        <v>花都四部-凤凰仓</v>
      </c>
      <c r="G7159" s="1" t="str">
        <f t="shared" si="2097"/>
        <v>卡卡杜个人护理店（抖店）</v>
      </c>
      <c r="H7159" s="1" t="str">
        <f t="shared" si="2078"/>
        <v>正常订单</v>
      </c>
      <c r="I7159" s="1" t="str">
        <f t="shared" si="2079"/>
        <v>已发货</v>
      </c>
      <c r="J7159" s="1" t="str">
        <f t="shared" si="2094"/>
        <v>3</v>
      </c>
      <c r="K7159" s="1">
        <v>2</v>
      </c>
      <c r="L7159" s="1" t="s">
        <v>20</v>
      </c>
      <c r="M7159" s="1" t="str">
        <f>"浙江省 杭州市 富阳区 富春街道"</f>
        <v>浙江省 杭州市 富阳区 富春街道</v>
      </c>
      <c r="N7159" s="1" t="str">
        <f t="shared" si="2098"/>
        <v>凡华云仓-韵达-抖音</v>
      </c>
      <c r="O7159" s="5">
        <v>320174171916785</v>
      </c>
      <c r="P7159" s="6">
        <v>0.35</v>
      </c>
      <c r="Q7159" s="11">
        <v>2.2999999999999998</v>
      </c>
      <c r="R7159" s="11"/>
      <c r="S7159" s="11"/>
      <c r="T7159" s="11"/>
      <c r="U7159" s="11">
        <f t="shared" si="2073"/>
        <v>2.2999999999999998</v>
      </c>
      <c r="W7159">
        <v>2.5</v>
      </c>
      <c r="X7159" s="1" t="s">
        <v>20</v>
      </c>
    </row>
    <row r="7160" spans="1:24" x14ac:dyDescent="0.25">
      <c r="A7160" s="1" t="str">
        <f t="shared" si="2076"/>
        <v>卡卡杜-凤凰仓</v>
      </c>
      <c r="B7160" s="1" t="str">
        <f>"CK20241016100"</f>
        <v>CK20241016100</v>
      </c>
      <c r="C7160" s="1" t="str">
        <f>"DD2024101610141"</f>
        <v>DD2024101610141</v>
      </c>
      <c r="D7160" s="1" t="str">
        <f>"CK202410168293"</f>
        <v>CK202410168293</v>
      </c>
      <c r="E7160" s="1" t="str">
        <f>"6935046667081487811"</f>
        <v>6935046667081487811</v>
      </c>
      <c r="F7160" s="1" t="str">
        <f t="shared" si="2077"/>
        <v>花都四部-凤凰仓</v>
      </c>
      <c r="G7160" s="1" t="str">
        <f t="shared" si="2097"/>
        <v>卡卡杜个人护理店（抖店）</v>
      </c>
      <c r="H7160" s="1" t="str">
        <f t="shared" si="2078"/>
        <v>正常订单</v>
      </c>
      <c r="I7160" s="1" t="str">
        <f t="shared" si="2079"/>
        <v>已发货</v>
      </c>
      <c r="J7160" s="1" t="str">
        <f t="shared" si="2094"/>
        <v>3</v>
      </c>
      <c r="K7160" s="1">
        <v>2</v>
      </c>
      <c r="L7160" s="1" t="s">
        <v>13</v>
      </c>
      <c r="M7160" s="1" t="str">
        <f>"江苏省 连云港市 灌云县 侍庄街道"</f>
        <v>江苏省 连云港市 灌云县 侍庄街道</v>
      </c>
      <c r="N7160" s="1" t="str">
        <f t="shared" si="2098"/>
        <v>凡华云仓-韵达-抖音</v>
      </c>
      <c r="O7160" s="5">
        <v>320174171916684</v>
      </c>
      <c r="P7160" s="6">
        <v>0.35</v>
      </c>
      <c r="Q7160" s="11">
        <v>2.2999999999999998</v>
      </c>
      <c r="R7160" s="11"/>
      <c r="S7160" s="11"/>
      <c r="T7160" s="11"/>
      <c r="U7160" s="11">
        <f t="shared" si="2073"/>
        <v>2.2999999999999998</v>
      </c>
      <c r="W7160">
        <v>2.5</v>
      </c>
      <c r="X7160" s="1" t="s">
        <v>13</v>
      </c>
    </row>
    <row r="7161" spans="1:24" x14ac:dyDescent="0.25">
      <c r="A7161" s="1" t="str">
        <f t="shared" si="2076"/>
        <v>卡卡杜-凤凰仓</v>
      </c>
      <c r="B7161" s="1" t="str">
        <f>"CK2024101699"</f>
        <v>CK2024101699</v>
      </c>
      <c r="C7161" s="1" t="str">
        <f>"DD2024101610142"</f>
        <v>DD2024101610142</v>
      </c>
      <c r="D7161" s="1" t="str">
        <f>"CK202410168292"</f>
        <v>CK202410168292</v>
      </c>
      <c r="E7161" s="1" t="str">
        <f>"6935064596241520254"</f>
        <v>6935064596241520254</v>
      </c>
      <c r="F7161" s="1" t="str">
        <f t="shared" si="2077"/>
        <v>花都四部-凤凰仓</v>
      </c>
      <c r="G7161" s="1" t="str">
        <f t="shared" si="2097"/>
        <v>卡卡杜个人护理店（抖店）</v>
      </c>
      <c r="H7161" s="1" t="str">
        <f t="shared" si="2078"/>
        <v>正常订单</v>
      </c>
      <c r="I7161" s="1" t="str">
        <f t="shared" si="2079"/>
        <v>已发货</v>
      </c>
      <c r="J7161" s="1" t="str">
        <f t="shared" si="2094"/>
        <v>3</v>
      </c>
      <c r="K7161" s="1">
        <v>2</v>
      </c>
      <c r="L7161" s="1" t="s">
        <v>20</v>
      </c>
      <c r="M7161" s="1" t="str">
        <f>"浙江省 宁波市 镇海区 骆驼街道"</f>
        <v>浙江省 宁波市 镇海区 骆驼街道</v>
      </c>
      <c r="N7161" s="1" t="str">
        <f t="shared" si="2098"/>
        <v>凡华云仓-韵达-抖音</v>
      </c>
      <c r="O7161" s="5">
        <v>320174171916585</v>
      </c>
      <c r="P7161" s="6">
        <v>0.35</v>
      </c>
      <c r="Q7161" s="11">
        <v>2.2999999999999998</v>
      </c>
      <c r="R7161" s="11"/>
      <c r="S7161" s="11"/>
      <c r="T7161" s="11"/>
      <c r="U7161" s="11">
        <f t="shared" si="2073"/>
        <v>2.2999999999999998</v>
      </c>
      <c r="W7161">
        <v>2.5</v>
      </c>
      <c r="X7161" s="1" t="s">
        <v>20</v>
      </c>
    </row>
    <row r="7162" spans="1:24" x14ac:dyDescent="0.25">
      <c r="A7162" s="1" t="str">
        <f t="shared" si="2076"/>
        <v>卡卡杜-凤凰仓</v>
      </c>
      <c r="B7162" s="1" t="str">
        <f>"CK2024101697"</f>
        <v>CK2024101697</v>
      </c>
      <c r="C7162" s="1" t="str">
        <f>"DD2024101610139"</f>
        <v>DD2024101610139</v>
      </c>
      <c r="D7162" s="1" t="str">
        <f>"CK202410168291"</f>
        <v>CK202410168291</v>
      </c>
      <c r="E7162" s="1" t="str">
        <f>"6935057995277604673"</f>
        <v>6935057995277604673</v>
      </c>
      <c r="F7162" s="1" t="str">
        <f t="shared" si="2077"/>
        <v>花都四部-凤凰仓</v>
      </c>
      <c r="G7162" s="1" t="str">
        <f t="shared" si="2097"/>
        <v>卡卡杜个人护理店（抖店）</v>
      </c>
      <c r="H7162" s="1" t="str">
        <f t="shared" si="2078"/>
        <v>正常订单</v>
      </c>
      <c r="I7162" s="1" t="str">
        <f t="shared" si="2079"/>
        <v>已发货</v>
      </c>
      <c r="J7162" s="1" t="str">
        <f t="shared" si="2094"/>
        <v>3</v>
      </c>
      <c r="K7162" s="1">
        <v>2</v>
      </c>
      <c r="L7162" s="1" t="s">
        <v>20</v>
      </c>
      <c r="M7162" s="1" t="str">
        <f>"浙江省 台州市 仙居县 福应街道"</f>
        <v>浙江省 台州市 仙居县 福应街道</v>
      </c>
      <c r="N7162" s="1" t="str">
        <f t="shared" si="2098"/>
        <v>凡华云仓-韵达-抖音</v>
      </c>
      <c r="O7162" s="5">
        <v>320174175589741</v>
      </c>
      <c r="P7162" s="6">
        <v>0.35</v>
      </c>
      <c r="Q7162" s="11">
        <v>2.2999999999999998</v>
      </c>
      <c r="R7162" s="11"/>
      <c r="S7162" s="11"/>
      <c r="T7162" s="11"/>
      <c r="U7162" s="11">
        <f t="shared" si="2073"/>
        <v>2.2999999999999998</v>
      </c>
      <c r="W7162">
        <v>2.5</v>
      </c>
      <c r="X7162" s="1" t="s">
        <v>20</v>
      </c>
    </row>
    <row r="7163" spans="1:24" x14ac:dyDescent="0.25">
      <c r="A7163" s="1" t="str">
        <f t="shared" si="2076"/>
        <v>卡卡杜-凤凰仓</v>
      </c>
      <c r="B7163" s="1" t="str">
        <f>"CK2024101696"</f>
        <v>CK2024101696</v>
      </c>
      <c r="C7163" s="1" t="str">
        <f>"DD2024101610138"</f>
        <v>DD2024101610138</v>
      </c>
      <c r="D7163" s="1" t="str">
        <f>"CK202410168290"</f>
        <v>CK202410168290</v>
      </c>
      <c r="E7163" s="1" t="str">
        <f>"6935048833663309314"</f>
        <v>6935048833663309314</v>
      </c>
      <c r="F7163" s="1" t="str">
        <f t="shared" si="2077"/>
        <v>花都四部-凤凰仓</v>
      </c>
      <c r="G7163" s="1" t="str">
        <f t="shared" si="2097"/>
        <v>卡卡杜个人护理店（抖店）</v>
      </c>
      <c r="H7163" s="1" t="str">
        <f t="shared" si="2078"/>
        <v>正常订单</v>
      </c>
      <c r="I7163" s="1" t="str">
        <f t="shared" si="2079"/>
        <v>已发货</v>
      </c>
      <c r="J7163" s="1" t="str">
        <f>"5"</f>
        <v>5</v>
      </c>
      <c r="K7163" s="1">
        <v>2</v>
      </c>
      <c r="L7163" s="1" t="s">
        <v>60</v>
      </c>
      <c r="M7163" s="1" t="str">
        <f>"云南省 大理白族自治州 鹤庆县 松桂镇"</f>
        <v>云南省 大理白族自治州 鹤庆县 松桂镇</v>
      </c>
      <c r="N7163" s="1" t="str">
        <f t="shared" si="2098"/>
        <v>凡华云仓-韵达-抖音</v>
      </c>
      <c r="O7163" s="5">
        <v>320174175589640</v>
      </c>
      <c r="P7163" s="6">
        <v>0.59</v>
      </c>
      <c r="Q7163" s="11">
        <f>CEILING(P7163-0.5,0.1)*10*0.15+2.3</f>
        <v>2.4499999999999997</v>
      </c>
      <c r="R7163" s="11"/>
      <c r="S7163" s="11"/>
      <c r="T7163" s="11"/>
      <c r="U7163" s="11">
        <f t="shared" si="2073"/>
        <v>2.4499999999999997</v>
      </c>
      <c r="V7163" t="s">
        <v>15</v>
      </c>
      <c r="W7163">
        <v>2.4500000000000002</v>
      </c>
      <c r="X7163" s="1" t="s">
        <v>60</v>
      </c>
    </row>
    <row r="7164" spans="1:24" x14ac:dyDescent="0.25">
      <c r="A7164" s="1" t="str">
        <f t="shared" si="2076"/>
        <v>卡卡杜-凤凰仓</v>
      </c>
      <c r="B7164" s="1" t="str">
        <f>"CK2024101694"</f>
        <v>CK2024101694</v>
      </c>
      <c r="C7164" s="1" t="str">
        <f>"DD2024101610136"</f>
        <v>DD2024101610136</v>
      </c>
      <c r="D7164" s="1" t="str">
        <f>"CK202410168289"</f>
        <v>CK202410168289</v>
      </c>
      <c r="E7164" s="1" t="str">
        <f>"6935060116210127948"</f>
        <v>6935060116210127948</v>
      </c>
      <c r="F7164" s="1" t="str">
        <f t="shared" si="2077"/>
        <v>花都四部-凤凰仓</v>
      </c>
      <c r="G7164" s="1" t="str">
        <f t="shared" si="2097"/>
        <v>卡卡杜个人护理店（抖店）</v>
      </c>
      <c r="H7164" s="1" t="str">
        <f t="shared" si="2078"/>
        <v>正常订单</v>
      </c>
      <c r="I7164" s="1" t="str">
        <f t="shared" si="2079"/>
        <v>已发货</v>
      </c>
      <c r="J7164" s="1" t="str">
        <f t="shared" ref="J7164:J7171" si="2099">"3"</f>
        <v>3</v>
      </c>
      <c r="K7164" s="1">
        <v>3</v>
      </c>
      <c r="L7164" s="1" t="s">
        <v>18</v>
      </c>
      <c r="M7164" s="1" t="str">
        <f>"广东省 深圳市 光明区 马田街道"</f>
        <v>广东省 深圳市 光明区 马田街道</v>
      </c>
      <c r="N7164" s="1" t="str">
        <f t="shared" si="2098"/>
        <v>凡华云仓-韵达-抖音</v>
      </c>
      <c r="O7164" s="5">
        <v>320174175589541</v>
      </c>
      <c r="P7164" s="6">
        <v>0.34</v>
      </c>
      <c r="Q7164" s="11">
        <v>2.2999999999999998</v>
      </c>
      <c r="R7164" s="11"/>
      <c r="S7164" s="11"/>
      <c r="T7164" s="11"/>
      <c r="U7164" s="11">
        <f t="shared" si="2073"/>
        <v>2.2999999999999998</v>
      </c>
      <c r="W7164">
        <v>2.5</v>
      </c>
      <c r="X7164" s="1" t="s">
        <v>18</v>
      </c>
    </row>
    <row r="7165" spans="1:24" x14ac:dyDescent="0.25">
      <c r="A7165" s="1" t="str">
        <f t="shared" si="2076"/>
        <v>卡卡杜-凤凰仓</v>
      </c>
      <c r="B7165" s="1" t="str">
        <f>"CK2024101693"</f>
        <v>CK2024101693</v>
      </c>
      <c r="C7165" s="1" t="str">
        <f>"DD2024101610135"</f>
        <v>DD2024101610135</v>
      </c>
      <c r="D7165" s="1" t="str">
        <f>"CK202410168288"</f>
        <v>CK202410168288</v>
      </c>
      <c r="E7165" s="1" t="str">
        <f>"6935064560106476763"</f>
        <v>6935064560106476763</v>
      </c>
      <c r="F7165" s="1" t="str">
        <f t="shared" si="2077"/>
        <v>花都四部-凤凰仓</v>
      </c>
      <c r="G7165" s="1" t="str">
        <f t="shared" si="2097"/>
        <v>卡卡杜个人护理店（抖店）</v>
      </c>
      <c r="H7165" s="1" t="str">
        <f t="shared" si="2078"/>
        <v>正常订单</v>
      </c>
      <c r="I7165" s="1" t="str">
        <f t="shared" si="2079"/>
        <v>已发货</v>
      </c>
      <c r="J7165" s="1" t="str">
        <f>"5"</f>
        <v>5</v>
      </c>
      <c r="K7165" s="1">
        <v>2</v>
      </c>
      <c r="L7165" s="1" t="s">
        <v>13</v>
      </c>
      <c r="M7165" s="1" t="str">
        <f>"江苏省 泰州市 高港区 "</f>
        <v xml:space="preserve">江苏省 泰州市 高港区 </v>
      </c>
      <c r="N7165" s="1" t="str">
        <f t="shared" si="2098"/>
        <v>凡华云仓-韵达-抖音</v>
      </c>
      <c r="O7165" s="5">
        <v>320174175589444</v>
      </c>
      <c r="P7165" s="6">
        <v>0.59</v>
      </c>
      <c r="Q7165" s="11">
        <f>CEILING(P7165-0.5,0.1)*10*0.15+2.3</f>
        <v>2.4499999999999997</v>
      </c>
      <c r="R7165" s="11"/>
      <c r="S7165" s="11"/>
      <c r="T7165" s="11"/>
      <c r="U7165" s="11">
        <f t="shared" si="2073"/>
        <v>2.4499999999999997</v>
      </c>
      <c r="V7165" t="s">
        <v>15</v>
      </c>
      <c r="W7165">
        <v>2.4500000000000002</v>
      </c>
      <c r="X7165" s="1" t="s">
        <v>13</v>
      </c>
    </row>
    <row r="7166" spans="1:24" x14ac:dyDescent="0.25">
      <c r="A7166" s="1" t="str">
        <f t="shared" si="2076"/>
        <v>卡卡杜-凤凰仓</v>
      </c>
      <c r="B7166" s="1" t="str">
        <f>"CK2024101692"</f>
        <v>CK2024101692</v>
      </c>
      <c r="C7166" s="1" t="str">
        <f>"DD2024101610134"</f>
        <v>DD2024101610134</v>
      </c>
      <c r="D7166" s="1" t="str">
        <f>"CK202410168287"</f>
        <v>CK202410168287</v>
      </c>
      <c r="E7166" s="1" t="str">
        <f>"6935068899176159121"</f>
        <v>6935068899176159121</v>
      </c>
      <c r="F7166" s="1" t="str">
        <f t="shared" si="2077"/>
        <v>花都四部-凤凰仓</v>
      </c>
      <c r="G7166" s="1" t="str">
        <f t="shared" si="2097"/>
        <v>卡卡杜个人护理店（抖店）</v>
      </c>
      <c r="H7166" s="1" t="str">
        <f t="shared" si="2078"/>
        <v>正常订单</v>
      </c>
      <c r="I7166" s="1" t="str">
        <f t="shared" si="2079"/>
        <v>已发货</v>
      </c>
      <c r="J7166" s="1" t="str">
        <f t="shared" si="2099"/>
        <v>3</v>
      </c>
      <c r="K7166" s="1">
        <v>2</v>
      </c>
      <c r="L7166" s="1" t="s">
        <v>161</v>
      </c>
      <c r="M7166" s="1" t="str">
        <f>"四川省 宜宾市 南溪区 南溪街道"</f>
        <v>四川省 宜宾市 南溪区 南溪街道</v>
      </c>
      <c r="N7166" s="1" t="str">
        <f t="shared" si="2098"/>
        <v>凡华云仓-韵达-抖音</v>
      </c>
      <c r="O7166" s="5">
        <v>320174175589349</v>
      </c>
      <c r="P7166" s="6">
        <v>0.35</v>
      </c>
      <c r="Q7166" s="11">
        <v>2.2999999999999998</v>
      </c>
      <c r="R7166" s="11"/>
      <c r="S7166" s="11"/>
      <c r="T7166" s="11"/>
      <c r="U7166" s="11">
        <f t="shared" si="2073"/>
        <v>2.2999999999999998</v>
      </c>
      <c r="W7166">
        <v>2.5</v>
      </c>
      <c r="X7166" s="1" t="s">
        <v>161</v>
      </c>
    </row>
    <row r="7167" spans="1:24" x14ac:dyDescent="0.25">
      <c r="A7167" s="1" t="str">
        <f t="shared" si="2076"/>
        <v>卡卡杜-凤凰仓</v>
      </c>
      <c r="B7167" s="1" t="str">
        <f>"CK2024101691"</f>
        <v>CK2024101691</v>
      </c>
      <c r="C7167" s="1" t="str">
        <f>"DD2024101610133"</f>
        <v>DD2024101610133</v>
      </c>
      <c r="D7167" s="1" t="str">
        <f>"CK202410168286"</f>
        <v>CK202410168286</v>
      </c>
      <c r="E7167" s="1" t="str">
        <f>"6935044413421720864"</f>
        <v>6935044413421720864</v>
      </c>
      <c r="F7167" s="1" t="str">
        <f t="shared" si="2077"/>
        <v>花都四部-凤凰仓</v>
      </c>
      <c r="G7167" s="1" t="str">
        <f t="shared" si="2097"/>
        <v>卡卡杜个人护理店（抖店）</v>
      </c>
      <c r="H7167" s="1" t="str">
        <f t="shared" si="2078"/>
        <v>正常订单</v>
      </c>
      <c r="I7167" s="1" t="str">
        <f t="shared" si="2079"/>
        <v>已发货</v>
      </c>
      <c r="J7167" s="1" t="str">
        <f t="shared" si="2099"/>
        <v>3</v>
      </c>
      <c r="K7167" s="1">
        <v>2</v>
      </c>
      <c r="L7167" s="1" t="s">
        <v>20</v>
      </c>
      <c r="M7167" s="1" t="str">
        <f>"浙江省 绍兴市 越城区 稽山街道"</f>
        <v>浙江省 绍兴市 越城区 稽山街道</v>
      </c>
      <c r="N7167" s="1" t="str">
        <f t="shared" si="2098"/>
        <v>凡华云仓-韵达-抖音</v>
      </c>
      <c r="O7167" s="5">
        <v>320174175589256</v>
      </c>
      <c r="P7167" s="6">
        <v>0.35</v>
      </c>
      <c r="Q7167" s="11">
        <v>2.2999999999999998</v>
      </c>
      <c r="R7167" s="11"/>
      <c r="S7167" s="11"/>
      <c r="T7167" s="11"/>
      <c r="U7167" s="11">
        <f t="shared" si="2073"/>
        <v>2.2999999999999998</v>
      </c>
      <c r="W7167">
        <v>2.5</v>
      </c>
      <c r="X7167" s="1" t="s">
        <v>20</v>
      </c>
    </row>
    <row r="7168" spans="1:24" x14ac:dyDescent="0.25">
      <c r="A7168" s="1" t="str">
        <f t="shared" si="2076"/>
        <v>卡卡杜-凤凰仓</v>
      </c>
      <c r="B7168" s="1" t="str">
        <f>"CK2024101690"</f>
        <v>CK2024101690</v>
      </c>
      <c r="C7168" s="1" t="str">
        <f>"DD2024101610132"</f>
        <v>DD2024101610132</v>
      </c>
      <c r="D7168" s="1" t="str">
        <f>"CK202410168285"</f>
        <v>CK202410168285</v>
      </c>
      <c r="E7168" s="1" t="str">
        <f>"6935062474168341912"</f>
        <v>6935062474168341912</v>
      </c>
      <c r="F7168" s="1" t="str">
        <f t="shared" si="2077"/>
        <v>花都四部-凤凰仓</v>
      </c>
      <c r="G7168" s="1" t="str">
        <f t="shared" si="2097"/>
        <v>卡卡杜个人护理店（抖店）</v>
      </c>
      <c r="H7168" s="1" t="str">
        <f t="shared" si="2078"/>
        <v>正常订单</v>
      </c>
      <c r="I7168" s="1" t="str">
        <f t="shared" si="2079"/>
        <v>已发货</v>
      </c>
      <c r="J7168" s="1" t="str">
        <f t="shared" si="2099"/>
        <v>3</v>
      </c>
      <c r="K7168" s="1">
        <v>2</v>
      </c>
      <c r="L7168" s="1" t="s">
        <v>36</v>
      </c>
      <c r="M7168" s="1" t="str">
        <f>"安徽省 池州市 贵池区 梅龙街道"</f>
        <v>安徽省 池州市 贵池区 梅龙街道</v>
      </c>
      <c r="N7168" s="1" t="str">
        <f t="shared" si="2098"/>
        <v>凡华云仓-韵达-抖音</v>
      </c>
      <c r="O7168" s="5">
        <v>320174175589165</v>
      </c>
      <c r="P7168" s="6">
        <v>0.35</v>
      </c>
      <c r="Q7168" s="11">
        <v>2.2999999999999998</v>
      </c>
      <c r="R7168" s="11"/>
      <c r="S7168" s="11"/>
      <c r="T7168" s="11"/>
      <c r="U7168" s="11">
        <f t="shared" si="2073"/>
        <v>2.2999999999999998</v>
      </c>
      <c r="W7168">
        <v>2.5</v>
      </c>
      <c r="X7168" s="1" t="s">
        <v>36</v>
      </c>
    </row>
    <row r="7169" spans="1:24" x14ac:dyDescent="0.25">
      <c r="A7169" s="1" t="str">
        <f t="shared" si="2076"/>
        <v>卡卡杜-凤凰仓</v>
      </c>
      <c r="B7169" s="1" t="str">
        <f>"CK2024101689"</f>
        <v>CK2024101689</v>
      </c>
      <c r="C7169" s="1" t="str">
        <f>"DD2024101610131"</f>
        <v>DD2024101610131</v>
      </c>
      <c r="D7169" s="1" t="str">
        <f>"CK202410168284"</f>
        <v>CK202410168284</v>
      </c>
      <c r="E7169" s="1" t="str">
        <f>"6935066667122300024"</f>
        <v>6935066667122300024</v>
      </c>
      <c r="F7169" s="1" t="str">
        <f t="shared" si="2077"/>
        <v>花都四部-凤凰仓</v>
      </c>
      <c r="G7169" s="1" t="str">
        <f t="shared" si="2097"/>
        <v>卡卡杜个人护理店（抖店）</v>
      </c>
      <c r="H7169" s="1" t="str">
        <f t="shared" si="2078"/>
        <v>正常订单</v>
      </c>
      <c r="I7169" s="1" t="str">
        <f t="shared" si="2079"/>
        <v>已发货</v>
      </c>
      <c r="J7169" s="1" t="str">
        <f t="shared" si="2099"/>
        <v>3</v>
      </c>
      <c r="K7169" s="1">
        <v>2</v>
      </c>
      <c r="L7169" s="1" t="s">
        <v>18</v>
      </c>
      <c r="M7169" s="1" t="str">
        <f>"广东省 梅州市 梅县区 扶大镇"</f>
        <v>广东省 梅州市 梅县区 扶大镇</v>
      </c>
      <c r="N7169" s="1" t="str">
        <f t="shared" si="2098"/>
        <v>凡华云仓-韵达-抖音</v>
      </c>
      <c r="O7169" s="5">
        <v>320174175589076</v>
      </c>
      <c r="P7169" s="6">
        <v>0.35</v>
      </c>
      <c r="Q7169" s="11">
        <v>2.2999999999999998</v>
      </c>
      <c r="R7169" s="11"/>
      <c r="S7169" s="11"/>
      <c r="T7169" s="11"/>
      <c r="U7169" s="11">
        <f t="shared" si="2073"/>
        <v>2.2999999999999998</v>
      </c>
      <c r="W7169">
        <v>2.5</v>
      </c>
      <c r="X7169" s="1" t="s">
        <v>18</v>
      </c>
    </row>
    <row r="7170" spans="1:24" x14ac:dyDescent="0.25">
      <c r="A7170" s="1" t="str">
        <f t="shared" si="2076"/>
        <v>卡卡杜-凤凰仓</v>
      </c>
      <c r="B7170" s="1" t="str">
        <f>"CK2024101688"</f>
        <v>CK2024101688</v>
      </c>
      <c r="C7170" s="1" t="str">
        <f>"DD2024101610129"</f>
        <v>DD2024101610129</v>
      </c>
      <c r="D7170" s="1" t="str">
        <f>"CK202410168283"</f>
        <v>CK202410168283</v>
      </c>
      <c r="E7170" s="1" t="str">
        <f>"6935068924516570333"</f>
        <v>6935068924516570333</v>
      </c>
      <c r="F7170" s="1" t="str">
        <f t="shared" si="2077"/>
        <v>花都四部-凤凰仓</v>
      </c>
      <c r="G7170" s="1" t="str">
        <f t="shared" si="2097"/>
        <v>卡卡杜个人护理店（抖店）</v>
      </c>
      <c r="H7170" s="1" t="str">
        <f t="shared" si="2078"/>
        <v>正常订单</v>
      </c>
      <c r="I7170" s="1" t="str">
        <f t="shared" si="2079"/>
        <v>已发货</v>
      </c>
      <c r="J7170" s="1" t="str">
        <f t="shared" si="2099"/>
        <v>3</v>
      </c>
      <c r="K7170" s="1">
        <v>2</v>
      </c>
      <c r="L7170" s="1" t="s">
        <v>18</v>
      </c>
      <c r="M7170" s="1" t="str">
        <f>"广东省 清远市 清城区 凤城街道"</f>
        <v>广东省 清远市 清城区 凤城街道</v>
      </c>
      <c r="N7170" s="1" t="str">
        <f t="shared" si="2098"/>
        <v>凡华云仓-韵达-抖音</v>
      </c>
      <c r="O7170" s="5">
        <v>320174175588944</v>
      </c>
      <c r="P7170" s="6">
        <v>0.35</v>
      </c>
      <c r="Q7170" s="11">
        <v>2.2999999999999998</v>
      </c>
      <c r="R7170" s="11"/>
      <c r="S7170" s="11"/>
      <c r="T7170" s="11"/>
      <c r="U7170" s="11">
        <f t="shared" si="2073"/>
        <v>2.2999999999999998</v>
      </c>
      <c r="W7170">
        <v>2.5</v>
      </c>
      <c r="X7170" s="1" t="s">
        <v>18</v>
      </c>
    </row>
    <row r="7171" spans="1:24" x14ac:dyDescent="0.25">
      <c r="A7171" s="1" t="str">
        <f t="shared" si="2076"/>
        <v>卡卡杜-凤凰仓</v>
      </c>
      <c r="B7171" s="1" t="str">
        <f>"CK2024101687"</f>
        <v>CK2024101687</v>
      </c>
      <c r="C7171" s="1" t="str">
        <f>"DD2024101610130"</f>
        <v>DD2024101610130</v>
      </c>
      <c r="D7171" s="1" t="str">
        <f>"CK202410168282"</f>
        <v>CK202410168282</v>
      </c>
      <c r="E7171" s="1" t="str">
        <f>"6935055419015239361"</f>
        <v>6935055419015239361</v>
      </c>
      <c r="F7171" s="1" t="str">
        <f t="shared" si="2077"/>
        <v>花都四部-凤凰仓</v>
      </c>
      <c r="G7171" s="1" t="str">
        <f t="shared" si="2097"/>
        <v>卡卡杜个人护理店（抖店）</v>
      </c>
      <c r="H7171" s="1" t="str">
        <f t="shared" si="2078"/>
        <v>正常订单</v>
      </c>
      <c r="I7171" s="1" t="str">
        <f t="shared" si="2079"/>
        <v>已发货</v>
      </c>
      <c r="J7171" s="1" t="str">
        <f t="shared" si="2099"/>
        <v>3</v>
      </c>
      <c r="K7171" s="1">
        <v>2</v>
      </c>
      <c r="L7171" s="1" t="s">
        <v>60</v>
      </c>
      <c r="M7171" s="1" t="str">
        <f>"云南省 保山市 隆阳区 蒲缥镇"</f>
        <v>云南省 保山市 隆阳区 蒲缥镇</v>
      </c>
      <c r="N7171" s="1" t="str">
        <f t="shared" si="2098"/>
        <v>凡华云仓-韵达-抖音</v>
      </c>
      <c r="O7171" s="5">
        <v>320174175588839</v>
      </c>
      <c r="P7171" s="6">
        <v>0.35</v>
      </c>
      <c r="Q7171" s="11">
        <v>2.2999999999999998</v>
      </c>
      <c r="R7171" s="11"/>
      <c r="S7171" s="11"/>
      <c r="T7171" s="11"/>
      <c r="U7171" s="11">
        <f t="shared" ref="U7171:U7234" si="2100">T7171+S7171+R7171+Q7171</f>
        <v>2.2999999999999998</v>
      </c>
      <c r="W7171">
        <v>2.5</v>
      </c>
      <c r="X7171" s="1" t="s">
        <v>60</v>
      </c>
    </row>
    <row r="7172" spans="1:24" x14ac:dyDescent="0.25">
      <c r="A7172" s="1" t="str">
        <f t="shared" si="2076"/>
        <v>卡卡杜-凤凰仓</v>
      </c>
      <c r="B7172" s="1" t="str">
        <f>"CK2024101685"</f>
        <v>CK2024101685</v>
      </c>
      <c r="C7172" s="1" t="str">
        <f>"DD2024101610125"</f>
        <v>DD2024101610125</v>
      </c>
      <c r="D7172" s="1" t="str">
        <f>"CK202410168281"</f>
        <v>CK202410168281</v>
      </c>
      <c r="E7172" s="1" t="str">
        <f>"6935068897697928485"</f>
        <v>6935068897697928485</v>
      </c>
      <c r="F7172" s="1" t="str">
        <f t="shared" si="2077"/>
        <v>花都四部-凤凰仓</v>
      </c>
      <c r="G7172" s="1" t="str">
        <f t="shared" si="2097"/>
        <v>卡卡杜个人护理店（抖店）</v>
      </c>
      <c r="H7172" s="1" t="str">
        <f t="shared" si="2078"/>
        <v>正常订单</v>
      </c>
      <c r="I7172" s="1" t="str">
        <f t="shared" si="2079"/>
        <v>已发货</v>
      </c>
      <c r="J7172" s="1" t="str">
        <f>"1"</f>
        <v>1</v>
      </c>
      <c r="K7172" s="1">
        <v>1</v>
      </c>
      <c r="L7172" s="1" t="s">
        <v>161</v>
      </c>
      <c r="M7172" s="1" t="str">
        <f>"四川省 成都市 成华区 二仙桥街道"</f>
        <v>四川省 成都市 成华区 二仙桥街道</v>
      </c>
      <c r="N7172" s="1" t="str">
        <f t="shared" si="2098"/>
        <v>凡华云仓-韵达-抖音</v>
      </c>
      <c r="O7172" s="5">
        <v>320174188132018</v>
      </c>
      <c r="P7172" s="6">
        <v>0.12</v>
      </c>
      <c r="Q7172" s="11">
        <v>2</v>
      </c>
      <c r="R7172" s="11"/>
      <c r="S7172" s="11"/>
      <c r="T7172" s="11"/>
      <c r="U7172" s="11">
        <f t="shared" si="2100"/>
        <v>2</v>
      </c>
      <c r="W7172">
        <v>2.2000000000000002</v>
      </c>
      <c r="X7172" s="1" t="s">
        <v>161</v>
      </c>
    </row>
    <row r="7173" spans="1:24" x14ac:dyDescent="0.25">
      <c r="A7173" s="1" t="str">
        <f t="shared" ref="A7173:A7236" si="2101">"卡卡杜-凤凰仓"</f>
        <v>卡卡杜-凤凰仓</v>
      </c>
      <c r="B7173" s="1" t="str">
        <f>"CK2024101684"</f>
        <v>CK2024101684</v>
      </c>
      <c r="C7173" s="1" t="str">
        <f>"DD2024101610127"</f>
        <v>DD2024101610127</v>
      </c>
      <c r="D7173" s="1" t="str">
        <f>"CK202410168280"</f>
        <v>CK202410168280</v>
      </c>
      <c r="E7173" s="1" t="str">
        <f>"6935055457274238689"</f>
        <v>6935055457274238689</v>
      </c>
      <c r="F7173" s="1" t="str">
        <f t="shared" ref="F7173:F7236" si="2102">"花都四部-凤凰仓"</f>
        <v>花都四部-凤凰仓</v>
      </c>
      <c r="G7173" s="1" t="str">
        <f t="shared" si="2097"/>
        <v>卡卡杜个人护理店（抖店）</v>
      </c>
      <c r="H7173" s="1" t="str">
        <f t="shared" ref="H7173:H7236" si="2103">"正常订单"</f>
        <v>正常订单</v>
      </c>
      <c r="I7173" s="1" t="str">
        <f t="shared" ref="I7173:I7236" si="2104">"已发货"</f>
        <v>已发货</v>
      </c>
      <c r="J7173" s="1" t="str">
        <f t="shared" ref="J7173:J7213" si="2105">"3"</f>
        <v>3</v>
      </c>
      <c r="K7173" s="1">
        <v>2</v>
      </c>
      <c r="L7173" s="1" t="s">
        <v>41</v>
      </c>
      <c r="M7173" s="1" t="str">
        <f>"湖北省 咸宁市 通城县 隽水镇"</f>
        <v>湖北省 咸宁市 通城县 隽水镇</v>
      </c>
      <c r="N7173" s="1" t="str">
        <f t="shared" si="2098"/>
        <v>凡华云仓-韵达-抖音</v>
      </c>
      <c r="O7173" s="5">
        <v>320174188131900</v>
      </c>
      <c r="P7173" s="6">
        <v>0.35</v>
      </c>
      <c r="Q7173" s="11">
        <v>2.2999999999999998</v>
      </c>
      <c r="R7173" s="11"/>
      <c r="S7173" s="11"/>
      <c r="T7173" s="11"/>
      <c r="U7173" s="11">
        <f t="shared" si="2100"/>
        <v>2.2999999999999998</v>
      </c>
      <c r="W7173">
        <v>2.5</v>
      </c>
      <c r="X7173" s="1" t="s">
        <v>41</v>
      </c>
    </row>
    <row r="7174" spans="1:24" x14ac:dyDescent="0.25">
      <c r="A7174" s="1" t="str">
        <f t="shared" si="2101"/>
        <v>卡卡杜-凤凰仓</v>
      </c>
      <c r="B7174" s="1" t="str">
        <f>"CK2024101683"</f>
        <v>CK2024101683</v>
      </c>
      <c r="C7174" s="1" t="str">
        <f>"DD2024101610128"</f>
        <v>DD2024101610128</v>
      </c>
      <c r="D7174" s="1" t="str">
        <f>"CK202410168279"</f>
        <v>CK202410168279</v>
      </c>
      <c r="E7174" s="1" t="str">
        <f>"6935066197390726858"</f>
        <v>6935066197390726858</v>
      </c>
      <c r="F7174" s="1" t="str">
        <f t="shared" si="2102"/>
        <v>花都四部-凤凰仓</v>
      </c>
      <c r="G7174" s="1" t="str">
        <f t="shared" si="2097"/>
        <v>卡卡杜个人护理店（抖店）</v>
      </c>
      <c r="H7174" s="1" t="str">
        <f t="shared" si="2103"/>
        <v>正常订单</v>
      </c>
      <c r="I7174" s="1" t="str">
        <f t="shared" si="2104"/>
        <v>已发货</v>
      </c>
      <c r="J7174" s="1" t="str">
        <f t="shared" si="2105"/>
        <v>3</v>
      </c>
      <c r="K7174" s="1">
        <v>2</v>
      </c>
      <c r="L7174" s="1" t="s">
        <v>109</v>
      </c>
      <c r="M7174" s="1" t="str">
        <f>"山西省 吕梁市 交口县 康城镇"</f>
        <v>山西省 吕梁市 交口县 康城镇</v>
      </c>
      <c r="N7174" s="1" t="str">
        <f t="shared" si="2098"/>
        <v>凡华云仓-韵达-抖音</v>
      </c>
      <c r="O7174" s="5">
        <v>320174188131895</v>
      </c>
      <c r="P7174" s="6">
        <v>0.35</v>
      </c>
      <c r="Q7174" s="11">
        <v>2.2999999999999998</v>
      </c>
      <c r="R7174" s="11"/>
      <c r="S7174" s="11"/>
      <c r="T7174" s="11"/>
      <c r="U7174" s="11">
        <f t="shared" si="2100"/>
        <v>2.2999999999999998</v>
      </c>
      <c r="W7174">
        <v>2.5</v>
      </c>
      <c r="X7174" s="1" t="s">
        <v>109</v>
      </c>
    </row>
    <row r="7175" spans="1:24" x14ac:dyDescent="0.25">
      <c r="A7175" s="1" t="str">
        <f t="shared" si="2101"/>
        <v>卡卡杜-凤凰仓</v>
      </c>
      <c r="B7175" s="1" t="str">
        <f>"CK2024101682"</f>
        <v>CK2024101682</v>
      </c>
      <c r="C7175" s="1" t="str">
        <f>"DD2024101610123"</f>
        <v>DD2024101610123</v>
      </c>
      <c r="D7175" s="1" t="str">
        <f>"CK202410168278"</f>
        <v>CK202410168278</v>
      </c>
      <c r="E7175" s="1" t="str">
        <f>"6935068724306122453"</f>
        <v>6935068724306122453</v>
      </c>
      <c r="F7175" s="1" t="str">
        <f t="shared" si="2102"/>
        <v>花都四部-凤凰仓</v>
      </c>
      <c r="G7175" s="1" t="str">
        <f t="shared" si="2097"/>
        <v>卡卡杜个人护理店（抖店）</v>
      </c>
      <c r="H7175" s="1" t="str">
        <f t="shared" si="2103"/>
        <v>正常订单</v>
      </c>
      <c r="I7175" s="1" t="str">
        <f t="shared" si="2104"/>
        <v>已发货</v>
      </c>
      <c r="J7175" s="1" t="str">
        <f t="shared" si="2105"/>
        <v>3</v>
      </c>
      <c r="K7175" s="1">
        <v>2</v>
      </c>
      <c r="L7175" s="1" t="s">
        <v>13</v>
      </c>
      <c r="M7175" s="1" t="str">
        <f>"江苏省 盐城市 阜宁县 阜城街道"</f>
        <v>江苏省 盐城市 阜宁县 阜城街道</v>
      </c>
      <c r="N7175" s="1" t="str">
        <f t="shared" si="2098"/>
        <v>凡华云仓-韵达-抖音</v>
      </c>
      <c r="O7175" s="5">
        <v>320174188131792</v>
      </c>
      <c r="P7175" s="6">
        <v>0.35</v>
      </c>
      <c r="Q7175" s="11">
        <v>2.2999999999999998</v>
      </c>
      <c r="R7175" s="11"/>
      <c r="S7175" s="11"/>
      <c r="T7175" s="11"/>
      <c r="U7175" s="11">
        <f t="shared" si="2100"/>
        <v>2.2999999999999998</v>
      </c>
      <c r="W7175">
        <v>2.5</v>
      </c>
      <c r="X7175" s="1" t="s">
        <v>13</v>
      </c>
    </row>
    <row r="7176" spans="1:24" x14ac:dyDescent="0.25">
      <c r="A7176" s="1" t="str">
        <f t="shared" si="2101"/>
        <v>卡卡杜-凤凰仓</v>
      </c>
      <c r="B7176" s="1" t="str">
        <f>"CK2024101681"</f>
        <v>CK2024101681</v>
      </c>
      <c r="C7176" s="1" t="str">
        <f>"DD2024101610124"</f>
        <v>DD2024101610124</v>
      </c>
      <c r="D7176" s="1" t="str">
        <f>"CK202410168277"</f>
        <v>CK202410168277</v>
      </c>
      <c r="E7176" s="1" t="str">
        <f>"6935073207252948602"</f>
        <v>6935073207252948602</v>
      </c>
      <c r="F7176" s="1" t="str">
        <f t="shared" si="2102"/>
        <v>花都四部-凤凰仓</v>
      </c>
      <c r="G7176" s="1" t="str">
        <f t="shared" si="2097"/>
        <v>卡卡杜个人护理店（抖店）</v>
      </c>
      <c r="H7176" s="1" t="str">
        <f t="shared" si="2103"/>
        <v>正常订单</v>
      </c>
      <c r="I7176" s="1" t="str">
        <f t="shared" si="2104"/>
        <v>已发货</v>
      </c>
      <c r="J7176" s="1" t="str">
        <f t="shared" si="2105"/>
        <v>3</v>
      </c>
      <c r="K7176" s="1">
        <v>2</v>
      </c>
      <c r="L7176" s="1" t="s">
        <v>20</v>
      </c>
      <c r="M7176" s="1" t="str">
        <f>"浙江省 丽水市 莲都区 碧湖镇"</f>
        <v>浙江省 丽水市 莲都区 碧湖镇</v>
      </c>
      <c r="N7176" s="1" t="str">
        <f t="shared" si="2098"/>
        <v>凡华云仓-韵达-抖音</v>
      </c>
      <c r="O7176" s="5">
        <v>320174188131691</v>
      </c>
      <c r="P7176" s="6">
        <v>0.35</v>
      </c>
      <c r="Q7176" s="11">
        <v>2.2999999999999998</v>
      </c>
      <c r="R7176" s="11"/>
      <c r="S7176" s="11"/>
      <c r="T7176" s="11"/>
      <c r="U7176" s="11">
        <f t="shared" si="2100"/>
        <v>2.2999999999999998</v>
      </c>
      <c r="W7176">
        <v>2.5</v>
      </c>
      <c r="X7176" s="1" t="s">
        <v>20</v>
      </c>
    </row>
    <row r="7177" spans="1:24" x14ac:dyDescent="0.25">
      <c r="A7177" s="1" t="str">
        <f t="shared" si="2101"/>
        <v>卡卡杜-凤凰仓</v>
      </c>
      <c r="B7177" s="1" t="str">
        <f>"CK2024101680"</f>
        <v>CK2024101680</v>
      </c>
      <c r="C7177" s="1" t="str">
        <f>"DD2024101610122"</f>
        <v>DD2024101610122</v>
      </c>
      <c r="D7177" s="1" t="str">
        <f>"CK202410168276"</f>
        <v>CK202410168276</v>
      </c>
      <c r="E7177" s="1" t="str">
        <f>"6935044055501182905"</f>
        <v>6935044055501182905</v>
      </c>
      <c r="F7177" s="1" t="str">
        <f t="shared" si="2102"/>
        <v>花都四部-凤凰仓</v>
      </c>
      <c r="G7177" s="1" t="str">
        <f t="shared" si="2097"/>
        <v>卡卡杜个人护理店（抖店）</v>
      </c>
      <c r="H7177" s="1" t="str">
        <f t="shared" si="2103"/>
        <v>正常订单</v>
      </c>
      <c r="I7177" s="1" t="str">
        <f t="shared" si="2104"/>
        <v>已发货</v>
      </c>
      <c r="J7177" s="1" t="str">
        <f t="shared" si="2105"/>
        <v>3</v>
      </c>
      <c r="K7177" s="1">
        <v>2</v>
      </c>
      <c r="L7177" s="1" t="s">
        <v>96</v>
      </c>
      <c r="M7177" s="1" t="str">
        <f>"广西壮族自治区 来宾市 兴宾区 河西街道"</f>
        <v>广西壮族自治区 来宾市 兴宾区 河西街道</v>
      </c>
      <c r="N7177" s="1" t="str">
        <f t="shared" si="2098"/>
        <v>凡华云仓-韵达-抖音</v>
      </c>
      <c r="O7177" s="5">
        <v>320174188131592</v>
      </c>
      <c r="P7177" s="6">
        <v>0.35</v>
      </c>
      <c r="Q7177" s="11">
        <v>2.2999999999999998</v>
      </c>
      <c r="R7177" s="11"/>
      <c r="S7177" s="11"/>
      <c r="T7177" s="11"/>
      <c r="U7177" s="11">
        <f t="shared" si="2100"/>
        <v>2.2999999999999998</v>
      </c>
      <c r="W7177">
        <v>2.5</v>
      </c>
      <c r="X7177" s="1" t="s">
        <v>96</v>
      </c>
    </row>
    <row r="7178" spans="1:24" x14ac:dyDescent="0.25">
      <c r="A7178" s="1" t="str">
        <f t="shared" si="2101"/>
        <v>卡卡杜-凤凰仓</v>
      </c>
      <c r="B7178" s="1" t="str">
        <f>"CK2024101679"</f>
        <v>CK2024101679</v>
      </c>
      <c r="C7178" s="1" t="str">
        <f>"DD2024101610120"</f>
        <v>DD2024101610120</v>
      </c>
      <c r="D7178" s="1" t="str">
        <f>"CK202410168275"</f>
        <v>CK202410168275</v>
      </c>
      <c r="E7178" s="1" t="str">
        <f>"6935041799299667867"</f>
        <v>6935041799299667867</v>
      </c>
      <c r="F7178" s="1" t="str">
        <f t="shared" si="2102"/>
        <v>花都四部-凤凰仓</v>
      </c>
      <c r="G7178" s="1" t="str">
        <f t="shared" si="2097"/>
        <v>卡卡杜个人护理店（抖店）</v>
      </c>
      <c r="H7178" s="1" t="str">
        <f t="shared" si="2103"/>
        <v>正常订单</v>
      </c>
      <c r="I7178" s="1" t="str">
        <f t="shared" si="2104"/>
        <v>已发货</v>
      </c>
      <c r="J7178" s="1" t="str">
        <f t="shared" si="2105"/>
        <v>3</v>
      </c>
      <c r="K7178" s="1">
        <v>2</v>
      </c>
      <c r="L7178" s="1" t="s">
        <v>13</v>
      </c>
      <c r="M7178" s="1" t="str">
        <f>"江苏省 南通市 崇川区 幸福街道"</f>
        <v>江苏省 南通市 崇川区 幸福街道</v>
      </c>
      <c r="N7178" s="1" t="str">
        <f t="shared" si="2098"/>
        <v>凡华云仓-韵达-抖音</v>
      </c>
      <c r="O7178" s="5">
        <v>320174188131495</v>
      </c>
      <c r="P7178" s="6">
        <v>0.35</v>
      </c>
      <c r="Q7178" s="11">
        <v>2.2999999999999998</v>
      </c>
      <c r="R7178" s="11"/>
      <c r="S7178" s="11"/>
      <c r="T7178" s="11"/>
      <c r="U7178" s="11">
        <f t="shared" si="2100"/>
        <v>2.2999999999999998</v>
      </c>
      <c r="W7178">
        <v>2.5</v>
      </c>
      <c r="X7178" s="1" t="s">
        <v>13</v>
      </c>
    </row>
    <row r="7179" spans="1:24" x14ac:dyDescent="0.25">
      <c r="A7179" s="1" t="str">
        <f t="shared" si="2101"/>
        <v>卡卡杜-凤凰仓</v>
      </c>
      <c r="B7179" s="1" t="str">
        <f>"CK2024101678"</f>
        <v>CK2024101678</v>
      </c>
      <c r="C7179" s="1" t="str">
        <f>"DD2024101610119"</f>
        <v>DD2024101610119</v>
      </c>
      <c r="D7179" s="1" t="str">
        <f>"CK202410168274"</f>
        <v>CK202410168274</v>
      </c>
      <c r="E7179" s="1" t="str">
        <f>"6918017721199263339"</f>
        <v>6918017721199263339</v>
      </c>
      <c r="F7179" s="1" t="str">
        <f t="shared" si="2102"/>
        <v>花都四部-凤凰仓</v>
      </c>
      <c r="G7179" s="1" t="str">
        <f t="shared" si="2097"/>
        <v>卡卡杜个人护理店（抖店）</v>
      </c>
      <c r="H7179" s="1" t="str">
        <f t="shared" si="2103"/>
        <v>正常订单</v>
      </c>
      <c r="I7179" s="1" t="str">
        <f t="shared" si="2104"/>
        <v>已发货</v>
      </c>
      <c r="J7179" s="1" t="str">
        <f t="shared" si="2105"/>
        <v>3</v>
      </c>
      <c r="K7179" s="1">
        <v>2</v>
      </c>
      <c r="L7179" s="1" t="s">
        <v>22</v>
      </c>
      <c r="M7179" s="1" t="str">
        <f>"江西省 九江市 都昌县 "</f>
        <v xml:space="preserve">江西省 九江市 都昌县 </v>
      </c>
      <c r="N7179" s="1" t="str">
        <f t="shared" si="2098"/>
        <v>凡华云仓-韵达-抖音</v>
      </c>
      <c r="O7179" s="5">
        <v>320174188131300</v>
      </c>
      <c r="P7179" s="6">
        <v>0.35</v>
      </c>
      <c r="Q7179" s="11">
        <v>2.2999999999999998</v>
      </c>
      <c r="R7179" s="11"/>
      <c r="S7179" s="11"/>
      <c r="T7179" s="11"/>
      <c r="U7179" s="11">
        <f t="shared" si="2100"/>
        <v>2.2999999999999998</v>
      </c>
      <c r="W7179">
        <v>2.5</v>
      </c>
      <c r="X7179" s="1" t="s">
        <v>22</v>
      </c>
    </row>
    <row r="7180" spans="1:24" x14ac:dyDescent="0.25">
      <c r="A7180" s="1" t="str">
        <f t="shared" si="2101"/>
        <v>卡卡杜-凤凰仓</v>
      </c>
      <c r="B7180" s="1" t="str">
        <f>"CK2024101677"</f>
        <v>CK2024101677</v>
      </c>
      <c r="C7180" s="1" t="str">
        <f>"DD2024101610121"</f>
        <v>DD2024101610121</v>
      </c>
      <c r="D7180" s="1" t="str">
        <f>"CK202410168273"</f>
        <v>CK202410168273</v>
      </c>
      <c r="E7180" s="1" t="str">
        <f>"6935050737640805591"</f>
        <v>6935050737640805591</v>
      </c>
      <c r="F7180" s="1" t="str">
        <f t="shared" si="2102"/>
        <v>花都四部-凤凰仓</v>
      </c>
      <c r="G7180" s="1" t="str">
        <f t="shared" si="2097"/>
        <v>卡卡杜个人护理店（抖店）</v>
      </c>
      <c r="H7180" s="1" t="str">
        <f t="shared" si="2103"/>
        <v>正常订单</v>
      </c>
      <c r="I7180" s="1" t="str">
        <f t="shared" si="2104"/>
        <v>已发货</v>
      </c>
      <c r="J7180" s="1" t="str">
        <f t="shared" si="2105"/>
        <v>3</v>
      </c>
      <c r="K7180" s="1">
        <v>2</v>
      </c>
      <c r="L7180" s="1" t="s">
        <v>41</v>
      </c>
      <c r="M7180" s="1" t="str">
        <f>"湖北省 十堰市 竹山县 宝丰镇"</f>
        <v>湖北省 十堰市 竹山县 宝丰镇</v>
      </c>
      <c r="N7180" s="1" t="str">
        <f t="shared" si="2098"/>
        <v>凡华云仓-韵达-抖音</v>
      </c>
      <c r="O7180" s="5">
        <v>320174188131207</v>
      </c>
      <c r="P7180" s="6">
        <v>0.35</v>
      </c>
      <c r="Q7180" s="11">
        <v>2.2999999999999998</v>
      </c>
      <c r="R7180" s="11"/>
      <c r="S7180" s="11"/>
      <c r="T7180" s="11"/>
      <c r="U7180" s="11">
        <f t="shared" si="2100"/>
        <v>2.2999999999999998</v>
      </c>
      <c r="W7180">
        <v>2.5</v>
      </c>
      <c r="X7180" s="1" t="s">
        <v>41</v>
      </c>
    </row>
    <row r="7181" spans="1:24" x14ac:dyDescent="0.25">
      <c r="A7181" s="1" t="str">
        <f t="shared" si="2101"/>
        <v>卡卡杜-凤凰仓</v>
      </c>
      <c r="B7181" s="1" t="str">
        <f>"CK2024101676"</f>
        <v>CK2024101676</v>
      </c>
      <c r="C7181" s="1" t="str">
        <f>"DD2024101610116"</f>
        <v>DD2024101610116</v>
      </c>
      <c r="D7181" s="1" t="str">
        <f>"CK202410168272"</f>
        <v>CK202410168272</v>
      </c>
      <c r="E7181" s="1" t="str">
        <f>"6935044000159044703"</f>
        <v>6935044000159044703</v>
      </c>
      <c r="F7181" s="1" t="str">
        <f t="shared" si="2102"/>
        <v>花都四部-凤凰仓</v>
      </c>
      <c r="G7181" s="1" t="str">
        <f t="shared" si="2097"/>
        <v>卡卡杜个人护理店（抖店）</v>
      </c>
      <c r="H7181" s="1" t="str">
        <f t="shared" si="2103"/>
        <v>正常订单</v>
      </c>
      <c r="I7181" s="1" t="str">
        <f t="shared" si="2104"/>
        <v>已发货</v>
      </c>
      <c r="J7181" s="1" t="str">
        <f t="shared" si="2105"/>
        <v>3</v>
      </c>
      <c r="K7181" s="1">
        <v>2</v>
      </c>
      <c r="L7181" s="1" t="s">
        <v>13</v>
      </c>
      <c r="M7181" s="1" t="str">
        <f>"江苏省 常州市 新北区 孟河镇"</f>
        <v>江苏省 常州市 新北区 孟河镇</v>
      </c>
      <c r="N7181" s="1" t="str">
        <f t="shared" si="2098"/>
        <v>凡华云仓-韵达-抖音</v>
      </c>
      <c r="O7181" s="5">
        <v>320174188131116</v>
      </c>
      <c r="P7181" s="6">
        <v>0.35</v>
      </c>
      <c r="Q7181" s="11">
        <v>2.2999999999999998</v>
      </c>
      <c r="R7181" s="11"/>
      <c r="S7181" s="11"/>
      <c r="T7181" s="11"/>
      <c r="U7181" s="11">
        <f t="shared" si="2100"/>
        <v>2.2999999999999998</v>
      </c>
      <c r="W7181">
        <v>2.5</v>
      </c>
      <c r="X7181" s="1" t="s">
        <v>13</v>
      </c>
    </row>
    <row r="7182" spans="1:24" x14ac:dyDescent="0.25">
      <c r="A7182" s="1" t="str">
        <f t="shared" si="2101"/>
        <v>卡卡杜-凤凰仓</v>
      </c>
      <c r="B7182" s="1" t="str">
        <f>"CK2024101675"</f>
        <v>CK2024101675</v>
      </c>
      <c r="C7182" s="1" t="str">
        <f>"DD2024101610118"</f>
        <v>DD2024101610118</v>
      </c>
      <c r="D7182" s="1" t="str">
        <f>"CK202410168271"</f>
        <v>CK202410168271</v>
      </c>
      <c r="E7182" s="1" t="str">
        <f>"6935055209093273462"</f>
        <v>6935055209093273462</v>
      </c>
      <c r="F7182" s="1" t="str">
        <f t="shared" si="2102"/>
        <v>花都四部-凤凰仓</v>
      </c>
      <c r="G7182" s="1" t="str">
        <f t="shared" si="2097"/>
        <v>卡卡杜个人护理店（抖店）</v>
      </c>
      <c r="H7182" s="1" t="str">
        <f t="shared" si="2103"/>
        <v>正常订单</v>
      </c>
      <c r="I7182" s="1" t="str">
        <f t="shared" si="2104"/>
        <v>已发货</v>
      </c>
      <c r="J7182" s="1" t="str">
        <f t="shared" si="2105"/>
        <v>3</v>
      </c>
      <c r="K7182" s="1">
        <v>2</v>
      </c>
      <c r="L7182" s="1" t="s">
        <v>60</v>
      </c>
      <c r="M7182" s="1" t="str">
        <f>"云南省 大理白族自治州 巍山彝族回族自治县 "</f>
        <v xml:space="preserve">云南省 大理白族自治州 巍山彝族回族自治县 </v>
      </c>
      <c r="N7182" s="1" t="str">
        <f t="shared" si="2098"/>
        <v>凡华云仓-韵达-抖音</v>
      </c>
      <c r="O7182" s="5">
        <v>320174181246477</v>
      </c>
      <c r="P7182" s="6">
        <v>0.35</v>
      </c>
      <c r="Q7182" s="11">
        <v>2.2999999999999998</v>
      </c>
      <c r="R7182" s="11"/>
      <c r="S7182" s="11"/>
      <c r="T7182" s="11"/>
      <c r="U7182" s="11">
        <f t="shared" si="2100"/>
        <v>2.2999999999999998</v>
      </c>
      <c r="W7182">
        <v>2.5</v>
      </c>
      <c r="X7182" s="1" t="s">
        <v>60</v>
      </c>
    </row>
    <row r="7183" spans="1:24" x14ac:dyDescent="0.25">
      <c r="A7183" s="1" t="str">
        <f t="shared" si="2101"/>
        <v>卡卡杜-凤凰仓</v>
      </c>
      <c r="B7183" s="1" t="str">
        <f>"CK2024101674"</f>
        <v>CK2024101674</v>
      </c>
      <c r="C7183" s="1" t="str">
        <f>"DD2024101610117"</f>
        <v>DD2024101610117</v>
      </c>
      <c r="D7183" s="1" t="str">
        <f>"CK202410168270"</f>
        <v>CK202410168270</v>
      </c>
      <c r="E7183" s="1" t="str">
        <f>"6935057268257068358"</f>
        <v>6935057268257068358</v>
      </c>
      <c r="F7183" s="1" t="str">
        <f t="shared" si="2102"/>
        <v>花都四部-凤凰仓</v>
      </c>
      <c r="G7183" s="1" t="str">
        <f t="shared" si="2097"/>
        <v>卡卡杜个人护理店（抖店）</v>
      </c>
      <c r="H7183" s="1" t="str">
        <f t="shared" si="2103"/>
        <v>正常订单</v>
      </c>
      <c r="I7183" s="1" t="str">
        <f t="shared" si="2104"/>
        <v>已发货</v>
      </c>
      <c r="J7183" s="1" t="str">
        <f t="shared" si="2105"/>
        <v>3</v>
      </c>
      <c r="K7183" s="1">
        <v>2</v>
      </c>
      <c r="L7183" s="1" t="s">
        <v>36</v>
      </c>
      <c r="M7183" s="1" t="str">
        <f>"安徽省 滁州市 天长市 万寿镇"</f>
        <v>安徽省 滁州市 天长市 万寿镇</v>
      </c>
      <c r="N7183" s="1" t="str">
        <f t="shared" si="2098"/>
        <v>凡华云仓-韵达-抖音</v>
      </c>
      <c r="O7183" s="5">
        <v>320174181246382</v>
      </c>
      <c r="P7183" s="6">
        <v>0.35</v>
      </c>
      <c r="Q7183" s="11">
        <v>2.2999999999999998</v>
      </c>
      <c r="R7183" s="11"/>
      <c r="S7183" s="11"/>
      <c r="T7183" s="11"/>
      <c r="U7183" s="11">
        <f t="shared" si="2100"/>
        <v>2.2999999999999998</v>
      </c>
      <c r="W7183">
        <v>2.5</v>
      </c>
      <c r="X7183" s="1" t="s">
        <v>36</v>
      </c>
    </row>
    <row r="7184" spans="1:24" x14ac:dyDescent="0.25">
      <c r="A7184" s="1" t="str">
        <f t="shared" si="2101"/>
        <v>卡卡杜-凤凰仓</v>
      </c>
      <c r="B7184" s="1" t="str">
        <f>"CK2024101673"</f>
        <v>CK2024101673</v>
      </c>
      <c r="C7184" s="1" t="str">
        <f>"DD2024101610115"</f>
        <v>DD2024101610115</v>
      </c>
      <c r="D7184" s="1" t="str">
        <f>"CK202410168269"</f>
        <v>CK202410168269</v>
      </c>
      <c r="E7184" s="1" t="str">
        <f>"6935068245313197211"</f>
        <v>6935068245313197211</v>
      </c>
      <c r="F7184" s="1" t="str">
        <f t="shared" si="2102"/>
        <v>花都四部-凤凰仓</v>
      </c>
      <c r="G7184" s="1" t="str">
        <f t="shared" si="2097"/>
        <v>卡卡杜个人护理店（抖店）</v>
      </c>
      <c r="H7184" s="1" t="str">
        <f t="shared" si="2103"/>
        <v>正常订单</v>
      </c>
      <c r="I7184" s="1" t="str">
        <f t="shared" si="2104"/>
        <v>已发货</v>
      </c>
      <c r="J7184" s="1" t="str">
        <f t="shared" si="2105"/>
        <v>3</v>
      </c>
      <c r="K7184" s="1">
        <v>2</v>
      </c>
      <c r="L7184" s="1" t="s">
        <v>20</v>
      </c>
      <c r="M7184" s="1" t="str">
        <f>"浙江省 温州市 瓯海区 泽雅镇"</f>
        <v>浙江省 温州市 瓯海区 泽雅镇</v>
      </c>
      <c r="N7184" s="1" t="str">
        <f t="shared" si="2098"/>
        <v>凡华云仓-韵达-抖音</v>
      </c>
      <c r="O7184" s="5">
        <v>320174181246289</v>
      </c>
      <c r="P7184" s="6">
        <v>0.35</v>
      </c>
      <c r="Q7184" s="11">
        <v>2.2999999999999998</v>
      </c>
      <c r="R7184" s="11"/>
      <c r="S7184" s="11"/>
      <c r="T7184" s="11"/>
      <c r="U7184" s="11">
        <f t="shared" si="2100"/>
        <v>2.2999999999999998</v>
      </c>
      <c r="W7184">
        <v>2.5</v>
      </c>
      <c r="X7184" s="1" t="s">
        <v>20</v>
      </c>
    </row>
    <row r="7185" spans="1:24" x14ac:dyDescent="0.25">
      <c r="A7185" s="1" t="str">
        <f t="shared" si="2101"/>
        <v>卡卡杜-凤凰仓</v>
      </c>
      <c r="B7185" s="1" t="str">
        <f>"CK2024101672"</f>
        <v>CK2024101672</v>
      </c>
      <c r="C7185" s="1" t="str">
        <f>"DD2024101610114"</f>
        <v>DD2024101610114</v>
      </c>
      <c r="D7185" s="1" t="str">
        <f>"CK202410168268"</f>
        <v>CK202410168268</v>
      </c>
      <c r="E7185" s="1" t="str">
        <f>"6935054928275379900"</f>
        <v>6935054928275379900</v>
      </c>
      <c r="F7185" s="1" t="str">
        <f t="shared" si="2102"/>
        <v>花都四部-凤凰仓</v>
      </c>
      <c r="G7185" s="1" t="str">
        <f t="shared" si="2097"/>
        <v>卡卡杜个人护理店（抖店）</v>
      </c>
      <c r="H7185" s="1" t="str">
        <f t="shared" si="2103"/>
        <v>正常订单</v>
      </c>
      <c r="I7185" s="1" t="str">
        <f t="shared" si="2104"/>
        <v>已发货</v>
      </c>
      <c r="J7185" s="1" t="str">
        <f t="shared" si="2105"/>
        <v>3</v>
      </c>
      <c r="K7185" s="1">
        <v>2</v>
      </c>
      <c r="L7185" s="1" t="s">
        <v>36</v>
      </c>
      <c r="M7185" s="1" t="str">
        <f>"安徽省 合肥市 肥东县 店埠镇"</f>
        <v>安徽省 合肥市 肥东县 店埠镇</v>
      </c>
      <c r="N7185" s="1" t="str">
        <f t="shared" si="2098"/>
        <v>凡华云仓-韵达-抖音</v>
      </c>
      <c r="O7185" s="5">
        <v>320174181246198</v>
      </c>
      <c r="P7185" s="6">
        <v>0.35</v>
      </c>
      <c r="Q7185" s="11">
        <v>2.2999999999999998</v>
      </c>
      <c r="R7185" s="11"/>
      <c r="S7185" s="11"/>
      <c r="T7185" s="11"/>
      <c r="U7185" s="11">
        <f t="shared" si="2100"/>
        <v>2.2999999999999998</v>
      </c>
      <c r="W7185">
        <v>2.5</v>
      </c>
      <c r="X7185" s="1" t="s">
        <v>36</v>
      </c>
    </row>
    <row r="7186" spans="1:24" x14ac:dyDescent="0.25">
      <c r="A7186" s="1" t="str">
        <f t="shared" si="2101"/>
        <v>卡卡杜-凤凰仓</v>
      </c>
      <c r="B7186" s="1" t="str">
        <f>"CK2024101671"</f>
        <v>CK2024101671</v>
      </c>
      <c r="C7186" s="1" t="str">
        <f>"DD2024101610113"</f>
        <v>DD2024101610113</v>
      </c>
      <c r="D7186" s="1" t="str">
        <f>"CK202410168267"</f>
        <v>CK202410168267</v>
      </c>
      <c r="E7186" s="1" t="str">
        <f>"6935065820123698188"</f>
        <v>6935065820123698188</v>
      </c>
      <c r="F7186" s="1" t="str">
        <f t="shared" si="2102"/>
        <v>花都四部-凤凰仓</v>
      </c>
      <c r="G7186" s="1" t="str">
        <f t="shared" si="2097"/>
        <v>卡卡杜个人护理店（抖店）</v>
      </c>
      <c r="H7186" s="1" t="str">
        <f t="shared" si="2103"/>
        <v>正常订单</v>
      </c>
      <c r="I7186" s="1" t="str">
        <f t="shared" si="2104"/>
        <v>已发货</v>
      </c>
      <c r="J7186" s="1" t="str">
        <f t="shared" si="2105"/>
        <v>3</v>
      </c>
      <c r="K7186" s="1">
        <v>2</v>
      </c>
      <c r="L7186" s="1" t="s">
        <v>20</v>
      </c>
      <c r="M7186" s="1" t="str">
        <f>"浙江省 温州市 鹿城区 滨江街道"</f>
        <v>浙江省 温州市 鹿城区 滨江街道</v>
      </c>
      <c r="N7186" s="1" t="str">
        <f t="shared" si="2098"/>
        <v>凡华云仓-韵达-抖音</v>
      </c>
      <c r="O7186" s="5">
        <v>320174181246009</v>
      </c>
      <c r="P7186" s="6">
        <v>0.35</v>
      </c>
      <c r="Q7186" s="11">
        <v>2.2999999999999998</v>
      </c>
      <c r="R7186" s="11"/>
      <c r="S7186" s="11"/>
      <c r="T7186" s="11"/>
      <c r="U7186" s="11">
        <f t="shared" si="2100"/>
        <v>2.2999999999999998</v>
      </c>
      <c r="W7186">
        <v>2.5</v>
      </c>
      <c r="X7186" s="1" t="s">
        <v>20</v>
      </c>
    </row>
    <row r="7187" spans="1:24" x14ac:dyDescent="0.25">
      <c r="A7187" s="1" t="str">
        <f t="shared" si="2101"/>
        <v>卡卡杜-凤凰仓</v>
      </c>
      <c r="B7187" s="1" t="str">
        <f>"CK2024101670"</f>
        <v>CK2024101670</v>
      </c>
      <c r="C7187" s="1" t="str">
        <f>"DD2024101610109"</f>
        <v>DD2024101610109</v>
      </c>
      <c r="D7187" s="1" t="str">
        <f>"CK202410168266"</f>
        <v>CK202410168266</v>
      </c>
      <c r="E7187" s="1" t="str">
        <f>"6918022332409085168"</f>
        <v>6918022332409085168</v>
      </c>
      <c r="F7187" s="1" t="str">
        <f t="shared" si="2102"/>
        <v>花都四部-凤凰仓</v>
      </c>
      <c r="G7187" s="1" t="str">
        <f t="shared" si="2097"/>
        <v>卡卡杜个人护理店（抖店）</v>
      </c>
      <c r="H7187" s="1" t="str">
        <f t="shared" si="2103"/>
        <v>正常订单</v>
      </c>
      <c r="I7187" s="1" t="str">
        <f t="shared" si="2104"/>
        <v>已发货</v>
      </c>
      <c r="J7187" s="1" t="str">
        <f t="shared" si="2105"/>
        <v>3</v>
      </c>
      <c r="K7187" s="1">
        <v>2</v>
      </c>
      <c r="L7187" s="1" t="s">
        <v>66</v>
      </c>
      <c r="M7187" s="1" t="str">
        <f>"内蒙古自治区 乌海市 乌达区 新达街道"</f>
        <v>内蒙古自治区 乌海市 乌达区 新达街道</v>
      </c>
      <c r="N7187" s="1" t="str">
        <f t="shared" si="2098"/>
        <v>凡华云仓-韵达-抖音</v>
      </c>
      <c r="O7187" s="5">
        <v>320174181245983</v>
      </c>
      <c r="P7187" s="6">
        <v>0.35</v>
      </c>
      <c r="Q7187" s="11">
        <v>2.2999999999999998</v>
      </c>
      <c r="R7187" s="11"/>
      <c r="S7187" s="11"/>
      <c r="T7187" s="11"/>
      <c r="U7187" s="11">
        <f t="shared" si="2100"/>
        <v>2.2999999999999998</v>
      </c>
      <c r="W7187">
        <v>2.5</v>
      </c>
      <c r="X7187" s="1" t="s">
        <v>66</v>
      </c>
    </row>
    <row r="7188" spans="1:24" x14ac:dyDescent="0.25">
      <c r="A7188" s="1" t="str">
        <f t="shared" si="2101"/>
        <v>卡卡杜-凤凰仓</v>
      </c>
      <c r="B7188" s="1" t="str">
        <f>"CK2024101669"</f>
        <v>CK2024101669</v>
      </c>
      <c r="C7188" s="1" t="str">
        <f>"DD2024101610111"</f>
        <v>DD2024101610111</v>
      </c>
      <c r="D7188" s="1" t="str">
        <f>"CK202410168265"</f>
        <v>CK202410168265</v>
      </c>
      <c r="E7188" s="1" t="str">
        <f>"6935041537494226050"</f>
        <v>6935041537494226050</v>
      </c>
      <c r="F7188" s="1" t="str">
        <f t="shared" si="2102"/>
        <v>花都四部-凤凰仓</v>
      </c>
      <c r="G7188" s="1" t="str">
        <f t="shared" si="2097"/>
        <v>卡卡杜个人护理店（抖店）</v>
      </c>
      <c r="H7188" s="1" t="str">
        <f t="shared" si="2103"/>
        <v>正常订单</v>
      </c>
      <c r="I7188" s="1" t="str">
        <f t="shared" si="2104"/>
        <v>已发货</v>
      </c>
      <c r="J7188" s="1" t="str">
        <f t="shared" si="2105"/>
        <v>3</v>
      </c>
      <c r="K7188" s="1">
        <v>2</v>
      </c>
      <c r="L7188" s="1" t="s">
        <v>13</v>
      </c>
      <c r="M7188" s="1" t="str">
        <f>"江苏省 苏州市 吴江区 同里镇"</f>
        <v>江苏省 苏州市 吴江区 同里镇</v>
      </c>
      <c r="N7188" s="1" t="str">
        <f t="shared" si="2098"/>
        <v>凡华云仓-韵达-抖音</v>
      </c>
      <c r="O7188" s="5">
        <v>320174181245878</v>
      </c>
      <c r="P7188" s="6">
        <v>0.35</v>
      </c>
      <c r="Q7188" s="11">
        <v>2.2999999999999998</v>
      </c>
      <c r="R7188" s="11"/>
      <c r="S7188" s="11"/>
      <c r="T7188" s="11"/>
      <c r="U7188" s="11">
        <f t="shared" si="2100"/>
        <v>2.2999999999999998</v>
      </c>
      <c r="W7188">
        <v>2.5</v>
      </c>
      <c r="X7188" s="1" t="s">
        <v>13</v>
      </c>
    </row>
    <row r="7189" spans="1:24" x14ac:dyDescent="0.25">
      <c r="A7189" s="1" t="str">
        <f t="shared" si="2101"/>
        <v>卡卡杜-凤凰仓</v>
      </c>
      <c r="B7189" s="1" t="str">
        <f>"CK2024101668"</f>
        <v>CK2024101668</v>
      </c>
      <c r="C7189" s="1" t="str">
        <f>"DD2024101610112"</f>
        <v>DD2024101610112</v>
      </c>
      <c r="D7189" s="1" t="str">
        <f>"CK202410168264"</f>
        <v>CK202410168264</v>
      </c>
      <c r="E7189" s="1" t="str">
        <f>"6935054823450023675"</f>
        <v>6935054823450023675</v>
      </c>
      <c r="F7189" s="1" t="str">
        <f t="shared" si="2102"/>
        <v>花都四部-凤凰仓</v>
      </c>
      <c r="G7189" s="1" t="str">
        <f t="shared" si="2097"/>
        <v>卡卡杜个人护理店（抖店）</v>
      </c>
      <c r="H7189" s="1" t="str">
        <f t="shared" si="2103"/>
        <v>正常订单</v>
      </c>
      <c r="I7189" s="1" t="str">
        <f t="shared" si="2104"/>
        <v>已发货</v>
      </c>
      <c r="J7189" s="1" t="str">
        <f t="shared" si="2105"/>
        <v>3</v>
      </c>
      <c r="K7189" s="1">
        <v>2</v>
      </c>
      <c r="L7189" s="1" t="s">
        <v>13</v>
      </c>
      <c r="M7189" s="1" t="str">
        <f>"江苏省 无锡市 宜兴市 高塍镇"</f>
        <v>江苏省 无锡市 宜兴市 高塍镇</v>
      </c>
      <c r="N7189" s="1" t="str">
        <f t="shared" si="2098"/>
        <v>凡华云仓-韵达-抖音</v>
      </c>
      <c r="O7189" s="5">
        <v>320174181245775</v>
      </c>
      <c r="P7189" s="6">
        <v>0.35</v>
      </c>
      <c r="Q7189" s="11">
        <v>2.2999999999999998</v>
      </c>
      <c r="R7189" s="11"/>
      <c r="S7189" s="11"/>
      <c r="T7189" s="11"/>
      <c r="U7189" s="11">
        <f t="shared" si="2100"/>
        <v>2.2999999999999998</v>
      </c>
      <c r="W7189">
        <v>2.5</v>
      </c>
      <c r="X7189" s="1" t="s">
        <v>13</v>
      </c>
    </row>
    <row r="7190" spans="1:24" x14ac:dyDescent="0.25">
      <c r="A7190" s="1" t="str">
        <f t="shared" si="2101"/>
        <v>卡卡杜-凤凰仓</v>
      </c>
      <c r="B7190" s="1" t="str">
        <f>"CK2024101667"</f>
        <v>CK2024101667</v>
      </c>
      <c r="C7190" s="1" t="str">
        <f>"DD2024101610110"</f>
        <v>DD2024101610110</v>
      </c>
      <c r="D7190" s="1" t="str">
        <f>"CK202410168263"</f>
        <v>CK202410168263</v>
      </c>
      <c r="E7190" s="1" t="str">
        <f>"6935059290547820226"</f>
        <v>6935059290547820226</v>
      </c>
      <c r="F7190" s="1" t="str">
        <f t="shared" si="2102"/>
        <v>花都四部-凤凰仓</v>
      </c>
      <c r="G7190" s="1" t="str">
        <f t="shared" si="2097"/>
        <v>卡卡杜个人护理店（抖店）</v>
      </c>
      <c r="H7190" s="1" t="str">
        <f t="shared" si="2103"/>
        <v>正常订单</v>
      </c>
      <c r="I7190" s="1" t="str">
        <f t="shared" si="2104"/>
        <v>已发货</v>
      </c>
      <c r="J7190" s="1" t="str">
        <f t="shared" si="2105"/>
        <v>3</v>
      </c>
      <c r="K7190" s="1">
        <v>2</v>
      </c>
      <c r="L7190" s="1" t="s">
        <v>32</v>
      </c>
      <c r="M7190" s="1" t="str">
        <f>"陕西省 渭南市 澄城县 赵庄镇"</f>
        <v>陕西省 渭南市 澄城县 赵庄镇</v>
      </c>
      <c r="N7190" s="1" t="str">
        <f t="shared" si="2098"/>
        <v>凡华云仓-韵达-抖音</v>
      </c>
      <c r="O7190" s="5">
        <v>320174181245674</v>
      </c>
      <c r="P7190" s="6">
        <v>0.35</v>
      </c>
      <c r="Q7190" s="11">
        <v>2.2999999999999998</v>
      </c>
      <c r="R7190" s="11"/>
      <c r="S7190" s="11"/>
      <c r="T7190" s="11"/>
      <c r="U7190" s="11">
        <f t="shared" si="2100"/>
        <v>2.2999999999999998</v>
      </c>
      <c r="W7190">
        <v>2.5</v>
      </c>
      <c r="X7190" s="1" t="s">
        <v>32</v>
      </c>
    </row>
    <row r="7191" spans="1:24" x14ac:dyDescent="0.25">
      <c r="A7191" s="1" t="str">
        <f t="shared" si="2101"/>
        <v>卡卡杜-凤凰仓</v>
      </c>
      <c r="B7191" s="1" t="str">
        <f>"CK2024101666"</f>
        <v>CK2024101666</v>
      </c>
      <c r="C7191" s="1" t="str">
        <f>"DD2024101610108"</f>
        <v>DD2024101610108</v>
      </c>
      <c r="D7191" s="1" t="str">
        <f>"CK202410168262"</f>
        <v>CK202410168262</v>
      </c>
      <c r="E7191" s="1" t="str">
        <f>"6935050281651082635"</f>
        <v>6935050281651082635</v>
      </c>
      <c r="F7191" s="1" t="str">
        <f t="shared" si="2102"/>
        <v>花都四部-凤凰仓</v>
      </c>
      <c r="G7191" s="1" t="str">
        <f t="shared" si="2097"/>
        <v>卡卡杜个人护理店（抖店）</v>
      </c>
      <c r="H7191" s="1" t="str">
        <f t="shared" si="2103"/>
        <v>正常订单</v>
      </c>
      <c r="I7191" s="1" t="str">
        <f t="shared" si="2104"/>
        <v>已发货</v>
      </c>
      <c r="J7191" s="1" t="str">
        <f t="shared" si="2105"/>
        <v>3</v>
      </c>
      <c r="K7191" s="1">
        <v>2</v>
      </c>
      <c r="L7191" s="1" t="s">
        <v>60</v>
      </c>
      <c r="M7191" s="1" t="str">
        <f>"云南省 大理白族自治州 巍山彝族回族自治县 庙街镇"</f>
        <v>云南省 大理白族自治州 巍山彝族回族自治县 庙街镇</v>
      </c>
      <c r="N7191" s="1" t="str">
        <f t="shared" si="2098"/>
        <v>凡华云仓-韵达-抖音</v>
      </c>
      <c r="O7191" s="5">
        <v>320174181245575</v>
      </c>
      <c r="P7191" s="6">
        <v>0.35</v>
      </c>
      <c r="Q7191" s="11">
        <v>2.2999999999999998</v>
      </c>
      <c r="R7191" s="11"/>
      <c r="S7191" s="11"/>
      <c r="T7191" s="11"/>
      <c r="U7191" s="11">
        <f t="shared" si="2100"/>
        <v>2.2999999999999998</v>
      </c>
      <c r="W7191">
        <v>2.5</v>
      </c>
      <c r="X7191" s="1" t="s">
        <v>60</v>
      </c>
    </row>
    <row r="7192" spans="1:24" x14ac:dyDescent="0.25">
      <c r="A7192" s="1" t="str">
        <f t="shared" si="2101"/>
        <v>卡卡杜-凤凰仓</v>
      </c>
      <c r="B7192" s="1" t="str">
        <f>"CK2024101665"</f>
        <v>CK2024101665</v>
      </c>
      <c r="C7192" s="1" t="str">
        <f>"DD2024101610107"</f>
        <v>DD2024101610107</v>
      </c>
      <c r="D7192" s="1" t="str">
        <f>"CK202410168261"</f>
        <v>CK202410168261</v>
      </c>
      <c r="E7192" s="1" t="str">
        <f>"6935061681168389311"</f>
        <v>6935061681168389311</v>
      </c>
      <c r="F7192" s="1" t="str">
        <f t="shared" si="2102"/>
        <v>花都四部-凤凰仓</v>
      </c>
      <c r="G7192" s="1" t="str">
        <f t="shared" si="2097"/>
        <v>卡卡杜个人护理店（抖店）</v>
      </c>
      <c r="H7192" s="1" t="str">
        <f t="shared" si="2103"/>
        <v>正常订单</v>
      </c>
      <c r="I7192" s="1" t="str">
        <f t="shared" si="2104"/>
        <v>已发货</v>
      </c>
      <c r="J7192" s="1" t="str">
        <f t="shared" si="2105"/>
        <v>3</v>
      </c>
      <c r="K7192" s="1">
        <v>2</v>
      </c>
      <c r="L7192" s="1" t="s">
        <v>20</v>
      </c>
      <c r="M7192" s="1" t="str">
        <f>"浙江省 衢州市 衢江区 周家乡"</f>
        <v>浙江省 衢州市 衢江区 周家乡</v>
      </c>
      <c r="N7192" s="1" t="str">
        <f t="shared" si="2098"/>
        <v>凡华云仓-韵达-抖音</v>
      </c>
      <c r="O7192" s="5">
        <v>320174163952863</v>
      </c>
      <c r="P7192" s="6">
        <v>0.35</v>
      </c>
      <c r="Q7192" s="11">
        <v>2.2999999999999998</v>
      </c>
      <c r="R7192" s="11"/>
      <c r="S7192" s="11"/>
      <c r="T7192" s="11"/>
      <c r="U7192" s="11">
        <f t="shared" si="2100"/>
        <v>2.2999999999999998</v>
      </c>
      <c r="W7192">
        <v>2.5</v>
      </c>
      <c r="X7192" s="1" t="s">
        <v>20</v>
      </c>
    </row>
    <row r="7193" spans="1:24" x14ac:dyDescent="0.25">
      <c r="A7193" s="1" t="str">
        <f t="shared" si="2101"/>
        <v>卡卡杜-凤凰仓</v>
      </c>
      <c r="B7193" s="1" t="str">
        <f>"CK2024101664"</f>
        <v>CK2024101664</v>
      </c>
      <c r="C7193" s="1" t="str">
        <f>"DD2024101610106"</f>
        <v>DD2024101610106</v>
      </c>
      <c r="D7193" s="1" t="str">
        <f>"CK202410168260"</f>
        <v>CK202410168260</v>
      </c>
      <c r="E7193" s="1" t="str">
        <f>"6918003439316532730"</f>
        <v>6918003439316532730</v>
      </c>
      <c r="F7193" s="1" t="str">
        <f t="shared" si="2102"/>
        <v>花都四部-凤凰仓</v>
      </c>
      <c r="G7193" s="1" t="str">
        <f t="shared" si="2097"/>
        <v>卡卡杜个人护理店（抖店）</v>
      </c>
      <c r="H7193" s="1" t="str">
        <f t="shared" si="2103"/>
        <v>正常订单</v>
      </c>
      <c r="I7193" s="1" t="str">
        <f t="shared" si="2104"/>
        <v>已发货</v>
      </c>
      <c r="J7193" s="1" t="str">
        <f t="shared" si="2105"/>
        <v>3</v>
      </c>
      <c r="K7193" s="1">
        <v>2</v>
      </c>
      <c r="L7193" s="1" t="s">
        <v>24</v>
      </c>
      <c r="M7193" s="1" t="str">
        <f>"福建省 厦门市 湖里区 禾山街道"</f>
        <v>福建省 厦门市 湖里区 禾山街道</v>
      </c>
      <c r="N7193" s="1" t="str">
        <f t="shared" si="2098"/>
        <v>凡华云仓-韵达-抖音</v>
      </c>
      <c r="O7193" s="5">
        <v>320174163952760</v>
      </c>
      <c r="P7193" s="6">
        <v>0.35</v>
      </c>
      <c r="Q7193" s="11">
        <v>2.2999999999999998</v>
      </c>
      <c r="R7193" s="11"/>
      <c r="S7193" s="11"/>
      <c r="T7193" s="11"/>
      <c r="U7193" s="11">
        <f t="shared" si="2100"/>
        <v>2.2999999999999998</v>
      </c>
      <c r="W7193">
        <v>2.5</v>
      </c>
      <c r="X7193" s="1" t="s">
        <v>24</v>
      </c>
    </row>
    <row r="7194" spans="1:24" x14ac:dyDescent="0.25">
      <c r="A7194" s="1" t="str">
        <f t="shared" si="2101"/>
        <v>卡卡杜-凤凰仓</v>
      </c>
      <c r="B7194" s="1" t="str">
        <f>"CK2024101663"</f>
        <v>CK2024101663</v>
      </c>
      <c r="C7194" s="1" t="str">
        <f>"DD2024101610104"</f>
        <v>DD2024101610104</v>
      </c>
      <c r="D7194" s="1" t="str">
        <f>"CK202410168259"</f>
        <v>CK202410168259</v>
      </c>
      <c r="E7194" s="1" t="str">
        <f>"6935047990323779048"</f>
        <v>6935047990323779048</v>
      </c>
      <c r="F7194" s="1" t="str">
        <f t="shared" si="2102"/>
        <v>花都四部-凤凰仓</v>
      </c>
      <c r="G7194" s="1" t="str">
        <f t="shared" si="2097"/>
        <v>卡卡杜个人护理店（抖店）</v>
      </c>
      <c r="H7194" s="1" t="str">
        <f t="shared" si="2103"/>
        <v>正常订单</v>
      </c>
      <c r="I7194" s="1" t="str">
        <f t="shared" si="2104"/>
        <v>已发货</v>
      </c>
      <c r="J7194" s="1" t="str">
        <f t="shared" si="2105"/>
        <v>3</v>
      </c>
      <c r="K7194" s="1">
        <v>3</v>
      </c>
      <c r="L7194" s="1" t="s">
        <v>94</v>
      </c>
      <c r="M7194" s="1" t="str">
        <f>"湖南省 长沙市 雨花区 黎托街道"</f>
        <v>湖南省 长沙市 雨花区 黎托街道</v>
      </c>
      <c r="N7194" s="1" t="str">
        <f t="shared" si="2098"/>
        <v>凡华云仓-韵达-抖音</v>
      </c>
      <c r="O7194" s="5">
        <v>320174163952659</v>
      </c>
      <c r="P7194" s="6">
        <v>0.34</v>
      </c>
      <c r="Q7194" s="11">
        <v>2.2999999999999998</v>
      </c>
      <c r="R7194" s="11"/>
      <c r="S7194" s="11"/>
      <c r="T7194" s="11"/>
      <c r="U7194" s="11">
        <f t="shared" si="2100"/>
        <v>2.2999999999999998</v>
      </c>
      <c r="W7194">
        <v>2.5</v>
      </c>
      <c r="X7194" s="1" t="s">
        <v>94</v>
      </c>
    </row>
    <row r="7195" spans="1:24" x14ac:dyDescent="0.25">
      <c r="A7195" s="1" t="str">
        <f t="shared" si="2101"/>
        <v>卡卡杜-凤凰仓</v>
      </c>
      <c r="B7195" s="1" t="str">
        <f>"CK2024101661"</f>
        <v>CK2024101661</v>
      </c>
      <c r="C7195" s="1" t="str">
        <f>"DD2024101610102"</f>
        <v>DD2024101610102</v>
      </c>
      <c r="D7195" s="1" t="str">
        <f>"CK202410168258"</f>
        <v>CK202410168258</v>
      </c>
      <c r="E7195" s="1" t="str">
        <f>"6918022315889295299"</f>
        <v>6918022315889295299</v>
      </c>
      <c r="F7195" s="1" t="str">
        <f t="shared" si="2102"/>
        <v>花都四部-凤凰仓</v>
      </c>
      <c r="G7195" s="1" t="str">
        <f t="shared" si="2097"/>
        <v>卡卡杜个人护理店（抖店）</v>
      </c>
      <c r="H7195" s="1" t="str">
        <f t="shared" si="2103"/>
        <v>正常订单</v>
      </c>
      <c r="I7195" s="1" t="str">
        <f t="shared" si="2104"/>
        <v>已发货</v>
      </c>
      <c r="J7195" s="1" t="str">
        <f t="shared" si="2105"/>
        <v>3</v>
      </c>
      <c r="K7195" s="1">
        <v>2</v>
      </c>
      <c r="L7195" s="1" t="s">
        <v>20</v>
      </c>
      <c r="M7195" s="1" t="str">
        <f>"浙江省 绍兴市 上虞区 丰惠镇"</f>
        <v>浙江省 绍兴市 上虞区 丰惠镇</v>
      </c>
      <c r="N7195" s="1" t="str">
        <f t="shared" si="2098"/>
        <v>凡华云仓-韵达-抖音</v>
      </c>
      <c r="O7195" s="5">
        <v>320174163952560</v>
      </c>
      <c r="P7195" s="6">
        <v>0.35</v>
      </c>
      <c r="Q7195" s="11">
        <v>2.2999999999999998</v>
      </c>
      <c r="R7195" s="11"/>
      <c r="S7195" s="11"/>
      <c r="T7195" s="11"/>
      <c r="U7195" s="11">
        <f t="shared" si="2100"/>
        <v>2.2999999999999998</v>
      </c>
      <c r="W7195">
        <v>2.5</v>
      </c>
      <c r="X7195" s="1" t="s">
        <v>20</v>
      </c>
    </row>
    <row r="7196" spans="1:24" x14ac:dyDescent="0.25">
      <c r="A7196" s="1" t="str">
        <f t="shared" si="2101"/>
        <v>卡卡杜-凤凰仓</v>
      </c>
      <c r="B7196" s="1" t="str">
        <f>"CK2024101660"</f>
        <v>CK2024101660</v>
      </c>
      <c r="C7196" s="1" t="str">
        <f>"DD2024101610103"</f>
        <v>DD2024101610103</v>
      </c>
      <c r="D7196" s="1" t="str">
        <f>"CK202410168257"</f>
        <v>CK202410168257</v>
      </c>
      <c r="E7196" s="1" t="str">
        <f>"6935041326181914354"</f>
        <v>6935041326181914354</v>
      </c>
      <c r="F7196" s="1" t="str">
        <f t="shared" si="2102"/>
        <v>花都四部-凤凰仓</v>
      </c>
      <c r="G7196" s="1" t="str">
        <f t="shared" si="2097"/>
        <v>卡卡杜个人护理店（抖店）</v>
      </c>
      <c r="H7196" s="1" t="str">
        <f t="shared" si="2103"/>
        <v>正常订单</v>
      </c>
      <c r="I7196" s="1" t="str">
        <f t="shared" si="2104"/>
        <v>已发货</v>
      </c>
      <c r="J7196" s="1" t="str">
        <f t="shared" si="2105"/>
        <v>3</v>
      </c>
      <c r="K7196" s="1">
        <v>2</v>
      </c>
      <c r="L7196" s="1" t="s">
        <v>20</v>
      </c>
      <c r="M7196" s="1" t="str">
        <f>"浙江省 杭州市 拱墅区 上塘街道"</f>
        <v>浙江省 杭州市 拱墅区 上塘街道</v>
      </c>
      <c r="N7196" s="1" t="str">
        <f t="shared" si="2098"/>
        <v>凡华云仓-韵达-抖音</v>
      </c>
      <c r="O7196" s="5">
        <v>320174163952463</v>
      </c>
      <c r="P7196" s="6">
        <v>0.35</v>
      </c>
      <c r="Q7196" s="11">
        <v>2.2999999999999998</v>
      </c>
      <c r="R7196" s="11"/>
      <c r="S7196" s="11"/>
      <c r="T7196" s="11"/>
      <c r="U7196" s="11">
        <f t="shared" si="2100"/>
        <v>2.2999999999999998</v>
      </c>
      <c r="W7196">
        <v>2.5</v>
      </c>
      <c r="X7196" s="1" t="s">
        <v>20</v>
      </c>
    </row>
    <row r="7197" spans="1:24" x14ac:dyDescent="0.25">
      <c r="A7197" s="1" t="str">
        <f t="shared" si="2101"/>
        <v>卡卡杜-凤凰仓</v>
      </c>
      <c r="B7197" s="1" t="str">
        <f>"CK2024101658"</f>
        <v>CK2024101658</v>
      </c>
      <c r="C7197" s="1" t="str">
        <f>"DD2024101610100"</f>
        <v>DD2024101610100</v>
      </c>
      <c r="D7197" s="1" t="str">
        <f>"CK202410168256"</f>
        <v>CK202410168256</v>
      </c>
      <c r="E7197" s="1" t="str">
        <f>"6935041387308258854"</f>
        <v>6935041387308258854</v>
      </c>
      <c r="F7197" s="1" t="str">
        <f t="shared" si="2102"/>
        <v>花都四部-凤凰仓</v>
      </c>
      <c r="G7197" s="1" t="str">
        <f t="shared" si="2097"/>
        <v>卡卡杜个人护理店（抖店）</v>
      </c>
      <c r="H7197" s="1" t="str">
        <f t="shared" si="2103"/>
        <v>正常订单</v>
      </c>
      <c r="I7197" s="1" t="str">
        <f t="shared" si="2104"/>
        <v>已发货</v>
      </c>
      <c r="J7197" s="1" t="str">
        <f t="shared" si="2105"/>
        <v>3</v>
      </c>
      <c r="K7197" s="1">
        <v>2</v>
      </c>
      <c r="L7197" s="1" t="s">
        <v>18</v>
      </c>
      <c r="M7197" s="1" t="str">
        <f>"广东省 东莞市 东莞市 虎门镇"</f>
        <v>广东省 东莞市 东莞市 虎门镇</v>
      </c>
      <c r="N7197" s="1" t="str">
        <f t="shared" si="2098"/>
        <v>凡华云仓-韵达-抖音</v>
      </c>
      <c r="O7197" s="5">
        <v>320174163952368</v>
      </c>
      <c r="P7197" s="6">
        <v>0.35</v>
      </c>
      <c r="Q7197" s="11">
        <v>2.2999999999999998</v>
      </c>
      <c r="R7197" s="11"/>
      <c r="S7197" s="11"/>
      <c r="T7197" s="11"/>
      <c r="U7197" s="11">
        <f t="shared" si="2100"/>
        <v>2.2999999999999998</v>
      </c>
      <c r="W7197">
        <v>2.5</v>
      </c>
      <c r="X7197" s="1" t="s">
        <v>18</v>
      </c>
    </row>
    <row r="7198" spans="1:24" x14ac:dyDescent="0.25">
      <c r="A7198" s="1" t="str">
        <f t="shared" si="2101"/>
        <v>卡卡杜-凤凰仓</v>
      </c>
      <c r="B7198" s="1" t="str">
        <f>"CK2024101657"</f>
        <v>CK2024101657</v>
      </c>
      <c r="C7198" s="1" t="str">
        <f>"DD2024101610099"</f>
        <v>DD2024101610099</v>
      </c>
      <c r="D7198" s="1" t="str">
        <f>"CK202410168255"</f>
        <v>CK202410168255</v>
      </c>
      <c r="E7198" s="1" t="str">
        <f>"6935054588057032455"</f>
        <v>6935054588057032455</v>
      </c>
      <c r="F7198" s="1" t="str">
        <f t="shared" si="2102"/>
        <v>花都四部-凤凰仓</v>
      </c>
      <c r="G7198" s="1" t="str">
        <f t="shared" si="2097"/>
        <v>卡卡杜个人护理店（抖店）</v>
      </c>
      <c r="H7198" s="1" t="str">
        <f t="shared" si="2103"/>
        <v>正常订单</v>
      </c>
      <c r="I7198" s="1" t="str">
        <f t="shared" si="2104"/>
        <v>已发货</v>
      </c>
      <c r="J7198" s="1" t="str">
        <f t="shared" si="2105"/>
        <v>3</v>
      </c>
      <c r="K7198" s="1">
        <v>2</v>
      </c>
      <c r="L7198" s="1" t="s">
        <v>20</v>
      </c>
      <c r="M7198" s="1" t="str">
        <f>"浙江省 杭州市 西湖区 三墩镇"</f>
        <v>浙江省 杭州市 西湖区 三墩镇</v>
      </c>
      <c r="N7198" s="1" t="str">
        <f t="shared" si="2098"/>
        <v>凡华云仓-韵达-抖音</v>
      </c>
      <c r="O7198" s="5">
        <v>320174163952275</v>
      </c>
      <c r="P7198" s="6">
        <v>0.35</v>
      </c>
      <c r="Q7198" s="11">
        <v>2.2999999999999998</v>
      </c>
      <c r="R7198" s="11"/>
      <c r="S7198" s="11"/>
      <c r="T7198" s="11"/>
      <c r="U7198" s="11">
        <f t="shared" si="2100"/>
        <v>2.2999999999999998</v>
      </c>
      <c r="W7198">
        <v>2.5</v>
      </c>
      <c r="X7198" s="1" t="s">
        <v>20</v>
      </c>
    </row>
    <row r="7199" spans="1:24" x14ac:dyDescent="0.25">
      <c r="A7199" s="1" t="str">
        <f t="shared" si="2101"/>
        <v>卡卡杜-凤凰仓</v>
      </c>
      <c r="B7199" s="1" t="str">
        <f>"CK2024101656"</f>
        <v>CK2024101656</v>
      </c>
      <c r="C7199" s="1" t="str">
        <f>"DD2024101610098"</f>
        <v>DD2024101610098</v>
      </c>
      <c r="D7199" s="1" t="str">
        <f>"CK202410168254"</f>
        <v>CK202410168254</v>
      </c>
      <c r="E7199" s="1" t="str">
        <f>"6935032411878856497"</f>
        <v>6935032411878856497</v>
      </c>
      <c r="F7199" s="1" t="str">
        <f t="shared" si="2102"/>
        <v>花都四部-凤凰仓</v>
      </c>
      <c r="G7199" s="1" t="str">
        <f t="shared" si="2097"/>
        <v>卡卡杜个人护理店（抖店）</v>
      </c>
      <c r="H7199" s="1" t="str">
        <f t="shared" si="2103"/>
        <v>正常订单</v>
      </c>
      <c r="I7199" s="1" t="str">
        <f t="shared" si="2104"/>
        <v>已发货</v>
      </c>
      <c r="J7199" s="1" t="str">
        <f t="shared" si="2105"/>
        <v>3</v>
      </c>
      <c r="K7199" s="1">
        <v>2</v>
      </c>
      <c r="L7199" s="1" t="s">
        <v>20</v>
      </c>
      <c r="M7199" s="1" t="str">
        <f>"浙江省 金华市 武义县 "</f>
        <v xml:space="preserve">浙江省 金华市 武义县 </v>
      </c>
      <c r="N7199" s="1" t="str">
        <f t="shared" si="2098"/>
        <v>凡华云仓-韵达-抖音</v>
      </c>
      <c r="O7199" s="5">
        <v>320174163952184</v>
      </c>
      <c r="P7199" s="6">
        <v>0.35</v>
      </c>
      <c r="Q7199" s="11">
        <v>2.2999999999999998</v>
      </c>
      <c r="R7199" s="11"/>
      <c r="S7199" s="11"/>
      <c r="T7199" s="11"/>
      <c r="U7199" s="11">
        <f t="shared" si="2100"/>
        <v>2.2999999999999998</v>
      </c>
      <c r="W7199">
        <v>2.5</v>
      </c>
      <c r="X7199" s="1" t="s">
        <v>20</v>
      </c>
    </row>
    <row r="7200" spans="1:24" x14ac:dyDescent="0.25">
      <c r="A7200" s="1" t="str">
        <f t="shared" si="2101"/>
        <v>卡卡杜-凤凰仓</v>
      </c>
      <c r="B7200" s="1" t="str">
        <f>"CK2024101655"</f>
        <v>CK2024101655</v>
      </c>
      <c r="C7200" s="1" t="str">
        <f>"DD2024101610097"</f>
        <v>DD2024101610097</v>
      </c>
      <c r="D7200" s="1" t="str">
        <f>"CK202410168253"</f>
        <v>CK202410168253</v>
      </c>
      <c r="E7200" s="1" t="str">
        <f>"6935032302512903311"</f>
        <v>6935032302512903311</v>
      </c>
      <c r="F7200" s="1" t="str">
        <f t="shared" si="2102"/>
        <v>花都四部-凤凰仓</v>
      </c>
      <c r="G7200" s="1" t="str">
        <f t="shared" si="2097"/>
        <v>卡卡杜个人护理店（抖店）</v>
      </c>
      <c r="H7200" s="1" t="str">
        <f t="shared" si="2103"/>
        <v>正常订单</v>
      </c>
      <c r="I7200" s="1" t="str">
        <f t="shared" si="2104"/>
        <v>已发货</v>
      </c>
      <c r="J7200" s="1" t="str">
        <f t="shared" si="2105"/>
        <v>3</v>
      </c>
      <c r="K7200" s="1">
        <v>3</v>
      </c>
      <c r="L7200" s="1" t="s">
        <v>41</v>
      </c>
      <c r="M7200" s="1" t="str">
        <f>"湖北省 武汉市 江岸区 "</f>
        <v xml:space="preserve">湖北省 武汉市 江岸区 </v>
      </c>
      <c r="N7200" s="1" t="str">
        <f t="shared" si="2098"/>
        <v>凡华云仓-韵达-抖音</v>
      </c>
      <c r="O7200" s="5">
        <v>320174163952095</v>
      </c>
      <c r="P7200" s="6">
        <v>0.34</v>
      </c>
      <c r="Q7200" s="11">
        <v>2.2999999999999998</v>
      </c>
      <c r="R7200" s="11"/>
      <c r="S7200" s="11"/>
      <c r="T7200" s="11"/>
      <c r="U7200" s="11">
        <f t="shared" si="2100"/>
        <v>2.2999999999999998</v>
      </c>
      <c r="W7200">
        <v>2.5</v>
      </c>
      <c r="X7200" s="1" t="s">
        <v>41</v>
      </c>
    </row>
    <row r="7201" spans="1:24" x14ac:dyDescent="0.25">
      <c r="A7201" s="1" t="str">
        <f t="shared" si="2101"/>
        <v>卡卡杜-凤凰仓</v>
      </c>
      <c r="B7201" s="1" t="str">
        <f>"CK2024101654"</f>
        <v>CK2024101654</v>
      </c>
      <c r="C7201" s="1" t="str">
        <f>"DD2024101610096"</f>
        <v>DD2024101610096</v>
      </c>
      <c r="D7201" s="1" t="str">
        <f>"CK202410168252"</f>
        <v>CK202410168252</v>
      </c>
      <c r="E7201" s="1" t="str">
        <f>"6935039483172820216"</f>
        <v>6935039483172820216</v>
      </c>
      <c r="F7201" s="1" t="str">
        <f t="shared" si="2102"/>
        <v>花都四部-凤凰仓</v>
      </c>
      <c r="G7201" s="1" t="str">
        <f t="shared" si="2097"/>
        <v>卡卡杜个人护理店（抖店）</v>
      </c>
      <c r="H7201" s="1" t="str">
        <f t="shared" si="2103"/>
        <v>正常订单</v>
      </c>
      <c r="I7201" s="1" t="str">
        <f t="shared" si="2104"/>
        <v>已发货</v>
      </c>
      <c r="J7201" s="1" t="str">
        <f t="shared" si="2105"/>
        <v>3</v>
      </c>
      <c r="K7201" s="1">
        <v>2</v>
      </c>
      <c r="L7201" s="1" t="s">
        <v>22</v>
      </c>
      <c r="M7201" s="1" t="str">
        <f>"江西省 赣州市 章贡区 南外街道"</f>
        <v>江西省 赣州市 章贡区 南外街道</v>
      </c>
      <c r="N7201" s="1" t="str">
        <f t="shared" si="2098"/>
        <v>凡华云仓-韵达-抖音</v>
      </c>
      <c r="O7201" s="5">
        <v>320174163951977</v>
      </c>
      <c r="P7201" s="6">
        <v>0.35</v>
      </c>
      <c r="Q7201" s="11">
        <v>2.2999999999999998</v>
      </c>
      <c r="R7201" s="11"/>
      <c r="S7201" s="11"/>
      <c r="T7201" s="11"/>
      <c r="U7201" s="11">
        <f t="shared" si="2100"/>
        <v>2.2999999999999998</v>
      </c>
      <c r="W7201">
        <v>2.5</v>
      </c>
      <c r="X7201" s="1" t="s">
        <v>22</v>
      </c>
    </row>
    <row r="7202" spans="1:24" x14ac:dyDescent="0.25">
      <c r="A7202" s="1" t="str">
        <f t="shared" si="2101"/>
        <v>卡卡杜-凤凰仓</v>
      </c>
      <c r="B7202" s="1" t="str">
        <f>"CK2024101653"</f>
        <v>CK2024101653</v>
      </c>
      <c r="C7202" s="1" t="str">
        <f>"DD2024101610095"</f>
        <v>DD2024101610095</v>
      </c>
      <c r="D7202" s="1" t="str">
        <f>"CK202410168251"</f>
        <v>CK202410168251</v>
      </c>
      <c r="E7202" s="1" t="str">
        <f>"6935039389627979692"</f>
        <v>6935039389627979692</v>
      </c>
      <c r="F7202" s="1" t="str">
        <f t="shared" si="2102"/>
        <v>花都四部-凤凰仓</v>
      </c>
      <c r="G7202" s="1" t="str">
        <f t="shared" si="2097"/>
        <v>卡卡杜个人护理店（抖店）</v>
      </c>
      <c r="H7202" s="1" t="str">
        <f t="shared" si="2103"/>
        <v>正常订单</v>
      </c>
      <c r="I7202" s="1" t="str">
        <f t="shared" si="2104"/>
        <v>已发货</v>
      </c>
      <c r="J7202" s="1" t="str">
        <f t="shared" si="2105"/>
        <v>3</v>
      </c>
      <c r="K7202" s="1">
        <v>2</v>
      </c>
      <c r="L7202" s="1" t="s">
        <v>32</v>
      </c>
      <c r="M7202" s="1" t="str">
        <f>"陕西省 西安市 雁塔区 曲江街道"</f>
        <v>陕西省 西安市 雁塔区 曲江街道</v>
      </c>
      <c r="N7202" s="1" t="str">
        <f t="shared" si="2098"/>
        <v>凡华云仓-韵达-抖音</v>
      </c>
      <c r="O7202" s="5">
        <v>320174157987844</v>
      </c>
      <c r="P7202" s="6">
        <v>0.35</v>
      </c>
      <c r="Q7202" s="11">
        <v>2.2999999999999998</v>
      </c>
      <c r="R7202" s="11"/>
      <c r="S7202" s="11"/>
      <c r="T7202" s="11"/>
      <c r="U7202" s="11">
        <f t="shared" si="2100"/>
        <v>2.2999999999999998</v>
      </c>
      <c r="W7202">
        <v>2.5</v>
      </c>
      <c r="X7202" s="1" t="s">
        <v>32</v>
      </c>
    </row>
    <row r="7203" spans="1:24" x14ac:dyDescent="0.25">
      <c r="A7203" s="1" t="str">
        <f t="shared" si="2101"/>
        <v>卡卡杜-凤凰仓</v>
      </c>
      <c r="B7203" s="1" t="str">
        <f>"CK2024101652"</f>
        <v>CK2024101652</v>
      </c>
      <c r="C7203" s="1" t="str">
        <f>"DD2024101610092"</f>
        <v>DD2024101610092</v>
      </c>
      <c r="D7203" s="1" t="str">
        <f>"CK202410168250"</f>
        <v>CK202410168250</v>
      </c>
      <c r="E7203" s="1" t="str">
        <f>"6935032359057429995"</f>
        <v>6935032359057429995</v>
      </c>
      <c r="F7203" s="1" t="str">
        <f t="shared" si="2102"/>
        <v>花都四部-凤凰仓</v>
      </c>
      <c r="G7203" s="1" t="str">
        <f t="shared" si="2097"/>
        <v>卡卡杜个人护理店（抖店）</v>
      </c>
      <c r="H7203" s="1" t="str">
        <f t="shared" si="2103"/>
        <v>正常订单</v>
      </c>
      <c r="I7203" s="1" t="str">
        <f t="shared" si="2104"/>
        <v>已发货</v>
      </c>
      <c r="J7203" s="1" t="str">
        <f t="shared" si="2105"/>
        <v>3</v>
      </c>
      <c r="K7203" s="1">
        <v>2</v>
      </c>
      <c r="L7203" s="1" t="s">
        <v>20</v>
      </c>
      <c r="M7203" s="1" t="str">
        <f>"浙江省 温州市 苍南县 灵溪镇"</f>
        <v>浙江省 温州市 苍南县 灵溪镇</v>
      </c>
      <c r="N7203" s="1" t="str">
        <f t="shared" si="2098"/>
        <v>凡华云仓-韵达-抖音</v>
      </c>
      <c r="O7203" s="5">
        <v>320174157987741</v>
      </c>
      <c r="P7203" s="6">
        <v>0.35</v>
      </c>
      <c r="Q7203" s="11">
        <v>2.2999999999999998</v>
      </c>
      <c r="R7203" s="11"/>
      <c r="S7203" s="11"/>
      <c r="T7203" s="11"/>
      <c r="U7203" s="11">
        <f t="shared" si="2100"/>
        <v>2.2999999999999998</v>
      </c>
      <c r="W7203">
        <v>2.5</v>
      </c>
      <c r="X7203" s="1" t="s">
        <v>20</v>
      </c>
    </row>
    <row r="7204" spans="1:24" x14ac:dyDescent="0.25">
      <c r="A7204" s="1" t="str">
        <f t="shared" si="2101"/>
        <v>卡卡杜-凤凰仓</v>
      </c>
      <c r="B7204" s="1" t="str">
        <f>"CK2024101651"</f>
        <v>CK2024101651</v>
      </c>
      <c r="C7204" s="1" t="str">
        <f>"DD2024101610093"</f>
        <v>DD2024101610093</v>
      </c>
      <c r="D7204" s="1" t="str">
        <f>"CK202410168249"</f>
        <v>CK202410168249</v>
      </c>
      <c r="E7204" s="1" t="str">
        <f>"6935059020901783293"</f>
        <v>6935059020901783293</v>
      </c>
      <c r="F7204" s="1" t="str">
        <f t="shared" si="2102"/>
        <v>花都四部-凤凰仓</v>
      </c>
      <c r="G7204" s="1" t="str">
        <f t="shared" si="2097"/>
        <v>卡卡杜个人护理店（抖店）</v>
      </c>
      <c r="H7204" s="1" t="str">
        <f t="shared" si="2103"/>
        <v>正常订单</v>
      </c>
      <c r="I7204" s="1" t="str">
        <f t="shared" si="2104"/>
        <v>已发货</v>
      </c>
      <c r="J7204" s="1" t="str">
        <f t="shared" si="2105"/>
        <v>3</v>
      </c>
      <c r="K7204" s="1">
        <v>2</v>
      </c>
      <c r="L7204" s="1" t="s">
        <v>13</v>
      </c>
      <c r="M7204" s="1" t="str">
        <f>"江苏省 常州市 溧阳市 溧城街道"</f>
        <v>江苏省 常州市 溧阳市 溧城街道</v>
      </c>
      <c r="N7204" s="1" t="str">
        <f t="shared" si="2098"/>
        <v>凡华云仓-韵达-抖音</v>
      </c>
      <c r="O7204" s="5">
        <v>320174157987640</v>
      </c>
      <c r="P7204" s="6">
        <v>0.35</v>
      </c>
      <c r="Q7204" s="11">
        <v>2.2999999999999998</v>
      </c>
      <c r="R7204" s="11"/>
      <c r="S7204" s="11"/>
      <c r="T7204" s="11"/>
      <c r="U7204" s="11">
        <f t="shared" si="2100"/>
        <v>2.2999999999999998</v>
      </c>
      <c r="W7204">
        <v>2.5</v>
      </c>
      <c r="X7204" s="1" t="s">
        <v>13</v>
      </c>
    </row>
    <row r="7205" spans="1:24" x14ac:dyDescent="0.25">
      <c r="A7205" s="1" t="str">
        <f t="shared" si="2101"/>
        <v>卡卡杜-凤凰仓</v>
      </c>
      <c r="B7205" s="1" t="str">
        <f>"CK2024101650"</f>
        <v>CK2024101650</v>
      </c>
      <c r="C7205" s="1" t="str">
        <f>"DD2024101610094"</f>
        <v>DD2024101610094</v>
      </c>
      <c r="D7205" s="1" t="str">
        <f>"CK202410168248"</f>
        <v>CK202410168248</v>
      </c>
      <c r="E7205" s="1" t="str">
        <f>"6935039345315026824"</f>
        <v>6935039345315026824</v>
      </c>
      <c r="F7205" s="1" t="str">
        <f t="shared" si="2102"/>
        <v>花都四部-凤凰仓</v>
      </c>
      <c r="G7205" s="1" t="str">
        <f t="shared" si="2097"/>
        <v>卡卡杜个人护理店（抖店）</v>
      </c>
      <c r="H7205" s="1" t="str">
        <f t="shared" si="2103"/>
        <v>正常订单</v>
      </c>
      <c r="I7205" s="1" t="str">
        <f t="shared" si="2104"/>
        <v>已发货</v>
      </c>
      <c r="J7205" s="1" t="str">
        <f t="shared" si="2105"/>
        <v>3</v>
      </c>
      <c r="K7205" s="1">
        <v>2</v>
      </c>
      <c r="L7205" s="1" t="s">
        <v>20</v>
      </c>
      <c r="M7205" s="1" t="str">
        <f>"浙江省 杭州市 萧山区 瓜沥镇"</f>
        <v>浙江省 杭州市 萧山区 瓜沥镇</v>
      </c>
      <c r="N7205" s="1" t="str">
        <f t="shared" si="2098"/>
        <v>凡华云仓-韵达-抖音</v>
      </c>
      <c r="O7205" s="5">
        <v>320174157987541</v>
      </c>
      <c r="P7205" s="6">
        <v>0.35</v>
      </c>
      <c r="Q7205" s="11">
        <v>2.2999999999999998</v>
      </c>
      <c r="R7205" s="11"/>
      <c r="S7205" s="11"/>
      <c r="T7205" s="11"/>
      <c r="U7205" s="11">
        <f t="shared" si="2100"/>
        <v>2.2999999999999998</v>
      </c>
      <c r="W7205">
        <v>2.5</v>
      </c>
      <c r="X7205" s="1" t="s">
        <v>20</v>
      </c>
    </row>
    <row r="7206" spans="1:24" x14ac:dyDescent="0.25">
      <c r="A7206" s="1" t="str">
        <f t="shared" si="2101"/>
        <v>卡卡杜-凤凰仓</v>
      </c>
      <c r="B7206" s="1" t="str">
        <f>"CK2024101649"</f>
        <v>CK2024101649</v>
      </c>
      <c r="C7206" s="1" t="str">
        <f>"DD2024101610091"</f>
        <v>DD2024101610091</v>
      </c>
      <c r="D7206" s="1" t="str">
        <f>"CK202410168247"</f>
        <v>CK202410168247</v>
      </c>
      <c r="E7206" s="1" t="str">
        <f>"6918017568009911615"</f>
        <v>6918017568009911615</v>
      </c>
      <c r="F7206" s="1" t="str">
        <f t="shared" si="2102"/>
        <v>花都四部-凤凰仓</v>
      </c>
      <c r="G7206" s="1" t="str">
        <f t="shared" si="2097"/>
        <v>卡卡杜个人护理店（抖店）</v>
      </c>
      <c r="H7206" s="1" t="str">
        <f t="shared" si="2103"/>
        <v>正常订单</v>
      </c>
      <c r="I7206" s="1" t="str">
        <f t="shared" si="2104"/>
        <v>已发货</v>
      </c>
      <c r="J7206" s="1" t="str">
        <f t="shared" si="2105"/>
        <v>3</v>
      </c>
      <c r="K7206" s="1">
        <v>2</v>
      </c>
      <c r="L7206" s="1" t="s">
        <v>161</v>
      </c>
      <c r="M7206" s="1" t="str">
        <f>"四川省 成都市 成华区 府青路街道"</f>
        <v>四川省 成都市 成华区 府青路街道</v>
      </c>
      <c r="N7206" s="1" t="str">
        <f t="shared" si="2098"/>
        <v>凡华云仓-韵达-抖音</v>
      </c>
      <c r="O7206" s="5">
        <v>320174157987444</v>
      </c>
      <c r="P7206" s="6">
        <v>0.35</v>
      </c>
      <c r="Q7206" s="11">
        <v>2.2999999999999998</v>
      </c>
      <c r="R7206" s="11"/>
      <c r="S7206" s="11"/>
      <c r="T7206" s="11"/>
      <c r="U7206" s="11">
        <f t="shared" si="2100"/>
        <v>2.2999999999999998</v>
      </c>
      <c r="W7206">
        <v>2.5</v>
      </c>
      <c r="X7206" s="1" t="s">
        <v>161</v>
      </c>
    </row>
    <row r="7207" spans="1:24" x14ac:dyDescent="0.25">
      <c r="A7207" s="1" t="str">
        <f t="shared" si="2101"/>
        <v>卡卡杜-凤凰仓</v>
      </c>
      <c r="B7207" s="1" t="str">
        <f>"CK2024101648"</f>
        <v>CK2024101648</v>
      </c>
      <c r="C7207" s="1" t="str">
        <f>"DD2024101610089"</f>
        <v>DD2024101610089</v>
      </c>
      <c r="D7207" s="1" t="str">
        <f>"CK202410168246"</f>
        <v>CK202410168246</v>
      </c>
      <c r="E7207" s="1" t="str">
        <f>"6935039407131530610"</f>
        <v>6935039407131530610</v>
      </c>
      <c r="F7207" s="1" t="str">
        <f t="shared" si="2102"/>
        <v>花都四部-凤凰仓</v>
      </c>
      <c r="G7207" s="1" t="str">
        <f t="shared" si="2097"/>
        <v>卡卡杜个人护理店（抖店）</v>
      </c>
      <c r="H7207" s="1" t="str">
        <f t="shared" si="2103"/>
        <v>正常订单</v>
      </c>
      <c r="I7207" s="1" t="str">
        <f t="shared" si="2104"/>
        <v>已发货</v>
      </c>
      <c r="J7207" s="1" t="str">
        <f t="shared" si="2105"/>
        <v>3</v>
      </c>
      <c r="K7207" s="1">
        <v>2</v>
      </c>
      <c r="L7207" s="1" t="s">
        <v>13</v>
      </c>
      <c r="M7207" s="1" t="str">
        <f>"江苏省 徐州市 邳州市 官湖镇"</f>
        <v>江苏省 徐州市 邳州市 官湖镇</v>
      </c>
      <c r="N7207" s="1" t="str">
        <f t="shared" si="2098"/>
        <v>凡华云仓-韵达-抖音</v>
      </c>
      <c r="O7207" s="5">
        <v>320174157987349</v>
      </c>
      <c r="P7207" s="6">
        <v>0.35</v>
      </c>
      <c r="Q7207" s="11">
        <v>2.2999999999999998</v>
      </c>
      <c r="R7207" s="11"/>
      <c r="S7207" s="11"/>
      <c r="T7207" s="11"/>
      <c r="U7207" s="11">
        <f t="shared" si="2100"/>
        <v>2.2999999999999998</v>
      </c>
      <c r="W7207">
        <v>2.5</v>
      </c>
      <c r="X7207" s="1" t="s">
        <v>13</v>
      </c>
    </row>
    <row r="7208" spans="1:24" x14ac:dyDescent="0.25">
      <c r="A7208" s="1" t="str">
        <f t="shared" si="2101"/>
        <v>卡卡杜-凤凰仓</v>
      </c>
      <c r="B7208" s="1" t="str">
        <f>"CK2024101647"</f>
        <v>CK2024101647</v>
      </c>
      <c r="C7208" s="1" t="str">
        <f>"DD2024101610090"</f>
        <v>DD2024101610090</v>
      </c>
      <c r="D7208" s="1" t="str">
        <f>"CK202410168245"</f>
        <v>CK202410168245</v>
      </c>
      <c r="E7208" s="1" t="str">
        <f>"6935052339854841502"</f>
        <v>6935052339854841502</v>
      </c>
      <c r="F7208" s="1" t="str">
        <f t="shared" si="2102"/>
        <v>花都四部-凤凰仓</v>
      </c>
      <c r="G7208" s="1" t="str">
        <f t="shared" si="2097"/>
        <v>卡卡杜个人护理店（抖店）</v>
      </c>
      <c r="H7208" s="1" t="str">
        <f t="shared" si="2103"/>
        <v>正常订单</v>
      </c>
      <c r="I7208" s="1" t="str">
        <f t="shared" si="2104"/>
        <v>已发货</v>
      </c>
      <c r="J7208" s="1" t="str">
        <f t="shared" si="2105"/>
        <v>3</v>
      </c>
      <c r="K7208" s="1">
        <v>2</v>
      </c>
      <c r="L7208" s="1" t="s">
        <v>20</v>
      </c>
      <c r="M7208" s="1" t="str">
        <f>"浙江省 丽水市 庆元县 松源街道"</f>
        <v>浙江省 丽水市 庆元县 松源街道</v>
      </c>
      <c r="N7208" s="1" t="str">
        <f t="shared" si="2098"/>
        <v>凡华云仓-韵达-抖音</v>
      </c>
      <c r="O7208" s="5">
        <v>320174157987256</v>
      </c>
      <c r="P7208" s="6">
        <v>0.35</v>
      </c>
      <c r="Q7208" s="11">
        <v>2.2999999999999998</v>
      </c>
      <c r="R7208" s="11"/>
      <c r="S7208" s="11"/>
      <c r="T7208" s="11"/>
      <c r="U7208" s="11">
        <f t="shared" si="2100"/>
        <v>2.2999999999999998</v>
      </c>
      <c r="W7208">
        <v>2.5</v>
      </c>
      <c r="X7208" s="1" t="s">
        <v>20</v>
      </c>
    </row>
    <row r="7209" spans="1:24" x14ac:dyDescent="0.25">
      <c r="A7209" s="1" t="str">
        <f t="shared" si="2101"/>
        <v>卡卡杜-凤凰仓</v>
      </c>
      <c r="B7209" s="1" t="str">
        <f>"CK2024101646"</f>
        <v>CK2024101646</v>
      </c>
      <c r="C7209" s="1" t="str">
        <f>"DD2024101610085"</f>
        <v>DD2024101610085</v>
      </c>
      <c r="D7209" s="1" t="str">
        <f>"CK202410168244"</f>
        <v>CK202410168244</v>
      </c>
      <c r="E7209" s="1" t="str">
        <f>"6935041216299144225"</f>
        <v>6935041216299144225</v>
      </c>
      <c r="F7209" s="1" t="str">
        <f t="shared" si="2102"/>
        <v>花都四部-凤凰仓</v>
      </c>
      <c r="G7209" s="1" t="str">
        <f t="shared" si="2097"/>
        <v>卡卡杜个人护理店（抖店）</v>
      </c>
      <c r="H7209" s="1" t="str">
        <f t="shared" si="2103"/>
        <v>正常订单</v>
      </c>
      <c r="I7209" s="1" t="str">
        <f t="shared" si="2104"/>
        <v>已发货</v>
      </c>
      <c r="J7209" s="1" t="str">
        <f t="shared" si="2105"/>
        <v>3</v>
      </c>
      <c r="K7209" s="1">
        <v>2</v>
      </c>
      <c r="L7209" s="1" t="s">
        <v>60</v>
      </c>
      <c r="M7209" s="1" t="str">
        <f>"云南省 玉溪市 新平彝族傣族自治县 桂山街道"</f>
        <v>云南省 玉溪市 新平彝族傣族自治县 桂山街道</v>
      </c>
      <c r="N7209" s="1" t="str">
        <f t="shared" si="2098"/>
        <v>凡华云仓-韵达-抖音</v>
      </c>
      <c r="O7209" s="5">
        <v>320174157987165</v>
      </c>
      <c r="P7209" s="6">
        <v>0.35</v>
      </c>
      <c r="Q7209" s="11">
        <v>2.2999999999999998</v>
      </c>
      <c r="R7209" s="11"/>
      <c r="S7209" s="11"/>
      <c r="T7209" s="11"/>
      <c r="U7209" s="11">
        <f t="shared" si="2100"/>
        <v>2.2999999999999998</v>
      </c>
      <c r="W7209">
        <v>2.5</v>
      </c>
      <c r="X7209" s="1" t="s">
        <v>60</v>
      </c>
    </row>
    <row r="7210" spans="1:24" x14ac:dyDescent="0.25">
      <c r="A7210" s="1" t="str">
        <f t="shared" si="2101"/>
        <v>卡卡杜-凤凰仓</v>
      </c>
      <c r="B7210" s="1" t="str">
        <f>"CK2024101645"</f>
        <v>CK2024101645</v>
      </c>
      <c r="C7210" s="1" t="str">
        <f>"DD2024101610088"</f>
        <v>DD2024101610088</v>
      </c>
      <c r="D7210" s="1" t="str">
        <f>"CK202410168243"</f>
        <v>CK202410168243</v>
      </c>
      <c r="E7210" s="1" t="str">
        <f>"6935032329144964174"</f>
        <v>6935032329144964174</v>
      </c>
      <c r="F7210" s="1" t="str">
        <f t="shared" si="2102"/>
        <v>花都四部-凤凰仓</v>
      </c>
      <c r="G7210" s="1" t="str">
        <f t="shared" si="2097"/>
        <v>卡卡杜个人护理店（抖店）</v>
      </c>
      <c r="H7210" s="1" t="str">
        <f t="shared" si="2103"/>
        <v>正常订单</v>
      </c>
      <c r="I7210" s="1" t="str">
        <f t="shared" si="2104"/>
        <v>已发货</v>
      </c>
      <c r="J7210" s="1" t="str">
        <f t="shared" si="2105"/>
        <v>3</v>
      </c>
      <c r="K7210" s="1">
        <v>2</v>
      </c>
      <c r="L7210" s="1" t="s">
        <v>36</v>
      </c>
      <c r="M7210" s="1" t="str">
        <f>"安徽省 池州市 青阳县 朱备镇"</f>
        <v>安徽省 池州市 青阳县 朱备镇</v>
      </c>
      <c r="N7210" s="1" t="str">
        <f t="shared" si="2098"/>
        <v>凡华云仓-韵达-抖音</v>
      </c>
      <c r="O7210" s="5">
        <v>320174157987076</v>
      </c>
      <c r="P7210" s="6">
        <v>0.35</v>
      </c>
      <c r="Q7210" s="11">
        <v>2.2999999999999998</v>
      </c>
      <c r="R7210" s="11"/>
      <c r="S7210" s="11"/>
      <c r="T7210" s="11"/>
      <c r="U7210" s="11">
        <f t="shared" si="2100"/>
        <v>2.2999999999999998</v>
      </c>
      <c r="W7210">
        <v>2.5</v>
      </c>
      <c r="X7210" s="1" t="s">
        <v>36</v>
      </c>
    </row>
    <row r="7211" spans="1:24" x14ac:dyDescent="0.25">
      <c r="A7211" s="1" t="str">
        <f t="shared" si="2101"/>
        <v>卡卡杜-凤凰仓</v>
      </c>
      <c r="B7211" s="1" t="str">
        <f>"CK2024101644"</f>
        <v>CK2024101644</v>
      </c>
      <c r="C7211" s="1" t="str">
        <f>"DD2024101610087"</f>
        <v>DD2024101610087</v>
      </c>
      <c r="D7211" s="1" t="str">
        <f>"CK202410168242"</f>
        <v>CK202410168242</v>
      </c>
      <c r="E7211" s="1" t="str">
        <f>"6935058941170029572"</f>
        <v>6935058941170029572</v>
      </c>
      <c r="F7211" s="1" t="str">
        <f t="shared" si="2102"/>
        <v>花都四部-凤凰仓</v>
      </c>
      <c r="G7211" s="1" t="str">
        <f t="shared" si="2097"/>
        <v>卡卡杜个人护理店（抖店）</v>
      </c>
      <c r="H7211" s="1" t="str">
        <f t="shared" si="2103"/>
        <v>正常订单</v>
      </c>
      <c r="I7211" s="1" t="str">
        <f t="shared" si="2104"/>
        <v>已发货</v>
      </c>
      <c r="J7211" s="1" t="str">
        <f t="shared" si="2105"/>
        <v>3</v>
      </c>
      <c r="K7211" s="1">
        <v>2</v>
      </c>
      <c r="L7211" s="1" t="s">
        <v>18</v>
      </c>
      <c r="M7211" s="1" t="str">
        <f>"广东省 清远市 佛冈县 石角镇"</f>
        <v>广东省 清远市 佛冈县 石角镇</v>
      </c>
      <c r="N7211" s="1" t="str">
        <f t="shared" si="2098"/>
        <v>凡华云仓-韵达-抖音</v>
      </c>
      <c r="O7211" s="5">
        <v>320174157986948</v>
      </c>
      <c r="P7211" s="6">
        <v>0.35</v>
      </c>
      <c r="Q7211" s="11">
        <v>2.2999999999999998</v>
      </c>
      <c r="R7211" s="11"/>
      <c r="S7211" s="11"/>
      <c r="T7211" s="11"/>
      <c r="U7211" s="11">
        <f t="shared" si="2100"/>
        <v>2.2999999999999998</v>
      </c>
      <c r="W7211">
        <v>2.5</v>
      </c>
      <c r="X7211" s="1" t="s">
        <v>18</v>
      </c>
    </row>
    <row r="7212" spans="1:24" x14ac:dyDescent="0.25">
      <c r="A7212" s="1" t="str">
        <f t="shared" si="2101"/>
        <v>卡卡杜-凤凰仓</v>
      </c>
      <c r="B7212" s="1" t="str">
        <f>"CK2024101643"</f>
        <v>CK2024101643</v>
      </c>
      <c r="C7212" s="1" t="str">
        <f>"DD2024101610086"</f>
        <v>DD2024101610086</v>
      </c>
      <c r="D7212" s="1" t="str">
        <f>"CK202410168241"</f>
        <v>CK202410168241</v>
      </c>
      <c r="E7212" s="1" t="str">
        <f>"6918001021762305468"</f>
        <v>6918001021762305468</v>
      </c>
      <c r="F7212" s="1" t="str">
        <f t="shared" si="2102"/>
        <v>花都四部-凤凰仓</v>
      </c>
      <c r="G7212" s="1" t="str">
        <f t="shared" si="2097"/>
        <v>卡卡杜个人护理店（抖店）</v>
      </c>
      <c r="H7212" s="1" t="str">
        <f t="shared" si="2103"/>
        <v>正常订单</v>
      </c>
      <c r="I7212" s="1" t="str">
        <f t="shared" si="2104"/>
        <v>已发货</v>
      </c>
      <c r="J7212" s="1" t="str">
        <f t="shared" si="2105"/>
        <v>3</v>
      </c>
      <c r="K7212" s="1">
        <v>2</v>
      </c>
      <c r="L7212" s="1" t="s">
        <v>96</v>
      </c>
      <c r="M7212" s="1" t="str">
        <f>"广西壮族自治区 河池市 宜州区 庆远镇"</f>
        <v>广西壮族自治区 河池市 宜州区 庆远镇</v>
      </c>
      <c r="N7212" s="1" t="str">
        <f t="shared" si="2098"/>
        <v>凡华云仓-韵达-抖音</v>
      </c>
      <c r="O7212" s="5">
        <v>320174176484738</v>
      </c>
      <c r="P7212" s="6">
        <v>0.35</v>
      </c>
      <c r="Q7212" s="11">
        <v>2.2999999999999998</v>
      </c>
      <c r="R7212" s="11"/>
      <c r="S7212" s="11"/>
      <c r="T7212" s="11"/>
      <c r="U7212" s="11">
        <f t="shared" si="2100"/>
        <v>2.2999999999999998</v>
      </c>
      <c r="W7212">
        <v>2.5</v>
      </c>
      <c r="X7212" s="1" t="s">
        <v>96</v>
      </c>
    </row>
    <row r="7213" spans="1:24" x14ac:dyDescent="0.25">
      <c r="A7213" s="1" t="str">
        <f t="shared" si="2101"/>
        <v>卡卡杜-凤凰仓</v>
      </c>
      <c r="B7213" s="1" t="str">
        <f>"CK2024101642"</f>
        <v>CK2024101642</v>
      </c>
      <c r="C7213" s="1" t="str">
        <f>"DD2024101610083"</f>
        <v>DD2024101610083</v>
      </c>
      <c r="D7213" s="1" t="str">
        <f>"CK202410168240"</f>
        <v>CK202410168240</v>
      </c>
      <c r="E7213" s="1" t="str">
        <f>"6935043152800388977"</f>
        <v>6935043152800388977</v>
      </c>
      <c r="F7213" s="1" t="str">
        <f t="shared" si="2102"/>
        <v>花都四部-凤凰仓</v>
      </c>
      <c r="G7213" s="1" t="str">
        <f t="shared" si="2097"/>
        <v>卡卡杜个人护理店（抖店）</v>
      </c>
      <c r="H7213" s="1" t="str">
        <f t="shared" si="2103"/>
        <v>正常订单</v>
      </c>
      <c r="I7213" s="1" t="str">
        <f t="shared" si="2104"/>
        <v>已发货</v>
      </c>
      <c r="J7213" s="1" t="str">
        <f t="shared" si="2105"/>
        <v>3</v>
      </c>
      <c r="K7213" s="1">
        <v>2</v>
      </c>
      <c r="L7213" s="1" t="s">
        <v>24</v>
      </c>
      <c r="M7213" s="1" t="str">
        <f>"福建省 厦门市 同安区 汀溪镇"</f>
        <v>福建省 厦门市 同安区 汀溪镇</v>
      </c>
      <c r="N7213" s="1" t="str">
        <f t="shared" si="2098"/>
        <v>凡华云仓-韵达-抖音</v>
      </c>
      <c r="O7213" s="5">
        <v>320174176484637</v>
      </c>
      <c r="P7213" s="6">
        <v>0.35</v>
      </c>
      <c r="Q7213" s="11">
        <v>2.2999999999999998</v>
      </c>
      <c r="R7213" s="11"/>
      <c r="S7213" s="11"/>
      <c r="T7213" s="11"/>
      <c r="U7213" s="11">
        <f t="shared" si="2100"/>
        <v>2.2999999999999998</v>
      </c>
      <c r="W7213">
        <v>2.5</v>
      </c>
      <c r="X7213" s="1" t="s">
        <v>24</v>
      </c>
    </row>
    <row r="7214" spans="1:24" x14ac:dyDescent="0.25">
      <c r="A7214" s="1" t="str">
        <f t="shared" si="2101"/>
        <v>卡卡杜-凤凰仓</v>
      </c>
      <c r="B7214" s="1" t="str">
        <f>"CK2024101641"</f>
        <v>CK2024101641</v>
      </c>
      <c r="C7214" s="1" t="str">
        <f>"DD2024101610084"</f>
        <v>DD2024101610084</v>
      </c>
      <c r="D7214" s="1" t="str">
        <f>"CK202410168239"</f>
        <v>CK202410168239</v>
      </c>
      <c r="E7214" s="1" t="str">
        <f>"6935034767064175667"</f>
        <v>6935034767064175667</v>
      </c>
      <c r="F7214" s="1" t="str">
        <f t="shared" si="2102"/>
        <v>花都四部-凤凰仓</v>
      </c>
      <c r="G7214" s="1" t="str">
        <f t="shared" si="2097"/>
        <v>卡卡杜个人护理店（抖店）</v>
      </c>
      <c r="H7214" s="1" t="str">
        <f t="shared" si="2103"/>
        <v>正常订单</v>
      </c>
      <c r="I7214" s="1" t="str">
        <f t="shared" si="2104"/>
        <v>已发货</v>
      </c>
      <c r="J7214" s="1" t="str">
        <f>"5"</f>
        <v>5</v>
      </c>
      <c r="K7214" s="1">
        <v>2</v>
      </c>
      <c r="L7214" s="1" t="s">
        <v>74</v>
      </c>
      <c r="M7214" s="1" t="str">
        <f>"上海 上海市 青浦区 华新镇"</f>
        <v>上海 上海市 青浦区 华新镇</v>
      </c>
      <c r="N7214" s="1" t="str">
        <f t="shared" si="2098"/>
        <v>凡华云仓-韵达-抖音</v>
      </c>
      <c r="O7214" s="5">
        <v>320174176484538</v>
      </c>
      <c r="P7214" s="6">
        <v>0.59</v>
      </c>
      <c r="Q7214" s="11">
        <f>CEILING(P7214-0.5,0.1)*10*0.15+2.3</f>
        <v>2.4499999999999997</v>
      </c>
      <c r="R7214" s="11"/>
      <c r="S7214" s="11"/>
      <c r="T7214" s="11"/>
      <c r="U7214" s="11">
        <f t="shared" si="2100"/>
        <v>2.4499999999999997</v>
      </c>
      <c r="V7214" t="s">
        <v>15</v>
      </c>
      <c r="W7214">
        <v>2.4500000000000002</v>
      </c>
      <c r="X7214" s="1" t="s">
        <v>74</v>
      </c>
    </row>
    <row r="7215" spans="1:24" x14ac:dyDescent="0.25">
      <c r="A7215" s="1" t="str">
        <f t="shared" si="2101"/>
        <v>卡卡杜-凤凰仓</v>
      </c>
      <c r="B7215" s="1" t="str">
        <f>"CK2024101640"</f>
        <v>CK2024101640</v>
      </c>
      <c r="C7215" s="1" t="str">
        <f>"DD2024101610079"</f>
        <v>DD2024101610079</v>
      </c>
      <c r="D7215" s="1" t="str">
        <f>"CK202410168238"</f>
        <v>CK202410168238</v>
      </c>
      <c r="E7215" s="1" t="str">
        <f>"6935054364439615257"</f>
        <v>6935054364439615257</v>
      </c>
      <c r="F7215" s="1" t="str">
        <f t="shared" si="2102"/>
        <v>花都四部-凤凰仓</v>
      </c>
      <c r="G7215" s="1" t="str">
        <f t="shared" si="2097"/>
        <v>卡卡杜个人护理店（抖店）</v>
      </c>
      <c r="H7215" s="1" t="str">
        <f t="shared" si="2103"/>
        <v>正常订单</v>
      </c>
      <c r="I7215" s="1" t="str">
        <f t="shared" si="2104"/>
        <v>已发货</v>
      </c>
      <c r="J7215" s="1" t="str">
        <f t="shared" ref="J7215:J7223" si="2106">"3"</f>
        <v>3</v>
      </c>
      <c r="K7215" s="1">
        <v>2</v>
      </c>
      <c r="L7215" s="1" t="s">
        <v>20</v>
      </c>
      <c r="M7215" s="1" t="str">
        <f>"浙江省 金华市 武义县 熟溪街道"</f>
        <v>浙江省 金华市 武义县 熟溪街道</v>
      </c>
      <c r="N7215" s="1" t="str">
        <f t="shared" si="2098"/>
        <v>凡华云仓-韵达-抖音</v>
      </c>
      <c r="O7215" s="5">
        <v>320174176484441</v>
      </c>
      <c r="P7215" s="6">
        <v>0.35</v>
      </c>
      <c r="Q7215" s="11">
        <v>2.2999999999999998</v>
      </c>
      <c r="R7215" s="11"/>
      <c r="S7215" s="11"/>
      <c r="T7215" s="11"/>
      <c r="U7215" s="11">
        <f t="shared" si="2100"/>
        <v>2.2999999999999998</v>
      </c>
      <c r="W7215">
        <v>2.5</v>
      </c>
      <c r="X7215" s="1" t="s">
        <v>20</v>
      </c>
    </row>
    <row r="7216" spans="1:24" x14ac:dyDescent="0.25">
      <c r="A7216" s="1" t="str">
        <f t="shared" si="2101"/>
        <v>卡卡杜-凤凰仓</v>
      </c>
      <c r="B7216" s="1" t="str">
        <f>"CK2024101639"</f>
        <v>CK2024101639</v>
      </c>
      <c r="C7216" s="1" t="str">
        <f>"DD2024101610081"</f>
        <v>DD2024101610081</v>
      </c>
      <c r="D7216" s="1" t="str">
        <f>"CK202410168237"</f>
        <v>CK202410168237</v>
      </c>
      <c r="E7216" s="1" t="str">
        <f>"6935061132789158967"</f>
        <v>6935061132789158967</v>
      </c>
      <c r="F7216" s="1" t="str">
        <f t="shared" si="2102"/>
        <v>花都四部-凤凰仓</v>
      </c>
      <c r="G7216" s="1" t="str">
        <f t="shared" si="2097"/>
        <v>卡卡杜个人护理店（抖店）</v>
      </c>
      <c r="H7216" s="1" t="str">
        <f t="shared" si="2103"/>
        <v>正常订单</v>
      </c>
      <c r="I7216" s="1" t="str">
        <f t="shared" si="2104"/>
        <v>已发货</v>
      </c>
      <c r="J7216" s="1" t="str">
        <f t="shared" si="2106"/>
        <v>3</v>
      </c>
      <c r="K7216" s="1">
        <v>2</v>
      </c>
      <c r="L7216" s="1" t="s">
        <v>20</v>
      </c>
      <c r="M7216" s="1" t="str">
        <f>"浙江省 温州市 瑞安市 仙降街道"</f>
        <v>浙江省 温州市 瑞安市 仙降街道</v>
      </c>
      <c r="N7216" s="1" t="str">
        <f t="shared" si="2098"/>
        <v>凡华云仓-韵达-抖音</v>
      </c>
      <c r="O7216" s="5">
        <v>320174176484346</v>
      </c>
      <c r="P7216" s="6">
        <v>0.35</v>
      </c>
      <c r="Q7216" s="11">
        <v>2.2999999999999998</v>
      </c>
      <c r="R7216" s="11"/>
      <c r="S7216" s="11"/>
      <c r="T7216" s="11"/>
      <c r="U7216" s="11">
        <f t="shared" si="2100"/>
        <v>2.2999999999999998</v>
      </c>
      <c r="W7216">
        <v>2.5</v>
      </c>
      <c r="X7216" s="1" t="s">
        <v>20</v>
      </c>
    </row>
    <row r="7217" spans="1:24" x14ac:dyDescent="0.25">
      <c r="A7217" s="1" t="str">
        <f t="shared" si="2101"/>
        <v>卡卡杜-凤凰仓</v>
      </c>
      <c r="B7217" s="1" t="str">
        <f>"CK2024101638"</f>
        <v>CK2024101638</v>
      </c>
      <c r="C7217" s="1" t="str">
        <f>"DD2024101610080"</f>
        <v>DD2024101610080</v>
      </c>
      <c r="D7217" s="1" t="str">
        <f>"CK202410168236"</f>
        <v>CK202410168236</v>
      </c>
      <c r="E7217" s="1" t="str">
        <f>"6935058729316521656"</f>
        <v>6935058729316521656</v>
      </c>
      <c r="F7217" s="1" t="str">
        <f t="shared" si="2102"/>
        <v>花都四部-凤凰仓</v>
      </c>
      <c r="G7217" s="1" t="str">
        <f t="shared" si="2097"/>
        <v>卡卡杜个人护理店（抖店）</v>
      </c>
      <c r="H7217" s="1" t="str">
        <f t="shared" si="2103"/>
        <v>正常订单</v>
      </c>
      <c r="I7217" s="1" t="str">
        <f t="shared" si="2104"/>
        <v>已发货</v>
      </c>
      <c r="J7217" s="1" t="str">
        <f t="shared" si="2106"/>
        <v>3</v>
      </c>
      <c r="K7217" s="1">
        <v>2</v>
      </c>
      <c r="L7217" s="1" t="s">
        <v>109</v>
      </c>
      <c r="M7217" s="1" t="str">
        <f>"山西省 晋中市 昔阳县 "</f>
        <v xml:space="preserve">山西省 晋中市 昔阳县 </v>
      </c>
      <c r="N7217" s="1" t="str">
        <f t="shared" si="2098"/>
        <v>凡华云仓-韵达-抖音</v>
      </c>
      <c r="O7217" s="5">
        <v>320174176484253</v>
      </c>
      <c r="P7217" s="6">
        <v>0.35</v>
      </c>
      <c r="Q7217" s="11">
        <v>2.2999999999999998</v>
      </c>
      <c r="R7217" s="11"/>
      <c r="S7217" s="11"/>
      <c r="T7217" s="11"/>
      <c r="U7217" s="11">
        <f t="shared" si="2100"/>
        <v>2.2999999999999998</v>
      </c>
      <c r="W7217">
        <v>2.5</v>
      </c>
      <c r="X7217" s="1" t="s">
        <v>109</v>
      </c>
    </row>
    <row r="7218" spans="1:24" x14ac:dyDescent="0.25">
      <c r="A7218" s="1" t="str">
        <f t="shared" si="2101"/>
        <v>卡卡杜-凤凰仓</v>
      </c>
      <c r="B7218" s="1" t="str">
        <f>"CK2024101637"</f>
        <v>CK2024101637</v>
      </c>
      <c r="C7218" s="1" t="str">
        <f>"DD2024101610082"</f>
        <v>DD2024101610082</v>
      </c>
      <c r="D7218" s="1" t="str">
        <f>"CK202410168235"</f>
        <v>CK202410168235</v>
      </c>
      <c r="E7218" s="1" t="str">
        <f>"6935049869582669253"</f>
        <v>6935049869582669253</v>
      </c>
      <c r="F7218" s="1" t="str">
        <f t="shared" si="2102"/>
        <v>花都四部-凤凰仓</v>
      </c>
      <c r="G7218" s="1" t="str">
        <f t="shared" si="2097"/>
        <v>卡卡杜个人护理店（抖店）</v>
      </c>
      <c r="H7218" s="1" t="str">
        <f t="shared" si="2103"/>
        <v>正常订单</v>
      </c>
      <c r="I7218" s="1" t="str">
        <f t="shared" si="2104"/>
        <v>已发货</v>
      </c>
      <c r="J7218" s="1" t="str">
        <f t="shared" si="2106"/>
        <v>3</v>
      </c>
      <c r="K7218" s="1">
        <v>2</v>
      </c>
      <c r="L7218" s="1" t="s">
        <v>30</v>
      </c>
      <c r="M7218" s="1" t="str">
        <f>"山东省 青岛市 黄岛区 隐珠街道"</f>
        <v>山东省 青岛市 黄岛区 隐珠街道</v>
      </c>
      <c r="N7218" s="1" t="str">
        <f t="shared" si="2098"/>
        <v>凡华云仓-韵达-抖音</v>
      </c>
      <c r="O7218" s="5">
        <v>320174176484162</v>
      </c>
      <c r="P7218" s="6">
        <v>0.35</v>
      </c>
      <c r="Q7218" s="11">
        <v>2.2999999999999998</v>
      </c>
      <c r="R7218" s="11"/>
      <c r="S7218" s="11"/>
      <c r="T7218" s="11"/>
      <c r="U7218" s="11">
        <f t="shared" si="2100"/>
        <v>2.2999999999999998</v>
      </c>
      <c r="W7218">
        <v>2.5</v>
      </c>
      <c r="X7218" s="1" t="s">
        <v>30</v>
      </c>
    </row>
    <row r="7219" spans="1:24" x14ac:dyDescent="0.25">
      <c r="A7219" s="1" t="str">
        <f t="shared" si="2101"/>
        <v>卡卡杜-凤凰仓</v>
      </c>
      <c r="B7219" s="1" t="str">
        <f>"CK2024101636"</f>
        <v>CK2024101636</v>
      </c>
      <c r="C7219" s="1" t="str">
        <f>"DD2024101610077"</f>
        <v>DD2024101610077</v>
      </c>
      <c r="D7219" s="1" t="str">
        <f>"CK202410168234"</f>
        <v>CK202410168234</v>
      </c>
      <c r="E7219" s="1" t="str">
        <f>"6935056556608657131"</f>
        <v>6935056556608657131</v>
      </c>
      <c r="F7219" s="1" t="str">
        <f t="shared" si="2102"/>
        <v>花都四部-凤凰仓</v>
      </c>
      <c r="G7219" s="1" t="str">
        <f t="shared" si="2097"/>
        <v>卡卡杜个人护理店（抖店）</v>
      </c>
      <c r="H7219" s="1" t="str">
        <f t="shared" si="2103"/>
        <v>正常订单</v>
      </c>
      <c r="I7219" s="1" t="str">
        <f t="shared" si="2104"/>
        <v>已发货</v>
      </c>
      <c r="J7219" s="1" t="str">
        <f t="shared" si="2106"/>
        <v>3</v>
      </c>
      <c r="K7219" s="1">
        <v>2</v>
      </c>
      <c r="L7219" s="1" t="s">
        <v>74</v>
      </c>
      <c r="M7219" s="1" t="str">
        <f>"上海 上海市 浦东新区 唐镇"</f>
        <v>上海 上海市 浦东新区 唐镇</v>
      </c>
      <c r="N7219" s="1" t="str">
        <f t="shared" si="2098"/>
        <v>凡华云仓-韵达-抖音</v>
      </c>
      <c r="O7219" s="5">
        <v>320174176484073</v>
      </c>
      <c r="P7219" s="6">
        <v>0.35</v>
      </c>
      <c r="Q7219" s="11">
        <v>2.2999999999999998</v>
      </c>
      <c r="R7219" s="11"/>
      <c r="S7219" s="11"/>
      <c r="T7219" s="11"/>
      <c r="U7219" s="11">
        <f t="shared" si="2100"/>
        <v>2.2999999999999998</v>
      </c>
      <c r="W7219">
        <v>2.5</v>
      </c>
      <c r="X7219" s="1" t="s">
        <v>74</v>
      </c>
    </row>
    <row r="7220" spans="1:24" x14ac:dyDescent="0.25">
      <c r="A7220" s="1" t="str">
        <f t="shared" si="2101"/>
        <v>卡卡杜-凤凰仓</v>
      </c>
      <c r="B7220" s="1" t="str">
        <f>"CK2024101635"</f>
        <v>CK2024101635</v>
      </c>
      <c r="C7220" s="1" t="str">
        <f>"DD2024101610078"</f>
        <v>DD2024101610078</v>
      </c>
      <c r="D7220" s="1" t="str">
        <f>"CK202410168233"</f>
        <v>CK202410168233</v>
      </c>
      <c r="E7220" s="1" t="str">
        <f>"6935043025734342099"</f>
        <v>6935043025734342099</v>
      </c>
      <c r="F7220" s="1" t="str">
        <f t="shared" si="2102"/>
        <v>花都四部-凤凰仓</v>
      </c>
      <c r="G7220" s="1" t="str">
        <f t="shared" si="2097"/>
        <v>卡卡杜个人护理店（抖店）</v>
      </c>
      <c r="H7220" s="1" t="str">
        <f t="shared" si="2103"/>
        <v>正常订单</v>
      </c>
      <c r="I7220" s="1" t="str">
        <f t="shared" si="2104"/>
        <v>已发货</v>
      </c>
      <c r="J7220" s="1" t="str">
        <f t="shared" si="2106"/>
        <v>3</v>
      </c>
      <c r="K7220" s="1">
        <v>2</v>
      </c>
      <c r="L7220" s="1" t="s">
        <v>41</v>
      </c>
      <c r="M7220" s="1" t="str">
        <f>"湖北省 武汉市 洪山区 洪山街道"</f>
        <v>湖北省 武汉市 洪山区 洪山街道</v>
      </c>
      <c r="N7220" s="1" t="str">
        <f t="shared" si="2098"/>
        <v>凡华云仓-韵达-抖音</v>
      </c>
      <c r="O7220" s="5">
        <v>320174176483951</v>
      </c>
      <c r="P7220" s="6">
        <v>0.35</v>
      </c>
      <c r="Q7220" s="11">
        <v>2.2999999999999998</v>
      </c>
      <c r="R7220" s="11"/>
      <c r="S7220" s="11"/>
      <c r="T7220" s="11"/>
      <c r="U7220" s="11">
        <f t="shared" si="2100"/>
        <v>2.2999999999999998</v>
      </c>
      <c r="W7220">
        <v>2.5</v>
      </c>
      <c r="X7220" s="1" t="s">
        <v>41</v>
      </c>
    </row>
    <row r="7221" spans="1:24" x14ac:dyDescent="0.25">
      <c r="A7221" s="1" t="str">
        <f t="shared" si="2101"/>
        <v>卡卡杜-凤凰仓</v>
      </c>
      <c r="B7221" s="1" t="str">
        <f>"CK2024101634"</f>
        <v>CK2024101634</v>
      </c>
      <c r="C7221" s="1" t="str">
        <f>"DD2024101610076"</f>
        <v>DD2024101610076</v>
      </c>
      <c r="D7221" s="1" t="str">
        <f>"CK202410168232"</f>
        <v>CK202410168232</v>
      </c>
      <c r="E7221" s="1" t="str">
        <f>"6935056578102630150"</f>
        <v>6935056578102630150</v>
      </c>
      <c r="F7221" s="1" t="str">
        <f t="shared" si="2102"/>
        <v>花都四部-凤凰仓</v>
      </c>
      <c r="G7221" s="1" t="str">
        <f t="shared" si="2097"/>
        <v>卡卡杜个人护理店（抖店）</v>
      </c>
      <c r="H7221" s="1" t="str">
        <f t="shared" si="2103"/>
        <v>正常订单</v>
      </c>
      <c r="I7221" s="1" t="str">
        <f t="shared" si="2104"/>
        <v>已发货</v>
      </c>
      <c r="J7221" s="1" t="str">
        <f t="shared" si="2106"/>
        <v>3</v>
      </c>
      <c r="K7221" s="1">
        <v>2</v>
      </c>
      <c r="L7221" s="1" t="s">
        <v>161</v>
      </c>
      <c r="M7221" s="1" t="str">
        <f>"四川省 成都市 锦江区 成龙路街道"</f>
        <v>四川省 成都市 锦江区 成龙路街道</v>
      </c>
      <c r="N7221" s="1" t="str">
        <f t="shared" si="2098"/>
        <v>凡华云仓-韵达-抖音</v>
      </c>
      <c r="O7221" s="5">
        <v>320174176483846</v>
      </c>
      <c r="P7221" s="6">
        <v>0.35</v>
      </c>
      <c r="Q7221" s="11">
        <v>2.2999999999999998</v>
      </c>
      <c r="R7221" s="11"/>
      <c r="S7221" s="11"/>
      <c r="T7221" s="11"/>
      <c r="U7221" s="11">
        <f t="shared" si="2100"/>
        <v>2.2999999999999998</v>
      </c>
      <c r="W7221">
        <v>2.5</v>
      </c>
      <c r="X7221" s="1" t="s">
        <v>161</v>
      </c>
    </row>
    <row r="7222" spans="1:24" x14ac:dyDescent="0.25">
      <c r="A7222" s="1" t="str">
        <f t="shared" si="2101"/>
        <v>卡卡杜-凤凰仓</v>
      </c>
      <c r="B7222" s="1" t="str">
        <f>"CK2024101515711"</f>
        <v>CK2024101515711</v>
      </c>
      <c r="C7222" s="1" t="str">
        <f>"DD2024101557604"</f>
        <v>DD2024101557604</v>
      </c>
      <c r="D7222" s="1" t="str">
        <f>"CK2024101545229"</f>
        <v>CK2024101545229</v>
      </c>
      <c r="E7222" s="1" t="str">
        <f>"2428901614114701"</f>
        <v>2428901614114701</v>
      </c>
      <c r="F7222" s="1" t="str">
        <f t="shared" si="2102"/>
        <v>花都四部-凤凰仓</v>
      </c>
      <c r="G7222" s="1" t="str">
        <f t="shared" ref="G7222:G7224" si="2107">"卡卡杜佳旺专卖店（快手店）"</f>
        <v>卡卡杜佳旺专卖店（快手店）</v>
      </c>
      <c r="H7222" s="1" t="str">
        <f t="shared" si="2103"/>
        <v>正常订单</v>
      </c>
      <c r="I7222" s="1" t="str">
        <f t="shared" si="2104"/>
        <v>已发货</v>
      </c>
      <c r="J7222" s="1" t="str">
        <f t="shared" si="2106"/>
        <v>3</v>
      </c>
      <c r="K7222" s="1">
        <v>3</v>
      </c>
      <c r="L7222" s="1" t="s">
        <v>27</v>
      </c>
      <c r="M7222" s="1" t="str">
        <f>"贵州省 安顺市 平坝区 夏云镇"</f>
        <v>贵州省 安顺市 平坝区 夏云镇</v>
      </c>
      <c r="N7222" s="1" t="str">
        <f t="shared" ref="N7222:N7224" si="2108">"凡华云仓-韵达-快手"</f>
        <v>凡华云仓-韵达-快手</v>
      </c>
      <c r="O7222" s="5">
        <v>319207170231052</v>
      </c>
      <c r="P7222" s="6">
        <v>0.34</v>
      </c>
      <c r="Q7222" s="11">
        <v>2.2999999999999998</v>
      </c>
      <c r="R7222" s="11"/>
      <c r="S7222" s="11"/>
      <c r="T7222" s="11"/>
      <c r="U7222" s="11">
        <f t="shared" si="2100"/>
        <v>2.2999999999999998</v>
      </c>
      <c r="W7222">
        <v>2.5</v>
      </c>
      <c r="X7222" s="1" t="s">
        <v>27</v>
      </c>
    </row>
    <row r="7223" spans="1:24" x14ac:dyDescent="0.25">
      <c r="A7223" s="1" t="str">
        <f t="shared" si="2101"/>
        <v>卡卡杜-凤凰仓</v>
      </c>
      <c r="B7223" s="1" t="str">
        <f>"CK2024101515735"</f>
        <v>CK2024101515735</v>
      </c>
      <c r="C7223" s="1" t="str">
        <f>"DD2024101557631"</f>
        <v>DD2024101557631</v>
      </c>
      <c r="D7223" s="1" t="str">
        <f>"CK2024101545228"</f>
        <v>CK2024101545228</v>
      </c>
      <c r="E7223" s="1" t="str">
        <f>"2428901689937257"</f>
        <v>2428901689937257</v>
      </c>
      <c r="F7223" s="1" t="str">
        <f t="shared" si="2102"/>
        <v>花都四部-凤凰仓</v>
      </c>
      <c r="G7223" s="1" t="str">
        <f t="shared" si="2107"/>
        <v>卡卡杜佳旺专卖店（快手店）</v>
      </c>
      <c r="H7223" s="1" t="str">
        <f t="shared" si="2103"/>
        <v>正常订单</v>
      </c>
      <c r="I7223" s="1" t="str">
        <f t="shared" si="2104"/>
        <v>已发货</v>
      </c>
      <c r="J7223" s="1" t="str">
        <f t="shared" si="2106"/>
        <v>3</v>
      </c>
      <c r="K7223" s="1">
        <v>3</v>
      </c>
      <c r="L7223" s="1" t="s">
        <v>30</v>
      </c>
      <c r="M7223" s="1" t="str">
        <f>"山东省 临沂市 蒙阴县 蒙阴街道"</f>
        <v>山东省 临沂市 蒙阴县 蒙阴街道</v>
      </c>
      <c r="N7223" s="1" t="str">
        <f t="shared" si="2108"/>
        <v>凡华云仓-韵达-快手</v>
      </c>
      <c r="O7223" s="5">
        <v>319207259255648</v>
      </c>
      <c r="P7223" s="6">
        <v>0.34</v>
      </c>
      <c r="Q7223" s="11">
        <v>2.2999999999999998</v>
      </c>
      <c r="R7223" s="11"/>
      <c r="S7223" s="11"/>
      <c r="T7223" s="11"/>
      <c r="U7223" s="11">
        <f t="shared" si="2100"/>
        <v>2.2999999999999998</v>
      </c>
      <c r="W7223">
        <v>2.5</v>
      </c>
      <c r="X7223" s="1" t="s">
        <v>30</v>
      </c>
    </row>
    <row r="7224" spans="1:24" x14ac:dyDescent="0.25">
      <c r="A7224" s="1" t="str">
        <f t="shared" si="2101"/>
        <v>卡卡杜-凤凰仓</v>
      </c>
      <c r="B7224" s="1" t="str">
        <f>"CK2024101515721"</f>
        <v>CK2024101515721</v>
      </c>
      <c r="C7224" s="1" t="str">
        <f>"DD2024101557614"</f>
        <v>DD2024101557614</v>
      </c>
      <c r="D7224" s="1" t="str">
        <f>"CK2024101545227"</f>
        <v>CK2024101545227</v>
      </c>
      <c r="E7224" s="1" t="str">
        <f>"2428902009739114"</f>
        <v>2428902009739114</v>
      </c>
      <c r="F7224" s="1" t="str">
        <f t="shared" si="2102"/>
        <v>花都四部-凤凰仓</v>
      </c>
      <c r="G7224" s="1" t="str">
        <f t="shared" si="2107"/>
        <v>卡卡杜佳旺专卖店（快手店）</v>
      </c>
      <c r="H7224" s="1" t="str">
        <f t="shared" si="2103"/>
        <v>正常订单</v>
      </c>
      <c r="I7224" s="1" t="str">
        <f t="shared" si="2104"/>
        <v>已发货</v>
      </c>
      <c r="J7224" s="1" t="str">
        <f>"1"</f>
        <v>1</v>
      </c>
      <c r="K7224" s="1">
        <v>1</v>
      </c>
      <c r="L7224" s="1" t="s">
        <v>20</v>
      </c>
      <c r="M7224" s="1" t="str">
        <f>"浙江省 宁波市 江北区 孔浦街道"</f>
        <v>浙江省 宁波市 江北区 孔浦街道</v>
      </c>
      <c r="N7224" s="1" t="str">
        <f t="shared" si="2108"/>
        <v>凡华云仓-韵达-快手</v>
      </c>
      <c r="O7224" s="5">
        <v>319207612779272</v>
      </c>
      <c r="P7224" s="6">
        <v>0.12</v>
      </c>
      <c r="Q7224" s="11">
        <v>2</v>
      </c>
      <c r="R7224" s="11"/>
      <c r="S7224" s="11"/>
      <c r="T7224" s="11"/>
      <c r="U7224" s="11">
        <f t="shared" si="2100"/>
        <v>2</v>
      </c>
      <c r="W7224">
        <v>2.2000000000000002</v>
      </c>
      <c r="X7224" s="1" t="s">
        <v>20</v>
      </c>
    </row>
    <row r="7225" spans="1:24" x14ac:dyDescent="0.25">
      <c r="A7225" s="1" t="str">
        <f t="shared" si="2101"/>
        <v>卡卡杜-凤凰仓</v>
      </c>
      <c r="B7225" s="1" t="str">
        <f>"CK2024101515700"</f>
        <v>CK2024101515700</v>
      </c>
      <c r="C7225" s="1" t="str">
        <f>"DD2024101557595"</f>
        <v>DD2024101557595</v>
      </c>
      <c r="D7225" s="1" t="str">
        <f>"CK2024101545226"</f>
        <v>CK2024101545226</v>
      </c>
      <c r="E7225" s="1" t="str">
        <f>"KKD20241015YP008"</f>
        <v>KKD20241015YP008</v>
      </c>
      <c r="F7225" s="1" t="str">
        <f t="shared" si="2102"/>
        <v>花都四部-凤凰仓</v>
      </c>
      <c r="G7225" s="1" t="str">
        <f t="shared" ref="G7225:G7230" si="2109">"卡卡杜全欣样品"</f>
        <v>卡卡杜全欣样品</v>
      </c>
      <c r="H7225" s="1" t="str">
        <f t="shared" si="2103"/>
        <v>正常订单</v>
      </c>
      <c r="I7225" s="1" t="str">
        <f t="shared" si="2104"/>
        <v>已发货</v>
      </c>
      <c r="J7225" s="1" t="str">
        <f>"13"</f>
        <v>13</v>
      </c>
      <c r="K7225" s="1">
        <v>10</v>
      </c>
      <c r="L7225" s="1" t="s">
        <v>41</v>
      </c>
      <c r="M7225" s="1" t="str">
        <f>"湖北省 武汉市 江夏区 "</f>
        <v xml:space="preserve">湖北省 武汉市 江夏区 </v>
      </c>
      <c r="N7225" s="1" t="str">
        <f t="shared" ref="N7225:N7230" si="2110">"凡华云仓-韵达-淘宝"</f>
        <v>凡华云仓-韵达-淘宝</v>
      </c>
      <c r="O7225" s="3">
        <v>434191092300654</v>
      </c>
      <c r="P7225" s="6">
        <v>1.4</v>
      </c>
      <c r="Q7225" s="11">
        <f t="shared" ref="Q7225:Q7230" si="2111">CEILING(P7225-0.5,0.1)*10*0.15+2.3</f>
        <v>3.6499999999999995</v>
      </c>
      <c r="R7225" s="11">
        <f t="shared" ref="R7225:R7228" si="2112">(K7225-3)*0.1</f>
        <v>0.70000000000000007</v>
      </c>
      <c r="S7225" s="11">
        <v>0.15</v>
      </c>
      <c r="T7225" s="11"/>
      <c r="U7225" s="11">
        <f t="shared" si="2100"/>
        <v>4.5</v>
      </c>
      <c r="V7225" t="s">
        <v>15</v>
      </c>
      <c r="W7225">
        <v>4.5</v>
      </c>
      <c r="X7225" s="1" t="s">
        <v>41</v>
      </c>
    </row>
    <row r="7226" spans="1:24" x14ac:dyDescent="0.25">
      <c r="A7226" s="1" t="str">
        <f t="shared" si="2101"/>
        <v>卡卡杜-凤凰仓</v>
      </c>
      <c r="B7226" s="1" t="str">
        <f>"CK2024101515730"</f>
        <v>CK2024101515730</v>
      </c>
      <c r="C7226" s="1" t="str">
        <f>"DD2024101557624"</f>
        <v>DD2024101557624</v>
      </c>
      <c r="D7226" s="1" t="str">
        <f>"CK2024101545225"</f>
        <v>CK2024101545225</v>
      </c>
      <c r="E7226" s="1" t="str">
        <f>"KKD20241015YP005"</f>
        <v>KKD20241015YP005</v>
      </c>
      <c r="F7226" s="1" t="str">
        <f t="shared" si="2102"/>
        <v>花都四部-凤凰仓</v>
      </c>
      <c r="G7226" s="1" t="str">
        <f t="shared" si="2109"/>
        <v>卡卡杜全欣样品</v>
      </c>
      <c r="H7226" s="1" t="str">
        <f t="shared" si="2103"/>
        <v>正常订单</v>
      </c>
      <c r="I7226" s="1" t="str">
        <f t="shared" si="2104"/>
        <v>已发货</v>
      </c>
      <c r="J7226" s="1" t="str">
        <f>"10"</f>
        <v>10</v>
      </c>
      <c r="K7226" s="1">
        <v>7</v>
      </c>
      <c r="L7226" s="1" t="s">
        <v>74</v>
      </c>
      <c r="M7226" s="1" t="str">
        <f>"上海 上海市 徐汇区 "</f>
        <v xml:space="preserve">上海 上海市 徐汇区 </v>
      </c>
      <c r="N7226" s="1" t="str">
        <f t="shared" si="2110"/>
        <v>凡华云仓-韵达-淘宝</v>
      </c>
      <c r="O7226" s="3">
        <v>434191092300566</v>
      </c>
      <c r="P7226" s="6">
        <v>1.0900000000000001</v>
      </c>
      <c r="Q7226" s="11">
        <f t="shared" si="2111"/>
        <v>3.2</v>
      </c>
      <c r="R7226" s="11">
        <f t="shared" si="2112"/>
        <v>0.4</v>
      </c>
      <c r="S7226" s="11">
        <v>0.15</v>
      </c>
      <c r="T7226" s="11"/>
      <c r="U7226" s="11">
        <f t="shared" si="2100"/>
        <v>3.75</v>
      </c>
      <c r="V7226" t="s">
        <v>15</v>
      </c>
      <c r="W7226">
        <v>3.75</v>
      </c>
      <c r="X7226" s="1" t="s">
        <v>74</v>
      </c>
    </row>
    <row r="7227" spans="1:24" x14ac:dyDescent="0.25">
      <c r="A7227" s="1" t="str">
        <f t="shared" si="2101"/>
        <v>卡卡杜-凤凰仓</v>
      </c>
      <c r="B7227" s="1" t="str">
        <f>"CK2024101515731"</f>
        <v>CK2024101515731</v>
      </c>
      <c r="C7227" s="1" t="str">
        <f>"DD2024101557627"</f>
        <v>DD2024101557627</v>
      </c>
      <c r="D7227" s="1" t="str">
        <f>"CK2024101545224"</f>
        <v>CK2024101545224</v>
      </c>
      <c r="E7227" s="1" t="str">
        <f>"KKD20241015YP006"</f>
        <v>KKD20241015YP006</v>
      </c>
      <c r="F7227" s="1" t="str">
        <f t="shared" si="2102"/>
        <v>花都四部-凤凰仓</v>
      </c>
      <c r="G7227" s="1" t="str">
        <f t="shared" si="2109"/>
        <v>卡卡杜全欣样品</v>
      </c>
      <c r="H7227" s="1" t="str">
        <f t="shared" si="2103"/>
        <v>正常订单</v>
      </c>
      <c r="I7227" s="1" t="str">
        <f t="shared" si="2104"/>
        <v>已发货</v>
      </c>
      <c r="J7227" s="1" t="str">
        <f>"15"</f>
        <v>15</v>
      </c>
      <c r="K7227" s="1">
        <v>10</v>
      </c>
      <c r="L7227" s="1" t="s">
        <v>105</v>
      </c>
      <c r="M7227" s="1" t="str">
        <f>"北京 北京市 海淀区 "</f>
        <v xml:space="preserve">北京 北京市 海淀区 </v>
      </c>
      <c r="N7227" s="1" t="str">
        <f t="shared" si="2110"/>
        <v>凡华云仓-韵达-淘宝</v>
      </c>
      <c r="O7227" s="3">
        <v>434191092300478</v>
      </c>
      <c r="P7227" s="6">
        <v>1.62</v>
      </c>
      <c r="Q7227" s="11">
        <f t="shared" si="2111"/>
        <v>4.0999999999999996</v>
      </c>
      <c r="R7227" s="11">
        <f t="shared" si="2112"/>
        <v>0.70000000000000007</v>
      </c>
      <c r="S7227" s="11">
        <v>0.15</v>
      </c>
      <c r="T7227" s="11"/>
      <c r="U7227" s="11">
        <f t="shared" si="2100"/>
        <v>4.9499999999999993</v>
      </c>
      <c r="V7227" t="s">
        <v>15</v>
      </c>
      <c r="W7227">
        <v>4.95</v>
      </c>
      <c r="X7227" s="1" t="s">
        <v>105</v>
      </c>
    </row>
    <row r="7228" spans="1:24" x14ac:dyDescent="0.25">
      <c r="A7228" s="1" t="str">
        <f t="shared" si="2101"/>
        <v>卡卡杜-凤凰仓</v>
      </c>
      <c r="B7228" s="1" t="str">
        <f>"CK2024101515724"</f>
        <v>CK2024101515724</v>
      </c>
      <c r="C7228" s="1" t="str">
        <f>"DD2024101557619"</f>
        <v>DD2024101557619</v>
      </c>
      <c r="D7228" s="1" t="str">
        <f>"CK2024101545222"</f>
        <v>CK2024101545222</v>
      </c>
      <c r="E7228" s="1" t="str">
        <f>"KKD20241015YP003"</f>
        <v>KKD20241015YP003</v>
      </c>
      <c r="F7228" s="1" t="str">
        <f t="shared" si="2102"/>
        <v>花都四部-凤凰仓</v>
      </c>
      <c r="G7228" s="1" t="str">
        <f t="shared" si="2109"/>
        <v>卡卡杜全欣样品</v>
      </c>
      <c r="H7228" s="1" t="str">
        <f t="shared" si="2103"/>
        <v>正常订单</v>
      </c>
      <c r="I7228" s="1" t="str">
        <f t="shared" si="2104"/>
        <v>已发货</v>
      </c>
      <c r="J7228" s="1" t="str">
        <f>"10"</f>
        <v>10</v>
      </c>
      <c r="K7228" s="1">
        <v>7</v>
      </c>
      <c r="L7228" s="1" t="s">
        <v>16</v>
      </c>
      <c r="M7228" s="1" t="str">
        <f>"河北省 石家庄市 正定县 "</f>
        <v xml:space="preserve">河北省 石家庄市 正定县 </v>
      </c>
      <c r="N7228" s="1" t="str">
        <f t="shared" si="2110"/>
        <v>凡华云仓-韵达-淘宝</v>
      </c>
      <c r="O7228" s="3">
        <v>434191092300202</v>
      </c>
      <c r="P7228" s="6">
        <v>1.0900000000000001</v>
      </c>
      <c r="Q7228" s="11">
        <f t="shared" si="2111"/>
        <v>3.2</v>
      </c>
      <c r="R7228" s="11">
        <f t="shared" si="2112"/>
        <v>0.4</v>
      </c>
      <c r="S7228" s="11">
        <v>0.15</v>
      </c>
      <c r="T7228" s="11"/>
      <c r="U7228" s="11">
        <f t="shared" si="2100"/>
        <v>3.75</v>
      </c>
      <c r="V7228" t="s">
        <v>15</v>
      </c>
      <c r="W7228">
        <v>3.75</v>
      </c>
      <c r="X7228" s="1" t="s">
        <v>16</v>
      </c>
    </row>
    <row r="7229" spans="1:24" x14ac:dyDescent="0.25">
      <c r="A7229" s="1" t="str">
        <f t="shared" si="2101"/>
        <v>卡卡杜-凤凰仓</v>
      </c>
      <c r="B7229" s="1" t="str">
        <f>"CK2024101515727"</f>
        <v>CK2024101515727</v>
      </c>
      <c r="C7229" s="1" t="str">
        <f>"DD2024101557620"</f>
        <v>DD2024101557620</v>
      </c>
      <c r="D7229" s="1" t="str">
        <f>"CK2024101545221"</f>
        <v>CK2024101545221</v>
      </c>
      <c r="E7229" s="1" t="str">
        <f>"KKD20241015YP002"</f>
        <v>KKD20241015YP002</v>
      </c>
      <c r="F7229" s="1" t="str">
        <f t="shared" si="2102"/>
        <v>花都四部-凤凰仓</v>
      </c>
      <c r="G7229" s="1" t="str">
        <f t="shared" si="2109"/>
        <v>卡卡杜全欣样品</v>
      </c>
      <c r="H7229" s="1" t="str">
        <f t="shared" si="2103"/>
        <v>正常订单</v>
      </c>
      <c r="I7229" s="1" t="str">
        <f t="shared" si="2104"/>
        <v>已发货</v>
      </c>
      <c r="J7229" s="1" t="str">
        <f>"8"</f>
        <v>8</v>
      </c>
      <c r="K7229" s="1">
        <v>3</v>
      </c>
      <c r="L7229" s="1" t="s">
        <v>30</v>
      </c>
      <c r="M7229" s="1" t="str">
        <f>"山东省 济南市 历城区 "</f>
        <v xml:space="preserve">山东省 济南市 历城区 </v>
      </c>
      <c r="N7229" s="1" t="str">
        <f t="shared" si="2110"/>
        <v>凡华云仓-韵达-淘宝</v>
      </c>
      <c r="O7229" s="3">
        <v>434191092300114</v>
      </c>
      <c r="P7229" s="6">
        <v>1.06</v>
      </c>
      <c r="Q7229" s="11">
        <f t="shared" si="2111"/>
        <v>3.2</v>
      </c>
      <c r="R7229" s="11"/>
      <c r="S7229" s="11">
        <v>0.15</v>
      </c>
      <c r="T7229" s="11"/>
      <c r="U7229" s="11">
        <f t="shared" si="2100"/>
        <v>3.35</v>
      </c>
      <c r="V7229" t="s">
        <v>15</v>
      </c>
      <c r="W7229">
        <v>3.35</v>
      </c>
      <c r="X7229" s="1" t="s">
        <v>30</v>
      </c>
    </row>
    <row r="7230" spans="1:24" x14ac:dyDescent="0.25">
      <c r="A7230" s="1" t="str">
        <f t="shared" si="2101"/>
        <v>卡卡杜-凤凰仓</v>
      </c>
      <c r="B7230" s="1" t="str">
        <f>"CK2024101515728"</f>
        <v>CK2024101515728</v>
      </c>
      <c r="C7230" s="1" t="str">
        <f>"DD2024101557621"</f>
        <v>DD2024101557621</v>
      </c>
      <c r="D7230" s="1" t="str">
        <f>"CK2024101545220"</f>
        <v>CK2024101545220</v>
      </c>
      <c r="E7230" s="1" t="str">
        <f>"KKD20241015YP004"</f>
        <v>KKD20241015YP004</v>
      </c>
      <c r="F7230" s="1" t="str">
        <f t="shared" si="2102"/>
        <v>花都四部-凤凰仓</v>
      </c>
      <c r="G7230" s="1" t="str">
        <f t="shared" si="2109"/>
        <v>卡卡杜全欣样品</v>
      </c>
      <c r="H7230" s="1" t="str">
        <f t="shared" si="2103"/>
        <v>正常订单</v>
      </c>
      <c r="I7230" s="1" t="str">
        <f t="shared" si="2104"/>
        <v>已发货</v>
      </c>
      <c r="J7230" s="1" t="str">
        <f>"10"</f>
        <v>10</v>
      </c>
      <c r="K7230" s="1">
        <v>7</v>
      </c>
      <c r="L7230" s="1" t="s">
        <v>13</v>
      </c>
      <c r="M7230" s="1" t="str">
        <f>"江苏省 苏州市 常熟市 "</f>
        <v xml:space="preserve">江苏省 苏州市 常熟市 </v>
      </c>
      <c r="N7230" s="1" t="str">
        <f t="shared" si="2110"/>
        <v>凡华云仓-韵达-淘宝</v>
      </c>
      <c r="O7230" s="3">
        <v>434191092300026</v>
      </c>
      <c r="P7230" s="6">
        <v>1.0900000000000001</v>
      </c>
      <c r="Q7230" s="11">
        <f t="shared" si="2111"/>
        <v>3.2</v>
      </c>
      <c r="R7230" s="11">
        <f>(K7230-3)*0.1</f>
        <v>0.4</v>
      </c>
      <c r="S7230" s="11">
        <v>0.15</v>
      </c>
      <c r="T7230" s="11"/>
      <c r="U7230" s="11">
        <f t="shared" si="2100"/>
        <v>3.75</v>
      </c>
      <c r="V7230" t="s">
        <v>15</v>
      </c>
      <c r="W7230">
        <v>3.75</v>
      </c>
      <c r="X7230" s="1" t="s">
        <v>13</v>
      </c>
    </row>
    <row r="7231" spans="1:24" x14ac:dyDescent="0.25">
      <c r="A7231" s="1" t="str">
        <f t="shared" si="2101"/>
        <v>卡卡杜-凤凰仓</v>
      </c>
      <c r="B7231" s="1" t="str">
        <f>"CK2024101515737"</f>
        <v>CK2024101515737</v>
      </c>
      <c r="C7231" s="1" t="str">
        <f>"DD2024101557628"</f>
        <v>DD2024101557628</v>
      </c>
      <c r="D7231" s="1" t="str">
        <f>"CK2024101545218"</f>
        <v>CK2024101545218</v>
      </c>
      <c r="E7231" s="1" t="str">
        <f>"3723326359242412032"</f>
        <v>3723326359242412032</v>
      </c>
      <c r="F7231" s="1" t="str">
        <f t="shared" si="2102"/>
        <v>花都四部-凤凰仓</v>
      </c>
      <c r="G7231" s="1" t="str">
        <f>"卡卡杜企业店（视频号）"</f>
        <v>卡卡杜企业店（视频号）</v>
      </c>
      <c r="H7231" s="1" t="str">
        <f t="shared" si="2103"/>
        <v>正常订单</v>
      </c>
      <c r="I7231" s="1" t="str">
        <f t="shared" si="2104"/>
        <v>已发货</v>
      </c>
      <c r="J7231" s="1" t="str">
        <f t="shared" ref="J7231:J7238" si="2113">"3"</f>
        <v>3</v>
      </c>
      <c r="K7231" s="1">
        <v>3</v>
      </c>
      <c r="L7231" s="1" t="s">
        <v>94</v>
      </c>
      <c r="M7231" s="1" t="str">
        <f>"湖南省 长沙市 岳麓区 "</f>
        <v xml:space="preserve">湖南省 长沙市 岳麓区 </v>
      </c>
      <c r="N7231" s="1" t="str">
        <f>"凡华云仓-韵达-微信视频号"</f>
        <v>凡华云仓-韵达-微信视频号</v>
      </c>
      <c r="O7231" s="5">
        <v>315013073668099</v>
      </c>
      <c r="P7231" s="6">
        <v>0.34</v>
      </c>
      <c r="Q7231" s="11">
        <v>2.2999999999999998</v>
      </c>
      <c r="R7231" s="11"/>
      <c r="S7231" s="11"/>
      <c r="T7231" s="11"/>
      <c r="U7231" s="11">
        <f t="shared" si="2100"/>
        <v>2.2999999999999998</v>
      </c>
      <c r="W7231">
        <v>2.5</v>
      </c>
      <c r="X7231" s="1" t="s">
        <v>94</v>
      </c>
    </row>
    <row r="7232" spans="1:24" x14ac:dyDescent="0.25">
      <c r="A7232" s="1" t="str">
        <f t="shared" si="2101"/>
        <v>卡卡杜-凤凰仓</v>
      </c>
      <c r="B7232" s="1" t="str">
        <f>"CK2024101515810"</f>
        <v>CK2024101515810</v>
      </c>
      <c r="C7232" s="1" t="str">
        <f>"DD2024101557710"</f>
        <v>DD2024101557710</v>
      </c>
      <c r="D7232" s="1" t="str">
        <f>"CK2024101545217"</f>
        <v>CK2024101545217</v>
      </c>
      <c r="E7232" s="1" t="str">
        <f>"3723322646763017216"</f>
        <v>3723322646763017216</v>
      </c>
      <c r="F7232" s="1" t="str">
        <f t="shared" si="2102"/>
        <v>花都四部-凤凰仓</v>
      </c>
      <c r="G7232" s="1" t="str">
        <f>"卡卡杜企业店（视频号）"</f>
        <v>卡卡杜企业店（视频号）</v>
      </c>
      <c r="H7232" s="1" t="str">
        <f t="shared" si="2103"/>
        <v>正常订单</v>
      </c>
      <c r="I7232" s="1" t="str">
        <f t="shared" si="2104"/>
        <v>已发货</v>
      </c>
      <c r="J7232" s="1" t="str">
        <f t="shared" si="2113"/>
        <v>3</v>
      </c>
      <c r="K7232" s="1">
        <v>3</v>
      </c>
      <c r="L7232" s="1" t="s">
        <v>16</v>
      </c>
      <c r="M7232" s="1" t="str">
        <f>"河北省 唐山市 路北区 "</f>
        <v xml:space="preserve">河北省 唐山市 路北区 </v>
      </c>
      <c r="N7232" s="1" t="str">
        <f>"凡华云仓-韵达-微信视频号"</f>
        <v>凡华云仓-韵达-微信视频号</v>
      </c>
      <c r="O7232" s="5">
        <v>315013073666659</v>
      </c>
      <c r="P7232" s="6">
        <v>0.34</v>
      </c>
      <c r="Q7232" s="11">
        <v>2.2999999999999998</v>
      </c>
      <c r="R7232" s="11"/>
      <c r="S7232" s="11"/>
      <c r="T7232" s="11"/>
      <c r="U7232" s="11">
        <f t="shared" si="2100"/>
        <v>2.2999999999999998</v>
      </c>
      <c r="W7232">
        <v>2.5</v>
      </c>
      <c r="X7232" s="1" t="s">
        <v>16</v>
      </c>
    </row>
    <row r="7233" spans="1:24" x14ac:dyDescent="0.25">
      <c r="A7233" s="1" t="str">
        <f t="shared" si="2101"/>
        <v>卡卡杜-凤凰仓</v>
      </c>
      <c r="B7233" s="1" t="str">
        <f>"CK2024101515726"</f>
        <v>CK2024101515726</v>
      </c>
      <c r="C7233" s="1" t="str">
        <f>"DD2024101557617"</f>
        <v>DD2024101557617</v>
      </c>
      <c r="D7233" s="1" t="str">
        <f>"CK2024101545216"</f>
        <v>CK2024101545216</v>
      </c>
      <c r="E7233" s="1" t="str">
        <f>"6935034473675036169"</f>
        <v>6935034473675036169</v>
      </c>
      <c r="F7233" s="1" t="str">
        <f t="shared" si="2102"/>
        <v>花都四部-凤凰仓</v>
      </c>
      <c r="G7233" s="1" t="str">
        <f t="shared" ref="G7233:G7284" si="2114">"卡卡杜个人护理店（抖店）"</f>
        <v>卡卡杜个人护理店（抖店）</v>
      </c>
      <c r="H7233" s="1" t="str">
        <f t="shared" si="2103"/>
        <v>正常订单</v>
      </c>
      <c r="I7233" s="1" t="str">
        <f t="shared" si="2104"/>
        <v>已发货</v>
      </c>
      <c r="J7233" s="1" t="str">
        <f t="shared" si="2113"/>
        <v>3</v>
      </c>
      <c r="K7233" s="1">
        <v>2</v>
      </c>
      <c r="L7233" s="1" t="s">
        <v>20</v>
      </c>
      <c r="M7233" s="1" t="str">
        <f>"浙江省 金华市 兰溪市 兰江街道"</f>
        <v>浙江省 金华市 兰溪市 兰江街道</v>
      </c>
      <c r="N7233" s="1" t="str">
        <f t="shared" ref="N7233:N7284" si="2115">"凡华云仓-韵达-抖音"</f>
        <v>凡华云仓-韵达-抖音</v>
      </c>
      <c r="O7233" s="5">
        <v>320173238207787</v>
      </c>
      <c r="P7233" s="6">
        <v>0.35</v>
      </c>
      <c r="Q7233" s="11">
        <v>2.2999999999999998</v>
      </c>
      <c r="R7233" s="11"/>
      <c r="S7233" s="11"/>
      <c r="T7233" s="11"/>
      <c r="U7233" s="11">
        <f t="shared" si="2100"/>
        <v>2.2999999999999998</v>
      </c>
      <c r="W7233">
        <v>2.5</v>
      </c>
      <c r="X7233" s="1" t="s">
        <v>20</v>
      </c>
    </row>
    <row r="7234" spans="1:24" x14ac:dyDescent="0.25">
      <c r="A7234" s="1" t="str">
        <f t="shared" si="2101"/>
        <v>卡卡杜-凤凰仓</v>
      </c>
      <c r="B7234" s="1" t="str">
        <f>"CK2024101515732"</f>
        <v>CK2024101515732</v>
      </c>
      <c r="C7234" s="1" t="str">
        <f>"DD2024101557623"</f>
        <v>DD2024101557623</v>
      </c>
      <c r="D7234" s="1" t="str">
        <f>"CK2024101545215"</f>
        <v>CK2024101545215</v>
      </c>
      <c r="E7234" s="1" t="str">
        <f>"6935034337027626806"</f>
        <v>6935034337027626806</v>
      </c>
      <c r="F7234" s="1" t="str">
        <f t="shared" si="2102"/>
        <v>花都四部-凤凰仓</v>
      </c>
      <c r="G7234" s="1" t="str">
        <f t="shared" si="2114"/>
        <v>卡卡杜个人护理店（抖店）</v>
      </c>
      <c r="H7234" s="1" t="str">
        <f t="shared" si="2103"/>
        <v>正常订单</v>
      </c>
      <c r="I7234" s="1" t="str">
        <f t="shared" si="2104"/>
        <v>已发货</v>
      </c>
      <c r="J7234" s="1" t="str">
        <f t="shared" si="2113"/>
        <v>3</v>
      </c>
      <c r="K7234" s="1">
        <v>2</v>
      </c>
      <c r="L7234" s="1" t="s">
        <v>20</v>
      </c>
      <c r="M7234" s="1" t="str">
        <f>"浙江省 丽水市 云和县 浮云街道"</f>
        <v>浙江省 丽水市 云和县 浮云街道</v>
      </c>
      <c r="N7234" s="1" t="str">
        <f t="shared" si="2115"/>
        <v>凡华云仓-韵达-抖音</v>
      </c>
      <c r="O7234" s="5">
        <v>320173238207686</v>
      </c>
      <c r="P7234" s="6">
        <v>0.35</v>
      </c>
      <c r="Q7234" s="11">
        <v>2.2999999999999998</v>
      </c>
      <c r="R7234" s="11"/>
      <c r="S7234" s="11"/>
      <c r="T7234" s="11"/>
      <c r="U7234" s="11">
        <f t="shared" si="2100"/>
        <v>2.2999999999999998</v>
      </c>
      <c r="W7234">
        <v>2.5</v>
      </c>
      <c r="X7234" s="1" t="s">
        <v>20</v>
      </c>
    </row>
    <row r="7235" spans="1:24" x14ac:dyDescent="0.25">
      <c r="A7235" s="1" t="str">
        <f t="shared" si="2101"/>
        <v>卡卡杜-凤凰仓</v>
      </c>
      <c r="B7235" s="1" t="str">
        <f>"CK2024101515729"</f>
        <v>CK2024101515729</v>
      </c>
      <c r="C7235" s="1" t="str">
        <f>"DD2024101557622"</f>
        <v>DD2024101557622</v>
      </c>
      <c r="D7235" s="1" t="str">
        <f>"CK2024101545214"</f>
        <v>CK2024101545214</v>
      </c>
      <c r="E7235" s="1" t="str">
        <f>"6935051913982383328"</f>
        <v>6935051913982383328</v>
      </c>
      <c r="F7235" s="1" t="str">
        <f t="shared" si="2102"/>
        <v>花都四部-凤凰仓</v>
      </c>
      <c r="G7235" s="1" t="str">
        <f t="shared" si="2114"/>
        <v>卡卡杜个人护理店（抖店）</v>
      </c>
      <c r="H7235" s="1" t="str">
        <f t="shared" si="2103"/>
        <v>正常订单</v>
      </c>
      <c r="I7235" s="1" t="str">
        <f t="shared" si="2104"/>
        <v>已发货</v>
      </c>
      <c r="J7235" s="1" t="str">
        <f t="shared" si="2113"/>
        <v>3</v>
      </c>
      <c r="K7235" s="1">
        <v>2</v>
      </c>
      <c r="L7235" s="1" t="s">
        <v>44</v>
      </c>
      <c r="M7235" s="1" t="str">
        <f>"海南省 海口市 秀英区 西秀镇"</f>
        <v>海南省 海口市 秀英区 西秀镇</v>
      </c>
      <c r="N7235" s="1" t="str">
        <f t="shared" si="2115"/>
        <v>凡华云仓-韵达-抖音</v>
      </c>
      <c r="O7235" s="5">
        <v>320173241189996</v>
      </c>
      <c r="P7235" s="6">
        <v>0.35</v>
      </c>
      <c r="Q7235" s="11">
        <v>2.2999999999999998</v>
      </c>
      <c r="R7235" s="11"/>
      <c r="S7235" s="11"/>
      <c r="T7235" s="11"/>
      <c r="U7235" s="11">
        <f t="shared" ref="U7235:U7298" si="2116">T7235+S7235+R7235+Q7235</f>
        <v>2.2999999999999998</v>
      </c>
      <c r="W7235">
        <v>2.5</v>
      </c>
      <c r="X7235" s="1" t="s">
        <v>44</v>
      </c>
    </row>
    <row r="7236" spans="1:24" x14ac:dyDescent="0.25">
      <c r="A7236" s="1" t="str">
        <f t="shared" si="2101"/>
        <v>卡卡杜-凤凰仓</v>
      </c>
      <c r="B7236" s="1" t="str">
        <f>"CK2024101515733"</f>
        <v>CK2024101515733</v>
      </c>
      <c r="C7236" s="1" t="str">
        <f>"DD2024101557625"</f>
        <v>DD2024101557625</v>
      </c>
      <c r="D7236" s="1" t="str">
        <f>"CK2024101545213"</f>
        <v>CK2024101545213</v>
      </c>
      <c r="E7236" s="1" t="str">
        <f>"6935029782579647513"</f>
        <v>6935029782579647513</v>
      </c>
      <c r="F7236" s="1" t="str">
        <f t="shared" si="2102"/>
        <v>花都四部-凤凰仓</v>
      </c>
      <c r="G7236" s="1" t="str">
        <f t="shared" si="2114"/>
        <v>卡卡杜个人护理店（抖店）</v>
      </c>
      <c r="H7236" s="1" t="str">
        <f t="shared" si="2103"/>
        <v>正常订单</v>
      </c>
      <c r="I7236" s="1" t="str">
        <f t="shared" si="2104"/>
        <v>已发货</v>
      </c>
      <c r="J7236" s="1" t="str">
        <f t="shared" si="2113"/>
        <v>3</v>
      </c>
      <c r="K7236" s="1">
        <v>2</v>
      </c>
      <c r="L7236" s="1" t="s">
        <v>66</v>
      </c>
      <c r="M7236" s="1" t="str">
        <f>"内蒙古自治区 呼和浩特市 武川县 可可以力更镇"</f>
        <v>内蒙古自治区 呼和浩特市 武川县 可可以力更镇</v>
      </c>
      <c r="N7236" s="1" t="str">
        <f t="shared" si="2115"/>
        <v>凡华云仓-韵达-抖音</v>
      </c>
      <c r="O7236" s="5">
        <v>320173241189891</v>
      </c>
      <c r="P7236" s="6">
        <v>0.35</v>
      </c>
      <c r="Q7236" s="11">
        <v>2.2999999999999998</v>
      </c>
      <c r="R7236" s="11"/>
      <c r="S7236" s="11"/>
      <c r="T7236" s="11"/>
      <c r="U7236" s="11">
        <f t="shared" si="2116"/>
        <v>2.2999999999999998</v>
      </c>
      <c r="W7236">
        <v>2.5</v>
      </c>
      <c r="X7236" s="1" t="s">
        <v>66</v>
      </c>
    </row>
    <row r="7237" spans="1:24" x14ac:dyDescent="0.25">
      <c r="A7237" s="1" t="str">
        <f t="shared" ref="A7237:A7300" si="2117">"卡卡杜-凤凰仓"</f>
        <v>卡卡杜-凤凰仓</v>
      </c>
      <c r="B7237" s="1" t="str">
        <f>"CK2024101515736"</f>
        <v>CK2024101515736</v>
      </c>
      <c r="C7237" s="1" t="str">
        <f>"DD2024101557629"</f>
        <v>DD2024101557629</v>
      </c>
      <c r="D7237" s="1" t="str">
        <f>"CK2024101545212"</f>
        <v>CK2024101545212</v>
      </c>
      <c r="E7237" s="1" t="str">
        <f>"6935027829153141921"</f>
        <v>6935027829153141921</v>
      </c>
      <c r="F7237" s="1" t="str">
        <f t="shared" ref="F7237:F7300" si="2118">"花都四部-凤凰仓"</f>
        <v>花都四部-凤凰仓</v>
      </c>
      <c r="G7237" s="1" t="str">
        <f t="shared" si="2114"/>
        <v>卡卡杜个人护理店（抖店）</v>
      </c>
      <c r="H7237" s="1" t="str">
        <f t="shared" ref="H7237:H7300" si="2119">"正常订单"</f>
        <v>正常订单</v>
      </c>
      <c r="I7237" s="1" t="str">
        <f t="shared" ref="I7237:I7300" si="2120">"已发货"</f>
        <v>已发货</v>
      </c>
      <c r="J7237" s="1" t="str">
        <f t="shared" si="2113"/>
        <v>3</v>
      </c>
      <c r="K7237" s="1">
        <v>2</v>
      </c>
      <c r="L7237" s="1" t="s">
        <v>24</v>
      </c>
      <c r="M7237" s="1" t="str">
        <f>"福建省 三明市 梅列区 徐碧街道"</f>
        <v>福建省 三明市 梅列区 徐碧街道</v>
      </c>
      <c r="N7237" s="1" t="str">
        <f t="shared" si="2115"/>
        <v>凡华云仓-韵达-抖音</v>
      </c>
      <c r="O7237" s="5">
        <v>320173241189788</v>
      </c>
      <c r="P7237" s="6">
        <v>0.35</v>
      </c>
      <c r="Q7237" s="11">
        <v>2.2999999999999998</v>
      </c>
      <c r="R7237" s="11"/>
      <c r="S7237" s="11"/>
      <c r="T7237" s="11"/>
      <c r="U7237" s="11">
        <f t="shared" si="2116"/>
        <v>2.2999999999999998</v>
      </c>
      <c r="W7237">
        <v>2.5</v>
      </c>
      <c r="X7237" s="1" t="s">
        <v>24</v>
      </c>
    </row>
    <row r="7238" spans="1:24" x14ac:dyDescent="0.25">
      <c r="A7238" s="1" t="str">
        <f t="shared" si="2117"/>
        <v>卡卡杜-凤凰仓</v>
      </c>
      <c r="B7238" s="1" t="str">
        <f>"CK2024101515744"</f>
        <v>CK2024101515744</v>
      </c>
      <c r="C7238" s="1" t="str">
        <f>"DD2024101557634"</f>
        <v>DD2024101557634</v>
      </c>
      <c r="D7238" s="1" t="str">
        <f>"CK2024101545211"</f>
        <v>CK2024101545211</v>
      </c>
      <c r="E7238" s="1" t="str">
        <f>"6935025507844036541"</f>
        <v>6935025507844036541</v>
      </c>
      <c r="F7238" s="1" t="str">
        <f t="shared" si="2118"/>
        <v>花都四部-凤凰仓</v>
      </c>
      <c r="G7238" s="1" t="str">
        <f t="shared" si="2114"/>
        <v>卡卡杜个人护理店（抖店）</v>
      </c>
      <c r="H7238" s="1" t="str">
        <f t="shared" si="2119"/>
        <v>正常订单</v>
      </c>
      <c r="I7238" s="1" t="str">
        <f t="shared" si="2120"/>
        <v>已发货</v>
      </c>
      <c r="J7238" s="1" t="str">
        <f t="shared" si="2113"/>
        <v>3</v>
      </c>
      <c r="K7238" s="1">
        <v>2</v>
      </c>
      <c r="L7238" s="1" t="s">
        <v>44</v>
      </c>
      <c r="M7238" s="1" t="str">
        <f>"海南省 海口市 琼山区 凤翔街道"</f>
        <v>海南省 海口市 琼山区 凤翔街道</v>
      </c>
      <c r="N7238" s="1" t="str">
        <f t="shared" si="2115"/>
        <v>凡华云仓-韵达-抖音</v>
      </c>
      <c r="O7238" s="5">
        <v>320173241189687</v>
      </c>
      <c r="P7238" s="6">
        <v>0.35</v>
      </c>
      <c r="Q7238" s="11">
        <v>2.2999999999999998</v>
      </c>
      <c r="R7238" s="11"/>
      <c r="S7238" s="11"/>
      <c r="T7238" s="11"/>
      <c r="U7238" s="11">
        <f t="shared" si="2116"/>
        <v>2.2999999999999998</v>
      </c>
      <c r="W7238">
        <v>2.5</v>
      </c>
      <c r="X7238" s="1" t="s">
        <v>44</v>
      </c>
    </row>
    <row r="7239" spans="1:24" x14ac:dyDescent="0.25">
      <c r="A7239" s="1" t="str">
        <f t="shared" si="2117"/>
        <v>卡卡杜-凤凰仓</v>
      </c>
      <c r="B7239" s="1" t="str">
        <f>"CK2024101515743"</f>
        <v>CK2024101515743</v>
      </c>
      <c r="C7239" s="1" t="str">
        <f>"DD2024101557638"</f>
        <v>DD2024101557638</v>
      </c>
      <c r="D7239" s="1" t="str">
        <f>"CK2024101545210"</f>
        <v>CK2024101545210</v>
      </c>
      <c r="E7239" s="1" t="str">
        <f>"6935053993185449494"</f>
        <v>6935053993185449494</v>
      </c>
      <c r="F7239" s="1" t="str">
        <f t="shared" si="2118"/>
        <v>花都四部-凤凰仓</v>
      </c>
      <c r="G7239" s="1" t="str">
        <f t="shared" si="2114"/>
        <v>卡卡杜个人护理店（抖店）</v>
      </c>
      <c r="H7239" s="1" t="str">
        <f t="shared" si="2119"/>
        <v>正常订单</v>
      </c>
      <c r="I7239" s="1" t="str">
        <f t="shared" si="2120"/>
        <v>已发货</v>
      </c>
      <c r="J7239" s="1" t="str">
        <f>"5"</f>
        <v>5</v>
      </c>
      <c r="K7239" s="1">
        <v>2</v>
      </c>
      <c r="L7239" s="1" t="s">
        <v>13</v>
      </c>
      <c r="M7239" s="1" t="str">
        <f>"江苏省 泰州市 兴化市 临城街道"</f>
        <v>江苏省 泰州市 兴化市 临城街道</v>
      </c>
      <c r="N7239" s="1" t="str">
        <f t="shared" si="2115"/>
        <v>凡华云仓-韵达-抖音</v>
      </c>
      <c r="O7239" s="5">
        <v>320173241189588</v>
      </c>
      <c r="P7239" s="6">
        <v>0.59</v>
      </c>
      <c r="Q7239" s="11">
        <f>CEILING(P7239-0.5,0.1)*10*0.15+2.3</f>
        <v>2.4499999999999997</v>
      </c>
      <c r="R7239" s="11"/>
      <c r="S7239" s="11"/>
      <c r="T7239" s="11"/>
      <c r="U7239" s="11">
        <f t="shared" si="2116"/>
        <v>2.4499999999999997</v>
      </c>
      <c r="V7239" t="s">
        <v>15</v>
      </c>
      <c r="W7239">
        <v>2.4500000000000002</v>
      </c>
      <c r="X7239" s="1" t="s">
        <v>13</v>
      </c>
    </row>
    <row r="7240" spans="1:24" x14ac:dyDescent="0.25">
      <c r="A7240" s="1" t="str">
        <f t="shared" si="2117"/>
        <v>卡卡杜-凤凰仓</v>
      </c>
      <c r="B7240" s="1" t="str">
        <f>"CK2024101515742"</f>
        <v>CK2024101515742</v>
      </c>
      <c r="C7240" s="1" t="str">
        <f>"DD2024101557635"</f>
        <v>DD2024101557635</v>
      </c>
      <c r="D7240" s="1" t="str">
        <f>"CK2024101545209"</f>
        <v>CK2024101545209</v>
      </c>
      <c r="E7240" s="1" t="str">
        <f>"6935036592872952841"</f>
        <v>6935036592872952841</v>
      </c>
      <c r="F7240" s="1" t="str">
        <f t="shared" si="2118"/>
        <v>花都四部-凤凰仓</v>
      </c>
      <c r="G7240" s="1" t="str">
        <f t="shared" si="2114"/>
        <v>卡卡杜个人护理店（抖店）</v>
      </c>
      <c r="H7240" s="1" t="str">
        <f t="shared" si="2119"/>
        <v>正常订单</v>
      </c>
      <c r="I7240" s="1" t="str">
        <f t="shared" si="2120"/>
        <v>已发货</v>
      </c>
      <c r="J7240" s="1" t="str">
        <f t="shared" ref="J7240:J7243" si="2121">"3"</f>
        <v>3</v>
      </c>
      <c r="K7240" s="1">
        <v>2</v>
      </c>
      <c r="L7240" s="1" t="s">
        <v>74</v>
      </c>
      <c r="M7240" s="1" t="str">
        <f>"上海 上海市 宝山区 月浦镇"</f>
        <v>上海 上海市 宝山区 月浦镇</v>
      </c>
      <c r="N7240" s="1" t="str">
        <f t="shared" si="2115"/>
        <v>凡华云仓-韵达-抖音</v>
      </c>
      <c r="O7240" s="5">
        <v>320173241189491</v>
      </c>
      <c r="P7240" s="6">
        <v>0.35</v>
      </c>
      <c r="Q7240" s="11">
        <v>2.2999999999999998</v>
      </c>
      <c r="R7240" s="11"/>
      <c r="S7240" s="11"/>
      <c r="T7240" s="11"/>
      <c r="U7240" s="11">
        <f t="shared" si="2116"/>
        <v>2.2999999999999998</v>
      </c>
      <c r="W7240">
        <v>2.5</v>
      </c>
      <c r="X7240" s="1" t="s">
        <v>74</v>
      </c>
    </row>
    <row r="7241" spans="1:24" x14ac:dyDescent="0.25">
      <c r="A7241" s="1" t="str">
        <f t="shared" si="2117"/>
        <v>卡卡杜-凤凰仓</v>
      </c>
      <c r="B7241" s="1" t="str">
        <f>"CK2024101515741"</f>
        <v>CK2024101515741</v>
      </c>
      <c r="C7241" s="1" t="str">
        <f>"DD2024101557636"</f>
        <v>DD2024101557636</v>
      </c>
      <c r="D7241" s="1" t="str">
        <f>"CK2024101545208"</f>
        <v>CK2024101545208</v>
      </c>
      <c r="E7241" s="1" t="str">
        <f>"6935049454656493182"</f>
        <v>6935049454656493182</v>
      </c>
      <c r="F7241" s="1" t="str">
        <f t="shared" si="2118"/>
        <v>花都四部-凤凰仓</v>
      </c>
      <c r="G7241" s="1" t="str">
        <f t="shared" si="2114"/>
        <v>卡卡杜个人护理店（抖店）</v>
      </c>
      <c r="H7241" s="1" t="str">
        <f t="shared" si="2119"/>
        <v>正常订单</v>
      </c>
      <c r="I7241" s="1" t="str">
        <f t="shared" si="2120"/>
        <v>已发货</v>
      </c>
      <c r="J7241" s="1" t="str">
        <f t="shared" si="2121"/>
        <v>3</v>
      </c>
      <c r="K7241" s="1">
        <v>2</v>
      </c>
      <c r="L7241" s="1" t="s">
        <v>20</v>
      </c>
      <c r="M7241" s="1" t="str">
        <f>"浙江省 衢州市 开化县 华埠镇"</f>
        <v>浙江省 衢州市 开化县 华埠镇</v>
      </c>
      <c r="N7241" s="1" t="str">
        <f t="shared" si="2115"/>
        <v>凡华云仓-韵达-抖音</v>
      </c>
      <c r="O7241" s="5">
        <v>320173241189396</v>
      </c>
      <c r="P7241" s="6">
        <v>0.35</v>
      </c>
      <c r="Q7241" s="11">
        <v>2.2999999999999998</v>
      </c>
      <c r="R7241" s="11"/>
      <c r="S7241" s="11"/>
      <c r="T7241" s="11"/>
      <c r="U7241" s="11">
        <f t="shared" si="2116"/>
        <v>2.2999999999999998</v>
      </c>
      <c r="W7241">
        <v>2.5</v>
      </c>
      <c r="X7241" s="1" t="s">
        <v>20</v>
      </c>
    </row>
    <row r="7242" spans="1:24" x14ac:dyDescent="0.25">
      <c r="A7242" s="1" t="str">
        <f t="shared" si="2117"/>
        <v>卡卡杜-凤凰仓</v>
      </c>
      <c r="B7242" s="1" t="str">
        <f>"CK2024101515740"</f>
        <v>CK2024101515740</v>
      </c>
      <c r="C7242" s="1" t="str">
        <f>"DD2024101557632"</f>
        <v>DD2024101557632</v>
      </c>
      <c r="D7242" s="1" t="str">
        <f>"CK2024101545207"</f>
        <v>CK2024101545207</v>
      </c>
      <c r="E7242" s="1" t="str">
        <f>"6935044758658029067"</f>
        <v>6935044758658029067</v>
      </c>
      <c r="F7242" s="1" t="str">
        <f t="shared" si="2118"/>
        <v>花都四部-凤凰仓</v>
      </c>
      <c r="G7242" s="1" t="str">
        <f t="shared" si="2114"/>
        <v>卡卡杜个人护理店（抖店）</v>
      </c>
      <c r="H7242" s="1" t="str">
        <f t="shared" si="2119"/>
        <v>正常订单</v>
      </c>
      <c r="I7242" s="1" t="str">
        <f t="shared" si="2120"/>
        <v>已发货</v>
      </c>
      <c r="J7242" s="1" t="str">
        <f t="shared" si="2121"/>
        <v>3</v>
      </c>
      <c r="K7242" s="1">
        <v>2</v>
      </c>
      <c r="L7242" s="1" t="s">
        <v>80</v>
      </c>
      <c r="M7242" s="1" t="str">
        <f>"河南省 洛阳市 汝阳县 城关镇"</f>
        <v>河南省 洛阳市 汝阳县 城关镇</v>
      </c>
      <c r="N7242" s="1" t="str">
        <f t="shared" si="2115"/>
        <v>凡华云仓-韵达-抖音</v>
      </c>
      <c r="O7242" s="5">
        <v>320173241189203</v>
      </c>
      <c r="P7242" s="6">
        <v>0.35</v>
      </c>
      <c r="Q7242" s="11">
        <v>2.2999999999999998</v>
      </c>
      <c r="R7242" s="11"/>
      <c r="S7242" s="11"/>
      <c r="T7242" s="11"/>
      <c r="U7242" s="11">
        <f t="shared" si="2116"/>
        <v>2.2999999999999998</v>
      </c>
      <c r="W7242">
        <v>2.5</v>
      </c>
      <c r="X7242" s="1" t="s">
        <v>80</v>
      </c>
    </row>
    <row r="7243" spans="1:24" x14ac:dyDescent="0.25">
      <c r="A7243" s="1" t="str">
        <f t="shared" si="2117"/>
        <v>卡卡杜-凤凰仓</v>
      </c>
      <c r="B7243" s="1" t="str">
        <f>"CK2024101515739"</f>
        <v>CK2024101515739</v>
      </c>
      <c r="C7243" s="1" t="str">
        <f>"DD2024101557630"</f>
        <v>DD2024101557630</v>
      </c>
      <c r="D7243" s="1" t="str">
        <f>"CK2024101545206"</f>
        <v>CK2024101545206</v>
      </c>
      <c r="E7243" s="1" t="str">
        <f>"6935051750563583503"</f>
        <v>6935051750563583503</v>
      </c>
      <c r="F7243" s="1" t="str">
        <f t="shared" si="2118"/>
        <v>花都四部-凤凰仓</v>
      </c>
      <c r="G7243" s="1" t="str">
        <f t="shared" si="2114"/>
        <v>卡卡杜个人护理店（抖店）</v>
      </c>
      <c r="H7243" s="1" t="str">
        <f t="shared" si="2119"/>
        <v>正常订单</v>
      </c>
      <c r="I7243" s="1" t="str">
        <f t="shared" si="2120"/>
        <v>已发货</v>
      </c>
      <c r="J7243" s="1" t="str">
        <f t="shared" si="2121"/>
        <v>3</v>
      </c>
      <c r="K7243" s="1">
        <v>2</v>
      </c>
      <c r="L7243" s="1" t="s">
        <v>18</v>
      </c>
      <c r="M7243" s="1" t="str">
        <f>"广东省 惠州市 惠阳区 淡水街道"</f>
        <v>广东省 惠州市 惠阳区 淡水街道</v>
      </c>
      <c r="N7243" s="1" t="str">
        <f t="shared" si="2115"/>
        <v>凡华云仓-韵达-抖音</v>
      </c>
      <c r="O7243" s="5">
        <v>320173241189112</v>
      </c>
      <c r="P7243" s="6">
        <v>0.35</v>
      </c>
      <c r="Q7243" s="11">
        <v>2.2999999999999998</v>
      </c>
      <c r="R7243" s="11"/>
      <c r="S7243" s="11"/>
      <c r="T7243" s="11"/>
      <c r="U7243" s="11">
        <f t="shared" si="2116"/>
        <v>2.2999999999999998</v>
      </c>
      <c r="W7243">
        <v>2.5</v>
      </c>
      <c r="X7243" s="1" t="s">
        <v>18</v>
      </c>
    </row>
    <row r="7244" spans="1:24" x14ac:dyDescent="0.25">
      <c r="A7244" s="1" t="str">
        <f t="shared" si="2117"/>
        <v>卡卡杜-凤凰仓</v>
      </c>
      <c r="B7244" s="1" t="str">
        <f>"CK2024101515738"</f>
        <v>CK2024101515738</v>
      </c>
      <c r="C7244" s="1" t="str">
        <f>"DD2024101557633"</f>
        <v>DD2024101557633</v>
      </c>
      <c r="D7244" s="1" t="str">
        <f>"CK2024101545205"</f>
        <v>CK2024101545205</v>
      </c>
      <c r="E7244" s="1" t="str">
        <f>"6935042708523652107"</f>
        <v>6935042708523652107</v>
      </c>
      <c r="F7244" s="1" t="str">
        <f t="shared" si="2118"/>
        <v>花都四部-凤凰仓</v>
      </c>
      <c r="G7244" s="1" t="str">
        <f t="shared" si="2114"/>
        <v>卡卡杜个人护理店（抖店）</v>
      </c>
      <c r="H7244" s="1" t="str">
        <f t="shared" si="2119"/>
        <v>正常订单</v>
      </c>
      <c r="I7244" s="1" t="str">
        <f t="shared" si="2120"/>
        <v>已发货</v>
      </c>
      <c r="J7244" s="1" t="str">
        <f>"5"</f>
        <v>5</v>
      </c>
      <c r="K7244" s="1">
        <v>2</v>
      </c>
      <c r="L7244" s="1" t="s">
        <v>13</v>
      </c>
      <c r="M7244" s="1" t="str">
        <f>"江苏省 徐州市 新沂市 新安街道"</f>
        <v>江苏省 徐州市 新沂市 新安街道</v>
      </c>
      <c r="N7244" s="1" t="str">
        <f t="shared" si="2115"/>
        <v>凡华云仓-韵达-抖音</v>
      </c>
      <c r="O7244" s="5">
        <v>320173241189023</v>
      </c>
      <c r="P7244" s="6">
        <v>0.59</v>
      </c>
      <c r="Q7244" s="11">
        <f>CEILING(P7244-0.5,0.1)*10*0.15+2.3</f>
        <v>2.4499999999999997</v>
      </c>
      <c r="R7244" s="11"/>
      <c r="S7244" s="11"/>
      <c r="T7244" s="11"/>
      <c r="U7244" s="11">
        <f t="shared" si="2116"/>
        <v>2.4499999999999997</v>
      </c>
      <c r="V7244" t="s">
        <v>15</v>
      </c>
      <c r="W7244">
        <v>2.4500000000000002</v>
      </c>
      <c r="X7244" s="1" t="s">
        <v>13</v>
      </c>
    </row>
    <row r="7245" spans="1:24" x14ac:dyDescent="0.25">
      <c r="A7245" s="1" t="str">
        <f t="shared" si="2117"/>
        <v>卡卡杜-凤凰仓</v>
      </c>
      <c r="B7245" s="1" t="str">
        <f>"CK2024101515725"</f>
        <v>CK2024101515725</v>
      </c>
      <c r="C7245" s="1" t="str">
        <f>"DD2024101557616"</f>
        <v>DD2024101557616</v>
      </c>
      <c r="D7245" s="1" t="str">
        <f>"CK2024101545204"</f>
        <v>CK2024101545204</v>
      </c>
      <c r="E7245" s="1" t="str">
        <f>"6935036609322292922"</f>
        <v>6935036609322292922</v>
      </c>
      <c r="F7245" s="1" t="str">
        <f t="shared" si="2118"/>
        <v>花都四部-凤凰仓</v>
      </c>
      <c r="G7245" s="1" t="str">
        <f t="shared" si="2114"/>
        <v>卡卡杜个人护理店（抖店）</v>
      </c>
      <c r="H7245" s="1" t="str">
        <f t="shared" si="2119"/>
        <v>正常订单</v>
      </c>
      <c r="I7245" s="1" t="str">
        <f t="shared" si="2120"/>
        <v>已发货</v>
      </c>
      <c r="J7245" s="1" t="str">
        <f t="shared" ref="J7245:J7266" si="2122">"3"</f>
        <v>3</v>
      </c>
      <c r="K7245" s="1">
        <v>2</v>
      </c>
      <c r="L7245" s="1" t="s">
        <v>24</v>
      </c>
      <c r="M7245" s="1" t="str">
        <f>"福建省 福州市 福清市 石竹街道"</f>
        <v>福建省 福州市 福清市 石竹街道</v>
      </c>
      <c r="N7245" s="1" t="str">
        <f t="shared" si="2115"/>
        <v>凡华云仓-韵达-抖音</v>
      </c>
      <c r="O7245" s="5">
        <v>320173230767568</v>
      </c>
      <c r="P7245" s="6">
        <v>0.35</v>
      </c>
      <c r="Q7245" s="11">
        <v>2.2999999999999998</v>
      </c>
      <c r="R7245" s="11"/>
      <c r="S7245" s="11"/>
      <c r="T7245" s="11"/>
      <c r="U7245" s="11">
        <f t="shared" si="2116"/>
        <v>2.2999999999999998</v>
      </c>
      <c r="W7245">
        <v>2.5</v>
      </c>
      <c r="X7245" s="1" t="s">
        <v>24</v>
      </c>
    </row>
    <row r="7246" spans="1:24" x14ac:dyDescent="0.25">
      <c r="A7246" s="1" t="str">
        <f t="shared" si="2117"/>
        <v>卡卡杜-凤凰仓</v>
      </c>
      <c r="B7246" s="1" t="str">
        <f>"CK2024101515734"</f>
        <v>CK2024101515734</v>
      </c>
      <c r="C7246" s="1" t="str">
        <f>"DD2024101557626"</f>
        <v>DD2024101557626</v>
      </c>
      <c r="D7246" s="1" t="str">
        <f>"CK2024101545203"</f>
        <v>CK2024101545203</v>
      </c>
      <c r="E7246" s="1" t="str">
        <f>"6935040596960810640"</f>
        <v>6935040596960810640</v>
      </c>
      <c r="F7246" s="1" t="str">
        <f t="shared" si="2118"/>
        <v>花都四部-凤凰仓</v>
      </c>
      <c r="G7246" s="1" t="str">
        <f t="shared" si="2114"/>
        <v>卡卡杜个人护理店（抖店）</v>
      </c>
      <c r="H7246" s="1" t="str">
        <f t="shared" si="2119"/>
        <v>正常订单</v>
      </c>
      <c r="I7246" s="1" t="str">
        <f t="shared" si="2120"/>
        <v>已发货</v>
      </c>
      <c r="J7246" s="1" t="str">
        <f t="shared" si="2122"/>
        <v>3</v>
      </c>
      <c r="K7246" s="1">
        <v>2</v>
      </c>
      <c r="L7246" s="1" t="s">
        <v>18</v>
      </c>
      <c r="M7246" s="1" t="str">
        <f>"广东省 广州市 从化区 街口街道"</f>
        <v>广东省 广州市 从化区 街口街道</v>
      </c>
      <c r="N7246" s="1" t="str">
        <f t="shared" si="2115"/>
        <v>凡华云仓-韵达-抖音</v>
      </c>
      <c r="O7246" s="5">
        <v>320173230767471</v>
      </c>
      <c r="P7246" s="6">
        <v>0.35</v>
      </c>
      <c r="Q7246" s="11">
        <v>2.2999999999999998</v>
      </c>
      <c r="R7246" s="11"/>
      <c r="S7246" s="11"/>
      <c r="T7246" s="11"/>
      <c r="U7246" s="11">
        <f t="shared" si="2116"/>
        <v>2.2999999999999998</v>
      </c>
      <c r="W7246">
        <v>2.5</v>
      </c>
      <c r="X7246" s="1" t="s">
        <v>18</v>
      </c>
    </row>
    <row r="7247" spans="1:24" x14ac:dyDescent="0.25">
      <c r="A7247" s="1" t="str">
        <f t="shared" si="2117"/>
        <v>卡卡杜-凤凰仓</v>
      </c>
      <c r="B7247" s="1" t="str">
        <f>"CK2024101515723"</f>
        <v>CK2024101515723</v>
      </c>
      <c r="C7247" s="1" t="str">
        <f>"DD2024101557615"</f>
        <v>DD2024101557615</v>
      </c>
      <c r="D7247" s="1" t="str">
        <f>"CK2024101545202"</f>
        <v>CK2024101545202</v>
      </c>
      <c r="E7247" s="1" t="str">
        <f>"6935034210484295648"</f>
        <v>6935034210484295648</v>
      </c>
      <c r="F7247" s="1" t="str">
        <f t="shared" si="2118"/>
        <v>花都四部-凤凰仓</v>
      </c>
      <c r="G7247" s="1" t="str">
        <f t="shared" si="2114"/>
        <v>卡卡杜个人护理店（抖店）</v>
      </c>
      <c r="H7247" s="1" t="str">
        <f t="shared" si="2119"/>
        <v>正常订单</v>
      </c>
      <c r="I7247" s="1" t="str">
        <f t="shared" si="2120"/>
        <v>已发货</v>
      </c>
      <c r="J7247" s="1" t="str">
        <f t="shared" si="2122"/>
        <v>3</v>
      </c>
      <c r="K7247" s="1">
        <v>2</v>
      </c>
      <c r="L7247" s="1" t="s">
        <v>20</v>
      </c>
      <c r="M7247" s="1" t="str">
        <f>"浙江省 金华市 永康市 东城街道"</f>
        <v>浙江省 金华市 永康市 东城街道</v>
      </c>
      <c r="N7247" s="1" t="str">
        <f t="shared" si="2115"/>
        <v>凡华云仓-韵达-抖音</v>
      </c>
      <c r="O7247" s="5">
        <v>320173230767376</v>
      </c>
      <c r="P7247" s="6">
        <v>0.35</v>
      </c>
      <c r="Q7247" s="11">
        <v>2.2999999999999998</v>
      </c>
      <c r="R7247" s="11"/>
      <c r="S7247" s="11"/>
      <c r="T7247" s="11"/>
      <c r="U7247" s="11">
        <f t="shared" si="2116"/>
        <v>2.2999999999999998</v>
      </c>
      <c r="W7247">
        <v>2.5</v>
      </c>
      <c r="X7247" s="1" t="s">
        <v>20</v>
      </c>
    </row>
    <row r="7248" spans="1:24" x14ac:dyDescent="0.25">
      <c r="A7248" s="1" t="str">
        <f t="shared" si="2117"/>
        <v>卡卡杜-凤凰仓</v>
      </c>
      <c r="B7248" s="1" t="str">
        <f>"CK2024101515722"</f>
        <v>CK2024101515722</v>
      </c>
      <c r="C7248" s="1" t="str">
        <f>"DD2024101557618"</f>
        <v>DD2024101557618</v>
      </c>
      <c r="D7248" s="1" t="str">
        <f>"CK2024101545201"</f>
        <v>CK2024101545201</v>
      </c>
      <c r="E7248" s="1" t="str">
        <f>"6935034229778945706"</f>
        <v>6935034229778945706</v>
      </c>
      <c r="F7248" s="1" t="str">
        <f t="shared" si="2118"/>
        <v>花都四部-凤凰仓</v>
      </c>
      <c r="G7248" s="1" t="str">
        <f t="shared" si="2114"/>
        <v>卡卡杜个人护理店（抖店）</v>
      </c>
      <c r="H7248" s="1" t="str">
        <f t="shared" si="2119"/>
        <v>正常订单</v>
      </c>
      <c r="I7248" s="1" t="str">
        <f t="shared" si="2120"/>
        <v>已发货</v>
      </c>
      <c r="J7248" s="1" t="str">
        <f t="shared" si="2122"/>
        <v>3</v>
      </c>
      <c r="K7248" s="1">
        <v>2</v>
      </c>
      <c r="L7248" s="1" t="s">
        <v>20</v>
      </c>
      <c r="M7248" s="1" t="str">
        <f>"浙江省 杭州市 余杭区 良渚街道"</f>
        <v>浙江省 杭州市 余杭区 良渚街道</v>
      </c>
      <c r="N7248" s="1" t="str">
        <f t="shared" si="2115"/>
        <v>凡华云仓-韵达-抖音</v>
      </c>
      <c r="O7248" s="5">
        <v>320173230767283</v>
      </c>
      <c r="P7248" s="6">
        <v>0.35</v>
      </c>
      <c r="Q7248" s="11">
        <v>2.2999999999999998</v>
      </c>
      <c r="R7248" s="11"/>
      <c r="S7248" s="11"/>
      <c r="T7248" s="11"/>
      <c r="U7248" s="11">
        <f t="shared" si="2116"/>
        <v>2.2999999999999998</v>
      </c>
      <c r="W7248">
        <v>2.5</v>
      </c>
      <c r="X7248" s="1" t="s">
        <v>20</v>
      </c>
    </row>
    <row r="7249" spans="1:24" x14ac:dyDescent="0.25">
      <c r="A7249" s="1" t="str">
        <f t="shared" si="2117"/>
        <v>卡卡杜-凤凰仓</v>
      </c>
      <c r="B7249" s="1" t="str">
        <f>"CK2024101515708"</f>
        <v>CK2024101515708</v>
      </c>
      <c r="C7249" s="1" t="str">
        <f>"DD2024101557602"</f>
        <v>DD2024101557602</v>
      </c>
      <c r="D7249" s="1" t="str">
        <f>"CK2024101545200"</f>
        <v>CK2024101545200</v>
      </c>
      <c r="E7249" s="1" t="str">
        <f>"6935031716417705138"</f>
        <v>6935031716417705138</v>
      </c>
      <c r="F7249" s="1" t="str">
        <f t="shared" si="2118"/>
        <v>花都四部-凤凰仓</v>
      </c>
      <c r="G7249" s="1" t="str">
        <f t="shared" si="2114"/>
        <v>卡卡杜个人护理店（抖店）</v>
      </c>
      <c r="H7249" s="1" t="str">
        <f t="shared" si="2119"/>
        <v>正常订单</v>
      </c>
      <c r="I7249" s="1" t="str">
        <f t="shared" si="2120"/>
        <v>已发货</v>
      </c>
      <c r="J7249" s="1" t="str">
        <f t="shared" si="2122"/>
        <v>3</v>
      </c>
      <c r="K7249" s="1">
        <v>2</v>
      </c>
      <c r="L7249" s="1" t="s">
        <v>20</v>
      </c>
      <c r="M7249" s="1" t="str">
        <f>"浙江省 金华市 永康市 西城街道"</f>
        <v>浙江省 金华市 永康市 西城街道</v>
      </c>
      <c r="N7249" s="1" t="str">
        <f t="shared" si="2115"/>
        <v>凡华云仓-韵达-抖音</v>
      </c>
      <c r="O7249" s="5">
        <v>320173230767192</v>
      </c>
      <c r="P7249" s="6">
        <v>0.35</v>
      </c>
      <c r="Q7249" s="11">
        <v>2.2999999999999998</v>
      </c>
      <c r="R7249" s="11"/>
      <c r="S7249" s="11"/>
      <c r="T7249" s="11"/>
      <c r="U7249" s="11">
        <f t="shared" si="2116"/>
        <v>2.2999999999999998</v>
      </c>
      <c r="W7249">
        <v>2.5</v>
      </c>
      <c r="X7249" s="1" t="s">
        <v>20</v>
      </c>
    </row>
    <row r="7250" spans="1:24" x14ac:dyDescent="0.25">
      <c r="A7250" s="1" t="str">
        <f t="shared" si="2117"/>
        <v>卡卡杜-凤凰仓</v>
      </c>
      <c r="B7250" s="1" t="str">
        <f>"CK2024101515707"</f>
        <v>CK2024101515707</v>
      </c>
      <c r="C7250" s="1" t="str">
        <f>"DD2024101557600"</f>
        <v>DD2024101557600</v>
      </c>
      <c r="D7250" s="1" t="str">
        <f>"CK2024101545199"</f>
        <v>CK2024101545199</v>
      </c>
      <c r="E7250" s="1" t="str">
        <f>"6935038655119889768"</f>
        <v>6935038655119889768</v>
      </c>
      <c r="F7250" s="1" t="str">
        <f t="shared" si="2118"/>
        <v>花都四部-凤凰仓</v>
      </c>
      <c r="G7250" s="1" t="str">
        <f t="shared" si="2114"/>
        <v>卡卡杜个人护理店（抖店）</v>
      </c>
      <c r="H7250" s="1" t="str">
        <f t="shared" si="2119"/>
        <v>正常订单</v>
      </c>
      <c r="I7250" s="1" t="str">
        <f t="shared" si="2120"/>
        <v>已发货</v>
      </c>
      <c r="J7250" s="1" t="str">
        <f t="shared" si="2122"/>
        <v>3</v>
      </c>
      <c r="K7250" s="1">
        <v>2</v>
      </c>
      <c r="L7250" s="1" t="s">
        <v>24</v>
      </c>
      <c r="M7250" s="1" t="str">
        <f>"福建省 泉州市 安溪县 湖头镇"</f>
        <v>福建省 泉州市 安溪县 湖头镇</v>
      </c>
      <c r="N7250" s="1" t="str">
        <f t="shared" si="2115"/>
        <v>凡华云仓-韵达-抖音</v>
      </c>
      <c r="O7250" s="5">
        <v>320173230767003</v>
      </c>
      <c r="P7250" s="6">
        <v>0.35</v>
      </c>
      <c r="Q7250" s="11">
        <v>2.2999999999999998</v>
      </c>
      <c r="R7250" s="11"/>
      <c r="S7250" s="11"/>
      <c r="T7250" s="11"/>
      <c r="U7250" s="11">
        <f t="shared" si="2116"/>
        <v>2.2999999999999998</v>
      </c>
      <c r="W7250">
        <v>2.5</v>
      </c>
      <c r="X7250" s="1" t="s">
        <v>24</v>
      </c>
    </row>
    <row r="7251" spans="1:24" x14ac:dyDescent="0.25">
      <c r="A7251" s="1" t="str">
        <f t="shared" si="2117"/>
        <v>卡卡杜-凤凰仓</v>
      </c>
      <c r="B7251" s="1" t="str">
        <f>"CK2024101515706"</f>
        <v>CK2024101515706</v>
      </c>
      <c r="C7251" s="1" t="str">
        <f>"DD2024101557598"</f>
        <v>DD2024101557598</v>
      </c>
      <c r="D7251" s="1" t="str">
        <f>"CK2024101545198"</f>
        <v>CK2024101545198</v>
      </c>
      <c r="E7251" s="1" t="str">
        <f>"6935049488490305240"</f>
        <v>6935049488490305240</v>
      </c>
      <c r="F7251" s="1" t="str">
        <f t="shared" si="2118"/>
        <v>花都四部-凤凰仓</v>
      </c>
      <c r="G7251" s="1" t="str">
        <f t="shared" si="2114"/>
        <v>卡卡杜个人护理店（抖店）</v>
      </c>
      <c r="H7251" s="1" t="str">
        <f t="shared" si="2119"/>
        <v>正常订单</v>
      </c>
      <c r="I7251" s="1" t="str">
        <f t="shared" si="2120"/>
        <v>已发货</v>
      </c>
      <c r="J7251" s="1" t="str">
        <f t="shared" si="2122"/>
        <v>3</v>
      </c>
      <c r="K7251" s="1">
        <v>2</v>
      </c>
      <c r="L7251" s="1" t="s">
        <v>13</v>
      </c>
      <c r="M7251" s="1" t="str">
        <f>"江苏省 淮安市 盱眙县 盱城街道"</f>
        <v>江苏省 淮安市 盱眙县 盱城街道</v>
      </c>
      <c r="N7251" s="1" t="str">
        <f t="shared" si="2115"/>
        <v>凡华云仓-韵达-抖音</v>
      </c>
      <c r="O7251" s="5">
        <v>320173230766975</v>
      </c>
      <c r="P7251" s="6">
        <v>0.35</v>
      </c>
      <c r="Q7251" s="11">
        <v>2.2999999999999998</v>
      </c>
      <c r="R7251" s="11"/>
      <c r="S7251" s="11"/>
      <c r="T7251" s="11"/>
      <c r="U7251" s="11">
        <f t="shared" si="2116"/>
        <v>2.2999999999999998</v>
      </c>
      <c r="W7251">
        <v>2.5</v>
      </c>
      <c r="X7251" s="1" t="s">
        <v>13</v>
      </c>
    </row>
    <row r="7252" spans="1:24" x14ac:dyDescent="0.25">
      <c r="A7252" s="1" t="str">
        <f t="shared" si="2117"/>
        <v>卡卡杜-凤凰仓</v>
      </c>
      <c r="B7252" s="1" t="str">
        <f>"CK2024101515704"</f>
        <v>CK2024101515704</v>
      </c>
      <c r="C7252" s="1" t="str">
        <f>"DD2024101557592"</f>
        <v>DD2024101557592</v>
      </c>
      <c r="D7252" s="1" t="str">
        <f>"CK2024101545197"</f>
        <v>CK2024101545197</v>
      </c>
      <c r="E7252" s="1" t="str">
        <f>"6935027729847949190"</f>
        <v>6935027729847949190</v>
      </c>
      <c r="F7252" s="1" t="str">
        <f t="shared" si="2118"/>
        <v>花都四部-凤凰仓</v>
      </c>
      <c r="G7252" s="1" t="str">
        <f t="shared" si="2114"/>
        <v>卡卡杜个人护理店（抖店）</v>
      </c>
      <c r="H7252" s="1" t="str">
        <f t="shared" si="2119"/>
        <v>正常订单</v>
      </c>
      <c r="I7252" s="1" t="str">
        <f t="shared" si="2120"/>
        <v>已发货</v>
      </c>
      <c r="J7252" s="1" t="str">
        <f t="shared" si="2122"/>
        <v>3</v>
      </c>
      <c r="K7252" s="1">
        <v>2</v>
      </c>
      <c r="L7252" s="1" t="s">
        <v>20</v>
      </c>
      <c r="M7252" s="1" t="str">
        <f>"浙江省 杭州市 桐庐县 城南街道"</f>
        <v>浙江省 杭州市 桐庐县 城南街道</v>
      </c>
      <c r="N7252" s="1" t="str">
        <f t="shared" si="2115"/>
        <v>凡华云仓-韵达-抖音</v>
      </c>
      <c r="O7252" s="5">
        <v>320173230766870</v>
      </c>
      <c r="P7252" s="6">
        <v>0.35</v>
      </c>
      <c r="Q7252" s="11">
        <v>2.2999999999999998</v>
      </c>
      <c r="R7252" s="11"/>
      <c r="S7252" s="11"/>
      <c r="T7252" s="11"/>
      <c r="U7252" s="11">
        <f t="shared" si="2116"/>
        <v>2.2999999999999998</v>
      </c>
      <c r="W7252">
        <v>2.5</v>
      </c>
      <c r="X7252" s="1" t="s">
        <v>20</v>
      </c>
    </row>
    <row r="7253" spans="1:24" x14ac:dyDescent="0.25">
      <c r="A7253" s="1" t="str">
        <f t="shared" si="2117"/>
        <v>卡卡杜-凤凰仓</v>
      </c>
      <c r="B7253" s="1" t="str">
        <f>"CK2024101515699"</f>
        <v>CK2024101515699</v>
      </c>
      <c r="C7253" s="1" t="str">
        <f>"DD2024101557593"</f>
        <v>DD2024101557593</v>
      </c>
      <c r="D7253" s="1" t="str">
        <f>"CK2024101545196"</f>
        <v>CK2024101545196</v>
      </c>
      <c r="E7253" s="1" t="str">
        <f>"6935051614499313587"</f>
        <v>6935051614499313587</v>
      </c>
      <c r="F7253" s="1" t="str">
        <f t="shared" si="2118"/>
        <v>花都四部-凤凰仓</v>
      </c>
      <c r="G7253" s="1" t="str">
        <f t="shared" si="2114"/>
        <v>卡卡杜个人护理店（抖店）</v>
      </c>
      <c r="H7253" s="1" t="str">
        <f t="shared" si="2119"/>
        <v>正常订单</v>
      </c>
      <c r="I7253" s="1" t="str">
        <f t="shared" si="2120"/>
        <v>已发货</v>
      </c>
      <c r="J7253" s="1" t="str">
        <f t="shared" si="2122"/>
        <v>3</v>
      </c>
      <c r="K7253" s="1">
        <v>2</v>
      </c>
      <c r="L7253" s="1" t="s">
        <v>96</v>
      </c>
      <c r="M7253" s="1" t="str">
        <f>"广西壮族自治区 贵港市 桂平市 木乐镇"</f>
        <v>广西壮族自治区 贵港市 桂平市 木乐镇</v>
      </c>
      <c r="N7253" s="1" t="str">
        <f t="shared" si="2115"/>
        <v>凡华云仓-韵达-抖音</v>
      </c>
      <c r="O7253" s="5">
        <v>320173230766767</v>
      </c>
      <c r="P7253" s="6">
        <v>0.35</v>
      </c>
      <c r="Q7253" s="11">
        <v>2.2999999999999998</v>
      </c>
      <c r="R7253" s="11"/>
      <c r="S7253" s="11"/>
      <c r="T7253" s="11"/>
      <c r="U7253" s="11">
        <f t="shared" si="2116"/>
        <v>2.2999999999999998</v>
      </c>
      <c r="W7253">
        <v>2.5</v>
      </c>
      <c r="X7253" s="1" t="s">
        <v>96</v>
      </c>
    </row>
    <row r="7254" spans="1:24" x14ac:dyDescent="0.25">
      <c r="A7254" s="1" t="str">
        <f t="shared" si="2117"/>
        <v>卡卡杜-凤凰仓</v>
      </c>
      <c r="B7254" s="1" t="str">
        <f>"CK2024101515703"</f>
        <v>CK2024101515703</v>
      </c>
      <c r="C7254" s="1" t="str">
        <f>"DD2024101557597"</f>
        <v>DD2024101557597</v>
      </c>
      <c r="D7254" s="1" t="str">
        <f>"CK2024101545195"</f>
        <v>CK2024101545195</v>
      </c>
      <c r="E7254" s="1" t="str">
        <f>"6935040562464494852"</f>
        <v>6935040562464494852</v>
      </c>
      <c r="F7254" s="1" t="str">
        <f t="shared" si="2118"/>
        <v>花都四部-凤凰仓</v>
      </c>
      <c r="G7254" s="1" t="str">
        <f t="shared" si="2114"/>
        <v>卡卡杜个人护理店（抖店）</v>
      </c>
      <c r="H7254" s="1" t="str">
        <f t="shared" si="2119"/>
        <v>正常订单</v>
      </c>
      <c r="I7254" s="1" t="str">
        <f t="shared" si="2120"/>
        <v>已发货</v>
      </c>
      <c r="J7254" s="1" t="str">
        <f t="shared" si="2122"/>
        <v>3</v>
      </c>
      <c r="K7254" s="1">
        <v>2</v>
      </c>
      <c r="L7254" s="1" t="s">
        <v>20</v>
      </c>
      <c r="M7254" s="1" t="str">
        <f>"浙江省 台州市 椒江区 海门街道"</f>
        <v>浙江省 台州市 椒江区 海门街道</v>
      </c>
      <c r="N7254" s="1" t="str">
        <f t="shared" si="2115"/>
        <v>凡华云仓-韵达-抖音</v>
      </c>
      <c r="O7254" s="5">
        <v>320173230766666</v>
      </c>
      <c r="P7254" s="6">
        <v>0.35</v>
      </c>
      <c r="Q7254" s="11">
        <v>2.2999999999999998</v>
      </c>
      <c r="R7254" s="11"/>
      <c r="S7254" s="11"/>
      <c r="T7254" s="11"/>
      <c r="U7254" s="11">
        <f t="shared" si="2116"/>
        <v>2.2999999999999998</v>
      </c>
      <c r="W7254">
        <v>2.5</v>
      </c>
      <c r="X7254" s="1" t="s">
        <v>20</v>
      </c>
    </row>
    <row r="7255" spans="1:24" x14ac:dyDescent="0.25">
      <c r="A7255" s="1" t="str">
        <f t="shared" si="2117"/>
        <v>卡卡杜-凤凰仓</v>
      </c>
      <c r="B7255" s="1" t="str">
        <f>"CK2024101515702"</f>
        <v>CK2024101515702</v>
      </c>
      <c r="C7255" s="1" t="str">
        <f>"DD2024101557594"</f>
        <v>DD2024101557594</v>
      </c>
      <c r="D7255" s="1" t="str">
        <f>"CK2024101545194"</f>
        <v>CK2024101545194</v>
      </c>
      <c r="E7255" s="1" t="str">
        <f>"6935046954454882226"</f>
        <v>6935046954454882226</v>
      </c>
      <c r="F7255" s="1" t="str">
        <f t="shared" si="2118"/>
        <v>花都四部-凤凰仓</v>
      </c>
      <c r="G7255" s="1" t="str">
        <f t="shared" si="2114"/>
        <v>卡卡杜个人护理店（抖店）</v>
      </c>
      <c r="H7255" s="1" t="str">
        <f t="shared" si="2119"/>
        <v>正常订单</v>
      </c>
      <c r="I7255" s="1" t="str">
        <f t="shared" si="2120"/>
        <v>已发货</v>
      </c>
      <c r="J7255" s="1" t="str">
        <f t="shared" si="2122"/>
        <v>3</v>
      </c>
      <c r="K7255" s="1">
        <v>2</v>
      </c>
      <c r="L7255" s="1" t="s">
        <v>20</v>
      </c>
      <c r="M7255" s="1" t="str">
        <f>"浙江省 台州市 温岭市 城北街道"</f>
        <v>浙江省 台州市 温岭市 城北街道</v>
      </c>
      <c r="N7255" s="1" t="str">
        <f t="shared" si="2115"/>
        <v>凡华云仓-韵达-抖音</v>
      </c>
      <c r="O7255" s="5">
        <v>320173237295965</v>
      </c>
      <c r="P7255" s="6">
        <v>0.35</v>
      </c>
      <c r="Q7255" s="11">
        <v>2.2999999999999998</v>
      </c>
      <c r="R7255" s="11"/>
      <c r="S7255" s="11"/>
      <c r="T7255" s="11"/>
      <c r="U7255" s="11">
        <f t="shared" si="2116"/>
        <v>2.2999999999999998</v>
      </c>
      <c r="W7255">
        <v>2.5</v>
      </c>
      <c r="X7255" s="1" t="s">
        <v>20</v>
      </c>
    </row>
    <row r="7256" spans="1:24" x14ac:dyDescent="0.25">
      <c r="A7256" s="1" t="str">
        <f t="shared" si="2117"/>
        <v>卡卡杜-凤凰仓</v>
      </c>
      <c r="B7256" s="1" t="str">
        <f>"CK2024101515701"</f>
        <v>CK2024101515701</v>
      </c>
      <c r="C7256" s="1" t="str">
        <f>"DD2024101557596"</f>
        <v>DD2024101557596</v>
      </c>
      <c r="D7256" s="1" t="str">
        <f>"CK2024101545193"</f>
        <v>CK2024101545193</v>
      </c>
      <c r="E7256" s="1" t="str">
        <f>"6935020798506178427"</f>
        <v>6935020798506178427</v>
      </c>
      <c r="F7256" s="1" t="str">
        <f t="shared" si="2118"/>
        <v>花都四部-凤凰仓</v>
      </c>
      <c r="G7256" s="1" t="str">
        <f t="shared" si="2114"/>
        <v>卡卡杜个人护理店（抖店）</v>
      </c>
      <c r="H7256" s="1" t="str">
        <f t="shared" si="2119"/>
        <v>正常订单</v>
      </c>
      <c r="I7256" s="1" t="str">
        <f t="shared" si="2120"/>
        <v>已发货</v>
      </c>
      <c r="J7256" s="1" t="str">
        <f t="shared" si="2122"/>
        <v>3</v>
      </c>
      <c r="K7256" s="1">
        <v>2</v>
      </c>
      <c r="L7256" s="1" t="s">
        <v>18</v>
      </c>
      <c r="M7256" s="1" t="str">
        <f>"广东省 广州市 花都区 花东镇"</f>
        <v>广东省 广州市 花都区 花东镇</v>
      </c>
      <c r="N7256" s="1" t="str">
        <f t="shared" si="2115"/>
        <v>凡华云仓-韵达-抖音</v>
      </c>
      <c r="O7256" s="5">
        <v>320173237295860</v>
      </c>
      <c r="P7256" s="6">
        <v>0.35</v>
      </c>
      <c r="Q7256" s="11">
        <v>2.2999999999999998</v>
      </c>
      <c r="R7256" s="11"/>
      <c r="S7256" s="11"/>
      <c r="T7256" s="11"/>
      <c r="U7256" s="11">
        <f t="shared" si="2116"/>
        <v>2.2999999999999998</v>
      </c>
      <c r="W7256">
        <v>2.5</v>
      </c>
      <c r="X7256" s="1" t="s">
        <v>18</v>
      </c>
    </row>
    <row r="7257" spans="1:24" x14ac:dyDescent="0.25">
      <c r="A7257" s="1" t="str">
        <f t="shared" si="2117"/>
        <v>卡卡杜-凤凰仓</v>
      </c>
      <c r="B7257" s="1" t="str">
        <f>"CK2024101515709"</f>
        <v>CK2024101515709</v>
      </c>
      <c r="C7257" s="1" t="str">
        <f>"DD2024101557601"</f>
        <v>DD2024101557601</v>
      </c>
      <c r="D7257" s="1" t="str">
        <f>"CK2024101545192"</f>
        <v>CK2024101545192</v>
      </c>
      <c r="E7257" s="1" t="str">
        <f>"6935034167467513257"</f>
        <v>6935034167467513257</v>
      </c>
      <c r="F7257" s="1" t="str">
        <f t="shared" si="2118"/>
        <v>花都四部-凤凰仓</v>
      </c>
      <c r="G7257" s="1" t="str">
        <f t="shared" si="2114"/>
        <v>卡卡杜个人护理店（抖店）</v>
      </c>
      <c r="H7257" s="1" t="str">
        <f t="shared" si="2119"/>
        <v>正常订单</v>
      </c>
      <c r="I7257" s="1" t="str">
        <f t="shared" si="2120"/>
        <v>已发货</v>
      </c>
      <c r="J7257" s="1" t="str">
        <f t="shared" si="2122"/>
        <v>3</v>
      </c>
      <c r="K7257" s="1">
        <v>2</v>
      </c>
      <c r="L7257" s="1" t="s">
        <v>20</v>
      </c>
      <c r="M7257" s="1" t="str">
        <f>"浙江省 湖州市 安吉县 梅溪镇"</f>
        <v>浙江省 湖州市 安吉县 梅溪镇</v>
      </c>
      <c r="N7257" s="1" t="str">
        <f t="shared" si="2115"/>
        <v>凡华云仓-韵达-抖音</v>
      </c>
      <c r="O7257" s="5">
        <v>320173237295757</v>
      </c>
      <c r="P7257" s="6">
        <v>0.35</v>
      </c>
      <c r="Q7257" s="11">
        <v>2.2999999999999998</v>
      </c>
      <c r="R7257" s="11"/>
      <c r="S7257" s="11"/>
      <c r="T7257" s="11"/>
      <c r="U7257" s="11">
        <f t="shared" si="2116"/>
        <v>2.2999999999999998</v>
      </c>
      <c r="W7257">
        <v>2.5</v>
      </c>
      <c r="X7257" s="1" t="s">
        <v>20</v>
      </c>
    </row>
    <row r="7258" spans="1:24" x14ac:dyDescent="0.25">
      <c r="A7258" s="1" t="str">
        <f t="shared" si="2117"/>
        <v>卡卡杜-凤凰仓</v>
      </c>
      <c r="B7258" s="1" t="str">
        <f>"CK2024101515705"</f>
        <v>CK2024101515705</v>
      </c>
      <c r="C7258" s="1" t="str">
        <f>"DD2024101557599"</f>
        <v>DD2024101557599</v>
      </c>
      <c r="D7258" s="1" t="str">
        <f>"CK2024101545191"</f>
        <v>CK2024101545191</v>
      </c>
      <c r="E7258" s="1" t="str">
        <f>"6935025284076344546"</f>
        <v>6935025284076344546</v>
      </c>
      <c r="F7258" s="1" t="str">
        <f t="shared" si="2118"/>
        <v>花都四部-凤凰仓</v>
      </c>
      <c r="G7258" s="1" t="str">
        <f t="shared" si="2114"/>
        <v>卡卡杜个人护理店（抖店）</v>
      </c>
      <c r="H7258" s="1" t="str">
        <f t="shared" si="2119"/>
        <v>正常订单</v>
      </c>
      <c r="I7258" s="1" t="str">
        <f t="shared" si="2120"/>
        <v>已发货</v>
      </c>
      <c r="J7258" s="1" t="str">
        <f t="shared" si="2122"/>
        <v>3</v>
      </c>
      <c r="K7258" s="1">
        <v>2</v>
      </c>
      <c r="L7258" s="1" t="s">
        <v>18</v>
      </c>
      <c r="M7258" s="1" t="str">
        <f>"广东省 东莞市 东莞市 寮步镇"</f>
        <v>广东省 东莞市 东莞市 寮步镇</v>
      </c>
      <c r="N7258" s="1" t="str">
        <f t="shared" si="2115"/>
        <v>凡华云仓-韵达-抖音</v>
      </c>
      <c r="O7258" s="5">
        <v>320173237295656</v>
      </c>
      <c r="P7258" s="6">
        <v>0.35</v>
      </c>
      <c r="Q7258" s="11">
        <v>2.2999999999999998</v>
      </c>
      <c r="R7258" s="11"/>
      <c r="S7258" s="11"/>
      <c r="T7258" s="11"/>
      <c r="U7258" s="11">
        <f t="shared" si="2116"/>
        <v>2.2999999999999998</v>
      </c>
      <c r="W7258">
        <v>2.5</v>
      </c>
      <c r="X7258" s="1" t="s">
        <v>18</v>
      </c>
    </row>
    <row r="7259" spans="1:24" x14ac:dyDescent="0.25">
      <c r="A7259" s="1" t="str">
        <f t="shared" si="2117"/>
        <v>卡卡杜-凤凰仓</v>
      </c>
      <c r="B7259" s="1" t="str">
        <f>"CK2024101515710"</f>
        <v>CK2024101515710</v>
      </c>
      <c r="C7259" s="1" t="str">
        <f>"DD2024101557603"</f>
        <v>DD2024101557603</v>
      </c>
      <c r="D7259" s="1" t="str">
        <f>"CK2024101545190"</f>
        <v>CK2024101545190</v>
      </c>
      <c r="E7259" s="1" t="str">
        <f>"6935020673506416384"</f>
        <v>6935020673506416384</v>
      </c>
      <c r="F7259" s="1" t="str">
        <f t="shared" si="2118"/>
        <v>花都四部-凤凰仓</v>
      </c>
      <c r="G7259" s="1" t="str">
        <f t="shared" si="2114"/>
        <v>卡卡杜个人护理店（抖店）</v>
      </c>
      <c r="H7259" s="1" t="str">
        <f t="shared" si="2119"/>
        <v>正常订单</v>
      </c>
      <c r="I7259" s="1" t="str">
        <f t="shared" si="2120"/>
        <v>已发货</v>
      </c>
      <c r="J7259" s="1" t="str">
        <f t="shared" si="2122"/>
        <v>3</v>
      </c>
      <c r="K7259" s="1">
        <v>2</v>
      </c>
      <c r="L7259" s="1" t="s">
        <v>60</v>
      </c>
      <c r="M7259" s="1" t="str">
        <f>"云南省 大理白族自治州 大理市 太和街道"</f>
        <v>云南省 大理白族自治州 大理市 太和街道</v>
      </c>
      <c r="N7259" s="1" t="str">
        <f t="shared" si="2115"/>
        <v>凡华云仓-韵达-抖音</v>
      </c>
      <c r="O7259" s="5">
        <v>320173237295557</v>
      </c>
      <c r="P7259" s="6">
        <v>0.35</v>
      </c>
      <c r="Q7259" s="11">
        <v>2.2999999999999998</v>
      </c>
      <c r="R7259" s="11"/>
      <c r="S7259" s="11"/>
      <c r="T7259" s="11"/>
      <c r="U7259" s="11">
        <f t="shared" si="2116"/>
        <v>2.2999999999999998</v>
      </c>
      <c r="W7259">
        <v>2.5</v>
      </c>
      <c r="X7259" s="1" t="s">
        <v>60</v>
      </c>
    </row>
    <row r="7260" spans="1:24" x14ac:dyDescent="0.25">
      <c r="A7260" s="1" t="str">
        <f t="shared" si="2117"/>
        <v>卡卡杜-凤凰仓</v>
      </c>
      <c r="B7260" s="1" t="str">
        <f>"CK2024101515718"</f>
        <v>CK2024101515718</v>
      </c>
      <c r="C7260" s="1" t="str">
        <f>"DD2024101557611"</f>
        <v>DD2024101557611</v>
      </c>
      <c r="D7260" s="1" t="str">
        <f>"CK2024101545189"</f>
        <v>CK2024101545189</v>
      </c>
      <c r="E7260" s="1" t="str">
        <f>"6935036431032521960"</f>
        <v>6935036431032521960</v>
      </c>
      <c r="F7260" s="1" t="str">
        <f t="shared" si="2118"/>
        <v>花都四部-凤凰仓</v>
      </c>
      <c r="G7260" s="1" t="str">
        <f t="shared" si="2114"/>
        <v>卡卡杜个人护理店（抖店）</v>
      </c>
      <c r="H7260" s="1" t="str">
        <f t="shared" si="2119"/>
        <v>正常订单</v>
      </c>
      <c r="I7260" s="1" t="str">
        <f t="shared" si="2120"/>
        <v>已发货</v>
      </c>
      <c r="J7260" s="1" t="str">
        <f t="shared" si="2122"/>
        <v>3</v>
      </c>
      <c r="K7260" s="1">
        <v>3</v>
      </c>
      <c r="L7260" s="1" t="s">
        <v>18</v>
      </c>
      <c r="M7260" s="1" t="str">
        <f>"广东省 东莞市 东莞市 东城街道"</f>
        <v>广东省 东莞市 东莞市 东城街道</v>
      </c>
      <c r="N7260" s="1" t="str">
        <f t="shared" si="2115"/>
        <v>凡华云仓-韵达-抖音</v>
      </c>
      <c r="O7260" s="5">
        <v>320173237295460</v>
      </c>
      <c r="P7260" s="6">
        <v>0.34</v>
      </c>
      <c r="Q7260" s="11">
        <v>2.2999999999999998</v>
      </c>
      <c r="R7260" s="11"/>
      <c r="S7260" s="11"/>
      <c r="T7260" s="11"/>
      <c r="U7260" s="11">
        <f t="shared" si="2116"/>
        <v>2.2999999999999998</v>
      </c>
      <c r="W7260">
        <v>2.5</v>
      </c>
      <c r="X7260" s="1" t="s">
        <v>18</v>
      </c>
    </row>
    <row r="7261" spans="1:24" x14ac:dyDescent="0.25">
      <c r="A7261" s="1" t="str">
        <f t="shared" si="2117"/>
        <v>卡卡杜-凤凰仓</v>
      </c>
      <c r="B7261" s="1" t="str">
        <f>"CK2024101515713"</f>
        <v>CK2024101515713</v>
      </c>
      <c r="C7261" s="1" t="str">
        <f>"DD2024101557607"</f>
        <v>DD2024101557607</v>
      </c>
      <c r="D7261" s="1" t="str">
        <f>"CK2024101545188"</f>
        <v>CK2024101545188</v>
      </c>
      <c r="E7261" s="1" t="str">
        <f>"6935025238911620567"</f>
        <v>6935025238911620567</v>
      </c>
      <c r="F7261" s="1" t="str">
        <f t="shared" si="2118"/>
        <v>花都四部-凤凰仓</v>
      </c>
      <c r="G7261" s="1" t="str">
        <f t="shared" si="2114"/>
        <v>卡卡杜个人护理店（抖店）</v>
      </c>
      <c r="H7261" s="1" t="str">
        <f t="shared" si="2119"/>
        <v>正常订单</v>
      </c>
      <c r="I7261" s="1" t="str">
        <f t="shared" si="2120"/>
        <v>已发货</v>
      </c>
      <c r="J7261" s="1" t="str">
        <f t="shared" si="2122"/>
        <v>3</v>
      </c>
      <c r="K7261" s="1">
        <v>2</v>
      </c>
      <c r="L7261" s="1" t="s">
        <v>20</v>
      </c>
      <c r="M7261" s="1" t="str">
        <f>"浙江省 绍兴市 诸暨市 暨阳街道"</f>
        <v>浙江省 绍兴市 诸暨市 暨阳街道</v>
      </c>
      <c r="N7261" s="1" t="str">
        <f t="shared" si="2115"/>
        <v>凡华云仓-韵达-抖音</v>
      </c>
      <c r="O7261" s="5">
        <v>320173237295365</v>
      </c>
      <c r="P7261" s="6">
        <v>0.35</v>
      </c>
      <c r="Q7261" s="11">
        <v>2.2999999999999998</v>
      </c>
      <c r="R7261" s="11"/>
      <c r="S7261" s="11"/>
      <c r="T7261" s="11"/>
      <c r="U7261" s="11">
        <f t="shared" si="2116"/>
        <v>2.2999999999999998</v>
      </c>
      <c r="W7261">
        <v>2.5</v>
      </c>
      <c r="X7261" s="1" t="s">
        <v>20</v>
      </c>
    </row>
    <row r="7262" spans="1:24" x14ac:dyDescent="0.25">
      <c r="A7262" s="1" t="str">
        <f t="shared" si="2117"/>
        <v>卡卡杜-凤凰仓</v>
      </c>
      <c r="B7262" s="1" t="str">
        <f>"CK2024101515720"</f>
        <v>CK2024101515720</v>
      </c>
      <c r="C7262" s="1" t="str">
        <f>"DD2024101557613"</f>
        <v>DD2024101557613</v>
      </c>
      <c r="D7262" s="1" t="str">
        <f>"CK2024101545187"</f>
        <v>CK2024101545187</v>
      </c>
      <c r="E7262" s="1" t="str">
        <f>"6935022989738382491"</f>
        <v>6935022989738382491</v>
      </c>
      <c r="F7262" s="1" t="str">
        <f t="shared" si="2118"/>
        <v>花都四部-凤凰仓</v>
      </c>
      <c r="G7262" s="1" t="str">
        <f t="shared" si="2114"/>
        <v>卡卡杜个人护理店（抖店）</v>
      </c>
      <c r="H7262" s="1" t="str">
        <f t="shared" si="2119"/>
        <v>正常订单</v>
      </c>
      <c r="I7262" s="1" t="str">
        <f t="shared" si="2120"/>
        <v>已发货</v>
      </c>
      <c r="J7262" s="1" t="str">
        <f t="shared" si="2122"/>
        <v>3</v>
      </c>
      <c r="K7262" s="1">
        <v>2</v>
      </c>
      <c r="L7262" s="1" t="s">
        <v>13</v>
      </c>
      <c r="M7262" s="1" t="str">
        <f>"江苏省 无锡市 宜兴市 宜城街道"</f>
        <v>江苏省 无锡市 宜兴市 宜城街道</v>
      </c>
      <c r="N7262" s="1" t="str">
        <f t="shared" si="2115"/>
        <v>凡华云仓-韵达-抖音</v>
      </c>
      <c r="O7262" s="5">
        <v>320173237295272</v>
      </c>
      <c r="P7262" s="6">
        <v>0.35</v>
      </c>
      <c r="Q7262" s="11">
        <v>2.2999999999999998</v>
      </c>
      <c r="R7262" s="11"/>
      <c r="S7262" s="11"/>
      <c r="T7262" s="11"/>
      <c r="U7262" s="11">
        <f t="shared" si="2116"/>
        <v>2.2999999999999998</v>
      </c>
      <c r="W7262">
        <v>2.5</v>
      </c>
      <c r="X7262" s="1" t="s">
        <v>13</v>
      </c>
    </row>
    <row r="7263" spans="1:24" x14ac:dyDescent="0.25">
      <c r="A7263" s="1" t="str">
        <f t="shared" si="2117"/>
        <v>卡卡杜-凤凰仓</v>
      </c>
      <c r="B7263" s="1" t="str">
        <f>"CK2024101515719"</f>
        <v>CK2024101515719</v>
      </c>
      <c r="C7263" s="1" t="str">
        <f>"DD2024101557612"</f>
        <v>DD2024101557612</v>
      </c>
      <c r="D7263" s="1" t="str">
        <f>"CK2024101545186"</f>
        <v>CK2024101545186</v>
      </c>
      <c r="E7263" s="1" t="str">
        <f>"6935038409869759494"</f>
        <v>6935038409869759494</v>
      </c>
      <c r="F7263" s="1" t="str">
        <f t="shared" si="2118"/>
        <v>花都四部-凤凰仓</v>
      </c>
      <c r="G7263" s="1" t="str">
        <f t="shared" si="2114"/>
        <v>卡卡杜个人护理店（抖店）</v>
      </c>
      <c r="H7263" s="1" t="str">
        <f t="shared" si="2119"/>
        <v>正常订单</v>
      </c>
      <c r="I7263" s="1" t="str">
        <f t="shared" si="2120"/>
        <v>已发货</v>
      </c>
      <c r="J7263" s="1" t="str">
        <f t="shared" si="2122"/>
        <v>3</v>
      </c>
      <c r="K7263" s="1">
        <v>2</v>
      </c>
      <c r="L7263" s="1" t="s">
        <v>20</v>
      </c>
      <c r="M7263" s="1" t="str">
        <f>"浙江省 宁波市 慈溪市 宗汉街道"</f>
        <v>浙江省 宁波市 慈溪市 宗汉街道</v>
      </c>
      <c r="N7263" s="1" t="str">
        <f t="shared" si="2115"/>
        <v>凡华云仓-韵达-抖音</v>
      </c>
      <c r="O7263" s="5">
        <v>320173237295181</v>
      </c>
      <c r="P7263" s="6">
        <v>0.35</v>
      </c>
      <c r="Q7263" s="11">
        <v>2.2999999999999998</v>
      </c>
      <c r="R7263" s="11"/>
      <c r="S7263" s="11"/>
      <c r="T7263" s="11"/>
      <c r="U7263" s="11">
        <f t="shared" si="2116"/>
        <v>2.2999999999999998</v>
      </c>
      <c r="W7263">
        <v>2.5</v>
      </c>
      <c r="X7263" s="1" t="s">
        <v>20</v>
      </c>
    </row>
    <row r="7264" spans="1:24" x14ac:dyDescent="0.25">
      <c r="A7264" s="1" t="str">
        <f t="shared" si="2117"/>
        <v>卡卡杜-凤凰仓</v>
      </c>
      <c r="B7264" s="1" t="str">
        <f>"CK2024101515717"</f>
        <v>CK2024101515717</v>
      </c>
      <c r="C7264" s="1" t="str">
        <f>"DD2024101557609"</f>
        <v>DD2024101557609</v>
      </c>
      <c r="D7264" s="1" t="str">
        <f>"CK2024101545185"</f>
        <v>CK2024101545185</v>
      </c>
      <c r="E7264" s="1" t="str">
        <f>"6935022926616073883"</f>
        <v>6935022926616073883</v>
      </c>
      <c r="F7264" s="1" t="str">
        <f t="shared" si="2118"/>
        <v>花都四部-凤凰仓</v>
      </c>
      <c r="G7264" s="1" t="str">
        <f t="shared" si="2114"/>
        <v>卡卡杜个人护理店（抖店）</v>
      </c>
      <c r="H7264" s="1" t="str">
        <f t="shared" si="2119"/>
        <v>正常订单</v>
      </c>
      <c r="I7264" s="1" t="str">
        <f t="shared" si="2120"/>
        <v>已发货</v>
      </c>
      <c r="J7264" s="1" t="str">
        <f t="shared" si="2122"/>
        <v>3</v>
      </c>
      <c r="K7264" s="1">
        <v>2</v>
      </c>
      <c r="L7264" s="1" t="s">
        <v>41</v>
      </c>
      <c r="M7264" s="1" t="str">
        <f>"湖北省 宜昌市 宜都市 陆城街道"</f>
        <v>湖北省 宜昌市 宜都市 陆城街道</v>
      </c>
      <c r="N7264" s="1" t="str">
        <f t="shared" si="2115"/>
        <v>凡华云仓-韵达-抖音</v>
      </c>
      <c r="O7264" s="5">
        <v>320173237295092</v>
      </c>
      <c r="P7264" s="6">
        <v>0.35</v>
      </c>
      <c r="Q7264" s="11">
        <v>2.2999999999999998</v>
      </c>
      <c r="R7264" s="11"/>
      <c r="S7264" s="11"/>
      <c r="T7264" s="11"/>
      <c r="U7264" s="11">
        <f t="shared" si="2116"/>
        <v>2.2999999999999998</v>
      </c>
      <c r="W7264">
        <v>2.5</v>
      </c>
      <c r="X7264" s="1" t="s">
        <v>41</v>
      </c>
    </row>
    <row r="7265" spans="1:24" x14ac:dyDescent="0.25">
      <c r="A7265" s="1" t="str">
        <f t="shared" si="2117"/>
        <v>卡卡杜-凤凰仓</v>
      </c>
      <c r="B7265" s="1" t="str">
        <f>"CK2024101515712"</f>
        <v>CK2024101515712</v>
      </c>
      <c r="C7265" s="1" t="str">
        <f>"DD2024101557605"</f>
        <v>DD2024101557605</v>
      </c>
      <c r="D7265" s="1" t="str">
        <f>"CK2024101545184"</f>
        <v>CK2024101545184</v>
      </c>
      <c r="E7265" s="1" t="str">
        <f>"6935031535563708236"</f>
        <v>6935031535563708236</v>
      </c>
      <c r="F7265" s="1" t="str">
        <f t="shared" si="2118"/>
        <v>花都四部-凤凰仓</v>
      </c>
      <c r="G7265" s="1" t="str">
        <f t="shared" si="2114"/>
        <v>卡卡杜个人护理店（抖店）</v>
      </c>
      <c r="H7265" s="1" t="str">
        <f t="shared" si="2119"/>
        <v>正常订单</v>
      </c>
      <c r="I7265" s="1" t="str">
        <f t="shared" si="2120"/>
        <v>已发货</v>
      </c>
      <c r="J7265" s="1" t="str">
        <f t="shared" si="2122"/>
        <v>3</v>
      </c>
      <c r="K7265" s="1">
        <v>2</v>
      </c>
      <c r="L7265" s="1" t="s">
        <v>20</v>
      </c>
      <c r="M7265" s="1" t="str">
        <f>"浙江省 衢州市 江山市 贺村镇"</f>
        <v>浙江省 衢州市 江山市 贺村镇</v>
      </c>
      <c r="N7265" s="1" t="str">
        <f t="shared" si="2115"/>
        <v>凡华云仓-韵达-抖音</v>
      </c>
      <c r="O7265" s="5">
        <v>320173242048020</v>
      </c>
      <c r="P7265" s="6">
        <v>0.35</v>
      </c>
      <c r="Q7265" s="11">
        <v>2.2999999999999998</v>
      </c>
      <c r="R7265" s="11"/>
      <c r="S7265" s="11"/>
      <c r="T7265" s="11"/>
      <c r="U7265" s="11">
        <f t="shared" si="2116"/>
        <v>2.2999999999999998</v>
      </c>
      <c r="W7265">
        <v>2.5</v>
      </c>
      <c r="X7265" s="1" t="s">
        <v>20</v>
      </c>
    </row>
    <row r="7266" spans="1:24" x14ac:dyDescent="0.25">
      <c r="A7266" s="1" t="str">
        <f t="shared" si="2117"/>
        <v>卡卡杜-凤凰仓</v>
      </c>
      <c r="B7266" s="1" t="str">
        <f>"CK2024101515716"</f>
        <v>CK2024101515716</v>
      </c>
      <c r="C7266" s="1" t="str">
        <f>"DD2024101557610"</f>
        <v>DD2024101557610</v>
      </c>
      <c r="D7266" s="1" t="str">
        <f>"CK2024101545183"</f>
        <v>CK2024101545183</v>
      </c>
      <c r="E7266" s="1" t="str">
        <f>"6918022147975511080"</f>
        <v>6918022147975511080</v>
      </c>
      <c r="F7266" s="1" t="str">
        <f t="shared" si="2118"/>
        <v>花都四部-凤凰仓</v>
      </c>
      <c r="G7266" s="1" t="str">
        <f t="shared" si="2114"/>
        <v>卡卡杜个人护理店（抖店）</v>
      </c>
      <c r="H7266" s="1" t="str">
        <f t="shared" si="2119"/>
        <v>正常订单</v>
      </c>
      <c r="I7266" s="1" t="str">
        <f t="shared" si="2120"/>
        <v>已发货</v>
      </c>
      <c r="J7266" s="1" t="str">
        <f t="shared" si="2122"/>
        <v>3</v>
      </c>
      <c r="K7266" s="1">
        <v>2</v>
      </c>
      <c r="L7266" s="1" t="s">
        <v>66</v>
      </c>
      <c r="M7266" s="1" t="str">
        <f>"内蒙古自治区 鄂尔多斯市 伊金霍洛旗 乌兰木伦镇"</f>
        <v>内蒙古自治区 鄂尔多斯市 伊金霍洛旗 乌兰木伦镇</v>
      </c>
      <c r="N7266" s="1" t="str">
        <f t="shared" si="2115"/>
        <v>凡华云仓-韵达-抖音</v>
      </c>
      <c r="O7266" s="5">
        <v>320173242047990</v>
      </c>
      <c r="P7266" s="6">
        <v>0.35</v>
      </c>
      <c r="Q7266" s="11">
        <v>2.2999999999999998</v>
      </c>
      <c r="R7266" s="11"/>
      <c r="S7266" s="11"/>
      <c r="T7266" s="11"/>
      <c r="U7266" s="11">
        <f t="shared" si="2116"/>
        <v>2.2999999999999998</v>
      </c>
      <c r="W7266">
        <v>2.5</v>
      </c>
      <c r="X7266" s="1" t="s">
        <v>66</v>
      </c>
    </row>
    <row r="7267" spans="1:24" x14ac:dyDescent="0.25">
      <c r="A7267" s="1" t="str">
        <f t="shared" si="2117"/>
        <v>卡卡杜-凤凰仓</v>
      </c>
      <c r="B7267" s="1" t="str">
        <f>"CK2024101515715"</f>
        <v>CK2024101515715</v>
      </c>
      <c r="C7267" s="1" t="str">
        <f>"DD2024101557606"</f>
        <v>DD2024101557606</v>
      </c>
      <c r="D7267" s="1" t="str">
        <f>"CK2024101545182"</f>
        <v>CK2024101545182</v>
      </c>
      <c r="E7267" s="1" t="str">
        <f>"6935044572923040839"</f>
        <v>6935044572923040839</v>
      </c>
      <c r="F7267" s="1" t="str">
        <f t="shared" si="2118"/>
        <v>花都四部-凤凰仓</v>
      </c>
      <c r="G7267" s="1" t="str">
        <f t="shared" si="2114"/>
        <v>卡卡杜个人护理店（抖店）</v>
      </c>
      <c r="H7267" s="1" t="str">
        <f t="shared" si="2119"/>
        <v>正常订单</v>
      </c>
      <c r="I7267" s="1" t="str">
        <f t="shared" si="2120"/>
        <v>已发货</v>
      </c>
      <c r="J7267" s="1" t="str">
        <f>"5"</f>
        <v>5</v>
      </c>
      <c r="K7267" s="1">
        <v>2</v>
      </c>
      <c r="L7267" s="1" t="s">
        <v>74</v>
      </c>
      <c r="M7267" s="1" t="str">
        <f>"上海 上海市 青浦区 "</f>
        <v xml:space="preserve">上海 上海市 青浦区 </v>
      </c>
      <c r="N7267" s="1" t="str">
        <f t="shared" si="2115"/>
        <v>凡华云仓-韵达-抖音</v>
      </c>
      <c r="O7267" s="5">
        <v>320173242047885</v>
      </c>
      <c r="P7267" s="6">
        <v>0.59</v>
      </c>
      <c r="Q7267" s="11">
        <f>CEILING(P7267-0.5,0.1)*10*0.15+2.3</f>
        <v>2.4499999999999997</v>
      </c>
      <c r="R7267" s="11"/>
      <c r="S7267" s="11"/>
      <c r="T7267" s="11"/>
      <c r="U7267" s="11">
        <f t="shared" si="2116"/>
        <v>2.4499999999999997</v>
      </c>
      <c r="V7267" t="s">
        <v>15</v>
      </c>
      <c r="W7267">
        <v>2.4500000000000002</v>
      </c>
      <c r="X7267" s="1" t="s">
        <v>74</v>
      </c>
    </row>
    <row r="7268" spans="1:24" x14ac:dyDescent="0.25">
      <c r="A7268" s="1" t="str">
        <f t="shared" si="2117"/>
        <v>卡卡杜-凤凰仓</v>
      </c>
      <c r="B7268" s="1" t="str">
        <f>"CK2024101515714"</f>
        <v>CK2024101515714</v>
      </c>
      <c r="C7268" s="1" t="str">
        <f>"DD2024101557608"</f>
        <v>DD2024101557608</v>
      </c>
      <c r="D7268" s="1" t="str">
        <f>"CK2024101545181"</f>
        <v>CK2024101545181</v>
      </c>
      <c r="E7268" s="1" t="str">
        <f>"6935040257770918914"</f>
        <v>6935040257770918914</v>
      </c>
      <c r="F7268" s="1" t="str">
        <f t="shared" si="2118"/>
        <v>花都四部-凤凰仓</v>
      </c>
      <c r="G7268" s="1" t="str">
        <f t="shared" si="2114"/>
        <v>卡卡杜个人护理店（抖店）</v>
      </c>
      <c r="H7268" s="1" t="str">
        <f t="shared" si="2119"/>
        <v>正常订单</v>
      </c>
      <c r="I7268" s="1" t="str">
        <f t="shared" si="2120"/>
        <v>已发货</v>
      </c>
      <c r="J7268" s="1" t="str">
        <f t="shared" ref="J7268:J7270" si="2123">"3"</f>
        <v>3</v>
      </c>
      <c r="K7268" s="1">
        <v>2</v>
      </c>
      <c r="L7268" s="1" t="s">
        <v>18</v>
      </c>
      <c r="M7268" s="1" t="str">
        <f>"广东省 惠州市 惠东县 黄埠镇"</f>
        <v>广东省 惠州市 惠东县 黄埠镇</v>
      </c>
      <c r="N7268" s="1" t="str">
        <f t="shared" si="2115"/>
        <v>凡华云仓-韵达-抖音</v>
      </c>
      <c r="O7268" s="5">
        <v>320173242047782</v>
      </c>
      <c r="P7268" s="6">
        <v>0.35</v>
      </c>
      <c r="Q7268" s="11">
        <v>2.2999999999999998</v>
      </c>
      <c r="R7268" s="11"/>
      <c r="S7268" s="11"/>
      <c r="T7268" s="11"/>
      <c r="U7268" s="11">
        <f t="shared" si="2116"/>
        <v>2.2999999999999998</v>
      </c>
      <c r="W7268">
        <v>2.5</v>
      </c>
      <c r="X7268" s="1" t="s">
        <v>18</v>
      </c>
    </row>
    <row r="7269" spans="1:24" x14ac:dyDescent="0.25">
      <c r="A7269" s="1" t="str">
        <f t="shared" si="2117"/>
        <v>卡卡杜-凤凰仓</v>
      </c>
      <c r="B7269" s="1" t="str">
        <f>"CK2024101515745"</f>
        <v>CK2024101515745</v>
      </c>
      <c r="C7269" s="1" t="str">
        <f>"DD2024101557637"</f>
        <v>DD2024101557637</v>
      </c>
      <c r="D7269" s="1" t="str">
        <f>"CK2024101545180"</f>
        <v>CK2024101545180</v>
      </c>
      <c r="E7269" s="1" t="str">
        <f>"6935024917969376627"</f>
        <v>6935024917969376627</v>
      </c>
      <c r="F7269" s="1" t="str">
        <f t="shared" si="2118"/>
        <v>花都四部-凤凰仓</v>
      </c>
      <c r="G7269" s="1" t="str">
        <f t="shared" si="2114"/>
        <v>卡卡杜个人护理店（抖店）</v>
      </c>
      <c r="H7269" s="1" t="str">
        <f t="shared" si="2119"/>
        <v>正常订单</v>
      </c>
      <c r="I7269" s="1" t="str">
        <f t="shared" si="2120"/>
        <v>已发货</v>
      </c>
      <c r="J7269" s="1" t="str">
        <f t="shared" si="2123"/>
        <v>3</v>
      </c>
      <c r="K7269" s="1">
        <v>2</v>
      </c>
      <c r="L7269" s="1" t="s">
        <v>41</v>
      </c>
      <c r="M7269" s="1" t="str">
        <f>"湖北省 武汉市 东西湖区 将军路街道"</f>
        <v>湖北省 武汉市 东西湖区 将军路街道</v>
      </c>
      <c r="N7269" s="1" t="str">
        <f t="shared" si="2115"/>
        <v>凡华云仓-韵达-抖音</v>
      </c>
      <c r="O7269" s="5">
        <v>320173242047681</v>
      </c>
      <c r="P7269" s="6">
        <v>0.35</v>
      </c>
      <c r="Q7269" s="11">
        <v>2.2999999999999998</v>
      </c>
      <c r="R7269" s="11"/>
      <c r="S7269" s="11"/>
      <c r="T7269" s="11"/>
      <c r="U7269" s="11">
        <f t="shared" si="2116"/>
        <v>2.2999999999999998</v>
      </c>
      <c r="W7269">
        <v>2.5</v>
      </c>
      <c r="X7269" s="1" t="s">
        <v>41</v>
      </c>
    </row>
    <row r="7270" spans="1:24" x14ac:dyDescent="0.25">
      <c r="A7270" s="1" t="str">
        <f t="shared" si="2117"/>
        <v>卡卡杜-凤凰仓</v>
      </c>
      <c r="B7270" s="1" t="str">
        <f>"CK2024101515816"</f>
        <v>CK2024101515816</v>
      </c>
      <c r="C7270" s="1" t="str">
        <f>"DD2024101557714"</f>
        <v>DD2024101557714</v>
      </c>
      <c r="D7270" s="1" t="str">
        <f>"CK2024101545179"</f>
        <v>CK2024101545179</v>
      </c>
      <c r="E7270" s="1" t="str">
        <f>"6935018225693562149"</f>
        <v>6935018225693562149</v>
      </c>
      <c r="F7270" s="1" t="str">
        <f t="shared" si="2118"/>
        <v>花都四部-凤凰仓</v>
      </c>
      <c r="G7270" s="1" t="str">
        <f t="shared" si="2114"/>
        <v>卡卡杜个人护理店（抖店）</v>
      </c>
      <c r="H7270" s="1" t="str">
        <f t="shared" si="2119"/>
        <v>正常订单</v>
      </c>
      <c r="I7270" s="1" t="str">
        <f t="shared" si="2120"/>
        <v>已发货</v>
      </c>
      <c r="J7270" s="1" t="str">
        <f t="shared" si="2123"/>
        <v>3</v>
      </c>
      <c r="K7270" s="1">
        <v>2</v>
      </c>
      <c r="L7270" s="1" t="s">
        <v>13</v>
      </c>
      <c r="M7270" s="1" t="str">
        <f>"江苏省 苏州市 吴中区 木渎镇"</f>
        <v>江苏省 苏州市 吴中区 木渎镇</v>
      </c>
      <c r="N7270" s="1" t="str">
        <f t="shared" si="2115"/>
        <v>凡华云仓-韵达-抖音</v>
      </c>
      <c r="O7270" s="5">
        <v>320173242047582</v>
      </c>
      <c r="P7270" s="6">
        <v>0.35</v>
      </c>
      <c r="Q7270" s="11">
        <v>2.2999999999999998</v>
      </c>
      <c r="R7270" s="11"/>
      <c r="S7270" s="11"/>
      <c r="T7270" s="11"/>
      <c r="U7270" s="11">
        <f t="shared" si="2116"/>
        <v>2.2999999999999998</v>
      </c>
      <c r="W7270">
        <v>2.5</v>
      </c>
      <c r="X7270" s="1" t="s">
        <v>13</v>
      </c>
    </row>
    <row r="7271" spans="1:24" x14ac:dyDescent="0.25">
      <c r="A7271" s="1" t="str">
        <f t="shared" si="2117"/>
        <v>卡卡杜-凤凰仓</v>
      </c>
      <c r="B7271" s="1" t="str">
        <f>"CK2024101515809"</f>
        <v>CK2024101515809</v>
      </c>
      <c r="C7271" s="1" t="str">
        <f>"DD2024101557707"</f>
        <v>DD2024101557707</v>
      </c>
      <c r="D7271" s="1" t="str">
        <f>"CK2024101545178"</f>
        <v>CK2024101545178</v>
      </c>
      <c r="E7271" s="1" t="str">
        <f>"6935036077553554863"</f>
        <v>6935036077553554863</v>
      </c>
      <c r="F7271" s="1" t="str">
        <f t="shared" si="2118"/>
        <v>花都四部-凤凰仓</v>
      </c>
      <c r="G7271" s="1" t="str">
        <f t="shared" si="2114"/>
        <v>卡卡杜个人护理店（抖店）</v>
      </c>
      <c r="H7271" s="1" t="str">
        <f t="shared" si="2119"/>
        <v>正常订单</v>
      </c>
      <c r="I7271" s="1" t="str">
        <f t="shared" si="2120"/>
        <v>已发货</v>
      </c>
      <c r="J7271" s="1" t="str">
        <f>"5"</f>
        <v>5</v>
      </c>
      <c r="K7271" s="1">
        <v>2</v>
      </c>
      <c r="L7271" s="1" t="s">
        <v>20</v>
      </c>
      <c r="M7271" s="1" t="str">
        <f>"浙江省 湖州市 安吉县 梅溪镇"</f>
        <v>浙江省 湖州市 安吉县 梅溪镇</v>
      </c>
      <c r="N7271" s="1" t="str">
        <f t="shared" si="2115"/>
        <v>凡华云仓-韵达-抖音</v>
      </c>
      <c r="O7271" s="5">
        <v>320173242047485</v>
      </c>
      <c r="P7271" s="6">
        <v>0.59</v>
      </c>
      <c r="Q7271" s="11">
        <f>CEILING(P7271-0.5,0.1)*10*0.15+2.3</f>
        <v>2.4499999999999997</v>
      </c>
      <c r="R7271" s="11"/>
      <c r="S7271" s="11"/>
      <c r="T7271" s="11"/>
      <c r="U7271" s="11">
        <f t="shared" si="2116"/>
        <v>2.4499999999999997</v>
      </c>
      <c r="V7271" t="s">
        <v>15</v>
      </c>
      <c r="W7271">
        <v>2.4500000000000002</v>
      </c>
      <c r="X7271" s="1" t="s">
        <v>20</v>
      </c>
    </row>
    <row r="7272" spans="1:24" x14ac:dyDescent="0.25">
      <c r="A7272" s="1" t="str">
        <f t="shared" si="2117"/>
        <v>卡卡杜-凤凰仓</v>
      </c>
      <c r="B7272" s="1" t="str">
        <f>"CK2024101515812"</f>
        <v>CK2024101515812</v>
      </c>
      <c r="C7272" s="1" t="str">
        <f>"DD2024101557706"</f>
        <v>DD2024101557706</v>
      </c>
      <c r="D7272" s="1" t="str">
        <f>"CK2024101545177"</f>
        <v>CK2024101545177</v>
      </c>
      <c r="E7272" s="1" t="str">
        <f>"6935018347065251558"</f>
        <v>6935018347065251558</v>
      </c>
      <c r="F7272" s="1" t="str">
        <f t="shared" si="2118"/>
        <v>花都四部-凤凰仓</v>
      </c>
      <c r="G7272" s="1" t="str">
        <f t="shared" si="2114"/>
        <v>卡卡杜个人护理店（抖店）</v>
      </c>
      <c r="H7272" s="1" t="str">
        <f t="shared" si="2119"/>
        <v>正常订单</v>
      </c>
      <c r="I7272" s="1" t="str">
        <f t="shared" si="2120"/>
        <v>已发货</v>
      </c>
      <c r="J7272" s="1" t="str">
        <f t="shared" ref="J7272:J7284" si="2124">"3"</f>
        <v>3</v>
      </c>
      <c r="K7272" s="1">
        <v>2</v>
      </c>
      <c r="L7272" s="1" t="s">
        <v>18</v>
      </c>
      <c r="M7272" s="1" t="str">
        <f>"广东省 广州市 南沙区 万顷沙镇"</f>
        <v>广东省 广州市 南沙区 万顷沙镇</v>
      </c>
      <c r="N7272" s="1" t="str">
        <f t="shared" si="2115"/>
        <v>凡华云仓-韵达-抖音</v>
      </c>
      <c r="O7272" s="5">
        <v>320173242047390</v>
      </c>
      <c r="P7272" s="6">
        <v>0.35</v>
      </c>
      <c r="Q7272" s="11">
        <v>2.2999999999999998</v>
      </c>
      <c r="R7272" s="11"/>
      <c r="S7272" s="11"/>
      <c r="T7272" s="11"/>
      <c r="U7272" s="11">
        <f t="shared" si="2116"/>
        <v>2.2999999999999998</v>
      </c>
      <c r="W7272">
        <v>2.5</v>
      </c>
      <c r="X7272" s="1" t="s">
        <v>18</v>
      </c>
    </row>
    <row r="7273" spans="1:24" x14ac:dyDescent="0.25">
      <c r="A7273" s="1" t="str">
        <f t="shared" si="2117"/>
        <v>卡卡杜-凤凰仓</v>
      </c>
      <c r="B7273" s="1" t="str">
        <f>"CK2024101515813"</f>
        <v>CK2024101515813</v>
      </c>
      <c r="C7273" s="1" t="str">
        <f>"DD2024101557709"</f>
        <v>DD2024101557709</v>
      </c>
      <c r="D7273" s="1" t="str">
        <f>"CK2024101545176"</f>
        <v>CK2024101545176</v>
      </c>
      <c r="E7273" s="1" t="str">
        <f>"6935029167280166606"</f>
        <v>6935029167280166606</v>
      </c>
      <c r="F7273" s="1" t="str">
        <f t="shared" si="2118"/>
        <v>花都四部-凤凰仓</v>
      </c>
      <c r="G7273" s="1" t="str">
        <f t="shared" si="2114"/>
        <v>卡卡杜个人护理店（抖店）</v>
      </c>
      <c r="H7273" s="1" t="str">
        <f t="shared" si="2119"/>
        <v>正常订单</v>
      </c>
      <c r="I7273" s="1" t="str">
        <f t="shared" si="2120"/>
        <v>已发货</v>
      </c>
      <c r="J7273" s="1" t="str">
        <f t="shared" si="2124"/>
        <v>3</v>
      </c>
      <c r="K7273" s="1">
        <v>2</v>
      </c>
      <c r="L7273" s="1" t="s">
        <v>20</v>
      </c>
      <c r="M7273" s="1" t="str">
        <f>"浙江省 杭州市 萧山区 新塘街道"</f>
        <v>浙江省 杭州市 萧山区 新塘街道</v>
      </c>
      <c r="N7273" s="1" t="str">
        <f t="shared" si="2115"/>
        <v>凡华云仓-韵达-抖音</v>
      </c>
      <c r="O7273" s="5">
        <v>320173242047297</v>
      </c>
      <c r="P7273" s="6">
        <v>0.35</v>
      </c>
      <c r="Q7273" s="11">
        <v>2.2999999999999998</v>
      </c>
      <c r="R7273" s="11"/>
      <c r="S7273" s="11"/>
      <c r="T7273" s="11"/>
      <c r="U7273" s="11">
        <f t="shared" si="2116"/>
        <v>2.2999999999999998</v>
      </c>
      <c r="W7273">
        <v>2.5</v>
      </c>
      <c r="X7273" s="1" t="s">
        <v>20</v>
      </c>
    </row>
    <row r="7274" spans="1:24" x14ac:dyDescent="0.25">
      <c r="A7274" s="1" t="str">
        <f t="shared" si="2117"/>
        <v>卡卡杜-凤凰仓</v>
      </c>
      <c r="B7274" s="1" t="str">
        <f>"CK2024101515814"</f>
        <v>CK2024101515814</v>
      </c>
      <c r="C7274" s="1" t="str">
        <f>"DD2024101557711"</f>
        <v>DD2024101557711</v>
      </c>
      <c r="D7274" s="1" t="str">
        <f>"CK2024101545175"</f>
        <v>CK2024101545175</v>
      </c>
      <c r="E7274" s="1" t="str">
        <f>"6935035936121492520"</f>
        <v>6935035936121492520</v>
      </c>
      <c r="F7274" s="1" t="str">
        <f t="shared" si="2118"/>
        <v>花都四部-凤凰仓</v>
      </c>
      <c r="G7274" s="1" t="str">
        <f t="shared" si="2114"/>
        <v>卡卡杜个人护理店（抖店）</v>
      </c>
      <c r="H7274" s="1" t="str">
        <f t="shared" si="2119"/>
        <v>正常订单</v>
      </c>
      <c r="I7274" s="1" t="str">
        <f t="shared" si="2120"/>
        <v>已发货</v>
      </c>
      <c r="J7274" s="1" t="str">
        <f t="shared" si="2124"/>
        <v>3</v>
      </c>
      <c r="K7274" s="1">
        <v>2</v>
      </c>
      <c r="L7274" s="1" t="s">
        <v>36</v>
      </c>
      <c r="M7274" s="1" t="str">
        <f>"安徽省 六安市 舒城县 城关镇"</f>
        <v>安徽省 六安市 舒城县 城关镇</v>
      </c>
      <c r="N7274" s="1" t="str">
        <f t="shared" si="2115"/>
        <v>凡华云仓-韵达-抖音</v>
      </c>
      <c r="O7274" s="5">
        <v>320173242047106</v>
      </c>
      <c r="P7274" s="6">
        <v>0.35</v>
      </c>
      <c r="Q7274" s="11">
        <v>2.2999999999999998</v>
      </c>
      <c r="R7274" s="11"/>
      <c r="S7274" s="11"/>
      <c r="T7274" s="11"/>
      <c r="U7274" s="11">
        <f t="shared" si="2116"/>
        <v>2.2999999999999998</v>
      </c>
      <c r="W7274">
        <v>2.5</v>
      </c>
      <c r="X7274" s="1" t="s">
        <v>36</v>
      </c>
    </row>
    <row r="7275" spans="1:24" x14ac:dyDescent="0.25">
      <c r="A7275" s="1" t="str">
        <f t="shared" si="2117"/>
        <v>卡卡杜-凤凰仓</v>
      </c>
      <c r="B7275" s="1" t="str">
        <f>"CK2024101515815"</f>
        <v>CK2024101515815</v>
      </c>
      <c r="C7275" s="1" t="str">
        <f>"DD2024101557712"</f>
        <v>DD2024101557712</v>
      </c>
      <c r="D7275" s="1" t="str">
        <f>"CK2024101545174"</f>
        <v>CK2024101545174</v>
      </c>
      <c r="E7275" s="1" t="str">
        <f>"6935031252676514905"</f>
        <v>6935031252676514905</v>
      </c>
      <c r="F7275" s="1" t="str">
        <f t="shared" si="2118"/>
        <v>花都四部-凤凰仓</v>
      </c>
      <c r="G7275" s="1" t="str">
        <f t="shared" si="2114"/>
        <v>卡卡杜个人护理店（抖店）</v>
      </c>
      <c r="H7275" s="1" t="str">
        <f t="shared" si="2119"/>
        <v>正常订单</v>
      </c>
      <c r="I7275" s="1" t="str">
        <f t="shared" si="2120"/>
        <v>已发货</v>
      </c>
      <c r="J7275" s="1" t="str">
        <f t="shared" si="2124"/>
        <v>3</v>
      </c>
      <c r="K7275" s="1">
        <v>2</v>
      </c>
      <c r="L7275" s="1" t="s">
        <v>18</v>
      </c>
      <c r="M7275" s="1" t="str">
        <f>"广东省 深圳市 宝安区 福永街道"</f>
        <v>广东省 深圳市 宝安区 福永街道</v>
      </c>
      <c r="N7275" s="1" t="str">
        <f t="shared" si="2115"/>
        <v>凡华云仓-韵达-抖音</v>
      </c>
      <c r="O7275" s="5">
        <v>320173232711032</v>
      </c>
      <c r="P7275" s="6">
        <v>0.35</v>
      </c>
      <c r="Q7275" s="11">
        <v>2.2999999999999998</v>
      </c>
      <c r="R7275" s="11"/>
      <c r="S7275" s="11"/>
      <c r="T7275" s="11"/>
      <c r="U7275" s="11">
        <f t="shared" si="2116"/>
        <v>2.2999999999999998</v>
      </c>
      <c r="W7275">
        <v>2.5</v>
      </c>
      <c r="X7275" s="1" t="s">
        <v>18</v>
      </c>
    </row>
    <row r="7276" spans="1:24" x14ac:dyDescent="0.25">
      <c r="A7276" s="1" t="str">
        <f t="shared" si="2117"/>
        <v>卡卡杜-凤凰仓</v>
      </c>
      <c r="B7276" s="1" t="str">
        <f>"CK2024101515811"</f>
        <v>CK2024101515811</v>
      </c>
      <c r="C7276" s="1" t="str">
        <f>"DD2024101557708"</f>
        <v>DD2024101557708</v>
      </c>
      <c r="D7276" s="1" t="str">
        <f>"CK2024101545173"</f>
        <v>CK2024101545173</v>
      </c>
      <c r="E7276" s="1" t="str">
        <f>"6935036028134757694"</f>
        <v>6935036028134757694</v>
      </c>
      <c r="F7276" s="1" t="str">
        <f t="shared" si="2118"/>
        <v>花都四部-凤凰仓</v>
      </c>
      <c r="G7276" s="1" t="str">
        <f t="shared" si="2114"/>
        <v>卡卡杜个人护理店（抖店）</v>
      </c>
      <c r="H7276" s="1" t="str">
        <f t="shared" si="2119"/>
        <v>正常订单</v>
      </c>
      <c r="I7276" s="1" t="str">
        <f t="shared" si="2120"/>
        <v>已发货</v>
      </c>
      <c r="J7276" s="1" t="str">
        <f t="shared" si="2124"/>
        <v>3</v>
      </c>
      <c r="K7276" s="1">
        <v>2</v>
      </c>
      <c r="L7276" s="1" t="s">
        <v>80</v>
      </c>
      <c r="M7276" s="1" t="str">
        <f>"河南省 周口市 太康县 城关回族镇"</f>
        <v>河南省 周口市 太康县 城关回族镇</v>
      </c>
      <c r="N7276" s="1" t="str">
        <f t="shared" si="2115"/>
        <v>凡华云仓-韵达-抖音</v>
      </c>
      <c r="O7276" s="5">
        <v>320173232710916</v>
      </c>
      <c r="P7276" s="6">
        <v>0.35</v>
      </c>
      <c r="Q7276" s="11">
        <v>2.2999999999999998</v>
      </c>
      <c r="R7276" s="11"/>
      <c r="S7276" s="11"/>
      <c r="T7276" s="11"/>
      <c r="U7276" s="11">
        <f t="shared" si="2116"/>
        <v>2.2999999999999998</v>
      </c>
      <c r="W7276">
        <v>2.5</v>
      </c>
      <c r="X7276" s="1" t="s">
        <v>80</v>
      </c>
    </row>
    <row r="7277" spans="1:24" x14ac:dyDescent="0.25">
      <c r="A7277" s="1" t="str">
        <f t="shared" si="2117"/>
        <v>卡卡杜-凤凰仓</v>
      </c>
      <c r="B7277" s="1" t="str">
        <f>"CK2024101515818"</f>
        <v>CK2024101515818</v>
      </c>
      <c r="C7277" s="1" t="str">
        <f>"DD2024101557717"</f>
        <v>DD2024101557717</v>
      </c>
      <c r="D7277" s="1" t="str">
        <f>"CK2024101545172"</f>
        <v>CK2024101545172</v>
      </c>
      <c r="E7277" s="1" t="str">
        <f>"6935024971124643718"</f>
        <v>6935024971124643718</v>
      </c>
      <c r="F7277" s="1" t="str">
        <f t="shared" si="2118"/>
        <v>花都四部-凤凰仓</v>
      </c>
      <c r="G7277" s="1" t="str">
        <f t="shared" si="2114"/>
        <v>卡卡杜个人护理店（抖店）</v>
      </c>
      <c r="H7277" s="1" t="str">
        <f t="shared" si="2119"/>
        <v>正常订单</v>
      </c>
      <c r="I7277" s="1" t="str">
        <f t="shared" si="2120"/>
        <v>已发货</v>
      </c>
      <c r="J7277" s="1" t="str">
        <f t="shared" si="2124"/>
        <v>3</v>
      </c>
      <c r="K7277" s="1">
        <v>2</v>
      </c>
      <c r="L7277" s="1" t="s">
        <v>24</v>
      </c>
      <c r="M7277" s="1" t="str">
        <f>"福建省 泉州市 晋江市 深沪镇"</f>
        <v>福建省 泉州市 晋江市 深沪镇</v>
      </c>
      <c r="N7277" s="1" t="str">
        <f t="shared" si="2115"/>
        <v>凡华云仓-韵达-抖音</v>
      </c>
      <c r="O7277" s="5">
        <v>320173232710811</v>
      </c>
      <c r="P7277" s="6">
        <v>0.35</v>
      </c>
      <c r="Q7277" s="11">
        <v>2.2999999999999998</v>
      </c>
      <c r="R7277" s="11"/>
      <c r="S7277" s="11"/>
      <c r="T7277" s="11"/>
      <c r="U7277" s="11">
        <f t="shared" si="2116"/>
        <v>2.2999999999999998</v>
      </c>
      <c r="W7277">
        <v>2.5</v>
      </c>
      <c r="X7277" s="1" t="s">
        <v>24</v>
      </c>
    </row>
    <row r="7278" spans="1:24" x14ac:dyDescent="0.25">
      <c r="A7278" s="1" t="str">
        <f t="shared" si="2117"/>
        <v>卡卡杜-凤凰仓</v>
      </c>
      <c r="B7278" s="1" t="str">
        <f>"CK2024101515817"</f>
        <v>CK2024101515817</v>
      </c>
      <c r="C7278" s="1" t="str">
        <f>"DD2024101557713"</f>
        <v>DD2024101557713</v>
      </c>
      <c r="D7278" s="1" t="str">
        <f>"CK2024101545171"</f>
        <v>CK2024101545171</v>
      </c>
      <c r="E7278" s="1" t="str">
        <f>"6935022670712476852"</f>
        <v>6935022670712476852</v>
      </c>
      <c r="F7278" s="1" t="str">
        <f t="shared" si="2118"/>
        <v>花都四部-凤凰仓</v>
      </c>
      <c r="G7278" s="1" t="str">
        <f t="shared" si="2114"/>
        <v>卡卡杜个人护理店（抖店）</v>
      </c>
      <c r="H7278" s="1" t="str">
        <f t="shared" si="2119"/>
        <v>正常订单</v>
      </c>
      <c r="I7278" s="1" t="str">
        <f t="shared" si="2120"/>
        <v>已发货</v>
      </c>
      <c r="J7278" s="1" t="str">
        <f t="shared" si="2124"/>
        <v>3</v>
      </c>
      <c r="K7278" s="1">
        <v>2</v>
      </c>
      <c r="L7278" s="1" t="s">
        <v>161</v>
      </c>
      <c r="M7278" s="1" t="str">
        <f>"四川省 宜宾市 叙州区 "</f>
        <v xml:space="preserve">四川省 宜宾市 叙州区 </v>
      </c>
      <c r="N7278" s="1" t="str">
        <f t="shared" si="2115"/>
        <v>凡华云仓-韵达-抖音</v>
      </c>
      <c r="O7278" s="5">
        <v>320173232710708</v>
      </c>
      <c r="P7278" s="6">
        <v>0.35</v>
      </c>
      <c r="Q7278" s="11">
        <v>2.2999999999999998</v>
      </c>
      <c r="R7278" s="11"/>
      <c r="S7278" s="11"/>
      <c r="T7278" s="11"/>
      <c r="U7278" s="11">
        <f t="shared" si="2116"/>
        <v>2.2999999999999998</v>
      </c>
      <c r="W7278">
        <v>2.5</v>
      </c>
      <c r="X7278" s="1" t="s">
        <v>161</v>
      </c>
    </row>
    <row r="7279" spans="1:24" x14ac:dyDescent="0.25">
      <c r="A7279" s="1" t="str">
        <f t="shared" si="2117"/>
        <v>卡卡杜-凤凰仓</v>
      </c>
      <c r="B7279" s="1" t="str">
        <f>"CK2024101515819"</f>
        <v>CK2024101515819</v>
      </c>
      <c r="C7279" s="1" t="str">
        <f>"DD2024101557716"</f>
        <v>DD2024101557716</v>
      </c>
      <c r="D7279" s="1" t="str">
        <f>"CK2024101545170"</f>
        <v>CK2024101545170</v>
      </c>
      <c r="E7279" s="1" t="str">
        <f>"6935018242928547529"</f>
        <v>6935018242928547529</v>
      </c>
      <c r="F7279" s="1" t="str">
        <f t="shared" si="2118"/>
        <v>花都四部-凤凰仓</v>
      </c>
      <c r="G7279" s="1" t="str">
        <f t="shared" si="2114"/>
        <v>卡卡杜个人护理店（抖店）</v>
      </c>
      <c r="H7279" s="1" t="str">
        <f t="shared" si="2119"/>
        <v>正常订单</v>
      </c>
      <c r="I7279" s="1" t="str">
        <f t="shared" si="2120"/>
        <v>已发货</v>
      </c>
      <c r="J7279" s="1" t="str">
        <f t="shared" si="2124"/>
        <v>3</v>
      </c>
      <c r="K7279" s="1">
        <v>2</v>
      </c>
      <c r="L7279" s="1" t="s">
        <v>20</v>
      </c>
      <c r="M7279" s="1" t="str">
        <f>"浙江省 丽水市 龙泉市 剑池街道"</f>
        <v>浙江省 丽水市 龙泉市 剑池街道</v>
      </c>
      <c r="N7279" s="1" t="str">
        <f t="shared" si="2115"/>
        <v>凡华云仓-韵达-抖音</v>
      </c>
      <c r="O7279" s="5">
        <v>320173232710607</v>
      </c>
      <c r="P7279" s="6">
        <v>0.35</v>
      </c>
      <c r="Q7279" s="11">
        <v>2.2999999999999998</v>
      </c>
      <c r="R7279" s="11"/>
      <c r="S7279" s="11"/>
      <c r="T7279" s="11"/>
      <c r="U7279" s="11">
        <f t="shared" si="2116"/>
        <v>2.2999999999999998</v>
      </c>
      <c r="W7279">
        <v>2.5</v>
      </c>
      <c r="X7279" s="1" t="s">
        <v>20</v>
      </c>
    </row>
    <row r="7280" spans="1:24" x14ac:dyDescent="0.25">
      <c r="A7280" s="1" t="str">
        <f t="shared" si="2117"/>
        <v>卡卡杜-凤凰仓</v>
      </c>
      <c r="B7280" s="1" t="str">
        <f>"CK2024101515820"</f>
        <v>CK2024101515820</v>
      </c>
      <c r="C7280" s="1" t="str">
        <f>"DD2024101557715"</f>
        <v>DD2024101557715</v>
      </c>
      <c r="D7280" s="1" t="str">
        <f>"CK2024101545169"</f>
        <v>CK2024101545169</v>
      </c>
      <c r="E7280" s="1" t="str">
        <f>"6935022812643071515"</f>
        <v>6935022812643071515</v>
      </c>
      <c r="F7280" s="1" t="str">
        <f t="shared" si="2118"/>
        <v>花都四部-凤凰仓</v>
      </c>
      <c r="G7280" s="1" t="str">
        <f t="shared" si="2114"/>
        <v>卡卡杜个人护理店（抖店）</v>
      </c>
      <c r="H7280" s="1" t="str">
        <f t="shared" si="2119"/>
        <v>正常订单</v>
      </c>
      <c r="I7280" s="1" t="str">
        <f t="shared" si="2120"/>
        <v>已发货</v>
      </c>
      <c r="J7280" s="1" t="str">
        <f t="shared" si="2124"/>
        <v>3</v>
      </c>
      <c r="K7280" s="1">
        <v>2</v>
      </c>
      <c r="L7280" s="1" t="s">
        <v>27</v>
      </c>
      <c r="M7280" s="1" t="str">
        <f>"贵州省 安顺市 紫云苗族布依族自治县 松山街道"</f>
        <v>贵州省 安顺市 紫云苗族布依族自治县 松山街道</v>
      </c>
      <c r="N7280" s="1" t="str">
        <f t="shared" si="2115"/>
        <v>凡华云仓-韵达-抖音</v>
      </c>
      <c r="O7280" s="5">
        <v>320173232710508</v>
      </c>
      <c r="P7280" s="6">
        <v>0.35</v>
      </c>
      <c r="Q7280" s="11">
        <v>2.2999999999999998</v>
      </c>
      <c r="R7280" s="11"/>
      <c r="S7280" s="11"/>
      <c r="T7280" s="11"/>
      <c r="U7280" s="11">
        <f t="shared" si="2116"/>
        <v>2.2999999999999998</v>
      </c>
      <c r="W7280">
        <v>2.5</v>
      </c>
      <c r="X7280" s="1" t="s">
        <v>27</v>
      </c>
    </row>
    <row r="7281" spans="1:24" x14ac:dyDescent="0.25">
      <c r="A7281" s="1" t="str">
        <f t="shared" si="2117"/>
        <v>卡卡杜-凤凰仓</v>
      </c>
      <c r="B7281" s="1" t="str">
        <f>"CK2024101515821"</f>
        <v>CK2024101515821</v>
      </c>
      <c r="C7281" s="1" t="str">
        <f>"DD2024101557723"</f>
        <v>DD2024101557723</v>
      </c>
      <c r="D7281" s="1" t="str">
        <f>"CK2024101545168"</f>
        <v>CK2024101545168</v>
      </c>
      <c r="E7281" s="1" t="str">
        <f>"6935024851067606036"</f>
        <v>6935024851067606036</v>
      </c>
      <c r="F7281" s="1" t="str">
        <f t="shared" si="2118"/>
        <v>花都四部-凤凰仓</v>
      </c>
      <c r="G7281" s="1" t="str">
        <f t="shared" si="2114"/>
        <v>卡卡杜个人护理店（抖店）</v>
      </c>
      <c r="H7281" s="1" t="str">
        <f t="shared" si="2119"/>
        <v>正常订单</v>
      </c>
      <c r="I7281" s="1" t="str">
        <f t="shared" si="2120"/>
        <v>已发货</v>
      </c>
      <c r="J7281" s="1" t="str">
        <f t="shared" si="2124"/>
        <v>3</v>
      </c>
      <c r="K7281" s="1">
        <v>2</v>
      </c>
      <c r="L7281" s="1" t="s">
        <v>13</v>
      </c>
      <c r="M7281" s="1" t="str">
        <f>"江苏省 南京市 六合区 葛塘街道"</f>
        <v>江苏省 南京市 六合区 葛塘街道</v>
      </c>
      <c r="N7281" s="1" t="str">
        <f t="shared" si="2115"/>
        <v>凡华云仓-韵达-抖音</v>
      </c>
      <c r="O7281" s="5">
        <v>320173232710411</v>
      </c>
      <c r="P7281" s="6">
        <v>0.35</v>
      </c>
      <c r="Q7281" s="11">
        <v>2.2999999999999998</v>
      </c>
      <c r="R7281" s="11"/>
      <c r="S7281" s="11"/>
      <c r="T7281" s="11"/>
      <c r="U7281" s="11">
        <f t="shared" si="2116"/>
        <v>2.2999999999999998</v>
      </c>
      <c r="W7281">
        <v>2.5</v>
      </c>
      <c r="X7281" s="1" t="s">
        <v>13</v>
      </c>
    </row>
    <row r="7282" spans="1:24" x14ac:dyDescent="0.25">
      <c r="A7282" s="1" t="str">
        <f t="shared" si="2117"/>
        <v>卡卡杜-凤凰仓</v>
      </c>
      <c r="B7282" s="1" t="str">
        <f>"CK2024101515822"</f>
        <v>CK2024101515822</v>
      </c>
      <c r="C7282" s="1" t="str">
        <f>"DD2024101557724"</f>
        <v>DD2024101557724</v>
      </c>
      <c r="D7282" s="1" t="str">
        <f>"CK2024101545167"</f>
        <v>CK2024101545167</v>
      </c>
      <c r="E7282" s="1" t="str">
        <f>"6935038159002539166"</f>
        <v>6935038159002539166</v>
      </c>
      <c r="F7282" s="1" t="str">
        <f t="shared" si="2118"/>
        <v>花都四部-凤凰仓</v>
      </c>
      <c r="G7282" s="1" t="str">
        <f t="shared" si="2114"/>
        <v>卡卡杜个人护理店（抖店）</v>
      </c>
      <c r="H7282" s="1" t="str">
        <f t="shared" si="2119"/>
        <v>正常订单</v>
      </c>
      <c r="I7282" s="1" t="str">
        <f t="shared" si="2120"/>
        <v>已发货</v>
      </c>
      <c r="J7282" s="1" t="str">
        <f t="shared" si="2124"/>
        <v>3</v>
      </c>
      <c r="K7282" s="1">
        <v>2</v>
      </c>
      <c r="L7282" s="1" t="s">
        <v>41</v>
      </c>
      <c r="M7282" s="1" t="str">
        <f>"湖北省 恩施土家族苗族自治州 恩施市 白杨坪镇"</f>
        <v>湖北省 恩施土家族苗族自治州 恩施市 白杨坪镇</v>
      </c>
      <c r="N7282" s="1" t="str">
        <f t="shared" si="2115"/>
        <v>凡华云仓-韵达-抖音</v>
      </c>
      <c r="O7282" s="5">
        <v>320173232710316</v>
      </c>
      <c r="P7282" s="6">
        <v>0.35</v>
      </c>
      <c r="Q7282" s="11">
        <v>2.2999999999999998</v>
      </c>
      <c r="R7282" s="11"/>
      <c r="S7282" s="11"/>
      <c r="T7282" s="11"/>
      <c r="U7282" s="11">
        <f t="shared" si="2116"/>
        <v>2.2999999999999998</v>
      </c>
      <c r="W7282">
        <v>2.5</v>
      </c>
      <c r="X7282" s="1" t="s">
        <v>41</v>
      </c>
    </row>
    <row r="7283" spans="1:24" x14ac:dyDescent="0.25">
      <c r="A7283" s="1" t="str">
        <f t="shared" si="2117"/>
        <v>卡卡杜-凤凰仓</v>
      </c>
      <c r="B7283" s="1" t="str">
        <f>"CK2024101515823"</f>
        <v>CK2024101515823</v>
      </c>
      <c r="C7283" s="1" t="str">
        <f>"DD2024101557725"</f>
        <v>DD2024101557725</v>
      </c>
      <c r="D7283" s="1" t="str">
        <f>"CK2024101545166"</f>
        <v>CK2024101545166</v>
      </c>
      <c r="E7283" s="1" t="str">
        <f>"6935020374528365949"</f>
        <v>6935020374528365949</v>
      </c>
      <c r="F7283" s="1" t="str">
        <f t="shared" si="2118"/>
        <v>花都四部-凤凰仓</v>
      </c>
      <c r="G7283" s="1" t="str">
        <f t="shared" si="2114"/>
        <v>卡卡杜个人护理店（抖店）</v>
      </c>
      <c r="H7283" s="1" t="str">
        <f t="shared" si="2119"/>
        <v>正常订单</v>
      </c>
      <c r="I7283" s="1" t="str">
        <f t="shared" si="2120"/>
        <v>已发货</v>
      </c>
      <c r="J7283" s="1" t="str">
        <f t="shared" si="2124"/>
        <v>3</v>
      </c>
      <c r="K7283" s="1">
        <v>2</v>
      </c>
      <c r="L7283" s="1" t="s">
        <v>44</v>
      </c>
      <c r="M7283" s="1" t="str">
        <f>"海南省 临高县 临高县 临城镇"</f>
        <v>海南省 临高县 临高县 临城镇</v>
      </c>
      <c r="N7283" s="1" t="str">
        <f t="shared" si="2115"/>
        <v>凡华云仓-韵达-抖音</v>
      </c>
      <c r="O7283" s="5">
        <v>320173232710223</v>
      </c>
      <c r="P7283" s="6">
        <v>0.35</v>
      </c>
      <c r="Q7283" s="11">
        <v>2.2999999999999998</v>
      </c>
      <c r="R7283" s="11"/>
      <c r="S7283" s="11"/>
      <c r="T7283" s="11"/>
      <c r="U7283" s="11">
        <f t="shared" si="2116"/>
        <v>2.2999999999999998</v>
      </c>
      <c r="W7283">
        <v>2.5</v>
      </c>
      <c r="X7283" s="1" t="s">
        <v>44</v>
      </c>
    </row>
    <row r="7284" spans="1:24" x14ac:dyDescent="0.25">
      <c r="A7284" s="1" t="str">
        <f t="shared" si="2117"/>
        <v>卡卡杜-凤凰仓</v>
      </c>
      <c r="B7284" s="1" t="str">
        <f>"CK2024101515824"</f>
        <v>CK2024101515824</v>
      </c>
      <c r="C7284" s="1" t="str">
        <f>"DD2024101557726"</f>
        <v>DD2024101557726</v>
      </c>
      <c r="D7284" s="1" t="str">
        <f>"CK2024101545165"</f>
        <v>CK2024101545165</v>
      </c>
      <c r="E7284" s="1" t="str">
        <f>"6935011297024874149"</f>
        <v>6935011297024874149</v>
      </c>
      <c r="F7284" s="1" t="str">
        <f t="shared" si="2118"/>
        <v>花都四部-凤凰仓</v>
      </c>
      <c r="G7284" s="1" t="str">
        <f t="shared" si="2114"/>
        <v>卡卡杜个人护理店（抖店）</v>
      </c>
      <c r="H7284" s="1" t="str">
        <f t="shared" si="2119"/>
        <v>正常订单</v>
      </c>
      <c r="I7284" s="1" t="str">
        <f t="shared" si="2120"/>
        <v>已发货</v>
      </c>
      <c r="J7284" s="1" t="str">
        <f t="shared" si="2124"/>
        <v>3</v>
      </c>
      <c r="K7284" s="1">
        <v>2</v>
      </c>
      <c r="L7284" s="1" t="s">
        <v>20</v>
      </c>
      <c r="M7284" s="1" t="str">
        <f>"浙江省 金华市 婺城区 "</f>
        <v xml:space="preserve">浙江省 金华市 婺城区 </v>
      </c>
      <c r="N7284" s="1" t="str">
        <f t="shared" si="2115"/>
        <v>凡华云仓-韵达-抖音</v>
      </c>
      <c r="O7284" s="5">
        <v>320173232710132</v>
      </c>
      <c r="P7284" s="6">
        <v>0.35</v>
      </c>
      <c r="Q7284" s="11">
        <v>2.2999999999999998</v>
      </c>
      <c r="R7284" s="11"/>
      <c r="S7284" s="11"/>
      <c r="T7284" s="11"/>
      <c r="U7284" s="11">
        <f t="shared" si="2116"/>
        <v>2.2999999999999998</v>
      </c>
      <c r="W7284">
        <v>2.5</v>
      </c>
      <c r="X7284" s="1" t="s">
        <v>20</v>
      </c>
    </row>
    <row r="7285" spans="1:24" x14ac:dyDescent="0.25">
      <c r="A7285" s="1" t="str">
        <f t="shared" si="2117"/>
        <v>卡卡杜-凤凰仓</v>
      </c>
      <c r="B7285" s="1" t="str">
        <f>"CK2024101538"</f>
        <v>CK2024101538</v>
      </c>
      <c r="C7285" s="1" t="str">
        <f>"DD2024101525513"</f>
        <v>DD2024101525513</v>
      </c>
      <c r="D7285" s="1" t="str">
        <f>"CK2024101523986"</f>
        <v>CK2024101523986</v>
      </c>
      <c r="E7285" s="1" t="str">
        <f>"2428902003216961"</f>
        <v>2428902003216961</v>
      </c>
      <c r="F7285" s="1" t="str">
        <f t="shared" si="2118"/>
        <v>花都四部-凤凰仓</v>
      </c>
      <c r="G7285" s="1" t="str">
        <f>"卡卡杜佳旺专卖店（快手店）"</f>
        <v>卡卡杜佳旺专卖店（快手店）</v>
      </c>
      <c r="H7285" s="1" t="str">
        <f t="shared" si="2119"/>
        <v>正常订单</v>
      </c>
      <c r="I7285" s="1" t="str">
        <f t="shared" si="2120"/>
        <v>已发货</v>
      </c>
      <c r="J7285" s="1" t="str">
        <f t="shared" ref="J7285:J7287" si="2125">"1"</f>
        <v>1</v>
      </c>
      <c r="K7285" s="1">
        <v>1</v>
      </c>
      <c r="L7285" s="1" t="s">
        <v>740</v>
      </c>
      <c r="M7285" s="1" t="str">
        <f>"宁夏回族自治区 银川市 兴庆区 凤凰北街街道"</f>
        <v>宁夏回族自治区 银川市 兴庆区 凤凰北街街道</v>
      </c>
      <c r="N7285" s="1" t="str">
        <f>"凡华云仓-韵达-快手"</f>
        <v>凡华云仓-韵达-快手</v>
      </c>
      <c r="O7285" s="5">
        <v>319207434156263</v>
      </c>
      <c r="P7285" s="6">
        <v>0.12</v>
      </c>
      <c r="Q7285" s="11">
        <v>2</v>
      </c>
      <c r="R7285" s="11"/>
      <c r="S7285" s="11"/>
      <c r="T7285" s="11"/>
      <c r="U7285" s="11">
        <f t="shared" si="2116"/>
        <v>2</v>
      </c>
      <c r="W7285">
        <v>2.2000000000000002</v>
      </c>
      <c r="X7285" s="1" t="s">
        <v>740</v>
      </c>
    </row>
    <row r="7286" spans="1:24" x14ac:dyDescent="0.25">
      <c r="A7286" s="1" t="str">
        <f t="shared" si="2117"/>
        <v>卡卡杜-凤凰仓</v>
      </c>
      <c r="B7286" s="1" t="str">
        <f>"CK2024101537"</f>
        <v>CK2024101537</v>
      </c>
      <c r="C7286" s="1" t="str">
        <f>"DD2024101525510"</f>
        <v>DD2024101525510</v>
      </c>
      <c r="D7286" s="1" t="str">
        <f>"CK2024101523547"</f>
        <v>CK2024101523547</v>
      </c>
      <c r="E7286" s="1" t="str">
        <f>"4080409159801601846"</f>
        <v>4080409159801601846</v>
      </c>
      <c r="F7286" s="1" t="str">
        <f t="shared" si="2118"/>
        <v>花都四部-凤凰仓</v>
      </c>
      <c r="G7286" s="1" t="str">
        <f>"卡卡杜旗舰店(天猫）"</f>
        <v>卡卡杜旗舰店(天猫）</v>
      </c>
      <c r="H7286" s="1" t="str">
        <f t="shared" si="2119"/>
        <v>正常订单</v>
      </c>
      <c r="I7286" s="1" t="str">
        <f t="shared" si="2120"/>
        <v>已发货</v>
      </c>
      <c r="J7286" s="1" t="str">
        <f t="shared" si="2125"/>
        <v>1</v>
      </c>
      <c r="K7286" s="1">
        <v>1</v>
      </c>
      <c r="L7286" s="1" t="s">
        <v>20</v>
      </c>
      <c r="M7286" s="1" t="str">
        <f>"浙江省 杭州市 上城区 "</f>
        <v xml:space="preserve">浙江省 杭州市 上城区 </v>
      </c>
      <c r="N7286" s="1" t="str">
        <f>"凡华云仓-韵达-淘宝"</f>
        <v>凡华云仓-韵达-淘宝</v>
      </c>
      <c r="O7286" s="5">
        <v>434190185774417</v>
      </c>
      <c r="P7286" s="6">
        <v>0.19</v>
      </c>
      <c r="Q7286" s="11">
        <v>2</v>
      </c>
      <c r="R7286" s="11"/>
      <c r="S7286" s="11"/>
      <c r="T7286" s="11"/>
      <c r="U7286" s="11">
        <f t="shared" si="2116"/>
        <v>2</v>
      </c>
      <c r="W7286">
        <v>2.2000000000000002</v>
      </c>
      <c r="X7286" s="1" t="s">
        <v>20</v>
      </c>
    </row>
    <row r="7287" spans="1:24" x14ac:dyDescent="0.25">
      <c r="A7287" s="1" t="str">
        <f t="shared" si="2117"/>
        <v>卡卡杜-凤凰仓</v>
      </c>
      <c r="B7287" s="1" t="str">
        <f>"CK2024101536"</f>
        <v>CK2024101536</v>
      </c>
      <c r="C7287" s="1" t="str">
        <f>"DD2024101525515"</f>
        <v>DD2024101525515</v>
      </c>
      <c r="D7287" s="1" t="str">
        <f>"CK2024101523545"</f>
        <v>CK2024101523545</v>
      </c>
      <c r="E7287" s="1" t="str">
        <f>"4080904057804725720"</f>
        <v>4080904057804725720</v>
      </c>
      <c r="F7287" s="1" t="str">
        <f t="shared" si="2118"/>
        <v>花都四部-凤凰仓</v>
      </c>
      <c r="G7287" s="1" t="str">
        <f>"卡卡杜旗舰店(天猫）"</f>
        <v>卡卡杜旗舰店(天猫）</v>
      </c>
      <c r="H7287" s="1" t="str">
        <f t="shared" si="2119"/>
        <v>正常订单</v>
      </c>
      <c r="I7287" s="1" t="str">
        <f t="shared" si="2120"/>
        <v>已发货</v>
      </c>
      <c r="J7287" s="1" t="str">
        <f t="shared" si="2125"/>
        <v>1</v>
      </c>
      <c r="K7287" s="1">
        <v>1</v>
      </c>
      <c r="L7287" s="1" t="s">
        <v>20</v>
      </c>
      <c r="M7287" s="1" t="str">
        <f>"浙江省 台州市 温岭市 "</f>
        <v xml:space="preserve">浙江省 台州市 温岭市 </v>
      </c>
      <c r="N7287" s="1" t="str">
        <f>"凡华云仓-韵达-淘宝"</f>
        <v>凡华云仓-韵达-淘宝</v>
      </c>
      <c r="O7287" s="5">
        <v>434190243242101</v>
      </c>
      <c r="P7287" s="6">
        <v>0.19</v>
      </c>
      <c r="Q7287" s="11">
        <v>2</v>
      </c>
      <c r="R7287" s="11"/>
      <c r="S7287" s="11"/>
      <c r="T7287" s="11"/>
      <c r="U7287" s="11">
        <f t="shared" si="2116"/>
        <v>2</v>
      </c>
      <c r="W7287">
        <v>2.2000000000000002</v>
      </c>
      <c r="X7287" s="1" t="s">
        <v>20</v>
      </c>
    </row>
    <row r="7288" spans="1:24" x14ac:dyDescent="0.25">
      <c r="A7288" s="1" t="str">
        <f t="shared" si="2117"/>
        <v>卡卡杜-凤凰仓</v>
      </c>
      <c r="B7288" s="1" t="str">
        <f>"CK2024101547"</f>
        <v>CK2024101547</v>
      </c>
      <c r="C7288" s="1" t="str">
        <f>"DD2024101525521"</f>
        <v>DD2024101525521</v>
      </c>
      <c r="D7288" s="1" t="str">
        <f>"CK2024101523023"</f>
        <v>CK2024101523023</v>
      </c>
      <c r="E7288" s="1" t="str">
        <f>"3723321643160962560"</f>
        <v>3723321643160962560</v>
      </c>
      <c r="F7288" s="1" t="str">
        <f t="shared" si="2118"/>
        <v>花都四部-凤凰仓</v>
      </c>
      <c r="G7288" s="1" t="str">
        <f t="shared" ref="G7288:G7294" si="2126">"卡卡杜企业店（视频号）"</f>
        <v>卡卡杜企业店（视频号）</v>
      </c>
      <c r="H7288" s="1" t="str">
        <f t="shared" si="2119"/>
        <v>正常订单</v>
      </c>
      <c r="I7288" s="1" t="str">
        <f t="shared" si="2120"/>
        <v>已发货</v>
      </c>
      <c r="J7288" s="1" t="str">
        <f t="shared" ref="J7288:J7293" si="2127">"3"</f>
        <v>3</v>
      </c>
      <c r="K7288" s="1">
        <v>3</v>
      </c>
      <c r="L7288" s="1" t="s">
        <v>52</v>
      </c>
      <c r="M7288" s="1" t="str">
        <f>"甘肃省 兰州市 安宁区 "</f>
        <v xml:space="preserve">甘肃省 兰州市 安宁区 </v>
      </c>
      <c r="N7288" s="1" t="str">
        <f t="shared" ref="N7288:N7294" si="2128">"凡华云仓-韵达-微信视频号"</f>
        <v>凡华云仓-韵达-微信视频号</v>
      </c>
      <c r="O7288" s="5">
        <v>315013020589716</v>
      </c>
      <c r="P7288" s="6">
        <v>0.34</v>
      </c>
      <c r="Q7288" s="11">
        <v>2.2999999999999998</v>
      </c>
      <c r="R7288" s="11"/>
      <c r="S7288" s="11"/>
      <c r="T7288" s="11"/>
      <c r="U7288" s="11">
        <f t="shared" si="2116"/>
        <v>2.2999999999999998</v>
      </c>
      <c r="W7288">
        <v>2.5</v>
      </c>
      <c r="X7288" s="1" t="s">
        <v>52</v>
      </c>
    </row>
    <row r="7289" spans="1:24" x14ac:dyDescent="0.25">
      <c r="A7289" s="1" t="str">
        <f t="shared" si="2117"/>
        <v>卡卡杜-凤凰仓</v>
      </c>
      <c r="B7289" s="1" t="str">
        <f>"CK2024101546"</f>
        <v>CK2024101546</v>
      </c>
      <c r="C7289" s="1" t="str">
        <f>"DD2024101525520"</f>
        <v>DD2024101525520</v>
      </c>
      <c r="D7289" s="1" t="str">
        <f>"CK2024101523022"</f>
        <v>CK2024101523022</v>
      </c>
      <c r="E7289" s="1" t="str">
        <f>"3723310920127874304"</f>
        <v>3723310920127874304</v>
      </c>
      <c r="F7289" s="1" t="str">
        <f t="shared" si="2118"/>
        <v>花都四部-凤凰仓</v>
      </c>
      <c r="G7289" s="1" t="str">
        <f t="shared" si="2126"/>
        <v>卡卡杜企业店（视频号）</v>
      </c>
      <c r="H7289" s="1" t="str">
        <f t="shared" si="2119"/>
        <v>正常订单</v>
      </c>
      <c r="I7289" s="1" t="str">
        <f t="shared" si="2120"/>
        <v>已发货</v>
      </c>
      <c r="J7289" s="1" t="str">
        <f t="shared" si="2127"/>
        <v>3</v>
      </c>
      <c r="K7289" s="1">
        <v>3</v>
      </c>
      <c r="L7289" s="1" t="s">
        <v>30</v>
      </c>
      <c r="M7289" s="1" t="str">
        <f>"山东省 淄博市 桓台县 "</f>
        <v xml:space="preserve">山东省 淄博市 桓台县 </v>
      </c>
      <c r="N7289" s="1" t="str">
        <f t="shared" si="2128"/>
        <v>凡华云仓-韵达-微信视频号</v>
      </c>
      <c r="O7289" s="5">
        <v>315013021777902</v>
      </c>
      <c r="P7289" s="6">
        <v>0.34</v>
      </c>
      <c r="Q7289" s="11">
        <v>2.2999999999999998</v>
      </c>
      <c r="R7289" s="11"/>
      <c r="S7289" s="11"/>
      <c r="T7289" s="11"/>
      <c r="U7289" s="11">
        <f t="shared" si="2116"/>
        <v>2.2999999999999998</v>
      </c>
      <c r="W7289">
        <v>2.5</v>
      </c>
      <c r="X7289" s="1" t="s">
        <v>30</v>
      </c>
    </row>
    <row r="7290" spans="1:24" x14ac:dyDescent="0.25">
      <c r="A7290" s="1" t="str">
        <f t="shared" si="2117"/>
        <v>卡卡杜-凤凰仓</v>
      </c>
      <c r="B7290" s="1" t="str">
        <f>"CK2024101552"</f>
        <v>CK2024101552</v>
      </c>
      <c r="C7290" s="1" t="str">
        <f>"DD2024101525525"</f>
        <v>DD2024101525525</v>
      </c>
      <c r="D7290" s="1" t="str">
        <f>"CK2024101523020"</f>
        <v>CK2024101523020</v>
      </c>
      <c r="E7290" s="1" t="str">
        <f>"3723310950491230208"</f>
        <v>3723310950491230208</v>
      </c>
      <c r="F7290" s="1" t="str">
        <f t="shared" si="2118"/>
        <v>花都四部-凤凰仓</v>
      </c>
      <c r="G7290" s="1" t="str">
        <f t="shared" si="2126"/>
        <v>卡卡杜企业店（视频号）</v>
      </c>
      <c r="H7290" s="1" t="str">
        <f t="shared" si="2119"/>
        <v>正常订单</v>
      </c>
      <c r="I7290" s="1" t="str">
        <f t="shared" si="2120"/>
        <v>已发货</v>
      </c>
      <c r="J7290" s="1" t="str">
        <f>"5"</f>
        <v>5</v>
      </c>
      <c r="K7290" s="1">
        <v>3</v>
      </c>
      <c r="L7290" s="1" t="s">
        <v>20</v>
      </c>
      <c r="M7290" s="1" t="str">
        <f>"浙江省 绍兴市 诸暨市 "</f>
        <v xml:space="preserve">浙江省 绍兴市 诸暨市 </v>
      </c>
      <c r="N7290" s="1" t="str">
        <f t="shared" si="2128"/>
        <v>凡华云仓-韵达-微信视频号</v>
      </c>
      <c r="O7290" s="5">
        <v>315013021769701</v>
      </c>
      <c r="P7290" s="6">
        <v>0.47</v>
      </c>
      <c r="Q7290" s="11">
        <v>2.2999999999999998</v>
      </c>
      <c r="R7290" s="11"/>
      <c r="S7290" s="11"/>
      <c r="T7290" s="11"/>
      <c r="U7290" s="11">
        <f t="shared" si="2116"/>
        <v>2.2999999999999998</v>
      </c>
      <c r="W7290">
        <v>2.5</v>
      </c>
      <c r="X7290" s="1" t="s">
        <v>20</v>
      </c>
    </row>
    <row r="7291" spans="1:24" x14ac:dyDescent="0.25">
      <c r="A7291" s="1" t="str">
        <f t="shared" si="2117"/>
        <v>卡卡杜-凤凰仓</v>
      </c>
      <c r="B7291" s="1" t="str">
        <f>"CK2024101550"</f>
        <v>CK2024101550</v>
      </c>
      <c r="C7291" s="1" t="str">
        <f>"DD2024101525527"</f>
        <v>DD2024101525527</v>
      </c>
      <c r="D7291" s="1" t="str">
        <f>"CK2024101523018"</f>
        <v>CK2024101523018</v>
      </c>
      <c r="E7291" s="1" t="str">
        <f>"3723319104297373696"</f>
        <v>3723319104297373696</v>
      </c>
      <c r="F7291" s="1" t="str">
        <f t="shared" si="2118"/>
        <v>花都四部-凤凰仓</v>
      </c>
      <c r="G7291" s="1" t="str">
        <f t="shared" si="2126"/>
        <v>卡卡杜企业店（视频号）</v>
      </c>
      <c r="H7291" s="1" t="str">
        <f t="shared" si="2119"/>
        <v>正常订单</v>
      </c>
      <c r="I7291" s="1" t="str">
        <f t="shared" si="2120"/>
        <v>已发货</v>
      </c>
      <c r="J7291" s="1" t="str">
        <f t="shared" si="2127"/>
        <v>3</v>
      </c>
      <c r="K7291" s="1">
        <v>3</v>
      </c>
      <c r="L7291" s="1" t="s">
        <v>161</v>
      </c>
      <c r="M7291" s="1" t="str">
        <f>"四川省 成都市 金牛区 "</f>
        <v xml:space="preserve">四川省 成都市 金牛区 </v>
      </c>
      <c r="N7291" s="1" t="str">
        <f t="shared" si="2128"/>
        <v>凡华云仓-韵达-微信视频号</v>
      </c>
      <c r="O7291" s="5">
        <v>315013020585132</v>
      </c>
      <c r="P7291" s="6">
        <v>0.34</v>
      </c>
      <c r="Q7291" s="11">
        <v>2.2999999999999998</v>
      </c>
      <c r="R7291" s="11"/>
      <c r="S7291" s="11"/>
      <c r="T7291" s="11"/>
      <c r="U7291" s="11">
        <f t="shared" si="2116"/>
        <v>2.2999999999999998</v>
      </c>
      <c r="W7291">
        <v>2.5</v>
      </c>
      <c r="X7291" s="1" t="s">
        <v>161</v>
      </c>
    </row>
    <row r="7292" spans="1:24" x14ac:dyDescent="0.25">
      <c r="A7292" s="1" t="str">
        <f t="shared" si="2117"/>
        <v>卡卡杜-凤凰仓</v>
      </c>
      <c r="B7292" s="1" t="str">
        <f>"CK2024101548"</f>
        <v>CK2024101548</v>
      </c>
      <c r="C7292" s="1" t="str">
        <f>"DD2024101525523"</f>
        <v>DD2024101525523</v>
      </c>
      <c r="D7292" s="1" t="str">
        <f>"CK2024101523017"</f>
        <v>CK2024101523017</v>
      </c>
      <c r="E7292" s="1" t="str">
        <f>"3723306925788368896"</f>
        <v>3723306925788368896</v>
      </c>
      <c r="F7292" s="1" t="str">
        <f t="shared" si="2118"/>
        <v>花都四部-凤凰仓</v>
      </c>
      <c r="G7292" s="1" t="str">
        <f t="shared" si="2126"/>
        <v>卡卡杜企业店（视频号）</v>
      </c>
      <c r="H7292" s="1" t="str">
        <f t="shared" si="2119"/>
        <v>正常订单</v>
      </c>
      <c r="I7292" s="1" t="str">
        <f t="shared" si="2120"/>
        <v>已发货</v>
      </c>
      <c r="J7292" s="1" t="str">
        <f t="shared" si="2127"/>
        <v>3</v>
      </c>
      <c r="K7292" s="1">
        <v>3</v>
      </c>
      <c r="L7292" s="1" t="s">
        <v>74</v>
      </c>
      <c r="M7292" s="1" t="str">
        <f>"上海 上海市 浦东新区 "</f>
        <v xml:space="preserve">上海 上海市 浦东新区 </v>
      </c>
      <c r="N7292" s="1" t="str">
        <f t="shared" si="2128"/>
        <v>凡华云仓-韵达-微信视频号</v>
      </c>
      <c r="O7292" s="5">
        <v>315013021762223</v>
      </c>
      <c r="P7292" s="6">
        <v>0.34</v>
      </c>
      <c r="Q7292" s="11">
        <v>2.2999999999999998</v>
      </c>
      <c r="R7292" s="11"/>
      <c r="S7292" s="11"/>
      <c r="T7292" s="11"/>
      <c r="U7292" s="11">
        <f t="shared" si="2116"/>
        <v>2.2999999999999998</v>
      </c>
      <c r="W7292">
        <v>2.5</v>
      </c>
      <c r="X7292" s="1" t="s">
        <v>74</v>
      </c>
    </row>
    <row r="7293" spans="1:24" x14ac:dyDescent="0.25">
      <c r="A7293" s="1" t="str">
        <f t="shared" si="2117"/>
        <v>卡卡杜-凤凰仓</v>
      </c>
      <c r="B7293" s="1" t="str">
        <f>"CK2024101549"</f>
        <v>CK2024101549</v>
      </c>
      <c r="C7293" s="1" t="str">
        <f>"DD2024101525522"</f>
        <v>DD2024101525522</v>
      </c>
      <c r="D7293" s="1" t="str">
        <f>"CK2024101523015"</f>
        <v>CK2024101523015</v>
      </c>
      <c r="E7293" s="1" t="str">
        <f>"3723320635646153728"</f>
        <v>3723320635646153728</v>
      </c>
      <c r="F7293" s="1" t="str">
        <f t="shared" si="2118"/>
        <v>花都四部-凤凰仓</v>
      </c>
      <c r="G7293" s="1" t="str">
        <f t="shared" si="2126"/>
        <v>卡卡杜企业店（视频号）</v>
      </c>
      <c r="H7293" s="1" t="str">
        <f t="shared" si="2119"/>
        <v>正常订单</v>
      </c>
      <c r="I7293" s="1" t="str">
        <f t="shared" si="2120"/>
        <v>已发货</v>
      </c>
      <c r="J7293" s="1" t="str">
        <f t="shared" si="2127"/>
        <v>3</v>
      </c>
      <c r="K7293" s="1">
        <v>3</v>
      </c>
      <c r="L7293" s="1" t="s">
        <v>30</v>
      </c>
      <c r="M7293" s="1" t="str">
        <f>"山东省 菏泽市 巨野县 "</f>
        <v xml:space="preserve">山东省 菏泽市 巨野县 </v>
      </c>
      <c r="N7293" s="1" t="str">
        <f t="shared" si="2128"/>
        <v>凡华云仓-韵达-微信视频号</v>
      </c>
      <c r="O7293" s="5">
        <v>315013020579137</v>
      </c>
      <c r="P7293" s="6">
        <v>0.34</v>
      </c>
      <c r="Q7293" s="11">
        <v>2.2999999999999998</v>
      </c>
      <c r="R7293" s="11"/>
      <c r="S7293" s="11"/>
      <c r="T7293" s="11"/>
      <c r="U7293" s="11">
        <f t="shared" si="2116"/>
        <v>2.2999999999999998</v>
      </c>
      <c r="W7293">
        <v>2.5</v>
      </c>
      <c r="X7293" s="1" t="s">
        <v>30</v>
      </c>
    </row>
    <row r="7294" spans="1:24" x14ac:dyDescent="0.25">
      <c r="A7294" s="1" t="str">
        <f t="shared" si="2117"/>
        <v>卡卡杜-凤凰仓</v>
      </c>
      <c r="B7294" s="1" t="str">
        <f>"CK2024101543"</f>
        <v>CK2024101543</v>
      </c>
      <c r="C7294" s="1" t="str">
        <f>"DD2024101525516"</f>
        <v>DD2024101525516</v>
      </c>
      <c r="D7294" s="1" t="str">
        <f>"CK2024101523013"</f>
        <v>CK2024101523013</v>
      </c>
      <c r="E7294" s="1" t="str">
        <f>"3723320614605161728"</f>
        <v>3723320614605161728</v>
      </c>
      <c r="F7294" s="1" t="str">
        <f t="shared" si="2118"/>
        <v>花都四部-凤凰仓</v>
      </c>
      <c r="G7294" s="1" t="str">
        <f t="shared" si="2126"/>
        <v>卡卡杜企业店（视频号）</v>
      </c>
      <c r="H7294" s="1" t="str">
        <f t="shared" si="2119"/>
        <v>正常订单</v>
      </c>
      <c r="I7294" s="1" t="str">
        <f t="shared" si="2120"/>
        <v>已发货</v>
      </c>
      <c r="J7294" s="1" t="str">
        <f>"6"</f>
        <v>6</v>
      </c>
      <c r="K7294" s="1">
        <v>3</v>
      </c>
      <c r="L7294" s="1" t="s">
        <v>18</v>
      </c>
      <c r="M7294" s="1" t="str">
        <f>"广东省 深圳市 深圳市 "</f>
        <v xml:space="preserve">广东省 深圳市 深圳市 </v>
      </c>
      <c r="N7294" s="1" t="str">
        <f t="shared" si="2128"/>
        <v>凡华云仓-韵达-微信视频号</v>
      </c>
      <c r="O7294" s="5">
        <v>315013020573816</v>
      </c>
      <c r="P7294" s="6">
        <v>0.55000000000000004</v>
      </c>
      <c r="Q7294" s="11">
        <f>CEILING(P7294-0.5,0.1)*10*0.15+2.3</f>
        <v>2.4499999999999997</v>
      </c>
      <c r="R7294" s="11"/>
      <c r="S7294" s="11"/>
      <c r="T7294" s="11"/>
      <c r="U7294" s="11">
        <f t="shared" si="2116"/>
        <v>2.4499999999999997</v>
      </c>
      <c r="V7294" t="s">
        <v>15</v>
      </c>
      <c r="W7294">
        <v>2.4500000000000002</v>
      </c>
      <c r="X7294" s="1" t="s">
        <v>18</v>
      </c>
    </row>
    <row r="7295" spans="1:24" x14ac:dyDescent="0.25">
      <c r="A7295" s="1" t="str">
        <f t="shared" si="2117"/>
        <v>卡卡杜-凤凰仓</v>
      </c>
      <c r="B7295" s="1" t="str">
        <f>"CK2024101598"</f>
        <v>CK2024101598</v>
      </c>
      <c r="C7295" s="1" t="str">
        <f>"DD2024101525573"</f>
        <v>DD2024101525573</v>
      </c>
      <c r="D7295" s="1" t="str">
        <f>"CK2024101522088"</f>
        <v>CK2024101522088</v>
      </c>
      <c r="E7295" s="1" t="str">
        <f>"6935008783839598506"</f>
        <v>6935008783839598506</v>
      </c>
      <c r="F7295" s="1" t="str">
        <f t="shared" si="2118"/>
        <v>花都四部-凤凰仓</v>
      </c>
      <c r="G7295" s="1" t="str">
        <f t="shared" ref="G7295:G7358" si="2129">"卡卡杜个人护理店（抖店）"</f>
        <v>卡卡杜个人护理店（抖店）</v>
      </c>
      <c r="H7295" s="1" t="str">
        <f t="shared" si="2119"/>
        <v>正常订单</v>
      </c>
      <c r="I7295" s="1" t="str">
        <f t="shared" si="2120"/>
        <v>已发货</v>
      </c>
      <c r="J7295" s="1" t="str">
        <f t="shared" ref="J7295:J7327" si="2130">"3"</f>
        <v>3</v>
      </c>
      <c r="K7295" s="1">
        <v>2</v>
      </c>
      <c r="L7295" s="1" t="s">
        <v>22</v>
      </c>
      <c r="M7295" s="1" t="str">
        <f>"江西省 吉安市 安福县 平都镇"</f>
        <v>江西省 吉安市 安福县 平都镇</v>
      </c>
      <c r="N7295" s="1" t="str">
        <f t="shared" ref="N7295:N7358" si="2131">"凡华云仓-韵达-抖音"</f>
        <v>凡华云仓-韵达-抖音</v>
      </c>
      <c r="O7295" s="5">
        <v>320172574444730</v>
      </c>
      <c r="P7295" s="6">
        <v>0.35</v>
      </c>
      <c r="Q7295" s="11">
        <v>2.2999999999999998</v>
      </c>
      <c r="R7295" s="11"/>
      <c r="S7295" s="11"/>
      <c r="T7295" s="11"/>
      <c r="U7295" s="11">
        <f t="shared" si="2116"/>
        <v>2.2999999999999998</v>
      </c>
      <c r="W7295">
        <v>2.5</v>
      </c>
      <c r="X7295" s="1" t="s">
        <v>22</v>
      </c>
    </row>
    <row r="7296" spans="1:24" x14ac:dyDescent="0.25">
      <c r="A7296" s="1" t="str">
        <f t="shared" si="2117"/>
        <v>卡卡杜-凤凰仓</v>
      </c>
      <c r="B7296" s="1" t="str">
        <f>"CK2024101590"</f>
        <v>CK2024101590</v>
      </c>
      <c r="C7296" s="1" t="str">
        <f>"DD2024101525565"</f>
        <v>DD2024101525565</v>
      </c>
      <c r="D7296" s="1" t="str">
        <f>"CK2024101522086"</f>
        <v>CK2024101522086</v>
      </c>
      <c r="E7296" s="1" t="str">
        <f>"6935026999336899854"</f>
        <v>6935026999336899854</v>
      </c>
      <c r="F7296" s="1" t="str">
        <f t="shared" si="2118"/>
        <v>花都四部-凤凰仓</v>
      </c>
      <c r="G7296" s="1" t="str">
        <f t="shared" si="2129"/>
        <v>卡卡杜个人护理店（抖店）</v>
      </c>
      <c r="H7296" s="1" t="str">
        <f t="shared" si="2119"/>
        <v>正常订单</v>
      </c>
      <c r="I7296" s="1" t="str">
        <f t="shared" si="2120"/>
        <v>已发货</v>
      </c>
      <c r="J7296" s="1" t="str">
        <f t="shared" si="2130"/>
        <v>3</v>
      </c>
      <c r="K7296" s="1">
        <v>2</v>
      </c>
      <c r="L7296" s="1" t="s">
        <v>20</v>
      </c>
      <c r="M7296" s="1" t="str">
        <f>"浙江省 嘉兴市 平湖市 独山港镇"</f>
        <v>浙江省 嘉兴市 平湖市 独山港镇</v>
      </c>
      <c r="N7296" s="1" t="str">
        <f t="shared" si="2131"/>
        <v>凡华云仓-韵达-抖音</v>
      </c>
      <c r="O7296" s="5">
        <v>320172574444629</v>
      </c>
      <c r="P7296" s="6">
        <v>0.35</v>
      </c>
      <c r="Q7296" s="11">
        <v>2.2999999999999998</v>
      </c>
      <c r="R7296" s="11"/>
      <c r="S7296" s="11"/>
      <c r="T7296" s="11"/>
      <c r="U7296" s="11">
        <f t="shared" si="2116"/>
        <v>2.2999999999999998</v>
      </c>
      <c r="W7296">
        <v>2.5</v>
      </c>
      <c r="X7296" s="1" t="s">
        <v>20</v>
      </c>
    </row>
    <row r="7297" spans="1:24" x14ac:dyDescent="0.25">
      <c r="A7297" s="1" t="str">
        <f t="shared" si="2117"/>
        <v>卡卡杜-凤凰仓</v>
      </c>
      <c r="B7297" s="1" t="str">
        <f>"CK2024101591"</f>
        <v>CK2024101591</v>
      </c>
      <c r="C7297" s="1" t="str">
        <f>"DD2024101525564"</f>
        <v>DD2024101525564</v>
      </c>
      <c r="D7297" s="1" t="str">
        <f>"CK2024101522084"</f>
        <v>CK2024101522084</v>
      </c>
      <c r="E7297" s="1" t="str">
        <f>"6935011080580306561"</f>
        <v>6935011080580306561</v>
      </c>
      <c r="F7297" s="1" t="str">
        <f t="shared" si="2118"/>
        <v>花都四部-凤凰仓</v>
      </c>
      <c r="G7297" s="1" t="str">
        <f t="shared" si="2129"/>
        <v>卡卡杜个人护理店（抖店）</v>
      </c>
      <c r="H7297" s="1" t="str">
        <f t="shared" si="2119"/>
        <v>正常订单</v>
      </c>
      <c r="I7297" s="1" t="str">
        <f t="shared" si="2120"/>
        <v>已发货</v>
      </c>
      <c r="J7297" s="1" t="str">
        <f t="shared" si="2130"/>
        <v>3</v>
      </c>
      <c r="K7297" s="1">
        <v>2</v>
      </c>
      <c r="L7297" s="1" t="s">
        <v>80</v>
      </c>
      <c r="M7297" s="1" t="str">
        <f>"河南省 信阳市 新县 新集镇"</f>
        <v>河南省 信阳市 新县 新集镇</v>
      </c>
      <c r="N7297" s="1" t="str">
        <f t="shared" si="2131"/>
        <v>凡华云仓-韵达-抖音</v>
      </c>
      <c r="O7297" s="5">
        <v>320172574444530</v>
      </c>
      <c r="P7297" s="6">
        <v>0.35</v>
      </c>
      <c r="Q7297" s="11">
        <v>2.2999999999999998</v>
      </c>
      <c r="R7297" s="11"/>
      <c r="S7297" s="11"/>
      <c r="T7297" s="11"/>
      <c r="U7297" s="11">
        <f t="shared" si="2116"/>
        <v>2.2999999999999998</v>
      </c>
      <c r="W7297">
        <v>2.5</v>
      </c>
      <c r="X7297" s="1" t="s">
        <v>80</v>
      </c>
    </row>
    <row r="7298" spans="1:24" x14ac:dyDescent="0.25">
      <c r="A7298" s="1" t="str">
        <f t="shared" si="2117"/>
        <v>卡卡杜-凤凰仓</v>
      </c>
      <c r="B7298" s="1" t="str">
        <f>"CK2024101577"</f>
        <v>CK2024101577</v>
      </c>
      <c r="C7298" s="1" t="str">
        <f>"DD2024101525550"</f>
        <v>DD2024101525550</v>
      </c>
      <c r="D7298" s="1" t="str">
        <f>"CK2024101522083"</f>
        <v>CK2024101522083</v>
      </c>
      <c r="E7298" s="1" t="str">
        <f>"6917557294290271438"</f>
        <v>6917557294290271438</v>
      </c>
      <c r="F7298" s="1" t="str">
        <f t="shared" si="2118"/>
        <v>花都四部-凤凰仓</v>
      </c>
      <c r="G7298" s="1" t="str">
        <f t="shared" si="2129"/>
        <v>卡卡杜个人护理店（抖店）</v>
      </c>
      <c r="H7298" s="1" t="str">
        <f t="shared" si="2119"/>
        <v>正常订单</v>
      </c>
      <c r="I7298" s="1" t="str">
        <f t="shared" si="2120"/>
        <v>已发货</v>
      </c>
      <c r="J7298" s="1" t="str">
        <f t="shared" si="2130"/>
        <v>3</v>
      </c>
      <c r="K7298" s="1">
        <v>2</v>
      </c>
      <c r="L7298" s="1" t="s">
        <v>18</v>
      </c>
      <c r="M7298" s="1" t="str">
        <f>"广东省 广州市 黄埔区 云埔街道"</f>
        <v>广东省 广州市 黄埔区 云埔街道</v>
      </c>
      <c r="N7298" s="1" t="str">
        <f t="shared" si="2131"/>
        <v>凡华云仓-韵达-抖音</v>
      </c>
      <c r="O7298" s="5">
        <v>320172574444433</v>
      </c>
      <c r="P7298" s="6">
        <v>0.35</v>
      </c>
      <c r="Q7298" s="11">
        <v>2.2999999999999998</v>
      </c>
      <c r="R7298" s="11"/>
      <c r="S7298" s="11"/>
      <c r="T7298" s="11"/>
      <c r="U7298" s="11">
        <f t="shared" si="2116"/>
        <v>2.2999999999999998</v>
      </c>
      <c r="W7298">
        <v>2.5</v>
      </c>
      <c r="X7298" s="1" t="s">
        <v>18</v>
      </c>
    </row>
    <row r="7299" spans="1:24" x14ac:dyDescent="0.25">
      <c r="A7299" s="1" t="str">
        <f t="shared" si="2117"/>
        <v>卡卡杜-凤凰仓</v>
      </c>
      <c r="B7299" s="1" t="str">
        <f>"CK2024101592"</f>
        <v>CK2024101592</v>
      </c>
      <c r="C7299" s="1" t="str">
        <f>"DD2024101525567"</f>
        <v>DD2024101525567</v>
      </c>
      <c r="D7299" s="1" t="str">
        <f>"CK2024101522081"</f>
        <v>CK2024101522081</v>
      </c>
      <c r="E7299" s="1" t="str">
        <f>"6935031036653868725"</f>
        <v>6935031036653868725</v>
      </c>
      <c r="F7299" s="1" t="str">
        <f t="shared" si="2118"/>
        <v>花都四部-凤凰仓</v>
      </c>
      <c r="G7299" s="1" t="str">
        <f t="shared" si="2129"/>
        <v>卡卡杜个人护理店（抖店）</v>
      </c>
      <c r="H7299" s="1" t="str">
        <f t="shared" si="2119"/>
        <v>正常订单</v>
      </c>
      <c r="I7299" s="1" t="str">
        <f t="shared" si="2120"/>
        <v>已发货</v>
      </c>
      <c r="J7299" s="1" t="str">
        <f t="shared" si="2130"/>
        <v>3</v>
      </c>
      <c r="K7299" s="1">
        <v>2</v>
      </c>
      <c r="L7299" s="1" t="s">
        <v>161</v>
      </c>
      <c r="M7299" s="1" t="str">
        <f>"四川省 凉山彝族自治州 西昌市 西城街道"</f>
        <v>四川省 凉山彝族自治州 西昌市 西城街道</v>
      </c>
      <c r="N7299" s="1" t="str">
        <f t="shared" si="2131"/>
        <v>凡华云仓-韵达-抖音</v>
      </c>
      <c r="O7299" s="5">
        <v>320172574444338</v>
      </c>
      <c r="P7299" s="6">
        <v>0.35</v>
      </c>
      <c r="Q7299" s="11">
        <v>2.2999999999999998</v>
      </c>
      <c r="R7299" s="11"/>
      <c r="S7299" s="11"/>
      <c r="T7299" s="11"/>
      <c r="U7299" s="11">
        <f t="shared" ref="U7299:U7362" si="2132">T7299+S7299+R7299+Q7299</f>
        <v>2.2999999999999998</v>
      </c>
      <c r="W7299">
        <v>2.5</v>
      </c>
      <c r="X7299" s="1" t="s">
        <v>161</v>
      </c>
    </row>
    <row r="7300" spans="1:24" x14ac:dyDescent="0.25">
      <c r="A7300" s="1" t="str">
        <f t="shared" si="2117"/>
        <v>卡卡杜-凤凰仓</v>
      </c>
      <c r="B7300" s="1" t="str">
        <f>"CK2024101594"</f>
        <v>CK2024101594</v>
      </c>
      <c r="C7300" s="1" t="str">
        <f>"DD2024101525568"</f>
        <v>DD2024101525568</v>
      </c>
      <c r="D7300" s="1" t="str">
        <f>"CK2024101522079"</f>
        <v>CK2024101522079</v>
      </c>
      <c r="E7300" s="1" t="str">
        <f>"6935022546199844754"</f>
        <v>6935022546199844754</v>
      </c>
      <c r="F7300" s="1" t="str">
        <f t="shared" si="2118"/>
        <v>花都四部-凤凰仓</v>
      </c>
      <c r="G7300" s="1" t="str">
        <f t="shared" si="2129"/>
        <v>卡卡杜个人护理店（抖店）</v>
      </c>
      <c r="H7300" s="1" t="str">
        <f t="shared" si="2119"/>
        <v>正常订单</v>
      </c>
      <c r="I7300" s="1" t="str">
        <f t="shared" si="2120"/>
        <v>已发货</v>
      </c>
      <c r="J7300" s="1" t="str">
        <f t="shared" si="2130"/>
        <v>3</v>
      </c>
      <c r="K7300" s="1">
        <v>2</v>
      </c>
      <c r="L7300" s="1" t="s">
        <v>20</v>
      </c>
      <c r="M7300" s="1" t="str">
        <f>"浙江省 衢州市 常山县 金川街道"</f>
        <v>浙江省 衢州市 常山县 金川街道</v>
      </c>
      <c r="N7300" s="1" t="str">
        <f t="shared" si="2131"/>
        <v>凡华云仓-韵达-抖音</v>
      </c>
      <c r="O7300" s="5">
        <v>320172557826438</v>
      </c>
      <c r="P7300" s="6">
        <v>0.35</v>
      </c>
      <c r="Q7300" s="11">
        <v>2.2999999999999998</v>
      </c>
      <c r="R7300" s="11"/>
      <c r="S7300" s="11"/>
      <c r="T7300" s="11"/>
      <c r="U7300" s="11">
        <f t="shared" si="2132"/>
        <v>2.2999999999999998</v>
      </c>
      <c r="W7300">
        <v>2.5</v>
      </c>
      <c r="X7300" s="1" t="s">
        <v>20</v>
      </c>
    </row>
    <row r="7301" spans="1:24" x14ac:dyDescent="0.25">
      <c r="A7301" s="1" t="str">
        <f t="shared" ref="A7301:A7364" si="2133">"卡卡杜-凤凰仓"</f>
        <v>卡卡杜-凤凰仓</v>
      </c>
      <c r="B7301" s="1" t="str">
        <f>"CK2024101595"</f>
        <v>CK2024101595</v>
      </c>
      <c r="C7301" s="1" t="str">
        <f>"DD2024101525569"</f>
        <v>DD2024101525569</v>
      </c>
      <c r="D7301" s="1" t="str">
        <f>"CK2024101522078"</f>
        <v>CK2024101522078</v>
      </c>
      <c r="E7301" s="1" t="str">
        <f>"6935035836961986219"</f>
        <v>6935035836961986219</v>
      </c>
      <c r="F7301" s="1" t="str">
        <f t="shared" ref="F7301:F7364" si="2134">"花都四部-凤凰仓"</f>
        <v>花都四部-凤凰仓</v>
      </c>
      <c r="G7301" s="1" t="str">
        <f t="shared" si="2129"/>
        <v>卡卡杜个人护理店（抖店）</v>
      </c>
      <c r="H7301" s="1" t="str">
        <f t="shared" ref="H7301:H7364" si="2135">"正常订单"</f>
        <v>正常订单</v>
      </c>
      <c r="I7301" s="1" t="str">
        <f t="shared" ref="I7301:I7364" si="2136">"已发货"</f>
        <v>已发货</v>
      </c>
      <c r="J7301" s="1" t="str">
        <f t="shared" si="2130"/>
        <v>3</v>
      </c>
      <c r="K7301" s="1">
        <v>2</v>
      </c>
      <c r="L7301" s="1" t="s">
        <v>32</v>
      </c>
      <c r="M7301" s="1" t="str">
        <f>"陕西省 西安市 高陵区 鹿苑街道"</f>
        <v>陕西省 西安市 高陵区 鹿苑街道</v>
      </c>
      <c r="N7301" s="1" t="str">
        <f t="shared" si="2131"/>
        <v>凡华云仓-韵达-抖音</v>
      </c>
      <c r="O7301" s="5">
        <v>320172557826343</v>
      </c>
      <c r="P7301" s="6">
        <v>0.35</v>
      </c>
      <c r="Q7301" s="11">
        <v>2.2999999999999998</v>
      </c>
      <c r="R7301" s="11"/>
      <c r="S7301" s="11"/>
      <c r="T7301" s="11"/>
      <c r="U7301" s="11">
        <f t="shared" si="2132"/>
        <v>2.2999999999999998</v>
      </c>
      <c r="W7301">
        <v>2.5</v>
      </c>
      <c r="X7301" s="1" t="s">
        <v>32</v>
      </c>
    </row>
    <row r="7302" spans="1:24" x14ac:dyDescent="0.25">
      <c r="A7302" s="1" t="str">
        <f t="shared" si="2133"/>
        <v>卡卡杜-凤凰仓</v>
      </c>
      <c r="B7302" s="1" t="str">
        <f>"CK2024101596"</f>
        <v>CK2024101596</v>
      </c>
      <c r="C7302" s="1" t="str">
        <f>"DD2024101525571"</f>
        <v>DD2024101525571</v>
      </c>
      <c r="D7302" s="1" t="str">
        <f>"CK2024101522076"</f>
        <v>CK2024101522076</v>
      </c>
      <c r="E7302" s="1" t="str">
        <f>"6935013432278848543"</f>
        <v>6935013432278848543</v>
      </c>
      <c r="F7302" s="1" t="str">
        <f t="shared" si="2134"/>
        <v>花都四部-凤凰仓</v>
      </c>
      <c r="G7302" s="1" t="str">
        <f t="shared" si="2129"/>
        <v>卡卡杜个人护理店（抖店）</v>
      </c>
      <c r="H7302" s="1" t="str">
        <f t="shared" si="2135"/>
        <v>正常订单</v>
      </c>
      <c r="I7302" s="1" t="str">
        <f t="shared" si="2136"/>
        <v>已发货</v>
      </c>
      <c r="J7302" s="1" t="str">
        <f t="shared" si="2130"/>
        <v>3</v>
      </c>
      <c r="K7302" s="1">
        <v>2</v>
      </c>
      <c r="L7302" s="1" t="s">
        <v>22</v>
      </c>
      <c r="M7302" s="1" t="str">
        <f>"江西省 上饶市 万年县 上坊乡"</f>
        <v>江西省 上饶市 万年县 上坊乡</v>
      </c>
      <c r="N7302" s="1" t="str">
        <f t="shared" si="2131"/>
        <v>凡华云仓-韵达-抖音</v>
      </c>
      <c r="O7302" s="5">
        <v>320172557826250</v>
      </c>
      <c r="P7302" s="6">
        <v>0.35</v>
      </c>
      <c r="Q7302" s="11">
        <v>2.2999999999999998</v>
      </c>
      <c r="R7302" s="11"/>
      <c r="S7302" s="11"/>
      <c r="T7302" s="11"/>
      <c r="U7302" s="11">
        <f t="shared" si="2132"/>
        <v>2.2999999999999998</v>
      </c>
      <c r="W7302">
        <v>2.5</v>
      </c>
      <c r="X7302" s="1" t="s">
        <v>22</v>
      </c>
    </row>
    <row r="7303" spans="1:24" x14ac:dyDescent="0.25">
      <c r="A7303" s="1" t="str">
        <f t="shared" si="2133"/>
        <v>卡卡杜-凤凰仓</v>
      </c>
      <c r="B7303" s="1" t="str">
        <f>"CK2024101589"</f>
        <v>CK2024101589</v>
      </c>
      <c r="C7303" s="1" t="str">
        <f>"DD2024101525563"</f>
        <v>DD2024101525563</v>
      </c>
      <c r="D7303" s="1" t="str">
        <f>"CK2024101522074"</f>
        <v>CK2024101522074</v>
      </c>
      <c r="E7303" s="1" t="str">
        <f>"6935024624337295241"</f>
        <v>6935024624337295241</v>
      </c>
      <c r="F7303" s="1" t="str">
        <f t="shared" si="2134"/>
        <v>花都四部-凤凰仓</v>
      </c>
      <c r="G7303" s="1" t="str">
        <f t="shared" si="2129"/>
        <v>卡卡杜个人护理店（抖店）</v>
      </c>
      <c r="H7303" s="1" t="str">
        <f t="shared" si="2135"/>
        <v>正常订单</v>
      </c>
      <c r="I7303" s="1" t="str">
        <f t="shared" si="2136"/>
        <v>已发货</v>
      </c>
      <c r="J7303" s="1" t="str">
        <f t="shared" si="2130"/>
        <v>3</v>
      </c>
      <c r="K7303" s="1">
        <v>2</v>
      </c>
      <c r="L7303" s="1" t="s">
        <v>27</v>
      </c>
      <c r="M7303" s="1" t="str">
        <f>"贵州省 安顺市 西秀区 大西桥镇"</f>
        <v>贵州省 安顺市 西秀区 大西桥镇</v>
      </c>
      <c r="N7303" s="1" t="str">
        <f t="shared" si="2131"/>
        <v>凡华云仓-韵达-抖音</v>
      </c>
      <c r="O7303" s="5">
        <v>320172557826159</v>
      </c>
      <c r="P7303" s="6">
        <v>0.35</v>
      </c>
      <c r="Q7303" s="11">
        <v>2.2999999999999998</v>
      </c>
      <c r="R7303" s="11"/>
      <c r="S7303" s="11"/>
      <c r="T7303" s="11"/>
      <c r="U7303" s="11">
        <f t="shared" si="2132"/>
        <v>2.2999999999999998</v>
      </c>
      <c r="W7303">
        <v>2.5</v>
      </c>
      <c r="X7303" s="1" t="s">
        <v>27</v>
      </c>
    </row>
    <row r="7304" spans="1:24" x14ac:dyDescent="0.25">
      <c r="A7304" s="1" t="str">
        <f t="shared" si="2133"/>
        <v>卡卡杜-凤凰仓</v>
      </c>
      <c r="B7304" s="1" t="str">
        <f>"CK2024101593"</f>
        <v>CK2024101593</v>
      </c>
      <c r="C7304" s="1" t="str">
        <f>"DD2024101525566"</f>
        <v>DD2024101525566</v>
      </c>
      <c r="D7304" s="1" t="str">
        <f>"CK2024101522073"</f>
        <v>CK2024101522073</v>
      </c>
      <c r="E7304" s="1" t="str">
        <f>"6935033462382138663"</f>
        <v>6935033462382138663</v>
      </c>
      <c r="F7304" s="1" t="str">
        <f t="shared" si="2134"/>
        <v>花都四部-凤凰仓</v>
      </c>
      <c r="G7304" s="1" t="str">
        <f t="shared" si="2129"/>
        <v>卡卡杜个人护理店（抖店）</v>
      </c>
      <c r="H7304" s="1" t="str">
        <f t="shared" si="2135"/>
        <v>正常订单</v>
      </c>
      <c r="I7304" s="1" t="str">
        <f t="shared" si="2136"/>
        <v>已发货</v>
      </c>
      <c r="J7304" s="1" t="str">
        <f t="shared" si="2130"/>
        <v>3</v>
      </c>
      <c r="K7304" s="1">
        <v>2</v>
      </c>
      <c r="L7304" s="1" t="s">
        <v>13</v>
      </c>
      <c r="M7304" s="1" t="str">
        <f>"江苏省 南京市 玄武区 新街口街道"</f>
        <v>江苏省 南京市 玄武区 新街口街道</v>
      </c>
      <c r="N7304" s="1" t="str">
        <f t="shared" si="2131"/>
        <v>凡华云仓-韵达-抖音</v>
      </c>
      <c r="O7304" s="5">
        <v>320172557826070</v>
      </c>
      <c r="P7304" s="6">
        <v>0.35</v>
      </c>
      <c r="Q7304" s="11">
        <v>2.2999999999999998</v>
      </c>
      <c r="R7304" s="11"/>
      <c r="S7304" s="11"/>
      <c r="T7304" s="11"/>
      <c r="U7304" s="11">
        <f t="shared" si="2132"/>
        <v>2.2999999999999998</v>
      </c>
      <c r="W7304">
        <v>2.5</v>
      </c>
      <c r="X7304" s="1" t="s">
        <v>13</v>
      </c>
    </row>
    <row r="7305" spans="1:24" x14ac:dyDescent="0.25">
      <c r="A7305" s="1" t="str">
        <f t="shared" si="2133"/>
        <v>卡卡杜-凤凰仓</v>
      </c>
      <c r="B7305" s="1" t="str">
        <f>"CK2024101586"</f>
        <v>CK2024101586</v>
      </c>
      <c r="C7305" s="1" t="str">
        <f>"DD2024101525560"</f>
        <v>DD2024101525560</v>
      </c>
      <c r="D7305" s="1" t="str">
        <f>"CK2024101522071"</f>
        <v>CK2024101522071</v>
      </c>
      <c r="E7305" s="1" t="str">
        <f>"6935008712404898896"</f>
        <v>6935008712404898896</v>
      </c>
      <c r="F7305" s="1" t="str">
        <f t="shared" si="2134"/>
        <v>花都四部-凤凰仓</v>
      </c>
      <c r="G7305" s="1" t="str">
        <f t="shared" si="2129"/>
        <v>卡卡杜个人护理店（抖店）</v>
      </c>
      <c r="H7305" s="1" t="str">
        <f t="shared" si="2135"/>
        <v>正常订单</v>
      </c>
      <c r="I7305" s="1" t="str">
        <f t="shared" si="2136"/>
        <v>已发货</v>
      </c>
      <c r="J7305" s="1" t="str">
        <f t="shared" si="2130"/>
        <v>3</v>
      </c>
      <c r="K7305" s="1">
        <v>2</v>
      </c>
      <c r="L7305" s="1" t="s">
        <v>96</v>
      </c>
      <c r="M7305" s="1" t="str">
        <f>"广西壮族自治区 钦州市 钦南区 钦州港经济技术开发区"</f>
        <v>广西壮族自治区 钦州市 钦南区 钦州港经济技术开发区</v>
      </c>
      <c r="N7305" s="1" t="str">
        <f t="shared" si="2131"/>
        <v>凡华云仓-韵达-抖音</v>
      </c>
      <c r="O7305" s="5">
        <v>320172557825944</v>
      </c>
      <c r="P7305" s="6">
        <v>0.35</v>
      </c>
      <c r="Q7305" s="11">
        <v>2.2999999999999998</v>
      </c>
      <c r="R7305" s="11"/>
      <c r="S7305" s="11"/>
      <c r="T7305" s="11"/>
      <c r="U7305" s="11">
        <f t="shared" si="2132"/>
        <v>2.2999999999999998</v>
      </c>
      <c r="W7305">
        <v>2.5</v>
      </c>
      <c r="X7305" s="1" t="s">
        <v>96</v>
      </c>
    </row>
    <row r="7306" spans="1:24" x14ac:dyDescent="0.25">
      <c r="A7306" s="1" t="str">
        <f t="shared" si="2133"/>
        <v>卡卡杜-凤凰仓</v>
      </c>
      <c r="B7306" s="1" t="str">
        <f>"CK2024101581"</f>
        <v>CK2024101581</v>
      </c>
      <c r="C7306" s="1" t="str">
        <f>"DD2024101525553"</f>
        <v>DD2024101525553</v>
      </c>
      <c r="D7306" s="1" t="str">
        <f>"CK2024101522069"</f>
        <v>CK2024101522069</v>
      </c>
      <c r="E7306" s="1" t="str">
        <f>"6935026889778009239"</f>
        <v>6935026889778009239</v>
      </c>
      <c r="F7306" s="1" t="str">
        <f t="shared" si="2134"/>
        <v>花都四部-凤凰仓</v>
      </c>
      <c r="G7306" s="1" t="str">
        <f t="shared" si="2129"/>
        <v>卡卡杜个人护理店（抖店）</v>
      </c>
      <c r="H7306" s="1" t="str">
        <f t="shared" si="2135"/>
        <v>正常订单</v>
      </c>
      <c r="I7306" s="1" t="str">
        <f t="shared" si="2136"/>
        <v>已发货</v>
      </c>
      <c r="J7306" s="1" t="str">
        <f t="shared" si="2130"/>
        <v>3</v>
      </c>
      <c r="K7306" s="1">
        <v>2</v>
      </c>
      <c r="L7306" s="1" t="s">
        <v>20</v>
      </c>
      <c r="M7306" s="1" t="str">
        <f>"浙江省 温州市 平阳县 万全镇"</f>
        <v>浙江省 温州市 平阳县 万全镇</v>
      </c>
      <c r="N7306" s="1" t="str">
        <f t="shared" si="2131"/>
        <v>凡华云仓-韵达-抖音</v>
      </c>
      <c r="O7306" s="5">
        <v>320172557825839</v>
      </c>
      <c r="P7306" s="6">
        <v>0.35</v>
      </c>
      <c r="Q7306" s="11">
        <v>2.2999999999999998</v>
      </c>
      <c r="R7306" s="11"/>
      <c r="S7306" s="11"/>
      <c r="T7306" s="11"/>
      <c r="U7306" s="11">
        <f t="shared" si="2132"/>
        <v>2.2999999999999998</v>
      </c>
      <c r="W7306">
        <v>2.5</v>
      </c>
      <c r="X7306" s="1" t="s">
        <v>20</v>
      </c>
    </row>
    <row r="7307" spans="1:24" x14ac:dyDescent="0.25">
      <c r="A7307" s="1" t="str">
        <f t="shared" si="2133"/>
        <v>卡卡杜-凤凰仓</v>
      </c>
      <c r="B7307" s="1" t="str">
        <f>"CK2024101585"</f>
        <v>CK2024101585</v>
      </c>
      <c r="C7307" s="1" t="str">
        <f>"DD2024101525559"</f>
        <v>DD2024101525559</v>
      </c>
      <c r="D7307" s="1" t="str">
        <f>"CK2024101522068"</f>
        <v>CK2024101522068</v>
      </c>
      <c r="E7307" s="1" t="str">
        <f>"6935026878662514401"</f>
        <v>6935026878662514401</v>
      </c>
      <c r="F7307" s="1" t="str">
        <f t="shared" si="2134"/>
        <v>花都四部-凤凰仓</v>
      </c>
      <c r="G7307" s="1" t="str">
        <f t="shared" si="2129"/>
        <v>卡卡杜个人护理店（抖店）</v>
      </c>
      <c r="H7307" s="1" t="str">
        <f t="shared" si="2135"/>
        <v>正常订单</v>
      </c>
      <c r="I7307" s="1" t="str">
        <f t="shared" si="2136"/>
        <v>已发货</v>
      </c>
      <c r="J7307" s="1" t="str">
        <f t="shared" si="2130"/>
        <v>3</v>
      </c>
      <c r="K7307" s="1">
        <v>2</v>
      </c>
      <c r="L7307" s="1" t="s">
        <v>24</v>
      </c>
      <c r="M7307" s="1" t="str">
        <f>"福建省 福州市 连江县 江南镇"</f>
        <v>福建省 福州市 连江县 江南镇</v>
      </c>
      <c r="N7307" s="1" t="str">
        <f t="shared" si="2131"/>
        <v>凡华云仓-韵达-抖音</v>
      </c>
      <c r="O7307" s="5">
        <v>320172557825736</v>
      </c>
      <c r="P7307" s="6">
        <v>0.35</v>
      </c>
      <c r="Q7307" s="11">
        <v>2.2999999999999998</v>
      </c>
      <c r="R7307" s="11"/>
      <c r="S7307" s="11"/>
      <c r="T7307" s="11"/>
      <c r="U7307" s="11">
        <f t="shared" si="2132"/>
        <v>2.2999999999999998</v>
      </c>
      <c r="W7307">
        <v>2.5</v>
      </c>
      <c r="X7307" s="1" t="s">
        <v>24</v>
      </c>
    </row>
    <row r="7308" spans="1:24" x14ac:dyDescent="0.25">
      <c r="A7308" s="1" t="str">
        <f t="shared" si="2133"/>
        <v>卡卡杜-凤凰仓</v>
      </c>
      <c r="B7308" s="1" t="str">
        <f>"CK2024101597"</f>
        <v>CK2024101597</v>
      </c>
      <c r="C7308" s="1" t="str">
        <f>"DD2024101525570"</f>
        <v>DD2024101525570</v>
      </c>
      <c r="D7308" s="1" t="str">
        <f>"CK2024101522066"</f>
        <v>CK2024101522066</v>
      </c>
      <c r="E7308" s="1" t="str">
        <f>"6935037759725115043"</f>
        <v>6935037759725115043</v>
      </c>
      <c r="F7308" s="1" t="str">
        <f t="shared" si="2134"/>
        <v>花都四部-凤凰仓</v>
      </c>
      <c r="G7308" s="1" t="str">
        <f t="shared" si="2129"/>
        <v>卡卡杜个人护理店（抖店）</v>
      </c>
      <c r="H7308" s="1" t="str">
        <f t="shared" si="2135"/>
        <v>正常订单</v>
      </c>
      <c r="I7308" s="1" t="str">
        <f t="shared" si="2136"/>
        <v>已发货</v>
      </c>
      <c r="J7308" s="1" t="str">
        <f t="shared" si="2130"/>
        <v>3</v>
      </c>
      <c r="K7308" s="1">
        <v>2</v>
      </c>
      <c r="L7308" s="1" t="s">
        <v>36</v>
      </c>
      <c r="M7308" s="1" t="str">
        <f>"安徽省 池州市 贵池区 池阳街道"</f>
        <v>安徽省 池州市 贵池区 池阳街道</v>
      </c>
      <c r="N7308" s="1" t="str">
        <f t="shared" si="2131"/>
        <v>凡华云仓-韵达-抖音</v>
      </c>
      <c r="O7308" s="5">
        <v>320172557825635</v>
      </c>
      <c r="P7308" s="6">
        <v>0.35</v>
      </c>
      <c r="Q7308" s="11">
        <v>2.2999999999999998</v>
      </c>
      <c r="R7308" s="11"/>
      <c r="S7308" s="11"/>
      <c r="T7308" s="11"/>
      <c r="U7308" s="11">
        <f t="shared" si="2132"/>
        <v>2.2999999999999998</v>
      </c>
      <c r="W7308">
        <v>2.5</v>
      </c>
      <c r="X7308" s="1" t="s">
        <v>36</v>
      </c>
    </row>
    <row r="7309" spans="1:24" x14ac:dyDescent="0.25">
      <c r="A7309" s="1" t="str">
        <f t="shared" si="2133"/>
        <v>卡卡杜-凤凰仓</v>
      </c>
      <c r="B7309" s="1" t="str">
        <f>"CK2024101579"</f>
        <v>CK2024101579</v>
      </c>
      <c r="C7309" s="1" t="str">
        <f>"DD2024101525555"</f>
        <v>DD2024101525555</v>
      </c>
      <c r="D7309" s="1" t="str">
        <f>"CK2024101522064"</f>
        <v>CK2024101522064</v>
      </c>
      <c r="E7309" s="1" t="str">
        <f>"6935013181119600067"</f>
        <v>6935013181119600067</v>
      </c>
      <c r="F7309" s="1" t="str">
        <f t="shared" si="2134"/>
        <v>花都四部-凤凰仓</v>
      </c>
      <c r="G7309" s="1" t="str">
        <f t="shared" si="2129"/>
        <v>卡卡杜个人护理店（抖店）</v>
      </c>
      <c r="H7309" s="1" t="str">
        <f t="shared" si="2135"/>
        <v>正常订单</v>
      </c>
      <c r="I7309" s="1" t="str">
        <f t="shared" si="2136"/>
        <v>已发货</v>
      </c>
      <c r="J7309" s="1" t="str">
        <f t="shared" si="2130"/>
        <v>3</v>
      </c>
      <c r="K7309" s="1">
        <v>2</v>
      </c>
      <c r="L7309" s="1" t="s">
        <v>94</v>
      </c>
      <c r="M7309" s="1" t="str">
        <f>"湖南省 湘潭市 湘潭县 易俗河镇"</f>
        <v>湖南省 湘潭市 湘潭县 易俗河镇</v>
      </c>
      <c r="N7309" s="1" t="str">
        <f t="shared" si="2131"/>
        <v>凡华云仓-韵达-抖音</v>
      </c>
      <c r="O7309" s="5">
        <v>320172557825536</v>
      </c>
      <c r="P7309" s="6">
        <v>0.35</v>
      </c>
      <c r="Q7309" s="11">
        <v>2.2999999999999998</v>
      </c>
      <c r="R7309" s="11"/>
      <c r="S7309" s="11"/>
      <c r="T7309" s="11"/>
      <c r="U7309" s="11">
        <f t="shared" si="2132"/>
        <v>2.2999999999999998</v>
      </c>
      <c r="W7309">
        <v>2.5</v>
      </c>
      <c r="X7309" s="1" t="s">
        <v>94</v>
      </c>
    </row>
    <row r="7310" spans="1:24" x14ac:dyDescent="0.25">
      <c r="A7310" s="1" t="str">
        <f t="shared" si="2133"/>
        <v>卡卡杜-凤凰仓</v>
      </c>
      <c r="B7310" s="1" t="str">
        <f>"CK2024101569"</f>
        <v>CK2024101569</v>
      </c>
      <c r="C7310" s="1" t="str">
        <f>"DD2024101525545"</f>
        <v>DD2024101525545</v>
      </c>
      <c r="D7310" s="1" t="str">
        <f>"CK2024101522063"</f>
        <v>CK2024101522063</v>
      </c>
      <c r="E7310" s="1" t="str">
        <f>"6935015812461369029"</f>
        <v>6935015812461369029</v>
      </c>
      <c r="F7310" s="1" t="str">
        <f t="shared" si="2134"/>
        <v>花都四部-凤凰仓</v>
      </c>
      <c r="G7310" s="1" t="str">
        <f t="shared" si="2129"/>
        <v>卡卡杜个人护理店（抖店）</v>
      </c>
      <c r="H7310" s="1" t="str">
        <f t="shared" si="2135"/>
        <v>正常订单</v>
      </c>
      <c r="I7310" s="1" t="str">
        <f t="shared" si="2136"/>
        <v>已发货</v>
      </c>
      <c r="J7310" s="1" t="str">
        <f t="shared" si="2130"/>
        <v>3</v>
      </c>
      <c r="K7310" s="1">
        <v>2</v>
      </c>
      <c r="L7310" s="1" t="s">
        <v>20</v>
      </c>
      <c r="M7310" s="1" t="str">
        <f>"浙江省 温州市 瑞安市 云周街道"</f>
        <v>浙江省 温州市 瑞安市 云周街道</v>
      </c>
      <c r="N7310" s="1" t="str">
        <f t="shared" si="2131"/>
        <v>凡华云仓-韵达-抖音</v>
      </c>
      <c r="O7310" s="5">
        <v>320172571187377</v>
      </c>
      <c r="P7310" s="6">
        <v>0.35</v>
      </c>
      <c r="Q7310" s="11">
        <v>2.2999999999999998</v>
      </c>
      <c r="R7310" s="11"/>
      <c r="S7310" s="11"/>
      <c r="T7310" s="11"/>
      <c r="U7310" s="11">
        <f t="shared" si="2132"/>
        <v>2.2999999999999998</v>
      </c>
      <c r="W7310">
        <v>2.5</v>
      </c>
      <c r="X7310" s="1" t="s">
        <v>20</v>
      </c>
    </row>
    <row r="7311" spans="1:24" x14ac:dyDescent="0.25">
      <c r="A7311" s="1" t="str">
        <f t="shared" si="2133"/>
        <v>卡卡杜-凤凰仓</v>
      </c>
      <c r="B7311" s="1" t="str">
        <f>"CK2024101580"</f>
        <v>CK2024101580</v>
      </c>
      <c r="C7311" s="1" t="str">
        <f>"DD2024101525554"</f>
        <v>DD2024101525554</v>
      </c>
      <c r="D7311" s="1" t="str">
        <f>"CK2024101522061"</f>
        <v>CK2024101522061</v>
      </c>
      <c r="E7311" s="1" t="str">
        <f>"6935039875931706919"</f>
        <v>6935039875931706919</v>
      </c>
      <c r="F7311" s="1" t="str">
        <f t="shared" si="2134"/>
        <v>花都四部-凤凰仓</v>
      </c>
      <c r="G7311" s="1" t="str">
        <f t="shared" si="2129"/>
        <v>卡卡杜个人护理店（抖店）</v>
      </c>
      <c r="H7311" s="1" t="str">
        <f t="shared" si="2135"/>
        <v>正常订单</v>
      </c>
      <c r="I7311" s="1" t="str">
        <f t="shared" si="2136"/>
        <v>已发货</v>
      </c>
      <c r="J7311" s="1" t="str">
        <f t="shared" si="2130"/>
        <v>3</v>
      </c>
      <c r="K7311" s="1">
        <v>2</v>
      </c>
      <c r="L7311" s="1" t="s">
        <v>36</v>
      </c>
      <c r="M7311" s="1" t="str">
        <f>"安徽省 合肥市 肥东县 肥东新城开发区"</f>
        <v>安徽省 合肥市 肥东县 肥东新城开发区</v>
      </c>
      <c r="N7311" s="1" t="str">
        <f t="shared" si="2131"/>
        <v>凡华云仓-韵达-抖音</v>
      </c>
      <c r="O7311" s="5">
        <v>320172568710482</v>
      </c>
      <c r="P7311" s="6">
        <v>0.35</v>
      </c>
      <c r="Q7311" s="11">
        <v>2.2999999999999998</v>
      </c>
      <c r="R7311" s="11"/>
      <c r="S7311" s="11"/>
      <c r="T7311" s="11"/>
      <c r="U7311" s="11">
        <f t="shared" si="2132"/>
        <v>2.2999999999999998</v>
      </c>
      <c r="W7311">
        <v>2.5</v>
      </c>
      <c r="X7311" s="1" t="s">
        <v>36</v>
      </c>
    </row>
    <row r="7312" spans="1:24" x14ac:dyDescent="0.25">
      <c r="A7312" s="1" t="str">
        <f t="shared" si="2133"/>
        <v>卡卡杜-凤凰仓</v>
      </c>
      <c r="B7312" s="1" t="str">
        <f>"CK2024101582"</f>
        <v>CK2024101582</v>
      </c>
      <c r="C7312" s="1" t="str">
        <f>"DD2024101525557"</f>
        <v>DD2024101525557</v>
      </c>
      <c r="D7312" s="1" t="str">
        <f>"CK2024101522059"</f>
        <v>CK2024101522059</v>
      </c>
      <c r="E7312" s="1" t="str">
        <f>"6935026696703055270"</f>
        <v>6935026696703055270</v>
      </c>
      <c r="F7312" s="1" t="str">
        <f t="shared" si="2134"/>
        <v>花都四部-凤凰仓</v>
      </c>
      <c r="G7312" s="1" t="str">
        <f t="shared" si="2129"/>
        <v>卡卡杜个人护理店（抖店）</v>
      </c>
      <c r="H7312" s="1" t="str">
        <f t="shared" si="2135"/>
        <v>正常订单</v>
      </c>
      <c r="I7312" s="1" t="str">
        <f t="shared" si="2136"/>
        <v>已发货</v>
      </c>
      <c r="J7312" s="1" t="str">
        <f t="shared" si="2130"/>
        <v>3</v>
      </c>
      <c r="K7312" s="1">
        <v>2</v>
      </c>
      <c r="L7312" s="1" t="s">
        <v>20</v>
      </c>
      <c r="M7312" s="1" t="str">
        <f>"浙江省 金华市 金东区 曹宅镇"</f>
        <v>浙江省 金华市 金东区 曹宅镇</v>
      </c>
      <c r="N7312" s="1" t="str">
        <f t="shared" si="2131"/>
        <v>凡华云仓-韵达-抖音</v>
      </c>
      <c r="O7312" s="5">
        <v>320172568710387</v>
      </c>
      <c r="P7312" s="6">
        <v>0.35</v>
      </c>
      <c r="Q7312" s="11">
        <v>2.2999999999999998</v>
      </c>
      <c r="R7312" s="11"/>
      <c r="S7312" s="11"/>
      <c r="T7312" s="11"/>
      <c r="U7312" s="11">
        <f t="shared" si="2132"/>
        <v>2.2999999999999998</v>
      </c>
      <c r="W7312">
        <v>2.5</v>
      </c>
      <c r="X7312" s="1" t="s">
        <v>20</v>
      </c>
    </row>
    <row r="7313" spans="1:24" x14ac:dyDescent="0.25">
      <c r="A7313" s="1" t="str">
        <f t="shared" si="2133"/>
        <v>卡卡杜-凤凰仓</v>
      </c>
      <c r="B7313" s="1" t="str">
        <f>"CK2024101583"</f>
        <v>CK2024101583</v>
      </c>
      <c r="C7313" s="1" t="str">
        <f>"DD2024101525556"</f>
        <v>DD2024101525556</v>
      </c>
      <c r="D7313" s="1" t="str">
        <f>"CK2024101522057"</f>
        <v>CK2024101522057</v>
      </c>
      <c r="E7313" s="1" t="str">
        <f>"6935012727395194554"</f>
        <v>6935012727395194554</v>
      </c>
      <c r="F7313" s="1" t="str">
        <f t="shared" si="2134"/>
        <v>花都四部-凤凰仓</v>
      </c>
      <c r="G7313" s="1" t="str">
        <f t="shared" si="2129"/>
        <v>卡卡杜个人护理店（抖店）</v>
      </c>
      <c r="H7313" s="1" t="str">
        <f t="shared" si="2135"/>
        <v>正常订单</v>
      </c>
      <c r="I7313" s="1" t="str">
        <f t="shared" si="2136"/>
        <v>已发货</v>
      </c>
      <c r="J7313" s="1" t="str">
        <f t="shared" si="2130"/>
        <v>3</v>
      </c>
      <c r="K7313" s="1">
        <v>2</v>
      </c>
      <c r="L7313" s="1" t="s">
        <v>20</v>
      </c>
      <c r="M7313" s="1" t="str">
        <f>"浙江省 杭州市 拱墅区 天水街道"</f>
        <v>浙江省 杭州市 拱墅区 天水街道</v>
      </c>
      <c r="N7313" s="1" t="str">
        <f t="shared" si="2131"/>
        <v>凡华云仓-韵达-抖音</v>
      </c>
      <c r="O7313" s="5">
        <v>320172568710294</v>
      </c>
      <c r="P7313" s="6">
        <v>0.35</v>
      </c>
      <c r="Q7313" s="11">
        <v>2.2999999999999998</v>
      </c>
      <c r="R7313" s="11"/>
      <c r="S7313" s="11"/>
      <c r="T7313" s="11"/>
      <c r="U7313" s="11">
        <f t="shared" si="2132"/>
        <v>2.2999999999999998</v>
      </c>
      <c r="W7313">
        <v>2.5</v>
      </c>
      <c r="X7313" s="1" t="s">
        <v>20</v>
      </c>
    </row>
    <row r="7314" spans="1:24" x14ac:dyDescent="0.25">
      <c r="A7314" s="1" t="str">
        <f t="shared" si="2133"/>
        <v>卡卡杜-凤凰仓</v>
      </c>
      <c r="B7314" s="1" t="str">
        <f>"CK2024101584"</f>
        <v>CK2024101584</v>
      </c>
      <c r="C7314" s="1" t="str">
        <f>"DD2024101525558"</f>
        <v>DD2024101525558</v>
      </c>
      <c r="D7314" s="1" t="str">
        <f>"CK2024101522056"</f>
        <v>CK2024101522056</v>
      </c>
      <c r="E7314" s="1" t="str">
        <f>"6935001964117103644"</f>
        <v>6935001964117103644</v>
      </c>
      <c r="F7314" s="1" t="str">
        <f t="shared" si="2134"/>
        <v>花都四部-凤凰仓</v>
      </c>
      <c r="G7314" s="1" t="str">
        <f t="shared" si="2129"/>
        <v>卡卡杜个人护理店（抖店）</v>
      </c>
      <c r="H7314" s="1" t="str">
        <f t="shared" si="2135"/>
        <v>正常订单</v>
      </c>
      <c r="I7314" s="1" t="str">
        <f t="shared" si="2136"/>
        <v>已发货</v>
      </c>
      <c r="J7314" s="1" t="str">
        <f t="shared" si="2130"/>
        <v>3</v>
      </c>
      <c r="K7314" s="1">
        <v>2</v>
      </c>
      <c r="L7314" s="1" t="s">
        <v>20</v>
      </c>
      <c r="M7314" s="1" t="str">
        <f>"浙江省 舟山市 普陀区 朱家尖街道"</f>
        <v>浙江省 舟山市 普陀区 朱家尖街道</v>
      </c>
      <c r="N7314" s="1" t="str">
        <f t="shared" si="2131"/>
        <v>凡华云仓-韵达-抖音</v>
      </c>
      <c r="O7314" s="5">
        <v>320172568710103</v>
      </c>
      <c r="P7314" s="6">
        <v>0.35</v>
      </c>
      <c r="Q7314" s="11">
        <v>2.2999999999999998</v>
      </c>
      <c r="R7314" s="11"/>
      <c r="S7314" s="11"/>
      <c r="T7314" s="11"/>
      <c r="U7314" s="11">
        <f t="shared" si="2132"/>
        <v>2.2999999999999998</v>
      </c>
      <c r="W7314">
        <v>2.5</v>
      </c>
      <c r="X7314" s="1" t="s">
        <v>20</v>
      </c>
    </row>
    <row r="7315" spans="1:24" x14ac:dyDescent="0.25">
      <c r="A7315" s="1" t="str">
        <f t="shared" si="2133"/>
        <v>卡卡杜-凤凰仓</v>
      </c>
      <c r="B7315" s="1" t="str">
        <f>"CK2024101588"</f>
        <v>CK2024101588</v>
      </c>
      <c r="C7315" s="1" t="str">
        <f>"DD2024101525561"</f>
        <v>DD2024101525561</v>
      </c>
      <c r="D7315" s="1" t="str">
        <f>"CK2024101522054"</f>
        <v>CK2024101522054</v>
      </c>
      <c r="E7315" s="1" t="str">
        <f>"6935012562356540628"</f>
        <v>6935012562356540628</v>
      </c>
      <c r="F7315" s="1" t="str">
        <f t="shared" si="2134"/>
        <v>花都四部-凤凰仓</v>
      </c>
      <c r="G7315" s="1" t="str">
        <f t="shared" si="2129"/>
        <v>卡卡杜个人护理店（抖店）</v>
      </c>
      <c r="H7315" s="1" t="str">
        <f t="shared" si="2135"/>
        <v>正常订单</v>
      </c>
      <c r="I7315" s="1" t="str">
        <f t="shared" si="2136"/>
        <v>已发货</v>
      </c>
      <c r="J7315" s="1" t="str">
        <f t="shared" si="2130"/>
        <v>3</v>
      </c>
      <c r="K7315" s="1">
        <v>2</v>
      </c>
      <c r="L7315" s="1" t="s">
        <v>20</v>
      </c>
      <c r="M7315" s="1" t="str">
        <f>"浙江省 宁波市 海曙区 高桥镇"</f>
        <v>浙江省 宁波市 海曙区 高桥镇</v>
      </c>
      <c r="N7315" s="1" t="str">
        <f t="shared" si="2131"/>
        <v>凡华云仓-韵达-抖音</v>
      </c>
      <c r="O7315" s="5">
        <v>320172570705112</v>
      </c>
      <c r="P7315" s="6">
        <v>0.35</v>
      </c>
      <c r="Q7315" s="11">
        <v>2.2999999999999998</v>
      </c>
      <c r="R7315" s="11"/>
      <c r="S7315" s="11"/>
      <c r="T7315" s="11"/>
      <c r="U7315" s="11">
        <f t="shared" si="2132"/>
        <v>2.2999999999999998</v>
      </c>
      <c r="W7315">
        <v>2.5</v>
      </c>
      <c r="X7315" s="1" t="s">
        <v>20</v>
      </c>
    </row>
    <row r="7316" spans="1:24" x14ac:dyDescent="0.25">
      <c r="A7316" s="1" t="str">
        <f t="shared" si="2133"/>
        <v>卡卡杜-凤凰仓</v>
      </c>
      <c r="B7316" s="1" t="str">
        <f>"CK2024101587"</f>
        <v>CK2024101587</v>
      </c>
      <c r="C7316" s="1" t="str">
        <f>"DD2024101525562"</f>
        <v>DD2024101525562</v>
      </c>
      <c r="D7316" s="1" t="str">
        <f>"CK2024101522052"</f>
        <v>CK2024101522052</v>
      </c>
      <c r="E7316" s="1" t="str">
        <f>"6935026060811835144"</f>
        <v>6935026060811835144</v>
      </c>
      <c r="F7316" s="1" t="str">
        <f t="shared" si="2134"/>
        <v>花都四部-凤凰仓</v>
      </c>
      <c r="G7316" s="1" t="str">
        <f t="shared" si="2129"/>
        <v>卡卡杜个人护理店（抖店）</v>
      </c>
      <c r="H7316" s="1" t="str">
        <f t="shared" si="2135"/>
        <v>正常订单</v>
      </c>
      <c r="I7316" s="1" t="str">
        <f t="shared" si="2136"/>
        <v>已发货</v>
      </c>
      <c r="J7316" s="1" t="str">
        <f t="shared" si="2130"/>
        <v>3</v>
      </c>
      <c r="K7316" s="1">
        <v>2</v>
      </c>
      <c r="L7316" s="1" t="s">
        <v>41</v>
      </c>
      <c r="M7316" s="1" t="str">
        <f>"湖北省 荆门市 京山市 新市街道"</f>
        <v>湖北省 荆门市 京山市 新市街道</v>
      </c>
      <c r="N7316" s="1" t="str">
        <f t="shared" si="2131"/>
        <v>凡华云仓-韵达-抖音</v>
      </c>
      <c r="O7316" s="5">
        <v>320172570705023</v>
      </c>
      <c r="P7316" s="6">
        <v>0.35</v>
      </c>
      <c r="Q7316" s="11">
        <v>2.2999999999999998</v>
      </c>
      <c r="R7316" s="11"/>
      <c r="S7316" s="11"/>
      <c r="T7316" s="11"/>
      <c r="U7316" s="11">
        <f t="shared" si="2132"/>
        <v>2.2999999999999998</v>
      </c>
      <c r="W7316">
        <v>2.5</v>
      </c>
      <c r="X7316" s="1" t="s">
        <v>41</v>
      </c>
    </row>
    <row r="7317" spans="1:24" x14ac:dyDescent="0.25">
      <c r="A7317" s="1" t="str">
        <f t="shared" si="2133"/>
        <v>卡卡杜-凤凰仓</v>
      </c>
      <c r="B7317" s="1" t="str">
        <f>"CK20241015105"</f>
        <v>CK20241015105</v>
      </c>
      <c r="C7317" s="1" t="str">
        <f>"DD2024101525578"</f>
        <v>DD2024101525578</v>
      </c>
      <c r="D7317" s="1" t="str">
        <f>"CK2024101522051"</f>
        <v>CK2024101522051</v>
      </c>
      <c r="E7317" s="1" t="str">
        <f>"6935012556228203679"</f>
        <v>6935012556228203679</v>
      </c>
      <c r="F7317" s="1" t="str">
        <f t="shared" si="2134"/>
        <v>花都四部-凤凰仓</v>
      </c>
      <c r="G7317" s="1" t="str">
        <f t="shared" si="2129"/>
        <v>卡卡杜个人护理店（抖店）</v>
      </c>
      <c r="H7317" s="1" t="str">
        <f t="shared" si="2135"/>
        <v>正常订单</v>
      </c>
      <c r="I7317" s="1" t="str">
        <f t="shared" si="2136"/>
        <v>已发货</v>
      </c>
      <c r="J7317" s="1" t="str">
        <f t="shared" si="2130"/>
        <v>3</v>
      </c>
      <c r="K7317" s="1">
        <v>2</v>
      </c>
      <c r="L7317" s="1" t="s">
        <v>24</v>
      </c>
      <c r="M7317" s="1" t="str">
        <f>"福建省 福州市 晋安区 岳峰镇"</f>
        <v>福建省 福州市 晋安区 岳峰镇</v>
      </c>
      <c r="N7317" s="1" t="str">
        <f t="shared" si="2131"/>
        <v>凡华云仓-韵达-抖音</v>
      </c>
      <c r="O7317" s="5">
        <v>320172570704999</v>
      </c>
      <c r="P7317" s="6">
        <v>0.35</v>
      </c>
      <c r="Q7317" s="11">
        <v>2.2999999999999998</v>
      </c>
      <c r="R7317" s="11"/>
      <c r="S7317" s="11"/>
      <c r="T7317" s="11"/>
      <c r="U7317" s="11">
        <f t="shared" si="2132"/>
        <v>2.2999999999999998</v>
      </c>
      <c r="W7317">
        <v>2.5</v>
      </c>
      <c r="X7317" s="1" t="s">
        <v>24</v>
      </c>
    </row>
    <row r="7318" spans="1:24" x14ac:dyDescent="0.25">
      <c r="A7318" s="1" t="str">
        <f t="shared" si="2133"/>
        <v>卡卡杜-凤凰仓</v>
      </c>
      <c r="B7318" s="1" t="str">
        <f>"CK20241015100"</f>
        <v>CK20241015100</v>
      </c>
      <c r="C7318" s="1" t="str">
        <f>"DD2024101525574"</f>
        <v>DD2024101525574</v>
      </c>
      <c r="D7318" s="1" t="str">
        <f>"CK2024101522049"</f>
        <v>CK2024101522049</v>
      </c>
      <c r="E7318" s="1" t="str">
        <f>"6934999526934124379"</f>
        <v>6934999526934124379</v>
      </c>
      <c r="F7318" s="1" t="str">
        <f t="shared" si="2134"/>
        <v>花都四部-凤凰仓</v>
      </c>
      <c r="G7318" s="1" t="str">
        <f t="shared" si="2129"/>
        <v>卡卡杜个人护理店（抖店）</v>
      </c>
      <c r="H7318" s="1" t="str">
        <f t="shared" si="2135"/>
        <v>正常订单</v>
      </c>
      <c r="I7318" s="1" t="str">
        <f t="shared" si="2136"/>
        <v>已发货</v>
      </c>
      <c r="J7318" s="1" t="str">
        <f t="shared" si="2130"/>
        <v>3</v>
      </c>
      <c r="K7318" s="1">
        <v>2</v>
      </c>
      <c r="L7318" s="1" t="s">
        <v>22</v>
      </c>
      <c r="M7318" s="1" t="str">
        <f>"江西省 吉安市 遂川县 "</f>
        <v xml:space="preserve">江西省 吉安市 遂川县 </v>
      </c>
      <c r="N7318" s="1" t="str">
        <f t="shared" si="2131"/>
        <v>凡华云仓-韵达-抖音</v>
      </c>
      <c r="O7318" s="5">
        <v>320172570704894</v>
      </c>
      <c r="P7318" s="6">
        <v>0.35</v>
      </c>
      <c r="Q7318" s="11">
        <v>2.2999999999999998</v>
      </c>
      <c r="R7318" s="11"/>
      <c r="S7318" s="11"/>
      <c r="T7318" s="11"/>
      <c r="U7318" s="11">
        <f t="shared" si="2132"/>
        <v>2.2999999999999998</v>
      </c>
      <c r="W7318">
        <v>2.5</v>
      </c>
      <c r="X7318" s="1" t="s">
        <v>22</v>
      </c>
    </row>
    <row r="7319" spans="1:24" x14ac:dyDescent="0.25">
      <c r="A7319" s="1" t="str">
        <f t="shared" si="2133"/>
        <v>卡卡杜-凤凰仓</v>
      </c>
      <c r="B7319" s="1" t="str">
        <f>"CK20241015116"</f>
        <v>CK20241015116</v>
      </c>
      <c r="C7319" s="1" t="str">
        <f>"DD2024101525588"</f>
        <v>DD2024101525588</v>
      </c>
      <c r="D7319" s="1" t="str">
        <f>"CK2024101522047"</f>
        <v>CK2024101522047</v>
      </c>
      <c r="E7319" s="1" t="str">
        <f>"6935023860676958069"</f>
        <v>6935023860676958069</v>
      </c>
      <c r="F7319" s="1" t="str">
        <f t="shared" si="2134"/>
        <v>花都四部-凤凰仓</v>
      </c>
      <c r="G7319" s="1" t="str">
        <f t="shared" si="2129"/>
        <v>卡卡杜个人护理店（抖店）</v>
      </c>
      <c r="H7319" s="1" t="str">
        <f t="shared" si="2135"/>
        <v>正常订单</v>
      </c>
      <c r="I7319" s="1" t="str">
        <f t="shared" si="2136"/>
        <v>已发货</v>
      </c>
      <c r="J7319" s="1" t="str">
        <f t="shared" si="2130"/>
        <v>3</v>
      </c>
      <c r="K7319" s="1">
        <v>2</v>
      </c>
      <c r="L7319" s="1" t="s">
        <v>18</v>
      </c>
      <c r="M7319" s="1" t="str">
        <f>"广东省 广州市 增城区 新塘镇"</f>
        <v>广东省 广州市 增城区 新塘镇</v>
      </c>
      <c r="N7319" s="1" t="str">
        <f t="shared" si="2131"/>
        <v>凡华云仓-韵达-抖音</v>
      </c>
      <c r="O7319" s="5">
        <v>320172570704791</v>
      </c>
      <c r="P7319" s="6">
        <v>0.35</v>
      </c>
      <c r="Q7319" s="11">
        <v>2.2999999999999998</v>
      </c>
      <c r="R7319" s="11"/>
      <c r="S7319" s="11"/>
      <c r="T7319" s="11"/>
      <c r="U7319" s="11">
        <f t="shared" si="2132"/>
        <v>2.2999999999999998</v>
      </c>
      <c r="W7319">
        <v>2.5</v>
      </c>
      <c r="X7319" s="1" t="s">
        <v>18</v>
      </c>
    </row>
    <row r="7320" spans="1:24" x14ac:dyDescent="0.25">
      <c r="A7320" s="1" t="str">
        <f t="shared" si="2133"/>
        <v>卡卡杜-凤凰仓</v>
      </c>
      <c r="B7320" s="1" t="str">
        <f>"CK20241015115"</f>
        <v>CK20241015115</v>
      </c>
      <c r="C7320" s="1" t="str">
        <f>"DD2024101525589"</f>
        <v>DD2024101525589</v>
      </c>
      <c r="D7320" s="1" t="str">
        <f>"CK2024101522046"</f>
        <v>CK2024101522046</v>
      </c>
      <c r="E7320" s="1" t="str">
        <f>"6935006004484773011"</f>
        <v>6935006004484773011</v>
      </c>
      <c r="F7320" s="1" t="str">
        <f t="shared" si="2134"/>
        <v>花都四部-凤凰仓</v>
      </c>
      <c r="G7320" s="1" t="str">
        <f t="shared" si="2129"/>
        <v>卡卡杜个人护理店（抖店）</v>
      </c>
      <c r="H7320" s="1" t="str">
        <f t="shared" si="2135"/>
        <v>正常订单</v>
      </c>
      <c r="I7320" s="1" t="str">
        <f t="shared" si="2136"/>
        <v>已发货</v>
      </c>
      <c r="J7320" s="1" t="str">
        <f t="shared" si="2130"/>
        <v>3</v>
      </c>
      <c r="K7320" s="1">
        <v>2</v>
      </c>
      <c r="L7320" s="1" t="s">
        <v>66</v>
      </c>
      <c r="M7320" s="1" t="str">
        <f>"内蒙古自治区 巴彦淖尔市 杭锦后旗 陕坝镇"</f>
        <v>内蒙古自治区 巴彦淖尔市 杭锦后旗 陕坝镇</v>
      </c>
      <c r="N7320" s="1" t="str">
        <f t="shared" si="2131"/>
        <v>凡华云仓-韵达-抖音</v>
      </c>
      <c r="O7320" s="5">
        <v>320172570704690</v>
      </c>
      <c r="P7320" s="6">
        <v>0.35</v>
      </c>
      <c r="Q7320" s="11">
        <v>2.2999999999999998</v>
      </c>
      <c r="R7320" s="11"/>
      <c r="S7320" s="11"/>
      <c r="T7320" s="11"/>
      <c r="U7320" s="11">
        <f t="shared" si="2132"/>
        <v>2.2999999999999998</v>
      </c>
      <c r="W7320">
        <v>2.5</v>
      </c>
      <c r="X7320" s="1" t="s">
        <v>66</v>
      </c>
    </row>
    <row r="7321" spans="1:24" x14ac:dyDescent="0.25">
      <c r="A7321" s="1" t="str">
        <f t="shared" si="2133"/>
        <v>卡卡杜-凤凰仓</v>
      </c>
      <c r="B7321" s="1" t="str">
        <f>"CK20241015114"</f>
        <v>CK20241015114</v>
      </c>
      <c r="C7321" s="1" t="str">
        <f>"DD2024101525587"</f>
        <v>DD2024101525587</v>
      </c>
      <c r="D7321" s="1" t="str">
        <f>"CK2024101522044"</f>
        <v>CK2024101522044</v>
      </c>
      <c r="E7321" s="1" t="str">
        <f>"6935010148108670819"</f>
        <v>6935010148108670819</v>
      </c>
      <c r="F7321" s="1" t="str">
        <f t="shared" si="2134"/>
        <v>花都四部-凤凰仓</v>
      </c>
      <c r="G7321" s="1" t="str">
        <f t="shared" si="2129"/>
        <v>卡卡杜个人护理店（抖店）</v>
      </c>
      <c r="H7321" s="1" t="str">
        <f t="shared" si="2135"/>
        <v>正常订单</v>
      </c>
      <c r="I7321" s="1" t="str">
        <f t="shared" si="2136"/>
        <v>已发货</v>
      </c>
      <c r="J7321" s="1" t="str">
        <f t="shared" si="2130"/>
        <v>3</v>
      </c>
      <c r="K7321" s="1">
        <v>2</v>
      </c>
      <c r="L7321" s="1" t="s">
        <v>20</v>
      </c>
      <c r="M7321" s="1" t="str">
        <f>"浙江省 嘉兴市 桐乡市 濮院镇"</f>
        <v>浙江省 嘉兴市 桐乡市 濮院镇</v>
      </c>
      <c r="N7321" s="1" t="str">
        <f t="shared" si="2131"/>
        <v>凡华云仓-韵达-抖音</v>
      </c>
      <c r="O7321" s="5">
        <v>320172570704591</v>
      </c>
      <c r="P7321" s="6">
        <v>0.35</v>
      </c>
      <c r="Q7321" s="11">
        <v>2.2999999999999998</v>
      </c>
      <c r="R7321" s="11"/>
      <c r="S7321" s="11"/>
      <c r="T7321" s="11"/>
      <c r="U7321" s="11">
        <f t="shared" si="2132"/>
        <v>2.2999999999999998</v>
      </c>
      <c r="W7321">
        <v>2.5</v>
      </c>
      <c r="X7321" s="1" t="s">
        <v>20</v>
      </c>
    </row>
    <row r="7322" spans="1:24" x14ac:dyDescent="0.25">
      <c r="A7322" s="1" t="str">
        <f t="shared" si="2133"/>
        <v>卡卡杜-凤凰仓</v>
      </c>
      <c r="B7322" s="1" t="str">
        <f>"CK20241015113"</f>
        <v>CK20241015113</v>
      </c>
      <c r="C7322" s="1" t="str">
        <f>"DD2024101525586"</f>
        <v>DD2024101525586</v>
      </c>
      <c r="D7322" s="1" t="str">
        <f>"CK2024101522043"</f>
        <v>CK2024101522043</v>
      </c>
      <c r="E7322" s="1" t="str">
        <f>"6935027961252746797"</f>
        <v>6935027961252746797</v>
      </c>
      <c r="F7322" s="1" t="str">
        <f t="shared" si="2134"/>
        <v>花都四部-凤凰仓</v>
      </c>
      <c r="G7322" s="1" t="str">
        <f t="shared" si="2129"/>
        <v>卡卡杜个人护理店（抖店）</v>
      </c>
      <c r="H7322" s="1" t="str">
        <f t="shared" si="2135"/>
        <v>正常订单</v>
      </c>
      <c r="I7322" s="1" t="str">
        <f t="shared" si="2136"/>
        <v>已发货</v>
      </c>
      <c r="J7322" s="1" t="str">
        <f t="shared" si="2130"/>
        <v>3</v>
      </c>
      <c r="K7322" s="1">
        <v>2</v>
      </c>
      <c r="L7322" s="1" t="s">
        <v>18</v>
      </c>
      <c r="M7322" s="1" t="str">
        <f>"广东省 揭阳市 揭东区 埔田镇"</f>
        <v>广东省 揭阳市 揭东区 埔田镇</v>
      </c>
      <c r="N7322" s="1" t="str">
        <f t="shared" si="2131"/>
        <v>凡华云仓-韵达-抖音</v>
      </c>
      <c r="O7322" s="5">
        <v>320172570704494</v>
      </c>
      <c r="P7322" s="6">
        <v>0.35</v>
      </c>
      <c r="Q7322" s="11">
        <v>2.2999999999999998</v>
      </c>
      <c r="R7322" s="11"/>
      <c r="S7322" s="11"/>
      <c r="T7322" s="11"/>
      <c r="U7322" s="11">
        <f t="shared" si="2132"/>
        <v>2.2999999999999998</v>
      </c>
      <c r="W7322">
        <v>2.5</v>
      </c>
      <c r="X7322" s="1" t="s">
        <v>18</v>
      </c>
    </row>
    <row r="7323" spans="1:24" x14ac:dyDescent="0.25">
      <c r="A7323" s="1" t="str">
        <f t="shared" si="2133"/>
        <v>卡卡杜-凤凰仓</v>
      </c>
      <c r="B7323" s="1" t="str">
        <f>"CK20241015111"</f>
        <v>CK20241015111</v>
      </c>
      <c r="C7323" s="1" t="str">
        <f>"DD2024101525583"</f>
        <v>DD2024101525583</v>
      </c>
      <c r="D7323" s="1" t="str">
        <f>"CK2024101522041"</f>
        <v>CK2024101522041</v>
      </c>
      <c r="E7323" s="1" t="str">
        <f>"6935003806539257041"</f>
        <v>6935003806539257041</v>
      </c>
      <c r="F7323" s="1" t="str">
        <f t="shared" si="2134"/>
        <v>花都四部-凤凰仓</v>
      </c>
      <c r="G7323" s="1" t="str">
        <f t="shared" si="2129"/>
        <v>卡卡杜个人护理店（抖店）</v>
      </c>
      <c r="H7323" s="1" t="str">
        <f t="shared" si="2135"/>
        <v>正常订单</v>
      </c>
      <c r="I7323" s="1" t="str">
        <f t="shared" si="2136"/>
        <v>已发货</v>
      </c>
      <c r="J7323" s="1" t="str">
        <f t="shared" si="2130"/>
        <v>3</v>
      </c>
      <c r="K7323" s="1">
        <v>2</v>
      </c>
      <c r="L7323" s="1" t="s">
        <v>36</v>
      </c>
      <c r="M7323" s="1" t="str">
        <f>"安徽省 滁州市 天长市 石梁镇"</f>
        <v>安徽省 滁州市 天长市 石梁镇</v>
      </c>
      <c r="N7323" s="1" t="str">
        <f t="shared" si="2131"/>
        <v>凡华云仓-韵达-抖音</v>
      </c>
      <c r="O7323" s="5">
        <v>320172570704399</v>
      </c>
      <c r="P7323" s="6">
        <v>0.35</v>
      </c>
      <c r="Q7323" s="11">
        <v>2.2999999999999998</v>
      </c>
      <c r="R7323" s="11"/>
      <c r="S7323" s="11"/>
      <c r="T7323" s="11"/>
      <c r="U7323" s="11">
        <f t="shared" si="2132"/>
        <v>2.2999999999999998</v>
      </c>
      <c r="W7323">
        <v>2.5</v>
      </c>
      <c r="X7323" s="1" t="s">
        <v>36</v>
      </c>
    </row>
    <row r="7324" spans="1:24" x14ac:dyDescent="0.25">
      <c r="A7324" s="1" t="str">
        <f t="shared" si="2133"/>
        <v>卡卡杜-凤凰仓</v>
      </c>
      <c r="B7324" s="1" t="str">
        <f>"CK20241015108"</f>
        <v>CK20241015108</v>
      </c>
      <c r="C7324" s="1" t="str">
        <f>"DD2024101525580"</f>
        <v>DD2024101525580</v>
      </c>
      <c r="D7324" s="1" t="str">
        <f>"CK2024101522039"</f>
        <v>CK2024101522039</v>
      </c>
      <c r="E7324" s="1" t="str">
        <f>"6935023671979939816"</f>
        <v>6935023671979939816</v>
      </c>
      <c r="F7324" s="1" t="str">
        <f t="shared" si="2134"/>
        <v>花都四部-凤凰仓</v>
      </c>
      <c r="G7324" s="1" t="str">
        <f t="shared" si="2129"/>
        <v>卡卡杜个人护理店（抖店）</v>
      </c>
      <c r="H7324" s="1" t="str">
        <f t="shared" si="2135"/>
        <v>正常订单</v>
      </c>
      <c r="I7324" s="1" t="str">
        <f t="shared" si="2136"/>
        <v>已发货</v>
      </c>
      <c r="J7324" s="1" t="str">
        <f t="shared" si="2130"/>
        <v>3</v>
      </c>
      <c r="K7324" s="1">
        <v>2</v>
      </c>
      <c r="L7324" s="1" t="s">
        <v>74</v>
      </c>
      <c r="M7324" s="1" t="str">
        <f>"上海 上海市 浦东新区 合庆镇"</f>
        <v>上海 上海市 浦东新区 合庆镇</v>
      </c>
      <c r="N7324" s="1" t="str">
        <f t="shared" si="2131"/>
        <v>凡华云仓-韵达-抖音</v>
      </c>
      <c r="O7324" s="5">
        <v>320172570704206</v>
      </c>
      <c r="P7324" s="6">
        <v>0.35</v>
      </c>
      <c r="Q7324" s="11">
        <v>2.2999999999999998</v>
      </c>
      <c r="R7324" s="11"/>
      <c r="S7324" s="11"/>
      <c r="T7324" s="11"/>
      <c r="U7324" s="11">
        <f t="shared" si="2132"/>
        <v>2.2999999999999998</v>
      </c>
      <c r="W7324">
        <v>2.5</v>
      </c>
      <c r="X7324" s="1" t="s">
        <v>74</v>
      </c>
    </row>
    <row r="7325" spans="1:24" x14ac:dyDescent="0.25">
      <c r="A7325" s="1" t="str">
        <f t="shared" si="2133"/>
        <v>卡卡杜-凤凰仓</v>
      </c>
      <c r="B7325" s="1" t="str">
        <f>"CK2024101599"</f>
        <v>CK2024101599</v>
      </c>
      <c r="C7325" s="1" t="str">
        <f>"DD2024101525572"</f>
        <v>DD2024101525572</v>
      </c>
      <c r="D7325" s="1" t="str">
        <f>"CK2024101522038"</f>
        <v>CK2024101522038</v>
      </c>
      <c r="E7325" s="1" t="str">
        <f>"6935001681898706831"</f>
        <v>6935001681898706831</v>
      </c>
      <c r="F7325" s="1" t="str">
        <f t="shared" si="2134"/>
        <v>花都四部-凤凰仓</v>
      </c>
      <c r="G7325" s="1" t="str">
        <f t="shared" si="2129"/>
        <v>卡卡杜个人护理店（抖店）</v>
      </c>
      <c r="H7325" s="1" t="str">
        <f t="shared" si="2135"/>
        <v>正常订单</v>
      </c>
      <c r="I7325" s="1" t="str">
        <f t="shared" si="2136"/>
        <v>已发货</v>
      </c>
      <c r="J7325" s="1" t="str">
        <f t="shared" si="2130"/>
        <v>3</v>
      </c>
      <c r="K7325" s="1">
        <v>2</v>
      </c>
      <c r="L7325" s="1" t="s">
        <v>18</v>
      </c>
      <c r="M7325" s="1" t="str">
        <f>"广东省 广州市 白云区 嘉禾街道"</f>
        <v>广东省 广州市 白云区 嘉禾街道</v>
      </c>
      <c r="N7325" s="1" t="str">
        <f t="shared" si="2131"/>
        <v>凡华云仓-韵达-抖音</v>
      </c>
      <c r="O7325" s="5">
        <v>320172569500795</v>
      </c>
      <c r="P7325" s="6">
        <v>0.35</v>
      </c>
      <c r="Q7325" s="11">
        <v>2.2999999999999998</v>
      </c>
      <c r="R7325" s="11"/>
      <c r="S7325" s="11"/>
      <c r="T7325" s="11"/>
      <c r="U7325" s="11">
        <f t="shared" si="2132"/>
        <v>2.2999999999999998</v>
      </c>
      <c r="W7325">
        <v>2.5</v>
      </c>
      <c r="X7325" s="1" t="s">
        <v>18</v>
      </c>
    </row>
    <row r="7326" spans="1:24" x14ac:dyDescent="0.25">
      <c r="A7326" s="1" t="str">
        <f t="shared" si="2133"/>
        <v>卡卡杜-凤凰仓</v>
      </c>
      <c r="B7326" s="1" t="str">
        <f>"CK2024101544"</f>
        <v>CK2024101544</v>
      </c>
      <c r="C7326" s="1" t="str">
        <f>"DD2024101525517"</f>
        <v>DD2024101525517</v>
      </c>
      <c r="D7326" s="1" t="str">
        <f>"CK2024101522036"</f>
        <v>CK2024101522036</v>
      </c>
      <c r="E7326" s="1" t="str">
        <f>"6935007591548655432"</f>
        <v>6935007591548655432</v>
      </c>
      <c r="F7326" s="1" t="str">
        <f t="shared" si="2134"/>
        <v>花都四部-凤凰仓</v>
      </c>
      <c r="G7326" s="1" t="str">
        <f t="shared" si="2129"/>
        <v>卡卡杜个人护理店（抖店）</v>
      </c>
      <c r="H7326" s="1" t="str">
        <f t="shared" si="2135"/>
        <v>正常订单</v>
      </c>
      <c r="I7326" s="1" t="str">
        <f t="shared" si="2136"/>
        <v>已发货</v>
      </c>
      <c r="J7326" s="1" t="str">
        <f t="shared" si="2130"/>
        <v>3</v>
      </c>
      <c r="K7326" s="1">
        <v>3</v>
      </c>
      <c r="L7326" s="1" t="s">
        <v>161</v>
      </c>
      <c r="M7326" s="1" t="str">
        <f>"四川省 成都市 锦江区 三圣街道"</f>
        <v>四川省 成都市 锦江区 三圣街道</v>
      </c>
      <c r="N7326" s="1" t="str">
        <f t="shared" si="2131"/>
        <v>凡华云仓-韵达-抖音</v>
      </c>
      <c r="O7326" s="5">
        <v>320172569500694</v>
      </c>
      <c r="P7326" s="6">
        <v>0.34</v>
      </c>
      <c r="Q7326" s="11">
        <v>2.2999999999999998</v>
      </c>
      <c r="R7326" s="11"/>
      <c r="S7326" s="11"/>
      <c r="T7326" s="11"/>
      <c r="U7326" s="11">
        <f t="shared" si="2132"/>
        <v>2.2999999999999998</v>
      </c>
      <c r="W7326">
        <v>2.5</v>
      </c>
      <c r="X7326" s="1" t="s">
        <v>161</v>
      </c>
    </row>
    <row r="7327" spans="1:24" x14ac:dyDescent="0.25">
      <c r="A7327" s="1" t="str">
        <f t="shared" si="2133"/>
        <v>卡卡杜-凤凰仓</v>
      </c>
      <c r="B7327" s="1" t="str">
        <f>"CK20241015104"</f>
        <v>CK20241015104</v>
      </c>
      <c r="C7327" s="1" t="str">
        <f>"DD2024101525579"</f>
        <v>DD2024101525579</v>
      </c>
      <c r="D7327" s="1" t="str">
        <f>"CK2024101522034"</f>
        <v>CK2024101522034</v>
      </c>
      <c r="E7327" s="1" t="str">
        <f>"6935027985088517696"</f>
        <v>6935027985088517696</v>
      </c>
      <c r="F7327" s="1" t="str">
        <f t="shared" si="2134"/>
        <v>花都四部-凤凰仓</v>
      </c>
      <c r="G7327" s="1" t="str">
        <f t="shared" si="2129"/>
        <v>卡卡杜个人护理店（抖店）</v>
      </c>
      <c r="H7327" s="1" t="str">
        <f t="shared" si="2135"/>
        <v>正常订单</v>
      </c>
      <c r="I7327" s="1" t="str">
        <f t="shared" si="2136"/>
        <v>已发货</v>
      </c>
      <c r="J7327" s="1" t="str">
        <f t="shared" si="2130"/>
        <v>3</v>
      </c>
      <c r="K7327" s="1">
        <v>2</v>
      </c>
      <c r="L7327" s="1" t="s">
        <v>27</v>
      </c>
      <c r="M7327" s="1" t="str">
        <f>"贵州省 遵义市 务川仡佬族苗族自治县 大坪街道"</f>
        <v>贵州省 遵义市 务川仡佬族苗族自治县 大坪街道</v>
      </c>
      <c r="N7327" s="1" t="str">
        <f t="shared" si="2131"/>
        <v>凡华云仓-韵达-抖音</v>
      </c>
      <c r="O7327" s="5">
        <v>320172569500595</v>
      </c>
      <c r="P7327" s="6">
        <v>0.35</v>
      </c>
      <c r="Q7327" s="11">
        <v>2.2999999999999998</v>
      </c>
      <c r="R7327" s="11"/>
      <c r="S7327" s="11"/>
      <c r="T7327" s="11"/>
      <c r="U7327" s="11">
        <f t="shared" si="2132"/>
        <v>2.2999999999999998</v>
      </c>
      <c r="W7327">
        <v>2.5</v>
      </c>
      <c r="X7327" s="1" t="s">
        <v>27</v>
      </c>
    </row>
    <row r="7328" spans="1:24" x14ac:dyDescent="0.25">
      <c r="A7328" s="1" t="str">
        <f t="shared" si="2133"/>
        <v>卡卡杜-凤凰仓</v>
      </c>
      <c r="B7328" s="1" t="str">
        <f>"CK2024101541"</f>
        <v>CK2024101541</v>
      </c>
      <c r="C7328" s="1" t="str">
        <f>"DD2024101525512"</f>
        <v>DD2024101525512</v>
      </c>
      <c r="D7328" s="1" t="str">
        <f>"CK2024101522033"</f>
        <v>CK2024101522033</v>
      </c>
      <c r="E7328" s="1" t="str">
        <f>"6935003756987159881"</f>
        <v>6935003756987159881</v>
      </c>
      <c r="F7328" s="1" t="str">
        <f t="shared" si="2134"/>
        <v>花都四部-凤凰仓</v>
      </c>
      <c r="G7328" s="1" t="str">
        <f t="shared" si="2129"/>
        <v>卡卡杜个人护理店（抖店）</v>
      </c>
      <c r="H7328" s="1" t="str">
        <f t="shared" si="2135"/>
        <v>正常订单</v>
      </c>
      <c r="I7328" s="1" t="str">
        <f t="shared" si="2136"/>
        <v>已发货</v>
      </c>
      <c r="J7328" s="1" t="str">
        <f>"5"</f>
        <v>5</v>
      </c>
      <c r="K7328" s="1">
        <v>2</v>
      </c>
      <c r="L7328" s="1" t="s">
        <v>20</v>
      </c>
      <c r="M7328" s="1" t="str">
        <f>"浙江省 绍兴市 越城区 府山街道"</f>
        <v>浙江省 绍兴市 越城区 府山街道</v>
      </c>
      <c r="N7328" s="1" t="str">
        <f t="shared" si="2131"/>
        <v>凡华云仓-韵达-抖音</v>
      </c>
      <c r="O7328" s="5">
        <v>320172569500498</v>
      </c>
      <c r="P7328" s="6">
        <v>0.59</v>
      </c>
      <c r="Q7328" s="11">
        <f>CEILING(P7328-0.5,0.1)*10*0.15+2.3</f>
        <v>2.4499999999999997</v>
      </c>
      <c r="R7328" s="11"/>
      <c r="S7328" s="11"/>
      <c r="T7328" s="11"/>
      <c r="U7328" s="11">
        <f t="shared" si="2132"/>
        <v>2.4499999999999997</v>
      </c>
      <c r="V7328" t="s">
        <v>15</v>
      </c>
      <c r="W7328">
        <v>2.4500000000000002</v>
      </c>
      <c r="X7328" s="1" t="s">
        <v>20</v>
      </c>
    </row>
    <row r="7329" spans="1:24" x14ac:dyDescent="0.25">
      <c r="A7329" s="1" t="str">
        <f t="shared" si="2133"/>
        <v>卡卡杜-凤凰仓</v>
      </c>
      <c r="B7329" s="1" t="str">
        <f>"CK20241015102"</f>
        <v>CK20241015102</v>
      </c>
      <c r="C7329" s="1" t="str">
        <f>"DD2024101525576"</f>
        <v>DD2024101525576</v>
      </c>
      <c r="D7329" s="1" t="str">
        <f>"CK2024101522031"</f>
        <v>CK2024101522031</v>
      </c>
      <c r="E7329" s="1" t="str">
        <f>"6935023534484887124"</f>
        <v>6935023534484887124</v>
      </c>
      <c r="F7329" s="1" t="str">
        <f t="shared" si="2134"/>
        <v>花都四部-凤凰仓</v>
      </c>
      <c r="G7329" s="1" t="str">
        <f t="shared" si="2129"/>
        <v>卡卡杜个人护理店（抖店）</v>
      </c>
      <c r="H7329" s="1" t="str">
        <f t="shared" si="2135"/>
        <v>正常订单</v>
      </c>
      <c r="I7329" s="1" t="str">
        <f t="shared" si="2136"/>
        <v>已发货</v>
      </c>
      <c r="J7329" s="1" t="str">
        <f t="shared" ref="J7329:J7343" si="2137">"3"</f>
        <v>3</v>
      </c>
      <c r="K7329" s="1">
        <v>2</v>
      </c>
      <c r="L7329" s="1" t="s">
        <v>18</v>
      </c>
      <c r="M7329" s="1" t="str">
        <f>"广东省 深圳市 南山区 西丽街道"</f>
        <v>广东省 深圳市 南山区 西丽街道</v>
      </c>
      <c r="N7329" s="1" t="str">
        <f t="shared" si="2131"/>
        <v>凡华云仓-韵达-抖音</v>
      </c>
      <c r="O7329" s="5">
        <v>320172569500303</v>
      </c>
      <c r="P7329" s="6">
        <v>0.35</v>
      </c>
      <c r="Q7329" s="11">
        <v>2.2999999999999998</v>
      </c>
      <c r="R7329" s="11"/>
      <c r="S7329" s="11"/>
      <c r="T7329" s="11"/>
      <c r="U7329" s="11">
        <f t="shared" si="2132"/>
        <v>2.2999999999999998</v>
      </c>
      <c r="W7329">
        <v>2.5</v>
      </c>
      <c r="X7329" s="1" t="s">
        <v>18</v>
      </c>
    </row>
    <row r="7330" spans="1:24" x14ac:dyDescent="0.25">
      <c r="A7330" s="1" t="str">
        <f t="shared" si="2133"/>
        <v>卡卡杜-凤凰仓</v>
      </c>
      <c r="B7330" s="1" t="str">
        <f>"CK20241015101"</f>
        <v>CK20241015101</v>
      </c>
      <c r="C7330" s="1" t="str">
        <f>"DD2024101525577"</f>
        <v>DD2024101525577</v>
      </c>
      <c r="D7330" s="1" t="str">
        <f>"CK2024101522029"</f>
        <v>CK2024101522029</v>
      </c>
      <c r="E7330" s="1" t="str">
        <f>"6935003767759311889"</f>
        <v>6935003767759311889</v>
      </c>
      <c r="F7330" s="1" t="str">
        <f t="shared" si="2134"/>
        <v>花都四部-凤凰仓</v>
      </c>
      <c r="G7330" s="1" t="str">
        <f t="shared" si="2129"/>
        <v>卡卡杜个人护理店（抖店）</v>
      </c>
      <c r="H7330" s="1" t="str">
        <f t="shared" si="2135"/>
        <v>正常订单</v>
      </c>
      <c r="I7330" s="1" t="str">
        <f t="shared" si="2136"/>
        <v>已发货</v>
      </c>
      <c r="J7330" s="1" t="str">
        <f t="shared" si="2137"/>
        <v>3</v>
      </c>
      <c r="K7330" s="1">
        <v>2</v>
      </c>
      <c r="L7330" s="1" t="s">
        <v>13</v>
      </c>
      <c r="M7330" s="1" t="str">
        <f>"江苏省 苏州市 昆山市 陆家镇"</f>
        <v>江苏省 苏州市 昆山市 陆家镇</v>
      </c>
      <c r="N7330" s="1" t="str">
        <f t="shared" si="2131"/>
        <v>凡华云仓-韵达-抖音</v>
      </c>
      <c r="O7330" s="5">
        <v>320172569500210</v>
      </c>
      <c r="P7330" s="6">
        <v>0.35</v>
      </c>
      <c r="Q7330" s="11">
        <v>2.2999999999999998</v>
      </c>
      <c r="R7330" s="11"/>
      <c r="S7330" s="11"/>
      <c r="T7330" s="11"/>
      <c r="U7330" s="11">
        <f t="shared" si="2132"/>
        <v>2.2999999999999998</v>
      </c>
      <c r="W7330">
        <v>2.5</v>
      </c>
      <c r="X7330" s="1" t="s">
        <v>13</v>
      </c>
    </row>
    <row r="7331" spans="1:24" x14ac:dyDescent="0.25">
      <c r="A7331" s="1" t="str">
        <f t="shared" si="2133"/>
        <v>卡卡杜-凤凰仓</v>
      </c>
      <c r="B7331" s="1" t="str">
        <f>"CK20241015117"</f>
        <v>CK20241015117</v>
      </c>
      <c r="C7331" s="1" t="str">
        <f>"DD2024101525590"</f>
        <v>DD2024101525590</v>
      </c>
      <c r="D7331" s="1" t="str">
        <f>"CK2024101522028"</f>
        <v>CK2024101522028</v>
      </c>
      <c r="E7331" s="1" t="str">
        <f>"6935023553611896055"</f>
        <v>6935023553611896055</v>
      </c>
      <c r="F7331" s="1" t="str">
        <f t="shared" si="2134"/>
        <v>花都四部-凤凰仓</v>
      </c>
      <c r="G7331" s="1" t="str">
        <f t="shared" si="2129"/>
        <v>卡卡杜个人护理店（抖店）</v>
      </c>
      <c r="H7331" s="1" t="str">
        <f t="shared" si="2135"/>
        <v>正常订单</v>
      </c>
      <c r="I7331" s="1" t="str">
        <f t="shared" si="2136"/>
        <v>已发货</v>
      </c>
      <c r="J7331" s="1" t="str">
        <f t="shared" si="2137"/>
        <v>3</v>
      </c>
      <c r="K7331" s="1">
        <v>2</v>
      </c>
      <c r="L7331" s="1" t="s">
        <v>27</v>
      </c>
      <c r="M7331" s="1" t="str">
        <f>"贵州省 毕节市 七星关区 洪山街道"</f>
        <v>贵州省 毕节市 七星关区 洪山街道</v>
      </c>
      <c r="N7331" s="1" t="str">
        <f t="shared" si="2131"/>
        <v>凡华云仓-韵达-抖音</v>
      </c>
      <c r="O7331" s="5">
        <v>320172569500119</v>
      </c>
      <c r="P7331" s="6">
        <v>0.35</v>
      </c>
      <c r="Q7331" s="11">
        <v>2.2999999999999998</v>
      </c>
      <c r="R7331" s="11"/>
      <c r="S7331" s="11"/>
      <c r="T7331" s="11"/>
      <c r="U7331" s="11">
        <f t="shared" si="2132"/>
        <v>2.2999999999999998</v>
      </c>
      <c r="W7331">
        <v>2.5</v>
      </c>
      <c r="X7331" s="1" t="s">
        <v>27</v>
      </c>
    </row>
    <row r="7332" spans="1:24" x14ac:dyDescent="0.25">
      <c r="A7332" s="1" t="str">
        <f t="shared" si="2133"/>
        <v>卡卡杜-凤凰仓</v>
      </c>
      <c r="B7332" s="1" t="str">
        <f>"CK20241015109"</f>
        <v>CK20241015109</v>
      </c>
      <c r="C7332" s="1" t="str">
        <f>"DD2024101525581"</f>
        <v>DD2024101525581</v>
      </c>
      <c r="D7332" s="1" t="str">
        <f>"CK2024101522026"</f>
        <v>CK2024101522026</v>
      </c>
      <c r="E7332" s="1" t="str">
        <f>"6935005895194842960"</f>
        <v>6935005895194842960</v>
      </c>
      <c r="F7332" s="1" t="str">
        <f t="shared" si="2134"/>
        <v>花都四部-凤凰仓</v>
      </c>
      <c r="G7332" s="1" t="str">
        <f t="shared" si="2129"/>
        <v>卡卡杜个人护理店（抖店）</v>
      </c>
      <c r="H7332" s="1" t="str">
        <f t="shared" si="2135"/>
        <v>正常订单</v>
      </c>
      <c r="I7332" s="1" t="str">
        <f t="shared" si="2136"/>
        <v>已发货</v>
      </c>
      <c r="J7332" s="1" t="str">
        <f t="shared" si="2137"/>
        <v>3</v>
      </c>
      <c r="K7332" s="1">
        <v>2</v>
      </c>
      <c r="L7332" s="1" t="s">
        <v>20</v>
      </c>
      <c r="M7332" s="1" t="str">
        <f>"浙江省 湖州市 长兴县 雉城街道"</f>
        <v>浙江省 湖州市 长兴县 雉城街道</v>
      </c>
      <c r="N7332" s="1" t="str">
        <f t="shared" si="2131"/>
        <v>凡华云仓-韵达-抖音</v>
      </c>
      <c r="O7332" s="5">
        <v>320172569500030</v>
      </c>
      <c r="P7332" s="6">
        <v>0.35</v>
      </c>
      <c r="Q7332" s="11">
        <v>2.2999999999999998</v>
      </c>
      <c r="R7332" s="11"/>
      <c r="S7332" s="11"/>
      <c r="T7332" s="11"/>
      <c r="U7332" s="11">
        <f t="shared" si="2132"/>
        <v>2.2999999999999998</v>
      </c>
      <c r="W7332">
        <v>2.5</v>
      </c>
      <c r="X7332" s="1" t="s">
        <v>20</v>
      </c>
    </row>
    <row r="7333" spans="1:24" x14ac:dyDescent="0.25">
      <c r="A7333" s="1" t="str">
        <f t="shared" si="2133"/>
        <v>卡卡杜-凤凰仓</v>
      </c>
      <c r="B7333" s="1" t="str">
        <f>"CK2024101573"</f>
        <v>CK2024101573</v>
      </c>
      <c r="C7333" s="1" t="str">
        <f>"DD2024101525547"</f>
        <v>DD2024101525547</v>
      </c>
      <c r="D7333" s="1" t="str">
        <f>"CK2024101522024"</f>
        <v>CK2024101522024</v>
      </c>
      <c r="E7333" s="1" t="str">
        <f>"6935012240247953210"</f>
        <v>6935012240247953210</v>
      </c>
      <c r="F7333" s="1" t="str">
        <f t="shared" si="2134"/>
        <v>花都四部-凤凰仓</v>
      </c>
      <c r="G7333" s="1" t="str">
        <f t="shared" si="2129"/>
        <v>卡卡杜个人护理店（抖店）</v>
      </c>
      <c r="H7333" s="1" t="str">
        <f t="shared" si="2135"/>
        <v>正常订单</v>
      </c>
      <c r="I7333" s="1" t="str">
        <f t="shared" si="2136"/>
        <v>已发货</v>
      </c>
      <c r="J7333" s="1" t="str">
        <f t="shared" si="2137"/>
        <v>3</v>
      </c>
      <c r="K7333" s="1">
        <v>2</v>
      </c>
      <c r="L7333" s="1" t="s">
        <v>161</v>
      </c>
      <c r="M7333" s="1" t="str">
        <f>"四川省 雅安市 石棉县 新棉街道"</f>
        <v>四川省 雅安市 石棉县 新棉街道</v>
      </c>
      <c r="N7333" s="1" t="str">
        <f t="shared" si="2131"/>
        <v>凡华云仓-韵达-抖音</v>
      </c>
      <c r="O7333" s="5">
        <v>320172569499952</v>
      </c>
      <c r="P7333" s="6">
        <v>0.35</v>
      </c>
      <c r="Q7333" s="11">
        <v>2.2999999999999998</v>
      </c>
      <c r="R7333" s="11"/>
      <c r="S7333" s="11"/>
      <c r="T7333" s="11"/>
      <c r="U7333" s="11">
        <f t="shared" si="2132"/>
        <v>2.2999999999999998</v>
      </c>
      <c r="W7333">
        <v>2.5</v>
      </c>
      <c r="X7333" s="1" t="s">
        <v>161</v>
      </c>
    </row>
    <row r="7334" spans="1:24" x14ac:dyDescent="0.25">
      <c r="A7334" s="1" t="str">
        <f t="shared" si="2133"/>
        <v>卡卡杜-凤凰仓</v>
      </c>
      <c r="B7334" s="1" t="str">
        <f>"CK20241015103"</f>
        <v>CK20241015103</v>
      </c>
      <c r="C7334" s="1" t="str">
        <f>"DD2024101525575"</f>
        <v>DD2024101525575</v>
      </c>
      <c r="D7334" s="1" t="str">
        <f>"CK2024101522023"</f>
        <v>CK2024101522023</v>
      </c>
      <c r="E7334" s="1" t="str">
        <f>"6934999206351345041"</f>
        <v>6934999206351345041</v>
      </c>
      <c r="F7334" s="1" t="str">
        <f t="shared" si="2134"/>
        <v>花都四部-凤凰仓</v>
      </c>
      <c r="G7334" s="1" t="str">
        <f t="shared" si="2129"/>
        <v>卡卡杜个人护理店（抖店）</v>
      </c>
      <c r="H7334" s="1" t="str">
        <f t="shared" si="2135"/>
        <v>正常订单</v>
      </c>
      <c r="I7334" s="1" t="str">
        <f t="shared" si="2136"/>
        <v>已发货</v>
      </c>
      <c r="J7334" s="1" t="str">
        <f t="shared" si="2137"/>
        <v>3</v>
      </c>
      <c r="K7334" s="1">
        <v>2</v>
      </c>
      <c r="L7334" s="1" t="s">
        <v>30</v>
      </c>
      <c r="M7334" s="1" t="str">
        <f>"山东省 菏泽市 郓城县 黄泥冈镇"</f>
        <v>山东省 菏泽市 郓城县 黄泥冈镇</v>
      </c>
      <c r="N7334" s="1" t="str">
        <f t="shared" si="2131"/>
        <v>凡华云仓-韵达-抖音</v>
      </c>
      <c r="O7334" s="5">
        <v>320172569499847</v>
      </c>
      <c r="P7334" s="6">
        <v>0.35</v>
      </c>
      <c r="Q7334" s="11">
        <v>2.2999999999999998</v>
      </c>
      <c r="R7334" s="11"/>
      <c r="S7334" s="11"/>
      <c r="T7334" s="11"/>
      <c r="U7334" s="11">
        <f t="shared" si="2132"/>
        <v>2.2999999999999998</v>
      </c>
      <c r="W7334">
        <v>2.5</v>
      </c>
      <c r="X7334" s="1" t="s">
        <v>30</v>
      </c>
    </row>
    <row r="7335" spans="1:24" x14ac:dyDescent="0.25">
      <c r="A7335" s="1" t="str">
        <f t="shared" si="2133"/>
        <v>卡卡杜-凤凰仓</v>
      </c>
      <c r="B7335" s="1" t="str">
        <f>"CK20241015106"</f>
        <v>CK20241015106</v>
      </c>
      <c r="C7335" s="1" t="str">
        <f>"DD2024101525582"</f>
        <v>DD2024101525582</v>
      </c>
      <c r="D7335" s="1" t="str">
        <f>"CK2024101522021"</f>
        <v>CK2024101522021</v>
      </c>
      <c r="E7335" s="1" t="str">
        <f>"6935012203586917586"</f>
        <v>6935012203586917586</v>
      </c>
      <c r="F7335" s="1" t="str">
        <f t="shared" si="2134"/>
        <v>花都四部-凤凰仓</v>
      </c>
      <c r="G7335" s="1" t="str">
        <f t="shared" si="2129"/>
        <v>卡卡杜个人护理店（抖店）</v>
      </c>
      <c r="H7335" s="1" t="str">
        <f t="shared" si="2135"/>
        <v>正常订单</v>
      </c>
      <c r="I7335" s="1" t="str">
        <f t="shared" si="2136"/>
        <v>已发货</v>
      </c>
      <c r="J7335" s="1" t="str">
        <f t="shared" si="2137"/>
        <v>3</v>
      </c>
      <c r="K7335" s="1">
        <v>2</v>
      </c>
      <c r="L7335" s="1" t="s">
        <v>32</v>
      </c>
      <c r="M7335" s="1" t="str">
        <f>"陕西省 西安市 雁塔区 曲江街道"</f>
        <v>陕西省 西安市 雁塔区 曲江街道</v>
      </c>
      <c r="N7335" s="1" t="str">
        <f t="shared" si="2131"/>
        <v>凡华云仓-韵达-抖音</v>
      </c>
      <c r="O7335" s="5">
        <v>320172554617744</v>
      </c>
      <c r="P7335" s="6">
        <v>0.35</v>
      </c>
      <c r="Q7335" s="11">
        <v>2.2999999999999998</v>
      </c>
      <c r="R7335" s="11"/>
      <c r="S7335" s="11"/>
      <c r="T7335" s="11"/>
      <c r="U7335" s="11">
        <f t="shared" si="2132"/>
        <v>2.2999999999999998</v>
      </c>
      <c r="W7335">
        <v>2.5</v>
      </c>
      <c r="X7335" s="1" t="s">
        <v>32</v>
      </c>
    </row>
    <row r="7336" spans="1:24" x14ac:dyDescent="0.25">
      <c r="A7336" s="1" t="str">
        <f t="shared" si="2133"/>
        <v>卡卡杜-凤凰仓</v>
      </c>
      <c r="B7336" s="1" t="str">
        <f>"CK20241015107"</f>
        <v>CK20241015107</v>
      </c>
      <c r="C7336" s="1" t="str">
        <f>"DD2024101525591"</f>
        <v>DD2024101525591</v>
      </c>
      <c r="D7336" s="1" t="str">
        <f>"CK2024101522019"</f>
        <v>CK2024101522019</v>
      </c>
      <c r="E7336" s="1" t="str">
        <f>"6934994814408397869"</f>
        <v>6934994814408397869</v>
      </c>
      <c r="F7336" s="1" t="str">
        <f t="shared" si="2134"/>
        <v>花都四部-凤凰仓</v>
      </c>
      <c r="G7336" s="1" t="str">
        <f t="shared" si="2129"/>
        <v>卡卡杜个人护理店（抖店）</v>
      </c>
      <c r="H7336" s="1" t="str">
        <f t="shared" si="2135"/>
        <v>正常订单</v>
      </c>
      <c r="I7336" s="1" t="str">
        <f t="shared" si="2136"/>
        <v>已发货</v>
      </c>
      <c r="J7336" s="1" t="str">
        <f t="shared" si="2137"/>
        <v>3</v>
      </c>
      <c r="K7336" s="1">
        <v>2</v>
      </c>
      <c r="L7336" s="1" t="s">
        <v>22</v>
      </c>
      <c r="M7336" s="1" t="str">
        <f>"江西省 上饶市 鄱阳县 鄱阳镇"</f>
        <v>江西省 上饶市 鄱阳县 鄱阳镇</v>
      </c>
      <c r="N7336" s="1" t="str">
        <f t="shared" si="2131"/>
        <v>凡华云仓-韵达-抖音</v>
      </c>
      <c r="O7336" s="5">
        <v>320172554617643</v>
      </c>
      <c r="P7336" s="6">
        <v>0.35</v>
      </c>
      <c r="Q7336" s="11">
        <v>2.2999999999999998</v>
      </c>
      <c r="R7336" s="11"/>
      <c r="S7336" s="11"/>
      <c r="T7336" s="11"/>
      <c r="U7336" s="11">
        <f t="shared" si="2132"/>
        <v>2.2999999999999998</v>
      </c>
      <c r="W7336">
        <v>2.5</v>
      </c>
      <c r="X7336" s="1" t="s">
        <v>22</v>
      </c>
    </row>
    <row r="7337" spans="1:24" x14ac:dyDescent="0.25">
      <c r="A7337" s="1" t="str">
        <f t="shared" si="2133"/>
        <v>卡卡杜-凤凰仓</v>
      </c>
      <c r="B7337" s="1" t="str">
        <f>"CK20241015110"</f>
        <v>CK20241015110</v>
      </c>
      <c r="C7337" s="1" t="str">
        <f>"DD2024101525584"</f>
        <v>DD2024101525584</v>
      </c>
      <c r="D7337" s="1" t="str">
        <f>"CK2024101522018"</f>
        <v>CK2024101522018</v>
      </c>
      <c r="E7337" s="1" t="str">
        <f>"6935003709018936432"</f>
        <v>6935003709018936432</v>
      </c>
      <c r="F7337" s="1" t="str">
        <f t="shared" si="2134"/>
        <v>花都四部-凤凰仓</v>
      </c>
      <c r="G7337" s="1" t="str">
        <f t="shared" si="2129"/>
        <v>卡卡杜个人护理店（抖店）</v>
      </c>
      <c r="H7337" s="1" t="str">
        <f t="shared" si="2135"/>
        <v>正常订单</v>
      </c>
      <c r="I7337" s="1" t="str">
        <f t="shared" si="2136"/>
        <v>已发货</v>
      </c>
      <c r="J7337" s="1" t="str">
        <f t="shared" si="2137"/>
        <v>3</v>
      </c>
      <c r="K7337" s="1">
        <v>2</v>
      </c>
      <c r="L7337" s="1" t="s">
        <v>94</v>
      </c>
      <c r="M7337" s="1" t="str">
        <f>"湖南省 长沙市 雨花区 洞井街道"</f>
        <v>湖南省 长沙市 雨花区 洞井街道</v>
      </c>
      <c r="N7337" s="1" t="str">
        <f t="shared" si="2131"/>
        <v>凡华云仓-韵达-抖音</v>
      </c>
      <c r="O7337" s="5">
        <v>320172554617544</v>
      </c>
      <c r="P7337" s="6">
        <v>0.35</v>
      </c>
      <c r="Q7337" s="11">
        <v>2.2999999999999998</v>
      </c>
      <c r="R7337" s="11"/>
      <c r="S7337" s="11"/>
      <c r="T7337" s="11"/>
      <c r="U7337" s="11">
        <f t="shared" si="2132"/>
        <v>2.2999999999999998</v>
      </c>
      <c r="W7337">
        <v>2.5</v>
      </c>
      <c r="X7337" s="1" t="s">
        <v>94</v>
      </c>
    </row>
    <row r="7338" spans="1:24" x14ac:dyDescent="0.25">
      <c r="A7338" s="1" t="str">
        <f t="shared" si="2133"/>
        <v>卡卡杜-凤凰仓</v>
      </c>
      <c r="B7338" s="1" t="str">
        <f>"CK20241015112"</f>
        <v>CK20241015112</v>
      </c>
      <c r="C7338" s="1" t="str">
        <f>"DD2024101525585"</f>
        <v>DD2024101525585</v>
      </c>
      <c r="D7338" s="1" t="str">
        <f>"CK2024101522016"</f>
        <v>CK2024101522016</v>
      </c>
      <c r="E7338" s="1" t="str">
        <f>"6935009912367814252"</f>
        <v>6935009912367814252</v>
      </c>
      <c r="F7338" s="1" t="str">
        <f t="shared" si="2134"/>
        <v>花都四部-凤凰仓</v>
      </c>
      <c r="G7338" s="1" t="str">
        <f t="shared" si="2129"/>
        <v>卡卡杜个人护理店（抖店）</v>
      </c>
      <c r="H7338" s="1" t="str">
        <f t="shared" si="2135"/>
        <v>正常订单</v>
      </c>
      <c r="I7338" s="1" t="str">
        <f t="shared" si="2136"/>
        <v>已发货</v>
      </c>
      <c r="J7338" s="1" t="str">
        <f t="shared" si="2137"/>
        <v>3</v>
      </c>
      <c r="K7338" s="1">
        <v>2</v>
      </c>
      <c r="L7338" s="1" t="s">
        <v>24</v>
      </c>
      <c r="M7338" s="1" t="str">
        <f>"福建省 龙岩市 长汀县 大同镇"</f>
        <v>福建省 龙岩市 长汀县 大同镇</v>
      </c>
      <c r="N7338" s="1" t="str">
        <f t="shared" si="2131"/>
        <v>凡华云仓-韵达-抖音</v>
      </c>
      <c r="O7338" s="5">
        <v>320172554617447</v>
      </c>
      <c r="P7338" s="6">
        <v>0.35</v>
      </c>
      <c r="Q7338" s="11">
        <v>2.2999999999999998</v>
      </c>
      <c r="R7338" s="11"/>
      <c r="S7338" s="11"/>
      <c r="T7338" s="11"/>
      <c r="U7338" s="11">
        <f t="shared" si="2132"/>
        <v>2.2999999999999998</v>
      </c>
      <c r="W7338">
        <v>2.5</v>
      </c>
      <c r="X7338" s="1" t="s">
        <v>24</v>
      </c>
    </row>
    <row r="7339" spans="1:24" x14ac:dyDescent="0.25">
      <c r="A7339" s="1" t="str">
        <f t="shared" si="2133"/>
        <v>卡卡杜-凤凰仓</v>
      </c>
      <c r="B7339" s="1" t="str">
        <f>"CK2024101578"</f>
        <v>CK2024101578</v>
      </c>
      <c r="C7339" s="1" t="str">
        <f>"DD2024101525552"</f>
        <v>DD2024101525552</v>
      </c>
      <c r="D7339" s="1" t="str">
        <f>"CK2024101522014"</f>
        <v>CK2024101522014</v>
      </c>
      <c r="E7339" s="1" t="str">
        <f>"6935014655440524323"</f>
        <v>6935014655440524323</v>
      </c>
      <c r="F7339" s="1" t="str">
        <f t="shared" si="2134"/>
        <v>花都四部-凤凰仓</v>
      </c>
      <c r="G7339" s="1" t="str">
        <f t="shared" si="2129"/>
        <v>卡卡杜个人护理店（抖店）</v>
      </c>
      <c r="H7339" s="1" t="str">
        <f t="shared" si="2135"/>
        <v>正常订单</v>
      </c>
      <c r="I7339" s="1" t="str">
        <f t="shared" si="2136"/>
        <v>已发货</v>
      </c>
      <c r="J7339" s="1" t="str">
        <f t="shared" si="2137"/>
        <v>3</v>
      </c>
      <c r="K7339" s="1">
        <v>2</v>
      </c>
      <c r="L7339" s="1" t="s">
        <v>18</v>
      </c>
      <c r="M7339" s="1" t="str">
        <f>"广东省 江门市 开平市 水口镇"</f>
        <v>广东省 江门市 开平市 水口镇</v>
      </c>
      <c r="N7339" s="1" t="str">
        <f t="shared" si="2131"/>
        <v>凡华云仓-韵达-抖音</v>
      </c>
      <c r="O7339" s="5">
        <v>320172554617352</v>
      </c>
      <c r="P7339" s="6">
        <v>0.35</v>
      </c>
      <c r="Q7339" s="11">
        <v>2.2999999999999998</v>
      </c>
      <c r="R7339" s="11"/>
      <c r="S7339" s="11"/>
      <c r="T7339" s="11"/>
      <c r="U7339" s="11">
        <f t="shared" si="2132"/>
        <v>2.2999999999999998</v>
      </c>
      <c r="W7339">
        <v>2.5</v>
      </c>
      <c r="X7339" s="1" t="s">
        <v>18</v>
      </c>
    </row>
    <row r="7340" spans="1:24" x14ac:dyDescent="0.25">
      <c r="A7340" s="1" t="str">
        <f t="shared" si="2133"/>
        <v>卡卡杜-凤凰仓</v>
      </c>
      <c r="B7340" s="1" t="str">
        <f>"CK2024101574"</f>
        <v>CK2024101574</v>
      </c>
      <c r="C7340" s="1" t="str">
        <f>"DD2024101525549"</f>
        <v>DD2024101525549</v>
      </c>
      <c r="D7340" s="1" t="str">
        <f>"CK2024101522012"</f>
        <v>CK2024101522012</v>
      </c>
      <c r="E7340" s="1" t="str">
        <f>"6935018955012576538"</f>
        <v>6935018955012576538</v>
      </c>
      <c r="F7340" s="1" t="str">
        <f t="shared" si="2134"/>
        <v>花都四部-凤凰仓</v>
      </c>
      <c r="G7340" s="1" t="str">
        <f t="shared" si="2129"/>
        <v>卡卡杜个人护理店（抖店）</v>
      </c>
      <c r="H7340" s="1" t="str">
        <f t="shared" si="2135"/>
        <v>正常订单</v>
      </c>
      <c r="I7340" s="1" t="str">
        <f t="shared" si="2136"/>
        <v>已发货</v>
      </c>
      <c r="J7340" s="1" t="str">
        <f t="shared" si="2137"/>
        <v>3</v>
      </c>
      <c r="K7340" s="1">
        <v>2</v>
      </c>
      <c r="L7340" s="1" t="s">
        <v>18</v>
      </c>
      <c r="M7340" s="1" t="str">
        <f>"广东省 东莞市 东莞市 大朗镇"</f>
        <v>广东省 东莞市 东莞市 大朗镇</v>
      </c>
      <c r="N7340" s="1" t="str">
        <f t="shared" si="2131"/>
        <v>凡华云仓-韵达-抖音</v>
      </c>
      <c r="O7340" s="5">
        <v>320172554617259</v>
      </c>
      <c r="P7340" s="6">
        <v>0.35</v>
      </c>
      <c r="Q7340" s="11">
        <v>2.2999999999999998</v>
      </c>
      <c r="R7340" s="11"/>
      <c r="S7340" s="11"/>
      <c r="T7340" s="11"/>
      <c r="U7340" s="11">
        <f t="shared" si="2132"/>
        <v>2.2999999999999998</v>
      </c>
      <c r="W7340">
        <v>2.5</v>
      </c>
      <c r="X7340" s="1" t="s">
        <v>18</v>
      </c>
    </row>
    <row r="7341" spans="1:24" x14ac:dyDescent="0.25">
      <c r="A7341" s="1" t="str">
        <f t="shared" si="2133"/>
        <v>卡卡杜-凤凰仓</v>
      </c>
      <c r="B7341" s="1" t="str">
        <f>"CK2024101558"</f>
        <v>CK2024101558</v>
      </c>
      <c r="C7341" s="1" t="str">
        <f>"DD2024101525532"</f>
        <v>DD2024101525532</v>
      </c>
      <c r="D7341" s="1" t="str">
        <f>"CK2024101522011"</f>
        <v>CK2024101522011</v>
      </c>
      <c r="E7341" s="1" t="str">
        <f>"6935009818601985659"</f>
        <v>6935009818601985659</v>
      </c>
      <c r="F7341" s="1" t="str">
        <f t="shared" si="2134"/>
        <v>花都四部-凤凰仓</v>
      </c>
      <c r="G7341" s="1" t="str">
        <f t="shared" si="2129"/>
        <v>卡卡杜个人护理店（抖店）</v>
      </c>
      <c r="H7341" s="1" t="str">
        <f t="shared" si="2135"/>
        <v>正常订单</v>
      </c>
      <c r="I7341" s="1" t="str">
        <f t="shared" si="2136"/>
        <v>已发货</v>
      </c>
      <c r="J7341" s="1" t="str">
        <f t="shared" si="2137"/>
        <v>3</v>
      </c>
      <c r="K7341" s="1">
        <v>2</v>
      </c>
      <c r="L7341" s="1" t="s">
        <v>20</v>
      </c>
      <c r="M7341" s="1" t="str">
        <f>"浙江省 宁波市 江北区 洪塘街道"</f>
        <v>浙江省 宁波市 江北区 洪塘街道</v>
      </c>
      <c r="N7341" s="1" t="str">
        <f t="shared" si="2131"/>
        <v>凡华云仓-韵达-抖音</v>
      </c>
      <c r="O7341" s="5">
        <v>320172554617168</v>
      </c>
      <c r="P7341" s="6">
        <v>0.35</v>
      </c>
      <c r="Q7341" s="11">
        <v>2.2999999999999998</v>
      </c>
      <c r="R7341" s="11"/>
      <c r="S7341" s="11"/>
      <c r="T7341" s="11"/>
      <c r="U7341" s="11">
        <f t="shared" si="2132"/>
        <v>2.2999999999999998</v>
      </c>
      <c r="W7341">
        <v>2.5</v>
      </c>
      <c r="X7341" s="1" t="s">
        <v>20</v>
      </c>
    </row>
    <row r="7342" spans="1:24" x14ac:dyDescent="0.25">
      <c r="A7342" s="1" t="str">
        <f t="shared" si="2133"/>
        <v>卡卡杜-凤凰仓</v>
      </c>
      <c r="B7342" s="1" t="str">
        <f>"CK2024101576"</f>
        <v>CK2024101576</v>
      </c>
      <c r="C7342" s="1" t="str">
        <f>"DD2024101525551"</f>
        <v>DD2024101525551</v>
      </c>
      <c r="D7342" s="1" t="str">
        <f>"CK2024101522009"</f>
        <v>CK2024101522009</v>
      </c>
      <c r="E7342" s="1" t="str">
        <f>"6935025618760897748"</f>
        <v>6935025618760897748</v>
      </c>
      <c r="F7342" s="1" t="str">
        <f t="shared" si="2134"/>
        <v>花都四部-凤凰仓</v>
      </c>
      <c r="G7342" s="1" t="str">
        <f t="shared" si="2129"/>
        <v>卡卡杜个人护理店（抖店）</v>
      </c>
      <c r="H7342" s="1" t="str">
        <f t="shared" si="2135"/>
        <v>正常订单</v>
      </c>
      <c r="I7342" s="1" t="str">
        <f t="shared" si="2136"/>
        <v>已发货</v>
      </c>
      <c r="J7342" s="1" t="str">
        <f t="shared" si="2137"/>
        <v>3</v>
      </c>
      <c r="K7342" s="1">
        <v>2</v>
      </c>
      <c r="L7342" s="1" t="s">
        <v>80</v>
      </c>
      <c r="M7342" s="1" t="str">
        <f>"河南省 商丘市 睢阳区 "</f>
        <v xml:space="preserve">河南省 商丘市 睢阳区 </v>
      </c>
      <c r="N7342" s="1" t="str">
        <f t="shared" si="2131"/>
        <v>凡华云仓-韵达-抖音</v>
      </c>
      <c r="O7342" s="5">
        <v>320172556971648</v>
      </c>
      <c r="P7342" s="6">
        <v>0.35</v>
      </c>
      <c r="Q7342" s="11">
        <v>2.2999999999999998</v>
      </c>
      <c r="R7342" s="11"/>
      <c r="S7342" s="11"/>
      <c r="T7342" s="11"/>
      <c r="U7342" s="11">
        <f t="shared" si="2132"/>
        <v>2.2999999999999998</v>
      </c>
      <c r="W7342">
        <v>2.5</v>
      </c>
      <c r="X7342" s="1" t="s">
        <v>80</v>
      </c>
    </row>
    <row r="7343" spans="1:24" x14ac:dyDescent="0.25">
      <c r="A7343" s="1" t="str">
        <f t="shared" si="2133"/>
        <v>卡卡杜-凤凰仓</v>
      </c>
      <c r="B7343" s="1" t="str">
        <f>"CK2024101557"</f>
        <v>CK2024101557</v>
      </c>
      <c r="C7343" s="1" t="str">
        <f>"DD2024101525531"</f>
        <v>DD2024101525531</v>
      </c>
      <c r="D7343" s="1" t="str">
        <f>"CK2024101522007"</f>
        <v>CK2024101522007</v>
      </c>
      <c r="E7343" s="1" t="str">
        <f>"6935021261360206872"</f>
        <v>6935021261360206872</v>
      </c>
      <c r="F7343" s="1" t="str">
        <f t="shared" si="2134"/>
        <v>花都四部-凤凰仓</v>
      </c>
      <c r="G7343" s="1" t="str">
        <f t="shared" si="2129"/>
        <v>卡卡杜个人护理店（抖店）</v>
      </c>
      <c r="H7343" s="1" t="str">
        <f t="shared" si="2135"/>
        <v>正常订单</v>
      </c>
      <c r="I7343" s="1" t="str">
        <f t="shared" si="2136"/>
        <v>已发货</v>
      </c>
      <c r="J7343" s="1" t="str">
        <f t="shared" si="2137"/>
        <v>3</v>
      </c>
      <c r="K7343" s="1">
        <v>2</v>
      </c>
      <c r="L7343" s="1" t="s">
        <v>22</v>
      </c>
      <c r="M7343" s="1" t="str">
        <f>"江西省 宜春市 袁州区 金园街道"</f>
        <v>江西省 宜春市 袁州区 金园街道</v>
      </c>
      <c r="N7343" s="1" t="str">
        <f t="shared" si="2131"/>
        <v>凡华云仓-韵达-抖音</v>
      </c>
      <c r="O7343" s="5">
        <v>320172556971549</v>
      </c>
      <c r="P7343" s="6">
        <v>0.35</v>
      </c>
      <c r="Q7343" s="11">
        <v>2.2999999999999998</v>
      </c>
      <c r="R7343" s="11"/>
      <c r="S7343" s="11"/>
      <c r="T7343" s="11"/>
      <c r="U7343" s="11">
        <f t="shared" si="2132"/>
        <v>2.2999999999999998</v>
      </c>
      <c r="W7343">
        <v>2.5</v>
      </c>
      <c r="X7343" s="1" t="s">
        <v>22</v>
      </c>
    </row>
    <row r="7344" spans="1:24" x14ac:dyDescent="0.25">
      <c r="A7344" s="1" t="str">
        <f t="shared" si="2133"/>
        <v>卡卡杜-凤凰仓</v>
      </c>
      <c r="B7344" s="1" t="str">
        <f>"CK2024101540"</f>
        <v>CK2024101540</v>
      </c>
      <c r="C7344" s="1" t="str">
        <f>"DD2024101525511"</f>
        <v>DD2024101525511</v>
      </c>
      <c r="D7344" s="1" t="str">
        <f>"CK2024101522005"</f>
        <v>CK2024101522005</v>
      </c>
      <c r="E7344" s="1" t="str">
        <f>"6935012204401333539"</f>
        <v>6935012204401333539</v>
      </c>
      <c r="F7344" s="1" t="str">
        <f t="shared" si="2134"/>
        <v>花都四部-凤凰仓</v>
      </c>
      <c r="G7344" s="1" t="str">
        <f t="shared" si="2129"/>
        <v>卡卡杜个人护理店（抖店）</v>
      </c>
      <c r="H7344" s="1" t="str">
        <f t="shared" si="2135"/>
        <v>正常订单</v>
      </c>
      <c r="I7344" s="1" t="str">
        <f t="shared" si="2136"/>
        <v>已发货</v>
      </c>
      <c r="J7344" s="1" t="str">
        <f>"5"</f>
        <v>5</v>
      </c>
      <c r="K7344" s="1">
        <v>2</v>
      </c>
      <c r="L7344" s="1" t="s">
        <v>80</v>
      </c>
      <c r="M7344" s="1" t="str">
        <f>"河南省 南阳市 卧龙区 车站街道"</f>
        <v>河南省 南阳市 卧龙区 车站街道</v>
      </c>
      <c r="N7344" s="1" t="str">
        <f t="shared" si="2131"/>
        <v>凡华云仓-韵达-抖音</v>
      </c>
      <c r="O7344" s="5">
        <v>320172556971452</v>
      </c>
      <c r="P7344" s="6">
        <v>0.59</v>
      </c>
      <c r="Q7344" s="11">
        <f>CEILING(P7344-0.5,0.1)*10*0.15+2.3</f>
        <v>2.4499999999999997</v>
      </c>
      <c r="R7344" s="11"/>
      <c r="S7344" s="11"/>
      <c r="T7344" s="11"/>
      <c r="U7344" s="11">
        <f t="shared" si="2132"/>
        <v>2.4499999999999997</v>
      </c>
      <c r="V7344" t="s">
        <v>15</v>
      </c>
      <c r="W7344">
        <v>2.4500000000000002</v>
      </c>
      <c r="X7344" s="1" t="s">
        <v>80</v>
      </c>
    </row>
    <row r="7345" spans="1:24" x14ac:dyDescent="0.25">
      <c r="A7345" s="1" t="str">
        <f t="shared" si="2133"/>
        <v>卡卡杜-凤凰仓</v>
      </c>
      <c r="B7345" s="1" t="str">
        <f>"CK2024101556"</f>
        <v>CK2024101556</v>
      </c>
      <c r="C7345" s="1" t="str">
        <f>"DD2024101525530"</f>
        <v>DD2024101525530</v>
      </c>
      <c r="D7345" s="1" t="str">
        <f>"CK2024101522003"</f>
        <v>CK2024101522003</v>
      </c>
      <c r="E7345" s="1" t="str">
        <f>"6935009779852776588"</f>
        <v>6935009779852776588</v>
      </c>
      <c r="F7345" s="1" t="str">
        <f t="shared" si="2134"/>
        <v>花都四部-凤凰仓</v>
      </c>
      <c r="G7345" s="1" t="str">
        <f t="shared" si="2129"/>
        <v>卡卡杜个人护理店（抖店）</v>
      </c>
      <c r="H7345" s="1" t="str">
        <f t="shared" si="2135"/>
        <v>正常订单</v>
      </c>
      <c r="I7345" s="1" t="str">
        <f t="shared" si="2136"/>
        <v>已发货</v>
      </c>
      <c r="J7345" s="1" t="str">
        <f t="shared" ref="J7345:J7362" si="2138">"3"</f>
        <v>3</v>
      </c>
      <c r="K7345" s="1">
        <v>2</v>
      </c>
      <c r="L7345" s="1" t="s">
        <v>94</v>
      </c>
      <c r="M7345" s="1" t="str">
        <f>"湖南省 郴州市 苏仙区 坳上镇"</f>
        <v>湖南省 郴州市 苏仙区 坳上镇</v>
      </c>
      <c r="N7345" s="1" t="str">
        <f t="shared" si="2131"/>
        <v>凡华云仓-韵达-抖音</v>
      </c>
      <c r="O7345" s="5">
        <v>320172556971357</v>
      </c>
      <c r="P7345" s="6">
        <v>0.35</v>
      </c>
      <c r="Q7345" s="11">
        <v>2.2999999999999998</v>
      </c>
      <c r="R7345" s="11"/>
      <c r="S7345" s="11"/>
      <c r="T7345" s="11"/>
      <c r="U7345" s="11">
        <f t="shared" si="2132"/>
        <v>2.2999999999999998</v>
      </c>
      <c r="W7345">
        <v>2.5</v>
      </c>
      <c r="X7345" s="1" t="s">
        <v>94</v>
      </c>
    </row>
    <row r="7346" spans="1:24" x14ac:dyDescent="0.25">
      <c r="A7346" s="1" t="str">
        <f t="shared" si="2133"/>
        <v>卡卡杜-凤凰仓</v>
      </c>
      <c r="B7346" s="1" t="str">
        <f>"CK2024101542"</f>
        <v>CK2024101542</v>
      </c>
      <c r="C7346" s="1" t="str">
        <f>"DD2024101525519"</f>
        <v>DD2024101525519</v>
      </c>
      <c r="D7346" s="1" t="str">
        <f>"CK2024101522001"</f>
        <v>CK2024101522001</v>
      </c>
      <c r="E7346" s="1" t="str">
        <f>"6935003648632624934"</f>
        <v>6935003648632624934</v>
      </c>
      <c r="F7346" s="1" t="str">
        <f t="shared" si="2134"/>
        <v>花都四部-凤凰仓</v>
      </c>
      <c r="G7346" s="1" t="str">
        <f t="shared" si="2129"/>
        <v>卡卡杜个人护理店（抖店）</v>
      </c>
      <c r="H7346" s="1" t="str">
        <f t="shared" si="2135"/>
        <v>正常订单</v>
      </c>
      <c r="I7346" s="1" t="str">
        <f t="shared" si="2136"/>
        <v>已发货</v>
      </c>
      <c r="J7346" s="1" t="str">
        <f>"5"</f>
        <v>5</v>
      </c>
      <c r="K7346" s="1">
        <v>2</v>
      </c>
      <c r="L7346" s="1" t="s">
        <v>24</v>
      </c>
      <c r="M7346" s="1" t="str">
        <f>"福建省 龙岩市 新罗区 南城街道"</f>
        <v>福建省 龙岩市 新罗区 南城街道</v>
      </c>
      <c r="N7346" s="1" t="str">
        <f t="shared" si="2131"/>
        <v>凡华云仓-韵达-抖音</v>
      </c>
      <c r="O7346" s="5">
        <v>320172556971264</v>
      </c>
      <c r="P7346" s="6">
        <v>0.59</v>
      </c>
      <c r="Q7346" s="11">
        <f>CEILING(P7346-0.5,0.1)*10*0.15+2.3</f>
        <v>2.4499999999999997</v>
      </c>
      <c r="R7346" s="11"/>
      <c r="S7346" s="11"/>
      <c r="T7346" s="11"/>
      <c r="U7346" s="11">
        <f t="shared" si="2132"/>
        <v>2.4499999999999997</v>
      </c>
      <c r="V7346" t="s">
        <v>15</v>
      </c>
      <c r="W7346">
        <v>2.4500000000000002</v>
      </c>
      <c r="X7346" s="1" t="s">
        <v>24</v>
      </c>
    </row>
    <row r="7347" spans="1:24" x14ac:dyDescent="0.25">
      <c r="A7347" s="1" t="str">
        <f t="shared" si="2133"/>
        <v>卡卡杜-凤凰仓</v>
      </c>
      <c r="B7347" s="1" t="str">
        <f>"CK2024101545"</f>
        <v>CK2024101545</v>
      </c>
      <c r="C7347" s="1" t="str">
        <f>"DD2024101525518"</f>
        <v>DD2024101525518</v>
      </c>
      <c r="D7347" s="1" t="str">
        <f>"CK2024101521999"</f>
        <v>CK2024101521999</v>
      </c>
      <c r="E7347" s="1" t="str">
        <f>"6935012041444759517"</f>
        <v>6935012041444759517</v>
      </c>
      <c r="F7347" s="1" t="str">
        <f t="shared" si="2134"/>
        <v>花都四部-凤凰仓</v>
      </c>
      <c r="G7347" s="1" t="str">
        <f t="shared" si="2129"/>
        <v>卡卡杜个人护理店（抖店）</v>
      </c>
      <c r="H7347" s="1" t="str">
        <f t="shared" si="2135"/>
        <v>正常订单</v>
      </c>
      <c r="I7347" s="1" t="str">
        <f t="shared" si="2136"/>
        <v>已发货</v>
      </c>
      <c r="J7347" s="1" t="str">
        <f t="shared" si="2138"/>
        <v>3</v>
      </c>
      <c r="K7347" s="1">
        <v>3</v>
      </c>
      <c r="L7347" s="1" t="s">
        <v>13</v>
      </c>
      <c r="M7347" s="1" t="str">
        <f>"江苏省 苏州市 张家港市 杨舍镇"</f>
        <v>江苏省 苏州市 张家港市 杨舍镇</v>
      </c>
      <c r="N7347" s="1" t="str">
        <f t="shared" si="2131"/>
        <v>凡华云仓-韵达-抖音</v>
      </c>
      <c r="O7347" s="5">
        <v>320172556971173</v>
      </c>
      <c r="P7347" s="6">
        <v>0.34</v>
      </c>
      <c r="Q7347" s="11">
        <v>2.2999999999999998</v>
      </c>
      <c r="R7347" s="11"/>
      <c r="S7347" s="11"/>
      <c r="T7347" s="11"/>
      <c r="U7347" s="11">
        <f t="shared" si="2132"/>
        <v>2.2999999999999998</v>
      </c>
      <c r="W7347">
        <v>2.5</v>
      </c>
      <c r="X7347" s="1" t="s">
        <v>13</v>
      </c>
    </row>
    <row r="7348" spans="1:24" x14ac:dyDescent="0.25">
      <c r="A7348" s="1" t="str">
        <f t="shared" si="2133"/>
        <v>卡卡杜-凤凰仓</v>
      </c>
      <c r="B7348" s="1" t="str">
        <f>"CK2024101568"</f>
        <v>CK2024101568</v>
      </c>
      <c r="C7348" s="1" t="str">
        <f>"DD2024101525542"</f>
        <v>DD2024101525542</v>
      </c>
      <c r="D7348" s="1" t="str">
        <f>"CK2024101521997"</f>
        <v>CK2024101521997</v>
      </c>
      <c r="E7348" s="1" t="str">
        <f>"6935023331252311211"</f>
        <v>6935023331252311211</v>
      </c>
      <c r="F7348" s="1" t="str">
        <f t="shared" si="2134"/>
        <v>花都四部-凤凰仓</v>
      </c>
      <c r="G7348" s="1" t="str">
        <f t="shared" si="2129"/>
        <v>卡卡杜个人护理店（抖店）</v>
      </c>
      <c r="H7348" s="1" t="str">
        <f t="shared" si="2135"/>
        <v>正常订单</v>
      </c>
      <c r="I7348" s="1" t="str">
        <f t="shared" si="2136"/>
        <v>已发货</v>
      </c>
      <c r="J7348" s="1" t="str">
        <f t="shared" si="2138"/>
        <v>3</v>
      </c>
      <c r="K7348" s="1">
        <v>2</v>
      </c>
      <c r="L7348" s="1" t="s">
        <v>47</v>
      </c>
      <c r="M7348" s="1" t="str">
        <f>"重庆 重庆市 綦江区 文龙街道"</f>
        <v>重庆 重庆市 綦江区 文龙街道</v>
      </c>
      <c r="N7348" s="1" t="str">
        <f t="shared" si="2131"/>
        <v>凡华云仓-韵达-抖音</v>
      </c>
      <c r="O7348" s="5">
        <v>320172556971084</v>
      </c>
      <c r="P7348" s="6">
        <v>0.35</v>
      </c>
      <c r="Q7348" s="11">
        <v>2.2999999999999998</v>
      </c>
      <c r="R7348" s="11"/>
      <c r="S7348" s="11"/>
      <c r="T7348" s="11"/>
      <c r="U7348" s="11">
        <f t="shared" si="2132"/>
        <v>2.2999999999999998</v>
      </c>
      <c r="W7348">
        <v>2.5</v>
      </c>
      <c r="X7348" s="1" t="s">
        <v>47</v>
      </c>
    </row>
    <row r="7349" spans="1:24" x14ac:dyDescent="0.25">
      <c r="A7349" s="1" t="str">
        <f t="shared" si="2133"/>
        <v>卡卡杜-凤凰仓</v>
      </c>
      <c r="B7349" s="1" t="str">
        <f>"CK2024101554"</f>
        <v>CK2024101554</v>
      </c>
      <c r="C7349" s="1" t="str">
        <f>"DD2024101525529"</f>
        <v>DD2024101525529</v>
      </c>
      <c r="D7349" s="1" t="str">
        <f>"CK2024101521996"</f>
        <v>CK2024101521996</v>
      </c>
      <c r="E7349" s="1" t="str">
        <f>"6935003507220092796"</f>
        <v>6935003507220092796</v>
      </c>
      <c r="F7349" s="1" t="str">
        <f t="shared" si="2134"/>
        <v>花都四部-凤凰仓</v>
      </c>
      <c r="G7349" s="1" t="str">
        <f t="shared" si="2129"/>
        <v>卡卡杜个人护理店（抖店）</v>
      </c>
      <c r="H7349" s="1" t="str">
        <f t="shared" si="2135"/>
        <v>正常订单</v>
      </c>
      <c r="I7349" s="1" t="str">
        <f t="shared" si="2136"/>
        <v>已发货</v>
      </c>
      <c r="J7349" s="1" t="str">
        <f t="shared" si="2138"/>
        <v>3</v>
      </c>
      <c r="K7349" s="1">
        <v>2</v>
      </c>
      <c r="L7349" s="1" t="s">
        <v>27</v>
      </c>
      <c r="M7349" s="1" t="str">
        <f>"贵州省 黔西南布依族苗族自治州 贞丰县 丰茂街道"</f>
        <v>贵州省 黔西南布依族苗族自治州 贞丰县 丰茂街道</v>
      </c>
      <c r="N7349" s="1" t="str">
        <f t="shared" si="2131"/>
        <v>凡华云仓-韵达-抖音</v>
      </c>
      <c r="O7349" s="5">
        <v>320172556970968</v>
      </c>
      <c r="P7349" s="6">
        <v>0.35</v>
      </c>
      <c r="Q7349" s="11">
        <v>2.2999999999999998</v>
      </c>
      <c r="R7349" s="11"/>
      <c r="S7349" s="11"/>
      <c r="T7349" s="11"/>
      <c r="U7349" s="11">
        <f t="shared" si="2132"/>
        <v>2.2999999999999998</v>
      </c>
      <c r="W7349">
        <v>2.5</v>
      </c>
      <c r="X7349" s="1" t="s">
        <v>27</v>
      </c>
    </row>
    <row r="7350" spans="1:24" x14ac:dyDescent="0.25">
      <c r="A7350" s="1" t="str">
        <f t="shared" si="2133"/>
        <v>卡卡杜-凤凰仓</v>
      </c>
      <c r="B7350" s="1" t="str">
        <f>"CK2024101564"</f>
        <v>CK2024101564</v>
      </c>
      <c r="C7350" s="1" t="str">
        <f>"DD2024101525537"</f>
        <v>DD2024101525537</v>
      </c>
      <c r="D7350" s="1" t="str">
        <f>"CK2024101521994"</f>
        <v>CK2024101521994</v>
      </c>
      <c r="E7350" s="1" t="str">
        <f>"6935014508321903838"</f>
        <v>6935014508321903838</v>
      </c>
      <c r="F7350" s="1" t="str">
        <f t="shared" si="2134"/>
        <v>花都四部-凤凰仓</v>
      </c>
      <c r="G7350" s="1" t="str">
        <f t="shared" si="2129"/>
        <v>卡卡杜个人护理店（抖店）</v>
      </c>
      <c r="H7350" s="1" t="str">
        <f t="shared" si="2135"/>
        <v>正常订单</v>
      </c>
      <c r="I7350" s="1" t="str">
        <f t="shared" si="2136"/>
        <v>已发货</v>
      </c>
      <c r="J7350" s="1" t="str">
        <f t="shared" si="2138"/>
        <v>3</v>
      </c>
      <c r="K7350" s="1">
        <v>2</v>
      </c>
      <c r="L7350" s="1" t="s">
        <v>41</v>
      </c>
      <c r="M7350" s="1" t="str">
        <f>"湖北省 宜昌市 夷陵区 小溪塔街道"</f>
        <v>湖北省 宜昌市 夷陵区 小溪塔街道</v>
      </c>
      <c r="N7350" s="1" t="str">
        <f t="shared" si="2131"/>
        <v>凡华云仓-韵达-抖音</v>
      </c>
      <c r="O7350" s="5">
        <v>320172556970863</v>
      </c>
      <c r="P7350" s="6">
        <v>0.35</v>
      </c>
      <c r="Q7350" s="11">
        <v>2.2999999999999998</v>
      </c>
      <c r="R7350" s="11"/>
      <c r="S7350" s="11"/>
      <c r="T7350" s="11"/>
      <c r="U7350" s="11">
        <f t="shared" si="2132"/>
        <v>2.2999999999999998</v>
      </c>
      <c r="W7350">
        <v>2.5</v>
      </c>
      <c r="X7350" s="1" t="s">
        <v>41</v>
      </c>
    </row>
    <row r="7351" spans="1:24" x14ac:dyDescent="0.25">
      <c r="A7351" s="1" t="str">
        <f t="shared" si="2133"/>
        <v>卡卡杜-凤凰仓</v>
      </c>
      <c r="B7351" s="1" t="str">
        <f>"CK2024101566"</f>
        <v>CK2024101566</v>
      </c>
      <c r="C7351" s="1" t="str">
        <f>"DD2024101525539"</f>
        <v>DD2024101525539</v>
      </c>
      <c r="D7351" s="1" t="str">
        <f>"CK2024101521993"</f>
        <v>CK2024101521993</v>
      </c>
      <c r="E7351" s="1" t="str">
        <f>"6935003488127096064"</f>
        <v>6935003488127096064</v>
      </c>
      <c r="F7351" s="1" t="str">
        <f t="shared" si="2134"/>
        <v>花都四部-凤凰仓</v>
      </c>
      <c r="G7351" s="1" t="str">
        <f t="shared" si="2129"/>
        <v>卡卡杜个人护理店（抖店）</v>
      </c>
      <c r="H7351" s="1" t="str">
        <f t="shared" si="2135"/>
        <v>正常订单</v>
      </c>
      <c r="I7351" s="1" t="str">
        <f t="shared" si="2136"/>
        <v>已发货</v>
      </c>
      <c r="J7351" s="1" t="str">
        <f t="shared" si="2138"/>
        <v>3</v>
      </c>
      <c r="K7351" s="1">
        <v>2</v>
      </c>
      <c r="L7351" s="1" t="s">
        <v>18</v>
      </c>
      <c r="M7351" s="1" t="str">
        <f>"广东省 广州市 南沙区 黄阁镇"</f>
        <v>广东省 广州市 南沙区 黄阁镇</v>
      </c>
      <c r="N7351" s="1" t="str">
        <f t="shared" si="2131"/>
        <v>凡华云仓-韵达-抖音</v>
      </c>
      <c r="O7351" s="5">
        <v>320172556970760</v>
      </c>
      <c r="P7351" s="6">
        <v>0.35</v>
      </c>
      <c r="Q7351" s="11">
        <v>2.2999999999999998</v>
      </c>
      <c r="R7351" s="11"/>
      <c r="S7351" s="11"/>
      <c r="T7351" s="11"/>
      <c r="U7351" s="11">
        <f t="shared" si="2132"/>
        <v>2.2999999999999998</v>
      </c>
      <c r="W7351">
        <v>2.5</v>
      </c>
      <c r="X7351" s="1" t="s">
        <v>18</v>
      </c>
    </row>
    <row r="7352" spans="1:24" x14ac:dyDescent="0.25">
      <c r="A7352" s="1" t="str">
        <f t="shared" si="2133"/>
        <v>卡卡杜-凤凰仓</v>
      </c>
      <c r="B7352" s="1" t="str">
        <f>"CK2024101571"</f>
        <v>CK2024101571</v>
      </c>
      <c r="C7352" s="1" t="str">
        <f>"DD2024101525544"</f>
        <v>DD2024101525544</v>
      </c>
      <c r="D7352" s="1" t="str">
        <f>"CK2024101521991"</f>
        <v>CK2024101521991</v>
      </c>
      <c r="E7352" s="1" t="str">
        <f>"6934994607070189322"</f>
        <v>6934994607070189322</v>
      </c>
      <c r="F7352" s="1" t="str">
        <f t="shared" si="2134"/>
        <v>花都四部-凤凰仓</v>
      </c>
      <c r="G7352" s="1" t="str">
        <f t="shared" si="2129"/>
        <v>卡卡杜个人护理店（抖店）</v>
      </c>
      <c r="H7352" s="1" t="str">
        <f t="shared" si="2135"/>
        <v>正常订单</v>
      </c>
      <c r="I7352" s="1" t="str">
        <f t="shared" si="2136"/>
        <v>已发货</v>
      </c>
      <c r="J7352" s="1" t="str">
        <f t="shared" si="2138"/>
        <v>3</v>
      </c>
      <c r="K7352" s="1">
        <v>2</v>
      </c>
      <c r="L7352" s="1" t="s">
        <v>22</v>
      </c>
      <c r="M7352" s="1" t="str">
        <f>"江西省 吉安市 吉州区 白塘街道"</f>
        <v>江西省 吉安市 吉州区 白塘街道</v>
      </c>
      <c r="N7352" s="1" t="str">
        <f t="shared" si="2131"/>
        <v>凡华云仓-韵达-抖音</v>
      </c>
      <c r="O7352" s="5">
        <v>320172561311597</v>
      </c>
      <c r="P7352" s="6">
        <v>0.35</v>
      </c>
      <c r="Q7352" s="11">
        <v>2.2999999999999998</v>
      </c>
      <c r="R7352" s="11"/>
      <c r="S7352" s="11"/>
      <c r="T7352" s="11"/>
      <c r="U7352" s="11">
        <f t="shared" si="2132"/>
        <v>2.2999999999999998</v>
      </c>
      <c r="W7352">
        <v>2.5</v>
      </c>
      <c r="X7352" s="1" t="s">
        <v>22</v>
      </c>
    </row>
    <row r="7353" spans="1:24" x14ac:dyDescent="0.25">
      <c r="A7353" s="1" t="str">
        <f t="shared" si="2133"/>
        <v>卡卡杜-凤凰仓</v>
      </c>
      <c r="B7353" s="1" t="str">
        <f>"CK2024101575"</f>
        <v>CK2024101575</v>
      </c>
      <c r="C7353" s="1" t="str">
        <f>"DD2024101525548"</f>
        <v>DD2024101525548</v>
      </c>
      <c r="D7353" s="1" t="str">
        <f>"CK2024101521989"</f>
        <v>CK2024101521989</v>
      </c>
      <c r="E7353" s="1" t="str">
        <f>"6935005568568399165"</f>
        <v>6935005568568399165</v>
      </c>
      <c r="F7353" s="1" t="str">
        <f t="shared" si="2134"/>
        <v>花都四部-凤凰仓</v>
      </c>
      <c r="G7353" s="1" t="str">
        <f t="shared" si="2129"/>
        <v>卡卡杜个人护理店（抖店）</v>
      </c>
      <c r="H7353" s="1" t="str">
        <f t="shared" si="2135"/>
        <v>正常订单</v>
      </c>
      <c r="I7353" s="1" t="str">
        <f t="shared" si="2136"/>
        <v>已发货</v>
      </c>
      <c r="J7353" s="1" t="str">
        <f t="shared" si="2138"/>
        <v>3</v>
      </c>
      <c r="K7353" s="1">
        <v>2</v>
      </c>
      <c r="L7353" s="1" t="s">
        <v>22</v>
      </c>
      <c r="M7353" s="1" t="str">
        <f>"江西省 上饶市 广丰区 霞峰镇"</f>
        <v>江西省 上饶市 广丰区 霞峰镇</v>
      </c>
      <c r="N7353" s="1" t="str">
        <f t="shared" si="2131"/>
        <v>凡华云仓-韵达-抖音</v>
      </c>
      <c r="O7353" s="5">
        <v>320172561311400</v>
      </c>
      <c r="P7353" s="6">
        <v>0.35</v>
      </c>
      <c r="Q7353" s="11">
        <v>2.2999999999999998</v>
      </c>
      <c r="R7353" s="11"/>
      <c r="S7353" s="11"/>
      <c r="T7353" s="11"/>
      <c r="U7353" s="11">
        <f t="shared" si="2132"/>
        <v>2.2999999999999998</v>
      </c>
      <c r="W7353">
        <v>2.5</v>
      </c>
      <c r="X7353" s="1" t="s">
        <v>22</v>
      </c>
    </row>
    <row r="7354" spans="1:24" x14ac:dyDescent="0.25">
      <c r="A7354" s="1" t="str">
        <f t="shared" si="2133"/>
        <v>卡卡杜-凤凰仓</v>
      </c>
      <c r="B7354" s="1" t="str">
        <f>"CK2024101567"</f>
        <v>CK2024101567</v>
      </c>
      <c r="C7354" s="1" t="str">
        <f>"DD2024101525541"</f>
        <v>DD2024101525541</v>
      </c>
      <c r="D7354" s="1" t="str">
        <f>"CK2024101521988"</f>
        <v>CK2024101521988</v>
      </c>
      <c r="E7354" s="1" t="str">
        <f>"6917559512661130393"</f>
        <v>6917559512661130393</v>
      </c>
      <c r="F7354" s="1" t="str">
        <f t="shared" si="2134"/>
        <v>花都四部-凤凰仓</v>
      </c>
      <c r="G7354" s="1" t="str">
        <f t="shared" si="2129"/>
        <v>卡卡杜个人护理店（抖店）</v>
      </c>
      <c r="H7354" s="1" t="str">
        <f t="shared" si="2135"/>
        <v>正常订单</v>
      </c>
      <c r="I7354" s="1" t="str">
        <f t="shared" si="2136"/>
        <v>已发货</v>
      </c>
      <c r="J7354" s="1" t="str">
        <f t="shared" si="2138"/>
        <v>3</v>
      </c>
      <c r="K7354" s="1">
        <v>2</v>
      </c>
      <c r="L7354" s="1" t="s">
        <v>80</v>
      </c>
      <c r="M7354" s="1" t="str">
        <f>"河南省 焦作市 温县 温泉街道"</f>
        <v>河南省 焦作市 温县 温泉街道</v>
      </c>
      <c r="N7354" s="1" t="str">
        <f t="shared" si="2131"/>
        <v>凡华云仓-韵达-抖音</v>
      </c>
      <c r="O7354" s="5">
        <v>320172561311305</v>
      </c>
      <c r="P7354" s="6">
        <v>0.35</v>
      </c>
      <c r="Q7354" s="11">
        <v>2.2999999999999998</v>
      </c>
      <c r="R7354" s="11"/>
      <c r="S7354" s="11"/>
      <c r="T7354" s="11"/>
      <c r="U7354" s="11">
        <f t="shared" si="2132"/>
        <v>2.2999999999999998</v>
      </c>
      <c r="W7354">
        <v>2.5</v>
      </c>
      <c r="X7354" s="1" t="s">
        <v>80</v>
      </c>
    </row>
    <row r="7355" spans="1:24" x14ac:dyDescent="0.25">
      <c r="A7355" s="1" t="str">
        <f t="shared" si="2133"/>
        <v>卡卡杜-凤凰仓</v>
      </c>
      <c r="B7355" s="1" t="str">
        <f>"CK2024101563"</f>
        <v>CK2024101563</v>
      </c>
      <c r="C7355" s="1" t="str">
        <f>"DD2024101525535"</f>
        <v>DD2024101525535</v>
      </c>
      <c r="D7355" s="1" t="str">
        <f>"CK2024101521986"</f>
        <v>CK2024101521986</v>
      </c>
      <c r="E7355" s="1" t="str">
        <f>"6935007288936830616"</f>
        <v>6935007288936830616</v>
      </c>
      <c r="F7355" s="1" t="str">
        <f t="shared" si="2134"/>
        <v>花都四部-凤凰仓</v>
      </c>
      <c r="G7355" s="1" t="str">
        <f t="shared" si="2129"/>
        <v>卡卡杜个人护理店（抖店）</v>
      </c>
      <c r="H7355" s="1" t="str">
        <f t="shared" si="2135"/>
        <v>正常订单</v>
      </c>
      <c r="I7355" s="1" t="str">
        <f t="shared" si="2136"/>
        <v>已发货</v>
      </c>
      <c r="J7355" s="1" t="str">
        <f t="shared" si="2138"/>
        <v>3</v>
      </c>
      <c r="K7355" s="1">
        <v>2</v>
      </c>
      <c r="L7355" s="1" t="s">
        <v>44</v>
      </c>
      <c r="M7355" s="1" t="str">
        <f>"海南省 琼中黎族苗族自治县 琼中黎族苗族自治县 黎母山镇"</f>
        <v>海南省 琼中黎族苗族自治县 琼中黎族苗族自治县 黎母山镇</v>
      </c>
      <c r="N7355" s="1" t="str">
        <f t="shared" si="2131"/>
        <v>凡华云仓-韵达-抖音</v>
      </c>
      <c r="O7355" s="5">
        <v>320172561311212</v>
      </c>
      <c r="P7355" s="6">
        <v>0.35</v>
      </c>
      <c r="Q7355" s="11">
        <v>2.2999999999999998</v>
      </c>
      <c r="R7355" s="11"/>
      <c r="S7355" s="11"/>
      <c r="T7355" s="11"/>
      <c r="U7355" s="11">
        <f t="shared" si="2132"/>
        <v>2.2999999999999998</v>
      </c>
      <c r="W7355">
        <v>2.5</v>
      </c>
      <c r="X7355" s="1" t="s">
        <v>44</v>
      </c>
    </row>
    <row r="7356" spans="1:24" x14ac:dyDescent="0.25">
      <c r="A7356" s="1" t="str">
        <f t="shared" si="2133"/>
        <v>卡卡杜-凤凰仓</v>
      </c>
      <c r="B7356" s="1" t="str">
        <f>"CK2024101565"</f>
        <v>CK2024101565</v>
      </c>
      <c r="C7356" s="1" t="str">
        <f>"DD2024101525538"</f>
        <v>DD2024101525538</v>
      </c>
      <c r="D7356" s="1" t="str">
        <f>"CK2024101521984"</f>
        <v>CK2024101521984</v>
      </c>
      <c r="E7356" s="1" t="str">
        <f>"6935009465730864296"</f>
        <v>6935009465730864296</v>
      </c>
      <c r="F7356" s="1" t="str">
        <f t="shared" si="2134"/>
        <v>花都四部-凤凰仓</v>
      </c>
      <c r="G7356" s="1" t="str">
        <f t="shared" si="2129"/>
        <v>卡卡杜个人护理店（抖店）</v>
      </c>
      <c r="H7356" s="1" t="str">
        <f t="shared" si="2135"/>
        <v>正常订单</v>
      </c>
      <c r="I7356" s="1" t="str">
        <f t="shared" si="2136"/>
        <v>已发货</v>
      </c>
      <c r="J7356" s="1" t="str">
        <f t="shared" si="2138"/>
        <v>3</v>
      </c>
      <c r="K7356" s="1">
        <v>2</v>
      </c>
      <c r="L7356" s="1" t="s">
        <v>41</v>
      </c>
      <c r="M7356" s="1" t="str">
        <f>"湖北省 黄冈市 团风县 团风镇"</f>
        <v>湖北省 黄冈市 团风县 团风镇</v>
      </c>
      <c r="N7356" s="1" t="str">
        <f t="shared" si="2131"/>
        <v>凡华云仓-韵达-抖音</v>
      </c>
      <c r="O7356" s="5">
        <v>320172561311121</v>
      </c>
      <c r="P7356" s="6">
        <v>0.35</v>
      </c>
      <c r="Q7356" s="11">
        <v>2.2999999999999998</v>
      </c>
      <c r="R7356" s="11"/>
      <c r="S7356" s="11"/>
      <c r="T7356" s="11"/>
      <c r="U7356" s="11">
        <f t="shared" si="2132"/>
        <v>2.2999999999999998</v>
      </c>
      <c r="W7356">
        <v>2.5</v>
      </c>
      <c r="X7356" s="1" t="s">
        <v>41</v>
      </c>
    </row>
    <row r="7357" spans="1:24" x14ac:dyDescent="0.25">
      <c r="A7357" s="1" t="str">
        <f t="shared" si="2133"/>
        <v>卡卡杜-凤凰仓</v>
      </c>
      <c r="B7357" s="1" t="str">
        <f>"CK2024101570"</f>
        <v>CK2024101570</v>
      </c>
      <c r="C7357" s="1" t="str">
        <f>"DD2024101525543"</f>
        <v>DD2024101525543</v>
      </c>
      <c r="D7357" s="1" t="str">
        <f>"CK2024101521983"</f>
        <v>CK2024101521983</v>
      </c>
      <c r="E7357" s="1" t="str">
        <f>"6935003412794774924"</f>
        <v>6935003412794774924</v>
      </c>
      <c r="F7357" s="1" t="str">
        <f t="shared" si="2134"/>
        <v>花都四部-凤凰仓</v>
      </c>
      <c r="G7357" s="1" t="str">
        <f t="shared" si="2129"/>
        <v>卡卡杜个人护理店（抖店）</v>
      </c>
      <c r="H7357" s="1" t="str">
        <f t="shared" si="2135"/>
        <v>正常订单</v>
      </c>
      <c r="I7357" s="1" t="str">
        <f t="shared" si="2136"/>
        <v>已发货</v>
      </c>
      <c r="J7357" s="1" t="str">
        <f t="shared" si="2138"/>
        <v>3</v>
      </c>
      <c r="K7357" s="1">
        <v>2</v>
      </c>
      <c r="L7357" s="1" t="s">
        <v>20</v>
      </c>
      <c r="M7357" s="1" t="str">
        <f>"浙江省 温州市 乐清市 南塘镇"</f>
        <v>浙江省 温州市 乐清市 南塘镇</v>
      </c>
      <c r="N7357" s="1" t="str">
        <f t="shared" si="2131"/>
        <v>凡华云仓-韵达-抖音</v>
      </c>
      <c r="O7357" s="5">
        <v>320172561311032</v>
      </c>
      <c r="P7357" s="6">
        <v>0.35</v>
      </c>
      <c r="Q7357" s="11">
        <v>2.2999999999999998</v>
      </c>
      <c r="R7357" s="11"/>
      <c r="S7357" s="11"/>
      <c r="T7357" s="11"/>
      <c r="U7357" s="11">
        <f t="shared" si="2132"/>
        <v>2.2999999999999998</v>
      </c>
      <c r="W7357">
        <v>2.5</v>
      </c>
      <c r="X7357" s="1" t="s">
        <v>20</v>
      </c>
    </row>
    <row r="7358" spans="1:24" x14ac:dyDescent="0.25">
      <c r="A7358" s="1" t="str">
        <f t="shared" si="2133"/>
        <v>卡卡杜-凤凰仓</v>
      </c>
      <c r="B7358" s="1" t="str">
        <f>"CK2024101562"</f>
        <v>CK2024101562</v>
      </c>
      <c r="C7358" s="1" t="str">
        <f>"DD2024101525540"</f>
        <v>DD2024101525540</v>
      </c>
      <c r="D7358" s="1" t="str">
        <f>"CK2024101521981"</f>
        <v>CK2024101521981</v>
      </c>
      <c r="E7358" s="1" t="str">
        <f>"6934992416100455798"</f>
        <v>6934992416100455798</v>
      </c>
      <c r="F7358" s="1" t="str">
        <f t="shared" si="2134"/>
        <v>花都四部-凤凰仓</v>
      </c>
      <c r="G7358" s="1" t="str">
        <f t="shared" si="2129"/>
        <v>卡卡杜个人护理店（抖店）</v>
      </c>
      <c r="H7358" s="1" t="str">
        <f t="shared" si="2135"/>
        <v>正常订单</v>
      </c>
      <c r="I7358" s="1" t="str">
        <f t="shared" si="2136"/>
        <v>已发货</v>
      </c>
      <c r="J7358" s="1" t="str">
        <f t="shared" si="2138"/>
        <v>3</v>
      </c>
      <c r="K7358" s="1">
        <v>2</v>
      </c>
      <c r="L7358" s="1" t="s">
        <v>36</v>
      </c>
      <c r="M7358" s="1" t="str">
        <f>"安徽省 铜陵市 枞阳县 钱桥镇"</f>
        <v>安徽省 铜陵市 枞阳县 钱桥镇</v>
      </c>
      <c r="N7358" s="1" t="str">
        <f t="shared" si="2131"/>
        <v>凡华云仓-韵达-抖音</v>
      </c>
      <c r="O7358" s="5">
        <v>320172561310916</v>
      </c>
      <c r="P7358" s="6">
        <v>0.35</v>
      </c>
      <c r="Q7358" s="11">
        <v>2.2999999999999998</v>
      </c>
      <c r="R7358" s="11"/>
      <c r="S7358" s="11"/>
      <c r="T7358" s="11"/>
      <c r="U7358" s="11">
        <f t="shared" si="2132"/>
        <v>2.2999999999999998</v>
      </c>
      <c r="W7358">
        <v>2.5</v>
      </c>
      <c r="X7358" s="1" t="s">
        <v>36</v>
      </c>
    </row>
    <row r="7359" spans="1:24" x14ac:dyDescent="0.25">
      <c r="A7359" s="1" t="str">
        <f t="shared" si="2133"/>
        <v>卡卡杜-凤凰仓</v>
      </c>
      <c r="B7359" s="1" t="str">
        <f>"CK2024101572"</f>
        <v>CK2024101572</v>
      </c>
      <c r="C7359" s="1" t="str">
        <f>"DD2024101525546"</f>
        <v>DD2024101525546</v>
      </c>
      <c r="D7359" s="1" t="str">
        <f>"CK2024101521979"</f>
        <v>CK2024101521979</v>
      </c>
      <c r="E7359" s="1" t="str">
        <f>"6935005366583826102"</f>
        <v>6935005366583826102</v>
      </c>
      <c r="F7359" s="1" t="str">
        <f t="shared" si="2134"/>
        <v>花都四部-凤凰仓</v>
      </c>
      <c r="G7359" s="1" t="str">
        <f t="shared" ref="G7359:G7366" si="2139">"卡卡杜个人护理店（抖店）"</f>
        <v>卡卡杜个人护理店（抖店）</v>
      </c>
      <c r="H7359" s="1" t="str">
        <f t="shared" si="2135"/>
        <v>正常订单</v>
      </c>
      <c r="I7359" s="1" t="str">
        <f t="shared" si="2136"/>
        <v>已发货</v>
      </c>
      <c r="J7359" s="1" t="str">
        <f t="shared" si="2138"/>
        <v>3</v>
      </c>
      <c r="K7359" s="1">
        <v>2</v>
      </c>
      <c r="L7359" s="1" t="s">
        <v>96</v>
      </c>
      <c r="M7359" s="1" t="str">
        <f>"广西壮族自治区 桂林市 永福县 永福镇"</f>
        <v>广西壮族自治区 桂林市 永福县 永福镇</v>
      </c>
      <c r="N7359" s="1" t="str">
        <f t="shared" ref="N7359:N7366" si="2140">"凡华云仓-韵达-抖音"</f>
        <v>凡华云仓-韵达-抖音</v>
      </c>
      <c r="O7359" s="5">
        <v>320172561310811</v>
      </c>
      <c r="P7359" s="6">
        <v>0.35</v>
      </c>
      <c r="Q7359" s="11">
        <v>2.2999999999999998</v>
      </c>
      <c r="R7359" s="11"/>
      <c r="S7359" s="11"/>
      <c r="T7359" s="11"/>
      <c r="U7359" s="11">
        <f t="shared" si="2132"/>
        <v>2.2999999999999998</v>
      </c>
      <c r="W7359">
        <v>2.5</v>
      </c>
      <c r="X7359" s="1" t="s">
        <v>96</v>
      </c>
    </row>
    <row r="7360" spans="1:24" x14ac:dyDescent="0.25">
      <c r="A7360" s="1" t="str">
        <f t="shared" si="2133"/>
        <v>卡卡杜-凤凰仓</v>
      </c>
      <c r="B7360" s="1" t="str">
        <f>"CK2024101561"</f>
        <v>CK2024101561</v>
      </c>
      <c r="C7360" s="1" t="str">
        <f>"DD2024101525536"</f>
        <v>DD2024101525536</v>
      </c>
      <c r="D7360" s="1" t="str">
        <f>"CK2024101521978"</f>
        <v>CK2024101521978</v>
      </c>
      <c r="E7360" s="1" t="str">
        <f>"6935014372290336679"</f>
        <v>6935014372290336679</v>
      </c>
      <c r="F7360" s="1" t="str">
        <f t="shared" si="2134"/>
        <v>花都四部-凤凰仓</v>
      </c>
      <c r="G7360" s="1" t="str">
        <f t="shared" si="2139"/>
        <v>卡卡杜个人护理店（抖店）</v>
      </c>
      <c r="H7360" s="1" t="str">
        <f t="shared" si="2135"/>
        <v>正常订单</v>
      </c>
      <c r="I7360" s="1" t="str">
        <f t="shared" si="2136"/>
        <v>已发货</v>
      </c>
      <c r="J7360" s="1" t="str">
        <f t="shared" si="2138"/>
        <v>3</v>
      </c>
      <c r="K7360" s="1">
        <v>2</v>
      </c>
      <c r="L7360" s="1" t="s">
        <v>13</v>
      </c>
      <c r="M7360" s="1" t="str">
        <f>"江苏省 南京市 江宁区 禄口街道"</f>
        <v>江苏省 南京市 江宁区 禄口街道</v>
      </c>
      <c r="N7360" s="1" t="str">
        <f t="shared" si="2140"/>
        <v>凡华云仓-韵达-抖音</v>
      </c>
      <c r="O7360" s="5">
        <v>320172561310708</v>
      </c>
      <c r="P7360" s="6">
        <v>0.35</v>
      </c>
      <c r="Q7360" s="11">
        <v>2.2999999999999998</v>
      </c>
      <c r="R7360" s="11"/>
      <c r="S7360" s="11"/>
      <c r="T7360" s="11"/>
      <c r="U7360" s="11">
        <f t="shared" si="2132"/>
        <v>2.2999999999999998</v>
      </c>
      <c r="W7360">
        <v>2.5</v>
      </c>
      <c r="X7360" s="1" t="s">
        <v>13</v>
      </c>
    </row>
    <row r="7361" spans="1:24" x14ac:dyDescent="0.25">
      <c r="A7361" s="1" t="str">
        <f t="shared" si="2133"/>
        <v>卡卡杜-凤凰仓</v>
      </c>
      <c r="B7361" s="1" t="str">
        <f>"CK2024101559"</f>
        <v>CK2024101559</v>
      </c>
      <c r="C7361" s="1" t="str">
        <f>"DD2024101525533"</f>
        <v>DD2024101525533</v>
      </c>
      <c r="D7361" s="1" t="str">
        <f>"CK2024101521976"</f>
        <v>CK2024101521976</v>
      </c>
      <c r="E7361" s="1" t="str">
        <f>"6934992270780208137"</f>
        <v>6934992270780208137</v>
      </c>
      <c r="F7361" s="1" t="str">
        <f t="shared" si="2134"/>
        <v>花都四部-凤凰仓</v>
      </c>
      <c r="G7361" s="1" t="str">
        <f t="shared" si="2139"/>
        <v>卡卡杜个人护理店（抖店）</v>
      </c>
      <c r="H7361" s="1" t="str">
        <f t="shared" si="2135"/>
        <v>正常订单</v>
      </c>
      <c r="I7361" s="1" t="str">
        <f t="shared" si="2136"/>
        <v>已发货</v>
      </c>
      <c r="J7361" s="1" t="str">
        <f t="shared" si="2138"/>
        <v>3</v>
      </c>
      <c r="K7361" s="1">
        <v>2</v>
      </c>
      <c r="L7361" s="1" t="s">
        <v>13</v>
      </c>
      <c r="M7361" s="1" t="str">
        <f>"江苏省 南京市 江宁区 秣陵街道"</f>
        <v>江苏省 南京市 江宁区 秣陵街道</v>
      </c>
      <c r="N7361" s="1" t="str">
        <f t="shared" si="2140"/>
        <v>凡华云仓-韵达-抖音</v>
      </c>
      <c r="O7361" s="5">
        <v>320172561310607</v>
      </c>
      <c r="P7361" s="6">
        <v>0.35</v>
      </c>
      <c r="Q7361" s="11">
        <v>2.2999999999999998</v>
      </c>
      <c r="R7361" s="11"/>
      <c r="S7361" s="11"/>
      <c r="T7361" s="11"/>
      <c r="U7361" s="11">
        <f t="shared" si="2132"/>
        <v>2.2999999999999998</v>
      </c>
      <c r="W7361">
        <v>2.5</v>
      </c>
      <c r="X7361" s="1" t="s">
        <v>13</v>
      </c>
    </row>
    <row r="7362" spans="1:24" x14ac:dyDescent="0.25">
      <c r="A7362" s="1" t="str">
        <f t="shared" si="2133"/>
        <v>卡卡杜-凤凰仓</v>
      </c>
      <c r="B7362" s="1" t="str">
        <f>"CK2024101560"</f>
        <v>CK2024101560</v>
      </c>
      <c r="C7362" s="1" t="str">
        <f>"DD2024101525534"</f>
        <v>DD2024101525534</v>
      </c>
      <c r="D7362" s="1" t="str">
        <f>"CK2024101521974"</f>
        <v>CK2024101521974</v>
      </c>
      <c r="E7362" s="1" t="str">
        <f>"6934998757860578304"</f>
        <v>6934998757860578304</v>
      </c>
      <c r="F7362" s="1" t="str">
        <f t="shared" si="2134"/>
        <v>花都四部-凤凰仓</v>
      </c>
      <c r="G7362" s="1" t="str">
        <f t="shared" si="2139"/>
        <v>卡卡杜个人护理店（抖店）</v>
      </c>
      <c r="H7362" s="1" t="str">
        <f t="shared" si="2135"/>
        <v>正常订单</v>
      </c>
      <c r="I7362" s="1" t="str">
        <f t="shared" si="2136"/>
        <v>已发货</v>
      </c>
      <c r="J7362" s="1" t="str">
        <f t="shared" si="2138"/>
        <v>3</v>
      </c>
      <c r="K7362" s="1">
        <v>2</v>
      </c>
      <c r="L7362" s="1" t="s">
        <v>60</v>
      </c>
      <c r="M7362" s="1" t="str">
        <f>"云南省 大理白族自治州 大理市 下关街道"</f>
        <v>云南省 大理白族自治州 大理市 下关街道</v>
      </c>
      <c r="N7362" s="1" t="str">
        <f t="shared" si="2140"/>
        <v>凡华云仓-韵达-抖音</v>
      </c>
      <c r="O7362" s="5">
        <v>320172556969835</v>
      </c>
      <c r="P7362" s="6">
        <v>0.35</v>
      </c>
      <c r="Q7362" s="11">
        <v>2.2999999999999998</v>
      </c>
      <c r="R7362" s="11"/>
      <c r="S7362" s="11"/>
      <c r="T7362" s="11"/>
      <c r="U7362" s="11">
        <f t="shared" si="2132"/>
        <v>2.2999999999999998</v>
      </c>
      <c r="W7362">
        <v>2.5</v>
      </c>
      <c r="X7362" s="1" t="s">
        <v>60</v>
      </c>
    </row>
    <row r="7363" spans="1:24" x14ac:dyDescent="0.25">
      <c r="A7363" s="1" t="str">
        <f t="shared" si="2133"/>
        <v>卡卡杜-凤凰仓</v>
      </c>
      <c r="B7363" s="1" t="str">
        <f>"CK2024101539"</f>
        <v>CK2024101539</v>
      </c>
      <c r="C7363" s="1" t="str">
        <f>"DD2024101525514"</f>
        <v>DD2024101525514</v>
      </c>
      <c r="D7363" s="1" t="str">
        <f>"CK2024101521973"</f>
        <v>CK2024101521973</v>
      </c>
      <c r="E7363" s="1" t="str">
        <f>"6935009531543427038"</f>
        <v>6935009531543427038</v>
      </c>
      <c r="F7363" s="1" t="str">
        <f t="shared" si="2134"/>
        <v>花都四部-凤凰仓</v>
      </c>
      <c r="G7363" s="1" t="str">
        <f t="shared" si="2139"/>
        <v>卡卡杜个人护理店（抖店）</v>
      </c>
      <c r="H7363" s="1" t="str">
        <f t="shared" si="2135"/>
        <v>正常订单</v>
      </c>
      <c r="I7363" s="1" t="str">
        <f t="shared" si="2136"/>
        <v>已发货</v>
      </c>
      <c r="J7363" s="1" t="str">
        <f>"5"</f>
        <v>5</v>
      </c>
      <c r="K7363" s="1">
        <v>2</v>
      </c>
      <c r="L7363" s="1" t="s">
        <v>74</v>
      </c>
      <c r="M7363" s="1" t="str">
        <f>"上海 上海市 奉贤区 四团镇"</f>
        <v>上海 上海市 奉贤区 四团镇</v>
      </c>
      <c r="N7363" s="1" t="str">
        <f t="shared" si="2140"/>
        <v>凡华云仓-韵达-抖音</v>
      </c>
      <c r="O7363" s="5">
        <v>320172556969732</v>
      </c>
      <c r="P7363" s="6">
        <v>0.59</v>
      </c>
      <c r="Q7363" s="11">
        <f>CEILING(P7363-0.5,0.1)*10*0.15+2.3</f>
        <v>2.4499999999999997</v>
      </c>
      <c r="R7363" s="11"/>
      <c r="S7363" s="11"/>
      <c r="T7363" s="11"/>
      <c r="U7363" s="11">
        <f t="shared" ref="U7363:U7426" si="2141">T7363+S7363+R7363+Q7363</f>
        <v>2.4499999999999997</v>
      </c>
      <c r="V7363" t="s">
        <v>15</v>
      </c>
      <c r="W7363">
        <v>2.4500000000000002</v>
      </c>
      <c r="X7363" s="1" t="s">
        <v>74</v>
      </c>
    </row>
    <row r="7364" spans="1:24" x14ac:dyDescent="0.25">
      <c r="A7364" s="1" t="str">
        <f t="shared" si="2133"/>
        <v>卡卡杜-凤凰仓</v>
      </c>
      <c r="B7364" s="1" t="str">
        <f>"CK2024101555"</f>
        <v>CK2024101555</v>
      </c>
      <c r="C7364" s="1" t="str">
        <f>"DD2024101525528"</f>
        <v>DD2024101525528</v>
      </c>
      <c r="D7364" s="1" t="str">
        <f>"CK2024101521971"</f>
        <v>CK2024101521971</v>
      </c>
      <c r="E7364" s="1" t="str">
        <f>"6935009472180655393"</f>
        <v>6935009472180655393</v>
      </c>
      <c r="F7364" s="1" t="str">
        <f t="shared" si="2134"/>
        <v>花都四部-凤凰仓</v>
      </c>
      <c r="G7364" s="1" t="str">
        <f t="shared" si="2139"/>
        <v>卡卡杜个人护理店（抖店）</v>
      </c>
      <c r="H7364" s="1" t="str">
        <f t="shared" si="2135"/>
        <v>正常订单</v>
      </c>
      <c r="I7364" s="1" t="str">
        <f t="shared" si="2136"/>
        <v>已发货</v>
      </c>
      <c r="J7364" s="1" t="str">
        <f t="shared" ref="J7364:J7378" si="2142">"3"</f>
        <v>3</v>
      </c>
      <c r="K7364" s="1">
        <v>2</v>
      </c>
      <c r="L7364" s="1" t="s">
        <v>94</v>
      </c>
      <c r="M7364" s="1" t="str">
        <f>"湖南省 湘西土家族苗族自治州 凤凰县 沱江镇"</f>
        <v>湖南省 湘西土家族苗族自治州 凤凰县 沱江镇</v>
      </c>
      <c r="N7364" s="1" t="str">
        <f t="shared" si="2140"/>
        <v>凡华云仓-韵达-抖音</v>
      </c>
      <c r="O7364" s="5">
        <v>320172556969631</v>
      </c>
      <c r="P7364" s="6">
        <v>0.35</v>
      </c>
      <c r="Q7364" s="11">
        <v>2.2999999999999998</v>
      </c>
      <c r="R7364" s="11"/>
      <c r="S7364" s="11"/>
      <c r="T7364" s="11"/>
      <c r="U7364" s="11">
        <f t="shared" si="2141"/>
        <v>2.2999999999999998</v>
      </c>
      <c r="W7364">
        <v>2.5</v>
      </c>
      <c r="X7364" s="1" t="s">
        <v>94</v>
      </c>
    </row>
    <row r="7365" spans="1:24" x14ac:dyDescent="0.25">
      <c r="A7365" s="1" t="str">
        <f t="shared" ref="A7365:A7428" si="2143">"卡卡杜-凤凰仓"</f>
        <v>卡卡杜-凤凰仓</v>
      </c>
      <c r="B7365" s="1" t="str">
        <f>"CK2024101551"</f>
        <v>CK2024101551</v>
      </c>
      <c r="C7365" s="1" t="str">
        <f>"DD2024101525524"</f>
        <v>DD2024101525524</v>
      </c>
      <c r="D7365" s="1" t="str">
        <f>"CK2024101521969"</f>
        <v>CK2024101521969</v>
      </c>
      <c r="E7365" s="1" t="str">
        <f>"6935016465489335658"</f>
        <v>6935016465489335658</v>
      </c>
      <c r="F7365" s="1" t="str">
        <f t="shared" ref="F7365:F7428" si="2144">"花都四部-凤凰仓"</f>
        <v>花都四部-凤凰仓</v>
      </c>
      <c r="G7365" s="1" t="str">
        <f t="shared" si="2139"/>
        <v>卡卡杜个人护理店（抖店）</v>
      </c>
      <c r="H7365" s="1" t="str">
        <f t="shared" ref="H7365:H7428" si="2145">"正常订单"</f>
        <v>正常订单</v>
      </c>
      <c r="I7365" s="1" t="str">
        <f t="shared" ref="I7365:I7428" si="2146">"已发货"</f>
        <v>已发货</v>
      </c>
      <c r="J7365" s="1" t="str">
        <f t="shared" si="2142"/>
        <v>3</v>
      </c>
      <c r="K7365" s="1">
        <v>3</v>
      </c>
      <c r="L7365" s="1" t="s">
        <v>74</v>
      </c>
      <c r="M7365" s="1" t="str">
        <f>"上海 上海市 青浦区 徐泾镇"</f>
        <v>上海 上海市 青浦区 徐泾镇</v>
      </c>
      <c r="N7365" s="1" t="str">
        <f t="shared" si="2140"/>
        <v>凡华云仓-韵达-抖音</v>
      </c>
      <c r="O7365" s="5">
        <v>320172556969532</v>
      </c>
      <c r="P7365" s="6">
        <v>0.34</v>
      </c>
      <c r="Q7365" s="11">
        <v>2.2999999999999998</v>
      </c>
      <c r="R7365" s="11"/>
      <c r="S7365" s="11"/>
      <c r="T7365" s="11"/>
      <c r="U7365" s="11">
        <f t="shared" si="2141"/>
        <v>2.2999999999999998</v>
      </c>
      <c r="W7365">
        <v>2.5</v>
      </c>
      <c r="X7365" s="1" t="s">
        <v>74</v>
      </c>
    </row>
    <row r="7366" spans="1:24" x14ac:dyDescent="0.25">
      <c r="A7366" s="1" t="str">
        <f t="shared" si="2143"/>
        <v>卡卡杜-凤凰仓</v>
      </c>
      <c r="B7366" s="1" t="str">
        <f>"CK2024101553"</f>
        <v>CK2024101553</v>
      </c>
      <c r="C7366" s="1" t="str">
        <f>"DD2024101525526"</f>
        <v>DD2024101525526</v>
      </c>
      <c r="D7366" s="1" t="str">
        <f>"CK2024101521968"</f>
        <v>CK2024101521968</v>
      </c>
      <c r="E7366" s="1" t="str">
        <f>"6934994282764375268"</f>
        <v>6934994282764375268</v>
      </c>
      <c r="F7366" s="1" t="str">
        <f t="shared" si="2144"/>
        <v>花都四部-凤凰仓</v>
      </c>
      <c r="G7366" s="1" t="str">
        <f t="shared" si="2139"/>
        <v>卡卡杜个人护理店（抖店）</v>
      </c>
      <c r="H7366" s="1" t="str">
        <f t="shared" si="2145"/>
        <v>正常订单</v>
      </c>
      <c r="I7366" s="1" t="str">
        <f t="shared" si="2146"/>
        <v>已发货</v>
      </c>
      <c r="J7366" s="1" t="str">
        <f t="shared" si="2142"/>
        <v>3</v>
      </c>
      <c r="K7366" s="1">
        <v>2</v>
      </c>
      <c r="L7366" s="1" t="s">
        <v>20</v>
      </c>
      <c r="M7366" s="1" t="str">
        <f>"浙江省 台州市 临海市 上盘镇"</f>
        <v>浙江省 台州市 临海市 上盘镇</v>
      </c>
      <c r="N7366" s="1" t="str">
        <f t="shared" si="2140"/>
        <v>凡华云仓-韵达-抖音</v>
      </c>
      <c r="O7366" s="5">
        <v>320172556969435</v>
      </c>
      <c r="P7366" s="6">
        <v>0.35</v>
      </c>
      <c r="Q7366" s="11">
        <v>2.2999999999999998</v>
      </c>
      <c r="R7366" s="11"/>
      <c r="S7366" s="11"/>
      <c r="T7366" s="11"/>
      <c r="U7366" s="11">
        <f t="shared" si="2141"/>
        <v>2.2999999999999998</v>
      </c>
      <c r="W7366">
        <v>2.5</v>
      </c>
      <c r="X7366" s="1" t="s">
        <v>20</v>
      </c>
    </row>
    <row r="7367" spans="1:24" x14ac:dyDescent="0.25">
      <c r="A7367" s="1" t="str">
        <f t="shared" si="2143"/>
        <v>卡卡杜-凤凰仓</v>
      </c>
      <c r="B7367" s="1" t="str">
        <f>"CK2024101417075"</f>
        <v>CK2024101417075</v>
      </c>
      <c r="C7367" s="1" t="str">
        <f>"DD2024101467269"</f>
        <v>DD2024101467269</v>
      </c>
      <c r="D7367" s="1" t="str">
        <f>"CK2024101462129"</f>
        <v>CK2024101462129</v>
      </c>
      <c r="E7367" s="1" t="str">
        <f>"3723306073978442752"</f>
        <v>3723306073978442752</v>
      </c>
      <c r="F7367" s="1" t="str">
        <f t="shared" si="2144"/>
        <v>花都四部-凤凰仓</v>
      </c>
      <c r="G7367" s="1" t="str">
        <f t="shared" ref="G7367:G7370" si="2147">"卡卡杜企业店（视频号）"</f>
        <v>卡卡杜企业店（视频号）</v>
      </c>
      <c r="H7367" s="1" t="str">
        <f t="shared" si="2145"/>
        <v>正常订单</v>
      </c>
      <c r="I7367" s="1" t="str">
        <f t="shared" si="2146"/>
        <v>已发货</v>
      </c>
      <c r="J7367" s="1" t="str">
        <f t="shared" si="2142"/>
        <v>3</v>
      </c>
      <c r="K7367" s="1">
        <v>3</v>
      </c>
      <c r="L7367" s="1" t="s">
        <v>18</v>
      </c>
      <c r="M7367" s="1" t="str">
        <f>"广东省 佛山市 南海区 "</f>
        <v xml:space="preserve">广东省 佛山市 南海区 </v>
      </c>
      <c r="N7367" s="1" t="str">
        <f t="shared" ref="N7367:N7370" si="2148">"凡华云仓-韵达-微信视频号"</f>
        <v>凡华云仓-韵达-微信视频号</v>
      </c>
      <c r="O7367" s="5">
        <v>315012972069207</v>
      </c>
      <c r="P7367" s="6">
        <v>0.34</v>
      </c>
      <c r="Q7367" s="11">
        <v>2.2999999999999998</v>
      </c>
      <c r="R7367" s="11"/>
      <c r="S7367" s="11"/>
      <c r="T7367" s="11"/>
      <c r="U7367" s="11">
        <f t="shared" si="2141"/>
        <v>2.2999999999999998</v>
      </c>
      <c r="W7367">
        <v>2.5</v>
      </c>
      <c r="X7367" s="1" t="s">
        <v>18</v>
      </c>
    </row>
    <row r="7368" spans="1:24" x14ac:dyDescent="0.25">
      <c r="A7368" s="1" t="str">
        <f t="shared" si="2143"/>
        <v>卡卡杜-凤凰仓</v>
      </c>
      <c r="B7368" s="1" t="str">
        <f>"CK2024101417076"</f>
        <v>CK2024101417076</v>
      </c>
      <c r="C7368" s="1" t="str">
        <f>"DD2024101467271"</f>
        <v>DD2024101467271</v>
      </c>
      <c r="D7368" s="1" t="str">
        <f>"CK2024101462128"</f>
        <v>CK2024101462128</v>
      </c>
      <c r="E7368" s="1" t="str">
        <f>"3723305889137824768"</f>
        <v>3723305889137824768</v>
      </c>
      <c r="F7368" s="1" t="str">
        <f t="shared" si="2144"/>
        <v>花都四部-凤凰仓</v>
      </c>
      <c r="G7368" s="1" t="str">
        <f t="shared" si="2147"/>
        <v>卡卡杜企业店（视频号）</v>
      </c>
      <c r="H7368" s="1" t="str">
        <f t="shared" si="2145"/>
        <v>正常订单</v>
      </c>
      <c r="I7368" s="1" t="str">
        <f t="shared" si="2146"/>
        <v>已发货</v>
      </c>
      <c r="J7368" s="1" t="str">
        <f t="shared" si="2142"/>
        <v>3</v>
      </c>
      <c r="K7368" s="1">
        <v>3</v>
      </c>
      <c r="L7368" s="1" t="s">
        <v>105</v>
      </c>
      <c r="M7368" s="1" t="str">
        <f>"北京 北京市 西城区 "</f>
        <v xml:space="preserve">北京 北京市 西城区 </v>
      </c>
      <c r="N7368" s="1" t="str">
        <f t="shared" si="2148"/>
        <v>凡华云仓-韵达-微信视频号</v>
      </c>
      <c r="O7368" s="5">
        <v>315012972066486</v>
      </c>
      <c r="P7368" s="6">
        <v>0.34</v>
      </c>
      <c r="Q7368" s="11">
        <v>2.2999999999999998</v>
      </c>
      <c r="R7368" s="11"/>
      <c r="S7368" s="11"/>
      <c r="T7368" s="11"/>
      <c r="U7368" s="11">
        <f t="shared" si="2141"/>
        <v>2.2999999999999998</v>
      </c>
      <c r="W7368">
        <v>2.5</v>
      </c>
      <c r="X7368" s="1" t="s">
        <v>105</v>
      </c>
    </row>
    <row r="7369" spans="1:24" x14ac:dyDescent="0.25">
      <c r="A7369" s="1" t="str">
        <f t="shared" si="2143"/>
        <v>卡卡杜-凤凰仓</v>
      </c>
      <c r="B7369" s="1" t="str">
        <f>"CK2024101417077"</f>
        <v>CK2024101417077</v>
      </c>
      <c r="C7369" s="1" t="str">
        <f>"DD2024101467270"</f>
        <v>DD2024101467270</v>
      </c>
      <c r="D7369" s="1" t="str">
        <f>"CK2024101462127"</f>
        <v>CK2024101462127</v>
      </c>
      <c r="E7369" s="1" t="str">
        <f>"3723305615955199232"</f>
        <v>3723305615955199232</v>
      </c>
      <c r="F7369" s="1" t="str">
        <f t="shared" si="2144"/>
        <v>花都四部-凤凰仓</v>
      </c>
      <c r="G7369" s="1" t="str">
        <f t="shared" si="2147"/>
        <v>卡卡杜企业店（视频号）</v>
      </c>
      <c r="H7369" s="1" t="str">
        <f t="shared" si="2145"/>
        <v>正常订单</v>
      </c>
      <c r="I7369" s="1" t="str">
        <f t="shared" si="2146"/>
        <v>已发货</v>
      </c>
      <c r="J7369" s="1" t="str">
        <f t="shared" si="2142"/>
        <v>3</v>
      </c>
      <c r="K7369" s="1">
        <v>3</v>
      </c>
      <c r="L7369" s="1" t="s">
        <v>74</v>
      </c>
      <c r="M7369" s="1" t="str">
        <f>"上海 上海市 青浦区 "</f>
        <v xml:space="preserve">上海 上海市 青浦区 </v>
      </c>
      <c r="N7369" s="1" t="str">
        <f t="shared" si="2148"/>
        <v>凡华云仓-韵达-微信视频号</v>
      </c>
      <c r="O7369" s="5">
        <v>315012972063895</v>
      </c>
      <c r="P7369" s="6">
        <v>0.34</v>
      </c>
      <c r="Q7369" s="11">
        <v>2.2999999999999998</v>
      </c>
      <c r="R7369" s="11"/>
      <c r="S7369" s="11"/>
      <c r="T7369" s="11"/>
      <c r="U7369" s="11">
        <f t="shared" si="2141"/>
        <v>2.2999999999999998</v>
      </c>
      <c r="W7369">
        <v>2.5</v>
      </c>
      <c r="X7369" s="1" t="s">
        <v>74</v>
      </c>
    </row>
    <row r="7370" spans="1:24" x14ac:dyDescent="0.25">
      <c r="A7370" s="1" t="str">
        <f t="shared" si="2143"/>
        <v>卡卡杜-凤凰仓</v>
      </c>
      <c r="B7370" s="1" t="str">
        <f>"CK2024101413644"</f>
        <v>CK2024101413644</v>
      </c>
      <c r="C7370" s="1" t="str">
        <f>"DD2024101461385"</f>
        <v>DD2024101461385</v>
      </c>
      <c r="D7370" s="1" t="str">
        <f>"CK2024101462126"</f>
        <v>CK2024101462126</v>
      </c>
      <c r="E7370" s="1" t="str">
        <f>"3723303582172843008"</f>
        <v>3723303582172843008</v>
      </c>
      <c r="F7370" s="1" t="str">
        <f t="shared" si="2144"/>
        <v>花都四部-凤凰仓</v>
      </c>
      <c r="G7370" s="1" t="str">
        <f t="shared" si="2147"/>
        <v>卡卡杜企业店（视频号）</v>
      </c>
      <c r="H7370" s="1" t="str">
        <f t="shared" si="2145"/>
        <v>正常订单</v>
      </c>
      <c r="I7370" s="1" t="str">
        <f t="shared" si="2146"/>
        <v>已发货</v>
      </c>
      <c r="J7370" s="1" t="str">
        <f t="shared" si="2142"/>
        <v>3</v>
      </c>
      <c r="K7370" s="1">
        <v>3</v>
      </c>
      <c r="L7370" s="1" t="s">
        <v>18</v>
      </c>
      <c r="M7370" s="1" t="str">
        <f>"广东省 珠海市 金湾区 "</f>
        <v xml:space="preserve">广东省 珠海市 金湾区 </v>
      </c>
      <c r="N7370" s="1" t="str">
        <f t="shared" si="2148"/>
        <v>凡华云仓-韵达-微信视频号</v>
      </c>
      <c r="O7370" s="5">
        <v>315012972060618</v>
      </c>
      <c r="P7370" s="6">
        <v>0.34</v>
      </c>
      <c r="Q7370" s="11">
        <v>2.2999999999999998</v>
      </c>
      <c r="R7370" s="11"/>
      <c r="S7370" s="11"/>
      <c r="T7370" s="11"/>
      <c r="U7370" s="11">
        <f t="shared" si="2141"/>
        <v>2.2999999999999998</v>
      </c>
      <c r="W7370">
        <v>2.5</v>
      </c>
      <c r="X7370" s="1" t="s">
        <v>18</v>
      </c>
    </row>
    <row r="7371" spans="1:24" x14ac:dyDescent="0.25">
      <c r="A7371" s="1" t="str">
        <f t="shared" si="2143"/>
        <v>卡卡杜-凤凰仓</v>
      </c>
      <c r="B7371" s="1" t="str">
        <f>"CK2024101413643"</f>
        <v>CK2024101413643</v>
      </c>
      <c r="C7371" s="1" t="str">
        <f>"DD2024101461384"</f>
        <v>DD2024101461384</v>
      </c>
      <c r="D7371" s="1" t="str">
        <f>"CK2024101461885"</f>
        <v>CK2024101461885</v>
      </c>
      <c r="E7371" s="1" t="str">
        <f>"6934973072903640615"</f>
        <v>6934973072903640615</v>
      </c>
      <c r="F7371" s="1" t="str">
        <f t="shared" si="2144"/>
        <v>花都四部-凤凰仓</v>
      </c>
      <c r="G7371" s="1" t="str">
        <f t="shared" ref="G7371:G7389" si="2149">"卡卡杜个人护理店（抖店）"</f>
        <v>卡卡杜个人护理店（抖店）</v>
      </c>
      <c r="H7371" s="1" t="str">
        <f t="shared" si="2145"/>
        <v>正常订单</v>
      </c>
      <c r="I7371" s="1" t="str">
        <f t="shared" si="2146"/>
        <v>已发货</v>
      </c>
      <c r="J7371" s="1" t="str">
        <f t="shared" si="2142"/>
        <v>3</v>
      </c>
      <c r="K7371" s="1">
        <v>3</v>
      </c>
      <c r="L7371" s="1" t="s">
        <v>13</v>
      </c>
      <c r="M7371" s="1" t="str">
        <f>"江苏省 常州市 武进区 湖塘镇"</f>
        <v>江苏省 常州市 武进区 湖塘镇</v>
      </c>
      <c r="N7371" s="1" t="str">
        <f t="shared" ref="N7371:N7389" si="2150">"凡华云仓-韵达-抖音"</f>
        <v>凡华云仓-韵达-抖音</v>
      </c>
      <c r="O7371" s="5">
        <v>320171674833172</v>
      </c>
      <c r="P7371" s="6">
        <v>0.34</v>
      </c>
      <c r="Q7371" s="11">
        <v>2.2999999999999998</v>
      </c>
      <c r="R7371" s="11"/>
      <c r="S7371" s="11"/>
      <c r="T7371" s="11"/>
      <c r="U7371" s="11">
        <f t="shared" si="2141"/>
        <v>2.2999999999999998</v>
      </c>
      <c r="W7371">
        <v>2.5</v>
      </c>
      <c r="X7371" s="1" t="s">
        <v>13</v>
      </c>
    </row>
    <row r="7372" spans="1:24" x14ac:dyDescent="0.25">
      <c r="A7372" s="1" t="str">
        <f t="shared" si="2143"/>
        <v>卡卡杜-凤凰仓</v>
      </c>
      <c r="B7372" s="1" t="str">
        <f>"CK2024101413640"</f>
        <v>CK2024101413640</v>
      </c>
      <c r="C7372" s="1" t="str">
        <f>"DD2024101461380"</f>
        <v>DD2024101461380</v>
      </c>
      <c r="D7372" s="1" t="str">
        <f>"CK2024101461868"</f>
        <v>CK2024101461868</v>
      </c>
      <c r="E7372" s="1" t="str">
        <f>"6934979949319820477"</f>
        <v>6934979949319820477</v>
      </c>
      <c r="F7372" s="1" t="str">
        <f t="shared" si="2144"/>
        <v>花都四部-凤凰仓</v>
      </c>
      <c r="G7372" s="1" t="str">
        <f t="shared" si="2149"/>
        <v>卡卡杜个人护理店（抖店）</v>
      </c>
      <c r="H7372" s="1" t="str">
        <f t="shared" si="2145"/>
        <v>正常订单</v>
      </c>
      <c r="I7372" s="1" t="str">
        <f t="shared" si="2146"/>
        <v>已发货</v>
      </c>
      <c r="J7372" s="1" t="str">
        <f t="shared" si="2142"/>
        <v>3</v>
      </c>
      <c r="K7372" s="1">
        <v>2</v>
      </c>
      <c r="L7372" s="1" t="s">
        <v>60</v>
      </c>
      <c r="M7372" s="1" t="str">
        <f>"云南省 西双版纳傣族自治州 景洪市 "</f>
        <v xml:space="preserve">云南省 西双版纳傣族自治州 景洪市 </v>
      </c>
      <c r="N7372" s="1" t="str">
        <f t="shared" si="2150"/>
        <v>凡华云仓-韵达-抖音</v>
      </c>
      <c r="O7372" s="5">
        <v>320171664942754</v>
      </c>
      <c r="P7372" s="6">
        <v>0.35</v>
      </c>
      <c r="Q7372" s="11">
        <v>2.2999999999999998</v>
      </c>
      <c r="R7372" s="11"/>
      <c r="S7372" s="11"/>
      <c r="T7372" s="11"/>
      <c r="U7372" s="11">
        <f t="shared" si="2141"/>
        <v>2.2999999999999998</v>
      </c>
      <c r="W7372">
        <v>2.5</v>
      </c>
      <c r="X7372" s="1" t="s">
        <v>60</v>
      </c>
    </row>
    <row r="7373" spans="1:24" x14ac:dyDescent="0.25">
      <c r="A7373" s="1" t="str">
        <f t="shared" si="2143"/>
        <v>卡卡杜-凤凰仓</v>
      </c>
      <c r="B7373" s="1" t="str">
        <f>"CK2024101413634"</f>
        <v>CK2024101413634</v>
      </c>
      <c r="C7373" s="1" t="str">
        <f>"DD2024101461375"</f>
        <v>DD2024101461375</v>
      </c>
      <c r="D7373" s="1" t="str">
        <f>"CK2024101461866"</f>
        <v>CK2024101461866</v>
      </c>
      <c r="E7373" s="1" t="str">
        <f>"6934977812710429753"</f>
        <v>6934977812710429753</v>
      </c>
      <c r="F7373" s="1" t="str">
        <f t="shared" si="2144"/>
        <v>花都四部-凤凰仓</v>
      </c>
      <c r="G7373" s="1" t="str">
        <f t="shared" si="2149"/>
        <v>卡卡杜个人护理店（抖店）</v>
      </c>
      <c r="H7373" s="1" t="str">
        <f t="shared" si="2145"/>
        <v>正常订单</v>
      </c>
      <c r="I7373" s="1" t="str">
        <f t="shared" si="2146"/>
        <v>已发货</v>
      </c>
      <c r="J7373" s="1" t="str">
        <f t="shared" si="2142"/>
        <v>3</v>
      </c>
      <c r="K7373" s="1">
        <v>2</v>
      </c>
      <c r="L7373" s="1" t="s">
        <v>20</v>
      </c>
      <c r="M7373" s="1" t="str">
        <f>"浙江省 台州市 临海市 桃渚镇"</f>
        <v>浙江省 台州市 临海市 桃渚镇</v>
      </c>
      <c r="N7373" s="1" t="str">
        <f t="shared" si="2150"/>
        <v>凡华云仓-韵达-抖音</v>
      </c>
      <c r="O7373" s="5">
        <v>320171664942554</v>
      </c>
      <c r="P7373" s="6">
        <v>0.35</v>
      </c>
      <c r="Q7373" s="11">
        <v>2.2999999999999998</v>
      </c>
      <c r="R7373" s="11"/>
      <c r="S7373" s="11"/>
      <c r="T7373" s="11"/>
      <c r="U7373" s="11">
        <f t="shared" si="2141"/>
        <v>2.2999999999999998</v>
      </c>
      <c r="W7373">
        <v>2.5</v>
      </c>
      <c r="X7373" s="1" t="s">
        <v>20</v>
      </c>
    </row>
    <row r="7374" spans="1:24" x14ac:dyDescent="0.25">
      <c r="A7374" s="1" t="str">
        <f t="shared" si="2143"/>
        <v>卡卡杜-凤凰仓</v>
      </c>
      <c r="B7374" s="1" t="str">
        <f>"CK2024101413645"</f>
        <v>CK2024101413645</v>
      </c>
      <c r="C7374" s="1" t="str">
        <f>"DD2024101461386"</f>
        <v>DD2024101461386</v>
      </c>
      <c r="D7374" s="1" t="str">
        <f>"CK2024101461864"</f>
        <v>CK2024101461864</v>
      </c>
      <c r="E7374" s="1" t="str">
        <f>"6934987281828681240"</f>
        <v>6934987281828681240</v>
      </c>
      <c r="F7374" s="1" t="str">
        <f t="shared" si="2144"/>
        <v>花都四部-凤凰仓</v>
      </c>
      <c r="G7374" s="1" t="str">
        <f t="shared" si="2149"/>
        <v>卡卡杜个人护理店（抖店）</v>
      </c>
      <c r="H7374" s="1" t="str">
        <f t="shared" si="2145"/>
        <v>正常订单</v>
      </c>
      <c r="I7374" s="1" t="str">
        <f t="shared" si="2146"/>
        <v>已发货</v>
      </c>
      <c r="J7374" s="1" t="str">
        <f t="shared" si="2142"/>
        <v>3</v>
      </c>
      <c r="K7374" s="1">
        <v>3</v>
      </c>
      <c r="L7374" s="1" t="s">
        <v>74</v>
      </c>
      <c r="M7374" s="1" t="str">
        <f>"上海 上海市 浦东新区 三林镇"</f>
        <v>上海 上海市 浦东新区 三林镇</v>
      </c>
      <c r="N7374" s="1" t="str">
        <f t="shared" si="2150"/>
        <v>凡华云仓-韵达-抖音</v>
      </c>
      <c r="O7374" s="5">
        <v>320171676842954</v>
      </c>
      <c r="P7374" s="6">
        <v>0.34</v>
      </c>
      <c r="Q7374" s="11">
        <v>2.2999999999999998</v>
      </c>
      <c r="R7374" s="11"/>
      <c r="S7374" s="11"/>
      <c r="T7374" s="11"/>
      <c r="U7374" s="11">
        <f t="shared" si="2141"/>
        <v>2.2999999999999998</v>
      </c>
      <c r="W7374">
        <v>2.5</v>
      </c>
      <c r="X7374" s="1" t="s">
        <v>74</v>
      </c>
    </row>
    <row r="7375" spans="1:24" x14ac:dyDescent="0.25">
      <c r="A7375" s="1" t="str">
        <f t="shared" si="2143"/>
        <v>卡卡杜-凤凰仓</v>
      </c>
      <c r="B7375" s="1" t="str">
        <f>"CK2024101413641"</f>
        <v>CK2024101413641</v>
      </c>
      <c r="C7375" s="1" t="str">
        <f>"DD2024101461383"</f>
        <v>DD2024101461383</v>
      </c>
      <c r="D7375" s="1" t="str">
        <f>"CK2024101461860"</f>
        <v>CK2024101461860</v>
      </c>
      <c r="E7375" s="1" t="str">
        <f>"6934995725194368154"</f>
        <v>6934995725194368154</v>
      </c>
      <c r="F7375" s="1" t="str">
        <f t="shared" si="2144"/>
        <v>花都四部-凤凰仓</v>
      </c>
      <c r="G7375" s="1" t="str">
        <f t="shared" si="2149"/>
        <v>卡卡杜个人护理店（抖店）</v>
      </c>
      <c r="H7375" s="1" t="str">
        <f t="shared" si="2145"/>
        <v>正常订单</v>
      </c>
      <c r="I7375" s="1" t="str">
        <f t="shared" si="2146"/>
        <v>已发货</v>
      </c>
      <c r="J7375" s="1" t="str">
        <f t="shared" si="2142"/>
        <v>3</v>
      </c>
      <c r="K7375" s="1">
        <v>2</v>
      </c>
      <c r="L7375" s="1" t="s">
        <v>13</v>
      </c>
      <c r="M7375" s="1" t="str">
        <f>"江苏省 徐州市 邳州市 戴圩街道"</f>
        <v>江苏省 徐州市 邳州市 戴圩街道</v>
      </c>
      <c r="N7375" s="1" t="str">
        <f t="shared" si="2150"/>
        <v>凡华云仓-韵达-抖音</v>
      </c>
      <c r="O7375" s="5">
        <v>320171676842546</v>
      </c>
      <c r="P7375" s="6">
        <v>0.35</v>
      </c>
      <c r="Q7375" s="11">
        <v>2.2999999999999998</v>
      </c>
      <c r="R7375" s="11"/>
      <c r="S7375" s="11"/>
      <c r="T7375" s="11"/>
      <c r="U7375" s="11">
        <f t="shared" si="2141"/>
        <v>2.2999999999999998</v>
      </c>
      <c r="W7375">
        <v>2.5</v>
      </c>
      <c r="X7375" s="1" t="s">
        <v>13</v>
      </c>
    </row>
    <row r="7376" spans="1:24" x14ac:dyDescent="0.25">
      <c r="A7376" s="1" t="str">
        <f t="shared" si="2143"/>
        <v>卡卡杜-凤凰仓</v>
      </c>
      <c r="B7376" s="1" t="str">
        <f>"CK2024101413633"</f>
        <v>CK2024101413633</v>
      </c>
      <c r="C7376" s="1" t="str">
        <f>"DD2024101461374"</f>
        <v>DD2024101461374</v>
      </c>
      <c r="D7376" s="1" t="str">
        <f>"CK2024101461857"</f>
        <v>CK2024101461857</v>
      </c>
      <c r="E7376" s="1" t="str">
        <f>"6935004425437255025"</f>
        <v>6935004425437255025</v>
      </c>
      <c r="F7376" s="1" t="str">
        <f t="shared" si="2144"/>
        <v>花都四部-凤凰仓</v>
      </c>
      <c r="G7376" s="1" t="str">
        <f t="shared" si="2149"/>
        <v>卡卡杜个人护理店（抖店）</v>
      </c>
      <c r="H7376" s="1" t="str">
        <f t="shared" si="2145"/>
        <v>正常订单</v>
      </c>
      <c r="I7376" s="1" t="str">
        <f t="shared" si="2146"/>
        <v>已发货</v>
      </c>
      <c r="J7376" s="1" t="str">
        <f t="shared" si="2142"/>
        <v>3</v>
      </c>
      <c r="K7376" s="1">
        <v>2</v>
      </c>
      <c r="L7376" s="1" t="s">
        <v>20</v>
      </c>
      <c r="M7376" s="1" t="str">
        <f>"浙江省 丽水市 龙泉市 龙渊街道"</f>
        <v>浙江省 丽水市 龙泉市 龙渊街道</v>
      </c>
      <c r="N7376" s="1" t="str">
        <f t="shared" si="2150"/>
        <v>凡华云仓-韵达-抖音</v>
      </c>
      <c r="O7376" s="5">
        <v>320171676842261</v>
      </c>
      <c r="P7376" s="6">
        <v>0.35</v>
      </c>
      <c r="Q7376" s="11">
        <v>2.2999999999999998</v>
      </c>
      <c r="R7376" s="11"/>
      <c r="S7376" s="11"/>
      <c r="T7376" s="11"/>
      <c r="U7376" s="11">
        <f t="shared" si="2141"/>
        <v>2.2999999999999998</v>
      </c>
      <c r="W7376">
        <v>2.5</v>
      </c>
      <c r="X7376" s="1" t="s">
        <v>20</v>
      </c>
    </row>
    <row r="7377" spans="1:24" x14ac:dyDescent="0.25">
      <c r="A7377" s="1" t="str">
        <f t="shared" si="2143"/>
        <v>卡卡杜-凤凰仓</v>
      </c>
      <c r="B7377" s="1" t="str">
        <f>"CK2024101413629"</f>
        <v>CK2024101413629</v>
      </c>
      <c r="C7377" s="1" t="str">
        <f>"DD2024101461370"</f>
        <v>DD2024101461370</v>
      </c>
      <c r="D7377" s="1" t="str">
        <f>"CK2024101461856"</f>
        <v>CK2024101461856</v>
      </c>
      <c r="E7377" s="1" t="str">
        <f>"6934978227381344162"</f>
        <v>6934978227381344162</v>
      </c>
      <c r="F7377" s="1" t="str">
        <f t="shared" si="2144"/>
        <v>花都四部-凤凰仓</v>
      </c>
      <c r="G7377" s="1" t="str">
        <f t="shared" si="2149"/>
        <v>卡卡杜个人护理店（抖店）</v>
      </c>
      <c r="H7377" s="1" t="str">
        <f t="shared" si="2145"/>
        <v>正常订单</v>
      </c>
      <c r="I7377" s="1" t="str">
        <f t="shared" si="2146"/>
        <v>已发货</v>
      </c>
      <c r="J7377" s="1" t="str">
        <f t="shared" si="2142"/>
        <v>3</v>
      </c>
      <c r="K7377" s="1">
        <v>2</v>
      </c>
      <c r="L7377" s="1" t="s">
        <v>24</v>
      </c>
      <c r="M7377" s="1" t="str">
        <f>"福建省 泉州市 惠安县 百崎回族乡"</f>
        <v>福建省 泉州市 惠安县 百崎回族乡</v>
      </c>
      <c r="N7377" s="1" t="str">
        <f t="shared" si="2150"/>
        <v>凡华云仓-韵达-抖音</v>
      </c>
      <c r="O7377" s="5">
        <v>320171676842170</v>
      </c>
      <c r="P7377" s="6">
        <v>0.35</v>
      </c>
      <c r="Q7377" s="11">
        <v>2.2999999999999998</v>
      </c>
      <c r="R7377" s="11"/>
      <c r="S7377" s="11"/>
      <c r="T7377" s="11"/>
      <c r="U7377" s="11">
        <f t="shared" si="2141"/>
        <v>2.2999999999999998</v>
      </c>
      <c r="W7377">
        <v>2.5</v>
      </c>
      <c r="X7377" s="1" t="s">
        <v>24</v>
      </c>
    </row>
    <row r="7378" spans="1:24" x14ac:dyDescent="0.25">
      <c r="A7378" s="1" t="str">
        <f t="shared" si="2143"/>
        <v>卡卡杜-凤凰仓</v>
      </c>
      <c r="B7378" s="1" t="str">
        <f>"CK2024101416806"</f>
        <v>CK2024101416806</v>
      </c>
      <c r="C7378" s="1" t="str">
        <f>"DD2024101466241"</f>
        <v>DD2024101466241</v>
      </c>
      <c r="D7378" s="1" t="str">
        <f>"CK2024101461855"</f>
        <v>CK2024101461855</v>
      </c>
      <c r="E7378" s="1" t="str">
        <f>"6934993809523020957"</f>
        <v>6934993809523020957</v>
      </c>
      <c r="F7378" s="1" t="str">
        <f t="shared" si="2144"/>
        <v>花都四部-凤凰仓</v>
      </c>
      <c r="G7378" s="1" t="str">
        <f t="shared" si="2149"/>
        <v>卡卡杜个人护理店（抖店）</v>
      </c>
      <c r="H7378" s="1" t="str">
        <f t="shared" si="2145"/>
        <v>正常订单</v>
      </c>
      <c r="I7378" s="1" t="str">
        <f t="shared" si="2146"/>
        <v>已发货</v>
      </c>
      <c r="J7378" s="1" t="str">
        <f t="shared" si="2142"/>
        <v>3</v>
      </c>
      <c r="K7378" s="1">
        <v>2</v>
      </c>
      <c r="L7378" s="1" t="s">
        <v>18</v>
      </c>
      <c r="M7378" s="1" t="str">
        <f>"广东省 惠州市 惠城区 汝湖镇"</f>
        <v>广东省 惠州市 惠城区 汝湖镇</v>
      </c>
      <c r="N7378" s="1" t="str">
        <f t="shared" si="2150"/>
        <v>凡华云仓-韵达-抖音</v>
      </c>
      <c r="O7378" s="5">
        <v>320171680688193</v>
      </c>
      <c r="P7378" s="6">
        <v>0.35</v>
      </c>
      <c r="Q7378" s="11">
        <v>2.2999999999999998</v>
      </c>
      <c r="R7378" s="11"/>
      <c r="S7378" s="11"/>
      <c r="T7378" s="11"/>
      <c r="U7378" s="11">
        <f t="shared" si="2141"/>
        <v>2.2999999999999998</v>
      </c>
      <c r="W7378">
        <v>2.5</v>
      </c>
      <c r="X7378" s="1" t="s">
        <v>18</v>
      </c>
    </row>
    <row r="7379" spans="1:24" x14ac:dyDescent="0.25">
      <c r="A7379" s="1" t="str">
        <f t="shared" si="2143"/>
        <v>卡卡杜-凤凰仓</v>
      </c>
      <c r="B7379" s="1" t="str">
        <f>"CK2024101416807"</f>
        <v>CK2024101416807</v>
      </c>
      <c r="C7379" s="1" t="str">
        <f>"DD2024101466239"</f>
        <v>DD2024101466239</v>
      </c>
      <c r="D7379" s="1" t="str">
        <f>"CK2024101461854"</f>
        <v>CK2024101461854</v>
      </c>
      <c r="E7379" s="1" t="str">
        <f>"6935004624381023995"</f>
        <v>6935004624381023995</v>
      </c>
      <c r="F7379" s="1" t="str">
        <f t="shared" si="2144"/>
        <v>花都四部-凤凰仓</v>
      </c>
      <c r="G7379" s="1" t="str">
        <f t="shared" si="2149"/>
        <v>卡卡杜个人护理店（抖店）</v>
      </c>
      <c r="H7379" s="1" t="str">
        <f t="shared" si="2145"/>
        <v>正常订单</v>
      </c>
      <c r="I7379" s="1" t="str">
        <f t="shared" si="2146"/>
        <v>已发货</v>
      </c>
      <c r="J7379" s="1" t="str">
        <f>"5"</f>
        <v>5</v>
      </c>
      <c r="K7379" s="1">
        <v>2</v>
      </c>
      <c r="L7379" s="1" t="s">
        <v>13</v>
      </c>
      <c r="M7379" s="1" t="str">
        <f>"江苏省 苏州市 吴中区 郭巷街道"</f>
        <v>江苏省 苏州市 吴中区 郭巷街道</v>
      </c>
      <c r="N7379" s="1" t="str">
        <f t="shared" si="2150"/>
        <v>凡华云仓-韵达-抖音</v>
      </c>
      <c r="O7379" s="5">
        <v>320171680688004</v>
      </c>
      <c r="P7379" s="6">
        <v>0.59</v>
      </c>
      <c r="Q7379" s="11">
        <f>CEILING(P7379-0.5,0.1)*10*0.15+2.3</f>
        <v>2.4499999999999997</v>
      </c>
      <c r="R7379" s="11"/>
      <c r="S7379" s="11"/>
      <c r="T7379" s="11"/>
      <c r="U7379" s="11">
        <f t="shared" si="2141"/>
        <v>2.4499999999999997</v>
      </c>
      <c r="V7379" t="s">
        <v>15</v>
      </c>
      <c r="W7379">
        <v>2.4500000000000002</v>
      </c>
      <c r="X7379" s="1" t="s">
        <v>13</v>
      </c>
    </row>
    <row r="7380" spans="1:24" x14ac:dyDescent="0.25">
      <c r="A7380" s="1" t="str">
        <f t="shared" si="2143"/>
        <v>卡卡杜-凤凰仓</v>
      </c>
      <c r="B7380" s="1" t="str">
        <f>"CK2024101416805"</f>
        <v>CK2024101416805</v>
      </c>
      <c r="C7380" s="1" t="str">
        <f>"DD2024101466240"</f>
        <v>DD2024101466240</v>
      </c>
      <c r="D7380" s="1" t="str">
        <f>"CK2024101461853"</f>
        <v>CK2024101461853</v>
      </c>
      <c r="E7380" s="1" t="str">
        <f>"6934995951457998117"</f>
        <v>6934995951457998117</v>
      </c>
      <c r="F7380" s="1" t="str">
        <f t="shared" si="2144"/>
        <v>花都四部-凤凰仓</v>
      </c>
      <c r="G7380" s="1" t="str">
        <f t="shared" si="2149"/>
        <v>卡卡杜个人护理店（抖店）</v>
      </c>
      <c r="H7380" s="1" t="str">
        <f t="shared" si="2145"/>
        <v>正常订单</v>
      </c>
      <c r="I7380" s="1" t="str">
        <f t="shared" si="2146"/>
        <v>已发货</v>
      </c>
      <c r="J7380" s="1" t="str">
        <f t="shared" ref="J7380:J7389" si="2151">"3"</f>
        <v>3</v>
      </c>
      <c r="K7380" s="1">
        <v>2</v>
      </c>
      <c r="L7380" s="1" t="s">
        <v>94</v>
      </c>
      <c r="M7380" s="1" t="str">
        <f>"湖南省 岳阳市 平江县 三阳乡"</f>
        <v>湖南省 岳阳市 平江县 三阳乡</v>
      </c>
      <c r="N7380" s="1" t="str">
        <f t="shared" si="2150"/>
        <v>凡华云仓-韵达-抖音</v>
      </c>
      <c r="O7380" s="5">
        <v>320171680687974</v>
      </c>
      <c r="P7380" s="6">
        <v>0.35</v>
      </c>
      <c r="Q7380" s="11">
        <v>2.2999999999999998</v>
      </c>
      <c r="R7380" s="11"/>
      <c r="S7380" s="11"/>
      <c r="T7380" s="11"/>
      <c r="U7380" s="11">
        <f t="shared" si="2141"/>
        <v>2.2999999999999998</v>
      </c>
      <c r="W7380">
        <v>2.5</v>
      </c>
      <c r="X7380" s="1" t="s">
        <v>94</v>
      </c>
    </row>
    <row r="7381" spans="1:24" x14ac:dyDescent="0.25">
      <c r="A7381" s="1" t="str">
        <f t="shared" si="2143"/>
        <v>卡卡杜-凤凰仓</v>
      </c>
      <c r="B7381" s="1" t="str">
        <f>"CK2024101413631"</f>
        <v>CK2024101413631</v>
      </c>
      <c r="C7381" s="1" t="str">
        <f>"DD2024101461371"</f>
        <v>DD2024101461371</v>
      </c>
      <c r="D7381" s="1" t="str">
        <f>"CK2024101461852"</f>
        <v>CK2024101461852</v>
      </c>
      <c r="E7381" s="1" t="str">
        <f>"6934978119114757653"</f>
        <v>6934978119114757653</v>
      </c>
      <c r="F7381" s="1" t="str">
        <f t="shared" si="2144"/>
        <v>花都四部-凤凰仓</v>
      </c>
      <c r="G7381" s="1" t="str">
        <f t="shared" si="2149"/>
        <v>卡卡杜个人护理店（抖店）</v>
      </c>
      <c r="H7381" s="1" t="str">
        <f t="shared" si="2145"/>
        <v>正常订单</v>
      </c>
      <c r="I7381" s="1" t="str">
        <f t="shared" si="2146"/>
        <v>已发货</v>
      </c>
      <c r="J7381" s="1" t="str">
        <f t="shared" si="2151"/>
        <v>3</v>
      </c>
      <c r="K7381" s="1">
        <v>2</v>
      </c>
      <c r="L7381" s="1" t="s">
        <v>20</v>
      </c>
      <c r="M7381" s="1" t="str">
        <f>"浙江省 衢州市 龙游县 湖镇镇"</f>
        <v>浙江省 衢州市 龙游县 湖镇镇</v>
      </c>
      <c r="N7381" s="1" t="str">
        <f t="shared" si="2150"/>
        <v>凡华云仓-韵达-抖音</v>
      </c>
      <c r="O7381" s="5">
        <v>320171680687869</v>
      </c>
      <c r="P7381" s="6">
        <v>0.35</v>
      </c>
      <c r="Q7381" s="11">
        <v>2.2999999999999998</v>
      </c>
      <c r="R7381" s="11"/>
      <c r="S7381" s="11"/>
      <c r="T7381" s="11"/>
      <c r="U7381" s="11">
        <f t="shared" si="2141"/>
        <v>2.2999999999999998</v>
      </c>
      <c r="W7381">
        <v>2.5</v>
      </c>
      <c r="X7381" s="1" t="s">
        <v>20</v>
      </c>
    </row>
    <row r="7382" spans="1:24" x14ac:dyDescent="0.25">
      <c r="A7382" s="1" t="str">
        <f t="shared" si="2143"/>
        <v>卡卡杜-凤凰仓</v>
      </c>
      <c r="B7382" s="1" t="str">
        <f>"CK2024101413635"</f>
        <v>CK2024101413635</v>
      </c>
      <c r="C7382" s="1" t="str">
        <f>"DD2024101461377"</f>
        <v>DD2024101461377</v>
      </c>
      <c r="D7382" s="1" t="str">
        <f>"CK2024101461851"</f>
        <v>CK2024101461851</v>
      </c>
      <c r="E7382" s="1" t="str">
        <f>"6917554702361395174"</f>
        <v>6917554702361395174</v>
      </c>
      <c r="F7382" s="1" t="str">
        <f t="shared" si="2144"/>
        <v>花都四部-凤凰仓</v>
      </c>
      <c r="G7382" s="1" t="str">
        <f t="shared" si="2149"/>
        <v>卡卡杜个人护理店（抖店）</v>
      </c>
      <c r="H7382" s="1" t="str">
        <f t="shared" si="2145"/>
        <v>正常订单</v>
      </c>
      <c r="I7382" s="1" t="str">
        <f t="shared" si="2146"/>
        <v>已发货</v>
      </c>
      <c r="J7382" s="1" t="str">
        <f t="shared" si="2151"/>
        <v>3</v>
      </c>
      <c r="K7382" s="1">
        <v>2</v>
      </c>
      <c r="L7382" s="1" t="s">
        <v>18</v>
      </c>
      <c r="M7382" s="1" t="str">
        <f>"广东省 肇庆市 鼎湖区 "</f>
        <v xml:space="preserve">广东省 肇庆市 鼎湖区 </v>
      </c>
      <c r="N7382" s="1" t="str">
        <f t="shared" si="2150"/>
        <v>凡华云仓-韵达-抖音</v>
      </c>
      <c r="O7382" s="5">
        <v>320171680687766</v>
      </c>
      <c r="P7382" s="6">
        <v>0.35</v>
      </c>
      <c r="Q7382" s="11">
        <v>2.2999999999999998</v>
      </c>
      <c r="R7382" s="11"/>
      <c r="S7382" s="11"/>
      <c r="T7382" s="11"/>
      <c r="U7382" s="11">
        <f t="shared" si="2141"/>
        <v>2.2999999999999998</v>
      </c>
      <c r="W7382">
        <v>2.5</v>
      </c>
      <c r="X7382" s="1" t="s">
        <v>18</v>
      </c>
    </row>
    <row r="7383" spans="1:24" x14ac:dyDescent="0.25">
      <c r="A7383" s="1" t="str">
        <f t="shared" si="2143"/>
        <v>卡卡杜-凤凰仓</v>
      </c>
      <c r="B7383" s="1" t="str">
        <f>"CK2024101413636"</f>
        <v>CK2024101413636</v>
      </c>
      <c r="C7383" s="1" t="str">
        <f>"DD2024101461376"</f>
        <v>DD2024101461376</v>
      </c>
      <c r="D7383" s="1" t="str">
        <f>"CK2024101461850"</f>
        <v>CK2024101461850</v>
      </c>
      <c r="E7383" s="1" t="str">
        <f>"6935000064521410277"</f>
        <v>6935000064521410277</v>
      </c>
      <c r="F7383" s="1" t="str">
        <f t="shared" si="2144"/>
        <v>花都四部-凤凰仓</v>
      </c>
      <c r="G7383" s="1" t="str">
        <f t="shared" si="2149"/>
        <v>卡卡杜个人护理店（抖店）</v>
      </c>
      <c r="H7383" s="1" t="str">
        <f t="shared" si="2145"/>
        <v>正常订单</v>
      </c>
      <c r="I7383" s="1" t="str">
        <f t="shared" si="2146"/>
        <v>已发货</v>
      </c>
      <c r="J7383" s="1" t="str">
        <f t="shared" si="2151"/>
        <v>3</v>
      </c>
      <c r="K7383" s="1">
        <v>2</v>
      </c>
      <c r="L7383" s="1" t="s">
        <v>24</v>
      </c>
      <c r="M7383" s="1" t="str">
        <f>"福建省 三明市 宁化县 翠江镇"</f>
        <v>福建省 三明市 宁化县 翠江镇</v>
      </c>
      <c r="N7383" s="1" t="str">
        <f t="shared" si="2150"/>
        <v>凡华云仓-韵达-抖音</v>
      </c>
      <c r="O7383" s="5">
        <v>320171680687665</v>
      </c>
      <c r="P7383" s="6">
        <v>0.35</v>
      </c>
      <c r="Q7383" s="11">
        <v>2.2999999999999998</v>
      </c>
      <c r="R7383" s="11"/>
      <c r="S7383" s="11"/>
      <c r="T7383" s="11"/>
      <c r="U7383" s="11">
        <f t="shared" si="2141"/>
        <v>2.2999999999999998</v>
      </c>
      <c r="W7383">
        <v>2.5</v>
      </c>
      <c r="X7383" s="1" t="s">
        <v>24</v>
      </c>
    </row>
    <row r="7384" spans="1:24" x14ac:dyDescent="0.25">
      <c r="A7384" s="1" t="str">
        <f t="shared" si="2143"/>
        <v>卡卡杜-凤凰仓</v>
      </c>
      <c r="B7384" s="1" t="str">
        <f>"CK2024101413638"</f>
        <v>CK2024101413638</v>
      </c>
      <c r="C7384" s="1" t="str">
        <f>"DD2024101461379"</f>
        <v>DD2024101461379</v>
      </c>
      <c r="D7384" s="1" t="str">
        <f>"CK2024101461849"</f>
        <v>CK2024101461849</v>
      </c>
      <c r="E7384" s="1" t="str">
        <f>"6934991459620689276"</f>
        <v>6934991459620689276</v>
      </c>
      <c r="F7384" s="1" t="str">
        <f t="shared" si="2144"/>
        <v>花都四部-凤凰仓</v>
      </c>
      <c r="G7384" s="1" t="str">
        <f t="shared" si="2149"/>
        <v>卡卡杜个人护理店（抖店）</v>
      </c>
      <c r="H7384" s="1" t="str">
        <f t="shared" si="2145"/>
        <v>正常订单</v>
      </c>
      <c r="I7384" s="1" t="str">
        <f t="shared" si="2146"/>
        <v>已发货</v>
      </c>
      <c r="J7384" s="1" t="str">
        <f t="shared" si="2151"/>
        <v>3</v>
      </c>
      <c r="K7384" s="1">
        <v>2</v>
      </c>
      <c r="L7384" s="1" t="s">
        <v>30</v>
      </c>
      <c r="M7384" s="1" t="str">
        <f>"山东省 威海市 环翠区 张村镇"</f>
        <v>山东省 威海市 环翠区 张村镇</v>
      </c>
      <c r="N7384" s="1" t="str">
        <f t="shared" si="2150"/>
        <v>凡华云仓-韵达-抖音</v>
      </c>
      <c r="O7384" s="5">
        <v>320171680687566</v>
      </c>
      <c r="P7384" s="6">
        <v>0.35</v>
      </c>
      <c r="Q7384" s="11">
        <v>2.2999999999999998</v>
      </c>
      <c r="R7384" s="11"/>
      <c r="S7384" s="11"/>
      <c r="T7384" s="11"/>
      <c r="U7384" s="11">
        <f t="shared" si="2141"/>
        <v>2.2999999999999998</v>
      </c>
      <c r="W7384">
        <v>2.5</v>
      </c>
      <c r="X7384" s="1" t="s">
        <v>30</v>
      </c>
    </row>
    <row r="7385" spans="1:24" x14ac:dyDescent="0.25">
      <c r="A7385" s="1" t="str">
        <f t="shared" si="2143"/>
        <v>卡卡杜-凤凰仓</v>
      </c>
      <c r="B7385" s="1" t="str">
        <f>"CK2024101413630"</f>
        <v>CK2024101413630</v>
      </c>
      <c r="C7385" s="1" t="str">
        <f>"DD2024101461373"</f>
        <v>DD2024101461373</v>
      </c>
      <c r="D7385" s="1" t="str">
        <f>"CK2024101461848"</f>
        <v>CK2024101461848</v>
      </c>
      <c r="E7385" s="1" t="str">
        <f>"6935000310555809474"</f>
        <v>6935000310555809474</v>
      </c>
      <c r="F7385" s="1" t="str">
        <f t="shared" si="2144"/>
        <v>花都四部-凤凰仓</v>
      </c>
      <c r="G7385" s="1" t="str">
        <f t="shared" si="2149"/>
        <v>卡卡杜个人护理店（抖店）</v>
      </c>
      <c r="H7385" s="1" t="str">
        <f t="shared" si="2145"/>
        <v>正常订单</v>
      </c>
      <c r="I7385" s="1" t="str">
        <f t="shared" si="2146"/>
        <v>已发货</v>
      </c>
      <c r="J7385" s="1" t="str">
        <f t="shared" si="2151"/>
        <v>3</v>
      </c>
      <c r="K7385" s="1">
        <v>2</v>
      </c>
      <c r="L7385" s="1" t="s">
        <v>105</v>
      </c>
      <c r="M7385" s="1" t="str">
        <f>"北京 北京市 密云区 "</f>
        <v xml:space="preserve">北京 北京市 密云区 </v>
      </c>
      <c r="N7385" s="1" t="str">
        <f t="shared" si="2150"/>
        <v>凡华云仓-韵达-抖音</v>
      </c>
      <c r="O7385" s="5">
        <v>320171680687469</v>
      </c>
      <c r="P7385" s="6">
        <v>0.35</v>
      </c>
      <c r="Q7385" s="11">
        <v>2.2999999999999998</v>
      </c>
      <c r="R7385" s="11"/>
      <c r="S7385" s="11"/>
      <c r="T7385" s="11"/>
      <c r="U7385" s="11">
        <f t="shared" si="2141"/>
        <v>2.2999999999999998</v>
      </c>
      <c r="W7385">
        <v>2.5</v>
      </c>
      <c r="X7385" s="1" t="s">
        <v>105</v>
      </c>
    </row>
    <row r="7386" spans="1:24" x14ac:dyDescent="0.25">
      <c r="A7386" s="1" t="str">
        <f t="shared" si="2143"/>
        <v>卡卡杜-凤凰仓</v>
      </c>
      <c r="B7386" s="1" t="str">
        <f>"CK2024101413637"</f>
        <v>CK2024101413637</v>
      </c>
      <c r="C7386" s="1" t="str">
        <f>"DD2024101461378"</f>
        <v>DD2024101461378</v>
      </c>
      <c r="D7386" s="1" t="str">
        <f>"CK2024101461842"</f>
        <v>CK2024101461842</v>
      </c>
      <c r="E7386" s="1" t="str">
        <f>"6934984696689595498"</f>
        <v>6934984696689595498</v>
      </c>
      <c r="F7386" s="1" t="str">
        <f t="shared" si="2144"/>
        <v>花都四部-凤凰仓</v>
      </c>
      <c r="G7386" s="1" t="str">
        <f t="shared" si="2149"/>
        <v>卡卡杜个人护理店（抖店）</v>
      </c>
      <c r="H7386" s="1" t="str">
        <f t="shared" si="2145"/>
        <v>正常订单</v>
      </c>
      <c r="I7386" s="1" t="str">
        <f t="shared" si="2146"/>
        <v>已发货</v>
      </c>
      <c r="J7386" s="1" t="str">
        <f t="shared" si="2151"/>
        <v>3</v>
      </c>
      <c r="K7386" s="1">
        <v>2</v>
      </c>
      <c r="L7386" s="1" t="s">
        <v>74</v>
      </c>
      <c r="M7386" s="1" t="str">
        <f>"上海 上海市 浦东新区 高桥镇"</f>
        <v>上海 上海市 浦东新区 高桥镇</v>
      </c>
      <c r="N7386" s="1" t="str">
        <f t="shared" si="2150"/>
        <v>凡华云仓-韵达-抖音</v>
      </c>
      <c r="O7386" s="5">
        <v>320171687848162</v>
      </c>
      <c r="P7386" s="6">
        <v>0.35</v>
      </c>
      <c r="Q7386" s="11">
        <v>2.2999999999999998</v>
      </c>
      <c r="R7386" s="11"/>
      <c r="S7386" s="11"/>
      <c r="T7386" s="11"/>
      <c r="U7386" s="11">
        <f t="shared" si="2141"/>
        <v>2.2999999999999998</v>
      </c>
      <c r="W7386">
        <v>2.5</v>
      </c>
      <c r="X7386" s="1" t="s">
        <v>74</v>
      </c>
    </row>
    <row r="7387" spans="1:24" x14ac:dyDescent="0.25">
      <c r="A7387" s="1" t="str">
        <f t="shared" si="2143"/>
        <v>卡卡杜-凤凰仓</v>
      </c>
      <c r="B7387" s="1" t="str">
        <f>"CK2024101413639"</f>
        <v>CK2024101413639</v>
      </c>
      <c r="C7387" s="1" t="str">
        <f>"DD2024101461381"</f>
        <v>DD2024101461381</v>
      </c>
      <c r="D7387" s="1" t="str">
        <f>"CK2024101461841"</f>
        <v>CK2024101461841</v>
      </c>
      <c r="E7387" s="1" t="str">
        <f>"6934977979211782008"</f>
        <v>6934977979211782008</v>
      </c>
      <c r="F7387" s="1" t="str">
        <f t="shared" si="2144"/>
        <v>花都四部-凤凰仓</v>
      </c>
      <c r="G7387" s="1" t="str">
        <f t="shared" si="2149"/>
        <v>卡卡杜个人护理店（抖店）</v>
      </c>
      <c r="H7387" s="1" t="str">
        <f t="shared" si="2145"/>
        <v>正常订单</v>
      </c>
      <c r="I7387" s="1" t="str">
        <f t="shared" si="2146"/>
        <v>已发货</v>
      </c>
      <c r="J7387" s="1" t="str">
        <f t="shared" si="2151"/>
        <v>3</v>
      </c>
      <c r="K7387" s="1">
        <v>2</v>
      </c>
      <c r="L7387" s="1" t="s">
        <v>96</v>
      </c>
      <c r="M7387" s="1" t="str">
        <f>"广西壮族自治区 南宁市 上林县 明亮镇"</f>
        <v>广西壮族自治区 南宁市 上林县 明亮镇</v>
      </c>
      <c r="N7387" s="1" t="str">
        <f t="shared" si="2150"/>
        <v>凡华云仓-韵达-抖音</v>
      </c>
      <c r="O7387" s="5">
        <v>320171687848073</v>
      </c>
      <c r="P7387" s="6">
        <v>0.35</v>
      </c>
      <c r="Q7387" s="11">
        <v>2.2999999999999998</v>
      </c>
      <c r="R7387" s="11"/>
      <c r="S7387" s="11"/>
      <c r="T7387" s="11"/>
      <c r="U7387" s="11">
        <f t="shared" si="2141"/>
        <v>2.2999999999999998</v>
      </c>
      <c r="W7387">
        <v>2.5</v>
      </c>
      <c r="X7387" s="1" t="s">
        <v>96</v>
      </c>
    </row>
    <row r="7388" spans="1:24" x14ac:dyDescent="0.25">
      <c r="A7388" s="1" t="str">
        <f t="shared" si="2143"/>
        <v>卡卡杜-凤凰仓</v>
      </c>
      <c r="B7388" s="1" t="str">
        <f>"CK2024101413632"</f>
        <v>CK2024101413632</v>
      </c>
      <c r="C7388" s="1" t="str">
        <f>"DD2024101461372"</f>
        <v>DD2024101461372</v>
      </c>
      <c r="D7388" s="1" t="str">
        <f>"CK2024101461840"</f>
        <v>CK2024101461840</v>
      </c>
      <c r="E7388" s="1" t="str">
        <f>"6934977884392330958"</f>
        <v>6934977884392330958</v>
      </c>
      <c r="F7388" s="1" t="str">
        <f t="shared" si="2144"/>
        <v>花都四部-凤凰仓</v>
      </c>
      <c r="G7388" s="1" t="str">
        <f t="shared" si="2149"/>
        <v>卡卡杜个人护理店（抖店）</v>
      </c>
      <c r="H7388" s="1" t="str">
        <f t="shared" si="2145"/>
        <v>正常订单</v>
      </c>
      <c r="I7388" s="1" t="str">
        <f t="shared" si="2146"/>
        <v>已发货</v>
      </c>
      <c r="J7388" s="1" t="str">
        <f t="shared" si="2151"/>
        <v>3</v>
      </c>
      <c r="K7388" s="1">
        <v>2</v>
      </c>
      <c r="L7388" s="1" t="s">
        <v>22</v>
      </c>
      <c r="M7388" s="1" t="str">
        <f>"江西省 抚州市 临川区 "</f>
        <v xml:space="preserve">江西省 抚州市 临川区 </v>
      </c>
      <c r="N7388" s="1" t="str">
        <f t="shared" si="2150"/>
        <v>凡华云仓-韵达-抖音</v>
      </c>
      <c r="O7388" s="5">
        <v>320171687847943</v>
      </c>
      <c r="P7388" s="6">
        <v>0.35</v>
      </c>
      <c r="Q7388" s="11">
        <v>2.2999999999999998</v>
      </c>
      <c r="R7388" s="11"/>
      <c r="S7388" s="11"/>
      <c r="T7388" s="11"/>
      <c r="U7388" s="11">
        <f t="shared" si="2141"/>
        <v>2.2999999999999998</v>
      </c>
      <c r="W7388">
        <v>2.5</v>
      </c>
      <c r="X7388" s="1" t="s">
        <v>22</v>
      </c>
    </row>
    <row r="7389" spans="1:24" x14ac:dyDescent="0.25">
      <c r="A7389" s="1" t="str">
        <f t="shared" si="2143"/>
        <v>卡卡杜-凤凰仓</v>
      </c>
      <c r="B7389" s="1" t="str">
        <f>"CK2024101413642"</f>
        <v>CK2024101413642</v>
      </c>
      <c r="C7389" s="1" t="str">
        <f>"DD2024101461382"</f>
        <v>DD2024101461382</v>
      </c>
      <c r="D7389" s="1" t="str">
        <f>"CK2024101461836"</f>
        <v>CK2024101461836</v>
      </c>
      <c r="E7389" s="1" t="str">
        <f>"6934989251725301126"</f>
        <v>6934989251725301126</v>
      </c>
      <c r="F7389" s="1" t="str">
        <f t="shared" si="2144"/>
        <v>花都四部-凤凰仓</v>
      </c>
      <c r="G7389" s="1" t="str">
        <f t="shared" si="2149"/>
        <v>卡卡杜个人护理店（抖店）</v>
      </c>
      <c r="H7389" s="1" t="str">
        <f t="shared" si="2145"/>
        <v>正常订单</v>
      </c>
      <c r="I7389" s="1" t="str">
        <f t="shared" si="2146"/>
        <v>已发货</v>
      </c>
      <c r="J7389" s="1" t="str">
        <f t="shared" si="2151"/>
        <v>3</v>
      </c>
      <c r="K7389" s="1">
        <v>2</v>
      </c>
      <c r="L7389" s="1" t="s">
        <v>18</v>
      </c>
      <c r="M7389" s="1" t="str">
        <f>"广东省 广州市 白云区 黄石街道"</f>
        <v>广东省 广州市 白云区 黄石街道</v>
      </c>
      <c r="N7389" s="1" t="str">
        <f t="shared" si="2150"/>
        <v>凡华云仓-韵达-抖音</v>
      </c>
      <c r="O7389" s="5">
        <v>320171687847535</v>
      </c>
      <c r="P7389" s="6">
        <v>0.35</v>
      </c>
      <c r="Q7389" s="11">
        <v>2.2999999999999998</v>
      </c>
      <c r="R7389" s="11"/>
      <c r="S7389" s="11"/>
      <c r="T7389" s="11"/>
      <c r="U7389" s="11">
        <f t="shared" si="2141"/>
        <v>2.2999999999999998</v>
      </c>
      <c r="W7389">
        <v>2.5</v>
      </c>
      <c r="X7389" s="1" t="s">
        <v>18</v>
      </c>
    </row>
    <row r="7390" spans="1:24" x14ac:dyDescent="0.25">
      <c r="A7390" s="1" t="str">
        <f t="shared" si="2143"/>
        <v>卡卡杜-凤凰仓</v>
      </c>
      <c r="B7390" s="1" t="str">
        <f>"CK2024101719372"</f>
        <v>CK2024101719372</v>
      </c>
      <c r="C7390" s="1" t="str">
        <f>"DD2024101728306"</f>
        <v>DD2024101728306</v>
      </c>
      <c r="D7390" s="1" t="str">
        <f>"CK2024101727571"</f>
        <v>CK2024101727571</v>
      </c>
      <c r="E7390" s="1" t="str">
        <f>"KKD20241017YP009"</f>
        <v>KKD20241017YP009</v>
      </c>
      <c r="F7390" s="1" t="str">
        <f t="shared" si="2144"/>
        <v>花都四部-凤凰仓</v>
      </c>
      <c r="G7390" s="1" t="str">
        <f t="shared" ref="G7390:G7404" si="2152">"卡卡杜全欣样品"</f>
        <v>卡卡杜全欣样品</v>
      </c>
      <c r="H7390" s="1" t="str">
        <f t="shared" si="2145"/>
        <v>正常订单</v>
      </c>
      <c r="I7390" s="1" t="str">
        <f t="shared" si="2146"/>
        <v>已发货</v>
      </c>
      <c r="J7390" s="1" t="str">
        <f t="shared" ref="J7390:J7396" si="2153">"4"</f>
        <v>4</v>
      </c>
      <c r="K7390" s="1">
        <v>3</v>
      </c>
      <c r="L7390" s="1" t="s">
        <v>20</v>
      </c>
      <c r="M7390" s="1" t="str">
        <f>"浙江省 衢州市 柯城区 "</f>
        <v xml:space="preserve">浙江省 衢州市 柯城区 </v>
      </c>
      <c r="N7390" s="1" t="str">
        <f>"凡华云仓-韵达-淘宝"</f>
        <v>凡华云仓-韵达-淘宝</v>
      </c>
      <c r="O7390" s="3">
        <v>434195096836870</v>
      </c>
      <c r="P7390" s="6">
        <v>0.57999999999999996</v>
      </c>
      <c r="Q7390" s="11">
        <f t="shared" ref="Q7390:Q7398" si="2154">CEILING(P7390-0.5,0.1)*10*0.15+2.3</f>
        <v>2.4499999999999997</v>
      </c>
      <c r="R7390" s="11"/>
      <c r="S7390" s="11">
        <v>0.15</v>
      </c>
      <c r="T7390" s="11"/>
      <c r="U7390" s="11">
        <f t="shared" si="2141"/>
        <v>2.5999999999999996</v>
      </c>
      <c r="V7390" t="s">
        <v>15</v>
      </c>
      <c r="W7390">
        <v>2.6</v>
      </c>
      <c r="X7390" s="1" t="s">
        <v>20</v>
      </c>
    </row>
    <row r="7391" spans="1:24" x14ac:dyDescent="0.25">
      <c r="A7391" s="1" t="str">
        <f t="shared" si="2143"/>
        <v>卡卡杜-凤凰仓</v>
      </c>
      <c r="B7391" s="1" t="str">
        <f>"CK2024101719375"</f>
        <v>CK2024101719375</v>
      </c>
      <c r="C7391" s="1" t="str">
        <f>"DD2024101728309"</f>
        <v>DD2024101728309</v>
      </c>
      <c r="D7391" s="1" t="str">
        <f>"CK2024101727572"</f>
        <v>CK2024101727572</v>
      </c>
      <c r="E7391" s="1" t="str">
        <f>"KKD20241017YP003"</f>
        <v>KKD20241017YP003</v>
      </c>
      <c r="F7391" s="1" t="str">
        <f t="shared" si="2144"/>
        <v>花都四部-凤凰仓</v>
      </c>
      <c r="G7391" s="1" t="str">
        <f t="shared" si="2152"/>
        <v>卡卡杜全欣样品</v>
      </c>
      <c r="H7391" s="1" t="str">
        <f t="shared" si="2145"/>
        <v>正常订单</v>
      </c>
      <c r="I7391" s="1" t="str">
        <f t="shared" si="2146"/>
        <v>已发货</v>
      </c>
      <c r="J7391" s="1" t="str">
        <f t="shared" si="2153"/>
        <v>4</v>
      </c>
      <c r="K7391" s="1">
        <v>3</v>
      </c>
      <c r="L7391" s="1" t="s">
        <v>13</v>
      </c>
      <c r="M7391" s="1" t="str">
        <f>"江苏省 南京市 栖霞区 "</f>
        <v xml:space="preserve">江苏省 南京市 栖霞区 </v>
      </c>
      <c r="N7391" s="1" t="str">
        <f>"凡华云仓-韵达-淘宝"</f>
        <v>凡华云仓-韵达-淘宝</v>
      </c>
      <c r="O7391" s="3">
        <v>434195096836964</v>
      </c>
      <c r="P7391" s="6">
        <v>0.57999999999999996</v>
      </c>
      <c r="Q7391" s="11">
        <f t="shared" si="2154"/>
        <v>2.4499999999999997</v>
      </c>
      <c r="R7391" s="11"/>
      <c r="S7391" s="11">
        <v>0.15</v>
      </c>
      <c r="T7391" s="11"/>
      <c r="U7391" s="11">
        <f t="shared" si="2141"/>
        <v>2.5999999999999996</v>
      </c>
      <c r="V7391" t="s">
        <v>15</v>
      </c>
      <c r="W7391">
        <v>2.6</v>
      </c>
      <c r="X7391" s="1" t="s">
        <v>13</v>
      </c>
    </row>
    <row r="7392" spans="1:24" x14ac:dyDescent="0.25">
      <c r="A7392" s="1" t="str">
        <f t="shared" si="2143"/>
        <v>卡卡杜-凤凰仓</v>
      </c>
      <c r="B7392" s="1" t="str">
        <f>"CK2024101819291"</f>
        <v>CK2024101819291</v>
      </c>
      <c r="C7392" s="1" t="str">
        <f>"DD2024101840471"</f>
        <v>DD2024101840471</v>
      </c>
      <c r="D7392" s="1" t="str">
        <f>"CK2024101837815"</f>
        <v>CK2024101837815</v>
      </c>
      <c r="E7392" s="1" t="str">
        <f>"KKD20241018YP011"</f>
        <v>KKD20241018YP011</v>
      </c>
      <c r="F7392" s="1" t="str">
        <f t="shared" si="2144"/>
        <v>花都四部-凤凰仓</v>
      </c>
      <c r="G7392" s="1" t="str">
        <f t="shared" si="2152"/>
        <v>卡卡杜全欣样品</v>
      </c>
      <c r="H7392" s="1" t="str">
        <f t="shared" si="2145"/>
        <v>正常订单</v>
      </c>
      <c r="I7392" s="1" t="str">
        <f t="shared" si="2146"/>
        <v>已发货</v>
      </c>
      <c r="J7392" s="1" t="str">
        <f t="shared" si="2153"/>
        <v>4</v>
      </c>
      <c r="K7392" s="1">
        <v>3</v>
      </c>
      <c r="L7392" s="1" t="s">
        <v>32</v>
      </c>
      <c r="M7392" s="1" t="str">
        <f>"陕西省 榆林市 榆阳区 "</f>
        <v xml:space="preserve">陕西省 榆林市 榆阳区 </v>
      </c>
      <c r="N7392" s="1" t="str">
        <f>"凡华云仓-韵达-淘宝"</f>
        <v>凡华云仓-韵达-淘宝</v>
      </c>
      <c r="O7392" s="3">
        <v>434196885357515</v>
      </c>
      <c r="P7392" s="6">
        <v>0.57999999999999996</v>
      </c>
      <c r="Q7392" s="11">
        <f t="shared" si="2154"/>
        <v>2.4499999999999997</v>
      </c>
      <c r="R7392" s="11"/>
      <c r="S7392" s="11">
        <v>0.15</v>
      </c>
      <c r="T7392" s="11"/>
      <c r="U7392" s="11">
        <f t="shared" si="2141"/>
        <v>2.5999999999999996</v>
      </c>
      <c r="V7392" t="s">
        <v>15</v>
      </c>
      <c r="W7392">
        <v>2.6</v>
      </c>
      <c r="X7392" s="1" t="s">
        <v>32</v>
      </c>
    </row>
    <row r="7393" spans="1:24" x14ac:dyDescent="0.25">
      <c r="A7393" s="1" t="str">
        <f t="shared" si="2143"/>
        <v>卡卡杜-凤凰仓</v>
      </c>
      <c r="B7393" s="1" t="str">
        <f>"CK2024101926410"</f>
        <v>CK2024101926410</v>
      </c>
      <c r="C7393" s="1" t="str">
        <f>"DD2024101961331"</f>
        <v>DD2024101961331</v>
      </c>
      <c r="D7393" s="1" t="str">
        <f>"CK2024101948980"</f>
        <v>CK2024101948980</v>
      </c>
      <c r="E7393" s="1" t="str">
        <f>"KKD20241019YP002"</f>
        <v>KKD20241019YP002</v>
      </c>
      <c r="F7393" s="1" t="str">
        <f t="shared" si="2144"/>
        <v>花都四部-凤凰仓</v>
      </c>
      <c r="G7393" s="1" t="str">
        <f t="shared" si="2152"/>
        <v>卡卡杜全欣样品</v>
      </c>
      <c r="H7393" s="1" t="str">
        <f t="shared" si="2145"/>
        <v>正常订单</v>
      </c>
      <c r="I7393" s="1" t="str">
        <f t="shared" si="2146"/>
        <v>已发货</v>
      </c>
      <c r="J7393" s="1" t="str">
        <f t="shared" si="2153"/>
        <v>4</v>
      </c>
      <c r="K7393" s="1">
        <v>3</v>
      </c>
      <c r="L7393" s="1" t="s">
        <v>47</v>
      </c>
      <c r="M7393" s="1" t="str">
        <f>"重庆 重庆市 大渡口区 "</f>
        <v xml:space="preserve">重庆 重庆市 大渡口区 </v>
      </c>
      <c r="N7393" s="1" t="str">
        <f>"凡华云仓-城南圆通-淘宝"</f>
        <v>凡华云仓-城南圆通-淘宝</v>
      </c>
      <c r="O7393" s="3" t="s">
        <v>5667</v>
      </c>
      <c r="P7393" s="6">
        <v>0.57999999999999996</v>
      </c>
      <c r="Q7393" s="11">
        <f t="shared" si="2154"/>
        <v>2.4499999999999997</v>
      </c>
      <c r="R7393" s="11"/>
      <c r="S7393" s="11">
        <v>0.15</v>
      </c>
      <c r="T7393" s="11"/>
      <c r="U7393" s="11">
        <f t="shared" si="2141"/>
        <v>2.5999999999999996</v>
      </c>
      <c r="V7393" t="s">
        <v>15</v>
      </c>
      <c r="W7393">
        <v>2.6</v>
      </c>
      <c r="X7393" s="1" t="s">
        <v>47</v>
      </c>
    </row>
    <row r="7394" spans="1:24" x14ac:dyDescent="0.25">
      <c r="A7394" s="1" t="str">
        <f t="shared" si="2143"/>
        <v>卡卡杜-凤凰仓</v>
      </c>
      <c r="B7394" s="1" t="str">
        <f>"CK2024102025765"</f>
        <v>CK2024102025765</v>
      </c>
      <c r="C7394" s="1" t="str">
        <f>"DD2024102046485"</f>
        <v>DD2024102046485</v>
      </c>
      <c r="D7394" s="1" t="str">
        <f>"CK2024102046058"</f>
        <v>CK2024102046058</v>
      </c>
      <c r="E7394" s="1" t="str">
        <f>"KKD202401020YP001"</f>
        <v>KKD202401020YP001</v>
      </c>
      <c r="F7394" s="1" t="str">
        <f t="shared" si="2144"/>
        <v>花都四部-凤凰仓</v>
      </c>
      <c r="G7394" s="1" t="str">
        <f t="shared" si="2152"/>
        <v>卡卡杜全欣样品</v>
      </c>
      <c r="H7394" s="1" t="str">
        <f t="shared" si="2145"/>
        <v>正常订单</v>
      </c>
      <c r="I7394" s="1" t="str">
        <f t="shared" si="2146"/>
        <v>已发货</v>
      </c>
      <c r="J7394" s="1" t="str">
        <f t="shared" si="2153"/>
        <v>4</v>
      </c>
      <c r="K7394" s="1">
        <v>3</v>
      </c>
      <c r="L7394" s="1" t="s">
        <v>41</v>
      </c>
      <c r="M7394" s="1" t="str">
        <f>"湖北省 武汉市 江夏区 "</f>
        <v xml:space="preserve">湖北省 武汉市 江夏区 </v>
      </c>
      <c r="N7394" s="1" t="str">
        <f>"凡华云仓-城南圆通-淘宝"</f>
        <v>凡华云仓-城南圆通-淘宝</v>
      </c>
      <c r="O7394" s="3" t="s">
        <v>5668</v>
      </c>
      <c r="P7394" s="6">
        <v>0.57999999999999996</v>
      </c>
      <c r="Q7394" s="11">
        <f t="shared" si="2154"/>
        <v>2.4499999999999997</v>
      </c>
      <c r="R7394" s="11"/>
      <c r="S7394" s="11">
        <v>0.15</v>
      </c>
      <c r="T7394" s="11"/>
      <c r="U7394" s="11">
        <f t="shared" si="2141"/>
        <v>2.5999999999999996</v>
      </c>
      <c r="V7394" t="s">
        <v>15</v>
      </c>
      <c r="W7394">
        <v>2.6</v>
      </c>
      <c r="X7394" s="1" t="s">
        <v>41</v>
      </c>
    </row>
    <row r="7395" spans="1:24" x14ac:dyDescent="0.25">
      <c r="A7395" s="1" t="str">
        <f t="shared" si="2143"/>
        <v>卡卡杜-凤凰仓</v>
      </c>
      <c r="B7395" s="1" t="str">
        <f>"CK2024102025757"</f>
        <v>CK2024102025757</v>
      </c>
      <c r="C7395" s="1" t="str">
        <f>"DD2024102046476"</f>
        <v>DD2024102046476</v>
      </c>
      <c r="D7395" s="1" t="str">
        <f>"CK2024102046066"</f>
        <v>CK2024102046066</v>
      </c>
      <c r="E7395" s="1" t="str">
        <f>"KKD202401020YP009"</f>
        <v>KKD202401020YP009</v>
      </c>
      <c r="F7395" s="1" t="str">
        <f t="shared" si="2144"/>
        <v>花都四部-凤凰仓</v>
      </c>
      <c r="G7395" s="1" t="str">
        <f t="shared" si="2152"/>
        <v>卡卡杜全欣样品</v>
      </c>
      <c r="H7395" s="1" t="str">
        <f t="shared" si="2145"/>
        <v>正常订单</v>
      </c>
      <c r="I7395" s="1" t="str">
        <f t="shared" si="2146"/>
        <v>已发货</v>
      </c>
      <c r="J7395" s="1" t="str">
        <f t="shared" si="2153"/>
        <v>4</v>
      </c>
      <c r="K7395" s="1">
        <v>3</v>
      </c>
      <c r="L7395" s="1" t="s">
        <v>18</v>
      </c>
      <c r="M7395" s="1" t="str">
        <f>"广东省 佛山市 禅城区 "</f>
        <v xml:space="preserve">广东省 佛山市 禅城区 </v>
      </c>
      <c r="N7395" s="1" t="str">
        <f>"凡华云仓-城南圆通-淘宝"</f>
        <v>凡华云仓-城南圆通-淘宝</v>
      </c>
      <c r="O7395" s="3" t="s">
        <v>5669</v>
      </c>
      <c r="P7395" s="6">
        <v>0.57999999999999996</v>
      </c>
      <c r="Q7395" s="11">
        <f t="shared" si="2154"/>
        <v>2.4499999999999997</v>
      </c>
      <c r="R7395" s="11"/>
      <c r="S7395" s="11">
        <v>0.15</v>
      </c>
      <c r="T7395" s="11"/>
      <c r="U7395" s="11">
        <f t="shared" si="2141"/>
        <v>2.5999999999999996</v>
      </c>
      <c r="V7395" t="s">
        <v>15</v>
      </c>
      <c r="W7395">
        <v>2.6</v>
      </c>
      <c r="X7395" s="1" t="s">
        <v>18</v>
      </c>
    </row>
    <row r="7396" spans="1:24" x14ac:dyDescent="0.25">
      <c r="A7396" s="1" t="str">
        <f t="shared" si="2143"/>
        <v>卡卡杜-凤凰仓</v>
      </c>
      <c r="B7396" s="1" t="str">
        <f>"CK2024102120336"</f>
        <v>CK2024102120336</v>
      </c>
      <c r="C7396" s="1" t="str">
        <f>"DD2024102153394"</f>
        <v>DD2024102153394</v>
      </c>
      <c r="D7396" s="1" t="str">
        <f>"CK2024102150346"</f>
        <v>CK2024102150346</v>
      </c>
      <c r="E7396" s="1" t="str">
        <f>"KKD20241021YP015"</f>
        <v>KKD20241021YP015</v>
      </c>
      <c r="F7396" s="1" t="str">
        <f t="shared" si="2144"/>
        <v>花都四部-凤凰仓</v>
      </c>
      <c r="G7396" s="1" t="str">
        <f t="shared" si="2152"/>
        <v>卡卡杜全欣样品</v>
      </c>
      <c r="H7396" s="1" t="str">
        <f t="shared" si="2145"/>
        <v>正常订单</v>
      </c>
      <c r="I7396" s="1" t="str">
        <f t="shared" si="2146"/>
        <v>已发货</v>
      </c>
      <c r="J7396" s="1" t="str">
        <f t="shared" si="2153"/>
        <v>4</v>
      </c>
      <c r="K7396" s="1">
        <v>3</v>
      </c>
      <c r="L7396" s="1" t="s">
        <v>105</v>
      </c>
      <c r="M7396" s="1" t="str">
        <f>"北京 北京市 平谷区 "</f>
        <v xml:space="preserve">北京 北京市 平谷区 </v>
      </c>
      <c r="N7396" s="1" t="str">
        <f>"凡华云仓-城南圆通-淘宝"</f>
        <v>凡华云仓-城南圆通-淘宝</v>
      </c>
      <c r="O7396" s="3" t="s">
        <v>5670</v>
      </c>
      <c r="P7396" s="6">
        <v>0.57999999999999996</v>
      </c>
      <c r="Q7396" s="11">
        <f t="shared" si="2154"/>
        <v>2.4499999999999997</v>
      </c>
      <c r="R7396" s="11"/>
      <c r="S7396" s="11">
        <v>0.15</v>
      </c>
      <c r="T7396" s="11"/>
      <c r="U7396" s="11">
        <f t="shared" si="2141"/>
        <v>2.5999999999999996</v>
      </c>
      <c r="V7396" t="s">
        <v>15</v>
      </c>
      <c r="W7396">
        <v>2.6</v>
      </c>
      <c r="X7396" s="1" t="s">
        <v>105</v>
      </c>
    </row>
    <row r="7397" spans="1:24" x14ac:dyDescent="0.25">
      <c r="A7397" s="1" t="str">
        <f t="shared" si="2143"/>
        <v>卡卡杜-凤凰仓</v>
      </c>
      <c r="B7397" s="1" t="str">
        <f>"CK2024100518321"</f>
        <v>CK2024100518321</v>
      </c>
      <c r="C7397" s="1" t="str">
        <f>"DD2024100549471"</f>
        <v>DD2024100549471</v>
      </c>
      <c r="D7397" s="1" t="str">
        <f>"CK2024100542720"</f>
        <v>CK2024100542720</v>
      </c>
      <c r="E7397" s="1" t="str">
        <f>"KKD20240105YP007"</f>
        <v>KKD20240105YP007</v>
      </c>
      <c r="F7397" s="1" t="str">
        <f t="shared" si="2144"/>
        <v>花都四部-凤凰仓</v>
      </c>
      <c r="G7397" s="1" t="str">
        <f t="shared" si="2152"/>
        <v>卡卡杜全欣样品</v>
      </c>
      <c r="H7397" s="1" t="str">
        <f t="shared" si="2145"/>
        <v>正常订单</v>
      </c>
      <c r="I7397" s="1" t="str">
        <f t="shared" si="2146"/>
        <v>已发货</v>
      </c>
      <c r="J7397" s="1" t="str">
        <f>"7"</f>
        <v>7</v>
      </c>
      <c r="K7397" s="1">
        <v>5</v>
      </c>
      <c r="L7397" s="1" t="s">
        <v>18</v>
      </c>
      <c r="M7397" s="1" t="str">
        <f>"广东省 广州市 白云区 "</f>
        <v xml:space="preserve">广东省 广州市 白云区 </v>
      </c>
      <c r="N7397" s="1" t="str">
        <f>"凡华云仓-韵达-淘宝"</f>
        <v>凡华云仓-韵达-淘宝</v>
      </c>
      <c r="O7397" s="3">
        <v>434170734328134</v>
      </c>
      <c r="P7397" s="6">
        <v>0.95</v>
      </c>
      <c r="Q7397" s="11">
        <f t="shared" si="2154"/>
        <v>3.05</v>
      </c>
      <c r="R7397" s="11">
        <f>(K7397-3)*0.1</f>
        <v>0.2</v>
      </c>
      <c r="S7397" s="11">
        <v>0.15</v>
      </c>
      <c r="T7397" s="11"/>
      <c r="U7397" s="11">
        <f t="shared" si="2141"/>
        <v>3.4</v>
      </c>
      <c r="V7397" t="s">
        <v>15</v>
      </c>
      <c r="W7397">
        <v>3.4</v>
      </c>
      <c r="X7397" s="1" t="s">
        <v>18</v>
      </c>
    </row>
    <row r="7398" spans="1:24" x14ac:dyDescent="0.25">
      <c r="A7398" s="1" t="str">
        <f t="shared" si="2143"/>
        <v>卡卡杜-凤凰仓</v>
      </c>
      <c r="B7398" s="1" t="str">
        <f>"CK2024101413600"</f>
        <v>CK2024101413600</v>
      </c>
      <c r="C7398" s="1" t="str">
        <f>"DD2024101460122"</f>
        <v>DD2024101460122</v>
      </c>
      <c r="D7398" s="1" t="str">
        <f>"CK2024101455074"</f>
        <v>CK2024101455074</v>
      </c>
      <c r="E7398" s="1" t="str">
        <f>"KKD20241014YP017"</f>
        <v>KKD20241014YP017</v>
      </c>
      <c r="F7398" s="1" t="str">
        <f t="shared" si="2144"/>
        <v>花都四部-凤凰仓</v>
      </c>
      <c r="G7398" s="1" t="str">
        <f t="shared" si="2152"/>
        <v>卡卡杜全欣样品</v>
      </c>
      <c r="H7398" s="1" t="str">
        <f t="shared" si="2145"/>
        <v>正常订单</v>
      </c>
      <c r="I7398" s="1" t="str">
        <f t="shared" si="2146"/>
        <v>已发货</v>
      </c>
      <c r="J7398" s="1" t="str">
        <f>"8"</f>
        <v>8</v>
      </c>
      <c r="K7398" s="1">
        <v>6</v>
      </c>
      <c r="L7398" s="1" t="s">
        <v>80</v>
      </c>
      <c r="M7398" s="1" t="str">
        <f>"河南省 郑州市 新郑市 "</f>
        <v xml:space="preserve">河南省 郑州市 新郑市 </v>
      </c>
      <c r="N7398" s="1" t="str">
        <f t="shared" ref="N7398:N7404" si="2155">"凡华云仓-韵达-淘宝"</f>
        <v>凡华云仓-韵达-淘宝</v>
      </c>
      <c r="O7398" s="3">
        <v>434188988823272</v>
      </c>
      <c r="P7398" s="6">
        <v>0.98</v>
      </c>
      <c r="Q7398" s="11">
        <f t="shared" si="2154"/>
        <v>3.05</v>
      </c>
      <c r="R7398" s="11">
        <f t="shared" ref="R7398:R7403" si="2156">(K7398-3)*0.1</f>
        <v>0.30000000000000004</v>
      </c>
      <c r="S7398" s="11">
        <v>0.15</v>
      </c>
      <c r="T7398" s="11"/>
      <c r="U7398" s="11">
        <f t="shared" si="2141"/>
        <v>3.5</v>
      </c>
      <c r="V7398" t="s">
        <v>15</v>
      </c>
      <c r="W7398">
        <v>3.5</v>
      </c>
      <c r="X7398" s="1" t="s">
        <v>80</v>
      </c>
    </row>
    <row r="7399" spans="1:24" x14ac:dyDescent="0.25">
      <c r="A7399" s="1" t="str">
        <f t="shared" si="2143"/>
        <v>卡卡杜-凤凰仓</v>
      </c>
      <c r="B7399" s="1" t="str">
        <f>"CK2024101413602"</f>
        <v>CK2024101413602</v>
      </c>
      <c r="C7399" s="1" t="str">
        <f>"DD2024101460123"</f>
        <v>DD2024101460123</v>
      </c>
      <c r="D7399" s="1" t="str">
        <f>"CK2024101455073"</f>
        <v>CK2024101455073</v>
      </c>
      <c r="E7399" s="1" t="str">
        <f>"KKD20241014YP012"</f>
        <v>KKD20241014YP012</v>
      </c>
      <c r="F7399" s="1" t="str">
        <f t="shared" si="2144"/>
        <v>花都四部-凤凰仓</v>
      </c>
      <c r="G7399" s="1" t="str">
        <f t="shared" si="2152"/>
        <v>卡卡杜全欣样品</v>
      </c>
      <c r="H7399" s="1" t="str">
        <f t="shared" si="2145"/>
        <v>正常订单</v>
      </c>
      <c r="I7399" s="1" t="str">
        <f t="shared" si="2146"/>
        <v>已发货</v>
      </c>
      <c r="J7399" s="1" t="str">
        <f>"32"</f>
        <v>32</v>
      </c>
      <c r="K7399" s="1">
        <v>12</v>
      </c>
      <c r="L7399" s="1" t="s">
        <v>30</v>
      </c>
      <c r="M7399" s="1" t="str">
        <f>"山东省 临沂市 兰山区 "</f>
        <v xml:space="preserve">山东省 临沂市 兰山区 </v>
      </c>
      <c r="N7399" s="1" t="str">
        <f t="shared" si="2155"/>
        <v>凡华云仓-韵达-淘宝</v>
      </c>
      <c r="O7399" s="3">
        <v>434188988823181</v>
      </c>
      <c r="P7399" s="6">
        <v>3.27</v>
      </c>
      <c r="Q7399" s="11">
        <f>ROUNDUP(P7399,0)*VLOOKUP(L:L,'[1]3KG报价'!A:C,3,0)+VLOOKUP(L:L,'[1]3KG报价'!A:B,2,0)+0.8</f>
        <v>14.3</v>
      </c>
      <c r="R7399" s="11">
        <f t="shared" si="2156"/>
        <v>0.9</v>
      </c>
      <c r="S7399" s="11">
        <v>0.15</v>
      </c>
      <c r="T7399" s="11"/>
      <c r="U7399" s="11">
        <f t="shared" si="2141"/>
        <v>15.350000000000001</v>
      </c>
      <c r="V7399" t="s">
        <v>1212</v>
      </c>
      <c r="W7399">
        <v>15.35</v>
      </c>
      <c r="X7399" s="1" t="s">
        <v>30</v>
      </c>
    </row>
    <row r="7400" spans="1:24" x14ac:dyDescent="0.25">
      <c r="A7400" s="1" t="str">
        <f t="shared" si="2143"/>
        <v>卡卡杜-凤凰仓</v>
      </c>
      <c r="B7400" s="1" t="str">
        <f>"CK2024101413604"</f>
        <v>CK2024101413604</v>
      </c>
      <c r="C7400" s="1" t="str">
        <f>"DD2024101460116"</f>
        <v>DD2024101460116</v>
      </c>
      <c r="D7400" s="1" t="str">
        <f>"CK2024101455072"</f>
        <v>CK2024101455072</v>
      </c>
      <c r="E7400" s="1" t="str">
        <f>"KKD20241014YP009"</f>
        <v>KKD20241014YP009</v>
      </c>
      <c r="F7400" s="1" t="str">
        <f t="shared" si="2144"/>
        <v>花都四部-凤凰仓</v>
      </c>
      <c r="G7400" s="1" t="str">
        <f t="shared" si="2152"/>
        <v>卡卡杜全欣样品</v>
      </c>
      <c r="H7400" s="1" t="str">
        <f t="shared" si="2145"/>
        <v>正常订单</v>
      </c>
      <c r="I7400" s="1" t="str">
        <f t="shared" si="2146"/>
        <v>已发货</v>
      </c>
      <c r="J7400" s="1" t="str">
        <f>"10"</f>
        <v>10</v>
      </c>
      <c r="K7400" s="1">
        <v>7</v>
      </c>
      <c r="L7400" s="1" t="s">
        <v>94</v>
      </c>
      <c r="M7400" s="1" t="str">
        <f>"湖南省 邵阳市 隆回县 "</f>
        <v xml:space="preserve">湖南省 邵阳市 隆回县 </v>
      </c>
      <c r="N7400" s="1" t="str">
        <f t="shared" si="2155"/>
        <v>凡华云仓-韵达-淘宝</v>
      </c>
      <c r="O7400" s="3">
        <v>434188988823090</v>
      </c>
      <c r="P7400" s="6">
        <v>1.0900000000000001</v>
      </c>
      <c r="Q7400" s="11">
        <f>CEILING(P7400-0.5,0.1)*10*0.15+2.3</f>
        <v>3.2</v>
      </c>
      <c r="R7400" s="11">
        <f t="shared" si="2156"/>
        <v>0.4</v>
      </c>
      <c r="S7400" s="11">
        <v>0.15</v>
      </c>
      <c r="T7400" s="11"/>
      <c r="U7400" s="11">
        <f t="shared" si="2141"/>
        <v>3.75</v>
      </c>
      <c r="V7400" t="s">
        <v>15</v>
      </c>
      <c r="W7400">
        <v>3.75</v>
      </c>
      <c r="X7400" s="1" t="s">
        <v>94</v>
      </c>
    </row>
    <row r="7401" spans="1:24" x14ac:dyDescent="0.25">
      <c r="A7401" s="1" t="str">
        <f t="shared" si="2143"/>
        <v>卡卡杜-凤凰仓</v>
      </c>
      <c r="B7401" s="1" t="str">
        <f>"CK2024101413603"</f>
        <v>CK2024101413603</v>
      </c>
      <c r="C7401" s="1" t="str">
        <f>"DD2024101460121"</f>
        <v>DD2024101460121</v>
      </c>
      <c r="D7401" s="1" t="str">
        <f>"CK2024101455071"</f>
        <v>CK2024101455071</v>
      </c>
      <c r="E7401" s="1" t="str">
        <f>"KKD20241014YP010"</f>
        <v>KKD20241014YP010</v>
      </c>
      <c r="F7401" s="1" t="str">
        <f t="shared" si="2144"/>
        <v>花都四部-凤凰仓</v>
      </c>
      <c r="G7401" s="1" t="str">
        <f t="shared" si="2152"/>
        <v>卡卡杜全欣样品</v>
      </c>
      <c r="H7401" s="1" t="str">
        <f t="shared" si="2145"/>
        <v>正常订单</v>
      </c>
      <c r="I7401" s="1" t="str">
        <f t="shared" si="2146"/>
        <v>已发货</v>
      </c>
      <c r="J7401" s="1" t="str">
        <f>"15"</f>
        <v>15</v>
      </c>
      <c r="K7401" s="1">
        <v>10</v>
      </c>
      <c r="L7401" s="1" t="s">
        <v>18</v>
      </c>
      <c r="M7401" s="1" t="str">
        <f>"广东省 广州市 白云区 "</f>
        <v xml:space="preserve">广东省 广州市 白云区 </v>
      </c>
      <c r="N7401" s="1" t="str">
        <f t="shared" si="2155"/>
        <v>凡华云仓-韵达-淘宝</v>
      </c>
      <c r="O7401" s="3">
        <v>434188985670528</v>
      </c>
      <c r="P7401" s="6">
        <v>1.62</v>
      </c>
      <c r="Q7401" s="11">
        <f>CEILING(P7401-0.5,0.1)*10*0.15+2.3</f>
        <v>4.0999999999999996</v>
      </c>
      <c r="R7401" s="11">
        <f t="shared" si="2156"/>
        <v>0.70000000000000007</v>
      </c>
      <c r="S7401" s="11">
        <v>0.15</v>
      </c>
      <c r="T7401" s="11"/>
      <c r="U7401" s="11">
        <f t="shared" si="2141"/>
        <v>4.9499999999999993</v>
      </c>
      <c r="V7401" t="s">
        <v>15</v>
      </c>
      <c r="W7401">
        <v>4.95</v>
      </c>
      <c r="X7401" s="1" t="s">
        <v>18</v>
      </c>
    </row>
    <row r="7402" spans="1:24" x14ac:dyDescent="0.25">
      <c r="A7402" s="1" t="str">
        <f t="shared" si="2143"/>
        <v>卡卡杜-凤凰仓</v>
      </c>
      <c r="B7402" s="1" t="str">
        <f>"CK2024100518313"</f>
        <v>CK2024100518313</v>
      </c>
      <c r="C7402" s="1" t="str">
        <f>"DD2024100549461"</f>
        <v>DD2024100549461</v>
      </c>
      <c r="D7402" s="1" t="str">
        <f>"CK2024100542731"</f>
        <v>CK2024100542731</v>
      </c>
      <c r="E7402" s="1" t="str">
        <f>"KKD20240105YP016"</f>
        <v>KKD20240105YP016</v>
      </c>
      <c r="F7402" s="1" t="str">
        <f t="shared" si="2144"/>
        <v>花都四部-凤凰仓</v>
      </c>
      <c r="G7402" s="1" t="str">
        <f t="shared" si="2152"/>
        <v>卡卡杜全欣样品</v>
      </c>
      <c r="H7402" s="1" t="str">
        <f t="shared" si="2145"/>
        <v>正常订单</v>
      </c>
      <c r="I7402" s="1" t="str">
        <f t="shared" si="2146"/>
        <v>已发货</v>
      </c>
      <c r="J7402" s="1" t="str">
        <f>"7"</f>
        <v>7</v>
      </c>
      <c r="K7402" s="1">
        <v>5</v>
      </c>
      <c r="L7402" s="1" t="s">
        <v>18</v>
      </c>
      <c r="M7402" s="1" t="str">
        <f>"广东省 东莞市 虎门镇 "</f>
        <v xml:space="preserve">广东省 东莞市 虎门镇 </v>
      </c>
      <c r="N7402" s="1" t="str">
        <f t="shared" si="2155"/>
        <v>凡华云仓-韵达-淘宝</v>
      </c>
      <c r="O7402" s="3">
        <v>434170743648217</v>
      </c>
      <c r="P7402" s="6">
        <v>0.95</v>
      </c>
      <c r="Q7402" s="11">
        <f>CEILING(P7402-0.5,0.1)*10*0.15+2.3</f>
        <v>3.05</v>
      </c>
      <c r="R7402" s="11">
        <f t="shared" si="2156"/>
        <v>0.2</v>
      </c>
      <c r="S7402" s="11">
        <v>0.15</v>
      </c>
      <c r="T7402" s="11"/>
      <c r="U7402" s="11">
        <f t="shared" si="2141"/>
        <v>3.4</v>
      </c>
      <c r="V7402" t="s">
        <v>15</v>
      </c>
      <c r="W7402">
        <v>3.4</v>
      </c>
      <c r="X7402" s="1" t="s">
        <v>18</v>
      </c>
    </row>
    <row r="7403" spans="1:24" x14ac:dyDescent="0.25">
      <c r="A7403" s="1" t="str">
        <f t="shared" si="2143"/>
        <v>卡卡杜-凤凰仓</v>
      </c>
      <c r="B7403" s="1" t="str">
        <f>"CK2024101413606"</f>
        <v>CK2024101413606</v>
      </c>
      <c r="C7403" s="1" t="str">
        <f>"DD2024101460137"</f>
        <v>DD2024101460137</v>
      </c>
      <c r="D7403" s="1" t="str">
        <f>"CK2024101455069"</f>
        <v>CK2024101455069</v>
      </c>
      <c r="E7403" s="1" t="str">
        <f>"KKD20241014YP007"</f>
        <v>KKD20241014YP007</v>
      </c>
      <c r="F7403" s="1" t="str">
        <f t="shared" si="2144"/>
        <v>花都四部-凤凰仓</v>
      </c>
      <c r="G7403" s="1" t="str">
        <f t="shared" si="2152"/>
        <v>卡卡杜全欣样品</v>
      </c>
      <c r="H7403" s="1" t="str">
        <f t="shared" si="2145"/>
        <v>正常订单</v>
      </c>
      <c r="I7403" s="1" t="str">
        <f t="shared" si="2146"/>
        <v>已发货</v>
      </c>
      <c r="J7403" s="1" t="str">
        <f>"15"</f>
        <v>15</v>
      </c>
      <c r="K7403" s="1">
        <v>10</v>
      </c>
      <c r="L7403" s="1" t="s">
        <v>60</v>
      </c>
      <c r="M7403" s="1" t="str">
        <f>"云南省 昆明市 嵩明县 "</f>
        <v xml:space="preserve">云南省 昆明市 嵩明县 </v>
      </c>
      <c r="N7403" s="1" t="str">
        <f t="shared" si="2155"/>
        <v>凡华云仓-韵达-淘宝</v>
      </c>
      <c r="O7403" s="3">
        <v>434188985670352</v>
      </c>
      <c r="P7403" s="6">
        <v>1.62</v>
      </c>
      <c r="Q7403" s="11">
        <f>CEILING(P7403-0.5,0.1)*10*0.15+2.3</f>
        <v>4.0999999999999996</v>
      </c>
      <c r="R7403" s="11">
        <f t="shared" si="2156"/>
        <v>0.70000000000000007</v>
      </c>
      <c r="S7403" s="11">
        <v>0.15</v>
      </c>
      <c r="T7403" s="11"/>
      <c r="U7403" s="11">
        <f t="shared" si="2141"/>
        <v>4.9499999999999993</v>
      </c>
      <c r="V7403" t="s">
        <v>15</v>
      </c>
      <c r="W7403">
        <v>4.95</v>
      </c>
      <c r="X7403" s="1" t="s">
        <v>60</v>
      </c>
    </row>
    <row r="7404" spans="1:24" x14ac:dyDescent="0.25">
      <c r="A7404" s="1" t="str">
        <f t="shared" si="2143"/>
        <v>卡卡杜-凤凰仓</v>
      </c>
      <c r="B7404" s="1" t="str">
        <f>"CK2024101413609"</f>
        <v>CK2024101413609</v>
      </c>
      <c r="C7404" s="1" t="str">
        <f>"DD2024101460139"</f>
        <v>DD2024101460139</v>
      </c>
      <c r="D7404" s="1" t="str">
        <f>"CK2024101455067"</f>
        <v>CK2024101455067</v>
      </c>
      <c r="E7404" s="1" t="str">
        <f>"KKD20241014YP001"</f>
        <v>KKD20241014YP001</v>
      </c>
      <c r="F7404" s="1" t="str">
        <f t="shared" si="2144"/>
        <v>花都四部-凤凰仓</v>
      </c>
      <c r="G7404" s="1" t="str">
        <f t="shared" si="2152"/>
        <v>卡卡杜全欣样品</v>
      </c>
      <c r="H7404" s="1" t="str">
        <f t="shared" si="2145"/>
        <v>正常订单</v>
      </c>
      <c r="I7404" s="1" t="str">
        <f t="shared" si="2146"/>
        <v>已发货</v>
      </c>
      <c r="J7404" s="1" t="str">
        <f>"8"</f>
        <v>8</v>
      </c>
      <c r="K7404" s="1">
        <v>3</v>
      </c>
      <c r="L7404" s="1" t="s">
        <v>13</v>
      </c>
      <c r="M7404" s="1" t="str">
        <f>"江苏省 徐州市 邳州市 "</f>
        <v xml:space="preserve">江苏省 徐州市 邳州市 </v>
      </c>
      <c r="N7404" s="1" t="str">
        <f t="shared" si="2155"/>
        <v>凡华云仓-韵达-淘宝</v>
      </c>
      <c r="O7404" s="3">
        <v>434188985670176</v>
      </c>
      <c r="P7404" s="6">
        <v>1.06</v>
      </c>
      <c r="Q7404" s="11">
        <f>CEILING(P7404-0.5,0.1)*10*0.15+2.3</f>
        <v>3.2</v>
      </c>
      <c r="R7404" s="11"/>
      <c r="S7404" s="11">
        <v>0.15</v>
      </c>
      <c r="T7404" s="11"/>
      <c r="U7404" s="11">
        <f t="shared" si="2141"/>
        <v>3.35</v>
      </c>
      <c r="V7404" t="s">
        <v>15</v>
      </c>
      <c r="W7404">
        <v>3.35</v>
      </c>
      <c r="X7404" s="1" t="s">
        <v>13</v>
      </c>
    </row>
    <row r="7405" spans="1:24" x14ac:dyDescent="0.25">
      <c r="A7405" s="1" t="str">
        <f t="shared" si="2143"/>
        <v>卡卡杜-凤凰仓</v>
      </c>
      <c r="B7405" s="1" t="str">
        <f>"CK202410143365"</f>
        <v>CK202410143365</v>
      </c>
      <c r="C7405" s="1" t="str">
        <f>"DD2024101418126"</f>
        <v>DD2024101418126</v>
      </c>
      <c r="D7405" s="1" t="str">
        <f>"CK2024101433703"</f>
        <v>CK2024101433703</v>
      </c>
      <c r="E7405" s="1" t="str">
        <f>"3723278124705776896"</f>
        <v>3723278124705776896</v>
      </c>
      <c r="F7405" s="1" t="str">
        <f t="shared" si="2144"/>
        <v>花都四部-凤凰仓</v>
      </c>
      <c r="G7405" s="1" t="str">
        <f t="shared" ref="G7405:G7411" si="2157">"卡卡杜企业店（视频号）"</f>
        <v>卡卡杜企业店（视频号）</v>
      </c>
      <c r="H7405" s="1" t="str">
        <f t="shared" si="2145"/>
        <v>正常订单</v>
      </c>
      <c r="I7405" s="1" t="str">
        <f t="shared" si="2146"/>
        <v>已发货</v>
      </c>
      <c r="J7405" s="1" t="str">
        <f t="shared" ref="J7405:J7409" si="2158">"3"</f>
        <v>3</v>
      </c>
      <c r="K7405" s="1">
        <v>3</v>
      </c>
      <c r="L7405" s="1" t="s">
        <v>18</v>
      </c>
      <c r="M7405" s="1" t="str">
        <f>"广东省 深圳市 罗湖区 "</f>
        <v xml:space="preserve">广东省 深圳市 罗湖区 </v>
      </c>
      <c r="N7405" s="1" t="str">
        <f t="shared" ref="N7405:N7408" si="2159">"凡华云仓-韵达-微信视频号"</f>
        <v>凡华云仓-韵达-微信视频号</v>
      </c>
      <c r="O7405" s="5">
        <v>315012923436376</v>
      </c>
      <c r="P7405" s="6">
        <v>0.34</v>
      </c>
      <c r="Q7405" s="11">
        <v>2.2999999999999998</v>
      </c>
      <c r="R7405" s="11"/>
      <c r="S7405" s="11"/>
      <c r="T7405" s="11"/>
      <c r="U7405" s="11">
        <f t="shared" si="2141"/>
        <v>2.2999999999999998</v>
      </c>
      <c r="W7405">
        <v>2.5</v>
      </c>
      <c r="X7405" s="1" t="s">
        <v>18</v>
      </c>
    </row>
    <row r="7406" spans="1:24" x14ac:dyDescent="0.25">
      <c r="A7406" s="1" t="str">
        <f t="shared" si="2143"/>
        <v>卡卡杜-凤凰仓</v>
      </c>
      <c r="B7406" s="1" t="str">
        <f>"CK202410143368"</f>
        <v>CK202410143368</v>
      </c>
      <c r="C7406" s="1" t="str">
        <f>"DD2024101418130"</f>
        <v>DD2024101418130</v>
      </c>
      <c r="D7406" s="1" t="str">
        <f>"CK2024101433702"</f>
        <v>CK2024101433702</v>
      </c>
      <c r="E7406" s="1" t="str">
        <f>"3723277208251404288"</f>
        <v>3723277208251404288</v>
      </c>
      <c r="F7406" s="1" t="str">
        <f t="shared" si="2144"/>
        <v>花都四部-凤凰仓</v>
      </c>
      <c r="G7406" s="1" t="str">
        <f t="shared" si="2157"/>
        <v>卡卡杜企业店（视频号）</v>
      </c>
      <c r="H7406" s="1" t="str">
        <f t="shared" si="2145"/>
        <v>正常订单</v>
      </c>
      <c r="I7406" s="1" t="str">
        <f t="shared" si="2146"/>
        <v>已发货</v>
      </c>
      <c r="J7406" s="1" t="str">
        <f>"5"</f>
        <v>5</v>
      </c>
      <c r="K7406" s="1">
        <v>3</v>
      </c>
      <c r="L7406" s="1" t="s">
        <v>74</v>
      </c>
      <c r="M7406" s="1" t="str">
        <f>"上海 上海市 松江区 "</f>
        <v xml:space="preserve">上海 上海市 松江区 </v>
      </c>
      <c r="N7406" s="1" t="str">
        <f t="shared" si="2159"/>
        <v>凡华云仓-韵达-微信视频号</v>
      </c>
      <c r="O7406" s="5">
        <v>315012923432584</v>
      </c>
      <c r="P7406" s="6">
        <v>0.55000000000000004</v>
      </c>
      <c r="Q7406" s="11">
        <f t="shared" ref="Q7406:Q7411" si="2160">CEILING(P7406-0.5,0.1)*10*0.15+2.3</f>
        <v>2.4499999999999997</v>
      </c>
      <c r="R7406" s="11"/>
      <c r="S7406" s="11"/>
      <c r="T7406" s="11"/>
      <c r="U7406" s="11">
        <f t="shared" si="2141"/>
        <v>2.4499999999999997</v>
      </c>
      <c r="V7406" t="s">
        <v>15</v>
      </c>
      <c r="W7406">
        <v>2.4500000000000002</v>
      </c>
      <c r="X7406" s="1" t="s">
        <v>74</v>
      </c>
    </row>
    <row r="7407" spans="1:24" x14ac:dyDescent="0.25">
      <c r="A7407" s="1" t="str">
        <f t="shared" si="2143"/>
        <v>卡卡杜-凤凰仓</v>
      </c>
      <c r="B7407" s="1" t="str">
        <f>"CK202410143363"</f>
        <v>CK202410143363</v>
      </c>
      <c r="C7407" s="1" t="str">
        <f>"DD2024101418123"</f>
        <v>DD2024101418123</v>
      </c>
      <c r="D7407" s="1" t="str">
        <f>"CK2024101433701"</f>
        <v>CK2024101433701</v>
      </c>
      <c r="E7407" s="1" t="str">
        <f>"3723289250011941888"</f>
        <v>3723289250011941888</v>
      </c>
      <c r="F7407" s="1" t="str">
        <f t="shared" si="2144"/>
        <v>花都四部-凤凰仓</v>
      </c>
      <c r="G7407" s="1" t="str">
        <f t="shared" si="2157"/>
        <v>卡卡杜企业店（视频号）</v>
      </c>
      <c r="H7407" s="1" t="str">
        <f t="shared" si="2145"/>
        <v>正常订单</v>
      </c>
      <c r="I7407" s="1" t="str">
        <f t="shared" si="2146"/>
        <v>已发货</v>
      </c>
      <c r="J7407" s="1" t="str">
        <f t="shared" si="2158"/>
        <v>3</v>
      </c>
      <c r="K7407" s="1">
        <v>3</v>
      </c>
      <c r="L7407" s="1" t="s">
        <v>109</v>
      </c>
      <c r="M7407" s="1" t="str">
        <f>"山西省 太原市 小店区 "</f>
        <v xml:space="preserve">山西省 太原市 小店区 </v>
      </c>
      <c r="N7407" s="1" t="str">
        <f t="shared" si="2159"/>
        <v>凡华云仓-韵达-微信视频号</v>
      </c>
      <c r="O7407" s="5">
        <v>315012923427675</v>
      </c>
      <c r="P7407" s="6">
        <v>0.34</v>
      </c>
      <c r="Q7407" s="11">
        <v>2.2999999999999998</v>
      </c>
      <c r="R7407" s="11"/>
      <c r="S7407" s="11"/>
      <c r="T7407" s="11"/>
      <c r="U7407" s="11">
        <f t="shared" si="2141"/>
        <v>2.2999999999999998</v>
      </c>
      <c r="W7407">
        <v>2.5</v>
      </c>
      <c r="X7407" s="1" t="s">
        <v>109</v>
      </c>
    </row>
    <row r="7408" spans="1:24" x14ac:dyDescent="0.25">
      <c r="A7408" s="1" t="str">
        <f t="shared" si="2143"/>
        <v>卡卡杜-凤凰仓</v>
      </c>
      <c r="B7408" s="1" t="str">
        <f>"CK202410143364"</f>
        <v>CK202410143364</v>
      </c>
      <c r="C7408" s="1" t="str">
        <f>"DD2024101418125"</f>
        <v>DD2024101418125</v>
      </c>
      <c r="D7408" s="1" t="str">
        <f>"CK2024101433700"</f>
        <v>CK2024101433700</v>
      </c>
      <c r="E7408" s="1" t="str">
        <f>"3723289246275343360"</f>
        <v>3723289246275343360</v>
      </c>
      <c r="F7408" s="1" t="str">
        <f t="shared" si="2144"/>
        <v>花都四部-凤凰仓</v>
      </c>
      <c r="G7408" s="1" t="str">
        <f t="shared" si="2157"/>
        <v>卡卡杜企业店（视频号）</v>
      </c>
      <c r="H7408" s="1" t="str">
        <f t="shared" si="2145"/>
        <v>正常订单</v>
      </c>
      <c r="I7408" s="1" t="str">
        <f t="shared" si="2146"/>
        <v>已发货</v>
      </c>
      <c r="J7408" s="1" t="str">
        <f t="shared" si="2158"/>
        <v>3</v>
      </c>
      <c r="K7408" s="1">
        <v>3</v>
      </c>
      <c r="L7408" s="1" t="s">
        <v>94</v>
      </c>
      <c r="M7408" s="1" t="str">
        <f>"湖南省 株洲市 茶陵县 "</f>
        <v xml:space="preserve">湖南省 株洲市 茶陵县 </v>
      </c>
      <c r="N7408" s="1" t="str">
        <f t="shared" si="2159"/>
        <v>凡华云仓-韵达-微信视频号</v>
      </c>
      <c r="O7408" s="5">
        <v>315012923422026</v>
      </c>
      <c r="P7408" s="6">
        <v>0.34</v>
      </c>
      <c r="Q7408" s="11">
        <v>2.2999999999999998</v>
      </c>
      <c r="R7408" s="11"/>
      <c r="S7408" s="11"/>
      <c r="T7408" s="11"/>
      <c r="U7408" s="11">
        <f t="shared" si="2141"/>
        <v>2.2999999999999998</v>
      </c>
      <c r="W7408">
        <v>2.5</v>
      </c>
      <c r="X7408" s="1" t="s">
        <v>94</v>
      </c>
    </row>
    <row r="7409" spans="1:24" x14ac:dyDescent="0.25">
      <c r="A7409" s="1" t="str">
        <f t="shared" si="2143"/>
        <v>卡卡杜-凤凰仓</v>
      </c>
      <c r="B7409" s="1" t="str">
        <f>"CK202410143358"</f>
        <v>CK202410143358</v>
      </c>
      <c r="C7409" s="1" t="str">
        <f>"DD2024101418119"</f>
        <v>DD2024101418119</v>
      </c>
      <c r="D7409" s="1" t="str">
        <f>"CK2024101433699"</f>
        <v>CK2024101433699</v>
      </c>
      <c r="E7409" s="1" t="str">
        <f>"3723276905015546880"</f>
        <v>3723276905015546880</v>
      </c>
      <c r="F7409" s="1" t="str">
        <f t="shared" si="2144"/>
        <v>花都四部-凤凰仓</v>
      </c>
      <c r="G7409" s="1" t="str">
        <f t="shared" si="2157"/>
        <v>卡卡杜企业店（视频号）</v>
      </c>
      <c r="H7409" s="1" t="str">
        <f t="shared" si="2145"/>
        <v>正常订单</v>
      </c>
      <c r="I7409" s="1" t="str">
        <f t="shared" si="2146"/>
        <v>已发货</v>
      </c>
      <c r="J7409" s="1" t="str">
        <f t="shared" si="2158"/>
        <v>3</v>
      </c>
      <c r="K7409" s="1">
        <v>3</v>
      </c>
      <c r="L7409" s="1" t="s">
        <v>161</v>
      </c>
      <c r="M7409" s="1" t="str">
        <f>"四川省 成都市 武侯区 "</f>
        <v xml:space="preserve">四川省 成都市 武侯区 </v>
      </c>
      <c r="N7409" s="1" t="str">
        <f>"凡华云仓-竹料中通-微信视频号"</f>
        <v>凡华云仓-竹料中通-微信视频号</v>
      </c>
      <c r="O7409" s="5">
        <v>73613637161265</v>
      </c>
      <c r="P7409" s="6">
        <v>0.34</v>
      </c>
      <c r="Q7409" s="11">
        <v>2.6</v>
      </c>
      <c r="R7409" s="11"/>
      <c r="S7409" s="11"/>
      <c r="T7409" s="11"/>
      <c r="U7409" s="11">
        <f t="shared" si="2141"/>
        <v>2.6</v>
      </c>
      <c r="W7409">
        <v>2.6</v>
      </c>
      <c r="X7409" s="1" t="s">
        <v>161</v>
      </c>
    </row>
    <row r="7410" spans="1:24" x14ac:dyDescent="0.25">
      <c r="A7410" s="1" t="str">
        <f t="shared" si="2143"/>
        <v>卡卡杜-凤凰仓</v>
      </c>
      <c r="B7410" s="1" t="str">
        <f>"CK202410143369"</f>
        <v>CK202410143369</v>
      </c>
      <c r="C7410" s="1" t="str">
        <f>"DD2024101418129"</f>
        <v>DD2024101418129</v>
      </c>
      <c r="D7410" s="1" t="str">
        <f>"CK2024101433698"</f>
        <v>CK2024101433698</v>
      </c>
      <c r="E7410" s="1" t="str">
        <f>"3723289544576075264"</f>
        <v>3723289544576075264</v>
      </c>
      <c r="F7410" s="1" t="str">
        <f t="shared" si="2144"/>
        <v>花都四部-凤凰仓</v>
      </c>
      <c r="G7410" s="1" t="str">
        <f t="shared" si="2157"/>
        <v>卡卡杜企业店（视频号）</v>
      </c>
      <c r="H7410" s="1" t="str">
        <f t="shared" si="2145"/>
        <v>正常订单</v>
      </c>
      <c r="I7410" s="1" t="str">
        <f t="shared" si="2146"/>
        <v>已发货</v>
      </c>
      <c r="J7410" s="1" t="str">
        <f>"6"</f>
        <v>6</v>
      </c>
      <c r="K7410" s="1">
        <v>3</v>
      </c>
      <c r="L7410" s="1" t="s">
        <v>96</v>
      </c>
      <c r="M7410" s="1" t="str">
        <f>"广西壮族自治区 南宁市 兴宁区 "</f>
        <v xml:space="preserve">广西壮族自治区 南宁市 兴宁区 </v>
      </c>
      <c r="N7410" s="1" t="str">
        <f>"凡华云仓-韵达-微信视频号"</f>
        <v>凡华云仓-韵达-微信视频号</v>
      </c>
      <c r="O7410" s="5">
        <v>315012923409704</v>
      </c>
      <c r="P7410" s="6">
        <v>0.55000000000000004</v>
      </c>
      <c r="Q7410" s="11">
        <f t="shared" si="2160"/>
        <v>2.4499999999999997</v>
      </c>
      <c r="R7410" s="11"/>
      <c r="S7410" s="11"/>
      <c r="T7410" s="11"/>
      <c r="U7410" s="11">
        <f t="shared" si="2141"/>
        <v>2.4499999999999997</v>
      </c>
      <c r="V7410" t="s">
        <v>15</v>
      </c>
      <c r="W7410">
        <v>2.4500000000000002</v>
      </c>
      <c r="X7410" s="1" t="s">
        <v>96</v>
      </c>
    </row>
    <row r="7411" spans="1:24" x14ac:dyDescent="0.25">
      <c r="A7411" s="1" t="str">
        <f t="shared" si="2143"/>
        <v>卡卡杜-凤凰仓</v>
      </c>
      <c r="B7411" s="1" t="str">
        <f>"CK202410143367"</f>
        <v>CK202410143367</v>
      </c>
      <c r="C7411" s="1" t="str">
        <f>"DD2024101418127"</f>
        <v>DD2024101418127</v>
      </c>
      <c r="D7411" s="1" t="str">
        <f>"CK2024101433697"</f>
        <v>CK2024101433697</v>
      </c>
      <c r="E7411" s="1" t="str">
        <f>"3723288080565800960"</f>
        <v>3723288080565800960</v>
      </c>
      <c r="F7411" s="1" t="str">
        <f t="shared" si="2144"/>
        <v>花都四部-凤凰仓</v>
      </c>
      <c r="G7411" s="1" t="str">
        <f t="shared" si="2157"/>
        <v>卡卡杜企业店（视频号）</v>
      </c>
      <c r="H7411" s="1" t="str">
        <f t="shared" si="2145"/>
        <v>正常订单</v>
      </c>
      <c r="I7411" s="1" t="str">
        <f t="shared" si="2146"/>
        <v>已发货</v>
      </c>
      <c r="J7411" s="1" t="str">
        <f>"5"</f>
        <v>5</v>
      </c>
      <c r="K7411" s="1">
        <v>3</v>
      </c>
      <c r="L7411" s="1" t="s">
        <v>74</v>
      </c>
      <c r="M7411" s="1" t="str">
        <f>"上海 上海市 虹口区 "</f>
        <v xml:space="preserve">上海 上海市 虹口区 </v>
      </c>
      <c r="N7411" s="1" t="str">
        <f>"凡华云仓-韵达-微信视频号"</f>
        <v>凡华云仓-韵达-微信视频号</v>
      </c>
      <c r="O7411" s="5">
        <v>315012923405211</v>
      </c>
      <c r="P7411" s="6">
        <v>0.55000000000000004</v>
      </c>
      <c r="Q7411" s="11">
        <f t="shared" si="2160"/>
        <v>2.4499999999999997</v>
      </c>
      <c r="R7411" s="11"/>
      <c r="S7411" s="11"/>
      <c r="T7411" s="11"/>
      <c r="U7411" s="11">
        <f t="shared" si="2141"/>
        <v>2.4499999999999997</v>
      </c>
      <c r="V7411" t="s">
        <v>15</v>
      </c>
      <c r="W7411">
        <v>2.4500000000000002</v>
      </c>
      <c r="X7411" s="1" t="s">
        <v>74</v>
      </c>
    </row>
    <row r="7412" spans="1:24" x14ac:dyDescent="0.25">
      <c r="A7412" s="1" t="str">
        <f t="shared" si="2143"/>
        <v>卡卡杜-凤凰仓</v>
      </c>
      <c r="B7412" s="1" t="str">
        <f>"CK202410143380"</f>
        <v>CK202410143380</v>
      </c>
      <c r="C7412" s="1" t="str">
        <f>"DD2024101418140"</f>
        <v>DD2024101418140</v>
      </c>
      <c r="D7412" s="1" t="str">
        <f>"CK2024101431836"</f>
        <v>CK2024101431836</v>
      </c>
      <c r="E7412" s="1" t="str">
        <f>"4078546958339543448"</f>
        <v>4078546958339543448</v>
      </c>
      <c r="F7412" s="1" t="str">
        <f t="shared" si="2144"/>
        <v>花都四部-凤凰仓</v>
      </c>
      <c r="G7412" s="1" t="str">
        <f>"卡卡杜旗舰店(天猫）"</f>
        <v>卡卡杜旗舰店(天猫）</v>
      </c>
      <c r="H7412" s="1" t="str">
        <f t="shared" si="2145"/>
        <v>正常订单</v>
      </c>
      <c r="I7412" s="1" t="str">
        <f t="shared" si="2146"/>
        <v>已发货</v>
      </c>
      <c r="J7412" s="1" t="str">
        <f>"1"</f>
        <v>1</v>
      </c>
      <c r="K7412" s="1">
        <v>1</v>
      </c>
      <c r="L7412" s="1" t="s">
        <v>41</v>
      </c>
      <c r="M7412" s="1" t="str">
        <f>"湖北省 武汉市 洪山区 "</f>
        <v xml:space="preserve">湖北省 武汉市 洪山区 </v>
      </c>
      <c r="N7412" s="1" t="str">
        <f>"凡华云仓-韵达-淘宝"</f>
        <v>凡华云仓-韵达-淘宝</v>
      </c>
      <c r="O7412" s="5">
        <v>434188345490328</v>
      </c>
      <c r="P7412" s="6">
        <v>0.19</v>
      </c>
      <c r="Q7412" s="11">
        <v>2</v>
      </c>
      <c r="R7412" s="11"/>
      <c r="S7412" s="11"/>
      <c r="T7412" s="11"/>
      <c r="U7412" s="11">
        <f t="shared" si="2141"/>
        <v>2</v>
      </c>
      <c r="W7412">
        <v>2.2000000000000002</v>
      </c>
      <c r="X7412" s="1" t="s">
        <v>41</v>
      </c>
    </row>
    <row r="7413" spans="1:24" x14ac:dyDescent="0.25">
      <c r="A7413" s="1" t="str">
        <f t="shared" si="2143"/>
        <v>卡卡杜-凤凰仓</v>
      </c>
      <c r="B7413" s="1" t="str">
        <f>"CK202410143319"</f>
        <v>CK202410143319</v>
      </c>
      <c r="C7413" s="1" t="str">
        <f>"DD2024101418078"</f>
        <v>DD2024101418078</v>
      </c>
      <c r="D7413" s="1" t="str">
        <f>"CK2024101431819"</f>
        <v>CK2024101431819</v>
      </c>
      <c r="E7413" s="1" t="str">
        <f>"6934960951891924152"</f>
        <v>6934960951891924152</v>
      </c>
      <c r="F7413" s="1" t="str">
        <f t="shared" si="2144"/>
        <v>花都四部-凤凰仓</v>
      </c>
      <c r="G7413" s="1" t="str">
        <f t="shared" ref="G7413:G7476" si="2161">"卡卡杜个人护理店（抖店）"</f>
        <v>卡卡杜个人护理店（抖店）</v>
      </c>
      <c r="H7413" s="1" t="str">
        <f t="shared" si="2145"/>
        <v>正常订单</v>
      </c>
      <c r="I7413" s="1" t="str">
        <f t="shared" si="2146"/>
        <v>已发货</v>
      </c>
      <c r="J7413" s="1" t="str">
        <f t="shared" ref="J7413:J7438" si="2162">"3"</f>
        <v>3</v>
      </c>
      <c r="K7413" s="1">
        <v>2</v>
      </c>
      <c r="L7413" s="1" t="s">
        <v>20</v>
      </c>
      <c r="M7413" s="1" t="str">
        <f>"浙江省 宁波市 鄞州区 中河街道"</f>
        <v>浙江省 宁波市 鄞州区 中河街道</v>
      </c>
      <c r="N7413" s="1" t="str">
        <f t="shared" ref="N7413:N7461" si="2163">"凡华云仓-韵达-抖音"</f>
        <v>凡华云仓-韵达-抖音</v>
      </c>
      <c r="O7413" s="5">
        <v>320171082902162</v>
      </c>
      <c r="P7413" s="6">
        <v>0.35</v>
      </c>
      <c r="Q7413" s="11">
        <v>2.2999999999999998</v>
      </c>
      <c r="R7413" s="11"/>
      <c r="S7413" s="11"/>
      <c r="T7413" s="11"/>
      <c r="U7413" s="11">
        <f t="shared" si="2141"/>
        <v>2.2999999999999998</v>
      </c>
      <c r="W7413">
        <v>2.5</v>
      </c>
      <c r="X7413" s="1" t="s">
        <v>20</v>
      </c>
    </row>
    <row r="7414" spans="1:24" x14ac:dyDescent="0.25">
      <c r="A7414" s="1" t="str">
        <f t="shared" si="2143"/>
        <v>卡卡杜-凤凰仓</v>
      </c>
      <c r="B7414" s="1" t="str">
        <f>"CK202410143317"</f>
        <v>CK202410143317</v>
      </c>
      <c r="C7414" s="1" t="str">
        <f>"DD2024101418079"</f>
        <v>DD2024101418079</v>
      </c>
      <c r="D7414" s="1" t="str">
        <f>"CK2024101431818"</f>
        <v>CK2024101431818</v>
      </c>
      <c r="E7414" s="1" t="str">
        <f>"6934946657076974610"</f>
        <v>6934946657076974610</v>
      </c>
      <c r="F7414" s="1" t="str">
        <f t="shared" si="2144"/>
        <v>花都四部-凤凰仓</v>
      </c>
      <c r="G7414" s="1" t="str">
        <f t="shared" si="2161"/>
        <v>卡卡杜个人护理店（抖店）</v>
      </c>
      <c r="H7414" s="1" t="str">
        <f t="shared" si="2145"/>
        <v>正常订单</v>
      </c>
      <c r="I7414" s="1" t="str">
        <f t="shared" si="2146"/>
        <v>已发货</v>
      </c>
      <c r="J7414" s="1" t="str">
        <f t="shared" si="2162"/>
        <v>3</v>
      </c>
      <c r="K7414" s="1">
        <v>2</v>
      </c>
      <c r="L7414" s="1" t="s">
        <v>13</v>
      </c>
      <c r="M7414" s="1" t="str">
        <f>"江苏省 苏州市 常熟市 莫城街道"</f>
        <v>江苏省 苏州市 常熟市 莫城街道</v>
      </c>
      <c r="N7414" s="1" t="str">
        <f t="shared" si="2163"/>
        <v>凡华云仓-韵达-抖音</v>
      </c>
      <c r="O7414" s="5">
        <v>320171080519067</v>
      </c>
      <c r="P7414" s="6">
        <v>0.35</v>
      </c>
      <c r="Q7414" s="11">
        <v>2.2999999999999998</v>
      </c>
      <c r="R7414" s="11"/>
      <c r="S7414" s="11"/>
      <c r="T7414" s="11"/>
      <c r="U7414" s="11">
        <f t="shared" si="2141"/>
        <v>2.2999999999999998</v>
      </c>
      <c r="W7414">
        <v>2.5</v>
      </c>
      <c r="X7414" s="1" t="s">
        <v>13</v>
      </c>
    </row>
    <row r="7415" spans="1:24" x14ac:dyDescent="0.25">
      <c r="A7415" s="1" t="str">
        <f t="shared" si="2143"/>
        <v>卡卡杜-凤凰仓</v>
      </c>
      <c r="B7415" s="1" t="str">
        <f>"CK202410143320"</f>
        <v>CK202410143320</v>
      </c>
      <c r="C7415" s="1" t="str">
        <f>"DD2024101418082"</f>
        <v>DD2024101418082</v>
      </c>
      <c r="D7415" s="1" t="str">
        <f>"CK2024101431817"</f>
        <v>CK2024101431817</v>
      </c>
      <c r="E7415" s="1" t="str">
        <f>"6934956339740481135"</f>
        <v>6934956339740481135</v>
      </c>
      <c r="F7415" s="1" t="str">
        <f t="shared" si="2144"/>
        <v>花都四部-凤凰仓</v>
      </c>
      <c r="G7415" s="1" t="str">
        <f t="shared" si="2161"/>
        <v>卡卡杜个人护理店（抖店）</v>
      </c>
      <c r="H7415" s="1" t="str">
        <f t="shared" si="2145"/>
        <v>正常订单</v>
      </c>
      <c r="I7415" s="1" t="str">
        <f t="shared" si="2146"/>
        <v>已发货</v>
      </c>
      <c r="J7415" s="1" t="str">
        <f t="shared" si="2162"/>
        <v>3</v>
      </c>
      <c r="K7415" s="1">
        <v>2</v>
      </c>
      <c r="L7415" s="1" t="s">
        <v>13</v>
      </c>
      <c r="M7415" s="1" t="str">
        <f>"江苏省 苏州市 常熟市 沙家浜镇"</f>
        <v>江苏省 苏州市 常熟市 沙家浜镇</v>
      </c>
      <c r="N7415" s="1" t="str">
        <f t="shared" si="2163"/>
        <v>凡华云仓-韵达-抖音</v>
      </c>
      <c r="O7415" s="5">
        <v>320171080518935</v>
      </c>
      <c r="P7415" s="6">
        <v>0.35</v>
      </c>
      <c r="Q7415" s="11">
        <v>2.2999999999999998</v>
      </c>
      <c r="R7415" s="11"/>
      <c r="S7415" s="11"/>
      <c r="T7415" s="11"/>
      <c r="U7415" s="11">
        <f t="shared" si="2141"/>
        <v>2.2999999999999998</v>
      </c>
      <c r="W7415">
        <v>2.5</v>
      </c>
      <c r="X7415" s="1" t="s">
        <v>13</v>
      </c>
    </row>
    <row r="7416" spans="1:24" x14ac:dyDescent="0.25">
      <c r="A7416" s="1" t="str">
        <f t="shared" si="2143"/>
        <v>卡卡杜-凤凰仓</v>
      </c>
      <c r="B7416" s="1" t="str">
        <f>"CK202410143306"</f>
        <v>CK202410143306</v>
      </c>
      <c r="C7416" s="1" t="str">
        <f>"DD2024101418067"</f>
        <v>DD2024101418067</v>
      </c>
      <c r="D7416" s="1" t="str">
        <f>"CK2024101431816"</f>
        <v>CK2024101431816</v>
      </c>
      <c r="E7416" s="1" t="str">
        <f>"6934944351357966215"</f>
        <v>6934944351357966215</v>
      </c>
      <c r="F7416" s="1" t="str">
        <f t="shared" si="2144"/>
        <v>花都四部-凤凰仓</v>
      </c>
      <c r="G7416" s="1" t="str">
        <f t="shared" si="2161"/>
        <v>卡卡杜个人护理店（抖店）</v>
      </c>
      <c r="H7416" s="1" t="str">
        <f t="shared" si="2145"/>
        <v>正常订单</v>
      </c>
      <c r="I7416" s="1" t="str">
        <f t="shared" si="2146"/>
        <v>已发货</v>
      </c>
      <c r="J7416" s="1" t="str">
        <f t="shared" si="2162"/>
        <v>3</v>
      </c>
      <c r="K7416" s="1">
        <v>2</v>
      </c>
      <c r="L7416" s="1" t="s">
        <v>94</v>
      </c>
      <c r="M7416" s="1" t="str">
        <f>"湖南省 株洲市 醴陵市 阳三石街道"</f>
        <v>湖南省 株洲市 醴陵市 阳三石街道</v>
      </c>
      <c r="N7416" s="1" t="str">
        <f t="shared" si="2163"/>
        <v>凡华云仓-韵达-抖音</v>
      </c>
      <c r="O7416" s="5">
        <v>320171080518830</v>
      </c>
      <c r="P7416" s="6">
        <v>0.35</v>
      </c>
      <c r="Q7416" s="11">
        <v>2.2999999999999998</v>
      </c>
      <c r="R7416" s="11"/>
      <c r="S7416" s="11"/>
      <c r="T7416" s="11"/>
      <c r="U7416" s="11">
        <f t="shared" si="2141"/>
        <v>2.2999999999999998</v>
      </c>
      <c r="W7416">
        <v>2.5</v>
      </c>
      <c r="X7416" s="1" t="s">
        <v>94</v>
      </c>
    </row>
    <row r="7417" spans="1:24" x14ac:dyDescent="0.25">
      <c r="A7417" s="1" t="str">
        <f t="shared" si="2143"/>
        <v>卡卡杜-凤凰仓</v>
      </c>
      <c r="B7417" s="1" t="str">
        <f>"CK202410143321"</f>
        <v>CK202410143321</v>
      </c>
      <c r="C7417" s="1" t="str">
        <f>"DD2024101418081"</f>
        <v>DD2024101418081</v>
      </c>
      <c r="D7417" s="1" t="str">
        <f>"CK2024101431815"</f>
        <v>CK2024101431815</v>
      </c>
      <c r="E7417" s="1" t="str">
        <f>"6917554560291798381"</f>
        <v>6917554560291798381</v>
      </c>
      <c r="F7417" s="1" t="str">
        <f t="shared" si="2144"/>
        <v>花都四部-凤凰仓</v>
      </c>
      <c r="G7417" s="1" t="str">
        <f t="shared" si="2161"/>
        <v>卡卡杜个人护理店（抖店）</v>
      </c>
      <c r="H7417" s="1" t="str">
        <f t="shared" si="2145"/>
        <v>正常订单</v>
      </c>
      <c r="I7417" s="1" t="str">
        <f t="shared" si="2146"/>
        <v>已发货</v>
      </c>
      <c r="J7417" s="1" t="str">
        <f t="shared" si="2162"/>
        <v>3</v>
      </c>
      <c r="K7417" s="1">
        <v>2</v>
      </c>
      <c r="L7417" s="1" t="s">
        <v>44</v>
      </c>
      <c r="M7417" s="1" t="str">
        <f>"海南省 三亚市 吉阳区 吉阳镇"</f>
        <v>海南省 三亚市 吉阳区 吉阳镇</v>
      </c>
      <c r="N7417" s="1" t="str">
        <f t="shared" si="2163"/>
        <v>凡华云仓-韵达-抖音</v>
      </c>
      <c r="O7417" s="5">
        <v>320171080518727</v>
      </c>
      <c r="P7417" s="6">
        <v>0.35</v>
      </c>
      <c r="Q7417" s="11">
        <v>2.2999999999999998</v>
      </c>
      <c r="R7417" s="11"/>
      <c r="S7417" s="11"/>
      <c r="T7417" s="11"/>
      <c r="U7417" s="11">
        <f t="shared" si="2141"/>
        <v>2.2999999999999998</v>
      </c>
      <c r="W7417">
        <v>2.5</v>
      </c>
      <c r="X7417" s="1" t="s">
        <v>44</v>
      </c>
    </row>
    <row r="7418" spans="1:24" x14ac:dyDescent="0.25">
      <c r="A7418" s="1" t="str">
        <f t="shared" si="2143"/>
        <v>卡卡杜-凤凰仓</v>
      </c>
      <c r="B7418" s="1" t="str">
        <f>"CK202410143316"</f>
        <v>CK202410143316</v>
      </c>
      <c r="C7418" s="1" t="str">
        <f>"DD2024101418077"</f>
        <v>DD2024101418077</v>
      </c>
      <c r="D7418" s="1" t="str">
        <f>"CK2024101431814"</f>
        <v>CK2024101431814</v>
      </c>
      <c r="E7418" s="1" t="str">
        <f>"6934967462785061917"</f>
        <v>6934967462785061917</v>
      </c>
      <c r="F7418" s="1" t="str">
        <f t="shared" si="2144"/>
        <v>花都四部-凤凰仓</v>
      </c>
      <c r="G7418" s="1" t="str">
        <f t="shared" si="2161"/>
        <v>卡卡杜个人护理店（抖店）</v>
      </c>
      <c r="H7418" s="1" t="str">
        <f t="shared" si="2145"/>
        <v>正常订单</v>
      </c>
      <c r="I7418" s="1" t="str">
        <f t="shared" si="2146"/>
        <v>已发货</v>
      </c>
      <c r="J7418" s="1" t="str">
        <f t="shared" si="2162"/>
        <v>3</v>
      </c>
      <c r="K7418" s="1">
        <v>2</v>
      </c>
      <c r="L7418" s="1" t="s">
        <v>41</v>
      </c>
      <c r="M7418" s="1" t="str">
        <f>"湖北省 荆州市 松滋市 新江口镇"</f>
        <v>湖北省 荆州市 松滋市 新江口镇</v>
      </c>
      <c r="N7418" s="1" t="str">
        <f t="shared" si="2163"/>
        <v>凡华云仓-韵达-抖音</v>
      </c>
      <c r="O7418" s="5">
        <v>320171080518626</v>
      </c>
      <c r="P7418" s="6">
        <v>0.35</v>
      </c>
      <c r="Q7418" s="11">
        <v>2.2999999999999998</v>
      </c>
      <c r="R7418" s="11"/>
      <c r="S7418" s="11"/>
      <c r="T7418" s="11"/>
      <c r="U7418" s="11">
        <f t="shared" si="2141"/>
        <v>2.2999999999999998</v>
      </c>
      <c r="W7418">
        <v>2.5</v>
      </c>
      <c r="X7418" s="1" t="s">
        <v>41</v>
      </c>
    </row>
    <row r="7419" spans="1:24" x14ac:dyDescent="0.25">
      <c r="A7419" s="1" t="str">
        <f t="shared" si="2143"/>
        <v>卡卡杜-凤凰仓</v>
      </c>
      <c r="B7419" s="1" t="str">
        <f>"CK202410143318"</f>
        <v>CK202410143318</v>
      </c>
      <c r="C7419" s="1" t="str">
        <f>"DD2024101418080"</f>
        <v>DD2024101418080</v>
      </c>
      <c r="D7419" s="1" t="str">
        <f>"CK2024101431813"</f>
        <v>CK2024101431813</v>
      </c>
      <c r="E7419" s="1" t="str">
        <f>"6934956375795897579"</f>
        <v>6934956375795897579</v>
      </c>
      <c r="F7419" s="1" t="str">
        <f t="shared" si="2144"/>
        <v>花都四部-凤凰仓</v>
      </c>
      <c r="G7419" s="1" t="str">
        <f t="shared" si="2161"/>
        <v>卡卡杜个人护理店（抖店）</v>
      </c>
      <c r="H7419" s="1" t="str">
        <f t="shared" si="2145"/>
        <v>正常订单</v>
      </c>
      <c r="I7419" s="1" t="str">
        <f t="shared" si="2146"/>
        <v>已发货</v>
      </c>
      <c r="J7419" s="1" t="str">
        <f t="shared" si="2162"/>
        <v>3</v>
      </c>
      <c r="K7419" s="1">
        <v>2</v>
      </c>
      <c r="L7419" s="1" t="s">
        <v>60</v>
      </c>
      <c r="M7419" s="1" t="str">
        <f>"云南省 昆明市 晋宁区 "</f>
        <v xml:space="preserve">云南省 昆明市 晋宁区 </v>
      </c>
      <c r="N7419" s="1" t="str">
        <f t="shared" si="2163"/>
        <v>凡华云仓-韵达-抖音</v>
      </c>
      <c r="O7419" s="5">
        <v>320171080518527</v>
      </c>
      <c r="P7419" s="6">
        <v>0.35</v>
      </c>
      <c r="Q7419" s="11">
        <v>2.2999999999999998</v>
      </c>
      <c r="R7419" s="11"/>
      <c r="S7419" s="11"/>
      <c r="T7419" s="11"/>
      <c r="U7419" s="11">
        <f t="shared" si="2141"/>
        <v>2.2999999999999998</v>
      </c>
      <c r="W7419">
        <v>2.5</v>
      </c>
      <c r="X7419" s="1" t="s">
        <v>60</v>
      </c>
    </row>
    <row r="7420" spans="1:24" x14ac:dyDescent="0.25">
      <c r="A7420" s="1" t="str">
        <f t="shared" si="2143"/>
        <v>卡卡杜-凤凰仓</v>
      </c>
      <c r="B7420" s="1" t="str">
        <f>"CK202410143366"</f>
        <v>CK202410143366</v>
      </c>
      <c r="C7420" s="1" t="str">
        <f>"DD2024101418128"</f>
        <v>DD2024101418128</v>
      </c>
      <c r="D7420" s="1" t="str">
        <f>"CK2024101431812"</f>
        <v>CK2024101431812</v>
      </c>
      <c r="E7420" s="1" t="str">
        <f>"6934985739027355406"</f>
        <v>6934985739027355406</v>
      </c>
      <c r="F7420" s="1" t="str">
        <f t="shared" si="2144"/>
        <v>花都四部-凤凰仓</v>
      </c>
      <c r="G7420" s="1" t="str">
        <f t="shared" si="2161"/>
        <v>卡卡杜个人护理店（抖店）</v>
      </c>
      <c r="H7420" s="1" t="str">
        <f t="shared" si="2145"/>
        <v>正常订单</v>
      </c>
      <c r="I7420" s="1" t="str">
        <f t="shared" si="2146"/>
        <v>已发货</v>
      </c>
      <c r="J7420" s="1" t="str">
        <f t="shared" si="2162"/>
        <v>3</v>
      </c>
      <c r="K7420" s="1">
        <v>3</v>
      </c>
      <c r="L7420" s="1" t="s">
        <v>18</v>
      </c>
      <c r="M7420" s="1" t="str">
        <f>"广东省 深圳市 福田区 沙头街道"</f>
        <v>广东省 深圳市 福田区 沙头街道</v>
      </c>
      <c r="N7420" s="1" t="str">
        <f t="shared" si="2163"/>
        <v>凡华云仓-韵达-抖音</v>
      </c>
      <c r="O7420" s="5">
        <v>320171080518430</v>
      </c>
      <c r="P7420" s="6">
        <v>0.34</v>
      </c>
      <c r="Q7420" s="11">
        <v>2.2999999999999998</v>
      </c>
      <c r="R7420" s="11"/>
      <c r="S7420" s="11"/>
      <c r="T7420" s="11"/>
      <c r="U7420" s="11">
        <f t="shared" si="2141"/>
        <v>2.2999999999999998</v>
      </c>
      <c r="W7420">
        <v>2.5</v>
      </c>
      <c r="X7420" s="1" t="s">
        <v>18</v>
      </c>
    </row>
    <row r="7421" spans="1:24" x14ac:dyDescent="0.25">
      <c r="A7421" s="1" t="str">
        <f t="shared" si="2143"/>
        <v>卡卡杜-凤凰仓</v>
      </c>
      <c r="B7421" s="1" t="str">
        <f>"CK202410143312"</f>
        <v>CK202410143312</v>
      </c>
      <c r="C7421" s="1" t="str">
        <f>"DD2024101418074"</f>
        <v>DD2024101418074</v>
      </c>
      <c r="D7421" s="1" t="str">
        <f>"CK2024101431811"</f>
        <v>CK2024101431811</v>
      </c>
      <c r="E7421" s="1" t="str">
        <f>"6934970102080345795"</f>
        <v>6934970102080345795</v>
      </c>
      <c r="F7421" s="1" t="str">
        <f t="shared" si="2144"/>
        <v>花都四部-凤凰仓</v>
      </c>
      <c r="G7421" s="1" t="str">
        <f t="shared" si="2161"/>
        <v>卡卡杜个人护理店（抖店）</v>
      </c>
      <c r="H7421" s="1" t="str">
        <f t="shared" si="2145"/>
        <v>正常订单</v>
      </c>
      <c r="I7421" s="1" t="str">
        <f t="shared" si="2146"/>
        <v>已发货</v>
      </c>
      <c r="J7421" s="1" t="str">
        <f t="shared" si="2162"/>
        <v>3</v>
      </c>
      <c r="K7421" s="1">
        <v>2</v>
      </c>
      <c r="L7421" s="1" t="s">
        <v>18</v>
      </c>
      <c r="M7421" s="1" t="str">
        <f>"广东省 佛山市 顺德区 北滘镇"</f>
        <v>广东省 佛山市 顺德区 北滘镇</v>
      </c>
      <c r="N7421" s="1" t="str">
        <f t="shared" si="2163"/>
        <v>凡华云仓-韵达-抖音</v>
      </c>
      <c r="O7421" s="5">
        <v>320171080518335</v>
      </c>
      <c r="P7421" s="6">
        <v>0.35</v>
      </c>
      <c r="Q7421" s="11">
        <v>2.2999999999999998</v>
      </c>
      <c r="R7421" s="11"/>
      <c r="S7421" s="11"/>
      <c r="T7421" s="11"/>
      <c r="U7421" s="11">
        <f t="shared" si="2141"/>
        <v>2.2999999999999998</v>
      </c>
      <c r="W7421">
        <v>2.5</v>
      </c>
      <c r="X7421" s="1" t="s">
        <v>18</v>
      </c>
    </row>
    <row r="7422" spans="1:24" x14ac:dyDescent="0.25">
      <c r="A7422" s="1" t="str">
        <f t="shared" si="2143"/>
        <v>卡卡杜-凤凰仓</v>
      </c>
      <c r="B7422" s="1" t="str">
        <f>"CK202410143309"</f>
        <v>CK202410143309</v>
      </c>
      <c r="C7422" s="1" t="str">
        <f>"DD2024101418070"</f>
        <v>DD2024101418070</v>
      </c>
      <c r="D7422" s="1" t="str">
        <f>"CK2024101431810"</f>
        <v>CK2024101431810</v>
      </c>
      <c r="E7422" s="1" t="str">
        <f>"6934928808227968471"</f>
        <v>6934928808227968471</v>
      </c>
      <c r="F7422" s="1" t="str">
        <f t="shared" si="2144"/>
        <v>花都四部-凤凰仓</v>
      </c>
      <c r="G7422" s="1" t="str">
        <f t="shared" si="2161"/>
        <v>卡卡杜个人护理店（抖店）</v>
      </c>
      <c r="H7422" s="1" t="str">
        <f t="shared" si="2145"/>
        <v>正常订单</v>
      </c>
      <c r="I7422" s="1" t="str">
        <f t="shared" si="2146"/>
        <v>已发货</v>
      </c>
      <c r="J7422" s="1" t="str">
        <f t="shared" si="2162"/>
        <v>3</v>
      </c>
      <c r="K7422" s="1">
        <v>2</v>
      </c>
      <c r="L7422" s="1" t="s">
        <v>74</v>
      </c>
      <c r="M7422" s="1" t="str">
        <f>"上海 上海市 浦东新区 周浦镇"</f>
        <v>上海 上海市 浦东新区 周浦镇</v>
      </c>
      <c r="N7422" s="1" t="str">
        <f t="shared" si="2163"/>
        <v>凡华云仓-韵达-抖音</v>
      </c>
      <c r="O7422" s="5">
        <v>320171080518242</v>
      </c>
      <c r="P7422" s="6">
        <v>0.35</v>
      </c>
      <c r="Q7422" s="11">
        <v>2.2999999999999998</v>
      </c>
      <c r="R7422" s="11"/>
      <c r="S7422" s="11"/>
      <c r="T7422" s="11"/>
      <c r="U7422" s="11">
        <f t="shared" si="2141"/>
        <v>2.2999999999999998</v>
      </c>
      <c r="W7422">
        <v>2.5</v>
      </c>
      <c r="X7422" s="1" t="s">
        <v>74</v>
      </c>
    </row>
    <row r="7423" spans="1:24" x14ac:dyDescent="0.25">
      <c r="A7423" s="1" t="str">
        <f t="shared" si="2143"/>
        <v>卡卡杜-凤凰仓</v>
      </c>
      <c r="B7423" s="1" t="str">
        <f>"CK202410143339"</f>
        <v>CK202410143339</v>
      </c>
      <c r="C7423" s="1" t="str">
        <f>"DD2024101418099"</f>
        <v>DD2024101418099</v>
      </c>
      <c r="D7423" s="1" t="str">
        <f>"CK2024101431809"</f>
        <v>CK2024101431809</v>
      </c>
      <c r="E7423" s="1" t="str">
        <f>"6934985774655346579"</f>
        <v>6934985774655346579</v>
      </c>
      <c r="F7423" s="1" t="str">
        <f t="shared" si="2144"/>
        <v>花都四部-凤凰仓</v>
      </c>
      <c r="G7423" s="1" t="str">
        <f t="shared" si="2161"/>
        <v>卡卡杜个人护理店（抖店）</v>
      </c>
      <c r="H7423" s="1" t="str">
        <f t="shared" si="2145"/>
        <v>正常订单</v>
      </c>
      <c r="I7423" s="1" t="str">
        <f t="shared" si="2146"/>
        <v>已发货</v>
      </c>
      <c r="J7423" s="1" t="str">
        <f t="shared" si="2162"/>
        <v>3</v>
      </c>
      <c r="K7423" s="1">
        <v>2</v>
      </c>
      <c r="L7423" s="1" t="s">
        <v>32</v>
      </c>
      <c r="M7423" s="1" t="str">
        <f>"陕西省 榆林市 神木市 "</f>
        <v xml:space="preserve">陕西省 榆林市 神木市 </v>
      </c>
      <c r="N7423" s="1" t="str">
        <f t="shared" si="2163"/>
        <v>凡华云仓-韵达-抖音</v>
      </c>
      <c r="O7423" s="5">
        <v>320171080518151</v>
      </c>
      <c r="P7423" s="6">
        <v>0.35</v>
      </c>
      <c r="Q7423" s="11">
        <v>2.2999999999999998</v>
      </c>
      <c r="R7423" s="11"/>
      <c r="S7423" s="11"/>
      <c r="T7423" s="11"/>
      <c r="U7423" s="11">
        <f t="shared" si="2141"/>
        <v>2.2999999999999998</v>
      </c>
      <c r="W7423">
        <v>2.5</v>
      </c>
      <c r="X7423" s="1" t="s">
        <v>32</v>
      </c>
    </row>
    <row r="7424" spans="1:24" x14ac:dyDescent="0.25">
      <c r="A7424" s="1" t="str">
        <f t="shared" si="2143"/>
        <v>卡卡杜-凤凰仓</v>
      </c>
      <c r="B7424" s="1" t="str">
        <f>"CK202410143338"</f>
        <v>CK202410143338</v>
      </c>
      <c r="C7424" s="1" t="str">
        <f>"DD2024101418100"</f>
        <v>DD2024101418100</v>
      </c>
      <c r="D7424" s="1" t="str">
        <f>"CK2024101431808"</f>
        <v>CK2024101431808</v>
      </c>
      <c r="E7424" s="1" t="str">
        <f>"6934956540066731095"</f>
        <v>6934956540066731095</v>
      </c>
      <c r="F7424" s="1" t="str">
        <f t="shared" si="2144"/>
        <v>花都四部-凤凰仓</v>
      </c>
      <c r="G7424" s="1" t="str">
        <f t="shared" si="2161"/>
        <v>卡卡杜个人护理店（抖店）</v>
      </c>
      <c r="H7424" s="1" t="str">
        <f t="shared" si="2145"/>
        <v>正常订单</v>
      </c>
      <c r="I7424" s="1" t="str">
        <f t="shared" si="2146"/>
        <v>已发货</v>
      </c>
      <c r="J7424" s="1" t="str">
        <f t="shared" si="2162"/>
        <v>3</v>
      </c>
      <c r="K7424" s="1">
        <v>2</v>
      </c>
      <c r="L7424" s="1" t="s">
        <v>36</v>
      </c>
      <c r="M7424" s="1" t="str">
        <f>"安徽省 滁州市 南谯区 乌衣镇"</f>
        <v>安徽省 滁州市 南谯区 乌衣镇</v>
      </c>
      <c r="N7424" s="1" t="str">
        <f t="shared" si="2163"/>
        <v>凡华云仓-韵达-抖音</v>
      </c>
      <c r="O7424" s="5">
        <v>320171080521442</v>
      </c>
      <c r="P7424" s="6">
        <v>0.35</v>
      </c>
      <c r="Q7424" s="11">
        <v>2.2999999999999998</v>
      </c>
      <c r="R7424" s="11"/>
      <c r="S7424" s="11"/>
      <c r="T7424" s="11"/>
      <c r="U7424" s="11">
        <f t="shared" si="2141"/>
        <v>2.2999999999999998</v>
      </c>
      <c r="W7424">
        <v>2.5</v>
      </c>
      <c r="X7424" s="1" t="s">
        <v>36</v>
      </c>
    </row>
    <row r="7425" spans="1:24" x14ac:dyDescent="0.25">
      <c r="A7425" s="1" t="str">
        <f t="shared" si="2143"/>
        <v>卡卡杜-凤凰仓</v>
      </c>
      <c r="B7425" s="1" t="str">
        <f>"CK202410143333"</f>
        <v>CK202410143333</v>
      </c>
      <c r="C7425" s="1" t="str">
        <f>"DD2024101418094"</f>
        <v>DD2024101418094</v>
      </c>
      <c r="D7425" s="1" t="str">
        <f>"CK2024101431807"</f>
        <v>CK2024101431807</v>
      </c>
      <c r="E7425" s="1" t="str">
        <f>"6934954664098141729"</f>
        <v>6934954664098141729</v>
      </c>
      <c r="F7425" s="1" t="str">
        <f t="shared" si="2144"/>
        <v>花都四部-凤凰仓</v>
      </c>
      <c r="G7425" s="1" t="str">
        <f t="shared" si="2161"/>
        <v>卡卡杜个人护理店（抖店）</v>
      </c>
      <c r="H7425" s="1" t="str">
        <f t="shared" si="2145"/>
        <v>正常订单</v>
      </c>
      <c r="I7425" s="1" t="str">
        <f t="shared" si="2146"/>
        <v>已发货</v>
      </c>
      <c r="J7425" s="1" t="str">
        <f t="shared" si="2162"/>
        <v>3</v>
      </c>
      <c r="K7425" s="1">
        <v>2</v>
      </c>
      <c r="L7425" s="1" t="s">
        <v>74</v>
      </c>
      <c r="M7425" s="1" t="str">
        <f>"上海 上海市 浦东新区 金桥镇"</f>
        <v>上海 上海市 浦东新区 金桥镇</v>
      </c>
      <c r="N7425" s="1" t="str">
        <f t="shared" si="2163"/>
        <v>凡华云仓-韵达-抖音</v>
      </c>
      <c r="O7425" s="5">
        <v>320171080521347</v>
      </c>
      <c r="P7425" s="6">
        <v>0.35</v>
      </c>
      <c r="Q7425" s="11">
        <v>2.2999999999999998</v>
      </c>
      <c r="R7425" s="11"/>
      <c r="S7425" s="11"/>
      <c r="T7425" s="11"/>
      <c r="U7425" s="11">
        <f t="shared" si="2141"/>
        <v>2.2999999999999998</v>
      </c>
      <c r="W7425">
        <v>2.5</v>
      </c>
      <c r="X7425" s="1" t="s">
        <v>74</v>
      </c>
    </row>
    <row r="7426" spans="1:24" x14ac:dyDescent="0.25">
      <c r="A7426" s="1" t="str">
        <f t="shared" si="2143"/>
        <v>卡卡杜-凤凰仓</v>
      </c>
      <c r="B7426" s="1" t="str">
        <f>"CK202410143354"</f>
        <v>CK202410143354</v>
      </c>
      <c r="C7426" s="1" t="str">
        <f>"DD2024101418114"</f>
        <v>DD2024101418114</v>
      </c>
      <c r="D7426" s="1" t="str">
        <f>"CK2024101431806"</f>
        <v>CK2024101431806</v>
      </c>
      <c r="E7426" s="1" t="str">
        <f>"6934937685848561237"</f>
        <v>6934937685848561237</v>
      </c>
      <c r="F7426" s="1" t="str">
        <f t="shared" si="2144"/>
        <v>花都四部-凤凰仓</v>
      </c>
      <c r="G7426" s="1" t="str">
        <f t="shared" si="2161"/>
        <v>卡卡杜个人护理店（抖店）</v>
      </c>
      <c r="H7426" s="1" t="str">
        <f t="shared" si="2145"/>
        <v>正常订单</v>
      </c>
      <c r="I7426" s="1" t="str">
        <f t="shared" si="2146"/>
        <v>已发货</v>
      </c>
      <c r="J7426" s="1" t="str">
        <f t="shared" si="2162"/>
        <v>3</v>
      </c>
      <c r="K7426" s="1">
        <v>2</v>
      </c>
      <c r="L7426" s="1" t="s">
        <v>66</v>
      </c>
      <c r="M7426" s="1" t="str">
        <f>"内蒙古自治区 鄂尔多斯市 东胜区 诃额伦街道"</f>
        <v>内蒙古自治区 鄂尔多斯市 东胜区 诃额伦街道</v>
      </c>
      <c r="N7426" s="1" t="str">
        <f t="shared" si="2163"/>
        <v>凡华云仓-韵达-抖音</v>
      </c>
      <c r="O7426" s="5">
        <v>320171080521254</v>
      </c>
      <c r="P7426" s="6">
        <v>0.35</v>
      </c>
      <c r="Q7426" s="11">
        <v>2.2999999999999998</v>
      </c>
      <c r="R7426" s="11"/>
      <c r="S7426" s="11"/>
      <c r="T7426" s="11"/>
      <c r="U7426" s="11">
        <f t="shared" si="2141"/>
        <v>2.2999999999999998</v>
      </c>
      <c r="W7426">
        <v>2.5</v>
      </c>
      <c r="X7426" s="1" t="s">
        <v>66</v>
      </c>
    </row>
    <row r="7427" spans="1:24" x14ac:dyDescent="0.25">
      <c r="A7427" s="1" t="str">
        <f t="shared" si="2143"/>
        <v>卡卡杜-凤凰仓</v>
      </c>
      <c r="B7427" s="1" t="str">
        <f>"CK202410143301"</f>
        <v>CK202410143301</v>
      </c>
      <c r="C7427" s="1" t="str">
        <f>"DD2024101418062"</f>
        <v>DD2024101418062</v>
      </c>
      <c r="D7427" s="1" t="str">
        <f>"CK2024101431805"</f>
        <v>CK2024101431805</v>
      </c>
      <c r="E7427" s="1" t="str">
        <f>"6934939660088317120"</f>
        <v>6934939660088317120</v>
      </c>
      <c r="F7427" s="1" t="str">
        <f t="shared" si="2144"/>
        <v>花都四部-凤凰仓</v>
      </c>
      <c r="G7427" s="1" t="str">
        <f t="shared" si="2161"/>
        <v>卡卡杜个人护理店（抖店）</v>
      </c>
      <c r="H7427" s="1" t="str">
        <f t="shared" si="2145"/>
        <v>正常订单</v>
      </c>
      <c r="I7427" s="1" t="str">
        <f t="shared" si="2146"/>
        <v>已发货</v>
      </c>
      <c r="J7427" s="1" t="str">
        <f t="shared" si="2162"/>
        <v>3</v>
      </c>
      <c r="K7427" s="1">
        <v>2</v>
      </c>
      <c r="L7427" s="1" t="s">
        <v>24</v>
      </c>
      <c r="M7427" s="1" t="str">
        <f>"福建省 龙岩市 漳平市 桂林街道"</f>
        <v>福建省 龙岩市 漳平市 桂林街道</v>
      </c>
      <c r="N7427" s="1" t="str">
        <f t="shared" si="2163"/>
        <v>凡华云仓-韵达-抖音</v>
      </c>
      <c r="O7427" s="5">
        <v>320171080521163</v>
      </c>
      <c r="P7427" s="6">
        <v>0.35</v>
      </c>
      <c r="Q7427" s="11">
        <v>2.2999999999999998</v>
      </c>
      <c r="R7427" s="11"/>
      <c r="S7427" s="11"/>
      <c r="T7427" s="11"/>
      <c r="U7427" s="11">
        <f t="shared" ref="U7427:U7490" si="2164">T7427+S7427+R7427+Q7427</f>
        <v>2.2999999999999998</v>
      </c>
      <c r="W7427">
        <v>2.5</v>
      </c>
      <c r="X7427" s="1" t="s">
        <v>24</v>
      </c>
    </row>
    <row r="7428" spans="1:24" x14ac:dyDescent="0.25">
      <c r="A7428" s="1" t="str">
        <f t="shared" si="2143"/>
        <v>卡卡杜-凤凰仓</v>
      </c>
      <c r="B7428" s="1" t="str">
        <f>"CK202410143324"</f>
        <v>CK202410143324</v>
      </c>
      <c r="C7428" s="1" t="str">
        <f>"DD2024101418085"</f>
        <v>DD2024101418085</v>
      </c>
      <c r="D7428" s="1" t="str">
        <f>"CK2024101431804"</f>
        <v>CK2024101431804</v>
      </c>
      <c r="E7428" s="1" t="str">
        <f>"6934958961213314131"</f>
        <v>6934958961213314131</v>
      </c>
      <c r="F7428" s="1" t="str">
        <f t="shared" si="2144"/>
        <v>花都四部-凤凰仓</v>
      </c>
      <c r="G7428" s="1" t="str">
        <f t="shared" si="2161"/>
        <v>卡卡杜个人护理店（抖店）</v>
      </c>
      <c r="H7428" s="1" t="str">
        <f t="shared" si="2145"/>
        <v>正常订单</v>
      </c>
      <c r="I7428" s="1" t="str">
        <f t="shared" si="2146"/>
        <v>已发货</v>
      </c>
      <c r="J7428" s="1" t="str">
        <f t="shared" si="2162"/>
        <v>3</v>
      </c>
      <c r="K7428" s="1">
        <v>2</v>
      </c>
      <c r="L7428" s="1" t="s">
        <v>60</v>
      </c>
      <c r="M7428" s="1" t="str">
        <f>"云南省 文山壮族苗族自治州 文山市 开化街道"</f>
        <v>云南省 文山壮族苗族自治州 文山市 开化街道</v>
      </c>
      <c r="N7428" s="1" t="str">
        <f t="shared" si="2163"/>
        <v>凡华云仓-韵达-抖音</v>
      </c>
      <c r="O7428" s="5">
        <v>320171080521074</v>
      </c>
      <c r="P7428" s="6">
        <v>0.35</v>
      </c>
      <c r="Q7428" s="11">
        <v>2.2999999999999998</v>
      </c>
      <c r="R7428" s="11"/>
      <c r="S7428" s="11"/>
      <c r="T7428" s="11"/>
      <c r="U7428" s="11">
        <f t="shared" si="2164"/>
        <v>2.2999999999999998</v>
      </c>
      <c r="W7428">
        <v>2.5</v>
      </c>
      <c r="X7428" s="1" t="s">
        <v>60</v>
      </c>
    </row>
    <row r="7429" spans="1:24" x14ac:dyDescent="0.25">
      <c r="A7429" s="1" t="str">
        <f t="shared" ref="A7429:A7492" si="2165">"卡卡杜-凤凰仓"</f>
        <v>卡卡杜-凤凰仓</v>
      </c>
      <c r="B7429" s="1" t="str">
        <f>"CK202410143325"</f>
        <v>CK202410143325</v>
      </c>
      <c r="C7429" s="1" t="str">
        <f>"DD2024101418086"</f>
        <v>DD2024101418086</v>
      </c>
      <c r="D7429" s="1" t="str">
        <f>"CK2024101431803"</f>
        <v>CK2024101431803</v>
      </c>
      <c r="E7429" s="1" t="str">
        <f>"6934965565521729138"</f>
        <v>6934965565521729138</v>
      </c>
      <c r="F7429" s="1" t="str">
        <f t="shared" ref="F7429:F7492" si="2166">"花都四部-凤凰仓"</f>
        <v>花都四部-凤凰仓</v>
      </c>
      <c r="G7429" s="1" t="str">
        <f t="shared" si="2161"/>
        <v>卡卡杜个人护理店（抖店）</v>
      </c>
      <c r="H7429" s="1" t="str">
        <f t="shared" ref="H7429:H7492" si="2167">"正常订单"</f>
        <v>正常订单</v>
      </c>
      <c r="I7429" s="1" t="str">
        <f t="shared" ref="I7429:I7492" si="2168">"已发货"</f>
        <v>已发货</v>
      </c>
      <c r="J7429" s="1" t="str">
        <f t="shared" si="2162"/>
        <v>3</v>
      </c>
      <c r="K7429" s="1">
        <v>2</v>
      </c>
      <c r="L7429" s="1" t="s">
        <v>18</v>
      </c>
      <c r="M7429" s="1" t="str">
        <f>"广东省 东莞市 东莞市 "</f>
        <v xml:space="preserve">广东省 东莞市 东莞市 </v>
      </c>
      <c r="N7429" s="1" t="str">
        <f t="shared" si="2163"/>
        <v>凡华云仓-韵达-抖音</v>
      </c>
      <c r="O7429" s="5">
        <v>320171080520958</v>
      </c>
      <c r="P7429" s="6">
        <v>0.35</v>
      </c>
      <c r="Q7429" s="11">
        <v>2.2999999999999998</v>
      </c>
      <c r="R7429" s="11"/>
      <c r="S7429" s="11"/>
      <c r="T7429" s="11"/>
      <c r="U7429" s="11">
        <f t="shared" si="2164"/>
        <v>2.2999999999999998</v>
      </c>
      <c r="W7429">
        <v>2.5</v>
      </c>
      <c r="X7429" s="1" t="s">
        <v>18</v>
      </c>
    </row>
    <row r="7430" spans="1:24" x14ac:dyDescent="0.25">
      <c r="A7430" s="1" t="str">
        <f t="shared" si="2165"/>
        <v>卡卡杜-凤凰仓</v>
      </c>
      <c r="B7430" s="1" t="str">
        <f>"CK202410143258"</f>
        <v>CK202410143258</v>
      </c>
      <c r="C7430" s="1" t="str">
        <f>"DD2024101418019"</f>
        <v>DD2024101418019</v>
      </c>
      <c r="D7430" s="1" t="str">
        <f>"CK2024101431802"</f>
        <v>CK2024101431802</v>
      </c>
      <c r="E7430" s="1" t="str">
        <f>"6934981123630044507"</f>
        <v>6934981123630044507</v>
      </c>
      <c r="F7430" s="1" t="str">
        <f t="shared" si="2166"/>
        <v>花都四部-凤凰仓</v>
      </c>
      <c r="G7430" s="1" t="str">
        <f t="shared" si="2161"/>
        <v>卡卡杜个人护理店（抖店）</v>
      </c>
      <c r="H7430" s="1" t="str">
        <f t="shared" si="2167"/>
        <v>正常订单</v>
      </c>
      <c r="I7430" s="1" t="str">
        <f t="shared" si="2168"/>
        <v>已发货</v>
      </c>
      <c r="J7430" s="1" t="str">
        <f t="shared" si="2162"/>
        <v>3</v>
      </c>
      <c r="K7430" s="1">
        <v>2</v>
      </c>
      <c r="L7430" s="1" t="s">
        <v>13</v>
      </c>
      <c r="M7430" s="1" t="str">
        <f>"江苏省 宿迁市 宿城区 项里街道"</f>
        <v>江苏省 宿迁市 宿城区 项里街道</v>
      </c>
      <c r="N7430" s="1" t="str">
        <f t="shared" si="2163"/>
        <v>凡华云仓-韵达-抖音</v>
      </c>
      <c r="O7430" s="5">
        <v>320171080520853</v>
      </c>
      <c r="P7430" s="6">
        <v>0.35</v>
      </c>
      <c r="Q7430" s="11">
        <v>2.2999999999999998</v>
      </c>
      <c r="R7430" s="11"/>
      <c r="S7430" s="11"/>
      <c r="T7430" s="11"/>
      <c r="U7430" s="11">
        <f t="shared" si="2164"/>
        <v>2.2999999999999998</v>
      </c>
      <c r="W7430">
        <v>2.5</v>
      </c>
      <c r="X7430" s="1" t="s">
        <v>13</v>
      </c>
    </row>
    <row r="7431" spans="1:24" x14ac:dyDescent="0.25">
      <c r="A7431" s="1" t="str">
        <f t="shared" si="2165"/>
        <v>卡卡杜-凤凰仓</v>
      </c>
      <c r="B7431" s="1" t="str">
        <f>"CK202410143246"</f>
        <v>CK202410143246</v>
      </c>
      <c r="C7431" s="1" t="str">
        <f>"DD2024101418006"</f>
        <v>DD2024101418006</v>
      </c>
      <c r="D7431" s="1" t="str">
        <f>"CK2024101431801"</f>
        <v>CK2024101431801</v>
      </c>
      <c r="E7431" s="1" t="str">
        <f>"6934967580130874449"</f>
        <v>6934967580130874449</v>
      </c>
      <c r="F7431" s="1" t="str">
        <f t="shared" si="2166"/>
        <v>花都四部-凤凰仓</v>
      </c>
      <c r="G7431" s="1" t="str">
        <f t="shared" si="2161"/>
        <v>卡卡杜个人护理店（抖店）</v>
      </c>
      <c r="H7431" s="1" t="str">
        <f t="shared" si="2167"/>
        <v>正常订单</v>
      </c>
      <c r="I7431" s="1" t="str">
        <f t="shared" si="2168"/>
        <v>已发货</v>
      </c>
      <c r="J7431" s="1" t="str">
        <f t="shared" si="2162"/>
        <v>3</v>
      </c>
      <c r="K7431" s="1">
        <v>2</v>
      </c>
      <c r="L7431" s="1" t="s">
        <v>13</v>
      </c>
      <c r="M7431" s="1" t="str">
        <f>"江苏省 徐州市 邳州市 官湖镇"</f>
        <v>江苏省 徐州市 邳州市 官湖镇</v>
      </c>
      <c r="N7431" s="1" t="str">
        <f t="shared" si="2163"/>
        <v>凡华云仓-韵达-抖音</v>
      </c>
      <c r="O7431" s="5">
        <v>320171080520750</v>
      </c>
      <c r="P7431" s="6">
        <v>0.35</v>
      </c>
      <c r="Q7431" s="11">
        <v>2.2999999999999998</v>
      </c>
      <c r="R7431" s="11"/>
      <c r="S7431" s="11"/>
      <c r="T7431" s="11"/>
      <c r="U7431" s="11">
        <f t="shared" si="2164"/>
        <v>2.2999999999999998</v>
      </c>
      <c r="W7431">
        <v>2.5</v>
      </c>
      <c r="X7431" s="1" t="s">
        <v>13</v>
      </c>
    </row>
    <row r="7432" spans="1:24" x14ac:dyDescent="0.25">
      <c r="A7432" s="1" t="str">
        <f t="shared" si="2165"/>
        <v>卡卡杜-凤凰仓</v>
      </c>
      <c r="B7432" s="1" t="str">
        <f>"CK202410143282"</f>
        <v>CK202410143282</v>
      </c>
      <c r="C7432" s="1" t="str">
        <f>"DD2024101418042"</f>
        <v>DD2024101418042</v>
      </c>
      <c r="D7432" s="1" t="str">
        <f>"CK2024101431800"</f>
        <v>CK2024101431800</v>
      </c>
      <c r="E7432" s="1" t="str">
        <f>"6934956674289767657"</f>
        <v>6934956674289767657</v>
      </c>
      <c r="F7432" s="1" t="str">
        <f t="shared" si="2166"/>
        <v>花都四部-凤凰仓</v>
      </c>
      <c r="G7432" s="1" t="str">
        <f t="shared" si="2161"/>
        <v>卡卡杜个人护理店（抖店）</v>
      </c>
      <c r="H7432" s="1" t="str">
        <f t="shared" si="2167"/>
        <v>正常订单</v>
      </c>
      <c r="I7432" s="1" t="str">
        <f t="shared" si="2168"/>
        <v>已发货</v>
      </c>
      <c r="J7432" s="1" t="str">
        <f t="shared" si="2162"/>
        <v>3</v>
      </c>
      <c r="K7432" s="1">
        <v>2</v>
      </c>
      <c r="L7432" s="1" t="s">
        <v>13</v>
      </c>
      <c r="M7432" s="1" t="str">
        <f>"江苏省 徐州市 贾汪区 "</f>
        <v xml:space="preserve">江苏省 徐州市 贾汪区 </v>
      </c>
      <c r="N7432" s="1" t="str">
        <f t="shared" si="2163"/>
        <v>凡华云仓-韵达-抖音</v>
      </c>
      <c r="O7432" s="5">
        <v>320171080520649</v>
      </c>
      <c r="P7432" s="6">
        <v>0.35</v>
      </c>
      <c r="Q7432" s="11">
        <v>2.2999999999999998</v>
      </c>
      <c r="R7432" s="11"/>
      <c r="S7432" s="11"/>
      <c r="T7432" s="11"/>
      <c r="U7432" s="11">
        <f t="shared" si="2164"/>
        <v>2.2999999999999998</v>
      </c>
      <c r="W7432">
        <v>2.5</v>
      </c>
      <c r="X7432" s="1" t="s">
        <v>13</v>
      </c>
    </row>
    <row r="7433" spans="1:24" x14ac:dyDescent="0.25">
      <c r="A7433" s="1" t="str">
        <f t="shared" si="2165"/>
        <v>卡卡杜-凤凰仓</v>
      </c>
      <c r="B7433" s="1" t="str">
        <f>"CK202410143314"</f>
        <v>CK202410143314</v>
      </c>
      <c r="C7433" s="1" t="str">
        <f>"DD2024101418075"</f>
        <v>DD2024101418075</v>
      </c>
      <c r="D7433" s="1" t="str">
        <f>"CK2024101431799"</f>
        <v>CK2024101431799</v>
      </c>
      <c r="E7433" s="1" t="str">
        <f>"6934961282897352332"</f>
        <v>6934961282897352332</v>
      </c>
      <c r="F7433" s="1" t="str">
        <f t="shared" si="2166"/>
        <v>花都四部-凤凰仓</v>
      </c>
      <c r="G7433" s="1" t="str">
        <f t="shared" si="2161"/>
        <v>卡卡杜个人护理店（抖店）</v>
      </c>
      <c r="H7433" s="1" t="str">
        <f t="shared" si="2167"/>
        <v>正常订单</v>
      </c>
      <c r="I7433" s="1" t="str">
        <f t="shared" si="2168"/>
        <v>已发货</v>
      </c>
      <c r="J7433" s="1" t="str">
        <f t="shared" si="2162"/>
        <v>3</v>
      </c>
      <c r="K7433" s="1">
        <v>2</v>
      </c>
      <c r="L7433" s="1" t="s">
        <v>36</v>
      </c>
      <c r="M7433" s="1" t="str">
        <f>"安徽省 宿州市 砀山县 "</f>
        <v xml:space="preserve">安徽省 宿州市 砀山县 </v>
      </c>
      <c r="N7433" s="1" t="str">
        <f t="shared" si="2163"/>
        <v>凡华云仓-韵达-抖音</v>
      </c>
      <c r="O7433" s="5">
        <v>320171080520550</v>
      </c>
      <c r="P7433" s="6">
        <v>0.35</v>
      </c>
      <c r="Q7433" s="11">
        <v>2.2999999999999998</v>
      </c>
      <c r="R7433" s="11"/>
      <c r="S7433" s="11"/>
      <c r="T7433" s="11"/>
      <c r="U7433" s="11">
        <f t="shared" si="2164"/>
        <v>2.2999999999999998</v>
      </c>
      <c r="W7433">
        <v>2.5</v>
      </c>
      <c r="X7433" s="1" t="s">
        <v>36</v>
      </c>
    </row>
    <row r="7434" spans="1:24" x14ac:dyDescent="0.25">
      <c r="A7434" s="1" t="str">
        <f t="shared" si="2165"/>
        <v>卡卡杜-凤凰仓</v>
      </c>
      <c r="B7434" s="1" t="str">
        <f>"CK202410143308"</f>
        <v>CK202410143308</v>
      </c>
      <c r="C7434" s="1" t="str">
        <f>"DD2024101418069"</f>
        <v>DD2024101418069</v>
      </c>
      <c r="D7434" s="1" t="str">
        <f>"CK2024101431798"</f>
        <v>CK2024101431798</v>
      </c>
      <c r="E7434" s="1" t="str">
        <f>"6934966777260283601"</f>
        <v>6934966777260283601</v>
      </c>
      <c r="F7434" s="1" t="str">
        <f t="shared" si="2166"/>
        <v>花都四部-凤凰仓</v>
      </c>
      <c r="G7434" s="1" t="str">
        <f t="shared" si="2161"/>
        <v>卡卡杜个人护理店（抖店）</v>
      </c>
      <c r="H7434" s="1" t="str">
        <f t="shared" si="2167"/>
        <v>正常订单</v>
      </c>
      <c r="I7434" s="1" t="str">
        <f t="shared" si="2168"/>
        <v>已发货</v>
      </c>
      <c r="J7434" s="1" t="str">
        <f t="shared" si="2162"/>
        <v>3</v>
      </c>
      <c r="K7434" s="1">
        <v>2</v>
      </c>
      <c r="L7434" s="1" t="s">
        <v>20</v>
      </c>
      <c r="M7434" s="1" t="str">
        <f>"浙江省 宁波市 海曙区 石碶街道"</f>
        <v>浙江省 宁波市 海曙区 石碶街道</v>
      </c>
      <c r="N7434" s="1" t="str">
        <f t="shared" si="2163"/>
        <v>凡华云仓-韵达-抖音</v>
      </c>
      <c r="O7434" s="5">
        <v>320171097101088</v>
      </c>
      <c r="P7434" s="6">
        <v>0.35</v>
      </c>
      <c r="Q7434" s="11">
        <v>2.2999999999999998</v>
      </c>
      <c r="R7434" s="11"/>
      <c r="S7434" s="11"/>
      <c r="T7434" s="11"/>
      <c r="U7434" s="11">
        <f t="shared" si="2164"/>
        <v>2.2999999999999998</v>
      </c>
      <c r="W7434">
        <v>2.5</v>
      </c>
      <c r="X7434" s="1" t="s">
        <v>20</v>
      </c>
    </row>
    <row r="7435" spans="1:24" x14ac:dyDescent="0.25">
      <c r="A7435" s="1" t="str">
        <f t="shared" si="2165"/>
        <v>卡卡杜-凤凰仓</v>
      </c>
      <c r="B7435" s="1" t="str">
        <f>"CK202410143313"</f>
        <v>CK202410143313</v>
      </c>
      <c r="C7435" s="1" t="str">
        <f>"DD2024101418073"</f>
        <v>DD2024101418073</v>
      </c>
      <c r="D7435" s="1" t="str">
        <f>"CK2024101431797"</f>
        <v>CK2024101431797</v>
      </c>
      <c r="E7435" s="1" t="str">
        <f>"6934978787641201840"</f>
        <v>6934978787641201840</v>
      </c>
      <c r="F7435" s="1" t="str">
        <f t="shared" si="2166"/>
        <v>花都四部-凤凰仓</v>
      </c>
      <c r="G7435" s="1" t="str">
        <f t="shared" si="2161"/>
        <v>卡卡杜个人护理店（抖店）</v>
      </c>
      <c r="H7435" s="1" t="str">
        <f t="shared" si="2167"/>
        <v>正常订单</v>
      </c>
      <c r="I7435" s="1" t="str">
        <f t="shared" si="2168"/>
        <v>已发货</v>
      </c>
      <c r="J7435" s="1" t="str">
        <f t="shared" si="2162"/>
        <v>3</v>
      </c>
      <c r="K7435" s="1">
        <v>2</v>
      </c>
      <c r="L7435" s="1" t="s">
        <v>13</v>
      </c>
      <c r="M7435" s="1" t="str">
        <f>"江苏省 徐州市 睢宁县 睢河街道"</f>
        <v>江苏省 徐州市 睢宁县 睢河街道</v>
      </c>
      <c r="N7435" s="1" t="str">
        <f t="shared" si="2163"/>
        <v>凡华云仓-韵达-抖音</v>
      </c>
      <c r="O7435" s="5">
        <v>320171097100972</v>
      </c>
      <c r="P7435" s="6">
        <v>0.35</v>
      </c>
      <c r="Q7435" s="11">
        <v>2.2999999999999998</v>
      </c>
      <c r="R7435" s="11"/>
      <c r="S7435" s="11"/>
      <c r="T7435" s="11"/>
      <c r="U7435" s="11">
        <f t="shared" si="2164"/>
        <v>2.2999999999999998</v>
      </c>
      <c r="W7435">
        <v>2.5</v>
      </c>
      <c r="X7435" s="1" t="s">
        <v>13</v>
      </c>
    </row>
    <row r="7436" spans="1:24" x14ac:dyDescent="0.25">
      <c r="A7436" s="1" t="str">
        <f t="shared" si="2165"/>
        <v>卡卡杜-凤凰仓</v>
      </c>
      <c r="B7436" s="1" t="str">
        <f>"CK202410143322"</f>
        <v>CK202410143322</v>
      </c>
      <c r="C7436" s="1" t="str">
        <f>"DD2024101418083"</f>
        <v>DD2024101418083</v>
      </c>
      <c r="D7436" s="1" t="str">
        <f>"CK2024101431796"</f>
        <v>CK2024101431796</v>
      </c>
      <c r="E7436" s="1" t="str">
        <f>"6934967491029899195"</f>
        <v>6934967491029899195</v>
      </c>
      <c r="F7436" s="1" t="str">
        <f t="shared" si="2166"/>
        <v>花都四部-凤凰仓</v>
      </c>
      <c r="G7436" s="1" t="str">
        <f t="shared" si="2161"/>
        <v>卡卡杜个人护理店（抖店）</v>
      </c>
      <c r="H7436" s="1" t="str">
        <f t="shared" si="2167"/>
        <v>正常订单</v>
      </c>
      <c r="I7436" s="1" t="str">
        <f t="shared" si="2168"/>
        <v>已发货</v>
      </c>
      <c r="J7436" s="1" t="str">
        <f t="shared" si="2162"/>
        <v>3</v>
      </c>
      <c r="K7436" s="1">
        <v>2</v>
      </c>
      <c r="L7436" s="1" t="s">
        <v>20</v>
      </c>
      <c r="M7436" s="1" t="str">
        <f>"浙江省 宁波市 象山县 丹东街道"</f>
        <v>浙江省 宁波市 象山县 丹东街道</v>
      </c>
      <c r="N7436" s="1" t="str">
        <f t="shared" si="2163"/>
        <v>凡华云仓-韵达-抖音</v>
      </c>
      <c r="O7436" s="5">
        <v>320171097100867</v>
      </c>
      <c r="P7436" s="6">
        <v>0.35</v>
      </c>
      <c r="Q7436" s="11">
        <v>2.2999999999999998</v>
      </c>
      <c r="R7436" s="11"/>
      <c r="S7436" s="11"/>
      <c r="T7436" s="11"/>
      <c r="U7436" s="11">
        <f t="shared" si="2164"/>
        <v>2.2999999999999998</v>
      </c>
      <c r="W7436">
        <v>2.5</v>
      </c>
      <c r="X7436" s="1" t="s">
        <v>20</v>
      </c>
    </row>
    <row r="7437" spans="1:24" x14ac:dyDescent="0.25">
      <c r="A7437" s="1" t="str">
        <f t="shared" si="2165"/>
        <v>卡卡杜-凤凰仓</v>
      </c>
      <c r="B7437" s="1" t="str">
        <f>"CK202410143303"</f>
        <v>CK202410143303</v>
      </c>
      <c r="C7437" s="1" t="str">
        <f>"DD2024101418064"</f>
        <v>DD2024101418064</v>
      </c>
      <c r="D7437" s="1" t="str">
        <f>"CK2024101431795"</f>
        <v>CK2024101431795</v>
      </c>
      <c r="E7437" s="1" t="str">
        <f>"6934974201885693911"</f>
        <v>6934974201885693911</v>
      </c>
      <c r="F7437" s="1" t="str">
        <f t="shared" si="2166"/>
        <v>花都四部-凤凰仓</v>
      </c>
      <c r="G7437" s="1" t="str">
        <f t="shared" si="2161"/>
        <v>卡卡杜个人护理店（抖店）</v>
      </c>
      <c r="H7437" s="1" t="str">
        <f t="shared" si="2167"/>
        <v>正常订单</v>
      </c>
      <c r="I7437" s="1" t="str">
        <f t="shared" si="2168"/>
        <v>已发货</v>
      </c>
      <c r="J7437" s="1" t="str">
        <f t="shared" si="2162"/>
        <v>3</v>
      </c>
      <c r="K7437" s="1">
        <v>2</v>
      </c>
      <c r="L7437" s="1" t="s">
        <v>44</v>
      </c>
      <c r="M7437" s="1" t="str">
        <f>"海南省 澄迈县 澄迈县 金江镇"</f>
        <v>海南省 澄迈县 澄迈县 金江镇</v>
      </c>
      <c r="N7437" s="1" t="str">
        <f t="shared" si="2163"/>
        <v>凡华云仓-韵达-抖音</v>
      </c>
      <c r="O7437" s="5">
        <v>320171097100764</v>
      </c>
      <c r="P7437" s="6">
        <v>0.35</v>
      </c>
      <c r="Q7437" s="11">
        <v>2.2999999999999998</v>
      </c>
      <c r="R7437" s="11"/>
      <c r="S7437" s="11"/>
      <c r="T7437" s="11"/>
      <c r="U7437" s="11">
        <f t="shared" si="2164"/>
        <v>2.2999999999999998</v>
      </c>
      <c r="W7437">
        <v>2.5</v>
      </c>
      <c r="X7437" s="1" t="s">
        <v>44</v>
      </c>
    </row>
    <row r="7438" spans="1:24" x14ac:dyDescent="0.25">
      <c r="A7438" s="1" t="str">
        <f t="shared" si="2165"/>
        <v>卡卡杜-凤凰仓</v>
      </c>
      <c r="B7438" s="1" t="str">
        <f>"CK202410143307"</f>
        <v>CK202410143307</v>
      </c>
      <c r="C7438" s="1" t="str">
        <f>"DD2024101418068"</f>
        <v>DD2024101418068</v>
      </c>
      <c r="D7438" s="1" t="str">
        <f>"CK2024101431794"</f>
        <v>CK2024101431794</v>
      </c>
      <c r="E7438" s="1" t="str">
        <f>"6917554533477809442"</f>
        <v>6917554533477809442</v>
      </c>
      <c r="F7438" s="1" t="str">
        <f t="shared" si="2166"/>
        <v>花都四部-凤凰仓</v>
      </c>
      <c r="G7438" s="1" t="str">
        <f t="shared" si="2161"/>
        <v>卡卡杜个人护理店（抖店）</v>
      </c>
      <c r="H7438" s="1" t="str">
        <f t="shared" si="2167"/>
        <v>正常订单</v>
      </c>
      <c r="I7438" s="1" t="str">
        <f t="shared" si="2168"/>
        <v>已发货</v>
      </c>
      <c r="J7438" s="1" t="str">
        <f t="shared" si="2162"/>
        <v>3</v>
      </c>
      <c r="K7438" s="1">
        <v>2</v>
      </c>
      <c r="L7438" s="1" t="s">
        <v>13</v>
      </c>
      <c r="M7438" s="1" t="str">
        <f>"江苏省 盐城市 亭湖区 黄海街道"</f>
        <v>江苏省 盐城市 亭湖区 黄海街道</v>
      </c>
      <c r="N7438" s="1" t="str">
        <f t="shared" si="2163"/>
        <v>凡华云仓-韵达-抖音</v>
      </c>
      <c r="O7438" s="5">
        <v>320171097100663</v>
      </c>
      <c r="P7438" s="6">
        <v>0.35</v>
      </c>
      <c r="Q7438" s="11">
        <v>2.2999999999999998</v>
      </c>
      <c r="R7438" s="11"/>
      <c r="S7438" s="11"/>
      <c r="T7438" s="11"/>
      <c r="U7438" s="11">
        <f t="shared" si="2164"/>
        <v>2.2999999999999998</v>
      </c>
      <c r="W7438">
        <v>2.5</v>
      </c>
      <c r="X7438" s="1" t="s">
        <v>13</v>
      </c>
    </row>
    <row r="7439" spans="1:24" x14ac:dyDescent="0.25">
      <c r="A7439" s="1" t="str">
        <f t="shared" si="2165"/>
        <v>卡卡杜-凤凰仓</v>
      </c>
      <c r="B7439" s="1" t="str">
        <f>"CK202410143374"</f>
        <v>CK202410143374</v>
      </c>
      <c r="C7439" s="1" t="str">
        <f>"DD2024101418135"</f>
        <v>DD2024101418135</v>
      </c>
      <c r="D7439" s="1" t="str">
        <f>"CK2024101431793"</f>
        <v>CK2024101431793</v>
      </c>
      <c r="E7439" s="1" t="str">
        <f>"6934970208828724700"</f>
        <v>6934970208828724700</v>
      </c>
      <c r="F7439" s="1" t="str">
        <f t="shared" si="2166"/>
        <v>花都四部-凤凰仓</v>
      </c>
      <c r="G7439" s="1" t="str">
        <f t="shared" si="2161"/>
        <v>卡卡杜个人护理店（抖店）</v>
      </c>
      <c r="H7439" s="1" t="str">
        <f t="shared" si="2167"/>
        <v>正常订单</v>
      </c>
      <c r="I7439" s="1" t="str">
        <f t="shared" si="2168"/>
        <v>已发货</v>
      </c>
      <c r="J7439" s="1" t="str">
        <f>"5"</f>
        <v>5</v>
      </c>
      <c r="K7439" s="1">
        <v>2</v>
      </c>
      <c r="L7439" s="1" t="s">
        <v>13</v>
      </c>
      <c r="M7439" s="1" t="str">
        <f>"江苏省 泰州市 靖江市 城南"</f>
        <v>江苏省 泰州市 靖江市 城南</v>
      </c>
      <c r="N7439" s="1" t="str">
        <f t="shared" si="2163"/>
        <v>凡华云仓-韵达-抖音</v>
      </c>
      <c r="O7439" s="5">
        <v>320171097100564</v>
      </c>
      <c r="P7439" s="6">
        <v>0.59</v>
      </c>
      <c r="Q7439" s="11">
        <f>CEILING(P7439-0.5,0.1)*10*0.15+2.3</f>
        <v>2.4499999999999997</v>
      </c>
      <c r="R7439" s="11"/>
      <c r="S7439" s="11"/>
      <c r="T7439" s="11"/>
      <c r="U7439" s="11">
        <f t="shared" si="2164"/>
        <v>2.4499999999999997</v>
      </c>
      <c r="V7439" t="s">
        <v>15</v>
      </c>
      <c r="W7439">
        <v>2.4500000000000002</v>
      </c>
      <c r="X7439" s="1" t="s">
        <v>13</v>
      </c>
    </row>
    <row r="7440" spans="1:24" x14ac:dyDescent="0.25">
      <c r="A7440" s="1" t="str">
        <f t="shared" si="2165"/>
        <v>卡卡杜-凤凰仓</v>
      </c>
      <c r="B7440" s="1" t="str">
        <f>"CK202410143310"</f>
        <v>CK202410143310</v>
      </c>
      <c r="C7440" s="1" t="str">
        <f>"DD2024101418071"</f>
        <v>DD2024101418071</v>
      </c>
      <c r="D7440" s="1" t="str">
        <f>"CK2024101431792"</f>
        <v>CK2024101431792</v>
      </c>
      <c r="E7440" s="1" t="str">
        <f>"6934985986701071794"</f>
        <v>6934985986701071794</v>
      </c>
      <c r="F7440" s="1" t="str">
        <f t="shared" si="2166"/>
        <v>花都四部-凤凰仓</v>
      </c>
      <c r="G7440" s="1" t="str">
        <f t="shared" si="2161"/>
        <v>卡卡杜个人护理店（抖店）</v>
      </c>
      <c r="H7440" s="1" t="str">
        <f t="shared" si="2167"/>
        <v>正常订单</v>
      </c>
      <c r="I7440" s="1" t="str">
        <f t="shared" si="2168"/>
        <v>已发货</v>
      </c>
      <c r="J7440" s="1" t="str">
        <f t="shared" ref="J7440:J7444" si="2169">"3"</f>
        <v>3</v>
      </c>
      <c r="K7440" s="1">
        <v>2</v>
      </c>
      <c r="L7440" s="1" t="s">
        <v>36</v>
      </c>
      <c r="M7440" s="1" t="str">
        <f>"安徽省 合肥市 庐阳区 大杨镇"</f>
        <v>安徽省 合肥市 庐阳区 大杨镇</v>
      </c>
      <c r="N7440" s="1" t="str">
        <f t="shared" si="2163"/>
        <v>凡华云仓-韵达-抖音</v>
      </c>
      <c r="O7440" s="5">
        <v>320171097100467</v>
      </c>
      <c r="P7440" s="6">
        <v>0.35</v>
      </c>
      <c r="Q7440" s="11">
        <v>2.2999999999999998</v>
      </c>
      <c r="R7440" s="11"/>
      <c r="S7440" s="11"/>
      <c r="T7440" s="11"/>
      <c r="U7440" s="11">
        <f t="shared" si="2164"/>
        <v>2.2999999999999998</v>
      </c>
      <c r="W7440">
        <v>2.5</v>
      </c>
      <c r="X7440" s="1" t="s">
        <v>36</v>
      </c>
    </row>
    <row r="7441" spans="1:24" x14ac:dyDescent="0.25">
      <c r="A7441" s="1" t="str">
        <f t="shared" si="2165"/>
        <v>卡卡杜-凤凰仓</v>
      </c>
      <c r="B7441" s="1" t="str">
        <f>"CK202410143329"</f>
        <v>CK202410143329</v>
      </c>
      <c r="C7441" s="1" t="str">
        <f>"DD2024101418090"</f>
        <v>DD2024101418090</v>
      </c>
      <c r="D7441" s="1" t="str">
        <f>"CK2024101431791"</f>
        <v>CK2024101431791</v>
      </c>
      <c r="E7441" s="1" t="str">
        <f>"6934976540640023745"</f>
        <v>6934976540640023745</v>
      </c>
      <c r="F7441" s="1" t="str">
        <f t="shared" si="2166"/>
        <v>花都四部-凤凰仓</v>
      </c>
      <c r="G7441" s="1" t="str">
        <f t="shared" si="2161"/>
        <v>卡卡杜个人护理店（抖店）</v>
      </c>
      <c r="H7441" s="1" t="str">
        <f t="shared" si="2167"/>
        <v>正常订单</v>
      </c>
      <c r="I7441" s="1" t="str">
        <f t="shared" si="2168"/>
        <v>已发货</v>
      </c>
      <c r="J7441" s="1" t="str">
        <f t="shared" si="2169"/>
        <v>3</v>
      </c>
      <c r="K7441" s="1">
        <v>2</v>
      </c>
      <c r="L7441" s="1" t="s">
        <v>22</v>
      </c>
      <c r="M7441" s="1" t="str">
        <f>"江西省 上饶市 鄱阳县 双港镇"</f>
        <v>江西省 上饶市 鄱阳县 双港镇</v>
      </c>
      <c r="N7441" s="1" t="str">
        <f t="shared" si="2163"/>
        <v>凡华云仓-韵达-抖音</v>
      </c>
      <c r="O7441" s="5">
        <v>320171097100372</v>
      </c>
      <c r="P7441" s="6">
        <v>0.35</v>
      </c>
      <c r="Q7441" s="11">
        <v>2.2999999999999998</v>
      </c>
      <c r="R7441" s="11"/>
      <c r="S7441" s="11"/>
      <c r="T7441" s="11"/>
      <c r="U7441" s="11">
        <f t="shared" si="2164"/>
        <v>2.2999999999999998</v>
      </c>
      <c r="W7441">
        <v>2.5</v>
      </c>
      <c r="X7441" s="1" t="s">
        <v>22</v>
      </c>
    </row>
    <row r="7442" spans="1:24" x14ac:dyDescent="0.25">
      <c r="A7442" s="1" t="str">
        <f t="shared" si="2165"/>
        <v>卡卡杜-凤凰仓</v>
      </c>
      <c r="B7442" s="1" t="str">
        <f>"CK202410143327"</f>
        <v>CK202410143327</v>
      </c>
      <c r="C7442" s="1" t="str">
        <f>"DD2024101418088"</f>
        <v>DD2024101418088</v>
      </c>
      <c r="D7442" s="1" t="str">
        <f>"CK2024101431790"</f>
        <v>CK2024101431790</v>
      </c>
      <c r="E7442" s="1" t="str">
        <f>"6934974160144635316"</f>
        <v>6934974160144635316</v>
      </c>
      <c r="F7442" s="1" t="str">
        <f t="shared" si="2166"/>
        <v>花都四部-凤凰仓</v>
      </c>
      <c r="G7442" s="1" t="str">
        <f t="shared" si="2161"/>
        <v>卡卡杜个人护理店（抖店）</v>
      </c>
      <c r="H7442" s="1" t="str">
        <f t="shared" si="2167"/>
        <v>正常订单</v>
      </c>
      <c r="I7442" s="1" t="str">
        <f t="shared" si="2168"/>
        <v>已发货</v>
      </c>
      <c r="J7442" s="1" t="str">
        <f t="shared" si="2169"/>
        <v>3</v>
      </c>
      <c r="K7442" s="1">
        <v>2</v>
      </c>
      <c r="L7442" s="1" t="s">
        <v>36</v>
      </c>
      <c r="M7442" s="1" t="str">
        <f>"安徽省 宣城市 宣州区 狸桥镇"</f>
        <v>安徽省 宣城市 宣州区 狸桥镇</v>
      </c>
      <c r="N7442" s="1" t="str">
        <f t="shared" si="2163"/>
        <v>凡华云仓-韵达-抖音</v>
      </c>
      <c r="O7442" s="5">
        <v>320171097100279</v>
      </c>
      <c r="P7442" s="6">
        <v>0.35</v>
      </c>
      <c r="Q7442" s="11">
        <v>2.2999999999999998</v>
      </c>
      <c r="R7442" s="11"/>
      <c r="S7442" s="11"/>
      <c r="T7442" s="11"/>
      <c r="U7442" s="11">
        <f t="shared" si="2164"/>
        <v>2.2999999999999998</v>
      </c>
      <c r="W7442">
        <v>2.5</v>
      </c>
      <c r="X7442" s="1" t="s">
        <v>36</v>
      </c>
    </row>
    <row r="7443" spans="1:24" x14ac:dyDescent="0.25">
      <c r="A7443" s="1" t="str">
        <f t="shared" si="2165"/>
        <v>卡卡杜-凤凰仓</v>
      </c>
      <c r="B7443" s="1" t="str">
        <f>"CK202410143305"</f>
        <v>CK202410143305</v>
      </c>
      <c r="C7443" s="1" t="str">
        <f>"DD2024101418066"</f>
        <v>DD2024101418066</v>
      </c>
      <c r="D7443" s="1" t="str">
        <f>"CK2024101431789"</f>
        <v>CK2024101431789</v>
      </c>
      <c r="E7443" s="1" t="str">
        <f>"6934961866536522919"</f>
        <v>6934961866536522919</v>
      </c>
      <c r="F7443" s="1" t="str">
        <f t="shared" si="2166"/>
        <v>花都四部-凤凰仓</v>
      </c>
      <c r="G7443" s="1" t="str">
        <f t="shared" si="2161"/>
        <v>卡卡杜个人护理店（抖店）</v>
      </c>
      <c r="H7443" s="1" t="str">
        <f t="shared" si="2167"/>
        <v>正常订单</v>
      </c>
      <c r="I7443" s="1" t="str">
        <f t="shared" si="2168"/>
        <v>已发货</v>
      </c>
      <c r="J7443" s="1" t="str">
        <f t="shared" si="2169"/>
        <v>3</v>
      </c>
      <c r="K7443" s="1">
        <v>2</v>
      </c>
      <c r="L7443" s="1" t="s">
        <v>18</v>
      </c>
      <c r="M7443" s="1" t="str">
        <f>"广东省 汕头市 澄海区 澄华街道"</f>
        <v>广东省 汕头市 澄海区 澄华街道</v>
      </c>
      <c r="N7443" s="1" t="str">
        <f t="shared" si="2163"/>
        <v>凡华云仓-韵达-抖音</v>
      </c>
      <c r="O7443" s="5">
        <v>320171097100188</v>
      </c>
      <c r="P7443" s="6">
        <v>0.35</v>
      </c>
      <c r="Q7443" s="11">
        <v>2.2999999999999998</v>
      </c>
      <c r="R7443" s="11"/>
      <c r="S7443" s="11"/>
      <c r="T7443" s="11"/>
      <c r="U7443" s="11">
        <f t="shared" si="2164"/>
        <v>2.2999999999999998</v>
      </c>
      <c r="W7443">
        <v>2.5</v>
      </c>
      <c r="X7443" s="1" t="s">
        <v>18</v>
      </c>
    </row>
    <row r="7444" spans="1:24" x14ac:dyDescent="0.25">
      <c r="A7444" s="1" t="str">
        <f t="shared" si="2165"/>
        <v>卡卡杜-凤凰仓</v>
      </c>
      <c r="B7444" s="1" t="str">
        <f>"CK202410143304"</f>
        <v>CK202410143304</v>
      </c>
      <c r="C7444" s="1" t="str">
        <f>"DD2024101418065"</f>
        <v>DD2024101418065</v>
      </c>
      <c r="D7444" s="1" t="str">
        <f>"CK2024101431788"</f>
        <v>CK2024101431788</v>
      </c>
      <c r="E7444" s="1" t="str">
        <f>"6934985966202459240"</f>
        <v>6934985966202459240</v>
      </c>
      <c r="F7444" s="1" t="str">
        <f t="shared" si="2166"/>
        <v>花都四部-凤凰仓</v>
      </c>
      <c r="G7444" s="1" t="str">
        <f t="shared" si="2161"/>
        <v>卡卡杜个人护理店（抖店）</v>
      </c>
      <c r="H7444" s="1" t="str">
        <f t="shared" si="2167"/>
        <v>正常订单</v>
      </c>
      <c r="I7444" s="1" t="str">
        <f t="shared" si="2168"/>
        <v>已发货</v>
      </c>
      <c r="J7444" s="1" t="str">
        <f t="shared" si="2169"/>
        <v>3</v>
      </c>
      <c r="K7444" s="1">
        <v>2</v>
      </c>
      <c r="L7444" s="1" t="s">
        <v>52</v>
      </c>
      <c r="M7444" s="1" t="str">
        <f>"甘肃省 陇南市 徽县 江洛镇"</f>
        <v>甘肃省 陇南市 徽县 江洛镇</v>
      </c>
      <c r="N7444" s="1" t="str">
        <f t="shared" si="2163"/>
        <v>凡华云仓-韵达-抖音</v>
      </c>
      <c r="O7444" s="5">
        <v>320171094246398</v>
      </c>
      <c r="P7444" s="6">
        <v>0.35</v>
      </c>
      <c r="Q7444" s="11">
        <v>2.2999999999999998</v>
      </c>
      <c r="R7444" s="11"/>
      <c r="S7444" s="11"/>
      <c r="T7444" s="11"/>
      <c r="U7444" s="11">
        <f t="shared" si="2164"/>
        <v>2.2999999999999998</v>
      </c>
      <c r="W7444">
        <v>2.5</v>
      </c>
      <c r="X7444" s="1" t="s">
        <v>52</v>
      </c>
    </row>
    <row r="7445" spans="1:24" x14ac:dyDescent="0.25">
      <c r="A7445" s="1" t="str">
        <f t="shared" si="2165"/>
        <v>卡卡杜-凤凰仓</v>
      </c>
      <c r="B7445" s="1" t="str">
        <f>"CK202410143373"</f>
        <v>CK202410143373</v>
      </c>
      <c r="C7445" s="1" t="str">
        <f>"DD2024101418134"</f>
        <v>DD2024101418134</v>
      </c>
      <c r="D7445" s="1" t="str">
        <f>"CK2024101431787"</f>
        <v>CK2024101431787</v>
      </c>
      <c r="E7445" s="1" t="str">
        <f>"6934958935427061607"</f>
        <v>6934958935427061607</v>
      </c>
      <c r="F7445" s="1" t="str">
        <f t="shared" si="2166"/>
        <v>花都四部-凤凰仓</v>
      </c>
      <c r="G7445" s="1" t="str">
        <f t="shared" si="2161"/>
        <v>卡卡杜个人护理店（抖店）</v>
      </c>
      <c r="H7445" s="1" t="str">
        <f t="shared" si="2167"/>
        <v>正常订单</v>
      </c>
      <c r="I7445" s="1" t="str">
        <f t="shared" si="2168"/>
        <v>已发货</v>
      </c>
      <c r="J7445" s="1" t="str">
        <f>"5"</f>
        <v>5</v>
      </c>
      <c r="K7445" s="1">
        <v>2</v>
      </c>
      <c r="L7445" s="1" t="s">
        <v>74</v>
      </c>
      <c r="M7445" s="1" t="str">
        <f>"上海 上海市 松江区 新桥镇"</f>
        <v>上海 上海市 松江区 新桥镇</v>
      </c>
      <c r="N7445" s="1" t="str">
        <f t="shared" si="2163"/>
        <v>凡华云仓-韵达-抖音</v>
      </c>
      <c r="O7445" s="5">
        <v>320171094246205</v>
      </c>
      <c r="P7445" s="6">
        <v>0.59</v>
      </c>
      <c r="Q7445" s="11">
        <f>CEILING(P7445-0.5,0.1)*10*0.15+2.3</f>
        <v>2.4499999999999997</v>
      </c>
      <c r="R7445" s="11"/>
      <c r="S7445" s="11"/>
      <c r="T7445" s="11"/>
      <c r="U7445" s="11">
        <f t="shared" si="2164"/>
        <v>2.4499999999999997</v>
      </c>
      <c r="V7445" t="s">
        <v>15</v>
      </c>
      <c r="W7445">
        <v>2.4500000000000002</v>
      </c>
      <c r="X7445" s="1" t="s">
        <v>74</v>
      </c>
    </row>
    <row r="7446" spans="1:24" x14ac:dyDescent="0.25">
      <c r="A7446" s="1" t="str">
        <f t="shared" si="2165"/>
        <v>卡卡杜-凤凰仓</v>
      </c>
      <c r="B7446" s="1" t="str">
        <f>"CK202410143336"</f>
        <v>CK202410143336</v>
      </c>
      <c r="C7446" s="1" t="str">
        <f>"DD2024101418098"</f>
        <v>DD2024101418098</v>
      </c>
      <c r="D7446" s="1" t="str">
        <f>"CK2024101431786"</f>
        <v>CK2024101431786</v>
      </c>
      <c r="E7446" s="1" t="str">
        <f>"6934961012231903036"</f>
        <v>6934961012231903036</v>
      </c>
      <c r="F7446" s="1" t="str">
        <f t="shared" si="2166"/>
        <v>花都四部-凤凰仓</v>
      </c>
      <c r="G7446" s="1" t="str">
        <f t="shared" si="2161"/>
        <v>卡卡杜个人护理店（抖店）</v>
      </c>
      <c r="H7446" s="1" t="str">
        <f t="shared" si="2167"/>
        <v>正常订单</v>
      </c>
      <c r="I7446" s="1" t="str">
        <f t="shared" si="2168"/>
        <v>已发货</v>
      </c>
      <c r="J7446" s="1" t="str">
        <f t="shared" ref="J7446:J7455" si="2170">"3"</f>
        <v>3</v>
      </c>
      <c r="K7446" s="1">
        <v>2</v>
      </c>
      <c r="L7446" s="1" t="s">
        <v>105</v>
      </c>
      <c r="M7446" s="1" t="str">
        <f>"北京 北京市 丰台区 南苑街道"</f>
        <v>北京 北京市 丰台区 南苑街道</v>
      </c>
      <c r="N7446" s="1" t="str">
        <f t="shared" si="2163"/>
        <v>凡华云仓-韵达-抖音</v>
      </c>
      <c r="O7446" s="5">
        <v>320171094246114</v>
      </c>
      <c r="P7446" s="6">
        <v>0.35</v>
      </c>
      <c r="Q7446" s="11">
        <v>2.2999999999999998</v>
      </c>
      <c r="R7446" s="11"/>
      <c r="S7446" s="11"/>
      <c r="T7446" s="11"/>
      <c r="U7446" s="11">
        <f t="shared" si="2164"/>
        <v>2.2999999999999998</v>
      </c>
      <c r="W7446">
        <v>2.5</v>
      </c>
      <c r="X7446" s="1" t="s">
        <v>105</v>
      </c>
    </row>
    <row r="7447" spans="1:24" x14ac:dyDescent="0.25">
      <c r="A7447" s="1" t="str">
        <f t="shared" si="2165"/>
        <v>卡卡杜-凤凰仓</v>
      </c>
      <c r="B7447" s="1" t="str">
        <f>"CK202410143360"</f>
        <v>CK202410143360</v>
      </c>
      <c r="C7447" s="1" t="str">
        <f>"DD2024101418124"</f>
        <v>DD2024101418124</v>
      </c>
      <c r="D7447" s="1" t="str">
        <f>"CK2024101431785"</f>
        <v>CK2024101431785</v>
      </c>
      <c r="E7447" s="1" t="str">
        <f>"6934951469644911700"</f>
        <v>6934951469644911700</v>
      </c>
      <c r="F7447" s="1" t="str">
        <f t="shared" si="2166"/>
        <v>花都四部-凤凰仓</v>
      </c>
      <c r="G7447" s="1" t="str">
        <f t="shared" si="2161"/>
        <v>卡卡杜个人护理店（抖店）</v>
      </c>
      <c r="H7447" s="1" t="str">
        <f t="shared" si="2167"/>
        <v>正常订单</v>
      </c>
      <c r="I7447" s="1" t="str">
        <f t="shared" si="2168"/>
        <v>已发货</v>
      </c>
      <c r="J7447" s="1" t="str">
        <f t="shared" si="2170"/>
        <v>3</v>
      </c>
      <c r="K7447" s="1">
        <v>3</v>
      </c>
      <c r="L7447" s="1" t="s">
        <v>47</v>
      </c>
      <c r="M7447" s="1" t="str">
        <f>"重庆 重庆市 渝北区 龙溪街道"</f>
        <v>重庆 重庆市 渝北区 龙溪街道</v>
      </c>
      <c r="N7447" s="1" t="str">
        <f t="shared" si="2163"/>
        <v>凡华云仓-韵达-抖音</v>
      </c>
      <c r="O7447" s="5">
        <v>320171094246025</v>
      </c>
      <c r="P7447" s="6">
        <v>0.34</v>
      </c>
      <c r="Q7447" s="11">
        <v>2.2999999999999998</v>
      </c>
      <c r="R7447" s="11"/>
      <c r="S7447" s="11"/>
      <c r="T7447" s="11"/>
      <c r="U7447" s="11">
        <f t="shared" si="2164"/>
        <v>2.2999999999999998</v>
      </c>
      <c r="W7447">
        <v>2.5</v>
      </c>
      <c r="X7447" s="1" t="s">
        <v>47</v>
      </c>
    </row>
    <row r="7448" spans="1:24" x14ac:dyDescent="0.25">
      <c r="A7448" s="1" t="str">
        <f t="shared" si="2165"/>
        <v>卡卡杜-凤凰仓</v>
      </c>
      <c r="B7448" s="1" t="str">
        <f>"CK202410143348"</f>
        <v>CK202410143348</v>
      </c>
      <c r="C7448" s="1" t="str">
        <f>"DD2024101418109"</f>
        <v>DD2024101418109</v>
      </c>
      <c r="D7448" s="1" t="str">
        <f>"CK2024101431784"</f>
        <v>CK2024101431784</v>
      </c>
      <c r="E7448" s="1" t="str">
        <f>"6934954502363026783"</f>
        <v>6934954502363026783</v>
      </c>
      <c r="F7448" s="1" t="str">
        <f t="shared" si="2166"/>
        <v>花都四部-凤凰仓</v>
      </c>
      <c r="G7448" s="1" t="str">
        <f t="shared" si="2161"/>
        <v>卡卡杜个人护理店（抖店）</v>
      </c>
      <c r="H7448" s="1" t="str">
        <f t="shared" si="2167"/>
        <v>正常订单</v>
      </c>
      <c r="I7448" s="1" t="str">
        <f t="shared" si="2168"/>
        <v>已发货</v>
      </c>
      <c r="J7448" s="1" t="str">
        <f t="shared" si="2170"/>
        <v>3</v>
      </c>
      <c r="K7448" s="1">
        <v>2</v>
      </c>
      <c r="L7448" s="1" t="s">
        <v>24</v>
      </c>
      <c r="M7448" s="1" t="str">
        <f>"福建省 厦门市 集美区 侨英街道"</f>
        <v>福建省 厦门市 集美区 侨英街道</v>
      </c>
      <c r="N7448" s="1" t="str">
        <f t="shared" si="2163"/>
        <v>凡华云仓-韵达-抖音</v>
      </c>
      <c r="O7448" s="5">
        <v>320171094245999</v>
      </c>
      <c r="P7448" s="6">
        <v>0.35</v>
      </c>
      <c r="Q7448" s="11">
        <v>2.2999999999999998</v>
      </c>
      <c r="R7448" s="11"/>
      <c r="S7448" s="11"/>
      <c r="T7448" s="11"/>
      <c r="U7448" s="11">
        <f t="shared" si="2164"/>
        <v>2.2999999999999998</v>
      </c>
      <c r="W7448">
        <v>2.5</v>
      </c>
      <c r="X7448" s="1" t="s">
        <v>24</v>
      </c>
    </row>
    <row r="7449" spans="1:24" x14ac:dyDescent="0.25">
      <c r="A7449" s="1" t="str">
        <f t="shared" si="2165"/>
        <v>卡卡杜-凤凰仓</v>
      </c>
      <c r="B7449" s="1" t="str">
        <f>"CK202410143349"</f>
        <v>CK202410143349</v>
      </c>
      <c r="C7449" s="1" t="str">
        <f>"DD2024101418117"</f>
        <v>DD2024101418117</v>
      </c>
      <c r="D7449" s="1" t="str">
        <f>"CK2024101431783"</f>
        <v>CK2024101431783</v>
      </c>
      <c r="E7449" s="1" t="str">
        <f>"6934958684279478161"</f>
        <v>6934958684279478161</v>
      </c>
      <c r="F7449" s="1" t="str">
        <f t="shared" si="2166"/>
        <v>花都四部-凤凰仓</v>
      </c>
      <c r="G7449" s="1" t="str">
        <f t="shared" si="2161"/>
        <v>卡卡杜个人护理店（抖店）</v>
      </c>
      <c r="H7449" s="1" t="str">
        <f t="shared" si="2167"/>
        <v>正常订单</v>
      </c>
      <c r="I7449" s="1" t="str">
        <f t="shared" si="2168"/>
        <v>已发货</v>
      </c>
      <c r="J7449" s="1" t="str">
        <f t="shared" si="2170"/>
        <v>3</v>
      </c>
      <c r="K7449" s="1">
        <v>2</v>
      </c>
      <c r="L7449" s="1" t="s">
        <v>22</v>
      </c>
      <c r="M7449" s="1" t="str">
        <f>"江西省 赣州市 瑞金市 泽覃乡"</f>
        <v>江西省 赣州市 瑞金市 泽覃乡</v>
      </c>
      <c r="N7449" s="1" t="str">
        <f t="shared" si="2163"/>
        <v>凡华云仓-韵达-抖音</v>
      </c>
      <c r="O7449" s="5">
        <v>320171094245894</v>
      </c>
      <c r="P7449" s="6">
        <v>0.35</v>
      </c>
      <c r="Q7449" s="11">
        <v>2.2999999999999998</v>
      </c>
      <c r="R7449" s="11"/>
      <c r="S7449" s="11"/>
      <c r="T7449" s="11"/>
      <c r="U7449" s="11">
        <f t="shared" si="2164"/>
        <v>2.2999999999999998</v>
      </c>
      <c r="W7449">
        <v>2.5</v>
      </c>
      <c r="X7449" s="1" t="s">
        <v>22</v>
      </c>
    </row>
    <row r="7450" spans="1:24" x14ac:dyDescent="0.25">
      <c r="A7450" s="1" t="str">
        <f t="shared" si="2165"/>
        <v>卡卡杜-凤凰仓</v>
      </c>
      <c r="B7450" s="1" t="str">
        <f>"CK202410143350"</f>
        <v>CK202410143350</v>
      </c>
      <c r="C7450" s="1" t="str">
        <f>"DD2024101418110"</f>
        <v>DD2024101418110</v>
      </c>
      <c r="D7450" s="1" t="str">
        <f>"CK2024101431782"</f>
        <v>CK2024101431782</v>
      </c>
      <c r="E7450" s="1" t="str">
        <f>"6934965197741364305"</f>
        <v>6934965197741364305</v>
      </c>
      <c r="F7450" s="1" t="str">
        <f t="shared" si="2166"/>
        <v>花都四部-凤凰仓</v>
      </c>
      <c r="G7450" s="1" t="str">
        <f t="shared" si="2161"/>
        <v>卡卡杜个人护理店（抖店）</v>
      </c>
      <c r="H7450" s="1" t="str">
        <f t="shared" si="2167"/>
        <v>正常订单</v>
      </c>
      <c r="I7450" s="1" t="str">
        <f t="shared" si="2168"/>
        <v>已发货</v>
      </c>
      <c r="J7450" s="1" t="str">
        <f t="shared" si="2170"/>
        <v>3</v>
      </c>
      <c r="K7450" s="1">
        <v>2</v>
      </c>
      <c r="L7450" s="1" t="s">
        <v>36</v>
      </c>
      <c r="M7450" s="1" t="str">
        <f>"安徽省 合肥市 长丰县 双墩镇"</f>
        <v>安徽省 合肥市 长丰县 双墩镇</v>
      </c>
      <c r="N7450" s="1" t="str">
        <f t="shared" si="2163"/>
        <v>凡华云仓-韵达-抖音</v>
      </c>
      <c r="O7450" s="5">
        <v>320171094245791</v>
      </c>
      <c r="P7450" s="6">
        <v>0.35</v>
      </c>
      <c r="Q7450" s="11">
        <v>2.2999999999999998</v>
      </c>
      <c r="R7450" s="11"/>
      <c r="S7450" s="11"/>
      <c r="T7450" s="11"/>
      <c r="U7450" s="11">
        <f t="shared" si="2164"/>
        <v>2.2999999999999998</v>
      </c>
      <c r="W7450">
        <v>2.5</v>
      </c>
      <c r="X7450" s="1" t="s">
        <v>36</v>
      </c>
    </row>
    <row r="7451" spans="1:24" x14ac:dyDescent="0.25">
      <c r="A7451" s="1" t="str">
        <f t="shared" si="2165"/>
        <v>卡卡杜-凤凰仓</v>
      </c>
      <c r="B7451" s="1" t="str">
        <f>"CK202410143330"</f>
        <v>CK202410143330</v>
      </c>
      <c r="C7451" s="1" t="str">
        <f>"DD2024101418092"</f>
        <v>DD2024101418092</v>
      </c>
      <c r="D7451" s="1" t="str">
        <f>"CK2024101431781"</f>
        <v>CK2024101431781</v>
      </c>
      <c r="E7451" s="1" t="str">
        <f>"6934985553192031660"</f>
        <v>6934985553192031660</v>
      </c>
      <c r="F7451" s="1" t="str">
        <f t="shared" si="2166"/>
        <v>花都四部-凤凰仓</v>
      </c>
      <c r="G7451" s="1" t="str">
        <f t="shared" si="2161"/>
        <v>卡卡杜个人护理店（抖店）</v>
      </c>
      <c r="H7451" s="1" t="str">
        <f t="shared" si="2167"/>
        <v>正常订单</v>
      </c>
      <c r="I7451" s="1" t="str">
        <f t="shared" si="2168"/>
        <v>已发货</v>
      </c>
      <c r="J7451" s="1" t="str">
        <f t="shared" si="2170"/>
        <v>3</v>
      </c>
      <c r="K7451" s="1">
        <v>2</v>
      </c>
      <c r="L7451" s="1" t="s">
        <v>20</v>
      </c>
      <c r="M7451" s="1" t="str">
        <f>"浙江省 宁波市 余姚市 梨洲街道"</f>
        <v>浙江省 宁波市 余姚市 梨洲街道</v>
      </c>
      <c r="N7451" s="1" t="str">
        <f t="shared" si="2163"/>
        <v>凡华云仓-韵达-抖音</v>
      </c>
      <c r="O7451" s="5">
        <v>320171094245690</v>
      </c>
      <c r="P7451" s="6">
        <v>0.35</v>
      </c>
      <c r="Q7451" s="11">
        <v>2.2999999999999998</v>
      </c>
      <c r="R7451" s="11"/>
      <c r="S7451" s="11"/>
      <c r="T7451" s="11"/>
      <c r="U7451" s="11">
        <f t="shared" si="2164"/>
        <v>2.2999999999999998</v>
      </c>
      <c r="W7451">
        <v>2.5</v>
      </c>
      <c r="X7451" s="1" t="s">
        <v>20</v>
      </c>
    </row>
    <row r="7452" spans="1:24" x14ac:dyDescent="0.25">
      <c r="A7452" s="1" t="str">
        <f t="shared" si="2165"/>
        <v>卡卡杜-凤凰仓</v>
      </c>
      <c r="B7452" s="1" t="str">
        <f>"CK202410143353"</f>
        <v>CK202410143353</v>
      </c>
      <c r="C7452" s="1" t="str">
        <f>"DD2024101418113"</f>
        <v>DD2024101418113</v>
      </c>
      <c r="D7452" s="1" t="str">
        <f>"CK2024101431780"</f>
        <v>CK2024101431780</v>
      </c>
      <c r="E7452" s="1" t="str">
        <f>"6934947003579897439"</f>
        <v>6934947003579897439</v>
      </c>
      <c r="F7452" s="1" t="str">
        <f t="shared" si="2166"/>
        <v>花都四部-凤凰仓</v>
      </c>
      <c r="G7452" s="1" t="str">
        <f t="shared" si="2161"/>
        <v>卡卡杜个人护理店（抖店）</v>
      </c>
      <c r="H7452" s="1" t="str">
        <f t="shared" si="2167"/>
        <v>正常订单</v>
      </c>
      <c r="I7452" s="1" t="str">
        <f t="shared" si="2168"/>
        <v>已发货</v>
      </c>
      <c r="J7452" s="1" t="str">
        <f t="shared" si="2170"/>
        <v>3</v>
      </c>
      <c r="K7452" s="1">
        <v>2</v>
      </c>
      <c r="L7452" s="1" t="s">
        <v>20</v>
      </c>
      <c r="M7452" s="1" t="str">
        <f>"浙江省 宁波市 余姚市 凤山街道"</f>
        <v>浙江省 宁波市 余姚市 凤山街道</v>
      </c>
      <c r="N7452" s="1" t="str">
        <f t="shared" si="2163"/>
        <v>凡华云仓-韵达-抖音</v>
      </c>
      <c r="O7452" s="5">
        <v>320171094245591</v>
      </c>
      <c r="P7452" s="6">
        <v>0.35</v>
      </c>
      <c r="Q7452" s="11">
        <v>2.2999999999999998</v>
      </c>
      <c r="R7452" s="11"/>
      <c r="S7452" s="11"/>
      <c r="T7452" s="11"/>
      <c r="U7452" s="11">
        <f t="shared" si="2164"/>
        <v>2.2999999999999998</v>
      </c>
      <c r="W7452">
        <v>2.5</v>
      </c>
      <c r="X7452" s="1" t="s">
        <v>20</v>
      </c>
    </row>
    <row r="7453" spans="1:24" x14ac:dyDescent="0.25">
      <c r="A7453" s="1" t="str">
        <f t="shared" si="2165"/>
        <v>卡卡杜-凤凰仓</v>
      </c>
      <c r="B7453" s="1" t="str">
        <f>"CK202410143362"</f>
        <v>CK202410143362</v>
      </c>
      <c r="C7453" s="1" t="str">
        <f>"DD2024101418122"</f>
        <v>DD2024101418122</v>
      </c>
      <c r="D7453" s="1" t="str">
        <f>"CK2024101431779"</f>
        <v>CK2024101431779</v>
      </c>
      <c r="E7453" s="1" t="str">
        <f>"6934951813256713672"</f>
        <v>6934951813256713672</v>
      </c>
      <c r="F7453" s="1" t="str">
        <f t="shared" si="2166"/>
        <v>花都四部-凤凰仓</v>
      </c>
      <c r="G7453" s="1" t="str">
        <f t="shared" si="2161"/>
        <v>卡卡杜个人护理店（抖店）</v>
      </c>
      <c r="H7453" s="1" t="str">
        <f t="shared" si="2167"/>
        <v>正常订单</v>
      </c>
      <c r="I7453" s="1" t="str">
        <f t="shared" si="2168"/>
        <v>已发货</v>
      </c>
      <c r="J7453" s="1" t="str">
        <f t="shared" si="2170"/>
        <v>3</v>
      </c>
      <c r="K7453" s="1">
        <v>3</v>
      </c>
      <c r="L7453" s="1" t="s">
        <v>74</v>
      </c>
      <c r="M7453" s="1" t="str">
        <f>"上海 上海市 徐汇区 长桥街道"</f>
        <v>上海 上海市 徐汇区 长桥街道</v>
      </c>
      <c r="N7453" s="1" t="str">
        <f t="shared" si="2163"/>
        <v>凡华云仓-韵达-抖音</v>
      </c>
      <c r="O7453" s="5">
        <v>320171094245494</v>
      </c>
      <c r="P7453" s="6">
        <v>0.34</v>
      </c>
      <c r="Q7453" s="11">
        <v>2.2999999999999998</v>
      </c>
      <c r="R7453" s="11"/>
      <c r="S7453" s="11"/>
      <c r="T7453" s="11"/>
      <c r="U7453" s="11">
        <f t="shared" si="2164"/>
        <v>2.2999999999999998</v>
      </c>
      <c r="W7453">
        <v>2.5</v>
      </c>
      <c r="X7453" s="1" t="s">
        <v>74</v>
      </c>
    </row>
    <row r="7454" spans="1:24" x14ac:dyDescent="0.25">
      <c r="A7454" s="1" t="str">
        <f t="shared" si="2165"/>
        <v>卡卡杜-凤凰仓</v>
      </c>
      <c r="B7454" s="1" t="str">
        <f>"CK202410143332"</f>
        <v>CK202410143332</v>
      </c>
      <c r="C7454" s="1" t="str">
        <f>"DD2024101418093"</f>
        <v>DD2024101418093</v>
      </c>
      <c r="D7454" s="1" t="str">
        <f>"CK2024101431778"</f>
        <v>CK2024101431778</v>
      </c>
      <c r="E7454" s="1" t="str">
        <f>"6934962902689584345"</f>
        <v>6934962902689584345</v>
      </c>
      <c r="F7454" s="1" t="str">
        <f t="shared" si="2166"/>
        <v>花都四部-凤凰仓</v>
      </c>
      <c r="G7454" s="1" t="str">
        <f t="shared" si="2161"/>
        <v>卡卡杜个人护理店（抖店）</v>
      </c>
      <c r="H7454" s="1" t="str">
        <f t="shared" si="2167"/>
        <v>正常订单</v>
      </c>
      <c r="I7454" s="1" t="str">
        <f t="shared" si="2168"/>
        <v>已发货</v>
      </c>
      <c r="J7454" s="1" t="str">
        <f t="shared" si="2170"/>
        <v>3</v>
      </c>
      <c r="K7454" s="1">
        <v>2</v>
      </c>
      <c r="L7454" s="1" t="s">
        <v>24</v>
      </c>
      <c r="M7454" s="1" t="str">
        <f>"福建省 莆田市 城厢区 华亭镇"</f>
        <v>福建省 莆田市 城厢区 华亭镇</v>
      </c>
      <c r="N7454" s="1" t="str">
        <f t="shared" si="2163"/>
        <v>凡华云仓-韵达-抖音</v>
      </c>
      <c r="O7454" s="5">
        <v>320171081802166</v>
      </c>
      <c r="P7454" s="6">
        <v>0.35</v>
      </c>
      <c r="Q7454" s="11">
        <v>2.2999999999999998</v>
      </c>
      <c r="R7454" s="11"/>
      <c r="S7454" s="11"/>
      <c r="T7454" s="11"/>
      <c r="U7454" s="11">
        <f t="shared" si="2164"/>
        <v>2.2999999999999998</v>
      </c>
      <c r="W7454">
        <v>2.5</v>
      </c>
      <c r="X7454" s="1" t="s">
        <v>24</v>
      </c>
    </row>
    <row r="7455" spans="1:24" x14ac:dyDescent="0.25">
      <c r="A7455" s="1" t="str">
        <f t="shared" si="2165"/>
        <v>卡卡杜-凤凰仓</v>
      </c>
      <c r="B7455" s="1" t="str">
        <f>"CK202410143302"</f>
        <v>CK202410143302</v>
      </c>
      <c r="C7455" s="1" t="str">
        <f>"DD2024101418063"</f>
        <v>DD2024101418063</v>
      </c>
      <c r="D7455" s="1" t="str">
        <f>"CK2024101431777"</f>
        <v>CK2024101431777</v>
      </c>
      <c r="E7455" s="1" t="str">
        <f>"6934949140209603725"</f>
        <v>6934949140209603725</v>
      </c>
      <c r="F7455" s="1" t="str">
        <f t="shared" si="2166"/>
        <v>花都四部-凤凰仓</v>
      </c>
      <c r="G7455" s="1" t="str">
        <f t="shared" si="2161"/>
        <v>卡卡杜个人护理店（抖店）</v>
      </c>
      <c r="H7455" s="1" t="str">
        <f t="shared" si="2167"/>
        <v>正常订单</v>
      </c>
      <c r="I7455" s="1" t="str">
        <f t="shared" si="2168"/>
        <v>已发货</v>
      </c>
      <c r="J7455" s="1" t="str">
        <f t="shared" si="2170"/>
        <v>3</v>
      </c>
      <c r="K7455" s="1">
        <v>2</v>
      </c>
      <c r="L7455" s="1" t="s">
        <v>24</v>
      </c>
      <c r="M7455" s="1" t="str">
        <f>"福建省 泉州市 洛江区 河市镇"</f>
        <v>福建省 泉州市 洛江区 河市镇</v>
      </c>
      <c r="N7455" s="1" t="str">
        <f t="shared" si="2163"/>
        <v>凡华云仓-韵达-抖音</v>
      </c>
      <c r="O7455" s="5">
        <v>320171081802077</v>
      </c>
      <c r="P7455" s="6">
        <v>0.35</v>
      </c>
      <c r="Q7455" s="11">
        <v>2.2999999999999998</v>
      </c>
      <c r="R7455" s="11"/>
      <c r="S7455" s="11"/>
      <c r="T7455" s="11"/>
      <c r="U7455" s="11">
        <f t="shared" si="2164"/>
        <v>2.2999999999999998</v>
      </c>
      <c r="W7455">
        <v>2.5</v>
      </c>
      <c r="X7455" s="1" t="s">
        <v>24</v>
      </c>
    </row>
    <row r="7456" spans="1:24" x14ac:dyDescent="0.25">
      <c r="A7456" s="1" t="str">
        <f t="shared" si="2165"/>
        <v>卡卡杜-凤凰仓</v>
      </c>
      <c r="B7456" s="1" t="str">
        <f>"CK202410143379"</f>
        <v>CK202410143379</v>
      </c>
      <c r="C7456" s="1" t="str">
        <f>"DD2024101418141"</f>
        <v>DD2024101418141</v>
      </c>
      <c r="D7456" s="1" t="str">
        <f>"CK2024101431776"</f>
        <v>CK2024101431776</v>
      </c>
      <c r="E7456" s="1" t="str">
        <f>"6934944578517473015"</f>
        <v>6934944578517473015</v>
      </c>
      <c r="F7456" s="1" t="str">
        <f t="shared" si="2166"/>
        <v>花都四部-凤凰仓</v>
      </c>
      <c r="G7456" s="1" t="str">
        <f t="shared" si="2161"/>
        <v>卡卡杜个人护理店（抖店）</v>
      </c>
      <c r="H7456" s="1" t="str">
        <f t="shared" si="2167"/>
        <v>正常订单</v>
      </c>
      <c r="I7456" s="1" t="str">
        <f t="shared" si="2168"/>
        <v>已发货</v>
      </c>
      <c r="J7456" s="1" t="str">
        <f>"5"</f>
        <v>5</v>
      </c>
      <c r="K7456" s="1">
        <v>2</v>
      </c>
      <c r="L7456" s="1" t="s">
        <v>94</v>
      </c>
      <c r="M7456" s="1" t="str">
        <f>"湖南省 益阳市 桃江县 桃花江镇"</f>
        <v>湖南省 益阳市 桃江县 桃花江镇</v>
      </c>
      <c r="N7456" s="1" t="str">
        <f t="shared" si="2163"/>
        <v>凡华云仓-韵达-抖音</v>
      </c>
      <c r="O7456" s="5">
        <v>320171081801959</v>
      </c>
      <c r="P7456" s="6">
        <v>0.59</v>
      </c>
      <c r="Q7456" s="11">
        <f>CEILING(P7456-0.5,0.1)*10*0.15+2.3</f>
        <v>2.4499999999999997</v>
      </c>
      <c r="R7456" s="11"/>
      <c r="S7456" s="11"/>
      <c r="T7456" s="11"/>
      <c r="U7456" s="11">
        <f t="shared" si="2164"/>
        <v>2.4499999999999997</v>
      </c>
      <c r="V7456" t="s">
        <v>15</v>
      </c>
      <c r="W7456">
        <v>2.4500000000000002</v>
      </c>
      <c r="X7456" s="1" t="s">
        <v>94</v>
      </c>
    </row>
    <row r="7457" spans="1:24" x14ac:dyDescent="0.25">
      <c r="A7457" s="1" t="str">
        <f t="shared" si="2165"/>
        <v>卡卡杜-凤凰仓</v>
      </c>
      <c r="B7457" s="1" t="str">
        <f>"CK202410143356"</f>
        <v>CK202410143356</v>
      </c>
      <c r="C7457" s="1" t="str">
        <f>"DD2024101418116"</f>
        <v>DD2024101418116</v>
      </c>
      <c r="D7457" s="1" t="str">
        <f>"CK2024101431775"</f>
        <v>CK2024101431775</v>
      </c>
      <c r="E7457" s="1" t="str">
        <f>"6934937800779896019"</f>
        <v>6934937800779896019</v>
      </c>
      <c r="F7457" s="1" t="str">
        <f t="shared" si="2166"/>
        <v>花都四部-凤凰仓</v>
      </c>
      <c r="G7457" s="1" t="str">
        <f t="shared" si="2161"/>
        <v>卡卡杜个人护理店（抖店）</v>
      </c>
      <c r="H7457" s="1" t="str">
        <f t="shared" si="2167"/>
        <v>正常订单</v>
      </c>
      <c r="I7457" s="1" t="str">
        <f t="shared" si="2168"/>
        <v>已发货</v>
      </c>
      <c r="J7457" s="1" t="str">
        <f t="shared" ref="J7457:J7478" si="2171">"3"</f>
        <v>3</v>
      </c>
      <c r="K7457" s="1">
        <v>2</v>
      </c>
      <c r="L7457" s="1" t="s">
        <v>161</v>
      </c>
      <c r="M7457" s="1" t="str">
        <f>"四川省 乐山市 夹江县 "</f>
        <v xml:space="preserve">四川省 乐山市 夹江县 </v>
      </c>
      <c r="N7457" s="1" t="str">
        <f t="shared" si="2163"/>
        <v>凡华云仓-韵达-抖音</v>
      </c>
      <c r="O7457" s="5">
        <v>320171081801854</v>
      </c>
      <c r="P7457" s="6">
        <v>0.35</v>
      </c>
      <c r="Q7457" s="11">
        <v>2.2999999999999998</v>
      </c>
      <c r="R7457" s="11"/>
      <c r="S7457" s="11"/>
      <c r="T7457" s="11"/>
      <c r="U7457" s="11">
        <f t="shared" si="2164"/>
        <v>2.2999999999999998</v>
      </c>
      <c r="W7457">
        <v>2.5</v>
      </c>
      <c r="X7457" s="1" t="s">
        <v>161</v>
      </c>
    </row>
    <row r="7458" spans="1:24" x14ac:dyDescent="0.25">
      <c r="A7458" s="1" t="str">
        <f t="shared" si="2165"/>
        <v>卡卡杜-凤凰仓</v>
      </c>
      <c r="B7458" s="1" t="str">
        <f>"CK202410143326"</f>
        <v>CK202410143326</v>
      </c>
      <c r="C7458" s="1" t="str">
        <f>"DD2024101418087"</f>
        <v>DD2024101418087</v>
      </c>
      <c r="D7458" s="1" t="str">
        <f>"CK2024101431774"</f>
        <v>CK2024101431774</v>
      </c>
      <c r="E7458" s="1" t="str">
        <f>"6934949282999768071"</f>
        <v>6934949282999768071</v>
      </c>
      <c r="F7458" s="1" t="str">
        <f t="shared" si="2166"/>
        <v>花都四部-凤凰仓</v>
      </c>
      <c r="G7458" s="1" t="str">
        <f t="shared" si="2161"/>
        <v>卡卡杜个人护理店（抖店）</v>
      </c>
      <c r="H7458" s="1" t="str">
        <f t="shared" si="2167"/>
        <v>正常订单</v>
      </c>
      <c r="I7458" s="1" t="str">
        <f t="shared" si="2168"/>
        <v>已发货</v>
      </c>
      <c r="J7458" s="1" t="str">
        <f t="shared" si="2171"/>
        <v>3</v>
      </c>
      <c r="K7458" s="1">
        <v>2</v>
      </c>
      <c r="L7458" s="1" t="s">
        <v>20</v>
      </c>
      <c r="M7458" s="1" t="str">
        <f>"浙江省 杭州市 钱塘区 下沙街道"</f>
        <v>浙江省 杭州市 钱塘区 下沙街道</v>
      </c>
      <c r="N7458" s="1" t="str">
        <f t="shared" si="2163"/>
        <v>凡华云仓-韵达-抖音</v>
      </c>
      <c r="O7458" s="5">
        <v>320171081801751</v>
      </c>
      <c r="P7458" s="6">
        <v>0.35</v>
      </c>
      <c r="Q7458" s="11">
        <v>2.2999999999999998</v>
      </c>
      <c r="R7458" s="11"/>
      <c r="S7458" s="11"/>
      <c r="T7458" s="11"/>
      <c r="U7458" s="11">
        <f t="shared" si="2164"/>
        <v>2.2999999999999998</v>
      </c>
      <c r="W7458">
        <v>2.5</v>
      </c>
      <c r="X7458" s="1" t="s">
        <v>20</v>
      </c>
    </row>
    <row r="7459" spans="1:24" x14ac:dyDescent="0.25">
      <c r="A7459" s="1" t="str">
        <f t="shared" si="2165"/>
        <v>卡卡杜-凤凰仓</v>
      </c>
      <c r="B7459" s="1" t="str">
        <f>"CK202410143334"</f>
        <v>CK202410143334</v>
      </c>
      <c r="C7459" s="1" t="str">
        <f>"DD2024101418095"</f>
        <v>DD2024101418095</v>
      </c>
      <c r="D7459" s="1" t="str">
        <f>"CK2024101431773"</f>
        <v>CK2024101431773</v>
      </c>
      <c r="E7459" s="1" t="str">
        <f>"6934946753684182123"</f>
        <v>6934946753684182123</v>
      </c>
      <c r="F7459" s="1" t="str">
        <f t="shared" si="2166"/>
        <v>花都四部-凤凰仓</v>
      </c>
      <c r="G7459" s="1" t="str">
        <f t="shared" si="2161"/>
        <v>卡卡杜个人护理店（抖店）</v>
      </c>
      <c r="H7459" s="1" t="str">
        <f t="shared" si="2167"/>
        <v>正常订单</v>
      </c>
      <c r="I7459" s="1" t="str">
        <f t="shared" si="2168"/>
        <v>已发货</v>
      </c>
      <c r="J7459" s="1" t="str">
        <f t="shared" si="2171"/>
        <v>3</v>
      </c>
      <c r="K7459" s="1">
        <v>2</v>
      </c>
      <c r="L7459" s="1" t="s">
        <v>24</v>
      </c>
      <c r="M7459" s="1" t="str">
        <f>"福建省 南平市 邵武市 通泰街道"</f>
        <v>福建省 南平市 邵武市 通泰街道</v>
      </c>
      <c r="N7459" s="1" t="str">
        <f t="shared" si="2163"/>
        <v>凡华云仓-韵达-抖音</v>
      </c>
      <c r="O7459" s="5">
        <v>320171081801650</v>
      </c>
      <c r="P7459" s="6">
        <v>0.35</v>
      </c>
      <c r="Q7459" s="11">
        <v>2.2999999999999998</v>
      </c>
      <c r="R7459" s="11"/>
      <c r="S7459" s="11"/>
      <c r="T7459" s="11"/>
      <c r="U7459" s="11">
        <f t="shared" si="2164"/>
        <v>2.2999999999999998</v>
      </c>
      <c r="W7459">
        <v>2.5</v>
      </c>
      <c r="X7459" s="1" t="s">
        <v>24</v>
      </c>
    </row>
    <row r="7460" spans="1:24" x14ac:dyDescent="0.25">
      <c r="A7460" s="1" t="str">
        <f t="shared" si="2165"/>
        <v>卡卡杜-凤凰仓</v>
      </c>
      <c r="B7460" s="1" t="str">
        <f>"CK202410143347"</f>
        <v>CK202410143347</v>
      </c>
      <c r="C7460" s="1" t="str">
        <f>"DD2024101418108"</f>
        <v>DD2024101418108</v>
      </c>
      <c r="D7460" s="1" t="str">
        <f>"CK2024101431772"</f>
        <v>CK2024101431772</v>
      </c>
      <c r="E7460" s="1" t="str">
        <f>"6934939798751745413"</f>
        <v>6934939798751745413</v>
      </c>
      <c r="F7460" s="1" t="str">
        <f t="shared" si="2166"/>
        <v>花都四部-凤凰仓</v>
      </c>
      <c r="G7460" s="1" t="str">
        <f t="shared" si="2161"/>
        <v>卡卡杜个人护理店（抖店）</v>
      </c>
      <c r="H7460" s="1" t="str">
        <f t="shared" si="2167"/>
        <v>正常订单</v>
      </c>
      <c r="I7460" s="1" t="str">
        <f t="shared" si="2168"/>
        <v>已发货</v>
      </c>
      <c r="J7460" s="1" t="str">
        <f t="shared" si="2171"/>
        <v>3</v>
      </c>
      <c r="K7460" s="1">
        <v>2</v>
      </c>
      <c r="L7460" s="1" t="s">
        <v>13</v>
      </c>
      <c r="M7460" s="1" t="str">
        <f>"江苏省 宿迁市 泗洪县 界集镇"</f>
        <v>江苏省 宿迁市 泗洪县 界集镇</v>
      </c>
      <c r="N7460" s="1" t="str">
        <f t="shared" si="2163"/>
        <v>凡华云仓-韵达-抖音</v>
      </c>
      <c r="O7460" s="5">
        <v>320171081801551</v>
      </c>
      <c r="P7460" s="6">
        <v>0.35</v>
      </c>
      <c r="Q7460" s="11">
        <v>2.2999999999999998</v>
      </c>
      <c r="R7460" s="11"/>
      <c r="S7460" s="11"/>
      <c r="T7460" s="11"/>
      <c r="U7460" s="11">
        <f t="shared" si="2164"/>
        <v>2.2999999999999998</v>
      </c>
      <c r="W7460">
        <v>2.5</v>
      </c>
      <c r="X7460" s="1" t="s">
        <v>13</v>
      </c>
    </row>
    <row r="7461" spans="1:24" x14ac:dyDescent="0.25">
      <c r="A7461" s="1" t="str">
        <f t="shared" si="2165"/>
        <v>卡卡杜-凤凰仓</v>
      </c>
      <c r="B7461" s="1" t="str">
        <f>"CK202410143357"</f>
        <v>CK202410143357</v>
      </c>
      <c r="C7461" s="1" t="str">
        <f>"DD2024101418118"</f>
        <v>DD2024101418118</v>
      </c>
      <c r="D7461" s="1" t="str">
        <f>"CK2024101431771"</f>
        <v>CK2024101431771</v>
      </c>
      <c r="E7461" s="1" t="str">
        <f>"6934967308999267710"</f>
        <v>6934967308999267710</v>
      </c>
      <c r="F7461" s="1" t="str">
        <f t="shared" si="2166"/>
        <v>花都四部-凤凰仓</v>
      </c>
      <c r="G7461" s="1" t="str">
        <f t="shared" si="2161"/>
        <v>卡卡杜个人护理店（抖店）</v>
      </c>
      <c r="H7461" s="1" t="str">
        <f t="shared" si="2167"/>
        <v>正常订单</v>
      </c>
      <c r="I7461" s="1" t="str">
        <f t="shared" si="2168"/>
        <v>已发货</v>
      </c>
      <c r="J7461" s="1" t="str">
        <f t="shared" si="2171"/>
        <v>3</v>
      </c>
      <c r="K7461" s="1">
        <v>2</v>
      </c>
      <c r="L7461" s="1" t="s">
        <v>18</v>
      </c>
      <c r="M7461" s="1" t="str">
        <f>"广东省 佛山市 南海区 狮山镇"</f>
        <v>广东省 佛山市 南海区 狮山镇</v>
      </c>
      <c r="N7461" s="1" t="str">
        <f t="shared" si="2163"/>
        <v>凡华云仓-韵达-抖音</v>
      </c>
      <c r="O7461" s="5">
        <v>320171081801454</v>
      </c>
      <c r="P7461" s="6">
        <v>0.35</v>
      </c>
      <c r="Q7461" s="11">
        <v>2.2999999999999998</v>
      </c>
      <c r="R7461" s="11"/>
      <c r="S7461" s="11"/>
      <c r="T7461" s="11"/>
      <c r="U7461" s="11">
        <f t="shared" si="2164"/>
        <v>2.2999999999999998</v>
      </c>
      <c r="W7461">
        <v>2.5</v>
      </c>
      <c r="X7461" s="1" t="s">
        <v>18</v>
      </c>
    </row>
    <row r="7462" spans="1:24" x14ac:dyDescent="0.25">
      <c r="A7462" s="1" t="str">
        <f t="shared" si="2165"/>
        <v>卡卡杜-凤凰仓</v>
      </c>
      <c r="B7462" s="1" t="str">
        <f>"CK202410143355"</f>
        <v>CK202410143355</v>
      </c>
      <c r="C7462" s="1" t="str">
        <f>"DD2024101418115"</f>
        <v>DD2024101418115</v>
      </c>
      <c r="D7462" s="1" t="str">
        <f>"CK2024101431770"</f>
        <v>CK2024101431770</v>
      </c>
      <c r="E7462" s="1" t="str">
        <f>"6934937818441652066"</f>
        <v>6934937818441652066</v>
      </c>
      <c r="F7462" s="1" t="str">
        <f t="shared" si="2166"/>
        <v>花都四部-凤凰仓</v>
      </c>
      <c r="G7462" s="1" t="str">
        <f t="shared" si="2161"/>
        <v>卡卡杜个人护理店（抖店）</v>
      </c>
      <c r="H7462" s="1" t="str">
        <f t="shared" si="2167"/>
        <v>正常订单</v>
      </c>
      <c r="I7462" s="1" t="str">
        <f t="shared" si="2168"/>
        <v>已发货</v>
      </c>
      <c r="J7462" s="1" t="str">
        <f t="shared" si="2171"/>
        <v>3</v>
      </c>
      <c r="K7462" s="1">
        <v>2</v>
      </c>
      <c r="L7462" s="1" t="s">
        <v>18</v>
      </c>
      <c r="M7462" s="1" t="str">
        <f>"广东省 东莞市 东莞市 高埗镇"</f>
        <v>广东省 东莞市 东莞市 高埗镇</v>
      </c>
      <c r="N7462" s="1" t="str">
        <f>"凡华云仓-竹料中通-抖音"</f>
        <v>凡华云仓-竹料中通-抖音</v>
      </c>
      <c r="O7462" s="5">
        <v>76431113833375</v>
      </c>
      <c r="P7462" s="6">
        <v>0.35</v>
      </c>
      <c r="Q7462" s="11">
        <v>2.6</v>
      </c>
      <c r="R7462" s="11"/>
      <c r="S7462" s="11"/>
      <c r="T7462" s="11"/>
      <c r="U7462" s="11">
        <f t="shared" si="2164"/>
        <v>2.6</v>
      </c>
      <c r="W7462">
        <v>2.6</v>
      </c>
      <c r="X7462" s="1" t="s">
        <v>18</v>
      </c>
    </row>
    <row r="7463" spans="1:24" x14ac:dyDescent="0.25">
      <c r="A7463" s="1" t="str">
        <f t="shared" si="2165"/>
        <v>卡卡杜-凤凰仓</v>
      </c>
      <c r="B7463" s="1" t="str">
        <f>"CK202410143352"</f>
        <v>CK202410143352</v>
      </c>
      <c r="C7463" s="1" t="str">
        <f>"DD2024101418112"</f>
        <v>DD2024101418112</v>
      </c>
      <c r="D7463" s="1" t="str">
        <f>"CK2024101431769"</f>
        <v>CK2024101431769</v>
      </c>
      <c r="E7463" s="1" t="str">
        <f>"6934935846495458927"</f>
        <v>6934935846495458927</v>
      </c>
      <c r="F7463" s="1" t="str">
        <f t="shared" si="2166"/>
        <v>花都四部-凤凰仓</v>
      </c>
      <c r="G7463" s="1" t="str">
        <f t="shared" si="2161"/>
        <v>卡卡杜个人护理店（抖店）</v>
      </c>
      <c r="H7463" s="1" t="str">
        <f t="shared" si="2167"/>
        <v>正常订单</v>
      </c>
      <c r="I7463" s="1" t="str">
        <f t="shared" si="2168"/>
        <v>已发货</v>
      </c>
      <c r="J7463" s="1" t="str">
        <f t="shared" si="2171"/>
        <v>3</v>
      </c>
      <c r="K7463" s="1">
        <v>2</v>
      </c>
      <c r="L7463" s="1" t="s">
        <v>22</v>
      </c>
      <c r="M7463" s="1" t="str">
        <f>"江西省 景德镇市 珠山区 竟成镇"</f>
        <v>江西省 景德镇市 珠山区 竟成镇</v>
      </c>
      <c r="N7463" s="1" t="str">
        <f t="shared" ref="N7463:N7465" si="2172">"凡华云仓-韵达-抖音"</f>
        <v>凡华云仓-韵达-抖音</v>
      </c>
      <c r="O7463" s="5">
        <v>320171081801359</v>
      </c>
      <c r="P7463" s="6">
        <v>0.35</v>
      </c>
      <c r="Q7463" s="11">
        <v>2.2999999999999998</v>
      </c>
      <c r="R7463" s="11"/>
      <c r="S7463" s="11"/>
      <c r="T7463" s="11"/>
      <c r="U7463" s="11">
        <f t="shared" si="2164"/>
        <v>2.2999999999999998</v>
      </c>
      <c r="W7463">
        <v>2.5</v>
      </c>
      <c r="X7463" s="1" t="s">
        <v>22</v>
      </c>
    </row>
    <row r="7464" spans="1:24" x14ac:dyDescent="0.25">
      <c r="A7464" s="1" t="str">
        <f t="shared" si="2165"/>
        <v>卡卡杜-凤凰仓</v>
      </c>
      <c r="B7464" s="1" t="str">
        <f>"CK202410143335"</f>
        <v>CK202410143335</v>
      </c>
      <c r="C7464" s="1" t="str">
        <f>"DD2024101418096"</f>
        <v>DD2024101418096</v>
      </c>
      <c r="D7464" s="1" t="str">
        <f>"CK2024101431768"</f>
        <v>CK2024101431768</v>
      </c>
      <c r="E7464" s="1" t="str">
        <f>"6934961961252426930"</f>
        <v>6934961961252426930</v>
      </c>
      <c r="F7464" s="1" t="str">
        <f t="shared" si="2166"/>
        <v>花都四部-凤凰仓</v>
      </c>
      <c r="G7464" s="1" t="str">
        <f t="shared" si="2161"/>
        <v>卡卡杜个人护理店（抖店）</v>
      </c>
      <c r="H7464" s="1" t="str">
        <f t="shared" si="2167"/>
        <v>正常订单</v>
      </c>
      <c r="I7464" s="1" t="str">
        <f t="shared" si="2168"/>
        <v>已发货</v>
      </c>
      <c r="J7464" s="1" t="str">
        <f t="shared" si="2171"/>
        <v>3</v>
      </c>
      <c r="K7464" s="1">
        <v>2</v>
      </c>
      <c r="L7464" s="1" t="s">
        <v>60</v>
      </c>
      <c r="M7464" s="1" t="str">
        <f>"云南省 普洱市 思茅区 思茅街道"</f>
        <v>云南省 普洱市 思茅区 思茅街道</v>
      </c>
      <c r="N7464" s="1" t="str">
        <f t="shared" si="2172"/>
        <v>凡华云仓-韵达-抖音</v>
      </c>
      <c r="O7464" s="5">
        <v>320171094247591</v>
      </c>
      <c r="P7464" s="6">
        <v>0.35</v>
      </c>
      <c r="Q7464" s="11">
        <v>2.2999999999999998</v>
      </c>
      <c r="R7464" s="11"/>
      <c r="S7464" s="11"/>
      <c r="T7464" s="11"/>
      <c r="U7464" s="11">
        <f t="shared" si="2164"/>
        <v>2.2999999999999998</v>
      </c>
      <c r="W7464">
        <v>2.5</v>
      </c>
      <c r="X7464" s="1" t="s">
        <v>60</v>
      </c>
    </row>
    <row r="7465" spans="1:24" x14ac:dyDescent="0.25">
      <c r="A7465" s="1" t="str">
        <f t="shared" si="2165"/>
        <v>卡卡杜-凤凰仓</v>
      </c>
      <c r="B7465" s="1" t="str">
        <f>"CK202410143346"</f>
        <v>CK202410143346</v>
      </c>
      <c r="C7465" s="1" t="str">
        <f>"DD2024101418107"</f>
        <v>DD2024101418107</v>
      </c>
      <c r="D7465" s="1" t="str">
        <f>"CK2024101431767"</f>
        <v>CK2024101431767</v>
      </c>
      <c r="E7465" s="1" t="str">
        <f>"6934969832589038996"</f>
        <v>6934969832589038996</v>
      </c>
      <c r="F7465" s="1" t="str">
        <f t="shared" si="2166"/>
        <v>花都四部-凤凰仓</v>
      </c>
      <c r="G7465" s="1" t="str">
        <f t="shared" si="2161"/>
        <v>卡卡杜个人护理店（抖店）</v>
      </c>
      <c r="H7465" s="1" t="str">
        <f t="shared" si="2167"/>
        <v>正常订单</v>
      </c>
      <c r="I7465" s="1" t="str">
        <f t="shared" si="2168"/>
        <v>已发货</v>
      </c>
      <c r="J7465" s="1" t="str">
        <f t="shared" si="2171"/>
        <v>3</v>
      </c>
      <c r="K7465" s="1">
        <v>2</v>
      </c>
      <c r="L7465" s="1" t="s">
        <v>20</v>
      </c>
      <c r="M7465" s="1" t="str">
        <f>"浙江省 温州市 瑞安市 安阳街道"</f>
        <v>浙江省 温州市 瑞安市 安阳街道</v>
      </c>
      <c r="N7465" s="1" t="str">
        <f t="shared" si="2172"/>
        <v>凡华云仓-韵达-抖音</v>
      </c>
      <c r="O7465" s="5">
        <v>320171094247494</v>
      </c>
      <c r="P7465" s="6">
        <v>0.35</v>
      </c>
      <c r="Q7465" s="11">
        <v>2.2999999999999998</v>
      </c>
      <c r="R7465" s="11"/>
      <c r="S7465" s="11"/>
      <c r="T7465" s="11"/>
      <c r="U7465" s="11">
        <f t="shared" si="2164"/>
        <v>2.2999999999999998</v>
      </c>
      <c r="W7465">
        <v>2.5</v>
      </c>
      <c r="X7465" s="1" t="s">
        <v>20</v>
      </c>
    </row>
    <row r="7466" spans="1:24" x14ac:dyDescent="0.25">
      <c r="A7466" s="1" t="str">
        <f t="shared" si="2165"/>
        <v>卡卡杜-凤凰仓</v>
      </c>
      <c r="B7466" s="1" t="str">
        <f>"CK202410143331"</f>
        <v>CK202410143331</v>
      </c>
      <c r="C7466" s="1" t="str">
        <f>"DD2024101418091"</f>
        <v>DD2024101418091</v>
      </c>
      <c r="D7466" s="1" t="str">
        <f>"CK2024101431766"</f>
        <v>CK2024101431766</v>
      </c>
      <c r="E7466" s="1" t="str">
        <f>"6934954579104372685"</f>
        <v>6934954579104372685</v>
      </c>
      <c r="F7466" s="1" t="str">
        <f t="shared" si="2166"/>
        <v>花都四部-凤凰仓</v>
      </c>
      <c r="G7466" s="1" t="str">
        <f t="shared" si="2161"/>
        <v>卡卡杜个人护理店（抖店）</v>
      </c>
      <c r="H7466" s="1" t="str">
        <f t="shared" si="2167"/>
        <v>正常订单</v>
      </c>
      <c r="I7466" s="1" t="str">
        <f t="shared" si="2168"/>
        <v>已发货</v>
      </c>
      <c r="J7466" s="1" t="str">
        <f t="shared" si="2171"/>
        <v>3</v>
      </c>
      <c r="K7466" s="1">
        <v>2</v>
      </c>
      <c r="L7466" s="1" t="s">
        <v>94</v>
      </c>
      <c r="M7466" s="1" t="str">
        <f>"湖南省 长沙市 岳麓区 观沙岭街道"</f>
        <v>湖南省 长沙市 岳麓区 观沙岭街道</v>
      </c>
      <c r="N7466" s="1" t="str">
        <f>"凡华云仓-竹料中通-抖音"</f>
        <v>凡华云仓-竹料中通-抖音</v>
      </c>
      <c r="O7466" s="5">
        <v>76431113833362</v>
      </c>
      <c r="P7466" s="6">
        <v>0.35</v>
      </c>
      <c r="Q7466" s="11">
        <v>2.6</v>
      </c>
      <c r="R7466" s="11"/>
      <c r="S7466" s="11"/>
      <c r="T7466" s="11"/>
      <c r="U7466" s="11">
        <f t="shared" si="2164"/>
        <v>2.6</v>
      </c>
      <c r="W7466">
        <v>2.6</v>
      </c>
      <c r="X7466" s="1" t="s">
        <v>94</v>
      </c>
    </row>
    <row r="7467" spans="1:24" x14ac:dyDescent="0.25">
      <c r="A7467" s="1" t="str">
        <f t="shared" si="2165"/>
        <v>卡卡杜-凤凰仓</v>
      </c>
      <c r="B7467" s="1" t="str">
        <f>"CK202410143344"</f>
        <v>CK202410143344</v>
      </c>
      <c r="C7467" s="1" t="str">
        <f>"DD2024101418105"</f>
        <v>DD2024101418105</v>
      </c>
      <c r="D7467" s="1" t="str">
        <f>"CK2024101431765"</f>
        <v>CK2024101431765</v>
      </c>
      <c r="E7467" s="1" t="str">
        <f>"6934965392347698664"</f>
        <v>6934965392347698664</v>
      </c>
      <c r="F7467" s="1" t="str">
        <f t="shared" si="2166"/>
        <v>花都四部-凤凰仓</v>
      </c>
      <c r="G7467" s="1" t="str">
        <f t="shared" si="2161"/>
        <v>卡卡杜个人护理店（抖店）</v>
      </c>
      <c r="H7467" s="1" t="str">
        <f t="shared" si="2167"/>
        <v>正常订单</v>
      </c>
      <c r="I7467" s="1" t="str">
        <f t="shared" si="2168"/>
        <v>已发货</v>
      </c>
      <c r="J7467" s="1" t="str">
        <f t="shared" si="2171"/>
        <v>3</v>
      </c>
      <c r="K7467" s="1">
        <v>2</v>
      </c>
      <c r="L7467" s="1" t="s">
        <v>60</v>
      </c>
      <c r="M7467" s="1" t="str">
        <f>"云南省 玉溪市 澄江市 阳宗镇"</f>
        <v>云南省 玉溪市 澄江市 阳宗镇</v>
      </c>
      <c r="N7467" s="1" t="str">
        <f t="shared" ref="N7467:N7484" si="2173">"凡华云仓-韵达-抖音"</f>
        <v>凡华云仓-韵达-抖音</v>
      </c>
      <c r="O7467" s="5">
        <v>320171094247399</v>
      </c>
      <c r="P7467" s="6">
        <v>0.35</v>
      </c>
      <c r="Q7467" s="11">
        <v>2.2999999999999998</v>
      </c>
      <c r="R7467" s="11"/>
      <c r="S7467" s="11"/>
      <c r="T7467" s="11"/>
      <c r="U7467" s="11">
        <f t="shared" si="2164"/>
        <v>2.2999999999999998</v>
      </c>
      <c r="W7467">
        <v>2.5</v>
      </c>
      <c r="X7467" s="1" t="s">
        <v>60</v>
      </c>
    </row>
    <row r="7468" spans="1:24" x14ac:dyDescent="0.25">
      <c r="A7468" s="1" t="str">
        <f t="shared" si="2165"/>
        <v>卡卡杜-凤凰仓</v>
      </c>
      <c r="B7468" s="1" t="str">
        <f>"CK202410143337"</f>
        <v>CK202410143337</v>
      </c>
      <c r="C7468" s="1" t="str">
        <f>"DD2024101418097"</f>
        <v>DD2024101418097</v>
      </c>
      <c r="D7468" s="1" t="str">
        <f>"CK2024101431764"</f>
        <v>CK2024101431764</v>
      </c>
      <c r="E7468" s="1" t="str">
        <f>"6934971573933577308"</f>
        <v>6934971573933577308</v>
      </c>
      <c r="F7468" s="1" t="str">
        <f t="shared" si="2166"/>
        <v>花都四部-凤凰仓</v>
      </c>
      <c r="G7468" s="1" t="str">
        <f t="shared" si="2161"/>
        <v>卡卡杜个人护理店（抖店）</v>
      </c>
      <c r="H7468" s="1" t="str">
        <f t="shared" si="2167"/>
        <v>正常订单</v>
      </c>
      <c r="I7468" s="1" t="str">
        <f t="shared" si="2168"/>
        <v>已发货</v>
      </c>
      <c r="J7468" s="1" t="str">
        <f t="shared" si="2171"/>
        <v>3</v>
      </c>
      <c r="K7468" s="1">
        <v>2</v>
      </c>
      <c r="L7468" s="1" t="s">
        <v>27</v>
      </c>
      <c r="M7468" s="1" t="str">
        <f>"贵州省 遵义市 红花岗区 新舟镇"</f>
        <v>贵州省 遵义市 红花岗区 新舟镇</v>
      </c>
      <c r="N7468" s="1" t="str">
        <f t="shared" si="2173"/>
        <v>凡华云仓-韵达-抖音</v>
      </c>
      <c r="O7468" s="5">
        <v>320171094247206</v>
      </c>
      <c r="P7468" s="6">
        <v>0.35</v>
      </c>
      <c r="Q7468" s="11">
        <v>2.2999999999999998</v>
      </c>
      <c r="R7468" s="11"/>
      <c r="S7468" s="11"/>
      <c r="T7468" s="11"/>
      <c r="U7468" s="11">
        <f t="shared" si="2164"/>
        <v>2.2999999999999998</v>
      </c>
      <c r="W7468">
        <v>2.5</v>
      </c>
      <c r="X7468" s="1" t="s">
        <v>27</v>
      </c>
    </row>
    <row r="7469" spans="1:24" x14ac:dyDescent="0.25">
      <c r="A7469" s="1" t="str">
        <f t="shared" si="2165"/>
        <v>卡卡杜-凤凰仓</v>
      </c>
      <c r="B7469" s="1" t="str">
        <f>"CK202410143340"</f>
        <v>CK202410143340</v>
      </c>
      <c r="C7469" s="1" t="str">
        <f>"DD2024101418101"</f>
        <v>DD2024101418101</v>
      </c>
      <c r="D7469" s="1" t="str">
        <f>"CK2024101431763"</f>
        <v>CK2024101431763</v>
      </c>
      <c r="E7469" s="1" t="str">
        <f>"6934945347025245800"</f>
        <v>6934945347025245800</v>
      </c>
      <c r="F7469" s="1" t="str">
        <f t="shared" si="2166"/>
        <v>花都四部-凤凰仓</v>
      </c>
      <c r="G7469" s="1" t="str">
        <f t="shared" si="2161"/>
        <v>卡卡杜个人护理店（抖店）</v>
      </c>
      <c r="H7469" s="1" t="str">
        <f t="shared" si="2167"/>
        <v>正常订单</v>
      </c>
      <c r="I7469" s="1" t="str">
        <f t="shared" si="2168"/>
        <v>已发货</v>
      </c>
      <c r="J7469" s="1" t="str">
        <f t="shared" si="2171"/>
        <v>3</v>
      </c>
      <c r="K7469" s="1">
        <v>2</v>
      </c>
      <c r="L7469" s="1" t="s">
        <v>74</v>
      </c>
      <c r="M7469" s="1" t="str">
        <f>"上海 上海市 奉贤区 庄行镇"</f>
        <v>上海 上海市 奉贤区 庄行镇</v>
      </c>
      <c r="N7469" s="1" t="str">
        <f t="shared" si="2173"/>
        <v>凡华云仓-韵达-抖音</v>
      </c>
      <c r="O7469" s="5">
        <v>320171094247115</v>
      </c>
      <c r="P7469" s="6">
        <v>0.35</v>
      </c>
      <c r="Q7469" s="11">
        <v>2.2999999999999998</v>
      </c>
      <c r="R7469" s="11"/>
      <c r="S7469" s="11"/>
      <c r="T7469" s="11"/>
      <c r="U7469" s="11">
        <f t="shared" si="2164"/>
        <v>2.2999999999999998</v>
      </c>
      <c r="W7469">
        <v>2.5</v>
      </c>
      <c r="X7469" s="1" t="s">
        <v>74</v>
      </c>
    </row>
    <row r="7470" spans="1:24" x14ac:dyDescent="0.25">
      <c r="A7470" s="1" t="str">
        <f t="shared" si="2165"/>
        <v>卡卡杜-凤凰仓</v>
      </c>
      <c r="B7470" s="1" t="str">
        <f>"CK202410143341"</f>
        <v>CK202410143341</v>
      </c>
      <c r="C7470" s="1" t="str">
        <f>"DD2024101418102"</f>
        <v>DD2024101418102</v>
      </c>
      <c r="D7470" s="1" t="str">
        <f>"CK2024101431762"</f>
        <v>CK2024101431762</v>
      </c>
      <c r="E7470" s="1" t="str">
        <f>"6934956337773155513"</f>
        <v>6934956337773155513</v>
      </c>
      <c r="F7470" s="1" t="str">
        <f t="shared" si="2166"/>
        <v>花都四部-凤凰仓</v>
      </c>
      <c r="G7470" s="1" t="str">
        <f t="shared" si="2161"/>
        <v>卡卡杜个人护理店（抖店）</v>
      </c>
      <c r="H7470" s="1" t="str">
        <f t="shared" si="2167"/>
        <v>正常订单</v>
      </c>
      <c r="I7470" s="1" t="str">
        <f t="shared" si="2168"/>
        <v>已发货</v>
      </c>
      <c r="J7470" s="1" t="str">
        <f t="shared" si="2171"/>
        <v>3</v>
      </c>
      <c r="K7470" s="1">
        <v>2</v>
      </c>
      <c r="L7470" s="1" t="s">
        <v>24</v>
      </c>
      <c r="M7470" s="1" t="str">
        <f>"福建省 福州市 连江县 透堡镇"</f>
        <v>福建省 福州市 连江县 透堡镇</v>
      </c>
      <c r="N7470" s="1" t="str">
        <f t="shared" si="2173"/>
        <v>凡华云仓-韵达-抖音</v>
      </c>
      <c r="O7470" s="5">
        <v>320171094247026</v>
      </c>
      <c r="P7470" s="6">
        <v>0.35</v>
      </c>
      <c r="Q7470" s="11">
        <v>2.2999999999999998</v>
      </c>
      <c r="R7470" s="11"/>
      <c r="S7470" s="11"/>
      <c r="T7470" s="11"/>
      <c r="U7470" s="11">
        <f t="shared" si="2164"/>
        <v>2.2999999999999998</v>
      </c>
      <c r="W7470">
        <v>2.5</v>
      </c>
      <c r="X7470" s="1" t="s">
        <v>24</v>
      </c>
    </row>
    <row r="7471" spans="1:24" x14ac:dyDescent="0.25">
      <c r="A7471" s="1" t="str">
        <f t="shared" si="2165"/>
        <v>卡卡杜-凤凰仓</v>
      </c>
      <c r="B7471" s="1" t="str">
        <f>"CK202410143342"</f>
        <v>CK202410143342</v>
      </c>
      <c r="C7471" s="1" t="str">
        <f>"DD2024101418103"</f>
        <v>DD2024101418103</v>
      </c>
      <c r="D7471" s="1" t="str">
        <f>"CK2024101431761"</f>
        <v>CK2024101431761</v>
      </c>
      <c r="E7471" s="1" t="str">
        <f>"6934967314720364244"</f>
        <v>6934967314720364244</v>
      </c>
      <c r="F7471" s="1" t="str">
        <f t="shared" si="2166"/>
        <v>花都四部-凤凰仓</v>
      </c>
      <c r="G7471" s="1" t="str">
        <f t="shared" si="2161"/>
        <v>卡卡杜个人护理店（抖店）</v>
      </c>
      <c r="H7471" s="1" t="str">
        <f t="shared" si="2167"/>
        <v>正常订单</v>
      </c>
      <c r="I7471" s="1" t="str">
        <f t="shared" si="2168"/>
        <v>已发货</v>
      </c>
      <c r="J7471" s="1" t="str">
        <f t="shared" si="2171"/>
        <v>3</v>
      </c>
      <c r="K7471" s="1">
        <v>2</v>
      </c>
      <c r="L7471" s="1" t="s">
        <v>20</v>
      </c>
      <c r="M7471" s="1" t="str">
        <f>"浙江省 温州市 瑞安市 仙降街道"</f>
        <v>浙江省 温州市 瑞安市 仙降街道</v>
      </c>
      <c r="N7471" s="1" t="str">
        <f t="shared" si="2173"/>
        <v>凡华云仓-韵达-抖音</v>
      </c>
      <c r="O7471" s="5">
        <v>320171094246998</v>
      </c>
      <c r="P7471" s="6">
        <v>0.35</v>
      </c>
      <c r="Q7471" s="11">
        <v>2.2999999999999998</v>
      </c>
      <c r="R7471" s="11"/>
      <c r="S7471" s="11"/>
      <c r="T7471" s="11"/>
      <c r="U7471" s="11">
        <f t="shared" si="2164"/>
        <v>2.2999999999999998</v>
      </c>
      <c r="W7471">
        <v>2.5</v>
      </c>
      <c r="X7471" s="1" t="s">
        <v>20</v>
      </c>
    </row>
    <row r="7472" spans="1:24" x14ac:dyDescent="0.25">
      <c r="A7472" s="1" t="str">
        <f t="shared" si="2165"/>
        <v>卡卡杜-凤凰仓</v>
      </c>
      <c r="B7472" s="1" t="str">
        <f>"CK202410143351"</f>
        <v>CK202410143351</v>
      </c>
      <c r="C7472" s="1" t="str">
        <f>"DD2024101418111"</f>
        <v>DD2024101418111</v>
      </c>
      <c r="D7472" s="1" t="str">
        <f>"CK2024101431760"</f>
        <v>CK2024101431760</v>
      </c>
      <c r="E7472" s="1" t="str">
        <f>"6934967325445854258"</f>
        <v>6934967325445854258</v>
      </c>
      <c r="F7472" s="1" t="str">
        <f t="shared" si="2166"/>
        <v>花都四部-凤凰仓</v>
      </c>
      <c r="G7472" s="1" t="str">
        <f t="shared" si="2161"/>
        <v>卡卡杜个人护理店（抖店）</v>
      </c>
      <c r="H7472" s="1" t="str">
        <f t="shared" si="2167"/>
        <v>正常订单</v>
      </c>
      <c r="I7472" s="1" t="str">
        <f t="shared" si="2168"/>
        <v>已发货</v>
      </c>
      <c r="J7472" s="1" t="str">
        <f t="shared" si="2171"/>
        <v>3</v>
      </c>
      <c r="K7472" s="1">
        <v>2</v>
      </c>
      <c r="L7472" s="1" t="s">
        <v>18</v>
      </c>
      <c r="M7472" s="1" t="str">
        <f>"广东省 中山市 中山市 古镇镇"</f>
        <v>广东省 中山市 中山市 古镇镇</v>
      </c>
      <c r="N7472" s="1" t="str">
        <f t="shared" si="2173"/>
        <v>凡华云仓-韵达-抖音</v>
      </c>
      <c r="O7472" s="5">
        <v>320171094246893</v>
      </c>
      <c r="P7472" s="6">
        <v>0.35</v>
      </c>
      <c r="Q7472" s="11">
        <v>2.2999999999999998</v>
      </c>
      <c r="R7472" s="11"/>
      <c r="S7472" s="11"/>
      <c r="T7472" s="11"/>
      <c r="U7472" s="11">
        <f t="shared" si="2164"/>
        <v>2.2999999999999998</v>
      </c>
      <c r="W7472">
        <v>2.5</v>
      </c>
      <c r="X7472" s="1" t="s">
        <v>18</v>
      </c>
    </row>
    <row r="7473" spans="1:24" x14ac:dyDescent="0.25">
      <c r="A7473" s="1" t="str">
        <f t="shared" si="2165"/>
        <v>卡卡杜-凤凰仓</v>
      </c>
      <c r="B7473" s="1" t="str">
        <f>"CK202410143311"</f>
        <v>CK202410143311</v>
      </c>
      <c r="C7473" s="1" t="str">
        <f>"DD2024101418072"</f>
        <v>DD2024101418072</v>
      </c>
      <c r="D7473" s="1" t="str">
        <f>"CK2024101431759"</f>
        <v>CK2024101431759</v>
      </c>
      <c r="E7473" s="1" t="str">
        <f>"6934937627898680764"</f>
        <v>6934937627898680764</v>
      </c>
      <c r="F7473" s="1" t="str">
        <f t="shared" si="2166"/>
        <v>花都四部-凤凰仓</v>
      </c>
      <c r="G7473" s="1" t="str">
        <f t="shared" si="2161"/>
        <v>卡卡杜个人护理店（抖店）</v>
      </c>
      <c r="H7473" s="1" t="str">
        <f t="shared" si="2167"/>
        <v>正常订单</v>
      </c>
      <c r="I7473" s="1" t="str">
        <f t="shared" si="2168"/>
        <v>已发货</v>
      </c>
      <c r="J7473" s="1" t="str">
        <f t="shared" si="2171"/>
        <v>3</v>
      </c>
      <c r="K7473" s="1">
        <v>2</v>
      </c>
      <c r="L7473" s="1" t="s">
        <v>74</v>
      </c>
      <c r="M7473" s="1" t="str">
        <f>"上海 上海市 宝山区 罗店镇"</f>
        <v>上海 上海市 宝山区 罗店镇</v>
      </c>
      <c r="N7473" s="1" t="str">
        <f t="shared" si="2173"/>
        <v>凡华云仓-韵达-抖音</v>
      </c>
      <c r="O7473" s="5">
        <v>320171094246790</v>
      </c>
      <c r="P7473" s="6">
        <v>0.35</v>
      </c>
      <c r="Q7473" s="11">
        <v>2.2999999999999998</v>
      </c>
      <c r="R7473" s="11"/>
      <c r="S7473" s="11"/>
      <c r="T7473" s="11"/>
      <c r="U7473" s="11">
        <f t="shared" si="2164"/>
        <v>2.2999999999999998</v>
      </c>
      <c r="W7473">
        <v>2.5</v>
      </c>
      <c r="X7473" s="1" t="s">
        <v>74</v>
      </c>
    </row>
    <row r="7474" spans="1:24" x14ac:dyDescent="0.25">
      <c r="A7474" s="1" t="str">
        <f t="shared" si="2165"/>
        <v>卡卡杜-凤凰仓</v>
      </c>
      <c r="B7474" s="1" t="str">
        <f>"CK202410143315"</f>
        <v>CK202410143315</v>
      </c>
      <c r="C7474" s="1" t="str">
        <f>"DD2024101418076"</f>
        <v>DD2024101418076</v>
      </c>
      <c r="D7474" s="1" t="str">
        <f>"CK2024101431758"</f>
        <v>CK2024101431758</v>
      </c>
      <c r="E7474" s="1" t="str">
        <f>"6934959840052122824"</f>
        <v>6934959840052122824</v>
      </c>
      <c r="F7474" s="1" t="str">
        <f t="shared" si="2166"/>
        <v>花都四部-凤凰仓</v>
      </c>
      <c r="G7474" s="1" t="str">
        <f t="shared" si="2161"/>
        <v>卡卡杜个人护理店（抖店）</v>
      </c>
      <c r="H7474" s="1" t="str">
        <f t="shared" si="2167"/>
        <v>正常订单</v>
      </c>
      <c r="I7474" s="1" t="str">
        <f t="shared" si="2168"/>
        <v>已发货</v>
      </c>
      <c r="J7474" s="1" t="str">
        <f t="shared" si="2171"/>
        <v>3</v>
      </c>
      <c r="K7474" s="1">
        <v>2</v>
      </c>
      <c r="L7474" s="1" t="s">
        <v>13</v>
      </c>
      <c r="M7474" s="1" t="str">
        <f>"江苏省 南通市 如皋市 石庄镇"</f>
        <v>江苏省 南通市 如皋市 石庄镇</v>
      </c>
      <c r="N7474" s="1" t="str">
        <f t="shared" si="2173"/>
        <v>凡华云仓-韵达-抖音</v>
      </c>
      <c r="O7474" s="5">
        <v>320171076937292</v>
      </c>
      <c r="P7474" s="6">
        <v>0.35</v>
      </c>
      <c r="Q7474" s="11">
        <v>2.2999999999999998</v>
      </c>
      <c r="R7474" s="11"/>
      <c r="S7474" s="11"/>
      <c r="T7474" s="11"/>
      <c r="U7474" s="11">
        <f t="shared" si="2164"/>
        <v>2.2999999999999998</v>
      </c>
      <c r="W7474">
        <v>2.5</v>
      </c>
      <c r="X7474" s="1" t="s">
        <v>13</v>
      </c>
    </row>
    <row r="7475" spans="1:24" x14ac:dyDescent="0.25">
      <c r="A7475" s="1" t="str">
        <f t="shared" si="2165"/>
        <v>卡卡杜-凤凰仓</v>
      </c>
      <c r="B7475" s="1" t="str">
        <f>"CK202410143300"</f>
        <v>CK202410143300</v>
      </c>
      <c r="C7475" s="1" t="str">
        <f>"DD2024101418061"</f>
        <v>DD2024101418061</v>
      </c>
      <c r="D7475" s="1" t="str">
        <f>"CK2024101431757"</f>
        <v>CK2024101431757</v>
      </c>
      <c r="E7475" s="1" t="str">
        <f>"6934971544399385604"</f>
        <v>6934971544399385604</v>
      </c>
      <c r="F7475" s="1" t="str">
        <f t="shared" si="2166"/>
        <v>花都四部-凤凰仓</v>
      </c>
      <c r="G7475" s="1" t="str">
        <f t="shared" si="2161"/>
        <v>卡卡杜个人护理店（抖店）</v>
      </c>
      <c r="H7475" s="1" t="str">
        <f t="shared" si="2167"/>
        <v>正常订单</v>
      </c>
      <c r="I7475" s="1" t="str">
        <f t="shared" si="2168"/>
        <v>已发货</v>
      </c>
      <c r="J7475" s="1" t="str">
        <f t="shared" si="2171"/>
        <v>3</v>
      </c>
      <c r="K7475" s="1">
        <v>2</v>
      </c>
      <c r="L7475" s="1" t="s">
        <v>20</v>
      </c>
      <c r="M7475" s="1" t="str">
        <f>"浙江省 湖州市 吴兴区 月河街道"</f>
        <v>浙江省 湖州市 吴兴区 月河街道</v>
      </c>
      <c r="N7475" s="1" t="str">
        <f t="shared" si="2173"/>
        <v>凡华云仓-韵达-抖音</v>
      </c>
      <c r="O7475" s="5">
        <v>320171076937101</v>
      </c>
      <c r="P7475" s="6">
        <v>0.35</v>
      </c>
      <c r="Q7475" s="11">
        <v>2.2999999999999998</v>
      </c>
      <c r="R7475" s="11"/>
      <c r="S7475" s="11"/>
      <c r="T7475" s="11"/>
      <c r="U7475" s="11">
        <f t="shared" si="2164"/>
        <v>2.2999999999999998</v>
      </c>
      <c r="W7475">
        <v>2.5</v>
      </c>
      <c r="X7475" s="1" t="s">
        <v>20</v>
      </c>
    </row>
    <row r="7476" spans="1:24" x14ac:dyDescent="0.25">
      <c r="A7476" s="1" t="str">
        <f t="shared" si="2165"/>
        <v>卡卡杜-凤凰仓</v>
      </c>
      <c r="B7476" s="1" t="str">
        <f>"CK202410143343"</f>
        <v>CK202410143343</v>
      </c>
      <c r="C7476" s="1" t="str">
        <f>"DD2024101418104"</f>
        <v>DD2024101418104</v>
      </c>
      <c r="D7476" s="1" t="str">
        <f>"CK2024101431756"</f>
        <v>CK2024101431756</v>
      </c>
      <c r="E7476" s="1" t="str">
        <f>"6934945176930686831"</f>
        <v>6934945176930686831</v>
      </c>
      <c r="F7476" s="1" t="str">
        <f t="shared" si="2166"/>
        <v>花都四部-凤凰仓</v>
      </c>
      <c r="G7476" s="1" t="str">
        <f t="shared" si="2161"/>
        <v>卡卡杜个人护理店（抖店）</v>
      </c>
      <c r="H7476" s="1" t="str">
        <f t="shared" si="2167"/>
        <v>正常订单</v>
      </c>
      <c r="I7476" s="1" t="str">
        <f t="shared" si="2168"/>
        <v>已发货</v>
      </c>
      <c r="J7476" s="1" t="str">
        <f t="shared" si="2171"/>
        <v>3</v>
      </c>
      <c r="K7476" s="1">
        <v>2</v>
      </c>
      <c r="L7476" s="1" t="s">
        <v>41</v>
      </c>
      <c r="M7476" s="1" t="str">
        <f>"湖北省 恩施土家族苗族自治州 恩施市 "</f>
        <v xml:space="preserve">湖北省 恩施土家族苗族自治州 恩施市 </v>
      </c>
      <c r="N7476" s="1" t="str">
        <f t="shared" si="2173"/>
        <v>凡华云仓-韵达-抖音</v>
      </c>
      <c r="O7476" s="5">
        <v>320171076937012</v>
      </c>
      <c r="P7476" s="6">
        <v>0.35</v>
      </c>
      <c r="Q7476" s="11">
        <v>2.2999999999999998</v>
      </c>
      <c r="R7476" s="11"/>
      <c r="S7476" s="11"/>
      <c r="T7476" s="11"/>
      <c r="U7476" s="11">
        <f t="shared" si="2164"/>
        <v>2.2999999999999998</v>
      </c>
      <c r="W7476">
        <v>2.5</v>
      </c>
      <c r="X7476" s="1" t="s">
        <v>41</v>
      </c>
    </row>
    <row r="7477" spans="1:24" x14ac:dyDescent="0.25">
      <c r="A7477" s="1" t="str">
        <f t="shared" si="2165"/>
        <v>卡卡杜-凤凰仓</v>
      </c>
      <c r="B7477" s="1" t="str">
        <f>"CK202410143328"</f>
        <v>CK202410143328</v>
      </c>
      <c r="C7477" s="1" t="str">
        <f>"DD2024101418089"</f>
        <v>DD2024101418089</v>
      </c>
      <c r="D7477" s="1" t="str">
        <f>"CK2024101431755"</f>
        <v>CK2024101431755</v>
      </c>
      <c r="E7477" s="1" t="str">
        <f>"6934935779472053759"</f>
        <v>6934935779472053759</v>
      </c>
      <c r="F7477" s="1" t="str">
        <f t="shared" si="2166"/>
        <v>花都四部-凤凰仓</v>
      </c>
      <c r="G7477" s="1" t="str">
        <f t="shared" ref="G7477:G7540" si="2174">"卡卡杜个人护理店（抖店）"</f>
        <v>卡卡杜个人护理店（抖店）</v>
      </c>
      <c r="H7477" s="1" t="str">
        <f t="shared" si="2167"/>
        <v>正常订单</v>
      </c>
      <c r="I7477" s="1" t="str">
        <f t="shared" si="2168"/>
        <v>已发货</v>
      </c>
      <c r="J7477" s="1" t="str">
        <f t="shared" si="2171"/>
        <v>3</v>
      </c>
      <c r="K7477" s="1">
        <v>2</v>
      </c>
      <c r="L7477" s="1" t="s">
        <v>22</v>
      </c>
      <c r="M7477" s="1" t="str">
        <f>"江西省 南昌市 南昌县 "</f>
        <v xml:space="preserve">江西省 南昌市 南昌县 </v>
      </c>
      <c r="N7477" s="1" t="str">
        <f t="shared" si="2173"/>
        <v>凡华云仓-韵达-抖音</v>
      </c>
      <c r="O7477" s="5">
        <v>320171076936984</v>
      </c>
      <c r="P7477" s="6">
        <v>0.35</v>
      </c>
      <c r="Q7477" s="11">
        <v>2.2999999999999998</v>
      </c>
      <c r="R7477" s="11"/>
      <c r="S7477" s="11"/>
      <c r="T7477" s="11"/>
      <c r="U7477" s="11">
        <f t="shared" si="2164"/>
        <v>2.2999999999999998</v>
      </c>
      <c r="W7477">
        <v>2.5</v>
      </c>
      <c r="X7477" s="1" t="s">
        <v>22</v>
      </c>
    </row>
    <row r="7478" spans="1:24" x14ac:dyDescent="0.25">
      <c r="A7478" s="1" t="str">
        <f t="shared" si="2165"/>
        <v>卡卡杜-凤凰仓</v>
      </c>
      <c r="B7478" s="1" t="str">
        <f>"CK202410143345"</f>
        <v>CK202410143345</v>
      </c>
      <c r="C7478" s="1" t="str">
        <f>"DD2024101418106"</f>
        <v>DD2024101418106</v>
      </c>
      <c r="D7478" s="1" t="str">
        <f>"CK2024101431754"</f>
        <v>CK2024101431754</v>
      </c>
      <c r="E7478" s="1" t="str">
        <f>"6934954562891027927"</f>
        <v>6934954562891027927</v>
      </c>
      <c r="F7478" s="1" t="str">
        <f t="shared" si="2166"/>
        <v>花都四部-凤凰仓</v>
      </c>
      <c r="G7478" s="1" t="str">
        <f t="shared" si="2174"/>
        <v>卡卡杜个人护理店（抖店）</v>
      </c>
      <c r="H7478" s="1" t="str">
        <f t="shared" si="2167"/>
        <v>正常订单</v>
      </c>
      <c r="I7478" s="1" t="str">
        <f t="shared" si="2168"/>
        <v>已发货</v>
      </c>
      <c r="J7478" s="1" t="str">
        <f t="shared" si="2171"/>
        <v>3</v>
      </c>
      <c r="K7478" s="1">
        <v>2</v>
      </c>
      <c r="L7478" s="1" t="s">
        <v>20</v>
      </c>
      <c r="M7478" s="1" t="str">
        <f>"浙江省 杭州市 临平区 崇贤街道"</f>
        <v>浙江省 杭州市 临平区 崇贤街道</v>
      </c>
      <c r="N7478" s="1" t="str">
        <f t="shared" si="2173"/>
        <v>凡华云仓-韵达-抖音</v>
      </c>
      <c r="O7478" s="5">
        <v>320171076936879</v>
      </c>
      <c r="P7478" s="6">
        <v>0.35</v>
      </c>
      <c r="Q7478" s="11">
        <v>2.2999999999999998</v>
      </c>
      <c r="R7478" s="11"/>
      <c r="S7478" s="11"/>
      <c r="T7478" s="11"/>
      <c r="U7478" s="11">
        <f t="shared" si="2164"/>
        <v>2.2999999999999998</v>
      </c>
      <c r="W7478">
        <v>2.5</v>
      </c>
      <c r="X7478" s="1" t="s">
        <v>20</v>
      </c>
    </row>
    <row r="7479" spans="1:24" x14ac:dyDescent="0.25">
      <c r="A7479" s="1" t="str">
        <f t="shared" si="2165"/>
        <v>卡卡杜-凤凰仓</v>
      </c>
      <c r="B7479" s="1" t="str">
        <f>"CK202410143375"</f>
        <v>CK202410143375</v>
      </c>
      <c r="C7479" s="1" t="str">
        <f>"DD2024101418136"</f>
        <v>DD2024101418136</v>
      </c>
      <c r="D7479" s="1" t="str">
        <f>"CK2024101431753"</f>
        <v>CK2024101431753</v>
      </c>
      <c r="E7479" s="1" t="str">
        <f>"6934961271267268087"</f>
        <v>6934961271267268087</v>
      </c>
      <c r="F7479" s="1" t="str">
        <f t="shared" si="2166"/>
        <v>花都四部-凤凰仓</v>
      </c>
      <c r="G7479" s="1" t="str">
        <f t="shared" si="2174"/>
        <v>卡卡杜个人护理店（抖店）</v>
      </c>
      <c r="H7479" s="1" t="str">
        <f t="shared" si="2167"/>
        <v>正常订单</v>
      </c>
      <c r="I7479" s="1" t="str">
        <f t="shared" si="2168"/>
        <v>已发货</v>
      </c>
      <c r="J7479" s="1" t="str">
        <f t="shared" ref="J7479:J7481" si="2175">"5"</f>
        <v>5</v>
      </c>
      <c r="K7479" s="1">
        <v>2</v>
      </c>
      <c r="L7479" s="1" t="s">
        <v>66</v>
      </c>
      <c r="M7479" s="1" t="str">
        <f>"内蒙古自治区 鄂尔多斯市 东胜区 巴音门克街道"</f>
        <v>内蒙古自治区 鄂尔多斯市 东胜区 巴音门克街道</v>
      </c>
      <c r="N7479" s="1" t="str">
        <f t="shared" si="2173"/>
        <v>凡华云仓-韵达-抖音</v>
      </c>
      <c r="O7479" s="5">
        <v>320171076936776</v>
      </c>
      <c r="P7479" s="6">
        <v>0.59</v>
      </c>
      <c r="Q7479" s="11">
        <f t="shared" ref="Q7479:Q7481" si="2176">CEILING(P7479-0.5,0.1)*10*0.15+2.3</f>
        <v>2.4499999999999997</v>
      </c>
      <c r="R7479" s="11"/>
      <c r="S7479" s="11"/>
      <c r="T7479" s="11"/>
      <c r="U7479" s="11">
        <f t="shared" si="2164"/>
        <v>2.4499999999999997</v>
      </c>
      <c r="V7479" t="s">
        <v>15</v>
      </c>
      <c r="W7479">
        <v>2.4500000000000002</v>
      </c>
      <c r="X7479" s="1" t="s">
        <v>66</v>
      </c>
    </row>
    <row r="7480" spans="1:24" x14ac:dyDescent="0.25">
      <c r="A7480" s="1" t="str">
        <f t="shared" si="2165"/>
        <v>卡卡杜-凤凰仓</v>
      </c>
      <c r="B7480" s="1" t="str">
        <f>"CK202410143376"</f>
        <v>CK202410143376</v>
      </c>
      <c r="C7480" s="1" t="str">
        <f>"DD2024101418137"</f>
        <v>DD2024101418137</v>
      </c>
      <c r="D7480" s="1" t="str">
        <f>"CK2024101431752"</f>
        <v>CK2024101431752</v>
      </c>
      <c r="E7480" s="1" t="str">
        <f>"6934958875398968457"</f>
        <v>6934958875398968457</v>
      </c>
      <c r="F7480" s="1" t="str">
        <f t="shared" si="2166"/>
        <v>花都四部-凤凰仓</v>
      </c>
      <c r="G7480" s="1" t="str">
        <f t="shared" si="2174"/>
        <v>卡卡杜个人护理店（抖店）</v>
      </c>
      <c r="H7480" s="1" t="str">
        <f t="shared" si="2167"/>
        <v>正常订单</v>
      </c>
      <c r="I7480" s="1" t="str">
        <f t="shared" si="2168"/>
        <v>已发货</v>
      </c>
      <c r="J7480" s="1" t="str">
        <f t="shared" si="2175"/>
        <v>5</v>
      </c>
      <c r="K7480" s="1">
        <v>2</v>
      </c>
      <c r="L7480" s="1" t="s">
        <v>30</v>
      </c>
      <c r="M7480" s="1" t="str">
        <f>"山东省 济宁市 任城区 安居街道"</f>
        <v>山东省 济宁市 任城区 安居街道</v>
      </c>
      <c r="N7480" s="1" t="str">
        <f t="shared" si="2173"/>
        <v>凡华云仓-韵达-抖音</v>
      </c>
      <c r="O7480" s="5">
        <v>320171076936675</v>
      </c>
      <c r="P7480" s="6">
        <v>0.59</v>
      </c>
      <c r="Q7480" s="11">
        <f t="shared" si="2176"/>
        <v>2.4499999999999997</v>
      </c>
      <c r="R7480" s="11"/>
      <c r="S7480" s="11"/>
      <c r="T7480" s="11"/>
      <c r="U7480" s="11">
        <f t="shared" si="2164"/>
        <v>2.4499999999999997</v>
      </c>
      <c r="V7480" t="s">
        <v>15</v>
      </c>
      <c r="W7480">
        <v>2.4500000000000002</v>
      </c>
      <c r="X7480" s="1" t="s">
        <v>30</v>
      </c>
    </row>
    <row r="7481" spans="1:24" x14ac:dyDescent="0.25">
      <c r="A7481" s="1" t="str">
        <f t="shared" si="2165"/>
        <v>卡卡杜-凤凰仓</v>
      </c>
      <c r="B7481" s="1" t="str">
        <f>"CK202410143371"</f>
        <v>CK202410143371</v>
      </c>
      <c r="C7481" s="1" t="str">
        <f>"DD2024101418132"</f>
        <v>DD2024101418132</v>
      </c>
      <c r="D7481" s="1" t="str">
        <f>"CK2024101431751"</f>
        <v>CK2024101431751</v>
      </c>
      <c r="E7481" s="1" t="str">
        <f>"6934978828411868266"</f>
        <v>6934978828411868266</v>
      </c>
      <c r="F7481" s="1" t="str">
        <f t="shared" si="2166"/>
        <v>花都四部-凤凰仓</v>
      </c>
      <c r="G7481" s="1" t="str">
        <f t="shared" si="2174"/>
        <v>卡卡杜个人护理店（抖店）</v>
      </c>
      <c r="H7481" s="1" t="str">
        <f t="shared" si="2167"/>
        <v>正常订单</v>
      </c>
      <c r="I7481" s="1" t="str">
        <f t="shared" si="2168"/>
        <v>已发货</v>
      </c>
      <c r="J7481" s="1" t="str">
        <f t="shared" si="2175"/>
        <v>5</v>
      </c>
      <c r="K7481" s="1">
        <v>2</v>
      </c>
      <c r="L7481" s="1" t="s">
        <v>13</v>
      </c>
      <c r="M7481" s="1" t="str">
        <f>"江苏省 南京市 雨花台区 雨花经济开发区"</f>
        <v>江苏省 南京市 雨花台区 雨花经济开发区</v>
      </c>
      <c r="N7481" s="1" t="str">
        <f t="shared" si="2173"/>
        <v>凡华云仓-韵达-抖音</v>
      </c>
      <c r="O7481" s="5">
        <v>320171076936576</v>
      </c>
      <c r="P7481" s="6">
        <v>0.59</v>
      </c>
      <c r="Q7481" s="11">
        <f t="shared" si="2176"/>
        <v>2.4499999999999997</v>
      </c>
      <c r="R7481" s="11"/>
      <c r="S7481" s="11"/>
      <c r="T7481" s="11"/>
      <c r="U7481" s="11">
        <f t="shared" si="2164"/>
        <v>2.4499999999999997</v>
      </c>
      <c r="V7481" t="s">
        <v>15</v>
      </c>
      <c r="W7481">
        <v>2.4500000000000002</v>
      </c>
      <c r="X7481" s="1" t="s">
        <v>13</v>
      </c>
    </row>
    <row r="7482" spans="1:24" x14ac:dyDescent="0.25">
      <c r="A7482" s="1" t="str">
        <f t="shared" si="2165"/>
        <v>卡卡杜-凤凰仓</v>
      </c>
      <c r="B7482" s="1" t="str">
        <f>"CK202410143280"</f>
        <v>CK202410143280</v>
      </c>
      <c r="C7482" s="1" t="str">
        <f>"DD2024101418041"</f>
        <v>DD2024101418041</v>
      </c>
      <c r="D7482" s="1" t="str">
        <f>"CK2024101431750"</f>
        <v>CK2024101431750</v>
      </c>
      <c r="E7482" s="1" t="str">
        <f>"6934959311958447417"</f>
        <v>6934959311958447417</v>
      </c>
      <c r="F7482" s="1" t="str">
        <f t="shared" si="2166"/>
        <v>花都四部-凤凰仓</v>
      </c>
      <c r="G7482" s="1" t="str">
        <f t="shared" si="2174"/>
        <v>卡卡杜个人护理店（抖店）</v>
      </c>
      <c r="H7482" s="1" t="str">
        <f t="shared" si="2167"/>
        <v>正常订单</v>
      </c>
      <c r="I7482" s="1" t="str">
        <f t="shared" si="2168"/>
        <v>已发货</v>
      </c>
      <c r="J7482" s="1" t="str">
        <f t="shared" ref="J7482:J7488" si="2177">"3"</f>
        <v>3</v>
      </c>
      <c r="K7482" s="1">
        <v>2</v>
      </c>
      <c r="L7482" s="1" t="s">
        <v>13</v>
      </c>
      <c r="M7482" s="1" t="str">
        <f>"江苏省 无锡市 惠山区 洛社镇"</f>
        <v>江苏省 无锡市 惠山区 洛社镇</v>
      </c>
      <c r="N7482" s="1" t="str">
        <f t="shared" si="2173"/>
        <v>凡华云仓-韵达-抖音</v>
      </c>
      <c r="O7482" s="5">
        <v>320171076936479</v>
      </c>
      <c r="P7482" s="6">
        <v>0.35</v>
      </c>
      <c r="Q7482" s="11">
        <v>2.2999999999999998</v>
      </c>
      <c r="R7482" s="11"/>
      <c r="S7482" s="11"/>
      <c r="T7482" s="11"/>
      <c r="U7482" s="11">
        <f t="shared" si="2164"/>
        <v>2.2999999999999998</v>
      </c>
      <c r="W7482">
        <v>2.5</v>
      </c>
      <c r="X7482" s="1" t="s">
        <v>13</v>
      </c>
    </row>
    <row r="7483" spans="1:24" x14ac:dyDescent="0.25">
      <c r="A7483" s="1" t="str">
        <f t="shared" si="2165"/>
        <v>卡卡杜-凤凰仓</v>
      </c>
      <c r="B7483" s="1" t="str">
        <f>"CK202410143256"</f>
        <v>CK202410143256</v>
      </c>
      <c r="C7483" s="1" t="str">
        <f>"DD2024101418017"</f>
        <v>DD2024101418017</v>
      </c>
      <c r="D7483" s="1" t="str">
        <f>"CK2024101431749"</f>
        <v>CK2024101431749</v>
      </c>
      <c r="E7483" s="1" t="str">
        <f>"6934964010829748020"</f>
        <v>6934964010829748020</v>
      </c>
      <c r="F7483" s="1" t="str">
        <f t="shared" si="2166"/>
        <v>花都四部-凤凰仓</v>
      </c>
      <c r="G7483" s="1" t="str">
        <f t="shared" si="2174"/>
        <v>卡卡杜个人护理店（抖店）</v>
      </c>
      <c r="H7483" s="1" t="str">
        <f t="shared" si="2167"/>
        <v>正常订单</v>
      </c>
      <c r="I7483" s="1" t="str">
        <f t="shared" si="2168"/>
        <v>已发货</v>
      </c>
      <c r="J7483" s="1" t="str">
        <f t="shared" si="2177"/>
        <v>3</v>
      </c>
      <c r="K7483" s="1">
        <v>2</v>
      </c>
      <c r="L7483" s="1" t="s">
        <v>36</v>
      </c>
      <c r="M7483" s="1" t="str">
        <f>"安徽省 黄山市 屯溪区 新潭镇"</f>
        <v>安徽省 黄山市 屯溪区 新潭镇</v>
      </c>
      <c r="N7483" s="1" t="str">
        <f t="shared" si="2173"/>
        <v>凡华云仓-韵达-抖音</v>
      </c>
      <c r="O7483" s="5">
        <v>320171076936384</v>
      </c>
      <c r="P7483" s="6">
        <v>0.35</v>
      </c>
      <c r="Q7483" s="11">
        <v>2.2999999999999998</v>
      </c>
      <c r="R7483" s="11"/>
      <c r="S7483" s="11"/>
      <c r="T7483" s="11"/>
      <c r="U7483" s="11">
        <f t="shared" si="2164"/>
        <v>2.2999999999999998</v>
      </c>
      <c r="W7483">
        <v>2.5</v>
      </c>
      <c r="X7483" s="1" t="s">
        <v>36</v>
      </c>
    </row>
    <row r="7484" spans="1:24" x14ac:dyDescent="0.25">
      <c r="A7484" s="1" t="str">
        <f t="shared" si="2165"/>
        <v>卡卡杜-凤凰仓</v>
      </c>
      <c r="B7484" s="1" t="str">
        <f>"CK202410143241"</f>
        <v>CK202410143241</v>
      </c>
      <c r="C7484" s="1" t="str">
        <f>"DD2024101418004"</f>
        <v>DD2024101418004</v>
      </c>
      <c r="D7484" s="1" t="str">
        <f>"CK2024101431748"</f>
        <v>CK2024101431748</v>
      </c>
      <c r="E7484" s="1" t="str">
        <f>"6934968318867806184"</f>
        <v>6934968318867806184</v>
      </c>
      <c r="F7484" s="1" t="str">
        <f t="shared" si="2166"/>
        <v>花都四部-凤凰仓</v>
      </c>
      <c r="G7484" s="1" t="str">
        <f t="shared" si="2174"/>
        <v>卡卡杜个人护理店（抖店）</v>
      </c>
      <c r="H7484" s="1" t="str">
        <f t="shared" si="2167"/>
        <v>正常订单</v>
      </c>
      <c r="I7484" s="1" t="str">
        <f t="shared" si="2168"/>
        <v>已发货</v>
      </c>
      <c r="J7484" s="1" t="str">
        <f t="shared" si="2177"/>
        <v>3</v>
      </c>
      <c r="K7484" s="1">
        <v>2</v>
      </c>
      <c r="L7484" s="1" t="s">
        <v>18</v>
      </c>
      <c r="M7484" s="1" t="str">
        <f>"广东省 江门市 蓬江区 环市街道"</f>
        <v>广东省 江门市 蓬江区 环市街道</v>
      </c>
      <c r="N7484" s="1" t="str">
        <f t="shared" si="2173"/>
        <v>凡华云仓-韵达-抖音</v>
      </c>
      <c r="O7484" s="5">
        <v>320171093081348</v>
      </c>
      <c r="P7484" s="6">
        <v>0.35</v>
      </c>
      <c r="Q7484" s="11">
        <v>2.2999999999999998</v>
      </c>
      <c r="R7484" s="11"/>
      <c r="S7484" s="11"/>
      <c r="T7484" s="11"/>
      <c r="U7484" s="11">
        <f t="shared" si="2164"/>
        <v>2.2999999999999998</v>
      </c>
      <c r="W7484">
        <v>2.5</v>
      </c>
      <c r="X7484" s="1" t="s">
        <v>18</v>
      </c>
    </row>
    <row r="7485" spans="1:24" x14ac:dyDescent="0.25">
      <c r="A7485" s="1" t="str">
        <f t="shared" si="2165"/>
        <v>卡卡杜-凤凰仓</v>
      </c>
      <c r="B7485" s="1" t="str">
        <f>"CK202410143249"</f>
        <v>CK202410143249</v>
      </c>
      <c r="C7485" s="1" t="str">
        <f>"DD2024101418010"</f>
        <v>DD2024101418010</v>
      </c>
      <c r="D7485" s="1" t="str">
        <f>"CK2024101431747"</f>
        <v>CK2024101431747</v>
      </c>
      <c r="E7485" s="1" t="str">
        <f>"6934984135262869409"</f>
        <v>6934984135262869409</v>
      </c>
      <c r="F7485" s="1" t="str">
        <f t="shared" si="2166"/>
        <v>花都四部-凤凰仓</v>
      </c>
      <c r="G7485" s="1" t="str">
        <f t="shared" si="2174"/>
        <v>卡卡杜个人护理店（抖店）</v>
      </c>
      <c r="H7485" s="1" t="str">
        <f t="shared" si="2167"/>
        <v>正常订单</v>
      </c>
      <c r="I7485" s="1" t="str">
        <f t="shared" si="2168"/>
        <v>已发货</v>
      </c>
      <c r="J7485" s="1" t="str">
        <f t="shared" si="2177"/>
        <v>3</v>
      </c>
      <c r="K7485" s="1">
        <v>2</v>
      </c>
      <c r="L7485" s="1" t="s">
        <v>13</v>
      </c>
      <c r="M7485" s="1" t="str">
        <f>"江苏省 南通市 海门区 三星镇(叠石桥家纺产业园区)"</f>
        <v>江苏省 南通市 海门区 三星镇(叠石桥家纺产业园区)</v>
      </c>
      <c r="N7485" s="1" t="str">
        <f>"凡华云仓-竹料中通-抖音"</f>
        <v>凡华云仓-竹料中通-抖音</v>
      </c>
      <c r="O7485" s="5">
        <v>76431113833350</v>
      </c>
      <c r="P7485" s="6">
        <v>0.35</v>
      </c>
      <c r="Q7485" s="11">
        <v>2.6</v>
      </c>
      <c r="R7485" s="11"/>
      <c r="S7485" s="11"/>
      <c r="T7485" s="11"/>
      <c r="U7485" s="11">
        <f t="shared" si="2164"/>
        <v>2.6</v>
      </c>
      <c r="W7485">
        <v>2.6</v>
      </c>
      <c r="X7485" s="1" t="s">
        <v>13</v>
      </c>
    </row>
    <row r="7486" spans="1:24" x14ac:dyDescent="0.25">
      <c r="A7486" s="1" t="str">
        <f t="shared" si="2165"/>
        <v>卡卡杜-凤凰仓</v>
      </c>
      <c r="B7486" s="1" t="str">
        <f>"CK202410143250"</f>
        <v>CK202410143250</v>
      </c>
      <c r="C7486" s="1" t="str">
        <f>"DD2024101418015"</f>
        <v>DD2024101418015</v>
      </c>
      <c r="D7486" s="1" t="str">
        <f>"CK2024101431746"</f>
        <v>CK2024101431746</v>
      </c>
      <c r="E7486" s="1" t="str">
        <f>"6934990579830756489"</f>
        <v>6934990579830756489</v>
      </c>
      <c r="F7486" s="1" t="str">
        <f t="shared" si="2166"/>
        <v>花都四部-凤凰仓</v>
      </c>
      <c r="G7486" s="1" t="str">
        <f t="shared" si="2174"/>
        <v>卡卡杜个人护理店（抖店）</v>
      </c>
      <c r="H7486" s="1" t="str">
        <f t="shared" si="2167"/>
        <v>正常订单</v>
      </c>
      <c r="I7486" s="1" t="str">
        <f t="shared" si="2168"/>
        <v>已发货</v>
      </c>
      <c r="J7486" s="1" t="str">
        <f t="shared" si="2177"/>
        <v>3</v>
      </c>
      <c r="K7486" s="1">
        <v>2</v>
      </c>
      <c r="L7486" s="1" t="s">
        <v>18</v>
      </c>
      <c r="M7486" s="1" t="str">
        <f>"广东省 广州市 从化区 太平镇"</f>
        <v>广东省 广州市 从化区 太平镇</v>
      </c>
      <c r="N7486" s="1" t="str">
        <f t="shared" ref="N7486:N7526" si="2178">"凡华云仓-韵达-抖音"</f>
        <v>凡华云仓-韵达-抖音</v>
      </c>
      <c r="O7486" s="5">
        <v>320171093081255</v>
      </c>
      <c r="P7486" s="6">
        <v>0.35</v>
      </c>
      <c r="Q7486" s="11">
        <v>2.2999999999999998</v>
      </c>
      <c r="R7486" s="11"/>
      <c r="S7486" s="11"/>
      <c r="T7486" s="11"/>
      <c r="U7486" s="11">
        <f t="shared" si="2164"/>
        <v>2.2999999999999998</v>
      </c>
      <c r="W7486">
        <v>2.5</v>
      </c>
      <c r="X7486" s="1" t="s">
        <v>18</v>
      </c>
    </row>
    <row r="7487" spans="1:24" x14ac:dyDescent="0.25">
      <c r="A7487" s="1" t="str">
        <f t="shared" si="2165"/>
        <v>卡卡杜-凤凰仓</v>
      </c>
      <c r="B7487" s="1" t="str">
        <f>"CK202410143251"</f>
        <v>CK202410143251</v>
      </c>
      <c r="C7487" s="1" t="str">
        <f>"DD2024101418011"</f>
        <v>DD2024101418011</v>
      </c>
      <c r="D7487" s="1" t="str">
        <f>"CK2024101431745"</f>
        <v>CK2024101431745</v>
      </c>
      <c r="E7487" s="1" t="str">
        <f>"6934990564692989061"</f>
        <v>6934990564692989061</v>
      </c>
      <c r="F7487" s="1" t="str">
        <f t="shared" si="2166"/>
        <v>花都四部-凤凰仓</v>
      </c>
      <c r="G7487" s="1" t="str">
        <f t="shared" si="2174"/>
        <v>卡卡杜个人护理店（抖店）</v>
      </c>
      <c r="H7487" s="1" t="str">
        <f t="shared" si="2167"/>
        <v>正常订单</v>
      </c>
      <c r="I7487" s="1" t="str">
        <f t="shared" si="2168"/>
        <v>已发货</v>
      </c>
      <c r="J7487" s="1" t="str">
        <f t="shared" si="2177"/>
        <v>3</v>
      </c>
      <c r="K7487" s="1">
        <v>2</v>
      </c>
      <c r="L7487" s="1" t="s">
        <v>94</v>
      </c>
      <c r="M7487" s="1" t="str">
        <f>"湖南省 长沙市 开福区 新河街道"</f>
        <v>湖南省 长沙市 开福区 新河街道</v>
      </c>
      <c r="N7487" s="1" t="str">
        <f t="shared" si="2178"/>
        <v>凡华云仓-韵达-抖音</v>
      </c>
      <c r="O7487" s="5">
        <v>320171093081164</v>
      </c>
      <c r="P7487" s="6">
        <v>0.35</v>
      </c>
      <c r="Q7487" s="11">
        <v>2.2999999999999998</v>
      </c>
      <c r="R7487" s="11"/>
      <c r="S7487" s="11"/>
      <c r="T7487" s="11"/>
      <c r="U7487" s="11">
        <f t="shared" si="2164"/>
        <v>2.2999999999999998</v>
      </c>
      <c r="W7487">
        <v>2.5</v>
      </c>
      <c r="X7487" s="1" t="s">
        <v>94</v>
      </c>
    </row>
    <row r="7488" spans="1:24" x14ac:dyDescent="0.25">
      <c r="A7488" s="1" t="str">
        <f t="shared" si="2165"/>
        <v>卡卡杜-凤凰仓</v>
      </c>
      <c r="B7488" s="1" t="str">
        <f>"CK202410143361"</f>
        <v>CK202410143361</v>
      </c>
      <c r="C7488" s="1" t="str">
        <f>"DD2024101418121"</f>
        <v>DD2024101418121</v>
      </c>
      <c r="D7488" s="1" t="str">
        <f>"CK2024101431744"</f>
        <v>CK2024101431744</v>
      </c>
      <c r="E7488" s="1" t="str">
        <f>"6934968295234671949"</f>
        <v>6934968295234671949</v>
      </c>
      <c r="F7488" s="1" t="str">
        <f t="shared" si="2166"/>
        <v>花都四部-凤凰仓</v>
      </c>
      <c r="G7488" s="1" t="str">
        <f t="shared" si="2174"/>
        <v>卡卡杜个人护理店（抖店）</v>
      </c>
      <c r="H7488" s="1" t="str">
        <f t="shared" si="2167"/>
        <v>正常订单</v>
      </c>
      <c r="I7488" s="1" t="str">
        <f t="shared" si="2168"/>
        <v>已发货</v>
      </c>
      <c r="J7488" s="1" t="str">
        <f t="shared" si="2177"/>
        <v>3</v>
      </c>
      <c r="K7488" s="1">
        <v>3</v>
      </c>
      <c r="L7488" s="1" t="s">
        <v>18</v>
      </c>
      <c r="M7488" s="1" t="str">
        <f>"广东省 深圳市 南山区 南山街道"</f>
        <v>广东省 深圳市 南山区 南山街道</v>
      </c>
      <c r="N7488" s="1" t="str">
        <f t="shared" si="2178"/>
        <v>凡华云仓-韵达-抖音</v>
      </c>
      <c r="O7488" s="5">
        <v>320171093081075</v>
      </c>
      <c r="P7488" s="6">
        <v>0.34</v>
      </c>
      <c r="Q7488" s="11">
        <v>2.2999999999999998</v>
      </c>
      <c r="R7488" s="11"/>
      <c r="S7488" s="11"/>
      <c r="T7488" s="11"/>
      <c r="U7488" s="11">
        <f t="shared" si="2164"/>
        <v>2.2999999999999998</v>
      </c>
      <c r="W7488">
        <v>2.5</v>
      </c>
      <c r="X7488" s="1" t="s">
        <v>18</v>
      </c>
    </row>
    <row r="7489" spans="1:24" x14ac:dyDescent="0.25">
      <c r="A7489" s="1" t="str">
        <f t="shared" si="2165"/>
        <v>卡卡杜-凤凰仓</v>
      </c>
      <c r="B7489" s="1" t="str">
        <f>"CK202410143372"</f>
        <v>CK202410143372</v>
      </c>
      <c r="C7489" s="1" t="str">
        <f>"DD2024101418133"</f>
        <v>DD2024101418133</v>
      </c>
      <c r="D7489" s="1" t="str">
        <f>"CK2024101431743"</f>
        <v>CK2024101431743</v>
      </c>
      <c r="E7489" s="1" t="str">
        <f>"6934970760265667903"</f>
        <v>6934970760265667903</v>
      </c>
      <c r="F7489" s="1" t="str">
        <f t="shared" si="2166"/>
        <v>花都四部-凤凰仓</v>
      </c>
      <c r="G7489" s="1" t="str">
        <f t="shared" si="2174"/>
        <v>卡卡杜个人护理店（抖店）</v>
      </c>
      <c r="H7489" s="1" t="str">
        <f t="shared" si="2167"/>
        <v>正常订单</v>
      </c>
      <c r="I7489" s="1" t="str">
        <f t="shared" si="2168"/>
        <v>已发货</v>
      </c>
      <c r="J7489" s="1" t="str">
        <f>"5"</f>
        <v>5</v>
      </c>
      <c r="K7489" s="1">
        <v>2</v>
      </c>
      <c r="L7489" s="1" t="s">
        <v>20</v>
      </c>
      <c r="M7489" s="1" t="str">
        <f>"浙江省 宁波市 象山县 "</f>
        <v xml:space="preserve">浙江省 宁波市 象山县 </v>
      </c>
      <c r="N7489" s="1" t="str">
        <f t="shared" si="2178"/>
        <v>凡华云仓-韵达-抖音</v>
      </c>
      <c r="O7489" s="5">
        <v>320171093080959</v>
      </c>
      <c r="P7489" s="6">
        <v>0.59</v>
      </c>
      <c r="Q7489" s="11">
        <f>CEILING(P7489-0.5,0.1)*10*0.15+2.3</f>
        <v>2.4499999999999997</v>
      </c>
      <c r="R7489" s="11"/>
      <c r="S7489" s="11"/>
      <c r="T7489" s="11"/>
      <c r="U7489" s="11">
        <f t="shared" si="2164"/>
        <v>2.4499999999999997</v>
      </c>
      <c r="V7489" t="s">
        <v>15</v>
      </c>
      <c r="W7489">
        <v>2.4500000000000002</v>
      </c>
      <c r="X7489" s="1" t="s">
        <v>20</v>
      </c>
    </row>
    <row r="7490" spans="1:24" x14ac:dyDescent="0.25">
      <c r="A7490" s="1" t="str">
        <f t="shared" si="2165"/>
        <v>卡卡杜-凤凰仓</v>
      </c>
      <c r="B7490" s="1" t="str">
        <f>"CK202410143237"</f>
        <v>CK202410143237</v>
      </c>
      <c r="C7490" s="1" t="str">
        <f>"DD2024101417997"</f>
        <v>DD2024101417997</v>
      </c>
      <c r="D7490" s="1" t="str">
        <f>"CK2024101431742"</f>
        <v>CK2024101431742</v>
      </c>
      <c r="E7490" s="1" t="str">
        <f>"6934979440632665178"</f>
        <v>6934979440632665178</v>
      </c>
      <c r="F7490" s="1" t="str">
        <f t="shared" si="2166"/>
        <v>花都四部-凤凰仓</v>
      </c>
      <c r="G7490" s="1" t="str">
        <f t="shared" si="2174"/>
        <v>卡卡杜个人护理店（抖店）</v>
      </c>
      <c r="H7490" s="1" t="str">
        <f t="shared" si="2167"/>
        <v>正常订单</v>
      </c>
      <c r="I7490" s="1" t="str">
        <f t="shared" si="2168"/>
        <v>已发货</v>
      </c>
      <c r="J7490" s="1" t="str">
        <f t="shared" ref="J7490:J7502" si="2179">"3"</f>
        <v>3</v>
      </c>
      <c r="K7490" s="1">
        <v>2</v>
      </c>
      <c r="L7490" s="1" t="s">
        <v>18</v>
      </c>
      <c r="M7490" s="1" t="str">
        <f>"广东省 深圳市 宝安区 沙井街道"</f>
        <v>广东省 深圳市 宝安区 沙井街道</v>
      </c>
      <c r="N7490" s="1" t="str">
        <f t="shared" si="2178"/>
        <v>凡华云仓-韵达-抖音</v>
      </c>
      <c r="O7490" s="5">
        <v>320171093080854</v>
      </c>
      <c r="P7490" s="6">
        <v>0.35</v>
      </c>
      <c r="Q7490" s="11">
        <v>2.2999999999999998</v>
      </c>
      <c r="R7490" s="11"/>
      <c r="S7490" s="11"/>
      <c r="T7490" s="11"/>
      <c r="U7490" s="11">
        <f t="shared" si="2164"/>
        <v>2.2999999999999998</v>
      </c>
      <c r="W7490">
        <v>2.5</v>
      </c>
      <c r="X7490" s="1" t="s">
        <v>18</v>
      </c>
    </row>
    <row r="7491" spans="1:24" x14ac:dyDescent="0.25">
      <c r="A7491" s="1" t="str">
        <f t="shared" si="2165"/>
        <v>卡卡杜-凤凰仓</v>
      </c>
      <c r="B7491" s="1" t="str">
        <f>"CK202410143244"</f>
        <v>CK202410143244</v>
      </c>
      <c r="C7491" s="1" t="str">
        <f>"DD2024101418005"</f>
        <v>DD2024101418005</v>
      </c>
      <c r="D7491" s="1" t="str">
        <f>"CK2024101431741"</f>
        <v>CK2024101431741</v>
      </c>
      <c r="E7491" s="1" t="str">
        <f>"6934990505418954164"</f>
        <v>6934990505418954164</v>
      </c>
      <c r="F7491" s="1" t="str">
        <f t="shared" si="2166"/>
        <v>花都四部-凤凰仓</v>
      </c>
      <c r="G7491" s="1" t="str">
        <f t="shared" si="2174"/>
        <v>卡卡杜个人护理店（抖店）</v>
      </c>
      <c r="H7491" s="1" t="str">
        <f t="shared" si="2167"/>
        <v>正常订单</v>
      </c>
      <c r="I7491" s="1" t="str">
        <f t="shared" si="2168"/>
        <v>已发货</v>
      </c>
      <c r="J7491" s="1" t="str">
        <f t="shared" si="2179"/>
        <v>3</v>
      </c>
      <c r="K7491" s="1">
        <v>2</v>
      </c>
      <c r="L7491" s="1" t="s">
        <v>18</v>
      </c>
      <c r="M7491" s="1" t="str">
        <f>"广东省 佛山市 南海区 丹灶镇"</f>
        <v>广东省 佛山市 南海区 丹灶镇</v>
      </c>
      <c r="N7491" s="1" t="str">
        <f t="shared" si="2178"/>
        <v>凡华云仓-韵达-抖音</v>
      </c>
      <c r="O7491" s="5">
        <v>320171093080751</v>
      </c>
      <c r="P7491" s="6">
        <v>0.35</v>
      </c>
      <c r="Q7491" s="11">
        <v>2.2999999999999998</v>
      </c>
      <c r="R7491" s="11"/>
      <c r="S7491" s="11"/>
      <c r="T7491" s="11"/>
      <c r="U7491" s="11">
        <f t="shared" ref="U7491:U7554" si="2180">T7491+S7491+R7491+Q7491</f>
        <v>2.2999999999999998</v>
      </c>
      <c r="W7491">
        <v>2.5</v>
      </c>
      <c r="X7491" s="1" t="s">
        <v>18</v>
      </c>
    </row>
    <row r="7492" spans="1:24" x14ac:dyDescent="0.25">
      <c r="A7492" s="1" t="str">
        <f t="shared" si="2165"/>
        <v>卡卡杜-凤凰仓</v>
      </c>
      <c r="B7492" s="1" t="str">
        <f>"CK202410143243"</f>
        <v>CK202410143243</v>
      </c>
      <c r="C7492" s="1" t="str">
        <f>"DD2024101418001"</f>
        <v>DD2024101418001</v>
      </c>
      <c r="D7492" s="1" t="str">
        <f>"CK2024101431740"</f>
        <v>CK2024101431740</v>
      </c>
      <c r="E7492" s="1" t="str">
        <f>"6934961726808397069"</f>
        <v>6934961726808397069</v>
      </c>
      <c r="F7492" s="1" t="str">
        <f t="shared" si="2166"/>
        <v>花都四部-凤凰仓</v>
      </c>
      <c r="G7492" s="1" t="str">
        <f t="shared" si="2174"/>
        <v>卡卡杜个人护理店（抖店）</v>
      </c>
      <c r="H7492" s="1" t="str">
        <f t="shared" si="2167"/>
        <v>正常订单</v>
      </c>
      <c r="I7492" s="1" t="str">
        <f t="shared" si="2168"/>
        <v>已发货</v>
      </c>
      <c r="J7492" s="1" t="str">
        <f t="shared" si="2179"/>
        <v>3</v>
      </c>
      <c r="K7492" s="1">
        <v>2</v>
      </c>
      <c r="L7492" s="1" t="s">
        <v>13</v>
      </c>
      <c r="M7492" s="1" t="str">
        <f>"江苏省 南通市 崇川区 永兴街道"</f>
        <v>江苏省 南通市 崇川区 永兴街道</v>
      </c>
      <c r="N7492" s="1" t="str">
        <f t="shared" si="2178"/>
        <v>凡华云仓-韵达-抖音</v>
      </c>
      <c r="O7492" s="5">
        <v>320171093080650</v>
      </c>
      <c r="P7492" s="6">
        <v>0.35</v>
      </c>
      <c r="Q7492" s="11">
        <v>2.2999999999999998</v>
      </c>
      <c r="R7492" s="11"/>
      <c r="S7492" s="11"/>
      <c r="T7492" s="11"/>
      <c r="U7492" s="11">
        <f t="shared" si="2180"/>
        <v>2.2999999999999998</v>
      </c>
      <c r="W7492">
        <v>2.5</v>
      </c>
      <c r="X7492" s="1" t="s">
        <v>13</v>
      </c>
    </row>
    <row r="7493" spans="1:24" x14ac:dyDescent="0.25">
      <c r="A7493" s="1" t="str">
        <f t="shared" ref="A7493:A7556" si="2181">"卡卡杜-凤凰仓"</f>
        <v>卡卡杜-凤凰仓</v>
      </c>
      <c r="B7493" s="1" t="str">
        <f>"CK202410143247"</f>
        <v>CK202410143247</v>
      </c>
      <c r="C7493" s="1" t="str">
        <f>"DD2024101418008"</f>
        <v>DD2024101418008</v>
      </c>
      <c r="D7493" s="1" t="str">
        <f>"CK2024101431739"</f>
        <v>CK2024101431739</v>
      </c>
      <c r="E7493" s="1" t="str">
        <f>"6934983940813231859"</f>
        <v>6934983940813231859</v>
      </c>
      <c r="F7493" s="1" t="str">
        <f t="shared" ref="F7493:F7556" si="2182">"花都四部-凤凰仓"</f>
        <v>花都四部-凤凰仓</v>
      </c>
      <c r="G7493" s="1" t="str">
        <f t="shared" si="2174"/>
        <v>卡卡杜个人护理店（抖店）</v>
      </c>
      <c r="H7493" s="1" t="str">
        <f t="shared" ref="H7493:H7556" si="2183">"正常订单"</f>
        <v>正常订单</v>
      </c>
      <c r="I7493" s="1" t="str">
        <f t="shared" ref="I7493:I7556" si="2184">"已发货"</f>
        <v>已发货</v>
      </c>
      <c r="J7493" s="1" t="str">
        <f t="shared" si="2179"/>
        <v>3</v>
      </c>
      <c r="K7493" s="1">
        <v>2</v>
      </c>
      <c r="L7493" s="1" t="s">
        <v>20</v>
      </c>
      <c r="M7493" s="1" t="str">
        <f>"浙江省 宁波市 奉化区 锦屏街道"</f>
        <v>浙江省 宁波市 奉化区 锦屏街道</v>
      </c>
      <c r="N7493" s="1" t="str">
        <f t="shared" si="2178"/>
        <v>凡华云仓-韵达-抖音</v>
      </c>
      <c r="O7493" s="5">
        <v>320171093080551</v>
      </c>
      <c r="P7493" s="6">
        <v>0.35</v>
      </c>
      <c r="Q7493" s="11">
        <v>2.2999999999999998</v>
      </c>
      <c r="R7493" s="11"/>
      <c r="S7493" s="11"/>
      <c r="T7493" s="11"/>
      <c r="U7493" s="11">
        <f t="shared" si="2180"/>
        <v>2.2999999999999998</v>
      </c>
      <c r="W7493">
        <v>2.5</v>
      </c>
      <c r="X7493" s="1" t="s">
        <v>20</v>
      </c>
    </row>
    <row r="7494" spans="1:24" x14ac:dyDescent="0.25">
      <c r="A7494" s="1" t="str">
        <f t="shared" si="2181"/>
        <v>卡卡杜-凤凰仓</v>
      </c>
      <c r="B7494" s="1" t="str">
        <f>"CK202410143255"</f>
        <v>CK202410143255</v>
      </c>
      <c r="C7494" s="1" t="str">
        <f>"DD2024101418014"</f>
        <v>DD2024101418014</v>
      </c>
      <c r="D7494" s="1" t="str">
        <f>"CK2024101431738"</f>
        <v>CK2024101431738</v>
      </c>
      <c r="E7494" s="1" t="str">
        <f>"6934981554639344804"</f>
        <v>6934981554639344804</v>
      </c>
      <c r="F7494" s="1" t="str">
        <f t="shared" si="2182"/>
        <v>花都四部-凤凰仓</v>
      </c>
      <c r="G7494" s="1" t="str">
        <f t="shared" si="2174"/>
        <v>卡卡杜个人护理店（抖店）</v>
      </c>
      <c r="H7494" s="1" t="str">
        <f t="shared" si="2183"/>
        <v>正常订单</v>
      </c>
      <c r="I7494" s="1" t="str">
        <f t="shared" si="2184"/>
        <v>已发货</v>
      </c>
      <c r="J7494" s="1" t="str">
        <f t="shared" si="2179"/>
        <v>3</v>
      </c>
      <c r="K7494" s="1">
        <v>2</v>
      </c>
      <c r="L7494" s="1" t="s">
        <v>18</v>
      </c>
      <c r="M7494" s="1" t="str">
        <f>"广东省 惠州市 惠东县 吉隆镇"</f>
        <v>广东省 惠州市 惠东县 吉隆镇</v>
      </c>
      <c r="N7494" s="1" t="str">
        <f t="shared" si="2178"/>
        <v>凡华云仓-韵达-抖音</v>
      </c>
      <c r="O7494" s="5">
        <v>320171090477316</v>
      </c>
      <c r="P7494" s="6">
        <v>0.35</v>
      </c>
      <c r="Q7494" s="11">
        <v>2.2999999999999998</v>
      </c>
      <c r="R7494" s="11"/>
      <c r="S7494" s="11"/>
      <c r="T7494" s="11"/>
      <c r="U7494" s="11">
        <f t="shared" si="2180"/>
        <v>2.2999999999999998</v>
      </c>
      <c r="W7494">
        <v>2.5</v>
      </c>
      <c r="X7494" s="1" t="s">
        <v>18</v>
      </c>
    </row>
    <row r="7495" spans="1:24" x14ac:dyDescent="0.25">
      <c r="A7495" s="1" t="str">
        <f t="shared" si="2181"/>
        <v>卡卡杜-凤凰仓</v>
      </c>
      <c r="B7495" s="1" t="str">
        <f>"CK202410143257"</f>
        <v>CK202410143257</v>
      </c>
      <c r="C7495" s="1" t="str">
        <f>"DD2024101418018"</f>
        <v>DD2024101418018</v>
      </c>
      <c r="D7495" s="1" t="str">
        <f>"CK2024101431737"</f>
        <v>CK2024101431737</v>
      </c>
      <c r="E7495" s="1" t="str">
        <f>"6934970808638772676"</f>
        <v>6934970808638772676</v>
      </c>
      <c r="F7495" s="1" t="str">
        <f t="shared" si="2182"/>
        <v>花都四部-凤凰仓</v>
      </c>
      <c r="G7495" s="1" t="str">
        <f t="shared" si="2174"/>
        <v>卡卡杜个人护理店（抖店）</v>
      </c>
      <c r="H7495" s="1" t="str">
        <f t="shared" si="2183"/>
        <v>正常订单</v>
      </c>
      <c r="I7495" s="1" t="str">
        <f t="shared" si="2184"/>
        <v>已发货</v>
      </c>
      <c r="J7495" s="1" t="str">
        <f t="shared" si="2179"/>
        <v>3</v>
      </c>
      <c r="K7495" s="1">
        <v>2</v>
      </c>
      <c r="L7495" s="1" t="s">
        <v>36</v>
      </c>
      <c r="M7495" s="1" t="str">
        <f>"安徽省 合肥市 庐阳区 "</f>
        <v xml:space="preserve">安徽省 合肥市 庐阳区 </v>
      </c>
      <c r="N7495" s="1" t="str">
        <f t="shared" si="2178"/>
        <v>凡华云仓-韵达-抖音</v>
      </c>
      <c r="O7495" s="5">
        <v>320171090477223</v>
      </c>
      <c r="P7495" s="6">
        <v>0.35</v>
      </c>
      <c r="Q7495" s="11">
        <v>2.2999999999999998</v>
      </c>
      <c r="R7495" s="11"/>
      <c r="S7495" s="11"/>
      <c r="T7495" s="11"/>
      <c r="U7495" s="11">
        <f t="shared" si="2180"/>
        <v>2.2999999999999998</v>
      </c>
      <c r="W7495">
        <v>2.5</v>
      </c>
      <c r="X7495" s="1" t="s">
        <v>36</v>
      </c>
    </row>
    <row r="7496" spans="1:24" x14ac:dyDescent="0.25">
      <c r="A7496" s="1" t="str">
        <f t="shared" si="2181"/>
        <v>卡卡杜-凤凰仓</v>
      </c>
      <c r="B7496" s="1" t="str">
        <f>"CK202410143264"</f>
        <v>CK202410143264</v>
      </c>
      <c r="C7496" s="1" t="str">
        <f>"DD2024101418026"</f>
        <v>DD2024101418026</v>
      </c>
      <c r="D7496" s="1" t="str">
        <f>"CK2024101431736"</f>
        <v>CK2024101431736</v>
      </c>
      <c r="E7496" s="1" t="str">
        <f>"6934990395063080380"</f>
        <v>6934990395063080380</v>
      </c>
      <c r="F7496" s="1" t="str">
        <f t="shared" si="2182"/>
        <v>花都四部-凤凰仓</v>
      </c>
      <c r="G7496" s="1" t="str">
        <f t="shared" si="2174"/>
        <v>卡卡杜个人护理店（抖店）</v>
      </c>
      <c r="H7496" s="1" t="str">
        <f t="shared" si="2183"/>
        <v>正常订单</v>
      </c>
      <c r="I7496" s="1" t="str">
        <f t="shared" si="2184"/>
        <v>已发货</v>
      </c>
      <c r="J7496" s="1" t="str">
        <f t="shared" si="2179"/>
        <v>3</v>
      </c>
      <c r="K7496" s="1">
        <v>2</v>
      </c>
      <c r="L7496" s="1" t="s">
        <v>13</v>
      </c>
      <c r="M7496" s="1" t="str">
        <f>"江苏省 淮安市 清江浦区 清江街道"</f>
        <v>江苏省 淮安市 清江浦区 清江街道</v>
      </c>
      <c r="N7496" s="1" t="str">
        <f t="shared" si="2178"/>
        <v>凡华云仓-韵达-抖音</v>
      </c>
      <c r="O7496" s="5">
        <v>320171090477132</v>
      </c>
      <c r="P7496" s="6">
        <v>0.35</v>
      </c>
      <c r="Q7496" s="11">
        <v>2.2999999999999998</v>
      </c>
      <c r="R7496" s="11"/>
      <c r="S7496" s="11"/>
      <c r="T7496" s="11"/>
      <c r="U7496" s="11">
        <f t="shared" si="2180"/>
        <v>2.2999999999999998</v>
      </c>
      <c r="W7496">
        <v>2.5</v>
      </c>
      <c r="X7496" s="1" t="s">
        <v>13</v>
      </c>
    </row>
    <row r="7497" spans="1:24" x14ac:dyDescent="0.25">
      <c r="A7497" s="1" t="str">
        <f t="shared" si="2181"/>
        <v>卡卡杜-凤凰仓</v>
      </c>
      <c r="B7497" s="1" t="str">
        <f>"CK202410143259"</f>
        <v>CK202410143259</v>
      </c>
      <c r="C7497" s="1" t="str">
        <f>"DD2024101418020"</f>
        <v>DD2024101418020</v>
      </c>
      <c r="D7497" s="1" t="str">
        <f>"CK2024101431735"</f>
        <v>CK2024101431735</v>
      </c>
      <c r="E7497" s="1" t="str">
        <f>"6934992590179472534"</f>
        <v>6934992590179472534</v>
      </c>
      <c r="F7497" s="1" t="str">
        <f t="shared" si="2182"/>
        <v>花都四部-凤凰仓</v>
      </c>
      <c r="G7497" s="1" t="str">
        <f t="shared" si="2174"/>
        <v>卡卡杜个人护理店（抖店）</v>
      </c>
      <c r="H7497" s="1" t="str">
        <f t="shared" si="2183"/>
        <v>正常订单</v>
      </c>
      <c r="I7497" s="1" t="str">
        <f t="shared" si="2184"/>
        <v>已发货</v>
      </c>
      <c r="J7497" s="1" t="str">
        <f t="shared" si="2179"/>
        <v>3</v>
      </c>
      <c r="K7497" s="1">
        <v>2</v>
      </c>
      <c r="L7497" s="1" t="s">
        <v>24</v>
      </c>
      <c r="M7497" s="1" t="str">
        <f>"福建省 泉州市 南安市 水头镇"</f>
        <v>福建省 泉州市 南安市 水头镇</v>
      </c>
      <c r="N7497" s="1" t="str">
        <f t="shared" si="2178"/>
        <v>凡华云仓-韵达-抖音</v>
      </c>
      <c r="O7497" s="5">
        <v>320171090477043</v>
      </c>
      <c r="P7497" s="6">
        <v>0.35</v>
      </c>
      <c r="Q7497" s="11">
        <v>2.2999999999999998</v>
      </c>
      <c r="R7497" s="11"/>
      <c r="S7497" s="11"/>
      <c r="T7497" s="11"/>
      <c r="U7497" s="11">
        <f t="shared" si="2180"/>
        <v>2.2999999999999998</v>
      </c>
      <c r="W7497">
        <v>2.5</v>
      </c>
      <c r="X7497" s="1" t="s">
        <v>24</v>
      </c>
    </row>
    <row r="7498" spans="1:24" x14ac:dyDescent="0.25">
      <c r="A7498" s="1" t="str">
        <f t="shared" si="2181"/>
        <v>卡卡杜-凤凰仓</v>
      </c>
      <c r="B7498" s="1" t="str">
        <f>"CK202410143242"</f>
        <v>CK202410143242</v>
      </c>
      <c r="C7498" s="1" t="str">
        <f>"DD2024101418003"</f>
        <v>DD2024101418003</v>
      </c>
      <c r="D7498" s="1" t="str">
        <f>"CK2024101431734"</f>
        <v>CK2024101431734</v>
      </c>
      <c r="E7498" s="1" t="str">
        <f>"6934964004378187021"</f>
        <v>6934964004378187021</v>
      </c>
      <c r="F7498" s="1" t="str">
        <f t="shared" si="2182"/>
        <v>花都四部-凤凰仓</v>
      </c>
      <c r="G7498" s="1" t="str">
        <f t="shared" si="2174"/>
        <v>卡卡杜个人护理店（抖店）</v>
      </c>
      <c r="H7498" s="1" t="str">
        <f t="shared" si="2183"/>
        <v>正常订单</v>
      </c>
      <c r="I7498" s="1" t="str">
        <f t="shared" si="2184"/>
        <v>已发货</v>
      </c>
      <c r="J7498" s="1" t="str">
        <f t="shared" si="2179"/>
        <v>3</v>
      </c>
      <c r="K7498" s="1">
        <v>2</v>
      </c>
      <c r="L7498" s="1" t="s">
        <v>74</v>
      </c>
      <c r="M7498" s="1" t="str">
        <f>"上海 上海市 普陀区 长寿路街道"</f>
        <v>上海 上海市 普陀区 长寿路街道</v>
      </c>
      <c r="N7498" s="1" t="str">
        <f t="shared" si="2178"/>
        <v>凡华云仓-韵达-抖音</v>
      </c>
      <c r="O7498" s="5">
        <v>320171090476915</v>
      </c>
      <c r="P7498" s="6">
        <v>0.35</v>
      </c>
      <c r="Q7498" s="11">
        <v>2.2999999999999998</v>
      </c>
      <c r="R7498" s="11"/>
      <c r="S7498" s="11"/>
      <c r="T7498" s="11"/>
      <c r="U7498" s="11">
        <f t="shared" si="2180"/>
        <v>2.2999999999999998</v>
      </c>
      <c r="W7498">
        <v>2.5</v>
      </c>
      <c r="X7498" s="1" t="s">
        <v>74</v>
      </c>
    </row>
    <row r="7499" spans="1:24" x14ac:dyDescent="0.25">
      <c r="A7499" s="1" t="str">
        <f t="shared" si="2181"/>
        <v>卡卡杜-凤凰仓</v>
      </c>
      <c r="B7499" s="1" t="str">
        <f>"CK202410143252"</f>
        <v>CK202410143252</v>
      </c>
      <c r="C7499" s="1" t="str">
        <f>"DD2024101418013"</f>
        <v>DD2024101418013</v>
      </c>
      <c r="D7499" s="1" t="str">
        <f>"CK2024101431733"</f>
        <v>CK2024101431733</v>
      </c>
      <c r="E7499" s="1" t="str">
        <f>"6934990429281523565"</f>
        <v>6934990429281523565</v>
      </c>
      <c r="F7499" s="1" t="str">
        <f t="shared" si="2182"/>
        <v>花都四部-凤凰仓</v>
      </c>
      <c r="G7499" s="1" t="str">
        <f t="shared" si="2174"/>
        <v>卡卡杜个人护理店（抖店）</v>
      </c>
      <c r="H7499" s="1" t="str">
        <f t="shared" si="2183"/>
        <v>正常订单</v>
      </c>
      <c r="I7499" s="1" t="str">
        <f t="shared" si="2184"/>
        <v>已发货</v>
      </c>
      <c r="J7499" s="1" t="str">
        <f t="shared" si="2179"/>
        <v>3</v>
      </c>
      <c r="K7499" s="1">
        <v>2</v>
      </c>
      <c r="L7499" s="1" t="s">
        <v>13</v>
      </c>
      <c r="M7499" s="1" t="str">
        <f>"江苏省 常州市 金坛区 "</f>
        <v xml:space="preserve">江苏省 常州市 金坛区 </v>
      </c>
      <c r="N7499" s="1" t="str">
        <f t="shared" si="2178"/>
        <v>凡华云仓-韵达-抖音</v>
      </c>
      <c r="O7499" s="5">
        <v>320171090476810</v>
      </c>
      <c r="P7499" s="6">
        <v>0.35</v>
      </c>
      <c r="Q7499" s="11">
        <v>2.2999999999999998</v>
      </c>
      <c r="R7499" s="11"/>
      <c r="S7499" s="11"/>
      <c r="T7499" s="11"/>
      <c r="U7499" s="11">
        <f t="shared" si="2180"/>
        <v>2.2999999999999998</v>
      </c>
      <c r="W7499">
        <v>2.5</v>
      </c>
      <c r="X7499" s="1" t="s">
        <v>13</v>
      </c>
    </row>
    <row r="7500" spans="1:24" x14ac:dyDescent="0.25">
      <c r="A7500" s="1" t="str">
        <f t="shared" si="2181"/>
        <v>卡卡杜-凤凰仓</v>
      </c>
      <c r="B7500" s="1" t="str">
        <f>"CK202410143245"</f>
        <v>CK202410143245</v>
      </c>
      <c r="C7500" s="1" t="str">
        <f>"DD2024101418007"</f>
        <v>DD2024101418007</v>
      </c>
      <c r="D7500" s="1" t="str">
        <f>"CK2024101431732"</f>
        <v>CK2024101431732</v>
      </c>
      <c r="E7500" s="1" t="str">
        <f>"6934988328775784013"</f>
        <v>6934988328775784013</v>
      </c>
      <c r="F7500" s="1" t="str">
        <f t="shared" si="2182"/>
        <v>花都四部-凤凰仓</v>
      </c>
      <c r="G7500" s="1" t="str">
        <f t="shared" si="2174"/>
        <v>卡卡杜个人护理店（抖店）</v>
      </c>
      <c r="H7500" s="1" t="str">
        <f t="shared" si="2183"/>
        <v>正常订单</v>
      </c>
      <c r="I7500" s="1" t="str">
        <f t="shared" si="2184"/>
        <v>已发货</v>
      </c>
      <c r="J7500" s="1" t="str">
        <f t="shared" si="2179"/>
        <v>3</v>
      </c>
      <c r="K7500" s="1">
        <v>2</v>
      </c>
      <c r="L7500" s="1" t="s">
        <v>18</v>
      </c>
      <c r="M7500" s="1" t="str">
        <f>"广东省 汕头市 龙湖区 珠池街道"</f>
        <v>广东省 汕头市 龙湖区 珠池街道</v>
      </c>
      <c r="N7500" s="1" t="str">
        <f t="shared" si="2178"/>
        <v>凡华云仓-韵达-抖音</v>
      </c>
      <c r="O7500" s="5">
        <v>320171090476707</v>
      </c>
      <c r="P7500" s="6">
        <v>0.35</v>
      </c>
      <c r="Q7500" s="11">
        <v>2.2999999999999998</v>
      </c>
      <c r="R7500" s="11"/>
      <c r="S7500" s="11"/>
      <c r="T7500" s="11"/>
      <c r="U7500" s="11">
        <f t="shared" si="2180"/>
        <v>2.2999999999999998</v>
      </c>
      <c r="W7500">
        <v>2.5</v>
      </c>
      <c r="X7500" s="1" t="s">
        <v>18</v>
      </c>
    </row>
    <row r="7501" spans="1:24" x14ac:dyDescent="0.25">
      <c r="A7501" s="1" t="str">
        <f t="shared" si="2181"/>
        <v>卡卡杜-凤凰仓</v>
      </c>
      <c r="B7501" s="1" t="str">
        <f>"CK202410143229"</f>
        <v>CK202410143229</v>
      </c>
      <c r="C7501" s="1" t="str">
        <f>"DD2024101417987"</f>
        <v>DD2024101417987</v>
      </c>
      <c r="D7501" s="1" t="str">
        <f>"CK2024101431731"</f>
        <v>CK2024101431731</v>
      </c>
      <c r="E7501" s="1" t="str">
        <f>"6934994939336660932"</f>
        <v>6934994939336660932</v>
      </c>
      <c r="F7501" s="1" t="str">
        <f t="shared" si="2182"/>
        <v>花都四部-凤凰仓</v>
      </c>
      <c r="G7501" s="1" t="str">
        <f t="shared" si="2174"/>
        <v>卡卡杜个人护理店（抖店）</v>
      </c>
      <c r="H7501" s="1" t="str">
        <f t="shared" si="2183"/>
        <v>正常订单</v>
      </c>
      <c r="I7501" s="1" t="str">
        <f t="shared" si="2184"/>
        <v>已发货</v>
      </c>
      <c r="J7501" s="1" t="str">
        <f t="shared" si="2179"/>
        <v>3</v>
      </c>
      <c r="K7501" s="1">
        <v>2</v>
      </c>
      <c r="L7501" s="1" t="s">
        <v>20</v>
      </c>
      <c r="M7501" s="1" t="str">
        <f>"浙江省 宁波市 海曙区 高桥镇"</f>
        <v>浙江省 宁波市 海曙区 高桥镇</v>
      </c>
      <c r="N7501" s="1" t="str">
        <f t="shared" si="2178"/>
        <v>凡华云仓-韵达-抖音</v>
      </c>
      <c r="O7501" s="5">
        <v>320171090476606</v>
      </c>
      <c r="P7501" s="6">
        <v>0.35</v>
      </c>
      <c r="Q7501" s="11">
        <v>2.2999999999999998</v>
      </c>
      <c r="R7501" s="11"/>
      <c r="S7501" s="11"/>
      <c r="T7501" s="11"/>
      <c r="U7501" s="11">
        <f t="shared" si="2180"/>
        <v>2.2999999999999998</v>
      </c>
      <c r="W7501">
        <v>2.5</v>
      </c>
      <c r="X7501" s="1" t="s">
        <v>20</v>
      </c>
    </row>
    <row r="7502" spans="1:24" x14ac:dyDescent="0.25">
      <c r="A7502" s="1" t="str">
        <f t="shared" si="2181"/>
        <v>卡卡杜-凤凰仓</v>
      </c>
      <c r="B7502" s="1" t="str">
        <f>"CK202410143254"</f>
        <v>CK202410143254</v>
      </c>
      <c r="C7502" s="1" t="str">
        <f>"DD2024101418016"</f>
        <v>DD2024101418016</v>
      </c>
      <c r="D7502" s="1" t="str">
        <f>"CK2024101431730"</f>
        <v>CK2024101431730</v>
      </c>
      <c r="E7502" s="1" t="str">
        <f>"6934964108960667607"</f>
        <v>6934964108960667607</v>
      </c>
      <c r="F7502" s="1" t="str">
        <f t="shared" si="2182"/>
        <v>花都四部-凤凰仓</v>
      </c>
      <c r="G7502" s="1" t="str">
        <f t="shared" si="2174"/>
        <v>卡卡杜个人护理店（抖店）</v>
      </c>
      <c r="H7502" s="1" t="str">
        <f t="shared" si="2183"/>
        <v>正常订单</v>
      </c>
      <c r="I7502" s="1" t="str">
        <f t="shared" si="2184"/>
        <v>已发货</v>
      </c>
      <c r="J7502" s="1" t="str">
        <f t="shared" si="2179"/>
        <v>3</v>
      </c>
      <c r="K7502" s="1">
        <v>2</v>
      </c>
      <c r="L7502" s="1" t="s">
        <v>13</v>
      </c>
      <c r="M7502" s="1" t="str">
        <f>"江苏省 徐州市 邳州市 炮车街道"</f>
        <v>江苏省 徐州市 邳州市 炮车街道</v>
      </c>
      <c r="N7502" s="1" t="str">
        <f t="shared" si="2178"/>
        <v>凡华云仓-韵达-抖音</v>
      </c>
      <c r="O7502" s="5">
        <v>320171088790135</v>
      </c>
      <c r="P7502" s="6">
        <v>0.35</v>
      </c>
      <c r="Q7502" s="11">
        <v>2.2999999999999998</v>
      </c>
      <c r="R7502" s="11"/>
      <c r="S7502" s="11"/>
      <c r="T7502" s="11"/>
      <c r="U7502" s="11">
        <f t="shared" si="2180"/>
        <v>2.2999999999999998</v>
      </c>
      <c r="W7502">
        <v>2.5</v>
      </c>
      <c r="X7502" s="1" t="s">
        <v>13</v>
      </c>
    </row>
    <row r="7503" spans="1:24" x14ac:dyDescent="0.25">
      <c r="A7503" s="1" t="str">
        <f t="shared" si="2181"/>
        <v>卡卡杜-凤凰仓</v>
      </c>
      <c r="B7503" s="1" t="str">
        <f>"CK202410143377"</f>
        <v>CK202410143377</v>
      </c>
      <c r="C7503" s="1" t="str">
        <f>"DD2024101418139"</f>
        <v>DD2024101418139</v>
      </c>
      <c r="D7503" s="1" t="str">
        <f>"CK2024101431729"</f>
        <v>CK2024101431729</v>
      </c>
      <c r="E7503" s="1" t="str">
        <f>"6934984413358331066"</f>
        <v>6934984413358331066</v>
      </c>
      <c r="F7503" s="1" t="str">
        <f t="shared" si="2182"/>
        <v>花都四部-凤凰仓</v>
      </c>
      <c r="G7503" s="1" t="str">
        <f t="shared" si="2174"/>
        <v>卡卡杜个人护理店（抖店）</v>
      </c>
      <c r="H7503" s="1" t="str">
        <f t="shared" si="2183"/>
        <v>正常订单</v>
      </c>
      <c r="I7503" s="1" t="str">
        <f t="shared" si="2184"/>
        <v>已发货</v>
      </c>
      <c r="J7503" s="1" t="str">
        <f>"5"</f>
        <v>5</v>
      </c>
      <c r="K7503" s="1">
        <v>2</v>
      </c>
      <c r="L7503" s="1" t="s">
        <v>30</v>
      </c>
      <c r="M7503" s="1" t="str">
        <f>"山东省 潍坊市 坊子区 凤凰街道"</f>
        <v>山东省 潍坊市 坊子区 凤凰街道</v>
      </c>
      <c r="N7503" s="1" t="str">
        <f t="shared" si="2178"/>
        <v>凡华云仓-韵达-抖音</v>
      </c>
      <c r="O7503" s="5">
        <v>320171088790046</v>
      </c>
      <c r="P7503" s="6">
        <v>0.59</v>
      </c>
      <c r="Q7503" s="11">
        <f>CEILING(P7503-0.5,0.1)*10*0.15+2.3</f>
        <v>2.4499999999999997</v>
      </c>
      <c r="R7503" s="11"/>
      <c r="S7503" s="11"/>
      <c r="T7503" s="11"/>
      <c r="U7503" s="11">
        <f t="shared" si="2180"/>
        <v>2.4499999999999997</v>
      </c>
      <c r="V7503" t="s">
        <v>15</v>
      </c>
      <c r="W7503">
        <v>2.4500000000000002</v>
      </c>
      <c r="X7503" s="1" t="s">
        <v>30</v>
      </c>
    </row>
    <row r="7504" spans="1:24" x14ac:dyDescent="0.25">
      <c r="A7504" s="1" t="str">
        <f t="shared" si="2181"/>
        <v>卡卡杜-凤凰仓</v>
      </c>
      <c r="B7504" s="1" t="str">
        <f>"CK202410143299"</f>
        <v>CK202410143299</v>
      </c>
      <c r="C7504" s="1" t="str">
        <f>"DD2024101418060"</f>
        <v>DD2024101418060</v>
      </c>
      <c r="D7504" s="1" t="str">
        <f>"CK2024101431728"</f>
        <v>CK2024101431728</v>
      </c>
      <c r="E7504" s="1" t="str">
        <f>"6934993021128218161"</f>
        <v>6934993021128218161</v>
      </c>
      <c r="F7504" s="1" t="str">
        <f t="shared" si="2182"/>
        <v>花都四部-凤凰仓</v>
      </c>
      <c r="G7504" s="1" t="str">
        <f t="shared" si="2174"/>
        <v>卡卡杜个人护理店（抖店）</v>
      </c>
      <c r="H7504" s="1" t="str">
        <f t="shared" si="2183"/>
        <v>正常订单</v>
      </c>
      <c r="I7504" s="1" t="str">
        <f t="shared" si="2184"/>
        <v>已发货</v>
      </c>
      <c r="J7504" s="1" t="str">
        <f t="shared" ref="J7504:J7509" si="2185">"3"</f>
        <v>3</v>
      </c>
      <c r="K7504" s="1">
        <v>2</v>
      </c>
      <c r="L7504" s="1" t="s">
        <v>36</v>
      </c>
      <c r="M7504" s="1" t="str">
        <f>"安徽省 滁州市 天长市 千秋街道"</f>
        <v>安徽省 滁州市 天长市 千秋街道</v>
      </c>
      <c r="N7504" s="1" t="str">
        <f t="shared" si="2178"/>
        <v>凡华云仓-韵达-抖音</v>
      </c>
      <c r="O7504" s="5">
        <v>320171088789987</v>
      </c>
      <c r="P7504" s="6">
        <v>0.35</v>
      </c>
      <c r="Q7504" s="11">
        <v>2.2999999999999998</v>
      </c>
      <c r="R7504" s="11"/>
      <c r="S7504" s="11"/>
      <c r="T7504" s="11"/>
      <c r="U7504" s="11">
        <f t="shared" si="2180"/>
        <v>2.2999999999999998</v>
      </c>
      <c r="W7504">
        <v>2.5</v>
      </c>
      <c r="X7504" s="1" t="s">
        <v>36</v>
      </c>
    </row>
    <row r="7505" spans="1:24" x14ac:dyDescent="0.25">
      <c r="A7505" s="1" t="str">
        <f t="shared" si="2181"/>
        <v>卡卡杜-凤凰仓</v>
      </c>
      <c r="B7505" s="1" t="str">
        <f>"CK202410143227"</f>
        <v>CK202410143227</v>
      </c>
      <c r="C7505" s="1" t="str">
        <f>"DD2024101417989"</f>
        <v>DD2024101417989</v>
      </c>
      <c r="D7505" s="1" t="str">
        <f>"CK2024101431727"</f>
        <v>CK2024101431727</v>
      </c>
      <c r="E7505" s="1" t="str">
        <f>"6934979791253477053"</f>
        <v>6934979791253477053</v>
      </c>
      <c r="F7505" s="1" t="str">
        <f t="shared" si="2182"/>
        <v>花都四部-凤凰仓</v>
      </c>
      <c r="G7505" s="1" t="str">
        <f t="shared" si="2174"/>
        <v>卡卡杜个人护理店（抖店）</v>
      </c>
      <c r="H7505" s="1" t="str">
        <f t="shared" si="2183"/>
        <v>正常订单</v>
      </c>
      <c r="I7505" s="1" t="str">
        <f t="shared" si="2184"/>
        <v>已发货</v>
      </c>
      <c r="J7505" s="1" t="str">
        <f t="shared" si="2185"/>
        <v>3</v>
      </c>
      <c r="K7505" s="1">
        <v>2</v>
      </c>
      <c r="L7505" s="1" t="s">
        <v>32</v>
      </c>
      <c r="M7505" s="1" t="str">
        <f>"陕西省 汉中市 镇巴县 泾洋街道"</f>
        <v>陕西省 汉中市 镇巴县 泾洋街道</v>
      </c>
      <c r="N7505" s="1" t="str">
        <f t="shared" si="2178"/>
        <v>凡华云仓-韵达-抖音</v>
      </c>
      <c r="O7505" s="5">
        <v>320171088789882</v>
      </c>
      <c r="P7505" s="6">
        <v>0.35</v>
      </c>
      <c r="Q7505" s="11">
        <v>2.2999999999999998</v>
      </c>
      <c r="R7505" s="11"/>
      <c r="S7505" s="11"/>
      <c r="T7505" s="11"/>
      <c r="U7505" s="11">
        <f t="shared" si="2180"/>
        <v>2.2999999999999998</v>
      </c>
      <c r="W7505">
        <v>2.5</v>
      </c>
      <c r="X7505" s="1" t="s">
        <v>32</v>
      </c>
    </row>
    <row r="7506" spans="1:24" x14ac:dyDescent="0.25">
      <c r="A7506" s="1" t="str">
        <f t="shared" si="2181"/>
        <v>卡卡杜-凤凰仓</v>
      </c>
      <c r="B7506" s="1" t="str">
        <f>"CK202410143226"</f>
        <v>CK202410143226</v>
      </c>
      <c r="C7506" s="1" t="str">
        <f>"DD2024101417991"</f>
        <v>DD2024101417991</v>
      </c>
      <c r="D7506" s="1" t="str">
        <f>"CK2024101431726"</f>
        <v>CK2024101431726</v>
      </c>
      <c r="E7506" s="1" t="str">
        <f>"6934988804248508290"</f>
        <v>6934988804248508290</v>
      </c>
      <c r="F7506" s="1" t="str">
        <f t="shared" si="2182"/>
        <v>花都四部-凤凰仓</v>
      </c>
      <c r="G7506" s="1" t="str">
        <f t="shared" si="2174"/>
        <v>卡卡杜个人护理店（抖店）</v>
      </c>
      <c r="H7506" s="1" t="str">
        <f t="shared" si="2183"/>
        <v>正常订单</v>
      </c>
      <c r="I7506" s="1" t="str">
        <f t="shared" si="2184"/>
        <v>已发货</v>
      </c>
      <c r="J7506" s="1" t="str">
        <f t="shared" si="2185"/>
        <v>3</v>
      </c>
      <c r="K7506" s="1">
        <v>2</v>
      </c>
      <c r="L7506" s="1" t="s">
        <v>52</v>
      </c>
      <c r="M7506" s="1" t="str">
        <f>"甘肃省 临夏回族自治州 临夏市 折桥镇"</f>
        <v>甘肃省 临夏回族自治州 临夏市 折桥镇</v>
      </c>
      <c r="N7506" s="1" t="str">
        <f t="shared" si="2178"/>
        <v>凡华云仓-韵达-抖音</v>
      </c>
      <c r="O7506" s="5">
        <v>320171088789779</v>
      </c>
      <c r="P7506" s="6">
        <v>0.35</v>
      </c>
      <c r="Q7506" s="11">
        <v>2.2999999999999998</v>
      </c>
      <c r="R7506" s="11"/>
      <c r="S7506" s="11"/>
      <c r="T7506" s="11"/>
      <c r="U7506" s="11">
        <f t="shared" si="2180"/>
        <v>2.2999999999999998</v>
      </c>
      <c r="W7506">
        <v>2.5</v>
      </c>
      <c r="X7506" s="1" t="s">
        <v>52</v>
      </c>
    </row>
    <row r="7507" spans="1:24" x14ac:dyDescent="0.25">
      <c r="A7507" s="1" t="str">
        <f t="shared" si="2181"/>
        <v>卡卡杜-凤凰仓</v>
      </c>
      <c r="B7507" s="1" t="str">
        <f>"CK202410143232"</f>
        <v>CK202410143232</v>
      </c>
      <c r="C7507" s="1" t="str">
        <f>"DD2024101417993"</f>
        <v>DD2024101417993</v>
      </c>
      <c r="D7507" s="1" t="str">
        <f>"CK2024101431725"</f>
        <v>CK2024101431725</v>
      </c>
      <c r="E7507" s="1" t="str">
        <f>"6917561756084501740"</f>
        <v>6917561756084501740</v>
      </c>
      <c r="F7507" s="1" t="str">
        <f t="shared" si="2182"/>
        <v>花都四部-凤凰仓</v>
      </c>
      <c r="G7507" s="1" t="str">
        <f t="shared" si="2174"/>
        <v>卡卡杜个人护理店（抖店）</v>
      </c>
      <c r="H7507" s="1" t="str">
        <f t="shared" si="2183"/>
        <v>正常订单</v>
      </c>
      <c r="I7507" s="1" t="str">
        <f t="shared" si="2184"/>
        <v>已发货</v>
      </c>
      <c r="J7507" s="1" t="str">
        <f t="shared" si="2185"/>
        <v>3</v>
      </c>
      <c r="K7507" s="1">
        <v>2</v>
      </c>
      <c r="L7507" s="1" t="s">
        <v>13</v>
      </c>
      <c r="M7507" s="1" t="str">
        <f>"江苏省 苏州市 姑苏区 虎丘街道"</f>
        <v>江苏省 苏州市 姑苏区 虎丘街道</v>
      </c>
      <c r="N7507" s="1" t="str">
        <f t="shared" si="2178"/>
        <v>凡华云仓-韵达-抖音</v>
      </c>
      <c r="O7507" s="5">
        <v>320171088789678</v>
      </c>
      <c r="P7507" s="6">
        <v>0.35</v>
      </c>
      <c r="Q7507" s="11">
        <v>2.2999999999999998</v>
      </c>
      <c r="R7507" s="11"/>
      <c r="S7507" s="11"/>
      <c r="T7507" s="11"/>
      <c r="U7507" s="11">
        <f t="shared" si="2180"/>
        <v>2.2999999999999998</v>
      </c>
      <c r="W7507">
        <v>2.5</v>
      </c>
      <c r="X7507" s="1" t="s">
        <v>13</v>
      </c>
    </row>
    <row r="7508" spans="1:24" x14ac:dyDescent="0.25">
      <c r="A7508" s="1" t="str">
        <f t="shared" si="2181"/>
        <v>卡卡杜-凤凰仓</v>
      </c>
      <c r="B7508" s="1" t="str">
        <f>"CK202410143231"</f>
        <v>CK202410143231</v>
      </c>
      <c r="C7508" s="1" t="str">
        <f>"DD2024101417988"</f>
        <v>DD2024101417988</v>
      </c>
      <c r="D7508" s="1" t="str">
        <f>"CK2024101431724"</f>
        <v>CK2024101431724</v>
      </c>
      <c r="E7508" s="1" t="str">
        <f>"6934972872133055844"</f>
        <v>6934972872133055844</v>
      </c>
      <c r="F7508" s="1" t="str">
        <f t="shared" si="2182"/>
        <v>花都四部-凤凰仓</v>
      </c>
      <c r="G7508" s="1" t="str">
        <f t="shared" si="2174"/>
        <v>卡卡杜个人护理店（抖店）</v>
      </c>
      <c r="H7508" s="1" t="str">
        <f t="shared" si="2183"/>
        <v>正常订单</v>
      </c>
      <c r="I7508" s="1" t="str">
        <f t="shared" si="2184"/>
        <v>已发货</v>
      </c>
      <c r="J7508" s="1" t="str">
        <f t="shared" si="2185"/>
        <v>3</v>
      </c>
      <c r="K7508" s="1">
        <v>2</v>
      </c>
      <c r="L7508" s="1" t="s">
        <v>74</v>
      </c>
      <c r="M7508" s="1" t="str">
        <f>"上海 上海市 青浦区 重固镇"</f>
        <v>上海 上海市 青浦区 重固镇</v>
      </c>
      <c r="N7508" s="1" t="str">
        <f t="shared" si="2178"/>
        <v>凡华云仓-韵达-抖音</v>
      </c>
      <c r="O7508" s="5">
        <v>320171088789579</v>
      </c>
      <c r="P7508" s="6">
        <v>0.35</v>
      </c>
      <c r="Q7508" s="11">
        <v>2.2999999999999998</v>
      </c>
      <c r="R7508" s="11"/>
      <c r="S7508" s="11"/>
      <c r="T7508" s="11"/>
      <c r="U7508" s="11">
        <f t="shared" si="2180"/>
        <v>2.2999999999999998</v>
      </c>
      <c r="W7508">
        <v>2.5</v>
      </c>
      <c r="X7508" s="1" t="s">
        <v>74</v>
      </c>
    </row>
    <row r="7509" spans="1:24" x14ac:dyDescent="0.25">
      <c r="A7509" s="1" t="str">
        <f t="shared" si="2181"/>
        <v>卡卡杜-凤凰仓</v>
      </c>
      <c r="B7509" s="1" t="str">
        <f>"CK202410143234"</f>
        <v>CK202410143234</v>
      </c>
      <c r="C7509" s="1" t="str">
        <f>"DD2024101417994"</f>
        <v>DD2024101417994</v>
      </c>
      <c r="D7509" s="1" t="str">
        <f>"CK2024101431723"</f>
        <v>CK2024101431723</v>
      </c>
      <c r="E7509" s="1" t="str">
        <f>"6934999738874730445"</f>
        <v>6934999738874730445</v>
      </c>
      <c r="F7509" s="1" t="str">
        <f t="shared" si="2182"/>
        <v>花都四部-凤凰仓</v>
      </c>
      <c r="G7509" s="1" t="str">
        <f t="shared" si="2174"/>
        <v>卡卡杜个人护理店（抖店）</v>
      </c>
      <c r="H7509" s="1" t="str">
        <f t="shared" si="2183"/>
        <v>正常订单</v>
      </c>
      <c r="I7509" s="1" t="str">
        <f t="shared" si="2184"/>
        <v>已发货</v>
      </c>
      <c r="J7509" s="1" t="str">
        <f t="shared" si="2185"/>
        <v>3</v>
      </c>
      <c r="K7509" s="1">
        <v>2</v>
      </c>
      <c r="L7509" s="1" t="s">
        <v>13</v>
      </c>
      <c r="M7509" s="1" t="str">
        <f>"江苏省 淮安市 淮安区 "</f>
        <v xml:space="preserve">江苏省 淮安市 淮安区 </v>
      </c>
      <c r="N7509" s="1" t="str">
        <f t="shared" si="2178"/>
        <v>凡华云仓-韵达-抖音</v>
      </c>
      <c r="O7509" s="5">
        <v>320171088789482</v>
      </c>
      <c r="P7509" s="6">
        <v>0.35</v>
      </c>
      <c r="Q7509" s="11">
        <v>2.2999999999999998</v>
      </c>
      <c r="R7509" s="11"/>
      <c r="S7509" s="11"/>
      <c r="T7509" s="11"/>
      <c r="U7509" s="11">
        <f t="shared" si="2180"/>
        <v>2.2999999999999998</v>
      </c>
      <c r="W7509">
        <v>2.5</v>
      </c>
      <c r="X7509" s="1" t="s">
        <v>13</v>
      </c>
    </row>
    <row r="7510" spans="1:24" x14ac:dyDescent="0.25">
      <c r="A7510" s="1" t="str">
        <f t="shared" si="2181"/>
        <v>卡卡杜-凤凰仓</v>
      </c>
      <c r="B7510" s="1" t="str">
        <f>"CK202410143370"</f>
        <v>CK202410143370</v>
      </c>
      <c r="C7510" s="1" t="str">
        <f>"DD2024101418131"</f>
        <v>DD2024101418131</v>
      </c>
      <c r="D7510" s="1" t="str">
        <f>"CK2024101431722"</f>
        <v>CK2024101431722</v>
      </c>
      <c r="E7510" s="1" t="str">
        <f>"6934992778704852684"</f>
        <v>6934992778704852684</v>
      </c>
      <c r="F7510" s="1" t="str">
        <f t="shared" si="2182"/>
        <v>花都四部-凤凰仓</v>
      </c>
      <c r="G7510" s="1" t="str">
        <f t="shared" si="2174"/>
        <v>卡卡杜个人护理店（抖店）</v>
      </c>
      <c r="H7510" s="1" t="str">
        <f t="shared" si="2183"/>
        <v>正常订单</v>
      </c>
      <c r="I7510" s="1" t="str">
        <f t="shared" si="2184"/>
        <v>已发货</v>
      </c>
      <c r="J7510" s="1" t="str">
        <f>"6"</f>
        <v>6</v>
      </c>
      <c r="K7510" s="1">
        <v>3</v>
      </c>
      <c r="L7510" s="1" t="s">
        <v>13</v>
      </c>
      <c r="M7510" s="1" t="str">
        <f>"江苏省 苏州市 姑苏区 虎丘街道"</f>
        <v>江苏省 苏州市 姑苏区 虎丘街道</v>
      </c>
      <c r="N7510" s="1" t="str">
        <f t="shared" si="2178"/>
        <v>凡华云仓-韵达-抖音</v>
      </c>
      <c r="O7510" s="5">
        <v>320171090476507</v>
      </c>
      <c r="P7510" s="6">
        <v>0.55000000000000004</v>
      </c>
      <c r="Q7510" s="11">
        <f>CEILING(P7510-0.5,0.1)*10*0.15+2.3</f>
        <v>2.4499999999999997</v>
      </c>
      <c r="R7510" s="11"/>
      <c r="S7510" s="11"/>
      <c r="T7510" s="11"/>
      <c r="U7510" s="11">
        <f t="shared" si="2180"/>
        <v>2.4499999999999997</v>
      </c>
      <c r="V7510" t="s">
        <v>15</v>
      </c>
      <c r="W7510">
        <v>2.4500000000000002</v>
      </c>
      <c r="X7510" s="1" t="s">
        <v>13</v>
      </c>
    </row>
    <row r="7511" spans="1:24" x14ac:dyDescent="0.25">
      <c r="A7511" s="1" t="str">
        <f t="shared" si="2181"/>
        <v>卡卡杜-凤凰仓</v>
      </c>
      <c r="B7511" s="1" t="str">
        <f>"CK202410143235"</f>
        <v>CK202410143235</v>
      </c>
      <c r="C7511" s="1" t="str">
        <f>"DD2024101417996"</f>
        <v>DD2024101417996</v>
      </c>
      <c r="D7511" s="1" t="str">
        <f>"CK2024101431721"</f>
        <v>CK2024101431721</v>
      </c>
      <c r="E7511" s="1" t="str">
        <f>"6934993092765095414"</f>
        <v>6934993092765095414</v>
      </c>
      <c r="F7511" s="1" t="str">
        <f t="shared" si="2182"/>
        <v>花都四部-凤凰仓</v>
      </c>
      <c r="G7511" s="1" t="str">
        <f t="shared" si="2174"/>
        <v>卡卡杜个人护理店（抖店）</v>
      </c>
      <c r="H7511" s="1" t="str">
        <f t="shared" si="2183"/>
        <v>正常订单</v>
      </c>
      <c r="I7511" s="1" t="str">
        <f t="shared" si="2184"/>
        <v>已发货</v>
      </c>
      <c r="J7511" s="1" t="str">
        <f t="shared" ref="J7511:J7534" si="2186">"3"</f>
        <v>3</v>
      </c>
      <c r="K7511" s="1">
        <v>2</v>
      </c>
      <c r="L7511" s="1" t="s">
        <v>60</v>
      </c>
      <c r="M7511" s="1" t="str">
        <f>"云南省 保山市 腾冲市 滇滩镇"</f>
        <v>云南省 保山市 腾冲市 滇滩镇</v>
      </c>
      <c r="N7511" s="1" t="str">
        <f t="shared" si="2178"/>
        <v>凡华云仓-韵达-抖音</v>
      </c>
      <c r="O7511" s="5">
        <v>320171078958100</v>
      </c>
      <c r="P7511" s="6">
        <v>0.35</v>
      </c>
      <c r="Q7511" s="11">
        <v>2.2999999999999998</v>
      </c>
      <c r="R7511" s="11"/>
      <c r="S7511" s="11"/>
      <c r="T7511" s="11"/>
      <c r="U7511" s="11">
        <f t="shared" si="2180"/>
        <v>2.2999999999999998</v>
      </c>
      <c r="W7511">
        <v>2.5</v>
      </c>
      <c r="X7511" s="1" t="s">
        <v>60</v>
      </c>
    </row>
    <row r="7512" spans="1:24" x14ac:dyDescent="0.25">
      <c r="A7512" s="1" t="str">
        <f t="shared" si="2181"/>
        <v>卡卡杜-凤凰仓</v>
      </c>
      <c r="B7512" s="1" t="str">
        <f>"CK202410143236"</f>
        <v>CK202410143236</v>
      </c>
      <c r="C7512" s="1" t="str">
        <f>"DD2024101417998"</f>
        <v>DD2024101417998</v>
      </c>
      <c r="D7512" s="1" t="str">
        <f>"CK2024101431720"</f>
        <v>CK2024101431720</v>
      </c>
      <c r="E7512" s="1" t="str">
        <f>"6934995150508463519"</f>
        <v>6934995150508463519</v>
      </c>
      <c r="F7512" s="1" t="str">
        <f t="shared" si="2182"/>
        <v>花都四部-凤凰仓</v>
      </c>
      <c r="G7512" s="1" t="str">
        <f t="shared" si="2174"/>
        <v>卡卡杜个人护理店（抖店）</v>
      </c>
      <c r="H7512" s="1" t="str">
        <f t="shared" si="2183"/>
        <v>正常订单</v>
      </c>
      <c r="I7512" s="1" t="str">
        <f t="shared" si="2184"/>
        <v>已发货</v>
      </c>
      <c r="J7512" s="1" t="str">
        <f t="shared" si="2186"/>
        <v>3</v>
      </c>
      <c r="K7512" s="1">
        <v>2</v>
      </c>
      <c r="L7512" s="1" t="s">
        <v>13</v>
      </c>
      <c r="M7512" s="1" t="str">
        <f>"江苏省 宿迁市 宿豫区 皂河镇"</f>
        <v>江苏省 宿迁市 宿豫区 皂河镇</v>
      </c>
      <c r="N7512" s="1" t="str">
        <f t="shared" si="2178"/>
        <v>凡华云仓-韵达-抖音</v>
      </c>
      <c r="O7512" s="5">
        <v>320171078958011</v>
      </c>
      <c r="P7512" s="6">
        <v>0.35</v>
      </c>
      <c r="Q7512" s="11">
        <v>2.2999999999999998</v>
      </c>
      <c r="R7512" s="11"/>
      <c r="S7512" s="11"/>
      <c r="T7512" s="11"/>
      <c r="U7512" s="11">
        <f t="shared" si="2180"/>
        <v>2.2999999999999998</v>
      </c>
      <c r="W7512">
        <v>2.5</v>
      </c>
      <c r="X7512" s="1" t="s">
        <v>13</v>
      </c>
    </row>
    <row r="7513" spans="1:24" x14ac:dyDescent="0.25">
      <c r="A7513" s="1" t="str">
        <f t="shared" si="2181"/>
        <v>卡卡杜-凤凰仓</v>
      </c>
      <c r="B7513" s="1" t="str">
        <f>"CK202410143233"</f>
        <v>CK202410143233</v>
      </c>
      <c r="C7513" s="1" t="str">
        <f>"DD2024101417995"</f>
        <v>DD2024101417995</v>
      </c>
      <c r="D7513" s="1" t="str">
        <f>"CK2024101431719"</f>
        <v>CK2024101431719</v>
      </c>
      <c r="E7513" s="1" t="str">
        <f>"6934972823296415541"</f>
        <v>6934972823296415541</v>
      </c>
      <c r="F7513" s="1" t="str">
        <f t="shared" si="2182"/>
        <v>花都四部-凤凰仓</v>
      </c>
      <c r="G7513" s="1" t="str">
        <f t="shared" si="2174"/>
        <v>卡卡杜个人护理店（抖店）</v>
      </c>
      <c r="H7513" s="1" t="str">
        <f t="shared" si="2183"/>
        <v>正常订单</v>
      </c>
      <c r="I7513" s="1" t="str">
        <f t="shared" si="2184"/>
        <v>已发货</v>
      </c>
      <c r="J7513" s="1" t="str">
        <f t="shared" si="2186"/>
        <v>3</v>
      </c>
      <c r="K7513" s="1">
        <v>2</v>
      </c>
      <c r="L7513" s="1" t="s">
        <v>18</v>
      </c>
      <c r="M7513" s="1" t="str">
        <f>"广东省 深圳市 宝安区 西乡街道"</f>
        <v>广东省 深圳市 宝安区 西乡街道</v>
      </c>
      <c r="N7513" s="1" t="str">
        <f t="shared" si="2178"/>
        <v>凡华云仓-韵达-抖音</v>
      </c>
      <c r="O7513" s="5">
        <v>320171078957981</v>
      </c>
      <c r="P7513" s="6">
        <v>0.35</v>
      </c>
      <c r="Q7513" s="11">
        <v>2.2999999999999998</v>
      </c>
      <c r="R7513" s="11"/>
      <c r="S7513" s="11"/>
      <c r="T7513" s="11"/>
      <c r="U7513" s="11">
        <f t="shared" si="2180"/>
        <v>2.2999999999999998</v>
      </c>
      <c r="W7513">
        <v>2.5</v>
      </c>
      <c r="X7513" s="1" t="s">
        <v>18</v>
      </c>
    </row>
    <row r="7514" spans="1:24" x14ac:dyDescent="0.25">
      <c r="A7514" s="1" t="str">
        <f t="shared" si="2181"/>
        <v>卡卡杜-凤凰仓</v>
      </c>
      <c r="B7514" s="1" t="str">
        <f>"CK202410143238"</f>
        <v>CK202410143238</v>
      </c>
      <c r="C7514" s="1" t="str">
        <f>"DD2024101418000"</f>
        <v>DD2024101418000</v>
      </c>
      <c r="D7514" s="1" t="str">
        <f>"CK2024101431718"</f>
        <v>CK2024101431718</v>
      </c>
      <c r="E7514" s="1" t="str">
        <f>"6934995164709197140"</f>
        <v>6934995164709197140</v>
      </c>
      <c r="F7514" s="1" t="str">
        <f t="shared" si="2182"/>
        <v>花都四部-凤凰仓</v>
      </c>
      <c r="G7514" s="1" t="str">
        <f t="shared" si="2174"/>
        <v>卡卡杜个人护理店（抖店）</v>
      </c>
      <c r="H7514" s="1" t="str">
        <f t="shared" si="2183"/>
        <v>正常订单</v>
      </c>
      <c r="I7514" s="1" t="str">
        <f t="shared" si="2184"/>
        <v>已发货</v>
      </c>
      <c r="J7514" s="1" t="str">
        <f t="shared" si="2186"/>
        <v>3</v>
      </c>
      <c r="K7514" s="1">
        <v>2</v>
      </c>
      <c r="L7514" s="1" t="s">
        <v>41</v>
      </c>
      <c r="M7514" s="1" t="str">
        <f>"湖北省 襄阳市 樊城区 七里河街道"</f>
        <v>湖北省 襄阳市 樊城区 七里河街道</v>
      </c>
      <c r="N7514" s="1" t="str">
        <f t="shared" si="2178"/>
        <v>凡华云仓-韵达-抖音</v>
      </c>
      <c r="O7514" s="5">
        <v>320171078957876</v>
      </c>
      <c r="P7514" s="6">
        <v>0.35</v>
      </c>
      <c r="Q7514" s="11">
        <v>2.2999999999999998</v>
      </c>
      <c r="R7514" s="11"/>
      <c r="S7514" s="11"/>
      <c r="T7514" s="11"/>
      <c r="U7514" s="11">
        <f t="shared" si="2180"/>
        <v>2.2999999999999998</v>
      </c>
      <c r="W7514">
        <v>2.5</v>
      </c>
      <c r="X7514" s="1" t="s">
        <v>41</v>
      </c>
    </row>
    <row r="7515" spans="1:24" x14ac:dyDescent="0.25">
      <c r="A7515" s="1" t="str">
        <f t="shared" si="2181"/>
        <v>卡卡杜-凤凰仓</v>
      </c>
      <c r="B7515" s="1" t="str">
        <f>"CK202410143239"</f>
        <v>CK202410143239</v>
      </c>
      <c r="C7515" s="1" t="str">
        <f>"DD2024101417999"</f>
        <v>DD2024101417999</v>
      </c>
      <c r="D7515" s="1" t="str">
        <f>"CK2024101431717"</f>
        <v>CK2024101431717</v>
      </c>
      <c r="E7515" s="1" t="str">
        <f>"6934972832947836151"</f>
        <v>6934972832947836151</v>
      </c>
      <c r="F7515" s="1" t="str">
        <f t="shared" si="2182"/>
        <v>花都四部-凤凰仓</v>
      </c>
      <c r="G7515" s="1" t="str">
        <f t="shared" si="2174"/>
        <v>卡卡杜个人护理店（抖店）</v>
      </c>
      <c r="H7515" s="1" t="str">
        <f t="shared" si="2183"/>
        <v>正常订单</v>
      </c>
      <c r="I7515" s="1" t="str">
        <f t="shared" si="2184"/>
        <v>已发货</v>
      </c>
      <c r="J7515" s="1" t="str">
        <f t="shared" si="2186"/>
        <v>3</v>
      </c>
      <c r="K7515" s="1">
        <v>2</v>
      </c>
      <c r="L7515" s="1" t="s">
        <v>13</v>
      </c>
      <c r="M7515" s="1" t="str">
        <f>"江苏省 宿迁市 沭阳县 南湖街道"</f>
        <v>江苏省 宿迁市 沭阳县 南湖街道</v>
      </c>
      <c r="N7515" s="1" t="str">
        <f t="shared" si="2178"/>
        <v>凡华云仓-韵达-抖音</v>
      </c>
      <c r="O7515" s="5">
        <v>320171078957773</v>
      </c>
      <c r="P7515" s="6">
        <v>0.35</v>
      </c>
      <c r="Q7515" s="11">
        <v>2.2999999999999998</v>
      </c>
      <c r="R7515" s="11"/>
      <c r="S7515" s="11"/>
      <c r="T7515" s="11"/>
      <c r="U7515" s="11">
        <f t="shared" si="2180"/>
        <v>2.2999999999999998</v>
      </c>
      <c r="W7515">
        <v>2.5</v>
      </c>
      <c r="X7515" s="1" t="s">
        <v>13</v>
      </c>
    </row>
    <row r="7516" spans="1:24" x14ac:dyDescent="0.25">
      <c r="A7516" s="1" t="str">
        <f t="shared" si="2181"/>
        <v>卡卡杜-凤凰仓</v>
      </c>
      <c r="B7516" s="1" t="str">
        <f>"CK202410143240"</f>
        <v>CK202410143240</v>
      </c>
      <c r="C7516" s="1" t="str">
        <f>"DD2024101418002"</f>
        <v>DD2024101418002</v>
      </c>
      <c r="D7516" s="1" t="str">
        <f>"CK2024101431716"</f>
        <v>CK2024101431716</v>
      </c>
      <c r="E7516" s="1" t="str">
        <f>"6934992957561575130"</f>
        <v>6934992957561575130</v>
      </c>
      <c r="F7516" s="1" t="str">
        <f t="shared" si="2182"/>
        <v>花都四部-凤凰仓</v>
      </c>
      <c r="G7516" s="1" t="str">
        <f t="shared" si="2174"/>
        <v>卡卡杜个人护理店（抖店）</v>
      </c>
      <c r="H7516" s="1" t="str">
        <f t="shared" si="2183"/>
        <v>正常订单</v>
      </c>
      <c r="I7516" s="1" t="str">
        <f t="shared" si="2184"/>
        <v>已发货</v>
      </c>
      <c r="J7516" s="1" t="str">
        <f t="shared" si="2186"/>
        <v>3</v>
      </c>
      <c r="K7516" s="1">
        <v>2</v>
      </c>
      <c r="L7516" s="1" t="s">
        <v>24</v>
      </c>
      <c r="M7516" s="1" t="str">
        <f>"福建省 南平市 武夷山市 新丰街道"</f>
        <v>福建省 南平市 武夷山市 新丰街道</v>
      </c>
      <c r="N7516" s="1" t="str">
        <f t="shared" si="2178"/>
        <v>凡华云仓-韵达-抖音</v>
      </c>
      <c r="O7516" s="5">
        <v>320171078957672</v>
      </c>
      <c r="P7516" s="6">
        <v>0.35</v>
      </c>
      <c r="Q7516" s="11">
        <v>2.2999999999999998</v>
      </c>
      <c r="R7516" s="11"/>
      <c r="S7516" s="11"/>
      <c r="T7516" s="11"/>
      <c r="U7516" s="11">
        <f t="shared" si="2180"/>
        <v>2.2999999999999998</v>
      </c>
      <c r="W7516">
        <v>2.5</v>
      </c>
      <c r="X7516" s="1" t="s">
        <v>24</v>
      </c>
    </row>
    <row r="7517" spans="1:24" x14ac:dyDescent="0.25">
      <c r="A7517" s="1" t="str">
        <f t="shared" si="2181"/>
        <v>卡卡杜-凤凰仓</v>
      </c>
      <c r="B7517" s="1" t="str">
        <f>"CK202410143261"</f>
        <v>CK202410143261</v>
      </c>
      <c r="C7517" s="1" t="str">
        <f>"DD2024101418023"</f>
        <v>DD2024101418023</v>
      </c>
      <c r="D7517" s="1" t="str">
        <f>"CK2024101431715"</f>
        <v>CK2024101431715</v>
      </c>
      <c r="E7517" s="1" t="str">
        <f>"6934995040281105976"</f>
        <v>6934995040281105976</v>
      </c>
      <c r="F7517" s="1" t="str">
        <f t="shared" si="2182"/>
        <v>花都四部-凤凰仓</v>
      </c>
      <c r="G7517" s="1" t="str">
        <f t="shared" si="2174"/>
        <v>卡卡杜个人护理店（抖店）</v>
      </c>
      <c r="H7517" s="1" t="str">
        <f t="shared" si="2183"/>
        <v>正常订单</v>
      </c>
      <c r="I7517" s="1" t="str">
        <f t="shared" si="2184"/>
        <v>已发货</v>
      </c>
      <c r="J7517" s="1" t="str">
        <f t="shared" si="2186"/>
        <v>3</v>
      </c>
      <c r="K7517" s="1">
        <v>2</v>
      </c>
      <c r="L7517" s="1" t="s">
        <v>13</v>
      </c>
      <c r="M7517" s="1" t="str">
        <f>"江苏省 常州市 武进区 武进高新区"</f>
        <v>江苏省 常州市 武进区 武进高新区</v>
      </c>
      <c r="N7517" s="1" t="str">
        <f t="shared" si="2178"/>
        <v>凡华云仓-韵达-抖音</v>
      </c>
      <c r="O7517" s="5">
        <v>320171078957573</v>
      </c>
      <c r="P7517" s="6">
        <v>0.35</v>
      </c>
      <c r="Q7517" s="11">
        <v>2.2999999999999998</v>
      </c>
      <c r="R7517" s="11"/>
      <c r="S7517" s="11"/>
      <c r="T7517" s="11"/>
      <c r="U7517" s="11">
        <f t="shared" si="2180"/>
        <v>2.2999999999999998</v>
      </c>
      <c r="W7517">
        <v>2.5</v>
      </c>
      <c r="X7517" s="1" t="s">
        <v>13</v>
      </c>
    </row>
    <row r="7518" spans="1:24" x14ac:dyDescent="0.25">
      <c r="A7518" s="1" t="str">
        <f t="shared" si="2181"/>
        <v>卡卡杜-凤凰仓</v>
      </c>
      <c r="B7518" s="1" t="str">
        <f>"CK202410143260"</f>
        <v>CK202410143260</v>
      </c>
      <c r="C7518" s="1" t="str">
        <f>"DD2024101418021"</f>
        <v>DD2024101418021</v>
      </c>
      <c r="D7518" s="1" t="str">
        <f>"CK2024101431714"</f>
        <v>CK2024101431714</v>
      </c>
      <c r="E7518" s="1" t="str">
        <f>"6934986460994147829"</f>
        <v>6934986460994147829</v>
      </c>
      <c r="F7518" s="1" t="str">
        <f t="shared" si="2182"/>
        <v>花都四部-凤凰仓</v>
      </c>
      <c r="G7518" s="1" t="str">
        <f t="shared" si="2174"/>
        <v>卡卡杜个人护理店（抖店）</v>
      </c>
      <c r="H7518" s="1" t="str">
        <f t="shared" si="2183"/>
        <v>正常订单</v>
      </c>
      <c r="I7518" s="1" t="str">
        <f t="shared" si="2184"/>
        <v>已发货</v>
      </c>
      <c r="J7518" s="1" t="str">
        <f t="shared" si="2186"/>
        <v>3</v>
      </c>
      <c r="K7518" s="1">
        <v>2</v>
      </c>
      <c r="L7518" s="1" t="s">
        <v>22</v>
      </c>
      <c r="M7518" s="1" t="str">
        <f>"江西省 抚州市 广昌县 旴江镇"</f>
        <v>江西省 抚州市 广昌县 旴江镇</v>
      </c>
      <c r="N7518" s="1" t="str">
        <f t="shared" si="2178"/>
        <v>凡华云仓-韵达-抖音</v>
      </c>
      <c r="O7518" s="5">
        <v>320171090476410</v>
      </c>
      <c r="P7518" s="6">
        <v>0.35</v>
      </c>
      <c r="Q7518" s="11">
        <v>2.2999999999999998</v>
      </c>
      <c r="R7518" s="11"/>
      <c r="S7518" s="11"/>
      <c r="T7518" s="11"/>
      <c r="U7518" s="11">
        <f t="shared" si="2180"/>
        <v>2.2999999999999998</v>
      </c>
      <c r="W7518">
        <v>2.5</v>
      </c>
      <c r="X7518" s="1" t="s">
        <v>22</v>
      </c>
    </row>
    <row r="7519" spans="1:24" x14ac:dyDescent="0.25">
      <c r="A7519" s="1" t="str">
        <f t="shared" si="2181"/>
        <v>卡卡杜-凤凰仓</v>
      </c>
      <c r="B7519" s="1" t="str">
        <f>"CK202410143230"</f>
        <v>CK202410143230</v>
      </c>
      <c r="C7519" s="1" t="str">
        <f>"DD2024101417990"</f>
        <v>DD2024101417990</v>
      </c>
      <c r="D7519" s="1" t="str">
        <f>"CK2024101431713"</f>
        <v>CK2024101431713</v>
      </c>
      <c r="E7519" s="1" t="str">
        <f>"6934988897497388714"</f>
        <v>6934988897497388714</v>
      </c>
      <c r="F7519" s="1" t="str">
        <f t="shared" si="2182"/>
        <v>花都四部-凤凰仓</v>
      </c>
      <c r="G7519" s="1" t="str">
        <f t="shared" si="2174"/>
        <v>卡卡杜个人护理店（抖店）</v>
      </c>
      <c r="H7519" s="1" t="str">
        <f t="shared" si="2183"/>
        <v>正常订单</v>
      </c>
      <c r="I7519" s="1" t="str">
        <f t="shared" si="2184"/>
        <v>已发货</v>
      </c>
      <c r="J7519" s="1" t="str">
        <f t="shared" si="2186"/>
        <v>3</v>
      </c>
      <c r="K7519" s="1">
        <v>2</v>
      </c>
      <c r="L7519" s="1" t="s">
        <v>18</v>
      </c>
      <c r="M7519" s="1" t="str">
        <f>"广东省 惠州市 惠城区 潼湖镇"</f>
        <v>广东省 惠州市 惠城区 潼湖镇</v>
      </c>
      <c r="N7519" s="1" t="str">
        <f t="shared" si="2178"/>
        <v>凡华云仓-韵达-抖音</v>
      </c>
      <c r="O7519" s="5">
        <v>320171078957476</v>
      </c>
      <c r="P7519" s="6">
        <v>0.35</v>
      </c>
      <c r="Q7519" s="11">
        <v>2.2999999999999998</v>
      </c>
      <c r="R7519" s="11"/>
      <c r="S7519" s="11"/>
      <c r="T7519" s="11"/>
      <c r="U7519" s="11">
        <f t="shared" si="2180"/>
        <v>2.2999999999999998</v>
      </c>
      <c r="W7519">
        <v>2.5</v>
      </c>
      <c r="X7519" s="1" t="s">
        <v>18</v>
      </c>
    </row>
    <row r="7520" spans="1:24" x14ac:dyDescent="0.25">
      <c r="A7520" s="1" t="str">
        <f t="shared" si="2181"/>
        <v>卡卡杜-凤凰仓</v>
      </c>
      <c r="B7520" s="1" t="str">
        <f>"CK202410143248"</f>
        <v>CK202410143248</v>
      </c>
      <c r="C7520" s="1" t="str">
        <f>"DD2024101418009"</f>
        <v>DD2024101418009</v>
      </c>
      <c r="D7520" s="1" t="str">
        <f>"CK2024101431712"</f>
        <v>CK2024101431712</v>
      </c>
      <c r="E7520" s="1" t="str">
        <f>"6934961244418282761"</f>
        <v>6934961244418282761</v>
      </c>
      <c r="F7520" s="1" t="str">
        <f t="shared" si="2182"/>
        <v>花都四部-凤凰仓</v>
      </c>
      <c r="G7520" s="1" t="str">
        <f t="shared" si="2174"/>
        <v>卡卡杜个人护理店（抖店）</v>
      </c>
      <c r="H7520" s="1" t="str">
        <f t="shared" si="2183"/>
        <v>正常订单</v>
      </c>
      <c r="I7520" s="1" t="str">
        <f t="shared" si="2184"/>
        <v>已发货</v>
      </c>
      <c r="J7520" s="1" t="str">
        <f t="shared" si="2186"/>
        <v>3</v>
      </c>
      <c r="K7520" s="1">
        <v>2</v>
      </c>
      <c r="L7520" s="1" t="s">
        <v>41</v>
      </c>
      <c r="M7520" s="1" t="str">
        <f>"湖北省 宜昌市 长阳土家族自治县 榔坪镇"</f>
        <v>湖北省 宜昌市 长阳土家族自治县 榔坪镇</v>
      </c>
      <c r="N7520" s="1" t="str">
        <f t="shared" si="2178"/>
        <v>凡华云仓-韵达-抖音</v>
      </c>
      <c r="O7520" s="5">
        <v>320171096084134</v>
      </c>
      <c r="P7520" s="6">
        <v>0.35</v>
      </c>
      <c r="Q7520" s="11">
        <v>2.2999999999999998</v>
      </c>
      <c r="R7520" s="11"/>
      <c r="S7520" s="11"/>
      <c r="T7520" s="11"/>
      <c r="U7520" s="11">
        <f t="shared" si="2180"/>
        <v>2.2999999999999998</v>
      </c>
      <c r="W7520">
        <v>2.5</v>
      </c>
      <c r="X7520" s="1" t="s">
        <v>41</v>
      </c>
    </row>
    <row r="7521" spans="1:24" x14ac:dyDescent="0.25">
      <c r="A7521" s="1" t="str">
        <f t="shared" si="2181"/>
        <v>卡卡杜-凤凰仓</v>
      </c>
      <c r="B7521" s="1" t="str">
        <f>"CK202410143253"</f>
        <v>CK202410143253</v>
      </c>
      <c r="C7521" s="1" t="str">
        <f>"DD2024101418012"</f>
        <v>DD2024101418012</v>
      </c>
      <c r="D7521" s="1" t="str">
        <f>"CK2024101431711"</f>
        <v>CK2024101431711</v>
      </c>
      <c r="E7521" s="1" t="str">
        <f>"6934990275962345271"</f>
        <v>6934990275962345271</v>
      </c>
      <c r="F7521" s="1" t="str">
        <f t="shared" si="2182"/>
        <v>花都四部-凤凰仓</v>
      </c>
      <c r="G7521" s="1" t="str">
        <f t="shared" si="2174"/>
        <v>卡卡杜个人护理店（抖店）</v>
      </c>
      <c r="H7521" s="1" t="str">
        <f t="shared" si="2183"/>
        <v>正常订单</v>
      </c>
      <c r="I7521" s="1" t="str">
        <f t="shared" si="2184"/>
        <v>已发货</v>
      </c>
      <c r="J7521" s="1" t="str">
        <f t="shared" si="2186"/>
        <v>3</v>
      </c>
      <c r="K7521" s="1">
        <v>2</v>
      </c>
      <c r="L7521" s="1" t="s">
        <v>60</v>
      </c>
      <c r="M7521" s="1" t="str">
        <f>"云南省 大理白族自治州 大理市 大理镇"</f>
        <v>云南省 大理白族自治州 大理市 大理镇</v>
      </c>
      <c r="N7521" s="1" t="str">
        <f t="shared" si="2178"/>
        <v>凡华云仓-韵达-抖音</v>
      </c>
      <c r="O7521" s="5">
        <v>320171096084045</v>
      </c>
      <c r="P7521" s="6">
        <v>0.35</v>
      </c>
      <c r="Q7521" s="11">
        <v>2.2999999999999998</v>
      </c>
      <c r="R7521" s="11"/>
      <c r="S7521" s="11"/>
      <c r="T7521" s="11"/>
      <c r="U7521" s="11">
        <f t="shared" si="2180"/>
        <v>2.2999999999999998</v>
      </c>
      <c r="W7521">
        <v>2.5</v>
      </c>
      <c r="X7521" s="1" t="s">
        <v>60</v>
      </c>
    </row>
    <row r="7522" spans="1:24" x14ac:dyDescent="0.25">
      <c r="A7522" s="1" t="str">
        <f t="shared" si="2181"/>
        <v>卡卡杜-凤凰仓</v>
      </c>
      <c r="B7522" s="1" t="str">
        <f>"CK202410143228"</f>
        <v>CK202410143228</v>
      </c>
      <c r="C7522" s="1" t="str">
        <f>"DD2024101417992"</f>
        <v>DD2024101417992</v>
      </c>
      <c r="D7522" s="1" t="str">
        <f>"CK2024101431710"</f>
        <v>CK2024101431710</v>
      </c>
      <c r="E7522" s="1" t="str">
        <f>"6934961579677194005"</f>
        <v>6934961579677194005</v>
      </c>
      <c r="F7522" s="1" t="str">
        <f t="shared" si="2182"/>
        <v>花都四部-凤凰仓</v>
      </c>
      <c r="G7522" s="1" t="str">
        <f t="shared" si="2174"/>
        <v>卡卡杜个人护理店（抖店）</v>
      </c>
      <c r="H7522" s="1" t="str">
        <f t="shared" si="2183"/>
        <v>正常订单</v>
      </c>
      <c r="I7522" s="1" t="str">
        <f t="shared" si="2184"/>
        <v>已发货</v>
      </c>
      <c r="J7522" s="1" t="str">
        <f t="shared" si="2186"/>
        <v>3</v>
      </c>
      <c r="K7522" s="1">
        <v>2</v>
      </c>
      <c r="L7522" s="1" t="s">
        <v>36</v>
      </c>
      <c r="M7522" s="1" t="str">
        <f>"安徽省 合肥市 瑶海区 长淮街道"</f>
        <v>安徽省 合肥市 瑶海区 长淮街道</v>
      </c>
      <c r="N7522" s="1" t="str">
        <f t="shared" si="2178"/>
        <v>凡华云仓-韵达-抖音</v>
      </c>
      <c r="O7522" s="5">
        <v>320171096083923</v>
      </c>
      <c r="P7522" s="6">
        <v>0.35</v>
      </c>
      <c r="Q7522" s="11">
        <v>2.2999999999999998</v>
      </c>
      <c r="R7522" s="11"/>
      <c r="S7522" s="11"/>
      <c r="T7522" s="11"/>
      <c r="U7522" s="11">
        <f t="shared" si="2180"/>
        <v>2.2999999999999998</v>
      </c>
      <c r="W7522">
        <v>2.5</v>
      </c>
      <c r="X7522" s="1" t="s">
        <v>36</v>
      </c>
    </row>
    <row r="7523" spans="1:24" x14ac:dyDescent="0.25">
      <c r="A7523" s="1" t="str">
        <f t="shared" si="2181"/>
        <v>卡卡杜-凤凰仓</v>
      </c>
      <c r="B7523" s="1" t="str">
        <f>"CK202410143289"</f>
        <v>CK202410143289</v>
      </c>
      <c r="C7523" s="1" t="str">
        <f>"DD2024101418051"</f>
        <v>DD2024101418051</v>
      </c>
      <c r="D7523" s="1" t="str">
        <f>"CK2024101431709"</f>
        <v>CK2024101431709</v>
      </c>
      <c r="E7523" s="1" t="str">
        <f>"6934972215020950576"</f>
        <v>6934972215020950576</v>
      </c>
      <c r="F7523" s="1" t="str">
        <f t="shared" si="2182"/>
        <v>花都四部-凤凰仓</v>
      </c>
      <c r="G7523" s="1" t="str">
        <f t="shared" si="2174"/>
        <v>卡卡杜个人护理店（抖店）</v>
      </c>
      <c r="H7523" s="1" t="str">
        <f t="shared" si="2183"/>
        <v>正常订单</v>
      </c>
      <c r="I7523" s="1" t="str">
        <f t="shared" si="2184"/>
        <v>已发货</v>
      </c>
      <c r="J7523" s="1" t="str">
        <f t="shared" si="2186"/>
        <v>3</v>
      </c>
      <c r="K7523" s="1">
        <v>2</v>
      </c>
      <c r="L7523" s="1" t="s">
        <v>20</v>
      </c>
      <c r="M7523" s="1" t="str">
        <f>"浙江省 嘉兴市 桐乡市 石门镇"</f>
        <v>浙江省 嘉兴市 桐乡市 石门镇</v>
      </c>
      <c r="N7523" s="1" t="str">
        <f t="shared" si="2178"/>
        <v>凡华云仓-韵达-抖音</v>
      </c>
      <c r="O7523" s="5">
        <v>320171096083818</v>
      </c>
      <c r="P7523" s="6">
        <v>0.35</v>
      </c>
      <c r="Q7523" s="11">
        <v>2.2999999999999998</v>
      </c>
      <c r="R7523" s="11"/>
      <c r="S7523" s="11"/>
      <c r="T7523" s="11"/>
      <c r="U7523" s="11">
        <f t="shared" si="2180"/>
        <v>2.2999999999999998</v>
      </c>
      <c r="W7523">
        <v>2.5</v>
      </c>
      <c r="X7523" s="1" t="s">
        <v>20</v>
      </c>
    </row>
    <row r="7524" spans="1:24" x14ac:dyDescent="0.25">
      <c r="A7524" s="1" t="str">
        <f t="shared" si="2181"/>
        <v>卡卡杜-凤凰仓</v>
      </c>
      <c r="B7524" s="1" t="str">
        <f>"CK202410143262"</f>
        <v>CK202410143262</v>
      </c>
      <c r="C7524" s="1" t="str">
        <f>"DD2024101418022"</f>
        <v>DD2024101418022</v>
      </c>
      <c r="D7524" s="1" t="str">
        <f>"CK2024101431708"</f>
        <v>CK2024101431708</v>
      </c>
      <c r="E7524" s="1" t="str">
        <f>"6934986172695778911"</f>
        <v>6934986172695778911</v>
      </c>
      <c r="F7524" s="1" t="str">
        <f t="shared" si="2182"/>
        <v>花都四部-凤凰仓</v>
      </c>
      <c r="G7524" s="1" t="str">
        <f t="shared" si="2174"/>
        <v>卡卡杜个人护理店（抖店）</v>
      </c>
      <c r="H7524" s="1" t="str">
        <f t="shared" si="2183"/>
        <v>正常订单</v>
      </c>
      <c r="I7524" s="1" t="str">
        <f t="shared" si="2184"/>
        <v>已发货</v>
      </c>
      <c r="J7524" s="1" t="str">
        <f t="shared" si="2186"/>
        <v>3</v>
      </c>
      <c r="K7524" s="1">
        <v>2</v>
      </c>
      <c r="L7524" s="1" t="s">
        <v>13</v>
      </c>
      <c r="M7524" s="1" t="str">
        <f>"江苏省 常州市 天宁区 天宁街道"</f>
        <v>江苏省 常州市 天宁区 天宁街道</v>
      </c>
      <c r="N7524" s="1" t="str">
        <f t="shared" si="2178"/>
        <v>凡华云仓-韵达-抖音</v>
      </c>
      <c r="O7524" s="5">
        <v>320171096083715</v>
      </c>
      <c r="P7524" s="6">
        <v>0.35</v>
      </c>
      <c r="Q7524" s="11">
        <v>2.2999999999999998</v>
      </c>
      <c r="R7524" s="11"/>
      <c r="S7524" s="11"/>
      <c r="T7524" s="11"/>
      <c r="U7524" s="11">
        <f t="shared" si="2180"/>
        <v>2.2999999999999998</v>
      </c>
      <c r="W7524">
        <v>2.5</v>
      </c>
      <c r="X7524" s="1" t="s">
        <v>13</v>
      </c>
    </row>
    <row r="7525" spans="1:24" x14ac:dyDescent="0.25">
      <c r="A7525" s="1" t="str">
        <f t="shared" si="2181"/>
        <v>卡卡杜-凤凰仓</v>
      </c>
      <c r="B7525" s="1" t="str">
        <f>"CK202410143290"</f>
        <v>CK202410143290</v>
      </c>
      <c r="C7525" s="1" t="str">
        <f>"DD2024101418050"</f>
        <v>DD2024101418050</v>
      </c>
      <c r="D7525" s="1" t="str">
        <f>"CK2024101431707"</f>
        <v>CK2024101431707</v>
      </c>
      <c r="E7525" s="1" t="str">
        <f>"6934967892893702024"</f>
        <v>6934967892893702024</v>
      </c>
      <c r="F7525" s="1" t="str">
        <f t="shared" si="2182"/>
        <v>花都四部-凤凰仓</v>
      </c>
      <c r="G7525" s="1" t="str">
        <f t="shared" si="2174"/>
        <v>卡卡杜个人护理店（抖店）</v>
      </c>
      <c r="H7525" s="1" t="str">
        <f t="shared" si="2183"/>
        <v>正常订单</v>
      </c>
      <c r="I7525" s="1" t="str">
        <f t="shared" si="2184"/>
        <v>已发货</v>
      </c>
      <c r="J7525" s="1" t="str">
        <f t="shared" si="2186"/>
        <v>3</v>
      </c>
      <c r="K7525" s="1">
        <v>2</v>
      </c>
      <c r="L7525" s="1" t="s">
        <v>105</v>
      </c>
      <c r="M7525" s="1" t="str">
        <f>"北京 北京市 平谷区 兴谷街道"</f>
        <v>北京 北京市 平谷区 兴谷街道</v>
      </c>
      <c r="N7525" s="1" t="str">
        <f t="shared" si="2178"/>
        <v>凡华云仓-韵达-抖音</v>
      </c>
      <c r="O7525" s="5">
        <v>320171096083614</v>
      </c>
      <c r="P7525" s="6">
        <v>0.35</v>
      </c>
      <c r="Q7525" s="11">
        <v>2.2999999999999998</v>
      </c>
      <c r="R7525" s="11"/>
      <c r="S7525" s="11"/>
      <c r="T7525" s="11"/>
      <c r="U7525" s="11">
        <f t="shared" si="2180"/>
        <v>2.2999999999999998</v>
      </c>
      <c r="W7525">
        <v>2.5</v>
      </c>
      <c r="X7525" s="1" t="s">
        <v>105</v>
      </c>
    </row>
    <row r="7526" spans="1:24" x14ac:dyDescent="0.25">
      <c r="A7526" s="1" t="str">
        <f t="shared" si="2181"/>
        <v>卡卡杜-凤凰仓</v>
      </c>
      <c r="B7526" s="1" t="str">
        <f>"CK202410143292"</f>
        <v>CK202410143292</v>
      </c>
      <c r="C7526" s="1" t="str">
        <f>"DD2024101418054"</f>
        <v>DD2024101418054</v>
      </c>
      <c r="D7526" s="1" t="str">
        <f>"CK2024101431706"</f>
        <v>CK2024101431706</v>
      </c>
      <c r="E7526" s="1" t="str">
        <f>"6934978970730895159"</f>
        <v>6934978970730895159</v>
      </c>
      <c r="F7526" s="1" t="str">
        <f t="shared" si="2182"/>
        <v>花都四部-凤凰仓</v>
      </c>
      <c r="G7526" s="1" t="str">
        <f t="shared" si="2174"/>
        <v>卡卡杜个人护理店（抖店）</v>
      </c>
      <c r="H7526" s="1" t="str">
        <f t="shared" si="2183"/>
        <v>正常订单</v>
      </c>
      <c r="I7526" s="1" t="str">
        <f t="shared" si="2184"/>
        <v>已发货</v>
      </c>
      <c r="J7526" s="1" t="str">
        <f t="shared" si="2186"/>
        <v>3</v>
      </c>
      <c r="K7526" s="1">
        <v>2</v>
      </c>
      <c r="L7526" s="1" t="s">
        <v>109</v>
      </c>
      <c r="M7526" s="1" t="str">
        <f>"山西省 晋城市 高平市 马村镇"</f>
        <v>山西省 晋城市 高平市 马村镇</v>
      </c>
      <c r="N7526" s="1" t="str">
        <f t="shared" si="2178"/>
        <v>凡华云仓-韵达-抖音</v>
      </c>
      <c r="O7526" s="5">
        <v>320171096083515</v>
      </c>
      <c r="P7526" s="6">
        <v>0.35</v>
      </c>
      <c r="Q7526" s="11">
        <v>2.2999999999999998</v>
      </c>
      <c r="R7526" s="11"/>
      <c r="S7526" s="11"/>
      <c r="T7526" s="11"/>
      <c r="U7526" s="11">
        <f t="shared" si="2180"/>
        <v>2.2999999999999998</v>
      </c>
      <c r="W7526">
        <v>2.5</v>
      </c>
      <c r="X7526" s="1" t="s">
        <v>109</v>
      </c>
    </row>
    <row r="7527" spans="1:24" x14ac:dyDescent="0.25">
      <c r="A7527" s="1" t="str">
        <f t="shared" si="2181"/>
        <v>卡卡杜-凤凰仓</v>
      </c>
      <c r="B7527" s="1" t="str">
        <f>"CK202410143293"</f>
        <v>CK202410143293</v>
      </c>
      <c r="C7527" s="1" t="str">
        <f>"DD2024101418053"</f>
        <v>DD2024101418053</v>
      </c>
      <c r="D7527" s="1" t="str">
        <f>"CK2024101431705"</f>
        <v>CK2024101431705</v>
      </c>
      <c r="E7527" s="1" t="str">
        <f>"6934965885222131575"</f>
        <v>6934965885222131575</v>
      </c>
      <c r="F7527" s="1" t="str">
        <f t="shared" si="2182"/>
        <v>花都四部-凤凰仓</v>
      </c>
      <c r="G7527" s="1" t="str">
        <f t="shared" si="2174"/>
        <v>卡卡杜个人护理店（抖店）</v>
      </c>
      <c r="H7527" s="1" t="str">
        <f t="shared" si="2183"/>
        <v>正常订单</v>
      </c>
      <c r="I7527" s="1" t="str">
        <f t="shared" si="2184"/>
        <v>已发货</v>
      </c>
      <c r="J7527" s="1" t="str">
        <f t="shared" si="2186"/>
        <v>3</v>
      </c>
      <c r="K7527" s="1">
        <v>2</v>
      </c>
      <c r="L7527" s="1" t="s">
        <v>18</v>
      </c>
      <c r="M7527" s="1" t="str">
        <f>"广东省 广州市 白云区 石门街道"</f>
        <v>广东省 广州市 白云区 石门街道</v>
      </c>
      <c r="N7527" s="1" t="str">
        <f>"凡华云仓-竹料中通-抖音"</f>
        <v>凡华云仓-竹料中通-抖音</v>
      </c>
      <c r="O7527" s="5">
        <v>76431113833347</v>
      </c>
      <c r="P7527" s="6">
        <v>0.35</v>
      </c>
      <c r="Q7527" s="11">
        <v>2.6</v>
      </c>
      <c r="R7527" s="11"/>
      <c r="S7527" s="11"/>
      <c r="T7527" s="11"/>
      <c r="U7527" s="11">
        <f t="shared" si="2180"/>
        <v>2.6</v>
      </c>
      <c r="W7527">
        <v>2.6</v>
      </c>
      <c r="X7527" s="1" t="s">
        <v>18</v>
      </c>
    </row>
    <row r="7528" spans="1:24" x14ac:dyDescent="0.25">
      <c r="A7528" s="1" t="str">
        <f t="shared" si="2181"/>
        <v>卡卡杜-凤凰仓</v>
      </c>
      <c r="B7528" s="1" t="str">
        <f>"CK202410143285"</f>
        <v>CK202410143285</v>
      </c>
      <c r="C7528" s="1" t="str">
        <f>"DD2024101418046"</f>
        <v>DD2024101418046</v>
      </c>
      <c r="D7528" s="1" t="str">
        <f>"CK2024101431704"</f>
        <v>CK2024101431704</v>
      </c>
      <c r="E7528" s="1" t="str">
        <f>"6934961385197082557"</f>
        <v>6934961385197082557</v>
      </c>
      <c r="F7528" s="1" t="str">
        <f t="shared" si="2182"/>
        <v>花都四部-凤凰仓</v>
      </c>
      <c r="G7528" s="1" t="str">
        <f t="shared" si="2174"/>
        <v>卡卡杜个人护理店（抖店）</v>
      </c>
      <c r="H7528" s="1" t="str">
        <f t="shared" si="2183"/>
        <v>正常订单</v>
      </c>
      <c r="I7528" s="1" t="str">
        <f t="shared" si="2184"/>
        <v>已发货</v>
      </c>
      <c r="J7528" s="1" t="str">
        <f t="shared" si="2186"/>
        <v>3</v>
      </c>
      <c r="K7528" s="1">
        <v>2</v>
      </c>
      <c r="L7528" s="1" t="s">
        <v>32</v>
      </c>
      <c r="M7528" s="1" t="str">
        <f>"陕西省 宝鸡市 渭滨区 石鼓镇"</f>
        <v>陕西省 宝鸡市 渭滨区 石鼓镇</v>
      </c>
      <c r="N7528" s="1" t="str">
        <f t="shared" ref="N7528:N7559" si="2187">"凡华云仓-韵达-抖音"</f>
        <v>凡华云仓-韵达-抖音</v>
      </c>
      <c r="O7528" s="5">
        <v>320171096083418</v>
      </c>
      <c r="P7528" s="6">
        <v>0.35</v>
      </c>
      <c r="Q7528" s="11">
        <v>2.2999999999999998</v>
      </c>
      <c r="R7528" s="11"/>
      <c r="S7528" s="11"/>
      <c r="T7528" s="11"/>
      <c r="U7528" s="11">
        <f t="shared" si="2180"/>
        <v>2.2999999999999998</v>
      </c>
      <c r="W7528">
        <v>2.5</v>
      </c>
      <c r="X7528" s="1" t="s">
        <v>32</v>
      </c>
    </row>
    <row r="7529" spans="1:24" x14ac:dyDescent="0.25">
      <c r="A7529" s="1" t="str">
        <f t="shared" si="2181"/>
        <v>卡卡杜-凤凰仓</v>
      </c>
      <c r="B7529" s="1" t="str">
        <f>"CK202410143294"</f>
        <v>CK202410143294</v>
      </c>
      <c r="C7529" s="1" t="str">
        <f>"DD2024101418052"</f>
        <v>DD2024101418052</v>
      </c>
      <c r="D7529" s="1" t="str">
        <f>"CK2024101431703"</f>
        <v>CK2024101431703</v>
      </c>
      <c r="E7529" s="1" t="str">
        <f>"6934956793212704436"</f>
        <v>6934956793212704436</v>
      </c>
      <c r="F7529" s="1" t="str">
        <f t="shared" si="2182"/>
        <v>花都四部-凤凰仓</v>
      </c>
      <c r="G7529" s="1" t="str">
        <f t="shared" si="2174"/>
        <v>卡卡杜个人护理店（抖店）</v>
      </c>
      <c r="H7529" s="1" t="str">
        <f t="shared" si="2183"/>
        <v>正常订单</v>
      </c>
      <c r="I7529" s="1" t="str">
        <f t="shared" si="2184"/>
        <v>已发货</v>
      </c>
      <c r="J7529" s="1" t="str">
        <f t="shared" si="2186"/>
        <v>3</v>
      </c>
      <c r="K7529" s="1">
        <v>2</v>
      </c>
      <c r="L7529" s="1" t="s">
        <v>13</v>
      </c>
      <c r="M7529" s="1" t="str">
        <f>"江苏省 徐州市 邳州市 官湖镇"</f>
        <v>江苏省 徐州市 邳州市 官湖镇</v>
      </c>
      <c r="N7529" s="1" t="str">
        <f t="shared" si="2187"/>
        <v>凡华云仓-韵达-抖音</v>
      </c>
      <c r="O7529" s="5">
        <v>320171096083323</v>
      </c>
      <c r="P7529" s="6">
        <v>0.35</v>
      </c>
      <c r="Q7529" s="11">
        <v>2.2999999999999998</v>
      </c>
      <c r="R7529" s="11"/>
      <c r="S7529" s="11"/>
      <c r="T7529" s="11"/>
      <c r="U7529" s="11">
        <f t="shared" si="2180"/>
        <v>2.2999999999999998</v>
      </c>
      <c r="W7529">
        <v>2.5</v>
      </c>
      <c r="X7529" s="1" t="s">
        <v>13</v>
      </c>
    </row>
    <row r="7530" spans="1:24" x14ac:dyDescent="0.25">
      <c r="A7530" s="1" t="str">
        <f t="shared" si="2181"/>
        <v>卡卡杜-凤凰仓</v>
      </c>
      <c r="B7530" s="1" t="str">
        <f>"CK202410143287"</f>
        <v>CK202410143287</v>
      </c>
      <c r="C7530" s="1" t="str">
        <f>"DD2024101418047"</f>
        <v>DD2024101418047</v>
      </c>
      <c r="D7530" s="1" t="str">
        <f>"CK2024101431702"</f>
        <v>CK2024101431702</v>
      </c>
      <c r="E7530" s="1" t="str">
        <f>"6934959504569931639"</f>
        <v>6934959504569931639</v>
      </c>
      <c r="F7530" s="1" t="str">
        <f t="shared" si="2182"/>
        <v>花都四部-凤凰仓</v>
      </c>
      <c r="G7530" s="1" t="str">
        <f t="shared" si="2174"/>
        <v>卡卡杜个人护理店（抖店）</v>
      </c>
      <c r="H7530" s="1" t="str">
        <f t="shared" si="2183"/>
        <v>正常订单</v>
      </c>
      <c r="I7530" s="1" t="str">
        <f t="shared" si="2184"/>
        <v>已发货</v>
      </c>
      <c r="J7530" s="1" t="str">
        <f t="shared" si="2186"/>
        <v>3</v>
      </c>
      <c r="K7530" s="1">
        <v>2</v>
      </c>
      <c r="L7530" s="1" t="s">
        <v>18</v>
      </c>
      <c r="M7530" s="1" t="str">
        <f>"广东省 广州市 天河区 天园街道"</f>
        <v>广东省 广州市 天河区 天园街道</v>
      </c>
      <c r="N7530" s="1" t="str">
        <f t="shared" si="2187"/>
        <v>凡华云仓-韵达-抖音</v>
      </c>
      <c r="O7530" s="5">
        <v>320171076936291</v>
      </c>
      <c r="P7530" s="6">
        <v>0.35</v>
      </c>
      <c r="Q7530" s="11">
        <v>2.2999999999999998</v>
      </c>
      <c r="R7530" s="11"/>
      <c r="S7530" s="11"/>
      <c r="T7530" s="11"/>
      <c r="U7530" s="11">
        <f t="shared" si="2180"/>
        <v>2.2999999999999998</v>
      </c>
      <c r="W7530">
        <v>2.5</v>
      </c>
      <c r="X7530" s="1" t="s">
        <v>18</v>
      </c>
    </row>
    <row r="7531" spans="1:24" x14ac:dyDescent="0.25">
      <c r="A7531" s="1" t="str">
        <f t="shared" si="2181"/>
        <v>卡卡杜-凤凰仓</v>
      </c>
      <c r="B7531" s="1" t="str">
        <f>"CK202410143296"</f>
        <v>CK202410143296</v>
      </c>
      <c r="C7531" s="1" t="str">
        <f>"DD2024101418057"</f>
        <v>DD2024101418057</v>
      </c>
      <c r="D7531" s="1" t="str">
        <f>"CK2024101431701"</f>
        <v>CK2024101431701</v>
      </c>
      <c r="E7531" s="1" t="str">
        <f>"6934961361893070486"</f>
        <v>6934961361893070486</v>
      </c>
      <c r="F7531" s="1" t="str">
        <f t="shared" si="2182"/>
        <v>花都四部-凤凰仓</v>
      </c>
      <c r="G7531" s="1" t="str">
        <f t="shared" si="2174"/>
        <v>卡卡杜个人护理店（抖店）</v>
      </c>
      <c r="H7531" s="1" t="str">
        <f t="shared" si="2183"/>
        <v>正常订单</v>
      </c>
      <c r="I7531" s="1" t="str">
        <f t="shared" si="2184"/>
        <v>已发货</v>
      </c>
      <c r="J7531" s="1" t="str">
        <f t="shared" si="2186"/>
        <v>3</v>
      </c>
      <c r="K7531" s="1">
        <v>2</v>
      </c>
      <c r="L7531" s="1" t="s">
        <v>36</v>
      </c>
      <c r="M7531" s="1" t="str">
        <f>"安徽省 合肥市 蜀山区 井岗镇"</f>
        <v>安徽省 合肥市 蜀山区 井岗镇</v>
      </c>
      <c r="N7531" s="1" t="str">
        <f t="shared" si="2187"/>
        <v>凡华云仓-韵达-抖音</v>
      </c>
      <c r="O7531" s="5">
        <v>320171076936100</v>
      </c>
      <c r="P7531" s="6">
        <v>0.35</v>
      </c>
      <c r="Q7531" s="11">
        <v>2.2999999999999998</v>
      </c>
      <c r="R7531" s="11"/>
      <c r="S7531" s="11"/>
      <c r="T7531" s="11"/>
      <c r="U7531" s="11">
        <f t="shared" si="2180"/>
        <v>2.2999999999999998</v>
      </c>
      <c r="W7531">
        <v>2.5</v>
      </c>
      <c r="X7531" s="1" t="s">
        <v>36</v>
      </c>
    </row>
    <row r="7532" spans="1:24" x14ac:dyDescent="0.25">
      <c r="A7532" s="1" t="str">
        <f t="shared" si="2181"/>
        <v>卡卡杜-凤凰仓</v>
      </c>
      <c r="B7532" s="1" t="str">
        <f>"CK202410143266"</f>
        <v>CK202410143266</v>
      </c>
      <c r="C7532" s="1" t="str">
        <f>"DD2024101418024"</f>
        <v>DD2024101418024</v>
      </c>
      <c r="D7532" s="1" t="str">
        <f>"CK2024101431700"</f>
        <v>CK2024101431700</v>
      </c>
      <c r="E7532" s="1" t="str">
        <f>"6934959818428650778"</f>
        <v>6934959818428650778</v>
      </c>
      <c r="F7532" s="1" t="str">
        <f t="shared" si="2182"/>
        <v>花都四部-凤凰仓</v>
      </c>
      <c r="G7532" s="1" t="str">
        <f t="shared" si="2174"/>
        <v>卡卡杜个人护理店（抖店）</v>
      </c>
      <c r="H7532" s="1" t="str">
        <f t="shared" si="2183"/>
        <v>正常订单</v>
      </c>
      <c r="I7532" s="1" t="str">
        <f t="shared" si="2184"/>
        <v>已发货</v>
      </c>
      <c r="J7532" s="1" t="str">
        <f t="shared" si="2186"/>
        <v>3</v>
      </c>
      <c r="K7532" s="1">
        <v>2</v>
      </c>
      <c r="L7532" s="1" t="s">
        <v>20</v>
      </c>
      <c r="M7532" s="1" t="str">
        <f>"浙江省 绍兴市 柯桥区 华舍街道"</f>
        <v>浙江省 绍兴市 柯桥区 华舍街道</v>
      </c>
      <c r="N7532" s="1" t="str">
        <f t="shared" si="2187"/>
        <v>凡华云仓-韵达-抖音</v>
      </c>
      <c r="O7532" s="5">
        <v>320171076936011</v>
      </c>
      <c r="P7532" s="6">
        <v>0.35</v>
      </c>
      <c r="Q7532" s="11">
        <v>2.2999999999999998</v>
      </c>
      <c r="R7532" s="11"/>
      <c r="S7532" s="11"/>
      <c r="T7532" s="11"/>
      <c r="U7532" s="11">
        <f t="shared" si="2180"/>
        <v>2.2999999999999998</v>
      </c>
      <c r="W7532">
        <v>2.5</v>
      </c>
      <c r="X7532" s="1" t="s">
        <v>20</v>
      </c>
    </row>
    <row r="7533" spans="1:24" x14ac:dyDescent="0.25">
      <c r="A7533" s="1" t="str">
        <f t="shared" si="2181"/>
        <v>卡卡杜-凤凰仓</v>
      </c>
      <c r="B7533" s="1" t="str">
        <f>"CK202410143298"</f>
        <v>CK202410143298</v>
      </c>
      <c r="C7533" s="1" t="str">
        <f>"DD2024101418059"</f>
        <v>DD2024101418059</v>
      </c>
      <c r="D7533" s="1" t="str">
        <f>"CK2024101431699"</f>
        <v>CK2024101431699</v>
      </c>
      <c r="E7533" s="1" t="str">
        <f>"6934961358680167818"</f>
        <v>6934961358680167818</v>
      </c>
      <c r="F7533" s="1" t="str">
        <f t="shared" si="2182"/>
        <v>花都四部-凤凰仓</v>
      </c>
      <c r="G7533" s="1" t="str">
        <f t="shared" si="2174"/>
        <v>卡卡杜个人护理店（抖店）</v>
      </c>
      <c r="H7533" s="1" t="str">
        <f t="shared" si="2183"/>
        <v>正常订单</v>
      </c>
      <c r="I7533" s="1" t="str">
        <f t="shared" si="2184"/>
        <v>已发货</v>
      </c>
      <c r="J7533" s="1" t="str">
        <f t="shared" si="2186"/>
        <v>3</v>
      </c>
      <c r="K7533" s="1">
        <v>2</v>
      </c>
      <c r="L7533" s="1" t="s">
        <v>161</v>
      </c>
      <c r="M7533" s="1" t="str">
        <f>"四川省 攀枝花市 米易县 攀莲镇"</f>
        <v>四川省 攀枝花市 米易县 攀莲镇</v>
      </c>
      <c r="N7533" s="1" t="str">
        <f t="shared" si="2187"/>
        <v>凡华云仓-韵达-抖音</v>
      </c>
      <c r="O7533" s="5">
        <v>320171076935985</v>
      </c>
      <c r="P7533" s="6">
        <v>0.35</v>
      </c>
      <c r="Q7533" s="11">
        <v>2.2999999999999998</v>
      </c>
      <c r="R7533" s="11"/>
      <c r="S7533" s="11"/>
      <c r="T7533" s="11"/>
      <c r="U7533" s="11">
        <f t="shared" si="2180"/>
        <v>2.2999999999999998</v>
      </c>
      <c r="W7533">
        <v>2.5</v>
      </c>
      <c r="X7533" s="1" t="s">
        <v>161</v>
      </c>
    </row>
    <row r="7534" spans="1:24" x14ac:dyDescent="0.25">
      <c r="A7534" s="1" t="str">
        <f t="shared" si="2181"/>
        <v>卡卡杜-凤凰仓</v>
      </c>
      <c r="B7534" s="1" t="str">
        <f>"CK202410143283"</f>
        <v>CK202410143283</v>
      </c>
      <c r="C7534" s="1" t="str">
        <f>"DD2024101418043"</f>
        <v>DD2024101418043</v>
      </c>
      <c r="D7534" s="1" t="str">
        <f>"CK2024101431698"</f>
        <v>CK2024101431698</v>
      </c>
      <c r="E7534" s="1" t="str">
        <f>"6934971938351618019"</f>
        <v>6934971938351618019</v>
      </c>
      <c r="F7534" s="1" t="str">
        <f t="shared" si="2182"/>
        <v>花都四部-凤凰仓</v>
      </c>
      <c r="G7534" s="1" t="str">
        <f t="shared" si="2174"/>
        <v>卡卡杜个人护理店（抖店）</v>
      </c>
      <c r="H7534" s="1" t="str">
        <f t="shared" si="2183"/>
        <v>正常订单</v>
      </c>
      <c r="I7534" s="1" t="str">
        <f t="shared" si="2184"/>
        <v>已发货</v>
      </c>
      <c r="J7534" s="1" t="str">
        <f t="shared" si="2186"/>
        <v>3</v>
      </c>
      <c r="K7534" s="1">
        <v>2</v>
      </c>
      <c r="L7534" s="1" t="s">
        <v>80</v>
      </c>
      <c r="M7534" s="1" t="str">
        <f>"河南省 郑州市 登封市 少林街道"</f>
        <v>河南省 郑州市 登封市 少林街道</v>
      </c>
      <c r="N7534" s="1" t="str">
        <f t="shared" si="2187"/>
        <v>凡华云仓-韵达-抖音</v>
      </c>
      <c r="O7534" s="5">
        <v>320171076935880</v>
      </c>
      <c r="P7534" s="6">
        <v>0.35</v>
      </c>
      <c r="Q7534" s="11">
        <v>2.2999999999999998</v>
      </c>
      <c r="R7534" s="11"/>
      <c r="S7534" s="11"/>
      <c r="T7534" s="11"/>
      <c r="U7534" s="11">
        <f t="shared" si="2180"/>
        <v>2.2999999999999998</v>
      </c>
      <c r="W7534">
        <v>2.5</v>
      </c>
      <c r="X7534" s="1" t="s">
        <v>80</v>
      </c>
    </row>
    <row r="7535" spans="1:24" x14ac:dyDescent="0.25">
      <c r="A7535" s="1" t="str">
        <f t="shared" si="2181"/>
        <v>卡卡杜-凤凰仓</v>
      </c>
      <c r="B7535" s="1" t="str">
        <f>"CK202410143378"</f>
        <v>CK202410143378</v>
      </c>
      <c r="C7535" s="1" t="str">
        <f>"DD2024101418138"</f>
        <v>DD2024101418138</v>
      </c>
      <c r="D7535" s="1" t="str">
        <f>"CK2024101431697"</f>
        <v>CK2024101431697</v>
      </c>
      <c r="E7535" s="1" t="str">
        <f>"6934978843958253215"</f>
        <v>6934978843958253215</v>
      </c>
      <c r="F7535" s="1" t="str">
        <f t="shared" si="2182"/>
        <v>花都四部-凤凰仓</v>
      </c>
      <c r="G7535" s="1" t="str">
        <f t="shared" si="2174"/>
        <v>卡卡杜个人护理店（抖店）</v>
      </c>
      <c r="H7535" s="1" t="str">
        <f t="shared" si="2183"/>
        <v>正常订单</v>
      </c>
      <c r="I7535" s="1" t="str">
        <f t="shared" si="2184"/>
        <v>已发货</v>
      </c>
      <c r="J7535" s="1" t="str">
        <f>"5"</f>
        <v>5</v>
      </c>
      <c r="K7535" s="1">
        <v>2</v>
      </c>
      <c r="L7535" s="1" t="s">
        <v>16</v>
      </c>
      <c r="M7535" s="1" t="str">
        <f>"河北省 张家口市 沽源县 平定堡镇"</f>
        <v>河北省 张家口市 沽源县 平定堡镇</v>
      </c>
      <c r="N7535" s="1" t="str">
        <f t="shared" si="2187"/>
        <v>凡华云仓-韵达-抖音</v>
      </c>
      <c r="O7535" s="5">
        <v>320171076935777</v>
      </c>
      <c r="P7535" s="6">
        <v>0.59</v>
      </c>
      <c r="Q7535" s="11">
        <f>CEILING(P7535-0.5,0.1)*10*0.15+2.3</f>
        <v>2.4499999999999997</v>
      </c>
      <c r="R7535" s="11"/>
      <c r="S7535" s="11"/>
      <c r="T7535" s="11"/>
      <c r="U7535" s="11">
        <f t="shared" si="2180"/>
        <v>2.4499999999999997</v>
      </c>
      <c r="V7535" t="s">
        <v>15</v>
      </c>
      <c r="W7535">
        <v>2.4500000000000002</v>
      </c>
      <c r="X7535" s="1" t="s">
        <v>16</v>
      </c>
    </row>
    <row r="7536" spans="1:24" x14ac:dyDescent="0.25">
      <c r="A7536" s="1" t="str">
        <f t="shared" si="2181"/>
        <v>卡卡杜-凤凰仓</v>
      </c>
      <c r="B7536" s="1" t="str">
        <f>"CK202410143281"</f>
        <v>CK202410143281</v>
      </c>
      <c r="C7536" s="1" t="str">
        <f>"DD2024101418044"</f>
        <v>DD2024101418044</v>
      </c>
      <c r="D7536" s="1" t="str">
        <f>"CK2024101431696"</f>
        <v>CK2024101431696</v>
      </c>
      <c r="E7536" s="1" t="str">
        <f>"6934986009395664800"</f>
        <v>6934986009395664800</v>
      </c>
      <c r="F7536" s="1" t="str">
        <f t="shared" si="2182"/>
        <v>花都四部-凤凰仓</v>
      </c>
      <c r="G7536" s="1" t="str">
        <f t="shared" si="2174"/>
        <v>卡卡杜个人护理店（抖店）</v>
      </c>
      <c r="H7536" s="1" t="str">
        <f t="shared" si="2183"/>
        <v>正常订单</v>
      </c>
      <c r="I7536" s="1" t="str">
        <f t="shared" si="2184"/>
        <v>已发货</v>
      </c>
      <c r="J7536" s="1" t="str">
        <f t="shared" ref="J7536:J7559" si="2188">"3"</f>
        <v>3</v>
      </c>
      <c r="K7536" s="1">
        <v>2</v>
      </c>
      <c r="L7536" s="1" t="s">
        <v>24</v>
      </c>
      <c r="M7536" s="1" t="str">
        <f>"福建省 宁德市 福鼎市 山前街道"</f>
        <v>福建省 宁德市 福鼎市 山前街道</v>
      </c>
      <c r="N7536" s="1" t="str">
        <f t="shared" si="2187"/>
        <v>凡华云仓-韵达-抖音</v>
      </c>
      <c r="O7536" s="5">
        <v>320171076935676</v>
      </c>
      <c r="P7536" s="6">
        <v>0.35</v>
      </c>
      <c r="Q7536" s="11">
        <v>2.2999999999999998</v>
      </c>
      <c r="R7536" s="11"/>
      <c r="S7536" s="11"/>
      <c r="T7536" s="11"/>
      <c r="U7536" s="11">
        <f t="shared" si="2180"/>
        <v>2.2999999999999998</v>
      </c>
      <c r="W7536">
        <v>2.5</v>
      </c>
      <c r="X7536" s="1" t="s">
        <v>24</v>
      </c>
    </row>
    <row r="7537" spans="1:24" x14ac:dyDescent="0.25">
      <c r="A7537" s="1" t="str">
        <f t="shared" si="2181"/>
        <v>卡卡杜-凤凰仓</v>
      </c>
      <c r="B7537" s="1" t="str">
        <f>"CK202410143272"</f>
        <v>CK202410143272</v>
      </c>
      <c r="C7537" s="1" t="str">
        <f>"DD2024101418034"</f>
        <v>DD2024101418034</v>
      </c>
      <c r="D7537" s="1" t="str">
        <f>"CK2024101431695"</f>
        <v>CK2024101431695</v>
      </c>
      <c r="E7537" s="1" t="str">
        <f>"6934974171669796642"</f>
        <v>6934974171669796642</v>
      </c>
      <c r="F7537" s="1" t="str">
        <f t="shared" si="2182"/>
        <v>花都四部-凤凰仓</v>
      </c>
      <c r="G7537" s="1" t="str">
        <f t="shared" si="2174"/>
        <v>卡卡杜个人护理店（抖店）</v>
      </c>
      <c r="H7537" s="1" t="str">
        <f t="shared" si="2183"/>
        <v>正常订单</v>
      </c>
      <c r="I7537" s="1" t="str">
        <f t="shared" si="2184"/>
        <v>已发货</v>
      </c>
      <c r="J7537" s="1" t="str">
        <f t="shared" si="2188"/>
        <v>3</v>
      </c>
      <c r="K7537" s="1">
        <v>2</v>
      </c>
      <c r="L7537" s="1" t="s">
        <v>52</v>
      </c>
      <c r="M7537" s="1" t="str">
        <f>"甘肃省 陇南市 康县 城关镇"</f>
        <v>甘肃省 陇南市 康县 城关镇</v>
      </c>
      <c r="N7537" s="1" t="str">
        <f t="shared" si="2187"/>
        <v>凡华云仓-韵达-抖音</v>
      </c>
      <c r="O7537" s="5">
        <v>320171076935577</v>
      </c>
      <c r="P7537" s="6">
        <v>0.35</v>
      </c>
      <c r="Q7537" s="11">
        <v>2.2999999999999998</v>
      </c>
      <c r="R7537" s="11"/>
      <c r="S7537" s="11"/>
      <c r="T7537" s="11"/>
      <c r="U7537" s="11">
        <f t="shared" si="2180"/>
        <v>2.2999999999999998</v>
      </c>
      <c r="W7537">
        <v>2.5</v>
      </c>
      <c r="X7537" s="1" t="s">
        <v>52</v>
      </c>
    </row>
    <row r="7538" spans="1:24" x14ac:dyDescent="0.25">
      <c r="A7538" s="1" t="str">
        <f t="shared" si="2181"/>
        <v>卡卡杜-凤凰仓</v>
      </c>
      <c r="B7538" s="1" t="str">
        <f>"CK202410143288"</f>
        <v>CK202410143288</v>
      </c>
      <c r="C7538" s="1" t="str">
        <f>"DD2024101418049"</f>
        <v>DD2024101418049</v>
      </c>
      <c r="D7538" s="1" t="str">
        <f>"CK2024101431694"</f>
        <v>CK2024101431694</v>
      </c>
      <c r="E7538" s="1" t="str">
        <f>"6934959414708933906"</f>
        <v>6934959414708933906</v>
      </c>
      <c r="F7538" s="1" t="str">
        <f t="shared" si="2182"/>
        <v>花都四部-凤凰仓</v>
      </c>
      <c r="G7538" s="1" t="str">
        <f t="shared" si="2174"/>
        <v>卡卡杜个人护理店（抖店）</v>
      </c>
      <c r="H7538" s="1" t="str">
        <f t="shared" si="2183"/>
        <v>正常订单</v>
      </c>
      <c r="I7538" s="1" t="str">
        <f t="shared" si="2184"/>
        <v>已发货</v>
      </c>
      <c r="J7538" s="1" t="str">
        <f t="shared" si="2188"/>
        <v>3</v>
      </c>
      <c r="K7538" s="1">
        <v>2</v>
      </c>
      <c r="L7538" s="1" t="s">
        <v>13</v>
      </c>
      <c r="M7538" s="1" t="str">
        <f>"江苏省 徐州市 鼓楼区 大庙街道"</f>
        <v>江苏省 徐州市 鼓楼区 大庙街道</v>
      </c>
      <c r="N7538" s="1" t="str">
        <f t="shared" si="2187"/>
        <v>凡华云仓-韵达-抖音</v>
      </c>
      <c r="O7538" s="5">
        <v>320171076935480</v>
      </c>
      <c r="P7538" s="6">
        <v>0.35</v>
      </c>
      <c r="Q7538" s="11">
        <v>2.2999999999999998</v>
      </c>
      <c r="R7538" s="11"/>
      <c r="S7538" s="11"/>
      <c r="T7538" s="11"/>
      <c r="U7538" s="11">
        <f t="shared" si="2180"/>
        <v>2.2999999999999998</v>
      </c>
      <c r="W7538">
        <v>2.5</v>
      </c>
      <c r="X7538" s="1" t="s">
        <v>13</v>
      </c>
    </row>
    <row r="7539" spans="1:24" x14ac:dyDescent="0.25">
      <c r="A7539" s="1" t="str">
        <f t="shared" si="2181"/>
        <v>卡卡杜-凤凰仓</v>
      </c>
      <c r="B7539" s="1" t="str">
        <f>"CK202410143297"</f>
        <v>CK202410143297</v>
      </c>
      <c r="C7539" s="1" t="str">
        <f>"DD2024101418058"</f>
        <v>DD2024101418058</v>
      </c>
      <c r="D7539" s="1" t="str">
        <f>"CK2024101431693"</f>
        <v>CK2024101431693</v>
      </c>
      <c r="E7539" s="1" t="str">
        <f>"6934963453208237463"</f>
        <v>6934963453208237463</v>
      </c>
      <c r="F7539" s="1" t="str">
        <f t="shared" si="2182"/>
        <v>花都四部-凤凰仓</v>
      </c>
      <c r="G7539" s="1" t="str">
        <f t="shared" si="2174"/>
        <v>卡卡杜个人护理店（抖店）</v>
      </c>
      <c r="H7539" s="1" t="str">
        <f t="shared" si="2183"/>
        <v>正常订单</v>
      </c>
      <c r="I7539" s="1" t="str">
        <f t="shared" si="2184"/>
        <v>已发货</v>
      </c>
      <c r="J7539" s="1" t="str">
        <f t="shared" si="2188"/>
        <v>3</v>
      </c>
      <c r="K7539" s="1">
        <v>2</v>
      </c>
      <c r="L7539" s="1" t="s">
        <v>36</v>
      </c>
      <c r="M7539" s="1" t="str">
        <f>"安徽省 滁州市 天长市 千秋街道"</f>
        <v>安徽省 滁州市 天长市 千秋街道</v>
      </c>
      <c r="N7539" s="1" t="str">
        <f t="shared" si="2187"/>
        <v>凡华云仓-韵达-抖音</v>
      </c>
      <c r="O7539" s="5">
        <v>320171076935385</v>
      </c>
      <c r="P7539" s="6">
        <v>0.35</v>
      </c>
      <c r="Q7539" s="11">
        <v>2.2999999999999998</v>
      </c>
      <c r="R7539" s="11"/>
      <c r="S7539" s="11"/>
      <c r="T7539" s="11"/>
      <c r="U7539" s="11">
        <f t="shared" si="2180"/>
        <v>2.2999999999999998</v>
      </c>
      <c r="W7539">
        <v>2.5</v>
      </c>
      <c r="X7539" s="1" t="s">
        <v>36</v>
      </c>
    </row>
    <row r="7540" spans="1:24" x14ac:dyDescent="0.25">
      <c r="A7540" s="1" t="str">
        <f t="shared" si="2181"/>
        <v>卡卡杜-凤凰仓</v>
      </c>
      <c r="B7540" s="1" t="str">
        <f>"CK202410143291"</f>
        <v>CK202410143291</v>
      </c>
      <c r="C7540" s="1" t="str">
        <f>"DD2024101418055"</f>
        <v>DD2024101418055</v>
      </c>
      <c r="D7540" s="1" t="str">
        <f>"CK2024101431692"</f>
        <v>CK2024101431692</v>
      </c>
      <c r="E7540" s="1" t="str">
        <f>"6934961715110156057"</f>
        <v>6934961715110156057</v>
      </c>
      <c r="F7540" s="1" t="str">
        <f t="shared" si="2182"/>
        <v>花都四部-凤凰仓</v>
      </c>
      <c r="G7540" s="1" t="str">
        <f t="shared" si="2174"/>
        <v>卡卡杜个人护理店（抖店）</v>
      </c>
      <c r="H7540" s="1" t="str">
        <f t="shared" si="2183"/>
        <v>正常订单</v>
      </c>
      <c r="I7540" s="1" t="str">
        <f t="shared" si="2184"/>
        <v>已发货</v>
      </c>
      <c r="J7540" s="1" t="str">
        <f t="shared" si="2188"/>
        <v>3</v>
      </c>
      <c r="K7540" s="1">
        <v>2</v>
      </c>
      <c r="L7540" s="1" t="s">
        <v>20</v>
      </c>
      <c r="M7540" s="1" t="str">
        <f>"浙江省 台州市 临海市 古城街道"</f>
        <v>浙江省 台州市 临海市 古城街道</v>
      </c>
      <c r="N7540" s="1" t="str">
        <f t="shared" si="2187"/>
        <v>凡华云仓-韵达-抖音</v>
      </c>
      <c r="O7540" s="5">
        <v>320171083738299</v>
      </c>
      <c r="P7540" s="6">
        <v>0.35</v>
      </c>
      <c r="Q7540" s="11">
        <v>2.2999999999999998</v>
      </c>
      <c r="R7540" s="11"/>
      <c r="S7540" s="11"/>
      <c r="T7540" s="11"/>
      <c r="U7540" s="11">
        <f t="shared" si="2180"/>
        <v>2.2999999999999998</v>
      </c>
      <c r="W7540">
        <v>2.5</v>
      </c>
      <c r="X7540" s="1" t="s">
        <v>20</v>
      </c>
    </row>
    <row r="7541" spans="1:24" x14ac:dyDescent="0.25">
      <c r="A7541" s="1" t="str">
        <f t="shared" si="2181"/>
        <v>卡卡杜-凤凰仓</v>
      </c>
      <c r="B7541" s="1" t="str">
        <f>"CK202410143295"</f>
        <v>CK202410143295</v>
      </c>
      <c r="C7541" s="1" t="str">
        <f>"DD2024101418056"</f>
        <v>DD2024101418056</v>
      </c>
      <c r="D7541" s="1" t="str">
        <f>"CK2024101431691"</f>
        <v>CK2024101431691</v>
      </c>
      <c r="E7541" s="1" t="str">
        <f>"6934961427923081146"</f>
        <v>6934961427923081146</v>
      </c>
      <c r="F7541" s="1" t="str">
        <f t="shared" si="2182"/>
        <v>花都四部-凤凰仓</v>
      </c>
      <c r="G7541" s="1" t="str">
        <f t="shared" ref="G7541:G7559" si="2189">"卡卡杜个人护理店（抖店）"</f>
        <v>卡卡杜个人护理店（抖店）</v>
      </c>
      <c r="H7541" s="1" t="str">
        <f t="shared" si="2183"/>
        <v>正常订单</v>
      </c>
      <c r="I7541" s="1" t="str">
        <f t="shared" si="2184"/>
        <v>已发货</v>
      </c>
      <c r="J7541" s="1" t="str">
        <f t="shared" si="2188"/>
        <v>3</v>
      </c>
      <c r="K7541" s="1">
        <v>2</v>
      </c>
      <c r="L7541" s="1" t="s">
        <v>13</v>
      </c>
      <c r="M7541" s="1" t="str">
        <f>"江苏省 宿迁市 沭阳县 南湖街道"</f>
        <v>江苏省 宿迁市 沭阳县 南湖街道</v>
      </c>
      <c r="N7541" s="1" t="str">
        <f t="shared" si="2187"/>
        <v>凡华云仓-韵达-抖音</v>
      </c>
      <c r="O7541" s="5">
        <v>320171083738108</v>
      </c>
      <c r="P7541" s="6">
        <v>0.35</v>
      </c>
      <c r="Q7541" s="11">
        <v>2.2999999999999998</v>
      </c>
      <c r="R7541" s="11"/>
      <c r="S7541" s="11"/>
      <c r="T7541" s="11"/>
      <c r="U7541" s="11">
        <f t="shared" si="2180"/>
        <v>2.2999999999999998</v>
      </c>
      <c r="W7541">
        <v>2.5</v>
      </c>
      <c r="X7541" s="1" t="s">
        <v>13</v>
      </c>
    </row>
    <row r="7542" spans="1:24" x14ac:dyDescent="0.25">
      <c r="A7542" s="1" t="str">
        <f t="shared" si="2181"/>
        <v>卡卡杜-凤凰仓</v>
      </c>
      <c r="B7542" s="1" t="str">
        <f>"CK202410143271"</f>
        <v>CK202410143271</v>
      </c>
      <c r="C7542" s="1" t="str">
        <f>"DD2024101418032"</f>
        <v>DD2024101418032</v>
      </c>
      <c r="D7542" s="1" t="str">
        <f>"CK2024101431690"</f>
        <v>CK2024101431690</v>
      </c>
      <c r="E7542" s="1" t="str">
        <f>"6934970592261838677"</f>
        <v>6934970592261838677</v>
      </c>
      <c r="F7542" s="1" t="str">
        <f t="shared" si="2182"/>
        <v>花都四部-凤凰仓</v>
      </c>
      <c r="G7542" s="1" t="str">
        <f t="shared" si="2189"/>
        <v>卡卡杜个人护理店（抖店）</v>
      </c>
      <c r="H7542" s="1" t="str">
        <f t="shared" si="2183"/>
        <v>正常订单</v>
      </c>
      <c r="I7542" s="1" t="str">
        <f t="shared" si="2184"/>
        <v>已发货</v>
      </c>
      <c r="J7542" s="1" t="str">
        <f t="shared" si="2188"/>
        <v>3</v>
      </c>
      <c r="K7542" s="1">
        <v>2</v>
      </c>
      <c r="L7542" s="1" t="s">
        <v>41</v>
      </c>
      <c r="M7542" s="1" t="str">
        <f>"湖北省 武汉市 硚口区 荣华街道"</f>
        <v>湖北省 武汉市 硚口区 荣华街道</v>
      </c>
      <c r="N7542" s="1" t="str">
        <f t="shared" si="2187"/>
        <v>凡华云仓-韵达-抖音</v>
      </c>
      <c r="O7542" s="5">
        <v>320171083738019</v>
      </c>
      <c r="P7542" s="6">
        <v>0.35</v>
      </c>
      <c r="Q7542" s="11">
        <v>2.2999999999999998</v>
      </c>
      <c r="R7542" s="11"/>
      <c r="S7542" s="11"/>
      <c r="T7542" s="11"/>
      <c r="U7542" s="11">
        <f t="shared" si="2180"/>
        <v>2.2999999999999998</v>
      </c>
      <c r="W7542">
        <v>2.5</v>
      </c>
      <c r="X7542" s="1" t="s">
        <v>41</v>
      </c>
    </row>
    <row r="7543" spans="1:24" x14ac:dyDescent="0.25">
      <c r="A7543" s="1" t="str">
        <f t="shared" si="2181"/>
        <v>卡卡杜-凤凰仓</v>
      </c>
      <c r="B7543" s="1" t="str">
        <f>"CK202410143284"</f>
        <v>CK202410143284</v>
      </c>
      <c r="C7543" s="1" t="str">
        <f>"DD2024101418045"</f>
        <v>DD2024101418045</v>
      </c>
      <c r="D7543" s="1" t="str">
        <f>"CK2024101431689"</f>
        <v>CK2024101431689</v>
      </c>
      <c r="E7543" s="1" t="str">
        <f>"6934968138249475318"</f>
        <v>6934968138249475318</v>
      </c>
      <c r="F7543" s="1" t="str">
        <f t="shared" si="2182"/>
        <v>花都四部-凤凰仓</v>
      </c>
      <c r="G7543" s="1" t="str">
        <f t="shared" si="2189"/>
        <v>卡卡杜个人护理店（抖店）</v>
      </c>
      <c r="H7543" s="1" t="str">
        <f t="shared" si="2183"/>
        <v>正常订单</v>
      </c>
      <c r="I7543" s="1" t="str">
        <f t="shared" si="2184"/>
        <v>已发货</v>
      </c>
      <c r="J7543" s="1" t="str">
        <f t="shared" si="2188"/>
        <v>3</v>
      </c>
      <c r="K7543" s="1">
        <v>2</v>
      </c>
      <c r="L7543" s="1" t="s">
        <v>66</v>
      </c>
      <c r="M7543" s="1" t="str">
        <f>"内蒙古自治区 呼和浩特市 新城区 东风路街道"</f>
        <v>内蒙古自治区 呼和浩特市 新城区 东风路街道</v>
      </c>
      <c r="N7543" s="1" t="str">
        <f t="shared" si="2187"/>
        <v>凡华云仓-韵达-抖音</v>
      </c>
      <c r="O7543" s="5">
        <v>320171083737989</v>
      </c>
      <c r="P7543" s="6">
        <v>0.35</v>
      </c>
      <c r="Q7543" s="11">
        <v>2.2999999999999998</v>
      </c>
      <c r="R7543" s="11"/>
      <c r="S7543" s="11"/>
      <c r="T7543" s="11"/>
      <c r="U7543" s="11">
        <f t="shared" si="2180"/>
        <v>2.2999999999999998</v>
      </c>
      <c r="W7543">
        <v>2.5</v>
      </c>
      <c r="X7543" s="1" t="s">
        <v>66</v>
      </c>
    </row>
    <row r="7544" spans="1:24" x14ac:dyDescent="0.25">
      <c r="A7544" s="1" t="str">
        <f t="shared" si="2181"/>
        <v>卡卡杜-凤凰仓</v>
      </c>
      <c r="B7544" s="1" t="str">
        <f>"CK202410143265"</f>
        <v>CK202410143265</v>
      </c>
      <c r="C7544" s="1" t="str">
        <f>"DD2024101418027"</f>
        <v>DD2024101418027</v>
      </c>
      <c r="D7544" s="1" t="str">
        <f>"CK2024101431688"</f>
        <v>CK2024101431688</v>
      </c>
      <c r="E7544" s="1" t="str">
        <f>"6934966111301146408"</f>
        <v>6934966111301146408</v>
      </c>
      <c r="F7544" s="1" t="str">
        <f t="shared" si="2182"/>
        <v>花都四部-凤凰仓</v>
      </c>
      <c r="G7544" s="1" t="str">
        <f t="shared" si="2189"/>
        <v>卡卡杜个人护理店（抖店）</v>
      </c>
      <c r="H7544" s="1" t="str">
        <f t="shared" si="2183"/>
        <v>正常订单</v>
      </c>
      <c r="I7544" s="1" t="str">
        <f t="shared" si="2184"/>
        <v>已发货</v>
      </c>
      <c r="J7544" s="1" t="str">
        <f t="shared" si="2188"/>
        <v>3</v>
      </c>
      <c r="K7544" s="1">
        <v>2</v>
      </c>
      <c r="L7544" s="1" t="s">
        <v>13</v>
      </c>
      <c r="M7544" s="1" t="str">
        <f>"江苏省 无锡市 宜兴市 官林镇"</f>
        <v>江苏省 无锡市 宜兴市 官林镇</v>
      </c>
      <c r="N7544" s="1" t="str">
        <f t="shared" si="2187"/>
        <v>凡华云仓-韵达-抖音</v>
      </c>
      <c r="O7544" s="5">
        <v>320171083737884</v>
      </c>
      <c r="P7544" s="6">
        <v>0.35</v>
      </c>
      <c r="Q7544" s="11">
        <v>2.2999999999999998</v>
      </c>
      <c r="R7544" s="11"/>
      <c r="S7544" s="11"/>
      <c r="T7544" s="11"/>
      <c r="U7544" s="11">
        <f t="shared" si="2180"/>
        <v>2.2999999999999998</v>
      </c>
      <c r="W7544">
        <v>2.5</v>
      </c>
      <c r="X7544" s="1" t="s">
        <v>13</v>
      </c>
    </row>
    <row r="7545" spans="1:24" x14ac:dyDescent="0.25">
      <c r="A7545" s="1" t="str">
        <f t="shared" si="2181"/>
        <v>卡卡杜-凤凰仓</v>
      </c>
      <c r="B7545" s="1" t="str">
        <f>"CK202410143286"</f>
        <v>CK202410143286</v>
      </c>
      <c r="C7545" s="1" t="str">
        <f>"DD2024101418048"</f>
        <v>DD2024101418048</v>
      </c>
      <c r="D7545" s="1" t="str">
        <f>"CK2024101431687"</f>
        <v>CK2024101431687</v>
      </c>
      <c r="E7545" s="1" t="str">
        <f>"6934983848922321946"</f>
        <v>6934983848922321946</v>
      </c>
      <c r="F7545" s="1" t="str">
        <f t="shared" si="2182"/>
        <v>花都四部-凤凰仓</v>
      </c>
      <c r="G7545" s="1" t="str">
        <f t="shared" si="2189"/>
        <v>卡卡杜个人护理店（抖店）</v>
      </c>
      <c r="H7545" s="1" t="str">
        <f t="shared" si="2183"/>
        <v>正常订单</v>
      </c>
      <c r="I7545" s="1" t="str">
        <f t="shared" si="2184"/>
        <v>已发货</v>
      </c>
      <c r="J7545" s="1" t="str">
        <f t="shared" si="2188"/>
        <v>3</v>
      </c>
      <c r="K7545" s="1">
        <v>2</v>
      </c>
      <c r="L7545" s="1" t="s">
        <v>60</v>
      </c>
      <c r="M7545" s="1" t="str">
        <f>"云南省 玉溪市 通海县 "</f>
        <v xml:space="preserve">云南省 玉溪市 通海县 </v>
      </c>
      <c r="N7545" s="1" t="str">
        <f t="shared" si="2187"/>
        <v>凡华云仓-韵达-抖音</v>
      </c>
      <c r="O7545" s="5">
        <v>320171083737781</v>
      </c>
      <c r="P7545" s="6">
        <v>0.35</v>
      </c>
      <c r="Q7545" s="11">
        <v>2.2999999999999998</v>
      </c>
      <c r="R7545" s="11"/>
      <c r="S7545" s="11"/>
      <c r="T7545" s="11"/>
      <c r="U7545" s="11">
        <f t="shared" si="2180"/>
        <v>2.2999999999999998</v>
      </c>
      <c r="W7545">
        <v>2.5</v>
      </c>
      <c r="X7545" s="1" t="s">
        <v>60</v>
      </c>
    </row>
    <row r="7546" spans="1:24" x14ac:dyDescent="0.25">
      <c r="A7546" s="1" t="str">
        <f t="shared" si="2181"/>
        <v>卡卡杜-凤凰仓</v>
      </c>
      <c r="B7546" s="1" t="str">
        <f>"CK202410143278"</f>
        <v>CK202410143278</v>
      </c>
      <c r="C7546" s="1" t="str">
        <f>"DD2024101418039"</f>
        <v>DD2024101418039</v>
      </c>
      <c r="D7546" s="1" t="str">
        <f>"CK2024101431686"</f>
        <v>CK2024101431686</v>
      </c>
      <c r="E7546" s="1" t="str">
        <f>"6934979176602474461"</f>
        <v>6934979176602474461</v>
      </c>
      <c r="F7546" s="1" t="str">
        <f t="shared" si="2182"/>
        <v>花都四部-凤凰仓</v>
      </c>
      <c r="G7546" s="1" t="str">
        <f t="shared" si="2189"/>
        <v>卡卡杜个人护理店（抖店）</v>
      </c>
      <c r="H7546" s="1" t="str">
        <f t="shared" si="2183"/>
        <v>正常订单</v>
      </c>
      <c r="I7546" s="1" t="str">
        <f t="shared" si="2184"/>
        <v>已发货</v>
      </c>
      <c r="J7546" s="1" t="str">
        <f t="shared" si="2188"/>
        <v>3</v>
      </c>
      <c r="K7546" s="1">
        <v>2</v>
      </c>
      <c r="L7546" s="1" t="s">
        <v>22</v>
      </c>
      <c r="M7546" s="1" t="str">
        <f>"江西省 赣州市 南康区 东山街道"</f>
        <v>江西省 赣州市 南康区 东山街道</v>
      </c>
      <c r="N7546" s="1" t="str">
        <f t="shared" si="2187"/>
        <v>凡华云仓-韵达-抖音</v>
      </c>
      <c r="O7546" s="5">
        <v>320171083737680</v>
      </c>
      <c r="P7546" s="6">
        <v>0.35</v>
      </c>
      <c r="Q7546" s="11">
        <v>2.2999999999999998</v>
      </c>
      <c r="R7546" s="11"/>
      <c r="S7546" s="11"/>
      <c r="T7546" s="11"/>
      <c r="U7546" s="11">
        <f t="shared" si="2180"/>
        <v>2.2999999999999998</v>
      </c>
      <c r="W7546">
        <v>2.5</v>
      </c>
      <c r="X7546" s="1" t="s">
        <v>22</v>
      </c>
    </row>
    <row r="7547" spans="1:24" x14ac:dyDescent="0.25">
      <c r="A7547" s="1" t="str">
        <f t="shared" si="2181"/>
        <v>卡卡杜-凤凰仓</v>
      </c>
      <c r="B7547" s="1" t="str">
        <f>"CK202410143277"</f>
        <v>CK202410143277</v>
      </c>
      <c r="C7547" s="1" t="str">
        <f>"DD2024101418038"</f>
        <v>DD2024101418038</v>
      </c>
      <c r="D7547" s="1" t="str">
        <f>"CK2024101431685"</f>
        <v>CK2024101431685</v>
      </c>
      <c r="E7547" s="1" t="str">
        <f>"6934992574711076545"</f>
        <v>6934992574711076545</v>
      </c>
      <c r="F7547" s="1" t="str">
        <f t="shared" si="2182"/>
        <v>花都四部-凤凰仓</v>
      </c>
      <c r="G7547" s="1" t="str">
        <f t="shared" si="2189"/>
        <v>卡卡杜个人护理店（抖店）</v>
      </c>
      <c r="H7547" s="1" t="str">
        <f t="shared" si="2183"/>
        <v>正常订单</v>
      </c>
      <c r="I7547" s="1" t="str">
        <f t="shared" si="2184"/>
        <v>已发货</v>
      </c>
      <c r="J7547" s="1" t="str">
        <f t="shared" si="2188"/>
        <v>3</v>
      </c>
      <c r="K7547" s="1">
        <v>2</v>
      </c>
      <c r="L7547" s="1" t="s">
        <v>105</v>
      </c>
      <c r="M7547" s="1" t="str">
        <f>"北京 北京市 大兴区 青云店镇"</f>
        <v>北京 北京市 大兴区 青云店镇</v>
      </c>
      <c r="N7547" s="1" t="str">
        <f t="shared" si="2187"/>
        <v>凡华云仓-韵达-抖音</v>
      </c>
      <c r="O7547" s="5">
        <v>320171083737581</v>
      </c>
      <c r="P7547" s="6">
        <v>0.35</v>
      </c>
      <c r="Q7547" s="11">
        <v>2.2999999999999998</v>
      </c>
      <c r="R7547" s="11"/>
      <c r="S7547" s="11"/>
      <c r="T7547" s="11"/>
      <c r="U7547" s="11">
        <f t="shared" si="2180"/>
        <v>2.2999999999999998</v>
      </c>
      <c r="W7547">
        <v>2.5</v>
      </c>
      <c r="X7547" s="1" t="s">
        <v>105</v>
      </c>
    </row>
    <row r="7548" spans="1:24" x14ac:dyDescent="0.25">
      <c r="A7548" s="1" t="str">
        <f t="shared" si="2181"/>
        <v>卡卡杜-凤凰仓</v>
      </c>
      <c r="B7548" s="1" t="str">
        <f>"CK202410143276"</f>
        <v>CK202410143276</v>
      </c>
      <c r="C7548" s="1" t="str">
        <f>"DD2024101418036"</f>
        <v>DD2024101418036</v>
      </c>
      <c r="D7548" s="1" t="str">
        <f>"CK2024101431684"</f>
        <v>CK2024101431684</v>
      </c>
      <c r="E7548" s="1" t="str">
        <f>"6934970647231599922"</f>
        <v>6934970647231599922</v>
      </c>
      <c r="F7548" s="1" t="str">
        <f t="shared" si="2182"/>
        <v>花都四部-凤凰仓</v>
      </c>
      <c r="G7548" s="1" t="str">
        <f t="shared" si="2189"/>
        <v>卡卡杜个人护理店（抖店）</v>
      </c>
      <c r="H7548" s="1" t="str">
        <f t="shared" si="2183"/>
        <v>正常订单</v>
      </c>
      <c r="I7548" s="1" t="str">
        <f t="shared" si="2184"/>
        <v>已发货</v>
      </c>
      <c r="J7548" s="1" t="str">
        <f t="shared" si="2188"/>
        <v>3</v>
      </c>
      <c r="K7548" s="1">
        <v>2</v>
      </c>
      <c r="L7548" s="1" t="s">
        <v>20</v>
      </c>
      <c r="M7548" s="1" t="str">
        <f>"浙江省 台州市 仙居县 官路镇"</f>
        <v>浙江省 台州市 仙居县 官路镇</v>
      </c>
      <c r="N7548" s="1" t="str">
        <f t="shared" si="2187"/>
        <v>凡华云仓-韵达-抖音</v>
      </c>
      <c r="O7548" s="5">
        <v>320171083737484</v>
      </c>
      <c r="P7548" s="6">
        <v>0.35</v>
      </c>
      <c r="Q7548" s="11">
        <v>2.2999999999999998</v>
      </c>
      <c r="R7548" s="11"/>
      <c r="S7548" s="11"/>
      <c r="T7548" s="11"/>
      <c r="U7548" s="11">
        <f t="shared" si="2180"/>
        <v>2.2999999999999998</v>
      </c>
      <c r="W7548">
        <v>2.5</v>
      </c>
      <c r="X7548" s="1" t="s">
        <v>20</v>
      </c>
    </row>
    <row r="7549" spans="1:24" x14ac:dyDescent="0.25">
      <c r="A7549" s="1" t="str">
        <f t="shared" si="2181"/>
        <v>卡卡杜-凤凰仓</v>
      </c>
      <c r="B7549" s="1" t="str">
        <f>"CK202410143359"</f>
        <v>CK202410143359</v>
      </c>
      <c r="C7549" s="1" t="str">
        <f>"DD2024101418120"</f>
        <v>DD2024101418120</v>
      </c>
      <c r="D7549" s="1" t="str">
        <f>"CK2024101431683"</f>
        <v>CK2024101431683</v>
      </c>
      <c r="E7549" s="1" t="str">
        <f>"6934961667564442672"</f>
        <v>6934961667564442672</v>
      </c>
      <c r="F7549" s="1" t="str">
        <f t="shared" si="2182"/>
        <v>花都四部-凤凰仓</v>
      </c>
      <c r="G7549" s="1" t="str">
        <f t="shared" si="2189"/>
        <v>卡卡杜个人护理店（抖店）</v>
      </c>
      <c r="H7549" s="1" t="str">
        <f t="shared" si="2183"/>
        <v>正常订单</v>
      </c>
      <c r="I7549" s="1" t="str">
        <f t="shared" si="2184"/>
        <v>已发货</v>
      </c>
      <c r="J7549" s="1" t="str">
        <f t="shared" si="2188"/>
        <v>3</v>
      </c>
      <c r="K7549" s="1">
        <v>3</v>
      </c>
      <c r="L7549" s="1" t="s">
        <v>60</v>
      </c>
      <c r="M7549" s="1" t="str">
        <f>"云南省 昆明市 盘龙区 联盟街道"</f>
        <v>云南省 昆明市 盘龙区 联盟街道</v>
      </c>
      <c r="N7549" s="1" t="str">
        <f t="shared" si="2187"/>
        <v>凡华云仓-韵达-抖音</v>
      </c>
      <c r="O7549" s="5">
        <v>320171083737389</v>
      </c>
      <c r="P7549" s="6">
        <v>0.34</v>
      </c>
      <c r="Q7549" s="11">
        <v>2.2999999999999998</v>
      </c>
      <c r="R7549" s="11"/>
      <c r="S7549" s="11"/>
      <c r="T7549" s="11"/>
      <c r="U7549" s="11">
        <f t="shared" si="2180"/>
        <v>2.2999999999999998</v>
      </c>
      <c r="W7549">
        <v>2.5</v>
      </c>
      <c r="X7549" s="1" t="s">
        <v>60</v>
      </c>
    </row>
    <row r="7550" spans="1:24" x14ac:dyDescent="0.25">
      <c r="A7550" s="1" t="str">
        <f t="shared" si="2181"/>
        <v>卡卡杜-凤凰仓</v>
      </c>
      <c r="B7550" s="1" t="str">
        <f>"CK202410143273"</f>
        <v>CK202410143273</v>
      </c>
      <c r="C7550" s="1" t="str">
        <f>"DD2024101418035"</f>
        <v>DD2024101418035</v>
      </c>
      <c r="D7550" s="1" t="str">
        <f>"CK2024101431682"</f>
        <v>CK2024101431682</v>
      </c>
      <c r="E7550" s="1" t="str">
        <f>"6934976814283494658"</f>
        <v>6934976814283494658</v>
      </c>
      <c r="F7550" s="1" t="str">
        <f t="shared" si="2182"/>
        <v>花都四部-凤凰仓</v>
      </c>
      <c r="G7550" s="1" t="str">
        <f t="shared" si="2189"/>
        <v>卡卡杜个人护理店（抖店）</v>
      </c>
      <c r="H7550" s="1" t="str">
        <f t="shared" si="2183"/>
        <v>正常订单</v>
      </c>
      <c r="I7550" s="1" t="str">
        <f t="shared" si="2184"/>
        <v>已发货</v>
      </c>
      <c r="J7550" s="1" t="str">
        <f t="shared" si="2188"/>
        <v>3</v>
      </c>
      <c r="K7550" s="1">
        <v>2</v>
      </c>
      <c r="L7550" s="1" t="s">
        <v>36</v>
      </c>
      <c r="M7550" s="1" t="str">
        <f>"安徽省 蚌埠市 怀远县 榴城镇"</f>
        <v>安徽省 蚌埠市 怀远县 榴城镇</v>
      </c>
      <c r="N7550" s="1" t="str">
        <f t="shared" si="2187"/>
        <v>凡华云仓-韵达-抖音</v>
      </c>
      <c r="O7550" s="5">
        <v>320171088613402</v>
      </c>
      <c r="P7550" s="6">
        <v>0.35</v>
      </c>
      <c r="Q7550" s="11">
        <v>2.2999999999999998</v>
      </c>
      <c r="R7550" s="11"/>
      <c r="S7550" s="11"/>
      <c r="T7550" s="11"/>
      <c r="U7550" s="11">
        <f t="shared" si="2180"/>
        <v>2.2999999999999998</v>
      </c>
      <c r="W7550">
        <v>2.5</v>
      </c>
      <c r="X7550" s="1" t="s">
        <v>36</v>
      </c>
    </row>
    <row r="7551" spans="1:24" x14ac:dyDescent="0.25">
      <c r="A7551" s="1" t="str">
        <f t="shared" si="2181"/>
        <v>卡卡杜-凤凰仓</v>
      </c>
      <c r="B7551" s="1" t="str">
        <f>"CK202410143275"</f>
        <v>CK202410143275</v>
      </c>
      <c r="C7551" s="1" t="str">
        <f>"DD2024101418037"</f>
        <v>DD2024101418037</v>
      </c>
      <c r="D7551" s="1" t="str">
        <f>"CK2024101431681"</f>
        <v>CK2024101431681</v>
      </c>
      <c r="E7551" s="1" t="str">
        <f>"6934961633483167157"</f>
        <v>6934961633483167157</v>
      </c>
      <c r="F7551" s="1" t="str">
        <f t="shared" si="2182"/>
        <v>花都四部-凤凰仓</v>
      </c>
      <c r="G7551" s="1" t="str">
        <f t="shared" si="2189"/>
        <v>卡卡杜个人护理店（抖店）</v>
      </c>
      <c r="H7551" s="1" t="str">
        <f t="shared" si="2183"/>
        <v>正常订单</v>
      </c>
      <c r="I7551" s="1" t="str">
        <f t="shared" si="2184"/>
        <v>已发货</v>
      </c>
      <c r="J7551" s="1" t="str">
        <f t="shared" si="2188"/>
        <v>3</v>
      </c>
      <c r="K7551" s="1">
        <v>2</v>
      </c>
      <c r="L7551" s="1" t="s">
        <v>13</v>
      </c>
      <c r="M7551" s="1" t="str">
        <f>"江苏省 盐城市 盐都区 新都街道"</f>
        <v>江苏省 盐城市 盐都区 新都街道</v>
      </c>
      <c r="N7551" s="1" t="str">
        <f t="shared" si="2187"/>
        <v>凡华云仓-韵达-抖音</v>
      </c>
      <c r="O7551" s="5">
        <v>320171088613307</v>
      </c>
      <c r="P7551" s="6">
        <v>0.35</v>
      </c>
      <c r="Q7551" s="11">
        <v>2.2999999999999998</v>
      </c>
      <c r="R7551" s="11"/>
      <c r="S7551" s="11"/>
      <c r="T7551" s="11"/>
      <c r="U7551" s="11">
        <f t="shared" si="2180"/>
        <v>2.2999999999999998</v>
      </c>
      <c r="W7551">
        <v>2.5</v>
      </c>
      <c r="X7551" s="1" t="s">
        <v>13</v>
      </c>
    </row>
    <row r="7552" spans="1:24" x14ac:dyDescent="0.25">
      <c r="A7552" s="1" t="str">
        <f t="shared" si="2181"/>
        <v>卡卡杜-凤凰仓</v>
      </c>
      <c r="B7552" s="1" t="str">
        <f>"CK202410143263"</f>
        <v>CK202410143263</v>
      </c>
      <c r="C7552" s="1" t="str">
        <f>"DD2024101418025"</f>
        <v>DD2024101418025</v>
      </c>
      <c r="D7552" s="1" t="str">
        <f>"CK2024101431680"</f>
        <v>CK2024101431680</v>
      </c>
      <c r="E7552" s="1" t="str">
        <f>"6934957013509281704"</f>
        <v>6934957013509281704</v>
      </c>
      <c r="F7552" s="1" t="str">
        <f t="shared" si="2182"/>
        <v>花都四部-凤凰仓</v>
      </c>
      <c r="G7552" s="1" t="str">
        <f t="shared" si="2189"/>
        <v>卡卡杜个人护理店（抖店）</v>
      </c>
      <c r="H7552" s="1" t="str">
        <f t="shared" si="2183"/>
        <v>正常订单</v>
      </c>
      <c r="I7552" s="1" t="str">
        <f t="shared" si="2184"/>
        <v>已发货</v>
      </c>
      <c r="J7552" s="1" t="str">
        <f t="shared" si="2188"/>
        <v>3</v>
      </c>
      <c r="K7552" s="1">
        <v>2</v>
      </c>
      <c r="L7552" s="1" t="s">
        <v>20</v>
      </c>
      <c r="M7552" s="1" t="str">
        <f>"浙江省 温州市 苍南县 金乡镇"</f>
        <v>浙江省 温州市 苍南县 金乡镇</v>
      </c>
      <c r="N7552" s="1" t="str">
        <f t="shared" si="2187"/>
        <v>凡华云仓-韵达-抖音</v>
      </c>
      <c r="O7552" s="5">
        <v>320171088613214</v>
      </c>
      <c r="P7552" s="6">
        <v>0.35</v>
      </c>
      <c r="Q7552" s="11">
        <v>2.2999999999999998</v>
      </c>
      <c r="R7552" s="11"/>
      <c r="S7552" s="11"/>
      <c r="T7552" s="11"/>
      <c r="U7552" s="11">
        <f t="shared" si="2180"/>
        <v>2.2999999999999998</v>
      </c>
      <c r="W7552">
        <v>2.5</v>
      </c>
      <c r="X7552" s="1" t="s">
        <v>20</v>
      </c>
    </row>
    <row r="7553" spans="1:24" x14ac:dyDescent="0.25">
      <c r="A7553" s="1" t="str">
        <f t="shared" si="2181"/>
        <v>卡卡杜-凤凰仓</v>
      </c>
      <c r="B7553" s="1" t="str">
        <f>"CK202410143269"</f>
        <v>CK202410143269</v>
      </c>
      <c r="C7553" s="1" t="str">
        <f>"DD2024101418031"</f>
        <v>DD2024101418031</v>
      </c>
      <c r="D7553" s="1" t="str">
        <f>"CK2024101431679"</f>
        <v>CK2024101431679</v>
      </c>
      <c r="E7553" s="1" t="str">
        <f>"6934966079131817028"</f>
        <v>6934966079131817028</v>
      </c>
      <c r="F7553" s="1" t="str">
        <f t="shared" si="2182"/>
        <v>花都四部-凤凰仓</v>
      </c>
      <c r="G7553" s="1" t="str">
        <f t="shared" si="2189"/>
        <v>卡卡杜个人护理店（抖店）</v>
      </c>
      <c r="H7553" s="1" t="str">
        <f t="shared" si="2183"/>
        <v>正常订单</v>
      </c>
      <c r="I7553" s="1" t="str">
        <f t="shared" si="2184"/>
        <v>已发货</v>
      </c>
      <c r="J7553" s="1" t="str">
        <f t="shared" si="2188"/>
        <v>3</v>
      </c>
      <c r="K7553" s="1">
        <v>2</v>
      </c>
      <c r="L7553" s="1" t="s">
        <v>20</v>
      </c>
      <c r="M7553" s="1" t="str">
        <f>"浙江省 台州市 临海市 杜桥镇"</f>
        <v>浙江省 台州市 临海市 杜桥镇</v>
      </c>
      <c r="N7553" s="1" t="str">
        <f t="shared" si="2187"/>
        <v>凡华云仓-韵达-抖音</v>
      </c>
      <c r="O7553" s="5">
        <v>320171088613123</v>
      </c>
      <c r="P7553" s="6">
        <v>0.35</v>
      </c>
      <c r="Q7553" s="11">
        <v>2.2999999999999998</v>
      </c>
      <c r="R7553" s="11"/>
      <c r="S7553" s="11"/>
      <c r="T7553" s="11"/>
      <c r="U7553" s="11">
        <f t="shared" si="2180"/>
        <v>2.2999999999999998</v>
      </c>
      <c r="W7553">
        <v>2.5</v>
      </c>
      <c r="X7553" s="1" t="s">
        <v>20</v>
      </c>
    </row>
    <row r="7554" spans="1:24" x14ac:dyDescent="0.25">
      <c r="A7554" s="1" t="str">
        <f t="shared" si="2181"/>
        <v>卡卡杜-凤凰仓</v>
      </c>
      <c r="B7554" s="1" t="str">
        <f>"CK202410143279"</f>
        <v>CK202410143279</v>
      </c>
      <c r="C7554" s="1" t="str">
        <f>"DD2024101418040"</f>
        <v>DD2024101418040</v>
      </c>
      <c r="D7554" s="1" t="str">
        <f>"CK2024101431678"</f>
        <v>CK2024101431678</v>
      </c>
      <c r="E7554" s="1" t="str">
        <f>"6934986301186643200"</f>
        <v>6934986301186643200</v>
      </c>
      <c r="F7554" s="1" t="str">
        <f t="shared" si="2182"/>
        <v>花都四部-凤凰仓</v>
      </c>
      <c r="G7554" s="1" t="str">
        <f t="shared" si="2189"/>
        <v>卡卡杜个人护理店（抖店）</v>
      </c>
      <c r="H7554" s="1" t="str">
        <f t="shared" si="2183"/>
        <v>正常订单</v>
      </c>
      <c r="I7554" s="1" t="str">
        <f t="shared" si="2184"/>
        <v>已发货</v>
      </c>
      <c r="J7554" s="1" t="str">
        <f t="shared" si="2188"/>
        <v>3</v>
      </c>
      <c r="K7554" s="1">
        <v>2</v>
      </c>
      <c r="L7554" s="1" t="s">
        <v>13</v>
      </c>
      <c r="M7554" s="1" t="str">
        <f>"江苏省 宿迁市 沭阳县 沭城街道"</f>
        <v>江苏省 宿迁市 沭阳县 沭城街道</v>
      </c>
      <c r="N7554" s="1" t="str">
        <f t="shared" si="2187"/>
        <v>凡华云仓-韵达-抖音</v>
      </c>
      <c r="O7554" s="5">
        <v>320171088613034</v>
      </c>
      <c r="P7554" s="6">
        <v>0.35</v>
      </c>
      <c r="Q7554" s="11">
        <v>2.2999999999999998</v>
      </c>
      <c r="R7554" s="11"/>
      <c r="S7554" s="11"/>
      <c r="T7554" s="11"/>
      <c r="U7554" s="11">
        <f t="shared" si="2180"/>
        <v>2.2999999999999998</v>
      </c>
      <c r="W7554">
        <v>2.5</v>
      </c>
      <c r="X7554" s="1" t="s">
        <v>13</v>
      </c>
    </row>
    <row r="7555" spans="1:24" x14ac:dyDescent="0.25">
      <c r="A7555" s="1" t="str">
        <f t="shared" si="2181"/>
        <v>卡卡杜-凤凰仓</v>
      </c>
      <c r="B7555" s="1" t="str">
        <f>"CK202410143267"</f>
        <v>CK202410143267</v>
      </c>
      <c r="C7555" s="1" t="str">
        <f>"DD2024101418028"</f>
        <v>DD2024101418028</v>
      </c>
      <c r="D7555" s="1" t="str">
        <f>"CK2024101431677"</f>
        <v>CK2024101431677</v>
      </c>
      <c r="E7555" s="1" t="str">
        <f>"6934974482349561292"</f>
        <v>6934974482349561292</v>
      </c>
      <c r="F7555" s="1" t="str">
        <f t="shared" si="2182"/>
        <v>花都四部-凤凰仓</v>
      </c>
      <c r="G7555" s="1" t="str">
        <f t="shared" si="2189"/>
        <v>卡卡杜个人护理店（抖店）</v>
      </c>
      <c r="H7555" s="1" t="str">
        <f t="shared" si="2183"/>
        <v>正常订单</v>
      </c>
      <c r="I7555" s="1" t="str">
        <f t="shared" si="2184"/>
        <v>已发货</v>
      </c>
      <c r="J7555" s="1" t="str">
        <f t="shared" si="2188"/>
        <v>3</v>
      </c>
      <c r="K7555" s="1">
        <v>2</v>
      </c>
      <c r="L7555" s="1" t="s">
        <v>105</v>
      </c>
      <c r="M7555" s="1" t="str">
        <f>"北京 北京市 海淀区 田村路街道"</f>
        <v>北京 北京市 海淀区 田村路街道</v>
      </c>
      <c r="N7555" s="1" t="str">
        <f t="shared" si="2187"/>
        <v>凡华云仓-韵达-抖音</v>
      </c>
      <c r="O7555" s="5">
        <v>320171088612914</v>
      </c>
      <c r="P7555" s="6">
        <v>0.35</v>
      </c>
      <c r="Q7555" s="11">
        <v>2.2999999999999998</v>
      </c>
      <c r="R7555" s="11"/>
      <c r="S7555" s="11"/>
      <c r="T7555" s="11"/>
      <c r="U7555" s="11">
        <f t="shared" ref="U7555:U7618" si="2190">T7555+S7555+R7555+Q7555</f>
        <v>2.2999999999999998</v>
      </c>
      <c r="W7555">
        <v>2.5</v>
      </c>
      <c r="X7555" s="1" t="s">
        <v>105</v>
      </c>
    </row>
    <row r="7556" spans="1:24" x14ac:dyDescent="0.25">
      <c r="A7556" s="1" t="str">
        <f t="shared" si="2181"/>
        <v>卡卡杜-凤凰仓</v>
      </c>
      <c r="B7556" s="1" t="str">
        <f>"CK202410143268"</f>
        <v>CK202410143268</v>
      </c>
      <c r="C7556" s="1" t="str">
        <f>"DD2024101418029"</f>
        <v>DD2024101418029</v>
      </c>
      <c r="D7556" s="1" t="str">
        <f>"CK2024101431676"</f>
        <v>CK2024101431676</v>
      </c>
      <c r="E7556" s="1" t="str">
        <f>"6934961503565846504"</f>
        <v>6934961503565846504</v>
      </c>
      <c r="F7556" s="1" t="str">
        <f t="shared" si="2182"/>
        <v>花都四部-凤凰仓</v>
      </c>
      <c r="G7556" s="1" t="str">
        <f t="shared" si="2189"/>
        <v>卡卡杜个人护理店（抖店）</v>
      </c>
      <c r="H7556" s="1" t="str">
        <f t="shared" si="2183"/>
        <v>正常订单</v>
      </c>
      <c r="I7556" s="1" t="str">
        <f t="shared" si="2184"/>
        <v>已发货</v>
      </c>
      <c r="J7556" s="1" t="str">
        <f t="shared" si="2188"/>
        <v>3</v>
      </c>
      <c r="K7556" s="1">
        <v>2</v>
      </c>
      <c r="L7556" s="1" t="s">
        <v>20</v>
      </c>
      <c r="M7556" s="1" t="str">
        <f>"浙江省 宁波市 镇海区 庄市街道"</f>
        <v>浙江省 宁波市 镇海区 庄市街道</v>
      </c>
      <c r="N7556" s="1" t="str">
        <f t="shared" si="2187"/>
        <v>凡华云仓-韵达-抖音</v>
      </c>
      <c r="O7556" s="5">
        <v>320171088612809</v>
      </c>
      <c r="P7556" s="6">
        <v>0.35</v>
      </c>
      <c r="Q7556" s="11">
        <v>2.2999999999999998</v>
      </c>
      <c r="R7556" s="11"/>
      <c r="S7556" s="11"/>
      <c r="T7556" s="11"/>
      <c r="U7556" s="11">
        <f t="shared" si="2190"/>
        <v>2.2999999999999998</v>
      </c>
      <c r="W7556">
        <v>2.5</v>
      </c>
      <c r="X7556" s="1" t="s">
        <v>20</v>
      </c>
    </row>
    <row r="7557" spans="1:24" x14ac:dyDescent="0.25">
      <c r="A7557" s="1" t="str">
        <f t="shared" ref="A7557:A7620" si="2191">"卡卡杜-凤凰仓"</f>
        <v>卡卡杜-凤凰仓</v>
      </c>
      <c r="B7557" s="1" t="str">
        <f>"CK202410143270"</f>
        <v>CK202410143270</v>
      </c>
      <c r="C7557" s="1" t="str">
        <f>"DD2024101418030"</f>
        <v>DD2024101418030</v>
      </c>
      <c r="D7557" s="1" t="str">
        <f>"CK2024101431675"</f>
        <v>CK2024101431675</v>
      </c>
      <c r="E7557" s="1" t="str">
        <f>"6934983704253109879"</f>
        <v>6934983704253109879</v>
      </c>
      <c r="F7557" s="1" t="str">
        <f t="shared" ref="F7557:F7620" si="2192">"花都四部-凤凰仓"</f>
        <v>花都四部-凤凰仓</v>
      </c>
      <c r="G7557" s="1" t="str">
        <f t="shared" si="2189"/>
        <v>卡卡杜个人护理店（抖店）</v>
      </c>
      <c r="H7557" s="1" t="str">
        <f t="shared" ref="H7557:H7620" si="2193">"正常订单"</f>
        <v>正常订单</v>
      </c>
      <c r="I7557" s="1" t="str">
        <f t="shared" ref="I7557:I7620" si="2194">"已发货"</f>
        <v>已发货</v>
      </c>
      <c r="J7557" s="1" t="str">
        <f t="shared" si="2188"/>
        <v>3</v>
      </c>
      <c r="K7557" s="1">
        <v>2</v>
      </c>
      <c r="L7557" s="1" t="s">
        <v>24</v>
      </c>
      <c r="M7557" s="1" t="str">
        <f>"福建省 泉州市 德化县 浔中镇"</f>
        <v>福建省 泉州市 德化县 浔中镇</v>
      </c>
      <c r="N7557" s="1" t="str">
        <f t="shared" si="2187"/>
        <v>凡华云仓-韵达-抖音</v>
      </c>
      <c r="O7557" s="5">
        <v>320171088612706</v>
      </c>
      <c r="P7557" s="6">
        <v>0.35</v>
      </c>
      <c r="Q7557" s="11">
        <v>2.2999999999999998</v>
      </c>
      <c r="R7557" s="11"/>
      <c r="S7557" s="11"/>
      <c r="T7557" s="11"/>
      <c r="U7557" s="11">
        <f t="shared" si="2190"/>
        <v>2.2999999999999998</v>
      </c>
      <c r="W7557">
        <v>2.5</v>
      </c>
      <c r="X7557" s="1" t="s">
        <v>24</v>
      </c>
    </row>
    <row r="7558" spans="1:24" x14ac:dyDescent="0.25">
      <c r="A7558" s="1" t="str">
        <f t="shared" si="2191"/>
        <v>卡卡杜-凤凰仓</v>
      </c>
      <c r="B7558" s="1" t="str">
        <f>"CK202410143323"</f>
        <v>CK202410143323</v>
      </c>
      <c r="C7558" s="1" t="str">
        <f>"DD2024101418084"</f>
        <v>DD2024101418084</v>
      </c>
      <c r="D7558" s="1" t="str">
        <f>"CK2024101431674"</f>
        <v>CK2024101431674</v>
      </c>
      <c r="E7558" s="1" t="str">
        <f>"6934933099051489207"</f>
        <v>6934933099051489207</v>
      </c>
      <c r="F7558" s="1" t="str">
        <f t="shared" si="2192"/>
        <v>花都四部-凤凰仓</v>
      </c>
      <c r="G7558" s="1" t="str">
        <f t="shared" si="2189"/>
        <v>卡卡杜个人护理店（抖店）</v>
      </c>
      <c r="H7558" s="1" t="str">
        <f t="shared" si="2193"/>
        <v>正常订单</v>
      </c>
      <c r="I7558" s="1" t="str">
        <f t="shared" si="2194"/>
        <v>已发货</v>
      </c>
      <c r="J7558" s="1" t="str">
        <f t="shared" si="2188"/>
        <v>3</v>
      </c>
      <c r="K7558" s="1">
        <v>2</v>
      </c>
      <c r="L7558" s="1" t="s">
        <v>54</v>
      </c>
      <c r="M7558" s="1" t="str">
        <f>"黑龙江省 大兴安岭地区 大兴安岭辖区 东山街道"</f>
        <v>黑龙江省 大兴安岭地区 大兴安岭辖区 东山街道</v>
      </c>
      <c r="N7558" s="1" t="str">
        <f t="shared" si="2187"/>
        <v>凡华云仓-韵达-抖音</v>
      </c>
      <c r="O7558" s="5">
        <v>320171088612605</v>
      </c>
      <c r="P7558" s="6">
        <v>0.35</v>
      </c>
      <c r="Q7558" s="11">
        <v>2.2999999999999998</v>
      </c>
      <c r="R7558" s="11"/>
      <c r="S7558" s="11"/>
      <c r="T7558" s="11"/>
      <c r="U7558" s="11">
        <f t="shared" si="2190"/>
        <v>2.2999999999999998</v>
      </c>
      <c r="W7558">
        <v>2.5</v>
      </c>
      <c r="X7558" s="1" t="s">
        <v>54</v>
      </c>
    </row>
    <row r="7559" spans="1:24" x14ac:dyDescent="0.25">
      <c r="A7559" s="1" t="str">
        <f t="shared" si="2191"/>
        <v>卡卡杜-凤凰仓</v>
      </c>
      <c r="B7559" s="1" t="str">
        <f>"CK202410143274"</f>
        <v>CK202410143274</v>
      </c>
      <c r="C7559" s="1" t="str">
        <f>"DD2024101418033"</f>
        <v>DD2024101418033</v>
      </c>
      <c r="D7559" s="1" t="str">
        <f>"CK2024101431673"</f>
        <v>CK2024101431673</v>
      </c>
      <c r="E7559" s="1" t="str">
        <f>"6934974541192828223"</f>
        <v>6934974541192828223</v>
      </c>
      <c r="F7559" s="1" t="str">
        <f t="shared" si="2192"/>
        <v>花都四部-凤凰仓</v>
      </c>
      <c r="G7559" s="1" t="str">
        <f t="shared" si="2189"/>
        <v>卡卡杜个人护理店（抖店）</v>
      </c>
      <c r="H7559" s="1" t="str">
        <f t="shared" si="2193"/>
        <v>正常订单</v>
      </c>
      <c r="I7559" s="1" t="str">
        <f t="shared" si="2194"/>
        <v>已发货</v>
      </c>
      <c r="J7559" s="1" t="str">
        <f t="shared" si="2188"/>
        <v>3</v>
      </c>
      <c r="K7559" s="1">
        <v>2</v>
      </c>
      <c r="L7559" s="1" t="s">
        <v>20</v>
      </c>
      <c r="M7559" s="1" t="str">
        <f>"浙江省 金华市 义乌市 稠城街道"</f>
        <v>浙江省 金华市 义乌市 稠城街道</v>
      </c>
      <c r="N7559" s="1" t="str">
        <f t="shared" si="2187"/>
        <v>凡华云仓-韵达-抖音</v>
      </c>
      <c r="O7559" s="5">
        <v>320171088612506</v>
      </c>
      <c r="P7559" s="6">
        <v>0.35</v>
      </c>
      <c r="Q7559" s="11">
        <v>2.2999999999999998</v>
      </c>
      <c r="R7559" s="11"/>
      <c r="S7559" s="11"/>
      <c r="T7559" s="11"/>
      <c r="U7559" s="11">
        <f t="shared" si="2190"/>
        <v>2.2999999999999998</v>
      </c>
      <c r="W7559">
        <v>2.5</v>
      </c>
      <c r="X7559" s="1" t="s">
        <v>20</v>
      </c>
    </row>
    <row r="7560" spans="1:24" x14ac:dyDescent="0.25">
      <c r="A7560" s="1" t="str">
        <f t="shared" si="2191"/>
        <v>卡卡杜-凤凰仓</v>
      </c>
      <c r="B7560" s="1" t="str">
        <f>"CK2024101320372"</f>
        <v>CK2024101320372</v>
      </c>
      <c r="C7560" s="1" t="str">
        <f>"DD2024101361940"</f>
        <v>DD2024101361940</v>
      </c>
      <c r="D7560" s="1" t="str">
        <f>"CK2024101351780"</f>
        <v>CK2024101351780</v>
      </c>
      <c r="E7560" s="1" t="str">
        <f>"KKD202401013YP001"</f>
        <v>KKD202401013YP001</v>
      </c>
      <c r="F7560" s="1" t="str">
        <f t="shared" si="2192"/>
        <v>花都四部-凤凰仓</v>
      </c>
      <c r="G7560" s="1" t="str">
        <f t="shared" ref="G7560:G7565" si="2195">"卡卡杜全欣样品"</f>
        <v>卡卡杜全欣样品</v>
      </c>
      <c r="H7560" s="1" t="str">
        <f t="shared" si="2193"/>
        <v>正常订单</v>
      </c>
      <c r="I7560" s="1" t="str">
        <f t="shared" si="2194"/>
        <v>已发货</v>
      </c>
      <c r="J7560" s="1" t="str">
        <f t="shared" ref="J7560:J7562" si="2196">"5"</f>
        <v>5</v>
      </c>
      <c r="K7560" s="1">
        <v>4</v>
      </c>
      <c r="L7560" s="1" t="s">
        <v>52</v>
      </c>
      <c r="M7560" s="1" t="str">
        <f>"甘肃省 陇南市 徽县 "</f>
        <v xml:space="preserve">甘肃省 陇南市 徽县 </v>
      </c>
      <c r="N7560" s="1" t="str">
        <f t="shared" ref="N7560:N7565" si="2197">"凡华云仓-韵达-淘宝"</f>
        <v>凡华云仓-韵达-淘宝</v>
      </c>
      <c r="O7560" s="3">
        <v>434187133441293</v>
      </c>
      <c r="P7560" s="6">
        <v>0.62</v>
      </c>
      <c r="Q7560" s="11">
        <f t="shared" ref="Q7560:Q7565" si="2198">CEILING(P7560-0.5,0.1)*10*0.15+2.3</f>
        <v>2.5999999999999996</v>
      </c>
      <c r="R7560" s="11"/>
      <c r="S7560" s="11">
        <v>0.15</v>
      </c>
      <c r="T7560" s="11"/>
      <c r="U7560" s="11">
        <f t="shared" si="2190"/>
        <v>2.7499999999999996</v>
      </c>
      <c r="V7560" t="s">
        <v>15</v>
      </c>
      <c r="W7560">
        <v>2.75</v>
      </c>
      <c r="X7560" s="1" t="s">
        <v>52</v>
      </c>
    </row>
    <row r="7561" spans="1:24" x14ac:dyDescent="0.25">
      <c r="A7561" s="1" t="str">
        <f t="shared" si="2191"/>
        <v>卡卡杜-凤凰仓</v>
      </c>
      <c r="B7561" s="1" t="str">
        <f>"CK2024101320371"</f>
        <v>CK2024101320371</v>
      </c>
      <c r="C7561" s="1" t="str">
        <f>"DD2024101361941"</f>
        <v>DD2024101361941</v>
      </c>
      <c r="D7561" s="1" t="str">
        <f>"CK2024101351779"</f>
        <v>CK2024101351779</v>
      </c>
      <c r="E7561" s="1" t="str">
        <f>"KKD202401013YP002"</f>
        <v>KKD202401013YP002</v>
      </c>
      <c r="F7561" s="1" t="str">
        <f t="shared" si="2192"/>
        <v>花都四部-凤凰仓</v>
      </c>
      <c r="G7561" s="1" t="str">
        <f t="shared" si="2195"/>
        <v>卡卡杜全欣样品</v>
      </c>
      <c r="H7561" s="1" t="str">
        <f t="shared" si="2193"/>
        <v>正常订单</v>
      </c>
      <c r="I7561" s="1" t="str">
        <f t="shared" si="2194"/>
        <v>已发货</v>
      </c>
      <c r="J7561" s="1" t="str">
        <f t="shared" si="2196"/>
        <v>5</v>
      </c>
      <c r="K7561" s="1">
        <v>4</v>
      </c>
      <c r="L7561" s="1" t="s">
        <v>16</v>
      </c>
      <c r="M7561" s="1" t="str">
        <f>"河北省 邯郸市 临漳县 "</f>
        <v xml:space="preserve">河北省 邯郸市 临漳县 </v>
      </c>
      <c r="N7561" s="1" t="str">
        <f t="shared" si="2197"/>
        <v>凡华云仓-韵达-淘宝</v>
      </c>
      <c r="O7561" s="3">
        <v>434187140133499</v>
      </c>
      <c r="P7561" s="6">
        <v>0.62</v>
      </c>
      <c r="Q7561" s="11">
        <f t="shared" si="2198"/>
        <v>2.5999999999999996</v>
      </c>
      <c r="R7561" s="11"/>
      <c r="S7561" s="11">
        <v>0.15</v>
      </c>
      <c r="T7561" s="11"/>
      <c r="U7561" s="11">
        <f t="shared" si="2190"/>
        <v>2.7499999999999996</v>
      </c>
      <c r="V7561" t="s">
        <v>15</v>
      </c>
      <c r="W7561">
        <v>2.75</v>
      </c>
      <c r="X7561" s="1" t="s">
        <v>16</v>
      </c>
    </row>
    <row r="7562" spans="1:24" x14ac:dyDescent="0.25">
      <c r="A7562" s="1" t="str">
        <f t="shared" si="2191"/>
        <v>卡卡杜-凤凰仓</v>
      </c>
      <c r="B7562" s="1" t="str">
        <f>"CK2024101320373"</f>
        <v>CK2024101320373</v>
      </c>
      <c r="C7562" s="1" t="str">
        <f>"DD2024101361960"</f>
        <v>DD2024101361960</v>
      </c>
      <c r="D7562" s="1" t="str">
        <f>"CK2024101351778"</f>
        <v>CK2024101351778</v>
      </c>
      <c r="E7562" s="1" t="str">
        <f>"KKD202401013YP006"</f>
        <v>KKD202401013YP006</v>
      </c>
      <c r="F7562" s="1" t="str">
        <f t="shared" si="2192"/>
        <v>花都四部-凤凰仓</v>
      </c>
      <c r="G7562" s="1" t="str">
        <f t="shared" si="2195"/>
        <v>卡卡杜全欣样品</v>
      </c>
      <c r="H7562" s="1" t="str">
        <f t="shared" si="2193"/>
        <v>正常订单</v>
      </c>
      <c r="I7562" s="1" t="str">
        <f t="shared" si="2194"/>
        <v>已发货</v>
      </c>
      <c r="J7562" s="1" t="str">
        <f t="shared" si="2196"/>
        <v>5</v>
      </c>
      <c r="K7562" s="1">
        <v>4</v>
      </c>
      <c r="L7562" s="1" t="s">
        <v>187</v>
      </c>
      <c r="M7562" s="1" t="str">
        <f>"吉林省 松原市 宁江区 "</f>
        <v xml:space="preserve">吉林省 松原市 宁江区 </v>
      </c>
      <c r="N7562" s="1" t="str">
        <f t="shared" si="2197"/>
        <v>凡华云仓-韵达-淘宝</v>
      </c>
      <c r="O7562" s="3">
        <v>434187133441104</v>
      </c>
      <c r="P7562" s="6">
        <v>0.62</v>
      </c>
      <c r="Q7562" s="11">
        <f t="shared" si="2198"/>
        <v>2.5999999999999996</v>
      </c>
      <c r="R7562" s="11"/>
      <c r="S7562" s="11">
        <v>0.15</v>
      </c>
      <c r="T7562" s="11"/>
      <c r="U7562" s="11">
        <f t="shared" si="2190"/>
        <v>2.7499999999999996</v>
      </c>
      <c r="V7562" t="s">
        <v>15</v>
      </c>
      <c r="W7562">
        <v>2.75</v>
      </c>
      <c r="X7562" s="1" t="s">
        <v>187</v>
      </c>
    </row>
    <row r="7563" spans="1:24" x14ac:dyDescent="0.25">
      <c r="A7563" s="1" t="str">
        <f t="shared" si="2191"/>
        <v>卡卡杜-凤凰仓</v>
      </c>
      <c r="B7563" s="1" t="str">
        <f>"CK2024101320374"</f>
        <v>CK2024101320374</v>
      </c>
      <c r="C7563" s="1" t="str">
        <f>"DD2024101362032"</f>
        <v>DD2024101362032</v>
      </c>
      <c r="D7563" s="1" t="str">
        <f>"CK2024101351777"</f>
        <v>CK2024101351777</v>
      </c>
      <c r="E7563" s="1" t="str">
        <f>"KKD202401013YP004"</f>
        <v>KKD202401013YP004</v>
      </c>
      <c r="F7563" s="1" t="str">
        <f t="shared" si="2192"/>
        <v>花都四部-凤凰仓</v>
      </c>
      <c r="G7563" s="1" t="str">
        <f t="shared" si="2195"/>
        <v>卡卡杜全欣样品</v>
      </c>
      <c r="H7563" s="1" t="str">
        <f t="shared" si="2193"/>
        <v>正常订单</v>
      </c>
      <c r="I7563" s="1" t="str">
        <f t="shared" si="2194"/>
        <v>已发货</v>
      </c>
      <c r="J7563" s="1" t="str">
        <f>"12"</f>
        <v>12</v>
      </c>
      <c r="K7563" s="1">
        <v>6</v>
      </c>
      <c r="L7563" s="1" t="s">
        <v>105</v>
      </c>
      <c r="M7563" s="1" t="str">
        <f>"北京 北京市 丰台区 "</f>
        <v xml:space="preserve">北京 北京市 丰台区 </v>
      </c>
      <c r="N7563" s="1" t="str">
        <f t="shared" si="2197"/>
        <v>凡华云仓-韵达-淘宝</v>
      </c>
      <c r="O7563" s="3">
        <v>434187133441015</v>
      </c>
      <c r="P7563" s="6">
        <v>1.31</v>
      </c>
      <c r="Q7563" s="11">
        <f t="shared" si="2198"/>
        <v>3.6499999999999995</v>
      </c>
      <c r="R7563" s="11">
        <f t="shared" ref="R7563:R7565" si="2199">(K7563-3)*0.1</f>
        <v>0.30000000000000004</v>
      </c>
      <c r="S7563" s="11"/>
      <c r="T7563" s="11"/>
      <c r="U7563" s="11">
        <f t="shared" si="2190"/>
        <v>3.9499999999999993</v>
      </c>
      <c r="V7563" t="s">
        <v>15</v>
      </c>
      <c r="W7563">
        <v>3.95</v>
      </c>
      <c r="X7563" s="1" t="s">
        <v>105</v>
      </c>
    </row>
    <row r="7564" spans="1:24" x14ac:dyDescent="0.25">
      <c r="A7564" s="1" t="str">
        <f t="shared" si="2191"/>
        <v>卡卡杜-凤凰仓</v>
      </c>
      <c r="B7564" s="1" t="str">
        <f>"CK2024101320330"</f>
        <v>CK2024101320330</v>
      </c>
      <c r="C7564" s="1" t="str">
        <f>"DD2024101360995"</f>
        <v>DD2024101360995</v>
      </c>
      <c r="D7564" s="1" t="str">
        <f>"CK2024101351749"</f>
        <v>CK2024101351749</v>
      </c>
      <c r="E7564" s="1" t="str">
        <f>"KKD202401013YP003"</f>
        <v>KKD202401013YP003</v>
      </c>
      <c r="F7564" s="1" t="str">
        <f t="shared" si="2192"/>
        <v>花都四部-凤凰仓</v>
      </c>
      <c r="G7564" s="1" t="str">
        <f t="shared" si="2195"/>
        <v>卡卡杜全欣样品</v>
      </c>
      <c r="H7564" s="1" t="str">
        <f t="shared" si="2193"/>
        <v>正常订单</v>
      </c>
      <c r="I7564" s="1" t="str">
        <f t="shared" si="2194"/>
        <v>已发货</v>
      </c>
      <c r="J7564" s="1" t="str">
        <f>"15"</f>
        <v>15</v>
      </c>
      <c r="K7564" s="1">
        <v>10</v>
      </c>
      <c r="L7564" s="1" t="s">
        <v>30</v>
      </c>
      <c r="M7564" s="1" t="str">
        <f>"山东省 青岛市 黄岛区 "</f>
        <v xml:space="preserve">山东省 青岛市 黄岛区 </v>
      </c>
      <c r="N7564" s="1" t="str">
        <f t="shared" si="2197"/>
        <v>凡华云仓-韵达-淘宝</v>
      </c>
      <c r="O7564" s="3">
        <v>434187129339119</v>
      </c>
      <c r="P7564" s="6">
        <v>1.62</v>
      </c>
      <c r="Q7564" s="11">
        <f t="shared" si="2198"/>
        <v>4.0999999999999996</v>
      </c>
      <c r="R7564" s="11">
        <f t="shared" si="2199"/>
        <v>0.70000000000000007</v>
      </c>
      <c r="S7564" s="11">
        <v>0.15</v>
      </c>
      <c r="T7564" s="11"/>
      <c r="U7564" s="11">
        <f t="shared" si="2190"/>
        <v>4.9499999999999993</v>
      </c>
      <c r="V7564" t="s">
        <v>15</v>
      </c>
      <c r="W7564">
        <v>4.95</v>
      </c>
      <c r="X7564" s="1" t="s">
        <v>30</v>
      </c>
    </row>
    <row r="7565" spans="1:24" x14ac:dyDescent="0.25">
      <c r="A7565" s="1" t="str">
        <f t="shared" si="2191"/>
        <v>卡卡杜-凤凰仓</v>
      </c>
      <c r="B7565" s="1" t="str">
        <f>"CK2024101320329"</f>
        <v>CK2024101320329</v>
      </c>
      <c r="C7565" s="1" t="str">
        <f>"DD2024101360997"</f>
        <v>DD2024101360997</v>
      </c>
      <c r="D7565" s="1" t="str">
        <f>"CK2024101351748"</f>
        <v>CK2024101351748</v>
      </c>
      <c r="E7565" s="1" t="str">
        <f>"KKD202401013YP005"</f>
        <v>KKD202401013YP005</v>
      </c>
      <c r="F7565" s="1" t="str">
        <f t="shared" si="2192"/>
        <v>花都四部-凤凰仓</v>
      </c>
      <c r="G7565" s="1" t="str">
        <f t="shared" si="2195"/>
        <v>卡卡杜全欣样品</v>
      </c>
      <c r="H7565" s="1" t="str">
        <f t="shared" si="2193"/>
        <v>正常订单</v>
      </c>
      <c r="I7565" s="1" t="str">
        <f t="shared" si="2194"/>
        <v>已发货</v>
      </c>
      <c r="J7565" s="1" t="str">
        <f>"20"</f>
        <v>20</v>
      </c>
      <c r="K7565" s="1">
        <v>10</v>
      </c>
      <c r="L7565" s="1" t="s">
        <v>20</v>
      </c>
      <c r="M7565" s="1" t="str">
        <f>"浙江省 杭州市 余杭区 "</f>
        <v xml:space="preserve">浙江省 杭州市 余杭区 </v>
      </c>
      <c r="N7565" s="1" t="str">
        <f t="shared" si="2197"/>
        <v>凡华云仓-韵达-淘宝</v>
      </c>
      <c r="O7565" s="3">
        <v>434187129339022</v>
      </c>
      <c r="P7565" s="6">
        <v>2.4700000000000002</v>
      </c>
      <c r="Q7565" s="11">
        <f t="shared" si="2198"/>
        <v>5.3</v>
      </c>
      <c r="R7565" s="11">
        <f t="shared" si="2199"/>
        <v>0.70000000000000007</v>
      </c>
      <c r="S7565" s="11">
        <v>0.15</v>
      </c>
      <c r="T7565" s="11"/>
      <c r="U7565" s="11">
        <f t="shared" si="2190"/>
        <v>6.15</v>
      </c>
      <c r="V7565" t="s">
        <v>15</v>
      </c>
      <c r="W7565">
        <v>6.15</v>
      </c>
      <c r="X7565" s="1" t="s">
        <v>20</v>
      </c>
    </row>
    <row r="7566" spans="1:24" x14ac:dyDescent="0.25">
      <c r="A7566" s="1" t="str">
        <f t="shared" si="2191"/>
        <v>卡卡杜-凤凰仓</v>
      </c>
      <c r="B7566" s="1" t="str">
        <f>"CK2024101320325"</f>
        <v>CK2024101320325</v>
      </c>
      <c r="C7566" s="1" t="str">
        <f>"DD2024101360994"</f>
        <v>DD2024101360994</v>
      </c>
      <c r="D7566" s="1" t="str">
        <f>"CK2024101351747"</f>
        <v>CK2024101351747</v>
      </c>
      <c r="E7566" s="1" t="str">
        <f>"6934945264558282438"</f>
        <v>6934945264558282438</v>
      </c>
      <c r="F7566" s="1" t="str">
        <f t="shared" si="2192"/>
        <v>花都四部-凤凰仓</v>
      </c>
      <c r="G7566" s="1" t="str">
        <f t="shared" ref="G7566:G7595" si="2200">"卡卡杜个人护理店（抖店）"</f>
        <v>卡卡杜个人护理店（抖店）</v>
      </c>
      <c r="H7566" s="1" t="str">
        <f t="shared" si="2193"/>
        <v>正常订单</v>
      </c>
      <c r="I7566" s="1" t="str">
        <f t="shared" si="2194"/>
        <v>已发货</v>
      </c>
      <c r="J7566" s="1" t="str">
        <f t="shared" ref="J7566:J7588" si="2201">"3"</f>
        <v>3</v>
      </c>
      <c r="K7566" s="1">
        <v>2</v>
      </c>
      <c r="L7566" s="1" t="s">
        <v>13</v>
      </c>
      <c r="M7566" s="1" t="str">
        <f>"江苏省 苏州市 姑苏区 沧浪街道"</f>
        <v>江苏省 苏州市 姑苏区 沧浪街道</v>
      </c>
      <c r="N7566" s="1" t="str">
        <f t="shared" ref="N7566:N7595" si="2202">"凡华云仓-韵达-抖音"</f>
        <v>凡华云仓-韵达-抖音</v>
      </c>
      <c r="O7566" s="5">
        <v>320170033698599</v>
      </c>
      <c r="P7566" s="6">
        <v>0.35</v>
      </c>
      <c r="Q7566" s="11">
        <v>2.2999999999999998</v>
      </c>
      <c r="R7566" s="11"/>
      <c r="S7566" s="11"/>
      <c r="T7566" s="11"/>
      <c r="U7566" s="11">
        <f t="shared" si="2190"/>
        <v>2.2999999999999998</v>
      </c>
      <c r="W7566">
        <v>2.5</v>
      </c>
      <c r="X7566" s="1" t="s">
        <v>13</v>
      </c>
    </row>
    <row r="7567" spans="1:24" x14ac:dyDescent="0.25">
      <c r="A7567" s="1" t="str">
        <f t="shared" si="2191"/>
        <v>卡卡杜-凤凰仓</v>
      </c>
      <c r="B7567" s="1" t="str">
        <f>"CK2024101320349"</f>
        <v>CK2024101320349</v>
      </c>
      <c r="C7567" s="1" t="str">
        <f>"DD2024101361013"</f>
        <v>DD2024101361013</v>
      </c>
      <c r="D7567" s="1" t="str">
        <f>"CK2024101351746"</f>
        <v>CK2024101351746</v>
      </c>
      <c r="E7567" s="1" t="str">
        <f>"6934942734269749185"</f>
        <v>6934942734269749185</v>
      </c>
      <c r="F7567" s="1" t="str">
        <f t="shared" si="2192"/>
        <v>花都四部-凤凰仓</v>
      </c>
      <c r="G7567" s="1" t="str">
        <f t="shared" si="2200"/>
        <v>卡卡杜个人护理店（抖店）</v>
      </c>
      <c r="H7567" s="1" t="str">
        <f t="shared" si="2193"/>
        <v>正常订单</v>
      </c>
      <c r="I7567" s="1" t="str">
        <f t="shared" si="2194"/>
        <v>已发货</v>
      </c>
      <c r="J7567" s="1" t="str">
        <f t="shared" si="2201"/>
        <v>3</v>
      </c>
      <c r="K7567" s="1">
        <v>2</v>
      </c>
      <c r="L7567" s="1" t="s">
        <v>18</v>
      </c>
      <c r="M7567" s="1" t="str">
        <f>"广东省 云浮市 云城区 "</f>
        <v xml:space="preserve">广东省 云浮市 云城区 </v>
      </c>
      <c r="N7567" s="1" t="str">
        <f t="shared" si="2202"/>
        <v>凡华云仓-韵达-抖音</v>
      </c>
      <c r="O7567" s="5">
        <v>320170039532712</v>
      </c>
      <c r="P7567" s="6">
        <v>0.35</v>
      </c>
      <c r="Q7567" s="11">
        <v>2.2999999999999998</v>
      </c>
      <c r="R7567" s="11"/>
      <c r="S7567" s="11"/>
      <c r="T7567" s="11"/>
      <c r="U7567" s="11">
        <f t="shared" si="2190"/>
        <v>2.2999999999999998</v>
      </c>
      <c r="W7567">
        <v>2.5</v>
      </c>
      <c r="X7567" s="1" t="s">
        <v>18</v>
      </c>
    </row>
    <row r="7568" spans="1:24" x14ac:dyDescent="0.25">
      <c r="A7568" s="1" t="str">
        <f t="shared" si="2191"/>
        <v>卡卡杜-凤凰仓</v>
      </c>
      <c r="B7568" s="1" t="str">
        <f>"CK2024101320350"</f>
        <v>CK2024101320350</v>
      </c>
      <c r="C7568" s="1" t="str">
        <f>"DD2024101361015"</f>
        <v>DD2024101361015</v>
      </c>
      <c r="D7568" s="1" t="str">
        <f>"CK2024101351745"</f>
        <v>CK2024101351745</v>
      </c>
      <c r="E7568" s="1" t="str">
        <f>"6934958379725952944"</f>
        <v>6934958379725952944</v>
      </c>
      <c r="F7568" s="1" t="str">
        <f t="shared" si="2192"/>
        <v>花都四部-凤凰仓</v>
      </c>
      <c r="G7568" s="1" t="str">
        <f t="shared" si="2200"/>
        <v>卡卡杜个人护理店（抖店）</v>
      </c>
      <c r="H7568" s="1" t="str">
        <f t="shared" si="2193"/>
        <v>正常订单</v>
      </c>
      <c r="I7568" s="1" t="str">
        <f t="shared" si="2194"/>
        <v>已发货</v>
      </c>
      <c r="J7568" s="1" t="str">
        <f t="shared" si="2201"/>
        <v>3</v>
      </c>
      <c r="K7568" s="1">
        <v>2</v>
      </c>
      <c r="L7568" s="1" t="s">
        <v>18</v>
      </c>
      <c r="M7568" s="1" t="str">
        <f>"广东省 清远市 英德市 英城街道"</f>
        <v>广东省 清远市 英德市 英城街道</v>
      </c>
      <c r="N7568" s="1" t="str">
        <f t="shared" si="2202"/>
        <v>凡华云仓-韵达-抖音</v>
      </c>
      <c r="O7568" s="5">
        <v>320170039532611</v>
      </c>
      <c r="P7568" s="6">
        <v>0.35</v>
      </c>
      <c r="Q7568" s="11">
        <v>2.2999999999999998</v>
      </c>
      <c r="R7568" s="11"/>
      <c r="S7568" s="11"/>
      <c r="T7568" s="11"/>
      <c r="U7568" s="11">
        <f t="shared" si="2190"/>
        <v>2.2999999999999998</v>
      </c>
      <c r="W7568">
        <v>2.5</v>
      </c>
      <c r="X7568" s="1" t="s">
        <v>18</v>
      </c>
    </row>
    <row r="7569" spans="1:24" x14ac:dyDescent="0.25">
      <c r="A7569" s="1" t="str">
        <f t="shared" si="2191"/>
        <v>卡卡杜-凤凰仓</v>
      </c>
      <c r="B7569" s="1" t="str">
        <f>"CK2024101320351"</f>
        <v>CK2024101320351</v>
      </c>
      <c r="C7569" s="1" t="str">
        <f>"DD2024101361014"</f>
        <v>DD2024101361014</v>
      </c>
      <c r="D7569" s="1" t="str">
        <f>"CK2024101351744"</f>
        <v>CK2024101351744</v>
      </c>
      <c r="E7569" s="1" t="str">
        <f>"6934966702017483880"</f>
        <v>6934966702017483880</v>
      </c>
      <c r="F7569" s="1" t="str">
        <f t="shared" si="2192"/>
        <v>花都四部-凤凰仓</v>
      </c>
      <c r="G7569" s="1" t="str">
        <f t="shared" si="2200"/>
        <v>卡卡杜个人护理店（抖店）</v>
      </c>
      <c r="H7569" s="1" t="str">
        <f t="shared" si="2193"/>
        <v>正常订单</v>
      </c>
      <c r="I7569" s="1" t="str">
        <f t="shared" si="2194"/>
        <v>已发货</v>
      </c>
      <c r="J7569" s="1" t="str">
        <f t="shared" si="2201"/>
        <v>3</v>
      </c>
      <c r="K7569" s="1">
        <v>2</v>
      </c>
      <c r="L7569" s="1" t="s">
        <v>24</v>
      </c>
      <c r="M7569" s="1" t="str">
        <f>"福建省 莆田市 城厢区 凤凰山街道"</f>
        <v>福建省 莆田市 城厢区 凤凰山街道</v>
      </c>
      <c r="N7569" s="1" t="str">
        <f t="shared" si="2202"/>
        <v>凡华云仓-韵达-抖音</v>
      </c>
      <c r="O7569" s="5">
        <v>320170039532512</v>
      </c>
      <c r="P7569" s="6">
        <v>0.35</v>
      </c>
      <c r="Q7569" s="11">
        <v>2.2999999999999998</v>
      </c>
      <c r="R7569" s="11"/>
      <c r="S7569" s="11"/>
      <c r="T7569" s="11"/>
      <c r="U7569" s="11">
        <f t="shared" si="2190"/>
        <v>2.2999999999999998</v>
      </c>
      <c r="W7569">
        <v>2.5</v>
      </c>
      <c r="X7569" s="1" t="s">
        <v>24</v>
      </c>
    </row>
    <row r="7570" spans="1:24" x14ac:dyDescent="0.25">
      <c r="A7570" s="1" t="str">
        <f t="shared" si="2191"/>
        <v>卡卡杜-凤凰仓</v>
      </c>
      <c r="B7570" s="1" t="str">
        <f>"CK2024101320352"</f>
        <v>CK2024101320352</v>
      </c>
      <c r="C7570" s="1" t="str">
        <f>"DD2024101361016"</f>
        <v>DD2024101361016</v>
      </c>
      <c r="D7570" s="1" t="str">
        <f>"CK2024101351743"</f>
        <v>CK2024101351743</v>
      </c>
      <c r="E7570" s="1" t="str">
        <f>"6934942597128329083"</f>
        <v>6934942597128329083</v>
      </c>
      <c r="F7570" s="1" t="str">
        <f t="shared" si="2192"/>
        <v>花都四部-凤凰仓</v>
      </c>
      <c r="G7570" s="1" t="str">
        <f t="shared" si="2200"/>
        <v>卡卡杜个人护理店（抖店）</v>
      </c>
      <c r="H7570" s="1" t="str">
        <f t="shared" si="2193"/>
        <v>正常订单</v>
      </c>
      <c r="I7570" s="1" t="str">
        <f t="shared" si="2194"/>
        <v>已发货</v>
      </c>
      <c r="J7570" s="1" t="str">
        <f t="shared" si="2201"/>
        <v>3</v>
      </c>
      <c r="K7570" s="1">
        <v>2</v>
      </c>
      <c r="L7570" s="1" t="s">
        <v>20</v>
      </c>
      <c r="M7570" s="1" t="str">
        <f>"浙江省 丽水市 龙泉市 龙渊街道"</f>
        <v>浙江省 丽水市 龙泉市 龙渊街道</v>
      </c>
      <c r="N7570" s="1" t="str">
        <f t="shared" si="2202"/>
        <v>凡华云仓-韵达-抖音</v>
      </c>
      <c r="O7570" s="5">
        <v>320170039532415</v>
      </c>
      <c r="P7570" s="6">
        <v>0.35</v>
      </c>
      <c r="Q7570" s="11">
        <v>2.2999999999999998</v>
      </c>
      <c r="R7570" s="11"/>
      <c r="S7570" s="11"/>
      <c r="T7570" s="11"/>
      <c r="U7570" s="11">
        <f t="shared" si="2190"/>
        <v>2.2999999999999998</v>
      </c>
      <c r="W7570">
        <v>2.5</v>
      </c>
      <c r="X7570" s="1" t="s">
        <v>20</v>
      </c>
    </row>
    <row r="7571" spans="1:24" x14ac:dyDescent="0.25">
      <c r="A7571" s="1" t="str">
        <f t="shared" si="2191"/>
        <v>卡卡杜-凤凰仓</v>
      </c>
      <c r="B7571" s="1" t="str">
        <f>"CK2024101320353"</f>
        <v>CK2024101320353</v>
      </c>
      <c r="C7571" s="1" t="str">
        <f>"DD2024101361017"</f>
        <v>DD2024101361017</v>
      </c>
      <c r="D7571" s="1" t="str">
        <f>"CK2024101351742"</f>
        <v>CK2024101351742</v>
      </c>
      <c r="E7571" s="1" t="str">
        <f>"6934947183923500130"</f>
        <v>6934947183923500130</v>
      </c>
      <c r="F7571" s="1" t="str">
        <f t="shared" si="2192"/>
        <v>花都四部-凤凰仓</v>
      </c>
      <c r="G7571" s="1" t="str">
        <f t="shared" si="2200"/>
        <v>卡卡杜个人护理店（抖店）</v>
      </c>
      <c r="H7571" s="1" t="str">
        <f t="shared" si="2193"/>
        <v>正常订单</v>
      </c>
      <c r="I7571" s="1" t="str">
        <f t="shared" si="2194"/>
        <v>已发货</v>
      </c>
      <c r="J7571" s="1" t="str">
        <f t="shared" si="2201"/>
        <v>3</v>
      </c>
      <c r="K7571" s="1">
        <v>2</v>
      </c>
      <c r="L7571" s="1" t="s">
        <v>13</v>
      </c>
      <c r="M7571" s="1" t="str">
        <f>"江苏省 苏州市 吴江区 震泽镇"</f>
        <v>江苏省 苏州市 吴江区 震泽镇</v>
      </c>
      <c r="N7571" s="1" t="str">
        <f t="shared" si="2202"/>
        <v>凡华云仓-韵达-抖音</v>
      </c>
      <c r="O7571" s="5">
        <v>320170039532320</v>
      </c>
      <c r="P7571" s="6">
        <v>0.35</v>
      </c>
      <c r="Q7571" s="11">
        <v>2.2999999999999998</v>
      </c>
      <c r="R7571" s="11"/>
      <c r="S7571" s="11"/>
      <c r="T7571" s="11"/>
      <c r="U7571" s="11">
        <f t="shared" si="2190"/>
        <v>2.2999999999999998</v>
      </c>
      <c r="W7571">
        <v>2.5</v>
      </c>
      <c r="X7571" s="1" t="s">
        <v>13</v>
      </c>
    </row>
    <row r="7572" spans="1:24" x14ac:dyDescent="0.25">
      <c r="A7572" s="1" t="str">
        <f t="shared" si="2191"/>
        <v>卡卡杜-凤凰仓</v>
      </c>
      <c r="B7572" s="1" t="str">
        <f>"CK2024101320355"</f>
        <v>CK2024101320355</v>
      </c>
      <c r="C7572" s="1" t="str">
        <f>"DD2024101361018"</f>
        <v>DD2024101361018</v>
      </c>
      <c r="D7572" s="1" t="str">
        <f>"CK2024101351741"</f>
        <v>CK2024101351741</v>
      </c>
      <c r="E7572" s="1" t="str">
        <f>"6934960398879495509"</f>
        <v>6934960398879495509</v>
      </c>
      <c r="F7572" s="1" t="str">
        <f t="shared" si="2192"/>
        <v>花都四部-凤凰仓</v>
      </c>
      <c r="G7572" s="1" t="str">
        <f t="shared" si="2200"/>
        <v>卡卡杜个人护理店（抖店）</v>
      </c>
      <c r="H7572" s="1" t="str">
        <f t="shared" si="2193"/>
        <v>正常订单</v>
      </c>
      <c r="I7572" s="1" t="str">
        <f t="shared" si="2194"/>
        <v>已发货</v>
      </c>
      <c r="J7572" s="1" t="str">
        <f t="shared" si="2201"/>
        <v>3</v>
      </c>
      <c r="K7572" s="1">
        <v>2</v>
      </c>
      <c r="L7572" s="1" t="s">
        <v>20</v>
      </c>
      <c r="M7572" s="1" t="str">
        <f>"浙江省 杭州市 上城区 九堡街道"</f>
        <v>浙江省 杭州市 上城区 九堡街道</v>
      </c>
      <c r="N7572" s="1" t="str">
        <f t="shared" si="2202"/>
        <v>凡华云仓-韵达-抖音</v>
      </c>
      <c r="O7572" s="5">
        <v>320170029593611</v>
      </c>
      <c r="P7572" s="6">
        <v>0.35</v>
      </c>
      <c r="Q7572" s="11">
        <v>2.2999999999999998</v>
      </c>
      <c r="R7572" s="11"/>
      <c r="S7572" s="11"/>
      <c r="T7572" s="11"/>
      <c r="U7572" s="11">
        <f t="shared" si="2190"/>
        <v>2.2999999999999998</v>
      </c>
      <c r="W7572">
        <v>2.5</v>
      </c>
      <c r="X7572" s="1" t="s">
        <v>20</v>
      </c>
    </row>
    <row r="7573" spans="1:24" x14ac:dyDescent="0.25">
      <c r="A7573" s="1" t="str">
        <f t="shared" si="2191"/>
        <v>卡卡杜-凤凰仓</v>
      </c>
      <c r="B7573" s="1" t="str">
        <f>"CK2024101320356"</f>
        <v>CK2024101320356</v>
      </c>
      <c r="C7573" s="1" t="str">
        <f>"DD2024101361019"</f>
        <v>DD2024101361019</v>
      </c>
      <c r="D7573" s="1" t="str">
        <f>"CK2024101351740"</f>
        <v>CK2024101351740</v>
      </c>
      <c r="E7573" s="1" t="str">
        <f>"6934962384436270733"</f>
        <v>6934962384436270733</v>
      </c>
      <c r="F7573" s="1" t="str">
        <f t="shared" si="2192"/>
        <v>花都四部-凤凰仓</v>
      </c>
      <c r="G7573" s="1" t="str">
        <f t="shared" si="2200"/>
        <v>卡卡杜个人护理店（抖店）</v>
      </c>
      <c r="H7573" s="1" t="str">
        <f t="shared" si="2193"/>
        <v>正常订单</v>
      </c>
      <c r="I7573" s="1" t="str">
        <f t="shared" si="2194"/>
        <v>已发货</v>
      </c>
      <c r="J7573" s="1" t="str">
        <f t="shared" si="2201"/>
        <v>3</v>
      </c>
      <c r="K7573" s="1">
        <v>2</v>
      </c>
      <c r="L7573" s="1" t="s">
        <v>27</v>
      </c>
      <c r="M7573" s="1" t="str">
        <f>"贵州省 六盘水市 水城区 尖山街道"</f>
        <v>贵州省 六盘水市 水城区 尖山街道</v>
      </c>
      <c r="N7573" s="1" t="str">
        <f t="shared" si="2202"/>
        <v>凡华云仓-韵达-抖音</v>
      </c>
      <c r="O7573" s="5">
        <v>320170029593512</v>
      </c>
      <c r="P7573" s="6">
        <v>0.35</v>
      </c>
      <c r="Q7573" s="11">
        <v>2.2999999999999998</v>
      </c>
      <c r="R7573" s="11"/>
      <c r="S7573" s="11"/>
      <c r="T7573" s="11"/>
      <c r="U7573" s="11">
        <f t="shared" si="2190"/>
        <v>2.2999999999999998</v>
      </c>
      <c r="W7573">
        <v>2.5</v>
      </c>
      <c r="X7573" s="1" t="s">
        <v>27</v>
      </c>
    </row>
    <row r="7574" spans="1:24" x14ac:dyDescent="0.25">
      <c r="A7574" s="1" t="str">
        <f t="shared" si="2191"/>
        <v>卡卡杜-凤凰仓</v>
      </c>
      <c r="B7574" s="1" t="str">
        <f>"CK2024101320358"</f>
        <v>CK2024101320358</v>
      </c>
      <c r="C7574" s="1" t="str">
        <f>"DD2024101361020"</f>
        <v>DD2024101361020</v>
      </c>
      <c r="D7574" s="1" t="str">
        <f>"CK2024101351739"</f>
        <v>CK2024101351739</v>
      </c>
      <c r="E7574" s="1" t="str">
        <f>"6934958212409922691"</f>
        <v>6934958212409922691</v>
      </c>
      <c r="F7574" s="1" t="str">
        <f t="shared" si="2192"/>
        <v>花都四部-凤凰仓</v>
      </c>
      <c r="G7574" s="1" t="str">
        <f t="shared" si="2200"/>
        <v>卡卡杜个人护理店（抖店）</v>
      </c>
      <c r="H7574" s="1" t="str">
        <f t="shared" si="2193"/>
        <v>正常订单</v>
      </c>
      <c r="I7574" s="1" t="str">
        <f t="shared" si="2194"/>
        <v>已发货</v>
      </c>
      <c r="J7574" s="1" t="str">
        <f t="shared" si="2201"/>
        <v>3</v>
      </c>
      <c r="K7574" s="1">
        <v>2</v>
      </c>
      <c r="L7574" s="1" t="s">
        <v>96</v>
      </c>
      <c r="M7574" s="1" t="str">
        <f>"广西壮族自治区 贵港市 港北区 贵城街道"</f>
        <v>广西壮族自治区 贵港市 港北区 贵城街道</v>
      </c>
      <c r="N7574" s="1" t="str">
        <f t="shared" si="2202"/>
        <v>凡华云仓-韵达-抖音</v>
      </c>
      <c r="O7574" s="5">
        <v>320170029593415</v>
      </c>
      <c r="P7574" s="6">
        <v>0.35</v>
      </c>
      <c r="Q7574" s="11">
        <v>2.2999999999999998</v>
      </c>
      <c r="R7574" s="11"/>
      <c r="S7574" s="11"/>
      <c r="T7574" s="11"/>
      <c r="U7574" s="11">
        <f t="shared" si="2190"/>
        <v>2.2999999999999998</v>
      </c>
      <c r="W7574">
        <v>2.5</v>
      </c>
      <c r="X7574" s="1" t="s">
        <v>96</v>
      </c>
    </row>
    <row r="7575" spans="1:24" x14ac:dyDescent="0.25">
      <c r="A7575" s="1" t="str">
        <f t="shared" si="2191"/>
        <v>卡卡杜-凤凰仓</v>
      </c>
      <c r="B7575" s="1" t="str">
        <f>"CK2024101320361"</f>
        <v>CK2024101320361</v>
      </c>
      <c r="C7575" s="1" t="str">
        <f>"DD2024101361021"</f>
        <v>DD2024101361021</v>
      </c>
      <c r="D7575" s="1" t="str">
        <f>"CK2024101351738"</f>
        <v>CK2024101351738</v>
      </c>
      <c r="E7575" s="1" t="str">
        <f>"6934947098970691222"</f>
        <v>6934947098970691222</v>
      </c>
      <c r="F7575" s="1" t="str">
        <f t="shared" si="2192"/>
        <v>花都四部-凤凰仓</v>
      </c>
      <c r="G7575" s="1" t="str">
        <f t="shared" si="2200"/>
        <v>卡卡杜个人护理店（抖店）</v>
      </c>
      <c r="H7575" s="1" t="str">
        <f t="shared" si="2193"/>
        <v>正常订单</v>
      </c>
      <c r="I7575" s="1" t="str">
        <f t="shared" si="2194"/>
        <v>已发货</v>
      </c>
      <c r="J7575" s="1" t="str">
        <f t="shared" si="2201"/>
        <v>3</v>
      </c>
      <c r="K7575" s="1">
        <v>2</v>
      </c>
      <c r="L7575" s="1" t="s">
        <v>44</v>
      </c>
      <c r="M7575" s="1" t="str">
        <f>"海南省 三亚市 海棠区 海棠湾镇"</f>
        <v>海南省 三亚市 海棠区 海棠湾镇</v>
      </c>
      <c r="N7575" s="1" t="str">
        <f t="shared" si="2202"/>
        <v>凡华云仓-韵达-抖音</v>
      </c>
      <c r="O7575" s="5">
        <v>320170029593320</v>
      </c>
      <c r="P7575" s="6">
        <v>0.35</v>
      </c>
      <c r="Q7575" s="11">
        <v>2.2999999999999998</v>
      </c>
      <c r="R7575" s="11"/>
      <c r="S7575" s="11"/>
      <c r="T7575" s="11"/>
      <c r="U7575" s="11">
        <f t="shared" si="2190"/>
        <v>2.2999999999999998</v>
      </c>
      <c r="W7575">
        <v>2.5</v>
      </c>
      <c r="X7575" s="1" t="s">
        <v>44</v>
      </c>
    </row>
    <row r="7576" spans="1:24" x14ac:dyDescent="0.25">
      <c r="A7576" s="1" t="str">
        <f t="shared" si="2191"/>
        <v>卡卡杜-凤凰仓</v>
      </c>
      <c r="B7576" s="1" t="str">
        <f>"CK2024101320364"</f>
        <v>CK2024101320364</v>
      </c>
      <c r="C7576" s="1" t="str">
        <f>"DD2024101361022"</f>
        <v>DD2024101361022</v>
      </c>
      <c r="D7576" s="1" t="str">
        <f>"CK2024101351737"</f>
        <v>CK2024101351737</v>
      </c>
      <c r="E7576" s="1" t="str">
        <f>"6934942488724969103"</f>
        <v>6934942488724969103</v>
      </c>
      <c r="F7576" s="1" t="str">
        <f t="shared" si="2192"/>
        <v>花都四部-凤凰仓</v>
      </c>
      <c r="G7576" s="1" t="str">
        <f t="shared" si="2200"/>
        <v>卡卡杜个人护理店（抖店）</v>
      </c>
      <c r="H7576" s="1" t="str">
        <f t="shared" si="2193"/>
        <v>正常订单</v>
      </c>
      <c r="I7576" s="1" t="str">
        <f t="shared" si="2194"/>
        <v>已发货</v>
      </c>
      <c r="J7576" s="1" t="str">
        <f t="shared" si="2201"/>
        <v>3</v>
      </c>
      <c r="K7576" s="1">
        <v>2</v>
      </c>
      <c r="L7576" s="1" t="s">
        <v>18</v>
      </c>
      <c r="M7576" s="1" t="str">
        <f>"广东省 河源市 源城区 东埔街道"</f>
        <v>广东省 河源市 源城区 东埔街道</v>
      </c>
      <c r="N7576" s="1" t="str">
        <f t="shared" si="2202"/>
        <v>凡华云仓-韵达-抖音</v>
      </c>
      <c r="O7576" s="5">
        <v>320170029593227</v>
      </c>
      <c r="P7576" s="6">
        <v>0.35</v>
      </c>
      <c r="Q7576" s="11">
        <v>2.2999999999999998</v>
      </c>
      <c r="R7576" s="11"/>
      <c r="S7576" s="11"/>
      <c r="T7576" s="11"/>
      <c r="U7576" s="11">
        <f t="shared" si="2190"/>
        <v>2.2999999999999998</v>
      </c>
      <c r="W7576">
        <v>2.5</v>
      </c>
      <c r="X7576" s="1" t="s">
        <v>18</v>
      </c>
    </row>
    <row r="7577" spans="1:24" x14ac:dyDescent="0.25">
      <c r="A7577" s="1" t="str">
        <f t="shared" si="2191"/>
        <v>卡卡杜-凤凰仓</v>
      </c>
      <c r="B7577" s="1" t="str">
        <f>"CK2024101320365"</f>
        <v>CK2024101320365</v>
      </c>
      <c r="C7577" s="1" t="str">
        <f>"DD2024101361023"</f>
        <v>DD2024101361023</v>
      </c>
      <c r="D7577" s="1" t="str">
        <f>"CK2024101351736"</f>
        <v>CK2024101351736</v>
      </c>
      <c r="E7577" s="1" t="str">
        <f>"6934942392031254430"</f>
        <v>6934942392031254430</v>
      </c>
      <c r="F7577" s="1" t="str">
        <f t="shared" si="2192"/>
        <v>花都四部-凤凰仓</v>
      </c>
      <c r="G7577" s="1" t="str">
        <f t="shared" si="2200"/>
        <v>卡卡杜个人护理店（抖店）</v>
      </c>
      <c r="H7577" s="1" t="str">
        <f t="shared" si="2193"/>
        <v>正常订单</v>
      </c>
      <c r="I7577" s="1" t="str">
        <f t="shared" si="2194"/>
        <v>已发货</v>
      </c>
      <c r="J7577" s="1" t="str">
        <f t="shared" si="2201"/>
        <v>3</v>
      </c>
      <c r="K7577" s="1">
        <v>2</v>
      </c>
      <c r="L7577" s="1" t="s">
        <v>18</v>
      </c>
      <c r="M7577" s="1" t="str">
        <f>"广东省 梅州市 兴宁市 "</f>
        <v xml:space="preserve">广东省 梅州市 兴宁市 </v>
      </c>
      <c r="N7577" s="1" t="str">
        <f t="shared" si="2202"/>
        <v>凡华云仓-韵达-抖音</v>
      </c>
      <c r="O7577" s="5">
        <v>320170029593136</v>
      </c>
      <c r="P7577" s="6">
        <v>0.35</v>
      </c>
      <c r="Q7577" s="11">
        <v>2.2999999999999998</v>
      </c>
      <c r="R7577" s="11"/>
      <c r="S7577" s="11"/>
      <c r="T7577" s="11"/>
      <c r="U7577" s="11">
        <f t="shared" si="2190"/>
        <v>2.2999999999999998</v>
      </c>
      <c r="W7577">
        <v>2.5</v>
      </c>
      <c r="X7577" s="1" t="s">
        <v>18</v>
      </c>
    </row>
    <row r="7578" spans="1:24" x14ac:dyDescent="0.25">
      <c r="A7578" s="1" t="str">
        <f t="shared" si="2191"/>
        <v>卡卡杜-凤凰仓</v>
      </c>
      <c r="B7578" s="1" t="str">
        <f>"CK2024101320348"</f>
        <v>CK2024101320348</v>
      </c>
      <c r="C7578" s="1" t="str">
        <f>"DD2024101361012"</f>
        <v>DD2024101361012</v>
      </c>
      <c r="D7578" s="1" t="str">
        <f>"CK2024101351735"</f>
        <v>CK2024101351735</v>
      </c>
      <c r="E7578" s="1" t="str">
        <f>"6934947276703143323"</f>
        <v>6934947276703143323</v>
      </c>
      <c r="F7578" s="1" t="str">
        <f t="shared" si="2192"/>
        <v>花都四部-凤凰仓</v>
      </c>
      <c r="G7578" s="1" t="str">
        <f t="shared" si="2200"/>
        <v>卡卡杜个人护理店（抖店）</v>
      </c>
      <c r="H7578" s="1" t="str">
        <f t="shared" si="2193"/>
        <v>正常订单</v>
      </c>
      <c r="I7578" s="1" t="str">
        <f t="shared" si="2194"/>
        <v>已发货</v>
      </c>
      <c r="J7578" s="1" t="str">
        <f t="shared" si="2201"/>
        <v>3</v>
      </c>
      <c r="K7578" s="1">
        <v>2</v>
      </c>
      <c r="L7578" s="1" t="s">
        <v>20</v>
      </c>
      <c r="M7578" s="1" t="str">
        <f>"浙江省 衢州市 龙游县 龙洲街道"</f>
        <v>浙江省 衢州市 龙游县 龙洲街道</v>
      </c>
      <c r="N7578" s="1" t="str">
        <f t="shared" si="2202"/>
        <v>凡华云仓-韵达-抖音</v>
      </c>
      <c r="O7578" s="5">
        <v>320170029593047</v>
      </c>
      <c r="P7578" s="6">
        <v>0.35</v>
      </c>
      <c r="Q7578" s="11">
        <v>2.2999999999999998</v>
      </c>
      <c r="R7578" s="11"/>
      <c r="S7578" s="11"/>
      <c r="T7578" s="11"/>
      <c r="U7578" s="11">
        <f t="shared" si="2190"/>
        <v>2.2999999999999998</v>
      </c>
      <c r="W7578">
        <v>2.5</v>
      </c>
      <c r="X7578" s="1" t="s">
        <v>20</v>
      </c>
    </row>
    <row r="7579" spans="1:24" x14ac:dyDescent="0.25">
      <c r="A7579" s="1" t="str">
        <f t="shared" si="2191"/>
        <v>卡卡杜-凤凰仓</v>
      </c>
      <c r="B7579" s="1" t="str">
        <f>"CK2024101320346"</f>
        <v>CK2024101320346</v>
      </c>
      <c r="C7579" s="1" t="str">
        <f>"DD2024101361011"</f>
        <v>DD2024101361011</v>
      </c>
      <c r="D7579" s="1" t="str">
        <f>"CK2024101351734"</f>
        <v>CK2024101351734</v>
      </c>
      <c r="E7579" s="1" t="str">
        <f>"6934958486764393509"</f>
        <v>6934958486764393509</v>
      </c>
      <c r="F7579" s="1" t="str">
        <f t="shared" si="2192"/>
        <v>花都四部-凤凰仓</v>
      </c>
      <c r="G7579" s="1" t="str">
        <f t="shared" si="2200"/>
        <v>卡卡杜个人护理店（抖店）</v>
      </c>
      <c r="H7579" s="1" t="str">
        <f t="shared" si="2193"/>
        <v>正常订单</v>
      </c>
      <c r="I7579" s="1" t="str">
        <f t="shared" si="2194"/>
        <v>已发货</v>
      </c>
      <c r="J7579" s="1" t="str">
        <f t="shared" si="2201"/>
        <v>3</v>
      </c>
      <c r="K7579" s="1">
        <v>2</v>
      </c>
      <c r="L7579" s="1" t="s">
        <v>13</v>
      </c>
      <c r="M7579" s="1" t="str">
        <f>"江苏省 泰州市 泰兴市 黄桥镇"</f>
        <v>江苏省 泰州市 泰兴市 黄桥镇</v>
      </c>
      <c r="N7579" s="1" t="str">
        <f t="shared" si="2202"/>
        <v>凡华云仓-韵达-抖音</v>
      </c>
      <c r="O7579" s="5">
        <v>320170029592927</v>
      </c>
      <c r="P7579" s="6">
        <v>0.35</v>
      </c>
      <c r="Q7579" s="11">
        <v>2.2999999999999998</v>
      </c>
      <c r="R7579" s="11"/>
      <c r="S7579" s="11"/>
      <c r="T7579" s="11"/>
      <c r="U7579" s="11">
        <f t="shared" si="2190"/>
        <v>2.2999999999999998</v>
      </c>
      <c r="W7579">
        <v>2.5</v>
      </c>
      <c r="X7579" s="1" t="s">
        <v>13</v>
      </c>
    </row>
    <row r="7580" spans="1:24" x14ac:dyDescent="0.25">
      <c r="A7580" s="1" t="str">
        <f t="shared" si="2191"/>
        <v>卡卡杜-凤凰仓</v>
      </c>
      <c r="B7580" s="1" t="str">
        <f>"CK2024101320345"</f>
        <v>CK2024101320345</v>
      </c>
      <c r="C7580" s="1" t="str">
        <f>"DD2024101361010"</f>
        <v>DD2024101361010</v>
      </c>
      <c r="D7580" s="1" t="str">
        <f>"CK2024101351733"</f>
        <v>CK2024101351733</v>
      </c>
      <c r="E7580" s="1" t="str">
        <f>"6934958464457708976"</f>
        <v>6934958464457708976</v>
      </c>
      <c r="F7580" s="1" t="str">
        <f t="shared" si="2192"/>
        <v>花都四部-凤凰仓</v>
      </c>
      <c r="G7580" s="1" t="str">
        <f t="shared" si="2200"/>
        <v>卡卡杜个人护理店（抖店）</v>
      </c>
      <c r="H7580" s="1" t="str">
        <f t="shared" si="2193"/>
        <v>正常订单</v>
      </c>
      <c r="I7580" s="1" t="str">
        <f t="shared" si="2194"/>
        <v>已发货</v>
      </c>
      <c r="J7580" s="1" t="str">
        <f t="shared" si="2201"/>
        <v>3</v>
      </c>
      <c r="K7580" s="1">
        <v>2</v>
      </c>
      <c r="L7580" s="1" t="s">
        <v>74</v>
      </c>
      <c r="M7580" s="1" t="str">
        <f>"上海 上海市 宝山区 大场镇"</f>
        <v>上海 上海市 宝山区 大场镇</v>
      </c>
      <c r="N7580" s="1" t="str">
        <f t="shared" si="2202"/>
        <v>凡华云仓-韵达-抖音</v>
      </c>
      <c r="O7580" s="5">
        <v>320170029592822</v>
      </c>
      <c r="P7580" s="6">
        <v>0.35</v>
      </c>
      <c r="Q7580" s="11">
        <v>2.2999999999999998</v>
      </c>
      <c r="R7580" s="11"/>
      <c r="S7580" s="11"/>
      <c r="T7580" s="11"/>
      <c r="U7580" s="11">
        <f t="shared" si="2190"/>
        <v>2.2999999999999998</v>
      </c>
      <c r="W7580">
        <v>2.5</v>
      </c>
      <c r="X7580" s="1" t="s">
        <v>74</v>
      </c>
    </row>
    <row r="7581" spans="1:24" x14ac:dyDescent="0.25">
      <c r="A7581" s="1" t="str">
        <f t="shared" si="2191"/>
        <v>卡卡杜-凤凰仓</v>
      </c>
      <c r="B7581" s="1" t="str">
        <f>"CK2024101320344"</f>
        <v>CK2024101320344</v>
      </c>
      <c r="C7581" s="1" t="str">
        <f>"DD2024101361009"</f>
        <v>DD2024101361009</v>
      </c>
      <c r="D7581" s="1" t="str">
        <f>"CK2024101351732"</f>
        <v>CK2024101351732</v>
      </c>
      <c r="E7581" s="1" t="str">
        <f>"6934949727842538866"</f>
        <v>6934949727842538866</v>
      </c>
      <c r="F7581" s="1" t="str">
        <f t="shared" si="2192"/>
        <v>花都四部-凤凰仓</v>
      </c>
      <c r="G7581" s="1" t="str">
        <f t="shared" si="2200"/>
        <v>卡卡杜个人护理店（抖店）</v>
      </c>
      <c r="H7581" s="1" t="str">
        <f t="shared" si="2193"/>
        <v>正常订单</v>
      </c>
      <c r="I7581" s="1" t="str">
        <f t="shared" si="2194"/>
        <v>已发货</v>
      </c>
      <c r="J7581" s="1" t="str">
        <f t="shared" si="2201"/>
        <v>3</v>
      </c>
      <c r="K7581" s="1">
        <v>2</v>
      </c>
      <c r="L7581" s="1" t="s">
        <v>94</v>
      </c>
      <c r="M7581" s="1" t="str">
        <f>"湖南省 长沙市 天心区 南托街道"</f>
        <v>湖南省 长沙市 天心区 南托街道</v>
      </c>
      <c r="N7581" s="1" t="str">
        <f t="shared" si="2202"/>
        <v>凡华云仓-韵达-抖音</v>
      </c>
      <c r="O7581" s="5">
        <v>320170029592719</v>
      </c>
      <c r="P7581" s="6">
        <v>0.35</v>
      </c>
      <c r="Q7581" s="11">
        <v>2.2999999999999998</v>
      </c>
      <c r="R7581" s="11"/>
      <c r="S7581" s="11"/>
      <c r="T7581" s="11"/>
      <c r="U7581" s="11">
        <f t="shared" si="2190"/>
        <v>2.2999999999999998</v>
      </c>
      <c r="W7581">
        <v>2.5</v>
      </c>
      <c r="X7581" s="1" t="s">
        <v>94</v>
      </c>
    </row>
    <row r="7582" spans="1:24" x14ac:dyDescent="0.25">
      <c r="A7582" s="1" t="str">
        <f t="shared" si="2191"/>
        <v>卡卡杜-凤凰仓</v>
      </c>
      <c r="B7582" s="1" t="str">
        <f>"CK2024101320343"</f>
        <v>CK2024101320343</v>
      </c>
      <c r="C7582" s="1" t="str">
        <f>"DD2024101361008"</f>
        <v>DD2024101361008</v>
      </c>
      <c r="D7582" s="1" t="str">
        <f>"CK2024101351731"</f>
        <v>CK2024101351731</v>
      </c>
      <c r="E7582" s="1" t="str">
        <f>"6934958540141106219"</f>
        <v>6934958540141106219</v>
      </c>
      <c r="F7582" s="1" t="str">
        <f t="shared" si="2192"/>
        <v>花都四部-凤凰仓</v>
      </c>
      <c r="G7582" s="1" t="str">
        <f t="shared" si="2200"/>
        <v>卡卡杜个人护理店（抖店）</v>
      </c>
      <c r="H7582" s="1" t="str">
        <f t="shared" si="2193"/>
        <v>正常订单</v>
      </c>
      <c r="I7582" s="1" t="str">
        <f t="shared" si="2194"/>
        <v>已发货</v>
      </c>
      <c r="J7582" s="1" t="str">
        <f t="shared" si="2201"/>
        <v>3</v>
      </c>
      <c r="K7582" s="1">
        <v>2</v>
      </c>
      <c r="L7582" s="1" t="s">
        <v>22</v>
      </c>
      <c r="M7582" s="1" t="str">
        <f>"江西省 上饶市 广信区 望仙乡"</f>
        <v>江西省 上饶市 广信区 望仙乡</v>
      </c>
      <c r="N7582" s="1" t="str">
        <f t="shared" si="2202"/>
        <v>凡华云仓-韵达-抖音</v>
      </c>
      <c r="O7582" s="5">
        <v>320170017945043</v>
      </c>
      <c r="P7582" s="6">
        <v>0.35</v>
      </c>
      <c r="Q7582" s="11">
        <v>2.2999999999999998</v>
      </c>
      <c r="R7582" s="11"/>
      <c r="S7582" s="11"/>
      <c r="T7582" s="11"/>
      <c r="U7582" s="11">
        <f t="shared" si="2190"/>
        <v>2.2999999999999998</v>
      </c>
      <c r="W7582">
        <v>2.5</v>
      </c>
      <c r="X7582" s="1" t="s">
        <v>22</v>
      </c>
    </row>
    <row r="7583" spans="1:24" x14ac:dyDescent="0.25">
      <c r="A7583" s="1" t="str">
        <f t="shared" si="2191"/>
        <v>卡卡杜-凤凰仓</v>
      </c>
      <c r="B7583" s="1" t="str">
        <f>"CK2024101320326"</f>
        <v>CK2024101320326</v>
      </c>
      <c r="C7583" s="1" t="str">
        <f>"DD2024101360998"</f>
        <v>DD2024101360998</v>
      </c>
      <c r="D7583" s="1" t="str">
        <f>"CK2024101351730"</f>
        <v>CK2024101351730</v>
      </c>
      <c r="E7583" s="1" t="str">
        <f>"6934971452881310967"</f>
        <v>6934971452881310967</v>
      </c>
      <c r="F7583" s="1" t="str">
        <f t="shared" si="2192"/>
        <v>花都四部-凤凰仓</v>
      </c>
      <c r="G7583" s="1" t="str">
        <f t="shared" si="2200"/>
        <v>卡卡杜个人护理店（抖店）</v>
      </c>
      <c r="H7583" s="1" t="str">
        <f t="shared" si="2193"/>
        <v>正常订单</v>
      </c>
      <c r="I7583" s="1" t="str">
        <f t="shared" si="2194"/>
        <v>已发货</v>
      </c>
      <c r="J7583" s="1" t="str">
        <f t="shared" si="2201"/>
        <v>3</v>
      </c>
      <c r="K7583" s="1">
        <v>2</v>
      </c>
      <c r="L7583" s="1" t="s">
        <v>36</v>
      </c>
      <c r="M7583" s="1" t="str">
        <f>"安徽省 池州市 东至县 东流镇"</f>
        <v>安徽省 池州市 东至县 东流镇</v>
      </c>
      <c r="N7583" s="1" t="str">
        <f t="shared" si="2202"/>
        <v>凡华云仓-韵达-抖音</v>
      </c>
      <c r="O7583" s="5">
        <v>320170033698402</v>
      </c>
      <c r="P7583" s="6">
        <v>0.35</v>
      </c>
      <c r="Q7583" s="11">
        <v>2.2999999999999998</v>
      </c>
      <c r="R7583" s="11"/>
      <c r="S7583" s="11"/>
      <c r="T7583" s="11"/>
      <c r="U7583" s="11">
        <f t="shared" si="2190"/>
        <v>2.2999999999999998</v>
      </c>
      <c r="W7583">
        <v>2.5</v>
      </c>
      <c r="X7583" s="1" t="s">
        <v>36</v>
      </c>
    </row>
    <row r="7584" spans="1:24" x14ac:dyDescent="0.25">
      <c r="A7584" s="1" t="str">
        <f t="shared" si="2191"/>
        <v>卡卡杜-凤凰仓</v>
      </c>
      <c r="B7584" s="1" t="str">
        <f>"CK2024101320327"</f>
        <v>CK2024101320327</v>
      </c>
      <c r="C7584" s="1" t="str">
        <f>"DD2024101360996"</f>
        <v>DD2024101360996</v>
      </c>
      <c r="D7584" s="1" t="str">
        <f>"CK2024101351729"</f>
        <v>CK2024101351729</v>
      </c>
      <c r="E7584" s="1" t="str">
        <f>"6934985525303776882"</f>
        <v>6934985525303776882</v>
      </c>
      <c r="F7584" s="1" t="str">
        <f t="shared" si="2192"/>
        <v>花都四部-凤凰仓</v>
      </c>
      <c r="G7584" s="1" t="str">
        <f t="shared" si="2200"/>
        <v>卡卡杜个人护理店（抖店）</v>
      </c>
      <c r="H7584" s="1" t="str">
        <f t="shared" si="2193"/>
        <v>正常订单</v>
      </c>
      <c r="I7584" s="1" t="str">
        <f t="shared" si="2194"/>
        <v>已发货</v>
      </c>
      <c r="J7584" s="1" t="str">
        <f t="shared" si="2201"/>
        <v>3</v>
      </c>
      <c r="K7584" s="1">
        <v>2</v>
      </c>
      <c r="L7584" s="1" t="s">
        <v>36</v>
      </c>
      <c r="M7584" s="1" t="str">
        <f>"安徽省 宿州市 砀山县 砀城镇"</f>
        <v>安徽省 宿州市 砀山县 砀城镇</v>
      </c>
      <c r="N7584" s="1" t="str">
        <f t="shared" si="2202"/>
        <v>凡华云仓-韵达-抖音</v>
      </c>
      <c r="O7584" s="5">
        <v>320170033698307</v>
      </c>
      <c r="P7584" s="6">
        <v>0.35</v>
      </c>
      <c r="Q7584" s="11">
        <v>2.2999999999999998</v>
      </c>
      <c r="R7584" s="11"/>
      <c r="S7584" s="11"/>
      <c r="T7584" s="11"/>
      <c r="U7584" s="11">
        <f t="shared" si="2190"/>
        <v>2.2999999999999998</v>
      </c>
      <c r="W7584">
        <v>2.5</v>
      </c>
      <c r="X7584" s="1" t="s">
        <v>36</v>
      </c>
    </row>
    <row r="7585" spans="1:24" x14ac:dyDescent="0.25">
      <c r="A7585" s="1" t="str">
        <f t="shared" si="2191"/>
        <v>卡卡杜-凤凰仓</v>
      </c>
      <c r="B7585" s="1" t="str">
        <f>"CK2024101320328"</f>
        <v>CK2024101320328</v>
      </c>
      <c r="C7585" s="1" t="str">
        <f>"DD2024101360993"</f>
        <v>DD2024101360993</v>
      </c>
      <c r="D7585" s="1" t="str">
        <f>"CK2024101351728"</f>
        <v>CK2024101351728</v>
      </c>
      <c r="E7585" s="1" t="str">
        <f>"6934947514065163299"</f>
        <v>6934947514065163299</v>
      </c>
      <c r="F7585" s="1" t="str">
        <f t="shared" si="2192"/>
        <v>花都四部-凤凰仓</v>
      </c>
      <c r="G7585" s="1" t="str">
        <f t="shared" si="2200"/>
        <v>卡卡杜个人护理店（抖店）</v>
      </c>
      <c r="H7585" s="1" t="str">
        <f t="shared" si="2193"/>
        <v>正常订单</v>
      </c>
      <c r="I7585" s="1" t="str">
        <f t="shared" si="2194"/>
        <v>已发货</v>
      </c>
      <c r="J7585" s="1" t="str">
        <f t="shared" si="2201"/>
        <v>3</v>
      </c>
      <c r="K7585" s="1">
        <v>2</v>
      </c>
      <c r="L7585" s="1" t="s">
        <v>30</v>
      </c>
      <c r="M7585" s="1" t="str">
        <f>"山东省 菏泽市 单县 园艺街道"</f>
        <v>山东省 菏泽市 单县 园艺街道</v>
      </c>
      <c r="N7585" s="1" t="str">
        <f t="shared" si="2202"/>
        <v>凡华云仓-韵达-抖音</v>
      </c>
      <c r="O7585" s="5">
        <v>320170043160542</v>
      </c>
      <c r="P7585" s="6">
        <v>0.35</v>
      </c>
      <c r="Q7585" s="11">
        <v>2.2999999999999998</v>
      </c>
      <c r="R7585" s="11"/>
      <c r="S7585" s="11"/>
      <c r="T7585" s="11"/>
      <c r="U7585" s="11">
        <f t="shared" si="2190"/>
        <v>2.2999999999999998</v>
      </c>
      <c r="W7585">
        <v>2.5</v>
      </c>
      <c r="X7585" s="1" t="s">
        <v>30</v>
      </c>
    </row>
    <row r="7586" spans="1:24" x14ac:dyDescent="0.25">
      <c r="A7586" s="1" t="str">
        <f t="shared" si="2191"/>
        <v>卡卡杜-凤凰仓</v>
      </c>
      <c r="B7586" s="1" t="str">
        <f>"CK2024101320331"</f>
        <v>CK2024101320331</v>
      </c>
      <c r="C7586" s="1" t="str">
        <f>"DD2024101360999"</f>
        <v>DD2024101360999</v>
      </c>
      <c r="D7586" s="1" t="str">
        <f>"CK2024101351727"</f>
        <v>CK2024101351727</v>
      </c>
      <c r="E7586" s="1" t="str">
        <f>"6934956117896205758"</f>
        <v>6934956117896205758</v>
      </c>
      <c r="F7586" s="1" t="str">
        <f t="shared" si="2192"/>
        <v>花都四部-凤凰仓</v>
      </c>
      <c r="G7586" s="1" t="str">
        <f t="shared" si="2200"/>
        <v>卡卡杜个人护理店（抖店）</v>
      </c>
      <c r="H7586" s="1" t="str">
        <f t="shared" si="2193"/>
        <v>正常订单</v>
      </c>
      <c r="I7586" s="1" t="str">
        <f t="shared" si="2194"/>
        <v>已发货</v>
      </c>
      <c r="J7586" s="1" t="str">
        <f t="shared" si="2201"/>
        <v>3</v>
      </c>
      <c r="K7586" s="1">
        <v>2</v>
      </c>
      <c r="L7586" s="1" t="s">
        <v>27</v>
      </c>
      <c r="M7586" s="1" t="str">
        <f>"贵州省 黔南布依族苗族自治州 都匀市 广惠街道"</f>
        <v>贵州省 黔南布依族苗族自治州 都匀市 广惠街道</v>
      </c>
      <c r="N7586" s="1" t="str">
        <f t="shared" si="2202"/>
        <v>凡华云仓-韵达-抖音</v>
      </c>
      <c r="O7586" s="5">
        <v>320170043160445</v>
      </c>
      <c r="P7586" s="6">
        <v>0.35</v>
      </c>
      <c r="Q7586" s="11">
        <v>2.2999999999999998</v>
      </c>
      <c r="R7586" s="11"/>
      <c r="S7586" s="11"/>
      <c r="T7586" s="11"/>
      <c r="U7586" s="11">
        <f t="shared" si="2190"/>
        <v>2.2999999999999998</v>
      </c>
      <c r="W7586">
        <v>2.5</v>
      </c>
      <c r="X7586" s="1" t="s">
        <v>27</v>
      </c>
    </row>
    <row r="7587" spans="1:24" x14ac:dyDescent="0.25">
      <c r="A7587" s="1" t="str">
        <f t="shared" si="2191"/>
        <v>卡卡杜-凤凰仓</v>
      </c>
      <c r="B7587" s="1" t="str">
        <f>"CK2024101320332"</f>
        <v>CK2024101320332</v>
      </c>
      <c r="C7587" s="1" t="str">
        <f>"DD2024101361001"</f>
        <v>DD2024101361001</v>
      </c>
      <c r="D7587" s="1" t="str">
        <f>"CK2024101351726"</f>
        <v>CK2024101351726</v>
      </c>
      <c r="E7587" s="1" t="str">
        <f>"6934976073702052865"</f>
        <v>6934976073702052865</v>
      </c>
      <c r="F7587" s="1" t="str">
        <f t="shared" si="2192"/>
        <v>花都四部-凤凰仓</v>
      </c>
      <c r="G7587" s="1" t="str">
        <f t="shared" si="2200"/>
        <v>卡卡杜个人护理店（抖店）</v>
      </c>
      <c r="H7587" s="1" t="str">
        <f t="shared" si="2193"/>
        <v>正常订单</v>
      </c>
      <c r="I7587" s="1" t="str">
        <f t="shared" si="2194"/>
        <v>已发货</v>
      </c>
      <c r="J7587" s="1" t="str">
        <f t="shared" si="2201"/>
        <v>3</v>
      </c>
      <c r="K7587" s="1">
        <v>2</v>
      </c>
      <c r="L7587" s="1" t="s">
        <v>44</v>
      </c>
      <c r="M7587" s="1" t="str">
        <f>"海南省 三亚市 海棠区 "</f>
        <v xml:space="preserve">海南省 三亚市 海棠区 </v>
      </c>
      <c r="N7587" s="1" t="str">
        <f t="shared" si="2202"/>
        <v>凡华云仓-韵达-抖音</v>
      </c>
      <c r="O7587" s="5">
        <v>320170017944919</v>
      </c>
      <c r="P7587" s="6">
        <v>0.35</v>
      </c>
      <c r="Q7587" s="11">
        <v>2.2999999999999998</v>
      </c>
      <c r="R7587" s="11"/>
      <c r="S7587" s="11"/>
      <c r="T7587" s="11"/>
      <c r="U7587" s="11">
        <f t="shared" si="2190"/>
        <v>2.2999999999999998</v>
      </c>
      <c r="W7587">
        <v>2.5</v>
      </c>
      <c r="X7587" s="1" t="s">
        <v>44</v>
      </c>
    </row>
    <row r="7588" spans="1:24" x14ac:dyDescent="0.25">
      <c r="A7588" s="1" t="str">
        <f t="shared" si="2191"/>
        <v>卡卡杜-凤凰仓</v>
      </c>
      <c r="B7588" s="1" t="str">
        <f>"CK2024101320369"</f>
        <v>CK2024101320369</v>
      </c>
      <c r="C7588" s="1" t="str">
        <f>"DD2024101361025"</f>
        <v>DD2024101361025</v>
      </c>
      <c r="D7588" s="1" t="str">
        <f>"CK2024101351725"</f>
        <v>CK2024101351725</v>
      </c>
      <c r="E7588" s="1" t="str">
        <f>"6934937917454685411"</f>
        <v>6934937917454685411</v>
      </c>
      <c r="F7588" s="1" t="str">
        <f t="shared" si="2192"/>
        <v>花都四部-凤凰仓</v>
      </c>
      <c r="G7588" s="1" t="str">
        <f t="shared" si="2200"/>
        <v>卡卡杜个人护理店（抖店）</v>
      </c>
      <c r="H7588" s="1" t="str">
        <f t="shared" si="2193"/>
        <v>正常订单</v>
      </c>
      <c r="I7588" s="1" t="str">
        <f t="shared" si="2194"/>
        <v>已发货</v>
      </c>
      <c r="J7588" s="1" t="str">
        <f t="shared" si="2201"/>
        <v>3</v>
      </c>
      <c r="K7588" s="1">
        <v>2</v>
      </c>
      <c r="L7588" s="1" t="s">
        <v>16</v>
      </c>
      <c r="M7588" s="1" t="str">
        <f>"河北省 衡水市 安平县 "</f>
        <v xml:space="preserve">河北省 衡水市 安平县 </v>
      </c>
      <c r="N7588" s="1" t="str">
        <f t="shared" si="2202"/>
        <v>凡华云仓-韵达-抖音</v>
      </c>
      <c r="O7588" s="5">
        <v>320170017944814</v>
      </c>
      <c r="P7588" s="6">
        <v>0.35</v>
      </c>
      <c r="Q7588" s="11">
        <v>2.2999999999999998</v>
      </c>
      <c r="R7588" s="11"/>
      <c r="S7588" s="11"/>
      <c r="T7588" s="11"/>
      <c r="U7588" s="11">
        <f t="shared" si="2190"/>
        <v>2.2999999999999998</v>
      </c>
      <c r="W7588">
        <v>2.5</v>
      </c>
      <c r="X7588" s="1" t="s">
        <v>16</v>
      </c>
    </row>
    <row r="7589" spans="1:24" x14ac:dyDescent="0.25">
      <c r="A7589" s="1" t="str">
        <f t="shared" si="2191"/>
        <v>卡卡杜-凤凰仓</v>
      </c>
      <c r="B7589" s="1" t="str">
        <f>"CK2024101320334"</f>
        <v>CK2024101320334</v>
      </c>
      <c r="C7589" s="1" t="str">
        <f>"DD2024101361002"</f>
        <v>DD2024101361002</v>
      </c>
      <c r="D7589" s="1" t="str">
        <f>"CK2024101351724"</f>
        <v>CK2024101351724</v>
      </c>
      <c r="E7589" s="1" t="str">
        <f>"6934976025307387709"</f>
        <v>6934976025307387709</v>
      </c>
      <c r="F7589" s="1" t="str">
        <f t="shared" si="2192"/>
        <v>花都四部-凤凰仓</v>
      </c>
      <c r="G7589" s="1" t="str">
        <f t="shared" si="2200"/>
        <v>卡卡杜个人护理店（抖店）</v>
      </c>
      <c r="H7589" s="1" t="str">
        <f t="shared" si="2193"/>
        <v>正常订单</v>
      </c>
      <c r="I7589" s="1" t="str">
        <f t="shared" si="2194"/>
        <v>已发货</v>
      </c>
      <c r="J7589" s="1" t="str">
        <f>"5"</f>
        <v>5</v>
      </c>
      <c r="K7589" s="1">
        <v>2</v>
      </c>
      <c r="L7589" s="1" t="s">
        <v>18</v>
      </c>
      <c r="M7589" s="1" t="str">
        <f>"广东省 佛山市 顺德区 勒流街道"</f>
        <v>广东省 佛山市 顺德区 勒流街道</v>
      </c>
      <c r="N7589" s="1" t="str">
        <f t="shared" si="2202"/>
        <v>凡华云仓-韵达-抖音</v>
      </c>
      <c r="O7589" s="5">
        <v>320170017944711</v>
      </c>
      <c r="P7589" s="6">
        <v>0.59</v>
      </c>
      <c r="Q7589" s="11">
        <f>CEILING(P7589-0.5,0.1)*10*0.15+2.3</f>
        <v>2.4499999999999997</v>
      </c>
      <c r="R7589" s="11"/>
      <c r="S7589" s="11"/>
      <c r="T7589" s="11"/>
      <c r="U7589" s="11">
        <f t="shared" si="2190"/>
        <v>2.4499999999999997</v>
      </c>
      <c r="V7589" t="s">
        <v>15</v>
      </c>
      <c r="W7589">
        <v>2.4500000000000002</v>
      </c>
      <c r="X7589" s="1" t="s">
        <v>18</v>
      </c>
    </row>
    <row r="7590" spans="1:24" x14ac:dyDescent="0.25">
      <c r="A7590" s="1" t="str">
        <f t="shared" si="2191"/>
        <v>卡卡杜-凤凰仓</v>
      </c>
      <c r="B7590" s="1" t="str">
        <f>"CK2024101320338"</f>
        <v>CK2024101320338</v>
      </c>
      <c r="C7590" s="1" t="str">
        <f>"DD2024101361005"</f>
        <v>DD2024101361005</v>
      </c>
      <c r="D7590" s="1" t="str">
        <f>"CK2024101351723"</f>
        <v>CK2024101351723</v>
      </c>
      <c r="E7590" s="1" t="str">
        <f>"6934958646404715720"</f>
        <v>6934958646404715720</v>
      </c>
      <c r="F7590" s="1" t="str">
        <f t="shared" si="2192"/>
        <v>花都四部-凤凰仓</v>
      </c>
      <c r="G7590" s="1" t="str">
        <f t="shared" si="2200"/>
        <v>卡卡杜个人护理店（抖店）</v>
      </c>
      <c r="H7590" s="1" t="str">
        <f t="shared" si="2193"/>
        <v>正常订单</v>
      </c>
      <c r="I7590" s="1" t="str">
        <f t="shared" si="2194"/>
        <v>已发货</v>
      </c>
      <c r="J7590" s="1" t="str">
        <f t="shared" ref="J7590:J7594" si="2203">"3"</f>
        <v>3</v>
      </c>
      <c r="K7590" s="1">
        <v>2</v>
      </c>
      <c r="L7590" s="1" t="s">
        <v>161</v>
      </c>
      <c r="M7590" s="1" t="str">
        <f>"四川省 甘孜藏族自治州 泸定县 得妥镇"</f>
        <v>四川省 甘孜藏族自治州 泸定县 得妥镇</v>
      </c>
      <c r="N7590" s="1" t="str">
        <f t="shared" si="2202"/>
        <v>凡华云仓-韵达-抖音</v>
      </c>
      <c r="O7590" s="5">
        <v>320170017944610</v>
      </c>
      <c r="P7590" s="6">
        <v>0.35</v>
      </c>
      <c r="Q7590" s="11">
        <v>2.2999999999999998</v>
      </c>
      <c r="R7590" s="11"/>
      <c r="S7590" s="11"/>
      <c r="T7590" s="11"/>
      <c r="U7590" s="11">
        <f t="shared" si="2190"/>
        <v>2.2999999999999998</v>
      </c>
      <c r="W7590">
        <v>2.5</v>
      </c>
      <c r="X7590" s="1" t="s">
        <v>161</v>
      </c>
    </row>
    <row r="7591" spans="1:24" x14ac:dyDescent="0.25">
      <c r="A7591" s="1" t="str">
        <f t="shared" si="2191"/>
        <v>卡卡杜-凤凰仓</v>
      </c>
      <c r="B7591" s="1" t="str">
        <f>"CK2024101320339"</f>
        <v>CK2024101320339</v>
      </c>
      <c r="C7591" s="1" t="str">
        <f>"DD2024101361004"</f>
        <v>DD2024101361004</v>
      </c>
      <c r="D7591" s="1" t="str">
        <f>"CK2024101351722"</f>
        <v>CK2024101351722</v>
      </c>
      <c r="E7591" s="1" t="str">
        <f>"6934969653210977360"</f>
        <v>6934969653210977360</v>
      </c>
      <c r="F7591" s="1" t="str">
        <f t="shared" si="2192"/>
        <v>花都四部-凤凰仓</v>
      </c>
      <c r="G7591" s="1" t="str">
        <f t="shared" si="2200"/>
        <v>卡卡杜个人护理店（抖店）</v>
      </c>
      <c r="H7591" s="1" t="str">
        <f t="shared" si="2193"/>
        <v>正常订单</v>
      </c>
      <c r="I7591" s="1" t="str">
        <f t="shared" si="2194"/>
        <v>已发货</v>
      </c>
      <c r="J7591" s="1" t="str">
        <f t="shared" si="2203"/>
        <v>3</v>
      </c>
      <c r="K7591" s="1">
        <v>2</v>
      </c>
      <c r="L7591" s="1" t="s">
        <v>20</v>
      </c>
      <c r="M7591" s="1" t="str">
        <f>"浙江省 温州市 鹿城区 藤桥镇"</f>
        <v>浙江省 温州市 鹿城区 藤桥镇</v>
      </c>
      <c r="N7591" s="1" t="str">
        <f t="shared" si="2202"/>
        <v>凡华云仓-韵达-抖音</v>
      </c>
      <c r="O7591" s="5">
        <v>320170017944511</v>
      </c>
      <c r="P7591" s="6">
        <v>0.35</v>
      </c>
      <c r="Q7591" s="11">
        <v>2.2999999999999998</v>
      </c>
      <c r="R7591" s="11"/>
      <c r="S7591" s="11"/>
      <c r="T7591" s="11"/>
      <c r="U7591" s="11">
        <f t="shared" si="2190"/>
        <v>2.2999999999999998</v>
      </c>
      <c r="W7591">
        <v>2.5</v>
      </c>
      <c r="X7591" s="1" t="s">
        <v>20</v>
      </c>
    </row>
    <row r="7592" spans="1:24" x14ac:dyDescent="0.25">
      <c r="A7592" s="1" t="str">
        <f t="shared" si="2191"/>
        <v>卡卡杜-凤凰仓</v>
      </c>
      <c r="B7592" s="1" t="str">
        <f>"CK2024101320341"</f>
        <v>CK2024101320341</v>
      </c>
      <c r="C7592" s="1" t="str">
        <f>"DD2024101361006"</f>
        <v>DD2024101361006</v>
      </c>
      <c r="D7592" s="1" t="str">
        <f>"CK2024101351721"</f>
        <v>CK2024101351721</v>
      </c>
      <c r="E7592" s="1" t="str">
        <f>"6934967162757125216"</f>
        <v>6934967162757125216</v>
      </c>
      <c r="F7592" s="1" t="str">
        <f t="shared" si="2192"/>
        <v>花都四部-凤凰仓</v>
      </c>
      <c r="G7592" s="1" t="str">
        <f t="shared" si="2200"/>
        <v>卡卡杜个人护理店（抖店）</v>
      </c>
      <c r="H7592" s="1" t="str">
        <f t="shared" si="2193"/>
        <v>正常订单</v>
      </c>
      <c r="I7592" s="1" t="str">
        <f t="shared" si="2194"/>
        <v>已发货</v>
      </c>
      <c r="J7592" s="1" t="str">
        <f t="shared" si="2203"/>
        <v>3</v>
      </c>
      <c r="K7592" s="1">
        <v>2</v>
      </c>
      <c r="L7592" s="1" t="s">
        <v>18</v>
      </c>
      <c r="M7592" s="1" t="str">
        <f>"广东省 东莞市 东莞市 清溪镇"</f>
        <v>广东省 东莞市 东莞市 清溪镇</v>
      </c>
      <c r="N7592" s="1" t="str">
        <f t="shared" si="2202"/>
        <v>凡华云仓-韵达-抖音</v>
      </c>
      <c r="O7592" s="5">
        <v>320170017944414</v>
      </c>
      <c r="P7592" s="6">
        <v>0.35</v>
      </c>
      <c r="Q7592" s="11">
        <v>2.2999999999999998</v>
      </c>
      <c r="R7592" s="11"/>
      <c r="S7592" s="11"/>
      <c r="T7592" s="11"/>
      <c r="U7592" s="11">
        <f t="shared" si="2190"/>
        <v>2.2999999999999998</v>
      </c>
      <c r="W7592">
        <v>2.5</v>
      </c>
      <c r="X7592" s="1" t="s">
        <v>18</v>
      </c>
    </row>
    <row r="7593" spans="1:24" x14ac:dyDescent="0.25">
      <c r="A7593" s="1" t="str">
        <f t="shared" si="2191"/>
        <v>卡卡杜-凤凰仓</v>
      </c>
      <c r="B7593" s="1" t="str">
        <f>"CK2024101320342"</f>
        <v>CK2024101320342</v>
      </c>
      <c r="C7593" s="1" t="str">
        <f>"DD2024101361007"</f>
        <v>DD2024101361007</v>
      </c>
      <c r="D7593" s="1" t="str">
        <f>"CK2024101351720"</f>
        <v>CK2024101351720</v>
      </c>
      <c r="E7593" s="1" t="str">
        <f>"6934971344076543091"</f>
        <v>6934971344076543091</v>
      </c>
      <c r="F7593" s="1" t="str">
        <f t="shared" si="2192"/>
        <v>花都四部-凤凰仓</v>
      </c>
      <c r="G7593" s="1" t="str">
        <f t="shared" si="2200"/>
        <v>卡卡杜个人护理店（抖店）</v>
      </c>
      <c r="H7593" s="1" t="str">
        <f t="shared" si="2193"/>
        <v>正常订单</v>
      </c>
      <c r="I7593" s="1" t="str">
        <f t="shared" si="2194"/>
        <v>已发货</v>
      </c>
      <c r="J7593" s="1" t="str">
        <f t="shared" si="2203"/>
        <v>3</v>
      </c>
      <c r="K7593" s="1">
        <v>2</v>
      </c>
      <c r="L7593" s="1" t="s">
        <v>13</v>
      </c>
      <c r="M7593" s="1" t="str">
        <f>"江苏省 南京市 浦口区 泰山街道"</f>
        <v>江苏省 南京市 浦口区 泰山街道</v>
      </c>
      <c r="N7593" s="1" t="str">
        <f t="shared" si="2202"/>
        <v>凡华云仓-韵达-抖音</v>
      </c>
      <c r="O7593" s="5">
        <v>320170017944319</v>
      </c>
      <c r="P7593" s="6">
        <v>0.35</v>
      </c>
      <c r="Q7593" s="11">
        <v>2.2999999999999998</v>
      </c>
      <c r="R7593" s="11"/>
      <c r="S7593" s="11"/>
      <c r="T7593" s="11"/>
      <c r="U7593" s="11">
        <f t="shared" si="2190"/>
        <v>2.2999999999999998</v>
      </c>
      <c r="W7593">
        <v>2.5</v>
      </c>
      <c r="X7593" s="1" t="s">
        <v>13</v>
      </c>
    </row>
    <row r="7594" spans="1:24" x14ac:dyDescent="0.25">
      <c r="A7594" s="1" t="str">
        <f t="shared" si="2191"/>
        <v>卡卡杜-凤凰仓</v>
      </c>
      <c r="B7594" s="1" t="str">
        <f>"CK2024101320366"</f>
        <v>CK2024101320366</v>
      </c>
      <c r="C7594" s="1" t="str">
        <f>"DD2024101361024"</f>
        <v>DD2024101361024</v>
      </c>
      <c r="D7594" s="1" t="str">
        <f>"CK2024101351719"</f>
        <v>CK2024101351719</v>
      </c>
      <c r="E7594" s="1" t="str">
        <f>"6917559188881571671"</f>
        <v>6917559188881571671</v>
      </c>
      <c r="F7594" s="1" t="str">
        <f t="shared" si="2192"/>
        <v>花都四部-凤凰仓</v>
      </c>
      <c r="G7594" s="1" t="str">
        <f t="shared" si="2200"/>
        <v>卡卡杜个人护理店（抖店）</v>
      </c>
      <c r="H7594" s="1" t="str">
        <f t="shared" si="2193"/>
        <v>正常订单</v>
      </c>
      <c r="I7594" s="1" t="str">
        <f t="shared" si="2194"/>
        <v>已发货</v>
      </c>
      <c r="J7594" s="1" t="str">
        <f t="shared" si="2203"/>
        <v>3</v>
      </c>
      <c r="K7594" s="1">
        <v>2</v>
      </c>
      <c r="L7594" s="1" t="s">
        <v>94</v>
      </c>
      <c r="M7594" s="1" t="str">
        <f>"湖南省 张家界市 慈利县 通津铺镇"</f>
        <v>湖南省 张家界市 慈利县 通津铺镇</v>
      </c>
      <c r="N7594" s="1" t="str">
        <f t="shared" si="2202"/>
        <v>凡华云仓-韵达-抖音</v>
      </c>
      <c r="O7594" s="5">
        <v>320170017944226</v>
      </c>
      <c r="P7594" s="6">
        <v>0.35</v>
      </c>
      <c r="Q7594" s="11">
        <v>2.2999999999999998</v>
      </c>
      <c r="R7594" s="11"/>
      <c r="S7594" s="11"/>
      <c r="T7594" s="11"/>
      <c r="U7594" s="11">
        <f t="shared" si="2190"/>
        <v>2.2999999999999998</v>
      </c>
      <c r="W7594">
        <v>2.5</v>
      </c>
      <c r="X7594" s="1" t="s">
        <v>94</v>
      </c>
    </row>
    <row r="7595" spans="1:24" x14ac:dyDescent="0.25">
      <c r="A7595" s="1" t="str">
        <f t="shared" si="2191"/>
        <v>卡卡杜-凤凰仓</v>
      </c>
      <c r="B7595" s="1" t="str">
        <f>"CK2024101320335"</f>
        <v>CK2024101320335</v>
      </c>
      <c r="C7595" s="1" t="str">
        <f>"DD2024101361000"</f>
        <v>DD2024101361000</v>
      </c>
      <c r="D7595" s="1" t="str">
        <f>"CK2024101351718"</f>
        <v>CK2024101351718</v>
      </c>
      <c r="E7595" s="1" t="str">
        <f>"6934971459992556607"</f>
        <v>6934971459992556607</v>
      </c>
      <c r="F7595" s="1" t="str">
        <f t="shared" si="2192"/>
        <v>花都四部-凤凰仓</v>
      </c>
      <c r="G7595" s="1" t="str">
        <f t="shared" si="2200"/>
        <v>卡卡杜个人护理店（抖店）</v>
      </c>
      <c r="H7595" s="1" t="str">
        <f t="shared" si="2193"/>
        <v>正常订单</v>
      </c>
      <c r="I7595" s="1" t="str">
        <f t="shared" si="2194"/>
        <v>已发货</v>
      </c>
      <c r="J7595" s="1" t="str">
        <f>"5"</f>
        <v>5</v>
      </c>
      <c r="K7595" s="1">
        <v>2</v>
      </c>
      <c r="L7595" s="1" t="s">
        <v>20</v>
      </c>
      <c r="M7595" s="1" t="str">
        <f>"浙江省 金华市 东阳市 白云街道"</f>
        <v>浙江省 金华市 东阳市 白云街道</v>
      </c>
      <c r="N7595" s="1" t="str">
        <f t="shared" si="2202"/>
        <v>凡华云仓-韵达-抖音</v>
      </c>
      <c r="O7595" s="5">
        <v>320170017944135</v>
      </c>
      <c r="P7595" s="6">
        <v>0.59</v>
      </c>
      <c r="Q7595" s="11">
        <f>CEILING(P7595-0.5,0.1)*10*0.15+2.3</f>
        <v>2.4499999999999997</v>
      </c>
      <c r="R7595" s="11"/>
      <c r="S7595" s="11"/>
      <c r="T7595" s="11"/>
      <c r="U7595" s="11">
        <f t="shared" si="2190"/>
        <v>2.4499999999999997</v>
      </c>
      <c r="V7595" t="s">
        <v>15</v>
      </c>
      <c r="W7595">
        <v>2.4500000000000002</v>
      </c>
      <c r="X7595" s="1" t="s">
        <v>20</v>
      </c>
    </row>
    <row r="7596" spans="1:24" x14ac:dyDescent="0.25">
      <c r="A7596" s="1" t="str">
        <f t="shared" si="2191"/>
        <v>卡卡杜-凤凰仓</v>
      </c>
      <c r="B7596" s="1" t="str">
        <f>"CK2024101328"</f>
        <v>CK2024101328</v>
      </c>
      <c r="C7596" s="1" t="str">
        <f>"DD2024101318101"</f>
        <v>DD2024101318101</v>
      </c>
      <c r="D7596" s="1" t="str">
        <f>"CK2024101326756"</f>
        <v>CK2024101326756</v>
      </c>
      <c r="E7596" s="1" t="str">
        <f>"3723273870012190720"</f>
        <v>3723273870012190720</v>
      </c>
      <c r="F7596" s="1" t="str">
        <f t="shared" si="2192"/>
        <v>花都四部-凤凰仓</v>
      </c>
      <c r="G7596" s="1" t="str">
        <f t="shared" ref="G7596:G7599" si="2204">"卡卡杜企业店（视频号）"</f>
        <v>卡卡杜企业店（视频号）</v>
      </c>
      <c r="H7596" s="1" t="str">
        <f t="shared" si="2193"/>
        <v>正常订单</v>
      </c>
      <c r="I7596" s="1" t="str">
        <f t="shared" si="2194"/>
        <v>已发货</v>
      </c>
      <c r="J7596" s="1" t="str">
        <f t="shared" ref="J7596:J7614" si="2205">"3"</f>
        <v>3</v>
      </c>
      <c r="K7596" s="1">
        <v>3</v>
      </c>
      <c r="L7596" s="1" t="s">
        <v>20</v>
      </c>
      <c r="M7596" s="1" t="str">
        <f>"浙江省 杭州市 上城区 "</f>
        <v xml:space="preserve">浙江省 杭州市 上城区 </v>
      </c>
      <c r="N7596" s="1" t="str">
        <f t="shared" ref="N7596:N7599" si="2206">"凡华云仓-韵达-微信视频号"</f>
        <v>凡华云仓-韵达-微信视频号</v>
      </c>
      <c r="O7596" s="5">
        <v>315012817395669</v>
      </c>
      <c r="P7596" s="6">
        <v>0.34</v>
      </c>
      <c r="Q7596" s="11">
        <v>2.2999999999999998</v>
      </c>
      <c r="R7596" s="11"/>
      <c r="S7596" s="11"/>
      <c r="T7596" s="11"/>
      <c r="U7596" s="11">
        <f t="shared" si="2190"/>
        <v>2.2999999999999998</v>
      </c>
      <c r="W7596">
        <v>2.5</v>
      </c>
      <c r="X7596" s="1" t="s">
        <v>20</v>
      </c>
    </row>
    <row r="7597" spans="1:24" x14ac:dyDescent="0.25">
      <c r="A7597" s="1" t="str">
        <f t="shared" si="2191"/>
        <v>卡卡杜-凤凰仓</v>
      </c>
      <c r="B7597" s="1" t="str">
        <f>"CK2024101321"</f>
        <v>CK2024101321</v>
      </c>
      <c r="C7597" s="1" t="str">
        <f>"DD2024101318091"</f>
        <v>DD2024101318091</v>
      </c>
      <c r="D7597" s="1" t="str">
        <f>"CK2024101326755"</f>
        <v>CK2024101326755</v>
      </c>
      <c r="E7597" s="1" t="str">
        <f>"3723266988812928512"</f>
        <v>3723266988812928512</v>
      </c>
      <c r="F7597" s="1" t="str">
        <f t="shared" si="2192"/>
        <v>花都四部-凤凰仓</v>
      </c>
      <c r="G7597" s="1" t="str">
        <f t="shared" si="2204"/>
        <v>卡卡杜企业店（视频号）</v>
      </c>
      <c r="H7597" s="1" t="str">
        <f t="shared" si="2193"/>
        <v>正常订单</v>
      </c>
      <c r="I7597" s="1" t="str">
        <f t="shared" si="2194"/>
        <v>已发货</v>
      </c>
      <c r="J7597" s="1" t="str">
        <f>"1"</f>
        <v>1</v>
      </c>
      <c r="K7597" s="1">
        <v>1</v>
      </c>
      <c r="L7597" s="1" t="s">
        <v>47</v>
      </c>
      <c r="M7597" s="1" t="str">
        <f>"重庆 重庆市 涪陵区 "</f>
        <v xml:space="preserve">重庆 重庆市 涪陵区 </v>
      </c>
      <c r="N7597" s="1" t="str">
        <f t="shared" si="2206"/>
        <v>凡华云仓-韵达-微信视频号</v>
      </c>
      <c r="O7597" s="5">
        <v>315012817394381</v>
      </c>
      <c r="P7597" s="6">
        <v>0.12</v>
      </c>
      <c r="Q7597" s="11">
        <v>2</v>
      </c>
      <c r="R7597" s="11"/>
      <c r="S7597" s="11"/>
      <c r="T7597" s="11"/>
      <c r="U7597" s="11">
        <f t="shared" si="2190"/>
        <v>2</v>
      </c>
      <c r="W7597">
        <v>2.2000000000000002</v>
      </c>
      <c r="X7597" s="1" t="s">
        <v>47</v>
      </c>
    </row>
    <row r="7598" spans="1:24" x14ac:dyDescent="0.25">
      <c r="A7598" s="1" t="str">
        <f t="shared" si="2191"/>
        <v>卡卡杜-凤凰仓</v>
      </c>
      <c r="B7598" s="1" t="str">
        <f>"CK2024101304"</f>
        <v>CK2024101304</v>
      </c>
      <c r="C7598" s="1" t="str">
        <f>"DD2024101318068"</f>
        <v>DD2024101318068</v>
      </c>
      <c r="D7598" s="1" t="str">
        <f>"CK2024101326754"</f>
        <v>CK2024101326754</v>
      </c>
      <c r="E7598" s="1" t="str">
        <f>"3723266785035817984"</f>
        <v>3723266785035817984</v>
      </c>
      <c r="F7598" s="1" t="str">
        <f t="shared" si="2192"/>
        <v>花都四部-凤凰仓</v>
      </c>
      <c r="G7598" s="1" t="str">
        <f t="shared" si="2204"/>
        <v>卡卡杜企业店（视频号）</v>
      </c>
      <c r="H7598" s="1" t="str">
        <f t="shared" si="2193"/>
        <v>正常订单</v>
      </c>
      <c r="I7598" s="1" t="str">
        <f t="shared" si="2194"/>
        <v>已发货</v>
      </c>
      <c r="J7598" s="1" t="str">
        <f>"1"</f>
        <v>1</v>
      </c>
      <c r="K7598" s="1">
        <v>1</v>
      </c>
      <c r="L7598" s="1" t="s">
        <v>74</v>
      </c>
      <c r="M7598" s="1" t="str">
        <f>"上海 上海市 杨浦区 "</f>
        <v xml:space="preserve">上海 上海市 杨浦区 </v>
      </c>
      <c r="N7598" s="1" t="str">
        <f t="shared" si="2206"/>
        <v>凡华云仓-韵达-微信视频号</v>
      </c>
      <c r="O7598" s="5">
        <v>315012817393102</v>
      </c>
      <c r="P7598" s="6">
        <v>0.12</v>
      </c>
      <c r="Q7598" s="11">
        <v>2</v>
      </c>
      <c r="R7598" s="11"/>
      <c r="S7598" s="11"/>
      <c r="T7598" s="11"/>
      <c r="U7598" s="11">
        <f t="shared" si="2190"/>
        <v>2</v>
      </c>
      <c r="W7598">
        <v>2.2000000000000002</v>
      </c>
      <c r="X7598" s="1" t="s">
        <v>74</v>
      </c>
    </row>
    <row r="7599" spans="1:24" x14ac:dyDescent="0.25">
      <c r="A7599" s="1" t="str">
        <f t="shared" si="2191"/>
        <v>卡卡杜-凤凰仓</v>
      </c>
      <c r="B7599" s="1" t="str">
        <f>"CK2024101302"</f>
        <v>CK2024101302</v>
      </c>
      <c r="C7599" s="1" t="str">
        <f>"DD2024101318070"</f>
        <v>DD2024101318070</v>
      </c>
      <c r="D7599" s="1" t="str">
        <f>"CK2024101326753"</f>
        <v>CK2024101326753</v>
      </c>
      <c r="E7599" s="1" t="str">
        <f>"3723265505319064576"</f>
        <v>3723265505319064576</v>
      </c>
      <c r="F7599" s="1" t="str">
        <f t="shared" si="2192"/>
        <v>花都四部-凤凰仓</v>
      </c>
      <c r="G7599" s="1" t="str">
        <f t="shared" si="2204"/>
        <v>卡卡杜企业店（视频号）</v>
      </c>
      <c r="H7599" s="1" t="str">
        <f t="shared" si="2193"/>
        <v>正常订单</v>
      </c>
      <c r="I7599" s="1" t="str">
        <f t="shared" si="2194"/>
        <v>已发货</v>
      </c>
      <c r="J7599" s="1" t="str">
        <f t="shared" si="2205"/>
        <v>3</v>
      </c>
      <c r="K7599" s="1">
        <v>3</v>
      </c>
      <c r="L7599" s="1" t="s">
        <v>105</v>
      </c>
      <c r="M7599" s="1" t="str">
        <f>"北京 北京市 丰台区 "</f>
        <v xml:space="preserve">北京 北京市 丰台区 </v>
      </c>
      <c r="N7599" s="1" t="str">
        <f t="shared" si="2206"/>
        <v>凡华云仓-韵达-微信视频号</v>
      </c>
      <c r="O7599" s="5">
        <v>315012817391693</v>
      </c>
      <c r="P7599" s="6">
        <v>0.34</v>
      </c>
      <c r="Q7599" s="11">
        <v>2.2999999999999998</v>
      </c>
      <c r="R7599" s="11"/>
      <c r="S7599" s="11"/>
      <c r="T7599" s="11"/>
      <c r="U7599" s="11">
        <f t="shared" si="2190"/>
        <v>2.2999999999999998</v>
      </c>
      <c r="W7599">
        <v>2.5</v>
      </c>
      <c r="X7599" s="1" t="s">
        <v>105</v>
      </c>
    </row>
    <row r="7600" spans="1:24" x14ac:dyDescent="0.25">
      <c r="A7600" s="1" t="str">
        <f t="shared" si="2191"/>
        <v>卡卡杜-凤凰仓</v>
      </c>
      <c r="B7600" s="1" t="str">
        <f>"CK2024101312"</f>
        <v>CK2024101312</v>
      </c>
      <c r="C7600" s="1" t="str">
        <f>"DD2024101318080"</f>
        <v>DD2024101318080</v>
      </c>
      <c r="D7600" s="1" t="str">
        <f>"CK2024101326736"</f>
        <v>CK2024101326736</v>
      </c>
      <c r="E7600" s="1" t="str">
        <f>"2428601845970406"</f>
        <v>2428601845970406</v>
      </c>
      <c r="F7600" s="1" t="str">
        <f t="shared" si="2192"/>
        <v>花都四部-凤凰仓</v>
      </c>
      <c r="G7600" s="1" t="str">
        <f>"卡卡杜佳旺专卖店（快手店）"</f>
        <v>卡卡杜佳旺专卖店（快手店）</v>
      </c>
      <c r="H7600" s="1" t="str">
        <f t="shared" si="2193"/>
        <v>正常订单</v>
      </c>
      <c r="I7600" s="1" t="str">
        <f t="shared" si="2194"/>
        <v>已发货</v>
      </c>
      <c r="J7600" s="1" t="str">
        <f t="shared" si="2205"/>
        <v>3</v>
      </c>
      <c r="K7600" s="1">
        <v>3</v>
      </c>
      <c r="L7600" s="1" t="s">
        <v>54</v>
      </c>
      <c r="M7600" s="1" t="str">
        <f>"黑龙江省 大庆市 杜尔伯特蒙古族自治县 杜尔伯特镇"</f>
        <v>黑龙江省 大庆市 杜尔伯特蒙古族自治县 杜尔伯特镇</v>
      </c>
      <c r="N7600" s="1" t="str">
        <f>"凡华云仓-韵达-快手"</f>
        <v>凡华云仓-韵达-快手</v>
      </c>
      <c r="O7600" s="5">
        <v>319206485252354</v>
      </c>
      <c r="P7600" s="6">
        <v>0.34</v>
      </c>
      <c r="Q7600" s="11">
        <v>2.2999999999999998</v>
      </c>
      <c r="R7600" s="11"/>
      <c r="S7600" s="11"/>
      <c r="T7600" s="11"/>
      <c r="U7600" s="11">
        <f t="shared" si="2190"/>
        <v>2.2999999999999998</v>
      </c>
      <c r="W7600">
        <v>2.5</v>
      </c>
      <c r="X7600" s="1" t="s">
        <v>54</v>
      </c>
    </row>
    <row r="7601" spans="1:24" x14ac:dyDescent="0.25">
      <c r="A7601" s="1" t="str">
        <f t="shared" si="2191"/>
        <v>卡卡杜-凤凰仓</v>
      </c>
      <c r="B7601" s="1" t="str">
        <f>"CK2024101322"</f>
        <v>CK2024101322</v>
      </c>
      <c r="C7601" s="1" t="str">
        <f>"DD2024101318089"</f>
        <v>DD2024101318089</v>
      </c>
      <c r="D7601" s="1" t="str">
        <f>"CK2024101326735"</f>
        <v>CK2024101326735</v>
      </c>
      <c r="E7601" s="1" t="str">
        <f>"2428702000122565"</f>
        <v>2428702000122565</v>
      </c>
      <c r="F7601" s="1" t="str">
        <f t="shared" si="2192"/>
        <v>花都四部-凤凰仓</v>
      </c>
      <c r="G7601" s="1" t="str">
        <f>"卡卡杜佳旺专卖店（快手店）"</f>
        <v>卡卡杜佳旺专卖店（快手店）</v>
      </c>
      <c r="H7601" s="1" t="str">
        <f t="shared" si="2193"/>
        <v>正常订单</v>
      </c>
      <c r="I7601" s="1" t="str">
        <f t="shared" si="2194"/>
        <v>已发货</v>
      </c>
      <c r="J7601" s="1" t="str">
        <f t="shared" si="2205"/>
        <v>3</v>
      </c>
      <c r="K7601" s="1">
        <v>3</v>
      </c>
      <c r="L7601" s="1" t="s">
        <v>92</v>
      </c>
      <c r="M7601" s="1" t="str">
        <f>"辽宁省 大连市 中山区 "</f>
        <v xml:space="preserve">辽宁省 大连市 中山区 </v>
      </c>
      <c r="N7601" s="1" t="str">
        <f>"凡华云仓-韵达-快手"</f>
        <v>凡华云仓-韵达-快手</v>
      </c>
      <c r="O7601" s="5">
        <v>319206826022495</v>
      </c>
      <c r="P7601" s="6">
        <v>0.34</v>
      </c>
      <c r="Q7601" s="11">
        <v>2.2999999999999998</v>
      </c>
      <c r="R7601" s="11"/>
      <c r="S7601" s="11"/>
      <c r="T7601" s="11"/>
      <c r="U7601" s="11">
        <f t="shared" si="2190"/>
        <v>2.2999999999999998</v>
      </c>
      <c r="W7601">
        <v>2.5</v>
      </c>
      <c r="X7601" s="1" t="s">
        <v>92</v>
      </c>
    </row>
    <row r="7602" spans="1:24" x14ac:dyDescent="0.25">
      <c r="A7602" s="1" t="str">
        <f t="shared" si="2191"/>
        <v>卡卡杜-凤凰仓</v>
      </c>
      <c r="B7602" s="1" t="str">
        <f>"CK2024101324"</f>
        <v>CK2024101324</v>
      </c>
      <c r="C7602" s="1" t="str">
        <f>"DD2024101318093"</f>
        <v>DD2024101318093</v>
      </c>
      <c r="D7602" s="1" t="str">
        <f>"CK2024101326733"</f>
        <v>CK2024101326733</v>
      </c>
      <c r="E7602" s="1" t="str">
        <f>"6934944017057322767"</f>
        <v>6934944017057322767</v>
      </c>
      <c r="F7602" s="1" t="str">
        <f t="shared" si="2192"/>
        <v>花都四部-凤凰仓</v>
      </c>
      <c r="G7602" s="1" t="str">
        <f t="shared" ref="G7602:G7635" si="2207">"卡卡杜个人护理店（抖店）"</f>
        <v>卡卡杜个人护理店（抖店）</v>
      </c>
      <c r="H7602" s="1" t="str">
        <f t="shared" si="2193"/>
        <v>正常订单</v>
      </c>
      <c r="I7602" s="1" t="str">
        <f t="shared" si="2194"/>
        <v>已发货</v>
      </c>
      <c r="J7602" s="1" t="str">
        <f t="shared" si="2205"/>
        <v>3</v>
      </c>
      <c r="K7602" s="1">
        <v>2</v>
      </c>
      <c r="L7602" s="1" t="s">
        <v>36</v>
      </c>
      <c r="M7602" s="1" t="str">
        <f>"安徽省 滁州市 琅琊区 "</f>
        <v xml:space="preserve">安徽省 滁州市 琅琊区 </v>
      </c>
      <c r="N7602" s="1" t="str">
        <f t="shared" ref="N7602:N7635" si="2208">"凡华云仓-韵达-抖音"</f>
        <v>凡华云仓-韵达-抖音</v>
      </c>
      <c r="O7602" s="5">
        <v>320169502458469</v>
      </c>
      <c r="P7602" s="6">
        <v>0.35</v>
      </c>
      <c r="Q7602" s="11">
        <v>2.2999999999999998</v>
      </c>
      <c r="R7602" s="11"/>
      <c r="S7602" s="11"/>
      <c r="T7602" s="11"/>
      <c r="U7602" s="11">
        <f t="shared" si="2190"/>
        <v>2.2999999999999998</v>
      </c>
      <c r="W7602">
        <v>2.5</v>
      </c>
      <c r="X7602" s="1" t="s">
        <v>36</v>
      </c>
    </row>
    <row r="7603" spans="1:24" x14ac:dyDescent="0.25">
      <c r="A7603" s="1" t="str">
        <f t="shared" si="2191"/>
        <v>卡卡杜-凤凰仓</v>
      </c>
      <c r="B7603" s="1" t="str">
        <f>"CK2024101337"</f>
        <v>CK2024101337</v>
      </c>
      <c r="C7603" s="1" t="str">
        <f>"DD2024101318105"</f>
        <v>DD2024101318105</v>
      </c>
      <c r="D7603" s="1" t="str">
        <f>"CK2024101326732"</f>
        <v>CK2024101326732</v>
      </c>
      <c r="E7603" s="1" t="str">
        <f>"6934932940061611035"</f>
        <v>6934932940061611035</v>
      </c>
      <c r="F7603" s="1" t="str">
        <f t="shared" si="2192"/>
        <v>花都四部-凤凰仓</v>
      </c>
      <c r="G7603" s="1" t="str">
        <f t="shared" si="2207"/>
        <v>卡卡杜个人护理店（抖店）</v>
      </c>
      <c r="H7603" s="1" t="str">
        <f t="shared" si="2193"/>
        <v>正常订单</v>
      </c>
      <c r="I7603" s="1" t="str">
        <f t="shared" si="2194"/>
        <v>已发货</v>
      </c>
      <c r="J7603" s="1" t="str">
        <f t="shared" si="2205"/>
        <v>3</v>
      </c>
      <c r="K7603" s="1">
        <v>2</v>
      </c>
      <c r="L7603" s="1" t="s">
        <v>36</v>
      </c>
      <c r="M7603" s="1" t="str">
        <f>"安徽省 亳州市 谯城区 华佗镇"</f>
        <v>安徽省 亳州市 谯城区 华佗镇</v>
      </c>
      <c r="N7603" s="1" t="str">
        <f t="shared" si="2208"/>
        <v>凡华云仓-韵达-抖音</v>
      </c>
      <c r="O7603" s="5">
        <v>320169502458374</v>
      </c>
      <c r="P7603" s="6">
        <v>0.35</v>
      </c>
      <c r="Q7603" s="11">
        <v>2.2999999999999998</v>
      </c>
      <c r="R7603" s="11"/>
      <c r="S7603" s="11"/>
      <c r="T7603" s="11"/>
      <c r="U7603" s="11">
        <f t="shared" si="2190"/>
        <v>2.2999999999999998</v>
      </c>
      <c r="W7603">
        <v>2.5</v>
      </c>
      <c r="X7603" s="1" t="s">
        <v>36</v>
      </c>
    </row>
    <row r="7604" spans="1:24" x14ac:dyDescent="0.25">
      <c r="A7604" s="1" t="str">
        <f t="shared" si="2191"/>
        <v>卡卡杜-凤凰仓</v>
      </c>
      <c r="B7604" s="1" t="str">
        <f>"CK2024101331"</f>
        <v>CK2024101331</v>
      </c>
      <c r="C7604" s="1" t="str">
        <f>"DD2024101318097"</f>
        <v>DD2024101318097</v>
      </c>
      <c r="D7604" s="1" t="str">
        <f>"CK2024101326730"</f>
        <v>CK2024101326730</v>
      </c>
      <c r="E7604" s="1" t="str">
        <f>"6934939528957400099"</f>
        <v>6934939528957400099</v>
      </c>
      <c r="F7604" s="1" t="str">
        <f t="shared" si="2192"/>
        <v>花都四部-凤凰仓</v>
      </c>
      <c r="G7604" s="1" t="str">
        <f t="shared" si="2207"/>
        <v>卡卡杜个人护理店（抖店）</v>
      </c>
      <c r="H7604" s="1" t="str">
        <f t="shared" si="2193"/>
        <v>正常订单</v>
      </c>
      <c r="I7604" s="1" t="str">
        <f t="shared" si="2194"/>
        <v>已发货</v>
      </c>
      <c r="J7604" s="1" t="str">
        <f t="shared" si="2205"/>
        <v>3</v>
      </c>
      <c r="K7604" s="1">
        <v>2</v>
      </c>
      <c r="L7604" s="1" t="s">
        <v>13</v>
      </c>
      <c r="M7604" s="1" t="str">
        <f>"江苏省 南通市 崇川区 南通崇川经济开发区"</f>
        <v>江苏省 南通市 崇川区 南通崇川经济开发区</v>
      </c>
      <c r="N7604" s="1" t="str">
        <f t="shared" si="2208"/>
        <v>凡华云仓-韵达-抖音</v>
      </c>
      <c r="O7604" s="5">
        <v>320169502458190</v>
      </c>
      <c r="P7604" s="6">
        <v>0.35</v>
      </c>
      <c r="Q7604" s="11">
        <v>2.2999999999999998</v>
      </c>
      <c r="R7604" s="11"/>
      <c r="S7604" s="11"/>
      <c r="T7604" s="11"/>
      <c r="U7604" s="11">
        <f t="shared" si="2190"/>
        <v>2.2999999999999998</v>
      </c>
      <c r="W7604">
        <v>2.5</v>
      </c>
      <c r="X7604" s="1" t="s">
        <v>13</v>
      </c>
    </row>
    <row r="7605" spans="1:24" x14ac:dyDescent="0.25">
      <c r="A7605" s="1" t="str">
        <f t="shared" si="2191"/>
        <v>卡卡杜-凤凰仓</v>
      </c>
      <c r="B7605" s="1" t="str">
        <f>"CK2024101315"</f>
        <v>CK2024101315</v>
      </c>
      <c r="C7605" s="1" t="str">
        <f>"DD2024101318084"</f>
        <v>DD2024101318084</v>
      </c>
      <c r="D7605" s="1" t="str">
        <f>"CK2024101326729"</f>
        <v>CK2024101326729</v>
      </c>
      <c r="E7605" s="1" t="str">
        <f>"6934934153575076867"</f>
        <v>6934934153575076867</v>
      </c>
      <c r="F7605" s="1" t="str">
        <f t="shared" si="2192"/>
        <v>花都四部-凤凰仓</v>
      </c>
      <c r="G7605" s="1" t="str">
        <f t="shared" si="2207"/>
        <v>卡卡杜个人护理店（抖店）</v>
      </c>
      <c r="H7605" s="1" t="str">
        <f t="shared" si="2193"/>
        <v>正常订单</v>
      </c>
      <c r="I7605" s="1" t="str">
        <f t="shared" si="2194"/>
        <v>已发货</v>
      </c>
      <c r="J7605" s="1" t="str">
        <f t="shared" si="2205"/>
        <v>3</v>
      </c>
      <c r="K7605" s="1">
        <v>2</v>
      </c>
      <c r="L7605" s="1" t="s">
        <v>36</v>
      </c>
      <c r="M7605" s="1" t="str">
        <f>"安徽省 宣城市 宁国市 万家乡"</f>
        <v>安徽省 宣城市 宁国市 万家乡</v>
      </c>
      <c r="N7605" s="1" t="str">
        <f t="shared" si="2208"/>
        <v>凡华云仓-韵达-抖音</v>
      </c>
      <c r="O7605" s="5">
        <v>320169502458001</v>
      </c>
      <c r="P7605" s="6">
        <v>0.35</v>
      </c>
      <c r="Q7605" s="11">
        <v>2.2999999999999998</v>
      </c>
      <c r="R7605" s="11"/>
      <c r="S7605" s="11"/>
      <c r="T7605" s="11"/>
      <c r="U7605" s="11">
        <f t="shared" si="2190"/>
        <v>2.2999999999999998</v>
      </c>
      <c r="W7605">
        <v>2.5</v>
      </c>
      <c r="X7605" s="1" t="s">
        <v>36</v>
      </c>
    </row>
    <row r="7606" spans="1:24" x14ac:dyDescent="0.25">
      <c r="A7606" s="1" t="str">
        <f t="shared" si="2191"/>
        <v>卡卡杜-凤凰仓</v>
      </c>
      <c r="B7606" s="1" t="str">
        <f>"CK2024101323"</f>
        <v>CK2024101323</v>
      </c>
      <c r="C7606" s="1" t="str">
        <f>"DD2024101318092"</f>
        <v>DD2024101318092</v>
      </c>
      <c r="D7606" s="1" t="str">
        <f>"CK2024101326728"</f>
        <v>CK2024101326728</v>
      </c>
      <c r="E7606" s="1" t="str">
        <f>"6934935333400352140"</f>
        <v>6934935333400352140</v>
      </c>
      <c r="F7606" s="1" t="str">
        <f t="shared" si="2192"/>
        <v>花都四部-凤凰仓</v>
      </c>
      <c r="G7606" s="1" t="str">
        <f t="shared" si="2207"/>
        <v>卡卡杜个人护理店（抖店）</v>
      </c>
      <c r="H7606" s="1" t="str">
        <f t="shared" si="2193"/>
        <v>正常订单</v>
      </c>
      <c r="I7606" s="1" t="str">
        <f t="shared" si="2194"/>
        <v>已发货</v>
      </c>
      <c r="J7606" s="1" t="str">
        <f t="shared" si="2205"/>
        <v>3</v>
      </c>
      <c r="K7606" s="1">
        <v>2</v>
      </c>
      <c r="L7606" s="1" t="s">
        <v>41</v>
      </c>
      <c r="M7606" s="1" t="str">
        <f>"湖北省 随州市 随县 洪山镇"</f>
        <v>湖北省 随州市 随县 洪山镇</v>
      </c>
      <c r="N7606" s="1" t="str">
        <f t="shared" si="2208"/>
        <v>凡华云仓-韵达-抖音</v>
      </c>
      <c r="O7606" s="5">
        <v>320169502457971</v>
      </c>
      <c r="P7606" s="6">
        <v>0.35</v>
      </c>
      <c r="Q7606" s="11">
        <v>2.2999999999999998</v>
      </c>
      <c r="R7606" s="11"/>
      <c r="S7606" s="11"/>
      <c r="T7606" s="11"/>
      <c r="U7606" s="11">
        <f t="shared" si="2190"/>
        <v>2.2999999999999998</v>
      </c>
      <c r="W7606">
        <v>2.5</v>
      </c>
      <c r="X7606" s="1" t="s">
        <v>41</v>
      </c>
    </row>
    <row r="7607" spans="1:24" x14ac:dyDescent="0.25">
      <c r="A7607" s="1" t="str">
        <f t="shared" si="2191"/>
        <v>卡卡杜-凤凰仓</v>
      </c>
      <c r="B7607" s="1" t="str">
        <f>"CK2024101326"</f>
        <v>CK2024101326</v>
      </c>
      <c r="C7607" s="1" t="str">
        <f>"DD2024101318095"</f>
        <v>DD2024101318095</v>
      </c>
      <c r="D7607" s="1" t="str">
        <f>"CK2024101326727"</f>
        <v>CK2024101326727</v>
      </c>
      <c r="E7607" s="1" t="str">
        <f>"6934946404961424561"</f>
        <v>6934946404961424561</v>
      </c>
      <c r="F7607" s="1" t="str">
        <f t="shared" si="2192"/>
        <v>花都四部-凤凰仓</v>
      </c>
      <c r="G7607" s="1" t="str">
        <f t="shared" si="2207"/>
        <v>卡卡杜个人护理店（抖店）</v>
      </c>
      <c r="H7607" s="1" t="str">
        <f t="shared" si="2193"/>
        <v>正常订单</v>
      </c>
      <c r="I7607" s="1" t="str">
        <f t="shared" si="2194"/>
        <v>已发货</v>
      </c>
      <c r="J7607" s="1" t="str">
        <f t="shared" si="2205"/>
        <v>3</v>
      </c>
      <c r="K7607" s="1">
        <v>2</v>
      </c>
      <c r="L7607" s="1" t="s">
        <v>13</v>
      </c>
      <c r="M7607" s="1" t="str">
        <f>"江苏省 苏州市 张家港市 杨舍镇"</f>
        <v>江苏省 苏州市 张家港市 杨舍镇</v>
      </c>
      <c r="N7607" s="1" t="str">
        <f t="shared" si="2208"/>
        <v>凡华云仓-韵达-抖音</v>
      </c>
      <c r="O7607" s="5">
        <v>320169502457866</v>
      </c>
      <c r="P7607" s="6">
        <v>0.35</v>
      </c>
      <c r="Q7607" s="11">
        <v>2.2999999999999998</v>
      </c>
      <c r="R7607" s="11"/>
      <c r="S7607" s="11"/>
      <c r="T7607" s="11"/>
      <c r="U7607" s="11">
        <f t="shared" si="2190"/>
        <v>2.2999999999999998</v>
      </c>
      <c r="W7607">
        <v>2.5</v>
      </c>
      <c r="X7607" s="1" t="s">
        <v>13</v>
      </c>
    </row>
    <row r="7608" spans="1:24" x14ac:dyDescent="0.25">
      <c r="A7608" s="1" t="str">
        <f t="shared" si="2191"/>
        <v>卡卡杜-凤凰仓</v>
      </c>
      <c r="B7608" s="1" t="str">
        <f>"CK2024101310"</f>
        <v>CK2024101310</v>
      </c>
      <c r="C7608" s="1" t="str">
        <f>"DD2024101318079"</f>
        <v>DD2024101318079</v>
      </c>
      <c r="D7608" s="1" t="str">
        <f>"CK2024101326725"</f>
        <v>CK2024101326725</v>
      </c>
      <c r="E7608" s="1" t="str">
        <f>"6934929871109166240"</f>
        <v>6934929871109166240</v>
      </c>
      <c r="F7608" s="1" t="str">
        <f t="shared" si="2192"/>
        <v>花都四部-凤凰仓</v>
      </c>
      <c r="G7608" s="1" t="str">
        <f t="shared" si="2207"/>
        <v>卡卡杜个人护理店（抖店）</v>
      </c>
      <c r="H7608" s="1" t="str">
        <f t="shared" si="2193"/>
        <v>正常订单</v>
      </c>
      <c r="I7608" s="1" t="str">
        <f t="shared" si="2194"/>
        <v>已发货</v>
      </c>
      <c r="J7608" s="1" t="str">
        <f t="shared" si="2205"/>
        <v>3</v>
      </c>
      <c r="K7608" s="1">
        <v>2</v>
      </c>
      <c r="L7608" s="1" t="s">
        <v>18</v>
      </c>
      <c r="M7608" s="1" t="str">
        <f>"广东省 东莞市 东莞市 大岭山镇"</f>
        <v>广东省 东莞市 东莞市 大岭山镇</v>
      </c>
      <c r="N7608" s="1" t="str">
        <f t="shared" si="2208"/>
        <v>凡华云仓-韵达-抖音</v>
      </c>
      <c r="O7608" s="5">
        <v>320169502457662</v>
      </c>
      <c r="P7608" s="6">
        <v>0.35</v>
      </c>
      <c r="Q7608" s="11">
        <v>2.2999999999999998</v>
      </c>
      <c r="R7608" s="11"/>
      <c r="S7608" s="11"/>
      <c r="T7608" s="11"/>
      <c r="U7608" s="11">
        <f t="shared" si="2190"/>
        <v>2.2999999999999998</v>
      </c>
      <c r="W7608">
        <v>2.5</v>
      </c>
      <c r="X7608" s="1" t="s">
        <v>18</v>
      </c>
    </row>
    <row r="7609" spans="1:24" x14ac:dyDescent="0.25">
      <c r="A7609" s="1" t="str">
        <f t="shared" si="2191"/>
        <v>卡卡杜-凤凰仓</v>
      </c>
      <c r="B7609" s="1" t="str">
        <f>"CK2024101325"</f>
        <v>CK2024101325</v>
      </c>
      <c r="C7609" s="1" t="str">
        <f>"DD2024101318094"</f>
        <v>DD2024101318094</v>
      </c>
      <c r="D7609" s="1" t="str">
        <f>"CK2024101326723"</f>
        <v>CK2024101326723</v>
      </c>
      <c r="E7609" s="1" t="str">
        <f>"6934951186537518992"</f>
        <v>6934951186537518992</v>
      </c>
      <c r="F7609" s="1" t="str">
        <f t="shared" si="2192"/>
        <v>花都四部-凤凰仓</v>
      </c>
      <c r="G7609" s="1" t="str">
        <f t="shared" si="2207"/>
        <v>卡卡杜个人护理店（抖店）</v>
      </c>
      <c r="H7609" s="1" t="str">
        <f t="shared" si="2193"/>
        <v>正常订单</v>
      </c>
      <c r="I7609" s="1" t="str">
        <f t="shared" si="2194"/>
        <v>已发货</v>
      </c>
      <c r="J7609" s="1" t="str">
        <f t="shared" si="2205"/>
        <v>3</v>
      </c>
      <c r="K7609" s="1">
        <v>2</v>
      </c>
      <c r="L7609" s="1" t="s">
        <v>94</v>
      </c>
      <c r="M7609" s="1" t="str">
        <f>"湖南省 邵阳市 邵东市 大禾塘街道"</f>
        <v>湖南省 邵阳市 邵东市 大禾塘街道</v>
      </c>
      <c r="N7609" s="1" t="str">
        <f t="shared" si="2208"/>
        <v>凡华云仓-韵达-抖音</v>
      </c>
      <c r="O7609" s="5">
        <v>320169507121132</v>
      </c>
      <c r="P7609" s="6">
        <v>0.35</v>
      </c>
      <c r="Q7609" s="11">
        <v>2.2999999999999998</v>
      </c>
      <c r="R7609" s="11"/>
      <c r="S7609" s="11"/>
      <c r="T7609" s="11"/>
      <c r="U7609" s="11">
        <f t="shared" si="2190"/>
        <v>2.2999999999999998</v>
      </c>
      <c r="W7609">
        <v>2.5</v>
      </c>
      <c r="X7609" s="1" t="s">
        <v>94</v>
      </c>
    </row>
    <row r="7610" spans="1:24" x14ac:dyDescent="0.25">
      <c r="A7610" s="1" t="str">
        <f t="shared" si="2191"/>
        <v>卡卡杜-凤凰仓</v>
      </c>
      <c r="B7610" s="1" t="str">
        <f>"CK2024101307"</f>
        <v>CK2024101307</v>
      </c>
      <c r="C7610" s="1" t="str">
        <f>"DD2024101318076"</f>
        <v>DD2024101318076</v>
      </c>
      <c r="D7610" s="1" t="str">
        <f>"CK2024101326722"</f>
        <v>CK2024101326722</v>
      </c>
      <c r="E7610" s="1" t="str">
        <f>"6934935641019651814"</f>
        <v>6934935641019651814</v>
      </c>
      <c r="F7610" s="1" t="str">
        <f t="shared" si="2192"/>
        <v>花都四部-凤凰仓</v>
      </c>
      <c r="G7610" s="1" t="str">
        <f t="shared" si="2207"/>
        <v>卡卡杜个人护理店（抖店）</v>
      </c>
      <c r="H7610" s="1" t="str">
        <f t="shared" si="2193"/>
        <v>正常订单</v>
      </c>
      <c r="I7610" s="1" t="str">
        <f t="shared" si="2194"/>
        <v>已发货</v>
      </c>
      <c r="J7610" s="1" t="str">
        <f t="shared" si="2205"/>
        <v>3</v>
      </c>
      <c r="K7610" s="1">
        <v>2</v>
      </c>
      <c r="L7610" s="1" t="s">
        <v>18</v>
      </c>
      <c r="M7610" s="1" t="str">
        <f>"广东省 云浮市 罗定市 素龙街道"</f>
        <v>广东省 云浮市 罗定市 素龙街道</v>
      </c>
      <c r="N7610" s="1" t="str">
        <f t="shared" si="2208"/>
        <v>凡华云仓-韵达-抖音</v>
      </c>
      <c r="O7610" s="5">
        <v>320169507121043</v>
      </c>
      <c r="P7610" s="6">
        <v>0.35</v>
      </c>
      <c r="Q7610" s="11">
        <v>2.2999999999999998</v>
      </c>
      <c r="R7610" s="11"/>
      <c r="S7610" s="11"/>
      <c r="T7610" s="11"/>
      <c r="U7610" s="11">
        <f t="shared" si="2190"/>
        <v>2.2999999999999998</v>
      </c>
      <c r="W7610">
        <v>2.5</v>
      </c>
      <c r="X7610" s="1" t="s">
        <v>18</v>
      </c>
    </row>
    <row r="7611" spans="1:24" x14ac:dyDescent="0.25">
      <c r="A7611" s="1" t="str">
        <f t="shared" si="2191"/>
        <v>卡卡杜-凤凰仓</v>
      </c>
      <c r="B7611" s="1" t="str">
        <f>"CK2024101318"</f>
        <v>CK2024101318</v>
      </c>
      <c r="C7611" s="1" t="str">
        <f>"DD2024101318087"</f>
        <v>DD2024101318087</v>
      </c>
      <c r="D7611" s="1" t="str">
        <f>"CK2024101326721"</f>
        <v>CK2024101326721</v>
      </c>
      <c r="E7611" s="1" t="str">
        <f>"6934920998949426387"</f>
        <v>6934920998949426387</v>
      </c>
      <c r="F7611" s="1" t="str">
        <f t="shared" si="2192"/>
        <v>花都四部-凤凰仓</v>
      </c>
      <c r="G7611" s="1" t="str">
        <f t="shared" si="2207"/>
        <v>卡卡杜个人护理店（抖店）</v>
      </c>
      <c r="H7611" s="1" t="str">
        <f t="shared" si="2193"/>
        <v>正常订单</v>
      </c>
      <c r="I7611" s="1" t="str">
        <f t="shared" si="2194"/>
        <v>已发货</v>
      </c>
      <c r="J7611" s="1" t="str">
        <f t="shared" si="2205"/>
        <v>3</v>
      </c>
      <c r="K7611" s="1">
        <v>3</v>
      </c>
      <c r="L7611" s="1" t="s">
        <v>20</v>
      </c>
      <c r="M7611" s="1" t="str">
        <f>"浙江省 宁波市 海曙区 南门街道"</f>
        <v>浙江省 宁波市 海曙区 南门街道</v>
      </c>
      <c r="N7611" s="1" t="str">
        <f t="shared" si="2208"/>
        <v>凡华云仓-韵达-抖音</v>
      </c>
      <c r="O7611" s="5">
        <v>320169507120927</v>
      </c>
      <c r="P7611" s="6">
        <v>0.34</v>
      </c>
      <c r="Q7611" s="11">
        <v>2.2999999999999998</v>
      </c>
      <c r="R7611" s="11"/>
      <c r="S7611" s="11"/>
      <c r="T7611" s="11"/>
      <c r="U7611" s="11">
        <f t="shared" si="2190"/>
        <v>2.2999999999999998</v>
      </c>
      <c r="W7611">
        <v>2.5</v>
      </c>
      <c r="X7611" s="1" t="s">
        <v>20</v>
      </c>
    </row>
    <row r="7612" spans="1:24" x14ac:dyDescent="0.25">
      <c r="A7612" s="1" t="str">
        <f t="shared" si="2191"/>
        <v>卡卡杜-凤凰仓</v>
      </c>
      <c r="B7612" s="1" t="str">
        <f>"CK2024101303"</f>
        <v>CK2024101303</v>
      </c>
      <c r="C7612" s="1" t="str">
        <f>"DD2024101318069"</f>
        <v>DD2024101318069</v>
      </c>
      <c r="D7612" s="1" t="str">
        <f>"CK2024101326720"</f>
        <v>CK2024101326720</v>
      </c>
      <c r="E7612" s="1" t="str">
        <f>"6934926282602386538"</f>
        <v>6934926282602386538</v>
      </c>
      <c r="F7612" s="1" t="str">
        <f t="shared" si="2192"/>
        <v>花都四部-凤凰仓</v>
      </c>
      <c r="G7612" s="1" t="str">
        <f t="shared" si="2207"/>
        <v>卡卡杜个人护理店（抖店）</v>
      </c>
      <c r="H7612" s="1" t="str">
        <f t="shared" si="2193"/>
        <v>正常订单</v>
      </c>
      <c r="I7612" s="1" t="str">
        <f t="shared" si="2194"/>
        <v>已发货</v>
      </c>
      <c r="J7612" s="1" t="str">
        <f t="shared" si="2205"/>
        <v>3</v>
      </c>
      <c r="K7612" s="1">
        <v>3</v>
      </c>
      <c r="L7612" s="1" t="s">
        <v>182</v>
      </c>
      <c r="M7612" s="1" t="str">
        <f>"新疆维吾尔自治区 巴音郭楞蒙古自治州 和静县 "</f>
        <v xml:space="preserve">新疆维吾尔自治区 巴音郭楞蒙古自治州 和静县 </v>
      </c>
      <c r="N7612" s="1" t="str">
        <f t="shared" si="2208"/>
        <v>凡华云仓-韵达-抖音</v>
      </c>
      <c r="O7612" s="5">
        <v>320169507120822</v>
      </c>
      <c r="P7612" s="6">
        <v>0.34</v>
      </c>
      <c r="Q7612" s="11">
        <v>17</v>
      </c>
      <c r="R7612" s="11"/>
      <c r="S7612" s="11"/>
      <c r="T7612" s="11"/>
      <c r="U7612" s="11">
        <f t="shared" si="2190"/>
        <v>17</v>
      </c>
      <c r="W7612">
        <v>17</v>
      </c>
      <c r="X7612" s="1" t="s">
        <v>182</v>
      </c>
    </row>
    <row r="7613" spans="1:24" x14ac:dyDescent="0.25">
      <c r="A7613" s="1" t="str">
        <f t="shared" si="2191"/>
        <v>卡卡杜-凤凰仓</v>
      </c>
      <c r="B7613" s="1" t="str">
        <f>"CK2024101301"</f>
        <v>CK2024101301</v>
      </c>
      <c r="C7613" s="1" t="str">
        <f>"DD2024101318071"</f>
        <v>DD2024101318071</v>
      </c>
      <c r="D7613" s="1" t="str">
        <f>"CK2024101326719"</f>
        <v>CK2024101326719</v>
      </c>
      <c r="E7613" s="1" t="str">
        <f>"6934921668051015409"</f>
        <v>6934921668051015409</v>
      </c>
      <c r="F7613" s="1" t="str">
        <f t="shared" si="2192"/>
        <v>花都四部-凤凰仓</v>
      </c>
      <c r="G7613" s="1" t="str">
        <f t="shared" si="2207"/>
        <v>卡卡杜个人护理店（抖店）</v>
      </c>
      <c r="H7613" s="1" t="str">
        <f t="shared" si="2193"/>
        <v>正常订单</v>
      </c>
      <c r="I7613" s="1" t="str">
        <f t="shared" si="2194"/>
        <v>已发货</v>
      </c>
      <c r="J7613" s="1" t="str">
        <f t="shared" si="2205"/>
        <v>3</v>
      </c>
      <c r="K7613" s="1">
        <v>2</v>
      </c>
      <c r="L7613" s="1" t="s">
        <v>74</v>
      </c>
      <c r="M7613" s="1" t="str">
        <f>"上海 上海市 静安区 北站街道"</f>
        <v>上海 上海市 静安区 北站街道</v>
      </c>
      <c r="N7613" s="1" t="str">
        <f t="shared" si="2208"/>
        <v>凡华云仓-韵达-抖音</v>
      </c>
      <c r="O7613" s="5">
        <v>320169507120719</v>
      </c>
      <c r="P7613" s="6">
        <v>0.35</v>
      </c>
      <c r="Q7613" s="11">
        <v>2.2999999999999998</v>
      </c>
      <c r="R7613" s="11"/>
      <c r="S7613" s="11"/>
      <c r="T7613" s="11"/>
      <c r="U7613" s="11">
        <f t="shared" si="2190"/>
        <v>2.2999999999999998</v>
      </c>
      <c r="W7613">
        <v>2.5</v>
      </c>
      <c r="X7613" s="1" t="s">
        <v>74</v>
      </c>
    </row>
    <row r="7614" spans="1:24" x14ac:dyDescent="0.25">
      <c r="A7614" s="1" t="str">
        <f t="shared" si="2191"/>
        <v>卡卡杜-凤凰仓</v>
      </c>
      <c r="B7614" s="1" t="str">
        <f>"CK2024101320"</f>
        <v>CK2024101320</v>
      </c>
      <c r="C7614" s="1" t="str">
        <f>"DD2024101318088"</f>
        <v>DD2024101318088</v>
      </c>
      <c r="D7614" s="1" t="str">
        <f>"CK2024101326718"</f>
        <v>CK2024101326718</v>
      </c>
      <c r="E7614" s="1" t="str">
        <f>"6934954894127208148"</f>
        <v>6934954894127208148</v>
      </c>
      <c r="F7614" s="1" t="str">
        <f t="shared" si="2192"/>
        <v>花都四部-凤凰仓</v>
      </c>
      <c r="G7614" s="1" t="str">
        <f t="shared" si="2207"/>
        <v>卡卡杜个人护理店（抖店）</v>
      </c>
      <c r="H7614" s="1" t="str">
        <f t="shared" si="2193"/>
        <v>正常订单</v>
      </c>
      <c r="I7614" s="1" t="str">
        <f t="shared" si="2194"/>
        <v>已发货</v>
      </c>
      <c r="J7614" s="1" t="str">
        <f t="shared" si="2205"/>
        <v>3</v>
      </c>
      <c r="K7614" s="1">
        <v>2</v>
      </c>
      <c r="L7614" s="1" t="s">
        <v>18</v>
      </c>
      <c r="M7614" s="1" t="str">
        <f>"广东省 江门市 恩平市 东成镇"</f>
        <v>广东省 江门市 恩平市 东成镇</v>
      </c>
      <c r="N7614" s="1" t="str">
        <f t="shared" si="2208"/>
        <v>凡华云仓-韵达-抖音</v>
      </c>
      <c r="O7614" s="5">
        <v>320169507120618</v>
      </c>
      <c r="P7614" s="6">
        <v>0.35</v>
      </c>
      <c r="Q7614" s="11">
        <v>2.2999999999999998</v>
      </c>
      <c r="R7614" s="11"/>
      <c r="S7614" s="11"/>
      <c r="T7614" s="11"/>
      <c r="U7614" s="11">
        <f t="shared" si="2190"/>
        <v>2.2999999999999998</v>
      </c>
      <c r="W7614">
        <v>2.5</v>
      </c>
      <c r="X7614" s="1" t="s">
        <v>18</v>
      </c>
    </row>
    <row r="7615" spans="1:24" x14ac:dyDescent="0.25">
      <c r="A7615" s="1" t="str">
        <f t="shared" si="2191"/>
        <v>卡卡杜-凤凰仓</v>
      </c>
      <c r="B7615" s="1" t="str">
        <f>"CK2024101305"</f>
        <v>CK2024101305</v>
      </c>
      <c r="C7615" s="1" t="str">
        <f>"DD2024101318073"</f>
        <v>DD2024101318073</v>
      </c>
      <c r="D7615" s="1" t="str">
        <f>"CK2024101326717"</f>
        <v>CK2024101326717</v>
      </c>
      <c r="E7615" s="1" t="str">
        <f>"6934927683540948005"</f>
        <v>6934927683540948005</v>
      </c>
      <c r="F7615" s="1" t="str">
        <f t="shared" si="2192"/>
        <v>花都四部-凤凰仓</v>
      </c>
      <c r="G7615" s="1" t="str">
        <f t="shared" si="2207"/>
        <v>卡卡杜个人护理店（抖店）</v>
      </c>
      <c r="H7615" s="1" t="str">
        <f t="shared" si="2193"/>
        <v>正常订单</v>
      </c>
      <c r="I7615" s="1" t="str">
        <f t="shared" si="2194"/>
        <v>已发货</v>
      </c>
      <c r="J7615" s="1" t="str">
        <f>"1"</f>
        <v>1</v>
      </c>
      <c r="K7615" s="1">
        <v>1</v>
      </c>
      <c r="L7615" s="1" t="s">
        <v>66</v>
      </c>
      <c r="M7615" s="1" t="str">
        <f>"内蒙古自治区 阿拉善盟 阿拉善左旗 巴彦浩特额鲁特街道"</f>
        <v>内蒙古自治区 阿拉善盟 阿拉善左旗 巴彦浩特额鲁特街道</v>
      </c>
      <c r="N7615" s="1" t="str">
        <f t="shared" si="2208"/>
        <v>凡华云仓-韵达-抖音</v>
      </c>
      <c r="O7615" s="5">
        <v>320169507120519</v>
      </c>
      <c r="P7615" s="6">
        <v>0.12</v>
      </c>
      <c r="Q7615" s="11">
        <v>2</v>
      </c>
      <c r="R7615" s="11"/>
      <c r="S7615" s="11"/>
      <c r="T7615" s="11"/>
      <c r="U7615" s="11">
        <f t="shared" si="2190"/>
        <v>2</v>
      </c>
      <c r="W7615">
        <v>2.2000000000000002</v>
      </c>
      <c r="X7615" s="1" t="s">
        <v>66</v>
      </c>
    </row>
    <row r="7616" spans="1:24" x14ac:dyDescent="0.25">
      <c r="A7616" s="1" t="str">
        <f t="shared" si="2191"/>
        <v>卡卡杜-凤凰仓</v>
      </c>
      <c r="B7616" s="1" t="str">
        <f>"CK2024101306"</f>
        <v>CK2024101306</v>
      </c>
      <c r="C7616" s="1" t="str">
        <f>"DD2024101318075"</f>
        <v>DD2024101318075</v>
      </c>
      <c r="D7616" s="1" t="str">
        <f>"CK2024101326716"</f>
        <v>CK2024101326716</v>
      </c>
      <c r="E7616" s="1" t="str">
        <f>"6934932427613280135"</f>
        <v>6934932427613280135</v>
      </c>
      <c r="F7616" s="1" t="str">
        <f t="shared" si="2192"/>
        <v>花都四部-凤凰仓</v>
      </c>
      <c r="G7616" s="1" t="str">
        <f t="shared" si="2207"/>
        <v>卡卡杜个人护理店（抖店）</v>
      </c>
      <c r="H7616" s="1" t="str">
        <f t="shared" si="2193"/>
        <v>正常订单</v>
      </c>
      <c r="I7616" s="1" t="str">
        <f t="shared" si="2194"/>
        <v>已发货</v>
      </c>
      <c r="J7616" s="1" t="str">
        <f>"5"</f>
        <v>5</v>
      </c>
      <c r="K7616" s="1">
        <v>2</v>
      </c>
      <c r="L7616" s="1" t="s">
        <v>161</v>
      </c>
      <c r="M7616" s="1" t="str">
        <f>"四川省 乐山市 峨眉山市 绥山镇"</f>
        <v>四川省 乐山市 峨眉山市 绥山镇</v>
      </c>
      <c r="N7616" s="1" t="str">
        <f t="shared" si="2208"/>
        <v>凡华云仓-韵达-抖音</v>
      </c>
      <c r="O7616" s="5">
        <v>320169507120422</v>
      </c>
      <c r="P7616" s="6">
        <v>0.59</v>
      </c>
      <c r="Q7616" s="11">
        <f>CEILING(P7616-0.5,0.1)*10*0.15+2.3</f>
        <v>2.4499999999999997</v>
      </c>
      <c r="R7616" s="11"/>
      <c r="S7616" s="11"/>
      <c r="T7616" s="11"/>
      <c r="U7616" s="11">
        <f t="shared" si="2190"/>
        <v>2.4499999999999997</v>
      </c>
      <c r="V7616" t="s">
        <v>15</v>
      </c>
      <c r="W7616">
        <v>2.4500000000000002</v>
      </c>
      <c r="X7616" s="1" t="s">
        <v>161</v>
      </c>
    </row>
    <row r="7617" spans="1:24" x14ac:dyDescent="0.25">
      <c r="A7617" s="1" t="str">
        <f t="shared" si="2191"/>
        <v>卡卡杜-凤凰仓</v>
      </c>
      <c r="B7617" s="1" t="str">
        <f>"CK2024101311"</f>
        <v>CK2024101311</v>
      </c>
      <c r="C7617" s="1" t="str">
        <f>"DD2024101318078"</f>
        <v>DD2024101318078</v>
      </c>
      <c r="D7617" s="1" t="str">
        <f>"CK2024101326715"</f>
        <v>CK2024101326715</v>
      </c>
      <c r="E7617" s="1" t="str">
        <f>"6934943884322542680"</f>
        <v>6934943884322542680</v>
      </c>
      <c r="F7617" s="1" t="str">
        <f t="shared" si="2192"/>
        <v>花都四部-凤凰仓</v>
      </c>
      <c r="G7617" s="1" t="str">
        <f t="shared" si="2207"/>
        <v>卡卡杜个人护理店（抖店）</v>
      </c>
      <c r="H7617" s="1" t="str">
        <f t="shared" si="2193"/>
        <v>正常订单</v>
      </c>
      <c r="I7617" s="1" t="str">
        <f t="shared" si="2194"/>
        <v>已发货</v>
      </c>
      <c r="J7617" s="1" t="str">
        <f t="shared" ref="J7617:J7627" si="2209">"3"</f>
        <v>3</v>
      </c>
      <c r="K7617" s="1">
        <v>2</v>
      </c>
      <c r="L7617" s="1" t="s">
        <v>18</v>
      </c>
      <c r="M7617" s="1" t="str">
        <f>"广东省 深圳市 龙岗区 坪地街道"</f>
        <v>广东省 深圳市 龙岗区 坪地街道</v>
      </c>
      <c r="N7617" s="1" t="str">
        <f t="shared" si="2208"/>
        <v>凡华云仓-韵达-抖音</v>
      </c>
      <c r="O7617" s="5">
        <v>320169507120327</v>
      </c>
      <c r="P7617" s="6">
        <v>0.35</v>
      </c>
      <c r="Q7617" s="11">
        <v>2.2999999999999998</v>
      </c>
      <c r="R7617" s="11"/>
      <c r="S7617" s="11"/>
      <c r="T7617" s="11"/>
      <c r="U7617" s="11">
        <f t="shared" si="2190"/>
        <v>2.2999999999999998</v>
      </c>
      <c r="W7617">
        <v>2.5</v>
      </c>
      <c r="X7617" s="1" t="s">
        <v>18</v>
      </c>
    </row>
    <row r="7618" spans="1:24" x14ac:dyDescent="0.25">
      <c r="A7618" s="1" t="str">
        <f t="shared" si="2191"/>
        <v>卡卡杜-凤凰仓</v>
      </c>
      <c r="B7618" s="1" t="str">
        <f>"CK2024101308"</f>
        <v>CK2024101308</v>
      </c>
      <c r="C7618" s="1" t="str">
        <f>"DD2024101318074"</f>
        <v>DD2024101318074</v>
      </c>
      <c r="D7618" s="1" t="str">
        <f>"CK2024101326714"</f>
        <v>CK2024101326714</v>
      </c>
      <c r="E7618" s="1" t="str">
        <f>"6934939225604560631"</f>
        <v>6934939225604560631</v>
      </c>
      <c r="F7618" s="1" t="str">
        <f t="shared" si="2192"/>
        <v>花都四部-凤凰仓</v>
      </c>
      <c r="G7618" s="1" t="str">
        <f t="shared" si="2207"/>
        <v>卡卡杜个人护理店（抖店）</v>
      </c>
      <c r="H7618" s="1" t="str">
        <f t="shared" si="2193"/>
        <v>正常订单</v>
      </c>
      <c r="I7618" s="1" t="str">
        <f t="shared" si="2194"/>
        <v>已发货</v>
      </c>
      <c r="J7618" s="1" t="str">
        <f t="shared" si="2209"/>
        <v>3</v>
      </c>
      <c r="K7618" s="1">
        <v>3</v>
      </c>
      <c r="L7618" s="1" t="s">
        <v>22</v>
      </c>
      <c r="M7618" s="1" t="str">
        <f>"江西省 南昌市 西湖区 桃源街道"</f>
        <v>江西省 南昌市 西湖区 桃源街道</v>
      </c>
      <c r="N7618" s="1" t="str">
        <f t="shared" si="2208"/>
        <v>凡华云仓-韵达-抖音</v>
      </c>
      <c r="O7618" s="5">
        <v>320169496752735</v>
      </c>
      <c r="P7618" s="6">
        <v>0.34</v>
      </c>
      <c r="Q7618" s="11">
        <v>2.2999999999999998</v>
      </c>
      <c r="R7618" s="11"/>
      <c r="S7618" s="11"/>
      <c r="T7618" s="11"/>
      <c r="U7618" s="11">
        <f t="shared" si="2190"/>
        <v>2.2999999999999998</v>
      </c>
      <c r="W7618">
        <v>2.5</v>
      </c>
      <c r="X7618" s="1" t="s">
        <v>22</v>
      </c>
    </row>
    <row r="7619" spans="1:24" x14ac:dyDescent="0.25">
      <c r="A7619" s="1" t="str">
        <f t="shared" si="2191"/>
        <v>卡卡杜-凤凰仓</v>
      </c>
      <c r="B7619" s="1" t="str">
        <f>"CK2024101218152-1"</f>
        <v>CK2024101218152-1</v>
      </c>
      <c r="C7619" s="1" t="str">
        <f>"DD2024101318072"</f>
        <v>DD2024101318072</v>
      </c>
      <c r="D7619" s="1" t="str">
        <f>"CK2024101326713"</f>
        <v>CK2024101326713</v>
      </c>
      <c r="E7619" s="1" t="str">
        <f>"6917561418583932568"</f>
        <v>6917561418583932568</v>
      </c>
      <c r="F7619" s="1" t="str">
        <f t="shared" si="2192"/>
        <v>花都四部-凤凰仓</v>
      </c>
      <c r="G7619" s="1" t="str">
        <f t="shared" si="2207"/>
        <v>卡卡杜个人护理店（抖店）</v>
      </c>
      <c r="H7619" s="1" t="str">
        <f t="shared" si="2193"/>
        <v>正常订单</v>
      </c>
      <c r="I7619" s="1" t="str">
        <f t="shared" si="2194"/>
        <v>已发货</v>
      </c>
      <c r="J7619" s="1" t="str">
        <f t="shared" si="2209"/>
        <v>3</v>
      </c>
      <c r="K7619" s="1">
        <v>2</v>
      </c>
      <c r="L7619" s="1" t="s">
        <v>24</v>
      </c>
      <c r="M7619" s="1" t="str">
        <f>"福建省 宁德市 霞浦县 松城街道"</f>
        <v>福建省 宁德市 霞浦县 松城街道</v>
      </c>
      <c r="N7619" s="1" t="str">
        <f t="shared" si="2208"/>
        <v>凡华云仓-韵达-抖音</v>
      </c>
      <c r="O7619" s="5">
        <v>320169496752634</v>
      </c>
      <c r="P7619" s="6">
        <v>0.35</v>
      </c>
      <c r="Q7619" s="11">
        <v>2.2999999999999998</v>
      </c>
      <c r="R7619" s="11"/>
      <c r="S7619" s="11"/>
      <c r="T7619" s="11"/>
      <c r="U7619" s="11">
        <f t="shared" ref="U7619:U7682" si="2210">T7619+S7619+R7619+Q7619</f>
        <v>2.2999999999999998</v>
      </c>
      <c r="W7619">
        <v>2.5</v>
      </c>
      <c r="X7619" s="1" t="s">
        <v>24</v>
      </c>
    </row>
    <row r="7620" spans="1:24" x14ac:dyDescent="0.25">
      <c r="A7620" s="1" t="str">
        <f t="shared" si="2191"/>
        <v>卡卡杜-凤凰仓</v>
      </c>
      <c r="B7620" s="1" t="str">
        <f>"CK2024101218151-1"</f>
        <v>CK2024101218151-1</v>
      </c>
      <c r="C7620" s="1" t="str">
        <f>"DD2024101318085"</f>
        <v>DD2024101318085</v>
      </c>
      <c r="D7620" s="1" t="str">
        <f>"CK2024101326712"</f>
        <v>CK2024101326712</v>
      </c>
      <c r="E7620" s="1" t="str">
        <f>"6934920585957152405"</f>
        <v>6934920585957152405</v>
      </c>
      <c r="F7620" s="1" t="str">
        <f t="shared" si="2192"/>
        <v>花都四部-凤凰仓</v>
      </c>
      <c r="G7620" s="1" t="str">
        <f t="shared" si="2207"/>
        <v>卡卡杜个人护理店（抖店）</v>
      </c>
      <c r="H7620" s="1" t="str">
        <f t="shared" si="2193"/>
        <v>正常订单</v>
      </c>
      <c r="I7620" s="1" t="str">
        <f t="shared" si="2194"/>
        <v>已发货</v>
      </c>
      <c r="J7620" s="1" t="str">
        <f t="shared" si="2209"/>
        <v>3</v>
      </c>
      <c r="K7620" s="1">
        <v>2</v>
      </c>
      <c r="L7620" s="1" t="s">
        <v>92</v>
      </c>
      <c r="M7620" s="1" t="str">
        <f>"辽宁省 大连市 金州区 马桥子街道"</f>
        <v>辽宁省 大连市 金州区 马桥子街道</v>
      </c>
      <c r="N7620" s="1" t="str">
        <f t="shared" si="2208"/>
        <v>凡华云仓-韵达-抖音</v>
      </c>
      <c r="O7620" s="5">
        <v>320169496752535</v>
      </c>
      <c r="P7620" s="6">
        <v>0.35</v>
      </c>
      <c r="Q7620" s="11">
        <v>2.2999999999999998</v>
      </c>
      <c r="R7620" s="11"/>
      <c r="S7620" s="11"/>
      <c r="T7620" s="11"/>
      <c r="U7620" s="11">
        <f t="shared" si="2210"/>
        <v>2.2999999999999998</v>
      </c>
      <c r="W7620">
        <v>2.5</v>
      </c>
      <c r="X7620" s="1" t="s">
        <v>92</v>
      </c>
    </row>
    <row r="7621" spans="1:24" x14ac:dyDescent="0.25">
      <c r="A7621" s="1" t="str">
        <f t="shared" ref="A7621:A7684" si="2211">"卡卡杜-凤凰仓"</f>
        <v>卡卡杜-凤凰仓</v>
      </c>
      <c r="B7621" s="1" t="str">
        <f>"CK2024101309"</f>
        <v>CK2024101309</v>
      </c>
      <c r="C7621" s="1" t="str">
        <f>"DD2024101318077"</f>
        <v>DD2024101318077</v>
      </c>
      <c r="D7621" s="1" t="str">
        <f>"CK2024101326711"</f>
        <v>CK2024101326711</v>
      </c>
      <c r="E7621" s="1" t="str">
        <f>"6934929954655507901"</f>
        <v>6934929954655507901</v>
      </c>
      <c r="F7621" s="1" t="str">
        <f t="shared" ref="F7621:F7684" si="2212">"花都四部-凤凰仓"</f>
        <v>花都四部-凤凰仓</v>
      </c>
      <c r="G7621" s="1" t="str">
        <f t="shared" si="2207"/>
        <v>卡卡杜个人护理店（抖店）</v>
      </c>
      <c r="H7621" s="1" t="str">
        <f t="shared" ref="H7621:H7684" si="2213">"正常订单"</f>
        <v>正常订单</v>
      </c>
      <c r="I7621" s="1" t="str">
        <f t="shared" ref="I7621:I7684" si="2214">"已发货"</f>
        <v>已发货</v>
      </c>
      <c r="J7621" s="1" t="str">
        <f t="shared" si="2209"/>
        <v>3</v>
      </c>
      <c r="K7621" s="1">
        <v>2</v>
      </c>
      <c r="L7621" s="1" t="s">
        <v>13</v>
      </c>
      <c r="M7621" s="1" t="str">
        <f>"江苏省 淮安市 淮安区 淮城街道"</f>
        <v>江苏省 淮安市 淮安区 淮城街道</v>
      </c>
      <c r="N7621" s="1" t="str">
        <f t="shared" si="2208"/>
        <v>凡华云仓-韵达-抖音</v>
      </c>
      <c r="O7621" s="5">
        <v>320169496752438</v>
      </c>
      <c r="P7621" s="6">
        <v>0.35</v>
      </c>
      <c r="Q7621" s="11">
        <v>2.2999999999999998</v>
      </c>
      <c r="R7621" s="11"/>
      <c r="S7621" s="11"/>
      <c r="T7621" s="11"/>
      <c r="U7621" s="11">
        <f t="shared" si="2210"/>
        <v>2.2999999999999998</v>
      </c>
      <c r="W7621">
        <v>2.5</v>
      </c>
      <c r="X7621" s="1" t="s">
        <v>13</v>
      </c>
    </row>
    <row r="7622" spans="1:24" x14ac:dyDescent="0.25">
      <c r="A7622" s="1" t="str">
        <f t="shared" si="2211"/>
        <v>卡卡杜-凤凰仓</v>
      </c>
      <c r="B7622" s="1" t="str">
        <f>"CK2024101317"</f>
        <v>CK2024101317</v>
      </c>
      <c r="C7622" s="1" t="str">
        <f>"DD2024101318086"</f>
        <v>DD2024101318086</v>
      </c>
      <c r="D7622" s="1" t="str">
        <f>"CK2024101326710"</f>
        <v>CK2024101326710</v>
      </c>
      <c r="E7622" s="1" t="str">
        <f>"6934923201258722467"</f>
        <v>6934923201258722467</v>
      </c>
      <c r="F7622" s="1" t="str">
        <f t="shared" si="2212"/>
        <v>花都四部-凤凰仓</v>
      </c>
      <c r="G7622" s="1" t="str">
        <f t="shared" si="2207"/>
        <v>卡卡杜个人护理店（抖店）</v>
      </c>
      <c r="H7622" s="1" t="str">
        <f t="shared" si="2213"/>
        <v>正常订单</v>
      </c>
      <c r="I7622" s="1" t="str">
        <f t="shared" si="2214"/>
        <v>已发货</v>
      </c>
      <c r="J7622" s="1" t="str">
        <f t="shared" si="2209"/>
        <v>3</v>
      </c>
      <c r="K7622" s="1">
        <v>2</v>
      </c>
      <c r="L7622" s="1" t="s">
        <v>18</v>
      </c>
      <c r="M7622" s="1" t="str">
        <f>"广东省 广州市 增城区 新塘镇"</f>
        <v>广东省 广州市 增城区 新塘镇</v>
      </c>
      <c r="N7622" s="1" t="str">
        <f t="shared" si="2208"/>
        <v>凡华云仓-韵达-抖音</v>
      </c>
      <c r="O7622" s="5">
        <v>320169496752343</v>
      </c>
      <c r="P7622" s="6">
        <v>0.35</v>
      </c>
      <c r="Q7622" s="11">
        <v>2.2999999999999998</v>
      </c>
      <c r="R7622" s="11"/>
      <c r="S7622" s="11"/>
      <c r="T7622" s="11"/>
      <c r="U7622" s="11">
        <f t="shared" si="2210"/>
        <v>2.2999999999999998</v>
      </c>
      <c r="W7622">
        <v>2.5</v>
      </c>
      <c r="X7622" s="1" t="s">
        <v>18</v>
      </c>
    </row>
    <row r="7623" spans="1:24" x14ac:dyDescent="0.25">
      <c r="A7623" s="1" t="str">
        <f t="shared" si="2211"/>
        <v>卡卡杜-凤凰仓</v>
      </c>
      <c r="B7623" s="1" t="str">
        <f>"CK2024101319"</f>
        <v>CK2024101319</v>
      </c>
      <c r="C7623" s="1" t="str">
        <f>"DD2024101318090"</f>
        <v>DD2024101318090</v>
      </c>
      <c r="D7623" s="1" t="str">
        <f>"CK2024101326708"</f>
        <v>CK2024101326708</v>
      </c>
      <c r="E7623" s="1" t="str">
        <f>"6934916910204327408"</f>
        <v>6934916910204327408</v>
      </c>
      <c r="F7623" s="1" t="str">
        <f t="shared" si="2212"/>
        <v>花都四部-凤凰仓</v>
      </c>
      <c r="G7623" s="1" t="str">
        <f t="shared" si="2207"/>
        <v>卡卡杜个人护理店（抖店）</v>
      </c>
      <c r="H7623" s="1" t="str">
        <f t="shared" si="2213"/>
        <v>正常订单</v>
      </c>
      <c r="I7623" s="1" t="str">
        <f t="shared" si="2214"/>
        <v>已发货</v>
      </c>
      <c r="J7623" s="1" t="str">
        <f t="shared" si="2209"/>
        <v>3</v>
      </c>
      <c r="K7623" s="1">
        <v>2</v>
      </c>
      <c r="L7623" s="1" t="s">
        <v>92</v>
      </c>
      <c r="M7623" s="1" t="str">
        <f>"辽宁省 锦州市 黑山县 黑山街道"</f>
        <v>辽宁省 锦州市 黑山县 黑山街道</v>
      </c>
      <c r="N7623" s="1" t="str">
        <f t="shared" si="2208"/>
        <v>凡华云仓-韵达-抖音</v>
      </c>
      <c r="O7623" s="5">
        <v>320169496752159</v>
      </c>
      <c r="P7623" s="6">
        <v>0.35</v>
      </c>
      <c r="Q7623" s="11">
        <v>2.2999999999999998</v>
      </c>
      <c r="R7623" s="11"/>
      <c r="S7623" s="11"/>
      <c r="T7623" s="11"/>
      <c r="U7623" s="11">
        <f t="shared" si="2210"/>
        <v>2.2999999999999998</v>
      </c>
      <c r="W7623">
        <v>2.5</v>
      </c>
      <c r="X7623" s="1" t="s">
        <v>92</v>
      </c>
    </row>
    <row r="7624" spans="1:24" x14ac:dyDescent="0.25">
      <c r="A7624" s="1" t="str">
        <f t="shared" si="2211"/>
        <v>卡卡杜-凤凰仓</v>
      </c>
      <c r="B7624" s="1" t="str">
        <f>"CK2024101338"</f>
        <v>CK2024101338</v>
      </c>
      <c r="C7624" s="1" t="str">
        <f>"DD2024101318107"</f>
        <v>DD2024101318107</v>
      </c>
      <c r="D7624" s="1" t="str">
        <f>"CK2024101326707"</f>
        <v>CK2024101326707</v>
      </c>
      <c r="E7624" s="1" t="str">
        <f>"6934954788178302707"</f>
        <v>6934954788178302707</v>
      </c>
      <c r="F7624" s="1" t="str">
        <f t="shared" si="2212"/>
        <v>花都四部-凤凰仓</v>
      </c>
      <c r="G7624" s="1" t="str">
        <f t="shared" si="2207"/>
        <v>卡卡杜个人护理店（抖店）</v>
      </c>
      <c r="H7624" s="1" t="str">
        <f t="shared" si="2213"/>
        <v>正常订单</v>
      </c>
      <c r="I7624" s="1" t="str">
        <f t="shared" si="2214"/>
        <v>已发货</v>
      </c>
      <c r="J7624" s="1" t="str">
        <f t="shared" si="2209"/>
        <v>3</v>
      </c>
      <c r="K7624" s="1">
        <v>2</v>
      </c>
      <c r="L7624" s="1" t="s">
        <v>18</v>
      </c>
      <c r="M7624" s="1" t="str">
        <f>"广东省 湛江市 霞山区 新园街道"</f>
        <v>广东省 湛江市 霞山区 新园街道</v>
      </c>
      <c r="N7624" s="1" t="str">
        <f t="shared" si="2208"/>
        <v>凡华云仓-韵达-抖音</v>
      </c>
      <c r="O7624" s="5">
        <v>320169496752070</v>
      </c>
      <c r="P7624" s="6">
        <v>0.35</v>
      </c>
      <c r="Q7624" s="11">
        <v>2.2999999999999998</v>
      </c>
      <c r="R7624" s="11"/>
      <c r="S7624" s="11"/>
      <c r="T7624" s="11"/>
      <c r="U7624" s="11">
        <f t="shared" si="2210"/>
        <v>2.2999999999999998</v>
      </c>
      <c r="W7624">
        <v>2.5</v>
      </c>
      <c r="X7624" s="1" t="s">
        <v>18</v>
      </c>
    </row>
    <row r="7625" spans="1:24" x14ac:dyDescent="0.25">
      <c r="A7625" s="1" t="str">
        <f t="shared" si="2211"/>
        <v>卡卡杜-凤凰仓</v>
      </c>
      <c r="B7625" s="1" t="str">
        <f>"CK2024101314"</f>
        <v>CK2024101314</v>
      </c>
      <c r="C7625" s="1" t="str">
        <f>"DD2024101318082"</f>
        <v>DD2024101318082</v>
      </c>
      <c r="D7625" s="1" t="str">
        <f>"CK2024101326706"</f>
        <v>CK2024101326706</v>
      </c>
      <c r="E7625" s="1" t="str">
        <f>"6934916573812758467"</f>
        <v>6934916573812758467</v>
      </c>
      <c r="F7625" s="1" t="str">
        <f t="shared" si="2212"/>
        <v>花都四部-凤凰仓</v>
      </c>
      <c r="G7625" s="1" t="str">
        <f t="shared" si="2207"/>
        <v>卡卡杜个人护理店（抖店）</v>
      </c>
      <c r="H7625" s="1" t="str">
        <f t="shared" si="2213"/>
        <v>正常订单</v>
      </c>
      <c r="I7625" s="1" t="str">
        <f t="shared" si="2214"/>
        <v>已发货</v>
      </c>
      <c r="J7625" s="1" t="str">
        <f t="shared" si="2209"/>
        <v>3</v>
      </c>
      <c r="K7625" s="1">
        <v>3</v>
      </c>
      <c r="L7625" s="1" t="s">
        <v>96</v>
      </c>
      <c r="M7625" s="1" t="str">
        <f>"广西壮族自治区 柳州市 鹿寨县 江口乡"</f>
        <v>广西壮族自治区 柳州市 鹿寨县 江口乡</v>
      </c>
      <c r="N7625" s="1" t="str">
        <f t="shared" si="2208"/>
        <v>凡华云仓-韵达-抖音</v>
      </c>
      <c r="O7625" s="5">
        <v>320169496751952</v>
      </c>
      <c r="P7625" s="6">
        <v>0.34</v>
      </c>
      <c r="Q7625" s="11">
        <v>2.2999999999999998</v>
      </c>
      <c r="R7625" s="11"/>
      <c r="S7625" s="11"/>
      <c r="T7625" s="11"/>
      <c r="U7625" s="11">
        <f t="shared" si="2210"/>
        <v>2.2999999999999998</v>
      </c>
      <c r="W7625">
        <v>2.5</v>
      </c>
      <c r="X7625" s="1" t="s">
        <v>96</v>
      </c>
    </row>
    <row r="7626" spans="1:24" x14ac:dyDescent="0.25">
      <c r="A7626" s="1" t="str">
        <f t="shared" si="2211"/>
        <v>卡卡杜-凤凰仓</v>
      </c>
      <c r="B7626" s="1" t="str">
        <f>"CK2024101332"</f>
        <v>CK2024101332</v>
      </c>
      <c r="C7626" s="1" t="str">
        <f>"DD2024101318096"</f>
        <v>DD2024101318096</v>
      </c>
      <c r="D7626" s="1" t="str">
        <f>"CK2024101326705"</f>
        <v>CK2024101326705</v>
      </c>
      <c r="E7626" s="1" t="str">
        <f>"6934951330627851490"</f>
        <v>6934951330627851490</v>
      </c>
      <c r="F7626" s="1" t="str">
        <f t="shared" si="2212"/>
        <v>花都四部-凤凰仓</v>
      </c>
      <c r="G7626" s="1" t="str">
        <f t="shared" si="2207"/>
        <v>卡卡杜个人护理店（抖店）</v>
      </c>
      <c r="H7626" s="1" t="str">
        <f t="shared" si="2213"/>
        <v>正常订单</v>
      </c>
      <c r="I7626" s="1" t="str">
        <f t="shared" si="2214"/>
        <v>已发货</v>
      </c>
      <c r="J7626" s="1" t="str">
        <f t="shared" si="2209"/>
        <v>3</v>
      </c>
      <c r="K7626" s="1">
        <v>2</v>
      </c>
      <c r="L7626" s="1" t="s">
        <v>24</v>
      </c>
      <c r="M7626" s="1" t="str">
        <f>"福建省 泉州市 安溪县 城厢镇"</f>
        <v>福建省 泉州市 安溪县 城厢镇</v>
      </c>
      <c r="N7626" s="1" t="str">
        <f t="shared" si="2208"/>
        <v>凡华云仓-韵达-抖音</v>
      </c>
      <c r="O7626" s="5">
        <v>320169496751847</v>
      </c>
      <c r="P7626" s="6">
        <v>0.35</v>
      </c>
      <c r="Q7626" s="11">
        <v>2.2999999999999998</v>
      </c>
      <c r="R7626" s="11"/>
      <c r="S7626" s="11"/>
      <c r="T7626" s="11"/>
      <c r="U7626" s="11">
        <f t="shared" si="2210"/>
        <v>2.2999999999999998</v>
      </c>
      <c r="W7626">
        <v>2.5</v>
      </c>
      <c r="X7626" s="1" t="s">
        <v>24</v>
      </c>
    </row>
    <row r="7627" spans="1:24" x14ac:dyDescent="0.25">
      <c r="A7627" s="1" t="str">
        <f t="shared" si="2211"/>
        <v>卡卡杜-凤凰仓</v>
      </c>
      <c r="B7627" s="1" t="str">
        <f>"CK2024101335"</f>
        <v>CK2024101335</v>
      </c>
      <c r="C7627" s="1" t="str">
        <f>"DD2024101318103"</f>
        <v>DD2024101318103</v>
      </c>
      <c r="D7627" s="1" t="str">
        <f>"CK2024101326704"</f>
        <v>CK2024101326704</v>
      </c>
      <c r="E7627" s="1" t="str">
        <f>"6934951077688251628"</f>
        <v>6934951077688251628</v>
      </c>
      <c r="F7627" s="1" t="str">
        <f t="shared" si="2212"/>
        <v>花都四部-凤凰仓</v>
      </c>
      <c r="G7627" s="1" t="str">
        <f t="shared" si="2207"/>
        <v>卡卡杜个人护理店（抖店）</v>
      </c>
      <c r="H7627" s="1" t="str">
        <f t="shared" si="2213"/>
        <v>正常订单</v>
      </c>
      <c r="I7627" s="1" t="str">
        <f t="shared" si="2214"/>
        <v>已发货</v>
      </c>
      <c r="J7627" s="1" t="str">
        <f t="shared" si="2209"/>
        <v>3</v>
      </c>
      <c r="K7627" s="1">
        <v>2</v>
      </c>
      <c r="L7627" s="1" t="s">
        <v>18</v>
      </c>
      <c r="M7627" s="1" t="str">
        <f>"广东省 深圳市 宝安区 沙井街道"</f>
        <v>广东省 深圳市 宝安区 沙井街道</v>
      </c>
      <c r="N7627" s="1" t="str">
        <f t="shared" si="2208"/>
        <v>凡华云仓-韵达-抖音</v>
      </c>
      <c r="O7627" s="5">
        <v>320169504132903</v>
      </c>
      <c r="P7627" s="6">
        <v>0.35</v>
      </c>
      <c r="Q7627" s="11">
        <v>2.2999999999999998</v>
      </c>
      <c r="R7627" s="11"/>
      <c r="S7627" s="11"/>
      <c r="T7627" s="11"/>
      <c r="U7627" s="11">
        <f t="shared" si="2210"/>
        <v>2.2999999999999998</v>
      </c>
      <c r="W7627">
        <v>2.5</v>
      </c>
      <c r="X7627" s="1" t="s">
        <v>18</v>
      </c>
    </row>
    <row r="7628" spans="1:24" x14ac:dyDescent="0.25">
      <c r="A7628" s="1" t="str">
        <f t="shared" si="2211"/>
        <v>卡卡杜-凤凰仓</v>
      </c>
      <c r="B7628" s="1" t="str">
        <f>"CK2024101330"</f>
        <v>CK2024101330</v>
      </c>
      <c r="C7628" s="1" t="str">
        <f>"DD2024101318100"</f>
        <v>DD2024101318100</v>
      </c>
      <c r="D7628" s="1" t="str">
        <f>"CK2024101326703"</f>
        <v>CK2024101326703</v>
      </c>
      <c r="E7628" s="1" t="str">
        <f>"6934953303176517108"</f>
        <v>6934953303176517108</v>
      </c>
      <c r="F7628" s="1" t="str">
        <f t="shared" si="2212"/>
        <v>花都四部-凤凰仓</v>
      </c>
      <c r="G7628" s="1" t="str">
        <f t="shared" si="2207"/>
        <v>卡卡杜个人护理店（抖店）</v>
      </c>
      <c r="H7628" s="1" t="str">
        <f t="shared" si="2213"/>
        <v>正常订单</v>
      </c>
      <c r="I7628" s="1" t="str">
        <f t="shared" si="2214"/>
        <v>已发货</v>
      </c>
      <c r="J7628" s="1" t="str">
        <f>"5"</f>
        <v>5</v>
      </c>
      <c r="K7628" s="1">
        <v>2</v>
      </c>
      <c r="L7628" s="1" t="s">
        <v>20</v>
      </c>
      <c r="M7628" s="1" t="str">
        <f>"浙江省 宁波市 象山县 高塘岛乡"</f>
        <v>浙江省 宁波市 象山县 高塘岛乡</v>
      </c>
      <c r="N7628" s="1" t="str">
        <f t="shared" si="2208"/>
        <v>凡华云仓-韵达-抖音</v>
      </c>
      <c r="O7628" s="5">
        <v>320169504132898</v>
      </c>
      <c r="P7628" s="6">
        <v>0.59</v>
      </c>
      <c r="Q7628" s="11">
        <f>CEILING(P7628-0.5,0.1)*10*0.15+2.3</f>
        <v>2.4499999999999997</v>
      </c>
      <c r="R7628" s="11"/>
      <c r="S7628" s="11"/>
      <c r="T7628" s="11"/>
      <c r="U7628" s="11">
        <f t="shared" si="2210"/>
        <v>2.4499999999999997</v>
      </c>
      <c r="V7628" t="s">
        <v>15</v>
      </c>
      <c r="W7628">
        <v>2.4500000000000002</v>
      </c>
      <c r="X7628" s="1" t="s">
        <v>20</v>
      </c>
    </row>
    <row r="7629" spans="1:24" x14ac:dyDescent="0.25">
      <c r="A7629" s="1" t="str">
        <f t="shared" si="2211"/>
        <v>卡卡杜-凤凰仓</v>
      </c>
      <c r="B7629" s="1" t="str">
        <f>"CK2024101313"</f>
        <v>CK2024101313</v>
      </c>
      <c r="C7629" s="1" t="str">
        <f>"DD2024101318081"</f>
        <v>DD2024101318081</v>
      </c>
      <c r="D7629" s="1" t="str">
        <f>"CK2024101326702"</f>
        <v>CK2024101326702</v>
      </c>
      <c r="E7629" s="1" t="str">
        <f>"6934943078828545544"</f>
        <v>6934943078828545544</v>
      </c>
      <c r="F7629" s="1" t="str">
        <f t="shared" si="2212"/>
        <v>花都四部-凤凰仓</v>
      </c>
      <c r="G7629" s="1" t="str">
        <f t="shared" si="2207"/>
        <v>卡卡杜个人护理店（抖店）</v>
      </c>
      <c r="H7629" s="1" t="str">
        <f t="shared" si="2213"/>
        <v>正常订单</v>
      </c>
      <c r="I7629" s="1" t="str">
        <f t="shared" si="2214"/>
        <v>已发货</v>
      </c>
      <c r="J7629" s="1" t="str">
        <f t="shared" ref="J7629:J7635" si="2215">"3"</f>
        <v>3</v>
      </c>
      <c r="K7629" s="1">
        <v>3</v>
      </c>
      <c r="L7629" s="1" t="s">
        <v>24</v>
      </c>
      <c r="M7629" s="1" t="str">
        <f>"福建省 漳州市 芗城区 芝山镇"</f>
        <v>福建省 漳州市 芗城区 芝山镇</v>
      </c>
      <c r="N7629" s="1" t="str">
        <f t="shared" si="2208"/>
        <v>凡华云仓-韵达-抖音</v>
      </c>
      <c r="O7629" s="5">
        <v>320169504132795</v>
      </c>
      <c r="P7629" s="6">
        <v>0.34</v>
      </c>
      <c r="Q7629" s="11">
        <v>2.2999999999999998</v>
      </c>
      <c r="R7629" s="11"/>
      <c r="S7629" s="11"/>
      <c r="T7629" s="11"/>
      <c r="U7629" s="11">
        <f t="shared" si="2210"/>
        <v>2.2999999999999998</v>
      </c>
      <c r="W7629">
        <v>2.5</v>
      </c>
      <c r="X7629" s="1" t="s">
        <v>24</v>
      </c>
    </row>
    <row r="7630" spans="1:24" x14ac:dyDescent="0.25">
      <c r="A7630" s="1" t="str">
        <f t="shared" si="2211"/>
        <v>卡卡杜-凤凰仓</v>
      </c>
      <c r="B7630" s="1" t="str">
        <f>"CK2024101329"</f>
        <v>CK2024101329</v>
      </c>
      <c r="C7630" s="1" t="str">
        <f>"DD2024101318098"</f>
        <v>DD2024101318098</v>
      </c>
      <c r="D7630" s="1" t="str">
        <f>"CK2024101326701"</f>
        <v>CK2024101326701</v>
      </c>
      <c r="E7630" s="1" t="str">
        <f>"6934955138410681971"</f>
        <v>6934955138410681971</v>
      </c>
      <c r="F7630" s="1" t="str">
        <f t="shared" si="2212"/>
        <v>花都四部-凤凰仓</v>
      </c>
      <c r="G7630" s="1" t="str">
        <f t="shared" si="2207"/>
        <v>卡卡杜个人护理店（抖店）</v>
      </c>
      <c r="H7630" s="1" t="str">
        <f t="shared" si="2213"/>
        <v>正常订单</v>
      </c>
      <c r="I7630" s="1" t="str">
        <f t="shared" si="2214"/>
        <v>已发货</v>
      </c>
      <c r="J7630" s="1" t="str">
        <f t="shared" si="2215"/>
        <v>3</v>
      </c>
      <c r="K7630" s="1">
        <v>2</v>
      </c>
      <c r="L7630" s="1" t="s">
        <v>16</v>
      </c>
      <c r="M7630" s="1" t="str">
        <f>"河北省 保定市 容城县 容城镇"</f>
        <v>河北省 保定市 容城县 容城镇</v>
      </c>
      <c r="N7630" s="1" t="str">
        <f t="shared" si="2208"/>
        <v>凡华云仓-韵达-抖音</v>
      </c>
      <c r="O7630" s="5">
        <v>320169504132694</v>
      </c>
      <c r="P7630" s="6">
        <v>0.35</v>
      </c>
      <c r="Q7630" s="11">
        <v>2.2999999999999998</v>
      </c>
      <c r="R7630" s="11"/>
      <c r="S7630" s="11"/>
      <c r="T7630" s="11"/>
      <c r="U7630" s="11">
        <f t="shared" si="2210"/>
        <v>2.2999999999999998</v>
      </c>
      <c r="W7630">
        <v>2.5</v>
      </c>
      <c r="X7630" s="1" t="s">
        <v>16</v>
      </c>
    </row>
    <row r="7631" spans="1:24" x14ac:dyDescent="0.25">
      <c r="A7631" s="1" t="str">
        <f t="shared" si="2211"/>
        <v>卡卡杜-凤凰仓</v>
      </c>
      <c r="B7631" s="1" t="str">
        <f>"CK2024101334"</f>
        <v>CK2024101334</v>
      </c>
      <c r="C7631" s="1" t="str">
        <f>"DD2024101318104"</f>
        <v>DD2024101318104</v>
      </c>
      <c r="D7631" s="1" t="str">
        <f>"CK2024101326700"</f>
        <v>CK2024101326700</v>
      </c>
      <c r="E7631" s="1" t="str">
        <f>"6934951091780196318"</f>
        <v>6934951091780196318</v>
      </c>
      <c r="F7631" s="1" t="str">
        <f t="shared" si="2212"/>
        <v>花都四部-凤凰仓</v>
      </c>
      <c r="G7631" s="1" t="str">
        <f t="shared" si="2207"/>
        <v>卡卡杜个人护理店（抖店）</v>
      </c>
      <c r="H7631" s="1" t="str">
        <f t="shared" si="2213"/>
        <v>正常订单</v>
      </c>
      <c r="I7631" s="1" t="str">
        <f t="shared" si="2214"/>
        <v>已发货</v>
      </c>
      <c r="J7631" s="1" t="str">
        <f t="shared" si="2215"/>
        <v>3</v>
      </c>
      <c r="K7631" s="1">
        <v>2</v>
      </c>
      <c r="L7631" s="1" t="s">
        <v>13</v>
      </c>
      <c r="M7631" s="1" t="str">
        <f>"江苏省 连云港市 海州区 新东街道"</f>
        <v>江苏省 连云港市 海州区 新东街道</v>
      </c>
      <c r="N7631" s="1" t="str">
        <f t="shared" si="2208"/>
        <v>凡华云仓-韵达-抖音</v>
      </c>
      <c r="O7631" s="5">
        <v>320169504132595</v>
      </c>
      <c r="P7631" s="6">
        <v>0.35</v>
      </c>
      <c r="Q7631" s="11">
        <v>2.2999999999999998</v>
      </c>
      <c r="R7631" s="11"/>
      <c r="S7631" s="11"/>
      <c r="T7631" s="11"/>
      <c r="U7631" s="11">
        <f t="shared" si="2210"/>
        <v>2.2999999999999998</v>
      </c>
      <c r="W7631">
        <v>2.5</v>
      </c>
      <c r="X7631" s="1" t="s">
        <v>13</v>
      </c>
    </row>
    <row r="7632" spans="1:24" x14ac:dyDescent="0.25">
      <c r="A7632" s="1" t="str">
        <f t="shared" si="2211"/>
        <v>卡卡杜-凤凰仓</v>
      </c>
      <c r="B7632" s="1" t="str">
        <f>"CK2024101333"</f>
        <v>CK2024101333</v>
      </c>
      <c r="C7632" s="1" t="str">
        <f>"DD2024101318102"</f>
        <v>DD2024101318102</v>
      </c>
      <c r="D7632" s="1" t="str">
        <f>"CK2024101326699"</f>
        <v>CK2024101326699</v>
      </c>
      <c r="E7632" s="1" t="str">
        <f>"6934951051522873245"</f>
        <v>6934951051522873245</v>
      </c>
      <c r="F7632" s="1" t="str">
        <f t="shared" si="2212"/>
        <v>花都四部-凤凰仓</v>
      </c>
      <c r="G7632" s="1" t="str">
        <f t="shared" si="2207"/>
        <v>卡卡杜个人护理店（抖店）</v>
      </c>
      <c r="H7632" s="1" t="str">
        <f t="shared" si="2213"/>
        <v>正常订单</v>
      </c>
      <c r="I7632" s="1" t="str">
        <f t="shared" si="2214"/>
        <v>已发货</v>
      </c>
      <c r="J7632" s="1" t="str">
        <f t="shared" si="2215"/>
        <v>3</v>
      </c>
      <c r="K7632" s="1">
        <v>2</v>
      </c>
      <c r="L7632" s="1" t="s">
        <v>20</v>
      </c>
      <c r="M7632" s="1" t="str">
        <f>"浙江省 宁波市 慈溪市 附海镇"</f>
        <v>浙江省 宁波市 慈溪市 附海镇</v>
      </c>
      <c r="N7632" s="1" t="str">
        <f t="shared" si="2208"/>
        <v>凡华云仓-韵达-抖音</v>
      </c>
      <c r="O7632" s="5">
        <v>320169504132498</v>
      </c>
      <c r="P7632" s="6">
        <v>0.35</v>
      </c>
      <c r="Q7632" s="11">
        <v>2.2999999999999998</v>
      </c>
      <c r="R7632" s="11"/>
      <c r="S7632" s="11"/>
      <c r="T7632" s="11"/>
      <c r="U7632" s="11">
        <f t="shared" si="2210"/>
        <v>2.2999999999999998</v>
      </c>
      <c r="W7632">
        <v>2.5</v>
      </c>
      <c r="X7632" s="1" t="s">
        <v>20</v>
      </c>
    </row>
    <row r="7633" spans="1:24" x14ac:dyDescent="0.25">
      <c r="A7633" s="1" t="str">
        <f t="shared" si="2211"/>
        <v>卡卡杜-凤凰仓</v>
      </c>
      <c r="B7633" s="1" t="str">
        <f>"CK2024101336"</f>
        <v>CK2024101336</v>
      </c>
      <c r="C7633" s="1" t="str">
        <f>"DD2024101318106"</f>
        <v>DD2024101318106</v>
      </c>
      <c r="D7633" s="1" t="str">
        <f>"CK2024101326698"</f>
        <v>CK2024101326698</v>
      </c>
      <c r="E7633" s="1" t="str">
        <f>"6934946368202872364"</f>
        <v>6934946368202872364</v>
      </c>
      <c r="F7633" s="1" t="str">
        <f t="shared" si="2212"/>
        <v>花都四部-凤凰仓</v>
      </c>
      <c r="G7633" s="1" t="str">
        <f t="shared" si="2207"/>
        <v>卡卡杜个人护理店（抖店）</v>
      </c>
      <c r="H7633" s="1" t="str">
        <f t="shared" si="2213"/>
        <v>正常订单</v>
      </c>
      <c r="I7633" s="1" t="str">
        <f t="shared" si="2214"/>
        <v>已发货</v>
      </c>
      <c r="J7633" s="1" t="str">
        <f t="shared" si="2215"/>
        <v>3</v>
      </c>
      <c r="K7633" s="1">
        <v>2</v>
      </c>
      <c r="L7633" s="1" t="s">
        <v>161</v>
      </c>
      <c r="M7633" s="1" t="str">
        <f>"四川省 乐山市 五通桥区 竹根镇"</f>
        <v>四川省 乐山市 五通桥区 竹根镇</v>
      </c>
      <c r="N7633" s="1" t="str">
        <f t="shared" si="2208"/>
        <v>凡华云仓-韵达-抖音</v>
      </c>
      <c r="O7633" s="5">
        <v>320169504132303</v>
      </c>
      <c r="P7633" s="6">
        <v>0.35</v>
      </c>
      <c r="Q7633" s="11">
        <v>2.2999999999999998</v>
      </c>
      <c r="R7633" s="11"/>
      <c r="S7633" s="11"/>
      <c r="T7633" s="11"/>
      <c r="U7633" s="11">
        <f t="shared" si="2210"/>
        <v>2.2999999999999998</v>
      </c>
      <c r="W7633">
        <v>2.5</v>
      </c>
      <c r="X7633" s="1" t="s">
        <v>161</v>
      </c>
    </row>
    <row r="7634" spans="1:24" x14ac:dyDescent="0.25">
      <c r="A7634" s="1" t="str">
        <f t="shared" si="2211"/>
        <v>卡卡杜-凤凰仓</v>
      </c>
      <c r="B7634" s="1" t="str">
        <f>"CK2024101316"</f>
        <v>CK2024101316</v>
      </c>
      <c r="C7634" s="1" t="str">
        <f>"DD2024101318083"</f>
        <v>DD2024101318083</v>
      </c>
      <c r="D7634" s="1" t="str">
        <f>"CK2024101326697"</f>
        <v>CK2024101326697</v>
      </c>
      <c r="E7634" s="1" t="str">
        <f>"6934927570529162309"</f>
        <v>6934927570529162309</v>
      </c>
      <c r="F7634" s="1" t="str">
        <f t="shared" si="2212"/>
        <v>花都四部-凤凰仓</v>
      </c>
      <c r="G7634" s="1" t="str">
        <f t="shared" si="2207"/>
        <v>卡卡杜个人护理店（抖店）</v>
      </c>
      <c r="H7634" s="1" t="str">
        <f t="shared" si="2213"/>
        <v>正常订单</v>
      </c>
      <c r="I7634" s="1" t="str">
        <f t="shared" si="2214"/>
        <v>已发货</v>
      </c>
      <c r="J7634" s="1" t="str">
        <f t="shared" si="2215"/>
        <v>3</v>
      </c>
      <c r="K7634" s="1">
        <v>2</v>
      </c>
      <c r="L7634" s="1" t="s">
        <v>30</v>
      </c>
      <c r="M7634" s="1" t="str">
        <f>"山东省 东营市 广饶县 大王镇"</f>
        <v>山东省 东营市 广饶县 大王镇</v>
      </c>
      <c r="N7634" s="1" t="str">
        <f t="shared" si="2208"/>
        <v>凡华云仓-韵达-抖音</v>
      </c>
      <c r="O7634" s="5">
        <v>320169504132210</v>
      </c>
      <c r="P7634" s="6">
        <v>0.35</v>
      </c>
      <c r="Q7634" s="11">
        <v>2.2999999999999998</v>
      </c>
      <c r="R7634" s="11"/>
      <c r="S7634" s="11"/>
      <c r="T7634" s="11"/>
      <c r="U7634" s="11">
        <f t="shared" si="2210"/>
        <v>2.2999999999999998</v>
      </c>
      <c r="W7634">
        <v>2.5</v>
      </c>
      <c r="X7634" s="1" t="s">
        <v>30</v>
      </c>
    </row>
    <row r="7635" spans="1:24" x14ac:dyDescent="0.25">
      <c r="A7635" s="1" t="str">
        <f t="shared" si="2211"/>
        <v>卡卡杜-凤凰仓</v>
      </c>
      <c r="B7635" s="1" t="str">
        <f>"CK2024101327"</f>
        <v>CK2024101327</v>
      </c>
      <c r="C7635" s="1" t="str">
        <f>"DD2024101318099"</f>
        <v>DD2024101318099</v>
      </c>
      <c r="D7635" s="1" t="str">
        <f>"CK2024101326695"</f>
        <v>CK2024101326695</v>
      </c>
      <c r="E7635" s="1" t="str">
        <f>"6934955102754641356"</f>
        <v>6934955102754641356</v>
      </c>
      <c r="F7635" s="1" t="str">
        <f t="shared" si="2212"/>
        <v>花都四部-凤凰仓</v>
      </c>
      <c r="G7635" s="1" t="str">
        <f t="shared" si="2207"/>
        <v>卡卡杜个人护理店（抖店）</v>
      </c>
      <c r="H7635" s="1" t="str">
        <f t="shared" si="2213"/>
        <v>正常订单</v>
      </c>
      <c r="I7635" s="1" t="str">
        <f t="shared" si="2214"/>
        <v>已发货</v>
      </c>
      <c r="J7635" s="1" t="str">
        <f t="shared" si="2215"/>
        <v>3</v>
      </c>
      <c r="K7635" s="1">
        <v>2</v>
      </c>
      <c r="L7635" s="1" t="s">
        <v>36</v>
      </c>
      <c r="M7635" s="1" t="str">
        <f>"安徽省 滁州市 全椒县 "</f>
        <v xml:space="preserve">安徽省 滁州市 全椒县 </v>
      </c>
      <c r="N7635" s="1" t="str">
        <f t="shared" si="2208"/>
        <v>凡华云仓-韵达-抖音</v>
      </c>
      <c r="O7635" s="5">
        <v>320169504132119</v>
      </c>
      <c r="P7635" s="6">
        <v>0.35</v>
      </c>
      <c r="Q7635" s="11">
        <v>2.2999999999999998</v>
      </c>
      <c r="R7635" s="11"/>
      <c r="S7635" s="11"/>
      <c r="T7635" s="11"/>
      <c r="U7635" s="11">
        <f t="shared" si="2210"/>
        <v>2.2999999999999998</v>
      </c>
      <c r="W7635">
        <v>2.5</v>
      </c>
      <c r="X7635" s="1" t="s">
        <v>36</v>
      </c>
    </row>
    <row r="7636" spans="1:24" x14ac:dyDescent="0.25">
      <c r="A7636" s="1" t="str">
        <f t="shared" si="2211"/>
        <v>卡卡杜-凤凰仓</v>
      </c>
      <c r="B7636" s="1" t="str">
        <f>"CK2024101214389"</f>
        <v>CK2024101214389</v>
      </c>
      <c r="C7636" s="1" t="str">
        <f>"DD2024101242442"</f>
        <v>DD2024101242442</v>
      </c>
      <c r="D7636" s="1" t="str">
        <f>"CK2024101247047"</f>
        <v>CK2024101247047</v>
      </c>
      <c r="E7636" s="1" t="str">
        <f>"20241012QXYP010"</f>
        <v>20241012QXYP010</v>
      </c>
      <c r="F7636" s="1" t="str">
        <f t="shared" si="2212"/>
        <v>花都四部-凤凰仓</v>
      </c>
      <c r="G7636" s="1" t="str">
        <f t="shared" ref="G7636:G7647" si="2216">"卡卡杜全欣样品"</f>
        <v>卡卡杜全欣样品</v>
      </c>
      <c r="H7636" s="1" t="str">
        <f t="shared" si="2213"/>
        <v>正常订单</v>
      </c>
      <c r="I7636" s="1" t="str">
        <f t="shared" si="2214"/>
        <v>已发货</v>
      </c>
      <c r="J7636" s="1" t="str">
        <f>"5"</f>
        <v>5</v>
      </c>
      <c r="K7636" s="1">
        <v>4</v>
      </c>
      <c r="L7636" s="1" t="s">
        <v>20</v>
      </c>
      <c r="M7636" s="1" t="str">
        <f>"浙江省 杭州市 滨江区 "</f>
        <v xml:space="preserve">浙江省 杭州市 滨江区 </v>
      </c>
      <c r="N7636" s="1" t="str">
        <f t="shared" ref="N7636:N7647" si="2217">"凡华云仓-韵达-淘宝"</f>
        <v>凡华云仓-韵达-淘宝</v>
      </c>
      <c r="O7636" s="3">
        <v>434185117788254</v>
      </c>
      <c r="P7636" s="6">
        <v>0.62</v>
      </c>
      <c r="Q7636" s="11">
        <f t="shared" ref="Q7636:Q7647" si="2218">CEILING(P7636-0.5,0.1)*10*0.15+2.3</f>
        <v>2.5999999999999996</v>
      </c>
      <c r="R7636" s="11"/>
      <c r="S7636" s="11">
        <v>0.15</v>
      </c>
      <c r="T7636" s="11"/>
      <c r="U7636" s="11">
        <f t="shared" si="2210"/>
        <v>2.7499999999999996</v>
      </c>
      <c r="V7636" t="s">
        <v>15</v>
      </c>
      <c r="W7636">
        <v>2.75</v>
      </c>
      <c r="X7636" s="1" t="s">
        <v>20</v>
      </c>
    </row>
    <row r="7637" spans="1:24" x14ac:dyDescent="0.25">
      <c r="A7637" s="1" t="str">
        <f t="shared" si="2211"/>
        <v>卡卡杜-凤凰仓</v>
      </c>
      <c r="B7637" s="1" t="str">
        <f>"CK2024100415744"</f>
        <v>CK2024100415744</v>
      </c>
      <c r="C7637" s="1" t="str">
        <f>"DD2024100445931"</f>
        <v>DD2024100445931</v>
      </c>
      <c r="D7637" s="1" t="str">
        <f>"CK2024100445694"</f>
        <v>CK2024100445694</v>
      </c>
      <c r="E7637" s="1" t="str">
        <f>"KKD20240104YP011"</f>
        <v>KKD20240104YP011</v>
      </c>
      <c r="F7637" s="1" t="str">
        <f t="shared" si="2212"/>
        <v>花都四部-凤凰仓</v>
      </c>
      <c r="G7637" s="1" t="str">
        <f t="shared" si="2216"/>
        <v>卡卡杜全欣样品</v>
      </c>
      <c r="H7637" s="1" t="str">
        <f t="shared" si="2213"/>
        <v>正常订单</v>
      </c>
      <c r="I7637" s="1" t="str">
        <f t="shared" si="2214"/>
        <v>已发货</v>
      </c>
      <c r="J7637" s="1" t="str">
        <f>"7"</f>
        <v>7</v>
      </c>
      <c r="K7637" s="1">
        <v>5</v>
      </c>
      <c r="L7637" s="1" t="s">
        <v>41</v>
      </c>
      <c r="M7637" s="1" t="str">
        <f>"湖北省 孝感市 孝南区 "</f>
        <v xml:space="preserve">湖北省 孝感市 孝南区 </v>
      </c>
      <c r="N7637" s="1" t="str">
        <f t="shared" si="2217"/>
        <v>凡华云仓-韵达-淘宝</v>
      </c>
      <c r="O7637" s="3">
        <v>434168903110958</v>
      </c>
      <c r="P7637" s="6">
        <v>0.86</v>
      </c>
      <c r="Q7637" s="11">
        <f t="shared" si="2218"/>
        <v>2.9</v>
      </c>
      <c r="R7637" s="11">
        <f t="shared" ref="R7637:R7639" si="2219">(K7637-3)*0.1</f>
        <v>0.2</v>
      </c>
      <c r="S7637" s="11">
        <v>0.15</v>
      </c>
      <c r="T7637" s="11"/>
      <c r="U7637" s="11">
        <f t="shared" si="2210"/>
        <v>3.25</v>
      </c>
      <c r="V7637" t="s">
        <v>15</v>
      </c>
      <c r="W7637">
        <v>3.25</v>
      </c>
      <c r="X7637" s="1" t="s">
        <v>41</v>
      </c>
    </row>
    <row r="7638" spans="1:24" x14ac:dyDescent="0.25">
      <c r="A7638" s="1" t="str">
        <f t="shared" si="2211"/>
        <v>卡卡杜-凤凰仓</v>
      </c>
      <c r="B7638" s="1" t="str">
        <f>"CK2024101214387"</f>
        <v>CK2024101214387</v>
      </c>
      <c r="C7638" s="1" t="str">
        <f>"DD2024101242444"</f>
        <v>DD2024101242444</v>
      </c>
      <c r="D7638" s="1" t="str">
        <f>"CK2024101247045"</f>
        <v>CK2024101247045</v>
      </c>
      <c r="E7638" s="1" t="str">
        <f>"20241012QXYP012"</f>
        <v>20241012QXYP012</v>
      </c>
      <c r="F7638" s="1" t="str">
        <f t="shared" si="2212"/>
        <v>花都四部-凤凰仓</v>
      </c>
      <c r="G7638" s="1" t="str">
        <f t="shared" si="2216"/>
        <v>卡卡杜全欣样品</v>
      </c>
      <c r="H7638" s="1" t="str">
        <f t="shared" si="2213"/>
        <v>正常订单</v>
      </c>
      <c r="I7638" s="1" t="str">
        <f t="shared" si="2214"/>
        <v>已发货</v>
      </c>
      <c r="J7638" s="1" t="str">
        <f>"15"</f>
        <v>15</v>
      </c>
      <c r="K7638" s="1">
        <v>10</v>
      </c>
      <c r="L7638" s="1" t="s">
        <v>18</v>
      </c>
      <c r="M7638" s="1" t="str">
        <f>"广东省 佛山市 南海区 "</f>
        <v xml:space="preserve">广东省 佛山市 南海区 </v>
      </c>
      <c r="N7638" s="1" t="str">
        <f>"凡华云仓-竹料中通-菜鸟"</f>
        <v>凡华云仓-竹料中通-菜鸟</v>
      </c>
      <c r="O7638" s="3">
        <v>78842999749474</v>
      </c>
      <c r="P7638" s="6">
        <v>1.62</v>
      </c>
      <c r="Q7638" s="11">
        <f>CEILING(P7638-0.5,0.1)*10*0.15+2.6</f>
        <v>4.4000000000000004</v>
      </c>
      <c r="R7638" s="11">
        <f t="shared" si="2219"/>
        <v>0.70000000000000007</v>
      </c>
      <c r="S7638" s="11">
        <v>0.15</v>
      </c>
      <c r="T7638" s="11"/>
      <c r="U7638" s="11">
        <f t="shared" si="2210"/>
        <v>5.25</v>
      </c>
      <c r="V7638" t="s">
        <v>15</v>
      </c>
      <c r="W7638">
        <v>5.25</v>
      </c>
      <c r="X7638" s="1" t="s">
        <v>18</v>
      </c>
    </row>
    <row r="7639" spans="1:24" x14ac:dyDescent="0.25">
      <c r="A7639" s="1" t="str">
        <f t="shared" si="2211"/>
        <v>卡卡杜-凤凰仓</v>
      </c>
      <c r="B7639" s="1" t="str">
        <f>"CK2024101214398"</f>
        <v>CK2024101214398</v>
      </c>
      <c r="C7639" s="1" t="str">
        <f>"DD2024101242453"</f>
        <v>DD2024101242453</v>
      </c>
      <c r="D7639" s="1" t="str">
        <f>"CK2024101247036"</f>
        <v>CK2024101247036</v>
      </c>
      <c r="E7639" s="1" t="str">
        <f>"20241012QXYP001"</f>
        <v>20241012QXYP001</v>
      </c>
      <c r="F7639" s="1" t="str">
        <f t="shared" si="2212"/>
        <v>花都四部-凤凰仓</v>
      </c>
      <c r="G7639" s="1" t="str">
        <f t="shared" si="2216"/>
        <v>卡卡杜全欣样品</v>
      </c>
      <c r="H7639" s="1" t="str">
        <f t="shared" si="2213"/>
        <v>正常订单</v>
      </c>
      <c r="I7639" s="1" t="str">
        <f t="shared" si="2214"/>
        <v>已发货</v>
      </c>
      <c r="J7639" s="1" t="str">
        <f>"7"</f>
        <v>7</v>
      </c>
      <c r="K7639" s="1">
        <v>5</v>
      </c>
      <c r="L7639" s="1" t="s">
        <v>92</v>
      </c>
      <c r="M7639" s="1" t="str">
        <f>"辽宁省 朝阳市 双塔区 "</f>
        <v xml:space="preserve">辽宁省 朝阳市 双塔区 </v>
      </c>
      <c r="N7639" s="1" t="str">
        <f>"凡华云仓-韵达-淘宝"</f>
        <v>凡华云仓-韵达-淘宝</v>
      </c>
      <c r="O7639" s="3">
        <v>434185110264314</v>
      </c>
      <c r="P7639" s="6">
        <v>0.86</v>
      </c>
      <c r="Q7639" s="11">
        <f t="shared" si="2218"/>
        <v>2.9</v>
      </c>
      <c r="R7639" s="11">
        <f t="shared" si="2219"/>
        <v>0.2</v>
      </c>
      <c r="S7639" s="11">
        <v>0.15</v>
      </c>
      <c r="T7639" s="11"/>
      <c r="U7639" s="11">
        <f t="shared" si="2210"/>
        <v>3.25</v>
      </c>
      <c r="V7639" t="s">
        <v>15</v>
      </c>
      <c r="W7639">
        <v>3.25</v>
      </c>
      <c r="X7639" s="1" t="s">
        <v>92</v>
      </c>
    </row>
    <row r="7640" spans="1:24" x14ac:dyDescent="0.25">
      <c r="A7640" s="1" t="str">
        <f t="shared" si="2211"/>
        <v>卡卡杜-凤凰仓</v>
      </c>
      <c r="B7640" s="1" t="str">
        <f>"CK2024101214391"</f>
        <v>CK2024101214391</v>
      </c>
      <c r="C7640" s="1" t="str">
        <f>"DD2024101242446"</f>
        <v>DD2024101242446</v>
      </c>
      <c r="D7640" s="1" t="str">
        <f>"CK2024101247043"</f>
        <v>CK2024101247043</v>
      </c>
      <c r="E7640" s="1" t="str">
        <f>"20241012QXYP008"</f>
        <v>20241012QXYP008</v>
      </c>
      <c r="F7640" s="1" t="str">
        <f t="shared" si="2212"/>
        <v>花都四部-凤凰仓</v>
      </c>
      <c r="G7640" s="1" t="str">
        <f t="shared" si="2216"/>
        <v>卡卡杜全欣样品</v>
      </c>
      <c r="H7640" s="1" t="str">
        <f t="shared" si="2213"/>
        <v>正常订单</v>
      </c>
      <c r="I7640" s="1" t="str">
        <f t="shared" si="2214"/>
        <v>已发货</v>
      </c>
      <c r="J7640" s="1" t="str">
        <f>"5"</f>
        <v>5</v>
      </c>
      <c r="K7640" s="1">
        <v>4</v>
      </c>
      <c r="L7640" s="1" t="s">
        <v>16</v>
      </c>
      <c r="M7640" s="1" t="str">
        <f>"河北省 保定市 安新县 "</f>
        <v xml:space="preserve">河北省 保定市 安新县 </v>
      </c>
      <c r="N7640" s="1" t="str">
        <f t="shared" si="2217"/>
        <v>凡华云仓-韵达-淘宝</v>
      </c>
      <c r="O7640" s="3">
        <v>434185114731923</v>
      </c>
      <c r="P7640" s="6">
        <v>0.62</v>
      </c>
      <c r="Q7640" s="11">
        <f t="shared" si="2218"/>
        <v>2.5999999999999996</v>
      </c>
      <c r="R7640" s="11"/>
      <c r="S7640" s="11">
        <v>0.15</v>
      </c>
      <c r="T7640" s="11"/>
      <c r="U7640" s="11">
        <f t="shared" si="2210"/>
        <v>2.7499999999999996</v>
      </c>
      <c r="V7640" t="s">
        <v>15</v>
      </c>
      <c r="W7640">
        <v>2.75</v>
      </c>
      <c r="X7640" s="1" t="s">
        <v>16</v>
      </c>
    </row>
    <row r="7641" spans="1:24" x14ac:dyDescent="0.25">
      <c r="A7641" s="1" t="str">
        <f t="shared" si="2211"/>
        <v>卡卡杜-凤凰仓</v>
      </c>
      <c r="B7641" s="1" t="str">
        <f>"CK2024101214392"</f>
        <v>CK2024101214392</v>
      </c>
      <c r="C7641" s="1" t="str">
        <f>"DD2024101242447"</f>
        <v>DD2024101242447</v>
      </c>
      <c r="D7641" s="1" t="str">
        <f>"CK2024101247042"</f>
        <v>CK2024101247042</v>
      </c>
      <c r="E7641" s="1" t="str">
        <f>"20241012QXYP007"</f>
        <v>20241012QXYP007</v>
      </c>
      <c r="F7641" s="1" t="str">
        <f t="shared" si="2212"/>
        <v>花都四部-凤凰仓</v>
      </c>
      <c r="G7641" s="1" t="str">
        <f t="shared" si="2216"/>
        <v>卡卡杜全欣样品</v>
      </c>
      <c r="H7641" s="1" t="str">
        <f t="shared" si="2213"/>
        <v>正常订单</v>
      </c>
      <c r="I7641" s="1" t="str">
        <f t="shared" si="2214"/>
        <v>已发货</v>
      </c>
      <c r="J7641" s="1" t="str">
        <f>"17"</f>
        <v>17</v>
      </c>
      <c r="K7641" s="1">
        <v>10</v>
      </c>
      <c r="L7641" s="1" t="s">
        <v>18</v>
      </c>
      <c r="M7641" s="1" t="str">
        <f>"广东省 东莞市 东城街道 "</f>
        <v xml:space="preserve">广东省 东莞市 东城街道 </v>
      </c>
      <c r="N7641" s="1" t="str">
        <f t="shared" si="2217"/>
        <v>凡华云仓-韵达-淘宝</v>
      </c>
      <c r="O7641" s="3">
        <v>434185122508933</v>
      </c>
      <c r="P7641" s="6">
        <v>1.75</v>
      </c>
      <c r="Q7641" s="11">
        <f t="shared" si="2218"/>
        <v>4.25</v>
      </c>
      <c r="R7641" s="11">
        <f t="shared" ref="R7641:R7647" si="2220">(K7641-3)*0.1</f>
        <v>0.70000000000000007</v>
      </c>
      <c r="S7641" s="11">
        <v>0.15</v>
      </c>
      <c r="T7641" s="11"/>
      <c r="U7641" s="11">
        <f t="shared" si="2210"/>
        <v>5.0999999999999996</v>
      </c>
      <c r="V7641" t="s">
        <v>15</v>
      </c>
      <c r="W7641">
        <v>5.0999999999999996</v>
      </c>
      <c r="X7641" s="1" t="s">
        <v>18</v>
      </c>
    </row>
    <row r="7642" spans="1:24" x14ac:dyDescent="0.25">
      <c r="A7642" s="1" t="str">
        <f t="shared" si="2211"/>
        <v>卡卡杜-凤凰仓</v>
      </c>
      <c r="B7642" s="1" t="str">
        <f>"CK2024100518312"</f>
        <v>CK2024100518312</v>
      </c>
      <c r="C7642" s="1" t="str">
        <f>"DD2024100549459"</f>
        <v>DD2024100549459</v>
      </c>
      <c r="D7642" s="1" t="str">
        <f>"CK2024100542732"</f>
        <v>CK2024100542732</v>
      </c>
      <c r="E7642" s="1" t="str">
        <f>"KKD20240105YP017"</f>
        <v>KKD20240105YP017</v>
      </c>
      <c r="F7642" s="1" t="str">
        <f t="shared" si="2212"/>
        <v>花都四部-凤凰仓</v>
      </c>
      <c r="G7642" s="1" t="str">
        <f t="shared" si="2216"/>
        <v>卡卡杜全欣样品</v>
      </c>
      <c r="H7642" s="1" t="str">
        <f t="shared" si="2213"/>
        <v>正常订单</v>
      </c>
      <c r="I7642" s="1" t="str">
        <f t="shared" si="2214"/>
        <v>已发货</v>
      </c>
      <c r="J7642" s="1" t="str">
        <f>"7"</f>
        <v>7</v>
      </c>
      <c r="K7642" s="1">
        <v>5</v>
      </c>
      <c r="L7642" s="1" t="s">
        <v>36</v>
      </c>
      <c r="M7642" s="1" t="str">
        <f>"安徽省 宿州市  "</f>
        <v xml:space="preserve">安徽省 宿州市  </v>
      </c>
      <c r="N7642" s="1" t="str">
        <f t="shared" si="2217"/>
        <v>凡华云仓-韵达-淘宝</v>
      </c>
      <c r="O7642" s="3">
        <v>434170743648313</v>
      </c>
      <c r="P7642" s="6">
        <v>0.95</v>
      </c>
      <c r="Q7642" s="11">
        <f t="shared" si="2218"/>
        <v>3.05</v>
      </c>
      <c r="R7642" s="11">
        <f t="shared" si="2220"/>
        <v>0.2</v>
      </c>
      <c r="S7642" s="11">
        <v>0.15</v>
      </c>
      <c r="T7642" s="11"/>
      <c r="U7642" s="11">
        <f t="shared" si="2210"/>
        <v>3.4</v>
      </c>
      <c r="V7642" t="s">
        <v>15</v>
      </c>
      <c r="W7642">
        <v>3.4</v>
      </c>
      <c r="X7642" s="1" t="s">
        <v>36</v>
      </c>
    </row>
    <row r="7643" spans="1:24" x14ac:dyDescent="0.25">
      <c r="A7643" s="1" t="str">
        <f t="shared" si="2211"/>
        <v>卡卡杜-凤凰仓</v>
      </c>
      <c r="B7643" s="1" t="str">
        <f>"CK2024101214393"</f>
        <v>CK2024101214393</v>
      </c>
      <c r="C7643" s="1" t="str">
        <f>"DD2024101242449"</f>
        <v>DD2024101242449</v>
      </c>
      <c r="D7643" s="1" t="str">
        <f>"CK2024101247040"</f>
        <v>CK2024101247040</v>
      </c>
      <c r="E7643" s="1" t="str">
        <f>"20241012QXYP006"</f>
        <v>20241012QXYP006</v>
      </c>
      <c r="F7643" s="1" t="str">
        <f t="shared" si="2212"/>
        <v>花都四部-凤凰仓</v>
      </c>
      <c r="G7643" s="1" t="str">
        <f t="shared" si="2216"/>
        <v>卡卡杜全欣样品</v>
      </c>
      <c r="H7643" s="1" t="str">
        <f t="shared" si="2213"/>
        <v>正常订单</v>
      </c>
      <c r="I7643" s="1" t="str">
        <f t="shared" si="2214"/>
        <v>已发货</v>
      </c>
      <c r="J7643" s="1" t="str">
        <f>"13"</f>
        <v>13</v>
      </c>
      <c r="K7643" s="1">
        <v>10</v>
      </c>
      <c r="L7643" s="1" t="s">
        <v>18</v>
      </c>
      <c r="M7643" s="1" t="str">
        <f>"广东省 佛山市 南海区 "</f>
        <v xml:space="preserve">广东省 佛山市 南海区 </v>
      </c>
      <c r="N7643" s="1" t="str">
        <f t="shared" si="2217"/>
        <v>凡华云仓-韵达-淘宝</v>
      </c>
      <c r="O7643" s="3">
        <v>434185131203148</v>
      </c>
      <c r="P7643" s="6">
        <v>1.4</v>
      </c>
      <c r="Q7643" s="11">
        <f t="shared" si="2218"/>
        <v>3.6499999999999995</v>
      </c>
      <c r="R7643" s="11">
        <f t="shared" si="2220"/>
        <v>0.70000000000000007</v>
      </c>
      <c r="S7643" s="11">
        <v>0.15</v>
      </c>
      <c r="T7643" s="11"/>
      <c r="U7643" s="11">
        <f t="shared" si="2210"/>
        <v>4.5</v>
      </c>
      <c r="V7643" t="s">
        <v>15</v>
      </c>
      <c r="W7643">
        <v>4.5</v>
      </c>
      <c r="X7643" s="1" t="s">
        <v>18</v>
      </c>
    </row>
    <row r="7644" spans="1:24" x14ac:dyDescent="0.25">
      <c r="A7644" s="1" t="str">
        <f t="shared" si="2211"/>
        <v>卡卡杜-凤凰仓</v>
      </c>
      <c r="B7644" s="1" t="str">
        <f>"CK2024101214395"</f>
        <v>CK2024101214395</v>
      </c>
      <c r="C7644" s="1" t="str">
        <f>"DD2024101242450"</f>
        <v>DD2024101242450</v>
      </c>
      <c r="D7644" s="1" t="str">
        <f>"CK2024101247039"</f>
        <v>CK2024101247039</v>
      </c>
      <c r="E7644" s="1" t="str">
        <f>"20241012QXYP004"</f>
        <v>20241012QXYP004</v>
      </c>
      <c r="F7644" s="1" t="str">
        <f t="shared" si="2212"/>
        <v>花都四部-凤凰仓</v>
      </c>
      <c r="G7644" s="1" t="str">
        <f t="shared" si="2216"/>
        <v>卡卡杜全欣样品</v>
      </c>
      <c r="H7644" s="1" t="str">
        <f t="shared" si="2213"/>
        <v>正常订单</v>
      </c>
      <c r="I7644" s="1" t="str">
        <f t="shared" si="2214"/>
        <v>已发货</v>
      </c>
      <c r="J7644" s="1" t="str">
        <f>"17"</f>
        <v>17</v>
      </c>
      <c r="K7644" s="1">
        <v>10</v>
      </c>
      <c r="L7644" s="1" t="s">
        <v>30</v>
      </c>
      <c r="M7644" s="1" t="str">
        <f>"山东省 青岛市 黄岛区 "</f>
        <v xml:space="preserve">山东省 青岛市 黄岛区 </v>
      </c>
      <c r="N7644" s="1" t="str">
        <f t="shared" si="2217"/>
        <v>凡华云仓-韵达-淘宝</v>
      </c>
      <c r="O7644" s="3">
        <v>434185130414768</v>
      </c>
      <c r="P7644" s="6">
        <v>2.02</v>
      </c>
      <c r="Q7644" s="11">
        <f t="shared" si="2218"/>
        <v>4.6999999999999993</v>
      </c>
      <c r="R7644" s="11">
        <f t="shared" si="2220"/>
        <v>0.70000000000000007</v>
      </c>
      <c r="S7644" s="11">
        <v>0.15</v>
      </c>
      <c r="T7644" s="11"/>
      <c r="U7644" s="11">
        <f t="shared" si="2210"/>
        <v>5.5499999999999989</v>
      </c>
      <c r="V7644" t="s">
        <v>15</v>
      </c>
      <c r="W7644">
        <v>5.55</v>
      </c>
      <c r="X7644" s="1" t="s">
        <v>30</v>
      </c>
    </row>
    <row r="7645" spans="1:24" x14ac:dyDescent="0.25">
      <c r="A7645" s="1" t="str">
        <f t="shared" si="2211"/>
        <v>卡卡杜-凤凰仓</v>
      </c>
      <c r="B7645" s="1" t="str">
        <f>"CK2024101214397"</f>
        <v>CK2024101214397</v>
      </c>
      <c r="C7645" s="1" t="str">
        <f>"DD2024101242451"</f>
        <v>DD2024101242451</v>
      </c>
      <c r="D7645" s="1" t="str">
        <f>"CK2024101247038"</f>
        <v>CK2024101247038</v>
      </c>
      <c r="E7645" s="1" t="str">
        <f>"20241012QXYP002"</f>
        <v>20241012QXYP002</v>
      </c>
      <c r="F7645" s="1" t="str">
        <f t="shared" si="2212"/>
        <v>花都四部-凤凰仓</v>
      </c>
      <c r="G7645" s="1" t="str">
        <f t="shared" si="2216"/>
        <v>卡卡杜全欣样品</v>
      </c>
      <c r="H7645" s="1" t="str">
        <f t="shared" si="2213"/>
        <v>正常订单</v>
      </c>
      <c r="I7645" s="1" t="str">
        <f t="shared" si="2214"/>
        <v>已发货</v>
      </c>
      <c r="J7645" s="1" t="str">
        <f>"30"</f>
        <v>30</v>
      </c>
      <c r="K7645" s="1">
        <v>10</v>
      </c>
      <c r="L7645" s="1" t="s">
        <v>92</v>
      </c>
      <c r="M7645" s="1" t="str">
        <f>"辽宁省 朝阳市  "</f>
        <v xml:space="preserve">辽宁省 朝阳市  </v>
      </c>
      <c r="N7645" s="1" t="str">
        <f t="shared" si="2217"/>
        <v>凡华云仓-韵达-淘宝</v>
      </c>
      <c r="O7645" s="3">
        <v>434185120164593</v>
      </c>
      <c r="P7645" s="6">
        <v>3.39</v>
      </c>
      <c r="Q7645" s="11">
        <f>ROUNDUP(P7645,0)*VLOOKUP(L:L,'[1]3KG报价'!A:C,3,0)+VLOOKUP(L:L,'[1]3KG报价'!A:B,2,0)+0.8</f>
        <v>18.3</v>
      </c>
      <c r="R7645" s="11">
        <f t="shared" si="2220"/>
        <v>0.70000000000000007</v>
      </c>
      <c r="S7645" s="11">
        <v>0.15</v>
      </c>
      <c r="T7645" s="11"/>
      <c r="U7645" s="11">
        <f t="shared" si="2210"/>
        <v>19.150000000000002</v>
      </c>
      <c r="V7645" t="s">
        <v>1212</v>
      </c>
      <c r="W7645">
        <v>19.149999999999999</v>
      </c>
      <c r="X7645" s="1" t="s">
        <v>92</v>
      </c>
    </row>
    <row r="7646" spans="1:24" x14ac:dyDescent="0.25">
      <c r="A7646" s="1" t="str">
        <f t="shared" si="2211"/>
        <v>卡卡杜-凤凰仓</v>
      </c>
      <c r="B7646" s="1" t="str">
        <f>"CK2024101214396"</f>
        <v>CK2024101214396</v>
      </c>
      <c r="C7646" s="1" t="str">
        <f>"DD2024101242452"</f>
        <v>DD2024101242452</v>
      </c>
      <c r="D7646" s="1" t="str">
        <f>"CK2024101247037"</f>
        <v>CK2024101247037</v>
      </c>
      <c r="E7646" s="1" t="str">
        <f>"20241012QXYP003"</f>
        <v>20241012QXYP003</v>
      </c>
      <c r="F7646" s="1" t="str">
        <f t="shared" si="2212"/>
        <v>花都四部-凤凰仓</v>
      </c>
      <c r="G7646" s="1" t="str">
        <f t="shared" si="2216"/>
        <v>卡卡杜全欣样品</v>
      </c>
      <c r="H7646" s="1" t="str">
        <f t="shared" si="2213"/>
        <v>正常订单</v>
      </c>
      <c r="I7646" s="1" t="str">
        <f t="shared" si="2214"/>
        <v>已发货</v>
      </c>
      <c r="J7646" s="1" t="str">
        <f>"15"</f>
        <v>15</v>
      </c>
      <c r="K7646" s="1">
        <v>10</v>
      </c>
      <c r="L7646" s="1" t="s">
        <v>20</v>
      </c>
      <c r="M7646" s="1" t="str">
        <f>"浙江省 杭州市 萧山区 "</f>
        <v xml:space="preserve">浙江省 杭州市 萧山区 </v>
      </c>
      <c r="N7646" s="1" t="str">
        <f t="shared" si="2217"/>
        <v>凡华云仓-韵达-淘宝</v>
      </c>
      <c r="O7646" s="3">
        <v>434185111058019</v>
      </c>
      <c r="P7646" s="6">
        <v>1.62</v>
      </c>
      <c r="Q7646" s="11">
        <f t="shared" si="2218"/>
        <v>4.0999999999999996</v>
      </c>
      <c r="R7646" s="11">
        <f t="shared" si="2220"/>
        <v>0.70000000000000007</v>
      </c>
      <c r="S7646" s="11">
        <v>0.15</v>
      </c>
      <c r="T7646" s="11"/>
      <c r="U7646" s="11">
        <f t="shared" si="2210"/>
        <v>4.9499999999999993</v>
      </c>
      <c r="V7646" t="s">
        <v>15</v>
      </c>
      <c r="W7646">
        <v>4.95</v>
      </c>
      <c r="X7646" s="1" t="s">
        <v>20</v>
      </c>
    </row>
    <row r="7647" spans="1:24" x14ac:dyDescent="0.25">
      <c r="A7647" s="1" t="str">
        <f t="shared" si="2211"/>
        <v>卡卡杜-凤凰仓</v>
      </c>
      <c r="B7647" s="1" t="str">
        <f>"CK2024101214390"</f>
        <v>CK2024101214390</v>
      </c>
      <c r="C7647" s="1" t="str">
        <f>"DD2024101242445"</f>
        <v>DD2024101242445</v>
      </c>
      <c r="D7647" s="1" t="str">
        <f>"CK2024101247044"</f>
        <v>CK2024101247044</v>
      </c>
      <c r="E7647" s="1" t="str">
        <f>"20241012QXYP009"</f>
        <v>20241012QXYP009</v>
      </c>
      <c r="F7647" s="1" t="str">
        <f t="shared" si="2212"/>
        <v>花都四部-凤凰仓</v>
      </c>
      <c r="G7647" s="1" t="str">
        <f t="shared" si="2216"/>
        <v>卡卡杜全欣样品</v>
      </c>
      <c r="H7647" s="1" t="str">
        <f t="shared" si="2213"/>
        <v>正常订单</v>
      </c>
      <c r="I7647" s="1" t="str">
        <f t="shared" si="2214"/>
        <v>已发货</v>
      </c>
      <c r="J7647" s="1" t="str">
        <f>"7"</f>
        <v>7</v>
      </c>
      <c r="K7647" s="1">
        <v>5</v>
      </c>
      <c r="L7647" s="1" t="s">
        <v>16</v>
      </c>
      <c r="M7647" s="1" t="str">
        <f>"河北省 邯郸市 肥乡区 "</f>
        <v xml:space="preserve">河北省 邯郸市 肥乡区 </v>
      </c>
      <c r="N7647" s="1" t="str">
        <f t="shared" si="2217"/>
        <v>凡华云仓-韵达-淘宝</v>
      </c>
      <c r="O7647" s="3">
        <v>434185124093533</v>
      </c>
      <c r="P7647" s="6">
        <v>0.86</v>
      </c>
      <c r="Q7647" s="11">
        <f t="shared" si="2218"/>
        <v>2.9</v>
      </c>
      <c r="R7647" s="11">
        <f t="shared" si="2220"/>
        <v>0.2</v>
      </c>
      <c r="S7647" s="11">
        <v>0.15</v>
      </c>
      <c r="T7647" s="11"/>
      <c r="U7647" s="11">
        <f t="shared" si="2210"/>
        <v>3.25</v>
      </c>
      <c r="V7647" t="s">
        <v>15</v>
      </c>
      <c r="W7647">
        <v>3.25</v>
      </c>
      <c r="X7647" s="1" t="s">
        <v>16</v>
      </c>
    </row>
    <row r="7648" spans="1:24" x14ac:dyDescent="0.25">
      <c r="A7648" s="1" t="str">
        <f t="shared" si="2211"/>
        <v>卡卡杜-凤凰仓</v>
      </c>
      <c r="B7648" s="1" t="str">
        <f>"CK2024101214403"</f>
        <v>CK2024101214403</v>
      </c>
      <c r="C7648" s="1" t="str">
        <f>"DD2024101242456"</f>
        <v>DD2024101242456</v>
      </c>
      <c r="D7648" s="1" t="str">
        <f>"CK2024101247035"</f>
        <v>CK2024101247035</v>
      </c>
      <c r="E7648" s="1" t="str">
        <f>"2428601932307004"</f>
        <v>2428601932307004</v>
      </c>
      <c r="F7648" s="1" t="str">
        <f t="shared" si="2212"/>
        <v>花都四部-凤凰仓</v>
      </c>
      <c r="G7648" s="1" t="str">
        <f>"卡卡杜佳旺专卖店（快手店）"</f>
        <v>卡卡杜佳旺专卖店（快手店）</v>
      </c>
      <c r="H7648" s="1" t="str">
        <f t="shared" si="2213"/>
        <v>正常订单</v>
      </c>
      <c r="I7648" s="1" t="str">
        <f t="shared" si="2214"/>
        <v>已发货</v>
      </c>
      <c r="J7648" s="1" t="str">
        <f t="shared" ref="J7648:J7655" si="2221">"3"</f>
        <v>3</v>
      </c>
      <c r="K7648" s="1">
        <v>3</v>
      </c>
      <c r="L7648" s="1" t="s">
        <v>187</v>
      </c>
      <c r="M7648" s="1" t="str">
        <f>"吉林省 白城市 镇赉县 镇赉镇"</f>
        <v>吉林省 白城市 镇赉县 镇赉镇</v>
      </c>
      <c r="N7648" s="1" t="str">
        <f>"凡华云仓-韵达-快手"</f>
        <v>凡华云仓-韵达-快手</v>
      </c>
      <c r="O7648" s="5">
        <v>319206803143690</v>
      </c>
      <c r="P7648" s="6">
        <v>0.34</v>
      </c>
      <c r="Q7648" s="11">
        <v>2.2999999999999998</v>
      </c>
      <c r="R7648" s="11"/>
      <c r="S7648" s="11"/>
      <c r="T7648" s="11"/>
      <c r="U7648" s="11">
        <f t="shared" si="2210"/>
        <v>2.2999999999999998</v>
      </c>
      <c r="W7648">
        <v>2.5</v>
      </c>
      <c r="X7648" s="1" t="s">
        <v>187</v>
      </c>
    </row>
    <row r="7649" spans="1:24" x14ac:dyDescent="0.25">
      <c r="A7649" s="1" t="str">
        <f t="shared" si="2211"/>
        <v>卡卡杜-凤凰仓</v>
      </c>
      <c r="B7649" s="1" t="str">
        <f>"CK2024101214404"</f>
        <v>CK2024101214404</v>
      </c>
      <c r="C7649" s="1" t="str">
        <f>"DD2024101242455"</f>
        <v>DD2024101242455</v>
      </c>
      <c r="D7649" s="1" t="str">
        <f>"CK2024101247034"</f>
        <v>CK2024101247034</v>
      </c>
      <c r="E7649" s="1" t="str">
        <f>"3723259821388073984"</f>
        <v>3723259821388073984</v>
      </c>
      <c r="F7649" s="1" t="str">
        <f t="shared" si="2212"/>
        <v>花都四部-凤凰仓</v>
      </c>
      <c r="G7649" s="1" t="str">
        <f>"卡卡杜企业店（视频号）"</f>
        <v>卡卡杜企业店（视频号）</v>
      </c>
      <c r="H7649" s="1" t="str">
        <f t="shared" si="2213"/>
        <v>正常订单</v>
      </c>
      <c r="I7649" s="1" t="str">
        <f t="shared" si="2214"/>
        <v>已发货</v>
      </c>
      <c r="J7649" s="1" t="str">
        <f>"5"</f>
        <v>5</v>
      </c>
      <c r="K7649" s="1">
        <v>3</v>
      </c>
      <c r="L7649" s="1" t="s">
        <v>13</v>
      </c>
      <c r="M7649" s="1" t="str">
        <f>"江苏省 镇江市 丹阳市 "</f>
        <v xml:space="preserve">江苏省 镇江市 丹阳市 </v>
      </c>
      <c r="N7649" s="1" t="str">
        <f>"凡华云仓-韵达-微信视频号"</f>
        <v>凡华云仓-韵达-微信视频号</v>
      </c>
      <c r="O7649" s="5">
        <v>315012743063883</v>
      </c>
      <c r="P7649" s="6">
        <v>0.55000000000000004</v>
      </c>
      <c r="Q7649" s="11">
        <f>CEILING(P7649-0.5,0.1)*10*0.15+2.3</f>
        <v>2.4499999999999997</v>
      </c>
      <c r="R7649" s="11"/>
      <c r="S7649" s="11"/>
      <c r="T7649" s="11"/>
      <c r="U7649" s="11">
        <f t="shared" si="2210"/>
        <v>2.4499999999999997</v>
      </c>
      <c r="V7649" t="s">
        <v>15</v>
      </c>
      <c r="W7649">
        <v>2.4500000000000002</v>
      </c>
      <c r="X7649" s="1" t="s">
        <v>13</v>
      </c>
    </row>
    <row r="7650" spans="1:24" x14ac:dyDescent="0.25">
      <c r="A7650" s="1" t="str">
        <f t="shared" si="2211"/>
        <v>卡卡杜-凤凰仓</v>
      </c>
      <c r="B7650" s="1" t="str">
        <f>"CK2024101214406"</f>
        <v>CK2024101214406</v>
      </c>
      <c r="C7650" s="1" t="str">
        <f>"DD2024101242460"</f>
        <v>DD2024101242460</v>
      </c>
      <c r="D7650" s="1" t="str">
        <f>"CK2024101247033"</f>
        <v>CK2024101247033</v>
      </c>
      <c r="E7650" s="1" t="str">
        <f>"6934911768591668776"</f>
        <v>6934911768591668776</v>
      </c>
      <c r="F7650" s="1" t="str">
        <f t="shared" si="2212"/>
        <v>花都四部-凤凰仓</v>
      </c>
      <c r="G7650" s="1" t="str">
        <f t="shared" ref="G7650:G7663" si="2222">"卡卡杜个人护理店（抖店）"</f>
        <v>卡卡杜个人护理店（抖店）</v>
      </c>
      <c r="H7650" s="1" t="str">
        <f t="shared" si="2213"/>
        <v>正常订单</v>
      </c>
      <c r="I7650" s="1" t="str">
        <f t="shared" si="2214"/>
        <v>已发货</v>
      </c>
      <c r="J7650" s="1" t="str">
        <f t="shared" si="2221"/>
        <v>3</v>
      </c>
      <c r="K7650" s="1">
        <v>2</v>
      </c>
      <c r="L7650" s="1" t="s">
        <v>36</v>
      </c>
      <c r="M7650" s="1" t="str">
        <f>"安徽省 合肥市 蜀山区 琥珀街道"</f>
        <v>安徽省 合肥市 蜀山区 琥珀街道</v>
      </c>
      <c r="N7650" s="1" t="str">
        <f t="shared" ref="N7650:N7663" si="2223">"凡华云仓-韵达-抖音"</f>
        <v>凡华云仓-韵达-抖音</v>
      </c>
      <c r="O7650" s="5">
        <v>320168416753739</v>
      </c>
      <c r="P7650" s="6">
        <v>0.35</v>
      </c>
      <c r="Q7650" s="11">
        <v>2.2999999999999998</v>
      </c>
      <c r="R7650" s="11"/>
      <c r="S7650" s="11"/>
      <c r="T7650" s="11"/>
      <c r="U7650" s="11">
        <f t="shared" si="2210"/>
        <v>2.2999999999999998</v>
      </c>
      <c r="W7650">
        <v>2.5</v>
      </c>
      <c r="X7650" s="1" t="s">
        <v>36</v>
      </c>
    </row>
    <row r="7651" spans="1:24" x14ac:dyDescent="0.25">
      <c r="A7651" s="1" t="str">
        <f t="shared" si="2211"/>
        <v>卡卡杜-凤凰仓</v>
      </c>
      <c r="B7651" s="1" t="str">
        <f>"CK2024101214367"</f>
        <v>CK2024101214367</v>
      </c>
      <c r="C7651" s="1" t="str">
        <f>"DD2024101229708"</f>
        <v>DD2024101229708</v>
      </c>
      <c r="D7651" s="1" t="str">
        <f>"CK2024101229689"</f>
        <v>CK2024101229689</v>
      </c>
      <c r="E7651" s="1" t="str">
        <f>"6934904589786551559"</f>
        <v>6934904589786551559</v>
      </c>
      <c r="F7651" s="1" t="str">
        <f t="shared" si="2212"/>
        <v>花都四部-凤凰仓</v>
      </c>
      <c r="G7651" s="1" t="str">
        <f t="shared" si="2222"/>
        <v>卡卡杜个人护理店（抖店）</v>
      </c>
      <c r="H7651" s="1" t="str">
        <f t="shared" si="2213"/>
        <v>正常订单</v>
      </c>
      <c r="I7651" s="1" t="str">
        <f t="shared" si="2214"/>
        <v>已发货</v>
      </c>
      <c r="J7651" s="1" t="str">
        <f>"1"</f>
        <v>1</v>
      </c>
      <c r="K7651" s="1">
        <v>1</v>
      </c>
      <c r="L7651" s="1" t="s">
        <v>18</v>
      </c>
      <c r="M7651" s="1" t="str">
        <f>"广东省 中山市 中山市 小榄镇"</f>
        <v>广东省 中山市 中山市 小榄镇</v>
      </c>
      <c r="N7651" s="1" t="str">
        <f t="shared" si="2223"/>
        <v>凡华云仓-韵达-抖音</v>
      </c>
      <c r="O7651" s="5">
        <v>320168132859278</v>
      </c>
      <c r="P7651" s="6">
        <v>0.12</v>
      </c>
      <c r="Q7651" s="11">
        <v>2</v>
      </c>
      <c r="R7651" s="11"/>
      <c r="S7651" s="11"/>
      <c r="T7651" s="11"/>
      <c r="U7651" s="11">
        <f t="shared" si="2210"/>
        <v>2</v>
      </c>
      <c r="W7651">
        <v>2.2000000000000002</v>
      </c>
      <c r="X7651" s="1" t="s">
        <v>18</v>
      </c>
    </row>
    <row r="7652" spans="1:24" x14ac:dyDescent="0.25">
      <c r="A7652" s="1" t="str">
        <f t="shared" si="2211"/>
        <v>卡卡杜-凤凰仓</v>
      </c>
      <c r="B7652" s="1" t="str">
        <f>"CK2024101214361"</f>
        <v>CK2024101214361</v>
      </c>
      <c r="C7652" s="1" t="str">
        <f>"DD2024101229703"</f>
        <v>DD2024101229703</v>
      </c>
      <c r="D7652" s="1" t="str">
        <f>"CK2024101229688"</f>
        <v>CK2024101229688</v>
      </c>
      <c r="E7652" s="1" t="str">
        <f>"6934918194315990159"</f>
        <v>6934918194315990159</v>
      </c>
      <c r="F7652" s="1" t="str">
        <f t="shared" si="2212"/>
        <v>花都四部-凤凰仓</v>
      </c>
      <c r="G7652" s="1" t="str">
        <f t="shared" si="2222"/>
        <v>卡卡杜个人护理店（抖店）</v>
      </c>
      <c r="H7652" s="1" t="str">
        <f t="shared" si="2213"/>
        <v>正常订单</v>
      </c>
      <c r="I7652" s="1" t="str">
        <f t="shared" si="2214"/>
        <v>已发货</v>
      </c>
      <c r="J7652" s="1" t="str">
        <f t="shared" si="2221"/>
        <v>3</v>
      </c>
      <c r="K7652" s="1">
        <v>3</v>
      </c>
      <c r="L7652" s="1" t="s">
        <v>18</v>
      </c>
      <c r="M7652" s="1" t="str">
        <f>"广东省 珠海市 金湾区 红旗镇"</f>
        <v>广东省 珠海市 金湾区 红旗镇</v>
      </c>
      <c r="N7652" s="1" t="str">
        <f t="shared" si="2223"/>
        <v>凡华云仓-韵达-抖音</v>
      </c>
      <c r="O7652" s="5">
        <v>320168132859187</v>
      </c>
      <c r="P7652" s="6">
        <v>0.34</v>
      </c>
      <c r="Q7652" s="11">
        <v>2.2999999999999998</v>
      </c>
      <c r="R7652" s="11"/>
      <c r="S7652" s="11"/>
      <c r="T7652" s="11"/>
      <c r="U7652" s="11">
        <f t="shared" si="2210"/>
        <v>2.2999999999999998</v>
      </c>
      <c r="W7652">
        <v>2.5</v>
      </c>
      <c r="X7652" s="1" t="s">
        <v>18</v>
      </c>
    </row>
    <row r="7653" spans="1:24" x14ac:dyDescent="0.25">
      <c r="A7653" s="1" t="str">
        <f t="shared" si="2211"/>
        <v>卡卡杜-凤凰仓</v>
      </c>
      <c r="B7653" s="1" t="str">
        <f>"CK2024101214371"</f>
        <v>CK2024101214371</v>
      </c>
      <c r="C7653" s="1" t="str">
        <f>"DD2024101229716"</f>
        <v>DD2024101229716</v>
      </c>
      <c r="D7653" s="1" t="str">
        <f>"CK2024101229687"</f>
        <v>CK2024101229687</v>
      </c>
      <c r="E7653" s="1" t="str">
        <f>"6934924445254292720"</f>
        <v>6934924445254292720</v>
      </c>
      <c r="F7653" s="1" t="str">
        <f t="shared" si="2212"/>
        <v>花都四部-凤凰仓</v>
      </c>
      <c r="G7653" s="1" t="str">
        <f t="shared" si="2222"/>
        <v>卡卡杜个人护理店（抖店）</v>
      </c>
      <c r="H7653" s="1" t="str">
        <f t="shared" si="2213"/>
        <v>正常订单</v>
      </c>
      <c r="I7653" s="1" t="str">
        <f t="shared" si="2214"/>
        <v>已发货</v>
      </c>
      <c r="J7653" s="1" t="str">
        <f t="shared" si="2221"/>
        <v>3</v>
      </c>
      <c r="K7653" s="1">
        <v>2</v>
      </c>
      <c r="L7653" s="1" t="s">
        <v>60</v>
      </c>
      <c r="M7653" s="1" t="str">
        <f>"云南省 大理白族自治州 宾川县 力角镇"</f>
        <v>云南省 大理白族自治州 宾川县 力角镇</v>
      </c>
      <c r="N7653" s="1" t="str">
        <f t="shared" si="2223"/>
        <v>凡华云仓-韵达-抖音</v>
      </c>
      <c r="O7653" s="5">
        <v>320168132859098</v>
      </c>
      <c r="P7653" s="6">
        <v>0.35</v>
      </c>
      <c r="Q7653" s="11">
        <v>2.2999999999999998</v>
      </c>
      <c r="R7653" s="11"/>
      <c r="S7653" s="11"/>
      <c r="T7653" s="11"/>
      <c r="U7653" s="11">
        <f t="shared" si="2210"/>
        <v>2.2999999999999998</v>
      </c>
      <c r="W7653">
        <v>2.5</v>
      </c>
      <c r="X7653" s="1" t="s">
        <v>60</v>
      </c>
    </row>
    <row r="7654" spans="1:24" x14ac:dyDescent="0.25">
      <c r="A7654" s="1" t="str">
        <f t="shared" si="2211"/>
        <v>卡卡杜-凤凰仓</v>
      </c>
      <c r="B7654" s="1" t="str">
        <f>"CK2024101214358"</f>
        <v>CK2024101214358</v>
      </c>
      <c r="C7654" s="1" t="str">
        <f>"DD2024101229698"</f>
        <v>DD2024101229698</v>
      </c>
      <c r="D7654" s="1" t="str">
        <f>"CK2024101229686"</f>
        <v>CK2024101229686</v>
      </c>
      <c r="E7654" s="1" t="str">
        <f>"6934893097903331004"</f>
        <v>6934893097903331004</v>
      </c>
      <c r="F7654" s="1" t="str">
        <f t="shared" si="2212"/>
        <v>花都四部-凤凰仓</v>
      </c>
      <c r="G7654" s="1" t="str">
        <f t="shared" si="2222"/>
        <v>卡卡杜个人护理店（抖店）</v>
      </c>
      <c r="H7654" s="1" t="str">
        <f t="shared" si="2213"/>
        <v>正常订单</v>
      </c>
      <c r="I7654" s="1" t="str">
        <f t="shared" si="2214"/>
        <v>已发货</v>
      </c>
      <c r="J7654" s="1" t="str">
        <f t="shared" si="2221"/>
        <v>3</v>
      </c>
      <c r="K7654" s="1">
        <v>3</v>
      </c>
      <c r="L7654" s="1" t="s">
        <v>41</v>
      </c>
      <c r="M7654" s="1" t="str">
        <f>"湖北省 宜昌市 伍家岗区 宝塔河街道"</f>
        <v>湖北省 宜昌市 伍家岗区 宝塔河街道</v>
      </c>
      <c r="N7654" s="1" t="str">
        <f t="shared" si="2223"/>
        <v>凡华云仓-韵达-抖音</v>
      </c>
      <c r="O7654" s="5">
        <v>320168132858966</v>
      </c>
      <c r="P7654" s="6">
        <v>0.34</v>
      </c>
      <c r="Q7654" s="11">
        <v>2.2999999999999998</v>
      </c>
      <c r="R7654" s="11"/>
      <c r="S7654" s="11"/>
      <c r="T7654" s="11"/>
      <c r="U7654" s="11">
        <f t="shared" si="2210"/>
        <v>2.2999999999999998</v>
      </c>
      <c r="W7654">
        <v>2.5</v>
      </c>
      <c r="X7654" s="1" t="s">
        <v>41</v>
      </c>
    </row>
    <row r="7655" spans="1:24" x14ac:dyDescent="0.25">
      <c r="A7655" s="1" t="str">
        <f t="shared" si="2211"/>
        <v>卡卡杜-凤凰仓</v>
      </c>
      <c r="B7655" s="1" t="str">
        <f>"CK2024101214357"</f>
        <v>CK2024101214357</v>
      </c>
      <c r="C7655" s="1" t="str">
        <f>"DD2024101229697"</f>
        <v>DD2024101229697</v>
      </c>
      <c r="D7655" s="1" t="str">
        <f>"CK2024101229685"</f>
        <v>CK2024101229685</v>
      </c>
      <c r="E7655" s="1" t="str">
        <f>"6934904233085441256"</f>
        <v>6934904233085441256</v>
      </c>
      <c r="F7655" s="1" t="str">
        <f t="shared" si="2212"/>
        <v>花都四部-凤凰仓</v>
      </c>
      <c r="G7655" s="1" t="str">
        <f t="shared" si="2222"/>
        <v>卡卡杜个人护理店（抖店）</v>
      </c>
      <c r="H7655" s="1" t="str">
        <f t="shared" si="2213"/>
        <v>正常订单</v>
      </c>
      <c r="I7655" s="1" t="str">
        <f t="shared" si="2214"/>
        <v>已发货</v>
      </c>
      <c r="J7655" s="1" t="str">
        <f t="shared" si="2221"/>
        <v>3</v>
      </c>
      <c r="K7655" s="1">
        <v>3</v>
      </c>
      <c r="L7655" s="1" t="s">
        <v>18</v>
      </c>
      <c r="M7655" s="1" t="str">
        <f>"广东省 佛山市 顺德区 大良街道"</f>
        <v>广东省 佛山市 顺德区 大良街道</v>
      </c>
      <c r="N7655" s="1" t="str">
        <f t="shared" si="2223"/>
        <v>凡华云仓-韵达-抖音</v>
      </c>
      <c r="O7655" s="5">
        <v>320168132858861</v>
      </c>
      <c r="P7655" s="6">
        <v>0.34</v>
      </c>
      <c r="Q7655" s="11">
        <v>2.2999999999999998</v>
      </c>
      <c r="R7655" s="11"/>
      <c r="S7655" s="11"/>
      <c r="T7655" s="11"/>
      <c r="U7655" s="11">
        <f t="shared" si="2210"/>
        <v>2.2999999999999998</v>
      </c>
      <c r="W7655">
        <v>2.5</v>
      </c>
      <c r="X7655" s="1" t="s">
        <v>18</v>
      </c>
    </row>
    <row r="7656" spans="1:24" x14ac:dyDescent="0.25">
      <c r="A7656" s="1" t="str">
        <f t="shared" si="2211"/>
        <v>卡卡杜-凤凰仓</v>
      </c>
      <c r="B7656" s="1" t="str">
        <f>"CK2024101214373"</f>
        <v>CK2024101214373</v>
      </c>
      <c r="C7656" s="1" t="str">
        <f>"DD2024101229718"</f>
        <v>DD2024101229718</v>
      </c>
      <c r="D7656" s="1" t="str">
        <f>"CK2024101229684"</f>
        <v>CK2024101229684</v>
      </c>
      <c r="E7656" s="1" t="str">
        <f>"6934904272102626832"</f>
        <v>6934904272102626832</v>
      </c>
      <c r="F7656" s="1" t="str">
        <f t="shared" si="2212"/>
        <v>花都四部-凤凰仓</v>
      </c>
      <c r="G7656" s="1" t="str">
        <f t="shared" si="2222"/>
        <v>卡卡杜个人护理店（抖店）</v>
      </c>
      <c r="H7656" s="1" t="str">
        <f t="shared" si="2213"/>
        <v>正常订单</v>
      </c>
      <c r="I7656" s="1" t="str">
        <f t="shared" si="2214"/>
        <v>已发货</v>
      </c>
      <c r="J7656" s="1" t="str">
        <f>"5"</f>
        <v>5</v>
      </c>
      <c r="K7656" s="1">
        <v>2</v>
      </c>
      <c r="L7656" s="1" t="s">
        <v>18</v>
      </c>
      <c r="M7656" s="1" t="str">
        <f>"广东省 东莞市 东莞市 茶山镇"</f>
        <v>广东省 东莞市 东莞市 茶山镇</v>
      </c>
      <c r="N7656" s="1" t="str">
        <f t="shared" si="2223"/>
        <v>凡华云仓-韵达-抖音</v>
      </c>
      <c r="O7656" s="5">
        <v>320168132858758</v>
      </c>
      <c r="P7656" s="6">
        <v>0.59</v>
      </c>
      <c r="Q7656" s="11">
        <f>CEILING(P7656-0.5,0.1)*10*0.15+2.3</f>
        <v>2.4499999999999997</v>
      </c>
      <c r="R7656" s="11"/>
      <c r="S7656" s="11"/>
      <c r="T7656" s="11"/>
      <c r="U7656" s="11">
        <f t="shared" si="2210"/>
        <v>2.4499999999999997</v>
      </c>
      <c r="V7656" t="s">
        <v>15</v>
      </c>
      <c r="W7656">
        <v>2.4500000000000002</v>
      </c>
      <c r="X7656" s="1" t="s">
        <v>18</v>
      </c>
    </row>
    <row r="7657" spans="1:24" x14ac:dyDescent="0.25">
      <c r="A7657" s="1" t="str">
        <f t="shared" si="2211"/>
        <v>卡卡杜-凤凰仓</v>
      </c>
      <c r="B7657" s="1" t="str">
        <f>"CK2024101214369"</f>
        <v>CK2024101214369</v>
      </c>
      <c r="C7657" s="1" t="str">
        <f>"DD2024101229715"</f>
        <v>DD2024101229715</v>
      </c>
      <c r="D7657" s="1" t="str">
        <f>"CK2024101229683"</f>
        <v>CK2024101229683</v>
      </c>
      <c r="E7657" s="1" t="str">
        <f>"6934911489264260685"</f>
        <v>6934911489264260685</v>
      </c>
      <c r="F7657" s="1" t="str">
        <f t="shared" si="2212"/>
        <v>花都四部-凤凰仓</v>
      </c>
      <c r="G7657" s="1" t="str">
        <f t="shared" si="2222"/>
        <v>卡卡杜个人护理店（抖店）</v>
      </c>
      <c r="H7657" s="1" t="str">
        <f t="shared" si="2213"/>
        <v>正常订单</v>
      </c>
      <c r="I7657" s="1" t="str">
        <f t="shared" si="2214"/>
        <v>已发货</v>
      </c>
      <c r="J7657" s="1" t="str">
        <f t="shared" ref="J7657:J7664" si="2224">"3"</f>
        <v>3</v>
      </c>
      <c r="K7657" s="1">
        <v>2</v>
      </c>
      <c r="L7657" s="1" t="s">
        <v>20</v>
      </c>
      <c r="M7657" s="1" t="str">
        <f>"浙江省 丽水市 缙云县 新建镇"</f>
        <v>浙江省 丽水市 缙云县 新建镇</v>
      </c>
      <c r="N7657" s="1" t="str">
        <f t="shared" si="2223"/>
        <v>凡华云仓-韵达-抖音</v>
      </c>
      <c r="O7657" s="5">
        <v>320168132861293</v>
      </c>
      <c r="P7657" s="6">
        <v>0.35</v>
      </c>
      <c r="Q7657" s="11">
        <v>2.2999999999999998</v>
      </c>
      <c r="R7657" s="11"/>
      <c r="S7657" s="11"/>
      <c r="T7657" s="11"/>
      <c r="U7657" s="11">
        <f t="shared" si="2210"/>
        <v>2.2999999999999998</v>
      </c>
      <c r="W7657">
        <v>2.5</v>
      </c>
      <c r="X7657" s="1" t="s">
        <v>20</v>
      </c>
    </row>
    <row r="7658" spans="1:24" x14ac:dyDescent="0.25">
      <c r="A7658" s="1" t="str">
        <f t="shared" si="2211"/>
        <v>卡卡杜-凤凰仓</v>
      </c>
      <c r="B7658" s="1" t="str">
        <f>"CK2024101214372"</f>
        <v>CK2024101214372</v>
      </c>
      <c r="C7658" s="1" t="str">
        <f>"DD2024101229713"</f>
        <v>DD2024101229713</v>
      </c>
      <c r="D7658" s="1" t="str">
        <f>"CK2024101229682"</f>
        <v>CK2024101229682</v>
      </c>
      <c r="E7658" s="1" t="str">
        <f>"6934899742331508082"</f>
        <v>6934899742331508082</v>
      </c>
      <c r="F7658" s="1" t="str">
        <f t="shared" si="2212"/>
        <v>花都四部-凤凰仓</v>
      </c>
      <c r="G7658" s="1" t="str">
        <f t="shared" si="2222"/>
        <v>卡卡杜个人护理店（抖店）</v>
      </c>
      <c r="H7658" s="1" t="str">
        <f t="shared" si="2213"/>
        <v>正常订单</v>
      </c>
      <c r="I7658" s="1" t="str">
        <f t="shared" si="2214"/>
        <v>已发货</v>
      </c>
      <c r="J7658" s="1" t="str">
        <f>"5"</f>
        <v>5</v>
      </c>
      <c r="K7658" s="1">
        <v>2</v>
      </c>
      <c r="L7658" s="1" t="s">
        <v>18</v>
      </c>
      <c r="M7658" s="1" t="str">
        <f>"广东省 深圳市 南山区 西丽街道"</f>
        <v>广东省 深圳市 南山区 西丽街道</v>
      </c>
      <c r="N7658" s="1" t="str">
        <f t="shared" si="2223"/>
        <v>凡华云仓-韵达-抖音</v>
      </c>
      <c r="O7658" s="5">
        <v>320168132861102</v>
      </c>
      <c r="P7658" s="6">
        <v>0.59</v>
      </c>
      <c r="Q7658" s="11">
        <f>CEILING(P7658-0.5,0.1)*10*0.15+2.3</f>
        <v>2.4499999999999997</v>
      </c>
      <c r="R7658" s="11"/>
      <c r="S7658" s="11"/>
      <c r="T7658" s="11"/>
      <c r="U7658" s="11">
        <f t="shared" si="2210"/>
        <v>2.4499999999999997</v>
      </c>
      <c r="V7658" t="s">
        <v>15</v>
      </c>
      <c r="W7658">
        <v>2.4500000000000002</v>
      </c>
      <c r="X7658" s="1" t="s">
        <v>18</v>
      </c>
    </row>
    <row r="7659" spans="1:24" x14ac:dyDescent="0.25">
      <c r="A7659" s="1" t="str">
        <f t="shared" si="2211"/>
        <v>卡卡杜-凤凰仓</v>
      </c>
      <c r="B7659" s="1" t="str">
        <f>"CK2024101214370"</f>
        <v>CK2024101214370</v>
      </c>
      <c r="C7659" s="1" t="str">
        <f>"DD2024101229714"</f>
        <v>DD2024101229714</v>
      </c>
      <c r="D7659" s="1" t="str">
        <f>"CK2024101229681"</f>
        <v>CK2024101229681</v>
      </c>
      <c r="E7659" s="1" t="str">
        <f>"6934913723676497049"</f>
        <v>6934913723676497049</v>
      </c>
      <c r="F7659" s="1" t="str">
        <f t="shared" si="2212"/>
        <v>花都四部-凤凰仓</v>
      </c>
      <c r="G7659" s="1" t="str">
        <f t="shared" si="2222"/>
        <v>卡卡杜个人护理店（抖店）</v>
      </c>
      <c r="H7659" s="1" t="str">
        <f t="shared" si="2213"/>
        <v>正常订单</v>
      </c>
      <c r="I7659" s="1" t="str">
        <f t="shared" si="2214"/>
        <v>已发货</v>
      </c>
      <c r="J7659" s="1" t="str">
        <f t="shared" si="2224"/>
        <v>3</v>
      </c>
      <c r="K7659" s="1">
        <v>2</v>
      </c>
      <c r="L7659" s="1" t="s">
        <v>20</v>
      </c>
      <c r="M7659" s="1" t="str">
        <f>"浙江省 金华市 义乌市 福田街道"</f>
        <v>浙江省 金华市 义乌市 福田街道</v>
      </c>
      <c r="N7659" s="1" t="str">
        <f t="shared" si="2223"/>
        <v>凡华云仓-韵达-抖音</v>
      </c>
      <c r="O7659" s="5">
        <v>320168132861013</v>
      </c>
      <c r="P7659" s="6">
        <v>0.35</v>
      </c>
      <c r="Q7659" s="11">
        <v>2.2999999999999998</v>
      </c>
      <c r="R7659" s="11"/>
      <c r="S7659" s="11"/>
      <c r="T7659" s="11"/>
      <c r="U7659" s="11">
        <f t="shared" si="2210"/>
        <v>2.2999999999999998</v>
      </c>
      <c r="W7659">
        <v>2.5</v>
      </c>
      <c r="X7659" s="1" t="s">
        <v>20</v>
      </c>
    </row>
    <row r="7660" spans="1:24" x14ac:dyDescent="0.25">
      <c r="A7660" s="1" t="str">
        <f t="shared" si="2211"/>
        <v>卡卡杜-凤凰仓</v>
      </c>
      <c r="B7660" s="1" t="str">
        <f>"CK2024101214368"</f>
        <v>CK2024101214368</v>
      </c>
      <c r="C7660" s="1" t="str">
        <f>"DD2024101229717"</f>
        <v>DD2024101229717</v>
      </c>
      <c r="D7660" s="1" t="str">
        <f>"CK2024101229680"</f>
        <v>CK2024101229680</v>
      </c>
      <c r="E7660" s="1" t="str">
        <f>"6934916139414459991"</f>
        <v>6934916139414459991</v>
      </c>
      <c r="F7660" s="1" t="str">
        <f t="shared" si="2212"/>
        <v>花都四部-凤凰仓</v>
      </c>
      <c r="G7660" s="1" t="str">
        <f t="shared" si="2222"/>
        <v>卡卡杜个人护理店（抖店）</v>
      </c>
      <c r="H7660" s="1" t="str">
        <f t="shared" si="2213"/>
        <v>正常订单</v>
      </c>
      <c r="I7660" s="1" t="str">
        <f t="shared" si="2214"/>
        <v>已发货</v>
      </c>
      <c r="J7660" s="1" t="str">
        <f t="shared" si="2224"/>
        <v>3</v>
      </c>
      <c r="K7660" s="1">
        <v>2</v>
      </c>
      <c r="L7660" s="1" t="s">
        <v>18</v>
      </c>
      <c r="M7660" s="1" t="str">
        <f>"广东省 广州市 花都区 新华街道"</f>
        <v>广东省 广州市 花都区 新华街道</v>
      </c>
      <c r="N7660" s="1" t="str">
        <f t="shared" si="2223"/>
        <v>凡华云仓-韵达-抖音</v>
      </c>
      <c r="O7660" s="5">
        <v>320168132860997</v>
      </c>
      <c r="P7660" s="6">
        <v>0.35</v>
      </c>
      <c r="Q7660" s="11">
        <v>2.2999999999999998</v>
      </c>
      <c r="R7660" s="11"/>
      <c r="S7660" s="11"/>
      <c r="T7660" s="11"/>
      <c r="U7660" s="11">
        <f t="shared" si="2210"/>
        <v>2.2999999999999998</v>
      </c>
      <c r="W7660">
        <v>2.5</v>
      </c>
      <c r="X7660" s="1" t="s">
        <v>18</v>
      </c>
    </row>
    <row r="7661" spans="1:24" x14ac:dyDescent="0.25">
      <c r="A7661" s="1" t="str">
        <f t="shared" si="2211"/>
        <v>卡卡杜-凤凰仓</v>
      </c>
      <c r="B7661" s="1" t="str">
        <f>"CK2024101214365"</f>
        <v>CK2024101214365</v>
      </c>
      <c r="C7661" s="1" t="str">
        <f>"DD2024101229707"</f>
        <v>DD2024101229707</v>
      </c>
      <c r="D7661" s="1" t="str">
        <f>"CK2024101229679"</f>
        <v>CK2024101229679</v>
      </c>
      <c r="E7661" s="1" t="str">
        <f>"6934926640831993584"</f>
        <v>6934926640831993584</v>
      </c>
      <c r="F7661" s="1" t="str">
        <f t="shared" si="2212"/>
        <v>花都四部-凤凰仓</v>
      </c>
      <c r="G7661" s="1" t="str">
        <f t="shared" si="2222"/>
        <v>卡卡杜个人护理店（抖店）</v>
      </c>
      <c r="H7661" s="1" t="str">
        <f t="shared" si="2213"/>
        <v>正常订单</v>
      </c>
      <c r="I7661" s="1" t="str">
        <f t="shared" si="2214"/>
        <v>已发货</v>
      </c>
      <c r="J7661" s="1" t="str">
        <f t="shared" si="2224"/>
        <v>3</v>
      </c>
      <c r="K7661" s="1">
        <v>2</v>
      </c>
      <c r="L7661" s="1" t="s">
        <v>32</v>
      </c>
      <c r="M7661" s="1" t="str">
        <f>"陕西省 宝鸡市 金台区 陈仓镇"</f>
        <v>陕西省 宝鸡市 金台区 陈仓镇</v>
      </c>
      <c r="N7661" s="1" t="str">
        <f t="shared" si="2223"/>
        <v>凡华云仓-韵达-抖音</v>
      </c>
      <c r="O7661" s="5">
        <v>320168132860892</v>
      </c>
      <c r="P7661" s="6">
        <v>0.24</v>
      </c>
      <c r="Q7661" s="11">
        <v>2</v>
      </c>
      <c r="R7661" s="11"/>
      <c r="S7661" s="11"/>
      <c r="T7661" s="11"/>
      <c r="U7661" s="11">
        <f t="shared" si="2210"/>
        <v>2</v>
      </c>
      <c r="W7661">
        <v>2.2000000000000002</v>
      </c>
      <c r="X7661" s="1" t="s">
        <v>32</v>
      </c>
    </row>
    <row r="7662" spans="1:24" x14ac:dyDescent="0.25">
      <c r="A7662" s="1" t="str">
        <f t="shared" si="2211"/>
        <v>卡卡杜-凤凰仓</v>
      </c>
      <c r="B7662" s="1" t="str">
        <f>"CK2024101214363"</f>
        <v>CK2024101214363</v>
      </c>
      <c r="C7662" s="1" t="str">
        <f>"DD2024101229706"</f>
        <v>DD2024101229706</v>
      </c>
      <c r="D7662" s="1" t="str">
        <f>"CK2024101229678"</f>
        <v>CK2024101229678</v>
      </c>
      <c r="E7662" s="1" t="str">
        <f>"6934906950290904127"</f>
        <v>6934906950290904127</v>
      </c>
      <c r="F7662" s="1" t="str">
        <f t="shared" si="2212"/>
        <v>花都四部-凤凰仓</v>
      </c>
      <c r="G7662" s="1" t="str">
        <f t="shared" si="2222"/>
        <v>卡卡杜个人护理店（抖店）</v>
      </c>
      <c r="H7662" s="1" t="str">
        <f t="shared" si="2213"/>
        <v>正常订单</v>
      </c>
      <c r="I7662" s="1" t="str">
        <f t="shared" si="2214"/>
        <v>已发货</v>
      </c>
      <c r="J7662" s="1" t="str">
        <f t="shared" si="2224"/>
        <v>3</v>
      </c>
      <c r="K7662" s="1">
        <v>2</v>
      </c>
      <c r="L7662" s="1" t="s">
        <v>24</v>
      </c>
      <c r="M7662" s="1" t="str">
        <f>"福建省 厦门市 集美区 "</f>
        <v xml:space="preserve">福建省 厦门市 集美区 </v>
      </c>
      <c r="N7662" s="1" t="str">
        <f t="shared" si="2223"/>
        <v>凡华云仓-韵达-抖音</v>
      </c>
      <c r="O7662" s="5">
        <v>320168132860789</v>
      </c>
      <c r="P7662" s="6">
        <v>0.24</v>
      </c>
      <c r="Q7662" s="11">
        <v>2</v>
      </c>
      <c r="R7662" s="11"/>
      <c r="S7662" s="11"/>
      <c r="T7662" s="11"/>
      <c r="U7662" s="11">
        <f t="shared" si="2210"/>
        <v>2</v>
      </c>
      <c r="W7662">
        <v>2.2000000000000002</v>
      </c>
      <c r="X7662" s="1" t="s">
        <v>24</v>
      </c>
    </row>
    <row r="7663" spans="1:24" x14ac:dyDescent="0.25">
      <c r="A7663" s="1" t="str">
        <f t="shared" si="2211"/>
        <v>卡卡杜-凤凰仓</v>
      </c>
      <c r="B7663" s="1" t="str">
        <f>"CK2024101214366"</f>
        <v>CK2024101214366</v>
      </c>
      <c r="C7663" s="1" t="str">
        <f>"DD2024101229705"</f>
        <v>DD2024101229705</v>
      </c>
      <c r="D7663" s="1" t="str">
        <f>"CK2024101229677"</f>
        <v>CK2024101229677</v>
      </c>
      <c r="E7663" s="1" t="str">
        <f>"6934909455025837328"</f>
        <v>6934909455025837328</v>
      </c>
      <c r="F7663" s="1" t="str">
        <f t="shared" si="2212"/>
        <v>花都四部-凤凰仓</v>
      </c>
      <c r="G7663" s="1" t="str">
        <f t="shared" si="2222"/>
        <v>卡卡杜个人护理店（抖店）</v>
      </c>
      <c r="H7663" s="1" t="str">
        <f t="shared" si="2213"/>
        <v>正常订单</v>
      </c>
      <c r="I7663" s="1" t="str">
        <f t="shared" si="2214"/>
        <v>已发货</v>
      </c>
      <c r="J7663" s="1" t="str">
        <f t="shared" si="2224"/>
        <v>3</v>
      </c>
      <c r="K7663" s="1">
        <v>2</v>
      </c>
      <c r="L7663" s="1" t="s">
        <v>13</v>
      </c>
      <c r="M7663" s="1" t="str">
        <f>"江苏省 扬州市 邗江区 西湖街道"</f>
        <v>江苏省 扬州市 邗江区 西湖街道</v>
      </c>
      <c r="N7663" s="1" t="str">
        <f t="shared" si="2223"/>
        <v>凡华云仓-韵达-抖音</v>
      </c>
      <c r="O7663" s="5">
        <v>320168132860688</v>
      </c>
      <c r="P7663" s="6">
        <v>0.24</v>
      </c>
      <c r="Q7663" s="11">
        <v>2</v>
      </c>
      <c r="R7663" s="11"/>
      <c r="S7663" s="11"/>
      <c r="T7663" s="11"/>
      <c r="U7663" s="11">
        <f t="shared" si="2210"/>
        <v>2</v>
      </c>
      <c r="W7663">
        <v>2.2000000000000002</v>
      </c>
      <c r="X7663" s="1" t="s">
        <v>13</v>
      </c>
    </row>
    <row r="7664" spans="1:24" x14ac:dyDescent="0.25">
      <c r="A7664" s="1" t="str">
        <f t="shared" si="2211"/>
        <v>卡卡杜-凤凰仓</v>
      </c>
      <c r="B7664" s="1" t="str">
        <f>"CK2024101214359"</f>
        <v>CK2024101214359</v>
      </c>
      <c r="C7664" s="1" t="str">
        <f>"DD2024101229702"</f>
        <v>DD2024101229702</v>
      </c>
      <c r="D7664" s="1" t="str">
        <f>"CK2024101229675"</f>
        <v>CK2024101229675</v>
      </c>
      <c r="E7664" s="1" t="str">
        <f>"3723256026486411264"</f>
        <v>3723256026486411264</v>
      </c>
      <c r="F7664" s="1" t="str">
        <f t="shared" si="2212"/>
        <v>花都四部-凤凰仓</v>
      </c>
      <c r="G7664" s="1" t="str">
        <f t="shared" ref="G7664:G7669" si="2225">"卡卡杜企业店（视频号）"</f>
        <v>卡卡杜企业店（视频号）</v>
      </c>
      <c r="H7664" s="1" t="str">
        <f t="shared" si="2213"/>
        <v>正常订单</v>
      </c>
      <c r="I7664" s="1" t="str">
        <f t="shared" si="2214"/>
        <v>已发货</v>
      </c>
      <c r="J7664" s="1" t="str">
        <f t="shared" si="2224"/>
        <v>3</v>
      </c>
      <c r="K7664" s="1">
        <v>3</v>
      </c>
      <c r="L7664" s="1" t="s">
        <v>105</v>
      </c>
      <c r="M7664" s="1" t="str">
        <f>"北京 北京市 朝阳区 "</f>
        <v xml:space="preserve">北京 北京市 朝阳区 </v>
      </c>
      <c r="N7664" s="1" t="str">
        <f t="shared" ref="N7664:N7669" si="2226">"凡华云仓-韵达-微信视频号"</f>
        <v>凡华云仓-韵达-微信视频号</v>
      </c>
      <c r="O7664" s="5">
        <v>315012722265670</v>
      </c>
      <c r="P7664" s="6">
        <v>0.34</v>
      </c>
      <c r="Q7664" s="11">
        <v>2.2999999999999998</v>
      </c>
      <c r="R7664" s="11"/>
      <c r="S7664" s="11"/>
      <c r="T7664" s="11"/>
      <c r="U7664" s="11">
        <f t="shared" si="2210"/>
        <v>2.2999999999999998</v>
      </c>
      <c r="W7664">
        <v>2.5</v>
      </c>
      <c r="X7664" s="1" t="s">
        <v>105</v>
      </c>
    </row>
    <row r="7665" spans="1:24" x14ac:dyDescent="0.25">
      <c r="A7665" s="1" t="str">
        <f t="shared" si="2211"/>
        <v>卡卡杜-凤凰仓</v>
      </c>
      <c r="B7665" s="1" t="str">
        <f>"CK2024101214362"</f>
        <v>CK2024101214362</v>
      </c>
      <c r="C7665" s="1" t="str">
        <f>"DD2024101229700"</f>
        <v>DD2024101229700</v>
      </c>
      <c r="D7665" s="1" t="str">
        <f>"CK2024101229674"</f>
        <v>CK2024101229674</v>
      </c>
      <c r="E7665" s="1" t="str">
        <f>"3723254600908540928"</f>
        <v>3723254600908540928</v>
      </c>
      <c r="F7665" s="1" t="str">
        <f t="shared" si="2212"/>
        <v>花都四部-凤凰仓</v>
      </c>
      <c r="G7665" s="1" t="str">
        <f t="shared" si="2225"/>
        <v>卡卡杜企业店（视频号）</v>
      </c>
      <c r="H7665" s="1" t="str">
        <f t="shared" si="2213"/>
        <v>正常订单</v>
      </c>
      <c r="I7665" s="1" t="str">
        <f t="shared" si="2214"/>
        <v>已发货</v>
      </c>
      <c r="J7665" s="1" t="str">
        <f>"6"</f>
        <v>6</v>
      </c>
      <c r="K7665" s="1">
        <v>3</v>
      </c>
      <c r="L7665" s="1" t="s">
        <v>66</v>
      </c>
      <c r="M7665" s="1" t="str">
        <f>"内蒙古自治区 巴彦淖尔市 临河区 "</f>
        <v xml:space="preserve">内蒙古自治区 巴彦淖尔市 临河区 </v>
      </c>
      <c r="N7665" s="1" t="str">
        <f t="shared" si="2226"/>
        <v>凡华云仓-韵达-微信视频号</v>
      </c>
      <c r="O7665" s="5">
        <v>315012722262489</v>
      </c>
      <c r="P7665" s="6">
        <v>0.55000000000000004</v>
      </c>
      <c r="Q7665" s="11">
        <f t="shared" ref="Q7665:Q7670" si="2227">CEILING(P7665-0.5,0.1)*10*0.15+2.3</f>
        <v>2.4499999999999997</v>
      </c>
      <c r="R7665" s="11"/>
      <c r="S7665" s="11"/>
      <c r="T7665" s="11"/>
      <c r="U7665" s="11">
        <f t="shared" si="2210"/>
        <v>2.4499999999999997</v>
      </c>
      <c r="V7665" t="s">
        <v>15</v>
      </c>
      <c r="W7665">
        <v>2.4500000000000002</v>
      </c>
      <c r="X7665" s="1" t="s">
        <v>66</v>
      </c>
    </row>
    <row r="7666" spans="1:24" x14ac:dyDescent="0.25">
      <c r="A7666" s="1" t="str">
        <f t="shared" si="2211"/>
        <v>卡卡杜-凤凰仓</v>
      </c>
      <c r="B7666" s="1" t="str">
        <f>"CK2024101214360"</f>
        <v>CK2024101214360</v>
      </c>
      <c r="C7666" s="1" t="str">
        <f>"DD2024101229699"</f>
        <v>DD2024101229699</v>
      </c>
      <c r="D7666" s="1" t="str">
        <f>"CK2024101229673"</f>
        <v>CK2024101229673</v>
      </c>
      <c r="E7666" s="1" t="str">
        <f>"3723256350100820992"</f>
        <v>3723256350100820992</v>
      </c>
      <c r="F7666" s="1" t="str">
        <f t="shared" si="2212"/>
        <v>花都四部-凤凰仓</v>
      </c>
      <c r="G7666" s="1" t="str">
        <f t="shared" si="2225"/>
        <v>卡卡杜企业店（视频号）</v>
      </c>
      <c r="H7666" s="1" t="str">
        <f t="shared" si="2213"/>
        <v>正常订单</v>
      </c>
      <c r="I7666" s="1" t="str">
        <f t="shared" si="2214"/>
        <v>已发货</v>
      </c>
      <c r="J7666" s="1" t="str">
        <f t="shared" ref="J7666:J7669" si="2228">"3"</f>
        <v>3</v>
      </c>
      <c r="K7666" s="1">
        <v>3</v>
      </c>
      <c r="L7666" s="1" t="s">
        <v>18</v>
      </c>
      <c r="M7666" s="1" t="str">
        <f>"广东省 东莞市 沙田镇 "</f>
        <v xml:space="preserve">广东省 东莞市 沙田镇 </v>
      </c>
      <c r="N7666" s="1" t="str">
        <f t="shared" si="2226"/>
        <v>凡华云仓-韵达-微信视频号</v>
      </c>
      <c r="O7666" s="5">
        <v>315012722257287</v>
      </c>
      <c r="P7666" s="6">
        <v>0.34</v>
      </c>
      <c r="Q7666" s="11">
        <v>2.2999999999999998</v>
      </c>
      <c r="R7666" s="11"/>
      <c r="S7666" s="11"/>
      <c r="T7666" s="11"/>
      <c r="U7666" s="11">
        <f t="shared" si="2210"/>
        <v>2.2999999999999998</v>
      </c>
      <c r="W7666">
        <v>2.5</v>
      </c>
      <c r="X7666" s="1" t="s">
        <v>18</v>
      </c>
    </row>
    <row r="7667" spans="1:24" x14ac:dyDescent="0.25">
      <c r="A7667" s="1" t="str">
        <f t="shared" si="2211"/>
        <v>卡卡杜-凤凰仓</v>
      </c>
      <c r="B7667" s="1" t="str">
        <f>"CK2024101228"</f>
        <v>CK2024101228</v>
      </c>
      <c r="C7667" s="1" t="str">
        <f>"DD2024101211951"</f>
        <v>DD2024101211951</v>
      </c>
      <c r="D7667" s="1" t="str">
        <f>"CK2024101219120"</f>
        <v>CK2024101219120</v>
      </c>
      <c r="E7667" s="1" t="str">
        <f>"3723252252238287872"</f>
        <v>3723252252238287872</v>
      </c>
      <c r="F7667" s="1" t="str">
        <f t="shared" si="2212"/>
        <v>花都四部-凤凰仓</v>
      </c>
      <c r="G7667" s="1" t="str">
        <f t="shared" si="2225"/>
        <v>卡卡杜企业店（视频号）</v>
      </c>
      <c r="H7667" s="1" t="str">
        <f t="shared" si="2213"/>
        <v>正常订单</v>
      </c>
      <c r="I7667" s="1" t="str">
        <f t="shared" si="2214"/>
        <v>已发货</v>
      </c>
      <c r="J7667" s="1" t="str">
        <f>"5"</f>
        <v>5</v>
      </c>
      <c r="K7667" s="1">
        <v>3</v>
      </c>
      <c r="L7667" s="1" t="s">
        <v>13</v>
      </c>
      <c r="M7667" s="1" t="str">
        <f>"江苏省 南京市 玄武区 "</f>
        <v xml:space="preserve">江苏省 南京市 玄武区 </v>
      </c>
      <c r="N7667" s="1" t="str">
        <f t="shared" si="2226"/>
        <v>凡华云仓-韵达-微信视频号</v>
      </c>
      <c r="O7667" s="5">
        <v>315012697265451</v>
      </c>
      <c r="P7667" s="6">
        <v>0.55000000000000004</v>
      </c>
      <c r="Q7667" s="11">
        <f t="shared" si="2227"/>
        <v>2.4499999999999997</v>
      </c>
      <c r="R7667" s="11"/>
      <c r="S7667" s="11"/>
      <c r="T7667" s="11"/>
      <c r="U7667" s="11">
        <f t="shared" si="2210"/>
        <v>2.4499999999999997</v>
      </c>
      <c r="V7667" t="s">
        <v>15</v>
      </c>
      <c r="W7667">
        <v>2.4500000000000002</v>
      </c>
      <c r="X7667" s="1" t="s">
        <v>13</v>
      </c>
    </row>
    <row r="7668" spans="1:24" x14ac:dyDescent="0.25">
      <c r="A7668" s="1" t="str">
        <f t="shared" si="2211"/>
        <v>卡卡杜-凤凰仓</v>
      </c>
      <c r="B7668" s="1" t="str">
        <f>"CK2024101231"</f>
        <v>CK2024101231</v>
      </c>
      <c r="C7668" s="1" t="str">
        <f>"DD2024101211957"</f>
        <v>DD2024101211957</v>
      </c>
      <c r="D7668" s="1" t="str">
        <f>"CK2024101219119"</f>
        <v>CK2024101219119</v>
      </c>
      <c r="E7668" s="1" t="str">
        <f>"3723244228522673408"</f>
        <v>3723244228522673408</v>
      </c>
      <c r="F7668" s="1" t="str">
        <f t="shared" si="2212"/>
        <v>花都四部-凤凰仓</v>
      </c>
      <c r="G7668" s="1" t="str">
        <f t="shared" si="2225"/>
        <v>卡卡杜企业店（视频号）</v>
      </c>
      <c r="H7668" s="1" t="str">
        <f t="shared" si="2213"/>
        <v>正常订单</v>
      </c>
      <c r="I7668" s="1" t="str">
        <f t="shared" si="2214"/>
        <v>已发货</v>
      </c>
      <c r="J7668" s="1" t="str">
        <f t="shared" si="2228"/>
        <v>3</v>
      </c>
      <c r="K7668" s="1">
        <v>3</v>
      </c>
      <c r="L7668" s="1" t="s">
        <v>18</v>
      </c>
      <c r="M7668" s="1" t="str">
        <f>"广东省 潮州市 湘桥区 "</f>
        <v xml:space="preserve">广东省 潮州市 湘桥区 </v>
      </c>
      <c r="N7668" s="1" t="str">
        <f t="shared" si="2226"/>
        <v>凡华云仓-韵达-微信视频号</v>
      </c>
      <c r="O7668" s="5">
        <v>315012697262278</v>
      </c>
      <c r="P7668" s="6">
        <v>0.34</v>
      </c>
      <c r="Q7668" s="11">
        <v>2.2999999999999998</v>
      </c>
      <c r="R7668" s="11"/>
      <c r="S7668" s="11"/>
      <c r="T7668" s="11"/>
      <c r="U7668" s="11">
        <f t="shared" si="2210"/>
        <v>2.2999999999999998</v>
      </c>
      <c r="W7668">
        <v>2.5</v>
      </c>
      <c r="X7668" s="1" t="s">
        <v>18</v>
      </c>
    </row>
    <row r="7669" spans="1:24" x14ac:dyDescent="0.25">
      <c r="A7669" s="1" t="str">
        <f t="shared" si="2211"/>
        <v>卡卡杜-凤凰仓</v>
      </c>
      <c r="B7669" s="1" t="str">
        <f>"CK2024101246"</f>
        <v>CK2024101246</v>
      </c>
      <c r="C7669" s="1" t="str">
        <f>"DD2024101211970"</f>
        <v>DD2024101211970</v>
      </c>
      <c r="D7669" s="1" t="str">
        <f>"CK2024101219118"</f>
        <v>CK2024101219118</v>
      </c>
      <c r="E7669" s="1" t="str">
        <f>"3723238054100862209"</f>
        <v>3723238054100862209</v>
      </c>
      <c r="F7669" s="1" t="str">
        <f t="shared" si="2212"/>
        <v>花都四部-凤凰仓</v>
      </c>
      <c r="G7669" s="1" t="str">
        <f t="shared" si="2225"/>
        <v>卡卡杜企业店（视频号）</v>
      </c>
      <c r="H7669" s="1" t="str">
        <f t="shared" si="2213"/>
        <v>正常订单</v>
      </c>
      <c r="I7669" s="1" t="str">
        <f t="shared" si="2214"/>
        <v>已发货</v>
      </c>
      <c r="J7669" s="1" t="str">
        <f t="shared" si="2228"/>
        <v>3</v>
      </c>
      <c r="K7669" s="1">
        <v>3</v>
      </c>
      <c r="L7669" s="1" t="s">
        <v>18</v>
      </c>
      <c r="M7669" s="1" t="str">
        <f>"广东省 深圳市 宝安区 "</f>
        <v xml:space="preserve">广东省 深圳市 宝安区 </v>
      </c>
      <c r="N7669" s="1" t="str">
        <f t="shared" si="2226"/>
        <v>凡华云仓-韵达-微信视频号</v>
      </c>
      <c r="O7669" s="5">
        <v>315012681771292</v>
      </c>
      <c r="P7669" s="6">
        <v>0.34</v>
      </c>
      <c r="Q7669" s="11">
        <v>2.2999999999999998</v>
      </c>
      <c r="R7669" s="11"/>
      <c r="S7669" s="11"/>
      <c r="T7669" s="11"/>
      <c r="U7669" s="11">
        <f t="shared" si="2210"/>
        <v>2.2999999999999998</v>
      </c>
      <c r="W7669">
        <v>2.5</v>
      </c>
      <c r="X7669" s="1" t="s">
        <v>18</v>
      </c>
    </row>
    <row r="7670" spans="1:24" x14ac:dyDescent="0.25">
      <c r="A7670" s="1" t="str">
        <f t="shared" si="2211"/>
        <v>卡卡杜-凤凰仓</v>
      </c>
      <c r="B7670" s="1" t="str">
        <f>"CK2024101247"</f>
        <v>CK2024101247</v>
      </c>
      <c r="C7670" s="1" t="str">
        <f>"DD2024101211974"</f>
        <v>DD2024101211974</v>
      </c>
      <c r="D7670" s="1" t="str">
        <f>"CK2024101219111"</f>
        <v>CK2024101219111</v>
      </c>
      <c r="E7670" s="1" t="str">
        <f>"6934924365082662187"</f>
        <v>6934924365082662187</v>
      </c>
      <c r="F7670" s="1" t="str">
        <f t="shared" si="2212"/>
        <v>花都四部-凤凰仓</v>
      </c>
      <c r="G7670" s="1" t="str">
        <f t="shared" ref="G7670:G7705" si="2229">"卡卡杜个人护理店（抖店）"</f>
        <v>卡卡杜个人护理店（抖店）</v>
      </c>
      <c r="H7670" s="1" t="str">
        <f t="shared" si="2213"/>
        <v>正常订单</v>
      </c>
      <c r="I7670" s="1" t="str">
        <f t="shared" si="2214"/>
        <v>已发货</v>
      </c>
      <c r="J7670" s="1" t="str">
        <f>"5"</f>
        <v>5</v>
      </c>
      <c r="K7670" s="1">
        <v>2</v>
      </c>
      <c r="L7670" s="1" t="s">
        <v>27</v>
      </c>
      <c r="M7670" s="1" t="str">
        <f>"贵州省 遵义市 赤水市 官渡镇"</f>
        <v>贵州省 遵义市 赤水市 官渡镇</v>
      </c>
      <c r="N7670" s="1" t="str">
        <f t="shared" ref="N7670:N7704" si="2230">"凡华云仓-韵达-抖音"</f>
        <v>凡华云仓-韵达-抖音</v>
      </c>
      <c r="O7670" s="5">
        <v>320167657059744</v>
      </c>
      <c r="P7670" s="6">
        <v>0.59</v>
      </c>
      <c r="Q7670" s="11">
        <f t="shared" si="2227"/>
        <v>2.4499999999999997</v>
      </c>
      <c r="R7670" s="11"/>
      <c r="S7670" s="11"/>
      <c r="T7670" s="11"/>
      <c r="U7670" s="11">
        <f t="shared" si="2210"/>
        <v>2.4499999999999997</v>
      </c>
      <c r="V7670" t="s">
        <v>15</v>
      </c>
      <c r="W7670">
        <v>2.4500000000000002</v>
      </c>
      <c r="X7670" s="1" t="s">
        <v>27</v>
      </c>
    </row>
    <row r="7671" spans="1:24" x14ac:dyDescent="0.25">
      <c r="A7671" s="1" t="str">
        <f t="shared" si="2211"/>
        <v>卡卡杜-凤凰仓</v>
      </c>
      <c r="B7671" s="1" t="str">
        <f>"CK2024101225"</f>
        <v>CK2024101225</v>
      </c>
      <c r="C7671" s="1" t="str">
        <f>"DD2024101211954"</f>
        <v>DD2024101211954</v>
      </c>
      <c r="D7671" s="1" t="str">
        <f>"CK2024101219110"</f>
        <v>CK2024101219110</v>
      </c>
      <c r="E7671" s="1" t="str">
        <f>"6934908881329657174"</f>
        <v>6934908881329657174</v>
      </c>
      <c r="F7671" s="1" t="str">
        <f t="shared" si="2212"/>
        <v>花都四部-凤凰仓</v>
      </c>
      <c r="G7671" s="1" t="str">
        <f t="shared" si="2229"/>
        <v>卡卡杜个人护理店（抖店）</v>
      </c>
      <c r="H7671" s="1" t="str">
        <f t="shared" si="2213"/>
        <v>正常订单</v>
      </c>
      <c r="I7671" s="1" t="str">
        <f t="shared" si="2214"/>
        <v>已发货</v>
      </c>
      <c r="J7671" s="1" t="str">
        <f t="shared" ref="J7671:J7680" si="2231">"3"</f>
        <v>3</v>
      </c>
      <c r="K7671" s="1">
        <v>3</v>
      </c>
      <c r="L7671" s="1" t="s">
        <v>32</v>
      </c>
      <c r="M7671" s="1" t="str">
        <f>"陕西省 西安市 雁塔区 鱼化寨街道"</f>
        <v>陕西省 西安市 雁塔区 鱼化寨街道</v>
      </c>
      <c r="N7671" s="1" t="str">
        <f t="shared" si="2230"/>
        <v>凡华云仓-韵达-抖音</v>
      </c>
      <c r="O7671" s="5">
        <v>320167657059643</v>
      </c>
      <c r="P7671" s="6">
        <v>0.34</v>
      </c>
      <c r="Q7671" s="11">
        <v>2.2999999999999998</v>
      </c>
      <c r="R7671" s="11"/>
      <c r="S7671" s="11"/>
      <c r="T7671" s="11"/>
      <c r="U7671" s="11">
        <f t="shared" si="2210"/>
        <v>2.2999999999999998</v>
      </c>
      <c r="W7671">
        <v>2.5</v>
      </c>
      <c r="X7671" s="1" t="s">
        <v>32</v>
      </c>
    </row>
    <row r="7672" spans="1:24" x14ac:dyDescent="0.25">
      <c r="A7672" s="1" t="str">
        <f t="shared" si="2211"/>
        <v>卡卡杜-凤凰仓</v>
      </c>
      <c r="B7672" s="1" t="str">
        <f>"CK2024101248"</f>
        <v>CK2024101248</v>
      </c>
      <c r="C7672" s="1" t="str">
        <f>"DD2024101211972"</f>
        <v>DD2024101211972</v>
      </c>
      <c r="D7672" s="1" t="str">
        <f>"CK2024101219109"</f>
        <v>CK2024101219109</v>
      </c>
      <c r="E7672" s="1" t="str">
        <f>"6934924247076443949"</f>
        <v>6934924247076443949</v>
      </c>
      <c r="F7672" s="1" t="str">
        <f t="shared" si="2212"/>
        <v>花都四部-凤凰仓</v>
      </c>
      <c r="G7672" s="1" t="str">
        <f t="shared" si="2229"/>
        <v>卡卡杜个人护理店（抖店）</v>
      </c>
      <c r="H7672" s="1" t="str">
        <f t="shared" si="2213"/>
        <v>正常订单</v>
      </c>
      <c r="I7672" s="1" t="str">
        <f t="shared" si="2214"/>
        <v>已发货</v>
      </c>
      <c r="J7672" s="1" t="str">
        <f t="shared" si="2231"/>
        <v>3</v>
      </c>
      <c r="K7672" s="1">
        <v>2</v>
      </c>
      <c r="L7672" s="1" t="s">
        <v>13</v>
      </c>
      <c r="M7672" s="1" t="str">
        <f>"江苏省 盐城市 阜宁县 阜城街道"</f>
        <v>江苏省 盐城市 阜宁县 阜城街道</v>
      </c>
      <c r="N7672" s="1" t="str">
        <f t="shared" si="2230"/>
        <v>凡华云仓-韵达-抖音</v>
      </c>
      <c r="O7672" s="5">
        <v>320167657059544</v>
      </c>
      <c r="P7672" s="6">
        <v>0.35</v>
      </c>
      <c r="Q7672" s="11">
        <v>2.2999999999999998</v>
      </c>
      <c r="R7672" s="11"/>
      <c r="S7672" s="11"/>
      <c r="T7672" s="11"/>
      <c r="U7672" s="11">
        <f t="shared" si="2210"/>
        <v>2.2999999999999998</v>
      </c>
      <c r="W7672">
        <v>2.5</v>
      </c>
      <c r="X7672" s="1" t="s">
        <v>13</v>
      </c>
    </row>
    <row r="7673" spans="1:24" x14ac:dyDescent="0.25">
      <c r="A7673" s="1" t="str">
        <f t="shared" si="2211"/>
        <v>卡卡杜-凤凰仓</v>
      </c>
      <c r="B7673" s="1" t="str">
        <f>"CK2024101226"</f>
        <v>CK2024101226</v>
      </c>
      <c r="C7673" s="1" t="str">
        <f>"DD2024101211950"</f>
        <v>DD2024101211950</v>
      </c>
      <c r="D7673" s="1" t="str">
        <f>"CK2024101219108"</f>
        <v>CK2024101219108</v>
      </c>
      <c r="E7673" s="1" t="str">
        <f>"6934897673862125451"</f>
        <v>6934897673862125451</v>
      </c>
      <c r="F7673" s="1" t="str">
        <f t="shared" si="2212"/>
        <v>花都四部-凤凰仓</v>
      </c>
      <c r="G7673" s="1" t="str">
        <f t="shared" si="2229"/>
        <v>卡卡杜个人护理店（抖店）</v>
      </c>
      <c r="H7673" s="1" t="str">
        <f t="shared" si="2213"/>
        <v>正常订单</v>
      </c>
      <c r="I7673" s="1" t="str">
        <f t="shared" si="2214"/>
        <v>已发货</v>
      </c>
      <c r="J7673" s="1" t="str">
        <f t="shared" si="2231"/>
        <v>3</v>
      </c>
      <c r="K7673" s="1">
        <v>3</v>
      </c>
      <c r="L7673" s="1" t="s">
        <v>13</v>
      </c>
      <c r="M7673" s="1" t="str">
        <f>"江苏省 无锡市 惠山区 "</f>
        <v xml:space="preserve">江苏省 无锡市 惠山区 </v>
      </c>
      <c r="N7673" s="1" t="str">
        <f t="shared" si="2230"/>
        <v>凡华云仓-韵达-抖音</v>
      </c>
      <c r="O7673" s="5">
        <v>320167657059447</v>
      </c>
      <c r="P7673" s="6">
        <v>0.34</v>
      </c>
      <c r="Q7673" s="11">
        <v>2.2999999999999998</v>
      </c>
      <c r="R7673" s="11"/>
      <c r="S7673" s="11"/>
      <c r="T7673" s="11"/>
      <c r="U7673" s="11">
        <f t="shared" si="2210"/>
        <v>2.2999999999999998</v>
      </c>
      <c r="W7673">
        <v>2.5</v>
      </c>
      <c r="X7673" s="1" t="s">
        <v>13</v>
      </c>
    </row>
    <row r="7674" spans="1:24" x14ac:dyDescent="0.25">
      <c r="A7674" s="1" t="str">
        <f t="shared" si="2211"/>
        <v>卡卡杜-凤凰仓</v>
      </c>
      <c r="B7674" s="1" t="str">
        <f>"CK2024101249"</f>
        <v>CK2024101249</v>
      </c>
      <c r="C7674" s="1" t="str">
        <f>"DD2024101211973"</f>
        <v>DD2024101211973</v>
      </c>
      <c r="D7674" s="1" t="str">
        <f>"CK2024101219107"</f>
        <v>CK2024101219107</v>
      </c>
      <c r="E7674" s="1" t="str">
        <f>"6934911092399674647"</f>
        <v>6934911092399674647</v>
      </c>
      <c r="F7674" s="1" t="str">
        <f t="shared" si="2212"/>
        <v>花都四部-凤凰仓</v>
      </c>
      <c r="G7674" s="1" t="str">
        <f t="shared" si="2229"/>
        <v>卡卡杜个人护理店（抖店）</v>
      </c>
      <c r="H7674" s="1" t="str">
        <f t="shared" si="2213"/>
        <v>正常订单</v>
      </c>
      <c r="I7674" s="1" t="str">
        <f t="shared" si="2214"/>
        <v>已发货</v>
      </c>
      <c r="J7674" s="1" t="str">
        <f t="shared" si="2231"/>
        <v>3</v>
      </c>
      <c r="K7674" s="1">
        <v>2</v>
      </c>
      <c r="L7674" s="1" t="s">
        <v>96</v>
      </c>
      <c r="M7674" s="1" t="str">
        <f>"广西壮族自治区 河池市 大化瑶族自治县 大化镇"</f>
        <v>广西壮族自治区 河池市 大化瑶族自治县 大化镇</v>
      </c>
      <c r="N7674" s="1" t="str">
        <f t="shared" si="2230"/>
        <v>凡华云仓-韵达-抖音</v>
      </c>
      <c r="O7674" s="5">
        <v>320167657059352</v>
      </c>
      <c r="P7674" s="6">
        <v>0.35</v>
      </c>
      <c r="Q7674" s="11">
        <v>2.2999999999999998</v>
      </c>
      <c r="R7674" s="11"/>
      <c r="S7674" s="11"/>
      <c r="T7674" s="11"/>
      <c r="U7674" s="11">
        <f t="shared" si="2210"/>
        <v>2.2999999999999998</v>
      </c>
      <c r="W7674">
        <v>2.5</v>
      </c>
      <c r="X7674" s="1" t="s">
        <v>96</v>
      </c>
    </row>
    <row r="7675" spans="1:24" x14ac:dyDescent="0.25">
      <c r="A7675" s="1" t="str">
        <f t="shared" si="2211"/>
        <v>卡卡杜-凤凰仓</v>
      </c>
      <c r="B7675" s="1" t="str">
        <f>"CK2024101227"</f>
        <v>CK2024101227</v>
      </c>
      <c r="C7675" s="1" t="str">
        <f>"DD2024101211953"</f>
        <v>DD2024101211953</v>
      </c>
      <c r="D7675" s="1" t="str">
        <f>"CK2024101219106"</f>
        <v>CK2024101219106</v>
      </c>
      <c r="E7675" s="1" t="str">
        <f>"6934921950195684983"</f>
        <v>6934921950195684983</v>
      </c>
      <c r="F7675" s="1" t="str">
        <f t="shared" si="2212"/>
        <v>花都四部-凤凰仓</v>
      </c>
      <c r="G7675" s="1" t="str">
        <f t="shared" si="2229"/>
        <v>卡卡杜个人护理店（抖店）</v>
      </c>
      <c r="H7675" s="1" t="str">
        <f t="shared" si="2213"/>
        <v>正常订单</v>
      </c>
      <c r="I7675" s="1" t="str">
        <f t="shared" si="2214"/>
        <v>已发货</v>
      </c>
      <c r="J7675" s="1" t="str">
        <f t="shared" si="2231"/>
        <v>3</v>
      </c>
      <c r="K7675" s="1">
        <v>3</v>
      </c>
      <c r="L7675" s="1" t="s">
        <v>74</v>
      </c>
      <c r="M7675" s="1" t="str">
        <f>"上海 上海市 浦东新区 康桥镇"</f>
        <v>上海 上海市 浦东新区 康桥镇</v>
      </c>
      <c r="N7675" s="1" t="str">
        <f t="shared" si="2230"/>
        <v>凡华云仓-韵达-抖音</v>
      </c>
      <c r="O7675" s="5">
        <v>320167657059259</v>
      </c>
      <c r="P7675" s="6">
        <v>0.34</v>
      </c>
      <c r="Q7675" s="11">
        <v>2.2999999999999998</v>
      </c>
      <c r="R7675" s="11"/>
      <c r="S7675" s="11"/>
      <c r="T7675" s="11"/>
      <c r="U7675" s="11">
        <f t="shared" si="2210"/>
        <v>2.2999999999999998</v>
      </c>
      <c r="W7675">
        <v>2.5</v>
      </c>
      <c r="X7675" s="1" t="s">
        <v>74</v>
      </c>
    </row>
    <row r="7676" spans="1:24" x14ac:dyDescent="0.25">
      <c r="A7676" s="1" t="str">
        <f t="shared" si="2211"/>
        <v>卡卡杜-凤凰仓</v>
      </c>
      <c r="B7676" s="1" t="str">
        <f>"CK2024101250"</f>
        <v>CK2024101250</v>
      </c>
      <c r="C7676" s="1" t="str">
        <f>"DD2024101211977"</f>
        <v>DD2024101211977</v>
      </c>
      <c r="D7676" s="1" t="str">
        <f>"CK2024101219105"</f>
        <v>CK2024101219105</v>
      </c>
      <c r="E7676" s="1" t="str">
        <f>"6934899606332576993"</f>
        <v>6934899606332576993</v>
      </c>
      <c r="F7676" s="1" t="str">
        <f t="shared" si="2212"/>
        <v>花都四部-凤凰仓</v>
      </c>
      <c r="G7676" s="1" t="str">
        <f t="shared" si="2229"/>
        <v>卡卡杜个人护理店（抖店）</v>
      </c>
      <c r="H7676" s="1" t="str">
        <f t="shared" si="2213"/>
        <v>正常订单</v>
      </c>
      <c r="I7676" s="1" t="str">
        <f t="shared" si="2214"/>
        <v>已发货</v>
      </c>
      <c r="J7676" s="1" t="str">
        <f t="shared" si="2231"/>
        <v>3</v>
      </c>
      <c r="K7676" s="1">
        <v>2</v>
      </c>
      <c r="L7676" s="1" t="s">
        <v>22</v>
      </c>
      <c r="M7676" s="1" t="str">
        <f>"江西省 上饶市 广丰区 东阳乡"</f>
        <v>江西省 上饶市 广丰区 东阳乡</v>
      </c>
      <c r="N7676" s="1" t="str">
        <f t="shared" si="2230"/>
        <v>凡华云仓-韵达-抖音</v>
      </c>
      <c r="O7676" s="5">
        <v>320167657059168</v>
      </c>
      <c r="P7676" s="6">
        <v>0.35</v>
      </c>
      <c r="Q7676" s="11">
        <v>2.2999999999999998</v>
      </c>
      <c r="R7676" s="11"/>
      <c r="S7676" s="11"/>
      <c r="T7676" s="11"/>
      <c r="U7676" s="11">
        <f t="shared" si="2210"/>
        <v>2.2999999999999998</v>
      </c>
      <c r="W7676">
        <v>2.5</v>
      </c>
      <c r="X7676" s="1" t="s">
        <v>22</v>
      </c>
    </row>
    <row r="7677" spans="1:24" x14ac:dyDescent="0.25">
      <c r="A7677" s="1" t="str">
        <f t="shared" si="2211"/>
        <v>卡卡杜-凤凰仓</v>
      </c>
      <c r="B7677" s="1" t="str">
        <f>"CK2024101251"</f>
        <v>CK2024101251</v>
      </c>
      <c r="C7677" s="1" t="str">
        <f>"DD2024101211976"</f>
        <v>DD2024101211976</v>
      </c>
      <c r="D7677" s="1" t="str">
        <f>"CK2024101219104"</f>
        <v>CK2024101219104</v>
      </c>
      <c r="E7677" s="1" t="str">
        <f>"6934917916707001472"</f>
        <v>6934917916707001472</v>
      </c>
      <c r="F7677" s="1" t="str">
        <f t="shared" si="2212"/>
        <v>花都四部-凤凰仓</v>
      </c>
      <c r="G7677" s="1" t="str">
        <f t="shared" si="2229"/>
        <v>卡卡杜个人护理店（抖店）</v>
      </c>
      <c r="H7677" s="1" t="str">
        <f t="shared" si="2213"/>
        <v>正常订单</v>
      </c>
      <c r="I7677" s="1" t="str">
        <f t="shared" si="2214"/>
        <v>已发货</v>
      </c>
      <c r="J7677" s="1" t="str">
        <f t="shared" si="2231"/>
        <v>3</v>
      </c>
      <c r="K7677" s="1">
        <v>2</v>
      </c>
      <c r="L7677" s="1" t="s">
        <v>13</v>
      </c>
      <c r="M7677" s="1" t="str">
        <f>"江苏省 宿迁市 泗洪县 大楼街道"</f>
        <v>江苏省 宿迁市 泗洪县 大楼街道</v>
      </c>
      <c r="N7677" s="1" t="str">
        <f t="shared" si="2230"/>
        <v>凡华云仓-韵达-抖音</v>
      </c>
      <c r="O7677" s="5">
        <v>320167657059079</v>
      </c>
      <c r="P7677" s="6">
        <v>0.35</v>
      </c>
      <c r="Q7677" s="11">
        <v>2.2999999999999998</v>
      </c>
      <c r="R7677" s="11"/>
      <c r="S7677" s="11"/>
      <c r="T7677" s="11"/>
      <c r="U7677" s="11">
        <f t="shared" si="2210"/>
        <v>2.2999999999999998</v>
      </c>
      <c r="W7677">
        <v>2.5</v>
      </c>
      <c r="X7677" s="1" t="s">
        <v>13</v>
      </c>
    </row>
    <row r="7678" spans="1:24" x14ac:dyDescent="0.25">
      <c r="A7678" s="1" t="str">
        <f t="shared" si="2211"/>
        <v>卡卡杜-凤凰仓</v>
      </c>
      <c r="B7678" s="1" t="str">
        <f>"CK2024101252"</f>
        <v>CK2024101252</v>
      </c>
      <c r="C7678" s="1" t="str">
        <f>"DD2024101211975"</f>
        <v>DD2024101211975</v>
      </c>
      <c r="D7678" s="1" t="str">
        <f>"CK2024101219103"</f>
        <v>CK2024101219103</v>
      </c>
      <c r="E7678" s="1" t="str">
        <f>"6934913227452258136"</f>
        <v>6934913227452258136</v>
      </c>
      <c r="F7678" s="1" t="str">
        <f t="shared" si="2212"/>
        <v>花都四部-凤凰仓</v>
      </c>
      <c r="G7678" s="1" t="str">
        <f t="shared" si="2229"/>
        <v>卡卡杜个人护理店（抖店）</v>
      </c>
      <c r="H7678" s="1" t="str">
        <f t="shared" si="2213"/>
        <v>正常订单</v>
      </c>
      <c r="I7678" s="1" t="str">
        <f t="shared" si="2214"/>
        <v>已发货</v>
      </c>
      <c r="J7678" s="1" t="str">
        <f t="shared" si="2231"/>
        <v>3</v>
      </c>
      <c r="K7678" s="1">
        <v>2</v>
      </c>
      <c r="L7678" s="1" t="s">
        <v>24</v>
      </c>
      <c r="M7678" s="1" t="str">
        <f>"福建省 厦门市 集美区 后溪镇"</f>
        <v>福建省 厦门市 集美区 后溪镇</v>
      </c>
      <c r="N7678" s="1" t="str">
        <f t="shared" si="2230"/>
        <v>凡华云仓-韵达-抖音</v>
      </c>
      <c r="O7678" s="5">
        <v>320167839384943</v>
      </c>
      <c r="P7678" s="6">
        <v>0.35</v>
      </c>
      <c r="Q7678" s="11">
        <v>2.2999999999999998</v>
      </c>
      <c r="R7678" s="11"/>
      <c r="S7678" s="11"/>
      <c r="T7678" s="11"/>
      <c r="U7678" s="11">
        <f t="shared" si="2210"/>
        <v>2.2999999999999998</v>
      </c>
      <c r="W7678">
        <v>2.5</v>
      </c>
      <c r="X7678" s="1" t="s">
        <v>24</v>
      </c>
    </row>
    <row r="7679" spans="1:24" x14ac:dyDescent="0.25">
      <c r="A7679" s="1" t="str">
        <f t="shared" si="2211"/>
        <v>卡卡杜-凤凰仓</v>
      </c>
      <c r="B7679" s="1" t="str">
        <f>"CK2024101253"</f>
        <v>CK2024101253</v>
      </c>
      <c r="C7679" s="1" t="str">
        <f>"DD2024101211978"</f>
        <v>DD2024101211978</v>
      </c>
      <c r="D7679" s="1" t="str">
        <f>"CK2024101219102"</f>
        <v>CK2024101219102</v>
      </c>
      <c r="E7679" s="1" t="str">
        <f>"6934919537470281284"</f>
        <v>6934919537470281284</v>
      </c>
      <c r="F7679" s="1" t="str">
        <f t="shared" si="2212"/>
        <v>花都四部-凤凰仓</v>
      </c>
      <c r="G7679" s="1" t="str">
        <f t="shared" si="2229"/>
        <v>卡卡杜个人护理店（抖店）</v>
      </c>
      <c r="H7679" s="1" t="str">
        <f t="shared" si="2213"/>
        <v>正常订单</v>
      </c>
      <c r="I7679" s="1" t="str">
        <f t="shared" si="2214"/>
        <v>已发货</v>
      </c>
      <c r="J7679" s="1" t="str">
        <f t="shared" si="2231"/>
        <v>3</v>
      </c>
      <c r="K7679" s="1">
        <v>2</v>
      </c>
      <c r="L7679" s="1" t="s">
        <v>20</v>
      </c>
      <c r="M7679" s="1" t="str">
        <f>"浙江省 丽水市 景宁畲族自治县 东坑镇"</f>
        <v>浙江省 丽水市 景宁畲族自治县 东坑镇</v>
      </c>
      <c r="N7679" s="1" t="str">
        <f t="shared" si="2230"/>
        <v>凡华云仓-韵达-抖音</v>
      </c>
      <c r="O7679" s="5">
        <v>320167839384838</v>
      </c>
      <c r="P7679" s="6">
        <v>0.35</v>
      </c>
      <c r="Q7679" s="11">
        <v>2.2999999999999998</v>
      </c>
      <c r="R7679" s="11"/>
      <c r="S7679" s="11"/>
      <c r="T7679" s="11"/>
      <c r="U7679" s="11">
        <f t="shared" si="2210"/>
        <v>2.2999999999999998</v>
      </c>
      <c r="W7679">
        <v>2.5</v>
      </c>
      <c r="X7679" s="1" t="s">
        <v>20</v>
      </c>
    </row>
    <row r="7680" spans="1:24" x14ac:dyDescent="0.25">
      <c r="A7680" s="1" t="str">
        <f t="shared" si="2211"/>
        <v>卡卡杜-凤凰仓</v>
      </c>
      <c r="B7680" s="1" t="str">
        <f>"CK2024101254"</f>
        <v>CK2024101254</v>
      </c>
      <c r="C7680" s="1" t="str">
        <f>"DD2024101211979"</f>
        <v>DD2024101211979</v>
      </c>
      <c r="D7680" s="1" t="str">
        <f>"CK2024101219101"</f>
        <v>CK2024101219101</v>
      </c>
      <c r="E7680" s="1" t="str">
        <f>"6934908483016529747"</f>
        <v>6934908483016529747</v>
      </c>
      <c r="F7680" s="1" t="str">
        <f t="shared" si="2212"/>
        <v>花都四部-凤凰仓</v>
      </c>
      <c r="G7680" s="1" t="str">
        <f t="shared" si="2229"/>
        <v>卡卡杜个人护理店（抖店）</v>
      </c>
      <c r="H7680" s="1" t="str">
        <f t="shared" si="2213"/>
        <v>正常订单</v>
      </c>
      <c r="I7680" s="1" t="str">
        <f t="shared" si="2214"/>
        <v>已发货</v>
      </c>
      <c r="J7680" s="1" t="str">
        <f t="shared" si="2231"/>
        <v>3</v>
      </c>
      <c r="K7680" s="1">
        <v>2</v>
      </c>
      <c r="L7680" s="1" t="s">
        <v>24</v>
      </c>
      <c r="M7680" s="1" t="str">
        <f>"福建省 泉州市 永春县 "</f>
        <v xml:space="preserve">福建省 泉州市 永春县 </v>
      </c>
      <c r="N7680" s="1" t="str">
        <f t="shared" si="2230"/>
        <v>凡华云仓-韵达-抖音</v>
      </c>
      <c r="O7680" s="5">
        <v>320167839384735</v>
      </c>
      <c r="P7680" s="6">
        <v>0.35</v>
      </c>
      <c r="Q7680" s="11">
        <v>2.2999999999999998</v>
      </c>
      <c r="R7680" s="11"/>
      <c r="S7680" s="11"/>
      <c r="T7680" s="11"/>
      <c r="U7680" s="11">
        <f t="shared" si="2210"/>
        <v>2.2999999999999998</v>
      </c>
      <c r="W7680">
        <v>2.5</v>
      </c>
      <c r="X7680" s="1" t="s">
        <v>24</v>
      </c>
    </row>
    <row r="7681" spans="1:24" x14ac:dyDescent="0.25">
      <c r="A7681" s="1" t="str">
        <f t="shared" si="2211"/>
        <v>卡卡杜-凤凰仓</v>
      </c>
      <c r="B7681" s="1" t="str">
        <f>"CK2024101255"</f>
        <v>CK2024101255</v>
      </c>
      <c r="C7681" s="1" t="str">
        <f>"DD2024101211980"</f>
        <v>DD2024101211980</v>
      </c>
      <c r="D7681" s="1" t="str">
        <f>"CK2024101219100"</f>
        <v>CK2024101219100</v>
      </c>
      <c r="E7681" s="1" t="str">
        <f>"6934917801327596975"</f>
        <v>6934917801327596975</v>
      </c>
      <c r="F7681" s="1" t="str">
        <f t="shared" si="2212"/>
        <v>花都四部-凤凰仓</v>
      </c>
      <c r="G7681" s="1" t="str">
        <f t="shared" si="2229"/>
        <v>卡卡杜个人护理店（抖店）</v>
      </c>
      <c r="H7681" s="1" t="str">
        <f t="shared" si="2213"/>
        <v>正常订单</v>
      </c>
      <c r="I7681" s="1" t="str">
        <f t="shared" si="2214"/>
        <v>已发货</v>
      </c>
      <c r="J7681" s="1" t="str">
        <f>"5"</f>
        <v>5</v>
      </c>
      <c r="K7681" s="1">
        <v>2</v>
      </c>
      <c r="L7681" s="1" t="s">
        <v>20</v>
      </c>
      <c r="M7681" s="1" t="str">
        <f>"浙江省 湖州市 安吉县 梅溪镇"</f>
        <v>浙江省 湖州市 安吉县 梅溪镇</v>
      </c>
      <c r="N7681" s="1" t="str">
        <f t="shared" si="2230"/>
        <v>凡华云仓-韵达-抖音</v>
      </c>
      <c r="O7681" s="5">
        <v>320167839384634</v>
      </c>
      <c r="P7681" s="6">
        <v>0.59</v>
      </c>
      <c r="Q7681" s="11">
        <f t="shared" ref="Q7681:Q7686" si="2232">CEILING(P7681-0.5,0.1)*10*0.15+2.3</f>
        <v>2.4499999999999997</v>
      </c>
      <c r="R7681" s="11"/>
      <c r="S7681" s="11"/>
      <c r="T7681" s="11"/>
      <c r="U7681" s="11">
        <f t="shared" si="2210"/>
        <v>2.4499999999999997</v>
      </c>
      <c r="V7681" t="s">
        <v>15</v>
      </c>
      <c r="W7681">
        <v>2.4500000000000002</v>
      </c>
      <c r="X7681" s="1" t="s">
        <v>20</v>
      </c>
    </row>
    <row r="7682" spans="1:24" x14ac:dyDescent="0.25">
      <c r="A7682" s="1" t="str">
        <f t="shared" si="2211"/>
        <v>卡卡杜-凤凰仓</v>
      </c>
      <c r="B7682" s="1" t="str">
        <f>"CK2024101256"</f>
        <v>CK2024101256</v>
      </c>
      <c r="C7682" s="1" t="str">
        <f>"DD2024101211981"</f>
        <v>DD2024101211981</v>
      </c>
      <c r="D7682" s="1" t="str">
        <f>"CK2024101219099"</f>
        <v>CK2024101219099</v>
      </c>
      <c r="E7682" s="1" t="str">
        <f>"6934902086000252788"</f>
        <v>6934902086000252788</v>
      </c>
      <c r="F7682" s="1" t="str">
        <f t="shared" si="2212"/>
        <v>花都四部-凤凰仓</v>
      </c>
      <c r="G7682" s="1" t="str">
        <f t="shared" si="2229"/>
        <v>卡卡杜个人护理店（抖店）</v>
      </c>
      <c r="H7682" s="1" t="str">
        <f t="shared" si="2213"/>
        <v>正常订单</v>
      </c>
      <c r="I7682" s="1" t="str">
        <f t="shared" si="2214"/>
        <v>已发货</v>
      </c>
      <c r="J7682" s="1" t="str">
        <f t="shared" ref="J7682:J7684" si="2233">"3"</f>
        <v>3</v>
      </c>
      <c r="K7682" s="1">
        <v>2</v>
      </c>
      <c r="L7682" s="1" t="s">
        <v>13</v>
      </c>
      <c r="M7682" s="1" t="str">
        <f>"江苏省 徐州市 新沂市 墨河街道"</f>
        <v>江苏省 徐州市 新沂市 墨河街道</v>
      </c>
      <c r="N7682" s="1" t="str">
        <f t="shared" si="2230"/>
        <v>凡华云仓-韵达-抖音</v>
      </c>
      <c r="O7682" s="5">
        <v>320167839384535</v>
      </c>
      <c r="P7682" s="6">
        <v>0.35</v>
      </c>
      <c r="Q7682" s="11">
        <v>2.2999999999999998</v>
      </c>
      <c r="R7682" s="11"/>
      <c r="S7682" s="11"/>
      <c r="T7682" s="11"/>
      <c r="U7682" s="11">
        <f t="shared" si="2210"/>
        <v>2.2999999999999998</v>
      </c>
      <c r="W7682">
        <v>2.5</v>
      </c>
      <c r="X7682" s="1" t="s">
        <v>13</v>
      </c>
    </row>
    <row r="7683" spans="1:24" x14ac:dyDescent="0.25">
      <c r="A7683" s="1" t="str">
        <f t="shared" si="2211"/>
        <v>卡卡杜-凤凰仓</v>
      </c>
      <c r="B7683" s="1" t="str">
        <f>"CK2024101257"</f>
        <v>CK2024101257</v>
      </c>
      <c r="C7683" s="1" t="str">
        <f>"DD2024101211982"</f>
        <v>DD2024101211982</v>
      </c>
      <c r="D7683" s="1" t="str">
        <f>"CK2024101219098"</f>
        <v>CK2024101219098</v>
      </c>
      <c r="E7683" s="1" t="str">
        <f>"6934899507714659965"</f>
        <v>6934899507714659965</v>
      </c>
      <c r="F7683" s="1" t="str">
        <f t="shared" si="2212"/>
        <v>花都四部-凤凰仓</v>
      </c>
      <c r="G7683" s="1" t="str">
        <f t="shared" si="2229"/>
        <v>卡卡杜个人护理店（抖店）</v>
      </c>
      <c r="H7683" s="1" t="str">
        <f t="shared" si="2213"/>
        <v>正常订单</v>
      </c>
      <c r="I7683" s="1" t="str">
        <f t="shared" si="2214"/>
        <v>已发货</v>
      </c>
      <c r="J7683" s="1" t="str">
        <f t="shared" si="2233"/>
        <v>3</v>
      </c>
      <c r="K7683" s="1">
        <v>2</v>
      </c>
      <c r="L7683" s="1" t="s">
        <v>36</v>
      </c>
      <c r="M7683" s="1" t="str">
        <f>"安徽省 安庆市 潜山市 梅城镇"</f>
        <v>安徽省 安庆市 潜山市 梅城镇</v>
      </c>
      <c r="N7683" s="1" t="str">
        <f t="shared" si="2230"/>
        <v>凡华云仓-韵达-抖音</v>
      </c>
      <c r="O7683" s="5">
        <v>320167839384438</v>
      </c>
      <c r="P7683" s="6">
        <v>0.35</v>
      </c>
      <c r="Q7683" s="11">
        <v>2.2999999999999998</v>
      </c>
      <c r="R7683" s="11"/>
      <c r="S7683" s="11"/>
      <c r="T7683" s="11"/>
      <c r="U7683" s="11">
        <f t="shared" ref="U7683:U7746" si="2234">T7683+S7683+R7683+Q7683</f>
        <v>2.2999999999999998</v>
      </c>
      <c r="W7683">
        <v>2.5</v>
      </c>
      <c r="X7683" s="1" t="s">
        <v>36</v>
      </c>
    </row>
    <row r="7684" spans="1:24" x14ac:dyDescent="0.25">
      <c r="A7684" s="1" t="str">
        <f t="shared" si="2211"/>
        <v>卡卡杜-凤凰仓</v>
      </c>
      <c r="B7684" s="1" t="str">
        <f>"CK2024101258"</f>
        <v>CK2024101258</v>
      </c>
      <c r="C7684" s="1" t="str">
        <f>"DD2024101211983"</f>
        <v>DD2024101211983</v>
      </c>
      <c r="D7684" s="1" t="str">
        <f>"CK2024101219097"</f>
        <v>CK2024101219097</v>
      </c>
      <c r="E7684" s="1" t="str">
        <f>"6934892588655187587"</f>
        <v>6934892588655187587</v>
      </c>
      <c r="F7684" s="1" t="str">
        <f t="shared" si="2212"/>
        <v>花都四部-凤凰仓</v>
      </c>
      <c r="G7684" s="1" t="str">
        <f t="shared" si="2229"/>
        <v>卡卡杜个人护理店（抖店）</v>
      </c>
      <c r="H7684" s="1" t="str">
        <f t="shared" si="2213"/>
        <v>正常订单</v>
      </c>
      <c r="I7684" s="1" t="str">
        <f t="shared" si="2214"/>
        <v>已发货</v>
      </c>
      <c r="J7684" s="1" t="str">
        <f t="shared" si="2233"/>
        <v>3</v>
      </c>
      <c r="K7684" s="1">
        <v>2</v>
      </c>
      <c r="L7684" s="1" t="s">
        <v>47</v>
      </c>
      <c r="M7684" s="1" t="str">
        <f>"重庆 重庆市 江北区 观音桥街道"</f>
        <v>重庆 重庆市 江北区 观音桥街道</v>
      </c>
      <c r="N7684" s="1" t="str">
        <f t="shared" si="2230"/>
        <v>凡华云仓-韵达-抖音</v>
      </c>
      <c r="O7684" s="5">
        <v>320167839384343</v>
      </c>
      <c r="P7684" s="6">
        <v>0.35</v>
      </c>
      <c r="Q7684" s="11">
        <v>2.2999999999999998</v>
      </c>
      <c r="R7684" s="11"/>
      <c r="S7684" s="11"/>
      <c r="T7684" s="11"/>
      <c r="U7684" s="11">
        <f t="shared" si="2234"/>
        <v>2.2999999999999998</v>
      </c>
      <c r="W7684">
        <v>2.5</v>
      </c>
      <c r="X7684" s="1" t="s">
        <v>47</v>
      </c>
    </row>
    <row r="7685" spans="1:24" x14ac:dyDescent="0.25">
      <c r="A7685" s="1" t="str">
        <f t="shared" ref="A7685:A7748" si="2235">"卡卡杜-凤凰仓"</f>
        <v>卡卡杜-凤凰仓</v>
      </c>
      <c r="B7685" s="1" t="str">
        <f>"CK2024101229"</f>
        <v>CK2024101229</v>
      </c>
      <c r="C7685" s="1" t="str">
        <f>"DD2024101211952"</f>
        <v>DD2024101211952</v>
      </c>
      <c r="D7685" s="1" t="str">
        <f>"CK2024101219096"</f>
        <v>CK2024101219096</v>
      </c>
      <c r="E7685" s="1" t="str">
        <f>"6934892647133877354"</f>
        <v>6934892647133877354</v>
      </c>
      <c r="F7685" s="1" t="str">
        <f t="shared" ref="F7685:F7748" si="2236">"花都四部-凤凰仓"</f>
        <v>花都四部-凤凰仓</v>
      </c>
      <c r="G7685" s="1" t="str">
        <f t="shared" si="2229"/>
        <v>卡卡杜个人护理店（抖店）</v>
      </c>
      <c r="H7685" s="1" t="str">
        <f t="shared" ref="H7685:H7748" si="2237">"正常订单"</f>
        <v>正常订单</v>
      </c>
      <c r="I7685" s="1" t="str">
        <f t="shared" ref="I7685:I7748" si="2238">"已发货"</f>
        <v>已发货</v>
      </c>
      <c r="J7685" s="1" t="str">
        <f>"6"</f>
        <v>6</v>
      </c>
      <c r="K7685" s="1">
        <v>3</v>
      </c>
      <c r="L7685" s="1" t="s">
        <v>66</v>
      </c>
      <c r="M7685" s="1" t="str">
        <f>"内蒙古自治区 乌海市 海勃湾区 凤凰岭街道"</f>
        <v>内蒙古自治区 乌海市 海勃湾区 凤凰岭街道</v>
      </c>
      <c r="N7685" s="1" t="str">
        <f t="shared" si="2230"/>
        <v>凡华云仓-韵达-抖音</v>
      </c>
      <c r="O7685" s="5">
        <v>320167836613167</v>
      </c>
      <c r="P7685" s="6">
        <v>0.55000000000000004</v>
      </c>
      <c r="Q7685" s="11">
        <f t="shared" si="2232"/>
        <v>2.4499999999999997</v>
      </c>
      <c r="R7685" s="11"/>
      <c r="S7685" s="11"/>
      <c r="T7685" s="11"/>
      <c r="U7685" s="11">
        <f t="shared" si="2234"/>
        <v>2.4499999999999997</v>
      </c>
      <c r="V7685" t="s">
        <v>15</v>
      </c>
      <c r="W7685">
        <v>2.4500000000000002</v>
      </c>
      <c r="X7685" s="1" t="s">
        <v>66</v>
      </c>
    </row>
    <row r="7686" spans="1:24" x14ac:dyDescent="0.25">
      <c r="A7686" s="1" t="str">
        <f t="shared" si="2235"/>
        <v>卡卡杜-凤凰仓</v>
      </c>
      <c r="B7686" s="1" t="str">
        <f>"CK2024101259"</f>
        <v>CK2024101259</v>
      </c>
      <c r="C7686" s="1" t="str">
        <f>"DD2024101211984"</f>
        <v>DD2024101211984</v>
      </c>
      <c r="D7686" s="1" t="str">
        <f>"CK2024101219095"</f>
        <v>CK2024101219095</v>
      </c>
      <c r="E7686" s="1" t="str">
        <f>"6934901984886986407"</f>
        <v>6934901984886986407</v>
      </c>
      <c r="F7686" s="1" t="str">
        <f t="shared" si="2236"/>
        <v>花都四部-凤凰仓</v>
      </c>
      <c r="G7686" s="1" t="str">
        <f t="shared" si="2229"/>
        <v>卡卡杜个人护理店（抖店）</v>
      </c>
      <c r="H7686" s="1" t="str">
        <f t="shared" si="2237"/>
        <v>正常订单</v>
      </c>
      <c r="I7686" s="1" t="str">
        <f t="shared" si="2238"/>
        <v>已发货</v>
      </c>
      <c r="J7686" s="1" t="str">
        <f>"5"</f>
        <v>5</v>
      </c>
      <c r="K7686" s="1">
        <v>2</v>
      </c>
      <c r="L7686" s="1" t="s">
        <v>18</v>
      </c>
      <c r="M7686" s="1" t="str">
        <f>"广东省 潮州市 湘桥区 凤新街道"</f>
        <v>广东省 潮州市 湘桥区 凤新街道</v>
      </c>
      <c r="N7686" s="1" t="str">
        <f t="shared" si="2230"/>
        <v>凡华云仓-韵达-抖音</v>
      </c>
      <c r="O7686" s="5">
        <v>320167836613078</v>
      </c>
      <c r="P7686" s="6">
        <v>0.59</v>
      </c>
      <c r="Q7686" s="11">
        <f t="shared" si="2232"/>
        <v>2.4499999999999997</v>
      </c>
      <c r="R7686" s="11"/>
      <c r="S7686" s="11"/>
      <c r="T7686" s="11"/>
      <c r="U7686" s="11">
        <f t="shared" si="2234"/>
        <v>2.4499999999999997</v>
      </c>
      <c r="V7686" t="s">
        <v>15</v>
      </c>
      <c r="W7686">
        <v>2.4500000000000002</v>
      </c>
      <c r="X7686" s="1" t="s">
        <v>18</v>
      </c>
    </row>
    <row r="7687" spans="1:24" x14ac:dyDescent="0.25">
      <c r="A7687" s="1" t="str">
        <f t="shared" si="2235"/>
        <v>卡卡杜-凤凰仓</v>
      </c>
      <c r="B7687" s="1" t="str">
        <f>"CK2024101230"</f>
        <v>CK2024101230</v>
      </c>
      <c r="C7687" s="1" t="str">
        <f>"DD2024101211949"</f>
        <v>DD2024101211949</v>
      </c>
      <c r="D7687" s="1" t="str">
        <f>"CK2024101219094"</f>
        <v>CK2024101219094</v>
      </c>
      <c r="E7687" s="1" t="str">
        <f>"6934906081979078198"</f>
        <v>6934906081979078198</v>
      </c>
      <c r="F7687" s="1" t="str">
        <f t="shared" si="2236"/>
        <v>花都四部-凤凰仓</v>
      </c>
      <c r="G7687" s="1" t="str">
        <f t="shared" si="2229"/>
        <v>卡卡杜个人护理店（抖店）</v>
      </c>
      <c r="H7687" s="1" t="str">
        <f t="shared" si="2237"/>
        <v>正常订单</v>
      </c>
      <c r="I7687" s="1" t="str">
        <f t="shared" si="2238"/>
        <v>已发货</v>
      </c>
      <c r="J7687" s="1" t="str">
        <f t="shared" ref="J7687:J7700" si="2239">"3"</f>
        <v>3</v>
      </c>
      <c r="K7687" s="1">
        <v>3</v>
      </c>
      <c r="L7687" s="1" t="s">
        <v>22</v>
      </c>
      <c r="M7687" s="1" t="str">
        <f>"江西省 赣州市 章贡区 水南街道"</f>
        <v>江西省 赣州市 章贡区 水南街道</v>
      </c>
      <c r="N7687" s="1" t="str">
        <f t="shared" si="2230"/>
        <v>凡华云仓-韵达-抖音</v>
      </c>
      <c r="O7687" s="5">
        <v>320167836612958</v>
      </c>
      <c r="P7687" s="6">
        <v>0.34</v>
      </c>
      <c r="Q7687" s="11">
        <v>2.2999999999999998</v>
      </c>
      <c r="R7687" s="11"/>
      <c r="S7687" s="11"/>
      <c r="T7687" s="11"/>
      <c r="U7687" s="11">
        <f t="shared" si="2234"/>
        <v>2.2999999999999998</v>
      </c>
      <c r="W7687">
        <v>2.5</v>
      </c>
      <c r="X7687" s="1" t="s">
        <v>22</v>
      </c>
    </row>
    <row r="7688" spans="1:24" x14ac:dyDescent="0.25">
      <c r="A7688" s="1" t="str">
        <f t="shared" si="2235"/>
        <v>卡卡杜-凤凰仓</v>
      </c>
      <c r="B7688" s="1" t="str">
        <f>"CK2024101260"</f>
        <v>CK2024101260</v>
      </c>
      <c r="C7688" s="1" t="str">
        <f>"DD2024101211985"</f>
        <v>DD2024101211985</v>
      </c>
      <c r="D7688" s="1" t="str">
        <f>"CK2024101219093"</f>
        <v>CK2024101219093</v>
      </c>
      <c r="E7688" s="1" t="str">
        <f>"6934903676097926797"</f>
        <v>6934903676097926797</v>
      </c>
      <c r="F7688" s="1" t="str">
        <f t="shared" si="2236"/>
        <v>花都四部-凤凰仓</v>
      </c>
      <c r="G7688" s="1" t="str">
        <f t="shared" si="2229"/>
        <v>卡卡杜个人护理店（抖店）</v>
      </c>
      <c r="H7688" s="1" t="str">
        <f t="shared" si="2237"/>
        <v>正常订单</v>
      </c>
      <c r="I7688" s="1" t="str">
        <f t="shared" si="2238"/>
        <v>已发货</v>
      </c>
      <c r="J7688" s="1" t="str">
        <f t="shared" si="2239"/>
        <v>3</v>
      </c>
      <c r="K7688" s="1">
        <v>2</v>
      </c>
      <c r="L7688" s="1" t="s">
        <v>18</v>
      </c>
      <c r="M7688" s="1" t="str">
        <f>"广东省 广州市 海珠区 瑞宝街道"</f>
        <v>广东省 广州市 海珠区 瑞宝街道</v>
      </c>
      <c r="N7688" s="1" t="str">
        <f t="shared" si="2230"/>
        <v>凡华云仓-韵达-抖音</v>
      </c>
      <c r="O7688" s="5">
        <v>320167836612853</v>
      </c>
      <c r="P7688" s="6">
        <v>0.35</v>
      </c>
      <c r="Q7688" s="11">
        <v>2.2999999999999998</v>
      </c>
      <c r="R7688" s="11"/>
      <c r="S7688" s="11"/>
      <c r="T7688" s="11"/>
      <c r="U7688" s="11">
        <f t="shared" si="2234"/>
        <v>2.2999999999999998</v>
      </c>
      <c r="W7688">
        <v>2.5</v>
      </c>
      <c r="X7688" s="1" t="s">
        <v>18</v>
      </c>
    </row>
    <row r="7689" spans="1:24" x14ac:dyDescent="0.25">
      <c r="A7689" s="1" t="str">
        <f t="shared" si="2235"/>
        <v>卡卡杜-凤凰仓</v>
      </c>
      <c r="B7689" s="1" t="str">
        <f>"CK2024101232"</f>
        <v>CK2024101232</v>
      </c>
      <c r="C7689" s="1" t="str">
        <f>"DD2024101211955"</f>
        <v>DD2024101211955</v>
      </c>
      <c r="D7689" s="1" t="str">
        <f>"CK2024101219092"</f>
        <v>CK2024101219092</v>
      </c>
      <c r="E7689" s="1" t="str">
        <f>"6934899043438367875"</f>
        <v>6934899043438367875</v>
      </c>
      <c r="F7689" s="1" t="str">
        <f t="shared" si="2236"/>
        <v>花都四部-凤凰仓</v>
      </c>
      <c r="G7689" s="1" t="str">
        <f t="shared" si="2229"/>
        <v>卡卡杜个人护理店（抖店）</v>
      </c>
      <c r="H7689" s="1" t="str">
        <f t="shared" si="2237"/>
        <v>正常订单</v>
      </c>
      <c r="I7689" s="1" t="str">
        <f t="shared" si="2238"/>
        <v>已发货</v>
      </c>
      <c r="J7689" s="1" t="str">
        <f t="shared" si="2239"/>
        <v>3</v>
      </c>
      <c r="K7689" s="1">
        <v>3</v>
      </c>
      <c r="L7689" s="1" t="s">
        <v>20</v>
      </c>
      <c r="M7689" s="1" t="str">
        <f>"浙江省 温州市 鹿城区 "</f>
        <v xml:space="preserve">浙江省 温州市 鹿城区 </v>
      </c>
      <c r="N7689" s="1" t="str">
        <f t="shared" si="2230"/>
        <v>凡华云仓-韵达-抖音</v>
      </c>
      <c r="O7689" s="5">
        <v>320167629943951</v>
      </c>
      <c r="P7689" s="6">
        <v>0.34</v>
      </c>
      <c r="Q7689" s="11">
        <v>2.2999999999999998</v>
      </c>
      <c r="R7689" s="11"/>
      <c r="S7689" s="11"/>
      <c r="T7689" s="11"/>
      <c r="U7689" s="11">
        <f t="shared" si="2234"/>
        <v>2.2999999999999998</v>
      </c>
      <c r="W7689">
        <v>2.5</v>
      </c>
      <c r="X7689" s="1" t="s">
        <v>20</v>
      </c>
    </row>
    <row r="7690" spans="1:24" x14ac:dyDescent="0.25">
      <c r="A7690" s="1" t="str">
        <f t="shared" si="2235"/>
        <v>卡卡杜-凤凰仓</v>
      </c>
      <c r="B7690" s="1" t="str">
        <f>"CK2024101233"</f>
        <v>CK2024101233</v>
      </c>
      <c r="C7690" s="1" t="str">
        <f>"DD2024101211956"</f>
        <v>DD2024101211956</v>
      </c>
      <c r="D7690" s="1" t="str">
        <f>"CK2024101219091"</f>
        <v>CK2024101219091</v>
      </c>
      <c r="E7690" s="1" t="str">
        <f>"6934905810996761834"</f>
        <v>6934905810996761834</v>
      </c>
      <c r="F7690" s="1" t="str">
        <f t="shared" si="2236"/>
        <v>花都四部-凤凰仓</v>
      </c>
      <c r="G7690" s="1" t="str">
        <f t="shared" si="2229"/>
        <v>卡卡杜个人护理店（抖店）</v>
      </c>
      <c r="H7690" s="1" t="str">
        <f t="shared" si="2237"/>
        <v>正常订单</v>
      </c>
      <c r="I7690" s="1" t="str">
        <f t="shared" si="2238"/>
        <v>已发货</v>
      </c>
      <c r="J7690" s="1" t="str">
        <f t="shared" si="2239"/>
        <v>3</v>
      </c>
      <c r="K7690" s="1">
        <v>3</v>
      </c>
      <c r="L7690" s="1" t="s">
        <v>60</v>
      </c>
      <c r="M7690" s="1" t="str">
        <f>"云南省 昆明市 西山区 福海街道"</f>
        <v>云南省 昆明市 西山区 福海街道</v>
      </c>
      <c r="N7690" s="1" t="str">
        <f t="shared" si="2230"/>
        <v>凡华云仓-韵达-抖音</v>
      </c>
      <c r="O7690" s="5">
        <v>320167629943846</v>
      </c>
      <c r="P7690" s="6">
        <v>0.34</v>
      </c>
      <c r="Q7690" s="11">
        <v>2.2999999999999998</v>
      </c>
      <c r="R7690" s="11"/>
      <c r="S7690" s="11"/>
      <c r="T7690" s="11"/>
      <c r="U7690" s="11">
        <f t="shared" si="2234"/>
        <v>2.2999999999999998</v>
      </c>
      <c r="W7690">
        <v>2.5</v>
      </c>
      <c r="X7690" s="1" t="s">
        <v>60</v>
      </c>
    </row>
    <row r="7691" spans="1:24" x14ac:dyDescent="0.25">
      <c r="A7691" s="1" t="str">
        <f t="shared" si="2235"/>
        <v>卡卡杜-凤凰仓</v>
      </c>
      <c r="B7691" s="1" t="str">
        <f>"CK2024101234"</f>
        <v>CK2024101234</v>
      </c>
      <c r="C7691" s="1" t="str">
        <f>"DD2024101211959"</f>
        <v>DD2024101211959</v>
      </c>
      <c r="D7691" s="1" t="str">
        <f>"CK2024101219090"</f>
        <v>CK2024101219090</v>
      </c>
      <c r="E7691" s="1" t="str">
        <f>"6934898940984235393"</f>
        <v>6934898940984235393</v>
      </c>
      <c r="F7691" s="1" t="str">
        <f t="shared" si="2236"/>
        <v>花都四部-凤凰仓</v>
      </c>
      <c r="G7691" s="1" t="str">
        <f t="shared" si="2229"/>
        <v>卡卡杜个人护理店（抖店）</v>
      </c>
      <c r="H7691" s="1" t="str">
        <f t="shared" si="2237"/>
        <v>正常订单</v>
      </c>
      <c r="I7691" s="1" t="str">
        <f t="shared" si="2238"/>
        <v>已发货</v>
      </c>
      <c r="J7691" s="1" t="str">
        <f t="shared" si="2239"/>
        <v>3</v>
      </c>
      <c r="K7691" s="1">
        <v>3</v>
      </c>
      <c r="L7691" s="1" t="s">
        <v>161</v>
      </c>
      <c r="M7691" s="1" t="str">
        <f>"四川省 成都市 锦江区 交子街道"</f>
        <v>四川省 成都市 锦江区 交子街道</v>
      </c>
      <c r="N7691" s="1" t="str">
        <f t="shared" si="2230"/>
        <v>凡华云仓-韵达-抖音</v>
      </c>
      <c r="O7691" s="5">
        <v>320167629943743</v>
      </c>
      <c r="P7691" s="6">
        <v>0.34</v>
      </c>
      <c r="Q7691" s="11">
        <v>2.2999999999999998</v>
      </c>
      <c r="R7691" s="11"/>
      <c r="S7691" s="11"/>
      <c r="T7691" s="11"/>
      <c r="U7691" s="11">
        <f t="shared" si="2234"/>
        <v>2.2999999999999998</v>
      </c>
      <c r="W7691">
        <v>2.5</v>
      </c>
      <c r="X7691" s="1" t="s">
        <v>161</v>
      </c>
    </row>
    <row r="7692" spans="1:24" x14ac:dyDescent="0.25">
      <c r="A7692" s="1" t="str">
        <f t="shared" si="2235"/>
        <v>卡卡杜-凤凰仓</v>
      </c>
      <c r="B7692" s="1" t="str">
        <f>"CK2024101235"</f>
        <v>CK2024101235</v>
      </c>
      <c r="C7692" s="1" t="str">
        <f>"DD2024101211960"</f>
        <v>DD2024101211960</v>
      </c>
      <c r="D7692" s="1" t="str">
        <f>"CK2024101219089"</f>
        <v>CK2024101219089</v>
      </c>
      <c r="E7692" s="1" t="str">
        <f>"6934888136400639426"</f>
        <v>6934888136400639426</v>
      </c>
      <c r="F7692" s="1" t="str">
        <f t="shared" si="2236"/>
        <v>花都四部-凤凰仓</v>
      </c>
      <c r="G7692" s="1" t="str">
        <f t="shared" si="2229"/>
        <v>卡卡杜个人护理店（抖店）</v>
      </c>
      <c r="H7692" s="1" t="str">
        <f t="shared" si="2237"/>
        <v>正常订单</v>
      </c>
      <c r="I7692" s="1" t="str">
        <f t="shared" si="2238"/>
        <v>已发货</v>
      </c>
      <c r="J7692" s="1" t="str">
        <f t="shared" si="2239"/>
        <v>3</v>
      </c>
      <c r="K7692" s="1">
        <v>3</v>
      </c>
      <c r="L7692" s="1" t="s">
        <v>20</v>
      </c>
      <c r="M7692" s="1" t="str">
        <f>"浙江省 宁波市 象山县 西周镇"</f>
        <v>浙江省 宁波市 象山县 西周镇</v>
      </c>
      <c r="N7692" s="1" t="str">
        <f t="shared" si="2230"/>
        <v>凡华云仓-韵达-抖音</v>
      </c>
      <c r="O7692" s="5">
        <v>320167629943642</v>
      </c>
      <c r="P7692" s="6">
        <v>0.34</v>
      </c>
      <c r="Q7692" s="11">
        <v>2.2999999999999998</v>
      </c>
      <c r="R7692" s="11"/>
      <c r="S7692" s="11"/>
      <c r="T7692" s="11"/>
      <c r="U7692" s="11">
        <f t="shared" si="2234"/>
        <v>2.2999999999999998</v>
      </c>
      <c r="W7692">
        <v>2.5</v>
      </c>
      <c r="X7692" s="1" t="s">
        <v>20</v>
      </c>
    </row>
    <row r="7693" spans="1:24" x14ac:dyDescent="0.25">
      <c r="A7693" s="1" t="str">
        <f t="shared" si="2235"/>
        <v>卡卡杜-凤凰仓</v>
      </c>
      <c r="B7693" s="1" t="str">
        <f>"CK2024101237"</f>
        <v>CK2024101237</v>
      </c>
      <c r="C7693" s="1" t="str">
        <f>"DD2024101211962"</f>
        <v>DD2024101211962</v>
      </c>
      <c r="D7693" s="1" t="str">
        <f>"CK2024101219088"</f>
        <v>CK2024101219088</v>
      </c>
      <c r="E7693" s="1" t="str">
        <f>"6934885779802297746"</f>
        <v>6934885779802297746</v>
      </c>
      <c r="F7693" s="1" t="str">
        <f t="shared" si="2236"/>
        <v>花都四部-凤凰仓</v>
      </c>
      <c r="G7693" s="1" t="str">
        <f t="shared" si="2229"/>
        <v>卡卡杜个人护理店（抖店）</v>
      </c>
      <c r="H7693" s="1" t="str">
        <f t="shared" si="2237"/>
        <v>正常订单</v>
      </c>
      <c r="I7693" s="1" t="str">
        <f t="shared" si="2238"/>
        <v>已发货</v>
      </c>
      <c r="J7693" s="1" t="str">
        <f t="shared" si="2239"/>
        <v>3</v>
      </c>
      <c r="K7693" s="1">
        <v>3</v>
      </c>
      <c r="L7693" s="1" t="s">
        <v>36</v>
      </c>
      <c r="M7693" s="1" t="str">
        <f>"安徽省 合肥市 蜀山区 井岗镇"</f>
        <v>安徽省 合肥市 蜀山区 井岗镇</v>
      </c>
      <c r="N7693" s="1" t="str">
        <f t="shared" si="2230"/>
        <v>凡华云仓-韵达-抖音</v>
      </c>
      <c r="O7693" s="5">
        <v>320167651043195</v>
      </c>
      <c r="P7693" s="6">
        <v>0.34</v>
      </c>
      <c r="Q7693" s="11">
        <v>2.2999999999999998</v>
      </c>
      <c r="R7693" s="11"/>
      <c r="S7693" s="11"/>
      <c r="T7693" s="11"/>
      <c r="U7693" s="11">
        <f t="shared" si="2234"/>
        <v>2.2999999999999998</v>
      </c>
      <c r="W7693">
        <v>2.5</v>
      </c>
      <c r="X7693" s="1" t="s">
        <v>36</v>
      </c>
    </row>
    <row r="7694" spans="1:24" x14ac:dyDescent="0.25">
      <c r="A7694" s="1" t="str">
        <f t="shared" si="2235"/>
        <v>卡卡杜-凤凰仓</v>
      </c>
      <c r="B7694" s="1" t="str">
        <f>"CK2024101261"</f>
        <v>CK2024101261</v>
      </c>
      <c r="C7694" s="1" t="str">
        <f>"DD2024101211986"</f>
        <v>DD2024101211986</v>
      </c>
      <c r="D7694" s="1" t="str">
        <f>"CK2024101219087"</f>
        <v>CK2024101219087</v>
      </c>
      <c r="E7694" s="1" t="str">
        <f>"6934901396513756483"</f>
        <v>6934901396513756483</v>
      </c>
      <c r="F7694" s="1" t="str">
        <f t="shared" si="2236"/>
        <v>花都四部-凤凰仓</v>
      </c>
      <c r="G7694" s="1" t="str">
        <f t="shared" si="2229"/>
        <v>卡卡杜个人护理店（抖店）</v>
      </c>
      <c r="H7694" s="1" t="str">
        <f t="shared" si="2237"/>
        <v>正常订单</v>
      </c>
      <c r="I7694" s="1" t="str">
        <f t="shared" si="2238"/>
        <v>已发货</v>
      </c>
      <c r="J7694" s="1" t="str">
        <f t="shared" si="2239"/>
        <v>3</v>
      </c>
      <c r="K7694" s="1">
        <v>2</v>
      </c>
      <c r="L7694" s="1" t="s">
        <v>32</v>
      </c>
      <c r="M7694" s="1" t="str">
        <f>"陕西省 榆林市 神木市 神木镇"</f>
        <v>陕西省 榆林市 神木市 神木镇</v>
      </c>
      <c r="N7694" s="1" t="str">
        <f t="shared" si="2230"/>
        <v>凡华云仓-韵达-抖音</v>
      </c>
      <c r="O7694" s="5">
        <v>320167651043006</v>
      </c>
      <c r="P7694" s="6">
        <v>0.35</v>
      </c>
      <c r="Q7694" s="11">
        <v>2.2999999999999998</v>
      </c>
      <c r="R7694" s="11"/>
      <c r="S7694" s="11"/>
      <c r="T7694" s="11"/>
      <c r="U7694" s="11">
        <f t="shared" si="2234"/>
        <v>2.2999999999999998</v>
      </c>
      <c r="W7694">
        <v>2.5</v>
      </c>
      <c r="X7694" s="1" t="s">
        <v>32</v>
      </c>
    </row>
    <row r="7695" spans="1:24" x14ac:dyDescent="0.25">
      <c r="A7695" s="1" t="str">
        <f t="shared" si="2235"/>
        <v>卡卡杜-凤凰仓</v>
      </c>
      <c r="B7695" s="1" t="str">
        <f>"CK2024101262"</f>
        <v>CK2024101262</v>
      </c>
      <c r="C7695" s="1" t="str">
        <f>"DD2024101211987"</f>
        <v>DD2024101211987</v>
      </c>
      <c r="D7695" s="1" t="str">
        <f>"CK2024101219086"</f>
        <v>CK2024101219086</v>
      </c>
      <c r="E7695" s="1" t="str">
        <f>"6934879170391905807"</f>
        <v>6934879170391905807</v>
      </c>
      <c r="F7695" s="1" t="str">
        <f t="shared" si="2236"/>
        <v>花都四部-凤凰仓</v>
      </c>
      <c r="G7695" s="1" t="str">
        <f t="shared" si="2229"/>
        <v>卡卡杜个人护理店（抖店）</v>
      </c>
      <c r="H7695" s="1" t="str">
        <f t="shared" si="2237"/>
        <v>正常订单</v>
      </c>
      <c r="I7695" s="1" t="str">
        <f t="shared" si="2238"/>
        <v>已发货</v>
      </c>
      <c r="J7695" s="1" t="str">
        <f t="shared" si="2239"/>
        <v>3</v>
      </c>
      <c r="K7695" s="1">
        <v>2</v>
      </c>
      <c r="L7695" s="1" t="s">
        <v>20</v>
      </c>
      <c r="M7695" s="1" t="str">
        <f>"浙江省 宁波市 慈溪市 长河镇"</f>
        <v>浙江省 宁波市 慈溪市 长河镇</v>
      </c>
      <c r="N7695" s="1" t="str">
        <f t="shared" si="2230"/>
        <v>凡华云仓-韵达-抖音</v>
      </c>
      <c r="O7695" s="5">
        <v>320167651042986</v>
      </c>
      <c r="P7695" s="6">
        <v>0.35</v>
      </c>
      <c r="Q7695" s="11">
        <v>2.2999999999999998</v>
      </c>
      <c r="R7695" s="11"/>
      <c r="S7695" s="11"/>
      <c r="T7695" s="11"/>
      <c r="U7695" s="11">
        <f t="shared" si="2234"/>
        <v>2.2999999999999998</v>
      </c>
      <c r="W7695">
        <v>2.5</v>
      </c>
      <c r="X7695" s="1" t="s">
        <v>20</v>
      </c>
    </row>
    <row r="7696" spans="1:24" x14ac:dyDescent="0.25">
      <c r="A7696" s="1" t="str">
        <f t="shared" si="2235"/>
        <v>卡卡杜-凤凰仓</v>
      </c>
      <c r="B7696" s="1" t="str">
        <f>"CK2024101239"</f>
        <v>CK2024101239</v>
      </c>
      <c r="C7696" s="1" t="str">
        <f>"DD2024101211964"</f>
        <v>DD2024101211964</v>
      </c>
      <c r="D7696" s="1" t="str">
        <f>"CK2024101219085"</f>
        <v>CK2024101219085</v>
      </c>
      <c r="E7696" s="1" t="str">
        <f>"6934887868869711014"</f>
        <v>6934887868869711014</v>
      </c>
      <c r="F7696" s="1" t="str">
        <f t="shared" si="2236"/>
        <v>花都四部-凤凰仓</v>
      </c>
      <c r="G7696" s="1" t="str">
        <f t="shared" si="2229"/>
        <v>卡卡杜个人护理店（抖店）</v>
      </c>
      <c r="H7696" s="1" t="str">
        <f t="shared" si="2237"/>
        <v>正常订单</v>
      </c>
      <c r="I7696" s="1" t="str">
        <f t="shared" si="2238"/>
        <v>已发货</v>
      </c>
      <c r="J7696" s="1" t="str">
        <f t="shared" si="2239"/>
        <v>3</v>
      </c>
      <c r="K7696" s="1">
        <v>3</v>
      </c>
      <c r="L7696" s="1" t="s">
        <v>13</v>
      </c>
      <c r="M7696" s="1" t="str">
        <f>"江苏省 苏州市 昆山市 花桥镇"</f>
        <v>江苏省 苏州市 昆山市 花桥镇</v>
      </c>
      <c r="N7696" s="1" t="str">
        <f t="shared" si="2230"/>
        <v>凡华云仓-韵达-抖音</v>
      </c>
      <c r="O7696" s="5">
        <v>320167651042881</v>
      </c>
      <c r="P7696" s="6">
        <v>0.34</v>
      </c>
      <c r="Q7696" s="11">
        <v>2.2999999999999998</v>
      </c>
      <c r="R7696" s="11"/>
      <c r="S7696" s="11"/>
      <c r="T7696" s="11"/>
      <c r="U7696" s="11">
        <f t="shared" si="2234"/>
        <v>2.2999999999999998</v>
      </c>
      <c r="W7696">
        <v>2.5</v>
      </c>
      <c r="X7696" s="1" t="s">
        <v>13</v>
      </c>
    </row>
    <row r="7697" spans="1:24" x14ac:dyDescent="0.25">
      <c r="A7697" s="1" t="str">
        <f t="shared" si="2235"/>
        <v>卡卡杜-凤凰仓</v>
      </c>
      <c r="B7697" s="1" t="str">
        <f>"CK2024101263"</f>
        <v>CK2024101263</v>
      </c>
      <c r="C7697" s="1" t="str">
        <f>"DD2024101211988"</f>
        <v>DD2024101211988</v>
      </c>
      <c r="D7697" s="1" t="str">
        <f>"CK2024101219084"</f>
        <v>CK2024101219084</v>
      </c>
      <c r="E7697" s="1" t="str">
        <f>"6934901114824168880"</f>
        <v>6934901114824168880</v>
      </c>
      <c r="F7697" s="1" t="str">
        <f t="shared" si="2236"/>
        <v>花都四部-凤凰仓</v>
      </c>
      <c r="G7697" s="1" t="str">
        <f t="shared" si="2229"/>
        <v>卡卡杜个人护理店（抖店）</v>
      </c>
      <c r="H7697" s="1" t="str">
        <f t="shared" si="2237"/>
        <v>正常订单</v>
      </c>
      <c r="I7697" s="1" t="str">
        <f t="shared" si="2238"/>
        <v>已发货</v>
      </c>
      <c r="J7697" s="1" t="str">
        <f t="shared" si="2239"/>
        <v>3</v>
      </c>
      <c r="K7697" s="1">
        <v>2</v>
      </c>
      <c r="L7697" s="1" t="s">
        <v>20</v>
      </c>
      <c r="M7697" s="1" t="str">
        <f>"浙江省 金华市 金东区 孝顺镇"</f>
        <v>浙江省 金华市 金东区 孝顺镇</v>
      </c>
      <c r="N7697" s="1" t="str">
        <f t="shared" si="2230"/>
        <v>凡华云仓-韵达-抖音</v>
      </c>
      <c r="O7697" s="5">
        <v>320167651042778</v>
      </c>
      <c r="P7697" s="6">
        <v>0.35</v>
      </c>
      <c r="Q7697" s="11">
        <v>2.2999999999999998</v>
      </c>
      <c r="R7697" s="11"/>
      <c r="S7697" s="11"/>
      <c r="T7697" s="11"/>
      <c r="U7697" s="11">
        <f t="shared" si="2234"/>
        <v>2.2999999999999998</v>
      </c>
      <c r="W7697">
        <v>2.5</v>
      </c>
      <c r="X7697" s="1" t="s">
        <v>20</v>
      </c>
    </row>
    <row r="7698" spans="1:24" x14ac:dyDescent="0.25">
      <c r="A7698" s="1" t="str">
        <f t="shared" si="2235"/>
        <v>卡卡杜-凤凰仓</v>
      </c>
      <c r="B7698" s="1" t="str">
        <f>"CK2024101240"</f>
        <v>CK2024101240</v>
      </c>
      <c r="C7698" s="1" t="str">
        <f>"DD2024101211965"</f>
        <v>DD2024101211965</v>
      </c>
      <c r="D7698" s="1" t="str">
        <f>"CK2024101219083"</f>
        <v>CK2024101219083</v>
      </c>
      <c r="E7698" s="1" t="str">
        <f>"6934881529061840457"</f>
        <v>6934881529061840457</v>
      </c>
      <c r="F7698" s="1" t="str">
        <f t="shared" si="2236"/>
        <v>花都四部-凤凰仓</v>
      </c>
      <c r="G7698" s="1" t="str">
        <f t="shared" si="2229"/>
        <v>卡卡杜个人护理店（抖店）</v>
      </c>
      <c r="H7698" s="1" t="str">
        <f t="shared" si="2237"/>
        <v>正常订单</v>
      </c>
      <c r="I7698" s="1" t="str">
        <f t="shared" si="2238"/>
        <v>已发货</v>
      </c>
      <c r="J7698" s="1" t="str">
        <f t="shared" si="2239"/>
        <v>3</v>
      </c>
      <c r="K7698" s="1">
        <v>3</v>
      </c>
      <c r="L7698" s="1" t="s">
        <v>54</v>
      </c>
      <c r="M7698" s="1" t="str">
        <f>"黑龙江省 哈尔滨市 道里区 工农街道"</f>
        <v>黑龙江省 哈尔滨市 道里区 工农街道</v>
      </c>
      <c r="N7698" s="1" t="str">
        <f t="shared" si="2230"/>
        <v>凡华云仓-韵达-抖音</v>
      </c>
      <c r="O7698" s="5">
        <v>320167651042677</v>
      </c>
      <c r="P7698" s="6">
        <v>0.34</v>
      </c>
      <c r="Q7698" s="11">
        <v>2.2999999999999998</v>
      </c>
      <c r="R7698" s="11"/>
      <c r="S7698" s="11"/>
      <c r="T7698" s="11"/>
      <c r="U7698" s="11">
        <f t="shared" si="2234"/>
        <v>2.2999999999999998</v>
      </c>
      <c r="W7698">
        <v>2.5</v>
      </c>
      <c r="X7698" s="1" t="s">
        <v>54</v>
      </c>
    </row>
    <row r="7699" spans="1:24" x14ac:dyDescent="0.25">
      <c r="A7699" s="1" t="str">
        <f t="shared" si="2235"/>
        <v>卡卡杜-凤凰仓</v>
      </c>
      <c r="B7699" s="1" t="str">
        <f>"CK2024101241"</f>
        <v>CK2024101241</v>
      </c>
      <c r="C7699" s="1" t="str">
        <f>"DD2024101211966"</f>
        <v>DD2024101211966</v>
      </c>
      <c r="D7699" s="1" t="str">
        <f>"CK2024101219082"</f>
        <v>CK2024101219082</v>
      </c>
      <c r="E7699" s="1" t="str">
        <f>"6934883625902151333"</f>
        <v>6934883625902151333</v>
      </c>
      <c r="F7699" s="1" t="str">
        <f t="shared" si="2236"/>
        <v>花都四部-凤凰仓</v>
      </c>
      <c r="G7699" s="1" t="str">
        <f t="shared" si="2229"/>
        <v>卡卡杜个人护理店（抖店）</v>
      </c>
      <c r="H7699" s="1" t="str">
        <f t="shared" si="2237"/>
        <v>正常订单</v>
      </c>
      <c r="I7699" s="1" t="str">
        <f t="shared" si="2238"/>
        <v>已发货</v>
      </c>
      <c r="J7699" s="1" t="str">
        <f t="shared" si="2239"/>
        <v>3</v>
      </c>
      <c r="K7699" s="1">
        <v>3</v>
      </c>
      <c r="L7699" s="1" t="s">
        <v>30</v>
      </c>
      <c r="M7699" s="1" t="str">
        <f>"山东省 烟台市 莱山区 滨海路街道"</f>
        <v>山东省 烟台市 莱山区 滨海路街道</v>
      </c>
      <c r="N7699" s="1" t="str">
        <f t="shared" si="2230"/>
        <v>凡华云仓-韵达-抖音</v>
      </c>
      <c r="O7699" s="5">
        <v>320167651042578</v>
      </c>
      <c r="P7699" s="6">
        <v>0.34</v>
      </c>
      <c r="Q7699" s="11">
        <v>2.2999999999999998</v>
      </c>
      <c r="R7699" s="11"/>
      <c r="S7699" s="11"/>
      <c r="T7699" s="11"/>
      <c r="U7699" s="11">
        <f t="shared" si="2234"/>
        <v>2.2999999999999998</v>
      </c>
      <c r="W7699">
        <v>2.5</v>
      </c>
      <c r="X7699" s="1" t="s">
        <v>30</v>
      </c>
    </row>
    <row r="7700" spans="1:24" x14ac:dyDescent="0.25">
      <c r="A7700" s="1" t="str">
        <f t="shared" si="2235"/>
        <v>卡卡杜-凤凰仓</v>
      </c>
      <c r="B7700" s="1" t="str">
        <f>"CK2024101242"</f>
        <v>CK2024101242</v>
      </c>
      <c r="C7700" s="1" t="str">
        <f>"DD2024101211967"</f>
        <v>DD2024101211967</v>
      </c>
      <c r="D7700" s="1" t="str">
        <f>"CK2024101219081"</f>
        <v>CK2024101219081</v>
      </c>
      <c r="E7700" s="1" t="str">
        <f>"6934887730877503365"</f>
        <v>6934887730877503365</v>
      </c>
      <c r="F7700" s="1" t="str">
        <f t="shared" si="2236"/>
        <v>花都四部-凤凰仓</v>
      </c>
      <c r="G7700" s="1" t="str">
        <f t="shared" si="2229"/>
        <v>卡卡杜个人护理店（抖店）</v>
      </c>
      <c r="H7700" s="1" t="str">
        <f t="shared" si="2237"/>
        <v>正常订单</v>
      </c>
      <c r="I7700" s="1" t="str">
        <f t="shared" si="2238"/>
        <v>已发货</v>
      </c>
      <c r="J7700" s="1" t="str">
        <f t="shared" si="2239"/>
        <v>3</v>
      </c>
      <c r="K7700" s="1">
        <v>3</v>
      </c>
      <c r="L7700" s="1" t="s">
        <v>74</v>
      </c>
      <c r="M7700" s="1" t="str">
        <f>"上海 上海市 长宁区 江苏路街道"</f>
        <v>上海 上海市 长宁区 江苏路街道</v>
      </c>
      <c r="N7700" s="1" t="str">
        <f t="shared" si="2230"/>
        <v>凡华云仓-韵达-抖音</v>
      </c>
      <c r="O7700" s="5">
        <v>320167651042481</v>
      </c>
      <c r="P7700" s="6">
        <v>0.34</v>
      </c>
      <c r="Q7700" s="11">
        <v>2.2999999999999998</v>
      </c>
      <c r="R7700" s="11"/>
      <c r="S7700" s="11"/>
      <c r="T7700" s="11"/>
      <c r="U7700" s="11">
        <f t="shared" si="2234"/>
        <v>2.2999999999999998</v>
      </c>
      <c r="W7700">
        <v>2.5</v>
      </c>
      <c r="X7700" s="1" t="s">
        <v>74</v>
      </c>
    </row>
    <row r="7701" spans="1:24" x14ac:dyDescent="0.25">
      <c r="A7701" s="1" t="str">
        <f t="shared" si="2235"/>
        <v>卡卡杜-凤凰仓</v>
      </c>
      <c r="B7701" s="1" t="str">
        <f>"CK2024101264"</f>
        <v>CK2024101264</v>
      </c>
      <c r="C7701" s="1" t="str">
        <f>"DD2024101211989"</f>
        <v>DD2024101211989</v>
      </c>
      <c r="D7701" s="1" t="str">
        <f>"CK2024101219080"</f>
        <v>CK2024101219080</v>
      </c>
      <c r="E7701" s="1" t="str">
        <f>"6934900912204486374"</f>
        <v>6934900912204486374</v>
      </c>
      <c r="F7701" s="1" t="str">
        <f t="shared" si="2236"/>
        <v>花都四部-凤凰仓</v>
      </c>
      <c r="G7701" s="1" t="str">
        <f t="shared" si="2229"/>
        <v>卡卡杜个人护理店（抖店）</v>
      </c>
      <c r="H7701" s="1" t="str">
        <f t="shared" si="2237"/>
        <v>正常订单</v>
      </c>
      <c r="I7701" s="1" t="str">
        <f t="shared" si="2238"/>
        <v>已发货</v>
      </c>
      <c r="J7701" s="1" t="str">
        <f>"5"</f>
        <v>5</v>
      </c>
      <c r="K7701" s="1">
        <v>2</v>
      </c>
      <c r="L7701" s="1" t="s">
        <v>16</v>
      </c>
      <c r="M7701" s="1" t="str">
        <f>"河北省 邯郸市 丛台区 联纺东街道"</f>
        <v>河北省 邯郸市 丛台区 联纺东街道</v>
      </c>
      <c r="N7701" s="1" t="str">
        <f t="shared" si="2230"/>
        <v>凡华云仓-韵达-抖音</v>
      </c>
      <c r="O7701" s="5">
        <v>320167651042386</v>
      </c>
      <c r="P7701" s="6">
        <v>0.59</v>
      </c>
      <c r="Q7701" s="11">
        <f>CEILING(P7701-0.5,0.1)*10*0.15+2.3</f>
        <v>2.4499999999999997</v>
      </c>
      <c r="R7701" s="11"/>
      <c r="S7701" s="11"/>
      <c r="T7701" s="11"/>
      <c r="U7701" s="11">
        <f t="shared" si="2234"/>
        <v>2.4499999999999997</v>
      </c>
      <c r="V7701" t="s">
        <v>15</v>
      </c>
      <c r="W7701">
        <v>2.4500000000000002</v>
      </c>
      <c r="X7701" s="1" t="s">
        <v>16</v>
      </c>
    </row>
    <row r="7702" spans="1:24" x14ac:dyDescent="0.25">
      <c r="A7702" s="1" t="str">
        <f t="shared" si="2235"/>
        <v>卡卡杜-凤凰仓</v>
      </c>
      <c r="B7702" s="1" t="str">
        <f>"CK2024101243"</f>
        <v>CK2024101243</v>
      </c>
      <c r="C7702" s="1" t="str">
        <f>"DD2024101211968"</f>
        <v>DD2024101211968</v>
      </c>
      <c r="D7702" s="1" t="str">
        <f>"CK2024101219079"</f>
        <v>CK2024101219079</v>
      </c>
      <c r="E7702" s="1" t="str">
        <f>"6934893918465169349"</f>
        <v>6934893918465169349</v>
      </c>
      <c r="F7702" s="1" t="str">
        <f t="shared" si="2236"/>
        <v>花都四部-凤凰仓</v>
      </c>
      <c r="G7702" s="1" t="str">
        <f t="shared" si="2229"/>
        <v>卡卡杜个人护理店（抖店）</v>
      </c>
      <c r="H7702" s="1" t="str">
        <f t="shared" si="2237"/>
        <v>正常订单</v>
      </c>
      <c r="I7702" s="1" t="str">
        <f t="shared" si="2238"/>
        <v>已发货</v>
      </c>
      <c r="J7702" s="1" t="str">
        <f t="shared" ref="J7702:J7707" si="2240">"3"</f>
        <v>3</v>
      </c>
      <c r="K7702" s="1">
        <v>3</v>
      </c>
      <c r="L7702" s="1" t="s">
        <v>74</v>
      </c>
      <c r="M7702" s="1" t="str">
        <f>"上海 上海市 松江区 永丰街道"</f>
        <v>上海 上海市 松江区 永丰街道</v>
      </c>
      <c r="N7702" s="1" t="str">
        <f t="shared" si="2230"/>
        <v>凡华云仓-韵达-抖音</v>
      </c>
      <c r="O7702" s="5">
        <v>320167651042293</v>
      </c>
      <c r="P7702" s="6">
        <v>0.34</v>
      </c>
      <c r="Q7702" s="11">
        <v>2.2999999999999998</v>
      </c>
      <c r="R7702" s="11"/>
      <c r="S7702" s="11"/>
      <c r="T7702" s="11"/>
      <c r="U7702" s="11">
        <f t="shared" si="2234"/>
        <v>2.2999999999999998</v>
      </c>
      <c r="W7702">
        <v>2.5</v>
      </c>
      <c r="X7702" s="1" t="s">
        <v>74</v>
      </c>
    </row>
    <row r="7703" spans="1:24" x14ac:dyDescent="0.25">
      <c r="A7703" s="1" t="str">
        <f t="shared" si="2235"/>
        <v>卡卡杜-凤凰仓</v>
      </c>
      <c r="B7703" s="1" t="str">
        <f>"CK2024101265"</f>
        <v>CK2024101265</v>
      </c>
      <c r="C7703" s="1" t="str">
        <f>"DD2024101211990"</f>
        <v>DD2024101211990</v>
      </c>
      <c r="D7703" s="1" t="str">
        <f>"CK2024101219078"</f>
        <v>CK2024101219078</v>
      </c>
      <c r="E7703" s="1" t="str">
        <f>"6934900894740846199"</f>
        <v>6934900894740846199</v>
      </c>
      <c r="F7703" s="1" t="str">
        <f t="shared" si="2236"/>
        <v>花都四部-凤凰仓</v>
      </c>
      <c r="G7703" s="1" t="str">
        <f t="shared" si="2229"/>
        <v>卡卡杜个人护理店（抖店）</v>
      </c>
      <c r="H7703" s="1" t="str">
        <f t="shared" si="2237"/>
        <v>正常订单</v>
      </c>
      <c r="I7703" s="1" t="str">
        <f t="shared" si="2238"/>
        <v>已发货</v>
      </c>
      <c r="J7703" s="1" t="str">
        <f t="shared" si="2240"/>
        <v>3</v>
      </c>
      <c r="K7703" s="1">
        <v>2</v>
      </c>
      <c r="L7703" s="1" t="s">
        <v>13</v>
      </c>
      <c r="M7703" s="1" t="str">
        <f>"江苏省 苏州市 昆山市 张浦镇"</f>
        <v>江苏省 苏州市 昆山市 张浦镇</v>
      </c>
      <c r="N7703" s="1" t="str">
        <f t="shared" si="2230"/>
        <v>凡华云仓-韵达-抖音</v>
      </c>
      <c r="O7703" s="5">
        <v>320167646183841</v>
      </c>
      <c r="P7703" s="6">
        <v>0.35</v>
      </c>
      <c r="Q7703" s="11">
        <v>2.2999999999999998</v>
      </c>
      <c r="R7703" s="11"/>
      <c r="S7703" s="11"/>
      <c r="T7703" s="11"/>
      <c r="U7703" s="11">
        <f t="shared" si="2234"/>
        <v>2.2999999999999998</v>
      </c>
      <c r="W7703">
        <v>2.5</v>
      </c>
      <c r="X7703" s="1" t="s">
        <v>13</v>
      </c>
    </row>
    <row r="7704" spans="1:24" x14ac:dyDescent="0.25">
      <c r="A7704" s="1" t="str">
        <f t="shared" si="2235"/>
        <v>卡卡杜-凤凰仓</v>
      </c>
      <c r="B7704" s="1" t="str">
        <f>"CK2024101244"</f>
        <v>CK2024101244</v>
      </c>
      <c r="C7704" s="1" t="str">
        <f>"DD2024101211969"</f>
        <v>DD2024101211969</v>
      </c>
      <c r="D7704" s="1" t="str">
        <f>"CK2024101219077"</f>
        <v>CK2024101219077</v>
      </c>
      <c r="E7704" s="1" t="str">
        <f>"6934900743218467895"</f>
        <v>6934900743218467895</v>
      </c>
      <c r="F7704" s="1" t="str">
        <f t="shared" si="2236"/>
        <v>花都四部-凤凰仓</v>
      </c>
      <c r="G7704" s="1" t="str">
        <f t="shared" si="2229"/>
        <v>卡卡杜个人护理店（抖店）</v>
      </c>
      <c r="H7704" s="1" t="str">
        <f t="shared" si="2237"/>
        <v>正常订单</v>
      </c>
      <c r="I7704" s="1" t="str">
        <f t="shared" si="2238"/>
        <v>已发货</v>
      </c>
      <c r="J7704" s="1" t="str">
        <f t="shared" si="2240"/>
        <v>3</v>
      </c>
      <c r="K7704" s="1">
        <v>3</v>
      </c>
      <c r="L7704" s="1" t="s">
        <v>74</v>
      </c>
      <c r="M7704" s="1" t="str">
        <f>"上海 上海市 普陀区 宜川路街道"</f>
        <v>上海 上海市 普陀区 宜川路街道</v>
      </c>
      <c r="N7704" s="1" t="str">
        <f t="shared" si="2230"/>
        <v>凡华云仓-韵达-抖音</v>
      </c>
      <c r="O7704" s="5">
        <v>320167646183738</v>
      </c>
      <c r="P7704" s="6">
        <v>0.34</v>
      </c>
      <c r="Q7704" s="11">
        <v>2.2999999999999998</v>
      </c>
      <c r="R7704" s="11"/>
      <c r="S7704" s="11"/>
      <c r="T7704" s="11"/>
      <c r="U7704" s="11">
        <f t="shared" si="2234"/>
        <v>2.2999999999999998</v>
      </c>
      <c r="W7704">
        <v>2.5</v>
      </c>
      <c r="X7704" s="1" t="s">
        <v>74</v>
      </c>
    </row>
    <row r="7705" spans="1:24" x14ac:dyDescent="0.25">
      <c r="A7705" s="1" t="str">
        <f t="shared" si="2235"/>
        <v>卡卡杜-凤凰仓</v>
      </c>
      <c r="B7705" s="1" t="str">
        <f>"CK2024101245"</f>
        <v>CK2024101245</v>
      </c>
      <c r="C7705" s="1" t="str">
        <f>"DD2024101211971"</f>
        <v>DD2024101211971</v>
      </c>
      <c r="D7705" s="1" t="str">
        <f>"CK2024101219076"</f>
        <v>CK2024101219076</v>
      </c>
      <c r="E7705" s="1" t="str">
        <f>"6934869646935070588"</f>
        <v>6934869646935070588</v>
      </c>
      <c r="F7705" s="1" t="str">
        <f t="shared" si="2236"/>
        <v>花都四部-凤凰仓</v>
      </c>
      <c r="G7705" s="1" t="str">
        <f t="shared" si="2229"/>
        <v>卡卡杜个人护理店（抖店）</v>
      </c>
      <c r="H7705" s="1" t="str">
        <f t="shared" si="2237"/>
        <v>正常订单</v>
      </c>
      <c r="I7705" s="1" t="str">
        <f t="shared" si="2238"/>
        <v>已发货</v>
      </c>
      <c r="J7705" s="1" t="str">
        <f t="shared" si="2240"/>
        <v>3</v>
      </c>
      <c r="K7705" s="1">
        <v>3</v>
      </c>
      <c r="L7705" s="1" t="s">
        <v>13</v>
      </c>
      <c r="M7705" s="1" t="str">
        <f>"江苏省 无锡市 宜兴市 丁蜀镇"</f>
        <v>江苏省 无锡市 宜兴市 丁蜀镇</v>
      </c>
      <c r="N7705" s="1" t="str">
        <f>"凡华云仓-竹料中通-抖音"</f>
        <v>凡华云仓-竹料中通-抖音</v>
      </c>
      <c r="O7705" s="5">
        <v>76430481293901</v>
      </c>
      <c r="P7705" s="6">
        <v>0.34</v>
      </c>
      <c r="Q7705" s="11">
        <v>2.6</v>
      </c>
      <c r="R7705" s="11"/>
      <c r="S7705" s="11"/>
      <c r="T7705" s="11"/>
      <c r="U7705" s="11">
        <f t="shared" si="2234"/>
        <v>2.6</v>
      </c>
      <c r="W7705">
        <v>2.6</v>
      </c>
      <c r="X7705" s="1" t="s">
        <v>13</v>
      </c>
    </row>
    <row r="7706" spans="1:24" x14ac:dyDescent="0.25">
      <c r="A7706" s="1" t="str">
        <f t="shared" si="2235"/>
        <v>卡卡杜-凤凰仓</v>
      </c>
      <c r="B7706" s="1" t="str">
        <f>"CK2024101236"</f>
        <v>CK2024101236</v>
      </c>
      <c r="C7706" s="1" t="str">
        <f>"DD2024101211961"</f>
        <v>DD2024101211961</v>
      </c>
      <c r="D7706" s="1" t="str">
        <f>"CK2024101219074"</f>
        <v>CK2024101219074</v>
      </c>
      <c r="E7706" s="1" t="str">
        <f>"2428502024347125"</f>
        <v>2428502024347125</v>
      </c>
      <c r="F7706" s="1" t="str">
        <f t="shared" si="2236"/>
        <v>花都四部-凤凰仓</v>
      </c>
      <c r="G7706" s="1" t="str">
        <f t="shared" ref="G7706:G7709" si="2241">"卡卡杜佳旺专卖店（快手店）"</f>
        <v>卡卡杜佳旺专卖店（快手店）</v>
      </c>
      <c r="H7706" s="1" t="str">
        <f t="shared" si="2237"/>
        <v>正常订单</v>
      </c>
      <c r="I7706" s="1" t="str">
        <f t="shared" si="2238"/>
        <v>已发货</v>
      </c>
      <c r="J7706" s="1" t="str">
        <f t="shared" si="2240"/>
        <v>3</v>
      </c>
      <c r="K7706" s="1">
        <v>3</v>
      </c>
      <c r="L7706" s="1" t="s">
        <v>54</v>
      </c>
      <c r="M7706" s="1" t="str">
        <f>"黑龙江省 绥化市 北林区 康庄街道"</f>
        <v>黑龙江省 绥化市 北林区 康庄街道</v>
      </c>
      <c r="N7706" s="1" t="str">
        <f t="shared" ref="N7706:N7709" si="2242">"凡华云仓-韵达-快手"</f>
        <v>凡华云仓-韵达-快手</v>
      </c>
      <c r="O7706" s="5">
        <v>319206239939468</v>
      </c>
      <c r="P7706" s="6">
        <v>0.34</v>
      </c>
      <c r="Q7706" s="11">
        <v>2.2999999999999998</v>
      </c>
      <c r="R7706" s="11"/>
      <c r="S7706" s="11"/>
      <c r="T7706" s="11"/>
      <c r="U7706" s="11">
        <f t="shared" si="2234"/>
        <v>2.2999999999999998</v>
      </c>
      <c r="W7706">
        <v>2.5</v>
      </c>
      <c r="X7706" s="1" t="s">
        <v>54</v>
      </c>
    </row>
    <row r="7707" spans="1:24" x14ac:dyDescent="0.25">
      <c r="A7707" s="1" t="str">
        <f t="shared" si="2235"/>
        <v>卡卡杜-凤凰仓</v>
      </c>
      <c r="B7707" s="1" t="str">
        <f>"CK2024101238"</f>
        <v>CK2024101238</v>
      </c>
      <c r="C7707" s="1" t="str">
        <f>"DD2024101211963"</f>
        <v>DD2024101211963</v>
      </c>
      <c r="D7707" s="1" t="str">
        <f>"CK2024101219073"</f>
        <v>CK2024101219073</v>
      </c>
      <c r="E7707" s="1" t="str">
        <f>"2428502191251240"</f>
        <v>2428502191251240</v>
      </c>
      <c r="F7707" s="1" t="str">
        <f t="shared" si="2236"/>
        <v>花都四部-凤凰仓</v>
      </c>
      <c r="G7707" s="1" t="str">
        <f t="shared" si="2241"/>
        <v>卡卡杜佳旺专卖店（快手店）</v>
      </c>
      <c r="H7707" s="1" t="str">
        <f t="shared" si="2237"/>
        <v>正常订单</v>
      </c>
      <c r="I7707" s="1" t="str">
        <f t="shared" si="2238"/>
        <v>已发货</v>
      </c>
      <c r="J7707" s="1" t="str">
        <f t="shared" si="2240"/>
        <v>3</v>
      </c>
      <c r="K7707" s="1">
        <v>3</v>
      </c>
      <c r="L7707" s="1" t="s">
        <v>16</v>
      </c>
      <c r="M7707" s="1" t="str">
        <f>"河北省 沧州市 运河区 小王庄镇"</f>
        <v>河北省 沧州市 运河区 小王庄镇</v>
      </c>
      <c r="N7707" s="1" t="str">
        <f t="shared" si="2242"/>
        <v>凡华云仓-韵达-快手</v>
      </c>
      <c r="O7707" s="5">
        <v>319206438017391</v>
      </c>
      <c r="P7707" s="6">
        <v>0.34</v>
      </c>
      <c r="Q7707" s="11">
        <v>2.2999999999999998</v>
      </c>
      <c r="R7707" s="11"/>
      <c r="S7707" s="11"/>
      <c r="T7707" s="11"/>
      <c r="U7707" s="11">
        <f t="shared" si="2234"/>
        <v>2.2999999999999998</v>
      </c>
      <c r="W7707">
        <v>2.5</v>
      </c>
      <c r="X7707" s="1" t="s">
        <v>16</v>
      </c>
    </row>
    <row r="7708" spans="1:24" x14ac:dyDescent="0.25">
      <c r="A7708" s="1" t="str">
        <f t="shared" si="2235"/>
        <v>卡卡杜-凤凰仓</v>
      </c>
      <c r="B7708" s="1" t="str">
        <f>"CK2024101274"</f>
        <v>CK2024101274</v>
      </c>
      <c r="C7708" s="1" t="str">
        <f>"DD2024101211996"</f>
        <v>DD2024101211996</v>
      </c>
      <c r="D7708" s="1" t="str">
        <f>"CK2024101219072"</f>
        <v>CK2024101219072</v>
      </c>
      <c r="E7708" s="1" t="str">
        <f>"2428402017736808"</f>
        <v>2428402017736808</v>
      </c>
      <c r="F7708" s="1" t="str">
        <f t="shared" si="2236"/>
        <v>花都四部-凤凰仓</v>
      </c>
      <c r="G7708" s="1" t="str">
        <f t="shared" si="2241"/>
        <v>卡卡杜佳旺专卖店（快手店）</v>
      </c>
      <c r="H7708" s="1" t="str">
        <f t="shared" si="2237"/>
        <v>正常订单</v>
      </c>
      <c r="I7708" s="1" t="str">
        <f t="shared" si="2238"/>
        <v>已发货</v>
      </c>
      <c r="J7708" s="1" t="str">
        <f t="shared" ref="J7708:J7713" si="2243">"5"</f>
        <v>5</v>
      </c>
      <c r="K7708" s="1">
        <v>3</v>
      </c>
      <c r="L7708" s="1" t="s">
        <v>44</v>
      </c>
      <c r="M7708" s="1" t="str">
        <f>"海南省 三亚市 天涯区 天涯区直辖村级区划"</f>
        <v>海南省 三亚市 天涯区 天涯区直辖村级区划</v>
      </c>
      <c r="N7708" s="1" t="str">
        <f t="shared" si="2242"/>
        <v>凡华云仓-韵达-快手</v>
      </c>
      <c r="O7708" s="5">
        <v>319206615743643</v>
      </c>
      <c r="P7708" s="6">
        <v>0.47</v>
      </c>
      <c r="Q7708" s="11">
        <v>2.2999999999999998</v>
      </c>
      <c r="R7708" s="11"/>
      <c r="S7708" s="11"/>
      <c r="T7708" s="11"/>
      <c r="U7708" s="11">
        <f t="shared" si="2234"/>
        <v>2.2999999999999998</v>
      </c>
      <c r="W7708">
        <v>2.5</v>
      </c>
      <c r="X7708" s="1" t="s">
        <v>44</v>
      </c>
    </row>
    <row r="7709" spans="1:24" x14ac:dyDescent="0.25">
      <c r="A7709" s="1" t="str">
        <f t="shared" si="2235"/>
        <v>卡卡杜-凤凰仓</v>
      </c>
      <c r="B7709" s="1" t="str">
        <f>"CK2024101275"</f>
        <v>CK2024101275</v>
      </c>
      <c r="C7709" s="1" t="str">
        <f>"DD2024101211995"</f>
        <v>DD2024101211995</v>
      </c>
      <c r="D7709" s="1" t="str">
        <f>"CK2024101219071"</f>
        <v>CK2024101219071</v>
      </c>
      <c r="E7709" s="1" t="str">
        <f>"2428401784856414"</f>
        <v>2428401784856414</v>
      </c>
      <c r="F7709" s="1" t="str">
        <f t="shared" si="2236"/>
        <v>花都四部-凤凰仓</v>
      </c>
      <c r="G7709" s="1" t="str">
        <f t="shared" si="2241"/>
        <v>卡卡杜佳旺专卖店（快手店）</v>
      </c>
      <c r="H7709" s="1" t="str">
        <f t="shared" si="2237"/>
        <v>正常订单</v>
      </c>
      <c r="I7709" s="1" t="str">
        <f t="shared" si="2238"/>
        <v>已发货</v>
      </c>
      <c r="J7709" s="1" t="str">
        <f t="shared" si="2243"/>
        <v>5</v>
      </c>
      <c r="K7709" s="1">
        <v>3</v>
      </c>
      <c r="L7709" s="1" t="s">
        <v>187</v>
      </c>
      <c r="M7709" s="1" t="str">
        <f>"吉林省 松原市 宁江区 石化街道"</f>
        <v>吉林省 松原市 宁江区 石化街道</v>
      </c>
      <c r="N7709" s="1" t="str">
        <f t="shared" si="2242"/>
        <v>凡华云仓-韵达-快手</v>
      </c>
      <c r="O7709" s="5">
        <v>319206438015486</v>
      </c>
      <c r="P7709" s="6">
        <v>0.47</v>
      </c>
      <c r="Q7709" s="11">
        <v>2.2999999999999998</v>
      </c>
      <c r="R7709" s="11"/>
      <c r="S7709" s="11"/>
      <c r="T7709" s="11"/>
      <c r="U7709" s="11">
        <f t="shared" si="2234"/>
        <v>2.2999999999999998</v>
      </c>
      <c r="W7709">
        <v>2.5</v>
      </c>
      <c r="X7709" s="1" t="s">
        <v>187</v>
      </c>
    </row>
    <row r="7710" spans="1:24" x14ac:dyDescent="0.25">
      <c r="A7710" s="1" t="str">
        <f t="shared" si="2235"/>
        <v>卡卡杜-凤凰仓</v>
      </c>
      <c r="B7710" s="1" t="str">
        <f>"CK2024101276"</f>
        <v>CK2024101276</v>
      </c>
      <c r="C7710" s="1" t="str">
        <f>"DD2024101212028"</f>
        <v>DD2024101212028</v>
      </c>
      <c r="D7710" s="1" t="str">
        <f>"CK2024101211306"</f>
        <v>CK2024101211306</v>
      </c>
      <c r="E7710" s="1" t="str">
        <f>"6917990836541488238"</f>
        <v>6917990836541488238</v>
      </c>
      <c r="F7710" s="1" t="str">
        <f t="shared" si="2236"/>
        <v>花都四部-凤凰仓</v>
      </c>
      <c r="G7710" s="1" t="str">
        <f>"卡卡杜个人护理店（抖店）"</f>
        <v>卡卡杜个人护理店（抖店）</v>
      </c>
      <c r="H7710" s="1" t="str">
        <f t="shared" si="2237"/>
        <v>正常订单</v>
      </c>
      <c r="I7710" s="1" t="str">
        <f t="shared" si="2238"/>
        <v>已发货</v>
      </c>
      <c r="J7710" s="1" t="str">
        <f>"1"</f>
        <v>1</v>
      </c>
      <c r="K7710" s="1">
        <v>1</v>
      </c>
      <c r="L7710" s="1" t="s">
        <v>24</v>
      </c>
      <c r="M7710" s="1" t="str">
        <f>"福建省 宁德市 蕉城区 "</f>
        <v xml:space="preserve">福建省 宁德市 蕉城区 </v>
      </c>
      <c r="N7710" s="1" t="str">
        <f t="shared" ref="N7710:N7726" si="2244">"凡华云仓-韵达-淘宝"</f>
        <v>凡华云仓-韵达-淘宝</v>
      </c>
      <c r="O7710" s="5">
        <v>434184103090104</v>
      </c>
      <c r="P7710" s="6">
        <v>0.12</v>
      </c>
      <c r="Q7710" s="11">
        <v>2</v>
      </c>
      <c r="R7710" s="11"/>
      <c r="S7710" s="11"/>
      <c r="T7710" s="11"/>
      <c r="U7710" s="11">
        <f t="shared" si="2234"/>
        <v>2</v>
      </c>
      <c r="W7710">
        <v>2.2000000000000002</v>
      </c>
      <c r="X7710" s="1" t="s">
        <v>24</v>
      </c>
    </row>
    <row r="7711" spans="1:24" x14ac:dyDescent="0.25">
      <c r="A7711" s="1" t="str">
        <f t="shared" si="2235"/>
        <v>卡卡杜-凤凰仓</v>
      </c>
      <c r="B7711" s="1" t="str">
        <f>"CK2024101116671"</f>
        <v>CK2024101116671</v>
      </c>
      <c r="C7711" s="1" t="str">
        <f>"DD2024101148444"</f>
        <v>DD2024101148444</v>
      </c>
      <c r="D7711" s="1" t="str">
        <f>"CK2024101151495"</f>
        <v>CK2024101151495</v>
      </c>
      <c r="E7711" s="1" t="str">
        <f>"KKD20241011QX001"</f>
        <v>KKD20241011QX001</v>
      </c>
      <c r="F7711" s="1" t="str">
        <f t="shared" si="2236"/>
        <v>花都四部-凤凰仓</v>
      </c>
      <c r="G7711" s="1" t="str">
        <f>"卡卡杜（全欣）"</f>
        <v>卡卡杜（全欣）</v>
      </c>
      <c r="H7711" s="1" t="str">
        <f t="shared" si="2237"/>
        <v>正常订单</v>
      </c>
      <c r="I7711" s="1" t="str">
        <f t="shared" si="2238"/>
        <v>已发货</v>
      </c>
      <c r="J7711" s="1" t="str">
        <f>"3"</f>
        <v>3</v>
      </c>
      <c r="K7711" s="1">
        <v>3</v>
      </c>
      <c r="L7711" s="1" t="s">
        <v>22</v>
      </c>
      <c r="M7711" s="1" t="str">
        <f>"江西省 南昌市 南昌县 "</f>
        <v xml:space="preserve">江西省 南昌市 南昌县 </v>
      </c>
      <c r="N7711" s="1" t="str">
        <f t="shared" si="2244"/>
        <v>凡华云仓-韵达-淘宝</v>
      </c>
      <c r="O7711" s="5">
        <v>434183159727709</v>
      </c>
      <c r="P7711" s="6">
        <v>0.34</v>
      </c>
      <c r="Q7711" s="11">
        <v>2.2999999999999998</v>
      </c>
      <c r="R7711" s="11"/>
      <c r="S7711" s="11"/>
      <c r="T7711" s="11"/>
      <c r="U7711" s="11">
        <f t="shared" si="2234"/>
        <v>2.2999999999999998</v>
      </c>
      <c r="W7711">
        <v>2.5</v>
      </c>
      <c r="X7711" s="1" t="s">
        <v>22</v>
      </c>
    </row>
    <row r="7712" spans="1:24" x14ac:dyDescent="0.25">
      <c r="A7712" s="1" t="str">
        <f t="shared" si="2235"/>
        <v>卡卡杜-凤凰仓</v>
      </c>
      <c r="B7712" s="1" t="str">
        <f>"CK2024100518311"</f>
        <v>CK2024100518311</v>
      </c>
      <c r="C7712" s="1" t="str">
        <f>"DD2024100549457"</f>
        <v>DD2024100549457</v>
      </c>
      <c r="D7712" s="1" t="str">
        <f>"CK2024100542733"</f>
        <v>CK2024100542733</v>
      </c>
      <c r="E7712" s="1" t="str">
        <f>"KKD20240105YP018"</f>
        <v>KKD20240105YP018</v>
      </c>
      <c r="F7712" s="1" t="str">
        <f t="shared" si="2236"/>
        <v>花都四部-凤凰仓</v>
      </c>
      <c r="G7712" s="1" t="str">
        <f>"卡卡杜全欣样品"</f>
        <v>卡卡杜全欣样品</v>
      </c>
      <c r="H7712" s="1" t="str">
        <f t="shared" si="2237"/>
        <v>正常订单</v>
      </c>
      <c r="I7712" s="1" t="str">
        <f t="shared" si="2238"/>
        <v>已发货</v>
      </c>
      <c r="J7712" s="1" t="str">
        <f>"7"</f>
        <v>7</v>
      </c>
      <c r="K7712" s="1">
        <v>5</v>
      </c>
      <c r="L7712" s="1" t="s">
        <v>24</v>
      </c>
      <c r="M7712" s="1" t="str">
        <f>"福建省 厦门市 海沧区 "</f>
        <v xml:space="preserve">福建省 厦门市 海沧区 </v>
      </c>
      <c r="N7712" s="1" t="str">
        <f t="shared" si="2244"/>
        <v>凡华云仓-韵达-淘宝</v>
      </c>
      <c r="O7712" s="3">
        <v>434170743648409</v>
      </c>
      <c r="P7712" s="6">
        <v>0.95</v>
      </c>
      <c r="Q7712" s="11">
        <f>CEILING(P7712-0.5,0.1)*10*0.15+2.3</f>
        <v>3.05</v>
      </c>
      <c r="R7712" s="11">
        <f>(K7712-3)*0.1</f>
        <v>0.2</v>
      </c>
      <c r="S7712" s="11">
        <v>0.15</v>
      </c>
      <c r="T7712" s="11"/>
      <c r="U7712" s="11">
        <f t="shared" si="2234"/>
        <v>3.4</v>
      </c>
      <c r="V7712" t="s">
        <v>15</v>
      </c>
      <c r="W7712">
        <v>3.4</v>
      </c>
      <c r="X7712" s="1" t="s">
        <v>24</v>
      </c>
    </row>
    <row r="7713" spans="1:24" x14ac:dyDescent="0.25">
      <c r="A7713" s="1" t="str">
        <f t="shared" si="2235"/>
        <v>卡卡杜-凤凰仓</v>
      </c>
      <c r="B7713" s="1" t="str">
        <f>"CK2024101116658"</f>
        <v>CK2024101116658</v>
      </c>
      <c r="C7713" s="1" t="str">
        <f>"DD2024101146399"</f>
        <v>DD2024101146399</v>
      </c>
      <c r="D7713" s="1" t="str">
        <f>"CK2024101151493"</f>
        <v>CK2024101151493</v>
      </c>
      <c r="E7713" s="1" t="str">
        <f>"KKD20241011YP011"</f>
        <v>KKD20241011YP011</v>
      </c>
      <c r="F7713" s="1" t="str">
        <f t="shared" si="2236"/>
        <v>花都四部-凤凰仓</v>
      </c>
      <c r="G7713" s="1" t="str">
        <f t="shared" ref="G7713:G7726" si="2245">"卡卡杜全欣样品"</f>
        <v>卡卡杜全欣样品</v>
      </c>
      <c r="H7713" s="1" t="str">
        <f t="shared" si="2237"/>
        <v>正常订单</v>
      </c>
      <c r="I7713" s="1" t="str">
        <f t="shared" si="2238"/>
        <v>已发货</v>
      </c>
      <c r="J7713" s="1" t="str">
        <f t="shared" si="2243"/>
        <v>5</v>
      </c>
      <c r="K7713" s="1">
        <v>4</v>
      </c>
      <c r="L7713" s="1" t="s">
        <v>13</v>
      </c>
      <c r="M7713" s="1" t="str">
        <f>"江苏省 无锡市 滨湖区 "</f>
        <v xml:space="preserve">江苏省 无锡市 滨湖区 </v>
      </c>
      <c r="N7713" s="1" t="str">
        <f t="shared" si="2244"/>
        <v>凡华云仓-韵达-淘宝</v>
      </c>
      <c r="O7713" s="3">
        <v>434183172013122</v>
      </c>
      <c r="P7713" s="6">
        <v>0.62</v>
      </c>
      <c r="Q7713" s="11">
        <f t="shared" ref="Q7713:Q7726" si="2246">CEILING(P7713-0.5,0.1)*10*0.15+2.3</f>
        <v>2.5999999999999996</v>
      </c>
      <c r="R7713" s="11"/>
      <c r="S7713" s="11">
        <v>0.15</v>
      </c>
      <c r="T7713" s="11"/>
      <c r="U7713" s="11">
        <f t="shared" si="2234"/>
        <v>2.7499999999999996</v>
      </c>
      <c r="V7713" t="s">
        <v>15</v>
      </c>
      <c r="W7713">
        <v>2.75</v>
      </c>
      <c r="X7713" s="1" t="s">
        <v>13</v>
      </c>
    </row>
    <row r="7714" spans="1:24" x14ac:dyDescent="0.25">
      <c r="A7714" s="1" t="str">
        <f t="shared" si="2235"/>
        <v>卡卡杜-凤凰仓</v>
      </c>
      <c r="B7714" s="1" t="str">
        <f>"CK2024100614369"</f>
        <v>CK2024100614369</v>
      </c>
      <c r="C7714" s="1" t="str">
        <f>"DD2024100647773"</f>
        <v>DD2024100647773</v>
      </c>
      <c r="D7714" s="1" t="str">
        <f>"CK2024100643880"</f>
        <v>CK2024100643880</v>
      </c>
      <c r="E7714" s="1" t="str">
        <f>"KKD20241006YP002"</f>
        <v>KKD20241006YP002</v>
      </c>
      <c r="F7714" s="1" t="str">
        <f t="shared" si="2236"/>
        <v>花都四部-凤凰仓</v>
      </c>
      <c r="G7714" s="1" t="str">
        <f t="shared" si="2245"/>
        <v>卡卡杜全欣样品</v>
      </c>
      <c r="H7714" s="1" t="str">
        <f t="shared" si="2237"/>
        <v>正常订单</v>
      </c>
      <c r="I7714" s="1" t="str">
        <f t="shared" si="2238"/>
        <v>已发货</v>
      </c>
      <c r="J7714" s="1" t="str">
        <f>"7"</f>
        <v>7</v>
      </c>
      <c r="K7714" s="1">
        <v>5</v>
      </c>
      <c r="L7714" s="1" t="s">
        <v>30</v>
      </c>
      <c r="M7714" s="1" t="str">
        <f>"山东省 烟台市 高新技术产业开发区 "</f>
        <v xml:space="preserve">山东省 烟台市 高新技术产业开发区 </v>
      </c>
      <c r="N7714" s="1" t="str">
        <f t="shared" si="2244"/>
        <v>凡华云仓-韵达-淘宝</v>
      </c>
      <c r="O7714" s="3">
        <v>434172772008170</v>
      </c>
      <c r="P7714" s="6">
        <v>0.95</v>
      </c>
      <c r="Q7714" s="11">
        <f t="shared" si="2246"/>
        <v>3.05</v>
      </c>
      <c r="R7714" s="11">
        <f>(K7714-3)*0.1</f>
        <v>0.2</v>
      </c>
      <c r="S7714" s="11">
        <v>0.15</v>
      </c>
      <c r="T7714" s="11"/>
      <c r="U7714" s="11">
        <f t="shared" si="2234"/>
        <v>3.4</v>
      </c>
      <c r="V7714" t="s">
        <v>15</v>
      </c>
      <c r="W7714">
        <v>3.4</v>
      </c>
      <c r="X7714" s="1" t="s">
        <v>30</v>
      </c>
    </row>
    <row r="7715" spans="1:24" x14ac:dyDescent="0.25">
      <c r="A7715" s="1" t="str">
        <f t="shared" si="2235"/>
        <v>卡卡杜-凤凰仓</v>
      </c>
      <c r="B7715" s="1" t="str">
        <f>"CK2024101116656"</f>
        <v>CK2024101116656</v>
      </c>
      <c r="C7715" s="1" t="str">
        <f>"DD2024101146401"</f>
        <v>DD2024101146401</v>
      </c>
      <c r="D7715" s="1" t="str">
        <f>"CK2024101151491"</f>
        <v>CK2024101151491</v>
      </c>
      <c r="E7715" s="1" t="str">
        <f>"KKD20241011YP013"</f>
        <v>KKD20241011YP013</v>
      </c>
      <c r="F7715" s="1" t="str">
        <f t="shared" si="2236"/>
        <v>花都四部-凤凰仓</v>
      </c>
      <c r="G7715" s="1" t="str">
        <f t="shared" si="2245"/>
        <v>卡卡杜全欣样品</v>
      </c>
      <c r="H7715" s="1" t="str">
        <f t="shared" si="2237"/>
        <v>正常订单</v>
      </c>
      <c r="I7715" s="1" t="str">
        <f t="shared" si="2238"/>
        <v>已发货</v>
      </c>
      <c r="J7715" s="1" t="str">
        <f>"7"</f>
        <v>7</v>
      </c>
      <c r="K7715" s="1">
        <v>5</v>
      </c>
      <c r="L7715" s="1" t="s">
        <v>18</v>
      </c>
      <c r="M7715" s="1" t="str">
        <f>"广东省 江门市 新会区 "</f>
        <v xml:space="preserve">广东省 江门市 新会区 </v>
      </c>
      <c r="N7715" s="1" t="str">
        <f t="shared" si="2244"/>
        <v>凡华云仓-韵达-淘宝</v>
      </c>
      <c r="O7715" s="3">
        <v>434183172012952</v>
      </c>
      <c r="P7715" s="6">
        <v>0.86</v>
      </c>
      <c r="Q7715" s="11">
        <f t="shared" si="2246"/>
        <v>2.9</v>
      </c>
      <c r="R7715" s="11">
        <f t="shared" ref="R7715:R7716" si="2247">(K7715-3)*0.1</f>
        <v>0.2</v>
      </c>
      <c r="S7715" s="11">
        <v>0.15</v>
      </c>
      <c r="T7715" s="11"/>
      <c r="U7715" s="11">
        <f t="shared" si="2234"/>
        <v>3.25</v>
      </c>
      <c r="V7715" t="s">
        <v>15</v>
      </c>
      <c r="W7715">
        <v>3.25</v>
      </c>
      <c r="X7715" s="1" t="s">
        <v>18</v>
      </c>
    </row>
    <row r="7716" spans="1:24" x14ac:dyDescent="0.25">
      <c r="A7716" s="1" t="str">
        <f t="shared" si="2235"/>
        <v>卡卡杜-凤凰仓</v>
      </c>
      <c r="B7716" s="1" t="str">
        <f>"CK2024101116657"</f>
        <v>CK2024101116657</v>
      </c>
      <c r="C7716" s="1" t="str">
        <f>"DD2024101146402"</f>
        <v>DD2024101146402</v>
      </c>
      <c r="D7716" s="1" t="str">
        <f>"CK2024101151490"</f>
        <v>CK2024101151490</v>
      </c>
      <c r="E7716" s="1" t="str">
        <f>"KKD20241011YP012"</f>
        <v>KKD20241011YP012</v>
      </c>
      <c r="F7716" s="1" t="str">
        <f t="shared" si="2236"/>
        <v>花都四部-凤凰仓</v>
      </c>
      <c r="G7716" s="1" t="str">
        <f t="shared" si="2245"/>
        <v>卡卡杜全欣样品</v>
      </c>
      <c r="H7716" s="1" t="str">
        <f t="shared" si="2237"/>
        <v>正常订单</v>
      </c>
      <c r="I7716" s="1" t="str">
        <f t="shared" si="2238"/>
        <v>已发货</v>
      </c>
      <c r="J7716" s="1" t="str">
        <f>"15"</f>
        <v>15</v>
      </c>
      <c r="K7716" s="1">
        <v>10</v>
      </c>
      <c r="L7716" s="1" t="s">
        <v>24</v>
      </c>
      <c r="M7716" s="1" t="str">
        <f>"福建省 龙岩市 新罗区 "</f>
        <v xml:space="preserve">福建省 龙岩市 新罗区 </v>
      </c>
      <c r="N7716" s="1" t="str">
        <f t="shared" si="2244"/>
        <v>凡华云仓-韵达-淘宝</v>
      </c>
      <c r="O7716" s="3">
        <v>434183172012862</v>
      </c>
      <c r="P7716" s="6">
        <v>1.62</v>
      </c>
      <c r="Q7716" s="11">
        <f t="shared" si="2246"/>
        <v>4.0999999999999996</v>
      </c>
      <c r="R7716" s="11">
        <f t="shared" si="2247"/>
        <v>0.70000000000000007</v>
      </c>
      <c r="S7716" s="11">
        <v>0.15</v>
      </c>
      <c r="T7716" s="11"/>
      <c r="U7716" s="11">
        <f t="shared" si="2234"/>
        <v>4.9499999999999993</v>
      </c>
      <c r="V7716" t="s">
        <v>15</v>
      </c>
      <c r="W7716">
        <v>4.95</v>
      </c>
      <c r="X7716" s="1" t="s">
        <v>24</v>
      </c>
    </row>
    <row r="7717" spans="1:24" x14ac:dyDescent="0.25">
      <c r="A7717" s="1" t="str">
        <f t="shared" si="2235"/>
        <v>卡卡杜-凤凰仓</v>
      </c>
      <c r="B7717" s="1" t="str">
        <f>"CK2024101116653"</f>
        <v>CK2024101116653</v>
      </c>
      <c r="C7717" s="1" t="str">
        <f>"DD2024101146403"</f>
        <v>DD2024101146403</v>
      </c>
      <c r="D7717" s="1" t="str">
        <f>"CK2024101151489"</f>
        <v>CK2024101151489</v>
      </c>
      <c r="E7717" s="1" t="str">
        <f>"KKD20241011YP016"</f>
        <v>KKD20241011YP016</v>
      </c>
      <c r="F7717" s="1" t="str">
        <f t="shared" si="2236"/>
        <v>花都四部-凤凰仓</v>
      </c>
      <c r="G7717" s="1" t="str">
        <f t="shared" si="2245"/>
        <v>卡卡杜全欣样品</v>
      </c>
      <c r="H7717" s="1" t="str">
        <f t="shared" si="2237"/>
        <v>正常订单</v>
      </c>
      <c r="I7717" s="1" t="str">
        <f t="shared" si="2238"/>
        <v>已发货</v>
      </c>
      <c r="J7717" s="1" t="str">
        <f>"5"</f>
        <v>5</v>
      </c>
      <c r="K7717" s="1">
        <v>4</v>
      </c>
      <c r="L7717" s="1" t="s">
        <v>32</v>
      </c>
      <c r="M7717" s="1" t="str">
        <f>"陕西省 西安市 雁塔区 "</f>
        <v xml:space="preserve">陕西省 西安市 雁塔区 </v>
      </c>
      <c r="N7717" s="1" t="str">
        <f t="shared" si="2244"/>
        <v>凡华云仓-韵达-淘宝</v>
      </c>
      <c r="O7717" s="3">
        <v>434183172012772</v>
      </c>
      <c r="P7717" s="6">
        <v>0.62</v>
      </c>
      <c r="Q7717" s="11">
        <f t="shared" si="2246"/>
        <v>2.5999999999999996</v>
      </c>
      <c r="R7717" s="11"/>
      <c r="S7717" s="11">
        <v>0.15</v>
      </c>
      <c r="T7717" s="11"/>
      <c r="U7717" s="11">
        <f t="shared" si="2234"/>
        <v>2.7499999999999996</v>
      </c>
      <c r="V7717" t="s">
        <v>15</v>
      </c>
      <c r="W7717">
        <v>2.75</v>
      </c>
      <c r="X7717" s="1" t="s">
        <v>32</v>
      </c>
    </row>
    <row r="7718" spans="1:24" x14ac:dyDescent="0.25">
      <c r="A7718" s="1" t="str">
        <f t="shared" si="2235"/>
        <v>卡卡杜-凤凰仓</v>
      </c>
      <c r="B7718" s="1" t="str">
        <f>"CK2024101116660"</f>
        <v>CK2024101116660</v>
      </c>
      <c r="C7718" s="1" t="str">
        <f>"DD2024101146404"</f>
        <v>DD2024101146404</v>
      </c>
      <c r="D7718" s="1" t="str">
        <f>"CK2024101151488"</f>
        <v>CK2024101151488</v>
      </c>
      <c r="E7718" s="1" t="str">
        <f>"KKD20241011YP009"</f>
        <v>KKD20241011YP009</v>
      </c>
      <c r="F7718" s="1" t="str">
        <f t="shared" si="2236"/>
        <v>花都四部-凤凰仓</v>
      </c>
      <c r="G7718" s="1" t="str">
        <f t="shared" si="2245"/>
        <v>卡卡杜全欣样品</v>
      </c>
      <c r="H7718" s="1" t="str">
        <f t="shared" si="2237"/>
        <v>正常订单</v>
      </c>
      <c r="I7718" s="1" t="str">
        <f t="shared" si="2238"/>
        <v>已发货</v>
      </c>
      <c r="J7718" s="1" t="str">
        <f>"5"</f>
        <v>5</v>
      </c>
      <c r="K7718" s="1">
        <v>4</v>
      </c>
      <c r="L7718" s="1" t="s">
        <v>105</v>
      </c>
      <c r="M7718" s="1" t="str">
        <f>"北京 北京市 通州区 "</f>
        <v xml:space="preserve">北京 北京市 通州区 </v>
      </c>
      <c r="N7718" s="1" t="str">
        <f t="shared" si="2244"/>
        <v>凡华云仓-韵达-淘宝</v>
      </c>
      <c r="O7718" s="3">
        <v>434183172012682</v>
      </c>
      <c r="P7718" s="6">
        <v>0.62</v>
      </c>
      <c r="Q7718" s="11">
        <f t="shared" si="2246"/>
        <v>2.5999999999999996</v>
      </c>
      <c r="R7718" s="11"/>
      <c r="S7718" s="11">
        <v>0.15</v>
      </c>
      <c r="T7718" s="11"/>
      <c r="U7718" s="11">
        <f t="shared" si="2234"/>
        <v>2.7499999999999996</v>
      </c>
      <c r="V7718" t="s">
        <v>15</v>
      </c>
      <c r="W7718">
        <v>2.75</v>
      </c>
      <c r="X7718" s="1" t="s">
        <v>105</v>
      </c>
    </row>
    <row r="7719" spans="1:24" x14ac:dyDescent="0.25">
      <c r="A7719" s="1" t="str">
        <f t="shared" si="2235"/>
        <v>卡卡杜-凤凰仓</v>
      </c>
      <c r="B7719" s="1" t="str">
        <f>"CK2024101116659"</f>
        <v>CK2024101116659</v>
      </c>
      <c r="C7719" s="1" t="str">
        <f>"DD2024101146405"</f>
        <v>DD2024101146405</v>
      </c>
      <c r="D7719" s="1" t="str">
        <f>"CK2024101151487"</f>
        <v>CK2024101151487</v>
      </c>
      <c r="E7719" s="1" t="str">
        <f>"KKD20241011YP010"</f>
        <v>KKD20241011YP010</v>
      </c>
      <c r="F7719" s="1" t="str">
        <f t="shared" si="2236"/>
        <v>花都四部-凤凰仓</v>
      </c>
      <c r="G7719" s="1" t="str">
        <f t="shared" si="2245"/>
        <v>卡卡杜全欣样品</v>
      </c>
      <c r="H7719" s="1" t="str">
        <f t="shared" si="2237"/>
        <v>正常订单</v>
      </c>
      <c r="I7719" s="1" t="str">
        <f t="shared" si="2238"/>
        <v>已发货</v>
      </c>
      <c r="J7719" s="1" t="str">
        <f>"10"</f>
        <v>10</v>
      </c>
      <c r="K7719" s="1">
        <v>7</v>
      </c>
      <c r="L7719" s="1" t="s">
        <v>20</v>
      </c>
      <c r="M7719" s="1" t="str">
        <f>"浙江省 杭州市 萧山区 "</f>
        <v xml:space="preserve">浙江省 杭州市 萧山区 </v>
      </c>
      <c r="N7719" s="1" t="str">
        <f t="shared" si="2244"/>
        <v>凡华云仓-韵达-淘宝</v>
      </c>
      <c r="O7719" s="3">
        <v>434183172012592</v>
      </c>
      <c r="P7719" s="6">
        <v>1.18</v>
      </c>
      <c r="Q7719" s="11">
        <f t="shared" si="2246"/>
        <v>3.3499999999999996</v>
      </c>
      <c r="R7719" s="11">
        <f t="shared" ref="R7719:R7722" si="2248">(K7719-3)*0.1</f>
        <v>0.4</v>
      </c>
      <c r="S7719" s="11">
        <v>0.15</v>
      </c>
      <c r="T7719" s="11"/>
      <c r="U7719" s="11">
        <f t="shared" si="2234"/>
        <v>3.8999999999999995</v>
      </c>
      <c r="V7719" t="s">
        <v>15</v>
      </c>
      <c r="W7719">
        <v>3.9</v>
      </c>
      <c r="X7719" s="1" t="s">
        <v>20</v>
      </c>
    </row>
    <row r="7720" spans="1:24" x14ac:dyDescent="0.25">
      <c r="A7720" s="1" t="str">
        <f t="shared" si="2235"/>
        <v>卡卡杜-凤凰仓</v>
      </c>
      <c r="B7720" s="1" t="str">
        <f>"CK2024101116662"</f>
        <v>CK2024101116662</v>
      </c>
      <c r="C7720" s="1" t="str">
        <f>"DD2024101146407"</f>
        <v>DD2024101146407</v>
      </c>
      <c r="D7720" s="1" t="str">
        <f>"CK2024101151485"</f>
        <v>CK2024101151485</v>
      </c>
      <c r="E7720" s="1" t="str">
        <f>"KKD20241011YP007"</f>
        <v>KKD20241011YP007</v>
      </c>
      <c r="F7720" s="1" t="str">
        <f t="shared" si="2236"/>
        <v>花都四部-凤凰仓</v>
      </c>
      <c r="G7720" s="1" t="str">
        <f t="shared" si="2245"/>
        <v>卡卡杜全欣样品</v>
      </c>
      <c r="H7720" s="1" t="str">
        <f t="shared" si="2237"/>
        <v>正常订单</v>
      </c>
      <c r="I7720" s="1" t="str">
        <f t="shared" si="2238"/>
        <v>已发货</v>
      </c>
      <c r="J7720" s="1" t="str">
        <f>"5"</f>
        <v>5</v>
      </c>
      <c r="K7720" s="1">
        <v>4</v>
      </c>
      <c r="L7720" s="1" t="s">
        <v>18</v>
      </c>
      <c r="M7720" s="1" t="str">
        <f>"广东省 江门市 台山市 "</f>
        <v xml:space="preserve">广东省 江门市 台山市 </v>
      </c>
      <c r="N7720" s="1" t="str">
        <f t="shared" si="2244"/>
        <v>凡华云仓-韵达-淘宝</v>
      </c>
      <c r="O7720" s="3">
        <v>434183172012312</v>
      </c>
      <c r="P7720" s="6">
        <v>0.62</v>
      </c>
      <c r="Q7720" s="11">
        <f t="shared" si="2246"/>
        <v>2.5999999999999996</v>
      </c>
      <c r="R7720" s="11"/>
      <c r="S7720" s="11">
        <v>0.15</v>
      </c>
      <c r="T7720" s="11"/>
      <c r="U7720" s="11">
        <f t="shared" si="2234"/>
        <v>2.7499999999999996</v>
      </c>
      <c r="V7720" t="s">
        <v>15</v>
      </c>
      <c r="W7720">
        <v>2.75</v>
      </c>
      <c r="X7720" s="1" t="s">
        <v>18</v>
      </c>
    </row>
    <row r="7721" spans="1:24" x14ac:dyDescent="0.25">
      <c r="A7721" s="1" t="str">
        <f t="shared" si="2235"/>
        <v>卡卡杜-凤凰仓</v>
      </c>
      <c r="B7721" s="1" t="str">
        <f>"CK2024101116663"</f>
        <v>CK2024101116663</v>
      </c>
      <c r="C7721" s="1" t="str">
        <f>"DD2024101146408"</f>
        <v>DD2024101146408</v>
      </c>
      <c r="D7721" s="1" t="str">
        <f>"CK2024101151484"</f>
        <v>CK2024101151484</v>
      </c>
      <c r="E7721" s="1" t="str">
        <f>"KKD20241011YP006"</f>
        <v>KKD20241011YP006</v>
      </c>
      <c r="F7721" s="1" t="str">
        <f t="shared" si="2236"/>
        <v>花都四部-凤凰仓</v>
      </c>
      <c r="G7721" s="1" t="str">
        <f t="shared" si="2245"/>
        <v>卡卡杜全欣样品</v>
      </c>
      <c r="H7721" s="1" t="str">
        <f t="shared" si="2237"/>
        <v>正常订单</v>
      </c>
      <c r="I7721" s="1" t="str">
        <f t="shared" si="2238"/>
        <v>已发货</v>
      </c>
      <c r="J7721" s="1" t="str">
        <f t="shared" ref="J7721:J7725" si="2249">"15"</f>
        <v>15</v>
      </c>
      <c r="K7721" s="1">
        <v>10</v>
      </c>
      <c r="L7721" s="1" t="s">
        <v>36</v>
      </c>
      <c r="M7721" s="1" t="str">
        <f>"安徽省 合肥市 包河区 "</f>
        <v xml:space="preserve">安徽省 合肥市 包河区 </v>
      </c>
      <c r="N7721" s="1" t="str">
        <f t="shared" si="2244"/>
        <v>凡华云仓-韵达-淘宝</v>
      </c>
      <c r="O7721" s="3">
        <v>434183165225641</v>
      </c>
      <c r="P7721" s="6">
        <v>1.62</v>
      </c>
      <c r="Q7721" s="11">
        <f t="shared" si="2246"/>
        <v>4.0999999999999996</v>
      </c>
      <c r="R7721" s="11">
        <f t="shared" si="2248"/>
        <v>0.70000000000000007</v>
      </c>
      <c r="S7721" s="11">
        <v>0.15</v>
      </c>
      <c r="T7721" s="11"/>
      <c r="U7721" s="11">
        <f t="shared" si="2234"/>
        <v>4.9499999999999993</v>
      </c>
      <c r="V7721" t="s">
        <v>15</v>
      </c>
      <c r="W7721">
        <v>4.95</v>
      </c>
      <c r="X7721" s="1" t="s">
        <v>36</v>
      </c>
    </row>
    <row r="7722" spans="1:24" x14ac:dyDescent="0.25">
      <c r="A7722" s="1" t="str">
        <f t="shared" si="2235"/>
        <v>卡卡杜-凤凰仓</v>
      </c>
      <c r="B7722" s="1" t="str">
        <f>"CK2024101116664"</f>
        <v>CK2024101116664</v>
      </c>
      <c r="C7722" s="1" t="str">
        <f>"DD2024101146409"</f>
        <v>DD2024101146409</v>
      </c>
      <c r="D7722" s="1" t="str">
        <f>"CK2024101151483"</f>
        <v>CK2024101151483</v>
      </c>
      <c r="E7722" s="1" t="str">
        <f>"KKD20241011YP005"</f>
        <v>KKD20241011YP005</v>
      </c>
      <c r="F7722" s="1" t="str">
        <f t="shared" si="2236"/>
        <v>花都四部-凤凰仓</v>
      </c>
      <c r="G7722" s="1" t="str">
        <f t="shared" si="2245"/>
        <v>卡卡杜全欣样品</v>
      </c>
      <c r="H7722" s="1" t="str">
        <f t="shared" si="2237"/>
        <v>正常订单</v>
      </c>
      <c r="I7722" s="1" t="str">
        <f t="shared" si="2238"/>
        <v>已发货</v>
      </c>
      <c r="J7722" s="1" t="str">
        <f t="shared" si="2249"/>
        <v>15</v>
      </c>
      <c r="K7722" s="1">
        <v>10</v>
      </c>
      <c r="L7722" s="1" t="s">
        <v>92</v>
      </c>
      <c r="M7722" s="1" t="str">
        <f>"辽宁省 沈阳市 浑南区 "</f>
        <v xml:space="preserve">辽宁省 沈阳市 浑南区 </v>
      </c>
      <c r="N7722" s="1" t="str">
        <f t="shared" si="2244"/>
        <v>凡华云仓-韵达-淘宝</v>
      </c>
      <c r="O7722" s="3">
        <v>434183165225548</v>
      </c>
      <c r="P7722" s="6">
        <v>1.62</v>
      </c>
      <c r="Q7722" s="11">
        <f t="shared" si="2246"/>
        <v>4.0999999999999996</v>
      </c>
      <c r="R7722" s="11">
        <f t="shared" si="2248"/>
        <v>0.70000000000000007</v>
      </c>
      <c r="S7722" s="11">
        <v>0.15</v>
      </c>
      <c r="T7722" s="11"/>
      <c r="U7722" s="11">
        <f t="shared" si="2234"/>
        <v>4.9499999999999993</v>
      </c>
      <c r="V7722" t="s">
        <v>15</v>
      </c>
      <c r="W7722">
        <v>4.95</v>
      </c>
      <c r="X7722" s="1" t="s">
        <v>92</v>
      </c>
    </row>
    <row r="7723" spans="1:24" x14ac:dyDescent="0.25">
      <c r="A7723" s="1" t="str">
        <f t="shared" si="2235"/>
        <v>卡卡杜-凤凰仓</v>
      </c>
      <c r="B7723" s="1" t="str">
        <f>"CK2024101116667"</f>
        <v>CK2024101116667</v>
      </c>
      <c r="C7723" s="1" t="str">
        <f>"DD2024101146410"</f>
        <v>DD2024101146410</v>
      </c>
      <c r="D7723" s="1" t="str">
        <f>"CK2024101151482"</f>
        <v>CK2024101151482</v>
      </c>
      <c r="E7723" s="1" t="str">
        <f>"KKD20241011YP002"</f>
        <v>KKD20241011YP002</v>
      </c>
      <c r="F7723" s="1" t="str">
        <f t="shared" si="2236"/>
        <v>花都四部-凤凰仓</v>
      </c>
      <c r="G7723" s="1" t="str">
        <f t="shared" si="2245"/>
        <v>卡卡杜全欣样品</v>
      </c>
      <c r="H7723" s="1" t="str">
        <f t="shared" si="2237"/>
        <v>正常订单</v>
      </c>
      <c r="I7723" s="1" t="str">
        <f t="shared" si="2238"/>
        <v>已发货</v>
      </c>
      <c r="J7723" s="1" t="str">
        <f>"5"</f>
        <v>5</v>
      </c>
      <c r="K7723" s="1">
        <v>4</v>
      </c>
      <c r="L7723" s="1" t="s">
        <v>187</v>
      </c>
      <c r="M7723" s="1" t="str">
        <f>"吉林省 长春市 榆树市 "</f>
        <v xml:space="preserve">吉林省 长春市 榆树市 </v>
      </c>
      <c r="N7723" s="1" t="str">
        <f t="shared" si="2244"/>
        <v>凡华云仓-韵达-淘宝</v>
      </c>
      <c r="O7723" s="3">
        <v>434183165225455</v>
      </c>
      <c r="P7723" s="6">
        <v>0.62</v>
      </c>
      <c r="Q7723" s="11">
        <f t="shared" si="2246"/>
        <v>2.5999999999999996</v>
      </c>
      <c r="R7723" s="11"/>
      <c r="S7723" s="11">
        <v>0.15</v>
      </c>
      <c r="T7723" s="11"/>
      <c r="U7723" s="11">
        <f t="shared" si="2234"/>
        <v>2.7499999999999996</v>
      </c>
      <c r="V7723" t="s">
        <v>15</v>
      </c>
      <c r="W7723">
        <v>2.75</v>
      </c>
      <c r="X7723" s="1" t="s">
        <v>187</v>
      </c>
    </row>
    <row r="7724" spans="1:24" x14ac:dyDescent="0.25">
      <c r="A7724" s="1" t="str">
        <f t="shared" si="2235"/>
        <v>卡卡杜-凤凰仓</v>
      </c>
      <c r="B7724" s="1" t="str">
        <f>"CK2024101116665"</f>
        <v>CK2024101116665</v>
      </c>
      <c r="C7724" s="1" t="str">
        <f>"DD2024101146411"</f>
        <v>DD2024101146411</v>
      </c>
      <c r="D7724" s="1" t="str">
        <f>"CK2024101151481"</f>
        <v>CK2024101151481</v>
      </c>
      <c r="E7724" s="1" t="str">
        <f>"KKD20241011YP004"</f>
        <v>KKD20241011YP004</v>
      </c>
      <c r="F7724" s="1" t="str">
        <f t="shared" si="2236"/>
        <v>花都四部-凤凰仓</v>
      </c>
      <c r="G7724" s="1" t="str">
        <f t="shared" si="2245"/>
        <v>卡卡杜全欣样品</v>
      </c>
      <c r="H7724" s="1" t="str">
        <f t="shared" si="2237"/>
        <v>正常订单</v>
      </c>
      <c r="I7724" s="1" t="str">
        <f t="shared" si="2238"/>
        <v>已发货</v>
      </c>
      <c r="J7724" s="1" t="str">
        <f t="shared" si="2249"/>
        <v>15</v>
      </c>
      <c r="K7724" s="1">
        <v>10</v>
      </c>
      <c r="L7724" s="1" t="s">
        <v>74</v>
      </c>
      <c r="M7724" s="1" t="str">
        <f>"上海 上海市 闵行区 "</f>
        <v xml:space="preserve">上海 上海市 闵行区 </v>
      </c>
      <c r="N7724" s="1" t="str">
        <f t="shared" si="2244"/>
        <v>凡华云仓-韵达-淘宝</v>
      </c>
      <c r="O7724" s="3">
        <v>434183165225362</v>
      </c>
      <c r="P7724" s="6">
        <v>1.62</v>
      </c>
      <c r="Q7724" s="11">
        <f t="shared" si="2246"/>
        <v>4.0999999999999996</v>
      </c>
      <c r="R7724" s="11">
        <f>(K7724-3)*0.1</f>
        <v>0.70000000000000007</v>
      </c>
      <c r="S7724" s="11">
        <v>0.15</v>
      </c>
      <c r="T7724" s="11"/>
      <c r="U7724" s="11">
        <f t="shared" si="2234"/>
        <v>4.9499999999999993</v>
      </c>
      <c r="V7724" t="s">
        <v>15</v>
      </c>
      <c r="W7724">
        <v>4.95</v>
      </c>
      <c r="X7724" s="1" t="s">
        <v>74</v>
      </c>
    </row>
    <row r="7725" spans="1:24" x14ac:dyDescent="0.25">
      <c r="A7725" s="1" t="str">
        <f t="shared" si="2235"/>
        <v>卡卡杜-凤凰仓</v>
      </c>
      <c r="B7725" s="1" t="str">
        <f>"CK2024101116666"</f>
        <v>CK2024101116666</v>
      </c>
      <c r="C7725" s="1" t="str">
        <f>"DD2024101146412"</f>
        <v>DD2024101146412</v>
      </c>
      <c r="D7725" s="1" t="str">
        <f>"CK2024101151480"</f>
        <v>CK2024101151480</v>
      </c>
      <c r="E7725" s="1" t="str">
        <f>"KKD20241011YP003"</f>
        <v>KKD20241011YP003</v>
      </c>
      <c r="F7725" s="1" t="str">
        <f t="shared" si="2236"/>
        <v>花都四部-凤凰仓</v>
      </c>
      <c r="G7725" s="1" t="str">
        <f t="shared" si="2245"/>
        <v>卡卡杜全欣样品</v>
      </c>
      <c r="H7725" s="1" t="str">
        <f t="shared" si="2237"/>
        <v>正常订单</v>
      </c>
      <c r="I7725" s="1" t="str">
        <f t="shared" si="2238"/>
        <v>已发货</v>
      </c>
      <c r="J7725" s="1" t="str">
        <f t="shared" si="2249"/>
        <v>15</v>
      </c>
      <c r="K7725" s="1">
        <v>10</v>
      </c>
      <c r="L7725" s="1" t="s">
        <v>20</v>
      </c>
      <c r="M7725" s="1" t="str">
        <f>"浙江省 杭州市 滨江区 "</f>
        <v xml:space="preserve">浙江省 杭州市 滨江区 </v>
      </c>
      <c r="N7725" s="1" t="str">
        <f t="shared" si="2244"/>
        <v>凡华云仓-韵达-淘宝</v>
      </c>
      <c r="O7725" s="3">
        <v>434183165225269</v>
      </c>
      <c r="P7725" s="6">
        <v>1.62</v>
      </c>
      <c r="Q7725" s="11">
        <f t="shared" si="2246"/>
        <v>4.0999999999999996</v>
      </c>
      <c r="R7725" s="11">
        <f>(K7725-3)*0.1</f>
        <v>0.70000000000000007</v>
      </c>
      <c r="S7725" s="11">
        <v>0.15</v>
      </c>
      <c r="T7725" s="11"/>
      <c r="U7725" s="11">
        <f t="shared" si="2234"/>
        <v>4.9499999999999993</v>
      </c>
      <c r="V7725" t="s">
        <v>15</v>
      </c>
      <c r="W7725">
        <v>4.95</v>
      </c>
      <c r="X7725" s="1" t="s">
        <v>20</v>
      </c>
    </row>
    <row r="7726" spans="1:24" x14ac:dyDescent="0.25">
      <c r="A7726" s="1" t="str">
        <f t="shared" si="2235"/>
        <v>卡卡杜-凤凰仓</v>
      </c>
      <c r="B7726" s="1" t="str">
        <f>"CK2024101116668"</f>
        <v>CK2024101116668</v>
      </c>
      <c r="C7726" s="1" t="str">
        <f>"DD2024101146413"</f>
        <v>DD2024101146413</v>
      </c>
      <c r="D7726" s="1" t="str">
        <f>"CK2024101151479"</f>
        <v>CK2024101151479</v>
      </c>
      <c r="E7726" s="1" t="str">
        <f>"KKD20241011YP001"</f>
        <v>KKD20241011YP001</v>
      </c>
      <c r="F7726" s="1" t="str">
        <f t="shared" si="2236"/>
        <v>花都四部-凤凰仓</v>
      </c>
      <c r="G7726" s="1" t="str">
        <f t="shared" si="2245"/>
        <v>卡卡杜全欣样品</v>
      </c>
      <c r="H7726" s="1" t="str">
        <f t="shared" si="2237"/>
        <v>正常订单</v>
      </c>
      <c r="I7726" s="1" t="str">
        <f t="shared" si="2238"/>
        <v>已发货</v>
      </c>
      <c r="J7726" s="1" t="str">
        <f>"5"</f>
        <v>5</v>
      </c>
      <c r="K7726" s="1">
        <v>4</v>
      </c>
      <c r="L7726" s="1" t="s">
        <v>18</v>
      </c>
      <c r="M7726" s="1" t="str">
        <f>"广东省 惠州市 大亚湾区 "</f>
        <v xml:space="preserve">广东省 惠州市 大亚湾区 </v>
      </c>
      <c r="N7726" s="1" t="str">
        <f t="shared" si="2244"/>
        <v>凡华云仓-韵达-淘宝</v>
      </c>
      <c r="O7726" s="3">
        <v>434183165225176</v>
      </c>
      <c r="P7726" s="6">
        <v>0.62</v>
      </c>
      <c r="Q7726" s="11">
        <f t="shared" si="2246"/>
        <v>2.5999999999999996</v>
      </c>
      <c r="R7726" s="11"/>
      <c r="S7726" s="11">
        <v>0.15</v>
      </c>
      <c r="T7726" s="11"/>
      <c r="U7726" s="11">
        <f t="shared" si="2234"/>
        <v>2.7499999999999996</v>
      </c>
      <c r="V7726" t="s">
        <v>15</v>
      </c>
      <c r="W7726">
        <v>2.75</v>
      </c>
      <c r="X7726" s="1" t="s">
        <v>18</v>
      </c>
    </row>
    <row r="7727" spans="1:24" x14ac:dyDescent="0.25">
      <c r="A7727" s="1" t="str">
        <f t="shared" si="2235"/>
        <v>卡卡杜-凤凰仓</v>
      </c>
      <c r="B7727" s="1" t="str">
        <f>"CK2024101116673"</f>
        <v>CK2024101116673</v>
      </c>
      <c r="C7727" s="1" t="str">
        <f>"DD2024101148448"</f>
        <v>DD2024101148448</v>
      </c>
      <c r="D7727" s="1" t="str">
        <f>"CK2024101151478"</f>
        <v>CK2024101151478</v>
      </c>
      <c r="E7727" s="1" t="str">
        <f>"2428502019682367"</f>
        <v>2428502019682367</v>
      </c>
      <c r="F7727" s="1" t="str">
        <f t="shared" si="2236"/>
        <v>花都四部-凤凰仓</v>
      </c>
      <c r="G7727" s="1" t="str">
        <f t="shared" ref="G7727:G7730" si="2250">"卡卡杜佳旺专卖店（快手店）"</f>
        <v>卡卡杜佳旺专卖店（快手店）</v>
      </c>
      <c r="H7727" s="1" t="str">
        <f t="shared" si="2237"/>
        <v>正常订单</v>
      </c>
      <c r="I7727" s="1" t="str">
        <f t="shared" si="2238"/>
        <v>已发货</v>
      </c>
      <c r="J7727" s="1" t="str">
        <f t="shared" ref="J7727:J7739" si="2251">"3"</f>
        <v>3</v>
      </c>
      <c r="K7727" s="1">
        <v>3</v>
      </c>
      <c r="L7727" s="1" t="s">
        <v>54</v>
      </c>
      <c r="M7727" s="1" t="str">
        <f>"黑龙江省 佳木斯市 富锦市 城东街道"</f>
        <v>黑龙江省 佳木斯市 富锦市 城东街道</v>
      </c>
      <c r="N7727" s="1" t="str">
        <f t="shared" ref="N7727:N7730" si="2252">"凡华云仓-韵达-快手"</f>
        <v>凡华云仓-韵达-快手</v>
      </c>
      <c r="O7727" s="5">
        <v>319206424354257</v>
      </c>
      <c r="P7727" s="6">
        <v>0.34</v>
      </c>
      <c r="Q7727" s="11">
        <v>2.2999999999999998</v>
      </c>
      <c r="R7727" s="11"/>
      <c r="S7727" s="11"/>
      <c r="T7727" s="11"/>
      <c r="U7727" s="11">
        <f t="shared" si="2234"/>
        <v>2.2999999999999998</v>
      </c>
      <c r="W7727">
        <v>2.5</v>
      </c>
      <c r="X7727" s="1" t="s">
        <v>54</v>
      </c>
    </row>
    <row r="7728" spans="1:24" x14ac:dyDescent="0.25">
      <c r="A7728" s="1" t="str">
        <f t="shared" si="2235"/>
        <v>卡卡杜-凤凰仓</v>
      </c>
      <c r="B7728" s="1" t="str">
        <f>"CK2024101116674"</f>
        <v>CK2024101116674</v>
      </c>
      <c r="C7728" s="1" t="str">
        <f>"DD2024101148449"</f>
        <v>DD2024101148449</v>
      </c>
      <c r="D7728" s="1" t="str">
        <f>"CK2024101151477"</f>
        <v>CK2024101151477</v>
      </c>
      <c r="E7728" s="1" t="str">
        <f>"2428501622851665"</f>
        <v>2428501622851665</v>
      </c>
      <c r="F7728" s="1" t="str">
        <f t="shared" si="2236"/>
        <v>花都四部-凤凰仓</v>
      </c>
      <c r="G7728" s="1" t="str">
        <f t="shared" si="2250"/>
        <v>卡卡杜佳旺专卖店（快手店）</v>
      </c>
      <c r="H7728" s="1" t="str">
        <f t="shared" si="2237"/>
        <v>正常订单</v>
      </c>
      <c r="I7728" s="1" t="str">
        <f t="shared" si="2238"/>
        <v>已发货</v>
      </c>
      <c r="J7728" s="1" t="str">
        <f>"6"</f>
        <v>6</v>
      </c>
      <c r="K7728" s="1">
        <v>3</v>
      </c>
      <c r="L7728" s="1" t="s">
        <v>136</v>
      </c>
      <c r="M7728" s="1" t="str">
        <f>"北京市 北京市 朝阳区 东坝地区"</f>
        <v>北京市 北京市 朝阳区 东坝地区</v>
      </c>
      <c r="N7728" s="1" t="str">
        <f t="shared" si="2252"/>
        <v>凡华云仓-韵达-快手</v>
      </c>
      <c r="O7728" s="5">
        <v>319206596366523</v>
      </c>
      <c r="P7728" s="6">
        <v>0.55000000000000004</v>
      </c>
      <c r="Q7728" s="11">
        <f>CEILING(P7728-0.5,0.1)*10*0.15+2.3</f>
        <v>2.4499999999999997</v>
      </c>
      <c r="R7728" s="11"/>
      <c r="S7728" s="11"/>
      <c r="T7728" s="11"/>
      <c r="U7728" s="11">
        <f t="shared" si="2234"/>
        <v>2.4499999999999997</v>
      </c>
      <c r="V7728" t="s">
        <v>15</v>
      </c>
      <c r="W7728">
        <v>2.4500000000000002</v>
      </c>
      <c r="X7728" s="1" t="s">
        <v>136</v>
      </c>
    </row>
    <row r="7729" spans="1:24" x14ac:dyDescent="0.25">
      <c r="A7729" s="1" t="str">
        <f t="shared" si="2235"/>
        <v>卡卡杜-凤凰仓</v>
      </c>
      <c r="B7729" s="1" t="str">
        <f>"CK2024101116679"</f>
        <v>CK2024101116679</v>
      </c>
      <c r="C7729" s="1" t="str">
        <f>"DD2024101148451"</f>
        <v>DD2024101148451</v>
      </c>
      <c r="D7729" s="1" t="str">
        <f>"CK2024101151476"</f>
        <v>CK2024101151476</v>
      </c>
      <c r="E7729" s="1" t="str">
        <f>"2428502098898665"</f>
        <v>2428502098898665</v>
      </c>
      <c r="F7729" s="1" t="str">
        <f t="shared" si="2236"/>
        <v>花都四部-凤凰仓</v>
      </c>
      <c r="G7729" s="1" t="str">
        <f t="shared" si="2250"/>
        <v>卡卡杜佳旺专卖店（快手店）</v>
      </c>
      <c r="H7729" s="1" t="str">
        <f t="shared" si="2237"/>
        <v>正常订单</v>
      </c>
      <c r="I7729" s="1" t="str">
        <f t="shared" si="2238"/>
        <v>已发货</v>
      </c>
      <c r="J7729" s="1" t="str">
        <f t="shared" si="2251"/>
        <v>3</v>
      </c>
      <c r="K7729" s="1">
        <v>3</v>
      </c>
      <c r="L7729" s="1" t="s">
        <v>710</v>
      </c>
      <c r="M7729" s="1" t="str">
        <f>"上海市 上海市 闵行区 马桥镇"</f>
        <v>上海市 上海市 闵行区 马桥镇</v>
      </c>
      <c r="N7729" s="1" t="str">
        <f t="shared" si="2252"/>
        <v>凡华云仓-韵达-快手</v>
      </c>
      <c r="O7729" s="5">
        <v>319206596744931</v>
      </c>
      <c r="P7729" s="6">
        <v>0.34</v>
      </c>
      <c r="Q7729" s="11">
        <v>2.2999999999999998</v>
      </c>
      <c r="R7729" s="11"/>
      <c r="S7729" s="11"/>
      <c r="T7729" s="11"/>
      <c r="U7729" s="11">
        <f t="shared" si="2234"/>
        <v>2.2999999999999998</v>
      </c>
      <c r="W7729">
        <v>2.5</v>
      </c>
      <c r="X7729" s="1" t="s">
        <v>710</v>
      </c>
    </row>
    <row r="7730" spans="1:24" x14ac:dyDescent="0.25">
      <c r="A7730" s="1" t="str">
        <f t="shared" si="2235"/>
        <v>卡卡杜-凤凰仓</v>
      </c>
      <c r="B7730" s="1" t="str">
        <f>"CK2024101116681"</f>
        <v>CK2024101116681</v>
      </c>
      <c r="C7730" s="1" t="str">
        <f>"DD2024101148453"</f>
        <v>DD2024101148453</v>
      </c>
      <c r="D7730" s="1" t="str">
        <f>"CK2024101151475"</f>
        <v>CK2024101151475</v>
      </c>
      <c r="E7730" s="1" t="str">
        <f>"2428502180395596"</f>
        <v>2428502180395596</v>
      </c>
      <c r="F7730" s="1" t="str">
        <f t="shared" si="2236"/>
        <v>花都四部-凤凰仓</v>
      </c>
      <c r="G7730" s="1" t="str">
        <f t="shared" si="2250"/>
        <v>卡卡杜佳旺专卖店（快手店）</v>
      </c>
      <c r="H7730" s="1" t="str">
        <f t="shared" si="2237"/>
        <v>正常订单</v>
      </c>
      <c r="I7730" s="1" t="str">
        <f t="shared" si="2238"/>
        <v>已发货</v>
      </c>
      <c r="J7730" s="1" t="str">
        <f t="shared" si="2251"/>
        <v>3</v>
      </c>
      <c r="K7730" s="1">
        <v>3</v>
      </c>
      <c r="L7730" s="1" t="s">
        <v>187</v>
      </c>
      <c r="M7730" s="1" t="str">
        <f>"吉林省 长春市 公主岭市 苇子沟街道"</f>
        <v>吉林省 长春市 公主岭市 苇子沟街道</v>
      </c>
      <c r="N7730" s="1" t="str">
        <f t="shared" si="2252"/>
        <v>凡华云仓-韵达-快手</v>
      </c>
      <c r="O7730" s="5">
        <v>319206519947961</v>
      </c>
      <c r="P7730" s="6">
        <v>0.34</v>
      </c>
      <c r="Q7730" s="11">
        <v>2.2999999999999998</v>
      </c>
      <c r="R7730" s="11"/>
      <c r="S7730" s="11"/>
      <c r="T7730" s="11"/>
      <c r="U7730" s="11">
        <f t="shared" si="2234"/>
        <v>2.2999999999999998</v>
      </c>
      <c r="W7730">
        <v>2.5</v>
      </c>
      <c r="X7730" s="1" t="s">
        <v>187</v>
      </c>
    </row>
    <row r="7731" spans="1:24" x14ac:dyDescent="0.25">
      <c r="A7731" s="1" t="str">
        <f t="shared" si="2235"/>
        <v>卡卡杜-凤凰仓</v>
      </c>
      <c r="B7731" s="1" t="str">
        <f>"CK2024101116675"</f>
        <v>CK2024101116675</v>
      </c>
      <c r="C7731" s="1" t="str">
        <f>"DD2024101148447"</f>
        <v>DD2024101148447</v>
      </c>
      <c r="D7731" s="1" t="str">
        <f>"CK2024101151469"</f>
        <v>CK2024101151469</v>
      </c>
      <c r="E7731" s="1" t="str">
        <f>"3723236494031062528"</f>
        <v>3723236494031062528</v>
      </c>
      <c r="F7731" s="1" t="str">
        <f t="shared" si="2236"/>
        <v>花都四部-凤凰仓</v>
      </c>
      <c r="G7731" s="1" t="str">
        <f t="shared" ref="G7731:G7734" si="2253">"卡卡杜企业店（视频号）"</f>
        <v>卡卡杜企业店（视频号）</v>
      </c>
      <c r="H7731" s="1" t="str">
        <f t="shared" si="2237"/>
        <v>正常订单</v>
      </c>
      <c r="I7731" s="1" t="str">
        <f t="shared" si="2238"/>
        <v>已发货</v>
      </c>
      <c r="J7731" s="1" t="str">
        <f t="shared" si="2251"/>
        <v>3</v>
      </c>
      <c r="K7731" s="1">
        <v>3</v>
      </c>
      <c r="L7731" s="1" t="s">
        <v>80</v>
      </c>
      <c r="M7731" s="1" t="str">
        <f>"河南省 郑州市 管城回族区 "</f>
        <v xml:space="preserve">河南省 郑州市 管城回族区 </v>
      </c>
      <c r="N7731" s="1" t="str">
        <f t="shared" ref="N7731:N7734" si="2254">"凡华云仓-韵达-微信视频号"</f>
        <v>凡华云仓-韵达-微信视频号</v>
      </c>
      <c r="O7731" s="5">
        <v>315012635071301</v>
      </c>
      <c r="P7731" s="6">
        <v>0.34</v>
      </c>
      <c r="Q7731" s="11">
        <v>2.2999999999999998</v>
      </c>
      <c r="R7731" s="11"/>
      <c r="S7731" s="11"/>
      <c r="T7731" s="11"/>
      <c r="U7731" s="11">
        <f t="shared" si="2234"/>
        <v>2.2999999999999998</v>
      </c>
      <c r="W7731">
        <v>2.5</v>
      </c>
      <c r="X7731" s="1" t="s">
        <v>80</v>
      </c>
    </row>
    <row r="7732" spans="1:24" x14ac:dyDescent="0.25">
      <c r="A7732" s="1" t="str">
        <f t="shared" si="2235"/>
        <v>卡卡杜-凤凰仓</v>
      </c>
      <c r="B7732" s="1" t="str">
        <f>"CK2024101116676"</f>
        <v>CK2024101116676</v>
      </c>
      <c r="C7732" s="1" t="str">
        <f>"DD2024101148445"</f>
        <v>DD2024101148445</v>
      </c>
      <c r="D7732" s="1" t="str">
        <f>"CK2024101151468"</f>
        <v>CK2024101151468</v>
      </c>
      <c r="E7732" s="1" t="str">
        <f>"3723236283661553664"</f>
        <v>3723236283661553664</v>
      </c>
      <c r="F7732" s="1" t="str">
        <f t="shared" si="2236"/>
        <v>花都四部-凤凰仓</v>
      </c>
      <c r="G7732" s="1" t="str">
        <f t="shared" si="2253"/>
        <v>卡卡杜企业店（视频号）</v>
      </c>
      <c r="H7732" s="1" t="str">
        <f t="shared" si="2237"/>
        <v>正常订单</v>
      </c>
      <c r="I7732" s="1" t="str">
        <f t="shared" si="2238"/>
        <v>已发货</v>
      </c>
      <c r="J7732" s="1" t="str">
        <f t="shared" si="2251"/>
        <v>3</v>
      </c>
      <c r="K7732" s="1">
        <v>3</v>
      </c>
      <c r="L7732" s="1" t="s">
        <v>20</v>
      </c>
      <c r="M7732" s="1" t="str">
        <f>"浙江省 温州市 鹿城区 "</f>
        <v xml:space="preserve">浙江省 温州市 鹿城区 </v>
      </c>
      <c r="N7732" s="1" t="str">
        <f t="shared" si="2254"/>
        <v>凡华云仓-韵达-微信视频号</v>
      </c>
      <c r="O7732" s="5">
        <v>315012635071117</v>
      </c>
      <c r="P7732" s="6">
        <v>0.34</v>
      </c>
      <c r="Q7732" s="11">
        <v>2.2999999999999998</v>
      </c>
      <c r="R7732" s="11"/>
      <c r="S7732" s="11"/>
      <c r="T7732" s="11"/>
      <c r="U7732" s="11">
        <f t="shared" si="2234"/>
        <v>2.2999999999999998</v>
      </c>
      <c r="W7732">
        <v>2.5</v>
      </c>
      <c r="X7732" s="1" t="s">
        <v>20</v>
      </c>
    </row>
    <row r="7733" spans="1:24" x14ac:dyDescent="0.25">
      <c r="A7733" s="1" t="str">
        <f t="shared" si="2235"/>
        <v>卡卡杜-凤凰仓</v>
      </c>
      <c r="B7733" s="1" t="str">
        <f>"CK2024101116683"</f>
        <v>CK2024101116683</v>
      </c>
      <c r="C7733" s="1" t="str">
        <f>"DD2024101148456"</f>
        <v>DD2024101148456</v>
      </c>
      <c r="D7733" s="1" t="str">
        <f>"CK2024101151467"</f>
        <v>CK2024101151467</v>
      </c>
      <c r="E7733" s="1" t="str">
        <f>"3723235305403057408"</f>
        <v>3723235305403057408</v>
      </c>
      <c r="F7733" s="1" t="str">
        <f t="shared" si="2236"/>
        <v>花都四部-凤凰仓</v>
      </c>
      <c r="G7733" s="1" t="str">
        <f t="shared" si="2253"/>
        <v>卡卡杜企业店（视频号）</v>
      </c>
      <c r="H7733" s="1" t="str">
        <f t="shared" si="2237"/>
        <v>正常订单</v>
      </c>
      <c r="I7733" s="1" t="str">
        <f t="shared" si="2238"/>
        <v>已发货</v>
      </c>
      <c r="J7733" s="1" t="str">
        <f t="shared" si="2251"/>
        <v>3</v>
      </c>
      <c r="K7733" s="1">
        <v>3</v>
      </c>
      <c r="L7733" s="1" t="s">
        <v>20</v>
      </c>
      <c r="M7733" s="1" t="str">
        <f>"浙江省 嘉兴市 海宁市 "</f>
        <v xml:space="preserve">浙江省 嘉兴市 海宁市 </v>
      </c>
      <c r="N7733" s="1" t="str">
        <f t="shared" si="2254"/>
        <v>凡华云仓-韵达-微信视频号</v>
      </c>
      <c r="O7733" s="5">
        <v>315012635070807</v>
      </c>
      <c r="P7733" s="6">
        <v>0.34</v>
      </c>
      <c r="Q7733" s="11">
        <v>2.2999999999999998</v>
      </c>
      <c r="R7733" s="11"/>
      <c r="S7733" s="11"/>
      <c r="T7733" s="11"/>
      <c r="U7733" s="11">
        <f t="shared" si="2234"/>
        <v>2.2999999999999998</v>
      </c>
      <c r="W7733">
        <v>2.5</v>
      </c>
      <c r="X7733" s="1" t="s">
        <v>20</v>
      </c>
    </row>
    <row r="7734" spans="1:24" x14ac:dyDescent="0.25">
      <c r="A7734" s="1" t="str">
        <f t="shared" si="2235"/>
        <v>卡卡杜-凤凰仓</v>
      </c>
      <c r="B7734" s="1" t="str">
        <f>"CK2024101116686"</f>
        <v>CK2024101116686</v>
      </c>
      <c r="C7734" s="1" t="str">
        <f>"DD2024101148457"</f>
        <v>DD2024101148457</v>
      </c>
      <c r="D7734" s="1" t="str">
        <f>"CK2024101151466"</f>
        <v>CK2024101151466</v>
      </c>
      <c r="E7734" s="1" t="str">
        <f>"3723234337485884416"</f>
        <v>3723234337485884416</v>
      </c>
      <c r="F7734" s="1" t="str">
        <f t="shared" si="2236"/>
        <v>花都四部-凤凰仓</v>
      </c>
      <c r="G7734" s="1" t="str">
        <f t="shared" si="2253"/>
        <v>卡卡杜企业店（视频号）</v>
      </c>
      <c r="H7734" s="1" t="str">
        <f t="shared" si="2237"/>
        <v>正常订单</v>
      </c>
      <c r="I7734" s="1" t="str">
        <f t="shared" si="2238"/>
        <v>已发货</v>
      </c>
      <c r="J7734" s="1" t="str">
        <f t="shared" si="2251"/>
        <v>3</v>
      </c>
      <c r="K7734" s="1">
        <v>3</v>
      </c>
      <c r="L7734" s="1" t="s">
        <v>18</v>
      </c>
      <c r="M7734" s="1" t="str">
        <f>"广东省 广州市 黄埔区 "</f>
        <v xml:space="preserve">广东省 广州市 黄埔区 </v>
      </c>
      <c r="N7734" s="1" t="str">
        <f t="shared" si="2254"/>
        <v>凡华云仓-韵达-微信视频号</v>
      </c>
      <c r="O7734" s="5">
        <v>315012635070407</v>
      </c>
      <c r="P7734" s="6">
        <v>0.34</v>
      </c>
      <c r="Q7734" s="11">
        <v>2.2999999999999998</v>
      </c>
      <c r="R7734" s="11"/>
      <c r="S7734" s="11"/>
      <c r="T7734" s="11"/>
      <c r="U7734" s="11">
        <f t="shared" si="2234"/>
        <v>2.2999999999999998</v>
      </c>
      <c r="W7734">
        <v>2.5</v>
      </c>
      <c r="X7734" s="1" t="s">
        <v>18</v>
      </c>
    </row>
    <row r="7735" spans="1:24" x14ac:dyDescent="0.25">
      <c r="A7735" s="1" t="str">
        <f t="shared" si="2235"/>
        <v>卡卡杜-凤凰仓</v>
      </c>
      <c r="B7735" s="1" t="str">
        <f>"CK2024101116672"</f>
        <v>CK2024101116672</v>
      </c>
      <c r="C7735" s="1" t="str">
        <f>"DD2024101148446"</f>
        <v>DD2024101148446</v>
      </c>
      <c r="D7735" s="1" t="str">
        <f>"CK2024101151465"</f>
        <v>CK2024101151465</v>
      </c>
      <c r="E7735" s="1" t="str">
        <f>"6934889539815806178"</f>
        <v>6934889539815806178</v>
      </c>
      <c r="F7735" s="1" t="str">
        <f t="shared" si="2236"/>
        <v>花都四部-凤凰仓</v>
      </c>
      <c r="G7735" s="1" t="str">
        <f t="shared" ref="G7735:G7745" si="2255">"卡卡杜个人护理店（抖店）"</f>
        <v>卡卡杜个人护理店（抖店）</v>
      </c>
      <c r="H7735" s="1" t="str">
        <f t="shared" si="2237"/>
        <v>正常订单</v>
      </c>
      <c r="I7735" s="1" t="str">
        <f t="shared" si="2238"/>
        <v>已发货</v>
      </c>
      <c r="J7735" s="1" t="str">
        <f t="shared" si="2251"/>
        <v>3</v>
      </c>
      <c r="K7735" s="1">
        <v>3</v>
      </c>
      <c r="L7735" s="1" t="s">
        <v>18</v>
      </c>
      <c r="M7735" s="1" t="str">
        <f>"广东省 佛山市 顺德区 陈村镇"</f>
        <v>广东省 佛山市 顺德区 陈村镇</v>
      </c>
      <c r="N7735" s="1" t="str">
        <f t="shared" ref="N7735:N7745" si="2256">"凡华云仓-韵达-抖音"</f>
        <v>凡华云仓-韵达-抖音</v>
      </c>
      <c r="O7735" s="5">
        <v>320166784806168</v>
      </c>
      <c r="P7735" s="6">
        <v>0.34</v>
      </c>
      <c r="Q7735" s="11">
        <v>2.2999999999999998</v>
      </c>
      <c r="R7735" s="11"/>
      <c r="S7735" s="11"/>
      <c r="T7735" s="11"/>
      <c r="U7735" s="11">
        <f t="shared" si="2234"/>
        <v>2.2999999999999998</v>
      </c>
      <c r="W7735">
        <v>2.5</v>
      </c>
      <c r="X7735" s="1" t="s">
        <v>18</v>
      </c>
    </row>
    <row r="7736" spans="1:24" x14ac:dyDescent="0.25">
      <c r="A7736" s="1" t="str">
        <f t="shared" si="2235"/>
        <v>卡卡杜-凤凰仓</v>
      </c>
      <c r="B7736" s="1" t="str">
        <f>"CK2024101116677"</f>
        <v>CK2024101116677</v>
      </c>
      <c r="C7736" s="1" t="str">
        <f>"DD2024101148452"</f>
        <v>DD2024101148452</v>
      </c>
      <c r="D7736" s="1" t="str">
        <f>"CK2024101151464"</f>
        <v>CK2024101151464</v>
      </c>
      <c r="E7736" s="1" t="str">
        <f>"6934871646424077437"</f>
        <v>6934871646424077437</v>
      </c>
      <c r="F7736" s="1" t="str">
        <f t="shared" si="2236"/>
        <v>花都四部-凤凰仓</v>
      </c>
      <c r="G7736" s="1" t="str">
        <f t="shared" si="2255"/>
        <v>卡卡杜个人护理店（抖店）</v>
      </c>
      <c r="H7736" s="1" t="str">
        <f t="shared" si="2237"/>
        <v>正常订单</v>
      </c>
      <c r="I7736" s="1" t="str">
        <f t="shared" si="2238"/>
        <v>已发货</v>
      </c>
      <c r="J7736" s="1" t="str">
        <f t="shared" si="2251"/>
        <v>3</v>
      </c>
      <c r="K7736" s="1">
        <v>2</v>
      </c>
      <c r="L7736" s="1" t="s">
        <v>13</v>
      </c>
      <c r="M7736" s="1" t="str">
        <f>"江苏省 苏州市 吴中区 郭巷街道"</f>
        <v>江苏省 苏州市 吴中区 郭巷街道</v>
      </c>
      <c r="N7736" s="1" t="str">
        <f t="shared" si="2256"/>
        <v>凡华云仓-韵达-抖音</v>
      </c>
      <c r="O7736" s="5">
        <v>320166784806079</v>
      </c>
      <c r="P7736" s="6">
        <v>0.35</v>
      </c>
      <c r="Q7736" s="11">
        <v>2.2999999999999998</v>
      </c>
      <c r="R7736" s="11"/>
      <c r="S7736" s="11"/>
      <c r="T7736" s="11"/>
      <c r="U7736" s="11">
        <f t="shared" si="2234"/>
        <v>2.2999999999999998</v>
      </c>
      <c r="W7736">
        <v>2.5</v>
      </c>
      <c r="X7736" s="1" t="s">
        <v>13</v>
      </c>
    </row>
    <row r="7737" spans="1:24" x14ac:dyDescent="0.25">
      <c r="A7737" s="1" t="str">
        <f t="shared" si="2235"/>
        <v>卡卡杜-凤凰仓</v>
      </c>
      <c r="B7737" s="1" t="str">
        <f>"CK2024101116682"</f>
        <v>CK2024101116682</v>
      </c>
      <c r="C7737" s="1" t="str">
        <f>"DD2024101148454"</f>
        <v>DD2024101148454</v>
      </c>
      <c r="D7737" s="1" t="str">
        <f>"CK2024101151463"</f>
        <v>CK2024101151463</v>
      </c>
      <c r="E7737" s="1" t="str">
        <f>"6934873677879121392"</f>
        <v>6934873677879121392</v>
      </c>
      <c r="F7737" s="1" t="str">
        <f t="shared" si="2236"/>
        <v>花都四部-凤凰仓</v>
      </c>
      <c r="G7737" s="1" t="str">
        <f t="shared" si="2255"/>
        <v>卡卡杜个人护理店（抖店）</v>
      </c>
      <c r="H7737" s="1" t="str">
        <f t="shared" si="2237"/>
        <v>正常订单</v>
      </c>
      <c r="I7737" s="1" t="str">
        <f t="shared" si="2238"/>
        <v>已发货</v>
      </c>
      <c r="J7737" s="1" t="str">
        <f t="shared" si="2251"/>
        <v>3</v>
      </c>
      <c r="K7737" s="1">
        <v>3</v>
      </c>
      <c r="L7737" s="1" t="s">
        <v>187</v>
      </c>
      <c r="M7737" s="1" t="str">
        <f>"吉林省 长春市 南关区 德正街道"</f>
        <v>吉林省 长春市 南关区 德正街道</v>
      </c>
      <c r="N7737" s="1" t="str">
        <f t="shared" si="2256"/>
        <v>凡华云仓-韵达-抖音</v>
      </c>
      <c r="O7737" s="5">
        <v>320166784805953</v>
      </c>
      <c r="P7737" s="6">
        <v>0.34</v>
      </c>
      <c r="Q7737" s="11">
        <v>2.2999999999999998</v>
      </c>
      <c r="R7737" s="11"/>
      <c r="S7737" s="11"/>
      <c r="T7737" s="11"/>
      <c r="U7737" s="11">
        <f t="shared" si="2234"/>
        <v>2.2999999999999998</v>
      </c>
      <c r="W7737">
        <v>2.5</v>
      </c>
      <c r="X7737" s="1" t="s">
        <v>187</v>
      </c>
    </row>
    <row r="7738" spans="1:24" x14ac:dyDescent="0.25">
      <c r="A7738" s="1" t="str">
        <f t="shared" si="2235"/>
        <v>卡卡杜-凤凰仓</v>
      </c>
      <c r="B7738" s="1" t="str">
        <f>"CK2024101116684"</f>
        <v>CK2024101116684</v>
      </c>
      <c r="C7738" s="1" t="str">
        <f>"DD2024101148455"</f>
        <v>DD2024101148455</v>
      </c>
      <c r="D7738" s="1" t="str">
        <f>"CK2024101151462"</f>
        <v>CK2024101151462</v>
      </c>
      <c r="E7738" s="1" t="str">
        <f>"6934867289038460219"</f>
        <v>6934867289038460219</v>
      </c>
      <c r="F7738" s="1" t="str">
        <f t="shared" si="2236"/>
        <v>花都四部-凤凰仓</v>
      </c>
      <c r="G7738" s="1" t="str">
        <f t="shared" si="2255"/>
        <v>卡卡杜个人护理店（抖店）</v>
      </c>
      <c r="H7738" s="1" t="str">
        <f t="shared" si="2237"/>
        <v>正常订单</v>
      </c>
      <c r="I7738" s="1" t="str">
        <f t="shared" si="2238"/>
        <v>已发货</v>
      </c>
      <c r="J7738" s="1" t="str">
        <f t="shared" si="2251"/>
        <v>3</v>
      </c>
      <c r="K7738" s="1">
        <v>3</v>
      </c>
      <c r="L7738" s="1" t="s">
        <v>18</v>
      </c>
      <c r="M7738" s="1" t="str">
        <f>"广东省 江门市 鹤山市 沙坪街道"</f>
        <v>广东省 江门市 鹤山市 沙坪街道</v>
      </c>
      <c r="N7738" s="1" t="str">
        <f t="shared" si="2256"/>
        <v>凡华云仓-韵达-抖音</v>
      </c>
      <c r="O7738" s="5">
        <v>320166784805848</v>
      </c>
      <c r="P7738" s="6">
        <v>0.34</v>
      </c>
      <c r="Q7738" s="11">
        <v>2.2999999999999998</v>
      </c>
      <c r="R7738" s="11"/>
      <c r="S7738" s="11"/>
      <c r="T7738" s="11"/>
      <c r="U7738" s="11">
        <f t="shared" si="2234"/>
        <v>2.2999999999999998</v>
      </c>
      <c r="W7738">
        <v>2.5</v>
      </c>
      <c r="X7738" s="1" t="s">
        <v>18</v>
      </c>
    </row>
    <row r="7739" spans="1:24" x14ac:dyDescent="0.25">
      <c r="A7739" s="1" t="str">
        <f t="shared" si="2235"/>
        <v>卡卡杜-凤凰仓</v>
      </c>
      <c r="B7739" s="1" t="str">
        <f>"CK2024101116688"</f>
        <v>CK2024101116688</v>
      </c>
      <c r="C7739" s="1" t="str">
        <f>"DD2024101148458"</f>
        <v>DD2024101148458</v>
      </c>
      <c r="D7739" s="1" t="str">
        <f>"CK2024101151461"</f>
        <v>CK2024101151461</v>
      </c>
      <c r="E7739" s="1" t="str">
        <f>"6917556438684434038"</f>
        <v>6917556438684434038</v>
      </c>
      <c r="F7739" s="1" t="str">
        <f t="shared" si="2236"/>
        <v>花都四部-凤凰仓</v>
      </c>
      <c r="G7739" s="1" t="str">
        <f t="shared" si="2255"/>
        <v>卡卡杜个人护理店（抖店）</v>
      </c>
      <c r="H7739" s="1" t="str">
        <f t="shared" si="2237"/>
        <v>正常订单</v>
      </c>
      <c r="I7739" s="1" t="str">
        <f t="shared" si="2238"/>
        <v>已发货</v>
      </c>
      <c r="J7739" s="1" t="str">
        <f t="shared" si="2251"/>
        <v>3</v>
      </c>
      <c r="K7739" s="1">
        <v>2</v>
      </c>
      <c r="L7739" s="1" t="s">
        <v>24</v>
      </c>
      <c r="M7739" s="1" t="str">
        <f>"福建省 福州市 福清市 江镜镇"</f>
        <v>福建省 福州市 福清市 江镜镇</v>
      </c>
      <c r="N7739" s="1" t="str">
        <f t="shared" si="2256"/>
        <v>凡华云仓-韵达-抖音</v>
      </c>
      <c r="O7739" s="5">
        <v>320166795900022</v>
      </c>
      <c r="P7739" s="6">
        <v>0.35</v>
      </c>
      <c r="Q7739" s="11">
        <v>2.2999999999999998</v>
      </c>
      <c r="R7739" s="11"/>
      <c r="S7739" s="11"/>
      <c r="T7739" s="11"/>
      <c r="U7739" s="11">
        <f t="shared" si="2234"/>
        <v>2.2999999999999998</v>
      </c>
      <c r="W7739">
        <v>2.5</v>
      </c>
      <c r="X7739" s="1" t="s">
        <v>24</v>
      </c>
    </row>
    <row r="7740" spans="1:24" x14ac:dyDescent="0.25">
      <c r="A7740" s="1" t="str">
        <f t="shared" si="2235"/>
        <v>卡卡杜-凤凰仓</v>
      </c>
      <c r="B7740" s="1" t="str">
        <f>"CK2024101116689"</f>
        <v>CK2024101116689</v>
      </c>
      <c r="C7740" s="1" t="str">
        <f>"DD2024101148460"</f>
        <v>DD2024101148460</v>
      </c>
      <c r="D7740" s="1" t="str">
        <f>"CK2024101151460"</f>
        <v>CK2024101151460</v>
      </c>
      <c r="E7740" s="1" t="str">
        <f>"6934873756279051707"</f>
        <v>6934873756279051707</v>
      </c>
      <c r="F7740" s="1" t="str">
        <f t="shared" si="2236"/>
        <v>花都四部-凤凰仓</v>
      </c>
      <c r="G7740" s="1" t="str">
        <f t="shared" si="2255"/>
        <v>卡卡杜个人护理店（抖店）</v>
      </c>
      <c r="H7740" s="1" t="str">
        <f t="shared" si="2237"/>
        <v>正常订单</v>
      </c>
      <c r="I7740" s="1" t="str">
        <f t="shared" si="2238"/>
        <v>已发货</v>
      </c>
      <c r="J7740" s="1" t="str">
        <f>"5"</f>
        <v>5</v>
      </c>
      <c r="K7740" s="1">
        <v>3</v>
      </c>
      <c r="L7740" s="1" t="s">
        <v>47</v>
      </c>
      <c r="M7740" s="1" t="str">
        <f>"重庆 重庆市 渝北区 大竹林街道"</f>
        <v>重庆 重庆市 渝北区 大竹林街道</v>
      </c>
      <c r="N7740" s="1" t="str">
        <f t="shared" si="2256"/>
        <v>凡华云仓-韵达-抖音</v>
      </c>
      <c r="O7740" s="5">
        <v>320166795899936</v>
      </c>
      <c r="P7740" s="6">
        <v>0.47</v>
      </c>
      <c r="Q7740" s="11">
        <v>2.2999999999999998</v>
      </c>
      <c r="R7740" s="11"/>
      <c r="S7740" s="11"/>
      <c r="T7740" s="11"/>
      <c r="U7740" s="11">
        <f t="shared" si="2234"/>
        <v>2.2999999999999998</v>
      </c>
      <c r="W7740">
        <v>2.5</v>
      </c>
      <c r="X7740" s="1" t="s">
        <v>47</v>
      </c>
    </row>
    <row r="7741" spans="1:24" x14ac:dyDescent="0.25">
      <c r="A7741" s="1" t="str">
        <f t="shared" si="2235"/>
        <v>卡卡杜-凤凰仓</v>
      </c>
      <c r="B7741" s="1" t="str">
        <f>"CK2024101116690"</f>
        <v>CK2024101116690</v>
      </c>
      <c r="C7741" s="1" t="str">
        <f>"DD2024101148459"</f>
        <v>DD2024101148459</v>
      </c>
      <c r="D7741" s="1" t="str">
        <f>"CK2024101151459"</f>
        <v>CK2024101151459</v>
      </c>
      <c r="E7741" s="1" t="str">
        <f>"6934889007422379240"</f>
        <v>6934889007422379240</v>
      </c>
      <c r="F7741" s="1" t="str">
        <f t="shared" si="2236"/>
        <v>花都四部-凤凰仓</v>
      </c>
      <c r="G7741" s="1" t="str">
        <f t="shared" si="2255"/>
        <v>卡卡杜个人护理店（抖店）</v>
      </c>
      <c r="H7741" s="1" t="str">
        <f t="shared" si="2237"/>
        <v>正常订单</v>
      </c>
      <c r="I7741" s="1" t="str">
        <f t="shared" si="2238"/>
        <v>已发货</v>
      </c>
      <c r="J7741" s="1" t="str">
        <f t="shared" ref="J7741:J7754" si="2257">"3"</f>
        <v>3</v>
      </c>
      <c r="K7741" s="1">
        <v>3</v>
      </c>
      <c r="L7741" s="1" t="s">
        <v>18</v>
      </c>
      <c r="M7741" s="1" t="str">
        <f>"广东省 广州市 越秀区 珠光街道"</f>
        <v>广东省 广州市 越秀区 珠光街道</v>
      </c>
      <c r="N7741" s="1" t="str">
        <f t="shared" si="2256"/>
        <v>凡华云仓-韵达-抖音</v>
      </c>
      <c r="O7741" s="5">
        <v>320166795899831</v>
      </c>
      <c r="P7741" s="6">
        <v>0.34</v>
      </c>
      <c r="Q7741" s="11">
        <v>2.2999999999999998</v>
      </c>
      <c r="R7741" s="11"/>
      <c r="S7741" s="11"/>
      <c r="T7741" s="11"/>
      <c r="U7741" s="11">
        <f t="shared" si="2234"/>
        <v>2.2999999999999998</v>
      </c>
      <c r="W7741">
        <v>2.5</v>
      </c>
      <c r="X7741" s="1" t="s">
        <v>18</v>
      </c>
    </row>
    <row r="7742" spans="1:24" x14ac:dyDescent="0.25">
      <c r="A7742" s="1" t="str">
        <f t="shared" si="2235"/>
        <v>卡卡杜-凤凰仓</v>
      </c>
      <c r="B7742" s="1" t="str">
        <f>"CK2024101116692"</f>
        <v>CK2024101116692</v>
      </c>
      <c r="C7742" s="1" t="str">
        <f>"DD2024101148461"</f>
        <v>DD2024101148461</v>
      </c>
      <c r="D7742" s="1" t="str">
        <f>"CK2024101151458"</f>
        <v>CK2024101151458</v>
      </c>
      <c r="E7742" s="1" t="str">
        <f>"6934884490945501062"</f>
        <v>6934884490945501062</v>
      </c>
      <c r="F7742" s="1" t="str">
        <f t="shared" si="2236"/>
        <v>花都四部-凤凰仓</v>
      </c>
      <c r="G7742" s="1" t="str">
        <f t="shared" si="2255"/>
        <v>卡卡杜个人护理店（抖店）</v>
      </c>
      <c r="H7742" s="1" t="str">
        <f t="shared" si="2237"/>
        <v>正常订单</v>
      </c>
      <c r="I7742" s="1" t="str">
        <f t="shared" si="2238"/>
        <v>已发货</v>
      </c>
      <c r="J7742" s="1" t="str">
        <f t="shared" si="2257"/>
        <v>3</v>
      </c>
      <c r="K7742" s="1">
        <v>2</v>
      </c>
      <c r="L7742" s="1" t="s">
        <v>20</v>
      </c>
      <c r="M7742" s="1" t="str">
        <f>"浙江省 温州市 苍南县 宜山镇"</f>
        <v>浙江省 温州市 苍南县 宜山镇</v>
      </c>
      <c r="N7742" s="1" t="str">
        <f t="shared" si="2256"/>
        <v>凡华云仓-韵达-抖音</v>
      </c>
      <c r="O7742" s="5">
        <v>320166795899728</v>
      </c>
      <c r="P7742" s="6">
        <v>0.35</v>
      </c>
      <c r="Q7742" s="11">
        <v>2.2999999999999998</v>
      </c>
      <c r="R7742" s="11"/>
      <c r="S7742" s="11"/>
      <c r="T7742" s="11"/>
      <c r="U7742" s="11">
        <f t="shared" si="2234"/>
        <v>2.2999999999999998</v>
      </c>
      <c r="W7742">
        <v>2.5</v>
      </c>
      <c r="X7742" s="1" t="s">
        <v>20</v>
      </c>
    </row>
    <row r="7743" spans="1:24" x14ac:dyDescent="0.25">
      <c r="A7743" s="1" t="str">
        <f t="shared" si="2235"/>
        <v>卡卡杜-凤凰仓</v>
      </c>
      <c r="B7743" s="1" t="str">
        <f>"CK2024101116694"</f>
        <v>CK2024101116694</v>
      </c>
      <c r="C7743" s="1" t="str">
        <f>"DD2024101148462"</f>
        <v>DD2024101148462</v>
      </c>
      <c r="D7743" s="1" t="str">
        <f>"CK2024101151457"</f>
        <v>CK2024101151457</v>
      </c>
      <c r="E7743" s="1" t="str">
        <f>"6934859947785458779"</f>
        <v>6934859947785458779</v>
      </c>
      <c r="F7743" s="1" t="str">
        <f t="shared" si="2236"/>
        <v>花都四部-凤凰仓</v>
      </c>
      <c r="G7743" s="1" t="str">
        <f t="shared" si="2255"/>
        <v>卡卡杜个人护理店（抖店）</v>
      </c>
      <c r="H7743" s="1" t="str">
        <f t="shared" si="2237"/>
        <v>正常订单</v>
      </c>
      <c r="I7743" s="1" t="str">
        <f t="shared" si="2238"/>
        <v>已发货</v>
      </c>
      <c r="J7743" s="1" t="str">
        <f t="shared" si="2257"/>
        <v>3</v>
      </c>
      <c r="K7743" s="1">
        <v>2</v>
      </c>
      <c r="L7743" s="1" t="s">
        <v>20</v>
      </c>
      <c r="M7743" s="1" t="str">
        <f>"浙江省 温州市 永嘉县 瓯北街道"</f>
        <v>浙江省 温州市 永嘉县 瓯北街道</v>
      </c>
      <c r="N7743" s="1" t="str">
        <f t="shared" si="2256"/>
        <v>凡华云仓-韵达-抖音</v>
      </c>
      <c r="O7743" s="5">
        <v>320166795899627</v>
      </c>
      <c r="P7743" s="6">
        <v>0.35</v>
      </c>
      <c r="Q7743" s="11">
        <v>2.2999999999999998</v>
      </c>
      <c r="R7743" s="11"/>
      <c r="S7743" s="11"/>
      <c r="T7743" s="11"/>
      <c r="U7743" s="11">
        <f t="shared" si="2234"/>
        <v>2.2999999999999998</v>
      </c>
      <c r="W7743">
        <v>2.5</v>
      </c>
      <c r="X7743" s="1" t="s">
        <v>20</v>
      </c>
    </row>
    <row r="7744" spans="1:24" x14ac:dyDescent="0.25">
      <c r="A7744" s="1" t="str">
        <f t="shared" si="2235"/>
        <v>卡卡杜-凤凰仓</v>
      </c>
      <c r="B7744" s="1" t="str">
        <f>"CK2024101116695"</f>
        <v>CK2024101116695</v>
      </c>
      <c r="C7744" s="1" t="str">
        <f>"DD2024101148463"</f>
        <v>DD2024101148463</v>
      </c>
      <c r="D7744" s="1" t="str">
        <f>"CK2024101151456"</f>
        <v>CK2024101151456</v>
      </c>
      <c r="E7744" s="1" t="str">
        <f>"6934868719763133863"</f>
        <v>6934868719763133863</v>
      </c>
      <c r="F7744" s="1" t="str">
        <f t="shared" si="2236"/>
        <v>花都四部-凤凰仓</v>
      </c>
      <c r="G7744" s="1" t="str">
        <f t="shared" si="2255"/>
        <v>卡卡杜个人护理店（抖店）</v>
      </c>
      <c r="H7744" s="1" t="str">
        <f t="shared" si="2237"/>
        <v>正常订单</v>
      </c>
      <c r="I7744" s="1" t="str">
        <f t="shared" si="2238"/>
        <v>已发货</v>
      </c>
      <c r="J7744" s="1" t="str">
        <f t="shared" si="2257"/>
        <v>3</v>
      </c>
      <c r="K7744" s="1">
        <v>2</v>
      </c>
      <c r="L7744" s="1" t="s">
        <v>13</v>
      </c>
      <c r="M7744" s="1" t="str">
        <f>"江苏省 南通市 如皋市 长江镇"</f>
        <v>江苏省 南通市 如皋市 长江镇</v>
      </c>
      <c r="N7744" s="1" t="str">
        <f t="shared" si="2256"/>
        <v>凡华云仓-韵达-抖音</v>
      </c>
      <c r="O7744" s="5">
        <v>320166795899528</v>
      </c>
      <c r="P7744" s="6">
        <v>0.35</v>
      </c>
      <c r="Q7744" s="11">
        <v>2.2999999999999998</v>
      </c>
      <c r="R7744" s="11"/>
      <c r="S7744" s="11"/>
      <c r="T7744" s="11"/>
      <c r="U7744" s="11">
        <f t="shared" si="2234"/>
        <v>2.2999999999999998</v>
      </c>
      <c r="W7744">
        <v>2.5</v>
      </c>
      <c r="X7744" s="1" t="s">
        <v>13</v>
      </c>
    </row>
    <row r="7745" spans="1:24" x14ac:dyDescent="0.25">
      <c r="A7745" s="1" t="str">
        <f t="shared" si="2235"/>
        <v>卡卡杜-凤凰仓</v>
      </c>
      <c r="B7745" s="1" t="str">
        <f>"CK2024101116696"</f>
        <v>CK2024101116696</v>
      </c>
      <c r="C7745" s="1" t="str">
        <f>"DD2024101148464"</f>
        <v>DD2024101148464</v>
      </c>
      <c r="D7745" s="1" t="str">
        <f>"CK2024101151455"</f>
        <v>CK2024101151455</v>
      </c>
      <c r="E7745" s="1" t="str">
        <f>"6934882522621744687"</f>
        <v>6934882522621744687</v>
      </c>
      <c r="F7745" s="1" t="str">
        <f t="shared" si="2236"/>
        <v>花都四部-凤凰仓</v>
      </c>
      <c r="G7745" s="1" t="str">
        <f t="shared" si="2255"/>
        <v>卡卡杜个人护理店（抖店）</v>
      </c>
      <c r="H7745" s="1" t="str">
        <f t="shared" si="2237"/>
        <v>正常订单</v>
      </c>
      <c r="I7745" s="1" t="str">
        <f t="shared" si="2238"/>
        <v>已发货</v>
      </c>
      <c r="J7745" s="1" t="str">
        <f t="shared" si="2257"/>
        <v>3</v>
      </c>
      <c r="K7745" s="1">
        <v>2</v>
      </c>
      <c r="L7745" s="1" t="s">
        <v>20</v>
      </c>
      <c r="M7745" s="1" t="str">
        <f>"浙江省 宁波市 余姚市 马渚镇"</f>
        <v>浙江省 宁波市 余姚市 马渚镇</v>
      </c>
      <c r="N7745" s="1" t="str">
        <f t="shared" si="2256"/>
        <v>凡华云仓-韵达-抖音</v>
      </c>
      <c r="O7745" s="5">
        <v>320166795899431</v>
      </c>
      <c r="P7745" s="6">
        <v>0.35</v>
      </c>
      <c r="Q7745" s="11">
        <v>2.2999999999999998</v>
      </c>
      <c r="R7745" s="11"/>
      <c r="S7745" s="11"/>
      <c r="T7745" s="11"/>
      <c r="U7745" s="11">
        <f t="shared" si="2234"/>
        <v>2.2999999999999998</v>
      </c>
      <c r="W7745">
        <v>2.5</v>
      </c>
      <c r="X7745" s="1" t="s">
        <v>20</v>
      </c>
    </row>
    <row r="7746" spans="1:24" x14ac:dyDescent="0.25">
      <c r="A7746" s="1" t="str">
        <f t="shared" si="2235"/>
        <v>卡卡杜-凤凰仓</v>
      </c>
      <c r="B7746" s="1" t="str">
        <f>"CK202410118151"</f>
        <v>CK202410118151</v>
      </c>
      <c r="C7746" s="1" t="str">
        <f>"DD2024101116706"</f>
        <v>DD2024101116706</v>
      </c>
      <c r="D7746" s="1" t="str">
        <f>"CK2024101117595"</f>
        <v>CK2024101117595</v>
      </c>
      <c r="E7746" s="1" t="str">
        <f>"3723230929332868096"</f>
        <v>3723230929332868096</v>
      </c>
      <c r="F7746" s="1" t="str">
        <f t="shared" si="2236"/>
        <v>花都四部-凤凰仓</v>
      </c>
      <c r="G7746" s="1" t="str">
        <f t="shared" ref="G7746:G7755" si="2258">"卡卡杜企业店（视频号）"</f>
        <v>卡卡杜企业店（视频号）</v>
      </c>
      <c r="H7746" s="1" t="str">
        <f t="shared" si="2237"/>
        <v>正常订单</v>
      </c>
      <c r="I7746" s="1" t="str">
        <f t="shared" si="2238"/>
        <v>已发货</v>
      </c>
      <c r="J7746" s="1" t="str">
        <f t="shared" si="2257"/>
        <v>3</v>
      </c>
      <c r="K7746" s="1">
        <v>3</v>
      </c>
      <c r="L7746" s="1" t="s">
        <v>18</v>
      </c>
      <c r="M7746" s="1" t="str">
        <f>"广东省 深圳市 罗湖区 "</f>
        <v xml:space="preserve">广东省 深圳市 罗湖区 </v>
      </c>
      <c r="N7746" s="1" t="str">
        <f t="shared" ref="N7746:N7755" si="2259">"凡华云仓-韵达-微信视频号"</f>
        <v>凡华云仓-韵达-微信视频号</v>
      </c>
      <c r="O7746" s="5">
        <v>315012580918500</v>
      </c>
      <c r="P7746" s="6">
        <v>0.34</v>
      </c>
      <c r="Q7746" s="11">
        <v>2.2999999999999998</v>
      </c>
      <c r="R7746" s="11"/>
      <c r="S7746" s="11"/>
      <c r="T7746" s="11"/>
      <c r="U7746" s="11">
        <f t="shared" si="2234"/>
        <v>2.2999999999999998</v>
      </c>
      <c r="W7746">
        <v>2.5</v>
      </c>
      <c r="X7746" s="1" t="s">
        <v>18</v>
      </c>
    </row>
    <row r="7747" spans="1:24" x14ac:dyDescent="0.25">
      <c r="A7747" s="1" t="str">
        <f t="shared" si="2235"/>
        <v>卡卡杜-凤凰仓</v>
      </c>
      <c r="B7747" s="1" t="str">
        <f>"CK202410118155"</f>
        <v>CK202410118155</v>
      </c>
      <c r="C7747" s="1" t="str">
        <f>"DD2024101116704"</f>
        <v>DD2024101116704</v>
      </c>
      <c r="D7747" s="1" t="str">
        <f>"CK2024101117594"</f>
        <v>CK2024101117594</v>
      </c>
      <c r="E7747" s="1" t="str">
        <f>"3723229206851750912"</f>
        <v>3723229206851750912</v>
      </c>
      <c r="F7747" s="1" t="str">
        <f t="shared" si="2236"/>
        <v>花都四部-凤凰仓</v>
      </c>
      <c r="G7747" s="1" t="str">
        <f t="shared" si="2258"/>
        <v>卡卡杜企业店（视频号）</v>
      </c>
      <c r="H7747" s="1" t="str">
        <f t="shared" si="2237"/>
        <v>正常订单</v>
      </c>
      <c r="I7747" s="1" t="str">
        <f t="shared" si="2238"/>
        <v>已发货</v>
      </c>
      <c r="J7747" s="1" t="str">
        <f t="shared" si="2257"/>
        <v>3</v>
      </c>
      <c r="K7747" s="1">
        <v>3</v>
      </c>
      <c r="L7747" s="1" t="s">
        <v>66</v>
      </c>
      <c r="M7747" s="1" t="str">
        <f>"内蒙古自治区 呼和浩特市 赛罕区 "</f>
        <v xml:space="preserve">内蒙古自治区 呼和浩特市 赛罕区 </v>
      </c>
      <c r="N7747" s="1" t="str">
        <f t="shared" si="2259"/>
        <v>凡华云仓-韵达-微信视频号</v>
      </c>
      <c r="O7747" s="5">
        <v>315012580913313</v>
      </c>
      <c r="P7747" s="6">
        <v>0.34</v>
      </c>
      <c r="Q7747" s="11">
        <v>2.2999999999999998</v>
      </c>
      <c r="R7747" s="11"/>
      <c r="S7747" s="11"/>
      <c r="T7747" s="11"/>
      <c r="U7747" s="11">
        <f t="shared" ref="U7747:U7810" si="2260">T7747+S7747+R7747+Q7747</f>
        <v>2.2999999999999998</v>
      </c>
      <c r="W7747">
        <v>2.5</v>
      </c>
      <c r="X7747" s="1" t="s">
        <v>66</v>
      </c>
    </row>
    <row r="7748" spans="1:24" x14ac:dyDescent="0.25">
      <c r="A7748" s="1" t="str">
        <f t="shared" si="2235"/>
        <v>卡卡杜-凤凰仓</v>
      </c>
      <c r="B7748" s="1" t="str">
        <f>"CK202410118157"</f>
        <v>CK202410118157</v>
      </c>
      <c r="C7748" s="1" t="str">
        <f>"DD2024101116710"</f>
        <v>DD2024101116710</v>
      </c>
      <c r="D7748" s="1" t="str">
        <f>"CK2024101117593"</f>
        <v>CK2024101117593</v>
      </c>
      <c r="E7748" s="1" t="str">
        <f>"3723228475681280000"</f>
        <v>3723228475681280000</v>
      </c>
      <c r="F7748" s="1" t="str">
        <f t="shared" si="2236"/>
        <v>花都四部-凤凰仓</v>
      </c>
      <c r="G7748" s="1" t="str">
        <f t="shared" si="2258"/>
        <v>卡卡杜企业店（视频号）</v>
      </c>
      <c r="H7748" s="1" t="str">
        <f t="shared" si="2237"/>
        <v>正常订单</v>
      </c>
      <c r="I7748" s="1" t="str">
        <f t="shared" si="2238"/>
        <v>已发货</v>
      </c>
      <c r="J7748" s="1" t="str">
        <f t="shared" si="2257"/>
        <v>3</v>
      </c>
      <c r="K7748" s="1">
        <v>3</v>
      </c>
      <c r="L7748" s="1" t="s">
        <v>54</v>
      </c>
      <c r="M7748" s="1" t="str">
        <f>"黑龙江省 哈尔滨市 道里区 "</f>
        <v xml:space="preserve">黑龙江省 哈尔滨市 道里区 </v>
      </c>
      <c r="N7748" s="1" t="str">
        <f t="shared" si="2259"/>
        <v>凡华云仓-韵达-微信视频号</v>
      </c>
      <c r="O7748" s="5">
        <v>315012580906707</v>
      </c>
      <c r="P7748" s="6">
        <v>0.34</v>
      </c>
      <c r="Q7748" s="11">
        <v>2.2999999999999998</v>
      </c>
      <c r="R7748" s="11"/>
      <c r="S7748" s="11"/>
      <c r="T7748" s="11"/>
      <c r="U7748" s="11">
        <f t="shared" si="2260"/>
        <v>2.2999999999999998</v>
      </c>
      <c r="W7748">
        <v>2.5</v>
      </c>
      <c r="X7748" s="1" t="s">
        <v>54</v>
      </c>
    </row>
    <row r="7749" spans="1:24" x14ac:dyDescent="0.25">
      <c r="A7749" s="1" t="str">
        <f t="shared" ref="A7749:A7812" si="2261">"卡卡杜-凤凰仓"</f>
        <v>卡卡杜-凤凰仓</v>
      </c>
      <c r="B7749" s="1" t="str">
        <f>"CK202410118158"</f>
        <v>CK202410118158</v>
      </c>
      <c r="C7749" s="1" t="str">
        <f>"DD2024101116713"</f>
        <v>DD2024101116713</v>
      </c>
      <c r="D7749" s="1" t="str">
        <f>"CK2024101117592"</f>
        <v>CK2024101117592</v>
      </c>
      <c r="E7749" s="1" t="str">
        <f>"3723228019645879296"</f>
        <v>3723228019645879296</v>
      </c>
      <c r="F7749" s="1" t="str">
        <f t="shared" ref="F7749:F7812" si="2262">"花都四部-凤凰仓"</f>
        <v>花都四部-凤凰仓</v>
      </c>
      <c r="G7749" s="1" t="str">
        <f t="shared" si="2258"/>
        <v>卡卡杜企业店（视频号）</v>
      </c>
      <c r="H7749" s="1" t="str">
        <f t="shared" ref="H7749:H7812" si="2263">"正常订单"</f>
        <v>正常订单</v>
      </c>
      <c r="I7749" s="1" t="str">
        <f t="shared" ref="I7749:I7812" si="2264">"已发货"</f>
        <v>已发货</v>
      </c>
      <c r="J7749" s="1" t="str">
        <f t="shared" si="2257"/>
        <v>3</v>
      </c>
      <c r="K7749" s="1">
        <v>3</v>
      </c>
      <c r="L7749" s="1" t="s">
        <v>13</v>
      </c>
      <c r="M7749" s="1" t="str">
        <f>"江苏省 镇江市 京口区 "</f>
        <v xml:space="preserve">江苏省 镇江市 京口区 </v>
      </c>
      <c r="N7749" s="1" t="str">
        <f t="shared" si="2259"/>
        <v>凡华云仓-韵达-微信视频号</v>
      </c>
      <c r="O7749" s="5">
        <v>315012580899584</v>
      </c>
      <c r="P7749" s="6">
        <v>0.34</v>
      </c>
      <c r="Q7749" s="11">
        <v>2.2999999999999998</v>
      </c>
      <c r="R7749" s="11"/>
      <c r="S7749" s="11"/>
      <c r="T7749" s="11"/>
      <c r="U7749" s="11">
        <f t="shared" si="2260"/>
        <v>2.2999999999999998</v>
      </c>
      <c r="W7749">
        <v>2.5</v>
      </c>
      <c r="X7749" s="1" t="s">
        <v>13</v>
      </c>
    </row>
    <row r="7750" spans="1:24" x14ac:dyDescent="0.25">
      <c r="A7750" s="1" t="str">
        <f t="shared" si="2261"/>
        <v>卡卡杜-凤凰仓</v>
      </c>
      <c r="B7750" s="1" t="str">
        <f>"CK202410118159"</f>
        <v>CK202410118159</v>
      </c>
      <c r="C7750" s="1" t="str">
        <f>"DD2024101116714"</f>
        <v>DD2024101116714</v>
      </c>
      <c r="D7750" s="1" t="str">
        <f>"CK2024101117591"</f>
        <v>CK2024101117591</v>
      </c>
      <c r="E7750" s="1" t="str">
        <f>"3723226144048287744"</f>
        <v>3723226144048287744</v>
      </c>
      <c r="F7750" s="1" t="str">
        <f t="shared" si="2262"/>
        <v>花都四部-凤凰仓</v>
      </c>
      <c r="G7750" s="1" t="str">
        <f t="shared" si="2258"/>
        <v>卡卡杜企业店（视频号）</v>
      </c>
      <c r="H7750" s="1" t="str">
        <f t="shared" si="2263"/>
        <v>正常订单</v>
      </c>
      <c r="I7750" s="1" t="str">
        <f t="shared" si="2264"/>
        <v>已发货</v>
      </c>
      <c r="J7750" s="1" t="str">
        <f t="shared" si="2257"/>
        <v>3</v>
      </c>
      <c r="K7750" s="1">
        <v>3</v>
      </c>
      <c r="L7750" s="1" t="s">
        <v>161</v>
      </c>
      <c r="M7750" s="1" t="str">
        <f>"四川省 成都市 温江区 "</f>
        <v xml:space="preserve">四川省 成都市 温江区 </v>
      </c>
      <c r="N7750" s="1" t="str">
        <f t="shared" si="2259"/>
        <v>凡华云仓-韵达-微信视频号</v>
      </c>
      <c r="O7750" s="5">
        <v>315012580893584</v>
      </c>
      <c r="P7750" s="6">
        <v>0.34</v>
      </c>
      <c r="Q7750" s="11">
        <v>2.2999999999999998</v>
      </c>
      <c r="R7750" s="11"/>
      <c r="S7750" s="11"/>
      <c r="T7750" s="11"/>
      <c r="U7750" s="11">
        <f t="shared" si="2260"/>
        <v>2.2999999999999998</v>
      </c>
      <c r="W7750">
        <v>2.5</v>
      </c>
      <c r="X7750" s="1" t="s">
        <v>161</v>
      </c>
    </row>
    <row r="7751" spans="1:24" x14ac:dyDescent="0.25">
      <c r="A7751" s="1" t="str">
        <f t="shared" si="2261"/>
        <v>卡卡杜-凤凰仓</v>
      </c>
      <c r="B7751" s="1" t="str">
        <f>"CK202410118161"</f>
        <v>CK202410118161</v>
      </c>
      <c r="C7751" s="1" t="str">
        <f>"DD2024101116711"</f>
        <v>DD2024101116711</v>
      </c>
      <c r="D7751" s="1" t="str">
        <f>"CK2024101117590"</f>
        <v>CK2024101117590</v>
      </c>
      <c r="E7751" s="1" t="str">
        <f>"3723222658494629376"</f>
        <v>3723222658494629376</v>
      </c>
      <c r="F7751" s="1" t="str">
        <f t="shared" si="2262"/>
        <v>花都四部-凤凰仓</v>
      </c>
      <c r="G7751" s="1" t="str">
        <f t="shared" si="2258"/>
        <v>卡卡杜企业店（视频号）</v>
      </c>
      <c r="H7751" s="1" t="str">
        <f t="shared" si="2263"/>
        <v>正常订单</v>
      </c>
      <c r="I7751" s="1" t="str">
        <f t="shared" si="2264"/>
        <v>已发货</v>
      </c>
      <c r="J7751" s="1" t="str">
        <f t="shared" si="2257"/>
        <v>3</v>
      </c>
      <c r="K7751" s="1">
        <v>3</v>
      </c>
      <c r="L7751" s="1" t="s">
        <v>18</v>
      </c>
      <c r="M7751" s="1" t="str">
        <f>"广东省 深圳市 南山区 "</f>
        <v xml:space="preserve">广东省 深圳市 南山区 </v>
      </c>
      <c r="N7751" s="1" t="str">
        <f t="shared" si="2259"/>
        <v>凡华云仓-韵达-微信视频号</v>
      </c>
      <c r="O7751" s="5">
        <v>315012580888477</v>
      </c>
      <c r="P7751" s="6">
        <v>0.34</v>
      </c>
      <c r="Q7751" s="11">
        <v>2.2999999999999998</v>
      </c>
      <c r="R7751" s="11"/>
      <c r="S7751" s="11"/>
      <c r="T7751" s="11"/>
      <c r="U7751" s="11">
        <f t="shared" si="2260"/>
        <v>2.2999999999999998</v>
      </c>
      <c r="W7751">
        <v>2.5</v>
      </c>
      <c r="X7751" s="1" t="s">
        <v>18</v>
      </c>
    </row>
    <row r="7752" spans="1:24" x14ac:dyDescent="0.25">
      <c r="A7752" s="1" t="str">
        <f t="shared" si="2261"/>
        <v>卡卡杜-凤凰仓</v>
      </c>
      <c r="B7752" s="1" t="str">
        <f>"CK202410118162"</f>
        <v>CK202410118162</v>
      </c>
      <c r="C7752" s="1" t="str">
        <f>"DD2024101116717"</f>
        <v>DD2024101116717</v>
      </c>
      <c r="D7752" s="1" t="str">
        <f>"CK2024101117589"</f>
        <v>CK2024101117589</v>
      </c>
      <c r="E7752" s="1" t="str">
        <f>"3723221289839234048"</f>
        <v>3723221289839234048</v>
      </c>
      <c r="F7752" s="1" t="str">
        <f t="shared" si="2262"/>
        <v>花都四部-凤凰仓</v>
      </c>
      <c r="G7752" s="1" t="str">
        <f t="shared" si="2258"/>
        <v>卡卡杜企业店（视频号）</v>
      </c>
      <c r="H7752" s="1" t="str">
        <f t="shared" si="2263"/>
        <v>正常订单</v>
      </c>
      <c r="I7752" s="1" t="str">
        <f t="shared" si="2264"/>
        <v>已发货</v>
      </c>
      <c r="J7752" s="1" t="str">
        <f t="shared" si="2257"/>
        <v>3</v>
      </c>
      <c r="K7752" s="1">
        <v>3</v>
      </c>
      <c r="L7752" s="1" t="s">
        <v>44</v>
      </c>
      <c r="M7752" s="1" t="str">
        <f>"海南省 海口市 龙华区 "</f>
        <v xml:space="preserve">海南省 海口市 龙华区 </v>
      </c>
      <c r="N7752" s="1" t="str">
        <f t="shared" si="2259"/>
        <v>凡华云仓-韵达-微信视频号</v>
      </c>
      <c r="O7752" s="5">
        <v>315012580878874</v>
      </c>
      <c r="P7752" s="6">
        <v>0.34</v>
      </c>
      <c r="Q7752" s="11">
        <v>2.2999999999999998</v>
      </c>
      <c r="R7752" s="11"/>
      <c r="S7752" s="11"/>
      <c r="T7752" s="11"/>
      <c r="U7752" s="11">
        <f t="shared" si="2260"/>
        <v>2.2999999999999998</v>
      </c>
      <c r="W7752">
        <v>2.5</v>
      </c>
      <c r="X7752" s="1" t="s">
        <v>44</v>
      </c>
    </row>
    <row r="7753" spans="1:24" x14ac:dyDescent="0.25">
      <c r="A7753" s="1" t="str">
        <f t="shared" si="2261"/>
        <v>卡卡杜-凤凰仓</v>
      </c>
      <c r="B7753" s="1" t="str">
        <f>"CK202410118165"</f>
        <v>CK202410118165</v>
      </c>
      <c r="C7753" s="1" t="str">
        <f>"DD2024101116720"</f>
        <v>DD2024101116720</v>
      </c>
      <c r="D7753" s="1" t="str">
        <f>"CK2024101117588"</f>
        <v>CK2024101117588</v>
      </c>
      <c r="E7753" s="1" t="str">
        <f>"3723218559811063808"</f>
        <v>3723218559811063808</v>
      </c>
      <c r="F7753" s="1" t="str">
        <f t="shared" si="2262"/>
        <v>花都四部-凤凰仓</v>
      </c>
      <c r="G7753" s="1" t="str">
        <f t="shared" si="2258"/>
        <v>卡卡杜企业店（视频号）</v>
      </c>
      <c r="H7753" s="1" t="str">
        <f t="shared" si="2263"/>
        <v>正常订单</v>
      </c>
      <c r="I7753" s="1" t="str">
        <f t="shared" si="2264"/>
        <v>已发货</v>
      </c>
      <c r="J7753" s="1" t="str">
        <f t="shared" si="2257"/>
        <v>3</v>
      </c>
      <c r="K7753" s="1">
        <v>3</v>
      </c>
      <c r="L7753" s="1" t="s">
        <v>18</v>
      </c>
      <c r="M7753" s="1" t="str">
        <f>"广东省 广州市 越秀区 "</f>
        <v xml:space="preserve">广东省 广州市 越秀区 </v>
      </c>
      <c r="N7753" s="1" t="str">
        <f t="shared" si="2259"/>
        <v>凡华云仓-韵达-微信视频号</v>
      </c>
      <c r="O7753" s="5">
        <v>315012580871116</v>
      </c>
      <c r="P7753" s="6">
        <v>0.34</v>
      </c>
      <c r="Q7753" s="11">
        <v>2.2999999999999998</v>
      </c>
      <c r="R7753" s="11"/>
      <c r="S7753" s="11"/>
      <c r="T7753" s="11"/>
      <c r="U7753" s="11">
        <f t="shared" si="2260"/>
        <v>2.2999999999999998</v>
      </c>
      <c r="W7753">
        <v>2.5</v>
      </c>
      <c r="X7753" s="1" t="s">
        <v>18</v>
      </c>
    </row>
    <row r="7754" spans="1:24" x14ac:dyDescent="0.25">
      <c r="A7754" s="1" t="str">
        <f t="shared" si="2261"/>
        <v>卡卡杜-凤凰仓</v>
      </c>
      <c r="B7754" s="1" t="str">
        <f>"CK202410118166"</f>
        <v>CK202410118166</v>
      </c>
      <c r="C7754" s="1" t="str">
        <f>"DD2024101116719"</f>
        <v>DD2024101116719</v>
      </c>
      <c r="D7754" s="1" t="str">
        <f>"CK2024101117587"</f>
        <v>CK2024101117587</v>
      </c>
      <c r="E7754" s="1" t="str">
        <f>"3723217658246992896"</f>
        <v>3723217658246992896</v>
      </c>
      <c r="F7754" s="1" t="str">
        <f t="shared" si="2262"/>
        <v>花都四部-凤凰仓</v>
      </c>
      <c r="G7754" s="1" t="str">
        <f t="shared" si="2258"/>
        <v>卡卡杜企业店（视频号）</v>
      </c>
      <c r="H7754" s="1" t="str">
        <f t="shared" si="2263"/>
        <v>正常订单</v>
      </c>
      <c r="I7754" s="1" t="str">
        <f t="shared" si="2264"/>
        <v>已发货</v>
      </c>
      <c r="J7754" s="1" t="str">
        <f t="shared" si="2257"/>
        <v>3</v>
      </c>
      <c r="K7754" s="1">
        <v>3</v>
      </c>
      <c r="L7754" s="1" t="s">
        <v>54</v>
      </c>
      <c r="M7754" s="1" t="str">
        <f>"黑龙江省 大庆市 让胡路区 "</f>
        <v xml:space="preserve">黑龙江省 大庆市 让胡路区 </v>
      </c>
      <c r="N7754" s="1" t="str">
        <f t="shared" si="2259"/>
        <v>凡华云仓-韵达-微信视频号</v>
      </c>
      <c r="O7754" s="5">
        <v>315012580864378</v>
      </c>
      <c r="P7754" s="6">
        <v>0.34</v>
      </c>
      <c r="Q7754" s="11">
        <v>2.2999999999999998</v>
      </c>
      <c r="R7754" s="11"/>
      <c r="S7754" s="11"/>
      <c r="T7754" s="11"/>
      <c r="U7754" s="11">
        <f t="shared" si="2260"/>
        <v>2.2999999999999998</v>
      </c>
      <c r="W7754">
        <v>2.5</v>
      </c>
      <c r="X7754" s="1" t="s">
        <v>54</v>
      </c>
    </row>
    <row r="7755" spans="1:24" x14ac:dyDescent="0.25">
      <c r="A7755" s="1" t="str">
        <f t="shared" si="2261"/>
        <v>卡卡杜-凤凰仓</v>
      </c>
      <c r="B7755" s="1" t="str">
        <f>"CK2024101110462"</f>
        <v>CK2024101110462</v>
      </c>
      <c r="C7755" s="1" t="str">
        <f>"DD2024101117049"</f>
        <v>DD2024101117049</v>
      </c>
      <c r="D7755" s="1" t="str">
        <f>"CK2024101117586"</f>
        <v>CK2024101117586</v>
      </c>
      <c r="E7755" s="1" t="str">
        <f>"3723216565667497217"</f>
        <v>3723216565667497217</v>
      </c>
      <c r="F7755" s="1" t="str">
        <f t="shared" si="2262"/>
        <v>花都四部-凤凰仓</v>
      </c>
      <c r="G7755" s="1" t="str">
        <f t="shared" si="2258"/>
        <v>卡卡杜企业店（视频号）</v>
      </c>
      <c r="H7755" s="1" t="str">
        <f t="shared" si="2263"/>
        <v>正常订单</v>
      </c>
      <c r="I7755" s="1" t="str">
        <f t="shared" si="2264"/>
        <v>已发货</v>
      </c>
      <c r="J7755" s="1" t="str">
        <f>"5"</f>
        <v>5</v>
      </c>
      <c r="K7755" s="1">
        <v>3</v>
      </c>
      <c r="L7755" s="1" t="s">
        <v>22</v>
      </c>
      <c r="M7755" s="1" t="str">
        <f>"江西省 上饶市 弋阳县 "</f>
        <v xml:space="preserve">江西省 上饶市 弋阳县 </v>
      </c>
      <c r="N7755" s="1" t="str">
        <f t="shared" si="2259"/>
        <v>凡华云仓-韵达-微信视频号</v>
      </c>
      <c r="O7755" s="5">
        <v>315012580858379</v>
      </c>
      <c r="P7755" s="6">
        <v>0.55000000000000004</v>
      </c>
      <c r="Q7755" s="11">
        <f>CEILING(P7755-0.5,0.1)*10*0.15+2.3</f>
        <v>2.4499999999999997</v>
      </c>
      <c r="R7755" s="11"/>
      <c r="S7755" s="11"/>
      <c r="T7755" s="11"/>
      <c r="U7755" s="11">
        <f t="shared" si="2260"/>
        <v>2.4499999999999997</v>
      </c>
      <c r="V7755" t="s">
        <v>15</v>
      </c>
      <c r="W7755">
        <v>2.4500000000000002</v>
      </c>
      <c r="X7755" s="1" t="s">
        <v>22</v>
      </c>
    </row>
    <row r="7756" spans="1:24" x14ac:dyDescent="0.25">
      <c r="A7756" s="1" t="str">
        <f t="shared" si="2261"/>
        <v>卡卡杜-凤凰仓</v>
      </c>
      <c r="B7756" s="1" t="str">
        <f>"CK202410118154"</f>
        <v>CK202410118154</v>
      </c>
      <c r="C7756" s="1" t="str">
        <f>"DD2024101116705"</f>
        <v>DD2024101116705</v>
      </c>
      <c r="D7756" s="1" t="str">
        <f>"CK2024101117585"</f>
        <v>CK2024101117585</v>
      </c>
      <c r="E7756" s="1" t="str">
        <f>"2428501776704347"</f>
        <v>2428501776704347</v>
      </c>
      <c r="F7756" s="1" t="str">
        <f t="shared" si="2262"/>
        <v>花都四部-凤凰仓</v>
      </c>
      <c r="G7756" s="1" t="str">
        <f>"卡卡杜佳旺专卖店（快手店）"</f>
        <v>卡卡杜佳旺专卖店（快手店）</v>
      </c>
      <c r="H7756" s="1" t="str">
        <f t="shared" si="2263"/>
        <v>正常订单</v>
      </c>
      <c r="I7756" s="1" t="str">
        <f t="shared" si="2264"/>
        <v>已发货</v>
      </c>
      <c r="J7756" s="1" t="str">
        <f t="shared" ref="J7756:J7758" si="2265">"3"</f>
        <v>3</v>
      </c>
      <c r="K7756" s="1">
        <v>3</v>
      </c>
      <c r="L7756" s="1" t="s">
        <v>18</v>
      </c>
      <c r="M7756" s="1" t="str">
        <f>"广东省 东莞市 寮步镇 寮步镇"</f>
        <v>广东省 东莞市 寮步镇 寮步镇</v>
      </c>
      <c r="N7756" s="1" t="str">
        <f>"凡华云仓-韵达-快手"</f>
        <v>凡华云仓-韵达-快手</v>
      </c>
      <c r="O7756" s="5">
        <v>319206208761110</v>
      </c>
      <c r="P7756" s="6">
        <v>0.34</v>
      </c>
      <c r="Q7756" s="11">
        <v>2.2999999999999998</v>
      </c>
      <c r="R7756" s="11"/>
      <c r="S7756" s="11"/>
      <c r="T7756" s="11"/>
      <c r="U7756" s="11">
        <f t="shared" si="2260"/>
        <v>2.2999999999999998</v>
      </c>
      <c r="W7756">
        <v>2.5</v>
      </c>
      <c r="X7756" s="1" t="s">
        <v>18</v>
      </c>
    </row>
    <row r="7757" spans="1:24" x14ac:dyDescent="0.25">
      <c r="A7757" s="1" t="str">
        <f t="shared" si="2261"/>
        <v>卡卡杜-凤凰仓</v>
      </c>
      <c r="B7757" s="1" t="str">
        <f>"CK202410115780"</f>
        <v>CK202410115780</v>
      </c>
      <c r="C7757" s="1" t="str">
        <f>"DD2024101114103"</f>
        <v>DD2024101114103</v>
      </c>
      <c r="D7757" s="1" t="str">
        <f>"CK2024101117528"</f>
        <v>CK2024101117528</v>
      </c>
      <c r="E7757" s="1" t="str">
        <f>"6934864506341627571"</f>
        <v>6934864506341627571</v>
      </c>
      <c r="F7757" s="1" t="str">
        <f t="shared" si="2262"/>
        <v>花都四部-凤凰仓</v>
      </c>
      <c r="G7757" s="1" t="str">
        <f t="shared" ref="G7757:G7820" si="2266">"卡卡杜个人护理店（抖店）"</f>
        <v>卡卡杜个人护理店（抖店）</v>
      </c>
      <c r="H7757" s="1" t="str">
        <f t="shared" si="2263"/>
        <v>正常订单</v>
      </c>
      <c r="I7757" s="1" t="str">
        <f t="shared" si="2264"/>
        <v>已发货</v>
      </c>
      <c r="J7757" s="1" t="str">
        <f t="shared" si="2265"/>
        <v>3</v>
      </c>
      <c r="K7757" s="1">
        <v>2</v>
      </c>
      <c r="L7757" s="1" t="s">
        <v>13</v>
      </c>
      <c r="M7757" s="1" t="str">
        <f>"江苏省 宿迁市 泗阳县 来安街道"</f>
        <v>江苏省 宿迁市 泗阳县 来安街道</v>
      </c>
      <c r="N7757" s="1" t="str">
        <f t="shared" ref="N7757:N7820" si="2267">"凡华云仓-韵达-抖音"</f>
        <v>凡华云仓-韵达-抖音</v>
      </c>
      <c r="O7757" s="5">
        <v>320166065462651</v>
      </c>
      <c r="P7757" s="6">
        <v>0.35</v>
      </c>
      <c r="Q7757" s="11">
        <v>2.2999999999999998</v>
      </c>
      <c r="R7757" s="11"/>
      <c r="S7757" s="11"/>
      <c r="T7757" s="11"/>
      <c r="U7757" s="11">
        <f t="shared" si="2260"/>
        <v>2.2999999999999998</v>
      </c>
      <c r="W7757">
        <v>2.5</v>
      </c>
      <c r="X7757" s="1" t="s">
        <v>13</v>
      </c>
    </row>
    <row r="7758" spans="1:24" x14ac:dyDescent="0.25">
      <c r="A7758" s="1" t="str">
        <f t="shared" si="2261"/>
        <v>卡卡杜-凤凰仓</v>
      </c>
      <c r="B7758" s="1" t="str">
        <f>"CK202410115723"</f>
        <v>CK202410115723</v>
      </c>
      <c r="C7758" s="1" t="str">
        <f>"DD2024101114044"</f>
        <v>DD2024101114044</v>
      </c>
      <c r="D7758" s="1" t="str">
        <f>"CK2024101117527"</f>
        <v>CK2024101117527</v>
      </c>
      <c r="E7758" s="1" t="str">
        <f>"6934866679951660143"</f>
        <v>6934866679951660143</v>
      </c>
      <c r="F7758" s="1" t="str">
        <f t="shared" si="2262"/>
        <v>花都四部-凤凰仓</v>
      </c>
      <c r="G7758" s="1" t="str">
        <f t="shared" si="2266"/>
        <v>卡卡杜个人护理店（抖店）</v>
      </c>
      <c r="H7758" s="1" t="str">
        <f t="shared" si="2263"/>
        <v>正常订单</v>
      </c>
      <c r="I7758" s="1" t="str">
        <f t="shared" si="2264"/>
        <v>已发货</v>
      </c>
      <c r="J7758" s="1" t="str">
        <f t="shared" si="2265"/>
        <v>3</v>
      </c>
      <c r="K7758" s="1">
        <v>2</v>
      </c>
      <c r="L7758" s="1" t="s">
        <v>20</v>
      </c>
      <c r="M7758" s="1" t="str">
        <f>"浙江省 温州市 瑞安市 塘下镇"</f>
        <v>浙江省 温州市 瑞安市 塘下镇</v>
      </c>
      <c r="N7758" s="1" t="str">
        <f t="shared" si="2267"/>
        <v>凡华云仓-韵达-抖音</v>
      </c>
      <c r="O7758" s="5">
        <v>320166065462552</v>
      </c>
      <c r="P7758" s="6">
        <v>0.35</v>
      </c>
      <c r="Q7758" s="11">
        <v>2.2999999999999998</v>
      </c>
      <c r="R7758" s="11"/>
      <c r="S7758" s="11"/>
      <c r="T7758" s="11"/>
      <c r="U7758" s="11">
        <f t="shared" si="2260"/>
        <v>2.2999999999999998</v>
      </c>
      <c r="W7758">
        <v>2.5</v>
      </c>
      <c r="X7758" s="1" t="s">
        <v>20</v>
      </c>
    </row>
    <row r="7759" spans="1:24" x14ac:dyDescent="0.25">
      <c r="A7759" s="1" t="str">
        <f t="shared" si="2261"/>
        <v>卡卡杜-凤凰仓</v>
      </c>
      <c r="B7759" s="1" t="str">
        <f>"CK202410118167"</f>
        <v>CK202410118167</v>
      </c>
      <c r="C7759" s="1" t="str">
        <f>"DD2024101116724"</f>
        <v>DD2024101116724</v>
      </c>
      <c r="D7759" s="1" t="str">
        <f>"CK2024101117526"</f>
        <v>CK2024101117526</v>
      </c>
      <c r="E7759" s="1" t="str">
        <f>"6934882448390887092"</f>
        <v>6934882448390887092</v>
      </c>
      <c r="F7759" s="1" t="str">
        <f t="shared" si="2262"/>
        <v>花都四部-凤凰仓</v>
      </c>
      <c r="G7759" s="1" t="str">
        <f t="shared" si="2266"/>
        <v>卡卡杜个人护理店（抖店）</v>
      </c>
      <c r="H7759" s="1" t="str">
        <f t="shared" si="2263"/>
        <v>正常订单</v>
      </c>
      <c r="I7759" s="1" t="str">
        <f t="shared" si="2264"/>
        <v>已发货</v>
      </c>
      <c r="J7759" s="1" t="str">
        <f>"5"</f>
        <v>5</v>
      </c>
      <c r="K7759" s="1">
        <v>3</v>
      </c>
      <c r="L7759" s="1" t="s">
        <v>30</v>
      </c>
      <c r="M7759" s="1" t="str">
        <f>"山东省 济南市 济阳区 济北街道"</f>
        <v>山东省 济南市 济阳区 济北街道</v>
      </c>
      <c r="N7759" s="1" t="str">
        <f t="shared" si="2267"/>
        <v>凡华云仓-韵达-抖音</v>
      </c>
      <c r="O7759" s="5">
        <v>320166065462455</v>
      </c>
      <c r="P7759" s="6">
        <v>0.47</v>
      </c>
      <c r="Q7759" s="11">
        <v>2.2999999999999998</v>
      </c>
      <c r="R7759" s="11"/>
      <c r="S7759" s="11"/>
      <c r="T7759" s="11"/>
      <c r="U7759" s="11">
        <f t="shared" si="2260"/>
        <v>2.2999999999999998</v>
      </c>
      <c r="W7759">
        <v>2.5</v>
      </c>
      <c r="X7759" s="1" t="s">
        <v>30</v>
      </c>
    </row>
    <row r="7760" spans="1:24" x14ac:dyDescent="0.25">
      <c r="A7760" s="1" t="str">
        <f t="shared" si="2261"/>
        <v>卡卡杜-凤凰仓</v>
      </c>
      <c r="B7760" s="1" t="str">
        <f>"CK202410115728"</f>
        <v>CK202410115728</v>
      </c>
      <c r="C7760" s="1" t="str">
        <f>"DD2024101114054"</f>
        <v>DD2024101114054</v>
      </c>
      <c r="D7760" s="1" t="str">
        <f>"CK2024101117525"</f>
        <v>CK2024101117525</v>
      </c>
      <c r="E7760" s="1" t="str">
        <f>"6934855572769019020"</f>
        <v>6934855572769019020</v>
      </c>
      <c r="F7760" s="1" t="str">
        <f t="shared" si="2262"/>
        <v>花都四部-凤凰仓</v>
      </c>
      <c r="G7760" s="1" t="str">
        <f t="shared" si="2266"/>
        <v>卡卡杜个人护理店（抖店）</v>
      </c>
      <c r="H7760" s="1" t="str">
        <f t="shared" si="2263"/>
        <v>正常订单</v>
      </c>
      <c r="I7760" s="1" t="str">
        <f t="shared" si="2264"/>
        <v>已发货</v>
      </c>
      <c r="J7760" s="1" t="str">
        <f t="shared" ref="J7760:J7816" si="2268">"3"</f>
        <v>3</v>
      </c>
      <c r="K7760" s="1">
        <v>2</v>
      </c>
      <c r="L7760" s="1" t="s">
        <v>18</v>
      </c>
      <c r="M7760" s="1" t="str">
        <f>"广东省 东莞市 东莞市 大岭山镇"</f>
        <v>广东省 东莞市 东莞市 大岭山镇</v>
      </c>
      <c r="N7760" s="1" t="str">
        <f t="shared" si="2267"/>
        <v>凡华云仓-韵达-抖音</v>
      </c>
      <c r="O7760" s="5">
        <v>320166065462360</v>
      </c>
      <c r="P7760" s="6">
        <v>0.35</v>
      </c>
      <c r="Q7760" s="11">
        <v>2.2999999999999998</v>
      </c>
      <c r="R7760" s="11"/>
      <c r="S7760" s="11"/>
      <c r="T7760" s="11"/>
      <c r="U7760" s="11">
        <f t="shared" si="2260"/>
        <v>2.2999999999999998</v>
      </c>
      <c r="W7760">
        <v>2.5</v>
      </c>
      <c r="X7760" s="1" t="s">
        <v>18</v>
      </c>
    </row>
    <row r="7761" spans="1:24" x14ac:dyDescent="0.25">
      <c r="A7761" s="1" t="str">
        <f t="shared" si="2261"/>
        <v>卡卡杜-凤凰仓</v>
      </c>
      <c r="B7761" s="1" t="str">
        <f>"CK202410115730"</f>
        <v>CK202410115730</v>
      </c>
      <c r="C7761" s="1" t="str">
        <f>"DD2024101114053"</f>
        <v>DD2024101114053</v>
      </c>
      <c r="D7761" s="1" t="str">
        <f>"CK2024101117524"</f>
        <v>CK2024101117524</v>
      </c>
      <c r="E7761" s="1" t="str">
        <f>"6934868619450651674"</f>
        <v>6934868619450651674</v>
      </c>
      <c r="F7761" s="1" t="str">
        <f t="shared" si="2262"/>
        <v>花都四部-凤凰仓</v>
      </c>
      <c r="G7761" s="1" t="str">
        <f t="shared" si="2266"/>
        <v>卡卡杜个人护理店（抖店）</v>
      </c>
      <c r="H7761" s="1" t="str">
        <f t="shared" si="2263"/>
        <v>正常订单</v>
      </c>
      <c r="I7761" s="1" t="str">
        <f t="shared" si="2264"/>
        <v>已发货</v>
      </c>
      <c r="J7761" s="1" t="str">
        <f t="shared" si="2268"/>
        <v>3</v>
      </c>
      <c r="K7761" s="1">
        <v>2</v>
      </c>
      <c r="L7761" s="1" t="s">
        <v>41</v>
      </c>
      <c r="M7761" s="1" t="str">
        <f>"湖北省 武汉市 黄陂区 罗汉寺街道"</f>
        <v>湖北省 武汉市 黄陂区 罗汉寺街道</v>
      </c>
      <c r="N7761" s="1" t="str">
        <f t="shared" si="2267"/>
        <v>凡华云仓-韵达-抖音</v>
      </c>
      <c r="O7761" s="5">
        <v>320166065462267</v>
      </c>
      <c r="P7761" s="6">
        <v>0.35</v>
      </c>
      <c r="Q7761" s="11">
        <v>2.2999999999999998</v>
      </c>
      <c r="R7761" s="11"/>
      <c r="S7761" s="11"/>
      <c r="T7761" s="11"/>
      <c r="U7761" s="11">
        <f t="shared" si="2260"/>
        <v>2.2999999999999998</v>
      </c>
      <c r="W7761">
        <v>2.5</v>
      </c>
      <c r="X7761" s="1" t="s">
        <v>41</v>
      </c>
    </row>
    <row r="7762" spans="1:24" x14ac:dyDescent="0.25">
      <c r="A7762" s="1" t="str">
        <f t="shared" si="2261"/>
        <v>卡卡杜-凤凰仓</v>
      </c>
      <c r="B7762" s="1" t="str">
        <f>"CK202410118150"</f>
        <v>CK202410118150</v>
      </c>
      <c r="C7762" s="1" t="str">
        <f>"DD2024101116709"</f>
        <v>DD2024101116709</v>
      </c>
      <c r="D7762" s="1" t="str">
        <f>"CK2024101117523"</f>
        <v>CK2024101117523</v>
      </c>
      <c r="E7762" s="1" t="str">
        <f>"6934864405367822201"</f>
        <v>6934864405367822201</v>
      </c>
      <c r="F7762" s="1" t="str">
        <f t="shared" si="2262"/>
        <v>花都四部-凤凰仓</v>
      </c>
      <c r="G7762" s="1" t="str">
        <f t="shared" si="2266"/>
        <v>卡卡杜个人护理店（抖店）</v>
      </c>
      <c r="H7762" s="1" t="str">
        <f t="shared" si="2263"/>
        <v>正常订单</v>
      </c>
      <c r="I7762" s="1" t="str">
        <f t="shared" si="2264"/>
        <v>已发货</v>
      </c>
      <c r="J7762" s="1" t="str">
        <f>"6"</f>
        <v>6</v>
      </c>
      <c r="K7762" s="1">
        <v>3</v>
      </c>
      <c r="L7762" s="1" t="s">
        <v>30</v>
      </c>
      <c r="M7762" s="1" t="str">
        <f>"山东省 济南市 市中区 七贤街道"</f>
        <v>山东省 济南市 市中区 七贤街道</v>
      </c>
      <c r="N7762" s="1" t="str">
        <f t="shared" si="2267"/>
        <v>凡华云仓-韵达-抖音</v>
      </c>
      <c r="O7762" s="5">
        <v>320166079266092</v>
      </c>
      <c r="P7762" s="6">
        <v>0.55000000000000004</v>
      </c>
      <c r="Q7762" s="11">
        <f>CEILING(P7762-0.5,0.1)*10*0.15+2.3</f>
        <v>2.4499999999999997</v>
      </c>
      <c r="R7762" s="11"/>
      <c r="S7762" s="11"/>
      <c r="T7762" s="11"/>
      <c r="U7762" s="11">
        <f t="shared" si="2260"/>
        <v>2.4499999999999997</v>
      </c>
      <c r="V7762" t="s">
        <v>15</v>
      </c>
      <c r="W7762">
        <v>2.4500000000000002</v>
      </c>
      <c r="X7762" s="1" t="s">
        <v>30</v>
      </c>
    </row>
    <row r="7763" spans="1:24" x14ac:dyDescent="0.25">
      <c r="A7763" s="1" t="str">
        <f t="shared" si="2261"/>
        <v>卡卡杜-凤凰仓</v>
      </c>
      <c r="B7763" s="1" t="str">
        <f>"CK202410118152"</f>
        <v>CK202410118152</v>
      </c>
      <c r="C7763" s="1" t="str">
        <f>"DD2024101116707"</f>
        <v>DD2024101116707</v>
      </c>
      <c r="D7763" s="1" t="str">
        <f>"CK2024101117522"</f>
        <v>CK2024101117522</v>
      </c>
      <c r="E7763" s="1" t="str">
        <f>"6934875625760364382"</f>
        <v>6934875625760364382</v>
      </c>
      <c r="F7763" s="1" t="str">
        <f t="shared" si="2262"/>
        <v>花都四部-凤凰仓</v>
      </c>
      <c r="G7763" s="1" t="str">
        <f t="shared" si="2266"/>
        <v>卡卡杜个人护理店（抖店）</v>
      </c>
      <c r="H7763" s="1" t="str">
        <f t="shared" si="2263"/>
        <v>正常订单</v>
      </c>
      <c r="I7763" s="1" t="str">
        <f t="shared" si="2264"/>
        <v>已发货</v>
      </c>
      <c r="J7763" s="1" t="str">
        <f t="shared" si="2268"/>
        <v>3</v>
      </c>
      <c r="K7763" s="1">
        <v>3</v>
      </c>
      <c r="L7763" s="1" t="s">
        <v>18</v>
      </c>
      <c r="M7763" s="1" t="str">
        <f>"广东省 广州市 越秀区 大塘街道"</f>
        <v>广东省 广州市 越秀区 大塘街道</v>
      </c>
      <c r="N7763" s="1" t="str">
        <f t="shared" si="2267"/>
        <v>凡华云仓-韵达-抖音</v>
      </c>
      <c r="O7763" s="5">
        <v>320166079265966</v>
      </c>
      <c r="P7763" s="6">
        <v>0.34</v>
      </c>
      <c r="Q7763" s="11">
        <v>2.2999999999999998</v>
      </c>
      <c r="R7763" s="11"/>
      <c r="S7763" s="11"/>
      <c r="T7763" s="11"/>
      <c r="U7763" s="11">
        <f t="shared" si="2260"/>
        <v>2.2999999999999998</v>
      </c>
      <c r="W7763">
        <v>2.5</v>
      </c>
      <c r="X7763" s="1" t="s">
        <v>18</v>
      </c>
    </row>
    <row r="7764" spans="1:24" x14ac:dyDescent="0.25">
      <c r="A7764" s="1" t="str">
        <f t="shared" si="2261"/>
        <v>卡卡杜-凤凰仓</v>
      </c>
      <c r="B7764" s="1" t="str">
        <f>"CK202410115731"</f>
        <v>CK202410115731</v>
      </c>
      <c r="C7764" s="1" t="str">
        <f>"DD2024101114052"</f>
        <v>DD2024101114052</v>
      </c>
      <c r="D7764" s="1" t="str">
        <f>"CK2024101117521"</f>
        <v>CK2024101117521</v>
      </c>
      <c r="E7764" s="1" t="str">
        <f>"6934868587824157770"</f>
        <v>6934868587824157770</v>
      </c>
      <c r="F7764" s="1" t="str">
        <f t="shared" si="2262"/>
        <v>花都四部-凤凰仓</v>
      </c>
      <c r="G7764" s="1" t="str">
        <f t="shared" si="2266"/>
        <v>卡卡杜个人护理店（抖店）</v>
      </c>
      <c r="H7764" s="1" t="str">
        <f t="shared" si="2263"/>
        <v>正常订单</v>
      </c>
      <c r="I7764" s="1" t="str">
        <f t="shared" si="2264"/>
        <v>已发货</v>
      </c>
      <c r="J7764" s="1" t="str">
        <f t="shared" si="2268"/>
        <v>3</v>
      </c>
      <c r="K7764" s="1">
        <v>2</v>
      </c>
      <c r="L7764" s="1" t="s">
        <v>18</v>
      </c>
      <c r="M7764" s="1" t="str">
        <f>"广东省 韶关市 武江区 新华街道"</f>
        <v>广东省 韶关市 武江区 新华街道</v>
      </c>
      <c r="N7764" s="1" t="str">
        <f t="shared" si="2267"/>
        <v>凡华云仓-韵达-抖音</v>
      </c>
      <c r="O7764" s="5">
        <v>320166079265861</v>
      </c>
      <c r="P7764" s="6">
        <v>0.35</v>
      </c>
      <c r="Q7764" s="11">
        <v>2.2999999999999998</v>
      </c>
      <c r="R7764" s="11"/>
      <c r="S7764" s="11"/>
      <c r="T7764" s="11"/>
      <c r="U7764" s="11">
        <f t="shared" si="2260"/>
        <v>2.2999999999999998</v>
      </c>
      <c r="W7764">
        <v>2.5</v>
      </c>
      <c r="X7764" s="1" t="s">
        <v>18</v>
      </c>
    </row>
    <row r="7765" spans="1:24" x14ac:dyDescent="0.25">
      <c r="A7765" s="1" t="str">
        <f t="shared" si="2261"/>
        <v>卡卡杜-凤凰仓</v>
      </c>
      <c r="B7765" s="1" t="str">
        <f>"CK202410115732"</f>
        <v>CK202410115732</v>
      </c>
      <c r="C7765" s="1" t="str">
        <f>"DD2024101114059"</f>
        <v>DD2024101114059</v>
      </c>
      <c r="D7765" s="1" t="str">
        <f>"CK2024101117520"</f>
        <v>CK2024101117520</v>
      </c>
      <c r="E7765" s="1" t="str">
        <f>"6934870924674602343"</f>
        <v>6934870924674602343</v>
      </c>
      <c r="F7765" s="1" t="str">
        <f t="shared" si="2262"/>
        <v>花都四部-凤凰仓</v>
      </c>
      <c r="G7765" s="1" t="str">
        <f t="shared" si="2266"/>
        <v>卡卡杜个人护理店（抖店）</v>
      </c>
      <c r="H7765" s="1" t="str">
        <f t="shared" si="2263"/>
        <v>正常订单</v>
      </c>
      <c r="I7765" s="1" t="str">
        <f t="shared" si="2264"/>
        <v>已发货</v>
      </c>
      <c r="J7765" s="1" t="str">
        <f t="shared" si="2268"/>
        <v>3</v>
      </c>
      <c r="K7765" s="1">
        <v>2</v>
      </c>
      <c r="L7765" s="1" t="s">
        <v>60</v>
      </c>
      <c r="M7765" s="1" t="str">
        <f>"云南省 德宏傣族景颇族自治州 芒市 勐焕街道"</f>
        <v>云南省 德宏傣族景颇族自治州 芒市 勐焕街道</v>
      </c>
      <c r="N7765" s="1" t="str">
        <f t="shared" si="2267"/>
        <v>凡华云仓-韵达-抖音</v>
      </c>
      <c r="O7765" s="5">
        <v>320166079265758</v>
      </c>
      <c r="P7765" s="6">
        <v>0.35</v>
      </c>
      <c r="Q7765" s="11">
        <v>2.2999999999999998</v>
      </c>
      <c r="R7765" s="11"/>
      <c r="S7765" s="11"/>
      <c r="T7765" s="11"/>
      <c r="U7765" s="11">
        <f t="shared" si="2260"/>
        <v>2.2999999999999998</v>
      </c>
      <c r="W7765">
        <v>2.5</v>
      </c>
      <c r="X7765" s="1" t="s">
        <v>60</v>
      </c>
    </row>
    <row r="7766" spans="1:24" x14ac:dyDescent="0.25">
      <c r="A7766" s="1" t="str">
        <f t="shared" si="2261"/>
        <v>卡卡杜-凤凰仓</v>
      </c>
      <c r="B7766" s="1" t="str">
        <f>"CK202410118153"</f>
        <v>CK202410118153</v>
      </c>
      <c r="C7766" s="1" t="str">
        <f>"DD2024101116708"</f>
        <v>DD2024101116708</v>
      </c>
      <c r="D7766" s="1" t="str">
        <f>"CK2024101117519"</f>
        <v>CK2024101117519</v>
      </c>
      <c r="E7766" s="1" t="str">
        <f>"6934880067862599258"</f>
        <v>6934880067862599258</v>
      </c>
      <c r="F7766" s="1" t="str">
        <f t="shared" si="2262"/>
        <v>花都四部-凤凰仓</v>
      </c>
      <c r="G7766" s="1" t="str">
        <f t="shared" si="2266"/>
        <v>卡卡杜个人护理店（抖店）</v>
      </c>
      <c r="H7766" s="1" t="str">
        <f t="shared" si="2263"/>
        <v>正常订单</v>
      </c>
      <c r="I7766" s="1" t="str">
        <f t="shared" si="2264"/>
        <v>已发货</v>
      </c>
      <c r="J7766" s="1" t="str">
        <f t="shared" si="2268"/>
        <v>3</v>
      </c>
      <c r="K7766" s="1">
        <v>3</v>
      </c>
      <c r="L7766" s="1" t="s">
        <v>105</v>
      </c>
      <c r="M7766" s="1" t="str">
        <f>"北京 北京市 昌平区 沙河地区"</f>
        <v>北京 北京市 昌平区 沙河地区</v>
      </c>
      <c r="N7766" s="1" t="str">
        <f t="shared" si="2267"/>
        <v>凡华云仓-韵达-抖音</v>
      </c>
      <c r="O7766" s="5">
        <v>320166079265657</v>
      </c>
      <c r="P7766" s="6">
        <v>0.34</v>
      </c>
      <c r="Q7766" s="11">
        <v>2.2999999999999998</v>
      </c>
      <c r="R7766" s="11"/>
      <c r="S7766" s="11"/>
      <c r="T7766" s="11"/>
      <c r="U7766" s="11">
        <f t="shared" si="2260"/>
        <v>2.2999999999999998</v>
      </c>
      <c r="W7766">
        <v>2.5</v>
      </c>
      <c r="X7766" s="1" t="s">
        <v>105</v>
      </c>
    </row>
    <row r="7767" spans="1:24" x14ac:dyDescent="0.25">
      <c r="A7767" s="1" t="str">
        <f t="shared" si="2261"/>
        <v>卡卡杜-凤凰仓</v>
      </c>
      <c r="B7767" s="1" t="str">
        <f>"CK202410115733"</f>
        <v>CK202410115733</v>
      </c>
      <c r="C7767" s="1" t="str">
        <f>"DD2024101114055"</f>
        <v>DD2024101114055</v>
      </c>
      <c r="D7767" s="1" t="str">
        <f>"CK2024101117518"</f>
        <v>CK2024101117518</v>
      </c>
      <c r="E7767" s="1" t="str">
        <f>"6934868522236254101"</f>
        <v>6934868522236254101</v>
      </c>
      <c r="F7767" s="1" t="str">
        <f t="shared" si="2262"/>
        <v>花都四部-凤凰仓</v>
      </c>
      <c r="G7767" s="1" t="str">
        <f t="shared" si="2266"/>
        <v>卡卡杜个人护理店（抖店）</v>
      </c>
      <c r="H7767" s="1" t="str">
        <f t="shared" si="2263"/>
        <v>正常订单</v>
      </c>
      <c r="I7767" s="1" t="str">
        <f t="shared" si="2264"/>
        <v>已发货</v>
      </c>
      <c r="J7767" s="1" t="str">
        <f t="shared" si="2268"/>
        <v>3</v>
      </c>
      <c r="K7767" s="1">
        <v>2</v>
      </c>
      <c r="L7767" s="1" t="s">
        <v>22</v>
      </c>
      <c r="M7767" s="1" t="str">
        <f>"江西省 上饶市 广丰区 永丰街道"</f>
        <v>江西省 上饶市 广丰区 永丰街道</v>
      </c>
      <c r="N7767" s="1" t="str">
        <f t="shared" si="2267"/>
        <v>凡华云仓-韵达-抖音</v>
      </c>
      <c r="O7767" s="5">
        <v>320166079265558</v>
      </c>
      <c r="P7767" s="6">
        <v>0.35</v>
      </c>
      <c r="Q7767" s="11">
        <v>2.2999999999999998</v>
      </c>
      <c r="R7767" s="11"/>
      <c r="S7767" s="11"/>
      <c r="T7767" s="11"/>
      <c r="U7767" s="11">
        <f t="shared" si="2260"/>
        <v>2.2999999999999998</v>
      </c>
      <c r="W7767">
        <v>2.5</v>
      </c>
      <c r="X7767" s="1" t="s">
        <v>22</v>
      </c>
    </row>
    <row r="7768" spans="1:24" x14ac:dyDescent="0.25">
      <c r="A7768" s="1" t="str">
        <f t="shared" si="2261"/>
        <v>卡卡杜-凤凰仓</v>
      </c>
      <c r="B7768" s="1" t="str">
        <f>"CK202410115729"</f>
        <v>CK202410115729</v>
      </c>
      <c r="C7768" s="1" t="str">
        <f>"DD2024101114050"</f>
        <v>DD2024101114050</v>
      </c>
      <c r="D7768" s="1" t="str">
        <f>"CK2024101117517"</f>
        <v>CK2024101117517</v>
      </c>
      <c r="E7768" s="1" t="str">
        <f>"6934877751029995300"</f>
        <v>6934877751029995300</v>
      </c>
      <c r="F7768" s="1" t="str">
        <f t="shared" si="2262"/>
        <v>花都四部-凤凰仓</v>
      </c>
      <c r="G7768" s="1" t="str">
        <f t="shared" si="2266"/>
        <v>卡卡杜个人护理店（抖店）</v>
      </c>
      <c r="H7768" s="1" t="str">
        <f t="shared" si="2263"/>
        <v>正常订单</v>
      </c>
      <c r="I7768" s="1" t="str">
        <f t="shared" si="2264"/>
        <v>已发货</v>
      </c>
      <c r="J7768" s="1" t="str">
        <f t="shared" si="2268"/>
        <v>3</v>
      </c>
      <c r="K7768" s="1">
        <v>2</v>
      </c>
      <c r="L7768" s="1" t="s">
        <v>32</v>
      </c>
      <c r="M7768" s="1" t="str">
        <f>"陕西省 西安市 未央区 大明宫街道"</f>
        <v>陕西省 西安市 未央区 大明宫街道</v>
      </c>
      <c r="N7768" s="1" t="str">
        <f t="shared" si="2267"/>
        <v>凡华云仓-韵达-抖音</v>
      </c>
      <c r="O7768" s="5">
        <v>320166079265461</v>
      </c>
      <c r="P7768" s="6">
        <v>0.35</v>
      </c>
      <c r="Q7768" s="11">
        <v>2.2999999999999998</v>
      </c>
      <c r="R7768" s="11"/>
      <c r="S7768" s="11"/>
      <c r="T7768" s="11"/>
      <c r="U7768" s="11">
        <f t="shared" si="2260"/>
        <v>2.2999999999999998</v>
      </c>
      <c r="W7768">
        <v>2.5</v>
      </c>
      <c r="X7768" s="1" t="s">
        <v>32</v>
      </c>
    </row>
    <row r="7769" spans="1:24" x14ac:dyDescent="0.25">
      <c r="A7769" s="1" t="str">
        <f t="shared" si="2261"/>
        <v>卡卡杜-凤凰仓</v>
      </c>
      <c r="B7769" s="1" t="str">
        <f>"CK202410118156"</f>
        <v>CK202410118156</v>
      </c>
      <c r="C7769" s="1" t="str">
        <f>"DD2024101116712"</f>
        <v>DD2024101116712</v>
      </c>
      <c r="D7769" s="1" t="str">
        <f>"CK2024101117516"</f>
        <v>CK2024101117516</v>
      </c>
      <c r="E7769" s="1" t="str">
        <f>"6934864128552735822"</f>
        <v>6934864128552735822</v>
      </c>
      <c r="F7769" s="1" t="str">
        <f t="shared" si="2262"/>
        <v>花都四部-凤凰仓</v>
      </c>
      <c r="G7769" s="1" t="str">
        <f t="shared" si="2266"/>
        <v>卡卡杜个人护理店（抖店）</v>
      </c>
      <c r="H7769" s="1" t="str">
        <f t="shared" si="2263"/>
        <v>正常订单</v>
      </c>
      <c r="I7769" s="1" t="str">
        <f t="shared" si="2264"/>
        <v>已发货</v>
      </c>
      <c r="J7769" s="1" t="str">
        <f t="shared" si="2268"/>
        <v>3</v>
      </c>
      <c r="K7769" s="1">
        <v>3</v>
      </c>
      <c r="L7769" s="1" t="s">
        <v>18</v>
      </c>
      <c r="M7769" s="1" t="str">
        <f>"广东省 佛山市 顺德区 杏坛镇"</f>
        <v>广东省 佛山市 顺德区 杏坛镇</v>
      </c>
      <c r="N7769" s="1" t="str">
        <f t="shared" si="2267"/>
        <v>凡华云仓-韵达-抖音</v>
      </c>
      <c r="O7769" s="5">
        <v>320166079265366</v>
      </c>
      <c r="P7769" s="6">
        <v>0.34</v>
      </c>
      <c r="Q7769" s="11">
        <v>2.2999999999999998</v>
      </c>
      <c r="R7769" s="11"/>
      <c r="S7769" s="11"/>
      <c r="T7769" s="11"/>
      <c r="U7769" s="11">
        <f t="shared" si="2260"/>
        <v>2.2999999999999998</v>
      </c>
      <c r="W7769">
        <v>2.5</v>
      </c>
      <c r="X7769" s="1" t="s">
        <v>18</v>
      </c>
    </row>
    <row r="7770" spans="1:24" x14ac:dyDescent="0.25">
      <c r="A7770" s="1" t="str">
        <f t="shared" si="2261"/>
        <v>卡卡杜-凤凰仓</v>
      </c>
      <c r="B7770" s="1" t="str">
        <f>"CK202410115722"</f>
        <v>CK202410115722</v>
      </c>
      <c r="C7770" s="1" t="str">
        <f>"DD2024101114049"</f>
        <v>DD2024101114049</v>
      </c>
      <c r="D7770" s="1" t="str">
        <f>"CK2024101117515"</f>
        <v>CK2024101117515</v>
      </c>
      <c r="E7770" s="1" t="str">
        <f>"6934882101443826804"</f>
        <v>6934882101443826804</v>
      </c>
      <c r="F7770" s="1" t="str">
        <f t="shared" si="2262"/>
        <v>花都四部-凤凰仓</v>
      </c>
      <c r="G7770" s="1" t="str">
        <f t="shared" si="2266"/>
        <v>卡卡杜个人护理店（抖店）</v>
      </c>
      <c r="H7770" s="1" t="str">
        <f t="shared" si="2263"/>
        <v>正常订单</v>
      </c>
      <c r="I7770" s="1" t="str">
        <f t="shared" si="2264"/>
        <v>已发货</v>
      </c>
      <c r="J7770" s="1" t="str">
        <f t="shared" si="2268"/>
        <v>3</v>
      </c>
      <c r="K7770" s="1">
        <v>2</v>
      </c>
      <c r="L7770" s="1" t="s">
        <v>80</v>
      </c>
      <c r="M7770" s="1" t="str">
        <f>"河南省 信阳市 淮滨县 顺河街道"</f>
        <v>河南省 信阳市 淮滨县 顺河街道</v>
      </c>
      <c r="N7770" s="1" t="str">
        <f t="shared" si="2267"/>
        <v>凡华云仓-韵达-抖音</v>
      </c>
      <c r="O7770" s="5">
        <v>320166079265273</v>
      </c>
      <c r="P7770" s="6">
        <v>0.35</v>
      </c>
      <c r="Q7770" s="11">
        <v>2.2999999999999998</v>
      </c>
      <c r="R7770" s="11"/>
      <c r="S7770" s="11"/>
      <c r="T7770" s="11"/>
      <c r="U7770" s="11">
        <f t="shared" si="2260"/>
        <v>2.2999999999999998</v>
      </c>
      <c r="W7770">
        <v>2.5</v>
      </c>
      <c r="X7770" s="1" t="s">
        <v>80</v>
      </c>
    </row>
    <row r="7771" spans="1:24" x14ac:dyDescent="0.25">
      <c r="A7771" s="1" t="str">
        <f t="shared" si="2261"/>
        <v>卡卡杜-凤凰仓</v>
      </c>
      <c r="B7771" s="1" t="str">
        <f>"CK202410115749"</f>
        <v>CK202410115749</v>
      </c>
      <c r="C7771" s="1" t="str">
        <f>"DD2024101114073"</f>
        <v>DD2024101114073</v>
      </c>
      <c r="D7771" s="1" t="str">
        <f>"CK2024101117514"</f>
        <v>CK2024101117514</v>
      </c>
      <c r="E7771" s="1" t="str">
        <f>"6934863928318236142"</f>
        <v>6934863928318236142</v>
      </c>
      <c r="F7771" s="1" t="str">
        <f t="shared" si="2262"/>
        <v>花都四部-凤凰仓</v>
      </c>
      <c r="G7771" s="1" t="str">
        <f t="shared" si="2266"/>
        <v>卡卡杜个人护理店（抖店）</v>
      </c>
      <c r="H7771" s="1" t="str">
        <f t="shared" si="2263"/>
        <v>正常订单</v>
      </c>
      <c r="I7771" s="1" t="str">
        <f t="shared" si="2264"/>
        <v>已发货</v>
      </c>
      <c r="J7771" s="1" t="str">
        <f t="shared" si="2268"/>
        <v>3</v>
      </c>
      <c r="K7771" s="1">
        <v>2</v>
      </c>
      <c r="L7771" s="1" t="s">
        <v>20</v>
      </c>
      <c r="M7771" s="1" t="str">
        <f>"浙江省 金华市 义乌市 稠城街道"</f>
        <v>浙江省 金华市 义乌市 稠城街道</v>
      </c>
      <c r="N7771" s="1" t="str">
        <f t="shared" si="2267"/>
        <v>凡华云仓-韵达-抖音</v>
      </c>
      <c r="O7771" s="5">
        <v>320166079265182</v>
      </c>
      <c r="P7771" s="6">
        <v>0.35</v>
      </c>
      <c r="Q7771" s="11">
        <v>2.2999999999999998</v>
      </c>
      <c r="R7771" s="11"/>
      <c r="S7771" s="11"/>
      <c r="T7771" s="11"/>
      <c r="U7771" s="11">
        <f t="shared" si="2260"/>
        <v>2.2999999999999998</v>
      </c>
      <c r="W7771">
        <v>2.5</v>
      </c>
      <c r="X7771" s="1" t="s">
        <v>20</v>
      </c>
    </row>
    <row r="7772" spans="1:24" x14ac:dyDescent="0.25">
      <c r="A7772" s="1" t="str">
        <f t="shared" si="2261"/>
        <v>卡卡杜-凤凰仓</v>
      </c>
      <c r="B7772" s="1" t="str">
        <f>"CK202410115739"</f>
        <v>CK202410115739</v>
      </c>
      <c r="C7772" s="1" t="str">
        <f>"DD2024101114063"</f>
        <v>DD2024101114063</v>
      </c>
      <c r="D7772" s="1" t="str">
        <f>"CK2024101117513"</f>
        <v>CK2024101117513</v>
      </c>
      <c r="E7772" s="1" t="str">
        <f>"6934879748454488030"</f>
        <v>6934879748454488030</v>
      </c>
      <c r="F7772" s="1" t="str">
        <f t="shared" si="2262"/>
        <v>花都四部-凤凰仓</v>
      </c>
      <c r="G7772" s="1" t="str">
        <f t="shared" si="2266"/>
        <v>卡卡杜个人护理店（抖店）</v>
      </c>
      <c r="H7772" s="1" t="str">
        <f t="shared" si="2263"/>
        <v>正常订单</v>
      </c>
      <c r="I7772" s="1" t="str">
        <f t="shared" si="2264"/>
        <v>已发货</v>
      </c>
      <c r="J7772" s="1" t="str">
        <f t="shared" si="2268"/>
        <v>3</v>
      </c>
      <c r="K7772" s="1">
        <v>2</v>
      </c>
      <c r="L7772" s="1" t="s">
        <v>20</v>
      </c>
      <c r="M7772" s="1" t="str">
        <f>"浙江省 杭州市 桐庐县 分水镇"</f>
        <v>浙江省 杭州市 桐庐县 分水镇</v>
      </c>
      <c r="N7772" s="1" t="str">
        <f t="shared" si="2267"/>
        <v>凡华云仓-韵达-抖音</v>
      </c>
      <c r="O7772" s="5">
        <v>320166078248275</v>
      </c>
      <c r="P7772" s="6">
        <v>0.35</v>
      </c>
      <c r="Q7772" s="11">
        <v>2.2999999999999998</v>
      </c>
      <c r="R7772" s="11"/>
      <c r="S7772" s="11"/>
      <c r="T7772" s="11"/>
      <c r="U7772" s="11">
        <f t="shared" si="2260"/>
        <v>2.2999999999999998</v>
      </c>
      <c r="W7772">
        <v>2.5</v>
      </c>
      <c r="X7772" s="1" t="s">
        <v>20</v>
      </c>
    </row>
    <row r="7773" spans="1:24" x14ac:dyDescent="0.25">
      <c r="A7773" s="1" t="str">
        <f t="shared" si="2261"/>
        <v>卡卡杜-凤凰仓</v>
      </c>
      <c r="B7773" s="1" t="str">
        <f>"CK202410115743"</f>
        <v>CK202410115743</v>
      </c>
      <c r="C7773" s="1" t="str">
        <f>"DD2024101114066"</f>
        <v>DD2024101114066</v>
      </c>
      <c r="D7773" s="1" t="str">
        <f>"CK2024101117512"</f>
        <v>CK2024101117512</v>
      </c>
      <c r="E7773" s="1" t="str">
        <f>"6934853048363848704"</f>
        <v>6934853048363848704</v>
      </c>
      <c r="F7773" s="1" t="str">
        <f t="shared" si="2262"/>
        <v>花都四部-凤凰仓</v>
      </c>
      <c r="G7773" s="1" t="str">
        <f t="shared" si="2266"/>
        <v>卡卡杜个人护理店（抖店）</v>
      </c>
      <c r="H7773" s="1" t="str">
        <f t="shared" si="2263"/>
        <v>正常订单</v>
      </c>
      <c r="I7773" s="1" t="str">
        <f t="shared" si="2264"/>
        <v>已发货</v>
      </c>
      <c r="J7773" s="1" t="str">
        <f t="shared" si="2268"/>
        <v>3</v>
      </c>
      <c r="K7773" s="1">
        <v>2</v>
      </c>
      <c r="L7773" s="1" t="s">
        <v>96</v>
      </c>
      <c r="M7773" s="1" t="str">
        <f>"广西壮族自治区 钦州市 钦北区 鸿亭街道"</f>
        <v>广西壮族自治区 钦州市 钦北区 鸿亭街道</v>
      </c>
      <c r="N7773" s="1" t="str">
        <f t="shared" si="2267"/>
        <v>凡华云仓-韵达-抖音</v>
      </c>
      <c r="O7773" s="5">
        <v>320166078248184</v>
      </c>
      <c r="P7773" s="6">
        <v>0.35</v>
      </c>
      <c r="Q7773" s="11">
        <v>2.2999999999999998</v>
      </c>
      <c r="R7773" s="11"/>
      <c r="S7773" s="11"/>
      <c r="T7773" s="11"/>
      <c r="U7773" s="11">
        <f t="shared" si="2260"/>
        <v>2.2999999999999998</v>
      </c>
      <c r="W7773">
        <v>2.5</v>
      </c>
      <c r="X7773" s="1" t="s">
        <v>96</v>
      </c>
    </row>
    <row r="7774" spans="1:24" x14ac:dyDescent="0.25">
      <c r="A7774" s="1" t="str">
        <f t="shared" si="2261"/>
        <v>卡卡杜-凤凰仓</v>
      </c>
      <c r="B7774" s="1" t="str">
        <f>"CK202410115741"</f>
        <v>CK202410115741</v>
      </c>
      <c r="C7774" s="1" t="str">
        <f>"DD2024101114062"</f>
        <v>DD2024101114062</v>
      </c>
      <c r="D7774" s="1" t="str">
        <f>"CK2024101117511"</f>
        <v>CK2024101117511</v>
      </c>
      <c r="E7774" s="1" t="str">
        <f>"6934854904401893305"</f>
        <v>6934854904401893305</v>
      </c>
      <c r="F7774" s="1" t="str">
        <f t="shared" si="2262"/>
        <v>花都四部-凤凰仓</v>
      </c>
      <c r="G7774" s="1" t="str">
        <f t="shared" si="2266"/>
        <v>卡卡杜个人护理店（抖店）</v>
      </c>
      <c r="H7774" s="1" t="str">
        <f t="shared" si="2263"/>
        <v>正常订单</v>
      </c>
      <c r="I7774" s="1" t="str">
        <f t="shared" si="2264"/>
        <v>已发货</v>
      </c>
      <c r="J7774" s="1" t="str">
        <f t="shared" si="2268"/>
        <v>3</v>
      </c>
      <c r="K7774" s="1">
        <v>2</v>
      </c>
      <c r="L7774" s="1" t="s">
        <v>24</v>
      </c>
      <c r="M7774" s="1" t="str">
        <f>"福建省 漳州市 漳浦县 霞美镇"</f>
        <v>福建省 漳州市 漳浦县 霞美镇</v>
      </c>
      <c r="N7774" s="1" t="str">
        <f t="shared" si="2267"/>
        <v>凡华云仓-韵达-抖音</v>
      </c>
      <c r="O7774" s="5">
        <v>320166078248095</v>
      </c>
      <c r="P7774" s="6">
        <v>0.35</v>
      </c>
      <c r="Q7774" s="11">
        <v>2.2999999999999998</v>
      </c>
      <c r="R7774" s="11"/>
      <c r="S7774" s="11"/>
      <c r="T7774" s="11"/>
      <c r="U7774" s="11">
        <f t="shared" si="2260"/>
        <v>2.2999999999999998</v>
      </c>
      <c r="W7774">
        <v>2.5</v>
      </c>
      <c r="X7774" s="1" t="s">
        <v>24</v>
      </c>
    </row>
    <row r="7775" spans="1:24" x14ac:dyDescent="0.25">
      <c r="A7775" s="1" t="str">
        <f t="shared" si="2261"/>
        <v>卡卡杜-凤凰仓</v>
      </c>
      <c r="B7775" s="1" t="str">
        <f>"CK202410115742"</f>
        <v>CK202410115742</v>
      </c>
      <c r="C7775" s="1" t="str">
        <f>"DD2024101114065"</f>
        <v>DD2024101114065</v>
      </c>
      <c r="D7775" s="1" t="str">
        <f>"CK2024101117510"</f>
        <v>CK2024101117510</v>
      </c>
      <c r="E7775" s="1" t="str">
        <f>"6934858966442775912"</f>
        <v>6934858966442775912</v>
      </c>
      <c r="F7775" s="1" t="str">
        <f t="shared" si="2262"/>
        <v>花都四部-凤凰仓</v>
      </c>
      <c r="G7775" s="1" t="str">
        <f t="shared" si="2266"/>
        <v>卡卡杜个人护理店（抖店）</v>
      </c>
      <c r="H7775" s="1" t="str">
        <f t="shared" si="2263"/>
        <v>正常订单</v>
      </c>
      <c r="I7775" s="1" t="str">
        <f t="shared" si="2264"/>
        <v>已发货</v>
      </c>
      <c r="J7775" s="1" t="str">
        <f t="shared" si="2268"/>
        <v>3</v>
      </c>
      <c r="K7775" s="1">
        <v>2</v>
      </c>
      <c r="L7775" s="1" t="s">
        <v>36</v>
      </c>
      <c r="M7775" s="1" t="str">
        <f>"安徽省 滁州市 天长市 冶山镇"</f>
        <v>安徽省 滁州市 天长市 冶山镇</v>
      </c>
      <c r="N7775" s="1" t="str">
        <f t="shared" si="2267"/>
        <v>凡华云仓-韵达-抖音</v>
      </c>
      <c r="O7775" s="5">
        <v>320166078247965</v>
      </c>
      <c r="P7775" s="6">
        <v>0.35</v>
      </c>
      <c r="Q7775" s="11">
        <v>2.2999999999999998</v>
      </c>
      <c r="R7775" s="11"/>
      <c r="S7775" s="11"/>
      <c r="T7775" s="11"/>
      <c r="U7775" s="11">
        <f t="shared" si="2260"/>
        <v>2.2999999999999998</v>
      </c>
      <c r="W7775">
        <v>2.5</v>
      </c>
      <c r="X7775" s="1" t="s">
        <v>36</v>
      </c>
    </row>
    <row r="7776" spans="1:24" x14ac:dyDescent="0.25">
      <c r="A7776" s="1" t="str">
        <f t="shared" si="2261"/>
        <v>卡卡杜-凤凰仓</v>
      </c>
      <c r="B7776" s="1" t="str">
        <f>"CK202410118160"</f>
        <v>CK202410118160</v>
      </c>
      <c r="C7776" s="1" t="str">
        <f>"DD2024101116715"</f>
        <v>DD2024101116715</v>
      </c>
      <c r="D7776" s="1" t="str">
        <f>"CK2024101117509"</f>
        <v>CK2024101117509</v>
      </c>
      <c r="E7776" s="1" t="str">
        <f>"6934872532273403725"</f>
        <v>6934872532273403725</v>
      </c>
      <c r="F7776" s="1" t="str">
        <f t="shared" si="2262"/>
        <v>花都四部-凤凰仓</v>
      </c>
      <c r="G7776" s="1" t="str">
        <f t="shared" si="2266"/>
        <v>卡卡杜个人护理店（抖店）</v>
      </c>
      <c r="H7776" s="1" t="str">
        <f t="shared" si="2263"/>
        <v>正常订单</v>
      </c>
      <c r="I7776" s="1" t="str">
        <f t="shared" si="2264"/>
        <v>已发货</v>
      </c>
      <c r="J7776" s="1" t="str">
        <f t="shared" si="2268"/>
        <v>3</v>
      </c>
      <c r="K7776" s="1">
        <v>3</v>
      </c>
      <c r="L7776" s="1" t="s">
        <v>24</v>
      </c>
      <c r="M7776" s="1" t="str">
        <f>"福建省 福州市 鼓楼区 鼓西街道"</f>
        <v>福建省 福州市 鼓楼区 鼓西街道</v>
      </c>
      <c r="N7776" s="1" t="str">
        <f t="shared" si="2267"/>
        <v>凡华云仓-韵达-抖音</v>
      </c>
      <c r="O7776" s="5">
        <v>320166078247860</v>
      </c>
      <c r="P7776" s="6">
        <v>0.34</v>
      </c>
      <c r="Q7776" s="11">
        <v>2.2999999999999998</v>
      </c>
      <c r="R7776" s="11"/>
      <c r="S7776" s="11"/>
      <c r="T7776" s="11"/>
      <c r="U7776" s="11">
        <f t="shared" si="2260"/>
        <v>2.2999999999999998</v>
      </c>
      <c r="W7776">
        <v>2.5</v>
      </c>
      <c r="X7776" s="1" t="s">
        <v>24</v>
      </c>
    </row>
    <row r="7777" spans="1:24" x14ac:dyDescent="0.25">
      <c r="A7777" s="1" t="str">
        <f t="shared" si="2261"/>
        <v>卡卡杜-凤凰仓</v>
      </c>
      <c r="B7777" s="1" t="str">
        <f>"CK202410115740"</f>
        <v>CK202410115740</v>
      </c>
      <c r="C7777" s="1" t="str">
        <f>"DD2024101114064"</f>
        <v>DD2024101114064</v>
      </c>
      <c r="D7777" s="1" t="str">
        <f>"CK2024101117508"</f>
        <v>CK2024101117508</v>
      </c>
      <c r="E7777" s="1" t="str">
        <f>"6934865782190445672"</f>
        <v>6934865782190445672</v>
      </c>
      <c r="F7777" s="1" t="str">
        <f t="shared" si="2262"/>
        <v>花都四部-凤凰仓</v>
      </c>
      <c r="G7777" s="1" t="str">
        <f t="shared" si="2266"/>
        <v>卡卡杜个人护理店（抖店）</v>
      </c>
      <c r="H7777" s="1" t="str">
        <f t="shared" si="2263"/>
        <v>正常订单</v>
      </c>
      <c r="I7777" s="1" t="str">
        <f t="shared" si="2264"/>
        <v>已发货</v>
      </c>
      <c r="J7777" s="1" t="str">
        <f t="shared" si="2268"/>
        <v>3</v>
      </c>
      <c r="K7777" s="1">
        <v>2</v>
      </c>
      <c r="L7777" s="1" t="s">
        <v>94</v>
      </c>
      <c r="M7777" s="1" t="str">
        <f>"湖南省 长沙市 雨花区 圭塘街道"</f>
        <v>湖南省 长沙市 雨花区 圭塘街道</v>
      </c>
      <c r="N7777" s="1" t="str">
        <f t="shared" si="2267"/>
        <v>凡华云仓-韵达-抖音</v>
      </c>
      <c r="O7777" s="5">
        <v>320166078247757</v>
      </c>
      <c r="P7777" s="6">
        <v>0.35</v>
      </c>
      <c r="Q7777" s="11">
        <v>2.2999999999999998</v>
      </c>
      <c r="R7777" s="11"/>
      <c r="S7777" s="11"/>
      <c r="T7777" s="11"/>
      <c r="U7777" s="11">
        <f t="shared" si="2260"/>
        <v>2.2999999999999998</v>
      </c>
      <c r="W7777">
        <v>2.5</v>
      </c>
      <c r="X7777" s="1" t="s">
        <v>94</v>
      </c>
    </row>
    <row r="7778" spans="1:24" x14ac:dyDescent="0.25">
      <c r="A7778" s="1" t="str">
        <f t="shared" si="2261"/>
        <v>卡卡杜-凤凰仓</v>
      </c>
      <c r="B7778" s="1" t="str">
        <f>"CK202410115738"</f>
        <v>CK202410115738</v>
      </c>
      <c r="C7778" s="1" t="str">
        <f>"DD2024101114058"</f>
        <v>DD2024101114058</v>
      </c>
      <c r="D7778" s="1" t="str">
        <f>"CK2024101117507"</f>
        <v>CK2024101117507</v>
      </c>
      <c r="E7778" s="1" t="str">
        <f>"6934863527878268117"</f>
        <v>6934863527878268117</v>
      </c>
      <c r="F7778" s="1" t="str">
        <f t="shared" si="2262"/>
        <v>花都四部-凤凰仓</v>
      </c>
      <c r="G7778" s="1" t="str">
        <f t="shared" si="2266"/>
        <v>卡卡杜个人护理店（抖店）</v>
      </c>
      <c r="H7778" s="1" t="str">
        <f t="shared" si="2263"/>
        <v>正常订单</v>
      </c>
      <c r="I7778" s="1" t="str">
        <f t="shared" si="2264"/>
        <v>已发货</v>
      </c>
      <c r="J7778" s="1" t="str">
        <f t="shared" si="2268"/>
        <v>3</v>
      </c>
      <c r="K7778" s="1">
        <v>2</v>
      </c>
      <c r="L7778" s="1" t="s">
        <v>13</v>
      </c>
      <c r="M7778" s="1" t="str">
        <f>"江苏省 苏州市 昆山市 昆山开发区"</f>
        <v>江苏省 苏州市 昆山市 昆山开发区</v>
      </c>
      <c r="N7778" s="1" t="str">
        <f t="shared" si="2267"/>
        <v>凡华云仓-韵达-抖音</v>
      </c>
      <c r="O7778" s="5">
        <v>320166078247656</v>
      </c>
      <c r="P7778" s="6">
        <v>0.35</v>
      </c>
      <c r="Q7778" s="11">
        <v>2.2999999999999998</v>
      </c>
      <c r="R7778" s="11"/>
      <c r="S7778" s="11"/>
      <c r="T7778" s="11"/>
      <c r="U7778" s="11">
        <f t="shared" si="2260"/>
        <v>2.2999999999999998</v>
      </c>
      <c r="W7778">
        <v>2.5</v>
      </c>
      <c r="X7778" s="1" t="s">
        <v>13</v>
      </c>
    </row>
    <row r="7779" spans="1:24" x14ac:dyDescent="0.25">
      <c r="A7779" s="1" t="str">
        <f t="shared" si="2261"/>
        <v>卡卡杜-凤凰仓</v>
      </c>
      <c r="B7779" s="1" t="str">
        <f>"CK202410115746"</f>
        <v>CK202410115746</v>
      </c>
      <c r="C7779" s="1" t="str">
        <f>"DD2024101114068"</f>
        <v>DD2024101114068</v>
      </c>
      <c r="D7779" s="1" t="str">
        <f>"CK2024101117506"</f>
        <v>CK2024101117506</v>
      </c>
      <c r="E7779" s="1" t="str">
        <f>"6934879327653599151"</f>
        <v>6934879327653599151</v>
      </c>
      <c r="F7779" s="1" t="str">
        <f t="shared" si="2262"/>
        <v>花都四部-凤凰仓</v>
      </c>
      <c r="G7779" s="1" t="str">
        <f t="shared" si="2266"/>
        <v>卡卡杜个人护理店（抖店）</v>
      </c>
      <c r="H7779" s="1" t="str">
        <f t="shared" si="2263"/>
        <v>正常订单</v>
      </c>
      <c r="I7779" s="1" t="str">
        <f t="shared" si="2264"/>
        <v>已发货</v>
      </c>
      <c r="J7779" s="1" t="str">
        <f t="shared" si="2268"/>
        <v>3</v>
      </c>
      <c r="K7779" s="1">
        <v>2</v>
      </c>
      <c r="L7779" s="1" t="s">
        <v>20</v>
      </c>
      <c r="M7779" s="1" t="str">
        <f>"浙江省 台州市 临海市 杜桥镇"</f>
        <v>浙江省 台州市 临海市 杜桥镇</v>
      </c>
      <c r="N7779" s="1" t="str">
        <f t="shared" si="2267"/>
        <v>凡华云仓-韵达-抖音</v>
      </c>
      <c r="O7779" s="5">
        <v>320166078247557</v>
      </c>
      <c r="P7779" s="6">
        <v>0.35</v>
      </c>
      <c r="Q7779" s="11">
        <v>2.2999999999999998</v>
      </c>
      <c r="R7779" s="11"/>
      <c r="S7779" s="11"/>
      <c r="T7779" s="11"/>
      <c r="U7779" s="11">
        <f t="shared" si="2260"/>
        <v>2.2999999999999998</v>
      </c>
      <c r="W7779">
        <v>2.5</v>
      </c>
      <c r="X7779" s="1" t="s">
        <v>20</v>
      </c>
    </row>
    <row r="7780" spans="1:24" x14ac:dyDescent="0.25">
      <c r="A7780" s="1" t="str">
        <f t="shared" si="2261"/>
        <v>卡卡杜-凤凰仓</v>
      </c>
      <c r="B7780" s="1" t="str">
        <f>"CK202410115744"</f>
        <v>CK202410115744</v>
      </c>
      <c r="C7780" s="1" t="str">
        <f>"DD2024101114067"</f>
        <v>DD2024101114067</v>
      </c>
      <c r="D7780" s="1" t="str">
        <f>"CK2024101117505"</f>
        <v>CK2024101117505</v>
      </c>
      <c r="E7780" s="1" t="str">
        <f>"6934860944281375966"</f>
        <v>6934860944281375966</v>
      </c>
      <c r="F7780" s="1" t="str">
        <f t="shared" si="2262"/>
        <v>花都四部-凤凰仓</v>
      </c>
      <c r="G7780" s="1" t="str">
        <f t="shared" si="2266"/>
        <v>卡卡杜个人护理店（抖店）</v>
      </c>
      <c r="H7780" s="1" t="str">
        <f t="shared" si="2263"/>
        <v>正常订单</v>
      </c>
      <c r="I7780" s="1" t="str">
        <f t="shared" si="2264"/>
        <v>已发货</v>
      </c>
      <c r="J7780" s="1" t="str">
        <f t="shared" si="2268"/>
        <v>3</v>
      </c>
      <c r="K7780" s="1">
        <v>2</v>
      </c>
      <c r="L7780" s="1" t="s">
        <v>24</v>
      </c>
      <c r="M7780" s="1" t="str">
        <f>"福建省 厦门市 翔安区 民安街道"</f>
        <v>福建省 厦门市 翔安区 民安街道</v>
      </c>
      <c r="N7780" s="1" t="str">
        <f t="shared" si="2267"/>
        <v>凡华云仓-韵达-抖音</v>
      </c>
      <c r="O7780" s="5">
        <v>320166078247460</v>
      </c>
      <c r="P7780" s="6">
        <v>0.35</v>
      </c>
      <c r="Q7780" s="11">
        <v>2.2999999999999998</v>
      </c>
      <c r="R7780" s="11"/>
      <c r="S7780" s="11"/>
      <c r="T7780" s="11"/>
      <c r="U7780" s="11">
        <f t="shared" si="2260"/>
        <v>2.2999999999999998</v>
      </c>
      <c r="W7780">
        <v>2.5</v>
      </c>
      <c r="X7780" s="1" t="s">
        <v>24</v>
      </c>
    </row>
    <row r="7781" spans="1:24" x14ac:dyDescent="0.25">
      <c r="A7781" s="1" t="str">
        <f t="shared" si="2261"/>
        <v>卡卡杜-凤凰仓</v>
      </c>
      <c r="B7781" s="1" t="str">
        <f>"CK202410115747"</f>
        <v>CK202410115747</v>
      </c>
      <c r="C7781" s="1" t="str">
        <f>"DD2024101114069"</f>
        <v>DD2024101114069</v>
      </c>
      <c r="D7781" s="1" t="str">
        <f>"CK2024101117504"</f>
        <v>CK2024101117504</v>
      </c>
      <c r="E7781" s="1" t="str">
        <f>"6917556334191410640"</f>
        <v>6917556334191410640</v>
      </c>
      <c r="F7781" s="1" t="str">
        <f t="shared" si="2262"/>
        <v>花都四部-凤凰仓</v>
      </c>
      <c r="G7781" s="1" t="str">
        <f t="shared" si="2266"/>
        <v>卡卡杜个人护理店（抖店）</v>
      </c>
      <c r="H7781" s="1" t="str">
        <f t="shared" si="2263"/>
        <v>正常订单</v>
      </c>
      <c r="I7781" s="1" t="str">
        <f t="shared" si="2264"/>
        <v>已发货</v>
      </c>
      <c r="J7781" s="1" t="str">
        <f t="shared" si="2268"/>
        <v>3</v>
      </c>
      <c r="K7781" s="1">
        <v>2</v>
      </c>
      <c r="L7781" s="1" t="s">
        <v>27</v>
      </c>
      <c r="M7781" s="1" t="str">
        <f>"贵州省 安顺市 普定县 穿洞街道"</f>
        <v>贵州省 安顺市 普定县 穿洞街道</v>
      </c>
      <c r="N7781" s="1" t="str">
        <f t="shared" si="2267"/>
        <v>凡华云仓-韵达-抖音</v>
      </c>
      <c r="O7781" s="5">
        <v>320166078247365</v>
      </c>
      <c r="P7781" s="6">
        <v>0.35</v>
      </c>
      <c r="Q7781" s="11">
        <v>2.2999999999999998</v>
      </c>
      <c r="R7781" s="11"/>
      <c r="S7781" s="11"/>
      <c r="T7781" s="11"/>
      <c r="U7781" s="11">
        <f t="shared" si="2260"/>
        <v>2.2999999999999998</v>
      </c>
      <c r="W7781">
        <v>2.5</v>
      </c>
      <c r="X7781" s="1" t="s">
        <v>27</v>
      </c>
    </row>
    <row r="7782" spans="1:24" x14ac:dyDescent="0.25">
      <c r="A7782" s="1" t="str">
        <f t="shared" si="2261"/>
        <v>卡卡杜-凤凰仓</v>
      </c>
      <c r="B7782" s="1" t="str">
        <f>"CK202410115748"</f>
        <v>CK202410115748</v>
      </c>
      <c r="C7782" s="1" t="str">
        <f>"DD2024101114070"</f>
        <v>DD2024101114070</v>
      </c>
      <c r="D7782" s="1" t="str">
        <f>"CK2024101117503"</f>
        <v>CK2024101117503</v>
      </c>
      <c r="E7782" s="1" t="str">
        <f>"6934872294420780105"</f>
        <v>6934872294420780105</v>
      </c>
      <c r="F7782" s="1" t="str">
        <f t="shared" si="2262"/>
        <v>花都四部-凤凰仓</v>
      </c>
      <c r="G7782" s="1" t="str">
        <f t="shared" si="2266"/>
        <v>卡卡杜个人护理店（抖店）</v>
      </c>
      <c r="H7782" s="1" t="str">
        <f t="shared" si="2263"/>
        <v>正常订单</v>
      </c>
      <c r="I7782" s="1" t="str">
        <f t="shared" si="2264"/>
        <v>已发货</v>
      </c>
      <c r="J7782" s="1" t="str">
        <f t="shared" si="2268"/>
        <v>3</v>
      </c>
      <c r="K7782" s="1">
        <v>2</v>
      </c>
      <c r="L7782" s="1" t="s">
        <v>36</v>
      </c>
      <c r="M7782" s="1" t="str">
        <f>"安徽省 马鞍山市 当涂县 姑孰镇"</f>
        <v>安徽省 马鞍山市 当涂县 姑孰镇</v>
      </c>
      <c r="N7782" s="1" t="str">
        <f t="shared" si="2267"/>
        <v>凡华云仓-韵达-抖音</v>
      </c>
      <c r="O7782" s="5">
        <v>320166081136902</v>
      </c>
      <c r="P7782" s="6">
        <v>0.35</v>
      </c>
      <c r="Q7782" s="11">
        <v>2.2999999999999998</v>
      </c>
      <c r="R7782" s="11"/>
      <c r="S7782" s="11"/>
      <c r="T7782" s="11"/>
      <c r="U7782" s="11">
        <f t="shared" si="2260"/>
        <v>2.2999999999999998</v>
      </c>
      <c r="W7782">
        <v>2.5</v>
      </c>
      <c r="X7782" s="1" t="s">
        <v>36</v>
      </c>
    </row>
    <row r="7783" spans="1:24" x14ac:dyDescent="0.25">
      <c r="A7783" s="1" t="str">
        <f t="shared" si="2261"/>
        <v>卡卡杜-凤凰仓</v>
      </c>
      <c r="B7783" s="1" t="str">
        <f>"CK202410115750"</f>
        <v>CK202410115750</v>
      </c>
      <c r="C7783" s="1" t="str">
        <f>"DD2024101114074"</f>
        <v>DD2024101114074</v>
      </c>
      <c r="D7783" s="1" t="str">
        <f>"CK2024101117502"</f>
        <v>CK2024101117502</v>
      </c>
      <c r="E7783" s="1" t="str">
        <f>"6934860801374427112"</f>
        <v>6934860801374427112</v>
      </c>
      <c r="F7783" s="1" t="str">
        <f t="shared" si="2262"/>
        <v>花都四部-凤凰仓</v>
      </c>
      <c r="G7783" s="1" t="str">
        <f t="shared" si="2266"/>
        <v>卡卡杜个人护理店（抖店）</v>
      </c>
      <c r="H7783" s="1" t="str">
        <f t="shared" si="2263"/>
        <v>正常订单</v>
      </c>
      <c r="I7783" s="1" t="str">
        <f t="shared" si="2264"/>
        <v>已发货</v>
      </c>
      <c r="J7783" s="1" t="str">
        <f t="shared" si="2268"/>
        <v>3</v>
      </c>
      <c r="K7783" s="1">
        <v>2</v>
      </c>
      <c r="L7783" s="1" t="s">
        <v>60</v>
      </c>
      <c r="M7783" s="1" t="str">
        <f>"云南省 昆明市 西山区 福海街道"</f>
        <v>云南省 昆明市 西山区 福海街道</v>
      </c>
      <c r="N7783" s="1" t="str">
        <f t="shared" si="2267"/>
        <v>凡华云仓-韵达-抖音</v>
      </c>
      <c r="O7783" s="5">
        <v>320166081136897</v>
      </c>
      <c r="P7783" s="6">
        <v>0.35</v>
      </c>
      <c r="Q7783" s="11">
        <v>2.2999999999999998</v>
      </c>
      <c r="R7783" s="11"/>
      <c r="S7783" s="11"/>
      <c r="T7783" s="11"/>
      <c r="U7783" s="11">
        <f t="shared" si="2260"/>
        <v>2.2999999999999998</v>
      </c>
      <c r="W7783">
        <v>2.5</v>
      </c>
      <c r="X7783" s="1" t="s">
        <v>60</v>
      </c>
    </row>
    <row r="7784" spans="1:24" x14ac:dyDescent="0.25">
      <c r="A7784" s="1" t="str">
        <f t="shared" si="2261"/>
        <v>卡卡杜-凤凰仓</v>
      </c>
      <c r="B7784" s="1" t="str">
        <f>"CK202410118163"</f>
        <v>CK202410118163</v>
      </c>
      <c r="C7784" s="1" t="str">
        <f>"DD2024101116716"</f>
        <v>DD2024101116716</v>
      </c>
      <c r="D7784" s="1" t="str">
        <f>"CK2024101117501"</f>
        <v>CK2024101117501</v>
      </c>
      <c r="E7784" s="1" t="str">
        <f>"6934872273970140282"</f>
        <v>6934872273970140282</v>
      </c>
      <c r="F7784" s="1" t="str">
        <f t="shared" si="2262"/>
        <v>花都四部-凤凰仓</v>
      </c>
      <c r="G7784" s="1" t="str">
        <f t="shared" si="2266"/>
        <v>卡卡杜个人护理店（抖店）</v>
      </c>
      <c r="H7784" s="1" t="str">
        <f t="shared" si="2263"/>
        <v>正常订单</v>
      </c>
      <c r="I7784" s="1" t="str">
        <f t="shared" si="2264"/>
        <v>已发货</v>
      </c>
      <c r="J7784" s="1" t="str">
        <f t="shared" si="2268"/>
        <v>3</v>
      </c>
      <c r="K7784" s="1">
        <v>3</v>
      </c>
      <c r="L7784" s="1" t="s">
        <v>96</v>
      </c>
      <c r="M7784" s="1" t="str">
        <f>"广西壮族自治区 梧州市 蒙山县 蒙山镇"</f>
        <v>广西壮族自治区 梧州市 蒙山县 蒙山镇</v>
      </c>
      <c r="N7784" s="1" t="str">
        <f t="shared" si="2267"/>
        <v>凡华云仓-韵达-抖音</v>
      </c>
      <c r="O7784" s="5">
        <v>320166081136794</v>
      </c>
      <c r="P7784" s="6">
        <v>0.34</v>
      </c>
      <c r="Q7784" s="11">
        <v>2.2999999999999998</v>
      </c>
      <c r="R7784" s="11"/>
      <c r="S7784" s="11"/>
      <c r="T7784" s="11"/>
      <c r="U7784" s="11">
        <f t="shared" si="2260"/>
        <v>2.2999999999999998</v>
      </c>
      <c r="W7784">
        <v>2.5</v>
      </c>
      <c r="X7784" s="1" t="s">
        <v>96</v>
      </c>
    </row>
    <row r="7785" spans="1:24" x14ac:dyDescent="0.25">
      <c r="A7785" s="1" t="str">
        <f t="shared" si="2261"/>
        <v>卡卡杜-凤凰仓</v>
      </c>
      <c r="B7785" s="1" t="str">
        <f>"CK202410115752"</f>
        <v>CK202410115752</v>
      </c>
      <c r="C7785" s="1" t="str">
        <f>"DD2024101114075"</f>
        <v>DD2024101114075</v>
      </c>
      <c r="D7785" s="1" t="str">
        <f>"CK2024101117500"</f>
        <v>CK2024101117500</v>
      </c>
      <c r="E7785" s="1" t="str">
        <f>"6934865525419218676"</f>
        <v>6934865525419218676</v>
      </c>
      <c r="F7785" s="1" t="str">
        <f t="shared" si="2262"/>
        <v>花都四部-凤凰仓</v>
      </c>
      <c r="G7785" s="1" t="str">
        <f t="shared" si="2266"/>
        <v>卡卡杜个人护理店（抖店）</v>
      </c>
      <c r="H7785" s="1" t="str">
        <f t="shared" si="2263"/>
        <v>正常订单</v>
      </c>
      <c r="I7785" s="1" t="str">
        <f t="shared" si="2264"/>
        <v>已发货</v>
      </c>
      <c r="J7785" s="1" t="str">
        <f t="shared" si="2268"/>
        <v>3</v>
      </c>
      <c r="K7785" s="1">
        <v>2</v>
      </c>
      <c r="L7785" s="1" t="s">
        <v>24</v>
      </c>
      <c r="M7785" s="1" t="str">
        <f>"福建省 泉州市 惠安县 "</f>
        <v xml:space="preserve">福建省 泉州市 惠安县 </v>
      </c>
      <c r="N7785" s="1" t="str">
        <f t="shared" si="2267"/>
        <v>凡华云仓-韵达-抖音</v>
      </c>
      <c r="O7785" s="5">
        <v>320166081136693</v>
      </c>
      <c r="P7785" s="6">
        <v>0.35</v>
      </c>
      <c r="Q7785" s="11">
        <v>2.2999999999999998</v>
      </c>
      <c r="R7785" s="11"/>
      <c r="S7785" s="11"/>
      <c r="T7785" s="11"/>
      <c r="U7785" s="11">
        <f t="shared" si="2260"/>
        <v>2.2999999999999998</v>
      </c>
      <c r="W7785">
        <v>2.5</v>
      </c>
      <c r="X7785" s="1" t="s">
        <v>24</v>
      </c>
    </row>
    <row r="7786" spans="1:24" x14ac:dyDescent="0.25">
      <c r="A7786" s="1" t="str">
        <f t="shared" si="2261"/>
        <v>卡卡杜-凤凰仓</v>
      </c>
      <c r="B7786" s="1" t="str">
        <f>"CK202410115734"</f>
        <v>CK202410115734</v>
      </c>
      <c r="C7786" s="1" t="str">
        <f>"DD2024101114061"</f>
        <v>DD2024101114061</v>
      </c>
      <c r="D7786" s="1" t="str">
        <f>"CK2024101117499"</f>
        <v>CK2024101117499</v>
      </c>
      <c r="E7786" s="1" t="str">
        <f>"6934841541353412136"</f>
        <v>6934841541353412136</v>
      </c>
      <c r="F7786" s="1" t="str">
        <f t="shared" si="2262"/>
        <v>花都四部-凤凰仓</v>
      </c>
      <c r="G7786" s="1" t="str">
        <f t="shared" si="2266"/>
        <v>卡卡杜个人护理店（抖店）</v>
      </c>
      <c r="H7786" s="1" t="str">
        <f t="shared" si="2263"/>
        <v>正常订单</v>
      </c>
      <c r="I7786" s="1" t="str">
        <f t="shared" si="2264"/>
        <v>已发货</v>
      </c>
      <c r="J7786" s="1" t="str">
        <f t="shared" si="2268"/>
        <v>3</v>
      </c>
      <c r="K7786" s="1">
        <v>2</v>
      </c>
      <c r="L7786" s="1" t="s">
        <v>94</v>
      </c>
      <c r="M7786" s="1" t="str">
        <f>"湖南省 衡阳市 常宁市 泉峰街道"</f>
        <v>湖南省 衡阳市 常宁市 泉峰街道</v>
      </c>
      <c r="N7786" s="1" t="str">
        <f t="shared" si="2267"/>
        <v>凡华云仓-韵达-抖音</v>
      </c>
      <c r="O7786" s="5">
        <v>320166081136594</v>
      </c>
      <c r="P7786" s="6">
        <v>0.35</v>
      </c>
      <c r="Q7786" s="11">
        <v>2.2999999999999998</v>
      </c>
      <c r="R7786" s="11"/>
      <c r="S7786" s="11"/>
      <c r="T7786" s="11"/>
      <c r="U7786" s="11">
        <f t="shared" si="2260"/>
        <v>2.2999999999999998</v>
      </c>
      <c r="W7786">
        <v>2.5</v>
      </c>
      <c r="X7786" s="1" t="s">
        <v>94</v>
      </c>
    </row>
    <row r="7787" spans="1:24" x14ac:dyDescent="0.25">
      <c r="A7787" s="1" t="str">
        <f t="shared" si="2261"/>
        <v>卡卡杜-凤凰仓</v>
      </c>
      <c r="B7787" s="1" t="str">
        <f>"CK202410115724"</f>
        <v>CK202410115724</v>
      </c>
      <c r="C7787" s="1" t="str">
        <f>"DD2024101114046"</f>
        <v>DD2024101114046</v>
      </c>
      <c r="D7787" s="1" t="str">
        <f>"CK2024101117498"</f>
        <v>CK2024101117498</v>
      </c>
      <c r="E7787" s="1" t="str">
        <f>"6934846100979913880"</f>
        <v>6934846100979913880</v>
      </c>
      <c r="F7787" s="1" t="str">
        <f t="shared" si="2262"/>
        <v>花都四部-凤凰仓</v>
      </c>
      <c r="G7787" s="1" t="str">
        <f t="shared" si="2266"/>
        <v>卡卡杜个人护理店（抖店）</v>
      </c>
      <c r="H7787" s="1" t="str">
        <f t="shared" si="2263"/>
        <v>正常订单</v>
      </c>
      <c r="I7787" s="1" t="str">
        <f t="shared" si="2264"/>
        <v>已发货</v>
      </c>
      <c r="J7787" s="1" t="str">
        <f t="shared" si="2268"/>
        <v>3</v>
      </c>
      <c r="K7787" s="1">
        <v>2</v>
      </c>
      <c r="L7787" s="1" t="s">
        <v>44</v>
      </c>
      <c r="M7787" s="1" t="str">
        <f>"海南省 三亚市 天涯区 天涯镇"</f>
        <v>海南省 三亚市 天涯区 天涯镇</v>
      </c>
      <c r="N7787" s="1" t="str">
        <f t="shared" si="2267"/>
        <v>凡华云仓-韵达-抖音</v>
      </c>
      <c r="O7787" s="5">
        <v>320166081136497</v>
      </c>
      <c r="P7787" s="6">
        <v>0.35</v>
      </c>
      <c r="Q7787" s="11">
        <v>2.2999999999999998</v>
      </c>
      <c r="R7787" s="11"/>
      <c r="S7787" s="11"/>
      <c r="T7787" s="11"/>
      <c r="U7787" s="11">
        <f t="shared" si="2260"/>
        <v>2.2999999999999998</v>
      </c>
      <c r="W7787">
        <v>2.5</v>
      </c>
      <c r="X7787" s="1" t="s">
        <v>44</v>
      </c>
    </row>
    <row r="7788" spans="1:24" x14ac:dyDescent="0.25">
      <c r="A7788" s="1" t="str">
        <f t="shared" si="2261"/>
        <v>卡卡杜-凤凰仓</v>
      </c>
      <c r="B7788" s="1" t="str">
        <f>"CK202410115737"</f>
        <v>CK202410115737</v>
      </c>
      <c r="C7788" s="1" t="str">
        <f>"DD2024101114056"</f>
        <v>DD2024101114056</v>
      </c>
      <c r="D7788" s="1" t="str">
        <f>"CK2024101117497"</f>
        <v>CK2024101117497</v>
      </c>
      <c r="E7788" s="1" t="str">
        <f>"6934846130584622806"</f>
        <v>6934846130584622806</v>
      </c>
      <c r="F7788" s="1" t="str">
        <f t="shared" si="2262"/>
        <v>花都四部-凤凰仓</v>
      </c>
      <c r="G7788" s="1" t="str">
        <f t="shared" si="2266"/>
        <v>卡卡杜个人护理店（抖店）</v>
      </c>
      <c r="H7788" s="1" t="str">
        <f t="shared" si="2263"/>
        <v>正常订单</v>
      </c>
      <c r="I7788" s="1" t="str">
        <f t="shared" si="2264"/>
        <v>已发货</v>
      </c>
      <c r="J7788" s="1" t="str">
        <f t="shared" si="2268"/>
        <v>3</v>
      </c>
      <c r="K7788" s="1">
        <v>2</v>
      </c>
      <c r="L7788" s="1" t="s">
        <v>60</v>
      </c>
      <c r="M7788" s="1" t="str">
        <f>"云南省 丽江市 古城区 祥和街道"</f>
        <v>云南省 丽江市 古城区 祥和街道</v>
      </c>
      <c r="N7788" s="1" t="str">
        <f t="shared" si="2267"/>
        <v>凡华云仓-韵达-抖音</v>
      </c>
      <c r="O7788" s="5">
        <v>320166081136302</v>
      </c>
      <c r="P7788" s="6">
        <v>0.35</v>
      </c>
      <c r="Q7788" s="11">
        <v>2.2999999999999998</v>
      </c>
      <c r="R7788" s="11"/>
      <c r="S7788" s="11"/>
      <c r="T7788" s="11"/>
      <c r="U7788" s="11">
        <f t="shared" si="2260"/>
        <v>2.2999999999999998</v>
      </c>
      <c r="W7788">
        <v>2.5</v>
      </c>
      <c r="X7788" s="1" t="s">
        <v>60</v>
      </c>
    </row>
    <row r="7789" spans="1:24" x14ac:dyDescent="0.25">
      <c r="A7789" s="1" t="str">
        <f t="shared" si="2261"/>
        <v>卡卡杜-凤凰仓</v>
      </c>
      <c r="B7789" s="1" t="str">
        <f>"CK202410115768"</f>
        <v>CK202410115768</v>
      </c>
      <c r="C7789" s="1" t="str">
        <f>"DD2024101114091"</f>
        <v>DD2024101114091</v>
      </c>
      <c r="D7789" s="1" t="str">
        <f>"CK2024101117496"</f>
        <v>CK2024101117496</v>
      </c>
      <c r="E7789" s="1" t="str">
        <f>"6934846038990067440"</f>
        <v>6934846038990067440</v>
      </c>
      <c r="F7789" s="1" t="str">
        <f t="shared" si="2262"/>
        <v>花都四部-凤凰仓</v>
      </c>
      <c r="G7789" s="1" t="str">
        <f t="shared" si="2266"/>
        <v>卡卡杜个人护理店（抖店）</v>
      </c>
      <c r="H7789" s="1" t="str">
        <f t="shared" si="2263"/>
        <v>正常订单</v>
      </c>
      <c r="I7789" s="1" t="str">
        <f t="shared" si="2264"/>
        <v>已发货</v>
      </c>
      <c r="J7789" s="1" t="str">
        <f t="shared" si="2268"/>
        <v>3</v>
      </c>
      <c r="K7789" s="1">
        <v>2</v>
      </c>
      <c r="L7789" s="1" t="s">
        <v>22</v>
      </c>
      <c r="M7789" s="1" t="str">
        <f>"江西省 新余市 渝水区 水西镇"</f>
        <v>江西省 新余市 渝水区 水西镇</v>
      </c>
      <c r="N7789" s="1" t="str">
        <f t="shared" si="2267"/>
        <v>凡华云仓-韵达-抖音</v>
      </c>
      <c r="O7789" s="5">
        <v>320166081136209</v>
      </c>
      <c r="P7789" s="6">
        <v>0.35</v>
      </c>
      <c r="Q7789" s="11">
        <v>2.2999999999999998</v>
      </c>
      <c r="R7789" s="11"/>
      <c r="S7789" s="11"/>
      <c r="T7789" s="11"/>
      <c r="U7789" s="11">
        <f t="shared" si="2260"/>
        <v>2.2999999999999998</v>
      </c>
      <c r="W7789">
        <v>2.5</v>
      </c>
      <c r="X7789" s="1" t="s">
        <v>22</v>
      </c>
    </row>
    <row r="7790" spans="1:24" x14ac:dyDescent="0.25">
      <c r="A7790" s="1" t="str">
        <f t="shared" si="2261"/>
        <v>卡卡杜-凤凰仓</v>
      </c>
      <c r="B7790" s="1" t="str">
        <f>"CK202410115754"</f>
        <v>CK202410115754</v>
      </c>
      <c r="C7790" s="1" t="str">
        <f>"DD2024101114081"</f>
        <v>DD2024101114081</v>
      </c>
      <c r="D7790" s="1" t="str">
        <f>"CK2024101117495"</f>
        <v>CK2024101117495</v>
      </c>
      <c r="E7790" s="1" t="str">
        <f>"6934841518769116164"</f>
        <v>6934841518769116164</v>
      </c>
      <c r="F7790" s="1" t="str">
        <f t="shared" si="2262"/>
        <v>花都四部-凤凰仓</v>
      </c>
      <c r="G7790" s="1" t="str">
        <f t="shared" si="2266"/>
        <v>卡卡杜个人护理店（抖店）</v>
      </c>
      <c r="H7790" s="1" t="str">
        <f t="shared" si="2263"/>
        <v>正常订单</v>
      </c>
      <c r="I7790" s="1" t="str">
        <f t="shared" si="2264"/>
        <v>已发货</v>
      </c>
      <c r="J7790" s="1" t="str">
        <f t="shared" si="2268"/>
        <v>3</v>
      </c>
      <c r="K7790" s="1">
        <v>2</v>
      </c>
      <c r="L7790" s="1" t="s">
        <v>74</v>
      </c>
      <c r="M7790" s="1" t="str">
        <f>"上海 上海市 奉贤区 南桥镇"</f>
        <v>上海 上海市 奉贤区 南桥镇</v>
      </c>
      <c r="N7790" s="1" t="str">
        <f t="shared" si="2267"/>
        <v>凡华云仓-韵达-抖音</v>
      </c>
      <c r="O7790" s="5">
        <v>320166081136118</v>
      </c>
      <c r="P7790" s="6">
        <v>0.35</v>
      </c>
      <c r="Q7790" s="11">
        <v>2.2999999999999998</v>
      </c>
      <c r="R7790" s="11"/>
      <c r="S7790" s="11"/>
      <c r="T7790" s="11"/>
      <c r="U7790" s="11">
        <f t="shared" si="2260"/>
        <v>2.2999999999999998</v>
      </c>
      <c r="W7790">
        <v>2.5</v>
      </c>
      <c r="X7790" s="1" t="s">
        <v>74</v>
      </c>
    </row>
    <row r="7791" spans="1:24" x14ac:dyDescent="0.25">
      <c r="A7791" s="1" t="str">
        <f t="shared" si="2261"/>
        <v>卡卡杜-凤凰仓</v>
      </c>
      <c r="B7791" s="1" t="str">
        <f>"CK202410115755"</f>
        <v>CK202410115755</v>
      </c>
      <c r="C7791" s="1" t="str">
        <f>"DD2024101114078"</f>
        <v>DD2024101114078</v>
      </c>
      <c r="D7791" s="1" t="str">
        <f>"CK2024101117494"</f>
        <v>CK2024101117494</v>
      </c>
      <c r="E7791" s="1" t="str">
        <f>"6934831920988428202"</f>
        <v>6934831920988428202</v>
      </c>
      <c r="F7791" s="1" t="str">
        <f t="shared" si="2262"/>
        <v>花都四部-凤凰仓</v>
      </c>
      <c r="G7791" s="1" t="str">
        <f t="shared" si="2266"/>
        <v>卡卡杜个人护理店（抖店）</v>
      </c>
      <c r="H7791" s="1" t="str">
        <f t="shared" si="2263"/>
        <v>正常订单</v>
      </c>
      <c r="I7791" s="1" t="str">
        <f t="shared" si="2264"/>
        <v>已发货</v>
      </c>
      <c r="J7791" s="1" t="str">
        <f t="shared" si="2268"/>
        <v>3</v>
      </c>
      <c r="K7791" s="1">
        <v>2</v>
      </c>
      <c r="L7791" s="1" t="s">
        <v>18</v>
      </c>
      <c r="M7791" s="1" t="str">
        <f>"广东省 深圳市 宝安区 航城街道"</f>
        <v>广东省 深圳市 宝安区 航城街道</v>
      </c>
      <c r="N7791" s="1" t="str">
        <f t="shared" si="2267"/>
        <v>凡华云仓-韵达-抖音</v>
      </c>
      <c r="O7791" s="5">
        <v>320166081136029</v>
      </c>
      <c r="P7791" s="6">
        <v>0.35</v>
      </c>
      <c r="Q7791" s="11">
        <v>2.2999999999999998</v>
      </c>
      <c r="R7791" s="11"/>
      <c r="S7791" s="11"/>
      <c r="T7791" s="11"/>
      <c r="U7791" s="11">
        <f t="shared" si="2260"/>
        <v>2.2999999999999998</v>
      </c>
      <c r="W7791">
        <v>2.5</v>
      </c>
      <c r="X7791" s="1" t="s">
        <v>18</v>
      </c>
    </row>
    <row r="7792" spans="1:24" x14ac:dyDescent="0.25">
      <c r="A7792" s="1" t="str">
        <f t="shared" si="2261"/>
        <v>卡卡杜-凤凰仓</v>
      </c>
      <c r="B7792" s="1" t="str">
        <f>"CK202410115756"</f>
        <v>CK202410115756</v>
      </c>
      <c r="C7792" s="1" t="str">
        <f>"DD2024101114077"</f>
        <v>DD2024101114077</v>
      </c>
      <c r="D7792" s="1" t="str">
        <f>"CK2024101117493"</f>
        <v>CK2024101117493</v>
      </c>
      <c r="E7792" s="1" t="str">
        <f>"6934831852841276872"</f>
        <v>6934831852841276872</v>
      </c>
      <c r="F7792" s="1" t="str">
        <f t="shared" si="2262"/>
        <v>花都四部-凤凰仓</v>
      </c>
      <c r="G7792" s="1" t="str">
        <f t="shared" si="2266"/>
        <v>卡卡杜个人护理店（抖店）</v>
      </c>
      <c r="H7792" s="1" t="str">
        <f t="shared" si="2263"/>
        <v>正常订单</v>
      </c>
      <c r="I7792" s="1" t="str">
        <f t="shared" si="2264"/>
        <v>已发货</v>
      </c>
      <c r="J7792" s="1" t="str">
        <f t="shared" si="2268"/>
        <v>3</v>
      </c>
      <c r="K7792" s="1">
        <v>2</v>
      </c>
      <c r="L7792" s="1" t="s">
        <v>36</v>
      </c>
      <c r="M7792" s="1" t="str">
        <f>"安徽省 淮北市 相山区 任圩街道"</f>
        <v>安徽省 淮北市 相山区 任圩街道</v>
      </c>
      <c r="N7792" s="1" t="str">
        <f t="shared" si="2267"/>
        <v>凡华云仓-韵达-抖音</v>
      </c>
      <c r="O7792" s="5">
        <v>320166082129125</v>
      </c>
      <c r="P7792" s="6">
        <v>0.35</v>
      </c>
      <c r="Q7792" s="11">
        <v>2.2999999999999998</v>
      </c>
      <c r="R7792" s="11"/>
      <c r="S7792" s="11"/>
      <c r="T7792" s="11"/>
      <c r="U7792" s="11">
        <f t="shared" si="2260"/>
        <v>2.2999999999999998</v>
      </c>
      <c r="W7792">
        <v>2.5</v>
      </c>
      <c r="X7792" s="1" t="s">
        <v>36</v>
      </c>
    </row>
    <row r="7793" spans="1:24" x14ac:dyDescent="0.25">
      <c r="A7793" s="1" t="str">
        <f t="shared" si="2261"/>
        <v>卡卡杜-凤凰仓</v>
      </c>
      <c r="B7793" s="1" t="str">
        <f>"CK202410115757"</f>
        <v>CK202410115757</v>
      </c>
      <c r="C7793" s="1" t="str">
        <f>"DD2024101114083"</f>
        <v>DD2024101114083</v>
      </c>
      <c r="D7793" s="1" t="str">
        <f>"CK2024101117492"</f>
        <v>CK2024101117492</v>
      </c>
      <c r="E7793" s="1" t="str">
        <f>"6934856034716424006"</f>
        <v>6934856034716424006</v>
      </c>
      <c r="F7793" s="1" t="str">
        <f t="shared" si="2262"/>
        <v>花都四部-凤凰仓</v>
      </c>
      <c r="G7793" s="1" t="str">
        <f t="shared" si="2266"/>
        <v>卡卡杜个人护理店（抖店）</v>
      </c>
      <c r="H7793" s="1" t="str">
        <f t="shared" si="2263"/>
        <v>正常订单</v>
      </c>
      <c r="I7793" s="1" t="str">
        <f t="shared" si="2264"/>
        <v>已发货</v>
      </c>
      <c r="J7793" s="1" t="str">
        <f t="shared" si="2268"/>
        <v>3</v>
      </c>
      <c r="K7793" s="1">
        <v>2</v>
      </c>
      <c r="L7793" s="1" t="s">
        <v>20</v>
      </c>
      <c r="M7793" s="1" t="str">
        <f>"浙江省 绍兴市 上虞区 汤浦镇"</f>
        <v>浙江省 绍兴市 上虞区 汤浦镇</v>
      </c>
      <c r="N7793" s="1" t="str">
        <f t="shared" si="2267"/>
        <v>凡华云仓-韵达-抖音</v>
      </c>
      <c r="O7793" s="5">
        <v>320166082129036</v>
      </c>
      <c r="P7793" s="6">
        <v>0.35</v>
      </c>
      <c r="Q7793" s="11">
        <v>2.2999999999999998</v>
      </c>
      <c r="R7793" s="11"/>
      <c r="S7793" s="11"/>
      <c r="T7793" s="11"/>
      <c r="U7793" s="11">
        <f t="shared" si="2260"/>
        <v>2.2999999999999998</v>
      </c>
      <c r="W7793">
        <v>2.5</v>
      </c>
      <c r="X7793" s="1" t="s">
        <v>20</v>
      </c>
    </row>
    <row r="7794" spans="1:24" x14ac:dyDescent="0.25">
      <c r="A7794" s="1" t="str">
        <f t="shared" si="2261"/>
        <v>卡卡杜-凤凰仓</v>
      </c>
      <c r="B7794" s="1" t="str">
        <f>"CK202410115758"</f>
        <v>CK202410115758</v>
      </c>
      <c r="C7794" s="1" t="str">
        <f>"DD2024101114080"</f>
        <v>DD2024101114080</v>
      </c>
      <c r="D7794" s="1" t="str">
        <f>"CK2024101117491"</f>
        <v>CK2024101117491</v>
      </c>
      <c r="E7794" s="1" t="str">
        <f>"6934860537371301680"</f>
        <v>6934860537371301680</v>
      </c>
      <c r="F7794" s="1" t="str">
        <f t="shared" si="2262"/>
        <v>花都四部-凤凰仓</v>
      </c>
      <c r="G7794" s="1" t="str">
        <f t="shared" si="2266"/>
        <v>卡卡杜个人护理店（抖店）</v>
      </c>
      <c r="H7794" s="1" t="str">
        <f t="shared" si="2263"/>
        <v>正常订单</v>
      </c>
      <c r="I7794" s="1" t="str">
        <f t="shared" si="2264"/>
        <v>已发货</v>
      </c>
      <c r="J7794" s="1" t="str">
        <f t="shared" si="2268"/>
        <v>3</v>
      </c>
      <c r="K7794" s="1">
        <v>2</v>
      </c>
      <c r="L7794" s="1" t="s">
        <v>18</v>
      </c>
      <c r="M7794" s="1" t="str">
        <f>"广东省 珠海市 金湾区 平沙镇"</f>
        <v>广东省 珠海市 金湾区 平沙镇</v>
      </c>
      <c r="N7794" s="1" t="str">
        <f t="shared" si="2267"/>
        <v>凡华云仓-韵达-抖音</v>
      </c>
      <c r="O7794" s="5">
        <v>320166082128904</v>
      </c>
      <c r="P7794" s="6">
        <v>0.35</v>
      </c>
      <c r="Q7794" s="11">
        <v>2.2999999999999998</v>
      </c>
      <c r="R7794" s="11"/>
      <c r="S7794" s="11"/>
      <c r="T7794" s="11"/>
      <c r="U7794" s="11">
        <f t="shared" si="2260"/>
        <v>2.2999999999999998</v>
      </c>
      <c r="W7794">
        <v>2.5</v>
      </c>
      <c r="X7794" s="1" t="s">
        <v>18</v>
      </c>
    </row>
    <row r="7795" spans="1:24" x14ac:dyDescent="0.25">
      <c r="A7795" s="1" t="str">
        <f t="shared" si="2261"/>
        <v>卡卡杜-凤凰仓</v>
      </c>
      <c r="B7795" s="1" t="str">
        <f>"CK202410118164"</f>
        <v>CK202410118164</v>
      </c>
      <c r="C7795" s="1" t="str">
        <f>"DD2024101116718"</f>
        <v>DD2024101116718</v>
      </c>
      <c r="D7795" s="1" t="str">
        <f>"CK2024101117490"</f>
        <v>CK2024101117490</v>
      </c>
      <c r="E7795" s="1" t="str">
        <f>"6934854114831045876"</f>
        <v>6934854114831045876</v>
      </c>
      <c r="F7795" s="1" t="str">
        <f t="shared" si="2262"/>
        <v>花都四部-凤凰仓</v>
      </c>
      <c r="G7795" s="1" t="str">
        <f t="shared" si="2266"/>
        <v>卡卡杜个人护理店（抖店）</v>
      </c>
      <c r="H7795" s="1" t="str">
        <f t="shared" si="2263"/>
        <v>正常订单</v>
      </c>
      <c r="I7795" s="1" t="str">
        <f t="shared" si="2264"/>
        <v>已发货</v>
      </c>
      <c r="J7795" s="1" t="str">
        <f t="shared" si="2268"/>
        <v>3</v>
      </c>
      <c r="K7795" s="1">
        <v>3</v>
      </c>
      <c r="L7795" s="1" t="s">
        <v>18</v>
      </c>
      <c r="M7795" s="1" t="str">
        <f>"广东省 广州市 荔湾区 石围塘街道"</f>
        <v>广东省 广州市 荔湾区 石围塘街道</v>
      </c>
      <c r="N7795" s="1" t="str">
        <f t="shared" si="2267"/>
        <v>凡华云仓-韵达-抖音</v>
      </c>
      <c r="O7795" s="5">
        <v>320166082128899</v>
      </c>
      <c r="P7795" s="6">
        <v>0.34</v>
      </c>
      <c r="Q7795" s="11">
        <v>2.2999999999999998</v>
      </c>
      <c r="R7795" s="11"/>
      <c r="S7795" s="11"/>
      <c r="T7795" s="11"/>
      <c r="U7795" s="11">
        <f t="shared" si="2260"/>
        <v>2.2999999999999998</v>
      </c>
      <c r="W7795">
        <v>2.5</v>
      </c>
      <c r="X7795" s="1" t="s">
        <v>18</v>
      </c>
    </row>
    <row r="7796" spans="1:24" x14ac:dyDescent="0.25">
      <c r="A7796" s="1" t="str">
        <f t="shared" si="2261"/>
        <v>卡卡杜-凤凰仓</v>
      </c>
      <c r="B7796" s="1" t="str">
        <f>"CK202410115760"</f>
        <v>CK202410115760</v>
      </c>
      <c r="C7796" s="1" t="str">
        <f>"DD2024101114082"</f>
        <v>DD2024101114082</v>
      </c>
      <c r="D7796" s="1" t="str">
        <f>"CK2024101117489"</f>
        <v>CK2024101117489</v>
      </c>
      <c r="E7796" s="1" t="str">
        <f>"6934843595338422199"</f>
        <v>6934843595338422199</v>
      </c>
      <c r="F7796" s="1" t="str">
        <f t="shared" si="2262"/>
        <v>花都四部-凤凰仓</v>
      </c>
      <c r="G7796" s="1" t="str">
        <f t="shared" si="2266"/>
        <v>卡卡杜个人护理店（抖店）</v>
      </c>
      <c r="H7796" s="1" t="str">
        <f t="shared" si="2263"/>
        <v>正常订单</v>
      </c>
      <c r="I7796" s="1" t="str">
        <f t="shared" si="2264"/>
        <v>已发货</v>
      </c>
      <c r="J7796" s="1" t="str">
        <f t="shared" si="2268"/>
        <v>3</v>
      </c>
      <c r="K7796" s="1">
        <v>2</v>
      </c>
      <c r="L7796" s="1" t="s">
        <v>54</v>
      </c>
      <c r="M7796" s="1" t="str">
        <f>"黑龙江省 大兴安岭地区 大兴安岭辖区 东山街道"</f>
        <v>黑龙江省 大兴安岭地区 大兴安岭辖区 东山街道</v>
      </c>
      <c r="N7796" s="1" t="str">
        <f t="shared" si="2267"/>
        <v>凡华云仓-韵达-抖音</v>
      </c>
      <c r="O7796" s="5">
        <v>320166082128796</v>
      </c>
      <c r="P7796" s="6">
        <v>0.35</v>
      </c>
      <c r="Q7796" s="11">
        <v>2.2999999999999998</v>
      </c>
      <c r="R7796" s="11"/>
      <c r="S7796" s="11"/>
      <c r="T7796" s="11"/>
      <c r="U7796" s="11">
        <f t="shared" si="2260"/>
        <v>2.2999999999999998</v>
      </c>
      <c r="W7796">
        <v>2.5</v>
      </c>
      <c r="X7796" s="1" t="s">
        <v>54</v>
      </c>
    </row>
    <row r="7797" spans="1:24" x14ac:dyDescent="0.25">
      <c r="A7797" s="1" t="str">
        <f t="shared" si="2261"/>
        <v>卡卡杜-凤凰仓</v>
      </c>
      <c r="B7797" s="1" t="str">
        <f>"CK202410115753"</f>
        <v>CK202410115753</v>
      </c>
      <c r="C7797" s="1" t="str">
        <f>"DD2024101114076"</f>
        <v>DD2024101114076</v>
      </c>
      <c r="D7797" s="1" t="str">
        <f>"CK2024101117488"</f>
        <v>CK2024101117488</v>
      </c>
      <c r="E7797" s="1" t="str">
        <f>"6934845738876343577"</f>
        <v>6934845738876343577</v>
      </c>
      <c r="F7797" s="1" t="str">
        <f t="shared" si="2262"/>
        <v>花都四部-凤凰仓</v>
      </c>
      <c r="G7797" s="1" t="str">
        <f t="shared" si="2266"/>
        <v>卡卡杜个人护理店（抖店）</v>
      </c>
      <c r="H7797" s="1" t="str">
        <f t="shared" si="2263"/>
        <v>正常订单</v>
      </c>
      <c r="I7797" s="1" t="str">
        <f t="shared" si="2264"/>
        <v>已发货</v>
      </c>
      <c r="J7797" s="1" t="str">
        <f t="shared" si="2268"/>
        <v>3</v>
      </c>
      <c r="K7797" s="1">
        <v>2</v>
      </c>
      <c r="L7797" s="1" t="s">
        <v>18</v>
      </c>
      <c r="M7797" s="1" t="str">
        <f>"广东省 广州市 白云区 石井街道"</f>
        <v>广东省 广州市 白云区 石井街道</v>
      </c>
      <c r="N7797" s="1" t="str">
        <f t="shared" si="2267"/>
        <v>凡华云仓-韵达-抖音</v>
      </c>
      <c r="O7797" s="5">
        <v>320166082128695</v>
      </c>
      <c r="P7797" s="6">
        <v>0.35</v>
      </c>
      <c r="Q7797" s="11">
        <v>2.2999999999999998</v>
      </c>
      <c r="R7797" s="11"/>
      <c r="S7797" s="11"/>
      <c r="T7797" s="11"/>
      <c r="U7797" s="11">
        <f t="shared" si="2260"/>
        <v>2.2999999999999998</v>
      </c>
      <c r="W7797">
        <v>2.5</v>
      </c>
      <c r="X7797" s="1" t="s">
        <v>18</v>
      </c>
    </row>
    <row r="7798" spans="1:24" x14ac:dyDescent="0.25">
      <c r="A7798" s="1" t="str">
        <f t="shared" si="2261"/>
        <v>卡卡杜-凤凰仓</v>
      </c>
      <c r="B7798" s="1" t="str">
        <f>"CK202410115759"</f>
        <v>CK202410115759</v>
      </c>
      <c r="C7798" s="1" t="str">
        <f>"DD2024101114079"</f>
        <v>DD2024101114079</v>
      </c>
      <c r="D7798" s="1" t="str">
        <f>"CK2024101117487"</f>
        <v>CK2024101117487</v>
      </c>
      <c r="E7798" s="1" t="str">
        <f>"6934843612639991538"</f>
        <v>6934843612639991538</v>
      </c>
      <c r="F7798" s="1" t="str">
        <f t="shared" si="2262"/>
        <v>花都四部-凤凰仓</v>
      </c>
      <c r="G7798" s="1" t="str">
        <f t="shared" si="2266"/>
        <v>卡卡杜个人护理店（抖店）</v>
      </c>
      <c r="H7798" s="1" t="str">
        <f t="shared" si="2263"/>
        <v>正常订单</v>
      </c>
      <c r="I7798" s="1" t="str">
        <f t="shared" si="2264"/>
        <v>已发货</v>
      </c>
      <c r="J7798" s="1" t="str">
        <f t="shared" si="2268"/>
        <v>3</v>
      </c>
      <c r="K7798" s="1">
        <v>2</v>
      </c>
      <c r="L7798" s="1" t="s">
        <v>20</v>
      </c>
      <c r="M7798" s="1" t="str">
        <f>"浙江省 杭州市 拱墅区 上塘街道"</f>
        <v>浙江省 杭州市 拱墅区 上塘街道</v>
      </c>
      <c r="N7798" s="1" t="str">
        <f t="shared" si="2267"/>
        <v>凡华云仓-韵达-抖音</v>
      </c>
      <c r="O7798" s="5">
        <v>320166082128596</v>
      </c>
      <c r="P7798" s="6">
        <v>0.35</v>
      </c>
      <c r="Q7798" s="11">
        <v>2.2999999999999998</v>
      </c>
      <c r="R7798" s="11"/>
      <c r="S7798" s="11"/>
      <c r="T7798" s="11"/>
      <c r="U7798" s="11">
        <f t="shared" si="2260"/>
        <v>2.2999999999999998</v>
      </c>
      <c r="W7798">
        <v>2.5</v>
      </c>
      <c r="X7798" s="1" t="s">
        <v>20</v>
      </c>
    </row>
    <row r="7799" spans="1:24" x14ac:dyDescent="0.25">
      <c r="A7799" s="1" t="str">
        <f t="shared" si="2261"/>
        <v>卡卡杜-凤凰仓</v>
      </c>
      <c r="B7799" s="1" t="str">
        <f>"CK202410115761"</f>
        <v>CK202410115761</v>
      </c>
      <c r="C7799" s="1" t="str">
        <f>"DD2024101114084"</f>
        <v>DD2024101114084</v>
      </c>
      <c r="D7799" s="1" t="str">
        <f>"CK2024101117486"</f>
        <v>CK2024101117486</v>
      </c>
      <c r="E7799" s="1" t="str">
        <f>"6934831763295180302"</f>
        <v>6934831763295180302</v>
      </c>
      <c r="F7799" s="1" t="str">
        <f t="shared" si="2262"/>
        <v>花都四部-凤凰仓</v>
      </c>
      <c r="G7799" s="1" t="str">
        <f t="shared" si="2266"/>
        <v>卡卡杜个人护理店（抖店）</v>
      </c>
      <c r="H7799" s="1" t="str">
        <f t="shared" si="2263"/>
        <v>正常订单</v>
      </c>
      <c r="I7799" s="1" t="str">
        <f t="shared" si="2264"/>
        <v>已发货</v>
      </c>
      <c r="J7799" s="1" t="str">
        <f t="shared" si="2268"/>
        <v>3</v>
      </c>
      <c r="K7799" s="1">
        <v>2</v>
      </c>
      <c r="L7799" s="1" t="s">
        <v>13</v>
      </c>
      <c r="M7799" s="1" t="str">
        <f>"江苏省 苏州市 吴江区 江陵街道"</f>
        <v>江苏省 苏州市 吴江区 江陵街道</v>
      </c>
      <c r="N7799" s="1" t="str">
        <f t="shared" si="2267"/>
        <v>凡华云仓-韵达-抖音</v>
      </c>
      <c r="O7799" s="5">
        <v>320166082128499</v>
      </c>
      <c r="P7799" s="6">
        <v>0.35</v>
      </c>
      <c r="Q7799" s="11">
        <v>2.2999999999999998</v>
      </c>
      <c r="R7799" s="11"/>
      <c r="S7799" s="11"/>
      <c r="T7799" s="11"/>
      <c r="U7799" s="11">
        <f t="shared" si="2260"/>
        <v>2.2999999999999998</v>
      </c>
      <c r="W7799">
        <v>2.5</v>
      </c>
      <c r="X7799" s="1" t="s">
        <v>13</v>
      </c>
    </row>
    <row r="7800" spans="1:24" x14ac:dyDescent="0.25">
      <c r="A7800" s="1" t="str">
        <f t="shared" si="2261"/>
        <v>卡卡杜-凤凰仓</v>
      </c>
      <c r="B7800" s="1" t="str">
        <f>"CK202410115762"</f>
        <v>CK202410115762</v>
      </c>
      <c r="C7800" s="1" t="str">
        <f>"DD2024101114086"</f>
        <v>DD2024101114086</v>
      </c>
      <c r="D7800" s="1" t="str">
        <f>"CK2024101117485"</f>
        <v>CK2024101117485</v>
      </c>
      <c r="E7800" s="1" t="str">
        <f>"6934845765351708350"</f>
        <v>6934845765351708350</v>
      </c>
      <c r="F7800" s="1" t="str">
        <f t="shared" si="2262"/>
        <v>花都四部-凤凰仓</v>
      </c>
      <c r="G7800" s="1" t="str">
        <f t="shared" si="2266"/>
        <v>卡卡杜个人护理店（抖店）</v>
      </c>
      <c r="H7800" s="1" t="str">
        <f t="shared" si="2263"/>
        <v>正常订单</v>
      </c>
      <c r="I7800" s="1" t="str">
        <f t="shared" si="2264"/>
        <v>已发货</v>
      </c>
      <c r="J7800" s="1" t="str">
        <f t="shared" si="2268"/>
        <v>3</v>
      </c>
      <c r="K7800" s="1">
        <v>2</v>
      </c>
      <c r="L7800" s="1" t="s">
        <v>20</v>
      </c>
      <c r="M7800" s="1" t="str">
        <f>"浙江省 杭州市 淳安县 姜家镇"</f>
        <v>浙江省 杭州市 淳安县 姜家镇</v>
      </c>
      <c r="N7800" s="1" t="str">
        <f t="shared" si="2267"/>
        <v>凡华云仓-韵达-抖音</v>
      </c>
      <c r="O7800" s="5">
        <v>320166082128304</v>
      </c>
      <c r="P7800" s="6">
        <v>0.35</v>
      </c>
      <c r="Q7800" s="11">
        <v>2.2999999999999998</v>
      </c>
      <c r="R7800" s="11"/>
      <c r="S7800" s="11"/>
      <c r="T7800" s="11"/>
      <c r="U7800" s="11">
        <f t="shared" si="2260"/>
        <v>2.2999999999999998</v>
      </c>
      <c r="W7800">
        <v>2.5</v>
      </c>
      <c r="X7800" s="1" t="s">
        <v>20</v>
      </c>
    </row>
    <row r="7801" spans="1:24" x14ac:dyDescent="0.25">
      <c r="A7801" s="1" t="str">
        <f t="shared" si="2261"/>
        <v>卡卡杜-凤凰仓</v>
      </c>
      <c r="B7801" s="1" t="str">
        <f>"CK202410115763"</f>
        <v>CK202410115763</v>
      </c>
      <c r="C7801" s="1" t="str">
        <f>"DD2024101114085"</f>
        <v>DD2024101114085</v>
      </c>
      <c r="D7801" s="1" t="str">
        <f>"CK2024101117484"</f>
        <v>CK2024101117484</v>
      </c>
      <c r="E7801" s="1" t="str">
        <f>"6934847810007209589"</f>
        <v>6934847810007209589</v>
      </c>
      <c r="F7801" s="1" t="str">
        <f t="shared" si="2262"/>
        <v>花都四部-凤凰仓</v>
      </c>
      <c r="G7801" s="1" t="str">
        <f t="shared" si="2266"/>
        <v>卡卡杜个人护理店（抖店）</v>
      </c>
      <c r="H7801" s="1" t="str">
        <f t="shared" si="2263"/>
        <v>正常订单</v>
      </c>
      <c r="I7801" s="1" t="str">
        <f t="shared" si="2264"/>
        <v>已发货</v>
      </c>
      <c r="J7801" s="1" t="str">
        <f t="shared" si="2268"/>
        <v>3</v>
      </c>
      <c r="K7801" s="1">
        <v>2</v>
      </c>
      <c r="L7801" s="1" t="s">
        <v>13</v>
      </c>
      <c r="M7801" s="1" t="str">
        <f>"江苏省 无锡市 新吴区 旺庄街道"</f>
        <v>江苏省 无锡市 新吴区 旺庄街道</v>
      </c>
      <c r="N7801" s="1" t="str">
        <f t="shared" si="2267"/>
        <v>凡华云仓-韵达-抖音</v>
      </c>
      <c r="O7801" s="5">
        <v>320166082128211</v>
      </c>
      <c r="P7801" s="6">
        <v>0.35</v>
      </c>
      <c r="Q7801" s="11">
        <v>2.2999999999999998</v>
      </c>
      <c r="R7801" s="11"/>
      <c r="S7801" s="11"/>
      <c r="T7801" s="11"/>
      <c r="U7801" s="11">
        <f t="shared" si="2260"/>
        <v>2.2999999999999998</v>
      </c>
      <c r="W7801">
        <v>2.5</v>
      </c>
      <c r="X7801" s="1" t="s">
        <v>13</v>
      </c>
    </row>
    <row r="7802" spans="1:24" x14ac:dyDescent="0.25">
      <c r="A7802" s="1" t="str">
        <f t="shared" si="2261"/>
        <v>卡卡杜-凤凰仓</v>
      </c>
      <c r="B7802" s="1" t="str">
        <f>"CK202410115764"</f>
        <v>CK202410115764</v>
      </c>
      <c r="C7802" s="1" t="str">
        <f>"DD2024101114087"</f>
        <v>DD2024101114087</v>
      </c>
      <c r="D7802" s="1" t="str">
        <f>"CK2024101117483"</f>
        <v>CK2024101117483</v>
      </c>
      <c r="E7802" s="1" t="str">
        <f>"6934849628082214430"</f>
        <v>6934849628082214430</v>
      </c>
      <c r="F7802" s="1" t="str">
        <f t="shared" si="2262"/>
        <v>花都四部-凤凰仓</v>
      </c>
      <c r="G7802" s="1" t="str">
        <f t="shared" si="2266"/>
        <v>卡卡杜个人护理店（抖店）</v>
      </c>
      <c r="H7802" s="1" t="str">
        <f t="shared" si="2263"/>
        <v>正常订单</v>
      </c>
      <c r="I7802" s="1" t="str">
        <f t="shared" si="2264"/>
        <v>已发货</v>
      </c>
      <c r="J7802" s="1" t="str">
        <f t="shared" si="2268"/>
        <v>3</v>
      </c>
      <c r="K7802" s="1">
        <v>2</v>
      </c>
      <c r="L7802" s="1" t="s">
        <v>18</v>
      </c>
      <c r="M7802" s="1" t="str">
        <f>"广东省 汕头市 南澳县 "</f>
        <v xml:space="preserve">广东省 汕头市 南澳县 </v>
      </c>
      <c r="N7802" s="1" t="str">
        <f t="shared" si="2267"/>
        <v>凡华云仓-韵达-抖音</v>
      </c>
      <c r="O7802" s="5">
        <v>320166073284468</v>
      </c>
      <c r="P7802" s="6">
        <v>0.35</v>
      </c>
      <c r="Q7802" s="11">
        <v>2.2999999999999998</v>
      </c>
      <c r="R7802" s="11"/>
      <c r="S7802" s="11"/>
      <c r="T7802" s="11"/>
      <c r="U7802" s="11">
        <f t="shared" si="2260"/>
        <v>2.2999999999999998</v>
      </c>
      <c r="W7802">
        <v>2.5</v>
      </c>
      <c r="X7802" s="1" t="s">
        <v>18</v>
      </c>
    </row>
    <row r="7803" spans="1:24" x14ac:dyDescent="0.25">
      <c r="A7803" s="1" t="str">
        <f t="shared" si="2261"/>
        <v>卡卡杜-凤凰仓</v>
      </c>
      <c r="B7803" s="1" t="str">
        <f>"CK202410115766"</f>
        <v>CK202410115766</v>
      </c>
      <c r="C7803" s="1" t="str">
        <f>"DD2024101114088"</f>
        <v>DD2024101114088</v>
      </c>
      <c r="D7803" s="1" t="str">
        <f>"CK2024101117482"</f>
        <v>CK2024101117482</v>
      </c>
      <c r="E7803" s="1" t="str">
        <f>"6934862789049652819"</f>
        <v>6934862789049652819</v>
      </c>
      <c r="F7803" s="1" t="str">
        <f t="shared" si="2262"/>
        <v>花都四部-凤凰仓</v>
      </c>
      <c r="G7803" s="1" t="str">
        <f t="shared" si="2266"/>
        <v>卡卡杜个人护理店（抖店）</v>
      </c>
      <c r="H7803" s="1" t="str">
        <f t="shared" si="2263"/>
        <v>正常订单</v>
      </c>
      <c r="I7803" s="1" t="str">
        <f t="shared" si="2264"/>
        <v>已发货</v>
      </c>
      <c r="J7803" s="1" t="str">
        <f t="shared" si="2268"/>
        <v>3</v>
      </c>
      <c r="K7803" s="1">
        <v>2</v>
      </c>
      <c r="L7803" s="1" t="s">
        <v>18</v>
      </c>
      <c r="M7803" s="1" t="str">
        <f>"广东省 深圳市 龙岗区 龙城街道"</f>
        <v>广东省 深圳市 龙岗区 龙城街道</v>
      </c>
      <c r="N7803" s="1" t="str">
        <f t="shared" si="2267"/>
        <v>凡华云仓-韵达-抖音</v>
      </c>
      <c r="O7803" s="5">
        <v>320166073284373</v>
      </c>
      <c r="P7803" s="6">
        <v>0.35</v>
      </c>
      <c r="Q7803" s="11">
        <v>2.2999999999999998</v>
      </c>
      <c r="R7803" s="11"/>
      <c r="S7803" s="11"/>
      <c r="T7803" s="11"/>
      <c r="U7803" s="11">
        <f t="shared" si="2260"/>
        <v>2.2999999999999998</v>
      </c>
      <c r="W7803">
        <v>2.5</v>
      </c>
      <c r="X7803" s="1" t="s">
        <v>18</v>
      </c>
    </row>
    <row r="7804" spans="1:24" x14ac:dyDescent="0.25">
      <c r="A7804" s="1" t="str">
        <f t="shared" si="2261"/>
        <v>卡卡杜-凤凰仓</v>
      </c>
      <c r="B7804" s="1" t="str">
        <f>"CK202410115767"</f>
        <v>CK202410115767</v>
      </c>
      <c r="C7804" s="1" t="str">
        <f>"DD2024101114089"</f>
        <v>DD2024101114089</v>
      </c>
      <c r="D7804" s="1" t="str">
        <f>"CK2024101117481"</f>
        <v>CK2024101117481</v>
      </c>
      <c r="E7804" s="1" t="str">
        <f>"6934862828863231195"</f>
        <v>6934862828863231195</v>
      </c>
      <c r="F7804" s="1" t="str">
        <f t="shared" si="2262"/>
        <v>花都四部-凤凰仓</v>
      </c>
      <c r="G7804" s="1" t="str">
        <f t="shared" si="2266"/>
        <v>卡卡杜个人护理店（抖店）</v>
      </c>
      <c r="H7804" s="1" t="str">
        <f t="shared" si="2263"/>
        <v>正常订单</v>
      </c>
      <c r="I7804" s="1" t="str">
        <f t="shared" si="2264"/>
        <v>已发货</v>
      </c>
      <c r="J7804" s="1" t="str">
        <f t="shared" si="2268"/>
        <v>3</v>
      </c>
      <c r="K7804" s="1">
        <v>2</v>
      </c>
      <c r="L7804" s="1" t="s">
        <v>30</v>
      </c>
      <c r="M7804" s="1" t="str">
        <f>"山东省 临沂市 河东区 九曲街道"</f>
        <v>山东省 临沂市 河东区 九曲街道</v>
      </c>
      <c r="N7804" s="1" t="str">
        <f t="shared" si="2267"/>
        <v>凡华云仓-韵达-抖音</v>
      </c>
      <c r="O7804" s="5">
        <v>320166073284280</v>
      </c>
      <c r="P7804" s="6">
        <v>0.35</v>
      </c>
      <c r="Q7804" s="11">
        <v>2.2999999999999998</v>
      </c>
      <c r="R7804" s="11"/>
      <c r="S7804" s="11"/>
      <c r="T7804" s="11"/>
      <c r="U7804" s="11">
        <f t="shared" si="2260"/>
        <v>2.2999999999999998</v>
      </c>
      <c r="W7804">
        <v>2.5</v>
      </c>
      <c r="X7804" s="1" t="s">
        <v>30</v>
      </c>
    </row>
    <row r="7805" spans="1:24" x14ac:dyDescent="0.25">
      <c r="A7805" s="1" t="str">
        <f t="shared" si="2261"/>
        <v>卡卡杜-凤凰仓</v>
      </c>
      <c r="B7805" s="1" t="str">
        <f>"CK202410115772"</f>
        <v>CK202410115772</v>
      </c>
      <c r="C7805" s="1" t="str">
        <f>"DD2024101114094"</f>
        <v>DD2024101114094</v>
      </c>
      <c r="D7805" s="1" t="str">
        <f>"CK2024101117480"</f>
        <v>CK2024101117480</v>
      </c>
      <c r="E7805" s="1" t="str">
        <f>"6934855788551935424"</f>
        <v>6934855788551935424</v>
      </c>
      <c r="F7805" s="1" t="str">
        <f t="shared" si="2262"/>
        <v>花都四部-凤凰仓</v>
      </c>
      <c r="G7805" s="1" t="str">
        <f t="shared" si="2266"/>
        <v>卡卡杜个人护理店（抖店）</v>
      </c>
      <c r="H7805" s="1" t="str">
        <f t="shared" si="2263"/>
        <v>正常订单</v>
      </c>
      <c r="I7805" s="1" t="str">
        <f t="shared" si="2264"/>
        <v>已发货</v>
      </c>
      <c r="J7805" s="1" t="str">
        <f t="shared" si="2268"/>
        <v>3</v>
      </c>
      <c r="K7805" s="1">
        <v>2</v>
      </c>
      <c r="L7805" s="1" t="s">
        <v>18</v>
      </c>
      <c r="M7805" s="1" t="str">
        <f>"广东省 佛山市 南海区 狮山镇"</f>
        <v>广东省 佛山市 南海区 狮山镇</v>
      </c>
      <c r="N7805" s="1" t="str">
        <f t="shared" si="2267"/>
        <v>凡华云仓-韵达-抖音</v>
      </c>
      <c r="O7805" s="5">
        <v>320166073284189</v>
      </c>
      <c r="P7805" s="6">
        <v>0.35</v>
      </c>
      <c r="Q7805" s="11">
        <v>2.2999999999999998</v>
      </c>
      <c r="R7805" s="11"/>
      <c r="S7805" s="11"/>
      <c r="T7805" s="11"/>
      <c r="U7805" s="11">
        <f t="shared" si="2260"/>
        <v>2.2999999999999998</v>
      </c>
      <c r="W7805">
        <v>2.5</v>
      </c>
      <c r="X7805" s="1" t="s">
        <v>18</v>
      </c>
    </row>
    <row r="7806" spans="1:24" x14ac:dyDescent="0.25">
      <c r="A7806" s="1" t="str">
        <f t="shared" si="2261"/>
        <v>卡卡杜-凤凰仓</v>
      </c>
      <c r="B7806" s="1" t="str">
        <f>"CK202410115769"</f>
        <v>CK202410115769</v>
      </c>
      <c r="C7806" s="1" t="str">
        <f>"DD2024101114092"</f>
        <v>DD2024101114092</v>
      </c>
      <c r="D7806" s="1" t="str">
        <f>"CK2024101117479"</f>
        <v>CK2024101117479</v>
      </c>
      <c r="E7806" s="1" t="str">
        <f>"6934836401312569289"</f>
        <v>6934836401312569289</v>
      </c>
      <c r="F7806" s="1" t="str">
        <f t="shared" si="2262"/>
        <v>花都四部-凤凰仓</v>
      </c>
      <c r="G7806" s="1" t="str">
        <f t="shared" si="2266"/>
        <v>卡卡杜个人护理店（抖店）</v>
      </c>
      <c r="H7806" s="1" t="str">
        <f t="shared" si="2263"/>
        <v>正常订单</v>
      </c>
      <c r="I7806" s="1" t="str">
        <f t="shared" si="2264"/>
        <v>已发货</v>
      </c>
      <c r="J7806" s="1" t="str">
        <f t="shared" si="2268"/>
        <v>3</v>
      </c>
      <c r="K7806" s="1">
        <v>2</v>
      </c>
      <c r="L7806" s="1" t="s">
        <v>18</v>
      </c>
      <c r="M7806" s="1" t="str">
        <f>"广东省 佛山市 禅城区 "</f>
        <v xml:space="preserve">广东省 佛山市 禅城区 </v>
      </c>
      <c r="N7806" s="1" t="str">
        <f t="shared" si="2267"/>
        <v>凡华云仓-韵达-抖音</v>
      </c>
      <c r="O7806" s="5">
        <v>320166073284000</v>
      </c>
      <c r="P7806" s="6">
        <v>0.35</v>
      </c>
      <c r="Q7806" s="11">
        <v>2.2999999999999998</v>
      </c>
      <c r="R7806" s="11"/>
      <c r="S7806" s="11"/>
      <c r="T7806" s="11"/>
      <c r="U7806" s="11">
        <f t="shared" si="2260"/>
        <v>2.2999999999999998</v>
      </c>
      <c r="W7806">
        <v>2.5</v>
      </c>
      <c r="X7806" s="1" t="s">
        <v>18</v>
      </c>
    </row>
    <row r="7807" spans="1:24" x14ac:dyDescent="0.25">
      <c r="A7807" s="1" t="str">
        <f t="shared" si="2261"/>
        <v>卡卡杜-凤凰仓</v>
      </c>
      <c r="B7807" s="1" t="str">
        <f>"CK202410115751"</f>
        <v>CK202410115751</v>
      </c>
      <c r="C7807" s="1" t="str">
        <f>"DD2024101114072"</f>
        <v>DD2024101114072</v>
      </c>
      <c r="D7807" s="1" t="str">
        <f>"CK2024101117478"</f>
        <v>CK2024101117478</v>
      </c>
      <c r="E7807" s="1" t="str">
        <f>"6934843312140850703"</f>
        <v>6934843312140850703</v>
      </c>
      <c r="F7807" s="1" t="str">
        <f t="shared" si="2262"/>
        <v>花都四部-凤凰仓</v>
      </c>
      <c r="G7807" s="1" t="str">
        <f t="shared" si="2266"/>
        <v>卡卡杜个人护理店（抖店）</v>
      </c>
      <c r="H7807" s="1" t="str">
        <f t="shared" si="2263"/>
        <v>正常订单</v>
      </c>
      <c r="I7807" s="1" t="str">
        <f t="shared" si="2264"/>
        <v>已发货</v>
      </c>
      <c r="J7807" s="1" t="str">
        <f t="shared" si="2268"/>
        <v>3</v>
      </c>
      <c r="K7807" s="1">
        <v>2</v>
      </c>
      <c r="L7807" s="1" t="s">
        <v>41</v>
      </c>
      <c r="M7807" s="1" t="str">
        <f>"湖北省 黄石市 大冶市 还地桥镇"</f>
        <v>湖北省 黄石市 大冶市 还地桥镇</v>
      </c>
      <c r="N7807" s="1" t="str">
        <f t="shared" si="2267"/>
        <v>凡华云仓-韵达-抖音</v>
      </c>
      <c r="O7807" s="5">
        <v>320166073283978</v>
      </c>
      <c r="P7807" s="6">
        <v>0.35</v>
      </c>
      <c r="Q7807" s="11">
        <v>2.2999999999999998</v>
      </c>
      <c r="R7807" s="11"/>
      <c r="S7807" s="11"/>
      <c r="T7807" s="11"/>
      <c r="U7807" s="11">
        <f t="shared" si="2260"/>
        <v>2.2999999999999998</v>
      </c>
      <c r="W7807">
        <v>2.5</v>
      </c>
      <c r="X7807" s="1" t="s">
        <v>41</v>
      </c>
    </row>
    <row r="7808" spans="1:24" x14ac:dyDescent="0.25">
      <c r="A7808" s="1" t="str">
        <f t="shared" si="2261"/>
        <v>卡卡杜-凤凰仓</v>
      </c>
      <c r="B7808" s="1" t="str">
        <f>"CK202410115770"</f>
        <v>CK202410115770</v>
      </c>
      <c r="C7808" s="1" t="str">
        <f>"DD2024101114093"</f>
        <v>DD2024101114093</v>
      </c>
      <c r="D7808" s="1" t="str">
        <f>"CK2024101117477"</f>
        <v>CK2024101117477</v>
      </c>
      <c r="E7808" s="1" t="str">
        <f>"6934851819320579919"</f>
        <v>6934851819320579919</v>
      </c>
      <c r="F7808" s="1" t="str">
        <f t="shared" si="2262"/>
        <v>花都四部-凤凰仓</v>
      </c>
      <c r="G7808" s="1" t="str">
        <f t="shared" si="2266"/>
        <v>卡卡杜个人护理店（抖店）</v>
      </c>
      <c r="H7808" s="1" t="str">
        <f t="shared" si="2263"/>
        <v>正常订单</v>
      </c>
      <c r="I7808" s="1" t="str">
        <f t="shared" si="2264"/>
        <v>已发货</v>
      </c>
      <c r="J7808" s="1" t="str">
        <f t="shared" si="2268"/>
        <v>3</v>
      </c>
      <c r="K7808" s="1">
        <v>2</v>
      </c>
      <c r="L7808" s="1" t="s">
        <v>36</v>
      </c>
      <c r="M7808" s="1" t="str">
        <f>"安徽省 芜湖市 繁昌区 繁阳镇"</f>
        <v>安徽省 芜湖市 繁昌区 繁阳镇</v>
      </c>
      <c r="N7808" s="1" t="str">
        <f t="shared" si="2267"/>
        <v>凡华云仓-韵达-抖音</v>
      </c>
      <c r="O7808" s="5">
        <v>320166073283873</v>
      </c>
      <c r="P7808" s="6">
        <v>0.35</v>
      </c>
      <c r="Q7808" s="11">
        <v>2.2999999999999998</v>
      </c>
      <c r="R7808" s="11"/>
      <c r="S7808" s="11"/>
      <c r="T7808" s="11"/>
      <c r="U7808" s="11">
        <f t="shared" si="2260"/>
        <v>2.2999999999999998</v>
      </c>
      <c r="W7808">
        <v>2.5</v>
      </c>
      <c r="X7808" s="1" t="s">
        <v>36</v>
      </c>
    </row>
    <row r="7809" spans="1:24" x14ac:dyDescent="0.25">
      <c r="A7809" s="1" t="str">
        <f t="shared" si="2261"/>
        <v>卡卡杜-凤凰仓</v>
      </c>
      <c r="B7809" s="1" t="str">
        <f>"CK202410115771"</f>
        <v>CK202410115771</v>
      </c>
      <c r="C7809" s="1" t="str">
        <f>"DD2024101114095"</f>
        <v>DD2024101114095</v>
      </c>
      <c r="D7809" s="1" t="str">
        <f>"CK2024101117476"</f>
        <v>CK2024101117476</v>
      </c>
      <c r="E7809" s="1" t="str">
        <f>"6934849582166250602"</f>
        <v>6934849582166250602</v>
      </c>
      <c r="F7809" s="1" t="str">
        <f t="shared" si="2262"/>
        <v>花都四部-凤凰仓</v>
      </c>
      <c r="G7809" s="1" t="str">
        <f t="shared" si="2266"/>
        <v>卡卡杜个人护理店（抖店）</v>
      </c>
      <c r="H7809" s="1" t="str">
        <f t="shared" si="2263"/>
        <v>正常订单</v>
      </c>
      <c r="I7809" s="1" t="str">
        <f t="shared" si="2264"/>
        <v>已发货</v>
      </c>
      <c r="J7809" s="1" t="str">
        <f t="shared" si="2268"/>
        <v>3</v>
      </c>
      <c r="K7809" s="1">
        <v>2</v>
      </c>
      <c r="L7809" s="1" t="s">
        <v>20</v>
      </c>
      <c r="M7809" s="1" t="str">
        <f>"浙江省 杭州市 桐庐县 瑶琳镇"</f>
        <v>浙江省 杭州市 桐庐县 瑶琳镇</v>
      </c>
      <c r="N7809" s="1" t="str">
        <f t="shared" si="2267"/>
        <v>凡华云仓-韵达-抖音</v>
      </c>
      <c r="O7809" s="5">
        <v>320166073283770</v>
      </c>
      <c r="P7809" s="6">
        <v>0.35</v>
      </c>
      <c r="Q7809" s="11">
        <v>2.2999999999999998</v>
      </c>
      <c r="R7809" s="11"/>
      <c r="S7809" s="11"/>
      <c r="T7809" s="11"/>
      <c r="U7809" s="11">
        <f t="shared" si="2260"/>
        <v>2.2999999999999998</v>
      </c>
      <c r="W7809">
        <v>2.5</v>
      </c>
      <c r="X7809" s="1" t="s">
        <v>20</v>
      </c>
    </row>
    <row r="7810" spans="1:24" x14ac:dyDescent="0.25">
      <c r="A7810" s="1" t="str">
        <f t="shared" si="2261"/>
        <v>卡卡杜-凤凰仓</v>
      </c>
      <c r="B7810" s="1" t="str">
        <f>"CK202410115773"</f>
        <v>CK202410115773</v>
      </c>
      <c r="C7810" s="1" t="str">
        <f>"DD2024101114096"</f>
        <v>DD2024101114096</v>
      </c>
      <c r="D7810" s="1" t="str">
        <f>"CK2024101117475"</f>
        <v>CK2024101117475</v>
      </c>
      <c r="E7810" s="1" t="str">
        <f>"6934849595780437371"</f>
        <v>6934849595780437371</v>
      </c>
      <c r="F7810" s="1" t="str">
        <f t="shared" si="2262"/>
        <v>花都四部-凤凰仓</v>
      </c>
      <c r="G7810" s="1" t="str">
        <f t="shared" si="2266"/>
        <v>卡卡杜个人护理店（抖店）</v>
      </c>
      <c r="H7810" s="1" t="str">
        <f t="shared" si="2263"/>
        <v>正常订单</v>
      </c>
      <c r="I7810" s="1" t="str">
        <f t="shared" si="2264"/>
        <v>已发货</v>
      </c>
      <c r="J7810" s="1" t="str">
        <f t="shared" si="2268"/>
        <v>3</v>
      </c>
      <c r="K7810" s="1">
        <v>2</v>
      </c>
      <c r="L7810" s="1" t="s">
        <v>20</v>
      </c>
      <c r="M7810" s="1" t="str">
        <f>"浙江省 宁波市 鄞州区 "</f>
        <v xml:space="preserve">浙江省 宁波市 鄞州区 </v>
      </c>
      <c r="N7810" s="1" t="str">
        <f t="shared" si="2267"/>
        <v>凡华云仓-韵达-抖音</v>
      </c>
      <c r="O7810" s="5">
        <v>320166073283669</v>
      </c>
      <c r="P7810" s="6">
        <v>0.35</v>
      </c>
      <c r="Q7810" s="11">
        <v>2.2999999999999998</v>
      </c>
      <c r="R7810" s="11"/>
      <c r="S7810" s="11"/>
      <c r="T7810" s="11"/>
      <c r="U7810" s="11">
        <f t="shared" si="2260"/>
        <v>2.2999999999999998</v>
      </c>
      <c r="W7810">
        <v>2.5</v>
      </c>
      <c r="X7810" s="1" t="s">
        <v>20</v>
      </c>
    </row>
    <row r="7811" spans="1:24" x14ac:dyDescent="0.25">
      <c r="A7811" s="1" t="str">
        <f t="shared" si="2261"/>
        <v>卡卡杜-凤凰仓</v>
      </c>
      <c r="B7811" s="1" t="str">
        <f>"CK202410115774"</f>
        <v>CK202410115774</v>
      </c>
      <c r="C7811" s="1" t="str">
        <f>"DD2024101114097"</f>
        <v>DD2024101114097</v>
      </c>
      <c r="D7811" s="1" t="str">
        <f>"CK2024101117474"</f>
        <v>CK2024101117474</v>
      </c>
      <c r="E7811" s="1" t="str">
        <f>"6934840983207679809"</f>
        <v>6934840983207679809</v>
      </c>
      <c r="F7811" s="1" t="str">
        <f t="shared" si="2262"/>
        <v>花都四部-凤凰仓</v>
      </c>
      <c r="G7811" s="1" t="str">
        <f t="shared" si="2266"/>
        <v>卡卡杜个人护理店（抖店）</v>
      </c>
      <c r="H7811" s="1" t="str">
        <f t="shared" si="2263"/>
        <v>正常订单</v>
      </c>
      <c r="I7811" s="1" t="str">
        <f t="shared" si="2264"/>
        <v>已发货</v>
      </c>
      <c r="J7811" s="1" t="str">
        <f t="shared" si="2268"/>
        <v>3</v>
      </c>
      <c r="K7811" s="1">
        <v>2</v>
      </c>
      <c r="L7811" s="1" t="s">
        <v>22</v>
      </c>
      <c r="M7811" s="1" t="str">
        <f>"江西省 赣州市 信丰县 嘉定镇"</f>
        <v>江西省 赣州市 信丰县 嘉定镇</v>
      </c>
      <c r="N7811" s="1" t="str">
        <f t="shared" si="2267"/>
        <v>凡华云仓-韵达-抖音</v>
      </c>
      <c r="O7811" s="5">
        <v>320166073283570</v>
      </c>
      <c r="P7811" s="6">
        <v>0.35</v>
      </c>
      <c r="Q7811" s="11">
        <v>2.2999999999999998</v>
      </c>
      <c r="R7811" s="11"/>
      <c r="S7811" s="11"/>
      <c r="T7811" s="11"/>
      <c r="U7811" s="11">
        <f t="shared" ref="U7811:U7874" si="2269">T7811+S7811+R7811+Q7811</f>
        <v>2.2999999999999998</v>
      </c>
      <c r="W7811">
        <v>2.5</v>
      </c>
      <c r="X7811" s="1" t="s">
        <v>22</v>
      </c>
    </row>
    <row r="7812" spans="1:24" x14ac:dyDescent="0.25">
      <c r="A7812" s="1" t="str">
        <f t="shared" si="2261"/>
        <v>卡卡杜-凤凰仓</v>
      </c>
      <c r="B7812" s="1" t="str">
        <f>"CK202410115775"</f>
        <v>CK202410115775</v>
      </c>
      <c r="C7812" s="1" t="str">
        <f>"DD2024101114101"</f>
        <v>DD2024101114101</v>
      </c>
      <c r="D7812" s="1" t="str">
        <f>"CK2024101117473"</f>
        <v>CK2024101117473</v>
      </c>
      <c r="E7812" s="1" t="str">
        <f>"6934827347690002137"</f>
        <v>6934827347690002137</v>
      </c>
      <c r="F7812" s="1" t="str">
        <f t="shared" si="2262"/>
        <v>花都四部-凤凰仓</v>
      </c>
      <c r="G7812" s="1" t="str">
        <f t="shared" si="2266"/>
        <v>卡卡杜个人护理店（抖店）</v>
      </c>
      <c r="H7812" s="1" t="str">
        <f t="shared" si="2263"/>
        <v>正常订单</v>
      </c>
      <c r="I7812" s="1" t="str">
        <f t="shared" si="2264"/>
        <v>已发货</v>
      </c>
      <c r="J7812" s="1" t="str">
        <f t="shared" si="2268"/>
        <v>3</v>
      </c>
      <c r="K7812" s="1">
        <v>2</v>
      </c>
      <c r="L7812" s="1" t="s">
        <v>94</v>
      </c>
      <c r="M7812" s="1" t="str">
        <f>"湖南省 常德市 石门县 二都街道"</f>
        <v>湖南省 常德市 石门县 二都街道</v>
      </c>
      <c r="N7812" s="1" t="str">
        <f t="shared" si="2267"/>
        <v>凡华云仓-韵达-抖音</v>
      </c>
      <c r="O7812" s="5">
        <v>320166075274754</v>
      </c>
      <c r="P7812" s="6">
        <v>0.35</v>
      </c>
      <c r="Q7812" s="11">
        <v>2.2999999999999998</v>
      </c>
      <c r="R7812" s="11"/>
      <c r="S7812" s="11"/>
      <c r="T7812" s="11"/>
      <c r="U7812" s="11">
        <f t="shared" si="2269"/>
        <v>2.2999999999999998</v>
      </c>
      <c r="W7812">
        <v>2.5</v>
      </c>
      <c r="X7812" s="1" t="s">
        <v>94</v>
      </c>
    </row>
    <row r="7813" spans="1:24" x14ac:dyDescent="0.25">
      <c r="A7813" s="1" t="str">
        <f t="shared" ref="A7813:A7876" si="2270">"卡卡杜-凤凰仓"</f>
        <v>卡卡杜-凤凰仓</v>
      </c>
      <c r="B7813" s="1" t="str">
        <f>"CK202410115765"</f>
        <v>CK202410115765</v>
      </c>
      <c r="C7813" s="1" t="str">
        <f>"DD2024101114090"</f>
        <v>DD2024101114090</v>
      </c>
      <c r="D7813" s="1" t="str">
        <f>"CK2024101117472"</f>
        <v>CK2024101117472</v>
      </c>
      <c r="E7813" s="1" t="str">
        <f>"6934827384973039341"</f>
        <v>6934827384973039341</v>
      </c>
      <c r="F7813" s="1" t="str">
        <f t="shared" ref="F7813:F7876" si="2271">"花都四部-凤凰仓"</f>
        <v>花都四部-凤凰仓</v>
      </c>
      <c r="G7813" s="1" t="str">
        <f t="shared" si="2266"/>
        <v>卡卡杜个人护理店（抖店）</v>
      </c>
      <c r="H7813" s="1" t="str">
        <f t="shared" ref="H7813:H7876" si="2272">"正常订单"</f>
        <v>正常订单</v>
      </c>
      <c r="I7813" s="1" t="str">
        <f t="shared" ref="I7813:I7876" si="2273">"已发货"</f>
        <v>已发货</v>
      </c>
      <c r="J7813" s="1" t="str">
        <f t="shared" si="2268"/>
        <v>3</v>
      </c>
      <c r="K7813" s="1">
        <v>2</v>
      </c>
      <c r="L7813" s="1" t="s">
        <v>36</v>
      </c>
      <c r="M7813" s="1" t="str">
        <f>"安徽省 滁州市 天长市 铜城镇"</f>
        <v>安徽省 滁州市 天长市 铜城镇</v>
      </c>
      <c r="N7813" s="1" t="str">
        <f t="shared" si="2267"/>
        <v>凡华云仓-韵达-抖音</v>
      </c>
      <c r="O7813" s="5">
        <v>320166075274653</v>
      </c>
      <c r="P7813" s="6">
        <v>0.35</v>
      </c>
      <c r="Q7813" s="11">
        <v>2.2999999999999998</v>
      </c>
      <c r="R7813" s="11"/>
      <c r="S7813" s="11"/>
      <c r="T7813" s="11"/>
      <c r="U7813" s="11">
        <f t="shared" si="2269"/>
        <v>2.2999999999999998</v>
      </c>
      <c r="W7813">
        <v>2.5</v>
      </c>
      <c r="X7813" s="1" t="s">
        <v>36</v>
      </c>
    </row>
    <row r="7814" spans="1:24" x14ac:dyDescent="0.25">
      <c r="A7814" s="1" t="str">
        <f t="shared" si="2270"/>
        <v>卡卡杜-凤凰仓</v>
      </c>
      <c r="B7814" s="1" t="str">
        <f>"CK202410115776"</f>
        <v>CK202410115776</v>
      </c>
      <c r="C7814" s="1" t="str">
        <f>"DD2024101114098"</f>
        <v>DD2024101114098</v>
      </c>
      <c r="D7814" s="1" t="str">
        <f>"CK2024101117471"</f>
        <v>CK2024101117471</v>
      </c>
      <c r="E7814" s="1" t="str">
        <f>"6934831540520753061"</f>
        <v>6934831540520753061</v>
      </c>
      <c r="F7814" s="1" t="str">
        <f t="shared" si="2271"/>
        <v>花都四部-凤凰仓</v>
      </c>
      <c r="G7814" s="1" t="str">
        <f t="shared" si="2266"/>
        <v>卡卡杜个人护理店（抖店）</v>
      </c>
      <c r="H7814" s="1" t="str">
        <f t="shared" si="2272"/>
        <v>正常订单</v>
      </c>
      <c r="I7814" s="1" t="str">
        <f t="shared" si="2273"/>
        <v>已发货</v>
      </c>
      <c r="J7814" s="1" t="str">
        <f t="shared" si="2268"/>
        <v>3</v>
      </c>
      <c r="K7814" s="1">
        <v>2</v>
      </c>
      <c r="L7814" s="1" t="s">
        <v>94</v>
      </c>
      <c r="M7814" s="1" t="str">
        <f>"湖南省 长沙市 开福区 青竹湖街道"</f>
        <v>湖南省 长沙市 开福区 青竹湖街道</v>
      </c>
      <c r="N7814" s="1" t="str">
        <f t="shared" si="2267"/>
        <v>凡华云仓-韵达-抖音</v>
      </c>
      <c r="O7814" s="5">
        <v>320166075274554</v>
      </c>
      <c r="P7814" s="6">
        <v>0.35</v>
      </c>
      <c r="Q7814" s="11">
        <v>2.2999999999999998</v>
      </c>
      <c r="R7814" s="11"/>
      <c r="S7814" s="11"/>
      <c r="T7814" s="11"/>
      <c r="U7814" s="11">
        <f t="shared" si="2269"/>
        <v>2.2999999999999998</v>
      </c>
      <c r="W7814">
        <v>2.5</v>
      </c>
      <c r="X7814" s="1" t="s">
        <v>94</v>
      </c>
    </row>
    <row r="7815" spans="1:24" x14ac:dyDescent="0.25">
      <c r="A7815" s="1" t="str">
        <f t="shared" si="2270"/>
        <v>卡卡杜-凤凰仓</v>
      </c>
      <c r="B7815" s="1" t="str">
        <f>"CK202410115777"</f>
        <v>CK202410115777</v>
      </c>
      <c r="C7815" s="1" t="str">
        <f>"DD2024101114099"</f>
        <v>DD2024101114099</v>
      </c>
      <c r="D7815" s="1" t="str">
        <f>"CK2024101117470"</f>
        <v>CK2024101117470</v>
      </c>
      <c r="E7815" s="1" t="str">
        <f>"6934834196660950701"</f>
        <v>6934834196660950701</v>
      </c>
      <c r="F7815" s="1" t="str">
        <f t="shared" si="2271"/>
        <v>花都四部-凤凰仓</v>
      </c>
      <c r="G7815" s="1" t="str">
        <f t="shared" si="2266"/>
        <v>卡卡杜个人护理店（抖店）</v>
      </c>
      <c r="H7815" s="1" t="str">
        <f t="shared" si="2272"/>
        <v>正常订单</v>
      </c>
      <c r="I7815" s="1" t="str">
        <f t="shared" si="2273"/>
        <v>已发货</v>
      </c>
      <c r="J7815" s="1" t="str">
        <f t="shared" si="2268"/>
        <v>3</v>
      </c>
      <c r="K7815" s="1">
        <v>2</v>
      </c>
      <c r="L7815" s="1" t="s">
        <v>20</v>
      </c>
      <c r="M7815" s="1" t="str">
        <f>"浙江省 湖州市 安吉县 递铺街道"</f>
        <v>浙江省 湖州市 安吉县 递铺街道</v>
      </c>
      <c r="N7815" s="1" t="str">
        <f t="shared" si="2267"/>
        <v>凡华云仓-韵达-抖音</v>
      </c>
      <c r="O7815" s="5">
        <v>320166075274457</v>
      </c>
      <c r="P7815" s="6">
        <v>0.35</v>
      </c>
      <c r="Q7815" s="11">
        <v>2.2999999999999998</v>
      </c>
      <c r="R7815" s="11"/>
      <c r="S7815" s="11"/>
      <c r="T7815" s="11"/>
      <c r="U7815" s="11">
        <f t="shared" si="2269"/>
        <v>2.2999999999999998</v>
      </c>
      <c r="W7815">
        <v>2.5</v>
      </c>
      <c r="X7815" s="1" t="s">
        <v>20</v>
      </c>
    </row>
    <row r="7816" spans="1:24" x14ac:dyDescent="0.25">
      <c r="A7816" s="1" t="str">
        <f t="shared" si="2270"/>
        <v>卡卡杜-凤凰仓</v>
      </c>
      <c r="B7816" s="1" t="str">
        <f>"CK202410115778"</f>
        <v>CK202410115778</v>
      </c>
      <c r="C7816" s="1" t="str">
        <f>"DD2024101114100"</f>
        <v>DD2024101114100</v>
      </c>
      <c r="D7816" s="1" t="str">
        <f>"CK2024101117469"</f>
        <v>CK2024101117469</v>
      </c>
      <c r="E7816" s="1" t="str">
        <f>"6934827260996883889"</f>
        <v>6934827260996883889</v>
      </c>
      <c r="F7816" s="1" t="str">
        <f t="shared" si="2271"/>
        <v>花都四部-凤凰仓</v>
      </c>
      <c r="G7816" s="1" t="str">
        <f t="shared" si="2266"/>
        <v>卡卡杜个人护理店（抖店）</v>
      </c>
      <c r="H7816" s="1" t="str">
        <f t="shared" si="2272"/>
        <v>正常订单</v>
      </c>
      <c r="I7816" s="1" t="str">
        <f t="shared" si="2273"/>
        <v>已发货</v>
      </c>
      <c r="J7816" s="1" t="str">
        <f t="shared" si="2268"/>
        <v>3</v>
      </c>
      <c r="K7816" s="1">
        <v>2</v>
      </c>
      <c r="L7816" s="1" t="s">
        <v>20</v>
      </c>
      <c r="M7816" s="1" t="str">
        <f>"浙江省 宁波市 宁海县 跃龙街道"</f>
        <v>浙江省 宁波市 宁海县 跃龙街道</v>
      </c>
      <c r="N7816" s="1" t="str">
        <f t="shared" si="2267"/>
        <v>凡华云仓-韵达-抖音</v>
      </c>
      <c r="O7816" s="5">
        <v>320166075274362</v>
      </c>
      <c r="P7816" s="6">
        <v>0.35</v>
      </c>
      <c r="Q7816" s="11">
        <v>2.2999999999999998</v>
      </c>
      <c r="R7816" s="11"/>
      <c r="S7816" s="11"/>
      <c r="T7816" s="11"/>
      <c r="U7816" s="11">
        <f t="shared" si="2269"/>
        <v>2.2999999999999998</v>
      </c>
      <c r="W7816">
        <v>2.5</v>
      </c>
      <c r="X7816" s="1" t="s">
        <v>20</v>
      </c>
    </row>
    <row r="7817" spans="1:24" x14ac:dyDescent="0.25">
      <c r="A7817" s="1" t="str">
        <f t="shared" si="2270"/>
        <v>卡卡杜-凤凰仓</v>
      </c>
      <c r="B7817" s="1" t="str">
        <f>"CK202410118168"</f>
        <v>CK202410118168</v>
      </c>
      <c r="C7817" s="1" t="str">
        <f>"DD2024101116721"</f>
        <v>DD2024101116721</v>
      </c>
      <c r="D7817" s="1" t="str">
        <f>"CK2024101117468"</f>
        <v>CK2024101117468</v>
      </c>
      <c r="E7817" s="1" t="str">
        <f>"6934838562477184976"</f>
        <v>6934838562477184976</v>
      </c>
      <c r="F7817" s="1" t="str">
        <f t="shared" si="2271"/>
        <v>花都四部-凤凰仓</v>
      </c>
      <c r="G7817" s="1" t="str">
        <f t="shared" si="2266"/>
        <v>卡卡杜个人护理店（抖店）</v>
      </c>
      <c r="H7817" s="1" t="str">
        <f t="shared" si="2272"/>
        <v>正常订单</v>
      </c>
      <c r="I7817" s="1" t="str">
        <f t="shared" si="2273"/>
        <v>已发货</v>
      </c>
      <c r="J7817" s="1" t="str">
        <f t="shared" ref="J7817:J7823" si="2274">"5"</f>
        <v>5</v>
      </c>
      <c r="K7817" s="1">
        <v>3</v>
      </c>
      <c r="L7817" s="1" t="s">
        <v>16</v>
      </c>
      <c r="M7817" s="1" t="str">
        <f>"河北省 保定市 蠡县 大百尺镇"</f>
        <v>河北省 保定市 蠡县 大百尺镇</v>
      </c>
      <c r="N7817" s="1" t="str">
        <f t="shared" si="2267"/>
        <v>凡华云仓-韵达-抖音</v>
      </c>
      <c r="O7817" s="5">
        <v>320166075274269</v>
      </c>
      <c r="P7817" s="6">
        <v>0.47</v>
      </c>
      <c r="Q7817" s="11">
        <v>2.2999999999999998</v>
      </c>
      <c r="R7817" s="11"/>
      <c r="S7817" s="11"/>
      <c r="T7817" s="11"/>
      <c r="U7817" s="11">
        <f t="shared" si="2269"/>
        <v>2.2999999999999998</v>
      </c>
      <c r="W7817">
        <v>2.5</v>
      </c>
      <c r="X7817" s="1" t="s">
        <v>16</v>
      </c>
    </row>
    <row r="7818" spans="1:24" x14ac:dyDescent="0.25">
      <c r="A7818" s="1" t="str">
        <f t="shared" si="2270"/>
        <v>卡卡杜-凤凰仓</v>
      </c>
      <c r="B7818" s="1" t="str">
        <f>"CK202410115779"</f>
        <v>CK202410115779</v>
      </c>
      <c r="C7818" s="1" t="str">
        <f>"DD2024101114102"</f>
        <v>DD2024101114102</v>
      </c>
      <c r="D7818" s="1" t="str">
        <f>"CK2024101117467"</f>
        <v>CK2024101117467</v>
      </c>
      <c r="E7818" s="1" t="str">
        <f>"6934831570620978503"</f>
        <v>6934831570620978503</v>
      </c>
      <c r="F7818" s="1" t="str">
        <f t="shared" si="2271"/>
        <v>花都四部-凤凰仓</v>
      </c>
      <c r="G7818" s="1" t="str">
        <f t="shared" si="2266"/>
        <v>卡卡杜个人护理店（抖店）</v>
      </c>
      <c r="H7818" s="1" t="str">
        <f t="shared" si="2272"/>
        <v>正常订单</v>
      </c>
      <c r="I7818" s="1" t="str">
        <f t="shared" si="2273"/>
        <v>已发货</v>
      </c>
      <c r="J7818" s="1" t="str">
        <f>"3"</f>
        <v>3</v>
      </c>
      <c r="K7818" s="1">
        <v>2</v>
      </c>
      <c r="L7818" s="1" t="s">
        <v>36</v>
      </c>
      <c r="M7818" s="1" t="str">
        <f>"安徽省 芜湖市 鸠江区 沈巷镇"</f>
        <v>安徽省 芜湖市 鸠江区 沈巷镇</v>
      </c>
      <c r="N7818" s="1" t="str">
        <f t="shared" si="2267"/>
        <v>凡华云仓-韵达-抖音</v>
      </c>
      <c r="O7818" s="5">
        <v>320166075274178</v>
      </c>
      <c r="P7818" s="6">
        <v>0.35</v>
      </c>
      <c r="Q7818" s="11">
        <v>2.2999999999999998</v>
      </c>
      <c r="R7818" s="11"/>
      <c r="S7818" s="11"/>
      <c r="T7818" s="11"/>
      <c r="U7818" s="11">
        <f t="shared" si="2269"/>
        <v>2.2999999999999998</v>
      </c>
      <c r="W7818">
        <v>2.5</v>
      </c>
      <c r="X7818" s="1" t="s">
        <v>36</v>
      </c>
    </row>
    <row r="7819" spans="1:24" x14ac:dyDescent="0.25">
      <c r="A7819" s="1" t="str">
        <f t="shared" si="2270"/>
        <v>卡卡杜-凤凰仓</v>
      </c>
      <c r="B7819" s="1" t="str">
        <f>"CK202410116146"</f>
        <v>CK202410116146</v>
      </c>
      <c r="C7819" s="1" t="str">
        <f>"DD2024101114655"</f>
        <v>DD2024101114655</v>
      </c>
      <c r="D7819" s="1" t="str">
        <f>"CK2024101117466"</f>
        <v>CK2024101117466</v>
      </c>
      <c r="E7819" s="1" t="str">
        <f>"6934836278335313181"</f>
        <v>6934836278335313181</v>
      </c>
      <c r="F7819" s="1" t="str">
        <f t="shared" si="2271"/>
        <v>花都四部-凤凰仓</v>
      </c>
      <c r="G7819" s="1" t="str">
        <f t="shared" si="2266"/>
        <v>卡卡杜个人护理店（抖店）</v>
      </c>
      <c r="H7819" s="1" t="str">
        <f t="shared" si="2272"/>
        <v>正常订单</v>
      </c>
      <c r="I7819" s="1" t="str">
        <f t="shared" si="2273"/>
        <v>已发货</v>
      </c>
      <c r="J7819" s="1" t="str">
        <f t="shared" si="2274"/>
        <v>5</v>
      </c>
      <c r="K7819" s="1">
        <v>3</v>
      </c>
      <c r="L7819" s="1" t="s">
        <v>218</v>
      </c>
      <c r="M7819" s="1" t="str">
        <f>"天津 天津市 宝坻区 "</f>
        <v xml:space="preserve">天津 天津市 宝坻区 </v>
      </c>
      <c r="N7819" s="1" t="str">
        <f t="shared" si="2267"/>
        <v>凡华云仓-韵达-抖音</v>
      </c>
      <c r="O7819" s="5">
        <v>320166075274089</v>
      </c>
      <c r="P7819" s="6">
        <v>0.47</v>
      </c>
      <c r="Q7819" s="11">
        <v>2.2999999999999998</v>
      </c>
      <c r="R7819" s="11"/>
      <c r="S7819" s="11"/>
      <c r="T7819" s="11"/>
      <c r="U7819" s="11">
        <f t="shared" si="2269"/>
        <v>2.2999999999999998</v>
      </c>
      <c r="W7819">
        <v>2.5</v>
      </c>
      <c r="X7819" s="1" t="s">
        <v>218</v>
      </c>
    </row>
    <row r="7820" spans="1:24" x14ac:dyDescent="0.25">
      <c r="A7820" s="1" t="str">
        <f t="shared" si="2270"/>
        <v>卡卡杜-凤凰仓</v>
      </c>
      <c r="B7820" s="1" t="str">
        <f>"CK202410118169"</f>
        <v>CK202410118169</v>
      </c>
      <c r="C7820" s="1" t="str">
        <f>"DD2024101116723"</f>
        <v>DD2024101116723</v>
      </c>
      <c r="D7820" s="1" t="str">
        <f>"CK2024101117465"</f>
        <v>CK2024101117465</v>
      </c>
      <c r="E7820" s="1" t="str">
        <f>"6934836287195977679"</f>
        <v>6934836287195977679</v>
      </c>
      <c r="F7820" s="1" t="str">
        <f t="shared" si="2271"/>
        <v>花都四部-凤凰仓</v>
      </c>
      <c r="G7820" s="1" t="str">
        <f t="shared" si="2266"/>
        <v>卡卡杜个人护理店（抖店）</v>
      </c>
      <c r="H7820" s="1" t="str">
        <f t="shared" si="2272"/>
        <v>正常订单</v>
      </c>
      <c r="I7820" s="1" t="str">
        <f t="shared" si="2273"/>
        <v>已发货</v>
      </c>
      <c r="J7820" s="1" t="str">
        <f t="shared" si="2274"/>
        <v>5</v>
      </c>
      <c r="K7820" s="1">
        <v>3</v>
      </c>
      <c r="L7820" s="1" t="s">
        <v>18</v>
      </c>
      <c r="M7820" s="1" t="str">
        <f>"广东省 惠州市 惠城区 小金口街道"</f>
        <v>广东省 惠州市 惠城区 小金口街道</v>
      </c>
      <c r="N7820" s="1" t="str">
        <f t="shared" si="2267"/>
        <v>凡华云仓-韵达-抖音</v>
      </c>
      <c r="O7820" s="5">
        <v>320166075273967</v>
      </c>
      <c r="P7820" s="6">
        <v>0.47</v>
      </c>
      <c r="Q7820" s="11">
        <v>2.2999999999999998</v>
      </c>
      <c r="R7820" s="11"/>
      <c r="S7820" s="11"/>
      <c r="T7820" s="11"/>
      <c r="U7820" s="11">
        <f t="shared" si="2269"/>
        <v>2.2999999999999998</v>
      </c>
      <c r="W7820">
        <v>2.5</v>
      </c>
      <c r="X7820" s="1" t="s">
        <v>18</v>
      </c>
    </row>
    <row r="7821" spans="1:24" x14ac:dyDescent="0.25">
      <c r="A7821" s="1" t="str">
        <f t="shared" si="2270"/>
        <v>卡卡杜-凤凰仓</v>
      </c>
      <c r="B7821" s="1" t="str">
        <f>"CK202410118171"</f>
        <v>CK202410118171</v>
      </c>
      <c r="C7821" s="1" t="str">
        <f>"DD2024101116722"</f>
        <v>DD2024101116722</v>
      </c>
      <c r="D7821" s="1" t="str">
        <f>"CK2024101117464"</f>
        <v>CK2024101117464</v>
      </c>
      <c r="E7821" s="1" t="str">
        <f>"6934824770011141912"</f>
        <v>6934824770011141912</v>
      </c>
      <c r="F7821" s="1" t="str">
        <f t="shared" si="2271"/>
        <v>花都四部-凤凰仓</v>
      </c>
      <c r="G7821" s="1" t="str">
        <f t="shared" ref="G7821:G7884" si="2275">"卡卡杜个人护理店（抖店）"</f>
        <v>卡卡杜个人护理店（抖店）</v>
      </c>
      <c r="H7821" s="1" t="str">
        <f t="shared" si="2272"/>
        <v>正常订单</v>
      </c>
      <c r="I7821" s="1" t="str">
        <f t="shared" si="2273"/>
        <v>已发货</v>
      </c>
      <c r="J7821" s="1" t="str">
        <f t="shared" si="2274"/>
        <v>5</v>
      </c>
      <c r="K7821" s="1">
        <v>3</v>
      </c>
      <c r="L7821" s="1" t="s">
        <v>24</v>
      </c>
      <c r="M7821" s="1" t="str">
        <f>"福建省 福州市 马尾区 罗星街道"</f>
        <v>福建省 福州市 马尾区 罗星街道</v>
      </c>
      <c r="N7821" s="1" t="str">
        <f t="shared" ref="N7821:N7830" si="2276">"凡华云仓-韵达-抖音"</f>
        <v>凡华云仓-韵达-抖音</v>
      </c>
      <c r="O7821" s="5">
        <v>320166075273862</v>
      </c>
      <c r="P7821" s="6">
        <v>0.47</v>
      </c>
      <c r="Q7821" s="11">
        <v>2.2999999999999998</v>
      </c>
      <c r="R7821" s="11"/>
      <c r="S7821" s="11"/>
      <c r="T7821" s="11"/>
      <c r="U7821" s="11">
        <f t="shared" si="2269"/>
        <v>2.2999999999999998</v>
      </c>
      <c r="W7821">
        <v>2.5</v>
      </c>
      <c r="X7821" s="1" t="s">
        <v>24</v>
      </c>
    </row>
    <row r="7822" spans="1:24" x14ac:dyDescent="0.25">
      <c r="A7822" s="1" t="str">
        <f t="shared" si="2270"/>
        <v>卡卡杜-凤凰仓</v>
      </c>
      <c r="B7822" s="1" t="str">
        <f>"CK202410118170"</f>
        <v>CK202410118170</v>
      </c>
      <c r="C7822" s="1" t="str">
        <f>"DD2024101116725"</f>
        <v>DD2024101116725</v>
      </c>
      <c r="D7822" s="1" t="str">
        <f>"CK2024101117463"</f>
        <v>CK2024101117463</v>
      </c>
      <c r="E7822" s="1" t="str">
        <f>"6934829611305866714"</f>
        <v>6934829611305866714</v>
      </c>
      <c r="F7822" s="1" t="str">
        <f t="shared" si="2271"/>
        <v>花都四部-凤凰仓</v>
      </c>
      <c r="G7822" s="1" t="str">
        <f t="shared" si="2275"/>
        <v>卡卡杜个人护理店（抖店）</v>
      </c>
      <c r="H7822" s="1" t="str">
        <f t="shared" si="2272"/>
        <v>正常订单</v>
      </c>
      <c r="I7822" s="1" t="str">
        <f t="shared" si="2273"/>
        <v>已发货</v>
      </c>
      <c r="J7822" s="1" t="str">
        <f t="shared" si="2274"/>
        <v>5</v>
      </c>
      <c r="K7822" s="1">
        <v>3</v>
      </c>
      <c r="L7822" s="1" t="s">
        <v>74</v>
      </c>
      <c r="M7822" s="1" t="str">
        <f>"上海 上海市 浦东新区 东明路街道"</f>
        <v>上海 上海市 浦东新区 东明路街道</v>
      </c>
      <c r="N7822" s="1" t="str">
        <f t="shared" si="2276"/>
        <v>凡华云仓-韵达-抖音</v>
      </c>
      <c r="O7822" s="5">
        <v>320166081137898</v>
      </c>
      <c r="P7822" s="6">
        <v>0.47</v>
      </c>
      <c r="Q7822" s="11">
        <v>2.2999999999999998</v>
      </c>
      <c r="R7822" s="11"/>
      <c r="S7822" s="11"/>
      <c r="T7822" s="11"/>
      <c r="U7822" s="11">
        <f t="shared" si="2269"/>
        <v>2.2999999999999998</v>
      </c>
      <c r="W7822">
        <v>2.5</v>
      </c>
      <c r="X7822" s="1" t="s">
        <v>74</v>
      </c>
    </row>
    <row r="7823" spans="1:24" x14ac:dyDescent="0.25">
      <c r="A7823" s="1" t="str">
        <f t="shared" si="2270"/>
        <v>卡卡杜-凤凰仓</v>
      </c>
      <c r="B7823" s="1" t="str">
        <f>"CK202410118177"</f>
        <v>CK202410118177</v>
      </c>
      <c r="C7823" s="1" t="str">
        <f>"DD2024101116731"</f>
        <v>DD2024101116731</v>
      </c>
      <c r="D7823" s="1" t="str">
        <f>"CK2024101117462"</f>
        <v>CK2024101117462</v>
      </c>
      <c r="E7823" s="1" t="str">
        <f>"6934836218761974947"</f>
        <v>6934836218761974947</v>
      </c>
      <c r="F7823" s="1" t="str">
        <f t="shared" si="2271"/>
        <v>花都四部-凤凰仓</v>
      </c>
      <c r="G7823" s="1" t="str">
        <f t="shared" si="2275"/>
        <v>卡卡杜个人护理店（抖店）</v>
      </c>
      <c r="H7823" s="1" t="str">
        <f t="shared" si="2272"/>
        <v>正常订单</v>
      </c>
      <c r="I7823" s="1" t="str">
        <f t="shared" si="2273"/>
        <v>已发货</v>
      </c>
      <c r="J7823" s="1" t="str">
        <f t="shared" si="2274"/>
        <v>5</v>
      </c>
      <c r="K7823" s="1">
        <v>3</v>
      </c>
      <c r="L7823" s="1" t="s">
        <v>24</v>
      </c>
      <c r="M7823" s="1" t="str">
        <f>"福建省 福州市 马尾区 马尾镇"</f>
        <v>福建省 福州市 马尾区 马尾镇</v>
      </c>
      <c r="N7823" s="1" t="str">
        <f t="shared" si="2276"/>
        <v>凡华云仓-韵达-抖音</v>
      </c>
      <c r="O7823" s="5">
        <v>320166081137795</v>
      </c>
      <c r="P7823" s="6">
        <v>0.47</v>
      </c>
      <c r="Q7823" s="11">
        <v>2.2999999999999998</v>
      </c>
      <c r="R7823" s="11"/>
      <c r="S7823" s="11"/>
      <c r="T7823" s="11"/>
      <c r="U7823" s="11">
        <f t="shared" si="2269"/>
        <v>2.2999999999999998</v>
      </c>
      <c r="W7823">
        <v>2.5</v>
      </c>
      <c r="X7823" s="1" t="s">
        <v>24</v>
      </c>
    </row>
    <row r="7824" spans="1:24" x14ac:dyDescent="0.25">
      <c r="A7824" s="1" t="str">
        <f t="shared" si="2270"/>
        <v>卡卡杜-凤凰仓</v>
      </c>
      <c r="B7824" s="1" t="str">
        <f>"CK202410115781"</f>
        <v>CK202410115781</v>
      </c>
      <c r="C7824" s="1" t="str">
        <f>"DD2024101114104"</f>
        <v>DD2024101114104</v>
      </c>
      <c r="D7824" s="1" t="str">
        <f>"CK2024101117461"</f>
        <v>CK2024101117461</v>
      </c>
      <c r="E7824" s="1" t="str">
        <f>"6934849370255529394"</f>
        <v>6934849370255529394</v>
      </c>
      <c r="F7824" s="1" t="str">
        <f t="shared" si="2271"/>
        <v>花都四部-凤凰仓</v>
      </c>
      <c r="G7824" s="1" t="str">
        <f t="shared" si="2275"/>
        <v>卡卡杜个人护理店（抖店）</v>
      </c>
      <c r="H7824" s="1" t="str">
        <f t="shared" si="2272"/>
        <v>正常订单</v>
      </c>
      <c r="I7824" s="1" t="str">
        <f t="shared" si="2273"/>
        <v>已发货</v>
      </c>
      <c r="J7824" s="1" t="str">
        <f>"3"</f>
        <v>3</v>
      </c>
      <c r="K7824" s="1">
        <v>2</v>
      </c>
      <c r="L7824" s="1" t="s">
        <v>36</v>
      </c>
      <c r="M7824" s="1" t="str">
        <f>"安徽省 池州市 东至县 官港镇"</f>
        <v>安徽省 池州市 东至县 官港镇</v>
      </c>
      <c r="N7824" s="1" t="str">
        <f t="shared" si="2276"/>
        <v>凡华云仓-韵达-抖音</v>
      </c>
      <c r="O7824" s="5">
        <v>320166081137694</v>
      </c>
      <c r="P7824" s="6">
        <v>0.35</v>
      </c>
      <c r="Q7824" s="11">
        <v>2.2999999999999998</v>
      </c>
      <c r="R7824" s="11"/>
      <c r="S7824" s="11"/>
      <c r="T7824" s="11"/>
      <c r="U7824" s="11">
        <f t="shared" si="2269"/>
        <v>2.2999999999999998</v>
      </c>
      <c r="W7824">
        <v>2.5</v>
      </c>
      <c r="X7824" s="1" t="s">
        <v>36</v>
      </c>
    </row>
    <row r="7825" spans="1:24" x14ac:dyDescent="0.25">
      <c r="A7825" s="1" t="str">
        <f t="shared" si="2270"/>
        <v>卡卡杜-凤凰仓</v>
      </c>
      <c r="B7825" s="1" t="str">
        <f>"CK202410118178"</f>
        <v>CK202410118178</v>
      </c>
      <c r="C7825" s="1" t="str">
        <f>"DD2024101116728"</f>
        <v>DD2024101116728</v>
      </c>
      <c r="D7825" s="1" t="str">
        <f>"CK2024101117460"</f>
        <v>CK2024101117460</v>
      </c>
      <c r="E7825" s="1" t="str">
        <f>"6934853723701057201"</f>
        <v>6934853723701057201</v>
      </c>
      <c r="F7825" s="1" t="str">
        <f t="shared" si="2271"/>
        <v>花都四部-凤凰仓</v>
      </c>
      <c r="G7825" s="1" t="str">
        <f t="shared" si="2275"/>
        <v>卡卡杜个人护理店（抖店）</v>
      </c>
      <c r="H7825" s="1" t="str">
        <f t="shared" si="2272"/>
        <v>正常订单</v>
      </c>
      <c r="I7825" s="1" t="str">
        <f t="shared" si="2273"/>
        <v>已发货</v>
      </c>
      <c r="J7825" s="1" t="str">
        <f t="shared" ref="J7825:J7856" si="2277">"5"</f>
        <v>5</v>
      </c>
      <c r="K7825" s="1">
        <v>3</v>
      </c>
      <c r="L7825" s="1" t="s">
        <v>218</v>
      </c>
      <c r="M7825" s="1" t="str">
        <f>"天津 天津市 和平区 南营门街道"</f>
        <v>天津 天津市 和平区 南营门街道</v>
      </c>
      <c r="N7825" s="1" t="str">
        <f t="shared" si="2276"/>
        <v>凡华云仓-韵达-抖音</v>
      </c>
      <c r="O7825" s="5">
        <v>320166081137595</v>
      </c>
      <c r="P7825" s="6">
        <v>0.47</v>
      </c>
      <c r="Q7825" s="11">
        <v>2.2999999999999998</v>
      </c>
      <c r="R7825" s="11"/>
      <c r="S7825" s="11"/>
      <c r="T7825" s="11"/>
      <c r="U7825" s="11">
        <f t="shared" si="2269"/>
        <v>2.2999999999999998</v>
      </c>
      <c r="W7825">
        <v>2.5</v>
      </c>
      <c r="X7825" s="1" t="s">
        <v>218</v>
      </c>
    </row>
    <row r="7826" spans="1:24" x14ac:dyDescent="0.25">
      <c r="A7826" s="1" t="str">
        <f t="shared" si="2270"/>
        <v>卡卡杜-凤凰仓</v>
      </c>
      <c r="B7826" s="1" t="str">
        <f>"CK202410118179"</f>
        <v>CK202410118179</v>
      </c>
      <c r="C7826" s="1" t="str">
        <f>"DD2024101116733"</f>
        <v>DD2024101116733</v>
      </c>
      <c r="D7826" s="1" t="str">
        <f>"CK2024101117459"</f>
        <v>CK2024101117459</v>
      </c>
      <c r="E7826" s="1" t="str">
        <f>"6934847484018694063"</f>
        <v>6934847484018694063</v>
      </c>
      <c r="F7826" s="1" t="str">
        <f t="shared" si="2271"/>
        <v>花都四部-凤凰仓</v>
      </c>
      <c r="G7826" s="1" t="str">
        <f t="shared" si="2275"/>
        <v>卡卡杜个人护理店（抖店）</v>
      </c>
      <c r="H7826" s="1" t="str">
        <f t="shared" si="2272"/>
        <v>正常订单</v>
      </c>
      <c r="I7826" s="1" t="str">
        <f t="shared" si="2273"/>
        <v>已发货</v>
      </c>
      <c r="J7826" s="1" t="str">
        <f t="shared" si="2277"/>
        <v>5</v>
      </c>
      <c r="K7826" s="1">
        <v>3</v>
      </c>
      <c r="L7826" s="1" t="s">
        <v>80</v>
      </c>
      <c r="M7826" s="1" t="str">
        <f>"河南省 新乡市 原阳县 靳堂乡"</f>
        <v>河南省 新乡市 原阳县 靳堂乡</v>
      </c>
      <c r="N7826" s="1" t="str">
        <f t="shared" si="2276"/>
        <v>凡华云仓-韵达-抖音</v>
      </c>
      <c r="O7826" s="5">
        <v>320166081137498</v>
      </c>
      <c r="P7826" s="6">
        <v>0.47</v>
      </c>
      <c r="Q7826" s="11">
        <v>2.2999999999999998</v>
      </c>
      <c r="R7826" s="11"/>
      <c r="S7826" s="11"/>
      <c r="T7826" s="11"/>
      <c r="U7826" s="11">
        <f t="shared" si="2269"/>
        <v>2.2999999999999998</v>
      </c>
      <c r="W7826">
        <v>2.5</v>
      </c>
      <c r="X7826" s="1" t="s">
        <v>80</v>
      </c>
    </row>
    <row r="7827" spans="1:24" x14ac:dyDescent="0.25">
      <c r="A7827" s="1" t="str">
        <f t="shared" si="2270"/>
        <v>卡卡杜-凤凰仓</v>
      </c>
      <c r="B7827" s="1" t="str">
        <f>"CK202410118180"</f>
        <v>CK202410118180</v>
      </c>
      <c r="C7827" s="1" t="str">
        <f>"DD2024101116734"</f>
        <v>DD2024101116734</v>
      </c>
      <c r="D7827" s="1" t="str">
        <f>"CK2024101117458"</f>
        <v>CK2024101117458</v>
      </c>
      <c r="E7827" s="1" t="str">
        <f>"6934834188029793701"</f>
        <v>6934834188029793701</v>
      </c>
      <c r="F7827" s="1" t="str">
        <f t="shared" si="2271"/>
        <v>花都四部-凤凰仓</v>
      </c>
      <c r="G7827" s="1" t="str">
        <f t="shared" si="2275"/>
        <v>卡卡杜个人护理店（抖店）</v>
      </c>
      <c r="H7827" s="1" t="str">
        <f t="shared" si="2272"/>
        <v>正常订单</v>
      </c>
      <c r="I7827" s="1" t="str">
        <f t="shared" si="2273"/>
        <v>已发货</v>
      </c>
      <c r="J7827" s="1" t="str">
        <f t="shared" si="2277"/>
        <v>5</v>
      </c>
      <c r="K7827" s="1">
        <v>3</v>
      </c>
      <c r="L7827" s="1" t="s">
        <v>20</v>
      </c>
      <c r="M7827" s="1" t="str">
        <f>"浙江省 绍兴市 柯桥区 "</f>
        <v xml:space="preserve">浙江省 绍兴市 柯桥区 </v>
      </c>
      <c r="N7827" s="1" t="str">
        <f t="shared" si="2276"/>
        <v>凡华云仓-韵达-抖音</v>
      </c>
      <c r="O7827" s="5">
        <v>320166081137303</v>
      </c>
      <c r="P7827" s="6">
        <v>0.47</v>
      </c>
      <c r="Q7827" s="11">
        <v>2.2999999999999998</v>
      </c>
      <c r="R7827" s="11"/>
      <c r="S7827" s="11"/>
      <c r="T7827" s="11"/>
      <c r="U7827" s="11">
        <f t="shared" si="2269"/>
        <v>2.2999999999999998</v>
      </c>
      <c r="W7827">
        <v>2.5</v>
      </c>
      <c r="X7827" s="1" t="s">
        <v>20</v>
      </c>
    </row>
    <row r="7828" spans="1:24" x14ac:dyDescent="0.25">
      <c r="A7828" s="1" t="str">
        <f t="shared" si="2270"/>
        <v>卡卡杜-凤凰仓</v>
      </c>
      <c r="B7828" s="1" t="str">
        <f>"CK202410118198"</f>
        <v>CK202410118198</v>
      </c>
      <c r="C7828" s="1" t="str">
        <f>"DD2024101116751"</f>
        <v>DD2024101116751</v>
      </c>
      <c r="D7828" s="1" t="str">
        <f>"CK2024101117457"</f>
        <v>CK2024101117457</v>
      </c>
      <c r="E7828" s="1" t="str">
        <f>"6934849369307944924"</f>
        <v>6934849369307944924</v>
      </c>
      <c r="F7828" s="1" t="str">
        <f t="shared" si="2271"/>
        <v>花都四部-凤凰仓</v>
      </c>
      <c r="G7828" s="1" t="str">
        <f t="shared" si="2275"/>
        <v>卡卡杜个人护理店（抖店）</v>
      </c>
      <c r="H7828" s="1" t="str">
        <f t="shared" si="2272"/>
        <v>正常订单</v>
      </c>
      <c r="I7828" s="1" t="str">
        <f t="shared" si="2273"/>
        <v>已发货</v>
      </c>
      <c r="J7828" s="1" t="str">
        <f t="shared" si="2277"/>
        <v>5</v>
      </c>
      <c r="K7828" s="1">
        <v>3</v>
      </c>
      <c r="L7828" s="1" t="s">
        <v>30</v>
      </c>
      <c r="M7828" s="1" t="str">
        <f>"山东省 威海市 文登区 小观镇"</f>
        <v>山东省 威海市 文登区 小观镇</v>
      </c>
      <c r="N7828" s="1" t="str">
        <f t="shared" si="2276"/>
        <v>凡华云仓-韵达-抖音</v>
      </c>
      <c r="O7828" s="5">
        <v>320166081137210</v>
      </c>
      <c r="P7828" s="6">
        <v>0.47</v>
      </c>
      <c r="Q7828" s="11">
        <v>2.2999999999999998</v>
      </c>
      <c r="R7828" s="11"/>
      <c r="S7828" s="11"/>
      <c r="T7828" s="11"/>
      <c r="U7828" s="11">
        <f t="shared" si="2269"/>
        <v>2.2999999999999998</v>
      </c>
      <c r="W7828">
        <v>2.5</v>
      </c>
      <c r="X7828" s="1" t="s">
        <v>30</v>
      </c>
    </row>
    <row r="7829" spans="1:24" x14ac:dyDescent="0.25">
      <c r="A7829" s="1" t="str">
        <f t="shared" si="2270"/>
        <v>卡卡杜-凤凰仓</v>
      </c>
      <c r="B7829" s="1" t="str">
        <f>"CK202410118181"</f>
        <v>CK202410118181</v>
      </c>
      <c r="C7829" s="1" t="str">
        <f>"DD2024101116736"</f>
        <v>DD2024101116736</v>
      </c>
      <c r="D7829" s="1" t="str">
        <f>"CK2024101117456"</f>
        <v>CK2024101117456</v>
      </c>
      <c r="E7829" s="1" t="str">
        <f>"6934822652945569259"</f>
        <v>6934822652945569259</v>
      </c>
      <c r="F7829" s="1" t="str">
        <f t="shared" si="2271"/>
        <v>花都四部-凤凰仓</v>
      </c>
      <c r="G7829" s="1" t="str">
        <f t="shared" si="2275"/>
        <v>卡卡杜个人护理店（抖店）</v>
      </c>
      <c r="H7829" s="1" t="str">
        <f t="shared" si="2272"/>
        <v>正常订单</v>
      </c>
      <c r="I7829" s="1" t="str">
        <f t="shared" si="2273"/>
        <v>已发货</v>
      </c>
      <c r="J7829" s="1" t="str">
        <f t="shared" si="2277"/>
        <v>5</v>
      </c>
      <c r="K7829" s="1">
        <v>3</v>
      </c>
      <c r="L7829" s="1" t="s">
        <v>18</v>
      </c>
      <c r="M7829" s="1" t="str">
        <f>"广东省 广州市 增城区 新塘镇"</f>
        <v>广东省 广州市 增城区 新塘镇</v>
      </c>
      <c r="N7829" s="1" t="str">
        <f t="shared" si="2276"/>
        <v>凡华云仓-韵达-抖音</v>
      </c>
      <c r="O7829" s="5">
        <v>320166081137119</v>
      </c>
      <c r="P7829" s="6">
        <v>0.47</v>
      </c>
      <c r="Q7829" s="11">
        <v>2.2999999999999998</v>
      </c>
      <c r="R7829" s="11"/>
      <c r="S7829" s="11"/>
      <c r="T7829" s="11"/>
      <c r="U7829" s="11">
        <f t="shared" si="2269"/>
        <v>2.2999999999999998</v>
      </c>
      <c r="W7829">
        <v>2.5</v>
      </c>
      <c r="X7829" s="1" t="s">
        <v>18</v>
      </c>
    </row>
    <row r="7830" spans="1:24" x14ac:dyDescent="0.25">
      <c r="A7830" s="1" t="str">
        <f t="shared" si="2270"/>
        <v>卡卡杜-凤凰仓</v>
      </c>
      <c r="B7830" s="1" t="str">
        <f>"CK202410118182"</f>
        <v>CK202410118182</v>
      </c>
      <c r="C7830" s="1" t="str">
        <f>"DD2024101116735"</f>
        <v>DD2024101116735</v>
      </c>
      <c r="D7830" s="1" t="str">
        <f>"CK2024101117455"</f>
        <v>CK2024101117455</v>
      </c>
      <c r="E7830" s="1" t="str">
        <f>"6934851837431649405"</f>
        <v>6934851837431649405</v>
      </c>
      <c r="F7830" s="1" t="str">
        <f t="shared" si="2271"/>
        <v>花都四部-凤凰仓</v>
      </c>
      <c r="G7830" s="1" t="str">
        <f t="shared" si="2275"/>
        <v>卡卡杜个人护理店（抖店）</v>
      </c>
      <c r="H7830" s="1" t="str">
        <f t="shared" si="2272"/>
        <v>正常订单</v>
      </c>
      <c r="I7830" s="1" t="str">
        <f t="shared" si="2273"/>
        <v>已发货</v>
      </c>
      <c r="J7830" s="1" t="str">
        <f t="shared" si="2277"/>
        <v>5</v>
      </c>
      <c r="K7830" s="1">
        <v>3</v>
      </c>
      <c r="L7830" s="1" t="s">
        <v>92</v>
      </c>
      <c r="M7830" s="1" t="str">
        <f>"辽宁省 沈阳市 苏家屯区 中兴街道"</f>
        <v>辽宁省 沈阳市 苏家屯区 中兴街道</v>
      </c>
      <c r="N7830" s="1" t="str">
        <f t="shared" si="2276"/>
        <v>凡华云仓-韵达-抖音</v>
      </c>
      <c r="O7830" s="5">
        <v>320166081137030</v>
      </c>
      <c r="P7830" s="6">
        <v>0.47</v>
      </c>
      <c r="Q7830" s="11">
        <v>2.2999999999999998</v>
      </c>
      <c r="R7830" s="11"/>
      <c r="S7830" s="11"/>
      <c r="T7830" s="11"/>
      <c r="U7830" s="11">
        <f t="shared" si="2269"/>
        <v>2.2999999999999998</v>
      </c>
      <c r="W7830">
        <v>2.5</v>
      </c>
      <c r="X7830" s="1" t="s">
        <v>92</v>
      </c>
    </row>
    <row r="7831" spans="1:24" x14ac:dyDescent="0.25">
      <c r="A7831" s="1" t="str">
        <f t="shared" si="2270"/>
        <v>卡卡杜-凤凰仓</v>
      </c>
      <c r="B7831" s="1" t="str">
        <f>"CK202410118183"</f>
        <v>CK202410118183</v>
      </c>
      <c r="C7831" s="1" t="str">
        <f>"DD2024101116742"</f>
        <v>DD2024101116742</v>
      </c>
      <c r="D7831" s="1" t="str">
        <f>"CK2024101117454"</f>
        <v>CK2024101117454</v>
      </c>
      <c r="E7831" s="1" t="str">
        <f>"6934841040355726636"</f>
        <v>6934841040355726636</v>
      </c>
      <c r="F7831" s="1" t="str">
        <f t="shared" si="2271"/>
        <v>花都四部-凤凰仓</v>
      </c>
      <c r="G7831" s="1" t="str">
        <f t="shared" si="2275"/>
        <v>卡卡杜个人护理店（抖店）</v>
      </c>
      <c r="H7831" s="1" t="str">
        <f t="shared" si="2272"/>
        <v>正常订单</v>
      </c>
      <c r="I7831" s="1" t="str">
        <f t="shared" si="2273"/>
        <v>已发货</v>
      </c>
      <c r="J7831" s="1" t="str">
        <f t="shared" si="2277"/>
        <v>5</v>
      </c>
      <c r="K7831" s="1">
        <v>3</v>
      </c>
      <c r="L7831" s="1" t="s">
        <v>20</v>
      </c>
      <c r="M7831" s="1" t="str">
        <f>"浙江省 温州市 龙湾区 瑶溪街道"</f>
        <v>浙江省 温州市 龙湾区 瑶溪街道</v>
      </c>
      <c r="N7831" s="1" t="str">
        <f>"凡华云仓-竹料中通-抖音"</f>
        <v>凡华云仓-竹料中通-抖音</v>
      </c>
      <c r="O7831" s="5">
        <v>76430133301304</v>
      </c>
      <c r="P7831" s="6">
        <v>0.47</v>
      </c>
      <c r="Q7831" s="11">
        <v>2.6</v>
      </c>
      <c r="R7831" s="11"/>
      <c r="S7831" s="11"/>
      <c r="T7831" s="11"/>
      <c r="U7831" s="11">
        <f t="shared" si="2269"/>
        <v>2.6</v>
      </c>
      <c r="W7831">
        <v>2.6</v>
      </c>
      <c r="X7831" s="1" t="s">
        <v>20</v>
      </c>
    </row>
    <row r="7832" spans="1:24" x14ac:dyDescent="0.25">
      <c r="A7832" s="1" t="str">
        <f t="shared" si="2270"/>
        <v>卡卡杜-凤凰仓</v>
      </c>
      <c r="B7832" s="1" t="str">
        <f>"CK202410118197"</f>
        <v>CK202410118197</v>
      </c>
      <c r="C7832" s="1" t="str">
        <f>"DD2024101116750"</f>
        <v>DD2024101116750</v>
      </c>
      <c r="D7832" s="1" t="str">
        <f>"CK2024101117453"</f>
        <v>CK2024101117453</v>
      </c>
      <c r="E7832" s="1" t="str">
        <f>"6934834153979319549"</f>
        <v>6934834153979319549</v>
      </c>
      <c r="F7832" s="1" t="str">
        <f t="shared" si="2271"/>
        <v>花都四部-凤凰仓</v>
      </c>
      <c r="G7832" s="1" t="str">
        <f t="shared" si="2275"/>
        <v>卡卡杜个人护理店（抖店）</v>
      </c>
      <c r="H7832" s="1" t="str">
        <f t="shared" si="2272"/>
        <v>正常订单</v>
      </c>
      <c r="I7832" s="1" t="str">
        <f t="shared" si="2273"/>
        <v>已发货</v>
      </c>
      <c r="J7832" s="1" t="str">
        <f t="shared" si="2277"/>
        <v>5</v>
      </c>
      <c r="K7832" s="1">
        <v>3</v>
      </c>
      <c r="L7832" s="1" t="s">
        <v>187</v>
      </c>
      <c r="M7832" s="1" t="str">
        <f>"吉林省 延边朝鲜族自治州 敦化市 江南镇"</f>
        <v>吉林省 延边朝鲜族自治州 敦化市 江南镇</v>
      </c>
      <c r="N7832" s="1" t="str">
        <f t="shared" ref="N7832:N7848" si="2278">"凡华云仓-韵达-抖音"</f>
        <v>凡华云仓-韵达-抖音</v>
      </c>
      <c r="O7832" s="5">
        <v>320166083381297</v>
      </c>
      <c r="P7832" s="6">
        <v>0.47</v>
      </c>
      <c r="Q7832" s="11">
        <v>2.2999999999999998</v>
      </c>
      <c r="R7832" s="11"/>
      <c r="S7832" s="11"/>
      <c r="T7832" s="11"/>
      <c r="U7832" s="11">
        <f t="shared" si="2269"/>
        <v>2.2999999999999998</v>
      </c>
      <c r="W7832">
        <v>2.5</v>
      </c>
      <c r="X7832" s="1" t="s">
        <v>187</v>
      </c>
    </row>
    <row r="7833" spans="1:24" x14ac:dyDescent="0.25">
      <c r="A7833" s="1" t="str">
        <f t="shared" si="2270"/>
        <v>卡卡杜-凤凰仓</v>
      </c>
      <c r="B7833" s="1" t="str">
        <f>"CK202410118173"</f>
        <v>CK202410118173</v>
      </c>
      <c r="C7833" s="1" t="str">
        <f>"DD2024101116732"</f>
        <v>DD2024101116732</v>
      </c>
      <c r="D7833" s="1" t="str">
        <f>"CK2024101117452"</f>
        <v>CK2024101117452</v>
      </c>
      <c r="E7833" s="1" t="str">
        <f>"6934843269347874355"</f>
        <v>6934843269347874355</v>
      </c>
      <c r="F7833" s="1" t="str">
        <f t="shared" si="2271"/>
        <v>花都四部-凤凰仓</v>
      </c>
      <c r="G7833" s="1" t="str">
        <f t="shared" si="2275"/>
        <v>卡卡杜个人护理店（抖店）</v>
      </c>
      <c r="H7833" s="1" t="str">
        <f t="shared" si="2272"/>
        <v>正常订单</v>
      </c>
      <c r="I7833" s="1" t="str">
        <f t="shared" si="2273"/>
        <v>已发货</v>
      </c>
      <c r="J7833" s="1" t="str">
        <f t="shared" si="2277"/>
        <v>5</v>
      </c>
      <c r="K7833" s="1">
        <v>3</v>
      </c>
      <c r="L7833" s="1" t="s">
        <v>30</v>
      </c>
      <c r="M7833" s="1" t="str">
        <f>"山东省 青岛市 市南区 八大湖街道"</f>
        <v>山东省 青岛市 市南区 八大湖街道</v>
      </c>
      <c r="N7833" s="1" t="str">
        <f t="shared" si="2278"/>
        <v>凡华云仓-韵达-抖音</v>
      </c>
      <c r="O7833" s="5">
        <v>320166083381106</v>
      </c>
      <c r="P7833" s="6">
        <v>0.47</v>
      </c>
      <c r="Q7833" s="11">
        <v>2.2999999999999998</v>
      </c>
      <c r="R7833" s="11"/>
      <c r="S7833" s="11"/>
      <c r="T7833" s="11"/>
      <c r="U7833" s="11">
        <f t="shared" si="2269"/>
        <v>2.2999999999999998</v>
      </c>
      <c r="W7833">
        <v>2.5</v>
      </c>
      <c r="X7833" s="1" t="s">
        <v>30</v>
      </c>
    </row>
    <row r="7834" spans="1:24" x14ac:dyDescent="0.25">
      <c r="A7834" s="1" t="str">
        <f t="shared" si="2270"/>
        <v>卡卡杜-凤凰仓</v>
      </c>
      <c r="B7834" s="1" t="str">
        <f>"CK202410118185"</f>
        <v>CK202410118185</v>
      </c>
      <c r="C7834" s="1" t="str">
        <f>"DD2024101116737"</f>
        <v>DD2024101116737</v>
      </c>
      <c r="D7834" s="1" t="str">
        <f>"CK2024101117451"</f>
        <v>CK2024101117451</v>
      </c>
      <c r="E7834" s="1" t="str">
        <f>"6934847533761304311"</f>
        <v>6934847533761304311</v>
      </c>
      <c r="F7834" s="1" t="str">
        <f t="shared" si="2271"/>
        <v>花都四部-凤凰仓</v>
      </c>
      <c r="G7834" s="1" t="str">
        <f t="shared" si="2275"/>
        <v>卡卡杜个人护理店（抖店）</v>
      </c>
      <c r="H7834" s="1" t="str">
        <f t="shared" si="2272"/>
        <v>正常订单</v>
      </c>
      <c r="I7834" s="1" t="str">
        <f t="shared" si="2273"/>
        <v>已发货</v>
      </c>
      <c r="J7834" s="1" t="str">
        <f t="shared" si="2277"/>
        <v>5</v>
      </c>
      <c r="K7834" s="1">
        <v>3</v>
      </c>
      <c r="L7834" s="1" t="s">
        <v>13</v>
      </c>
      <c r="M7834" s="1" t="str">
        <f>"江苏省 无锡市 江阴市 南闸街道"</f>
        <v>江苏省 无锡市 江阴市 南闸街道</v>
      </c>
      <c r="N7834" s="1" t="str">
        <f t="shared" si="2278"/>
        <v>凡华云仓-韵达-抖音</v>
      </c>
      <c r="O7834" s="5">
        <v>320166083381017</v>
      </c>
      <c r="P7834" s="6">
        <v>0.47</v>
      </c>
      <c r="Q7834" s="11">
        <v>2.2999999999999998</v>
      </c>
      <c r="R7834" s="11"/>
      <c r="S7834" s="11"/>
      <c r="T7834" s="11"/>
      <c r="U7834" s="11">
        <f t="shared" si="2269"/>
        <v>2.2999999999999998</v>
      </c>
      <c r="W7834">
        <v>2.5</v>
      </c>
      <c r="X7834" s="1" t="s">
        <v>13</v>
      </c>
    </row>
    <row r="7835" spans="1:24" x14ac:dyDescent="0.25">
      <c r="A7835" s="1" t="str">
        <f t="shared" si="2270"/>
        <v>卡卡杜-凤凰仓</v>
      </c>
      <c r="B7835" s="1" t="str">
        <f>"CK202410118184"</f>
        <v>CK202410118184</v>
      </c>
      <c r="C7835" s="1" t="str">
        <f>"DD2024101116741"</f>
        <v>DD2024101116741</v>
      </c>
      <c r="D7835" s="1" t="str">
        <f>"CK2024101117450"</f>
        <v>CK2024101117450</v>
      </c>
      <c r="E7835" s="1" t="str">
        <f>"6934853796040087050"</f>
        <v>6934853796040087050</v>
      </c>
      <c r="F7835" s="1" t="str">
        <f t="shared" si="2271"/>
        <v>花都四部-凤凰仓</v>
      </c>
      <c r="G7835" s="1" t="str">
        <f t="shared" si="2275"/>
        <v>卡卡杜个人护理店（抖店）</v>
      </c>
      <c r="H7835" s="1" t="str">
        <f t="shared" si="2272"/>
        <v>正常订单</v>
      </c>
      <c r="I7835" s="1" t="str">
        <f t="shared" si="2273"/>
        <v>已发货</v>
      </c>
      <c r="J7835" s="1" t="str">
        <f t="shared" si="2277"/>
        <v>5</v>
      </c>
      <c r="K7835" s="1">
        <v>3</v>
      </c>
      <c r="L7835" s="1" t="s">
        <v>80</v>
      </c>
      <c r="M7835" s="1" t="str">
        <f>"河南省 新乡市 获嘉县 亢村镇"</f>
        <v>河南省 新乡市 获嘉县 亢村镇</v>
      </c>
      <c r="N7835" s="1" t="str">
        <f t="shared" si="2278"/>
        <v>凡华云仓-韵达-抖音</v>
      </c>
      <c r="O7835" s="5">
        <v>320166083380901</v>
      </c>
      <c r="P7835" s="6">
        <v>0.47</v>
      </c>
      <c r="Q7835" s="11">
        <v>2.2999999999999998</v>
      </c>
      <c r="R7835" s="11"/>
      <c r="S7835" s="11"/>
      <c r="T7835" s="11"/>
      <c r="U7835" s="11">
        <f t="shared" si="2269"/>
        <v>2.2999999999999998</v>
      </c>
      <c r="W7835">
        <v>2.5</v>
      </c>
      <c r="X7835" s="1" t="s">
        <v>80</v>
      </c>
    </row>
    <row r="7836" spans="1:24" x14ac:dyDescent="0.25">
      <c r="A7836" s="1" t="str">
        <f t="shared" si="2270"/>
        <v>卡卡杜-凤凰仓</v>
      </c>
      <c r="B7836" s="1" t="str">
        <f>"CK202410118186"</f>
        <v>CK202410118186</v>
      </c>
      <c r="C7836" s="1" t="str">
        <f>"DD2024101116739"</f>
        <v>DD2024101116739</v>
      </c>
      <c r="D7836" s="1" t="str">
        <f>"CK2024101117449"</f>
        <v>CK2024101117449</v>
      </c>
      <c r="E7836" s="1" t="str">
        <f>"6934843230546302421"</f>
        <v>6934843230546302421</v>
      </c>
      <c r="F7836" s="1" t="str">
        <f t="shared" si="2271"/>
        <v>花都四部-凤凰仓</v>
      </c>
      <c r="G7836" s="1" t="str">
        <f t="shared" si="2275"/>
        <v>卡卡杜个人护理店（抖店）</v>
      </c>
      <c r="H7836" s="1" t="str">
        <f t="shared" si="2272"/>
        <v>正常订单</v>
      </c>
      <c r="I7836" s="1" t="str">
        <f t="shared" si="2273"/>
        <v>已发货</v>
      </c>
      <c r="J7836" s="1" t="str">
        <f t="shared" si="2277"/>
        <v>5</v>
      </c>
      <c r="K7836" s="1">
        <v>3</v>
      </c>
      <c r="L7836" s="1" t="s">
        <v>30</v>
      </c>
      <c r="M7836" s="1" t="str">
        <f>"山东省 枣庄市 峄城区 坛山街道"</f>
        <v>山东省 枣庄市 峄城区 坛山街道</v>
      </c>
      <c r="N7836" s="1" t="str">
        <f t="shared" si="2278"/>
        <v>凡华云仓-韵达-抖音</v>
      </c>
      <c r="O7836" s="5">
        <v>320166083380896</v>
      </c>
      <c r="P7836" s="6">
        <v>0.47</v>
      </c>
      <c r="Q7836" s="11">
        <v>2.2999999999999998</v>
      </c>
      <c r="R7836" s="11"/>
      <c r="S7836" s="11"/>
      <c r="T7836" s="11"/>
      <c r="U7836" s="11">
        <f t="shared" si="2269"/>
        <v>2.2999999999999998</v>
      </c>
      <c r="W7836">
        <v>2.5</v>
      </c>
      <c r="X7836" s="1" t="s">
        <v>30</v>
      </c>
    </row>
    <row r="7837" spans="1:24" x14ac:dyDescent="0.25">
      <c r="A7837" s="1" t="str">
        <f t="shared" si="2270"/>
        <v>卡卡杜-凤凰仓</v>
      </c>
      <c r="B7837" s="1" t="str">
        <f>"CK202410116066"</f>
        <v>CK202410116066</v>
      </c>
      <c r="C7837" s="1" t="str">
        <f>"DD2024101114571"</f>
        <v>DD2024101114571</v>
      </c>
      <c r="D7837" s="1" t="str">
        <f>"CK2024101117448"</f>
        <v>CK2024101117448</v>
      </c>
      <c r="E7837" s="1" t="str">
        <f>"6934836312318941105"</f>
        <v>6934836312318941105</v>
      </c>
      <c r="F7837" s="1" t="str">
        <f t="shared" si="2271"/>
        <v>花都四部-凤凰仓</v>
      </c>
      <c r="G7837" s="1" t="str">
        <f t="shared" si="2275"/>
        <v>卡卡杜个人护理店（抖店）</v>
      </c>
      <c r="H7837" s="1" t="str">
        <f t="shared" si="2272"/>
        <v>正常订单</v>
      </c>
      <c r="I7837" s="1" t="str">
        <f t="shared" si="2273"/>
        <v>已发货</v>
      </c>
      <c r="J7837" s="1" t="str">
        <f t="shared" si="2277"/>
        <v>5</v>
      </c>
      <c r="K7837" s="1">
        <v>3</v>
      </c>
      <c r="L7837" s="1" t="s">
        <v>16</v>
      </c>
      <c r="M7837" s="1" t="str">
        <f>"河北省 沧州市 任丘市 新华路街道"</f>
        <v>河北省 沧州市 任丘市 新华路街道</v>
      </c>
      <c r="N7837" s="1" t="str">
        <f t="shared" si="2278"/>
        <v>凡华云仓-韵达-抖音</v>
      </c>
      <c r="O7837" s="5">
        <v>320166083380793</v>
      </c>
      <c r="P7837" s="6">
        <v>0.47</v>
      </c>
      <c r="Q7837" s="11">
        <v>2.2999999999999998</v>
      </c>
      <c r="R7837" s="11"/>
      <c r="S7837" s="11"/>
      <c r="T7837" s="11"/>
      <c r="U7837" s="11">
        <f t="shared" si="2269"/>
        <v>2.2999999999999998</v>
      </c>
      <c r="W7837">
        <v>2.5</v>
      </c>
      <c r="X7837" s="1" t="s">
        <v>16</v>
      </c>
    </row>
    <row r="7838" spans="1:24" x14ac:dyDescent="0.25">
      <c r="A7838" s="1" t="str">
        <f t="shared" si="2270"/>
        <v>卡卡杜-凤凰仓</v>
      </c>
      <c r="B7838" s="1" t="str">
        <f>"CK202410116100"</f>
        <v>CK202410116100</v>
      </c>
      <c r="C7838" s="1" t="str">
        <f>"DD2024101114609"</f>
        <v>DD2024101114609</v>
      </c>
      <c r="D7838" s="1" t="str">
        <f>"CK2024101117447"</f>
        <v>CK2024101117447</v>
      </c>
      <c r="E7838" s="1" t="str">
        <f>"6934824761478550911"</f>
        <v>6934824761478550911</v>
      </c>
      <c r="F7838" s="1" t="str">
        <f t="shared" si="2271"/>
        <v>花都四部-凤凰仓</v>
      </c>
      <c r="G7838" s="1" t="str">
        <f t="shared" si="2275"/>
        <v>卡卡杜个人护理店（抖店）</v>
      </c>
      <c r="H7838" s="1" t="str">
        <f t="shared" si="2272"/>
        <v>正常订单</v>
      </c>
      <c r="I7838" s="1" t="str">
        <f t="shared" si="2273"/>
        <v>已发货</v>
      </c>
      <c r="J7838" s="1" t="str">
        <f t="shared" si="2277"/>
        <v>5</v>
      </c>
      <c r="K7838" s="1">
        <v>3</v>
      </c>
      <c r="L7838" s="1" t="s">
        <v>18</v>
      </c>
      <c r="M7838" s="1" t="str">
        <f>"广东省 佛山市 顺德区 勒流街道"</f>
        <v>广东省 佛山市 顺德区 勒流街道</v>
      </c>
      <c r="N7838" s="1" t="str">
        <f t="shared" si="2278"/>
        <v>凡华云仓-韵达-抖音</v>
      </c>
      <c r="O7838" s="5">
        <v>320166083380692</v>
      </c>
      <c r="P7838" s="6">
        <v>0.47</v>
      </c>
      <c r="Q7838" s="11">
        <v>2.2999999999999998</v>
      </c>
      <c r="R7838" s="11"/>
      <c r="S7838" s="11"/>
      <c r="T7838" s="11"/>
      <c r="U7838" s="11">
        <f t="shared" si="2269"/>
        <v>2.2999999999999998</v>
      </c>
      <c r="W7838">
        <v>2.5</v>
      </c>
      <c r="X7838" s="1" t="s">
        <v>18</v>
      </c>
    </row>
    <row r="7839" spans="1:24" x14ac:dyDescent="0.25">
      <c r="A7839" s="1" t="str">
        <f t="shared" si="2270"/>
        <v>卡卡杜-凤凰仓</v>
      </c>
      <c r="B7839" s="1" t="str">
        <f>"CK202410116144"</f>
        <v>CK202410116144</v>
      </c>
      <c r="C7839" s="1" t="str">
        <f>"DD2024101114652"</f>
        <v>DD2024101114652</v>
      </c>
      <c r="D7839" s="1" t="str">
        <f>"CK2024101117446"</f>
        <v>CK2024101117446</v>
      </c>
      <c r="E7839" s="1" t="str">
        <f>"6934827217342108754"</f>
        <v>6934827217342108754</v>
      </c>
      <c r="F7839" s="1" t="str">
        <f t="shared" si="2271"/>
        <v>花都四部-凤凰仓</v>
      </c>
      <c r="G7839" s="1" t="str">
        <f t="shared" si="2275"/>
        <v>卡卡杜个人护理店（抖店）</v>
      </c>
      <c r="H7839" s="1" t="str">
        <f t="shared" si="2272"/>
        <v>正常订单</v>
      </c>
      <c r="I7839" s="1" t="str">
        <f t="shared" si="2273"/>
        <v>已发货</v>
      </c>
      <c r="J7839" s="1" t="str">
        <f t="shared" si="2277"/>
        <v>5</v>
      </c>
      <c r="K7839" s="1">
        <v>3</v>
      </c>
      <c r="L7839" s="1" t="s">
        <v>18</v>
      </c>
      <c r="M7839" s="1" t="str">
        <f>"广东省 湛江市 赤坎区 南桥街道"</f>
        <v>广东省 湛江市 赤坎区 南桥街道</v>
      </c>
      <c r="N7839" s="1" t="str">
        <f t="shared" si="2278"/>
        <v>凡华云仓-韵达-抖音</v>
      </c>
      <c r="O7839" s="5">
        <v>320166083380593</v>
      </c>
      <c r="P7839" s="6">
        <v>0.47</v>
      </c>
      <c r="Q7839" s="11">
        <v>2.2999999999999998</v>
      </c>
      <c r="R7839" s="11"/>
      <c r="S7839" s="11"/>
      <c r="T7839" s="11"/>
      <c r="U7839" s="11">
        <f t="shared" si="2269"/>
        <v>2.2999999999999998</v>
      </c>
      <c r="W7839">
        <v>2.5</v>
      </c>
      <c r="X7839" s="1" t="s">
        <v>18</v>
      </c>
    </row>
    <row r="7840" spans="1:24" x14ac:dyDescent="0.25">
      <c r="A7840" s="1" t="str">
        <f t="shared" si="2270"/>
        <v>卡卡杜-凤凰仓</v>
      </c>
      <c r="B7840" s="1" t="str">
        <f>"CK202410116097"</f>
        <v>CK202410116097</v>
      </c>
      <c r="C7840" s="1" t="str">
        <f>"DD2024101114606"</f>
        <v>DD2024101114606</v>
      </c>
      <c r="D7840" s="1" t="str">
        <f>"CK2024101117445"</f>
        <v>CK2024101117445</v>
      </c>
      <c r="E7840" s="1" t="str">
        <f>"6934843253820364538"</f>
        <v>6934843253820364538</v>
      </c>
      <c r="F7840" s="1" t="str">
        <f t="shared" si="2271"/>
        <v>花都四部-凤凰仓</v>
      </c>
      <c r="G7840" s="1" t="str">
        <f t="shared" si="2275"/>
        <v>卡卡杜个人护理店（抖店）</v>
      </c>
      <c r="H7840" s="1" t="str">
        <f t="shared" si="2272"/>
        <v>正常订单</v>
      </c>
      <c r="I7840" s="1" t="str">
        <f t="shared" si="2273"/>
        <v>已发货</v>
      </c>
      <c r="J7840" s="1" t="str">
        <f t="shared" si="2277"/>
        <v>5</v>
      </c>
      <c r="K7840" s="1">
        <v>3</v>
      </c>
      <c r="L7840" s="1" t="s">
        <v>13</v>
      </c>
      <c r="M7840" s="1" t="str">
        <f>"江苏省 苏州市 太仓市 浮桥镇"</f>
        <v>江苏省 苏州市 太仓市 浮桥镇</v>
      </c>
      <c r="N7840" s="1" t="str">
        <f t="shared" si="2278"/>
        <v>凡华云仓-韵达-抖音</v>
      </c>
      <c r="O7840" s="5">
        <v>320166083380496</v>
      </c>
      <c r="P7840" s="6">
        <v>0.47</v>
      </c>
      <c r="Q7840" s="11">
        <v>2.2999999999999998</v>
      </c>
      <c r="R7840" s="11"/>
      <c r="S7840" s="11"/>
      <c r="T7840" s="11"/>
      <c r="U7840" s="11">
        <f t="shared" si="2269"/>
        <v>2.2999999999999998</v>
      </c>
      <c r="W7840">
        <v>2.5</v>
      </c>
      <c r="X7840" s="1" t="s">
        <v>13</v>
      </c>
    </row>
    <row r="7841" spans="1:24" x14ac:dyDescent="0.25">
      <c r="A7841" s="1" t="str">
        <f t="shared" si="2270"/>
        <v>卡卡杜-凤凰仓</v>
      </c>
      <c r="B7841" s="1" t="str">
        <f>"CK202410118172"</f>
        <v>CK202410118172</v>
      </c>
      <c r="C7841" s="1" t="str">
        <f>"DD2024101116726"</f>
        <v>DD2024101116726</v>
      </c>
      <c r="D7841" s="1" t="str">
        <f>"CK2024101117444"</f>
        <v>CK2024101117444</v>
      </c>
      <c r="E7841" s="1" t="str">
        <f>"6934831585346917701"</f>
        <v>6934831585346917701</v>
      </c>
      <c r="F7841" s="1" t="str">
        <f t="shared" si="2271"/>
        <v>花都四部-凤凰仓</v>
      </c>
      <c r="G7841" s="1" t="str">
        <f t="shared" si="2275"/>
        <v>卡卡杜个人护理店（抖店）</v>
      </c>
      <c r="H7841" s="1" t="str">
        <f t="shared" si="2272"/>
        <v>正常订单</v>
      </c>
      <c r="I7841" s="1" t="str">
        <f t="shared" si="2273"/>
        <v>已发货</v>
      </c>
      <c r="J7841" s="1" t="str">
        <f t="shared" si="2277"/>
        <v>5</v>
      </c>
      <c r="K7841" s="1">
        <v>3</v>
      </c>
      <c r="L7841" s="1" t="s">
        <v>13</v>
      </c>
      <c r="M7841" s="1" t="str">
        <f>"江苏省 徐州市 鼓楼区 牌楼街道"</f>
        <v>江苏省 徐州市 鼓楼区 牌楼街道</v>
      </c>
      <c r="N7841" s="1" t="str">
        <f t="shared" si="2278"/>
        <v>凡华云仓-韵达-抖音</v>
      </c>
      <c r="O7841" s="5">
        <v>320166083380301</v>
      </c>
      <c r="P7841" s="6">
        <v>0.47</v>
      </c>
      <c r="Q7841" s="11">
        <v>2.2999999999999998</v>
      </c>
      <c r="R7841" s="11"/>
      <c r="S7841" s="11"/>
      <c r="T7841" s="11"/>
      <c r="U7841" s="11">
        <f t="shared" si="2269"/>
        <v>2.2999999999999998</v>
      </c>
      <c r="W7841">
        <v>2.5</v>
      </c>
      <c r="X7841" s="1" t="s">
        <v>13</v>
      </c>
    </row>
    <row r="7842" spans="1:24" x14ac:dyDescent="0.25">
      <c r="A7842" s="1" t="str">
        <f t="shared" si="2270"/>
        <v>卡卡杜-凤凰仓</v>
      </c>
      <c r="B7842" s="1" t="str">
        <f>"CK202410118187"</f>
        <v>CK202410118187</v>
      </c>
      <c r="C7842" s="1" t="str">
        <f>"DD2024101116738"</f>
        <v>DD2024101116738</v>
      </c>
      <c r="D7842" s="1" t="str">
        <f>"CK2024101117443"</f>
        <v>CK2024101117443</v>
      </c>
      <c r="E7842" s="1" t="str">
        <f>"6934829551718307638"</f>
        <v>6934829551718307638</v>
      </c>
      <c r="F7842" s="1" t="str">
        <f t="shared" si="2271"/>
        <v>花都四部-凤凰仓</v>
      </c>
      <c r="G7842" s="1" t="str">
        <f t="shared" si="2275"/>
        <v>卡卡杜个人护理店（抖店）</v>
      </c>
      <c r="H7842" s="1" t="str">
        <f t="shared" si="2272"/>
        <v>正常订单</v>
      </c>
      <c r="I7842" s="1" t="str">
        <f t="shared" si="2273"/>
        <v>已发货</v>
      </c>
      <c r="J7842" s="1" t="str">
        <f t="shared" si="2277"/>
        <v>5</v>
      </c>
      <c r="K7842" s="1">
        <v>3</v>
      </c>
      <c r="L7842" s="1" t="s">
        <v>36</v>
      </c>
      <c r="M7842" s="1" t="str">
        <f>"安徽省 合肥市 瑶海区 合肥龙岗综合经济开发区"</f>
        <v>安徽省 合肥市 瑶海区 合肥龙岗综合经济开发区</v>
      </c>
      <c r="N7842" s="1" t="str">
        <f t="shared" si="2278"/>
        <v>凡华云仓-韵达-抖音</v>
      </c>
      <c r="O7842" s="5">
        <v>320166065463953</v>
      </c>
      <c r="P7842" s="6">
        <v>0.47</v>
      </c>
      <c r="Q7842" s="11">
        <v>2.2999999999999998</v>
      </c>
      <c r="R7842" s="11"/>
      <c r="S7842" s="11"/>
      <c r="T7842" s="11"/>
      <c r="U7842" s="11">
        <f t="shared" si="2269"/>
        <v>2.2999999999999998</v>
      </c>
      <c r="W7842">
        <v>2.5</v>
      </c>
      <c r="X7842" s="1" t="s">
        <v>36</v>
      </c>
    </row>
    <row r="7843" spans="1:24" x14ac:dyDescent="0.25">
      <c r="A7843" s="1" t="str">
        <f t="shared" si="2270"/>
        <v>卡卡杜-凤凰仓</v>
      </c>
      <c r="B7843" s="1" t="str">
        <f>"CK202410118199"</f>
        <v>CK202410118199</v>
      </c>
      <c r="C7843" s="1" t="str">
        <f>"DD2024101116753"</f>
        <v>DD2024101116753</v>
      </c>
      <c r="D7843" s="1" t="str">
        <f>"CK2024101117442"</f>
        <v>CK2024101117442</v>
      </c>
      <c r="E7843" s="1" t="str">
        <f>"6934845394234906332"</f>
        <v>6934845394234906332</v>
      </c>
      <c r="F7843" s="1" t="str">
        <f t="shared" si="2271"/>
        <v>花都四部-凤凰仓</v>
      </c>
      <c r="G7843" s="1" t="str">
        <f t="shared" si="2275"/>
        <v>卡卡杜个人护理店（抖店）</v>
      </c>
      <c r="H7843" s="1" t="str">
        <f t="shared" si="2272"/>
        <v>正常订单</v>
      </c>
      <c r="I7843" s="1" t="str">
        <f t="shared" si="2273"/>
        <v>已发货</v>
      </c>
      <c r="J7843" s="1" t="str">
        <f t="shared" si="2277"/>
        <v>5</v>
      </c>
      <c r="K7843" s="1">
        <v>3</v>
      </c>
      <c r="L7843" s="1" t="s">
        <v>22</v>
      </c>
      <c r="M7843" s="1" t="str">
        <f>"江西省 上饶市 玉山县 冰溪街道"</f>
        <v>江西省 上饶市 玉山县 冰溪街道</v>
      </c>
      <c r="N7843" s="1" t="str">
        <f t="shared" si="2278"/>
        <v>凡华云仓-韵达-抖音</v>
      </c>
      <c r="O7843" s="5">
        <v>320166065463848</v>
      </c>
      <c r="P7843" s="6">
        <v>0.47</v>
      </c>
      <c r="Q7843" s="11">
        <v>2.2999999999999998</v>
      </c>
      <c r="R7843" s="11"/>
      <c r="S7843" s="11"/>
      <c r="T7843" s="11"/>
      <c r="U7843" s="11">
        <f t="shared" si="2269"/>
        <v>2.2999999999999998</v>
      </c>
      <c r="W7843">
        <v>2.5</v>
      </c>
      <c r="X7843" s="1" t="s">
        <v>22</v>
      </c>
    </row>
    <row r="7844" spans="1:24" x14ac:dyDescent="0.25">
      <c r="A7844" s="1" t="str">
        <f t="shared" si="2270"/>
        <v>卡卡杜-凤凰仓</v>
      </c>
      <c r="B7844" s="1" t="str">
        <f>"CK202410118188"</f>
        <v>CK202410118188</v>
      </c>
      <c r="C7844" s="1" t="str">
        <f>"DD2024101116740"</f>
        <v>DD2024101116740</v>
      </c>
      <c r="D7844" s="1" t="str">
        <f>"CK2024101117441"</f>
        <v>CK2024101117441</v>
      </c>
      <c r="E7844" s="1" t="str">
        <f>"6934840984001386142"</f>
        <v>6934840984001386142</v>
      </c>
      <c r="F7844" s="1" t="str">
        <f t="shared" si="2271"/>
        <v>花都四部-凤凰仓</v>
      </c>
      <c r="G7844" s="1" t="str">
        <f t="shared" si="2275"/>
        <v>卡卡杜个人护理店（抖店）</v>
      </c>
      <c r="H7844" s="1" t="str">
        <f t="shared" si="2272"/>
        <v>正常订单</v>
      </c>
      <c r="I7844" s="1" t="str">
        <f t="shared" si="2273"/>
        <v>已发货</v>
      </c>
      <c r="J7844" s="1" t="str">
        <f t="shared" si="2277"/>
        <v>5</v>
      </c>
      <c r="K7844" s="1">
        <v>3</v>
      </c>
      <c r="L7844" s="1" t="s">
        <v>92</v>
      </c>
      <c r="M7844" s="1" t="str">
        <f>"辽宁省 沈阳市 辽中区 蒲东街道"</f>
        <v>辽宁省 沈阳市 辽中区 蒲东街道</v>
      </c>
      <c r="N7844" s="1" t="str">
        <f t="shared" si="2278"/>
        <v>凡华云仓-韵达-抖音</v>
      </c>
      <c r="O7844" s="5">
        <v>320166065463745</v>
      </c>
      <c r="P7844" s="6">
        <v>0.47</v>
      </c>
      <c r="Q7844" s="11">
        <v>2.2999999999999998</v>
      </c>
      <c r="R7844" s="11"/>
      <c r="S7844" s="11"/>
      <c r="T7844" s="11"/>
      <c r="U7844" s="11">
        <f t="shared" si="2269"/>
        <v>2.2999999999999998</v>
      </c>
      <c r="W7844">
        <v>2.5</v>
      </c>
      <c r="X7844" s="1" t="s">
        <v>92</v>
      </c>
    </row>
    <row r="7845" spans="1:24" x14ac:dyDescent="0.25">
      <c r="A7845" s="1" t="str">
        <f t="shared" si="2270"/>
        <v>卡卡杜-凤凰仓</v>
      </c>
      <c r="B7845" s="1" t="str">
        <f>"CK202410118189"</f>
        <v>CK202410118189</v>
      </c>
      <c r="C7845" s="1" t="str">
        <f>"DD2024101116743"</f>
        <v>DD2024101116743</v>
      </c>
      <c r="D7845" s="1" t="str">
        <f>"CK2024101117440"</f>
        <v>CK2024101117440</v>
      </c>
      <c r="E7845" s="1" t="str">
        <f>"6934824816751350948"</f>
        <v>6934824816751350948</v>
      </c>
      <c r="F7845" s="1" t="str">
        <f t="shared" si="2271"/>
        <v>花都四部-凤凰仓</v>
      </c>
      <c r="G7845" s="1" t="str">
        <f t="shared" si="2275"/>
        <v>卡卡杜个人护理店（抖店）</v>
      </c>
      <c r="H7845" s="1" t="str">
        <f t="shared" si="2272"/>
        <v>正常订单</v>
      </c>
      <c r="I7845" s="1" t="str">
        <f t="shared" si="2273"/>
        <v>已发货</v>
      </c>
      <c r="J7845" s="1" t="str">
        <f t="shared" si="2277"/>
        <v>5</v>
      </c>
      <c r="K7845" s="1">
        <v>3</v>
      </c>
      <c r="L7845" s="1" t="s">
        <v>66</v>
      </c>
      <c r="M7845" s="1" t="str">
        <f>"内蒙古自治区 阿拉善盟 阿拉善左旗 巴彦浩特镇"</f>
        <v>内蒙古自治区 阿拉善盟 阿拉善左旗 巴彦浩特镇</v>
      </c>
      <c r="N7845" s="1" t="str">
        <f t="shared" si="2278"/>
        <v>凡华云仓-韵达-抖音</v>
      </c>
      <c r="O7845" s="5">
        <v>320166065463644</v>
      </c>
      <c r="P7845" s="6">
        <v>0.47</v>
      </c>
      <c r="Q7845" s="11">
        <v>2.2999999999999998</v>
      </c>
      <c r="R7845" s="11"/>
      <c r="S7845" s="11"/>
      <c r="T7845" s="11"/>
      <c r="U7845" s="11">
        <f t="shared" si="2269"/>
        <v>2.2999999999999998</v>
      </c>
      <c r="W7845">
        <v>2.5</v>
      </c>
      <c r="X7845" s="1" t="s">
        <v>66</v>
      </c>
    </row>
    <row r="7846" spans="1:24" x14ac:dyDescent="0.25">
      <c r="A7846" s="1" t="str">
        <f t="shared" si="2270"/>
        <v>卡卡杜-凤凰仓</v>
      </c>
      <c r="B7846" s="1" t="str">
        <f>"CK202410116082"</f>
        <v>CK202410116082</v>
      </c>
      <c r="C7846" s="1" t="str">
        <f>"DD2024101114591"</f>
        <v>DD2024101114591</v>
      </c>
      <c r="D7846" s="1" t="str">
        <f>"CK2024101117439"</f>
        <v>CK2024101117439</v>
      </c>
      <c r="E7846" s="1" t="str">
        <f>"6934851841353914000"</f>
        <v>6934851841353914000</v>
      </c>
      <c r="F7846" s="1" t="str">
        <f t="shared" si="2271"/>
        <v>花都四部-凤凰仓</v>
      </c>
      <c r="G7846" s="1" t="str">
        <f t="shared" si="2275"/>
        <v>卡卡杜个人护理店（抖店）</v>
      </c>
      <c r="H7846" s="1" t="str">
        <f t="shared" si="2272"/>
        <v>正常订单</v>
      </c>
      <c r="I7846" s="1" t="str">
        <f t="shared" si="2273"/>
        <v>已发货</v>
      </c>
      <c r="J7846" s="1" t="str">
        <f t="shared" si="2277"/>
        <v>5</v>
      </c>
      <c r="K7846" s="1">
        <v>3</v>
      </c>
      <c r="L7846" s="1" t="s">
        <v>74</v>
      </c>
      <c r="M7846" s="1" t="str">
        <f>"上海 上海市 奉贤区 奉城镇"</f>
        <v>上海 上海市 奉贤区 奉城镇</v>
      </c>
      <c r="N7846" s="1" t="str">
        <f t="shared" si="2278"/>
        <v>凡华云仓-韵达-抖音</v>
      </c>
      <c r="O7846" s="5">
        <v>320166065463545</v>
      </c>
      <c r="P7846" s="6">
        <v>0.47</v>
      </c>
      <c r="Q7846" s="11">
        <v>2.2999999999999998</v>
      </c>
      <c r="R7846" s="11"/>
      <c r="S7846" s="11"/>
      <c r="T7846" s="11"/>
      <c r="U7846" s="11">
        <f t="shared" si="2269"/>
        <v>2.2999999999999998</v>
      </c>
      <c r="W7846">
        <v>2.5</v>
      </c>
      <c r="X7846" s="1" t="s">
        <v>74</v>
      </c>
    </row>
    <row r="7847" spans="1:24" x14ac:dyDescent="0.25">
      <c r="A7847" s="1" t="str">
        <f t="shared" si="2270"/>
        <v>卡卡杜-凤凰仓</v>
      </c>
      <c r="B7847" s="1" t="str">
        <f>"CK202410118201"</f>
        <v>CK202410118201</v>
      </c>
      <c r="C7847" s="1" t="str">
        <f>"DD2024101116755"</f>
        <v>DD2024101116755</v>
      </c>
      <c r="D7847" s="1" t="str">
        <f>"CK2024101117438"</f>
        <v>CK2024101117438</v>
      </c>
      <c r="E7847" s="1" t="str">
        <f>"6934845528918922288"</f>
        <v>6934845528918922288</v>
      </c>
      <c r="F7847" s="1" t="str">
        <f t="shared" si="2271"/>
        <v>花都四部-凤凰仓</v>
      </c>
      <c r="G7847" s="1" t="str">
        <f t="shared" si="2275"/>
        <v>卡卡杜个人护理店（抖店）</v>
      </c>
      <c r="H7847" s="1" t="str">
        <f t="shared" si="2272"/>
        <v>正常订单</v>
      </c>
      <c r="I7847" s="1" t="str">
        <f t="shared" si="2273"/>
        <v>已发货</v>
      </c>
      <c r="J7847" s="1" t="str">
        <f t="shared" si="2277"/>
        <v>5</v>
      </c>
      <c r="K7847" s="1">
        <v>3</v>
      </c>
      <c r="L7847" s="1" t="s">
        <v>18</v>
      </c>
      <c r="M7847" s="1" t="str">
        <f>"广东省 深圳市 南山区 南头街道"</f>
        <v>广东省 深圳市 南山区 南头街道</v>
      </c>
      <c r="N7847" s="1" t="str">
        <f t="shared" si="2278"/>
        <v>凡华云仓-韵达-抖音</v>
      </c>
      <c r="O7847" s="5">
        <v>320166065463448</v>
      </c>
      <c r="P7847" s="6">
        <v>0.47</v>
      </c>
      <c r="Q7847" s="11">
        <v>2.2999999999999998</v>
      </c>
      <c r="R7847" s="11"/>
      <c r="S7847" s="11"/>
      <c r="T7847" s="11"/>
      <c r="U7847" s="11">
        <f t="shared" si="2269"/>
        <v>2.2999999999999998</v>
      </c>
      <c r="W7847">
        <v>2.5</v>
      </c>
      <c r="X7847" s="1" t="s">
        <v>18</v>
      </c>
    </row>
    <row r="7848" spans="1:24" x14ac:dyDescent="0.25">
      <c r="A7848" s="1" t="str">
        <f t="shared" si="2270"/>
        <v>卡卡杜-凤凰仓</v>
      </c>
      <c r="B7848" s="1" t="str">
        <f>"CK202410118202"</f>
        <v>CK202410118202</v>
      </c>
      <c r="C7848" s="1" t="str">
        <f>"DD2024101116756"</f>
        <v>DD2024101116756</v>
      </c>
      <c r="D7848" s="1" t="str">
        <f>"CK2024101117437"</f>
        <v>CK2024101117437</v>
      </c>
      <c r="E7848" s="1" t="str">
        <f>"6934829594943362665"</f>
        <v>6934829594943362665</v>
      </c>
      <c r="F7848" s="1" t="str">
        <f t="shared" si="2271"/>
        <v>花都四部-凤凰仓</v>
      </c>
      <c r="G7848" s="1" t="str">
        <f t="shared" si="2275"/>
        <v>卡卡杜个人护理店（抖店）</v>
      </c>
      <c r="H7848" s="1" t="str">
        <f t="shared" si="2272"/>
        <v>正常订单</v>
      </c>
      <c r="I7848" s="1" t="str">
        <f t="shared" si="2273"/>
        <v>已发货</v>
      </c>
      <c r="J7848" s="1" t="str">
        <f t="shared" si="2277"/>
        <v>5</v>
      </c>
      <c r="K7848" s="1">
        <v>3</v>
      </c>
      <c r="L7848" s="1" t="s">
        <v>16</v>
      </c>
      <c r="M7848" s="1" t="str">
        <f>"河北省 廊坊市 霸州市 裕华街道"</f>
        <v>河北省 廊坊市 霸州市 裕华街道</v>
      </c>
      <c r="N7848" s="1" t="str">
        <f t="shared" si="2278"/>
        <v>凡华云仓-韵达-抖音</v>
      </c>
      <c r="O7848" s="5">
        <v>320166065463353</v>
      </c>
      <c r="P7848" s="6">
        <v>0.47</v>
      </c>
      <c r="Q7848" s="11">
        <v>2.2999999999999998</v>
      </c>
      <c r="R7848" s="11"/>
      <c r="S7848" s="11"/>
      <c r="T7848" s="11"/>
      <c r="U7848" s="11">
        <f t="shared" si="2269"/>
        <v>2.2999999999999998</v>
      </c>
      <c r="W7848">
        <v>2.5</v>
      </c>
      <c r="X7848" s="1" t="s">
        <v>16</v>
      </c>
    </row>
    <row r="7849" spans="1:24" x14ac:dyDescent="0.25">
      <c r="A7849" s="1" t="str">
        <f t="shared" si="2270"/>
        <v>卡卡杜-凤凰仓</v>
      </c>
      <c r="B7849" s="1" t="str">
        <f>"CK202410116094"</f>
        <v>CK202410116094</v>
      </c>
      <c r="C7849" s="1" t="str">
        <f>"DD2024101114604"</f>
        <v>DD2024101114604</v>
      </c>
      <c r="D7849" s="1" t="str">
        <f>"CK2024101117436"</f>
        <v>CK2024101117436</v>
      </c>
      <c r="E7849" s="1" t="str">
        <f>"6934853797338027608"</f>
        <v>6934853797338027608</v>
      </c>
      <c r="F7849" s="1" t="str">
        <f t="shared" si="2271"/>
        <v>花都四部-凤凰仓</v>
      </c>
      <c r="G7849" s="1" t="str">
        <f t="shared" si="2275"/>
        <v>卡卡杜个人护理店（抖店）</v>
      </c>
      <c r="H7849" s="1" t="str">
        <f t="shared" si="2272"/>
        <v>正常订单</v>
      </c>
      <c r="I7849" s="1" t="str">
        <f t="shared" si="2273"/>
        <v>已发货</v>
      </c>
      <c r="J7849" s="1" t="str">
        <f t="shared" si="2277"/>
        <v>5</v>
      </c>
      <c r="K7849" s="1">
        <v>3</v>
      </c>
      <c r="L7849" s="1" t="s">
        <v>13</v>
      </c>
      <c r="M7849" s="1" t="str">
        <f>"江苏省 南通市 海门区 "</f>
        <v xml:space="preserve">江苏省 南通市 海门区 </v>
      </c>
      <c r="N7849" s="1" t="str">
        <f>"凡华云仓-竹料中通-抖音"</f>
        <v>凡华云仓-竹料中通-抖音</v>
      </c>
      <c r="O7849" s="5">
        <v>76430133301294</v>
      </c>
      <c r="P7849" s="6">
        <v>0.47</v>
      </c>
      <c r="Q7849" s="11">
        <v>2.6</v>
      </c>
      <c r="R7849" s="11"/>
      <c r="S7849" s="11"/>
      <c r="T7849" s="11"/>
      <c r="U7849" s="11">
        <f t="shared" si="2269"/>
        <v>2.6</v>
      </c>
      <c r="W7849">
        <v>2.6</v>
      </c>
      <c r="X7849" s="1" t="s">
        <v>13</v>
      </c>
    </row>
    <row r="7850" spans="1:24" x14ac:dyDescent="0.25">
      <c r="A7850" s="1" t="str">
        <f t="shared" si="2270"/>
        <v>卡卡杜-凤凰仓</v>
      </c>
      <c r="B7850" s="1" t="str">
        <f>"CK202410116080"</f>
        <v>CK202410116080</v>
      </c>
      <c r="C7850" s="1" t="str">
        <f>"DD2024101114589"</f>
        <v>DD2024101114589</v>
      </c>
      <c r="D7850" s="1" t="str">
        <f>"CK2024101117435"</f>
        <v>CK2024101117435</v>
      </c>
      <c r="E7850" s="1" t="str">
        <f>"6934838472572409650"</f>
        <v>6934838472572409650</v>
      </c>
      <c r="F7850" s="1" t="str">
        <f t="shared" si="2271"/>
        <v>花都四部-凤凰仓</v>
      </c>
      <c r="G7850" s="1" t="str">
        <f t="shared" si="2275"/>
        <v>卡卡杜个人护理店（抖店）</v>
      </c>
      <c r="H7850" s="1" t="str">
        <f t="shared" si="2272"/>
        <v>正常订单</v>
      </c>
      <c r="I7850" s="1" t="str">
        <f t="shared" si="2273"/>
        <v>已发货</v>
      </c>
      <c r="J7850" s="1" t="str">
        <f t="shared" si="2277"/>
        <v>5</v>
      </c>
      <c r="K7850" s="1">
        <v>3</v>
      </c>
      <c r="L7850" s="1" t="s">
        <v>13</v>
      </c>
      <c r="M7850" s="1" t="str">
        <f>"江苏省 无锡市 惠山区 洛社镇"</f>
        <v>江苏省 无锡市 惠山区 洛社镇</v>
      </c>
      <c r="N7850" s="1" t="str">
        <f t="shared" ref="N7850:N7913" si="2279">"凡华云仓-韵达-抖音"</f>
        <v>凡华云仓-韵达-抖音</v>
      </c>
      <c r="O7850" s="5">
        <v>320166065463260</v>
      </c>
      <c r="P7850" s="6">
        <v>0.47</v>
      </c>
      <c r="Q7850" s="11">
        <v>2.2999999999999998</v>
      </c>
      <c r="R7850" s="11"/>
      <c r="S7850" s="11"/>
      <c r="T7850" s="11"/>
      <c r="U7850" s="11">
        <f t="shared" si="2269"/>
        <v>2.2999999999999998</v>
      </c>
      <c r="W7850">
        <v>2.5</v>
      </c>
      <c r="X7850" s="1" t="s">
        <v>13</v>
      </c>
    </row>
    <row r="7851" spans="1:24" x14ac:dyDescent="0.25">
      <c r="A7851" s="1" t="str">
        <f t="shared" si="2270"/>
        <v>卡卡杜-凤凰仓</v>
      </c>
      <c r="B7851" s="1" t="str">
        <f>"CK202410116096"</f>
        <v>CK202410116096</v>
      </c>
      <c r="C7851" s="1" t="str">
        <f>"DD2024101114605"</f>
        <v>DD2024101114605</v>
      </c>
      <c r="D7851" s="1" t="str">
        <f>"CK2024101117434"</f>
        <v>CK2024101117434</v>
      </c>
      <c r="E7851" s="1" t="str">
        <f>"6934838505921058184"</f>
        <v>6934838505921058184</v>
      </c>
      <c r="F7851" s="1" t="str">
        <f t="shared" si="2271"/>
        <v>花都四部-凤凰仓</v>
      </c>
      <c r="G7851" s="1" t="str">
        <f t="shared" si="2275"/>
        <v>卡卡杜个人护理店（抖店）</v>
      </c>
      <c r="H7851" s="1" t="str">
        <f t="shared" si="2272"/>
        <v>正常订单</v>
      </c>
      <c r="I7851" s="1" t="str">
        <f t="shared" si="2273"/>
        <v>已发货</v>
      </c>
      <c r="J7851" s="1" t="str">
        <f t="shared" si="2277"/>
        <v>5</v>
      </c>
      <c r="K7851" s="1">
        <v>3</v>
      </c>
      <c r="L7851" s="1" t="s">
        <v>13</v>
      </c>
      <c r="M7851" s="1" t="str">
        <f>"江苏省 苏州市 吴江区 黎里镇"</f>
        <v>江苏省 苏州市 吴江区 黎里镇</v>
      </c>
      <c r="N7851" s="1" t="str">
        <f t="shared" si="2279"/>
        <v>凡华云仓-韵达-抖音</v>
      </c>
      <c r="O7851" s="5">
        <v>320166065463169</v>
      </c>
      <c r="P7851" s="6">
        <v>0.47</v>
      </c>
      <c r="Q7851" s="11">
        <v>2.2999999999999998</v>
      </c>
      <c r="R7851" s="11"/>
      <c r="S7851" s="11"/>
      <c r="T7851" s="11"/>
      <c r="U7851" s="11">
        <f t="shared" si="2269"/>
        <v>2.2999999999999998</v>
      </c>
      <c r="W7851">
        <v>2.5</v>
      </c>
      <c r="X7851" s="1" t="s">
        <v>13</v>
      </c>
    </row>
    <row r="7852" spans="1:24" x14ac:dyDescent="0.25">
      <c r="A7852" s="1" t="str">
        <f t="shared" si="2270"/>
        <v>卡卡杜-凤凰仓</v>
      </c>
      <c r="B7852" s="1" t="str">
        <f>"CK202410116095"</f>
        <v>CK202410116095</v>
      </c>
      <c r="C7852" s="1" t="str">
        <f>"DD2024101114603"</f>
        <v>DD2024101114603</v>
      </c>
      <c r="D7852" s="1" t="str">
        <f>"CK2024101117433"</f>
        <v>CK2024101117433</v>
      </c>
      <c r="E7852" s="1" t="str">
        <f>"6934853819268339308"</f>
        <v>6934853819268339308</v>
      </c>
      <c r="F7852" s="1" t="str">
        <f t="shared" si="2271"/>
        <v>花都四部-凤凰仓</v>
      </c>
      <c r="G7852" s="1" t="str">
        <f t="shared" si="2275"/>
        <v>卡卡杜个人护理店（抖店）</v>
      </c>
      <c r="H7852" s="1" t="str">
        <f t="shared" si="2272"/>
        <v>正常订单</v>
      </c>
      <c r="I7852" s="1" t="str">
        <f t="shared" si="2273"/>
        <v>已发货</v>
      </c>
      <c r="J7852" s="1" t="str">
        <f t="shared" si="2277"/>
        <v>5</v>
      </c>
      <c r="K7852" s="1">
        <v>3</v>
      </c>
      <c r="L7852" s="1" t="s">
        <v>92</v>
      </c>
      <c r="M7852" s="1" t="str">
        <f>"辽宁省 朝阳市 北票市 黑城子镇"</f>
        <v>辽宁省 朝阳市 北票市 黑城子镇</v>
      </c>
      <c r="N7852" s="1" t="str">
        <f t="shared" si="2279"/>
        <v>凡华云仓-韵达-抖音</v>
      </c>
      <c r="O7852" s="5">
        <v>320166083382288</v>
      </c>
      <c r="P7852" s="6">
        <v>0.47</v>
      </c>
      <c r="Q7852" s="11">
        <v>2.2999999999999998</v>
      </c>
      <c r="R7852" s="11"/>
      <c r="S7852" s="11"/>
      <c r="T7852" s="11"/>
      <c r="U7852" s="11">
        <f t="shared" si="2269"/>
        <v>2.2999999999999998</v>
      </c>
      <c r="W7852">
        <v>2.5</v>
      </c>
      <c r="X7852" s="1" t="s">
        <v>92</v>
      </c>
    </row>
    <row r="7853" spans="1:24" x14ac:dyDescent="0.25">
      <c r="A7853" s="1" t="str">
        <f t="shared" si="2270"/>
        <v>卡卡杜-凤凰仓</v>
      </c>
      <c r="B7853" s="1" t="str">
        <f>"CK202410116078"</f>
        <v>CK202410116078</v>
      </c>
      <c r="C7853" s="1" t="str">
        <f>"DD2024101114588"</f>
        <v>DD2024101114588</v>
      </c>
      <c r="D7853" s="1" t="str">
        <f>"CK2024101117432"</f>
        <v>CK2024101117432</v>
      </c>
      <c r="E7853" s="1" t="str">
        <f>"6934853802889844302"</f>
        <v>6934853802889844302</v>
      </c>
      <c r="F7853" s="1" t="str">
        <f t="shared" si="2271"/>
        <v>花都四部-凤凰仓</v>
      </c>
      <c r="G7853" s="1" t="str">
        <f t="shared" si="2275"/>
        <v>卡卡杜个人护理店（抖店）</v>
      </c>
      <c r="H7853" s="1" t="str">
        <f t="shared" si="2272"/>
        <v>正常订单</v>
      </c>
      <c r="I7853" s="1" t="str">
        <f t="shared" si="2273"/>
        <v>已发货</v>
      </c>
      <c r="J7853" s="1" t="str">
        <f t="shared" si="2277"/>
        <v>5</v>
      </c>
      <c r="K7853" s="1">
        <v>3</v>
      </c>
      <c r="L7853" s="1" t="s">
        <v>13</v>
      </c>
      <c r="M7853" s="1" t="str">
        <f>"江苏省 连云港市 连云区 墟沟街道"</f>
        <v>江苏省 连云港市 连云区 墟沟街道</v>
      </c>
      <c r="N7853" s="1" t="str">
        <f t="shared" si="2279"/>
        <v>凡华云仓-韵达-抖音</v>
      </c>
      <c r="O7853" s="5">
        <v>320166083382197</v>
      </c>
      <c r="P7853" s="6">
        <v>0.47</v>
      </c>
      <c r="Q7853" s="11">
        <v>2.2999999999999998</v>
      </c>
      <c r="R7853" s="11"/>
      <c r="S7853" s="11"/>
      <c r="T7853" s="11"/>
      <c r="U7853" s="11">
        <f t="shared" si="2269"/>
        <v>2.2999999999999998</v>
      </c>
      <c r="W7853">
        <v>2.5</v>
      </c>
      <c r="X7853" s="1" t="s">
        <v>13</v>
      </c>
    </row>
    <row r="7854" spans="1:24" x14ac:dyDescent="0.25">
      <c r="A7854" s="1" t="str">
        <f t="shared" si="2270"/>
        <v>卡卡杜-凤凰仓</v>
      </c>
      <c r="B7854" s="1" t="str">
        <f>"CK202410118176"</f>
        <v>CK202410118176</v>
      </c>
      <c r="C7854" s="1" t="str">
        <f>"DD2024101116730"</f>
        <v>DD2024101116730</v>
      </c>
      <c r="D7854" s="1" t="str">
        <f>"CK2024101117431"</f>
        <v>CK2024101117431</v>
      </c>
      <c r="E7854" s="1" t="str">
        <f>"6934824730008032415"</f>
        <v>6934824730008032415</v>
      </c>
      <c r="F7854" s="1" t="str">
        <f t="shared" si="2271"/>
        <v>花都四部-凤凰仓</v>
      </c>
      <c r="G7854" s="1" t="str">
        <f t="shared" si="2275"/>
        <v>卡卡杜个人护理店（抖店）</v>
      </c>
      <c r="H7854" s="1" t="str">
        <f t="shared" si="2272"/>
        <v>正常订单</v>
      </c>
      <c r="I7854" s="1" t="str">
        <f t="shared" si="2273"/>
        <v>已发货</v>
      </c>
      <c r="J7854" s="1" t="str">
        <f t="shared" si="2277"/>
        <v>5</v>
      </c>
      <c r="K7854" s="1">
        <v>3</v>
      </c>
      <c r="L7854" s="1" t="s">
        <v>24</v>
      </c>
      <c r="M7854" s="1" t="str">
        <f>"福建省 厦门市 湖里区 殿前街道"</f>
        <v>福建省 厦门市 湖里区 殿前街道</v>
      </c>
      <c r="N7854" s="1" t="str">
        <f t="shared" si="2279"/>
        <v>凡华云仓-韵达-抖音</v>
      </c>
      <c r="O7854" s="5">
        <v>320166083382008</v>
      </c>
      <c r="P7854" s="6">
        <v>0.47</v>
      </c>
      <c r="Q7854" s="11">
        <v>2.2999999999999998</v>
      </c>
      <c r="R7854" s="11"/>
      <c r="S7854" s="11"/>
      <c r="T7854" s="11"/>
      <c r="U7854" s="11">
        <f t="shared" si="2269"/>
        <v>2.2999999999999998</v>
      </c>
      <c r="W7854">
        <v>2.5</v>
      </c>
      <c r="X7854" s="1" t="s">
        <v>24</v>
      </c>
    </row>
    <row r="7855" spans="1:24" x14ac:dyDescent="0.25">
      <c r="A7855" s="1" t="str">
        <f t="shared" si="2270"/>
        <v>卡卡杜-凤凰仓</v>
      </c>
      <c r="B7855" s="1" t="str">
        <f>"CK202410116068"</f>
        <v>CK202410116068</v>
      </c>
      <c r="C7855" s="1" t="str">
        <f>"DD2024101114578"</f>
        <v>DD2024101114578</v>
      </c>
      <c r="D7855" s="1" t="str">
        <f>"CK2024101117430"</f>
        <v>CK2024101117430</v>
      </c>
      <c r="E7855" s="1" t="str">
        <f>"6934829558604174713"</f>
        <v>6934829558604174713</v>
      </c>
      <c r="F7855" s="1" t="str">
        <f t="shared" si="2271"/>
        <v>花都四部-凤凰仓</v>
      </c>
      <c r="G7855" s="1" t="str">
        <f t="shared" si="2275"/>
        <v>卡卡杜个人护理店（抖店）</v>
      </c>
      <c r="H7855" s="1" t="str">
        <f t="shared" si="2272"/>
        <v>正常订单</v>
      </c>
      <c r="I7855" s="1" t="str">
        <f t="shared" si="2273"/>
        <v>已发货</v>
      </c>
      <c r="J7855" s="1" t="str">
        <f t="shared" si="2277"/>
        <v>5</v>
      </c>
      <c r="K7855" s="1">
        <v>3</v>
      </c>
      <c r="L7855" s="1" t="s">
        <v>20</v>
      </c>
      <c r="M7855" s="1" t="str">
        <f>"浙江省 杭州市 临平区 南苑街道"</f>
        <v>浙江省 杭州市 临平区 南苑街道</v>
      </c>
      <c r="N7855" s="1" t="str">
        <f t="shared" si="2279"/>
        <v>凡华云仓-韵达-抖音</v>
      </c>
      <c r="O7855" s="5">
        <v>320166083381990</v>
      </c>
      <c r="P7855" s="6">
        <v>0.47</v>
      </c>
      <c r="Q7855" s="11">
        <v>2.2999999999999998</v>
      </c>
      <c r="R7855" s="11"/>
      <c r="S7855" s="11"/>
      <c r="T7855" s="11"/>
      <c r="U7855" s="11">
        <f t="shared" si="2269"/>
        <v>2.2999999999999998</v>
      </c>
      <c r="W7855">
        <v>2.5</v>
      </c>
      <c r="X7855" s="1" t="s">
        <v>20</v>
      </c>
    </row>
    <row r="7856" spans="1:24" x14ac:dyDescent="0.25">
      <c r="A7856" s="1" t="str">
        <f t="shared" si="2270"/>
        <v>卡卡杜-凤凰仓</v>
      </c>
      <c r="B7856" s="1" t="str">
        <f>"CK202410116077"</f>
        <v>CK202410116077</v>
      </c>
      <c r="C7856" s="1" t="str">
        <f>"DD2024101114586"</f>
        <v>DD2024101114586</v>
      </c>
      <c r="D7856" s="1" t="str">
        <f>"CK2024101117429"</f>
        <v>CK2024101117429</v>
      </c>
      <c r="E7856" s="1" t="str">
        <f>"6934845570530547120"</f>
        <v>6934845570530547120</v>
      </c>
      <c r="F7856" s="1" t="str">
        <f t="shared" si="2271"/>
        <v>花都四部-凤凰仓</v>
      </c>
      <c r="G7856" s="1" t="str">
        <f t="shared" si="2275"/>
        <v>卡卡杜个人护理店（抖店）</v>
      </c>
      <c r="H7856" s="1" t="str">
        <f t="shared" si="2272"/>
        <v>正常订单</v>
      </c>
      <c r="I7856" s="1" t="str">
        <f t="shared" si="2273"/>
        <v>已发货</v>
      </c>
      <c r="J7856" s="1" t="str">
        <f t="shared" si="2277"/>
        <v>5</v>
      </c>
      <c r="K7856" s="1">
        <v>3</v>
      </c>
      <c r="L7856" s="1" t="s">
        <v>54</v>
      </c>
      <c r="M7856" s="1" t="str">
        <f>"黑龙江省 牡丹江市 绥芬河市 绥芬河镇"</f>
        <v>黑龙江省 牡丹江市 绥芬河市 绥芬河镇</v>
      </c>
      <c r="N7856" s="1" t="str">
        <f t="shared" si="2279"/>
        <v>凡华云仓-韵达-抖音</v>
      </c>
      <c r="O7856" s="5">
        <v>320166083381885</v>
      </c>
      <c r="P7856" s="6">
        <v>0.47</v>
      </c>
      <c r="Q7856" s="11">
        <v>2.2999999999999998</v>
      </c>
      <c r="R7856" s="11"/>
      <c r="S7856" s="11"/>
      <c r="T7856" s="11"/>
      <c r="U7856" s="11">
        <f t="shared" si="2269"/>
        <v>2.2999999999999998</v>
      </c>
      <c r="W7856">
        <v>2.5</v>
      </c>
      <c r="X7856" s="1" t="s">
        <v>54</v>
      </c>
    </row>
    <row r="7857" spans="1:24" x14ac:dyDescent="0.25">
      <c r="A7857" s="1" t="str">
        <f t="shared" si="2270"/>
        <v>卡卡杜-凤凰仓</v>
      </c>
      <c r="B7857" s="1" t="str">
        <f>"CK2024101110461"</f>
        <v>CK2024101110461</v>
      </c>
      <c r="C7857" s="1" t="str">
        <f>"DD2024101117050"</f>
        <v>DD2024101117050</v>
      </c>
      <c r="D7857" s="1" t="str">
        <f>"CK2024101117428"</f>
        <v>CK2024101117428</v>
      </c>
      <c r="E7857" s="1" t="str">
        <f>"6934831590181836251"</f>
        <v>6934831590181836251</v>
      </c>
      <c r="F7857" s="1" t="str">
        <f t="shared" si="2271"/>
        <v>花都四部-凤凰仓</v>
      </c>
      <c r="G7857" s="1" t="str">
        <f t="shared" si="2275"/>
        <v>卡卡杜个人护理店（抖店）</v>
      </c>
      <c r="H7857" s="1" t="str">
        <f t="shared" si="2272"/>
        <v>正常订单</v>
      </c>
      <c r="I7857" s="1" t="str">
        <f t="shared" si="2273"/>
        <v>已发货</v>
      </c>
      <c r="J7857" s="1" t="str">
        <f>"9"</f>
        <v>9</v>
      </c>
      <c r="K7857" s="1">
        <v>3</v>
      </c>
      <c r="L7857" s="1" t="s">
        <v>20</v>
      </c>
      <c r="M7857" s="1" t="str">
        <f>"浙江省 嘉兴市 南湖区 建设街道"</f>
        <v>浙江省 嘉兴市 南湖区 建设街道</v>
      </c>
      <c r="N7857" s="1" t="str">
        <f t="shared" si="2279"/>
        <v>凡华云仓-韵达-抖音</v>
      </c>
      <c r="O7857" s="5">
        <v>320166083381782</v>
      </c>
      <c r="P7857" s="6">
        <v>0.83</v>
      </c>
      <c r="Q7857" s="11">
        <f>CEILING(P7857-0.5,0.1)*10*0.15+2.3</f>
        <v>2.9</v>
      </c>
      <c r="R7857" s="11"/>
      <c r="S7857" s="11"/>
      <c r="T7857" s="11"/>
      <c r="U7857" s="11">
        <f t="shared" si="2269"/>
        <v>2.9</v>
      </c>
      <c r="V7857" t="s">
        <v>15</v>
      </c>
      <c r="W7857">
        <v>2.9</v>
      </c>
      <c r="X7857" s="1" t="s">
        <v>20</v>
      </c>
    </row>
    <row r="7858" spans="1:24" x14ac:dyDescent="0.25">
      <c r="A7858" s="1" t="str">
        <f t="shared" si="2270"/>
        <v>卡卡杜-凤凰仓</v>
      </c>
      <c r="B7858" s="1" t="str">
        <f>"CK202410118175"</f>
        <v>CK202410118175</v>
      </c>
      <c r="C7858" s="1" t="str">
        <f>"DD2024101116727"</f>
        <v>DD2024101116727</v>
      </c>
      <c r="D7858" s="1" t="str">
        <f>"CK2024101117427"</f>
        <v>CK2024101117427</v>
      </c>
      <c r="E7858" s="1" t="str">
        <f>"6934853757092762903"</f>
        <v>6934853757092762903</v>
      </c>
      <c r="F7858" s="1" t="str">
        <f t="shared" si="2271"/>
        <v>花都四部-凤凰仓</v>
      </c>
      <c r="G7858" s="1" t="str">
        <f t="shared" si="2275"/>
        <v>卡卡杜个人护理店（抖店）</v>
      </c>
      <c r="H7858" s="1" t="str">
        <f t="shared" si="2272"/>
        <v>正常订单</v>
      </c>
      <c r="I7858" s="1" t="str">
        <f t="shared" si="2273"/>
        <v>已发货</v>
      </c>
      <c r="J7858" s="1" t="str">
        <f t="shared" ref="J7858:J7915" si="2280">"5"</f>
        <v>5</v>
      </c>
      <c r="K7858" s="1">
        <v>3</v>
      </c>
      <c r="L7858" s="1" t="s">
        <v>41</v>
      </c>
      <c r="M7858" s="1" t="str">
        <f>"湖北省 武汉市 洪山区 关东街道"</f>
        <v>湖北省 武汉市 洪山区 关东街道</v>
      </c>
      <c r="N7858" s="1" t="str">
        <f t="shared" si="2279"/>
        <v>凡华云仓-韵达-抖音</v>
      </c>
      <c r="O7858" s="5">
        <v>320166083381681</v>
      </c>
      <c r="P7858" s="6">
        <v>0.47</v>
      </c>
      <c r="Q7858" s="11">
        <v>2.2999999999999998</v>
      </c>
      <c r="R7858" s="11"/>
      <c r="S7858" s="11"/>
      <c r="T7858" s="11"/>
      <c r="U7858" s="11">
        <f t="shared" si="2269"/>
        <v>2.2999999999999998</v>
      </c>
      <c r="W7858">
        <v>2.5</v>
      </c>
      <c r="X7858" s="1" t="s">
        <v>41</v>
      </c>
    </row>
    <row r="7859" spans="1:24" x14ac:dyDescent="0.25">
      <c r="A7859" s="1" t="str">
        <f t="shared" si="2270"/>
        <v>卡卡杜-凤凰仓</v>
      </c>
      <c r="B7859" s="1" t="str">
        <f>"CK202410116061"</f>
        <v>CK202410116061</v>
      </c>
      <c r="C7859" s="1" t="str">
        <f>"DD2024101114574"</f>
        <v>DD2024101114574</v>
      </c>
      <c r="D7859" s="1" t="str">
        <f>"CK2024101117426"</f>
        <v>CK2024101117426</v>
      </c>
      <c r="E7859" s="1" t="str">
        <f>"6934853799639127693"</f>
        <v>6934853799639127693</v>
      </c>
      <c r="F7859" s="1" t="str">
        <f t="shared" si="2271"/>
        <v>花都四部-凤凰仓</v>
      </c>
      <c r="G7859" s="1" t="str">
        <f t="shared" si="2275"/>
        <v>卡卡杜个人护理店（抖店）</v>
      </c>
      <c r="H7859" s="1" t="str">
        <f t="shared" si="2272"/>
        <v>正常订单</v>
      </c>
      <c r="I7859" s="1" t="str">
        <f t="shared" si="2273"/>
        <v>已发货</v>
      </c>
      <c r="J7859" s="1" t="str">
        <f t="shared" si="2280"/>
        <v>5</v>
      </c>
      <c r="K7859" s="1">
        <v>3</v>
      </c>
      <c r="L7859" s="1" t="s">
        <v>20</v>
      </c>
      <c r="M7859" s="1" t="str">
        <f>"浙江省 金华市 浦江县 仙华街道"</f>
        <v>浙江省 金华市 浦江县 仙华街道</v>
      </c>
      <c r="N7859" s="1" t="str">
        <f t="shared" si="2279"/>
        <v>凡华云仓-韵达-抖音</v>
      </c>
      <c r="O7859" s="5">
        <v>320166083381582</v>
      </c>
      <c r="P7859" s="6">
        <v>0.47</v>
      </c>
      <c r="Q7859" s="11">
        <v>2.2999999999999998</v>
      </c>
      <c r="R7859" s="11"/>
      <c r="S7859" s="11"/>
      <c r="T7859" s="11"/>
      <c r="U7859" s="11">
        <f t="shared" si="2269"/>
        <v>2.2999999999999998</v>
      </c>
      <c r="W7859">
        <v>2.5</v>
      </c>
      <c r="X7859" s="1" t="s">
        <v>20</v>
      </c>
    </row>
    <row r="7860" spans="1:24" x14ac:dyDescent="0.25">
      <c r="A7860" s="1" t="str">
        <f t="shared" si="2270"/>
        <v>卡卡杜-凤凰仓</v>
      </c>
      <c r="B7860" s="1" t="str">
        <f>"CK202410116070"</f>
        <v>CK202410116070</v>
      </c>
      <c r="C7860" s="1" t="str">
        <f>"DD2024101114579"</f>
        <v>DD2024101114579</v>
      </c>
      <c r="D7860" s="1" t="str">
        <f>"CK2024101117425"</f>
        <v>CK2024101117425</v>
      </c>
      <c r="E7860" s="1" t="str">
        <f>"6934827263816767297"</f>
        <v>6934827263816767297</v>
      </c>
      <c r="F7860" s="1" t="str">
        <f t="shared" si="2271"/>
        <v>花都四部-凤凰仓</v>
      </c>
      <c r="G7860" s="1" t="str">
        <f t="shared" si="2275"/>
        <v>卡卡杜个人护理店（抖店）</v>
      </c>
      <c r="H7860" s="1" t="str">
        <f t="shared" si="2272"/>
        <v>正常订单</v>
      </c>
      <c r="I7860" s="1" t="str">
        <f t="shared" si="2273"/>
        <v>已发货</v>
      </c>
      <c r="J7860" s="1" t="str">
        <f t="shared" si="2280"/>
        <v>5</v>
      </c>
      <c r="K7860" s="1">
        <v>3</v>
      </c>
      <c r="L7860" s="1" t="s">
        <v>20</v>
      </c>
      <c r="M7860" s="1" t="str">
        <f>"浙江省 温州市 乐清市 天成街道"</f>
        <v>浙江省 温州市 乐清市 天成街道</v>
      </c>
      <c r="N7860" s="1" t="str">
        <f t="shared" si="2279"/>
        <v>凡华云仓-韵达-抖音</v>
      </c>
      <c r="O7860" s="5">
        <v>320166083381485</v>
      </c>
      <c r="P7860" s="6">
        <v>0.47</v>
      </c>
      <c r="Q7860" s="11">
        <v>2.2999999999999998</v>
      </c>
      <c r="R7860" s="11"/>
      <c r="S7860" s="11"/>
      <c r="T7860" s="11"/>
      <c r="U7860" s="11">
        <f t="shared" si="2269"/>
        <v>2.2999999999999998</v>
      </c>
      <c r="W7860">
        <v>2.5</v>
      </c>
      <c r="X7860" s="1" t="s">
        <v>20</v>
      </c>
    </row>
    <row r="7861" spans="1:24" x14ac:dyDescent="0.25">
      <c r="A7861" s="1" t="str">
        <f t="shared" si="2270"/>
        <v>卡卡杜-凤凰仓</v>
      </c>
      <c r="B7861" s="1" t="str">
        <f>"CK202410116063"</f>
        <v>CK202410116063</v>
      </c>
      <c r="C7861" s="1" t="str">
        <f>"DD2024101114575"</f>
        <v>DD2024101114575</v>
      </c>
      <c r="D7861" s="1" t="str">
        <f>"CK2024101117424"</f>
        <v>CK2024101117424</v>
      </c>
      <c r="E7861" s="1" t="str">
        <f>"6934827294250439729"</f>
        <v>6934827294250439729</v>
      </c>
      <c r="F7861" s="1" t="str">
        <f t="shared" si="2271"/>
        <v>花都四部-凤凰仓</v>
      </c>
      <c r="G7861" s="1" t="str">
        <f t="shared" si="2275"/>
        <v>卡卡杜个人护理店（抖店）</v>
      </c>
      <c r="H7861" s="1" t="str">
        <f t="shared" si="2272"/>
        <v>正常订单</v>
      </c>
      <c r="I7861" s="1" t="str">
        <f t="shared" si="2273"/>
        <v>已发货</v>
      </c>
      <c r="J7861" s="1" t="str">
        <f t="shared" si="2280"/>
        <v>5</v>
      </c>
      <c r="K7861" s="1">
        <v>3</v>
      </c>
      <c r="L7861" s="1" t="s">
        <v>32</v>
      </c>
      <c r="M7861" s="1" t="str">
        <f>"陕西省 西安市 未央区 "</f>
        <v xml:space="preserve">陕西省 西安市 未央区 </v>
      </c>
      <c r="N7861" s="1" t="str">
        <f t="shared" si="2279"/>
        <v>凡华云仓-韵达-抖音</v>
      </c>
      <c r="O7861" s="5">
        <v>320166083381390</v>
      </c>
      <c r="P7861" s="6">
        <v>0.47</v>
      </c>
      <c r="Q7861" s="11">
        <v>2.2999999999999998</v>
      </c>
      <c r="R7861" s="11"/>
      <c r="S7861" s="11"/>
      <c r="T7861" s="11"/>
      <c r="U7861" s="11">
        <f t="shared" si="2269"/>
        <v>2.2999999999999998</v>
      </c>
      <c r="W7861">
        <v>2.5</v>
      </c>
      <c r="X7861" s="1" t="s">
        <v>32</v>
      </c>
    </row>
    <row r="7862" spans="1:24" x14ac:dyDescent="0.25">
      <c r="A7862" s="1" t="str">
        <f t="shared" si="2270"/>
        <v>卡卡杜-凤凰仓</v>
      </c>
      <c r="B7862" s="1" t="str">
        <f>"CK202410116164"</f>
        <v>CK202410116164</v>
      </c>
      <c r="C7862" s="1" t="str">
        <f>"DD2024101114674"</f>
        <v>DD2024101114674</v>
      </c>
      <c r="D7862" s="1" t="str">
        <f>"CK2024101117423"</f>
        <v>CK2024101117423</v>
      </c>
      <c r="E7862" s="1" t="str">
        <f>"6934822503814469274"</f>
        <v>6934822503814469274</v>
      </c>
      <c r="F7862" s="1" t="str">
        <f t="shared" si="2271"/>
        <v>花都四部-凤凰仓</v>
      </c>
      <c r="G7862" s="1" t="str">
        <f t="shared" si="2275"/>
        <v>卡卡杜个人护理店（抖店）</v>
      </c>
      <c r="H7862" s="1" t="str">
        <f t="shared" si="2272"/>
        <v>正常订单</v>
      </c>
      <c r="I7862" s="1" t="str">
        <f t="shared" si="2273"/>
        <v>已发货</v>
      </c>
      <c r="J7862" s="1" t="str">
        <f t="shared" si="2280"/>
        <v>5</v>
      </c>
      <c r="K7862" s="1">
        <v>3</v>
      </c>
      <c r="L7862" s="1" t="s">
        <v>30</v>
      </c>
      <c r="M7862" s="1" t="str">
        <f>"山东省 威海市 乳山市 海阳所镇"</f>
        <v>山东省 威海市 乳山市 海阳所镇</v>
      </c>
      <c r="N7862" s="1" t="str">
        <f t="shared" si="2279"/>
        <v>凡华云仓-韵达-抖音</v>
      </c>
      <c r="O7862" s="5">
        <v>320166067806475</v>
      </c>
      <c r="P7862" s="6">
        <v>0.47</v>
      </c>
      <c r="Q7862" s="11">
        <v>2.2999999999999998</v>
      </c>
      <c r="R7862" s="11"/>
      <c r="S7862" s="11"/>
      <c r="T7862" s="11"/>
      <c r="U7862" s="11">
        <f t="shared" si="2269"/>
        <v>2.2999999999999998</v>
      </c>
      <c r="W7862">
        <v>2.5</v>
      </c>
      <c r="X7862" s="1" t="s">
        <v>30</v>
      </c>
    </row>
    <row r="7863" spans="1:24" x14ac:dyDescent="0.25">
      <c r="A7863" s="1" t="str">
        <f t="shared" si="2270"/>
        <v>卡卡杜-凤凰仓</v>
      </c>
      <c r="B7863" s="1" t="str">
        <f>"CK202410116064"</f>
        <v>CK202410116064</v>
      </c>
      <c r="C7863" s="1" t="str">
        <f>"DD2024101114570"</f>
        <v>DD2024101114570</v>
      </c>
      <c r="D7863" s="1" t="str">
        <f>"CK2024101117422"</f>
        <v>CK2024101117422</v>
      </c>
      <c r="E7863" s="1" t="str">
        <f>"6934827298495796687"</f>
        <v>6934827298495796687</v>
      </c>
      <c r="F7863" s="1" t="str">
        <f t="shared" si="2271"/>
        <v>花都四部-凤凰仓</v>
      </c>
      <c r="G7863" s="1" t="str">
        <f t="shared" si="2275"/>
        <v>卡卡杜个人护理店（抖店）</v>
      </c>
      <c r="H7863" s="1" t="str">
        <f t="shared" si="2272"/>
        <v>正常订单</v>
      </c>
      <c r="I7863" s="1" t="str">
        <f t="shared" si="2273"/>
        <v>已发货</v>
      </c>
      <c r="J7863" s="1" t="str">
        <f t="shared" si="2280"/>
        <v>5</v>
      </c>
      <c r="K7863" s="1">
        <v>3</v>
      </c>
      <c r="L7863" s="1" t="s">
        <v>30</v>
      </c>
      <c r="M7863" s="1" t="str">
        <f>"山东省 青岛市 李沧区 虎山路街道"</f>
        <v>山东省 青岛市 李沧区 虎山路街道</v>
      </c>
      <c r="N7863" s="1" t="str">
        <f t="shared" si="2279"/>
        <v>凡华云仓-韵达-抖音</v>
      </c>
      <c r="O7863" s="5">
        <v>320166067806380</v>
      </c>
      <c r="P7863" s="6">
        <v>0.47</v>
      </c>
      <c r="Q7863" s="11">
        <v>2.2999999999999998</v>
      </c>
      <c r="R7863" s="11"/>
      <c r="S7863" s="11"/>
      <c r="T7863" s="11"/>
      <c r="U7863" s="11">
        <f t="shared" si="2269"/>
        <v>2.2999999999999998</v>
      </c>
      <c r="W7863">
        <v>2.5</v>
      </c>
      <c r="X7863" s="1" t="s">
        <v>30</v>
      </c>
    </row>
    <row r="7864" spans="1:24" x14ac:dyDescent="0.25">
      <c r="A7864" s="1" t="str">
        <f t="shared" si="2270"/>
        <v>卡卡杜-凤凰仓</v>
      </c>
      <c r="B7864" s="1" t="str">
        <f>"CK202410116065"</f>
        <v>CK202410116065</v>
      </c>
      <c r="C7864" s="1" t="str">
        <f>"DD2024101114573"</f>
        <v>DD2024101114573</v>
      </c>
      <c r="D7864" s="1" t="str">
        <f>"CK2024101117421"</f>
        <v>CK2024101117421</v>
      </c>
      <c r="E7864" s="1" t="str">
        <f>"6934843310210422348"</f>
        <v>6934843310210422348</v>
      </c>
      <c r="F7864" s="1" t="str">
        <f t="shared" si="2271"/>
        <v>花都四部-凤凰仓</v>
      </c>
      <c r="G7864" s="1" t="str">
        <f t="shared" si="2275"/>
        <v>卡卡杜个人护理店（抖店）</v>
      </c>
      <c r="H7864" s="1" t="str">
        <f t="shared" si="2272"/>
        <v>正常订单</v>
      </c>
      <c r="I7864" s="1" t="str">
        <f t="shared" si="2273"/>
        <v>已发货</v>
      </c>
      <c r="J7864" s="1" t="str">
        <f t="shared" si="2280"/>
        <v>5</v>
      </c>
      <c r="K7864" s="1">
        <v>3</v>
      </c>
      <c r="L7864" s="1" t="s">
        <v>18</v>
      </c>
      <c r="M7864" s="1" t="str">
        <f>"广东省 深圳市 坪山区 坪山街道"</f>
        <v>广东省 深圳市 坪山区 坪山街道</v>
      </c>
      <c r="N7864" s="1" t="str">
        <f t="shared" si="2279"/>
        <v>凡华云仓-韵达-抖音</v>
      </c>
      <c r="O7864" s="5">
        <v>320166067806287</v>
      </c>
      <c r="P7864" s="6">
        <v>0.47</v>
      </c>
      <c r="Q7864" s="11">
        <v>2.2999999999999998</v>
      </c>
      <c r="R7864" s="11"/>
      <c r="S7864" s="11"/>
      <c r="T7864" s="11"/>
      <c r="U7864" s="11">
        <f t="shared" si="2269"/>
        <v>2.2999999999999998</v>
      </c>
      <c r="W7864">
        <v>2.5</v>
      </c>
      <c r="X7864" s="1" t="s">
        <v>18</v>
      </c>
    </row>
    <row r="7865" spans="1:24" x14ac:dyDescent="0.25">
      <c r="A7865" s="1" t="str">
        <f t="shared" si="2270"/>
        <v>卡卡杜-凤凰仓</v>
      </c>
      <c r="B7865" s="1" t="str">
        <f>"CK2024101110471"</f>
        <v>CK2024101110471</v>
      </c>
      <c r="C7865" s="1" t="str">
        <f>"DD2024101117080"</f>
        <v>DD2024101117080</v>
      </c>
      <c r="D7865" s="1" t="str">
        <f>"CK2024101117420"</f>
        <v>CK2024101117420</v>
      </c>
      <c r="E7865" s="1" t="str">
        <f>"6934851712529208758"</f>
        <v>6934851712529208758</v>
      </c>
      <c r="F7865" s="1" t="str">
        <f t="shared" si="2271"/>
        <v>花都四部-凤凰仓</v>
      </c>
      <c r="G7865" s="1" t="str">
        <f t="shared" si="2275"/>
        <v>卡卡杜个人护理店（抖店）</v>
      </c>
      <c r="H7865" s="1" t="str">
        <f t="shared" si="2272"/>
        <v>正常订单</v>
      </c>
      <c r="I7865" s="1" t="str">
        <f t="shared" si="2273"/>
        <v>已发货</v>
      </c>
      <c r="J7865" s="1" t="str">
        <f t="shared" si="2280"/>
        <v>5</v>
      </c>
      <c r="K7865" s="1">
        <v>3</v>
      </c>
      <c r="L7865" s="1" t="s">
        <v>74</v>
      </c>
      <c r="M7865" s="1" t="str">
        <f>"上海 上海市 奉贤区 奉城镇"</f>
        <v>上海 上海市 奉贤区 奉城镇</v>
      </c>
      <c r="N7865" s="1" t="str">
        <f t="shared" si="2279"/>
        <v>凡华云仓-韵达-抖音</v>
      </c>
      <c r="O7865" s="5">
        <v>320166067806196</v>
      </c>
      <c r="P7865" s="6">
        <v>0.47</v>
      </c>
      <c r="Q7865" s="11">
        <v>2.2999999999999998</v>
      </c>
      <c r="R7865" s="11"/>
      <c r="S7865" s="11"/>
      <c r="T7865" s="11"/>
      <c r="U7865" s="11">
        <f t="shared" si="2269"/>
        <v>2.2999999999999998</v>
      </c>
      <c r="W7865">
        <v>2.5</v>
      </c>
      <c r="X7865" s="1" t="s">
        <v>74</v>
      </c>
    </row>
    <row r="7866" spans="1:24" x14ac:dyDescent="0.25">
      <c r="A7866" s="1" t="str">
        <f t="shared" si="2270"/>
        <v>卡卡杜-凤凰仓</v>
      </c>
      <c r="B7866" s="1" t="str">
        <f>"CK2024101110470"</f>
        <v>CK2024101110470</v>
      </c>
      <c r="C7866" s="1" t="str">
        <f>"DD2024101117077"</f>
        <v>DD2024101117077</v>
      </c>
      <c r="D7866" s="1" t="str">
        <f>"CK2024101117419"</f>
        <v>CK2024101117419</v>
      </c>
      <c r="E7866" s="1" t="str">
        <f>"6934840863404004864"</f>
        <v>6934840863404004864</v>
      </c>
      <c r="F7866" s="1" t="str">
        <f t="shared" si="2271"/>
        <v>花都四部-凤凰仓</v>
      </c>
      <c r="G7866" s="1" t="str">
        <f t="shared" si="2275"/>
        <v>卡卡杜个人护理店（抖店）</v>
      </c>
      <c r="H7866" s="1" t="str">
        <f t="shared" si="2272"/>
        <v>正常订单</v>
      </c>
      <c r="I7866" s="1" t="str">
        <f t="shared" si="2273"/>
        <v>已发货</v>
      </c>
      <c r="J7866" s="1" t="str">
        <f t="shared" si="2280"/>
        <v>5</v>
      </c>
      <c r="K7866" s="1">
        <v>3</v>
      </c>
      <c r="L7866" s="1" t="s">
        <v>105</v>
      </c>
      <c r="M7866" s="1" t="str">
        <f>"北京 北京市 海淀区 四季青地区"</f>
        <v>北京 北京市 海淀区 四季青地区</v>
      </c>
      <c r="N7866" s="1" t="str">
        <f t="shared" si="2279"/>
        <v>凡华云仓-韵达-抖音</v>
      </c>
      <c r="O7866" s="5">
        <v>320166067806007</v>
      </c>
      <c r="P7866" s="6">
        <v>0.47</v>
      </c>
      <c r="Q7866" s="11">
        <v>2.2999999999999998</v>
      </c>
      <c r="R7866" s="11"/>
      <c r="S7866" s="11"/>
      <c r="T7866" s="11"/>
      <c r="U7866" s="11">
        <f t="shared" si="2269"/>
        <v>2.2999999999999998</v>
      </c>
      <c r="W7866">
        <v>2.5</v>
      </c>
      <c r="X7866" s="1" t="s">
        <v>105</v>
      </c>
    </row>
    <row r="7867" spans="1:24" x14ac:dyDescent="0.25">
      <c r="A7867" s="1" t="str">
        <f t="shared" si="2270"/>
        <v>卡卡杜-凤凰仓</v>
      </c>
      <c r="B7867" s="1" t="str">
        <f>"CK202410116067"</f>
        <v>CK202410116067</v>
      </c>
      <c r="C7867" s="1" t="str">
        <f>"DD2024101114577"</f>
        <v>DD2024101114577</v>
      </c>
      <c r="D7867" s="1" t="str">
        <f>"CK2024101117418"</f>
        <v>CK2024101117418</v>
      </c>
      <c r="E7867" s="1" t="str">
        <f>"6934845460721702268"</f>
        <v>6934845460721702268</v>
      </c>
      <c r="F7867" s="1" t="str">
        <f t="shared" si="2271"/>
        <v>花都四部-凤凰仓</v>
      </c>
      <c r="G7867" s="1" t="str">
        <f t="shared" si="2275"/>
        <v>卡卡杜个人护理店（抖店）</v>
      </c>
      <c r="H7867" s="1" t="str">
        <f t="shared" si="2272"/>
        <v>正常订单</v>
      </c>
      <c r="I7867" s="1" t="str">
        <f t="shared" si="2273"/>
        <v>已发货</v>
      </c>
      <c r="J7867" s="1" t="str">
        <f t="shared" si="2280"/>
        <v>5</v>
      </c>
      <c r="K7867" s="1">
        <v>3</v>
      </c>
      <c r="L7867" s="1" t="s">
        <v>218</v>
      </c>
      <c r="M7867" s="1" t="str">
        <f>"天津 天津市 河北区 月牙河街道"</f>
        <v>天津 天津市 河北区 月牙河街道</v>
      </c>
      <c r="N7867" s="1" t="str">
        <f t="shared" si="2279"/>
        <v>凡华云仓-韵达-抖音</v>
      </c>
      <c r="O7867" s="5">
        <v>320166067805981</v>
      </c>
      <c r="P7867" s="6">
        <v>0.47</v>
      </c>
      <c r="Q7867" s="11">
        <v>2.2999999999999998</v>
      </c>
      <c r="R7867" s="11"/>
      <c r="S7867" s="11"/>
      <c r="T7867" s="11"/>
      <c r="U7867" s="11">
        <f t="shared" si="2269"/>
        <v>2.2999999999999998</v>
      </c>
      <c r="W7867">
        <v>2.5</v>
      </c>
      <c r="X7867" s="1" t="s">
        <v>218</v>
      </c>
    </row>
    <row r="7868" spans="1:24" x14ac:dyDescent="0.25">
      <c r="A7868" s="1" t="str">
        <f t="shared" si="2270"/>
        <v>卡卡杜-凤凰仓</v>
      </c>
      <c r="B7868" s="1" t="str">
        <f>"CK202410116093"</f>
        <v>CK202410116093</v>
      </c>
      <c r="C7868" s="1" t="str">
        <f>"DD2024101114602"</f>
        <v>DD2024101114602</v>
      </c>
      <c r="D7868" s="1" t="str">
        <f>"CK2024101117417"</f>
        <v>CK2024101117417</v>
      </c>
      <c r="E7868" s="1" t="str">
        <f>"6934836283579765832"</f>
        <v>6934836283579765832</v>
      </c>
      <c r="F7868" s="1" t="str">
        <f t="shared" si="2271"/>
        <v>花都四部-凤凰仓</v>
      </c>
      <c r="G7868" s="1" t="str">
        <f t="shared" si="2275"/>
        <v>卡卡杜个人护理店（抖店）</v>
      </c>
      <c r="H7868" s="1" t="str">
        <f t="shared" si="2272"/>
        <v>正常订单</v>
      </c>
      <c r="I7868" s="1" t="str">
        <f t="shared" si="2273"/>
        <v>已发货</v>
      </c>
      <c r="J7868" s="1" t="str">
        <f t="shared" si="2280"/>
        <v>5</v>
      </c>
      <c r="K7868" s="1">
        <v>3</v>
      </c>
      <c r="L7868" s="1" t="s">
        <v>80</v>
      </c>
      <c r="M7868" s="1" t="str">
        <f>"河南省 平顶山市 新华区 矿工路街道"</f>
        <v>河南省 平顶山市 新华区 矿工路街道</v>
      </c>
      <c r="N7868" s="1" t="str">
        <f t="shared" si="2279"/>
        <v>凡华云仓-韵达-抖音</v>
      </c>
      <c r="O7868" s="5">
        <v>320166067805876</v>
      </c>
      <c r="P7868" s="6">
        <v>0.47</v>
      </c>
      <c r="Q7868" s="11">
        <v>2.2999999999999998</v>
      </c>
      <c r="R7868" s="11"/>
      <c r="S7868" s="11"/>
      <c r="T7868" s="11"/>
      <c r="U7868" s="11">
        <f t="shared" si="2269"/>
        <v>2.2999999999999998</v>
      </c>
      <c r="W7868">
        <v>2.5</v>
      </c>
      <c r="X7868" s="1" t="s">
        <v>80</v>
      </c>
    </row>
    <row r="7869" spans="1:24" x14ac:dyDescent="0.25">
      <c r="A7869" s="1" t="str">
        <f t="shared" si="2270"/>
        <v>卡卡杜-凤凰仓</v>
      </c>
      <c r="B7869" s="1" t="str">
        <f>"CK202410116092"</f>
        <v>CK202410116092</v>
      </c>
      <c r="C7869" s="1" t="str">
        <f>"DD2024101114601"</f>
        <v>DD2024101114601</v>
      </c>
      <c r="D7869" s="1" t="str">
        <f>"CK2024101117416"</f>
        <v>CK2024101117416</v>
      </c>
      <c r="E7869" s="1" t="str">
        <f>"6934840983355004629"</f>
        <v>6934840983355004629</v>
      </c>
      <c r="F7869" s="1" t="str">
        <f t="shared" si="2271"/>
        <v>花都四部-凤凰仓</v>
      </c>
      <c r="G7869" s="1" t="str">
        <f t="shared" si="2275"/>
        <v>卡卡杜个人护理店（抖店）</v>
      </c>
      <c r="H7869" s="1" t="str">
        <f t="shared" si="2272"/>
        <v>正常订单</v>
      </c>
      <c r="I7869" s="1" t="str">
        <f t="shared" si="2273"/>
        <v>已发货</v>
      </c>
      <c r="J7869" s="1" t="str">
        <f t="shared" si="2280"/>
        <v>5</v>
      </c>
      <c r="K7869" s="1">
        <v>3</v>
      </c>
      <c r="L7869" s="1" t="s">
        <v>13</v>
      </c>
      <c r="M7869" s="1" t="str">
        <f>"江苏省 连云港市 赣榆区 "</f>
        <v xml:space="preserve">江苏省 连云港市 赣榆区 </v>
      </c>
      <c r="N7869" s="1" t="str">
        <f t="shared" si="2279"/>
        <v>凡华云仓-韵达-抖音</v>
      </c>
      <c r="O7869" s="5">
        <v>320166067805773</v>
      </c>
      <c r="P7869" s="6">
        <v>0.47</v>
      </c>
      <c r="Q7869" s="11">
        <v>2.2999999999999998</v>
      </c>
      <c r="R7869" s="11"/>
      <c r="S7869" s="11"/>
      <c r="T7869" s="11"/>
      <c r="U7869" s="11">
        <f t="shared" si="2269"/>
        <v>2.2999999999999998</v>
      </c>
      <c r="W7869">
        <v>2.5</v>
      </c>
      <c r="X7869" s="1" t="s">
        <v>13</v>
      </c>
    </row>
    <row r="7870" spans="1:24" x14ac:dyDescent="0.25">
      <c r="A7870" s="1" t="str">
        <f t="shared" si="2270"/>
        <v>卡卡杜-凤凰仓</v>
      </c>
      <c r="B7870" s="1" t="str">
        <f>"CK2024101110469"</f>
        <v>CK2024101110469</v>
      </c>
      <c r="C7870" s="1" t="str">
        <f>"DD2024101117074"</f>
        <v>DD2024101117074</v>
      </c>
      <c r="D7870" s="1" t="str">
        <f>"CK2024101117415"</f>
        <v>CK2024101117415</v>
      </c>
      <c r="E7870" s="1" t="str">
        <f>"6934829563837683085"</f>
        <v>6934829563837683085</v>
      </c>
      <c r="F7870" s="1" t="str">
        <f t="shared" si="2271"/>
        <v>花都四部-凤凰仓</v>
      </c>
      <c r="G7870" s="1" t="str">
        <f t="shared" si="2275"/>
        <v>卡卡杜个人护理店（抖店）</v>
      </c>
      <c r="H7870" s="1" t="str">
        <f t="shared" si="2272"/>
        <v>正常订单</v>
      </c>
      <c r="I7870" s="1" t="str">
        <f t="shared" si="2273"/>
        <v>已发货</v>
      </c>
      <c r="J7870" s="1" t="str">
        <f t="shared" si="2280"/>
        <v>5</v>
      </c>
      <c r="K7870" s="1">
        <v>3</v>
      </c>
      <c r="L7870" s="1" t="s">
        <v>74</v>
      </c>
      <c r="M7870" s="1" t="str">
        <f>"上海 上海市 宝山区 淞南镇"</f>
        <v>上海 上海市 宝山区 淞南镇</v>
      </c>
      <c r="N7870" s="1" t="str">
        <f t="shared" si="2279"/>
        <v>凡华云仓-韵达-抖音</v>
      </c>
      <c r="O7870" s="5">
        <v>320166067805672</v>
      </c>
      <c r="P7870" s="6">
        <v>0.47</v>
      </c>
      <c r="Q7870" s="11">
        <v>2.2999999999999998</v>
      </c>
      <c r="R7870" s="11"/>
      <c r="S7870" s="11"/>
      <c r="T7870" s="11"/>
      <c r="U7870" s="11">
        <f t="shared" si="2269"/>
        <v>2.2999999999999998</v>
      </c>
      <c r="W7870">
        <v>2.5</v>
      </c>
      <c r="X7870" s="1" t="s">
        <v>74</v>
      </c>
    </row>
    <row r="7871" spans="1:24" x14ac:dyDescent="0.25">
      <c r="A7871" s="1" t="str">
        <f t="shared" si="2270"/>
        <v>卡卡杜-凤凰仓</v>
      </c>
      <c r="B7871" s="1" t="str">
        <f>"CK202410116090"</f>
        <v>CK202410116090</v>
      </c>
      <c r="C7871" s="1" t="str">
        <f>"DD2024101114600"</f>
        <v>DD2024101114600</v>
      </c>
      <c r="D7871" s="1" t="str">
        <f>"CK2024101117414"</f>
        <v>CK2024101117414</v>
      </c>
      <c r="E7871" s="1" t="str">
        <f>"6934834216819431114"</f>
        <v>6934834216819431114</v>
      </c>
      <c r="F7871" s="1" t="str">
        <f t="shared" si="2271"/>
        <v>花都四部-凤凰仓</v>
      </c>
      <c r="G7871" s="1" t="str">
        <f t="shared" si="2275"/>
        <v>卡卡杜个人护理店（抖店）</v>
      </c>
      <c r="H7871" s="1" t="str">
        <f t="shared" si="2272"/>
        <v>正常订单</v>
      </c>
      <c r="I7871" s="1" t="str">
        <f t="shared" si="2273"/>
        <v>已发货</v>
      </c>
      <c r="J7871" s="1" t="str">
        <f t="shared" si="2280"/>
        <v>5</v>
      </c>
      <c r="K7871" s="1">
        <v>3</v>
      </c>
      <c r="L7871" s="1" t="s">
        <v>20</v>
      </c>
      <c r="M7871" s="1" t="str">
        <f>"浙江省 金华市 浦江县 仙华街道"</f>
        <v>浙江省 金华市 浦江县 仙华街道</v>
      </c>
      <c r="N7871" s="1" t="str">
        <f t="shared" si="2279"/>
        <v>凡华云仓-韵达-抖音</v>
      </c>
      <c r="O7871" s="5">
        <v>320166067805573</v>
      </c>
      <c r="P7871" s="6">
        <v>0.47</v>
      </c>
      <c r="Q7871" s="11">
        <v>2.2999999999999998</v>
      </c>
      <c r="R7871" s="11"/>
      <c r="S7871" s="11"/>
      <c r="T7871" s="11"/>
      <c r="U7871" s="11">
        <f t="shared" si="2269"/>
        <v>2.2999999999999998</v>
      </c>
      <c r="W7871">
        <v>2.5</v>
      </c>
      <c r="X7871" s="1" t="s">
        <v>20</v>
      </c>
    </row>
    <row r="7872" spans="1:24" x14ac:dyDescent="0.25">
      <c r="A7872" s="1" t="str">
        <f t="shared" si="2270"/>
        <v>卡卡杜-凤凰仓</v>
      </c>
      <c r="B7872" s="1" t="str">
        <f>"CK2024101110468"</f>
        <v>CK2024101110468</v>
      </c>
      <c r="C7872" s="1" t="str">
        <f>"DD2024101117068"</f>
        <v>DD2024101117068</v>
      </c>
      <c r="D7872" s="1" t="str">
        <f>"CK2024101117413"</f>
        <v>CK2024101117413</v>
      </c>
      <c r="E7872" s="1" t="str">
        <f>"6934853720106144834"</f>
        <v>6934853720106144834</v>
      </c>
      <c r="F7872" s="1" t="str">
        <f t="shared" si="2271"/>
        <v>花都四部-凤凰仓</v>
      </c>
      <c r="G7872" s="1" t="str">
        <f t="shared" si="2275"/>
        <v>卡卡杜个人护理店（抖店）</v>
      </c>
      <c r="H7872" s="1" t="str">
        <f t="shared" si="2272"/>
        <v>正常订单</v>
      </c>
      <c r="I7872" s="1" t="str">
        <f t="shared" si="2273"/>
        <v>已发货</v>
      </c>
      <c r="J7872" s="1" t="str">
        <f t="shared" si="2280"/>
        <v>5</v>
      </c>
      <c r="K7872" s="1">
        <v>3</v>
      </c>
      <c r="L7872" s="1" t="s">
        <v>18</v>
      </c>
      <c r="M7872" s="1" t="str">
        <f>"广东省 东莞市 东莞市 石碣镇"</f>
        <v>广东省 东莞市 东莞市 石碣镇</v>
      </c>
      <c r="N7872" s="1" t="str">
        <f t="shared" si="2279"/>
        <v>凡华云仓-韵达-抖音</v>
      </c>
      <c r="O7872" s="5">
        <v>320166072359470</v>
      </c>
      <c r="P7872" s="6">
        <v>0.47</v>
      </c>
      <c r="Q7872" s="11">
        <v>2.2999999999999998</v>
      </c>
      <c r="R7872" s="11"/>
      <c r="S7872" s="11"/>
      <c r="T7872" s="11"/>
      <c r="U7872" s="11">
        <f t="shared" si="2269"/>
        <v>2.2999999999999998</v>
      </c>
      <c r="W7872">
        <v>2.5</v>
      </c>
      <c r="X7872" s="1" t="s">
        <v>18</v>
      </c>
    </row>
    <row r="7873" spans="1:24" x14ac:dyDescent="0.25">
      <c r="A7873" s="1" t="str">
        <f t="shared" si="2270"/>
        <v>卡卡杜-凤凰仓</v>
      </c>
      <c r="B7873" s="1" t="str">
        <f>"CK2024101110466"</f>
        <v>CK2024101110466</v>
      </c>
      <c r="C7873" s="1" t="str">
        <f>"DD2024101117066"</f>
        <v>DD2024101117066</v>
      </c>
      <c r="D7873" s="1" t="str">
        <f>"CK2024101117412"</f>
        <v>CK2024101117412</v>
      </c>
      <c r="E7873" s="1" t="str">
        <f>"6934847493181740714"</f>
        <v>6934847493181740714</v>
      </c>
      <c r="F7873" s="1" t="str">
        <f t="shared" si="2271"/>
        <v>花都四部-凤凰仓</v>
      </c>
      <c r="G7873" s="1" t="str">
        <f t="shared" si="2275"/>
        <v>卡卡杜个人护理店（抖店）</v>
      </c>
      <c r="H7873" s="1" t="str">
        <f t="shared" si="2272"/>
        <v>正常订单</v>
      </c>
      <c r="I7873" s="1" t="str">
        <f t="shared" si="2273"/>
        <v>已发货</v>
      </c>
      <c r="J7873" s="1" t="str">
        <f t="shared" si="2280"/>
        <v>5</v>
      </c>
      <c r="K7873" s="1">
        <v>3</v>
      </c>
      <c r="L7873" s="1" t="s">
        <v>20</v>
      </c>
      <c r="M7873" s="1" t="str">
        <f>"浙江省 舟山市 普陀区 东港街道"</f>
        <v>浙江省 舟山市 普陀区 东港街道</v>
      </c>
      <c r="N7873" s="1" t="str">
        <f t="shared" si="2279"/>
        <v>凡华云仓-韵达-抖音</v>
      </c>
      <c r="O7873" s="5">
        <v>320166072359375</v>
      </c>
      <c r="P7873" s="6">
        <v>0.47</v>
      </c>
      <c r="Q7873" s="11">
        <v>2.2999999999999998</v>
      </c>
      <c r="R7873" s="11"/>
      <c r="S7873" s="11"/>
      <c r="T7873" s="11"/>
      <c r="U7873" s="11">
        <f t="shared" si="2269"/>
        <v>2.2999999999999998</v>
      </c>
      <c r="W7873">
        <v>2.5</v>
      </c>
      <c r="X7873" s="1" t="s">
        <v>20</v>
      </c>
    </row>
    <row r="7874" spans="1:24" x14ac:dyDescent="0.25">
      <c r="A7874" s="1" t="str">
        <f t="shared" si="2270"/>
        <v>卡卡杜-凤凰仓</v>
      </c>
      <c r="B7874" s="1" t="str">
        <f>"CK2024101110467"</f>
        <v>CK2024101110467</v>
      </c>
      <c r="C7874" s="1" t="str">
        <f>"DD2024101117070"</f>
        <v>DD2024101117070</v>
      </c>
      <c r="D7874" s="1" t="str">
        <f>"CK2024101117411"</f>
        <v>CK2024101117411</v>
      </c>
      <c r="E7874" s="1" t="str">
        <f>"6934851735168029993"</f>
        <v>6934851735168029993</v>
      </c>
      <c r="F7874" s="1" t="str">
        <f t="shared" si="2271"/>
        <v>花都四部-凤凰仓</v>
      </c>
      <c r="G7874" s="1" t="str">
        <f t="shared" si="2275"/>
        <v>卡卡杜个人护理店（抖店）</v>
      </c>
      <c r="H7874" s="1" t="str">
        <f t="shared" si="2272"/>
        <v>正常订单</v>
      </c>
      <c r="I7874" s="1" t="str">
        <f t="shared" si="2273"/>
        <v>已发货</v>
      </c>
      <c r="J7874" s="1" t="str">
        <f t="shared" si="2280"/>
        <v>5</v>
      </c>
      <c r="K7874" s="1">
        <v>3</v>
      </c>
      <c r="L7874" s="1" t="s">
        <v>30</v>
      </c>
      <c r="M7874" s="1" t="str">
        <f>"山东省 潍坊市 寿光市 洛城街道"</f>
        <v>山东省 潍坊市 寿光市 洛城街道</v>
      </c>
      <c r="N7874" s="1" t="str">
        <f t="shared" si="2279"/>
        <v>凡华云仓-韵达-抖音</v>
      </c>
      <c r="O7874" s="5">
        <v>320166072359282</v>
      </c>
      <c r="P7874" s="6">
        <v>0.47</v>
      </c>
      <c r="Q7874" s="11">
        <v>2.2999999999999998</v>
      </c>
      <c r="R7874" s="11"/>
      <c r="S7874" s="11"/>
      <c r="T7874" s="11"/>
      <c r="U7874" s="11">
        <f t="shared" si="2269"/>
        <v>2.2999999999999998</v>
      </c>
      <c r="W7874">
        <v>2.5</v>
      </c>
      <c r="X7874" s="1" t="s">
        <v>30</v>
      </c>
    </row>
    <row r="7875" spans="1:24" x14ac:dyDescent="0.25">
      <c r="A7875" s="1" t="str">
        <f t="shared" si="2270"/>
        <v>卡卡杜-凤凰仓</v>
      </c>
      <c r="B7875" s="1" t="str">
        <f>"CK2024101110464"</f>
        <v>CK2024101110464</v>
      </c>
      <c r="C7875" s="1" t="str">
        <f>"DD2024101117058"</f>
        <v>DD2024101117058</v>
      </c>
      <c r="D7875" s="1" t="str">
        <f>"CK2024101117410"</f>
        <v>CK2024101117410</v>
      </c>
      <c r="E7875" s="1" t="str">
        <f>"6934822550679000134"</f>
        <v>6934822550679000134</v>
      </c>
      <c r="F7875" s="1" t="str">
        <f t="shared" si="2271"/>
        <v>花都四部-凤凰仓</v>
      </c>
      <c r="G7875" s="1" t="str">
        <f t="shared" si="2275"/>
        <v>卡卡杜个人护理店（抖店）</v>
      </c>
      <c r="H7875" s="1" t="str">
        <f t="shared" si="2272"/>
        <v>正常订单</v>
      </c>
      <c r="I7875" s="1" t="str">
        <f t="shared" si="2273"/>
        <v>已发货</v>
      </c>
      <c r="J7875" s="1" t="str">
        <f t="shared" si="2280"/>
        <v>5</v>
      </c>
      <c r="K7875" s="1">
        <v>3</v>
      </c>
      <c r="L7875" s="1" t="s">
        <v>54</v>
      </c>
      <c r="M7875" s="1" t="str">
        <f>"黑龙江省 牡丹江市 阳明区 桦林镇"</f>
        <v>黑龙江省 牡丹江市 阳明区 桦林镇</v>
      </c>
      <c r="N7875" s="1" t="str">
        <f t="shared" si="2279"/>
        <v>凡华云仓-韵达-抖音</v>
      </c>
      <c r="O7875" s="5">
        <v>320166072359191</v>
      </c>
      <c r="P7875" s="6">
        <v>0.47</v>
      </c>
      <c r="Q7875" s="11">
        <v>2.2999999999999998</v>
      </c>
      <c r="R7875" s="11"/>
      <c r="S7875" s="11"/>
      <c r="T7875" s="11"/>
      <c r="U7875" s="11">
        <f t="shared" ref="U7875:U7938" si="2281">T7875+S7875+R7875+Q7875</f>
        <v>2.2999999999999998</v>
      </c>
      <c r="W7875">
        <v>2.5</v>
      </c>
      <c r="X7875" s="1" t="s">
        <v>54</v>
      </c>
    </row>
    <row r="7876" spans="1:24" x14ac:dyDescent="0.25">
      <c r="A7876" s="1" t="str">
        <f t="shared" si="2270"/>
        <v>卡卡杜-凤凰仓</v>
      </c>
      <c r="B7876" s="1" t="str">
        <f>"CK2024101110465"</f>
        <v>CK2024101110465</v>
      </c>
      <c r="C7876" s="1" t="str">
        <f>"DD2024101117065"</f>
        <v>DD2024101117065</v>
      </c>
      <c r="D7876" s="1" t="str">
        <f>"CK2024101117409"</f>
        <v>CK2024101117409</v>
      </c>
      <c r="E7876" s="1" t="str">
        <f>"6934853773124441659"</f>
        <v>6934853773124441659</v>
      </c>
      <c r="F7876" s="1" t="str">
        <f t="shared" si="2271"/>
        <v>花都四部-凤凰仓</v>
      </c>
      <c r="G7876" s="1" t="str">
        <f t="shared" si="2275"/>
        <v>卡卡杜个人护理店（抖店）</v>
      </c>
      <c r="H7876" s="1" t="str">
        <f t="shared" si="2272"/>
        <v>正常订单</v>
      </c>
      <c r="I7876" s="1" t="str">
        <f t="shared" si="2273"/>
        <v>已发货</v>
      </c>
      <c r="J7876" s="1" t="str">
        <f t="shared" si="2280"/>
        <v>5</v>
      </c>
      <c r="K7876" s="1">
        <v>3</v>
      </c>
      <c r="L7876" s="1" t="s">
        <v>20</v>
      </c>
      <c r="M7876" s="1" t="str">
        <f>"浙江省 杭州市 拱墅区 朝晖街道"</f>
        <v>浙江省 杭州市 拱墅区 朝晖街道</v>
      </c>
      <c r="N7876" s="1" t="str">
        <f t="shared" si="2279"/>
        <v>凡华云仓-韵达-抖音</v>
      </c>
      <c r="O7876" s="5">
        <v>320166072359002</v>
      </c>
      <c r="P7876" s="6">
        <v>0.47</v>
      </c>
      <c r="Q7876" s="11">
        <v>2.2999999999999998</v>
      </c>
      <c r="R7876" s="11"/>
      <c r="S7876" s="11"/>
      <c r="T7876" s="11"/>
      <c r="U7876" s="11">
        <f t="shared" si="2281"/>
        <v>2.2999999999999998</v>
      </c>
      <c r="W7876">
        <v>2.5</v>
      </c>
      <c r="X7876" s="1" t="s">
        <v>20</v>
      </c>
    </row>
    <row r="7877" spans="1:24" x14ac:dyDescent="0.25">
      <c r="A7877" s="1" t="str">
        <f t="shared" ref="A7877:A7940" si="2282">"卡卡杜-凤凰仓"</f>
        <v>卡卡杜-凤凰仓</v>
      </c>
      <c r="B7877" s="1" t="str">
        <f>"CK202410116088"</f>
        <v>CK202410116088</v>
      </c>
      <c r="C7877" s="1" t="str">
        <f>"DD2024101114597"</f>
        <v>DD2024101114597</v>
      </c>
      <c r="D7877" s="1" t="str">
        <f>"CK2024101117408"</f>
        <v>CK2024101117408</v>
      </c>
      <c r="E7877" s="1" t="str">
        <f>"6934851621454025858"</f>
        <v>6934851621454025858</v>
      </c>
      <c r="F7877" s="1" t="str">
        <f t="shared" ref="F7877:F7940" si="2283">"花都四部-凤凰仓"</f>
        <v>花都四部-凤凰仓</v>
      </c>
      <c r="G7877" s="1" t="str">
        <f t="shared" si="2275"/>
        <v>卡卡杜个人护理店（抖店）</v>
      </c>
      <c r="H7877" s="1" t="str">
        <f t="shared" ref="H7877:H7940" si="2284">"正常订单"</f>
        <v>正常订单</v>
      </c>
      <c r="I7877" s="1" t="str">
        <f t="shared" ref="I7877:I7940" si="2285">"已发货"</f>
        <v>已发货</v>
      </c>
      <c r="J7877" s="1" t="str">
        <f t="shared" si="2280"/>
        <v>5</v>
      </c>
      <c r="K7877" s="1">
        <v>3</v>
      </c>
      <c r="L7877" s="1" t="s">
        <v>74</v>
      </c>
      <c r="M7877" s="1" t="str">
        <f>"上海 上海市 杨浦区 殷行街道"</f>
        <v>上海 上海市 杨浦区 殷行街道</v>
      </c>
      <c r="N7877" s="1" t="str">
        <f t="shared" si="2279"/>
        <v>凡华云仓-韵达-抖音</v>
      </c>
      <c r="O7877" s="5">
        <v>320166072358970</v>
      </c>
      <c r="P7877" s="6">
        <v>0.47</v>
      </c>
      <c r="Q7877" s="11">
        <v>2.2999999999999998</v>
      </c>
      <c r="R7877" s="11"/>
      <c r="S7877" s="11"/>
      <c r="T7877" s="11"/>
      <c r="U7877" s="11">
        <f t="shared" si="2281"/>
        <v>2.2999999999999998</v>
      </c>
      <c r="W7877">
        <v>2.5</v>
      </c>
      <c r="X7877" s="1" t="s">
        <v>74</v>
      </c>
    </row>
    <row r="7878" spans="1:24" x14ac:dyDescent="0.25">
      <c r="A7878" s="1" t="str">
        <f t="shared" si="2282"/>
        <v>卡卡杜-凤凰仓</v>
      </c>
      <c r="B7878" s="1" t="str">
        <f>"CK202410116081"</f>
        <v>CK202410116081</v>
      </c>
      <c r="C7878" s="1" t="str">
        <f>"DD2024101114590"</f>
        <v>DD2024101114590</v>
      </c>
      <c r="D7878" s="1" t="str">
        <f>"CK2024101117407"</f>
        <v>CK2024101117407</v>
      </c>
      <c r="E7878" s="1" t="str">
        <f>"6934831499222063076"</f>
        <v>6934831499222063076</v>
      </c>
      <c r="F7878" s="1" t="str">
        <f t="shared" si="2283"/>
        <v>花都四部-凤凰仓</v>
      </c>
      <c r="G7878" s="1" t="str">
        <f t="shared" si="2275"/>
        <v>卡卡杜个人护理店（抖店）</v>
      </c>
      <c r="H7878" s="1" t="str">
        <f t="shared" si="2284"/>
        <v>正常订单</v>
      </c>
      <c r="I7878" s="1" t="str">
        <f t="shared" si="2285"/>
        <v>已发货</v>
      </c>
      <c r="J7878" s="1" t="str">
        <f t="shared" si="2280"/>
        <v>5</v>
      </c>
      <c r="K7878" s="1">
        <v>3</v>
      </c>
      <c r="L7878" s="1" t="s">
        <v>161</v>
      </c>
      <c r="M7878" s="1" t="str">
        <f>"四川省 泸州市 纳溪区 合面镇"</f>
        <v>四川省 泸州市 纳溪区 合面镇</v>
      </c>
      <c r="N7878" s="1" t="str">
        <f t="shared" si="2279"/>
        <v>凡华云仓-韵达-抖音</v>
      </c>
      <c r="O7878" s="5">
        <v>320166072358865</v>
      </c>
      <c r="P7878" s="6">
        <v>0.47</v>
      </c>
      <c r="Q7878" s="11">
        <v>2.2999999999999998</v>
      </c>
      <c r="R7878" s="11"/>
      <c r="S7878" s="11"/>
      <c r="T7878" s="11"/>
      <c r="U7878" s="11">
        <f t="shared" si="2281"/>
        <v>2.2999999999999998</v>
      </c>
      <c r="W7878">
        <v>2.5</v>
      </c>
      <c r="X7878" s="1" t="s">
        <v>161</v>
      </c>
    </row>
    <row r="7879" spans="1:24" x14ac:dyDescent="0.25">
      <c r="A7879" s="1" t="str">
        <f t="shared" si="2282"/>
        <v>卡卡杜-凤凰仓</v>
      </c>
      <c r="B7879" s="1" t="str">
        <f>"CK202410118174"</f>
        <v>CK202410118174</v>
      </c>
      <c r="C7879" s="1" t="str">
        <f>"DD2024101116729"</f>
        <v>DD2024101116729</v>
      </c>
      <c r="D7879" s="1" t="str">
        <f>"CK2024101117406"</f>
        <v>CK2024101117406</v>
      </c>
      <c r="E7879" s="1" t="str">
        <f>"6934824767908287716"</f>
        <v>6934824767908287716</v>
      </c>
      <c r="F7879" s="1" t="str">
        <f t="shared" si="2283"/>
        <v>花都四部-凤凰仓</v>
      </c>
      <c r="G7879" s="1" t="str">
        <f t="shared" si="2275"/>
        <v>卡卡杜个人护理店（抖店）</v>
      </c>
      <c r="H7879" s="1" t="str">
        <f t="shared" si="2284"/>
        <v>正常订单</v>
      </c>
      <c r="I7879" s="1" t="str">
        <f t="shared" si="2285"/>
        <v>已发货</v>
      </c>
      <c r="J7879" s="1" t="str">
        <f t="shared" si="2280"/>
        <v>5</v>
      </c>
      <c r="K7879" s="1">
        <v>3</v>
      </c>
      <c r="L7879" s="1" t="s">
        <v>218</v>
      </c>
      <c r="M7879" s="1" t="str">
        <f>"天津 天津市 滨海新区 北塘街道"</f>
        <v>天津 天津市 滨海新区 北塘街道</v>
      </c>
      <c r="N7879" s="1" t="str">
        <f t="shared" si="2279"/>
        <v>凡华云仓-韵达-抖音</v>
      </c>
      <c r="O7879" s="5">
        <v>320166072358762</v>
      </c>
      <c r="P7879" s="6">
        <v>0.47</v>
      </c>
      <c r="Q7879" s="11">
        <v>2.2999999999999998</v>
      </c>
      <c r="R7879" s="11"/>
      <c r="S7879" s="11"/>
      <c r="T7879" s="11"/>
      <c r="U7879" s="11">
        <f t="shared" si="2281"/>
        <v>2.2999999999999998</v>
      </c>
      <c r="W7879">
        <v>2.5</v>
      </c>
      <c r="X7879" s="1" t="s">
        <v>218</v>
      </c>
    </row>
    <row r="7880" spans="1:24" x14ac:dyDescent="0.25">
      <c r="A7880" s="1" t="str">
        <f t="shared" si="2282"/>
        <v>卡卡杜-凤凰仓</v>
      </c>
      <c r="B7880" s="1" t="str">
        <f>"CK202410116083"</f>
        <v>CK202410116083</v>
      </c>
      <c r="C7880" s="1" t="str">
        <f>"DD2024101114592"</f>
        <v>DD2024101114592</v>
      </c>
      <c r="D7880" s="1" t="str">
        <f>"CK2024101117405"</f>
        <v>CK2024101117405</v>
      </c>
      <c r="E7880" s="1" t="str">
        <f>"6934822656855119381"</f>
        <v>6934822656855119381</v>
      </c>
      <c r="F7880" s="1" t="str">
        <f t="shared" si="2283"/>
        <v>花都四部-凤凰仓</v>
      </c>
      <c r="G7880" s="1" t="str">
        <f t="shared" si="2275"/>
        <v>卡卡杜个人护理店（抖店）</v>
      </c>
      <c r="H7880" s="1" t="str">
        <f t="shared" si="2284"/>
        <v>正常订单</v>
      </c>
      <c r="I7880" s="1" t="str">
        <f t="shared" si="2285"/>
        <v>已发货</v>
      </c>
      <c r="J7880" s="1" t="str">
        <f t="shared" si="2280"/>
        <v>5</v>
      </c>
      <c r="K7880" s="1">
        <v>3</v>
      </c>
      <c r="L7880" s="1" t="s">
        <v>74</v>
      </c>
      <c r="M7880" s="1" t="str">
        <f>"上海 上海市 青浦区 徐泾镇"</f>
        <v>上海 上海市 青浦区 徐泾镇</v>
      </c>
      <c r="N7880" s="1" t="str">
        <f t="shared" si="2279"/>
        <v>凡华云仓-韵达-抖音</v>
      </c>
      <c r="O7880" s="5">
        <v>320166072358661</v>
      </c>
      <c r="P7880" s="6">
        <v>0.47</v>
      </c>
      <c r="Q7880" s="11">
        <v>2.2999999999999998</v>
      </c>
      <c r="R7880" s="11"/>
      <c r="S7880" s="11"/>
      <c r="T7880" s="11"/>
      <c r="U7880" s="11">
        <f t="shared" si="2281"/>
        <v>2.2999999999999998</v>
      </c>
      <c r="W7880">
        <v>2.5</v>
      </c>
      <c r="X7880" s="1" t="s">
        <v>74</v>
      </c>
    </row>
    <row r="7881" spans="1:24" x14ac:dyDescent="0.25">
      <c r="A7881" s="1" t="str">
        <f t="shared" si="2282"/>
        <v>卡卡杜-凤凰仓</v>
      </c>
      <c r="B7881" s="1" t="str">
        <f>"CK202410116091"</f>
        <v>CK202410116091</v>
      </c>
      <c r="C7881" s="1" t="str">
        <f>"DD2024101114599"</f>
        <v>DD2024101114599</v>
      </c>
      <c r="D7881" s="1" t="str">
        <f>"CK2024101117404"</f>
        <v>CK2024101117404</v>
      </c>
      <c r="E7881" s="1" t="str">
        <f>"6934855761377629699"</f>
        <v>6934855761377629699</v>
      </c>
      <c r="F7881" s="1" t="str">
        <f t="shared" si="2283"/>
        <v>花都四部-凤凰仓</v>
      </c>
      <c r="G7881" s="1" t="str">
        <f t="shared" si="2275"/>
        <v>卡卡杜个人护理店（抖店）</v>
      </c>
      <c r="H7881" s="1" t="str">
        <f t="shared" si="2284"/>
        <v>正常订单</v>
      </c>
      <c r="I7881" s="1" t="str">
        <f t="shared" si="2285"/>
        <v>已发货</v>
      </c>
      <c r="J7881" s="1" t="str">
        <f t="shared" si="2280"/>
        <v>5</v>
      </c>
      <c r="K7881" s="1">
        <v>3</v>
      </c>
      <c r="L7881" s="1" t="s">
        <v>94</v>
      </c>
      <c r="M7881" s="1" t="str">
        <f>"湖南省 长沙市 雨花区 洞井街道"</f>
        <v>湖南省 长沙市 雨花区 洞井街道</v>
      </c>
      <c r="N7881" s="1" t="str">
        <f t="shared" si="2279"/>
        <v>凡华云仓-韵达-抖音</v>
      </c>
      <c r="O7881" s="5">
        <v>320166072358562</v>
      </c>
      <c r="P7881" s="6">
        <v>0.47</v>
      </c>
      <c r="Q7881" s="11">
        <v>2.2999999999999998</v>
      </c>
      <c r="R7881" s="11"/>
      <c r="S7881" s="11"/>
      <c r="T7881" s="11"/>
      <c r="U7881" s="11">
        <f t="shared" si="2281"/>
        <v>2.2999999999999998</v>
      </c>
      <c r="W7881">
        <v>2.5</v>
      </c>
      <c r="X7881" s="1" t="s">
        <v>94</v>
      </c>
    </row>
    <row r="7882" spans="1:24" x14ac:dyDescent="0.25">
      <c r="A7882" s="1" t="str">
        <f t="shared" si="2282"/>
        <v>卡卡杜-凤凰仓</v>
      </c>
      <c r="B7882" s="1" t="str">
        <f>"CK202410116152"</f>
        <v>CK202410116152</v>
      </c>
      <c r="C7882" s="1" t="str">
        <f>"DD2024101114661"</f>
        <v>DD2024101114661</v>
      </c>
      <c r="D7882" s="1" t="str">
        <f>"CK2024101117403"</f>
        <v>CK2024101117403</v>
      </c>
      <c r="E7882" s="1" t="str">
        <f>"6934829575913215263"</f>
        <v>6934829575913215263</v>
      </c>
      <c r="F7882" s="1" t="str">
        <f t="shared" si="2283"/>
        <v>花都四部-凤凰仓</v>
      </c>
      <c r="G7882" s="1" t="str">
        <f t="shared" si="2275"/>
        <v>卡卡杜个人护理店（抖店）</v>
      </c>
      <c r="H7882" s="1" t="str">
        <f t="shared" si="2284"/>
        <v>正常订单</v>
      </c>
      <c r="I7882" s="1" t="str">
        <f t="shared" si="2285"/>
        <v>已发货</v>
      </c>
      <c r="J7882" s="1" t="str">
        <f t="shared" si="2280"/>
        <v>5</v>
      </c>
      <c r="K7882" s="1">
        <v>3</v>
      </c>
      <c r="L7882" s="1" t="s">
        <v>66</v>
      </c>
      <c r="M7882" s="1" t="str">
        <f>"内蒙古自治区 呼和浩特市 赛罕区 昭乌达路街道"</f>
        <v>内蒙古自治区 呼和浩特市 赛罕区 昭乌达路街道</v>
      </c>
      <c r="N7882" s="1" t="str">
        <f t="shared" si="2279"/>
        <v>凡华云仓-韵达-抖音</v>
      </c>
      <c r="O7882" s="5">
        <v>320166063565742</v>
      </c>
      <c r="P7882" s="6">
        <v>0.47</v>
      </c>
      <c r="Q7882" s="11">
        <v>2.2999999999999998</v>
      </c>
      <c r="R7882" s="11"/>
      <c r="S7882" s="11"/>
      <c r="T7882" s="11"/>
      <c r="U7882" s="11">
        <f t="shared" si="2281"/>
        <v>2.2999999999999998</v>
      </c>
      <c r="W7882">
        <v>2.5</v>
      </c>
      <c r="X7882" s="1" t="s">
        <v>66</v>
      </c>
    </row>
    <row r="7883" spans="1:24" x14ac:dyDescent="0.25">
      <c r="A7883" s="1" t="str">
        <f t="shared" si="2282"/>
        <v>卡卡杜-凤凰仓</v>
      </c>
      <c r="B7883" s="1" t="str">
        <f>"CK202410116084"</f>
        <v>CK202410116084</v>
      </c>
      <c r="C7883" s="1" t="str">
        <f>"DD2024101114593"</f>
        <v>DD2024101114593</v>
      </c>
      <c r="D7883" s="1" t="str">
        <f>"CK2024101117402"</f>
        <v>CK2024101117402</v>
      </c>
      <c r="E7883" s="1" t="str">
        <f>"6934834156921558148"</f>
        <v>6934834156921558148</v>
      </c>
      <c r="F7883" s="1" t="str">
        <f t="shared" si="2283"/>
        <v>花都四部-凤凰仓</v>
      </c>
      <c r="G7883" s="1" t="str">
        <f t="shared" si="2275"/>
        <v>卡卡杜个人护理店（抖店）</v>
      </c>
      <c r="H7883" s="1" t="str">
        <f t="shared" si="2284"/>
        <v>正常订单</v>
      </c>
      <c r="I7883" s="1" t="str">
        <f t="shared" si="2285"/>
        <v>已发货</v>
      </c>
      <c r="J7883" s="1" t="str">
        <f t="shared" si="2280"/>
        <v>5</v>
      </c>
      <c r="K7883" s="1">
        <v>3</v>
      </c>
      <c r="L7883" s="1" t="s">
        <v>13</v>
      </c>
      <c r="M7883" s="1" t="str">
        <f>"江苏省 无锡市 江阴市 周庄镇"</f>
        <v>江苏省 无锡市 江阴市 周庄镇</v>
      </c>
      <c r="N7883" s="1" t="str">
        <f t="shared" si="2279"/>
        <v>凡华云仓-韵达-抖音</v>
      </c>
      <c r="O7883" s="5">
        <v>320166063565641</v>
      </c>
      <c r="P7883" s="6">
        <v>0.47</v>
      </c>
      <c r="Q7883" s="11">
        <v>2.2999999999999998</v>
      </c>
      <c r="R7883" s="11"/>
      <c r="S7883" s="11"/>
      <c r="T7883" s="11"/>
      <c r="U7883" s="11">
        <f t="shared" si="2281"/>
        <v>2.2999999999999998</v>
      </c>
      <c r="W7883">
        <v>2.5</v>
      </c>
      <c r="X7883" s="1" t="s">
        <v>13</v>
      </c>
    </row>
    <row r="7884" spans="1:24" x14ac:dyDescent="0.25">
      <c r="A7884" s="1" t="str">
        <f t="shared" si="2282"/>
        <v>卡卡杜-凤凰仓</v>
      </c>
      <c r="B7884" s="1" t="str">
        <f>"CK202410116079"</f>
        <v>CK202410116079</v>
      </c>
      <c r="C7884" s="1" t="str">
        <f>"DD2024101114587"</f>
        <v>DD2024101114587</v>
      </c>
      <c r="D7884" s="1" t="str">
        <f>"CK2024101117401"</f>
        <v>CK2024101117401</v>
      </c>
      <c r="E7884" s="1" t="str">
        <f>"6934831552895915245"</f>
        <v>6934831552895915245</v>
      </c>
      <c r="F7884" s="1" t="str">
        <f t="shared" si="2283"/>
        <v>花都四部-凤凰仓</v>
      </c>
      <c r="G7884" s="1" t="str">
        <f t="shared" si="2275"/>
        <v>卡卡杜个人护理店（抖店）</v>
      </c>
      <c r="H7884" s="1" t="str">
        <f t="shared" si="2284"/>
        <v>正常订单</v>
      </c>
      <c r="I7884" s="1" t="str">
        <f t="shared" si="2285"/>
        <v>已发货</v>
      </c>
      <c r="J7884" s="1" t="str">
        <f t="shared" si="2280"/>
        <v>5</v>
      </c>
      <c r="K7884" s="1">
        <v>3</v>
      </c>
      <c r="L7884" s="1" t="s">
        <v>96</v>
      </c>
      <c r="M7884" s="1" t="str">
        <f>"广西壮族自治区 桂林市 秀峰区 "</f>
        <v xml:space="preserve">广西壮族自治区 桂林市 秀峰区 </v>
      </c>
      <c r="N7884" s="1" t="str">
        <f t="shared" si="2279"/>
        <v>凡华云仓-韵达-抖音</v>
      </c>
      <c r="O7884" s="5">
        <v>320166063565542</v>
      </c>
      <c r="P7884" s="6">
        <v>0.47</v>
      </c>
      <c r="Q7884" s="11">
        <v>2.2999999999999998</v>
      </c>
      <c r="R7884" s="11"/>
      <c r="S7884" s="11"/>
      <c r="T7884" s="11"/>
      <c r="U7884" s="11">
        <f t="shared" si="2281"/>
        <v>2.2999999999999998</v>
      </c>
      <c r="W7884">
        <v>2.5</v>
      </c>
      <c r="X7884" s="1" t="s">
        <v>96</v>
      </c>
    </row>
    <row r="7885" spans="1:24" x14ac:dyDescent="0.25">
      <c r="A7885" s="1" t="str">
        <f t="shared" si="2282"/>
        <v>卡卡杜-凤凰仓</v>
      </c>
      <c r="B7885" s="1" t="str">
        <f>"CK202410116085"</f>
        <v>CK202410116085</v>
      </c>
      <c r="C7885" s="1" t="str">
        <f>"DD2024101114594"</f>
        <v>DD2024101114594</v>
      </c>
      <c r="D7885" s="1" t="str">
        <f>"CK2024101117400"</f>
        <v>CK2024101117400</v>
      </c>
      <c r="E7885" s="1" t="str">
        <f>"6934853783610922757"</f>
        <v>6934853783610922757</v>
      </c>
      <c r="F7885" s="1" t="str">
        <f t="shared" si="2283"/>
        <v>花都四部-凤凰仓</v>
      </c>
      <c r="G7885" s="1" t="str">
        <f t="shared" ref="G7885:G7948" si="2286">"卡卡杜个人护理店（抖店）"</f>
        <v>卡卡杜个人护理店（抖店）</v>
      </c>
      <c r="H7885" s="1" t="str">
        <f t="shared" si="2284"/>
        <v>正常订单</v>
      </c>
      <c r="I7885" s="1" t="str">
        <f t="shared" si="2285"/>
        <v>已发货</v>
      </c>
      <c r="J7885" s="1" t="str">
        <f t="shared" si="2280"/>
        <v>5</v>
      </c>
      <c r="K7885" s="1">
        <v>3</v>
      </c>
      <c r="L7885" s="1" t="s">
        <v>30</v>
      </c>
      <c r="M7885" s="1" t="str">
        <f>"山东省 威海市 环翠区 竹岛街道"</f>
        <v>山东省 威海市 环翠区 竹岛街道</v>
      </c>
      <c r="N7885" s="1" t="str">
        <f t="shared" si="2279"/>
        <v>凡华云仓-韵达-抖音</v>
      </c>
      <c r="O7885" s="5">
        <v>320166063565445</v>
      </c>
      <c r="P7885" s="6">
        <v>0.47</v>
      </c>
      <c r="Q7885" s="11">
        <v>2.2999999999999998</v>
      </c>
      <c r="R7885" s="11"/>
      <c r="S7885" s="11"/>
      <c r="T7885" s="11"/>
      <c r="U7885" s="11">
        <f t="shared" si="2281"/>
        <v>2.2999999999999998</v>
      </c>
      <c r="W7885">
        <v>2.5</v>
      </c>
      <c r="X7885" s="1" t="s">
        <v>30</v>
      </c>
    </row>
    <row r="7886" spans="1:24" x14ac:dyDescent="0.25">
      <c r="A7886" s="1" t="str">
        <f t="shared" si="2282"/>
        <v>卡卡杜-凤凰仓</v>
      </c>
      <c r="B7886" s="1" t="str">
        <f>"CK202410116086"</f>
        <v>CK202410116086</v>
      </c>
      <c r="C7886" s="1" t="str">
        <f>"DD2024101114595"</f>
        <v>DD2024101114595</v>
      </c>
      <c r="D7886" s="1" t="str">
        <f>"CK2024101117399"</f>
        <v>CK2024101117399</v>
      </c>
      <c r="E7886" s="1" t="str">
        <f>"6934836279275165601"</f>
        <v>6934836279275165601</v>
      </c>
      <c r="F7886" s="1" t="str">
        <f t="shared" si="2283"/>
        <v>花都四部-凤凰仓</v>
      </c>
      <c r="G7886" s="1" t="str">
        <f t="shared" si="2286"/>
        <v>卡卡杜个人护理店（抖店）</v>
      </c>
      <c r="H7886" s="1" t="str">
        <f t="shared" si="2284"/>
        <v>正常订单</v>
      </c>
      <c r="I7886" s="1" t="str">
        <f t="shared" si="2285"/>
        <v>已发货</v>
      </c>
      <c r="J7886" s="1" t="str">
        <f t="shared" si="2280"/>
        <v>5</v>
      </c>
      <c r="K7886" s="1">
        <v>3</v>
      </c>
      <c r="L7886" s="1" t="s">
        <v>60</v>
      </c>
      <c r="M7886" s="1" t="str">
        <f>"云南省 昆明市 官渡区 小板桥街道"</f>
        <v>云南省 昆明市 官渡区 小板桥街道</v>
      </c>
      <c r="N7886" s="1" t="str">
        <f t="shared" si="2279"/>
        <v>凡华云仓-韵达-抖音</v>
      </c>
      <c r="O7886" s="5">
        <v>320166063565350</v>
      </c>
      <c r="P7886" s="6">
        <v>0.47</v>
      </c>
      <c r="Q7886" s="11">
        <v>2.2999999999999998</v>
      </c>
      <c r="R7886" s="11"/>
      <c r="S7886" s="11"/>
      <c r="T7886" s="11"/>
      <c r="U7886" s="11">
        <f t="shared" si="2281"/>
        <v>2.2999999999999998</v>
      </c>
      <c r="W7886">
        <v>2.5</v>
      </c>
      <c r="X7886" s="1" t="s">
        <v>60</v>
      </c>
    </row>
    <row r="7887" spans="1:24" x14ac:dyDescent="0.25">
      <c r="A7887" s="1" t="str">
        <f t="shared" si="2282"/>
        <v>卡卡杜-凤凰仓</v>
      </c>
      <c r="B7887" s="1" t="str">
        <f>"CK202410116087"</f>
        <v>CK202410116087</v>
      </c>
      <c r="C7887" s="1" t="str">
        <f>"DD2024101114596"</f>
        <v>DD2024101114596</v>
      </c>
      <c r="D7887" s="1" t="str">
        <f>"CK2024101117398"</f>
        <v>CK2024101117398</v>
      </c>
      <c r="E7887" s="1" t="str">
        <f>"6934840972201629372"</f>
        <v>6934840972201629372</v>
      </c>
      <c r="F7887" s="1" t="str">
        <f t="shared" si="2283"/>
        <v>花都四部-凤凰仓</v>
      </c>
      <c r="G7887" s="1" t="str">
        <f t="shared" si="2286"/>
        <v>卡卡杜个人护理店（抖店）</v>
      </c>
      <c r="H7887" s="1" t="str">
        <f t="shared" si="2284"/>
        <v>正常订单</v>
      </c>
      <c r="I7887" s="1" t="str">
        <f t="shared" si="2285"/>
        <v>已发货</v>
      </c>
      <c r="J7887" s="1" t="str">
        <f t="shared" si="2280"/>
        <v>5</v>
      </c>
      <c r="K7887" s="1">
        <v>3</v>
      </c>
      <c r="L7887" s="1" t="s">
        <v>30</v>
      </c>
      <c r="M7887" s="1" t="str">
        <f>"山东省 烟台市 牟平区 武宁街道"</f>
        <v>山东省 烟台市 牟平区 武宁街道</v>
      </c>
      <c r="N7887" s="1" t="str">
        <f t="shared" si="2279"/>
        <v>凡华云仓-韵达-抖音</v>
      </c>
      <c r="O7887" s="5">
        <v>320166063565257</v>
      </c>
      <c r="P7887" s="6">
        <v>0.47</v>
      </c>
      <c r="Q7887" s="11">
        <v>2.2999999999999998</v>
      </c>
      <c r="R7887" s="11"/>
      <c r="S7887" s="11"/>
      <c r="T7887" s="11"/>
      <c r="U7887" s="11">
        <f t="shared" si="2281"/>
        <v>2.2999999999999998</v>
      </c>
      <c r="W7887">
        <v>2.5</v>
      </c>
      <c r="X7887" s="1" t="s">
        <v>30</v>
      </c>
    </row>
    <row r="7888" spans="1:24" x14ac:dyDescent="0.25">
      <c r="A7888" s="1" t="str">
        <f t="shared" si="2282"/>
        <v>卡卡杜-凤凰仓</v>
      </c>
      <c r="B7888" s="1" t="str">
        <f>"CK202410118132"</f>
        <v>CK202410118132</v>
      </c>
      <c r="C7888" s="1" t="str">
        <f>"DD2024101116687"</f>
        <v>DD2024101116687</v>
      </c>
      <c r="D7888" s="1" t="str">
        <f>"CK2024101117397"</f>
        <v>CK2024101117397</v>
      </c>
      <c r="E7888" s="1" t="str">
        <f>"6934824725425952332"</f>
        <v>6934824725425952332</v>
      </c>
      <c r="F7888" s="1" t="str">
        <f t="shared" si="2283"/>
        <v>花都四部-凤凰仓</v>
      </c>
      <c r="G7888" s="1" t="str">
        <f t="shared" si="2286"/>
        <v>卡卡杜个人护理店（抖店）</v>
      </c>
      <c r="H7888" s="1" t="str">
        <f t="shared" si="2284"/>
        <v>正常订单</v>
      </c>
      <c r="I7888" s="1" t="str">
        <f t="shared" si="2285"/>
        <v>已发货</v>
      </c>
      <c r="J7888" s="1" t="str">
        <f t="shared" si="2280"/>
        <v>5</v>
      </c>
      <c r="K7888" s="1">
        <v>3</v>
      </c>
      <c r="L7888" s="1" t="s">
        <v>30</v>
      </c>
      <c r="M7888" s="1" t="str">
        <f>"山东省 德州市 德城区 二屯镇"</f>
        <v>山东省 德州市 德城区 二屯镇</v>
      </c>
      <c r="N7888" s="1" t="str">
        <f t="shared" si="2279"/>
        <v>凡华云仓-韵达-抖音</v>
      </c>
      <c r="O7888" s="5">
        <v>320166063565166</v>
      </c>
      <c r="P7888" s="6">
        <v>0.47</v>
      </c>
      <c r="Q7888" s="11">
        <v>2.2999999999999998</v>
      </c>
      <c r="R7888" s="11"/>
      <c r="S7888" s="11"/>
      <c r="T7888" s="11"/>
      <c r="U7888" s="11">
        <f t="shared" si="2281"/>
        <v>2.2999999999999998</v>
      </c>
      <c r="W7888">
        <v>2.5</v>
      </c>
      <c r="X7888" s="1" t="s">
        <v>30</v>
      </c>
    </row>
    <row r="7889" spans="1:24" x14ac:dyDescent="0.25">
      <c r="A7889" s="1" t="str">
        <f t="shared" si="2282"/>
        <v>卡卡杜-凤凰仓</v>
      </c>
      <c r="B7889" s="1" t="str">
        <f>"CK202410116089"</f>
        <v>CK202410116089</v>
      </c>
      <c r="C7889" s="1" t="str">
        <f>"DD2024101114598"</f>
        <v>DD2024101114598</v>
      </c>
      <c r="D7889" s="1" t="str">
        <f>"CK2024101117396"</f>
        <v>CK2024101117396</v>
      </c>
      <c r="E7889" s="1" t="str">
        <f>"6934822628709635155"</f>
        <v>6934822628709635155</v>
      </c>
      <c r="F7889" s="1" t="str">
        <f t="shared" si="2283"/>
        <v>花都四部-凤凰仓</v>
      </c>
      <c r="G7889" s="1" t="str">
        <f t="shared" si="2286"/>
        <v>卡卡杜个人护理店（抖店）</v>
      </c>
      <c r="H7889" s="1" t="str">
        <f t="shared" si="2284"/>
        <v>正常订单</v>
      </c>
      <c r="I7889" s="1" t="str">
        <f t="shared" si="2285"/>
        <v>已发货</v>
      </c>
      <c r="J7889" s="1" t="str">
        <f t="shared" si="2280"/>
        <v>5</v>
      </c>
      <c r="K7889" s="1">
        <v>3</v>
      </c>
      <c r="L7889" s="1" t="s">
        <v>54</v>
      </c>
      <c r="M7889" s="1" t="str">
        <f>"黑龙江省 鸡西市 密山市 裴德镇"</f>
        <v>黑龙江省 鸡西市 密山市 裴德镇</v>
      </c>
      <c r="N7889" s="1" t="str">
        <f t="shared" si="2279"/>
        <v>凡华云仓-韵达-抖音</v>
      </c>
      <c r="O7889" s="5">
        <v>320166063565077</v>
      </c>
      <c r="P7889" s="6">
        <v>0.47</v>
      </c>
      <c r="Q7889" s="11">
        <v>2.2999999999999998</v>
      </c>
      <c r="R7889" s="11"/>
      <c r="S7889" s="11"/>
      <c r="T7889" s="11"/>
      <c r="U7889" s="11">
        <f t="shared" si="2281"/>
        <v>2.2999999999999998</v>
      </c>
      <c r="W7889">
        <v>2.5</v>
      </c>
      <c r="X7889" s="1" t="s">
        <v>54</v>
      </c>
    </row>
    <row r="7890" spans="1:24" x14ac:dyDescent="0.25">
      <c r="A7890" s="1" t="str">
        <f t="shared" si="2282"/>
        <v>卡卡杜-凤凰仓</v>
      </c>
      <c r="B7890" s="1" t="str">
        <f>"CK202410116167"</f>
        <v>CK202410116167</v>
      </c>
      <c r="C7890" s="1" t="str">
        <f>"DD2024101114676"</f>
        <v>DD2024101114676</v>
      </c>
      <c r="D7890" s="1" t="str">
        <f>"CK2024101117395"</f>
        <v>CK2024101117395</v>
      </c>
      <c r="E7890" s="1" t="str">
        <f>"6934847517718026048"</f>
        <v>6934847517718026048</v>
      </c>
      <c r="F7890" s="1" t="str">
        <f t="shared" si="2283"/>
        <v>花都四部-凤凰仓</v>
      </c>
      <c r="G7890" s="1" t="str">
        <f t="shared" si="2286"/>
        <v>卡卡杜个人护理店（抖店）</v>
      </c>
      <c r="H7890" s="1" t="str">
        <f t="shared" si="2284"/>
        <v>正常订单</v>
      </c>
      <c r="I7890" s="1" t="str">
        <f t="shared" si="2285"/>
        <v>已发货</v>
      </c>
      <c r="J7890" s="1" t="str">
        <f t="shared" si="2280"/>
        <v>5</v>
      </c>
      <c r="K7890" s="1">
        <v>3</v>
      </c>
      <c r="L7890" s="1" t="s">
        <v>80</v>
      </c>
      <c r="M7890" s="1" t="str">
        <f>"河南省 信阳市 潢川县 定城街道"</f>
        <v>河南省 信阳市 潢川县 定城街道</v>
      </c>
      <c r="N7890" s="1" t="str">
        <f t="shared" si="2279"/>
        <v>凡华云仓-韵达-抖音</v>
      </c>
      <c r="O7890" s="5">
        <v>320166063564953</v>
      </c>
      <c r="P7890" s="6">
        <v>0.47</v>
      </c>
      <c r="Q7890" s="11">
        <v>2.2999999999999998</v>
      </c>
      <c r="R7890" s="11"/>
      <c r="S7890" s="11"/>
      <c r="T7890" s="11"/>
      <c r="U7890" s="11">
        <f t="shared" si="2281"/>
        <v>2.2999999999999998</v>
      </c>
      <c r="W7890">
        <v>2.5</v>
      </c>
      <c r="X7890" s="1" t="s">
        <v>80</v>
      </c>
    </row>
    <row r="7891" spans="1:24" x14ac:dyDescent="0.25">
      <c r="A7891" s="1" t="str">
        <f t="shared" si="2282"/>
        <v>卡卡杜-凤凰仓</v>
      </c>
      <c r="B7891" s="1" t="str">
        <f>"CK2024101110463"</f>
        <v>CK2024101110463</v>
      </c>
      <c r="C7891" s="1" t="str">
        <f>"DD2024101117057"</f>
        <v>DD2024101117057</v>
      </c>
      <c r="D7891" s="1" t="str">
        <f>"CK2024101117394"</f>
        <v>CK2024101117394</v>
      </c>
      <c r="E7891" s="1" t="str">
        <f>"6934829638120904020"</f>
        <v>6934829638120904020</v>
      </c>
      <c r="F7891" s="1" t="str">
        <f t="shared" si="2283"/>
        <v>花都四部-凤凰仓</v>
      </c>
      <c r="G7891" s="1" t="str">
        <f t="shared" si="2286"/>
        <v>卡卡杜个人护理店（抖店）</v>
      </c>
      <c r="H7891" s="1" t="str">
        <f t="shared" si="2284"/>
        <v>正常订单</v>
      </c>
      <c r="I7891" s="1" t="str">
        <f t="shared" si="2285"/>
        <v>已发货</v>
      </c>
      <c r="J7891" s="1" t="str">
        <f t="shared" si="2280"/>
        <v>5</v>
      </c>
      <c r="K7891" s="1">
        <v>3</v>
      </c>
      <c r="L7891" s="1" t="s">
        <v>13</v>
      </c>
      <c r="M7891" s="1" t="str">
        <f>"江苏省 苏州市 姑苏区 吴门桥街道"</f>
        <v>江苏省 苏州市 姑苏区 吴门桥街道</v>
      </c>
      <c r="N7891" s="1" t="str">
        <f t="shared" si="2279"/>
        <v>凡华云仓-韵达-抖音</v>
      </c>
      <c r="O7891" s="5">
        <v>320166063564848</v>
      </c>
      <c r="P7891" s="6">
        <v>0.47</v>
      </c>
      <c r="Q7891" s="11">
        <v>2.2999999999999998</v>
      </c>
      <c r="R7891" s="11"/>
      <c r="S7891" s="11"/>
      <c r="T7891" s="11"/>
      <c r="U7891" s="11">
        <f t="shared" si="2281"/>
        <v>2.2999999999999998</v>
      </c>
      <c r="W7891">
        <v>2.5</v>
      </c>
      <c r="X7891" s="1" t="s">
        <v>13</v>
      </c>
    </row>
    <row r="7892" spans="1:24" x14ac:dyDescent="0.25">
      <c r="A7892" s="1" t="str">
        <f t="shared" si="2282"/>
        <v>卡卡杜-凤凰仓</v>
      </c>
      <c r="B7892" s="1" t="str">
        <f>"CK202410116162"</f>
        <v>CK202410116162</v>
      </c>
      <c r="C7892" s="1" t="str">
        <f>"DD2024101114672"</f>
        <v>DD2024101114672</v>
      </c>
      <c r="D7892" s="1" t="str">
        <f>"CK2024101117393"</f>
        <v>CK2024101117393</v>
      </c>
      <c r="E7892" s="1" t="str">
        <f>"6934836206342706583"</f>
        <v>6934836206342706583</v>
      </c>
      <c r="F7892" s="1" t="str">
        <f t="shared" si="2283"/>
        <v>花都四部-凤凰仓</v>
      </c>
      <c r="G7892" s="1" t="str">
        <f t="shared" si="2286"/>
        <v>卡卡杜个人护理店（抖店）</v>
      </c>
      <c r="H7892" s="1" t="str">
        <f t="shared" si="2284"/>
        <v>正常订单</v>
      </c>
      <c r="I7892" s="1" t="str">
        <f t="shared" si="2285"/>
        <v>已发货</v>
      </c>
      <c r="J7892" s="1" t="str">
        <f t="shared" si="2280"/>
        <v>5</v>
      </c>
      <c r="K7892" s="1">
        <v>3</v>
      </c>
      <c r="L7892" s="1" t="s">
        <v>27</v>
      </c>
      <c r="M7892" s="1" t="str">
        <f>"贵州省 六盘水市 盘州市 胜境街道"</f>
        <v>贵州省 六盘水市 盘州市 胜境街道</v>
      </c>
      <c r="N7892" s="1" t="str">
        <f t="shared" si="2279"/>
        <v>凡华云仓-韵达-抖音</v>
      </c>
      <c r="O7892" s="5">
        <v>320166083380208</v>
      </c>
      <c r="P7892" s="6">
        <v>0.47</v>
      </c>
      <c r="Q7892" s="11">
        <v>2.2999999999999998</v>
      </c>
      <c r="R7892" s="11"/>
      <c r="S7892" s="11"/>
      <c r="T7892" s="11"/>
      <c r="U7892" s="11">
        <f t="shared" si="2281"/>
        <v>2.2999999999999998</v>
      </c>
      <c r="W7892">
        <v>2.5</v>
      </c>
      <c r="X7892" s="1" t="s">
        <v>27</v>
      </c>
    </row>
    <row r="7893" spans="1:24" x14ac:dyDescent="0.25">
      <c r="A7893" s="1" t="str">
        <f t="shared" si="2282"/>
        <v>卡卡杜-凤凰仓</v>
      </c>
      <c r="B7893" s="1" t="str">
        <f>"CK202410116186"</f>
        <v>CK202410116186</v>
      </c>
      <c r="C7893" s="1" t="str">
        <f>"DD2024101114695"</f>
        <v>DD2024101114695</v>
      </c>
      <c r="D7893" s="1" t="str">
        <f>"CK2024101117392"</f>
        <v>CK2024101117392</v>
      </c>
      <c r="E7893" s="1" t="str">
        <f>"6934836291762460336"</f>
        <v>6934836291762460336</v>
      </c>
      <c r="F7893" s="1" t="str">
        <f t="shared" si="2283"/>
        <v>花都四部-凤凰仓</v>
      </c>
      <c r="G7893" s="1" t="str">
        <f t="shared" si="2286"/>
        <v>卡卡杜个人护理店（抖店）</v>
      </c>
      <c r="H7893" s="1" t="str">
        <f t="shared" si="2284"/>
        <v>正常订单</v>
      </c>
      <c r="I7893" s="1" t="str">
        <f t="shared" si="2285"/>
        <v>已发货</v>
      </c>
      <c r="J7893" s="1" t="str">
        <f t="shared" si="2280"/>
        <v>5</v>
      </c>
      <c r="K7893" s="1">
        <v>3</v>
      </c>
      <c r="L7893" s="1" t="s">
        <v>20</v>
      </c>
      <c r="M7893" s="1" t="str">
        <f>"浙江省 丽水市 莲都区 碧湖镇"</f>
        <v>浙江省 丽水市 莲都区 碧湖镇</v>
      </c>
      <c r="N7893" s="1" t="str">
        <f t="shared" si="2279"/>
        <v>凡华云仓-韵达-抖音</v>
      </c>
      <c r="O7893" s="5">
        <v>320166083380117</v>
      </c>
      <c r="P7893" s="6">
        <v>0.47</v>
      </c>
      <c r="Q7893" s="11">
        <v>2.2999999999999998</v>
      </c>
      <c r="R7893" s="11"/>
      <c r="S7893" s="11"/>
      <c r="T7893" s="11"/>
      <c r="U7893" s="11">
        <f t="shared" si="2281"/>
        <v>2.2999999999999998</v>
      </c>
      <c r="W7893">
        <v>2.5</v>
      </c>
      <c r="X7893" s="1" t="s">
        <v>20</v>
      </c>
    </row>
    <row r="7894" spans="1:24" x14ac:dyDescent="0.25">
      <c r="A7894" s="1" t="str">
        <f t="shared" si="2282"/>
        <v>卡卡杜-凤凰仓</v>
      </c>
      <c r="B7894" s="1" t="str">
        <f>"CK202410116101"</f>
        <v>CK202410116101</v>
      </c>
      <c r="C7894" s="1" t="str">
        <f>"DD2024101114610"</f>
        <v>DD2024101114610</v>
      </c>
      <c r="D7894" s="1" t="str">
        <f>"CK2024101117391"</f>
        <v>CK2024101117391</v>
      </c>
      <c r="E7894" s="1" t="str">
        <f>"6934847561853441697"</f>
        <v>6934847561853441697</v>
      </c>
      <c r="F7894" s="1" t="str">
        <f t="shared" si="2283"/>
        <v>花都四部-凤凰仓</v>
      </c>
      <c r="G7894" s="1" t="str">
        <f t="shared" si="2286"/>
        <v>卡卡杜个人护理店（抖店）</v>
      </c>
      <c r="H7894" s="1" t="str">
        <f t="shared" si="2284"/>
        <v>正常订单</v>
      </c>
      <c r="I7894" s="1" t="str">
        <f t="shared" si="2285"/>
        <v>已发货</v>
      </c>
      <c r="J7894" s="1" t="str">
        <f t="shared" si="2280"/>
        <v>5</v>
      </c>
      <c r="K7894" s="1">
        <v>3</v>
      </c>
      <c r="L7894" s="1" t="s">
        <v>13</v>
      </c>
      <c r="M7894" s="1" t="str">
        <f>"江苏省 苏州市 吴江区 盛泽镇"</f>
        <v>江苏省 苏州市 吴江区 盛泽镇</v>
      </c>
      <c r="N7894" s="1" t="str">
        <f t="shared" si="2279"/>
        <v>凡华云仓-韵达-抖音</v>
      </c>
      <c r="O7894" s="5">
        <v>320166083380028</v>
      </c>
      <c r="P7894" s="6">
        <v>0.47</v>
      </c>
      <c r="Q7894" s="11">
        <v>2.2999999999999998</v>
      </c>
      <c r="R7894" s="11"/>
      <c r="S7894" s="11"/>
      <c r="T7894" s="11"/>
      <c r="U7894" s="11">
        <f t="shared" si="2281"/>
        <v>2.2999999999999998</v>
      </c>
      <c r="W7894">
        <v>2.5</v>
      </c>
      <c r="X7894" s="1" t="s">
        <v>13</v>
      </c>
    </row>
    <row r="7895" spans="1:24" x14ac:dyDescent="0.25">
      <c r="A7895" s="1" t="str">
        <f t="shared" si="2282"/>
        <v>卡卡杜-凤凰仓</v>
      </c>
      <c r="B7895" s="1" t="str">
        <f>"CK202410118193"</f>
        <v>CK202410118193</v>
      </c>
      <c r="C7895" s="1" t="str">
        <f>"DD2024101116747"</f>
        <v>DD2024101116747</v>
      </c>
      <c r="D7895" s="1" t="str">
        <f>"CK2024101117390"</f>
        <v>CK2024101117390</v>
      </c>
      <c r="E7895" s="1" t="str">
        <f>"6934849405220885943"</f>
        <v>6934849405220885943</v>
      </c>
      <c r="F7895" s="1" t="str">
        <f t="shared" si="2283"/>
        <v>花都四部-凤凰仓</v>
      </c>
      <c r="G7895" s="1" t="str">
        <f t="shared" si="2286"/>
        <v>卡卡杜个人护理店（抖店）</v>
      </c>
      <c r="H7895" s="1" t="str">
        <f t="shared" si="2284"/>
        <v>正常订单</v>
      </c>
      <c r="I7895" s="1" t="str">
        <f t="shared" si="2285"/>
        <v>已发货</v>
      </c>
      <c r="J7895" s="1" t="str">
        <f t="shared" si="2280"/>
        <v>5</v>
      </c>
      <c r="K7895" s="1">
        <v>3</v>
      </c>
      <c r="L7895" s="1" t="s">
        <v>13</v>
      </c>
      <c r="M7895" s="1" t="str">
        <f>"江苏省 徐州市 贾汪区 大泉街道"</f>
        <v>江苏省 徐州市 贾汪区 大泉街道</v>
      </c>
      <c r="N7895" s="1" t="str">
        <f t="shared" si="2279"/>
        <v>凡华云仓-韵达-抖音</v>
      </c>
      <c r="O7895" s="5">
        <v>320166083379971</v>
      </c>
      <c r="P7895" s="6">
        <v>0.47</v>
      </c>
      <c r="Q7895" s="11">
        <v>2.2999999999999998</v>
      </c>
      <c r="R7895" s="11"/>
      <c r="S7895" s="11"/>
      <c r="T7895" s="11"/>
      <c r="U7895" s="11">
        <f t="shared" si="2281"/>
        <v>2.2999999999999998</v>
      </c>
      <c r="W7895">
        <v>2.5</v>
      </c>
      <c r="X7895" s="1" t="s">
        <v>13</v>
      </c>
    </row>
    <row r="7896" spans="1:24" x14ac:dyDescent="0.25">
      <c r="A7896" s="1" t="str">
        <f t="shared" si="2282"/>
        <v>卡卡杜-凤凰仓</v>
      </c>
      <c r="B7896" s="1" t="str">
        <f>"CK202410116102"</f>
        <v>CK202410116102</v>
      </c>
      <c r="C7896" s="1" t="str">
        <f>"DD2024101114611"</f>
        <v>DD2024101114611</v>
      </c>
      <c r="D7896" s="1" t="str">
        <f>"CK2024101117389"</f>
        <v>CK2024101117389</v>
      </c>
      <c r="E7896" s="1" t="str">
        <f>"6934829531740444637"</f>
        <v>6934829531740444637</v>
      </c>
      <c r="F7896" s="1" t="str">
        <f t="shared" si="2283"/>
        <v>花都四部-凤凰仓</v>
      </c>
      <c r="G7896" s="1" t="str">
        <f t="shared" si="2286"/>
        <v>卡卡杜个人护理店（抖店）</v>
      </c>
      <c r="H7896" s="1" t="str">
        <f t="shared" si="2284"/>
        <v>正常订单</v>
      </c>
      <c r="I7896" s="1" t="str">
        <f t="shared" si="2285"/>
        <v>已发货</v>
      </c>
      <c r="J7896" s="1" t="str">
        <f t="shared" si="2280"/>
        <v>5</v>
      </c>
      <c r="K7896" s="1">
        <v>3</v>
      </c>
      <c r="L7896" s="1" t="s">
        <v>161</v>
      </c>
      <c r="M7896" s="1" t="str">
        <f>"四川省 绵阳市 涪城区 科创园街道"</f>
        <v>四川省 绵阳市 涪城区 科创园街道</v>
      </c>
      <c r="N7896" s="1" t="str">
        <f t="shared" si="2279"/>
        <v>凡华云仓-韵达-抖音</v>
      </c>
      <c r="O7896" s="5">
        <v>320166083379866</v>
      </c>
      <c r="P7896" s="6">
        <v>0.47</v>
      </c>
      <c r="Q7896" s="11">
        <v>2.2999999999999998</v>
      </c>
      <c r="R7896" s="11"/>
      <c r="S7896" s="11"/>
      <c r="T7896" s="11"/>
      <c r="U7896" s="11">
        <f t="shared" si="2281"/>
        <v>2.2999999999999998</v>
      </c>
      <c r="W7896">
        <v>2.5</v>
      </c>
      <c r="X7896" s="1" t="s">
        <v>161</v>
      </c>
    </row>
    <row r="7897" spans="1:24" x14ac:dyDescent="0.25">
      <c r="A7897" s="1" t="str">
        <f t="shared" si="2282"/>
        <v>卡卡杜-凤凰仓</v>
      </c>
      <c r="B7897" s="1" t="str">
        <f>"CK202410116159"</f>
        <v>CK202410116159</v>
      </c>
      <c r="C7897" s="1" t="str">
        <f>"DD2024101114668"</f>
        <v>DD2024101114668</v>
      </c>
      <c r="D7897" s="1" t="str">
        <f>"CK2024101117388"</f>
        <v>CK2024101117388</v>
      </c>
      <c r="E7897" s="1" t="str">
        <f>"6934855725672568658"</f>
        <v>6934855725672568658</v>
      </c>
      <c r="F7897" s="1" t="str">
        <f t="shared" si="2283"/>
        <v>花都四部-凤凰仓</v>
      </c>
      <c r="G7897" s="1" t="str">
        <f t="shared" si="2286"/>
        <v>卡卡杜个人护理店（抖店）</v>
      </c>
      <c r="H7897" s="1" t="str">
        <f t="shared" si="2284"/>
        <v>正常订单</v>
      </c>
      <c r="I7897" s="1" t="str">
        <f t="shared" si="2285"/>
        <v>已发货</v>
      </c>
      <c r="J7897" s="1" t="str">
        <f t="shared" si="2280"/>
        <v>5</v>
      </c>
      <c r="K7897" s="1">
        <v>3</v>
      </c>
      <c r="L7897" s="1" t="s">
        <v>74</v>
      </c>
      <c r="M7897" s="1" t="str">
        <f>"上海 上海市 黄浦区 南京东路街道"</f>
        <v>上海 上海市 黄浦区 南京东路街道</v>
      </c>
      <c r="N7897" s="1" t="str">
        <f t="shared" si="2279"/>
        <v>凡华云仓-韵达-抖音</v>
      </c>
      <c r="O7897" s="5">
        <v>320166083379763</v>
      </c>
      <c r="P7897" s="6">
        <v>0.47</v>
      </c>
      <c r="Q7897" s="11">
        <v>2.2999999999999998</v>
      </c>
      <c r="R7897" s="11"/>
      <c r="S7897" s="11"/>
      <c r="T7897" s="11"/>
      <c r="U7897" s="11">
        <f t="shared" si="2281"/>
        <v>2.2999999999999998</v>
      </c>
      <c r="W7897">
        <v>2.5</v>
      </c>
      <c r="X7897" s="1" t="s">
        <v>74</v>
      </c>
    </row>
    <row r="7898" spans="1:24" x14ac:dyDescent="0.25">
      <c r="A7898" s="1" t="str">
        <f t="shared" si="2282"/>
        <v>卡卡杜-凤凰仓</v>
      </c>
      <c r="B7898" s="1" t="str">
        <f>"CK202410116103"</f>
        <v>CK202410116103</v>
      </c>
      <c r="C7898" s="1" t="str">
        <f>"DD2024101114612"</f>
        <v>DD2024101114612</v>
      </c>
      <c r="D7898" s="1" t="str">
        <f>"CK2024101117387"</f>
        <v>CK2024101117387</v>
      </c>
      <c r="E7898" s="1" t="str">
        <f>"6934853729906202184"</f>
        <v>6934853729906202184</v>
      </c>
      <c r="F7898" s="1" t="str">
        <f t="shared" si="2283"/>
        <v>花都四部-凤凰仓</v>
      </c>
      <c r="G7898" s="1" t="str">
        <f t="shared" si="2286"/>
        <v>卡卡杜个人护理店（抖店）</v>
      </c>
      <c r="H7898" s="1" t="str">
        <f t="shared" si="2284"/>
        <v>正常订单</v>
      </c>
      <c r="I7898" s="1" t="str">
        <f t="shared" si="2285"/>
        <v>已发货</v>
      </c>
      <c r="J7898" s="1" t="str">
        <f t="shared" si="2280"/>
        <v>5</v>
      </c>
      <c r="K7898" s="1">
        <v>3</v>
      </c>
      <c r="L7898" s="1" t="s">
        <v>218</v>
      </c>
      <c r="M7898" s="1" t="str">
        <f>"天津 天津市 河东区 "</f>
        <v xml:space="preserve">天津 天津市 河东区 </v>
      </c>
      <c r="N7898" s="1" t="str">
        <f t="shared" si="2279"/>
        <v>凡华云仓-韵达-抖音</v>
      </c>
      <c r="O7898" s="5">
        <v>320166083379662</v>
      </c>
      <c r="P7898" s="6">
        <v>0.47</v>
      </c>
      <c r="Q7898" s="11">
        <v>2.2999999999999998</v>
      </c>
      <c r="R7898" s="11"/>
      <c r="S7898" s="11"/>
      <c r="T7898" s="11"/>
      <c r="U7898" s="11">
        <f t="shared" si="2281"/>
        <v>2.2999999999999998</v>
      </c>
      <c r="W7898">
        <v>2.5</v>
      </c>
      <c r="X7898" s="1" t="s">
        <v>218</v>
      </c>
    </row>
    <row r="7899" spans="1:24" x14ac:dyDescent="0.25">
      <c r="A7899" s="1" t="str">
        <f t="shared" si="2282"/>
        <v>卡卡杜-凤凰仓</v>
      </c>
      <c r="B7899" s="1" t="str">
        <f>"CK202410116104"</f>
        <v>CK202410116104</v>
      </c>
      <c r="C7899" s="1" t="str">
        <f>"DD2024101114613"</f>
        <v>DD2024101114613</v>
      </c>
      <c r="D7899" s="1" t="str">
        <f>"CK2024101117386"</f>
        <v>CK2024101117386</v>
      </c>
      <c r="E7899" s="1" t="str">
        <f>"6934836218158585664"</f>
        <v>6934836218158585664</v>
      </c>
      <c r="F7899" s="1" t="str">
        <f t="shared" si="2283"/>
        <v>花都四部-凤凰仓</v>
      </c>
      <c r="G7899" s="1" t="str">
        <f t="shared" si="2286"/>
        <v>卡卡杜个人护理店（抖店）</v>
      </c>
      <c r="H7899" s="1" t="str">
        <f t="shared" si="2284"/>
        <v>正常订单</v>
      </c>
      <c r="I7899" s="1" t="str">
        <f t="shared" si="2285"/>
        <v>已发货</v>
      </c>
      <c r="J7899" s="1" t="str">
        <f t="shared" si="2280"/>
        <v>5</v>
      </c>
      <c r="K7899" s="1">
        <v>3</v>
      </c>
      <c r="L7899" s="1" t="s">
        <v>109</v>
      </c>
      <c r="M7899" s="1" t="str">
        <f>"山西省 晋城市 沁水县 龙港镇"</f>
        <v>山西省 晋城市 沁水县 龙港镇</v>
      </c>
      <c r="N7899" s="1" t="str">
        <f t="shared" si="2279"/>
        <v>凡华云仓-韵达-抖音</v>
      </c>
      <c r="O7899" s="5">
        <v>320166083379563</v>
      </c>
      <c r="P7899" s="6">
        <v>0.47</v>
      </c>
      <c r="Q7899" s="11">
        <v>2.2999999999999998</v>
      </c>
      <c r="R7899" s="11"/>
      <c r="S7899" s="11"/>
      <c r="T7899" s="11"/>
      <c r="U7899" s="11">
        <f t="shared" si="2281"/>
        <v>2.2999999999999998</v>
      </c>
      <c r="W7899">
        <v>2.5</v>
      </c>
      <c r="X7899" s="1" t="s">
        <v>109</v>
      </c>
    </row>
    <row r="7900" spans="1:24" x14ac:dyDescent="0.25">
      <c r="A7900" s="1" t="str">
        <f t="shared" si="2282"/>
        <v>卡卡杜-凤凰仓</v>
      </c>
      <c r="B7900" s="1" t="str">
        <f>"CK202410116105"</f>
        <v>CK202410116105</v>
      </c>
      <c r="C7900" s="1" t="str">
        <f>"DD2024101114614"</f>
        <v>DD2024101114614</v>
      </c>
      <c r="D7900" s="1" t="str">
        <f>"CK2024101117385"</f>
        <v>CK2024101117385</v>
      </c>
      <c r="E7900" s="1" t="str">
        <f>"6934851837085030101"</f>
        <v>6934851837085030101</v>
      </c>
      <c r="F7900" s="1" t="str">
        <f t="shared" si="2283"/>
        <v>花都四部-凤凰仓</v>
      </c>
      <c r="G7900" s="1" t="str">
        <f t="shared" si="2286"/>
        <v>卡卡杜个人护理店（抖店）</v>
      </c>
      <c r="H7900" s="1" t="str">
        <f t="shared" si="2284"/>
        <v>正常订单</v>
      </c>
      <c r="I7900" s="1" t="str">
        <f t="shared" si="2285"/>
        <v>已发货</v>
      </c>
      <c r="J7900" s="1" t="str">
        <f t="shared" si="2280"/>
        <v>5</v>
      </c>
      <c r="K7900" s="1">
        <v>3</v>
      </c>
      <c r="L7900" s="1" t="s">
        <v>3743</v>
      </c>
      <c r="M7900" s="1" t="str">
        <f>"西藏自治区 拉萨市 城关区 公德林街道"</f>
        <v>西藏自治区 拉萨市 城关区 公德林街道</v>
      </c>
      <c r="N7900" s="1" t="str">
        <f t="shared" si="2279"/>
        <v>凡华云仓-韵达-抖音</v>
      </c>
      <c r="O7900" s="5">
        <v>320166083379466</v>
      </c>
      <c r="P7900" s="6">
        <v>0.47</v>
      </c>
      <c r="Q7900" s="11">
        <v>17</v>
      </c>
      <c r="R7900" s="11"/>
      <c r="S7900" s="11"/>
      <c r="T7900" s="11"/>
      <c r="U7900" s="11">
        <f t="shared" si="2281"/>
        <v>17</v>
      </c>
      <c r="W7900">
        <v>17</v>
      </c>
      <c r="X7900" s="1" t="s">
        <v>3743</v>
      </c>
    </row>
    <row r="7901" spans="1:24" x14ac:dyDescent="0.25">
      <c r="A7901" s="1" t="str">
        <f t="shared" si="2282"/>
        <v>卡卡杜-凤凰仓</v>
      </c>
      <c r="B7901" s="1" t="str">
        <f>"CK202410116106"</f>
        <v>CK202410116106</v>
      </c>
      <c r="C7901" s="1" t="str">
        <f>"DD2024101114616"</f>
        <v>DD2024101114616</v>
      </c>
      <c r="D7901" s="1" t="str">
        <f>"CK2024101117384"</f>
        <v>CK2024101117384</v>
      </c>
      <c r="E7901" s="1" t="str">
        <f>"6934849419326330845"</f>
        <v>6934849419326330845</v>
      </c>
      <c r="F7901" s="1" t="str">
        <f t="shared" si="2283"/>
        <v>花都四部-凤凰仓</v>
      </c>
      <c r="G7901" s="1" t="str">
        <f t="shared" si="2286"/>
        <v>卡卡杜个人护理店（抖店）</v>
      </c>
      <c r="H7901" s="1" t="str">
        <f t="shared" si="2284"/>
        <v>正常订单</v>
      </c>
      <c r="I7901" s="1" t="str">
        <f t="shared" si="2285"/>
        <v>已发货</v>
      </c>
      <c r="J7901" s="1" t="str">
        <f t="shared" si="2280"/>
        <v>5</v>
      </c>
      <c r="K7901" s="1">
        <v>3</v>
      </c>
      <c r="L7901" s="1" t="s">
        <v>13</v>
      </c>
      <c r="M7901" s="1" t="str">
        <f>"江苏省 常州市 武进区 横林镇"</f>
        <v>江苏省 常州市 武进区 横林镇</v>
      </c>
      <c r="N7901" s="1" t="str">
        <f t="shared" si="2279"/>
        <v>凡华云仓-韵达-抖音</v>
      </c>
      <c r="O7901" s="5">
        <v>320166083379371</v>
      </c>
      <c r="P7901" s="6">
        <v>0.47</v>
      </c>
      <c r="Q7901" s="11">
        <v>2.2999999999999998</v>
      </c>
      <c r="R7901" s="11"/>
      <c r="S7901" s="11"/>
      <c r="T7901" s="11"/>
      <c r="U7901" s="11">
        <f t="shared" si="2281"/>
        <v>2.2999999999999998</v>
      </c>
      <c r="W7901">
        <v>2.5</v>
      </c>
      <c r="X7901" s="1" t="s">
        <v>13</v>
      </c>
    </row>
    <row r="7902" spans="1:24" x14ac:dyDescent="0.25">
      <c r="A7902" s="1" t="str">
        <f t="shared" si="2282"/>
        <v>卡卡杜-凤凰仓</v>
      </c>
      <c r="B7902" s="1" t="str">
        <f>"CK202410118192"</f>
        <v>CK202410118192</v>
      </c>
      <c r="C7902" s="1" t="str">
        <f>"DD2024101116746"</f>
        <v>DD2024101116746</v>
      </c>
      <c r="D7902" s="1" t="str">
        <f>"CK2024101117383"</f>
        <v>CK2024101117383</v>
      </c>
      <c r="E7902" s="1" t="str">
        <f>"6934849477830972641"</f>
        <v>6934849477830972641</v>
      </c>
      <c r="F7902" s="1" t="str">
        <f t="shared" si="2283"/>
        <v>花都四部-凤凰仓</v>
      </c>
      <c r="G7902" s="1" t="str">
        <f t="shared" si="2286"/>
        <v>卡卡杜个人护理店（抖店）</v>
      </c>
      <c r="H7902" s="1" t="str">
        <f t="shared" si="2284"/>
        <v>正常订单</v>
      </c>
      <c r="I7902" s="1" t="str">
        <f t="shared" si="2285"/>
        <v>已发货</v>
      </c>
      <c r="J7902" s="1" t="str">
        <f t="shared" si="2280"/>
        <v>5</v>
      </c>
      <c r="K7902" s="1">
        <v>3</v>
      </c>
      <c r="L7902" s="1" t="s">
        <v>41</v>
      </c>
      <c r="M7902" s="1" t="str">
        <f>"湖北省 武汉市 蔡甸区 中法武汉生态示范城"</f>
        <v>湖北省 武汉市 蔡甸区 中法武汉生态示范城</v>
      </c>
      <c r="N7902" s="1" t="str">
        <f t="shared" si="2279"/>
        <v>凡华云仓-韵达-抖音</v>
      </c>
      <c r="O7902" s="5">
        <v>320166068521577</v>
      </c>
      <c r="P7902" s="6">
        <v>0.47</v>
      </c>
      <c r="Q7902" s="11">
        <v>2.2999999999999998</v>
      </c>
      <c r="R7902" s="11"/>
      <c r="S7902" s="11"/>
      <c r="T7902" s="11"/>
      <c r="U7902" s="11">
        <f t="shared" si="2281"/>
        <v>2.2999999999999998</v>
      </c>
      <c r="W7902">
        <v>2.5</v>
      </c>
      <c r="X7902" s="1" t="s">
        <v>41</v>
      </c>
    </row>
    <row r="7903" spans="1:24" x14ac:dyDescent="0.25">
      <c r="A7903" s="1" t="str">
        <f t="shared" si="2282"/>
        <v>卡卡杜-凤凰仓</v>
      </c>
      <c r="B7903" s="1" t="str">
        <f>"CK202410116108"</f>
        <v>CK202410116108</v>
      </c>
      <c r="C7903" s="1" t="str">
        <f>"DD2024101114615"</f>
        <v>DD2024101114615</v>
      </c>
      <c r="D7903" s="1" t="str">
        <f>"CK2024101117382"</f>
        <v>CK2024101117382</v>
      </c>
      <c r="E7903" s="1" t="str">
        <f>"6934834215839536413"</f>
        <v>6934834215839536413</v>
      </c>
      <c r="F7903" s="1" t="str">
        <f t="shared" si="2283"/>
        <v>花都四部-凤凰仓</v>
      </c>
      <c r="G7903" s="1" t="str">
        <f t="shared" si="2286"/>
        <v>卡卡杜个人护理店（抖店）</v>
      </c>
      <c r="H7903" s="1" t="str">
        <f t="shared" si="2284"/>
        <v>正常订单</v>
      </c>
      <c r="I7903" s="1" t="str">
        <f t="shared" si="2285"/>
        <v>已发货</v>
      </c>
      <c r="J7903" s="1" t="str">
        <f t="shared" si="2280"/>
        <v>5</v>
      </c>
      <c r="K7903" s="1">
        <v>3</v>
      </c>
      <c r="L7903" s="1" t="s">
        <v>187</v>
      </c>
      <c r="M7903" s="1" t="str">
        <f>"吉林省 长春市 二道区 英俊镇"</f>
        <v>吉林省 长春市 二道区 英俊镇</v>
      </c>
      <c r="N7903" s="1" t="str">
        <f t="shared" si="2279"/>
        <v>凡华云仓-韵达-抖音</v>
      </c>
      <c r="O7903" s="5">
        <v>320166068521480</v>
      </c>
      <c r="P7903" s="6">
        <v>0.47</v>
      </c>
      <c r="Q7903" s="11">
        <v>2.2999999999999998</v>
      </c>
      <c r="R7903" s="11"/>
      <c r="S7903" s="11"/>
      <c r="T7903" s="11"/>
      <c r="U7903" s="11">
        <f t="shared" si="2281"/>
        <v>2.2999999999999998</v>
      </c>
      <c r="W7903">
        <v>2.5</v>
      </c>
      <c r="X7903" s="1" t="s">
        <v>187</v>
      </c>
    </row>
    <row r="7904" spans="1:24" x14ac:dyDescent="0.25">
      <c r="A7904" s="1" t="str">
        <f t="shared" si="2282"/>
        <v>卡卡杜-凤凰仓</v>
      </c>
      <c r="B7904" s="1" t="str">
        <f>"CK202410116115"</f>
        <v>CK202410116115</v>
      </c>
      <c r="C7904" s="1" t="str">
        <f>"DD2024101114624"</f>
        <v>DD2024101114624</v>
      </c>
      <c r="D7904" s="1" t="str">
        <f>"CK2024101117381"</f>
        <v>CK2024101117381</v>
      </c>
      <c r="E7904" s="1" t="str">
        <f>"6934851674534188446"</f>
        <v>6934851674534188446</v>
      </c>
      <c r="F7904" s="1" t="str">
        <f t="shared" si="2283"/>
        <v>花都四部-凤凰仓</v>
      </c>
      <c r="G7904" s="1" t="str">
        <f t="shared" si="2286"/>
        <v>卡卡杜个人护理店（抖店）</v>
      </c>
      <c r="H7904" s="1" t="str">
        <f t="shared" si="2284"/>
        <v>正常订单</v>
      </c>
      <c r="I7904" s="1" t="str">
        <f t="shared" si="2285"/>
        <v>已发货</v>
      </c>
      <c r="J7904" s="1" t="str">
        <f t="shared" si="2280"/>
        <v>5</v>
      </c>
      <c r="K7904" s="1">
        <v>3</v>
      </c>
      <c r="L7904" s="1" t="s">
        <v>16</v>
      </c>
      <c r="M7904" s="1" t="str">
        <f>"河北省 唐山市 丰南区 胥各庄镇"</f>
        <v>河北省 唐山市 丰南区 胥各庄镇</v>
      </c>
      <c r="N7904" s="1" t="str">
        <f t="shared" si="2279"/>
        <v>凡华云仓-韵达-抖音</v>
      </c>
      <c r="O7904" s="5">
        <v>320166068521385</v>
      </c>
      <c r="P7904" s="6">
        <v>0.47</v>
      </c>
      <c r="Q7904" s="11">
        <v>2.2999999999999998</v>
      </c>
      <c r="R7904" s="11"/>
      <c r="S7904" s="11"/>
      <c r="T7904" s="11"/>
      <c r="U7904" s="11">
        <f t="shared" si="2281"/>
        <v>2.2999999999999998</v>
      </c>
      <c r="W7904">
        <v>2.5</v>
      </c>
      <c r="X7904" s="1" t="s">
        <v>16</v>
      </c>
    </row>
    <row r="7905" spans="1:24" x14ac:dyDescent="0.25">
      <c r="A7905" s="1" t="str">
        <f t="shared" si="2282"/>
        <v>卡卡杜-凤凰仓</v>
      </c>
      <c r="B7905" s="1" t="str">
        <f>"CK202410118139"</f>
        <v>CK202410118139</v>
      </c>
      <c r="C7905" s="1" t="str">
        <f>"DD2024101116693"</f>
        <v>DD2024101116693</v>
      </c>
      <c r="D7905" s="1" t="str">
        <f>"CK2024101117380"</f>
        <v>CK2024101117380</v>
      </c>
      <c r="E7905" s="1" t="str">
        <f>"6934824722531947683"</f>
        <v>6934824722531947683</v>
      </c>
      <c r="F7905" s="1" t="str">
        <f t="shared" si="2283"/>
        <v>花都四部-凤凰仓</v>
      </c>
      <c r="G7905" s="1" t="str">
        <f t="shared" si="2286"/>
        <v>卡卡杜个人护理店（抖店）</v>
      </c>
      <c r="H7905" s="1" t="str">
        <f t="shared" si="2284"/>
        <v>正常订单</v>
      </c>
      <c r="I7905" s="1" t="str">
        <f t="shared" si="2285"/>
        <v>已发货</v>
      </c>
      <c r="J7905" s="1" t="str">
        <f t="shared" si="2280"/>
        <v>5</v>
      </c>
      <c r="K7905" s="1">
        <v>3</v>
      </c>
      <c r="L7905" s="1" t="s">
        <v>24</v>
      </c>
      <c r="M7905" s="1" t="str">
        <f>"福建省 福州市 马尾区 马尾镇"</f>
        <v>福建省 福州市 马尾区 马尾镇</v>
      </c>
      <c r="N7905" s="1" t="str">
        <f t="shared" si="2279"/>
        <v>凡华云仓-韵达-抖音</v>
      </c>
      <c r="O7905" s="5">
        <v>320166068521292</v>
      </c>
      <c r="P7905" s="6">
        <v>0.47</v>
      </c>
      <c r="Q7905" s="11">
        <v>2.2999999999999998</v>
      </c>
      <c r="R7905" s="11"/>
      <c r="S7905" s="11"/>
      <c r="T7905" s="11"/>
      <c r="U7905" s="11">
        <f t="shared" si="2281"/>
        <v>2.2999999999999998</v>
      </c>
      <c r="W7905">
        <v>2.5</v>
      </c>
      <c r="X7905" s="1" t="s">
        <v>24</v>
      </c>
    </row>
    <row r="7906" spans="1:24" x14ac:dyDescent="0.25">
      <c r="A7906" s="1" t="str">
        <f t="shared" si="2282"/>
        <v>卡卡杜-凤凰仓</v>
      </c>
      <c r="B7906" s="1" t="str">
        <f>"CK202410116099"</f>
        <v>CK202410116099</v>
      </c>
      <c r="C7906" s="1" t="str">
        <f>"DD2024101114608"</f>
        <v>DD2024101114608</v>
      </c>
      <c r="D7906" s="1" t="str">
        <f>"CK2024101117379"</f>
        <v>CK2024101117379</v>
      </c>
      <c r="E7906" s="1" t="str">
        <f>"6934851741473511322"</f>
        <v>6934851741473511322</v>
      </c>
      <c r="F7906" s="1" t="str">
        <f t="shared" si="2283"/>
        <v>花都四部-凤凰仓</v>
      </c>
      <c r="G7906" s="1" t="str">
        <f t="shared" si="2286"/>
        <v>卡卡杜个人护理店（抖店）</v>
      </c>
      <c r="H7906" s="1" t="str">
        <f t="shared" si="2284"/>
        <v>正常订单</v>
      </c>
      <c r="I7906" s="1" t="str">
        <f t="shared" si="2285"/>
        <v>已发货</v>
      </c>
      <c r="J7906" s="1" t="str">
        <f t="shared" si="2280"/>
        <v>5</v>
      </c>
      <c r="K7906" s="1">
        <v>3</v>
      </c>
      <c r="L7906" s="1" t="s">
        <v>187</v>
      </c>
      <c r="M7906" s="1" t="str">
        <f>"吉林省 吉林市 船营区 黄旗街道"</f>
        <v>吉林省 吉林市 船营区 黄旗街道</v>
      </c>
      <c r="N7906" s="1" t="str">
        <f t="shared" si="2279"/>
        <v>凡华云仓-韵达-抖音</v>
      </c>
      <c r="O7906" s="5">
        <v>320166068521101</v>
      </c>
      <c r="P7906" s="6">
        <v>0.47</v>
      </c>
      <c r="Q7906" s="11">
        <v>2.2999999999999998</v>
      </c>
      <c r="R7906" s="11"/>
      <c r="S7906" s="11"/>
      <c r="T7906" s="11"/>
      <c r="U7906" s="11">
        <f t="shared" si="2281"/>
        <v>2.2999999999999998</v>
      </c>
      <c r="W7906">
        <v>2.5</v>
      </c>
      <c r="X7906" s="1" t="s">
        <v>187</v>
      </c>
    </row>
    <row r="7907" spans="1:24" x14ac:dyDescent="0.25">
      <c r="A7907" s="1" t="str">
        <f t="shared" si="2282"/>
        <v>卡卡杜-凤凰仓</v>
      </c>
      <c r="B7907" s="1" t="str">
        <f>"CK202410116110"</f>
        <v>CK202410116110</v>
      </c>
      <c r="C7907" s="1" t="str">
        <f>"DD2024101114619"</f>
        <v>DD2024101114619</v>
      </c>
      <c r="D7907" s="1" t="str">
        <f>"CK2024101117378"</f>
        <v>CK2024101117378</v>
      </c>
      <c r="E7907" s="1" t="str">
        <f>"6934853786237146281"</f>
        <v>6934853786237146281</v>
      </c>
      <c r="F7907" s="1" t="str">
        <f t="shared" si="2283"/>
        <v>花都四部-凤凰仓</v>
      </c>
      <c r="G7907" s="1" t="str">
        <f t="shared" si="2286"/>
        <v>卡卡杜个人护理店（抖店）</v>
      </c>
      <c r="H7907" s="1" t="str">
        <f t="shared" si="2284"/>
        <v>正常订单</v>
      </c>
      <c r="I7907" s="1" t="str">
        <f t="shared" si="2285"/>
        <v>已发货</v>
      </c>
      <c r="J7907" s="1" t="str">
        <f t="shared" si="2280"/>
        <v>5</v>
      </c>
      <c r="K7907" s="1">
        <v>3</v>
      </c>
      <c r="L7907" s="1" t="s">
        <v>54</v>
      </c>
      <c r="M7907" s="1" t="str">
        <f>"黑龙江省 哈尔滨市 松北区 松北街道"</f>
        <v>黑龙江省 哈尔滨市 松北区 松北街道</v>
      </c>
      <c r="N7907" s="1" t="str">
        <f t="shared" si="2279"/>
        <v>凡华云仓-韵达-抖音</v>
      </c>
      <c r="O7907" s="5">
        <v>320166068521012</v>
      </c>
      <c r="P7907" s="6">
        <v>0.47</v>
      </c>
      <c r="Q7907" s="11">
        <v>2.2999999999999998</v>
      </c>
      <c r="R7907" s="11"/>
      <c r="S7907" s="11"/>
      <c r="T7907" s="11"/>
      <c r="U7907" s="11">
        <f t="shared" si="2281"/>
        <v>2.2999999999999998</v>
      </c>
      <c r="W7907">
        <v>2.5</v>
      </c>
      <c r="X7907" s="1" t="s">
        <v>54</v>
      </c>
    </row>
    <row r="7908" spans="1:24" x14ac:dyDescent="0.25">
      <c r="A7908" s="1" t="str">
        <f t="shared" si="2282"/>
        <v>卡卡杜-凤凰仓</v>
      </c>
      <c r="B7908" s="1" t="str">
        <f>"CK202410118191"</f>
        <v>CK202410118191</v>
      </c>
      <c r="C7908" s="1" t="str">
        <f>"DD2024101116744"</f>
        <v>DD2024101116744</v>
      </c>
      <c r="D7908" s="1" t="str">
        <f>"CK2024101117377"</f>
        <v>CK2024101117377</v>
      </c>
      <c r="E7908" s="1" t="str">
        <f>"6934831506096067716"</f>
        <v>6934831506096067716</v>
      </c>
      <c r="F7908" s="1" t="str">
        <f t="shared" si="2283"/>
        <v>花都四部-凤凰仓</v>
      </c>
      <c r="G7908" s="1" t="str">
        <f t="shared" si="2286"/>
        <v>卡卡杜个人护理店（抖店）</v>
      </c>
      <c r="H7908" s="1" t="str">
        <f t="shared" si="2284"/>
        <v>正常订单</v>
      </c>
      <c r="I7908" s="1" t="str">
        <f t="shared" si="2285"/>
        <v>已发货</v>
      </c>
      <c r="J7908" s="1" t="str">
        <f t="shared" si="2280"/>
        <v>5</v>
      </c>
      <c r="K7908" s="1">
        <v>3</v>
      </c>
      <c r="L7908" s="1" t="s">
        <v>20</v>
      </c>
      <c r="M7908" s="1" t="str">
        <f>"浙江省 丽水市 缙云县 五云街道"</f>
        <v>浙江省 丽水市 缙云县 五云街道</v>
      </c>
      <c r="N7908" s="1" t="str">
        <f t="shared" si="2279"/>
        <v>凡华云仓-韵达-抖音</v>
      </c>
      <c r="O7908" s="5">
        <v>320166068520996</v>
      </c>
      <c r="P7908" s="6">
        <v>0.47</v>
      </c>
      <c r="Q7908" s="11">
        <v>2.2999999999999998</v>
      </c>
      <c r="R7908" s="11"/>
      <c r="S7908" s="11"/>
      <c r="T7908" s="11"/>
      <c r="U7908" s="11">
        <f t="shared" si="2281"/>
        <v>2.2999999999999998</v>
      </c>
      <c r="W7908">
        <v>2.5</v>
      </c>
      <c r="X7908" s="1" t="s">
        <v>20</v>
      </c>
    </row>
    <row r="7909" spans="1:24" x14ac:dyDescent="0.25">
      <c r="A7909" s="1" t="str">
        <f t="shared" si="2282"/>
        <v>卡卡杜-凤凰仓</v>
      </c>
      <c r="B7909" s="1" t="str">
        <f>"CK202410118133"</f>
        <v>CK202410118133</v>
      </c>
      <c r="C7909" s="1" t="str">
        <f>"DD2024101116686"</f>
        <v>DD2024101116686</v>
      </c>
      <c r="D7909" s="1" t="str">
        <f>"CK2024101117376"</f>
        <v>CK2024101117376</v>
      </c>
      <c r="E7909" s="1" t="str">
        <f>"6934838452919539107"</f>
        <v>6934838452919539107</v>
      </c>
      <c r="F7909" s="1" t="str">
        <f t="shared" si="2283"/>
        <v>花都四部-凤凰仓</v>
      </c>
      <c r="G7909" s="1" t="str">
        <f t="shared" si="2286"/>
        <v>卡卡杜个人护理店（抖店）</v>
      </c>
      <c r="H7909" s="1" t="str">
        <f t="shared" si="2284"/>
        <v>正常订单</v>
      </c>
      <c r="I7909" s="1" t="str">
        <f t="shared" si="2285"/>
        <v>已发货</v>
      </c>
      <c r="J7909" s="1" t="str">
        <f t="shared" si="2280"/>
        <v>5</v>
      </c>
      <c r="K7909" s="1">
        <v>3</v>
      </c>
      <c r="L7909" s="1" t="s">
        <v>218</v>
      </c>
      <c r="M7909" s="1" t="str">
        <f>"天津 天津市 北辰区 宜兴埠镇"</f>
        <v>天津 天津市 北辰区 宜兴埠镇</v>
      </c>
      <c r="N7909" s="1" t="str">
        <f t="shared" si="2279"/>
        <v>凡华云仓-韵达-抖音</v>
      </c>
      <c r="O7909" s="5">
        <v>320166068520891</v>
      </c>
      <c r="P7909" s="6">
        <v>0.47</v>
      </c>
      <c r="Q7909" s="11">
        <v>2.2999999999999998</v>
      </c>
      <c r="R7909" s="11"/>
      <c r="S7909" s="11"/>
      <c r="T7909" s="11"/>
      <c r="U7909" s="11">
        <f t="shared" si="2281"/>
        <v>2.2999999999999998</v>
      </c>
      <c r="W7909">
        <v>2.5</v>
      </c>
      <c r="X7909" s="1" t="s">
        <v>218</v>
      </c>
    </row>
    <row r="7910" spans="1:24" x14ac:dyDescent="0.25">
      <c r="A7910" s="1" t="str">
        <f t="shared" si="2282"/>
        <v>卡卡杜-凤凰仓</v>
      </c>
      <c r="B7910" s="1" t="str">
        <f>"CK202410118190"</f>
        <v>CK202410118190</v>
      </c>
      <c r="C7910" s="1" t="str">
        <f>"DD2024101116745"</f>
        <v>DD2024101116745</v>
      </c>
      <c r="D7910" s="1" t="str">
        <f>"CK2024101117375"</f>
        <v>CK2024101117375</v>
      </c>
      <c r="E7910" s="1" t="str">
        <f>"6934822554282104068"</f>
        <v>6934822554282104068</v>
      </c>
      <c r="F7910" s="1" t="str">
        <f t="shared" si="2283"/>
        <v>花都四部-凤凰仓</v>
      </c>
      <c r="G7910" s="1" t="str">
        <f t="shared" si="2286"/>
        <v>卡卡杜个人护理店（抖店）</v>
      </c>
      <c r="H7910" s="1" t="str">
        <f t="shared" si="2284"/>
        <v>正常订单</v>
      </c>
      <c r="I7910" s="1" t="str">
        <f t="shared" si="2285"/>
        <v>已发货</v>
      </c>
      <c r="J7910" s="1" t="str">
        <f t="shared" si="2280"/>
        <v>5</v>
      </c>
      <c r="K7910" s="1">
        <v>3</v>
      </c>
      <c r="L7910" s="1" t="s">
        <v>80</v>
      </c>
      <c r="M7910" s="1" t="str">
        <f>"河南省 平顶山市 宝丰县 "</f>
        <v xml:space="preserve">河南省 平顶山市 宝丰县 </v>
      </c>
      <c r="N7910" s="1" t="str">
        <f t="shared" si="2279"/>
        <v>凡华云仓-韵达-抖音</v>
      </c>
      <c r="O7910" s="5">
        <v>320166068520788</v>
      </c>
      <c r="P7910" s="6">
        <v>0.47</v>
      </c>
      <c r="Q7910" s="11">
        <v>2.2999999999999998</v>
      </c>
      <c r="R7910" s="11"/>
      <c r="S7910" s="11"/>
      <c r="T7910" s="11"/>
      <c r="U7910" s="11">
        <f t="shared" si="2281"/>
        <v>2.2999999999999998</v>
      </c>
      <c r="W7910">
        <v>2.5</v>
      </c>
      <c r="X7910" s="1" t="s">
        <v>80</v>
      </c>
    </row>
    <row r="7911" spans="1:24" x14ac:dyDescent="0.25">
      <c r="A7911" s="1" t="str">
        <f t="shared" si="2282"/>
        <v>卡卡杜-凤凰仓</v>
      </c>
      <c r="B7911" s="1" t="str">
        <f>"CK202410116112"</f>
        <v>CK202410116112</v>
      </c>
      <c r="C7911" s="1" t="str">
        <f>"DD2024101114622"</f>
        <v>DD2024101114622</v>
      </c>
      <c r="D7911" s="1" t="str">
        <f>"CK2024101117374"</f>
        <v>CK2024101117374</v>
      </c>
      <c r="E7911" s="1" t="str">
        <f>"6934851688309003999"</f>
        <v>6934851688309003999</v>
      </c>
      <c r="F7911" s="1" t="str">
        <f t="shared" si="2283"/>
        <v>花都四部-凤凰仓</v>
      </c>
      <c r="G7911" s="1" t="str">
        <f t="shared" si="2286"/>
        <v>卡卡杜个人护理店（抖店）</v>
      </c>
      <c r="H7911" s="1" t="str">
        <f t="shared" si="2284"/>
        <v>正常订单</v>
      </c>
      <c r="I7911" s="1" t="str">
        <f t="shared" si="2285"/>
        <v>已发货</v>
      </c>
      <c r="J7911" s="1" t="str">
        <f t="shared" si="2280"/>
        <v>5</v>
      </c>
      <c r="K7911" s="1">
        <v>3</v>
      </c>
      <c r="L7911" s="1" t="s">
        <v>94</v>
      </c>
      <c r="M7911" s="1" t="str">
        <f>"湖南省 长沙市 浏阳市 洞阳镇"</f>
        <v>湖南省 长沙市 浏阳市 洞阳镇</v>
      </c>
      <c r="N7911" s="1" t="str">
        <f t="shared" si="2279"/>
        <v>凡华云仓-韵达-抖音</v>
      </c>
      <c r="O7911" s="5">
        <v>320166068520687</v>
      </c>
      <c r="P7911" s="6">
        <v>0.47</v>
      </c>
      <c r="Q7911" s="11">
        <v>2.2999999999999998</v>
      </c>
      <c r="R7911" s="11"/>
      <c r="S7911" s="11"/>
      <c r="T7911" s="11"/>
      <c r="U7911" s="11">
        <f t="shared" si="2281"/>
        <v>2.2999999999999998</v>
      </c>
      <c r="W7911">
        <v>2.5</v>
      </c>
      <c r="X7911" s="1" t="s">
        <v>94</v>
      </c>
    </row>
    <row r="7912" spans="1:24" x14ac:dyDescent="0.25">
      <c r="A7912" s="1" t="str">
        <f t="shared" si="2282"/>
        <v>卡卡杜-凤凰仓</v>
      </c>
      <c r="B7912" s="1" t="str">
        <f>"CK202410116111"</f>
        <v>CK202410116111</v>
      </c>
      <c r="C7912" s="1" t="str">
        <f>"DD2024101114620"</f>
        <v>DD2024101114620</v>
      </c>
      <c r="D7912" s="1" t="str">
        <f>"CK2024101117373"</f>
        <v>CK2024101117373</v>
      </c>
      <c r="E7912" s="1" t="str">
        <f>"6934853761667503391"</f>
        <v>6934853761667503391</v>
      </c>
      <c r="F7912" s="1" t="str">
        <f t="shared" si="2283"/>
        <v>花都四部-凤凰仓</v>
      </c>
      <c r="G7912" s="1" t="str">
        <f t="shared" si="2286"/>
        <v>卡卡杜个人护理店（抖店）</v>
      </c>
      <c r="H7912" s="1" t="str">
        <f t="shared" si="2284"/>
        <v>正常订单</v>
      </c>
      <c r="I7912" s="1" t="str">
        <f t="shared" si="2285"/>
        <v>已发货</v>
      </c>
      <c r="J7912" s="1" t="str">
        <f t="shared" si="2280"/>
        <v>5</v>
      </c>
      <c r="K7912" s="1">
        <v>3</v>
      </c>
      <c r="L7912" s="1" t="s">
        <v>20</v>
      </c>
      <c r="M7912" s="1" t="str">
        <f>"浙江省 舟山市 岱山县 衢山镇"</f>
        <v>浙江省 舟山市 岱山县 衢山镇</v>
      </c>
      <c r="N7912" s="1" t="str">
        <f t="shared" si="2279"/>
        <v>凡华云仓-韵达-抖音</v>
      </c>
      <c r="O7912" s="5">
        <v>320166076249660</v>
      </c>
      <c r="P7912" s="6">
        <v>0.47</v>
      </c>
      <c r="Q7912" s="11">
        <v>2.2999999999999998</v>
      </c>
      <c r="R7912" s="11"/>
      <c r="S7912" s="11"/>
      <c r="T7912" s="11"/>
      <c r="U7912" s="11">
        <f t="shared" si="2281"/>
        <v>2.2999999999999998</v>
      </c>
      <c r="W7912">
        <v>2.5</v>
      </c>
      <c r="X7912" s="1" t="s">
        <v>20</v>
      </c>
    </row>
    <row r="7913" spans="1:24" x14ac:dyDescent="0.25">
      <c r="A7913" s="1" t="str">
        <f t="shared" si="2282"/>
        <v>卡卡杜-凤凰仓</v>
      </c>
      <c r="B7913" s="1" t="str">
        <f>"CK202410116114"</f>
        <v>CK202410116114</v>
      </c>
      <c r="C7913" s="1" t="str">
        <f>"DD2024101114623"</f>
        <v>DD2024101114623</v>
      </c>
      <c r="D7913" s="1" t="str">
        <f>"CK2024101117372"</f>
        <v>CK2024101117372</v>
      </c>
      <c r="E7913" s="1" t="str">
        <f>"6934836273768634026"</f>
        <v>6934836273768634026</v>
      </c>
      <c r="F7913" s="1" t="str">
        <f t="shared" si="2283"/>
        <v>花都四部-凤凰仓</v>
      </c>
      <c r="G7913" s="1" t="str">
        <f t="shared" si="2286"/>
        <v>卡卡杜个人护理店（抖店）</v>
      </c>
      <c r="H7913" s="1" t="str">
        <f t="shared" si="2284"/>
        <v>正常订单</v>
      </c>
      <c r="I7913" s="1" t="str">
        <f t="shared" si="2285"/>
        <v>已发货</v>
      </c>
      <c r="J7913" s="1" t="str">
        <f t="shared" si="2280"/>
        <v>5</v>
      </c>
      <c r="K7913" s="1">
        <v>3</v>
      </c>
      <c r="L7913" s="1" t="s">
        <v>13</v>
      </c>
      <c r="M7913" s="1" t="str">
        <f>"江苏省 南京市 建邺区 "</f>
        <v xml:space="preserve">江苏省 南京市 建邺区 </v>
      </c>
      <c r="N7913" s="1" t="str">
        <f t="shared" si="2279"/>
        <v>凡华云仓-韵达-抖音</v>
      </c>
      <c r="O7913" s="5">
        <v>320166076249561</v>
      </c>
      <c r="P7913" s="6">
        <v>0.47</v>
      </c>
      <c r="Q7913" s="11">
        <v>2.2999999999999998</v>
      </c>
      <c r="R7913" s="11"/>
      <c r="S7913" s="11"/>
      <c r="T7913" s="11"/>
      <c r="U7913" s="11">
        <f t="shared" si="2281"/>
        <v>2.2999999999999998</v>
      </c>
      <c r="W7913">
        <v>2.5</v>
      </c>
      <c r="X7913" s="1" t="s">
        <v>13</v>
      </c>
    </row>
    <row r="7914" spans="1:24" x14ac:dyDescent="0.25">
      <c r="A7914" s="1" t="str">
        <f t="shared" si="2282"/>
        <v>卡卡杜-凤凰仓</v>
      </c>
      <c r="B7914" s="1" t="str">
        <f>"CK202410116117"</f>
        <v>CK202410116117</v>
      </c>
      <c r="C7914" s="1" t="str">
        <f>"DD2024101114625"</f>
        <v>DD2024101114625</v>
      </c>
      <c r="D7914" s="1" t="str">
        <f>"CK2024101117371"</f>
        <v>CK2024101117371</v>
      </c>
      <c r="E7914" s="1" t="str">
        <f>"6934834219135407954"</f>
        <v>6934834219135407954</v>
      </c>
      <c r="F7914" s="1" t="str">
        <f t="shared" si="2283"/>
        <v>花都四部-凤凰仓</v>
      </c>
      <c r="G7914" s="1" t="str">
        <f t="shared" si="2286"/>
        <v>卡卡杜个人护理店（抖店）</v>
      </c>
      <c r="H7914" s="1" t="str">
        <f t="shared" si="2284"/>
        <v>正常订单</v>
      </c>
      <c r="I7914" s="1" t="str">
        <f t="shared" si="2285"/>
        <v>已发货</v>
      </c>
      <c r="J7914" s="1" t="str">
        <f t="shared" si="2280"/>
        <v>5</v>
      </c>
      <c r="K7914" s="1">
        <v>3</v>
      </c>
      <c r="L7914" s="1" t="s">
        <v>32</v>
      </c>
      <c r="M7914" s="1" t="str">
        <f>"陕西省 西安市 未央区 六村堡街道"</f>
        <v>陕西省 西安市 未央区 六村堡街道</v>
      </c>
      <c r="N7914" s="1" t="str">
        <f t="shared" ref="N7914:N7919" si="2287">"凡华云仓-韵达-抖音"</f>
        <v>凡华云仓-韵达-抖音</v>
      </c>
      <c r="O7914" s="5">
        <v>320166076249464</v>
      </c>
      <c r="P7914" s="6">
        <v>0.47</v>
      </c>
      <c r="Q7914" s="11">
        <v>2.2999999999999998</v>
      </c>
      <c r="R7914" s="11"/>
      <c r="S7914" s="11"/>
      <c r="T7914" s="11"/>
      <c r="U7914" s="11">
        <f t="shared" si="2281"/>
        <v>2.2999999999999998</v>
      </c>
      <c r="W7914">
        <v>2.5</v>
      </c>
      <c r="X7914" s="1" t="s">
        <v>32</v>
      </c>
    </row>
    <row r="7915" spans="1:24" x14ac:dyDescent="0.25">
      <c r="A7915" s="1" t="str">
        <f t="shared" si="2282"/>
        <v>卡卡杜-凤凰仓</v>
      </c>
      <c r="B7915" s="1" t="str">
        <f>"CK202410116113"</f>
        <v>CK202410116113</v>
      </c>
      <c r="C7915" s="1" t="str">
        <f>"DD2024101114621"</f>
        <v>DD2024101114621</v>
      </c>
      <c r="D7915" s="1" t="str">
        <f>"CK2024101117370"</f>
        <v>CK2024101117370</v>
      </c>
      <c r="E7915" s="1" t="str">
        <f>"6934838460808369740"</f>
        <v>6934838460808369740</v>
      </c>
      <c r="F7915" s="1" t="str">
        <f t="shared" si="2283"/>
        <v>花都四部-凤凰仓</v>
      </c>
      <c r="G7915" s="1" t="str">
        <f t="shared" si="2286"/>
        <v>卡卡杜个人护理店（抖店）</v>
      </c>
      <c r="H7915" s="1" t="str">
        <f t="shared" si="2284"/>
        <v>正常订单</v>
      </c>
      <c r="I7915" s="1" t="str">
        <f t="shared" si="2285"/>
        <v>已发货</v>
      </c>
      <c r="J7915" s="1" t="str">
        <f t="shared" si="2280"/>
        <v>5</v>
      </c>
      <c r="K7915" s="1">
        <v>3</v>
      </c>
      <c r="L7915" s="1" t="s">
        <v>74</v>
      </c>
      <c r="M7915" s="1" t="str">
        <f>"上海 上海市 浦东新区 三林镇"</f>
        <v>上海 上海市 浦东新区 三林镇</v>
      </c>
      <c r="N7915" s="1" t="str">
        <f t="shared" si="2287"/>
        <v>凡华云仓-韵达-抖音</v>
      </c>
      <c r="O7915" s="5">
        <v>320166076249369</v>
      </c>
      <c r="P7915" s="6">
        <v>0.47</v>
      </c>
      <c r="Q7915" s="11">
        <v>2.2999999999999998</v>
      </c>
      <c r="R7915" s="11"/>
      <c r="S7915" s="11"/>
      <c r="T7915" s="11"/>
      <c r="U7915" s="11">
        <f t="shared" si="2281"/>
        <v>2.2999999999999998</v>
      </c>
      <c r="W7915">
        <v>2.5</v>
      </c>
      <c r="X7915" s="1" t="s">
        <v>74</v>
      </c>
    </row>
    <row r="7916" spans="1:24" x14ac:dyDescent="0.25">
      <c r="A7916" s="1" t="str">
        <f t="shared" si="2282"/>
        <v>卡卡杜-凤凰仓</v>
      </c>
      <c r="B7916" s="1" t="str">
        <f>"CK2024101110452"</f>
        <v>CK2024101110452</v>
      </c>
      <c r="C7916" s="1" t="str">
        <f>"DD2024101117029"</f>
        <v>DD2024101117029</v>
      </c>
      <c r="D7916" s="1" t="str">
        <f>"CK2024101117369"</f>
        <v>CK2024101117369</v>
      </c>
      <c r="E7916" s="1" t="str">
        <f>"6934845414872782271"</f>
        <v>6934845414872782271</v>
      </c>
      <c r="F7916" s="1" t="str">
        <f t="shared" si="2283"/>
        <v>花都四部-凤凰仓</v>
      </c>
      <c r="G7916" s="1" t="str">
        <f t="shared" si="2286"/>
        <v>卡卡杜个人护理店（抖店）</v>
      </c>
      <c r="H7916" s="1" t="str">
        <f t="shared" si="2284"/>
        <v>正常订单</v>
      </c>
      <c r="I7916" s="1" t="str">
        <f t="shared" si="2285"/>
        <v>已发货</v>
      </c>
      <c r="J7916" s="1" t="str">
        <f>"9"</f>
        <v>9</v>
      </c>
      <c r="K7916" s="1">
        <v>3</v>
      </c>
      <c r="L7916" s="1" t="s">
        <v>16</v>
      </c>
      <c r="M7916" s="1" t="str">
        <f>"河北省 石家庄市 藁城区 九门回族乡"</f>
        <v>河北省 石家庄市 藁城区 九门回族乡</v>
      </c>
      <c r="N7916" s="1" t="str">
        <f t="shared" si="2287"/>
        <v>凡华云仓-韵达-抖音</v>
      </c>
      <c r="O7916" s="5">
        <v>320166076249276</v>
      </c>
      <c r="P7916" s="6">
        <v>0.83</v>
      </c>
      <c r="Q7916" s="11">
        <f>CEILING(P7916-0.5,0.1)*10*0.15+2.3</f>
        <v>2.9</v>
      </c>
      <c r="R7916" s="11"/>
      <c r="S7916" s="11"/>
      <c r="T7916" s="11"/>
      <c r="U7916" s="11">
        <f t="shared" si="2281"/>
        <v>2.9</v>
      </c>
      <c r="V7916" t="s">
        <v>15</v>
      </c>
      <c r="W7916">
        <v>2.9</v>
      </c>
      <c r="X7916" s="1" t="s">
        <v>16</v>
      </c>
    </row>
    <row r="7917" spans="1:24" x14ac:dyDescent="0.25">
      <c r="A7917" s="1" t="str">
        <f t="shared" si="2282"/>
        <v>卡卡杜-凤凰仓</v>
      </c>
      <c r="B7917" s="1" t="str">
        <f>"CK202410116107"</f>
        <v>CK202410116107</v>
      </c>
      <c r="C7917" s="1" t="str">
        <f>"DD2024101114617"</f>
        <v>DD2024101114617</v>
      </c>
      <c r="D7917" s="1" t="str">
        <f>"CK2024101117368"</f>
        <v>CK2024101117368</v>
      </c>
      <c r="E7917" s="1" t="str">
        <f>"6934831512335094836"</f>
        <v>6934831512335094836</v>
      </c>
      <c r="F7917" s="1" t="str">
        <f t="shared" si="2283"/>
        <v>花都四部-凤凰仓</v>
      </c>
      <c r="G7917" s="1" t="str">
        <f t="shared" si="2286"/>
        <v>卡卡杜个人护理店（抖店）</v>
      </c>
      <c r="H7917" s="1" t="str">
        <f t="shared" si="2284"/>
        <v>正常订单</v>
      </c>
      <c r="I7917" s="1" t="str">
        <f t="shared" si="2285"/>
        <v>已发货</v>
      </c>
      <c r="J7917" s="1" t="str">
        <f t="shared" ref="J7917:J7937" si="2288">"5"</f>
        <v>5</v>
      </c>
      <c r="K7917" s="1">
        <v>3</v>
      </c>
      <c r="L7917" s="1" t="s">
        <v>54</v>
      </c>
      <c r="M7917" s="1" t="str">
        <f>"黑龙江省 绥化市 安达市 东城街道"</f>
        <v>黑龙江省 绥化市 安达市 东城街道</v>
      </c>
      <c r="N7917" s="1" t="str">
        <f t="shared" si="2287"/>
        <v>凡华云仓-韵达-抖音</v>
      </c>
      <c r="O7917" s="5">
        <v>320166076249185</v>
      </c>
      <c r="P7917" s="6">
        <v>0.47</v>
      </c>
      <c r="Q7917" s="11">
        <v>2.2999999999999998</v>
      </c>
      <c r="R7917" s="11"/>
      <c r="S7917" s="11"/>
      <c r="T7917" s="11"/>
      <c r="U7917" s="11">
        <f t="shared" si="2281"/>
        <v>2.2999999999999998</v>
      </c>
      <c r="W7917">
        <v>2.5</v>
      </c>
      <c r="X7917" s="1" t="s">
        <v>54</v>
      </c>
    </row>
    <row r="7918" spans="1:24" x14ac:dyDescent="0.25">
      <c r="A7918" s="1" t="str">
        <f t="shared" si="2282"/>
        <v>卡卡杜-凤凰仓</v>
      </c>
      <c r="B7918" s="1" t="str">
        <f>"CK202410116109"</f>
        <v>CK202410116109</v>
      </c>
      <c r="C7918" s="1" t="str">
        <f>"DD2024101114618"</f>
        <v>DD2024101114618</v>
      </c>
      <c r="D7918" s="1" t="str">
        <f>"CK2024101117367"</f>
        <v>CK2024101117367</v>
      </c>
      <c r="E7918" s="1" t="str">
        <f>"6934836307402168023"</f>
        <v>6934836307402168023</v>
      </c>
      <c r="F7918" s="1" t="str">
        <f t="shared" si="2283"/>
        <v>花都四部-凤凰仓</v>
      </c>
      <c r="G7918" s="1" t="str">
        <f t="shared" si="2286"/>
        <v>卡卡杜个人护理店（抖店）</v>
      </c>
      <c r="H7918" s="1" t="str">
        <f t="shared" si="2284"/>
        <v>正常订单</v>
      </c>
      <c r="I7918" s="1" t="str">
        <f t="shared" si="2285"/>
        <v>已发货</v>
      </c>
      <c r="J7918" s="1" t="str">
        <f t="shared" si="2288"/>
        <v>5</v>
      </c>
      <c r="K7918" s="1">
        <v>3</v>
      </c>
      <c r="L7918" s="1" t="s">
        <v>16</v>
      </c>
      <c r="M7918" s="1" t="str">
        <f>"河北省 邯郸市 丛台区 兼庄乡"</f>
        <v>河北省 邯郸市 丛台区 兼庄乡</v>
      </c>
      <c r="N7918" s="1" t="str">
        <f t="shared" si="2287"/>
        <v>凡华云仓-韵达-抖音</v>
      </c>
      <c r="O7918" s="5">
        <v>320166076249096</v>
      </c>
      <c r="P7918" s="6">
        <v>0.47</v>
      </c>
      <c r="Q7918" s="11">
        <v>2.2999999999999998</v>
      </c>
      <c r="R7918" s="11"/>
      <c r="S7918" s="11"/>
      <c r="T7918" s="11"/>
      <c r="U7918" s="11">
        <f t="shared" si="2281"/>
        <v>2.2999999999999998</v>
      </c>
      <c r="W7918">
        <v>2.5</v>
      </c>
      <c r="X7918" s="1" t="s">
        <v>16</v>
      </c>
    </row>
    <row r="7919" spans="1:24" x14ac:dyDescent="0.25">
      <c r="A7919" s="1" t="str">
        <f t="shared" si="2282"/>
        <v>卡卡杜-凤凰仓</v>
      </c>
      <c r="B7919" s="1" t="str">
        <f>"CK202410116123"</f>
        <v>CK202410116123</v>
      </c>
      <c r="C7919" s="1" t="str">
        <f>"DD2024101114632"</f>
        <v>DD2024101114632</v>
      </c>
      <c r="D7919" s="1" t="str">
        <f>"CK2024101117366"</f>
        <v>CK2024101117366</v>
      </c>
      <c r="E7919" s="1" t="str">
        <f>"6934849463201240880"</f>
        <v>6934849463201240880</v>
      </c>
      <c r="F7919" s="1" t="str">
        <f t="shared" si="2283"/>
        <v>花都四部-凤凰仓</v>
      </c>
      <c r="G7919" s="1" t="str">
        <f t="shared" si="2286"/>
        <v>卡卡杜个人护理店（抖店）</v>
      </c>
      <c r="H7919" s="1" t="str">
        <f t="shared" si="2284"/>
        <v>正常订单</v>
      </c>
      <c r="I7919" s="1" t="str">
        <f t="shared" si="2285"/>
        <v>已发货</v>
      </c>
      <c r="J7919" s="1" t="str">
        <f t="shared" si="2288"/>
        <v>5</v>
      </c>
      <c r="K7919" s="1">
        <v>3</v>
      </c>
      <c r="L7919" s="1" t="s">
        <v>20</v>
      </c>
      <c r="M7919" s="1" t="str">
        <f>"浙江省 杭州市 上城区 九堡街道"</f>
        <v>浙江省 杭州市 上城区 九堡街道</v>
      </c>
      <c r="N7919" s="1" t="str">
        <f t="shared" si="2287"/>
        <v>凡华云仓-韵达-抖音</v>
      </c>
      <c r="O7919" s="5">
        <v>320166076248964</v>
      </c>
      <c r="P7919" s="6">
        <v>0.47</v>
      </c>
      <c r="Q7919" s="11">
        <v>2.2999999999999998</v>
      </c>
      <c r="R7919" s="11"/>
      <c r="S7919" s="11"/>
      <c r="T7919" s="11"/>
      <c r="U7919" s="11">
        <f t="shared" si="2281"/>
        <v>2.2999999999999998</v>
      </c>
      <c r="W7919">
        <v>2.5</v>
      </c>
      <c r="X7919" s="1" t="s">
        <v>20</v>
      </c>
    </row>
    <row r="7920" spans="1:24" x14ac:dyDescent="0.25">
      <c r="A7920" s="1" t="str">
        <f t="shared" si="2282"/>
        <v>卡卡杜-凤凰仓</v>
      </c>
      <c r="B7920" s="1" t="str">
        <f>"CK202410116139"</f>
        <v>CK202410116139</v>
      </c>
      <c r="C7920" s="1" t="str">
        <f>"DD2024101114648"</f>
        <v>DD2024101114648</v>
      </c>
      <c r="D7920" s="1" t="str">
        <f>"CK2024101117365"</f>
        <v>CK2024101117365</v>
      </c>
      <c r="E7920" s="1" t="str">
        <f>"6934840897801884748"</f>
        <v>6934840897801884748</v>
      </c>
      <c r="F7920" s="1" t="str">
        <f t="shared" si="2283"/>
        <v>花都四部-凤凰仓</v>
      </c>
      <c r="G7920" s="1" t="str">
        <f t="shared" si="2286"/>
        <v>卡卡杜个人护理店（抖店）</v>
      </c>
      <c r="H7920" s="1" t="str">
        <f t="shared" si="2284"/>
        <v>正常订单</v>
      </c>
      <c r="I7920" s="1" t="str">
        <f t="shared" si="2285"/>
        <v>已发货</v>
      </c>
      <c r="J7920" s="1" t="str">
        <f t="shared" si="2288"/>
        <v>5</v>
      </c>
      <c r="K7920" s="1">
        <v>3</v>
      </c>
      <c r="L7920" s="1" t="s">
        <v>13</v>
      </c>
      <c r="M7920" s="1" t="str">
        <f>"江苏省 无锡市 宜兴市 宜城街道"</f>
        <v>江苏省 无锡市 宜兴市 宜城街道</v>
      </c>
      <c r="N7920" s="1" t="str">
        <f>"凡华云仓-竹料中通-抖音"</f>
        <v>凡华云仓-竹料中通-抖音</v>
      </c>
      <c r="O7920" s="5">
        <v>76430133301281</v>
      </c>
      <c r="P7920" s="6">
        <v>0.47</v>
      </c>
      <c r="Q7920" s="11">
        <v>2.6</v>
      </c>
      <c r="R7920" s="11"/>
      <c r="S7920" s="11"/>
      <c r="T7920" s="11"/>
      <c r="U7920" s="11">
        <f t="shared" si="2281"/>
        <v>2.6</v>
      </c>
      <c r="W7920">
        <v>2.6</v>
      </c>
      <c r="X7920" s="1" t="s">
        <v>13</v>
      </c>
    </row>
    <row r="7921" spans="1:24" x14ac:dyDescent="0.25">
      <c r="A7921" s="1" t="str">
        <f t="shared" si="2282"/>
        <v>卡卡杜-凤凰仓</v>
      </c>
      <c r="B7921" s="1" t="str">
        <f>"CK202410118135"</f>
        <v>CK202410118135</v>
      </c>
      <c r="C7921" s="1" t="str">
        <f>"DD2024101116688"</f>
        <v>DD2024101116688</v>
      </c>
      <c r="D7921" s="1" t="str">
        <f>"CK2024101117364"</f>
        <v>CK2024101117364</v>
      </c>
      <c r="E7921" s="1" t="str">
        <f>"6934829524348441817"</f>
        <v>6934829524348441817</v>
      </c>
      <c r="F7921" s="1" t="str">
        <f t="shared" si="2283"/>
        <v>花都四部-凤凰仓</v>
      </c>
      <c r="G7921" s="1" t="str">
        <f t="shared" si="2286"/>
        <v>卡卡杜个人护理店（抖店）</v>
      </c>
      <c r="H7921" s="1" t="str">
        <f t="shared" si="2284"/>
        <v>正常订单</v>
      </c>
      <c r="I7921" s="1" t="str">
        <f t="shared" si="2285"/>
        <v>已发货</v>
      </c>
      <c r="J7921" s="1" t="str">
        <f t="shared" si="2288"/>
        <v>5</v>
      </c>
      <c r="K7921" s="1">
        <v>3</v>
      </c>
      <c r="L7921" s="1" t="s">
        <v>20</v>
      </c>
      <c r="M7921" s="1" t="str">
        <f>"浙江省 宁波市 海曙区 江厦街道"</f>
        <v>浙江省 宁波市 海曙区 江厦街道</v>
      </c>
      <c r="N7921" s="1" t="str">
        <f t="shared" ref="N7921:N7984" si="2289">"凡华云仓-韵达-抖音"</f>
        <v>凡华云仓-韵达-抖音</v>
      </c>
      <c r="O7921" s="5">
        <v>320166076248859</v>
      </c>
      <c r="P7921" s="6">
        <v>0.47</v>
      </c>
      <c r="Q7921" s="11">
        <v>2.2999999999999998</v>
      </c>
      <c r="R7921" s="11"/>
      <c r="S7921" s="11"/>
      <c r="T7921" s="11"/>
      <c r="U7921" s="11">
        <f t="shared" si="2281"/>
        <v>2.2999999999999998</v>
      </c>
      <c r="W7921">
        <v>2.5</v>
      </c>
      <c r="X7921" s="1" t="s">
        <v>20</v>
      </c>
    </row>
    <row r="7922" spans="1:24" x14ac:dyDescent="0.25">
      <c r="A7922" s="1" t="str">
        <f t="shared" si="2282"/>
        <v>卡卡杜-凤凰仓</v>
      </c>
      <c r="B7922" s="1" t="str">
        <f>"CK202410116124"</f>
        <v>CK202410116124</v>
      </c>
      <c r="C7922" s="1" t="str">
        <f>"DD2024101114633"</f>
        <v>DD2024101114633</v>
      </c>
      <c r="D7922" s="1" t="str">
        <f>"CK2024101117363"</f>
        <v>CK2024101117363</v>
      </c>
      <c r="E7922" s="1" t="str">
        <f>"6934827203040974265"</f>
        <v>6934827203040974265</v>
      </c>
      <c r="F7922" s="1" t="str">
        <f t="shared" si="2283"/>
        <v>花都四部-凤凰仓</v>
      </c>
      <c r="G7922" s="1" t="str">
        <f t="shared" si="2286"/>
        <v>卡卡杜个人护理店（抖店）</v>
      </c>
      <c r="H7922" s="1" t="str">
        <f t="shared" si="2284"/>
        <v>正常订单</v>
      </c>
      <c r="I7922" s="1" t="str">
        <f t="shared" si="2285"/>
        <v>已发货</v>
      </c>
      <c r="J7922" s="1" t="str">
        <f t="shared" si="2288"/>
        <v>5</v>
      </c>
      <c r="K7922" s="1">
        <v>3</v>
      </c>
      <c r="L7922" s="1" t="s">
        <v>30</v>
      </c>
      <c r="M7922" s="1" t="str">
        <f>"山东省 青岛市 崂山区 王哥庄街道"</f>
        <v>山东省 青岛市 崂山区 王哥庄街道</v>
      </c>
      <c r="N7922" s="1" t="str">
        <f t="shared" si="2289"/>
        <v>凡华云仓-韵达-抖音</v>
      </c>
      <c r="O7922" s="5">
        <v>320166065462176</v>
      </c>
      <c r="P7922" s="6">
        <v>0.47</v>
      </c>
      <c r="Q7922" s="11">
        <v>2.2999999999999998</v>
      </c>
      <c r="R7922" s="11"/>
      <c r="S7922" s="11"/>
      <c r="T7922" s="11"/>
      <c r="U7922" s="11">
        <f t="shared" si="2281"/>
        <v>2.2999999999999998</v>
      </c>
      <c r="W7922">
        <v>2.5</v>
      </c>
      <c r="X7922" s="1" t="s">
        <v>30</v>
      </c>
    </row>
    <row r="7923" spans="1:24" x14ac:dyDescent="0.25">
      <c r="A7923" s="1" t="str">
        <f t="shared" si="2282"/>
        <v>卡卡杜-凤凰仓</v>
      </c>
      <c r="B7923" s="1" t="str">
        <f>"CK202410116141"</f>
        <v>CK202410116141</v>
      </c>
      <c r="C7923" s="1" t="str">
        <f>"DD2024101114649"</f>
        <v>DD2024101114649</v>
      </c>
      <c r="D7923" s="1" t="str">
        <f>"CK2024101117362"</f>
        <v>CK2024101117362</v>
      </c>
      <c r="E7923" s="1" t="str">
        <f>"6934822638191056365"</f>
        <v>6934822638191056365</v>
      </c>
      <c r="F7923" s="1" t="str">
        <f t="shared" si="2283"/>
        <v>花都四部-凤凰仓</v>
      </c>
      <c r="G7923" s="1" t="str">
        <f t="shared" si="2286"/>
        <v>卡卡杜个人护理店（抖店）</v>
      </c>
      <c r="H7923" s="1" t="str">
        <f t="shared" si="2284"/>
        <v>正常订单</v>
      </c>
      <c r="I7923" s="1" t="str">
        <f t="shared" si="2285"/>
        <v>已发货</v>
      </c>
      <c r="J7923" s="1" t="str">
        <f t="shared" si="2288"/>
        <v>5</v>
      </c>
      <c r="K7923" s="1">
        <v>3</v>
      </c>
      <c r="L7923" s="1" t="s">
        <v>20</v>
      </c>
      <c r="M7923" s="1" t="str">
        <f>"浙江省 宁波市 余姚市 临山镇"</f>
        <v>浙江省 宁波市 余姚市 临山镇</v>
      </c>
      <c r="N7923" s="1" t="str">
        <f t="shared" si="2289"/>
        <v>凡华云仓-韵达-抖音</v>
      </c>
      <c r="O7923" s="5">
        <v>320166065462087</v>
      </c>
      <c r="P7923" s="6">
        <v>0.47</v>
      </c>
      <c r="Q7923" s="11">
        <v>2.2999999999999998</v>
      </c>
      <c r="R7923" s="11"/>
      <c r="S7923" s="11"/>
      <c r="T7923" s="11"/>
      <c r="U7923" s="11">
        <f t="shared" si="2281"/>
        <v>2.2999999999999998</v>
      </c>
      <c r="W7923">
        <v>2.5</v>
      </c>
      <c r="X7923" s="1" t="s">
        <v>20</v>
      </c>
    </row>
    <row r="7924" spans="1:24" x14ac:dyDescent="0.25">
      <c r="A7924" s="1" t="str">
        <f t="shared" si="2282"/>
        <v>卡卡杜-凤凰仓</v>
      </c>
      <c r="B7924" s="1" t="str">
        <f>"CK202410116121"</f>
        <v>CK202410116121</v>
      </c>
      <c r="C7924" s="1" t="str">
        <f>"DD2024101114628"</f>
        <v>DD2024101114628</v>
      </c>
      <c r="D7924" s="1" t="str">
        <f>"CK2024101117361"</f>
        <v>CK2024101117361</v>
      </c>
      <c r="E7924" s="1" t="str">
        <f>"6934831534906807323"</f>
        <v>6934831534906807323</v>
      </c>
      <c r="F7924" s="1" t="str">
        <f t="shared" si="2283"/>
        <v>花都四部-凤凰仓</v>
      </c>
      <c r="G7924" s="1" t="str">
        <f t="shared" si="2286"/>
        <v>卡卡杜个人护理店（抖店）</v>
      </c>
      <c r="H7924" s="1" t="str">
        <f t="shared" si="2284"/>
        <v>正常订单</v>
      </c>
      <c r="I7924" s="1" t="str">
        <f t="shared" si="2285"/>
        <v>已发货</v>
      </c>
      <c r="J7924" s="1" t="str">
        <f t="shared" si="2288"/>
        <v>5</v>
      </c>
      <c r="K7924" s="1">
        <v>3</v>
      </c>
      <c r="L7924" s="1" t="s">
        <v>54</v>
      </c>
      <c r="M7924" s="1" t="str">
        <f>"黑龙江省 齐齐哈尔市 铁锋区 站前街道"</f>
        <v>黑龙江省 齐齐哈尔市 铁锋区 站前街道</v>
      </c>
      <c r="N7924" s="1" t="str">
        <f t="shared" si="2289"/>
        <v>凡华云仓-韵达-抖音</v>
      </c>
      <c r="O7924" s="5">
        <v>320166065461969</v>
      </c>
      <c r="P7924" s="6">
        <v>0.47</v>
      </c>
      <c r="Q7924" s="11">
        <v>2.2999999999999998</v>
      </c>
      <c r="R7924" s="11"/>
      <c r="S7924" s="11"/>
      <c r="T7924" s="11"/>
      <c r="U7924" s="11">
        <f t="shared" si="2281"/>
        <v>2.2999999999999998</v>
      </c>
      <c r="W7924">
        <v>2.5</v>
      </c>
      <c r="X7924" s="1" t="s">
        <v>54</v>
      </c>
    </row>
    <row r="7925" spans="1:24" x14ac:dyDescent="0.25">
      <c r="A7925" s="1" t="str">
        <f t="shared" si="2282"/>
        <v>卡卡杜-凤凰仓</v>
      </c>
      <c r="B7925" s="1" t="str">
        <f>"CK202410116120"</f>
        <v>CK202410116120</v>
      </c>
      <c r="C7925" s="1" t="str">
        <f>"DD2024101114631"</f>
        <v>DD2024101114631</v>
      </c>
      <c r="D7925" s="1" t="str">
        <f>"CK2024101117360"</f>
        <v>CK2024101117360</v>
      </c>
      <c r="E7925" s="1" t="str">
        <f>"6934851774189540702"</f>
        <v>6934851774189540702</v>
      </c>
      <c r="F7925" s="1" t="str">
        <f t="shared" si="2283"/>
        <v>花都四部-凤凰仓</v>
      </c>
      <c r="G7925" s="1" t="str">
        <f t="shared" si="2286"/>
        <v>卡卡杜个人护理店（抖店）</v>
      </c>
      <c r="H7925" s="1" t="str">
        <f t="shared" si="2284"/>
        <v>正常订单</v>
      </c>
      <c r="I7925" s="1" t="str">
        <f t="shared" si="2285"/>
        <v>已发货</v>
      </c>
      <c r="J7925" s="1" t="str">
        <f t="shared" si="2288"/>
        <v>5</v>
      </c>
      <c r="K7925" s="1">
        <v>3</v>
      </c>
      <c r="L7925" s="1" t="s">
        <v>66</v>
      </c>
      <c r="M7925" s="1" t="str">
        <f>"内蒙古自治区 乌海市 海勃湾区 新华西街道"</f>
        <v>内蒙古自治区 乌海市 海勃湾区 新华西街道</v>
      </c>
      <c r="N7925" s="1" t="str">
        <f t="shared" si="2289"/>
        <v>凡华云仓-韵达-抖音</v>
      </c>
      <c r="O7925" s="5">
        <v>320166065461864</v>
      </c>
      <c r="P7925" s="6">
        <v>0.47</v>
      </c>
      <c r="Q7925" s="11">
        <v>2.2999999999999998</v>
      </c>
      <c r="R7925" s="11"/>
      <c r="S7925" s="11"/>
      <c r="T7925" s="11"/>
      <c r="U7925" s="11">
        <f t="shared" si="2281"/>
        <v>2.2999999999999998</v>
      </c>
      <c r="W7925">
        <v>2.5</v>
      </c>
      <c r="X7925" s="1" t="s">
        <v>66</v>
      </c>
    </row>
    <row r="7926" spans="1:24" x14ac:dyDescent="0.25">
      <c r="A7926" s="1" t="str">
        <f t="shared" si="2282"/>
        <v>卡卡杜-凤凰仓</v>
      </c>
      <c r="B7926" s="1" t="str">
        <f>"CK202410118136"</f>
        <v>CK202410118136</v>
      </c>
      <c r="C7926" s="1" t="str">
        <f>"DD2024101116691"</f>
        <v>DD2024101116691</v>
      </c>
      <c r="D7926" s="1" t="str">
        <f>"CK2024101117359"</f>
        <v>CK2024101117359</v>
      </c>
      <c r="E7926" s="1" t="str">
        <f>"6934843359680075269"</f>
        <v>6934843359680075269</v>
      </c>
      <c r="F7926" s="1" t="str">
        <f t="shared" si="2283"/>
        <v>花都四部-凤凰仓</v>
      </c>
      <c r="G7926" s="1" t="str">
        <f t="shared" si="2286"/>
        <v>卡卡杜个人护理店（抖店）</v>
      </c>
      <c r="H7926" s="1" t="str">
        <f t="shared" si="2284"/>
        <v>正常订单</v>
      </c>
      <c r="I7926" s="1" t="str">
        <f t="shared" si="2285"/>
        <v>已发货</v>
      </c>
      <c r="J7926" s="1" t="str">
        <f t="shared" si="2288"/>
        <v>5</v>
      </c>
      <c r="K7926" s="1">
        <v>3</v>
      </c>
      <c r="L7926" s="1" t="s">
        <v>80</v>
      </c>
      <c r="M7926" s="1" t="str">
        <f>"河南省 新乡市 辉县市 城关街道"</f>
        <v>河南省 新乡市 辉县市 城关街道</v>
      </c>
      <c r="N7926" s="1" t="str">
        <f t="shared" si="2289"/>
        <v>凡华云仓-韵达-抖音</v>
      </c>
      <c r="O7926" s="5">
        <v>320166065461761</v>
      </c>
      <c r="P7926" s="6">
        <v>0.47</v>
      </c>
      <c r="Q7926" s="11">
        <v>2.2999999999999998</v>
      </c>
      <c r="R7926" s="11"/>
      <c r="S7926" s="11"/>
      <c r="T7926" s="11"/>
      <c r="U7926" s="11">
        <f t="shared" si="2281"/>
        <v>2.2999999999999998</v>
      </c>
      <c r="W7926">
        <v>2.5</v>
      </c>
      <c r="X7926" s="1" t="s">
        <v>80</v>
      </c>
    </row>
    <row r="7927" spans="1:24" x14ac:dyDescent="0.25">
      <c r="A7927" s="1" t="str">
        <f t="shared" si="2282"/>
        <v>卡卡杜-凤凰仓</v>
      </c>
      <c r="B7927" s="1" t="str">
        <f>"CK202410116122"</f>
        <v>CK202410116122</v>
      </c>
      <c r="C7927" s="1" t="str">
        <f>"DD2024101114630"</f>
        <v>DD2024101114630</v>
      </c>
      <c r="D7927" s="1" t="str">
        <f>"CK2024101117358"</f>
        <v>CK2024101117358</v>
      </c>
      <c r="E7927" s="1" t="str">
        <f>"6934831526743709225"</f>
        <v>6934831526743709225</v>
      </c>
      <c r="F7927" s="1" t="str">
        <f t="shared" si="2283"/>
        <v>花都四部-凤凰仓</v>
      </c>
      <c r="G7927" s="1" t="str">
        <f t="shared" si="2286"/>
        <v>卡卡杜个人护理店（抖店）</v>
      </c>
      <c r="H7927" s="1" t="str">
        <f t="shared" si="2284"/>
        <v>正常订单</v>
      </c>
      <c r="I7927" s="1" t="str">
        <f t="shared" si="2285"/>
        <v>已发货</v>
      </c>
      <c r="J7927" s="1" t="str">
        <f t="shared" si="2288"/>
        <v>5</v>
      </c>
      <c r="K7927" s="1">
        <v>3</v>
      </c>
      <c r="L7927" s="1" t="s">
        <v>13</v>
      </c>
      <c r="M7927" s="1" t="str">
        <f>"江苏省 淮安市 清江浦区 富城路办事处"</f>
        <v>江苏省 淮安市 清江浦区 富城路办事处</v>
      </c>
      <c r="N7927" s="1" t="str">
        <f t="shared" si="2289"/>
        <v>凡华云仓-韵达-抖音</v>
      </c>
      <c r="O7927" s="5">
        <v>320166065461660</v>
      </c>
      <c r="P7927" s="6">
        <v>0.47</v>
      </c>
      <c r="Q7927" s="11">
        <v>2.2999999999999998</v>
      </c>
      <c r="R7927" s="11"/>
      <c r="S7927" s="11"/>
      <c r="T7927" s="11"/>
      <c r="U7927" s="11">
        <f t="shared" si="2281"/>
        <v>2.2999999999999998</v>
      </c>
      <c r="W7927">
        <v>2.5</v>
      </c>
      <c r="X7927" s="1" t="s">
        <v>13</v>
      </c>
    </row>
    <row r="7928" spans="1:24" x14ac:dyDescent="0.25">
      <c r="A7928" s="1" t="str">
        <f t="shared" si="2282"/>
        <v>卡卡杜-凤凰仓</v>
      </c>
      <c r="B7928" s="1" t="str">
        <f>"CK202410116126"</f>
        <v>CK202410116126</v>
      </c>
      <c r="C7928" s="1" t="str">
        <f>"DD2024101114635"</f>
        <v>DD2024101114635</v>
      </c>
      <c r="D7928" s="1" t="str">
        <f>"CK2024101117357"</f>
        <v>CK2024101117357</v>
      </c>
      <c r="E7928" s="1" t="str">
        <f>"6934843324940883238"</f>
        <v>6934843324940883238</v>
      </c>
      <c r="F7928" s="1" t="str">
        <f t="shared" si="2283"/>
        <v>花都四部-凤凰仓</v>
      </c>
      <c r="G7928" s="1" t="str">
        <f t="shared" si="2286"/>
        <v>卡卡杜个人护理店（抖店）</v>
      </c>
      <c r="H7928" s="1" t="str">
        <f t="shared" si="2284"/>
        <v>正常订单</v>
      </c>
      <c r="I7928" s="1" t="str">
        <f t="shared" si="2285"/>
        <v>已发货</v>
      </c>
      <c r="J7928" s="1" t="str">
        <f t="shared" si="2288"/>
        <v>5</v>
      </c>
      <c r="K7928" s="1">
        <v>3</v>
      </c>
      <c r="L7928" s="1" t="s">
        <v>24</v>
      </c>
      <c r="M7928" s="1" t="str">
        <f>"福建省 福州市 台江区 鳌峰街道"</f>
        <v>福建省 福州市 台江区 鳌峰街道</v>
      </c>
      <c r="N7928" s="1" t="str">
        <f t="shared" si="2289"/>
        <v>凡华云仓-韵达-抖音</v>
      </c>
      <c r="O7928" s="5">
        <v>320166065461561</v>
      </c>
      <c r="P7928" s="6">
        <v>0.47</v>
      </c>
      <c r="Q7928" s="11">
        <v>2.2999999999999998</v>
      </c>
      <c r="R7928" s="11"/>
      <c r="S7928" s="11"/>
      <c r="T7928" s="11"/>
      <c r="U7928" s="11">
        <f t="shared" si="2281"/>
        <v>2.2999999999999998</v>
      </c>
      <c r="W7928">
        <v>2.5</v>
      </c>
      <c r="X7928" s="1" t="s">
        <v>24</v>
      </c>
    </row>
    <row r="7929" spans="1:24" x14ac:dyDescent="0.25">
      <c r="A7929" s="1" t="str">
        <f t="shared" si="2282"/>
        <v>卡卡杜-凤凰仓</v>
      </c>
      <c r="B7929" s="1" t="str">
        <f>"CK202410116134"</f>
        <v>CK202410116134</v>
      </c>
      <c r="C7929" s="1" t="str">
        <f>"DD2024101114643"</f>
        <v>DD2024101114643</v>
      </c>
      <c r="D7929" s="1" t="str">
        <f>"CK2024101117356"</f>
        <v>CK2024101117356</v>
      </c>
      <c r="E7929" s="1" t="str">
        <f>"6934847528541885682"</f>
        <v>6934847528541885682</v>
      </c>
      <c r="F7929" s="1" t="str">
        <f t="shared" si="2283"/>
        <v>花都四部-凤凰仓</v>
      </c>
      <c r="G7929" s="1" t="str">
        <f t="shared" si="2286"/>
        <v>卡卡杜个人护理店（抖店）</v>
      </c>
      <c r="H7929" s="1" t="str">
        <f t="shared" si="2284"/>
        <v>正常订单</v>
      </c>
      <c r="I7929" s="1" t="str">
        <f t="shared" si="2285"/>
        <v>已发货</v>
      </c>
      <c r="J7929" s="1" t="str">
        <f t="shared" si="2288"/>
        <v>5</v>
      </c>
      <c r="K7929" s="1">
        <v>3</v>
      </c>
      <c r="L7929" s="1" t="s">
        <v>22</v>
      </c>
      <c r="M7929" s="1" t="str">
        <f>"江西省 南昌市 进贤县 民和镇"</f>
        <v>江西省 南昌市 进贤县 民和镇</v>
      </c>
      <c r="N7929" s="1" t="str">
        <f t="shared" si="2289"/>
        <v>凡华云仓-韵达-抖音</v>
      </c>
      <c r="O7929" s="5">
        <v>320166065461464</v>
      </c>
      <c r="P7929" s="6">
        <v>0.47</v>
      </c>
      <c r="Q7929" s="11">
        <v>2.2999999999999998</v>
      </c>
      <c r="R7929" s="11"/>
      <c r="S7929" s="11"/>
      <c r="T7929" s="11"/>
      <c r="U7929" s="11">
        <f t="shared" si="2281"/>
        <v>2.2999999999999998</v>
      </c>
      <c r="W7929">
        <v>2.5</v>
      </c>
      <c r="X7929" s="1" t="s">
        <v>22</v>
      </c>
    </row>
    <row r="7930" spans="1:24" x14ac:dyDescent="0.25">
      <c r="A7930" s="1" t="str">
        <f t="shared" si="2282"/>
        <v>卡卡杜-凤凰仓</v>
      </c>
      <c r="B7930" s="1" t="str">
        <f>"CK202410116140"</f>
        <v>CK202410116140</v>
      </c>
      <c r="C7930" s="1" t="str">
        <f>"DD2024101114650"</f>
        <v>DD2024101114650</v>
      </c>
      <c r="D7930" s="1" t="str">
        <f>"CK2024101117355"</f>
        <v>CK2024101117355</v>
      </c>
      <c r="E7930" s="1" t="str">
        <f>"6934847483998901878"</f>
        <v>6934847483998901878</v>
      </c>
      <c r="F7930" s="1" t="str">
        <f t="shared" si="2283"/>
        <v>花都四部-凤凰仓</v>
      </c>
      <c r="G7930" s="1" t="str">
        <f t="shared" si="2286"/>
        <v>卡卡杜个人护理店（抖店）</v>
      </c>
      <c r="H7930" s="1" t="str">
        <f t="shared" si="2284"/>
        <v>正常订单</v>
      </c>
      <c r="I7930" s="1" t="str">
        <f t="shared" si="2285"/>
        <v>已发货</v>
      </c>
      <c r="J7930" s="1" t="str">
        <f t="shared" si="2288"/>
        <v>5</v>
      </c>
      <c r="K7930" s="1">
        <v>3</v>
      </c>
      <c r="L7930" s="1" t="s">
        <v>13</v>
      </c>
      <c r="M7930" s="1" t="str">
        <f>"江苏省 苏州市 相城区 元和街道"</f>
        <v>江苏省 苏州市 相城区 元和街道</v>
      </c>
      <c r="N7930" s="1" t="str">
        <f t="shared" si="2289"/>
        <v>凡华云仓-韵达-抖音</v>
      </c>
      <c r="O7930" s="5">
        <v>320166065461369</v>
      </c>
      <c r="P7930" s="6">
        <v>0.47</v>
      </c>
      <c r="Q7930" s="11">
        <v>2.2999999999999998</v>
      </c>
      <c r="R7930" s="11"/>
      <c r="S7930" s="11"/>
      <c r="T7930" s="11"/>
      <c r="U7930" s="11">
        <f t="shared" si="2281"/>
        <v>2.2999999999999998</v>
      </c>
      <c r="W7930">
        <v>2.5</v>
      </c>
      <c r="X7930" s="1" t="s">
        <v>13</v>
      </c>
    </row>
    <row r="7931" spans="1:24" x14ac:dyDescent="0.25">
      <c r="A7931" s="1" t="str">
        <f t="shared" si="2282"/>
        <v>卡卡杜-凤凰仓</v>
      </c>
      <c r="B7931" s="1" t="str">
        <f>"CK202410118196"</f>
        <v>CK202410118196</v>
      </c>
      <c r="C7931" s="1" t="str">
        <f>"DD2024101116752"</f>
        <v>DD2024101116752</v>
      </c>
      <c r="D7931" s="1" t="str">
        <f>"CK2024101117354"</f>
        <v>CK2024101117354</v>
      </c>
      <c r="E7931" s="1" t="str">
        <f>"6934822629043607062"</f>
        <v>6934822629043607062</v>
      </c>
      <c r="F7931" s="1" t="str">
        <f t="shared" si="2283"/>
        <v>花都四部-凤凰仓</v>
      </c>
      <c r="G7931" s="1" t="str">
        <f t="shared" si="2286"/>
        <v>卡卡杜个人护理店（抖店）</v>
      </c>
      <c r="H7931" s="1" t="str">
        <f t="shared" si="2284"/>
        <v>正常订单</v>
      </c>
      <c r="I7931" s="1" t="str">
        <f t="shared" si="2285"/>
        <v>已发货</v>
      </c>
      <c r="J7931" s="1" t="str">
        <f t="shared" si="2288"/>
        <v>5</v>
      </c>
      <c r="K7931" s="1">
        <v>3</v>
      </c>
      <c r="L7931" s="1" t="s">
        <v>36</v>
      </c>
      <c r="M7931" s="1" t="str">
        <f>"安徽省 合肥市 蜀山区 蜀山区城区"</f>
        <v>安徽省 合肥市 蜀山区 蜀山区城区</v>
      </c>
      <c r="N7931" s="1" t="str">
        <f t="shared" si="2289"/>
        <v>凡华云仓-韵达-抖音</v>
      </c>
      <c r="O7931" s="5">
        <v>320166065461276</v>
      </c>
      <c r="P7931" s="6">
        <v>0.47</v>
      </c>
      <c r="Q7931" s="11">
        <v>2.2999999999999998</v>
      </c>
      <c r="R7931" s="11"/>
      <c r="S7931" s="11"/>
      <c r="T7931" s="11"/>
      <c r="U7931" s="11">
        <f t="shared" si="2281"/>
        <v>2.2999999999999998</v>
      </c>
      <c r="W7931">
        <v>2.5</v>
      </c>
      <c r="X7931" s="1" t="s">
        <v>36</v>
      </c>
    </row>
    <row r="7932" spans="1:24" x14ac:dyDescent="0.25">
      <c r="A7932" s="1" t="str">
        <f t="shared" si="2282"/>
        <v>卡卡杜-凤凰仓</v>
      </c>
      <c r="B7932" s="1" t="str">
        <f>"CK202410116118"</f>
        <v>CK202410116118</v>
      </c>
      <c r="C7932" s="1" t="str">
        <f>"DD2024101114627"</f>
        <v>DD2024101114627</v>
      </c>
      <c r="D7932" s="1" t="str">
        <f>"CK2024101117353"</f>
        <v>CK2024101117353</v>
      </c>
      <c r="E7932" s="1" t="str">
        <f>"6934822634923955800"</f>
        <v>6934822634923955800</v>
      </c>
      <c r="F7932" s="1" t="str">
        <f t="shared" si="2283"/>
        <v>花都四部-凤凰仓</v>
      </c>
      <c r="G7932" s="1" t="str">
        <f t="shared" si="2286"/>
        <v>卡卡杜个人护理店（抖店）</v>
      </c>
      <c r="H7932" s="1" t="str">
        <f t="shared" si="2284"/>
        <v>正常订单</v>
      </c>
      <c r="I7932" s="1" t="str">
        <f t="shared" si="2285"/>
        <v>已发货</v>
      </c>
      <c r="J7932" s="1" t="str">
        <f t="shared" si="2288"/>
        <v>5</v>
      </c>
      <c r="K7932" s="1">
        <v>3</v>
      </c>
      <c r="L7932" s="1" t="s">
        <v>92</v>
      </c>
      <c r="M7932" s="1" t="str">
        <f>"辽宁省 大连市 瓦房店市 许屯镇"</f>
        <v>辽宁省 大连市 瓦房店市 许屯镇</v>
      </c>
      <c r="N7932" s="1" t="str">
        <f t="shared" si="2289"/>
        <v>凡华云仓-韵达-抖音</v>
      </c>
      <c r="O7932" s="5">
        <v>320166074222887</v>
      </c>
      <c r="P7932" s="6">
        <v>0.47</v>
      </c>
      <c r="Q7932" s="11">
        <v>2.2999999999999998</v>
      </c>
      <c r="R7932" s="11"/>
      <c r="S7932" s="11"/>
      <c r="T7932" s="11"/>
      <c r="U7932" s="11">
        <f t="shared" si="2281"/>
        <v>2.2999999999999998</v>
      </c>
      <c r="W7932">
        <v>2.5</v>
      </c>
      <c r="X7932" s="1" t="s">
        <v>92</v>
      </c>
    </row>
    <row r="7933" spans="1:24" x14ac:dyDescent="0.25">
      <c r="A7933" s="1" t="str">
        <f t="shared" si="2282"/>
        <v>卡卡杜-凤凰仓</v>
      </c>
      <c r="B7933" s="1" t="str">
        <f>"CK202410118195"</f>
        <v>CK202410118195</v>
      </c>
      <c r="C7933" s="1" t="str">
        <f>"DD2024101116749"</f>
        <v>DD2024101116749</v>
      </c>
      <c r="D7933" s="1" t="str">
        <f>"CK2024101117352"</f>
        <v>CK2024101117352</v>
      </c>
      <c r="E7933" s="1" t="str">
        <f>"6934827254969079675"</f>
        <v>6934827254969079675</v>
      </c>
      <c r="F7933" s="1" t="str">
        <f t="shared" si="2283"/>
        <v>花都四部-凤凰仓</v>
      </c>
      <c r="G7933" s="1" t="str">
        <f t="shared" si="2286"/>
        <v>卡卡杜个人护理店（抖店）</v>
      </c>
      <c r="H7933" s="1" t="str">
        <f t="shared" si="2284"/>
        <v>正常订单</v>
      </c>
      <c r="I7933" s="1" t="str">
        <f t="shared" si="2285"/>
        <v>已发货</v>
      </c>
      <c r="J7933" s="1" t="str">
        <f t="shared" si="2288"/>
        <v>5</v>
      </c>
      <c r="K7933" s="1">
        <v>3</v>
      </c>
      <c r="L7933" s="1" t="s">
        <v>13</v>
      </c>
      <c r="M7933" s="1" t="str">
        <f>"江苏省 盐城市 盐都区 新都街道"</f>
        <v>江苏省 盐城市 盐都区 新都街道</v>
      </c>
      <c r="N7933" s="1" t="str">
        <f t="shared" si="2289"/>
        <v>凡华云仓-韵达-抖音</v>
      </c>
      <c r="O7933" s="5">
        <v>320166074222784</v>
      </c>
      <c r="P7933" s="6">
        <v>0.47</v>
      </c>
      <c r="Q7933" s="11">
        <v>2.2999999999999998</v>
      </c>
      <c r="R7933" s="11"/>
      <c r="S7933" s="11"/>
      <c r="T7933" s="11"/>
      <c r="U7933" s="11">
        <f t="shared" si="2281"/>
        <v>2.2999999999999998</v>
      </c>
      <c r="W7933">
        <v>2.5</v>
      </c>
      <c r="X7933" s="1" t="s">
        <v>13</v>
      </c>
    </row>
    <row r="7934" spans="1:24" x14ac:dyDescent="0.25">
      <c r="A7934" s="1" t="str">
        <f t="shared" si="2282"/>
        <v>卡卡杜-凤凰仓</v>
      </c>
      <c r="B7934" s="1" t="str">
        <f>"CK202410118194"</f>
        <v>CK202410118194</v>
      </c>
      <c r="C7934" s="1" t="str">
        <f>"DD2024101116748"</f>
        <v>DD2024101116748</v>
      </c>
      <c r="D7934" s="1" t="str">
        <f>"CK2024101117351"</f>
        <v>CK2024101117351</v>
      </c>
      <c r="E7934" s="1" t="str">
        <f>"6934827284094850488"</f>
        <v>6934827284094850488</v>
      </c>
      <c r="F7934" s="1" t="str">
        <f t="shared" si="2283"/>
        <v>花都四部-凤凰仓</v>
      </c>
      <c r="G7934" s="1" t="str">
        <f t="shared" si="2286"/>
        <v>卡卡杜个人护理店（抖店）</v>
      </c>
      <c r="H7934" s="1" t="str">
        <f t="shared" si="2284"/>
        <v>正常订单</v>
      </c>
      <c r="I7934" s="1" t="str">
        <f t="shared" si="2285"/>
        <v>已发货</v>
      </c>
      <c r="J7934" s="1" t="str">
        <f t="shared" si="2288"/>
        <v>5</v>
      </c>
      <c r="K7934" s="1">
        <v>3</v>
      </c>
      <c r="L7934" s="1" t="s">
        <v>74</v>
      </c>
      <c r="M7934" s="1" t="str">
        <f>"上海 上海市 杨浦区 "</f>
        <v xml:space="preserve">上海 上海市 杨浦区 </v>
      </c>
      <c r="N7934" s="1" t="str">
        <f t="shared" si="2289"/>
        <v>凡华云仓-韵达-抖音</v>
      </c>
      <c r="O7934" s="5">
        <v>320166074222683</v>
      </c>
      <c r="P7934" s="6">
        <v>0.47</v>
      </c>
      <c r="Q7934" s="11">
        <v>2.2999999999999998</v>
      </c>
      <c r="R7934" s="11"/>
      <c r="S7934" s="11"/>
      <c r="T7934" s="11"/>
      <c r="U7934" s="11">
        <f t="shared" si="2281"/>
        <v>2.2999999999999998</v>
      </c>
      <c r="W7934">
        <v>2.5</v>
      </c>
      <c r="X7934" s="1" t="s">
        <v>74</v>
      </c>
    </row>
    <row r="7935" spans="1:24" x14ac:dyDescent="0.25">
      <c r="A7935" s="1" t="str">
        <f t="shared" si="2282"/>
        <v>卡卡杜-凤凰仓</v>
      </c>
      <c r="B7935" s="1" t="str">
        <f>"CK202410116119"</f>
        <v>CK202410116119</v>
      </c>
      <c r="C7935" s="1" t="str">
        <f>"DD2024101114629"</f>
        <v>DD2024101114629</v>
      </c>
      <c r="D7935" s="1" t="str">
        <f>"CK2024101117350"</f>
        <v>CK2024101117350</v>
      </c>
      <c r="E7935" s="1" t="str">
        <f>"6934827257921868973"</f>
        <v>6934827257921868973</v>
      </c>
      <c r="F7935" s="1" t="str">
        <f t="shared" si="2283"/>
        <v>花都四部-凤凰仓</v>
      </c>
      <c r="G7935" s="1" t="str">
        <f t="shared" si="2286"/>
        <v>卡卡杜个人护理店（抖店）</v>
      </c>
      <c r="H7935" s="1" t="str">
        <f t="shared" si="2284"/>
        <v>正常订单</v>
      </c>
      <c r="I7935" s="1" t="str">
        <f t="shared" si="2285"/>
        <v>已发货</v>
      </c>
      <c r="J7935" s="1" t="str">
        <f t="shared" si="2288"/>
        <v>5</v>
      </c>
      <c r="K7935" s="1">
        <v>3</v>
      </c>
      <c r="L7935" s="1" t="s">
        <v>80</v>
      </c>
      <c r="M7935" s="1" t="str">
        <f>"河南省 郑州市 巩义市 紫荆路街道"</f>
        <v>河南省 郑州市 巩义市 紫荆路街道</v>
      </c>
      <c r="N7935" s="1" t="str">
        <f t="shared" si="2289"/>
        <v>凡华云仓-韵达-抖音</v>
      </c>
      <c r="O7935" s="5">
        <v>320166074222584</v>
      </c>
      <c r="P7935" s="6">
        <v>0.47</v>
      </c>
      <c r="Q7935" s="11">
        <v>2.2999999999999998</v>
      </c>
      <c r="R7935" s="11"/>
      <c r="S7935" s="11"/>
      <c r="T7935" s="11"/>
      <c r="U7935" s="11">
        <f t="shared" si="2281"/>
        <v>2.2999999999999998</v>
      </c>
      <c r="W7935">
        <v>2.5</v>
      </c>
      <c r="X7935" s="1" t="s">
        <v>80</v>
      </c>
    </row>
    <row r="7936" spans="1:24" x14ac:dyDescent="0.25">
      <c r="A7936" s="1" t="str">
        <f t="shared" si="2282"/>
        <v>卡卡杜-凤凰仓</v>
      </c>
      <c r="B7936" s="1" t="str">
        <f>"CK202410116132"</f>
        <v>CK202410116132</v>
      </c>
      <c r="C7936" s="1" t="str">
        <f>"DD2024101114642"</f>
        <v>DD2024101114642</v>
      </c>
      <c r="D7936" s="1" t="str">
        <f>"CK2024101117349"</f>
        <v>CK2024101117349</v>
      </c>
      <c r="E7936" s="1" t="str">
        <f>"6934851805304657340"</f>
        <v>6934851805304657340</v>
      </c>
      <c r="F7936" s="1" t="str">
        <f t="shared" si="2283"/>
        <v>花都四部-凤凰仓</v>
      </c>
      <c r="G7936" s="1" t="str">
        <f t="shared" si="2286"/>
        <v>卡卡杜个人护理店（抖店）</v>
      </c>
      <c r="H7936" s="1" t="str">
        <f t="shared" si="2284"/>
        <v>正常订单</v>
      </c>
      <c r="I7936" s="1" t="str">
        <f t="shared" si="2285"/>
        <v>已发货</v>
      </c>
      <c r="J7936" s="1" t="str">
        <f t="shared" si="2288"/>
        <v>5</v>
      </c>
      <c r="K7936" s="1">
        <v>3</v>
      </c>
      <c r="L7936" s="1" t="s">
        <v>161</v>
      </c>
      <c r="M7936" s="1" t="str">
        <f>"四川省 遂宁市 射洪市 太和街道"</f>
        <v>四川省 遂宁市 射洪市 太和街道</v>
      </c>
      <c r="N7936" s="1" t="str">
        <f t="shared" si="2289"/>
        <v>凡华云仓-韵达-抖音</v>
      </c>
      <c r="O7936" s="5">
        <v>320166074222487</v>
      </c>
      <c r="P7936" s="6">
        <v>0.47</v>
      </c>
      <c r="Q7936" s="11">
        <v>2.2999999999999998</v>
      </c>
      <c r="R7936" s="11"/>
      <c r="S7936" s="11"/>
      <c r="T7936" s="11"/>
      <c r="U7936" s="11">
        <f t="shared" si="2281"/>
        <v>2.2999999999999998</v>
      </c>
      <c r="W7936">
        <v>2.5</v>
      </c>
      <c r="X7936" s="1" t="s">
        <v>161</v>
      </c>
    </row>
    <row r="7937" spans="1:24" x14ac:dyDescent="0.25">
      <c r="A7937" s="1" t="str">
        <f t="shared" si="2282"/>
        <v>卡卡杜-凤凰仓</v>
      </c>
      <c r="B7937" s="1" t="str">
        <f>"CK202410116137"</f>
        <v>CK202410116137</v>
      </c>
      <c r="C7937" s="1" t="str">
        <f>"DD2024101114645"</f>
        <v>DD2024101114645</v>
      </c>
      <c r="D7937" s="1" t="str">
        <f>"CK2024101117348"</f>
        <v>CK2024101117348</v>
      </c>
      <c r="E7937" s="1" t="str">
        <f>"6934829627962758821"</f>
        <v>6934829627962758821</v>
      </c>
      <c r="F7937" s="1" t="str">
        <f t="shared" si="2283"/>
        <v>花都四部-凤凰仓</v>
      </c>
      <c r="G7937" s="1" t="str">
        <f t="shared" si="2286"/>
        <v>卡卡杜个人护理店（抖店）</v>
      </c>
      <c r="H7937" s="1" t="str">
        <f t="shared" si="2284"/>
        <v>正常订单</v>
      </c>
      <c r="I7937" s="1" t="str">
        <f t="shared" si="2285"/>
        <v>已发货</v>
      </c>
      <c r="J7937" s="1" t="str">
        <f t="shared" si="2288"/>
        <v>5</v>
      </c>
      <c r="K7937" s="1">
        <v>3</v>
      </c>
      <c r="L7937" s="1" t="s">
        <v>52</v>
      </c>
      <c r="M7937" s="1" t="str">
        <f>"甘肃省 张掖市 肃南裕固族自治县 红湾寺镇"</f>
        <v>甘肃省 张掖市 肃南裕固族自治县 红湾寺镇</v>
      </c>
      <c r="N7937" s="1" t="str">
        <f t="shared" si="2289"/>
        <v>凡华云仓-韵达-抖音</v>
      </c>
      <c r="O7937" s="5">
        <v>320166074222392</v>
      </c>
      <c r="P7937" s="6">
        <v>0.47</v>
      </c>
      <c r="Q7937" s="11">
        <v>2.2999999999999998</v>
      </c>
      <c r="R7937" s="11"/>
      <c r="S7937" s="11"/>
      <c r="T7937" s="11"/>
      <c r="U7937" s="11">
        <f t="shared" si="2281"/>
        <v>2.2999999999999998</v>
      </c>
      <c r="W7937">
        <v>2.5</v>
      </c>
      <c r="X7937" s="1" t="s">
        <v>52</v>
      </c>
    </row>
    <row r="7938" spans="1:24" x14ac:dyDescent="0.25">
      <c r="A7938" s="1" t="str">
        <f t="shared" si="2282"/>
        <v>卡卡杜-凤凰仓</v>
      </c>
      <c r="B7938" s="1" t="str">
        <f>"CK2024101110447"</f>
        <v>CK2024101110447</v>
      </c>
      <c r="C7938" s="1" t="str">
        <f>"DD2024101117023"</f>
        <v>DD2024101117023</v>
      </c>
      <c r="D7938" s="1" t="str">
        <f>"CK2024101117347"</f>
        <v>CK2024101117347</v>
      </c>
      <c r="E7938" s="1" t="str">
        <f>"6934843214474974725"</f>
        <v>6934843214474974725</v>
      </c>
      <c r="F7938" s="1" t="str">
        <f t="shared" si="2283"/>
        <v>花都四部-凤凰仓</v>
      </c>
      <c r="G7938" s="1" t="str">
        <f t="shared" si="2286"/>
        <v>卡卡杜个人护理店（抖店）</v>
      </c>
      <c r="H7938" s="1" t="str">
        <f t="shared" si="2284"/>
        <v>正常订单</v>
      </c>
      <c r="I7938" s="1" t="str">
        <f t="shared" si="2285"/>
        <v>已发货</v>
      </c>
      <c r="J7938" s="1" t="str">
        <f>"9"</f>
        <v>9</v>
      </c>
      <c r="K7938" s="1">
        <v>3</v>
      </c>
      <c r="L7938" s="1" t="s">
        <v>80</v>
      </c>
      <c r="M7938" s="1" t="str">
        <f>"河南省 新乡市 辉县市 城关街道"</f>
        <v>河南省 新乡市 辉县市 城关街道</v>
      </c>
      <c r="N7938" s="1" t="str">
        <f t="shared" si="2289"/>
        <v>凡华云仓-韵达-抖音</v>
      </c>
      <c r="O7938" s="5">
        <v>320166074222299</v>
      </c>
      <c r="P7938" s="6">
        <v>0.83</v>
      </c>
      <c r="Q7938" s="11">
        <f>CEILING(P7938-0.5,0.1)*10*0.15+2.3</f>
        <v>2.9</v>
      </c>
      <c r="R7938" s="11"/>
      <c r="S7938" s="11"/>
      <c r="T7938" s="11"/>
      <c r="U7938" s="11">
        <f t="shared" si="2281"/>
        <v>2.9</v>
      </c>
      <c r="V7938" t="s">
        <v>15</v>
      </c>
      <c r="W7938">
        <v>2.9</v>
      </c>
      <c r="X7938" s="1" t="s">
        <v>80</v>
      </c>
    </row>
    <row r="7939" spans="1:24" x14ac:dyDescent="0.25">
      <c r="A7939" s="1" t="str">
        <f t="shared" si="2282"/>
        <v>卡卡杜-凤凰仓</v>
      </c>
      <c r="B7939" s="1" t="str">
        <f>"CK202410118137"</f>
        <v>CK202410118137</v>
      </c>
      <c r="C7939" s="1" t="str">
        <f>"DD2024101116690"</f>
        <v>DD2024101116690</v>
      </c>
      <c r="D7939" s="1" t="str">
        <f>"CK2024101117346"</f>
        <v>CK2024101117346</v>
      </c>
      <c r="E7939" s="1" t="str">
        <f>"6934853728583096266"</f>
        <v>6934853728583096266</v>
      </c>
      <c r="F7939" s="1" t="str">
        <f t="shared" si="2283"/>
        <v>花都四部-凤凰仓</v>
      </c>
      <c r="G7939" s="1" t="str">
        <f t="shared" si="2286"/>
        <v>卡卡杜个人护理店（抖店）</v>
      </c>
      <c r="H7939" s="1" t="str">
        <f t="shared" si="2284"/>
        <v>正常订单</v>
      </c>
      <c r="I7939" s="1" t="str">
        <f t="shared" si="2285"/>
        <v>已发货</v>
      </c>
      <c r="J7939" s="1" t="str">
        <f t="shared" ref="J7939:J7947" si="2290">"5"</f>
        <v>5</v>
      </c>
      <c r="K7939" s="1">
        <v>3</v>
      </c>
      <c r="L7939" s="1" t="s">
        <v>80</v>
      </c>
      <c r="M7939" s="1" t="str">
        <f>"河南省 郑州市 管城回族区 城东路街道"</f>
        <v>河南省 郑州市 管城回族区 城东路街道</v>
      </c>
      <c r="N7939" s="1" t="str">
        <f t="shared" si="2289"/>
        <v>凡华云仓-韵达-抖音</v>
      </c>
      <c r="O7939" s="5">
        <v>320166074222108</v>
      </c>
      <c r="P7939" s="6">
        <v>0.47</v>
      </c>
      <c r="Q7939" s="11">
        <v>2.2999999999999998</v>
      </c>
      <c r="R7939" s="11"/>
      <c r="S7939" s="11"/>
      <c r="T7939" s="11"/>
      <c r="U7939" s="11">
        <f t="shared" ref="U7939:U8002" si="2291">T7939+S7939+R7939+Q7939</f>
        <v>2.2999999999999998</v>
      </c>
      <c r="W7939">
        <v>2.5</v>
      </c>
      <c r="X7939" s="1" t="s">
        <v>80</v>
      </c>
    </row>
    <row r="7940" spans="1:24" x14ac:dyDescent="0.25">
      <c r="A7940" s="1" t="str">
        <f t="shared" si="2282"/>
        <v>卡卡杜-凤凰仓</v>
      </c>
      <c r="B7940" s="1" t="str">
        <f>"CK202410116176"</f>
        <v>CK202410116176</v>
      </c>
      <c r="C7940" s="1" t="str">
        <f>"DD2024101114684"</f>
        <v>DD2024101114684</v>
      </c>
      <c r="D7940" s="1" t="str">
        <f>"CK2024101117345"</f>
        <v>CK2024101117345</v>
      </c>
      <c r="E7940" s="1" t="str">
        <f>"6934834132347458879"</f>
        <v>6934834132347458879</v>
      </c>
      <c r="F7940" s="1" t="str">
        <f t="shared" si="2283"/>
        <v>花都四部-凤凰仓</v>
      </c>
      <c r="G7940" s="1" t="str">
        <f t="shared" si="2286"/>
        <v>卡卡杜个人护理店（抖店）</v>
      </c>
      <c r="H7940" s="1" t="str">
        <f t="shared" si="2284"/>
        <v>正常订单</v>
      </c>
      <c r="I7940" s="1" t="str">
        <f t="shared" si="2285"/>
        <v>已发货</v>
      </c>
      <c r="J7940" s="1" t="str">
        <f t="shared" si="2290"/>
        <v>5</v>
      </c>
      <c r="K7940" s="1">
        <v>3</v>
      </c>
      <c r="L7940" s="1" t="s">
        <v>30</v>
      </c>
      <c r="M7940" s="1" t="str">
        <f>"山东省 东营市 广饶县 广饶街道"</f>
        <v>山东省 东营市 广饶县 广饶街道</v>
      </c>
      <c r="N7940" s="1" t="str">
        <f t="shared" si="2289"/>
        <v>凡华云仓-韵达-抖音</v>
      </c>
      <c r="O7940" s="5">
        <v>320166074222019</v>
      </c>
      <c r="P7940" s="6">
        <v>0.47</v>
      </c>
      <c r="Q7940" s="11">
        <v>2.2999999999999998</v>
      </c>
      <c r="R7940" s="11"/>
      <c r="S7940" s="11"/>
      <c r="T7940" s="11"/>
      <c r="U7940" s="11">
        <f t="shared" si="2291"/>
        <v>2.2999999999999998</v>
      </c>
      <c r="W7940">
        <v>2.5</v>
      </c>
      <c r="X7940" s="1" t="s">
        <v>30</v>
      </c>
    </row>
    <row r="7941" spans="1:24" x14ac:dyDescent="0.25">
      <c r="A7941" s="1" t="str">
        <f t="shared" ref="A7941:A8004" si="2292">"卡卡杜-凤凰仓"</f>
        <v>卡卡杜-凤凰仓</v>
      </c>
      <c r="B7941" s="1" t="str">
        <f>"CK202410116214"</f>
        <v>CK202410116214</v>
      </c>
      <c r="C7941" s="1" t="str">
        <f>"DD2024101114724"</f>
        <v>DD2024101114724</v>
      </c>
      <c r="D7941" s="1" t="str">
        <f>"CK2024101117344"</f>
        <v>CK2024101117344</v>
      </c>
      <c r="E7941" s="1" t="str">
        <f>"6934845396843894512"</f>
        <v>6934845396843894512</v>
      </c>
      <c r="F7941" s="1" t="str">
        <f t="shared" ref="F7941:F8004" si="2293">"花都四部-凤凰仓"</f>
        <v>花都四部-凤凰仓</v>
      </c>
      <c r="G7941" s="1" t="str">
        <f t="shared" si="2286"/>
        <v>卡卡杜个人护理店（抖店）</v>
      </c>
      <c r="H7941" s="1" t="str">
        <f t="shared" ref="H7941:H8004" si="2294">"正常订单"</f>
        <v>正常订单</v>
      </c>
      <c r="I7941" s="1" t="str">
        <f t="shared" ref="I7941:I8004" si="2295">"已发货"</f>
        <v>已发货</v>
      </c>
      <c r="J7941" s="1" t="str">
        <f t="shared" si="2290"/>
        <v>5</v>
      </c>
      <c r="K7941" s="1">
        <v>3</v>
      </c>
      <c r="L7941" s="1" t="s">
        <v>54</v>
      </c>
      <c r="M7941" s="1" t="str">
        <f>"黑龙江省 哈尔滨市 香坊区 安埠街道"</f>
        <v>黑龙江省 哈尔滨市 香坊区 安埠街道</v>
      </c>
      <c r="N7941" s="1" t="str">
        <f t="shared" si="2289"/>
        <v>凡华云仓-韵达-抖音</v>
      </c>
      <c r="O7941" s="5">
        <v>320166074221901</v>
      </c>
      <c r="P7941" s="6">
        <v>0.47</v>
      </c>
      <c r="Q7941" s="11">
        <v>2.2999999999999998</v>
      </c>
      <c r="R7941" s="11"/>
      <c r="S7941" s="11"/>
      <c r="T7941" s="11"/>
      <c r="U7941" s="11">
        <f t="shared" si="2291"/>
        <v>2.2999999999999998</v>
      </c>
      <c r="W7941">
        <v>2.5</v>
      </c>
      <c r="X7941" s="1" t="s">
        <v>54</v>
      </c>
    </row>
    <row r="7942" spans="1:24" x14ac:dyDescent="0.25">
      <c r="A7942" s="1" t="str">
        <f t="shared" si="2292"/>
        <v>卡卡杜-凤凰仓</v>
      </c>
      <c r="B7942" s="1" t="str">
        <f>"CK202410116178"</f>
        <v>CK202410116178</v>
      </c>
      <c r="C7942" s="1" t="str">
        <f>"DD2024101114687"</f>
        <v>DD2024101114687</v>
      </c>
      <c r="D7942" s="1" t="str">
        <f>"CK2024101117343"</f>
        <v>CK2024101117343</v>
      </c>
      <c r="E7942" s="1" t="str">
        <f>"6934838445087856099"</f>
        <v>6934838445087856099</v>
      </c>
      <c r="F7942" s="1" t="str">
        <f t="shared" si="2293"/>
        <v>花都四部-凤凰仓</v>
      </c>
      <c r="G7942" s="1" t="str">
        <f t="shared" si="2286"/>
        <v>卡卡杜个人护理店（抖店）</v>
      </c>
      <c r="H7942" s="1" t="str">
        <f t="shared" si="2294"/>
        <v>正常订单</v>
      </c>
      <c r="I7942" s="1" t="str">
        <f t="shared" si="2295"/>
        <v>已发货</v>
      </c>
      <c r="J7942" s="1" t="str">
        <f t="shared" si="2290"/>
        <v>5</v>
      </c>
      <c r="K7942" s="1">
        <v>3</v>
      </c>
      <c r="L7942" s="1" t="s">
        <v>27</v>
      </c>
      <c r="M7942" s="1" t="str">
        <f>"贵州省 贵阳市 云岩区 黔灵东路街道"</f>
        <v>贵州省 贵阳市 云岩区 黔灵东路街道</v>
      </c>
      <c r="N7942" s="1" t="str">
        <f t="shared" si="2289"/>
        <v>凡华云仓-韵达-抖音</v>
      </c>
      <c r="O7942" s="5">
        <v>320166069288972</v>
      </c>
      <c r="P7942" s="6">
        <v>0.47</v>
      </c>
      <c r="Q7942" s="11">
        <v>2.2999999999999998</v>
      </c>
      <c r="R7942" s="11"/>
      <c r="S7942" s="11"/>
      <c r="T7942" s="11"/>
      <c r="U7942" s="11">
        <f t="shared" si="2291"/>
        <v>2.2999999999999998</v>
      </c>
      <c r="W7942">
        <v>2.5</v>
      </c>
      <c r="X7942" s="1" t="s">
        <v>27</v>
      </c>
    </row>
    <row r="7943" spans="1:24" x14ac:dyDescent="0.25">
      <c r="A7943" s="1" t="str">
        <f t="shared" si="2292"/>
        <v>卡卡杜-凤凰仓</v>
      </c>
      <c r="B7943" s="1" t="str">
        <f>"CK202410116181"</f>
        <v>CK202410116181</v>
      </c>
      <c r="C7943" s="1" t="str">
        <f>"DD2024101114689"</f>
        <v>DD2024101114689</v>
      </c>
      <c r="D7943" s="1" t="str">
        <f>"CK2024101117342"</f>
        <v>CK2024101117342</v>
      </c>
      <c r="E7943" s="1" t="str">
        <f>"6934851701393855697"</f>
        <v>6934851701393855697</v>
      </c>
      <c r="F7943" s="1" t="str">
        <f t="shared" si="2293"/>
        <v>花都四部-凤凰仓</v>
      </c>
      <c r="G7943" s="1" t="str">
        <f t="shared" si="2286"/>
        <v>卡卡杜个人护理店（抖店）</v>
      </c>
      <c r="H7943" s="1" t="str">
        <f t="shared" si="2294"/>
        <v>正常订单</v>
      </c>
      <c r="I7943" s="1" t="str">
        <f t="shared" si="2295"/>
        <v>已发货</v>
      </c>
      <c r="J7943" s="1" t="str">
        <f t="shared" si="2290"/>
        <v>5</v>
      </c>
      <c r="K7943" s="1">
        <v>3</v>
      </c>
      <c r="L7943" s="1" t="s">
        <v>36</v>
      </c>
      <c r="M7943" s="1" t="str">
        <f>"安徽省 六安市 舒城县 南港镇"</f>
        <v>安徽省 六安市 舒城县 南港镇</v>
      </c>
      <c r="N7943" s="1" t="str">
        <f t="shared" si="2289"/>
        <v>凡华云仓-韵达-抖音</v>
      </c>
      <c r="O7943" s="5">
        <v>320166069288867</v>
      </c>
      <c r="P7943" s="6">
        <v>0.47</v>
      </c>
      <c r="Q7943" s="11">
        <v>2.2999999999999998</v>
      </c>
      <c r="R7943" s="11"/>
      <c r="S7943" s="11"/>
      <c r="T7943" s="11"/>
      <c r="U7943" s="11">
        <f t="shared" si="2291"/>
        <v>2.2999999999999998</v>
      </c>
      <c r="W7943">
        <v>2.5</v>
      </c>
      <c r="X7943" s="1" t="s">
        <v>36</v>
      </c>
    </row>
    <row r="7944" spans="1:24" x14ac:dyDescent="0.25">
      <c r="A7944" s="1" t="str">
        <f t="shared" si="2292"/>
        <v>卡卡杜-凤凰仓</v>
      </c>
      <c r="B7944" s="1" t="str">
        <f>"CK202410116183"</f>
        <v>CK202410116183</v>
      </c>
      <c r="C7944" s="1" t="str">
        <f>"DD2024101114693"</f>
        <v>DD2024101114693</v>
      </c>
      <c r="D7944" s="1" t="str">
        <f>"CK2024101117341"</f>
        <v>CK2024101117341</v>
      </c>
      <c r="E7944" s="1" t="str">
        <f>"6934834208615634698"</f>
        <v>6934834208615634698</v>
      </c>
      <c r="F7944" s="1" t="str">
        <f t="shared" si="2293"/>
        <v>花都四部-凤凰仓</v>
      </c>
      <c r="G7944" s="1" t="str">
        <f t="shared" si="2286"/>
        <v>卡卡杜个人护理店（抖店）</v>
      </c>
      <c r="H7944" s="1" t="str">
        <f t="shared" si="2294"/>
        <v>正常订单</v>
      </c>
      <c r="I7944" s="1" t="str">
        <f t="shared" si="2295"/>
        <v>已发货</v>
      </c>
      <c r="J7944" s="1" t="str">
        <f t="shared" si="2290"/>
        <v>5</v>
      </c>
      <c r="K7944" s="1">
        <v>3</v>
      </c>
      <c r="L7944" s="1" t="s">
        <v>30</v>
      </c>
      <c r="M7944" s="1" t="str">
        <f>"山东省 潍坊市 奎文区 东关街道"</f>
        <v>山东省 潍坊市 奎文区 东关街道</v>
      </c>
      <c r="N7944" s="1" t="str">
        <f t="shared" si="2289"/>
        <v>凡华云仓-韵达-抖音</v>
      </c>
      <c r="O7944" s="5">
        <v>320166069288764</v>
      </c>
      <c r="P7944" s="6">
        <v>0.47</v>
      </c>
      <c r="Q7944" s="11">
        <v>2.2999999999999998</v>
      </c>
      <c r="R7944" s="11"/>
      <c r="S7944" s="11"/>
      <c r="T7944" s="11"/>
      <c r="U7944" s="11">
        <f t="shared" si="2291"/>
        <v>2.2999999999999998</v>
      </c>
      <c r="W7944">
        <v>2.5</v>
      </c>
      <c r="X7944" s="1" t="s">
        <v>30</v>
      </c>
    </row>
    <row r="7945" spans="1:24" x14ac:dyDescent="0.25">
      <c r="A7945" s="1" t="str">
        <f t="shared" si="2292"/>
        <v>卡卡杜-凤凰仓</v>
      </c>
      <c r="B7945" s="1" t="str">
        <f>"CK202410116142"</f>
        <v>CK202410116142</v>
      </c>
      <c r="C7945" s="1" t="str">
        <f>"DD2024101114651"</f>
        <v>DD2024101114651</v>
      </c>
      <c r="D7945" s="1" t="str">
        <f>"CK2024101117340"</f>
        <v>CK2024101117340</v>
      </c>
      <c r="E7945" s="1" t="str">
        <f>"6934831535533528269"</f>
        <v>6934831535533528269</v>
      </c>
      <c r="F7945" s="1" t="str">
        <f t="shared" si="2293"/>
        <v>花都四部-凤凰仓</v>
      </c>
      <c r="G7945" s="1" t="str">
        <f t="shared" si="2286"/>
        <v>卡卡杜个人护理店（抖店）</v>
      </c>
      <c r="H7945" s="1" t="str">
        <f t="shared" si="2294"/>
        <v>正常订单</v>
      </c>
      <c r="I7945" s="1" t="str">
        <f t="shared" si="2295"/>
        <v>已发货</v>
      </c>
      <c r="J7945" s="1" t="str">
        <f t="shared" si="2290"/>
        <v>5</v>
      </c>
      <c r="K7945" s="1">
        <v>3</v>
      </c>
      <c r="L7945" s="1" t="s">
        <v>109</v>
      </c>
      <c r="M7945" s="1" t="str">
        <f>"山西省 大同市 平城区 马军营街道"</f>
        <v>山西省 大同市 平城区 马军营街道</v>
      </c>
      <c r="N7945" s="1" t="str">
        <f t="shared" si="2289"/>
        <v>凡华云仓-韵达-抖音</v>
      </c>
      <c r="O7945" s="5">
        <v>320166069288663</v>
      </c>
      <c r="P7945" s="6">
        <v>0.47</v>
      </c>
      <c r="Q7945" s="11">
        <v>2.2999999999999998</v>
      </c>
      <c r="R7945" s="11"/>
      <c r="S7945" s="11"/>
      <c r="T7945" s="11"/>
      <c r="U7945" s="11">
        <f t="shared" si="2291"/>
        <v>2.2999999999999998</v>
      </c>
      <c r="W7945">
        <v>2.5</v>
      </c>
      <c r="X7945" s="1" t="s">
        <v>109</v>
      </c>
    </row>
    <row r="7946" spans="1:24" x14ac:dyDescent="0.25">
      <c r="A7946" s="1" t="str">
        <f t="shared" si="2292"/>
        <v>卡卡杜-凤凰仓</v>
      </c>
      <c r="B7946" s="1" t="str">
        <f>"CK202410116190"</f>
        <v>CK202410116190</v>
      </c>
      <c r="C7946" s="1" t="str">
        <f>"DD2024101114701"</f>
        <v>DD2024101114701</v>
      </c>
      <c r="D7946" s="1" t="str">
        <f>"CK2024101117339"</f>
        <v>CK2024101117339</v>
      </c>
      <c r="E7946" s="1" t="str">
        <f>"6934822644403148633"</f>
        <v>6934822644403148633</v>
      </c>
      <c r="F7946" s="1" t="str">
        <f t="shared" si="2293"/>
        <v>花都四部-凤凰仓</v>
      </c>
      <c r="G7946" s="1" t="str">
        <f t="shared" si="2286"/>
        <v>卡卡杜个人护理店（抖店）</v>
      </c>
      <c r="H7946" s="1" t="str">
        <f t="shared" si="2294"/>
        <v>正常订单</v>
      </c>
      <c r="I7946" s="1" t="str">
        <f t="shared" si="2295"/>
        <v>已发货</v>
      </c>
      <c r="J7946" s="1" t="str">
        <f t="shared" si="2290"/>
        <v>5</v>
      </c>
      <c r="K7946" s="1">
        <v>3</v>
      </c>
      <c r="L7946" s="1" t="s">
        <v>13</v>
      </c>
      <c r="M7946" s="1" t="str">
        <f>"江苏省 泰州市 兴化市 大垛镇"</f>
        <v>江苏省 泰州市 兴化市 大垛镇</v>
      </c>
      <c r="N7946" s="1" t="str">
        <f t="shared" si="2289"/>
        <v>凡华云仓-韵达-抖音</v>
      </c>
      <c r="O7946" s="5">
        <v>320166069288564</v>
      </c>
      <c r="P7946" s="6">
        <v>0.47</v>
      </c>
      <c r="Q7946" s="11">
        <v>2.2999999999999998</v>
      </c>
      <c r="R7946" s="11"/>
      <c r="S7946" s="11"/>
      <c r="T7946" s="11"/>
      <c r="U7946" s="11">
        <f t="shared" si="2291"/>
        <v>2.2999999999999998</v>
      </c>
      <c r="W7946">
        <v>2.5</v>
      </c>
      <c r="X7946" s="1" t="s">
        <v>13</v>
      </c>
    </row>
    <row r="7947" spans="1:24" x14ac:dyDescent="0.25">
      <c r="A7947" s="1" t="str">
        <f t="shared" si="2292"/>
        <v>卡卡杜-凤凰仓</v>
      </c>
      <c r="B7947" s="1" t="str">
        <f>"CK202410118200"</f>
        <v>CK202410118200</v>
      </c>
      <c r="C7947" s="1" t="str">
        <f>"DD2024101116754"</f>
        <v>DD2024101116754</v>
      </c>
      <c r="D7947" s="1" t="str">
        <f>"CK2024101117338"</f>
        <v>CK2024101117338</v>
      </c>
      <c r="E7947" s="1" t="str">
        <f>"6934822664057984847"</f>
        <v>6934822664057984847</v>
      </c>
      <c r="F7947" s="1" t="str">
        <f t="shared" si="2293"/>
        <v>花都四部-凤凰仓</v>
      </c>
      <c r="G7947" s="1" t="str">
        <f t="shared" si="2286"/>
        <v>卡卡杜个人护理店（抖店）</v>
      </c>
      <c r="H7947" s="1" t="str">
        <f t="shared" si="2294"/>
        <v>正常订单</v>
      </c>
      <c r="I7947" s="1" t="str">
        <f t="shared" si="2295"/>
        <v>已发货</v>
      </c>
      <c r="J7947" s="1" t="str">
        <f t="shared" si="2290"/>
        <v>5</v>
      </c>
      <c r="K7947" s="1">
        <v>3</v>
      </c>
      <c r="L7947" s="1" t="s">
        <v>13</v>
      </c>
      <c r="M7947" s="1" t="str">
        <f>"江苏省 南通市 通州区 金沙街道"</f>
        <v>江苏省 南通市 通州区 金沙街道</v>
      </c>
      <c r="N7947" s="1" t="str">
        <f t="shared" si="2289"/>
        <v>凡华云仓-韵达-抖音</v>
      </c>
      <c r="O7947" s="5">
        <v>320166069288467</v>
      </c>
      <c r="P7947" s="6">
        <v>0.47</v>
      </c>
      <c r="Q7947" s="11">
        <v>2.2999999999999998</v>
      </c>
      <c r="R7947" s="11"/>
      <c r="S7947" s="11"/>
      <c r="T7947" s="11"/>
      <c r="U7947" s="11">
        <f t="shared" si="2291"/>
        <v>2.2999999999999998</v>
      </c>
      <c r="W7947">
        <v>2.5</v>
      </c>
      <c r="X7947" s="1" t="s">
        <v>13</v>
      </c>
    </row>
    <row r="7948" spans="1:24" x14ac:dyDescent="0.25">
      <c r="A7948" s="1" t="str">
        <f t="shared" si="2292"/>
        <v>卡卡杜-凤凰仓</v>
      </c>
      <c r="B7948" s="1" t="str">
        <f>"CK2024101110460"</f>
        <v>CK2024101110460</v>
      </c>
      <c r="C7948" s="1" t="str">
        <f>"DD2024101117048"</f>
        <v>DD2024101117048</v>
      </c>
      <c r="D7948" s="1" t="str">
        <f>"CK2024101117337"</f>
        <v>CK2024101117337</v>
      </c>
      <c r="E7948" s="1" t="str">
        <f>"6934831597002102235"</f>
        <v>6934831597002102235</v>
      </c>
      <c r="F7948" s="1" t="str">
        <f t="shared" si="2293"/>
        <v>花都四部-凤凰仓</v>
      </c>
      <c r="G7948" s="1" t="str">
        <f t="shared" si="2286"/>
        <v>卡卡杜个人护理店（抖店）</v>
      </c>
      <c r="H7948" s="1" t="str">
        <f t="shared" si="2294"/>
        <v>正常订单</v>
      </c>
      <c r="I7948" s="1" t="str">
        <f t="shared" si="2295"/>
        <v>已发货</v>
      </c>
      <c r="J7948" s="1" t="str">
        <f>"9"</f>
        <v>9</v>
      </c>
      <c r="K7948" s="1">
        <v>3</v>
      </c>
      <c r="L7948" s="1" t="s">
        <v>20</v>
      </c>
      <c r="M7948" s="1" t="str">
        <f>"浙江省 嘉兴市 南湖区 建设街道"</f>
        <v>浙江省 嘉兴市 南湖区 建设街道</v>
      </c>
      <c r="N7948" s="1" t="str">
        <f t="shared" si="2289"/>
        <v>凡华云仓-韵达-抖音</v>
      </c>
      <c r="O7948" s="5">
        <v>320166069288372</v>
      </c>
      <c r="P7948" s="6">
        <v>0.83</v>
      </c>
      <c r="Q7948" s="11">
        <f>CEILING(P7948-0.5,0.1)*10*0.15+2.3</f>
        <v>2.9</v>
      </c>
      <c r="R7948" s="11"/>
      <c r="S7948" s="11"/>
      <c r="T7948" s="11"/>
      <c r="U7948" s="11">
        <f t="shared" si="2291"/>
        <v>2.9</v>
      </c>
      <c r="V7948" t="s">
        <v>15</v>
      </c>
      <c r="W7948">
        <v>2.9</v>
      </c>
      <c r="X7948" s="1" t="s">
        <v>20</v>
      </c>
    </row>
    <row r="7949" spans="1:24" x14ac:dyDescent="0.25">
      <c r="A7949" s="1" t="str">
        <f t="shared" si="2292"/>
        <v>卡卡杜-凤凰仓</v>
      </c>
      <c r="B7949" s="1" t="str">
        <f>"CK202410116210"</f>
        <v>CK202410116210</v>
      </c>
      <c r="C7949" s="1" t="str">
        <f>"DD2024101114720"</f>
        <v>DD2024101114720</v>
      </c>
      <c r="D7949" s="1" t="str">
        <f>"CK2024101117336"</f>
        <v>CK2024101117336</v>
      </c>
      <c r="E7949" s="1" t="str">
        <f>"6934845497787946401"</f>
        <v>6934845497787946401</v>
      </c>
      <c r="F7949" s="1" t="str">
        <f t="shared" si="2293"/>
        <v>花都四部-凤凰仓</v>
      </c>
      <c r="G7949" s="1" t="str">
        <f t="shared" ref="G7949:G8012" si="2296">"卡卡杜个人护理店（抖店）"</f>
        <v>卡卡杜个人护理店（抖店）</v>
      </c>
      <c r="H7949" s="1" t="str">
        <f t="shared" si="2294"/>
        <v>正常订单</v>
      </c>
      <c r="I7949" s="1" t="str">
        <f t="shared" si="2295"/>
        <v>已发货</v>
      </c>
      <c r="J7949" s="1" t="str">
        <f t="shared" ref="J7949:J7973" si="2297">"5"</f>
        <v>5</v>
      </c>
      <c r="K7949" s="1">
        <v>3</v>
      </c>
      <c r="L7949" s="1" t="s">
        <v>13</v>
      </c>
      <c r="M7949" s="1" t="str">
        <f>"江苏省 盐城市 阜宁县 东沟镇"</f>
        <v>江苏省 盐城市 阜宁县 东沟镇</v>
      </c>
      <c r="N7949" s="1" t="str">
        <f t="shared" si="2289"/>
        <v>凡华云仓-韵达-抖音</v>
      </c>
      <c r="O7949" s="5">
        <v>320166069288279</v>
      </c>
      <c r="P7949" s="6">
        <v>0.47</v>
      </c>
      <c r="Q7949" s="11">
        <v>2.2999999999999998</v>
      </c>
      <c r="R7949" s="11"/>
      <c r="S7949" s="11"/>
      <c r="T7949" s="11"/>
      <c r="U7949" s="11">
        <f t="shared" si="2291"/>
        <v>2.2999999999999998</v>
      </c>
      <c r="W7949">
        <v>2.5</v>
      </c>
      <c r="X7949" s="1" t="s">
        <v>13</v>
      </c>
    </row>
    <row r="7950" spans="1:24" x14ac:dyDescent="0.25">
      <c r="A7950" s="1" t="str">
        <f t="shared" si="2292"/>
        <v>卡卡杜-凤凰仓</v>
      </c>
      <c r="B7950" s="1" t="str">
        <f>"CK202410116193"</f>
        <v>CK202410116193</v>
      </c>
      <c r="C7950" s="1" t="str">
        <f>"DD2024101114700"</f>
        <v>DD2024101114700</v>
      </c>
      <c r="D7950" s="1" t="str">
        <f>"CK2024101117335"</f>
        <v>CK2024101117335</v>
      </c>
      <c r="E7950" s="1" t="str">
        <f>"6934840926032565953"</f>
        <v>6934840926032565953</v>
      </c>
      <c r="F7950" s="1" t="str">
        <f t="shared" si="2293"/>
        <v>花都四部-凤凰仓</v>
      </c>
      <c r="G7950" s="1" t="str">
        <f t="shared" si="2296"/>
        <v>卡卡杜个人护理店（抖店）</v>
      </c>
      <c r="H7950" s="1" t="str">
        <f t="shared" si="2294"/>
        <v>正常订单</v>
      </c>
      <c r="I7950" s="1" t="str">
        <f t="shared" si="2295"/>
        <v>已发货</v>
      </c>
      <c r="J7950" s="1" t="str">
        <f t="shared" si="2297"/>
        <v>5</v>
      </c>
      <c r="K7950" s="1">
        <v>3</v>
      </c>
      <c r="L7950" s="1" t="s">
        <v>32</v>
      </c>
      <c r="M7950" s="1" t="str">
        <f>"陕西省 西安市 长安区 韦曲街道"</f>
        <v>陕西省 西安市 长安区 韦曲街道</v>
      </c>
      <c r="N7950" s="1" t="str">
        <f t="shared" si="2289"/>
        <v>凡华云仓-韵达-抖音</v>
      </c>
      <c r="O7950" s="5">
        <v>320166069288188</v>
      </c>
      <c r="P7950" s="6">
        <v>0.47</v>
      </c>
      <c r="Q7950" s="11">
        <v>2.2999999999999998</v>
      </c>
      <c r="R7950" s="11"/>
      <c r="S7950" s="11"/>
      <c r="T7950" s="11"/>
      <c r="U7950" s="11">
        <f t="shared" si="2291"/>
        <v>2.2999999999999998</v>
      </c>
      <c r="W7950">
        <v>2.5</v>
      </c>
      <c r="X7950" s="1" t="s">
        <v>32</v>
      </c>
    </row>
    <row r="7951" spans="1:24" x14ac:dyDescent="0.25">
      <c r="A7951" s="1" t="str">
        <f t="shared" si="2292"/>
        <v>卡卡杜-凤凰仓</v>
      </c>
      <c r="B7951" s="1" t="str">
        <f>"CK202410116071"</f>
        <v>CK202410116071</v>
      </c>
      <c r="C7951" s="1" t="str">
        <f>"DD2024101114580"</f>
        <v>DD2024101114580</v>
      </c>
      <c r="D7951" s="1" t="str">
        <f>"CK2024101117334"</f>
        <v>CK2024101117334</v>
      </c>
      <c r="E7951" s="1" t="str">
        <f>"6934827290984584219"</f>
        <v>6934827290984584219</v>
      </c>
      <c r="F7951" s="1" t="str">
        <f t="shared" si="2293"/>
        <v>花都四部-凤凰仓</v>
      </c>
      <c r="G7951" s="1" t="str">
        <f t="shared" si="2296"/>
        <v>卡卡杜个人护理店（抖店）</v>
      </c>
      <c r="H7951" s="1" t="str">
        <f t="shared" si="2294"/>
        <v>正常订单</v>
      </c>
      <c r="I7951" s="1" t="str">
        <f t="shared" si="2295"/>
        <v>已发货</v>
      </c>
      <c r="J7951" s="1" t="str">
        <f t="shared" si="2297"/>
        <v>5</v>
      </c>
      <c r="K7951" s="1">
        <v>3</v>
      </c>
      <c r="L7951" s="1" t="s">
        <v>13</v>
      </c>
      <c r="M7951" s="1" t="str">
        <f>"江苏省 盐城市 建湖县 上冈镇"</f>
        <v>江苏省 盐城市 建湖县 上冈镇</v>
      </c>
      <c r="N7951" s="1" t="str">
        <f t="shared" si="2289"/>
        <v>凡华云仓-韵达-抖音</v>
      </c>
      <c r="O7951" s="5">
        <v>320166069288099</v>
      </c>
      <c r="P7951" s="6">
        <v>0.47</v>
      </c>
      <c r="Q7951" s="11">
        <v>2.2999999999999998</v>
      </c>
      <c r="R7951" s="11"/>
      <c r="S7951" s="11"/>
      <c r="T7951" s="11"/>
      <c r="U7951" s="11">
        <f t="shared" si="2291"/>
        <v>2.2999999999999998</v>
      </c>
      <c r="W7951">
        <v>2.5</v>
      </c>
      <c r="X7951" s="1" t="s">
        <v>13</v>
      </c>
    </row>
    <row r="7952" spans="1:24" x14ac:dyDescent="0.25">
      <c r="A7952" s="1" t="str">
        <f t="shared" si="2292"/>
        <v>卡卡杜-凤凰仓</v>
      </c>
      <c r="B7952" s="1" t="str">
        <f>"CK202410116173"</f>
        <v>CK202410116173</v>
      </c>
      <c r="C7952" s="1" t="str">
        <f>"DD2024101114685"</f>
        <v>DD2024101114685</v>
      </c>
      <c r="D7952" s="1" t="str">
        <f>"CK2024101117333"</f>
        <v>CK2024101117333</v>
      </c>
      <c r="E7952" s="1" t="str">
        <f>"6934822637864097049"</f>
        <v>6934822637864097049</v>
      </c>
      <c r="F7952" s="1" t="str">
        <f t="shared" si="2293"/>
        <v>花都四部-凤凰仓</v>
      </c>
      <c r="G7952" s="1" t="str">
        <f t="shared" si="2296"/>
        <v>卡卡杜个人护理店（抖店）</v>
      </c>
      <c r="H7952" s="1" t="str">
        <f t="shared" si="2294"/>
        <v>正常订单</v>
      </c>
      <c r="I7952" s="1" t="str">
        <f t="shared" si="2295"/>
        <v>已发货</v>
      </c>
      <c r="J7952" s="1" t="str">
        <f t="shared" si="2297"/>
        <v>5</v>
      </c>
      <c r="K7952" s="1">
        <v>3</v>
      </c>
      <c r="L7952" s="1" t="s">
        <v>109</v>
      </c>
      <c r="M7952" s="1" t="str">
        <f>"山西省 长治市 沁源县 沁河镇"</f>
        <v>山西省 长治市 沁源县 沁河镇</v>
      </c>
      <c r="N7952" s="1" t="str">
        <f t="shared" si="2289"/>
        <v>凡华云仓-韵达-抖音</v>
      </c>
      <c r="O7952" s="5">
        <v>320166068520588</v>
      </c>
      <c r="P7952" s="6">
        <v>0.47</v>
      </c>
      <c r="Q7952" s="11">
        <v>2.2999999999999998</v>
      </c>
      <c r="R7952" s="11"/>
      <c r="S7952" s="11"/>
      <c r="T7952" s="11"/>
      <c r="U7952" s="11">
        <f t="shared" si="2291"/>
        <v>2.2999999999999998</v>
      </c>
      <c r="W7952">
        <v>2.5</v>
      </c>
      <c r="X7952" s="1" t="s">
        <v>109</v>
      </c>
    </row>
    <row r="7953" spans="1:24" x14ac:dyDescent="0.25">
      <c r="A7953" s="1" t="str">
        <f t="shared" si="2292"/>
        <v>卡卡杜-凤凰仓</v>
      </c>
      <c r="B7953" s="1" t="str">
        <f>"CK202410116195"</f>
        <v>CK202410116195</v>
      </c>
      <c r="C7953" s="1" t="str">
        <f>"DD2024101114705"</f>
        <v>DD2024101114705</v>
      </c>
      <c r="D7953" s="1" t="str">
        <f>"CK2024101117332"</f>
        <v>CK2024101117332</v>
      </c>
      <c r="E7953" s="1" t="str">
        <f>"6934831562698921727"</f>
        <v>6934831562698921727</v>
      </c>
      <c r="F7953" s="1" t="str">
        <f t="shared" si="2293"/>
        <v>花都四部-凤凰仓</v>
      </c>
      <c r="G7953" s="1" t="str">
        <f t="shared" si="2296"/>
        <v>卡卡杜个人护理店（抖店）</v>
      </c>
      <c r="H7953" s="1" t="str">
        <f t="shared" si="2294"/>
        <v>正常订单</v>
      </c>
      <c r="I7953" s="1" t="str">
        <f t="shared" si="2295"/>
        <v>已发货</v>
      </c>
      <c r="J7953" s="1" t="str">
        <f t="shared" si="2297"/>
        <v>5</v>
      </c>
      <c r="K7953" s="1">
        <v>3</v>
      </c>
      <c r="L7953" s="1" t="s">
        <v>92</v>
      </c>
      <c r="M7953" s="1" t="str">
        <f>"辽宁省 大连市 庄河市 城关街道"</f>
        <v>辽宁省 大连市 庄河市 城关街道</v>
      </c>
      <c r="N7953" s="1" t="str">
        <f t="shared" si="2289"/>
        <v>凡华云仓-韵达-抖音</v>
      </c>
      <c r="O7953" s="5">
        <v>320166068520491</v>
      </c>
      <c r="P7953" s="6">
        <v>0.47</v>
      </c>
      <c r="Q7953" s="11">
        <v>2.2999999999999998</v>
      </c>
      <c r="R7953" s="11"/>
      <c r="S7953" s="11"/>
      <c r="T7953" s="11"/>
      <c r="U7953" s="11">
        <f t="shared" si="2291"/>
        <v>2.2999999999999998</v>
      </c>
      <c r="W7953">
        <v>2.5</v>
      </c>
      <c r="X7953" s="1" t="s">
        <v>92</v>
      </c>
    </row>
    <row r="7954" spans="1:24" x14ac:dyDescent="0.25">
      <c r="A7954" s="1" t="str">
        <f t="shared" si="2292"/>
        <v>卡卡杜-凤凰仓</v>
      </c>
      <c r="B7954" s="1" t="str">
        <f>"CK202410116198"</f>
        <v>CK202410116198</v>
      </c>
      <c r="C7954" s="1" t="str">
        <f>"DD2024101114706"</f>
        <v>DD2024101114706</v>
      </c>
      <c r="D7954" s="1" t="str">
        <f>"CK2024101117331"</f>
        <v>CK2024101117331</v>
      </c>
      <c r="E7954" s="1" t="str">
        <f>"6934822597835036161"</f>
        <v>6934822597835036161</v>
      </c>
      <c r="F7954" s="1" t="str">
        <f t="shared" si="2293"/>
        <v>花都四部-凤凰仓</v>
      </c>
      <c r="G7954" s="1" t="str">
        <f t="shared" si="2296"/>
        <v>卡卡杜个人护理店（抖店）</v>
      </c>
      <c r="H7954" s="1" t="str">
        <f t="shared" si="2294"/>
        <v>正常订单</v>
      </c>
      <c r="I7954" s="1" t="str">
        <f t="shared" si="2295"/>
        <v>已发货</v>
      </c>
      <c r="J7954" s="1" t="str">
        <f t="shared" si="2297"/>
        <v>5</v>
      </c>
      <c r="K7954" s="1">
        <v>3</v>
      </c>
      <c r="L7954" s="1" t="s">
        <v>30</v>
      </c>
      <c r="M7954" s="1" t="str">
        <f>"山东省 泰安市 泰山区 财源街道"</f>
        <v>山东省 泰安市 泰山区 财源街道</v>
      </c>
      <c r="N7954" s="1" t="str">
        <f t="shared" si="2289"/>
        <v>凡华云仓-韵达-抖音</v>
      </c>
      <c r="O7954" s="5">
        <v>320166068520396</v>
      </c>
      <c r="P7954" s="6">
        <v>0.47</v>
      </c>
      <c r="Q7954" s="11">
        <v>2.2999999999999998</v>
      </c>
      <c r="R7954" s="11"/>
      <c r="S7954" s="11"/>
      <c r="T7954" s="11"/>
      <c r="U7954" s="11">
        <f t="shared" si="2291"/>
        <v>2.2999999999999998</v>
      </c>
      <c r="W7954">
        <v>2.5</v>
      </c>
      <c r="X7954" s="1" t="s">
        <v>30</v>
      </c>
    </row>
    <row r="7955" spans="1:24" x14ac:dyDescent="0.25">
      <c r="A7955" s="1" t="str">
        <f t="shared" si="2292"/>
        <v>卡卡杜-凤凰仓</v>
      </c>
      <c r="B7955" s="1" t="str">
        <f>"CK202410116098"</f>
        <v>CK202410116098</v>
      </c>
      <c r="C7955" s="1" t="str">
        <f>"DD2024101114607"</f>
        <v>DD2024101114607</v>
      </c>
      <c r="D7955" s="1" t="str">
        <f>"CK2024101117330"</f>
        <v>CK2024101117330</v>
      </c>
      <c r="E7955" s="1" t="str">
        <f>"6934824816739488895"</f>
        <v>6934824816739488895</v>
      </c>
      <c r="F7955" s="1" t="str">
        <f t="shared" si="2293"/>
        <v>花都四部-凤凰仓</v>
      </c>
      <c r="G7955" s="1" t="str">
        <f t="shared" si="2296"/>
        <v>卡卡杜个人护理店（抖店）</v>
      </c>
      <c r="H7955" s="1" t="str">
        <f t="shared" si="2294"/>
        <v>正常订单</v>
      </c>
      <c r="I7955" s="1" t="str">
        <f t="shared" si="2295"/>
        <v>已发货</v>
      </c>
      <c r="J7955" s="1" t="str">
        <f t="shared" si="2297"/>
        <v>5</v>
      </c>
      <c r="K7955" s="1">
        <v>3</v>
      </c>
      <c r="L7955" s="1" t="s">
        <v>109</v>
      </c>
      <c r="M7955" s="1" t="str">
        <f>"山西省 太原市 万柏林区 南寒街道"</f>
        <v>山西省 太原市 万柏林区 南寒街道</v>
      </c>
      <c r="N7955" s="1" t="str">
        <f t="shared" si="2289"/>
        <v>凡华云仓-韵达-抖音</v>
      </c>
      <c r="O7955" s="5">
        <v>320166068520203</v>
      </c>
      <c r="P7955" s="6">
        <v>0.47</v>
      </c>
      <c r="Q7955" s="11">
        <v>2.2999999999999998</v>
      </c>
      <c r="R7955" s="11"/>
      <c r="S7955" s="11"/>
      <c r="T7955" s="11"/>
      <c r="U7955" s="11">
        <f t="shared" si="2291"/>
        <v>2.2999999999999998</v>
      </c>
      <c r="W7955">
        <v>2.5</v>
      </c>
      <c r="X7955" s="1" t="s">
        <v>109</v>
      </c>
    </row>
    <row r="7956" spans="1:24" x14ac:dyDescent="0.25">
      <c r="A7956" s="1" t="str">
        <f t="shared" si="2292"/>
        <v>卡卡杜-凤凰仓</v>
      </c>
      <c r="B7956" s="1" t="str">
        <f>"CK202410116203"</f>
        <v>CK202410116203</v>
      </c>
      <c r="C7956" s="1" t="str">
        <f>"DD2024101114714"</f>
        <v>DD2024101114714</v>
      </c>
      <c r="D7956" s="1" t="str">
        <f>"CK2024101117329"</f>
        <v>CK2024101117329</v>
      </c>
      <c r="E7956" s="1" t="str">
        <f>"6917556336589831740"</f>
        <v>6917556336589831740</v>
      </c>
      <c r="F7956" s="1" t="str">
        <f t="shared" si="2293"/>
        <v>花都四部-凤凰仓</v>
      </c>
      <c r="G7956" s="1" t="str">
        <f t="shared" si="2296"/>
        <v>卡卡杜个人护理店（抖店）</v>
      </c>
      <c r="H7956" s="1" t="str">
        <f t="shared" si="2294"/>
        <v>正常订单</v>
      </c>
      <c r="I7956" s="1" t="str">
        <f t="shared" si="2295"/>
        <v>已发货</v>
      </c>
      <c r="J7956" s="1" t="str">
        <f t="shared" si="2297"/>
        <v>5</v>
      </c>
      <c r="K7956" s="1">
        <v>3</v>
      </c>
      <c r="L7956" s="1" t="s">
        <v>24</v>
      </c>
      <c r="M7956" s="1" t="str">
        <f>"福建省 莆田市 涵江区 白塘镇"</f>
        <v>福建省 莆田市 涵江区 白塘镇</v>
      </c>
      <c r="N7956" s="1" t="str">
        <f t="shared" si="2289"/>
        <v>凡华云仓-韵达-抖音</v>
      </c>
      <c r="O7956" s="5">
        <v>320166068520112</v>
      </c>
      <c r="P7956" s="6">
        <v>0.47</v>
      </c>
      <c r="Q7956" s="11">
        <v>2.2999999999999998</v>
      </c>
      <c r="R7956" s="11"/>
      <c r="S7956" s="11"/>
      <c r="T7956" s="11"/>
      <c r="U7956" s="11">
        <f t="shared" si="2291"/>
        <v>2.2999999999999998</v>
      </c>
      <c r="W7956">
        <v>2.5</v>
      </c>
      <c r="X7956" s="1" t="s">
        <v>24</v>
      </c>
    </row>
    <row r="7957" spans="1:24" x14ac:dyDescent="0.25">
      <c r="A7957" s="1" t="str">
        <f t="shared" si="2292"/>
        <v>卡卡杜-凤凰仓</v>
      </c>
      <c r="B7957" s="1" t="str">
        <f>"CK202410116205"</f>
        <v>CK202410116205</v>
      </c>
      <c r="C7957" s="1" t="str">
        <f>"DD2024101114715"</f>
        <v>DD2024101114715</v>
      </c>
      <c r="D7957" s="1" t="str">
        <f>"CK2024101117328"</f>
        <v>CK2024101117328</v>
      </c>
      <c r="E7957" s="1" t="str">
        <f>"6934829592940123749"</f>
        <v>6934829592940123749</v>
      </c>
      <c r="F7957" s="1" t="str">
        <f t="shared" si="2293"/>
        <v>花都四部-凤凰仓</v>
      </c>
      <c r="G7957" s="1" t="str">
        <f t="shared" si="2296"/>
        <v>卡卡杜个人护理店（抖店）</v>
      </c>
      <c r="H7957" s="1" t="str">
        <f t="shared" si="2294"/>
        <v>正常订单</v>
      </c>
      <c r="I7957" s="1" t="str">
        <f t="shared" si="2295"/>
        <v>已发货</v>
      </c>
      <c r="J7957" s="1" t="str">
        <f t="shared" si="2297"/>
        <v>5</v>
      </c>
      <c r="K7957" s="1">
        <v>3</v>
      </c>
      <c r="L7957" s="1" t="s">
        <v>218</v>
      </c>
      <c r="M7957" s="1" t="str">
        <f>"天津 天津市 滨海新区 茶淀街道"</f>
        <v>天津 天津市 滨海新区 茶淀街道</v>
      </c>
      <c r="N7957" s="1" t="str">
        <f t="shared" si="2289"/>
        <v>凡华云仓-韵达-抖音</v>
      </c>
      <c r="O7957" s="5">
        <v>320166068520023</v>
      </c>
      <c r="P7957" s="6">
        <v>0.47</v>
      </c>
      <c r="Q7957" s="11">
        <v>2.2999999999999998</v>
      </c>
      <c r="R7957" s="11"/>
      <c r="S7957" s="11"/>
      <c r="T7957" s="11"/>
      <c r="U7957" s="11">
        <f t="shared" si="2291"/>
        <v>2.2999999999999998</v>
      </c>
      <c r="W7957">
        <v>2.5</v>
      </c>
      <c r="X7957" s="1" t="s">
        <v>218</v>
      </c>
    </row>
    <row r="7958" spans="1:24" x14ac:dyDescent="0.25">
      <c r="A7958" s="1" t="str">
        <f t="shared" si="2292"/>
        <v>卡卡杜-凤凰仓</v>
      </c>
      <c r="B7958" s="1" t="str">
        <f>"CK202410116127"</f>
        <v>CK202410116127</v>
      </c>
      <c r="C7958" s="1" t="str">
        <f>"DD2024101114634"</f>
        <v>DD2024101114634</v>
      </c>
      <c r="D7958" s="1" t="str">
        <f>"CK2024101117327"</f>
        <v>CK2024101117327</v>
      </c>
      <c r="E7958" s="1" t="str">
        <f>"6934849424207320695"</f>
        <v>6934849424207320695</v>
      </c>
      <c r="F7958" s="1" t="str">
        <f t="shared" si="2293"/>
        <v>花都四部-凤凰仓</v>
      </c>
      <c r="G7958" s="1" t="str">
        <f t="shared" si="2296"/>
        <v>卡卡杜个人护理店（抖店）</v>
      </c>
      <c r="H7958" s="1" t="str">
        <f t="shared" si="2294"/>
        <v>正常订单</v>
      </c>
      <c r="I7958" s="1" t="str">
        <f t="shared" si="2295"/>
        <v>已发货</v>
      </c>
      <c r="J7958" s="1" t="str">
        <f t="shared" si="2297"/>
        <v>5</v>
      </c>
      <c r="K7958" s="1">
        <v>3</v>
      </c>
      <c r="L7958" s="1" t="s">
        <v>92</v>
      </c>
      <c r="M7958" s="1" t="str">
        <f>"辽宁省 鞍山市 海城市 东四街道"</f>
        <v>辽宁省 鞍山市 海城市 东四街道</v>
      </c>
      <c r="N7958" s="1" t="str">
        <f t="shared" si="2289"/>
        <v>凡华云仓-韵达-抖音</v>
      </c>
      <c r="O7958" s="5">
        <v>320166068519978</v>
      </c>
      <c r="P7958" s="6">
        <v>0.47</v>
      </c>
      <c r="Q7958" s="11">
        <v>2.2999999999999998</v>
      </c>
      <c r="R7958" s="11"/>
      <c r="S7958" s="11"/>
      <c r="T7958" s="11"/>
      <c r="U7958" s="11">
        <f t="shared" si="2291"/>
        <v>2.2999999999999998</v>
      </c>
      <c r="W7958">
        <v>2.5</v>
      </c>
      <c r="X7958" s="1" t="s">
        <v>92</v>
      </c>
    </row>
    <row r="7959" spans="1:24" x14ac:dyDescent="0.25">
      <c r="A7959" s="1" t="str">
        <f t="shared" si="2292"/>
        <v>卡卡杜-凤凰仓</v>
      </c>
      <c r="B7959" s="1" t="str">
        <f>"CK202410116062"</f>
        <v>CK202410116062</v>
      </c>
      <c r="C7959" s="1" t="str">
        <f>"DD2024101114572"</f>
        <v>DD2024101114572</v>
      </c>
      <c r="D7959" s="1" t="str">
        <f>"CK2024101117326"</f>
        <v>CK2024101117326</v>
      </c>
      <c r="E7959" s="1" t="str">
        <f>"6934822549363561820"</f>
        <v>6934822549363561820</v>
      </c>
      <c r="F7959" s="1" t="str">
        <f t="shared" si="2293"/>
        <v>花都四部-凤凰仓</v>
      </c>
      <c r="G7959" s="1" t="str">
        <f t="shared" si="2296"/>
        <v>卡卡杜个人护理店（抖店）</v>
      </c>
      <c r="H7959" s="1" t="str">
        <f t="shared" si="2294"/>
        <v>正常订单</v>
      </c>
      <c r="I7959" s="1" t="str">
        <f t="shared" si="2295"/>
        <v>已发货</v>
      </c>
      <c r="J7959" s="1" t="str">
        <f t="shared" si="2297"/>
        <v>5</v>
      </c>
      <c r="K7959" s="1">
        <v>3</v>
      </c>
      <c r="L7959" s="1" t="s">
        <v>80</v>
      </c>
      <c r="M7959" s="1" t="str">
        <f>"河南省 新乡市 原阳县 葛埠口乡"</f>
        <v>河南省 新乡市 原阳县 葛埠口乡</v>
      </c>
      <c r="N7959" s="1" t="str">
        <f t="shared" si="2289"/>
        <v>凡华云仓-韵达-抖音</v>
      </c>
      <c r="O7959" s="5">
        <v>320166068519873</v>
      </c>
      <c r="P7959" s="6">
        <v>0.47</v>
      </c>
      <c r="Q7959" s="11">
        <v>2.2999999999999998</v>
      </c>
      <c r="R7959" s="11"/>
      <c r="S7959" s="11"/>
      <c r="T7959" s="11"/>
      <c r="U7959" s="11">
        <f t="shared" si="2291"/>
        <v>2.2999999999999998</v>
      </c>
      <c r="W7959">
        <v>2.5</v>
      </c>
      <c r="X7959" s="1" t="s">
        <v>80</v>
      </c>
    </row>
    <row r="7960" spans="1:24" x14ac:dyDescent="0.25">
      <c r="A7960" s="1" t="str">
        <f t="shared" si="2292"/>
        <v>卡卡杜-凤凰仓</v>
      </c>
      <c r="B7960" s="1" t="str">
        <f>"CK202410116069"</f>
        <v>CK202410116069</v>
      </c>
      <c r="C7960" s="1" t="str">
        <f>"DD2024101114576"</f>
        <v>DD2024101114576</v>
      </c>
      <c r="D7960" s="1" t="str">
        <f>"CK2024101117325"</f>
        <v>CK2024101117325</v>
      </c>
      <c r="E7960" s="1" t="str">
        <f>"6934831588269757447"</f>
        <v>6934831588269757447</v>
      </c>
      <c r="F7960" s="1" t="str">
        <f t="shared" si="2293"/>
        <v>花都四部-凤凰仓</v>
      </c>
      <c r="G7960" s="1" t="str">
        <f t="shared" si="2296"/>
        <v>卡卡杜个人护理店（抖店）</v>
      </c>
      <c r="H7960" s="1" t="str">
        <f t="shared" si="2294"/>
        <v>正常订单</v>
      </c>
      <c r="I7960" s="1" t="str">
        <f t="shared" si="2295"/>
        <v>已发货</v>
      </c>
      <c r="J7960" s="1" t="str">
        <f t="shared" si="2297"/>
        <v>5</v>
      </c>
      <c r="K7960" s="1">
        <v>3</v>
      </c>
      <c r="L7960" s="1" t="s">
        <v>74</v>
      </c>
      <c r="M7960" s="1" t="str">
        <f>"上海 上海市 普陀区 长征镇"</f>
        <v>上海 上海市 普陀区 长征镇</v>
      </c>
      <c r="N7960" s="1" t="str">
        <f t="shared" si="2289"/>
        <v>凡华云仓-韵达-抖音</v>
      </c>
      <c r="O7960" s="5">
        <v>320166068519770</v>
      </c>
      <c r="P7960" s="6">
        <v>0.47</v>
      </c>
      <c r="Q7960" s="11">
        <v>2.2999999999999998</v>
      </c>
      <c r="R7960" s="11"/>
      <c r="S7960" s="11"/>
      <c r="T7960" s="11"/>
      <c r="U7960" s="11">
        <f t="shared" si="2291"/>
        <v>2.2999999999999998</v>
      </c>
      <c r="W7960">
        <v>2.5</v>
      </c>
      <c r="X7960" s="1" t="s">
        <v>74</v>
      </c>
    </row>
    <row r="7961" spans="1:24" x14ac:dyDescent="0.25">
      <c r="A7961" s="1" t="str">
        <f t="shared" si="2292"/>
        <v>卡卡杜-凤凰仓</v>
      </c>
      <c r="B7961" s="1" t="str">
        <f>"CK202410116072"</f>
        <v>CK202410116072</v>
      </c>
      <c r="C7961" s="1" t="str">
        <f>"DD2024101114581"</f>
        <v>DD2024101114581</v>
      </c>
      <c r="D7961" s="1" t="str">
        <f>"CK2024101117324"</f>
        <v>CK2024101117324</v>
      </c>
      <c r="E7961" s="1" t="str">
        <f>"6934827220582143185"</f>
        <v>6934827220582143185</v>
      </c>
      <c r="F7961" s="1" t="str">
        <f t="shared" si="2293"/>
        <v>花都四部-凤凰仓</v>
      </c>
      <c r="G7961" s="1" t="str">
        <f t="shared" si="2296"/>
        <v>卡卡杜个人护理店（抖店）</v>
      </c>
      <c r="H7961" s="1" t="str">
        <f t="shared" si="2294"/>
        <v>正常订单</v>
      </c>
      <c r="I7961" s="1" t="str">
        <f t="shared" si="2295"/>
        <v>已发货</v>
      </c>
      <c r="J7961" s="1" t="str">
        <f t="shared" si="2297"/>
        <v>5</v>
      </c>
      <c r="K7961" s="1">
        <v>3</v>
      </c>
      <c r="L7961" s="1" t="s">
        <v>18</v>
      </c>
      <c r="M7961" s="1" t="str">
        <f>"广东省 广州市 天河区 兴华街道"</f>
        <v>广东省 广州市 天河区 兴华街道</v>
      </c>
      <c r="N7961" s="1" t="str">
        <f t="shared" si="2289"/>
        <v>凡华云仓-韵达-抖音</v>
      </c>
      <c r="O7961" s="5">
        <v>320166068519669</v>
      </c>
      <c r="P7961" s="6">
        <v>0.47</v>
      </c>
      <c r="Q7961" s="11">
        <v>2.2999999999999998</v>
      </c>
      <c r="R7961" s="11"/>
      <c r="S7961" s="11"/>
      <c r="T7961" s="11"/>
      <c r="U7961" s="11">
        <f t="shared" si="2291"/>
        <v>2.2999999999999998</v>
      </c>
      <c r="W7961">
        <v>2.5</v>
      </c>
      <c r="X7961" s="1" t="s">
        <v>18</v>
      </c>
    </row>
    <row r="7962" spans="1:24" x14ac:dyDescent="0.25">
      <c r="A7962" s="1" t="str">
        <f t="shared" si="2292"/>
        <v>卡卡杜-凤凰仓</v>
      </c>
      <c r="B7962" s="1" t="str">
        <f>"CK202410116463"</f>
        <v>CK202410116463</v>
      </c>
      <c r="C7962" s="1" t="str">
        <f>"DD2024101114972"</f>
        <v>DD2024101114972</v>
      </c>
      <c r="D7962" s="1" t="str">
        <f>"CK2024101117323"</f>
        <v>CK2024101117323</v>
      </c>
      <c r="E7962" s="1" t="str">
        <f>"6934838442750579982"</f>
        <v>6934838442750579982</v>
      </c>
      <c r="F7962" s="1" t="str">
        <f t="shared" si="2293"/>
        <v>花都四部-凤凰仓</v>
      </c>
      <c r="G7962" s="1" t="str">
        <f t="shared" si="2296"/>
        <v>卡卡杜个人护理店（抖店）</v>
      </c>
      <c r="H7962" s="1" t="str">
        <f t="shared" si="2294"/>
        <v>正常订单</v>
      </c>
      <c r="I7962" s="1" t="str">
        <f t="shared" si="2295"/>
        <v>已发货</v>
      </c>
      <c r="J7962" s="1" t="str">
        <f t="shared" si="2297"/>
        <v>5</v>
      </c>
      <c r="K7962" s="1">
        <v>3</v>
      </c>
      <c r="L7962" s="1" t="s">
        <v>30</v>
      </c>
      <c r="M7962" s="1" t="str">
        <f>"山东省 淄博市 博山区 山头街道"</f>
        <v>山东省 淄博市 博山区 山头街道</v>
      </c>
      <c r="N7962" s="1" t="str">
        <f t="shared" si="2289"/>
        <v>凡华云仓-韵达-抖音</v>
      </c>
      <c r="O7962" s="5">
        <v>320166075272281</v>
      </c>
      <c r="P7962" s="6">
        <v>0.47</v>
      </c>
      <c r="Q7962" s="11">
        <v>2.2999999999999998</v>
      </c>
      <c r="R7962" s="11"/>
      <c r="S7962" s="11"/>
      <c r="T7962" s="11"/>
      <c r="U7962" s="11">
        <f t="shared" si="2291"/>
        <v>2.2999999999999998</v>
      </c>
      <c r="W7962">
        <v>2.5</v>
      </c>
      <c r="X7962" s="1" t="s">
        <v>30</v>
      </c>
    </row>
    <row r="7963" spans="1:24" x14ac:dyDescent="0.25">
      <c r="A7963" s="1" t="str">
        <f t="shared" si="2292"/>
        <v>卡卡杜-凤凰仓</v>
      </c>
      <c r="B7963" s="1" t="str">
        <f>"CK202410116246"</f>
        <v>CK202410116246</v>
      </c>
      <c r="C7963" s="1" t="str">
        <f>"DD2024101114755"</f>
        <v>DD2024101114755</v>
      </c>
      <c r="D7963" s="1" t="str">
        <f>"CK2024101117322"</f>
        <v>CK2024101117322</v>
      </c>
      <c r="E7963" s="1" t="str">
        <f>"6934829554314188693"</f>
        <v>6934829554314188693</v>
      </c>
      <c r="F7963" s="1" t="str">
        <f t="shared" si="2293"/>
        <v>花都四部-凤凰仓</v>
      </c>
      <c r="G7963" s="1" t="str">
        <f t="shared" si="2296"/>
        <v>卡卡杜个人护理店（抖店）</v>
      </c>
      <c r="H7963" s="1" t="str">
        <f t="shared" si="2294"/>
        <v>正常订单</v>
      </c>
      <c r="I7963" s="1" t="str">
        <f t="shared" si="2295"/>
        <v>已发货</v>
      </c>
      <c r="J7963" s="1" t="str">
        <f t="shared" si="2297"/>
        <v>5</v>
      </c>
      <c r="K7963" s="1">
        <v>3</v>
      </c>
      <c r="L7963" s="1" t="s">
        <v>109</v>
      </c>
      <c r="M7963" s="1" t="str">
        <f>"山西省 太原市 杏花岭区 敦化坊街道"</f>
        <v>山西省 太原市 杏花岭区 敦化坊街道</v>
      </c>
      <c r="N7963" s="1" t="str">
        <f t="shared" si="2289"/>
        <v>凡华云仓-韵达-抖音</v>
      </c>
      <c r="O7963" s="5">
        <v>320166075272190</v>
      </c>
      <c r="P7963" s="6">
        <v>0.47</v>
      </c>
      <c r="Q7963" s="11">
        <v>2.2999999999999998</v>
      </c>
      <c r="R7963" s="11"/>
      <c r="S7963" s="11"/>
      <c r="T7963" s="11"/>
      <c r="U7963" s="11">
        <f t="shared" si="2291"/>
        <v>2.2999999999999998</v>
      </c>
      <c r="W7963">
        <v>2.5</v>
      </c>
      <c r="X7963" s="1" t="s">
        <v>109</v>
      </c>
    </row>
    <row r="7964" spans="1:24" x14ac:dyDescent="0.25">
      <c r="A7964" s="1" t="str">
        <f t="shared" si="2292"/>
        <v>卡卡杜-凤凰仓</v>
      </c>
      <c r="B7964" s="1" t="str">
        <f>"CK202410116188"</f>
        <v>CK202410116188</v>
      </c>
      <c r="C7964" s="1" t="str">
        <f>"DD2024101114697"</f>
        <v>DD2024101114697</v>
      </c>
      <c r="D7964" s="1" t="str">
        <f>"CK2024101117321"</f>
        <v>CK2024101117321</v>
      </c>
      <c r="E7964" s="1" t="str">
        <f>"6934834206667052124"</f>
        <v>6934834206667052124</v>
      </c>
      <c r="F7964" s="1" t="str">
        <f t="shared" si="2293"/>
        <v>花都四部-凤凰仓</v>
      </c>
      <c r="G7964" s="1" t="str">
        <f t="shared" si="2296"/>
        <v>卡卡杜个人护理店（抖店）</v>
      </c>
      <c r="H7964" s="1" t="str">
        <f t="shared" si="2294"/>
        <v>正常订单</v>
      </c>
      <c r="I7964" s="1" t="str">
        <f t="shared" si="2295"/>
        <v>已发货</v>
      </c>
      <c r="J7964" s="1" t="str">
        <f t="shared" si="2297"/>
        <v>5</v>
      </c>
      <c r="K7964" s="1">
        <v>3</v>
      </c>
      <c r="L7964" s="1" t="s">
        <v>30</v>
      </c>
      <c r="M7964" s="1" t="str">
        <f>"山东省 烟台市 芝罘区 向阳街道"</f>
        <v>山东省 烟台市 芝罘区 向阳街道</v>
      </c>
      <c r="N7964" s="1" t="str">
        <f t="shared" si="2289"/>
        <v>凡华云仓-韵达-抖音</v>
      </c>
      <c r="O7964" s="5">
        <v>320166075272001</v>
      </c>
      <c r="P7964" s="6">
        <v>0.47</v>
      </c>
      <c r="Q7964" s="11">
        <v>2.2999999999999998</v>
      </c>
      <c r="R7964" s="11"/>
      <c r="S7964" s="11"/>
      <c r="T7964" s="11"/>
      <c r="U7964" s="11">
        <f t="shared" si="2291"/>
        <v>2.2999999999999998</v>
      </c>
      <c r="W7964">
        <v>2.5</v>
      </c>
      <c r="X7964" s="1" t="s">
        <v>30</v>
      </c>
    </row>
    <row r="7965" spans="1:24" x14ac:dyDescent="0.25">
      <c r="A7965" s="1" t="str">
        <f t="shared" si="2292"/>
        <v>卡卡杜-凤凰仓</v>
      </c>
      <c r="B7965" s="1" t="str">
        <f>"CK202410116226"</f>
        <v>CK202410116226</v>
      </c>
      <c r="C7965" s="1" t="str">
        <f>"DD2024101114735"</f>
        <v>DD2024101114735</v>
      </c>
      <c r="D7965" s="1" t="str">
        <f>"CK2024101117320"</f>
        <v>CK2024101117320</v>
      </c>
      <c r="E7965" s="1" t="str">
        <f>"6934849468335461646"</f>
        <v>6934849468335461646</v>
      </c>
      <c r="F7965" s="1" t="str">
        <f t="shared" si="2293"/>
        <v>花都四部-凤凰仓</v>
      </c>
      <c r="G7965" s="1" t="str">
        <f t="shared" si="2296"/>
        <v>卡卡杜个人护理店（抖店）</v>
      </c>
      <c r="H7965" s="1" t="str">
        <f t="shared" si="2294"/>
        <v>正常订单</v>
      </c>
      <c r="I7965" s="1" t="str">
        <f t="shared" si="2295"/>
        <v>已发货</v>
      </c>
      <c r="J7965" s="1" t="str">
        <f t="shared" si="2297"/>
        <v>5</v>
      </c>
      <c r="K7965" s="1">
        <v>3</v>
      </c>
      <c r="L7965" s="1" t="s">
        <v>74</v>
      </c>
      <c r="M7965" s="1" t="str">
        <f>"上海 上海市 杨浦区 殷行街道"</f>
        <v>上海 上海市 杨浦区 殷行街道</v>
      </c>
      <c r="N7965" s="1" t="str">
        <f t="shared" si="2289"/>
        <v>凡华云仓-韵达-抖音</v>
      </c>
      <c r="O7965" s="5">
        <v>320166075271983</v>
      </c>
      <c r="P7965" s="6">
        <v>0.47</v>
      </c>
      <c r="Q7965" s="11">
        <v>2.2999999999999998</v>
      </c>
      <c r="R7965" s="11"/>
      <c r="S7965" s="11"/>
      <c r="T7965" s="11"/>
      <c r="U7965" s="11">
        <f t="shared" si="2291"/>
        <v>2.2999999999999998</v>
      </c>
      <c r="W7965">
        <v>2.5</v>
      </c>
      <c r="X7965" s="1" t="s">
        <v>74</v>
      </c>
    </row>
    <row r="7966" spans="1:24" x14ac:dyDescent="0.25">
      <c r="A7966" s="1" t="str">
        <f t="shared" si="2292"/>
        <v>卡卡杜-凤凰仓</v>
      </c>
      <c r="B7966" s="1" t="str">
        <f>"CK202410116228"</f>
        <v>CK202410116228</v>
      </c>
      <c r="C7966" s="1" t="str">
        <f>"DD2024101114737"</f>
        <v>DD2024101114737</v>
      </c>
      <c r="D7966" s="1" t="str">
        <f>"CK2024101117319"</f>
        <v>CK2024101117319</v>
      </c>
      <c r="E7966" s="1" t="str">
        <f>"6934851659465299102"</f>
        <v>6934851659465299102</v>
      </c>
      <c r="F7966" s="1" t="str">
        <f t="shared" si="2293"/>
        <v>花都四部-凤凰仓</v>
      </c>
      <c r="G7966" s="1" t="str">
        <f t="shared" si="2296"/>
        <v>卡卡杜个人护理店（抖店）</v>
      </c>
      <c r="H7966" s="1" t="str">
        <f t="shared" si="2294"/>
        <v>正常订单</v>
      </c>
      <c r="I7966" s="1" t="str">
        <f t="shared" si="2295"/>
        <v>已发货</v>
      </c>
      <c r="J7966" s="1" t="str">
        <f t="shared" si="2297"/>
        <v>5</v>
      </c>
      <c r="K7966" s="1">
        <v>3</v>
      </c>
      <c r="L7966" s="1" t="s">
        <v>80</v>
      </c>
      <c r="M7966" s="1" t="str">
        <f>"河南省 洛阳市 洛龙区 李村街道"</f>
        <v>河南省 洛阳市 洛龙区 李村街道</v>
      </c>
      <c r="N7966" s="1" t="str">
        <f t="shared" si="2289"/>
        <v>凡华云仓-韵达-抖音</v>
      </c>
      <c r="O7966" s="5">
        <v>320166075271878</v>
      </c>
      <c r="P7966" s="6">
        <v>0.47</v>
      </c>
      <c r="Q7966" s="11">
        <v>2.2999999999999998</v>
      </c>
      <c r="R7966" s="11"/>
      <c r="S7966" s="11"/>
      <c r="T7966" s="11"/>
      <c r="U7966" s="11">
        <f t="shared" si="2291"/>
        <v>2.2999999999999998</v>
      </c>
      <c r="W7966">
        <v>2.5</v>
      </c>
      <c r="X7966" s="1" t="s">
        <v>80</v>
      </c>
    </row>
    <row r="7967" spans="1:24" x14ac:dyDescent="0.25">
      <c r="A7967" s="1" t="str">
        <f t="shared" si="2292"/>
        <v>卡卡杜-凤凰仓</v>
      </c>
      <c r="B7967" s="1" t="str">
        <f>"CK202410116248"</f>
        <v>CK202410116248</v>
      </c>
      <c r="C7967" s="1" t="str">
        <f>"DD2024101114758"</f>
        <v>DD2024101114758</v>
      </c>
      <c r="D7967" s="1" t="str">
        <f>"CK2024101117318"</f>
        <v>CK2024101117318</v>
      </c>
      <c r="E7967" s="1" t="str">
        <f>"6934838542940968449"</f>
        <v>6934838542940968449</v>
      </c>
      <c r="F7967" s="1" t="str">
        <f t="shared" si="2293"/>
        <v>花都四部-凤凰仓</v>
      </c>
      <c r="G7967" s="1" t="str">
        <f t="shared" si="2296"/>
        <v>卡卡杜个人护理店（抖店）</v>
      </c>
      <c r="H7967" s="1" t="str">
        <f t="shared" si="2294"/>
        <v>正常订单</v>
      </c>
      <c r="I7967" s="1" t="str">
        <f t="shared" si="2295"/>
        <v>已发货</v>
      </c>
      <c r="J7967" s="1" t="str">
        <f t="shared" si="2297"/>
        <v>5</v>
      </c>
      <c r="K7967" s="1">
        <v>3</v>
      </c>
      <c r="L7967" s="1" t="s">
        <v>36</v>
      </c>
      <c r="M7967" s="1" t="str">
        <f>"安徽省 亳州市 涡阳县 星园街道"</f>
        <v>安徽省 亳州市 涡阳县 星园街道</v>
      </c>
      <c r="N7967" s="1" t="str">
        <f t="shared" si="2289"/>
        <v>凡华云仓-韵达-抖音</v>
      </c>
      <c r="O7967" s="5">
        <v>320166075271775</v>
      </c>
      <c r="P7967" s="6">
        <v>0.47</v>
      </c>
      <c r="Q7967" s="11">
        <v>2.2999999999999998</v>
      </c>
      <c r="R7967" s="11"/>
      <c r="S7967" s="11"/>
      <c r="T7967" s="11"/>
      <c r="U7967" s="11">
        <f t="shared" si="2291"/>
        <v>2.2999999999999998</v>
      </c>
      <c r="W7967">
        <v>2.5</v>
      </c>
      <c r="X7967" s="1" t="s">
        <v>36</v>
      </c>
    </row>
    <row r="7968" spans="1:24" x14ac:dyDescent="0.25">
      <c r="A7968" s="1" t="str">
        <f t="shared" si="2292"/>
        <v>卡卡杜-凤凰仓</v>
      </c>
      <c r="B7968" s="1" t="str">
        <f>"CK202410116231"</f>
        <v>CK202410116231</v>
      </c>
      <c r="C7968" s="1" t="str">
        <f>"DD2024101114739"</f>
        <v>DD2024101114739</v>
      </c>
      <c r="D7968" s="1" t="str">
        <f>"CK2024101117317"</f>
        <v>CK2024101117317</v>
      </c>
      <c r="E7968" s="1" t="str">
        <f>"6934831585652053810"</f>
        <v>6934831585652053810</v>
      </c>
      <c r="F7968" s="1" t="str">
        <f t="shared" si="2293"/>
        <v>花都四部-凤凰仓</v>
      </c>
      <c r="G7968" s="1" t="str">
        <f t="shared" si="2296"/>
        <v>卡卡杜个人护理店（抖店）</v>
      </c>
      <c r="H7968" s="1" t="str">
        <f t="shared" si="2294"/>
        <v>正常订单</v>
      </c>
      <c r="I7968" s="1" t="str">
        <f t="shared" si="2295"/>
        <v>已发货</v>
      </c>
      <c r="J7968" s="1" t="str">
        <f t="shared" si="2297"/>
        <v>5</v>
      </c>
      <c r="K7968" s="1">
        <v>3</v>
      </c>
      <c r="L7968" s="1" t="s">
        <v>54</v>
      </c>
      <c r="M7968" s="1" t="str">
        <f>"黑龙江省 齐齐哈尔市 富拉尔基区 红岸街道"</f>
        <v>黑龙江省 齐齐哈尔市 富拉尔基区 红岸街道</v>
      </c>
      <c r="N7968" s="1" t="str">
        <f t="shared" si="2289"/>
        <v>凡华云仓-韵达-抖音</v>
      </c>
      <c r="O7968" s="5">
        <v>320166075271674</v>
      </c>
      <c r="P7968" s="6">
        <v>0.47</v>
      </c>
      <c r="Q7968" s="11">
        <v>2.2999999999999998</v>
      </c>
      <c r="R7968" s="11"/>
      <c r="S7968" s="11"/>
      <c r="T7968" s="11"/>
      <c r="U7968" s="11">
        <f t="shared" si="2291"/>
        <v>2.2999999999999998</v>
      </c>
      <c r="W7968">
        <v>2.5</v>
      </c>
      <c r="X7968" s="1" t="s">
        <v>54</v>
      </c>
    </row>
    <row r="7969" spans="1:24" x14ac:dyDescent="0.25">
      <c r="A7969" s="1" t="str">
        <f t="shared" si="2292"/>
        <v>卡卡杜-凤凰仓</v>
      </c>
      <c r="B7969" s="1" t="str">
        <f>"CK202410116233"</f>
        <v>CK202410116233</v>
      </c>
      <c r="C7969" s="1" t="str">
        <f>"DD2024101114742"</f>
        <v>DD2024101114742</v>
      </c>
      <c r="D7969" s="1" t="str">
        <f>"CK2024101117316"</f>
        <v>CK2024101117316</v>
      </c>
      <c r="E7969" s="1" t="str">
        <f>"6934847472510178306"</f>
        <v>6934847472510178306</v>
      </c>
      <c r="F7969" s="1" t="str">
        <f t="shared" si="2293"/>
        <v>花都四部-凤凰仓</v>
      </c>
      <c r="G7969" s="1" t="str">
        <f t="shared" si="2296"/>
        <v>卡卡杜个人护理店（抖店）</v>
      </c>
      <c r="H7969" s="1" t="str">
        <f t="shared" si="2294"/>
        <v>正常订单</v>
      </c>
      <c r="I7969" s="1" t="str">
        <f t="shared" si="2295"/>
        <v>已发货</v>
      </c>
      <c r="J7969" s="1" t="str">
        <f t="shared" si="2297"/>
        <v>5</v>
      </c>
      <c r="K7969" s="1">
        <v>3</v>
      </c>
      <c r="L7969" s="1" t="s">
        <v>16</v>
      </c>
      <c r="M7969" s="1" t="str">
        <f>"河北省 唐山市 曹妃甸区 唐海镇"</f>
        <v>河北省 唐山市 曹妃甸区 唐海镇</v>
      </c>
      <c r="N7969" s="1" t="str">
        <f t="shared" si="2289"/>
        <v>凡华云仓-韵达-抖音</v>
      </c>
      <c r="O7969" s="5">
        <v>320166075271575</v>
      </c>
      <c r="P7969" s="6">
        <v>0.47</v>
      </c>
      <c r="Q7969" s="11">
        <v>2.2999999999999998</v>
      </c>
      <c r="R7969" s="11"/>
      <c r="S7969" s="11"/>
      <c r="T7969" s="11"/>
      <c r="U7969" s="11">
        <f t="shared" si="2291"/>
        <v>2.2999999999999998</v>
      </c>
      <c r="W7969">
        <v>2.5</v>
      </c>
      <c r="X7969" s="1" t="s">
        <v>16</v>
      </c>
    </row>
    <row r="7970" spans="1:24" x14ac:dyDescent="0.25">
      <c r="A7970" s="1" t="str">
        <f t="shared" si="2292"/>
        <v>卡卡杜-凤凰仓</v>
      </c>
      <c r="B7970" s="1" t="str">
        <f>"CK202410116238"</f>
        <v>CK202410116238</v>
      </c>
      <c r="C7970" s="1" t="str">
        <f>"DD2024101114747"</f>
        <v>DD2024101114747</v>
      </c>
      <c r="D7970" s="1" t="str">
        <f>"CK2024101117315"</f>
        <v>CK2024101117315</v>
      </c>
      <c r="E7970" s="1" t="str">
        <f>"6934853742663439662"</f>
        <v>6934853742663439662</v>
      </c>
      <c r="F7970" s="1" t="str">
        <f t="shared" si="2293"/>
        <v>花都四部-凤凰仓</v>
      </c>
      <c r="G7970" s="1" t="str">
        <f t="shared" si="2296"/>
        <v>卡卡杜个人护理店（抖店）</v>
      </c>
      <c r="H7970" s="1" t="str">
        <f t="shared" si="2294"/>
        <v>正常订单</v>
      </c>
      <c r="I7970" s="1" t="str">
        <f t="shared" si="2295"/>
        <v>已发货</v>
      </c>
      <c r="J7970" s="1" t="str">
        <f t="shared" si="2297"/>
        <v>5</v>
      </c>
      <c r="K7970" s="1">
        <v>3</v>
      </c>
      <c r="L7970" s="1" t="s">
        <v>41</v>
      </c>
      <c r="M7970" s="1" t="str">
        <f>"湖北省 武汉市 汉阳区 鹦鹉街道"</f>
        <v>湖北省 武汉市 汉阳区 鹦鹉街道</v>
      </c>
      <c r="N7970" s="1" t="str">
        <f t="shared" si="2289"/>
        <v>凡华云仓-韵达-抖音</v>
      </c>
      <c r="O7970" s="5">
        <v>320166075271478</v>
      </c>
      <c r="P7970" s="6">
        <v>0.47</v>
      </c>
      <c r="Q7970" s="11">
        <v>2.2999999999999998</v>
      </c>
      <c r="R7970" s="11"/>
      <c r="S7970" s="11"/>
      <c r="T7970" s="11"/>
      <c r="U7970" s="11">
        <f t="shared" si="2291"/>
        <v>2.2999999999999998</v>
      </c>
      <c r="W7970">
        <v>2.5</v>
      </c>
      <c r="X7970" s="1" t="s">
        <v>41</v>
      </c>
    </row>
    <row r="7971" spans="1:24" x14ac:dyDescent="0.25">
      <c r="A7971" s="1" t="str">
        <f t="shared" si="2292"/>
        <v>卡卡杜-凤凰仓</v>
      </c>
      <c r="B7971" s="1" t="str">
        <f>"CK202410116236"</f>
        <v>CK202410116236</v>
      </c>
      <c r="C7971" s="1" t="str">
        <f>"DD2024101114745"</f>
        <v>DD2024101114745</v>
      </c>
      <c r="D7971" s="1" t="str">
        <f>"CK2024101117314"</f>
        <v>CK2024101117314</v>
      </c>
      <c r="E7971" s="1" t="str">
        <f>"6934822529697059944"</f>
        <v>6934822529697059944</v>
      </c>
      <c r="F7971" s="1" t="str">
        <f t="shared" si="2293"/>
        <v>花都四部-凤凰仓</v>
      </c>
      <c r="G7971" s="1" t="str">
        <f t="shared" si="2296"/>
        <v>卡卡杜个人护理店（抖店）</v>
      </c>
      <c r="H7971" s="1" t="str">
        <f t="shared" si="2294"/>
        <v>正常订单</v>
      </c>
      <c r="I7971" s="1" t="str">
        <f t="shared" si="2295"/>
        <v>已发货</v>
      </c>
      <c r="J7971" s="1" t="str">
        <f t="shared" si="2297"/>
        <v>5</v>
      </c>
      <c r="K7971" s="1">
        <v>3</v>
      </c>
      <c r="L7971" s="1" t="s">
        <v>80</v>
      </c>
      <c r="M7971" s="1" t="str">
        <f>"河南省 驻马店市 遂平县 瞿阳街道"</f>
        <v>河南省 驻马店市 遂平县 瞿阳街道</v>
      </c>
      <c r="N7971" s="1" t="str">
        <f t="shared" si="2289"/>
        <v>凡华云仓-韵达-抖音</v>
      </c>
      <c r="O7971" s="5">
        <v>320166075271383</v>
      </c>
      <c r="P7971" s="6">
        <v>0.47</v>
      </c>
      <c r="Q7971" s="11">
        <v>2.2999999999999998</v>
      </c>
      <c r="R7971" s="11"/>
      <c r="S7971" s="11"/>
      <c r="T7971" s="11"/>
      <c r="U7971" s="11">
        <f t="shared" si="2291"/>
        <v>2.2999999999999998</v>
      </c>
      <c r="W7971">
        <v>2.5</v>
      </c>
      <c r="X7971" s="1" t="s">
        <v>80</v>
      </c>
    </row>
    <row r="7972" spans="1:24" x14ac:dyDescent="0.25">
      <c r="A7972" s="1" t="str">
        <f t="shared" si="2292"/>
        <v>卡卡杜-凤凰仓</v>
      </c>
      <c r="B7972" s="1" t="str">
        <f>"CK202410116240"</f>
        <v>CK202410116240</v>
      </c>
      <c r="C7972" s="1" t="str">
        <f>"DD2024101114751"</f>
        <v>DD2024101114751</v>
      </c>
      <c r="D7972" s="1" t="str">
        <f>"CK2024101117313"</f>
        <v>CK2024101117313</v>
      </c>
      <c r="E7972" s="1" t="str">
        <f>"6934822596494563052"</f>
        <v>6934822596494563052</v>
      </c>
      <c r="F7972" s="1" t="str">
        <f t="shared" si="2293"/>
        <v>花都四部-凤凰仓</v>
      </c>
      <c r="G7972" s="1" t="str">
        <f t="shared" si="2296"/>
        <v>卡卡杜个人护理店（抖店）</v>
      </c>
      <c r="H7972" s="1" t="str">
        <f t="shared" si="2294"/>
        <v>正常订单</v>
      </c>
      <c r="I7972" s="1" t="str">
        <f t="shared" si="2295"/>
        <v>已发货</v>
      </c>
      <c r="J7972" s="1" t="str">
        <f t="shared" si="2297"/>
        <v>5</v>
      </c>
      <c r="K7972" s="1">
        <v>3</v>
      </c>
      <c r="L7972" s="1" t="s">
        <v>27</v>
      </c>
      <c r="M7972" s="1" t="str">
        <f>"贵州省 贵阳市 云岩区 大营路街道"</f>
        <v>贵州省 贵阳市 云岩区 大营路街道</v>
      </c>
      <c r="N7972" s="1" t="str">
        <f t="shared" si="2289"/>
        <v>凡华云仓-韵达-抖音</v>
      </c>
      <c r="O7972" s="5">
        <v>320166071383579</v>
      </c>
      <c r="P7972" s="6">
        <v>0.47</v>
      </c>
      <c r="Q7972" s="11">
        <v>2.2999999999999998</v>
      </c>
      <c r="R7972" s="11"/>
      <c r="S7972" s="11"/>
      <c r="T7972" s="11"/>
      <c r="U7972" s="11">
        <f t="shared" si="2291"/>
        <v>2.2999999999999998</v>
      </c>
      <c r="W7972">
        <v>2.5</v>
      </c>
      <c r="X7972" s="1" t="s">
        <v>27</v>
      </c>
    </row>
    <row r="7973" spans="1:24" x14ac:dyDescent="0.25">
      <c r="A7973" s="1" t="str">
        <f t="shared" si="2292"/>
        <v>卡卡杜-凤凰仓</v>
      </c>
      <c r="B7973" s="1" t="str">
        <f>"CK202410116221"</f>
        <v>CK202410116221</v>
      </c>
      <c r="C7973" s="1" t="str">
        <f>"DD2024101114730"</f>
        <v>DD2024101114730</v>
      </c>
      <c r="D7973" s="1" t="str">
        <f>"CK2024101117312"</f>
        <v>CK2024101117312</v>
      </c>
      <c r="E7973" s="1" t="str">
        <f>"6934847546215241306"</f>
        <v>6934847546215241306</v>
      </c>
      <c r="F7973" s="1" t="str">
        <f t="shared" si="2293"/>
        <v>花都四部-凤凰仓</v>
      </c>
      <c r="G7973" s="1" t="str">
        <f t="shared" si="2296"/>
        <v>卡卡杜个人护理店（抖店）</v>
      </c>
      <c r="H7973" s="1" t="str">
        <f t="shared" si="2294"/>
        <v>正常订单</v>
      </c>
      <c r="I7973" s="1" t="str">
        <f t="shared" si="2295"/>
        <v>已发货</v>
      </c>
      <c r="J7973" s="1" t="str">
        <f t="shared" si="2297"/>
        <v>5</v>
      </c>
      <c r="K7973" s="1">
        <v>3</v>
      </c>
      <c r="L7973" s="1" t="s">
        <v>92</v>
      </c>
      <c r="M7973" s="1" t="str">
        <f>"辽宁省 沈阳市 浑南区 五三街道"</f>
        <v>辽宁省 沈阳市 浑南区 五三街道</v>
      </c>
      <c r="N7973" s="1" t="str">
        <f t="shared" si="2289"/>
        <v>凡华云仓-韵达-抖音</v>
      </c>
      <c r="O7973" s="5">
        <v>320166071383482</v>
      </c>
      <c r="P7973" s="6">
        <v>0.47</v>
      </c>
      <c r="Q7973" s="11">
        <v>2.2999999999999998</v>
      </c>
      <c r="R7973" s="11"/>
      <c r="S7973" s="11"/>
      <c r="T7973" s="11"/>
      <c r="U7973" s="11">
        <f t="shared" si="2291"/>
        <v>2.2999999999999998</v>
      </c>
      <c r="W7973">
        <v>2.5</v>
      </c>
      <c r="X7973" s="1" t="s">
        <v>92</v>
      </c>
    </row>
    <row r="7974" spans="1:24" x14ac:dyDescent="0.25">
      <c r="A7974" s="1" t="str">
        <f t="shared" si="2292"/>
        <v>卡卡杜-凤凰仓</v>
      </c>
      <c r="B7974" s="1" t="str">
        <f>"CK2024101110474"</f>
        <v>CK2024101110474</v>
      </c>
      <c r="C7974" s="1" t="str">
        <f>"DD2024101117087"</f>
        <v>DD2024101117087</v>
      </c>
      <c r="D7974" s="1" t="str">
        <f>"CK2024101117311"</f>
        <v>CK2024101117311</v>
      </c>
      <c r="E7974" s="1" t="str">
        <f>"6934827284748964976"</f>
        <v>6934827284748964976</v>
      </c>
      <c r="F7974" s="1" t="str">
        <f t="shared" si="2293"/>
        <v>花都四部-凤凰仓</v>
      </c>
      <c r="G7974" s="1" t="str">
        <f t="shared" si="2296"/>
        <v>卡卡杜个人护理店（抖店）</v>
      </c>
      <c r="H7974" s="1" t="str">
        <f t="shared" si="2294"/>
        <v>正常订单</v>
      </c>
      <c r="I7974" s="1" t="str">
        <f t="shared" si="2295"/>
        <v>已发货</v>
      </c>
      <c r="J7974" s="1" t="str">
        <f>"10"</f>
        <v>10</v>
      </c>
      <c r="K7974" s="1">
        <v>3</v>
      </c>
      <c r="L7974" s="1" t="s">
        <v>54</v>
      </c>
      <c r="M7974" s="1" t="str">
        <f>"黑龙江省 齐齐哈尔市 铁锋区 北局宅街道"</f>
        <v>黑龙江省 齐齐哈尔市 铁锋区 北局宅街道</v>
      </c>
      <c r="N7974" s="1" t="str">
        <f t="shared" si="2289"/>
        <v>凡华云仓-韵达-抖音</v>
      </c>
      <c r="O7974" s="5">
        <v>320166071383387</v>
      </c>
      <c r="P7974" s="6">
        <v>1.1499999999999999</v>
      </c>
      <c r="Q7974" s="11">
        <f>CEILING(P7974-0.5,0.1)*10*0.15+2.3</f>
        <v>3.3499999999999996</v>
      </c>
      <c r="R7974" s="11"/>
      <c r="S7974" s="11"/>
      <c r="T7974" s="11"/>
      <c r="U7974" s="11">
        <f t="shared" si="2291"/>
        <v>3.3499999999999996</v>
      </c>
      <c r="V7974" t="s">
        <v>15</v>
      </c>
      <c r="W7974">
        <v>3.35</v>
      </c>
      <c r="X7974" s="1" t="s">
        <v>54</v>
      </c>
    </row>
    <row r="7975" spans="1:24" x14ac:dyDescent="0.25">
      <c r="A7975" s="1" t="str">
        <f t="shared" si="2292"/>
        <v>卡卡杜-凤凰仓</v>
      </c>
      <c r="B7975" s="1" t="str">
        <f>"CK202410116271"</f>
        <v>CK202410116271</v>
      </c>
      <c r="C7975" s="1" t="str">
        <f>"DD2024101114780"</f>
        <v>DD2024101114780</v>
      </c>
      <c r="D7975" s="1" t="str">
        <f>"CK2024101117310"</f>
        <v>CK2024101117310</v>
      </c>
      <c r="E7975" s="1" t="str">
        <f>"6934851775816799322"</f>
        <v>6934851775816799322</v>
      </c>
      <c r="F7975" s="1" t="str">
        <f t="shared" si="2293"/>
        <v>花都四部-凤凰仓</v>
      </c>
      <c r="G7975" s="1" t="str">
        <f t="shared" si="2296"/>
        <v>卡卡杜个人护理店（抖店）</v>
      </c>
      <c r="H7975" s="1" t="str">
        <f t="shared" si="2294"/>
        <v>正常订单</v>
      </c>
      <c r="I7975" s="1" t="str">
        <f t="shared" si="2295"/>
        <v>已发货</v>
      </c>
      <c r="J7975" s="1" t="str">
        <f t="shared" ref="J7975:J7995" si="2298">"5"</f>
        <v>5</v>
      </c>
      <c r="K7975" s="1">
        <v>3</v>
      </c>
      <c r="L7975" s="1" t="s">
        <v>54</v>
      </c>
      <c r="M7975" s="1" t="str">
        <f>"黑龙江省 七台河市 勃利县 新起街道"</f>
        <v>黑龙江省 七台河市 勃利县 新起街道</v>
      </c>
      <c r="N7975" s="1" t="str">
        <f t="shared" si="2289"/>
        <v>凡华云仓-韵达-抖音</v>
      </c>
      <c r="O7975" s="5">
        <v>320166071383294</v>
      </c>
      <c r="P7975" s="6">
        <v>0.47</v>
      </c>
      <c r="Q7975" s="11">
        <v>2.2999999999999998</v>
      </c>
      <c r="R7975" s="11"/>
      <c r="S7975" s="11"/>
      <c r="T7975" s="11"/>
      <c r="U7975" s="11">
        <f t="shared" si="2291"/>
        <v>2.2999999999999998</v>
      </c>
      <c r="W7975">
        <v>2.5</v>
      </c>
      <c r="X7975" s="1" t="s">
        <v>54</v>
      </c>
    </row>
    <row r="7976" spans="1:24" x14ac:dyDescent="0.25">
      <c r="A7976" s="1" t="str">
        <f t="shared" si="2292"/>
        <v>卡卡杜-凤凰仓</v>
      </c>
      <c r="B7976" s="1" t="str">
        <f>"CK202410116274"</f>
        <v>CK202410116274</v>
      </c>
      <c r="C7976" s="1" t="str">
        <f>"DD2024101114783"</f>
        <v>DD2024101114783</v>
      </c>
      <c r="D7976" s="1" t="str">
        <f>"CK2024101117309"</f>
        <v>CK2024101117309</v>
      </c>
      <c r="E7976" s="1" t="str">
        <f>"6934836245625182044"</f>
        <v>6934836245625182044</v>
      </c>
      <c r="F7976" s="1" t="str">
        <f t="shared" si="2293"/>
        <v>花都四部-凤凰仓</v>
      </c>
      <c r="G7976" s="1" t="str">
        <f t="shared" si="2296"/>
        <v>卡卡杜个人护理店（抖店）</v>
      </c>
      <c r="H7976" s="1" t="str">
        <f t="shared" si="2294"/>
        <v>正常订单</v>
      </c>
      <c r="I7976" s="1" t="str">
        <f t="shared" si="2295"/>
        <v>已发货</v>
      </c>
      <c r="J7976" s="1" t="str">
        <f t="shared" si="2298"/>
        <v>5</v>
      </c>
      <c r="K7976" s="1">
        <v>3</v>
      </c>
      <c r="L7976" s="1" t="s">
        <v>18</v>
      </c>
      <c r="M7976" s="1" t="str">
        <f>"广东省 深圳市 龙华区 民治街道"</f>
        <v>广东省 深圳市 龙华区 民治街道</v>
      </c>
      <c r="N7976" s="1" t="str">
        <f t="shared" si="2289"/>
        <v>凡华云仓-韵达-抖音</v>
      </c>
      <c r="O7976" s="5">
        <v>320166071383103</v>
      </c>
      <c r="P7976" s="6">
        <v>0.47</v>
      </c>
      <c r="Q7976" s="11">
        <v>2.2999999999999998</v>
      </c>
      <c r="R7976" s="11"/>
      <c r="S7976" s="11"/>
      <c r="T7976" s="11"/>
      <c r="U7976" s="11">
        <f t="shared" si="2291"/>
        <v>2.2999999999999998</v>
      </c>
      <c r="W7976">
        <v>2.5</v>
      </c>
      <c r="X7976" s="1" t="s">
        <v>18</v>
      </c>
    </row>
    <row r="7977" spans="1:24" x14ac:dyDescent="0.25">
      <c r="A7977" s="1" t="str">
        <f t="shared" si="2292"/>
        <v>卡卡杜-凤凰仓</v>
      </c>
      <c r="B7977" s="1" t="str">
        <f>"CK202410116322"</f>
        <v>CK202410116322</v>
      </c>
      <c r="C7977" s="1" t="str">
        <f>"DD2024101114830"</f>
        <v>DD2024101114830</v>
      </c>
      <c r="D7977" s="1" t="str">
        <f>"CK2024101117308"</f>
        <v>CK2024101117308</v>
      </c>
      <c r="E7977" s="1" t="str">
        <f>"6934845423701464909"</f>
        <v>6934845423701464909</v>
      </c>
      <c r="F7977" s="1" t="str">
        <f t="shared" si="2293"/>
        <v>花都四部-凤凰仓</v>
      </c>
      <c r="G7977" s="1" t="str">
        <f t="shared" si="2296"/>
        <v>卡卡杜个人护理店（抖店）</v>
      </c>
      <c r="H7977" s="1" t="str">
        <f t="shared" si="2294"/>
        <v>正常订单</v>
      </c>
      <c r="I7977" s="1" t="str">
        <f t="shared" si="2295"/>
        <v>已发货</v>
      </c>
      <c r="J7977" s="1" t="str">
        <f t="shared" si="2298"/>
        <v>5</v>
      </c>
      <c r="K7977" s="1">
        <v>3</v>
      </c>
      <c r="L7977" s="1" t="s">
        <v>13</v>
      </c>
      <c r="M7977" s="1" t="str">
        <f>"江苏省 苏州市 张家港市 杨舍镇"</f>
        <v>江苏省 苏州市 张家港市 杨舍镇</v>
      </c>
      <c r="N7977" s="1" t="str">
        <f t="shared" si="2289"/>
        <v>凡华云仓-韵达-抖音</v>
      </c>
      <c r="O7977" s="5">
        <v>320166071383014</v>
      </c>
      <c r="P7977" s="6">
        <v>0.47</v>
      </c>
      <c r="Q7977" s="11">
        <v>2.2999999999999998</v>
      </c>
      <c r="R7977" s="11"/>
      <c r="S7977" s="11"/>
      <c r="T7977" s="11"/>
      <c r="U7977" s="11">
        <f t="shared" si="2291"/>
        <v>2.2999999999999998</v>
      </c>
      <c r="W7977">
        <v>2.5</v>
      </c>
      <c r="X7977" s="1" t="s">
        <v>13</v>
      </c>
    </row>
    <row r="7978" spans="1:24" x14ac:dyDescent="0.25">
      <c r="A7978" s="1" t="str">
        <f t="shared" si="2292"/>
        <v>卡卡杜-凤凰仓</v>
      </c>
      <c r="B7978" s="1" t="str">
        <f>"CK202410116116"</f>
        <v>CK202410116116</v>
      </c>
      <c r="C7978" s="1" t="str">
        <f>"DD2024101114626"</f>
        <v>DD2024101114626</v>
      </c>
      <c r="D7978" s="1" t="str">
        <f>"CK2024101117307"</f>
        <v>CK2024101117307</v>
      </c>
      <c r="E7978" s="1" t="str">
        <f>"6934829562825283030"</f>
        <v>6934829562825283030</v>
      </c>
      <c r="F7978" s="1" t="str">
        <f t="shared" si="2293"/>
        <v>花都四部-凤凰仓</v>
      </c>
      <c r="G7978" s="1" t="str">
        <f t="shared" si="2296"/>
        <v>卡卡杜个人护理店（抖店）</v>
      </c>
      <c r="H7978" s="1" t="str">
        <f t="shared" si="2294"/>
        <v>正常订单</v>
      </c>
      <c r="I7978" s="1" t="str">
        <f t="shared" si="2295"/>
        <v>已发货</v>
      </c>
      <c r="J7978" s="1" t="str">
        <f t="shared" si="2298"/>
        <v>5</v>
      </c>
      <c r="K7978" s="1">
        <v>3</v>
      </c>
      <c r="L7978" s="1" t="s">
        <v>94</v>
      </c>
      <c r="M7978" s="1" t="str">
        <f>"湖南省 邵阳市 武冈市 水西门街道"</f>
        <v>湖南省 邵阳市 武冈市 水西门街道</v>
      </c>
      <c r="N7978" s="1" t="str">
        <f t="shared" si="2289"/>
        <v>凡华云仓-韵达-抖音</v>
      </c>
      <c r="O7978" s="5">
        <v>320166071382994</v>
      </c>
      <c r="P7978" s="6">
        <v>0.47</v>
      </c>
      <c r="Q7978" s="11">
        <v>2.2999999999999998</v>
      </c>
      <c r="R7978" s="11"/>
      <c r="S7978" s="11"/>
      <c r="T7978" s="11"/>
      <c r="U7978" s="11">
        <f t="shared" si="2291"/>
        <v>2.2999999999999998</v>
      </c>
      <c r="W7978">
        <v>2.5</v>
      </c>
      <c r="X7978" s="1" t="s">
        <v>94</v>
      </c>
    </row>
    <row r="7979" spans="1:24" x14ac:dyDescent="0.25">
      <c r="A7979" s="1" t="str">
        <f t="shared" si="2292"/>
        <v>卡卡杜-凤凰仓</v>
      </c>
      <c r="B7979" s="1" t="str">
        <f>"CK202410116260"</f>
        <v>CK202410116260</v>
      </c>
      <c r="C7979" s="1" t="str">
        <f>"DD2024101114769"</f>
        <v>DD2024101114769</v>
      </c>
      <c r="D7979" s="1" t="str">
        <f>"CK2024101117306"</f>
        <v>CK2024101117306</v>
      </c>
      <c r="E7979" s="1" t="str">
        <f>"6934824830150186563"</f>
        <v>6934824830150186563</v>
      </c>
      <c r="F7979" s="1" t="str">
        <f t="shared" si="2293"/>
        <v>花都四部-凤凰仓</v>
      </c>
      <c r="G7979" s="1" t="str">
        <f t="shared" si="2296"/>
        <v>卡卡杜个人护理店（抖店）</v>
      </c>
      <c r="H7979" s="1" t="str">
        <f t="shared" si="2294"/>
        <v>正常订单</v>
      </c>
      <c r="I7979" s="1" t="str">
        <f t="shared" si="2295"/>
        <v>已发货</v>
      </c>
      <c r="J7979" s="1" t="str">
        <f t="shared" si="2298"/>
        <v>5</v>
      </c>
      <c r="K7979" s="1">
        <v>3</v>
      </c>
      <c r="L7979" s="1" t="s">
        <v>187</v>
      </c>
      <c r="M7979" s="1" t="str">
        <f>"吉林省 通化市 东昌区 环通乡"</f>
        <v>吉林省 通化市 东昌区 环通乡</v>
      </c>
      <c r="N7979" s="1" t="str">
        <f t="shared" si="2289"/>
        <v>凡华云仓-韵达-抖音</v>
      </c>
      <c r="O7979" s="5">
        <v>320166071382889</v>
      </c>
      <c r="P7979" s="6">
        <v>0.47</v>
      </c>
      <c r="Q7979" s="11">
        <v>2.2999999999999998</v>
      </c>
      <c r="R7979" s="11"/>
      <c r="S7979" s="11"/>
      <c r="T7979" s="11"/>
      <c r="U7979" s="11">
        <f t="shared" si="2291"/>
        <v>2.2999999999999998</v>
      </c>
      <c r="W7979">
        <v>2.5</v>
      </c>
      <c r="X7979" s="1" t="s">
        <v>187</v>
      </c>
    </row>
    <row r="7980" spans="1:24" x14ac:dyDescent="0.25">
      <c r="A7980" s="1" t="str">
        <f t="shared" si="2292"/>
        <v>卡卡杜-凤凰仓</v>
      </c>
      <c r="B7980" s="1" t="str">
        <f>"CK202410116330"</f>
        <v>CK202410116330</v>
      </c>
      <c r="C7980" s="1" t="str">
        <f>"DD2024101114838"</f>
        <v>DD2024101114838</v>
      </c>
      <c r="D7980" s="1" t="str">
        <f>"CK2024101117305"</f>
        <v>CK2024101117305</v>
      </c>
      <c r="E7980" s="1" t="str">
        <f>"6934845496151840483"</f>
        <v>6934845496151840483</v>
      </c>
      <c r="F7980" s="1" t="str">
        <f t="shared" si="2293"/>
        <v>花都四部-凤凰仓</v>
      </c>
      <c r="G7980" s="1" t="str">
        <f t="shared" si="2296"/>
        <v>卡卡杜个人护理店（抖店）</v>
      </c>
      <c r="H7980" s="1" t="str">
        <f t="shared" si="2294"/>
        <v>正常订单</v>
      </c>
      <c r="I7980" s="1" t="str">
        <f t="shared" si="2295"/>
        <v>已发货</v>
      </c>
      <c r="J7980" s="1" t="str">
        <f t="shared" si="2298"/>
        <v>5</v>
      </c>
      <c r="K7980" s="1">
        <v>3</v>
      </c>
      <c r="L7980" s="1" t="s">
        <v>74</v>
      </c>
      <c r="M7980" s="1" t="str">
        <f>"上海 上海市 静安区 彭浦新村街道"</f>
        <v>上海 上海市 静安区 彭浦新村街道</v>
      </c>
      <c r="N7980" s="1" t="str">
        <f t="shared" si="2289"/>
        <v>凡华云仓-韵达-抖音</v>
      </c>
      <c r="O7980" s="5">
        <v>320166071382786</v>
      </c>
      <c r="P7980" s="6">
        <v>0.47</v>
      </c>
      <c r="Q7980" s="11">
        <v>2.2999999999999998</v>
      </c>
      <c r="R7980" s="11"/>
      <c r="S7980" s="11"/>
      <c r="T7980" s="11"/>
      <c r="U7980" s="11">
        <f t="shared" si="2291"/>
        <v>2.2999999999999998</v>
      </c>
      <c r="W7980">
        <v>2.5</v>
      </c>
      <c r="X7980" s="1" t="s">
        <v>74</v>
      </c>
    </row>
    <row r="7981" spans="1:24" x14ac:dyDescent="0.25">
      <c r="A7981" s="1" t="str">
        <f t="shared" si="2292"/>
        <v>卡卡杜-凤凰仓</v>
      </c>
      <c r="B7981" s="1" t="str">
        <f>"CK202410116243"</f>
        <v>CK202410116243</v>
      </c>
      <c r="C7981" s="1" t="str">
        <f>"DD2024101114753"</f>
        <v>DD2024101114753</v>
      </c>
      <c r="D7981" s="1" t="str">
        <f>"CK2024101117304"</f>
        <v>CK2024101117304</v>
      </c>
      <c r="E7981" s="1" t="str">
        <f>"6934845374895297703"</f>
        <v>6934845374895297703</v>
      </c>
      <c r="F7981" s="1" t="str">
        <f t="shared" si="2293"/>
        <v>花都四部-凤凰仓</v>
      </c>
      <c r="G7981" s="1" t="str">
        <f t="shared" si="2296"/>
        <v>卡卡杜个人护理店（抖店）</v>
      </c>
      <c r="H7981" s="1" t="str">
        <f t="shared" si="2294"/>
        <v>正常订单</v>
      </c>
      <c r="I7981" s="1" t="str">
        <f t="shared" si="2295"/>
        <v>已发货</v>
      </c>
      <c r="J7981" s="1" t="str">
        <f t="shared" si="2298"/>
        <v>5</v>
      </c>
      <c r="K7981" s="1">
        <v>3</v>
      </c>
      <c r="L7981" s="1" t="s">
        <v>74</v>
      </c>
      <c r="M7981" s="1" t="str">
        <f>"上海 上海市 浦东新区 北蔡镇"</f>
        <v>上海 上海市 浦东新区 北蔡镇</v>
      </c>
      <c r="N7981" s="1" t="str">
        <f t="shared" si="2289"/>
        <v>凡华云仓-韵达-抖音</v>
      </c>
      <c r="O7981" s="5">
        <v>320166071382685</v>
      </c>
      <c r="P7981" s="6">
        <v>0.47</v>
      </c>
      <c r="Q7981" s="11">
        <v>2.2999999999999998</v>
      </c>
      <c r="R7981" s="11"/>
      <c r="S7981" s="11"/>
      <c r="T7981" s="11"/>
      <c r="U7981" s="11">
        <f t="shared" si="2291"/>
        <v>2.2999999999999998</v>
      </c>
      <c r="W7981">
        <v>2.5</v>
      </c>
      <c r="X7981" s="1" t="s">
        <v>74</v>
      </c>
    </row>
    <row r="7982" spans="1:24" x14ac:dyDescent="0.25">
      <c r="A7982" s="1" t="str">
        <f t="shared" si="2292"/>
        <v>卡卡杜-凤凰仓</v>
      </c>
      <c r="B7982" s="1" t="str">
        <f>"CK202410116258"</f>
        <v>CK202410116258</v>
      </c>
      <c r="C7982" s="1" t="str">
        <f>"DD2024101114767"</f>
        <v>DD2024101114767</v>
      </c>
      <c r="D7982" s="1" t="str">
        <f>"CK2024101117303"</f>
        <v>CK2024101117303</v>
      </c>
      <c r="E7982" s="1" t="str">
        <f>"6934824778723760053"</f>
        <v>6934824778723760053</v>
      </c>
      <c r="F7982" s="1" t="str">
        <f t="shared" si="2293"/>
        <v>花都四部-凤凰仓</v>
      </c>
      <c r="G7982" s="1" t="str">
        <f t="shared" si="2296"/>
        <v>卡卡杜个人护理店（抖店）</v>
      </c>
      <c r="H7982" s="1" t="str">
        <f t="shared" si="2294"/>
        <v>正常订单</v>
      </c>
      <c r="I7982" s="1" t="str">
        <f t="shared" si="2295"/>
        <v>已发货</v>
      </c>
      <c r="J7982" s="1" t="str">
        <f t="shared" si="2298"/>
        <v>5</v>
      </c>
      <c r="K7982" s="1">
        <v>3</v>
      </c>
      <c r="L7982" s="1" t="s">
        <v>22</v>
      </c>
      <c r="M7982" s="1" t="str">
        <f>"江西省 赣州市 赣县区 梅林镇"</f>
        <v>江西省 赣州市 赣县区 梅林镇</v>
      </c>
      <c r="N7982" s="1" t="str">
        <f t="shared" si="2289"/>
        <v>凡华云仓-韵达-抖音</v>
      </c>
      <c r="O7982" s="5">
        <v>320166081133602</v>
      </c>
      <c r="P7982" s="6">
        <v>0.47</v>
      </c>
      <c r="Q7982" s="11">
        <v>2.2999999999999998</v>
      </c>
      <c r="R7982" s="11"/>
      <c r="S7982" s="11"/>
      <c r="T7982" s="11"/>
      <c r="U7982" s="11">
        <f t="shared" si="2291"/>
        <v>2.2999999999999998</v>
      </c>
      <c r="W7982">
        <v>2.5</v>
      </c>
      <c r="X7982" s="1" t="s">
        <v>22</v>
      </c>
    </row>
    <row r="7983" spans="1:24" x14ac:dyDescent="0.25">
      <c r="A7983" s="1" t="str">
        <f t="shared" si="2292"/>
        <v>卡卡杜-凤凰仓</v>
      </c>
      <c r="B7983" s="1" t="str">
        <f>"CK202410116263"</f>
        <v>CK202410116263</v>
      </c>
      <c r="C7983" s="1" t="str">
        <f>"DD2024101114772"</f>
        <v>DD2024101114772</v>
      </c>
      <c r="D7983" s="1" t="str">
        <f>"CK2024101117302"</f>
        <v>CK2024101117302</v>
      </c>
      <c r="E7983" s="1" t="str">
        <f>"6934845445668411348"</f>
        <v>6934845445668411348</v>
      </c>
      <c r="F7983" s="1" t="str">
        <f t="shared" si="2293"/>
        <v>花都四部-凤凰仓</v>
      </c>
      <c r="G7983" s="1" t="str">
        <f t="shared" si="2296"/>
        <v>卡卡杜个人护理店（抖店）</v>
      </c>
      <c r="H7983" s="1" t="str">
        <f t="shared" si="2294"/>
        <v>正常订单</v>
      </c>
      <c r="I7983" s="1" t="str">
        <f t="shared" si="2295"/>
        <v>已发货</v>
      </c>
      <c r="J7983" s="1" t="str">
        <f t="shared" si="2298"/>
        <v>5</v>
      </c>
      <c r="K7983" s="1">
        <v>3</v>
      </c>
      <c r="L7983" s="1" t="s">
        <v>20</v>
      </c>
      <c r="M7983" s="1" t="str">
        <f>"浙江省 宁波市 余姚市 阳明街道"</f>
        <v>浙江省 宁波市 余姚市 阳明街道</v>
      </c>
      <c r="N7983" s="1" t="str">
        <f t="shared" si="2289"/>
        <v>凡华云仓-韵达-抖音</v>
      </c>
      <c r="O7983" s="5">
        <v>320166081133503</v>
      </c>
      <c r="P7983" s="6">
        <v>0.47</v>
      </c>
      <c r="Q7983" s="11">
        <v>2.2999999999999998</v>
      </c>
      <c r="R7983" s="11"/>
      <c r="S7983" s="11"/>
      <c r="T7983" s="11"/>
      <c r="U7983" s="11">
        <f t="shared" si="2291"/>
        <v>2.2999999999999998</v>
      </c>
      <c r="W7983">
        <v>2.5</v>
      </c>
      <c r="X7983" s="1" t="s">
        <v>20</v>
      </c>
    </row>
    <row r="7984" spans="1:24" x14ac:dyDescent="0.25">
      <c r="A7984" s="1" t="str">
        <f t="shared" si="2292"/>
        <v>卡卡杜-凤凰仓</v>
      </c>
      <c r="B7984" s="1" t="str">
        <f>"CK202410116437"</f>
        <v>CK202410116437</v>
      </c>
      <c r="C7984" s="1" t="str">
        <f>"DD2024101114946"</f>
        <v>DD2024101114946</v>
      </c>
      <c r="D7984" s="1" t="str">
        <f>"CK2024101117301"</f>
        <v>CK2024101117301</v>
      </c>
      <c r="E7984" s="1" t="str">
        <f>"6934845477544859079"</f>
        <v>6934845477544859079</v>
      </c>
      <c r="F7984" s="1" t="str">
        <f t="shared" si="2293"/>
        <v>花都四部-凤凰仓</v>
      </c>
      <c r="G7984" s="1" t="str">
        <f t="shared" si="2296"/>
        <v>卡卡杜个人护理店（抖店）</v>
      </c>
      <c r="H7984" s="1" t="str">
        <f t="shared" si="2294"/>
        <v>正常订单</v>
      </c>
      <c r="I7984" s="1" t="str">
        <f t="shared" si="2295"/>
        <v>已发货</v>
      </c>
      <c r="J7984" s="1" t="str">
        <f t="shared" si="2298"/>
        <v>5</v>
      </c>
      <c r="K7984" s="1">
        <v>3</v>
      </c>
      <c r="L7984" s="1" t="s">
        <v>24</v>
      </c>
      <c r="M7984" s="1" t="str">
        <f>"福建省 福州市 连江县 凤城镇"</f>
        <v>福建省 福州市 连江县 凤城镇</v>
      </c>
      <c r="N7984" s="1" t="str">
        <f t="shared" si="2289"/>
        <v>凡华云仓-韵达-抖音</v>
      </c>
      <c r="O7984" s="5">
        <v>320166081133406</v>
      </c>
      <c r="P7984" s="6">
        <v>0.47</v>
      </c>
      <c r="Q7984" s="11">
        <v>2.2999999999999998</v>
      </c>
      <c r="R7984" s="11"/>
      <c r="S7984" s="11"/>
      <c r="T7984" s="11"/>
      <c r="U7984" s="11">
        <f t="shared" si="2291"/>
        <v>2.2999999999999998</v>
      </c>
      <c r="W7984">
        <v>2.5</v>
      </c>
      <c r="X7984" s="1" t="s">
        <v>24</v>
      </c>
    </row>
    <row r="7985" spans="1:24" x14ac:dyDescent="0.25">
      <c r="A7985" s="1" t="str">
        <f t="shared" si="2292"/>
        <v>卡卡杜-凤凰仓</v>
      </c>
      <c r="B7985" s="1" t="str">
        <f>"CK202410118134"</f>
        <v>CK202410118134</v>
      </c>
      <c r="C7985" s="1" t="str">
        <f>"DD2024101116689"</f>
        <v>DD2024101116689</v>
      </c>
      <c r="D7985" s="1" t="str">
        <f>"CK2024101117300"</f>
        <v>CK2024101117300</v>
      </c>
      <c r="E7985" s="1" t="str">
        <f>"6934853773771085322"</f>
        <v>6934853773771085322</v>
      </c>
      <c r="F7985" s="1" t="str">
        <f t="shared" si="2293"/>
        <v>花都四部-凤凰仓</v>
      </c>
      <c r="G7985" s="1" t="str">
        <f t="shared" si="2296"/>
        <v>卡卡杜个人护理店（抖店）</v>
      </c>
      <c r="H7985" s="1" t="str">
        <f t="shared" si="2294"/>
        <v>正常订单</v>
      </c>
      <c r="I7985" s="1" t="str">
        <f t="shared" si="2295"/>
        <v>已发货</v>
      </c>
      <c r="J7985" s="1" t="str">
        <f t="shared" si="2298"/>
        <v>5</v>
      </c>
      <c r="K7985" s="1">
        <v>3</v>
      </c>
      <c r="L7985" s="1" t="s">
        <v>80</v>
      </c>
      <c r="M7985" s="1" t="str">
        <f>"河南省 新乡市 获嘉县 亢村镇"</f>
        <v>河南省 新乡市 获嘉县 亢村镇</v>
      </c>
      <c r="N7985" s="1" t="str">
        <f t="shared" ref="N7985:N8048" si="2299">"凡华云仓-韵达-抖音"</f>
        <v>凡华云仓-韵达-抖音</v>
      </c>
      <c r="O7985" s="5">
        <v>320166081133311</v>
      </c>
      <c r="P7985" s="6">
        <v>0.47</v>
      </c>
      <c r="Q7985" s="11">
        <v>2.2999999999999998</v>
      </c>
      <c r="R7985" s="11"/>
      <c r="S7985" s="11"/>
      <c r="T7985" s="11"/>
      <c r="U7985" s="11">
        <f t="shared" si="2291"/>
        <v>2.2999999999999998</v>
      </c>
      <c r="W7985">
        <v>2.5</v>
      </c>
      <c r="X7985" s="1" t="s">
        <v>80</v>
      </c>
    </row>
    <row r="7986" spans="1:24" x14ac:dyDescent="0.25">
      <c r="A7986" s="1" t="str">
        <f t="shared" si="2292"/>
        <v>卡卡杜-凤凰仓</v>
      </c>
      <c r="B7986" s="1" t="str">
        <f>"CK202410116251"</f>
        <v>CK202410116251</v>
      </c>
      <c r="C7986" s="1" t="str">
        <f>"DD2024101114759"</f>
        <v>DD2024101114759</v>
      </c>
      <c r="D7986" s="1" t="str">
        <f>"CK2024101117299"</f>
        <v>CK2024101117299</v>
      </c>
      <c r="E7986" s="1" t="str">
        <f>"6934840991856465280"</f>
        <v>6934840991856465280</v>
      </c>
      <c r="F7986" s="1" t="str">
        <f t="shared" si="2293"/>
        <v>花都四部-凤凰仓</v>
      </c>
      <c r="G7986" s="1" t="str">
        <f t="shared" si="2296"/>
        <v>卡卡杜个人护理店（抖店）</v>
      </c>
      <c r="H7986" s="1" t="str">
        <f t="shared" si="2294"/>
        <v>正常订单</v>
      </c>
      <c r="I7986" s="1" t="str">
        <f t="shared" si="2295"/>
        <v>已发货</v>
      </c>
      <c r="J7986" s="1" t="str">
        <f t="shared" si="2298"/>
        <v>5</v>
      </c>
      <c r="K7986" s="1">
        <v>3</v>
      </c>
      <c r="L7986" s="1" t="s">
        <v>161</v>
      </c>
      <c r="M7986" s="1" t="str">
        <f>"四川省 遂宁市 射洪市 沱牌镇"</f>
        <v>四川省 遂宁市 射洪市 沱牌镇</v>
      </c>
      <c r="N7986" s="1" t="str">
        <f t="shared" si="2299"/>
        <v>凡华云仓-韵达-抖音</v>
      </c>
      <c r="O7986" s="5">
        <v>320166081133218</v>
      </c>
      <c r="P7986" s="6">
        <v>0.47</v>
      </c>
      <c r="Q7986" s="11">
        <v>2.2999999999999998</v>
      </c>
      <c r="R7986" s="11"/>
      <c r="S7986" s="11"/>
      <c r="T7986" s="11"/>
      <c r="U7986" s="11">
        <f t="shared" si="2291"/>
        <v>2.2999999999999998</v>
      </c>
      <c r="W7986">
        <v>2.5</v>
      </c>
      <c r="X7986" s="1" t="s">
        <v>161</v>
      </c>
    </row>
    <row r="7987" spans="1:24" x14ac:dyDescent="0.25">
      <c r="A7987" s="1" t="str">
        <f t="shared" si="2292"/>
        <v>卡卡杜-凤凰仓</v>
      </c>
      <c r="B7987" s="1" t="str">
        <f>"CK202410116253"</f>
        <v>CK202410116253</v>
      </c>
      <c r="C7987" s="1" t="str">
        <f>"DD2024101114761"</f>
        <v>DD2024101114761</v>
      </c>
      <c r="D7987" s="1" t="str">
        <f>"CK2024101117298"</f>
        <v>CK2024101117298</v>
      </c>
      <c r="E7987" s="1" t="str">
        <f>"6934849427147986347"</f>
        <v>6934849427147986347</v>
      </c>
      <c r="F7987" s="1" t="str">
        <f t="shared" si="2293"/>
        <v>花都四部-凤凰仓</v>
      </c>
      <c r="G7987" s="1" t="str">
        <f t="shared" si="2296"/>
        <v>卡卡杜个人护理店（抖店）</v>
      </c>
      <c r="H7987" s="1" t="str">
        <f t="shared" si="2294"/>
        <v>正常订单</v>
      </c>
      <c r="I7987" s="1" t="str">
        <f t="shared" si="2295"/>
        <v>已发货</v>
      </c>
      <c r="J7987" s="1" t="str">
        <f t="shared" si="2298"/>
        <v>5</v>
      </c>
      <c r="K7987" s="1">
        <v>3</v>
      </c>
      <c r="L7987" s="1" t="s">
        <v>74</v>
      </c>
      <c r="M7987" s="1" t="str">
        <f>"上海 上海市 黄浦区 南京东路街道"</f>
        <v>上海 上海市 黄浦区 南京东路街道</v>
      </c>
      <c r="N7987" s="1" t="str">
        <f t="shared" si="2299"/>
        <v>凡华云仓-韵达-抖音</v>
      </c>
      <c r="O7987" s="5">
        <v>320166081133127</v>
      </c>
      <c r="P7987" s="6">
        <v>0.47</v>
      </c>
      <c r="Q7987" s="11">
        <v>2.2999999999999998</v>
      </c>
      <c r="R7987" s="11"/>
      <c r="S7987" s="11"/>
      <c r="T7987" s="11"/>
      <c r="U7987" s="11">
        <f t="shared" si="2291"/>
        <v>2.2999999999999998</v>
      </c>
      <c r="W7987">
        <v>2.5</v>
      </c>
      <c r="X7987" s="1" t="s">
        <v>74</v>
      </c>
    </row>
    <row r="7988" spans="1:24" x14ac:dyDescent="0.25">
      <c r="A7988" s="1" t="str">
        <f t="shared" si="2292"/>
        <v>卡卡杜-凤凰仓</v>
      </c>
      <c r="B7988" s="1" t="str">
        <f>"CK202410116268"</f>
        <v>CK202410116268</v>
      </c>
      <c r="C7988" s="1" t="str">
        <f>"DD2024101114778"</f>
        <v>DD2024101114778</v>
      </c>
      <c r="D7988" s="1" t="str">
        <f>"CK2024101117297"</f>
        <v>CK2024101117297</v>
      </c>
      <c r="E7988" s="1" t="str">
        <f>"6934838525886338966"</f>
        <v>6934838525886338966</v>
      </c>
      <c r="F7988" s="1" t="str">
        <f t="shared" si="2293"/>
        <v>花都四部-凤凰仓</v>
      </c>
      <c r="G7988" s="1" t="str">
        <f t="shared" si="2296"/>
        <v>卡卡杜个人护理店（抖店）</v>
      </c>
      <c r="H7988" s="1" t="str">
        <f t="shared" si="2294"/>
        <v>正常订单</v>
      </c>
      <c r="I7988" s="1" t="str">
        <f t="shared" si="2295"/>
        <v>已发货</v>
      </c>
      <c r="J7988" s="1" t="str">
        <f t="shared" si="2298"/>
        <v>5</v>
      </c>
      <c r="K7988" s="1">
        <v>3</v>
      </c>
      <c r="L7988" s="1" t="s">
        <v>80</v>
      </c>
      <c r="M7988" s="1" t="str">
        <f>"河南省 新乡市 红旗区 洪门镇"</f>
        <v>河南省 新乡市 红旗区 洪门镇</v>
      </c>
      <c r="N7988" s="1" t="str">
        <f t="shared" si="2299"/>
        <v>凡华云仓-韵达-抖音</v>
      </c>
      <c r="O7988" s="5">
        <v>320166081133038</v>
      </c>
      <c r="P7988" s="6">
        <v>0.47</v>
      </c>
      <c r="Q7988" s="11">
        <v>2.2999999999999998</v>
      </c>
      <c r="R7988" s="11"/>
      <c r="S7988" s="11"/>
      <c r="T7988" s="11"/>
      <c r="U7988" s="11">
        <f t="shared" si="2291"/>
        <v>2.2999999999999998</v>
      </c>
      <c r="W7988">
        <v>2.5</v>
      </c>
      <c r="X7988" s="1" t="s">
        <v>80</v>
      </c>
    </row>
    <row r="7989" spans="1:24" x14ac:dyDescent="0.25">
      <c r="A7989" s="1" t="str">
        <f t="shared" si="2292"/>
        <v>卡卡杜-凤凰仓</v>
      </c>
      <c r="B7989" s="1" t="str">
        <f>"CK202410116129"</f>
        <v>CK202410116129</v>
      </c>
      <c r="C7989" s="1" t="str">
        <f>"DD2024101114638"</f>
        <v>DD2024101114638</v>
      </c>
      <c r="D7989" s="1" t="str">
        <f>"CK2024101117296"</f>
        <v>CK2024101117296</v>
      </c>
      <c r="E7989" s="1" t="str">
        <f>"6934829552672183689"</f>
        <v>6934829552672183689</v>
      </c>
      <c r="F7989" s="1" t="str">
        <f t="shared" si="2293"/>
        <v>花都四部-凤凰仓</v>
      </c>
      <c r="G7989" s="1" t="str">
        <f t="shared" si="2296"/>
        <v>卡卡杜个人护理店（抖店）</v>
      </c>
      <c r="H7989" s="1" t="str">
        <f t="shared" si="2294"/>
        <v>正常订单</v>
      </c>
      <c r="I7989" s="1" t="str">
        <f t="shared" si="2295"/>
        <v>已发货</v>
      </c>
      <c r="J7989" s="1" t="str">
        <f t="shared" si="2298"/>
        <v>5</v>
      </c>
      <c r="K7989" s="1">
        <v>3</v>
      </c>
      <c r="L7989" s="1" t="s">
        <v>30</v>
      </c>
      <c r="M7989" s="1" t="str">
        <f>"山东省 青岛市 黄岛区 灵山卫街道"</f>
        <v>山东省 青岛市 黄岛区 灵山卫街道</v>
      </c>
      <c r="N7989" s="1" t="str">
        <f t="shared" si="2299"/>
        <v>凡华云仓-韵达-抖音</v>
      </c>
      <c r="O7989" s="5">
        <v>320166081132918</v>
      </c>
      <c r="P7989" s="6">
        <v>0.47</v>
      </c>
      <c r="Q7989" s="11">
        <v>2.2999999999999998</v>
      </c>
      <c r="R7989" s="11"/>
      <c r="S7989" s="11"/>
      <c r="T7989" s="11"/>
      <c r="U7989" s="11">
        <f t="shared" si="2291"/>
        <v>2.2999999999999998</v>
      </c>
      <c r="W7989">
        <v>2.5</v>
      </c>
      <c r="X7989" s="1" t="s">
        <v>30</v>
      </c>
    </row>
    <row r="7990" spans="1:24" x14ac:dyDescent="0.25">
      <c r="A7990" s="1" t="str">
        <f t="shared" si="2292"/>
        <v>卡卡杜-凤凰仓</v>
      </c>
      <c r="B7990" s="1" t="str">
        <f>"CK202410116276"</f>
        <v>CK202410116276</v>
      </c>
      <c r="C7990" s="1" t="str">
        <f>"DD2024101114786"</f>
        <v>DD2024101114786</v>
      </c>
      <c r="D7990" s="1" t="str">
        <f>"CK2024101117295"</f>
        <v>CK2024101117295</v>
      </c>
      <c r="E7990" s="1" t="str">
        <f>"6934824725094798628"</f>
        <v>6934824725094798628</v>
      </c>
      <c r="F7990" s="1" t="str">
        <f t="shared" si="2293"/>
        <v>花都四部-凤凰仓</v>
      </c>
      <c r="G7990" s="1" t="str">
        <f t="shared" si="2296"/>
        <v>卡卡杜个人护理店（抖店）</v>
      </c>
      <c r="H7990" s="1" t="str">
        <f t="shared" si="2294"/>
        <v>正常订单</v>
      </c>
      <c r="I7990" s="1" t="str">
        <f t="shared" si="2295"/>
        <v>已发货</v>
      </c>
      <c r="J7990" s="1" t="str">
        <f t="shared" si="2298"/>
        <v>5</v>
      </c>
      <c r="K7990" s="1">
        <v>3</v>
      </c>
      <c r="L7990" s="1" t="s">
        <v>13</v>
      </c>
      <c r="M7990" s="1" t="str">
        <f>"江苏省 南京市 栖霞区 仙林街道"</f>
        <v>江苏省 南京市 栖霞区 仙林街道</v>
      </c>
      <c r="N7990" s="1" t="str">
        <f t="shared" si="2299"/>
        <v>凡华云仓-韵达-抖音</v>
      </c>
      <c r="O7990" s="5">
        <v>320166081132813</v>
      </c>
      <c r="P7990" s="6">
        <v>0.47</v>
      </c>
      <c r="Q7990" s="11">
        <v>2.2999999999999998</v>
      </c>
      <c r="R7990" s="11"/>
      <c r="S7990" s="11"/>
      <c r="T7990" s="11"/>
      <c r="U7990" s="11">
        <f t="shared" si="2291"/>
        <v>2.2999999999999998</v>
      </c>
      <c r="W7990">
        <v>2.5</v>
      </c>
      <c r="X7990" s="1" t="s">
        <v>13</v>
      </c>
    </row>
    <row r="7991" spans="1:24" x14ac:dyDescent="0.25">
      <c r="A7991" s="1" t="str">
        <f t="shared" si="2292"/>
        <v>卡卡杜-凤凰仓</v>
      </c>
      <c r="B7991" s="1" t="str">
        <f>"CK202410116284"</f>
        <v>CK202410116284</v>
      </c>
      <c r="C7991" s="1" t="str">
        <f>"DD2024101114795"</f>
        <v>DD2024101114795</v>
      </c>
      <c r="D7991" s="1" t="str">
        <f>"CK2024101117294"</f>
        <v>CK2024101117294</v>
      </c>
      <c r="E7991" s="1" t="str">
        <f>"6934827269038020258"</f>
        <v>6934827269038020258</v>
      </c>
      <c r="F7991" s="1" t="str">
        <f t="shared" si="2293"/>
        <v>花都四部-凤凰仓</v>
      </c>
      <c r="G7991" s="1" t="str">
        <f t="shared" si="2296"/>
        <v>卡卡杜个人护理店（抖店）</v>
      </c>
      <c r="H7991" s="1" t="str">
        <f t="shared" si="2294"/>
        <v>正常订单</v>
      </c>
      <c r="I7991" s="1" t="str">
        <f t="shared" si="2295"/>
        <v>已发货</v>
      </c>
      <c r="J7991" s="1" t="str">
        <f t="shared" si="2298"/>
        <v>5</v>
      </c>
      <c r="K7991" s="1">
        <v>3</v>
      </c>
      <c r="L7991" s="1" t="s">
        <v>41</v>
      </c>
      <c r="M7991" s="1" t="str">
        <f>"湖北省 武汉市 洪山区 八吉府街道"</f>
        <v>湖北省 武汉市 洪山区 八吉府街道</v>
      </c>
      <c r="N7991" s="1" t="str">
        <f t="shared" si="2299"/>
        <v>凡华云仓-韵达-抖音</v>
      </c>
      <c r="O7991" s="5">
        <v>320166081132710</v>
      </c>
      <c r="P7991" s="6">
        <v>0.47</v>
      </c>
      <c r="Q7991" s="11">
        <v>2.2999999999999998</v>
      </c>
      <c r="R7991" s="11"/>
      <c r="S7991" s="11"/>
      <c r="T7991" s="11"/>
      <c r="U7991" s="11">
        <f t="shared" si="2291"/>
        <v>2.2999999999999998</v>
      </c>
      <c r="W7991">
        <v>2.5</v>
      </c>
      <c r="X7991" s="1" t="s">
        <v>41</v>
      </c>
    </row>
    <row r="7992" spans="1:24" x14ac:dyDescent="0.25">
      <c r="A7992" s="1" t="str">
        <f t="shared" si="2292"/>
        <v>卡卡杜-凤凰仓</v>
      </c>
      <c r="B7992" s="1" t="str">
        <f>"CK202410116286"</f>
        <v>CK202410116286</v>
      </c>
      <c r="C7992" s="1" t="str">
        <f>"DD2024101114796"</f>
        <v>DD2024101114796</v>
      </c>
      <c r="D7992" s="1" t="str">
        <f>"CK2024101117293"</f>
        <v>CK2024101117293</v>
      </c>
      <c r="E7992" s="1" t="str">
        <f>"6934840833576342549"</f>
        <v>6934840833576342549</v>
      </c>
      <c r="F7992" s="1" t="str">
        <f t="shared" si="2293"/>
        <v>花都四部-凤凰仓</v>
      </c>
      <c r="G7992" s="1" t="str">
        <f t="shared" si="2296"/>
        <v>卡卡杜个人护理店（抖店）</v>
      </c>
      <c r="H7992" s="1" t="str">
        <f t="shared" si="2294"/>
        <v>正常订单</v>
      </c>
      <c r="I7992" s="1" t="str">
        <f t="shared" si="2295"/>
        <v>已发货</v>
      </c>
      <c r="J7992" s="1" t="str">
        <f t="shared" si="2298"/>
        <v>5</v>
      </c>
      <c r="K7992" s="1">
        <v>3</v>
      </c>
      <c r="L7992" s="1" t="s">
        <v>182</v>
      </c>
      <c r="M7992" s="1" t="str">
        <f>"新疆维吾尔自治区 博尔塔拉蒙古自治州 博乐市 "</f>
        <v xml:space="preserve">新疆维吾尔自治区 博尔塔拉蒙古自治州 博乐市 </v>
      </c>
      <c r="N7992" s="1" t="str">
        <f t="shared" si="2299"/>
        <v>凡华云仓-韵达-抖音</v>
      </c>
      <c r="O7992" s="5">
        <v>320166082127793</v>
      </c>
      <c r="P7992" s="6">
        <v>0.47</v>
      </c>
      <c r="Q7992" s="11">
        <v>17</v>
      </c>
      <c r="R7992" s="11"/>
      <c r="S7992" s="11"/>
      <c r="T7992" s="11"/>
      <c r="U7992" s="11">
        <f t="shared" si="2291"/>
        <v>17</v>
      </c>
      <c r="W7992">
        <v>17</v>
      </c>
      <c r="X7992" s="1" t="s">
        <v>182</v>
      </c>
    </row>
    <row r="7993" spans="1:24" x14ac:dyDescent="0.25">
      <c r="A7993" s="1" t="str">
        <f t="shared" si="2292"/>
        <v>卡卡杜-凤凰仓</v>
      </c>
      <c r="B7993" s="1" t="str">
        <f>"CK202410116304"</f>
        <v>CK202410116304</v>
      </c>
      <c r="C7993" s="1" t="str">
        <f>"DD2024101114816"</f>
        <v>DD2024101114816</v>
      </c>
      <c r="D7993" s="1" t="str">
        <f>"CK2024101117292"</f>
        <v>CK2024101117292</v>
      </c>
      <c r="E7993" s="1" t="str">
        <f>"6934840800161830783"</f>
        <v>6934840800161830783</v>
      </c>
      <c r="F7993" s="1" t="str">
        <f t="shared" si="2293"/>
        <v>花都四部-凤凰仓</v>
      </c>
      <c r="G7993" s="1" t="str">
        <f t="shared" si="2296"/>
        <v>卡卡杜个人护理店（抖店）</v>
      </c>
      <c r="H7993" s="1" t="str">
        <f t="shared" si="2294"/>
        <v>正常订单</v>
      </c>
      <c r="I7993" s="1" t="str">
        <f t="shared" si="2295"/>
        <v>已发货</v>
      </c>
      <c r="J7993" s="1" t="str">
        <f t="shared" si="2298"/>
        <v>5</v>
      </c>
      <c r="K7993" s="1">
        <v>3</v>
      </c>
      <c r="L7993" s="1" t="s">
        <v>161</v>
      </c>
      <c r="M7993" s="1" t="str">
        <f>"四川省 成都市 双流区 永兴街道"</f>
        <v>四川省 成都市 双流区 永兴街道</v>
      </c>
      <c r="N7993" s="1" t="str">
        <f t="shared" si="2299"/>
        <v>凡华云仓-韵达-抖音</v>
      </c>
      <c r="O7993" s="5">
        <v>320166082127692</v>
      </c>
      <c r="P7993" s="6">
        <v>0.47</v>
      </c>
      <c r="Q7993" s="11">
        <v>2.2999999999999998</v>
      </c>
      <c r="R7993" s="11"/>
      <c r="S7993" s="11"/>
      <c r="T7993" s="11"/>
      <c r="U7993" s="11">
        <f t="shared" si="2291"/>
        <v>2.2999999999999998</v>
      </c>
      <c r="W7993">
        <v>2.5</v>
      </c>
      <c r="X7993" s="1" t="s">
        <v>161</v>
      </c>
    </row>
    <row r="7994" spans="1:24" x14ac:dyDescent="0.25">
      <c r="A7994" s="1" t="str">
        <f t="shared" si="2292"/>
        <v>卡卡杜-凤凰仓</v>
      </c>
      <c r="B7994" s="1" t="str">
        <f>"CK202410116281"</f>
        <v>CK202410116281</v>
      </c>
      <c r="C7994" s="1" t="str">
        <f>"DD2024101114791"</f>
        <v>DD2024101114791</v>
      </c>
      <c r="D7994" s="1" t="str">
        <f>"CK2024101117291"</f>
        <v>CK2024101117291</v>
      </c>
      <c r="E7994" s="1" t="str">
        <f>"6934827229747222475"</f>
        <v>6934827229747222475</v>
      </c>
      <c r="F7994" s="1" t="str">
        <f t="shared" si="2293"/>
        <v>花都四部-凤凰仓</v>
      </c>
      <c r="G7994" s="1" t="str">
        <f t="shared" si="2296"/>
        <v>卡卡杜个人护理店（抖店）</v>
      </c>
      <c r="H7994" s="1" t="str">
        <f t="shared" si="2294"/>
        <v>正常订单</v>
      </c>
      <c r="I7994" s="1" t="str">
        <f t="shared" si="2295"/>
        <v>已发货</v>
      </c>
      <c r="J7994" s="1" t="str">
        <f t="shared" si="2298"/>
        <v>5</v>
      </c>
      <c r="K7994" s="1">
        <v>3</v>
      </c>
      <c r="L7994" s="1" t="s">
        <v>30</v>
      </c>
      <c r="M7994" s="1" t="str">
        <f>"山东省 淄博市 淄川区 将军路街道"</f>
        <v>山东省 淄博市 淄川区 将军路街道</v>
      </c>
      <c r="N7994" s="1" t="str">
        <f t="shared" si="2299"/>
        <v>凡华云仓-韵达-抖音</v>
      </c>
      <c r="O7994" s="5">
        <v>320166082127593</v>
      </c>
      <c r="P7994" s="6">
        <v>0.47</v>
      </c>
      <c r="Q7994" s="11">
        <v>2.2999999999999998</v>
      </c>
      <c r="R7994" s="11"/>
      <c r="S7994" s="11"/>
      <c r="T7994" s="11"/>
      <c r="U7994" s="11">
        <f t="shared" si="2291"/>
        <v>2.2999999999999998</v>
      </c>
      <c r="W7994">
        <v>2.5</v>
      </c>
      <c r="X7994" s="1" t="s">
        <v>30</v>
      </c>
    </row>
    <row r="7995" spans="1:24" x14ac:dyDescent="0.25">
      <c r="A7995" s="1" t="str">
        <f t="shared" si="2292"/>
        <v>卡卡杜-凤凰仓</v>
      </c>
      <c r="B7995" s="1" t="str">
        <f>"CK202410116289"</f>
        <v>CK202410116289</v>
      </c>
      <c r="C7995" s="1" t="str">
        <f>"DD2024101114799"</f>
        <v>DD2024101114799</v>
      </c>
      <c r="D7995" s="1" t="str">
        <f>"CK2024101117290"</f>
        <v>CK2024101117290</v>
      </c>
      <c r="E7995" s="1" t="str">
        <f>"6934827234657834778"</f>
        <v>6934827234657834778</v>
      </c>
      <c r="F7995" s="1" t="str">
        <f t="shared" si="2293"/>
        <v>花都四部-凤凰仓</v>
      </c>
      <c r="G7995" s="1" t="str">
        <f t="shared" si="2296"/>
        <v>卡卡杜个人护理店（抖店）</v>
      </c>
      <c r="H7995" s="1" t="str">
        <f t="shared" si="2294"/>
        <v>正常订单</v>
      </c>
      <c r="I7995" s="1" t="str">
        <f t="shared" si="2295"/>
        <v>已发货</v>
      </c>
      <c r="J7995" s="1" t="str">
        <f t="shared" si="2298"/>
        <v>5</v>
      </c>
      <c r="K7995" s="1">
        <v>3</v>
      </c>
      <c r="L7995" s="1" t="s">
        <v>13</v>
      </c>
      <c r="M7995" s="1" t="str">
        <f>"江苏省 徐州市 睢宁县 睢河街道"</f>
        <v>江苏省 徐州市 睢宁县 睢河街道</v>
      </c>
      <c r="N7995" s="1" t="str">
        <f t="shared" si="2299"/>
        <v>凡华云仓-韵达-抖音</v>
      </c>
      <c r="O7995" s="5">
        <v>320166082127496</v>
      </c>
      <c r="P7995" s="6">
        <v>0.47</v>
      </c>
      <c r="Q7995" s="11">
        <v>2.2999999999999998</v>
      </c>
      <c r="R7995" s="11"/>
      <c r="S7995" s="11"/>
      <c r="T7995" s="11"/>
      <c r="U7995" s="11">
        <f t="shared" si="2291"/>
        <v>2.2999999999999998</v>
      </c>
      <c r="W7995">
        <v>2.5</v>
      </c>
      <c r="X7995" s="1" t="s">
        <v>13</v>
      </c>
    </row>
    <row r="7996" spans="1:24" x14ac:dyDescent="0.25">
      <c r="A7996" s="1" t="str">
        <f t="shared" si="2292"/>
        <v>卡卡杜-凤凰仓</v>
      </c>
      <c r="B7996" s="1" t="str">
        <f>"CK2024101110448"</f>
        <v>CK2024101110448</v>
      </c>
      <c r="C7996" s="1" t="str">
        <f>"DD2024101117024"</f>
        <v>DD2024101117024</v>
      </c>
      <c r="D7996" s="1" t="str">
        <f>"CK2024101117289"</f>
        <v>CK2024101117289</v>
      </c>
      <c r="E7996" s="1" t="str">
        <f>"6934824722531292943"</f>
        <v>6934824722531292943</v>
      </c>
      <c r="F7996" s="1" t="str">
        <f t="shared" si="2293"/>
        <v>花都四部-凤凰仓</v>
      </c>
      <c r="G7996" s="1" t="str">
        <f t="shared" si="2296"/>
        <v>卡卡杜个人护理店（抖店）</v>
      </c>
      <c r="H7996" s="1" t="str">
        <f t="shared" si="2294"/>
        <v>正常订单</v>
      </c>
      <c r="I7996" s="1" t="str">
        <f t="shared" si="2295"/>
        <v>已发货</v>
      </c>
      <c r="J7996" s="1" t="str">
        <f>"9"</f>
        <v>9</v>
      </c>
      <c r="K7996" s="1">
        <v>3</v>
      </c>
      <c r="L7996" s="1" t="s">
        <v>30</v>
      </c>
      <c r="M7996" s="1" t="str">
        <f>"山东省 济南市 历城区 鲍山街道"</f>
        <v>山东省 济南市 历城区 鲍山街道</v>
      </c>
      <c r="N7996" s="1" t="str">
        <f t="shared" si="2299"/>
        <v>凡华云仓-韵达-抖音</v>
      </c>
      <c r="O7996" s="5">
        <v>320166082127301</v>
      </c>
      <c r="P7996" s="6">
        <v>0.83</v>
      </c>
      <c r="Q7996" s="11">
        <f>CEILING(P7996-0.5,0.1)*10*0.15+2.3</f>
        <v>2.9</v>
      </c>
      <c r="R7996" s="11"/>
      <c r="S7996" s="11"/>
      <c r="T7996" s="11"/>
      <c r="U7996" s="11">
        <f t="shared" si="2291"/>
        <v>2.9</v>
      </c>
      <c r="V7996" t="s">
        <v>15</v>
      </c>
      <c r="W7996">
        <v>2.9</v>
      </c>
      <c r="X7996" s="1" t="s">
        <v>30</v>
      </c>
    </row>
    <row r="7997" spans="1:24" x14ac:dyDescent="0.25">
      <c r="A7997" s="1" t="str">
        <f t="shared" si="2292"/>
        <v>卡卡杜-凤凰仓</v>
      </c>
      <c r="B7997" s="1" t="str">
        <f>"CK202410116150"</f>
        <v>CK202410116150</v>
      </c>
      <c r="C7997" s="1" t="str">
        <f>"DD2024101114659"</f>
        <v>DD2024101114659</v>
      </c>
      <c r="D7997" s="1" t="str">
        <f>"CK2024101117288"</f>
        <v>CK2024101117288</v>
      </c>
      <c r="E7997" s="1" t="str">
        <f>"6934836315876300253"</f>
        <v>6934836315876300253</v>
      </c>
      <c r="F7997" s="1" t="str">
        <f t="shared" si="2293"/>
        <v>花都四部-凤凰仓</v>
      </c>
      <c r="G7997" s="1" t="str">
        <f t="shared" si="2296"/>
        <v>卡卡杜个人护理店（抖店）</v>
      </c>
      <c r="H7997" s="1" t="str">
        <f t="shared" si="2294"/>
        <v>正常订单</v>
      </c>
      <c r="I7997" s="1" t="str">
        <f t="shared" si="2295"/>
        <v>已发货</v>
      </c>
      <c r="J7997" s="1" t="str">
        <f t="shared" ref="J7997:J8011" si="2300">"5"</f>
        <v>5</v>
      </c>
      <c r="K7997" s="1">
        <v>3</v>
      </c>
      <c r="L7997" s="1" t="s">
        <v>218</v>
      </c>
      <c r="M7997" s="1" t="str">
        <f>"天津 天津市 滨海新区 杭州道街道"</f>
        <v>天津 天津市 滨海新区 杭州道街道</v>
      </c>
      <c r="N7997" s="1" t="str">
        <f t="shared" si="2299"/>
        <v>凡华云仓-韵达-抖音</v>
      </c>
      <c r="O7997" s="5">
        <v>320166082127208</v>
      </c>
      <c r="P7997" s="6">
        <v>0.47</v>
      </c>
      <c r="Q7997" s="11">
        <v>2.2999999999999998</v>
      </c>
      <c r="R7997" s="11"/>
      <c r="S7997" s="11"/>
      <c r="T7997" s="11"/>
      <c r="U7997" s="11">
        <f t="shared" si="2291"/>
        <v>2.2999999999999998</v>
      </c>
      <c r="W7997">
        <v>2.5</v>
      </c>
      <c r="X7997" s="1" t="s">
        <v>218</v>
      </c>
    </row>
    <row r="7998" spans="1:24" x14ac:dyDescent="0.25">
      <c r="A7998" s="1" t="str">
        <f t="shared" si="2292"/>
        <v>卡卡杜-凤凰仓</v>
      </c>
      <c r="B7998" s="1" t="str">
        <f>"CK202410116294"</f>
        <v>CK202410116294</v>
      </c>
      <c r="C7998" s="1" t="str">
        <f>"DD2024101114803"</f>
        <v>DD2024101114803</v>
      </c>
      <c r="D7998" s="1" t="str">
        <f>"CK2024101117287"</f>
        <v>CK2024101117287</v>
      </c>
      <c r="E7998" s="1" t="str">
        <f>"6934849454625461978"</f>
        <v>6934849454625461978</v>
      </c>
      <c r="F7998" s="1" t="str">
        <f t="shared" si="2293"/>
        <v>花都四部-凤凰仓</v>
      </c>
      <c r="G7998" s="1" t="str">
        <f t="shared" si="2296"/>
        <v>卡卡杜个人护理店（抖店）</v>
      </c>
      <c r="H7998" s="1" t="str">
        <f t="shared" si="2294"/>
        <v>正常订单</v>
      </c>
      <c r="I7998" s="1" t="str">
        <f t="shared" si="2295"/>
        <v>已发货</v>
      </c>
      <c r="J7998" s="1" t="str">
        <f t="shared" si="2300"/>
        <v>5</v>
      </c>
      <c r="K7998" s="1">
        <v>3</v>
      </c>
      <c r="L7998" s="1" t="s">
        <v>30</v>
      </c>
      <c r="M7998" s="1" t="str">
        <f>"山东省 青岛市 李沧区 虎山路街道"</f>
        <v>山东省 青岛市 李沧区 虎山路街道</v>
      </c>
      <c r="N7998" s="1" t="str">
        <f t="shared" si="2299"/>
        <v>凡华云仓-韵达-抖音</v>
      </c>
      <c r="O7998" s="5">
        <v>320166082127117</v>
      </c>
      <c r="P7998" s="6">
        <v>0.47</v>
      </c>
      <c r="Q7998" s="11">
        <v>2.2999999999999998</v>
      </c>
      <c r="R7998" s="11"/>
      <c r="S7998" s="11"/>
      <c r="T7998" s="11"/>
      <c r="U7998" s="11">
        <f t="shared" si="2291"/>
        <v>2.2999999999999998</v>
      </c>
      <c r="W7998">
        <v>2.5</v>
      </c>
      <c r="X7998" s="1" t="s">
        <v>30</v>
      </c>
    </row>
    <row r="7999" spans="1:24" x14ac:dyDescent="0.25">
      <c r="A7999" s="1" t="str">
        <f t="shared" si="2292"/>
        <v>卡卡杜-凤凰仓</v>
      </c>
      <c r="B7999" s="1" t="str">
        <f>"CK202410116296"</f>
        <v>CK202410116296</v>
      </c>
      <c r="C7999" s="1" t="str">
        <f>"DD2024101114805"</f>
        <v>DD2024101114805</v>
      </c>
      <c r="D7999" s="1" t="str">
        <f>"CK2024101117286"</f>
        <v>CK2024101117286</v>
      </c>
      <c r="E7999" s="1" t="str">
        <f>"6934824789886309927"</f>
        <v>6934824789886309927</v>
      </c>
      <c r="F7999" s="1" t="str">
        <f t="shared" si="2293"/>
        <v>花都四部-凤凰仓</v>
      </c>
      <c r="G7999" s="1" t="str">
        <f t="shared" si="2296"/>
        <v>卡卡杜个人护理店（抖店）</v>
      </c>
      <c r="H7999" s="1" t="str">
        <f t="shared" si="2294"/>
        <v>正常订单</v>
      </c>
      <c r="I7999" s="1" t="str">
        <f t="shared" si="2295"/>
        <v>已发货</v>
      </c>
      <c r="J7999" s="1" t="str">
        <f t="shared" si="2300"/>
        <v>5</v>
      </c>
      <c r="K7999" s="1">
        <v>3</v>
      </c>
      <c r="L7999" s="1" t="s">
        <v>54</v>
      </c>
      <c r="M7999" s="1" t="str">
        <f>"黑龙江省 哈尔滨市 阿城区 料甸街道"</f>
        <v>黑龙江省 哈尔滨市 阿城区 料甸街道</v>
      </c>
      <c r="N7999" s="1" t="str">
        <f t="shared" si="2299"/>
        <v>凡华云仓-韵达-抖音</v>
      </c>
      <c r="O7999" s="5">
        <v>320166082127028</v>
      </c>
      <c r="P7999" s="6">
        <v>0.47</v>
      </c>
      <c r="Q7999" s="11">
        <v>2.2999999999999998</v>
      </c>
      <c r="R7999" s="11"/>
      <c r="S7999" s="11"/>
      <c r="T7999" s="11"/>
      <c r="U7999" s="11">
        <f t="shared" si="2291"/>
        <v>2.2999999999999998</v>
      </c>
      <c r="W7999">
        <v>2.5</v>
      </c>
      <c r="X7999" s="1" t="s">
        <v>54</v>
      </c>
    </row>
    <row r="8000" spans="1:24" x14ac:dyDescent="0.25">
      <c r="A8000" s="1" t="str">
        <f t="shared" si="2292"/>
        <v>卡卡杜-凤凰仓</v>
      </c>
      <c r="B8000" s="1" t="str">
        <f>"CK202410116298"</f>
        <v>CK202410116298</v>
      </c>
      <c r="C8000" s="1" t="str">
        <f>"DD2024101114807"</f>
        <v>DD2024101114807</v>
      </c>
      <c r="D8000" s="1" t="str">
        <f>"CK2024101117285"</f>
        <v>CK2024101117285</v>
      </c>
      <c r="E8000" s="1" t="str">
        <f>"6934829584097417095"</f>
        <v>6934829584097417095</v>
      </c>
      <c r="F8000" s="1" t="str">
        <f t="shared" si="2293"/>
        <v>花都四部-凤凰仓</v>
      </c>
      <c r="G8000" s="1" t="str">
        <f t="shared" si="2296"/>
        <v>卡卡杜个人护理店（抖店）</v>
      </c>
      <c r="H8000" s="1" t="str">
        <f t="shared" si="2294"/>
        <v>正常订单</v>
      </c>
      <c r="I8000" s="1" t="str">
        <f t="shared" si="2295"/>
        <v>已发货</v>
      </c>
      <c r="J8000" s="1" t="str">
        <f t="shared" si="2300"/>
        <v>5</v>
      </c>
      <c r="K8000" s="1">
        <v>3</v>
      </c>
      <c r="L8000" s="1" t="s">
        <v>22</v>
      </c>
      <c r="M8000" s="1" t="str">
        <f>"江西省 鹰潭市 月湖区 江边街道"</f>
        <v>江西省 鹰潭市 月湖区 江边街道</v>
      </c>
      <c r="N8000" s="1" t="str">
        <f t="shared" si="2299"/>
        <v>凡华云仓-韵达-抖音</v>
      </c>
      <c r="O8000" s="5">
        <v>320166082126900</v>
      </c>
      <c r="P8000" s="6">
        <v>0.47</v>
      </c>
      <c r="Q8000" s="11">
        <v>2.2999999999999998</v>
      </c>
      <c r="R8000" s="11"/>
      <c r="S8000" s="11"/>
      <c r="T8000" s="11"/>
      <c r="U8000" s="11">
        <f t="shared" si="2291"/>
        <v>2.2999999999999998</v>
      </c>
      <c r="W8000">
        <v>2.5</v>
      </c>
      <c r="X8000" s="1" t="s">
        <v>22</v>
      </c>
    </row>
    <row r="8001" spans="1:24" x14ac:dyDescent="0.25">
      <c r="A8001" s="1" t="str">
        <f t="shared" si="2292"/>
        <v>卡卡杜-凤凰仓</v>
      </c>
      <c r="B8001" s="1" t="str">
        <f>"CK202410116302"</f>
        <v>CK202410116302</v>
      </c>
      <c r="C8001" s="1" t="str">
        <f>"DD2024101114813"</f>
        <v>DD2024101114813</v>
      </c>
      <c r="D8001" s="1" t="str">
        <f>"CK2024101117284"</f>
        <v>CK2024101117284</v>
      </c>
      <c r="E8001" s="1" t="str">
        <f>"6934822651939263599"</f>
        <v>6934822651939263599</v>
      </c>
      <c r="F8001" s="1" t="str">
        <f t="shared" si="2293"/>
        <v>花都四部-凤凰仓</v>
      </c>
      <c r="G8001" s="1" t="str">
        <f t="shared" si="2296"/>
        <v>卡卡杜个人护理店（抖店）</v>
      </c>
      <c r="H8001" s="1" t="str">
        <f t="shared" si="2294"/>
        <v>正常订单</v>
      </c>
      <c r="I8001" s="1" t="str">
        <f t="shared" si="2295"/>
        <v>已发货</v>
      </c>
      <c r="J8001" s="1" t="str">
        <f t="shared" si="2300"/>
        <v>5</v>
      </c>
      <c r="K8001" s="1">
        <v>3</v>
      </c>
      <c r="L8001" s="1" t="s">
        <v>16</v>
      </c>
      <c r="M8001" s="1" t="str">
        <f>"河北省 石家庄市 长安区 育才街道"</f>
        <v>河北省 石家庄市 长安区 育才街道</v>
      </c>
      <c r="N8001" s="1" t="str">
        <f t="shared" si="2299"/>
        <v>凡华云仓-韵达-抖音</v>
      </c>
      <c r="O8001" s="5">
        <v>320166082126895</v>
      </c>
      <c r="P8001" s="6">
        <v>0.47</v>
      </c>
      <c r="Q8001" s="11">
        <v>2.2999999999999998</v>
      </c>
      <c r="R8001" s="11"/>
      <c r="S8001" s="11"/>
      <c r="T8001" s="11"/>
      <c r="U8001" s="11">
        <f t="shared" si="2291"/>
        <v>2.2999999999999998</v>
      </c>
      <c r="W8001">
        <v>2.5</v>
      </c>
      <c r="X8001" s="1" t="s">
        <v>16</v>
      </c>
    </row>
    <row r="8002" spans="1:24" x14ac:dyDescent="0.25">
      <c r="A8002" s="1" t="str">
        <f t="shared" si="2292"/>
        <v>卡卡杜-凤凰仓</v>
      </c>
      <c r="B8002" s="1" t="str">
        <f>"CK202410118140"</f>
        <v>CK202410118140</v>
      </c>
      <c r="C8002" s="1" t="str">
        <f>"DD2024101116697"</f>
        <v>DD2024101116697</v>
      </c>
      <c r="D8002" s="1" t="str">
        <f>"CK2024101117283"</f>
        <v>CK2024101117283</v>
      </c>
      <c r="E8002" s="1" t="str">
        <f>"6934838515728520780"</f>
        <v>6934838515728520780</v>
      </c>
      <c r="F8002" s="1" t="str">
        <f t="shared" si="2293"/>
        <v>花都四部-凤凰仓</v>
      </c>
      <c r="G8002" s="1" t="str">
        <f t="shared" si="2296"/>
        <v>卡卡杜个人护理店（抖店）</v>
      </c>
      <c r="H8002" s="1" t="str">
        <f t="shared" si="2294"/>
        <v>正常订单</v>
      </c>
      <c r="I8002" s="1" t="str">
        <f t="shared" si="2295"/>
        <v>已发货</v>
      </c>
      <c r="J8002" s="1" t="str">
        <f t="shared" si="2300"/>
        <v>5</v>
      </c>
      <c r="K8002" s="1">
        <v>3</v>
      </c>
      <c r="L8002" s="1" t="s">
        <v>30</v>
      </c>
      <c r="M8002" s="1" t="str">
        <f>"山东省 德州市 德城区 二屯镇"</f>
        <v>山东省 德州市 德城区 二屯镇</v>
      </c>
      <c r="N8002" s="1" t="str">
        <f t="shared" si="2299"/>
        <v>凡华云仓-韵达-抖音</v>
      </c>
      <c r="O8002" s="5">
        <v>320166078246859</v>
      </c>
      <c r="P8002" s="6">
        <v>0.47</v>
      </c>
      <c r="Q8002" s="11">
        <v>2.2999999999999998</v>
      </c>
      <c r="R8002" s="11"/>
      <c r="S8002" s="11"/>
      <c r="T8002" s="11"/>
      <c r="U8002" s="11">
        <f t="shared" si="2291"/>
        <v>2.2999999999999998</v>
      </c>
      <c r="W8002">
        <v>2.5</v>
      </c>
      <c r="X8002" s="1" t="s">
        <v>30</v>
      </c>
    </row>
    <row r="8003" spans="1:24" x14ac:dyDescent="0.25">
      <c r="A8003" s="1" t="str">
        <f t="shared" si="2292"/>
        <v>卡卡杜-凤凰仓</v>
      </c>
      <c r="B8003" s="1" t="str">
        <f>"CK202410116148"</f>
        <v>CK202410116148</v>
      </c>
      <c r="C8003" s="1" t="str">
        <f>"DD2024101114657"</f>
        <v>DD2024101114657</v>
      </c>
      <c r="D8003" s="1" t="str">
        <f>"CK2024101117282"</f>
        <v>CK2024101117282</v>
      </c>
      <c r="E8003" s="1" t="str">
        <f>"6934845523351180323"</f>
        <v>6934845523351180323</v>
      </c>
      <c r="F8003" s="1" t="str">
        <f t="shared" si="2293"/>
        <v>花都四部-凤凰仓</v>
      </c>
      <c r="G8003" s="1" t="str">
        <f t="shared" si="2296"/>
        <v>卡卡杜个人护理店（抖店）</v>
      </c>
      <c r="H8003" s="1" t="str">
        <f t="shared" si="2294"/>
        <v>正常订单</v>
      </c>
      <c r="I8003" s="1" t="str">
        <f t="shared" si="2295"/>
        <v>已发货</v>
      </c>
      <c r="J8003" s="1" t="str">
        <f t="shared" si="2300"/>
        <v>5</v>
      </c>
      <c r="K8003" s="1">
        <v>3</v>
      </c>
      <c r="L8003" s="1" t="s">
        <v>80</v>
      </c>
      <c r="M8003" s="1" t="str">
        <f>"河南省 新乡市 辉县市 百泉镇"</f>
        <v>河南省 新乡市 辉县市 百泉镇</v>
      </c>
      <c r="N8003" s="1" t="str">
        <f t="shared" si="2299"/>
        <v>凡华云仓-韵达-抖音</v>
      </c>
      <c r="O8003" s="5">
        <v>320166078246756</v>
      </c>
      <c r="P8003" s="6">
        <v>0.47</v>
      </c>
      <c r="Q8003" s="11">
        <v>2.2999999999999998</v>
      </c>
      <c r="R8003" s="11"/>
      <c r="S8003" s="11"/>
      <c r="T8003" s="11"/>
      <c r="U8003" s="11">
        <f t="shared" ref="U8003:U8066" si="2301">T8003+S8003+R8003+Q8003</f>
        <v>2.2999999999999998</v>
      </c>
      <c r="W8003">
        <v>2.5</v>
      </c>
      <c r="X8003" s="1" t="s">
        <v>80</v>
      </c>
    </row>
    <row r="8004" spans="1:24" x14ac:dyDescent="0.25">
      <c r="A8004" s="1" t="str">
        <f t="shared" si="2292"/>
        <v>卡卡杜-凤凰仓</v>
      </c>
      <c r="B8004" s="1" t="str">
        <f>"CK202410116300"</f>
        <v>CK202410116300</v>
      </c>
      <c r="C8004" s="1" t="str">
        <f>"DD2024101114810"</f>
        <v>DD2024101114810</v>
      </c>
      <c r="D8004" s="1" t="str">
        <f>"CK2024101117281"</f>
        <v>CK2024101117281</v>
      </c>
      <c r="E8004" s="1" t="str">
        <f>"6934849401689413533"</f>
        <v>6934849401689413533</v>
      </c>
      <c r="F8004" s="1" t="str">
        <f t="shared" si="2293"/>
        <v>花都四部-凤凰仓</v>
      </c>
      <c r="G8004" s="1" t="str">
        <f t="shared" si="2296"/>
        <v>卡卡杜个人护理店（抖店）</v>
      </c>
      <c r="H8004" s="1" t="str">
        <f t="shared" si="2294"/>
        <v>正常订单</v>
      </c>
      <c r="I8004" s="1" t="str">
        <f t="shared" si="2295"/>
        <v>已发货</v>
      </c>
      <c r="J8004" s="1" t="str">
        <f t="shared" si="2300"/>
        <v>5</v>
      </c>
      <c r="K8004" s="1">
        <v>3</v>
      </c>
      <c r="L8004" s="1" t="s">
        <v>16</v>
      </c>
      <c r="M8004" s="1" t="str">
        <f>"河北省 秦皇岛市 海港区 黄河道街道"</f>
        <v>河北省 秦皇岛市 海港区 黄河道街道</v>
      </c>
      <c r="N8004" s="1" t="str">
        <f t="shared" si="2299"/>
        <v>凡华云仓-韵达-抖音</v>
      </c>
      <c r="O8004" s="5">
        <v>320166078246655</v>
      </c>
      <c r="P8004" s="6">
        <v>0.47</v>
      </c>
      <c r="Q8004" s="11">
        <v>2.2999999999999998</v>
      </c>
      <c r="R8004" s="11"/>
      <c r="S8004" s="11"/>
      <c r="T8004" s="11"/>
      <c r="U8004" s="11">
        <f t="shared" si="2301"/>
        <v>2.2999999999999998</v>
      </c>
      <c r="W8004">
        <v>2.5</v>
      </c>
      <c r="X8004" s="1" t="s">
        <v>16</v>
      </c>
    </row>
    <row r="8005" spans="1:24" x14ac:dyDescent="0.25">
      <c r="A8005" s="1" t="str">
        <f t="shared" ref="A8005:A8068" si="2302">"卡卡杜-凤凰仓"</f>
        <v>卡卡杜-凤凰仓</v>
      </c>
      <c r="B8005" s="1" t="str">
        <f>"CK202410116309"</f>
        <v>CK202410116309</v>
      </c>
      <c r="C8005" s="1" t="str">
        <f>"DD2024101114820"</f>
        <v>DD2024101114820</v>
      </c>
      <c r="D8005" s="1" t="str">
        <f>"CK2024101117280"</f>
        <v>CK2024101117280</v>
      </c>
      <c r="E8005" s="1" t="str">
        <f>"6934822665039779390"</f>
        <v>6934822665039779390</v>
      </c>
      <c r="F8005" s="1" t="str">
        <f t="shared" ref="F8005:F8068" si="2303">"花都四部-凤凰仓"</f>
        <v>花都四部-凤凰仓</v>
      </c>
      <c r="G8005" s="1" t="str">
        <f t="shared" si="2296"/>
        <v>卡卡杜个人护理店（抖店）</v>
      </c>
      <c r="H8005" s="1" t="str">
        <f t="shared" ref="H8005:H8068" si="2304">"正常订单"</f>
        <v>正常订单</v>
      </c>
      <c r="I8005" s="1" t="str">
        <f t="shared" ref="I8005:I8068" si="2305">"已发货"</f>
        <v>已发货</v>
      </c>
      <c r="J8005" s="1" t="str">
        <f t="shared" si="2300"/>
        <v>5</v>
      </c>
      <c r="K8005" s="1">
        <v>3</v>
      </c>
      <c r="L8005" s="1" t="s">
        <v>20</v>
      </c>
      <c r="M8005" s="1" t="str">
        <f>"浙江省 宁波市 镇海区 蛟川街道"</f>
        <v>浙江省 宁波市 镇海区 蛟川街道</v>
      </c>
      <c r="N8005" s="1" t="str">
        <f t="shared" si="2299"/>
        <v>凡华云仓-韵达-抖音</v>
      </c>
      <c r="O8005" s="5">
        <v>320166078246556</v>
      </c>
      <c r="P8005" s="6">
        <v>0.47</v>
      </c>
      <c r="Q8005" s="11">
        <v>2.2999999999999998</v>
      </c>
      <c r="R8005" s="11"/>
      <c r="S8005" s="11"/>
      <c r="T8005" s="11"/>
      <c r="U8005" s="11">
        <f t="shared" si="2301"/>
        <v>2.2999999999999998</v>
      </c>
      <c r="W8005">
        <v>2.5</v>
      </c>
      <c r="X8005" s="1" t="s">
        <v>20</v>
      </c>
    </row>
    <row r="8006" spans="1:24" x14ac:dyDescent="0.25">
      <c r="A8006" s="1" t="str">
        <f t="shared" si="2302"/>
        <v>卡卡杜-凤凰仓</v>
      </c>
      <c r="B8006" s="1" t="str">
        <f>"CK202410116339"</f>
        <v>CK202410116339</v>
      </c>
      <c r="C8006" s="1" t="str">
        <f>"DD2024101114849"</f>
        <v>DD2024101114849</v>
      </c>
      <c r="D8006" s="1" t="str">
        <f>"CK2024101117279"</f>
        <v>CK2024101117279</v>
      </c>
      <c r="E8006" s="1" t="str">
        <f>"6934845420415686618"</f>
        <v>6934845420415686618</v>
      </c>
      <c r="F8006" s="1" t="str">
        <f t="shared" si="2303"/>
        <v>花都四部-凤凰仓</v>
      </c>
      <c r="G8006" s="1" t="str">
        <f t="shared" si="2296"/>
        <v>卡卡杜个人护理店（抖店）</v>
      </c>
      <c r="H8006" s="1" t="str">
        <f t="shared" si="2304"/>
        <v>正常订单</v>
      </c>
      <c r="I8006" s="1" t="str">
        <f t="shared" si="2305"/>
        <v>已发货</v>
      </c>
      <c r="J8006" s="1" t="str">
        <f t="shared" si="2300"/>
        <v>5</v>
      </c>
      <c r="K8006" s="1">
        <v>3</v>
      </c>
      <c r="L8006" s="1" t="s">
        <v>218</v>
      </c>
      <c r="M8006" s="1" t="str">
        <f>"天津 天津市 滨海新区 "</f>
        <v xml:space="preserve">天津 天津市 滨海新区 </v>
      </c>
      <c r="N8006" s="1" t="str">
        <f t="shared" si="2299"/>
        <v>凡华云仓-韵达-抖音</v>
      </c>
      <c r="O8006" s="5">
        <v>320166078246459</v>
      </c>
      <c r="P8006" s="6">
        <v>0.47</v>
      </c>
      <c r="Q8006" s="11">
        <v>2.2999999999999998</v>
      </c>
      <c r="R8006" s="11"/>
      <c r="S8006" s="11"/>
      <c r="T8006" s="11"/>
      <c r="U8006" s="11">
        <f t="shared" si="2301"/>
        <v>2.2999999999999998</v>
      </c>
      <c r="W8006">
        <v>2.5</v>
      </c>
      <c r="X8006" s="1" t="s">
        <v>218</v>
      </c>
    </row>
    <row r="8007" spans="1:24" x14ac:dyDescent="0.25">
      <c r="A8007" s="1" t="str">
        <f t="shared" si="2302"/>
        <v>卡卡杜-凤凰仓</v>
      </c>
      <c r="B8007" s="1" t="str">
        <f>"CK202410118138"</f>
        <v>CK202410118138</v>
      </c>
      <c r="C8007" s="1" t="str">
        <f>"DD2024101116692"</f>
        <v>DD2024101116692</v>
      </c>
      <c r="D8007" s="1" t="str">
        <f>"CK2024101117278"</f>
        <v>CK2024101117278</v>
      </c>
      <c r="E8007" s="1" t="str">
        <f>"6934843347891721286"</f>
        <v>6934843347891721286</v>
      </c>
      <c r="F8007" s="1" t="str">
        <f t="shared" si="2303"/>
        <v>花都四部-凤凰仓</v>
      </c>
      <c r="G8007" s="1" t="str">
        <f t="shared" si="2296"/>
        <v>卡卡杜个人护理店（抖店）</v>
      </c>
      <c r="H8007" s="1" t="str">
        <f t="shared" si="2304"/>
        <v>正常订单</v>
      </c>
      <c r="I8007" s="1" t="str">
        <f t="shared" si="2305"/>
        <v>已发货</v>
      </c>
      <c r="J8007" s="1" t="str">
        <f t="shared" si="2300"/>
        <v>5</v>
      </c>
      <c r="K8007" s="1">
        <v>3</v>
      </c>
      <c r="L8007" s="1" t="s">
        <v>54</v>
      </c>
      <c r="M8007" s="1" t="str">
        <f>"黑龙江省 牡丹江市 阳明区 桦林镇"</f>
        <v>黑龙江省 牡丹江市 阳明区 桦林镇</v>
      </c>
      <c r="N8007" s="1" t="str">
        <f t="shared" si="2299"/>
        <v>凡华云仓-韵达-抖音</v>
      </c>
      <c r="O8007" s="5">
        <v>320166078246364</v>
      </c>
      <c r="P8007" s="6">
        <v>0.47</v>
      </c>
      <c r="Q8007" s="11">
        <v>2.2999999999999998</v>
      </c>
      <c r="R8007" s="11"/>
      <c r="S8007" s="11"/>
      <c r="T8007" s="11"/>
      <c r="U8007" s="11">
        <f t="shared" si="2301"/>
        <v>2.2999999999999998</v>
      </c>
      <c r="W8007">
        <v>2.5</v>
      </c>
      <c r="X8007" s="1" t="s">
        <v>54</v>
      </c>
    </row>
    <row r="8008" spans="1:24" x14ac:dyDescent="0.25">
      <c r="A8008" s="1" t="str">
        <f t="shared" si="2302"/>
        <v>卡卡杜-凤凰仓</v>
      </c>
      <c r="B8008" s="1" t="str">
        <f>"CK202410116279"</f>
        <v>CK202410116279</v>
      </c>
      <c r="C8008" s="1" t="str">
        <f>"DD2024101114787"</f>
        <v>DD2024101114787</v>
      </c>
      <c r="D8008" s="1" t="str">
        <f>"CK2024101117277"</f>
        <v>CK2024101117277</v>
      </c>
      <c r="E8008" s="1" t="str">
        <f>"6934827291956942558"</f>
        <v>6934827291956942558</v>
      </c>
      <c r="F8008" s="1" t="str">
        <f t="shared" si="2303"/>
        <v>花都四部-凤凰仓</v>
      </c>
      <c r="G8008" s="1" t="str">
        <f t="shared" si="2296"/>
        <v>卡卡杜个人护理店（抖店）</v>
      </c>
      <c r="H8008" s="1" t="str">
        <f t="shared" si="2304"/>
        <v>正常订单</v>
      </c>
      <c r="I8008" s="1" t="str">
        <f t="shared" si="2305"/>
        <v>已发货</v>
      </c>
      <c r="J8008" s="1" t="str">
        <f t="shared" si="2300"/>
        <v>5</v>
      </c>
      <c r="K8008" s="1">
        <v>3</v>
      </c>
      <c r="L8008" s="1" t="s">
        <v>16</v>
      </c>
      <c r="M8008" s="1" t="str">
        <f>"河北省 保定市 竞秀区 颉庄乡"</f>
        <v>河北省 保定市 竞秀区 颉庄乡</v>
      </c>
      <c r="N8008" s="1" t="str">
        <f t="shared" si="2299"/>
        <v>凡华云仓-韵达-抖音</v>
      </c>
      <c r="O8008" s="5">
        <v>320166078246271</v>
      </c>
      <c r="P8008" s="6">
        <v>0.47</v>
      </c>
      <c r="Q8008" s="11">
        <v>2.2999999999999998</v>
      </c>
      <c r="R8008" s="11"/>
      <c r="S8008" s="11"/>
      <c r="T8008" s="11"/>
      <c r="U8008" s="11">
        <f t="shared" si="2301"/>
        <v>2.2999999999999998</v>
      </c>
      <c r="W8008">
        <v>2.5</v>
      </c>
      <c r="X8008" s="1" t="s">
        <v>16</v>
      </c>
    </row>
    <row r="8009" spans="1:24" x14ac:dyDescent="0.25">
      <c r="A8009" s="1" t="str">
        <f t="shared" si="2302"/>
        <v>卡卡杜-凤凰仓</v>
      </c>
      <c r="B8009" s="1" t="str">
        <f>"CK202410116291"</f>
        <v>CK202410116291</v>
      </c>
      <c r="C8009" s="1" t="str">
        <f>"DD2024101114801"</f>
        <v>DD2024101114801</v>
      </c>
      <c r="D8009" s="1" t="str">
        <f>"CK2024101117276"</f>
        <v>CK2024101117276</v>
      </c>
      <c r="E8009" s="1" t="str">
        <f>"6934845499751863711"</f>
        <v>6934845499751863711</v>
      </c>
      <c r="F8009" s="1" t="str">
        <f t="shared" si="2303"/>
        <v>花都四部-凤凰仓</v>
      </c>
      <c r="G8009" s="1" t="str">
        <f t="shared" si="2296"/>
        <v>卡卡杜个人护理店（抖店）</v>
      </c>
      <c r="H8009" s="1" t="str">
        <f t="shared" si="2304"/>
        <v>正常订单</v>
      </c>
      <c r="I8009" s="1" t="str">
        <f t="shared" si="2305"/>
        <v>已发货</v>
      </c>
      <c r="J8009" s="1" t="str">
        <f t="shared" si="2300"/>
        <v>5</v>
      </c>
      <c r="K8009" s="1">
        <v>3</v>
      </c>
      <c r="L8009" s="1" t="s">
        <v>13</v>
      </c>
      <c r="M8009" s="1" t="str">
        <f>"江苏省 南京市 栖霞区 迈皋桥街道"</f>
        <v>江苏省 南京市 栖霞区 迈皋桥街道</v>
      </c>
      <c r="N8009" s="1" t="str">
        <f t="shared" si="2299"/>
        <v>凡华云仓-韵达-抖音</v>
      </c>
      <c r="O8009" s="5">
        <v>320166078246180</v>
      </c>
      <c r="P8009" s="6">
        <v>0.47</v>
      </c>
      <c r="Q8009" s="11">
        <v>2.2999999999999998</v>
      </c>
      <c r="R8009" s="11"/>
      <c r="S8009" s="11"/>
      <c r="T8009" s="11"/>
      <c r="U8009" s="11">
        <f t="shared" si="2301"/>
        <v>2.2999999999999998</v>
      </c>
      <c r="W8009">
        <v>2.5</v>
      </c>
      <c r="X8009" s="1" t="s">
        <v>13</v>
      </c>
    </row>
    <row r="8010" spans="1:24" x14ac:dyDescent="0.25">
      <c r="A8010" s="1" t="str">
        <f t="shared" si="2302"/>
        <v>卡卡杜-凤凰仓</v>
      </c>
      <c r="B8010" s="1" t="str">
        <f>"CK202410116317"</f>
        <v>CK202410116317</v>
      </c>
      <c r="C8010" s="1" t="str">
        <f>"DD2024101114824"</f>
        <v>DD2024101114824</v>
      </c>
      <c r="D8010" s="1" t="str">
        <f>"CK2024101117275"</f>
        <v>CK2024101117275</v>
      </c>
      <c r="E8010" s="1" t="str">
        <f>"6934849429499155685"</f>
        <v>6934849429499155685</v>
      </c>
      <c r="F8010" s="1" t="str">
        <f t="shared" si="2303"/>
        <v>花都四部-凤凰仓</v>
      </c>
      <c r="G8010" s="1" t="str">
        <f t="shared" si="2296"/>
        <v>卡卡杜个人护理店（抖店）</v>
      </c>
      <c r="H8010" s="1" t="str">
        <f t="shared" si="2304"/>
        <v>正常订单</v>
      </c>
      <c r="I8010" s="1" t="str">
        <f t="shared" si="2305"/>
        <v>已发货</v>
      </c>
      <c r="J8010" s="1" t="str">
        <f t="shared" si="2300"/>
        <v>5</v>
      </c>
      <c r="K8010" s="1">
        <v>3</v>
      </c>
      <c r="L8010" s="1" t="s">
        <v>20</v>
      </c>
      <c r="M8010" s="1" t="str">
        <f>"浙江省 杭州市 滨江区 西兴街道"</f>
        <v>浙江省 杭州市 滨江区 西兴街道</v>
      </c>
      <c r="N8010" s="1" t="str">
        <f t="shared" si="2299"/>
        <v>凡华云仓-韵达-抖音</v>
      </c>
      <c r="O8010" s="5">
        <v>320166078246091</v>
      </c>
      <c r="P8010" s="6">
        <v>0.47</v>
      </c>
      <c r="Q8010" s="11">
        <v>2.2999999999999998</v>
      </c>
      <c r="R8010" s="11"/>
      <c r="S8010" s="11"/>
      <c r="T8010" s="11"/>
      <c r="U8010" s="11">
        <f t="shared" si="2301"/>
        <v>2.2999999999999998</v>
      </c>
      <c r="W8010">
        <v>2.5</v>
      </c>
      <c r="X8010" s="1" t="s">
        <v>20</v>
      </c>
    </row>
    <row r="8011" spans="1:24" x14ac:dyDescent="0.25">
      <c r="A8011" s="1" t="str">
        <f t="shared" si="2302"/>
        <v>卡卡杜-凤凰仓</v>
      </c>
      <c r="B8011" s="1" t="str">
        <f>"CK202410116328"</f>
        <v>CK202410116328</v>
      </c>
      <c r="C8011" s="1" t="str">
        <f>"DD2024101114839"</f>
        <v>DD2024101114839</v>
      </c>
      <c r="D8011" s="1" t="str">
        <f>"CK2024101117274"</f>
        <v>CK2024101117274</v>
      </c>
      <c r="E8011" s="1" t="str">
        <f>"6934843202030605810"</f>
        <v>6934843202030605810</v>
      </c>
      <c r="F8011" s="1" t="str">
        <f t="shared" si="2303"/>
        <v>花都四部-凤凰仓</v>
      </c>
      <c r="G8011" s="1" t="str">
        <f t="shared" si="2296"/>
        <v>卡卡杜个人护理店（抖店）</v>
      </c>
      <c r="H8011" s="1" t="str">
        <f t="shared" si="2304"/>
        <v>正常订单</v>
      </c>
      <c r="I8011" s="1" t="str">
        <f t="shared" si="2305"/>
        <v>已发货</v>
      </c>
      <c r="J8011" s="1" t="str">
        <f t="shared" si="2300"/>
        <v>5</v>
      </c>
      <c r="K8011" s="1">
        <v>3</v>
      </c>
      <c r="L8011" s="1" t="s">
        <v>36</v>
      </c>
      <c r="M8011" s="1" t="str">
        <f>"安徽省 宿州市 埇桥区 西关街道"</f>
        <v>安徽省 宿州市 埇桥区 西关街道</v>
      </c>
      <c r="N8011" s="1" t="str">
        <f t="shared" si="2299"/>
        <v>凡华云仓-韵达-抖音</v>
      </c>
      <c r="O8011" s="5">
        <v>320166078245965</v>
      </c>
      <c r="P8011" s="6">
        <v>0.47</v>
      </c>
      <c r="Q8011" s="11">
        <v>2.2999999999999998</v>
      </c>
      <c r="R8011" s="11"/>
      <c r="S8011" s="11"/>
      <c r="T8011" s="11"/>
      <c r="U8011" s="11">
        <f t="shared" si="2301"/>
        <v>2.2999999999999998</v>
      </c>
      <c r="W8011">
        <v>2.5</v>
      </c>
      <c r="X8011" s="1" t="s">
        <v>36</v>
      </c>
    </row>
    <row r="8012" spans="1:24" x14ac:dyDescent="0.25">
      <c r="A8012" s="1" t="str">
        <f t="shared" si="2302"/>
        <v>卡卡杜-凤凰仓</v>
      </c>
      <c r="B8012" s="1" t="str">
        <f>"CK2024101110453"</f>
        <v>CK2024101110453</v>
      </c>
      <c r="C8012" s="1" t="str">
        <f>"DD2024101117028"</f>
        <v>DD2024101117028</v>
      </c>
      <c r="D8012" s="1" t="str">
        <f>"CK2024101117273"</f>
        <v>CK2024101117273</v>
      </c>
      <c r="E8012" s="1" t="str">
        <f>"6934838446746703028"</f>
        <v>6934838446746703028</v>
      </c>
      <c r="F8012" s="1" t="str">
        <f t="shared" si="2303"/>
        <v>花都四部-凤凰仓</v>
      </c>
      <c r="G8012" s="1" t="str">
        <f t="shared" si="2296"/>
        <v>卡卡杜个人护理店（抖店）</v>
      </c>
      <c r="H8012" s="1" t="str">
        <f t="shared" si="2304"/>
        <v>正常订单</v>
      </c>
      <c r="I8012" s="1" t="str">
        <f t="shared" si="2305"/>
        <v>已发货</v>
      </c>
      <c r="J8012" s="1" t="str">
        <f>"9"</f>
        <v>9</v>
      </c>
      <c r="K8012" s="1">
        <v>3</v>
      </c>
      <c r="L8012" s="1" t="s">
        <v>218</v>
      </c>
      <c r="M8012" s="1" t="str">
        <f>"天津 天津市 东丽区 华明街道"</f>
        <v>天津 天津市 东丽区 华明街道</v>
      </c>
      <c r="N8012" s="1" t="str">
        <f t="shared" si="2299"/>
        <v>凡华云仓-韵达-抖音</v>
      </c>
      <c r="O8012" s="5">
        <v>320166084060610</v>
      </c>
      <c r="P8012" s="6">
        <v>0.83</v>
      </c>
      <c r="Q8012" s="11">
        <f>CEILING(P8012-0.5,0.1)*10*0.15+2.3</f>
        <v>2.9</v>
      </c>
      <c r="R8012" s="11"/>
      <c r="S8012" s="11"/>
      <c r="T8012" s="11"/>
      <c r="U8012" s="11">
        <f t="shared" si="2301"/>
        <v>2.9</v>
      </c>
      <c r="V8012" t="s">
        <v>15</v>
      </c>
      <c r="W8012">
        <v>2.9</v>
      </c>
      <c r="X8012" s="1" t="s">
        <v>218</v>
      </c>
    </row>
    <row r="8013" spans="1:24" x14ac:dyDescent="0.25">
      <c r="A8013" s="1" t="str">
        <f t="shared" si="2302"/>
        <v>卡卡杜-凤凰仓</v>
      </c>
      <c r="B8013" s="1" t="str">
        <f>"CK2024101110459"</f>
        <v>CK2024101110459</v>
      </c>
      <c r="C8013" s="1" t="str">
        <f>"DD2024101117039"</f>
        <v>DD2024101117039</v>
      </c>
      <c r="D8013" s="1" t="str">
        <f>"CK2024101117272"</f>
        <v>CK2024101117272</v>
      </c>
      <c r="E8013" s="1" t="str">
        <f>"6934845470681339508"</f>
        <v>6934845470681339508</v>
      </c>
      <c r="F8013" s="1" t="str">
        <f t="shared" si="2303"/>
        <v>花都四部-凤凰仓</v>
      </c>
      <c r="G8013" s="1" t="str">
        <f t="shared" ref="G8013:G8076" si="2306">"卡卡杜个人护理店（抖店）"</f>
        <v>卡卡杜个人护理店（抖店）</v>
      </c>
      <c r="H8013" s="1" t="str">
        <f t="shared" si="2304"/>
        <v>正常订单</v>
      </c>
      <c r="I8013" s="1" t="str">
        <f t="shared" si="2305"/>
        <v>已发货</v>
      </c>
      <c r="J8013" s="1" t="str">
        <f>"9"</f>
        <v>9</v>
      </c>
      <c r="K8013" s="1">
        <v>3</v>
      </c>
      <c r="L8013" s="1" t="s">
        <v>30</v>
      </c>
      <c r="M8013" s="1" t="str">
        <f>"山东省 临沂市 兰山区 枣园镇"</f>
        <v>山东省 临沂市 兰山区 枣园镇</v>
      </c>
      <c r="N8013" s="1" t="str">
        <f t="shared" si="2299"/>
        <v>凡华云仓-韵达-抖音</v>
      </c>
      <c r="O8013" s="5">
        <v>320166084060511</v>
      </c>
      <c r="P8013" s="6">
        <v>0.83</v>
      </c>
      <c r="Q8013" s="11">
        <f>CEILING(P8013-0.5,0.1)*10*0.15+2.3</f>
        <v>2.9</v>
      </c>
      <c r="R8013" s="11"/>
      <c r="S8013" s="11"/>
      <c r="T8013" s="11"/>
      <c r="U8013" s="11">
        <f t="shared" si="2301"/>
        <v>2.9</v>
      </c>
      <c r="V8013" t="s">
        <v>15</v>
      </c>
      <c r="W8013">
        <v>2.9</v>
      </c>
      <c r="X8013" s="1" t="s">
        <v>30</v>
      </c>
    </row>
    <row r="8014" spans="1:24" x14ac:dyDescent="0.25">
      <c r="A8014" s="1" t="str">
        <f t="shared" si="2302"/>
        <v>卡卡杜-凤凰仓</v>
      </c>
      <c r="B8014" s="1" t="str">
        <f>"CK202410116307"</f>
        <v>CK202410116307</v>
      </c>
      <c r="C8014" s="1" t="str">
        <f>"DD2024101114815"</f>
        <v>DD2024101114815</v>
      </c>
      <c r="D8014" s="1" t="str">
        <f>"CK2024101117271"</f>
        <v>CK2024101117271</v>
      </c>
      <c r="E8014" s="1" t="str">
        <f>"6934824784649459511"</f>
        <v>6934824784649459511</v>
      </c>
      <c r="F8014" s="1" t="str">
        <f t="shared" si="2303"/>
        <v>花都四部-凤凰仓</v>
      </c>
      <c r="G8014" s="1" t="str">
        <f t="shared" si="2306"/>
        <v>卡卡杜个人护理店（抖店）</v>
      </c>
      <c r="H8014" s="1" t="str">
        <f t="shared" si="2304"/>
        <v>正常订单</v>
      </c>
      <c r="I8014" s="1" t="str">
        <f t="shared" si="2305"/>
        <v>已发货</v>
      </c>
      <c r="J8014" s="1" t="str">
        <f t="shared" ref="J8014:J8077" si="2307">"5"</f>
        <v>5</v>
      </c>
      <c r="K8014" s="1">
        <v>3</v>
      </c>
      <c r="L8014" s="1" t="s">
        <v>18</v>
      </c>
      <c r="M8014" s="1" t="str">
        <f>"广东省 汕头市 龙湖区 新津街道"</f>
        <v>广东省 汕头市 龙湖区 新津街道</v>
      </c>
      <c r="N8014" s="1" t="str">
        <f t="shared" si="2299"/>
        <v>凡华云仓-韵达-抖音</v>
      </c>
      <c r="O8014" s="5">
        <v>320166084060414</v>
      </c>
      <c r="P8014" s="6">
        <v>0.47</v>
      </c>
      <c r="Q8014" s="11">
        <v>2.2999999999999998</v>
      </c>
      <c r="R8014" s="11"/>
      <c r="S8014" s="11"/>
      <c r="T8014" s="11"/>
      <c r="U8014" s="11">
        <f t="shared" si="2301"/>
        <v>2.2999999999999998</v>
      </c>
      <c r="W8014">
        <v>2.5</v>
      </c>
      <c r="X8014" s="1" t="s">
        <v>18</v>
      </c>
    </row>
    <row r="8015" spans="1:24" x14ac:dyDescent="0.25">
      <c r="A8015" s="1" t="str">
        <f t="shared" si="2302"/>
        <v>卡卡杜-凤凰仓</v>
      </c>
      <c r="B8015" s="1" t="str">
        <f>"CK202410116312"</f>
        <v>CK202410116312</v>
      </c>
      <c r="C8015" s="1" t="str">
        <f>"DD2024101114821"</f>
        <v>DD2024101114821</v>
      </c>
      <c r="D8015" s="1" t="str">
        <f>"CK2024101117270"</f>
        <v>CK2024101117270</v>
      </c>
      <c r="E8015" s="1" t="str">
        <f>"6934831579657475434"</f>
        <v>6934831579657475434</v>
      </c>
      <c r="F8015" s="1" t="str">
        <f t="shared" si="2303"/>
        <v>花都四部-凤凰仓</v>
      </c>
      <c r="G8015" s="1" t="str">
        <f t="shared" si="2306"/>
        <v>卡卡杜个人护理店（抖店）</v>
      </c>
      <c r="H8015" s="1" t="str">
        <f t="shared" si="2304"/>
        <v>正常订单</v>
      </c>
      <c r="I8015" s="1" t="str">
        <f t="shared" si="2305"/>
        <v>已发货</v>
      </c>
      <c r="J8015" s="1" t="str">
        <f t="shared" si="2307"/>
        <v>5</v>
      </c>
      <c r="K8015" s="1">
        <v>3</v>
      </c>
      <c r="L8015" s="1" t="s">
        <v>32</v>
      </c>
      <c r="M8015" s="1" t="str">
        <f>"陕西省 渭南市 临渭区 杜桥街道"</f>
        <v>陕西省 渭南市 临渭区 杜桥街道</v>
      </c>
      <c r="N8015" s="1" t="str">
        <f t="shared" si="2299"/>
        <v>凡华云仓-韵达-抖音</v>
      </c>
      <c r="O8015" s="5">
        <v>320166084060319</v>
      </c>
      <c r="P8015" s="6">
        <v>0.47</v>
      </c>
      <c r="Q8015" s="11">
        <v>2.2999999999999998</v>
      </c>
      <c r="R8015" s="11"/>
      <c r="S8015" s="11"/>
      <c r="T8015" s="11"/>
      <c r="U8015" s="11">
        <f t="shared" si="2301"/>
        <v>2.2999999999999998</v>
      </c>
      <c r="W8015">
        <v>2.5</v>
      </c>
      <c r="X8015" s="1" t="s">
        <v>32</v>
      </c>
    </row>
    <row r="8016" spans="1:24" x14ac:dyDescent="0.25">
      <c r="A8016" s="1" t="str">
        <f t="shared" si="2302"/>
        <v>卡卡杜-凤凰仓</v>
      </c>
      <c r="B8016" s="1" t="str">
        <f>"CK202410116314"</f>
        <v>CK202410116314</v>
      </c>
      <c r="C8016" s="1" t="str">
        <f>"DD2024101114827"</f>
        <v>DD2024101114827</v>
      </c>
      <c r="D8016" s="1" t="str">
        <f>"CK2024101117269"</f>
        <v>CK2024101117269</v>
      </c>
      <c r="E8016" s="1" t="str">
        <f>"6934836255787324586"</f>
        <v>6934836255787324586</v>
      </c>
      <c r="F8016" s="1" t="str">
        <f t="shared" si="2303"/>
        <v>花都四部-凤凰仓</v>
      </c>
      <c r="G8016" s="1" t="str">
        <f t="shared" si="2306"/>
        <v>卡卡杜个人护理店（抖店）</v>
      </c>
      <c r="H8016" s="1" t="str">
        <f t="shared" si="2304"/>
        <v>正常订单</v>
      </c>
      <c r="I8016" s="1" t="str">
        <f t="shared" si="2305"/>
        <v>已发货</v>
      </c>
      <c r="J8016" s="1" t="str">
        <f t="shared" si="2307"/>
        <v>5</v>
      </c>
      <c r="K8016" s="1">
        <v>3</v>
      </c>
      <c r="L8016" s="1" t="s">
        <v>30</v>
      </c>
      <c r="M8016" s="1" t="str">
        <f>"山东省 淄博市 周村区 北郊镇"</f>
        <v>山东省 淄博市 周村区 北郊镇</v>
      </c>
      <c r="N8016" s="1" t="str">
        <f t="shared" si="2299"/>
        <v>凡华云仓-韵达-抖音</v>
      </c>
      <c r="O8016" s="5">
        <v>320166084060226</v>
      </c>
      <c r="P8016" s="6">
        <v>0.47</v>
      </c>
      <c r="Q8016" s="11">
        <v>2.2999999999999998</v>
      </c>
      <c r="R8016" s="11"/>
      <c r="S8016" s="11"/>
      <c r="T8016" s="11"/>
      <c r="U8016" s="11">
        <f t="shared" si="2301"/>
        <v>2.2999999999999998</v>
      </c>
      <c r="W8016">
        <v>2.5</v>
      </c>
      <c r="X8016" s="1" t="s">
        <v>30</v>
      </c>
    </row>
    <row r="8017" spans="1:24" x14ac:dyDescent="0.25">
      <c r="A8017" s="1" t="str">
        <f t="shared" si="2302"/>
        <v>卡卡杜-凤凰仓</v>
      </c>
      <c r="B8017" s="1" t="str">
        <f>"CK202410116324"</f>
        <v>CK202410116324</v>
      </c>
      <c r="C8017" s="1" t="str">
        <f>"DD2024101114832"</f>
        <v>DD2024101114832</v>
      </c>
      <c r="D8017" s="1" t="str">
        <f>"CK2024101117268"</f>
        <v>CK2024101117268</v>
      </c>
      <c r="E8017" s="1" t="str">
        <f>"6934838483380868805"</f>
        <v>6934838483380868805</v>
      </c>
      <c r="F8017" s="1" t="str">
        <f t="shared" si="2303"/>
        <v>花都四部-凤凰仓</v>
      </c>
      <c r="G8017" s="1" t="str">
        <f t="shared" si="2306"/>
        <v>卡卡杜个人护理店（抖店）</v>
      </c>
      <c r="H8017" s="1" t="str">
        <f t="shared" si="2304"/>
        <v>正常订单</v>
      </c>
      <c r="I8017" s="1" t="str">
        <f t="shared" si="2305"/>
        <v>已发货</v>
      </c>
      <c r="J8017" s="1" t="str">
        <f t="shared" si="2307"/>
        <v>5</v>
      </c>
      <c r="K8017" s="1">
        <v>3</v>
      </c>
      <c r="L8017" s="1" t="s">
        <v>80</v>
      </c>
      <c r="M8017" s="1" t="str">
        <f>"河南省 焦作市 武陟县 木栾街道"</f>
        <v>河南省 焦作市 武陟县 木栾街道</v>
      </c>
      <c r="N8017" s="1" t="str">
        <f t="shared" si="2299"/>
        <v>凡华云仓-韵达-抖音</v>
      </c>
      <c r="O8017" s="5">
        <v>320166084060135</v>
      </c>
      <c r="P8017" s="6">
        <v>0.47</v>
      </c>
      <c r="Q8017" s="11">
        <v>2.2999999999999998</v>
      </c>
      <c r="R8017" s="11"/>
      <c r="S8017" s="11"/>
      <c r="T8017" s="11"/>
      <c r="U8017" s="11">
        <f t="shared" si="2301"/>
        <v>2.2999999999999998</v>
      </c>
      <c r="W8017">
        <v>2.5</v>
      </c>
      <c r="X8017" s="1" t="s">
        <v>80</v>
      </c>
    </row>
    <row r="8018" spans="1:24" x14ac:dyDescent="0.25">
      <c r="A8018" s="1" t="str">
        <f t="shared" si="2302"/>
        <v>卡卡杜-凤凰仓</v>
      </c>
      <c r="B8018" s="1" t="str">
        <f>"CK202410116326"</f>
        <v>CK202410116326</v>
      </c>
      <c r="C8018" s="1" t="str">
        <f>"DD2024101114836"</f>
        <v>DD2024101114836</v>
      </c>
      <c r="D8018" s="1" t="str">
        <f>"CK2024101117267"</f>
        <v>CK2024101117267</v>
      </c>
      <c r="E8018" s="1" t="str">
        <f>"6934822546711582246"</f>
        <v>6934822546711582246</v>
      </c>
      <c r="F8018" s="1" t="str">
        <f t="shared" si="2303"/>
        <v>花都四部-凤凰仓</v>
      </c>
      <c r="G8018" s="1" t="str">
        <f t="shared" si="2306"/>
        <v>卡卡杜个人护理店（抖店）</v>
      </c>
      <c r="H8018" s="1" t="str">
        <f t="shared" si="2304"/>
        <v>正常订单</v>
      </c>
      <c r="I8018" s="1" t="str">
        <f t="shared" si="2305"/>
        <v>已发货</v>
      </c>
      <c r="J8018" s="1" t="str">
        <f t="shared" si="2307"/>
        <v>5</v>
      </c>
      <c r="K8018" s="1">
        <v>3</v>
      </c>
      <c r="L8018" s="1" t="s">
        <v>20</v>
      </c>
      <c r="M8018" s="1" t="str">
        <f>"浙江省 杭州市 钱塘区 义蓬街道"</f>
        <v>浙江省 杭州市 钱塘区 义蓬街道</v>
      </c>
      <c r="N8018" s="1" t="str">
        <f t="shared" si="2299"/>
        <v>凡华云仓-韵达-抖音</v>
      </c>
      <c r="O8018" s="5">
        <v>320166084060046</v>
      </c>
      <c r="P8018" s="6">
        <v>0.47</v>
      </c>
      <c r="Q8018" s="11">
        <v>2.2999999999999998</v>
      </c>
      <c r="R8018" s="11"/>
      <c r="S8018" s="11"/>
      <c r="T8018" s="11"/>
      <c r="U8018" s="11">
        <f t="shared" si="2301"/>
        <v>2.2999999999999998</v>
      </c>
      <c r="W8018">
        <v>2.5</v>
      </c>
      <c r="X8018" s="1" t="s">
        <v>20</v>
      </c>
    </row>
    <row r="8019" spans="1:24" x14ac:dyDescent="0.25">
      <c r="A8019" s="1" t="str">
        <f t="shared" si="2302"/>
        <v>卡卡杜-凤凰仓</v>
      </c>
      <c r="B8019" s="1" t="str">
        <f>"CK202410116332"</f>
        <v>CK202410116332</v>
      </c>
      <c r="C8019" s="1" t="str">
        <f>"DD2024101114841"</f>
        <v>DD2024101114841</v>
      </c>
      <c r="D8019" s="1" t="str">
        <f>"CK2024101117266"</f>
        <v>CK2024101117266</v>
      </c>
      <c r="E8019" s="1" t="str">
        <f>"6934845459723392748"</f>
        <v>6934845459723392748</v>
      </c>
      <c r="F8019" s="1" t="str">
        <f t="shared" si="2303"/>
        <v>花都四部-凤凰仓</v>
      </c>
      <c r="G8019" s="1" t="str">
        <f t="shared" si="2306"/>
        <v>卡卡杜个人护理店（抖店）</v>
      </c>
      <c r="H8019" s="1" t="str">
        <f t="shared" si="2304"/>
        <v>正常订单</v>
      </c>
      <c r="I8019" s="1" t="str">
        <f t="shared" si="2305"/>
        <v>已发货</v>
      </c>
      <c r="J8019" s="1" t="str">
        <f t="shared" si="2307"/>
        <v>5</v>
      </c>
      <c r="K8019" s="1">
        <v>3</v>
      </c>
      <c r="L8019" s="1" t="s">
        <v>41</v>
      </c>
      <c r="M8019" s="1" t="str">
        <f>"湖北省 咸宁市 咸安区 官埠桥镇"</f>
        <v>湖北省 咸宁市 咸安区 官埠桥镇</v>
      </c>
      <c r="N8019" s="1" t="str">
        <f t="shared" si="2299"/>
        <v>凡华云仓-韵达-抖音</v>
      </c>
      <c r="O8019" s="5">
        <v>320166084059993</v>
      </c>
      <c r="P8019" s="6">
        <v>0.47</v>
      </c>
      <c r="Q8019" s="11">
        <v>2.2999999999999998</v>
      </c>
      <c r="R8019" s="11"/>
      <c r="S8019" s="11"/>
      <c r="T8019" s="11"/>
      <c r="U8019" s="11">
        <f t="shared" si="2301"/>
        <v>2.2999999999999998</v>
      </c>
      <c r="W8019">
        <v>2.5</v>
      </c>
      <c r="X8019" s="1" t="s">
        <v>41</v>
      </c>
    </row>
    <row r="8020" spans="1:24" x14ac:dyDescent="0.25">
      <c r="A8020" s="1" t="str">
        <f t="shared" si="2302"/>
        <v>卡卡杜-凤凰仓</v>
      </c>
      <c r="B8020" s="1" t="str">
        <f>"CK202410116416"</f>
        <v>CK202410116416</v>
      </c>
      <c r="C8020" s="1" t="str">
        <f>"DD2024101114924"</f>
        <v>DD2024101114924</v>
      </c>
      <c r="D8020" s="1" t="str">
        <f>"CK2024101117265"</f>
        <v>CK2024101117265</v>
      </c>
      <c r="E8020" s="1" t="str">
        <f>"6934827262485731241"</f>
        <v>6934827262485731241</v>
      </c>
      <c r="F8020" s="1" t="str">
        <f t="shared" si="2303"/>
        <v>花都四部-凤凰仓</v>
      </c>
      <c r="G8020" s="1" t="str">
        <f t="shared" si="2306"/>
        <v>卡卡杜个人护理店（抖店）</v>
      </c>
      <c r="H8020" s="1" t="str">
        <f t="shared" si="2304"/>
        <v>正常订单</v>
      </c>
      <c r="I8020" s="1" t="str">
        <f t="shared" si="2305"/>
        <v>已发货</v>
      </c>
      <c r="J8020" s="1" t="str">
        <f t="shared" si="2307"/>
        <v>5</v>
      </c>
      <c r="K8020" s="1">
        <v>3</v>
      </c>
      <c r="L8020" s="1" t="s">
        <v>13</v>
      </c>
      <c r="M8020" s="1" t="str">
        <f>"江苏省 镇江市 京口区 大路镇"</f>
        <v>江苏省 镇江市 京口区 大路镇</v>
      </c>
      <c r="N8020" s="1" t="str">
        <f t="shared" si="2299"/>
        <v>凡华云仓-韵达-抖音</v>
      </c>
      <c r="O8020" s="5">
        <v>320166084059888</v>
      </c>
      <c r="P8020" s="6">
        <v>0.47</v>
      </c>
      <c r="Q8020" s="11">
        <v>2.2999999999999998</v>
      </c>
      <c r="R8020" s="11"/>
      <c r="S8020" s="11"/>
      <c r="T8020" s="11"/>
      <c r="U8020" s="11">
        <f t="shared" si="2301"/>
        <v>2.2999999999999998</v>
      </c>
      <c r="W8020">
        <v>2.5</v>
      </c>
      <c r="X8020" s="1" t="s">
        <v>13</v>
      </c>
    </row>
    <row r="8021" spans="1:24" x14ac:dyDescent="0.25">
      <c r="A8021" s="1" t="str">
        <f t="shared" si="2302"/>
        <v>卡卡杜-凤凰仓</v>
      </c>
      <c r="B8021" s="1" t="str">
        <f>"CK202410116448"</f>
        <v>CK202410116448</v>
      </c>
      <c r="C8021" s="1" t="str">
        <f>"DD2024101114957"</f>
        <v>DD2024101114957</v>
      </c>
      <c r="D8021" s="1" t="str">
        <f>"CK2024101117264"</f>
        <v>CK2024101117264</v>
      </c>
      <c r="E8021" s="1" t="str">
        <f>"6934822509377492447"</f>
        <v>6934822509377492447</v>
      </c>
      <c r="F8021" s="1" t="str">
        <f t="shared" si="2303"/>
        <v>花都四部-凤凰仓</v>
      </c>
      <c r="G8021" s="1" t="str">
        <f t="shared" si="2306"/>
        <v>卡卡杜个人护理店（抖店）</v>
      </c>
      <c r="H8021" s="1" t="str">
        <f t="shared" si="2304"/>
        <v>正常订单</v>
      </c>
      <c r="I8021" s="1" t="str">
        <f t="shared" si="2305"/>
        <v>已发货</v>
      </c>
      <c r="J8021" s="1" t="str">
        <f t="shared" si="2307"/>
        <v>5</v>
      </c>
      <c r="K8021" s="1">
        <v>3</v>
      </c>
      <c r="L8021" s="1" t="s">
        <v>20</v>
      </c>
      <c r="M8021" s="1" t="str">
        <f>"浙江省 湖州市 安吉县 递铺街道"</f>
        <v>浙江省 湖州市 安吉县 递铺街道</v>
      </c>
      <c r="N8021" s="1" t="str">
        <f t="shared" si="2299"/>
        <v>凡华云仓-韵达-抖音</v>
      </c>
      <c r="O8021" s="5">
        <v>320166084059785</v>
      </c>
      <c r="P8021" s="6">
        <v>0.47</v>
      </c>
      <c r="Q8021" s="11">
        <v>2.2999999999999998</v>
      </c>
      <c r="R8021" s="11"/>
      <c r="S8021" s="11"/>
      <c r="T8021" s="11"/>
      <c r="U8021" s="11">
        <f t="shared" si="2301"/>
        <v>2.2999999999999998</v>
      </c>
      <c r="W8021">
        <v>2.5</v>
      </c>
      <c r="X8021" s="1" t="s">
        <v>20</v>
      </c>
    </row>
    <row r="8022" spans="1:24" x14ac:dyDescent="0.25">
      <c r="A8022" s="1" t="str">
        <f t="shared" si="2302"/>
        <v>卡卡杜-凤凰仓</v>
      </c>
      <c r="B8022" s="1" t="str">
        <f>"CK202410116147"</f>
        <v>CK202410116147</v>
      </c>
      <c r="C8022" s="1" t="str">
        <f>"DD2024101114656"</f>
        <v>DD2024101114656</v>
      </c>
      <c r="D8022" s="1" t="str">
        <f>"CK2024101117263"</f>
        <v>CK2024101117263</v>
      </c>
      <c r="E8022" s="1" t="str">
        <f>"6934840787371562825"</f>
        <v>6934840787371562825</v>
      </c>
      <c r="F8022" s="1" t="str">
        <f t="shared" si="2303"/>
        <v>花都四部-凤凰仓</v>
      </c>
      <c r="G8022" s="1" t="str">
        <f t="shared" si="2306"/>
        <v>卡卡杜个人护理店（抖店）</v>
      </c>
      <c r="H8022" s="1" t="str">
        <f t="shared" si="2304"/>
        <v>正常订单</v>
      </c>
      <c r="I8022" s="1" t="str">
        <f t="shared" si="2305"/>
        <v>已发货</v>
      </c>
      <c r="J8022" s="1" t="str">
        <f t="shared" si="2307"/>
        <v>5</v>
      </c>
      <c r="K8022" s="1">
        <v>3</v>
      </c>
      <c r="L8022" s="1" t="s">
        <v>80</v>
      </c>
      <c r="M8022" s="1" t="str">
        <f>"河南省 焦作市 马村区 安阳城街道"</f>
        <v>河南省 焦作市 马村区 安阳城街道</v>
      </c>
      <c r="N8022" s="1" t="str">
        <f t="shared" si="2299"/>
        <v>凡华云仓-韵达-抖音</v>
      </c>
      <c r="O8022" s="5">
        <v>320166079263281</v>
      </c>
      <c r="P8022" s="6">
        <v>0.47</v>
      </c>
      <c r="Q8022" s="11">
        <v>2.2999999999999998</v>
      </c>
      <c r="R8022" s="11"/>
      <c r="S8022" s="11"/>
      <c r="T8022" s="11"/>
      <c r="U8022" s="11">
        <f t="shared" si="2301"/>
        <v>2.2999999999999998</v>
      </c>
      <c r="W8022">
        <v>2.5</v>
      </c>
      <c r="X8022" s="1" t="s">
        <v>80</v>
      </c>
    </row>
    <row r="8023" spans="1:24" x14ac:dyDescent="0.25">
      <c r="A8023" s="1" t="str">
        <f t="shared" si="2302"/>
        <v>卡卡杜-凤凰仓</v>
      </c>
      <c r="B8023" s="1" t="str">
        <f>"CK202410116169"</f>
        <v>CK202410116169</v>
      </c>
      <c r="C8023" s="1" t="str">
        <f>"DD2024101114677"</f>
        <v>DD2024101114677</v>
      </c>
      <c r="D8023" s="1" t="str">
        <f>"CK2024101117262"</f>
        <v>CK2024101117262</v>
      </c>
      <c r="E8023" s="1" t="str">
        <f>"6934851659781248427"</f>
        <v>6934851659781248427</v>
      </c>
      <c r="F8023" s="1" t="str">
        <f t="shared" si="2303"/>
        <v>花都四部-凤凰仓</v>
      </c>
      <c r="G8023" s="1" t="str">
        <f t="shared" si="2306"/>
        <v>卡卡杜个人护理店（抖店）</v>
      </c>
      <c r="H8023" s="1" t="str">
        <f t="shared" si="2304"/>
        <v>正常订单</v>
      </c>
      <c r="I8023" s="1" t="str">
        <f t="shared" si="2305"/>
        <v>已发货</v>
      </c>
      <c r="J8023" s="1" t="str">
        <f t="shared" si="2307"/>
        <v>5</v>
      </c>
      <c r="K8023" s="1">
        <v>3</v>
      </c>
      <c r="L8023" s="1" t="s">
        <v>92</v>
      </c>
      <c r="M8023" s="1" t="str">
        <f>"辽宁省 沈阳市 沈河区 泉园街道"</f>
        <v>辽宁省 沈阳市 沈河区 泉园街道</v>
      </c>
      <c r="N8023" s="1" t="str">
        <f t="shared" si="2299"/>
        <v>凡华云仓-韵达-抖音</v>
      </c>
      <c r="O8023" s="5">
        <v>320166079263190</v>
      </c>
      <c r="P8023" s="6">
        <v>0.47</v>
      </c>
      <c r="Q8023" s="11">
        <v>2.2999999999999998</v>
      </c>
      <c r="R8023" s="11"/>
      <c r="S8023" s="11"/>
      <c r="T8023" s="11"/>
      <c r="U8023" s="11">
        <f t="shared" si="2301"/>
        <v>2.2999999999999998</v>
      </c>
      <c r="W8023">
        <v>2.5</v>
      </c>
      <c r="X8023" s="1" t="s">
        <v>92</v>
      </c>
    </row>
    <row r="8024" spans="1:24" x14ac:dyDescent="0.25">
      <c r="A8024" s="1" t="str">
        <f t="shared" si="2302"/>
        <v>卡卡杜-凤凰仓</v>
      </c>
      <c r="B8024" s="1" t="str">
        <f>"CK202410116266"</f>
        <v>CK202410116266</v>
      </c>
      <c r="C8024" s="1" t="str">
        <f>"DD2024101114776"</f>
        <v>DD2024101114776</v>
      </c>
      <c r="D8024" s="1" t="str">
        <f>"CK2024101117261"</f>
        <v>CK2024101117261</v>
      </c>
      <c r="E8024" s="1" t="str">
        <f>"6934831517536752656"</f>
        <v>6934831517536752656</v>
      </c>
      <c r="F8024" s="1" t="str">
        <f t="shared" si="2303"/>
        <v>花都四部-凤凰仓</v>
      </c>
      <c r="G8024" s="1" t="str">
        <f t="shared" si="2306"/>
        <v>卡卡杜个人护理店（抖店）</v>
      </c>
      <c r="H8024" s="1" t="str">
        <f t="shared" si="2304"/>
        <v>正常订单</v>
      </c>
      <c r="I8024" s="1" t="str">
        <f t="shared" si="2305"/>
        <v>已发货</v>
      </c>
      <c r="J8024" s="1" t="str">
        <f t="shared" si="2307"/>
        <v>5</v>
      </c>
      <c r="K8024" s="1">
        <v>3</v>
      </c>
      <c r="L8024" s="1" t="s">
        <v>13</v>
      </c>
      <c r="M8024" s="1" t="str">
        <f>"江苏省 常州市 溧阳市 溧城街道"</f>
        <v>江苏省 常州市 溧阳市 溧城街道</v>
      </c>
      <c r="N8024" s="1" t="str">
        <f t="shared" si="2299"/>
        <v>凡华云仓-韵达-抖音</v>
      </c>
      <c r="O8024" s="5">
        <v>320166079263001</v>
      </c>
      <c r="P8024" s="6">
        <v>0.47</v>
      </c>
      <c r="Q8024" s="11">
        <v>2.2999999999999998</v>
      </c>
      <c r="R8024" s="11"/>
      <c r="S8024" s="11"/>
      <c r="T8024" s="11"/>
      <c r="U8024" s="11">
        <f t="shared" si="2301"/>
        <v>2.2999999999999998</v>
      </c>
      <c r="W8024">
        <v>2.5</v>
      </c>
      <c r="X8024" s="1" t="s">
        <v>13</v>
      </c>
    </row>
    <row r="8025" spans="1:24" x14ac:dyDescent="0.25">
      <c r="A8025" s="1" t="str">
        <f t="shared" si="2302"/>
        <v>卡卡杜-凤凰仓</v>
      </c>
      <c r="B8025" s="1" t="str">
        <f>"CK202410116362"</f>
        <v>CK202410116362</v>
      </c>
      <c r="C8025" s="1" t="str">
        <f>"DD2024101114871"</f>
        <v>DD2024101114871</v>
      </c>
      <c r="D8025" s="1" t="str">
        <f>"CK2024101117260"</f>
        <v>CK2024101117260</v>
      </c>
      <c r="E8025" s="1" t="str">
        <f>"6934849426182051034"</f>
        <v>6934849426182051034</v>
      </c>
      <c r="F8025" s="1" t="str">
        <f t="shared" si="2303"/>
        <v>花都四部-凤凰仓</v>
      </c>
      <c r="G8025" s="1" t="str">
        <f t="shared" si="2306"/>
        <v>卡卡杜个人护理店（抖店）</v>
      </c>
      <c r="H8025" s="1" t="str">
        <f t="shared" si="2304"/>
        <v>正常订单</v>
      </c>
      <c r="I8025" s="1" t="str">
        <f t="shared" si="2305"/>
        <v>已发货</v>
      </c>
      <c r="J8025" s="1" t="str">
        <f t="shared" si="2307"/>
        <v>5</v>
      </c>
      <c r="K8025" s="1">
        <v>3</v>
      </c>
      <c r="L8025" s="1" t="s">
        <v>109</v>
      </c>
      <c r="M8025" s="1" t="str">
        <f>"山西省 晋城市 城区 西街街道"</f>
        <v>山西省 晋城市 城区 西街街道</v>
      </c>
      <c r="N8025" s="1" t="str">
        <f t="shared" si="2299"/>
        <v>凡华云仓-韵达-抖音</v>
      </c>
      <c r="O8025" s="5">
        <v>320166079262981</v>
      </c>
      <c r="P8025" s="6">
        <v>0.47</v>
      </c>
      <c r="Q8025" s="11">
        <v>2.2999999999999998</v>
      </c>
      <c r="R8025" s="11"/>
      <c r="S8025" s="11"/>
      <c r="T8025" s="11"/>
      <c r="U8025" s="11">
        <f t="shared" si="2301"/>
        <v>2.2999999999999998</v>
      </c>
      <c r="W8025">
        <v>2.5</v>
      </c>
      <c r="X8025" s="1" t="s">
        <v>109</v>
      </c>
    </row>
    <row r="8026" spans="1:24" x14ac:dyDescent="0.25">
      <c r="A8026" s="1" t="str">
        <f t="shared" si="2302"/>
        <v>卡卡杜-凤凰仓</v>
      </c>
      <c r="B8026" s="1" t="str">
        <f>"CK202410116366"</f>
        <v>CK202410116366</v>
      </c>
      <c r="C8026" s="1" t="str">
        <f>"DD2024101114876"</f>
        <v>DD2024101114876</v>
      </c>
      <c r="D8026" s="1" t="str">
        <f>"CK2024101117259"</f>
        <v>CK2024101117259</v>
      </c>
      <c r="E8026" s="1" t="str">
        <f>"6934853742334186596"</f>
        <v>6934853742334186596</v>
      </c>
      <c r="F8026" s="1" t="str">
        <f t="shared" si="2303"/>
        <v>花都四部-凤凰仓</v>
      </c>
      <c r="G8026" s="1" t="str">
        <f t="shared" si="2306"/>
        <v>卡卡杜个人护理店（抖店）</v>
      </c>
      <c r="H8026" s="1" t="str">
        <f t="shared" si="2304"/>
        <v>正常订单</v>
      </c>
      <c r="I8026" s="1" t="str">
        <f t="shared" si="2305"/>
        <v>已发货</v>
      </c>
      <c r="J8026" s="1" t="str">
        <f t="shared" si="2307"/>
        <v>5</v>
      </c>
      <c r="K8026" s="1">
        <v>3</v>
      </c>
      <c r="L8026" s="1" t="s">
        <v>92</v>
      </c>
      <c r="M8026" s="1" t="str">
        <f>"辽宁省 鞍山市 立山区 立山街道"</f>
        <v>辽宁省 鞍山市 立山区 立山街道</v>
      </c>
      <c r="N8026" s="1" t="str">
        <f t="shared" si="2299"/>
        <v>凡华云仓-韵达-抖音</v>
      </c>
      <c r="O8026" s="5">
        <v>320166079262876</v>
      </c>
      <c r="P8026" s="6">
        <v>0.47</v>
      </c>
      <c r="Q8026" s="11">
        <v>2.2999999999999998</v>
      </c>
      <c r="R8026" s="11"/>
      <c r="S8026" s="11"/>
      <c r="T8026" s="11"/>
      <c r="U8026" s="11">
        <f t="shared" si="2301"/>
        <v>2.2999999999999998</v>
      </c>
      <c r="W8026">
        <v>2.5</v>
      </c>
      <c r="X8026" s="1" t="s">
        <v>92</v>
      </c>
    </row>
    <row r="8027" spans="1:24" x14ac:dyDescent="0.25">
      <c r="A8027" s="1" t="str">
        <f t="shared" si="2302"/>
        <v>卡卡杜-凤凰仓</v>
      </c>
      <c r="B8027" s="1" t="str">
        <f>"CK202410116376"</f>
        <v>CK202410116376</v>
      </c>
      <c r="C8027" s="1" t="str">
        <f>"DD2024101114884"</f>
        <v>DD2024101114884</v>
      </c>
      <c r="D8027" s="1" t="str">
        <f>"CK2024101117258"</f>
        <v>CK2024101117258</v>
      </c>
      <c r="E8027" s="1" t="str">
        <f>"6934851764351670108"</f>
        <v>6934851764351670108</v>
      </c>
      <c r="F8027" s="1" t="str">
        <f t="shared" si="2303"/>
        <v>花都四部-凤凰仓</v>
      </c>
      <c r="G8027" s="1" t="str">
        <f t="shared" si="2306"/>
        <v>卡卡杜个人护理店（抖店）</v>
      </c>
      <c r="H8027" s="1" t="str">
        <f t="shared" si="2304"/>
        <v>正常订单</v>
      </c>
      <c r="I8027" s="1" t="str">
        <f t="shared" si="2305"/>
        <v>已发货</v>
      </c>
      <c r="J8027" s="1" t="str">
        <f t="shared" si="2307"/>
        <v>5</v>
      </c>
      <c r="K8027" s="1">
        <v>3</v>
      </c>
      <c r="L8027" s="1" t="s">
        <v>16</v>
      </c>
      <c r="M8027" s="1" t="str">
        <f>"河北省 唐山市 路北区 "</f>
        <v xml:space="preserve">河北省 唐山市 路北区 </v>
      </c>
      <c r="N8027" s="1" t="str">
        <f t="shared" si="2299"/>
        <v>凡华云仓-韵达-抖音</v>
      </c>
      <c r="O8027" s="5">
        <v>320166079262773</v>
      </c>
      <c r="P8027" s="6">
        <v>0.47</v>
      </c>
      <c r="Q8027" s="11">
        <v>2.2999999999999998</v>
      </c>
      <c r="R8027" s="11"/>
      <c r="S8027" s="11"/>
      <c r="T8027" s="11"/>
      <c r="U8027" s="11">
        <f t="shared" si="2301"/>
        <v>2.2999999999999998</v>
      </c>
      <c r="W8027">
        <v>2.5</v>
      </c>
      <c r="X8027" s="1" t="s">
        <v>16</v>
      </c>
    </row>
    <row r="8028" spans="1:24" x14ac:dyDescent="0.25">
      <c r="A8028" s="1" t="str">
        <f t="shared" si="2302"/>
        <v>卡卡杜-凤凰仓</v>
      </c>
      <c r="B8028" s="1" t="str">
        <f>"CK202410116337"</f>
        <v>CK202410116337</v>
      </c>
      <c r="C8028" s="1" t="str">
        <f>"DD2024101114845"</f>
        <v>DD2024101114845</v>
      </c>
      <c r="D8028" s="1" t="str">
        <f>"CK2024101117257"</f>
        <v>CK2024101117257</v>
      </c>
      <c r="E8028" s="1" t="str">
        <f>"6934838540017210990"</f>
        <v>6934838540017210990</v>
      </c>
      <c r="F8028" s="1" t="str">
        <f t="shared" si="2303"/>
        <v>花都四部-凤凰仓</v>
      </c>
      <c r="G8028" s="1" t="str">
        <f t="shared" si="2306"/>
        <v>卡卡杜个人护理店（抖店）</v>
      </c>
      <c r="H8028" s="1" t="str">
        <f t="shared" si="2304"/>
        <v>正常订单</v>
      </c>
      <c r="I8028" s="1" t="str">
        <f t="shared" si="2305"/>
        <v>已发货</v>
      </c>
      <c r="J8028" s="1" t="str">
        <f t="shared" si="2307"/>
        <v>5</v>
      </c>
      <c r="K8028" s="1">
        <v>3</v>
      </c>
      <c r="L8028" s="1" t="s">
        <v>80</v>
      </c>
      <c r="M8028" s="1" t="str">
        <f>"河南省 安阳市 文峰区 东关街道"</f>
        <v>河南省 安阳市 文峰区 东关街道</v>
      </c>
      <c r="N8028" s="1" t="str">
        <f t="shared" si="2299"/>
        <v>凡华云仓-韵达-抖音</v>
      </c>
      <c r="O8028" s="5">
        <v>320166079262672</v>
      </c>
      <c r="P8028" s="6">
        <v>0.47</v>
      </c>
      <c r="Q8028" s="11">
        <v>2.2999999999999998</v>
      </c>
      <c r="R8028" s="11"/>
      <c r="S8028" s="11"/>
      <c r="T8028" s="11"/>
      <c r="U8028" s="11">
        <f t="shared" si="2301"/>
        <v>2.2999999999999998</v>
      </c>
      <c r="W8028">
        <v>2.5</v>
      </c>
      <c r="X8028" s="1" t="s">
        <v>80</v>
      </c>
    </row>
    <row r="8029" spans="1:24" x14ac:dyDescent="0.25">
      <c r="A8029" s="1" t="str">
        <f t="shared" si="2302"/>
        <v>卡卡杜-凤凰仓</v>
      </c>
      <c r="B8029" s="1" t="str">
        <f>"CK202410116342"</f>
        <v>CK202410116342</v>
      </c>
      <c r="C8029" s="1" t="str">
        <f>"DD2024101114851"</f>
        <v>DD2024101114851</v>
      </c>
      <c r="D8029" s="1" t="str">
        <f>"CK2024101117256"</f>
        <v>CK2024101117256</v>
      </c>
      <c r="E8029" s="1" t="str">
        <f>"6934822523136513321"</f>
        <v>6934822523136513321</v>
      </c>
      <c r="F8029" s="1" t="str">
        <f t="shared" si="2303"/>
        <v>花都四部-凤凰仓</v>
      </c>
      <c r="G8029" s="1" t="str">
        <f t="shared" si="2306"/>
        <v>卡卡杜个人护理店（抖店）</v>
      </c>
      <c r="H8029" s="1" t="str">
        <f t="shared" si="2304"/>
        <v>正常订单</v>
      </c>
      <c r="I8029" s="1" t="str">
        <f t="shared" si="2305"/>
        <v>已发货</v>
      </c>
      <c r="J8029" s="1" t="str">
        <f t="shared" si="2307"/>
        <v>5</v>
      </c>
      <c r="K8029" s="1">
        <v>3</v>
      </c>
      <c r="L8029" s="1" t="s">
        <v>161</v>
      </c>
      <c r="M8029" s="1" t="str">
        <f>"四川省 成都市 温江区 柳城街道"</f>
        <v>四川省 成都市 温江区 柳城街道</v>
      </c>
      <c r="N8029" s="1" t="str">
        <f t="shared" si="2299"/>
        <v>凡华云仓-韵达-抖音</v>
      </c>
      <c r="O8029" s="5">
        <v>320166079262573</v>
      </c>
      <c r="P8029" s="6">
        <v>0.47</v>
      </c>
      <c r="Q8029" s="11">
        <v>2.2999999999999998</v>
      </c>
      <c r="R8029" s="11"/>
      <c r="S8029" s="11"/>
      <c r="T8029" s="11"/>
      <c r="U8029" s="11">
        <f t="shared" si="2301"/>
        <v>2.2999999999999998</v>
      </c>
      <c r="W8029">
        <v>2.5</v>
      </c>
      <c r="X8029" s="1" t="s">
        <v>161</v>
      </c>
    </row>
    <row r="8030" spans="1:24" x14ac:dyDescent="0.25">
      <c r="A8030" s="1" t="str">
        <f t="shared" si="2302"/>
        <v>卡卡杜-凤凰仓</v>
      </c>
      <c r="B8030" s="1" t="str">
        <f>"CK202410116344"</f>
        <v>CK202410116344</v>
      </c>
      <c r="C8030" s="1" t="str">
        <f>"DD2024101114854"</f>
        <v>DD2024101114854</v>
      </c>
      <c r="D8030" s="1" t="str">
        <f>"CK2024101117255"</f>
        <v>CK2024101117255</v>
      </c>
      <c r="E8030" s="1" t="str">
        <f>"6934843283349510098"</f>
        <v>6934843283349510098</v>
      </c>
      <c r="F8030" s="1" t="str">
        <f t="shared" si="2303"/>
        <v>花都四部-凤凰仓</v>
      </c>
      <c r="G8030" s="1" t="str">
        <f t="shared" si="2306"/>
        <v>卡卡杜个人护理店（抖店）</v>
      </c>
      <c r="H8030" s="1" t="str">
        <f t="shared" si="2304"/>
        <v>正常订单</v>
      </c>
      <c r="I8030" s="1" t="str">
        <f t="shared" si="2305"/>
        <v>已发货</v>
      </c>
      <c r="J8030" s="1" t="str">
        <f t="shared" si="2307"/>
        <v>5</v>
      </c>
      <c r="K8030" s="1">
        <v>3</v>
      </c>
      <c r="L8030" s="1" t="s">
        <v>20</v>
      </c>
      <c r="M8030" s="1" t="str">
        <f>"浙江省 宁波市 慈溪市 庵东镇"</f>
        <v>浙江省 宁波市 慈溪市 庵东镇</v>
      </c>
      <c r="N8030" s="1" t="str">
        <f t="shared" si="2299"/>
        <v>凡华云仓-韵达-抖音</v>
      </c>
      <c r="O8030" s="5">
        <v>320166079262476</v>
      </c>
      <c r="P8030" s="6">
        <v>0.47</v>
      </c>
      <c r="Q8030" s="11">
        <v>2.2999999999999998</v>
      </c>
      <c r="R8030" s="11"/>
      <c r="S8030" s="11"/>
      <c r="T8030" s="11"/>
      <c r="U8030" s="11">
        <f t="shared" si="2301"/>
        <v>2.2999999999999998</v>
      </c>
      <c r="W8030">
        <v>2.5</v>
      </c>
      <c r="X8030" s="1" t="s">
        <v>20</v>
      </c>
    </row>
    <row r="8031" spans="1:24" x14ac:dyDescent="0.25">
      <c r="A8031" s="1" t="str">
        <f t="shared" si="2302"/>
        <v>卡卡杜-凤凰仓</v>
      </c>
      <c r="B8031" s="1" t="str">
        <f>"CK202410116347"</f>
        <v>CK202410116347</v>
      </c>
      <c r="C8031" s="1" t="str">
        <f>"DD2024101114856"</f>
        <v>DD2024101114856</v>
      </c>
      <c r="D8031" s="1" t="str">
        <f>"CK2024101117254"</f>
        <v>CK2024101117254</v>
      </c>
      <c r="E8031" s="1" t="str">
        <f>"6934831510951040098"</f>
        <v>6934831510951040098</v>
      </c>
      <c r="F8031" s="1" t="str">
        <f t="shared" si="2303"/>
        <v>花都四部-凤凰仓</v>
      </c>
      <c r="G8031" s="1" t="str">
        <f t="shared" si="2306"/>
        <v>卡卡杜个人护理店（抖店）</v>
      </c>
      <c r="H8031" s="1" t="str">
        <f t="shared" si="2304"/>
        <v>正常订单</v>
      </c>
      <c r="I8031" s="1" t="str">
        <f t="shared" si="2305"/>
        <v>已发货</v>
      </c>
      <c r="J8031" s="1" t="str">
        <f t="shared" si="2307"/>
        <v>5</v>
      </c>
      <c r="K8031" s="1">
        <v>3</v>
      </c>
      <c r="L8031" s="1" t="s">
        <v>74</v>
      </c>
      <c r="M8031" s="1" t="str">
        <f>"上海 上海市 普陀区 桃浦镇"</f>
        <v>上海 上海市 普陀区 桃浦镇</v>
      </c>
      <c r="N8031" s="1" t="str">
        <f t="shared" si="2299"/>
        <v>凡华云仓-韵达-抖音</v>
      </c>
      <c r="O8031" s="5">
        <v>320166079262381</v>
      </c>
      <c r="P8031" s="6">
        <v>0.47</v>
      </c>
      <c r="Q8031" s="11">
        <v>2.2999999999999998</v>
      </c>
      <c r="R8031" s="11"/>
      <c r="S8031" s="11"/>
      <c r="T8031" s="11"/>
      <c r="U8031" s="11">
        <f t="shared" si="2301"/>
        <v>2.2999999999999998</v>
      </c>
      <c r="W8031">
        <v>2.5</v>
      </c>
      <c r="X8031" s="1" t="s">
        <v>74</v>
      </c>
    </row>
    <row r="8032" spans="1:24" x14ac:dyDescent="0.25">
      <c r="A8032" s="1" t="str">
        <f t="shared" si="2302"/>
        <v>卡卡杜-凤凰仓</v>
      </c>
      <c r="B8032" s="1" t="str">
        <f>"CK202410116350"</f>
        <v>CK202410116350</v>
      </c>
      <c r="C8032" s="1" t="str">
        <f>"DD2024101114859"</f>
        <v>DD2024101114859</v>
      </c>
      <c r="D8032" s="1" t="str">
        <f>"CK2024101117253"</f>
        <v>CK2024101117253</v>
      </c>
      <c r="E8032" s="1" t="str">
        <f>"6934849474860422800"</f>
        <v>6934849474860422800</v>
      </c>
      <c r="F8032" s="1" t="str">
        <f t="shared" si="2303"/>
        <v>花都四部-凤凰仓</v>
      </c>
      <c r="G8032" s="1" t="str">
        <f t="shared" si="2306"/>
        <v>卡卡杜个人护理店（抖店）</v>
      </c>
      <c r="H8032" s="1" t="str">
        <f t="shared" si="2304"/>
        <v>正常订单</v>
      </c>
      <c r="I8032" s="1" t="str">
        <f t="shared" si="2305"/>
        <v>已发货</v>
      </c>
      <c r="J8032" s="1" t="str">
        <f t="shared" si="2307"/>
        <v>5</v>
      </c>
      <c r="K8032" s="1">
        <v>3</v>
      </c>
      <c r="L8032" s="1" t="s">
        <v>32</v>
      </c>
      <c r="M8032" s="1" t="str">
        <f>"陕西省 西安市 雁塔区 电子城街道"</f>
        <v>陕西省 西安市 雁塔区 电子城街道</v>
      </c>
      <c r="N8032" s="1" t="str">
        <f t="shared" si="2299"/>
        <v>凡华云仓-韵达-抖音</v>
      </c>
      <c r="O8032" s="5">
        <v>320166071384574</v>
      </c>
      <c r="P8032" s="6">
        <v>0.47</v>
      </c>
      <c r="Q8032" s="11">
        <v>2.2999999999999998</v>
      </c>
      <c r="R8032" s="11"/>
      <c r="S8032" s="11"/>
      <c r="T8032" s="11"/>
      <c r="U8032" s="11">
        <f t="shared" si="2301"/>
        <v>2.2999999999999998</v>
      </c>
      <c r="W8032">
        <v>2.5</v>
      </c>
      <c r="X8032" s="1" t="s">
        <v>32</v>
      </c>
    </row>
    <row r="8033" spans="1:24" x14ac:dyDescent="0.25">
      <c r="A8033" s="1" t="str">
        <f t="shared" si="2302"/>
        <v>卡卡杜-凤凰仓</v>
      </c>
      <c r="B8033" s="1" t="str">
        <f>"CK202410116364"</f>
        <v>CK202410116364</v>
      </c>
      <c r="C8033" s="1" t="str">
        <f>"DD2024101114872"</f>
        <v>DD2024101114872</v>
      </c>
      <c r="D8033" s="1" t="str">
        <f>"CK2024101117252"</f>
        <v>CK2024101117252</v>
      </c>
      <c r="E8033" s="1" t="str">
        <f>"6917553953044528970"</f>
        <v>6917553953044528970</v>
      </c>
      <c r="F8033" s="1" t="str">
        <f t="shared" si="2303"/>
        <v>花都四部-凤凰仓</v>
      </c>
      <c r="G8033" s="1" t="str">
        <f t="shared" si="2306"/>
        <v>卡卡杜个人护理店（抖店）</v>
      </c>
      <c r="H8033" s="1" t="str">
        <f t="shared" si="2304"/>
        <v>正常订单</v>
      </c>
      <c r="I8033" s="1" t="str">
        <f t="shared" si="2305"/>
        <v>已发货</v>
      </c>
      <c r="J8033" s="1" t="str">
        <f t="shared" si="2307"/>
        <v>5</v>
      </c>
      <c r="K8033" s="1">
        <v>3</v>
      </c>
      <c r="L8033" s="1" t="s">
        <v>47</v>
      </c>
      <c r="M8033" s="1" t="str">
        <f>"重庆 重庆市 渝北区 双龙湖街道"</f>
        <v>重庆 重庆市 渝北区 双龙湖街道</v>
      </c>
      <c r="N8033" s="1" t="str">
        <f t="shared" si="2299"/>
        <v>凡华云仓-韵达-抖音</v>
      </c>
      <c r="O8033" s="5">
        <v>320166071384477</v>
      </c>
      <c r="P8033" s="6">
        <v>0.47</v>
      </c>
      <c r="Q8033" s="11">
        <v>2.2999999999999998</v>
      </c>
      <c r="R8033" s="11"/>
      <c r="S8033" s="11"/>
      <c r="T8033" s="11"/>
      <c r="U8033" s="11">
        <f t="shared" si="2301"/>
        <v>2.2999999999999998</v>
      </c>
      <c r="W8033">
        <v>2.5</v>
      </c>
      <c r="X8033" s="1" t="s">
        <v>47</v>
      </c>
    </row>
    <row r="8034" spans="1:24" x14ac:dyDescent="0.25">
      <c r="A8034" s="1" t="str">
        <f t="shared" si="2302"/>
        <v>卡卡杜-凤凰仓</v>
      </c>
      <c r="B8034" s="1" t="str">
        <f>"CK202410116371"</f>
        <v>CK202410116371</v>
      </c>
      <c r="C8034" s="1" t="str">
        <f>"DD2024101114878"</f>
        <v>DD2024101114878</v>
      </c>
      <c r="D8034" s="1" t="str">
        <f>"CK2024101117251"</f>
        <v>CK2024101117251</v>
      </c>
      <c r="E8034" s="1" t="str">
        <f>"6934845434505074056"</f>
        <v>6934845434505074056</v>
      </c>
      <c r="F8034" s="1" t="str">
        <f t="shared" si="2303"/>
        <v>花都四部-凤凰仓</v>
      </c>
      <c r="G8034" s="1" t="str">
        <f t="shared" si="2306"/>
        <v>卡卡杜个人护理店（抖店）</v>
      </c>
      <c r="H8034" s="1" t="str">
        <f t="shared" si="2304"/>
        <v>正常订单</v>
      </c>
      <c r="I8034" s="1" t="str">
        <f t="shared" si="2305"/>
        <v>已发货</v>
      </c>
      <c r="J8034" s="1" t="str">
        <f t="shared" si="2307"/>
        <v>5</v>
      </c>
      <c r="K8034" s="1">
        <v>3</v>
      </c>
      <c r="L8034" s="1" t="s">
        <v>32</v>
      </c>
      <c r="M8034" s="1" t="str">
        <f>"陕西省 西安市 高陵区 泾渭街道"</f>
        <v>陕西省 西安市 高陵区 泾渭街道</v>
      </c>
      <c r="N8034" s="1" t="str">
        <f t="shared" si="2299"/>
        <v>凡华云仓-韵达-抖音</v>
      </c>
      <c r="O8034" s="5">
        <v>320166071384382</v>
      </c>
      <c r="P8034" s="6">
        <v>0.47</v>
      </c>
      <c r="Q8034" s="11">
        <v>2.2999999999999998</v>
      </c>
      <c r="R8034" s="11"/>
      <c r="S8034" s="11"/>
      <c r="T8034" s="11"/>
      <c r="U8034" s="11">
        <f t="shared" si="2301"/>
        <v>2.2999999999999998</v>
      </c>
      <c r="W8034">
        <v>2.5</v>
      </c>
      <c r="X8034" s="1" t="s">
        <v>32</v>
      </c>
    </row>
    <row r="8035" spans="1:24" x14ac:dyDescent="0.25">
      <c r="A8035" s="1" t="str">
        <f t="shared" si="2302"/>
        <v>卡卡杜-凤凰仓</v>
      </c>
      <c r="B8035" s="1" t="str">
        <f>"CK202410116369"</f>
        <v>CK202410116369</v>
      </c>
      <c r="C8035" s="1" t="str">
        <f>"DD2024101114881"</f>
        <v>DD2024101114881</v>
      </c>
      <c r="D8035" s="1" t="str">
        <f>"CK2024101117250"</f>
        <v>CK2024101117250</v>
      </c>
      <c r="E8035" s="1" t="str">
        <f>"6934845343117023186"</f>
        <v>6934845343117023186</v>
      </c>
      <c r="F8035" s="1" t="str">
        <f t="shared" si="2303"/>
        <v>花都四部-凤凰仓</v>
      </c>
      <c r="G8035" s="1" t="str">
        <f t="shared" si="2306"/>
        <v>卡卡杜个人护理店（抖店）</v>
      </c>
      <c r="H8035" s="1" t="str">
        <f t="shared" si="2304"/>
        <v>正常订单</v>
      </c>
      <c r="I8035" s="1" t="str">
        <f t="shared" si="2305"/>
        <v>已发货</v>
      </c>
      <c r="J8035" s="1" t="str">
        <f t="shared" si="2307"/>
        <v>5</v>
      </c>
      <c r="K8035" s="1">
        <v>3</v>
      </c>
      <c r="L8035" s="1" t="s">
        <v>24</v>
      </c>
      <c r="M8035" s="1" t="str">
        <f>"福建省 福州市 连江县 凤城镇"</f>
        <v>福建省 福州市 连江县 凤城镇</v>
      </c>
      <c r="N8035" s="1" t="str">
        <f t="shared" si="2299"/>
        <v>凡华云仓-韵达-抖音</v>
      </c>
      <c r="O8035" s="5">
        <v>320166071384289</v>
      </c>
      <c r="P8035" s="6">
        <v>0.47</v>
      </c>
      <c r="Q8035" s="11">
        <v>2.2999999999999998</v>
      </c>
      <c r="R8035" s="11"/>
      <c r="S8035" s="11"/>
      <c r="T8035" s="11"/>
      <c r="U8035" s="11">
        <f t="shared" si="2301"/>
        <v>2.2999999999999998</v>
      </c>
      <c r="W8035">
        <v>2.5</v>
      </c>
      <c r="X8035" s="1" t="s">
        <v>24</v>
      </c>
    </row>
    <row r="8036" spans="1:24" x14ac:dyDescent="0.25">
      <c r="A8036" s="1" t="str">
        <f t="shared" si="2302"/>
        <v>卡卡杜-凤凰仓</v>
      </c>
      <c r="B8036" s="1" t="str">
        <f>"CK202410116378"</f>
        <v>CK202410116378</v>
      </c>
      <c r="C8036" s="1" t="str">
        <f>"DD2024101114888"</f>
        <v>DD2024101114888</v>
      </c>
      <c r="D8036" s="1" t="str">
        <f>"CK2024101117249"</f>
        <v>CK2024101117249</v>
      </c>
      <c r="E8036" s="1" t="str">
        <f>"6934829599150970518"</f>
        <v>6934829599150970518</v>
      </c>
      <c r="F8036" s="1" t="str">
        <f t="shared" si="2303"/>
        <v>花都四部-凤凰仓</v>
      </c>
      <c r="G8036" s="1" t="str">
        <f t="shared" si="2306"/>
        <v>卡卡杜个人护理店（抖店）</v>
      </c>
      <c r="H8036" s="1" t="str">
        <f t="shared" si="2304"/>
        <v>正常订单</v>
      </c>
      <c r="I8036" s="1" t="str">
        <f t="shared" si="2305"/>
        <v>已发货</v>
      </c>
      <c r="J8036" s="1" t="str">
        <f t="shared" si="2307"/>
        <v>5</v>
      </c>
      <c r="K8036" s="1">
        <v>3</v>
      </c>
      <c r="L8036" s="1" t="s">
        <v>187</v>
      </c>
      <c r="M8036" s="1" t="str">
        <f>"吉林省 长春市 宽城区 柳影街道"</f>
        <v>吉林省 长春市 宽城区 柳影街道</v>
      </c>
      <c r="N8036" s="1" t="str">
        <f t="shared" si="2299"/>
        <v>凡华云仓-韵达-抖音</v>
      </c>
      <c r="O8036" s="5">
        <v>320166071384198</v>
      </c>
      <c r="P8036" s="6">
        <v>0.47</v>
      </c>
      <c r="Q8036" s="11">
        <v>2.2999999999999998</v>
      </c>
      <c r="R8036" s="11"/>
      <c r="S8036" s="11"/>
      <c r="T8036" s="11"/>
      <c r="U8036" s="11">
        <f t="shared" si="2301"/>
        <v>2.2999999999999998</v>
      </c>
      <c r="W8036">
        <v>2.5</v>
      </c>
      <c r="X8036" s="1" t="s">
        <v>187</v>
      </c>
    </row>
    <row r="8037" spans="1:24" x14ac:dyDescent="0.25">
      <c r="A8037" s="1" t="str">
        <f t="shared" si="2302"/>
        <v>卡卡杜-凤凰仓</v>
      </c>
      <c r="B8037" s="1" t="str">
        <f>"CK202410116383"</f>
        <v>CK202410116383</v>
      </c>
      <c r="C8037" s="1" t="str">
        <f>"DD2024101114894"</f>
        <v>DD2024101114894</v>
      </c>
      <c r="D8037" s="1" t="str">
        <f>"CK2024101117248"</f>
        <v>CK2024101117248</v>
      </c>
      <c r="E8037" s="1" t="str">
        <f>"6934836270776194354"</f>
        <v>6934836270776194354</v>
      </c>
      <c r="F8037" s="1" t="str">
        <f t="shared" si="2303"/>
        <v>花都四部-凤凰仓</v>
      </c>
      <c r="G8037" s="1" t="str">
        <f t="shared" si="2306"/>
        <v>卡卡杜个人护理店（抖店）</v>
      </c>
      <c r="H8037" s="1" t="str">
        <f t="shared" si="2304"/>
        <v>正常订单</v>
      </c>
      <c r="I8037" s="1" t="str">
        <f t="shared" si="2305"/>
        <v>已发货</v>
      </c>
      <c r="J8037" s="1" t="str">
        <f t="shared" si="2307"/>
        <v>5</v>
      </c>
      <c r="K8037" s="1">
        <v>3</v>
      </c>
      <c r="L8037" s="1" t="s">
        <v>80</v>
      </c>
      <c r="M8037" s="1" t="str">
        <f>"河南省 周口市 沈丘县 槐店回族镇"</f>
        <v>河南省 周口市 沈丘县 槐店回族镇</v>
      </c>
      <c r="N8037" s="1" t="str">
        <f t="shared" si="2299"/>
        <v>凡华云仓-韵达-抖音</v>
      </c>
      <c r="O8037" s="5">
        <v>320166071384009</v>
      </c>
      <c r="P8037" s="6">
        <v>0.47</v>
      </c>
      <c r="Q8037" s="11">
        <v>2.2999999999999998</v>
      </c>
      <c r="R8037" s="11"/>
      <c r="S8037" s="11"/>
      <c r="T8037" s="11"/>
      <c r="U8037" s="11">
        <f t="shared" si="2301"/>
        <v>2.2999999999999998</v>
      </c>
      <c r="W8037">
        <v>2.5</v>
      </c>
      <c r="X8037" s="1" t="s">
        <v>80</v>
      </c>
    </row>
    <row r="8038" spans="1:24" x14ac:dyDescent="0.25">
      <c r="A8038" s="1" t="str">
        <f t="shared" si="2302"/>
        <v>卡卡杜-凤凰仓</v>
      </c>
      <c r="B8038" s="1" t="str">
        <f>"CK202410116387"</f>
        <v>CK202410116387</v>
      </c>
      <c r="C8038" s="1" t="str">
        <f>"DD2024101114895"</f>
        <v>DD2024101114895</v>
      </c>
      <c r="D8038" s="1" t="str">
        <f>"CK2024101117247"</f>
        <v>CK2024101117247</v>
      </c>
      <c r="E8038" s="1" t="str">
        <f>"6934847529493272542"</f>
        <v>6934847529493272542</v>
      </c>
      <c r="F8038" s="1" t="str">
        <f t="shared" si="2303"/>
        <v>花都四部-凤凰仓</v>
      </c>
      <c r="G8038" s="1" t="str">
        <f t="shared" si="2306"/>
        <v>卡卡杜个人护理店（抖店）</v>
      </c>
      <c r="H8038" s="1" t="str">
        <f t="shared" si="2304"/>
        <v>正常订单</v>
      </c>
      <c r="I8038" s="1" t="str">
        <f t="shared" si="2305"/>
        <v>已发货</v>
      </c>
      <c r="J8038" s="1" t="str">
        <f t="shared" si="2307"/>
        <v>5</v>
      </c>
      <c r="K8038" s="1">
        <v>3</v>
      </c>
      <c r="L8038" s="1" t="s">
        <v>16</v>
      </c>
      <c r="M8038" s="1" t="str">
        <f>"河北省 邯郸市 武安市 武安镇"</f>
        <v>河北省 邯郸市 武安市 武安镇</v>
      </c>
      <c r="N8038" s="1" t="str">
        <f t="shared" si="2299"/>
        <v>凡华云仓-韵达-抖音</v>
      </c>
      <c r="O8038" s="5">
        <v>320166071383987</v>
      </c>
      <c r="P8038" s="6">
        <v>0.47</v>
      </c>
      <c r="Q8038" s="11">
        <v>2.2999999999999998</v>
      </c>
      <c r="R8038" s="11"/>
      <c r="S8038" s="11"/>
      <c r="T8038" s="11"/>
      <c r="U8038" s="11">
        <f t="shared" si="2301"/>
        <v>2.2999999999999998</v>
      </c>
      <c r="W8038">
        <v>2.5</v>
      </c>
      <c r="X8038" s="1" t="s">
        <v>16</v>
      </c>
    </row>
    <row r="8039" spans="1:24" x14ac:dyDescent="0.25">
      <c r="A8039" s="1" t="str">
        <f t="shared" si="2302"/>
        <v>卡卡杜-凤凰仓</v>
      </c>
      <c r="B8039" s="1" t="str">
        <f>"CK202410116385"</f>
        <v>CK202410116385</v>
      </c>
      <c r="C8039" s="1" t="str">
        <f>"DD2024101114898"</f>
        <v>DD2024101114898</v>
      </c>
      <c r="D8039" s="1" t="str">
        <f>"CK2024101117246"</f>
        <v>CK2024101117246</v>
      </c>
      <c r="E8039" s="1" t="str">
        <f>"6934849371924141073"</f>
        <v>6934849371924141073</v>
      </c>
      <c r="F8039" s="1" t="str">
        <f t="shared" si="2303"/>
        <v>花都四部-凤凰仓</v>
      </c>
      <c r="G8039" s="1" t="str">
        <f t="shared" si="2306"/>
        <v>卡卡杜个人护理店（抖店）</v>
      </c>
      <c r="H8039" s="1" t="str">
        <f t="shared" si="2304"/>
        <v>正常订单</v>
      </c>
      <c r="I8039" s="1" t="str">
        <f t="shared" si="2305"/>
        <v>已发货</v>
      </c>
      <c r="J8039" s="1" t="str">
        <f t="shared" si="2307"/>
        <v>5</v>
      </c>
      <c r="K8039" s="1">
        <v>3</v>
      </c>
      <c r="L8039" s="1" t="s">
        <v>80</v>
      </c>
      <c r="M8039" s="1" t="str">
        <f>"河南省 商丘市 民权县 绿洲街道"</f>
        <v>河南省 商丘市 民权县 绿洲街道</v>
      </c>
      <c r="N8039" s="1" t="str">
        <f t="shared" si="2299"/>
        <v>凡华云仓-韵达-抖音</v>
      </c>
      <c r="O8039" s="5">
        <v>320166071383882</v>
      </c>
      <c r="P8039" s="6">
        <v>0.47</v>
      </c>
      <c r="Q8039" s="11">
        <v>2.2999999999999998</v>
      </c>
      <c r="R8039" s="11"/>
      <c r="S8039" s="11"/>
      <c r="T8039" s="11"/>
      <c r="U8039" s="11">
        <f t="shared" si="2301"/>
        <v>2.2999999999999998</v>
      </c>
      <c r="W8039">
        <v>2.5</v>
      </c>
      <c r="X8039" s="1" t="s">
        <v>80</v>
      </c>
    </row>
    <row r="8040" spans="1:24" x14ac:dyDescent="0.25">
      <c r="A8040" s="1" t="str">
        <f t="shared" si="2302"/>
        <v>卡卡杜-凤凰仓</v>
      </c>
      <c r="B8040" s="1" t="str">
        <f>"CK202410116154"</f>
        <v>CK202410116154</v>
      </c>
      <c r="C8040" s="1" t="str">
        <f>"DD2024101114662"</f>
        <v>DD2024101114662</v>
      </c>
      <c r="D8040" s="1" t="str">
        <f>"CK2024101117245"</f>
        <v>CK2024101117245</v>
      </c>
      <c r="E8040" s="1" t="str">
        <f>"6934853734475764820"</f>
        <v>6934853734475764820</v>
      </c>
      <c r="F8040" s="1" t="str">
        <f t="shared" si="2303"/>
        <v>花都四部-凤凰仓</v>
      </c>
      <c r="G8040" s="1" t="str">
        <f t="shared" si="2306"/>
        <v>卡卡杜个人护理店（抖店）</v>
      </c>
      <c r="H8040" s="1" t="str">
        <f t="shared" si="2304"/>
        <v>正常订单</v>
      </c>
      <c r="I8040" s="1" t="str">
        <f t="shared" si="2305"/>
        <v>已发货</v>
      </c>
      <c r="J8040" s="1" t="str">
        <f t="shared" si="2307"/>
        <v>5</v>
      </c>
      <c r="K8040" s="1">
        <v>3</v>
      </c>
      <c r="L8040" s="1" t="s">
        <v>13</v>
      </c>
      <c r="M8040" s="1" t="str">
        <f>"江苏省 常州市 新北区 薛家镇"</f>
        <v>江苏省 常州市 新北区 薛家镇</v>
      </c>
      <c r="N8040" s="1" t="str">
        <f t="shared" si="2299"/>
        <v>凡华云仓-韵达-抖音</v>
      </c>
      <c r="O8040" s="5">
        <v>320166071383779</v>
      </c>
      <c r="P8040" s="6">
        <v>0.47</v>
      </c>
      <c r="Q8040" s="11">
        <v>2.2999999999999998</v>
      </c>
      <c r="R8040" s="11"/>
      <c r="S8040" s="11"/>
      <c r="T8040" s="11"/>
      <c r="U8040" s="11">
        <f t="shared" si="2301"/>
        <v>2.2999999999999998</v>
      </c>
      <c r="W8040">
        <v>2.5</v>
      </c>
      <c r="X8040" s="1" t="s">
        <v>13</v>
      </c>
    </row>
    <row r="8041" spans="1:24" x14ac:dyDescent="0.25">
      <c r="A8041" s="1" t="str">
        <f t="shared" si="2302"/>
        <v>卡卡杜-凤凰仓</v>
      </c>
      <c r="B8041" s="1" t="str">
        <f>"CK202410116352"</f>
        <v>CK202410116352</v>
      </c>
      <c r="C8041" s="1" t="str">
        <f>"DD2024101114860"</f>
        <v>DD2024101114860</v>
      </c>
      <c r="D8041" s="1" t="str">
        <f>"CK2024101117244"</f>
        <v>CK2024101117244</v>
      </c>
      <c r="E8041" s="1" t="str">
        <f>"6934849446802167112"</f>
        <v>6934849446802167112</v>
      </c>
      <c r="F8041" s="1" t="str">
        <f t="shared" si="2303"/>
        <v>花都四部-凤凰仓</v>
      </c>
      <c r="G8041" s="1" t="str">
        <f t="shared" si="2306"/>
        <v>卡卡杜个人护理店（抖店）</v>
      </c>
      <c r="H8041" s="1" t="str">
        <f t="shared" si="2304"/>
        <v>正常订单</v>
      </c>
      <c r="I8041" s="1" t="str">
        <f t="shared" si="2305"/>
        <v>已发货</v>
      </c>
      <c r="J8041" s="1" t="str">
        <f t="shared" si="2307"/>
        <v>5</v>
      </c>
      <c r="K8041" s="1">
        <v>3</v>
      </c>
      <c r="L8041" s="1" t="s">
        <v>20</v>
      </c>
      <c r="M8041" s="1" t="str">
        <f>"浙江省 宁波市 鄞州区 东柳街道"</f>
        <v>浙江省 宁波市 鄞州区 东柳街道</v>
      </c>
      <c r="N8041" s="1" t="str">
        <f t="shared" si="2299"/>
        <v>凡华云仓-韵达-抖音</v>
      </c>
      <c r="O8041" s="5">
        <v>320166071383678</v>
      </c>
      <c r="P8041" s="6">
        <v>0.47</v>
      </c>
      <c r="Q8041" s="11">
        <v>2.2999999999999998</v>
      </c>
      <c r="R8041" s="11"/>
      <c r="S8041" s="11"/>
      <c r="T8041" s="11"/>
      <c r="U8041" s="11">
        <f t="shared" si="2301"/>
        <v>2.2999999999999998</v>
      </c>
      <c r="W8041">
        <v>2.5</v>
      </c>
      <c r="X8041" s="1" t="s">
        <v>20</v>
      </c>
    </row>
    <row r="8042" spans="1:24" x14ac:dyDescent="0.25">
      <c r="A8042" s="1" t="str">
        <f t="shared" si="2302"/>
        <v>卡卡杜-凤凰仓</v>
      </c>
      <c r="B8042" s="1" t="str">
        <f>"CK202410116359"</f>
        <v>CK202410116359</v>
      </c>
      <c r="C8042" s="1" t="str">
        <f>"DD2024101114870"</f>
        <v>DD2024101114870</v>
      </c>
      <c r="D8042" s="1" t="str">
        <f>"CK2024101117243"</f>
        <v>CK2024101117243</v>
      </c>
      <c r="E8042" s="1" t="str">
        <f>"6934829544505612246"</f>
        <v>6934829544505612246</v>
      </c>
      <c r="F8042" s="1" t="str">
        <f t="shared" si="2303"/>
        <v>花都四部-凤凰仓</v>
      </c>
      <c r="G8042" s="1" t="str">
        <f t="shared" si="2306"/>
        <v>卡卡杜个人护理店（抖店）</v>
      </c>
      <c r="H8042" s="1" t="str">
        <f t="shared" si="2304"/>
        <v>正常订单</v>
      </c>
      <c r="I8042" s="1" t="str">
        <f t="shared" si="2305"/>
        <v>已发货</v>
      </c>
      <c r="J8042" s="1" t="str">
        <f t="shared" si="2307"/>
        <v>5</v>
      </c>
      <c r="K8042" s="1">
        <v>3</v>
      </c>
      <c r="L8042" s="1" t="s">
        <v>66</v>
      </c>
      <c r="M8042" s="1" t="str">
        <f>"内蒙古自治区 通辽市 科尔沁区 新城街道"</f>
        <v>内蒙古自治区 通辽市 科尔沁区 新城街道</v>
      </c>
      <c r="N8042" s="1" t="str">
        <f t="shared" si="2299"/>
        <v>凡华云仓-韵达-抖音</v>
      </c>
      <c r="O8042" s="5">
        <v>320166070388888</v>
      </c>
      <c r="P8042" s="6">
        <v>0.47</v>
      </c>
      <c r="Q8042" s="11">
        <v>2.2999999999999998</v>
      </c>
      <c r="R8042" s="11"/>
      <c r="S8042" s="11"/>
      <c r="T8042" s="11"/>
      <c r="U8042" s="11">
        <f t="shared" si="2301"/>
        <v>2.2999999999999998</v>
      </c>
      <c r="W8042">
        <v>2.5</v>
      </c>
      <c r="X8042" s="1" t="s">
        <v>66</v>
      </c>
    </row>
    <row r="8043" spans="1:24" x14ac:dyDescent="0.25">
      <c r="A8043" s="1" t="str">
        <f t="shared" si="2302"/>
        <v>卡卡杜-凤凰仓</v>
      </c>
      <c r="B8043" s="1" t="str">
        <f>"CK202410116374"</f>
        <v>CK202410116374</v>
      </c>
      <c r="C8043" s="1" t="str">
        <f>"DD2024101114882"</f>
        <v>DD2024101114882</v>
      </c>
      <c r="D8043" s="1" t="str">
        <f>"CK2024101117242"</f>
        <v>CK2024101117242</v>
      </c>
      <c r="E8043" s="1" t="str">
        <f>"6934824823509554230"</f>
        <v>6934824823509554230</v>
      </c>
      <c r="F8043" s="1" t="str">
        <f t="shared" si="2303"/>
        <v>花都四部-凤凰仓</v>
      </c>
      <c r="G8043" s="1" t="str">
        <f t="shared" si="2306"/>
        <v>卡卡杜个人护理店（抖店）</v>
      </c>
      <c r="H8043" s="1" t="str">
        <f t="shared" si="2304"/>
        <v>正常订单</v>
      </c>
      <c r="I8043" s="1" t="str">
        <f t="shared" si="2305"/>
        <v>已发货</v>
      </c>
      <c r="J8043" s="1" t="str">
        <f t="shared" si="2307"/>
        <v>5</v>
      </c>
      <c r="K8043" s="1">
        <v>3</v>
      </c>
      <c r="L8043" s="1" t="s">
        <v>218</v>
      </c>
      <c r="M8043" s="1" t="str">
        <f>"天津 天津市 河西区 下瓦房街道"</f>
        <v>天津 天津市 河西区 下瓦房街道</v>
      </c>
      <c r="N8043" s="1" t="str">
        <f t="shared" si="2299"/>
        <v>凡华云仓-韵达-抖音</v>
      </c>
      <c r="O8043" s="5">
        <v>320166070388785</v>
      </c>
      <c r="P8043" s="6">
        <v>0.47</v>
      </c>
      <c r="Q8043" s="11">
        <v>2.2999999999999998</v>
      </c>
      <c r="R8043" s="11"/>
      <c r="S8043" s="11"/>
      <c r="T8043" s="11"/>
      <c r="U8043" s="11">
        <f t="shared" si="2301"/>
        <v>2.2999999999999998</v>
      </c>
      <c r="W8043">
        <v>2.5</v>
      </c>
      <c r="X8043" s="1" t="s">
        <v>218</v>
      </c>
    </row>
    <row r="8044" spans="1:24" x14ac:dyDescent="0.25">
      <c r="A8044" s="1" t="str">
        <f t="shared" si="2302"/>
        <v>卡卡杜-凤凰仓</v>
      </c>
      <c r="B8044" s="1" t="str">
        <f>"CK202410116402"</f>
        <v>CK202410116402</v>
      </c>
      <c r="C8044" s="1" t="str">
        <f>"DD2024101114909"</f>
        <v>DD2024101114909</v>
      </c>
      <c r="D8044" s="1" t="str">
        <f>"CK2024101117241"</f>
        <v>CK2024101117241</v>
      </c>
      <c r="E8044" s="1" t="str">
        <f>"6934853791126132397"</f>
        <v>6934853791126132397</v>
      </c>
      <c r="F8044" s="1" t="str">
        <f t="shared" si="2303"/>
        <v>花都四部-凤凰仓</v>
      </c>
      <c r="G8044" s="1" t="str">
        <f t="shared" si="2306"/>
        <v>卡卡杜个人护理店（抖店）</v>
      </c>
      <c r="H8044" s="1" t="str">
        <f t="shared" si="2304"/>
        <v>正常订单</v>
      </c>
      <c r="I8044" s="1" t="str">
        <f t="shared" si="2305"/>
        <v>已发货</v>
      </c>
      <c r="J8044" s="1" t="str">
        <f t="shared" si="2307"/>
        <v>5</v>
      </c>
      <c r="K8044" s="1">
        <v>3</v>
      </c>
      <c r="L8044" s="1" t="s">
        <v>182</v>
      </c>
      <c r="M8044" s="1" t="str">
        <f>"新疆维吾尔自治区 巴音郭楞蒙古自治州 库尔勒市 天山街道"</f>
        <v>新疆维吾尔自治区 巴音郭楞蒙古自治州 库尔勒市 天山街道</v>
      </c>
      <c r="N8044" s="1" t="str">
        <f t="shared" si="2299"/>
        <v>凡华云仓-韵达-抖音</v>
      </c>
      <c r="O8044" s="5">
        <v>320166070388684</v>
      </c>
      <c r="P8044" s="6">
        <v>0.47</v>
      </c>
      <c r="Q8044" s="11">
        <f>CEILING(P8044-0.5,0.1)*10*2+17</f>
        <v>17</v>
      </c>
      <c r="R8044" s="11"/>
      <c r="S8044" s="11"/>
      <c r="T8044" s="11"/>
      <c r="U8044" s="11">
        <f t="shared" si="2301"/>
        <v>17</v>
      </c>
      <c r="W8044">
        <v>17</v>
      </c>
      <c r="X8044" s="1" t="s">
        <v>182</v>
      </c>
    </row>
    <row r="8045" spans="1:24" x14ac:dyDescent="0.25">
      <c r="A8045" s="1" t="str">
        <f t="shared" si="2302"/>
        <v>卡卡杜-凤凰仓</v>
      </c>
      <c r="B8045" s="1" t="str">
        <f>"CK202410116409"</f>
        <v>CK202410116409</v>
      </c>
      <c r="C8045" s="1" t="str">
        <f>"DD2024101114918"</f>
        <v>DD2024101114918</v>
      </c>
      <c r="D8045" s="1" t="str">
        <f>"CK2024101117240"</f>
        <v>CK2024101117240</v>
      </c>
      <c r="E8045" s="1" t="str">
        <f>"6934849409510675468"</f>
        <v>6934849409510675468</v>
      </c>
      <c r="F8045" s="1" t="str">
        <f t="shared" si="2303"/>
        <v>花都四部-凤凰仓</v>
      </c>
      <c r="G8045" s="1" t="str">
        <f t="shared" si="2306"/>
        <v>卡卡杜个人护理店（抖店）</v>
      </c>
      <c r="H8045" s="1" t="str">
        <f t="shared" si="2304"/>
        <v>正常订单</v>
      </c>
      <c r="I8045" s="1" t="str">
        <f t="shared" si="2305"/>
        <v>已发货</v>
      </c>
      <c r="J8045" s="1" t="str">
        <f t="shared" si="2307"/>
        <v>5</v>
      </c>
      <c r="K8045" s="1">
        <v>3</v>
      </c>
      <c r="L8045" s="1" t="s">
        <v>80</v>
      </c>
      <c r="M8045" s="1" t="str">
        <f>"河南省 信阳市 浉河区 金牛山街道"</f>
        <v>河南省 信阳市 浉河区 金牛山街道</v>
      </c>
      <c r="N8045" s="1" t="str">
        <f t="shared" si="2299"/>
        <v>凡华云仓-韵达-抖音</v>
      </c>
      <c r="O8045" s="5">
        <v>320166070388585</v>
      </c>
      <c r="P8045" s="6">
        <v>0.47</v>
      </c>
      <c r="Q8045" s="11">
        <v>2.2999999999999998</v>
      </c>
      <c r="R8045" s="11"/>
      <c r="S8045" s="11"/>
      <c r="T8045" s="11"/>
      <c r="U8045" s="11">
        <f t="shared" si="2301"/>
        <v>2.2999999999999998</v>
      </c>
      <c r="W8045">
        <v>2.5</v>
      </c>
      <c r="X8045" s="1" t="s">
        <v>80</v>
      </c>
    </row>
    <row r="8046" spans="1:24" x14ac:dyDescent="0.25">
      <c r="A8046" s="1" t="str">
        <f t="shared" si="2302"/>
        <v>卡卡杜-凤凰仓</v>
      </c>
      <c r="B8046" s="1" t="str">
        <f>"CK202410116444"</f>
        <v>CK202410116444</v>
      </c>
      <c r="C8046" s="1" t="str">
        <f>"DD2024101114953"</f>
        <v>DD2024101114953</v>
      </c>
      <c r="D8046" s="1" t="str">
        <f>"CK2024101117239"</f>
        <v>CK2024101117239</v>
      </c>
      <c r="E8046" s="1" t="str">
        <f>"6917563427908714321"</f>
        <v>6917563427908714321</v>
      </c>
      <c r="F8046" s="1" t="str">
        <f t="shared" si="2303"/>
        <v>花都四部-凤凰仓</v>
      </c>
      <c r="G8046" s="1" t="str">
        <f t="shared" si="2306"/>
        <v>卡卡杜个人护理店（抖店）</v>
      </c>
      <c r="H8046" s="1" t="str">
        <f t="shared" si="2304"/>
        <v>正常订单</v>
      </c>
      <c r="I8046" s="1" t="str">
        <f t="shared" si="2305"/>
        <v>已发货</v>
      </c>
      <c r="J8046" s="1" t="str">
        <f t="shared" si="2307"/>
        <v>5</v>
      </c>
      <c r="K8046" s="1">
        <v>3</v>
      </c>
      <c r="L8046" s="1" t="s">
        <v>20</v>
      </c>
      <c r="M8046" s="1" t="str">
        <f>"浙江省 台州市 温岭市 横峰街道"</f>
        <v>浙江省 台州市 温岭市 横峰街道</v>
      </c>
      <c r="N8046" s="1" t="str">
        <f t="shared" si="2299"/>
        <v>凡华云仓-韵达-抖音</v>
      </c>
      <c r="O8046" s="5">
        <v>320166070388488</v>
      </c>
      <c r="P8046" s="6">
        <v>0.47</v>
      </c>
      <c r="Q8046" s="11">
        <v>2.2999999999999998</v>
      </c>
      <c r="R8046" s="11"/>
      <c r="S8046" s="11"/>
      <c r="T8046" s="11"/>
      <c r="U8046" s="11">
        <f t="shared" si="2301"/>
        <v>2.2999999999999998</v>
      </c>
      <c r="W8046">
        <v>2.5</v>
      </c>
      <c r="X8046" s="1" t="s">
        <v>20</v>
      </c>
    </row>
    <row r="8047" spans="1:24" x14ac:dyDescent="0.25">
      <c r="A8047" s="1" t="str">
        <f t="shared" si="2302"/>
        <v>卡卡杜-凤凰仓</v>
      </c>
      <c r="B8047" s="1" t="str">
        <f>"CK202410116171"</f>
        <v>CK202410116171</v>
      </c>
      <c r="C8047" s="1" t="str">
        <f>"DD2024101114681"</f>
        <v>DD2024101114681</v>
      </c>
      <c r="D8047" s="1" t="str">
        <f>"CK2024101117238"</f>
        <v>CK2024101117238</v>
      </c>
      <c r="E8047" s="1" t="str">
        <f>"6934849396784305813"</f>
        <v>6934849396784305813</v>
      </c>
      <c r="F8047" s="1" t="str">
        <f t="shared" si="2303"/>
        <v>花都四部-凤凰仓</v>
      </c>
      <c r="G8047" s="1" t="str">
        <f t="shared" si="2306"/>
        <v>卡卡杜个人护理店（抖店）</v>
      </c>
      <c r="H8047" s="1" t="str">
        <f t="shared" si="2304"/>
        <v>正常订单</v>
      </c>
      <c r="I8047" s="1" t="str">
        <f t="shared" si="2305"/>
        <v>已发货</v>
      </c>
      <c r="J8047" s="1" t="str">
        <f t="shared" si="2307"/>
        <v>5</v>
      </c>
      <c r="K8047" s="1">
        <v>3</v>
      </c>
      <c r="L8047" s="1" t="s">
        <v>13</v>
      </c>
      <c r="M8047" s="1" t="str">
        <f>"江苏省 泰州市 高港区 野徐镇"</f>
        <v>江苏省 泰州市 高港区 野徐镇</v>
      </c>
      <c r="N8047" s="1" t="str">
        <f t="shared" si="2299"/>
        <v>凡华云仓-韵达-抖音</v>
      </c>
      <c r="O8047" s="5">
        <v>320166070388393</v>
      </c>
      <c r="P8047" s="6">
        <v>0.47</v>
      </c>
      <c r="Q8047" s="11">
        <v>2.2999999999999998</v>
      </c>
      <c r="R8047" s="11"/>
      <c r="S8047" s="11"/>
      <c r="T8047" s="11"/>
      <c r="U8047" s="11">
        <f t="shared" si="2301"/>
        <v>2.2999999999999998</v>
      </c>
      <c r="W8047">
        <v>2.5</v>
      </c>
      <c r="X8047" s="1" t="s">
        <v>13</v>
      </c>
    </row>
    <row r="8048" spans="1:24" x14ac:dyDescent="0.25">
      <c r="A8048" s="1" t="str">
        <f t="shared" si="2302"/>
        <v>卡卡杜-凤凰仓</v>
      </c>
      <c r="B8048" s="1" t="str">
        <f>"CK202410116394"</f>
        <v>CK202410116394</v>
      </c>
      <c r="C8048" s="1" t="str">
        <f>"DD2024101114904"</f>
        <v>DD2024101114904</v>
      </c>
      <c r="D8048" s="1" t="str">
        <f>"CK2024101117237"</f>
        <v>CK2024101117237</v>
      </c>
      <c r="E8048" s="1" t="str">
        <f>"6934847535375062320"</f>
        <v>6934847535375062320</v>
      </c>
      <c r="F8048" s="1" t="str">
        <f t="shared" si="2303"/>
        <v>花都四部-凤凰仓</v>
      </c>
      <c r="G8048" s="1" t="str">
        <f t="shared" si="2306"/>
        <v>卡卡杜个人护理店（抖店）</v>
      </c>
      <c r="H8048" s="1" t="str">
        <f t="shared" si="2304"/>
        <v>正常订单</v>
      </c>
      <c r="I8048" s="1" t="str">
        <f t="shared" si="2305"/>
        <v>已发货</v>
      </c>
      <c r="J8048" s="1" t="str">
        <f t="shared" si="2307"/>
        <v>5</v>
      </c>
      <c r="K8048" s="1">
        <v>3</v>
      </c>
      <c r="L8048" s="1" t="s">
        <v>20</v>
      </c>
      <c r="M8048" s="1" t="str">
        <f>"浙江省 金华市 金东区 岭下镇"</f>
        <v>浙江省 金华市 金东区 岭下镇</v>
      </c>
      <c r="N8048" s="1" t="str">
        <f t="shared" si="2299"/>
        <v>凡华云仓-韵达-抖音</v>
      </c>
      <c r="O8048" s="5">
        <v>320166070388200</v>
      </c>
      <c r="P8048" s="6">
        <v>0.47</v>
      </c>
      <c r="Q8048" s="11">
        <v>2.2999999999999998</v>
      </c>
      <c r="R8048" s="11"/>
      <c r="S8048" s="11"/>
      <c r="T8048" s="11"/>
      <c r="U8048" s="11">
        <f t="shared" si="2301"/>
        <v>2.2999999999999998</v>
      </c>
      <c r="W8048">
        <v>2.5</v>
      </c>
      <c r="X8048" s="1" t="s">
        <v>20</v>
      </c>
    </row>
    <row r="8049" spans="1:24" x14ac:dyDescent="0.25">
      <c r="A8049" s="1" t="str">
        <f t="shared" si="2302"/>
        <v>卡卡杜-凤凰仓</v>
      </c>
      <c r="B8049" s="1" t="str">
        <f>"CK202410116399"</f>
        <v>CK202410116399</v>
      </c>
      <c r="C8049" s="1" t="str">
        <f>"DD2024101114908"</f>
        <v>DD2024101114908</v>
      </c>
      <c r="D8049" s="1" t="str">
        <f>"CK2024101117236"</f>
        <v>CK2024101117236</v>
      </c>
      <c r="E8049" s="1" t="str">
        <f>"6934849451323888676"</f>
        <v>6934849451323888676</v>
      </c>
      <c r="F8049" s="1" t="str">
        <f t="shared" si="2303"/>
        <v>花都四部-凤凰仓</v>
      </c>
      <c r="G8049" s="1" t="str">
        <f t="shared" si="2306"/>
        <v>卡卡杜个人护理店（抖店）</v>
      </c>
      <c r="H8049" s="1" t="str">
        <f t="shared" si="2304"/>
        <v>正常订单</v>
      </c>
      <c r="I8049" s="1" t="str">
        <f t="shared" si="2305"/>
        <v>已发货</v>
      </c>
      <c r="J8049" s="1" t="str">
        <f t="shared" si="2307"/>
        <v>5</v>
      </c>
      <c r="K8049" s="1">
        <v>3</v>
      </c>
      <c r="L8049" s="1" t="s">
        <v>74</v>
      </c>
      <c r="M8049" s="1" t="str">
        <f>"上海 上海市 宝山区 高境镇"</f>
        <v>上海 上海市 宝山区 高境镇</v>
      </c>
      <c r="N8049" s="1" t="str">
        <f t="shared" ref="N8049:N8112" si="2308">"凡华云仓-韵达-抖音"</f>
        <v>凡华云仓-韵达-抖音</v>
      </c>
      <c r="O8049" s="5">
        <v>320166070388109</v>
      </c>
      <c r="P8049" s="6">
        <v>0.47</v>
      </c>
      <c r="Q8049" s="11">
        <v>2.2999999999999998</v>
      </c>
      <c r="R8049" s="11"/>
      <c r="S8049" s="11"/>
      <c r="T8049" s="11"/>
      <c r="U8049" s="11">
        <f t="shared" si="2301"/>
        <v>2.2999999999999998</v>
      </c>
      <c r="W8049">
        <v>2.5</v>
      </c>
      <c r="X8049" s="1" t="s">
        <v>74</v>
      </c>
    </row>
    <row r="8050" spans="1:24" x14ac:dyDescent="0.25">
      <c r="A8050" s="1" t="str">
        <f t="shared" si="2302"/>
        <v>卡卡杜-凤凰仓</v>
      </c>
      <c r="B8050" s="1" t="str">
        <f>"CK202410116407"</f>
        <v>CK202410116407</v>
      </c>
      <c r="C8050" s="1" t="str">
        <f>"DD2024101114915"</f>
        <v>DD2024101114915</v>
      </c>
      <c r="D8050" s="1" t="str">
        <f>"CK2024101117235"</f>
        <v>CK2024101117235</v>
      </c>
      <c r="E8050" s="1" t="str">
        <f>"6934827263461169004"</f>
        <v>6934827263461169004</v>
      </c>
      <c r="F8050" s="1" t="str">
        <f t="shared" si="2303"/>
        <v>花都四部-凤凰仓</v>
      </c>
      <c r="G8050" s="1" t="str">
        <f t="shared" si="2306"/>
        <v>卡卡杜个人护理店（抖店）</v>
      </c>
      <c r="H8050" s="1" t="str">
        <f t="shared" si="2304"/>
        <v>正常订单</v>
      </c>
      <c r="I8050" s="1" t="str">
        <f t="shared" si="2305"/>
        <v>已发货</v>
      </c>
      <c r="J8050" s="1" t="str">
        <f t="shared" si="2307"/>
        <v>5</v>
      </c>
      <c r="K8050" s="1">
        <v>3</v>
      </c>
      <c r="L8050" s="1" t="s">
        <v>30</v>
      </c>
      <c r="M8050" s="1" t="str">
        <f>"山东省 威海市 环翠区 孙家疃街道"</f>
        <v>山东省 威海市 环翠区 孙家疃街道</v>
      </c>
      <c r="N8050" s="1" t="str">
        <f t="shared" si="2308"/>
        <v>凡华云仓-韵达-抖音</v>
      </c>
      <c r="O8050" s="5">
        <v>320166070388020</v>
      </c>
      <c r="P8050" s="6">
        <v>0.47</v>
      </c>
      <c r="Q8050" s="11">
        <v>2.2999999999999998</v>
      </c>
      <c r="R8050" s="11"/>
      <c r="S8050" s="11"/>
      <c r="T8050" s="11"/>
      <c r="U8050" s="11">
        <f t="shared" si="2301"/>
        <v>2.2999999999999998</v>
      </c>
      <c r="W8050">
        <v>2.5</v>
      </c>
      <c r="X8050" s="1" t="s">
        <v>30</v>
      </c>
    </row>
    <row r="8051" spans="1:24" x14ac:dyDescent="0.25">
      <c r="A8051" s="1" t="str">
        <f t="shared" si="2302"/>
        <v>卡卡杜-凤凰仓</v>
      </c>
      <c r="B8051" s="1" t="str">
        <f>"CK202410116418"</f>
        <v>CK202410116418</v>
      </c>
      <c r="C8051" s="1" t="str">
        <f>"DD2024101114927"</f>
        <v>DD2024101114927</v>
      </c>
      <c r="D8051" s="1" t="str">
        <f>"CK2024101117234"</f>
        <v>CK2024101117234</v>
      </c>
      <c r="E8051" s="1" t="str">
        <f>"6934822550666942436"</f>
        <v>6934822550666942436</v>
      </c>
      <c r="F8051" s="1" t="str">
        <f t="shared" si="2303"/>
        <v>花都四部-凤凰仓</v>
      </c>
      <c r="G8051" s="1" t="str">
        <f t="shared" si="2306"/>
        <v>卡卡杜个人护理店（抖店）</v>
      </c>
      <c r="H8051" s="1" t="str">
        <f t="shared" si="2304"/>
        <v>正常订单</v>
      </c>
      <c r="I8051" s="1" t="str">
        <f t="shared" si="2305"/>
        <v>已发货</v>
      </c>
      <c r="J8051" s="1" t="str">
        <f t="shared" si="2307"/>
        <v>5</v>
      </c>
      <c r="K8051" s="1">
        <v>3</v>
      </c>
      <c r="L8051" s="1" t="s">
        <v>32</v>
      </c>
      <c r="M8051" s="1" t="str">
        <f>"陕西省 西安市 长安区 郭杜街道"</f>
        <v>陕西省 西安市 长安区 郭杜街道</v>
      </c>
      <c r="N8051" s="1" t="str">
        <f t="shared" si="2308"/>
        <v>凡华云仓-韵达-抖音</v>
      </c>
      <c r="O8051" s="5">
        <v>320166070387990</v>
      </c>
      <c r="P8051" s="6">
        <v>0.47</v>
      </c>
      <c r="Q8051" s="11">
        <v>2.2999999999999998</v>
      </c>
      <c r="R8051" s="11"/>
      <c r="S8051" s="11"/>
      <c r="T8051" s="11"/>
      <c r="U8051" s="11">
        <f t="shared" si="2301"/>
        <v>2.2999999999999998</v>
      </c>
      <c r="W8051">
        <v>2.5</v>
      </c>
      <c r="X8051" s="1" t="s">
        <v>32</v>
      </c>
    </row>
    <row r="8052" spans="1:24" x14ac:dyDescent="0.25">
      <c r="A8052" s="1" t="str">
        <f t="shared" si="2302"/>
        <v>卡卡杜-凤凰仓</v>
      </c>
      <c r="B8052" s="1" t="str">
        <f>"CK202410116425"</f>
        <v>CK202410116425</v>
      </c>
      <c r="C8052" s="1" t="str">
        <f>"DD2024101114934"</f>
        <v>DD2024101114934</v>
      </c>
      <c r="D8052" s="1" t="str">
        <f>"CK2024101117233"</f>
        <v>CK2024101117233</v>
      </c>
      <c r="E8052" s="1" t="str">
        <f>"6934838522617468088"</f>
        <v>6934838522617468088</v>
      </c>
      <c r="F8052" s="1" t="str">
        <f t="shared" si="2303"/>
        <v>花都四部-凤凰仓</v>
      </c>
      <c r="G8052" s="1" t="str">
        <f t="shared" si="2306"/>
        <v>卡卡杜个人护理店（抖店）</v>
      </c>
      <c r="H8052" s="1" t="str">
        <f t="shared" si="2304"/>
        <v>正常订单</v>
      </c>
      <c r="I8052" s="1" t="str">
        <f t="shared" si="2305"/>
        <v>已发货</v>
      </c>
      <c r="J8052" s="1" t="str">
        <f t="shared" si="2307"/>
        <v>5</v>
      </c>
      <c r="K8052" s="1">
        <v>3</v>
      </c>
      <c r="L8052" s="1" t="s">
        <v>218</v>
      </c>
      <c r="M8052" s="1" t="str">
        <f>"天津 天津市 滨海新区 北塘街道"</f>
        <v>天津 天津市 滨海新区 北塘街道</v>
      </c>
      <c r="N8052" s="1" t="str">
        <f t="shared" si="2308"/>
        <v>凡华云仓-韵达-抖音</v>
      </c>
      <c r="O8052" s="5">
        <v>320166074221793</v>
      </c>
      <c r="P8052" s="6">
        <v>0.47</v>
      </c>
      <c r="Q8052" s="11">
        <v>2.2999999999999998</v>
      </c>
      <c r="R8052" s="11"/>
      <c r="S8052" s="11"/>
      <c r="T8052" s="11"/>
      <c r="U8052" s="11">
        <f t="shared" si="2301"/>
        <v>2.2999999999999998</v>
      </c>
      <c r="W8052">
        <v>2.5</v>
      </c>
      <c r="X8052" s="1" t="s">
        <v>218</v>
      </c>
    </row>
    <row r="8053" spans="1:24" x14ac:dyDescent="0.25">
      <c r="A8053" s="1" t="str">
        <f t="shared" si="2302"/>
        <v>卡卡杜-凤凰仓</v>
      </c>
      <c r="B8053" s="1" t="str">
        <f>"CK202410116153"</f>
        <v>CK202410116153</v>
      </c>
      <c r="C8053" s="1" t="str">
        <f>"DD2024101114664"</f>
        <v>DD2024101114664</v>
      </c>
      <c r="D8053" s="1" t="str">
        <f>"CK2024101117232"</f>
        <v>CK2024101117232</v>
      </c>
      <c r="E8053" s="1" t="str">
        <f>"6934840854853522666"</f>
        <v>6934840854853522666</v>
      </c>
      <c r="F8053" s="1" t="str">
        <f t="shared" si="2303"/>
        <v>花都四部-凤凰仓</v>
      </c>
      <c r="G8053" s="1" t="str">
        <f t="shared" si="2306"/>
        <v>卡卡杜个人护理店（抖店）</v>
      </c>
      <c r="H8053" s="1" t="str">
        <f t="shared" si="2304"/>
        <v>正常订单</v>
      </c>
      <c r="I8053" s="1" t="str">
        <f t="shared" si="2305"/>
        <v>已发货</v>
      </c>
      <c r="J8053" s="1" t="str">
        <f t="shared" si="2307"/>
        <v>5</v>
      </c>
      <c r="K8053" s="1">
        <v>3</v>
      </c>
      <c r="L8053" s="1" t="s">
        <v>74</v>
      </c>
      <c r="M8053" s="1" t="str">
        <f>"上海 上海市 宝山区 宝山城市工业园区"</f>
        <v>上海 上海市 宝山区 宝山城市工业园区</v>
      </c>
      <c r="N8053" s="1" t="str">
        <f t="shared" si="2308"/>
        <v>凡华云仓-韵达-抖音</v>
      </c>
      <c r="O8053" s="5">
        <v>320166074221692</v>
      </c>
      <c r="P8053" s="6">
        <v>0.47</v>
      </c>
      <c r="Q8053" s="11">
        <v>2.2999999999999998</v>
      </c>
      <c r="R8053" s="11"/>
      <c r="S8053" s="11"/>
      <c r="T8053" s="11"/>
      <c r="U8053" s="11">
        <f t="shared" si="2301"/>
        <v>2.2999999999999998</v>
      </c>
      <c r="W8053">
        <v>2.5</v>
      </c>
      <c r="X8053" s="1" t="s">
        <v>74</v>
      </c>
    </row>
    <row r="8054" spans="1:24" x14ac:dyDescent="0.25">
      <c r="A8054" s="1" t="str">
        <f t="shared" si="2302"/>
        <v>卡卡杜-凤凰仓</v>
      </c>
      <c r="B8054" s="1" t="str">
        <f>"CK202410116354"</f>
        <v>CK202410116354</v>
      </c>
      <c r="C8054" s="1" t="str">
        <f>"DD2024101114865"</f>
        <v>DD2024101114865</v>
      </c>
      <c r="D8054" s="1" t="str">
        <f>"CK2024101117231"</f>
        <v>CK2024101117231</v>
      </c>
      <c r="E8054" s="1" t="str">
        <f>"6934834158189417579"</f>
        <v>6934834158189417579</v>
      </c>
      <c r="F8054" s="1" t="str">
        <f t="shared" si="2303"/>
        <v>花都四部-凤凰仓</v>
      </c>
      <c r="G8054" s="1" t="str">
        <f t="shared" si="2306"/>
        <v>卡卡杜个人护理店（抖店）</v>
      </c>
      <c r="H8054" s="1" t="str">
        <f t="shared" si="2304"/>
        <v>正常订单</v>
      </c>
      <c r="I8054" s="1" t="str">
        <f t="shared" si="2305"/>
        <v>已发货</v>
      </c>
      <c r="J8054" s="1" t="str">
        <f t="shared" si="2307"/>
        <v>5</v>
      </c>
      <c r="K8054" s="1">
        <v>3</v>
      </c>
      <c r="L8054" s="1" t="s">
        <v>109</v>
      </c>
      <c r="M8054" s="1" t="str">
        <f>"山西省 阳泉市 郊区 开发区"</f>
        <v>山西省 阳泉市 郊区 开发区</v>
      </c>
      <c r="N8054" s="1" t="str">
        <f t="shared" si="2308"/>
        <v>凡华云仓-韵达-抖音</v>
      </c>
      <c r="O8054" s="5">
        <v>320166074221593</v>
      </c>
      <c r="P8054" s="6">
        <v>0.47</v>
      </c>
      <c r="Q8054" s="11">
        <v>2.2999999999999998</v>
      </c>
      <c r="R8054" s="11"/>
      <c r="S8054" s="11"/>
      <c r="T8054" s="11"/>
      <c r="U8054" s="11">
        <f t="shared" si="2301"/>
        <v>2.2999999999999998</v>
      </c>
      <c r="W8054">
        <v>2.5</v>
      </c>
      <c r="X8054" s="1" t="s">
        <v>109</v>
      </c>
    </row>
    <row r="8055" spans="1:24" x14ac:dyDescent="0.25">
      <c r="A8055" s="1" t="str">
        <f t="shared" si="2302"/>
        <v>卡卡杜-凤凰仓</v>
      </c>
      <c r="B8055" s="1" t="str">
        <f>"CK202410116411"</f>
        <v>CK202410116411</v>
      </c>
      <c r="C8055" s="1" t="str">
        <f>"DD2024101114921"</f>
        <v>DD2024101114921</v>
      </c>
      <c r="D8055" s="1" t="str">
        <f>"CK2024101117230"</f>
        <v>CK2024101117230</v>
      </c>
      <c r="E8055" s="1" t="str">
        <f>"6934834216131499879"</f>
        <v>6934834216131499879</v>
      </c>
      <c r="F8055" s="1" t="str">
        <f t="shared" si="2303"/>
        <v>花都四部-凤凰仓</v>
      </c>
      <c r="G8055" s="1" t="str">
        <f t="shared" si="2306"/>
        <v>卡卡杜个人护理店（抖店）</v>
      </c>
      <c r="H8055" s="1" t="str">
        <f t="shared" si="2304"/>
        <v>正常订单</v>
      </c>
      <c r="I8055" s="1" t="str">
        <f t="shared" si="2305"/>
        <v>已发货</v>
      </c>
      <c r="J8055" s="1" t="str">
        <f t="shared" si="2307"/>
        <v>5</v>
      </c>
      <c r="K8055" s="1">
        <v>3</v>
      </c>
      <c r="L8055" s="1" t="s">
        <v>92</v>
      </c>
      <c r="M8055" s="1" t="str">
        <f>"辽宁省 沈阳市 铁西区 霁虹街道"</f>
        <v>辽宁省 沈阳市 铁西区 霁虹街道</v>
      </c>
      <c r="N8055" s="1" t="str">
        <f t="shared" si="2308"/>
        <v>凡华云仓-韵达-抖音</v>
      </c>
      <c r="O8055" s="5">
        <v>320166074221496</v>
      </c>
      <c r="P8055" s="6">
        <v>0.47</v>
      </c>
      <c r="Q8055" s="11">
        <v>2.2999999999999998</v>
      </c>
      <c r="R8055" s="11"/>
      <c r="S8055" s="11"/>
      <c r="T8055" s="11"/>
      <c r="U8055" s="11">
        <f t="shared" si="2301"/>
        <v>2.2999999999999998</v>
      </c>
      <c r="W8055">
        <v>2.5</v>
      </c>
      <c r="X8055" s="1" t="s">
        <v>92</v>
      </c>
    </row>
    <row r="8056" spans="1:24" x14ac:dyDescent="0.25">
      <c r="A8056" s="1" t="str">
        <f t="shared" si="2302"/>
        <v>卡卡杜-凤凰仓</v>
      </c>
      <c r="B8056" s="1" t="str">
        <f>"CK202410116414"</f>
        <v>CK202410116414</v>
      </c>
      <c r="C8056" s="1" t="str">
        <f>"DD2024101114925"</f>
        <v>DD2024101114925</v>
      </c>
      <c r="D8056" s="1" t="str">
        <f>"CK2024101117229"</f>
        <v>CK2024101117229</v>
      </c>
      <c r="E8056" s="1" t="str">
        <f>"6934840788579063123"</f>
        <v>6934840788579063123</v>
      </c>
      <c r="F8056" s="1" t="str">
        <f t="shared" si="2303"/>
        <v>花都四部-凤凰仓</v>
      </c>
      <c r="G8056" s="1" t="str">
        <f t="shared" si="2306"/>
        <v>卡卡杜个人护理店（抖店）</v>
      </c>
      <c r="H8056" s="1" t="str">
        <f t="shared" si="2304"/>
        <v>正常订单</v>
      </c>
      <c r="I8056" s="1" t="str">
        <f t="shared" si="2305"/>
        <v>已发货</v>
      </c>
      <c r="J8056" s="1" t="str">
        <f t="shared" si="2307"/>
        <v>5</v>
      </c>
      <c r="K8056" s="1">
        <v>3</v>
      </c>
      <c r="L8056" s="1" t="s">
        <v>41</v>
      </c>
      <c r="M8056" s="1" t="str">
        <f>"湖北省 荆州市 监利市 容城镇"</f>
        <v>湖北省 荆州市 监利市 容城镇</v>
      </c>
      <c r="N8056" s="1" t="str">
        <f t="shared" si="2308"/>
        <v>凡华云仓-韵达-抖音</v>
      </c>
      <c r="O8056" s="5">
        <v>320166074221301</v>
      </c>
      <c r="P8056" s="6">
        <v>0.47</v>
      </c>
      <c r="Q8056" s="11">
        <v>2.2999999999999998</v>
      </c>
      <c r="R8056" s="11"/>
      <c r="S8056" s="11"/>
      <c r="T8056" s="11"/>
      <c r="U8056" s="11">
        <f t="shared" si="2301"/>
        <v>2.2999999999999998</v>
      </c>
      <c r="W8056">
        <v>2.5</v>
      </c>
      <c r="X8056" s="1" t="s">
        <v>41</v>
      </c>
    </row>
    <row r="8057" spans="1:24" x14ac:dyDescent="0.25">
      <c r="A8057" s="1" t="str">
        <f t="shared" si="2302"/>
        <v>卡卡杜-凤凰仓</v>
      </c>
      <c r="B8057" s="1" t="str">
        <f>"CK202410116427"</f>
        <v>CK202410116427</v>
      </c>
      <c r="C8057" s="1" t="str">
        <f>"DD2024101114937"</f>
        <v>DD2024101114937</v>
      </c>
      <c r="D8057" s="1" t="str">
        <f>"CK2024101117228"</f>
        <v>CK2024101117228</v>
      </c>
      <c r="E8057" s="1" t="str">
        <f>"6934824777741309577"</f>
        <v>6934824777741309577</v>
      </c>
      <c r="F8057" s="1" t="str">
        <f t="shared" si="2303"/>
        <v>花都四部-凤凰仓</v>
      </c>
      <c r="G8057" s="1" t="str">
        <f t="shared" si="2306"/>
        <v>卡卡杜个人护理店（抖店）</v>
      </c>
      <c r="H8057" s="1" t="str">
        <f t="shared" si="2304"/>
        <v>正常订单</v>
      </c>
      <c r="I8057" s="1" t="str">
        <f t="shared" si="2305"/>
        <v>已发货</v>
      </c>
      <c r="J8057" s="1" t="str">
        <f t="shared" si="2307"/>
        <v>5</v>
      </c>
      <c r="K8057" s="1">
        <v>3</v>
      </c>
      <c r="L8057" s="1" t="s">
        <v>20</v>
      </c>
      <c r="M8057" s="1" t="str">
        <f>"浙江省 宁波市 鄞州区 邱隘镇"</f>
        <v>浙江省 宁波市 鄞州区 邱隘镇</v>
      </c>
      <c r="N8057" s="1" t="str">
        <f t="shared" si="2308"/>
        <v>凡华云仓-韵达-抖音</v>
      </c>
      <c r="O8057" s="5">
        <v>320166074221208</v>
      </c>
      <c r="P8057" s="6">
        <v>0.47</v>
      </c>
      <c r="Q8057" s="11">
        <v>2.2999999999999998</v>
      </c>
      <c r="R8057" s="11"/>
      <c r="S8057" s="11"/>
      <c r="T8057" s="11"/>
      <c r="U8057" s="11">
        <f t="shared" si="2301"/>
        <v>2.2999999999999998</v>
      </c>
      <c r="W8057">
        <v>2.5</v>
      </c>
      <c r="X8057" s="1" t="s">
        <v>20</v>
      </c>
    </row>
    <row r="8058" spans="1:24" x14ac:dyDescent="0.25">
      <c r="A8058" s="1" t="str">
        <f t="shared" si="2302"/>
        <v>卡卡杜-凤凰仓</v>
      </c>
      <c r="B8058" s="1" t="str">
        <f>"CK202410116145"</f>
        <v>CK202410116145</v>
      </c>
      <c r="C8058" s="1" t="str">
        <f>"DD2024101114653"</f>
        <v>DD2024101114653</v>
      </c>
      <c r="D8058" s="1" t="str">
        <f>"CK2024101117227"</f>
        <v>CK2024101117227</v>
      </c>
      <c r="E8058" s="1" t="str">
        <f>"6934851738073110016"</f>
        <v>6934851738073110016</v>
      </c>
      <c r="F8058" s="1" t="str">
        <f t="shared" si="2303"/>
        <v>花都四部-凤凰仓</v>
      </c>
      <c r="G8058" s="1" t="str">
        <f t="shared" si="2306"/>
        <v>卡卡杜个人护理店（抖店）</v>
      </c>
      <c r="H8058" s="1" t="str">
        <f t="shared" si="2304"/>
        <v>正常订单</v>
      </c>
      <c r="I8058" s="1" t="str">
        <f t="shared" si="2305"/>
        <v>已发货</v>
      </c>
      <c r="J8058" s="1" t="str">
        <f t="shared" si="2307"/>
        <v>5</v>
      </c>
      <c r="K8058" s="1">
        <v>3</v>
      </c>
      <c r="L8058" s="1" t="s">
        <v>13</v>
      </c>
      <c r="M8058" s="1" t="str">
        <f>"江苏省 无锡市 江阴市 云亭街道"</f>
        <v>江苏省 无锡市 江阴市 云亭街道</v>
      </c>
      <c r="N8058" s="1" t="str">
        <f t="shared" si="2308"/>
        <v>凡华云仓-韵达-抖音</v>
      </c>
      <c r="O8058" s="5">
        <v>320166074221117</v>
      </c>
      <c r="P8058" s="6">
        <v>0.47</v>
      </c>
      <c r="Q8058" s="11">
        <v>2.2999999999999998</v>
      </c>
      <c r="R8058" s="11"/>
      <c r="S8058" s="11"/>
      <c r="T8058" s="11"/>
      <c r="U8058" s="11">
        <f t="shared" si="2301"/>
        <v>2.2999999999999998</v>
      </c>
      <c r="W8058">
        <v>2.5</v>
      </c>
      <c r="X8058" s="1" t="s">
        <v>13</v>
      </c>
    </row>
    <row r="8059" spans="1:24" x14ac:dyDescent="0.25">
      <c r="A8059" s="1" t="str">
        <f t="shared" si="2302"/>
        <v>卡卡杜-凤凰仓</v>
      </c>
      <c r="B8059" s="1" t="str">
        <f>"CK202410116357"</f>
        <v>CK202410116357</v>
      </c>
      <c r="C8059" s="1" t="str">
        <f>"DD2024101114866"</f>
        <v>DD2024101114866</v>
      </c>
      <c r="D8059" s="1" t="str">
        <f>"CK2024101117226"</f>
        <v>CK2024101117226</v>
      </c>
      <c r="E8059" s="1" t="str">
        <f>"6934827262804235680"</f>
        <v>6934827262804235680</v>
      </c>
      <c r="F8059" s="1" t="str">
        <f t="shared" si="2303"/>
        <v>花都四部-凤凰仓</v>
      </c>
      <c r="G8059" s="1" t="str">
        <f t="shared" si="2306"/>
        <v>卡卡杜个人护理店（抖店）</v>
      </c>
      <c r="H8059" s="1" t="str">
        <f t="shared" si="2304"/>
        <v>正常订单</v>
      </c>
      <c r="I8059" s="1" t="str">
        <f t="shared" si="2305"/>
        <v>已发货</v>
      </c>
      <c r="J8059" s="1" t="str">
        <f t="shared" si="2307"/>
        <v>5</v>
      </c>
      <c r="K8059" s="1">
        <v>3</v>
      </c>
      <c r="L8059" s="1" t="s">
        <v>109</v>
      </c>
      <c r="M8059" s="1" t="str">
        <f>"山西省 忻州市 代县 上馆镇"</f>
        <v>山西省 忻州市 代县 上馆镇</v>
      </c>
      <c r="N8059" s="1" t="str">
        <f t="shared" si="2308"/>
        <v>凡华云仓-韵达-抖音</v>
      </c>
      <c r="O8059" s="5">
        <v>320166074221028</v>
      </c>
      <c r="P8059" s="6">
        <v>0.47</v>
      </c>
      <c r="Q8059" s="11">
        <v>2.2999999999999998</v>
      </c>
      <c r="R8059" s="11"/>
      <c r="S8059" s="11"/>
      <c r="T8059" s="11"/>
      <c r="U8059" s="11">
        <f t="shared" si="2301"/>
        <v>2.2999999999999998</v>
      </c>
      <c r="W8059">
        <v>2.5</v>
      </c>
      <c r="X8059" s="1" t="s">
        <v>109</v>
      </c>
    </row>
    <row r="8060" spans="1:24" x14ac:dyDescent="0.25">
      <c r="A8060" s="1" t="str">
        <f t="shared" si="2302"/>
        <v>卡卡杜-凤凰仓</v>
      </c>
      <c r="B8060" s="1" t="str">
        <f>"CK202410116381"</f>
        <v>CK202410116381</v>
      </c>
      <c r="C8060" s="1" t="str">
        <f>"DD2024101114890"</f>
        <v>DD2024101114890</v>
      </c>
      <c r="D8060" s="1" t="str">
        <f>"CK2024101117225"</f>
        <v>CK2024101117225</v>
      </c>
      <c r="E8060" s="1" t="str">
        <f>"6934849464463201700"</f>
        <v>6934849464463201700</v>
      </c>
      <c r="F8060" s="1" t="str">
        <f t="shared" si="2303"/>
        <v>花都四部-凤凰仓</v>
      </c>
      <c r="G8060" s="1" t="str">
        <f t="shared" si="2306"/>
        <v>卡卡杜个人护理店（抖店）</v>
      </c>
      <c r="H8060" s="1" t="str">
        <f t="shared" si="2304"/>
        <v>正常订单</v>
      </c>
      <c r="I8060" s="1" t="str">
        <f t="shared" si="2305"/>
        <v>已发货</v>
      </c>
      <c r="J8060" s="1" t="str">
        <f t="shared" si="2307"/>
        <v>5</v>
      </c>
      <c r="K8060" s="1">
        <v>3</v>
      </c>
      <c r="L8060" s="1" t="s">
        <v>80</v>
      </c>
      <c r="M8060" s="1" t="str">
        <f>"河南省 焦作市 孟州市 "</f>
        <v xml:space="preserve">河南省 焦作市 孟州市 </v>
      </c>
      <c r="N8060" s="1" t="str">
        <f t="shared" si="2308"/>
        <v>凡华云仓-韵达-抖音</v>
      </c>
      <c r="O8060" s="5">
        <v>320166074220912</v>
      </c>
      <c r="P8060" s="6">
        <v>0.47</v>
      </c>
      <c r="Q8060" s="11">
        <v>2.2999999999999998</v>
      </c>
      <c r="R8060" s="11"/>
      <c r="S8060" s="11"/>
      <c r="T8060" s="11"/>
      <c r="U8060" s="11">
        <f t="shared" si="2301"/>
        <v>2.2999999999999998</v>
      </c>
      <c r="W8060">
        <v>2.5</v>
      </c>
      <c r="X8060" s="1" t="s">
        <v>80</v>
      </c>
    </row>
    <row r="8061" spans="1:24" x14ac:dyDescent="0.25">
      <c r="A8061" s="1" t="str">
        <f t="shared" si="2302"/>
        <v>卡卡杜-凤凰仓</v>
      </c>
      <c r="B8061" s="1" t="str">
        <f>"CK202410116390"</f>
        <v>CK202410116390</v>
      </c>
      <c r="C8061" s="1" t="str">
        <f>"DD2024101114900"</f>
        <v>DD2024101114900</v>
      </c>
      <c r="D8061" s="1" t="str">
        <f>"CK2024101117224"</f>
        <v>CK2024101117224</v>
      </c>
      <c r="E8061" s="1" t="str">
        <f>"6934831525058057629"</f>
        <v>6934831525058057629</v>
      </c>
      <c r="F8061" s="1" t="str">
        <f t="shared" si="2303"/>
        <v>花都四部-凤凰仓</v>
      </c>
      <c r="G8061" s="1" t="str">
        <f t="shared" si="2306"/>
        <v>卡卡杜个人护理店（抖店）</v>
      </c>
      <c r="H8061" s="1" t="str">
        <f t="shared" si="2304"/>
        <v>正常订单</v>
      </c>
      <c r="I8061" s="1" t="str">
        <f t="shared" si="2305"/>
        <v>已发货</v>
      </c>
      <c r="J8061" s="1" t="str">
        <f t="shared" si="2307"/>
        <v>5</v>
      </c>
      <c r="K8061" s="1">
        <v>3</v>
      </c>
      <c r="L8061" s="1" t="s">
        <v>18</v>
      </c>
      <c r="M8061" s="1" t="str">
        <f>"广东省 惠州市 惠城区 "</f>
        <v xml:space="preserve">广东省 惠州市 惠城区 </v>
      </c>
      <c r="N8061" s="1" t="str">
        <f t="shared" si="2308"/>
        <v>凡华云仓-韵达-抖音</v>
      </c>
      <c r="O8061" s="5">
        <v>320166074220807</v>
      </c>
      <c r="P8061" s="6">
        <v>0.47</v>
      </c>
      <c r="Q8061" s="11">
        <v>2.2999999999999998</v>
      </c>
      <c r="R8061" s="11"/>
      <c r="S8061" s="11"/>
      <c r="T8061" s="11"/>
      <c r="U8061" s="11">
        <f t="shared" si="2301"/>
        <v>2.2999999999999998</v>
      </c>
      <c r="W8061">
        <v>2.5</v>
      </c>
      <c r="X8061" s="1" t="s">
        <v>18</v>
      </c>
    </row>
    <row r="8062" spans="1:24" x14ac:dyDescent="0.25">
      <c r="A8062" s="1" t="str">
        <f t="shared" si="2302"/>
        <v>卡卡杜-凤凰仓</v>
      </c>
      <c r="B8062" s="1" t="str">
        <f>"CK202410116392"</f>
        <v>CK202410116392</v>
      </c>
      <c r="C8062" s="1" t="str">
        <f>"DD2024101114902"</f>
        <v>DD2024101114902</v>
      </c>
      <c r="D8062" s="1" t="str">
        <f>"CK2024101117223"</f>
        <v>CK2024101117223</v>
      </c>
      <c r="E8062" s="1" t="str">
        <f>"6934836294275503619"</f>
        <v>6934836294275503619</v>
      </c>
      <c r="F8062" s="1" t="str">
        <f t="shared" si="2303"/>
        <v>花都四部-凤凰仓</v>
      </c>
      <c r="G8062" s="1" t="str">
        <f t="shared" si="2306"/>
        <v>卡卡杜个人护理店（抖店）</v>
      </c>
      <c r="H8062" s="1" t="str">
        <f t="shared" si="2304"/>
        <v>正常订单</v>
      </c>
      <c r="I8062" s="1" t="str">
        <f t="shared" si="2305"/>
        <v>已发货</v>
      </c>
      <c r="J8062" s="1" t="str">
        <f t="shared" si="2307"/>
        <v>5</v>
      </c>
      <c r="K8062" s="1">
        <v>3</v>
      </c>
      <c r="L8062" s="1" t="s">
        <v>30</v>
      </c>
      <c r="M8062" s="1" t="str">
        <f>"山东省 烟台市 蓬莱区 "</f>
        <v xml:space="preserve">山东省 烟台市 蓬莱区 </v>
      </c>
      <c r="N8062" s="1" t="str">
        <f t="shared" si="2308"/>
        <v>凡华云仓-韵达-抖音</v>
      </c>
      <c r="O8062" s="5">
        <v>320166084061700</v>
      </c>
      <c r="P8062" s="6">
        <v>0.47</v>
      </c>
      <c r="Q8062" s="11">
        <v>2.2999999999999998</v>
      </c>
      <c r="R8062" s="11"/>
      <c r="S8062" s="11"/>
      <c r="T8062" s="11"/>
      <c r="U8062" s="11">
        <f t="shared" si="2301"/>
        <v>2.2999999999999998</v>
      </c>
      <c r="W8062">
        <v>2.5</v>
      </c>
      <c r="X8062" s="1" t="s">
        <v>30</v>
      </c>
    </row>
    <row r="8063" spans="1:24" x14ac:dyDescent="0.25">
      <c r="A8063" s="1" t="str">
        <f t="shared" si="2302"/>
        <v>卡卡杜-凤凰仓</v>
      </c>
      <c r="B8063" s="1" t="str">
        <f>"CK202410116404"</f>
        <v>CK202410116404</v>
      </c>
      <c r="C8063" s="1" t="str">
        <f>"DD2024101114912"</f>
        <v>DD2024101114912</v>
      </c>
      <c r="D8063" s="1" t="str">
        <f>"CK2024101117222"</f>
        <v>CK2024101117222</v>
      </c>
      <c r="E8063" s="1" t="str">
        <f>"6934851664711783501"</f>
        <v>6934851664711783501</v>
      </c>
      <c r="F8063" s="1" t="str">
        <f t="shared" si="2303"/>
        <v>花都四部-凤凰仓</v>
      </c>
      <c r="G8063" s="1" t="str">
        <f t="shared" si="2306"/>
        <v>卡卡杜个人护理店（抖店）</v>
      </c>
      <c r="H8063" s="1" t="str">
        <f t="shared" si="2304"/>
        <v>正常订单</v>
      </c>
      <c r="I8063" s="1" t="str">
        <f t="shared" si="2305"/>
        <v>已发货</v>
      </c>
      <c r="J8063" s="1" t="str">
        <f t="shared" si="2307"/>
        <v>5</v>
      </c>
      <c r="K8063" s="1">
        <v>3</v>
      </c>
      <c r="L8063" s="1" t="s">
        <v>20</v>
      </c>
      <c r="M8063" s="1" t="str">
        <f>"浙江省 杭州市 临平区 塘栖镇"</f>
        <v>浙江省 杭州市 临平区 塘栖镇</v>
      </c>
      <c r="N8063" s="1" t="str">
        <f t="shared" si="2308"/>
        <v>凡华云仓-韵达-抖音</v>
      </c>
      <c r="O8063" s="5">
        <v>320166084061699</v>
      </c>
      <c r="P8063" s="6">
        <v>0.47</v>
      </c>
      <c r="Q8063" s="11">
        <v>2.2999999999999998</v>
      </c>
      <c r="R8063" s="11"/>
      <c r="S8063" s="11"/>
      <c r="T8063" s="11"/>
      <c r="U8063" s="11">
        <f t="shared" si="2301"/>
        <v>2.2999999999999998</v>
      </c>
      <c r="W8063">
        <v>2.5</v>
      </c>
      <c r="X8063" s="1" t="s">
        <v>20</v>
      </c>
    </row>
    <row r="8064" spans="1:24" x14ac:dyDescent="0.25">
      <c r="A8064" s="1" t="str">
        <f t="shared" si="2302"/>
        <v>卡卡杜-凤凰仓</v>
      </c>
      <c r="B8064" s="1" t="str">
        <f>"CK202410116420"</f>
        <v>CK202410116420</v>
      </c>
      <c r="C8064" s="1" t="str">
        <f>"DD2024101114929"</f>
        <v>DD2024101114929</v>
      </c>
      <c r="D8064" s="1" t="str">
        <f>"CK2024101117221"</f>
        <v>CK2024101117221</v>
      </c>
      <c r="E8064" s="1" t="str">
        <f>"6934840872531268893"</f>
        <v>6934840872531268893</v>
      </c>
      <c r="F8064" s="1" t="str">
        <f t="shared" si="2303"/>
        <v>花都四部-凤凰仓</v>
      </c>
      <c r="G8064" s="1" t="str">
        <f t="shared" si="2306"/>
        <v>卡卡杜个人护理店（抖店）</v>
      </c>
      <c r="H8064" s="1" t="str">
        <f t="shared" si="2304"/>
        <v>正常订单</v>
      </c>
      <c r="I8064" s="1" t="str">
        <f t="shared" si="2305"/>
        <v>已发货</v>
      </c>
      <c r="J8064" s="1" t="str">
        <f t="shared" si="2307"/>
        <v>5</v>
      </c>
      <c r="K8064" s="1">
        <v>3</v>
      </c>
      <c r="L8064" s="1" t="s">
        <v>20</v>
      </c>
      <c r="M8064" s="1" t="str">
        <f>"浙江省 温州市 永嘉县 桥头镇"</f>
        <v>浙江省 温州市 永嘉县 桥头镇</v>
      </c>
      <c r="N8064" s="1" t="str">
        <f t="shared" si="2308"/>
        <v>凡华云仓-韵达-抖音</v>
      </c>
      <c r="O8064" s="5">
        <v>320166084061500</v>
      </c>
      <c r="P8064" s="6">
        <v>0.47</v>
      </c>
      <c r="Q8064" s="11">
        <v>2.2999999999999998</v>
      </c>
      <c r="R8064" s="11"/>
      <c r="S8064" s="11"/>
      <c r="T8064" s="11"/>
      <c r="U8064" s="11">
        <f t="shared" si="2301"/>
        <v>2.2999999999999998</v>
      </c>
      <c r="W8064">
        <v>2.5</v>
      </c>
      <c r="X8064" s="1" t="s">
        <v>20</v>
      </c>
    </row>
    <row r="8065" spans="1:24" x14ac:dyDescent="0.25">
      <c r="A8065" s="1" t="str">
        <f t="shared" si="2302"/>
        <v>卡卡杜-凤凰仓</v>
      </c>
      <c r="B8065" s="1" t="str">
        <f>"CK202410116423"</f>
        <v>CK202410116423</v>
      </c>
      <c r="C8065" s="1" t="str">
        <f>"DD2024101114931"</f>
        <v>DD2024101114931</v>
      </c>
      <c r="D8065" s="1" t="str">
        <f>"CK2024101117220"</f>
        <v>CK2024101117220</v>
      </c>
      <c r="E8065" s="1" t="str">
        <f>"6934834196115362947"</f>
        <v>6934834196115362947</v>
      </c>
      <c r="F8065" s="1" t="str">
        <f t="shared" si="2303"/>
        <v>花都四部-凤凰仓</v>
      </c>
      <c r="G8065" s="1" t="str">
        <f t="shared" si="2306"/>
        <v>卡卡杜个人护理店（抖店）</v>
      </c>
      <c r="H8065" s="1" t="str">
        <f t="shared" si="2304"/>
        <v>正常订单</v>
      </c>
      <c r="I8065" s="1" t="str">
        <f t="shared" si="2305"/>
        <v>已发货</v>
      </c>
      <c r="J8065" s="1" t="str">
        <f t="shared" si="2307"/>
        <v>5</v>
      </c>
      <c r="K8065" s="1">
        <v>3</v>
      </c>
      <c r="L8065" s="1" t="s">
        <v>30</v>
      </c>
      <c r="M8065" s="1" t="str">
        <f>"山东省 烟台市 莱州市 "</f>
        <v xml:space="preserve">山东省 烟台市 莱州市 </v>
      </c>
      <c r="N8065" s="1" t="str">
        <f t="shared" si="2308"/>
        <v>凡华云仓-韵达-抖音</v>
      </c>
      <c r="O8065" s="5">
        <v>320166084061403</v>
      </c>
      <c r="P8065" s="6">
        <v>0.47</v>
      </c>
      <c r="Q8065" s="11">
        <v>2.2999999999999998</v>
      </c>
      <c r="R8065" s="11"/>
      <c r="S8065" s="11"/>
      <c r="T8065" s="11"/>
      <c r="U8065" s="11">
        <f t="shared" si="2301"/>
        <v>2.2999999999999998</v>
      </c>
      <c r="W8065">
        <v>2.5</v>
      </c>
      <c r="X8065" s="1" t="s">
        <v>30</v>
      </c>
    </row>
    <row r="8066" spans="1:24" x14ac:dyDescent="0.25">
      <c r="A8066" s="1" t="str">
        <f t="shared" si="2302"/>
        <v>卡卡杜-凤凰仓</v>
      </c>
      <c r="B8066" s="1" t="str">
        <f>"CK202410116442"</f>
        <v>CK202410116442</v>
      </c>
      <c r="C8066" s="1" t="str">
        <f>"DD2024101114952"</f>
        <v>DD2024101114952</v>
      </c>
      <c r="D8066" s="1" t="str">
        <f>"CK2024101117219"</f>
        <v>CK2024101117219</v>
      </c>
      <c r="E8066" s="1" t="str">
        <f>"6934838486931871070"</f>
        <v>6934838486931871070</v>
      </c>
      <c r="F8066" s="1" t="str">
        <f t="shared" si="2303"/>
        <v>花都四部-凤凰仓</v>
      </c>
      <c r="G8066" s="1" t="str">
        <f t="shared" si="2306"/>
        <v>卡卡杜个人护理店（抖店）</v>
      </c>
      <c r="H8066" s="1" t="str">
        <f t="shared" si="2304"/>
        <v>正常订单</v>
      </c>
      <c r="I8066" s="1" t="str">
        <f t="shared" si="2305"/>
        <v>已发货</v>
      </c>
      <c r="J8066" s="1" t="str">
        <f t="shared" si="2307"/>
        <v>5</v>
      </c>
      <c r="K8066" s="1">
        <v>3</v>
      </c>
      <c r="L8066" s="1" t="s">
        <v>96</v>
      </c>
      <c r="M8066" s="1" t="str">
        <f>"广西壮族自治区 北海市 海城区 驿马街道"</f>
        <v>广西壮族自治区 北海市 海城区 驿马街道</v>
      </c>
      <c r="N8066" s="1" t="str">
        <f t="shared" si="2308"/>
        <v>凡华云仓-韵达-抖音</v>
      </c>
      <c r="O8066" s="5">
        <v>320166084061308</v>
      </c>
      <c r="P8066" s="6">
        <v>0.47</v>
      </c>
      <c r="Q8066" s="11">
        <v>2.2999999999999998</v>
      </c>
      <c r="R8066" s="11"/>
      <c r="S8066" s="11"/>
      <c r="T8066" s="11"/>
      <c r="U8066" s="11">
        <f t="shared" si="2301"/>
        <v>2.2999999999999998</v>
      </c>
      <c r="W8066">
        <v>2.5</v>
      </c>
      <c r="X8066" s="1" t="s">
        <v>96</v>
      </c>
    </row>
    <row r="8067" spans="1:24" x14ac:dyDescent="0.25">
      <c r="A8067" s="1" t="str">
        <f t="shared" si="2302"/>
        <v>卡卡杜-凤凰仓</v>
      </c>
      <c r="B8067" s="1" t="str">
        <f>"CK202410116397"</f>
        <v>CK202410116397</v>
      </c>
      <c r="C8067" s="1" t="str">
        <f>"DD2024101114906"</f>
        <v>DD2024101114906</v>
      </c>
      <c r="D8067" s="1" t="str">
        <f>"CK2024101117218"</f>
        <v>CK2024101117218</v>
      </c>
      <c r="E8067" s="1" t="str">
        <f>"6934834113830458605"</f>
        <v>6934834113830458605</v>
      </c>
      <c r="F8067" s="1" t="str">
        <f t="shared" si="2303"/>
        <v>花都四部-凤凰仓</v>
      </c>
      <c r="G8067" s="1" t="str">
        <f t="shared" si="2306"/>
        <v>卡卡杜个人护理店（抖店）</v>
      </c>
      <c r="H8067" s="1" t="str">
        <f t="shared" si="2304"/>
        <v>正常订单</v>
      </c>
      <c r="I8067" s="1" t="str">
        <f t="shared" si="2305"/>
        <v>已发货</v>
      </c>
      <c r="J8067" s="1" t="str">
        <f t="shared" si="2307"/>
        <v>5</v>
      </c>
      <c r="K8067" s="1">
        <v>3</v>
      </c>
      <c r="L8067" s="1" t="s">
        <v>20</v>
      </c>
      <c r="M8067" s="1" t="str">
        <f>"浙江省 宁波市 象山县 丹西街道"</f>
        <v>浙江省 宁波市 象山县 丹西街道</v>
      </c>
      <c r="N8067" s="1" t="str">
        <f t="shared" si="2308"/>
        <v>凡华云仓-韵达-抖音</v>
      </c>
      <c r="O8067" s="5">
        <v>320166084061215</v>
      </c>
      <c r="P8067" s="6">
        <v>0.47</v>
      </c>
      <c r="Q8067" s="11">
        <v>2.2999999999999998</v>
      </c>
      <c r="R8067" s="11"/>
      <c r="S8067" s="11"/>
      <c r="T8067" s="11"/>
      <c r="U8067" s="11">
        <f t="shared" ref="U8067:U8130" si="2309">T8067+S8067+R8067+Q8067</f>
        <v>2.2999999999999998</v>
      </c>
      <c r="W8067">
        <v>2.5</v>
      </c>
      <c r="X8067" s="1" t="s">
        <v>20</v>
      </c>
    </row>
    <row r="8068" spans="1:24" x14ac:dyDescent="0.25">
      <c r="A8068" s="1" t="str">
        <f t="shared" si="2302"/>
        <v>卡卡杜-凤凰仓</v>
      </c>
      <c r="B8068" s="1" t="str">
        <f>"CK202410116430"</f>
        <v>CK202410116430</v>
      </c>
      <c r="C8068" s="1" t="str">
        <f>"DD2024101114939"</f>
        <v>DD2024101114939</v>
      </c>
      <c r="D8068" s="1" t="str">
        <f>"CK2024101117217"</f>
        <v>CK2024101117217</v>
      </c>
      <c r="E8068" s="1" t="str">
        <f>"6934840845030790932"</f>
        <v>6934840845030790932</v>
      </c>
      <c r="F8068" s="1" t="str">
        <f t="shared" si="2303"/>
        <v>花都四部-凤凰仓</v>
      </c>
      <c r="G8068" s="1" t="str">
        <f t="shared" si="2306"/>
        <v>卡卡杜个人护理店（抖店）</v>
      </c>
      <c r="H8068" s="1" t="str">
        <f t="shared" si="2304"/>
        <v>正常订单</v>
      </c>
      <c r="I8068" s="1" t="str">
        <f t="shared" si="2305"/>
        <v>已发货</v>
      </c>
      <c r="J8068" s="1" t="str">
        <f t="shared" si="2307"/>
        <v>5</v>
      </c>
      <c r="K8068" s="1">
        <v>3</v>
      </c>
      <c r="L8068" s="1" t="s">
        <v>13</v>
      </c>
      <c r="M8068" s="1" t="str">
        <f>"江苏省 苏州市 张家港市 杨舍镇"</f>
        <v>江苏省 苏州市 张家港市 杨舍镇</v>
      </c>
      <c r="N8068" s="1" t="str">
        <f t="shared" si="2308"/>
        <v>凡华云仓-韵达-抖音</v>
      </c>
      <c r="O8068" s="5">
        <v>320166084061124</v>
      </c>
      <c r="P8068" s="6">
        <v>0.47</v>
      </c>
      <c r="Q8068" s="11">
        <v>2.2999999999999998</v>
      </c>
      <c r="R8068" s="11"/>
      <c r="S8068" s="11"/>
      <c r="T8068" s="11"/>
      <c r="U8068" s="11">
        <f t="shared" si="2309"/>
        <v>2.2999999999999998</v>
      </c>
      <c r="W8068">
        <v>2.5</v>
      </c>
      <c r="X8068" s="1" t="s">
        <v>13</v>
      </c>
    </row>
    <row r="8069" spans="1:24" x14ac:dyDescent="0.25">
      <c r="A8069" s="1" t="str">
        <f t="shared" ref="A8069:A8132" si="2310">"卡卡杜-凤凰仓"</f>
        <v>卡卡杜-凤凰仓</v>
      </c>
      <c r="B8069" s="1" t="str">
        <f>"CK202410116432"</f>
        <v>CK202410116432</v>
      </c>
      <c r="C8069" s="1" t="str">
        <f>"DD2024101114940"</f>
        <v>DD2024101114940</v>
      </c>
      <c r="D8069" s="1" t="str">
        <f>"CK2024101117216"</f>
        <v>CK2024101117216</v>
      </c>
      <c r="E8069" s="1" t="str">
        <f>"6917558734544534710"</f>
        <v>6917558734544534710</v>
      </c>
      <c r="F8069" s="1" t="str">
        <f t="shared" ref="F8069:F8132" si="2311">"花都四部-凤凰仓"</f>
        <v>花都四部-凤凰仓</v>
      </c>
      <c r="G8069" s="1" t="str">
        <f t="shared" si="2306"/>
        <v>卡卡杜个人护理店（抖店）</v>
      </c>
      <c r="H8069" s="1" t="str">
        <f t="shared" ref="H8069:H8132" si="2312">"正常订单"</f>
        <v>正常订单</v>
      </c>
      <c r="I8069" s="1" t="str">
        <f t="shared" ref="I8069:I8132" si="2313">"已发货"</f>
        <v>已发货</v>
      </c>
      <c r="J8069" s="1" t="str">
        <f t="shared" si="2307"/>
        <v>5</v>
      </c>
      <c r="K8069" s="1">
        <v>3</v>
      </c>
      <c r="L8069" s="1" t="s">
        <v>187</v>
      </c>
      <c r="M8069" s="1" t="str">
        <f>"吉林省 长春市 南关区 永兴街道"</f>
        <v>吉林省 长春市 南关区 永兴街道</v>
      </c>
      <c r="N8069" s="1" t="str">
        <f t="shared" si="2308"/>
        <v>凡华云仓-韵达-抖音</v>
      </c>
      <c r="O8069" s="5">
        <v>320166084061035</v>
      </c>
      <c r="P8069" s="6">
        <v>0.47</v>
      </c>
      <c r="Q8069" s="11">
        <v>2.2999999999999998</v>
      </c>
      <c r="R8069" s="11"/>
      <c r="S8069" s="11"/>
      <c r="T8069" s="11"/>
      <c r="U8069" s="11">
        <f t="shared" si="2309"/>
        <v>2.2999999999999998</v>
      </c>
      <c r="W8069">
        <v>2.5</v>
      </c>
      <c r="X8069" s="1" t="s">
        <v>187</v>
      </c>
    </row>
    <row r="8070" spans="1:24" x14ac:dyDescent="0.25">
      <c r="A8070" s="1" t="str">
        <f t="shared" si="2310"/>
        <v>卡卡杜-凤凰仓</v>
      </c>
      <c r="B8070" s="1" t="str">
        <f>"CK202410116434"</f>
        <v>CK202410116434</v>
      </c>
      <c r="C8070" s="1" t="str">
        <f>"DD2024101114944"</f>
        <v>DD2024101114944</v>
      </c>
      <c r="D8070" s="1" t="str">
        <f>"CK2024101117215"</f>
        <v>CK2024101117215</v>
      </c>
      <c r="E8070" s="1" t="str">
        <f>"6934849434697602213"</f>
        <v>6934849434697602213</v>
      </c>
      <c r="F8070" s="1" t="str">
        <f t="shared" si="2311"/>
        <v>花都四部-凤凰仓</v>
      </c>
      <c r="G8070" s="1" t="str">
        <f t="shared" si="2306"/>
        <v>卡卡杜个人护理店（抖店）</v>
      </c>
      <c r="H8070" s="1" t="str">
        <f t="shared" si="2312"/>
        <v>正常订单</v>
      </c>
      <c r="I8070" s="1" t="str">
        <f t="shared" si="2313"/>
        <v>已发货</v>
      </c>
      <c r="J8070" s="1" t="str">
        <f t="shared" si="2307"/>
        <v>5</v>
      </c>
      <c r="K8070" s="1">
        <v>3</v>
      </c>
      <c r="L8070" s="1" t="s">
        <v>66</v>
      </c>
      <c r="M8070" s="1" t="str">
        <f>"内蒙古自治区 包头市 东河区 杨圪塄街道"</f>
        <v>内蒙古自治区 包头市 东河区 杨圪塄街道</v>
      </c>
      <c r="N8070" s="1" t="str">
        <f t="shared" si="2308"/>
        <v>凡华云仓-韵达-抖音</v>
      </c>
      <c r="O8070" s="5">
        <v>320166084060919</v>
      </c>
      <c r="P8070" s="6">
        <v>0.47</v>
      </c>
      <c r="Q8070" s="11">
        <v>2.2999999999999998</v>
      </c>
      <c r="R8070" s="11"/>
      <c r="S8070" s="11"/>
      <c r="T8070" s="11"/>
      <c r="U8070" s="11">
        <f t="shared" si="2309"/>
        <v>2.2999999999999998</v>
      </c>
      <c r="W8070">
        <v>2.5</v>
      </c>
      <c r="X8070" s="1" t="s">
        <v>66</v>
      </c>
    </row>
    <row r="8071" spans="1:24" x14ac:dyDescent="0.25">
      <c r="A8071" s="1" t="str">
        <f t="shared" si="2310"/>
        <v>卡卡杜-凤凰仓</v>
      </c>
      <c r="B8071" s="1" t="str">
        <f>"CK202410116439"</f>
        <v>CK202410116439</v>
      </c>
      <c r="C8071" s="1" t="str">
        <f>"DD2024101114949"</f>
        <v>DD2024101114949</v>
      </c>
      <c r="D8071" s="1" t="str">
        <f>"CK2024101117214"</f>
        <v>CK2024101117214</v>
      </c>
      <c r="E8071" s="1" t="str">
        <f>"6934838489249289423"</f>
        <v>6934838489249289423</v>
      </c>
      <c r="F8071" s="1" t="str">
        <f t="shared" si="2311"/>
        <v>花都四部-凤凰仓</v>
      </c>
      <c r="G8071" s="1" t="str">
        <f t="shared" si="2306"/>
        <v>卡卡杜个人护理店（抖店）</v>
      </c>
      <c r="H8071" s="1" t="str">
        <f t="shared" si="2312"/>
        <v>正常订单</v>
      </c>
      <c r="I8071" s="1" t="str">
        <f t="shared" si="2313"/>
        <v>已发货</v>
      </c>
      <c r="J8071" s="1" t="str">
        <f t="shared" si="2307"/>
        <v>5</v>
      </c>
      <c r="K8071" s="1">
        <v>3</v>
      </c>
      <c r="L8071" s="1" t="s">
        <v>109</v>
      </c>
      <c r="M8071" s="1" t="str">
        <f>"山西省 吕梁市 孝义市 新义街道"</f>
        <v>山西省 吕梁市 孝义市 新义街道</v>
      </c>
      <c r="N8071" s="1" t="str">
        <f t="shared" si="2308"/>
        <v>凡华云仓-韵达-抖音</v>
      </c>
      <c r="O8071" s="5">
        <v>320166084060814</v>
      </c>
      <c r="P8071" s="6">
        <v>0.47</v>
      </c>
      <c r="Q8071" s="11">
        <v>2.2999999999999998</v>
      </c>
      <c r="R8071" s="11"/>
      <c r="S8071" s="11"/>
      <c r="T8071" s="11"/>
      <c r="U8071" s="11">
        <f t="shared" si="2309"/>
        <v>2.2999999999999998</v>
      </c>
      <c r="W8071">
        <v>2.5</v>
      </c>
      <c r="X8071" s="1" t="s">
        <v>109</v>
      </c>
    </row>
    <row r="8072" spans="1:24" x14ac:dyDescent="0.25">
      <c r="A8072" s="1" t="str">
        <f t="shared" si="2310"/>
        <v>卡卡杜-凤凰仓</v>
      </c>
      <c r="B8072" s="1" t="str">
        <f>"CK202410116446"</f>
        <v>CK202410116446</v>
      </c>
      <c r="C8072" s="1" t="str">
        <f>"DD2024101114956"</f>
        <v>DD2024101114956</v>
      </c>
      <c r="D8072" s="1" t="str">
        <f>"CK2024101117213"</f>
        <v>CK2024101117213</v>
      </c>
      <c r="E8072" s="1" t="str">
        <f>"6934824814387794978"</f>
        <v>6934824814387794978</v>
      </c>
      <c r="F8072" s="1" t="str">
        <f t="shared" si="2311"/>
        <v>花都四部-凤凰仓</v>
      </c>
      <c r="G8072" s="1" t="str">
        <f t="shared" si="2306"/>
        <v>卡卡杜个人护理店（抖店）</v>
      </c>
      <c r="H8072" s="1" t="str">
        <f t="shared" si="2312"/>
        <v>正常订单</v>
      </c>
      <c r="I8072" s="1" t="str">
        <f t="shared" si="2313"/>
        <v>已发货</v>
      </c>
      <c r="J8072" s="1" t="str">
        <f t="shared" si="2307"/>
        <v>5</v>
      </c>
      <c r="K8072" s="1">
        <v>3</v>
      </c>
      <c r="L8072" s="1" t="s">
        <v>13</v>
      </c>
      <c r="M8072" s="1" t="str">
        <f>"江苏省 南通市 崇川区 观音山街道"</f>
        <v>江苏省 南通市 崇川区 观音山街道</v>
      </c>
      <c r="N8072" s="1" t="str">
        <f t="shared" si="2308"/>
        <v>凡华云仓-韵达-抖音</v>
      </c>
      <c r="O8072" s="5">
        <v>320166070386296</v>
      </c>
      <c r="P8072" s="6">
        <v>0.47</v>
      </c>
      <c r="Q8072" s="11">
        <v>2.2999999999999998</v>
      </c>
      <c r="R8072" s="11"/>
      <c r="S8072" s="11"/>
      <c r="T8072" s="11"/>
      <c r="U8072" s="11">
        <f t="shared" si="2309"/>
        <v>2.2999999999999998</v>
      </c>
      <c r="W8072">
        <v>2.5</v>
      </c>
      <c r="X8072" s="1" t="s">
        <v>13</v>
      </c>
    </row>
    <row r="8073" spans="1:24" x14ac:dyDescent="0.25">
      <c r="A8073" s="1" t="str">
        <f t="shared" si="2310"/>
        <v>卡卡杜-凤凰仓</v>
      </c>
      <c r="B8073" s="1" t="str">
        <f>"CK202410116453"</f>
        <v>CK202410116453</v>
      </c>
      <c r="C8073" s="1" t="str">
        <f>"DD2024101114962"</f>
        <v>DD2024101114962</v>
      </c>
      <c r="D8073" s="1" t="str">
        <f>"CK2024101117212"</f>
        <v>CK2024101117212</v>
      </c>
      <c r="E8073" s="1" t="str">
        <f>"6934824735305242315"</f>
        <v>6934824735305242315</v>
      </c>
      <c r="F8073" s="1" t="str">
        <f t="shared" si="2311"/>
        <v>花都四部-凤凰仓</v>
      </c>
      <c r="G8073" s="1" t="str">
        <f t="shared" si="2306"/>
        <v>卡卡杜个人护理店（抖店）</v>
      </c>
      <c r="H8073" s="1" t="str">
        <f t="shared" si="2312"/>
        <v>正常订单</v>
      </c>
      <c r="I8073" s="1" t="str">
        <f t="shared" si="2313"/>
        <v>已发货</v>
      </c>
      <c r="J8073" s="1" t="str">
        <f t="shared" si="2307"/>
        <v>5</v>
      </c>
      <c r="K8073" s="1">
        <v>3</v>
      </c>
      <c r="L8073" s="1" t="s">
        <v>13</v>
      </c>
      <c r="M8073" s="1" t="str">
        <f>"江苏省 南京市 雨花台区 西善桥街道"</f>
        <v>江苏省 南京市 雨花台区 西善桥街道</v>
      </c>
      <c r="N8073" s="1" t="str">
        <f t="shared" si="2308"/>
        <v>凡华云仓-韵达-抖音</v>
      </c>
      <c r="O8073" s="5">
        <v>320166070386105</v>
      </c>
      <c r="P8073" s="6">
        <v>0.47</v>
      </c>
      <c r="Q8073" s="11">
        <v>2.2999999999999998</v>
      </c>
      <c r="R8073" s="11"/>
      <c r="S8073" s="11"/>
      <c r="T8073" s="11"/>
      <c r="U8073" s="11">
        <f t="shared" si="2309"/>
        <v>2.2999999999999998</v>
      </c>
      <c r="W8073">
        <v>2.5</v>
      </c>
      <c r="X8073" s="1" t="s">
        <v>13</v>
      </c>
    </row>
    <row r="8074" spans="1:24" x14ac:dyDescent="0.25">
      <c r="A8074" s="1" t="str">
        <f t="shared" si="2310"/>
        <v>卡卡杜-凤凰仓</v>
      </c>
      <c r="B8074" s="1" t="str">
        <f>"CK202410116460"</f>
        <v>CK202410116460</v>
      </c>
      <c r="C8074" s="1" t="str">
        <f>"DD2024101114971"</f>
        <v>DD2024101114971</v>
      </c>
      <c r="D8074" s="1" t="str">
        <f>"CK2024101117211"</f>
        <v>CK2024101117211</v>
      </c>
      <c r="E8074" s="1" t="str">
        <f>"6934829548422829801"</f>
        <v>6934829548422829801</v>
      </c>
      <c r="F8074" s="1" t="str">
        <f t="shared" si="2311"/>
        <v>花都四部-凤凰仓</v>
      </c>
      <c r="G8074" s="1" t="str">
        <f t="shared" si="2306"/>
        <v>卡卡杜个人护理店（抖店）</v>
      </c>
      <c r="H8074" s="1" t="str">
        <f t="shared" si="2312"/>
        <v>正常订单</v>
      </c>
      <c r="I8074" s="1" t="str">
        <f t="shared" si="2313"/>
        <v>已发货</v>
      </c>
      <c r="J8074" s="1" t="str">
        <f t="shared" si="2307"/>
        <v>5</v>
      </c>
      <c r="K8074" s="1">
        <v>3</v>
      </c>
      <c r="L8074" s="1" t="s">
        <v>24</v>
      </c>
      <c r="M8074" s="1" t="str">
        <f>"福建省 福州市 晋安区 新店镇"</f>
        <v>福建省 福州市 晋安区 新店镇</v>
      </c>
      <c r="N8074" s="1" t="str">
        <f t="shared" si="2308"/>
        <v>凡华云仓-韵达-抖音</v>
      </c>
      <c r="O8074" s="5">
        <v>320166070386016</v>
      </c>
      <c r="P8074" s="6">
        <v>0.47</v>
      </c>
      <c r="Q8074" s="11">
        <v>2.2999999999999998</v>
      </c>
      <c r="R8074" s="11"/>
      <c r="S8074" s="11"/>
      <c r="T8074" s="11"/>
      <c r="U8074" s="11">
        <f t="shared" si="2309"/>
        <v>2.2999999999999998</v>
      </c>
      <c r="W8074">
        <v>2.5</v>
      </c>
      <c r="X8074" s="1" t="s">
        <v>24</v>
      </c>
    </row>
    <row r="8075" spans="1:24" x14ac:dyDescent="0.25">
      <c r="A8075" s="1" t="str">
        <f t="shared" si="2310"/>
        <v>卡卡杜-凤凰仓</v>
      </c>
      <c r="B8075" s="1" t="str">
        <f>"CK202410116534"</f>
        <v>CK202410116534</v>
      </c>
      <c r="C8075" s="1" t="str">
        <f>"DD2024101115043"</f>
        <v>DD2024101115043</v>
      </c>
      <c r="D8075" s="1" t="str">
        <f>"CK2024101117210"</f>
        <v>CK2024101117210</v>
      </c>
      <c r="E8075" s="1" t="str">
        <f>"6934831592143460271"</f>
        <v>6934831592143460271</v>
      </c>
      <c r="F8075" s="1" t="str">
        <f t="shared" si="2311"/>
        <v>花都四部-凤凰仓</v>
      </c>
      <c r="G8075" s="1" t="str">
        <f t="shared" si="2306"/>
        <v>卡卡杜个人护理店（抖店）</v>
      </c>
      <c r="H8075" s="1" t="str">
        <f t="shared" si="2312"/>
        <v>正常订单</v>
      </c>
      <c r="I8075" s="1" t="str">
        <f t="shared" si="2313"/>
        <v>已发货</v>
      </c>
      <c r="J8075" s="1" t="str">
        <f t="shared" si="2307"/>
        <v>5</v>
      </c>
      <c r="K8075" s="1">
        <v>3</v>
      </c>
      <c r="L8075" s="1" t="s">
        <v>13</v>
      </c>
      <c r="M8075" s="1" t="str">
        <f>"江苏省 盐城市 东台市 富安镇"</f>
        <v>江苏省 盐城市 东台市 富安镇</v>
      </c>
      <c r="N8075" s="1" t="str">
        <f t="shared" si="2308"/>
        <v>凡华云仓-韵达-抖音</v>
      </c>
      <c r="O8075" s="5">
        <v>320166070385990</v>
      </c>
      <c r="P8075" s="6">
        <v>0.47</v>
      </c>
      <c r="Q8075" s="11">
        <v>2.2999999999999998</v>
      </c>
      <c r="R8075" s="11"/>
      <c r="S8075" s="11"/>
      <c r="T8075" s="11"/>
      <c r="U8075" s="11">
        <f t="shared" si="2309"/>
        <v>2.2999999999999998</v>
      </c>
      <c r="W8075">
        <v>2.5</v>
      </c>
      <c r="X8075" s="1" t="s">
        <v>13</v>
      </c>
    </row>
    <row r="8076" spans="1:24" x14ac:dyDescent="0.25">
      <c r="A8076" s="1" t="str">
        <f t="shared" si="2310"/>
        <v>卡卡杜-凤凰仓</v>
      </c>
      <c r="B8076" s="1" t="str">
        <f>"CK202410116537"</f>
        <v>CK202410116537</v>
      </c>
      <c r="C8076" s="1" t="str">
        <f>"DD2024101115047"</f>
        <v>DD2024101115047</v>
      </c>
      <c r="D8076" s="1" t="str">
        <f>"CK2024101117209"</f>
        <v>CK2024101117209</v>
      </c>
      <c r="E8076" s="1" t="str">
        <f>"6934849482713798045"</f>
        <v>6934849482713798045</v>
      </c>
      <c r="F8076" s="1" t="str">
        <f t="shared" si="2311"/>
        <v>花都四部-凤凰仓</v>
      </c>
      <c r="G8076" s="1" t="str">
        <f t="shared" si="2306"/>
        <v>卡卡杜个人护理店（抖店）</v>
      </c>
      <c r="H8076" s="1" t="str">
        <f t="shared" si="2312"/>
        <v>正常订单</v>
      </c>
      <c r="I8076" s="1" t="str">
        <f t="shared" si="2313"/>
        <v>已发货</v>
      </c>
      <c r="J8076" s="1" t="str">
        <f t="shared" si="2307"/>
        <v>5</v>
      </c>
      <c r="K8076" s="1">
        <v>3</v>
      </c>
      <c r="L8076" s="1" t="s">
        <v>74</v>
      </c>
      <c r="M8076" s="1" t="str">
        <f>"上海 上海市 闵行区 马桥镇"</f>
        <v>上海 上海市 闵行区 马桥镇</v>
      </c>
      <c r="N8076" s="1" t="str">
        <f t="shared" si="2308"/>
        <v>凡华云仓-韵达-抖音</v>
      </c>
      <c r="O8076" s="5">
        <v>320166070385885</v>
      </c>
      <c r="P8076" s="6">
        <v>0.47</v>
      </c>
      <c r="Q8076" s="11">
        <v>2.2999999999999998</v>
      </c>
      <c r="R8076" s="11"/>
      <c r="S8076" s="11"/>
      <c r="T8076" s="11"/>
      <c r="U8076" s="11">
        <f t="shared" si="2309"/>
        <v>2.2999999999999998</v>
      </c>
      <c r="W8076">
        <v>2.5</v>
      </c>
      <c r="X8076" s="1" t="s">
        <v>74</v>
      </c>
    </row>
    <row r="8077" spans="1:24" x14ac:dyDescent="0.25">
      <c r="A8077" s="1" t="str">
        <f t="shared" si="2310"/>
        <v>卡卡杜-凤凰仓</v>
      </c>
      <c r="B8077" s="1" t="str">
        <f>"CK202410116319"</f>
        <v>CK202410116319</v>
      </c>
      <c r="C8077" s="1" t="str">
        <f>"DD2024101114829"</f>
        <v>DD2024101114829</v>
      </c>
      <c r="D8077" s="1" t="str">
        <f>"CK2024101117208"</f>
        <v>CK2024101117208</v>
      </c>
      <c r="E8077" s="1" t="str">
        <f>"6934834187993487132"</f>
        <v>6934834187993487132</v>
      </c>
      <c r="F8077" s="1" t="str">
        <f t="shared" si="2311"/>
        <v>花都四部-凤凰仓</v>
      </c>
      <c r="G8077" s="1" t="str">
        <f t="shared" ref="G8077:G8140" si="2314">"卡卡杜个人护理店（抖店）"</f>
        <v>卡卡杜个人护理店（抖店）</v>
      </c>
      <c r="H8077" s="1" t="str">
        <f t="shared" si="2312"/>
        <v>正常订单</v>
      </c>
      <c r="I8077" s="1" t="str">
        <f t="shared" si="2313"/>
        <v>已发货</v>
      </c>
      <c r="J8077" s="1" t="str">
        <f t="shared" si="2307"/>
        <v>5</v>
      </c>
      <c r="K8077" s="1">
        <v>3</v>
      </c>
      <c r="L8077" s="1" t="s">
        <v>18</v>
      </c>
      <c r="M8077" s="1" t="str">
        <f>"广东省 汕头市 龙湖区 珠池街道"</f>
        <v>广东省 汕头市 龙湖区 珠池街道</v>
      </c>
      <c r="N8077" s="1" t="str">
        <f t="shared" si="2308"/>
        <v>凡华云仓-韵达-抖音</v>
      </c>
      <c r="O8077" s="5">
        <v>320166070385782</v>
      </c>
      <c r="P8077" s="6">
        <v>0.47</v>
      </c>
      <c r="Q8077" s="11">
        <v>2.2999999999999998</v>
      </c>
      <c r="R8077" s="11"/>
      <c r="S8077" s="11"/>
      <c r="T8077" s="11"/>
      <c r="U8077" s="11">
        <f t="shared" si="2309"/>
        <v>2.2999999999999998</v>
      </c>
      <c r="W8077">
        <v>2.5</v>
      </c>
      <c r="X8077" s="1" t="s">
        <v>18</v>
      </c>
    </row>
    <row r="8078" spans="1:24" x14ac:dyDescent="0.25">
      <c r="A8078" s="1" t="str">
        <f t="shared" si="2310"/>
        <v>卡卡杜-凤凰仓</v>
      </c>
      <c r="B8078" s="1" t="str">
        <f>"CK202410116335"</f>
        <v>CK202410116335</v>
      </c>
      <c r="C8078" s="1" t="str">
        <f>"DD2024101114844"</f>
        <v>DD2024101114844</v>
      </c>
      <c r="D8078" s="1" t="str">
        <f>"CK2024101117207"</f>
        <v>CK2024101117207</v>
      </c>
      <c r="E8078" s="1" t="str">
        <f>"6934834209926223549"</f>
        <v>6934834209926223549</v>
      </c>
      <c r="F8078" s="1" t="str">
        <f t="shared" si="2311"/>
        <v>花都四部-凤凰仓</v>
      </c>
      <c r="G8078" s="1" t="str">
        <f t="shared" si="2314"/>
        <v>卡卡杜个人护理店（抖店）</v>
      </c>
      <c r="H8078" s="1" t="str">
        <f t="shared" si="2312"/>
        <v>正常订单</v>
      </c>
      <c r="I8078" s="1" t="str">
        <f t="shared" si="2313"/>
        <v>已发货</v>
      </c>
      <c r="J8078" s="1" t="str">
        <f t="shared" ref="J8078:J8084" si="2315">"5"</f>
        <v>5</v>
      </c>
      <c r="K8078" s="1">
        <v>3</v>
      </c>
      <c r="L8078" s="1" t="s">
        <v>80</v>
      </c>
      <c r="M8078" s="1" t="str">
        <f>"河南省 平顶山市 叶县 龚店镇"</f>
        <v>河南省 平顶山市 叶县 龚店镇</v>
      </c>
      <c r="N8078" s="1" t="str">
        <f t="shared" si="2308"/>
        <v>凡华云仓-韵达-抖音</v>
      </c>
      <c r="O8078" s="5">
        <v>320166070385681</v>
      </c>
      <c r="P8078" s="6">
        <v>0.47</v>
      </c>
      <c r="Q8078" s="11">
        <v>2.2999999999999998</v>
      </c>
      <c r="R8078" s="11"/>
      <c r="S8078" s="11"/>
      <c r="T8078" s="11"/>
      <c r="U8078" s="11">
        <f t="shared" si="2309"/>
        <v>2.2999999999999998</v>
      </c>
      <c r="W8078">
        <v>2.5</v>
      </c>
      <c r="X8078" s="1" t="s">
        <v>80</v>
      </c>
    </row>
    <row r="8079" spans="1:24" x14ac:dyDescent="0.25">
      <c r="A8079" s="1" t="str">
        <f t="shared" si="2310"/>
        <v>卡卡杜-凤凰仓</v>
      </c>
      <c r="B8079" s="1" t="str">
        <f>"CK202410116467"</f>
        <v>CK202410116467</v>
      </c>
      <c r="C8079" s="1" t="str">
        <f>"DD2024101114976"</f>
        <v>DD2024101114976</v>
      </c>
      <c r="D8079" s="1" t="str">
        <f>"CK2024101117206"</f>
        <v>CK2024101117206</v>
      </c>
      <c r="E8079" s="1" t="str">
        <f>"6934827253640729804"</f>
        <v>6934827253640729804</v>
      </c>
      <c r="F8079" s="1" t="str">
        <f t="shared" si="2311"/>
        <v>花都四部-凤凰仓</v>
      </c>
      <c r="G8079" s="1" t="str">
        <f t="shared" si="2314"/>
        <v>卡卡杜个人护理店（抖店）</v>
      </c>
      <c r="H8079" s="1" t="str">
        <f t="shared" si="2312"/>
        <v>正常订单</v>
      </c>
      <c r="I8079" s="1" t="str">
        <f t="shared" si="2313"/>
        <v>已发货</v>
      </c>
      <c r="J8079" s="1" t="str">
        <f t="shared" si="2315"/>
        <v>5</v>
      </c>
      <c r="K8079" s="1">
        <v>3</v>
      </c>
      <c r="L8079" s="1" t="s">
        <v>218</v>
      </c>
      <c r="M8079" s="1" t="str">
        <f>"天津 天津市 和平区 南市街道"</f>
        <v>天津 天津市 和平区 南市街道</v>
      </c>
      <c r="N8079" s="1" t="str">
        <f t="shared" si="2308"/>
        <v>凡华云仓-韵达-抖音</v>
      </c>
      <c r="O8079" s="5">
        <v>320166070385582</v>
      </c>
      <c r="P8079" s="6">
        <v>0.47</v>
      </c>
      <c r="Q8079" s="11">
        <v>2.2999999999999998</v>
      </c>
      <c r="R8079" s="11"/>
      <c r="S8079" s="11"/>
      <c r="T8079" s="11"/>
      <c r="U8079" s="11">
        <f t="shared" si="2309"/>
        <v>2.2999999999999998</v>
      </c>
      <c r="W8079">
        <v>2.5</v>
      </c>
      <c r="X8079" s="1" t="s">
        <v>218</v>
      </c>
    </row>
    <row r="8080" spans="1:24" x14ac:dyDescent="0.25">
      <c r="A8080" s="1" t="str">
        <f t="shared" si="2310"/>
        <v>卡卡杜-凤凰仓</v>
      </c>
      <c r="B8080" s="1" t="str">
        <f>"CK202410116470"</f>
        <v>CK202410116470</v>
      </c>
      <c r="C8080" s="1" t="str">
        <f>"DD2024101114979"</f>
        <v>DD2024101114979</v>
      </c>
      <c r="D8080" s="1" t="str">
        <f>"CK2024101117205"</f>
        <v>CK2024101117205</v>
      </c>
      <c r="E8080" s="1" t="str">
        <f>"6934824826095867753"</f>
        <v>6934824826095867753</v>
      </c>
      <c r="F8080" s="1" t="str">
        <f t="shared" si="2311"/>
        <v>花都四部-凤凰仓</v>
      </c>
      <c r="G8080" s="1" t="str">
        <f t="shared" si="2314"/>
        <v>卡卡杜个人护理店（抖店）</v>
      </c>
      <c r="H8080" s="1" t="str">
        <f t="shared" si="2312"/>
        <v>正常订单</v>
      </c>
      <c r="I8080" s="1" t="str">
        <f t="shared" si="2313"/>
        <v>已发货</v>
      </c>
      <c r="J8080" s="1" t="str">
        <f t="shared" si="2315"/>
        <v>5</v>
      </c>
      <c r="K8080" s="1">
        <v>3</v>
      </c>
      <c r="L8080" s="1" t="s">
        <v>94</v>
      </c>
      <c r="M8080" s="1" t="str">
        <f>"湖南省 常德市 桃源县 漳江街道"</f>
        <v>湖南省 常德市 桃源县 漳江街道</v>
      </c>
      <c r="N8080" s="1" t="str">
        <f t="shared" si="2308"/>
        <v>凡华云仓-韵达-抖音</v>
      </c>
      <c r="O8080" s="5">
        <v>320166070385485</v>
      </c>
      <c r="P8080" s="6">
        <v>0.47</v>
      </c>
      <c r="Q8080" s="11">
        <v>2.2999999999999998</v>
      </c>
      <c r="R8080" s="11"/>
      <c r="S8080" s="11"/>
      <c r="T8080" s="11"/>
      <c r="U8080" s="11">
        <f t="shared" si="2309"/>
        <v>2.2999999999999998</v>
      </c>
      <c r="W8080">
        <v>2.5</v>
      </c>
      <c r="X8080" s="1" t="s">
        <v>94</v>
      </c>
    </row>
    <row r="8081" spans="1:24" x14ac:dyDescent="0.25">
      <c r="A8081" s="1" t="str">
        <f t="shared" si="2310"/>
        <v>卡卡杜-凤凰仓</v>
      </c>
      <c r="B8081" s="1" t="str">
        <f>"CK202410116472"</f>
        <v>CK202410116472</v>
      </c>
      <c r="C8081" s="1" t="str">
        <f>"DD2024101114980"</f>
        <v>DD2024101114980</v>
      </c>
      <c r="D8081" s="1" t="str">
        <f>"CK2024101117204"</f>
        <v>CK2024101117204</v>
      </c>
      <c r="E8081" s="1" t="str">
        <f>"6934822567063065945"</f>
        <v>6934822567063065945</v>
      </c>
      <c r="F8081" s="1" t="str">
        <f t="shared" si="2311"/>
        <v>花都四部-凤凰仓</v>
      </c>
      <c r="G8081" s="1" t="str">
        <f t="shared" si="2314"/>
        <v>卡卡杜个人护理店（抖店）</v>
      </c>
      <c r="H8081" s="1" t="str">
        <f t="shared" si="2312"/>
        <v>正常订单</v>
      </c>
      <c r="I8081" s="1" t="str">
        <f t="shared" si="2313"/>
        <v>已发货</v>
      </c>
      <c r="J8081" s="1" t="str">
        <f t="shared" si="2315"/>
        <v>5</v>
      </c>
      <c r="K8081" s="1">
        <v>3</v>
      </c>
      <c r="L8081" s="1" t="s">
        <v>27</v>
      </c>
      <c r="M8081" s="1" t="str">
        <f>"贵州省 黔东南苗族侗族自治州 凯里市 洗马河街道"</f>
        <v>贵州省 黔东南苗族侗族自治州 凯里市 洗马河街道</v>
      </c>
      <c r="N8081" s="1" t="str">
        <f t="shared" si="2308"/>
        <v>凡华云仓-韵达-抖音</v>
      </c>
      <c r="O8081" s="5">
        <v>320166070385390</v>
      </c>
      <c r="P8081" s="6">
        <v>0.47</v>
      </c>
      <c r="Q8081" s="11">
        <v>2.2999999999999998</v>
      </c>
      <c r="R8081" s="11"/>
      <c r="S8081" s="11"/>
      <c r="T8081" s="11"/>
      <c r="U8081" s="11">
        <f t="shared" si="2309"/>
        <v>2.2999999999999998</v>
      </c>
      <c r="W8081">
        <v>2.5</v>
      </c>
      <c r="X8081" s="1" t="s">
        <v>27</v>
      </c>
    </row>
    <row r="8082" spans="1:24" x14ac:dyDescent="0.25">
      <c r="A8082" s="1" t="str">
        <f t="shared" si="2310"/>
        <v>卡卡杜-凤凰仓</v>
      </c>
      <c r="B8082" s="1" t="str">
        <f>"CK202410116503"</f>
        <v>CK202410116503</v>
      </c>
      <c r="C8082" s="1" t="str">
        <f>"DD2024101115011"</f>
        <v>DD2024101115011</v>
      </c>
      <c r="D8082" s="1" t="str">
        <f>"CK2024101117203"</f>
        <v>CK2024101117203</v>
      </c>
      <c r="E8082" s="1" t="str">
        <f>"6934836256700044669"</f>
        <v>6934836256700044669</v>
      </c>
      <c r="F8082" s="1" t="str">
        <f t="shared" si="2311"/>
        <v>花都四部-凤凰仓</v>
      </c>
      <c r="G8082" s="1" t="str">
        <f t="shared" si="2314"/>
        <v>卡卡杜个人护理店（抖店）</v>
      </c>
      <c r="H8082" s="1" t="str">
        <f t="shared" si="2312"/>
        <v>正常订单</v>
      </c>
      <c r="I8082" s="1" t="str">
        <f t="shared" si="2313"/>
        <v>已发货</v>
      </c>
      <c r="J8082" s="1" t="str">
        <f t="shared" si="2315"/>
        <v>5</v>
      </c>
      <c r="K8082" s="1">
        <v>3</v>
      </c>
      <c r="L8082" s="1" t="s">
        <v>74</v>
      </c>
      <c r="M8082" s="1" t="str">
        <f>"上海 上海市 宝山区 淞南镇"</f>
        <v>上海 上海市 宝山区 淞南镇</v>
      </c>
      <c r="N8082" s="1" t="str">
        <f t="shared" si="2308"/>
        <v>凡华云仓-韵达-抖音</v>
      </c>
      <c r="O8082" s="5">
        <v>320166073282676</v>
      </c>
      <c r="P8082" s="6">
        <v>0.47</v>
      </c>
      <c r="Q8082" s="11">
        <v>2.2999999999999998</v>
      </c>
      <c r="R8082" s="11"/>
      <c r="S8082" s="11"/>
      <c r="T8082" s="11"/>
      <c r="U8082" s="11">
        <f t="shared" si="2309"/>
        <v>2.2999999999999998</v>
      </c>
      <c r="W8082">
        <v>2.5</v>
      </c>
      <c r="X8082" s="1" t="s">
        <v>74</v>
      </c>
    </row>
    <row r="8083" spans="1:24" x14ac:dyDescent="0.25">
      <c r="A8083" s="1" t="str">
        <f t="shared" si="2310"/>
        <v>卡卡杜-凤凰仓</v>
      </c>
      <c r="B8083" s="1" t="str">
        <f>"CK202410116510"</f>
        <v>CK202410116510</v>
      </c>
      <c r="C8083" s="1" t="str">
        <f>"DD2024101115016"</f>
        <v>DD2024101115016</v>
      </c>
      <c r="D8083" s="1" t="str">
        <f>"CK2024101117202"</f>
        <v>CK2024101117202</v>
      </c>
      <c r="E8083" s="1" t="str">
        <f>"6934843199728260577"</f>
        <v>6934843199728260577</v>
      </c>
      <c r="F8083" s="1" t="str">
        <f t="shared" si="2311"/>
        <v>花都四部-凤凰仓</v>
      </c>
      <c r="G8083" s="1" t="str">
        <f t="shared" si="2314"/>
        <v>卡卡杜个人护理店（抖店）</v>
      </c>
      <c r="H8083" s="1" t="str">
        <f t="shared" si="2312"/>
        <v>正常订单</v>
      </c>
      <c r="I8083" s="1" t="str">
        <f t="shared" si="2313"/>
        <v>已发货</v>
      </c>
      <c r="J8083" s="1" t="str">
        <f t="shared" si="2315"/>
        <v>5</v>
      </c>
      <c r="K8083" s="1">
        <v>3</v>
      </c>
      <c r="L8083" s="1" t="s">
        <v>36</v>
      </c>
      <c r="M8083" s="1" t="str">
        <f>"安徽省 黄山市 休宁县 万安镇"</f>
        <v>安徽省 黄山市 休宁县 万安镇</v>
      </c>
      <c r="N8083" s="1" t="str">
        <f t="shared" si="2308"/>
        <v>凡华云仓-韵达-抖音</v>
      </c>
      <c r="O8083" s="5">
        <v>320166073282577</v>
      </c>
      <c r="P8083" s="6">
        <v>0.47</v>
      </c>
      <c r="Q8083" s="11">
        <v>2.2999999999999998</v>
      </c>
      <c r="R8083" s="11"/>
      <c r="S8083" s="11"/>
      <c r="T8083" s="11"/>
      <c r="U8083" s="11">
        <f t="shared" si="2309"/>
        <v>2.2999999999999998</v>
      </c>
      <c r="W8083">
        <v>2.5</v>
      </c>
      <c r="X8083" s="1" t="s">
        <v>36</v>
      </c>
    </row>
    <row r="8084" spans="1:24" x14ac:dyDescent="0.25">
      <c r="A8084" s="1" t="str">
        <f t="shared" si="2310"/>
        <v>卡卡杜-凤凰仓</v>
      </c>
      <c r="B8084" s="1" t="str">
        <f>"CK202410116547"</f>
        <v>CK202410116547</v>
      </c>
      <c r="C8084" s="1" t="str">
        <f>"DD2024101115057"</f>
        <v>DD2024101115057</v>
      </c>
      <c r="D8084" s="1" t="str">
        <f>"CK2024101117201"</f>
        <v>CK2024101117201</v>
      </c>
      <c r="E8084" s="1" t="str">
        <f>"6934847485297562763"</f>
        <v>6934847485297562763</v>
      </c>
      <c r="F8084" s="1" t="str">
        <f t="shared" si="2311"/>
        <v>花都四部-凤凰仓</v>
      </c>
      <c r="G8084" s="1" t="str">
        <f t="shared" si="2314"/>
        <v>卡卡杜个人护理店（抖店）</v>
      </c>
      <c r="H8084" s="1" t="str">
        <f t="shared" si="2312"/>
        <v>正常订单</v>
      </c>
      <c r="I8084" s="1" t="str">
        <f t="shared" si="2313"/>
        <v>已发货</v>
      </c>
      <c r="J8084" s="1" t="str">
        <f t="shared" si="2315"/>
        <v>5</v>
      </c>
      <c r="K8084" s="1">
        <v>3</v>
      </c>
      <c r="L8084" s="1" t="s">
        <v>66</v>
      </c>
      <c r="M8084" s="1" t="str">
        <f>"内蒙古自治区 鄂尔多斯市 准格尔旗 友谊街道"</f>
        <v>内蒙古自治区 鄂尔多斯市 准格尔旗 友谊街道</v>
      </c>
      <c r="N8084" s="1" t="str">
        <f t="shared" si="2308"/>
        <v>凡华云仓-韵达-抖音</v>
      </c>
      <c r="O8084" s="5">
        <v>320166073282480</v>
      </c>
      <c r="P8084" s="6">
        <v>0.47</v>
      </c>
      <c r="Q8084" s="11">
        <v>2.2999999999999998</v>
      </c>
      <c r="R8084" s="11"/>
      <c r="S8084" s="11"/>
      <c r="T8084" s="11"/>
      <c r="U8084" s="11">
        <f t="shared" si="2309"/>
        <v>2.2999999999999998</v>
      </c>
      <c r="W8084">
        <v>2.5</v>
      </c>
      <c r="X8084" s="1" t="s">
        <v>66</v>
      </c>
    </row>
    <row r="8085" spans="1:24" x14ac:dyDescent="0.25">
      <c r="A8085" s="1" t="str">
        <f t="shared" si="2310"/>
        <v>卡卡杜-凤凰仓</v>
      </c>
      <c r="B8085" s="1" t="str">
        <f>"CK2024101110450"</f>
        <v>CK2024101110450</v>
      </c>
      <c r="C8085" s="1" t="str">
        <f>"DD2024101117026"</f>
        <v>DD2024101117026</v>
      </c>
      <c r="D8085" s="1" t="str">
        <f>"CK2024101117200"</f>
        <v>CK2024101117200</v>
      </c>
      <c r="E8085" s="1" t="str">
        <f>"6934853722029561588"</f>
        <v>6934853722029561588</v>
      </c>
      <c r="F8085" s="1" t="str">
        <f t="shared" si="2311"/>
        <v>花都四部-凤凰仓</v>
      </c>
      <c r="G8085" s="1" t="str">
        <f t="shared" si="2314"/>
        <v>卡卡杜个人护理店（抖店）</v>
      </c>
      <c r="H8085" s="1" t="str">
        <f t="shared" si="2312"/>
        <v>正常订单</v>
      </c>
      <c r="I8085" s="1" t="str">
        <f t="shared" si="2313"/>
        <v>已发货</v>
      </c>
      <c r="J8085" s="1" t="str">
        <f t="shared" ref="J8085:J8087" si="2316">"9"</f>
        <v>9</v>
      </c>
      <c r="K8085" s="1">
        <v>3</v>
      </c>
      <c r="L8085" s="1" t="s">
        <v>24</v>
      </c>
      <c r="M8085" s="1" t="str">
        <f>"福建省 泉州市 安溪县 龙门镇"</f>
        <v>福建省 泉州市 安溪县 龙门镇</v>
      </c>
      <c r="N8085" s="1" t="str">
        <f t="shared" si="2308"/>
        <v>凡华云仓-韵达-抖音</v>
      </c>
      <c r="O8085" s="5">
        <v>320166073282385</v>
      </c>
      <c r="P8085" s="6">
        <v>0.83</v>
      </c>
      <c r="Q8085" s="11">
        <f t="shared" ref="Q8085:Q8087" si="2317">CEILING(P8085-0.5,0.1)*10*0.15+2.3</f>
        <v>2.9</v>
      </c>
      <c r="R8085" s="11"/>
      <c r="S8085" s="11"/>
      <c r="T8085" s="11"/>
      <c r="U8085" s="11">
        <f t="shared" si="2309"/>
        <v>2.9</v>
      </c>
      <c r="V8085" t="s">
        <v>15</v>
      </c>
      <c r="W8085">
        <v>2.9</v>
      </c>
      <c r="X8085" s="1" t="s">
        <v>24</v>
      </c>
    </row>
    <row r="8086" spans="1:24" x14ac:dyDescent="0.25">
      <c r="A8086" s="1" t="str">
        <f t="shared" si="2310"/>
        <v>卡卡杜-凤凰仓</v>
      </c>
      <c r="B8086" s="1" t="str">
        <f>"CK2024101110451"</f>
        <v>CK2024101110451</v>
      </c>
      <c r="C8086" s="1" t="str">
        <f>"DD2024101117027"</f>
        <v>DD2024101117027</v>
      </c>
      <c r="D8086" s="1" t="str">
        <f>"CK2024101117199"</f>
        <v>CK2024101117199</v>
      </c>
      <c r="E8086" s="1" t="str">
        <f>"6934847564566172833"</f>
        <v>6934847564566172833</v>
      </c>
      <c r="F8086" s="1" t="str">
        <f t="shared" si="2311"/>
        <v>花都四部-凤凰仓</v>
      </c>
      <c r="G8086" s="1" t="str">
        <f t="shared" si="2314"/>
        <v>卡卡杜个人护理店（抖店）</v>
      </c>
      <c r="H8086" s="1" t="str">
        <f t="shared" si="2312"/>
        <v>正常订单</v>
      </c>
      <c r="I8086" s="1" t="str">
        <f t="shared" si="2313"/>
        <v>已发货</v>
      </c>
      <c r="J8086" s="1" t="str">
        <f t="shared" si="2316"/>
        <v>9</v>
      </c>
      <c r="K8086" s="1">
        <v>3</v>
      </c>
      <c r="L8086" s="1" t="s">
        <v>44</v>
      </c>
      <c r="M8086" s="1" t="str">
        <f>"海南省 三亚市 天涯区 "</f>
        <v xml:space="preserve">海南省 三亚市 天涯区 </v>
      </c>
      <c r="N8086" s="1" t="str">
        <f t="shared" si="2308"/>
        <v>凡华云仓-韵达-抖音</v>
      </c>
      <c r="O8086" s="5">
        <v>320166073282292</v>
      </c>
      <c r="P8086" s="6">
        <v>0.83</v>
      </c>
      <c r="Q8086" s="11">
        <f t="shared" si="2317"/>
        <v>2.9</v>
      </c>
      <c r="R8086" s="11"/>
      <c r="S8086" s="11"/>
      <c r="T8086" s="11"/>
      <c r="U8086" s="11">
        <f t="shared" si="2309"/>
        <v>2.9</v>
      </c>
      <c r="V8086" t="s">
        <v>15</v>
      </c>
      <c r="W8086">
        <v>2.9</v>
      </c>
      <c r="X8086" s="1" t="s">
        <v>44</v>
      </c>
    </row>
    <row r="8087" spans="1:24" x14ac:dyDescent="0.25">
      <c r="A8087" s="1" t="str">
        <f t="shared" si="2310"/>
        <v>卡卡杜-凤凰仓</v>
      </c>
      <c r="B8087" s="1" t="str">
        <f>"CK2024101110454"</f>
        <v>CK2024101110454</v>
      </c>
      <c r="C8087" s="1" t="str">
        <f>"DD2024101117030"</f>
        <v>DD2024101117030</v>
      </c>
      <c r="D8087" s="1" t="str">
        <f>"CK2024101117198"</f>
        <v>CK2024101117198</v>
      </c>
      <c r="E8087" s="1" t="str">
        <f>"6934829613584029341"</f>
        <v>6934829613584029341</v>
      </c>
      <c r="F8087" s="1" t="str">
        <f t="shared" si="2311"/>
        <v>花都四部-凤凰仓</v>
      </c>
      <c r="G8087" s="1" t="str">
        <f t="shared" si="2314"/>
        <v>卡卡杜个人护理店（抖店）</v>
      </c>
      <c r="H8087" s="1" t="str">
        <f t="shared" si="2312"/>
        <v>正常订单</v>
      </c>
      <c r="I8087" s="1" t="str">
        <f t="shared" si="2313"/>
        <v>已发货</v>
      </c>
      <c r="J8087" s="1" t="str">
        <f t="shared" si="2316"/>
        <v>9</v>
      </c>
      <c r="K8087" s="1">
        <v>3</v>
      </c>
      <c r="L8087" s="1" t="s">
        <v>74</v>
      </c>
      <c r="M8087" s="1" t="str">
        <f>"上海 上海市 嘉定区 徐行镇"</f>
        <v>上海 上海市 嘉定区 徐行镇</v>
      </c>
      <c r="N8087" s="1" t="str">
        <f t="shared" si="2308"/>
        <v>凡华云仓-韵达-抖音</v>
      </c>
      <c r="O8087" s="5">
        <v>320166073282101</v>
      </c>
      <c r="P8087" s="6">
        <v>0.83</v>
      </c>
      <c r="Q8087" s="11">
        <f t="shared" si="2317"/>
        <v>2.9</v>
      </c>
      <c r="R8087" s="11"/>
      <c r="S8087" s="11"/>
      <c r="T8087" s="11"/>
      <c r="U8087" s="11">
        <f t="shared" si="2309"/>
        <v>2.9</v>
      </c>
      <c r="V8087" t="s">
        <v>15</v>
      </c>
      <c r="W8087">
        <v>2.9</v>
      </c>
      <c r="X8087" s="1" t="s">
        <v>74</v>
      </c>
    </row>
    <row r="8088" spans="1:24" x14ac:dyDescent="0.25">
      <c r="A8088" s="1" t="str">
        <f t="shared" si="2310"/>
        <v>卡卡杜-凤凰仓</v>
      </c>
      <c r="B8088" s="1" t="str">
        <f>"CK202410116151"</f>
        <v>CK202410116151</v>
      </c>
      <c r="C8088" s="1" t="str">
        <f>"DD2024101114660"</f>
        <v>DD2024101114660</v>
      </c>
      <c r="D8088" s="1" t="str">
        <f>"CK2024101117197"</f>
        <v>CK2024101117197</v>
      </c>
      <c r="E8088" s="1" t="str">
        <f>"6934847559243142285"</f>
        <v>6934847559243142285</v>
      </c>
      <c r="F8088" s="1" t="str">
        <f t="shared" si="2311"/>
        <v>花都四部-凤凰仓</v>
      </c>
      <c r="G8088" s="1" t="str">
        <f t="shared" si="2314"/>
        <v>卡卡杜个人护理店（抖店）</v>
      </c>
      <c r="H8088" s="1" t="str">
        <f t="shared" si="2312"/>
        <v>正常订单</v>
      </c>
      <c r="I8088" s="1" t="str">
        <f t="shared" si="2313"/>
        <v>已发货</v>
      </c>
      <c r="J8088" s="1" t="str">
        <f t="shared" ref="J8088:J8122" si="2318">"5"</f>
        <v>5</v>
      </c>
      <c r="K8088" s="1">
        <v>3</v>
      </c>
      <c r="L8088" s="1" t="s">
        <v>109</v>
      </c>
      <c r="M8088" s="1" t="str">
        <f>"山西省 太原市 杏花岭区 敦化坊街道"</f>
        <v>山西省 太原市 杏花岭区 敦化坊街道</v>
      </c>
      <c r="N8088" s="1" t="str">
        <f t="shared" si="2308"/>
        <v>凡华云仓-韵达-抖音</v>
      </c>
      <c r="O8088" s="5">
        <v>320166073282012</v>
      </c>
      <c r="P8088" s="6">
        <v>0.47</v>
      </c>
      <c r="Q8088" s="11">
        <v>2.2999999999999998</v>
      </c>
      <c r="R8088" s="11"/>
      <c r="S8088" s="11"/>
      <c r="T8088" s="11"/>
      <c r="U8088" s="11">
        <f t="shared" si="2309"/>
        <v>2.2999999999999998</v>
      </c>
      <c r="W8088">
        <v>2.5</v>
      </c>
      <c r="X8088" s="1" t="s">
        <v>109</v>
      </c>
    </row>
    <row r="8089" spans="1:24" x14ac:dyDescent="0.25">
      <c r="A8089" s="1" t="str">
        <f t="shared" si="2310"/>
        <v>卡卡杜-凤凰仓</v>
      </c>
      <c r="B8089" s="1" t="str">
        <f>"CK202410116465"</f>
        <v>CK202410116465</v>
      </c>
      <c r="C8089" s="1" t="str">
        <f>"DD2024101114973"</f>
        <v>DD2024101114973</v>
      </c>
      <c r="D8089" s="1" t="str">
        <f>"CK2024101117195"</f>
        <v>CK2024101117195</v>
      </c>
      <c r="E8089" s="1" t="str">
        <f>"6934843296446486171"</f>
        <v>6934843296446486171</v>
      </c>
      <c r="F8089" s="1" t="str">
        <f t="shared" si="2311"/>
        <v>花都四部-凤凰仓</v>
      </c>
      <c r="G8089" s="1" t="str">
        <f t="shared" si="2314"/>
        <v>卡卡杜个人护理店（抖店）</v>
      </c>
      <c r="H8089" s="1" t="str">
        <f t="shared" si="2312"/>
        <v>正常订单</v>
      </c>
      <c r="I8089" s="1" t="str">
        <f t="shared" si="2313"/>
        <v>已发货</v>
      </c>
      <c r="J8089" s="1" t="str">
        <f t="shared" si="2318"/>
        <v>5</v>
      </c>
      <c r="K8089" s="1">
        <v>3</v>
      </c>
      <c r="L8089" s="1" t="s">
        <v>109</v>
      </c>
      <c r="M8089" s="1" t="str">
        <f>"山西省 运城市 垣曲县 新城镇"</f>
        <v>山西省 运城市 垣曲县 新城镇</v>
      </c>
      <c r="N8089" s="1" t="str">
        <f t="shared" si="2308"/>
        <v>凡华云仓-韵达-抖音</v>
      </c>
      <c r="O8089" s="5">
        <v>320166073281889</v>
      </c>
      <c r="P8089" s="6">
        <v>0.47</v>
      </c>
      <c r="Q8089" s="11">
        <v>2.2999999999999998</v>
      </c>
      <c r="R8089" s="11"/>
      <c r="S8089" s="11"/>
      <c r="T8089" s="11"/>
      <c r="U8089" s="11">
        <f t="shared" si="2309"/>
        <v>2.2999999999999998</v>
      </c>
      <c r="W8089">
        <v>2.5</v>
      </c>
      <c r="X8089" s="1" t="s">
        <v>109</v>
      </c>
    </row>
    <row r="8090" spans="1:24" x14ac:dyDescent="0.25">
      <c r="A8090" s="1" t="str">
        <f t="shared" si="2310"/>
        <v>卡卡杜-凤凰仓</v>
      </c>
      <c r="B8090" s="1" t="str">
        <f>"CK202410116482"</f>
        <v>CK202410116482</v>
      </c>
      <c r="C8090" s="1" t="str">
        <f>"DD2024101114991"</f>
        <v>DD2024101114991</v>
      </c>
      <c r="D8090" s="1" t="str">
        <f>"CK2024101117194"</f>
        <v>CK2024101117194</v>
      </c>
      <c r="E8090" s="1" t="str">
        <f>"6934851662736135765"</f>
        <v>6934851662736135765</v>
      </c>
      <c r="F8090" s="1" t="str">
        <f t="shared" si="2311"/>
        <v>花都四部-凤凰仓</v>
      </c>
      <c r="G8090" s="1" t="str">
        <f t="shared" si="2314"/>
        <v>卡卡杜个人护理店（抖店）</v>
      </c>
      <c r="H8090" s="1" t="str">
        <f t="shared" si="2312"/>
        <v>正常订单</v>
      </c>
      <c r="I8090" s="1" t="str">
        <f t="shared" si="2313"/>
        <v>已发货</v>
      </c>
      <c r="J8090" s="1" t="str">
        <f t="shared" si="2318"/>
        <v>5</v>
      </c>
      <c r="K8090" s="1">
        <v>3</v>
      </c>
      <c r="L8090" s="1" t="s">
        <v>47</v>
      </c>
      <c r="M8090" s="1" t="str">
        <f>"重庆 重庆市 潼南区 大佛街道"</f>
        <v>重庆 重庆市 潼南区 大佛街道</v>
      </c>
      <c r="N8090" s="1" t="str">
        <f t="shared" si="2308"/>
        <v>凡华云仓-韵达-抖音</v>
      </c>
      <c r="O8090" s="5">
        <v>320166073281786</v>
      </c>
      <c r="P8090" s="6">
        <v>0.47</v>
      </c>
      <c r="Q8090" s="11">
        <v>2.2999999999999998</v>
      </c>
      <c r="R8090" s="11"/>
      <c r="S8090" s="11"/>
      <c r="T8090" s="11"/>
      <c r="U8090" s="11">
        <f t="shared" si="2309"/>
        <v>2.2999999999999998</v>
      </c>
      <c r="W8090">
        <v>2.5</v>
      </c>
      <c r="X8090" s="1" t="s">
        <v>47</v>
      </c>
    </row>
    <row r="8091" spans="1:24" x14ac:dyDescent="0.25">
      <c r="A8091" s="1" t="str">
        <f t="shared" si="2310"/>
        <v>卡卡杜-凤凰仓</v>
      </c>
      <c r="B8091" s="1" t="str">
        <f>"CK202410116489"</f>
        <v>CK202410116489</v>
      </c>
      <c r="C8091" s="1" t="str">
        <f>"DD2024101114998"</f>
        <v>DD2024101114998</v>
      </c>
      <c r="D8091" s="1" t="str">
        <f>"CK2024101117193"</f>
        <v>CK2024101117193</v>
      </c>
      <c r="E8091" s="1" t="str">
        <f>"6934836208291616375"</f>
        <v>6934836208291616375</v>
      </c>
      <c r="F8091" s="1" t="str">
        <f t="shared" si="2311"/>
        <v>花都四部-凤凰仓</v>
      </c>
      <c r="G8091" s="1" t="str">
        <f t="shared" si="2314"/>
        <v>卡卡杜个人护理店（抖店）</v>
      </c>
      <c r="H8091" s="1" t="str">
        <f t="shared" si="2312"/>
        <v>正常订单</v>
      </c>
      <c r="I8091" s="1" t="str">
        <f t="shared" si="2313"/>
        <v>已发货</v>
      </c>
      <c r="J8091" s="1" t="str">
        <f t="shared" si="2318"/>
        <v>5</v>
      </c>
      <c r="K8091" s="1">
        <v>3</v>
      </c>
      <c r="L8091" s="1" t="s">
        <v>20</v>
      </c>
      <c r="M8091" s="1" t="str">
        <f>"浙江省 宁波市 鄞州区 "</f>
        <v xml:space="preserve">浙江省 宁波市 鄞州区 </v>
      </c>
      <c r="N8091" s="1" t="str">
        <f t="shared" si="2308"/>
        <v>凡华云仓-韵达-抖音</v>
      </c>
      <c r="O8091" s="5">
        <v>320166068519473</v>
      </c>
      <c r="P8091" s="6">
        <v>0.47</v>
      </c>
      <c r="Q8091" s="11">
        <v>2.2999999999999998</v>
      </c>
      <c r="R8091" s="11"/>
      <c r="S8091" s="11"/>
      <c r="T8091" s="11"/>
      <c r="U8091" s="11">
        <f t="shared" si="2309"/>
        <v>2.2999999999999998</v>
      </c>
      <c r="W8091">
        <v>2.5</v>
      </c>
      <c r="X8091" s="1" t="s">
        <v>20</v>
      </c>
    </row>
    <row r="8092" spans="1:24" x14ac:dyDescent="0.25">
      <c r="A8092" s="1" t="str">
        <f t="shared" si="2310"/>
        <v>卡卡杜-凤凰仓</v>
      </c>
      <c r="B8092" s="1" t="str">
        <f>"CK202410116491"</f>
        <v>CK202410116491</v>
      </c>
      <c r="C8092" s="1" t="str">
        <f>"DD2024101115001"</f>
        <v>DD2024101115001</v>
      </c>
      <c r="D8092" s="1" t="str">
        <f>"CK2024101117192"</f>
        <v>CK2024101117192</v>
      </c>
      <c r="E8092" s="1" t="str">
        <f>"6934827265758598164"</f>
        <v>6934827265758598164</v>
      </c>
      <c r="F8092" s="1" t="str">
        <f t="shared" si="2311"/>
        <v>花都四部-凤凰仓</v>
      </c>
      <c r="G8092" s="1" t="str">
        <f t="shared" si="2314"/>
        <v>卡卡杜个人护理店（抖店）</v>
      </c>
      <c r="H8092" s="1" t="str">
        <f t="shared" si="2312"/>
        <v>正常订单</v>
      </c>
      <c r="I8092" s="1" t="str">
        <f t="shared" si="2313"/>
        <v>已发货</v>
      </c>
      <c r="J8092" s="1" t="str">
        <f t="shared" si="2318"/>
        <v>5</v>
      </c>
      <c r="K8092" s="1">
        <v>3</v>
      </c>
      <c r="L8092" s="1" t="s">
        <v>52</v>
      </c>
      <c r="M8092" s="1" t="str">
        <f>"甘肃省 天水市 麦积区 花牛镇"</f>
        <v>甘肃省 天水市 麦积区 花牛镇</v>
      </c>
      <c r="N8092" s="1" t="str">
        <f t="shared" si="2308"/>
        <v>凡华云仓-韵达-抖音</v>
      </c>
      <c r="O8092" s="5">
        <v>320166068519378</v>
      </c>
      <c r="P8092" s="6">
        <v>0.47</v>
      </c>
      <c r="Q8092" s="11">
        <v>2.2999999999999998</v>
      </c>
      <c r="R8092" s="11"/>
      <c r="S8092" s="11"/>
      <c r="T8092" s="11"/>
      <c r="U8092" s="11">
        <f t="shared" si="2309"/>
        <v>2.2999999999999998</v>
      </c>
      <c r="W8092">
        <v>2.5</v>
      </c>
      <c r="X8092" s="1" t="s">
        <v>52</v>
      </c>
    </row>
    <row r="8093" spans="1:24" x14ac:dyDescent="0.25">
      <c r="A8093" s="1" t="str">
        <f t="shared" si="2310"/>
        <v>卡卡杜-凤凰仓</v>
      </c>
      <c r="B8093" s="1" t="str">
        <f>"CK202410116495"</f>
        <v>CK202410116495</v>
      </c>
      <c r="C8093" s="1" t="str">
        <f>"DD2024101115006"</f>
        <v>DD2024101115006</v>
      </c>
      <c r="D8093" s="1" t="str">
        <f>"CK2024101117191"</f>
        <v>CK2024101117191</v>
      </c>
      <c r="E8093" s="1" t="str">
        <f>"6934836307378640534"</f>
        <v>6934836307378640534</v>
      </c>
      <c r="F8093" s="1" t="str">
        <f t="shared" si="2311"/>
        <v>花都四部-凤凰仓</v>
      </c>
      <c r="G8093" s="1" t="str">
        <f t="shared" si="2314"/>
        <v>卡卡杜个人护理店（抖店）</v>
      </c>
      <c r="H8093" s="1" t="str">
        <f t="shared" si="2312"/>
        <v>正常订单</v>
      </c>
      <c r="I8093" s="1" t="str">
        <f t="shared" si="2313"/>
        <v>已发货</v>
      </c>
      <c r="J8093" s="1" t="str">
        <f t="shared" si="2318"/>
        <v>5</v>
      </c>
      <c r="K8093" s="1">
        <v>3</v>
      </c>
      <c r="L8093" s="1" t="s">
        <v>13</v>
      </c>
      <c r="M8093" s="1" t="str">
        <f>"江苏省 无锡市 滨湖区 河埒街道"</f>
        <v>江苏省 无锡市 滨湖区 河埒街道</v>
      </c>
      <c r="N8093" s="1" t="str">
        <f t="shared" si="2308"/>
        <v>凡华云仓-韵达-抖音</v>
      </c>
      <c r="O8093" s="5">
        <v>320166068519285</v>
      </c>
      <c r="P8093" s="6">
        <v>0.47</v>
      </c>
      <c r="Q8093" s="11">
        <v>2.2999999999999998</v>
      </c>
      <c r="R8093" s="11"/>
      <c r="S8093" s="11"/>
      <c r="T8093" s="11"/>
      <c r="U8093" s="11">
        <f t="shared" si="2309"/>
        <v>2.2999999999999998</v>
      </c>
      <c r="W8093">
        <v>2.5</v>
      </c>
      <c r="X8093" s="1" t="s">
        <v>13</v>
      </c>
    </row>
    <row r="8094" spans="1:24" x14ac:dyDescent="0.25">
      <c r="A8094" s="1" t="str">
        <f t="shared" si="2310"/>
        <v>卡卡杜-凤凰仓</v>
      </c>
      <c r="B8094" s="1" t="str">
        <f>"CK202410116497"</f>
        <v>CK202410116497</v>
      </c>
      <c r="C8094" s="1" t="str">
        <f>"DD2024101115008"</f>
        <v>DD2024101115008</v>
      </c>
      <c r="D8094" s="1" t="str">
        <f>"CK2024101117190"</f>
        <v>CK2024101117190</v>
      </c>
      <c r="E8094" s="1" t="str">
        <f>"6934853739390572071"</f>
        <v>6934853739390572071</v>
      </c>
      <c r="F8094" s="1" t="str">
        <f t="shared" si="2311"/>
        <v>花都四部-凤凰仓</v>
      </c>
      <c r="G8094" s="1" t="str">
        <f t="shared" si="2314"/>
        <v>卡卡杜个人护理店（抖店）</v>
      </c>
      <c r="H8094" s="1" t="str">
        <f t="shared" si="2312"/>
        <v>正常订单</v>
      </c>
      <c r="I8094" s="1" t="str">
        <f t="shared" si="2313"/>
        <v>已发货</v>
      </c>
      <c r="J8094" s="1" t="str">
        <f t="shared" si="2318"/>
        <v>5</v>
      </c>
      <c r="K8094" s="1">
        <v>3</v>
      </c>
      <c r="L8094" s="1" t="s">
        <v>80</v>
      </c>
      <c r="M8094" s="1" t="str">
        <f>"河南省 驻马店市 正阳县 兰青乡"</f>
        <v>河南省 驻马店市 正阳县 兰青乡</v>
      </c>
      <c r="N8094" s="1" t="str">
        <f t="shared" si="2308"/>
        <v>凡华云仓-韵达-抖音</v>
      </c>
      <c r="O8094" s="5">
        <v>320166068519194</v>
      </c>
      <c r="P8094" s="6">
        <v>0.47</v>
      </c>
      <c r="Q8094" s="11">
        <v>2.2999999999999998</v>
      </c>
      <c r="R8094" s="11"/>
      <c r="S8094" s="11"/>
      <c r="T8094" s="11"/>
      <c r="U8094" s="11">
        <f t="shared" si="2309"/>
        <v>2.2999999999999998</v>
      </c>
      <c r="W8094">
        <v>2.5</v>
      </c>
      <c r="X8094" s="1" t="s">
        <v>80</v>
      </c>
    </row>
    <row r="8095" spans="1:24" x14ac:dyDescent="0.25">
      <c r="A8095" s="1" t="str">
        <f t="shared" si="2310"/>
        <v>卡卡杜-凤凰仓</v>
      </c>
      <c r="B8095" s="1" t="str">
        <f>"CK202410116500"</f>
        <v>CK202410116500</v>
      </c>
      <c r="C8095" s="1" t="str">
        <f>"DD2024101115010"</f>
        <v>DD2024101115010</v>
      </c>
      <c r="D8095" s="1" t="str">
        <f>"CK2024101117189"</f>
        <v>CK2024101117189</v>
      </c>
      <c r="E8095" s="1" t="str">
        <f>"6934836229252781409"</f>
        <v>6934836229252781409</v>
      </c>
      <c r="F8095" s="1" t="str">
        <f t="shared" si="2311"/>
        <v>花都四部-凤凰仓</v>
      </c>
      <c r="G8095" s="1" t="str">
        <f t="shared" si="2314"/>
        <v>卡卡杜个人护理店（抖店）</v>
      </c>
      <c r="H8095" s="1" t="str">
        <f t="shared" si="2312"/>
        <v>正常订单</v>
      </c>
      <c r="I8095" s="1" t="str">
        <f t="shared" si="2313"/>
        <v>已发货</v>
      </c>
      <c r="J8095" s="1" t="str">
        <f t="shared" si="2318"/>
        <v>5</v>
      </c>
      <c r="K8095" s="1">
        <v>3</v>
      </c>
      <c r="L8095" s="1" t="s">
        <v>13</v>
      </c>
      <c r="M8095" s="1" t="str">
        <f>"江苏省 南通市 启东市 海复镇"</f>
        <v>江苏省 南通市 启东市 海复镇</v>
      </c>
      <c r="N8095" s="1" t="str">
        <f t="shared" si="2308"/>
        <v>凡华云仓-韵达-抖音</v>
      </c>
      <c r="O8095" s="5">
        <v>320166068519005</v>
      </c>
      <c r="P8095" s="6">
        <v>0.47</v>
      </c>
      <c r="Q8095" s="11">
        <v>2.2999999999999998</v>
      </c>
      <c r="R8095" s="11"/>
      <c r="S8095" s="11"/>
      <c r="T8095" s="11"/>
      <c r="U8095" s="11">
        <f t="shared" si="2309"/>
        <v>2.2999999999999998</v>
      </c>
      <c r="W8095">
        <v>2.5</v>
      </c>
      <c r="X8095" s="1" t="s">
        <v>13</v>
      </c>
    </row>
    <row r="8096" spans="1:24" x14ac:dyDescent="0.25">
      <c r="A8096" s="1" t="str">
        <f t="shared" si="2310"/>
        <v>卡卡杜-凤凰仓</v>
      </c>
      <c r="B8096" s="1" t="str">
        <f>"CK202410116505"</f>
        <v>CK202410116505</v>
      </c>
      <c r="C8096" s="1" t="str">
        <f>"DD2024101115013"</f>
        <v>DD2024101115013</v>
      </c>
      <c r="D8096" s="1" t="str">
        <f>"CK2024101117188"</f>
        <v>CK2024101117188</v>
      </c>
      <c r="E8096" s="1" t="str">
        <f>"6934829573955524072"</f>
        <v>6934829573955524072</v>
      </c>
      <c r="F8096" s="1" t="str">
        <f t="shared" si="2311"/>
        <v>花都四部-凤凰仓</v>
      </c>
      <c r="G8096" s="1" t="str">
        <f t="shared" si="2314"/>
        <v>卡卡杜个人护理店（抖店）</v>
      </c>
      <c r="H8096" s="1" t="str">
        <f t="shared" si="2312"/>
        <v>正常订单</v>
      </c>
      <c r="I8096" s="1" t="str">
        <f t="shared" si="2313"/>
        <v>已发货</v>
      </c>
      <c r="J8096" s="1" t="str">
        <f t="shared" si="2318"/>
        <v>5</v>
      </c>
      <c r="K8096" s="1">
        <v>3</v>
      </c>
      <c r="L8096" s="1" t="s">
        <v>18</v>
      </c>
      <c r="M8096" s="1" t="str">
        <f>"广东省 江门市 蓬江区 环市街道"</f>
        <v>广东省 江门市 蓬江区 环市街道</v>
      </c>
      <c r="N8096" s="1" t="str">
        <f t="shared" si="2308"/>
        <v>凡华云仓-韵达-抖音</v>
      </c>
      <c r="O8096" s="5">
        <v>320166068518973</v>
      </c>
      <c r="P8096" s="6">
        <v>0.47</v>
      </c>
      <c r="Q8096" s="11">
        <v>2.2999999999999998</v>
      </c>
      <c r="R8096" s="11"/>
      <c r="S8096" s="11"/>
      <c r="T8096" s="11"/>
      <c r="U8096" s="11">
        <f t="shared" si="2309"/>
        <v>2.2999999999999998</v>
      </c>
      <c r="W8096">
        <v>2.5</v>
      </c>
      <c r="X8096" s="1" t="s">
        <v>18</v>
      </c>
    </row>
    <row r="8097" spans="1:24" x14ac:dyDescent="0.25">
      <c r="A8097" s="1" t="str">
        <f t="shared" si="2310"/>
        <v>卡卡杜-凤凰仓</v>
      </c>
      <c r="B8097" s="1" t="str">
        <f>"CK202410116559"</f>
        <v>CK202410116559</v>
      </c>
      <c r="C8097" s="1" t="str">
        <f>"DD2024101115069"</f>
        <v>DD2024101115069</v>
      </c>
      <c r="D8097" s="1" t="str">
        <f>"CK2024101117187"</f>
        <v>CK2024101117187</v>
      </c>
      <c r="E8097" s="1" t="str">
        <f>"6934851758126405174"</f>
        <v>6934851758126405174</v>
      </c>
      <c r="F8097" s="1" t="str">
        <f t="shared" si="2311"/>
        <v>花都四部-凤凰仓</v>
      </c>
      <c r="G8097" s="1" t="str">
        <f t="shared" si="2314"/>
        <v>卡卡杜个人护理店（抖店）</v>
      </c>
      <c r="H8097" s="1" t="str">
        <f t="shared" si="2312"/>
        <v>正常订单</v>
      </c>
      <c r="I8097" s="1" t="str">
        <f t="shared" si="2313"/>
        <v>已发货</v>
      </c>
      <c r="J8097" s="1" t="str">
        <f t="shared" si="2318"/>
        <v>5</v>
      </c>
      <c r="K8097" s="1">
        <v>3</v>
      </c>
      <c r="L8097" s="1" t="s">
        <v>32</v>
      </c>
      <c r="M8097" s="1" t="str">
        <f>"陕西省 宝鸡市 渭滨区 经二路街道"</f>
        <v>陕西省 宝鸡市 渭滨区 经二路街道</v>
      </c>
      <c r="N8097" s="1" t="str">
        <f t="shared" si="2308"/>
        <v>凡华云仓-韵达-抖音</v>
      </c>
      <c r="O8097" s="5">
        <v>320166068518868</v>
      </c>
      <c r="P8097" s="6">
        <v>0.47</v>
      </c>
      <c r="Q8097" s="11">
        <v>2.2999999999999998</v>
      </c>
      <c r="R8097" s="11"/>
      <c r="S8097" s="11"/>
      <c r="T8097" s="11"/>
      <c r="U8097" s="11">
        <f t="shared" si="2309"/>
        <v>2.2999999999999998</v>
      </c>
      <c r="W8097">
        <v>2.5</v>
      </c>
      <c r="X8097" s="1" t="s">
        <v>32</v>
      </c>
    </row>
    <row r="8098" spans="1:24" x14ac:dyDescent="0.25">
      <c r="A8098" s="1" t="str">
        <f t="shared" si="2310"/>
        <v>卡卡杜-凤凰仓</v>
      </c>
      <c r="B8098" s="1" t="str">
        <f>"CK202410118141"</f>
        <v>CK202410118141</v>
      </c>
      <c r="C8098" s="1" t="str">
        <f>"DD2024101116696"</f>
        <v>DD2024101116696</v>
      </c>
      <c r="D8098" s="1" t="str">
        <f>"CK2024101117186"</f>
        <v>CK2024101117186</v>
      </c>
      <c r="E8098" s="1" t="str">
        <f>"6934849390221661409"</f>
        <v>6934849390221661409</v>
      </c>
      <c r="F8098" s="1" t="str">
        <f t="shared" si="2311"/>
        <v>花都四部-凤凰仓</v>
      </c>
      <c r="G8098" s="1" t="str">
        <f t="shared" si="2314"/>
        <v>卡卡杜个人护理店（抖店）</v>
      </c>
      <c r="H8098" s="1" t="str">
        <f t="shared" si="2312"/>
        <v>正常订单</v>
      </c>
      <c r="I8098" s="1" t="str">
        <f t="shared" si="2313"/>
        <v>已发货</v>
      </c>
      <c r="J8098" s="1" t="str">
        <f t="shared" si="2318"/>
        <v>5</v>
      </c>
      <c r="K8098" s="1">
        <v>3</v>
      </c>
      <c r="L8098" s="1" t="s">
        <v>41</v>
      </c>
      <c r="M8098" s="1" t="str">
        <f>"湖北省 武汉市 蔡甸区 中法武汉生态示范城"</f>
        <v>湖北省 武汉市 蔡甸区 中法武汉生态示范城</v>
      </c>
      <c r="N8098" s="1" t="str">
        <f t="shared" si="2308"/>
        <v>凡华云仓-韵达-抖音</v>
      </c>
      <c r="O8098" s="5">
        <v>320166068518765</v>
      </c>
      <c r="P8098" s="6">
        <v>0.47</v>
      </c>
      <c r="Q8098" s="11">
        <v>2.2999999999999998</v>
      </c>
      <c r="R8098" s="11"/>
      <c r="S8098" s="11"/>
      <c r="T8098" s="11"/>
      <c r="U8098" s="11">
        <f t="shared" si="2309"/>
        <v>2.2999999999999998</v>
      </c>
      <c r="W8098">
        <v>2.5</v>
      </c>
      <c r="X8098" s="1" t="s">
        <v>41</v>
      </c>
    </row>
    <row r="8099" spans="1:24" x14ac:dyDescent="0.25">
      <c r="A8099" s="1" t="str">
        <f t="shared" si="2310"/>
        <v>卡卡杜-凤凰仓</v>
      </c>
      <c r="B8099" s="1" t="str">
        <f>"CK202410116217"</f>
        <v>CK202410116217</v>
      </c>
      <c r="C8099" s="1" t="str">
        <f>"DD2024101114726"</f>
        <v>DD2024101114726</v>
      </c>
      <c r="D8099" s="1" t="str">
        <f>"CK2024101117185"</f>
        <v>CK2024101117185</v>
      </c>
      <c r="E8099" s="1" t="str">
        <f>"6934845369003676756"</f>
        <v>6934845369003676756</v>
      </c>
      <c r="F8099" s="1" t="str">
        <f t="shared" si="2311"/>
        <v>花都四部-凤凰仓</v>
      </c>
      <c r="G8099" s="1" t="str">
        <f t="shared" si="2314"/>
        <v>卡卡杜个人护理店（抖店）</v>
      </c>
      <c r="H8099" s="1" t="str">
        <f t="shared" si="2312"/>
        <v>正常订单</v>
      </c>
      <c r="I8099" s="1" t="str">
        <f t="shared" si="2313"/>
        <v>已发货</v>
      </c>
      <c r="J8099" s="1" t="str">
        <f t="shared" si="2318"/>
        <v>5</v>
      </c>
      <c r="K8099" s="1">
        <v>3</v>
      </c>
      <c r="L8099" s="1" t="s">
        <v>18</v>
      </c>
      <c r="M8099" s="1" t="str">
        <f>"广东省 中山市 中山市 沙溪镇"</f>
        <v>广东省 中山市 中山市 沙溪镇</v>
      </c>
      <c r="N8099" s="1" t="str">
        <f t="shared" si="2308"/>
        <v>凡华云仓-韵达-抖音</v>
      </c>
      <c r="O8099" s="5">
        <v>320166068518664</v>
      </c>
      <c r="P8099" s="6">
        <v>0.47</v>
      </c>
      <c r="Q8099" s="11">
        <v>2.2999999999999998</v>
      </c>
      <c r="R8099" s="11"/>
      <c r="S8099" s="11"/>
      <c r="T8099" s="11"/>
      <c r="U8099" s="11">
        <f t="shared" si="2309"/>
        <v>2.2999999999999998</v>
      </c>
      <c r="W8099">
        <v>2.5</v>
      </c>
      <c r="X8099" s="1" t="s">
        <v>18</v>
      </c>
    </row>
    <row r="8100" spans="1:24" x14ac:dyDescent="0.25">
      <c r="A8100" s="1" t="str">
        <f t="shared" si="2310"/>
        <v>卡卡杜-凤凰仓</v>
      </c>
      <c r="B8100" s="1" t="str">
        <f>"CK202410116224"</f>
        <v>CK202410116224</v>
      </c>
      <c r="C8100" s="1" t="str">
        <f>"DD2024101114733"</f>
        <v>DD2024101114733</v>
      </c>
      <c r="D8100" s="1" t="str">
        <f>"CK2024101117184"</f>
        <v>CK2024101117184</v>
      </c>
      <c r="E8100" s="1" t="str">
        <f>"6934851725949932648"</f>
        <v>6934851725949932648</v>
      </c>
      <c r="F8100" s="1" t="str">
        <f t="shared" si="2311"/>
        <v>花都四部-凤凰仓</v>
      </c>
      <c r="G8100" s="1" t="str">
        <f t="shared" si="2314"/>
        <v>卡卡杜个人护理店（抖店）</v>
      </c>
      <c r="H8100" s="1" t="str">
        <f t="shared" si="2312"/>
        <v>正常订单</v>
      </c>
      <c r="I8100" s="1" t="str">
        <f t="shared" si="2313"/>
        <v>已发货</v>
      </c>
      <c r="J8100" s="1" t="str">
        <f t="shared" si="2318"/>
        <v>5</v>
      </c>
      <c r="K8100" s="1">
        <v>3</v>
      </c>
      <c r="L8100" s="1" t="s">
        <v>13</v>
      </c>
      <c r="M8100" s="1" t="str">
        <f>"江苏省 苏州市 姑苏区 吴门桥街道"</f>
        <v>江苏省 苏州市 姑苏区 吴门桥街道</v>
      </c>
      <c r="N8100" s="1" t="str">
        <f t="shared" si="2308"/>
        <v>凡华云仓-韵达-抖音</v>
      </c>
      <c r="O8100" s="5">
        <v>320166068518565</v>
      </c>
      <c r="P8100" s="6">
        <v>0.47</v>
      </c>
      <c r="Q8100" s="11">
        <v>2.2999999999999998</v>
      </c>
      <c r="R8100" s="11"/>
      <c r="S8100" s="11"/>
      <c r="T8100" s="11"/>
      <c r="U8100" s="11">
        <f t="shared" si="2309"/>
        <v>2.2999999999999998</v>
      </c>
      <c r="W8100">
        <v>2.5</v>
      </c>
      <c r="X8100" s="1" t="s">
        <v>13</v>
      </c>
    </row>
    <row r="8101" spans="1:24" x14ac:dyDescent="0.25">
      <c r="A8101" s="1" t="str">
        <f t="shared" si="2310"/>
        <v>卡卡杜-凤凰仓</v>
      </c>
      <c r="B8101" s="1" t="str">
        <f>"CK202410116474"</f>
        <v>CK202410116474</v>
      </c>
      <c r="C8101" s="1" t="str">
        <f>"DD2024101114982"</f>
        <v>DD2024101114982</v>
      </c>
      <c r="D8101" s="1" t="str">
        <f>"CK2024101117183"</f>
        <v>CK2024101117183</v>
      </c>
      <c r="E8101" s="1" t="str">
        <f>"6934851729565422725"</f>
        <v>6934851729565422725</v>
      </c>
      <c r="F8101" s="1" t="str">
        <f t="shared" si="2311"/>
        <v>花都四部-凤凰仓</v>
      </c>
      <c r="G8101" s="1" t="str">
        <f t="shared" si="2314"/>
        <v>卡卡杜个人护理店（抖店）</v>
      </c>
      <c r="H8101" s="1" t="str">
        <f t="shared" si="2312"/>
        <v>正常订单</v>
      </c>
      <c r="I8101" s="1" t="str">
        <f t="shared" si="2313"/>
        <v>已发货</v>
      </c>
      <c r="J8101" s="1" t="str">
        <f t="shared" si="2318"/>
        <v>5</v>
      </c>
      <c r="K8101" s="1">
        <v>3</v>
      </c>
      <c r="L8101" s="1" t="s">
        <v>16</v>
      </c>
      <c r="M8101" s="1" t="str">
        <f>"河北省 秦皇岛市 海港区 燕山大街街道"</f>
        <v>河北省 秦皇岛市 海港区 燕山大街街道</v>
      </c>
      <c r="N8101" s="1" t="str">
        <f t="shared" si="2308"/>
        <v>凡华云仓-韵达-抖音</v>
      </c>
      <c r="O8101" s="5">
        <v>320166071386770</v>
      </c>
      <c r="P8101" s="6">
        <v>0.47</v>
      </c>
      <c r="Q8101" s="11">
        <v>2.2999999999999998</v>
      </c>
      <c r="R8101" s="11"/>
      <c r="S8101" s="11"/>
      <c r="T8101" s="11"/>
      <c r="U8101" s="11">
        <f t="shared" si="2309"/>
        <v>2.2999999999999998</v>
      </c>
      <c r="W8101">
        <v>2.5</v>
      </c>
      <c r="X8101" s="1" t="s">
        <v>16</v>
      </c>
    </row>
    <row r="8102" spans="1:24" x14ac:dyDescent="0.25">
      <c r="A8102" s="1" t="str">
        <f t="shared" si="2310"/>
        <v>卡卡杜-凤凰仓</v>
      </c>
      <c r="B8102" s="1" t="str">
        <f>"CK202410116477"</f>
        <v>CK202410116477</v>
      </c>
      <c r="C8102" s="1" t="str">
        <f>"DD2024101114987"</f>
        <v>DD2024101114987</v>
      </c>
      <c r="D8102" s="1" t="str">
        <f>"CK2024101117182"</f>
        <v>CK2024101117182</v>
      </c>
      <c r="E8102" s="1" t="str">
        <f>"6934829620742263965"</f>
        <v>6934829620742263965</v>
      </c>
      <c r="F8102" s="1" t="str">
        <f t="shared" si="2311"/>
        <v>花都四部-凤凰仓</v>
      </c>
      <c r="G8102" s="1" t="str">
        <f t="shared" si="2314"/>
        <v>卡卡杜个人护理店（抖店）</v>
      </c>
      <c r="H8102" s="1" t="str">
        <f t="shared" si="2312"/>
        <v>正常订单</v>
      </c>
      <c r="I8102" s="1" t="str">
        <f t="shared" si="2313"/>
        <v>已发货</v>
      </c>
      <c r="J8102" s="1" t="str">
        <f t="shared" si="2318"/>
        <v>5</v>
      </c>
      <c r="K8102" s="1">
        <v>3</v>
      </c>
      <c r="L8102" s="1" t="s">
        <v>54</v>
      </c>
      <c r="M8102" s="1" t="str">
        <f>"黑龙江省 齐齐哈尔市 龙沙区 南航街道"</f>
        <v>黑龙江省 齐齐哈尔市 龙沙区 南航街道</v>
      </c>
      <c r="N8102" s="1" t="str">
        <f t="shared" si="2308"/>
        <v>凡华云仓-韵达-抖音</v>
      </c>
      <c r="O8102" s="5">
        <v>320166071386669</v>
      </c>
      <c r="P8102" s="6">
        <v>0.47</v>
      </c>
      <c r="Q8102" s="11">
        <v>2.2999999999999998</v>
      </c>
      <c r="R8102" s="11"/>
      <c r="S8102" s="11"/>
      <c r="T8102" s="11"/>
      <c r="U8102" s="11">
        <f t="shared" si="2309"/>
        <v>2.2999999999999998</v>
      </c>
      <c r="W8102">
        <v>2.5</v>
      </c>
      <c r="X8102" s="1" t="s">
        <v>54</v>
      </c>
    </row>
    <row r="8103" spans="1:24" x14ac:dyDescent="0.25">
      <c r="A8103" s="1" t="str">
        <f t="shared" si="2310"/>
        <v>卡卡杜-凤凰仓</v>
      </c>
      <c r="B8103" s="1" t="str">
        <f>"CK202410116493"</f>
        <v>CK202410116493</v>
      </c>
      <c r="C8103" s="1" t="str">
        <f>"DD2024101115002"</f>
        <v>DD2024101115002</v>
      </c>
      <c r="D8103" s="1" t="str">
        <f>"CK2024101117181"</f>
        <v>CK2024101117181</v>
      </c>
      <c r="E8103" s="1" t="str">
        <f>"6934847540599330486"</f>
        <v>6934847540599330486</v>
      </c>
      <c r="F8103" s="1" t="str">
        <f t="shared" si="2311"/>
        <v>花都四部-凤凰仓</v>
      </c>
      <c r="G8103" s="1" t="str">
        <f t="shared" si="2314"/>
        <v>卡卡杜个人护理店（抖店）</v>
      </c>
      <c r="H8103" s="1" t="str">
        <f t="shared" si="2312"/>
        <v>正常订单</v>
      </c>
      <c r="I8103" s="1" t="str">
        <f t="shared" si="2313"/>
        <v>已发货</v>
      </c>
      <c r="J8103" s="1" t="str">
        <f t="shared" si="2318"/>
        <v>5</v>
      </c>
      <c r="K8103" s="1">
        <v>3</v>
      </c>
      <c r="L8103" s="1" t="s">
        <v>41</v>
      </c>
      <c r="M8103" s="1" t="str">
        <f>"湖北省 武汉市 汉阳区 龙阳街道"</f>
        <v>湖北省 武汉市 汉阳区 龙阳街道</v>
      </c>
      <c r="N8103" s="1" t="str">
        <f t="shared" si="2308"/>
        <v>凡华云仓-韵达-抖音</v>
      </c>
      <c r="O8103" s="5">
        <v>320166071386570</v>
      </c>
      <c r="P8103" s="6">
        <v>0.47</v>
      </c>
      <c r="Q8103" s="11">
        <v>2.2999999999999998</v>
      </c>
      <c r="R8103" s="11"/>
      <c r="S8103" s="11"/>
      <c r="T8103" s="11"/>
      <c r="U8103" s="11">
        <f t="shared" si="2309"/>
        <v>2.2999999999999998</v>
      </c>
      <c r="W8103">
        <v>2.5</v>
      </c>
      <c r="X8103" s="1" t="s">
        <v>41</v>
      </c>
    </row>
    <row r="8104" spans="1:24" x14ac:dyDescent="0.25">
      <c r="A8104" s="1" t="str">
        <f t="shared" si="2310"/>
        <v>卡卡杜-凤凰仓</v>
      </c>
      <c r="B8104" s="1" t="str">
        <f>"CK202410116521"</f>
        <v>CK202410116521</v>
      </c>
      <c r="C8104" s="1" t="str">
        <f>"DD2024101115030"</f>
        <v>DD2024101115030</v>
      </c>
      <c r="D8104" s="1" t="str">
        <f>"CK2024101117180"</f>
        <v>CK2024101117180</v>
      </c>
      <c r="E8104" s="1" t="str">
        <f>"6934824802644465532"</f>
        <v>6934824802644465532</v>
      </c>
      <c r="F8104" s="1" t="str">
        <f t="shared" si="2311"/>
        <v>花都四部-凤凰仓</v>
      </c>
      <c r="G8104" s="1" t="str">
        <f t="shared" si="2314"/>
        <v>卡卡杜个人护理店（抖店）</v>
      </c>
      <c r="H8104" s="1" t="str">
        <f t="shared" si="2312"/>
        <v>正常订单</v>
      </c>
      <c r="I8104" s="1" t="str">
        <f t="shared" si="2313"/>
        <v>已发货</v>
      </c>
      <c r="J8104" s="1" t="str">
        <f t="shared" si="2318"/>
        <v>5</v>
      </c>
      <c r="K8104" s="1">
        <v>3</v>
      </c>
      <c r="L8104" s="1" t="s">
        <v>74</v>
      </c>
      <c r="M8104" s="1" t="str">
        <f>"上海 上海市 浦东新区 潍坊新村街道"</f>
        <v>上海 上海市 浦东新区 潍坊新村街道</v>
      </c>
      <c r="N8104" s="1" t="str">
        <f t="shared" si="2308"/>
        <v>凡华云仓-韵达-抖音</v>
      </c>
      <c r="O8104" s="5">
        <v>320166071386473</v>
      </c>
      <c r="P8104" s="6">
        <v>0.47</v>
      </c>
      <c r="Q8104" s="11">
        <v>2.2999999999999998</v>
      </c>
      <c r="R8104" s="11"/>
      <c r="S8104" s="11"/>
      <c r="T8104" s="11"/>
      <c r="U8104" s="11">
        <f t="shared" si="2309"/>
        <v>2.2999999999999998</v>
      </c>
      <c r="W8104">
        <v>2.5</v>
      </c>
      <c r="X8104" s="1" t="s">
        <v>74</v>
      </c>
    </row>
    <row r="8105" spans="1:24" x14ac:dyDescent="0.25">
      <c r="A8105" s="1" t="str">
        <f t="shared" si="2310"/>
        <v>卡卡杜-凤凰仓</v>
      </c>
      <c r="B8105" s="1" t="str">
        <f>"CK202410116526"</f>
        <v>CK202410116526</v>
      </c>
      <c r="C8105" s="1" t="str">
        <f>"DD2024101115036"</f>
        <v>DD2024101115036</v>
      </c>
      <c r="D8105" s="1" t="str">
        <f>"CK2024101117179"</f>
        <v>CK2024101117179</v>
      </c>
      <c r="E8105" s="1" t="str">
        <f>"6934851714167018638"</f>
        <v>6934851714167018638</v>
      </c>
      <c r="F8105" s="1" t="str">
        <f t="shared" si="2311"/>
        <v>花都四部-凤凰仓</v>
      </c>
      <c r="G8105" s="1" t="str">
        <f t="shared" si="2314"/>
        <v>卡卡杜个人护理店（抖店）</v>
      </c>
      <c r="H8105" s="1" t="str">
        <f t="shared" si="2312"/>
        <v>正常订单</v>
      </c>
      <c r="I8105" s="1" t="str">
        <f t="shared" si="2313"/>
        <v>已发货</v>
      </c>
      <c r="J8105" s="1" t="str">
        <f t="shared" si="2318"/>
        <v>5</v>
      </c>
      <c r="K8105" s="1">
        <v>3</v>
      </c>
      <c r="L8105" s="1" t="s">
        <v>54</v>
      </c>
      <c r="M8105" s="1" t="str">
        <f>"黑龙江省 牡丹江市 爱民区 新华街道"</f>
        <v>黑龙江省 牡丹江市 爱民区 新华街道</v>
      </c>
      <c r="N8105" s="1" t="str">
        <f t="shared" si="2308"/>
        <v>凡华云仓-韵达-抖音</v>
      </c>
      <c r="O8105" s="5">
        <v>320166071386378</v>
      </c>
      <c r="P8105" s="6">
        <v>0.47</v>
      </c>
      <c r="Q8105" s="11">
        <v>2.2999999999999998</v>
      </c>
      <c r="R8105" s="11"/>
      <c r="S8105" s="11"/>
      <c r="T8105" s="11"/>
      <c r="U8105" s="11">
        <f t="shared" si="2309"/>
        <v>2.2999999999999998</v>
      </c>
      <c r="W8105">
        <v>2.5</v>
      </c>
      <c r="X8105" s="1" t="s">
        <v>54</v>
      </c>
    </row>
    <row r="8106" spans="1:24" x14ac:dyDescent="0.25">
      <c r="A8106" s="1" t="str">
        <f t="shared" si="2310"/>
        <v>卡卡杜-凤凰仓</v>
      </c>
      <c r="B8106" s="1" t="str">
        <f>"CK202410116540"</f>
        <v>CK202410116540</v>
      </c>
      <c r="C8106" s="1" t="str">
        <f>"DD2024101115049"</f>
        <v>DD2024101115049</v>
      </c>
      <c r="D8106" s="1" t="str">
        <f>"CK2024101117178"</f>
        <v>CK2024101117178</v>
      </c>
      <c r="E8106" s="1" t="str">
        <f>"6934838443781592385"</f>
        <v>6934838443781592385</v>
      </c>
      <c r="F8106" s="1" t="str">
        <f t="shared" si="2311"/>
        <v>花都四部-凤凰仓</v>
      </c>
      <c r="G8106" s="1" t="str">
        <f t="shared" si="2314"/>
        <v>卡卡杜个人护理店（抖店）</v>
      </c>
      <c r="H8106" s="1" t="str">
        <f t="shared" si="2312"/>
        <v>正常订单</v>
      </c>
      <c r="I8106" s="1" t="str">
        <f t="shared" si="2313"/>
        <v>已发货</v>
      </c>
      <c r="J8106" s="1" t="str">
        <f t="shared" si="2318"/>
        <v>5</v>
      </c>
      <c r="K8106" s="1">
        <v>3</v>
      </c>
      <c r="L8106" s="1" t="s">
        <v>20</v>
      </c>
      <c r="M8106" s="1" t="str">
        <f>"浙江省 宁波市 慈溪市 周巷镇"</f>
        <v>浙江省 宁波市 慈溪市 周巷镇</v>
      </c>
      <c r="N8106" s="1" t="str">
        <f t="shared" si="2308"/>
        <v>凡华云仓-韵达-抖音</v>
      </c>
      <c r="O8106" s="5">
        <v>320166071386285</v>
      </c>
      <c r="P8106" s="6">
        <v>0.47</v>
      </c>
      <c r="Q8106" s="11">
        <v>2.2999999999999998</v>
      </c>
      <c r="R8106" s="11"/>
      <c r="S8106" s="11"/>
      <c r="T8106" s="11"/>
      <c r="U8106" s="11">
        <f t="shared" si="2309"/>
        <v>2.2999999999999998</v>
      </c>
      <c r="W8106">
        <v>2.5</v>
      </c>
      <c r="X8106" s="1" t="s">
        <v>20</v>
      </c>
    </row>
    <row r="8107" spans="1:24" x14ac:dyDescent="0.25">
      <c r="A8107" s="1" t="str">
        <f t="shared" si="2310"/>
        <v>卡卡杜-凤凰仓</v>
      </c>
      <c r="B8107" s="1" t="str">
        <f>"CK202410116542"</f>
        <v>CK202410116542</v>
      </c>
      <c r="C8107" s="1" t="str">
        <f>"DD2024101115052"</f>
        <v>DD2024101115052</v>
      </c>
      <c r="D8107" s="1" t="str">
        <f>"CK2024101117177"</f>
        <v>CK2024101117177</v>
      </c>
      <c r="E8107" s="1" t="str">
        <f>"6934822644402951325"</f>
        <v>6934822644402951325</v>
      </c>
      <c r="F8107" s="1" t="str">
        <f t="shared" si="2311"/>
        <v>花都四部-凤凰仓</v>
      </c>
      <c r="G8107" s="1" t="str">
        <f t="shared" si="2314"/>
        <v>卡卡杜个人护理店（抖店）</v>
      </c>
      <c r="H8107" s="1" t="str">
        <f t="shared" si="2312"/>
        <v>正常订单</v>
      </c>
      <c r="I8107" s="1" t="str">
        <f t="shared" si="2313"/>
        <v>已发货</v>
      </c>
      <c r="J8107" s="1" t="str">
        <f t="shared" si="2318"/>
        <v>5</v>
      </c>
      <c r="K8107" s="1">
        <v>3</v>
      </c>
      <c r="L8107" s="1" t="s">
        <v>74</v>
      </c>
      <c r="M8107" s="1" t="str">
        <f>"上海 上海市 静安区 芷江西路街道"</f>
        <v>上海 上海市 静安区 芷江西路街道</v>
      </c>
      <c r="N8107" s="1" t="str">
        <f t="shared" si="2308"/>
        <v>凡华云仓-韵达-抖音</v>
      </c>
      <c r="O8107" s="5">
        <v>320166071386194</v>
      </c>
      <c r="P8107" s="6">
        <v>0.47</v>
      </c>
      <c r="Q8107" s="11">
        <v>2.2999999999999998</v>
      </c>
      <c r="R8107" s="11"/>
      <c r="S8107" s="11"/>
      <c r="T8107" s="11"/>
      <c r="U8107" s="11">
        <f t="shared" si="2309"/>
        <v>2.2999999999999998</v>
      </c>
      <c r="W8107">
        <v>2.5</v>
      </c>
      <c r="X8107" s="1" t="s">
        <v>74</v>
      </c>
    </row>
    <row r="8108" spans="1:24" x14ac:dyDescent="0.25">
      <c r="A8108" s="1" t="str">
        <f t="shared" si="2310"/>
        <v>卡卡杜-凤凰仓</v>
      </c>
      <c r="B8108" s="1" t="str">
        <f>"CK202410116550"</f>
        <v>CK202410116550</v>
      </c>
      <c r="C8108" s="1" t="str">
        <f>"DD2024101115059"</f>
        <v>DD2024101115059</v>
      </c>
      <c r="D8108" s="1" t="str">
        <f>"CK2024101117176"</f>
        <v>CK2024101117176</v>
      </c>
      <c r="E8108" s="1" t="str">
        <f>"6934851746788808343"</f>
        <v>6934851746788808343</v>
      </c>
      <c r="F8108" s="1" t="str">
        <f t="shared" si="2311"/>
        <v>花都四部-凤凰仓</v>
      </c>
      <c r="G8108" s="1" t="str">
        <f t="shared" si="2314"/>
        <v>卡卡杜个人护理店（抖店）</v>
      </c>
      <c r="H8108" s="1" t="str">
        <f t="shared" si="2312"/>
        <v>正常订单</v>
      </c>
      <c r="I8108" s="1" t="str">
        <f t="shared" si="2313"/>
        <v>已发货</v>
      </c>
      <c r="J8108" s="1" t="str">
        <f t="shared" si="2318"/>
        <v>5</v>
      </c>
      <c r="K8108" s="1">
        <v>3</v>
      </c>
      <c r="L8108" s="1" t="s">
        <v>30</v>
      </c>
      <c r="M8108" s="1" t="str">
        <f>"山东省 威海市 荣成市 上庄镇"</f>
        <v>山东省 威海市 荣成市 上庄镇</v>
      </c>
      <c r="N8108" s="1" t="str">
        <f t="shared" si="2308"/>
        <v>凡华云仓-韵达-抖音</v>
      </c>
      <c r="O8108" s="5">
        <v>320166071386005</v>
      </c>
      <c r="P8108" s="6">
        <v>0.47</v>
      </c>
      <c r="Q8108" s="11">
        <v>2.2999999999999998</v>
      </c>
      <c r="R8108" s="11"/>
      <c r="S8108" s="11"/>
      <c r="T8108" s="11"/>
      <c r="U8108" s="11">
        <f t="shared" si="2309"/>
        <v>2.2999999999999998</v>
      </c>
      <c r="W8108">
        <v>2.5</v>
      </c>
      <c r="X8108" s="1" t="s">
        <v>30</v>
      </c>
    </row>
    <row r="8109" spans="1:24" x14ac:dyDescent="0.25">
      <c r="A8109" s="1" t="str">
        <f t="shared" si="2310"/>
        <v>卡卡杜-凤凰仓</v>
      </c>
      <c r="B8109" s="1" t="str">
        <f>"CK202410118144"</f>
        <v>CK202410118144</v>
      </c>
      <c r="C8109" s="1" t="str">
        <f>"DD2024101116698"</f>
        <v>DD2024101116698</v>
      </c>
      <c r="D8109" s="1" t="str">
        <f>"CK2024101117175"</f>
        <v>CK2024101117175</v>
      </c>
      <c r="E8109" s="1" t="str">
        <f>"6934840864375575999"</f>
        <v>6934840864375575999</v>
      </c>
      <c r="F8109" s="1" t="str">
        <f t="shared" si="2311"/>
        <v>花都四部-凤凰仓</v>
      </c>
      <c r="G8109" s="1" t="str">
        <f t="shared" si="2314"/>
        <v>卡卡杜个人护理店（抖店）</v>
      </c>
      <c r="H8109" s="1" t="str">
        <f t="shared" si="2312"/>
        <v>正常订单</v>
      </c>
      <c r="I8109" s="1" t="str">
        <f t="shared" si="2313"/>
        <v>已发货</v>
      </c>
      <c r="J8109" s="1" t="str">
        <f t="shared" si="2318"/>
        <v>5</v>
      </c>
      <c r="K8109" s="1">
        <v>3</v>
      </c>
      <c r="L8109" s="1" t="s">
        <v>16</v>
      </c>
      <c r="M8109" s="1" t="str">
        <f>"河北省 石家庄市 藁城区 九门回族乡"</f>
        <v>河北省 石家庄市 藁城区 九门回族乡</v>
      </c>
      <c r="N8109" s="1" t="str">
        <f t="shared" si="2308"/>
        <v>凡华云仓-韵达-抖音</v>
      </c>
      <c r="O8109" s="5">
        <v>320166071385979</v>
      </c>
      <c r="P8109" s="6">
        <v>0.47</v>
      </c>
      <c r="Q8109" s="11">
        <v>2.2999999999999998</v>
      </c>
      <c r="R8109" s="11"/>
      <c r="S8109" s="11"/>
      <c r="T8109" s="11"/>
      <c r="U8109" s="11">
        <f t="shared" si="2309"/>
        <v>2.2999999999999998</v>
      </c>
      <c r="W8109">
        <v>2.5</v>
      </c>
      <c r="X8109" s="1" t="s">
        <v>16</v>
      </c>
    </row>
    <row r="8110" spans="1:24" x14ac:dyDescent="0.25">
      <c r="A8110" s="1" t="str">
        <f t="shared" si="2310"/>
        <v>卡卡杜-凤凰仓</v>
      </c>
      <c r="B8110" s="1" t="str">
        <f>"CK202410116073"</f>
        <v>CK202410116073</v>
      </c>
      <c r="C8110" s="1" t="str">
        <f>"DD2024101114582"</f>
        <v>DD2024101114582</v>
      </c>
      <c r="D8110" s="1" t="str">
        <f>"CK2024101117174"</f>
        <v>CK2024101117174</v>
      </c>
      <c r="E8110" s="1" t="str">
        <f>"6934840907938141617"</f>
        <v>6934840907938141617</v>
      </c>
      <c r="F8110" s="1" t="str">
        <f t="shared" si="2311"/>
        <v>花都四部-凤凰仓</v>
      </c>
      <c r="G8110" s="1" t="str">
        <f t="shared" si="2314"/>
        <v>卡卡杜个人护理店（抖店）</v>
      </c>
      <c r="H8110" s="1" t="str">
        <f t="shared" si="2312"/>
        <v>正常订单</v>
      </c>
      <c r="I8110" s="1" t="str">
        <f t="shared" si="2313"/>
        <v>已发货</v>
      </c>
      <c r="J8110" s="1" t="str">
        <f t="shared" si="2318"/>
        <v>5</v>
      </c>
      <c r="K8110" s="1">
        <v>3</v>
      </c>
      <c r="L8110" s="1" t="s">
        <v>74</v>
      </c>
      <c r="M8110" s="1" t="str">
        <f>"上海 上海市 闵行区 莘庄工业区"</f>
        <v>上海 上海市 闵行区 莘庄工业区</v>
      </c>
      <c r="N8110" s="1" t="str">
        <f t="shared" si="2308"/>
        <v>凡华云仓-韵达-抖音</v>
      </c>
      <c r="O8110" s="5">
        <v>320166071385874</v>
      </c>
      <c r="P8110" s="6">
        <v>0.47</v>
      </c>
      <c r="Q8110" s="11">
        <v>2.2999999999999998</v>
      </c>
      <c r="R8110" s="11"/>
      <c r="S8110" s="11"/>
      <c r="T8110" s="11"/>
      <c r="U8110" s="11">
        <f t="shared" si="2309"/>
        <v>2.2999999999999998</v>
      </c>
      <c r="W8110">
        <v>2.5</v>
      </c>
      <c r="X8110" s="1" t="s">
        <v>74</v>
      </c>
    </row>
    <row r="8111" spans="1:24" x14ac:dyDescent="0.25">
      <c r="A8111" s="1" t="str">
        <f t="shared" si="2310"/>
        <v>卡卡杜-凤凰仓</v>
      </c>
      <c r="B8111" s="1" t="str">
        <f>"CK202410116075"</f>
        <v>CK202410116075</v>
      </c>
      <c r="C8111" s="1" t="str">
        <f>"DD2024101114583"</f>
        <v>DD2024101114583</v>
      </c>
      <c r="D8111" s="1" t="str">
        <f>"CK2024101117173"</f>
        <v>CK2024101117173</v>
      </c>
      <c r="E8111" s="1" t="str">
        <f>"6934836307704354264"</f>
        <v>6934836307704354264</v>
      </c>
      <c r="F8111" s="1" t="str">
        <f t="shared" si="2311"/>
        <v>花都四部-凤凰仓</v>
      </c>
      <c r="G8111" s="1" t="str">
        <f t="shared" si="2314"/>
        <v>卡卡杜个人护理店（抖店）</v>
      </c>
      <c r="H8111" s="1" t="str">
        <f t="shared" si="2312"/>
        <v>正常订单</v>
      </c>
      <c r="I8111" s="1" t="str">
        <f t="shared" si="2313"/>
        <v>已发货</v>
      </c>
      <c r="J8111" s="1" t="str">
        <f t="shared" si="2318"/>
        <v>5</v>
      </c>
      <c r="K8111" s="1">
        <v>3</v>
      </c>
      <c r="L8111" s="1" t="s">
        <v>20</v>
      </c>
      <c r="M8111" s="1" t="str">
        <f>"浙江省 金华市 武义县 "</f>
        <v xml:space="preserve">浙江省 金华市 武义县 </v>
      </c>
      <c r="N8111" s="1" t="str">
        <f t="shared" si="2308"/>
        <v>凡华云仓-韵达-抖音</v>
      </c>
      <c r="O8111" s="5">
        <v>320166079261885</v>
      </c>
      <c r="P8111" s="6">
        <v>0.47</v>
      </c>
      <c r="Q8111" s="11">
        <v>2.2999999999999998</v>
      </c>
      <c r="R8111" s="11"/>
      <c r="S8111" s="11"/>
      <c r="T8111" s="11"/>
      <c r="U8111" s="11">
        <f t="shared" si="2309"/>
        <v>2.2999999999999998</v>
      </c>
      <c r="W8111">
        <v>2.5</v>
      </c>
      <c r="X8111" s="1" t="s">
        <v>20</v>
      </c>
    </row>
    <row r="8112" spans="1:24" x14ac:dyDescent="0.25">
      <c r="A8112" s="1" t="str">
        <f t="shared" si="2310"/>
        <v>卡卡杜-凤凰仓</v>
      </c>
      <c r="B8112" s="1" t="str">
        <f>"CK202410116074"</f>
        <v>CK202410116074</v>
      </c>
      <c r="C8112" s="1" t="str">
        <f>"DD2024101114584"</f>
        <v>DD2024101114584</v>
      </c>
      <c r="D8112" s="1" t="str">
        <f>"CK2024101117172"</f>
        <v>CK2024101117172</v>
      </c>
      <c r="E8112" s="1" t="str">
        <f>"6934827251363812637"</f>
        <v>6934827251363812637</v>
      </c>
      <c r="F8112" s="1" t="str">
        <f t="shared" si="2311"/>
        <v>花都四部-凤凰仓</v>
      </c>
      <c r="G8112" s="1" t="str">
        <f t="shared" si="2314"/>
        <v>卡卡杜个人护理店（抖店）</v>
      </c>
      <c r="H8112" s="1" t="str">
        <f t="shared" si="2312"/>
        <v>正常订单</v>
      </c>
      <c r="I8112" s="1" t="str">
        <f t="shared" si="2313"/>
        <v>已发货</v>
      </c>
      <c r="J8112" s="1" t="str">
        <f t="shared" si="2318"/>
        <v>5</v>
      </c>
      <c r="K8112" s="1">
        <v>3</v>
      </c>
      <c r="L8112" s="1" t="s">
        <v>20</v>
      </c>
      <c r="M8112" s="1" t="str">
        <f>"浙江省 宁波市 象山县 西周镇"</f>
        <v>浙江省 宁波市 象山县 西周镇</v>
      </c>
      <c r="N8112" s="1" t="str">
        <f t="shared" si="2308"/>
        <v>凡华云仓-韵达-抖音</v>
      </c>
      <c r="O8112" s="5">
        <v>320166079261782</v>
      </c>
      <c r="P8112" s="6">
        <v>0.47</v>
      </c>
      <c r="Q8112" s="11">
        <v>2.2999999999999998</v>
      </c>
      <c r="R8112" s="11"/>
      <c r="S8112" s="11"/>
      <c r="T8112" s="11"/>
      <c r="U8112" s="11">
        <f t="shared" si="2309"/>
        <v>2.2999999999999998</v>
      </c>
      <c r="W8112">
        <v>2.5</v>
      </c>
      <c r="X8112" s="1" t="s">
        <v>20</v>
      </c>
    </row>
    <row r="8113" spans="1:24" x14ac:dyDescent="0.25">
      <c r="A8113" s="1" t="str">
        <f t="shared" si="2310"/>
        <v>卡卡杜-凤凰仓</v>
      </c>
      <c r="B8113" s="1" t="str">
        <f>"CK202410116076"</f>
        <v>CK202410116076</v>
      </c>
      <c r="C8113" s="1" t="str">
        <f>"DD2024101114585"</f>
        <v>DD2024101114585</v>
      </c>
      <c r="D8113" s="1" t="str">
        <f>"CK2024101117171"</f>
        <v>CK2024101117171</v>
      </c>
      <c r="E8113" s="1" t="str">
        <f>"6934834145760056934"</f>
        <v>6934834145760056934</v>
      </c>
      <c r="F8113" s="1" t="str">
        <f t="shared" si="2311"/>
        <v>花都四部-凤凰仓</v>
      </c>
      <c r="G8113" s="1" t="str">
        <f t="shared" si="2314"/>
        <v>卡卡杜个人护理店（抖店）</v>
      </c>
      <c r="H8113" s="1" t="str">
        <f t="shared" si="2312"/>
        <v>正常订单</v>
      </c>
      <c r="I8113" s="1" t="str">
        <f t="shared" si="2313"/>
        <v>已发货</v>
      </c>
      <c r="J8113" s="1" t="str">
        <f t="shared" si="2318"/>
        <v>5</v>
      </c>
      <c r="K8113" s="1">
        <v>3</v>
      </c>
      <c r="L8113" s="1" t="s">
        <v>27</v>
      </c>
      <c r="M8113" s="1" t="str">
        <f>"贵州省 遵义市 仁怀市 中枢街道"</f>
        <v>贵州省 遵义市 仁怀市 中枢街道</v>
      </c>
      <c r="N8113" s="1" t="str">
        <f t="shared" ref="N8113:N8176" si="2319">"凡华云仓-韵达-抖音"</f>
        <v>凡华云仓-韵达-抖音</v>
      </c>
      <c r="O8113" s="5">
        <v>320166079261681</v>
      </c>
      <c r="P8113" s="6">
        <v>0.47</v>
      </c>
      <c r="Q8113" s="11">
        <v>2.2999999999999998</v>
      </c>
      <c r="R8113" s="11"/>
      <c r="S8113" s="11"/>
      <c r="T8113" s="11"/>
      <c r="U8113" s="11">
        <f t="shared" si="2309"/>
        <v>2.2999999999999998</v>
      </c>
      <c r="W8113">
        <v>2.5</v>
      </c>
      <c r="X8113" s="1" t="s">
        <v>27</v>
      </c>
    </row>
    <row r="8114" spans="1:24" x14ac:dyDescent="0.25">
      <c r="A8114" s="1" t="str">
        <f t="shared" si="2310"/>
        <v>卡卡杜-凤凰仓</v>
      </c>
      <c r="B8114" s="1" t="str">
        <f>"CK202410116200"</f>
        <v>CK202410116200</v>
      </c>
      <c r="C8114" s="1" t="str">
        <f>"DD2024101114710"</f>
        <v>DD2024101114710</v>
      </c>
      <c r="D8114" s="1" t="str">
        <f>"CK2024101117170"</f>
        <v>CK2024101117170</v>
      </c>
      <c r="E8114" s="1" t="str">
        <f>"6934836272126170851"</f>
        <v>6934836272126170851</v>
      </c>
      <c r="F8114" s="1" t="str">
        <f t="shared" si="2311"/>
        <v>花都四部-凤凰仓</v>
      </c>
      <c r="G8114" s="1" t="str">
        <f t="shared" si="2314"/>
        <v>卡卡杜个人护理店（抖店）</v>
      </c>
      <c r="H8114" s="1" t="str">
        <f t="shared" si="2312"/>
        <v>正常订单</v>
      </c>
      <c r="I8114" s="1" t="str">
        <f t="shared" si="2313"/>
        <v>已发货</v>
      </c>
      <c r="J8114" s="1" t="str">
        <f t="shared" si="2318"/>
        <v>5</v>
      </c>
      <c r="K8114" s="1">
        <v>3</v>
      </c>
      <c r="L8114" s="1" t="s">
        <v>74</v>
      </c>
      <c r="M8114" s="1" t="str">
        <f>"上海 上海市 徐汇区 长桥街道"</f>
        <v>上海 上海市 徐汇区 长桥街道</v>
      </c>
      <c r="N8114" s="1" t="str">
        <f t="shared" si="2319"/>
        <v>凡华云仓-韵达-抖音</v>
      </c>
      <c r="O8114" s="5">
        <v>320166079261582</v>
      </c>
      <c r="P8114" s="6">
        <v>0.47</v>
      </c>
      <c r="Q8114" s="11">
        <v>2.2999999999999998</v>
      </c>
      <c r="R8114" s="11"/>
      <c r="S8114" s="11"/>
      <c r="T8114" s="11"/>
      <c r="U8114" s="11">
        <f t="shared" si="2309"/>
        <v>2.2999999999999998</v>
      </c>
      <c r="W8114">
        <v>2.5</v>
      </c>
      <c r="X8114" s="1" t="s">
        <v>74</v>
      </c>
    </row>
    <row r="8115" spans="1:24" x14ac:dyDescent="0.25">
      <c r="A8115" s="1" t="str">
        <f t="shared" si="2310"/>
        <v>卡卡杜-凤凰仓</v>
      </c>
      <c r="B8115" s="1" t="str">
        <f>"CK202410116255"</f>
        <v>CK202410116255</v>
      </c>
      <c r="C8115" s="1" t="str">
        <f>"DD2024101114765"</f>
        <v>DD2024101114765</v>
      </c>
      <c r="D8115" s="1" t="str">
        <f>"CK2024101117169"</f>
        <v>CK2024101117169</v>
      </c>
      <c r="E8115" s="1" t="str">
        <f>"6934847513754736527"</f>
        <v>6934847513754736527</v>
      </c>
      <c r="F8115" s="1" t="str">
        <f t="shared" si="2311"/>
        <v>花都四部-凤凰仓</v>
      </c>
      <c r="G8115" s="1" t="str">
        <f t="shared" si="2314"/>
        <v>卡卡杜个人护理店（抖店）</v>
      </c>
      <c r="H8115" s="1" t="str">
        <f t="shared" si="2312"/>
        <v>正常订单</v>
      </c>
      <c r="I8115" s="1" t="str">
        <f t="shared" si="2313"/>
        <v>已发货</v>
      </c>
      <c r="J8115" s="1" t="str">
        <f t="shared" si="2318"/>
        <v>5</v>
      </c>
      <c r="K8115" s="1">
        <v>3</v>
      </c>
      <c r="L8115" s="1" t="s">
        <v>54</v>
      </c>
      <c r="M8115" s="1" t="str">
        <f>"黑龙江省 鹤岗市 向阳区 红军街道"</f>
        <v>黑龙江省 鹤岗市 向阳区 红军街道</v>
      </c>
      <c r="N8115" s="1" t="str">
        <f t="shared" si="2319"/>
        <v>凡华云仓-韵达-抖音</v>
      </c>
      <c r="O8115" s="5">
        <v>320166079261485</v>
      </c>
      <c r="P8115" s="6">
        <v>0.47</v>
      </c>
      <c r="Q8115" s="11">
        <v>2.2999999999999998</v>
      </c>
      <c r="R8115" s="11"/>
      <c r="S8115" s="11"/>
      <c r="T8115" s="11"/>
      <c r="U8115" s="11">
        <f t="shared" si="2309"/>
        <v>2.2999999999999998</v>
      </c>
      <c r="W8115">
        <v>2.5</v>
      </c>
      <c r="X8115" s="1" t="s">
        <v>54</v>
      </c>
    </row>
    <row r="8116" spans="1:24" x14ac:dyDescent="0.25">
      <c r="A8116" s="1" t="str">
        <f t="shared" si="2310"/>
        <v>卡卡杜-凤凰仓</v>
      </c>
      <c r="B8116" s="1" t="str">
        <f>"CK202410116518"</f>
        <v>CK202410116518</v>
      </c>
      <c r="C8116" s="1" t="str">
        <f>"DD2024101115027"</f>
        <v>DD2024101115027</v>
      </c>
      <c r="D8116" s="1" t="str">
        <f>"CK2024101117168"</f>
        <v>CK2024101117168</v>
      </c>
      <c r="E8116" s="1" t="str">
        <f>"6934834150075602691"</f>
        <v>6934834150075602691</v>
      </c>
      <c r="F8116" s="1" t="str">
        <f t="shared" si="2311"/>
        <v>花都四部-凤凰仓</v>
      </c>
      <c r="G8116" s="1" t="str">
        <f t="shared" si="2314"/>
        <v>卡卡杜个人护理店（抖店）</v>
      </c>
      <c r="H8116" s="1" t="str">
        <f t="shared" si="2312"/>
        <v>正常订单</v>
      </c>
      <c r="I8116" s="1" t="str">
        <f t="shared" si="2313"/>
        <v>已发货</v>
      </c>
      <c r="J8116" s="1" t="str">
        <f t="shared" si="2318"/>
        <v>5</v>
      </c>
      <c r="K8116" s="1">
        <v>3</v>
      </c>
      <c r="L8116" s="1" t="s">
        <v>218</v>
      </c>
      <c r="M8116" s="1" t="str">
        <f>"天津 天津市 武清区 杨村街道"</f>
        <v>天津 天津市 武清区 杨村街道</v>
      </c>
      <c r="N8116" s="1" t="str">
        <f t="shared" si="2319"/>
        <v>凡华云仓-韵达-抖音</v>
      </c>
      <c r="O8116" s="5">
        <v>320166079261390</v>
      </c>
      <c r="P8116" s="6">
        <v>0.47</v>
      </c>
      <c r="Q8116" s="11">
        <v>2.2999999999999998</v>
      </c>
      <c r="R8116" s="11"/>
      <c r="S8116" s="11"/>
      <c r="T8116" s="11"/>
      <c r="U8116" s="11">
        <f t="shared" si="2309"/>
        <v>2.2999999999999998</v>
      </c>
      <c r="W8116">
        <v>2.5</v>
      </c>
      <c r="X8116" s="1" t="s">
        <v>218</v>
      </c>
    </row>
    <row r="8117" spans="1:24" x14ac:dyDescent="0.25">
      <c r="A8117" s="1" t="str">
        <f t="shared" si="2310"/>
        <v>卡卡杜-凤凰仓</v>
      </c>
      <c r="B8117" s="1" t="str">
        <f>"CK202410116552"</f>
        <v>CK202410116552</v>
      </c>
      <c r="C8117" s="1" t="str">
        <f>"DD2024101115061"</f>
        <v>DD2024101115061</v>
      </c>
      <c r="D8117" s="1" t="str">
        <f>"CK2024101117167"</f>
        <v>CK2024101117167</v>
      </c>
      <c r="E8117" s="1" t="str">
        <f>"6934849451713238939"</f>
        <v>6934849451713238939</v>
      </c>
      <c r="F8117" s="1" t="str">
        <f t="shared" si="2311"/>
        <v>花都四部-凤凰仓</v>
      </c>
      <c r="G8117" s="1" t="str">
        <f t="shared" si="2314"/>
        <v>卡卡杜个人护理店（抖店）</v>
      </c>
      <c r="H8117" s="1" t="str">
        <f t="shared" si="2312"/>
        <v>正常订单</v>
      </c>
      <c r="I8117" s="1" t="str">
        <f t="shared" si="2313"/>
        <v>已发货</v>
      </c>
      <c r="J8117" s="1" t="str">
        <f t="shared" si="2318"/>
        <v>5</v>
      </c>
      <c r="K8117" s="1">
        <v>3</v>
      </c>
      <c r="L8117" s="1" t="s">
        <v>109</v>
      </c>
      <c r="M8117" s="1" t="str">
        <f>"山西省 运城市 盐湖区 东城街道"</f>
        <v>山西省 运城市 盐湖区 东城街道</v>
      </c>
      <c r="N8117" s="1" t="str">
        <f t="shared" si="2319"/>
        <v>凡华云仓-韵达-抖音</v>
      </c>
      <c r="O8117" s="5">
        <v>320166079261297</v>
      </c>
      <c r="P8117" s="6">
        <v>0.47</v>
      </c>
      <c r="Q8117" s="11">
        <v>2.2999999999999998</v>
      </c>
      <c r="R8117" s="11"/>
      <c r="S8117" s="11"/>
      <c r="T8117" s="11"/>
      <c r="U8117" s="11">
        <f t="shared" si="2309"/>
        <v>2.2999999999999998</v>
      </c>
      <c r="W8117">
        <v>2.5</v>
      </c>
      <c r="X8117" s="1" t="s">
        <v>109</v>
      </c>
    </row>
    <row r="8118" spans="1:24" x14ac:dyDescent="0.25">
      <c r="A8118" s="1" t="str">
        <f t="shared" si="2310"/>
        <v>卡卡杜-凤凰仓</v>
      </c>
      <c r="B8118" s="1" t="str">
        <f>"CK202410116157"</f>
        <v>CK202410116157</v>
      </c>
      <c r="C8118" s="1" t="str">
        <f>"DD2024101114665"</f>
        <v>DD2024101114665</v>
      </c>
      <c r="D8118" s="1" t="str">
        <f>"CK2024101117166"</f>
        <v>CK2024101117166</v>
      </c>
      <c r="E8118" s="1" t="str">
        <f>"6934843243642229869"</f>
        <v>6934843243642229869</v>
      </c>
      <c r="F8118" s="1" t="str">
        <f t="shared" si="2311"/>
        <v>花都四部-凤凰仓</v>
      </c>
      <c r="G8118" s="1" t="str">
        <f t="shared" si="2314"/>
        <v>卡卡杜个人护理店（抖店）</v>
      </c>
      <c r="H8118" s="1" t="str">
        <f t="shared" si="2312"/>
        <v>正常订单</v>
      </c>
      <c r="I8118" s="1" t="str">
        <f t="shared" si="2313"/>
        <v>已发货</v>
      </c>
      <c r="J8118" s="1" t="str">
        <f t="shared" si="2318"/>
        <v>5</v>
      </c>
      <c r="K8118" s="1">
        <v>3</v>
      </c>
      <c r="L8118" s="1" t="s">
        <v>74</v>
      </c>
      <c r="M8118" s="1" t="str">
        <f>"上海 上海市 普陀区 桃浦镇"</f>
        <v>上海 上海市 普陀区 桃浦镇</v>
      </c>
      <c r="N8118" s="1" t="str">
        <f t="shared" si="2319"/>
        <v>凡华云仓-韵达-抖音</v>
      </c>
      <c r="O8118" s="5">
        <v>320166079261106</v>
      </c>
      <c r="P8118" s="6">
        <v>0.47</v>
      </c>
      <c r="Q8118" s="11">
        <v>2.2999999999999998</v>
      </c>
      <c r="R8118" s="11"/>
      <c r="S8118" s="11"/>
      <c r="T8118" s="11"/>
      <c r="U8118" s="11">
        <f t="shared" si="2309"/>
        <v>2.2999999999999998</v>
      </c>
      <c r="W8118">
        <v>2.5</v>
      </c>
      <c r="X8118" s="1" t="s">
        <v>74</v>
      </c>
    </row>
    <row r="8119" spans="1:24" x14ac:dyDescent="0.25">
      <c r="A8119" s="1" t="str">
        <f t="shared" si="2310"/>
        <v>卡卡杜-凤凰仓</v>
      </c>
      <c r="B8119" s="1" t="str">
        <f>"CK202410116524"</f>
        <v>CK202410116524</v>
      </c>
      <c r="C8119" s="1" t="str">
        <f>"DD2024101115034"</f>
        <v>DD2024101115034</v>
      </c>
      <c r="D8119" s="1" t="str">
        <f>"CK2024101117165"</f>
        <v>CK2024101117165</v>
      </c>
      <c r="E8119" s="1" t="str">
        <f>"6934840833574770440"</f>
        <v>6934840833574770440</v>
      </c>
      <c r="F8119" s="1" t="str">
        <f t="shared" si="2311"/>
        <v>花都四部-凤凰仓</v>
      </c>
      <c r="G8119" s="1" t="str">
        <f t="shared" si="2314"/>
        <v>卡卡杜个人护理店（抖店）</v>
      </c>
      <c r="H8119" s="1" t="str">
        <f t="shared" si="2312"/>
        <v>正常订单</v>
      </c>
      <c r="I8119" s="1" t="str">
        <f t="shared" si="2313"/>
        <v>已发货</v>
      </c>
      <c r="J8119" s="1" t="str">
        <f t="shared" si="2318"/>
        <v>5</v>
      </c>
      <c r="K8119" s="1">
        <v>3</v>
      </c>
      <c r="L8119" s="1" t="s">
        <v>13</v>
      </c>
      <c r="M8119" s="1" t="str">
        <f>"江苏省 南通市 海安市 城东镇"</f>
        <v>江苏省 南通市 海安市 城东镇</v>
      </c>
      <c r="N8119" s="1" t="str">
        <f t="shared" si="2319"/>
        <v>凡华云仓-韵达-抖音</v>
      </c>
      <c r="O8119" s="5">
        <v>320166079261017</v>
      </c>
      <c r="P8119" s="6">
        <v>0.47</v>
      </c>
      <c r="Q8119" s="11">
        <v>2.2999999999999998</v>
      </c>
      <c r="R8119" s="11"/>
      <c r="S8119" s="11"/>
      <c r="T8119" s="11"/>
      <c r="U8119" s="11">
        <f t="shared" si="2309"/>
        <v>2.2999999999999998</v>
      </c>
      <c r="W8119">
        <v>2.5</v>
      </c>
      <c r="X8119" s="1" t="s">
        <v>13</v>
      </c>
    </row>
    <row r="8120" spans="1:24" x14ac:dyDescent="0.25">
      <c r="A8120" s="1" t="str">
        <f t="shared" si="2310"/>
        <v>卡卡杜-凤凰仓</v>
      </c>
      <c r="B8120" s="1" t="str">
        <f>"CK202410116554"</f>
        <v>CK202410116554</v>
      </c>
      <c r="C8120" s="1" t="str">
        <f>"DD2024101115064"</f>
        <v>DD2024101115064</v>
      </c>
      <c r="D8120" s="1" t="str">
        <f>"CK2024101117164"</f>
        <v>CK2024101117164</v>
      </c>
      <c r="E8120" s="1" t="str">
        <f>"6934829535645144440"</f>
        <v>6934829535645144440</v>
      </c>
      <c r="F8120" s="1" t="str">
        <f t="shared" si="2311"/>
        <v>花都四部-凤凰仓</v>
      </c>
      <c r="G8120" s="1" t="str">
        <f t="shared" si="2314"/>
        <v>卡卡杜个人护理店（抖店）</v>
      </c>
      <c r="H8120" s="1" t="str">
        <f t="shared" si="2312"/>
        <v>正常订单</v>
      </c>
      <c r="I8120" s="1" t="str">
        <f t="shared" si="2313"/>
        <v>已发货</v>
      </c>
      <c r="J8120" s="1" t="str">
        <f t="shared" si="2318"/>
        <v>5</v>
      </c>
      <c r="K8120" s="1">
        <v>3</v>
      </c>
      <c r="L8120" s="1" t="s">
        <v>20</v>
      </c>
      <c r="M8120" s="1" t="str">
        <f>"浙江省 杭州市 萧山区 益农镇"</f>
        <v>浙江省 杭州市 萧山区 益农镇</v>
      </c>
      <c r="N8120" s="1" t="str">
        <f t="shared" si="2319"/>
        <v>凡华云仓-韵达-抖音</v>
      </c>
      <c r="O8120" s="5">
        <v>320166079260901</v>
      </c>
      <c r="P8120" s="6">
        <v>0.47</v>
      </c>
      <c r="Q8120" s="11">
        <v>2.2999999999999998</v>
      </c>
      <c r="R8120" s="11"/>
      <c r="S8120" s="11"/>
      <c r="T8120" s="11"/>
      <c r="U8120" s="11">
        <f t="shared" si="2309"/>
        <v>2.2999999999999998</v>
      </c>
      <c r="W8120">
        <v>2.5</v>
      </c>
      <c r="X8120" s="1" t="s">
        <v>20</v>
      </c>
    </row>
    <row r="8121" spans="1:24" x14ac:dyDescent="0.25">
      <c r="A8121" s="1" t="str">
        <f t="shared" si="2310"/>
        <v>卡卡杜-凤凰仓</v>
      </c>
      <c r="B8121" s="1" t="str">
        <f>"CK202410118142"</f>
        <v>CK202410118142</v>
      </c>
      <c r="C8121" s="1" t="str">
        <f>"DD2024101116695"</f>
        <v>DD2024101116695</v>
      </c>
      <c r="D8121" s="1" t="str">
        <f>"CK2024101117163"</f>
        <v>CK2024101117163</v>
      </c>
      <c r="E8121" s="1" t="str">
        <f>"6934836308051039651"</f>
        <v>6934836308051039651</v>
      </c>
      <c r="F8121" s="1" t="str">
        <f t="shared" si="2311"/>
        <v>花都四部-凤凰仓</v>
      </c>
      <c r="G8121" s="1" t="str">
        <f t="shared" si="2314"/>
        <v>卡卡杜个人护理店（抖店）</v>
      </c>
      <c r="H8121" s="1" t="str">
        <f t="shared" si="2312"/>
        <v>正常订单</v>
      </c>
      <c r="I8121" s="1" t="str">
        <f t="shared" si="2313"/>
        <v>已发货</v>
      </c>
      <c r="J8121" s="1" t="str">
        <f t="shared" si="2318"/>
        <v>5</v>
      </c>
      <c r="K8121" s="1">
        <v>3</v>
      </c>
      <c r="L8121" s="1" t="s">
        <v>218</v>
      </c>
      <c r="M8121" s="1" t="str">
        <f>"天津 天津市 北辰区 宜兴埠镇"</f>
        <v>天津 天津市 北辰区 宜兴埠镇</v>
      </c>
      <c r="N8121" s="1" t="str">
        <f t="shared" si="2319"/>
        <v>凡华云仓-韵达-抖音</v>
      </c>
      <c r="O8121" s="5">
        <v>320166074223880</v>
      </c>
      <c r="P8121" s="6">
        <v>0.47</v>
      </c>
      <c r="Q8121" s="11">
        <v>2.2999999999999998</v>
      </c>
      <c r="R8121" s="11"/>
      <c r="S8121" s="11"/>
      <c r="T8121" s="11"/>
      <c r="U8121" s="11">
        <f t="shared" si="2309"/>
        <v>2.2999999999999998</v>
      </c>
      <c r="W8121">
        <v>2.5</v>
      </c>
      <c r="X8121" s="1" t="s">
        <v>218</v>
      </c>
    </row>
    <row r="8122" spans="1:24" x14ac:dyDescent="0.25">
      <c r="A8122" s="1" t="str">
        <f t="shared" si="2310"/>
        <v>卡卡杜-凤凰仓</v>
      </c>
      <c r="B8122" s="1" t="str">
        <f>"CK202410118145"</f>
        <v>CK202410118145</v>
      </c>
      <c r="C8122" s="1" t="str">
        <f>"DD2024101116699"</f>
        <v>DD2024101116699</v>
      </c>
      <c r="D8122" s="1" t="str">
        <f>"CK2024101117162"</f>
        <v>CK2024101117162</v>
      </c>
      <c r="E8122" s="1" t="str">
        <f>"6934829549055841923"</f>
        <v>6934829549055841923</v>
      </c>
      <c r="F8122" s="1" t="str">
        <f t="shared" si="2311"/>
        <v>花都四部-凤凰仓</v>
      </c>
      <c r="G8122" s="1" t="str">
        <f t="shared" si="2314"/>
        <v>卡卡杜个人护理店（抖店）</v>
      </c>
      <c r="H8122" s="1" t="str">
        <f t="shared" si="2312"/>
        <v>正常订单</v>
      </c>
      <c r="I8122" s="1" t="str">
        <f t="shared" si="2313"/>
        <v>已发货</v>
      </c>
      <c r="J8122" s="1" t="str">
        <f t="shared" si="2318"/>
        <v>5</v>
      </c>
      <c r="K8122" s="1">
        <v>3</v>
      </c>
      <c r="L8122" s="1" t="s">
        <v>109</v>
      </c>
      <c r="M8122" s="1" t="str">
        <f>"山西省 临汾市 尧都区 段店乡"</f>
        <v>山西省 临汾市 尧都区 段店乡</v>
      </c>
      <c r="N8122" s="1" t="str">
        <f t="shared" si="2319"/>
        <v>凡华云仓-韵达-抖音</v>
      </c>
      <c r="O8122" s="5">
        <v>320166074223777</v>
      </c>
      <c r="P8122" s="6">
        <v>0.47</v>
      </c>
      <c r="Q8122" s="11">
        <v>2.2999999999999998</v>
      </c>
      <c r="R8122" s="11"/>
      <c r="S8122" s="11"/>
      <c r="T8122" s="11"/>
      <c r="U8122" s="11">
        <f t="shared" si="2309"/>
        <v>2.2999999999999998</v>
      </c>
      <c r="W8122">
        <v>2.5</v>
      </c>
      <c r="X8122" s="1" t="s">
        <v>109</v>
      </c>
    </row>
    <row r="8123" spans="1:24" x14ac:dyDescent="0.25">
      <c r="A8123" s="1" t="str">
        <f t="shared" si="2310"/>
        <v>卡卡杜-凤凰仓</v>
      </c>
      <c r="B8123" s="1" t="str">
        <f>"CK2024101110455"</f>
        <v>CK2024101110455</v>
      </c>
      <c r="C8123" s="1" t="str">
        <f>"DD2024101117032"</f>
        <v>DD2024101117032</v>
      </c>
      <c r="D8123" s="1" t="str">
        <f>"CK2024101117161"</f>
        <v>CK2024101117161</v>
      </c>
      <c r="E8123" s="1" t="str">
        <f>"6934834210599802054"</f>
        <v>6934834210599802054</v>
      </c>
      <c r="F8123" s="1" t="str">
        <f t="shared" si="2311"/>
        <v>花都四部-凤凰仓</v>
      </c>
      <c r="G8123" s="1" t="str">
        <f t="shared" si="2314"/>
        <v>卡卡杜个人护理店（抖店）</v>
      </c>
      <c r="H8123" s="1" t="str">
        <f t="shared" si="2312"/>
        <v>正常订单</v>
      </c>
      <c r="I8123" s="1" t="str">
        <f t="shared" si="2313"/>
        <v>已发货</v>
      </c>
      <c r="J8123" s="1" t="str">
        <f>"9"</f>
        <v>9</v>
      </c>
      <c r="K8123" s="1">
        <v>3</v>
      </c>
      <c r="L8123" s="1" t="s">
        <v>54</v>
      </c>
      <c r="M8123" s="1" t="str">
        <f>"黑龙江省 齐齐哈尔市 克山县 克山镇"</f>
        <v>黑龙江省 齐齐哈尔市 克山县 克山镇</v>
      </c>
      <c r="N8123" s="1" t="str">
        <f t="shared" si="2319"/>
        <v>凡华云仓-韵达-抖音</v>
      </c>
      <c r="O8123" s="5">
        <v>320166074223676</v>
      </c>
      <c r="P8123" s="6">
        <v>0.83</v>
      </c>
      <c r="Q8123" s="11">
        <f>CEILING(P8123-0.5,0.1)*10*0.15+2.3</f>
        <v>2.9</v>
      </c>
      <c r="R8123" s="11"/>
      <c r="S8123" s="11"/>
      <c r="T8123" s="11"/>
      <c r="U8123" s="11">
        <f t="shared" si="2309"/>
        <v>2.9</v>
      </c>
      <c r="V8123" t="s">
        <v>15</v>
      </c>
      <c r="W8123">
        <v>2.9</v>
      </c>
      <c r="X8123" s="1" t="s">
        <v>54</v>
      </c>
    </row>
    <row r="8124" spans="1:24" x14ac:dyDescent="0.25">
      <c r="A8124" s="1" t="str">
        <f t="shared" si="2310"/>
        <v>卡卡杜-凤凰仓</v>
      </c>
      <c r="B8124" s="1" t="str">
        <f>"CK202410116479"</f>
        <v>CK202410116479</v>
      </c>
      <c r="C8124" s="1" t="str">
        <f>"DD2024101114989"</f>
        <v>DD2024101114989</v>
      </c>
      <c r="D8124" s="1" t="str">
        <f>"CK2024101117160"</f>
        <v>CK2024101117160</v>
      </c>
      <c r="E8124" s="1" t="str">
        <f>"6934853731877787381"</f>
        <v>6934853731877787381</v>
      </c>
      <c r="F8124" s="1" t="str">
        <f t="shared" si="2311"/>
        <v>花都四部-凤凰仓</v>
      </c>
      <c r="G8124" s="1" t="str">
        <f t="shared" si="2314"/>
        <v>卡卡杜个人护理店（抖店）</v>
      </c>
      <c r="H8124" s="1" t="str">
        <f t="shared" si="2312"/>
        <v>正常订单</v>
      </c>
      <c r="I8124" s="1" t="str">
        <f t="shared" si="2313"/>
        <v>已发货</v>
      </c>
      <c r="J8124" s="1" t="str">
        <f t="shared" ref="J8124:J8130" si="2320">"5"</f>
        <v>5</v>
      </c>
      <c r="K8124" s="1">
        <v>3</v>
      </c>
      <c r="L8124" s="1" t="s">
        <v>92</v>
      </c>
      <c r="M8124" s="1" t="str">
        <f>"辽宁省 锦州市 凌河区 "</f>
        <v xml:space="preserve">辽宁省 锦州市 凌河区 </v>
      </c>
      <c r="N8124" s="1" t="str">
        <f t="shared" si="2319"/>
        <v>凡华云仓-韵达-抖音</v>
      </c>
      <c r="O8124" s="5">
        <v>320166074223577</v>
      </c>
      <c r="P8124" s="6">
        <v>0.47</v>
      </c>
      <c r="Q8124" s="11">
        <v>2.2999999999999998</v>
      </c>
      <c r="R8124" s="11"/>
      <c r="S8124" s="11"/>
      <c r="T8124" s="11"/>
      <c r="U8124" s="11">
        <f t="shared" si="2309"/>
        <v>2.2999999999999998</v>
      </c>
      <c r="W8124">
        <v>2.5</v>
      </c>
      <c r="X8124" s="1" t="s">
        <v>92</v>
      </c>
    </row>
    <row r="8125" spans="1:24" x14ac:dyDescent="0.25">
      <c r="A8125" s="1" t="str">
        <f t="shared" si="2310"/>
        <v>卡卡杜-凤凰仓</v>
      </c>
      <c r="B8125" s="1" t="str">
        <f>"CK202410116515"</f>
        <v>CK202410116515</v>
      </c>
      <c r="C8125" s="1" t="str">
        <f>"DD2024101115022"</f>
        <v>DD2024101115022</v>
      </c>
      <c r="D8125" s="1" t="str">
        <f>"CK2024101117159"</f>
        <v>CK2024101117159</v>
      </c>
      <c r="E8125" s="1" t="str">
        <f>"6934853735115003801"</f>
        <v>6934853735115003801</v>
      </c>
      <c r="F8125" s="1" t="str">
        <f t="shared" si="2311"/>
        <v>花都四部-凤凰仓</v>
      </c>
      <c r="G8125" s="1" t="str">
        <f t="shared" si="2314"/>
        <v>卡卡杜个人护理店（抖店）</v>
      </c>
      <c r="H8125" s="1" t="str">
        <f t="shared" si="2312"/>
        <v>正常订单</v>
      </c>
      <c r="I8125" s="1" t="str">
        <f t="shared" si="2313"/>
        <v>已发货</v>
      </c>
      <c r="J8125" s="1" t="str">
        <f t="shared" si="2320"/>
        <v>5</v>
      </c>
      <c r="K8125" s="1">
        <v>3</v>
      </c>
      <c r="L8125" s="1" t="s">
        <v>218</v>
      </c>
      <c r="M8125" s="1" t="str">
        <f>"天津 天津市 滨海新区 新北街道"</f>
        <v>天津 天津市 滨海新区 新北街道</v>
      </c>
      <c r="N8125" s="1" t="str">
        <f t="shared" si="2319"/>
        <v>凡华云仓-韵达-抖音</v>
      </c>
      <c r="O8125" s="5">
        <v>320166074223480</v>
      </c>
      <c r="P8125" s="6">
        <v>0.47</v>
      </c>
      <c r="Q8125" s="11">
        <v>2.2999999999999998</v>
      </c>
      <c r="R8125" s="11"/>
      <c r="S8125" s="11"/>
      <c r="T8125" s="11"/>
      <c r="U8125" s="11">
        <f t="shared" si="2309"/>
        <v>2.2999999999999998</v>
      </c>
      <c r="W8125">
        <v>2.5</v>
      </c>
      <c r="X8125" s="1" t="s">
        <v>218</v>
      </c>
    </row>
    <row r="8126" spans="1:24" x14ac:dyDescent="0.25">
      <c r="A8126" s="1" t="str">
        <f t="shared" si="2310"/>
        <v>卡卡杜-凤凰仓</v>
      </c>
      <c r="B8126" s="1" t="str">
        <f>"CK202410116529"</f>
        <v>CK202410116529</v>
      </c>
      <c r="C8126" s="1" t="str">
        <f>"DD2024101115038"</f>
        <v>DD2024101115038</v>
      </c>
      <c r="D8126" s="1" t="str">
        <f>"CK2024101117158"</f>
        <v>CK2024101117158</v>
      </c>
      <c r="E8126" s="1" t="str">
        <f>"6934822611941398439"</f>
        <v>6934822611941398439</v>
      </c>
      <c r="F8126" s="1" t="str">
        <f t="shared" si="2311"/>
        <v>花都四部-凤凰仓</v>
      </c>
      <c r="G8126" s="1" t="str">
        <f t="shared" si="2314"/>
        <v>卡卡杜个人护理店（抖店）</v>
      </c>
      <c r="H8126" s="1" t="str">
        <f t="shared" si="2312"/>
        <v>正常订单</v>
      </c>
      <c r="I8126" s="1" t="str">
        <f t="shared" si="2313"/>
        <v>已发货</v>
      </c>
      <c r="J8126" s="1" t="str">
        <f t="shared" si="2320"/>
        <v>5</v>
      </c>
      <c r="K8126" s="1">
        <v>3</v>
      </c>
      <c r="L8126" s="1" t="s">
        <v>80</v>
      </c>
      <c r="M8126" s="1" t="str">
        <f>"河南省 濮阳市 濮阳县 城关镇"</f>
        <v>河南省 濮阳市 濮阳县 城关镇</v>
      </c>
      <c r="N8126" s="1" t="str">
        <f t="shared" si="2319"/>
        <v>凡华云仓-韵达-抖音</v>
      </c>
      <c r="O8126" s="5">
        <v>320166074223385</v>
      </c>
      <c r="P8126" s="6">
        <v>0.47</v>
      </c>
      <c r="Q8126" s="11">
        <v>2.2999999999999998</v>
      </c>
      <c r="R8126" s="11"/>
      <c r="S8126" s="11"/>
      <c r="T8126" s="11"/>
      <c r="U8126" s="11">
        <f t="shared" si="2309"/>
        <v>2.2999999999999998</v>
      </c>
      <c r="W8126">
        <v>2.5</v>
      </c>
      <c r="X8126" s="1" t="s">
        <v>80</v>
      </c>
    </row>
    <row r="8127" spans="1:24" x14ac:dyDescent="0.25">
      <c r="A8127" s="1" t="str">
        <f t="shared" si="2310"/>
        <v>卡卡杜-凤凰仓</v>
      </c>
      <c r="B8127" s="1" t="str">
        <f>"CK202410116531"</f>
        <v>CK202410116531</v>
      </c>
      <c r="C8127" s="1" t="str">
        <f>"DD2024101115040"</f>
        <v>DD2024101115040</v>
      </c>
      <c r="D8127" s="1" t="str">
        <f>"CK2024101117157"</f>
        <v>CK2024101117157</v>
      </c>
      <c r="E8127" s="1" t="str">
        <f>"6934831536818231032"</f>
        <v>6934831536818231032</v>
      </c>
      <c r="F8127" s="1" t="str">
        <f t="shared" si="2311"/>
        <v>花都四部-凤凰仓</v>
      </c>
      <c r="G8127" s="1" t="str">
        <f t="shared" si="2314"/>
        <v>卡卡杜个人护理店（抖店）</v>
      </c>
      <c r="H8127" s="1" t="str">
        <f t="shared" si="2312"/>
        <v>正常订单</v>
      </c>
      <c r="I8127" s="1" t="str">
        <f t="shared" si="2313"/>
        <v>已发货</v>
      </c>
      <c r="J8127" s="1" t="str">
        <f t="shared" si="2320"/>
        <v>5</v>
      </c>
      <c r="K8127" s="1">
        <v>3</v>
      </c>
      <c r="L8127" s="1" t="s">
        <v>13</v>
      </c>
      <c r="M8127" s="1" t="str">
        <f>"江苏省 苏州市 张家港市 杨舍镇"</f>
        <v>江苏省 苏州市 张家港市 杨舍镇</v>
      </c>
      <c r="N8127" s="1" t="str">
        <f t="shared" si="2319"/>
        <v>凡华云仓-韵达-抖音</v>
      </c>
      <c r="O8127" s="5">
        <v>320166074223292</v>
      </c>
      <c r="P8127" s="6">
        <v>0.47</v>
      </c>
      <c r="Q8127" s="11">
        <v>2.2999999999999998</v>
      </c>
      <c r="R8127" s="11"/>
      <c r="S8127" s="11"/>
      <c r="T8127" s="11"/>
      <c r="U8127" s="11">
        <f t="shared" si="2309"/>
        <v>2.2999999999999998</v>
      </c>
      <c r="W8127">
        <v>2.5</v>
      </c>
      <c r="X8127" s="1" t="s">
        <v>13</v>
      </c>
    </row>
    <row r="8128" spans="1:24" x14ac:dyDescent="0.25">
      <c r="A8128" s="1" t="str">
        <f t="shared" si="2310"/>
        <v>卡卡杜-凤凰仓</v>
      </c>
      <c r="B8128" s="1" t="str">
        <f>"CK202410116545"</f>
        <v>CK202410116545</v>
      </c>
      <c r="C8128" s="1" t="str">
        <f>"DD2024101115054"</f>
        <v>DD2024101115054</v>
      </c>
      <c r="D8128" s="1" t="str">
        <f>"CK2024101117156"</f>
        <v>CK2024101117156</v>
      </c>
      <c r="E8128" s="1" t="str">
        <f>"6934836311967602422"</f>
        <v>6934836311967602422</v>
      </c>
      <c r="F8128" s="1" t="str">
        <f t="shared" si="2311"/>
        <v>花都四部-凤凰仓</v>
      </c>
      <c r="G8128" s="1" t="str">
        <f t="shared" si="2314"/>
        <v>卡卡杜个人护理店（抖店）</v>
      </c>
      <c r="H8128" s="1" t="str">
        <f t="shared" si="2312"/>
        <v>正常订单</v>
      </c>
      <c r="I8128" s="1" t="str">
        <f t="shared" si="2313"/>
        <v>已发货</v>
      </c>
      <c r="J8128" s="1" t="str">
        <f t="shared" si="2320"/>
        <v>5</v>
      </c>
      <c r="K8128" s="1">
        <v>3</v>
      </c>
      <c r="L8128" s="1" t="s">
        <v>66</v>
      </c>
      <c r="M8128" s="1" t="str">
        <f>"内蒙古自治区 呼伦贝尔市 鄂温克族自治旗 "</f>
        <v xml:space="preserve">内蒙古自治区 呼伦贝尔市 鄂温克族自治旗 </v>
      </c>
      <c r="N8128" s="1" t="str">
        <f t="shared" si="2319"/>
        <v>凡华云仓-韵达-抖音</v>
      </c>
      <c r="O8128" s="5">
        <v>320166074223101</v>
      </c>
      <c r="P8128" s="6">
        <v>0.47</v>
      </c>
      <c r="Q8128" s="11">
        <v>2.2999999999999998</v>
      </c>
      <c r="R8128" s="11"/>
      <c r="S8128" s="11"/>
      <c r="T8128" s="11"/>
      <c r="U8128" s="11">
        <f t="shared" si="2309"/>
        <v>2.2999999999999998</v>
      </c>
      <c r="W8128">
        <v>2.5</v>
      </c>
      <c r="X8128" s="1" t="s">
        <v>66</v>
      </c>
    </row>
    <row r="8129" spans="1:24" x14ac:dyDescent="0.25">
      <c r="A8129" s="1" t="str">
        <f t="shared" si="2310"/>
        <v>卡卡杜-凤凰仓</v>
      </c>
      <c r="B8129" s="1" t="str">
        <f>"CK202410116620"</f>
        <v>CK202410116620</v>
      </c>
      <c r="C8129" s="1" t="str">
        <f>"DD2024101115129"</f>
        <v>DD2024101115129</v>
      </c>
      <c r="D8129" s="1" t="str">
        <f>"CK2024101117155"</f>
        <v>CK2024101117155</v>
      </c>
      <c r="E8129" s="1" t="str">
        <f>"6934836209966847853"</f>
        <v>6934836209966847853</v>
      </c>
      <c r="F8129" s="1" t="str">
        <f t="shared" si="2311"/>
        <v>花都四部-凤凰仓</v>
      </c>
      <c r="G8129" s="1" t="str">
        <f t="shared" si="2314"/>
        <v>卡卡杜个人护理店（抖店）</v>
      </c>
      <c r="H8129" s="1" t="str">
        <f t="shared" si="2312"/>
        <v>正常订单</v>
      </c>
      <c r="I8129" s="1" t="str">
        <f t="shared" si="2313"/>
        <v>已发货</v>
      </c>
      <c r="J8129" s="1" t="str">
        <f t="shared" si="2320"/>
        <v>5</v>
      </c>
      <c r="K8129" s="1">
        <v>3</v>
      </c>
      <c r="L8129" s="1" t="s">
        <v>16</v>
      </c>
      <c r="M8129" s="1" t="str">
        <f>"河北省 石家庄市 长安区 广安街道"</f>
        <v>河北省 石家庄市 长安区 广安街道</v>
      </c>
      <c r="N8129" s="1" t="str">
        <f t="shared" si="2319"/>
        <v>凡华云仓-韵达-抖音</v>
      </c>
      <c r="O8129" s="5">
        <v>320166074223012</v>
      </c>
      <c r="P8129" s="6">
        <v>0.47</v>
      </c>
      <c r="Q8129" s="11">
        <v>2.2999999999999998</v>
      </c>
      <c r="R8129" s="11"/>
      <c r="S8129" s="11"/>
      <c r="T8129" s="11"/>
      <c r="U8129" s="11">
        <f t="shared" si="2309"/>
        <v>2.2999999999999998</v>
      </c>
      <c r="W8129">
        <v>2.5</v>
      </c>
      <c r="X8129" s="1" t="s">
        <v>16</v>
      </c>
    </row>
    <row r="8130" spans="1:24" x14ac:dyDescent="0.25">
      <c r="A8130" s="1" t="str">
        <f t="shared" si="2310"/>
        <v>卡卡杜-凤凰仓</v>
      </c>
      <c r="B8130" s="1" t="str">
        <f>"CK202410118143"</f>
        <v>CK202410118143</v>
      </c>
      <c r="C8130" s="1" t="str">
        <f>"DD2024101116694"</f>
        <v>DD2024101116694</v>
      </c>
      <c r="D8130" s="1" t="str">
        <f>"CK2024101117154"</f>
        <v>CK2024101117154</v>
      </c>
      <c r="E8130" s="1" t="str">
        <f>"6934829609639221194"</f>
        <v>6934829609639221194</v>
      </c>
      <c r="F8130" s="1" t="str">
        <f t="shared" si="2311"/>
        <v>花都四部-凤凰仓</v>
      </c>
      <c r="G8130" s="1" t="str">
        <f t="shared" si="2314"/>
        <v>卡卡杜个人护理店（抖店）</v>
      </c>
      <c r="H8130" s="1" t="str">
        <f t="shared" si="2312"/>
        <v>正常订单</v>
      </c>
      <c r="I8130" s="1" t="str">
        <f t="shared" si="2313"/>
        <v>已发货</v>
      </c>
      <c r="J8130" s="1" t="str">
        <f t="shared" si="2320"/>
        <v>5</v>
      </c>
      <c r="K8130" s="1">
        <v>3</v>
      </c>
      <c r="L8130" s="1" t="s">
        <v>80</v>
      </c>
      <c r="M8130" s="1" t="str">
        <f>"河南省 郑州市 管城回族区 城东路街道"</f>
        <v>河南省 郑州市 管城回族区 城东路街道</v>
      </c>
      <c r="N8130" s="1" t="str">
        <f t="shared" si="2319"/>
        <v>凡华云仓-韵达-抖音</v>
      </c>
      <c r="O8130" s="5">
        <v>320166074222992</v>
      </c>
      <c r="P8130" s="6">
        <v>0.47</v>
      </c>
      <c r="Q8130" s="11">
        <v>2.2999999999999998</v>
      </c>
      <c r="R8130" s="11"/>
      <c r="S8130" s="11"/>
      <c r="T8130" s="11"/>
      <c r="U8130" s="11">
        <f t="shared" si="2309"/>
        <v>2.2999999999999998</v>
      </c>
      <c r="W8130">
        <v>2.5</v>
      </c>
      <c r="X8130" s="1" t="s">
        <v>80</v>
      </c>
    </row>
    <row r="8131" spans="1:24" x14ac:dyDescent="0.25">
      <c r="A8131" s="1" t="str">
        <f t="shared" si="2310"/>
        <v>卡卡杜-凤凰仓</v>
      </c>
      <c r="B8131" s="1" t="str">
        <f>"CK2024101110449"</f>
        <v>CK2024101110449</v>
      </c>
      <c r="C8131" s="1" t="str">
        <f>"DD2024101117025"</f>
        <v>DD2024101117025</v>
      </c>
      <c r="D8131" s="1" t="str">
        <f>"CK2024101117153"</f>
        <v>CK2024101117153</v>
      </c>
      <c r="E8131" s="1" t="str">
        <f>"6934831571858495363"</f>
        <v>6934831571858495363</v>
      </c>
      <c r="F8131" s="1" t="str">
        <f t="shared" si="2311"/>
        <v>花都四部-凤凰仓</v>
      </c>
      <c r="G8131" s="1" t="str">
        <f t="shared" si="2314"/>
        <v>卡卡杜个人护理店（抖店）</v>
      </c>
      <c r="H8131" s="1" t="str">
        <f t="shared" si="2312"/>
        <v>正常订单</v>
      </c>
      <c r="I8131" s="1" t="str">
        <f t="shared" si="2313"/>
        <v>已发货</v>
      </c>
      <c r="J8131" s="1" t="str">
        <f>"9"</f>
        <v>9</v>
      </c>
      <c r="K8131" s="1">
        <v>3</v>
      </c>
      <c r="L8131" s="1" t="s">
        <v>36</v>
      </c>
      <c r="M8131" s="1" t="str">
        <f>"安徽省 亳州市 蒙城县 城关镇"</f>
        <v>安徽省 亳州市 蒙城县 城关镇</v>
      </c>
      <c r="N8131" s="1" t="str">
        <f t="shared" si="2319"/>
        <v>凡华云仓-韵达-抖音</v>
      </c>
      <c r="O8131" s="5">
        <v>320166049830896</v>
      </c>
      <c r="P8131" s="6">
        <v>0.83</v>
      </c>
      <c r="Q8131" s="11">
        <f>CEILING(P8131-0.5,0.1)*10*0.15+2.3</f>
        <v>2.9</v>
      </c>
      <c r="R8131" s="11"/>
      <c r="S8131" s="11"/>
      <c r="T8131" s="11"/>
      <c r="U8131" s="11">
        <f t="shared" ref="U8131:U8194" si="2321">T8131+S8131+R8131+Q8131</f>
        <v>2.9</v>
      </c>
      <c r="V8131" t="s">
        <v>15</v>
      </c>
      <c r="W8131">
        <v>2.9</v>
      </c>
      <c r="X8131" s="1" t="s">
        <v>36</v>
      </c>
    </row>
    <row r="8132" spans="1:24" x14ac:dyDescent="0.25">
      <c r="A8132" s="1" t="str">
        <f t="shared" si="2310"/>
        <v>卡卡杜-凤凰仓</v>
      </c>
      <c r="B8132" s="1" t="str">
        <f>"CK2024101110473"</f>
        <v>CK2024101110473</v>
      </c>
      <c r="C8132" s="1" t="str">
        <f>"DD2024101117099"</f>
        <v>DD2024101117099</v>
      </c>
      <c r="D8132" s="1" t="str">
        <f>"CK2024101117152"</f>
        <v>CK2024101117152</v>
      </c>
      <c r="E8132" s="1" t="str">
        <f>"6934843284972639505"</f>
        <v>6934843284972639505</v>
      </c>
      <c r="F8132" s="1" t="str">
        <f t="shared" si="2311"/>
        <v>花都四部-凤凰仓</v>
      </c>
      <c r="G8132" s="1" t="str">
        <f t="shared" si="2314"/>
        <v>卡卡杜个人护理店（抖店）</v>
      </c>
      <c r="H8132" s="1" t="str">
        <f t="shared" si="2312"/>
        <v>正常订单</v>
      </c>
      <c r="I8132" s="1" t="str">
        <f t="shared" si="2313"/>
        <v>已发货</v>
      </c>
      <c r="J8132" s="1" t="str">
        <f>"10"</f>
        <v>10</v>
      </c>
      <c r="K8132" s="1">
        <v>2</v>
      </c>
      <c r="L8132" s="1" t="s">
        <v>74</v>
      </c>
      <c r="M8132" s="1" t="str">
        <f>"上海 上海市 浦东新区 康桥镇"</f>
        <v>上海 上海市 浦东新区 康桥镇</v>
      </c>
      <c r="N8132" s="1" t="str">
        <f t="shared" si="2319"/>
        <v>凡华云仓-韵达-抖音</v>
      </c>
      <c r="O8132" s="5">
        <v>320166049830793</v>
      </c>
      <c r="P8132" s="6">
        <v>1.54</v>
      </c>
      <c r="Q8132" s="11">
        <f>CEILING(P8132-0.5,0.1)*10*0.15+2.3</f>
        <v>3.9499999999999997</v>
      </c>
      <c r="R8132" s="11"/>
      <c r="S8132" s="11"/>
      <c r="T8132" s="11"/>
      <c r="U8132" s="11">
        <f t="shared" si="2321"/>
        <v>3.9499999999999997</v>
      </c>
      <c r="V8132" t="s">
        <v>15</v>
      </c>
      <c r="W8132">
        <v>3.95</v>
      </c>
      <c r="X8132" s="1" t="s">
        <v>74</v>
      </c>
    </row>
    <row r="8133" spans="1:24" x14ac:dyDescent="0.25">
      <c r="A8133" s="1" t="str">
        <f t="shared" ref="A8133:A8196" si="2322">"卡卡杜-凤凰仓"</f>
        <v>卡卡杜-凤凰仓</v>
      </c>
      <c r="B8133" s="1" t="str">
        <f>"CK202410116484"</f>
        <v>CK202410116484</v>
      </c>
      <c r="C8133" s="1" t="str">
        <f>"DD2024101114993"</f>
        <v>DD2024101114993</v>
      </c>
      <c r="D8133" s="1" t="str">
        <f>"CK2024101117151"</f>
        <v>CK2024101117151</v>
      </c>
      <c r="E8133" s="1" t="str">
        <f>"6934840983340717848"</f>
        <v>6934840983340717848</v>
      </c>
      <c r="F8133" s="1" t="str">
        <f t="shared" ref="F8133:F8196" si="2323">"花都四部-凤凰仓"</f>
        <v>花都四部-凤凰仓</v>
      </c>
      <c r="G8133" s="1" t="str">
        <f t="shared" si="2314"/>
        <v>卡卡杜个人护理店（抖店）</v>
      </c>
      <c r="H8133" s="1" t="str">
        <f t="shared" ref="H8133:H8196" si="2324">"正常订单"</f>
        <v>正常订单</v>
      </c>
      <c r="I8133" s="1" t="str">
        <f t="shared" ref="I8133:I8196" si="2325">"已发货"</f>
        <v>已发货</v>
      </c>
      <c r="J8133" s="1" t="str">
        <f t="shared" ref="J8133:J8156" si="2326">"5"</f>
        <v>5</v>
      </c>
      <c r="K8133" s="1">
        <v>3</v>
      </c>
      <c r="L8133" s="1" t="s">
        <v>18</v>
      </c>
      <c r="M8133" s="1" t="str">
        <f>"广东省 广州市 海珠区 海幢街道"</f>
        <v>广东省 广州市 海珠区 海幢街道</v>
      </c>
      <c r="N8133" s="1" t="str">
        <f t="shared" si="2319"/>
        <v>凡华云仓-韵达-抖音</v>
      </c>
      <c r="O8133" s="5">
        <v>320166049830692</v>
      </c>
      <c r="P8133" s="6">
        <v>0.47</v>
      </c>
      <c r="Q8133" s="11">
        <v>2.2999999999999998</v>
      </c>
      <c r="R8133" s="11"/>
      <c r="S8133" s="11"/>
      <c r="T8133" s="11"/>
      <c r="U8133" s="11">
        <f t="shared" si="2321"/>
        <v>2.2999999999999998</v>
      </c>
      <c r="W8133">
        <v>2.5</v>
      </c>
      <c r="X8133" s="1" t="s">
        <v>18</v>
      </c>
    </row>
    <row r="8134" spans="1:24" x14ac:dyDescent="0.25">
      <c r="A8134" s="1" t="str">
        <f t="shared" si="2322"/>
        <v>卡卡杜-凤凰仓</v>
      </c>
      <c r="B8134" s="1" t="str">
        <f>"CK202410116486"</f>
        <v>CK202410116486</v>
      </c>
      <c r="C8134" s="1" t="str">
        <f>"DD2024101114995"</f>
        <v>DD2024101114995</v>
      </c>
      <c r="D8134" s="1" t="str">
        <f>"CK2024101117150"</f>
        <v>CK2024101117150</v>
      </c>
      <c r="E8134" s="1" t="str">
        <f>"6934838530792428925"</f>
        <v>6934838530792428925</v>
      </c>
      <c r="F8134" s="1" t="str">
        <f t="shared" si="2323"/>
        <v>花都四部-凤凰仓</v>
      </c>
      <c r="G8134" s="1" t="str">
        <f t="shared" si="2314"/>
        <v>卡卡杜个人护理店（抖店）</v>
      </c>
      <c r="H8134" s="1" t="str">
        <f t="shared" si="2324"/>
        <v>正常订单</v>
      </c>
      <c r="I8134" s="1" t="str">
        <f t="shared" si="2325"/>
        <v>已发货</v>
      </c>
      <c r="J8134" s="1" t="str">
        <f t="shared" si="2326"/>
        <v>5</v>
      </c>
      <c r="K8134" s="1">
        <v>3</v>
      </c>
      <c r="L8134" s="1" t="s">
        <v>218</v>
      </c>
      <c r="M8134" s="1" t="str">
        <f>"天津 天津市 河北区 光复道街道"</f>
        <v>天津 天津市 河北区 光复道街道</v>
      </c>
      <c r="N8134" s="1" t="str">
        <f t="shared" si="2319"/>
        <v>凡华云仓-韵达-抖音</v>
      </c>
      <c r="O8134" s="5">
        <v>320166049830593</v>
      </c>
      <c r="P8134" s="6">
        <v>0.47</v>
      </c>
      <c r="Q8134" s="11">
        <v>2.2999999999999998</v>
      </c>
      <c r="R8134" s="11"/>
      <c r="S8134" s="11"/>
      <c r="T8134" s="11"/>
      <c r="U8134" s="11">
        <f t="shared" si="2321"/>
        <v>2.2999999999999998</v>
      </c>
      <c r="W8134">
        <v>2.5</v>
      </c>
      <c r="X8134" s="1" t="s">
        <v>218</v>
      </c>
    </row>
    <row r="8135" spans="1:24" x14ac:dyDescent="0.25">
      <c r="A8135" s="1" t="str">
        <f t="shared" si="2322"/>
        <v>卡卡杜-凤凰仓</v>
      </c>
      <c r="B8135" s="1" t="str">
        <f>"CK202410116513"</f>
        <v>CK202410116513</v>
      </c>
      <c r="C8135" s="1" t="str">
        <f>"DD2024101115024"</f>
        <v>DD2024101115024</v>
      </c>
      <c r="D8135" s="1" t="str">
        <f>"CK2024101117149"</f>
        <v>CK2024101117149</v>
      </c>
      <c r="E8135" s="1" t="str">
        <f>"6934836306412770466"</f>
        <v>6934836306412770466</v>
      </c>
      <c r="F8135" s="1" t="str">
        <f t="shared" si="2323"/>
        <v>花都四部-凤凰仓</v>
      </c>
      <c r="G8135" s="1" t="str">
        <f t="shared" si="2314"/>
        <v>卡卡杜个人护理店（抖店）</v>
      </c>
      <c r="H8135" s="1" t="str">
        <f t="shared" si="2324"/>
        <v>正常订单</v>
      </c>
      <c r="I8135" s="1" t="str">
        <f t="shared" si="2325"/>
        <v>已发货</v>
      </c>
      <c r="J8135" s="1" t="str">
        <f t="shared" si="2326"/>
        <v>5</v>
      </c>
      <c r="K8135" s="1">
        <v>3</v>
      </c>
      <c r="L8135" s="1" t="s">
        <v>187</v>
      </c>
      <c r="M8135" s="1" t="str">
        <f>"吉林省 长春市 二道区 八里堡街道"</f>
        <v>吉林省 长春市 二道区 八里堡街道</v>
      </c>
      <c r="N8135" s="1" t="str">
        <f t="shared" si="2319"/>
        <v>凡华云仓-韵达-抖音</v>
      </c>
      <c r="O8135" s="5">
        <v>320166049830496</v>
      </c>
      <c r="P8135" s="6">
        <v>0.47</v>
      </c>
      <c r="Q8135" s="11">
        <v>2.2999999999999998</v>
      </c>
      <c r="R8135" s="11"/>
      <c r="S8135" s="11"/>
      <c r="T8135" s="11"/>
      <c r="U8135" s="11">
        <f t="shared" si="2321"/>
        <v>2.2999999999999998</v>
      </c>
      <c r="W8135">
        <v>2.5</v>
      </c>
      <c r="X8135" s="1" t="s">
        <v>187</v>
      </c>
    </row>
    <row r="8136" spans="1:24" x14ac:dyDescent="0.25">
      <c r="A8136" s="1" t="str">
        <f t="shared" si="2322"/>
        <v>卡卡杜-凤凰仓</v>
      </c>
      <c r="B8136" s="1" t="str">
        <f>"CK202410116562"</f>
        <v>CK202410116562</v>
      </c>
      <c r="C8136" s="1" t="str">
        <f>"DD2024101115071"</f>
        <v>DD2024101115071</v>
      </c>
      <c r="D8136" s="1" t="str">
        <f>"CK2024101117148"</f>
        <v>CK2024101117148</v>
      </c>
      <c r="E8136" s="1" t="str">
        <f>"6934831512318317955"</f>
        <v>6934831512318317955</v>
      </c>
      <c r="F8136" s="1" t="str">
        <f t="shared" si="2323"/>
        <v>花都四部-凤凰仓</v>
      </c>
      <c r="G8136" s="1" t="str">
        <f t="shared" si="2314"/>
        <v>卡卡杜个人护理店（抖店）</v>
      </c>
      <c r="H8136" s="1" t="str">
        <f t="shared" si="2324"/>
        <v>正常订单</v>
      </c>
      <c r="I8136" s="1" t="str">
        <f t="shared" si="2325"/>
        <v>已发货</v>
      </c>
      <c r="J8136" s="1" t="str">
        <f t="shared" si="2326"/>
        <v>5</v>
      </c>
      <c r="K8136" s="1">
        <v>3</v>
      </c>
      <c r="L8136" s="1" t="s">
        <v>30</v>
      </c>
      <c r="M8136" s="1" t="str">
        <f>"山东省 青岛市 胶州市 三里河街道"</f>
        <v>山东省 青岛市 胶州市 三里河街道</v>
      </c>
      <c r="N8136" s="1" t="str">
        <f t="shared" si="2319"/>
        <v>凡华云仓-韵达-抖音</v>
      </c>
      <c r="O8136" s="5">
        <v>320166049830301</v>
      </c>
      <c r="P8136" s="6">
        <v>0.47</v>
      </c>
      <c r="Q8136" s="11">
        <v>2.2999999999999998</v>
      </c>
      <c r="R8136" s="11"/>
      <c r="S8136" s="11"/>
      <c r="T8136" s="11"/>
      <c r="U8136" s="11">
        <f t="shared" si="2321"/>
        <v>2.2999999999999998</v>
      </c>
      <c r="W8136">
        <v>2.5</v>
      </c>
      <c r="X8136" s="1" t="s">
        <v>30</v>
      </c>
    </row>
    <row r="8137" spans="1:24" x14ac:dyDescent="0.25">
      <c r="A8137" s="1" t="str">
        <f t="shared" si="2322"/>
        <v>卡卡杜-凤凰仓</v>
      </c>
      <c r="B8137" s="1" t="str">
        <f>"CK202410116566"</f>
        <v>CK202410116566</v>
      </c>
      <c r="C8137" s="1" t="str">
        <f>"DD2024101115076"</f>
        <v>DD2024101115076</v>
      </c>
      <c r="D8137" s="1" t="str">
        <f>"CK2024101117147"</f>
        <v>CK2024101117147</v>
      </c>
      <c r="E8137" s="1" t="str">
        <f>"6934824731648922819"</f>
        <v>6934824731648922819</v>
      </c>
      <c r="F8137" s="1" t="str">
        <f t="shared" si="2323"/>
        <v>花都四部-凤凰仓</v>
      </c>
      <c r="G8137" s="1" t="str">
        <f t="shared" si="2314"/>
        <v>卡卡杜个人护理店（抖店）</v>
      </c>
      <c r="H8137" s="1" t="str">
        <f t="shared" si="2324"/>
        <v>正常订单</v>
      </c>
      <c r="I8137" s="1" t="str">
        <f t="shared" si="2325"/>
        <v>已发货</v>
      </c>
      <c r="J8137" s="1" t="str">
        <f t="shared" si="2326"/>
        <v>5</v>
      </c>
      <c r="K8137" s="1">
        <v>3</v>
      </c>
      <c r="L8137" s="1" t="s">
        <v>13</v>
      </c>
      <c r="M8137" s="1" t="str">
        <f>"江苏省 盐城市 大丰区 大中街道"</f>
        <v>江苏省 盐城市 大丰区 大中街道</v>
      </c>
      <c r="N8137" s="1" t="str">
        <f t="shared" si="2319"/>
        <v>凡华云仓-韵达-抖音</v>
      </c>
      <c r="O8137" s="5">
        <v>320166049830208</v>
      </c>
      <c r="P8137" s="6">
        <v>0.47</v>
      </c>
      <c r="Q8137" s="11">
        <v>2.2999999999999998</v>
      </c>
      <c r="R8137" s="11"/>
      <c r="S8137" s="11"/>
      <c r="T8137" s="11"/>
      <c r="U8137" s="11">
        <f t="shared" si="2321"/>
        <v>2.2999999999999998</v>
      </c>
      <c r="W8137">
        <v>2.5</v>
      </c>
      <c r="X8137" s="1" t="s">
        <v>13</v>
      </c>
    </row>
    <row r="8138" spans="1:24" x14ac:dyDescent="0.25">
      <c r="A8138" s="1" t="str">
        <f t="shared" si="2322"/>
        <v>卡卡杜-凤凰仓</v>
      </c>
      <c r="B8138" s="1" t="str">
        <f>"CK202410116569"</f>
        <v>CK202410116569</v>
      </c>
      <c r="C8138" s="1" t="str">
        <f>"DD2024101115078"</f>
        <v>DD2024101115078</v>
      </c>
      <c r="D8138" s="1" t="str">
        <f>"CK2024101117146"</f>
        <v>CK2024101117146</v>
      </c>
      <c r="E8138" s="1" t="str">
        <f>"6934831483837683610"</f>
        <v>6934831483837683610</v>
      </c>
      <c r="F8138" s="1" t="str">
        <f t="shared" si="2323"/>
        <v>花都四部-凤凰仓</v>
      </c>
      <c r="G8138" s="1" t="str">
        <f t="shared" si="2314"/>
        <v>卡卡杜个人护理店（抖店）</v>
      </c>
      <c r="H8138" s="1" t="str">
        <f t="shared" si="2324"/>
        <v>正常订单</v>
      </c>
      <c r="I8138" s="1" t="str">
        <f t="shared" si="2325"/>
        <v>已发货</v>
      </c>
      <c r="J8138" s="1" t="str">
        <f t="shared" si="2326"/>
        <v>5</v>
      </c>
      <c r="K8138" s="1">
        <v>3</v>
      </c>
      <c r="L8138" s="1" t="s">
        <v>36</v>
      </c>
      <c r="M8138" s="1" t="str">
        <f>"安徽省 铜陵市 铜官区 东郊办事处街道"</f>
        <v>安徽省 铜陵市 铜官区 东郊办事处街道</v>
      </c>
      <c r="N8138" s="1" t="str">
        <f t="shared" si="2319"/>
        <v>凡华云仓-韵达-抖音</v>
      </c>
      <c r="O8138" s="5">
        <v>320166049830117</v>
      </c>
      <c r="P8138" s="6">
        <v>0.47</v>
      </c>
      <c r="Q8138" s="11">
        <v>2.2999999999999998</v>
      </c>
      <c r="R8138" s="11"/>
      <c r="S8138" s="11"/>
      <c r="T8138" s="11"/>
      <c r="U8138" s="11">
        <f t="shared" si="2321"/>
        <v>2.2999999999999998</v>
      </c>
      <c r="W8138">
        <v>2.5</v>
      </c>
      <c r="X8138" s="1" t="s">
        <v>36</v>
      </c>
    </row>
    <row r="8139" spans="1:24" x14ac:dyDescent="0.25">
      <c r="A8139" s="1" t="str">
        <f t="shared" si="2322"/>
        <v>卡卡杜-凤凰仓</v>
      </c>
      <c r="B8139" s="1" t="str">
        <f>"CK202410116571"</f>
        <v>CK202410116571</v>
      </c>
      <c r="C8139" s="1" t="str">
        <f>"DD2024101115080"</f>
        <v>DD2024101115080</v>
      </c>
      <c r="D8139" s="1" t="str">
        <f>"CK2024101117145"</f>
        <v>CK2024101117145</v>
      </c>
      <c r="E8139" s="1" t="str">
        <f>"6934845447302747443"</f>
        <v>6934845447302747443</v>
      </c>
      <c r="F8139" s="1" t="str">
        <f t="shared" si="2323"/>
        <v>花都四部-凤凰仓</v>
      </c>
      <c r="G8139" s="1" t="str">
        <f t="shared" si="2314"/>
        <v>卡卡杜个人护理店（抖店）</v>
      </c>
      <c r="H8139" s="1" t="str">
        <f t="shared" si="2324"/>
        <v>正常订单</v>
      </c>
      <c r="I8139" s="1" t="str">
        <f t="shared" si="2325"/>
        <v>已发货</v>
      </c>
      <c r="J8139" s="1" t="str">
        <f t="shared" si="2326"/>
        <v>5</v>
      </c>
      <c r="K8139" s="1">
        <v>3</v>
      </c>
      <c r="L8139" s="1" t="s">
        <v>13</v>
      </c>
      <c r="M8139" s="1" t="str">
        <f>"江苏省 盐城市 射阳县 合德镇"</f>
        <v>江苏省 盐城市 射阳县 合德镇</v>
      </c>
      <c r="N8139" s="1" t="str">
        <f t="shared" si="2319"/>
        <v>凡华云仓-韵达-抖音</v>
      </c>
      <c r="O8139" s="5">
        <v>320166049830028</v>
      </c>
      <c r="P8139" s="6">
        <v>0.47</v>
      </c>
      <c r="Q8139" s="11">
        <v>2.2999999999999998</v>
      </c>
      <c r="R8139" s="11"/>
      <c r="S8139" s="11"/>
      <c r="T8139" s="11"/>
      <c r="U8139" s="11">
        <f t="shared" si="2321"/>
        <v>2.2999999999999998</v>
      </c>
      <c r="W8139">
        <v>2.5</v>
      </c>
      <c r="X8139" s="1" t="s">
        <v>13</v>
      </c>
    </row>
    <row r="8140" spans="1:24" x14ac:dyDescent="0.25">
      <c r="A8140" s="1" t="str">
        <f t="shared" si="2322"/>
        <v>卡卡杜-凤凰仓</v>
      </c>
      <c r="B8140" s="1" t="str">
        <f>"CK202410116576"</f>
        <v>CK202410116576</v>
      </c>
      <c r="C8140" s="1" t="str">
        <f>"DD2024101115085"</f>
        <v>DD2024101115085</v>
      </c>
      <c r="D8140" s="1" t="str">
        <f>"CK2024101117144"</f>
        <v>CK2024101117144</v>
      </c>
      <c r="E8140" s="1" t="str">
        <f>"6934834191926892445"</f>
        <v>6934834191926892445</v>
      </c>
      <c r="F8140" s="1" t="str">
        <f t="shared" si="2323"/>
        <v>花都四部-凤凰仓</v>
      </c>
      <c r="G8140" s="1" t="str">
        <f t="shared" si="2314"/>
        <v>卡卡杜个人护理店（抖店）</v>
      </c>
      <c r="H8140" s="1" t="str">
        <f t="shared" si="2324"/>
        <v>正常订单</v>
      </c>
      <c r="I8140" s="1" t="str">
        <f t="shared" si="2325"/>
        <v>已发货</v>
      </c>
      <c r="J8140" s="1" t="str">
        <f t="shared" si="2326"/>
        <v>5</v>
      </c>
      <c r="K8140" s="1">
        <v>3</v>
      </c>
      <c r="L8140" s="1" t="s">
        <v>74</v>
      </c>
      <c r="M8140" s="1" t="str">
        <f>"上海 上海市 嘉定区 江桥镇"</f>
        <v>上海 上海市 嘉定区 江桥镇</v>
      </c>
      <c r="N8140" s="1" t="str">
        <f t="shared" si="2319"/>
        <v>凡华云仓-韵达-抖音</v>
      </c>
      <c r="O8140" s="5">
        <v>320166049829981</v>
      </c>
      <c r="P8140" s="6">
        <v>0.47</v>
      </c>
      <c r="Q8140" s="11">
        <v>2.2999999999999998</v>
      </c>
      <c r="R8140" s="11"/>
      <c r="S8140" s="11"/>
      <c r="T8140" s="11"/>
      <c r="U8140" s="11">
        <f t="shared" si="2321"/>
        <v>2.2999999999999998</v>
      </c>
      <c r="W8140">
        <v>2.5</v>
      </c>
      <c r="X8140" s="1" t="s">
        <v>74</v>
      </c>
    </row>
    <row r="8141" spans="1:24" x14ac:dyDescent="0.25">
      <c r="A8141" s="1" t="str">
        <f t="shared" si="2322"/>
        <v>卡卡杜-凤凰仓</v>
      </c>
      <c r="B8141" s="1" t="str">
        <f>"CK202410116578"</f>
        <v>CK202410116578</v>
      </c>
      <c r="C8141" s="1" t="str">
        <f>"DD2024101115086"</f>
        <v>DD2024101115086</v>
      </c>
      <c r="D8141" s="1" t="str">
        <f>"CK2024101117143"</f>
        <v>CK2024101117143</v>
      </c>
      <c r="E8141" s="1" t="str">
        <f>"6934824764044154205"</f>
        <v>6934824764044154205</v>
      </c>
      <c r="F8141" s="1" t="str">
        <f t="shared" si="2323"/>
        <v>花都四部-凤凰仓</v>
      </c>
      <c r="G8141" s="1" t="str">
        <f t="shared" ref="G8141:G8200" si="2327">"卡卡杜个人护理店（抖店）"</f>
        <v>卡卡杜个人护理店（抖店）</v>
      </c>
      <c r="H8141" s="1" t="str">
        <f t="shared" si="2324"/>
        <v>正常订单</v>
      </c>
      <c r="I8141" s="1" t="str">
        <f t="shared" si="2325"/>
        <v>已发货</v>
      </c>
      <c r="J8141" s="1" t="str">
        <f t="shared" si="2326"/>
        <v>5</v>
      </c>
      <c r="K8141" s="1">
        <v>3</v>
      </c>
      <c r="L8141" s="1" t="s">
        <v>218</v>
      </c>
      <c r="M8141" s="1" t="str">
        <f>"天津 天津市 和平区 南营门街道"</f>
        <v>天津 天津市 和平区 南营门街道</v>
      </c>
      <c r="N8141" s="1" t="str">
        <f t="shared" si="2319"/>
        <v>凡华云仓-韵达-抖音</v>
      </c>
      <c r="O8141" s="5">
        <v>320166078245860</v>
      </c>
      <c r="P8141" s="6">
        <v>0.47</v>
      </c>
      <c r="Q8141" s="11">
        <v>2.2999999999999998</v>
      </c>
      <c r="R8141" s="11"/>
      <c r="S8141" s="11"/>
      <c r="T8141" s="11"/>
      <c r="U8141" s="11">
        <f t="shared" si="2321"/>
        <v>2.2999999999999998</v>
      </c>
      <c r="W8141">
        <v>2.5</v>
      </c>
      <c r="X8141" s="1" t="s">
        <v>218</v>
      </c>
    </row>
    <row r="8142" spans="1:24" x14ac:dyDescent="0.25">
      <c r="A8142" s="1" t="str">
        <f t="shared" si="2322"/>
        <v>卡卡杜-凤凰仓</v>
      </c>
      <c r="B8142" s="1" t="str">
        <f>"CK202410116613"</f>
        <v>CK202410116613</v>
      </c>
      <c r="C8142" s="1" t="str">
        <f>"DD2024101115122"</f>
        <v>DD2024101115122</v>
      </c>
      <c r="D8142" s="1" t="str">
        <f>"CK2024101117142"</f>
        <v>CK2024101117142</v>
      </c>
      <c r="E8142" s="1" t="str">
        <f>"6934834130731013371"</f>
        <v>6934834130731013371</v>
      </c>
      <c r="F8142" s="1" t="str">
        <f t="shared" si="2323"/>
        <v>花都四部-凤凰仓</v>
      </c>
      <c r="G8142" s="1" t="str">
        <f t="shared" si="2327"/>
        <v>卡卡杜个人护理店（抖店）</v>
      </c>
      <c r="H8142" s="1" t="str">
        <f t="shared" si="2324"/>
        <v>正常订单</v>
      </c>
      <c r="I8142" s="1" t="str">
        <f t="shared" si="2325"/>
        <v>已发货</v>
      </c>
      <c r="J8142" s="1" t="str">
        <f t="shared" si="2326"/>
        <v>5</v>
      </c>
      <c r="K8142" s="1">
        <v>3</v>
      </c>
      <c r="L8142" s="1" t="s">
        <v>44</v>
      </c>
      <c r="M8142" s="1" t="str">
        <f>"海南省 三亚市 天涯区 天涯镇"</f>
        <v>海南省 三亚市 天涯区 天涯镇</v>
      </c>
      <c r="N8142" s="1" t="str">
        <f t="shared" si="2319"/>
        <v>凡华云仓-韵达-抖音</v>
      </c>
      <c r="O8142" s="5">
        <v>320166078245757</v>
      </c>
      <c r="P8142" s="6">
        <v>0.47</v>
      </c>
      <c r="Q8142" s="11">
        <v>2.2999999999999998</v>
      </c>
      <c r="R8142" s="11"/>
      <c r="S8142" s="11"/>
      <c r="T8142" s="11"/>
      <c r="U8142" s="11">
        <f t="shared" si="2321"/>
        <v>2.2999999999999998</v>
      </c>
      <c r="W8142">
        <v>2.5</v>
      </c>
      <c r="X8142" s="1" t="s">
        <v>44</v>
      </c>
    </row>
    <row r="8143" spans="1:24" x14ac:dyDescent="0.25">
      <c r="A8143" s="1" t="str">
        <f t="shared" si="2322"/>
        <v>卡卡杜-凤凰仓</v>
      </c>
      <c r="B8143" s="1" t="str">
        <f>"CK202410116155"</f>
        <v>CK202410116155</v>
      </c>
      <c r="C8143" s="1" t="str">
        <f>"DD2024101114663"</f>
        <v>DD2024101114663</v>
      </c>
      <c r="D8143" s="1" t="str">
        <f>"CK2024101117141"</f>
        <v>CK2024101117141</v>
      </c>
      <c r="E8143" s="1" t="str">
        <f>"6934822565095937285"</f>
        <v>6934822565095937285</v>
      </c>
      <c r="F8143" s="1" t="str">
        <f t="shared" si="2323"/>
        <v>花都四部-凤凰仓</v>
      </c>
      <c r="G8143" s="1" t="str">
        <f t="shared" si="2327"/>
        <v>卡卡杜个人护理店（抖店）</v>
      </c>
      <c r="H8143" s="1" t="str">
        <f t="shared" si="2324"/>
        <v>正常订单</v>
      </c>
      <c r="I8143" s="1" t="str">
        <f t="shared" si="2325"/>
        <v>已发货</v>
      </c>
      <c r="J8143" s="1" t="str">
        <f t="shared" si="2326"/>
        <v>5</v>
      </c>
      <c r="K8143" s="1">
        <v>3</v>
      </c>
      <c r="L8143" s="1" t="s">
        <v>109</v>
      </c>
      <c r="M8143" s="1" t="str">
        <f>"山西省 运城市 河津市 清涧街道"</f>
        <v>山西省 运城市 河津市 清涧街道</v>
      </c>
      <c r="N8143" s="1" t="str">
        <f t="shared" si="2319"/>
        <v>凡华云仓-韵达-抖音</v>
      </c>
      <c r="O8143" s="5">
        <v>320166078245656</v>
      </c>
      <c r="P8143" s="6">
        <v>0.47</v>
      </c>
      <c r="Q8143" s="11">
        <v>2.2999999999999998</v>
      </c>
      <c r="R8143" s="11"/>
      <c r="S8143" s="11"/>
      <c r="T8143" s="11"/>
      <c r="U8143" s="11">
        <f t="shared" si="2321"/>
        <v>2.2999999999999998</v>
      </c>
      <c r="W8143">
        <v>2.5</v>
      </c>
      <c r="X8143" s="1" t="s">
        <v>109</v>
      </c>
    </row>
    <row r="8144" spans="1:24" x14ac:dyDescent="0.25">
      <c r="A8144" s="1" t="str">
        <f t="shared" si="2322"/>
        <v>卡卡杜-凤凰仓</v>
      </c>
      <c r="B8144" s="1" t="str">
        <f>"CK202410116156"</f>
        <v>CK202410116156</v>
      </c>
      <c r="C8144" s="1" t="str">
        <f>"DD2024101114666"</f>
        <v>DD2024101114666</v>
      </c>
      <c r="D8144" s="1" t="str">
        <f>"CK2024101117140"</f>
        <v>CK2024101117140</v>
      </c>
      <c r="E8144" s="1" t="str">
        <f>"6934843203666384242"</f>
        <v>6934843203666384242</v>
      </c>
      <c r="F8144" s="1" t="str">
        <f t="shared" si="2323"/>
        <v>花都四部-凤凰仓</v>
      </c>
      <c r="G8144" s="1" t="str">
        <f t="shared" si="2327"/>
        <v>卡卡杜个人护理店（抖店）</v>
      </c>
      <c r="H8144" s="1" t="str">
        <f t="shared" si="2324"/>
        <v>正常订单</v>
      </c>
      <c r="I8144" s="1" t="str">
        <f t="shared" si="2325"/>
        <v>已发货</v>
      </c>
      <c r="J8144" s="1" t="str">
        <f t="shared" si="2326"/>
        <v>5</v>
      </c>
      <c r="K8144" s="1">
        <v>3</v>
      </c>
      <c r="L8144" s="1" t="s">
        <v>109</v>
      </c>
      <c r="M8144" s="1" t="str">
        <f>"山西省 运城市 芮城县 风陵渡镇"</f>
        <v>山西省 运城市 芮城县 风陵渡镇</v>
      </c>
      <c r="N8144" s="1" t="str">
        <f t="shared" si="2319"/>
        <v>凡华云仓-韵达-抖音</v>
      </c>
      <c r="O8144" s="5">
        <v>320166078245557</v>
      </c>
      <c r="P8144" s="6">
        <v>0.47</v>
      </c>
      <c r="Q8144" s="11">
        <v>2.2999999999999998</v>
      </c>
      <c r="R8144" s="11"/>
      <c r="S8144" s="11"/>
      <c r="T8144" s="11"/>
      <c r="U8144" s="11">
        <f t="shared" si="2321"/>
        <v>2.2999999999999998</v>
      </c>
      <c r="W8144">
        <v>2.5</v>
      </c>
      <c r="X8144" s="1" t="s">
        <v>109</v>
      </c>
    </row>
    <row r="8145" spans="1:24" x14ac:dyDescent="0.25">
      <c r="A8145" s="1" t="str">
        <f t="shared" si="2322"/>
        <v>卡卡杜-凤凰仓</v>
      </c>
      <c r="B8145" s="1" t="str">
        <f>"CK202410116455"</f>
        <v>CK202410116455</v>
      </c>
      <c r="C8145" s="1" t="str">
        <f>"DD2024101114964"</f>
        <v>DD2024101114964</v>
      </c>
      <c r="D8145" s="1" t="str">
        <f>"CK2024101117139"</f>
        <v>CK2024101117139</v>
      </c>
      <c r="E8145" s="1" t="str">
        <f>"6934829539903673873"</f>
        <v>6934829539903673873</v>
      </c>
      <c r="F8145" s="1" t="str">
        <f t="shared" si="2323"/>
        <v>花都四部-凤凰仓</v>
      </c>
      <c r="G8145" s="1" t="str">
        <f t="shared" si="2327"/>
        <v>卡卡杜个人护理店（抖店）</v>
      </c>
      <c r="H8145" s="1" t="str">
        <f t="shared" si="2324"/>
        <v>正常订单</v>
      </c>
      <c r="I8145" s="1" t="str">
        <f t="shared" si="2325"/>
        <v>已发货</v>
      </c>
      <c r="J8145" s="1" t="str">
        <f t="shared" si="2326"/>
        <v>5</v>
      </c>
      <c r="K8145" s="1">
        <v>3</v>
      </c>
      <c r="L8145" s="1" t="s">
        <v>47</v>
      </c>
      <c r="M8145" s="1" t="str">
        <f>"重庆 重庆市 江北区 大石坝街道"</f>
        <v>重庆 重庆市 江北区 大石坝街道</v>
      </c>
      <c r="N8145" s="1" t="str">
        <f t="shared" si="2319"/>
        <v>凡华云仓-韵达-抖音</v>
      </c>
      <c r="O8145" s="5">
        <v>320166078245460</v>
      </c>
      <c r="P8145" s="6">
        <v>0.47</v>
      </c>
      <c r="Q8145" s="11">
        <v>2.2999999999999998</v>
      </c>
      <c r="R8145" s="11"/>
      <c r="S8145" s="11"/>
      <c r="T8145" s="11"/>
      <c r="U8145" s="11">
        <f t="shared" si="2321"/>
        <v>2.2999999999999998</v>
      </c>
      <c r="W8145">
        <v>2.5</v>
      </c>
      <c r="X8145" s="1" t="s">
        <v>47</v>
      </c>
    </row>
    <row r="8146" spans="1:24" x14ac:dyDescent="0.25">
      <c r="A8146" s="1" t="str">
        <f t="shared" si="2322"/>
        <v>卡卡杜-凤凰仓</v>
      </c>
      <c r="B8146" s="1" t="str">
        <f>"CK202410116580"</f>
        <v>CK202410116580</v>
      </c>
      <c r="C8146" s="1" t="str">
        <f>"DD2024101115090"</f>
        <v>DD2024101115090</v>
      </c>
      <c r="D8146" s="1" t="str">
        <f>"CK2024101117138"</f>
        <v>CK2024101117138</v>
      </c>
      <c r="E8146" s="1" t="str">
        <f>"6934845471982294348"</f>
        <v>6934845471982294348</v>
      </c>
      <c r="F8146" s="1" t="str">
        <f t="shared" si="2323"/>
        <v>花都四部-凤凰仓</v>
      </c>
      <c r="G8146" s="1" t="str">
        <f t="shared" si="2327"/>
        <v>卡卡杜个人护理店（抖店）</v>
      </c>
      <c r="H8146" s="1" t="str">
        <f t="shared" si="2324"/>
        <v>正常订单</v>
      </c>
      <c r="I8146" s="1" t="str">
        <f t="shared" si="2325"/>
        <v>已发货</v>
      </c>
      <c r="J8146" s="1" t="str">
        <f t="shared" si="2326"/>
        <v>5</v>
      </c>
      <c r="K8146" s="1">
        <v>3</v>
      </c>
      <c r="L8146" s="1" t="s">
        <v>16</v>
      </c>
      <c r="M8146" s="1" t="str">
        <f>"河北省 邯郸市 峰峰矿区 "</f>
        <v xml:space="preserve">河北省 邯郸市 峰峰矿区 </v>
      </c>
      <c r="N8146" s="1" t="str">
        <f t="shared" si="2319"/>
        <v>凡华云仓-韵达-抖音</v>
      </c>
      <c r="O8146" s="5">
        <v>320166078245365</v>
      </c>
      <c r="P8146" s="6">
        <v>0.47</v>
      </c>
      <c r="Q8146" s="11">
        <v>2.2999999999999998</v>
      </c>
      <c r="R8146" s="11"/>
      <c r="S8146" s="11"/>
      <c r="T8146" s="11"/>
      <c r="U8146" s="11">
        <f t="shared" si="2321"/>
        <v>2.2999999999999998</v>
      </c>
      <c r="W8146">
        <v>2.5</v>
      </c>
      <c r="X8146" s="1" t="s">
        <v>16</v>
      </c>
    </row>
    <row r="8147" spans="1:24" x14ac:dyDescent="0.25">
      <c r="A8147" s="1" t="str">
        <f t="shared" si="2322"/>
        <v>卡卡杜-凤凰仓</v>
      </c>
      <c r="B8147" s="1" t="str">
        <f>"CK202410116583"</f>
        <v>CK202410116583</v>
      </c>
      <c r="C8147" s="1" t="str">
        <f>"DD2024101115092"</f>
        <v>DD2024101115092</v>
      </c>
      <c r="D8147" s="1" t="str">
        <f>"CK2024101117137"</f>
        <v>CK2024101117137</v>
      </c>
      <c r="E8147" s="1" t="str">
        <f>"6934851731854595820"</f>
        <v>6934851731854595820</v>
      </c>
      <c r="F8147" s="1" t="str">
        <f t="shared" si="2323"/>
        <v>花都四部-凤凰仓</v>
      </c>
      <c r="G8147" s="1" t="str">
        <f t="shared" si="2327"/>
        <v>卡卡杜个人护理店（抖店）</v>
      </c>
      <c r="H8147" s="1" t="str">
        <f t="shared" si="2324"/>
        <v>正常订单</v>
      </c>
      <c r="I8147" s="1" t="str">
        <f t="shared" si="2325"/>
        <v>已发货</v>
      </c>
      <c r="J8147" s="1" t="str">
        <f t="shared" si="2326"/>
        <v>5</v>
      </c>
      <c r="K8147" s="1">
        <v>3</v>
      </c>
      <c r="L8147" s="1" t="s">
        <v>20</v>
      </c>
      <c r="M8147" s="1" t="str">
        <f>"浙江省 温州市 文成县 巨屿镇"</f>
        <v>浙江省 温州市 文成县 巨屿镇</v>
      </c>
      <c r="N8147" s="1" t="str">
        <f t="shared" si="2319"/>
        <v>凡华云仓-韵达-抖音</v>
      </c>
      <c r="O8147" s="5">
        <v>320166078245272</v>
      </c>
      <c r="P8147" s="6">
        <v>0.47</v>
      </c>
      <c r="Q8147" s="11">
        <v>2.2999999999999998</v>
      </c>
      <c r="R8147" s="11"/>
      <c r="S8147" s="11"/>
      <c r="T8147" s="11"/>
      <c r="U8147" s="11">
        <f t="shared" si="2321"/>
        <v>2.2999999999999998</v>
      </c>
      <c r="W8147">
        <v>2.5</v>
      </c>
      <c r="X8147" s="1" t="s">
        <v>20</v>
      </c>
    </row>
    <row r="8148" spans="1:24" x14ac:dyDescent="0.25">
      <c r="A8148" s="1" t="str">
        <f t="shared" si="2322"/>
        <v>卡卡杜-凤凰仓</v>
      </c>
      <c r="B8148" s="1" t="str">
        <f>"CK202410116585"</f>
        <v>CK202410116585</v>
      </c>
      <c r="C8148" s="1" t="str">
        <f>"DD2024101115094"</f>
        <v>DD2024101115094</v>
      </c>
      <c r="D8148" s="1" t="str">
        <f>"CK2024101117136"</f>
        <v>CK2024101117136</v>
      </c>
      <c r="E8148" s="1" t="str">
        <f>"6934831514280203673"</f>
        <v>6934831514280203673</v>
      </c>
      <c r="F8148" s="1" t="str">
        <f t="shared" si="2323"/>
        <v>花都四部-凤凰仓</v>
      </c>
      <c r="G8148" s="1" t="str">
        <f t="shared" si="2327"/>
        <v>卡卡杜个人护理店（抖店）</v>
      </c>
      <c r="H8148" s="1" t="str">
        <f t="shared" si="2324"/>
        <v>正常订单</v>
      </c>
      <c r="I8148" s="1" t="str">
        <f t="shared" si="2325"/>
        <v>已发货</v>
      </c>
      <c r="J8148" s="1" t="str">
        <f t="shared" si="2326"/>
        <v>5</v>
      </c>
      <c r="K8148" s="1">
        <v>3</v>
      </c>
      <c r="L8148" s="1" t="s">
        <v>20</v>
      </c>
      <c r="M8148" s="1" t="str">
        <f>"浙江省 杭州市 萧山区 临浦镇"</f>
        <v>浙江省 杭州市 萧山区 临浦镇</v>
      </c>
      <c r="N8148" s="1" t="str">
        <f t="shared" si="2319"/>
        <v>凡华云仓-韵达-抖音</v>
      </c>
      <c r="O8148" s="5">
        <v>320166078245181</v>
      </c>
      <c r="P8148" s="6">
        <v>0.47</v>
      </c>
      <c r="Q8148" s="11">
        <v>2.2999999999999998</v>
      </c>
      <c r="R8148" s="11"/>
      <c r="S8148" s="11"/>
      <c r="T8148" s="11"/>
      <c r="U8148" s="11">
        <f t="shared" si="2321"/>
        <v>2.2999999999999998</v>
      </c>
      <c r="W8148">
        <v>2.5</v>
      </c>
      <c r="X8148" s="1" t="s">
        <v>20</v>
      </c>
    </row>
    <row r="8149" spans="1:24" x14ac:dyDescent="0.25">
      <c r="A8149" s="1" t="str">
        <f t="shared" si="2322"/>
        <v>卡卡杜-凤凰仓</v>
      </c>
      <c r="B8149" s="1" t="str">
        <f>"CK202410116587"</f>
        <v>CK202410116587</v>
      </c>
      <c r="C8149" s="1" t="str">
        <f>"DD2024101115098"</f>
        <v>DD2024101115098</v>
      </c>
      <c r="D8149" s="1" t="str">
        <f>"CK2024101117135"</f>
        <v>CK2024101117135</v>
      </c>
      <c r="E8149" s="1" t="str">
        <f>"6934831483553387600"</f>
        <v>6934831483553387600</v>
      </c>
      <c r="F8149" s="1" t="str">
        <f t="shared" si="2323"/>
        <v>花都四部-凤凰仓</v>
      </c>
      <c r="G8149" s="1" t="str">
        <f t="shared" si="2327"/>
        <v>卡卡杜个人护理店（抖店）</v>
      </c>
      <c r="H8149" s="1" t="str">
        <f t="shared" si="2324"/>
        <v>正常订单</v>
      </c>
      <c r="I8149" s="1" t="str">
        <f t="shared" si="2325"/>
        <v>已发货</v>
      </c>
      <c r="J8149" s="1" t="str">
        <f t="shared" si="2326"/>
        <v>5</v>
      </c>
      <c r="K8149" s="1">
        <v>3</v>
      </c>
      <c r="L8149" s="1" t="s">
        <v>60</v>
      </c>
      <c r="M8149" s="1" t="str">
        <f>"云南省 西双版纳傣族自治州 景洪市 大渡岗乡"</f>
        <v>云南省 西双版纳傣族自治州 景洪市 大渡岗乡</v>
      </c>
      <c r="N8149" s="1" t="str">
        <f t="shared" si="2319"/>
        <v>凡华云仓-韵达-抖音</v>
      </c>
      <c r="O8149" s="5">
        <v>320166078245092</v>
      </c>
      <c r="P8149" s="6">
        <v>0.47</v>
      </c>
      <c r="Q8149" s="11">
        <v>2.2999999999999998</v>
      </c>
      <c r="R8149" s="11"/>
      <c r="S8149" s="11"/>
      <c r="T8149" s="11"/>
      <c r="U8149" s="11">
        <f t="shared" si="2321"/>
        <v>2.2999999999999998</v>
      </c>
      <c r="W8149">
        <v>2.5</v>
      </c>
      <c r="X8149" s="1" t="s">
        <v>60</v>
      </c>
    </row>
    <row r="8150" spans="1:24" x14ac:dyDescent="0.25">
      <c r="A8150" s="1" t="str">
        <f t="shared" si="2322"/>
        <v>卡卡杜-凤凰仓</v>
      </c>
      <c r="B8150" s="1" t="str">
        <f>"CK202410116590"</f>
        <v>CK202410116590</v>
      </c>
      <c r="C8150" s="1" t="str">
        <f>"DD2024101115099"</f>
        <v>DD2024101115099</v>
      </c>
      <c r="D8150" s="1" t="str">
        <f>"CK2024101117134"</f>
        <v>CK2024101117134</v>
      </c>
      <c r="E8150" s="1" t="str">
        <f>"6934855728613758334"</f>
        <v>6934855728613758334</v>
      </c>
      <c r="F8150" s="1" t="str">
        <f t="shared" si="2323"/>
        <v>花都四部-凤凰仓</v>
      </c>
      <c r="G8150" s="1" t="str">
        <f t="shared" si="2327"/>
        <v>卡卡杜个人护理店（抖店）</v>
      </c>
      <c r="H8150" s="1" t="str">
        <f t="shared" si="2324"/>
        <v>正常订单</v>
      </c>
      <c r="I8150" s="1" t="str">
        <f t="shared" si="2325"/>
        <v>已发货</v>
      </c>
      <c r="J8150" s="1" t="str">
        <f t="shared" si="2326"/>
        <v>5</v>
      </c>
      <c r="K8150" s="1">
        <v>3</v>
      </c>
      <c r="L8150" s="1" t="s">
        <v>18</v>
      </c>
      <c r="M8150" s="1" t="str">
        <f>"广东省 中山市 中山市 东凤镇"</f>
        <v>广东省 中山市 中山市 东凤镇</v>
      </c>
      <c r="N8150" s="1" t="str">
        <f t="shared" si="2319"/>
        <v>凡华云仓-韵达-抖音</v>
      </c>
      <c r="O8150" s="5">
        <v>320166078244968</v>
      </c>
      <c r="P8150" s="6">
        <v>0.47</v>
      </c>
      <c r="Q8150" s="11">
        <v>2.2999999999999998</v>
      </c>
      <c r="R8150" s="11"/>
      <c r="S8150" s="11"/>
      <c r="T8150" s="11"/>
      <c r="U8150" s="11">
        <f t="shared" si="2321"/>
        <v>2.2999999999999998</v>
      </c>
      <c r="W8150">
        <v>2.5</v>
      </c>
      <c r="X8150" s="1" t="s">
        <v>18</v>
      </c>
    </row>
    <row r="8151" spans="1:24" x14ac:dyDescent="0.25">
      <c r="A8151" s="1" t="str">
        <f t="shared" si="2322"/>
        <v>卡卡杜-凤凰仓</v>
      </c>
      <c r="B8151" s="1" t="str">
        <f>"CK202410116592"</f>
        <v>CK202410116592</v>
      </c>
      <c r="C8151" s="1" t="str">
        <f>"DD2024101115102"</f>
        <v>DD2024101115102</v>
      </c>
      <c r="D8151" s="1" t="str">
        <f>"CK2024101117133"</f>
        <v>CK2024101117133</v>
      </c>
      <c r="E8151" s="1" t="str">
        <f>"6934845433196189205"</f>
        <v>6934845433196189205</v>
      </c>
      <c r="F8151" s="1" t="str">
        <f t="shared" si="2323"/>
        <v>花都四部-凤凰仓</v>
      </c>
      <c r="G8151" s="1" t="str">
        <f t="shared" si="2327"/>
        <v>卡卡杜个人护理店（抖店）</v>
      </c>
      <c r="H8151" s="1" t="str">
        <f t="shared" si="2324"/>
        <v>正常订单</v>
      </c>
      <c r="I8151" s="1" t="str">
        <f t="shared" si="2325"/>
        <v>已发货</v>
      </c>
      <c r="J8151" s="1" t="str">
        <f t="shared" si="2326"/>
        <v>5</v>
      </c>
      <c r="K8151" s="1">
        <v>3</v>
      </c>
      <c r="L8151" s="1" t="s">
        <v>20</v>
      </c>
      <c r="M8151" s="1" t="str">
        <f>"浙江省 杭州市 拱墅区 潮鸣街道"</f>
        <v>浙江省 杭州市 拱墅区 潮鸣街道</v>
      </c>
      <c r="N8151" s="1" t="str">
        <f t="shared" si="2319"/>
        <v>凡华云仓-韵达-抖音</v>
      </c>
      <c r="O8151" s="5">
        <v>320166049831885</v>
      </c>
      <c r="P8151" s="6">
        <v>0.47</v>
      </c>
      <c r="Q8151" s="11">
        <v>2.2999999999999998</v>
      </c>
      <c r="R8151" s="11"/>
      <c r="S8151" s="11"/>
      <c r="T8151" s="11"/>
      <c r="U8151" s="11">
        <f t="shared" si="2321"/>
        <v>2.2999999999999998</v>
      </c>
      <c r="W8151">
        <v>2.5</v>
      </c>
      <c r="X8151" s="1" t="s">
        <v>20</v>
      </c>
    </row>
    <row r="8152" spans="1:24" x14ac:dyDescent="0.25">
      <c r="A8152" s="1" t="str">
        <f t="shared" si="2322"/>
        <v>卡卡杜-凤凰仓</v>
      </c>
      <c r="B8152" s="1" t="str">
        <f>"CK202410116599"</f>
        <v>CK202410116599</v>
      </c>
      <c r="C8152" s="1" t="str">
        <f>"DD2024101115109"</f>
        <v>DD2024101115109</v>
      </c>
      <c r="D8152" s="1" t="str">
        <f>"CK2024101117131"</f>
        <v>CK2024101117131</v>
      </c>
      <c r="E8152" s="1" t="str">
        <f>"6934831606121437063"</f>
        <v>6934831606121437063</v>
      </c>
      <c r="F8152" s="1" t="str">
        <f t="shared" si="2323"/>
        <v>花都四部-凤凰仓</v>
      </c>
      <c r="G8152" s="1" t="str">
        <f t="shared" si="2327"/>
        <v>卡卡杜个人护理店（抖店）</v>
      </c>
      <c r="H8152" s="1" t="str">
        <f t="shared" si="2324"/>
        <v>正常订单</v>
      </c>
      <c r="I8152" s="1" t="str">
        <f t="shared" si="2325"/>
        <v>已发货</v>
      </c>
      <c r="J8152" s="1" t="str">
        <f t="shared" si="2326"/>
        <v>5</v>
      </c>
      <c r="K8152" s="1">
        <v>3</v>
      </c>
      <c r="L8152" s="1" t="s">
        <v>74</v>
      </c>
      <c r="M8152" s="1" t="str">
        <f>"上海 上海市 奉贤区 青村镇"</f>
        <v>上海 上海市 奉贤区 青村镇</v>
      </c>
      <c r="N8152" s="1" t="str">
        <f t="shared" si="2319"/>
        <v>凡华云仓-韵达-抖音</v>
      </c>
      <c r="O8152" s="5">
        <v>320166049831782</v>
      </c>
      <c r="P8152" s="6">
        <v>0.47</v>
      </c>
      <c r="Q8152" s="11">
        <v>2.2999999999999998</v>
      </c>
      <c r="R8152" s="11"/>
      <c r="S8152" s="11"/>
      <c r="T8152" s="11"/>
      <c r="U8152" s="11">
        <f t="shared" si="2321"/>
        <v>2.2999999999999998</v>
      </c>
      <c r="W8152">
        <v>2.5</v>
      </c>
      <c r="X8152" s="1" t="s">
        <v>74</v>
      </c>
    </row>
    <row r="8153" spans="1:24" x14ac:dyDescent="0.25">
      <c r="A8153" s="1" t="str">
        <f t="shared" si="2322"/>
        <v>卡卡杜-凤凰仓</v>
      </c>
      <c r="B8153" s="1" t="str">
        <f>"CK202410116602"</f>
        <v>CK202410116602</v>
      </c>
      <c r="C8153" s="1" t="str">
        <f>"DD2024101115110"</f>
        <v>DD2024101115110</v>
      </c>
      <c r="D8153" s="1" t="str">
        <f>"CK2024101117130"</f>
        <v>CK2024101117130</v>
      </c>
      <c r="E8153" s="1" t="str">
        <f>"6934827290626103246"</f>
        <v>6934827290626103246</v>
      </c>
      <c r="F8153" s="1" t="str">
        <f t="shared" si="2323"/>
        <v>花都四部-凤凰仓</v>
      </c>
      <c r="G8153" s="1" t="str">
        <f t="shared" si="2327"/>
        <v>卡卡杜个人护理店（抖店）</v>
      </c>
      <c r="H8153" s="1" t="str">
        <f t="shared" si="2324"/>
        <v>正常订单</v>
      </c>
      <c r="I8153" s="1" t="str">
        <f t="shared" si="2325"/>
        <v>已发货</v>
      </c>
      <c r="J8153" s="1" t="str">
        <f t="shared" si="2326"/>
        <v>5</v>
      </c>
      <c r="K8153" s="1">
        <v>3</v>
      </c>
      <c r="L8153" s="1" t="s">
        <v>161</v>
      </c>
      <c r="M8153" s="1" t="str">
        <f>"四川省 绵阳市 涪城区 工区街道"</f>
        <v>四川省 绵阳市 涪城区 工区街道</v>
      </c>
      <c r="N8153" s="1" t="str">
        <f t="shared" si="2319"/>
        <v>凡华云仓-韵达-抖音</v>
      </c>
      <c r="O8153" s="5">
        <v>320166049831681</v>
      </c>
      <c r="P8153" s="6">
        <v>0.47</v>
      </c>
      <c r="Q8153" s="11">
        <v>2.2999999999999998</v>
      </c>
      <c r="R8153" s="11"/>
      <c r="S8153" s="11"/>
      <c r="T8153" s="11"/>
      <c r="U8153" s="11">
        <f t="shared" si="2321"/>
        <v>2.2999999999999998</v>
      </c>
      <c r="W8153">
        <v>2.5</v>
      </c>
      <c r="X8153" s="1" t="s">
        <v>161</v>
      </c>
    </row>
    <row r="8154" spans="1:24" x14ac:dyDescent="0.25">
      <c r="A8154" s="1" t="str">
        <f t="shared" si="2322"/>
        <v>卡卡杜-凤凰仓</v>
      </c>
      <c r="B8154" s="1" t="str">
        <f>"CK202410116608"</f>
        <v>CK202410116608</v>
      </c>
      <c r="C8154" s="1" t="str">
        <f>"DD2024101115119"</f>
        <v>DD2024101115119</v>
      </c>
      <c r="D8154" s="1" t="str">
        <f>"CK2024101117129"</f>
        <v>CK2024101117129</v>
      </c>
      <c r="E8154" s="1" t="str">
        <f>"6934840871909136003"</f>
        <v>6934840871909136003</v>
      </c>
      <c r="F8154" s="1" t="str">
        <f t="shared" si="2323"/>
        <v>花都四部-凤凰仓</v>
      </c>
      <c r="G8154" s="1" t="str">
        <f t="shared" si="2327"/>
        <v>卡卡杜个人护理店（抖店）</v>
      </c>
      <c r="H8154" s="1" t="str">
        <f t="shared" si="2324"/>
        <v>正常订单</v>
      </c>
      <c r="I8154" s="1" t="str">
        <f t="shared" si="2325"/>
        <v>已发货</v>
      </c>
      <c r="J8154" s="1" t="str">
        <f t="shared" si="2326"/>
        <v>5</v>
      </c>
      <c r="K8154" s="1">
        <v>3</v>
      </c>
      <c r="L8154" s="1" t="s">
        <v>24</v>
      </c>
      <c r="M8154" s="1" t="str">
        <f>"福建省 福州市 仓山区 临江街道"</f>
        <v>福建省 福州市 仓山区 临江街道</v>
      </c>
      <c r="N8154" s="1" t="str">
        <f t="shared" si="2319"/>
        <v>凡华云仓-韵达-抖音</v>
      </c>
      <c r="O8154" s="5">
        <v>320166049831582</v>
      </c>
      <c r="P8154" s="6">
        <v>0.47</v>
      </c>
      <c r="Q8154" s="11">
        <v>2.2999999999999998</v>
      </c>
      <c r="R8154" s="11"/>
      <c r="S8154" s="11"/>
      <c r="T8154" s="11"/>
      <c r="U8154" s="11">
        <f t="shared" si="2321"/>
        <v>2.2999999999999998</v>
      </c>
      <c r="W8154">
        <v>2.5</v>
      </c>
      <c r="X8154" s="1" t="s">
        <v>24</v>
      </c>
    </row>
    <row r="8155" spans="1:24" x14ac:dyDescent="0.25">
      <c r="A8155" s="1" t="str">
        <f t="shared" si="2322"/>
        <v>卡卡杜-凤凰仓</v>
      </c>
      <c r="B8155" s="1" t="str">
        <f>"CK202410116611"</f>
        <v>CK202410116611</v>
      </c>
      <c r="C8155" s="1" t="str">
        <f>"DD2024101115120"</f>
        <v>DD2024101115120</v>
      </c>
      <c r="D8155" s="1" t="str">
        <f>"CK2024101117128"</f>
        <v>CK2024101117128</v>
      </c>
      <c r="E8155" s="1" t="str">
        <f>"6934827220250531196"</f>
        <v>6934827220250531196</v>
      </c>
      <c r="F8155" s="1" t="str">
        <f t="shared" si="2323"/>
        <v>花都四部-凤凰仓</v>
      </c>
      <c r="G8155" s="1" t="str">
        <f t="shared" si="2327"/>
        <v>卡卡杜个人护理店（抖店）</v>
      </c>
      <c r="H8155" s="1" t="str">
        <f t="shared" si="2324"/>
        <v>正常订单</v>
      </c>
      <c r="I8155" s="1" t="str">
        <f t="shared" si="2325"/>
        <v>已发货</v>
      </c>
      <c r="J8155" s="1" t="str">
        <f t="shared" si="2326"/>
        <v>5</v>
      </c>
      <c r="K8155" s="1">
        <v>3</v>
      </c>
      <c r="L8155" s="1" t="s">
        <v>18</v>
      </c>
      <c r="M8155" s="1" t="str">
        <f>"广东省 广州市 番禺区 大石街道"</f>
        <v>广东省 广州市 番禺区 大石街道</v>
      </c>
      <c r="N8155" s="1" t="str">
        <f t="shared" si="2319"/>
        <v>凡华云仓-韵达-抖音</v>
      </c>
      <c r="O8155" s="5">
        <v>320166049831485</v>
      </c>
      <c r="P8155" s="6">
        <v>0.47</v>
      </c>
      <c r="Q8155" s="11">
        <v>2.2999999999999998</v>
      </c>
      <c r="R8155" s="11"/>
      <c r="S8155" s="11"/>
      <c r="T8155" s="11"/>
      <c r="U8155" s="11">
        <f t="shared" si="2321"/>
        <v>2.2999999999999998</v>
      </c>
      <c r="W8155">
        <v>2.5</v>
      </c>
      <c r="X8155" s="1" t="s">
        <v>18</v>
      </c>
    </row>
    <row r="8156" spans="1:24" x14ac:dyDescent="0.25">
      <c r="A8156" s="1" t="str">
        <f t="shared" si="2322"/>
        <v>卡卡杜-凤凰仓</v>
      </c>
      <c r="B8156" s="1" t="str">
        <f>"CK202410116615"</f>
        <v>CK202410116615</v>
      </c>
      <c r="C8156" s="1" t="str">
        <f>"DD2024101115125"</f>
        <v>DD2024101115125</v>
      </c>
      <c r="D8156" s="1" t="str">
        <f>"CK2024101117127"</f>
        <v>CK2024101117127</v>
      </c>
      <c r="E8156" s="1" t="str">
        <f>"6934853753461282745"</f>
        <v>6934853753461282745</v>
      </c>
      <c r="F8156" s="1" t="str">
        <f t="shared" si="2323"/>
        <v>花都四部-凤凰仓</v>
      </c>
      <c r="G8156" s="1" t="str">
        <f t="shared" si="2327"/>
        <v>卡卡杜个人护理店（抖店）</v>
      </c>
      <c r="H8156" s="1" t="str">
        <f t="shared" si="2324"/>
        <v>正常订单</v>
      </c>
      <c r="I8156" s="1" t="str">
        <f t="shared" si="2325"/>
        <v>已发货</v>
      </c>
      <c r="J8156" s="1" t="str">
        <f t="shared" si="2326"/>
        <v>5</v>
      </c>
      <c r="K8156" s="1">
        <v>3</v>
      </c>
      <c r="L8156" s="1" t="s">
        <v>30</v>
      </c>
      <c r="M8156" s="1" t="str">
        <f>"山东省 泰安市 新泰市 青云街道"</f>
        <v>山东省 泰安市 新泰市 青云街道</v>
      </c>
      <c r="N8156" s="1" t="str">
        <f t="shared" si="2319"/>
        <v>凡华云仓-韵达-抖音</v>
      </c>
      <c r="O8156" s="5">
        <v>320166049831390</v>
      </c>
      <c r="P8156" s="6">
        <v>0.47</v>
      </c>
      <c r="Q8156" s="11">
        <v>2.2999999999999998</v>
      </c>
      <c r="R8156" s="11"/>
      <c r="S8156" s="11"/>
      <c r="T8156" s="11"/>
      <c r="U8156" s="11">
        <f t="shared" si="2321"/>
        <v>2.2999999999999998</v>
      </c>
      <c r="W8156">
        <v>2.5</v>
      </c>
      <c r="X8156" s="1" t="s">
        <v>30</v>
      </c>
    </row>
    <row r="8157" spans="1:24" x14ac:dyDescent="0.25">
      <c r="A8157" s="1" t="str">
        <f t="shared" si="2322"/>
        <v>卡卡杜-凤凰仓</v>
      </c>
      <c r="B8157" s="1" t="str">
        <f>"CK2024101110472"</f>
        <v>CK2024101110472</v>
      </c>
      <c r="C8157" s="1" t="str">
        <f>"DD2024101117085"</f>
        <v>DD2024101117085</v>
      </c>
      <c r="D8157" s="1" t="str">
        <f>"CK2024101117126"</f>
        <v>CK2024101117126</v>
      </c>
      <c r="E8157" s="1" t="str">
        <f>"6934838485981730010"</f>
        <v>6934838485981730010</v>
      </c>
      <c r="F8157" s="1" t="str">
        <f t="shared" si="2323"/>
        <v>花都四部-凤凰仓</v>
      </c>
      <c r="G8157" s="1" t="str">
        <f t="shared" si="2327"/>
        <v>卡卡杜个人护理店（抖店）</v>
      </c>
      <c r="H8157" s="1" t="str">
        <f t="shared" si="2324"/>
        <v>正常订单</v>
      </c>
      <c r="I8157" s="1" t="str">
        <f t="shared" si="2325"/>
        <v>已发货</v>
      </c>
      <c r="J8157" s="1" t="str">
        <f>"15"</f>
        <v>15</v>
      </c>
      <c r="K8157" s="1">
        <v>2</v>
      </c>
      <c r="L8157" s="1" t="s">
        <v>16</v>
      </c>
      <c r="M8157" s="1" t="str">
        <f>"河北省 衡水市 景县 广川镇"</f>
        <v>河北省 衡水市 景县 广川镇</v>
      </c>
      <c r="N8157" s="1" t="str">
        <f t="shared" si="2319"/>
        <v>凡华云仓-韵达-抖音</v>
      </c>
      <c r="O8157" s="5">
        <v>320166049831297</v>
      </c>
      <c r="P8157" s="6">
        <v>1.88</v>
      </c>
      <c r="Q8157" s="11">
        <f>CEILING(P8157-0.5,0.1)*10*0.15+2.3</f>
        <v>4.4000000000000004</v>
      </c>
      <c r="R8157" s="11"/>
      <c r="S8157" s="11"/>
      <c r="T8157" s="11"/>
      <c r="U8157" s="11">
        <f t="shared" si="2321"/>
        <v>4.4000000000000004</v>
      </c>
      <c r="V8157" t="s">
        <v>15</v>
      </c>
      <c r="W8157">
        <v>4.4000000000000004</v>
      </c>
      <c r="X8157" s="1" t="s">
        <v>16</v>
      </c>
    </row>
    <row r="8158" spans="1:24" x14ac:dyDescent="0.25">
      <c r="A8158" s="1" t="str">
        <f t="shared" si="2322"/>
        <v>卡卡杜-凤凰仓</v>
      </c>
      <c r="B8158" s="1" t="str">
        <f>"CK202410116450"</f>
        <v>CK202410116450</v>
      </c>
      <c r="C8158" s="1" t="str">
        <f>"DD2024101114960"</f>
        <v>DD2024101114960</v>
      </c>
      <c r="D8158" s="1" t="str">
        <f>"CK2024101117125"</f>
        <v>CK2024101117125</v>
      </c>
      <c r="E8158" s="1" t="str">
        <f>"6934838551990179412"</f>
        <v>6934838551990179412</v>
      </c>
      <c r="F8158" s="1" t="str">
        <f t="shared" si="2323"/>
        <v>花都四部-凤凰仓</v>
      </c>
      <c r="G8158" s="1" t="str">
        <f t="shared" si="2327"/>
        <v>卡卡杜个人护理店（抖店）</v>
      </c>
      <c r="H8158" s="1" t="str">
        <f t="shared" si="2324"/>
        <v>正常订单</v>
      </c>
      <c r="I8158" s="1" t="str">
        <f t="shared" si="2325"/>
        <v>已发货</v>
      </c>
      <c r="J8158" s="1" t="str">
        <f t="shared" ref="J8158:J8164" si="2328">"5"</f>
        <v>5</v>
      </c>
      <c r="K8158" s="1">
        <v>3</v>
      </c>
      <c r="L8158" s="1" t="s">
        <v>20</v>
      </c>
      <c r="M8158" s="1" t="str">
        <f>"浙江省 宁波市 象山县 丹东街道"</f>
        <v>浙江省 宁波市 象山县 丹东街道</v>
      </c>
      <c r="N8158" s="1" t="str">
        <f t="shared" si="2319"/>
        <v>凡华云仓-韵达-抖音</v>
      </c>
      <c r="O8158" s="5">
        <v>320166049831106</v>
      </c>
      <c r="P8158" s="6">
        <v>0.47</v>
      </c>
      <c r="Q8158" s="11">
        <v>2.2999999999999998</v>
      </c>
      <c r="R8158" s="11"/>
      <c r="S8158" s="11"/>
      <c r="T8158" s="11"/>
      <c r="U8158" s="11">
        <f t="shared" si="2321"/>
        <v>2.2999999999999998</v>
      </c>
      <c r="W8158">
        <v>2.5</v>
      </c>
      <c r="X8158" s="1" t="s">
        <v>20</v>
      </c>
    </row>
    <row r="8159" spans="1:24" x14ac:dyDescent="0.25">
      <c r="A8159" s="1" t="str">
        <f t="shared" si="2322"/>
        <v>卡卡杜-凤凰仓</v>
      </c>
      <c r="B8159" s="1" t="str">
        <f>"CK202410116595"</f>
        <v>CK202410116595</v>
      </c>
      <c r="C8159" s="1" t="str">
        <f>"DD2024101115103"</f>
        <v>DD2024101115103</v>
      </c>
      <c r="D8159" s="1" t="str">
        <f>"CK2024101117124"</f>
        <v>CK2024101117124</v>
      </c>
      <c r="E8159" s="1" t="str">
        <f>"6934845450539701452"</f>
        <v>6934845450539701452</v>
      </c>
      <c r="F8159" s="1" t="str">
        <f t="shared" si="2323"/>
        <v>花都四部-凤凰仓</v>
      </c>
      <c r="G8159" s="1" t="str">
        <f t="shared" si="2327"/>
        <v>卡卡杜个人护理店（抖店）</v>
      </c>
      <c r="H8159" s="1" t="str">
        <f t="shared" si="2324"/>
        <v>正常订单</v>
      </c>
      <c r="I8159" s="1" t="str">
        <f t="shared" si="2325"/>
        <v>已发货</v>
      </c>
      <c r="J8159" s="1" t="str">
        <f t="shared" si="2328"/>
        <v>5</v>
      </c>
      <c r="K8159" s="1">
        <v>3</v>
      </c>
      <c r="L8159" s="1" t="s">
        <v>74</v>
      </c>
      <c r="M8159" s="1" t="str">
        <f>"上海 上海市 浦东新区 "</f>
        <v xml:space="preserve">上海 上海市 浦东新区 </v>
      </c>
      <c r="N8159" s="1" t="str">
        <f t="shared" si="2319"/>
        <v>凡华云仓-韵达-抖音</v>
      </c>
      <c r="O8159" s="5">
        <v>320166049831017</v>
      </c>
      <c r="P8159" s="6">
        <v>0.47</v>
      </c>
      <c r="Q8159" s="11">
        <v>2.2999999999999998</v>
      </c>
      <c r="R8159" s="11"/>
      <c r="S8159" s="11"/>
      <c r="T8159" s="11"/>
      <c r="U8159" s="11">
        <f t="shared" si="2321"/>
        <v>2.2999999999999998</v>
      </c>
      <c r="W8159">
        <v>2.5</v>
      </c>
      <c r="X8159" s="1" t="s">
        <v>74</v>
      </c>
    </row>
    <row r="8160" spans="1:24" x14ac:dyDescent="0.25">
      <c r="A8160" s="1" t="str">
        <f t="shared" si="2322"/>
        <v>卡卡杜-凤凰仓</v>
      </c>
      <c r="B8160" s="1" t="str">
        <f>"CK202410116574"</f>
        <v>CK202410116574</v>
      </c>
      <c r="C8160" s="1" t="str">
        <f>"DD2024101115083"</f>
        <v>DD2024101115083</v>
      </c>
      <c r="D8160" s="1" t="str">
        <f>"CK2024101117123"</f>
        <v>CK2024101117123</v>
      </c>
      <c r="E8160" s="1" t="str">
        <f>"6934822633274742447"</f>
        <v>6934822633274742447</v>
      </c>
      <c r="F8160" s="1" t="str">
        <f t="shared" si="2323"/>
        <v>花都四部-凤凰仓</v>
      </c>
      <c r="G8160" s="1" t="str">
        <f t="shared" si="2327"/>
        <v>卡卡杜个人护理店（抖店）</v>
      </c>
      <c r="H8160" s="1" t="str">
        <f t="shared" si="2324"/>
        <v>正常订单</v>
      </c>
      <c r="I8160" s="1" t="str">
        <f t="shared" si="2325"/>
        <v>已发货</v>
      </c>
      <c r="J8160" s="1" t="str">
        <f t="shared" si="2328"/>
        <v>5</v>
      </c>
      <c r="K8160" s="1">
        <v>3</v>
      </c>
      <c r="L8160" s="1" t="s">
        <v>74</v>
      </c>
      <c r="M8160" s="1" t="str">
        <f>"上海 上海市 普陀区 真如镇街道"</f>
        <v>上海 上海市 普陀区 真如镇街道</v>
      </c>
      <c r="N8160" s="1" t="str">
        <f t="shared" si="2319"/>
        <v>凡华云仓-韵达-抖音</v>
      </c>
      <c r="O8160" s="5">
        <v>320166071385771</v>
      </c>
      <c r="P8160" s="6">
        <v>0.47</v>
      </c>
      <c r="Q8160" s="11">
        <v>2.2999999999999998</v>
      </c>
      <c r="R8160" s="11"/>
      <c r="S8160" s="11"/>
      <c r="T8160" s="11"/>
      <c r="U8160" s="11">
        <f t="shared" si="2321"/>
        <v>2.2999999999999998</v>
      </c>
      <c r="W8160">
        <v>2.5</v>
      </c>
      <c r="X8160" s="1" t="s">
        <v>74</v>
      </c>
    </row>
    <row r="8161" spans="1:24" x14ac:dyDescent="0.25">
      <c r="A8161" s="1" t="str">
        <f t="shared" si="2322"/>
        <v>卡卡杜-凤凰仓</v>
      </c>
      <c r="B8161" s="1" t="str">
        <f>"CK202410116604"</f>
        <v>CK202410116604</v>
      </c>
      <c r="C8161" s="1" t="str">
        <f>"DD2024101115113"</f>
        <v>DD2024101115113</v>
      </c>
      <c r="D8161" s="1" t="str">
        <f>"CK2024101117122"</f>
        <v>CK2024101117122</v>
      </c>
      <c r="E8161" s="1" t="str">
        <f>"6934822600775439988"</f>
        <v>6934822600775439988</v>
      </c>
      <c r="F8161" s="1" t="str">
        <f t="shared" si="2323"/>
        <v>花都四部-凤凰仓</v>
      </c>
      <c r="G8161" s="1" t="str">
        <f t="shared" si="2327"/>
        <v>卡卡杜个人护理店（抖店）</v>
      </c>
      <c r="H8161" s="1" t="str">
        <f t="shared" si="2324"/>
        <v>正常订单</v>
      </c>
      <c r="I8161" s="1" t="str">
        <f t="shared" si="2325"/>
        <v>已发货</v>
      </c>
      <c r="J8161" s="1" t="str">
        <f t="shared" si="2328"/>
        <v>5</v>
      </c>
      <c r="K8161" s="1">
        <v>3</v>
      </c>
      <c r="L8161" s="1" t="s">
        <v>20</v>
      </c>
      <c r="M8161" s="1" t="str">
        <f>"浙江省 台州市 黄岩区 东城街道"</f>
        <v>浙江省 台州市 黄岩区 东城街道</v>
      </c>
      <c r="N8161" s="1" t="str">
        <f t="shared" si="2319"/>
        <v>凡华云仓-韵达-抖音</v>
      </c>
      <c r="O8161" s="5">
        <v>320166071385670</v>
      </c>
      <c r="P8161" s="6">
        <v>0.47</v>
      </c>
      <c r="Q8161" s="11">
        <v>2.2999999999999998</v>
      </c>
      <c r="R8161" s="11"/>
      <c r="S8161" s="11"/>
      <c r="T8161" s="11"/>
      <c r="U8161" s="11">
        <f t="shared" si="2321"/>
        <v>2.2999999999999998</v>
      </c>
      <c r="W8161">
        <v>2.5</v>
      </c>
      <c r="X8161" s="1" t="s">
        <v>20</v>
      </c>
    </row>
    <row r="8162" spans="1:24" x14ac:dyDescent="0.25">
      <c r="A8162" s="1" t="str">
        <f t="shared" si="2322"/>
        <v>卡卡杜-凤凰仓</v>
      </c>
      <c r="B8162" s="1" t="str">
        <f>"CK202410116634"</f>
        <v>CK202410116634</v>
      </c>
      <c r="C8162" s="1" t="str">
        <f>"DD2024101115144"</f>
        <v>DD2024101115144</v>
      </c>
      <c r="D8162" s="1" t="str">
        <f>"CK2024101117121"</f>
        <v>CK2024101117121</v>
      </c>
      <c r="E8162" s="1" t="str">
        <f>"6934843125377996459"</f>
        <v>6934843125377996459</v>
      </c>
      <c r="F8162" s="1" t="str">
        <f t="shared" si="2323"/>
        <v>花都四部-凤凰仓</v>
      </c>
      <c r="G8162" s="1" t="str">
        <f t="shared" si="2327"/>
        <v>卡卡杜个人护理店（抖店）</v>
      </c>
      <c r="H8162" s="1" t="str">
        <f t="shared" si="2324"/>
        <v>正常订单</v>
      </c>
      <c r="I8162" s="1" t="str">
        <f t="shared" si="2325"/>
        <v>已发货</v>
      </c>
      <c r="J8162" s="1" t="str">
        <f t="shared" si="2328"/>
        <v>5</v>
      </c>
      <c r="K8162" s="1">
        <v>3</v>
      </c>
      <c r="L8162" s="1" t="s">
        <v>92</v>
      </c>
      <c r="M8162" s="1" t="str">
        <f>"辽宁省 营口市 鲅鱼圈区 海星街道"</f>
        <v>辽宁省 营口市 鲅鱼圈区 海星街道</v>
      </c>
      <c r="N8162" s="1" t="str">
        <f t="shared" si="2319"/>
        <v>凡华云仓-韵达-抖音</v>
      </c>
      <c r="O8162" s="5">
        <v>320166071385571</v>
      </c>
      <c r="P8162" s="6">
        <v>0.47</v>
      </c>
      <c r="Q8162" s="11">
        <v>2.2999999999999998</v>
      </c>
      <c r="R8162" s="11"/>
      <c r="S8162" s="11"/>
      <c r="T8162" s="11"/>
      <c r="U8162" s="11">
        <f t="shared" si="2321"/>
        <v>2.2999999999999998</v>
      </c>
      <c r="W8162">
        <v>2.5</v>
      </c>
      <c r="X8162" s="1" t="s">
        <v>92</v>
      </c>
    </row>
    <row r="8163" spans="1:24" x14ac:dyDescent="0.25">
      <c r="A8163" s="1" t="str">
        <f t="shared" si="2322"/>
        <v>卡卡杜-凤凰仓</v>
      </c>
      <c r="B8163" s="1" t="str">
        <f>"CK202410116653"</f>
        <v>CK202410116653</v>
      </c>
      <c r="C8163" s="1" t="str">
        <f>"DD2024101115162"</f>
        <v>DD2024101115162</v>
      </c>
      <c r="D8163" s="1" t="str">
        <f>"CK2024101117120"</f>
        <v>CK2024101117120</v>
      </c>
      <c r="E8163" s="1" t="str">
        <f>"6934847468254860535"</f>
        <v>6934847468254860535</v>
      </c>
      <c r="F8163" s="1" t="str">
        <f t="shared" si="2323"/>
        <v>花都四部-凤凰仓</v>
      </c>
      <c r="G8163" s="1" t="str">
        <f t="shared" si="2327"/>
        <v>卡卡杜个人护理店（抖店）</v>
      </c>
      <c r="H8163" s="1" t="str">
        <f t="shared" si="2324"/>
        <v>正常订单</v>
      </c>
      <c r="I8163" s="1" t="str">
        <f t="shared" si="2325"/>
        <v>已发货</v>
      </c>
      <c r="J8163" s="1" t="str">
        <f t="shared" si="2328"/>
        <v>5</v>
      </c>
      <c r="K8163" s="1">
        <v>3</v>
      </c>
      <c r="L8163" s="1" t="s">
        <v>13</v>
      </c>
      <c r="M8163" s="1" t="str">
        <f>"江苏省 苏州市 吴中区 长桥街道"</f>
        <v>江苏省 苏州市 吴中区 长桥街道</v>
      </c>
      <c r="N8163" s="1" t="str">
        <f t="shared" si="2319"/>
        <v>凡华云仓-韵达-抖音</v>
      </c>
      <c r="O8163" s="5">
        <v>320166071385474</v>
      </c>
      <c r="P8163" s="6">
        <v>0.47</v>
      </c>
      <c r="Q8163" s="11">
        <v>2.2999999999999998</v>
      </c>
      <c r="R8163" s="11"/>
      <c r="S8163" s="11"/>
      <c r="T8163" s="11"/>
      <c r="U8163" s="11">
        <f t="shared" si="2321"/>
        <v>2.2999999999999998</v>
      </c>
      <c r="W8163">
        <v>2.5</v>
      </c>
      <c r="X8163" s="1" t="s">
        <v>13</v>
      </c>
    </row>
    <row r="8164" spans="1:24" x14ac:dyDescent="0.25">
      <c r="A8164" s="1" t="str">
        <f t="shared" si="2322"/>
        <v>卡卡杜-凤凰仓</v>
      </c>
      <c r="B8164" s="1" t="str">
        <f>"CK202410116657"</f>
        <v>CK202410116657</v>
      </c>
      <c r="C8164" s="1" t="str">
        <f>"DD2024101115167"</f>
        <v>DD2024101115167</v>
      </c>
      <c r="D8164" s="1" t="str">
        <f>"CK2024101117119"</f>
        <v>CK2024101117119</v>
      </c>
      <c r="E8164" s="1" t="str">
        <f>"6934838507228566711"</f>
        <v>6934838507228566711</v>
      </c>
      <c r="F8164" s="1" t="str">
        <f t="shared" si="2323"/>
        <v>花都四部-凤凰仓</v>
      </c>
      <c r="G8164" s="1" t="str">
        <f t="shared" si="2327"/>
        <v>卡卡杜个人护理店（抖店）</v>
      </c>
      <c r="H8164" s="1" t="str">
        <f t="shared" si="2324"/>
        <v>正常订单</v>
      </c>
      <c r="I8164" s="1" t="str">
        <f t="shared" si="2325"/>
        <v>已发货</v>
      </c>
      <c r="J8164" s="1" t="str">
        <f t="shared" si="2328"/>
        <v>5</v>
      </c>
      <c r="K8164" s="1">
        <v>3</v>
      </c>
      <c r="L8164" s="1" t="s">
        <v>109</v>
      </c>
      <c r="M8164" s="1" t="str">
        <f>"山西省 太原市 小店区 北营街道"</f>
        <v>山西省 太原市 小店区 北营街道</v>
      </c>
      <c r="N8164" s="1" t="str">
        <f t="shared" si="2319"/>
        <v>凡华云仓-韵达-抖音</v>
      </c>
      <c r="O8164" s="5">
        <v>320166071385379</v>
      </c>
      <c r="P8164" s="6">
        <v>0.47</v>
      </c>
      <c r="Q8164" s="11">
        <v>2.2999999999999998</v>
      </c>
      <c r="R8164" s="11"/>
      <c r="S8164" s="11"/>
      <c r="T8164" s="11"/>
      <c r="U8164" s="11">
        <f t="shared" si="2321"/>
        <v>2.2999999999999998</v>
      </c>
      <c r="W8164">
        <v>2.5</v>
      </c>
      <c r="X8164" s="1" t="s">
        <v>109</v>
      </c>
    </row>
    <row r="8165" spans="1:24" x14ac:dyDescent="0.25">
      <c r="A8165" s="1" t="str">
        <f t="shared" si="2322"/>
        <v>卡卡杜-凤凰仓</v>
      </c>
      <c r="B8165" s="1" t="str">
        <f>"CK2024101110456"</f>
        <v>CK2024101110456</v>
      </c>
      <c r="C8165" s="1" t="str">
        <f>"DD2024101117037"</f>
        <v>DD2024101117037</v>
      </c>
      <c r="D8165" s="1" t="str">
        <f>"CK2024101117118"</f>
        <v>CK2024101117118</v>
      </c>
      <c r="E8165" s="1" t="str">
        <f>"6934824832421926503"</f>
        <v>6934824832421926503</v>
      </c>
      <c r="F8165" s="1" t="str">
        <f t="shared" si="2323"/>
        <v>花都四部-凤凰仓</v>
      </c>
      <c r="G8165" s="1" t="str">
        <f t="shared" si="2327"/>
        <v>卡卡杜个人护理店（抖店）</v>
      </c>
      <c r="H8165" s="1" t="str">
        <f t="shared" si="2324"/>
        <v>正常订单</v>
      </c>
      <c r="I8165" s="1" t="str">
        <f t="shared" si="2325"/>
        <v>已发货</v>
      </c>
      <c r="J8165" s="1" t="str">
        <f>"9"</f>
        <v>9</v>
      </c>
      <c r="K8165" s="1">
        <v>3</v>
      </c>
      <c r="L8165" s="1" t="s">
        <v>161</v>
      </c>
      <c r="M8165" s="1" t="str">
        <f>"四川省 眉山市 仁寿县 怀仁街道"</f>
        <v>四川省 眉山市 仁寿县 怀仁街道</v>
      </c>
      <c r="N8165" s="1" t="str">
        <f t="shared" si="2319"/>
        <v>凡华云仓-韵达-抖音</v>
      </c>
      <c r="O8165" s="5">
        <v>320166071385286</v>
      </c>
      <c r="P8165" s="6">
        <v>0.83</v>
      </c>
      <c r="Q8165" s="11">
        <f>CEILING(P8165-0.5,0.1)*10*0.15+2.3</f>
        <v>2.9</v>
      </c>
      <c r="R8165" s="11"/>
      <c r="S8165" s="11"/>
      <c r="T8165" s="11"/>
      <c r="U8165" s="11">
        <f t="shared" si="2321"/>
        <v>2.9</v>
      </c>
      <c r="V8165" t="s">
        <v>15</v>
      </c>
      <c r="W8165">
        <v>2.9</v>
      </c>
      <c r="X8165" s="1" t="s">
        <v>161</v>
      </c>
    </row>
    <row r="8166" spans="1:24" x14ac:dyDescent="0.25">
      <c r="A8166" s="1" t="str">
        <f t="shared" si="2322"/>
        <v>卡卡杜-凤凰仓</v>
      </c>
      <c r="B8166" s="1" t="str">
        <f>"CK202410116143"</f>
        <v>CK202410116143</v>
      </c>
      <c r="C8166" s="1" t="str">
        <f>"DD2024101114654"</f>
        <v>DD2024101114654</v>
      </c>
      <c r="D8166" s="1" t="str">
        <f>"CK2024101117117"</f>
        <v>CK2024101117117</v>
      </c>
      <c r="E8166" s="1" t="str">
        <f>"6934845424706656010"</f>
        <v>6934845424706656010</v>
      </c>
      <c r="F8166" s="1" t="str">
        <f t="shared" si="2323"/>
        <v>花都四部-凤凰仓</v>
      </c>
      <c r="G8166" s="1" t="str">
        <f t="shared" si="2327"/>
        <v>卡卡杜个人护理店（抖店）</v>
      </c>
      <c r="H8166" s="1" t="str">
        <f t="shared" si="2324"/>
        <v>正常订单</v>
      </c>
      <c r="I8166" s="1" t="str">
        <f t="shared" si="2325"/>
        <v>已发货</v>
      </c>
      <c r="J8166" s="1" t="str">
        <f t="shared" ref="J8166:J8180" si="2329">"5"</f>
        <v>5</v>
      </c>
      <c r="K8166" s="1">
        <v>3</v>
      </c>
      <c r="L8166" s="1" t="s">
        <v>80</v>
      </c>
      <c r="M8166" s="1" t="str">
        <f>"河南省 驻马店市 平舆县 古槐街道"</f>
        <v>河南省 驻马店市 平舆县 古槐街道</v>
      </c>
      <c r="N8166" s="1" t="str">
        <f t="shared" si="2319"/>
        <v>凡华云仓-韵达-抖音</v>
      </c>
      <c r="O8166" s="5">
        <v>320166071385195</v>
      </c>
      <c r="P8166" s="6">
        <v>0.47</v>
      </c>
      <c r="Q8166" s="11">
        <v>2.2999999999999998</v>
      </c>
      <c r="R8166" s="11"/>
      <c r="S8166" s="11"/>
      <c r="T8166" s="11"/>
      <c r="U8166" s="11">
        <f t="shared" si="2321"/>
        <v>2.2999999999999998</v>
      </c>
      <c r="W8166">
        <v>2.5</v>
      </c>
      <c r="X8166" s="1" t="s">
        <v>80</v>
      </c>
    </row>
    <row r="8167" spans="1:24" x14ac:dyDescent="0.25">
      <c r="A8167" s="1" t="str">
        <f t="shared" si="2322"/>
        <v>卡卡杜-凤凰仓</v>
      </c>
      <c r="B8167" s="1" t="str">
        <f>"CK202410116207"</f>
        <v>CK202410116207</v>
      </c>
      <c r="C8167" s="1" t="str">
        <f>"DD2024101114717"</f>
        <v>DD2024101114717</v>
      </c>
      <c r="D8167" s="1" t="str">
        <f>"CK2024101117116"</f>
        <v>CK2024101117116</v>
      </c>
      <c r="E8167" s="1" t="str">
        <f>"6934822617691395362"</f>
        <v>6934822617691395362</v>
      </c>
      <c r="F8167" s="1" t="str">
        <f t="shared" si="2323"/>
        <v>花都四部-凤凰仓</v>
      </c>
      <c r="G8167" s="1" t="str">
        <f t="shared" si="2327"/>
        <v>卡卡杜个人护理店（抖店）</v>
      </c>
      <c r="H8167" s="1" t="str">
        <f t="shared" si="2324"/>
        <v>正常订单</v>
      </c>
      <c r="I8167" s="1" t="str">
        <f t="shared" si="2325"/>
        <v>已发货</v>
      </c>
      <c r="J8167" s="1" t="str">
        <f t="shared" si="2329"/>
        <v>5</v>
      </c>
      <c r="K8167" s="1">
        <v>3</v>
      </c>
      <c r="L8167" s="1" t="s">
        <v>92</v>
      </c>
      <c r="M8167" s="1" t="str">
        <f>"辽宁省 沈阳市 铁西区 启工街道"</f>
        <v>辽宁省 沈阳市 铁西区 启工街道</v>
      </c>
      <c r="N8167" s="1" t="str">
        <f t="shared" si="2319"/>
        <v>凡华云仓-韵达-抖音</v>
      </c>
      <c r="O8167" s="5">
        <v>320166071385006</v>
      </c>
      <c r="P8167" s="6">
        <v>0.47</v>
      </c>
      <c r="Q8167" s="11">
        <v>2.2999999999999998</v>
      </c>
      <c r="R8167" s="11"/>
      <c r="S8167" s="11"/>
      <c r="T8167" s="11"/>
      <c r="U8167" s="11">
        <f t="shared" si="2321"/>
        <v>2.2999999999999998</v>
      </c>
      <c r="W8167">
        <v>2.5</v>
      </c>
      <c r="X8167" s="1" t="s">
        <v>92</v>
      </c>
    </row>
    <row r="8168" spans="1:24" x14ac:dyDescent="0.25">
      <c r="A8168" s="1" t="str">
        <f t="shared" si="2322"/>
        <v>卡卡杜-凤凰仓</v>
      </c>
      <c r="B8168" s="1" t="str">
        <f>"CK202410116507"</f>
        <v>CK202410116507</v>
      </c>
      <c r="C8168" s="1" t="str">
        <f>"DD2024101115017"</f>
        <v>DD2024101115017</v>
      </c>
      <c r="D8168" s="1" t="str">
        <f>"CK2024101117115"</f>
        <v>CK2024101117115</v>
      </c>
      <c r="E8168" s="1" t="str">
        <f>"6934847509508592965"</f>
        <v>6934847509508592965</v>
      </c>
      <c r="F8168" s="1" t="str">
        <f t="shared" si="2323"/>
        <v>花都四部-凤凰仓</v>
      </c>
      <c r="G8168" s="1" t="str">
        <f t="shared" si="2327"/>
        <v>卡卡杜个人护理店（抖店）</v>
      </c>
      <c r="H8168" s="1" t="str">
        <f t="shared" si="2324"/>
        <v>正常订单</v>
      </c>
      <c r="I8168" s="1" t="str">
        <f t="shared" si="2325"/>
        <v>已发货</v>
      </c>
      <c r="J8168" s="1" t="str">
        <f t="shared" si="2329"/>
        <v>5</v>
      </c>
      <c r="K8168" s="1">
        <v>3</v>
      </c>
      <c r="L8168" s="1" t="s">
        <v>13</v>
      </c>
      <c r="M8168" s="1" t="str">
        <f>"江苏省 常州市 武进区 礼嘉镇"</f>
        <v>江苏省 常州市 武进区 礼嘉镇</v>
      </c>
      <c r="N8168" s="1" t="str">
        <f t="shared" si="2319"/>
        <v>凡华云仓-韵达-抖音</v>
      </c>
      <c r="O8168" s="5">
        <v>320166071384982</v>
      </c>
      <c r="P8168" s="6">
        <v>0.47</v>
      </c>
      <c r="Q8168" s="11">
        <v>2.2999999999999998</v>
      </c>
      <c r="R8168" s="11"/>
      <c r="S8168" s="11"/>
      <c r="T8168" s="11"/>
      <c r="U8168" s="11">
        <f t="shared" si="2321"/>
        <v>2.2999999999999998</v>
      </c>
      <c r="W8168">
        <v>2.5</v>
      </c>
      <c r="X8168" s="1" t="s">
        <v>13</v>
      </c>
    </row>
    <row r="8169" spans="1:24" x14ac:dyDescent="0.25">
      <c r="A8169" s="1" t="str">
        <f t="shared" si="2322"/>
        <v>卡卡杜-凤凰仓</v>
      </c>
      <c r="B8169" s="1" t="str">
        <f>"CK202410116564"</f>
        <v>CK202410116564</v>
      </c>
      <c r="C8169" s="1" t="str">
        <f>"DD2024101115073"</f>
        <v>DD2024101115073</v>
      </c>
      <c r="D8169" s="1" t="str">
        <f>"CK2024101117114"</f>
        <v>CK2024101117114</v>
      </c>
      <c r="E8169" s="1" t="str">
        <f>"6934824806917870642"</f>
        <v>6934824806917870642</v>
      </c>
      <c r="F8169" s="1" t="str">
        <f t="shared" si="2323"/>
        <v>花都四部-凤凰仓</v>
      </c>
      <c r="G8169" s="1" t="str">
        <f t="shared" si="2327"/>
        <v>卡卡杜个人护理店（抖店）</v>
      </c>
      <c r="H8169" s="1" t="str">
        <f t="shared" si="2324"/>
        <v>正常订单</v>
      </c>
      <c r="I8169" s="1" t="str">
        <f t="shared" si="2325"/>
        <v>已发货</v>
      </c>
      <c r="J8169" s="1" t="str">
        <f t="shared" si="2329"/>
        <v>5</v>
      </c>
      <c r="K8169" s="1">
        <v>3</v>
      </c>
      <c r="L8169" s="1" t="s">
        <v>13</v>
      </c>
      <c r="M8169" s="1" t="str">
        <f>"江苏省 泰州市 泰兴市 虹桥镇"</f>
        <v>江苏省 泰州市 泰兴市 虹桥镇</v>
      </c>
      <c r="N8169" s="1" t="str">
        <f t="shared" si="2319"/>
        <v>凡华云仓-韵达-抖音</v>
      </c>
      <c r="O8169" s="5">
        <v>320166071384877</v>
      </c>
      <c r="P8169" s="6">
        <v>0.47</v>
      </c>
      <c r="Q8169" s="11">
        <v>2.2999999999999998</v>
      </c>
      <c r="R8169" s="11"/>
      <c r="S8169" s="11"/>
      <c r="T8169" s="11"/>
      <c r="U8169" s="11">
        <f t="shared" si="2321"/>
        <v>2.2999999999999998</v>
      </c>
      <c r="W8169">
        <v>2.5</v>
      </c>
      <c r="X8169" s="1" t="s">
        <v>13</v>
      </c>
    </row>
    <row r="8170" spans="1:24" x14ac:dyDescent="0.25">
      <c r="A8170" s="1" t="str">
        <f t="shared" si="2322"/>
        <v>卡卡杜-凤凰仓</v>
      </c>
      <c r="B8170" s="1" t="str">
        <f>"CK202410116606"</f>
        <v>CK202410116606</v>
      </c>
      <c r="C8170" s="1" t="str">
        <f>"DD2024101115115"</f>
        <v>DD2024101115115</v>
      </c>
      <c r="D8170" s="1" t="str">
        <f>"CK2024101117113"</f>
        <v>CK2024101117113</v>
      </c>
      <c r="E8170" s="1" t="str">
        <f>"6934853765902046333"</f>
        <v>6934853765902046333</v>
      </c>
      <c r="F8170" s="1" t="str">
        <f t="shared" si="2323"/>
        <v>花都四部-凤凰仓</v>
      </c>
      <c r="G8170" s="1" t="str">
        <f t="shared" si="2327"/>
        <v>卡卡杜个人护理店（抖店）</v>
      </c>
      <c r="H8170" s="1" t="str">
        <f t="shared" si="2324"/>
        <v>正常订单</v>
      </c>
      <c r="I8170" s="1" t="str">
        <f t="shared" si="2325"/>
        <v>已发货</v>
      </c>
      <c r="J8170" s="1" t="str">
        <f t="shared" si="2329"/>
        <v>5</v>
      </c>
      <c r="K8170" s="1">
        <v>3</v>
      </c>
      <c r="L8170" s="1" t="s">
        <v>92</v>
      </c>
      <c r="M8170" s="1" t="str">
        <f>"辽宁省 鞍山市 铁东区 解放街道"</f>
        <v>辽宁省 鞍山市 铁东区 解放街道</v>
      </c>
      <c r="N8170" s="1" t="str">
        <f t="shared" si="2319"/>
        <v>凡华云仓-韵达-抖音</v>
      </c>
      <c r="O8170" s="5">
        <v>320166081131618</v>
      </c>
      <c r="P8170" s="6">
        <v>0.47</v>
      </c>
      <c r="Q8170" s="11">
        <v>2.2999999999999998</v>
      </c>
      <c r="R8170" s="11"/>
      <c r="S8170" s="11"/>
      <c r="T8170" s="11"/>
      <c r="U8170" s="11">
        <f t="shared" si="2321"/>
        <v>2.2999999999999998</v>
      </c>
      <c r="W8170">
        <v>2.5</v>
      </c>
      <c r="X8170" s="1" t="s">
        <v>92</v>
      </c>
    </row>
    <row r="8171" spans="1:24" x14ac:dyDescent="0.25">
      <c r="A8171" s="1" t="str">
        <f t="shared" si="2322"/>
        <v>卡卡杜-凤凰仓</v>
      </c>
      <c r="B8171" s="1" t="str">
        <f>"CK202410116617"</f>
        <v>CK202410116617</v>
      </c>
      <c r="C8171" s="1" t="str">
        <f>"DD2024101115128"</f>
        <v>DD2024101115128</v>
      </c>
      <c r="D8171" s="1" t="str">
        <f>"CK2024101117112"</f>
        <v>CK2024101117112</v>
      </c>
      <c r="E8171" s="1" t="str">
        <f>"6934843215793690116"</f>
        <v>6934843215793690116</v>
      </c>
      <c r="F8171" s="1" t="str">
        <f t="shared" si="2323"/>
        <v>花都四部-凤凰仓</v>
      </c>
      <c r="G8171" s="1" t="str">
        <f t="shared" si="2327"/>
        <v>卡卡杜个人护理店（抖店）</v>
      </c>
      <c r="H8171" s="1" t="str">
        <f t="shared" si="2324"/>
        <v>正常订单</v>
      </c>
      <c r="I8171" s="1" t="str">
        <f t="shared" si="2325"/>
        <v>已发货</v>
      </c>
      <c r="J8171" s="1" t="str">
        <f t="shared" si="2329"/>
        <v>5</v>
      </c>
      <c r="K8171" s="1">
        <v>3</v>
      </c>
      <c r="L8171" s="1" t="s">
        <v>66</v>
      </c>
      <c r="M8171" s="1" t="str">
        <f>"内蒙古自治区 呼和浩特市 赛罕区 大学西路街道"</f>
        <v>内蒙古自治区 呼和浩特市 赛罕区 大学西路街道</v>
      </c>
      <c r="N8171" s="1" t="str">
        <f t="shared" si="2319"/>
        <v>凡华云仓-韵达-抖音</v>
      </c>
      <c r="O8171" s="5">
        <v>320166081131519</v>
      </c>
      <c r="P8171" s="6">
        <v>0.47</v>
      </c>
      <c r="Q8171" s="11">
        <v>2.2999999999999998</v>
      </c>
      <c r="R8171" s="11"/>
      <c r="S8171" s="11"/>
      <c r="T8171" s="11"/>
      <c r="U8171" s="11">
        <f t="shared" si="2321"/>
        <v>2.2999999999999998</v>
      </c>
      <c r="W8171">
        <v>2.5</v>
      </c>
      <c r="X8171" s="1" t="s">
        <v>66</v>
      </c>
    </row>
    <row r="8172" spans="1:24" x14ac:dyDescent="0.25">
      <c r="A8172" s="1" t="str">
        <f t="shared" si="2322"/>
        <v>卡卡杜-凤凰仓</v>
      </c>
      <c r="B8172" s="1" t="str">
        <f>"CK202410116625"</f>
        <v>CK202410116625</v>
      </c>
      <c r="C8172" s="1" t="str">
        <f>"DD2024101115134"</f>
        <v>DD2024101115134</v>
      </c>
      <c r="D8172" s="1" t="str">
        <f>"CK2024101117111"</f>
        <v>CK2024101117111</v>
      </c>
      <c r="E8172" s="1" t="str">
        <f>"6934843172230010122"</f>
        <v>6934843172230010122</v>
      </c>
      <c r="F8172" s="1" t="str">
        <f t="shared" si="2323"/>
        <v>花都四部-凤凰仓</v>
      </c>
      <c r="G8172" s="1" t="str">
        <f t="shared" si="2327"/>
        <v>卡卡杜个人护理店（抖店）</v>
      </c>
      <c r="H8172" s="1" t="str">
        <f t="shared" si="2324"/>
        <v>正常订单</v>
      </c>
      <c r="I8172" s="1" t="str">
        <f t="shared" si="2325"/>
        <v>已发货</v>
      </c>
      <c r="J8172" s="1" t="str">
        <f t="shared" si="2329"/>
        <v>5</v>
      </c>
      <c r="K8172" s="1">
        <v>3</v>
      </c>
      <c r="L8172" s="1" t="s">
        <v>187</v>
      </c>
      <c r="M8172" s="1" t="str">
        <f>"吉林省 长春市 朝阳区 飞跃街道"</f>
        <v>吉林省 长春市 朝阳区 飞跃街道</v>
      </c>
      <c r="N8172" s="1" t="str">
        <f t="shared" si="2319"/>
        <v>凡华云仓-韵达-抖音</v>
      </c>
      <c r="O8172" s="5">
        <v>320166081131422</v>
      </c>
      <c r="P8172" s="6">
        <v>0.47</v>
      </c>
      <c r="Q8172" s="11">
        <v>2.2999999999999998</v>
      </c>
      <c r="R8172" s="11"/>
      <c r="S8172" s="11"/>
      <c r="T8172" s="11"/>
      <c r="U8172" s="11">
        <f t="shared" si="2321"/>
        <v>2.2999999999999998</v>
      </c>
      <c r="W8172">
        <v>2.5</v>
      </c>
      <c r="X8172" s="1" t="s">
        <v>187</v>
      </c>
    </row>
    <row r="8173" spans="1:24" x14ac:dyDescent="0.25">
      <c r="A8173" s="1" t="str">
        <f t="shared" si="2322"/>
        <v>卡卡杜-凤凰仓</v>
      </c>
      <c r="B8173" s="1" t="str">
        <f>"CK202410116628"</f>
        <v>CK202410116628</v>
      </c>
      <c r="C8173" s="1" t="str">
        <f>"DD2024101115136"</f>
        <v>DD2024101115136</v>
      </c>
      <c r="D8173" s="1" t="str">
        <f>"CK2024101117110"</f>
        <v>CK2024101117110</v>
      </c>
      <c r="E8173" s="1" t="str">
        <f>"6934829622057047585"</f>
        <v>6934829622057047585</v>
      </c>
      <c r="F8173" s="1" t="str">
        <f t="shared" si="2323"/>
        <v>花都四部-凤凰仓</v>
      </c>
      <c r="G8173" s="1" t="str">
        <f t="shared" si="2327"/>
        <v>卡卡杜个人护理店（抖店）</v>
      </c>
      <c r="H8173" s="1" t="str">
        <f t="shared" si="2324"/>
        <v>正常订单</v>
      </c>
      <c r="I8173" s="1" t="str">
        <f t="shared" si="2325"/>
        <v>已发货</v>
      </c>
      <c r="J8173" s="1" t="str">
        <f t="shared" si="2329"/>
        <v>5</v>
      </c>
      <c r="K8173" s="1">
        <v>3</v>
      </c>
      <c r="L8173" s="1" t="s">
        <v>16</v>
      </c>
      <c r="M8173" s="1" t="str">
        <f>"河北省 邯郸市 磁县 磁州镇"</f>
        <v>河北省 邯郸市 磁县 磁州镇</v>
      </c>
      <c r="N8173" s="1" t="str">
        <f t="shared" si="2319"/>
        <v>凡华云仓-韵达-抖音</v>
      </c>
      <c r="O8173" s="5">
        <v>320166081131327</v>
      </c>
      <c r="P8173" s="6">
        <v>0.47</v>
      </c>
      <c r="Q8173" s="11">
        <v>2.2999999999999998</v>
      </c>
      <c r="R8173" s="11"/>
      <c r="S8173" s="11"/>
      <c r="T8173" s="11"/>
      <c r="U8173" s="11">
        <f t="shared" si="2321"/>
        <v>2.2999999999999998</v>
      </c>
      <c r="W8173">
        <v>2.5</v>
      </c>
      <c r="X8173" s="1" t="s">
        <v>16</v>
      </c>
    </row>
    <row r="8174" spans="1:24" x14ac:dyDescent="0.25">
      <c r="A8174" s="1" t="str">
        <f t="shared" si="2322"/>
        <v>卡卡杜-凤凰仓</v>
      </c>
      <c r="B8174" s="1" t="str">
        <f>"CK202410116632"</f>
        <v>CK202410116632</v>
      </c>
      <c r="C8174" s="1" t="str">
        <f>"DD2024101115142"</f>
        <v>DD2024101115142</v>
      </c>
      <c r="D8174" s="1" t="str">
        <f>"CK2024101117109"</f>
        <v>CK2024101117109</v>
      </c>
      <c r="E8174" s="1" t="str">
        <f>"6934843198097332141"</f>
        <v>6934843198097332141</v>
      </c>
      <c r="F8174" s="1" t="str">
        <f t="shared" si="2323"/>
        <v>花都四部-凤凰仓</v>
      </c>
      <c r="G8174" s="1" t="str">
        <f t="shared" si="2327"/>
        <v>卡卡杜个人护理店（抖店）</v>
      </c>
      <c r="H8174" s="1" t="str">
        <f t="shared" si="2324"/>
        <v>正常订单</v>
      </c>
      <c r="I8174" s="1" t="str">
        <f t="shared" si="2325"/>
        <v>已发货</v>
      </c>
      <c r="J8174" s="1" t="str">
        <f t="shared" si="2329"/>
        <v>5</v>
      </c>
      <c r="K8174" s="1">
        <v>3</v>
      </c>
      <c r="L8174" s="1" t="s">
        <v>54</v>
      </c>
      <c r="M8174" s="1" t="str">
        <f>"黑龙江省 牡丹江市 爱民区 新华街道"</f>
        <v>黑龙江省 牡丹江市 爱民区 新华街道</v>
      </c>
      <c r="N8174" s="1" t="str">
        <f t="shared" si="2319"/>
        <v>凡华云仓-韵达-抖音</v>
      </c>
      <c r="O8174" s="5">
        <v>320166081131234</v>
      </c>
      <c r="P8174" s="6">
        <v>0.47</v>
      </c>
      <c r="Q8174" s="11">
        <v>2.2999999999999998</v>
      </c>
      <c r="R8174" s="11"/>
      <c r="S8174" s="11"/>
      <c r="T8174" s="11"/>
      <c r="U8174" s="11">
        <f t="shared" si="2321"/>
        <v>2.2999999999999998</v>
      </c>
      <c r="W8174">
        <v>2.5</v>
      </c>
      <c r="X8174" s="1" t="s">
        <v>54</v>
      </c>
    </row>
    <row r="8175" spans="1:24" x14ac:dyDescent="0.25">
      <c r="A8175" s="1" t="str">
        <f t="shared" si="2322"/>
        <v>卡卡杜-凤凰仓</v>
      </c>
      <c r="B8175" s="1" t="str">
        <f>"CK202410116637"</f>
        <v>CK202410116637</v>
      </c>
      <c r="C8175" s="1" t="str">
        <f>"DD2024101115145"</f>
        <v>DD2024101115145</v>
      </c>
      <c r="D8175" s="1" t="str">
        <f>"CK2024101117108"</f>
        <v>CK2024101117108</v>
      </c>
      <c r="E8175" s="1" t="str">
        <f>"6934843243986556315"</f>
        <v>6934843243986556315</v>
      </c>
      <c r="F8175" s="1" t="str">
        <f t="shared" si="2323"/>
        <v>花都四部-凤凰仓</v>
      </c>
      <c r="G8175" s="1" t="str">
        <f t="shared" si="2327"/>
        <v>卡卡杜个人护理店（抖店）</v>
      </c>
      <c r="H8175" s="1" t="str">
        <f t="shared" si="2324"/>
        <v>正常订单</v>
      </c>
      <c r="I8175" s="1" t="str">
        <f t="shared" si="2325"/>
        <v>已发货</v>
      </c>
      <c r="J8175" s="1" t="str">
        <f t="shared" si="2329"/>
        <v>5</v>
      </c>
      <c r="K8175" s="1">
        <v>3</v>
      </c>
      <c r="L8175" s="1" t="s">
        <v>36</v>
      </c>
      <c r="M8175" s="1" t="str">
        <f>"安徽省 蚌埠市 禹会区 长青乡"</f>
        <v>安徽省 蚌埠市 禹会区 长青乡</v>
      </c>
      <c r="N8175" s="1" t="str">
        <f t="shared" si="2319"/>
        <v>凡华云仓-韵达-抖音</v>
      </c>
      <c r="O8175" s="5">
        <v>320166081131143</v>
      </c>
      <c r="P8175" s="6">
        <v>0.47</v>
      </c>
      <c r="Q8175" s="11">
        <v>2.2999999999999998</v>
      </c>
      <c r="R8175" s="11"/>
      <c r="S8175" s="11"/>
      <c r="T8175" s="11"/>
      <c r="U8175" s="11">
        <f t="shared" si="2321"/>
        <v>2.2999999999999998</v>
      </c>
      <c r="W8175">
        <v>2.5</v>
      </c>
      <c r="X8175" s="1" t="s">
        <v>36</v>
      </c>
    </row>
    <row r="8176" spans="1:24" x14ac:dyDescent="0.25">
      <c r="A8176" s="1" t="str">
        <f t="shared" si="2322"/>
        <v>卡卡杜-凤凰仓</v>
      </c>
      <c r="B8176" s="1" t="str">
        <f>"CK202410116212"</f>
        <v>CK202410116212</v>
      </c>
      <c r="C8176" s="1" t="str">
        <f>"DD2024101114721"</f>
        <v>DD2024101114721</v>
      </c>
      <c r="D8176" s="1" t="str">
        <f>"CK2024101117107"</f>
        <v>CK2024101117107</v>
      </c>
      <c r="E8176" s="1" t="str">
        <f>"6934822604693443806"</f>
        <v>6934822604693443806</v>
      </c>
      <c r="F8176" s="1" t="str">
        <f t="shared" si="2323"/>
        <v>花都四部-凤凰仓</v>
      </c>
      <c r="G8176" s="1" t="str">
        <f t="shared" si="2327"/>
        <v>卡卡杜个人护理店（抖店）</v>
      </c>
      <c r="H8176" s="1" t="str">
        <f t="shared" si="2324"/>
        <v>正常订单</v>
      </c>
      <c r="I8176" s="1" t="str">
        <f t="shared" si="2325"/>
        <v>已发货</v>
      </c>
      <c r="J8176" s="1" t="str">
        <f t="shared" si="2329"/>
        <v>5</v>
      </c>
      <c r="K8176" s="1">
        <v>3</v>
      </c>
      <c r="L8176" s="1" t="s">
        <v>96</v>
      </c>
      <c r="M8176" s="1" t="str">
        <f>"广西壮族自治区 河池市 天峨县 六排镇"</f>
        <v>广西壮族自治区 河池市 天峨县 六排镇</v>
      </c>
      <c r="N8176" s="1" t="str">
        <f t="shared" si="2319"/>
        <v>凡华云仓-韵达-抖音</v>
      </c>
      <c r="O8176" s="5">
        <v>320166081131054</v>
      </c>
      <c r="P8176" s="6">
        <v>0.47</v>
      </c>
      <c r="Q8176" s="11">
        <v>2.2999999999999998</v>
      </c>
      <c r="R8176" s="11"/>
      <c r="S8176" s="11"/>
      <c r="T8176" s="11"/>
      <c r="U8176" s="11">
        <f t="shared" si="2321"/>
        <v>2.2999999999999998</v>
      </c>
      <c r="W8176">
        <v>2.5</v>
      </c>
      <c r="X8176" s="1" t="s">
        <v>96</v>
      </c>
    </row>
    <row r="8177" spans="1:24" x14ac:dyDescent="0.25">
      <c r="A8177" s="1" t="str">
        <f t="shared" si="2322"/>
        <v>卡卡杜-凤凰仓</v>
      </c>
      <c r="B8177" s="1" t="str">
        <f>"CK202410116557"</f>
        <v>CK202410116557</v>
      </c>
      <c r="C8177" s="1" t="str">
        <f>"DD2024101115066"</f>
        <v>DD2024101115066</v>
      </c>
      <c r="D8177" s="1" t="str">
        <f>"CK2024101117106"</f>
        <v>CK2024101117106</v>
      </c>
      <c r="E8177" s="1" t="str">
        <f>"6934847481359897825"</f>
        <v>6934847481359897825</v>
      </c>
      <c r="F8177" s="1" t="str">
        <f t="shared" si="2323"/>
        <v>花都四部-凤凰仓</v>
      </c>
      <c r="G8177" s="1" t="str">
        <f t="shared" si="2327"/>
        <v>卡卡杜个人护理店（抖店）</v>
      </c>
      <c r="H8177" s="1" t="str">
        <f t="shared" si="2324"/>
        <v>正常订单</v>
      </c>
      <c r="I8177" s="1" t="str">
        <f t="shared" si="2325"/>
        <v>已发货</v>
      </c>
      <c r="J8177" s="1" t="str">
        <f t="shared" si="2329"/>
        <v>5</v>
      </c>
      <c r="K8177" s="1">
        <v>3</v>
      </c>
      <c r="L8177" s="1" t="s">
        <v>20</v>
      </c>
      <c r="M8177" s="1" t="str">
        <f>"浙江省 嘉兴市 桐乡市 梧桐街道"</f>
        <v>浙江省 嘉兴市 桐乡市 梧桐街道</v>
      </c>
      <c r="N8177" s="1" t="str">
        <f t="shared" ref="N8177:N8200" si="2330">"凡华云仓-韵达-抖音"</f>
        <v>凡华云仓-韵达-抖音</v>
      </c>
      <c r="O8177" s="5">
        <v>320166081130938</v>
      </c>
      <c r="P8177" s="6">
        <v>0.47</v>
      </c>
      <c r="Q8177" s="11">
        <v>2.2999999999999998</v>
      </c>
      <c r="R8177" s="11"/>
      <c r="S8177" s="11"/>
      <c r="T8177" s="11"/>
      <c r="U8177" s="11">
        <f t="shared" si="2321"/>
        <v>2.2999999999999998</v>
      </c>
      <c r="W8177">
        <v>2.5</v>
      </c>
      <c r="X8177" s="1" t="s">
        <v>20</v>
      </c>
    </row>
    <row r="8178" spans="1:24" x14ac:dyDescent="0.25">
      <c r="A8178" s="1" t="str">
        <f t="shared" si="2322"/>
        <v>卡卡杜-凤凰仓</v>
      </c>
      <c r="B8178" s="1" t="str">
        <f>"CK202410116639"</f>
        <v>CK202410116639</v>
      </c>
      <c r="C8178" s="1" t="str">
        <f>"DD2024101115149"</f>
        <v>DD2024101115149</v>
      </c>
      <c r="D8178" s="1" t="str">
        <f>"CK2024101117105"</f>
        <v>CK2024101117105</v>
      </c>
      <c r="E8178" s="1" t="str">
        <f>"6934845342127822586"</f>
        <v>6934845342127822586</v>
      </c>
      <c r="F8178" s="1" t="str">
        <f t="shared" si="2323"/>
        <v>花都四部-凤凰仓</v>
      </c>
      <c r="G8178" s="1" t="str">
        <f t="shared" si="2327"/>
        <v>卡卡杜个人护理店（抖店）</v>
      </c>
      <c r="H8178" s="1" t="str">
        <f t="shared" si="2324"/>
        <v>正常订单</v>
      </c>
      <c r="I8178" s="1" t="str">
        <f t="shared" si="2325"/>
        <v>已发货</v>
      </c>
      <c r="J8178" s="1" t="str">
        <f t="shared" si="2329"/>
        <v>5</v>
      </c>
      <c r="K8178" s="1">
        <v>3</v>
      </c>
      <c r="L8178" s="1" t="s">
        <v>74</v>
      </c>
      <c r="M8178" s="1" t="str">
        <f>"上海 上海市 浦东新区 曹路镇"</f>
        <v>上海 上海市 浦东新区 曹路镇</v>
      </c>
      <c r="N8178" s="1" t="str">
        <f t="shared" si="2330"/>
        <v>凡华云仓-韵达-抖音</v>
      </c>
      <c r="O8178" s="5">
        <v>320166081130833</v>
      </c>
      <c r="P8178" s="6">
        <v>0.47</v>
      </c>
      <c r="Q8178" s="11">
        <v>2.2999999999999998</v>
      </c>
      <c r="R8178" s="11"/>
      <c r="S8178" s="11"/>
      <c r="T8178" s="11"/>
      <c r="U8178" s="11">
        <f t="shared" si="2321"/>
        <v>2.2999999999999998</v>
      </c>
      <c r="W8178">
        <v>2.5</v>
      </c>
      <c r="X8178" s="1" t="s">
        <v>74</v>
      </c>
    </row>
    <row r="8179" spans="1:24" x14ac:dyDescent="0.25">
      <c r="A8179" s="1" t="str">
        <f t="shared" si="2322"/>
        <v>卡卡杜-凤凰仓</v>
      </c>
      <c r="B8179" s="1" t="str">
        <f>"CK202410118146"</f>
        <v>CK202410118146</v>
      </c>
      <c r="C8179" s="1" t="str">
        <f>"DD2024101116700"</f>
        <v>DD2024101116700</v>
      </c>
      <c r="D8179" s="1" t="str">
        <f>"CK2024101117104"</f>
        <v>CK2024101117104</v>
      </c>
      <c r="E8179" s="1" t="str">
        <f>"6934843246617957893"</f>
        <v>6934843246617957893</v>
      </c>
      <c r="F8179" s="1" t="str">
        <f t="shared" si="2323"/>
        <v>花都四部-凤凰仓</v>
      </c>
      <c r="G8179" s="1" t="str">
        <f t="shared" si="2327"/>
        <v>卡卡杜个人护理店（抖店）</v>
      </c>
      <c r="H8179" s="1" t="str">
        <f t="shared" si="2324"/>
        <v>正常订单</v>
      </c>
      <c r="I8179" s="1" t="str">
        <f t="shared" si="2325"/>
        <v>已发货</v>
      </c>
      <c r="J8179" s="1" t="str">
        <f t="shared" si="2329"/>
        <v>5</v>
      </c>
      <c r="K8179" s="1">
        <v>3</v>
      </c>
      <c r="L8179" s="1" t="s">
        <v>80</v>
      </c>
      <c r="M8179" s="1" t="str">
        <f>"河南省 新乡市 辉县市 城关街道"</f>
        <v>河南省 新乡市 辉县市 城关街道</v>
      </c>
      <c r="N8179" s="1" t="str">
        <f t="shared" si="2330"/>
        <v>凡华云仓-韵达-抖音</v>
      </c>
      <c r="O8179" s="5">
        <v>320166081130730</v>
      </c>
      <c r="P8179" s="6">
        <v>0.47</v>
      </c>
      <c r="Q8179" s="11">
        <v>2.2999999999999998</v>
      </c>
      <c r="R8179" s="11"/>
      <c r="S8179" s="11"/>
      <c r="T8179" s="11"/>
      <c r="U8179" s="11">
        <f t="shared" si="2321"/>
        <v>2.2999999999999998</v>
      </c>
      <c r="W8179">
        <v>2.5</v>
      </c>
      <c r="X8179" s="1" t="s">
        <v>80</v>
      </c>
    </row>
    <row r="8180" spans="1:24" x14ac:dyDescent="0.25">
      <c r="A8180" s="1" t="str">
        <f t="shared" si="2322"/>
        <v>卡卡杜-凤凰仓</v>
      </c>
      <c r="B8180" s="1" t="str">
        <f>"CK202410118149"</f>
        <v>CK202410118149</v>
      </c>
      <c r="C8180" s="1" t="str">
        <f>"DD2024101116702"</f>
        <v>DD2024101116702</v>
      </c>
      <c r="D8180" s="1" t="str">
        <f>"CK2024101117103"</f>
        <v>CK2024101117103</v>
      </c>
      <c r="E8180" s="1" t="str">
        <f>"6934851759120913668"</f>
        <v>6934851759120913668</v>
      </c>
      <c r="F8180" s="1" t="str">
        <f t="shared" si="2323"/>
        <v>花都四部-凤凰仓</v>
      </c>
      <c r="G8180" s="1" t="str">
        <f t="shared" si="2327"/>
        <v>卡卡杜个人护理店（抖店）</v>
      </c>
      <c r="H8180" s="1" t="str">
        <f t="shared" si="2324"/>
        <v>正常订单</v>
      </c>
      <c r="I8180" s="1" t="str">
        <f t="shared" si="2325"/>
        <v>已发货</v>
      </c>
      <c r="J8180" s="1" t="str">
        <f t="shared" si="2329"/>
        <v>5</v>
      </c>
      <c r="K8180" s="1">
        <v>3</v>
      </c>
      <c r="L8180" s="1" t="s">
        <v>80</v>
      </c>
      <c r="M8180" s="1" t="str">
        <f>"河南省 平顶山市 宝丰县 "</f>
        <v xml:space="preserve">河南省 平顶山市 宝丰县 </v>
      </c>
      <c r="N8180" s="1" t="str">
        <f t="shared" si="2330"/>
        <v>凡华云仓-韵达-抖音</v>
      </c>
      <c r="O8180" s="5">
        <v>320166076248756</v>
      </c>
      <c r="P8180" s="6">
        <v>0.47</v>
      </c>
      <c r="Q8180" s="11">
        <v>2.2999999999999998</v>
      </c>
      <c r="R8180" s="11"/>
      <c r="S8180" s="11"/>
      <c r="T8180" s="11"/>
      <c r="U8180" s="11">
        <f t="shared" si="2321"/>
        <v>2.2999999999999998</v>
      </c>
      <c r="W8180">
        <v>2.5</v>
      </c>
      <c r="X8180" s="1" t="s">
        <v>80</v>
      </c>
    </row>
    <row r="8181" spans="1:24" x14ac:dyDescent="0.25">
      <c r="A8181" s="1" t="str">
        <f t="shared" si="2322"/>
        <v>卡卡杜-凤凰仓</v>
      </c>
      <c r="B8181" s="1" t="str">
        <f>"CK2024101110457"</f>
        <v>CK2024101110457</v>
      </c>
      <c r="C8181" s="1" t="str">
        <f>"DD2024101117041"</f>
        <v>DD2024101117041</v>
      </c>
      <c r="D8181" s="1" t="str">
        <f>"CK2024101117102"</f>
        <v>CK2024101117102</v>
      </c>
      <c r="E8181" s="1" t="str">
        <f>"6934831541107562015"</f>
        <v>6934831541107562015</v>
      </c>
      <c r="F8181" s="1" t="str">
        <f t="shared" si="2323"/>
        <v>花都四部-凤凰仓</v>
      </c>
      <c r="G8181" s="1" t="str">
        <f t="shared" si="2327"/>
        <v>卡卡杜个人护理店（抖店）</v>
      </c>
      <c r="H8181" s="1" t="str">
        <f t="shared" si="2324"/>
        <v>正常订单</v>
      </c>
      <c r="I8181" s="1" t="str">
        <f t="shared" si="2325"/>
        <v>已发货</v>
      </c>
      <c r="J8181" s="1" t="str">
        <f>"9"</f>
        <v>9</v>
      </c>
      <c r="K8181" s="1">
        <v>3</v>
      </c>
      <c r="L8181" s="1" t="s">
        <v>41</v>
      </c>
      <c r="M8181" s="1" t="str">
        <f>"湖北省 武汉市 洪山区 梨园街道"</f>
        <v>湖北省 武汉市 洪山区 梨园街道</v>
      </c>
      <c r="N8181" s="1" t="str">
        <f t="shared" si="2330"/>
        <v>凡华云仓-韵达-抖音</v>
      </c>
      <c r="O8181" s="5">
        <v>320166076248655</v>
      </c>
      <c r="P8181" s="6">
        <v>0.83</v>
      </c>
      <c r="Q8181" s="11">
        <f>CEILING(P8181-0.5,0.1)*10*0.15+2.3</f>
        <v>2.9</v>
      </c>
      <c r="R8181" s="11"/>
      <c r="S8181" s="11"/>
      <c r="T8181" s="11"/>
      <c r="U8181" s="11">
        <f t="shared" si="2321"/>
        <v>2.9</v>
      </c>
      <c r="V8181" t="s">
        <v>15</v>
      </c>
      <c r="W8181">
        <v>2.9</v>
      </c>
      <c r="X8181" s="1" t="s">
        <v>41</v>
      </c>
    </row>
    <row r="8182" spans="1:24" x14ac:dyDescent="0.25">
      <c r="A8182" s="1" t="str">
        <f t="shared" si="2322"/>
        <v>卡卡杜-凤凰仓</v>
      </c>
      <c r="B8182" s="1" t="str">
        <f>"CK202410116622"</f>
        <v>CK202410116622</v>
      </c>
      <c r="C8182" s="1" t="str">
        <f>"DD2024101115132"</f>
        <v>DD2024101115132</v>
      </c>
      <c r="D8182" s="1" t="str">
        <f>"CK2024101117101"</f>
        <v>CK2024101117101</v>
      </c>
      <c r="E8182" s="1" t="str">
        <f>"6934851781375956265"</f>
        <v>6934851781375956265</v>
      </c>
      <c r="F8182" s="1" t="str">
        <f t="shared" si="2323"/>
        <v>花都四部-凤凰仓</v>
      </c>
      <c r="G8182" s="1" t="str">
        <f t="shared" si="2327"/>
        <v>卡卡杜个人护理店（抖店）</v>
      </c>
      <c r="H8182" s="1" t="str">
        <f t="shared" si="2324"/>
        <v>正常订单</v>
      </c>
      <c r="I8182" s="1" t="str">
        <f t="shared" si="2325"/>
        <v>已发货</v>
      </c>
      <c r="J8182" s="1" t="str">
        <f t="shared" ref="J8182:J8188" si="2331">"5"</f>
        <v>5</v>
      </c>
      <c r="K8182" s="1">
        <v>3</v>
      </c>
      <c r="L8182" s="1" t="s">
        <v>20</v>
      </c>
      <c r="M8182" s="1" t="str">
        <f>"浙江省 金华市 义乌市 江东街道"</f>
        <v>浙江省 金华市 义乌市 江东街道</v>
      </c>
      <c r="N8182" s="1" t="str">
        <f t="shared" si="2330"/>
        <v>凡华云仓-韵达-抖音</v>
      </c>
      <c r="O8182" s="5">
        <v>320166076248556</v>
      </c>
      <c r="P8182" s="6">
        <v>0.47</v>
      </c>
      <c r="Q8182" s="11">
        <v>2.2999999999999998</v>
      </c>
      <c r="R8182" s="11"/>
      <c r="S8182" s="11"/>
      <c r="T8182" s="11"/>
      <c r="U8182" s="11">
        <f t="shared" si="2321"/>
        <v>2.2999999999999998</v>
      </c>
      <c r="W8182">
        <v>2.5</v>
      </c>
      <c r="X8182" s="1" t="s">
        <v>20</v>
      </c>
    </row>
    <row r="8183" spans="1:24" x14ac:dyDescent="0.25">
      <c r="A8183" s="1" t="str">
        <f t="shared" si="2322"/>
        <v>卡卡杜-凤凰仓</v>
      </c>
      <c r="B8183" s="1" t="str">
        <f>"CK202410116642"</f>
        <v>CK202410116642</v>
      </c>
      <c r="C8183" s="1" t="str">
        <f>"DD2024101115151"</f>
        <v>DD2024101115151</v>
      </c>
      <c r="D8183" s="1" t="str">
        <f>"CK2024101117100"</f>
        <v>CK2024101117100</v>
      </c>
      <c r="E8183" s="1" t="str">
        <f>"6934847485928347615"</f>
        <v>6934847485928347615</v>
      </c>
      <c r="F8183" s="1" t="str">
        <f t="shared" si="2323"/>
        <v>花都四部-凤凰仓</v>
      </c>
      <c r="G8183" s="1" t="str">
        <f t="shared" si="2327"/>
        <v>卡卡杜个人护理店（抖店）</v>
      </c>
      <c r="H8183" s="1" t="str">
        <f t="shared" si="2324"/>
        <v>正常订单</v>
      </c>
      <c r="I8183" s="1" t="str">
        <f t="shared" si="2325"/>
        <v>已发货</v>
      </c>
      <c r="J8183" s="1" t="str">
        <f t="shared" si="2331"/>
        <v>5</v>
      </c>
      <c r="K8183" s="1">
        <v>3</v>
      </c>
      <c r="L8183" s="1" t="s">
        <v>218</v>
      </c>
      <c r="M8183" s="1" t="str">
        <f>"天津 天津市 西青区 李七庄街道"</f>
        <v>天津 天津市 西青区 李七庄街道</v>
      </c>
      <c r="N8183" s="1" t="str">
        <f t="shared" si="2330"/>
        <v>凡华云仓-韵达-抖音</v>
      </c>
      <c r="O8183" s="5">
        <v>320166076248459</v>
      </c>
      <c r="P8183" s="6">
        <v>0.47</v>
      </c>
      <c r="Q8183" s="11">
        <v>2.2999999999999998</v>
      </c>
      <c r="R8183" s="11"/>
      <c r="S8183" s="11"/>
      <c r="T8183" s="11"/>
      <c r="U8183" s="11">
        <f t="shared" si="2321"/>
        <v>2.2999999999999998</v>
      </c>
      <c r="W8183">
        <v>2.5</v>
      </c>
      <c r="X8183" s="1" t="s">
        <v>218</v>
      </c>
    </row>
    <row r="8184" spans="1:24" x14ac:dyDescent="0.25">
      <c r="A8184" s="1" t="str">
        <f t="shared" si="2322"/>
        <v>卡卡杜-凤凰仓</v>
      </c>
      <c r="B8184" s="1" t="str">
        <f>"CK202410116644"</f>
        <v>CK202410116644</v>
      </c>
      <c r="C8184" s="1" t="str">
        <f>"DD2024101115154"</f>
        <v>DD2024101115154</v>
      </c>
      <c r="D8184" s="1" t="str">
        <f>"CK2024101117099"</f>
        <v>CK2024101117099</v>
      </c>
      <c r="E8184" s="1" t="str">
        <f>"6934824799372645595"</f>
        <v>6934824799372645595</v>
      </c>
      <c r="F8184" s="1" t="str">
        <f t="shared" si="2323"/>
        <v>花都四部-凤凰仓</v>
      </c>
      <c r="G8184" s="1" t="str">
        <f t="shared" si="2327"/>
        <v>卡卡杜个人护理店（抖店）</v>
      </c>
      <c r="H8184" s="1" t="str">
        <f t="shared" si="2324"/>
        <v>正常订单</v>
      </c>
      <c r="I8184" s="1" t="str">
        <f t="shared" si="2325"/>
        <v>已发货</v>
      </c>
      <c r="J8184" s="1" t="str">
        <f t="shared" si="2331"/>
        <v>5</v>
      </c>
      <c r="K8184" s="1">
        <v>3</v>
      </c>
      <c r="L8184" s="1" t="s">
        <v>13</v>
      </c>
      <c r="M8184" s="1" t="str">
        <f>"江苏省 镇江市 润州区 七里甸街道"</f>
        <v>江苏省 镇江市 润州区 七里甸街道</v>
      </c>
      <c r="N8184" s="1" t="str">
        <f t="shared" si="2330"/>
        <v>凡华云仓-韵达-抖音</v>
      </c>
      <c r="O8184" s="5">
        <v>320166076248364</v>
      </c>
      <c r="P8184" s="6">
        <v>0.47</v>
      </c>
      <c r="Q8184" s="11">
        <v>2.2999999999999998</v>
      </c>
      <c r="R8184" s="11"/>
      <c r="S8184" s="11"/>
      <c r="T8184" s="11"/>
      <c r="U8184" s="11">
        <f t="shared" si="2321"/>
        <v>2.2999999999999998</v>
      </c>
      <c r="W8184">
        <v>2.5</v>
      </c>
      <c r="X8184" s="1" t="s">
        <v>13</v>
      </c>
    </row>
    <row r="8185" spans="1:24" x14ac:dyDescent="0.25">
      <c r="A8185" s="1" t="str">
        <f t="shared" si="2322"/>
        <v>卡卡杜-凤凰仓</v>
      </c>
      <c r="B8185" s="1" t="str">
        <f>"CK202410116648"</f>
        <v>CK202410116648</v>
      </c>
      <c r="C8185" s="1" t="str">
        <f>"DD2024101115157"</f>
        <v>DD2024101115157</v>
      </c>
      <c r="D8185" s="1" t="str">
        <f>"CK2024101117098"</f>
        <v>CK2024101117098</v>
      </c>
      <c r="E8185" s="1" t="str">
        <f>"6934829610616624631"</f>
        <v>6934829610616624631</v>
      </c>
      <c r="F8185" s="1" t="str">
        <f t="shared" si="2323"/>
        <v>花都四部-凤凰仓</v>
      </c>
      <c r="G8185" s="1" t="str">
        <f t="shared" si="2327"/>
        <v>卡卡杜个人护理店（抖店）</v>
      </c>
      <c r="H8185" s="1" t="str">
        <f t="shared" si="2324"/>
        <v>正常订单</v>
      </c>
      <c r="I8185" s="1" t="str">
        <f t="shared" si="2325"/>
        <v>已发货</v>
      </c>
      <c r="J8185" s="1" t="str">
        <f t="shared" si="2331"/>
        <v>5</v>
      </c>
      <c r="K8185" s="1">
        <v>3</v>
      </c>
      <c r="L8185" s="1" t="s">
        <v>20</v>
      </c>
      <c r="M8185" s="1" t="str">
        <f>"浙江省 宁波市 鄞州区 百丈街道"</f>
        <v>浙江省 宁波市 鄞州区 百丈街道</v>
      </c>
      <c r="N8185" s="1" t="str">
        <f t="shared" si="2330"/>
        <v>凡华云仓-韵达-抖音</v>
      </c>
      <c r="O8185" s="5">
        <v>320166076248271</v>
      </c>
      <c r="P8185" s="6">
        <v>0.47</v>
      </c>
      <c r="Q8185" s="11">
        <v>2.2999999999999998</v>
      </c>
      <c r="R8185" s="11"/>
      <c r="S8185" s="11"/>
      <c r="T8185" s="11"/>
      <c r="U8185" s="11">
        <f t="shared" si="2321"/>
        <v>2.2999999999999998</v>
      </c>
      <c r="W8185">
        <v>2.5</v>
      </c>
      <c r="X8185" s="1" t="s">
        <v>20</v>
      </c>
    </row>
    <row r="8186" spans="1:24" x14ac:dyDescent="0.25">
      <c r="A8186" s="1" t="str">
        <f t="shared" si="2322"/>
        <v>卡卡杜-凤凰仓</v>
      </c>
      <c r="B8186" s="1" t="str">
        <f>"CK202410116650"</f>
        <v>CK202410116650</v>
      </c>
      <c r="C8186" s="1" t="str">
        <f>"DD2024101115160"</f>
        <v>DD2024101115160</v>
      </c>
      <c r="D8186" s="1" t="str">
        <f>"CK2024101117097"</f>
        <v>CK2024101117097</v>
      </c>
      <c r="E8186" s="1" t="str">
        <f>"6934845524655084688"</f>
        <v>6934845524655084688</v>
      </c>
      <c r="F8186" s="1" t="str">
        <f t="shared" si="2323"/>
        <v>花都四部-凤凰仓</v>
      </c>
      <c r="G8186" s="1" t="str">
        <f t="shared" si="2327"/>
        <v>卡卡杜个人护理店（抖店）</v>
      </c>
      <c r="H8186" s="1" t="str">
        <f t="shared" si="2324"/>
        <v>正常订单</v>
      </c>
      <c r="I8186" s="1" t="str">
        <f t="shared" si="2325"/>
        <v>已发货</v>
      </c>
      <c r="J8186" s="1" t="str">
        <f t="shared" si="2331"/>
        <v>5</v>
      </c>
      <c r="K8186" s="1">
        <v>3</v>
      </c>
      <c r="L8186" s="1" t="s">
        <v>74</v>
      </c>
      <c r="M8186" s="1" t="str">
        <f>"上海 上海市 普陀区 真如镇街道"</f>
        <v>上海 上海市 普陀区 真如镇街道</v>
      </c>
      <c r="N8186" s="1" t="str">
        <f t="shared" si="2330"/>
        <v>凡华云仓-韵达-抖音</v>
      </c>
      <c r="O8186" s="5">
        <v>320166076248180</v>
      </c>
      <c r="P8186" s="6">
        <v>0.47</v>
      </c>
      <c r="Q8186" s="11">
        <v>2.2999999999999998</v>
      </c>
      <c r="R8186" s="11"/>
      <c r="S8186" s="11"/>
      <c r="T8186" s="11"/>
      <c r="U8186" s="11">
        <f t="shared" si="2321"/>
        <v>2.2999999999999998</v>
      </c>
      <c r="W8186">
        <v>2.5</v>
      </c>
      <c r="X8186" s="1" t="s">
        <v>74</v>
      </c>
    </row>
    <row r="8187" spans="1:24" x14ac:dyDescent="0.25">
      <c r="A8187" s="1" t="str">
        <f t="shared" si="2322"/>
        <v>卡卡杜-凤凰仓</v>
      </c>
      <c r="B8187" s="1" t="str">
        <f>"CK202410116655"</f>
        <v>CK202410116655</v>
      </c>
      <c r="C8187" s="1" t="str">
        <f>"DD2024101115166"</f>
        <v>DD2024101115166</v>
      </c>
      <c r="D8187" s="1" t="str">
        <f>"CK2024101117096"</f>
        <v>CK2024101117096</v>
      </c>
      <c r="E8187" s="1" t="str">
        <f>"6934831539770955644"</f>
        <v>6934831539770955644</v>
      </c>
      <c r="F8187" s="1" t="str">
        <f t="shared" si="2323"/>
        <v>花都四部-凤凰仓</v>
      </c>
      <c r="G8187" s="1" t="str">
        <f t="shared" si="2327"/>
        <v>卡卡杜个人护理店（抖店）</v>
      </c>
      <c r="H8187" s="1" t="str">
        <f t="shared" si="2324"/>
        <v>正常订单</v>
      </c>
      <c r="I8187" s="1" t="str">
        <f t="shared" si="2325"/>
        <v>已发货</v>
      </c>
      <c r="J8187" s="1" t="str">
        <f t="shared" si="2331"/>
        <v>5</v>
      </c>
      <c r="K8187" s="1">
        <v>3</v>
      </c>
      <c r="L8187" s="1" t="s">
        <v>30</v>
      </c>
      <c r="M8187" s="1" t="str">
        <f>"山东省 青岛市 崂山区 中韩街道"</f>
        <v>山东省 青岛市 崂山区 中韩街道</v>
      </c>
      <c r="N8187" s="1" t="str">
        <f t="shared" si="2330"/>
        <v>凡华云仓-韵达-抖音</v>
      </c>
      <c r="O8187" s="5">
        <v>320166076248091</v>
      </c>
      <c r="P8187" s="6">
        <v>0.47</v>
      </c>
      <c r="Q8187" s="11">
        <v>2.2999999999999998</v>
      </c>
      <c r="R8187" s="11"/>
      <c r="S8187" s="11"/>
      <c r="T8187" s="11"/>
      <c r="U8187" s="11">
        <f t="shared" si="2321"/>
        <v>2.2999999999999998</v>
      </c>
      <c r="W8187">
        <v>2.5</v>
      </c>
      <c r="X8187" s="1" t="s">
        <v>30</v>
      </c>
    </row>
    <row r="8188" spans="1:24" x14ac:dyDescent="0.25">
      <c r="A8188" s="1" t="str">
        <f t="shared" si="2322"/>
        <v>卡卡杜-凤凰仓</v>
      </c>
      <c r="B8188" s="1" t="str">
        <f>"CK202410118148"</f>
        <v>CK202410118148</v>
      </c>
      <c r="C8188" s="1" t="str">
        <f>"DD2024101116703"</f>
        <v>DD2024101116703</v>
      </c>
      <c r="D8188" s="1" t="str">
        <f>"CK2024101117095"</f>
        <v>CK2024101117095</v>
      </c>
      <c r="E8188" s="1" t="str">
        <f>"6934853734811309273"</f>
        <v>6934853734811309273</v>
      </c>
      <c r="F8188" s="1" t="str">
        <f t="shared" si="2323"/>
        <v>花都四部-凤凰仓</v>
      </c>
      <c r="G8188" s="1" t="str">
        <f t="shared" si="2327"/>
        <v>卡卡杜个人护理店（抖店）</v>
      </c>
      <c r="H8188" s="1" t="str">
        <f t="shared" si="2324"/>
        <v>正常订单</v>
      </c>
      <c r="I8188" s="1" t="str">
        <f t="shared" si="2325"/>
        <v>已发货</v>
      </c>
      <c r="J8188" s="1" t="str">
        <f t="shared" si="2331"/>
        <v>5</v>
      </c>
      <c r="K8188" s="1">
        <v>3</v>
      </c>
      <c r="L8188" s="1" t="s">
        <v>20</v>
      </c>
      <c r="M8188" s="1" t="str">
        <f>"浙江省 宁波市 海曙区 江厦街道"</f>
        <v>浙江省 宁波市 海曙区 江厦街道</v>
      </c>
      <c r="N8188" s="1" t="str">
        <f t="shared" si="2330"/>
        <v>凡华云仓-韵达-抖音</v>
      </c>
      <c r="O8188" s="5">
        <v>320166076247961</v>
      </c>
      <c r="P8188" s="6">
        <v>0.47</v>
      </c>
      <c r="Q8188" s="11">
        <v>2.2999999999999998</v>
      </c>
      <c r="R8188" s="11"/>
      <c r="S8188" s="11"/>
      <c r="T8188" s="11"/>
      <c r="U8188" s="11">
        <f t="shared" si="2321"/>
        <v>2.2999999999999998</v>
      </c>
      <c r="W8188">
        <v>2.5</v>
      </c>
      <c r="X8188" s="1" t="s">
        <v>20</v>
      </c>
    </row>
    <row r="8189" spans="1:24" x14ac:dyDescent="0.25">
      <c r="A8189" s="1" t="str">
        <f t="shared" si="2322"/>
        <v>卡卡杜-凤凰仓</v>
      </c>
      <c r="B8189" s="1" t="str">
        <f>"CK2024101110458"</f>
        <v>CK2024101110458</v>
      </c>
      <c r="C8189" s="1" t="str">
        <f>"DD2024101117044"</f>
        <v>DD2024101117044</v>
      </c>
      <c r="D8189" s="1" t="str">
        <f>"CK2024101117094"</f>
        <v>CK2024101117094</v>
      </c>
      <c r="E8189" s="1" t="str">
        <f>"6934843137479612228"</f>
        <v>6934843137479612228</v>
      </c>
      <c r="F8189" s="1" t="str">
        <f t="shared" si="2323"/>
        <v>花都四部-凤凰仓</v>
      </c>
      <c r="G8189" s="1" t="str">
        <f t="shared" si="2327"/>
        <v>卡卡杜个人护理店（抖店）</v>
      </c>
      <c r="H8189" s="1" t="str">
        <f t="shared" si="2324"/>
        <v>正常订单</v>
      </c>
      <c r="I8189" s="1" t="str">
        <f t="shared" si="2325"/>
        <v>已发货</v>
      </c>
      <c r="J8189" s="1" t="str">
        <f>"9"</f>
        <v>9</v>
      </c>
      <c r="K8189" s="1">
        <v>3</v>
      </c>
      <c r="L8189" s="1" t="s">
        <v>13</v>
      </c>
      <c r="M8189" s="1" t="str">
        <f>"江苏省 南京市 江宁区 东山街道"</f>
        <v>江苏省 南京市 江宁区 东山街道</v>
      </c>
      <c r="N8189" s="1" t="str">
        <f t="shared" si="2330"/>
        <v>凡华云仓-韵达-抖音</v>
      </c>
      <c r="O8189" s="5">
        <v>320166076247856</v>
      </c>
      <c r="P8189" s="6">
        <v>0.83</v>
      </c>
      <c r="Q8189" s="11">
        <f>CEILING(P8189-0.5,0.1)*10*0.15+2.3</f>
        <v>2.9</v>
      </c>
      <c r="R8189" s="11"/>
      <c r="S8189" s="11"/>
      <c r="T8189" s="11"/>
      <c r="U8189" s="11">
        <f t="shared" si="2321"/>
        <v>2.9</v>
      </c>
      <c r="V8189" t="s">
        <v>15</v>
      </c>
      <c r="W8189">
        <v>2.9</v>
      </c>
      <c r="X8189" s="1" t="s">
        <v>13</v>
      </c>
    </row>
    <row r="8190" spans="1:24" x14ac:dyDescent="0.25">
      <c r="A8190" s="1" t="str">
        <f t="shared" si="2322"/>
        <v>卡卡杜-凤凰仓</v>
      </c>
      <c r="B8190" s="1" t="str">
        <f>"CK202410116660"</f>
        <v>CK202410116660</v>
      </c>
      <c r="C8190" s="1" t="str">
        <f>"DD2024101115170"</f>
        <v>DD2024101115170</v>
      </c>
      <c r="D8190" s="1" t="str">
        <f>"CK2024101117093"</f>
        <v>CK2024101117093</v>
      </c>
      <c r="E8190" s="1" t="str">
        <f>"6934824834678855440"</f>
        <v>6934824834678855440</v>
      </c>
      <c r="F8190" s="1" t="str">
        <f t="shared" si="2323"/>
        <v>花都四部-凤凰仓</v>
      </c>
      <c r="G8190" s="1" t="str">
        <f t="shared" si="2327"/>
        <v>卡卡杜个人护理店（抖店）</v>
      </c>
      <c r="H8190" s="1" t="str">
        <f t="shared" si="2324"/>
        <v>正常订单</v>
      </c>
      <c r="I8190" s="1" t="str">
        <f t="shared" si="2325"/>
        <v>已发货</v>
      </c>
      <c r="J8190" s="1" t="str">
        <f t="shared" ref="J8190:J8193" si="2332">"5"</f>
        <v>5</v>
      </c>
      <c r="K8190" s="1">
        <v>3</v>
      </c>
      <c r="L8190" s="1" t="s">
        <v>18</v>
      </c>
      <c r="M8190" s="1" t="str">
        <f>"广东省 广州市 白云区 金沙街道"</f>
        <v>广东省 广州市 白云区 金沙街道</v>
      </c>
      <c r="N8190" s="1" t="str">
        <f t="shared" si="2330"/>
        <v>凡华云仓-韵达-抖音</v>
      </c>
      <c r="O8190" s="5">
        <v>320166070385297</v>
      </c>
      <c r="P8190" s="6">
        <v>0.47</v>
      </c>
      <c r="Q8190" s="11">
        <v>2.2999999999999998</v>
      </c>
      <c r="R8190" s="11"/>
      <c r="S8190" s="11"/>
      <c r="T8190" s="11"/>
      <c r="U8190" s="11">
        <f t="shared" si="2321"/>
        <v>2.2999999999999998</v>
      </c>
      <c r="W8190">
        <v>2.5</v>
      </c>
      <c r="X8190" s="1" t="s">
        <v>18</v>
      </c>
    </row>
    <row r="8191" spans="1:24" x14ac:dyDescent="0.25">
      <c r="A8191" s="1" t="str">
        <f t="shared" si="2322"/>
        <v>卡卡杜-凤凰仓</v>
      </c>
      <c r="B8191" s="1" t="str">
        <f>"CK202410116149"</f>
        <v>CK202410116149</v>
      </c>
      <c r="C8191" s="1" t="str">
        <f>"DD2024101114658"</f>
        <v>DD2024101114658</v>
      </c>
      <c r="D8191" s="1" t="str">
        <f>"CK2024101117092"</f>
        <v>CK2024101117092</v>
      </c>
      <c r="E8191" s="1" t="str">
        <f>"6934845391913555540"</f>
        <v>6934845391913555540</v>
      </c>
      <c r="F8191" s="1" t="str">
        <f t="shared" si="2323"/>
        <v>花都四部-凤凰仓</v>
      </c>
      <c r="G8191" s="1" t="str">
        <f t="shared" si="2327"/>
        <v>卡卡杜个人护理店（抖店）</v>
      </c>
      <c r="H8191" s="1" t="str">
        <f t="shared" si="2324"/>
        <v>正常订单</v>
      </c>
      <c r="I8191" s="1" t="str">
        <f t="shared" si="2325"/>
        <v>已发货</v>
      </c>
      <c r="J8191" s="1" t="str">
        <f t="shared" si="2332"/>
        <v>5</v>
      </c>
      <c r="K8191" s="1">
        <v>3</v>
      </c>
      <c r="L8191" s="1" t="s">
        <v>74</v>
      </c>
      <c r="M8191" s="1" t="str">
        <f>"上海 上海市 松江区 岳阳街道"</f>
        <v>上海 上海市 松江区 岳阳街道</v>
      </c>
      <c r="N8191" s="1" t="str">
        <f t="shared" si="2330"/>
        <v>凡华云仓-韵达-抖音</v>
      </c>
      <c r="O8191" s="5">
        <v>320166070385106</v>
      </c>
      <c r="P8191" s="6">
        <v>0.47</v>
      </c>
      <c r="Q8191" s="11">
        <v>2.2999999999999998</v>
      </c>
      <c r="R8191" s="11"/>
      <c r="S8191" s="11"/>
      <c r="T8191" s="11"/>
      <c r="U8191" s="11">
        <f t="shared" si="2321"/>
        <v>2.2999999999999998</v>
      </c>
      <c r="W8191">
        <v>2.5</v>
      </c>
      <c r="X8191" s="1" t="s">
        <v>74</v>
      </c>
    </row>
    <row r="8192" spans="1:24" x14ac:dyDescent="0.25">
      <c r="A8192" s="1" t="str">
        <f t="shared" si="2322"/>
        <v>卡卡杜-凤凰仓</v>
      </c>
      <c r="B8192" s="1" t="str">
        <f>"CK202410116630"</f>
        <v>CK202410116630</v>
      </c>
      <c r="C8192" s="1" t="str">
        <f>"DD2024101115140"</f>
        <v>DD2024101115140</v>
      </c>
      <c r="D8192" s="1" t="str">
        <f>"CK2024101117091"</f>
        <v>CK2024101117091</v>
      </c>
      <c r="E8192" s="1" t="str">
        <f>"6934829556573869523"</f>
        <v>6934829556573869523</v>
      </c>
      <c r="F8192" s="1" t="str">
        <f t="shared" si="2323"/>
        <v>花都四部-凤凰仓</v>
      </c>
      <c r="G8192" s="1" t="str">
        <f t="shared" si="2327"/>
        <v>卡卡杜个人护理店（抖店）</v>
      </c>
      <c r="H8192" s="1" t="str">
        <f t="shared" si="2324"/>
        <v>正常订单</v>
      </c>
      <c r="I8192" s="1" t="str">
        <f t="shared" si="2325"/>
        <v>已发货</v>
      </c>
      <c r="J8192" s="1" t="str">
        <f t="shared" si="2332"/>
        <v>5</v>
      </c>
      <c r="K8192" s="1">
        <v>3</v>
      </c>
      <c r="L8192" s="1" t="s">
        <v>94</v>
      </c>
      <c r="M8192" s="1" t="str">
        <f>"湖南省 长沙市 天心区 暮云街道"</f>
        <v>湖南省 长沙市 天心区 暮云街道</v>
      </c>
      <c r="N8192" s="1" t="str">
        <f t="shared" si="2330"/>
        <v>凡华云仓-韵达-抖音</v>
      </c>
      <c r="O8192" s="5">
        <v>320166070385017</v>
      </c>
      <c r="P8192" s="6">
        <v>0.47</v>
      </c>
      <c r="Q8192" s="11">
        <v>2.2999999999999998</v>
      </c>
      <c r="R8192" s="11"/>
      <c r="S8192" s="11"/>
      <c r="T8192" s="11"/>
      <c r="U8192" s="11">
        <f t="shared" si="2321"/>
        <v>2.2999999999999998</v>
      </c>
      <c r="W8192">
        <v>2.5</v>
      </c>
      <c r="X8192" s="1" t="s">
        <v>94</v>
      </c>
    </row>
    <row r="8193" spans="1:24" x14ac:dyDescent="0.25">
      <c r="A8193" s="1" t="str">
        <f t="shared" si="2322"/>
        <v>卡卡杜-凤凰仓</v>
      </c>
      <c r="B8193" s="1" t="str">
        <f>"CK202410118147"</f>
        <v>CK202410118147</v>
      </c>
      <c r="C8193" s="1" t="str">
        <f>"DD2024101116701"</f>
        <v>DD2024101116701</v>
      </c>
      <c r="D8193" s="1" t="str">
        <f>"CK2024101117090"</f>
        <v>CK2024101117090</v>
      </c>
      <c r="E8193" s="1" t="str">
        <f>"6934827280179533443"</f>
        <v>6934827280179533443</v>
      </c>
      <c r="F8193" s="1" t="str">
        <f t="shared" si="2323"/>
        <v>花都四部-凤凰仓</v>
      </c>
      <c r="G8193" s="1" t="str">
        <f t="shared" si="2327"/>
        <v>卡卡杜个人护理店（抖店）</v>
      </c>
      <c r="H8193" s="1" t="str">
        <f t="shared" si="2324"/>
        <v>正常订单</v>
      </c>
      <c r="I8193" s="1" t="str">
        <f t="shared" si="2325"/>
        <v>已发货</v>
      </c>
      <c r="J8193" s="1" t="str">
        <f t="shared" si="2332"/>
        <v>5</v>
      </c>
      <c r="K8193" s="1">
        <v>3</v>
      </c>
      <c r="L8193" s="1" t="s">
        <v>109</v>
      </c>
      <c r="M8193" s="1" t="str">
        <f>"山西省 临汾市 尧都区 段店乡"</f>
        <v>山西省 临汾市 尧都区 段店乡</v>
      </c>
      <c r="N8193" s="1" t="str">
        <f t="shared" si="2330"/>
        <v>凡华云仓-韵达-抖音</v>
      </c>
      <c r="O8193" s="5">
        <v>320166070384993</v>
      </c>
      <c r="P8193" s="6">
        <v>0.47</v>
      </c>
      <c r="Q8193" s="11">
        <v>2.2999999999999998</v>
      </c>
      <c r="R8193" s="11"/>
      <c r="S8193" s="11"/>
      <c r="T8193" s="11"/>
      <c r="U8193" s="11">
        <f t="shared" si="2321"/>
        <v>2.2999999999999998</v>
      </c>
      <c r="W8193">
        <v>2.5</v>
      </c>
      <c r="X8193" s="1" t="s">
        <v>109</v>
      </c>
    </row>
    <row r="8194" spans="1:24" x14ac:dyDescent="0.25">
      <c r="A8194" s="1" t="str">
        <f t="shared" si="2322"/>
        <v>卡卡杜-凤凰仓</v>
      </c>
      <c r="B8194" s="1" t="str">
        <f>"CK202410115727"</f>
        <v>CK202410115727</v>
      </c>
      <c r="C8194" s="1" t="str">
        <f>"DD2024101114043"</f>
        <v>DD2024101114043</v>
      </c>
      <c r="D8194" s="1" t="str">
        <f>"CK2024101117089"</f>
        <v>CK2024101117089</v>
      </c>
      <c r="E8194" s="1" t="str">
        <f>"6934834164409766931"</f>
        <v>6934834164409766931</v>
      </c>
      <c r="F8194" s="1" t="str">
        <f t="shared" si="2323"/>
        <v>花都四部-凤凰仓</v>
      </c>
      <c r="G8194" s="1" t="str">
        <f t="shared" si="2327"/>
        <v>卡卡杜个人护理店（抖店）</v>
      </c>
      <c r="H8194" s="1" t="str">
        <f t="shared" si="2324"/>
        <v>正常订单</v>
      </c>
      <c r="I8194" s="1" t="str">
        <f t="shared" si="2325"/>
        <v>已发货</v>
      </c>
      <c r="J8194" s="1" t="str">
        <f t="shared" ref="J8194:J8200" si="2333">"3"</f>
        <v>3</v>
      </c>
      <c r="K8194" s="1">
        <v>2</v>
      </c>
      <c r="L8194" s="1" t="s">
        <v>20</v>
      </c>
      <c r="M8194" s="1" t="str">
        <f>"浙江省 杭州市 萧山区 蜀山街道"</f>
        <v>浙江省 杭州市 萧山区 蜀山街道</v>
      </c>
      <c r="N8194" s="1" t="str">
        <f t="shared" si="2330"/>
        <v>凡华云仓-韵达-抖音</v>
      </c>
      <c r="O8194" s="5">
        <v>320166070384888</v>
      </c>
      <c r="P8194" s="6">
        <v>0.35</v>
      </c>
      <c r="Q8194" s="11">
        <v>2.2999999999999998</v>
      </c>
      <c r="R8194" s="11"/>
      <c r="S8194" s="11"/>
      <c r="T8194" s="11"/>
      <c r="U8194" s="11">
        <f t="shared" si="2321"/>
        <v>2.2999999999999998</v>
      </c>
      <c r="W8194">
        <v>2.5</v>
      </c>
      <c r="X8194" s="1" t="s">
        <v>20</v>
      </c>
    </row>
    <row r="8195" spans="1:24" x14ac:dyDescent="0.25">
      <c r="A8195" s="1" t="str">
        <f t="shared" si="2322"/>
        <v>卡卡杜-凤凰仓</v>
      </c>
      <c r="B8195" s="1" t="str">
        <f>"CK202410115736"</f>
        <v>CK202410115736</v>
      </c>
      <c r="C8195" s="1" t="str">
        <f>"DD2024101114057"</f>
        <v>DD2024101114057</v>
      </c>
      <c r="D8195" s="1" t="str">
        <f>"CK2024101117088"</f>
        <v>CK2024101117088</v>
      </c>
      <c r="E8195" s="1" t="str">
        <f>"6934824750903268462"</f>
        <v>6934824750903268462</v>
      </c>
      <c r="F8195" s="1" t="str">
        <f t="shared" si="2323"/>
        <v>花都四部-凤凰仓</v>
      </c>
      <c r="G8195" s="1" t="str">
        <f t="shared" si="2327"/>
        <v>卡卡杜个人护理店（抖店）</v>
      </c>
      <c r="H8195" s="1" t="str">
        <f t="shared" si="2324"/>
        <v>正常订单</v>
      </c>
      <c r="I8195" s="1" t="str">
        <f t="shared" si="2325"/>
        <v>已发货</v>
      </c>
      <c r="J8195" s="1" t="str">
        <f t="shared" si="2333"/>
        <v>3</v>
      </c>
      <c r="K8195" s="1">
        <v>2</v>
      </c>
      <c r="L8195" s="1" t="s">
        <v>74</v>
      </c>
      <c r="M8195" s="1" t="str">
        <f>"上海 上海市 杨浦区 长白新村街道"</f>
        <v>上海 上海市 杨浦区 长白新村街道</v>
      </c>
      <c r="N8195" s="1" t="str">
        <f t="shared" si="2330"/>
        <v>凡华云仓-韵达-抖音</v>
      </c>
      <c r="O8195" s="5">
        <v>320166070384785</v>
      </c>
      <c r="P8195" s="6">
        <v>0.35</v>
      </c>
      <c r="Q8195" s="11">
        <v>2.2999999999999998</v>
      </c>
      <c r="R8195" s="11"/>
      <c r="S8195" s="11"/>
      <c r="T8195" s="11"/>
      <c r="U8195" s="11">
        <f t="shared" ref="U8195:U8258" si="2334">T8195+S8195+R8195+Q8195</f>
        <v>2.2999999999999998</v>
      </c>
      <c r="W8195">
        <v>2.5</v>
      </c>
      <c r="X8195" s="1" t="s">
        <v>74</v>
      </c>
    </row>
    <row r="8196" spans="1:24" x14ac:dyDescent="0.25">
      <c r="A8196" s="1" t="str">
        <f t="shared" si="2322"/>
        <v>卡卡杜-凤凰仓</v>
      </c>
      <c r="B8196" s="1" t="str">
        <f>"CK202410115726"</f>
        <v>CK202410115726</v>
      </c>
      <c r="C8196" s="1" t="str">
        <f>"DD2024101114047"</f>
        <v>DD2024101114047</v>
      </c>
      <c r="D8196" s="1" t="str">
        <f>"CK2024101117087"</f>
        <v>CK2024101117087</v>
      </c>
      <c r="E8196" s="1" t="str">
        <f>"6934836271057409590"</f>
        <v>6934836271057409590</v>
      </c>
      <c r="F8196" s="1" t="str">
        <f t="shared" si="2323"/>
        <v>花都四部-凤凰仓</v>
      </c>
      <c r="G8196" s="1" t="str">
        <f t="shared" si="2327"/>
        <v>卡卡杜个人护理店（抖店）</v>
      </c>
      <c r="H8196" s="1" t="str">
        <f t="shared" si="2324"/>
        <v>正常订单</v>
      </c>
      <c r="I8196" s="1" t="str">
        <f t="shared" si="2325"/>
        <v>已发货</v>
      </c>
      <c r="J8196" s="1" t="str">
        <f t="shared" si="2333"/>
        <v>3</v>
      </c>
      <c r="K8196" s="1">
        <v>2</v>
      </c>
      <c r="L8196" s="1" t="s">
        <v>94</v>
      </c>
      <c r="M8196" s="1" t="str">
        <f>"湖南省 永州市 江华瑶族自治县 "</f>
        <v xml:space="preserve">湖南省 永州市 江华瑶族自治县 </v>
      </c>
      <c r="N8196" s="1" t="str">
        <f t="shared" si="2330"/>
        <v>凡华云仓-韵达-抖音</v>
      </c>
      <c r="O8196" s="5">
        <v>320166070384684</v>
      </c>
      <c r="P8196" s="6">
        <v>0.35</v>
      </c>
      <c r="Q8196" s="11">
        <v>2.2999999999999998</v>
      </c>
      <c r="R8196" s="11"/>
      <c r="S8196" s="11"/>
      <c r="T8196" s="11"/>
      <c r="U8196" s="11">
        <f t="shared" si="2334"/>
        <v>2.2999999999999998</v>
      </c>
      <c r="W8196">
        <v>2.5</v>
      </c>
      <c r="X8196" s="1" t="s">
        <v>94</v>
      </c>
    </row>
    <row r="8197" spans="1:24" x14ac:dyDescent="0.25">
      <c r="A8197" s="1" t="str">
        <f t="shared" ref="A8197:A8260" si="2335">"卡卡杜-凤凰仓"</f>
        <v>卡卡杜-凤凰仓</v>
      </c>
      <c r="B8197" s="1" t="str">
        <f>"CK202410115725"</f>
        <v>CK202410115725</v>
      </c>
      <c r="C8197" s="1" t="str">
        <f>"DD2024101114045"</f>
        <v>DD2024101114045</v>
      </c>
      <c r="D8197" s="1" t="str">
        <f>"CK2024101117086"</f>
        <v>CK2024101117086</v>
      </c>
      <c r="E8197" s="1" t="str">
        <f>"6934853731081852290"</f>
        <v>6934853731081852290</v>
      </c>
      <c r="F8197" s="1" t="str">
        <f t="shared" ref="F8197:F8260" si="2336">"花都四部-凤凰仓"</f>
        <v>花都四部-凤凰仓</v>
      </c>
      <c r="G8197" s="1" t="str">
        <f t="shared" si="2327"/>
        <v>卡卡杜个人护理店（抖店）</v>
      </c>
      <c r="H8197" s="1" t="str">
        <f t="shared" ref="H8197:H8260" si="2337">"正常订单"</f>
        <v>正常订单</v>
      </c>
      <c r="I8197" s="1" t="str">
        <f t="shared" ref="I8197:I8260" si="2338">"已发货"</f>
        <v>已发货</v>
      </c>
      <c r="J8197" s="1" t="str">
        <f t="shared" si="2333"/>
        <v>3</v>
      </c>
      <c r="K8197" s="1">
        <v>2</v>
      </c>
      <c r="L8197" s="1" t="s">
        <v>22</v>
      </c>
      <c r="M8197" s="1" t="str">
        <f>"江西省 上饶市 万年县 陈营镇"</f>
        <v>江西省 上饶市 万年县 陈营镇</v>
      </c>
      <c r="N8197" s="1" t="str">
        <f t="shared" si="2330"/>
        <v>凡华云仓-韵达-抖音</v>
      </c>
      <c r="O8197" s="5">
        <v>320166070384585</v>
      </c>
      <c r="P8197" s="6">
        <v>0.35</v>
      </c>
      <c r="Q8197" s="11">
        <v>2.2999999999999998</v>
      </c>
      <c r="R8197" s="11"/>
      <c r="S8197" s="11"/>
      <c r="T8197" s="11"/>
      <c r="U8197" s="11">
        <f t="shared" si="2334"/>
        <v>2.2999999999999998</v>
      </c>
      <c r="W8197">
        <v>2.5</v>
      </c>
      <c r="X8197" s="1" t="s">
        <v>22</v>
      </c>
    </row>
    <row r="8198" spans="1:24" x14ac:dyDescent="0.25">
      <c r="A8198" s="1" t="str">
        <f t="shared" si="2335"/>
        <v>卡卡杜-凤凰仓</v>
      </c>
      <c r="B8198" s="1" t="str">
        <f>"CK202410115745"</f>
        <v>CK202410115745</v>
      </c>
      <c r="C8198" s="1" t="str">
        <f>"DD2024101114071"</f>
        <v>DD2024101114071</v>
      </c>
      <c r="D8198" s="1" t="str">
        <f>"CK2024101117085"</f>
        <v>CK2024101117085</v>
      </c>
      <c r="E8198" s="1" t="str">
        <f>"6934829554508896169"</f>
        <v>6934829554508896169</v>
      </c>
      <c r="F8198" s="1" t="str">
        <f t="shared" si="2336"/>
        <v>花都四部-凤凰仓</v>
      </c>
      <c r="G8198" s="1" t="str">
        <f t="shared" si="2327"/>
        <v>卡卡杜个人护理店（抖店）</v>
      </c>
      <c r="H8198" s="1" t="str">
        <f t="shared" si="2337"/>
        <v>正常订单</v>
      </c>
      <c r="I8198" s="1" t="str">
        <f t="shared" si="2338"/>
        <v>已发货</v>
      </c>
      <c r="J8198" s="1" t="str">
        <f t="shared" si="2333"/>
        <v>3</v>
      </c>
      <c r="K8198" s="1">
        <v>2</v>
      </c>
      <c r="L8198" s="1" t="s">
        <v>60</v>
      </c>
      <c r="M8198" s="1" t="str">
        <f>"云南省 曲靖市 沾益区 花山街道"</f>
        <v>云南省 曲靖市 沾益区 花山街道</v>
      </c>
      <c r="N8198" s="1" t="str">
        <f t="shared" si="2330"/>
        <v>凡华云仓-韵达-抖音</v>
      </c>
      <c r="O8198" s="5">
        <v>320166070384488</v>
      </c>
      <c r="P8198" s="6">
        <v>0.35</v>
      </c>
      <c r="Q8198" s="11">
        <v>2.2999999999999998</v>
      </c>
      <c r="R8198" s="11"/>
      <c r="S8198" s="11"/>
      <c r="T8198" s="11"/>
      <c r="U8198" s="11">
        <f t="shared" si="2334"/>
        <v>2.2999999999999998</v>
      </c>
      <c r="W8198">
        <v>2.5</v>
      </c>
      <c r="X8198" s="1" t="s">
        <v>60</v>
      </c>
    </row>
    <row r="8199" spans="1:24" x14ac:dyDescent="0.25">
      <c r="A8199" s="1" t="str">
        <f t="shared" si="2335"/>
        <v>卡卡杜-凤凰仓</v>
      </c>
      <c r="B8199" s="1" t="str">
        <f>"CK202410115735"</f>
        <v>CK202410115735</v>
      </c>
      <c r="C8199" s="1" t="str">
        <f>"DD2024101114060"</f>
        <v>DD2024101114060</v>
      </c>
      <c r="D8199" s="1" t="str">
        <f>"CK2024101117084"</f>
        <v>CK2024101117084</v>
      </c>
      <c r="E8199" s="1" t="str">
        <f>"6934829456854161322"</f>
        <v>6934829456854161322</v>
      </c>
      <c r="F8199" s="1" t="str">
        <f t="shared" si="2336"/>
        <v>花都四部-凤凰仓</v>
      </c>
      <c r="G8199" s="1" t="str">
        <f t="shared" si="2327"/>
        <v>卡卡杜个人护理店（抖店）</v>
      </c>
      <c r="H8199" s="1" t="str">
        <f t="shared" si="2337"/>
        <v>正常订单</v>
      </c>
      <c r="I8199" s="1" t="str">
        <f t="shared" si="2338"/>
        <v>已发货</v>
      </c>
      <c r="J8199" s="1" t="str">
        <f t="shared" si="2333"/>
        <v>3</v>
      </c>
      <c r="K8199" s="1">
        <v>2</v>
      </c>
      <c r="L8199" s="1" t="s">
        <v>94</v>
      </c>
      <c r="M8199" s="1" t="str">
        <f>"湖南省 长沙市 长沙县 "</f>
        <v xml:space="preserve">湖南省 长沙市 长沙县 </v>
      </c>
      <c r="N8199" s="1" t="str">
        <f t="shared" si="2330"/>
        <v>凡华云仓-韵达-抖音</v>
      </c>
      <c r="O8199" s="5">
        <v>320166070384393</v>
      </c>
      <c r="P8199" s="6">
        <v>0.35</v>
      </c>
      <c r="Q8199" s="11">
        <v>2.2999999999999998</v>
      </c>
      <c r="R8199" s="11"/>
      <c r="S8199" s="11"/>
      <c r="T8199" s="11"/>
      <c r="U8199" s="11">
        <f t="shared" si="2334"/>
        <v>2.2999999999999998</v>
      </c>
      <c r="W8199">
        <v>2.5</v>
      </c>
      <c r="X8199" s="1" t="s">
        <v>94</v>
      </c>
    </row>
    <row r="8200" spans="1:24" x14ac:dyDescent="0.25">
      <c r="A8200" s="1" t="str">
        <f t="shared" si="2335"/>
        <v>卡卡杜-凤凰仓</v>
      </c>
      <c r="B8200" s="1" t="str">
        <f>"CK2024101020826"</f>
        <v>CK2024101020826</v>
      </c>
      <c r="C8200" s="1" t="str">
        <f>"DD2024101045431"</f>
        <v>DD2024101045431</v>
      </c>
      <c r="D8200" s="1" t="str">
        <f>"CK2024101042846"</f>
        <v>CK2024101042846</v>
      </c>
      <c r="E8200" s="1" t="str">
        <f>"6934849333598427106"</f>
        <v>6934849333598427106</v>
      </c>
      <c r="F8200" s="1" t="str">
        <f t="shared" si="2336"/>
        <v>花都四部-凤凰仓</v>
      </c>
      <c r="G8200" s="1" t="str">
        <f t="shared" si="2327"/>
        <v>卡卡杜个人护理店（抖店）</v>
      </c>
      <c r="H8200" s="1" t="str">
        <f t="shared" si="2337"/>
        <v>正常订单</v>
      </c>
      <c r="I8200" s="1" t="str">
        <f t="shared" si="2338"/>
        <v>已发货</v>
      </c>
      <c r="J8200" s="1" t="str">
        <f t="shared" si="2333"/>
        <v>3</v>
      </c>
      <c r="K8200" s="1">
        <v>2</v>
      </c>
      <c r="L8200" s="1" t="s">
        <v>36</v>
      </c>
      <c r="M8200" s="1" t="str">
        <f>"安徽省 马鞍山市 和县 姥桥镇"</f>
        <v>安徽省 马鞍山市 和县 姥桥镇</v>
      </c>
      <c r="N8200" s="1" t="str">
        <f t="shared" si="2330"/>
        <v>凡华云仓-韵达-抖音</v>
      </c>
      <c r="O8200" s="5">
        <v>320165209736002</v>
      </c>
      <c r="P8200" s="6">
        <v>0.35</v>
      </c>
      <c r="Q8200" s="11">
        <v>2.2999999999999998</v>
      </c>
      <c r="R8200" s="11"/>
      <c r="S8200" s="11"/>
      <c r="T8200" s="11"/>
      <c r="U8200" s="11">
        <f t="shared" si="2334"/>
        <v>2.2999999999999998</v>
      </c>
      <c r="W8200">
        <v>2.5</v>
      </c>
      <c r="X8200" s="1" t="s">
        <v>36</v>
      </c>
    </row>
    <row r="8201" spans="1:24" x14ac:dyDescent="0.25">
      <c r="A8201" s="1" t="str">
        <f t="shared" si="2335"/>
        <v>卡卡杜-凤凰仓</v>
      </c>
      <c r="B8201" s="1" t="str">
        <f>"CK2024101020822"</f>
        <v>CK2024101020822</v>
      </c>
      <c r="C8201" s="1" t="str">
        <f>"DD2024101045337"</f>
        <v>DD2024101045337</v>
      </c>
      <c r="D8201" s="1" t="str">
        <f>"CK2024101042803"</f>
        <v>CK2024101042803</v>
      </c>
      <c r="E8201" s="1" t="str">
        <f>"3723215854377241600"</f>
        <v>3723215854377241600</v>
      </c>
      <c r="F8201" s="1" t="str">
        <f t="shared" si="2336"/>
        <v>花都四部-凤凰仓</v>
      </c>
      <c r="G8201" s="1" t="str">
        <f>"卡卡杜企业店（视频号）"</f>
        <v>卡卡杜企业店（视频号）</v>
      </c>
      <c r="H8201" s="1" t="str">
        <f t="shared" si="2337"/>
        <v>正常订单</v>
      </c>
      <c r="I8201" s="1" t="str">
        <f t="shared" si="2338"/>
        <v>已发货</v>
      </c>
      <c r="J8201" s="1" t="str">
        <f>"5"</f>
        <v>5</v>
      </c>
      <c r="K8201" s="1">
        <v>3</v>
      </c>
      <c r="L8201" s="1" t="s">
        <v>105</v>
      </c>
      <c r="M8201" s="1" t="str">
        <f>"北京 北京市 海淀区 "</f>
        <v xml:space="preserve">北京 北京市 海淀区 </v>
      </c>
      <c r="N8201" s="1" t="str">
        <f>"凡华云仓-韵达-微信视频号"</f>
        <v>凡华云仓-韵达-微信视频号</v>
      </c>
      <c r="O8201" s="5">
        <v>315012534853852</v>
      </c>
      <c r="P8201" s="6">
        <v>0.55000000000000004</v>
      </c>
      <c r="Q8201" s="11">
        <f>CEILING(P8201-0.5,0.1)*10*0.15+2.3</f>
        <v>2.4499999999999997</v>
      </c>
      <c r="R8201" s="11"/>
      <c r="S8201" s="11"/>
      <c r="T8201" s="11"/>
      <c r="U8201" s="11">
        <f t="shared" si="2334"/>
        <v>2.4499999999999997</v>
      </c>
      <c r="V8201" t="s">
        <v>15</v>
      </c>
      <c r="W8201">
        <v>2.4500000000000002</v>
      </c>
      <c r="X8201" s="1" t="s">
        <v>105</v>
      </c>
    </row>
    <row r="8202" spans="1:24" x14ac:dyDescent="0.25">
      <c r="A8202" s="1" t="str">
        <f t="shared" si="2335"/>
        <v>卡卡杜-凤凰仓</v>
      </c>
      <c r="B8202" s="1" t="str">
        <f>"CK2024101020806"</f>
        <v>CK2024101020806</v>
      </c>
      <c r="C8202" s="1" t="str">
        <f>"DD2024101045326"</f>
        <v>DD2024101045326</v>
      </c>
      <c r="D8202" s="1" t="str">
        <f>"CK2024101042798"</f>
        <v>CK2024101042798</v>
      </c>
      <c r="E8202" s="1" t="str">
        <f>"6934834103082751428"</f>
        <v>6934834103082751428</v>
      </c>
      <c r="F8202" s="1" t="str">
        <f t="shared" si="2336"/>
        <v>花都四部-凤凰仓</v>
      </c>
      <c r="G8202" s="1" t="str">
        <f t="shared" ref="G8202:G8217" si="2339">"卡卡杜个人护理店（抖店）"</f>
        <v>卡卡杜个人护理店（抖店）</v>
      </c>
      <c r="H8202" s="1" t="str">
        <f t="shared" si="2337"/>
        <v>正常订单</v>
      </c>
      <c r="I8202" s="1" t="str">
        <f t="shared" si="2338"/>
        <v>已发货</v>
      </c>
      <c r="J8202" s="1" t="str">
        <f t="shared" ref="J8202:J8205" si="2340">"3"</f>
        <v>3</v>
      </c>
      <c r="K8202" s="1">
        <v>2</v>
      </c>
      <c r="L8202" s="1" t="s">
        <v>36</v>
      </c>
      <c r="M8202" s="1" t="str">
        <f>"安徽省 淮南市 寿县 寿西湖农场"</f>
        <v>安徽省 淮南市 寿县 寿西湖农场</v>
      </c>
      <c r="N8202" s="1" t="str">
        <f t="shared" ref="N8202:N8217" si="2341">"凡华云仓-韵达-抖音"</f>
        <v>凡华云仓-韵达-抖音</v>
      </c>
      <c r="O8202" s="5">
        <v>320165216218885</v>
      </c>
      <c r="P8202" s="6">
        <v>0.35</v>
      </c>
      <c r="Q8202" s="11">
        <v>2.2999999999999998</v>
      </c>
      <c r="R8202" s="11"/>
      <c r="S8202" s="11"/>
      <c r="T8202" s="11"/>
      <c r="U8202" s="11">
        <f t="shared" si="2334"/>
        <v>2.2999999999999998</v>
      </c>
      <c r="W8202">
        <v>2.5</v>
      </c>
      <c r="X8202" s="1" t="s">
        <v>36</v>
      </c>
    </row>
    <row r="8203" spans="1:24" x14ac:dyDescent="0.25">
      <c r="A8203" s="1" t="str">
        <f t="shared" si="2335"/>
        <v>卡卡杜-凤凰仓</v>
      </c>
      <c r="B8203" s="1" t="str">
        <f>"CK2024101020808"</f>
        <v>CK2024101020808</v>
      </c>
      <c r="C8203" s="1" t="str">
        <f>"DD2024101045324"</f>
        <v>DD2024101045324</v>
      </c>
      <c r="D8203" s="1" t="str">
        <f>"CK2024101042797"</f>
        <v>CK2024101042797</v>
      </c>
      <c r="E8203" s="1" t="str">
        <f>"6918030842672807416"</f>
        <v>6918030842672807416</v>
      </c>
      <c r="F8203" s="1" t="str">
        <f t="shared" si="2336"/>
        <v>花都四部-凤凰仓</v>
      </c>
      <c r="G8203" s="1" t="str">
        <f t="shared" si="2339"/>
        <v>卡卡杜个人护理店（抖店）</v>
      </c>
      <c r="H8203" s="1" t="str">
        <f t="shared" si="2337"/>
        <v>正常订单</v>
      </c>
      <c r="I8203" s="1" t="str">
        <f t="shared" si="2338"/>
        <v>已发货</v>
      </c>
      <c r="J8203" s="1" t="str">
        <f t="shared" si="2340"/>
        <v>3</v>
      </c>
      <c r="K8203" s="1">
        <v>2</v>
      </c>
      <c r="L8203" s="1" t="s">
        <v>18</v>
      </c>
      <c r="M8203" s="1" t="str">
        <f>"广东省 深圳市 龙华区 观湖街道"</f>
        <v>广东省 深圳市 龙华区 观湖街道</v>
      </c>
      <c r="N8203" s="1" t="str">
        <f t="shared" si="2341"/>
        <v>凡华云仓-韵达-抖音</v>
      </c>
      <c r="O8203" s="5">
        <v>320165216218782</v>
      </c>
      <c r="P8203" s="6">
        <v>0.35</v>
      </c>
      <c r="Q8203" s="11">
        <v>2.2999999999999998</v>
      </c>
      <c r="R8203" s="11"/>
      <c r="S8203" s="11"/>
      <c r="T8203" s="11"/>
      <c r="U8203" s="11">
        <f t="shared" si="2334"/>
        <v>2.2999999999999998</v>
      </c>
      <c r="W8203">
        <v>2.5</v>
      </c>
      <c r="X8203" s="1" t="s">
        <v>18</v>
      </c>
    </row>
    <row r="8204" spans="1:24" x14ac:dyDescent="0.25">
      <c r="A8204" s="1" t="str">
        <f t="shared" si="2335"/>
        <v>卡卡杜-凤凰仓</v>
      </c>
      <c r="B8204" s="1" t="str">
        <f>"CK2024101020809"</f>
        <v>CK2024101020809</v>
      </c>
      <c r="C8204" s="1" t="str">
        <f>"DD2024101045325"</f>
        <v>DD2024101045325</v>
      </c>
      <c r="D8204" s="1" t="str">
        <f>"CK2024101042796"</f>
        <v>CK2024101042796</v>
      </c>
      <c r="E8204" s="1" t="str">
        <f>"6918035771836628585"</f>
        <v>6918035771836628585</v>
      </c>
      <c r="F8204" s="1" t="str">
        <f t="shared" si="2336"/>
        <v>花都四部-凤凰仓</v>
      </c>
      <c r="G8204" s="1" t="str">
        <f t="shared" si="2339"/>
        <v>卡卡杜个人护理店（抖店）</v>
      </c>
      <c r="H8204" s="1" t="str">
        <f t="shared" si="2337"/>
        <v>正常订单</v>
      </c>
      <c r="I8204" s="1" t="str">
        <f t="shared" si="2338"/>
        <v>已发货</v>
      </c>
      <c r="J8204" s="1" t="str">
        <f t="shared" si="2340"/>
        <v>3</v>
      </c>
      <c r="K8204" s="1">
        <v>2</v>
      </c>
      <c r="L8204" s="1" t="s">
        <v>24</v>
      </c>
      <c r="M8204" s="1" t="str">
        <f>"福建省 三明市 尤溪县 西城镇"</f>
        <v>福建省 三明市 尤溪县 西城镇</v>
      </c>
      <c r="N8204" s="1" t="str">
        <f t="shared" si="2341"/>
        <v>凡华云仓-韵达-抖音</v>
      </c>
      <c r="O8204" s="5">
        <v>320165216218681</v>
      </c>
      <c r="P8204" s="6">
        <v>0.35</v>
      </c>
      <c r="Q8204" s="11">
        <v>2.2999999999999998</v>
      </c>
      <c r="R8204" s="11"/>
      <c r="S8204" s="11"/>
      <c r="T8204" s="11"/>
      <c r="U8204" s="11">
        <f t="shared" si="2334"/>
        <v>2.2999999999999998</v>
      </c>
      <c r="W8204">
        <v>2.5</v>
      </c>
      <c r="X8204" s="1" t="s">
        <v>24</v>
      </c>
    </row>
    <row r="8205" spans="1:24" x14ac:dyDescent="0.25">
      <c r="A8205" s="1" t="str">
        <f t="shared" si="2335"/>
        <v>卡卡杜-凤凰仓</v>
      </c>
      <c r="B8205" s="1" t="str">
        <f>"CK2024101020810"</f>
        <v>CK2024101020810</v>
      </c>
      <c r="C8205" s="1" t="str">
        <f>"DD2024101045327"</f>
        <v>DD2024101045327</v>
      </c>
      <c r="D8205" s="1" t="str">
        <f>"CK2024101042795"</f>
        <v>CK2024101042795</v>
      </c>
      <c r="E8205" s="1" t="str">
        <f>"6918029069499464782"</f>
        <v>6918029069499464782</v>
      </c>
      <c r="F8205" s="1" t="str">
        <f t="shared" si="2336"/>
        <v>花都四部-凤凰仓</v>
      </c>
      <c r="G8205" s="1" t="str">
        <f t="shared" si="2339"/>
        <v>卡卡杜个人护理店（抖店）</v>
      </c>
      <c r="H8205" s="1" t="str">
        <f t="shared" si="2337"/>
        <v>正常订单</v>
      </c>
      <c r="I8205" s="1" t="str">
        <f t="shared" si="2338"/>
        <v>已发货</v>
      </c>
      <c r="J8205" s="1" t="str">
        <f t="shared" si="2340"/>
        <v>3</v>
      </c>
      <c r="K8205" s="1">
        <v>2</v>
      </c>
      <c r="L8205" s="1" t="s">
        <v>36</v>
      </c>
      <c r="M8205" s="1" t="str">
        <f>"安徽省 合肥市 长丰县 双墩镇"</f>
        <v>安徽省 合肥市 长丰县 双墩镇</v>
      </c>
      <c r="N8205" s="1" t="str">
        <f t="shared" si="2341"/>
        <v>凡华云仓-韵达-抖音</v>
      </c>
      <c r="O8205" s="5">
        <v>320165216218582</v>
      </c>
      <c r="P8205" s="6">
        <v>0.35</v>
      </c>
      <c r="Q8205" s="11">
        <v>2.2999999999999998</v>
      </c>
      <c r="R8205" s="11"/>
      <c r="S8205" s="11"/>
      <c r="T8205" s="11"/>
      <c r="U8205" s="11">
        <f t="shared" si="2334"/>
        <v>2.2999999999999998</v>
      </c>
      <c r="W8205">
        <v>2.5</v>
      </c>
      <c r="X8205" s="1" t="s">
        <v>36</v>
      </c>
    </row>
    <row r="8206" spans="1:24" x14ac:dyDescent="0.25">
      <c r="A8206" s="1" t="str">
        <f t="shared" si="2335"/>
        <v>卡卡杜-凤凰仓</v>
      </c>
      <c r="B8206" s="1" t="str">
        <f>"CK2024101020818"</f>
        <v>CK2024101020818</v>
      </c>
      <c r="C8206" s="1" t="str">
        <f>"DD2024101045334"</f>
        <v>DD2024101045334</v>
      </c>
      <c r="D8206" s="1" t="str">
        <f>"CK2024101042794"</f>
        <v>CK2024101042794</v>
      </c>
      <c r="E8206" s="1" t="str">
        <f>"6918033704169733222"</f>
        <v>6918033704169733222</v>
      </c>
      <c r="F8206" s="1" t="str">
        <f t="shared" si="2336"/>
        <v>花都四部-凤凰仓</v>
      </c>
      <c r="G8206" s="1" t="str">
        <f t="shared" si="2339"/>
        <v>卡卡杜个人护理店（抖店）</v>
      </c>
      <c r="H8206" s="1" t="str">
        <f t="shared" si="2337"/>
        <v>正常订单</v>
      </c>
      <c r="I8206" s="1" t="str">
        <f t="shared" si="2338"/>
        <v>已发货</v>
      </c>
      <c r="J8206" s="1" t="str">
        <f>"5"</f>
        <v>5</v>
      </c>
      <c r="K8206" s="1">
        <v>2</v>
      </c>
      <c r="L8206" s="1" t="s">
        <v>60</v>
      </c>
      <c r="M8206" s="1" t="str">
        <f>"云南省 楚雄彝族自治州 武定县 "</f>
        <v xml:space="preserve">云南省 楚雄彝族自治州 武定县 </v>
      </c>
      <c r="N8206" s="1" t="str">
        <f t="shared" si="2341"/>
        <v>凡华云仓-韵达-抖音</v>
      </c>
      <c r="O8206" s="5">
        <v>320165216218485</v>
      </c>
      <c r="P8206" s="6">
        <v>0.59</v>
      </c>
      <c r="Q8206" s="11">
        <f>CEILING(P8206-0.5,0.1)*10*0.15+2.3</f>
        <v>2.4499999999999997</v>
      </c>
      <c r="R8206" s="11"/>
      <c r="S8206" s="11"/>
      <c r="T8206" s="11"/>
      <c r="U8206" s="11">
        <f t="shared" si="2334"/>
        <v>2.4499999999999997</v>
      </c>
      <c r="V8206" t="s">
        <v>15</v>
      </c>
      <c r="W8206">
        <v>2.4500000000000002</v>
      </c>
      <c r="X8206" s="1" t="s">
        <v>60</v>
      </c>
    </row>
    <row r="8207" spans="1:24" x14ac:dyDescent="0.25">
      <c r="A8207" s="1" t="str">
        <f t="shared" si="2335"/>
        <v>卡卡杜-凤凰仓</v>
      </c>
      <c r="B8207" s="1" t="str">
        <f>"CK2024101020819"</f>
        <v>CK2024101020819</v>
      </c>
      <c r="C8207" s="1" t="str">
        <f>"DD2024101045335"</f>
        <v>DD2024101045335</v>
      </c>
      <c r="D8207" s="1" t="str">
        <f>"CK2024101042793"</f>
        <v>CK2024101042793</v>
      </c>
      <c r="E8207" s="1" t="str">
        <f>"6918031527564639432"</f>
        <v>6918031527564639432</v>
      </c>
      <c r="F8207" s="1" t="str">
        <f t="shared" si="2336"/>
        <v>花都四部-凤凰仓</v>
      </c>
      <c r="G8207" s="1" t="str">
        <f t="shared" si="2339"/>
        <v>卡卡杜个人护理店（抖店）</v>
      </c>
      <c r="H8207" s="1" t="str">
        <f t="shared" si="2337"/>
        <v>正常订单</v>
      </c>
      <c r="I8207" s="1" t="str">
        <f t="shared" si="2338"/>
        <v>已发货</v>
      </c>
      <c r="J8207" s="1" t="str">
        <f t="shared" ref="J8207:J8210" si="2342">"3"</f>
        <v>3</v>
      </c>
      <c r="K8207" s="1">
        <v>3</v>
      </c>
      <c r="L8207" s="1" t="s">
        <v>74</v>
      </c>
      <c r="M8207" s="1" t="str">
        <f>"上海 上海市 静安区 彭浦镇"</f>
        <v>上海 上海市 静安区 彭浦镇</v>
      </c>
      <c r="N8207" s="1" t="str">
        <f t="shared" si="2341"/>
        <v>凡华云仓-韵达-抖音</v>
      </c>
      <c r="O8207" s="5">
        <v>320165216218390</v>
      </c>
      <c r="P8207" s="6">
        <v>0.34</v>
      </c>
      <c r="Q8207" s="11">
        <v>2.2999999999999998</v>
      </c>
      <c r="R8207" s="11"/>
      <c r="S8207" s="11"/>
      <c r="T8207" s="11"/>
      <c r="U8207" s="11">
        <f t="shared" si="2334"/>
        <v>2.2999999999999998</v>
      </c>
      <c r="W8207">
        <v>2.5</v>
      </c>
      <c r="X8207" s="1" t="s">
        <v>74</v>
      </c>
    </row>
    <row r="8208" spans="1:24" x14ac:dyDescent="0.25">
      <c r="A8208" s="1" t="str">
        <f t="shared" si="2335"/>
        <v>卡卡杜-凤凰仓</v>
      </c>
      <c r="B8208" s="1" t="str">
        <f>"CK2024101020811"</f>
        <v>CK2024101020811</v>
      </c>
      <c r="C8208" s="1" t="str">
        <f>"DD2024101045323"</f>
        <v>DD2024101045323</v>
      </c>
      <c r="D8208" s="1" t="str">
        <f>"CK2024101042792"</f>
        <v>CK2024101042792</v>
      </c>
      <c r="E8208" s="1" t="str">
        <f>"6918026812436021032"</f>
        <v>6918026812436021032</v>
      </c>
      <c r="F8208" s="1" t="str">
        <f t="shared" si="2336"/>
        <v>花都四部-凤凰仓</v>
      </c>
      <c r="G8208" s="1" t="str">
        <f t="shared" si="2339"/>
        <v>卡卡杜个人护理店（抖店）</v>
      </c>
      <c r="H8208" s="1" t="str">
        <f t="shared" si="2337"/>
        <v>正常订单</v>
      </c>
      <c r="I8208" s="1" t="str">
        <f t="shared" si="2338"/>
        <v>已发货</v>
      </c>
      <c r="J8208" s="1" t="str">
        <f t="shared" si="2342"/>
        <v>3</v>
      </c>
      <c r="K8208" s="1">
        <v>2</v>
      </c>
      <c r="L8208" s="1" t="s">
        <v>60</v>
      </c>
      <c r="M8208" s="1" t="str">
        <f>"云南省 文山壮族苗族自治州 麻栗坡县 麻栗镇"</f>
        <v>云南省 文山壮族苗族自治州 麻栗坡县 麻栗镇</v>
      </c>
      <c r="N8208" s="1" t="str">
        <f t="shared" si="2341"/>
        <v>凡华云仓-韵达-抖音</v>
      </c>
      <c r="O8208" s="5">
        <v>320165191952484</v>
      </c>
      <c r="P8208" s="6">
        <v>0.35</v>
      </c>
      <c r="Q8208" s="11">
        <v>2.2999999999999998</v>
      </c>
      <c r="R8208" s="11"/>
      <c r="S8208" s="11"/>
      <c r="T8208" s="11"/>
      <c r="U8208" s="11">
        <f t="shared" si="2334"/>
        <v>2.2999999999999998</v>
      </c>
      <c r="W8208">
        <v>2.5</v>
      </c>
      <c r="X8208" s="1" t="s">
        <v>60</v>
      </c>
    </row>
    <row r="8209" spans="1:24" x14ac:dyDescent="0.25">
      <c r="A8209" s="1" t="str">
        <f t="shared" si="2335"/>
        <v>卡卡杜-凤凰仓</v>
      </c>
      <c r="B8209" s="1" t="str">
        <f>"CK2024101020815"</f>
        <v>CK2024101020815</v>
      </c>
      <c r="C8209" s="1" t="str">
        <f>"DD2024101045330"</f>
        <v>DD2024101045330</v>
      </c>
      <c r="D8209" s="1" t="str">
        <f>"CK2024101042791"</f>
        <v>CK2024101042791</v>
      </c>
      <c r="E8209" s="1" t="str">
        <f>"6918030876028927502"</f>
        <v>6918030876028927502</v>
      </c>
      <c r="F8209" s="1" t="str">
        <f t="shared" si="2336"/>
        <v>花都四部-凤凰仓</v>
      </c>
      <c r="G8209" s="1" t="str">
        <f t="shared" si="2339"/>
        <v>卡卡杜个人护理店（抖店）</v>
      </c>
      <c r="H8209" s="1" t="str">
        <f t="shared" si="2337"/>
        <v>正常订单</v>
      </c>
      <c r="I8209" s="1" t="str">
        <f t="shared" si="2338"/>
        <v>已发货</v>
      </c>
      <c r="J8209" s="1" t="str">
        <f t="shared" si="2342"/>
        <v>3</v>
      </c>
      <c r="K8209" s="1">
        <v>2</v>
      </c>
      <c r="L8209" s="1" t="s">
        <v>18</v>
      </c>
      <c r="M8209" s="1" t="str">
        <f>"广东省 阳江市 阳东区 新洲镇"</f>
        <v>广东省 阳江市 阳东区 新洲镇</v>
      </c>
      <c r="N8209" s="1" t="str">
        <f t="shared" si="2341"/>
        <v>凡华云仓-韵达-抖音</v>
      </c>
      <c r="O8209" s="5">
        <v>320165191952389</v>
      </c>
      <c r="P8209" s="6">
        <v>0.35</v>
      </c>
      <c r="Q8209" s="11">
        <v>2.2999999999999998</v>
      </c>
      <c r="R8209" s="11"/>
      <c r="S8209" s="11"/>
      <c r="T8209" s="11"/>
      <c r="U8209" s="11">
        <f t="shared" si="2334"/>
        <v>2.2999999999999998</v>
      </c>
      <c r="W8209">
        <v>2.5</v>
      </c>
      <c r="X8209" s="1" t="s">
        <v>18</v>
      </c>
    </row>
    <row r="8210" spans="1:24" x14ac:dyDescent="0.25">
      <c r="A8210" s="1" t="str">
        <f t="shared" si="2335"/>
        <v>卡卡杜-凤凰仓</v>
      </c>
      <c r="B8210" s="1" t="str">
        <f>"CK2024101020812"</f>
        <v>CK2024101020812</v>
      </c>
      <c r="C8210" s="1" t="str">
        <f>"DD2024101045328"</f>
        <v>DD2024101045328</v>
      </c>
      <c r="D8210" s="1" t="str">
        <f>"CK2024101042790"</f>
        <v>CK2024101042790</v>
      </c>
      <c r="E8210" s="1" t="str">
        <f>"6934833774716983256"</f>
        <v>6934833774716983256</v>
      </c>
      <c r="F8210" s="1" t="str">
        <f t="shared" si="2336"/>
        <v>花都四部-凤凰仓</v>
      </c>
      <c r="G8210" s="1" t="str">
        <f t="shared" si="2339"/>
        <v>卡卡杜个人护理店（抖店）</v>
      </c>
      <c r="H8210" s="1" t="str">
        <f t="shared" si="2337"/>
        <v>正常订单</v>
      </c>
      <c r="I8210" s="1" t="str">
        <f t="shared" si="2338"/>
        <v>已发货</v>
      </c>
      <c r="J8210" s="1" t="str">
        <f t="shared" si="2342"/>
        <v>3</v>
      </c>
      <c r="K8210" s="1">
        <v>2</v>
      </c>
      <c r="L8210" s="1" t="s">
        <v>24</v>
      </c>
      <c r="M8210" s="1" t="str">
        <f>"福建省 福州市 仓山区 螺洲镇"</f>
        <v>福建省 福州市 仓山区 螺洲镇</v>
      </c>
      <c r="N8210" s="1" t="str">
        <f t="shared" si="2341"/>
        <v>凡华云仓-韵达-抖音</v>
      </c>
      <c r="O8210" s="5">
        <v>320165191952296</v>
      </c>
      <c r="P8210" s="6">
        <v>0.35</v>
      </c>
      <c r="Q8210" s="11">
        <v>2.2999999999999998</v>
      </c>
      <c r="R8210" s="11"/>
      <c r="S8210" s="11"/>
      <c r="T8210" s="11"/>
      <c r="U8210" s="11">
        <f t="shared" si="2334"/>
        <v>2.2999999999999998</v>
      </c>
      <c r="W8210">
        <v>2.5</v>
      </c>
      <c r="X8210" s="1" t="s">
        <v>24</v>
      </c>
    </row>
    <row r="8211" spans="1:24" x14ac:dyDescent="0.25">
      <c r="A8211" s="1" t="str">
        <f t="shared" si="2335"/>
        <v>卡卡杜-凤凰仓</v>
      </c>
      <c r="B8211" s="1" t="str">
        <f>"CK2024101020816"</f>
        <v>CK2024101020816</v>
      </c>
      <c r="C8211" s="1" t="str">
        <f>"DD2024101045332"</f>
        <v>DD2024101045332</v>
      </c>
      <c r="D8211" s="1" t="str">
        <f>"CK2024101042789"</f>
        <v>CK2024101042789</v>
      </c>
      <c r="E8211" s="1" t="str">
        <f>"6934824473233659562"</f>
        <v>6934824473233659562</v>
      </c>
      <c r="F8211" s="1" t="str">
        <f t="shared" si="2336"/>
        <v>花都四部-凤凰仓</v>
      </c>
      <c r="G8211" s="1" t="str">
        <f t="shared" si="2339"/>
        <v>卡卡杜个人护理店（抖店）</v>
      </c>
      <c r="H8211" s="1" t="str">
        <f t="shared" si="2337"/>
        <v>正常订单</v>
      </c>
      <c r="I8211" s="1" t="str">
        <f t="shared" si="2338"/>
        <v>已发货</v>
      </c>
      <c r="J8211" s="1" t="str">
        <f>"5"</f>
        <v>5</v>
      </c>
      <c r="K8211" s="1">
        <v>2</v>
      </c>
      <c r="L8211" s="1" t="s">
        <v>94</v>
      </c>
      <c r="M8211" s="1" t="str">
        <f>"湖南省 邵阳市 新宁县 金石镇"</f>
        <v>湖南省 邵阳市 新宁县 金石镇</v>
      </c>
      <c r="N8211" s="1" t="str">
        <f t="shared" si="2341"/>
        <v>凡华云仓-韵达-抖音</v>
      </c>
      <c r="O8211" s="5">
        <v>320165191952105</v>
      </c>
      <c r="P8211" s="6">
        <v>0.59</v>
      </c>
      <c r="Q8211" s="11">
        <f>CEILING(P8211-0.5,0.1)*10*0.15+2.3</f>
        <v>2.4499999999999997</v>
      </c>
      <c r="R8211" s="11"/>
      <c r="S8211" s="11"/>
      <c r="T8211" s="11"/>
      <c r="U8211" s="11">
        <f t="shared" si="2334"/>
        <v>2.4499999999999997</v>
      </c>
      <c r="V8211" t="s">
        <v>15</v>
      </c>
      <c r="W8211">
        <v>2.4500000000000002</v>
      </c>
      <c r="X8211" s="1" t="s">
        <v>94</v>
      </c>
    </row>
    <row r="8212" spans="1:24" x14ac:dyDescent="0.25">
      <c r="A8212" s="1" t="str">
        <f t="shared" si="2335"/>
        <v>卡卡杜-凤凰仓</v>
      </c>
      <c r="B8212" s="1" t="str">
        <f>"CK2024101020817"</f>
        <v>CK2024101020817</v>
      </c>
      <c r="C8212" s="1" t="str">
        <f>"DD2024101045333"</f>
        <v>DD2024101045333</v>
      </c>
      <c r="D8212" s="1" t="str">
        <f>"CK2024101042788"</f>
        <v>CK2024101042788</v>
      </c>
      <c r="E8212" s="1" t="str">
        <f>"6934827062758938216"</f>
        <v>6934827062758938216</v>
      </c>
      <c r="F8212" s="1" t="str">
        <f t="shared" si="2336"/>
        <v>花都四部-凤凰仓</v>
      </c>
      <c r="G8212" s="1" t="str">
        <f t="shared" si="2339"/>
        <v>卡卡杜个人护理店（抖店）</v>
      </c>
      <c r="H8212" s="1" t="str">
        <f t="shared" si="2337"/>
        <v>正常订单</v>
      </c>
      <c r="I8212" s="1" t="str">
        <f t="shared" si="2338"/>
        <v>已发货</v>
      </c>
      <c r="J8212" s="1" t="str">
        <f>"5"</f>
        <v>5</v>
      </c>
      <c r="K8212" s="1">
        <v>2</v>
      </c>
      <c r="L8212" s="1" t="s">
        <v>161</v>
      </c>
      <c r="M8212" s="1" t="str">
        <f>"四川省 成都市 新津区 五津街道"</f>
        <v>四川省 成都市 新津区 五津街道</v>
      </c>
      <c r="N8212" s="1" t="str">
        <f t="shared" si="2341"/>
        <v>凡华云仓-韵达-抖音</v>
      </c>
      <c r="O8212" s="5">
        <v>320165191952016</v>
      </c>
      <c r="P8212" s="6">
        <v>0.59</v>
      </c>
      <c r="Q8212" s="11">
        <f>CEILING(P8212-0.5,0.1)*10*0.15+2.3</f>
        <v>2.4499999999999997</v>
      </c>
      <c r="R8212" s="11"/>
      <c r="S8212" s="11"/>
      <c r="T8212" s="11"/>
      <c r="U8212" s="11">
        <f t="shared" si="2334"/>
        <v>2.4499999999999997</v>
      </c>
      <c r="V8212" t="s">
        <v>15</v>
      </c>
      <c r="W8212">
        <v>2.4500000000000002</v>
      </c>
      <c r="X8212" s="1" t="s">
        <v>161</v>
      </c>
    </row>
    <row r="8213" spans="1:24" x14ac:dyDescent="0.25">
      <c r="A8213" s="1" t="str">
        <f t="shared" si="2335"/>
        <v>卡卡杜-凤凰仓</v>
      </c>
      <c r="B8213" s="1" t="str">
        <f>"CK2024101020814"</f>
        <v>CK2024101020814</v>
      </c>
      <c r="C8213" s="1" t="str">
        <f>"DD2024101045331"</f>
        <v>DD2024101045331</v>
      </c>
      <c r="D8213" s="1" t="str">
        <f>"CK2024101042787"</f>
        <v>CK2024101042787</v>
      </c>
      <c r="E8213" s="1" t="str">
        <f>"6934829473583404387"</f>
        <v>6934829473583404387</v>
      </c>
      <c r="F8213" s="1" t="str">
        <f t="shared" si="2336"/>
        <v>花都四部-凤凰仓</v>
      </c>
      <c r="G8213" s="1" t="str">
        <f t="shared" si="2339"/>
        <v>卡卡杜个人护理店（抖店）</v>
      </c>
      <c r="H8213" s="1" t="str">
        <f t="shared" si="2337"/>
        <v>正常订单</v>
      </c>
      <c r="I8213" s="1" t="str">
        <f t="shared" si="2338"/>
        <v>已发货</v>
      </c>
      <c r="J8213" s="1" t="str">
        <f t="shared" ref="J8213:J8217" si="2343">"3"</f>
        <v>3</v>
      </c>
      <c r="K8213" s="1">
        <v>2</v>
      </c>
      <c r="L8213" s="1" t="s">
        <v>30</v>
      </c>
      <c r="M8213" s="1" t="str">
        <f>"山东省 济宁市 任城区 仙营街道"</f>
        <v>山东省 济宁市 任城区 仙营街道</v>
      </c>
      <c r="N8213" s="1" t="str">
        <f t="shared" si="2341"/>
        <v>凡华云仓-韵达-抖音</v>
      </c>
      <c r="O8213" s="5">
        <v>320165191951998</v>
      </c>
      <c r="P8213" s="6">
        <v>0.35</v>
      </c>
      <c r="Q8213" s="11">
        <v>2.2999999999999998</v>
      </c>
      <c r="R8213" s="11"/>
      <c r="S8213" s="11"/>
      <c r="T8213" s="11"/>
      <c r="U8213" s="11">
        <f t="shared" si="2334"/>
        <v>2.2999999999999998</v>
      </c>
      <c r="W8213">
        <v>2.5</v>
      </c>
      <c r="X8213" s="1" t="s">
        <v>30</v>
      </c>
    </row>
    <row r="8214" spans="1:24" x14ac:dyDescent="0.25">
      <c r="A8214" s="1" t="str">
        <f t="shared" si="2335"/>
        <v>卡卡杜-凤凰仓</v>
      </c>
      <c r="B8214" s="1" t="str">
        <f>"CK2024101020820"</f>
        <v>CK2024101020820</v>
      </c>
      <c r="C8214" s="1" t="str">
        <f>"DD2024101045338"</f>
        <v>DD2024101045338</v>
      </c>
      <c r="D8214" s="1" t="str">
        <f>"CK2024101042786"</f>
        <v>CK2024101042786</v>
      </c>
      <c r="E8214" s="1" t="str">
        <f>"6934838390642120040"</f>
        <v>6934838390642120040</v>
      </c>
      <c r="F8214" s="1" t="str">
        <f t="shared" si="2336"/>
        <v>花都四部-凤凰仓</v>
      </c>
      <c r="G8214" s="1" t="str">
        <f t="shared" si="2339"/>
        <v>卡卡杜个人护理店（抖店）</v>
      </c>
      <c r="H8214" s="1" t="str">
        <f t="shared" si="2337"/>
        <v>正常订单</v>
      </c>
      <c r="I8214" s="1" t="str">
        <f t="shared" si="2338"/>
        <v>已发货</v>
      </c>
      <c r="J8214" s="1" t="str">
        <f t="shared" si="2343"/>
        <v>3</v>
      </c>
      <c r="K8214" s="1">
        <v>3</v>
      </c>
      <c r="L8214" s="1" t="s">
        <v>94</v>
      </c>
      <c r="M8214" s="1" t="str">
        <f>"湖南省 长沙市 长沙县 星沙街道"</f>
        <v>湖南省 长沙市 长沙县 星沙街道</v>
      </c>
      <c r="N8214" s="1" t="str">
        <f t="shared" si="2341"/>
        <v>凡华云仓-韵达-抖音</v>
      </c>
      <c r="O8214" s="5">
        <v>320165191951893</v>
      </c>
      <c r="P8214" s="6">
        <v>0.34</v>
      </c>
      <c r="Q8214" s="11">
        <v>2.2999999999999998</v>
      </c>
      <c r="R8214" s="11"/>
      <c r="S8214" s="11"/>
      <c r="T8214" s="11"/>
      <c r="U8214" s="11">
        <f t="shared" si="2334"/>
        <v>2.2999999999999998</v>
      </c>
      <c r="W8214">
        <v>2.5</v>
      </c>
      <c r="X8214" s="1" t="s">
        <v>94</v>
      </c>
    </row>
    <row r="8215" spans="1:24" x14ac:dyDescent="0.25">
      <c r="A8215" s="1" t="str">
        <f t="shared" si="2335"/>
        <v>卡卡杜-凤凰仓</v>
      </c>
      <c r="B8215" s="1" t="str">
        <f>"CK2024101020807"</f>
        <v>CK2024101020807</v>
      </c>
      <c r="C8215" s="1" t="str">
        <f>"DD2024101045322"</f>
        <v>DD2024101045322</v>
      </c>
      <c r="D8215" s="1" t="str">
        <f>"CK2024101042785"</f>
        <v>CK2024101042785</v>
      </c>
      <c r="E8215" s="1" t="str">
        <f>"6934836113003517810"</f>
        <v>6934836113003517810</v>
      </c>
      <c r="F8215" s="1" t="str">
        <f t="shared" si="2336"/>
        <v>花都四部-凤凰仓</v>
      </c>
      <c r="G8215" s="1" t="str">
        <f t="shared" si="2339"/>
        <v>卡卡杜个人护理店（抖店）</v>
      </c>
      <c r="H8215" s="1" t="str">
        <f t="shared" si="2337"/>
        <v>正常订单</v>
      </c>
      <c r="I8215" s="1" t="str">
        <f t="shared" si="2338"/>
        <v>已发货</v>
      </c>
      <c r="J8215" s="1" t="str">
        <f t="shared" si="2343"/>
        <v>3</v>
      </c>
      <c r="K8215" s="1">
        <v>2</v>
      </c>
      <c r="L8215" s="1" t="s">
        <v>94</v>
      </c>
      <c r="M8215" s="1" t="str">
        <f>"湖南省 怀化市 靖州苗族侗族自治县 渠阳镇"</f>
        <v>湖南省 怀化市 靖州苗族侗族自治县 渠阳镇</v>
      </c>
      <c r="N8215" s="1" t="str">
        <f t="shared" si="2341"/>
        <v>凡华云仓-韵达-抖音</v>
      </c>
      <c r="O8215" s="5">
        <v>320165191951790</v>
      </c>
      <c r="P8215" s="6">
        <v>0.35</v>
      </c>
      <c r="Q8215" s="11">
        <v>2.2999999999999998</v>
      </c>
      <c r="R8215" s="11"/>
      <c r="S8215" s="11"/>
      <c r="T8215" s="11"/>
      <c r="U8215" s="11">
        <f t="shared" si="2334"/>
        <v>2.2999999999999998</v>
      </c>
      <c r="W8215">
        <v>2.5</v>
      </c>
      <c r="X8215" s="1" t="s">
        <v>94</v>
      </c>
    </row>
    <row r="8216" spans="1:24" x14ac:dyDescent="0.25">
      <c r="A8216" s="1" t="str">
        <f t="shared" si="2335"/>
        <v>卡卡杜-凤凰仓</v>
      </c>
      <c r="B8216" s="1" t="str">
        <f>"CK2024101020821"</f>
        <v>CK2024101020821</v>
      </c>
      <c r="C8216" s="1" t="str">
        <f>"DD2024101045336"</f>
        <v>DD2024101045336</v>
      </c>
      <c r="D8216" s="1" t="str">
        <f>"CK2024101042784"</f>
        <v>CK2024101042784</v>
      </c>
      <c r="E8216" s="1" t="str">
        <f>"6918028510496193658"</f>
        <v>6918028510496193658</v>
      </c>
      <c r="F8216" s="1" t="str">
        <f t="shared" si="2336"/>
        <v>花都四部-凤凰仓</v>
      </c>
      <c r="G8216" s="1" t="str">
        <f t="shared" si="2339"/>
        <v>卡卡杜个人护理店（抖店）</v>
      </c>
      <c r="H8216" s="1" t="str">
        <f t="shared" si="2337"/>
        <v>正常订单</v>
      </c>
      <c r="I8216" s="1" t="str">
        <f t="shared" si="2338"/>
        <v>已发货</v>
      </c>
      <c r="J8216" s="1" t="str">
        <f t="shared" si="2343"/>
        <v>3</v>
      </c>
      <c r="K8216" s="1">
        <v>3</v>
      </c>
      <c r="L8216" s="1" t="s">
        <v>96</v>
      </c>
      <c r="M8216" s="1" t="str">
        <f>"广西壮族自治区 梧州市 蒙山县 蒙山镇"</f>
        <v>广西壮族自治区 梧州市 蒙山县 蒙山镇</v>
      </c>
      <c r="N8216" s="1" t="str">
        <f t="shared" si="2341"/>
        <v>凡华云仓-韵达-抖音</v>
      </c>
      <c r="O8216" s="5">
        <v>320165191951689</v>
      </c>
      <c r="P8216" s="6">
        <v>0.34</v>
      </c>
      <c r="Q8216" s="11">
        <v>2.2999999999999998</v>
      </c>
      <c r="R8216" s="11"/>
      <c r="S8216" s="11"/>
      <c r="T8216" s="11"/>
      <c r="U8216" s="11">
        <f t="shared" si="2334"/>
        <v>2.2999999999999998</v>
      </c>
      <c r="W8216">
        <v>2.5</v>
      </c>
      <c r="X8216" s="1" t="s">
        <v>96</v>
      </c>
    </row>
    <row r="8217" spans="1:24" x14ac:dyDescent="0.25">
      <c r="A8217" s="1" t="str">
        <f t="shared" si="2335"/>
        <v>卡卡杜-凤凰仓</v>
      </c>
      <c r="B8217" s="1" t="str">
        <f>"CK2024101020813"</f>
        <v>CK2024101020813</v>
      </c>
      <c r="C8217" s="1" t="str">
        <f>"DD2024101045329"</f>
        <v>DD2024101045329</v>
      </c>
      <c r="D8217" s="1" t="str">
        <f>"CK2024101042783"</f>
        <v>CK2024101042783</v>
      </c>
      <c r="E8217" s="1" t="str">
        <f>"6934851559322424509"</f>
        <v>6934851559322424509</v>
      </c>
      <c r="F8217" s="1" t="str">
        <f t="shared" si="2336"/>
        <v>花都四部-凤凰仓</v>
      </c>
      <c r="G8217" s="1" t="str">
        <f t="shared" si="2339"/>
        <v>卡卡杜个人护理店（抖店）</v>
      </c>
      <c r="H8217" s="1" t="str">
        <f t="shared" si="2337"/>
        <v>正常订单</v>
      </c>
      <c r="I8217" s="1" t="str">
        <f t="shared" si="2338"/>
        <v>已发货</v>
      </c>
      <c r="J8217" s="1" t="str">
        <f t="shared" si="2343"/>
        <v>3</v>
      </c>
      <c r="K8217" s="1">
        <v>2</v>
      </c>
      <c r="L8217" s="1" t="s">
        <v>13</v>
      </c>
      <c r="M8217" s="1" t="str">
        <f>"江苏省 徐州市 新沂市 棋盘镇"</f>
        <v>江苏省 徐州市 新沂市 棋盘镇</v>
      </c>
      <c r="N8217" s="1" t="str">
        <f t="shared" si="2341"/>
        <v>凡华云仓-韵达-抖音</v>
      </c>
      <c r="O8217" s="5">
        <v>320165191951590</v>
      </c>
      <c r="P8217" s="6">
        <v>0.35</v>
      </c>
      <c r="Q8217" s="11">
        <v>2.2999999999999998</v>
      </c>
      <c r="R8217" s="11"/>
      <c r="S8217" s="11"/>
      <c r="T8217" s="11"/>
      <c r="U8217" s="11">
        <f t="shared" si="2334"/>
        <v>2.2999999999999998</v>
      </c>
      <c r="W8217">
        <v>2.5</v>
      </c>
      <c r="X8217" s="1" t="s">
        <v>13</v>
      </c>
    </row>
    <row r="8218" spans="1:24" x14ac:dyDescent="0.25">
      <c r="A8218" s="1" t="str">
        <f t="shared" si="2335"/>
        <v>卡卡杜-凤凰仓</v>
      </c>
      <c r="B8218" s="1" t="str">
        <f>"CK2024101019120"</f>
        <v>CK2024101019120</v>
      </c>
      <c r="C8218" s="1" t="str">
        <f>"DD2024101037937"</f>
        <v>DD2024101037937</v>
      </c>
      <c r="D8218" s="1" t="str">
        <f>"CK2024101037635"</f>
        <v>CK2024101037635</v>
      </c>
      <c r="E8218" s="1" t="str">
        <f>"3723211854284983296"</f>
        <v>3723211854284983296</v>
      </c>
      <c r="F8218" s="1" t="str">
        <f t="shared" si="2336"/>
        <v>花都四部-凤凰仓</v>
      </c>
      <c r="G8218" s="1" t="str">
        <f t="shared" ref="G8218:G8220" si="2344">"卡卡杜企业店（视频号）"</f>
        <v>卡卡杜企业店（视频号）</v>
      </c>
      <c r="H8218" s="1" t="str">
        <f t="shared" si="2337"/>
        <v>正常订单</v>
      </c>
      <c r="I8218" s="1" t="str">
        <f t="shared" si="2338"/>
        <v>已发货</v>
      </c>
      <c r="J8218" s="1" t="str">
        <f>"4"</f>
        <v>4</v>
      </c>
      <c r="K8218" s="1">
        <v>2</v>
      </c>
      <c r="L8218" s="1" t="s">
        <v>74</v>
      </c>
      <c r="M8218" s="1" t="str">
        <f>"上海 上海市 黄浦区 "</f>
        <v xml:space="preserve">上海 上海市 黄浦区 </v>
      </c>
      <c r="N8218" s="1" t="str">
        <f t="shared" ref="N8218:N8220" si="2345">"凡华云仓-韵达-微信视频号"</f>
        <v>凡华云仓-韵达-微信视频号</v>
      </c>
      <c r="O8218" s="5">
        <v>315012527608779</v>
      </c>
      <c r="P8218" s="6">
        <v>0.52</v>
      </c>
      <c r="Q8218" s="11">
        <f>CEILING(P8218-0.5,0.1)*10*0.15+2.3</f>
        <v>2.4499999999999997</v>
      </c>
      <c r="R8218" s="11"/>
      <c r="S8218" s="11"/>
      <c r="T8218" s="11"/>
      <c r="U8218" s="11">
        <f t="shared" si="2334"/>
        <v>2.4499999999999997</v>
      </c>
      <c r="V8218" t="s">
        <v>15</v>
      </c>
      <c r="W8218">
        <v>2.4500000000000002</v>
      </c>
      <c r="X8218" s="1" t="s">
        <v>74</v>
      </c>
    </row>
    <row r="8219" spans="1:24" x14ac:dyDescent="0.25">
      <c r="A8219" s="1" t="str">
        <f t="shared" si="2335"/>
        <v>卡卡杜-凤凰仓</v>
      </c>
      <c r="B8219" s="1" t="str">
        <f>"CK2024101019125"</f>
        <v>CK2024101019125</v>
      </c>
      <c r="C8219" s="1" t="str">
        <f>"DD2024101037942"</f>
        <v>DD2024101037942</v>
      </c>
      <c r="D8219" s="1" t="str">
        <f>"CK2024101037634"</f>
        <v>CK2024101037634</v>
      </c>
      <c r="E8219" s="1" t="str">
        <f>"3723214618362250752"</f>
        <v>3723214618362250752</v>
      </c>
      <c r="F8219" s="1" t="str">
        <f t="shared" si="2336"/>
        <v>花都四部-凤凰仓</v>
      </c>
      <c r="G8219" s="1" t="str">
        <f t="shared" si="2344"/>
        <v>卡卡杜企业店（视频号）</v>
      </c>
      <c r="H8219" s="1" t="str">
        <f t="shared" si="2337"/>
        <v>正常订单</v>
      </c>
      <c r="I8219" s="1" t="str">
        <f t="shared" si="2338"/>
        <v>已发货</v>
      </c>
      <c r="J8219" s="1" t="str">
        <f t="shared" ref="J8219:J8224" si="2346">"2"</f>
        <v>2</v>
      </c>
      <c r="K8219" s="1">
        <v>2</v>
      </c>
      <c r="L8219" s="1" t="s">
        <v>24</v>
      </c>
      <c r="M8219" s="1" t="str">
        <f>"福建省 三明市 三元区 "</f>
        <v xml:space="preserve">福建省 三明市 三元区 </v>
      </c>
      <c r="N8219" s="1" t="str">
        <f t="shared" si="2345"/>
        <v>凡华云仓-韵达-微信视频号</v>
      </c>
      <c r="O8219" s="5">
        <v>315012527608678</v>
      </c>
      <c r="P8219" s="6">
        <v>0.28000000000000003</v>
      </c>
      <c r="Q8219" s="11">
        <v>2</v>
      </c>
      <c r="R8219" s="11"/>
      <c r="S8219" s="11"/>
      <c r="T8219" s="11"/>
      <c r="U8219" s="11">
        <f t="shared" si="2334"/>
        <v>2</v>
      </c>
      <c r="W8219">
        <v>2.2000000000000002</v>
      </c>
      <c r="X8219" s="1" t="s">
        <v>24</v>
      </c>
    </row>
    <row r="8220" spans="1:24" x14ac:dyDescent="0.25">
      <c r="A8220" s="1" t="str">
        <f t="shared" si="2335"/>
        <v>卡卡杜-凤凰仓</v>
      </c>
      <c r="B8220" s="1" t="str">
        <f>"CK2024101019119"</f>
        <v>CK2024101019119</v>
      </c>
      <c r="C8220" s="1" t="str">
        <f>"DD2024101037936"</f>
        <v>DD2024101037936</v>
      </c>
      <c r="D8220" s="1" t="str">
        <f>"CK2024101037633"</f>
        <v>CK2024101037633</v>
      </c>
      <c r="E8220" s="1" t="str">
        <f>"3723213625778638848"</f>
        <v>3723213625778638848</v>
      </c>
      <c r="F8220" s="1" t="str">
        <f t="shared" si="2336"/>
        <v>花都四部-凤凰仓</v>
      </c>
      <c r="G8220" s="1" t="str">
        <f t="shared" si="2344"/>
        <v>卡卡杜企业店（视频号）</v>
      </c>
      <c r="H8220" s="1" t="str">
        <f t="shared" si="2337"/>
        <v>正常订单</v>
      </c>
      <c r="I8220" s="1" t="str">
        <f t="shared" si="2338"/>
        <v>已发货</v>
      </c>
      <c r="J8220" s="1" t="str">
        <f>"4"</f>
        <v>4</v>
      </c>
      <c r="K8220" s="1">
        <v>2</v>
      </c>
      <c r="L8220" s="1" t="s">
        <v>18</v>
      </c>
      <c r="M8220" s="1" t="str">
        <f>"广东省 深圳市 龙岗区 "</f>
        <v xml:space="preserve">广东省 深圳市 龙岗区 </v>
      </c>
      <c r="N8220" s="1" t="str">
        <f t="shared" si="2345"/>
        <v>凡华云仓-韵达-微信视频号</v>
      </c>
      <c r="O8220" s="5">
        <v>315012527608579</v>
      </c>
      <c r="P8220" s="6">
        <v>0.52</v>
      </c>
      <c r="Q8220" s="11">
        <f>CEILING(P8220-0.5,0.1)*10*0.15+2.3</f>
        <v>2.4499999999999997</v>
      </c>
      <c r="R8220" s="11"/>
      <c r="S8220" s="11"/>
      <c r="T8220" s="11"/>
      <c r="U8220" s="11">
        <f t="shared" si="2334"/>
        <v>2.4499999999999997</v>
      </c>
      <c r="V8220" t="s">
        <v>15</v>
      </c>
      <c r="W8220">
        <v>2.4500000000000002</v>
      </c>
      <c r="X8220" s="1" t="s">
        <v>18</v>
      </c>
    </row>
    <row r="8221" spans="1:24" x14ac:dyDescent="0.25">
      <c r="A8221" s="1" t="str">
        <f t="shared" si="2335"/>
        <v>卡卡杜-凤凰仓</v>
      </c>
      <c r="B8221" s="1" t="str">
        <f>"CK2024101019121"</f>
        <v>CK2024101019121</v>
      </c>
      <c r="C8221" s="1" t="str">
        <f>"DD2024101037938"</f>
        <v>DD2024101037938</v>
      </c>
      <c r="D8221" s="1" t="str">
        <f>"CK2024101037632"</f>
        <v>CK2024101037632</v>
      </c>
      <c r="E8221" s="1" t="str">
        <f>"2428401853033654"</f>
        <v>2428401853033654</v>
      </c>
      <c r="F8221" s="1" t="str">
        <f t="shared" si="2336"/>
        <v>花都四部-凤凰仓</v>
      </c>
      <c r="G8221" s="1" t="str">
        <f t="shared" ref="G8221:G8223" si="2347">"卡卡杜佳旺专卖店（快手店）"</f>
        <v>卡卡杜佳旺专卖店（快手店）</v>
      </c>
      <c r="H8221" s="1" t="str">
        <f t="shared" si="2337"/>
        <v>正常订单</v>
      </c>
      <c r="I8221" s="1" t="str">
        <f t="shared" si="2338"/>
        <v>已发货</v>
      </c>
      <c r="J8221" s="1" t="str">
        <f t="shared" si="2346"/>
        <v>2</v>
      </c>
      <c r="K8221" s="1">
        <v>2</v>
      </c>
      <c r="L8221" s="1" t="s">
        <v>187</v>
      </c>
      <c r="M8221" s="1" t="str">
        <f>"吉林省 通化市 通化县 东来乡"</f>
        <v>吉林省 通化市 通化县 东来乡</v>
      </c>
      <c r="N8221" s="1" t="str">
        <f t="shared" ref="N8221:N8223" si="2348">"凡华云仓-韵达-快手"</f>
        <v>凡华云仓-韵达-快手</v>
      </c>
      <c r="O8221" s="5">
        <v>319205485848429</v>
      </c>
      <c r="P8221" s="6">
        <v>0.28000000000000003</v>
      </c>
      <c r="Q8221" s="11">
        <v>2</v>
      </c>
      <c r="R8221" s="11"/>
      <c r="S8221" s="11"/>
      <c r="T8221" s="11"/>
      <c r="U8221" s="11">
        <f t="shared" si="2334"/>
        <v>2</v>
      </c>
      <c r="W8221">
        <v>2.2000000000000002</v>
      </c>
      <c r="X8221" s="1" t="s">
        <v>187</v>
      </c>
    </row>
    <row r="8222" spans="1:24" x14ac:dyDescent="0.25">
      <c r="A8222" s="1" t="str">
        <f t="shared" si="2335"/>
        <v>卡卡杜-凤凰仓</v>
      </c>
      <c r="B8222" s="1" t="str">
        <f>"CK2024101019126"</f>
        <v>CK2024101019126</v>
      </c>
      <c r="C8222" s="1" t="str">
        <f>"DD2024101037943"</f>
        <v>DD2024101037943</v>
      </c>
      <c r="D8222" s="1" t="str">
        <f>"CK2024101037631"</f>
        <v>CK2024101037631</v>
      </c>
      <c r="E8222" s="1" t="str">
        <f>"2428401697792926"</f>
        <v>2428401697792926</v>
      </c>
      <c r="F8222" s="1" t="str">
        <f t="shared" si="2336"/>
        <v>花都四部-凤凰仓</v>
      </c>
      <c r="G8222" s="1" t="str">
        <f t="shared" si="2347"/>
        <v>卡卡杜佳旺专卖店（快手店）</v>
      </c>
      <c r="H8222" s="1" t="str">
        <f t="shared" si="2337"/>
        <v>正常订单</v>
      </c>
      <c r="I8222" s="1" t="str">
        <f t="shared" si="2338"/>
        <v>已发货</v>
      </c>
      <c r="J8222" s="1" t="str">
        <f t="shared" si="2346"/>
        <v>2</v>
      </c>
      <c r="K8222" s="1">
        <v>2</v>
      </c>
      <c r="L8222" s="1" t="s">
        <v>54</v>
      </c>
      <c r="M8222" s="1" t="str">
        <f>"黑龙江省 牡丹江市 爱民区 北山街道"</f>
        <v>黑龙江省 牡丹江市 爱民区 北山街道</v>
      </c>
      <c r="N8222" s="1" t="str">
        <f t="shared" si="2348"/>
        <v>凡华云仓-韵达-快手</v>
      </c>
      <c r="O8222" s="5">
        <v>319206188210138</v>
      </c>
      <c r="P8222" s="6">
        <v>0.28000000000000003</v>
      </c>
      <c r="Q8222" s="11">
        <v>2</v>
      </c>
      <c r="R8222" s="11"/>
      <c r="S8222" s="11"/>
      <c r="T8222" s="11"/>
      <c r="U8222" s="11">
        <f t="shared" si="2334"/>
        <v>2</v>
      </c>
      <c r="W8222">
        <v>2.2000000000000002</v>
      </c>
      <c r="X8222" s="1" t="s">
        <v>54</v>
      </c>
    </row>
    <row r="8223" spans="1:24" x14ac:dyDescent="0.25">
      <c r="A8223" s="1" t="str">
        <f t="shared" si="2335"/>
        <v>卡卡杜-凤凰仓</v>
      </c>
      <c r="B8223" s="1" t="str">
        <f>"CK2024101019124"</f>
        <v>CK2024101019124</v>
      </c>
      <c r="C8223" s="1" t="str">
        <f>"DD2024101037940"</f>
        <v>DD2024101037940</v>
      </c>
      <c r="D8223" s="1" t="str">
        <f>"CK2024101037630"</f>
        <v>CK2024101037630</v>
      </c>
      <c r="E8223" s="1" t="str">
        <f>"2428402167824414"</f>
        <v>2428402167824414</v>
      </c>
      <c r="F8223" s="1" t="str">
        <f t="shared" si="2336"/>
        <v>花都四部-凤凰仓</v>
      </c>
      <c r="G8223" s="1" t="str">
        <f t="shared" si="2347"/>
        <v>卡卡杜佳旺专卖店（快手店）</v>
      </c>
      <c r="H8223" s="1" t="str">
        <f t="shared" si="2337"/>
        <v>正常订单</v>
      </c>
      <c r="I8223" s="1" t="str">
        <f t="shared" si="2338"/>
        <v>已发货</v>
      </c>
      <c r="J8223" s="1" t="str">
        <f t="shared" si="2346"/>
        <v>2</v>
      </c>
      <c r="K8223" s="1">
        <v>2</v>
      </c>
      <c r="L8223" s="1" t="s">
        <v>187</v>
      </c>
      <c r="M8223" s="1" t="str">
        <f>"吉林省 松原市 宁江区 石化街道"</f>
        <v>吉林省 松原市 宁江区 石化街道</v>
      </c>
      <c r="N8223" s="1" t="str">
        <f t="shared" si="2348"/>
        <v>凡华云仓-韵达-快手</v>
      </c>
      <c r="O8223" s="5">
        <v>319205784519957</v>
      </c>
      <c r="P8223" s="6">
        <v>0.28000000000000003</v>
      </c>
      <c r="Q8223" s="11">
        <v>2</v>
      </c>
      <c r="R8223" s="11"/>
      <c r="S8223" s="11"/>
      <c r="T8223" s="11"/>
      <c r="U8223" s="11">
        <f t="shared" si="2334"/>
        <v>2</v>
      </c>
      <c r="W8223">
        <v>2.2000000000000002</v>
      </c>
      <c r="X8223" s="1" t="s">
        <v>187</v>
      </c>
    </row>
    <row r="8224" spans="1:24" x14ac:dyDescent="0.25">
      <c r="A8224" s="1" t="str">
        <f t="shared" si="2335"/>
        <v>卡卡杜-凤凰仓</v>
      </c>
      <c r="B8224" s="1" t="str">
        <f>"CK2024101019090"</f>
        <v>CK2024101019090</v>
      </c>
      <c r="C8224" s="1" t="str">
        <f>"DD2024101037413"</f>
        <v>DD2024101037413</v>
      </c>
      <c r="D8224" s="1" t="str">
        <f>"CK2024101037629"</f>
        <v>CK2024101037629</v>
      </c>
      <c r="E8224" s="1" t="str">
        <f>"KKD20241010YP011"</f>
        <v>KKD20241010YP011</v>
      </c>
      <c r="F8224" s="1" t="str">
        <f t="shared" si="2336"/>
        <v>花都四部-凤凰仓</v>
      </c>
      <c r="G8224" s="1" t="str">
        <f t="shared" ref="G8224:G8235" si="2349">"卡卡杜全欣样品"</f>
        <v>卡卡杜全欣样品</v>
      </c>
      <c r="H8224" s="1" t="str">
        <f t="shared" si="2337"/>
        <v>正常订单</v>
      </c>
      <c r="I8224" s="1" t="str">
        <f t="shared" si="2338"/>
        <v>已发货</v>
      </c>
      <c r="J8224" s="1" t="str">
        <f t="shared" si="2346"/>
        <v>2</v>
      </c>
      <c r="K8224" s="1">
        <v>1</v>
      </c>
      <c r="L8224" s="1" t="s">
        <v>18</v>
      </c>
      <c r="M8224" s="1" t="str">
        <f>"广东省 深圳市 龙华区 "</f>
        <v xml:space="preserve">广东省 深圳市 龙华区 </v>
      </c>
      <c r="N8224" s="1" t="str">
        <f t="shared" ref="N8224:N8235" si="2350">"凡华云仓-韵达-淘宝"</f>
        <v>凡华云仓-韵达-淘宝</v>
      </c>
      <c r="O8224" s="3">
        <v>434181057037452</v>
      </c>
      <c r="P8224" s="6">
        <v>0.2</v>
      </c>
      <c r="Q8224" s="11">
        <v>2</v>
      </c>
      <c r="R8224" s="11"/>
      <c r="S8224" s="11"/>
      <c r="T8224" s="11"/>
      <c r="U8224" s="11">
        <f t="shared" si="2334"/>
        <v>2</v>
      </c>
      <c r="W8224">
        <v>2.2000000000000002</v>
      </c>
      <c r="X8224" s="1" t="s">
        <v>18</v>
      </c>
    </row>
    <row r="8225" spans="1:24" x14ac:dyDescent="0.25">
      <c r="A8225" s="1" t="str">
        <f t="shared" si="2335"/>
        <v>卡卡杜-凤凰仓</v>
      </c>
      <c r="B8225" s="1" t="str">
        <f>"CK2024101019094"</f>
        <v>CK2024101019094</v>
      </c>
      <c r="C8225" s="1" t="str">
        <f>"DD2024101037425"</f>
        <v>DD2024101037425</v>
      </c>
      <c r="D8225" s="1" t="str">
        <f>"CK2024101037628"</f>
        <v>CK2024101037628</v>
      </c>
      <c r="E8225" s="1" t="str">
        <f>"KKD20241010YP007"</f>
        <v>KKD20241010YP007</v>
      </c>
      <c r="F8225" s="1" t="str">
        <f t="shared" si="2336"/>
        <v>花都四部-凤凰仓</v>
      </c>
      <c r="G8225" s="1" t="str">
        <f t="shared" si="2349"/>
        <v>卡卡杜全欣样品</v>
      </c>
      <c r="H8225" s="1" t="str">
        <f t="shared" si="2337"/>
        <v>正常订单</v>
      </c>
      <c r="I8225" s="1" t="str">
        <f t="shared" si="2338"/>
        <v>已发货</v>
      </c>
      <c r="J8225" s="1" t="str">
        <f>"10"</f>
        <v>10</v>
      </c>
      <c r="K8225" s="1">
        <v>7</v>
      </c>
      <c r="L8225" s="1" t="s">
        <v>36</v>
      </c>
      <c r="M8225" s="1" t="str">
        <f>"安徽省 六安市 裕安区 "</f>
        <v xml:space="preserve">安徽省 六安市 裕安区 </v>
      </c>
      <c r="N8225" s="1" t="str">
        <f t="shared" si="2350"/>
        <v>凡华云仓-韵达-淘宝</v>
      </c>
      <c r="O8225" s="3">
        <v>434181057037357</v>
      </c>
      <c r="P8225" s="6">
        <v>1.18</v>
      </c>
      <c r="Q8225" s="11">
        <f t="shared" ref="Q8225:Q8234" si="2351">CEILING(P8225-0.5,0.1)*10*0.15+2.3</f>
        <v>3.3499999999999996</v>
      </c>
      <c r="R8225" s="11">
        <f t="shared" ref="R8225:R8230" si="2352">(K8225-3)*0.1</f>
        <v>0.4</v>
      </c>
      <c r="S8225" s="11">
        <v>0.15</v>
      </c>
      <c r="T8225" s="11"/>
      <c r="U8225" s="11">
        <f t="shared" si="2334"/>
        <v>3.8999999999999995</v>
      </c>
      <c r="V8225" t="s">
        <v>15</v>
      </c>
      <c r="W8225">
        <v>3.9</v>
      </c>
      <c r="X8225" s="1" t="s">
        <v>36</v>
      </c>
    </row>
    <row r="8226" spans="1:24" x14ac:dyDescent="0.25">
      <c r="A8226" s="1" t="str">
        <f t="shared" si="2335"/>
        <v>卡卡杜-凤凰仓</v>
      </c>
      <c r="B8226" s="1" t="str">
        <f>"CK2024101019096"</f>
        <v>CK2024101019096</v>
      </c>
      <c r="C8226" s="1" t="str">
        <f>"DD2024101037427"</f>
        <v>DD2024101037427</v>
      </c>
      <c r="D8226" s="1" t="str">
        <f>"CK2024101037623"</f>
        <v>CK2024101037623</v>
      </c>
      <c r="E8226" s="1" t="str">
        <f>"KKD20241010YP005"</f>
        <v>KKD20241010YP005</v>
      </c>
      <c r="F8226" s="1" t="str">
        <f t="shared" si="2336"/>
        <v>花都四部-凤凰仓</v>
      </c>
      <c r="G8226" s="1" t="str">
        <f t="shared" si="2349"/>
        <v>卡卡杜全欣样品</v>
      </c>
      <c r="H8226" s="1" t="str">
        <f t="shared" si="2337"/>
        <v>正常订单</v>
      </c>
      <c r="I8226" s="1" t="str">
        <f t="shared" si="2338"/>
        <v>已发货</v>
      </c>
      <c r="J8226" s="1" t="str">
        <f>"7"</f>
        <v>7</v>
      </c>
      <c r="K8226" s="1">
        <v>5</v>
      </c>
      <c r="L8226" s="1" t="s">
        <v>22</v>
      </c>
      <c r="M8226" s="1" t="str">
        <f>"江西省 上饶市 铅山县 "</f>
        <v xml:space="preserve">江西省 上饶市 铅山县 </v>
      </c>
      <c r="N8226" s="1" t="str">
        <f t="shared" si="2350"/>
        <v>凡华云仓-韵达-淘宝</v>
      </c>
      <c r="O8226" s="3">
        <v>434181044508544</v>
      </c>
      <c r="P8226" s="6">
        <v>0.86</v>
      </c>
      <c r="Q8226" s="11">
        <f t="shared" si="2351"/>
        <v>2.9</v>
      </c>
      <c r="R8226" s="11">
        <f t="shared" si="2352"/>
        <v>0.2</v>
      </c>
      <c r="S8226" s="11">
        <v>0.15</v>
      </c>
      <c r="T8226" s="11"/>
      <c r="U8226" s="11">
        <f t="shared" si="2334"/>
        <v>3.25</v>
      </c>
      <c r="V8226" t="s">
        <v>15</v>
      </c>
      <c r="W8226">
        <v>3.25</v>
      </c>
      <c r="X8226" s="1" t="s">
        <v>22</v>
      </c>
    </row>
    <row r="8227" spans="1:24" x14ac:dyDescent="0.25">
      <c r="A8227" s="1" t="str">
        <f t="shared" si="2335"/>
        <v>卡卡杜-凤凰仓</v>
      </c>
      <c r="B8227" s="1" t="str">
        <f>"CK2024100914196"</f>
        <v>CK2024100914196</v>
      </c>
      <c r="C8227" s="1" t="str">
        <f>"DD2024100944914"</f>
        <v>DD2024100944914</v>
      </c>
      <c r="D8227" s="1" t="str">
        <f>"CK2024100944676"</f>
        <v>CK2024100944676</v>
      </c>
      <c r="E8227" s="1" t="str">
        <f>"KKD2024109YP004"</f>
        <v>KKD2024109YP004</v>
      </c>
      <c r="F8227" s="1" t="str">
        <f t="shared" si="2336"/>
        <v>花都四部-凤凰仓</v>
      </c>
      <c r="G8227" s="1" t="str">
        <f t="shared" si="2349"/>
        <v>卡卡杜全欣样品</v>
      </c>
      <c r="H8227" s="1" t="str">
        <f t="shared" si="2337"/>
        <v>正常订单</v>
      </c>
      <c r="I8227" s="1" t="str">
        <f t="shared" si="2338"/>
        <v>已发货</v>
      </c>
      <c r="J8227" s="1" t="str">
        <f>"7"</f>
        <v>7</v>
      </c>
      <c r="K8227" s="1">
        <v>5</v>
      </c>
      <c r="L8227" s="1" t="s">
        <v>18</v>
      </c>
      <c r="M8227" s="1" t="str">
        <f>"广东省 茂名市 电白区 "</f>
        <v xml:space="preserve">广东省 茂名市 电白区 </v>
      </c>
      <c r="N8227" s="1" t="str">
        <f t="shared" si="2350"/>
        <v>凡华云仓-韵达-淘宝</v>
      </c>
      <c r="O8227" s="3">
        <v>434178872360365</v>
      </c>
      <c r="P8227" s="6">
        <v>0.86</v>
      </c>
      <c r="Q8227" s="11">
        <f t="shared" si="2351"/>
        <v>2.9</v>
      </c>
      <c r="R8227" s="11">
        <f t="shared" si="2352"/>
        <v>0.2</v>
      </c>
      <c r="S8227" s="11">
        <v>0.15</v>
      </c>
      <c r="T8227" s="11"/>
      <c r="U8227" s="11">
        <f t="shared" si="2334"/>
        <v>3.25</v>
      </c>
      <c r="V8227" t="s">
        <v>15</v>
      </c>
      <c r="W8227">
        <v>3.25</v>
      </c>
      <c r="X8227" s="1" t="s">
        <v>18</v>
      </c>
    </row>
    <row r="8228" spans="1:24" x14ac:dyDescent="0.25">
      <c r="A8228" s="1" t="str">
        <f t="shared" si="2335"/>
        <v>卡卡杜-凤凰仓</v>
      </c>
      <c r="B8228" s="1" t="str">
        <f>"CK2024101019097"</f>
        <v>CK2024101019097</v>
      </c>
      <c r="C8228" s="1" t="str">
        <f>"DD2024101037430"</f>
        <v>DD2024101037430</v>
      </c>
      <c r="D8228" s="1" t="str">
        <f>"CK2024101037625"</f>
        <v>CK2024101037625</v>
      </c>
      <c r="E8228" s="1" t="str">
        <f>"KKD20241010YP004"</f>
        <v>KKD20241010YP004</v>
      </c>
      <c r="F8228" s="1" t="str">
        <f t="shared" si="2336"/>
        <v>花都四部-凤凰仓</v>
      </c>
      <c r="G8228" s="1" t="str">
        <f t="shared" si="2349"/>
        <v>卡卡杜全欣样品</v>
      </c>
      <c r="H8228" s="1" t="str">
        <f t="shared" si="2337"/>
        <v>正常订单</v>
      </c>
      <c r="I8228" s="1" t="str">
        <f t="shared" si="2338"/>
        <v>已发货</v>
      </c>
      <c r="J8228" s="1" t="str">
        <f>"15"</f>
        <v>15</v>
      </c>
      <c r="K8228" s="1">
        <v>10</v>
      </c>
      <c r="L8228" s="1" t="s">
        <v>24</v>
      </c>
      <c r="M8228" s="1" t="str">
        <f>"福建省 泉州市 石狮市 "</f>
        <v xml:space="preserve">福建省 泉州市 石狮市 </v>
      </c>
      <c r="N8228" s="1" t="str">
        <f t="shared" si="2350"/>
        <v>凡华云仓-韵达-淘宝</v>
      </c>
      <c r="O8228" s="3">
        <v>434181044508736</v>
      </c>
      <c r="P8228" s="6">
        <v>1.62</v>
      </c>
      <c r="Q8228" s="11">
        <f t="shared" si="2351"/>
        <v>4.0999999999999996</v>
      </c>
      <c r="R8228" s="11">
        <f t="shared" si="2352"/>
        <v>0.70000000000000007</v>
      </c>
      <c r="S8228" s="11">
        <v>0.15</v>
      </c>
      <c r="T8228" s="11"/>
      <c r="U8228" s="11">
        <f t="shared" si="2334"/>
        <v>4.9499999999999993</v>
      </c>
      <c r="V8228" t="s">
        <v>15</v>
      </c>
      <c r="W8228">
        <v>4.95</v>
      </c>
      <c r="X8228" s="1" t="s">
        <v>24</v>
      </c>
    </row>
    <row r="8229" spans="1:24" x14ac:dyDescent="0.25">
      <c r="A8229" s="1" t="str">
        <f t="shared" si="2335"/>
        <v>卡卡杜-凤凰仓</v>
      </c>
      <c r="B8229" s="1" t="str">
        <f>"CK2024100614366"</f>
        <v>CK2024100614366</v>
      </c>
      <c r="C8229" s="1" t="str">
        <f>"DD2024100647770"</f>
        <v>DD2024100647770</v>
      </c>
      <c r="D8229" s="1" t="str">
        <f>"CK2024100643883"</f>
        <v>CK2024100643883</v>
      </c>
      <c r="E8229" s="1" t="str">
        <f>"KKD20241006YP005"</f>
        <v>KKD20241006YP005</v>
      </c>
      <c r="F8229" s="1" t="str">
        <f t="shared" si="2336"/>
        <v>花都四部-凤凰仓</v>
      </c>
      <c r="G8229" s="1" t="str">
        <f t="shared" si="2349"/>
        <v>卡卡杜全欣样品</v>
      </c>
      <c r="H8229" s="1" t="str">
        <f t="shared" si="2337"/>
        <v>正常订单</v>
      </c>
      <c r="I8229" s="1" t="str">
        <f t="shared" si="2338"/>
        <v>已发货</v>
      </c>
      <c r="J8229" s="1" t="str">
        <f>"7"</f>
        <v>7</v>
      </c>
      <c r="K8229" s="1">
        <v>5</v>
      </c>
      <c r="L8229" s="1" t="s">
        <v>161</v>
      </c>
      <c r="M8229" s="1" t="str">
        <f>"四川省 成都市 龙泉驿区 "</f>
        <v xml:space="preserve">四川省 成都市 龙泉驿区 </v>
      </c>
      <c r="N8229" s="1" t="str">
        <f t="shared" si="2350"/>
        <v>凡华云仓-韵达-淘宝</v>
      </c>
      <c r="O8229" s="3">
        <v>434172772008458</v>
      </c>
      <c r="P8229" s="6">
        <v>0.95</v>
      </c>
      <c r="Q8229" s="11">
        <f t="shared" si="2351"/>
        <v>3.05</v>
      </c>
      <c r="R8229" s="11">
        <f t="shared" si="2352"/>
        <v>0.2</v>
      </c>
      <c r="S8229" s="11">
        <v>0.15</v>
      </c>
      <c r="T8229" s="11"/>
      <c r="U8229" s="11">
        <f t="shared" si="2334"/>
        <v>3.4</v>
      </c>
      <c r="V8229" t="s">
        <v>15</v>
      </c>
      <c r="W8229">
        <v>3.4</v>
      </c>
      <c r="X8229" s="1" t="s">
        <v>161</v>
      </c>
    </row>
    <row r="8230" spans="1:24" x14ac:dyDescent="0.25">
      <c r="A8230" s="1" t="str">
        <f t="shared" si="2335"/>
        <v>卡卡杜-凤凰仓</v>
      </c>
      <c r="B8230" s="1" t="str">
        <f>"CK2024100819776"</f>
        <v>CK2024100819776</v>
      </c>
      <c r="C8230" s="1" t="str">
        <f>"DD2024100853393"</f>
        <v>DD2024100853393</v>
      </c>
      <c r="D8230" s="1" t="str">
        <f>"CK2024100852244"</f>
        <v>CK2024100852244</v>
      </c>
      <c r="E8230" s="1" t="str">
        <f>"KKD2024108YP015"</f>
        <v>KKD2024108YP015</v>
      </c>
      <c r="F8230" s="1" t="str">
        <f t="shared" si="2336"/>
        <v>花都四部-凤凰仓</v>
      </c>
      <c r="G8230" s="1" t="str">
        <f t="shared" si="2349"/>
        <v>卡卡杜全欣样品</v>
      </c>
      <c r="H8230" s="1" t="str">
        <f t="shared" si="2337"/>
        <v>正常订单</v>
      </c>
      <c r="I8230" s="1" t="str">
        <f t="shared" si="2338"/>
        <v>已发货</v>
      </c>
      <c r="J8230" s="1" t="str">
        <f>"7"</f>
        <v>7</v>
      </c>
      <c r="K8230" s="1">
        <v>5</v>
      </c>
      <c r="L8230" s="1" t="s">
        <v>187</v>
      </c>
      <c r="M8230" s="1" t="str">
        <f>"吉林省 长春市 二道区 "</f>
        <v xml:space="preserve">吉林省 长春市 二道区 </v>
      </c>
      <c r="N8230" s="1" t="str">
        <f t="shared" si="2350"/>
        <v>凡华云仓-韵达-淘宝</v>
      </c>
      <c r="O8230" s="3">
        <v>434176958554609</v>
      </c>
      <c r="P8230" s="6">
        <v>0.86</v>
      </c>
      <c r="Q8230" s="11">
        <f t="shared" si="2351"/>
        <v>2.9</v>
      </c>
      <c r="R8230" s="11">
        <f t="shared" si="2352"/>
        <v>0.2</v>
      </c>
      <c r="S8230" s="11">
        <v>0.15</v>
      </c>
      <c r="T8230" s="11"/>
      <c r="U8230" s="11">
        <f t="shared" si="2334"/>
        <v>3.25</v>
      </c>
      <c r="V8230" t="s">
        <v>15</v>
      </c>
      <c r="W8230">
        <v>3.25</v>
      </c>
      <c r="X8230" s="1" t="s">
        <v>187</v>
      </c>
    </row>
    <row r="8231" spans="1:24" x14ac:dyDescent="0.25">
      <c r="A8231" s="1" t="str">
        <f t="shared" si="2335"/>
        <v>卡卡杜-凤凰仓</v>
      </c>
      <c r="B8231" s="1" t="str">
        <f>"CK2024101019093"</f>
        <v>CK2024101019093</v>
      </c>
      <c r="C8231" s="1" t="str">
        <f>"DD2024101037426"</f>
        <v>DD2024101037426</v>
      </c>
      <c r="D8231" s="1" t="str">
        <f>"CK2024101037622"</f>
        <v>CK2024101037622</v>
      </c>
      <c r="E8231" s="1" t="str">
        <f>"KKD20241010YP008"</f>
        <v>KKD20241010YP008</v>
      </c>
      <c r="F8231" s="1" t="str">
        <f t="shared" si="2336"/>
        <v>花都四部-凤凰仓</v>
      </c>
      <c r="G8231" s="1" t="str">
        <f t="shared" si="2349"/>
        <v>卡卡杜全欣样品</v>
      </c>
      <c r="H8231" s="1" t="str">
        <f t="shared" si="2337"/>
        <v>正常订单</v>
      </c>
      <c r="I8231" s="1" t="str">
        <f t="shared" si="2338"/>
        <v>已发货</v>
      </c>
      <c r="J8231" s="1" t="str">
        <f t="shared" ref="J8231:J8235" si="2353">"5"</f>
        <v>5</v>
      </c>
      <c r="K8231" s="1">
        <v>4</v>
      </c>
      <c r="L8231" s="1" t="s">
        <v>94</v>
      </c>
      <c r="M8231" s="1" t="str">
        <f>"湖南省 益阳市 赫山区 "</f>
        <v xml:space="preserve">湖南省 益阳市 赫山区 </v>
      </c>
      <c r="N8231" s="1" t="str">
        <f t="shared" si="2350"/>
        <v>凡华云仓-韵达-淘宝</v>
      </c>
      <c r="O8231" s="3">
        <v>434181044508448</v>
      </c>
      <c r="P8231" s="6">
        <v>0.62</v>
      </c>
      <c r="Q8231" s="11">
        <f t="shared" si="2351"/>
        <v>2.5999999999999996</v>
      </c>
      <c r="R8231" s="11"/>
      <c r="S8231" s="11">
        <v>0.15</v>
      </c>
      <c r="T8231" s="11"/>
      <c r="U8231" s="11">
        <f t="shared" si="2334"/>
        <v>2.7499999999999996</v>
      </c>
      <c r="V8231" t="s">
        <v>15</v>
      </c>
      <c r="W8231">
        <v>2.75</v>
      </c>
      <c r="X8231" s="1" t="s">
        <v>94</v>
      </c>
    </row>
    <row r="8232" spans="1:24" x14ac:dyDescent="0.25">
      <c r="A8232" s="1" t="str">
        <f t="shared" si="2335"/>
        <v>卡卡杜-凤凰仓</v>
      </c>
      <c r="B8232" s="1" t="str">
        <f>"CK2024101019089"</f>
        <v>CK2024101019089</v>
      </c>
      <c r="C8232" s="1" t="str">
        <f>"DD2024101037420"</f>
        <v>DD2024101037420</v>
      </c>
      <c r="D8232" s="1" t="str">
        <f>"CK2024101037621"</f>
        <v>CK2024101037621</v>
      </c>
      <c r="E8232" s="1" t="str">
        <f>"KKD20241010YP012"</f>
        <v>KKD20241010YP012</v>
      </c>
      <c r="F8232" s="1" t="str">
        <f t="shared" si="2336"/>
        <v>花都四部-凤凰仓</v>
      </c>
      <c r="G8232" s="1" t="str">
        <f t="shared" si="2349"/>
        <v>卡卡杜全欣样品</v>
      </c>
      <c r="H8232" s="1" t="str">
        <f t="shared" si="2337"/>
        <v>正常订单</v>
      </c>
      <c r="I8232" s="1" t="str">
        <f t="shared" si="2338"/>
        <v>已发货</v>
      </c>
      <c r="J8232" s="1" t="str">
        <f>"15"</f>
        <v>15</v>
      </c>
      <c r="K8232" s="1">
        <v>10</v>
      </c>
      <c r="L8232" s="1" t="s">
        <v>36</v>
      </c>
      <c r="M8232" s="1" t="str">
        <f>"安徽省 芜湖市 鸠江区 "</f>
        <v xml:space="preserve">安徽省 芜湖市 鸠江区 </v>
      </c>
      <c r="N8232" s="1" t="str">
        <f t="shared" si="2350"/>
        <v>凡华云仓-韵达-淘宝</v>
      </c>
      <c r="O8232" s="3">
        <v>434181044508352</v>
      </c>
      <c r="P8232" s="6">
        <v>1.62</v>
      </c>
      <c r="Q8232" s="11">
        <f t="shared" si="2351"/>
        <v>4.0999999999999996</v>
      </c>
      <c r="R8232" s="11">
        <f>(K8232-3)*0.1</f>
        <v>0.70000000000000007</v>
      </c>
      <c r="S8232" s="11">
        <v>0.15</v>
      </c>
      <c r="T8232" s="11"/>
      <c r="U8232" s="11">
        <f t="shared" si="2334"/>
        <v>4.9499999999999993</v>
      </c>
      <c r="V8232" t="s">
        <v>15</v>
      </c>
      <c r="W8232">
        <v>4.95</v>
      </c>
      <c r="X8232" s="1" t="s">
        <v>36</v>
      </c>
    </row>
    <row r="8233" spans="1:24" x14ac:dyDescent="0.25">
      <c r="A8233" s="1" t="str">
        <f t="shared" si="2335"/>
        <v>卡卡杜-凤凰仓</v>
      </c>
      <c r="B8233" s="1" t="str">
        <f>"CK2024101019091"</f>
        <v>CK2024101019091</v>
      </c>
      <c r="C8233" s="1" t="str">
        <f>"DD2024101037417"</f>
        <v>DD2024101037417</v>
      </c>
      <c r="D8233" s="1" t="str">
        <f>"CK2024101037620"</f>
        <v>CK2024101037620</v>
      </c>
      <c r="E8233" s="1" t="str">
        <f>"KKD20241010YP010"</f>
        <v>KKD20241010YP010</v>
      </c>
      <c r="F8233" s="1" t="str">
        <f t="shared" si="2336"/>
        <v>花都四部-凤凰仓</v>
      </c>
      <c r="G8233" s="1" t="str">
        <f t="shared" si="2349"/>
        <v>卡卡杜全欣样品</v>
      </c>
      <c r="H8233" s="1" t="str">
        <f t="shared" si="2337"/>
        <v>正常订单</v>
      </c>
      <c r="I8233" s="1" t="str">
        <f t="shared" si="2338"/>
        <v>已发货</v>
      </c>
      <c r="J8233" s="1" t="str">
        <f t="shared" si="2353"/>
        <v>5</v>
      </c>
      <c r="K8233" s="1">
        <v>4</v>
      </c>
      <c r="L8233" s="1" t="s">
        <v>60</v>
      </c>
      <c r="M8233" s="1" t="str">
        <f>"云南省 昆明市 官渡区 "</f>
        <v xml:space="preserve">云南省 昆明市 官渡区 </v>
      </c>
      <c r="N8233" s="1" t="str">
        <f t="shared" si="2350"/>
        <v>凡华云仓-韵达-淘宝</v>
      </c>
      <c r="O8233" s="3">
        <v>434181044508256</v>
      </c>
      <c r="P8233" s="6">
        <v>0.62</v>
      </c>
      <c r="Q8233" s="11">
        <f t="shared" si="2351"/>
        <v>2.5999999999999996</v>
      </c>
      <c r="R8233" s="11"/>
      <c r="S8233" s="11">
        <v>0.15</v>
      </c>
      <c r="T8233" s="11"/>
      <c r="U8233" s="11">
        <f t="shared" si="2334"/>
        <v>2.7499999999999996</v>
      </c>
      <c r="V8233" t="s">
        <v>15</v>
      </c>
      <c r="W8233">
        <v>2.75</v>
      </c>
      <c r="X8233" s="1" t="s">
        <v>60</v>
      </c>
    </row>
    <row r="8234" spans="1:24" x14ac:dyDescent="0.25">
      <c r="A8234" s="1" t="str">
        <f t="shared" si="2335"/>
        <v>卡卡杜-凤凰仓</v>
      </c>
      <c r="B8234" s="1" t="str">
        <f>"CK2024101019092"</f>
        <v>CK2024101019092</v>
      </c>
      <c r="C8234" s="1" t="str">
        <f>"DD2024101037416"</f>
        <v>DD2024101037416</v>
      </c>
      <c r="D8234" s="1" t="str">
        <f>"CK2024101037619"</f>
        <v>CK2024101037619</v>
      </c>
      <c r="E8234" s="1" t="str">
        <f>"KKD20241010YP009"</f>
        <v>KKD20241010YP009</v>
      </c>
      <c r="F8234" s="1" t="str">
        <f t="shared" si="2336"/>
        <v>花都四部-凤凰仓</v>
      </c>
      <c r="G8234" s="1" t="str">
        <f t="shared" si="2349"/>
        <v>卡卡杜全欣样品</v>
      </c>
      <c r="H8234" s="1" t="str">
        <f t="shared" si="2337"/>
        <v>正常订单</v>
      </c>
      <c r="I8234" s="1" t="str">
        <f t="shared" si="2338"/>
        <v>已发货</v>
      </c>
      <c r="J8234" s="1" t="str">
        <f>"10"</f>
        <v>10</v>
      </c>
      <c r="K8234" s="1">
        <v>7</v>
      </c>
      <c r="L8234" s="1" t="s">
        <v>16</v>
      </c>
      <c r="M8234" s="1" t="str">
        <f>"河北省 廊坊市 三河市 "</f>
        <v xml:space="preserve">河北省 廊坊市 三河市 </v>
      </c>
      <c r="N8234" s="1" t="str">
        <f t="shared" si="2350"/>
        <v>凡华云仓-韵达-淘宝</v>
      </c>
      <c r="O8234" s="3">
        <v>434181044508160</v>
      </c>
      <c r="P8234" s="6">
        <v>1.18</v>
      </c>
      <c r="Q8234" s="11">
        <f t="shared" si="2351"/>
        <v>3.3499999999999996</v>
      </c>
      <c r="R8234" s="11">
        <f>(K8234-3)*0.1</f>
        <v>0.4</v>
      </c>
      <c r="S8234" s="11">
        <v>0.15</v>
      </c>
      <c r="T8234" s="11"/>
      <c r="U8234" s="11">
        <f t="shared" si="2334"/>
        <v>3.8999999999999995</v>
      </c>
      <c r="V8234" t="s">
        <v>15</v>
      </c>
      <c r="W8234">
        <v>3.9</v>
      </c>
      <c r="X8234" s="1" t="s">
        <v>16</v>
      </c>
    </row>
    <row r="8235" spans="1:24" x14ac:dyDescent="0.25">
      <c r="A8235" s="1" t="str">
        <f t="shared" si="2335"/>
        <v>卡卡杜-凤凰仓</v>
      </c>
      <c r="B8235" s="1" t="str">
        <f>"CK2024101019088"</f>
        <v>CK2024101019088</v>
      </c>
      <c r="C8235" s="1" t="str">
        <f>"DD2024101037414"</f>
        <v>DD2024101037414</v>
      </c>
      <c r="D8235" s="1" t="str">
        <f>"CK2024101037618"</f>
        <v>CK2024101037618</v>
      </c>
      <c r="E8235" s="1" t="str">
        <f>"KKD20241010YP013"</f>
        <v>KKD20241010YP013</v>
      </c>
      <c r="F8235" s="1" t="str">
        <f t="shared" si="2336"/>
        <v>花都四部-凤凰仓</v>
      </c>
      <c r="G8235" s="1" t="str">
        <f t="shared" si="2349"/>
        <v>卡卡杜全欣样品</v>
      </c>
      <c r="H8235" s="1" t="str">
        <f t="shared" si="2337"/>
        <v>正常订单</v>
      </c>
      <c r="I8235" s="1" t="str">
        <f t="shared" si="2338"/>
        <v>已发货</v>
      </c>
      <c r="J8235" s="1" t="str">
        <f t="shared" si="2353"/>
        <v>5</v>
      </c>
      <c r="K8235" s="1">
        <v>4</v>
      </c>
      <c r="L8235" s="1" t="s">
        <v>182</v>
      </c>
      <c r="M8235" s="1" t="str">
        <f>"新疆维吾尔自治区 博尔塔拉蒙古自治州 博乐市 "</f>
        <v xml:space="preserve">新疆维吾尔自治区 博尔塔拉蒙古自治州 博乐市 </v>
      </c>
      <c r="N8235" s="1" t="str">
        <f t="shared" si="2350"/>
        <v>凡华云仓-韵达-淘宝</v>
      </c>
      <c r="O8235" s="3">
        <v>434181044508064</v>
      </c>
      <c r="P8235" s="6">
        <v>0.62</v>
      </c>
      <c r="Q8235" s="11">
        <f>CEILING(P8235-0.5,0.1)*10*2+17</f>
        <v>21</v>
      </c>
      <c r="R8235" s="11"/>
      <c r="S8235" s="11">
        <v>0.15</v>
      </c>
      <c r="T8235" s="11"/>
      <c r="U8235" s="11">
        <f t="shared" si="2334"/>
        <v>21.15</v>
      </c>
      <c r="W8235">
        <v>21.15</v>
      </c>
      <c r="X8235" s="1" t="s">
        <v>182</v>
      </c>
    </row>
    <row r="8236" spans="1:24" x14ac:dyDescent="0.25">
      <c r="A8236" s="1" t="str">
        <f t="shared" si="2335"/>
        <v>卡卡杜-凤凰仓</v>
      </c>
      <c r="B8236" s="1" t="str">
        <f>"CK2024101019133"</f>
        <v>CK2024101019133</v>
      </c>
      <c r="C8236" s="1" t="str">
        <f>"DD2024101037950"</f>
        <v>DD2024101037950</v>
      </c>
      <c r="D8236" s="1" t="str">
        <f>"CK2024101037617"</f>
        <v>CK2024101037617</v>
      </c>
      <c r="E8236" s="1" t="str">
        <f>"6918039345520999426"</f>
        <v>6918039345520999426</v>
      </c>
      <c r="F8236" s="1" t="str">
        <f t="shared" si="2336"/>
        <v>花都四部-凤凰仓</v>
      </c>
      <c r="G8236" s="1" t="str">
        <f t="shared" ref="G8236:G8259" si="2354">"卡卡杜个人护理店（抖店）"</f>
        <v>卡卡杜个人护理店（抖店）</v>
      </c>
      <c r="H8236" s="1" t="str">
        <f t="shared" si="2337"/>
        <v>正常订单</v>
      </c>
      <c r="I8236" s="1" t="str">
        <f t="shared" si="2338"/>
        <v>已发货</v>
      </c>
      <c r="J8236" s="1" t="str">
        <f t="shared" ref="J8236:J8256" si="2355">"2"</f>
        <v>2</v>
      </c>
      <c r="K8236" s="1">
        <v>1</v>
      </c>
      <c r="L8236" s="1" t="s">
        <v>20</v>
      </c>
      <c r="M8236" s="1" t="str">
        <f>"浙江省 温州市 瓯海区 郭溪街道"</f>
        <v>浙江省 温州市 瓯海区 郭溪街道</v>
      </c>
      <c r="N8236" s="1" t="str">
        <f t="shared" ref="N8236:N8259" si="2356">"凡华云仓-韵达-抖音"</f>
        <v>凡华云仓-韵达-抖音</v>
      </c>
      <c r="O8236" s="5">
        <v>320165107597377</v>
      </c>
      <c r="P8236" s="6">
        <v>0.33</v>
      </c>
      <c r="Q8236" s="11">
        <v>2.2999999999999998</v>
      </c>
      <c r="R8236" s="11"/>
      <c r="S8236" s="11"/>
      <c r="T8236" s="11"/>
      <c r="U8236" s="11">
        <f t="shared" si="2334"/>
        <v>2.2999999999999998</v>
      </c>
      <c r="W8236">
        <v>2.5</v>
      </c>
      <c r="X8236" s="1" t="s">
        <v>20</v>
      </c>
    </row>
    <row r="8237" spans="1:24" x14ac:dyDescent="0.25">
      <c r="A8237" s="1" t="str">
        <f t="shared" si="2335"/>
        <v>卡卡杜-凤凰仓</v>
      </c>
      <c r="B8237" s="1" t="str">
        <f>"CK2024101019148"</f>
        <v>CK2024101019148</v>
      </c>
      <c r="C8237" s="1" t="str">
        <f>"DD2024101037965"</f>
        <v>DD2024101037965</v>
      </c>
      <c r="D8237" s="1" t="str">
        <f>"CK2024101037616"</f>
        <v>CK2024101037616</v>
      </c>
      <c r="E8237" s="1" t="str">
        <f>"6917563250861964942"</f>
        <v>6917563250861964942</v>
      </c>
      <c r="F8237" s="1" t="str">
        <f t="shared" si="2336"/>
        <v>花都四部-凤凰仓</v>
      </c>
      <c r="G8237" s="1" t="str">
        <f t="shared" si="2354"/>
        <v>卡卡杜个人护理店（抖店）</v>
      </c>
      <c r="H8237" s="1" t="str">
        <f t="shared" si="2337"/>
        <v>正常订单</v>
      </c>
      <c r="I8237" s="1" t="str">
        <f t="shared" si="2338"/>
        <v>已发货</v>
      </c>
      <c r="J8237" s="1" t="str">
        <f t="shared" si="2355"/>
        <v>2</v>
      </c>
      <c r="K8237" s="1">
        <v>1</v>
      </c>
      <c r="L8237" s="1" t="s">
        <v>20</v>
      </c>
      <c r="M8237" s="1" t="str">
        <f>"浙江省 金华市 兰溪市 灵洞乡"</f>
        <v>浙江省 金华市 兰溪市 灵洞乡</v>
      </c>
      <c r="N8237" s="1" t="str">
        <f t="shared" si="2356"/>
        <v>凡华云仓-韵达-抖音</v>
      </c>
      <c r="O8237" s="5">
        <v>320165107597284</v>
      </c>
      <c r="P8237" s="6">
        <v>0.33</v>
      </c>
      <c r="Q8237" s="11">
        <v>2.2999999999999998</v>
      </c>
      <c r="R8237" s="11"/>
      <c r="S8237" s="11"/>
      <c r="T8237" s="11"/>
      <c r="U8237" s="11">
        <f t="shared" si="2334"/>
        <v>2.2999999999999998</v>
      </c>
      <c r="W8237">
        <v>2.5</v>
      </c>
      <c r="X8237" s="1" t="s">
        <v>20</v>
      </c>
    </row>
    <row r="8238" spans="1:24" x14ac:dyDescent="0.25">
      <c r="A8238" s="1" t="str">
        <f t="shared" si="2335"/>
        <v>卡卡杜-凤凰仓</v>
      </c>
      <c r="B8238" s="1" t="str">
        <f>"CK2024101019122"</f>
        <v>CK2024101019122</v>
      </c>
      <c r="C8238" s="1" t="str">
        <f>"DD2024101037939"</f>
        <v>DD2024101037939</v>
      </c>
      <c r="D8238" s="1" t="str">
        <f>"CK2024101037615"</f>
        <v>CK2024101037615</v>
      </c>
      <c r="E8238" s="1" t="str">
        <f>"6934843000901736070"</f>
        <v>6934843000901736070</v>
      </c>
      <c r="F8238" s="1" t="str">
        <f t="shared" si="2336"/>
        <v>花都四部-凤凰仓</v>
      </c>
      <c r="G8238" s="1" t="str">
        <f t="shared" si="2354"/>
        <v>卡卡杜个人护理店（抖店）</v>
      </c>
      <c r="H8238" s="1" t="str">
        <f t="shared" si="2337"/>
        <v>正常订单</v>
      </c>
      <c r="I8238" s="1" t="str">
        <f t="shared" si="2338"/>
        <v>已发货</v>
      </c>
      <c r="J8238" s="1" t="str">
        <f t="shared" si="2355"/>
        <v>2</v>
      </c>
      <c r="K8238" s="1">
        <v>2</v>
      </c>
      <c r="L8238" s="1" t="s">
        <v>96</v>
      </c>
      <c r="M8238" s="1" t="str">
        <f>"广西壮族自治区 梧州市 万秀区 城南街道"</f>
        <v>广西壮族自治区 梧州市 万秀区 城南街道</v>
      </c>
      <c r="N8238" s="1" t="str">
        <f t="shared" si="2356"/>
        <v>凡华云仓-韵达-抖音</v>
      </c>
      <c r="O8238" s="5">
        <v>320165107597193</v>
      </c>
      <c r="P8238" s="6">
        <v>0.28000000000000003</v>
      </c>
      <c r="Q8238" s="11">
        <v>2</v>
      </c>
      <c r="R8238" s="11"/>
      <c r="S8238" s="11"/>
      <c r="T8238" s="11"/>
      <c r="U8238" s="11">
        <f t="shared" si="2334"/>
        <v>2</v>
      </c>
      <c r="W8238">
        <v>2.2000000000000002</v>
      </c>
      <c r="X8238" s="1" t="s">
        <v>96</v>
      </c>
    </row>
    <row r="8239" spans="1:24" x14ac:dyDescent="0.25">
      <c r="A8239" s="1" t="str">
        <f t="shared" si="2335"/>
        <v>卡卡杜-凤凰仓</v>
      </c>
      <c r="B8239" s="1" t="str">
        <f>"CK2024101019144"</f>
        <v>CK2024101019144</v>
      </c>
      <c r="C8239" s="1" t="str">
        <f>"DD2024101037962"</f>
        <v>DD2024101037962</v>
      </c>
      <c r="D8239" s="1" t="str">
        <f>"CK2024101037614"</f>
        <v>CK2024101037614</v>
      </c>
      <c r="E8239" s="1" t="str">
        <f>"6918039400357330728"</f>
        <v>6918039400357330728</v>
      </c>
      <c r="F8239" s="1" t="str">
        <f t="shared" si="2336"/>
        <v>花都四部-凤凰仓</v>
      </c>
      <c r="G8239" s="1" t="str">
        <f t="shared" si="2354"/>
        <v>卡卡杜个人护理店（抖店）</v>
      </c>
      <c r="H8239" s="1" t="str">
        <f t="shared" si="2337"/>
        <v>正常订单</v>
      </c>
      <c r="I8239" s="1" t="str">
        <f t="shared" si="2338"/>
        <v>已发货</v>
      </c>
      <c r="J8239" s="1" t="str">
        <f t="shared" si="2355"/>
        <v>2</v>
      </c>
      <c r="K8239" s="1">
        <v>1</v>
      </c>
      <c r="L8239" s="1" t="s">
        <v>94</v>
      </c>
      <c r="M8239" s="1" t="str">
        <f>"湖南省 郴州市 北湖区 郴江街道"</f>
        <v>湖南省 郴州市 北湖区 郴江街道</v>
      </c>
      <c r="N8239" s="1" t="str">
        <f t="shared" si="2356"/>
        <v>凡华云仓-韵达-抖音</v>
      </c>
      <c r="O8239" s="5">
        <v>320165107597004</v>
      </c>
      <c r="P8239" s="6">
        <v>0.33</v>
      </c>
      <c r="Q8239" s="11">
        <v>2.2999999999999998</v>
      </c>
      <c r="R8239" s="11"/>
      <c r="S8239" s="11"/>
      <c r="T8239" s="11"/>
      <c r="U8239" s="11">
        <f t="shared" si="2334"/>
        <v>2.2999999999999998</v>
      </c>
      <c r="W8239">
        <v>2.5</v>
      </c>
      <c r="X8239" s="1" t="s">
        <v>94</v>
      </c>
    </row>
    <row r="8240" spans="1:24" x14ac:dyDescent="0.25">
      <c r="A8240" s="1" t="str">
        <f t="shared" si="2335"/>
        <v>卡卡杜-凤凰仓</v>
      </c>
      <c r="B8240" s="1" t="str">
        <f>"CK2024101019130"</f>
        <v>CK2024101019130</v>
      </c>
      <c r="C8240" s="1" t="str">
        <f>"DD2024101037948"</f>
        <v>DD2024101037948</v>
      </c>
      <c r="D8240" s="1" t="str">
        <f>"CK2024101037613"</f>
        <v>CK2024101037613</v>
      </c>
      <c r="E8240" s="1" t="str">
        <f>"6918041645290586026"</f>
        <v>6918041645290586026</v>
      </c>
      <c r="F8240" s="1" t="str">
        <f t="shared" si="2336"/>
        <v>花都四部-凤凰仓</v>
      </c>
      <c r="G8240" s="1" t="str">
        <f t="shared" si="2354"/>
        <v>卡卡杜个人护理店（抖店）</v>
      </c>
      <c r="H8240" s="1" t="str">
        <f t="shared" si="2337"/>
        <v>正常订单</v>
      </c>
      <c r="I8240" s="1" t="str">
        <f t="shared" si="2338"/>
        <v>已发货</v>
      </c>
      <c r="J8240" s="1" t="str">
        <f t="shared" si="2355"/>
        <v>2</v>
      </c>
      <c r="K8240" s="1">
        <v>1</v>
      </c>
      <c r="L8240" s="1" t="s">
        <v>22</v>
      </c>
      <c r="M8240" s="1" t="str">
        <f>"江西省 赣州市 南康区 "</f>
        <v xml:space="preserve">江西省 赣州市 南康区 </v>
      </c>
      <c r="N8240" s="1" t="str">
        <f t="shared" si="2356"/>
        <v>凡华云仓-韵达-抖音</v>
      </c>
      <c r="O8240" s="5">
        <v>320165107596976</v>
      </c>
      <c r="P8240" s="6">
        <v>0.33</v>
      </c>
      <c r="Q8240" s="11">
        <v>2.2999999999999998</v>
      </c>
      <c r="R8240" s="11"/>
      <c r="S8240" s="11"/>
      <c r="T8240" s="11"/>
      <c r="U8240" s="11">
        <f t="shared" si="2334"/>
        <v>2.2999999999999998</v>
      </c>
      <c r="W8240">
        <v>2.5</v>
      </c>
      <c r="X8240" s="1" t="s">
        <v>22</v>
      </c>
    </row>
    <row r="8241" spans="1:24" x14ac:dyDescent="0.25">
      <c r="A8241" s="1" t="str">
        <f t="shared" si="2335"/>
        <v>卡卡杜-凤凰仓</v>
      </c>
      <c r="B8241" s="1" t="str">
        <f>"CK2024101019146"</f>
        <v>CK2024101019146</v>
      </c>
      <c r="C8241" s="1" t="str">
        <f>"DD2024101037963"</f>
        <v>DD2024101037963</v>
      </c>
      <c r="D8241" s="1" t="str">
        <f>"CK2024101037612"</f>
        <v>CK2024101037612</v>
      </c>
      <c r="E8241" s="1" t="str">
        <f>"6918042480945102626"</f>
        <v>6918042480945102626</v>
      </c>
      <c r="F8241" s="1" t="str">
        <f t="shared" si="2336"/>
        <v>花都四部-凤凰仓</v>
      </c>
      <c r="G8241" s="1" t="str">
        <f t="shared" si="2354"/>
        <v>卡卡杜个人护理店（抖店）</v>
      </c>
      <c r="H8241" s="1" t="str">
        <f t="shared" si="2337"/>
        <v>正常订单</v>
      </c>
      <c r="I8241" s="1" t="str">
        <f t="shared" si="2338"/>
        <v>已发货</v>
      </c>
      <c r="J8241" s="1" t="str">
        <f t="shared" si="2355"/>
        <v>2</v>
      </c>
      <c r="K8241" s="1">
        <v>1</v>
      </c>
      <c r="L8241" s="1" t="s">
        <v>44</v>
      </c>
      <c r="M8241" s="1" t="str">
        <f>"海南省 定安县 定安县 龙河镇"</f>
        <v>海南省 定安县 定安县 龙河镇</v>
      </c>
      <c r="N8241" s="1" t="str">
        <f t="shared" si="2356"/>
        <v>凡华云仓-韵达-抖音</v>
      </c>
      <c r="O8241" s="5">
        <v>320165110266697</v>
      </c>
      <c r="P8241" s="6">
        <v>0.33</v>
      </c>
      <c r="Q8241" s="11">
        <v>2.2999999999999998</v>
      </c>
      <c r="R8241" s="11"/>
      <c r="S8241" s="11"/>
      <c r="T8241" s="11"/>
      <c r="U8241" s="11">
        <f t="shared" si="2334"/>
        <v>2.2999999999999998</v>
      </c>
      <c r="W8241">
        <v>2.5</v>
      </c>
      <c r="X8241" s="1" t="s">
        <v>44</v>
      </c>
    </row>
    <row r="8242" spans="1:24" x14ac:dyDescent="0.25">
      <c r="A8242" s="1" t="str">
        <f t="shared" si="2335"/>
        <v>卡卡杜-凤凰仓</v>
      </c>
      <c r="B8242" s="1" t="str">
        <f>"CK2024101019142"</f>
        <v>CK2024101019142</v>
      </c>
      <c r="C8242" s="1" t="str">
        <f>"DD2024101037961"</f>
        <v>DD2024101037961</v>
      </c>
      <c r="D8242" s="1" t="str">
        <f>"CK2024101037611"</f>
        <v>CK2024101037611</v>
      </c>
      <c r="E8242" s="1" t="str">
        <f>"6918042386401623347"</f>
        <v>6918042386401623347</v>
      </c>
      <c r="F8242" s="1" t="str">
        <f t="shared" si="2336"/>
        <v>花都四部-凤凰仓</v>
      </c>
      <c r="G8242" s="1" t="str">
        <f t="shared" si="2354"/>
        <v>卡卡杜个人护理店（抖店）</v>
      </c>
      <c r="H8242" s="1" t="str">
        <f t="shared" si="2337"/>
        <v>正常订单</v>
      </c>
      <c r="I8242" s="1" t="str">
        <f t="shared" si="2338"/>
        <v>已发货</v>
      </c>
      <c r="J8242" s="1" t="str">
        <f t="shared" si="2355"/>
        <v>2</v>
      </c>
      <c r="K8242" s="1">
        <v>1</v>
      </c>
      <c r="L8242" s="1" t="s">
        <v>60</v>
      </c>
      <c r="M8242" s="1" t="str">
        <f>"云南省 普洱市 孟连傣族拉祜族佤族自治县 娜允镇"</f>
        <v>云南省 普洱市 孟连傣族拉祜族佤族自治县 娜允镇</v>
      </c>
      <c r="N8242" s="1" t="str">
        <f t="shared" si="2356"/>
        <v>凡华云仓-韵达-抖音</v>
      </c>
      <c r="O8242" s="5">
        <v>320165110266598</v>
      </c>
      <c r="P8242" s="6">
        <v>0.33</v>
      </c>
      <c r="Q8242" s="11">
        <v>2.2999999999999998</v>
      </c>
      <c r="R8242" s="11"/>
      <c r="S8242" s="11"/>
      <c r="T8242" s="11"/>
      <c r="U8242" s="11">
        <f t="shared" si="2334"/>
        <v>2.2999999999999998</v>
      </c>
      <c r="W8242">
        <v>2.5</v>
      </c>
      <c r="X8242" s="1" t="s">
        <v>60</v>
      </c>
    </row>
    <row r="8243" spans="1:24" x14ac:dyDescent="0.25">
      <c r="A8243" s="1" t="str">
        <f t="shared" si="2335"/>
        <v>卡卡杜-凤凰仓</v>
      </c>
      <c r="B8243" s="1" t="str">
        <f>"CK2024101019139"</f>
        <v>CK2024101019139</v>
      </c>
      <c r="C8243" s="1" t="str">
        <f>"DD2024101037956"</f>
        <v>DD2024101037956</v>
      </c>
      <c r="D8243" s="1" t="str">
        <f>"CK2024101037610"</f>
        <v>CK2024101037610</v>
      </c>
      <c r="E8243" s="1" t="str">
        <f>"6918039667274513784"</f>
        <v>6918039667274513784</v>
      </c>
      <c r="F8243" s="1" t="str">
        <f t="shared" si="2336"/>
        <v>花都四部-凤凰仓</v>
      </c>
      <c r="G8243" s="1" t="str">
        <f t="shared" si="2354"/>
        <v>卡卡杜个人护理店（抖店）</v>
      </c>
      <c r="H8243" s="1" t="str">
        <f t="shared" si="2337"/>
        <v>正常订单</v>
      </c>
      <c r="I8243" s="1" t="str">
        <f t="shared" si="2338"/>
        <v>已发货</v>
      </c>
      <c r="J8243" s="1" t="str">
        <f t="shared" si="2355"/>
        <v>2</v>
      </c>
      <c r="K8243" s="1">
        <v>1</v>
      </c>
      <c r="L8243" s="1" t="s">
        <v>20</v>
      </c>
      <c r="M8243" s="1" t="str">
        <f>"浙江省 绍兴市 诸暨市 璜山镇"</f>
        <v>浙江省 绍兴市 诸暨市 璜山镇</v>
      </c>
      <c r="N8243" s="1" t="str">
        <f t="shared" si="2356"/>
        <v>凡华云仓-韵达-抖音</v>
      </c>
      <c r="O8243" s="5">
        <v>320165110266401</v>
      </c>
      <c r="P8243" s="6">
        <v>0.33</v>
      </c>
      <c r="Q8243" s="11">
        <v>2.2999999999999998</v>
      </c>
      <c r="R8243" s="11"/>
      <c r="S8243" s="11"/>
      <c r="T8243" s="11"/>
      <c r="U8243" s="11">
        <f t="shared" si="2334"/>
        <v>2.2999999999999998</v>
      </c>
      <c r="W8243">
        <v>2.5</v>
      </c>
      <c r="X8243" s="1" t="s">
        <v>20</v>
      </c>
    </row>
    <row r="8244" spans="1:24" x14ac:dyDescent="0.25">
      <c r="A8244" s="1" t="str">
        <f t="shared" si="2335"/>
        <v>卡卡杜-凤凰仓</v>
      </c>
      <c r="B8244" s="1" t="str">
        <f>"CK2024101019140"</f>
        <v>CK2024101019140</v>
      </c>
      <c r="C8244" s="1" t="str">
        <f>"DD2024101037957"</f>
        <v>DD2024101037957</v>
      </c>
      <c r="D8244" s="1" t="str">
        <f>"CK2024101037609"</f>
        <v>CK2024101037609</v>
      </c>
      <c r="E8244" s="1" t="str">
        <f>"6918046739505052771"</f>
        <v>6918046739505052771</v>
      </c>
      <c r="F8244" s="1" t="str">
        <f t="shared" si="2336"/>
        <v>花都四部-凤凰仓</v>
      </c>
      <c r="G8244" s="1" t="str">
        <f t="shared" si="2354"/>
        <v>卡卡杜个人护理店（抖店）</v>
      </c>
      <c r="H8244" s="1" t="str">
        <f t="shared" si="2337"/>
        <v>正常订单</v>
      </c>
      <c r="I8244" s="1" t="str">
        <f t="shared" si="2338"/>
        <v>已发货</v>
      </c>
      <c r="J8244" s="1" t="str">
        <f t="shared" si="2355"/>
        <v>2</v>
      </c>
      <c r="K8244" s="1">
        <v>1</v>
      </c>
      <c r="L8244" s="1" t="s">
        <v>60</v>
      </c>
      <c r="M8244" s="1" t="str">
        <f>"云南省 怒江傈僳族自治州 福贡县 上帕镇"</f>
        <v>云南省 怒江傈僳族自治州 福贡县 上帕镇</v>
      </c>
      <c r="N8244" s="1" t="str">
        <f t="shared" si="2356"/>
        <v>凡华云仓-韵达-抖音</v>
      </c>
      <c r="O8244" s="5">
        <v>320165110266306</v>
      </c>
      <c r="P8244" s="6">
        <v>0.33</v>
      </c>
      <c r="Q8244" s="11">
        <v>2.2999999999999998</v>
      </c>
      <c r="R8244" s="11"/>
      <c r="S8244" s="11"/>
      <c r="T8244" s="11"/>
      <c r="U8244" s="11">
        <f t="shared" si="2334"/>
        <v>2.2999999999999998</v>
      </c>
      <c r="W8244">
        <v>2.5</v>
      </c>
      <c r="X8244" s="1" t="s">
        <v>60</v>
      </c>
    </row>
    <row r="8245" spans="1:24" x14ac:dyDescent="0.25">
      <c r="A8245" s="1" t="str">
        <f t="shared" si="2335"/>
        <v>卡卡杜-凤凰仓</v>
      </c>
      <c r="B8245" s="1" t="str">
        <f>"CK2024101019135"</f>
        <v>CK2024101019135</v>
      </c>
      <c r="C8245" s="1" t="str">
        <f>"DD2024101037955"</f>
        <v>DD2024101037955</v>
      </c>
      <c r="D8245" s="1" t="str">
        <f>"CK2024101037608"</f>
        <v>CK2024101037608</v>
      </c>
      <c r="E8245" s="1" t="str">
        <f>"6918046652529540468"</f>
        <v>6918046652529540468</v>
      </c>
      <c r="F8245" s="1" t="str">
        <f t="shared" si="2336"/>
        <v>花都四部-凤凰仓</v>
      </c>
      <c r="G8245" s="1" t="str">
        <f t="shared" si="2354"/>
        <v>卡卡杜个人护理店（抖店）</v>
      </c>
      <c r="H8245" s="1" t="str">
        <f t="shared" si="2337"/>
        <v>正常订单</v>
      </c>
      <c r="I8245" s="1" t="str">
        <f t="shared" si="2338"/>
        <v>已发货</v>
      </c>
      <c r="J8245" s="1" t="str">
        <f t="shared" si="2355"/>
        <v>2</v>
      </c>
      <c r="K8245" s="1">
        <v>1</v>
      </c>
      <c r="L8245" s="1" t="s">
        <v>74</v>
      </c>
      <c r="M8245" s="1" t="str">
        <f>"上海 上海市 闵行区 浦锦街道"</f>
        <v>上海 上海市 闵行区 浦锦街道</v>
      </c>
      <c r="N8245" s="1" t="str">
        <f t="shared" si="2356"/>
        <v>凡华云仓-韵达-抖音</v>
      </c>
      <c r="O8245" s="5">
        <v>320165110266213</v>
      </c>
      <c r="P8245" s="6">
        <v>0.33</v>
      </c>
      <c r="Q8245" s="11">
        <v>2.2999999999999998</v>
      </c>
      <c r="R8245" s="11"/>
      <c r="S8245" s="11"/>
      <c r="T8245" s="11"/>
      <c r="U8245" s="11">
        <f t="shared" si="2334"/>
        <v>2.2999999999999998</v>
      </c>
      <c r="W8245">
        <v>2.5</v>
      </c>
      <c r="X8245" s="1" t="s">
        <v>74</v>
      </c>
    </row>
    <row r="8246" spans="1:24" x14ac:dyDescent="0.25">
      <c r="A8246" s="1" t="str">
        <f t="shared" si="2335"/>
        <v>卡卡杜-凤凰仓</v>
      </c>
      <c r="B8246" s="1" t="str">
        <f>"CK2024101019143"</f>
        <v>CK2024101019143</v>
      </c>
      <c r="C8246" s="1" t="str">
        <f>"DD2024101037959"</f>
        <v>DD2024101037959</v>
      </c>
      <c r="D8246" s="1" t="str">
        <f>"CK2024101037607"</f>
        <v>CK2024101037607</v>
      </c>
      <c r="E8246" s="1" t="str">
        <f>"6918039768689508166"</f>
        <v>6918039768689508166</v>
      </c>
      <c r="F8246" s="1" t="str">
        <f t="shared" si="2336"/>
        <v>花都四部-凤凰仓</v>
      </c>
      <c r="G8246" s="1" t="str">
        <f t="shared" si="2354"/>
        <v>卡卡杜个人护理店（抖店）</v>
      </c>
      <c r="H8246" s="1" t="str">
        <f t="shared" si="2337"/>
        <v>正常订单</v>
      </c>
      <c r="I8246" s="1" t="str">
        <f t="shared" si="2338"/>
        <v>已发货</v>
      </c>
      <c r="J8246" s="1" t="str">
        <f t="shared" si="2355"/>
        <v>2</v>
      </c>
      <c r="K8246" s="1">
        <v>1</v>
      </c>
      <c r="L8246" s="1" t="s">
        <v>60</v>
      </c>
      <c r="M8246" s="1" t="str">
        <f>"云南省 昭通市 威信县 扎西镇"</f>
        <v>云南省 昭通市 威信县 扎西镇</v>
      </c>
      <c r="N8246" s="1" t="str">
        <f t="shared" si="2356"/>
        <v>凡华云仓-韵达-抖音</v>
      </c>
      <c r="O8246" s="5">
        <v>320165110266122</v>
      </c>
      <c r="P8246" s="6">
        <v>0.33</v>
      </c>
      <c r="Q8246" s="11">
        <v>2.2999999999999998</v>
      </c>
      <c r="R8246" s="11"/>
      <c r="S8246" s="11"/>
      <c r="T8246" s="11"/>
      <c r="U8246" s="11">
        <f t="shared" si="2334"/>
        <v>2.2999999999999998</v>
      </c>
      <c r="W8246">
        <v>2.5</v>
      </c>
      <c r="X8246" s="1" t="s">
        <v>60</v>
      </c>
    </row>
    <row r="8247" spans="1:24" x14ac:dyDescent="0.25">
      <c r="A8247" s="1" t="str">
        <f t="shared" si="2335"/>
        <v>卡卡杜-凤凰仓</v>
      </c>
      <c r="B8247" s="1" t="str">
        <f>"CK2024101019138"</f>
        <v>CK2024101019138</v>
      </c>
      <c r="C8247" s="1" t="str">
        <f>"DD2024101037954"</f>
        <v>DD2024101037954</v>
      </c>
      <c r="D8247" s="1" t="str">
        <f>"CK2024101037606"</f>
        <v>CK2024101037606</v>
      </c>
      <c r="E8247" s="1" t="str">
        <f>"6918044778854841478"</f>
        <v>6918044778854841478</v>
      </c>
      <c r="F8247" s="1" t="str">
        <f t="shared" si="2336"/>
        <v>花都四部-凤凰仓</v>
      </c>
      <c r="G8247" s="1" t="str">
        <f t="shared" si="2354"/>
        <v>卡卡杜个人护理店（抖店）</v>
      </c>
      <c r="H8247" s="1" t="str">
        <f t="shared" si="2337"/>
        <v>正常订单</v>
      </c>
      <c r="I8247" s="1" t="str">
        <f t="shared" si="2338"/>
        <v>已发货</v>
      </c>
      <c r="J8247" s="1" t="str">
        <f t="shared" si="2355"/>
        <v>2</v>
      </c>
      <c r="K8247" s="1">
        <v>1</v>
      </c>
      <c r="L8247" s="1" t="s">
        <v>20</v>
      </c>
      <c r="M8247" s="1" t="str">
        <f>"浙江省 温州市 瓯海区 郭溪街道"</f>
        <v>浙江省 温州市 瓯海区 郭溪街道</v>
      </c>
      <c r="N8247" s="1" t="str">
        <f t="shared" si="2356"/>
        <v>凡华云仓-韵达-抖音</v>
      </c>
      <c r="O8247" s="5">
        <v>320165110266033</v>
      </c>
      <c r="P8247" s="6">
        <v>0.33</v>
      </c>
      <c r="Q8247" s="11">
        <v>2.2999999999999998</v>
      </c>
      <c r="R8247" s="11"/>
      <c r="S8247" s="11"/>
      <c r="T8247" s="11"/>
      <c r="U8247" s="11">
        <f t="shared" si="2334"/>
        <v>2.2999999999999998</v>
      </c>
      <c r="W8247">
        <v>2.5</v>
      </c>
      <c r="X8247" s="1" t="s">
        <v>20</v>
      </c>
    </row>
    <row r="8248" spans="1:24" x14ac:dyDescent="0.25">
      <c r="A8248" s="1" t="str">
        <f t="shared" si="2335"/>
        <v>卡卡杜-凤凰仓</v>
      </c>
      <c r="B8248" s="1" t="str">
        <f>"CK2024101019147"</f>
        <v>CK2024101019147</v>
      </c>
      <c r="C8248" s="1" t="str">
        <f>"DD2024101037964"</f>
        <v>DD2024101037964</v>
      </c>
      <c r="D8248" s="1" t="str">
        <f>"CK2024101037605"</f>
        <v>CK2024101037605</v>
      </c>
      <c r="E8248" s="1" t="str">
        <f>"6918044247495901133"</f>
        <v>6918044247495901133</v>
      </c>
      <c r="F8248" s="1" t="str">
        <f t="shared" si="2336"/>
        <v>花都四部-凤凰仓</v>
      </c>
      <c r="G8248" s="1" t="str">
        <f t="shared" si="2354"/>
        <v>卡卡杜个人护理店（抖店）</v>
      </c>
      <c r="H8248" s="1" t="str">
        <f t="shared" si="2337"/>
        <v>正常订单</v>
      </c>
      <c r="I8248" s="1" t="str">
        <f t="shared" si="2338"/>
        <v>已发货</v>
      </c>
      <c r="J8248" s="1" t="str">
        <f t="shared" si="2355"/>
        <v>2</v>
      </c>
      <c r="K8248" s="1">
        <v>1</v>
      </c>
      <c r="L8248" s="1" t="s">
        <v>18</v>
      </c>
      <c r="M8248" s="1" t="str">
        <f>"广东省 揭阳市 普宁市 流沙东街道"</f>
        <v>广东省 揭阳市 普宁市 流沙东街道</v>
      </c>
      <c r="N8248" s="1" t="str">
        <f t="shared" si="2356"/>
        <v>凡华云仓-韵达-抖音</v>
      </c>
      <c r="O8248" s="5">
        <v>320165110265907</v>
      </c>
      <c r="P8248" s="6">
        <v>0.33</v>
      </c>
      <c r="Q8248" s="11">
        <v>2.2999999999999998</v>
      </c>
      <c r="R8248" s="11"/>
      <c r="S8248" s="11"/>
      <c r="T8248" s="11"/>
      <c r="U8248" s="11">
        <f t="shared" si="2334"/>
        <v>2.2999999999999998</v>
      </c>
      <c r="W8248">
        <v>2.5</v>
      </c>
      <c r="X8248" s="1" t="s">
        <v>18</v>
      </c>
    </row>
    <row r="8249" spans="1:24" x14ac:dyDescent="0.25">
      <c r="A8249" s="1" t="str">
        <f t="shared" si="2335"/>
        <v>卡卡杜-凤凰仓</v>
      </c>
      <c r="B8249" s="1" t="str">
        <f>"CK2024101019145"</f>
        <v>CK2024101019145</v>
      </c>
      <c r="C8249" s="1" t="str">
        <f>"DD2024101037960"</f>
        <v>DD2024101037960</v>
      </c>
      <c r="D8249" s="1" t="str">
        <f>"CK2024101037604"</f>
        <v>CK2024101037604</v>
      </c>
      <c r="E8249" s="1" t="str">
        <f>"6918046107032124696"</f>
        <v>6918046107032124696</v>
      </c>
      <c r="F8249" s="1" t="str">
        <f t="shared" si="2336"/>
        <v>花都四部-凤凰仓</v>
      </c>
      <c r="G8249" s="1" t="str">
        <f t="shared" si="2354"/>
        <v>卡卡杜个人护理店（抖店）</v>
      </c>
      <c r="H8249" s="1" t="str">
        <f t="shared" si="2337"/>
        <v>正常订单</v>
      </c>
      <c r="I8249" s="1" t="str">
        <f t="shared" si="2338"/>
        <v>已发货</v>
      </c>
      <c r="J8249" s="1" t="str">
        <f t="shared" si="2355"/>
        <v>2</v>
      </c>
      <c r="K8249" s="1">
        <v>1</v>
      </c>
      <c r="L8249" s="1" t="s">
        <v>96</v>
      </c>
      <c r="M8249" s="1" t="str">
        <f>"广西壮族自治区 桂林市 荔浦市 荔城镇"</f>
        <v>广西壮族自治区 桂林市 荔浦市 荔城镇</v>
      </c>
      <c r="N8249" s="1" t="str">
        <f t="shared" si="2356"/>
        <v>凡华云仓-韵达-抖音</v>
      </c>
      <c r="O8249" s="5">
        <v>320165110265802</v>
      </c>
      <c r="P8249" s="6">
        <v>0.33</v>
      </c>
      <c r="Q8249" s="11">
        <v>2.2999999999999998</v>
      </c>
      <c r="R8249" s="11"/>
      <c r="S8249" s="11"/>
      <c r="T8249" s="11"/>
      <c r="U8249" s="11">
        <f t="shared" si="2334"/>
        <v>2.2999999999999998</v>
      </c>
      <c r="W8249">
        <v>2.5</v>
      </c>
      <c r="X8249" s="1" t="s">
        <v>96</v>
      </c>
    </row>
    <row r="8250" spans="1:24" x14ac:dyDescent="0.25">
      <c r="A8250" s="1" t="str">
        <f t="shared" si="2335"/>
        <v>卡卡杜-凤凰仓</v>
      </c>
      <c r="B8250" s="1" t="str">
        <f>"CK2024101019141"</f>
        <v>CK2024101019141</v>
      </c>
      <c r="C8250" s="1" t="str">
        <f>"DD2024101037958"</f>
        <v>DD2024101037958</v>
      </c>
      <c r="D8250" s="1" t="str">
        <f>"CK2024101037603"</f>
        <v>CK2024101037603</v>
      </c>
      <c r="E8250" s="1" t="str">
        <f>"6918043751455227251"</f>
        <v>6918043751455227251</v>
      </c>
      <c r="F8250" s="1" t="str">
        <f t="shared" si="2336"/>
        <v>花都四部-凤凰仓</v>
      </c>
      <c r="G8250" s="1" t="str">
        <f t="shared" si="2354"/>
        <v>卡卡杜个人护理店（抖店）</v>
      </c>
      <c r="H8250" s="1" t="str">
        <f t="shared" si="2337"/>
        <v>正常订单</v>
      </c>
      <c r="I8250" s="1" t="str">
        <f t="shared" si="2338"/>
        <v>已发货</v>
      </c>
      <c r="J8250" s="1" t="str">
        <f t="shared" si="2355"/>
        <v>2</v>
      </c>
      <c r="K8250" s="1">
        <v>1</v>
      </c>
      <c r="L8250" s="1" t="s">
        <v>13</v>
      </c>
      <c r="M8250" s="1" t="str">
        <f>"江苏省 镇江市 润州区 金山街道"</f>
        <v>江苏省 镇江市 润州区 金山街道</v>
      </c>
      <c r="N8250" s="1" t="str">
        <f t="shared" si="2356"/>
        <v>凡华云仓-韵达-抖音</v>
      </c>
      <c r="O8250" s="5">
        <v>320165110265799</v>
      </c>
      <c r="P8250" s="6">
        <v>0.33</v>
      </c>
      <c r="Q8250" s="11">
        <v>2.2999999999999998</v>
      </c>
      <c r="R8250" s="11"/>
      <c r="S8250" s="11"/>
      <c r="T8250" s="11"/>
      <c r="U8250" s="11">
        <f t="shared" si="2334"/>
        <v>2.2999999999999998</v>
      </c>
      <c r="W8250">
        <v>2.5</v>
      </c>
      <c r="X8250" s="1" t="s">
        <v>13</v>
      </c>
    </row>
    <row r="8251" spans="1:24" x14ac:dyDescent="0.25">
      <c r="A8251" s="1" t="str">
        <f t="shared" si="2335"/>
        <v>卡卡杜-凤凰仓</v>
      </c>
      <c r="B8251" s="1" t="str">
        <f>"CK2024101019127"</f>
        <v>CK2024101019127</v>
      </c>
      <c r="C8251" s="1" t="str">
        <f>"DD2024101037945"</f>
        <v>DD2024101037945</v>
      </c>
      <c r="D8251" s="1" t="str">
        <f>"CK2024101037602"</f>
        <v>CK2024101037602</v>
      </c>
      <c r="E8251" s="1" t="str">
        <f>"6918036557629848700"</f>
        <v>6918036557629848700</v>
      </c>
      <c r="F8251" s="1" t="str">
        <f t="shared" si="2336"/>
        <v>花都四部-凤凰仓</v>
      </c>
      <c r="G8251" s="1" t="str">
        <f t="shared" si="2354"/>
        <v>卡卡杜个人护理店（抖店）</v>
      </c>
      <c r="H8251" s="1" t="str">
        <f t="shared" si="2337"/>
        <v>正常订单</v>
      </c>
      <c r="I8251" s="1" t="str">
        <f t="shared" si="2338"/>
        <v>已发货</v>
      </c>
      <c r="J8251" s="1" t="str">
        <f t="shared" si="2355"/>
        <v>2</v>
      </c>
      <c r="K8251" s="1">
        <v>2</v>
      </c>
      <c r="L8251" s="1" t="s">
        <v>30</v>
      </c>
      <c r="M8251" s="1" t="str">
        <f>"山东省 济南市 槐荫区 振兴街街道"</f>
        <v>山东省 济南市 槐荫区 振兴街街道</v>
      </c>
      <c r="N8251" s="1" t="str">
        <f t="shared" si="2356"/>
        <v>凡华云仓-韵达-抖音</v>
      </c>
      <c r="O8251" s="5">
        <v>320165106477278</v>
      </c>
      <c r="P8251" s="6">
        <v>0.28000000000000003</v>
      </c>
      <c r="Q8251" s="11">
        <v>2</v>
      </c>
      <c r="R8251" s="11"/>
      <c r="S8251" s="11"/>
      <c r="T8251" s="11"/>
      <c r="U8251" s="11">
        <f t="shared" si="2334"/>
        <v>2</v>
      </c>
      <c r="W8251">
        <v>2.2000000000000002</v>
      </c>
      <c r="X8251" s="1" t="s">
        <v>30</v>
      </c>
    </row>
    <row r="8252" spans="1:24" x14ac:dyDescent="0.25">
      <c r="A8252" s="1" t="str">
        <f t="shared" si="2335"/>
        <v>卡卡杜-凤凰仓</v>
      </c>
      <c r="B8252" s="1" t="str">
        <f>"CK2024101019129"</f>
        <v>CK2024101019129</v>
      </c>
      <c r="C8252" s="1" t="str">
        <f>"DD2024101037947"</f>
        <v>DD2024101037947</v>
      </c>
      <c r="D8252" s="1" t="str">
        <f>"CK2024101037601"</f>
        <v>CK2024101037601</v>
      </c>
      <c r="E8252" s="1" t="str">
        <f>"6918036700024504279"</f>
        <v>6918036700024504279</v>
      </c>
      <c r="F8252" s="1" t="str">
        <f t="shared" si="2336"/>
        <v>花都四部-凤凰仓</v>
      </c>
      <c r="G8252" s="1" t="str">
        <f t="shared" si="2354"/>
        <v>卡卡杜个人护理店（抖店）</v>
      </c>
      <c r="H8252" s="1" t="str">
        <f t="shared" si="2337"/>
        <v>正常订单</v>
      </c>
      <c r="I8252" s="1" t="str">
        <f t="shared" si="2338"/>
        <v>已发货</v>
      </c>
      <c r="J8252" s="1" t="str">
        <f t="shared" si="2355"/>
        <v>2</v>
      </c>
      <c r="K8252" s="1">
        <v>1</v>
      </c>
      <c r="L8252" s="1" t="s">
        <v>18</v>
      </c>
      <c r="M8252" s="1" t="str">
        <f>"广东省 广州市 增城区 增江街道"</f>
        <v>广东省 广州市 增城区 增江街道</v>
      </c>
      <c r="N8252" s="1" t="str">
        <f t="shared" si="2356"/>
        <v>凡华云仓-韵达-抖音</v>
      </c>
      <c r="O8252" s="5">
        <v>320165106477187</v>
      </c>
      <c r="P8252" s="6">
        <v>0.33</v>
      </c>
      <c r="Q8252" s="11">
        <v>2.2999999999999998</v>
      </c>
      <c r="R8252" s="11"/>
      <c r="S8252" s="11"/>
      <c r="T8252" s="11"/>
      <c r="U8252" s="11">
        <f t="shared" si="2334"/>
        <v>2.2999999999999998</v>
      </c>
      <c r="W8252">
        <v>2.5</v>
      </c>
      <c r="X8252" s="1" t="s">
        <v>18</v>
      </c>
    </row>
    <row r="8253" spans="1:24" x14ac:dyDescent="0.25">
      <c r="A8253" s="1" t="str">
        <f t="shared" si="2335"/>
        <v>卡卡杜-凤凰仓</v>
      </c>
      <c r="B8253" s="1" t="str">
        <f>"CK2024101019123"</f>
        <v>CK2024101019123</v>
      </c>
      <c r="C8253" s="1" t="str">
        <f>"DD2024101037941"</f>
        <v>DD2024101037941</v>
      </c>
      <c r="D8253" s="1" t="str">
        <f>"CK2024101037600"</f>
        <v>CK2024101037600</v>
      </c>
      <c r="E8253" s="1" t="str">
        <f>"6918026838418554693"</f>
        <v>6918026838418554693</v>
      </c>
      <c r="F8253" s="1" t="str">
        <f t="shared" si="2336"/>
        <v>花都四部-凤凰仓</v>
      </c>
      <c r="G8253" s="1" t="str">
        <f t="shared" si="2354"/>
        <v>卡卡杜个人护理店（抖店）</v>
      </c>
      <c r="H8253" s="1" t="str">
        <f t="shared" si="2337"/>
        <v>正常订单</v>
      </c>
      <c r="I8253" s="1" t="str">
        <f t="shared" si="2338"/>
        <v>已发货</v>
      </c>
      <c r="J8253" s="1" t="str">
        <f t="shared" si="2355"/>
        <v>2</v>
      </c>
      <c r="K8253" s="1">
        <v>2</v>
      </c>
      <c r="L8253" s="1" t="s">
        <v>16</v>
      </c>
      <c r="M8253" s="1" t="str">
        <f>"河北省 保定市 涿州市 清凉寺街道"</f>
        <v>河北省 保定市 涿州市 清凉寺街道</v>
      </c>
      <c r="N8253" s="1" t="str">
        <f t="shared" si="2356"/>
        <v>凡华云仓-韵达-抖音</v>
      </c>
      <c r="O8253" s="5">
        <v>320165106477098</v>
      </c>
      <c r="P8253" s="6">
        <v>0.28000000000000003</v>
      </c>
      <c r="Q8253" s="11">
        <v>2</v>
      </c>
      <c r="R8253" s="11"/>
      <c r="S8253" s="11"/>
      <c r="T8253" s="11"/>
      <c r="U8253" s="11">
        <f t="shared" si="2334"/>
        <v>2</v>
      </c>
      <c r="W8253">
        <v>2.2000000000000002</v>
      </c>
      <c r="X8253" s="1" t="s">
        <v>16</v>
      </c>
    </row>
    <row r="8254" spans="1:24" x14ac:dyDescent="0.25">
      <c r="A8254" s="1" t="str">
        <f t="shared" si="2335"/>
        <v>卡卡杜-凤凰仓</v>
      </c>
      <c r="B8254" s="1" t="str">
        <f>"CK2024101019134"</f>
        <v>CK2024101019134</v>
      </c>
      <c r="C8254" s="1" t="str">
        <f>"DD2024101037951"</f>
        <v>DD2024101037951</v>
      </c>
      <c r="D8254" s="1" t="str">
        <f>"CK2024101037599"</f>
        <v>CK2024101037599</v>
      </c>
      <c r="E8254" s="1" t="str">
        <f>"6918041074799115464"</f>
        <v>6918041074799115464</v>
      </c>
      <c r="F8254" s="1" t="str">
        <f t="shared" si="2336"/>
        <v>花都四部-凤凰仓</v>
      </c>
      <c r="G8254" s="1" t="str">
        <f t="shared" si="2354"/>
        <v>卡卡杜个人护理店（抖店）</v>
      </c>
      <c r="H8254" s="1" t="str">
        <f t="shared" si="2337"/>
        <v>正常订单</v>
      </c>
      <c r="I8254" s="1" t="str">
        <f t="shared" si="2338"/>
        <v>已发货</v>
      </c>
      <c r="J8254" s="1" t="str">
        <f t="shared" si="2355"/>
        <v>2</v>
      </c>
      <c r="K8254" s="1">
        <v>1</v>
      </c>
      <c r="L8254" s="1" t="s">
        <v>96</v>
      </c>
      <c r="M8254" s="1" t="str">
        <f>"广西壮族自治区 南宁市 江南区 江南街道"</f>
        <v>广西壮族自治区 南宁市 江南区 江南街道</v>
      </c>
      <c r="N8254" s="1" t="str">
        <f t="shared" si="2356"/>
        <v>凡华云仓-韵达-抖音</v>
      </c>
      <c r="O8254" s="5">
        <v>320165106476970</v>
      </c>
      <c r="P8254" s="6">
        <v>0.33</v>
      </c>
      <c r="Q8254" s="11">
        <v>2.2999999999999998</v>
      </c>
      <c r="R8254" s="11"/>
      <c r="S8254" s="11"/>
      <c r="T8254" s="11"/>
      <c r="U8254" s="11">
        <f t="shared" si="2334"/>
        <v>2.2999999999999998</v>
      </c>
      <c r="W8254">
        <v>2.5</v>
      </c>
      <c r="X8254" s="1" t="s">
        <v>96</v>
      </c>
    </row>
    <row r="8255" spans="1:24" x14ac:dyDescent="0.25">
      <c r="A8255" s="1" t="str">
        <f t="shared" si="2335"/>
        <v>卡卡杜-凤凰仓</v>
      </c>
      <c r="B8255" s="1" t="str">
        <f>"CK2024101019132"</f>
        <v>CK2024101019132</v>
      </c>
      <c r="C8255" s="1" t="str">
        <f>"DD2024101037949"</f>
        <v>DD2024101037949</v>
      </c>
      <c r="D8255" s="1" t="str">
        <f>"CK2024101037598"</f>
        <v>CK2024101037598</v>
      </c>
      <c r="E8255" s="1" t="str">
        <f>"6918031458305080700"</f>
        <v>6918031458305080700</v>
      </c>
      <c r="F8255" s="1" t="str">
        <f t="shared" si="2336"/>
        <v>花都四部-凤凰仓</v>
      </c>
      <c r="G8255" s="1" t="str">
        <f t="shared" si="2354"/>
        <v>卡卡杜个人护理店（抖店）</v>
      </c>
      <c r="H8255" s="1" t="str">
        <f t="shared" si="2337"/>
        <v>正常订单</v>
      </c>
      <c r="I8255" s="1" t="str">
        <f t="shared" si="2338"/>
        <v>已发货</v>
      </c>
      <c r="J8255" s="1" t="str">
        <f t="shared" si="2355"/>
        <v>2</v>
      </c>
      <c r="K8255" s="1">
        <v>1</v>
      </c>
      <c r="L8255" s="1" t="s">
        <v>18</v>
      </c>
      <c r="M8255" s="1" t="str">
        <f>"广东省 佛山市 南海区 狮山镇"</f>
        <v>广东省 佛山市 南海区 狮山镇</v>
      </c>
      <c r="N8255" s="1" t="str">
        <f t="shared" si="2356"/>
        <v>凡华云仓-韵达-抖音</v>
      </c>
      <c r="O8255" s="5">
        <v>320165106476865</v>
      </c>
      <c r="P8255" s="6">
        <v>0.33</v>
      </c>
      <c r="Q8255" s="11">
        <v>2.2999999999999998</v>
      </c>
      <c r="R8255" s="11"/>
      <c r="S8255" s="11"/>
      <c r="T8255" s="11"/>
      <c r="U8255" s="11">
        <f t="shared" si="2334"/>
        <v>2.2999999999999998</v>
      </c>
      <c r="W8255">
        <v>2.5</v>
      </c>
      <c r="X8255" s="1" t="s">
        <v>18</v>
      </c>
    </row>
    <row r="8256" spans="1:24" x14ac:dyDescent="0.25">
      <c r="A8256" s="1" t="str">
        <f t="shared" si="2335"/>
        <v>卡卡杜-凤凰仓</v>
      </c>
      <c r="B8256" s="1" t="str">
        <f>"CK2024101019131"</f>
        <v>CK2024101019131</v>
      </c>
      <c r="C8256" s="1" t="str">
        <f>"DD2024101037946"</f>
        <v>DD2024101037946</v>
      </c>
      <c r="D8256" s="1" t="str">
        <f>"CK2024101037597"</f>
        <v>CK2024101037597</v>
      </c>
      <c r="E8256" s="1" t="str">
        <f>"6918043465956753383"</f>
        <v>6918043465956753383</v>
      </c>
      <c r="F8256" s="1" t="str">
        <f t="shared" si="2336"/>
        <v>花都四部-凤凰仓</v>
      </c>
      <c r="G8256" s="1" t="str">
        <f t="shared" si="2354"/>
        <v>卡卡杜个人护理店（抖店）</v>
      </c>
      <c r="H8256" s="1" t="str">
        <f t="shared" si="2337"/>
        <v>正常订单</v>
      </c>
      <c r="I8256" s="1" t="str">
        <f t="shared" si="2338"/>
        <v>已发货</v>
      </c>
      <c r="J8256" s="1" t="str">
        <f t="shared" si="2355"/>
        <v>2</v>
      </c>
      <c r="K8256" s="1">
        <v>1</v>
      </c>
      <c r="L8256" s="1" t="s">
        <v>20</v>
      </c>
      <c r="M8256" s="1" t="str">
        <f>"浙江省 温州市 洞头区 大门镇"</f>
        <v>浙江省 温州市 洞头区 大门镇</v>
      </c>
      <c r="N8256" s="1" t="str">
        <f t="shared" si="2356"/>
        <v>凡华云仓-韵达-抖音</v>
      </c>
      <c r="O8256" s="5">
        <v>320165106476762</v>
      </c>
      <c r="P8256" s="6">
        <v>0.33</v>
      </c>
      <c r="Q8256" s="11">
        <v>2.2999999999999998</v>
      </c>
      <c r="R8256" s="11"/>
      <c r="S8256" s="11"/>
      <c r="T8256" s="11"/>
      <c r="U8256" s="11">
        <f t="shared" si="2334"/>
        <v>2.2999999999999998</v>
      </c>
      <c r="W8256">
        <v>2.5</v>
      </c>
      <c r="X8256" s="1" t="s">
        <v>20</v>
      </c>
    </row>
    <row r="8257" spans="1:24" x14ac:dyDescent="0.25">
      <c r="A8257" s="1" t="str">
        <f t="shared" si="2335"/>
        <v>卡卡杜-凤凰仓</v>
      </c>
      <c r="B8257" s="1" t="str">
        <f>"CK20241007145"</f>
        <v>CK20241007145</v>
      </c>
      <c r="C8257" s="1" t="str">
        <f>"DD202410079088"</f>
        <v>DD202410079088</v>
      </c>
      <c r="D8257" s="1" t="str">
        <f>"CK2024100723522"</f>
        <v>CK2024100723522</v>
      </c>
      <c r="E8257" s="1" t="str">
        <f>"6917903193819413935"</f>
        <v>6917903193819413935</v>
      </c>
      <c r="F8257" s="1" t="str">
        <f t="shared" si="2336"/>
        <v>花都四部-凤凰仓</v>
      </c>
      <c r="G8257" s="1" t="str">
        <f t="shared" si="2354"/>
        <v>卡卡杜个人护理店（抖店）</v>
      </c>
      <c r="H8257" s="1" t="str">
        <f t="shared" si="2337"/>
        <v>正常订单</v>
      </c>
      <c r="I8257" s="1" t="str">
        <f t="shared" si="2338"/>
        <v>已发货</v>
      </c>
      <c r="J8257" s="1" t="str">
        <f>"4"</f>
        <v>4</v>
      </c>
      <c r="K8257" s="1">
        <v>1</v>
      </c>
      <c r="L8257" s="1" t="s">
        <v>18</v>
      </c>
      <c r="M8257" s="1" t="str">
        <f>"广东省 中山市 中山市 小榄镇"</f>
        <v>广东省 中山市 中山市 小榄镇</v>
      </c>
      <c r="N8257" s="1" t="str">
        <f t="shared" si="2356"/>
        <v>凡华云仓-韵达-抖音</v>
      </c>
      <c r="O8257" s="5">
        <v>320159472622182</v>
      </c>
      <c r="P8257" s="6">
        <v>0.57999999999999996</v>
      </c>
      <c r="Q8257" s="11">
        <f t="shared" ref="Q8257:Q8260" si="2357">CEILING(P8257-0.5,0.1)*10*0.15+2.3</f>
        <v>2.4499999999999997</v>
      </c>
      <c r="R8257" s="11"/>
      <c r="S8257" s="11"/>
      <c r="T8257" s="11"/>
      <c r="U8257" s="11">
        <f t="shared" si="2334"/>
        <v>2.4499999999999997</v>
      </c>
      <c r="V8257" t="s">
        <v>15</v>
      </c>
      <c r="W8257">
        <v>2.4500000000000002</v>
      </c>
      <c r="X8257" s="1" t="s">
        <v>18</v>
      </c>
    </row>
    <row r="8258" spans="1:24" x14ac:dyDescent="0.25">
      <c r="A8258" s="1" t="str">
        <f t="shared" si="2335"/>
        <v>卡卡杜-凤凰仓</v>
      </c>
      <c r="B8258" s="1" t="str">
        <f>"CK2024101019137"</f>
        <v>CK2024101019137</v>
      </c>
      <c r="C8258" s="1" t="str">
        <f>"DD2024101037953"</f>
        <v>DD2024101037953</v>
      </c>
      <c r="D8258" s="1" t="str">
        <f>"CK2024101037595"</f>
        <v>CK2024101037595</v>
      </c>
      <c r="E8258" s="1" t="str">
        <f>"6918031134954848145"</f>
        <v>6918031134954848145</v>
      </c>
      <c r="F8258" s="1" t="str">
        <f t="shared" si="2336"/>
        <v>花都四部-凤凰仓</v>
      </c>
      <c r="G8258" s="1" t="str">
        <f t="shared" si="2354"/>
        <v>卡卡杜个人护理店（抖店）</v>
      </c>
      <c r="H8258" s="1" t="str">
        <f t="shared" si="2337"/>
        <v>正常订单</v>
      </c>
      <c r="I8258" s="1" t="str">
        <f t="shared" si="2338"/>
        <v>已发货</v>
      </c>
      <c r="J8258" s="1" t="str">
        <f t="shared" ref="J8258:J8267" si="2358">"2"</f>
        <v>2</v>
      </c>
      <c r="K8258" s="1">
        <v>1</v>
      </c>
      <c r="L8258" s="1" t="s">
        <v>20</v>
      </c>
      <c r="M8258" s="1" t="str">
        <f>"浙江省 绍兴市 诸暨市 店口镇"</f>
        <v>浙江省 绍兴市 诸暨市 店口镇</v>
      </c>
      <c r="N8258" s="1" t="str">
        <f t="shared" si="2356"/>
        <v>凡华云仓-韵达-抖音</v>
      </c>
      <c r="O8258" s="5">
        <v>320165106476562</v>
      </c>
      <c r="P8258" s="6">
        <v>0.33</v>
      </c>
      <c r="Q8258" s="11">
        <v>2.2999999999999998</v>
      </c>
      <c r="R8258" s="11"/>
      <c r="S8258" s="11"/>
      <c r="T8258" s="11"/>
      <c r="U8258" s="11">
        <f t="shared" si="2334"/>
        <v>2.2999999999999998</v>
      </c>
      <c r="W8258">
        <v>2.5</v>
      </c>
      <c r="X8258" s="1" t="s">
        <v>20</v>
      </c>
    </row>
    <row r="8259" spans="1:24" x14ac:dyDescent="0.25">
      <c r="A8259" s="1" t="str">
        <f t="shared" si="2335"/>
        <v>卡卡杜-凤凰仓</v>
      </c>
      <c r="B8259" s="1" t="str">
        <f>"CK2024101019136"</f>
        <v>CK2024101019136</v>
      </c>
      <c r="C8259" s="1" t="str">
        <f>"DD2024101037952"</f>
        <v>DD2024101037952</v>
      </c>
      <c r="D8259" s="1" t="str">
        <f>"CK2024101037594"</f>
        <v>CK2024101037594</v>
      </c>
      <c r="E8259" s="1" t="str">
        <f>"6918036333074218344"</f>
        <v>6918036333074218344</v>
      </c>
      <c r="F8259" s="1" t="str">
        <f t="shared" si="2336"/>
        <v>花都四部-凤凰仓</v>
      </c>
      <c r="G8259" s="1" t="str">
        <f t="shared" si="2354"/>
        <v>卡卡杜个人护理店（抖店）</v>
      </c>
      <c r="H8259" s="1" t="str">
        <f t="shared" si="2337"/>
        <v>正常订单</v>
      </c>
      <c r="I8259" s="1" t="str">
        <f t="shared" si="2338"/>
        <v>已发货</v>
      </c>
      <c r="J8259" s="1" t="str">
        <f t="shared" si="2358"/>
        <v>2</v>
      </c>
      <c r="K8259" s="1">
        <v>1</v>
      </c>
      <c r="L8259" s="1" t="s">
        <v>24</v>
      </c>
      <c r="M8259" s="1" t="str">
        <f>"福建省 福州市 罗源县 松山镇"</f>
        <v>福建省 福州市 罗源县 松山镇</v>
      </c>
      <c r="N8259" s="1" t="str">
        <f t="shared" si="2356"/>
        <v>凡华云仓-韵达-抖音</v>
      </c>
      <c r="O8259" s="5">
        <v>320165106476465</v>
      </c>
      <c r="P8259" s="6">
        <v>0.33</v>
      </c>
      <c r="Q8259" s="11">
        <v>2.2999999999999998</v>
      </c>
      <c r="R8259" s="11"/>
      <c r="S8259" s="11"/>
      <c r="T8259" s="11"/>
      <c r="U8259" s="11">
        <f t="shared" ref="U8259:U8322" si="2359">T8259+S8259+R8259+Q8259</f>
        <v>2.2999999999999998</v>
      </c>
      <c r="W8259">
        <v>2.5</v>
      </c>
      <c r="X8259" s="1" t="s">
        <v>24</v>
      </c>
    </row>
    <row r="8260" spans="1:24" x14ac:dyDescent="0.25">
      <c r="A8260" s="1" t="str">
        <f t="shared" si="2335"/>
        <v>卡卡杜-凤凰仓</v>
      </c>
      <c r="B8260" s="1" t="str">
        <f>"CK2024101019086"</f>
        <v>CK2024101019086</v>
      </c>
      <c r="C8260" s="1" t="str">
        <f>"DD2024101036819"</f>
        <v>DD2024101036819</v>
      </c>
      <c r="D8260" s="1" t="str">
        <f>"CK2024101035051"</f>
        <v>CK2024101035051</v>
      </c>
      <c r="E8260" s="1" t="str">
        <f>"KKD20241010YP002"</f>
        <v>KKD20241010YP002</v>
      </c>
      <c r="F8260" s="1" t="str">
        <f t="shared" si="2336"/>
        <v>花都四部-凤凰仓</v>
      </c>
      <c r="G8260" s="1" t="str">
        <f>"卡卡杜线下"</f>
        <v>卡卡杜线下</v>
      </c>
      <c r="H8260" s="1" t="str">
        <f t="shared" si="2337"/>
        <v>正常订单</v>
      </c>
      <c r="I8260" s="1" t="str">
        <f t="shared" si="2338"/>
        <v>已发货</v>
      </c>
      <c r="J8260" s="1" t="str">
        <f>"6"</f>
        <v>6</v>
      </c>
      <c r="K8260" s="1">
        <v>4</v>
      </c>
      <c r="L8260" s="1" t="s">
        <v>27</v>
      </c>
      <c r="M8260" s="1" t="str">
        <f>"贵州省 贵阳市 花溪区 "</f>
        <v xml:space="preserve">贵州省 贵阳市 花溪区 </v>
      </c>
      <c r="N8260" s="1" t="str">
        <f>"凡华云仓-韵达-淘宝"</f>
        <v>凡华云仓-韵达-淘宝</v>
      </c>
      <c r="O8260" s="5">
        <v>434180966376299</v>
      </c>
      <c r="P8260" s="6">
        <v>0.88</v>
      </c>
      <c r="Q8260" s="11">
        <f t="shared" si="2357"/>
        <v>2.9</v>
      </c>
      <c r="R8260" s="11"/>
      <c r="S8260" s="11"/>
      <c r="T8260" s="11"/>
      <c r="U8260" s="11">
        <f t="shared" si="2359"/>
        <v>2.9</v>
      </c>
      <c r="V8260" t="s">
        <v>15</v>
      </c>
      <c r="W8260">
        <v>2.9</v>
      </c>
      <c r="X8260" s="1" t="s">
        <v>27</v>
      </c>
    </row>
    <row r="8261" spans="1:24" x14ac:dyDescent="0.25">
      <c r="A8261" s="1" t="str">
        <f t="shared" ref="A8261:A8324" si="2360">"卡卡杜-凤凰仓"</f>
        <v>卡卡杜-凤凰仓</v>
      </c>
      <c r="B8261" s="1" t="str">
        <f>"CK2024101015089"</f>
        <v>CK2024101015089</v>
      </c>
      <c r="C8261" s="1" t="str">
        <f>"DD2024101024574"</f>
        <v>DD2024101024574</v>
      </c>
      <c r="D8261" s="1" t="str">
        <f>"CK2024101023585"</f>
        <v>CK2024101023585</v>
      </c>
      <c r="E8261" s="1" t="str">
        <f>"KKD20241010YP001"</f>
        <v>KKD20241010YP001</v>
      </c>
      <c r="F8261" s="1" t="str">
        <f t="shared" ref="F8261:F8324" si="2361">"花都四部-凤凰仓"</f>
        <v>花都四部-凤凰仓</v>
      </c>
      <c r="G8261" s="1" t="str">
        <f>"卡卡杜线下"</f>
        <v>卡卡杜线下</v>
      </c>
      <c r="H8261" s="1" t="str">
        <f t="shared" ref="H8261:H8324" si="2362">"正常订单"</f>
        <v>正常订单</v>
      </c>
      <c r="I8261" s="1" t="str">
        <f t="shared" ref="I8261:I8324" si="2363">"已发货"</f>
        <v>已发货</v>
      </c>
      <c r="J8261" s="1" t="str">
        <f>"30"</f>
        <v>30</v>
      </c>
      <c r="K8261" s="1">
        <v>5</v>
      </c>
      <c r="L8261" s="1" t="s">
        <v>18</v>
      </c>
      <c r="M8261" s="1" t="str">
        <f>"广东省 广州市 白云区 "</f>
        <v xml:space="preserve">广东省 广州市 白云区 </v>
      </c>
      <c r="N8261" s="1" t="str">
        <f>"凡华云仓-韵达-淘宝"</f>
        <v>凡华云仓-韵达-淘宝</v>
      </c>
      <c r="O8261" s="5">
        <v>434180375465240</v>
      </c>
      <c r="P8261" s="6">
        <v>3.28</v>
      </c>
      <c r="Q8261" s="11">
        <f>ROUNDUP(P8261,0)*VLOOKUP(L:L,'[1]3KG报价'!A:C,3,0)+VLOOKUP(L:L,'[1]3KG报价'!A:B,2,0)+0.8</f>
        <v>7.8999999999999995</v>
      </c>
      <c r="R8261" s="11">
        <f>(K8261-3)*0.1</f>
        <v>0.2</v>
      </c>
      <c r="S8261" s="11"/>
      <c r="T8261" s="11"/>
      <c r="U8261" s="11">
        <f t="shared" si="2359"/>
        <v>8.1</v>
      </c>
      <c r="V8261" t="s">
        <v>1212</v>
      </c>
      <c r="W8261">
        <v>8.1</v>
      </c>
      <c r="X8261" s="1" t="s">
        <v>18</v>
      </c>
    </row>
    <row r="8262" spans="1:24" x14ac:dyDescent="0.25">
      <c r="A8262" s="1" t="str">
        <f t="shared" si="2360"/>
        <v>卡卡杜-凤凰仓</v>
      </c>
      <c r="B8262" s="1" t="str">
        <f>"CK20241010109"</f>
        <v>CK20241010109</v>
      </c>
      <c r="C8262" s="1" t="str">
        <f>"DD2024101014119"</f>
        <v>DD2024101014119</v>
      </c>
      <c r="D8262" s="1" t="str">
        <f>"CK2024101016588"</f>
        <v>CK2024101016588</v>
      </c>
      <c r="E8262" s="1" t="str">
        <f>"2428301954985539"</f>
        <v>2428301954985539</v>
      </c>
      <c r="F8262" s="1" t="str">
        <f t="shared" si="2361"/>
        <v>花都四部-凤凰仓</v>
      </c>
      <c r="G8262" s="1" t="str">
        <f>"卡卡杜佳旺专卖店（快手店）"</f>
        <v>卡卡杜佳旺专卖店（快手店）</v>
      </c>
      <c r="H8262" s="1" t="str">
        <f t="shared" si="2362"/>
        <v>正常订单</v>
      </c>
      <c r="I8262" s="1" t="str">
        <f t="shared" si="2363"/>
        <v>已发货</v>
      </c>
      <c r="J8262" s="1" t="str">
        <f>"1"</f>
        <v>1</v>
      </c>
      <c r="K8262" s="1">
        <v>1</v>
      </c>
      <c r="L8262" s="1" t="s">
        <v>30</v>
      </c>
      <c r="M8262" s="1" t="str">
        <f>"山东省 青岛市 胶州市 铺集镇"</f>
        <v>山东省 青岛市 胶州市 铺集镇</v>
      </c>
      <c r="N8262" s="1" t="str">
        <f>"凡华云仓-韵达-快手"</f>
        <v>凡华云仓-韵达-快手</v>
      </c>
      <c r="O8262" s="5">
        <v>319205573870272</v>
      </c>
      <c r="P8262" s="6">
        <v>0.12</v>
      </c>
      <c r="Q8262" s="11">
        <v>2</v>
      </c>
      <c r="R8262" s="11"/>
      <c r="S8262" s="11"/>
      <c r="T8262" s="11"/>
      <c r="U8262" s="11">
        <f t="shared" si="2359"/>
        <v>2</v>
      </c>
      <c r="W8262">
        <v>2.2000000000000002</v>
      </c>
      <c r="X8262" s="1" t="s">
        <v>30</v>
      </c>
    </row>
    <row r="8263" spans="1:24" x14ac:dyDescent="0.25">
      <c r="A8263" s="1" t="str">
        <f t="shared" si="2360"/>
        <v>卡卡杜-凤凰仓</v>
      </c>
      <c r="B8263" s="1" t="str">
        <f>"CK20241010204"</f>
        <v>CK20241010204</v>
      </c>
      <c r="C8263" s="1" t="str">
        <f>"DD2024101014210"</f>
        <v>DD2024101014210</v>
      </c>
      <c r="D8263" s="1" t="str">
        <f>"CK2024101016587"</f>
        <v>CK2024101016587</v>
      </c>
      <c r="E8263" s="1" t="str">
        <f>"2428301873331184"</f>
        <v>2428301873331184</v>
      </c>
      <c r="F8263" s="1" t="str">
        <f t="shared" si="2361"/>
        <v>花都四部-凤凰仓</v>
      </c>
      <c r="G8263" s="1" t="str">
        <f>"卡卡杜佳旺专卖店（快手店）"</f>
        <v>卡卡杜佳旺专卖店（快手店）</v>
      </c>
      <c r="H8263" s="1" t="str">
        <f t="shared" si="2362"/>
        <v>正常订单</v>
      </c>
      <c r="I8263" s="1" t="str">
        <f t="shared" si="2363"/>
        <v>已发货</v>
      </c>
      <c r="J8263" s="1" t="str">
        <f t="shared" si="2358"/>
        <v>2</v>
      </c>
      <c r="K8263" s="1">
        <v>2</v>
      </c>
      <c r="L8263" s="1" t="s">
        <v>161</v>
      </c>
      <c r="M8263" s="1" t="str">
        <f>"四川省 泸州市 古蔺县 金兰街道"</f>
        <v>四川省 泸州市 古蔺县 金兰街道</v>
      </c>
      <c r="N8263" s="1" t="str">
        <f>"凡华云仓-韵达-快手"</f>
        <v>凡华云仓-韵达-快手</v>
      </c>
      <c r="O8263" s="5">
        <v>319205668022777</v>
      </c>
      <c r="P8263" s="6">
        <v>0.28000000000000003</v>
      </c>
      <c r="Q8263" s="11">
        <v>2</v>
      </c>
      <c r="R8263" s="11"/>
      <c r="S8263" s="11"/>
      <c r="T8263" s="11"/>
      <c r="U8263" s="11">
        <f t="shared" si="2359"/>
        <v>2</v>
      </c>
      <c r="W8263">
        <v>2.2000000000000002</v>
      </c>
      <c r="X8263" s="1" t="s">
        <v>161</v>
      </c>
    </row>
    <row r="8264" spans="1:24" x14ac:dyDescent="0.25">
      <c r="A8264" s="1" t="str">
        <f t="shared" si="2360"/>
        <v>卡卡杜-凤凰仓</v>
      </c>
      <c r="B8264" s="1" t="str">
        <f>"CK20241010208"</f>
        <v>CK20241010208</v>
      </c>
      <c r="C8264" s="1" t="str">
        <f>"DD2024101014216"</f>
        <v>DD2024101014216</v>
      </c>
      <c r="D8264" s="1" t="str">
        <f>"CK2024101016586"</f>
        <v>CK2024101016586</v>
      </c>
      <c r="E8264" s="1" t="str">
        <f>"3723198904113433600"</f>
        <v>3723198904113433600</v>
      </c>
      <c r="F8264" s="1" t="str">
        <f t="shared" si="2361"/>
        <v>花都四部-凤凰仓</v>
      </c>
      <c r="G8264" s="1" t="str">
        <f t="shared" ref="G8264:G8268" si="2364">"卡卡杜企业店（视频号）"</f>
        <v>卡卡杜企业店（视频号）</v>
      </c>
      <c r="H8264" s="1" t="str">
        <f t="shared" si="2362"/>
        <v>正常订单</v>
      </c>
      <c r="I8264" s="1" t="str">
        <f t="shared" si="2363"/>
        <v>已发货</v>
      </c>
      <c r="J8264" s="1" t="str">
        <f t="shared" si="2358"/>
        <v>2</v>
      </c>
      <c r="K8264" s="1">
        <v>2</v>
      </c>
      <c r="L8264" s="1" t="s">
        <v>18</v>
      </c>
      <c r="M8264" s="1" t="str">
        <f>"广东省 深圳市 罗湖区 "</f>
        <v xml:space="preserve">广东省 深圳市 罗湖区 </v>
      </c>
      <c r="N8264" s="1" t="str">
        <f t="shared" ref="N8264:N8268" si="2365">"凡华云仓-韵达-微信视频号"</f>
        <v>凡华云仓-韵达-微信视频号</v>
      </c>
      <c r="O8264" s="5">
        <v>315012476861179</v>
      </c>
      <c r="P8264" s="6">
        <v>0.28000000000000003</v>
      </c>
      <c r="Q8264" s="11">
        <v>2</v>
      </c>
      <c r="R8264" s="11"/>
      <c r="S8264" s="11"/>
      <c r="T8264" s="11"/>
      <c r="U8264" s="11">
        <f t="shared" si="2359"/>
        <v>2</v>
      </c>
      <c r="W8264">
        <v>2.2000000000000002</v>
      </c>
      <c r="X8264" s="1" t="s">
        <v>18</v>
      </c>
    </row>
    <row r="8265" spans="1:24" x14ac:dyDescent="0.25">
      <c r="A8265" s="1" t="str">
        <f t="shared" si="2360"/>
        <v>卡卡杜-凤凰仓</v>
      </c>
      <c r="B8265" s="1" t="str">
        <f>"CK20241010206"</f>
        <v>CK20241010206</v>
      </c>
      <c r="C8265" s="1" t="str">
        <f>"DD2024101014213"</f>
        <v>DD2024101014213</v>
      </c>
      <c r="D8265" s="1" t="str">
        <f>"CK2024101016585"</f>
        <v>CK2024101016585</v>
      </c>
      <c r="E8265" s="1" t="str">
        <f>"3723199669114114048"</f>
        <v>3723199669114114048</v>
      </c>
      <c r="F8265" s="1" t="str">
        <f t="shared" si="2361"/>
        <v>花都四部-凤凰仓</v>
      </c>
      <c r="G8265" s="1" t="str">
        <f t="shared" si="2364"/>
        <v>卡卡杜企业店（视频号）</v>
      </c>
      <c r="H8265" s="1" t="str">
        <f t="shared" si="2362"/>
        <v>正常订单</v>
      </c>
      <c r="I8265" s="1" t="str">
        <f t="shared" si="2363"/>
        <v>已发货</v>
      </c>
      <c r="J8265" s="1" t="str">
        <f t="shared" si="2358"/>
        <v>2</v>
      </c>
      <c r="K8265" s="1">
        <v>2</v>
      </c>
      <c r="L8265" s="1" t="s">
        <v>27</v>
      </c>
      <c r="M8265" s="1" t="str">
        <f>"贵州省 安顺市 西秀区 "</f>
        <v xml:space="preserve">贵州省 安顺市 西秀区 </v>
      </c>
      <c r="N8265" s="1" t="str">
        <f t="shared" si="2365"/>
        <v>凡华云仓-韵达-微信视频号</v>
      </c>
      <c r="O8265" s="5">
        <v>315012476858159</v>
      </c>
      <c r="P8265" s="6">
        <v>0.28000000000000003</v>
      </c>
      <c r="Q8265" s="11">
        <v>2</v>
      </c>
      <c r="R8265" s="11"/>
      <c r="S8265" s="11"/>
      <c r="T8265" s="11"/>
      <c r="U8265" s="11">
        <f t="shared" si="2359"/>
        <v>2</v>
      </c>
      <c r="W8265">
        <v>2.2000000000000002</v>
      </c>
      <c r="X8265" s="1" t="s">
        <v>27</v>
      </c>
    </row>
    <row r="8266" spans="1:24" x14ac:dyDescent="0.25">
      <c r="A8266" s="1" t="str">
        <f t="shared" si="2360"/>
        <v>卡卡杜-凤凰仓</v>
      </c>
      <c r="B8266" s="1" t="str">
        <f>"CK20241010213"</f>
        <v>CK20241010213</v>
      </c>
      <c r="C8266" s="1" t="str">
        <f>"DD2024101014219"</f>
        <v>DD2024101014219</v>
      </c>
      <c r="D8266" s="1" t="str">
        <f>"CK2024101016584"</f>
        <v>CK2024101016584</v>
      </c>
      <c r="E8266" s="1" t="str">
        <f>"3723193051380585472"</f>
        <v>3723193051380585472</v>
      </c>
      <c r="F8266" s="1" t="str">
        <f t="shared" si="2361"/>
        <v>花都四部-凤凰仓</v>
      </c>
      <c r="G8266" s="1" t="str">
        <f t="shared" si="2364"/>
        <v>卡卡杜企业店（视频号）</v>
      </c>
      <c r="H8266" s="1" t="str">
        <f t="shared" si="2362"/>
        <v>正常订单</v>
      </c>
      <c r="I8266" s="1" t="str">
        <f t="shared" si="2363"/>
        <v>已发货</v>
      </c>
      <c r="J8266" s="1" t="str">
        <f t="shared" si="2358"/>
        <v>2</v>
      </c>
      <c r="K8266" s="1">
        <v>2</v>
      </c>
      <c r="L8266" s="1" t="s">
        <v>54</v>
      </c>
      <c r="M8266" s="1" t="str">
        <f>"黑龙江省 哈尔滨市 南岗区 "</f>
        <v xml:space="preserve">黑龙江省 哈尔滨市 南岗区 </v>
      </c>
      <c r="N8266" s="1" t="str">
        <f t="shared" si="2365"/>
        <v>凡华云仓-韵达-微信视频号</v>
      </c>
      <c r="O8266" s="5">
        <v>315012476854838</v>
      </c>
      <c r="P8266" s="6">
        <v>0.28000000000000003</v>
      </c>
      <c r="Q8266" s="11">
        <v>2</v>
      </c>
      <c r="R8266" s="11"/>
      <c r="S8266" s="11"/>
      <c r="T8266" s="11"/>
      <c r="U8266" s="11">
        <f t="shared" si="2359"/>
        <v>2</v>
      </c>
      <c r="W8266">
        <v>2.2000000000000002</v>
      </c>
      <c r="X8266" s="1" t="s">
        <v>54</v>
      </c>
    </row>
    <row r="8267" spans="1:24" x14ac:dyDescent="0.25">
      <c r="A8267" s="1" t="str">
        <f t="shared" si="2360"/>
        <v>卡卡杜-凤凰仓</v>
      </c>
      <c r="B8267" s="1" t="str">
        <f>"CK20241010211"</f>
        <v>CK20241010211</v>
      </c>
      <c r="C8267" s="1" t="str">
        <f>"DD2024101014217"</f>
        <v>DD2024101014217</v>
      </c>
      <c r="D8267" s="1" t="str">
        <f>"CK2024101016583"</f>
        <v>CK2024101016583</v>
      </c>
      <c r="E8267" s="1" t="str">
        <f>"3723199848600965120"</f>
        <v>3723199848600965120</v>
      </c>
      <c r="F8267" s="1" t="str">
        <f t="shared" si="2361"/>
        <v>花都四部-凤凰仓</v>
      </c>
      <c r="G8267" s="1" t="str">
        <f t="shared" si="2364"/>
        <v>卡卡杜企业店（视频号）</v>
      </c>
      <c r="H8267" s="1" t="str">
        <f t="shared" si="2362"/>
        <v>正常订单</v>
      </c>
      <c r="I8267" s="1" t="str">
        <f t="shared" si="2363"/>
        <v>已发货</v>
      </c>
      <c r="J8267" s="1" t="str">
        <f t="shared" si="2358"/>
        <v>2</v>
      </c>
      <c r="K8267" s="1">
        <v>2</v>
      </c>
      <c r="L8267" s="1" t="s">
        <v>18</v>
      </c>
      <c r="M8267" s="1" t="str">
        <f>"广东省 深圳市 福田区 "</f>
        <v xml:space="preserve">广东省 深圳市 福田区 </v>
      </c>
      <c r="N8267" s="1" t="str">
        <f t="shared" si="2365"/>
        <v>凡华云仓-韵达-微信视频号</v>
      </c>
      <c r="O8267" s="5">
        <v>315012476698739</v>
      </c>
      <c r="P8267" s="6">
        <v>0.28000000000000003</v>
      </c>
      <c r="Q8267" s="11">
        <v>2</v>
      </c>
      <c r="R8267" s="11"/>
      <c r="S8267" s="11"/>
      <c r="T8267" s="11"/>
      <c r="U8267" s="11">
        <f t="shared" si="2359"/>
        <v>2</v>
      </c>
      <c r="W8267">
        <v>2.2000000000000002</v>
      </c>
      <c r="X8267" s="1" t="s">
        <v>18</v>
      </c>
    </row>
    <row r="8268" spans="1:24" x14ac:dyDescent="0.25">
      <c r="A8268" s="1" t="str">
        <f t="shared" si="2360"/>
        <v>卡卡杜-凤凰仓</v>
      </c>
      <c r="B8268" s="1" t="str">
        <f>"CK202410102105"</f>
        <v>CK202410102105</v>
      </c>
      <c r="C8268" s="1" t="str">
        <f>"DD2024101014334"</f>
        <v>DD2024101014334</v>
      </c>
      <c r="D8268" s="1" t="str">
        <f>"CK2024101016582"</f>
        <v>CK2024101016582</v>
      </c>
      <c r="E8268" s="1" t="str">
        <f>"3723195912852475904"</f>
        <v>3723195912852475904</v>
      </c>
      <c r="F8268" s="1" t="str">
        <f t="shared" si="2361"/>
        <v>花都四部-凤凰仓</v>
      </c>
      <c r="G8268" s="1" t="str">
        <f t="shared" si="2364"/>
        <v>卡卡杜企业店（视频号）</v>
      </c>
      <c r="H8268" s="1" t="str">
        <f t="shared" si="2362"/>
        <v>正常订单</v>
      </c>
      <c r="I8268" s="1" t="str">
        <f t="shared" si="2363"/>
        <v>已发货</v>
      </c>
      <c r="J8268" s="1" t="str">
        <f>"4"</f>
        <v>4</v>
      </c>
      <c r="K8268" s="1">
        <v>2</v>
      </c>
      <c r="L8268" s="1" t="s">
        <v>30</v>
      </c>
      <c r="M8268" s="1" t="str">
        <f>"山东省 济南市 槐荫区 "</f>
        <v xml:space="preserve">山东省 济南市 槐荫区 </v>
      </c>
      <c r="N8268" s="1" t="str">
        <f t="shared" si="2365"/>
        <v>凡华云仓-韵达-微信视频号</v>
      </c>
      <c r="O8268" s="5">
        <v>315012476850375</v>
      </c>
      <c r="P8268" s="6">
        <v>0.42</v>
      </c>
      <c r="Q8268" s="11">
        <v>2.2999999999999998</v>
      </c>
      <c r="R8268" s="11"/>
      <c r="S8268" s="11"/>
      <c r="T8268" s="11"/>
      <c r="U8268" s="11">
        <f t="shared" si="2359"/>
        <v>2.2999999999999998</v>
      </c>
      <c r="W8268">
        <v>2.5</v>
      </c>
      <c r="X8268" s="1" t="s">
        <v>30</v>
      </c>
    </row>
    <row r="8269" spans="1:24" x14ac:dyDescent="0.25">
      <c r="A8269" s="1" t="str">
        <f t="shared" si="2360"/>
        <v>卡卡杜-凤凰仓</v>
      </c>
      <c r="B8269" s="1" t="str">
        <f>"CK20241010159"</f>
        <v>CK20241010159</v>
      </c>
      <c r="C8269" s="1" t="str">
        <f>"DD2024101014165"</f>
        <v>DD2024101014165</v>
      </c>
      <c r="D8269" s="1" t="str">
        <f>"CK2024101012708"</f>
        <v>CK2024101012708</v>
      </c>
      <c r="E8269" s="1" t="str">
        <f>"6918035403020467624"</f>
        <v>6918035403020467624</v>
      </c>
      <c r="F8269" s="1" t="str">
        <f t="shared" si="2361"/>
        <v>花都四部-凤凰仓</v>
      </c>
      <c r="G8269" s="1" t="str">
        <f t="shared" ref="G8269:G8332" si="2366">"卡卡杜个人护理店（抖店）"</f>
        <v>卡卡杜个人护理店（抖店）</v>
      </c>
      <c r="H8269" s="1" t="str">
        <f t="shared" si="2362"/>
        <v>正常订单</v>
      </c>
      <c r="I8269" s="1" t="str">
        <f t="shared" si="2363"/>
        <v>已发货</v>
      </c>
      <c r="J8269" s="1" t="str">
        <f t="shared" ref="J8269:J8302" si="2367">"2"</f>
        <v>2</v>
      </c>
      <c r="K8269" s="1">
        <v>1</v>
      </c>
      <c r="L8269" s="1" t="s">
        <v>18</v>
      </c>
      <c r="M8269" s="1" t="str">
        <f>"广东省 江门市 新会区 会城街道"</f>
        <v>广东省 江门市 新会区 会城街道</v>
      </c>
      <c r="N8269" s="1" t="str">
        <f t="shared" ref="N8269:N8332" si="2368">"凡华云仓-韵达-抖音"</f>
        <v>凡华云仓-韵达-抖音</v>
      </c>
      <c r="O8269" s="5">
        <v>320164389557623</v>
      </c>
      <c r="P8269" s="6">
        <v>0.33</v>
      </c>
      <c r="Q8269" s="11">
        <v>2.2999999999999998</v>
      </c>
      <c r="R8269" s="11"/>
      <c r="S8269" s="11"/>
      <c r="T8269" s="11"/>
      <c r="U8269" s="11">
        <f t="shared" si="2359"/>
        <v>2.2999999999999998</v>
      </c>
      <c r="W8269">
        <v>2.5</v>
      </c>
      <c r="X8269" s="1" t="s">
        <v>18</v>
      </c>
    </row>
    <row r="8270" spans="1:24" x14ac:dyDescent="0.25">
      <c r="A8270" s="1" t="str">
        <f t="shared" si="2360"/>
        <v>卡卡杜-凤凰仓</v>
      </c>
      <c r="B8270" s="1" t="str">
        <f>"CK20241010176"</f>
        <v>CK20241010176</v>
      </c>
      <c r="C8270" s="1" t="str">
        <f>"DD2024101014181"</f>
        <v>DD2024101014181</v>
      </c>
      <c r="D8270" s="1" t="str">
        <f>"CK2024101012707"</f>
        <v>CK2024101012707</v>
      </c>
      <c r="E8270" s="1" t="str">
        <f>"6918035089155783817"</f>
        <v>6918035089155783817</v>
      </c>
      <c r="F8270" s="1" t="str">
        <f t="shared" si="2361"/>
        <v>花都四部-凤凰仓</v>
      </c>
      <c r="G8270" s="1" t="str">
        <f t="shared" si="2366"/>
        <v>卡卡杜个人护理店（抖店）</v>
      </c>
      <c r="H8270" s="1" t="str">
        <f t="shared" si="2362"/>
        <v>正常订单</v>
      </c>
      <c r="I8270" s="1" t="str">
        <f t="shared" si="2363"/>
        <v>已发货</v>
      </c>
      <c r="J8270" s="1" t="str">
        <f t="shared" si="2367"/>
        <v>2</v>
      </c>
      <c r="K8270" s="1">
        <v>1</v>
      </c>
      <c r="L8270" s="1" t="s">
        <v>24</v>
      </c>
      <c r="M8270" s="1" t="str">
        <f>"福建省 三明市 明溪县 雪峰镇"</f>
        <v>福建省 三明市 明溪县 雪峰镇</v>
      </c>
      <c r="N8270" s="1" t="str">
        <f t="shared" si="2368"/>
        <v>凡华云仓-韵达-抖音</v>
      </c>
      <c r="O8270" s="5">
        <v>320164389557524</v>
      </c>
      <c r="P8270" s="6">
        <v>0.33</v>
      </c>
      <c r="Q8270" s="11">
        <v>2.2999999999999998</v>
      </c>
      <c r="R8270" s="11"/>
      <c r="S8270" s="11"/>
      <c r="T8270" s="11"/>
      <c r="U8270" s="11">
        <f t="shared" si="2359"/>
        <v>2.2999999999999998</v>
      </c>
      <c r="W8270">
        <v>2.5</v>
      </c>
      <c r="X8270" s="1" t="s">
        <v>24</v>
      </c>
    </row>
    <row r="8271" spans="1:24" x14ac:dyDescent="0.25">
      <c r="A8271" s="1" t="str">
        <f t="shared" si="2360"/>
        <v>卡卡杜-凤凰仓</v>
      </c>
      <c r="B8271" s="1" t="str">
        <f>"CK2024100614151"</f>
        <v>CK2024100614151</v>
      </c>
      <c r="C8271" s="1" t="str">
        <f>"DD2024100644374"</f>
        <v>DD2024100644374</v>
      </c>
      <c r="D8271" s="1" t="str">
        <f>"CK2024100640845"</f>
        <v>CK2024100640845</v>
      </c>
      <c r="E8271" s="1" t="str">
        <f>"6917876102477413703"</f>
        <v>6917876102477413703</v>
      </c>
      <c r="F8271" s="1" t="str">
        <f t="shared" si="2361"/>
        <v>花都四部-凤凰仓</v>
      </c>
      <c r="G8271" s="1" t="str">
        <f t="shared" si="2366"/>
        <v>卡卡杜个人护理店（抖店）</v>
      </c>
      <c r="H8271" s="1" t="str">
        <f t="shared" si="2362"/>
        <v>正常订单</v>
      </c>
      <c r="I8271" s="1" t="str">
        <f t="shared" si="2363"/>
        <v>已发货</v>
      </c>
      <c r="J8271" s="1" t="str">
        <f>"4"</f>
        <v>4</v>
      </c>
      <c r="K8271" s="1">
        <v>1</v>
      </c>
      <c r="L8271" s="1" t="s">
        <v>74</v>
      </c>
      <c r="M8271" s="1" t="str">
        <f>"上海 上海市 浦东新区 川沙新镇"</f>
        <v>上海 上海市 浦东新区 川沙新镇</v>
      </c>
      <c r="N8271" s="1" t="str">
        <f t="shared" si="2368"/>
        <v>凡华云仓-韵达-抖音</v>
      </c>
      <c r="O8271" s="5">
        <v>320158400955490</v>
      </c>
      <c r="P8271" s="6">
        <v>0.57999999999999996</v>
      </c>
      <c r="Q8271" s="11">
        <f>CEILING(P8271-0.5,0.1)*10*0.15+2.3</f>
        <v>2.4499999999999997</v>
      </c>
      <c r="R8271" s="11"/>
      <c r="S8271" s="11"/>
      <c r="T8271" s="11"/>
      <c r="U8271" s="11">
        <f t="shared" si="2359"/>
        <v>2.4499999999999997</v>
      </c>
      <c r="V8271" t="s">
        <v>15</v>
      </c>
      <c r="W8271">
        <v>2.4500000000000002</v>
      </c>
      <c r="X8271" s="1" t="s">
        <v>74</v>
      </c>
    </row>
    <row r="8272" spans="1:24" x14ac:dyDescent="0.25">
      <c r="A8272" s="1" t="str">
        <f t="shared" si="2360"/>
        <v>卡卡杜-凤凰仓</v>
      </c>
      <c r="B8272" s="1" t="str">
        <f>"CK20241010177"</f>
        <v>CK20241010177</v>
      </c>
      <c r="C8272" s="1" t="str">
        <f>"DD2024101014183"</f>
        <v>DD2024101014183</v>
      </c>
      <c r="D8272" s="1" t="str">
        <f>"CK2024101012705"</f>
        <v>CK2024101012705</v>
      </c>
      <c r="E8272" s="1" t="str">
        <f>"6918030517988719616"</f>
        <v>6918030517988719616</v>
      </c>
      <c r="F8272" s="1" t="str">
        <f t="shared" si="2361"/>
        <v>花都四部-凤凰仓</v>
      </c>
      <c r="G8272" s="1" t="str">
        <f t="shared" si="2366"/>
        <v>卡卡杜个人护理店（抖店）</v>
      </c>
      <c r="H8272" s="1" t="str">
        <f t="shared" si="2362"/>
        <v>正常订单</v>
      </c>
      <c r="I8272" s="1" t="str">
        <f t="shared" si="2363"/>
        <v>已发货</v>
      </c>
      <c r="J8272" s="1" t="str">
        <f t="shared" si="2367"/>
        <v>2</v>
      </c>
      <c r="K8272" s="1">
        <v>1</v>
      </c>
      <c r="L8272" s="1" t="s">
        <v>96</v>
      </c>
      <c r="M8272" s="1" t="str">
        <f>"广西壮族自治区 百色市 那坡县 城厢镇"</f>
        <v>广西壮族自治区 百色市 那坡县 城厢镇</v>
      </c>
      <c r="N8272" s="1" t="str">
        <f t="shared" si="2368"/>
        <v>凡华云仓-韵达-抖音</v>
      </c>
      <c r="O8272" s="5">
        <v>320164389557332</v>
      </c>
      <c r="P8272" s="6">
        <v>0.33</v>
      </c>
      <c r="Q8272" s="11">
        <v>2.2999999999999998</v>
      </c>
      <c r="R8272" s="11"/>
      <c r="S8272" s="11"/>
      <c r="T8272" s="11"/>
      <c r="U8272" s="11">
        <f t="shared" si="2359"/>
        <v>2.2999999999999998</v>
      </c>
      <c r="W8272">
        <v>2.5</v>
      </c>
      <c r="X8272" s="1" t="s">
        <v>96</v>
      </c>
    </row>
    <row r="8273" spans="1:24" x14ac:dyDescent="0.25">
      <c r="A8273" s="1" t="str">
        <f t="shared" si="2360"/>
        <v>卡卡杜-凤凰仓</v>
      </c>
      <c r="B8273" s="1" t="str">
        <f>"CK20241010178"</f>
        <v>CK20241010178</v>
      </c>
      <c r="C8273" s="1" t="str">
        <f>"DD2024101014184"</f>
        <v>DD2024101014184</v>
      </c>
      <c r="D8273" s="1" t="str">
        <f>"CK2024101012704"</f>
        <v>CK2024101012704</v>
      </c>
      <c r="E8273" s="1" t="str">
        <f>"6918032824637357973"</f>
        <v>6918032824637357973</v>
      </c>
      <c r="F8273" s="1" t="str">
        <f t="shared" si="2361"/>
        <v>花都四部-凤凰仓</v>
      </c>
      <c r="G8273" s="1" t="str">
        <f t="shared" si="2366"/>
        <v>卡卡杜个人护理店（抖店）</v>
      </c>
      <c r="H8273" s="1" t="str">
        <f t="shared" si="2362"/>
        <v>正常订单</v>
      </c>
      <c r="I8273" s="1" t="str">
        <f t="shared" si="2363"/>
        <v>已发货</v>
      </c>
      <c r="J8273" s="1" t="str">
        <f t="shared" si="2367"/>
        <v>2</v>
      </c>
      <c r="K8273" s="1">
        <v>1</v>
      </c>
      <c r="L8273" s="1" t="s">
        <v>74</v>
      </c>
      <c r="M8273" s="1" t="str">
        <f>"上海 上海市 宝山区 月浦镇"</f>
        <v>上海 上海市 宝山区 月浦镇</v>
      </c>
      <c r="N8273" s="1" t="str">
        <f t="shared" si="2368"/>
        <v>凡华云仓-韵达-抖音</v>
      </c>
      <c r="O8273" s="5">
        <v>320164389557239</v>
      </c>
      <c r="P8273" s="6">
        <v>0.33</v>
      </c>
      <c r="Q8273" s="11">
        <v>2.2999999999999998</v>
      </c>
      <c r="R8273" s="11"/>
      <c r="S8273" s="11"/>
      <c r="T8273" s="11"/>
      <c r="U8273" s="11">
        <f t="shared" si="2359"/>
        <v>2.2999999999999998</v>
      </c>
      <c r="W8273">
        <v>2.5</v>
      </c>
      <c r="X8273" s="1" t="s">
        <v>74</v>
      </c>
    </row>
    <row r="8274" spans="1:24" x14ac:dyDescent="0.25">
      <c r="A8274" s="1" t="str">
        <f t="shared" si="2360"/>
        <v>卡卡杜-凤凰仓</v>
      </c>
      <c r="B8274" s="1" t="str">
        <f>"CK20241010174"</f>
        <v>CK20241010174</v>
      </c>
      <c r="C8274" s="1" t="str">
        <f>"DD2024101014182"</f>
        <v>DD2024101014182</v>
      </c>
      <c r="D8274" s="1" t="str">
        <f>"CK2024101012703"</f>
        <v>CK2024101012703</v>
      </c>
      <c r="E8274" s="1" t="str">
        <f>"6918035078043500304"</f>
        <v>6918035078043500304</v>
      </c>
      <c r="F8274" s="1" t="str">
        <f t="shared" si="2361"/>
        <v>花都四部-凤凰仓</v>
      </c>
      <c r="G8274" s="1" t="str">
        <f t="shared" si="2366"/>
        <v>卡卡杜个人护理店（抖店）</v>
      </c>
      <c r="H8274" s="1" t="str">
        <f t="shared" si="2362"/>
        <v>正常订单</v>
      </c>
      <c r="I8274" s="1" t="str">
        <f t="shared" si="2363"/>
        <v>已发货</v>
      </c>
      <c r="J8274" s="1" t="str">
        <f t="shared" si="2367"/>
        <v>2</v>
      </c>
      <c r="K8274" s="1">
        <v>1</v>
      </c>
      <c r="L8274" s="1" t="s">
        <v>20</v>
      </c>
      <c r="M8274" s="1" t="str">
        <f>"浙江省 宁波市 象山县 石浦镇"</f>
        <v>浙江省 宁波市 象山县 石浦镇</v>
      </c>
      <c r="N8274" s="1" t="str">
        <f t="shared" si="2368"/>
        <v>凡华云仓-韵达-抖音</v>
      </c>
      <c r="O8274" s="5">
        <v>320164389557148</v>
      </c>
      <c r="P8274" s="6">
        <v>0.33</v>
      </c>
      <c r="Q8274" s="11">
        <v>2.2999999999999998</v>
      </c>
      <c r="R8274" s="11"/>
      <c r="S8274" s="11"/>
      <c r="T8274" s="11"/>
      <c r="U8274" s="11">
        <f t="shared" si="2359"/>
        <v>2.2999999999999998</v>
      </c>
      <c r="W8274">
        <v>2.5</v>
      </c>
      <c r="X8274" s="1" t="s">
        <v>20</v>
      </c>
    </row>
    <row r="8275" spans="1:24" x14ac:dyDescent="0.25">
      <c r="A8275" s="1" t="str">
        <f t="shared" si="2360"/>
        <v>卡卡杜-凤凰仓</v>
      </c>
      <c r="B8275" s="1" t="str">
        <f>"CK20241010179"</f>
        <v>CK20241010179</v>
      </c>
      <c r="C8275" s="1" t="str">
        <f>"DD2024101014185"</f>
        <v>DD2024101014185</v>
      </c>
      <c r="D8275" s="1" t="str">
        <f>"CK2024101012702"</f>
        <v>CK2024101012702</v>
      </c>
      <c r="E8275" s="1" t="str">
        <f>"6918025629660970737"</f>
        <v>6918025629660970737</v>
      </c>
      <c r="F8275" s="1" t="str">
        <f t="shared" si="2361"/>
        <v>花都四部-凤凰仓</v>
      </c>
      <c r="G8275" s="1" t="str">
        <f t="shared" si="2366"/>
        <v>卡卡杜个人护理店（抖店）</v>
      </c>
      <c r="H8275" s="1" t="str">
        <f t="shared" si="2362"/>
        <v>正常订单</v>
      </c>
      <c r="I8275" s="1" t="str">
        <f t="shared" si="2363"/>
        <v>已发货</v>
      </c>
      <c r="J8275" s="1" t="str">
        <f t="shared" si="2367"/>
        <v>2</v>
      </c>
      <c r="K8275" s="1">
        <v>1</v>
      </c>
      <c r="L8275" s="1" t="s">
        <v>36</v>
      </c>
      <c r="M8275" s="1" t="str">
        <f>"安徽省 亳州市 利辛县 展沟镇"</f>
        <v>安徽省 亳州市 利辛县 展沟镇</v>
      </c>
      <c r="N8275" s="1" t="str">
        <f t="shared" si="2368"/>
        <v>凡华云仓-韵达-抖音</v>
      </c>
      <c r="O8275" s="5">
        <v>320164389557059</v>
      </c>
      <c r="P8275" s="6">
        <v>0.33</v>
      </c>
      <c r="Q8275" s="11">
        <v>2.2999999999999998</v>
      </c>
      <c r="R8275" s="11"/>
      <c r="S8275" s="11"/>
      <c r="T8275" s="11"/>
      <c r="U8275" s="11">
        <f t="shared" si="2359"/>
        <v>2.2999999999999998</v>
      </c>
      <c r="W8275">
        <v>2.5</v>
      </c>
      <c r="X8275" s="1" t="s">
        <v>36</v>
      </c>
    </row>
    <row r="8276" spans="1:24" x14ac:dyDescent="0.25">
      <c r="A8276" s="1" t="str">
        <f t="shared" si="2360"/>
        <v>卡卡杜-凤凰仓</v>
      </c>
      <c r="B8276" s="1" t="str">
        <f>"CK20241010181"</f>
        <v>CK20241010181</v>
      </c>
      <c r="C8276" s="1" t="str">
        <f>"DD2024101014189"</f>
        <v>DD2024101014189</v>
      </c>
      <c r="D8276" s="1" t="str">
        <f>"CK2024101012701"</f>
        <v>CK2024101012701</v>
      </c>
      <c r="E8276" s="1" t="str">
        <f>"6918034671286386046"</f>
        <v>6918034671286386046</v>
      </c>
      <c r="F8276" s="1" t="str">
        <f t="shared" si="2361"/>
        <v>花都四部-凤凰仓</v>
      </c>
      <c r="G8276" s="1" t="str">
        <f t="shared" si="2366"/>
        <v>卡卡杜个人护理店（抖店）</v>
      </c>
      <c r="H8276" s="1" t="str">
        <f t="shared" si="2362"/>
        <v>正常订单</v>
      </c>
      <c r="I8276" s="1" t="str">
        <f t="shared" si="2363"/>
        <v>已发货</v>
      </c>
      <c r="J8276" s="1" t="str">
        <f t="shared" si="2367"/>
        <v>2</v>
      </c>
      <c r="K8276" s="1">
        <v>1</v>
      </c>
      <c r="L8276" s="1" t="s">
        <v>20</v>
      </c>
      <c r="M8276" s="1" t="str">
        <f>"浙江省 台州市 临海市 东塍镇"</f>
        <v>浙江省 台州市 临海市 东塍镇</v>
      </c>
      <c r="N8276" s="1" t="str">
        <f t="shared" si="2368"/>
        <v>凡华云仓-韵达-抖音</v>
      </c>
      <c r="O8276" s="5">
        <v>320164376770355</v>
      </c>
      <c r="P8276" s="6">
        <v>0.33</v>
      </c>
      <c r="Q8276" s="11">
        <v>2.2999999999999998</v>
      </c>
      <c r="R8276" s="11"/>
      <c r="S8276" s="11"/>
      <c r="T8276" s="11"/>
      <c r="U8276" s="11">
        <f t="shared" si="2359"/>
        <v>2.2999999999999998</v>
      </c>
      <c r="W8276">
        <v>2.5</v>
      </c>
      <c r="X8276" s="1" t="s">
        <v>20</v>
      </c>
    </row>
    <row r="8277" spans="1:24" x14ac:dyDescent="0.25">
      <c r="A8277" s="1" t="str">
        <f t="shared" si="2360"/>
        <v>卡卡杜-凤凰仓</v>
      </c>
      <c r="B8277" s="1" t="str">
        <f>"CK20241010182"</f>
        <v>CK20241010182</v>
      </c>
      <c r="C8277" s="1" t="str">
        <f>"DD2024101014187"</f>
        <v>DD2024101014187</v>
      </c>
      <c r="D8277" s="1" t="str">
        <f>"CK2024101012700"</f>
        <v>CK2024101012700</v>
      </c>
      <c r="E8277" s="1" t="str">
        <f>"6918032264464727182"</f>
        <v>6918032264464727182</v>
      </c>
      <c r="F8277" s="1" t="str">
        <f t="shared" si="2361"/>
        <v>花都四部-凤凰仓</v>
      </c>
      <c r="G8277" s="1" t="str">
        <f t="shared" si="2366"/>
        <v>卡卡杜个人护理店（抖店）</v>
      </c>
      <c r="H8277" s="1" t="str">
        <f t="shared" si="2362"/>
        <v>正常订单</v>
      </c>
      <c r="I8277" s="1" t="str">
        <f t="shared" si="2363"/>
        <v>已发货</v>
      </c>
      <c r="J8277" s="1" t="str">
        <f t="shared" si="2367"/>
        <v>2</v>
      </c>
      <c r="K8277" s="1">
        <v>1</v>
      </c>
      <c r="L8277" s="1" t="s">
        <v>24</v>
      </c>
      <c r="M8277" s="1" t="str">
        <f>"福建省 厦门市 思明区 厦港街道"</f>
        <v>福建省 厦门市 思明区 厦港街道</v>
      </c>
      <c r="N8277" s="1" t="str">
        <f t="shared" si="2368"/>
        <v>凡华云仓-韵达-抖音</v>
      </c>
      <c r="O8277" s="5">
        <v>320164376770262</v>
      </c>
      <c r="P8277" s="6">
        <v>0.33</v>
      </c>
      <c r="Q8277" s="11">
        <v>2.2999999999999998</v>
      </c>
      <c r="R8277" s="11"/>
      <c r="S8277" s="11"/>
      <c r="T8277" s="11"/>
      <c r="U8277" s="11">
        <f t="shared" si="2359"/>
        <v>2.2999999999999998</v>
      </c>
      <c r="W8277">
        <v>2.5</v>
      </c>
      <c r="X8277" s="1" t="s">
        <v>24</v>
      </c>
    </row>
    <row r="8278" spans="1:24" x14ac:dyDescent="0.25">
      <c r="A8278" s="1" t="str">
        <f t="shared" si="2360"/>
        <v>卡卡杜-凤凰仓</v>
      </c>
      <c r="B8278" s="1" t="str">
        <f>"CK20241010199"</f>
        <v>CK20241010199</v>
      </c>
      <c r="C8278" s="1" t="str">
        <f>"DD2024101014205"</f>
        <v>DD2024101014205</v>
      </c>
      <c r="D8278" s="1" t="str">
        <f>"CK2024101012699"</f>
        <v>CK2024101012699</v>
      </c>
      <c r="E8278" s="1" t="str">
        <f>"6918034805146418261"</f>
        <v>6918034805146418261</v>
      </c>
      <c r="F8278" s="1" t="str">
        <f t="shared" si="2361"/>
        <v>花都四部-凤凰仓</v>
      </c>
      <c r="G8278" s="1" t="str">
        <f t="shared" si="2366"/>
        <v>卡卡杜个人护理店（抖店）</v>
      </c>
      <c r="H8278" s="1" t="str">
        <f t="shared" si="2362"/>
        <v>正常订单</v>
      </c>
      <c r="I8278" s="1" t="str">
        <f t="shared" si="2363"/>
        <v>已发货</v>
      </c>
      <c r="J8278" s="1" t="str">
        <f t="shared" si="2367"/>
        <v>2</v>
      </c>
      <c r="K8278" s="1">
        <v>2</v>
      </c>
      <c r="L8278" s="1" t="s">
        <v>13</v>
      </c>
      <c r="M8278" s="1" t="str">
        <f>"江苏省 苏州市 昆山市 玉山镇"</f>
        <v>江苏省 苏州市 昆山市 玉山镇</v>
      </c>
      <c r="N8278" s="1" t="str">
        <f t="shared" si="2368"/>
        <v>凡华云仓-韵达-抖音</v>
      </c>
      <c r="O8278" s="5">
        <v>320164376770171</v>
      </c>
      <c r="P8278" s="6">
        <v>0.28000000000000003</v>
      </c>
      <c r="Q8278" s="11">
        <v>2</v>
      </c>
      <c r="R8278" s="11"/>
      <c r="S8278" s="11"/>
      <c r="T8278" s="11"/>
      <c r="U8278" s="11">
        <f t="shared" si="2359"/>
        <v>2</v>
      </c>
      <c r="W8278">
        <v>2.2000000000000002</v>
      </c>
      <c r="X8278" s="1" t="s">
        <v>13</v>
      </c>
    </row>
    <row r="8279" spans="1:24" x14ac:dyDescent="0.25">
      <c r="A8279" s="1" t="str">
        <f t="shared" si="2360"/>
        <v>卡卡杜-凤凰仓</v>
      </c>
      <c r="B8279" s="1" t="str">
        <f>"CK20241010183"</f>
        <v>CK20241010183</v>
      </c>
      <c r="C8279" s="1" t="str">
        <f>"DD2024101014188"</f>
        <v>DD2024101014188</v>
      </c>
      <c r="D8279" s="1" t="str">
        <f>"CK2024101012698"</f>
        <v>CK2024101012698</v>
      </c>
      <c r="E8279" s="1" t="str">
        <f>"6918025069238779011"</f>
        <v>6918025069238779011</v>
      </c>
      <c r="F8279" s="1" t="str">
        <f t="shared" si="2361"/>
        <v>花都四部-凤凰仓</v>
      </c>
      <c r="G8279" s="1" t="str">
        <f t="shared" si="2366"/>
        <v>卡卡杜个人护理店（抖店）</v>
      </c>
      <c r="H8279" s="1" t="str">
        <f t="shared" si="2362"/>
        <v>正常订单</v>
      </c>
      <c r="I8279" s="1" t="str">
        <f t="shared" si="2363"/>
        <v>已发货</v>
      </c>
      <c r="J8279" s="1" t="str">
        <f t="shared" si="2367"/>
        <v>2</v>
      </c>
      <c r="K8279" s="1">
        <v>1</v>
      </c>
      <c r="L8279" s="1" t="s">
        <v>36</v>
      </c>
      <c r="M8279" s="1" t="str">
        <f>"安徽省 芜湖市 湾沚区 湾沚镇"</f>
        <v>安徽省 芜湖市 湾沚区 湾沚镇</v>
      </c>
      <c r="N8279" s="1" t="str">
        <f t="shared" si="2368"/>
        <v>凡华云仓-韵达-抖音</v>
      </c>
      <c r="O8279" s="5">
        <v>320164376770082</v>
      </c>
      <c r="P8279" s="6">
        <v>0.33</v>
      </c>
      <c r="Q8279" s="11">
        <v>2.2999999999999998</v>
      </c>
      <c r="R8279" s="11"/>
      <c r="S8279" s="11"/>
      <c r="T8279" s="11"/>
      <c r="U8279" s="11">
        <f t="shared" si="2359"/>
        <v>2.2999999999999998</v>
      </c>
      <c r="W8279">
        <v>2.5</v>
      </c>
      <c r="X8279" s="1" t="s">
        <v>36</v>
      </c>
    </row>
    <row r="8280" spans="1:24" x14ac:dyDescent="0.25">
      <c r="A8280" s="1" t="str">
        <f t="shared" si="2360"/>
        <v>卡卡杜-凤凰仓</v>
      </c>
      <c r="B8280" s="1" t="str">
        <f>"CK20241010175"</f>
        <v>CK20241010175</v>
      </c>
      <c r="C8280" s="1" t="str">
        <f>"DD2024101014180"</f>
        <v>DD2024101014180</v>
      </c>
      <c r="D8280" s="1" t="str">
        <f>"CK2024101012697"</f>
        <v>CK2024101012697</v>
      </c>
      <c r="E8280" s="1" t="str">
        <f>"6918024990175755662"</f>
        <v>6918024990175755662</v>
      </c>
      <c r="F8280" s="1" t="str">
        <f t="shared" si="2361"/>
        <v>花都四部-凤凰仓</v>
      </c>
      <c r="G8280" s="1" t="str">
        <f t="shared" si="2366"/>
        <v>卡卡杜个人护理店（抖店）</v>
      </c>
      <c r="H8280" s="1" t="str">
        <f t="shared" si="2362"/>
        <v>正常订单</v>
      </c>
      <c r="I8280" s="1" t="str">
        <f t="shared" si="2363"/>
        <v>已发货</v>
      </c>
      <c r="J8280" s="1" t="str">
        <f t="shared" si="2367"/>
        <v>2</v>
      </c>
      <c r="K8280" s="1">
        <v>1</v>
      </c>
      <c r="L8280" s="1" t="s">
        <v>30</v>
      </c>
      <c r="M8280" s="1" t="str">
        <f>"山东省 威海市 环翠区 凤林街道"</f>
        <v>山东省 威海市 环翠区 凤林街道</v>
      </c>
      <c r="N8280" s="1" t="str">
        <f t="shared" si="2368"/>
        <v>凡华云仓-韵达-抖音</v>
      </c>
      <c r="O8280" s="5">
        <v>320164376769927</v>
      </c>
      <c r="P8280" s="6">
        <v>0.33</v>
      </c>
      <c r="Q8280" s="11">
        <v>2.2999999999999998</v>
      </c>
      <c r="R8280" s="11"/>
      <c r="S8280" s="11"/>
      <c r="T8280" s="11"/>
      <c r="U8280" s="11">
        <f t="shared" si="2359"/>
        <v>2.2999999999999998</v>
      </c>
      <c r="W8280">
        <v>2.5</v>
      </c>
      <c r="X8280" s="1" t="s">
        <v>30</v>
      </c>
    </row>
    <row r="8281" spans="1:24" x14ac:dyDescent="0.25">
      <c r="A8281" s="1" t="str">
        <f t="shared" si="2360"/>
        <v>卡卡杜-凤凰仓</v>
      </c>
      <c r="B8281" s="1" t="str">
        <f>"CK20241010180"</f>
        <v>CK20241010180</v>
      </c>
      <c r="C8281" s="1" t="str">
        <f>"DD2024101014186"</f>
        <v>DD2024101014186</v>
      </c>
      <c r="D8281" s="1" t="str">
        <f>"CK2024101012696"</f>
        <v>CK2024101012696</v>
      </c>
      <c r="E8281" s="1" t="str">
        <f>"6918029715015629909"</f>
        <v>6918029715015629909</v>
      </c>
      <c r="F8281" s="1" t="str">
        <f t="shared" si="2361"/>
        <v>花都四部-凤凰仓</v>
      </c>
      <c r="G8281" s="1" t="str">
        <f t="shared" si="2366"/>
        <v>卡卡杜个人护理店（抖店）</v>
      </c>
      <c r="H8281" s="1" t="str">
        <f t="shared" si="2362"/>
        <v>正常订单</v>
      </c>
      <c r="I8281" s="1" t="str">
        <f t="shared" si="2363"/>
        <v>已发货</v>
      </c>
      <c r="J8281" s="1" t="str">
        <f t="shared" si="2367"/>
        <v>2</v>
      </c>
      <c r="K8281" s="1">
        <v>1</v>
      </c>
      <c r="L8281" s="1" t="s">
        <v>13</v>
      </c>
      <c r="M8281" s="1" t="str">
        <f>"江苏省 常州市 溧阳市 上兴镇"</f>
        <v>江苏省 常州市 溧阳市 上兴镇</v>
      </c>
      <c r="N8281" s="1" t="str">
        <f t="shared" si="2368"/>
        <v>凡华云仓-韵达-抖音</v>
      </c>
      <c r="O8281" s="5">
        <v>320164376769822</v>
      </c>
      <c r="P8281" s="6">
        <v>0.33</v>
      </c>
      <c r="Q8281" s="11">
        <v>2.2999999999999998</v>
      </c>
      <c r="R8281" s="11"/>
      <c r="S8281" s="11"/>
      <c r="T8281" s="11"/>
      <c r="U8281" s="11">
        <f t="shared" si="2359"/>
        <v>2.2999999999999998</v>
      </c>
      <c r="W8281">
        <v>2.5</v>
      </c>
      <c r="X8281" s="1" t="s">
        <v>13</v>
      </c>
    </row>
    <row r="8282" spans="1:24" x14ac:dyDescent="0.25">
      <c r="A8282" s="1" t="str">
        <f t="shared" si="2360"/>
        <v>卡卡杜-凤凰仓</v>
      </c>
      <c r="B8282" s="1" t="str">
        <f>"CK20241010112"</f>
        <v>CK20241010112</v>
      </c>
      <c r="C8282" s="1" t="str">
        <f>"DD2024101014114"</f>
        <v>DD2024101014114</v>
      </c>
      <c r="D8282" s="1" t="str">
        <f>"CK2024101012695"</f>
        <v>CK2024101012695</v>
      </c>
      <c r="E8282" s="1" t="str">
        <f>"6918027548619799877"</f>
        <v>6918027548619799877</v>
      </c>
      <c r="F8282" s="1" t="str">
        <f t="shared" si="2361"/>
        <v>花都四部-凤凰仓</v>
      </c>
      <c r="G8282" s="1" t="str">
        <f t="shared" si="2366"/>
        <v>卡卡杜个人护理店（抖店）</v>
      </c>
      <c r="H8282" s="1" t="str">
        <f t="shared" si="2362"/>
        <v>正常订单</v>
      </c>
      <c r="I8282" s="1" t="str">
        <f t="shared" si="2363"/>
        <v>已发货</v>
      </c>
      <c r="J8282" s="1" t="str">
        <f t="shared" si="2367"/>
        <v>2</v>
      </c>
      <c r="K8282" s="1">
        <v>1</v>
      </c>
      <c r="L8282" s="1" t="s">
        <v>66</v>
      </c>
      <c r="M8282" s="1" t="str">
        <f>"内蒙古自治区 阿拉善盟 阿拉善左旗 乌斯太镇"</f>
        <v>内蒙古自治区 阿拉善盟 阿拉善左旗 乌斯太镇</v>
      </c>
      <c r="N8282" s="1" t="str">
        <f t="shared" si="2368"/>
        <v>凡华云仓-韵达-抖音</v>
      </c>
      <c r="O8282" s="5">
        <v>320164376769719</v>
      </c>
      <c r="P8282" s="6">
        <v>0.2</v>
      </c>
      <c r="Q8282" s="11">
        <v>2</v>
      </c>
      <c r="R8282" s="11"/>
      <c r="S8282" s="11"/>
      <c r="T8282" s="11"/>
      <c r="U8282" s="11">
        <f t="shared" si="2359"/>
        <v>2</v>
      </c>
      <c r="W8282">
        <v>2.2000000000000002</v>
      </c>
      <c r="X8282" s="1" t="s">
        <v>66</v>
      </c>
    </row>
    <row r="8283" spans="1:24" x14ac:dyDescent="0.25">
      <c r="A8283" s="1" t="str">
        <f t="shared" si="2360"/>
        <v>卡卡杜-凤凰仓</v>
      </c>
      <c r="B8283" s="1" t="str">
        <f>"CK20241010172"</f>
        <v>CK20241010172</v>
      </c>
      <c r="C8283" s="1" t="str">
        <f>"DD2024101014177"</f>
        <v>DD2024101014177</v>
      </c>
      <c r="D8283" s="1" t="str">
        <f>"CK2024101012694"</f>
        <v>CK2024101012694</v>
      </c>
      <c r="E8283" s="1" t="str">
        <f>"6918017358457372443"</f>
        <v>6918017358457372443</v>
      </c>
      <c r="F8283" s="1" t="str">
        <f t="shared" si="2361"/>
        <v>花都四部-凤凰仓</v>
      </c>
      <c r="G8283" s="1" t="str">
        <f t="shared" si="2366"/>
        <v>卡卡杜个人护理店（抖店）</v>
      </c>
      <c r="H8283" s="1" t="str">
        <f t="shared" si="2362"/>
        <v>正常订单</v>
      </c>
      <c r="I8283" s="1" t="str">
        <f t="shared" si="2363"/>
        <v>已发货</v>
      </c>
      <c r="J8283" s="1" t="str">
        <f t="shared" si="2367"/>
        <v>2</v>
      </c>
      <c r="K8283" s="1">
        <v>1</v>
      </c>
      <c r="L8283" s="1" t="s">
        <v>161</v>
      </c>
      <c r="M8283" s="1" t="str">
        <f>"四川省 绵阳市 安州区 界牌镇"</f>
        <v>四川省 绵阳市 安州区 界牌镇</v>
      </c>
      <c r="N8283" s="1" t="str">
        <f t="shared" si="2368"/>
        <v>凡华云仓-韵达-抖音</v>
      </c>
      <c r="O8283" s="5">
        <v>320164376769618</v>
      </c>
      <c r="P8283" s="6">
        <v>0.33</v>
      </c>
      <c r="Q8283" s="11">
        <v>2.2999999999999998</v>
      </c>
      <c r="R8283" s="11"/>
      <c r="S8283" s="11"/>
      <c r="T8283" s="11"/>
      <c r="U8283" s="11">
        <f t="shared" si="2359"/>
        <v>2.2999999999999998</v>
      </c>
      <c r="W8283">
        <v>2.5</v>
      </c>
      <c r="X8283" s="1" t="s">
        <v>161</v>
      </c>
    </row>
    <row r="8284" spans="1:24" x14ac:dyDescent="0.25">
      <c r="A8284" s="1" t="str">
        <f t="shared" si="2360"/>
        <v>卡卡杜-凤凰仓</v>
      </c>
      <c r="B8284" s="1" t="str">
        <f>"CK20241010167"</f>
        <v>CK20241010167</v>
      </c>
      <c r="C8284" s="1" t="str">
        <f>"DD2024101014173"</f>
        <v>DD2024101014173</v>
      </c>
      <c r="D8284" s="1" t="str">
        <f>"CK2024101012693"</f>
        <v>CK2024101012693</v>
      </c>
      <c r="E8284" s="1" t="str">
        <f>"6918017243310947788"</f>
        <v>6918017243310947788</v>
      </c>
      <c r="F8284" s="1" t="str">
        <f t="shared" si="2361"/>
        <v>花都四部-凤凰仓</v>
      </c>
      <c r="G8284" s="1" t="str">
        <f t="shared" si="2366"/>
        <v>卡卡杜个人护理店（抖店）</v>
      </c>
      <c r="H8284" s="1" t="str">
        <f t="shared" si="2362"/>
        <v>正常订单</v>
      </c>
      <c r="I8284" s="1" t="str">
        <f t="shared" si="2363"/>
        <v>已发货</v>
      </c>
      <c r="J8284" s="1" t="str">
        <f t="shared" si="2367"/>
        <v>2</v>
      </c>
      <c r="K8284" s="1">
        <v>1</v>
      </c>
      <c r="L8284" s="1" t="s">
        <v>22</v>
      </c>
      <c r="M8284" s="1" t="str">
        <f>"江西省 宜春市 袁州区 秀江街道"</f>
        <v>江西省 宜春市 袁州区 秀江街道</v>
      </c>
      <c r="N8284" s="1" t="str">
        <f t="shared" si="2368"/>
        <v>凡华云仓-韵达-抖音</v>
      </c>
      <c r="O8284" s="5">
        <v>320164376769519</v>
      </c>
      <c r="P8284" s="6">
        <v>0.33</v>
      </c>
      <c r="Q8284" s="11">
        <v>2.2999999999999998</v>
      </c>
      <c r="R8284" s="11"/>
      <c r="S8284" s="11"/>
      <c r="T8284" s="11"/>
      <c r="U8284" s="11">
        <f t="shared" si="2359"/>
        <v>2.2999999999999998</v>
      </c>
      <c r="W8284">
        <v>2.5</v>
      </c>
      <c r="X8284" s="1" t="s">
        <v>22</v>
      </c>
    </row>
    <row r="8285" spans="1:24" x14ac:dyDescent="0.25">
      <c r="A8285" s="1" t="str">
        <f t="shared" si="2360"/>
        <v>卡卡杜-凤凰仓</v>
      </c>
      <c r="B8285" s="1" t="str">
        <f>"CK20241010171"</f>
        <v>CK20241010171</v>
      </c>
      <c r="C8285" s="1" t="str">
        <f>"DD2024101014176"</f>
        <v>DD2024101014176</v>
      </c>
      <c r="D8285" s="1" t="str">
        <f>"CK2024101012692"</f>
        <v>CK2024101012692</v>
      </c>
      <c r="E8285" s="1" t="str">
        <f>"6918007922282102463"</f>
        <v>6918007922282102463</v>
      </c>
      <c r="F8285" s="1" t="str">
        <f t="shared" si="2361"/>
        <v>花都四部-凤凰仓</v>
      </c>
      <c r="G8285" s="1" t="str">
        <f t="shared" si="2366"/>
        <v>卡卡杜个人护理店（抖店）</v>
      </c>
      <c r="H8285" s="1" t="str">
        <f t="shared" si="2362"/>
        <v>正常订单</v>
      </c>
      <c r="I8285" s="1" t="str">
        <f t="shared" si="2363"/>
        <v>已发货</v>
      </c>
      <c r="J8285" s="1" t="str">
        <f t="shared" si="2367"/>
        <v>2</v>
      </c>
      <c r="K8285" s="1">
        <v>1</v>
      </c>
      <c r="L8285" s="1" t="s">
        <v>47</v>
      </c>
      <c r="M8285" s="1" t="str">
        <f>"重庆 重庆市 彭水苗族土家族自治县 "</f>
        <v xml:space="preserve">重庆 重庆市 彭水苗族土家族自治县 </v>
      </c>
      <c r="N8285" s="1" t="str">
        <f t="shared" si="2368"/>
        <v>凡华云仓-韵达-抖音</v>
      </c>
      <c r="O8285" s="5">
        <v>320164376769422</v>
      </c>
      <c r="P8285" s="6">
        <v>0.33</v>
      </c>
      <c r="Q8285" s="11">
        <v>2.2999999999999998</v>
      </c>
      <c r="R8285" s="11"/>
      <c r="S8285" s="11"/>
      <c r="T8285" s="11"/>
      <c r="U8285" s="11">
        <f t="shared" si="2359"/>
        <v>2.2999999999999998</v>
      </c>
      <c r="W8285">
        <v>2.5</v>
      </c>
      <c r="X8285" s="1" t="s">
        <v>47</v>
      </c>
    </row>
    <row r="8286" spans="1:24" x14ac:dyDescent="0.25">
      <c r="A8286" s="1" t="str">
        <f t="shared" si="2360"/>
        <v>卡卡杜-凤凰仓</v>
      </c>
      <c r="B8286" s="1" t="str">
        <f>"CK20241010163"</f>
        <v>CK20241010163</v>
      </c>
      <c r="C8286" s="1" t="str">
        <f>"DD2024101014171"</f>
        <v>DD2024101014171</v>
      </c>
      <c r="D8286" s="1" t="str">
        <f>"CK2024101012691"</f>
        <v>CK2024101012691</v>
      </c>
      <c r="E8286" s="1" t="str">
        <f>"6918012489955507277"</f>
        <v>6918012489955507277</v>
      </c>
      <c r="F8286" s="1" t="str">
        <f t="shared" si="2361"/>
        <v>花都四部-凤凰仓</v>
      </c>
      <c r="G8286" s="1" t="str">
        <f t="shared" si="2366"/>
        <v>卡卡杜个人护理店（抖店）</v>
      </c>
      <c r="H8286" s="1" t="str">
        <f t="shared" si="2362"/>
        <v>正常订单</v>
      </c>
      <c r="I8286" s="1" t="str">
        <f t="shared" si="2363"/>
        <v>已发货</v>
      </c>
      <c r="J8286" s="1" t="str">
        <f t="shared" si="2367"/>
        <v>2</v>
      </c>
      <c r="K8286" s="1">
        <v>1</v>
      </c>
      <c r="L8286" s="1" t="s">
        <v>41</v>
      </c>
      <c r="M8286" s="1" t="str">
        <f>"湖北省 黄冈市 麻城市 "</f>
        <v xml:space="preserve">湖北省 黄冈市 麻城市 </v>
      </c>
      <c r="N8286" s="1" t="str">
        <f t="shared" si="2368"/>
        <v>凡华云仓-韵达-抖音</v>
      </c>
      <c r="O8286" s="5">
        <v>320164402091240</v>
      </c>
      <c r="P8286" s="6">
        <v>0.33</v>
      </c>
      <c r="Q8286" s="11">
        <v>2.2999999999999998</v>
      </c>
      <c r="R8286" s="11"/>
      <c r="S8286" s="11"/>
      <c r="T8286" s="11"/>
      <c r="U8286" s="11">
        <f t="shared" si="2359"/>
        <v>2.2999999999999998</v>
      </c>
      <c r="W8286">
        <v>2.5</v>
      </c>
      <c r="X8286" s="1" t="s">
        <v>41</v>
      </c>
    </row>
    <row r="8287" spans="1:24" x14ac:dyDescent="0.25">
      <c r="A8287" s="1" t="str">
        <f t="shared" si="2360"/>
        <v>卡卡杜-凤凰仓</v>
      </c>
      <c r="B8287" s="1" t="str">
        <f>"CK20241010164"</f>
        <v>CK20241010164</v>
      </c>
      <c r="C8287" s="1" t="str">
        <f>"DD2024101014168"</f>
        <v>DD2024101014168</v>
      </c>
      <c r="D8287" s="1" t="str">
        <f>"CK2024101012690"</f>
        <v>CK2024101012690</v>
      </c>
      <c r="E8287" s="1" t="str">
        <f>"6918012594620432318"</f>
        <v>6918012594620432318</v>
      </c>
      <c r="F8287" s="1" t="str">
        <f t="shared" si="2361"/>
        <v>花都四部-凤凰仓</v>
      </c>
      <c r="G8287" s="1" t="str">
        <f t="shared" si="2366"/>
        <v>卡卡杜个人护理店（抖店）</v>
      </c>
      <c r="H8287" s="1" t="str">
        <f t="shared" si="2362"/>
        <v>正常订单</v>
      </c>
      <c r="I8287" s="1" t="str">
        <f t="shared" si="2363"/>
        <v>已发货</v>
      </c>
      <c r="J8287" s="1" t="str">
        <f t="shared" si="2367"/>
        <v>2</v>
      </c>
      <c r="K8287" s="1">
        <v>1</v>
      </c>
      <c r="L8287" s="1" t="s">
        <v>161</v>
      </c>
      <c r="M8287" s="1" t="str">
        <f>"四川省 南充市 营山县 "</f>
        <v xml:space="preserve">四川省 南充市 营山县 </v>
      </c>
      <c r="N8287" s="1" t="str">
        <f t="shared" si="2368"/>
        <v>凡华云仓-韵达-抖音</v>
      </c>
      <c r="O8287" s="5">
        <v>320164402091149</v>
      </c>
      <c r="P8287" s="6">
        <v>0.33</v>
      </c>
      <c r="Q8287" s="11">
        <v>2.2999999999999998</v>
      </c>
      <c r="R8287" s="11"/>
      <c r="S8287" s="11"/>
      <c r="T8287" s="11"/>
      <c r="U8287" s="11">
        <f t="shared" si="2359"/>
        <v>2.2999999999999998</v>
      </c>
      <c r="W8287">
        <v>2.5</v>
      </c>
      <c r="X8287" s="1" t="s">
        <v>161</v>
      </c>
    </row>
    <row r="8288" spans="1:24" x14ac:dyDescent="0.25">
      <c r="A8288" s="1" t="str">
        <f t="shared" si="2360"/>
        <v>卡卡杜-凤凰仓</v>
      </c>
      <c r="B8288" s="1" t="str">
        <f>"CK20241010165"</f>
        <v>CK20241010165</v>
      </c>
      <c r="C8288" s="1" t="str">
        <f>"DD2024101014170"</f>
        <v>DD2024101014170</v>
      </c>
      <c r="D8288" s="1" t="str">
        <f>"CK2024101012689"</f>
        <v>CK2024101012689</v>
      </c>
      <c r="E8288" s="1" t="str">
        <f>"6918007721842474089"</f>
        <v>6918007721842474089</v>
      </c>
      <c r="F8288" s="1" t="str">
        <f t="shared" si="2361"/>
        <v>花都四部-凤凰仓</v>
      </c>
      <c r="G8288" s="1" t="str">
        <f t="shared" si="2366"/>
        <v>卡卡杜个人护理店（抖店）</v>
      </c>
      <c r="H8288" s="1" t="str">
        <f t="shared" si="2362"/>
        <v>正常订单</v>
      </c>
      <c r="I8288" s="1" t="str">
        <f t="shared" si="2363"/>
        <v>已发货</v>
      </c>
      <c r="J8288" s="1" t="str">
        <f t="shared" si="2367"/>
        <v>2</v>
      </c>
      <c r="K8288" s="1">
        <v>1</v>
      </c>
      <c r="L8288" s="1" t="s">
        <v>20</v>
      </c>
      <c r="M8288" s="1" t="str">
        <f>"浙江省 金华市 义乌市 江东街道"</f>
        <v>浙江省 金华市 义乌市 江东街道</v>
      </c>
      <c r="N8288" s="1" t="str">
        <f t="shared" si="2368"/>
        <v>凡华云仓-韵达-抖音</v>
      </c>
      <c r="O8288" s="5">
        <v>320164402091060</v>
      </c>
      <c r="P8288" s="6">
        <v>0.33</v>
      </c>
      <c r="Q8288" s="11">
        <v>2.2999999999999998</v>
      </c>
      <c r="R8288" s="11"/>
      <c r="S8288" s="11"/>
      <c r="T8288" s="11"/>
      <c r="U8288" s="11">
        <f t="shared" si="2359"/>
        <v>2.2999999999999998</v>
      </c>
      <c r="W8288">
        <v>2.5</v>
      </c>
      <c r="X8288" s="1" t="s">
        <v>20</v>
      </c>
    </row>
    <row r="8289" spans="1:24" x14ac:dyDescent="0.25">
      <c r="A8289" s="1" t="str">
        <f t="shared" si="2360"/>
        <v>卡卡杜-凤凰仓</v>
      </c>
      <c r="B8289" s="1" t="str">
        <f>"CK20241010161"</f>
        <v>CK20241010161</v>
      </c>
      <c r="C8289" s="1" t="str">
        <f>"DD2024101014167"</f>
        <v>DD2024101014167</v>
      </c>
      <c r="D8289" s="1" t="str">
        <f>"CK2024101012688"</f>
        <v>CK2024101012688</v>
      </c>
      <c r="E8289" s="1" t="str">
        <f>"6918012211777535324"</f>
        <v>6918012211777535324</v>
      </c>
      <c r="F8289" s="1" t="str">
        <f t="shared" si="2361"/>
        <v>花都四部-凤凰仓</v>
      </c>
      <c r="G8289" s="1" t="str">
        <f t="shared" si="2366"/>
        <v>卡卡杜个人护理店（抖店）</v>
      </c>
      <c r="H8289" s="1" t="str">
        <f t="shared" si="2362"/>
        <v>正常订单</v>
      </c>
      <c r="I8289" s="1" t="str">
        <f t="shared" si="2363"/>
        <v>已发货</v>
      </c>
      <c r="J8289" s="1" t="str">
        <f t="shared" si="2367"/>
        <v>2</v>
      </c>
      <c r="K8289" s="1">
        <v>1</v>
      </c>
      <c r="L8289" s="1" t="s">
        <v>60</v>
      </c>
      <c r="M8289" s="1" t="str">
        <f>"云南省 昆明市 嵩明县 "</f>
        <v xml:space="preserve">云南省 昆明市 嵩明县 </v>
      </c>
      <c r="N8289" s="1" t="str">
        <f t="shared" si="2368"/>
        <v>凡华云仓-韵达-抖音</v>
      </c>
      <c r="O8289" s="5">
        <v>320164402090944</v>
      </c>
      <c r="P8289" s="6">
        <v>0.33</v>
      </c>
      <c r="Q8289" s="11">
        <v>2.2999999999999998</v>
      </c>
      <c r="R8289" s="11"/>
      <c r="S8289" s="11"/>
      <c r="T8289" s="11"/>
      <c r="U8289" s="11">
        <f t="shared" si="2359"/>
        <v>2.2999999999999998</v>
      </c>
      <c r="W8289">
        <v>2.5</v>
      </c>
      <c r="X8289" s="1" t="s">
        <v>60</v>
      </c>
    </row>
    <row r="8290" spans="1:24" x14ac:dyDescent="0.25">
      <c r="A8290" s="1" t="str">
        <f t="shared" si="2360"/>
        <v>卡卡杜-凤凰仓</v>
      </c>
      <c r="B8290" s="1" t="str">
        <f>"CK20241010166"</f>
        <v>CK20241010166</v>
      </c>
      <c r="C8290" s="1" t="str">
        <f>"DD2024101014172"</f>
        <v>DD2024101014172</v>
      </c>
      <c r="D8290" s="1" t="str">
        <f>"CK2024101012687"</f>
        <v>CK2024101012687</v>
      </c>
      <c r="E8290" s="1" t="str">
        <f>"6918014287829105992"</f>
        <v>6918014287829105992</v>
      </c>
      <c r="F8290" s="1" t="str">
        <f t="shared" si="2361"/>
        <v>花都四部-凤凰仓</v>
      </c>
      <c r="G8290" s="1" t="str">
        <f t="shared" si="2366"/>
        <v>卡卡杜个人护理店（抖店）</v>
      </c>
      <c r="H8290" s="1" t="str">
        <f t="shared" si="2362"/>
        <v>正常订单</v>
      </c>
      <c r="I8290" s="1" t="str">
        <f t="shared" si="2363"/>
        <v>已发货</v>
      </c>
      <c r="J8290" s="1" t="str">
        <f t="shared" si="2367"/>
        <v>2</v>
      </c>
      <c r="K8290" s="1">
        <v>1</v>
      </c>
      <c r="L8290" s="1" t="s">
        <v>22</v>
      </c>
      <c r="M8290" s="1" t="str">
        <f>"江西省 抚州市 临川区 上顿渡镇"</f>
        <v>江西省 抚州市 临川区 上顿渡镇</v>
      </c>
      <c r="N8290" s="1" t="str">
        <f t="shared" si="2368"/>
        <v>凡华云仓-韵达-抖音</v>
      </c>
      <c r="O8290" s="5">
        <v>320164402090839</v>
      </c>
      <c r="P8290" s="6">
        <v>0.33</v>
      </c>
      <c r="Q8290" s="11">
        <v>2.2999999999999998</v>
      </c>
      <c r="R8290" s="11"/>
      <c r="S8290" s="11"/>
      <c r="T8290" s="11"/>
      <c r="U8290" s="11">
        <f t="shared" si="2359"/>
        <v>2.2999999999999998</v>
      </c>
      <c r="W8290">
        <v>2.5</v>
      </c>
      <c r="X8290" s="1" t="s">
        <v>22</v>
      </c>
    </row>
    <row r="8291" spans="1:24" x14ac:dyDescent="0.25">
      <c r="A8291" s="1" t="str">
        <f t="shared" si="2360"/>
        <v>卡卡杜-凤凰仓</v>
      </c>
      <c r="B8291" s="1" t="str">
        <f>"CK20241010168"</f>
        <v>CK20241010168</v>
      </c>
      <c r="C8291" s="1" t="str">
        <f>"DD2024101014175"</f>
        <v>DD2024101014175</v>
      </c>
      <c r="D8291" s="1" t="str">
        <f>"CK2024101012686"</f>
        <v>CK2024101012686</v>
      </c>
      <c r="E8291" s="1" t="str">
        <f>"6918007582524342110"</f>
        <v>6918007582524342110</v>
      </c>
      <c r="F8291" s="1" t="str">
        <f t="shared" si="2361"/>
        <v>花都四部-凤凰仓</v>
      </c>
      <c r="G8291" s="1" t="str">
        <f t="shared" si="2366"/>
        <v>卡卡杜个人护理店（抖店）</v>
      </c>
      <c r="H8291" s="1" t="str">
        <f t="shared" si="2362"/>
        <v>正常订单</v>
      </c>
      <c r="I8291" s="1" t="str">
        <f t="shared" si="2363"/>
        <v>已发货</v>
      </c>
      <c r="J8291" s="1" t="str">
        <f t="shared" si="2367"/>
        <v>2</v>
      </c>
      <c r="K8291" s="1">
        <v>1</v>
      </c>
      <c r="L8291" s="1" t="s">
        <v>18</v>
      </c>
      <c r="M8291" s="1" t="str">
        <f>"广东省 东莞市 东莞市 虎门镇"</f>
        <v>广东省 东莞市 东莞市 虎门镇</v>
      </c>
      <c r="N8291" s="1" t="str">
        <f t="shared" si="2368"/>
        <v>凡华云仓-韵达-抖音</v>
      </c>
      <c r="O8291" s="5">
        <v>320164386719955</v>
      </c>
      <c r="P8291" s="6">
        <v>0.33</v>
      </c>
      <c r="Q8291" s="11">
        <v>2.2999999999999998</v>
      </c>
      <c r="R8291" s="11"/>
      <c r="S8291" s="11"/>
      <c r="T8291" s="11"/>
      <c r="U8291" s="11">
        <f t="shared" si="2359"/>
        <v>2.2999999999999998</v>
      </c>
      <c r="W8291">
        <v>2.5</v>
      </c>
      <c r="X8291" s="1" t="s">
        <v>18</v>
      </c>
    </row>
    <row r="8292" spans="1:24" x14ac:dyDescent="0.25">
      <c r="A8292" s="1" t="str">
        <f t="shared" si="2360"/>
        <v>卡卡杜-凤凰仓</v>
      </c>
      <c r="B8292" s="1" t="str">
        <f>"CK20241010169"</f>
        <v>CK20241010169</v>
      </c>
      <c r="C8292" s="1" t="str">
        <f>"DD2024101014178"</f>
        <v>DD2024101014178</v>
      </c>
      <c r="D8292" s="1" t="str">
        <f>"CK2024101012685"</f>
        <v>CK2024101012685</v>
      </c>
      <c r="E8292" s="1" t="str">
        <f>"6918009636363730656"</f>
        <v>6918009636363730656</v>
      </c>
      <c r="F8292" s="1" t="str">
        <f t="shared" si="2361"/>
        <v>花都四部-凤凰仓</v>
      </c>
      <c r="G8292" s="1" t="str">
        <f t="shared" si="2366"/>
        <v>卡卡杜个人护理店（抖店）</v>
      </c>
      <c r="H8292" s="1" t="str">
        <f t="shared" si="2362"/>
        <v>正常订单</v>
      </c>
      <c r="I8292" s="1" t="str">
        <f t="shared" si="2363"/>
        <v>已发货</v>
      </c>
      <c r="J8292" s="1" t="str">
        <f t="shared" si="2367"/>
        <v>2</v>
      </c>
      <c r="K8292" s="1">
        <v>1</v>
      </c>
      <c r="L8292" s="1" t="s">
        <v>80</v>
      </c>
      <c r="M8292" s="1" t="str">
        <f>"河南省 信阳市 浉河区 湖东街道"</f>
        <v>河南省 信阳市 浉河区 湖东街道</v>
      </c>
      <c r="N8292" s="1" t="str">
        <f t="shared" si="2368"/>
        <v>凡华云仓-韵达-抖音</v>
      </c>
      <c r="O8292" s="5">
        <v>320164386719850</v>
      </c>
      <c r="P8292" s="6">
        <v>0.33</v>
      </c>
      <c r="Q8292" s="11">
        <v>2.2999999999999998</v>
      </c>
      <c r="R8292" s="11"/>
      <c r="S8292" s="11"/>
      <c r="T8292" s="11"/>
      <c r="U8292" s="11">
        <f t="shared" si="2359"/>
        <v>2.2999999999999998</v>
      </c>
      <c r="W8292">
        <v>2.5</v>
      </c>
      <c r="X8292" s="1" t="s">
        <v>80</v>
      </c>
    </row>
    <row r="8293" spans="1:24" x14ac:dyDescent="0.25">
      <c r="A8293" s="1" t="str">
        <f t="shared" si="2360"/>
        <v>卡卡杜-凤凰仓</v>
      </c>
      <c r="B8293" s="1" t="str">
        <f>"CK20241010184"</f>
        <v>CK20241010184</v>
      </c>
      <c r="C8293" s="1" t="str">
        <f>"DD2024101014190"</f>
        <v>DD2024101014190</v>
      </c>
      <c r="D8293" s="1" t="str">
        <f>"CK2024101012684"</f>
        <v>CK2024101012684</v>
      </c>
      <c r="E8293" s="1" t="str">
        <f>"6918009855142296788"</f>
        <v>6918009855142296788</v>
      </c>
      <c r="F8293" s="1" t="str">
        <f t="shared" si="2361"/>
        <v>花都四部-凤凰仓</v>
      </c>
      <c r="G8293" s="1" t="str">
        <f t="shared" si="2366"/>
        <v>卡卡杜个人护理店（抖店）</v>
      </c>
      <c r="H8293" s="1" t="str">
        <f t="shared" si="2362"/>
        <v>正常订单</v>
      </c>
      <c r="I8293" s="1" t="str">
        <f t="shared" si="2363"/>
        <v>已发货</v>
      </c>
      <c r="J8293" s="1" t="str">
        <f t="shared" si="2367"/>
        <v>2</v>
      </c>
      <c r="K8293" s="1">
        <v>1</v>
      </c>
      <c r="L8293" s="1" t="s">
        <v>182</v>
      </c>
      <c r="M8293" s="1" t="str">
        <f>"新疆维吾尔自治区 阿拉尔市 阿拉尔市 "</f>
        <v xml:space="preserve">新疆维吾尔自治区 阿拉尔市 阿拉尔市 </v>
      </c>
      <c r="N8293" s="1" t="str">
        <f t="shared" si="2368"/>
        <v>凡华云仓-韵达-抖音</v>
      </c>
      <c r="O8293" s="5">
        <v>320164399259960</v>
      </c>
      <c r="P8293" s="6">
        <v>0.33</v>
      </c>
      <c r="Q8293" s="11">
        <v>17</v>
      </c>
      <c r="R8293" s="11"/>
      <c r="S8293" s="11"/>
      <c r="T8293" s="11"/>
      <c r="U8293" s="11">
        <f t="shared" si="2359"/>
        <v>17</v>
      </c>
      <c r="W8293">
        <v>17</v>
      </c>
      <c r="X8293" s="1" t="s">
        <v>182</v>
      </c>
    </row>
    <row r="8294" spans="1:24" x14ac:dyDescent="0.25">
      <c r="A8294" s="1" t="str">
        <f t="shared" si="2360"/>
        <v>卡卡杜-凤凰仓</v>
      </c>
      <c r="B8294" s="1" t="str">
        <f>"CK20241010173"</f>
        <v>CK20241010173</v>
      </c>
      <c r="C8294" s="1" t="str">
        <f>"DD2024101014179"</f>
        <v>DD2024101014179</v>
      </c>
      <c r="D8294" s="1" t="str">
        <f>"CK2024101012683"</f>
        <v>CK2024101012683</v>
      </c>
      <c r="E8294" s="1" t="str">
        <f>"6918007310451572222"</f>
        <v>6918007310451572222</v>
      </c>
      <c r="F8294" s="1" t="str">
        <f t="shared" si="2361"/>
        <v>花都四部-凤凰仓</v>
      </c>
      <c r="G8294" s="1" t="str">
        <f t="shared" si="2366"/>
        <v>卡卡杜个人护理店（抖店）</v>
      </c>
      <c r="H8294" s="1" t="str">
        <f t="shared" si="2362"/>
        <v>正常订单</v>
      </c>
      <c r="I8294" s="1" t="str">
        <f t="shared" si="2363"/>
        <v>已发货</v>
      </c>
      <c r="J8294" s="1" t="str">
        <f t="shared" si="2367"/>
        <v>2</v>
      </c>
      <c r="K8294" s="1">
        <v>1</v>
      </c>
      <c r="L8294" s="1" t="s">
        <v>18</v>
      </c>
      <c r="M8294" s="1" t="str">
        <f>"广东省 中山市 中山市 沙溪镇"</f>
        <v>广东省 中山市 中山市 沙溪镇</v>
      </c>
      <c r="N8294" s="1" t="str">
        <f t="shared" si="2368"/>
        <v>凡华云仓-韵达-抖音</v>
      </c>
      <c r="O8294" s="5">
        <v>320164399259855</v>
      </c>
      <c r="P8294" s="6">
        <v>0.33</v>
      </c>
      <c r="Q8294" s="11">
        <v>2.2999999999999998</v>
      </c>
      <c r="R8294" s="11"/>
      <c r="S8294" s="11"/>
      <c r="T8294" s="11"/>
      <c r="U8294" s="11">
        <f t="shared" si="2359"/>
        <v>2.2999999999999998</v>
      </c>
      <c r="W8294">
        <v>2.5</v>
      </c>
      <c r="X8294" s="1" t="s">
        <v>18</v>
      </c>
    </row>
    <row r="8295" spans="1:24" x14ac:dyDescent="0.25">
      <c r="A8295" s="1" t="str">
        <f t="shared" si="2360"/>
        <v>卡卡杜-凤凰仓</v>
      </c>
      <c r="B8295" s="1" t="str">
        <f>"CK20241010196"</f>
        <v>CK20241010196</v>
      </c>
      <c r="C8295" s="1" t="str">
        <f>"DD2024101014202"</f>
        <v>DD2024101014202</v>
      </c>
      <c r="D8295" s="1" t="str">
        <f>"CK2024101012682"</f>
        <v>CK2024101012682</v>
      </c>
      <c r="E8295" s="1" t="str">
        <f>"6918009695250382522"</f>
        <v>6918009695250382522</v>
      </c>
      <c r="F8295" s="1" t="str">
        <f t="shared" si="2361"/>
        <v>花都四部-凤凰仓</v>
      </c>
      <c r="G8295" s="1" t="str">
        <f t="shared" si="2366"/>
        <v>卡卡杜个人护理店（抖店）</v>
      </c>
      <c r="H8295" s="1" t="str">
        <f t="shared" si="2362"/>
        <v>正常订单</v>
      </c>
      <c r="I8295" s="1" t="str">
        <f t="shared" si="2363"/>
        <v>已发货</v>
      </c>
      <c r="J8295" s="1" t="str">
        <f t="shared" si="2367"/>
        <v>2</v>
      </c>
      <c r="K8295" s="1">
        <v>1</v>
      </c>
      <c r="L8295" s="1" t="s">
        <v>18</v>
      </c>
      <c r="M8295" s="1" t="str">
        <f>"广东省 广州市 白云区 棠景街道"</f>
        <v>广东省 广州市 白云区 棠景街道</v>
      </c>
      <c r="N8295" s="1" t="str">
        <f t="shared" si="2368"/>
        <v>凡华云仓-韵达-抖音</v>
      </c>
      <c r="O8295" s="5">
        <v>320164399259752</v>
      </c>
      <c r="P8295" s="6">
        <v>0.33</v>
      </c>
      <c r="Q8295" s="11">
        <v>2.2999999999999998</v>
      </c>
      <c r="R8295" s="11"/>
      <c r="S8295" s="11"/>
      <c r="T8295" s="11"/>
      <c r="U8295" s="11">
        <f t="shared" si="2359"/>
        <v>2.2999999999999998</v>
      </c>
      <c r="W8295">
        <v>2.5</v>
      </c>
      <c r="X8295" s="1" t="s">
        <v>18</v>
      </c>
    </row>
    <row r="8296" spans="1:24" x14ac:dyDescent="0.25">
      <c r="A8296" s="1" t="str">
        <f t="shared" si="2360"/>
        <v>卡卡杜-凤凰仓</v>
      </c>
      <c r="B8296" s="1" t="str">
        <f>"CK20241010195"</f>
        <v>CK20241010195</v>
      </c>
      <c r="C8296" s="1" t="str">
        <f>"DD2024101014201"</f>
        <v>DD2024101014201</v>
      </c>
      <c r="D8296" s="1" t="str">
        <f>"CK2024101012681"</f>
        <v>CK2024101012681</v>
      </c>
      <c r="E8296" s="1" t="str">
        <f>"6918009696202816909"</f>
        <v>6918009696202816909</v>
      </c>
      <c r="F8296" s="1" t="str">
        <f t="shared" si="2361"/>
        <v>花都四部-凤凰仓</v>
      </c>
      <c r="G8296" s="1" t="str">
        <f t="shared" si="2366"/>
        <v>卡卡杜个人护理店（抖店）</v>
      </c>
      <c r="H8296" s="1" t="str">
        <f t="shared" si="2362"/>
        <v>正常订单</v>
      </c>
      <c r="I8296" s="1" t="str">
        <f t="shared" si="2363"/>
        <v>已发货</v>
      </c>
      <c r="J8296" s="1" t="str">
        <f t="shared" si="2367"/>
        <v>2</v>
      </c>
      <c r="K8296" s="1">
        <v>1</v>
      </c>
      <c r="L8296" s="1" t="s">
        <v>18</v>
      </c>
      <c r="M8296" s="1" t="str">
        <f>"广东省 深圳市 宝安区 新桥街道"</f>
        <v>广东省 深圳市 宝安区 新桥街道</v>
      </c>
      <c r="N8296" s="1" t="str">
        <f t="shared" si="2368"/>
        <v>凡华云仓-韵达-抖音</v>
      </c>
      <c r="O8296" s="5">
        <v>320164399259651</v>
      </c>
      <c r="P8296" s="6">
        <v>0.33</v>
      </c>
      <c r="Q8296" s="11">
        <v>2.2999999999999998</v>
      </c>
      <c r="R8296" s="11"/>
      <c r="S8296" s="11"/>
      <c r="T8296" s="11"/>
      <c r="U8296" s="11">
        <f t="shared" si="2359"/>
        <v>2.2999999999999998</v>
      </c>
      <c r="W8296">
        <v>2.5</v>
      </c>
      <c r="X8296" s="1" t="s">
        <v>18</v>
      </c>
    </row>
    <row r="8297" spans="1:24" x14ac:dyDescent="0.25">
      <c r="A8297" s="1" t="str">
        <f t="shared" si="2360"/>
        <v>卡卡杜-凤凰仓</v>
      </c>
      <c r="B8297" s="1" t="str">
        <f>"CK20241010114"</f>
        <v>CK20241010114</v>
      </c>
      <c r="C8297" s="1" t="str">
        <f>"DD2024101014116"</f>
        <v>DD2024101014116</v>
      </c>
      <c r="D8297" s="1" t="str">
        <f>"CK2024101012680"</f>
        <v>CK2024101012680</v>
      </c>
      <c r="E8297" s="1" t="str">
        <f>"6918016538204339447"</f>
        <v>6918016538204339447</v>
      </c>
      <c r="F8297" s="1" t="str">
        <f t="shared" si="2361"/>
        <v>花都四部-凤凰仓</v>
      </c>
      <c r="G8297" s="1" t="str">
        <f t="shared" si="2366"/>
        <v>卡卡杜个人护理店（抖店）</v>
      </c>
      <c r="H8297" s="1" t="str">
        <f t="shared" si="2362"/>
        <v>正常订单</v>
      </c>
      <c r="I8297" s="1" t="str">
        <f t="shared" si="2363"/>
        <v>已发货</v>
      </c>
      <c r="J8297" s="1" t="str">
        <f t="shared" si="2367"/>
        <v>2</v>
      </c>
      <c r="K8297" s="1">
        <v>1</v>
      </c>
      <c r="L8297" s="1" t="s">
        <v>18</v>
      </c>
      <c r="M8297" s="1" t="str">
        <f>"广东省 深圳市 罗湖区 桂园街道"</f>
        <v>广东省 深圳市 罗湖区 桂园街道</v>
      </c>
      <c r="N8297" s="1" t="str">
        <f t="shared" si="2368"/>
        <v>凡华云仓-韵达-抖音</v>
      </c>
      <c r="O8297" s="5">
        <v>320164399259552</v>
      </c>
      <c r="P8297" s="6">
        <v>0.2</v>
      </c>
      <c r="Q8297" s="11">
        <v>2</v>
      </c>
      <c r="R8297" s="11"/>
      <c r="S8297" s="11"/>
      <c r="T8297" s="11"/>
      <c r="U8297" s="11">
        <f t="shared" si="2359"/>
        <v>2</v>
      </c>
      <c r="W8297">
        <v>2.2000000000000002</v>
      </c>
      <c r="X8297" s="1" t="s">
        <v>18</v>
      </c>
    </row>
    <row r="8298" spans="1:24" x14ac:dyDescent="0.25">
      <c r="A8298" s="1" t="str">
        <f t="shared" si="2360"/>
        <v>卡卡杜-凤凰仓</v>
      </c>
      <c r="B8298" s="1" t="str">
        <f>"CK20241010193"</f>
        <v>CK20241010193</v>
      </c>
      <c r="C8298" s="1" t="str">
        <f>"DD2024101014200"</f>
        <v>DD2024101014200</v>
      </c>
      <c r="D8298" s="1" t="str">
        <f>"CK2024101012679"</f>
        <v>CK2024101012679</v>
      </c>
      <c r="E8298" s="1" t="str">
        <f>"6918014151739604312"</f>
        <v>6918014151739604312</v>
      </c>
      <c r="F8298" s="1" t="str">
        <f t="shared" si="2361"/>
        <v>花都四部-凤凰仓</v>
      </c>
      <c r="G8298" s="1" t="str">
        <f t="shared" si="2366"/>
        <v>卡卡杜个人护理店（抖店）</v>
      </c>
      <c r="H8298" s="1" t="str">
        <f t="shared" si="2362"/>
        <v>正常订单</v>
      </c>
      <c r="I8298" s="1" t="str">
        <f t="shared" si="2363"/>
        <v>已发货</v>
      </c>
      <c r="J8298" s="1" t="str">
        <f t="shared" si="2367"/>
        <v>2</v>
      </c>
      <c r="K8298" s="1">
        <v>1</v>
      </c>
      <c r="L8298" s="1" t="s">
        <v>22</v>
      </c>
      <c r="M8298" s="1" t="str">
        <f>"江西省 宜春市 袁州区 慈化镇"</f>
        <v>江西省 宜春市 袁州区 慈化镇</v>
      </c>
      <c r="N8298" s="1" t="str">
        <f t="shared" si="2368"/>
        <v>凡华云仓-韵达-抖音</v>
      </c>
      <c r="O8298" s="5">
        <v>320164399259455</v>
      </c>
      <c r="P8298" s="6">
        <v>0.33</v>
      </c>
      <c r="Q8298" s="11">
        <v>2.2999999999999998</v>
      </c>
      <c r="R8298" s="11"/>
      <c r="S8298" s="11"/>
      <c r="T8298" s="11"/>
      <c r="U8298" s="11">
        <f t="shared" si="2359"/>
        <v>2.2999999999999998</v>
      </c>
      <c r="W8298">
        <v>2.5</v>
      </c>
      <c r="X8298" s="1" t="s">
        <v>22</v>
      </c>
    </row>
    <row r="8299" spans="1:24" x14ac:dyDescent="0.25">
      <c r="A8299" s="1" t="str">
        <f t="shared" si="2360"/>
        <v>卡卡杜-凤凰仓</v>
      </c>
      <c r="B8299" s="1" t="str">
        <f>"CK20241010186"</f>
        <v>CK20241010186</v>
      </c>
      <c r="C8299" s="1" t="str">
        <f>"DD2024101014192"</f>
        <v>DD2024101014192</v>
      </c>
      <c r="D8299" s="1" t="str">
        <f>"CK2024101012678"</f>
        <v>CK2024101012678</v>
      </c>
      <c r="E8299" s="1" t="str">
        <f>"6918009363519863999"</f>
        <v>6918009363519863999</v>
      </c>
      <c r="F8299" s="1" t="str">
        <f t="shared" si="2361"/>
        <v>花都四部-凤凰仓</v>
      </c>
      <c r="G8299" s="1" t="str">
        <f t="shared" si="2366"/>
        <v>卡卡杜个人护理店（抖店）</v>
      </c>
      <c r="H8299" s="1" t="str">
        <f t="shared" si="2362"/>
        <v>正常订单</v>
      </c>
      <c r="I8299" s="1" t="str">
        <f t="shared" si="2363"/>
        <v>已发货</v>
      </c>
      <c r="J8299" s="1" t="str">
        <f t="shared" si="2367"/>
        <v>2</v>
      </c>
      <c r="K8299" s="1">
        <v>1</v>
      </c>
      <c r="L8299" s="1" t="s">
        <v>18</v>
      </c>
      <c r="M8299" s="1" t="str">
        <f>"广东省 佛山市 南海区 里水镇"</f>
        <v>广东省 佛山市 南海区 里水镇</v>
      </c>
      <c r="N8299" s="1" t="str">
        <f t="shared" si="2368"/>
        <v>凡华云仓-韵达-抖音</v>
      </c>
      <c r="O8299" s="5">
        <v>320164399259360</v>
      </c>
      <c r="P8299" s="6">
        <v>0.33</v>
      </c>
      <c r="Q8299" s="11">
        <v>2.2999999999999998</v>
      </c>
      <c r="R8299" s="11"/>
      <c r="S8299" s="11"/>
      <c r="T8299" s="11"/>
      <c r="U8299" s="11">
        <f t="shared" si="2359"/>
        <v>2.2999999999999998</v>
      </c>
      <c r="W8299">
        <v>2.5</v>
      </c>
      <c r="X8299" s="1" t="s">
        <v>18</v>
      </c>
    </row>
    <row r="8300" spans="1:24" x14ac:dyDescent="0.25">
      <c r="A8300" s="1" t="str">
        <f t="shared" si="2360"/>
        <v>卡卡杜-凤凰仓</v>
      </c>
      <c r="B8300" s="1" t="str">
        <f>"CK20241010188"</f>
        <v>CK20241010188</v>
      </c>
      <c r="C8300" s="1" t="str">
        <f>"DD2024101014193"</f>
        <v>DD2024101014193</v>
      </c>
      <c r="D8300" s="1" t="str">
        <f>"CK2024101012677"</f>
        <v>CK2024101012677</v>
      </c>
      <c r="E8300" s="1" t="str">
        <f>"6918013664312196943"</f>
        <v>6918013664312196943</v>
      </c>
      <c r="F8300" s="1" t="str">
        <f t="shared" si="2361"/>
        <v>花都四部-凤凰仓</v>
      </c>
      <c r="G8300" s="1" t="str">
        <f t="shared" si="2366"/>
        <v>卡卡杜个人护理店（抖店）</v>
      </c>
      <c r="H8300" s="1" t="str">
        <f t="shared" si="2362"/>
        <v>正常订单</v>
      </c>
      <c r="I8300" s="1" t="str">
        <f t="shared" si="2363"/>
        <v>已发货</v>
      </c>
      <c r="J8300" s="1" t="str">
        <f t="shared" si="2367"/>
        <v>2</v>
      </c>
      <c r="K8300" s="1">
        <v>1</v>
      </c>
      <c r="L8300" s="1" t="s">
        <v>18</v>
      </c>
      <c r="M8300" s="1" t="str">
        <f>"广东省 深圳市 龙岗区 吉华街道"</f>
        <v>广东省 深圳市 龙岗区 吉华街道</v>
      </c>
      <c r="N8300" s="1" t="str">
        <f t="shared" si="2368"/>
        <v>凡华云仓-韵达-抖音</v>
      </c>
      <c r="O8300" s="5">
        <v>320164399259267</v>
      </c>
      <c r="P8300" s="6">
        <v>0.33</v>
      </c>
      <c r="Q8300" s="11">
        <v>2.2999999999999998</v>
      </c>
      <c r="R8300" s="11"/>
      <c r="S8300" s="11"/>
      <c r="T8300" s="11"/>
      <c r="U8300" s="11">
        <f t="shared" si="2359"/>
        <v>2.2999999999999998</v>
      </c>
      <c r="W8300">
        <v>2.5</v>
      </c>
      <c r="X8300" s="1" t="s">
        <v>18</v>
      </c>
    </row>
    <row r="8301" spans="1:24" x14ac:dyDescent="0.25">
      <c r="A8301" s="1" t="str">
        <f t="shared" si="2360"/>
        <v>卡卡杜-凤凰仓</v>
      </c>
      <c r="B8301" s="1" t="str">
        <f>"CK20241010190"</f>
        <v>CK20241010190</v>
      </c>
      <c r="C8301" s="1" t="str">
        <f>"DD2024101014196"</f>
        <v>DD2024101014196</v>
      </c>
      <c r="D8301" s="1" t="str">
        <f>"CK2024101012676"</f>
        <v>CK2024101012676</v>
      </c>
      <c r="E8301" s="1" t="str">
        <f>"6918009098667195563"</f>
        <v>6918009098667195563</v>
      </c>
      <c r="F8301" s="1" t="str">
        <f t="shared" si="2361"/>
        <v>花都四部-凤凰仓</v>
      </c>
      <c r="G8301" s="1" t="str">
        <f t="shared" si="2366"/>
        <v>卡卡杜个人护理店（抖店）</v>
      </c>
      <c r="H8301" s="1" t="str">
        <f t="shared" si="2362"/>
        <v>正常订单</v>
      </c>
      <c r="I8301" s="1" t="str">
        <f t="shared" si="2363"/>
        <v>已发货</v>
      </c>
      <c r="J8301" s="1" t="str">
        <f t="shared" si="2367"/>
        <v>2</v>
      </c>
      <c r="K8301" s="1">
        <v>1</v>
      </c>
      <c r="L8301" s="1" t="s">
        <v>18</v>
      </c>
      <c r="M8301" s="1" t="str">
        <f>"广东省 汕尾市 陆丰市 碣石镇"</f>
        <v>广东省 汕尾市 陆丰市 碣石镇</v>
      </c>
      <c r="N8301" s="1" t="str">
        <f t="shared" si="2368"/>
        <v>凡华云仓-韵达-抖音</v>
      </c>
      <c r="O8301" s="5">
        <v>320164399259176</v>
      </c>
      <c r="P8301" s="6">
        <v>0.33</v>
      </c>
      <c r="Q8301" s="11">
        <v>2.2999999999999998</v>
      </c>
      <c r="R8301" s="11"/>
      <c r="S8301" s="11"/>
      <c r="T8301" s="11"/>
      <c r="U8301" s="11">
        <f t="shared" si="2359"/>
        <v>2.2999999999999998</v>
      </c>
      <c r="W8301">
        <v>2.5</v>
      </c>
      <c r="X8301" s="1" t="s">
        <v>18</v>
      </c>
    </row>
    <row r="8302" spans="1:24" x14ac:dyDescent="0.25">
      <c r="A8302" s="1" t="str">
        <f t="shared" si="2360"/>
        <v>卡卡杜-凤凰仓</v>
      </c>
      <c r="B8302" s="1" t="str">
        <f>"CK20241010194"</f>
        <v>CK20241010194</v>
      </c>
      <c r="C8302" s="1" t="str">
        <f>"DD2024101014199"</f>
        <v>DD2024101014199</v>
      </c>
      <c r="D8302" s="1" t="str">
        <f>"CK2024101012675"</f>
        <v>CK2024101012675</v>
      </c>
      <c r="E8302" s="1" t="str">
        <f>"6918009179798208247"</f>
        <v>6918009179798208247</v>
      </c>
      <c r="F8302" s="1" t="str">
        <f t="shared" si="2361"/>
        <v>花都四部-凤凰仓</v>
      </c>
      <c r="G8302" s="1" t="str">
        <f t="shared" si="2366"/>
        <v>卡卡杜个人护理店（抖店）</v>
      </c>
      <c r="H8302" s="1" t="str">
        <f t="shared" si="2362"/>
        <v>正常订单</v>
      </c>
      <c r="I8302" s="1" t="str">
        <f t="shared" si="2363"/>
        <v>已发货</v>
      </c>
      <c r="J8302" s="1" t="str">
        <f t="shared" si="2367"/>
        <v>2</v>
      </c>
      <c r="K8302" s="1">
        <v>1</v>
      </c>
      <c r="L8302" s="1" t="s">
        <v>13</v>
      </c>
      <c r="M8302" s="1" t="str">
        <f>"江苏省 徐州市 新沂市 新安街道"</f>
        <v>江苏省 徐州市 新沂市 新安街道</v>
      </c>
      <c r="N8302" s="1" t="str">
        <f t="shared" si="2368"/>
        <v>凡华云仓-韵达-抖音</v>
      </c>
      <c r="O8302" s="5">
        <v>320164399259087</v>
      </c>
      <c r="P8302" s="6">
        <v>0.33</v>
      </c>
      <c r="Q8302" s="11">
        <v>2.2999999999999998</v>
      </c>
      <c r="R8302" s="11"/>
      <c r="S8302" s="11"/>
      <c r="T8302" s="11"/>
      <c r="U8302" s="11">
        <f t="shared" si="2359"/>
        <v>2.2999999999999998</v>
      </c>
      <c r="W8302">
        <v>2.5</v>
      </c>
      <c r="X8302" s="1" t="s">
        <v>13</v>
      </c>
    </row>
    <row r="8303" spans="1:24" x14ac:dyDescent="0.25">
      <c r="A8303" s="1" t="str">
        <f t="shared" si="2360"/>
        <v>卡卡杜-凤凰仓</v>
      </c>
      <c r="B8303" s="1" t="str">
        <f>"CK20241010110"</f>
        <v>CK20241010110</v>
      </c>
      <c r="C8303" s="1" t="str">
        <f>"DD2024101014115"</f>
        <v>DD2024101014115</v>
      </c>
      <c r="D8303" s="1" t="str">
        <f>"CK2024101012674"</f>
        <v>CK2024101012674</v>
      </c>
      <c r="E8303" s="1" t="str">
        <f>"6918015893009759943"</f>
        <v>6918015893009759943</v>
      </c>
      <c r="F8303" s="1" t="str">
        <f t="shared" si="2361"/>
        <v>花都四部-凤凰仓</v>
      </c>
      <c r="G8303" s="1" t="str">
        <f t="shared" si="2366"/>
        <v>卡卡杜个人护理店（抖店）</v>
      </c>
      <c r="H8303" s="1" t="str">
        <f t="shared" si="2362"/>
        <v>正常订单</v>
      </c>
      <c r="I8303" s="1" t="str">
        <f t="shared" si="2363"/>
        <v>已发货</v>
      </c>
      <c r="J8303" s="1" t="str">
        <f>"1"</f>
        <v>1</v>
      </c>
      <c r="K8303" s="1">
        <v>1</v>
      </c>
      <c r="L8303" s="1" t="s">
        <v>109</v>
      </c>
      <c r="M8303" s="1" t="str">
        <f>"山西省 吕梁市 汾阳市 杏花村镇"</f>
        <v>山西省 吕梁市 汾阳市 杏花村镇</v>
      </c>
      <c r="N8303" s="1" t="str">
        <f t="shared" si="2368"/>
        <v>凡华云仓-韵达-抖音</v>
      </c>
      <c r="O8303" s="5">
        <v>320164351722567</v>
      </c>
      <c r="P8303" s="6">
        <v>0.12</v>
      </c>
      <c r="Q8303" s="11">
        <v>2</v>
      </c>
      <c r="R8303" s="11"/>
      <c r="S8303" s="11"/>
      <c r="T8303" s="11"/>
      <c r="U8303" s="11">
        <f t="shared" si="2359"/>
        <v>2</v>
      </c>
      <c r="W8303">
        <v>2.2000000000000002</v>
      </c>
      <c r="X8303" s="1" t="s">
        <v>109</v>
      </c>
    </row>
    <row r="8304" spans="1:24" x14ac:dyDescent="0.25">
      <c r="A8304" s="1" t="str">
        <f t="shared" si="2360"/>
        <v>卡卡杜-凤凰仓</v>
      </c>
      <c r="B8304" s="1" t="str">
        <f>"CK20241010197"</f>
        <v>CK20241010197</v>
      </c>
      <c r="C8304" s="1" t="str">
        <f>"DD2024101014204"</f>
        <v>DD2024101014204</v>
      </c>
      <c r="D8304" s="1" t="str">
        <f>"CK2024101012673"</f>
        <v>CK2024101012673</v>
      </c>
      <c r="E8304" s="1" t="str">
        <f>"6918013404779347411"</f>
        <v>6918013404779347411</v>
      </c>
      <c r="F8304" s="1" t="str">
        <f t="shared" si="2361"/>
        <v>花都四部-凤凰仓</v>
      </c>
      <c r="G8304" s="1" t="str">
        <f t="shared" si="2366"/>
        <v>卡卡杜个人护理店（抖店）</v>
      </c>
      <c r="H8304" s="1" t="str">
        <f t="shared" si="2362"/>
        <v>正常订单</v>
      </c>
      <c r="I8304" s="1" t="str">
        <f t="shared" si="2363"/>
        <v>已发货</v>
      </c>
      <c r="J8304" s="1" t="str">
        <f t="shared" ref="J8304:J8323" si="2369">"2"</f>
        <v>2</v>
      </c>
      <c r="K8304" s="1">
        <v>1</v>
      </c>
      <c r="L8304" s="1" t="s">
        <v>20</v>
      </c>
      <c r="M8304" s="1" t="str">
        <f>"浙江省 丽水市 松阳县 西屏街道"</f>
        <v>浙江省 丽水市 松阳县 西屏街道</v>
      </c>
      <c r="N8304" s="1" t="str">
        <f t="shared" si="2368"/>
        <v>凡华云仓-韵达-抖音</v>
      </c>
      <c r="O8304" s="5">
        <v>320164351722470</v>
      </c>
      <c r="P8304" s="6">
        <v>0.33</v>
      </c>
      <c r="Q8304" s="11">
        <v>2.2999999999999998</v>
      </c>
      <c r="R8304" s="11"/>
      <c r="S8304" s="11"/>
      <c r="T8304" s="11"/>
      <c r="U8304" s="11">
        <f t="shared" si="2359"/>
        <v>2.2999999999999998</v>
      </c>
      <c r="W8304">
        <v>2.5</v>
      </c>
      <c r="X8304" s="1" t="s">
        <v>20</v>
      </c>
    </row>
    <row r="8305" spans="1:24" x14ac:dyDescent="0.25">
      <c r="A8305" s="1" t="str">
        <f t="shared" si="2360"/>
        <v>卡卡杜-凤凰仓</v>
      </c>
      <c r="B8305" s="1" t="str">
        <f>"CK20241010162"</f>
        <v>CK20241010162</v>
      </c>
      <c r="C8305" s="1" t="str">
        <f>"DD2024101014169"</f>
        <v>DD2024101014169</v>
      </c>
      <c r="D8305" s="1" t="str">
        <f>"CK2024101012672"</f>
        <v>CK2024101012672</v>
      </c>
      <c r="E8305" s="1" t="str">
        <f>"6918008809316581052"</f>
        <v>6918008809316581052</v>
      </c>
      <c r="F8305" s="1" t="str">
        <f t="shared" si="2361"/>
        <v>花都四部-凤凰仓</v>
      </c>
      <c r="G8305" s="1" t="str">
        <f t="shared" si="2366"/>
        <v>卡卡杜个人护理店（抖店）</v>
      </c>
      <c r="H8305" s="1" t="str">
        <f t="shared" si="2362"/>
        <v>正常订单</v>
      </c>
      <c r="I8305" s="1" t="str">
        <f t="shared" si="2363"/>
        <v>已发货</v>
      </c>
      <c r="J8305" s="1" t="str">
        <f t="shared" si="2369"/>
        <v>2</v>
      </c>
      <c r="K8305" s="1">
        <v>1</v>
      </c>
      <c r="L8305" s="1" t="s">
        <v>30</v>
      </c>
      <c r="M8305" s="1" t="str">
        <f>"山东省 青岛市 即墨区 通济街道"</f>
        <v>山东省 青岛市 即墨区 通济街道</v>
      </c>
      <c r="N8305" s="1" t="str">
        <f t="shared" si="2368"/>
        <v>凡华云仓-韵达-抖音</v>
      </c>
      <c r="O8305" s="5">
        <v>320164351722375</v>
      </c>
      <c r="P8305" s="6">
        <v>0.33</v>
      </c>
      <c r="Q8305" s="11">
        <v>2.2999999999999998</v>
      </c>
      <c r="R8305" s="11"/>
      <c r="S8305" s="11"/>
      <c r="T8305" s="11"/>
      <c r="U8305" s="11">
        <f t="shared" si="2359"/>
        <v>2.2999999999999998</v>
      </c>
      <c r="W8305">
        <v>2.5</v>
      </c>
      <c r="X8305" s="1" t="s">
        <v>30</v>
      </c>
    </row>
    <row r="8306" spans="1:24" x14ac:dyDescent="0.25">
      <c r="A8306" s="1" t="str">
        <f t="shared" si="2360"/>
        <v>卡卡杜-凤凰仓</v>
      </c>
      <c r="B8306" s="1" t="str">
        <f>"CK20241010115"</f>
        <v>CK20241010115</v>
      </c>
      <c r="C8306" s="1" t="str">
        <f>"DD2024101014120"</f>
        <v>DD2024101014120</v>
      </c>
      <c r="D8306" s="1" t="str">
        <f>"CK2024101012671"</f>
        <v>CK2024101012671</v>
      </c>
      <c r="E8306" s="1" t="str">
        <f>"6918013413558615404"</f>
        <v>6918013413558615404</v>
      </c>
      <c r="F8306" s="1" t="str">
        <f t="shared" si="2361"/>
        <v>花都四部-凤凰仓</v>
      </c>
      <c r="G8306" s="1" t="str">
        <f t="shared" si="2366"/>
        <v>卡卡杜个人护理店（抖店）</v>
      </c>
      <c r="H8306" s="1" t="str">
        <f t="shared" si="2362"/>
        <v>正常订单</v>
      </c>
      <c r="I8306" s="1" t="str">
        <f t="shared" si="2363"/>
        <v>已发货</v>
      </c>
      <c r="J8306" s="1" t="str">
        <f t="shared" si="2369"/>
        <v>2</v>
      </c>
      <c r="K8306" s="1">
        <v>1</v>
      </c>
      <c r="L8306" s="1" t="s">
        <v>41</v>
      </c>
      <c r="M8306" s="1" t="str">
        <f>"湖北省 孝感市 汉川市 仙女山街道"</f>
        <v>湖北省 孝感市 汉川市 仙女山街道</v>
      </c>
      <c r="N8306" s="1" t="str">
        <f t="shared" si="2368"/>
        <v>凡华云仓-韵达-抖音</v>
      </c>
      <c r="O8306" s="5">
        <v>320164351722282</v>
      </c>
      <c r="P8306" s="6">
        <v>0.2</v>
      </c>
      <c r="Q8306" s="11">
        <v>2</v>
      </c>
      <c r="R8306" s="11"/>
      <c r="S8306" s="11"/>
      <c r="T8306" s="11"/>
      <c r="U8306" s="11">
        <f t="shared" si="2359"/>
        <v>2</v>
      </c>
      <c r="W8306">
        <v>2.2000000000000002</v>
      </c>
      <c r="X8306" s="1" t="s">
        <v>41</v>
      </c>
    </row>
    <row r="8307" spans="1:24" x14ac:dyDescent="0.25">
      <c r="A8307" s="1" t="str">
        <f t="shared" si="2360"/>
        <v>卡卡杜-凤凰仓</v>
      </c>
      <c r="B8307" s="1" t="str">
        <f>"CK20241010153"</f>
        <v>CK20241010153</v>
      </c>
      <c r="C8307" s="1" t="str">
        <f>"DD2024101014158"</f>
        <v>DD2024101014158</v>
      </c>
      <c r="D8307" s="1" t="str">
        <f>"CK2024101012670"</f>
        <v>CK2024101012670</v>
      </c>
      <c r="E8307" s="1" t="str">
        <f>"6918015097283509931"</f>
        <v>6918015097283509931</v>
      </c>
      <c r="F8307" s="1" t="str">
        <f t="shared" si="2361"/>
        <v>花都四部-凤凰仓</v>
      </c>
      <c r="G8307" s="1" t="str">
        <f t="shared" si="2366"/>
        <v>卡卡杜个人护理店（抖店）</v>
      </c>
      <c r="H8307" s="1" t="str">
        <f t="shared" si="2362"/>
        <v>正常订单</v>
      </c>
      <c r="I8307" s="1" t="str">
        <f t="shared" si="2363"/>
        <v>已发货</v>
      </c>
      <c r="J8307" s="1" t="str">
        <f t="shared" si="2369"/>
        <v>2</v>
      </c>
      <c r="K8307" s="1">
        <v>1</v>
      </c>
      <c r="L8307" s="1" t="s">
        <v>20</v>
      </c>
      <c r="M8307" s="1" t="str">
        <f>"浙江省 金华市 永康市 西城街道"</f>
        <v>浙江省 金华市 永康市 西城街道</v>
      </c>
      <c r="N8307" s="1" t="str">
        <f t="shared" si="2368"/>
        <v>凡华云仓-韵达-抖音</v>
      </c>
      <c r="O8307" s="5">
        <v>320164351722191</v>
      </c>
      <c r="P8307" s="6">
        <v>0.33</v>
      </c>
      <c r="Q8307" s="11">
        <v>2.2999999999999998</v>
      </c>
      <c r="R8307" s="11"/>
      <c r="S8307" s="11"/>
      <c r="T8307" s="11"/>
      <c r="U8307" s="11">
        <f t="shared" si="2359"/>
        <v>2.2999999999999998</v>
      </c>
      <c r="W8307">
        <v>2.5</v>
      </c>
      <c r="X8307" s="1" t="s">
        <v>20</v>
      </c>
    </row>
    <row r="8308" spans="1:24" x14ac:dyDescent="0.25">
      <c r="A8308" s="1" t="str">
        <f t="shared" si="2360"/>
        <v>卡卡杜-凤凰仓</v>
      </c>
      <c r="B8308" s="1" t="str">
        <f>"CK20241010129"</f>
        <v>CK20241010129</v>
      </c>
      <c r="C8308" s="1" t="str">
        <f>"DD2024101014137"</f>
        <v>DD2024101014137</v>
      </c>
      <c r="D8308" s="1" t="str">
        <f>"CK2024101012669"</f>
        <v>CK2024101012669</v>
      </c>
      <c r="E8308" s="1" t="str">
        <f>"6918013326478900234"</f>
        <v>6918013326478900234</v>
      </c>
      <c r="F8308" s="1" t="str">
        <f t="shared" si="2361"/>
        <v>花都四部-凤凰仓</v>
      </c>
      <c r="G8308" s="1" t="str">
        <f t="shared" si="2366"/>
        <v>卡卡杜个人护理店（抖店）</v>
      </c>
      <c r="H8308" s="1" t="str">
        <f t="shared" si="2362"/>
        <v>正常订单</v>
      </c>
      <c r="I8308" s="1" t="str">
        <f t="shared" si="2363"/>
        <v>已发货</v>
      </c>
      <c r="J8308" s="1" t="str">
        <f t="shared" si="2369"/>
        <v>2</v>
      </c>
      <c r="K8308" s="1">
        <v>1</v>
      </c>
      <c r="L8308" s="1" t="s">
        <v>18</v>
      </c>
      <c r="M8308" s="1" t="str">
        <f>"广东省 湛江市 吴川市 海滨街道"</f>
        <v>广东省 湛江市 吴川市 海滨街道</v>
      </c>
      <c r="N8308" s="1" t="str">
        <f t="shared" si="2368"/>
        <v>凡华云仓-韵达-抖音</v>
      </c>
      <c r="O8308" s="5">
        <v>320164351722002</v>
      </c>
      <c r="P8308" s="6">
        <v>0.33</v>
      </c>
      <c r="Q8308" s="11">
        <v>2.2999999999999998</v>
      </c>
      <c r="R8308" s="11"/>
      <c r="S8308" s="11"/>
      <c r="T8308" s="11"/>
      <c r="U8308" s="11">
        <f t="shared" si="2359"/>
        <v>2.2999999999999998</v>
      </c>
      <c r="W8308">
        <v>2.5</v>
      </c>
      <c r="X8308" s="1" t="s">
        <v>18</v>
      </c>
    </row>
    <row r="8309" spans="1:24" x14ac:dyDescent="0.25">
      <c r="A8309" s="1" t="str">
        <f t="shared" si="2360"/>
        <v>卡卡杜-凤凰仓</v>
      </c>
      <c r="B8309" s="1" t="str">
        <f>"CK20241010203"</f>
        <v>CK20241010203</v>
      </c>
      <c r="C8309" s="1" t="str">
        <f>"DD2024101014209"</f>
        <v>DD2024101014209</v>
      </c>
      <c r="D8309" s="1" t="str">
        <f>"CK2024101012668"</f>
        <v>CK2024101012668</v>
      </c>
      <c r="E8309" s="1" t="str">
        <f>"6918015442904513837"</f>
        <v>6918015442904513837</v>
      </c>
      <c r="F8309" s="1" t="str">
        <f t="shared" si="2361"/>
        <v>花都四部-凤凰仓</v>
      </c>
      <c r="G8309" s="1" t="str">
        <f t="shared" si="2366"/>
        <v>卡卡杜个人护理店（抖店）</v>
      </c>
      <c r="H8309" s="1" t="str">
        <f t="shared" si="2362"/>
        <v>正常订单</v>
      </c>
      <c r="I8309" s="1" t="str">
        <f t="shared" si="2363"/>
        <v>已发货</v>
      </c>
      <c r="J8309" s="1" t="str">
        <f t="shared" si="2369"/>
        <v>2</v>
      </c>
      <c r="K8309" s="1">
        <v>2</v>
      </c>
      <c r="L8309" s="1" t="s">
        <v>74</v>
      </c>
      <c r="M8309" s="1" t="str">
        <f>"上海 上海市 宝山区 杨行镇"</f>
        <v>上海 上海市 宝山区 杨行镇</v>
      </c>
      <c r="N8309" s="1" t="str">
        <f t="shared" si="2368"/>
        <v>凡华云仓-韵达-抖音</v>
      </c>
      <c r="O8309" s="5">
        <v>320164351721984</v>
      </c>
      <c r="P8309" s="6">
        <v>0.28000000000000003</v>
      </c>
      <c r="Q8309" s="11">
        <v>2</v>
      </c>
      <c r="R8309" s="11"/>
      <c r="S8309" s="11"/>
      <c r="T8309" s="11"/>
      <c r="U8309" s="11">
        <f t="shared" si="2359"/>
        <v>2</v>
      </c>
      <c r="W8309">
        <v>2.2000000000000002</v>
      </c>
      <c r="X8309" s="1" t="s">
        <v>74</v>
      </c>
    </row>
    <row r="8310" spans="1:24" x14ac:dyDescent="0.25">
      <c r="A8310" s="1" t="str">
        <f t="shared" si="2360"/>
        <v>卡卡杜-凤凰仓</v>
      </c>
      <c r="B8310" s="1" t="str">
        <f>"CK20241010200"</f>
        <v>CK20241010200</v>
      </c>
      <c r="C8310" s="1" t="str">
        <f>"DD2024101014207"</f>
        <v>DD2024101014207</v>
      </c>
      <c r="D8310" s="1" t="str">
        <f>"CK2024101012667"</f>
        <v>CK2024101012667</v>
      </c>
      <c r="E8310" s="1" t="str">
        <f>"6918013068273614450"</f>
        <v>6918013068273614450</v>
      </c>
      <c r="F8310" s="1" t="str">
        <f t="shared" si="2361"/>
        <v>花都四部-凤凰仓</v>
      </c>
      <c r="G8310" s="1" t="str">
        <f t="shared" si="2366"/>
        <v>卡卡杜个人护理店（抖店）</v>
      </c>
      <c r="H8310" s="1" t="str">
        <f t="shared" si="2362"/>
        <v>正常订单</v>
      </c>
      <c r="I8310" s="1" t="str">
        <f t="shared" si="2363"/>
        <v>已发货</v>
      </c>
      <c r="J8310" s="1" t="str">
        <f t="shared" si="2369"/>
        <v>2</v>
      </c>
      <c r="K8310" s="1">
        <v>2</v>
      </c>
      <c r="L8310" s="1" t="s">
        <v>96</v>
      </c>
      <c r="M8310" s="1" t="str">
        <f>"广西壮族自治区 柳州市 融安县 长安镇"</f>
        <v>广西壮族自治区 柳州市 融安县 长安镇</v>
      </c>
      <c r="N8310" s="1" t="str">
        <f t="shared" si="2368"/>
        <v>凡华云仓-韵达-抖音</v>
      </c>
      <c r="O8310" s="5">
        <v>320164356604852</v>
      </c>
      <c r="P8310" s="6">
        <v>0.28000000000000003</v>
      </c>
      <c r="Q8310" s="11">
        <v>2</v>
      </c>
      <c r="R8310" s="11"/>
      <c r="S8310" s="11"/>
      <c r="T8310" s="11"/>
      <c r="U8310" s="11">
        <f t="shared" si="2359"/>
        <v>2</v>
      </c>
      <c r="W8310">
        <v>2.2000000000000002</v>
      </c>
      <c r="X8310" s="1" t="s">
        <v>96</v>
      </c>
    </row>
    <row r="8311" spans="1:24" x14ac:dyDescent="0.25">
      <c r="A8311" s="1" t="str">
        <f t="shared" si="2360"/>
        <v>卡卡杜-凤凰仓</v>
      </c>
      <c r="B8311" s="1" t="str">
        <f>"CK20241010202"</f>
        <v>CK20241010202</v>
      </c>
      <c r="C8311" s="1" t="str">
        <f>"DD2024101014208"</f>
        <v>DD2024101014208</v>
      </c>
      <c r="D8311" s="1" t="str">
        <f>"CK2024101012666"</f>
        <v>CK2024101012666</v>
      </c>
      <c r="E8311" s="1" t="str">
        <f>"6918008505047874893"</f>
        <v>6918008505047874893</v>
      </c>
      <c r="F8311" s="1" t="str">
        <f t="shared" si="2361"/>
        <v>花都四部-凤凰仓</v>
      </c>
      <c r="G8311" s="1" t="str">
        <f t="shared" si="2366"/>
        <v>卡卡杜个人护理店（抖店）</v>
      </c>
      <c r="H8311" s="1" t="str">
        <f t="shared" si="2362"/>
        <v>正常订单</v>
      </c>
      <c r="I8311" s="1" t="str">
        <f t="shared" si="2363"/>
        <v>已发货</v>
      </c>
      <c r="J8311" s="1" t="str">
        <f t="shared" si="2369"/>
        <v>2</v>
      </c>
      <c r="K8311" s="1">
        <v>2</v>
      </c>
      <c r="L8311" s="1" t="s">
        <v>18</v>
      </c>
      <c r="M8311" s="1" t="str">
        <f>"广东省 深圳市 福田区 梅林街道"</f>
        <v>广东省 深圳市 福田区 梅林街道</v>
      </c>
      <c r="N8311" s="1" t="str">
        <f t="shared" si="2368"/>
        <v>凡华云仓-韵达-抖音</v>
      </c>
      <c r="O8311" s="5">
        <v>320164356604749</v>
      </c>
      <c r="P8311" s="6">
        <v>0.28000000000000003</v>
      </c>
      <c r="Q8311" s="11">
        <v>2</v>
      </c>
      <c r="R8311" s="11"/>
      <c r="S8311" s="11"/>
      <c r="T8311" s="11"/>
      <c r="U8311" s="11">
        <f t="shared" si="2359"/>
        <v>2</v>
      </c>
      <c r="W8311">
        <v>2.2000000000000002</v>
      </c>
      <c r="X8311" s="1" t="s">
        <v>18</v>
      </c>
    </row>
    <row r="8312" spans="1:24" x14ac:dyDescent="0.25">
      <c r="A8312" s="1" t="str">
        <f t="shared" si="2360"/>
        <v>卡卡杜-凤凰仓</v>
      </c>
      <c r="B8312" s="1" t="str">
        <f>"CK20241010127"</f>
        <v>CK20241010127</v>
      </c>
      <c r="C8312" s="1" t="str">
        <f>"DD2024101014133"</f>
        <v>DD2024101014133</v>
      </c>
      <c r="D8312" s="1" t="str">
        <f>"CK2024101012665"</f>
        <v>CK2024101012665</v>
      </c>
      <c r="E8312" s="1" t="str">
        <f>"6918015457284161166"</f>
        <v>6918015457284161166</v>
      </c>
      <c r="F8312" s="1" t="str">
        <f t="shared" si="2361"/>
        <v>花都四部-凤凰仓</v>
      </c>
      <c r="G8312" s="1" t="str">
        <f t="shared" si="2366"/>
        <v>卡卡杜个人护理店（抖店）</v>
      </c>
      <c r="H8312" s="1" t="str">
        <f t="shared" si="2362"/>
        <v>正常订单</v>
      </c>
      <c r="I8312" s="1" t="str">
        <f t="shared" si="2363"/>
        <v>已发货</v>
      </c>
      <c r="J8312" s="1" t="str">
        <f t="shared" si="2369"/>
        <v>2</v>
      </c>
      <c r="K8312" s="1">
        <v>1</v>
      </c>
      <c r="L8312" s="1" t="s">
        <v>80</v>
      </c>
      <c r="M8312" s="1" t="str">
        <f>"河南省 濮阳市 清丰县 城关镇"</f>
        <v>河南省 濮阳市 清丰县 城关镇</v>
      </c>
      <c r="N8312" s="1" t="str">
        <f t="shared" si="2368"/>
        <v>凡华云仓-韵达-抖音</v>
      </c>
      <c r="O8312" s="5">
        <v>320164356604648</v>
      </c>
      <c r="P8312" s="6">
        <v>0.33</v>
      </c>
      <c r="Q8312" s="11">
        <v>2.2999999999999998</v>
      </c>
      <c r="R8312" s="11"/>
      <c r="S8312" s="11"/>
      <c r="T8312" s="11"/>
      <c r="U8312" s="11">
        <f t="shared" si="2359"/>
        <v>2.2999999999999998</v>
      </c>
      <c r="W8312">
        <v>2.5</v>
      </c>
      <c r="X8312" s="1" t="s">
        <v>80</v>
      </c>
    </row>
    <row r="8313" spans="1:24" x14ac:dyDescent="0.25">
      <c r="A8313" s="1" t="str">
        <f t="shared" si="2360"/>
        <v>卡卡杜-凤凰仓</v>
      </c>
      <c r="B8313" s="1" t="str">
        <f>"CK20241010133"</f>
        <v>CK20241010133</v>
      </c>
      <c r="C8313" s="1" t="str">
        <f>"DD2024101014139"</f>
        <v>DD2024101014139</v>
      </c>
      <c r="D8313" s="1" t="str">
        <f>"CK2024101012664"</f>
        <v>CK2024101012664</v>
      </c>
      <c r="E8313" s="1" t="str">
        <f>"6918012998674775920"</f>
        <v>6918012998674775920</v>
      </c>
      <c r="F8313" s="1" t="str">
        <f t="shared" si="2361"/>
        <v>花都四部-凤凰仓</v>
      </c>
      <c r="G8313" s="1" t="str">
        <f t="shared" si="2366"/>
        <v>卡卡杜个人护理店（抖店）</v>
      </c>
      <c r="H8313" s="1" t="str">
        <f t="shared" si="2362"/>
        <v>正常订单</v>
      </c>
      <c r="I8313" s="1" t="str">
        <f t="shared" si="2363"/>
        <v>已发货</v>
      </c>
      <c r="J8313" s="1" t="str">
        <f t="shared" si="2369"/>
        <v>2</v>
      </c>
      <c r="K8313" s="1">
        <v>1</v>
      </c>
      <c r="L8313" s="1" t="s">
        <v>20</v>
      </c>
      <c r="M8313" s="1" t="str">
        <f>"浙江省 杭州市 西湖区 留下街道"</f>
        <v>浙江省 杭州市 西湖区 留下街道</v>
      </c>
      <c r="N8313" s="1" t="str">
        <f t="shared" si="2368"/>
        <v>凡华云仓-韵达-抖音</v>
      </c>
      <c r="O8313" s="5">
        <v>320164356604549</v>
      </c>
      <c r="P8313" s="6">
        <v>0.33</v>
      </c>
      <c r="Q8313" s="11">
        <v>2.2999999999999998</v>
      </c>
      <c r="R8313" s="11"/>
      <c r="S8313" s="11"/>
      <c r="T8313" s="11"/>
      <c r="U8313" s="11">
        <f t="shared" si="2359"/>
        <v>2.2999999999999998</v>
      </c>
      <c r="W8313">
        <v>2.5</v>
      </c>
      <c r="X8313" s="1" t="s">
        <v>20</v>
      </c>
    </row>
    <row r="8314" spans="1:24" x14ac:dyDescent="0.25">
      <c r="A8314" s="1" t="str">
        <f t="shared" si="2360"/>
        <v>卡卡杜-凤凰仓</v>
      </c>
      <c r="B8314" s="1" t="str">
        <f>"CK20241010201"</f>
        <v>CK20241010201</v>
      </c>
      <c r="C8314" s="1" t="str">
        <f>"DD2024101014206"</f>
        <v>DD2024101014206</v>
      </c>
      <c r="D8314" s="1" t="str">
        <f>"CK2024101012663"</f>
        <v>CK2024101012663</v>
      </c>
      <c r="E8314" s="1" t="str">
        <f>"6917991384445779723"</f>
        <v>6917991384445779723</v>
      </c>
      <c r="F8314" s="1" t="str">
        <f t="shared" si="2361"/>
        <v>花都四部-凤凰仓</v>
      </c>
      <c r="G8314" s="1" t="str">
        <f t="shared" si="2366"/>
        <v>卡卡杜个人护理店（抖店）</v>
      </c>
      <c r="H8314" s="1" t="str">
        <f t="shared" si="2362"/>
        <v>正常订单</v>
      </c>
      <c r="I8314" s="1" t="str">
        <f t="shared" si="2363"/>
        <v>已发货</v>
      </c>
      <c r="J8314" s="1" t="str">
        <f t="shared" si="2369"/>
        <v>2</v>
      </c>
      <c r="K8314" s="1">
        <v>2</v>
      </c>
      <c r="L8314" s="1" t="s">
        <v>74</v>
      </c>
      <c r="M8314" s="1" t="str">
        <f>"上海 上海市 嘉定区 徐行镇"</f>
        <v>上海 上海市 嘉定区 徐行镇</v>
      </c>
      <c r="N8314" s="1" t="str">
        <f t="shared" si="2368"/>
        <v>凡华云仓-韵达-抖音</v>
      </c>
      <c r="O8314" s="5">
        <v>320164356604452</v>
      </c>
      <c r="P8314" s="6">
        <v>0.28000000000000003</v>
      </c>
      <c r="Q8314" s="11">
        <v>2</v>
      </c>
      <c r="R8314" s="11"/>
      <c r="S8314" s="11"/>
      <c r="T8314" s="11"/>
      <c r="U8314" s="11">
        <f t="shared" si="2359"/>
        <v>2</v>
      </c>
      <c r="W8314">
        <v>2.2000000000000002</v>
      </c>
      <c r="X8314" s="1" t="s">
        <v>74</v>
      </c>
    </row>
    <row r="8315" spans="1:24" x14ac:dyDescent="0.25">
      <c r="A8315" s="1" t="str">
        <f t="shared" si="2360"/>
        <v>卡卡杜-凤凰仓</v>
      </c>
      <c r="B8315" s="1" t="str">
        <f>"CK20241010134"</f>
        <v>CK20241010134</v>
      </c>
      <c r="C8315" s="1" t="str">
        <f>"DD2024101014142"</f>
        <v>DD2024101014142</v>
      </c>
      <c r="D8315" s="1" t="str">
        <f>"CK2024101012662"</f>
        <v>CK2024101012662</v>
      </c>
      <c r="E8315" s="1" t="str">
        <f>"6918008296262237313"</f>
        <v>6918008296262237313</v>
      </c>
      <c r="F8315" s="1" t="str">
        <f t="shared" si="2361"/>
        <v>花都四部-凤凰仓</v>
      </c>
      <c r="G8315" s="1" t="str">
        <f t="shared" si="2366"/>
        <v>卡卡杜个人护理店（抖店）</v>
      </c>
      <c r="H8315" s="1" t="str">
        <f t="shared" si="2362"/>
        <v>正常订单</v>
      </c>
      <c r="I8315" s="1" t="str">
        <f t="shared" si="2363"/>
        <v>已发货</v>
      </c>
      <c r="J8315" s="1" t="str">
        <f t="shared" si="2369"/>
        <v>2</v>
      </c>
      <c r="K8315" s="1">
        <v>1</v>
      </c>
      <c r="L8315" s="1" t="s">
        <v>20</v>
      </c>
      <c r="M8315" s="1" t="str">
        <f>"浙江省 金华市 金东区 东孝街道"</f>
        <v>浙江省 金华市 金东区 东孝街道</v>
      </c>
      <c r="N8315" s="1" t="str">
        <f t="shared" si="2368"/>
        <v>凡华云仓-韵达-抖音</v>
      </c>
      <c r="O8315" s="5">
        <v>320164356604357</v>
      </c>
      <c r="P8315" s="6">
        <v>0.33</v>
      </c>
      <c r="Q8315" s="11">
        <v>2.2999999999999998</v>
      </c>
      <c r="R8315" s="11"/>
      <c r="S8315" s="11"/>
      <c r="T8315" s="11"/>
      <c r="U8315" s="11">
        <f t="shared" si="2359"/>
        <v>2.2999999999999998</v>
      </c>
      <c r="W8315">
        <v>2.5</v>
      </c>
      <c r="X8315" s="1" t="s">
        <v>20</v>
      </c>
    </row>
    <row r="8316" spans="1:24" x14ac:dyDescent="0.25">
      <c r="A8316" s="1" t="str">
        <f t="shared" si="2360"/>
        <v>卡卡杜-凤凰仓</v>
      </c>
      <c r="B8316" s="1" t="str">
        <f>"CK20241010128"</f>
        <v>CK20241010128</v>
      </c>
      <c r="C8316" s="1" t="str">
        <f>"DD2024101014134"</f>
        <v>DD2024101014134</v>
      </c>
      <c r="D8316" s="1" t="str">
        <f>"CK2024101012661"</f>
        <v>CK2024101012661</v>
      </c>
      <c r="E8316" s="1" t="str">
        <f>"6918010604237127631"</f>
        <v>6918010604237127631</v>
      </c>
      <c r="F8316" s="1" t="str">
        <f t="shared" si="2361"/>
        <v>花都四部-凤凰仓</v>
      </c>
      <c r="G8316" s="1" t="str">
        <f t="shared" si="2366"/>
        <v>卡卡杜个人护理店（抖店）</v>
      </c>
      <c r="H8316" s="1" t="str">
        <f t="shared" si="2362"/>
        <v>正常订单</v>
      </c>
      <c r="I8316" s="1" t="str">
        <f t="shared" si="2363"/>
        <v>已发货</v>
      </c>
      <c r="J8316" s="1" t="str">
        <f t="shared" si="2369"/>
        <v>2</v>
      </c>
      <c r="K8316" s="1">
        <v>1</v>
      </c>
      <c r="L8316" s="1" t="s">
        <v>24</v>
      </c>
      <c r="M8316" s="1" t="str">
        <f>"福建省 莆田市 涵江区 江口镇"</f>
        <v>福建省 莆田市 涵江区 江口镇</v>
      </c>
      <c r="N8316" s="1" t="str">
        <f t="shared" si="2368"/>
        <v>凡华云仓-韵达-抖音</v>
      </c>
      <c r="O8316" s="5">
        <v>320164356604264</v>
      </c>
      <c r="P8316" s="6">
        <v>0.33</v>
      </c>
      <c r="Q8316" s="11">
        <v>2.2999999999999998</v>
      </c>
      <c r="R8316" s="11"/>
      <c r="S8316" s="11"/>
      <c r="T8316" s="11"/>
      <c r="U8316" s="11">
        <f t="shared" si="2359"/>
        <v>2.2999999999999998</v>
      </c>
      <c r="W8316">
        <v>2.5</v>
      </c>
      <c r="X8316" s="1" t="s">
        <v>24</v>
      </c>
    </row>
    <row r="8317" spans="1:24" x14ac:dyDescent="0.25">
      <c r="A8317" s="1" t="str">
        <f t="shared" si="2360"/>
        <v>卡卡杜-凤凰仓</v>
      </c>
      <c r="B8317" s="1" t="str">
        <f>"CK20241010135"</f>
        <v>CK20241010135</v>
      </c>
      <c r="C8317" s="1" t="str">
        <f>"DD2024101014140"</f>
        <v>DD2024101014140</v>
      </c>
      <c r="D8317" s="1" t="str">
        <f>"CK2024101012660"</f>
        <v>CK2024101012660</v>
      </c>
      <c r="E8317" s="1" t="str">
        <f>"6918005979872656630"</f>
        <v>6918005979872656630</v>
      </c>
      <c r="F8317" s="1" t="str">
        <f t="shared" si="2361"/>
        <v>花都四部-凤凰仓</v>
      </c>
      <c r="G8317" s="1" t="str">
        <f t="shared" si="2366"/>
        <v>卡卡杜个人护理店（抖店）</v>
      </c>
      <c r="H8317" s="1" t="str">
        <f t="shared" si="2362"/>
        <v>正常订单</v>
      </c>
      <c r="I8317" s="1" t="str">
        <f t="shared" si="2363"/>
        <v>已发货</v>
      </c>
      <c r="J8317" s="1" t="str">
        <f t="shared" si="2369"/>
        <v>2</v>
      </c>
      <c r="K8317" s="1">
        <v>1</v>
      </c>
      <c r="L8317" s="1" t="s">
        <v>22</v>
      </c>
      <c r="M8317" s="1" t="str">
        <f>"江西省 赣州市 信丰县 嘉定镇"</f>
        <v>江西省 赣州市 信丰县 嘉定镇</v>
      </c>
      <c r="N8317" s="1" t="str">
        <f t="shared" si="2368"/>
        <v>凡华云仓-韵达-抖音</v>
      </c>
      <c r="O8317" s="5">
        <v>320164356604173</v>
      </c>
      <c r="P8317" s="6">
        <v>0.33</v>
      </c>
      <c r="Q8317" s="11">
        <v>2.2999999999999998</v>
      </c>
      <c r="R8317" s="11"/>
      <c r="S8317" s="11"/>
      <c r="T8317" s="11"/>
      <c r="U8317" s="11">
        <f t="shared" si="2359"/>
        <v>2.2999999999999998</v>
      </c>
      <c r="W8317">
        <v>2.5</v>
      </c>
      <c r="X8317" s="1" t="s">
        <v>22</v>
      </c>
    </row>
    <row r="8318" spans="1:24" x14ac:dyDescent="0.25">
      <c r="A8318" s="1" t="str">
        <f t="shared" si="2360"/>
        <v>卡卡杜-凤凰仓</v>
      </c>
      <c r="B8318" s="1" t="str">
        <f>"CK20241010126"</f>
        <v>CK20241010126</v>
      </c>
      <c r="C8318" s="1" t="str">
        <f>"DD2024101014130"</f>
        <v>DD2024101014130</v>
      </c>
      <c r="D8318" s="1" t="str">
        <f>"CK2024101012659"</f>
        <v>CK2024101012659</v>
      </c>
      <c r="E8318" s="1" t="str">
        <f>"6934821860122760853"</f>
        <v>6934821860122760853</v>
      </c>
      <c r="F8318" s="1" t="str">
        <f t="shared" si="2361"/>
        <v>花都四部-凤凰仓</v>
      </c>
      <c r="G8318" s="1" t="str">
        <f t="shared" si="2366"/>
        <v>卡卡杜个人护理店（抖店）</v>
      </c>
      <c r="H8318" s="1" t="str">
        <f t="shared" si="2362"/>
        <v>正常订单</v>
      </c>
      <c r="I8318" s="1" t="str">
        <f t="shared" si="2363"/>
        <v>已发货</v>
      </c>
      <c r="J8318" s="1" t="str">
        <f t="shared" si="2369"/>
        <v>2</v>
      </c>
      <c r="K8318" s="1">
        <v>1</v>
      </c>
      <c r="L8318" s="1" t="s">
        <v>22</v>
      </c>
      <c r="M8318" s="1" t="str">
        <f>"江西省 吉安市 新干县 金川镇"</f>
        <v>江西省 吉安市 新干县 金川镇</v>
      </c>
      <c r="N8318" s="1" t="str">
        <f t="shared" si="2368"/>
        <v>凡华云仓-韵达-抖音</v>
      </c>
      <c r="O8318" s="5">
        <v>320164356604084</v>
      </c>
      <c r="P8318" s="6">
        <v>0.33</v>
      </c>
      <c r="Q8318" s="11">
        <v>2.2999999999999998</v>
      </c>
      <c r="R8318" s="11"/>
      <c r="S8318" s="11"/>
      <c r="T8318" s="11"/>
      <c r="U8318" s="11">
        <f t="shared" si="2359"/>
        <v>2.2999999999999998</v>
      </c>
      <c r="W8318">
        <v>2.5</v>
      </c>
      <c r="X8318" s="1" t="s">
        <v>22</v>
      </c>
    </row>
    <row r="8319" spans="1:24" x14ac:dyDescent="0.25">
      <c r="A8319" s="1" t="str">
        <f t="shared" si="2360"/>
        <v>卡卡杜-凤凰仓</v>
      </c>
      <c r="B8319" s="1" t="str">
        <f>"CK20241010121"</f>
        <v>CK20241010121</v>
      </c>
      <c r="C8319" s="1" t="str">
        <f>"DD2024101014131"</f>
        <v>DD2024101014131</v>
      </c>
      <c r="D8319" s="1" t="str">
        <f>"CK2024101012658"</f>
        <v>CK2024101012658</v>
      </c>
      <c r="E8319" s="1" t="str">
        <f>"6918015079067974703"</f>
        <v>6918015079067974703</v>
      </c>
      <c r="F8319" s="1" t="str">
        <f t="shared" si="2361"/>
        <v>花都四部-凤凰仓</v>
      </c>
      <c r="G8319" s="1" t="str">
        <f t="shared" si="2366"/>
        <v>卡卡杜个人护理店（抖店）</v>
      </c>
      <c r="H8319" s="1" t="str">
        <f t="shared" si="2362"/>
        <v>正常订单</v>
      </c>
      <c r="I8319" s="1" t="str">
        <f t="shared" si="2363"/>
        <v>已发货</v>
      </c>
      <c r="J8319" s="1" t="str">
        <f t="shared" si="2369"/>
        <v>2</v>
      </c>
      <c r="K8319" s="1">
        <v>1</v>
      </c>
      <c r="L8319" s="1" t="s">
        <v>18</v>
      </c>
      <c r="M8319" s="1" t="str">
        <f>"广东省 湛江市 雷州市 客路镇"</f>
        <v>广东省 湛江市 雷州市 客路镇</v>
      </c>
      <c r="N8319" s="1" t="str">
        <f t="shared" si="2368"/>
        <v>凡华云仓-韵达-抖音</v>
      </c>
      <c r="O8319" s="5">
        <v>320164356603962</v>
      </c>
      <c r="P8319" s="6">
        <v>0.33</v>
      </c>
      <c r="Q8319" s="11">
        <v>2.2999999999999998</v>
      </c>
      <c r="R8319" s="11"/>
      <c r="S8319" s="11"/>
      <c r="T8319" s="11"/>
      <c r="U8319" s="11">
        <f t="shared" si="2359"/>
        <v>2.2999999999999998</v>
      </c>
      <c r="W8319">
        <v>2.5</v>
      </c>
      <c r="X8319" s="1" t="s">
        <v>18</v>
      </c>
    </row>
    <row r="8320" spans="1:24" x14ac:dyDescent="0.25">
      <c r="A8320" s="1" t="str">
        <f t="shared" si="2360"/>
        <v>卡卡杜-凤凰仓</v>
      </c>
      <c r="B8320" s="1" t="str">
        <f>"CK20241010205"</f>
        <v>CK20241010205</v>
      </c>
      <c r="C8320" s="1" t="str">
        <f>"DD2024101014211"</f>
        <v>DD2024101014211</v>
      </c>
      <c r="D8320" s="1" t="str">
        <f>"CK2024101012657"</f>
        <v>CK2024101012657</v>
      </c>
      <c r="E8320" s="1" t="str">
        <f>"6918000616450981399"</f>
        <v>6918000616450981399</v>
      </c>
      <c r="F8320" s="1" t="str">
        <f t="shared" si="2361"/>
        <v>花都四部-凤凰仓</v>
      </c>
      <c r="G8320" s="1" t="str">
        <f t="shared" si="2366"/>
        <v>卡卡杜个人护理店（抖店）</v>
      </c>
      <c r="H8320" s="1" t="str">
        <f t="shared" si="2362"/>
        <v>正常订单</v>
      </c>
      <c r="I8320" s="1" t="str">
        <f t="shared" si="2363"/>
        <v>已发货</v>
      </c>
      <c r="J8320" s="1" t="str">
        <f t="shared" si="2369"/>
        <v>2</v>
      </c>
      <c r="K8320" s="1">
        <v>2</v>
      </c>
      <c r="L8320" s="1" t="s">
        <v>18</v>
      </c>
      <c r="M8320" s="1" t="str">
        <f>"广东省 深圳市 龙华区 民治街道"</f>
        <v>广东省 深圳市 龙华区 民治街道</v>
      </c>
      <c r="N8320" s="1" t="str">
        <f t="shared" si="2368"/>
        <v>凡华云仓-韵达-抖音</v>
      </c>
      <c r="O8320" s="5">
        <v>320164366234345</v>
      </c>
      <c r="P8320" s="6">
        <v>0.28000000000000003</v>
      </c>
      <c r="Q8320" s="11">
        <v>2</v>
      </c>
      <c r="R8320" s="11"/>
      <c r="S8320" s="11"/>
      <c r="T8320" s="11"/>
      <c r="U8320" s="11">
        <f t="shared" si="2359"/>
        <v>2</v>
      </c>
      <c r="W8320">
        <v>2.2000000000000002</v>
      </c>
      <c r="X8320" s="1" t="s">
        <v>18</v>
      </c>
    </row>
    <row r="8321" spans="1:24" x14ac:dyDescent="0.25">
      <c r="A8321" s="1" t="str">
        <f t="shared" si="2360"/>
        <v>卡卡杜-凤凰仓</v>
      </c>
      <c r="B8321" s="1" t="str">
        <f>"CK20241010113"</f>
        <v>CK20241010113</v>
      </c>
      <c r="C8321" s="1" t="str">
        <f>"DD2024101014118"</f>
        <v>DD2024101014118</v>
      </c>
      <c r="D8321" s="1" t="str">
        <f>"CK2024101012656"</f>
        <v>CK2024101012656</v>
      </c>
      <c r="E8321" s="1" t="str">
        <f>"6917996004010327313"</f>
        <v>6917996004010327313</v>
      </c>
      <c r="F8321" s="1" t="str">
        <f t="shared" si="2361"/>
        <v>花都四部-凤凰仓</v>
      </c>
      <c r="G8321" s="1" t="str">
        <f t="shared" si="2366"/>
        <v>卡卡杜个人护理店（抖店）</v>
      </c>
      <c r="H8321" s="1" t="str">
        <f t="shared" si="2362"/>
        <v>正常订单</v>
      </c>
      <c r="I8321" s="1" t="str">
        <f t="shared" si="2363"/>
        <v>已发货</v>
      </c>
      <c r="J8321" s="1" t="str">
        <f t="shared" si="2369"/>
        <v>2</v>
      </c>
      <c r="K8321" s="1">
        <v>1</v>
      </c>
      <c r="L8321" s="1" t="s">
        <v>27</v>
      </c>
      <c r="M8321" s="1" t="str">
        <f>"贵州省 毕节市 黔西市 莲城街道"</f>
        <v>贵州省 毕节市 黔西市 莲城街道</v>
      </c>
      <c r="N8321" s="1" t="str">
        <f t="shared" si="2368"/>
        <v>凡华云仓-韵达-抖音</v>
      </c>
      <c r="O8321" s="5">
        <v>320164366234252</v>
      </c>
      <c r="P8321" s="6">
        <v>0.2</v>
      </c>
      <c r="Q8321" s="11">
        <v>2</v>
      </c>
      <c r="R8321" s="11"/>
      <c r="S8321" s="11"/>
      <c r="T8321" s="11"/>
      <c r="U8321" s="11">
        <f t="shared" si="2359"/>
        <v>2</v>
      </c>
      <c r="W8321">
        <v>2.2000000000000002</v>
      </c>
      <c r="X8321" s="1" t="s">
        <v>27</v>
      </c>
    </row>
    <row r="8322" spans="1:24" x14ac:dyDescent="0.25">
      <c r="A8322" s="1" t="str">
        <f t="shared" si="2360"/>
        <v>卡卡杜-凤凰仓</v>
      </c>
      <c r="B8322" s="1" t="str">
        <f>"CK20241010210"</f>
        <v>CK20241010210</v>
      </c>
      <c r="C8322" s="1" t="str">
        <f>"DD2024101014215"</f>
        <v>DD2024101014215</v>
      </c>
      <c r="D8322" s="1" t="str">
        <f>"CK2024101012655"</f>
        <v>CK2024101012655</v>
      </c>
      <c r="E8322" s="1" t="str">
        <f>"6918015248760733190"</f>
        <v>6918015248760733190</v>
      </c>
      <c r="F8322" s="1" t="str">
        <f t="shared" si="2361"/>
        <v>花都四部-凤凰仓</v>
      </c>
      <c r="G8322" s="1" t="str">
        <f t="shared" si="2366"/>
        <v>卡卡杜个人护理店（抖店）</v>
      </c>
      <c r="H8322" s="1" t="str">
        <f t="shared" si="2362"/>
        <v>正常订单</v>
      </c>
      <c r="I8322" s="1" t="str">
        <f t="shared" si="2363"/>
        <v>已发货</v>
      </c>
      <c r="J8322" s="1" t="str">
        <f t="shared" si="2369"/>
        <v>2</v>
      </c>
      <c r="K8322" s="1">
        <v>2</v>
      </c>
      <c r="L8322" s="1" t="s">
        <v>80</v>
      </c>
      <c r="M8322" s="1" t="str">
        <f>"河南省 郑州市 中原区 枫杨办事处"</f>
        <v>河南省 郑州市 中原区 枫杨办事处</v>
      </c>
      <c r="N8322" s="1" t="str">
        <f t="shared" si="2368"/>
        <v>凡华云仓-韵达-抖音</v>
      </c>
      <c r="O8322" s="5">
        <v>320164366234161</v>
      </c>
      <c r="P8322" s="6">
        <v>0.28000000000000003</v>
      </c>
      <c r="Q8322" s="11">
        <v>2</v>
      </c>
      <c r="R8322" s="11"/>
      <c r="S8322" s="11"/>
      <c r="T8322" s="11"/>
      <c r="U8322" s="11">
        <f t="shared" si="2359"/>
        <v>2</v>
      </c>
      <c r="W8322">
        <v>2.2000000000000002</v>
      </c>
      <c r="X8322" s="1" t="s">
        <v>80</v>
      </c>
    </row>
    <row r="8323" spans="1:24" x14ac:dyDescent="0.25">
      <c r="A8323" s="1" t="str">
        <f t="shared" si="2360"/>
        <v>卡卡杜-凤凰仓</v>
      </c>
      <c r="B8323" s="1" t="str">
        <f>"CK20241010119"</f>
        <v>CK20241010119</v>
      </c>
      <c r="C8323" s="1" t="str">
        <f>"DD2024101014122"</f>
        <v>DD2024101014122</v>
      </c>
      <c r="D8323" s="1" t="str">
        <f>"CK2024101012654"</f>
        <v>CK2024101012654</v>
      </c>
      <c r="E8323" s="1" t="str">
        <f>"6918015167302631097"</f>
        <v>6918015167302631097</v>
      </c>
      <c r="F8323" s="1" t="str">
        <f t="shared" si="2361"/>
        <v>花都四部-凤凰仓</v>
      </c>
      <c r="G8323" s="1" t="str">
        <f t="shared" si="2366"/>
        <v>卡卡杜个人护理店（抖店）</v>
      </c>
      <c r="H8323" s="1" t="str">
        <f t="shared" si="2362"/>
        <v>正常订单</v>
      </c>
      <c r="I8323" s="1" t="str">
        <f t="shared" si="2363"/>
        <v>已发货</v>
      </c>
      <c r="J8323" s="1" t="str">
        <f t="shared" si="2369"/>
        <v>2</v>
      </c>
      <c r="K8323" s="1">
        <v>1</v>
      </c>
      <c r="L8323" s="1" t="s">
        <v>105</v>
      </c>
      <c r="M8323" s="1" t="str">
        <f>"北京 北京市 通州区 永顺地区"</f>
        <v>北京 北京市 通州区 永顺地区</v>
      </c>
      <c r="N8323" s="1" t="str">
        <f t="shared" si="2368"/>
        <v>凡华云仓-韵达-抖音</v>
      </c>
      <c r="O8323" s="5">
        <v>320164366234072</v>
      </c>
      <c r="P8323" s="6">
        <v>0.33</v>
      </c>
      <c r="Q8323" s="11">
        <v>2.2999999999999998</v>
      </c>
      <c r="R8323" s="11"/>
      <c r="S8323" s="11"/>
      <c r="T8323" s="11"/>
      <c r="U8323" s="11">
        <f t="shared" ref="U8323:U8386" si="2370">T8323+S8323+R8323+Q8323</f>
        <v>2.2999999999999998</v>
      </c>
      <c r="W8323">
        <v>2.5</v>
      </c>
      <c r="X8323" s="1" t="s">
        <v>105</v>
      </c>
    </row>
    <row r="8324" spans="1:24" x14ac:dyDescent="0.25">
      <c r="A8324" s="1" t="str">
        <f t="shared" si="2360"/>
        <v>卡卡杜-凤凰仓</v>
      </c>
      <c r="B8324" s="1" t="str">
        <f>"CK20241010111"</f>
        <v>CK20241010111</v>
      </c>
      <c r="C8324" s="1" t="str">
        <f>"DD2024101014117"</f>
        <v>DD2024101014117</v>
      </c>
      <c r="D8324" s="1" t="str">
        <f>"CK2024101012653"</f>
        <v>CK2024101012653</v>
      </c>
      <c r="E8324" s="1" t="str">
        <f>"6918015239576387480"</f>
        <v>6918015239576387480</v>
      </c>
      <c r="F8324" s="1" t="str">
        <f t="shared" si="2361"/>
        <v>花都四部-凤凰仓</v>
      </c>
      <c r="G8324" s="1" t="str">
        <f t="shared" si="2366"/>
        <v>卡卡杜个人护理店（抖店）</v>
      </c>
      <c r="H8324" s="1" t="str">
        <f t="shared" si="2362"/>
        <v>正常订单</v>
      </c>
      <c r="I8324" s="1" t="str">
        <f t="shared" si="2363"/>
        <v>已发货</v>
      </c>
      <c r="J8324" s="1" t="str">
        <f>"1"</f>
        <v>1</v>
      </c>
      <c r="K8324" s="1">
        <v>1</v>
      </c>
      <c r="L8324" s="1" t="s">
        <v>18</v>
      </c>
      <c r="M8324" s="1" t="str">
        <f>"广东省 潮州市 潮安区 登塘镇"</f>
        <v>广东省 潮州市 潮安区 登塘镇</v>
      </c>
      <c r="N8324" s="1" t="str">
        <f t="shared" si="2368"/>
        <v>凡华云仓-韵达-抖音</v>
      </c>
      <c r="O8324" s="5">
        <v>320164366233950</v>
      </c>
      <c r="P8324" s="6">
        <v>0.12</v>
      </c>
      <c r="Q8324" s="11">
        <v>2</v>
      </c>
      <c r="R8324" s="11"/>
      <c r="S8324" s="11"/>
      <c r="T8324" s="11"/>
      <c r="U8324" s="11">
        <f t="shared" si="2370"/>
        <v>2</v>
      </c>
      <c r="W8324">
        <v>2.2000000000000002</v>
      </c>
      <c r="X8324" s="1" t="s">
        <v>18</v>
      </c>
    </row>
    <row r="8325" spans="1:24" x14ac:dyDescent="0.25">
      <c r="A8325" s="1" t="str">
        <f t="shared" ref="A8325:A8388" si="2371">"卡卡杜-凤凰仓"</f>
        <v>卡卡杜-凤凰仓</v>
      </c>
      <c r="B8325" s="1" t="str">
        <f>"CK20241010123"</f>
        <v>CK20241010123</v>
      </c>
      <c r="C8325" s="1" t="str">
        <f>"DD2024101014128"</f>
        <v>DD2024101014128</v>
      </c>
      <c r="D8325" s="1" t="str">
        <f>"CK2024101012652"</f>
        <v>CK2024101012652</v>
      </c>
      <c r="E8325" s="1" t="str">
        <f>"6917995972141546499"</f>
        <v>6917995972141546499</v>
      </c>
      <c r="F8325" s="1" t="str">
        <f t="shared" ref="F8325:F8388" si="2372">"花都四部-凤凰仓"</f>
        <v>花都四部-凤凰仓</v>
      </c>
      <c r="G8325" s="1" t="str">
        <f t="shared" si="2366"/>
        <v>卡卡杜个人护理店（抖店）</v>
      </c>
      <c r="H8325" s="1" t="str">
        <f t="shared" ref="H8325:H8388" si="2373">"正常订单"</f>
        <v>正常订单</v>
      </c>
      <c r="I8325" s="1" t="str">
        <f t="shared" ref="I8325:I8388" si="2374">"已发货"</f>
        <v>已发货</v>
      </c>
      <c r="J8325" s="1" t="str">
        <f t="shared" ref="J8325:J8380" si="2375">"2"</f>
        <v>2</v>
      </c>
      <c r="K8325" s="1">
        <v>1</v>
      </c>
      <c r="L8325" s="1" t="s">
        <v>13</v>
      </c>
      <c r="M8325" s="1" t="str">
        <f>"江苏省 南京市 溧水区 晶桥镇"</f>
        <v>江苏省 南京市 溧水区 晶桥镇</v>
      </c>
      <c r="N8325" s="1" t="str">
        <f t="shared" si="2368"/>
        <v>凡华云仓-韵达-抖音</v>
      </c>
      <c r="O8325" s="5">
        <v>320164366233845</v>
      </c>
      <c r="P8325" s="6">
        <v>0.33</v>
      </c>
      <c r="Q8325" s="11">
        <v>2.2999999999999998</v>
      </c>
      <c r="R8325" s="11"/>
      <c r="S8325" s="11"/>
      <c r="T8325" s="11"/>
      <c r="U8325" s="11">
        <f t="shared" si="2370"/>
        <v>2.2999999999999998</v>
      </c>
      <c r="W8325">
        <v>2.5</v>
      </c>
      <c r="X8325" s="1" t="s">
        <v>13</v>
      </c>
    </row>
    <row r="8326" spans="1:24" x14ac:dyDescent="0.25">
      <c r="A8326" s="1" t="str">
        <f t="shared" si="2371"/>
        <v>卡卡杜-凤凰仓</v>
      </c>
      <c r="B8326" s="1" t="str">
        <f>"CK20241010124"</f>
        <v>CK20241010124</v>
      </c>
      <c r="C8326" s="1" t="str">
        <f>"DD2024101014129"</f>
        <v>DD2024101014129</v>
      </c>
      <c r="D8326" s="1" t="str">
        <f>"CK2024101012651"</f>
        <v>CK2024101012651</v>
      </c>
      <c r="E8326" s="1" t="str">
        <f>"6918008076620234702"</f>
        <v>6918008076620234702</v>
      </c>
      <c r="F8326" s="1" t="str">
        <f t="shared" si="2372"/>
        <v>花都四部-凤凰仓</v>
      </c>
      <c r="G8326" s="1" t="str">
        <f t="shared" si="2366"/>
        <v>卡卡杜个人护理店（抖店）</v>
      </c>
      <c r="H8326" s="1" t="str">
        <f t="shared" si="2373"/>
        <v>正常订单</v>
      </c>
      <c r="I8326" s="1" t="str">
        <f t="shared" si="2374"/>
        <v>已发货</v>
      </c>
      <c r="J8326" s="1" t="str">
        <f t="shared" si="2375"/>
        <v>2</v>
      </c>
      <c r="K8326" s="1">
        <v>1</v>
      </c>
      <c r="L8326" s="1" t="s">
        <v>47</v>
      </c>
      <c r="M8326" s="1" t="str">
        <f>"重庆 重庆市 荣昌区 盘龙镇"</f>
        <v>重庆 重庆市 荣昌区 盘龙镇</v>
      </c>
      <c r="N8326" s="1" t="str">
        <f t="shared" si="2368"/>
        <v>凡华云仓-韵达-抖音</v>
      </c>
      <c r="O8326" s="5">
        <v>320164366233742</v>
      </c>
      <c r="P8326" s="6">
        <v>0.33</v>
      </c>
      <c r="Q8326" s="11">
        <v>2.2999999999999998</v>
      </c>
      <c r="R8326" s="11"/>
      <c r="S8326" s="11"/>
      <c r="T8326" s="11"/>
      <c r="U8326" s="11">
        <f t="shared" si="2370"/>
        <v>2.2999999999999998</v>
      </c>
      <c r="W8326">
        <v>2.5</v>
      </c>
      <c r="X8326" s="1" t="s">
        <v>47</v>
      </c>
    </row>
    <row r="8327" spans="1:24" x14ac:dyDescent="0.25">
      <c r="A8327" s="1" t="str">
        <f t="shared" si="2371"/>
        <v>卡卡杜-凤凰仓</v>
      </c>
      <c r="B8327" s="1" t="str">
        <f>"CK20241010212"</f>
        <v>CK20241010212</v>
      </c>
      <c r="C8327" s="1" t="str">
        <f>"DD2024101014218"</f>
        <v>DD2024101014218</v>
      </c>
      <c r="D8327" s="1" t="str">
        <f>"CK2024101012650"</f>
        <v>CK2024101012650</v>
      </c>
      <c r="E8327" s="1" t="str">
        <f>"6917991203812965559"</f>
        <v>6917991203812965559</v>
      </c>
      <c r="F8327" s="1" t="str">
        <f t="shared" si="2372"/>
        <v>花都四部-凤凰仓</v>
      </c>
      <c r="G8327" s="1" t="str">
        <f t="shared" si="2366"/>
        <v>卡卡杜个人护理店（抖店）</v>
      </c>
      <c r="H8327" s="1" t="str">
        <f t="shared" si="2373"/>
        <v>正常订单</v>
      </c>
      <c r="I8327" s="1" t="str">
        <f t="shared" si="2374"/>
        <v>已发货</v>
      </c>
      <c r="J8327" s="1" t="str">
        <f t="shared" si="2375"/>
        <v>2</v>
      </c>
      <c r="K8327" s="1">
        <v>2</v>
      </c>
      <c r="L8327" s="1" t="s">
        <v>47</v>
      </c>
      <c r="M8327" s="1" t="str">
        <f>"重庆 重庆市 渝北区 龙溪街道"</f>
        <v>重庆 重庆市 渝北区 龙溪街道</v>
      </c>
      <c r="N8327" s="1" t="str">
        <f t="shared" si="2368"/>
        <v>凡华云仓-韵达-抖音</v>
      </c>
      <c r="O8327" s="5">
        <v>320164366233641</v>
      </c>
      <c r="P8327" s="6">
        <v>0.28000000000000003</v>
      </c>
      <c r="Q8327" s="11">
        <v>2</v>
      </c>
      <c r="R8327" s="11"/>
      <c r="S8327" s="11"/>
      <c r="T8327" s="11"/>
      <c r="U8327" s="11">
        <f t="shared" si="2370"/>
        <v>2</v>
      </c>
      <c r="W8327">
        <v>2.2000000000000002</v>
      </c>
      <c r="X8327" s="1" t="s">
        <v>47</v>
      </c>
    </row>
    <row r="8328" spans="1:24" x14ac:dyDescent="0.25">
      <c r="A8328" s="1" t="str">
        <f t="shared" si="2371"/>
        <v>卡卡杜-凤凰仓</v>
      </c>
      <c r="B8328" s="1" t="str">
        <f>"CK20241010136"</f>
        <v>CK20241010136</v>
      </c>
      <c r="C8328" s="1" t="str">
        <f>"DD2024101014141"</f>
        <v>DD2024101014141</v>
      </c>
      <c r="D8328" s="1" t="str">
        <f>"CK2024101012649"</f>
        <v>CK2024101012649</v>
      </c>
      <c r="E8328" s="1" t="str">
        <f>"6918000539306589487"</f>
        <v>6918000539306589487</v>
      </c>
      <c r="F8328" s="1" t="str">
        <f t="shared" si="2372"/>
        <v>花都四部-凤凰仓</v>
      </c>
      <c r="G8328" s="1" t="str">
        <f t="shared" si="2366"/>
        <v>卡卡杜个人护理店（抖店）</v>
      </c>
      <c r="H8328" s="1" t="str">
        <f t="shared" si="2373"/>
        <v>正常订单</v>
      </c>
      <c r="I8328" s="1" t="str">
        <f t="shared" si="2374"/>
        <v>已发货</v>
      </c>
      <c r="J8328" s="1" t="str">
        <f t="shared" si="2375"/>
        <v>2</v>
      </c>
      <c r="K8328" s="1">
        <v>1</v>
      </c>
      <c r="L8328" s="1" t="s">
        <v>44</v>
      </c>
      <c r="M8328" s="1" t="str">
        <f>"海南省 定安县 定安县 定城镇"</f>
        <v>海南省 定安县 定安县 定城镇</v>
      </c>
      <c r="N8328" s="1" t="str">
        <f t="shared" si="2368"/>
        <v>凡华云仓-韵达-抖音</v>
      </c>
      <c r="O8328" s="5">
        <v>320164366233542</v>
      </c>
      <c r="P8328" s="6">
        <v>0.33</v>
      </c>
      <c r="Q8328" s="11">
        <v>2.2999999999999998</v>
      </c>
      <c r="R8328" s="11"/>
      <c r="S8328" s="11"/>
      <c r="T8328" s="11"/>
      <c r="U8328" s="11">
        <f t="shared" si="2370"/>
        <v>2.2999999999999998</v>
      </c>
      <c r="W8328">
        <v>2.5</v>
      </c>
      <c r="X8328" s="1" t="s">
        <v>44</v>
      </c>
    </row>
    <row r="8329" spans="1:24" x14ac:dyDescent="0.25">
      <c r="A8329" s="1" t="str">
        <f t="shared" si="2371"/>
        <v>卡卡杜-凤凰仓</v>
      </c>
      <c r="B8329" s="1" t="str">
        <f>"CK20241010132"</f>
        <v>CK20241010132</v>
      </c>
      <c r="C8329" s="1" t="str">
        <f>"DD2024101014138"</f>
        <v>DD2024101014138</v>
      </c>
      <c r="D8329" s="1" t="str">
        <f>"CK2024101012648"</f>
        <v>CK2024101012648</v>
      </c>
      <c r="E8329" s="1" t="str">
        <f>"6918005707384651731"</f>
        <v>6918005707384651731</v>
      </c>
      <c r="F8329" s="1" t="str">
        <f t="shared" si="2372"/>
        <v>花都四部-凤凰仓</v>
      </c>
      <c r="G8329" s="1" t="str">
        <f t="shared" si="2366"/>
        <v>卡卡杜个人护理店（抖店）</v>
      </c>
      <c r="H8329" s="1" t="str">
        <f t="shared" si="2373"/>
        <v>正常订单</v>
      </c>
      <c r="I8329" s="1" t="str">
        <f t="shared" si="2374"/>
        <v>已发货</v>
      </c>
      <c r="J8329" s="1" t="str">
        <f t="shared" si="2375"/>
        <v>2</v>
      </c>
      <c r="K8329" s="1">
        <v>1</v>
      </c>
      <c r="L8329" s="1" t="s">
        <v>20</v>
      </c>
      <c r="M8329" s="1" t="str">
        <f>"浙江省 金华市 武义县 熟溪街道"</f>
        <v>浙江省 金华市 武义县 熟溪街道</v>
      </c>
      <c r="N8329" s="1" t="str">
        <f t="shared" si="2368"/>
        <v>凡华云仓-韵达-抖音</v>
      </c>
      <c r="O8329" s="5">
        <v>320164366233445</v>
      </c>
      <c r="P8329" s="6">
        <v>0.33</v>
      </c>
      <c r="Q8329" s="11">
        <v>2.2999999999999998</v>
      </c>
      <c r="R8329" s="11"/>
      <c r="S8329" s="11"/>
      <c r="T8329" s="11"/>
      <c r="U8329" s="11">
        <f t="shared" si="2370"/>
        <v>2.2999999999999998</v>
      </c>
      <c r="W8329">
        <v>2.5</v>
      </c>
      <c r="X8329" s="1" t="s">
        <v>20</v>
      </c>
    </row>
    <row r="8330" spans="1:24" x14ac:dyDescent="0.25">
      <c r="A8330" s="1" t="str">
        <f t="shared" si="2371"/>
        <v>卡卡杜-凤凰仓</v>
      </c>
      <c r="B8330" s="1" t="str">
        <f>"CK20241010137"</f>
        <v>CK20241010137</v>
      </c>
      <c r="C8330" s="1" t="str">
        <f>"DD2024101014144"</f>
        <v>DD2024101014144</v>
      </c>
      <c r="D8330" s="1" t="str">
        <f>"CK2024101012647"</f>
        <v>CK2024101012647</v>
      </c>
      <c r="E8330" s="1" t="str">
        <f>"6917996077562756845"</f>
        <v>6917996077562756845</v>
      </c>
      <c r="F8330" s="1" t="str">
        <f t="shared" si="2372"/>
        <v>花都四部-凤凰仓</v>
      </c>
      <c r="G8330" s="1" t="str">
        <f t="shared" si="2366"/>
        <v>卡卡杜个人护理店（抖店）</v>
      </c>
      <c r="H8330" s="1" t="str">
        <f t="shared" si="2373"/>
        <v>正常订单</v>
      </c>
      <c r="I8330" s="1" t="str">
        <f t="shared" si="2374"/>
        <v>已发货</v>
      </c>
      <c r="J8330" s="1" t="str">
        <f t="shared" si="2375"/>
        <v>2</v>
      </c>
      <c r="K8330" s="1">
        <v>1</v>
      </c>
      <c r="L8330" s="1" t="s">
        <v>32</v>
      </c>
      <c r="M8330" s="1" t="str">
        <f>"陕西省 渭南市 合阳县 城关街道"</f>
        <v>陕西省 渭南市 合阳县 城关街道</v>
      </c>
      <c r="N8330" s="1" t="str">
        <f t="shared" si="2368"/>
        <v>凡华云仓-韵达-抖音</v>
      </c>
      <c r="O8330" s="5">
        <v>320164352767626</v>
      </c>
      <c r="P8330" s="6">
        <v>0.33</v>
      </c>
      <c r="Q8330" s="11">
        <v>2.2999999999999998</v>
      </c>
      <c r="R8330" s="11"/>
      <c r="S8330" s="11"/>
      <c r="T8330" s="11"/>
      <c r="U8330" s="11">
        <f t="shared" si="2370"/>
        <v>2.2999999999999998</v>
      </c>
      <c r="W8330">
        <v>2.5</v>
      </c>
      <c r="X8330" s="1" t="s">
        <v>32</v>
      </c>
    </row>
    <row r="8331" spans="1:24" x14ac:dyDescent="0.25">
      <c r="A8331" s="1" t="str">
        <f t="shared" si="2371"/>
        <v>卡卡杜-凤凰仓</v>
      </c>
      <c r="B8331" s="1" t="str">
        <f>"CK20241010140"</f>
        <v>CK20241010140</v>
      </c>
      <c r="C8331" s="1" t="str">
        <f>"DD2024101014143"</f>
        <v>DD2024101014143</v>
      </c>
      <c r="D8331" s="1" t="str">
        <f>"CK2024101012646"</f>
        <v>CK2024101012646</v>
      </c>
      <c r="E8331" s="1" t="str">
        <f>"6918000344301535101"</f>
        <v>6918000344301535101</v>
      </c>
      <c r="F8331" s="1" t="str">
        <f t="shared" si="2372"/>
        <v>花都四部-凤凰仓</v>
      </c>
      <c r="G8331" s="1" t="str">
        <f t="shared" si="2366"/>
        <v>卡卡杜个人护理店（抖店）</v>
      </c>
      <c r="H8331" s="1" t="str">
        <f t="shared" si="2373"/>
        <v>正常订单</v>
      </c>
      <c r="I8331" s="1" t="str">
        <f t="shared" si="2374"/>
        <v>已发货</v>
      </c>
      <c r="J8331" s="1" t="str">
        <f t="shared" si="2375"/>
        <v>2</v>
      </c>
      <c r="K8331" s="1">
        <v>1</v>
      </c>
      <c r="L8331" s="1" t="s">
        <v>18</v>
      </c>
      <c r="M8331" s="1" t="str">
        <f>"广东省 揭阳市 普宁市 南径镇"</f>
        <v>广东省 揭阳市 普宁市 南径镇</v>
      </c>
      <c r="N8331" s="1" t="str">
        <f t="shared" si="2368"/>
        <v>凡华云仓-韵达-抖音</v>
      </c>
      <c r="O8331" s="5">
        <v>320164352767527</v>
      </c>
      <c r="P8331" s="6">
        <v>0.33</v>
      </c>
      <c r="Q8331" s="11">
        <v>2.2999999999999998</v>
      </c>
      <c r="R8331" s="11"/>
      <c r="S8331" s="11"/>
      <c r="T8331" s="11"/>
      <c r="U8331" s="11">
        <f t="shared" si="2370"/>
        <v>2.2999999999999998</v>
      </c>
      <c r="W8331">
        <v>2.5</v>
      </c>
      <c r="X8331" s="1" t="s">
        <v>18</v>
      </c>
    </row>
    <row r="8332" spans="1:24" x14ac:dyDescent="0.25">
      <c r="A8332" s="1" t="str">
        <f t="shared" si="2371"/>
        <v>卡卡杜-凤凰仓</v>
      </c>
      <c r="B8332" s="1" t="str">
        <f>"CK20241010150"</f>
        <v>CK20241010150</v>
      </c>
      <c r="C8332" s="1" t="str">
        <f>"DD2024101014156"</f>
        <v>DD2024101014156</v>
      </c>
      <c r="D8332" s="1" t="str">
        <f>"CK2024101012645"</f>
        <v>CK2024101012645</v>
      </c>
      <c r="E8332" s="1" t="str">
        <f>"6917993475577248943"</f>
        <v>6917993475577248943</v>
      </c>
      <c r="F8332" s="1" t="str">
        <f t="shared" si="2372"/>
        <v>花都四部-凤凰仓</v>
      </c>
      <c r="G8332" s="1" t="str">
        <f t="shared" si="2366"/>
        <v>卡卡杜个人护理店（抖店）</v>
      </c>
      <c r="H8332" s="1" t="str">
        <f t="shared" si="2373"/>
        <v>正常订单</v>
      </c>
      <c r="I8332" s="1" t="str">
        <f t="shared" si="2374"/>
        <v>已发货</v>
      </c>
      <c r="J8332" s="1" t="str">
        <f t="shared" si="2375"/>
        <v>2</v>
      </c>
      <c r="K8332" s="1">
        <v>1</v>
      </c>
      <c r="L8332" s="1" t="s">
        <v>20</v>
      </c>
      <c r="M8332" s="1" t="str">
        <f>"浙江省 丽水市 龙泉市 安仁镇"</f>
        <v>浙江省 丽水市 龙泉市 安仁镇</v>
      </c>
      <c r="N8332" s="1" t="str">
        <f t="shared" si="2368"/>
        <v>凡华云仓-韵达-抖音</v>
      </c>
      <c r="O8332" s="5">
        <v>320164352767430</v>
      </c>
      <c r="P8332" s="6">
        <v>0.33</v>
      </c>
      <c r="Q8332" s="11">
        <v>2.2999999999999998</v>
      </c>
      <c r="R8332" s="11"/>
      <c r="S8332" s="11"/>
      <c r="T8332" s="11"/>
      <c r="U8332" s="11">
        <f t="shared" si="2370"/>
        <v>2.2999999999999998</v>
      </c>
      <c r="W8332">
        <v>2.5</v>
      </c>
      <c r="X8332" s="1" t="s">
        <v>20</v>
      </c>
    </row>
    <row r="8333" spans="1:24" x14ac:dyDescent="0.25">
      <c r="A8333" s="1" t="str">
        <f t="shared" si="2371"/>
        <v>卡卡杜-凤凰仓</v>
      </c>
      <c r="B8333" s="1" t="str">
        <f>"CK20241010154"</f>
        <v>CK20241010154</v>
      </c>
      <c r="C8333" s="1" t="str">
        <f>"DD2024101014160"</f>
        <v>DD2024101014160</v>
      </c>
      <c r="D8333" s="1" t="str">
        <f>"CK2024101012644"</f>
        <v>CK2024101012644</v>
      </c>
      <c r="E8333" s="1" t="str">
        <f>"6917991063805262995"</f>
        <v>6917991063805262995</v>
      </c>
      <c r="F8333" s="1" t="str">
        <f t="shared" si="2372"/>
        <v>花都四部-凤凰仓</v>
      </c>
      <c r="G8333" s="1" t="str">
        <f t="shared" ref="G8333:G8371" si="2376">"卡卡杜个人护理店（抖店）"</f>
        <v>卡卡杜个人护理店（抖店）</v>
      </c>
      <c r="H8333" s="1" t="str">
        <f t="shared" si="2373"/>
        <v>正常订单</v>
      </c>
      <c r="I8333" s="1" t="str">
        <f t="shared" si="2374"/>
        <v>已发货</v>
      </c>
      <c r="J8333" s="1" t="str">
        <f t="shared" si="2375"/>
        <v>2</v>
      </c>
      <c r="K8333" s="1">
        <v>1</v>
      </c>
      <c r="L8333" s="1" t="s">
        <v>13</v>
      </c>
      <c r="M8333" s="1" t="str">
        <f>"江苏省 南京市 溧水区 永阳街道"</f>
        <v>江苏省 南京市 溧水区 永阳街道</v>
      </c>
      <c r="N8333" s="1" t="str">
        <f t="shared" ref="N8333:N8371" si="2377">"凡华云仓-韵达-抖音"</f>
        <v>凡华云仓-韵达-抖音</v>
      </c>
      <c r="O8333" s="5">
        <v>320164352767335</v>
      </c>
      <c r="P8333" s="6">
        <v>0.33</v>
      </c>
      <c r="Q8333" s="11">
        <v>2.2999999999999998</v>
      </c>
      <c r="R8333" s="11"/>
      <c r="S8333" s="11"/>
      <c r="T8333" s="11"/>
      <c r="U8333" s="11">
        <f t="shared" si="2370"/>
        <v>2.2999999999999998</v>
      </c>
      <c r="W8333">
        <v>2.5</v>
      </c>
      <c r="X8333" s="1" t="s">
        <v>13</v>
      </c>
    </row>
    <row r="8334" spans="1:24" x14ac:dyDescent="0.25">
      <c r="A8334" s="1" t="str">
        <f t="shared" si="2371"/>
        <v>卡卡杜-凤凰仓</v>
      </c>
      <c r="B8334" s="1" t="str">
        <f>"CK20241010158"</f>
        <v>CK20241010158</v>
      </c>
      <c r="C8334" s="1" t="str">
        <f>"DD2024101014162"</f>
        <v>DD2024101014162</v>
      </c>
      <c r="D8334" s="1" t="str">
        <f>"CK2024101012643"</f>
        <v>CK2024101012643</v>
      </c>
      <c r="E8334" s="1" t="str">
        <f>"6934822221179393716"</f>
        <v>6934822221179393716</v>
      </c>
      <c r="F8334" s="1" t="str">
        <f t="shared" si="2372"/>
        <v>花都四部-凤凰仓</v>
      </c>
      <c r="G8334" s="1" t="str">
        <f t="shared" si="2376"/>
        <v>卡卡杜个人护理店（抖店）</v>
      </c>
      <c r="H8334" s="1" t="str">
        <f t="shared" si="2373"/>
        <v>正常订单</v>
      </c>
      <c r="I8334" s="1" t="str">
        <f t="shared" si="2374"/>
        <v>已发货</v>
      </c>
      <c r="J8334" s="1" t="str">
        <f t="shared" si="2375"/>
        <v>2</v>
      </c>
      <c r="K8334" s="1">
        <v>1</v>
      </c>
      <c r="L8334" s="1" t="s">
        <v>16</v>
      </c>
      <c r="M8334" s="1" t="str">
        <f>"河北省 邯郸市 丛台区 "</f>
        <v xml:space="preserve">河北省 邯郸市 丛台区 </v>
      </c>
      <c r="N8334" s="1" t="str">
        <f t="shared" si="2377"/>
        <v>凡华云仓-韵达-抖音</v>
      </c>
      <c r="O8334" s="5">
        <v>320164352767242</v>
      </c>
      <c r="P8334" s="6">
        <v>0.33</v>
      </c>
      <c r="Q8334" s="11">
        <v>2.2999999999999998</v>
      </c>
      <c r="R8334" s="11"/>
      <c r="S8334" s="11"/>
      <c r="T8334" s="11"/>
      <c r="U8334" s="11">
        <f t="shared" si="2370"/>
        <v>2.2999999999999998</v>
      </c>
      <c r="W8334">
        <v>2.5</v>
      </c>
      <c r="X8334" s="1" t="s">
        <v>16</v>
      </c>
    </row>
    <row r="8335" spans="1:24" x14ac:dyDescent="0.25">
      <c r="A8335" s="1" t="str">
        <f t="shared" si="2371"/>
        <v>卡卡杜-凤凰仓</v>
      </c>
      <c r="B8335" s="1" t="str">
        <f>"CK20241010151"</f>
        <v>CK20241010151</v>
      </c>
      <c r="C8335" s="1" t="str">
        <f>"DD2024101014155"</f>
        <v>DD2024101014155</v>
      </c>
      <c r="D8335" s="1" t="str">
        <f>"CK2024101012642"</f>
        <v>CK2024101012642</v>
      </c>
      <c r="E8335" s="1" t="str">
        <f>"6934840459903244002"</f>
        <v>6934840459903244002</v>
      </c>
      <c r="F8335" s="1" t="str">
        <f t="shared" si="2372"/>
        <v>花都四部-凤凰仓</v>
      </c>
      <c r="G8335" s="1" t="str">
        <f t="shared" si="2376"/>
        <v>卡卡杜个人护理店（抖店）</v>
      </c>
      <c r="H8335" s="1" t="str">
        <f t="shared" si="2373"/>
        <v>正常订单</v>
      </c>
      <c r="I8335" s="1" t="str">
        <f t="shared" si="2374"/>
        <v>已发货</v>
      </c>
      <c r="J8335" s="1" t="str">
        <f t="shared" si="2375"/>
        <v>2</v>
      </c>
      <c r="K8335" s="1">
        <v>1</v>
      </c>
      <c r="L8335" s="1" t="s">
        <v>60</v>
      </c>
      <c r="M8335" s="1" t="str">
        <f>"云南省 临沧市 耿马傣族佤族自治县 孟定镇"</f>
        <v>云南省 临沧市 耿马傣族佤族自治县 孟定镇</v>
      </c>
      <c r="N8335" s="1" t="str">
        <f t="shared" si="2377"/>
        <v>凡华云仓-韵达-抖音</v>
      </c>
      <c r="O8335" s="5">
        <v>320164352767151</v>
      </c>
      <c r="P8335" s="6">
        <v>0.33</v>
      </c>
      <c r="Q8335" s="11">
        <v>2.2999999999999998</v>
      </c>
      <c r="R8335" s="11"/>
      <c r="S8335" s="11"/>
      <c r="T8335" s="11"/>
      <c r="U8335" s="11">
        <f t="shared" si="2370"/>
        <v>2.2999999999999998</v>
      </c>
      <c r="W8335">
        <v>2.5</v>
      </c>
      <c r="X8335" s="1" t="s">
        <v>60</v>
      </c>
    </row>
    <row r="8336" spans="1:24" x14ac:dyDescent="0.25">
      <c r="A8336" s="1" t="str">
        <f t="shared" si="2371"/>
        <v>卡卡杜-凤凰仓</v>
      </c>
      <c r="B8336" s="1" t="str">
        <f>"CK20241010149"</f>
        <v>CK20241010149</v>
      </c>
      <c r="C8336" s="1" t="str">
        <f>"DD2024101014157"</f>
        <v>DD2024101014157</v>
      </c>
      <c r="D8336" s="1" t="str">
        <f>"CK2024101012641"</f>
        <v>CK2024101012641</v>
      </c>
      <c r="E8336" s="1" t="str">
        <f>"6917993306890861612"</f>
        <v>6917993306890861612</v>
      </c>
      <c r="F8336" s="1" t="str">
        <f t="shared" si="2372"/>
        <v>花都四部-凤凰仓</v>
      </c>
      <c r="G8336" s="1" t="str">
        <f t="shared" si="2376"/>
        <v>卡卡杜个人护理店（抖店）</v>
      </c>
      <c r="H8336" s="1" t="str">
        <f t="shared" si="2373"/>
        <v>正常订单</v>
      </c>
      <c r="I8336" s="1" t="str">
        <f t="shared" si="2374"/>
        <v>已发货</v>
      </c>
      <c r="J8336" s="1" t="str">
        <f t="shared" si="2375"/>
        <v>2</v>
      </c>
      <c r="K8336" s="1">
        <v>1</v>
      </c>
      <c r="L8336" s="1" t="s">
        <v>96</v>
      </c>
      <c r="M8336" s="1" t="str">
        <f>"广西壮族自治区 桂林市 兴安县 湘漓镇"</f>
        <v>广西壮族自治区 桂林市 兴安县 湘漓镇</v>
      </c>
      <c r="N8336" s="1" t="str">
        <f t="shared" si="2377"/>
        <v>凡华云仓-韵达-抖音</v>
      </c>
      <c r="O8336" s="5">
        <v>320164352767062</v>
      </c>
      <c r="P8336" s="6">
        <v>0.33</v>
      </c>
      <c r="Q8336" s="11">
        <v>2.2999999999999998</v>
      </c>
      <c r="R8336" s="11"/>
      <c r="S8336" s="11"/>
      <c r="T8336" s="11"/>
      <c r="U8336" s="11">
        <f t="shared" si="2370"/>
        <v>2.2999999999999998</v>
      </c>
      <c r="W8336">
        <v>2.5</v>
      </c>
      <c r="X8336" s="1" t="s">
        <v>96</v>
      </c>
    </row>
    <row r="8337" spans="1:24" x14ac:dyDescent="0.25">
      <c r="A8337" s="1" t="str">
        <f t="shared" si="2371"/>
        <v>卡卡杜-凤凰仓</v>
      </c>
      <c r="B8337" s="1" t="str">
        <f>"CK20241010144"</f>
        <v>CK20241010144</v>
      </c>
      <c r="C8337" s="1" t="str">
        <f>"DD2024101014150"</f>
        <v>DD2024101014150</v>
      </c>
      <c r="D8337" s="1" t="str">
        <f>"CK2024101012640"</f>
        <v>CK2024101012640</v>
      </c>
      <c r="E8337" s="1" t="str">
        <f>"6917998047176326964"</f>
        <v>6917998047176326964</v>
      </c>
      <c r="F8337" s="1" t="str">
        <f t="shared" si="2372"/>
        <v>花都四部-凤凰仓</v>
      </c>
      <c r="G8337" s="1" t="str">
        <f t="shared" si="2376"/>
        <v>卡卡杜个人护理店（抖店）</v>
      </c>
      <c r="H8337" s="1" t="str">
        <f t="shared" si="2373"/>
        <v>正常订单</v>
      </c>
      <c r="I8337" s="1" t="str">
        <f t="shared" si="2374"/>
        <v>已发货</v>
      </c>
      <c r="J8337" s="1" t="str">
        <f t="shared" si="2375"/>
        <v>2</v>
      </c>
      <c r="K8337" s="1">
        <v>1</v>
      </c>
      <c r="L8337" s="1" t="s">
        <v>94</v>
      </c>
      <c r="M8337" s="1" t="str">
        <f>"湖南省 株洲市 茶陵县 思聪街道"</f>
        <v>湖南省 株洲市 茶陵县 思聪街道</v>
      </c>
      <c r="N8337" s="1" t="str">
        <f t="shared" si="2377"/>
        <v>凡华云仓-韵达-抖音</v>
      </c>
      <c r="O8337" s="5">
        <v>320164352766934</v>
      </c>
      <c r="P8337" s="6">
        <v>0.33</v>
      </c>
      <c r="Q8337" s="11">
        <v>2.2999999999999998</v>
      </c>
      <c r="R8337" s="11"/>
      <c r="S8337" s="11"/>
      <c r="T8337" s="11"/>
      <c r="U8337" s="11">
        <f t="shared" si="2370"/>
        <v>2.2999999999999998</v>
      </c>
      <c r="W8337">
        <v>2.5</v>
      </c>
      <c r="X8337" s="1" t="s">
        <v>94</v>
      </c>
    </row>
    <row r="8338" spans="1:24" x14ac:dyDescent="0.25">
      <c r="A8338" s="1" t="str">
        <f t="shared" si="2371"/>
        <v>卡卡杜-凤凰仓</v>
      </c>
      <c r="B8338" s="1" t="str">
        <f>"CK20241010148"</f>
        <v>CK20241010148</v>
      </c>
      <c r="C8338" s="1" t="str">
        <f>"DD2024101014154"</f>
        <v>DD2024101014154</v>
      </c>
      <c r="D8338" s="1" t="str">
        <f>"CK2024101012639"</f>
        <v>CK2024101012639</v>
      </c>
      <c r="E8338" s="1" t="str">
        <f>"6934831160682747112"</f>
        <v>6934831160682747112</v>
      </c>
      <c r="F8338" s="1" t="str">
        <f t="shared" si="2372"/>
        <v>花都四部-凤凰仓</v>
      </c>
      <c r="G8338" s="1" t="str">
        <f t="shared" si="2376"/>
        <v>卡卡杜个人护理店（抖店）</v>
      </c>
      <c r="H8338" s="1" t="str">
        <f t="shared" si="2373"/>
        <v>正常订单</v>
      </c>
      <c r="I8338" s="1" t="str">
        <f t="shared" si="2374"/>
        <v>已发货</v>
      </c>
      <c r="J8338" s="1" t="str">
        <f t="shared" si="2375"/>
        <v>2</v>
      </c>
      <c r="K8338" s="1">
        <v>1</v>
      </c>
      <c r="L8338" s="1" t="s">
        <v>36</v>
      </c>
      <c r="M8338" s="1" t="str">
        <f>"安徽省 淮南市 寿县 "</f>
        <v xml:space="preserve">安徽省 淮南市 寿县 </v>
      </c>
      <c r="N8338" s="1" t="str">
        <f t="shared" si="2377"/>
        <v>凡华云仓-韵达-抖音</v>
      </c>
      <c r="O8338" s="5">
        <v>320164352766829</v>
      </c>
      <c r="P8338" s="6">
        <v>0.33</v>
      </c>
      <c r="Q8338" s="11">
        <v>2.2999999999999998</v>
      </c>
      <c r="R8338" s="11"/>
      <c r="S8338" s="11"/>
      <c r="T8338" s="11"/>
      <c r="U8338" s="11">
        <f t="shared" si="2370"/>
        <v>2.2999999999999998</v>
      </c>
      <c r="W8338">
        <v>2.5</v>
      </c>
      <c r="X8338" s="1" t="s">
        <v>36</v>
      </c>
    </row>
    <row r="8339" spans="1:24" x14ac:dyDescent="0.25">
      <c r="A8339" s="1" t="str">
        <f t="shared" si="2371"/>
        <v>卡卡杜-凤凰仓</v>
      </c>
      <c r="B8339" s="1" t="str">
        <f>"CK20241010141"</f>
        <v>CK20241010141</v>
      </c>
      <c r="C8339" s="1" t="str">
        <f>"DD2024101014147"</f>
        <v>DD2024101014147</v>
      </c>
      <c r="D8339" s="1" t="str">
        <f>"CK2024101012638"</f>
        <v>CK2024101012638</v>
      </c>
      <c r="E8339" s="1" t="str">
        <f>"6918000290311732633"</f>
        <v>6918000290311732633</v>
      </c>
      <c r="F8339" s="1" t="str">
        <f t="shared" si="2372"/>
        <v>花都四部-凤凰仓</v>
      </c>
      <c r="G8339" s="1" t="str">
        <f t="shared" si="2376"/>
        <v>卡卡杜个人护理店（抖店）</v>
      </c>
      <c r="H8339" s="1" t="str">
        <f t="shared" si="2373"/>
        <v>正常订单</v>
      </c>
      <c r="I8339" s="1" t="str">
        <f t="shared" si="2374"/>
        <v>已发货</v>
      </c>
      <c r="J8339" s="1" t="str">
        <f t="shared" si="2375"/>
        <v>2</v>
      </c>
      <c r="K8339" s="1">
        <v>1</v>
      </c>
      <c r="L8339" s="1" t="s">
        <v>94</v>
      </c>
      <c r="M8339" s="1" t="str">
        <f>"湖南省 长沙市 芙蓉区 朝阳街道"</f>
        <v>湖南省 长沙市 芙蓉区 朝阳街道</v>
      </c>
      <c r="N8339" s="1" t="str">
        <f t="shared" si="2377"/>
        <v>凡华云仓-韵达-抖音</v>
      </c>
      <c r="O8339" s="5">
        <v>320164352766726</v>
      </c>
      <c r="P8339" s="6">
        <v>0.33</v>
      </c>
      <c r="Q8339" s="11">
        <v>2.2999999999999998</v>
      </c>
      <c r="R8339" s="11"/>
      <c r="S8339" s="11"/>
      <c r="T8339" s="11"/>
      <c r="U8339" s="11">
        <f t="shared" si="2370"/>
        <v>2.2999999999999998</v>
      </c>
      <c r="W8339">
        <v>2.5</v>
      </c>
      <c r="X8339" s="1" t="s">
        <v>94</v>
      </c>
    </row>
    <row r="8340" spans="1:24" x14ac:dyDescent="0.25">
      <c r="A8340" s="1" t="str">
        <f t="shared" si="2371"/>
        <v>卡卡杜-凤凰仓</v>
      </c>
      <c r="B8340" s="1" t="str">
        <f>"CK20241010139"</f>
        <v>CK20241010139</v>
      </c>
      <c r="C8340" s="1" t="str">
        <f>"DD2024101014145"</f>
        <v>DD2024101014145</v>
      </c>
      <c r="D8340" s="1" t="str">
        <f>"CK2024101012637"</f>
        <v>CK2024101012637</v>
      </c>
      <c r="E8340" s="1" t="str">
        <f>"6934842802441950377"</f>
        <v>6934842802441950377</v>
      </c>
      <c r="F8340" s="1" t="str">
        <f t="shared" si="2372"/>
        <v>花都四部-凤凰仓</v>
      </c>
      <c r="G8340" s="1" t="str">
        <f t="shared" si="2376"/>
        <v>卡卡杜个人护理店（抖店）</v>
      </c>
      <c r="H8340" s="1" t="str">
        <f t="shared" si="2373"/>
        <v>正常订单</v>
      </c>
      <c r="I8340" s="1" t="str">
        <f t="shared" si="2374"/>
        <v>已发货</v>
      </c>
      <c r="J8340" s="1" t="str">
        <f t="shared" si="2375"/>
        <v>2</v>
      </c>
      <c r="K8340" s="1">
        <v>1</v>
      </c>
      <c r="L8340" s="1" t="s">
        <v>20</v>
      </c>
      <c r="M8340" s="1" t="str">
        <f>"浙江省 衢州市 龙游县 模环乡"</f>
        <v>浙江省 衢州市 龙游县 模环乡</v>
      </c>
      <c r="N8340" s="1" t="str">
        <f t="shared" si="2377"/>
        <v>凡华云仓-韵达-抖音</v>
      </c>
      <c r="O8340" s="5">
        <v>320164364567817</v>
      </c>
      <c r="P8340" s="6">
        <v>0.33</v>
      </c>
      <c r="Q8340" s="11">
        <v>2.2999999999999998</v>
      </c>
      <c r="R8340" s="11"/>
      <c r="S8340" s="11"/>
      <c r="T8340" s="11"/>
      <c r="U8340" s="11">
        <f t="shared" si="2370"/>
        <v>2.2999999999999998</v>
      </c>
      <c r="W8340">
        <v>2.5</v>
      </c>
      <c r="X8340" s="1" t="s">
        <v>20</v>
      </c>
    </row>
    <row r="8341" spans="1:24" x14ac:dyDescent="0.25">
      <c r="A8341" s="1" t="str">
        <f t="shared" si="2371"/>
        <v>卡卡杜-凤凰仓</v>
      </c>
      <c r="B8341" s="1" t="str">
        <f>"CK20241010207"</f>
        <v>CK20241010207</v>
      </c>
      <c r="C8341" s="1" t="str">
        <f>"DD2024101014212"</f>
        <v>DD2024101014212</v>
      </c>
      <c r="D8341" s="1" t="str">
        <f>"CK2024101012636"</f>
        <v>CK2024101012636</v>
      </c>
      <c r="E8341" s="1" t="str">
        <f>"6934831207135188202"</f>
        <v>6934831207135188202</v>
      </c>
      <c r="F8341" s="1" t="str">
        <f t="shared" si="2372"/>
        <v>花都四部-凤凰仓</v>
      </c>
      <c r="G8341" s="1" t="str">
        <f t="shared" si="2376"/>
        <v>卡卡杜个人护理店（抖店）</v>
      </c>
      <c r="H8341" s="1" t="str">
        <f t="shared" si="2373"/>
        <v>正常订单</v>
      </c>
      <c r="I8341" s="1" t="str">
        <f t="shared" si="2374"/>
        <v>已发货</v>
      </c>
      <c r="J8341" s="1" t="str">
        <f t="shared" si="2375"/>
        <v>2</v>
      </c>
      <c r="K8341" s="1">
        <v>2</v>
      </c>
      <c r="L8341" s="1" t="s">
        <v>94</v>
      </c>
      <c r="M8341" s="1" t="str">
        <f>"湖南省 长沙市 岳麓区 观沙岭街道"</f>
        <v>湖南省 长沙市 岳麓区 观沙岭街道</v>
      </c>
      <c r="N8341" s="1" t="str">
        <f t="shared" si="2377"/>
        <v>凡华云仓-韵达-抖音</v>
      </c>
      <c r="O8341" s="5">
        <v>320164364567714</v>
      </c>
      <c r="P8341" s="6">
        <v>0.28000000000000003</v>
      </c>
      <c r="Q8341" s="11">
        <v>2</v>
      </c>
      <c r="R8341" s="11"/>
      <c r="S8341" s="11"/>
      <c r="T8341" s="11"/>
      <c r="U8341" s="11">
        <f t="shared" si="2370"/>
        <v>2</v>
      </c>
      <c r="W8341">
        <v>2.2000000000000002</v>
      </c>
      <c r="X8341" s="1" t="s">
        <v>94</v>
      </c>
    </row>
    <row r="8342" spans="1:24" x14ac:dyDescent="0.25">
      <c r="A8342" s="1" t="str">
        <f t="shared" si="2371"/>
        <v>卡卡杜-凤凰仓</v>
      </c>
      <c r="B8342" s="1" t="str">
        <f>"CK20241010143"</f>
        <v>CK20241010143</v>
      </c>
      <c r="C8342" s="1" t="str">
        <f>"DD2024101014149"</f>
        <v>DD2024101014149</v>
      </c>
      <c r="D8342" s="1" t="str">
        <f>"CK2024101012635"</f>
        <v>CK2024101012635</v>
      </c>
      <c r="E8342" s="1" t="str">
        <f>"6934829142901527625"</f>
        <v>6934829142901527625</v>
      </c>
      <c r="F8342" s="1" t="str">
        <f t="shared" si="2372"/>
        <v>花都四部-凤凰仓</v>
      </c>
      <c r="G8342" s="1" t="str">
        <f t="shared" si="2376"/>
        <v>卡卡杜个人护理店（抖店）</v>
      </c>
      <c r="H8342" s="1" t="str">
        <f t="shared" si="2373"/>
        <v>正常订单</v>
      </c>
      <c r="I8342" s="1" t="str">
        <f t="shared" si="2374"/>
        <v>已发货</v>
      </c>
      <c r="J8342" s="1" t="str">
        <f t="shared" si="2375"/>
        <v>2</v>
      </c>
      <c r="K8342" s="1">
        <v>1</v>
      </c>
      <c r="L8342" s="1" t="s">
        <v>94</v>
      </c>
      <c r="M8342" s="1" t="str">
        <f>"湖南省 衡阳市 耒阳市 灶市街道"</f>
        <v>湖南省 衡阳市 耒阳市 灶市街道</v>
      </c>
      <c r="N8342" s="1" t="str">
        <f t="shared" si="2377"/>
        <v>凡华云仓-韵达-抖音</v>
      </c>
      <c r="O8342" s="5">
        <v>320164364567613</v>
      </c>
      <c r="P8342" s="6">
        <v>0.33</v>
      </c>
      <c r="Q8342" s="11">
        <v>2.2999999999999998</v>
      </c>
      <c r="R8342" s="11"/>
      <c r="S8342" s="11"/>
      <c r="T8342" s="11"/>
      <c r="U8342" s="11">
        <f t="shared" si="2370"/>
        <v>2.2999999999999998</v>
      </c>
      <c r="W8342">
        <v>2.5</v>
      </c>
      <c r="X8342" s="1" t="s">
        <v>94</v>
      </c>
    </row>
    <row r="8343" spans="1:24" x14ac:dyDescent="0.25">
      <c r="A8343" s="1" t="str">
        <f t="shared" si="2371"/>
        <v>卡卡杜-凤凰仓</v>
      </c>
      <c r="B8343" s="1" t="str">
        <f>"CK20241010145"</f>
        <v>CK20241010145</v>
      </c>
      <c r="C8343" s="1" t="str">
        <f>"DD2024101014152"</f>
        <v>DD2024101014152</v>
      </c>
      <c r="D8343" s="1" t="str">
        <f>"CK2024101012634"</f>
        <v>CK2024101012634</v>
      </c>
      <c r="E8343" s="1" t="str">
        <f>"6917993339222326443"</f>
        <v>6917993339222326443</v>
      </c>
      <c r="F8343" s="1" t="str">
        <f t="shared" si="2372"/>
        <v>花都四部-凤凰仓</v>
      </c>
      <c r="G8343" s="1" t="str">
        <f t="shared" si="2376"/>
        <v>卡卡杜个人护理店（抖店）</v>
      </c>
      <c r="H8343" s="1" t="str">
        <f t="shared" si="2373"/>
        <v>正常订单</v>
      </c>
      <c r="I8343" s="1" t="str">
        <f t="shared" si="2374"/>
        <v>已发货</v>
      </c>
      <c r="J8343" s="1" t="str">
        <f t="shared" si="2375"/>
        <v>2</v>
      </c>
      <c r="K8343" s="1">
        <v>1</v>
      </c>
      <c r="L8343" s="1" t="s">
        <v>94</v>
      </c>
      <c r="M8343" s="1" t="str">
        <f>"湖南省 邵阳市 邵阳县 塘渡口镇"</f>
        <v>湖南省 邵阳市 邵阳县 塘渡口镇</v>
      </c>
      <c r="N8343" s="1" t="str">
        <f t="shared" si="2377"/>
        <v>凡华云仓-韵达-抖音</v>
      </c>
      <c r="O8343" s="5">
        <v>320164364567514</v>
      </c>
      <c r="P8343" s="6">
        <v>0.33</v>
      </c>
      <c r="Q8343" s="11">
        <v>2.2999999999999998</v>
      </c>
      <c r="R8343" s="11"/>
      <c r="S8343" s="11"/>
      <c r="T8343" s="11"/>
      <c r="U8343" s="11">
        <f t="shared" si="2370"/>
        <v>2.2999999999999998</v>
      </c>
      <c r="W8343">
        <v>2.5</v>
      </c>
      <c r="X8343" s="1" t="s">
        <v>94</v>
      </c>
    </row>
    <row r="8344" spans="1:24" x14ac:dyDescent="0.25">
      <c r="A8344" s="1" t="str">
        <f t="shared" si="2371"/>
        <v>卡卡杜-凤凰仓</v>
      </c>
      <c r="B8344" s="1" t="str">
        <f>"CK20241010146"</f>
        <v>CK20241010146</v>
      </c>
      <c r="C8344" s="1" t="str">
        <f>"DD2024101014153"</f>
        <v>DD2024101014153</v>
      </c>
      <c r="D8344" s="1" t="str">
        <f>"CK2024101012633"</f>
        <v>CK2024101012633</v>
      </c>
      <c r="E8344" s="1" t="str">
        <f>"6934849067675292912"</f>
        <v>6934849067675292912</v>
      </c>
      <c r="F8344" s="1" t="str">
        <f t="shared" si="2372"/>
        <v>花都四部-凤凰仓</v>
      </c>
      <c r="G8344" s="1" t="str">
        <f t="shared" si="2376"/>
        <v>卡卡杜个人护理店（抖店）</v>
      </c>
      <c r="H8344" s="1" t="str">
        <f t="shared" si="2373"/>
        <v>正常订单</v>
      </c>
      <c r="I8344" s="1" t="str">
        <f t="shared" si="2374"/>
        <v>已发货</v>
      </c>
      <c r="J8344" s="1" t="str">
        <f t="shared" si="2375"/>
        <v>2</v>
      </c>
      <c r="K8344" s="1">
        <v>1</v>
      </c>
      <c r="L8344" s="1" t="s">
        <v>18</v>
      </c>
      <c r="M8344" s="1" t="str">
        <f>"广东省 茂名市 信宜市 平塘镇"</f>
        <v>广东省 茂名市 信宜市 平塘镇</v>
      </c>
      <c r="N8344" s="1" t="str">
        <f t="shared" si="2377"/>
        <v>凡华云仓-韵达-抖音</v>
      </c>
      <c r="O8344" s="5">
        <v>320164364567417</v>
      </c>
      <c r="P8344" s="6">
        <v>0.33</v>
      </c>
      <c r="Q8344" s="11">
        <v>2.2999999999999998</v>
      </c>
      <c r="R8344" s="11"/>
      <c r="S8344" s="11"/>
      <c r="T8344" s="11"/>
      <c r="U8344" s="11">
        <f t="shared" si="2370"/>
        <v>2.2999999999999998</v>
      </c>
      <c r="W8344">
        <v>2.5</v>
      </c>
      <c r="X8344" s="1" t="s">
        <v>18</v>
      </c>
    </row>
    <row r="8345" spans="1:24" x14ac:dyDescent="0.25">
      <c r="A8345" s="1" t="str">
        <f t="shared" si="2371"/>
        <v>卡卡杜-凤凰仓</v>
      </c>
      <c r="B8345" s="1" t="str">
        <f>"CK20241010147"</f>
        <v>CK20241010147</v>
      </c>
      <c r="C8345" s="1" t="str">
        <f>"DD2024101014151"</f>
        <v>DD2024101014151</v>
      </c>
      <c r="D8345" s="1" t="str">
        <f>"CK2024101012632"</f>
        <v>CK2024101012632</v>
      </c>
      <c r="E8345" s="1" t="str">
        <f>"6934853348585117297"</f>
        <v>6934853348585117297</v>
      </c>
      <c r="F8345" s="1" t="str">
        <f t="shared" si="2372"/>
        <v>花都四部-凤凰仓</v>
      </c>
      <c r="G8345" s="1" t="str">
        <f t="shared" si="2376"/>
        <v>卡卡杜个人护理店（抖店）</v>
      </c>
      <c r="H8345" s="1" t="str">
        <f t="shared" si="2373"/>
        <v>正常订单</v>
      </c>
      <c r="I8345" s="1" t="str">
        <f t="shared" si="2374"/>
        <v>已发货</v>
      </c>
      <c r="J8345" s="1" t="str">
        <f t="shared" si="2375"/>
        <v>2</v>
      </c>
      <c r="K8345" s="1">
        <v>1</v>
      </c>
      <c r="L8345" s="1" t="s">
        <v>24</v>
      </c>
      <c r="M8345" s="1" t="str">
        <f>"福建省 福州市 鼓楼区 五凤街道"</f>
        <v>福建省 福州市 鼓楼区 五凤街道</v>
      </c>
      <c r="N8345" s="1" t="str">
        <f t="shared" si="2377"/>
        <v>凡华云仓-韵达-抖音</v>
      </c>
      <c r="O8345" s="5">
        <v>320164364567322</v>
      </c>
      <c r="P8345" s="6">
        <v>0.33</v>
      </c>
      <c r="Q8345" s="11">
        <v>2.2999999999999998</v>
      </c>
      <c r="R8345" s="11"/>
      <c r="S8345" s="11"/>
      <c r="T8345" s="11"/>
      <c r="U8345" s="11">
        <f t="shared" si="2370"/>
        <v>2.2999999999999998</v>
      </c>
      <c r="W8345">
        <v>2.5</v>
      </c>
      <c r="X8345" s="1" t="s">
        <v>24</v>
      </c>
    </row>
    <row r="8346" spans="1:24" x14ac:dyDescent="0.25">
      <c r="A8346" s="1" t="str">
        <f t="shared" si="2371"/>
        <v>卡卡杜-凤凰仓</v>
      </c>
      <c r="B8346" s="1" t="str">
        <f>"CK20241010117"</f>
        <v>CK20241010117</v>
      </c>
      <c r="C8346" s="1" t="str">
        <f>"DD2024101014123"</f>
        <v>DD2024101014123</v>
      </c>
      <c r="D8346" s="1" t="str">
        <f>"CK2024101012631"</f>
        <v>CK2024101012631</v>
      </c>
      <c r="E8346" s="1" t="str">
        <f>"6934835461709501833"</f>
        <v>6934835461709501833</v>
      </c>
      <c r="F8346" s="1" t="str">
        <f t="shared" si="2372"/>
        <v>花都四部-凤凰仓</v>
      </c>
      <c r="G8346" s="1" t="str">
        <f t="shared" si="2376"/>
        <v>卡卡杜个人护理店（抖店）</v>
      </c>
      <c r="H8346" s="1" t="str">
        <f t="shared" si="2373"/>
        <v>正常订单</v>
      </c>
      <c r="I8346" s="1" t="str">
        <f t="shared" si="2374"/>
        <v>已发货</v>
      </c>
      <c r="J8346" s="1" t="str">
        <f t="shared" si="2375"/>
        <v>2</v>
      </c>
      <c r="K8346" s="1">
        <v>1</v>
      </c>
      <c r="L8346" s="1" t="s">
        <v>96</v>
      </c>
      <c r="M8346" s="1" t="str">
        <f>"广西壮族自治区 百色市 田林县 乐里镇"</f>
        <v>广西壮族自治区 百色市 田林县 乐里镇</v>
      </c>
      <c r="N8346" s="1" t="str">
        <f t="shared" si="2377"/>
        <v>凡华云仓-韵达-抖音</v>
      </c>
      <c r="O8346" s="5">
        <v>320164364567229</v>
      </c>
      <c r="P8346" s="6">
        <v>0.33</v>
      </c>
      <c r="Q8346" s="11">
        <v>2.2999999999999998</v>
      </c>
      <c r="R8346" s="11"/>
      <c r="S8346" s="11"/>
      <c r="T8346" s="11"/>
      <c r="U8346" s="11">
        <f t="shared" si="2370"/>
        <v>2.2999999999999998</v>
      </c>
      <c r="W8346">
        <v>2.5</v>
      </c>
      <c r="X8346" s="1" t="s">
        <v>96</v>
      </c>
    </row>
    <row r="8347" spans="1:24" x14ac:dyDescent="0.25">
      <c r="A8347" s="1" t="str">
        <f t="shared" si="2371"/>
        <v>卡卡杜-凤凰仓</v>
      </c>
      <c r="B8347" s="1" t="str">
        <f>"CK20241010138"</f>
        <v>CK20241010138</v>
      </c>
      <c r="C8347" s="1" t="str">
        <f>"DD2024101014146"</f>
        <v>DD2024101014146</v>
      </c>
      <c r="D8347" s="1" t="str">
        <f>"CK2024101012630"</f>
        <v>CK2024101012630</v>
      </c>
      <c r="E8347" s="1" t="str">
        <f>"6934844989624948009"</f>
        <v>6934844989624948009</v>
      </c>
      <c r="F8347" s="1" t="str">
        <f t="shared" si="2372"/>
        <v>花都四部-凤凰仓</v>
      </c>
      <c r="G8347" s="1" t="str">
        <f t="shared" si="2376"/>
        <v>卡卡杜个人护理店（抖店）</v>
      </c>
      <c r="H8347" s="1" t="str">
        <f t="shared" si="2373"/>
        <v>正常订单</v>
      </c>
      <c r="I8347" s="1" t="str">
        <f t="shared" si="2374"/>
        <v>已发货</v>
      </c>
      <c r="J8347" s="1" t="str">
        <f t="shared" si="2375"/>
        <v>2</v>
      </c>
      <c r="K8347" s="1">
        <v>1</v>
      </c>
      <c r="L8347" s="1" t="s">
        <v>161</v>
      </c>
      <c r="M8347" s="1" t="str">
        <f>"四川省 绵阳市 梓潼县 文昌镇"</f>
        <v>四川省 绵阳市 梓潼县 文昌镇</v>
      </c>
      <c r="N8347" s="1" t="str">
        <f t="shared" si="2377"/>
        <v>凡华云仓-韵达-抖音</v>
      </c>
      <c r="O8347" s="5">
        <v>320164364567138</v>
      </c>
      <c r="P8347" s="6">
        <v>0.33</v>
      </c>
      <c r="Q8347" s="11">
        <v>2.2999999999999998</v>
      </c>
      <c r="R8347" s="11"/>
      <c r="S8347" s="11"/>
      <c r="T8347" s="11"/>
      <c r="U8347" s="11">
        <f t="shared" si="2370"/>
        <v>2.2999999999999998</v>
      </c>
      <c r="W8347">
        <v>2.5</v>
      </c>
      <c r="X8347" s="1" t="s">
        <v>161</v>
      </c>
    </row>
    <row r="8348" spans="1:24" x14ac:dyDescent="0.25">
      <c r="A8348" s="1" t="str">
        <f t="shared" si="2371"/>
        <v>卡卡杜-凤凰仓</v>
      </c>
      <c r="B8348" s="1" t="str">
        <f>"CK20241010142"</f>
        <v>CK20241010142</v>
      </c>
      <c r="C8348" s="1" t="str">
        <f>"DD2024101014148"</f>
        <v>DD2024101014148</v>
      </c>
      <c r="D8348" s="1" t="str">
        <f>"CK2024101012629"</f>
        <v>CK2024101012629</v>
      </c>
      <c r="E8348" s="1" t="str">
        <f>"6918000162391358799"</f>
        <v>6918000162391358799</v>
      </c>
      <c r="F8348" s="1" t="str">
        <f t="shared" si="2372"/>
        <v>花都四部-凤凰仓</v>
      </c>
      <c r="G8348" s="1" t="str">
        <f t="shared" si="2376"/>
        <v>卡卡杜个人护理店（抖店）</v>
      </c>
      <c r="H8348" s="1" t="str">
        <f t="shared" si="2373"/>
        <v>正常订单</v>
      </c>
      <c r="I8348" s="1" t="str">
        <f t="shared" si="2374"/>
        <v>已发货</v>
      </c>
      <c r="J8348" s="1" t="str">
        <f t="shared" si="2375"/>
        <v>2</v>
      </c>
      <c r="K8348" s="1">
        <v>1</v>
      </c>
      <c r="L8348" s="1" t="s">
        <v>94</v>
      </c>
      <c r="M8348" s="1" t="str">
        <f>"湖南省 张家界市 慈利县 溪口镇"</f>
        <v>湖南省 张家界市 慈利县 溪口镇</v>
      </c>
      <c r="N8348" s="1" t="str">
        <f t="shared" si="2377"/>
        <v>凡华云仓-韵达-抖音</v>
      </c>
      <c r="O8348" s="5">
        <v>320164364567049</v>
      </c>
      <c r="P8348" s="6">
        <v>0.33</v>
      </c>
      <c r="Q8348" s="11">
        <v>2.2999999999999998</v>
      </c>
      <c r="R8348" s="11"/>
      <c r="S8348" s="11"/>
      <c r="T8348" s="11"/>
      <c r="U8348" s="11">
        <f t="shared" si="2370"/>
        <v>2.2999999999999998</v>
      </c>
      <c r="W8348">
        <v>2.5</v>
      </c>
      <c r="X8348" s="1" t="s">
        <v>94</v>
      </c>
    </row>
    <row r="8349" spans="1:24" x14ac:dyDescent="0.25">
      <c r="A8349" s="1" t="str">
        <f t="shared" si="2371"/>
        <v>卡卡杜-凤凰仓</v>
      </c>
      <c r="B8349" s="1" t="str">
        <f>"CK20241010122"</f>
        <v>CK20241010122</v>
      </c>
      <c r="C8349" s="1" t="str">
        <f>"DD2024101014127"</f>
        <v>DD2024101014127</v>
      </c>
      <c r="D8349" s="1" t="str">
        <f>"CK2024101012628"</f>
        <v>CK2024101012628</v>
      </c>
      <c r="E8349" s="1" t="str">
        <f>"6934847105561532274"</f>
        <v>6934847105561532274</v>
      </c>
      <c r="F8349" s="1" t="str">
        <f t="shared" si="2372"/>
        <v>花都四部-凤凰仓</v>
      </c>
      <c r="G8349" s="1" t="str">
        <f t="shared" si="2376"/>
        <v>卡卡杜个人护理店（抖店）</v>
      </c>
      <c r="H8349" s="1" t="str">
        <f t="shared" si="2373"/>
        <v>正常订单</v>
      </c>
      <c r="I8349" s="1" t="str">
        <f t="shared" si="2374"/>
        <v>已发货</v>
      </c>
      <c r="J8349" s="1" t="str">
        <f t="shared" si="2375"/>
        <v>2</v>
      </c>
      <c r="K8349" s="1">
        <v>1</v>
      </c>
      <c r="L8349" s="1" t="s">
        <v>18</v>
      </c>
      <c r="M8349" s="1" t="str">
        <f>"广东省 中山市 中山市 大涌镇"</f>
        <v>广东省 中山市 中山市 大涌镇</v>
      </c>
      <c r="N8349" s="1" t="str">
        <f t="shared" si="2377"/>
        <v>凡华云仓-韵达-抖音</v>
      </c>
      <c r="O8349" s="5">
        <v>320164364566921</v>
      </c>
      <c r="P8349" s="6">
        <v>0.33</v>
      </c>
      <c r="Q8349" s="11">
        <v>2.2999999999999998</v>
      </c>
      <c r="R8349" s="11"/>
      <c r="S8349" s="11"/>
      <c r="T8349" s="11"/>
      <c r="U8349" s="11">
        <f t="shared" si="2370"/>
        <v>2.2999999999999998</v>
      </c>
      <c r="W8349">
        <v>2.5</v>
      </c>
      <c r="X8349" s="1" t="s">
        <v>18</v>
      </c>
    </row>
    <row r="8350" spans="1:24" x14ac:dyDescent="0.25">
      <c r="A8350" s="1" t="str">
        <f t="shared" si="2371"/>
        <v>卡卡杜-凤凰仓</v>
      </c>
      <c r="B8350" s="1" t="str">
        <f>"CK20241010116"</f>
        <v>CK20241010116</v>
      </c>
      <c r="C8350" s="1" t="str">
        <f>"DD2024101014125"</f>
        <v>DD2024101014125</v>
      </c>
      <c r="D8350" s="1" t="str">
        <f>"CK2024101012627"</f>
        <v>CK2024101012627</v>
      </c>
      <c r="E8350" s="1" t="str">
        <f>"6934840446961521881"</f>
        <v>6934840446961521881</v>
      </c>
      <c r="F8350" s="1" t="str">
        <f t="shared" si="2372"/>
        <v>花都四部-凤凰仓</v>
      </c>
      <c r="G8350" s="1" t="str">
        <f t="shared" si="2376"/>
        <v>卡卡杜个人护理店（抖店）</v>
      </c>
      <c r="H8350" s="1" t="str">
        <f t="shared" si="2373"/>
        <v>正常订单</v>
      </c>
      <c r="I8350" s="1" t="str">
        <f t="shared" si="2374"/>
        <v>已发货</v>
      </c>
      <c r="J8350" s="1" t="str">
        <f t="shared" si="2375"/>
        <v>2</v>
      </c>
      <c r="K8350" s="1">
        <v>1</v>
      </c>
      <c r="L8350" s="1" t="s">
        <v>18</v>
      </c>
      <c r="M8350" s="1" t="str">
        <f>"广东省 东莞市 东莞市 塘厦镇"</f>
        <v>广东省 东莞市 东莞市 塘厦镇</v>
      </c>
      <c r="N8350" s="1" t="str">
        <f t="shared" si="2377"/>
        <v>凡华云仓-韵达-抖音</v>
      </c>
      <c r="O8350" s="5">
        <v>320164360561005</v>
      </c>
      <c r="P8350" s="6">
        <v>0.33</v>
      </c>
      <c r="Q8350" s="11">
        <v>2.2999999999999998</v>
      </c>
      <c r="R8350" s="11"/>
      <c r="S8350" s="11"/>
      <c r="T8350" s="11"/>
      <c r="U8350" s="11">
        <f t="shared" si="2370"/>
        <v>2.2999999999999998</v>
      </c>
      <c r="W8350">
        <v>2.5</v>
      </c>
      <c r="X8350" s="1" t="s">
        <v>18</v>
      </c>
    </row>
    <row r="8351" spans="1:24" x14ac:dyDescent="0.25">
      <c r="A8351" s="1" t="str">
        <f t="shared" si="2371"/>
        <v>卡卡杜-凤凰仓</v>
      </c>
      <c r="B8351" s="1" t="str">
        <f>"CK20241010118"</f>
        <v>CK20241010118</v>
      </c>
      <c r="C8351" s="1" t="str">
        <f>"DD2024101014124"</f>
        <v>DD2024101014124</v>
      </c>
      <c r="D8351" s="1" t="str">
        <f>"CK2024101012626"</f>
        <v>CK2024101012626</v>
      </c>
      <c r="E8351" s="1" t="str">
        <f>"6934842789880796434"</f>
        <v>6934842789880796434</v>
      </c>
      <c r="F8351" s="1" t="str">
        <f t="shared" si="2372"/>
        <v>花都四部-凤凰仓</v>
      </c>
      <c r="G8351" s="1" t="str">
        <f t="shared" si="2376"/>
        <v>卡卡杜个人护理店（抖店）</v>
      </c>
      <c r="H8351" s="1" t="str">
        <f t="shared" si="2373"/>
        <v>正常订单</v>
      </c>
      <c r="I8351" s="1" t="str">
        <f t="shared" si="2374"/>
        <v>已发货</v>
      </c>
      <c r="J8351" s="1" t="str">
        <f t="shared" si="2375"/>
        <v>2</v>
      </c>
      <c r="K8351" s="1">
        <v>1</v>
      </c>
      <c r="L8351" s="1" t="s">
        <v>20</v>
      </c>
      <c r="M8351" s="1" t="str">
        <f>"浙江省 金华市 金东区 曹宅镇"</f>
        <v>浙江省 金华市 金东区 曹宅镇</v>
      </c>
      <c r="N8351" s="1" t="str">
        <f t="shared" si="2377"/>
        <v>凡华云仓-韵达-抖音</v>
      </c>
      <c r="O8351" s="5">
        <v>320164360560989</v>
      </c>
      <c r="P8351" s="6">
        <v>0.33</v>
      </c>
      <c r="Q8351" s="11">
        <v>2.2999999999999998</v>
      </c>
      <c r="R8351" s="11"/>
      <c r="S8351" s="11"/>
      <c r="T8351" s="11"/>
      <c r="U8351" s="11">
        <f t="shared" si="2370"/>
        <v>2.2999999999999998</v>
      </c>
      <c r="W8351">
        <v>2.5</v>
      </c>
      <c r="X8351" s="1" t="s">
        <v>20</v>
      </c>
    </row>
    <row r="8352" spans="1:24" x14ac:dyDescent="0.25">
      <c r="A8352" s="1" t="str">
        <f t="shared" si="2371"/>
        <v>卡卡杜-凤凰仓</v>
      </c>
      <c r="B8352" s="1" t="str">
        <f>"CK20241010131"</f>
        <v>CK20241010131</v>
      </c>
      <c r="C8352" s="1" t="str">
        <f>"DD2024101014136"</f>
        <v>DD2024101014136</v>
      </c>
      <c r="D8352" s="1" t="str">
        <f>"CK2024101012625"</f>
        <v>CK2024101012625</v>
      </c>
      <c r="E8352" s="1" t="str">
        <f>"6934842691854734817"</f>
        <v>6934842691854734817</v>
      </c>
      <c r="F8352" s="1" t="str">
        <f t="shared" si="2372"/>
        <v>花都四部-凤凰仓</v>
      </c>
      <c r="G8352" s="1" t="str">
        <f t="shared" si="2376"/>
        <v>卡卡杜个人护理店（抖店）</v>
      </c>
      <c r="H8352" s="1" t="str">
        <f t="shared" si="2373"/>
        <v>正常订单</v>
      </c>
      <c r="I8352" s="1" t="str">
        <f t="shared" si="2374"/>
        <v>已发货</v>
      </c>
      <c r="J8352" s="1" t="str">
        <f t="shared" si="2375"/>
        <v>2</v>
      </c>
      <c r="K8352" s="1">
        <v>1</v>
      </c>
      <c r="L8352" s="1" t="s">
        <v>161</v>
      </c>
      <c r="M8352" s="1" t="str">
        <f>"四川省 成都市 邛崃市 临邛街道"</f>
        <v>四川省 成都市 邛崃市 临邛街道</v>
      </c>
      <c r="N8352" s="1" t="str">
        <f t="shared" si="2377"/>
        <v>凡华云仓-韵达-抖音</v>
      </c>
      <c r="O8352" s="5">
        <v>320164360560884</v>
      </c>
      <c r="P8352" s="6">
        <v>0.33</v>
      </c>
      <c r="Q8352" s="11">
        <v>2.2999999999999998</v>
      </c>
      <c r="R8352" s="11"/>
      <c r="S8352" s="11"/>
      <c r="T8352" s="11"/>
      <c r="U8352" s="11">
        <f t="shared" si="2370"/>
        <v>2.2999999999999998</v>
      </c>
      <c r="W8352">
        <v>2.5</v>
      </c>
      <c r="X8352" s="1" t="s">
        <v>161</v>
      </c>
    </row>
    <row r="8353" spans="1:24" x14ac:dyDescent="0.25">
      <c r="A8353" s="1" t="str">
        <f t="shared" si="2371"/>
        <v>卡卡杜-凤凰仓</v>
      </c>
      <c r="B8353" s="1" t="str">
        <f>"CK20241010130"</f>
        <v>CK20241010130</v>
      </c>
      <c r="C8353" s="1" t="str">
        <f>"DD2024101014135"</f>
        <v>DD2024101014135</v>
      </c>
      <c r="D8353" s="1" t="str">
        <f>"CK2024101012624"</f>
        <v>CK2024101012624</v>
      </c>
      <c r="E8353" s="1" t="str">
        <f>"6934824382105523410"</f>
        <v>6934824382105523410</v>
      </c>
      <c r="F8353" s="1" t="str">
        <f t="shared" si="2372"/>
        <v>花都四部-凤凰仓</v>
      </c>
      <c r="G8353" s="1" t="str">
        <f t="shared" si="2376"/>
        <v>卡卡杜个人护理店（抖店）</v>
      </c>
      <c r="H8353" s="1" t="str">
        <f t="shared" si="2373"/>
        <v>正常订单</v>
      </c>
      <c r="I8353" s="1" t="str">
        <f t="shared" si="2374"/>
        <v>已发货</v>
      </c>
      <c r="J8353" s="1" t="str">
        <f t="shared" si="2375"/>
        <v>2</v>
      </c>
      <c r="K8353" s="1">
        <v>1</v>
      </c>
      <c r="L8353" s="1" t="s">
        <v>20</v>
      </c>
      <c r="M8353" s="1" t="str">
        <f>"浙江省 宁波市 镇海区 九龙湖镇"</f>
        <v>浙江省 宁波市 镇海区 九龙湖镇</v>
      </c>
      <c r="N8353" s="1" t="str">
        <f t="shared" si="2377"/>
        <v>凡华云仓-韵达-抖音</v>
      </c>
      <c r="O8353" s="5">
        <v>320164360560781</v>
      </c>
      <c r="P8353" s="6">
        <v>0.33</v>
      </c>
      <c r="Q8353" s="11">
        <v>2.2999999999999998</v>
      </c>
      <c r="R8353" s="11"/>
      <c r="S8353" s="11"/>
      <c r="T8353" s="11"/>
      <c r="U8353" s="11">
        <f t="shared" si="2370"/>
        <v>2.2999999999999998</v>
      </c>
      <c r="W8353">
        <v>2.5</v>
      </c>
      <c r="X8353" s="1" t="s">
        <v>20</v>
      </c>
    </row>
    <row r="8354" spans="1:24" x14ac:dyDescent="0.25">
      <c r="A8354" s="1" t="str">
        <f t="shared" si="2371"/>
        <v>卡卡杜-凤凰仓</v>
      </c>
      <c r="B8354" s="1" t="str">
        <f>"CK20241010185"</f>
        <v>CK20241010185</v>
      </c>
      <c r="C8354" s="1" t="str">
        <f>"DD2024101014191"</f>
        <v>DD2024101014191</v>
      </c>
      <c r="D8354" s="1" t="str">
        <f>"CK2024101012623"</f>
        <v>CK2024101012623</v>
      </c>
      <c r="E8354" s="1" t="str">
        <f>"6934853346083477391"</f>
        <v>6934853346083477391</v>
      </c>
      <c r="F8354" s="1" t="str">
        <f t="shared" si="2372"/>
        <v>花都四部-凤凰仓</v>
      </c>
      <c r="G8354" s="1" t="str">
        <f t="shared" si="2376"/>
        <v>卡卡杜个人护理店（抖店）</v>
      </c>
      <c r="H8354" s="1" t="str">
        <f t="shared" si="2373"/>
        <v>正常订单</v>
      </c>
      <c r="I8354" s="1" t="str">
        <f t="shared" si="2374"/>
        <v>已发货</v>
      </c>
      <c r="J8354" s="1" t="str">
        <f t="shared" si="2375"/>
        <v>2</v>
      </c>
      <c r="K8354" s="1">
        <v>1</v>
      </c>
      <c r="L8354" s="1" t="s">
        <v>22</v>
      </c>
      <c r="M8354" s="1" t="str">
        <f>"江西省 赣州市 瑞金市 象湖镇"</f>
        <v>江西省 赣州市 瑞金市 象湖镇</v>
      </c>
      <c r="N8354" s="1" t="str">
        <f t="shared" si="2377"/>
        <v>凡华云仓-韵达-抖音</v>
      </c>
      <c r="O8354" s="5">
        <v>320164360560680</v>
      </c>
      <c r="P8354" s="6">
        <v>0.33</v>
      </c>
      <c r="Q8354" s="11">
        <v>2.2999999999999998</v>
      </c>
      <c r="R8354" s="11"/>
      <c r="S8354" s="11"/>
      <c r="T8354" s="11"/>
      <c r="U8354" s="11">
        <f t="shared" si="2370"/>
        <v>2.2999999999999998</v>
      </c>
      <c r="W8354">
        <v>2.5</v>
      </c>
      <c r="X8354" s="1" t="s">
        <v>22</v>
      </c>
    </row>
    <row r="8355" spans="1:24" x14ac:dyDescent="0.25">
      <c r="A8355" s="1" t="str">
        <f t="shared" si="2371"/>
        <v>卡卡杜-凤凰仓</v>
      </c>
      <c r="B8355" s="1" t="str">
        <f>"CK20241010157"</f>
        <v>CK20241010157</v>
      </c>
      <c r="C8355" s="1" t="str">
        <f>"DD2024101014164"</f>
        <v>DD2024101014164</v>
      </c>
      <c r="D8355" s="1" t="str">
        <f>"CK2024101012622"</f>
        <v>CK2024101012622</v>
      </c>
      <c r="E8355" s="1" t="str">
        <f>"6934824356593734925"</f>
        <v>6934824356593734925</v>
      </c>
      <c r="F8355" s="1" t="str">
        <f t="shared" si="2372"/>
        <v>花都四部-凤凰仓</v>
      </c>
      <c r="G8355" s="1" t="str">
        <f t="shared" si="2376"/>
        <v>卡卡杜个人护理店（抖店）</v>
      </c>
      <c r="H8355" s="1" t="str">
        <f t="shared" si="2373"/>
        <v>正常订单</v>
      </c>
      <c r="I8355" s="1" t="str">
        <f t="shared" si="2374"/>
        <v>已发货</v>
      </c>
      <c r="J8355" s="1" t="str">
        <f t="shared" si="2375"/>
        <v>2</v>
      </c>
      <c r="K8355" s="1">
        <v>1</v>
      </c>
      <c r="L8355" s="1" t="s">
        <v>20</v>
      </c>
      <c r="M8355" s="1" t="str">
        <f>"浙江省 金华市 武义县 壶山街道"</f>
        <v>浙江省 金华市 武义县 壶山街道</v>
      </c>
      <c r="N8355" s="1" t="str">
        <f t="shared" si="2377"/>
        <v>凡华云仓-韵达-抖音</v>
      </c>
      <c r="O8355" s="5">
        <v>320164360560581</v>
      </c>
      <c r="P8355" s="6">
        <v>0.33</v>
      </c>
      <c r="Q8355" s="11">
        <v>2.2999999999999998</v>
      </c>
      <c r="R8355" s="11"/>
      <c r="S8355" s="11"/>
      <c r="T8355" s="11"/>
      <c r="U8355" s="11">
        <f t="shared" si="2370"/>
        <v>2.2999999999999998</v>
      </c>
      <c r="W8355">
        <v>2.5</v>
      </c>
      <c r="X8355" s="1" t="s">
        <v>20</v>
      </c>
    </row>
    <row r="8356" spans="1:24" x14ac:dyDescent="0.25">
      <c r="A8356" s="1" t="str">
        <f t="shared" si="2371"/>
        <v>卡卡杜-凤凰仓</v>
      </c>
      <c r="B8356" s="1" t="str">
        <f>"CK20241010156"</f>
        <v>CK20241010156</v>
      </c>
      <c r="C8356" s="1" t="str">
        <f>"DD2024101014166"</f>
        <v>DD2024101014166</v>
      </c>
      <c r="D8356" s="1" t="str">
        <f>"CK2024101012621"</f>
        <v>CK2024101012621</v>
      </c>
      <c r="E8356" s="1" t="str">
        <f>"6934826728165938584"</f>
        <v>6934826728165938584</v>
      </c>
      <c r="F8356" s="1" t="str">
        <f t="shared" si="2372"/>
        <v>花都四部-凤凰仓</v>
      </c>
      <c r="G8356" s="1" t="str">
        <f t="shared" si="2376"/>
        <v>卡卡杜个人护理店（抖店）</v>
      </c>
      <c r="H8356" s="1" t="str">
        <f t="shared" si="2373"/>
        <v>正常订单</v>
      </c>
      <c r="I8356" s="1" t="str">
        <f t="shared" si="2374"/>
        <v>已发货</v>
      </c>
      <c r="J8356" s="1" t="str">
        <f t="shared" si="2375"/>
        <v>2</v>
      </c>
      <c r="K8356" s="1">
        <v>1</v>
      </c>
      <c r="L8356" s="1" t="s">
        <v>74</v>
      </c>
      <c r="M8356" s="1" t="str">
        <f>"上海 上海市 嘉定区 "</f>
        <v xml:space="preserve">上海 上海市 嘉定区 </v>
      </c>
      <c r="N8356" s="1" t="str">
        <f t="shared" si="2377"/>
        <v>凡华云仓-韵达-抖音</v>
      </c>
      <c r="O8356" s="5">
        <v>320164360560484</v>
      </c>
      <c r="P8356" s="6">
        <v>0.33</v>
      </c>
      <c r="Q8356" s="11">
        <v>2.2999999999999998</v>
      </c>
      <c r="R8356" s="11"/>
      <c r="S8356" s="11"/>
      <c r="T8356" s="11"/>
      <c r="U8356" s="11">
        <f t="shared" si="2370"/>
        <v>2.2999999999999998</v>
      </c>
      <c r="W8356">
        <v>2.5</v>
      </c>
      <c r="X8356" s="1" t="s">
        <v>74</v>
      </c>
    </row>
    <row r="8357" spans="1:24" x14ac:dyDescent="0.25">
      <c r="A8357" s="1" t="str">
        <f t="shared" si="2371"/>
        <v>卡卡杜-凤凰仓</v>
      </c>
      <c r="B8357" s="1" t="str">
        <f>"CK20241010152"</f>
        <v>CK20241010152</v>
      </c>
      <c r="C8357" s="1" t="str">
        <f>"DD2024101014159"</f>
        <v>DD2024101014159</v>
      </c>
      <c r="D8357" s="1" t="str">
        <f>"CK2024101012620"</f>
        <v>CK2024101012620</v>
      </c>
      <c r="E8357" s="1" t="str">
        <f>"6934835735868282699"</f>
        <v>6934835735868282699</v>
      </c>
      <c r="F8357" s="1" t="str">
        <f t="shared" si="2372"/>
        <v>花都四部-凤凰仓</v>
      </c>
      <c r="G8357" s="1" t="str">
        <f t="shared" si="2376"/>
        <v>卡卡杜个人护理店（抖店）</v>
      </c>
      <c r="H8357" s="1" t="str">
        <f t="shared" si="2373"/>
        <v>正常订单</v>
      </c>
      <c r="I8357" s="1" t="str">
        <f t="shared" si="2374"/>
        <v>已发货</v>
      </c>
      <c r="J8357" s="1" t="str">
        <f t="shared" si="2375"/>
        <v>2</v>
      </c>
      <c r="K8357" s="1">
        <v>1</v>
      </c>
      <c r="L8357" s="1" t="s">
        <v>24</v>
      </c>
      <c r="M8357" s="1" t="str">
        <f>"福建省 三明市 建宁县 濉溪镇"</f>
        <v>福建省 三明市 建宁县 濉溪镇</v>
      </c>
      <c r="N8357" s="1" t="str">
        <f t="shared" si="2377"/>
        <v>凡华云仓-韵达-抖音</v>
      </c>
      <c r="O8357" s="5">
        <v>320164360560389</v>
      </c>
      <c r="P8357" s="6">
        <v>0.33</v>
      </c>
      <c r="Q8357" s="11">
        <v>2.2999999999999998</v>
      </c>
      <c r="R8357" s="11"/>
      <c r="S8357" s="11"/>
      <c r="T8357" s="11"/>
      <c r="U8357" s="11">
        <f t="shared" si="2370"/>
        <v>2.2999999999999998</v>
      </c>
      <c r="W8357">
        <v>2.5</v>
      </c>
      <c r="X8357" s="1" t="s">
        <v>24</v>
      </c>
    </row>
    <row r="8358" spans="1:24" x14ac:dyDescent="0.25">
      <c r="A8358" s="1" t="str">
        <f t="shared" si="2371"/>
        <v>卡卡杜-凤凰仓</v>
      </c>
      <c r="B8358" s="1" t="str">
        <f>"CK20241010155"</f>
        <v>CK20241010155</v>
      </c>
      <c r="C8358" s="1" t="str">
        <f>"DD2024101014161"</f>
        <v>DD2024101014161</v>
      </c>
      <c r="D8358" s="1" t="str">
        <f>"CK2024101012619"</f>
        <v>CK2024101012619</v>
      </c>
      <c r="E8358" s="1" t="str">
        <f>"6934847054706579381"</f>
        <v>6934847054706579381</v>
      </c>
      <c r="F8358" s="1" t="str">
        <f t="shared" si="2372"/>
        <v>花都四部-凤凰仓</v>
      </c>
      <c r="G8358" s="1" t="str">
        <f t="shared" si="2376"/>
        <v>卡卡杜个人护理店（抖店）</v>
      </c>
      <c r="H8358" s="1" t="str">
        <f t="shared" si="2373"/>
        <v>正常订单</v>
      </c>
      <c r="I8358" s="1" t="str">
        <f t="shared" si="2374"/>
        <v>已发货</v>
      </c>
      <c r="J8358" s="1" t="str">
        <f t="shared" si="2375"/>
        <v>2</v>
      </c>
      <c r="K8358" s="1">
        <v>1</v>
      </c>
      <c r="L8358" s="1" t="s">
        <v>32</v>
      </c>
      <c r="M8358" s="1" t="str">
        <f>"陕西省 安康市 石泉县 城关镇"</f>
        <v>陕西省 安康市 石泉县 城关镇</v>
      </c>
      <c r="N8358" s="1" t="str">
        <f t="shared" si="2377"/>
        <v>凡华云仓-韵达-抖音</v>
      </c>
      <c r="O8358" s="5">
        <v>320164360560296</v>
      </c>
      <c r="P8358" s="6">
        <v>0.33</v>
      </c>
      <c r="Q8358" s="11">
        <v>2.2999999999999998</v>
      </c>
      <c r="R8358" s="11"/>
      <c r="S8358" s="11"/>
      <c r="T8358" s="11"/>
      <c r="U8358" s="11">
        <f t="shared" si="2370"/>
        <v>2.2999999999999998</v>
      </c>
      <c r="W8358">
        <v>2.5</v>
      </c>
      <c r="X8358" s="1" t="s">
        <v>32</v>
      </c>
    </row>
    <row r="8359" spans="1:24" x14ac:dyDescent="0.25">
      <c r="A8359" s="1" t="str">
        <f t="shared" si="2371"/>
        <v>卡卡杜-凤凰仓</v>
      </c>
      <c r="B8359" s="1" t="str">
        <f>"CK20241010120"</f>
        <v>CK20241010120</v>
      </c>
      <c r="C8359" s="1" t="str">
        <f>"DD2024101014126"</f>
        <v>DD2024101014126</v>
      </c>
      <c r="D8359" s="1" t="str">
        <f>"CK2024101012618"</f>
        <v>CK2024101012618</v>
      </c>
      <c r="E8359" s="1" t="str">
        <f>"6934844921611490833"</f>
        <v>6934844921611490833</v>
      </c>
      <c r="F8359" s="1" t="str">
        <f t="shared" si="2372"/>
        <v>花都四部-凤凰仓</v>
      </c>
      <c r="G8359" s="1" t="str">
        <f t="shared" si="2376"/>
        <v>卡卡杜个人护理店（抖店）</v>
      </c>
      <c r="H8359" s="1" t="str">
        <f t="shared" si="2373"/>
        <v>正常订单</v>
      </c>
      <c r="I8359" s="1" t="str">
        <f t="shared" si="2374"/>
        <v>已发货</v>
      </c>
      <c r="J8359" s="1" t="str">
        <f t="shared" si="2375"/>
        <v>2</v>
      </c>
      <c r="K8359" s="1">
        <v>1</v>
      </c>
      <c r="L8359" s="1" t="s">
        <v>24</v>
      </c>
      <c r="M8359" s="1" t="str">
        <f>"福建省 龙岩市 新罗区 南城街道"</f>
        <v>福建省 龙岩市 新罗区 南城街道</v>
      </c>
      <c r="N8359" s="1" t="str">
        <f t="shared" si="2377"/>
        <v>凡华云仓-韵达-抖音</v>
      </c>
      <c r="O8359" s="5">
        <v>320164360560105</v>
      </c>
      <c r="P8359" s="6">
        <v>0.33</v>
      </c>
      <c r="Q8359" s="11">
        <v>2.2999999999999998</v>
      </c>
      <c r="R8359" s="11"/>
      <c r="S8359" s="11"/>
      <c r="T8359" s="11"/>
      <c r="U8359" s="11">
        <f t="shared" si="2370"/>
        <v>2.2999999999999998</v>
      </c>
      <c r="W8359">
        <v>2.5</v>
      </c>
      <c r="X8359" s="1" t="s">
        <v>24</v>
      </c>
    </row>
    <row r="8360" spans="1:24" x14ac:dyDescent="0.25">
      <c r="A8360" s="1" t="str">
        <f t="shared" si="2371"/>
        <v>卡卡杜-凤凰仓</v>
      </c>
      <c r="B8360" s="1" t="str">
        <f>"CK20241010125"</f>
        <v>CK20241010125</v>
      </c>
      <c r="C8360" s="1" t="str">
        <f>"DD2024101014132"</f>
        <v>DD2024101014132</v>
      </c>
      <c r="D8360" s="1" t="str">
        <f>"CK2024101012617"</f>
        <v>CK2024101012617</v>
      </c>
      <c r="E8360" s="1" t="str">
        <f>"6934824260069496320"</f>
        <v>6934824260069496320</v>
      </c>
      <c r="F8360" s="1" t="str">
        <f t="shared" si="2372"/>
        <v>花都四部-凤凰仓</v>
      </c>
      <c r="G8360" s="1" t="str">
        <f t="shared" si="2376"/>
        <v>卡卡杜个人护理店（抖店）</v>
      </c>
      <c r="H8360" s="1" t="str">
        <f t="shared" si="2373"/>
        <v>正常订单</v>
      </c>
      <c r="I8360" s="1" t="str">
        <f t="shared" si="2374"/>
        <v>已发货</v>
      </c>
      <c r="J8360" s="1" t="str">
        <f t="shared" si="2375"/>
        <v>2</v>
      </c>
      <c r="K8360" s="1">
        <v>1</v>
      </c>
      <c r="L8360" s="1" t="s">
        <v>18</v>
      </c>
      <c r="M8360" s="1" t="str">
        <f>"广东省 清远市 清城区 飞来峡镇"</f>
        <v>广东省 清远市 清城区 飞来峡镇</v>
      </c>
      <c r="N8360" s="1" t="str">
        <f t="shared" si="2377"/>
        <v>凡华云仓-韵达-抖音</v>
      </c>
      <c r="O8360" s="5">
        <v>320164361673642</v>
      </c>
      <c r="P8360" s="6">
        <v>0.33</v>
      </c>
      <c r="Q8360" s="11">
        <v>2.2999999999999998</v>
      </c>
      <c r="R8360" s="11"/>
      <c r="S8360" s="11"/>
      <c r="T8360" s="11"/>
      <c r="U8360" s="11">
        <f t="shared" si="2370"/>
        <v>2.2999999999999998</v>
      </c>
      <c r="W8360">
        <v>2.5</v>
      </c>
      <c r="X8360" s="1" t="s">
        <v>18</v>
      </c>
    </row>
    <row r="8361" spans="1:24" x14ac:dyDescent="0.25">
      <c r="A8361" s="1" t="str">
        <f t="shared" si="2371"/>
        <v>卡卡杜-凤凰仓</v>
      </c>
      <c r="B8361" s="1" t="str">
        <f>"CK20241010160"</f>
        <v>CK20241010160</v>
      </c>
      <c r="C8361" s="1" t="str">
        <f>"DD2024101014163"</f>
        <v>DD2024101014163</v>
      </c>
      <c r="D8361" s="1" t="str">
        <f>"CK2024101012616"</f>
        <v>CK2024101012616</v>
      </c>
      <c r="E8361" s="1" t="str">
        <f>"6934844930412516629"</f>
        <v>6934844930412516629</v>
      </c>
      <c r="F8361" s="1" t="str">
        <f t="shared" si="2372"/>
        <v>花都四部-凤凰仓</v>
      </c>
      <c r="G8361" s="1" t="str">
        <f t="shared" si="2376"/>
        <v>卡卡杜个人护理店（抖店）</v>
      </c>
      <c r="H8361" s="1" t="str">
        <f t="shared" si="2373"/>
        <v>正常订单</v>
      </c>
      <c r="I8361" s="1" t="str">
        <f t="shared" si="2374"/>
        <v>已发货</v>
      </c>
      <c r="J8361" s="1" t="str">
        <f t="shared" si="2375"/>
        <v>2</v>
      </c>
      <c r="K8361" s="1">
        <v>1</v>
      </c>
      <c r="L8361" s="1" t="s">
        <v>161</v>
      </c>
      <c r="M8361" s="1" t="str">
        <f>"四川省 内江市 资中县 水南镇"</f>
        <v>四川省 内江市 资中县 水南镇</v>
      </c>
      <c r="N8361" s="1" t="str">
        <f t="shared" si="2377"/>
        <v>凡华云仓-韵达-抖音</v>
      </c>
      <c r="O8361" s="5">
        <v>320164361673543</v>
      </c>
      <c r="P8361" s="6">
        <v>0.33</v>
      </c>
      <c r="Q8361" s="11">
        <v>2.2999999999999998</v>
      </c>
      <c r="R8361" s="11"/>
      <c r="S8361" s="11"/>
      <c r="T8361" s="11"/>
      <c r="U8361" s="11">
        <f t="shared" si="2370"/>
        <v>2.2999999999999998</v>
      </c>
      <c r="W8361">
        <v>2.5</v>
      </c>
      <c r="X8361" s="1" t="s">
        <v>161</v>
      </c>
    </row>
    <row r="8362" spans="1:24" x14ac:dyDescent="0.25">
      <c r="A8362" s="1" t="str">
        <f t="shared" si="2371"/>
        <v>卡卡杜-凤凰仓</v>
      </c>
      <c r="B8362" s="1" t="str">
        <f>"CK20241010170"</f>
        <v>CK20241010170</v>
      </c>
      <c r="C8362" s="1" t="str">
        <f>"DD2024101014174"</f>
        <v>DD2024101014174</v>
      </c>
      <c r="D8362" s="1" t="str">
        <f>"CK2024101012615"</f>
        <v>CK2024101012615</v>
      </c>
      <c r="E8362" s="1" t="str">
        <f>"6934848947409786143"</f>
        <v>6934848947409786143</v>
      </c>
      <c r="F8362" s="1" t="str">
        <f t="shared" si="2372"/>
        <v>花都四部-凤凰仓</v>
      </c>
      <c r="G8362" s="1" t="str">
        <f t="shared" si="2376"/>
        <v>卡卡杜个人护理店（抖店）</v>
      </c>
      <c r="H8362" s="1" t="str">
        <f t="shared" si="2373"/>
        <v>正常订单</v>
      </c>
      <c r="I8362" s="1" t="str">
        <f t="shared" si="2374"/>
        <v>已发货</v>
      </c>
      <c r="J8362" s="1" t="str">
        <f t="shared" si="2375"/>
        <v>2</v>
      </c>
      <c r="K8362" s="1">
        <v>1</v>
      </c>
      <c r="L8362" s="1" t="s">
        <v>27</v>
      </c>
      <c r="M8362" s="1" t="str">
        <f>"贵州省 黔西南布依族苗族自治州 贞丰县 "</f>
        <v xml:space="preserve">贵州省 黔西南布依族苗族自治州 贞丰县 </v>
      </c>
      <c r="N8362" s="1" t="str">
        <f t="shared" si="2377"/>
        <v>凡华云仓-韵达-抖音</v>
      </c>
      <c r="O8362" s="5">
        <v>320164361673446</v>
      </c>
      <c r="P8362" s="6">
        <v>0.33</v>
      </c>
      <c r="Q8362" s="11">
        <v>2.2999999999999998</v>
      </c>
      <c r="R8362" s="11"/>
      <c r="S8362" s="11"/>
      <c r="T8362" s="11"/>
      <c r="U8362" s="11">
        <f t="shared" si="2370"/>
        <v>2.2999999999999998</v>
      </c>
      <c r="W8362">
        <v>2.5</v>
      </c>
      <c r="X8362" s="1" t="s">
        <v>27</v>
      </c>
    </row>
    <row r="8363" spans="1:24" x14ac:dyDescent="0.25">
      <c r="A8363" s="1" t="str">
        <f t="shared" si="2371"/>
        <v>卡卡杜-凤凰仓</v>
      </c>
      <c r="B8363" s="1" t="str">
        <f>"CK20241010192"</f>
        <v>CK20241010192</v>
      </c>
      <c r="C8363" s="1" t="str">
        <f>"DD2024101014198"</f>
        <v>DD2024101014198</v>
      </c>
      <c r="D8363" s="1" t="str">
        <f>"CK2024101012614"</f>
        <v>CK2024101012614</v>
      </c>
      <c r="E8363" s="1" t="str">
        <f>"6934840298974287666"</f>
        <v>6934840298974287666</v>
      </c>
      <c r="F8363" s="1" t="str">
        <f t="shared" si="2372"/>
        <v>花都四部-凤凰仓</v>
      </c>
      <c r="G8363" s="1" t="str">
        <f t="shared" si="2376"/>
        <v>卡卡杜个人护理店（抖店）</v>
      </c>
      <c r="H8363" s="1" t="str">
        <f t="shared" si="2373"/>
        <v>正常订单</v>
      </c>
      <c r="I8363" s="1" t="str">
        <f t="shared" si="2374"/>
        <v>已发货</v>
      </c>
      <c r="J8363" s="1" t="str">
        <f t="shared" si="2375"/>
        <v>2</v>
      </c>
      <c r="K8363" s="1">
        <v>1</v>
      </c>
      <c r="L8363" s="1" t="s">
        <v>30</v>
      </c>
      <c r="M8363" s="1" t="str">
        <f>"山东省 聊城市 高唐县 鱼邱湖街道"</f>
        <v>山东省 聊城市 高唐县 鱼邱湖街道</v>
      </c>
      <c r="N8363" s="1" t="str">
        <f t="shared" si="2377"/>
        <v>凡华云仓-韵达-抖音</v>
      </c>
      <c r="O8363" s="5">
        <v>320164361673351</v>
      </c>
      <c r="P8363" s="6">
        <v>0.33</v>
      </c>
      <c r="Q8363" s="11">
        <v>2.2999999999999998</v>
      </c>
      <c r="R8363" s="11"/>
      <c r="S8363" s="11"/>
      <c r="T8363" s="11"/>
      <c r="U8363" s="11">
        <f t="shared" si="2370"/>
        <v>2.2999999999999998</v>
      </c>
      <c r="W8363">
        <v>2.5</v>
      </c>
      <c r="X8363" s="1" t="s">
        <v>30</v>
      </c>
    </row>
    <row r="8364" spans="1:24" x14ac:dyDescent="0.25">
      <c r="A8364" s="1" t="str">
        <f t="shared" si="2371"/>
        <v>卡卡杜-凤凰仓</v>
      </c>
      <c r="B8364" s="1" t="str">
        <f>"CK20241010191"</f>
        <v>CK20241010191</v>
      </c>
      <c r="C8364" s="1" t="str">
        <f>"DD2024101014197"</f>
        <v>DD2024101014197</v>
      </c>
      <c r="D8364" s="1" t="str">
        <f>"CK2024101012613"</f>
        <v>CK2024101012613</v>
      </c>
      <c r="E8364" s="1" t="str">
        <f>"6934838048026007107"</f>
        <v>6934838048026007107</v>
      </c>
      <c r="F8364" s="1" t="str">
        <f t="shared" si="2372"/>
        <v>花都四部-凤凰仓</v>
      </c>
      <c r="G8364" s="1" t="str">
        <f t="shared" si="2376"/>
        <v>卡卡杜个人护理店（抖店）</v>
      </c>
      <c r="H8364" s="1" t="str">
        <f t="shared" si="2373"/>
        <v>正常订单</v>
      </c>
      <c r="I8364" s="1" t="str">
        <f t="shared" si="2374"/>
        <v>已发货</v>
      </c>
      <c r="J8364" s="1" t="str">
        <f t="shared" si="2375"/>
        <v>2</v>
      </c>
      <c r="K8364" s="1">
        <v>1</v>
      </c>
      <c r="L8364" s="1" t="s">
        <v>13</v>
      </c>
      <c r="M8364" s="1" t="str">
        <f>"江苏省 常州市 溧阳市 南渡镇"</f>
        <v>江苏省 常州市 溧阳市 南渡镇</v>
      </c>
      <c r="N8364" s="1" t="str">
        <f t="shared" si="2377"/>
        <v>凡华云仓-韵达-抖音</v>
      </c>
      <c r="O8364" s="5">
        <v>320164361673258</v>
      </c>
      <c r="P8364" s="6">
        <v>0.33</v>
      </c>
      <c r="Q8364" s="11">
        <v>2.2999999999999998</v>
      </c>
      <c r="R8364" s="11"/>
      <c r="S8364" s="11"/>
      <c r="T8364" s="11"/>
      <c r="U8364" s="11">
        <f t="shared" si="2370"/>
        <v>2.2999999999999998</v>
      </c>
      <c r="W8364">
        <v>2.5</v>
      </c>
      <c r="X8364" s="1" t="s">
        <v>13</v>
      </c>
    </row>
    <row r="8365" spans="1:24" x14ac:dyDescent="0.25">
      <c r="A8365" s="1" t="str">
        <f t="shared" si="2371"/>
        <v>卡卡杜-凤凰仓</v>
      </c>
      <c r="B8365" s="1" t="str">
        <f>"CK20241010187"</f>
        <v>CK20241010187</v>
      </c>
      <c r="C8365" s="1" t="str">
        <f>"DD2024101014194"</f>
        <v>DD2024101014194</v>
      </c>
      <c r="D8365" s="1" t="str">
        <f>"CK2024101012612"</f>
        <v>CK2024101012612</v>
      </c>
      <c r="E8365" s="1" t="str">
        <f>"6934842723789575734"</f>
        <v>6934842723789575734</v>
      </c>
      <c r="F8365" s="1" t="str">
        <f t="shared" si="2372"/>
        <v>花都四部-凤凰仓</v>
      </c>
      <c r="G8365" s="1" t="str">
        <f t="shared" si="2376"/>
        <v>卡卡杜个人护理店（抖店）</v>
      </c>
      <c r="H8365" s="1" t="str">
        <f t="shared" si="2373"/>
        <v>正常订单</v>
      </c>
      <c r="I8365" s="1" t="str">
        <f t="shared" si="2374"/>
        <v>已发货</v>
      </c>
      <c r="J8365" s="1" t="str">
        <f t="shared" si="2375"/>
        <v>2</v>
      </c>
      <c r="K8365" s="1">
        <v>1</v>
      </c>
      <c r="L8365" s="1" t="s">
        <v>80</v>
      </c>
      <c r="M8365" s="1" t="str">
        <f>"河南省 平顶山市 汝州市 煤山街道"</f>
        <v>河南省 平顶山市 汝州市 煤山街道</v>
      </c>
      <c r="N8365" s="1" t="str">
        <f t="shared" si="2377"/>
        <v>凡华云仓-韵达-抖音</v>
      </c>
      <c r="O8365" s="5">
        <v>320164361673167</v>
      </c>
      <c r="P8365" s="6">
        <v>0.33</v>
      </c>
      <c r="Q8365" s="11">
        <v>2.2999999999999998</v>
      </c>
      <c r="R8365" s="11"/>
      <c r="S8365" s="11"/>
      <c r="T8365" s="11"/>
      <c r="U8365" s="11">
        <f t="shared" si="2370"/>
        <v>2.2999999999999998</v>
      </c>
      <c r="W8365">
        <v>2.5</v>
      </c>
      <c r="X8365" s="1" t="s">
        <v>80</v>
      </c>
    </row>
    <row r="8366" spans="1:24" x14ac:dyDescent="0.25">
      <c r="A8366" s="1" t="str">
        <f t="shared" si="2371"/>
        <v>卡卡杜-凤凰仓</v>
      </c>
      <c r="B8366" s="1" t="str">
        <f>"CK20241010189"</f>
        <v>CK20241010189</v>
      </c>
      <c r="C8366" s="1" t="str">
        <f>"DD2024101014195"</f>
        <v>DD2024101014195</v>
      </c>
      <c r="D8366" s="1" t="str">
        <f>"CK2024101012611"</f>
        <v>CK2024101012611</v>
      </c>
      <c r="E8366" s="1" t="str">
        <f>"6934828975736296632"</f>
        <v>6934828975736296632</v>
      </c>
      <c r="F8366" s="1" t="str">
        <f t="shared" si="2372"/>
        <v>花都四部-凤凰仓</v>
      </c>
      <c r="G8366" s="1" t="str">
        <f t="shared" si="2376"/>
        <v>卡卡杜个人护理店（抖店）</v>
      </c>
      <c r="H8366" s="1" t="str">
        <f t="shared" si="2373"/>
        <v>正常订单</v>
      </c>
      <c r="I8366" s="1" t="str">
        <f t="shared" si="2374"/>
        <v>已发货</v>
      </c>
      <c r="J8366" s="1" t="str">
        <f t="shared" si="2375"/>
        <v>2</v>
      </c>
      <c r="K8366" s="1">
        <v>1</v>
      </c>
      <c r="L8366" s="1" t="s">
        <v>20</v>
      </c>
      <c r="M8366" s="1" t="str">
        <f>"浙江省 金华市 婺城区 三江街道"</f>
        <v>浙江省 金华市 婺城区 三江街道</v>
      </c>
      <c r="N8366" s="1" t="str">
        <f t="shared" si="2377"/>
        <v>凡华云仓-韵达-抖音</v>
      </c>
      <c r="O8366" s="5">
        <v>320164361673078</v>
      </c>
      <c r="P8366" s="6">
        <v>0.33</v>
      </c>
      <c r="Q8366" s="11">
        <v>2.2999999999999998</v>
      </c>
      <c r="R8366" s="11"/>
      <c r="S8366" s="11"/>
      <c r="T8366" s="11"/>
      <c r="U8366" s="11">
        <f t="shared" si="2370"/>
        <v>2.2999999999999998</v>
      </c>
      <c r="W8366">
        <v>2.5</v>
      </c>
      <c r="X8366" s="1" t="s">
        <v>20</v>
      </c>
    </row>
    <row r="8367" spans="1:24" x14ac:dyDescent="0.25">
      <c r="A8367" s="1" t="str">
        <f t="shared" si="2371"/>
        <v>卡卡杜-凤凰仓</v>
      </c>
      <c r="B8367" s="1" t="str">
        <f>"CK20241010209"</f>
        <v>CK20241010209</v>
      </c>
      <c r="C8367" s="1" t="str">
        <f>"DD2024101014214"</f>
        <v>DD2024101014214</v>
      </c>
      <c r="D8367" s="1" t="str">
        <f>"CK2024101012610"</f>
        <v>CK2024101012610</v>
      </c>
      <c r="E8367" s="1" t="str">
        <f>"6934842725708535004"</f>
        <v>6934842725708535004</v>
      </c>
      <c r="F8367" s="1" t="str">
        <f t="shared" si="2372"/>
        <v>花都四部-凤凰仓</v>
      </c>
      <c r="G8367" s="1" t="str">
        <f t="shared" si="2376"/>
        <v>卡卡杜个人护理店（抖店）</v>
      </c>
      <c r="H8367" s="1" t="str">
        <f t="shared" si="2373"/>
        <v>正常订单</v>
      </c>
      <c r="I8367" s="1" t="str">
        <f t="shared" si="2374"/>
        <v>已发货</v>
      </c>
      <c r="J8367" s="1" t="str">
        <f t="shared" si="2375"/>
        <v>2</v>
      </c>
      <c r="K8367" s="1">
        <v>2</v>
      </c>
      <c r="L8367" s="1" t="s">
        <v>18</v>
      </c>
      <c r="M8367" s="1" t="str">
        <f>"广东省 深圳市 龙华区 "</f>
        <v xml:space="preserve">广东省 深圳市 龙华区 </v>
      </c>
      <c r="N8367" s="1" t="str">
        <f t="shared" si="2377"/>
        <v>凡华云仓-韵达-抖音</v>
      </c>
      <c r="O8367" s="5">
        <v>320164361672958</v>
      </c>
      <c r="P8367" s="6">
        <v>0.28000000000000003</v>
      </c>
      <c r="Q8367" s="11">
        <v>2</v>
      </c>
      <c r="R8367" s="11"/>
      <c r="S8367" s="11"/>
      <c r="T8367" s="11"/>
      <c r="U8367" s="11">
        <f t="shared" si="2370"/>
        <v>2</v>
      </c>
      <c r="W8367">
        <v>2.2000000000000002</v>
      </c>
      <c r="X8367" s="1" t="s">
        <v>18</v>
      </c>
    </row>
    <row r="8368" spans="1:24" x14ac:dyDescent="0.25">
      <c r="A8368" s="1" t="str">
        <f t="shared" si="2371"/>
        <v>卡卡杜-凤凰仓</v>
      </c>
      <c r="B8368" s="1" t="str">
        <f>"CK2024100916939"</f>
        <v>CK2024100916939</v>
      </c>
      <c r="C8368" s="1" t="str">
        <f>"DD2024100949924"</f>
        <v>DD2024100949924</v>
      </c>
      <c r="D8368" s="1" t="str">
        <f>"CK2024100952191"</f>
        <v>CK2024100952191</v>
      </c>
      <c r="E8368" s="1" t="str">
        <f>"6934837796274181493"</f>
        <v>6934837796274181493</v>
      </c>
      <c r="F8368" s="1" t="str">
        <f t="shared" si="2372"/>
        <v>花都四部-凤凰仓</v>
      </c>
      <c r="G8368" s="1" t="str">
        <f t="shared" si="2376"/>
        <v>卡卡杜个人护理店（抖店）</v>
      </c>
      <c r="H8368" s="1" t="str">
        <f t="shared" si="2373"/>
        <v>正常订单</v>
      </c>
      <c r="I8368" s="1" t="str">
        <f t="shared" si="2374"/>
        <v>已发货</v>
      </c>
      <c r="J8368" s="1" t="str">
        <f t="shared" si="2375"/>
        <v>2</v>
      </c>
      <c r="K8368" s="1">
        <v>2</v>
      </c>
      <c r="L8368" s="1" t="s">
        <v>96</v>
      </c>
      <c r="M8368" s="1" t="str">
        <f>"广西壮族自治区 南宁市 江南区 江南街道"</f>
        <v>广西壮族自治区 南宁市 江南区 江南街道</v>
      </c>
      <c r="N8368" s="1" t="str">
        <f t="shared" si="2377"/>
        <v>凡华云仓-韵达-抖音</v>
      </c>
      <c r="O8368" s="5">
        <v>320163496298261</v>
      </c>
      <c r="P8368" s="6">
        <v>0.28000000000000003</v>
      </c>
      <c r="Q8368" s="11">
        <v>2</v>
      </c>
      <c r="R8368" s="11"/>
      <c r="S8368" s="11"/>
      <c r="T8368" s="11"/>
      <c r="U8368" s="11">
        <f t="shared" si="2370"/>
        <v>2</v>
      </c>
      <c r="W8368">
        <v>2.2000000000000002</v>
      </c>
      <c r="X8368" s="1" t="s">
        <v>96</v>
      </c>
    </row>
    <row r="8369" spans="1:24" x14ac:dyDescent="0.25">
      <c r="A8369" s="1" t="str">
        <f t="shared" si="2371"/>
        <v>卡卡杜-凤凰仓</v>
      </c>
      <c r="B8369" s="1" t="str">
        <f>"CK2024100916938"</f>
        <v>CK2024100916938</v>
      </c>
      <c r="C8369" s="1" t="str">
        <f>"DD2024100949925"</f>
        <v>DD2024100949925</v>
      </c>
      <c r="D8369" s="1" t="str">
        <f>"CK2024100952190"</f>
        <v>CK2024100952190</v>
      </c>
      <c r="E8369" s="1" t="str">
        <f>"6934822013671905017"</f>
        <v>6934822013671905017</v>
      </c>
      <c r="F8369" s="1" t="str">
        <f t="shared" si="2372"/>
        <v>花都四部-凤凰仓</v>
      </c>
      <c r="G8369" s="1" t="str">
        <f t="shared" si="2376"/>
        <v>卡卡杜个人护理店（抖店）</v>
      </c>
      <c r="H8369" s="1" t="str">
        <f t="shared" si="2373"/>
        <v>正常订单</v>
      </c>
      <c r="I8369" s="1" t="str">
        <f t="shared" si="2374"/>
        <v>已发货</v>
      </c>
      <c r="J8369" s="1" t="str">
        <f t="shared" si="2375"/>
        <v>2</v>
      </c>
      <c r="K8369" s="1">
        <v>1</v>
      </c>
      <c r="L8369" s="1" t="s">
        <v>94</v>
      </c>
      <c r="M8369" s="1" t="str">
        <f>"湖南省 长沙市 浏阳市 大瑶镇"</f>
        <v>湖南省 长沙市 浏阳市 大瑶镇</v>
      </c>
      <c r="N8369" s="1" t="str">
        <f t="shared" si="2377"/>
        <v>凡华云仓-韵达-抖音</v>
      </c>
      <c r="O8369" s="5">
        <v>320163496298170</v>
      </c>
      <c r="P8369" s="6">
        <v>0.33</v>
      </c>
      <c r="Q8369" s="11">
        <v>2.2999999999999998</v>
      </c>
      <c r="R8369" s="11"/>
      <c r="S8369" s="11"/>
      <c r="T8369" s="11"/>
      <c r="U8369" s="11">
        <f t="shared" si="2370"/>
        <v>2.2999999999999998</v>
      </c>
      <c r="W8369">
        <v>2.5</v>
      </c>
      <c r="X8369" s="1" t="s">
        <v>94</v>
      </c>
    </row>
    <row r="8370" spans="1:24" x14ac:dyDescent="0.25">
      <c r="A8370" s="1" t="str">
        <f t="shared" si="2371"/>
        <v>卡卡杜-凤凰仓</v>
      </c>
      <c r="B8370" s="1" t="str">
        <f>"CK2024100916937"</f>
        <v>CK2024100916937</v>
      </c>
      <c r="C8370" s="1" t="str">
        <f>"DD2024100949923"</f>
        <v>DD2024100949923</v>
      </c>
      <c r="D8370" s="1" t="str">
        <f>"CK2024100952189"</f>
        <v>CK2024100952189</v>
      </c>
      <c r="E8370" s="1" t="str">
        <f>"6934828927518185335"</f>
        <v>6934828927518185335</v>
      </c>
      <c r="F8370" s="1" t="str">
        <f t="shared" si="2372"/>
        <v>花都四部-凤凰仓</v>
      </c>
      <c r="G8370" s="1" t="str">
        <f t="shared" si="2376"/>
        <v>卡卡杜个人护理店（抖店）</v>
      </c>
      <c r="H8370" s="1" t="str">
        <f t="shared" si="2373"/>
        <v>正常订单</v>
      </c>
      <c r="I8370" s="1" t="str">
        <f t="shared" si="2374"/>
        <v>已发货</v>
      </c>
      <c r="J8370" s="1" t="str">
        <f t="shared" si="2375"/>
        <v>2</v>
      </c>
      <c r="K8370" s="1">
        <v>1</v>
      </c>
      <c r="L8370" s="1" t="s">
        <v>96</v>
      </c>
      <c r="M8370" s="1" t="str">
        <f>"广西壮族自治区 防城港市 东兴市 江平镇"</f>
        <v>广西壮族自治区 防城港市 东兴市 江平镇</v>
      </c>
      <c r="N8370" s="1" t="str">
        <f t="shared" si="2377"/>
        <v>凡华云仓-韵达-抖音</v>
      </c>
      <c r="O8370" s="5">
        <v>320163496298081</v>
      </c>
      <c r="P8370" s="6">
        <v>0.33</v>
      </c>
      <c r="Q8370" s="11">
        <v>2.2999999999999998</v>
      </c>
      <c r="R8370" s="11"/>
      <c r="S8370" s="11"/>
      <c r="T8370" s="11"/>
      <c r="U8370" s="11">
        <f t="shared" si="2370"/>
        <v>2.2999999999999998</v>
      </c>
      <c r="W8370">
        <v>2.5</v>
      </c>
      <c r="X8370" s="1" t="s">
        <v>96</v>
      </c>
    </row>
    <row r="8371" spans="1:24" x14ac:dyDescent="0.25">
      <c r="A8371" s="1" t="str">
        <f t="shared" si="2371"/>
        <v>卡卡杜-凤凰仓</v>
      </c>
      <c r="B8371" s="1" t="str">
        <f>"CK2024100916936"</f>
        <v>CK2024100916936</v>
      </c>
      <c r="C8371" s="1" t="str">
        <f>"DD2024100949921"</f>
        <v>DD2024100949921</v>
      </c>
      <c r="D8371" s="1" t="str">
        <f>"CK2024100952188"</f>
        <v>CK2024100952188</v>
      </c>
      <c r="E8371" s="1" t="str">
        <f>"6934820170451588519"</f>
        <v>6934820170451588519</v>
      </c>
      <c r="F8371" s="1" t="str">
        <f t="shared" si="2372"/>
        <v>花都四部-凤凰仓</v>
      </c>
      <c r="G8371" s="1" t="str">
        <f t="shared" si="2376"/>
        <v>卡卡杜个人护理店（抖店）</v>
      </c>
      <c r="H8371" s="1" t="str">
        <f t="shared" si="2373"/>
        <v>正常订单</v>
      </c>
      <c r="I8371" s="1" t="str">
        <f t="shared" si="2374"/>
        <v>已发货</v>
      </c>
      <c r="J8371" s="1" t="str">
        <f t="shared" si="2375"/>
        <v>2</v>
      </c>
      <c r="K8371" s="1">
        <v>1</v>
      </c>
      <c r="L8371" s="1" t="s">
        <v>41</v>
      </c>
      <c r="M8371" s="1" t="str">
        <f>"湖北省 荆州市 石首市 绣林街道"</f>
        <v>湖北省 荆州市 石首市 绣林街道</v>
      </c>
      <c r="N8371" s="1" t="str">
        <f t="shared" si="2377"/>
        <v>凡华云仓-韵达-抖音</v>
      </c>
      <c r="O8371" s="5">
        <v>320163496297951</v>
      </c>
      <c r="P8371" s="6">
        <v>0.33</v>
      </c>
      <c r="Q8371" s="11">
        <v>2.2999999999999998</v>
      </c>
      <c r="R8371" s="11"/>
      <c r="S8371" s="11"/>
      <c r="T8371" s="11"/>
      <c r="U8371" s="11">
        <f t="shared" si="2370"/>
        <v>2.2999999999999998</v>
      </c>
      <c r="W8371">
        <v>2.5</v>
      </c>
      <c r="X8371" s="1" t="s">
        <v>41</v>
      </c>
    </row>
    <row r="8372" spans="1:24" x14ac:dyDescent="0.25">
      <c r="A8372" s="1" t="str">
        <f t="shared" si="2371"/>
        <v>卡卡杜-凤凰仓</v>
      </c>
      <c r="B8372" s="1" t="str">
        <f>"CK2024100916935"</f>
        <v>CK2024100916935</v>
      </c>
      <c r="C8372" s="1" t="str">
        <f>"DD2024100949922"</f>
        <v>DD2024100949922</v>
      </c>
      <c r="D8372" s="1" t="str">
        <f>"CK2024100952187"</f>
        <v>CK2024100952187</v>
      </c>
      <c r="E8372" s="1" t="str">
        <f>"3723192880579347968"</f>
        <v>3723192880579347968</v>
      </c>
      <c r="F8372" s="1" t="str">
        <f t="shared" si="2372"/>
        <v>花都四部-凤凰仓</v>
      </c>
      <c r="G8372" s="1" t="str">
        <f>"卡卡杜企业店（视频号）"</f>
        <v>卡卡杜企业店（视频号）</v>
      </c>
      <c r="H8372" s="1" t="str">
        <f t="shared" si="2373"/>
        <v>正常订单</v>
      </c>
      <c r="I8372" s="1" t="str">
        <f t="shared" si="2374"/>
        <v>已发货</v>
      </c>
      <c r="J8372" s="1" t="str">
        <f t="shared" si="2375"/>
        <v>2</v>
      </c>
      <c r="K8372" s="1">
        <v>2</v>
      </c>
      <c r="L8372" s="1" t="s">
        <v>13</v>
      </c>
      <c r="M8372" s="1" t="str">
        <f>"江苏省 扬州市 邗江区 "</f>
        <v xml:space="preserve">江苏省 扬州市 邗江区 </v>
      </c>
      <c r="N8372" s="1" t="str">
        <f>"凡华云仓-韵达-微信视频号"</f>
        <v>凡华云仓-韵达-微信视频号</v>
      </c>
      <c r="O8372" s="5">
        <v>315012429706490</v>
      </c>
      <c r="P8372" s="6">
        <v>0.28000000000000003</v>
      </c>
      <c r="Q8372" s="11">
        <v>2</v>
      </c>
      <c r="R8372" s="11"/>
      <c r="S8372" s="11"/>
      <c r="T8372" s="11"/>
      <c r="U8372" s="11">
        <f t="shared" si="2370"/>
        <v>2</v>
      </c>
      <c r="W8372">
        <v>2.2000000000000002</v>
      </c>
      <c r="X8372" s="1" t="s">
        <v>13</v>
      </c>
    </row>
    <row r="8373" spans="1:24" x14ac:dyDescent="0.25">
      <c r="A8373" s="1" t="str">
        <f t="shared" si="2371"/>
        <v>卡卡杜-凤凰仓</v>
      </c>
      <c r="B8373" s="1" t="str">
        <f>"CK2024100914220"</f>
        <v>CK2024100914220</v>
      </c>
      <c r="C8373" s="1" t="str">
        <f>"DD2024100946639"</f>
        <v>DD2024100946639</v>
      </c>
      <c r="D8373" s="1" t="str">
        <f>"CK2024100946009"</f>
        <v>CK2024100946009</v>
      </c>
      <c r="E8373" s="1" t="str">
        <f>"6934830900399576650"</f>
        <v>6934830900399576650</v>
      </c>
      <c r="F8373" s="1" t="str">
        <f t="shared" si="2372"/>
        <v>花都四部-凤凰仓</v>
      </c>
      <c r="G8373" s="1" t="str">
        <f t="shared" ref="G8373:G8380" si="2378">"卡卡杜个人护理店（抖店）"</f>
        <v>卡卡杜个人护理店（抖店）</v>
      </c>
      <c r="H8373" s="1" t="str">
        <f t="shared" si="2373"/>
        <v>正常订单</v>
      </c>
      <c r="I8373" s="1" t="str">
        <f t="shared" si="2374"/>
        <v>已发货</v>
      </c>
      <c r="J8373" s="1" t="str">
        <f t="shared" si="2375"/>
        <v>2</v>
      </c>
      <c r="K8373" s="1">
        <v>1</v>
      </c>
      <c r="L8373" s="1" t="s">
        <v>22</v>
      </c>
      <c r="M8373" s="1" t="str">
        <f>"江西省 景德镇市 珠山区 周路口街道"</f>
        <v>江西省 景德镇市 珠山区 周路口街道</v>
      </c>
      <c r="N8373" s="1" t="str">
        <f t="shared" ref="N8373:N8380" si="2379">"凡华云仓-韵达-抖音"</f>
        <v>凡华云仓-韵达-抖音</v>
      </c>
      <c r="O8373" s="5">
        <v>320163452707466</v>
      </c>
      <c r="P8373" s="6">
        <v>0.33</v>
      </c>
      <c r="Q8373" s="11">
        <v>2.2999999999999998</v>
      </c>
      <c r="R8373" s="11"/>
      <c r="S8373" s="11"/>
      <c r="T8373" s="11"/>
      <c r="U8373" s="11">
        <f t="shared" si="2370"/>
        <v>2.2999999999999998</v>
      </c>
      <c r="W8373">
        <v>2.5</v>
      </c>
      <c r="X8373" s="1" t="s">
        <v>22</v>
      </c>
    </row>
    <row r="8374" spans="1:24" x14ac:dyDescent="0.25">
      <c r="A8374" s="1" t="str">
        <f t="shared" si="2371"/>
        <v>卡卡杜-凤凰仓</v>
      </c>
      <c r="B8374" s="1" t="str">
        <f>"CK2024100914219"</f>
        <v>CK2024100914219</v>
      </c>
      <c r="C8374" s="1" t="str">
        <f>"DD2024100946637"</f>
        <v>DD2024100946637</v>
      </c>
      <c r="D8374" s="1" t="str">
        <f>"CK2024100946008"</f>
        <v>CK2024100946008</v>
      </c>
      <c r="E8374" s="1" t="str">
        <f>"6934828802018514161"</f>
        <v>6934828802018514161</v>
      </c>
      <c r="F8374" s="1" t="str">
        <f t="shared" si="2372"/>
        <v>花都四部-凤凰仓</v>
      </c>
      <c r="G8374" s="1" t="str">
        <f t="shared" si="2378"/>
        <v>卡卡杜个人护理店（抖店）</v>
      </c>
      <c r="H8374" s="1" t="str">
        <f t="shared" si="2373"/>
        <v>正常订单</v>
      </c>
      <c r="I8374" s="1" t="str">
        <f t="shared" si="2374"/>
        <v>已发货</v>
      </c>
      <c r="J8374" s="1" t="str">
        <f t="shared" si="2375"/>
        <v>2</v>
      </c>
      <c r="K8374" s="1">
        <v>1</v>
      </c>
      <c r="L8374" s="1" t="s">
        <v>41</v>
      </c>
      <c r="M8374" s="1" t="str">
        <f>"湖北省 襄阳市 枣阳市 王城镇"</f>
        <v>湖北省 襄阳市 枣阳市 王城镇</v>
      </c>
      <c r="N8374" s="1" t="str">
        <f t="shared" si="2379"/>
        <v>凡华云仓-韵达-抖音</v>
      </c>
      <c r="O8374" s="5">
        <v>320163452707371</v>
      </c>
      <c r="P8374" s="6">
        <v>0.33</v>
      </c>
      <c r="Q8374" s="11">
        <v>2.2999999999999998</v>
      </c>
      <c r="R8374" s="11"/>
      <c r="S8374" s="11"/>
      <c r="T8374" s="11"/>
      <c r="U8374" s="11">
        <f t="shared" si="2370"/>
        <v>2.2999999999999998</v>
      </c>
      <c r="W8374">
        <v>2.5</v>
      </c>
      <c r="X8374" s="1" t="s">
        <v>41</v>
      </c>
    </row>
    <row r="8375" spans="1:24" x14ac:dyDescent="0.25">
      <c r="A8375" s="1" t="str">
        <f t="shared" si="2371"/>
        <v>卡卡杜-凤凰仓</v>
      </c>
      <c r="B8375" s="1" t="str">
        <f>"CK2024100914217"</f>
        <v>CK2024100914217</v>
      </c>
      <c r="C8375" s="1" t="str">
        <f>"DD2024100946638"</f>
        <v>DD2024100946638</v>
      </c>
      <c r="D8375" s="1" t="str">
        <f>"CK2024100946007"</f>
        <v>CK2024100946007</v>
      </c>
      <c r="E8375" s="1" t="str">
        <f>"6934840131969357027"</f>
        <v>6934840131969357027</v>
      </c>
      <c r="F8375" s="1" t="str">
        <f t="shared" si="2372"/>
        <v>花都四部-凤凰仓</v>
      </c>
      <c r="G8375" s="1" t="str">
        <f t="shared" si="2378"/>
        <v>卡卡杜个人护理店（抖店）</v>
      </c>
      <c r="H8375" s="1" t="str">
        <f t="shared" si="2373"/>
        <v>正常订单</v>
      </c>
      <c r="I8375" s="1" t="str">
        <f t="shared" si="2374"/>
        <v>已发货</v>
      </c>
      <c r="J8375" s="1" t="str">
        <f t="shared" si="2375"/>
        <v>2</v>
      </c>
      <c r="K8375" s="1">
        <v>1</v>
      </c>
      <c r="L8375" s="1" t="s">
        <v>20</v>
      </c>
      <c r="M8375" s="1" t="str">
        <f>"浙江省 金华市 义乌市 苏溪镇"</f>
        <v>浙江省 金华市 义乌市 苏溪镇</v>
      </c>
      <c r="N8375" s="1" t="str">
        <f t="shared" si="2379"/>
        <v>凡华云仓-韵达-抖音</v>
      </c>
      <c r="O8375" s="5">
        <v>320163452707278</v>
      </c>
      <c r="P8375" s="6">
        <v>0.33</v>
      </c>
      <c r="Q8375" s="11">
        <v>2.2999999999999998</v>
      </c>
      <c r="R8375" s="11"/>
      <c r="S8375" s="11"/>
      <c r="T8375" s="11"/>
      <c r="U8375" s="11">
        <f t="shared" si="2370"/>
        <v>2.2999999999999998</v>
      </c>
      <c r="W8375">
        <v>2.5</v>
      </c>
      <c r="X8375" s="1" t="s">
        <v>20</v>
      </c>
    </row>
    <row r="8376" spans="1:24" x14ac:dyDescent="0.25">
      <c r="A8376" s="1" t="str">
        <f t="shared" si="2371"/>
        <v>卡卡杜-凤凰仓</v>
      </c>
      <c r="B8376" s="1" t="str">
        <f>"CK2024100914216"</f>
        <v>CK2024100914216</v>
      </c>
      <c r="C8376" s="1" t="str">
        <f>"DD2024100946632"</f>
        <v>DD2024100946632</v>
      </c>
      <c r="D8376" s="1" t="str">
        <f>"CK2024100946006"</f>
        <v>CK2024100946006</v>
      </c>
      <c r="E8376" s="1" t="str">
        <f>"6934844769292915824"</f>
        <v>6934844769292915824</v>
      </c>
      <c r="F8376" s="1" t="str">
        <f t="shared" si="2372"/>
        <v>花都四部-凤凰仓</v>
      </c>
      <c r="G8376" s="1" t="str">
        <f t="shared" si="2378"/>
        <v>卡卡杜个人护理店（抖店）</v>
      </c>
      <c r="H8376" s="1" t="str">
        <f t="shared" si="2373"/>
        <v>正常订单</v>
      </c>
      <c r="I8376" s="1" t="str">
        <f t="shared" si="2374"/>
        <v>已发货</v>
      </c>
      <c r="J8376" s="1" t="str">
        <f t="shared" si="2375"/>
        <v>2</v>
      </c>
      <c r="K8376" s="1">
        <v>1</v>
      </c>
      <c r="L8376" s="1" t="s">
        <v>94</v>
      </c>
      <c r="M8376" s="1" t="str">
        <f>"湖南省 衡阳市 耒阳市 "</f>
        <v xml:space="preserve">湖南省 衡阳市 耒阳市 </v>
      </c>
      <c r="N8376" s="1" t="str">
        <f t="shared" si="2379"/>
        <v>凡华云仓-韵达-抖音</v>
      </c>
      <c r="O8376" s="5">
        <v>320163441777843</v>
      </c>
      <c r="P8376" s="6">
        <v>0.33</v>
      </c>
      <c r="Q8376" s="11">
        <v>2.2999999999999998</v>
      </c>
      <c r="R8376" s="11"/>
      <c r="S8376" s="11"/>
      <c r="T8376" s="11"/>
      <c r="U8376" s="11">
        <f t="shared" si="2370"/>
        <v>2.2999999999999998</v>
      </c>
      <c r="W8376">
        <v>2.5</v>
      </c>
      <c r="X8376" s="1" t="s">
        <v>94</v>
      </c>
    </row>
    <row r="8377" spans="1:24" x14ac:dyDescent="0.25">
      <c r="A8377" s="1" t="str">
        <f t="shared" si="2371"/>
        <v>卡卡杜-凤凰仓</v>
      </c>
      <c r="B8377" s="1" t="str">
        <f>"CK2024100914215"</f>
        <v>CK2024100914215</v>
      </c>
      <c r="C8377" s="1" t="str">
        <f>"DD2024100946633"</f>
        <v>DD2024100946633</v>
      </c>
      <c r="D8377" s="1" t="str">
        <f>"CK2024100946005"</f>
        <v>CK2024100946005</v>
      </c>
      <c r="E8377" s="1" t="str">
        <f>"6934820100299101351"</f>
        <v>6934820100299101351</v>
      </c>
      <c r="F8377" s="1" t="str">
        <f t="shared" si="2372"/>
        <v>花都四部-凤凰仓</v>
      </c>
      <c r="G8377" s="1" t="str">
        <f t="shared" si="2378"/>
        <v>卡卡杜个人护理店（抖店）</v>
      </c>
      <c r="H8377" s="1" t="str">
        <f t="shared" si="2373"/>
        <v>正常订单</v>
      </c>
      <c r="I8377" s="1" t="str">
        <f t="shared" si="2374"/>
        <v>已发货</v>
      </c>
      <c r="J8377" s="1" t="str">
        <f t="shared" si="2375"/>
        <v>2</v>
      </c>
      <c r="K8377" s="1">
        <v>1</v>
      </c>
      <c r="L8377" s="1" t="s">
        <v>27</v>
      </c>
      <c r="M8377" s="1" t="str">
        <f>"贵州省 贵阳市 观山湖区 "</f>
        <v xml:space="preserve">贵州省 贵阳市 观山湖区 </v>
      </c>
      <c r="N8377" s="1" t="str">
        <f t="shared" si="2379"/>
        <v>凡华云仓-韵达-抖音</v>
      </c>
      <c r="O8377" s="5">
        <v>320163441777740</v>
      </c>
      <c r="P8377" s="6">
        <v>0.33</v>
      </c>
      <c r="Q8377" s="11">
        <v>2.2999999999999998</v>
      </c>
      <c r="R8377" s="11"/>
      <c r="S8377" s="11"/>
      <c r="T8377" s="11"/>
      <c r="U8377" s="11">
        <f t="shared" si="2370"/>
        <v>2.2999999999999998</v>
      </c>
      <c r="W8377">
        <v>2.5</v>
      </c>
      <c r="X8377" s="1" t="s">
        <v>27</v>
      </c>
    </row>
    <row r="8378" spans="1:24" x14ac:dyDescent="0.25">
      <c r="A8378" s="1" t="str">
        <f t="shared" si="2371"/>
        <v>卡卡杜-凤凰仓</v>
      </c>
      <c r="B8378" s="1" t="str">
        <f>"CK2024100914213"</f>
        <v>CK2024100914213</v>
      </c>
      <c r="C8378" s="1" t="str">
        <f>"DD2024100946636"</f>
        <v>DD2024100946636</v>
      </c>
      <c r="D8378" s="1" t="str">
        <f>"CK2024100946004"</f>
        <v>CK2024100946004</v>
      </c>
      <c r="E8378" s="1" t="str">
        <f>"6934844812032284522"</f>
        <v>6934844812032284522</v>
      </c>
      <c r="F8378" s="1" t="str">
        <f t="shared" si="2372"/>
        <v>花都四部-凤凰仓</v>
      </c>
      <c r="G8378" s="1" t="str">
        <f t="shared" si="2378"/>
        <v>卡卡杜个人护理店（抖店）</v>
      </c>
      <c r="H8378" s="1" t="str">
        <f t="shared" si="2373"/>
        <v>正常订单</v>
      </c>
      <c r="I8378" s="1" t="str">
        <f t="shared" si="2374"/>
        <v>已发货</v>
      </c>
      <c r="J8378" s="1" t="str">
        <f t="shared" si="2375"/>
        <v>2</v>
      </c>
      <c r="K8378" s="1">
        <v>1</v>
      </c>
      <c r="L8378" s="1" t="s">
        <v>24</v>
      </c>
      <c r="M8378" s="1" t="str">
        <f>"福建省 泉州市 石狮市 "</f>
        <v xml:space="preserve">福建省 泉州市 石狮市 </v>
      </c>
      <c r="N8378" s="1" t="str">
        <f t="shared" si="2379"/>
        <v>凡华云仓-韵达-抖音</v>
      </c>
      <c r="O8378" s="5">
        <v>320163441777639</v>
      </c>
      <c r="P8378" s="6">
        <v>0.33</v>
      </c>
      <c r="Q8378" s="11">
        <v>2.2999999999999998</v>
      </c>
      <c r="R8378" s="11"/>
      <c r="S8378" s="11"/>
      <c r="T8378" s="11"/>
      <c r="U8378" s="11">
        <f t="shared" si="2370"/>
        <v>2.2999999999999998</v>
      </c>
      <c r="W8378">
        <v>2.5</v>
      </c>
      <c r="X8378" s="1" t="s">
        <v>24</v>
      </c>
    </row>
    <row r="8379" spans="1:24" x14ac:dyDescent="0.25">
      <c r="A8379" s="1" t="str">
        <f t="shared" si="2371"/>
        <v>卡卡杜-凤凰仓</v>
      </c>
      <c r="B8379" s="1" t="str">
        <f>"CK2024100914212"</f>
        <v>CK2024100914212</v>
      </c>
      <c r="C8379" s="1" t="str">
        <f>"DD2024100946635"</f>
        <v>DD2024100946635</v>
      </c>
      <c r="D8379" s="1" t="str">
        <f>"CK2024100946003"</f>
        <v>CK2024100946003</v>
      </c>
      <c r="E8379" s="1" t="str">
        <f>"6934842601518143298"</f>
        <v>6934842601518143298</v>
      </c>
      <c r="F8379" s="1" t="str">
        <f t="shared" si="2372"/>
        <v>花都四部-凤凰仓</v>
      </c>
      <c r="G8379" s="1" t="str">
        <f t="shared" si="2378"/>
        <v>卡卡杜个人护理店（抖店）</v>
      </c>
      <c r="H8379" s="1" t="str">
        <f t="shared" si="2373"/>
        <v>正常订单</v>
      </c>
      <c r="I8379" s="1" t="str">
        <f t="shared" si="2374"/>
        <v>已发货</v>
      </c>
      <c r="J8379" s="1" t="str">
        <f t="shared" si="2375"/>
        <v>2</v>
      </c>
      <c r="K8379" s="1">
        <v>1</v>
      </c>
      <c r="L8379" s="1" t="s">
        <v>41</v>
      </c>
      <c r="M8379" s="1" t="str">
        <f>"湖北省 十堰市 茅箭区 二堰街道"</f>
        <v>湖北省 十堰市 茅箭区 二堰街道</v>
      </c>
      <c r="N8379" s="1" t="str">
        <f t="shared" si="2379"/>
        <v>凡华云仓-韵达-抖音</v>
      </c>
      <c r="O8379" s="5">
        <v>320163441777540</v>
      </c>
      <c r="P8379" s="6">
        <v>0.33</v>
      </c>
      <c r="Q8379" s="11">
        <v>2.2999999999999998</v>
      </c>
      <c r="R8379" s="11"/>
      <c r="S8379" s="11"/>
      <c r="T8379" s="11"/>
      <c r="U8379" s="11">
        <f t="shared" si="2370"/>
        <v>2.2999999999999998</v>
      </c>
      <c r="W8379">
        <v>2.5</v>
      </c>
      <c r="X8379" s="1" t="s">
        <v>41</v>
      </c>
    </row>
    <row r="8380" spans="1:24" x14ac:dyDescent="0.25">
      <c r="A8380" s="1" t="str">
        <f t="shared" si="2371"/>
        <v>卡卡杜-凤凰仓</v>
      </c>
      <c r="B8380" s="1" t="str">
        <f>"CK2024100914218"</f>
        <v>CK2024100914218</v>
      </c>
      <c r="C8380" s="1" t="str">
        <f>"DD2024100946640"</f>
        <v>DD2024100946640</v>
      </c>
      <c r="D8380" s="1" t="str">
        <f>"CK2024100946002"</f>
        <v>CK2024100946002</v>
      </c>
      <c r="E8380" s="1" t="str">
        <f>"6934826497837176213"</f>
        <v>6934826497837176213</v>
      </c>
      <c r="F8380" s="1" t="str">
        <f t="shared" si="2372"/>
        <v>花都四部-凤凰仓</v>
      </c>
      <c r="G8380" s="1" t="str">
        <f t="shared" si="2378"/>
        <v>卡卡杜个人护理店（抖店）</v>
      </c>
      <c r="H8380" s="1" t="str">
        <f t="shared" si="2373"/>
        <v>正常订单</v>
      </c>
      <c r="I8380" s="1" t="str">
        <f t="shared" si="2374"/>
        <v>已发货</v>
      </c>
      <c r="J8380" s="1" t="str">
        <f t="shared" si="2375"/>
        <v>2</v>
      </c>
      <c r="K8380" s="1">
        <v>1</v>
      </c>
      <c r="L8380" s="1" t="s">
        <v>20</v>
      </c>
      <c r="M8380" s="1" t="str">
        <f>"浙江省 杭州市 临平区 临平街道"</f>
        <v>浙江省 杭州市 临平区 临平街道</v>
      </c>
      <c r="N8380" s="1" t="str">
        <f t="shared" si="2379"/>
        <v>凡华云仓-韵达-抖音</v>
      </c>
      <c r="O8380" s="5">
        <v>320163441777443</v>
      </c>
      <c r="P8380" s="6">
        <v>0.33</v>
      </c>
      <c r="Q8380" s="11">
        <v>2.2999999999999998</v>
      </c>
      <c r="R8380" s="11"/>
      <c r="S8380" s="11"/>
      <c r="T8380" s="11"/>
      <c r="U8380" s="11">
        <f t="shared" si="2370"/>
        <v>2.2999999999999998</v>
      </c>
      <c r="W8380">
        <v>2.5</v>
      </c>
      <c r="X8380" s="1" t="s">
        <v>20</v>
      </c>
    </row>
    <row r="8381" spans="1:24" x14ac:dyDescent="0.25">
      <c r="A8381" s="1" t="str">
        <f t="shared" si="2371"/>
        <v>卡卡杜-凤凰仓</v>
      </c>
      <c r="B8381" s="1" t="str">
        <f>"CK2024100914211"</f>
        <v>CK2024100914211</v>
      </c>
      <c r="C8381" s="1" t="str">
        <f>"DD2024100946634"</f>
        <v>DD2024100946634</v>
      </c>
      <c r="D8381" s="1" t="str">
        <f>"CK2024100945968"</f>
        <v>CK2024100945968</v>
      </c>
      <c r="E8381" s="1" t="str">
        <f>"KKD2024109YP001-1"</f>
        <v>KKD2024109YP001-1</v>
      </c>
      <c r="F8381" s="1" t="str">
        <f t="shared" si="2372"/>
        <v>花都四部-凤凰仓</v>
      </c>
      <c r="G8381" s="1" t="str">
        <f t="shared" ref="G8381:G8387" si="2380">"卡卡杜全欣样品"</f>
        <v>卡卡杜全欣样品</v>
      </c>
      <c r="H8381" s="1" t="str">
        <f t="shared" si="2373"/>
        <v>正常订单</v>
      </c>
      <c r="I8381" s="1" t="str">
        <f t="shared" si="2374"/>
        <v>已发货</v>
      </c>
      <c r="J8381" s="1" t="str">
        <f>"5"</f>
        <v>5</v>
      </c>
      <c r="K8381" s="1">
        <v>4</v>
      </c>
      <c r="L8381" s="1" t="s">
        <v>20</v>
      </c>
      <c r="M8381" s="1" t="str">
        <f>"浙江省 杭州市 临平区 "</f>
        <v xml:space="preserve">浙江省 杭州市 临平区 </v>
      </c>
      <c r="N8381" s="1" t="str">
        <f t="shared" ref="N8381:N8388" si="2381">"凡华云仓-韵达-淘宝"</f>
        <v>凡华云仓-韵达-淘宝</v>
      </c>
      <c r="O8381" s="3">
        <v>434179004389264</v>
      </c>
      <c r="P8381" s="6">
        <v>0.62</v>
      </c>
      <c r="Q8381" s="11">
        <f t="shared" ref="Q8381:Q8387" si="2382">CEILING(P8381-0.5,0.1)*10*0.15+2.3</f>
        <v>2.5999999999999996</v>
      </c>
      <c r="R8381" s="11"/>
      <c r="S8381" s="11">
        <v>0.15</v>
      </c>
      <c r="T8381" s="11"/>
      <c r="U8381" s="11">
        <f t="shared" si="2370"/>
        <v>2.7499999999999996</v>
      </c>
      <c r="V8381" t="s">
        <v>15</v>
      </c>
      <c r="W8381">
        <v>2.75</v>
      </c>
      <c r="X8381" s="1" t="s">
        <v>20</v>
      </c>
    </row>
    <row r="8382" spans="1:24" x14ac:dyDescent="0.25">
      <c r="A8382" s="1" t="str">
        <f t="shared" si="2371"/>
        <v>卡卡杜-凤凰仓</v>
      </c>
      <c r="B8382" s="1" t="str">
        <f>"CK2024100914193"</f>
        <v>CK2024100914193</v>
      </c>
      <c r="C8382" s="1" t="str">
        <f>"DD2024100944910"</f>
        <v>DD2024100944910</v>
      </c>
      <c r="D8382" s="1" t="str">
        <f>"CK2024100944679"</f>
        <v>CK2024100944679</v>
      </c>
      <c r="E8382" s="1" t="str">
        <f>"KKD2024109YP007"</f>
        <v>KKD2024109YP007</v>
      </c>
      <c r="F8382" s="1" t="str">
        <f t="shared" si="2372"/>
        <v>花都四部-凤凰仓</v>
      </c>
      <c r="G8382" s="1" t="str">
        <f t="shared" si="2380"/>
        <v>卡卡杜全欣样品</v>
      </c>
      <c r="H8382" s="1" t="str">
        <f t="shared" si="2373"/>
        <v>正常订单</v>
      </c>
      <c r="I8382" s="1" t="str">
        <f t="shared" si="2374"/>
        <v>已发货</v>
      </c>
      <c r="J8382" s="1" t="str">
        <f t="shared" ref="J8382:J8384" si="2383">"15"</f>
        <v>15</v>
      </c>
      <c r="K8382" s="1">
        <v>10</v>
      </c>
      <c r="L8382" s="1" t="s">
        <v>105</v>
      </c>
      <c r="M8382" s="1" t="str">
        <f>"北京 北京市 昌平区 "</f>
        <v xml:space="preserve">北京 北京市 昌平区 </v>
      </c>
      <c r="N8382" s="1" t="str">
        <f t="shared" si="2381"/>
        <v>凡华云仓-韵达-淘宝</v>
      </c>
      <c r="O8382" s="3">
        <v>434178872360629</v>
      </c>
      <c r="P8382" s="6">
        <v>1.62</v>
      </c>
      <c r="Q8382" s="11">
        <f t="shared" si="2382"/>
        <v>4.0999999999999996</v>
      </c>
      <c r="R8382" s="11">
        <f t="shared" ref="R8382:R8386" si="2384">(K8382-3)*0.1</f>
        <v>0.70000000000000007</v>
      </c>
      <c r="S8382" s="11">
        <v>0.15</v>
      </c>
      <c r="T8382" s="11"/>
      <c r="U8382" s="11">
        <f t="shared" si="2370"/>
        <v>4.9499999999999993</v>
      </c>
      <c r="V8382" t="s">
        <v>15</v>
      </c>
      <c r="W8382">
        <v>4.95</v>
      </c>
      <c r="X8382" s="1" t="s">
        <v>105</v>
      </c>
    </row>
    <row r="8383" spans="1:24" x14ac:dyDescent="0.25">
      <c r="A8383" s="1" t="str">
        <f t="shared" si="2371"/>
        <v>卡卡杜-凤凰仓</v>
      </c>
      <c r="B8383" s="1" t="str">
        <f>"CK2024100914194"</f>
        <v>CK2024100914194</v>
      </c>
      <c r="C8383" s="1" t="str">
        <f>"DD2024100944911"</f>
        <v>DD2024100944911</v>
      </c>
      <c r="D8383" s="1" t="str">
        <f>"CK2024100944678"</f>
        <v>CK2024100944678</v>
      </c>
      <c r="E8383" s="1" t="str">
        <f>"KKD2024109YP003"</f>
        <v>KKD2024109YP003</v>
      </c>
      <c r="F8383" s="1" t="str">
        <f t="shared" si="2372"/>
        <v>花都四部-凤凰仓</v>
      </c>
      <c r="G8383" s="1" t="str">
        <f t="shared" si="2380"/>
        <v>卡卡杜全欣样品</v>
      </c>
      <c r="H8383" s="1" t="str">
        <f t="shared" si="2373"/>
        <v>正常订单</v>
      </c>
      <c r="I8383" s="1" t="str">
        <f t="shared" si="2374"/>
        <v>已发货</v>
      </c>
      <c r="J8383" s="1" t="str">
        <f t="shared" si="2383"/>
        <v>15</v>
      </c>
      <c r="K8383" s="1">
        <v>10</v>
      </c>
      <c r="L8383" s="1" t="s">
        <v>74</v>
      </c>
      <c r="M8383" s="1" t="str">
        <f>"上海 上海市 浦东新区 "</f>
        <v xml:space="preserve">上海 上海市 浦东新区 </v>
      </c>
      <c r="N8383" s="1" t="str">
        <f t="shared" si="2381"/>
        <v>凡华云仓-韵达-淘宝</v>
      </c>
      <c r="O8383" s="3">
        <v>434178872360541</v>
      </c>
      <c r="P8383" s="6">
        <v>1.62</v>
      </c>
      <c r="Q8383" s="11">
        <f t="shared" si="2382"/>
        <v>4.0999999999999996</v>
      </c>
      <c r="R8383" s="11">
        <f t="shared" si="2384"/>
        <v>0.70000000000000007</v>
      </c>
      <c r="S8383" s="11">
        <v>0.15</v>
      </c>
      <c r="T8383" s="11"/>
      <c r="U8383" s="11">
        <f t="shared" si="2370"/>
        <v>4.9499999999999993</v>
      </c>
      <c r="V8383" t="s">
        <v>15</v>
      </c>
      <c r="W8383">
        <v>4.95</v>
      </c>
      <c r="X8383" s="1" t="s">
        <v>74</v>
      </c>
    </row>
    <row r="8384" spans="1:24" x14ac:dyDescent="0.25">
      <c r="A8384" s="1" t="str">
        <f t="shared" si="2371"/>
        <v>卡卡杜-凤凰仓</v>
      </c>
      <c r="B8384" s="1" t="str">
        <f>"CK2024100914195"</f>
        <v>CK2024100914195</v>
      </c>
      <c r="C8384" s="1" t="str">
        <f>"DD2024100944912"</f>
        <v>DD2024100944912</v>
      </c>
      <c r="D8384" s="1" t="str">
        <f>"CK2024100944677"</f>
        <v>CK2024100944677</v>
      </c>
      <c r="E8384" s="1" t="str">
        <f>"KKD2024109YP006"</f>
        <v>KKD2024109YP006</v>
      </c>
      <c r="F8384" s="1" t="str">
        <f t="shared" si="2372"/>
        <v>花都四部-凤凰仓</v>
      </c>
      <c r="G8384" s="1" t="str">
        <f t="shared" si="2380"/>
        <v>卡卡杜全欣样品</v>
      </c>
      <c r="H8384" s="1" t="str">
        <f t="shared" si="2373"/>
        <v>正常订单</v>
      </c>
      <c r="I8384" s="1" t="str">
        <f t="shared" si="2374"/>
        <v>已发货</v>
      </c>
      <c r="J8384" s="1" t="str">
        <f t="shared" si="2383"/>
        <v>15</v>
      </c>
      <c r="K8384" s="1">
        <v>10</v>
      </c>
      <c r="L8384" s="1" t="s">
        <v>20</v>
      </c>
      <c r="M8384" s="1" t="str">
        <f>"浙江省 金华市 义乌市 "</f>
        <v xml:space="preserve">浙江省 金华市 义乌市 </v>
      </c>
      <c r="N8384" s="1" t="str">
        <f t="shared" si="2381"/>
        <v>凡华云仓-韵达-淘宝</v>
      </c>
      <c r="O8384" s="3">
        <v>434178872360453</v>
      </c>
      <c r="P8384" s="6">
        <v>1.62</v>
      </c>
      <c r="Q8384" s="11">
        <f t="shared" si="2382"/>
        <v>4.0999999999999996</v>
      </c>
      <c r="R8384" s="11">
        <f t="shared" si="2384"/>
        <v>0.70000000000000007</v>
      </c>
      <c r="S8384" s="11">
        <v>0.15</v>
      </c>
      <c r="T8384" s="11"/>
      <c r="U8384" s="11">
        <f t="shared" si="2370"/>
        <v>4.9499999999999993</v>
      </c>
      <c r="V8384" t="s">
        <v>15</v>
      </c>
      <c r="W8384">
        <v>4.95</v>
      </c>
      <c r="X8384" s="1" t="s">
        <v>20</v>
      </c>
    </row>
    <row r="8385" spans="1:24" x14ac:dyDescent="0.25">
      <c r="A8385" s="1" t="str">
        <f t="shared" si="2371"/>
        <v>卡卡杜-凤凰仓</v>
      </c>
      <c r="B8385" s="1" t="str">
        <f>"CK2024101019087"</f>
        <v>CK2024101019087</v>
      </c>
      <c r="C8385" s="1" t="str">
        <f>"DD2024101037415"</f>
        <v>DD2024101037415</v>
      </c>
      <c r="D8385" s="1" t="str">
        <f>"CK2024101037627"</f>
        <v>CK2024101037627</v>
      </c>
      <c r="E8385" s="1" t="str">
        <f>"KKD20241010YP014"</f>
        <v>KKD20241010YP014</v>
      </c>
      <c r="F8385" s="1" t="str">
        <f t="shared" si="2372"/>
        <v>花都四部-凤凰仓</v>
      </c>
      <c r="G8385" s="1" t="str">
        <f t="shared" si="2380"/>
        <v>卡卡杜全欣样品</v>
      </c>
      <c r="H8385" s="1" t="str">
        <f t="shared" si="2373"/>
        <v>正常订单</v>
      </c>
      <c r="I8385" s="1" t="str">
        <f t="shared" si="2374"/>
        <v>已发货</v>
      </c>
      <c r="J8385" s="1" t="str">
        <f>"7"</f>
        <v>7</v>
      </c>
      <c r="K8385" s="1">
        <v>5</v>
      </c>
      <c r="L8385" s="1" t="s">
        <v>109</v>
      </c>
      <c r="M8385" s="1" t="str">
        <f>"山西省 太原市 小店区 "</f>
        <v xml:space="preserve">山西省 太原市 小店区 </v>
      </c>
      <c r="N8385" s="1" t="str">
        <f t="shared" si="2381"/>
        <v>凡华云仓-韵达-淘宝</v>
      </c>
      <c r="O8385" s="3">
        <v>434181057037262</v>
      </c>
      <c r="P8385" s="6">
        <v>0.86</v>
      </c>
      <c r="Q8385" s="11">
        <f t="shared" si="2382"/>
        <v>2.9</v>
      </c>
      <c r="R8385" s="11">
        <f t="shared" si="2384"/>
        <v>0.2</v>
      </c>
      <c r="S8385" s="11">
        <v>0.15</v>
      </c>
      <c r="T8385" s="11"/>
      <c r="U8385" s="11">
        <f t="shared" si="2370"/>
        <v>3.25</v>
      </c>
      <c r="V8385" t="s">
        <v>15</v>
      </c>
      <c r="W8385">
        <v>3.25</v>
      </c>
      <c r="X8385" s="1" t="s">
        <v>109</v>
      </c>
    </row>
    <row r="8386" spans="1:24" x14ac:dyDescent="0.25">
      <c r="A8386" s="1" t="str">
        <f t="shared" si="2371"/>
        <v>卡卡杜-凤凰仓</v>
      </c>
      <c r="B8386" s="1" t="str">
        <f>"CK2024100914197"</f>
        <v>CK2024100914197</v>
      </c>
      <c r="C8386" s="1" t="str">
        <f>"DD2024100944915"</f>
        <v>DD2024100944915</v>
      </c>
      <c r="D8386" s="1" t="str">
        <f>"CK2024100944675"</f>
        <v>CK2024100944675</v>
      </c>
      <c r="E8386" s="1" t="str">
        <f>"KKD2024109YP005"</f>
        <v>KKD2024109YP005</v>
      </c>
      <c r="F8386" s="1" t="str">
        <f t="shared" si="2372"/>
        <v>花都四部-凤凰仓</v>
      </c>
      <c r="G8386" s="1" t="str">
        <f t="shared" si="2380"/>
        <v>卡卡杜全欣样品</v>
      </c>
      <c r="H8386" s="1" t="str">
        <f t="shared" si="2373"/>
        <v>正常订单</v>
      </c>
      <c r="I8386" s="1" t="str">
        <f t="shared" si="2374"/>
        <v>已发货</v>
      </c>
      <c r="J8386" s="1" t="str">
        <f>"10"</f>
        <v>10</v>
      </c>
      <c r="K8386" s="1">
        <v>7</v>
      </c>
      <c r="L8386" s="1" t="s">
        <v>20</v>
      </c>
      <c r="M8386" s="1" t="str">
        <f>"浙江省 宁波市 镇海区 "</f>
        <v xml:space="preserve">浙江省 宁波市 镇海区 </v>
      </c>
      <c r="N8386" s="1" t="str">
        <f t="shared" si="2381"/>
        <v>凡华云仓-韵达-淘宝</v>
      </c>
      <c r="O8386" s="3">
        <v>434178872360277</v>
      </c>
      <c r="P8386" s="6">
        <v>1.0900000000000001</v>
      </c>
      <c r="Q8386" s="11">
        <f t="shared" si="2382"/>
        <v>3.2</v>
      </c>
      <c r="R8386" s="11">
        <f t="shared" si="2384"/>
        <v>0.4</v>
      </c>
      <c r="S8386" s="11">
        <v>0.15</v>
      </c>
      <c r="T8386" s="11"/>
      <c r="U8386" s="11">
        <f t="shared" si="2370"/>
        <v>3.75</v>
      </c>
      <c r="V8386" t="s">
        <v>15</v>
      </c>
      <c r="W8386">
        <v>3.75</v>
      </c>
      <c r="X8386" s="1" t="s">
        <v>20</v>
      </c>
    </row>
    <row r="8387" spans="1:24" x14ac:dyDescent="0.25">
      <c r="A8387" s="1" t="str">
        <f t="shared" si="2371"/>
        <v>卡卡杜-凤凰仓</v>
      </c>
      <c r="B8387" s="1" t="str">
        <f>"CK2024100914198"</f>
        <v>CK2024100914198</v>
      </c>
      <c r="C8387" s="1" t="str">
        <f>"DD2024100944916"</f>
        <v>DD2024100944916</v>
      </c>
      <c r="D8387" s="1" t="str">
        <f>"CK2024100944674"</f>
        <v>CK2024100944674</v>
      </c>
      <c r="E8387" s="1" t="str">
        <f>"KKD2024109YP002"</f>
        <v>KKD2024109YP002</v>
      </c>
      <c r="F8387" s="1" t="str">
        <f t="shared" si="2372"/>
        <v>花都四部-凤凰仓</v>
      </c>
      <c r="G8387" s="1" t="str">
        <f t="shared" si="2380"/>
        <v>卡卡杜全欣样品</v>
      </c>
      <c r="H8387" s="1" t="str">
        <f t="shared" si="2373"/>
        <v>正常订单</v>
      </c>
      <c r="I8387" s="1" t="str">
        <f t="shared" si="2374"/>
        <v>已发货</v>
      </c>
      <c r="J8387" s="1" t="str">
        <f>"5"</f>
        <v>5</v>
      </c>
      <c r="K8387" s="1">
        <v>4</v>
      </c>
      <c r="L8387" s="1" t="s">
        <v>54</v>
      </c>
      <c r="M8387" s="1" t="str">
        <f>"黑龙江省 哈尔滨市 香坊区 "</f>
        <v xml:space="preserve">黑龙江省 哈尔滨市 香坊区 </v>
      </c>
      <c r="N8387" s="1" t="str">
        <f t="shared" si="2381"/>
        <v>凡华云仓-韵达-淘宝</v>
      </c>
      <c r="O8387" s="3">
        <v>434178872360189</v>
      </c>
      <c r="P8387" s="6">
        <v>0.62</v>
      </c>
      <c r="Q8387" s="11">
        <f t="shared" si="2382"/>
        <v>2.5999999999999996</v>
      </c>
      <c r="R8387" s="11"/>
      <c r="S8387" s="11">
        <v>0.15</v>
      </c>
      <c r="T8387" s="11"/>
      <c r="U8387" s="11">
        <f t="shared" ref="U8387:U8450" si="2385">T8387+S8387+R8387+Q8387</f>
        <v>2.7499999999999996</v>
      </c>
      <c r="V8387" t="s">
        <v>15</v>
      </c>
      <c r="W8387">
        <v>2.75</v>
      </c>
      <c r="X8387" s="1" t="s">
        <v>54</v>
      </c>
    </row>
    <row r="8388" spans="1:24" x14ac:dyDescent="0.25">
      <c r="A8388" s="1" t="str">
        <f t="shared" si="2371"/>
        <v>卡卡杜-凤凰仓</v>
      </c>
      <c r="B8388" s="1" t="str">
        <f>"CK2024100914076"</f>
        <v>CK2024100914076</v>
      </c>
      <c r="C8388" s="1" t="str">
        <f>"DD2024100944813"</f>
        <v>DD2024100944813</v>
      </c>
      <c r="D8388" s="1" t="str">
        <f>"CK2024100944673"</f>
        <v>CK2024100944673</v>
      </c>
      <c r="E8388" s="1" t="str">
        <f>"KKD2024109YP001"</f>
        <v>KKD2024109YP001</v>
      </c>
      <c r="F8388" s="1" t="str">
        <f t="shared" si="2372"/>
        <v>花都四部-凤凰仓</v>
      </c>
      <c r="G8388" s="1" t="str">
        <f>"卡卡杜线下"</f>
        <v>卡卡杜线下</v>
      </c>
      <c r="H8388" s="1" t="str">
        <f t="shared" si="2373"/>
        <v>正常订单</v>
      </c>
      <c r="I8388" s="1" t="str">
        <f t="shared" si="2374"/>
        <v>已发货</v>
      </c>
      <c r="J8388" s="1" t="str">
        <f>"40"</f>
        <v>40</v>
      </c>
      <c r="K8388" s="1">
        <v>4</v>
      </c>
      <c r="L8388" s="1" t="s">
        <v>18</v>
      </c>
      <c r="M8388" s="1" t="str">
        <f>"广东省 广州市 白云区 "</f>
        <v xml:space="preserve">广东省 广州市 白云区 </v>
      </c>
      <c r="N8388" s="1" t="str">
        <f t="shared" si="2381"/>
        <v>凡华云仓-韵达-淘宝</v>
      </c>
      <c r="O8388" s="5">
        <v>434178872360001</v>
      </c>
      <c r="P8388" s="6">
        <v>4.12</v>
      </c>
      <c r="Q8388" s="11">
        <f>ROUNDUP(P8388,0)*VLOOKUP(L:L,'[1]3KG报价'!A:C,3,0)+VLOOKUP(L:L,'[1]3KG报价'!A:B,2,0)+0.8</f>
        <v>8.8000000000000007</v>
      </c>
      <c r="R8388" s="11"/>
      <c r="S8388" s="11"/>
      <c r="T8388" s="11"/>
      <c r="U8388" s="11">
        <f t="shared" si="2385"/>
        <v>8.8000000000000007</v>
      </c>
      <c r="V8388" t="s">
        <v>1212</v>
      </c>
      <c r="W8388">
        <v>8.8000000000000007</v>
      </c>
      <c r="X8388" s="1" t="s">
        <v>18</v>
      </c>
    </row>
    <row r="8389" spans="1:24" x14ac:dyDescent="0.25">
      <c r="A8389" s="1" t="str">
        <f t="shared" ref="A8389:A8452" si="2386">"卡卡杜-凤凰仓"</f>
        <v>卡卡杜-凤凰仓</v>
      </c>
      <c r="B8389" s="1" t="str">
        <f>"CK2024100914187"</f>
        <v>CK2024100914187</v>
      </c>
      <c r="C8389" s="1" t="str">
        <f>"DD2024100944904"</f>
        <v>DD2024100944904</v>
      </c>
      <c r="D8389" s="1" t="str">
        <f>"CK2024100944672"</f>
        <v>CK2024100944672</v>
      </c>
      <c r="E8389" s="1" t="str">
        <f>"2428301944650518"</f>
        <v>2428301944650518</v>
      </c>
      <c r="F8389" s="1" t="str">
        <f t="shared" ref="F8389:F8452" si="2387">"花都四部-凤凰仓"</f>
        <v>花都四部-凤凰仓</v>
      </c>
      <c r="G8389" s="1" t="str">
        <f t="shared" ref="G8389:G8395" si="2388">"卡卡杜佳旺专卖店（快手店）"</f>
        <v>卡卡杜佳旺专卖店（快手店）</v>
      </c>
      <c r="H8389" s="1" t="str">
        <f t="shared" ref="H8389:H8452" si="2389">"正常订单"</f>
        <v>正常订单</v>
      </c>
      <c r="I8389" s="1" t="str">
        <f t="shared" ref="I8389:I8452" si="2390">"已发货"</f>
        <v>已发货</v>
      </c>
      <c r="J8389" s="1" t="str">
        <f t="shared" ref="J8389:J8393" si="2391">"1"</f>
        <v>1</v>
      </c>
      <c r="K8389" s="1">
        <v>1</v>
      </c>
      <c r="L8389" s="1" t="s">
        <v>187</v>
      </c>
      <c r="M8389" s="1" t="str">
        <f>"吉林省 长春市 公主岭市 怀德镇"</f>
        <v>吉林省 长春市 公主岭市 怀德镇</v>
      </c>
      <c r="N8389" s="1" t="str">
        <f t="shared" ref="N8389:N8395" si="2392">"凡华云仓-韵达-快手"</f>
        <v>凡华云仓-韵达-快手</v>
      </c>
      <c r="O8389" s="5">
        <v>319205746576512</v>
      </c>
      <c r="P8389" s="6">
        <v>0.12</v>
      </c>
      <c r="Q8389" s="11">
        <v>2</v>
      </c>
      <c r="R8389" s="11"/>
      <c r="S8389" s="11"/>
      <c r="T8389" s="11"/>
      <c r="U8389" s="11">
        <f t="shared" si="2385"/>
        <v>2</v>
      </c>
      <c r="W8389">
        <v>2.2000000000000002</v>
      </c>
      <c r="X8389" s="1" t="s">
        <v>187</v>
      </c>
    </row>
    <row r="8390" spans="1:24" x14ac:dyDescent="0.25">
      <c r="A8390" s="1" t="str">
        <f t="shared" si="2386"/>
        <v>卡卡杜-凤凰仓</v>
      </c>
      <c r="B8390" s="1" t="str">
        <f>"CK2024100914188"</f>
        <v>CK2024100914188</v>
      </c>
      <c r="C8390" s="1" t="str">
        <f>"DD2024100944907"</f>
        <v>DD2024100944907</v>
      </c>
      <c r="D8390" s="1" t="str">
        <f>"CK2024100944671"</f>
        <v>CK2024100944671</v>
      </c>
      <c r="E8390" s="1" t="str">
        <f>"2428301876506406"</f>
        <v>2428301876506406</v>
      </c>
      <c r="F8390" s="1" t="str">
        <f t="shared" si="2387"/>
        <v>花都四部-凤凰仓</v>
      </c>
      <c r="G8390" s="1" t="str">
        <f t="shared" si="2388"/>
        <v>卡卡杜佳旺专卖店（快手店）</v>
      </c>
      <c r="H8390" s="1" t="str">
        <f t="shared" si="2389"/>
        <v>正常订单</v>
      </c>
      <c r="I8390" s="1" t="str">
        <f t="shared" si="2390"/>
        <v>已发货</v>
      </c>
      <c r="J8390" s="1" t="str">
        <f t="shared" si="2391"/>
        <v>1</v>
      </c>
      <c r="K8390" s="1">
        <v>1</v>
      </c>
      <c r="L8390" s="1" t="s">
        <v>54</v>
      </c>
      <c r="M8390" s="1" t="str">
        <f>"黑龙江省 大庆市 杜尔伯特蒙古族自治县 杜尔伯特镇"</f>
        <v>黑龙江省 大庆市 杜尔伯特蒙古族自治县 杜尔伯特镇</v>
      </c>
      <c r="N8390" s="1" t="str">
        <f t="shared" si="2392"/>
        <v>凡华云仓-韵达-快手</v>
      </c>
      <c r="O8390" s="5">
        <v>319205261997468</v>
      </c>
      <c r="P8390" s="6">
        <v>0.12</v>
      </c>
      <c r="Q8390" s="11">
        <v>2</v>
      </c>
      <c r="R8390" s="11"/>
      <c r="S8390" s="11"/>
      <c r="T8390" s="11"/>
      <c r="U8390" s="11">
        <f t="shared" si="2385"/>
        <v>2</v>
      </c>
      <c r="W8390">
        <v>2.2000000000000002</v>
      </c>
      <c r="X8390" s="1" t="s">
        <v>54</v>
      </c>
    </row>
    <row r="8391" spans="1:24" x14ac:dyDescent="0.25">
      <c r="A8391" s="1" t="str">
        <f t="shared" si="2386"/>
        <v>卡卡杜-凤凰仓</v>
      </c>
      <c r="B8391" s="1" t="str">
        <f>"CK2024100914185"</f>
        <v>CK2024100914185</v>
      </c>
      <c r="C8391" s="1" t="str">
        <f>"DD2024100944903"</f>
        <v>DD2024100944903</v>
      </c>
      <c r="D8391" s="1" t="str">
        <f>"CK2024100944670"</f>
        <v>CK2024100944670</v>
      </c>
      <c r="E8391" s="1" t="str">
        <f>"2428302105449935"</f>
        <v>2428302105449935</v>
      </c>
      <c r="F8391" s="1" t="str">
        <f t="shared" si="2387"/>
        <v>花都四部-凤凰仓</v>
      </c>
      <c r="G8391" s="1" t="str">
        <f t="shared" si="2388"/>
        <v>卡卡杜佳旺专卖店（快手店）</v>
      </c>
      <c r="H8391" s="1" t="str">
        <f t="shared" si="2389"/>
        <v>正常订单</v>
      </c>
      <c r="I8391" s="1" t="str">
        <f t="shared" si="2390"/>
        <v>已发货</v>
      </c>
      <c r="J8391" s="1" t="str">
        <f t="shared" si="2391"/>
        <v>1</v>
      </c>
      <c r="K8391" s="1">
        <v>1</v>
      </c>
      <c r="L8391" s="1" t="s">
        <v>187</v>
      </c>
      <c r="M8391" s="1" t="str">
        <f>"吉林省 长春市 公主岭市 岭西街道"</f>
        <v>吉林省 长春市 公主岭市 岭西街道</v>
      </c>
      <c r="N8391" s="1" t="str">
        <f t="shared" si="2392"/>
        <v>凡华云仓-韵达-快手</v>
      </c>
      <c r="O8391" s="5">
        <v>319205645839835</v>
      </c>
      <c r="P8391" s="6">
        <v>0.12</v>
      </c>
      <c r="Q8391" s="11">
        <v>2</v>
      </c>
      <c r="R8391" s="11"/>
      <c r="S8391" s="11"/>
      <c r="T8391" s="11"/>
      <c r="U8391" s="11">
        <f t="shared" si="2385"/>
        <v>2</v>
      </c>
      <c r="W8391">
        <v>2.2000000000000002</v>
      </c>
      <c r="X8391" s="1" t="s">
        <v>187</v>
      </c>
    </row>
    <row r="8392" spans="1:24" x14ac:dyDescent="0.25">
      <c r="A8392" s="1" t="str">
        <f t="shared" si="2386"/>
        <v>卡卡杜-凤凰仓</v>
      </c>
      <c r="B8392" s="1" t="str">
        <f>"CK2024100914180"</f>
        <v>CK2024100914180</v>
      </c>
      <c r="C8392" s="1" t="str">
        <f>"DD2024100944897"</f>
        <v>DD2024100944897</v>
      </c>
      <c r="D8392" s="1" t="str">
        <f>"CK2024100944669"</f>
        <v>CK2024100944669</v>
      </c>
      <c r="E8392" s="1" t="str">
        <f>"2428302101179756"</f>
        <v>2428302101179756</v>
      </c>
      <c r="F8392" s="1" t="str">
        <f t="shared" si="2387"/>
        <v>花都四部-凤凰仓</v>
      </c>
      <c r="G8392" s="1" t="str">
        <f t="shared" si="2388"/>
        <v>卡卡杜佳旺专卖店（快手店）</v>
      </c>
      <c r="H8392" s="1" t="str">
        <f t="shared" si="2389"/>
        <v>正常订单</v>
      </c>
      <c r="I8392" s="1" t="str">
        <f t="shared" si="2390"/>
        <v>已发货</v>
      </c>
      <c r="J8392" s="1" t="str">
        <f t="shared" si="2391"/>
        <v>1</v>
      </c>
      <c r="K8392" s="1">
        <v>1</v>
      </c>
      <c r="L8392" s="1" t="s">
        <v>187</v>
      </c>
      <c r="M8392" s="1" t="str">
        <f>"吉林省 长春市 公主岭市 铁北街道"</f>
        <v>吉林省 长春市 公主岭市 铁北街道</v>
      </c>
      <c r="N8392" s="1" t="str">
        <f t="shared" si="2392"/>
        <v>凡华云仓-韵达-快手</v>
      </c>
      <c r="O8392" s="5">
        <v>319205262860985</v>
      </c>
      <c r="P8392" s="6">
        <v>0.12</v>
      </c>
      <c r="Q8392" s="11">
        <v>2</v>
      </c>
      <c r="R8392" s="11"/>
      <c r="S8392" s="11"/>
      <c r="T8392" s="11"/>
      <c r="U8392" s="11">
        <f t="shared" si="2385"/>
        <v>2</v>
      </c>
      <c r="W8392">
        <v>2.2000000000000002</v>
      </c>
      <c r="X8392" s="1" t="s">
        <v>187</v>
      </c>
    </row>
    <row r="8393" spans="1:24" x14ac:dyDescent="0.25">
      <c r="A8393" s="1" t="str">
        <f t="shared" si="2386"/>
        <v>卡卡杜-凤凰仓</v>
      </c>
      <c r="B8393" s="1" t="str">
        <f>"CK2024100914210"</f>
        <v>CK2024100914210</v>
      </c>
      <c r="C8393" s="1" t="str">
        <f>"DD2024100944928"</f>
        <v>DD2024100944928</v>
      </c>
      <c r="D8393" s="1" t="str">
        <f>"CK2024100944668"</f>
        <v>CK2024100944668</v>
      </c>
      <c r="E8393" s="1" t="str">
        <f>"2428301629625253"</f>
        <v>2428301629625253</v>
      </c>
      <c r="F8393" s="1" t="str">
        <f t="shared" si="2387"/>
        <v>花都四部-凤凰仓</v>
      </c>
      <c r="G8393" s="1" t="str">
        <f t="shared" si="2388"/>
        <v>卡卡杜佳旺专卖店（快手店）</v>
      </c>
      <c r="H8393" s="1" t="str">
        <f t="shared" si="2389"/>
        <v>正常订单</v>
      </c>
      <c r="I8393" s="1" t="str">
        <f t="shared" si="2390"/>
        <v>已发货</v>
      </c>
      <c r="J8393" s="1" t="str">
        <f t="shared" si="2391"/>
        <v>1</v>
      </c>
      <c r="K8393" s="1">
        <v>1</v>
      </c>
      <c r="L8393" s="1" t="s">
        <v>66</v>
      </c>
      <c r="M8393" s="1" t="str">
        <f>"内蒙古自治区 通辽市 霍林郭勒市 宝日呼吉尔街道"</f>
        <v>内蒙古自治区 通辽市 霍林郭勒市 宝日呼吉尔街道</v>
      </c>
      <c r="N8393" s="1" t="str">
        <f t="shared" si="2392"/>
        <v>凡华云仓-韵达-快手</v>
      </c>
      <c r="O8393" s="5">
        <v>319205746361447</v>
      </c>
      <c r="P8393" s="6">
        <v>0.12</v>
      </c>
      <c r="Q8393" s="11">
        <v>2</v>
      </c>
      <c r="R8393" s="11"/>
      <c r="S8393" s="11"/>
      <c r="T8393" s="11"/>
      <c r="U8393" s="11">
        <f t="shared" si="2385"/>
        <v>2</v>
      </c>
      <c r="W8393">
        <v>2.2000000000000002</v>
      </c>
      <c r="X8393" s="1" t="s">
        <v>66</v>
      </c>
    </row>
    <row r="8394" spans="1:24" x14ac:dyDescent="0.25">
      <c r="A8394" s="1" t="str">
        <f t="shared" si="2386"/>
        <v>卡卡杜-凤凰仓</v>
      </c>
      <c r="B8394" s="1" t="str">
        <f>"CK2024100914209"</f>
        <v>CK2024100914209</v>
      </c>
      <c r="C8394" s="1" t="str">
        <f>"DD2024100944927"</f>
        <v>DD2024100944927</v>
      </c>
      <c r="D8394" s="1" t="str">
        <f>"CK2024100944667"</f>
        <v>CK2024100944667</v>
      </c>
      <c r="E8394" s="1" t="str">
        <f>"2428301784857253"</f>
        <v>2428301784857253</v>
      </c>
      <c r="F8394" s="1" t="str">
        <f t="shared" si="2387"/>
        <v>花都四部-凤凰仓</v>
      </c>
      <c r="G8394" s="1" t="str">
        <f t="shared" si="2388"/>
        <v>卡卡杜佳旺专卖店（快手店）</v>
      </c>
      <c r="H8394" s="1" t="str">
        <f t="shared" si="2389"/>
        <v>正常订单</v>
      </c>
      <c r="I8394" s="1" t="str">
        <f t="shared" si="2390"/>
        <v>已发货</v>
      </c>
      <c r="J8394" s="1" t="str">
        <f t="shared" ref="J8394:J8404" si="2393">"2"</f>
        <v>2</v>
      </c>
      <c r="K8394" s="1">
        <v>2</v>
      </c>
      <c r="L8394" s="1" t="s">
        <v>66</v>
      </c>
      <c r="M8394" s="1" t="str">
        <f>"内蒙古自治区 通辽市 霍林郭勒市 宝日呼吉尔街道"</f>
        <v>内蒙古自治区 通辽市 霍林郭勒市 宝日呼吉尔街道</v>
      </c>
      <c r="N8394" s="1" t="str">
        <f t="shared" si="2392"/>
        <v>凡华云仓-韵达-快手</v>
      </c>
      <c r="O8394" s="5">
        <v>319205263342183</v>
      </c>
      <c r="P8394" s="6">
        <v>0.28000000000000003</v>
      </c>
      <c r="Q8394" s="11">
        <v>2</v>
      </c>
      <c r="R8394" s="11"/>
      <c r="S8394" s="11"/>
      <c r="T8394" s="11"/>
      <c r="U8394" s="11">
        <f t="shared" si="2385"/>
        <v>2</v>
      </c>
      <c r="W8394">
        <v>2.2000000000000002</v>
      </c>
      <c r="X8394" s="1" t="s">
        <v>66</v>
      </c>
    </row>
    <row r="8395" spans="1:24" x14ac:dyDescent="0.25">
      <c r="A8395" s="1" t="str">
        <f t="shared" si="2386"/>
        <v>卡卡杜-凤凰仓</v>
      </c>
      <c r="B8395" s="1" t="str">
        <f>"CK2024100914097"</f>
        <v>CK2024100914097</v>
      </c>
      <c r="C8395" s="1" t="str">
        <f>"DD2024100944814"</f>
        <v>DD2024100944814</v>
      </c>
      <c r="D8395" s="1" t="str">
        <f>"CK2024100944666"</f>
        <v>CK2024100944666</v>
      </c>
      <c r="E8395" s="1" t="str">
        <f>"2428301863139541"</f>
        <v>2428301863139541</v>
      </c>
      <c r="F8395" s="1" t="str">
        <f t="shared" si="2387"/>
        <v>花都四部-凤凰仓</v>
      </c>
      <c r="G8395" s="1" t="str">
        <f t="shared" si="2388"/>
        <v>卡卡杜佳旺专卖店（快手店）</v>
      </c>
      <c r="H8395" s="1" t="str">
        <f t="shared" si="2389"/>
        <v>正常订单</v>
      </c>
      <c r="I8395" s="1" t="str">
        <f t="shared" si="2390"/>
        <v>已发货</v>
      </c>
      <c r="J8395" s="1" t="str">
        <f t="shared" si="2393"/>
        <v>2</v>
      </c>
      <c r="K8395" s="1">
        <v>2</v>
      </c>
      <c r="L8395" s="1" t="s">
        <v>187</v>
      </c>
      <c r="M8395" s="1" t="str">
        <f>"吉林省 长春市 公主岭市 环岭街道"</f>
        <v>吉林省 长春市 公主岭市 环岭街道</v>
      </c>
      <c r="N8395" s="1" t="str">
        <f t="shared" si="2392"/>
        <v>凡华云仓-韵达-快手</v>
      </c>
      <c r="O8395" s="5">
        <v>319205263341976</v>
      </c>
      <c r="P8395" s="6">
        <v>0.28000000000000003</v>
      </c>
      <c r="Q8395" s="11">
        <v>2</v>
      </c>
      <c r="R8395" s="11"/>
      <c r="S8395" s="11"/>
      <c r="T8395" s="11"/>
      <c r="U8395" s="11">
        <f t="shared" si="2385"/>
        <v>2</v>
      </c>
      <c r="W8395">
        <v>2.2000000000000002</v>
      </c>
      <c r="X8395" s="1" t="s">
        <v>187</v>
      </c>
    </row>
    <row r="8396" spans="1:24" x14ac:dyDescent="0.25">
      <c r="A8396" s="1" t="str">
        <f t="shared" si="2386"/>
        <v>卡卡杜-凤凰仓</v>
      </c>
      <c r="B8396" s="1" t="str">
        <f>"CK2024100914098"</f>
        <v>CK2024100914098</v>
      </c>
      <c r="C8396" s="1" t="str">
        <f>"DD2024100944816"</f>
        <v>DD2024100944816</v>
      </c>
      <c r="D8396" s="1" t="str">
        <f>"CK2024100944663"</f>
        <v>CK2024100944663</v>
      </c>
      <c r="E8396" s="1" t="str">
        <f>"3723189429043332352"</f>
        <v>3723189429043332352</v>
      </c>
      <c r="F8396" s="1" t="str">
        <f t="shared" si="2387"/>
        <v>花都四部-凤凰仓</v>
      </c>
      <c r="G8396" s="1" t="str">
        <f>"卡卡杜企业店（视频号）"</f>
        <v>卡卡杜企业店（视频号）</v>
      </c>
      <c r="H8396" s="1" t="str">
        <f t="shared" si="2389"/>
        <v>正常订单</v>
      </c>
      <c r="I8396" s="1" t="str">
        <f t="shared" si="2390"/>
        <v>已发货</v>
      </c>
      <c r="J8396" s="1" t="str">
        <f t="shared" si="2393"/>
        <v>2</v>
      </c>
      <c r="K8396" s="1">
        <v>2</v>
      </c>
      <c r="L8396" s="1" t="s">
        <v>36</v>
      </c>
      <c r="M8396" s="1" t="str">
        <f>"安徽省 合肥市 庐阳区 "</f>
        <v xml:space="preserve">安徽省 合肥市 庐阳区 </v>
      </c>
      <c r="N8396" s="1" t="str">
        <f>"凡华云仓-韵达-微信视频号"</f>
        <v>凡华云仓-韵达-微信视频号</v>
      </c>
      <c r="O8396" s="5">
        <v>315012422360702</v>
      </c>
      <c r="P8396" s="6">
        <v>0.28000000000000003</v>
      </c>
      <c r="Q8396" s="11">
        <v>2</v>
      </c>
      <c r="R8396" s="11"/>
      <c r="S8396" s="11"/>
      <c r="T8396" s="11"/>
      <c r="U8396" s="11">
        <f t="shared" si="2385"/>
        <v>2</v>
      </c>
      <c r="W8396">
        <v>2.2000000000000002</v>
      </c>
      <c r="X8396" s="1" t="s">
        <v>36</v>
      </c>
    </row>
    <row r="8397" spans="1:24" x14ac:dyDescent="0.25">
      <c r="A8397" s="1" t="str">
        <f t="shared" si="2386"/>
        <v>卡卡杜-凤凰仓</v>
      </c>
      <c r="B8397" s="1" t="str">
        <f>"CK2024100914096"</f>
        <v>CK2024100914096</v>
      </c>
      <c r="C8397" s="1" t="str">
        <f>"DD2024100944815"</f>
        <v>DD2024100944815</v>
      </c>
      <c r="D8397" s="1" t="str">
        <f>"CK2024100944662"</f>
        <v>CK2024100944662</v>
      </c>
      <c r="E8397" s="1" t="str">
        <f>"3723187248886056448"</f>
        <v>3723187248886056448</v>
      </c>
      <c r="F8397" s="1" t="str">
        <f t="shared" si="2387"/>
        <v>花都四部-凤凰仓</v>
      </c>
      <c r="G8397" s="1" t="str">
        <f>"卡卡杜企业店（视频号）"</f>
        <v>卡卡杜企业店（视频号）</v>
      </c>
      <c r="H8397" s="1" t="str">
        <f t="shared" si="2389"/>
        <v>正常订单</v>
      </c>
      <c r="I8397" s="1" t="str">
        <f t="shared" si="2390"/>
        <v>已发货</v>
      </c>
      <c r="J8397" s="1" t="str">
        <f t="shared" si="2393"/>
        <v>2</v>
      </c>
      <c r="K8397" s="1">
        <v>2</v>
      </c>
      <c r="L8397" s="1" t="s">
        <v>74</v>
      </c>
      <c r="M8397" s="1" t="str">
        <f>"上海 上海市 静安区 "</f>
        <v xml:space="preserve">上海 上海市 静安区 </v>
      </c>
      <c r="N8397" s="1" t="str">
        <f>"凡华云仓-韵达-微信视频号"</f>
        <v>凡华云仓-韵达-微信视频号</v>
      </c>
      <c r="O8397" s="5">
        <v>315012422360126</v>
      </c>
      <c r="P8397" s="6">
        <v>0.28000000000000003</v>
      </c>
      <c r="Q8397" s="11">
        <v>2</v>
      </c>
      <c r="R8397" s="11"/>
      <c r="S8397" s="11"/>
      <c r="T8397" s="11"/>
      <c r="U8397" s="11">
        <f t="shared" si="2385"/>
        <v>2</v>
      </c>
      <c r="W8397">
        <v>2.2000000000000002</v>
      </c>
      <c r="X8397" s="1" t="s">
        <v>74</v>
      </c>
    </row>
    <row r="8398" spans="1:24" x14ac:dyDescent="0.25">
      <c r="A8398" s="1" t="str">
        <f t="shared" si="2386"/>
        <v>卡卡杜-凤凰仓</v>
      </c>
      <c r="B8398" s="1" t="str">
        <f>"CK2024100914167"</f>
        <v>CK2024100914167</v>
      </c>
      <c r="C8398" s="1" t="str">
        <f>"DD2024100944885"</f>
        <v>DD2024100944885</v>
      </c>
      <c r="D8398" s="1" t="str">
        <f>"CK2024100944660"</f>
        <v>CK2024100944660</v>
      </c>
      <c r="E8398" s="1" t="str">
        <f>"6934848741916940160"</f>
        <v>6934848741916940160</v>
      </c>
      <c r="F8398" s="1" t="str">
        <f t="shared" si="2387"/>
        <v>花都四部-凤凰仓</v>
      </c>
      <c r="G8398" s="1" t="str">
        <f t="shared" ref="G8398:G8461" si="2394">"卡卡杜个人护理店（抖店）"</f>
        <v>卡卡杜个人护理店（抖店）</v>
      </c>
      <c r="H8398" s="1" t="str">
        <f t="shared" si="2389"/>
        <v>正常订单</v>
      </c>
      <c r="I8398" s="1" t="str">
        <f t="shared" si="2390"/>
        <v>已发货</v>
      </c>
      <c r="J8398" s="1" t="str">
        <f t="shared" si="2393"/>
        <v>2</v>
      </c>
      <c r="K8398" s="1">
        <v>1</v>
      </c>
      <c r="L8398" s="1" t="s">
        <v>22</v>
      </c>
      <c r="M8398" s="1" t="str">
        <f>"江西省 上饶市 横峰县 兴安街道"</f>
        <v>江西省 上饶市 横峰县 兴安街道</v>
      </c>
      <c r="N8398" s="1" t="str">
        <f t="shared" ref="N8398:N8461" si="2395">"凡华云仓-韵达-抖音"</f>
        <v>凡华云仓-韵达-抖音</v>
      </c>
      <c r="O8398" s="5">
        <v>320163364290386</v>
      </c>
      <c r="P8398" s="6">
        <v>0.33</v>
      </c>
      <c r="Q8398" s="11">
        <v>2.2999999999999998</v>
      </c>
      <c r="R8398" s="11"/>
      <c r="S8398" s="11"/>
      <c r="T8398" s="11"/>
      <c r="U8398" s="11">
        <f t="shared" si="2385"/>
        <v>2.2999999999999998</v>
      </c>
      <c r="W8398">
        <v>2.5</v>
      </c>
      <c r="X8398" s="1" t="s">
        <v>22</v>
      </c>
    </row>
    <row r="8399" spans="1:24" x14ac:dyDescent="0.25">
      <c r="A8399" s="1" t="str">
        <f t="shared" si="2386"/>
        <v>卡卡杜-凤凰仓</v>
      </c>
      <c r="B8399" s="1" t="str">
        <f>"CK2024100914155"</f>
        <v>CK2024100914155</v>
      </c>
      <c r="C8399" s="1" t="str">
        <f>"DD2024100944872"</f>
        <v>DD2024100944872</v>
      </c>
      <c r="D8399" s="1" t="str">
        <f>"CK2024100944659"</f>
        <v>CK2024100944659</v>
      </c>
      <c r="E8399" s="1" t="str">
        <f>"6934837798689314679"</f>
        <v>6934837798689314679</v>
      </c>
      <c r="F8399" s="1" t="str">
        <f t="shared" si="2387"/>
        <v>花都四部-凤凰仓</v>
      </c>
      <c r="G8399" s="1" t="str">
        <f t="shared" si="2394"/>
        <v>卡卡杜个人护理店（抖店）</v>
      </c>
      <c r="H8399" s="1" t="str">
        <f t="shared" si="2389"/>
        <v>正常订单</v>
      </c>
      <c r="I8399" s="1" t="str">
        <f t="shared" si="2390"/>
        <v>已发货</v>
      </c>
      <c r="J8399" s="1" t="str">
        <f t="shared" si="2393"/>
        <v>2</v>
      </c>
      <c r="K8399" s="1">
        <v>1</v>
      </c>
      <c r="L8399" s="1" t="s">
        <v>20</v>
      </c>
      <c r="M8399" s="1" t="str">
        <f>"浙江省 金华市 永康市 江南街道"</f>
        <v>浙江省 金华市 永康市 江南街道</v>
      </c>
      <c r="N8399" s="1" t="str">
        <f t="shared" si="2395"/>
        <v>凡华云仓-韵达-抖音</v>
      </c>
      <c r="O8399" s="5">
        <v>320163364290293</v>
      </c>
      <c r="P8399" s="6">
        <v>0.33</v>
      </c>
      <c r="Q8399" s="11">
        <v>2.2999999999999998</v>
      </c>
      <c r="R8399" s="11"/>
      <c r="S8399" s="11"/>
      <c r="T8399" s="11"/>
      <c r="U8399" s="11">
        <f t="shared" si="2385"/>
        <v>2.2999999999999998</v>
      </c>
      <c r="W8399">
        <v>2.5</v>
      </c>
      <c r="X8399" s="1" t="s">
        <v>20</v>
      </c>
    </row>
    <row r="8400" spans="1:24" x14ac:dyDescent="0.25">
      <c r="A8400" s="1" t="str">
        <f t="shared" si="2386"/>
        <v>卡卡杜-凤凰仓</v>
      </c>
      <c r="B8400" s="1" t="str">
        <f>"CK2024100914157"</f>
        <v>CK2024100914157</v>
      </c>
      <c r="C8400" s="1" t="str">
        <f>"DD2024100944875"</f>
        <v>DD2024100944875</v>
      </c>
      <c r="D8400" s="1" t="str">
        <f>"CK2024100944658"</f>
        <v>CK2024100944658</v>
      </c>
      <c r="E8400" s="1" t="str">
        <f>"6934828793719690316"</f>
        <v>6934828793719690316</v>
      </c>
      <c r="F8400" s="1" t="str">
        <f t="shared" si="2387"/>
        <v>花都四部-凤凰仓</v>
      </c>
      <c r="G8400" s="1" t="str">
        <f t="shared" si="2394"/>
        <v>卡卡杜个人护理店（抖店）</v>
      </c>
      <c r="H8400" s="1" t="str">
        <f t="shared" si="2389"/>
        <v>正常订单</v>
      </c>
      <c r="I8400" s="1" t="str">
        <f t="shared" si="2390"/>
        <v>已发货</v>
      </c>
      <c r="J8400" s="1" t="str">
        <f t="shared" si="2393"/>
        <v>2</v>
      </c>
      <c r="K8400" s="1">
        <v>1</v>
      </c>
      <c r="L8400" s="1" t="s">
        <v>74</v>
      </c>
      <c r="M8400" s="1" t="str">
        <f>"上海 上海市 松江区 岳阳街道"</f>
        <v>上海 上海市 松江区 岳阳街道</v>
      </c>
      <c r="N8400" s="1" t="str">
        <f t="shared" si="2395"/>
        <v>凡华云仓-韵达-抖音</v>
      </c>
      <c r="O8400" s="5">
        <v>320163364290102</v>
      </c>
      <c r="P8400" s="6">
        <v>0.33</v>
      </c>
      <c r="Q8400" s="11">
        <v>2.2999999999999998</v>
      </c>
      <c r="R8400" s="11"/>
      <c r="S8400" s="11"/>
      <c r="T8400" s="11"/>
      <c r="U8400" s="11">
        <f t="shared" si="2385"/>
        <v>2.2999999999999998</v>
      </c>
      <c r="W8400">
        <v>2.5</v>
      </c>
      <c r="X8400" s="1" t="s">
        <v>74</v>
      </c>
    </row>
    <row r="8401" spans="1:24" x14ac:dyDescent="0.25">
      <c r="A8401" s="1" t="str">
        <f t="shared" si="2386"/>
        <v>卡卡杜-凤凰仓</v>
      </c>
      <c r="B8401" s="1" t="str">
        <f>"CK2024100914154"</f>
        <v>CK2024100914154</v>
      </c>
      <c r="C8401" s="1" t="str">
        <f>"DD2024100944873"</f>
        <v>DD2024100944873</v>
      </c>
      <c r="D8401" s="1" t="str">
        <f>"CK2024100944657"</f>
        <v>CK2024100944657</v>
      </c>
      <c r="E8401" s="1" t="str">
        <f>"6934844633526441770"</f>
        <v>6934844633526441770</v>
      </c>
      <c r="F8401" s="1" t="str">
        <f t="shared" si="2387"/>
        <v>花都四部-凤凰仓</v>
      </c>
      <c r="G8401" s="1" t="str">
        <f t="shared" si="2394"/>
        <v>卡卡杜个人护理店（抖店）</v>
      </c>
      <c r="H8401" s="1" t="str">
        <f t="shared" si="2389"/>
        <v>正常订单</v>
      </c>
      <c r="I8401" s="1" t="str">
        <f t="shared" si="2390"/>
        <v>已发货</v>
      </c>
      <c r="J8401" s="1" t="str">
        <f t="shared" si="2393"/>
        <v>2</v>
      </c>
      <c r="K8401" s="1">
        <v>1</v>
      </c>
      <c r="L8401" s="1" t="s">
        <v>66</v>
      </c>
      <c r="M8401" s="1" t="str">
        <f>"内蒙古自治区 鄂尔多斯市 鄂托克旗 棋盘井镇"</f>
        <v>内蒙古自治区 鄂尔多斯市 鄂托克旗 棋盘井镇</v>
      </c>
      <c r="N8401" s="1" t="str">
        <f t="shared" si="2395"/>
        <v>凡华云仓-韵达-抖音</v>
      </c>
      <c r="O8401" s="5">
        <v>320163364290013</v>
      </c>
      <c r="P8401" s="6">
        <v>0.33</v>
      </c>
      <c r="Q8401" s="11">
        <v>2.2999999999999998</v>
      </c>
      <c r="R8401" s="11"/>
      <c r="S8401" s="11"/>
      <c r="T8401" s="11"/>
      <c r="U8401" s="11">
        <f t="shared" si="2385"/>
        <v>2.2999999999999998</v>
      </c>
      <c r="W8401">
        <v>2.5</v>
      </c>
      <c r="X8401" s="1" t="s">
        <v>66</v>
      </c>
    </row>
    <row r="8402" spans="1:24" x14ac:dyDescent="0.25">
      <c r="A8402" s="1" t="str">
        <f t="shared" si="2386"/>
        <v>卡卡杜-凤凰仓</v>
      </c>
      <c r="B8402" s="1" t="str">
        <f>"CK2024100914153"</f>
        <v>CK2024100914153</v>
      </c>
      <c r="C8402" s="1" t="str">
        <f>"DD2024100944870"</f>
        <v>DD2024100944870</v>
      </c>
      <c r="D8402" s="1" t="str">
        <f>"CK2024100944656"</f>
        <v>CK2024100944656</v>
      </c>
      <c r="E8402" s="1" t="str">
        <f>"6917999665467194736"</f>
        <v>6917999665467194736</v>
      </c>
      <c r="F8402" s="1" t="str">
        <f t="shared" si="2387"/>
        <v>花都四部-凤凰仓</v>
      </c>
      <c r="G8402" s="1" t="str">
        <f t="shared" si="2394"/>
        <v>卡卡杜个人护理店（抖店）</v>
      </c>
      <c r="H8402" s="1" t="str">
        <f t="shared" si="2389"/>
        <v>正常订单</v>
      </c>
      <c r="I8402" s="1" t="str">
        <f t="shared" si="2390"/>
        <v>已发货</v>
      </c>
      <c r="J8402" s="1" t="str">
        <f t="shared" si="2393"/>
        <v>2</v>
      </c>
      <c r="K8402" s="1">
        <v>1</v>
      </c>
      <c r="L8402" s="1" t="s">
        <v>18</v>
      </c>
      <c r="M8402" s="1" t="str">
        <f>"广东省 惠州市 惠阳区 西区街道"</f>
        <v>广东省 惠州市 惠阳区 西区街道</v>
      </c>
      <c r="N8402" s="1" t="str">
        <f t="shared" si="2395"/>
        <v>凡华云仓-韵达-抖音</v>
      </c>
      <c r="O8402" s="5">
        <v>320163364289954</v>
      </c>
      <c r="P8402" s="6">
        <v>0.33</v>
      </c>
      <c r="Q8402" s="11">
        <v>2.2999999999999998</v>
      </c>
      <c r="R8402" s="11"/>
      <c r="S8402" s="11"/>
      <c r="T8402" s="11"/>
      <c r="U8402" s="11">
        <f t="shared" si="2385"/>
        <v>2.2999999999999998</v>
      </c>
      <c r="W8402">
        <v>2.5</v>
      </c>
      <c r="X8402" s="1" t="s">
        <v>18</v>
      </c>
    </row>
    <row r="8403" spans="1:24" x14ac:dyDescent="0.25">
      <c r="A8403" s="1" t="str">
        <f t="shared" si="2386"/>
        <v>卡卡杜-凤凰仓</v>
      </c>
      <c r="B8403" s="1" t="str">
        <f>"CK2024100914152"</f>
        <v>CK2024100914152</v>
      </c>
      <c r="C8403" s="1" t="str">
        <f>"DD2024100944871"</f>
        <v>DD2024100944871</v>
      </c>
      <c r="D8403" s="1" t="str">
        <f>"CK2024100944655"</f>
        <v>CK2024100944655</v>
      </c>
      <c r="E8403" s="1" t="str">
        <f>"6934837691475105334"</f>
        <v>6934837691475105334</v>
      </c>
      <c r="F8403" s="1" t="str">
        <f t="shared" si="2387"/>
        <v>花都四部-凤凰仓</v>
      </c>
      <c r="G8403" s="1" t="str">
        <f t="shared" si="2394"/>
        <v>卡卡杜个人护理店（抖店）</v>
      </c>
      <c r="H8403" s="1" t="str">
        <f t="shared" si="2389"/>
        <v>正常订单</v>
      </c>
      <c r="I8403" s="1" t="str">
        <f t="shared" si="2390"/>
        <v>已发货</v>
      </c>
      <c r="J8403" s="1" t="str">
        <f t="shared" si="2393"/>
        <v>2</v>
      </c>
      <c r="K8403" s="1">
        <v>1</v>
      </c>
      <c r="L8403" s="1" t="s">
        <v>13</v>
      </c>
      <c r="M8403" s="1" t="str">
        <f>"江苏省 盐城市 大丰区 大中街道"</f>
        <v>江苏省 盐城市 大丰区 大中街道</v>
      </c>
      <c r="N8403" s="1" t="str">
        <f t="shared" si="2395"/>
        <v>凡华云仓-韵达-抖音</v>
      </c>
      <c r="O8403" s="5">
        <v>320163364289849</v>
      </c>
      <c r="P8403" s="6">
        <v>0.33</v>
      </c>
      <c r="Q8403" s="11">
        <v>2.2999999999999998</v>
      </c>
      <c r="R8403" s="11"/>
      <c r="S8403" s="11"/>
      <c r="T8403" s="11"/>
      <c r="U8403" s="11">
        <f t="shared" si="2385"/>
        <v>2.2999999999999998</v>
      </c>
      <c r="W8403">
        <v>2.5</v>
      </c>
      <c r="X8403" s="1" t="s">
        <v>13</v>
      </c>
    </row>
    <row r="8404" spans="1:24" x14ac:dyDescent="0.25">
      <c r="A8404" s="1" t="str">
        <f t="shared" si="2386"/>
        <v>卡卡杜-凤凰仓</v>
      </c>
      <c r="B8404" s="1" t="str">
        <f>"CK2024100914151"</f>
        <v>CK2024100914151</v>
      </c>
      <c r="C8404" s="1" t="str">
        <f>"DD2024100944869"</f>
        <v>DD2024100944869</v>
      </c>
      <c r="D8404" s="1" t="str">
        <f>"CK2024100944654"</f>
        <v>CK2024100944654</v>
      </c>
      <c r="E8404" s="1" t="str">
        <f>"6934835431928502209"</f>
        <v>6934835431928502209</v>
      </c>
      <c r="F8404" s="1" t="str">
        <f t="shared" si="2387"/>
        <v>花都四部-凤凰仓</v>
      </c>
      <c r="G8404" s="1" t="str">
        <f t="shared" si="2394"/>
        <v>卡卡杜个人护理店（抖店）</v>
      </c>
      <c r="H8404" s="1" t="str">
        <f t="shared" si="2389"/>
        <v>正常订单</v>
      </c>
      <c r="I8404" s="1" t="str">
        <f t="shared" si="2390"/>
        <v>已发货</v>
      </c>
      <c r="J8404" s="1" t="str">
        <f t="shared" si="2393"/>
        <v>2</v>
      </c>
      <c r="K8404" s="1">
        <v>1</v>
      </c>
      <c r="L8404" s="1" t="s">
        <v>20</v>
      </c>
      <c r="M8404" s="1" t="str">
        <f>"浙江省 杭州市 余杭区 崇贤街道"</f>
        <v>浙江省 杭州市 余杭区 崇贤街道</v>
      </c>
      <c r="N8404" s="1" t="str">
        <f t="shared" si="2395"/>
        <v>凡华云仓-韵达-抖音</v>
      </c>
      <c r="O8404" s="5">
        <v>320163364289746</v>
      </c>
      <c r="P8404" s="6">
        <v>0.33</v>
      </c>
      <c r="Q8404" s="11">
        <v>2.2999999999999998</v>
      </c>
      <c r="R8404" s="11"/>
      <c r="S8404" s="11"/>
      <c r="T8404" s="11"/>
      <c r="U8404" s="11">
        <f t="shared" si="2385"/>
        <v>2.2999999999999998</v>
      </c>
      <c r="W8404">
        <v>2.5</v>
      </c>
      <c r="X8404" s="1" t="s">
        <v>20</v>
      </c>
    </row>
    <row r="8405" spans="1:24" x14ac:dyDescent="0.25">
      <c r="A8405" s="1" t="str">
        <f t="shared" si="2386"/>
        <v>卡卡杜-凤凰仓</v>
      </c>
      <c r="B8405" s="1" t="str">
        <f>"CK2024100914183"</f>
        <v>CK2024100914183</v>
      </c>
      <c r="C8405" s="1" t="str">
        <f>"DD2024100944901"</f>
        <v>DD2024100944901</v>
      </c>
      <c r="D8405" s="1" t="str">
        <f>"CK2024100944653"</f>
        <v>CK2024100944653</v>
      </c>
      <c r="E8405" s="1" t="str">
        <f>"6917990836541488238"</f>
        <v>6917990836541488238</v>
      </c>
      <c r="F8405" s="1" t="str">
        <f t="shared" si="2387"/>
        <v>花都四部-凤凰仓</v>
      </c>
      <c r="G8405" s="1" t="str">
        <f t="shared" si="2394"/>
        <v>卡卡杜个人护理店（抖店）</v>
      </c>
      <c r="H8405" s="1" t="str">
        <f t="shared" si="2389"/>
        <v>正常订单</v>
      </c>
      <c r="I8405" s="1" t="str">
        <f t="shared" si="2390"/>
        <v>已发货</v>
      </c>
      <c r="J8405" s="1" t="str">
        <f>"1"</f>
        <v>1</v>
      </c>
      <c r="K8405" s="1">
        <v>1</v>
      </c>
      <c r="L8405" s="1" t="s">
        <v>24</v>
      </c>
      <c r="M8405" s="1" t="str">
        <f>"福建省 宁德市 蕉城区 城南镇"</f>
        <v>福建省 宁德市 蕉城区 城南镇</v>
      </c>
      <c r="N8405" s="1" t="str">
        <f t="shared" si="2395"/>
        <v>凡华云仓-韵达-抖音</v>
      </c>
      <c r="O8405" s="5">
        <v>320163364289645</v>
      </c>
      <c r="P8405" s="6">
        <v>0.12</v>
      </c>
      <c r="Q8405" s="11">
        <v>2</v>
      </c>
      <c r="R8405" s="11"/>
      <c r="S8405" s="11"/>
      <c r="T8405" s="11"/>
      <c r="U8405" s="11">
        <f t="shared" si="2385"/>
        <v>2</v>
      </c>
      <c r="W8405">
        <v>2.2000000000000002</v>
      </c>
      <c r="X8405" s="1" t="s">
        <v>24</v>
      </c>
    </row>
    <row r="8406" spans="1:24" x14ac:dyDescent="0.25">
      <c r="A8406" s="1" t="str">
        <f t="shared" si="2386"/>
        <v>卡卡杜-凤凰仓</v>
      </c>
      <c r="B8406" s="1" t="str">
        <f>"CK2024100914149"</f>
        <v>CK2024100914149</v>
      </c>
      <c r="C8406" s="1" t="str">
        <f>"DD2024100944866"</f>
        <v>DD2024100944866</v>
      </c>
      <c r="D8406" s="1" t="str">
        <f>"CK2024100944652"</f>
        <v>CK2024100944652</v>
      </c>
      <c r="E8406" s="1" t="str">
        <f>"6917993223458290908"</f>
        <v>6917993223458290908</v>
      </c>
      <c r="F8406" s="1" t="str">
        <f t="shared" si="2387"/>
        <v>花都四部-凤凰仓</v>
      </c>
      <c r="G8406" s="1" t="str">
        <f t="shared" si="2394"/>
        <v>卡卡杜个人护理店（抖店）</v>
      </c>
      <c r="H8406" s="1" t="str">
        <f t="shared" si="2389"/>
        <v>正常订单</v>
      </c>
      <c r="I8406" s="1" t="str">
        <f t="shared" si="2390"/>
        <v>已发货</v>
      </c>
      <c r="J8406" s="1" t="str">
        <f t="shared" ref="J8406:J8411" si="2396">"2"</f>
        <v>2</v>
      </c>
      <c r="K8406" s="1">
        <v>1</v>
      </c>
      <c r="L8406" s="1" t="s">
        <v>94</v>
      </c>
      <c r="M8406" s="1" t="str">
        <f>"湖南省 长沙市 岳麓区 麓谷街道"</f>
        <v>湖南省 长沙市 岳麓区 麓谷街道</v>
      </c>
      <c r="N8406" s="1" t="str">
        <f t="shared" si="2395"/>
        <v>凡华云仓-韵达-抖音</v>
      </c>
      <c r="O8406" s="5">
        <v>320163364289546</v>
      </c>
      <c r="P8406" s="6">
        <v>0.33</v>
      </c>
      <c r="Q8406" s="11">
        <v>2.2999999999999998</v>
      </c>
      <c r="R8406" s="11"/>
      <c r="S8406" s="11"/>
      <c r="T8406" s="11"/>
      <c r="U8406" s="11">
        <f t="shared" si="2385"/>
        <v>2.2999999999999998</v>
      </c>
      <c r="W8406">
        <v>2.5</v>
      </c>
      <c r="X8406" s="1" t="s">
        <v>94</v>
      </c>
    </row>
    <row r="8407" spans="1:24" x14ac:dyDescent="0.25">
      <c r="A8407" s="1" t="str">
        <f t="shared" si="2386"/>
        <v>卡卡杜-凤凰仓</v>
      </c>
      <c r="B8407" s="1" t="str">
        <f>"CK2024100914142"</f>
        <v>CK2024100914142</v>
      </c>
      <c r="C8407" s="1" t="str">
        <f>"DD2024100944859"</f>
        <v>DD2024100944859</v>
      </c>
      <c r="D8407" s="1" t="str">
        <f>"CK2024100944651"</f>
        <v>CK2024100944651</v>
      </c>
      <c r="E8407" s="1" t="str">
        <f>"6917993252999494970"</f>
        <v>6917993252999494970</v>
      </c>
      <c r="F8407" s="1" t="str">
        <f t="shared" si="2387"/>
        <v>花都四部-凤凰仓</v>
      </c>
      <c r="G8407" s="1" t="str">
        <f t="shared" si="2394"/>
        <v>卡卡杜个人护理店（抖店）</v>
      </c>
      <c r="H8407" s="1" t="str">
        <f t="shared" si="2389"/>
        <v>正常订单</v>
      </c>
      <c r="I8407" s="1" t="str">
        <f t="shared" si="2390"/>
        <v>已发货</v>
      </c>
      <c r="J8407" s="1" t="str">
        <f t="shared" si="2396"/>
        <v>2</v>
      </c>
      <c r="K8407" s="1">
        <v>1</v>
      </c>
      <c r="L8407" s="1" t="s">
        <v>20</v>
      </c>
      <c r="M8407" s="1" t="str">
        <f>"浙江省 衢州市 江山市 贺村镇"</f>
        <v>浙江省 衢州市 江山市 贺村镇</v>
      </c>
      <c r="N8407" s="1" t="str">
        <f t="shared" si="2395"/>
        <v>凡华云仓-韵达-抖音</v>
      </c>
      <c r="O8407" s="5">
        <v>320163364289449</v>
      </c>
      <c r="P8407" s="6">
        <v>0.33</v>
      </c>
      <c r="Q8407" s="11">
        <v>2.2999999999999998</v>
      </c>
      <c r="R8407" s="11"/>
      <c r="S8407" s="11"/>
      <c r="T8407" s="11"/>
      <c r="U8407" s="11">
        <f t="shared" si="2385"/>
        <v>2.2999999999999998</v>
      </c>
      <c r="W8407">
        <v>2.5</v>
      </c>
      <c r="X8407" s="1" t="s">
        <v>20</v>
      </c>
    </row>
    <row r="8408" spans="1:24" x14ac:dyDescent="0.25">
      <c r="A8408" s="1" t="str">
        <f t="shared" si="2386"/>
        <v>卡卡杜-凤凰仓</v>
      </c>
      <c r="B8408" s="1" t="str">
        <f>"CK2024100914148"</f>
        <v>CK2024100914148</v>
      </c>
      <c r="C8408" s="1" t="str">
        <f>"DD2024100944867"</f>
        <v>DD2024100944867</v>
      </c>
      <c r="D8408" s="1" t="str">
        <f>"CK2024100944650"</f>
        <v>CK2024100944650</v>
      </c>
      <c r="E8408" s="1" t="str">
        <f>"6934851028387960690"</f>
        <v>6934851028387960690</v>
      </c>
      <c r="F8408" s="1" t="str">
        <f t="shared" si="2387"/>
        <v>花都四部-凤凰仓</v>
      </c>
      <c r="G8408" s="1" t="str">
        <f t="shared" si="2394"/>
        <v>卡卡杜个人护理店（抖店）</v>
      </c>
      <c r="H8408" s="1" t="str">
        <f t="shared" si="2389"/>
        <v>正常订单</v>
      </c>
      <c r="I8408" s="1" t="str">
        <f t="shared" si="2390"/>
        <v>已发货</v>
      </c>
      <c r="J8408" s="1" t="str">
        <f t="shared" si="2396"/>
        <v>2</v>
      </c>
      <c r="K8408" s="1">
        <v>1</v>
      </c>
      <c r="L8408" s="1" t="s">
        <v>32</v>
      </c>
      <c r="M8408" s="1" t="str">
        <f>"陕西省 西安市 高陵区 姬家街道"</f>
        <v>陕西省 西安市 高陵区 姬家街道</v>
      </c>
      <c r="N8408" s="1" t="str">
        <f t="shared" si="2395"/>
        <v>凡华云仓-韵达-抖音</v>
      </c>
      <c r="O8408" s="5">
        <v>320163375037096</v>
      </c>
      <c r="P8408" s="6">
        <v>0.33</v>
      </c>
      <c r="Q8408" s="11">
        <v>2.2999999999999998</v>
      </c>
      <c r="R8408" s="11"/>
      <c r="S8408" s="11"/>
      <c r="T8408" s="11"/>
      <c r="U8408" s="11">
        <f t="shared" si="2385"/>
        <v>2.2999999999999998</v>
      </c>
      <c r="W8408">
        <v>2.5</v>
      </c>
      <c r="X8408" s="1" t="s">
        <v>32</v>
      </c>
    </row>
    <row r="8409" spans="1:24" x14ac:dyDescent="0.25">
      <c r="A8409" s="1" t="str">
        <f t="shared" si="2386"/>
        <v>卡卡杜-凤凰仓</v>
      </c>
      <c r="B8409" s="1" t="str">
        <f>"CK2024100914147"</f>
        <v>CK2024100914147</v>
      </c>
      <c r="C8409" s="1" t="str">
        <f>"DD2024100944863"</f>
        <v>DD2024100944863</v>
      </c>
      <c r="D8409" s="1" t="str">
        <f>"CK2024100944649"</f>
        <v>CK2024100944649</v>
      </c>
      <c r="E8409" s="1" t="str">
        <f>"6934840179893212861"</f>
        <v>6934840179893212861</v>
      </c>
      <c r="F8409" s="1" t="str">
        <f t="shared" si="2387"/>
        <v>花都四部-凤凰仓</v>
      </c>
      <c r="G8409" s="1" t="str">
        <f t="shared" si="2394"/>
        <v>卡卡杜个人护理店（抖店）</v>
      </c>
      <c r="H8409" s="1" t="str">
        <f t="shared" si="2389"/>
        <v>正常订单</v>
      </c>
      <c r="I8409" s="1" t="str">
        <f t="shared" si="2390"/>
        <v>已发货</v>
      </c>
      <c r="J8409" s="1" t="str">
        <f t="shared" si="2396"/>
        <v>2</v>
      </c>
      <c r="K8409" s="1">
        <v>1</v>
      </c>
      <c r="L8409" s="1" t="s">
        <v>20</v>
      </c>
      <c r="M8409" s="1" t="str">
        <f>"浙江省 衢州市 柯城区 "</f>
        <v xml:space="preserve">浙江省 衢州市 柯城区 </v>
      </c>
      <c r="N8409" s="1" t="str">
        <f t="shared" si="2395"/>
        <v>凡华云仓-韵达-抖音</v>
      </c>
      <c r="O8409" s="5">
        <v>320163375036968</v>
      </c>
      <c r="P8409" s="6">
        <v>0.33</v>
      </c>
      <c r="Q8409" s="11">
        <v>2.2999999999999998</v>
      </c>
      <c r="R8409" s="11"/>
      <c r="S8409" s="11"/>
      <c r="T8409" s="11"/>
      <c r="U8409" s="11">
        <f t="shared" si="2385"/>
        <v>2.2999999999999998</v>
      </c>
      <c r="W8409">
        <v>2.5</v>
      </c>
      <c r="X8409" s="1" t="s">
        <v>20</v>
      </c>
    </row>
    <row r="8410" spans="1:24" x14ac:dyDescent="0.25">
      <c r="A8410" s="1" t="str">
        <f t="shared" si="2386"/>
        <v>卡卡杜-凤凰仓</v>
      </c>
      <c r="B8410" s="1" t="str">
        <f>"CK2024100914146"</f>
        <v>CK2024100914146</v>
      </c>
      <c r="C8410" s="1" t="str">
        <f>"DD2024100944865"</f>
        <v>DD2024100944865</v>
      </c>
      <c r="D8410" s="1" t="str">
        <f>"CK2024100944648"</f>
        <v>CK2024100944648</v>
      </c>
      <c r="E8410" s="1" t="str">
        <f>"6934844756242798082"</f>
        <v>6934844756242798082</v>
      </c>
      <c r="F8410" s="1" t="str">
        <f t="shared" si="2387"/>
        <v>花都四部-凤凰仓</v>
      </c>
      <c r="G8410" s="1" t="str">
        <f t="shared" si="2394"/>
        <v>卡卡杜个人护理店（抖店）</v>
      </c>
      <c r="H8410" s="1" t="str">
        <f t="shared" si="2389"/>
        <v>正常订单</v>
      </c>
      <c r="I8410" s="1" t="str">
        <f t="shared" si="2390"/>
        <v>已发货</v>
      </c>
      <c r="J8410" s="1" t="str">
        <f t="shared" si="2396"/>
        <v>2</v>
      </c>
      <c r="K8410" s="1">
        <v>1</v>
      </c>
      <c r="L8410" s="1" t="s">
        <v>20</v>
      </c>
      <c r="M8410" s="1" t="str">
        <f>"浙江省 丽水市 松阳县 "</f>
        <v xml:space="preserve">浙江省 丽水市 松阳县 </v>
      </c>
      <c r="N8410" s="1" t="str">
        <f t="shared" si="2395"/>
        <v>凡华云仓-韵达-抖音</v>
      </c>
      <c r="O8410" s="5">
        <v>320163375036863</v>
      </c>
      <c r="P8410" s="6">
        <v>0.33</v>
      </c>
      <c r="Q8410" s="11">
        <v>2.2999999999999998</v>
      </c>
      <c r="R8410" s="11"/>
      <c r="S8410" s="11"/>
      <c r="T8410" s="11"/>
      <c r="U8410" s="11">
        <f t="shared" si="2385"/>
        <v>2.2999999999999998</v>
      </c>
      <c r="W8410">
        <v>2.5</v>
      </c>
      <c r="X8410" s="1" t="s">
        <v>20</v>
      </c>
    </row>
    <row r="8411" spans="1:24" x14ac:dyDescent="0.25">
      <c r="A8411" s="1" t="str">
        <f t="shared" si="2386"/>
        <v>卡卡杜-凤凰仓</v>
      </c>
      <c r="B8411" s="1" t="str">
        <f>"CK2024100914145"</f>
        <v>CK2024100914145</v>
      </c>
      <c r="C8411" s="1" t="str">
        <f>"DD2024100944864"</f>
        <v>DD2024100944864</v>
      </c>
      <c r="D8411" s="1" t="str">
        <f>"CK2024100944647"</f>
        <v>CK2024100944647</v>
      </c>
      <c r="E8411" s="1" t="str">
        <f>"6934844699884721470"</f>
        <v>6934844699884721470</v>
      </c>
      <c r="F8411" s="1" t="str">
        <f t="shared" si="2387"/>
        <v>花都四部-凤凰仓</v>
      </c>
      <c r="G8411" s="1" t="str">
        <f t="shared" si="2394"/>
        <v>卡卡杜个人护理店（抖店）</v>
      </c>
      <c r="H8411" s="1" t="str">
        <f t="shared" si="2389"/>
        <v>正常订单</v>
      </c>
      <c r="I8411" s="1" t="str">
        <f t="shared" si="2390"/>
        <v>已发货</v>
      </c>
      <c r="J8411" s="1" t="str">
        <f t="shared" si="2396"/>
        <v>2</v>
      </c>
      <c r="K8411" s="1">
        <v>1</v>
      </c>
      <c r="L8411" s="1" t="s">
        <v>18</v>
      </c>
      <c r="M8411" s="1" t="str">
        <f>"广东省 东莞市 东莞市 桥头镇"</f>
        <v>广东省 东莞市 东莞市 桥头镇</v>
      </c>
      <c r="N8411" s="1" t="str">
        <f t="shared" si="2395"/>
        <v>凡华云仓-韵达-抖音</v>
      </c>
      <c r="O8411" s="5">
        <v>320163375036760</v>
      </c>
      <c r="P8411" s="6">
        <v>0.33</v>
      </c>
      <c r="Q8411" s="11">
        <v>2.2999999999999998</v>
      </c>
      <c r="R8411" s="11"/>
      <c r="S8411" s="11"/>
      <c r="T8411" s="11"/>
      <c r="U8411" s="11">
        <f t="shared" si="2385"/>
        <v>2.2999999999999998</v>
      </c>
      <c r="W8411">
        <v>2.5</v>
      </c>
      <c r="X8411" s="1" t="s">
        <v>18</v>
      </c>
    </row>
    <row r="8412" spans="1:24" x14ac:dyDescent="0.25">
      <c r="A8412" s="1" t="str">
        <f t="shared" si="2386"/>
        <v>卡卡杜-凤凰仓</v>
      </c>
      <c r="B8412" s="1" t="str">
        <f>"CK2024100914191"</f>
        <v>CK2024100914191</v>
      </c>
      <c r="C8412" s="1" t="str">
        <f>"DD2024100944909"</f>
        <v>DD2024100944909</v>
      </c>
      <c r="D8412" s="1" t="str">
        <f>"CK2024100944646"</f>
        <v>CK2024100944646</v>
      </c>
      <c r="E8412" s="1" t="str">
        <f>"6917997562257505695"</f>
        <v>6917997562257505695</v>
      </c>
      <c r="F8412" s="1" t="str">
        <f t="shared" si="2387"/>
        <v>花都四部-凤凰仓</v>
      </c>
      <c r="G8412" s="1" t="str">
        <f t="shared" si="2394"/>
        <v>卡卡杜个人护理店（抖店）</v>
      </c>
      <c r="H8412" s="1" t="str">
        <f t="shared" si="2389"/>
        <v>正常订单</v>
      </c>
      <c r="I8412" s="1" t="str">
        <f t="shared" si="2390"/>
        <v>已发货</v>
      </c>
      <c r="J8412" s="1" t="str">
        <f t="shared" ref="J8412:J8416" si="2397">"1"</f>
        <v>1</v>
      </c>
      <c r="K8412" s="1">
        <v>1</v>
      </c>
      <c r="L8412" s="1" t="s">
        <v>20</v>
      </c>
      <c r="M8412" s="1" t="str">
        <f>"浙江省 衢州市 柯城区 白云街道"</f>
        <v>浙江省 衢州市 柯城区 白云街道</v>
      </c>
      <c r="N8412" s="1" t="str">
        <f t="shared" si="2395"/>
        <v>凡华云仓-韵达-抖音</v>
      </c>
      <c r="O8412" s="5">
        <v>320163375036659</v>
      </c>
      <c r="P8412" s="6">
        <v>0.12</v>
      </c>
      <c r="Q8412" s="11">
        <v>2</v>
      </c>
      <c r="R8412" s="11"/>
      <c r="S8412" s="11"/>
      <c r="T8412" s="11"/>
      <c r="U8412" s="11">
        <f t="shared" si="2385"/>
        <v>2</v>
      </c>
      <c r="W8412">
        <v>2.2000000000000002</v>
      </c>
      <c r="X8412" s="1" t="s">
        <v>20</v>
      </c>
    </row>
    <row r="8413" spans="1:24" x14ac:dyDescent="0.25">
      <c r="A8413" s="1" t="str">
        <f t="shared" si="2386"/>
        <v>卡卡杜-凤凰仓</v>
      </c>
      <c r="B8413" s="1" t="str">
        <f>"CK2024100914189"</f>
        <v>CK2024100914189</v>
      </c>
      <c r="C8413" s="1" t="str">
        <f>"DD2024100944906"</f>
        <v>DD2024100944906</v>
      </c>
      <c r="D8413" s="1" t="str">
        <f>"CK2024100944645"</f>
        <v>CK2024100944645</v>
      </c>
      <c r="E8413" s="1" t="str">
        <f>"6917997521380605060"</f>
        <v>6917997521380605060</v>
      </c>
      <c r="F8413" s="1" t="str">
        <f t="shared" si="2387"/>
        <v>花都四部-凤凰仓</v>
      </c>
      <c r="G8413" s="1" t="str">
        <f t="shared" si="2394"/>
        <v>卡卡杜个人护理店（抖店）</v>
      </c>
      <c r="H8413" s="1" t="str">
        <f t="shared" si="2389"/>
        <v>正常订单</v>
      </c>
      <c r="I8413" s="1" t="str">
        <f t="shared" si="2390"/>
        <v>已发货</v>
      </c>
      <c r="J8413" s="1" t="str">
        <f t="shared" si="2397"/>
        <v>1</v>
      </c>
      <c r="K8413" s="1">
        <v>1</v>
      </c>
      <c r="L8413" s="1" t="s">
        <v>80</v>
      </c>
      <c r="M8413" s="1" t="str">
        <f>"河南省 安阳市 林州市 开元街道"</f>
        <v>河南省 安阳市 林州市 开元街道</v>
      </c>
      <c r="N8413" s="1" t="str">
        <f t="shared" si="2395"/>
        <v>凡华云仓-韵达-抖音</v>
      </c>
      <c r="O8413" s="5">
        <v>320163375036560</v>
      </c>
      <c r="P8413" s="6">
        <v>0.12</v>
      </c>
      <c r="Q8413" s="11">
        <v>2</v>
      </c>
      <c r="R8413" s="11"/>
      <c r="S8413" s="11"/>
      <c r="T8413" s="11"/>
      <c r="U8413" s="11">
        <f t="shared" si="2385"/>
        <v>2</v>
      </c>
      <c r="W8413">
        <v>2.2000000000000002</v>
      </c>
      <c r="X8413" s="1" t="s">
        <v>80</v>
      </c>
    </row>
    <row r="8414" spans="1:24" x14ac:dyDescent="0.25">
      <c r="A8414" s="1" t="str">
        <f t="shared" si="2386"/>
        <v>卡卡杜-凤凰仓</v>
      </c>
      <c r="B8414" s="1" t="str">
        <f>"CK2024100914143"</f>
        <v>CK2024100914143</v>
      </c>
      <c r="C8414" s="1" t="str">
        <f>"DD2024100944861"</f>
        <v>DD2024100944861</v>
      </c>
      <c r="D8414" s="1" t="str">
        <f>"CK2024100944644"</f>
        <v>CK2024100944644</v>
      </c>
      <c r="E8414" s="1" t="str">
        <f>"6917992979751861431"</f>
        <v>6917992979751861431</v>
      </c>
      <c r="F8414" s="1" t="str">
        <f t="shared" si="2387"/>
        <v>花都四部-凤凰仓</v>
      </c>
      <c r="G8414" s="1" t="str">
        <f t="shared" si="2394"/>
        <v>卡卡杜个人护理店（抖店）</v>
      </c>
      <c r="H8414" s="1" t="str">
        <f t="shared" si="2389"/>
        <v>正常订单</v>
      </c>
      <c r="I8414" s="1" t="str">
        <f t="shared" si="2390"/>
        <v>已发货</v>
      </c>
      <c r="J8414" s="1" t="str">
        <f t="shared" ref="J8414:J8422" si="2398">"2"</f>
        <v>2</v>
      </c>
      <c r="K8414" s="1">
        <v>1</v>
      </c>
      <c r="L8414" s="1" t="s">
        <v>18</v>
      </c>
      <c r="M8414" s="1" t="str">
        <f>"广东省 广州市 增城区 仙村镇"</f>
        <v>广东省 广州市 增城区 仙村镇</v>
      </c>
      <c r="N8414" s="1" t="str">
        <f t="shared" si="2395"/>
        <v>凡华云仓-韵达-抖音</v>
      </c>
      <c r="O8414" s="5">
        <v>320163375036463</v>
      </c>
      <c r="P8414" s="6">
        <v>0.33</v>
      </c>
      <c r="Q8414" s="11">
        <v>2.2999999999999998</v>
      </c>
      <c r="R8414" s="11"/>
      <c r="S8414" s="11"/>
      <c r="T8414" s="11"/>
      <c r="U8414" s="11">
        <f t="shared" si="2385"/>
        <v>2.2999999999999998</v>
      </c>
      <c r="W8414">
        <v>2.5</v>
      </c>
      <c r="X8414" s="1" t="s">
        <v>18</v>
      </c>
    </row>
    <row r="8415" spans="1:24" x14ac:dyDescent="0.25">
      <c r="A8415" s="1" t="str">
        <f t="shared" si="2386"/>
        <v>卡卡杜-凤凰仓</v>
      </c>
      <c r="B8415" s="1" t="str">
        <f>"CK2024100914177"</f>
        <v>CK2024100914177</v>
      </c>
      <c r="C8415" s="1" t="str">
        <f>"DD2024100944894"</f>
        <v>DD2024100944894</v>
      </c>
      <c r="D8415" s="1" t="str">
        <f>"CK2024100944643"</f>
        <v>CK2024100944643</v>
      </c>
      <c r="E8415" s="1" t="str">
        <f>"6917997467406466823"</f>
        <v>6917997467406466823</v>
      </c>
      <c r="F8415" s="1" t="str">
        <f t="shared" si="2387"/>
        <v>花都四部-凤凰仓</v>
      </c>
      <c r="G8415" s="1" t="str">
        <f t="shared" si="2394"/>
        <v>卡卡杜个人护理店（抖店）</v>
      </c>
      <c r="H8415" s="1" t="str">
        <f t="shared" si="2389"/>
        <v>正常订单</v>
      </c>
      <c r="I8415" s="1" t="str">
        <f t="shared" si="2390"/>
        <v>已发货</v>
      </c>
      <c r="J8415" s="1" t="str">
        <f t="shared" si="2398"/>
        <v>2</v>
      </c>
      <c r="K8415" s="1">
        <v>1</v>
      </c>
      <c r="L8415" s="1" t="s">
        <v>27</v>
      </c>
      <c r="M8415" s="1" t="str">
        <f>"贵州省 贵阳市 乌当区 观溪路街道"</f>
        <v>贵州省 贵阳市 乌当区 观溪路街道</v>
      </c>
      <c r="N8415" s="1" t="str">
        <f t="shared" si="2395"/>
        <v>凡华云仓-韵达-抖音</v>
      </c>
      <c r="O8415" s="5">
        <v>320163375036368</v>
      </c>
      <c r="P8415" s="6">
        <v>0.2</v>
      </c>
      <c r="Q8415" s="11">
        <v>2</v>
      </c>
      <c r="R8415" s="11"/>
      <c r="S8415" s="11"/>
      <c r="T8415" s="11"/>
      <c r="U8415" s="11">
        <f t="shared" si="2385"/>
        <v>2</v>
      </c>
      <c r="W8415">
        <v>2.2000000000000002</v>
      </c>
      <c r="X8415" s="1" t="s">
        <v>27</v>
      </c>
    </row>
    <row r="8416" spans="1:24" x14ac:dyDescent="0.25">
      <c r="A8416" s="1" t="str">
        <f t="shared" si="2386"/>
        <v>卡卡杜-凤凰仓</v>
      </c>
      <c r="B8416" s="1" t="str">
        <f>"CK2024100914186"</f>
        <v>CK2024100914186</v>
      </c>
      <c r="C8416" s="1" t="str">
        <f>"DD2024100944905"</f>
        <v>DD2024100944905</v>
      </c>
      <c r="D8416" s="1" t="str">
        <f>"CK2024100944642"</f>
        <v>CK2024100944642</v>
      </c>
      <c r="E8416" s="1" t="str">
        <f>"6917992868304682183"</f>
        <v>6917992868304682183</v>
      </c>
      <c r="F8416" s="1" t="str">
        <f t="shared" si="2387"/>
        <v>花都四部-凤凰仓</v>
      </c>
      <c r="G8416" s="1" t="str">
        <f t="shared" si="2394"/>
        <v>卡卡杜个人护理店（抖店）</v>
      </c>
      <c r="H8416" s="1" t="str">
        <f t="shared" si="2389"/>
        <v>正常订单</v>
      </c>
      <c r="I8416" s="1" t="str">
        <f t="shared" si="2390"/>
        <v>已发货</v>
      </c>
      <c r="J8416" s="1" t="str">
        <f t="shared" si="2397"/>
        <v>1</v>
      </c>
      <c r="K8416" s="1">
        <v>1</v>
      </c>
      <c r="L8416" s="1" t="s">
        <v>36</v>
      </c>
      <c r="M8416" s="1" t="str">
        <f>"安徽省 阜阳市 临泉县 鲖城镇"</f>
        <v>安徽省 阜阳市 临泉县 鲖城镇</v>
      </c>
      <c r="N8416" s="1" t="str">
        <f t="shared" si="2395"/>
        <v>凡华云仓-韵达-抖音</v>
      </c>
      <c r="O8416" s="5">
        <v>320163375036275</v>
      </c>
      <c r="P8416" s="6">
        <v>0.12</v>
      </c>
      <c r="Q8416" s="11">
        <v>2</v>
      </c>
      <c r="R8416" s="11"/>
      <c r="S8416" s="11"/>
      <c r="T8416" s="11"/>
      <c r="U8416" s="11">
        <f t="shared" si="2385"/>
        <v>2</v>
      </c>
      <c r="W8416">
        <v>2.2000000000000002</v>
      </c>
      <c r="X8416" s="1" t="s">
        <v>36</v>
      </c>
    </row>
    <row r="8417" spans="1:24" x14ac:dyDescent="0.25">
      <c r="A8417" s="1" t="str">
        <f t="shared" si="2386"/>
        <v>卡卡杜-凤凰仓</v>
      </c>
      <c r="B8417" s="1" t="str">
        <f>"CK2024100914173"</f>
        <v>CK2024100914173</v>
      </c>
      <c r="C8417" s="1" t="str">
        <f>"DD2024100944890"</f>
        <v>DD2024100944890</v>
      </c>
      <c r="D8417" s="1" t="str">
        <f>"CK2024100944641"</f>
        <v>CK2024100944641</v>
      </c>
      <c r="E8417" s="1" t="str">
        <f>"6917990637340294219"</f>
        <v>6917990637340294219</v>
      </c>
      <c r="F8417" s="1" t="str">
        <f t="shared" si="2387"/>
        <v>花都四部-凤凰仓</v>
      </c>
      <c r="G8417" s="1" t="str">
        <f t="shared" si="2394"/>
        <v>卡卡杜个人护理店（抖店）</v>
      </c>
      <c r="H8417" s="1" t="str">
        <f t="shared" si="2389"/>
        <v>正常订单</v>
      </c>
      <c r="I8417" s="1" t="str">
        <f t="shared" si="2390"/>
        <v>已发货</v>
      </c>
      <c r="J8417" s="1" t="str">
        <f t="shared" si="2398"/>
        <v>2</v>
      </c>
      <c r="K8417" s="1">
        <v>1</v>
      </c>
      <c r="L8417" s="1" t="s">
        <v>96</v>
      </c>
      <c r="M8417" s="1" t="str">
        <f>"广西壮族自治区 玉林市 博白县 凤山镇"</f>
        <v>广西壮族自治区 玉林市 博白县 凤山镇</v>
      </c>
      <c r="N8417" s="1" t="str">
        <f t="shared" si="2395"/>
        <v>凡华云仓-韵达-抖音</v>
      </c>
      <c r="O8417" s="5">
        <v>320163375036184</v>
      </c>
      <c r="P8417" s="6">
        <v>0.2</v>
      </c>
      <c r="Q8417" s="11">
        <v>2</v>
      </c>
      <c r="R8417" s="11"/>
      <c r="S8417" s="11"/>
      <c r="T8417" s="11"/>
      <c r="U8417" s="11">
        <f t="shared" si="2385"/>
        <v>2</v>
      </c>
      <c r="W8417">
        <v>2.2000000000000002</v>
      </c>
      <c r="X8417" s="1" t="s">
        <v>96</v>
      </c>
    </row>
    <row r="8418" spans="1:24" x14ac:dyDescent="0.25">
      <c r="A8418" s="1" t="str">
        <f t="shared" si="2386"/>
        <v>卡卡杜-凤凰仓</v>
      </c>
      <c r="B8418" s="1" t="str">
        <f>"CK2024100914179"</f>
        <v>CK2024100914179</v>
      </c>
      <c r="C8418" s="1" t="str">
        <f>"DD2024100944896"</f>
        <v>DD2024100944896</v>
      </c>
      <c r="D8418" s="1" t="str">
        <f>"CK2024100944640"</f>
        <v>CK2024100944640</v>
      </c>
      <c r="E8418" s="1" t="str">
        <f>"6917990158869364672"</f>
        <v>6917990158869364672</v>
      </c>
      <c r="F8418" s="1" t="str">
        <f t="shared" si="2387"/>
        <v>花都四部-凤凰仓</v>
      </c>
      <c r="G8418" s="1" t="str">
        <f t="shared" si="2394"/>
        <v>卡卡杜个人护理店（抖店）</v>
      </c>
      <c r="H8418" s="1" t="str">
        <f t="shared" si="2389"/>
        <v>正常订单</v>
      </c>
      <c r="I8418" s="1" t="str">
        <f t="shared" si="2390"/>
        <v>已发货</v>
      </c>
      <c r="J8418" s="1" t="str">
        <f t="shared" si="2398"/>
        <v>2</v>
      </c>
      <c r="K8418" s="1">
        <v>1</v>
      </c>
      <c r="L8418" s="1" t="s">
        <v>18</v>
      </c>
      <c r="M8418" s="1" t="str">
        <f>"广东省 佛山市 顺德区 容桂街道"</f>
        <v>广东省 佛山市 顺德区 容桂街道</v>
      </c>
      <c r="N8418" s="1" t="str">
        <f t="shared" si="2395"/>
        <v>凡华云仓-韵达-抖音</v>
      </c>
      <c r="O8418" s="5">
        <v>320163350965275</v>
      </c>
      <c r="P8418" s="6">
        <v>0.2</v>
      </c>
      <c r="Q8418" s="11">
        <v>2</v>
      </c>
      <c r="R8418" s="11"/>
      <c r="S8418" s="11"/>
      <c r="T8418" s="11"/>
      <c r="U8418" s="11">
        <f t="shared" si="2385"/>
        <v>2</v>
      </c>
      <c r="W8418">
        <v>2.2000000000000002</v>
      </c>
      <c r="X8418" s="1" t="s">
        <v>18</v>
      </c>
    </row>
    <row r="8419" spans="1:24" x14ac:dyDescent="0.25">
      <c r="A8419" s="1" t="str">
        <f t="shared" si="2386"/>
        <v>卡卡杜-凤凰仓</v>
      </c>
      <c r="B8419" s="1" t="str">
        <f>"CK2024100914172"</f>
        <v>CK2024100914172</v>
      </c>
      <c r="C8419" s="1" t="str">
        <f>"DD2024100944892"</f>
        <v>DD2024100944892</v>
      </c>
      <c r="D8419" s="1" t="str">
        <f>"CK2024100944639"</f>
        <v>CK2024100944639</v>
      </c>
      <c r="E8419" s="1" t="str">
        <f>"6917992859713633527"</f>
        <v>6917992859713633527</v>
      </c>
      <c r="F8419" s="1" t="str">
        <f t="shared" si="2387"/>
        <v>花都四部-凤凰仓</v>
      </c>
      <c r="G8419" s="1" t="str">
        <f t="shared" si="2394"/>
        <v>卡卡杜个人护理店（抖店）</v>
      </c>
      <c r="H8419" s="1" t="str">
        <f t="shared" si="2389"/>
        <v>正常订单</v>
      </c>
      <c r="I8419" s="1" t="str">
        <f t="shared" si="2390"/>
        <v>已发货</v>
      </c>
      <c r="J8419" s="1" t="str">
        <f t="shared" si="2398"/>
        <v>2</v>
      </c>
      <c r="K8419" s="1">
        <v>1</v>
      </c>
      <c r="L8419" s="1" t="s">
        <v>18</v>
      </c>
      <c r="M8419" s="1" t="str">
        <f>"广东省 深圳市 罗湖区 桂园街道"</f>
        <v>广东省 深圳市 罗湖区 桂园街道</v>
      </c>
      <c r="N8419" s="1" t="str">
        <f t="shared" si="2395"/>
        <v>凡华云仓-韵达-抖音</v>
      </c>
      <c r="O8419" s="5">
        <v>320163350965184</v>
      </c>
      <c r="P8419" s="6">
        <v>0.2</v>
      </c>
      <c r="Q8419" s="11">
        <v>2</v>
      </c>
      <c r="R8419" s="11"/>
      <c r="S8419" s="11"/>
      <c r="T8419" s="11"/>
      <c r="U8419" s="11">
        <f t="shared" si="2385"/>
        <v>2</v>
      </c>
      <c r="W8419">
        <v>2.2000000000000002</v>
      </c>
      <c r="X8419" s="1" t="s">
        <v>18</v>
      </c>
    </row>
    <row r="8420" spans="1:24" x14ac:dyDescent="0.25">
      <c r="A8420" s="1" t="str">
        <f t="shared" si="2386"/>
        <v>卡卡杜-凤凰仓</v>
      </c>
      <c r="B8420" s="1" t="str">
        <f>"CK2024100914175"</f>
        <v>CK2024100914175</v>
      </c>
      <c r="C8420" s="1" t="str">
        <f>"DD2024100944893"</f>
        <v>DD2024100944893</v>
      </c>
      <c r="D8420" s="1" t="str">
        <f>"CK2024100944638"</f>
        <v>CK2024100944638</v>
      </c>
      <c r="E8420" s="1" t="str">
        <f>"6917992829962190103"</f>
        <v>6917992829962190103</v>
      </c>
      <c r="F8420" s="1" t="str">
        <f t="shared" si="2387"/>
        <v>花都四部-凤凰仓</v>
      </c>
      <c r="G8420" s="1" t="str">
        <f t="shared" si="2394"/>
        <v>卡卡杜个人护理店（抖店）</v>
      </c>
      <c r="H8420" s="1" t="str">
        <f t="shared" si="2389"/>
        <v>正常订单</v>
      </c>
      <c r="I8420" s="1" t="str">
        <f t="shared" si="2390"/>
        <v>已发货</v>
      </c>
      <c r="J8420" s="1" t="str">
        <f t="shared" si="2398"/>
        <v>2</v>
      </c>
      <c r="K8420" s="1">
        <v>1</v>
      </c>
      <c r="L8420" s="1" t="s">
        <v>24</v>
      </c>
      <c r="M8420" s="1" t="str">
        <f>"福建省 泉州市 安溪县 城厢镇"</f>
        <v>福建省 泉州市 安溪县 城厢镇</v>
      </c>
      <c r="N8420" s="1" t="str">
        <f t="shared" si="2395"/>
        <v>凡华云仓-韵达-抖音</v>
      </c>
      <c r="O8420" s="5">
        <v>320163350965095</v>
      </c>
      <c r="P8420" s="6">
        <v>0.2</v>
      </c>
      <c r="Q8420" s="11">
        <v>2</v>
      </c>
      <c r="R8420" s="11"/>
      <c r="S8420" s="11"/>
      <c r="T8420" s="11"/>
      <c r="U8420" s="11">
        <f t="shared" si="2385"/>
        <v>2</v>
      </c>
      <c r="W8420">
        <v>2.2000000000000002</v>
      </c>
      <c r="X8420" s="1" t="s">
        <v>24</v>
      </c>
    </row>
    <row r="8421" spans="1:24" x14ac:dyDescent="0.25">
      <c r="A8421" s="1" t="str">
        <f t="shared" si="2386"/>
        <v>卡卡杜-凤凰仓</v>
      </c>
      <c r="B8421" s="1" t="str">
        <f>"CK2024100914178"</f>
        <v>CK2024100914178</v>
      </c>
      <c r="C8421" s="1" t="str">
        <f>"DD2024100944899"</f>
        <v>DD2024100944899</v>
      </c>
      <c r="D8421" s="1" t="str">
        <f>"CK2024100944637"</f>
        <v>CK2024100944637</v>
      </c>
      <c r="E8421" s="1" t="str">
        <f>"6917992642516516451"</f>
        <v>6917992642516516451</v>
      </c>
      <c r="F8421" s="1" t="str">
        <f t="shared" si="2387"/>
        <v>花都四部-凤凰仓</v>
      </c>
      <c r="G8421" s="1" t="str">
        <f t="shared" si="2394"/>
        <v>卡卡杜个人护理店（抖店）</v>
      </c>
      <c r="H8421" s="1" t="str">
        <f t="shared" si="2389"/>
        <v>正常订单</v>
      </c>
      <c r="I8421" s="1" t="str">
        <f t="shared" si="2390"/>
        <v>已发货</v>
      </c>
      <c r="J8421" s="1" t="str">
        <f t="shared" si="2398"/>
        <v>2</v>
      </c>
      <c r="K8421" s="1">
        <v>1</v>
      </c>
      <c r="L8421" s="1" t="s">
        <v>18</v>
      </c>
      <c r="M8421" s="1" t="str">
        <f>"广东省 河源市 紫金县 紫城镇"</f>
        <v>广东省 河源市 紫金县 紫城镇</v>
      </c>
      <c r="N8421" s="1" t="str">
        <f t="shared" si="2395"/>
        <v>凡华云仓-韵达-抖音</v>
      </c>
      <c r="O8421" s="5">
        <v>320163350964971</v>
      </c>
      <c r="P8421" s="6">
        <v>0.2</v>
      </c>
      <c r="Q8421" s="11">
        <v>2</v>
      </c>
      <c r="R8421" s="11"/>
      <c r="S8421" s="11"/>
      <c r="T8421" s="11"/>
      <c r="U8421" s="11">
        <f t="shared" si="2385"/>
        <v>2</v>
      </c>
      <c r="W8421">
        <v>2.2000000000000002</v>
      </c>
      <c r="X8421" s="1" t="s">
        <v>18</v>
      </c>
    </row>
    <row r="8422" spans="1:24" x14ac:dyDescent="0.25">
      <c r="A8422" s="1" t="str">
        <f t="shared" si="2386"/>
        <v>卡卡杜-凤凰仓</v>
      </c>
      <c r="B8422" s="1" t="str">
        <f>"CK2024100914174"</f>
        <v>CK2024100914174</v>
      </c>
      <c r="C8422" s="1" t="str">
        <f>"DD2024100944891"</f>
        <v>DD2024100944891</v>
      </c>
      <c r="D8422" s="1" t="str">
        <f>"CK2024100944636"</f>
        <v>CK2024100944636</v>
      </c>
      <c r="E8422" s="1" t="str">
        <f>"6917999720169438403"</f>
        <v>6917999720169438403</v>
      </c>
      <c r="F8422" s="1" t="str">
        <f t="shared" si="2387"/>
        <v>花都四部-凤凰仓</v>
      </c>
      <c r="G8422" s="1" t="str">
        <f t="shared" si="2394"/>
        <v>卡卡杜个人护理店（抖店）</v>
      </c>
      <c r="H8422" s="1" t="str">
        <f t="shared" si="2389"/>
        <v>正常订单</v>
      </c>
      <c r="I8422" s="1" t="str">
        <f t="shared" si="2390"/>
        <v>已发货</v>
      </c>
      <c r="J8422" s="1" t="str">
        <f t="shared" si="2398"/>
        <v>2</v>
      </c>
      <c r="K8422" s="1">
        <v>1</v>
      </c>
      <c r="L8422" s="1" t="s">
        <v>96</v>
      </c>
      <c r="M8422" s="1" t="str">
        <f>"广西壮族自治区 梧州市 万秀区 角嘴街道"</f>
        <v>广西壮族自治区 梧州市 万秀区 角嘴街道</v>
      </c>
      <c r="N8422" s="1" t="str">
        <f t="shared" si="2395"/>
        <v>凡华云仓-韵达-抖音</v>
      </c>
      <c r="O8422" s="5">
        <v>320163350964866</v>
      </c>
      <c r="P8422" s="6">
        <v>0.2</v>
      </c>
      <c r="Q8422" s="11">
        <v>2</v>
      </c>
      <c r="R8422" s="11"/>
      <c r="S8422" s="11"/>
      <c r="T8422" s="11"/>
      <c r="U8422" s="11">
        <f t="shared" si="2385"/>
        <v>2</v>
      </c>
      <c r="W8422">
        <v>2.2000000000000002</v>
      </c>
      <c r="X8422" s="1" t="s">
        <v>96</v>
      </c>
    </row>
    <row r="8423" spans="1:24" x14ac:dyDescent="0.25">
      <c r="A8423" s="1" t="str">
        <f t="shared" si="2386"/>
        <v>卡卡杜-凤凰仓</v>
      </c>
      <c r="B8423" s="1" t="str">
        <f>"CK2024100914182"</f>
        <v>CK2024100914182</v>
      </c>
      <c r="C8423" s="1" t="str">
        <f>"DD2024100944900"</f>
        <v>DD2024100944900</v>
      </c>
      <c r="D8423" s="1" t="str">
        <f>"CK2024100944635"</f>
        <v>CK2024100944635</v>
      </c>
      <c r="E8423" s="1" t="str">
        <f>"6917990485183922142"</f>
        <v>6917990485183922142</v>
      </c>
      <c r="F8423" s="1" t="str">
        <f t="shared" si="2387"/>
        <v>花都四部-凤凰仓</v>
      </c>
      <c r="G8423" s="1" t="str">
        <f t="shared" si="2394"/>
        <v>卡卡杜个人护理店（抖店）</v>
      </c>
      <c r="H8423" s="1" t="str">
        <f t="shared" si="2389"/>
        <v>正常订单</v>
      </c>
      <c r="I8423" s="1" t="str">
        <f t="shared" si="2390"/>
        <v>已发货</v>
      </c>
      <c r="J8423" s="1" t="str">
        <f t="shared" ref="J8423:J8427" si="2399">"1"</f>
        <v>1</v>
      </c>
      <c r="K8423" s="1">
        <v>1</v>
      </c>
      <c r="L8423" s="1" t="s">
        <v>20</v>
      </c>
      <c r="M8423" s="1" t="str">
        <f>"浙江省 杭州市 富阳区 富春街道"</f>
        <v>浙江省 杭州市 富阳区 富春街道</v>
      </c>
      <c r="N8423" s="1" t="str">
        <f t="shared" si="2395"/>
        <v>凡华云仓-韵达-抖音</v>
      </c>
      <c r="O8423" s="5">
        <v>320163350964763</v>
      </c>
      <c r="P8423" s="6">
        <v>0.12</v>
      </c>
      <c r="Q8423" s="11">
        <v>2</v>
      </c>
      <c r="R8423" s="11"/>
      <c r="S8423" s="11"/>
      <c r="T8423" s="11"/>
      <c r="U8423" s="11">
        <f t="shared" si="2385"/>
        <v>2</v>
      </c>
      <c r="W8423">
        <v>2.2000000000000002</v>
      </c>
      <c r="X8423" s="1" t="s">
        <v>20</v>
      </c>
    </row>
    <row r="8424" spans="1:24" x14ac:dyDescent="0.25">
      <c r="A8424" s="1" t="str">
        <f t="shared" si="2386"/>
        <v>卡卡杜-凤凰仓</v>
      </c>
      <c r="B8424" s="1" t="str">
        <f>"CK2024100914156"</f>
        <v>CK2024100914156</v>
      </c>
      <c r="C8424" s="1" t="str">
        <f>"DD2024100944874"</f>
        <v>DD2024100944874</v>
      </c>
      <c r="D8424" s="1" t="str">
        <f>"CK2024100944634"</f>
        <v>CK2024100944634</v>
      </c>
      <c r="E8424" s="1" t="str">
        <f>"6917994975615089842"</f>
        <v>6917994975615089842</v>
      </c>
      <c r="F8424" s="1" t="str">
        <f t="shared" si="2387"/>
        <v>花都四部-凤凰仓</v>
      </c>
      <c r="G8424" s="1" t="str">
        <f t="shared" si="2394"/>
        <v>卡卡杜个人护理店（抖店）</v>
      </c>
      <c r="H8424" s="1" t="str">
        <f t="shared" si="2389"/>
        <v>正常订单</v>
      </c>
      <c r="I8424" s="1" t="str">
        <f t="shared" si="2390"/>
        <v>已发货</v>
      </c>
      <c r="J8424" s="1" t="str">
        <f t="shared" ref="J8424:J8428" si="2400">"2"</f>
        <v>2</v>
      </c>
      <c r="K8424" s="1">
        <v>1</v>
      </c>
      <c r="L8424" s="1" t="s">
        <v>24</v>
      </c>
      <c r="M8424" s="1" t="str">
        <f>"福建省 福州市 闽侯县 鸿尾乡"</f>
        <v>福建省 福州市 闽侯县 鸿尾乡</v>
      </c>
      <c r="N8424" s="1" t="str">
        <f t="shared" si="2395"/>
        <v>凡华云仓-韵达-抖音</v>
      </c>
      <c r="O8424" s="5">
        <v>320163350964662</v>
      </c>
      <c r="P8424" s="6">
        <v>0.33</v>
      </c>
      <c r="Q8424" s="11">
        <v>2.2999999999999998</v>
      </c>
      <c r="R8424" s="11"/>
      <c r="S8424" s="11"/>
      <c r="T8424" s="11"/>
      <c r="U8424" s="11">
        <f t="shared" si="2385"/>
        <v>2.2999999999999998</v>
      </c>
      <c r="W8424">
        <v>2.5</v>
      </c>
      <c r="X8424" s="1" t="s">
        <v>24</v>
      </c>
    </row>
    <row r="8425" spans="1:24" x14ac:dyDescent="0.25">
      <c r="A8425" s="1" t="str">
        <f t="shared" si="2386"/>
        <v>卡卡杜-凤凰仓</v>
      </c>
      <c r="B8425" s="1" t="str">
        <f>"CK2024100914176"</f>
        <v>CK2024100914176</v>
      </c>
      <c r="C8425" s="1" t="str">
        <f>"DD2024100944895"</f>
        <v>DD2024100944895</v>
      </c>
      <c r="D8425" s="1" t="str">
        <f>"CK2024100944633"</f>
        <v>CK2024100944633</v>
      </c>
      <c r="E8425" s="1" t="str">
        <f>"6917990556829318999"</f>
        <v>6917990556829318999</v>
      </c>
      <c r="F8425" s="1" t="str">
        <f t="shared" si="2387"/>
        <v>花都四部-凤凰仓</v>
      </c>
      <c r="G8425" s="1" t="str">
        <f t="shared" si="2394"/>
        <v>卡卡杜个人护理店（抖店）</v>
      </c>
      <c r="H8425" s="1" t="str">
        <f t="shared" si="2389"/>
        <v>正常订单</v>
      </c>
      <c r="I8425" s="1" t="str">
        <f t="shared" si="2390"/>
        <v>已发货</v>
      </c>
      <c r="J8425" s="1" t="str">
        <f t="shared" si="2400"/>
        <v>2</v>
      </c>
      <c r="K8425" s="1">
        <v>1</v>
      </c>
      <c r="L8425" s="1" t="s">
        <v>22</v>
      </c>
      <c r="M8425" s="1" t="str">
        <f>"江西省 赣州市 于都县 "</f>
        <v xml:space="preserve">江西省 赣州市 于都县 </v>
      </c>
      <c r="N8425" s="1" t="str">
        <f t="shared" si="2395"/>
        <v>凡华云仓-韵达-抖音</v>
      </c>
      <c r="O8425" s="5">
        <v>320163350964563</v>
      </c>
      <c r="P8425" s="6">
        <v>0.2</v>
      </c>
      <c r="Q8425" s="11">
        <v>2</v>
      </c>
      <c r="R8425" s="11"/>
      <c r="S8425" s="11"/>
      <c r="T8425" s="11"/>
      <c r="U8425" s="11">
        <f t="shared" si="2385"/>
        <v>2</v>
      </c>
      <c r="W8425">
        <v>2.2000000000000002</v>
      </c>
      <c r="X8425" s="1" t="s">
        <v>22</v>
      </c>
    </row>
    <row r="8426" spans="1:24" x14ac:dyDescent="0.25">
      <c r="A8426" s="1" t="str">
        <f t="shared" si="2386"/>
        <v>卡卡杜-凤凰仓</v>
      </c>
      <c r="B8426" s="1" t="str">
        <f>"CK2024100914181"</f>
        <v>CK2024100914181</v>
      </c>
      <c r="C8426" s="1" t="str">
        <f>"DD2024100944898"</f>
        <v>DD2024100944898</v>
      </c>
      <c r="D8426" s="1" t="str">
        <f>"CK2024100944632"</f>
        <v>CK2024100944632</v>
      </c>
      <c r="E8426" s="1" t="str">
        <f>"6917999632065133670"</f>
        <v>6917999632065133670</v>
      </c>
      <c r="F8426" s="1" t="str">
        <f t="shared" si="2387"/>
        <v>花都四部-凤凰仓</v>
      </c>
      <c r="G8426" s="1" t="str">
        <f t="shared" si="2394"/>
        <v>卡卡杜个人护理店（抖店）</v>
      </c>
      <c r="H8426" s="1" t="str">
        <f t="shared" si="2389"/>
        <v>正常订单</v>
      </c>
      <c r="I8426" s="1" t="str">
        <f t="shared" si="2390"/>
        <v>已发货</v>
      </c>
      <c r="J8426" s="1" t="str">
        <f t="shared" si="2399"/>
        <v>1</v>
      </c>
      <c r="K8426" s="1">
        <v>1</v>
      </c>
      <c r="L8426" s="1" t="s">
        <v>92</v>
      </c>
      <c r="M8426" s="1" t="str">
        <f>"辽宁省 营口市 站前区 "</f>
        <v xml:space="preserve">辽宁省 营口市 站前区 </v>
      </c>
      <c r="N8426" s="1" t="str">
        <f t="shared" si="2395"/>
        <v>凡华云仓-韵达-抖音</v>
      </c>
      <c r="O8426" s="5">
        <v>320163350964466</v>
      </c>
      <c r="P8426" s="6">
        <v>0.12</v>
      </c>
      <c r="Q8426" s="11">
        <v>2</v>
      </c>
      <c r="R8426" s="11"/>
      <c r="S8426" s="11"/>
      <c r="T8426" s="11"/>
      <c r="U8426" s="11">
        <f t="shared" si="2385"/>
        <v>2</v>
      </c>
      <c r="W8426">
        <v>2.2000000000000002</v>
      </c>
      <c r="X8426" s="1" t="s">
        <v>92</v>
      </c>
    </row>
    <row r="8427" spans="1:24" x14ac:dyDescent="0.25">
      <c r="A8427" s="1" t="str">
        <f t="shared" si="2386"/>
        <v>卡卡杜-凤凰仓</v>
      </c>
      <c r="B8427" s="1" t="str">
        <f>"CK2024100914184"</f>
        <v>CK2024100914184</v>
      </c>
      <c r="C8427" s="1" t="str">
        <f>"DD2024100944902"</f>
        <v>DD2024100944902</v>
      </c>
      <c r="D8427" s="1" t="str">
        <f>"CK2024100944631"</f>
        <v>CK2024100944631</v>
      </c>
      <c r="E8427" s="1" t="str">
        <f>"6917992525098155878"</f>
        <v>6917992525098155878</v>
      </c>
      <c r="F8427" s="1" t="str">
        <f t="shared" si="2387"/>
        <v>花都四部-凤凰仓</v>
      </c>
      <c r="G8427" s="1" t="str">
        <f t="shared" si="2394"/>
        <v>卡卡杜个人护理店（抖店）</v>
      </c>
      <c r="H8427" s="1" t="str">
        <f t="shared" si="2389"/>
        <v>正常订单</v>
      </c>
      <c r="I8427" s="1" t="str">
        <f t="shared" si="2390"/>
        <v>已发货</v>
      </c>
      <c r="J8427" s="1" t="str">
        <f t="shared" si="2399"/>
        <v>1</v>
      </c>
      <c r="K8427" s="1">
        <v>1</v>
      </c>
      <c r="L8427" s="1" t="s">
        <v>13</v>
      </c>
      <c r="M8427" s="1" t="str">
        <f>"江苏省 苏州市 昆山市 玉山镇"</f>
        <v>江苏省 苏州市 昆山市 玉山镇</v>
      </c>
      <c r="N8427" s="1" t="str">
        <f t="shared" si="2395"/>
        <v>凡华云仓-韵达-抖音</v>
      </c>
      <c r="O8427" s="5">
        <v>320163350964371</v>
      </c>
      <c r="P8427" s="6">
        <v>0.12</v>
      </c>
      <c r="Q8427" s="11">
        <v>2</v>
      </c>
      <c r="R8427" s="11"/>
      <c r="S8427" s="11"/>
      <c r="T8427" s="11"/>
      <c r="U8427" s="11">
        <f t="shared" si="2385"/>
        <v>2</v>
      </c>
      <c r="W8427">
        <v>2.2000000000000002</v>
      </c>
      <c r="X8427" s="1" t="s">
        <v>13</v>
      </c>
    </row>
    <row r="8428" spans="1:24" x14ac:dyDescent="0.25">
      <c r="A8428" s="1" t="str">
        <f t="shared" si="2386"/>
        <v>卡卡杜-凤凰仓</v>
      </c>
      <c r="B8428" s="1" t="str">
        <f>"CK2024100914150"</f>
        <v>CK2024100914150</v>
      </c>
      <c r="C8428" s="1" t="str">
        <f>"DD2024100944868"</f>
        <v>DD2024100944868</v>
      </c>
      <c r="D8428" s="1" t="str">
        <f>"CK2024100944630"</f>
        <v>CK2024100944630</v>
      </c>
      <c r="E8428" s="1" t="str">
        <f>"6917999712462470318"</f>
        <v>6917999712462470318</v>
      </c>
      <c r="F8428" s="1" t="str">
        <f t="shared" si="2387"/>
        <v>花都四部-凤凰仓</v>
      </c>
      <c r="G8428" s="1" t="str">
        <f t="shared" si="2394"/>
        <v>卡卡杜个人护理店（抖店）</v>
      </c>
      <c r="H8428" s="1" t="str">
        <f t="shared" si="2389"/>
        <v>正常订单</v>
      </c>
      <c r="I8428" s="1" t="str">
        <f t="shared" si="2390"/>
        <v>已发货</v>
      </c>
      <c r="J8428" s="1" t="str">
        <f t="shared" si="2400"/>
        <v>2</v>
      </c>
      <c r="K8428" s="1">
        <v>1</v>
      </c>
      <c r="L8428" s="1" t="s">
        <v>18</v>
      </c>
      <c r="M8428" s="1" t="str">
        <f>"广东省 中山市 中山市 古镇镇"</f>
        <v>广东省 中山市 中山市 古镇镇</v>
      </c>
      <c r="N8428" s="1" t="str">
        <f t="shared" si="2395"/>
        <v>凡华云仓-韵达-抖音</v>
      </c>
      <c r="O8428" s="5">
        <v>320163365592843</v>
      </c>
      <c r="P8428" s="6">
        <v>0.33</v>
      </c>
      <c r="Q8428" s="11">
        <v>2.2999999999999998</v>
      </c>
      <c r="R8428" s="11"/>
      <c r="S8428" s="11"/>
      <c r="T8428" s="11"/>
      <c r="U8428" s="11">
        <f t="shared" si="2385"/>
        <v>2.2999999999999998</v>
      </c>
      <c r="W8428">
        <v>2.5</v>
      </c>
      <c r="X8428" s="1" t="s">
        <v>18</v>
      </c>
    </row>
    <row r="8429" spans="1:24" x14ac:dyDescent="0.25">
      <c r="A8429" s="1" t="str">
        <f t="shared" si="2386"/>
        <v>卡卡杜-凤凰仓</v>
      </c>
      <c r="B8429" s="1" t="str">
        <f>"CK2024100914192"</f>
        <v>CK2024100914192</v>
      </c>
      <c r="C8429" s="1" t="str">
        <f>"DD2024100944913"</f>
        <v>DD2024100944913</v>
      </c>
      <c r="D8429" s="1" t="str">
        <f>"CK2024100944629"</f>
        <v>CK2024100944629</v>
      </c>
      <c r="E8429" s="1" t="str">
        <f>"6917994157539557167"</f>
        <v>6917994157539557167</v>
      </c>
      <c r="F8429" s="1" t="str">
        <f t="shared" si="2387"/>
        <v>花都四部-凤凰仓</v>
      </c>
      <c r="G8429" s="1" t="str">
        <f t="shared" si="2394"/>
        <v>卡卡杜个人护理店（抖店）</v>
      </c>
      <c r="H8429" s="1" t="str">
        <f t="shared" si="2389"/>
        <v>正常订单</v>
      </c>
      <c r="I8429" s="1" t="str">
        <f t="shared" si="2390"/>
        <v>已发货</v>
      </c>
      <c r="J8429" s="1" t="str">
        <f>"1"</f>
        <v>1</v>
      </c>
      <c r="K8429" s="1">
        <v>1</v>
      </c>
      <c r="L8429" s="1" t="s">
        <v>96</v>
      </c>
      <c r="M8429" s="1" t="str">
        <f>"广西壮族自治区 河池市 东兰县 三石镇"</f>
        <v>广西壮族自治区 河池市 东兰县 三石镇</v>
      </c>
      <c r="N8429" s="1" t="str">
        <f t="shared" si="2395"/>
        <v>凡华云仓-韵达-抖音</v>
      </c>
      <c r="O8429" s="5">
        <v>320163365592740</v>
      </c>
      <c r="P8429" s="6">
        <v>0.12</v>
      </c>
      <c r="Q8429" s="11">
        <v>2</v>
      </c>
      <c r="R8429" s="11"/>
      <c r="S8429" s="11"/>
      <c r="T8429" s="11"/>
      <c r="U8429" s="11">
        <f t="shared" si="2385"/>
        <v>2</v>
      </c>
      <c r="W8429">
        <v>2.2000000000000002</v>
      </c>
      <c r="X8429" s="1" t="s">
        <v>96</v>
      </c>
    </row>
    <row r="8430" spans="1:24" x14ac:dyDescent="0.25">
      <c r="A8430" s="1" t="str">
        <f t="shared" si="2386"/>
        <v>卡卡杜-凤凰仓</v>
      </c>
      <c r="B8430" s="1" t="str">
        <f>"CK2024100914158"</f>
        <v>CK2024100914158</v>
      </c>
      <c r="C8430" s="1" t="str">
        <f>"DD2024100944876"</f>
        <v>DD2024100944876</v>
      </c>
      <c r="D8430" s="1" t="str">
        <f>"CK2024100944628"</f>
        <v>CK2024100944628</v>
      </c>
      <c r="E8430" s="1" t="str">
        <f>"6917995112862547272"</f>
        <v>6917995112862547272</v>
      </c>
      <c r="F8430" s="1" t="str">
        <f t="shared" si="2387"/>
        <v>花都四部-凤凰仓</v>
      </c>
      <c r="G8430" s="1" t="str">
        <f t="shared" si="2394"/>
        <v>卡卡杜个人护理店（抖店）</v>
      </c>
      <c r="H8430" s="1" t="str">
        <f t="shared" si="2389"/>
        <v>正常订单</v>
      </c>
      <c r="I8430" s="1" t="str">
        <f t="shared" si="2390"/>
        <v>已发货</v>
      </c>
      <c r="J8430" s="1" t="str">
        <f t="shared" ref="J8430:J8432" si="2401">"2"</f>
        <v>2</v>
      </c>
      <c r="K8430" s="1">
        <v>1</v>
      </c>
      <c r="L8430" s="1" t="s">
        <v>18</v>
      </c>
      <c r="M8430" s="1" t="str">
        <f>"广东省 江门市 台山市 大江镇"</f>
        <v>广东省 江门市 台山市 大江镇</v>
      </c>
      <c r="N8430" s="1" t="str">
        <f t="shared" si="2395"/>
        <v>凡华云仓-韵达-抖音</v>
      </c>
      <c r="O8430" s="5">
        <v>320163365592639</v>
      </c>
      <c r="P8430" s="6">
        <v>0.33</v>
      </c>
      <c r="Q8430" s="11">
        <v>2.2999999999999998</v>
      </c>
      <c r="R8430" s="11"/>
      <c r="S8430" s="11"/>
      <c r="T8430" s="11"/>
      <c r="U8430" s="11">
        <f t="shared" si="2385"/>
        <v>2.2999999999999998</v>
      </c>
      <c r="W8430">
        <v>2.5</v>
      </c>
      <c r="X8430" s="1" t="s">
        <v>18</v>
      </c>
    </row>
    <row r="8431" spans="1:24" x14ac:dyDescent="0.25">
      <c r="A8431" s="1" t="str">
        <f t="shared" si="2386"/>
        <v>卡卡杜-凤凰仓</v>
      </c>
      <c r="B8431" s="1" t="str">
        <f>"CK2024100914160"</f>
        <v>CK2024100914160</v>
      </c>
      <c r="C8431" s="1" t="str">
        <f>"DD2024100944877"</f>
        <v>DD2024100944877</v>
      </c>
      <c r="D8431" s="1" t="str">
        <f>"CK2024100944627"</f>
        <v>CK2024100944627</v>
      </c>
      <c r="E8431" s="1" t="str">
        <f>"6917999688928296735"</f>
        <v>6917999688928296735</v>
      </c>
      <c r="F8431" s="1" t="str">
        <f t="shared" si="2387"/>
        <v>花都四部-凤凰仓</v>
      </c>
      <c r="G8431" s="1" t="str">
        <f t="shared" si="2394"/>
        <v>卡卡杜个人护理店（抖店）</v>
      </c>
      <c r="H8431" s="1" t="str">
        <f t="shared" si="2389"/>
        <v>正常订单</v>
      </c>
      <c r="I8431" s="1" t="str">
        <f t="shared" si="2390"/>
        <v>已发货</v>
      </c>
      <c r="J8431" s="1" t="str">
        <f t="shared" si="2401"/>
        <v>2</v>
      </c>
      <c r="K8431" s="1">
        <v>1</v>
      </c>
      <c r="L8431" s="1" t="s">
        <v>20</v>
      </c>
      <c r="M8431" s="1" t="str">
        <f>"浙江省 湖州市 长兴县 画溪街道"</f>
        <v>浙江省 湖州市 长兴县 画溪街道</v>
      </c>
      <c r="N8431" s="1" t="str">
        <f t="shared" si="2395"/>
        <v>凡华云仓-韵达-抖音</v>
      </c>
      <c r="O8431" s="5">
        <v>320163365592540</v>
      </c>
      <c r="P8431" s="6">
        <v>0.33</v>
      </c>
      <c r="Q8431" s="11">
        <v>2.2999999999999998</v>
      </c>
      <c r="R8431" s="11"/>
      <c r="S8431" s="11"/>
      <c r="T8431" s="11"/>
      <c r="U8431" s="11">
        <f t="shared" si="2385"/>
        <v>2.2999999999999998</v>
      </c>
      <c r="W8431">
        <v>2.5</v>
      </c>
      <c r="X8431" s="1" t="s">
        <v>20</v>
      </c>
    </row>
    <row r="8432" spans="1:24" x14ac:dyDescent="0.25">
      <c r="A8432" s="1" t="str">
        <f t="shared" si="2386"/>
        <v>卡卡杜-凤凰仓</v>
      </c>
      <c r="B8432" s="1" t="str">
        <f>"CK2024100914171"</f>
        <v>CK2024100914171</v>
      </c>
      <c r="C8432" s="1" t="str">
        <f>"DD2024100944889"</f>
        <v>DD2024100944889</v>
      </c>
      <c r="D8432" s="1" t="str">
        <f>"CK2024100944626"</f>
        <v>CK2024100944626</v>
      </c>
      <c r="E8432" s="1" t="str">
        <f>"6917992616342224609"</f>
        <v>6917992616342224609</v>
      </c>
      <c r="F8432" s="1" t="str">
        <f t="shared" si="2387"/>
        <v>花都四部-凤凰仓</v>
      </c>
      <c r="G8432" s="1" t="str">
        <f t="shared" si="2394"/>
        <v>卡卡杜个人护理店（抖店）</v>
      </c>
      <c r="H8432" s="1" t="str">
        <f t="shared" si="2389"/>
        <v>正常订单</v>
      </c>
      <c r="I8432" s="1" t="str">
        <f t="shared" si="2390"/>
        <v>已发货</v>
      </c>
      <c r="J8432" s="1" t="str">
        <f t="shared" si="2401"/>
        <v>2</v>
      </c>
      <c r="K8432" s="1">
        <v>1</v>
      </c>
      <c r="L8432" s="1" t="s">
        <v>36</v>
      </c>
      <c r="M8432" s="1" t="str">
        <f>"安徽省 滁州市 定远县 定城镇"</f>
        <v>安徽省 滁州市 定远县 定城镇</v>
      </c>
      <c r="N8432" s="1" t="str">
        <f t="shared" si="2395"/>
        <v>凡华云仓-韵达-抖音</v>
      </c>
      <c r="O8432" s="5">
        <v>320163365592443</v>
      </c>
      <c r="P8432" s="6">
        <v>0.33</v>
      </c>
      <c r="Q8432" s="11">
        <v>2.2999999999999998</v>
      </c>
      <c r="R8432" s="11"/>
      <c r="S8432" s="11"/>
      <c r="T8432" s="11"/>
      <c r="U8432" s="11">
        <f t="shared" si="2385"/>
        <v>2.2999999999999998</v>
      </c>
      <c r="W8432">
        <v>2.5</v>
      </c>
      <c r="X8432" s="1" t="s">
        <v>36</v>
      </c>
    </row>
    <row r="8433" spans="1:24" x14ac:dyDescent="0.25">
      <c r="A8433" s="1" t="str">
        <f t="shared" si="2386"/>
        <v>卡卡杜-凤凰仓</v>
      </c>
      <c r="B8433" s="1" t="str">
        <f>"CK2024100614266"</f>
        <v>CK2024100614266</v>
      </c>
      <c r="C8433" s="1" t="str">
        <f>"DD2024100644489"</f>
        <v>DD2024100644489</v>
      </c>
      <c r="D8433" s="1" t="str">
        <f>"CK2024100640765"</f>
        <v>CK2024100640765</v>
      </c>
      <c r="E8433" s="1" t="str">
        <f>"6917870174186143202"</f>
        <v>6917870174186143202</v>
      </c>
      <c r="F8433" s="1" t="str">
        <f t="shared" si="2387"/>
        <v>花都四部-凤凰仓</v>
      </c>
      <c r="G8433" s="1" t="str">
        <f t="shared" si="2394"/>
        <v>卡卡杜个人护理店（抖店）</v>
      </c>
      <c r="H8433" s="1" t="str">
        <f t="shared" si="2389"/>
        <v>正常订单</v>
      </c>
      <c r="I8433" s="1" t="str">
        <f t="shared" si="2390"/>
        <v>已发货</v>
      </c>
      <c r="J8433" s="1" t="str">
        <f>"4"</f>
        <v>4</v>
      </c>
      <c r="K8433" s="1">
        <v>1</v>
      </c>
      <c r="L8433" s="1" t="s">
        <v>18</v>
      </c>
      <c r="M8433" s="1" t="str">
        <f>"广东省 佛山市 禅城区 "</f>
        <v xml:space="preserve">广东省 佛山市 禅城区 </v>
      </c>
      <c r="N8433" s="1" t="str">
        <f t="shared" si="2395"/>
        <v>凡华云仓-韵达-抖音</v>
      </c>
      <c r="O8433" s="5">
        <v>320158406099693</v>
      </c>
      <c r="P8433" s="6">
        <v>0.57999999999999996</v>
      </c>
      <c r="Q8433" s="11">
        <f>CEILING(P8433-0.5,0.1)*10*0.15+2.3</f>
        <v>2.4499999999999997</v>
      </c>
      <c r="R8433" s="11"/>
      <c r="S8433" s="11"/>
      <c r="T8433" s="11"/>
      <c r="U8433" s="11">
        <f t="shared" si="2385"/>
        <v>2.4499999999999997</v>
      </c>
      <c r="V8433" t="s">
        <v>15</v>
      </c>
      <c r="W8433">
        <v>2.4500000000000002</v>
      </c>
      <c r="X8433" s="1" t="s">
        <v>18</v>
      </c>
    </row>
    <row r="8434" spans="1:24" x14ac:dyDescent="0.25">
      <c r="A8434" s="1" t="str">
        <f t="shared" si="2386"/>
        <v>卡卡杜-凤凰仓</v>
      </c>
      <c r="B8434" s="1" t="str">
        <f>"CK2024100914165"</f>
        <v>CK2024100914165</v>
      </c>
      <c r="C8434" s="1" t="str">
        <f>"DD2024100944883"</f>
        <v>DD2024100944883</v>
      </c>
      <c r="D8434" s="1" t="str">
        <f>"CK2024100944624"</f>
        <v>CK2024100944624</v>
      </c>
      <c r="E8434" s="1" t="str">
        <f>"6917990485958098089"</f>
        <v>6917990485958098089</v>
      </c>
      <c r="F8434" s="1" t="str">
        <f t="shared" si="2387"/>
        <v>花都四部-凤凰仓</v>
      </c>
      <c r="G8434" s="1" t="str">
        <f t="shared" si="2394"/>
        <v>卡卡杜个人护理店（抖店）</v>
      </c>
      <c r="H8434" s="1" t="str">
        <f t="shared" si="2389"/>
        <v>正常订单</v>
      </c>
      <c r="I8434" s="1" t="str">
        <f t="shared" si="2390"/>
        <v>已发货</v>
      </c>
      <c r="J8434" s="1" t="str">
        <f t="shared" ref="J8434:J8439" si="2402">"2"</f>
        <v>2</v>
      </c>
      <c r="K8434" s="1">
        <v>1</v>
      </c>
      <c r="L8434" s="1" t="s">
        <v>16</v>
      </c>
      <c r="M8434" s="1" t="str">
        <f>"河北省 石家庄市 深泽县 深泽镇"</f>
        <v>河北省 石家庄市 深泽县 深泽镇</v>
      </c>
      <c r="N8434" s="1" t="str">
        <f t="shared" si="2395"/>
        <v>凡华云仓-韵达-抖音</v>
      </c>
      <c r="O8434" s="5">
        <v>320163365592255</v>
      </c>
      <c r="P8434" s="6">
        <v>0.33</v>
      </c>
      <c r="Q8434" s="11">
        <v>2.2999999999999998</v>
      </c>
      <c r="R8434" s="11"/>
      <c r="S8434" s="11"/>
      <c r="T8434" s="11"/>
      <c r="U8434" s="11">
        <f t="shared" si="2385"/>
        <v>2.2999999999999998</v>
      </c>
      <c r="W8434">
        <v>2.5</v>
      </c>
      <c r="X8434" s="1" t="s">
        <v>16</v>
      </c>
    </row>
    <row r="8435" spans="1:24" x14ac:dyDescent="0.25">
      <c r="A8435" s="1" t="str">
        <f t="shared" si="2386"/>
        <v>卡卡杜-凤凰仓</v>
      </c>
      <c r="B8435" s="1" t="str">
        <f>"CK2024100914169"</f>
        <v>CK2024100914169</v>
      </c>
      <c r="C8435" s="1" t="str">
        <f>"DD2024100944887"</f>
        <v>DD2024100944887</v>
      </c>
      <c r="D8435" s="1" t="str">
        <f>"CK2024100944623"</f>
        <v>CK2024100944623</v>
      </c>
      <c r="E8435" s="1" t="str">
        <f>"6917994629776965214"</f>
        <v>6917994629776965214</v>
      </c>
      <c r="F8435" s="1" t="str">
        <f t="shared" si="2387"/>
        <v>花都四部-凤凰仓</v>
      </c>
      <c r="G8435" s="1" t="str">
        <f t="shared" si="2394"/>
        <v>卡卡杜个人护理店（抖店）</v>
      </c>
      <c r="H8435" s="1" t="str">
        <f t="shared" si="2389"/>
        <v>正常订单</v>
      </c>
      <c r="I8435" s="1" t="str">
        <f t="shared" si="2390"/>
        <v>已发货</v>
      </c>
      <c r="J8435" s="1" t="str">
        <f t="shared" si="2402"/>
        <v>2</v>
      </c>
      <c r="K8435" s="1">
        <v>1</v>
      </c>
      <c r="L8435" s="1" t="s">
        <v>24</v>
      </c>
      <c r="M8435" s="1" t="str">
        <f>"福建省 漳州市 漳浦县 旧镇"</f>
        <v>福建省 漳州市 漳浦县 旧镇</v>
      </c>
      <c r="N8435" s="1" t="str">
        <f t="shared" si="2395"/>
        <v>凡华云仓-韵达-抖音</v>
      </c>
      <c r="O8435" s="5">
        <v>320163365592164</v>
      </c>
      <c r="P8435" s="6">
        <v>0.33</v>
      </c>
      <c r="Q8435" s="11">
        <v>2.2999999999999998</v>
      </c>
      <c r="R8435" s="11"/>
      <c r="S8435" s="11"/>
      <c r="T8435" s="11"/>
      <c r="U8435" s="11">
        <f t="shared" si="2385"/>
        <v>2.2999999999999998</v>
      </c>
      <c r="W8435">
        <v>2.5</v>
      </c>
      <c r="X8435" s="1" t="s">
        <v>24</v>
      </c>
    </row>
    <row r="8436" spans="1:24" x14ac:dyDescent="0.25">
      <c r="A8436" s="1" t="str">
        <f t="shared" si="2386"/>
        <v>卡卡杜-凤凰仓</v>
      </c>
      <c r="B8436" s="1" t="str">
        <f>"CK2024100914170"</f>
        <v>CK2024100914170</v>
      </c>
      <c r="C8436" s="1" t="str">
        <f>"DD2024100944888"</f>
        <v>DD2024100944888</v>
      </c>
      <c r="D8436" s="1" t="str">
        <f>"CK2024100944622"</f>
        <v>CK2024100944622</v>
      </c>
      <c r="E8436" s="1" t="str">
        <f>"6917994895967878923"</f>
        <v>6917994895967878923</v>
      </c>
      <c r="F8436" s="1" t="str">
        <f t="shared" si="2387"/>
        <v>花都四部-凤凰仓</v>
      </c>
      <c r="G8436" s="1" t="str">
        <f t="shared" si="2394"/>
        <v>卡卡杜个人护理店（抖店）</v>
      </c>
      <c r="H8436" s="1" t="str">
        <f t="shared" si="2389"/>
        <v>正常订单</v>
      </c>
      <c r="I8436" s="1" t="str">
        <f t="shared" si="2390"/>
        <v>已发货</v>
      </c>
      <c r="J8436" s="1" t="str">
        <f t="shared" si="2402"/>
        <v>2</v>
      </c>
      <c r="K8436" s="1">
        <v>1</v>
      </c>
      <c r="L8436" s="1" t="s">
        <v>41</v>
      </c>
      <c r="M8436" s="1" t="str">
        <f>"湖北省 黄冈市 麻城市 中馆驿镇"</f>
        <v>湖北省 黄冈市 麻城市 中馆驿镇</v>
      </c>
      <c r="N8436" s="1" t="str">
        <f t="shared" si="2395"/>
        <v>凡华云仓-韵达-抖音</v>
      </c>
      <c r="O8436" s="5">
        <v>320163365592075</v>
      </c>
      <c r="P8436" s="6">
        <v>0.33</v>
      </c>
      <c r="Q8436" s="11">
        <v>2.2999999999999998</v>
      </c>
      <c r="R8436" s="11"/>
      <c r="S8436" s="11"/>
      <c r="T8436" s="11"/>
      <c r="U8436" s="11">
        <f t="shared" si="2385"/>
        <v>2.2999999999999998</v>
      </c>
      <c r="W8436">
        <v>2.5</v>
      </c>
      <c r="X8436" s="1" t="s">
        <v>41</v>
      </c>
    </row>
    <row r="8437" spans="1:24" x14ac:dyDescent="0.25">
      <c r="A8437" s="1" t="str">
        <f t="shared" si="2386"/>
        <v>卡卡杜-凤凰仓</v>
      </c>
      <c r="B8437" s="1" t="str">
        <f>"CK2024100914161"</f>
        <v>CK2024100914161</v>
      </c>
      <c r="C8437" s="1" t="str">
        <f>"DD2024100944881"</f>
        <v>DD2024100944881</v>
      </c>
      <c r="D8437" s="1" t="str">
        <f>"CK2024100944621"</f>
        <v>CK2024100944621</v>
      </c>
      <c r="E8437" s="1" t="str">
        <f>"6917990256833691247"</f>
        <v>6917990256833691247</v>
      </c>
      <c r="F8437" s="1" t="str">
        <f t="shared" si="2387"/>
        <v>花都四部-凤凰仓</v>
      </c>
      <c r="G8437" s="1" t="str">
        <f t="shared" si="2394"/>
        <v>卡卡杜个人护理店（抖店）</v>
      </c>
      <c r="H8437" s="1" t="str">
        <f t="shared" si="2389"/>
        <v>正常订单</v>
      </c>
      <c r="I8437" s="1" t="str">
        <f t="shared" si="2390"/>
        <v>已发货</v>
      </c>
      <c r="J8437" s="1" t="str">
        <f t="shared" si="2402"/>
        <v>2</v>
      </c>
      <c r="K8437" s="1">
        <v>1</v>
      </c>
      <c r="L8437" s="1" t="s">
        <v>22</v>
      </c>
      <c r="M8437" s="1" t="str">
        <f>"江西省 南昌市 青云谱区 徐家坊街道"</f>
        <v>江西省 南昌市 青云谱区 徐家坊街道</v>
      </c>
      <c r="N8437" s="1" t="str">
        <f t="shared" si="2395"/>
        <v>凡华云仓-韵达-抖音</v>
      </c>
      <c r="O8437" s="5">
        <v>320163365591957</v>
      </c>
      <c r="P8437" s="6">
        <v>0.33</v>
      </c>
      <c r="Q8437" s="11">
        <v>2.2999999999999998</v>
      </c>
      <c r="R8437" s="11"/>
      <c r="S8437" s="11"/>
      <c r="T8437" s="11"/>
      <c r="U8437" s="11">
        <f t="shared" si="2385"/>
        <v>2.2999999999999998</v>
      </c>
      <c r="W8437">
        <v>2.5</v>
      </c>
      <c r="X8437" s="1" t="s">
        <v>22</v>
      </c>
    </row>
    <row r="8438" spans="1:24" x14ac:dyDescent="0.25">
      <c r="A8438" s="1" t="str">
        <f t="shared" si="2386"/>
        <v>卡卡杜-凤凰仓</v>
      </c>
      <c r="B8438" s="1" t="str">
        <f>"CK2024100914162"</f>
        <v>CK2024100914162</v>
      </c>
      <c r="C8438" s="1" t="str">
        <f>"DD2024100944879"</f>
        <v>DD2024100944879</v>
      </c>
      <c r="D8438" s="1" t="str">
        <f>"CK2024100944620"</f>
        <v>CK2024100944620</v>
      </c>
      <c r="E8438" s="1" t="str">
        <f>"6917992358827228315"</f>
        <v>6917992358827228315</v>
      </c>
      <c r="F8438" s="1" t="str">
        <f t="shared" si="2387"/>
        <v>花都四部-凤凰仓</v>
      </c>
      <c r="G8438" s="1" t="str">
        <f t="shared" si="2394"/>
        <v>卡卡杜个人护理店（抖店）</v>
      </c>
      <c r="H8438" s="1" t="str">
        <f t="shared" si="2389"/>
        <v>正常订单</v>
      </c>
      <c r="I8438" s="1" t="str">
        <f t="shared" si="2390"/>
        <v>已发货</v>
      </c>
      <c r="J8438" s="1" t="str">
        <f t="shared" si="2402"/>
        <v>2</v>
      </c>
      <c r="K8438" s="1">
        <v>1</v>
      </c>
      <c r="L8438" s="1" t="s">
        <v>20</v>
      </c>
      <c r="M8438" s="1" t="str">
        <f>"浙江省 杭州市 富阳区 春江街道"</f>
        <v>浙江省 杭州市 富阳区 春江街道</v>
      </c>
      <c r="N8438" s="1" t="str">
        <f t="shared" si="2395"/>
        <v>凡华云仓-韵达-抖音</v>
      </c>
      <c r="O8438" s="5">
        <v>320163375035864</v>
      </c>
      <c r="P8438" s="6">
        <v>0.33</v>
      </c>
      <c r="Q8438" s="11">
        <v>2.2999999999999998</v>
      </c>
      <c r="R8438" s="11"/>
      <c r="S8438" s="11"/>
      <c r="T8438" s="11"/>
      <c r="U8438" s="11">
        <f t="shared" si="2385"/>
        <v>2.2999999999999998</v>
      </c>
      <c r="W8438">
        <v>2.5</v>
      </c>
      <c r="X8438" s="1" t="s">
        <v>20</v>
      </c>
    </row>
    <row r="8439" spans="1:24" x14ac:dyDescent="0.25">
      <c r="A8439" s="1" t="str">
        <f t="shared" si="2386"/>
        <v>卡卡杜-凤凰仓</v>
      </c>
      <c r="B8439" s="1" t="str">
        <f>"CK2024100914163"</f>
        <v>CK2024100914163</v>
      </c>
      <c r="C8439" s="1" t="str">
        <f>"DD2024100944880"</f>
        <v>DD2024100944880</v>
      </c>
      <c r="D8439" s="1" t="str">
        <f>"CK2024100944619"</f>
        <v>CK2024100944619</v>
      </c>
      <c r="E8439" s="1" t="str">
        <f>"6917990346034019629"</f>
        <v>6917990346034019629</v>
      </c>
      <c r="F8439" s="1" t="str">
        <f t="shared" si="2387"/>
        <v>花都四部-凤凰仓</v>
      </c>
      <c r="G8439" s="1" t="str">
        <f t="shared" si="2394"/>
        <v>卡卡杜个人护理店（抖店）</v>
      </c>
      <c r="H8439" s="1" t="str">
        <f t="shared" si="2389"/>
        <v>正常订单</v>
      </c>
      <c r="I8439" s="1" t="str">
        <f t="shared" si="2390"/>
        <v>已发货</v>
      </c>
      <c r="J8439" s="1" t="str">
        <f t="shared" si="2402"/>
        <v>2</v>
      </c>
      <c r="K8439" s="1">
        <v>1</v>
      </c>
      <c r="L8439" s="1" t="s">
        <v>218</v>
      </c>
      <c r="M8439" s="1" t="str">
        <f>"天津 天津市 静海区 大邱庄镇"</f>
        <v>天津 天津市 静海区 大邱庄镇</v>
      </c>
      <c r="N8439" s="1" t="str">
        <f t="shared" si="2395"/>
        <v>凡华云仓-韵达-抖音</v>
      </c>
      <c r="O8439" s="5">
        <v>320163375035761</v>
      </c>
      <c r="P8439" s="6">
        <v>0.33</v>
      </c>
      <c r="Q8439" s="11">
        <v>2.2999999999999998</v>
      </c>
      <c r="R8439" s="11"/>
      <c r="S8439" s="11"/>
      <c r="T8439" s="11"/>
      <c r="U8439" s="11">
        <f t="shared" si="2385"/>
        <v>2.2999999999999998</v>
      </c>
      <c r="W8439">
        <v>2.5</v>
      </c>
      <c r="X8439" s="1" t="s">
        <v>218</v>
      </c>
    </row>
    <row r="8440" spans="1:24" x14ac:dyDescent="0.25">
      <c r="A8440" s="1" t="str">
        <f t="shared" si="2386"/>
        <v>卡卡杜-凤凰仓</v>
      </c>
      <c r="B8440" s="1" t="str">
        <f>"CK2024100614292"</f>
        <v>CK2024100614292</v>
      </c>
      <c r="C8440" s="1" t="str">
        <f>"DD2024100644514"</f>
        <v>DD2024100644514</v>
      </c>
      <c r="D8440" s="1" t="str">
        <f>"CK2024100640729"</f>
        <v>CK2024100640729</v>
      </c>
      <c r="E8440" s="1" t="str">
        <f>"6917863566851276073"</f>
        <v>6917863566851276073</v>
      </c>
      <c r="F8440" s="1" t="str">
        <f t="shared" si="2387"/>
        <v>花都四部-凤凰仓</v>
      </c>
      <c r="G8440" s="1" t="str">
        <f t="shared" si="2394"/>
        <v>卡卡杜个人护理店（抖店）</v>
      </c>
      <c r="H8440" s="1" t="str">
        <f t="shared" si="2389"/>
        <v>正常订单</v>
      </c>
      <c r="I8440" s="1" t="str">
        <f t="shared" si="2390"/>
        <v>已发货</v>
      </c>
      <c r="J8440" s="1" t="str">
        <f>"4"</f>
        <v>4</v>
      </c>
      <c r="K8440" s="1">
        <v>1</v>
      </c>
      <c r="L8440" s="1" t="s">
        <v>18</v>
      </c>
      <c r="M8440" s="1" t="str">
        <f>"广东省 东莞市 东莞市 塘厦镇"</f>
        <v>广东省 东莞市 东莞市 塘厦镇</v>
      </c>
      <c r="N8440" s="1" t="str">
        <f t="shared" si="2395"/>
        <v>凡华云仓-韵达-抖音</v>
      </c>
      <c r="O8440" s="5">
        <v>320158399853949</v>
      </c>
      <c r="P8440" s="6">
        <v>0.57999999999999996</v>
      </c>
      <c r="Q8440" s="11">
        <f>CEILING(P8440-0.5,0.1)*10*0.15+2.3</f>
        <v>2.4499999999999997</v>
      </c>
      <c r="R8440" s="11"/>
      <c r="S8440" s="11"/>
      <c r="T8440" s="11"/>
      <c r="U8440" s="11">
        <f t="shared" si="2385"/>
        <v>2.4499999999999997</v>
      </c>
      <c r="V8440" t="s">
        <v>15</v>
      </c>
      <c r="W8440">
        <v>2.4500000000000002</v>
      </c>
      <c r="X8440" s="1" t="s">
        <v>18</v>
      </c>
    </row>
    <row r="8441" spans="1:24" x14ac:dyDescent="0.25">
      <c r="A8441" s="1" t="str">
        <f t="shared" si="2386"/>
        <v>卡卡杜-凤凰仓</v>
      </c>
      <c r="B8441" s="1" t="str">
        <f>"CK2024100914159"</f>
        <v>CK2024100914159</v>
      </c>
      <c r="C8441" s="1" t="str">
        <f>"DD2024100944878"</f>
        <v>DD2024100944878</v>
      </c>
      <c r="D8441" s="1" t="str">
        <f>"CK2024100944617"</f>
        <v>CK2024100944617</v>
      </c>
      <c r="E8441" s="1" t="str">
        <f>"6917994810406501561"</f>
        <v>6917994810406501561</v>
      </c>
      <c r="F8441" s="1" t="str">
        <f t="shared" si="2387"/>
        <v>花都四部-凤凰仓</v>
      </c>
      <c r="G8441" s="1" t="str">
        <f t="shared" si="2394"/>
        <v>卡卡杜个人护理店（抖店）</v>
      </c>
      <c r="H8441" s="1" t="str">
        <f t="shared" si="2389"/>
        <v>正常订单</v>
      </c>
      <c r="I8441" s="1" t="str">
        <f t="shared" si="2390"/>
        <v>已发货</v>
      </c>
      <c r="J8441" s="1" t="str">
        <f t="shared" ref="J8441:J8446" si="2403">"2"</f>
        <v>2</v>
      </c>
      <c r="K8441" s="1">
        <v>1</v>
      </c>
      <c r="L8441" s="1" t="s">
        <v>74</v>
      </c>
      <c r="M8441" s="1" t="str">
        <f>"上海 上海市 崇明区 陈家镇"</f>
        <v>上海 上海市 崇明区 陈家镇</v>
      </c>
      <c r="N8441" s="1" t="str">
        <f t="shared" si="2395"/>
        <v>凡华云仓-韵达-抖音</v>
      </c>
      <c r="O8441" s="5">
        <v>320163375035561</v>
      </c>
      <c r="P8441" s="6">
        <v>0.33</v>
      </c>
      <c r="Q8441" s="11">
        <v>2.2999999999999998</v>
      </c>
      <c r="R8441" s="11"/>
      <c r="S8441" s="11"/>
      <c r="T8441" s="11"/>
      <c r="U8441" s="11">
        <f t="shared" si="2385"/>
        <v>2.2999999999999998</v>
      </c>
      <c r="W8441">
        <v>2.5</v>
      </c>
      <c r="X8441" s="1" t="s">
        <v>74</v>
      </c>
    </row>
    <row r="8442" spans="1:24" x14ac:dyDescent="0.25">
      <c r="A8442" s="1" t="str">
        <f t="shared" si="2386"/>
        <v>卡卡杜-凤凰仓</v>
      </c>
      <c r="B8442" s="1" t="str">
        <f>"CK2024100914164"</f>
        <v>CK2024100914164</v>
      </c>
      <c r="C8442" s="1" t="str">
        <f>"DD2024100944882"</f>
        <v>DD2024100944882</v>
      </c>
      <c r="D8442" s="1" t="str">
        <f>"CK2024100944616"</f>
        <v>CK2024100944616</v>
      </c>
      <c r="E8442" s="1" t="str">
        <f>"6917992220585000420"</f>
        <v>6917992220585000420</v>
      </c>
      <c r="F8442" s="1" t="str">
        <f t="shared" si="2387"/>
        <v>花都四部-凤凰仓</v>
      </c>
      <c r="G8442" s="1" t="str">
        <f t="shared" si="2394"/>
        <v>卡卡杜个人护理店（抖店）</v>
      </c>
      <c r="H8442" s="1" t="str">
        <f t="shared" si="2389"/>
        <v>正常订单</v>
      </c>
      <c r="I8442" s="1" t="str">
        <f t="shared" si="2390"/>
        <v>已发货</v>
      </c>
      <c r="J8442" s="1" t="str">
        <f t="shared" si="2403"/>
        <v>2</v>
      </c>
      <c r="K8442" s="1">
        <v>1</v>
      </c>
      <c r="L8442" s="1" t="s">
        <v>18</v>
      </c>
      <c r="M8442" s="1" t="str">
        <f>"广东省 东莞市 东莞市 石碣镇"</f>
        <v>广东省 东莞市 东莞市 石碣镇</v>
      </c>
      <c r="N8442" s="1" t="str">
        <f t="shared" si="2395"/>
        <v>凡华云仓-韵达-抖音</v>
      </c>
      <c r="O8442" s="5">
        <v>320163375035464</v>
      </c>
      <c r="P8442" s="6">
        <v>0.33</v>
      </c>
      <c r="Q8442" s="11">
        <v>2.2999999999999998</v>
      </c>
      <c r="R8442" s="11"/>
      <c r="S8442" s="11"/>
      <c r="T8442" s="11"/>
      <c r="U8442" s="11">
        <f t="shared" si="2385"/>
        <v>2.2999999999999998</v>
      </c>
      <c r="W8442">
        <v>2.5</v>
      </c>
      <c r="X8442" s="1" t="s">
        <v>18</v>
      </c>
    </row>
    <row r="8443" spans="1:24" x14ac:dyDescent="0.25">
      <c r="A8443" s="1" t="str">
        <f t="shared" si="2386"/>
        <v>卡卡杜-凤凰仓</v>
      </c>
      <c r="B8443" s="1" t="str">
        <f>"CK2024100914166"</f>
        <v>CK2024100914166</v>
      </c>
      <c r="C8443" s="1" t="str">
        <f>"DD2024100944884"</f>
        <v>DD2024100944884</v>
      </c>
      <c r="D8443" s="1" t="str">
        <f>"CK2024100944615"</f>
        <v>CK2024100944615</v>
      </c>
      <c r="E8443" s="1" t="str">
        <f>"6917992611677175132"</f>
        <v>6917992611677175132</v>
      </c>
      <c r="F8443" s="1" t="str">
        <f t="shared" si="2387"/>
        <v>花都四部-凤凰仓</v>
      </c>
      <c r="G8443" s="1" t="str">
        <f t="shared" si="2394"/>
        <v>卡卡杜个人护理店（抖店）</v>
      </c>
      <c r="H8443" s="1" t="str">
        <f t="shared" si="2389"/>
        <v>正常订单</v>
      </c>
      <c r="I8443" s="1" t="str">
        <f t="shared" si="2390"/>
        <v>已发货</v>
      </c>
      <c r="J8443" s="1" t="str">
        <f t="shared" si="2403"/>
        <v>2</v>
      </c>
      <c r="K8443" s="1">
        <v>1</v>
      </c>
      <c r="L8443" s="1" t="s">
        <v>18</v>
      </c>
      <c r="M8443" s="1" t="str">
        <f>"广东省 广州市 海珠区 新港街道"</f>
        <v>广东省 广州市 海珠区 新港街道</v>
      </c>
      <c r="N8443" s="1" t="str">
        <f t="shared" si="2395"/>
        <v>凡华云仓-韵达-抖音</v>
      </c>
      <c r="O8443" s="5">
        <v>320163375035369</v>
      </c>
      <c r="P8443" s="6">
        <v>0.33</v>
      </c>
      <c r="Q8443" s="11">
        <v>2.2999999999999998</v>
      </c>
      <c r="R8443" s="11"/>
      <c r="S8443" s="11"/>
      <c r="T8443" s="11"/>
      <c r="U8443" s="11">
        <f t="shared" si="2385"/>
        <v>2.2999999999999998</v>
      </c>
      <c r="W8443">
        <v>2.5</v>
      </c>
      <c r="X8443" s="1" t="s">
        <v>18</v>
      </c>
    </row>
    <row r="8444" spans="1:24" x14ac:dyDescent="0.25">
      <c r="A8444" s="1" t="str">
        <f t="shared" si="2386"/>
        <v>卡卡杜-凤凰仓</v>
      </c>
      <c r="B8444" s="1" t="str">
        <f>"CK2024100914141"</f>
        <v>CK2024100914141</v>
      </c>
      <c r="C8444" s="1" t="str">
        <f>"DD2024100944860"</f>
        <v>DD2024100944860</v>
      </c>
      <c r="D8444" s="1" t="str">
        <f>"CK2024100944614"</f>
        <v>CK2024100944614</v>
      </c>
      <c r="E8444" s="1" t="str">
        <f>"6917994585715736269"</f>
        <v>6917994585715736269</v>
      </c>
      <c r="F8444" s="1" t="str">
        <f t="shared" si="2387"/>
        <v>花都四部-凤凰仓</v>
      </c>
      <c r="G8444" s="1" t="str">
        <f t="shared" si="2394"/>
        <v>卡卡杜个人护理店（抖店）</v>
      </c>
      <c r="H8444" s="1" t="str">
        <f t="shared" si="2389"/>
        <v>正常订单</v>
      </c>
      <c r="I8444" s="1" t="str">
        <f t="shared" si="2390"/>
        <v>已发货</v>
      </c>
      <c r="J8444" s="1" t="str">
        <f t="shared" si="2403"/>
        <v>2</v>
      </c>
      <c r="K8444" s="1">
        <v>1</v>
      </c>
      <c r="L8444" s="1" t="s">
        <v>18</v>
      </c>
      <c r="M8444" s="1" t="str">
        <f>"广东省 东莞市 东莞市 厚街镇"</f>
        <v>广东省 东莞市 东莞市 厚街镇</v>
      </c>
      <c r="N8444" s="1" t="str">
        <f t="shared" si="2395"/>
        <v>凡华云仓-韵达-抖音</v>
      </c>
      <c r="O8444" s="5">
        <v>320163375035276</v>
      </c>
      <c r="P8444" s="6">
        <v>0.33</v>
      </c>
      <c r="Q8444" s="11">
        <v>2.2999999999999998</v>
      </c>
      <c r="R8444" s="11"/>
      <c r="S8444" s="11"/>
      <c r="T8444" s="11"/>
      <c r="U8444" s="11">
        <f t="shared" si="2385"/>
        <v>2.2999999999999998</v>
      </c>
      <c r="W8444">
        <v>2.5</v>
      </c>
      <c r="X8444" s="1" t="s">
        <v>18</v>
      </c>
    </row>
    <row r="8445" spans="1:24" x14ac:dyDescent="0.25">
      <c r="A8445" s="1" t="str">
        <f t="shared" si="2386"/>
        <v>卡卡杜-凤凰仓</v>
      </c>
      <c r="B8445" s="1" t="str">
        <f>"CK2024100914168"</f>
        <v>CK2024100914168</v>
      </c>
      <c r="C8445" s="1" t="str">
        <f>"DD2024100944886"</f>
        <v>DD2024100944886</v>
      </c>
      <c r="D8445" s="1" t="str">
        <f>"CK2024100944613"</f>
        <v>CK2024100944613</v>
      </c>
      <c r="E8445" s="1" t="str">
        <f>"6917999148967821224"</f>
        <v>6917999148967821224</v>
      </c>
      <c r="F8445" s="1" t="str">
        <f t="shared" si="2387"/>
        <v>花都四部-凤凰仓</v>
      </c>
      <c r="G8445" s="1" t="str">
        <f t="shared" si="2394"/>
        <v>卡卡杜个人护理店（抖店）</v>
      </c>
      <c r="H8445" s="1" t="str">
        <f t="shared" si="2389"/>
        <v>正常订单</v>
      </c>
      <c r="I8445" s="1" t="str">
        <f t="shared" si="2390"/>
        <v>已发货</v>
      </c>
      <c r="J8445" s="1" t="str">
        <f t="shared" si="2403"/>
        <v>2</v>
      </c>
      <c r="K8445" s="1">
        <v>1</v>
      </c>
      <c r="L8445" s="1" t="s">
        <v>60</v>
      </c>
      <c r="M8445" s="1" t="str">
        <f>"云南省 普洱市 江城哈尼族彝族自治县 康平镇"</f>
        <v>云南省 普洱市 江城哈尼族彝族自治县 康平镇</v>
      </c>
      <c r="N8445" s="1" t="str">
        <f t="shared" si="2395"/>
        <v>凡华云仓-韵达-抖音</v>
      </c>
      <c r="O8445" s="5">
        <v>320163375035185</v>
      </c>
      <c r="P8445" s="6">
        <v>0.33</v>
      </c>
      <c r="Q8445" s="11">
        <v>2.2999999999999998</v>
      </c>
      <c r="R8445" s="11"/>
      <c r="S8445" s="11"/>
      <c r="T8445" s="11"/>
      <c r="U8445" s="11">
        <f t="shared" si="2385"/>
        <v>2.2999999999999998</v>
      </c>
      <c r="W8445">
        <v>2.5</v>
      </c>
      <c r="X8445" s="1" t="s">
        <v>60</v>
      </c>
    </row>
    <row r="8446" spans="1:24" x14ac:dyDescent="0.25">
      <c r="A8446" s="1" t="str">
        <f t="shared" si="2386"/>
        <v>卡卡杜-凤凰仓</v>
      </c>
      <c r="B8446" s="1" t="str">
        <f>"CK2024100914144"</f>
        <v>CK2024100914144</v>
      </c>
      <c r="C8446" s="1" t="str">
        <f>"DD2024100944862"</f>
        <v>DD2024100944862</v>
      </c>
      <c r="D8446" s="1" t="str">
        <f>"CK2024100944612"</f>
        <v>CK2024100944612</v>
      </c>
      <c r="E8446" s="1" t="str">
        <f>"6917994667611422310"</f>
        <v>6917994667611422310</v>
      </c>
      <c r="F8446" s="1" t="str">
        <f t="shared" si="2387"/>
        <v>花都四部-凤凰仓</v>
      </c>
      <c r="G8446" s="1" t="str">
        <f t="shared" si="2394"/>
        <v>卡卡杜个人护理店（抖店）</v>
      </c>
      <c r="H8446" s="1" t="str">
        <f t="shared" si="2389"/>
        <v>正常订单</v>
      </c>
      <c r="I8446" s="1" t="str">
        <f t="shared" si="2390"/>
        <v>已发货</v>
      </c>
      <c r="J8446" s="1" t="str">
        <f t="shared" si="2403"/>
        <v>2</v>
      </c>
      <c r="K8446" s="1">
        <v>1</v>
      </c>
      <c r="L8446" s="1" t="s">
        <v>18</v>
      </c>
      <c r="M8446" s="1" t="str">
        <f>"广东省 湛江市 廉江市 石城镇"</f>
        <v>广东省 湛江市 廉江市 石城镇</v>
      </c>
      <c r="N8446" s="1" t="str">
        <f t="shared" si="2395"/>
        <v>凡华云仓-韵达-抖音</v>
      </c>
      <c r="O8446" s="5">
        <v>320163375035096</v>
      </c>
      <c r="P8446" s="6">
        <v>0.33</v>
      </c>
      <c r="Q8446" s="11">
        <v>2.2999999999999998</v>
      </c>
      <c r="R8446" s="11"/>
      <c r="S8446" s="11"/>
      <c r="T8446" s="11"/>
      <c r="U8446" s="11">
        <f t="shared" si="2385"/>
        <v>2.2999999999999998</v>
      </c>
      <c r="W8446">
        <v>2.5</v>
      </c>
      <c r="X8446" s="1" t="s">
        <v>18</v>
      </c>
    </row>
    <row r="8447" spans="1:24" x14ac:dyDescent="0.25">
      <c r="A8447" s="1" t="str">
        <f t="shared" si="2386"/>
        <v>卡卡杜-凤凰仓</v>
      </c>
      <c r="B8447" s="1" t="str">
        <f>"CK2024100614256"</f>
        <v>CK2024100614256</v>
      </c>
      <c r="C8447" s="1" t="str">
        <f>"DD2024100644479"</f>
        <v>DD2024100644479</v>
      </c>
      <c r="D8447" s="1" t="str">
        <f>"CK2024100640714"</f>
        <v>CK2024100640714</v>
      </c>
      <c r="E8447" s="1" t="str">
        <f>"6917861358179548382"</f>
        <v>6917861358179548382</v>
      </c>
      <c r="F8447" s="1" t="str">
        <f t="shared" si="2387"/>
        <v>花都四部-凤凰仓</v>
      </c>
      <c r="G8447" s="1" t="str">
        <f t="shared" si="2394"/>
        <v>卡卡杜个人护理店（抖店）</v>
      </c>
      <c r="H8447" s="1" t="str">
        <f t="shared" si="2389"/>
        <v>正常订单</v>
      </c>
      <c r="I8447" s="1" t="str">
        <f t="shared" si="2390"/>
        <v>已发货</v>
      </c>
      <c r="J8447" s="1" t="str">
        <f>"4"</f>
        <v>4</v>
      </c>
      <c r="K8447" s="1">
        <v>1</v>
      </c>
      <c r="L8447" s="1" t="s">
        <v>66</v>
      </c>
      <c r="M8447" s="1" t="str">
        <f>"内蒙古自治区 包头市 昆都仑区 卜尔汉图镇"</f>
        <v>内蒙古自治区 包头市 昆都仑区 卜尔汉图镇</v>
      </c>
      <c r="N8447" s="1" t="str">
        <f t="shared" si="2395"/>
        <v>凡华云仓-韵达-抖音</v>
      </c>
      <c r="O8447" s="5">
        <v>320158403409401</v>
      </c>
      <c r="P8447" s="6">
        <v>0.57999999999999996</v>
      </c>
      <c r="Q8447" s="11">
        <f>CEILING(P8447-0.5,0.1)*10*0.15+2.3</f>
        <v>2.4499999999999997</v>
      </c>
      <c r="R8447" s="11"/>
      <c r="S8447" s="11"/>
      <c r="T8447" s="11"/>
      <c r="U8447" s="11">
        <f t="shared" si="2385"/>
        <v>2.4499999999999997</v>
      </c>
      <c r="V8447" t="s">
        <v>15</v>
      </c>
      <c r="W8447">
        <v>2.4500000000000002</v>
      </c>
      <c r="X8447" s="1" t="s">
        <v>66</v>
      </c>
    </row>
    <row r="8448" spans="1:24" x14ac:dyDescent="0.25">
      <c r="A8448" s="1" t="str">
        <f t="shared" si="2386"/>
        <v>卡卡杜-凤凰仓</v>
      </c>
      <c r="B8448" s="1" t="str">
        <f>"CK2024100914140"</f>
        <v>CK2024100914140</v>
      </c>
      <c r="C8448" s="1" t="str">
        <f>"DD2024100944858"</f>
        <v>DD2024100944858</v>
      </c>
      <c r="D8448" s="1" t="str">
        <f>"CK2024100944610"</f>
        <v>CK2024100944610</v>
      </c>
      <c r="E8448" s="1" t="str">
        <f>"6917992008988392791"</f>
        <v>6917992008988392791</v>
      </c>
      <c r="F8448" s="1" t="str">
        <f t="shared" si="2387"/>
        <v>花都四部-凤凰仓</v>
      </c>
      <c r="G8448" s="1" t="str">
        <f t="shared" si="2394"/>
        <v>卡卡杜个人护理店（抖店）</v>
      </c>
      <c r="H8448" s="1" t="str">
        <f t="shared" si="2389"/>
        <v>正常订单</v>
      </c>
      <c r="I8448" s="1" t="str">
        <f t="shared" si="2390"/>
        <v>已发货</v>
      </c>
      <c r="J8448" s="1" t="str">
        <f t="shared" ref="J8448:J8458" si="2404">"2"</f>
        <v>2</v>
      </c>
      <c r="K8448" s="1">
        <v>1</v>
      </c>
      <c r="L8448" s="1" t="s">
        <v>36</v>
      </c>
      <c r="M8448" s="1" t="str">
        <f>"安徽省 黄山市 屯溪区 新潭镇"</f>
        <v>安徽省 黄山市 屯溪区 新潭镇</v>
      </c>
      <c r="N8448" s="1" t="str">
        <f t="shared" si="2395"/>
        <v>凡华云仓-韵达-抖音</v>
      </c>
      <c r="O8448" s="5">
        <v>320163366308562</v>
      </c>
      <c r="P8448" s="6">
        <v>0.33</v>
      </c>
      <c r="Q8448" s="11">
        <v>2.2999999999999998</v>
      </c>
      <c r="R8448" s="11"/>
      <c r="S8448" s="11"/>
      <c r="T8448" s="11"/>
      <c r="U8448" s="11">
        <f t="shared" si="2385"/>
        <v>2.2999999999999998</v>
      </c>
      <c r="W8448">
        <v>2.5</v>
      </c>
      <c r="X8448" s="1" t="s">
        <v>36</v>
      </c>
    </row>
    <row r="8449" spans="1:24" x14ac:dyDescent="0.25">
      <c r="A8449" s="1" t="str">
        <f t="shared" si="2386"/>
        <v>卡卡杜-凤凰仓</v>
      </c>
      <c r="B8449" s="1" t="str">
        <f>"CK2024100914113"</f>
        <v>CK2024100914113</v>
      </c>
      <c r="C8449" s="1" t="str">
        <f>"DD2024100944831"</f>
        <v>DD2024100944831</v>
      </c>
      <c r="D8449" s="1" t="str">
        <f>"CK2024100944609"</f>
        <v>CK2024100944609</v>
      </c>
      <c r="E8449" s="1" t="str">
        <f>"6917996926297341753"</f>
        <v>6917996926297341753</v>
      </c>
      <c r="F8449" s="1" t="str">
        <f t="shared" si="2387"/>
        <v>花都四部-凤凰仓</v>
      </c>
      <c r="G8449" s="1" t="str">
        <f t="shared" si="2394"/>
        <v>卡卡杜个人护理店（抖店）</v>
      </c>
      <c r="H8449" s="1" t="str">
        <f t="shared" si="2389"/>
        <v>正常订单</v>
      </c>
      <c r="I8449" s="1" t="str">
        <f t="shared" si="2390"/>
        <v>已发货</v>
      </c>
      <c r="J8449" s="1" t="str">
        <f t="shared" si="2404"/>
        <v>2</v>
      </c>
      <c r="K8449" s="1">
        <v>1</v>
      </c>
      <c r="L8449" s="1" t="s">
        <v>27</v>
      </c>
      <c r="M8449" s="1" t="str">
        <f>"贵州省 六盘水市 盘州市 新民镇"</f>
        <v>贵州省 六盘水市 盘州市 新民镇</v>
      </c>
      <c r="N8449" s="1" t="str">
        <f t="shared" si="2395"/>
        <v>凡华云仓-韵达-抖音</v>
      </c>
      <c r="O8449" s="5">
        <v>320163366308465</v>
      </c>
      <c r="P8449" s="6">
        <v>0.33</v>
      </c>
      <c r="Q8449" s="11">
        <v>2.2999999999999998</v>
      </c>
      <c r="R8449" s="11"/>
      <c r="S8449" s="11"/>
      <c r="T8449" s="11"/>
      <c r="U8449" s="11">
        <f t="shared" si="2385"/>
        <v>2.2999999999999998</v>
      </c>
      <c r="W8449">
        <v>2.5</v>
      </c>
      <c r="X8449" s="1" t="s">
        <v>27</v>
      </c>
    </row>
    <row r="8450" spans="1:24" x14ac:dyDescent="0.25">
      <c r="A8450" s="1" t="str">
        <f t="shared" si="2386"/>
        <v>卡卡杜-凤凰仓</v>
      </c>
      <c r="B8450" s="1" t="str">
        <f>"CK2024100914112"</f>
        <v>CK2024100914112</v>
      </c>
      <c r="C8450" s="1" t="str">
        <f>"DD2024100944830"</f>
        <v>DD2024100944830</v>
      </c>
      <c r="D8450" s="1" t="str">
        <f>"CK2024100944608"</f>
        <v>CK2024100944608</v>
      </c>
      <c r="E8450" s="1" t="str">
        <f>"6917996989763124771"</f>
        <v>6917996989763124771</v>
      </c>
      <c r="F8450" s="1" t="str">
        <f t="shared" si="2387"/>
        <v>花都四部-凤凰仓</v>
      </c>
      <c r="G8450" s="1" t="str">
        <f t="shared" si="2394"/>
        <v>卡卡杜个人护理店（抖店）</v>
      </c>
      <c r="H8450" s="1" t="str">
        <f t="shared" si="2389"/>
        <v>正常订单</v>
      </c>
      <c r="I8450" s="1" t="str">
        <f t="shared" si="2390"/>
        <v>已发货</v>
      </c>
      <c r="J8450" s="1" t="str">
        <f t="shared" si="2404"/>
        <v>2</v>
      </c>
      <c r="K8450" s="1">
        <v>1</v>
      </c>
      <c r="L8450" s="1" t="s">
        <v>60</v>
      </c>
      <c r="M8450" s="1" t="str">
        <f>"云南省 文山壮族苗族自治州 富宁县 "</f>
        <v xml:space="preserve">云南省 文山壮族苗族自治州 富宁县 </v>
      </c>
      <c r="N8450" s="1" t="str">
        <f t="shared" si="2395"/>
        <v>凡华云仓-韵达-抖音</v>
      </c>
      <c r="O8450" s="5">
        <v>320163366308370</v>
      </c>
      <c r="P8450" s="6">
        <v>0.33</v>
      </c>
      <c r="Q8450" s="11">
        <v>2.2999999999999998</v>
      </c>
      <c r="R8450" s="11"/>
      <c r="S8450" s="11"/>
      <c r="T8450" s="11"/>
      <c r="U8450" s="11">
        <f t="shared" si="2385"/>
        <v>2.2999999999999998</v>
      </c>
      <c r="W8450">
        <v>2.5</v>
      </c>
      <c r="X8450" s="1" t="s">
        <v>60</v>
      </c>
    </row>
    <row r="8451" spans="1:24" x14ac:dyDescent="0.25">
      <c r="A8451" s="1" t="str">
        <f t="shared" si="2386"/>
        <v>卡卡杜-凤凰仓</v>
      </c>
      <c r="B8451" s="1" t="str">
        <f>"CK2024100914111"</f>
        <v>CK2024100914111</v>
      </c>
      <c r="C8451" s="1" t="str">
        <f>"DD2024100944827"</f>
        <v>DD2024100944827</v>
      </c>
      <c r="D8451" s="1" t="str">
        <f>"CK2024100944607"</f>
        <v>CK2024100944607</v>
      </c>
      <c r="E8451" s="1" t="str">
        <f>"6917999309462010896"</f>
        <v>6917999309462010896</v>
      </c>
      <c r="F8451" s="1" t="str">
        <f t="shared" si="2387"/>
        <v>花都四部-凤凰仓</v>
      </c>
      <c r="G8451" s="1" t="str">
        <f t="shared" si="2394"/>
        <v>卡卡杜个人护理店（抖店）</v>
      </c>
      <c r="H8451" s="1" t="str">
        <f t="shared" si="2389"/>
        <v>正常订单</v>
      </c>
      <c r="I8451" s="1" t="str">
        <f t="shared" si="2390"/>
        <v>已发货</v>
      </c>
      <c r="J8451" s="1" t="str">
        <f t="shared" si="2404"/>
        <v>2</v>
      </c>
      <c r="K8451" s="1">
        <v>1</v>
      </c>
      <c r="L8451" s="1" t="s">
        <v>105</v>
      </c>
      <c r="M8451" s="1" t="str">
        <f>"北京 北京市 朝阳区 小红门地区"</f>
        <v>北京 北京市 朝阳区 小红门地区</v>
      </c>
      <c r="N8451" s="1" t="str">
        <f t="shared" si="2395"/>
        <v>凡华云仓-韵达-抖音</v>
      </c>
      <c r="O8451" s="5">
        <v>320163366308277</v>
      </c>
      <c r="P8451" s="6">
        <v>0.33</v>
      </c>
      <c r="Q8451" s="11">
        <v>2.2999999999999998</v>
      </c>
      <c r="R8451" s="11"/>
      <c r="S8451" s="11"/>
      <c r="T8451" s="11"/>
      <c r="U8451" s="11">
        <f t="shared" ref="U8451:U8514" si="2405">T8451+S8451+R8451+Q8451</f>
        <v>2.2999999999999998</v>
      </c>
      <c r="W8451">
        <v>2.5</v>
      </c>
      <c r="X8451" s="1" t="s">
        <v>105</v>
      </c>
    </row>
    <row r="8452" spans="1:24" x14ac:dyDescent="0.25">
      <c r="A8452" s="1" t="str">
        <f t="shared" si="2386"/>
        <v>卡卡杜-凤凰仓</v>
      </c>
      <c r="B8452" s="1" t="str">
        <f>"CK2024100914100"</f>
        <v>CK2024100914100</v>
      </c>
      <c r="C8452" s="1" t="str">
        <f>"DD2024100944818"</f>
        <v>DD2024100944818</v>
      </c>
      <c r="D8452" s="1" t="str">
        <f>"CK2024100944606"</f>
        <v>CK2024100944606</v>
      </c>
      <c r="E8452" s="1" t="str">
        <f>"6917996991417449781"</f>
        <v>6917996991417449781</v>
      </c>
      <c r="F8452" s="1" t="str">
        <f t="shared" si="2387"/>
        <v>花都四部-凤凰仓</v>
      </c>
      <c r="G8452" s="1" t="str">
        <f t="shared" si="2394"/>
        <v>卡卡杜个人护理店（抖店）</v>
      </c>
      <c r="H8452" s="1" t="str">
        <f t="shared" si="2389"/>
        <v>正常订单</v>
      </c>
      <c r="I8452" s="1" t="str">
        <f t="shared" si="2390"/>
        <v>已发货</v>
      </c>
      <c r="J8452" s="1" t="str">
        <f t="shared" si="2404"/>
        <v>2</v>
      </c>
      <c r="K8452" s="1">
        <v>2</v>
      </c>
      <c r="L8452" s="1" t="s">
        <v>96</v>
      </c>
      <c r="M8452" s="1" t="str">
        <f>"广西壮族自治区 南宁市 青秀区 津头街道"</f>
        <v>广西壮族自治区 南宁市 青秀区 津头街道</v>
      </c>
      <c r="N8452" s="1" t="str">
        <f t="shared" si="2395"/>
        <v>凡华云仓-韵达-抖音</v>
      </c>
      <c r="O8452" s="5">
        <v>320163366308186</v>
      </c>
      <c r="P8452" s="6">
        <v>0.28000000000000003</v>
      </c>
      <c r="Q8452" s="11">
        <v>2</v>
      </c>
      <c r="R8452" s="11"/>
      <c r="S8452" s="11"/>
      <c r="T8452" s="11"/>
      <c r="U8452" s="11">
        <f t="shared" si="2405"/>
        <v>2</v>
      </c>
      <c r="W8452">
        <v>2.2000000000000002</v>
      </c>
      <c r="X8452" s="1" t="s">
        <v>96</v>
      </c>
    </row>
    <row r="8453" spans="1:24" x14ac:dyDescent="0.25">
      <c r="A8453" s="1" t="str">
        <f t="shared" ref="A8453:A8516" si="2406">"卡卡杜-凤凰仓"</f>
        <v>卡卡杜-凤凰仓</v>
      </c>
      <c r="B8453" s="1" t="str">
        <f>"CK2024100914110"</f>
        <v>CK2024100914110</v>
      </c>
      <c r="C8453" s="1" t="str">
        <f>"DD2024100944829"</f>
        <v>DD2024100944829</v>
      </c>
      <c r="D8453" s="1" t="str">
        <f>"CK2024100944605"</f>
        <v>CK2024100944605</v>
      </c>
      <c r="E8453" s="1" t="str">
        <f>"6917996848582917385"</f>
        <v>6917996848582917385</v>
      </c>
      <c r="F8453" s="1" t="str">
        <f t="shared" ref="F8453:F8516" si="2407">"花都四部-凤凰仓"</f>
        <v>花都四部-凤凰仓</v>
      </c>
      <c r="G8453" s="1" t="str">
        <f t="shared" si="2394"/>
        <v>卡卡杜个人护理店（抖店）</v>
      </c>
      <c r="H8453" s="1" t="str">
        <f t="shared" ref="H8453:H8516" si="2408">"正常订单"</f>
        <v>正常订单</v>
      </c>
      <c r="I8453" s="1" t="str">
        <f t="shared" ref="I8453:I8516" si="2409">"已发货"</f>
        <v>已发货</v>
      </c>
      <c r="J8453" s="1" t="str">
        <f t="shared" si="2404"/>
        <v>2</v>
      </c>
      <c r="K8453" s="1">
        <v>1</v>
      </c>
      <c r="L8453" s="1" t="s">
        <v>20</v>
      </c>
      <c r="M8453" s="1" t="str">
        <f>"浙江省 金华市 金东区 孝顺镇"</f>
        <v>浙江省 金华市 金东区 孝顺镇</v>
      </c>
      <c r="N8453" s="1" t="str">
        <f t="shared" si="2395"/>
        <v>凡华云仓-韵达-抖音</v>
      </c>
      <c r="O8453" s="5">
        <v>320163366308097</v>
      </c>
      <c r="P8453" s="6">
        <v>0.33</v>
      </c>
      <c r="Q8453" s="11">
        <v>2.2999999999999998</v>
      </c>
      <c r="R8453" s="11"/>
      <c r="S8453" s="11"/>
      <c r="T8453" s="11"/>
      <c r="U8453" s="11">
        <f t="shared" si="2405"/>
        <v>2.2999999999999998</v>
      </c>
      <c r="W8453">
        <v>2.5</v>
      </c>
      <c r="X8453" s="1" t="s">
        <v>20</v>
      </c>
    </row>
    <row r="8454" spans="1:24" x14ac:dyDescent="0.25">
      <c r="A8454" s="1" t="str">
        <f t="shared" si="2406"/>
        <v>卡卡杜-凤凰仓</v>
      </c>
      <c r="B8454" s="1" t="str">
        <f>"CK2024100914107"</f>
        <v>CK2024100914107</v>
      </c>
      <c r="C8454" s="1" t="str">
        <f>"DD2024100944825"</f>
        <v>DD2024100944825</v>
      </c>
      <c r="D8454" s="1" t="str">
        <f>"CK2024100944604"</f>
        <v>CK2024100944604</v>
      </c>
      <c r="E8454" s="1" t="str">
        <f>"6917989716709244523"</f>
        <v>6917989716709244523</v>
      </c>
      <c r="F8454" s="1" t="str">
        <f t="shared" si="2407"/>
        <v>花都四部-凤凰仓</v>
      </c>
      <c r="G8454" s="1" t="str">
        <f t="shared" si="2394"/>
        <v>卡卡杜个人护理店（抖店）</v>
      </c>
      <c r="H8454" s="1" t="str">
        <f t="shared" si="2408"/>
        <v>正常订单</v>
      </c>
      <c r="I8454" s="1" t="str">
        <f t="shared" si="2409"/>
        <v>已发货</v>
      </c>
      <c r="J8454" s="1" t="str">
        <f t="shared" si="2404"/>
        <v>2</v>
      </c>
      <c r="K8454" s="1">
        <v>1</v>
      </c>
      <c r="L8454" s="1" t="s">
        <v>27</v>
      </c>
      <c r="M8454" s="1" t="str">
        <f>"贵州省 贵阳市 南明区 花果园街道"</f>
        <v>贵州省 贵阳市 南明区 花果园街道</v>
      </c>
      <c r="N8454" s="1" t="str">
        <f t="shared" si="2395"/>
        <v>凡华云仓-韵达-抖音</v>
      </c>
      <c r="O8454" s="5">
        <v>320163366307967</v>
      </c>
      <c r="P8454" s="6">
        <v>0.33</v>
      </c>
      <c r="Q8454" s="11">
        <v>2.2999999999999998</v>
      </c>
      <c r="R8454" s="11"/>
      <c r="S8454" s="11"/>
      <c r="T8454" s="11"/>
      <c r="U8454" s="11">
        <f t="shared" si="2405"/>
        <v>2.2999999999999998</v>
      </c>
      <c r="W8454">
        <v>2.5</v>
      </c>
      <c r="X8454" s="1" t="s">
        <v>27</v>
      </c>
    </row>
    <row r="8455" spans="1:24" x14ac:dyDescent="0.25">
      <c r="A8455" s="1" t="str">
        <f t="shared" si="2406"/>
        <v>卡卡杜-凤凰仓</v>
      </c>
      <c r="B8455" s="1" t="str">
        <f>"CK2024100914109"</f>
        <v>CK2024100914109</v>
      </c>
      <c r="C8455" s="1" t="str">
        <f>"DD2024100944826"</f>
        <v>DD2024100944826</v>
      </c>
      <c r="D8455" s="1" t="str">
        <f>"CK2024100944603"</f>
        <v>CK2024100944603</v>
      </c>
      <c r="E8455" s="1" t="str">
        <f>"6917992263721713154"</f>
        <v>6917992263721713154</v>
      </c>
      <c r="F8455" s="1" t="str">
        <f t="shared" si="2407"/>
        <v>花都四部-凤凰仓</v>
      </c>
      <c r="G8455" s="1" t="str">
        <f t="shared" si="2394"/>
        <v>卡卡杜个人护理店（抖店）</v>
      </c>
      <c r="H8455" s="1" t="str">
        <f t="shared" si="2408"/>
        <v>正常订单</v>
      </c>
      <c r="I8455" s="1" t="str">
        <f t="shared" si="2409"/>
        <v>已发货</v>
      </c>
      <c r="J8455" s="1" t="str">
        <f t="shared" si="2404"/>
        <v>2</v>
      </c>
      <c r="K8455" s="1">
        <v>1</v>
      </c>
      <c r="L8455" s="1" t="s">
        <v>20</v>
      </c>
      <c r="M8455" s="1" t="str">
        <f>"浙江省 绍兴市 上虞区 盖北镇"</f>
        <v>浙江省 绍兴市 上虞区 盖北镇</v>
      </c>
      <c r="N8455" s="1" t="str">
        <f t="shared" si="2395"/>
        <v>凡华云仓-韵达-抖音</v>
      </c>
      <c r="O8455" s="5">
        <v>320163366307862</v>
      </c>
      <c r="P8455" s="6">
        <v>0.33</v>
      </c>
      <c r="Q8455" s="11">
        <v>2.2999999999999998</v>
      </c>
      <c r="R8455" s="11"/>
      <c r="S8455" s="11"/>
      <c r="T8455" s="11"/>
      <c r="U8455" s="11">
        <f t="shared" si="2405"/>
        <v>2.2999999999999998</v>
      </c>
      <c r="W8455">
        <v>2.5</v>
      </c>
      <c r="X8455" s="1" t="s">
        <v>20</v>
      </c>
    </row>
    <row r="8456" spans="1:24" x14ac:dyDescent="0.25">
      <c r="A8456" s="1" t="str">
        <f t="shared" si="2406"/>
        <v>卡卡杜-凤凰仓</v>
      </c>
      <c r="B8456" s="1" t="str">
        <f>"CK2024100914108"</f>
        <v>CK2024100914108</v>
      </c>
      <c r="C8456" s="1" t="str">
        <f>"DD2024100944828"</f>
        <v>DD2024100944828</v>
      </c>
      <c r="D8456" s="1" t="str">
        <f>"CK2024100944602"</f>
        <v>CK2024100944602</v>
      </c>
      <c r="E8456" s="1" t="str">
        <f>"6917999013575032421"</f>
        <v>6917999013575032421</v>
      </c>
      <c r="F8456" s="1" t="str">
        <f t="shared" si="2407"/>
        <v>花都四部-凤凰仓</v>
      </c>
      <c r="G8456" s="1" t="str">
        <f t="shared" si="2394"/>
        <v>卡卡杜个人护理店（抖店）</v>
      </c>
      <c r="H8456" s="1" t="str">
        <f t="shared" si="2408"/>
        <v>正常订单</v>
      </c>
      <c r="I8456" s="1" t="str">
        <f t="shared" si="2409"/>
        <v>已发货</v>
      </c>
      <c r="J8456" s="1" t="str">
        <f t="shared" si="2404"/>
        <v>2</v>
      </c>
      <c r="K8456" s="1">
        <v>1</v>
      </c>
      <c r="L8456" s="1" t="s">
        <v>96</v>
      </c>
      <c r="M8456" s="1" t="str">
        <f>"广西壮族自治区 钦州市 钦北区 "</f>
        <v xml:space="preserve">广西壮族自治区 钦州市 钦北区 </v>
      </c>
      <c r="N8456" s="1" t="str">
        <f t="shared" si="2395"/>
        <v>凡华云仓-韵达-抖音</v>
      </c>
      <c r="O8456" s="5">
        <v>320163366307759</v>
      </c>
      <c r="P8456" s="6">
        <v>0.33</v>
      </c>
      <c r="Q8456" s="11">
        <v>2.2999999999999998</v>
      </c>
      <c r="R8456" s="11"/>
      <c r="S8456" s="11"/>
      <c r="T8456" s="11"/>
      <c r="U8456" s="11">
        <f t="shared" si="2405"/>
        <v>2.2999999999999998</v>
      </c>
      <c r="W8456">
        <v>2.5</v>
      </c>
      <c r="X8456" s="1" t="s">
        <v>96</v>
      </c>
    </row>
    <row r="8457" spans="1:24" x14ac:dyDescent="0.25">
      <c r="A8457" s="1" t="str">
        <f t="shared" si="2406"/>
        <v>卡卡杜-凤凰仓</v>
      </c>
      <c r="B8457" s="1" t="str">
        <f>"CK2024100914106"</f>
        <v>CK2024100914106</v>
      </c>
      <c r="C8457" s="1" t="str">
        <f>"DD2024100944824"</f>
        <v>DD2024100944824</v>
      </c>
      <c r="D8457" s="1" t="str">
        <f>"CK2024100944601"</f>
        <v>CK2024100944601</v>
      </c>
      <c r="E8457" s="1" t="str">
        <f>"6917992253535059010"</f>
        <v>6917992253535059010</v>
      </c>
      <c r="F8457" s="1" t="str">
        <f t="shared" si="2407"/>
        <v>花都四部-凤凰仓</v>
      </c>
      <c r="G8457" s="1" t="str">
        <f t="shared" si="2394"/>
        <v>卡卡杜个人护理店（抖店）</v>
      </c>
      <c r="H8457" s="1" t="str">
        <f t="shared" si="2408"/>
        <v>正常订单</v>
      </c>
      <c r="I8457" s="1" t="str">
        <f t="shared" si="2409"/>
        <v>已发货</v>
      </c>
      <c r="J8457" s="1" t="str">
        <f t="shared" si="2404"/>
        <v>2</v>
      </c>
      <c r="K8457" s="1">
        <v>1</v>
      </c>
      <c r="L8457" s="1" t="s">
        <v>60</v>
      </c>
      <c r="M8457" s="1" t="str">
        <f>"云南省 临沧市 耿马傣族佤族自治县 勐撒镇"</f>
        <v>云南省 临沧市 耿马傣族佤族自治县 勐撒镇</v>
      </c>
      <c r="N8457" s="1" t="str">
        <f t="shared" si="2395"/>
        <v>凡华云仓-韵达-抖音</v>
      </c>
      <c r="O8457" s="5">
        <v>320163366307658</v>
      </c>
      <c r="P8457" s="6">
        <v>0.33</v>
      </c>
      <c r="Q8457" s="11">
        <v>2.2999999999999998</v>
      </c>
      <c r="R8457" s="11"/>
      <c r="S8457" s="11"/>
      <c r="T8457" s="11"/>
      <c r="U8457" s="11">
        <f t="shared" si="2405"/>
        <v>2.2999999999999998</v>
      </c>
      <c r="W8457">
        <v>2.5</v>
      </c>
      <c r="X8457" s="1" t="s">
        <v>60</v>
      </c>
    </row>
    <row r="8458" spans="1:24" x14ac:dyDescent="0.25">
      <c r="A8458" s="1" t="str">
        <f t="shared" si="2406"/>
        <v>卡卡杜-凤凰仓</v>
      </c>
      <c r="B8458" s="1" t="str">
        <f>"CK2024100914105"</f>
        <v>CK2024100914105</v>
      </c>
      <c r="C8458" s="1" t="str">
        <f>"DD2024100944822"</f>
        <v>DD2024100944822</v>
      </c>
      <c r="D8458" s="1" t="str">
        <f>"CK2024100944600"</f>
        <v>CK2024100944600</v>
      </c>
      <c r="E8458" s="1" t="str">
        <f>"6917996228858903729"</f>
        <v>6917996228858903729</v>
      </c>
      <c r="F8458" s="1" t="str">
        <f t="shared" si="2407"/>
        <v>花都四部-凤凰仓</v>
      </c>
      <c r="G8458" s="1" t="str">
        <f t="shared" si="2394"/>
        <v>卡卡杜个人护理店（抖店）</v>
      </c>
      <c r="H8458" s="1" t="str">
        <f t="shared" si="2408"/>
        <v>正常订单</v>
      </c>
      <c r="I8458" s="1" t="str">
        <f t="shared" si="2409"/>
        <v>已发货</v>
      </c>
      <c r="J8458" s="1" t="str">
        <f t="shared" si="2404"/>
        <v>2</v>
      </c>
      <c r="K8458" s="1">
        <v>1</v>
      </c>
      <c r="L8458" s="1" t="s">
        <v>60</v>
      </c>
      <c r="M8458" s="1" t="str">
        <f>"云南省 普洱市 景谷傣族彝族自治县 正兴镇"</f>
        <v>云南省 普洱市 景谷傣族彝族自治县 正兴镇</v>
      </c>
      <c r="N8458" s="1" t="str">
        <f t="shared" si="2395"/>
        <v>凡华云仓-韵达-抖音</v>
      </c>
      <c r="O8458" s="5">
        <v>320163360843566</v>
      </c>
      <c r="P8458" s="6">
        <v>0.33</v>
      </c>
      <c r="Q8458" s="11">
        <v>2.2999999999999998</v>
      </c>
      <c r="R8458" s="11"/>
      <c r="S8458" s="11"/>
      <c r="T8458" s="11"/>
      <c r="U8458" s="11">
        <f t="shared" si="2405"/>
        <v>2.2999999999999998</v>
      </c>
      <c r="W8458">
        <v>2.5</v>
      </c>
      <c r="X8458" s="1" t="s">
        <v>60</v>
      </c>
    </row>
    <row r="8459" spans="1:24" x14ac:dyDescent="0.25">
      <c r="A8459" s="1" t="str">
        <f t="shared" si="2406"/>
        <v>卡卡杜-凤凰仓</v>
      </c>
      <c r="B8459" s="1" t="str">
        <f>"CK20241006180"</f>
        <v>CK20241006180</v>
      </c>
      <c r="C8459" s="1" t="str">
        <f>"DD2024100613512"</f>
        <v>DD2024100613512</v>
      </c>
      <c r="D8459" s="1" t="str">
        <f>"CK2024100620352"</f>
        <v>CK2024100620352</v>
      </c>
      <c r="E8459" s="1" t="str">
        <f>"6917864850480397408"</f>
        <v>6917864850480397408</v>
      </c>
      <c r="F8459" s="1" t="str">
        <f t="shared" si="2407"/>
        <v>花都四部-凤凰仓</v>
      </c>
      <c r="G8459" s="1" t="str">
        <f t="shared" si="2394"/>
        <v>卡卡杜个人护理店（抖店）</v>
      </c>
      <c r="H8459" s="1" t="str">
        <f t="shared" si="2408"/>
        <v>正常订单</v>
      </c>
      <c r="I8459" s="1" t="str">
        <f t="shared" si="2409"/>
        <v>已发货</v>
      </c>
      <c r="J8459" s="1" t="str">
        <f>"4"</f>
        <v>4</v>
      </c>
      <c r="K8459" s="1">
        <v>1</v>
      </c>
      <c r="L8459" s="1" t="s">
        <v>22</v>
      </c>
      <c r="M8459" s="1" t="str">
        <f>"江西省 上饶市 余干县 瑞洪镇"</f>
        <v>江西省 上饶市 余干县 瑞洪镇</v>
      </c>
      <c r="N8459" s="1" t="str">
        <f t="shared" si="2395"/>
        <v>凡华云仓-韵达-抖音</v>
      </c>
      <c r="O8459" s="5">
        <v>320157849217459</v>
      </c>
      <c r="P8459" s="6">
        <v>0.57999999999999996</v>
      </c>
      <c r="Q8459" s="11">
        <f>CEILING(P8459-0.5,0.1)*10*0.15+2.3</f>
        <v>2.4499999999999997</v>
      </c>
      <c r="R8459" s="11"/>
      <c r="S8459" s="11"/>
      <c r="T8459" s="11"/>
      <c r="U8459" s="11">
        <f t="shared" si="2405"/>
        <v>2.4499999999999997</v>
      </c>
      <c r="V8459" t="s">
        <v>15</v>
      </c>
      <c r="W8459">
        <v>2.4500000000000002</v>
      </c>
      <c r="X8459" s="1" t="s">
        <v>22</v>
      </c>
    </row>
    <row r="8460" spans="1:24" x14ac:dyDescent="0.25">
      <c r="A8460" s="1" t="str">
        <f t="shared" si="2406"/>
        <v>卡卡杜-凤凰仓</v>
      </c>
      <c r="B8460" s="1" t="str">
        <f>"CK2024100914114"</f>
        <v>CK2024100914114</v>
      </c>
      <c r="C8460" s="1" t="str">
        <f>"DD2024100944834"</f>
        <v>DD2024100944834</v>
      </c>
      <c r="D8460" s="1" t="str">
        <f>"CK2024100944598"</f>
        <v>CK2024100944598</v>
      </c>
      <c r="E8460" s="1" t="str">
        <f>"6917984249516227646"</f>
        <v>6917984249516227646</v>
      </c>
      <c r="F8460" s="1" t="str">
        <f t="shared" si="2407"/>
        <v>花都四部-凤凰仓</v>
      </c>
      <c r="G8460" s="1" t="str">
        <f t="shared" si="2394"/>
        <v>卡卡杜个人护理店（抖店）</v>
      </c>
      <c r="H8460" s="1" t="str">
        <f t="shared" si="2408"/>
        <v>正常订单</v>
      </c>
      <c r="I8460" s="1" t="str">
        <f t="shared" si="2409"/>
        <v>已发货</v>
      </c>
      <c r="J8460" s="1" t="str">
        <f t="shared" ref="J8460:J8468" si="2410">"2"</f>
        <v>2</v>
      </c>
      <c r="K8460" s="1">
        <v>1</v>
      </c>
      <c r="L8460" s="1" t="s">
        <v>36</v>
      </c>
      <c r="M8460" s="1" t="str">
        <f>"安徽省 亳州市 涡阳县 单集林场"</f>
        <v>安徽省 亳州市 涡阳县 单集林场</v>
      </c>
      <c r="N8460" s="1" t="str">
        <f t="shared" si="2395"/>
        <v>凡华云仓-韵达-抖音</v>
      </c>
      <c r="O8460" s="5">
        <v>320163360843374</v>
      </c>
      <c r="P8460" s="6">
        <v>0.33</v>
      </c>
      <c r="Q8460" s="11">
        <v>2.2999999999999998</v>
      </c>
      <c r="R8460" s="11"/>
      <c r="S8460" s="11"/>
      <c r="T8460" s="11"/>
      <c r="U8460" s="11">
        <f t="shared" si="2405"/>
        <v>2.2999999999999998</v>
      </c>
      <c r="W8460">
        <v>2.5</v>
      </c>
      <c r="X8460" s="1" t="s">
        <v>36</v>
      </c>
    </row>
    <row r="8461" spans="1:24" x14ac:dyDescent="0.25">
      <c r="A8461" s="1" t="str">
        <f t="shared" si="2406"/>
        <v>卡卡杜-凤凰仓</v>
      </c>
      <c r="B8461" s="1" t="str">
        <f>"CK2024100914135"</f>
        <v>CK2024100914135</v>
      </c>
      <c r="C8461" s="1" t="str">
        <f>"DD2024100944852"</f>
        <v>DD2024100944852</v>
      </c>
      <c r="D8461" s="1" t="str">
        <f>"CK2024100944597"</f>
        <v>CK2024100944597</v>
      </c>
      <c r="E8461" s="1" t="str">
        <f>"6917994119062912928"</f>
        <v>6917994119062912928</v>
      </c>
      <c r="F8461" s="1" t="str">
        <f t="shared" si="2407"/>
        <v>花都四部-凤凰仓</v>
      </c>
      <c r="G8461" s="1" t="str">
        <f t="shared" si="2394"/>
        <v>卡卡杜个人护理店（抖店）</v>
      </c>
      <c r="H8461" s="1" t="str">
        <f t="shared" si="2408"/>
        <v>正常订单</v>
      </c>
      <c r="I8461" s="1" t="str">
        <f t="shared" si="2409"/>
        <v>已发货</v>
      </c>
      <c r="J8461" s="1" t="str">
        <f t="shared" si="2410"/>
        <v>2</v>
      </c>
      <c r="K8461" s="1">
        <v>1</v>
      </c>
      <c r="L8461" s="1" t="s">
        <v>94</v>
      </c>
      <c r="M8461" s="1" t="str">
        <f>"湖南省 长沙市 开福区 清水塘街道"</f>
        <v>湖南省 长沙市 开福区 清水塘街道</v>
      </c>
      <c r="N8461" s="1" t="str">
        <f t="shared" si="2395"/>
        <v>凡华云仓-韵达-抖音</v>
      </c>
      <c r="O8461" s="5">
        <v>320163360843281</v>
      </c>
      <c r="P8461" s="6">
        <v>0.33</v>
      </c>
      <c r="Q8461" s="11">
        <v>2.2999999999999998</v>
      </c>
      <c r="R8461" s="11"/>
      <c r="S8461" s="11"/>
      <c r="T8461" s="11"/>
      <c r="U8461" s="11">
        <f t="shared" si="2405"/>
        <v>2.2999999999999998</v>
      </c>
      <c r="W8461">
        <v>2.5</v>
      </c>
      <c r="X8461" s="1" t="s">
        <v>94</v>
      </c>
    </row>
    <row r="8462" spans="1:24" x14ac:dyDescent="0.25">
      <c r="A8462" s="1" t="str">
        <f t="shared" si="2406"/>
        <v>卡卡杜-凤凰仓</v>
      </c>
      <c r="B8462" s="1" t="str">
        <f>"CK2024100914117"</f>
        <v>CK2024100914117</v>
      </c>
      <c r="C8462" s="1" t="str">
        <f>"DD2024100944836"</f>
        <v>DD2024100944836</v>
      </c>
      <c r="D8462" s="1" t="str">
        <f>"CK2024100944596"</f>
        <v>CK2024100944596</v>
      </c>
      <c r="E8462" s="1" t="str">
        <f>"6917993943706140118"</f>
        <v>6917993943706140118</v>
      </c>
      <c r="F8462" s="1" t="str">
        <f t="shared" si="2407"/>
        <v>花都四部-凤凰仓</v>
      </c>
      <c r="G8462" s="1" t="str">
        <f t="shared" ref="G8462:G8487" si="2411">"卡卡杜个人护理店（抖店）"</f>
        <v>卡卡杜个人护理店（抖店）</v>
      </c>
      <c r="H8462" s="1" t="str">
        <f t="shared" si="2408"/>
        <v>正常订单</v>
      </c>
      <c r="I8462" s="1" t="str">
        <f t="shared" si="2409"/>
        <v>已发货</v>
      </c>
      <c r="J8462" s="1" t="str">
        <f t="shared" si="2410"/>
        <v>2</v>
      </c>
      <c r="K8462" s="1">
        <v>1</v>
      </c>
      <c r="L8462" s="1" t="s">
        <v>18</v>
      </c>
      <c r="M8462" s="1" t="str">
        <f>"广东省 深圳市 宝安区 燕罗街道"</f>
        <v>广东省 深圳市 宝安区 燕罗街道</v>
      </c>
      <c r="N8462" s="1" t="str">
        <f t="shared" ref="N8462:N8487" si="2412">"凡华云仓-韵达-抖音"</f>
        <v>凡华云仓-韵达-抖音</v>
      </c>
      <c r="O8462" s="5">
        <v>320163360843190</v>
      </c>
      <c r="P8462" s="6">
        <v>0.33</v>
      </c>
      <c r="Q8462" s="11">
        <v>2.2999999999999998</v>
      </c>
      <c r="R8462" s="11"/>
      <c r="S8462" s="11"/>
      <c r="T8462" s="11"/>
      <c r="U8462" s="11">
        <f t="shared" si="2405"/>
        <v>2.2999999999999998</v>
      </c>
      <c r="W8462">
        <v>2.5</v>
      </c>
      <c r="X8462" s="1" t="s">
        <v>18</v>
      </c>
    </row>
    <row r="8463" spans="1:24" x14ac:dyDescent="0.25">
      <c r="A8463" s="1" t="str">
        <f t="shared" si="2406"/>
        <v>卡卡杜-凤凰仓</v>
      </c>
      <c r="B8463" s="1" t="str">
        <f>"CK2024100914131"</f>
        <v>CK2024100914131</v>
      </c>
      <c r="C8463" s="1" t="str">
        <f>"DD2024100944849"</f>
        <v>DD2024100944849</v>
      </c>
      <c r="D8463" s="1" t="str">
        <f>"CK2024100944595"</f>
        <v>CK2024100944595</v>
      </c>
      <c r="E8463" s="1" t="str">
        <f>"6917991924014545931"</f>
        <v>6917991924014545931</v>
      </c>
      <c r="F8463" s="1" t="str">
        <f t="shared" si="2407"/>
        <v>花都四部-凤凰仓</v>
      </c>
      <c r="G8463" s="1" t="str">
        <f t="shared" si="2411"/>
        <v>卡卡杜个人护理店（抖店）</v>
      </c>
      <c r="H8463" s="1" t="str">
        <f t="shared" si="2408"/>
        <v>正常订单</v>
      </c>
      <c r="I8463" s="1" t="str">
        <f t="shared" si="2409"/>
        <v>已发货</v>
      </c>
      <c r="J8463" s="1" t="str">
        <f t="shared" si="2410"/>
        <v>2</v>
      </c>
      <c r="K8463" s="1">
        <v>1</v>
      </c>
      <c r="L8463" s="1" t="s">
        <v>22</v>
      </c>
      <c r="M8463" s="1" t="str">
        <f>"江西省 萍乡市 上栗县 上栗镇"</f>
        <v>江西省 萍乡市 上栗县 上栗镇</v>
      </c>
      <c r="N8463" s="1" t="str">
        <f t="shared" si="2412"/>
        <v>凡华云仓-韵达-抖音</v>
      </c>
      <c r="O8463" s="5">
        <v>320163360843001</v>
      </c>
      <c r="P8463" s="6">
        <v>0.33</v>
      </c>
      <c r="Q8463" s="11">
        <v>2.2999999999999998</v>
      </c>
      <c r="R8463" s="11"/>
      <c r="S8463" s="11"/>
      <c r="T8463" s="11"/>
      <c r="U8463" s="11">
        <f t="shared" si="2405"/>
        <v>2.2999999999999998</v>
      </c>
      <c r="W8463">
        <v>2.5</v>
      </c>
      <c r="X8463" s="1" t="s">
        <v>22</v>
      </c>
    </row>
    <row r="8464" spans="1:24" x14ac:dyDescent="0.25">
      <c r="A8464" s="1" t="str">
        <f t="shared" si="2406"/>
        <v>卡卡杜-凤凰仓</v>
      </c>
      <c r="B8464" s="1" t="str">
        <f>"CK2024100914132"</f>
        <v>CK2024100914132</v>
      </c>
      <c r="C8464" s="1" t="str">
        <f>"DD2024100944850"</f>
        <v>DD2024100944850</v>
      </c>
      <c r="D8464" s="1" t="str">
        <f>"CK2024100944594"</f>
        <v>CK2024100944594</v>
      </c>
      <c r="E8464" s="1" t="str">
        <f>"6917996456453635701"</f>
        <v>6917996456453635701</v>
      </c>
      <c r="F8464" s="1" t="str">
        <f t="shared" si="2407"/>
        <v>花都四部-凤凰仓</v>
      </c>
      <c r="G8464" s="1" t="str">
        <f t="shared" si="2411"/>
        <v>卡卡杜个人护理店（抖店）</v>
      </c>
      <c r="H8464" s="1" t="str">
        <f t="shared" si="2408"/>
        <v>正常订单</v>
      </c>
      <c r="I8464" s="1" t="str">
        <f t="shared" si="2409"/>
        <v>已发货</v>
      </c>
      <c r="J8464" s="1" t="str">
        <f t="shared" si="2410"/>
        <v>2</v>
      </c>
      <c r="K8464" s="1">
        <v>1</v>
      </c>
      <c r="L8464" s="1" t="s">
        <v>94</v>
      </c>
      <c r="M8464" s="1" t="str">
        <f>"湖南省 株洲市 天元区 群丰镇"</f>
        <v>湖南省 株洲市 天元区 群丰镇</v>
      </c>
      <c r="N8464" s="1" t="str">
        <f t="shared" si="2412"/>
        <v>凡华云仓-韵达-抖音</v>
      </c>
      <c r="O8464" s="5">
        <v>320163360842981</v>
      </c>
      <c r="P8464" s="6">
        <v>0.33</v>
      </c>
      <c r="Q8464" s="11">
        <v>2.2999999999999998</v>
      </c>
      <c r="R8464" s="11"/>
      <c r="S8464" s="11"/>
      <c r="T8464" s="11"/>
      <c r="U8464" s="11">
        <f t="shared" si="2405"/>
        <v>2.2999999999999998</v>
      </c>
      <c r="W8464">
        <v>2.5</v>
      </c>
      <c r="X8464" s="1" t="s">
        <v>94</v>
      </c>
    </row>
    <row r="8465" spans="1:24" x14ac:dyDescent="0.25">
      <c r="A8465" s="1" t="str">
        <f t="shared" si="2406"/>
        <v>卡卡杜-凤凰仓</v>
      </c>
      <c r="B8465" s="1" t="str">
        <f>"CK2024100914133"</f>
        <v>CK2024100914133</v>
      </c>
      <c r="C8465" s="1" t="str">
        <f>"DD2024100944851"</f>
        <v>DD2024100944851</v>
      </c>
      <c r="D8465" s="1" t="str">
        <f>"CK2024100944593"</f>
        <v>CK2024100944593</v>
      </c>
      <c r="E8465" s="1" t="str">
        <f>"6917991948208799655"</f>
        <v>6917991948208799655</v>
      </c>
      <c r="F8465" s="1" t="str">
        <f t="shared" si="2407"/>
        <v>花都四部-凤凰仓</v>
      </c>
      <c r="G8465" s="1" t="str">
        <f t="shared" si="2411"/>
        <v>卡卡杜个人护理店（抖店）</v>
      </c>
      <c r="H8465" s="1" t="str">
        <f t="shared" si="2408"/>
        <v>正常订单</v>
      </c>
      <c r="I8465" s="1" t="str">
        <f t="shared" si="2409"/>
        <v>已发货</v>
      </c>
      <c r="J8465" s="1" t="str">
        <f t="shared" si="2410"/>
        <v>2</v>
      </c>
      <c r="K8465" s="1">
        <v>1</v>
      </c>
      <c r="L8465" s="1" t="s">
        <v>74</v>
      </c>
      <c r="M8465" s="1" t="str">
        <f>"上海 上海市 青浦区 白鹤镇"</f>
        <v>上海 上海市 青浦区 白鹤镇</v>
      </c>
      <c r="N8465" s="1" t="str">
        <f t="shared" si="2412"/>
        <v>凡华云仓-韵达-抖音</v>
      </c>
      <c r="O8465" s="5">
        <v>320163360842876</v>
      </c>
      <c r="P8465" s="6">
        <v>0.33</v>
      </c>
      <c r="Q8465" s="11">
        <v>2.2999999999999998</v>
      </c>
      <c r="R8465" s="11"/>
      <c r="S8465" s="11"/>
      <c r="T8465" s="11"/>
      <c r="U8465" s="11">
        <f t="shared" si="2405"/>
        <v>2.2999999999999998</v>
      </c>
      <c r="W8465">
        <v>2.5</v>
      </c>
      <c r="X8465" s="1" t="s">
        <v>74</v>
      </c>
    </row>
    <row r="8466" spans="1:24" x14ac:dyDescent="0.25">
      <c r="A8466" s="1" t="str">
        <f t="shared" si="2406"/>
        <v>卡卡杜-凤凰仓</v>
      </c>
      <c r="B8466" s="1" t="str">
        <f>"CK2024100914129"</f>
        <v>CK2024100914129</v>
      </c>
      <c r="C8466" s="1" t="str">
        <f>"DD2024100944845"</f>
        <v>DD2024100944845</v>
      </c>
      <c r="D8466" s="1" t="str">
        <f>"CK2024100944592"</f>
        <v>CK2024100944592</v>
      </c>
      <c r="E8466" s="1" t="str">
        <f>"6917998590407769992"</f>
        <v>6917998590407769992</v>
      </c>
      <c r="F8466" s="1" t="str">
        <f t="shared" si="2407"/>
        <v>花都四部-凤凰仓</v>
      </c>
      <c r="G8466" s="1" t="str">
        <f t="shared" si="2411"/>
        <v>卡卡杜个人护理店（抖店）</v>
      </c>
      <c r="H8466" s="1" t="str">
        <f t="shared" si="2408"/>
        <v>正常订单</v>
      </c>
      <c r="I8466" s="1" t="str">
        <f t="shared" si="2409"/>
        <v>已发货</v>
      </c>
      <c r="J8466" s="1" t="str">
        <f t="shared" si="2410"/>
        <v>2</v>
      </c>
      <c r="K8466" s="1">
        <v>1</v>
      </c>
      <c r="L8466" s="1" t="s">
        <v>13</v>
      </c>
      <c r="M8466" s="1" t="str">
        <f>"江苏省 常州市 新北区 春江街道"</f>
        <v>江苏省 常州市 新北区 春江街道</v>
      </c>
      <c r="N8466" s="1" t="str">
        <f t="shared" si="2412"/>
        <v>凡华云仓-韵达-抖音</v>
      </c>
      <c r="O8466" s="5">
        <v>320163360842773</v>
      </c>
      <c r="P8466" s="6">
        <v>0.33</v>
      </c>
      <c r="Q8466" s="11">
        <v>2.2999999999999998</v>
      </c>
      <c r="R8466" s="11"/>
      <c r="S8466" s="11"/>
      <c r="T8466" s="11"/>
      <c r="U8466" s="11">
        <f t="shared" si="2405"/>
        <v>2.2999999999999998</v>
      </c>
      <c r="W8466">
        <v>2.5</v>
      </c>
      <c r="X8466" s="1" t="s">
        <v>13</v>
      </c>
    </row>
    <row r="8467" spans="1:24" x14ac:dyDescent="0.25">
      <c r="A8467" s="1" t="str">
        <f t="shared" si="2406"/>
        <v>卡卡杜-凤凰仓</v>
      </c>
      <c r="B8467" s="1" t="str">
        <f>"CK2024100914134"</f>
        <v>CK2024100914134</v>
      </c>
      <c r="C8467" s="1" t="str">
        <f>"DD2024100944853"</f>
        <v>DD2024100944853</v>
      </c>
      <c r="D8467" s="1" t="str">
        <f>"CK2024100944591"</f>
        <v>CK2024100944591</v>
      </c>
      <c r="E8467" s="1" t="str">
        <f>"6917993981512416850"</f>
        <v>6917993981512416850</v>
      </c>
      <c r="F8467" s="1" t="str">
        <f t="shared" si="2407"/>
        <v>花都四部-凤凰仓</v>
      </c>
      <c r="G8467" s="1" t="str">
        <f t="shared" si="2411"/>
        <v>卡卡杜个人护理店（抖店）</v>
      </c>
      <c r="H8467" s="1" t="str">
        <f t="shared" si="2408"/>
        <v>正常订单</v>
      </c>
      <c r="I8467" s="1" t="str">
        <f t="shared" si="2409"/>
        <v>已发货</v>
      </c>
      <c r="J8467" s="1" t="str">
        <f t="shared" si="2410"/>
        <v>2</v>
      </c>
      <c r="K8467" s="1">
        <v>1</v>
      </c>
      <c r="L8467" s="1" t="s">
        <v>36</v>
      </c>
      <c r="M8467" s="1" t="str">
        <f>"安徽省 阜阳市 颍上县 慎城镇"</f>
        <v>安徽省 阜阳市 颍上县 慎城镇</v>
      </c>
      <c r="N8467" s="1" t="str">
        <f t="shared" si="2412"/>
        <v>凡华云仓-韵达-抖音</v>
      </c>
      <c r="O8467" s="5">
        <v>320163360842672</v>
      </c>
      <c r="P8467" s="6">
        <v>0.33</v>
      </c>
      <c r="Q8467" s="11">
        <v>2.2999999999999998</v>
      </c>
      <c r="R8467" s="11"/>
      <c r="S8467" s="11"/>
      <c r="T8467" s="11"/>
      <c r="U8467" s="11">
        <f t="shared" si="2405"/>
        <v>2.2999999999999998</v>
      </c>
      <c r="W8467">
        <v>2.5</v>
      </c>
      <c r="X8467" s="1" t="s">
        <v>36</v>
      </c>
    </row>
    <row r="8468" spans="1:24" x14ac:dyDescent="0.25">
      <c r="A8468" s="1" t="str">
        <f t="shared" si="2406"/>
        <v>卡卡杜-凤凰仓</v>
      </c>
      <c r="B8468" s="1" t="str">
        <f>"CK2024100914136"</f>
        <v>CK2024100914136</v>
      </c>
      <c r="C8468" s="1" t="str">
        <f>"DD2024100944854"</f>
        <v>DD2024100944854</v>
      </c>
      <c r="D8468" s="1" t="str">
        <f>"CK2024100944590"</f>
        <v>CK2024100944590</v>
      </c>
      <c r="E8468" s="1" t="str">
        <f>"6917991967727189336"</f>
        <v>6917991967727189336</v>
      </c>
      <c r="F8468" s="1" t="str">
        <f t="shared" si="2407"/>
        <v>花都四部-凤凰仓</v>
      </c>
      <c r="G8468" s="1" t="str">
        <f t="shared" si="2411"/>
        <v>卡卡杜个人护理店（抖店）</v>
      </c>
      <c r="H8468" s="1" t="str">
        <f t="shared" si="2408"/>
        <v>正常订单</v>
      </c>
      <c r="I8468" s="1" t="str">
        <f t="shared" si="2409"/>
        <v>已发货</v>
      </c>
      <c r="J8468" s="1" t="str">
        <f t="shared" si="2410"/>
        <v>2</v>
      </c>
      <c r="K8468" s="1">
        <v>1</v>
      </c>
      <c r="L8468" s="1" t="s">
        <v>96</v>
      </c>
      <c r="M8468" s="1" t="str">
        <f>"广西壮族自治区 贺州市 富川瑶族自治县 富阳镇"</f>
        <v>广西壮族自治区 贺州市 富川瑶族自治县 富阳镇</v>
      </c>
      <c r="N8468" s="1" t="str">
        <f t="shared" si="2412"/>
        <v>凡华云仓-韵达-抖音</v>
      </c>
      <c r="O8468" s="5">
        <v>320163367188082</v>
      </c>
      <c r="P8468" s="6">
        <v>0.33</v>
      </c>
      <c r="Q8468" s="11">
        <v>2.2999999999999998</v>
      </c>
      <c r="R8468" s="11"/>
      <c r="S8468" s="11"/>
      <c r="T8468" s="11"/>
      <c r="U8468" s="11">
        <f t="shared" si="2405"/>
        <v>2.2999999999999998</v>
      </c>
      <c r="W8468">
        <v>2.5</v>
      </c>
      <c r="X8468" s="1" t="s">
        <v>96</v>
      </c>
    </row>
    <row r="8469" spans="1:24" x14ac:dyDescent="0.25">
      <c r="A8469" s="1" t="str">
        <f t="shared" si="2406"/>
        <v>卡卡杜-凤凰仓</v>
      </c>
      <c r="B8469" s="1" t="str">
        <f>"CK2024100914190"</f>
        <v>CK2024100914190</v>
      </c>
      <c r="C8469" s="1" t="str">
        <f>"DD2024100944908"</f>
        <v>DD2024100944908</v>
      </c>
      <c r="D8469" s="1" t="str">
        <f>"CK2024100944589"</f>
        <v>CK2024100944589</v>
      </c>
      <c r="E8469" s="1" t="str">
        <f>"6917993962164289151"</f>
        <v>6917993962164289151</v>
      </c>
      <c r="F8469" s="1" t="str">
        <f t="shared" si="2407"/>
        <v>花都四部-凤凰仓</v>
      </c>
      <c r="G8469" s="1" t="str">
        <f t="shared" si="2411"/>
        <v>卡卡杜个人护理店（抖店）</v>
      </c>
      <c r="H8469" s="1" t="str">
        <f t="shared" si="2408"/>
        <v>正常订单</v>
      </c>
      <c r="I8469" s="1" t="str">
        <f t="shared" si="2409"/>
        <v>已发货</v>
      </c>
      <c r="J8469" s="1" t="str">
        <f>"1"</f>
        <v>1</v>
      </c>
      <c r="K8469" s="1">
        <v>1</v>
      </c>
      <c r="L8469" s="1" t="s">
        <v>18</v>
      </c>
      <c r="M8469" s="1" t="str">
        <f>"广东省 东莞市 东莞市 常平镇"</f>
        <v>广东省 东莞市 东莞市 常平镇</v>
      </c>
      <c r="N8469" s="1" t="str">
        <f t="shared" si="2412"/>
        <v>凡华云仓-韵达-抖音</v>
      </c>
      <c r="O8469" s="5">
        <v>320163367187952</v>
      </c>
      <c r="P8469" s="6">
        <v>0.12</v>
      </c>
      <c r="Q8469" s="11">
        <v>2</v>
      </c>
      <c r="R8469" s="11"/>
      <c r="S8469" s="11"/>
      <c r="T8469" s="11"/>
      <c r="U8469" s="11">
        <f t="shared" si="2405"/>
        <v>2</v>
      </c>
      <c r="W8469">
        <v>2.2000000000000002</v>
      </c>
      <c r="X8469" s="1" t="s">
        <v>18</v>
      </c>
    </row>
    <row r="8470" spans="1:24" x14ac:dyDescent="0.25">
      <c r="A8470" s="1" t="str">
        <f t="shared" si="2406"/>
        <v>卡卡杜-凤凰仓</v>
      </c>
      <c r="B8470" s="1" t="str">
        <f>"CK2024100914137"</f>
        <v>CK2024100914137</v>
      </c>
      <c r="C8470" s="1" t="str">
        <f>"DD2024100944857"</f>
        <v>DD2024100944857</v>
      </c>
      <c r="D8470" s="1" t="str">
        <f>"CK2024100944588"</f>
        <v>CK2024100944588</v>
      </c>
      <c r="E8470" s="1" t="str">
        <f>"6917991553165787065"</f>
        <v>6917991553165787065</v>
      </c>
      <c r="F8470" s="1" t="str">
        <f t="shared" si="2407"/>
        <v>花都四部-凤凰仓</v>
      </c>
      <c r="G8470" s="1" t="str">
        <f t="shared" si="2411"/>
        <v>卡卡杜个人护理店（抖店）</v>
      </c>
      <c r="H8470" s="1" t="str">
        <f t="shared" si="2408"/>
        <v>正常订单</v>
      </c>
      <c r="I8470" s="1" t="str">
        <f t="shared" si="2409"/>
        <v>已发货</v>
      </c>
      <c r="J8470" s="1" t="str">
        <f t="shared" ref="J8470:J8487" si="2413">"2"</f>
        <v>2</v>
      </c>
      <c r="K8470" s="1">
        <v>1</v>
      </c>
      <c r="L8470" s="1" t="s">
        <v>20</v>
      </c>
      <c r="M8470" s="1" t="str">
        <f>"浙江省 杭州市 临安区 锦城街道"</f>
        <v>浙江省 杭州市 临安区 锦城街道</v>
      </c>
      <c r="N8470" s="1" t="str">
        <f t="shared" si="2412"/>
        <v>凡华云仓-韵达-抖音</v>
      </c>
      <c r="O8470" s="5">
        <v>320163367187847</v>
      </c>
      <c r="P8470" s="6">
        <v>0.33</v>
      </c>
      <c r="Q8470" s="11">
        <v>2.2999999999999998</v>
      </c>
      <c r="R8470" s="11"/>
      <c r="S8470" s="11"/>
      <c r="T8470" s="11"/>
      <c r="U8470" s="11">
        <f t="shared" si="2405"/>
        <v>2.2999999999999998</v>
      </c>
      <c r="W8470">
        <v>2.5</v>
      </c>
      <c r="X8470" s="1" t="s">
        <v>20</v>
      </c>
    </row>
    <row r="8471" spans="1:24" x14ac:dyDescent="0.25">
      <c r="A8471" s="1" t="str">
        <f t="shared" si="2406"/>
        <v>卡卡杜-凤凰仓</v>
      </c>
      <c r="B8471" s="1" t="str">
        <f>"CK2024100914138"</f>
        <v>CK2024100914138</v>
      </c>
      <c r="C8471" s="1" t="str">
        <f>"DD2024100944855"</f>
        <v>DD2024100944855</v>
      </c>
      <c r="D8471" s="1" t="str">
        <f>"CK2024100944587"</f>
        <v>CK2024100944587</v>
      </c>
      <c r="E8471" s="1" t="str">
        <f>"6917996250919501784"</f>
        <v>6917996250919501784</v>
      </c>
      <c r="F8471" s="1" t="str">
        <f t="shared" si="2407"/>
        <v>花都四部-凤凰仓</v>
      </c>
      <c r="G8471" s="1" t="str">
        <f t="shared" si="2411"/>
        <v>卡卡杜个人护理店（抖店）</v>
      </c>
      <c r="H8471" s="1" t="str">
        <f t="shared" si="2408"/>
        <v>正常订单</v>
      </c>
      <c r="I8471" s="1" t="str">
        <f t="shared" si="2409"/>
        <v>已发货</v>
      </c>
      <c r="J8471" s="1" t="str">
        <f t="shared" si="2413"/>
        <v>2</v>
      </c>
      <c r="K8471" s="1">
        <v>1</v>
      </c>
      <c r="L8471" s="1" t="s">
        <v>20</v>
      </c>
      <c r="M8471" s="1" t="str">
        <f>"浙江省 杭州市 桐庐县 横村镇"</f>
        <v>浙江省 杭州市 桐庐县 横村镇</v>
      </c>
      <c r="N8471" s="1" t="str">
        <f t="shared" si="2412"/>
        <v>凡华云仓-韵达-抖音</v>
      </c>
      <c r="O8471" s="5">
        <v>320163367187744</v>
      </c>
      <c r="P8471" s="6">
        <v>0.33</v>
      </c>
      <c r="Q8471" s="11">
        <v>2.2999999999999998</v>
      </c>
      <c r="R8471" s="11"/>
      <c r="S8471" s="11"/>
      <c r="T8471" s="11"/>
      <c r="U8471" s="11">
        <f t="shared" si="2405"/>
        <v>2.2999999999999998</v>
      </c>
      <c r="W8471">
        <v>2.5</v>
      </c>
      <c r="X8471" s="1" t="s">
        <v>20</v>
      </c>
    </row>
    <row r="8472" spans="1:24" x14ac:dyDescent="0.25">
      <c r="A8472" s="1" t="str">
        <f t="shared" si="2406"/>
        <v>卡卡杜-凤凰仓</v>
      </c>
      <c r="B8472" s="1" t="str">
        <f>"CK2024100914139"</f>
        <v>CK2024100914139</v>
      </c>
      <c r="C8472" s="1" t="str">
        <f>"DD2024100944856"</f>
        <v>DD2024100944856</v>
      </c>
      <c r="D8472" s="1" t="str">
        <f>"CK2024100944586"</f>
        <v>CK2024100944586</v>
      </c>
      <c r="E8472" s="1" t="str">
        <f>"6917996354062744896"</f>
        <v>6917996354062744896</v>
      </c>
      <c r="F8472" s="1" t="str">
        <f t="shared" si="2407"/>
        <v>花都四部-凤凰仓</v>
      </c>
      <c r="G8472" s="1" t="str">
        <f t="shared" si="2411"/>
        <v>卡卡杜个人护理店（抖店）</v>
      </c>
      <c r="H8472" s="1" t="str">
        <f t="shared" si="2408"/>
        <v>正常订单</v>
      </c>
      <c r="I8472" s="1" t="str">
        <f t="shared" si="2409"/>
        <v>已发货</v>
      </c>
      <c r="J8472" s="1" t="str">
        <f t="shared" si="2413"/>
        <v>2</v>
      </c>
      <c r="K8472" s="1">
        <v>1</v>
      </c>
      <c r="L8472" s="1" t="s">
        <v>13</v>
      </c>
      <c r="M8472" s="1" t="str">
        <f>"江苏省 无锡市 宜兴市 宜城街道"</f>
        <v>江苏省 无锡市 宜兴市 宜城街道</v>
      </c>
      <c r="N8472" s="1" t="str">
        <f t="shared" si="2412"/>
        <v>凡华云仓-韵达-抖音</v>
      </c>
      <c r="O8472" s="5">
        <v>320163367187643</v>
      </c>
      <c r="P8472" s="6">
        <v>0.33</v>
      </c>
      <c r="Q8472" s="11">
        <v>2.2999999999999998</v>
      </c>
      <c r="R8472" s="11"/>
      <c r="S8472" s="11"/>
      <c r="T8472" s="11"/>
      <c r="U8472" s="11">
        <f t="shared" si="2405"/>
        <v>2.2999999999999998</v>
      </c>
      <c r="W8472">
        <v>2.5</v>
      </c>
      <c r="X8472" s="1" t="s">
        <v>13</v>
      </c>
    </row>
    <row r="8473" spans="1:24" x14ac:dyDescent="0.25">
      <c r="A8473" s="1" t="str">
        <f t="shared" si="2406"/>
        <v>卡卡杜-凤凰仓</v>
      </c>
      <c r="B8473" s="1" t="str">
        <f>"CK2024100914130"</f>
        <v>CK2024100914130</v>
      </c>
      <c r="C8473" s="1" t="str">
        <f>"DD2024100944848"</f>
        <v>DD2024100944848</v>
      </c>
      <c r="D8473" s="1" t="str">
        <f>"CK2024100944585"</f>
        <v>CK2024100944585</v>
      </c>
      <c r="E8473" s="1" t="str">
        <f>"6917981868538167051"</f>
        <v>6917981868538167051</v>
      </c>
      <c r="F8473" s="1" t="str">
        <f t="shared" si="2407"/>
        <v>花都四部-凤凰仓</v>
      </c>
      <c r="G8473" s="1" t="str">
        <f t="shared" si="2411"/>
        <v>卡卡杜个人护理店（抖店）</v>
      </c>
      <c r="H8473" s="1" t="str">
        <f t="shared" si="2408"/>
        <v>正常订单</v>
      </c>
      <c r="I8473" s="1" t="str">
        <f t="shared" si="2409"/>
        <v>已发货</v>
      </c>
      <c r="J8473" s="1" t="str">
        <f t="shared" si="2413"/>
        <v>2</v>
      </c>
      <c r="K8473" s="1">
        <v>1</v>
      </c>
      <c r="L8473" s="1" t="s">
        <v>36</v>
      </c>
      <c r="M8473" s="1" t="str">
        <f>"安徽省 黄山市 歙县 长陔乡"</f>
        <v>安徽省 黄山市 歙县 长陔乡</v>
      </c>
      <c r="N8473" s="1" t="str">
        <f t="shared" si="2412"/>
        <v>凡华云仓-韵达-抖音</v>
      </c>
      <c r="O8473" s="5">
        <v>320163367187544</v>
      </c>
      <c r="P8473" s="6">
        <v>0.33</v>
      </c>
      <c r="Q8473" s="11">
        <v>2.2999999999999998</v>
      </c>
      <c r="R8473" s="11"/>
      <c r="S8473" s="11"/>
      <c r="T8473" s="11"/>
      <c r="U8473" s="11">
        <f t="shared" si="2405"/>
        <v>2.2999999999999998</v>
      </c>
      <c r="W8473">
        <v>2.5</v>
      </c>
      <c r="X8473" s="1" t="s">
        <v>36</v>
      </c>
    </row>
    <row r="8474" spans="1:24" x14ac:dyDescent="0.25">
      <c r="A8474" s="1" t="str">
        <f t="shared" si="2406"/>
        <v>卡卡杜-凤凰仓</v>
      </c>
      <c r="B8474" s="1" t="str">
        <f>"CK2024100914128"</f>
        <v>CK2024100914128</v>
      </c>
      <c r="C8474" s="1" t="str">
        <f>"DD2024100944847"</f>
        <v>DD2024100944847</v>
      </c>
      <c r="D8474" s="1" t="str">
        <f>"CK2024100944584"</f>
        <v>CK2024100944584</v>
      </c>
      <c r="E8474" s="1" t="str">
        <f>"6917979528571158375"</f>
        <v>6917979528571158375</v>
      </c>
      <c r="F8474" s="1" t="str">
        <f t="shared" si="2407"/>
        <v>花都四部-凤凰仓</v>
      </c>
      <c r="G8474" s="1" t="str">
        <f t="shared" si="2411"/>
        <v>卡卡杜个人护理店（抖店）</v>
      </c>
      <c r="H8474" s="1" t="str">
        <f t="shared" si="2408"/>
        <v>正常订单</v>
      </c>
      <c r="I8474" s="1" t="str">
        <f t="shared" si="2409"/>
        <v>已发货</v>
      </c>
      <c r="J8474" s="1" t="str">
        <f t="shared" si="2413"/>
        <v>2</v>
      </c>
      <c r="K8474" s="1">
        <v>1</v>
      </c>
      <c r="L8474" s="1" t="s">
        <v>30</v>
      </c>
      <c r="M8474" s="1" t="str">
        <f>"山东省 青岛市 李沧区 湘潭路街道"</f>
        <v>山东省 青岛市 李沧区 湘潭路街道</v>
      </c>
      <c r="N8474" s="1" t="str">
        <f t="shared" si="2412"/>
        <v>凡华云仓-韵达-抖音</v>
      </c>
      <c r="O8474" s="5">
        <v>320163367187447</v>
      </c>
      <c r="P8474" s="6">
        <v>0.33</v>
      </c>
      <c r="Q8474" s="11">
        <v>2.2999999999999998</v>
      </c>
      <c r="R8474" s="11"/>
      <c r="S8474" s="11"/>
      <c r="T8474" s="11"/>
      <c r="U8474" s="11">
        <f t="shared" si="2405"/>
        <v>2.2999999999999998</v>
      </c>
      <c r="W8474">
        <v>2.5</v>
      </c>
      <c r="X8474" s="1" t="s">
        <v>30</v>
      </c>
    </row>
    <row r="8475" spans="1:24" x14ac:dyDescent="0.25">
      <c r="A8475" s="1" t="str">
        <f t="shared" si="2406"/>
        <v>卡卡杜-凤凰仓</v>
      </c>
      <c r="B8475" s="1" t="str">
        <f>"CK2024100914122"</f>
        <v>CK2024100914122</v>
      </c>
      <c r="C8475" s="1" t="str">
        <f>"DD2024100944841"</f>
        <v>DD2024100944841</v>
      </c>
      <c r="D8475" s="1" t="str">
        <f>"CK2024100944583"</f>
        <v>CK2024100944583</v>
      </c>
      <c r="E8475" s="1" t="str">
        <f>"6917984095056330119"</f>
        <v>6917984095056330119</v>
      </c>
      <c r="F8475" s="1" t="str">
        <f t="shared" si="2407"/>
        <v>花都四部-凤凰仓</v>
      </c>
      <c r="G8475" s="1" t="str">
        <f t="shared" si="2411"/>
        <v>卡卡杜个人护理店（抖店）</v>
      </c>
      <c r="H8475" s="1" t="str">
        <f t="shared" si="2408"/>
        <v>正常订单</v>
      </c>
      <c r="I8475" s="1" t="str">
        <f t="shared" si="2409"/>
        <v>已发货</v>
      </c>
      <c r="J8475" s="1" t="str">
        <f t="shared" si="2413"/>
        <v>2</v>
      </c>
      <c r="K8475" s="1">
        <v>1</v>
      </c>
      <c r="L8475" s="1" t="s">
        <v>18</v>
      </c>
      <c r="M8475" s="1" t="str">
        <f>"广东省 深圳市 罗湖区 桂园街道"</f>
        <v>广东省 深圳市 罗湖区 桂园街道</v>
      </c>
      <c r="N8475" s="1" t="str">
        <f t="shared" si="2412"/>
        <v>凡华云仓-韵达-抖音</v>
      </c>
      <c r="O8475" s="5">
        <v>320163367187352</v>
      </c>
      <c r="P8475" s="6">
        <v>0.33</v>
      </c>
      <c r="Q8475" s="11">
        <v>2.2999999999999998</v>
      </c>
      <c r="R8475" s="11"/>
      <c r="S8475" s="11"/>
      <c r="T8475" s="11"/>
      <c r="U8475" s="11">
        <f t="shared" si="2405"/>
        <v>2.2999999999999998</v>
      </c>
      <c r="W8475">
        <v>2.5</v>
      </c>
      <c r="X8475" s="1" t="s">
        <v>18</v>
      </c>
    </row>
    <row r="8476" spans="1:24" x14ac:dyDescent="0.25">
      <c r="A8476" s="1" t="str">
        <f t="shared" si="2406"/>
        <v>卡卡杜-凤凰仓</v>
      </c>
      <c r="B8476" s="1" t="str">
        <f>"CK2024100914127"</f>
        <v>CK2024100914127</v>
      </c>
      <c r="C8476" s="1" t="str">
        <f>"DD2024100944844"</f>
        <v>DD2024100944844</v>
      </c>
      <c r="D8476" s="1" t="str">
        <f>"CK2024100944582"</f>
        <v>CK2024100944582</v>
      </c>
      <c r="E8476" s="1" t="str">
        <f>"6917981963765120312"</f>
        <v>6917981963765120312</v>
      </c>
      <c r="F8476" s="1" t="str">
        <f t="shared" si="2407"/>
        <v>花都四部-凤凰仓</v>
      </c>
      <c r="G8476" s="1" t="str">
        <f t="shared" si="2411"/>
        <v>卡卡杜个人护理店（抖店）</v>
      </c>
      <c r="H8476" s="1" t="str">
        <f t="shared" si="2408"/>
        <v>正常订单</v>
      </c>
      <c r="I8476" s="1" t="str">
        <f t="shared" si="2409"/>
        <v>已发货</v>
      </c>
      <c r="J8476" s="1" t="str">
        <f t="shared" si="2413"/>
        <v>2</v>
      </c>
      <c r="K8476" s="1">
        <v>1</v>
      </c>
      <c r="L8476" s="1" t="s">
        <v>41</v>
      </c>
      <c r="M8476" s="1" t="str">
        <f>"湖北省 黄冈市 蕲春县 蕲州镇"</f>
        <v>湖北省 黄冈市 蕲春县 蕲州镇</v>
      </c>
      <c r="N8476" s="1" t="str">
        <f t="shared" si="2412"/>
        <v>凡华云仓-韵达-抖音</v>
      </c>
      <c r="O8476" s="5">
        <v>320163367187259</v>
      </c>
      <c r="P8476" s="6">
        <v>0.33</v>
      </c>
      <c r="Q8476" s="11">
        <v>2.2999999999999998</v>
      </c>
      <c r="R8476" s="11"/>
      <c r="S8476" s="11"/>
      <c r="T8476" s="11"/>
      <c r="U8476" s="11">
        <f t="shared" si="2405"/>
        <v>2.2999999999999998</v>
      </c>
      <c r="W8476">
        <v>2.5</v>
      </c>
      <c r="X8476" s="1" t="s">
        <v>41</v>
      </c>
    </row>
    <row r="8477" spans="1:24" x14ac:dyDescent="0.25">
      <c r="A8477" s="1" t="str">
        <f t="shared" si="2406"/>
        <v>卡卡杜-凤凰仓</v>
      </c>
      <c r="B8477" s="1" t="str">
        <f>"CK2024100914118"</f>
        <v>CK2024100914118</v>
      </c>
      <c r="C8477" s="1" t="str">
        <f>"DD2024100944835"</f>
        <v>DD2024100944835</v>
      </c>
      <c r="D8477" s="1" t="str">
        <f>"CK2024100944581"</f>
        <v>CK2024100944581</v>
      </c>
      <c r="E8477" s="1" t="str">
        <f>"6917981912925240730"</f>
        <v>6917981912925240730</v>
      </c>
      <c r="F8477" s="1" t="str">
        <f t="shared" si="2407"/>
        <v>花都四部-凤凰仓</v>
      </c>
      <c r="G8477" s="1" t="str">
        <f t="shared" si="2411"/>
        <v>卡卡杜个人护理店（抖店）</v>
      </c>
      <c r="H8477" s="1" t="str">
        <f t="shared" si="2408"/>
        <v>正常订单</v>
      </c>
      <c r="I8477" s="1" t="str">
        <f t="shared" si="2409"/>
        <v>已发货</v>
      </c>
      <c r="J8477" s="1" t="str">
        <f t="shared" si="2413"/>
        <v>2</v>
      </c>
      <c r="K8477" s="1">
        <v>1</v>
      </c>
      <c r="L8477" s="1" t="s">
        <v>18</v>
      </c>
      <c r="M8477" s="1" t="str">
        <f>"广东省 广州市 花都区 花东镇"</f>
        <v>广东省 广州市 花都区 花东镇</v>
      </c>
      <c r="N8477" s="1" t="str">
        <f t="shared" si="2412"/>
        <v>凡华云仓-韵达-抖音</v>
      </c>
      <c r="O8477" s="5">
        <v>320163367187168</v>
      </c>
      <c r="P8477" s="6">
        <v>0.33</v>
      </c>
      <c r="Q8477" s="11">
        <v>2.2999999999999998</v>
      </c>
      <c r="R8477" s="11"/>
      <c r="S8477" s="11"/>
      <c r="T8477" s="11"/>
      <c r="U8477" s="11">
        <f t="shared" si="2405"/>
        <v>2.2999999999999998</v>
      </c>
      <c r="W8477">
        <v>2.5</v>
      </c>
      <c r="X8477" s="1" t="s">
        <v>18</v>
      </c>
    </row>
    <row r="8478" spans="1:24" x14ac:dyDescent="0.25">
      <c r="A8478" s="1" t="str">
        <f t="shared" si="2406"/>
        <v>卡卡杜-凤凰仓</v>
      </c>
      <c r="B8478" s="1" t="str">
        <f>"CK2024100914119"</f>
        <v>CK2024100914119</v>
      </c>
      <c r="C8478" s="1" t="str">
        <f>"DD2024100944837"</f>
        <v>DD2024100944837</v>
      </c>
      <c r="D8478" s="1" t="str">
        <f>"CK2024100944580"</f>
        <v>CK2024100944580</v>
      </c>
      <c r="E8478" s="1" t="str">
        <f>"6917984036291640683"</f>
        <v>6917984036291640683</v>
      </c>
      <c r="F8478" s="1" t="str">
        <f t="shared" si="2407"/>
        <v>花都四部-凤凰仓</v>
      </c>
      <c r="G8478" s="1" t="str">
        <f t="shared" si="2411"/>
        <v>卡卡杜个人护理店（抖店）</v>
      </c>
      <c r="H8478" s="1" t="str">
        <f t="shared" si="2408"/>
        <v>正常订单</v>
      </c>
      <c r="I8478" s="1" t="str">
        <f t="shared" si="2409"/>
        <v>已发货</v>
      </c>
      <c r="J8478" s="1" t="str">
        <f t="shared" si="2413"/>
        <v>2</v>
      </c>
      <c r="K8478" s="1">
        <v>1</v>
      </c>
      <c r="L8478" s="1" t="s">
        <v>13</v>
      </c>
      <c r="M8478" s="1" t="str">
        <f>"江苏省 苏州市 张家港市 金港街道"</f>
        <v>江苏省 苏州市 张家港市 金港街道</v>
      </c>
      <c r="N8478" s="1" t="str">
        <f t="shared" si="2412"/>
        <v>凡华云仓-韵达-抖音</v>
      </c>
      <c r="O8478" s="5">
        <v>320163366307367</v>
      </c>
      <c r="P8478" s="6">
        <v>0.33</v>
      </c>
      <c r="Q8478" s="11">
        <v>2.2999999999999998</v>
      </c>
      <c r="R8478" s="11"/>
      <c r="S8478" s="11"/>
      <c r="T8478" s="11"/>
      <c r="U8478" s="11">
        <f t="shared" si="2405"/>
        <v>2.2999999999999998</v>
      </c>
      <c r="W8478">
        <v>2.5</v>
      </c>
      <c r="X8478" s="1" t="s">
        <v>13</v>
      </c>
    </row>
    <row r="8479" spans="1:24" x14ac:dyDescent="0.25">
      <c r="A8479" s="1" t="str">
        <f t="shared" si="2406"/>
        <v>卡卡杜-凤凰仓</v>
      </c>
      <c r="B8479" s="1" t="str">
        <f>"CK2024100914099"</f>
        <v>CK2024100914099</v>
      </c>
      <c r="C8479" s="1" t="str">
        <f>"DD2024100944817"</f>
        <v>DD2024100944817</v>
      </c>
      <c r="D8479" s="1" t="str">
        <f>"CK2024100944579"</f>
        <v>CK2024100944579</v>
      </c>
      <c r="E8479" s="1" t="str">
        <f>"6917981634573795042"</f>
        <v>6917981634573795042</v>
      </c>
      <c r="F8479" s="1" t="str">
        <f t="shared" si="2407"/>
        <v>花都四部-凤凰仓</v>
      </c>
      <c r="G8479" s="1" t="str">
        <f t="shared" si="2411"/>
        <v>卡卡杜个人护理店（抖店）</v>
      </c>
      <c r="H8479" s="1" t="str">
        <f t="shared" si="2408"/>
        <v>正常订单</v>
      </c>
      <c r="I8479" s="1" t="str">
        <f t="shared" si="2409"/>
        <v>已发货</v>
      </c>
      <c r="J8479" s="1" t="str">
        <f t="shared" si="2413"/>
        <v>2</v>
      </c>
      <c r="K8479" s="1">
        <v>2</v>
      </c>
      <c r="L8479" s="1" t="s">
        <v>96</v>
      </c>
      <c r="M8479" s="1" t="str">
        <f>"广西壮族自治区 钦州市 钦南区 水东街道"</f>
        <v>广西壮族自治区 钦州市 钦南区 水东街道</v>
      </c>
      <c r="N8479" s="1" t="str">
        <f t="shared" si="2412"/>
        <v>凡华云仓-韵达-抖音</v>
      </c>
      <c r="O8479" s="5">
        <v>320163366307274</v>
      </c>
      <c r="P8479" s="6">
        <v>0.28000000000000003</v>
      </c>
      <c r="Q8479" s="11">
        <v>2</v>
      </c>
      <c r="R8479" s="11"/>
      <c r="S8479" s="11"/>
      <c r="T8479" s="11"/>
      <c r="U8479" s="11">
        <f t="shared" si="2405"/>
        <v>2</v>
      </c>
      <c r="W8479">
        <v>2.2000000000000002</v>
      </c>
      <c r="X8479" s="1" t="s">
        <v>96</v>
      </c>
    </row>
    <row r="8480" spans="1:24" x14ac:dyDescent="0.25">
      <c r="A8480" s="1" t="str">
        <f t="shared" si="2406"/>
        <v>卡卡杜-凤凰仓</v>
      </c>
      <c r="B8480" s="1" t="str">
        <f>"CK2024100914120"</f>
        <v>CK2024100914120</v>
      </c>
      <c r="C8480" s="1" t="str">
        <f>"DD2024100944838"</f>
        <v>DD2024100944838</v>
      </c>
      <c r="D8480" s="1" t="str">
        <f>"CK2024100944578"</f>
        <v>CK2024100944578</v>
      </c>
      <c r="E8480" s="1" t="str">
        <f>"6917986029500137345"</f>
        <v>6917986029500137345</v>
      </c>
      <c r="F8480" s="1" t="str">
        <f t="shared" si="2407"/>
        <v>花都四部-凤凰仓</v>
      </c>
      <c r="G8480" s="1" t="str">
        <f t="shared" si="2411"/>
        <v>卡卡杜个人护理店（抖店）</v>
      </c>
      <c r="H8480" s="1" t="str">
        <f t="shared" si="2408"/>
        <v>正常订单</v>
      </c>
      <c r="I8480" s="1" t="str">
        <f t="shared" si="2409"/>
        <v>已发货</v>
      </c>
      <c r="J8480" s="1" t="str">
        <f t="shared" si="2413"/>
        <v>2</v>
      </c>
      <c r="K8480" s="1">
        <v>1</v>
      </c>
      <c r="L8480" s="1" t="s">
        <v>60</v>
      </c>
      <c r="M8480" s="1" t="str">
        <f>"云南省 文山壮族苗族自治州 砚山县 "</f>
        <v xml:space="preserve">云南省 文山壮族苗族自治州 砚山县 </v>
      </c>
      <c r="N8480" s="1" t="str">
        <f t="shared" si="2412"/>
        <v>凡华云仓-韵达-抖音</v>
      </c>
      <c r="O8480" s="5">
        <v>320163366307183</v>
      </c>
      <c r="P8480" s="6">
        <v>0.33</v>
      </c>
      <c r="Q8480" s="11">
        <v>2.2999999999999998</v>
      </c>
      <c r="R8480" s="11"/>
      <c r="S8480" s="11"/>
      <c r="T8480" s="11"/>
      <c r="U8480" s="11">
        <f t="shared" si="2405"/>
        <v>2.2999999999999998</v>
      </c>
      <c r="W8480">
        <v>2.5</v>
      </c>
      <c r="X8480" s="1" t="s">
        <v>60</v>
      </c>
    </row>
    <row r="8481" spans="1:24" x14ac:dyDescent="0.25">
      <c r="A8481" s="1" t="str">
        <f t="shared" si="2406"/>
        <v>卡卡杜-凤凰仓</v>
      </c>
      <c r="B8481" s="1" t="str">
        <f>"CK2024100914116"</f>
        <v>CK2024100914116</v>
      </c>
      <c r="C8481" s="1" t="str">
        <f>"DD2024100944833"</f>
        <v>DD2024100944833</v>
      </c>
      <c r="D8481" s="1" t="str">
        <f>"CK2024100944577"</f>
        <v>CK2024100944577</v>
      </c>
      <c r="E8481" s="1" t="str">
        <f>"6917979365401198554"</f>
        <v>6917979365401198554</v>
      </c>
      <c r="F8481" s="1" t="str">
        <f t="shared" si="2407"/>
        <v>花都四部-凤凰仓</v>
      </c>
      <c r="G8481" s="1" t="str">
        <f t="shared" si="2411"/>
        <v>卡卡杜个人护理店（抖店）</v>
      </c>
      <c r="H8481" s="1" t="str">
        <f t="shared" si="2408"/>
        <v>正常订单</v>
      </c>
      <c r="I8481" s="1" t="str">
        <f t="shared" si="2409"/>
        <v>已发货</v>
      </c>
      <c r="J8481" s="1" t="str">
        <f t="shared" si="2413"/>
        <v>2</v>
      </c>
      <c r="K8481" s="1">
        <v>1</v>
      </c>
      <c r="L8481" s="1" t="s">
        <v>20</v>
      </c>
      <c r="M8481" s="1" t="str">
        <f>"浙江省 金华市 武义县 白洋街道"</f>
        <v>浙江省 金华市 武义县 白洋街道</v>
      </c>
      <c r="N8481" s="1" t="str">
        <f t="shared" si="2412"/>
        <v>凡华云仓-韵达-抖音</v>
      </c>
      <c r="O8481" s="5">
        <v>320163366307094</v>
      </c>
      <c r="P8481" s="6">
        <v>0.33</v>
      </c>
      <c r="Q8481" s="11">
        <v>2.2999999999999998</v>
      </c>
      <c r="R8481" s="11"/>
      <c r="S8481" s="11"/>
      <c r="T8481" s="11"/>
      <c r="U8481" s="11">
        <f t="shared" si="2405"/>
        <v>2.2999999999999998</v>
      </c>
      <c r="W8481">
        <v>2.5</v>
      </c>
      <c r="X8481" s="1" t="s">
        <v>20</v>
      </c>
    </row>
    <row r="8482" spans="1:24" x14ac:dyDescent="0.25">
      <c r="A8482" s="1" t="str">
        <f t="shared" si="2406"/>
        <v>卡卡杜-凤凰仓</v>
      </c>
      <c r="B8482" s="1" t="str">
        <f>"CK2024100914121"</f>
        <v>CK2024100914121</v>
      </c>
      <c r="C8482" s="1" t="str">
        <f>"DD2024100944839"</f>
        <v>DD2024100944839</v>
      </c>
      <c r="D8482" s="1" t="str">
        <f>"CK2024100944576"</f>
        <v>CK2024100944576</v>
      </c>
      <c r="E8482" s="1" t="str">
        <f>"6917986246673989419"</f>
        <v>6917986246673989419</v>
      </c>
      <c r="F8482" s="1" t="str">
        <f t="shared" si="2407"/>
        <v>花都四部-凤凰仓</v>
      </c>
      <c r="G8482" s="1" t="str">
        <f t="shared" si="2411"/>
        <v>卡卡杜个人护理店（抖店）</v>
      </c>
      <c r="H8482" s="1" t="str">
        <f t="shared" si="2408"/>
        <v>正常订单</v>
      </c>
      <c r="I8482" s="1" t="str">
        <f t="shared" si="2409"/>
        <v>已发货</v>
      </c>
      <c r="J8482" s="1" t="str">
        <f t="shared" si="2413"/>
        <v>2</v>
      </c>
      <c r="K8482" s="1">
        <v>1</v>
      </c>
      <c r="L8482" s="1" t="s">
        <v>20</v>
      </c>
      <c r="M8482" s="1" t="str">
        <f>"浙江省 杭州市 西湖区 双浦镇"</f>
        <v>浙江省 杭州市 西湖区 双浦镇</v>
      </c>
      <c r="N8482" s="1" t="str">
        <f t="shared" si="2412"/>
        <v>凡华云仓-韵达-抖音</v>
      </c>
      <c r="O8482" s="5">
        <v>320163366306966</v>
      </c>
      <c r="P8482" s="6">
        <v>0.33</v>
      </c>
      <c r="Q8482" s="11">
        <v>2.2999999999999998</v>
      </c>
      <c r="R8482" s="11"/>
      <c r="S8482" s="11"/>
      <c r="T8482" s="11"/>
      <c r="U8482" s="11">
        <f t="shared" si="2405"/>
        <v>2.2999999999999998</v>
      </c>
      <c r="W8482">
        <v>2.5</v>
      </c>
      <c r="X8482" s="1" t="s">
        <v>20</v>
      </c>
    </row>
    <row r="8483" spans="1:24" x14ac:dyDescent="0.25">
      <c r="A8483" s="1" t="str">
        <f t="shared" si="2406"/>
        <v>卡卡杜-凤凰仓</v>
      </c>
      <c r="B8483" s="1" t="str">
        <f>"CK2024100914123"</f>
        <v>CK2024100914123</v>
      </c>
      <c r="C8483" s="1" t="str">
        <f>"DD2024100944840"</f>
        <v>DD2024100944840</v>
      </c>
      <c r="D8483" s="1" t="str">
        <f>"CK2024100944575"</f>
        <v>CK2024100944575</v>
      </c>
      <c r="E8483" s="1" t="str">
        <f>"6917986096877960544"</f>
        <v>6917986096877960544</v>
      </c>
      <c r="F8483" s="1" t="str">
        <f t="shared" si="2407"/>
        <v>花都四部-凤凰仓</v>
      </c>
      <c r="G8483" s="1" t="str">
        <f t="shared" si="2411"/>
        <v>卡卡杜个人护理店（抖店）</v>
      </c>
      <c r="H8483" s="1" t="str">
        <f t="shared" si="2408"/>
        <v>正常订单</v>
      </c>
      <c r="I8483" s="1" t="str">
        <f t="shared" si="2409"/>
        <v>已发货</v>
      </c>
      <c r="J8483" s="1" t="str">
        <f t="shared" si="2413"/>
        <v>2</v>
      </c>
      <c r="K8483" s="1">
        <v>1</v>
      </c>
      <c r="L8483" s="1" t="s">
        <v>20</v>
      </c>
      <c r="M8483" s="1" t="str">
        <f>"浙江省 杭州市 临平区 运河街道"</f>
        <v>浙江省 杭州市 临平区 运河街道</v>
      </c>
      <c r="N8483" s="1" t="str">
        <f t="shared" si="2412"/>
        <v>凡华云仓-韵达-抖音</v>
      </c>
      <c r="O8483" s="5">
        <v>320163366306861</v>
      </c>
      <c r="P8483" s="6">
        <v>0.33</v>
      </c>
      <c r="Q8483" s="11">
        <v>2.2999999999999998</v>
      </c>
      <c r="R8483" s="11"/>
      <c r="S8483" s="11"/>
      <c r="T8483" s="11"/>
      <c r="U8483" s="11">
        <f t="shared" si="2405"/>
        <v>2.2999999999999998</v>
      </c>
      <c r="W8483">
        <v>2.5</v>
      </c>
      <c r="X8483" s="1" t="s">
        <v>20</v>
      </c>
    </row>
    <row r="8484" spans="1:24" x14ac:dyDescent="0.25">
      <c r="A8484" s="1" t="str">
        <f t="shared" si="2406"/>
        <v>卡卡杜-凤凰仓</v>
      </c>
      <c r="B8484" s="1" t="str">
        <f>"CK2024100914124"</f>
        <v>CK2024100914124</v>
      </c>
      <c r="C8484" s="1" t="str">
        <f>"DD2024100944842"</f>
        <v>DD2024100944842</v>
      </c>
      <c r="D8484" s="1" t="str">
        <f>"CK2024100944574"</f>
        <v>CK2024100944574</v>
      </c>
      <c r="E8484" s="1" t="str">
        <f>"6917981171531414594"</f>
        <v>6917981171531414594</v>
      </c>
      <c r="F8484" s="1" t="str">
        <f t="shared" si="2407"/>
        <v>花都四部-凤凰仓</v>
      </c>
      <c r="G8484" s="1" t="str">
        <f t="shared" si="2411"/>
        <v>卡卡杜个人护理店（抖店）</v>
      </c>
      <c r="H8484" s="1" t="str">
        <f t="shared" si="2408"/>
        <v>正常订单</v>
      </c>
      <c r="I8484" s="1" t="str">
        <f t="shared" si="2409"/>
        <v>已发货</v>
      </c>
      <c r="J8484" s="1" t="str">
        <f t="shared" si="2413"/>
        <v>2</v>
      </c>
      <c r="K8484" s="1">
        <v>1</v>
      </c>
      <c r="L8484" s="1" t="s">
        <v>20</v>
      </c>
      <c r="M8484" s="1" t="str">
        <f>"浙江省 温州市 永嘉县 瓯北街道"</f>
        <v>浙江省 温州市 永嘉县 瓯北街道</v>
      </c>
      <c r="N8484" s="1" t="str">
        <f t="shared" si="2412"/>
        <v>凡华云仓-韵达-抖音</v>
      </c>
      <c r="O8484" s="5">
        <v>320163366306758</v>
      </c>
      <c r="P8484" s="6">
        <v>0.33</v>
      </c>
      <c r="Q8484" s="11">
        <v>2.2999999999999998</v>
      </c>
      <c r="R8484" s="11"/>
      <c r="S8484" s="11"/>
      <c r="T8484" s="11"/>
      <c r="U8484" s="11">
        <f t="shared" si="2405"/>
        <v>2.2999999999999998</v>
      </c>
      <c r="W8484">
        <v>2.5</v>
      </c>
      <c r="X8484" s="1" t="s">
        <v>20</v>
      </c>
    </row>
    <row r="8485" spans="1:24" x14ac:dyDescent="0.25">
      <c r="A8485" s="1" t="str">
        <f t="shared" si="2406"/>
        <v>卡卡杜-凤凰仓</v>
      </c>
      <c r="B8485" s="1" t="str">
        <f>"CK2024100914125"</f>
        <v>CK2024100914125</v>
      </c>
      <c r="C8485" s="1" t="str">
        <f>"DD2024100944843"</f>
        <v>DD2024100944843</v>
      </c>
      <c r="D8485" s="1" t="str">
        <f>"CK2024100944573"</f>
        <v>CK2024100944573</v>
      </c>
      <c r="E8485" s="1" t="str">
        <f>"6917988067635330381"</f>
        <v>6917988067635330381</v>
      </c>
      <c r="F8485" s="1" t="str">
        <f t="shared" si="2407"/>
        <v>花都四部-凤凰仓</v>
      </c>
      <c r="G8485" s="1" t="str">
        <f t="shared" si="2411"/>
        <v>卡卡杜个人护理店（抖店）</v>
      </c>
      <c r="H8485" s="1" t="str">
        <f t="shared" si="2408"/>
        <v>正常订单</v>
      </c>
      <c r="I8485" s="1" t="str">
        <f t="shared" si="2409"/>
        <v>已发货</v>
      </c>
      <c r="J8485" s="1" t="str">
        <f t="shared" si="2413"/>
        <v>2</v>
      </c>
      <c r="K8485" s="1">
        <v>1</v>
      </c>
      <c r="L8485" s="1" t="s">
        <v>60</v>
      </c>
      <c r="M8485" s="1" t="str">
        <f>"云南省 临沧市 耿马傣族佤族自治县 孟定镇"</f>
        <v>云南省 临沧市 耿马傣族佤族自治县 孟定镇</v>
      </c>
      <c r="N8485" s="1" t="str">
        <f t="shared" si="2412"/>
        <v>凡华云仓-韵达-抖音</v>
      </c>
      <c r="O8485" s="5">
        <v>320163366306657</v>
      </c>
      <c r="P8485" s="6">
        <v>0.33</v>
      </c>
      <c r="Q8485" s="11">
        <v>2.2999999999999998</v>
      </c>
      <c r="R8485" s="11"/>
      <c r="S8485" s="11"/>
      <c r="T8485" s="11"/>
      <c r="U8485" s="11">
        <f t="shared" si="2405"/>
        <v>2.2999999999999998</v>
      </c>
      <c r="W8485">
        <v>2.5</v>
      </c>
      <c r="X8485" s="1" t="s">
        <v>60</v>
      </c>
    </row>
    <row r="8486" spans="1:24" x14ac:dyDescent="0.25">
      <c r="A8486" s="1" t="str">
        <f t="shared" si="2406"/>
        <v>卡卡杜-凤凰仓</v>
      </c>
      <c r="B8486" s="1" t="str">
        <f>"CK2024100914126"</f>
        <v>CK2024100914126</v>
      </c>
      <c r="C8486" s="1" t="str">
        <f>"DD2024100944846"</f>
        <v>DD2024100944846</v>
      </c>
      <c r="D8486" s="1" t="str">
        <f>"CK2024100944572"</f>
        <v>CK2024100944572</v>
      </c>
      <c r="E8486" s="1" t="str">
        <f>"6917983240232598744"</f>
        <v>6917983240232598744</v>
      </c>
      <c r="F8486" s="1" t="str">
        <f t="shared" si="2407"/>
        <v>花都四部-凤凰仓</v>
      </c>
      <c r="G8486" s="1" t="str">
        <f t="shared" si="2411"/>
        <v>卡卡杜个人护理店（抖店）</v>
      </c>
      <c r="H8486" s="1" t="str">
        <f t="shared" si="2408"/>
        <v>正常订单</v>
      </c>
      <c r="I8486" s="1" t="str">
        <f t="shared" si="2409"/>
        <v>已发货</v>
      </c>
      <c r="J8486" s="1" t="str">
        <f t="shared" si="2413"/>
        <v>2</v>
      </c>
      <c r="K8486" s="1">
        <v>1</v>
      </c>
      <c r="L8486" s="1" t="s">
        <v>18</v>
      </c>
      <c r="M8486" s="1" t="str">
        <f>"广东省 东莞市 东莞市 东坑镇"</f>
        <v>广东省 东莞市 东莞市 东坑镇</v>
      </c>
      <c r="N8486" s="1" t="str">
        <f t="shared" si="2412"/>
        <v>凡华云仓-韵达-抖音</v>
      </c>
      <c r="O8486" s="5">
        <v>320163366306558</v>
      </c>
      <c r="P8486" s="6">
        <v>0.33</v>
      </c>
      <c r="Q8486" s="11">
        <v>2.2999999999999998</v>
      </c>
      <c r="R8486" s="11"/>
      <c r="S8486" s="11"/>
      <c r="T8486" s="11"/>
      <c r="U8486" s="11">
        <f t="shared" si="2405"/>
        <v>2.2999999999999998</v>
      </c>
      <c r="W8486">
        <v>2.5</v>
      </c>
      <c r="X8486" s="1" t="s">
        <v>18</v>
      </c>
    </row>
    <row r="8487" spans="1:24" x14ac:dyDescent="0.25">
      <c r="A8487" s="1" t="str">
        <f t="shared" si="2406"/>
        <v>卡卡杜-凤凰仓</v>
      </c>
      <c r="B8487" s="1" t="str">
        <f>"CK2024100914115"</f>
        <v>CK2024100914115</v>
      </c>
      <c r="C8487" s="1" t="str">
        <f>"DD2024100944832"</f>
        <v>DD2024100944832</v>
      </c>
      <c r="D8487" s="1" t="str">
        <f>"CK2024100944571"</f>
        <v>CK2024100944571</v>
      </c>
      <c r="E8487" s="1" t="str">
        <f>"6917985952179846912"</f>
        <v>6917985952179846912</v>
      </c>
      <c r="F8487" s="1" t="str">
        <f t="shared" si="2407"/>
        <v>花都四部-凤凰仓</v>
      </c>
      <c r="G8487" s="1" t="str">
        <f t="shared" si="2411"/>
        <v>卡卡杜个人护理店（抖店）</v>
      </c>
      <c r="H8487" s="1" t="str">
        <f t="shared" si="2408"/>
        <v>正常订单</v>
      </c>
      <c r="I8487" s="1" t="str">
        <f t="shared" si="2409"/>
        <v>已发货</v>
      </c>
      <c r="J8487" s="1" t="str">
        <f t="shared" si="2413"/>
        <v>2</v>
      </c>
      <c r="K8487" s="1">
        <v>1</v>
      </c>
      <c r="L8487" s="1" t="s">
        <v>20</v>
      </c>
      <c r="M8487" s="1" t="str">
        <f>"浙江省 衢州市 龙游县 龙洲街道"</f>
        <v>浙江省 衢州市 龙游县 龙洲街道</v>
      </c>
      <c r="N8487" s="1" t="str">
        <f t="shared" si="2412"/>
        <v>凡华云仓-韵达-抖音</v>
      </c>
      <c r="O8487" s="5">
        <v>320163366306461</v>
      </c>
      <c r="P8487" s="6">
        <v>0.33</v>
      </c>
      <c r="Q8487" s="11">
        <v>2.2999999999999998</v>
      </c>
      <c r="R8487" s="11"/>
      <c r="S8487" s="11"/>
      <c r="T8487" s="11"/>
      <c r="U8487" s="11">
        <f t="shared" si="2405"/>
        <v>2.2999999999999998</v>
      </c>
      <c r="W8487">
        <v>2.5</v>
      </c>
      <c r="X8487" s="1" t="s">
        <v>20</v>
      </c>
    </row>
    <row r="8488" spans="1:24" x14ac:dyDescent="0.25">
      <c r="A8488" s="1" t="str">
        <f t="shared" si="2406"/>
        <v>卡卡杜-凤凰仓</v>
      </c>
      <c r="B8488" s="1" t="str">
        <f>"CK2024100911"</f>
        <v>CK2024100911</v>
      </c>
      <c r="C8488" s="1" t="str">
        <f>"DD2024100910464"</f>
        <v>DD2024100910464</v>
      </c>
      <c r="D8488" s="1" t="str">
        <f>"CK2024100920477"</f>
        <v>CK2024100920477</v>
      </c>
      <c r="E8488" s="1" t="str">
        <f>"2428202088272363"</f>
        <v>2428202088272363</v>
      </c>
      <c r="F8488" s="1" t="str">
        <f t="shared" si="2407"/>
        <v>花都四部-凤凰仓</v>
      </c>
      <c r="G8488" s="1" t="str">
        <f>"卡卡杜佳旺专卖店（快手店）"</f>
        <v>卡卡杜佳旺专卖店（快手店）</v>
      </c>
      <c r="H8488" s="1" t="str">
        <f t="shared" si="2408"/>
        <v>正常订单</v>
      </c>
      <c r="I8488" s="1" t="str">
        <f t="shared" si="2409"/>
        <v>已发货</v>
      </c>
      <c r="J8488" s="1" t="str">
        <f t="shared" ref="J8488:J8491" si="2414">"4"</f>
        <v>4</v>
      </c>
      <c r="K8488" s="1">
        <v>2</v>
      </c>
      <c r="L8488" s="1" t="s">
        <v>20</v>
      </c>
      <c r="M8488" s="1" t="str">
        <f>"浙江省 金华市 义乌市 稠江街道"</f>
        <v>浙江省 金华市 义乌市 稠江街道</v>
      </c>
      <c r="N8488" s="1" t="str">
        <f>"凡华云仓-韵达-快手"</f>
        <v>凡华云仓-韵达-快手</v>
      </c>
      <c r="O8488" s="5">
        <v>319205543973441</v>
      </c>
      <c r="P8488" s="6">
        <v>0.52</v>
      </c>
      <c r="Q8488" s="11">
        <f t="shared" ref="Q8488:Q8491" si="2415">CEILING(P8488-0.5,0.1)*10*0.15+2.3</f>
        <v>2.4499999999999997</v>
      </c>
      <c r="R8488" s="11"/>
      <c r="S8488" s="11"/>
      <c r="T8488" s="11"/>
      <c r="U8488" s="11">
        <f t="shared" si="2405"/>
        <v>2.4499999999999997</v>
      </c>
      <c r="V8488" t="s">
        <v>15</v>
      </c>
      <c r="W8488">
        <v>2.4500000000000002</v>
      </c>
      <c r="X8488" s="1" t="s">
        <v>20</v>
      </c>
    </row>
    <row r="8489" spans="1:24" x14ac:dyDescent="0.25">
      <c r="A8489" s="1" t="str">
        <f t="shared" si="2406"/>
        <v>卡卡杜-凤凰仓</v>
      </c>
      <c r="B8489" s="1" t="str">
        <f>"CK2024100919"</f>
        <v>CK2024100919</v>
      </c>
      <c r="C8489" s="1" t="str">
        <f>"DD2024100910472"</f>
        <v>DD2024100910472</v>
      </c>
      <c r="D8489" s="1" t="str">
        <f>"CK2024100920476"</f>
        <v>CK2024100920476</v>
      </c>
      <c r="E8489" s="1" t="str">
        <f>"3723183356475216896"</f>
        <v>3723183356475216896</v>
      </c>
      <c r="F8489" s="1" t="str">
        <f t="shared" si="2407"/>
        <v>花都四部-凤凰仓</v>
      </c>
      <c r="G8489" s="1" t="str">
        <f t="shared" ref="G8489:G8493" si="2416">"卡卡杜企业店（视频号）"</f>
        <v>卡卡杜企业店（视频号）</v>
      </c>
      <c r="H8489" s="1" t="str">
        <f t="shared" si="2408"/>
        <v>正常订单</v>
      </c>
      <c r="I8489" s="1" t="str">
        <f t="shared" si="2409"/>
        <v>已发货</v>
      </c>
      <c r="J8489" s="1" t="str">
        <f t="shared" ref="J8489:J8493" si="2417">"2"</f>
        <v>2</v>
      </c>
      <c r="K8489" s="1">
        <v>2</v>
      </c>
      <c r="L8489" s="1" t="s">
        <v>18</v>
      </c>
      <c r="M8489" s="1" t="str">
        <f>"广东省 深圳市 宝安区 "</f>
        <v xml:space="preserve">广东省 深圳市 宝安区 </v>
      </c>
      <c r="N8489" s="1" t="str">
        <f t="shared" ref="N8489:N8493" si="2418">"凡华云仓-韵达-微信视频号"</f>
        <v>凡华云仓-韵达-微信视频号</v>
      </c>
      <c r="O8489" s="5">
        <v>315012384321891</v>
      </c>
      <c r="P8489" s="6">
        <v>0.28000000000000003</v>
      </c>
      <c r="Q8489" s="11">
        <v>2</v>
      </c>
      <c r="R8489" s="11"/>
      <c r="S8489" s="11"/>
      <c r="T8489" s="11"/>
      <c r="U8489" s="11">
        <f t="shared" si="2405"/>
        <v>2</v>
      </c>
      <c r="W8489">
        <v>2.2000000000000002</v>
      </c>
      <c r="X8489" s="1" t="s">
        <v>18</v>
      </c>
    </row>
    <row r="8490" spans="1:24" x14ac:dyDescent="0.25">
      <c r="A8490" s="1" t="str">
        <f t="shared" si="2406"/>
        <v>卡卡杜-凤凰仓</v>
      </c>
      <c r="B8490" s="1" t="str">
        <f>"CK2024100909"</f>
        <v>CK2024100909</v>
      </c>
      <c r="C8490" s="1" t="str">
        <f>"DD2024100910462"</f>
        <v>DD2024100910462</v>
      </c>
      <c r="D8490" s="1" t="str">
        <f>"CK2024100920475"</f>
        <v>CK2024100920475</v>
      </c>
      <c r="E8490" s="1" t="str">
        <f>"3723175146119107584"</f>
        <v>3723175146119107584</v>
      </c>
      <c r="F8490" s="1" t="str">
        <f t="shared" si="2407"/>
        <v>花都四部-凤凰仓</v>
      </c>
      <c r="G8490" s="1" t="str">
        <f t="shared" si="2416"/>
        <v>卡卡杜企业店（视频号）</v>
      </c>
      <c r="H8490" s="1" t="str">
        <f t="shared" si="2408"/>
        <v>正常订单</v>
      </c>
      <c r="I8490" s="1" t="str">
        <f t="shared" si="2409"/>
        <v>已发货</v>
      </c>
      <c r="J8490" s="1" t="str">
        <f t="shared" si="2414"/>
        <v>4</v>
      </c>
      <c r="K8490" s="1">
        <v>2</v>
      </c>
      <c r="L8490" s="1" t="s">
        <v>13</v>
      </c>
      <c r="M8490" s="1" t="str">
        <f>"江苏省 苏州市 虎丘区 "</f>
        <v xml:space="preserve">江苏省 苏州市 虎丘区 </v>
      </c>
      <c r="N8490" s="1" t="str">
        <f t="shared" si="2418"/>
        <v>凡华云仓-韵达-微信视频号</v>
      </c>
      <c r="O8490" s="5">
        <v>315012383644854</v>
      </c>
      <c r="P8490" s="6">
        <v>0.52</v>
      </c>
      <c r="Q8490" s="11">
        <f t="shared" si="2415"/>
        <v>2.4499999999999997</v>
      </c>
      <c r="R8490" s="11"/>
      <c r="S8490" s="11"/>
      <c r="T8490" s="11"/>
      <c r="U8490" s="11">
        <f t="shared" si="2405"/>
        <v>2.4499999999999997</v>
      </c>
      <c r="V8490" t="s">
        <v>15</v>
      </c>
      <c r="W8490">
        <v>2.4500000000000002</v>
      </c>
      <c r="X8490" s="1" t="s">
        <v>13</v>
      </c>
    </row>
    <row r="8491" spans="1:24" x14ac:dyDescent="0.25">
      <c r="A8491" s="1" t="str">
        <f t="shared" si="2406"/>
        <v>卡卡杜-凤凰仓</v>
      </c>
      <c r="B8491" s="1" t="str">
        <f>"CK2024100910"</f>
        <v>CK2024100910</v>
      </c>
      <c r="C8491" s="1" t="str">
        <f>"DD2024100910461"</f>
        <v>DD2024100910461</v>
      </c>
      <c r="D8491" s="1" t="str">
        <f>"CK2024100920474"</f>
        <v>CK2024100920474</v>
      </c>
      <c r="E8491" s="1" t="str">
        <f>"3723175135882120192"</f>
        <v>3723175135882120192</v>
      </c>
      <c r="F8491" s="1" t="str">
        <f t="shared" si="2407"/>
        <v>花都四部-凤凰仓</v>
      </c>
      <c r="G8491" s="1" t="str">
        <f t="shared" si="2416"/>
        <v>卡卡杜企业店（视频号）</v>
      </c>
      <c r="H8491" s="1" t="str">
        <f t="shared" si="2408"/>
        <v>正常订单</v>
      </c>
      <c r="I8491" s="1" t="str">
        <f t="shared" si="2409"/>
        <v>已发货</v>
      </c>
      <c r="J8491" s="1" t="str">
        <f t="shared" si="2414"/>
        <v>4</v>
      </c>
      <c r="K8491" s="1">
        <v>2</v>
      </c>
      <c r="L8491" s="1" t="s">
        <v>20</v>
      </c>
      <c r="M8491" s="1" t="str">
        <f>"浙江省 舟山市 普陀区 "</f>
        <v xml:space="preserve">浙江省 舟山市 普陀区 </v>
      </c>
      <c r="N8491" s="1" t="str">
        <f t="shared" si="2418"/>
        <v>凡华云仓-韵达-微信视频号</v>
      </c>
      <c r="O8491" s="5">
        <v>315012383643364</v>
      </c>
      <c r="P8491" s="6">
        <v>0.52</v>
      </c>
      <c r="Q8491" s="11">
        <f t="shared" si="2415"/>
        <v>2.4499999999999997</v>
      </c>
      <c r="R8491" s="11"/>
      <c r="S8491" s="11"/>
      <c r="T8491" s="11"/>
      <c r="U8491" s="11">
        <f t="shared" si="2405"/>
        <v>2.4499999999999997</v>
      </c>
      <c r="V8491" t="s">
        <v>15</v>
      </c>
      <c r="W8491">
        <v>2.4500000000000002</v>
      </c>
      <c r="X8491" s="1" t="s">
        <v>20</v>
      </c>
    </row>
    <row r="8492" spans="1:24" x14ac:dyDescent="0.25">
      <c r="A8492" s="1" t="str">
        <f t="shared" si="2406"/>
        <v>卡卡杜-凤凰仓</v>
      </c>
      <c r="B8492" s="1" t="str">
        <f>"CK2024100914"</f>
        <v>CK2024100914</v>
      </c>
      <c r="C8492" s="1" t="str">
        <f>"DD2024100910469"</f>
        <v>DD2024100910469</v>
      </c>
      <c r="D8492" s="1" t="str">
        <f>"CK2024100920473"</f>
        <v>CK2024100920473</v>
      </c>
      <c r="E8492" s="1" t="str">
        <f>"3723174971910000640"</f>
        <v>3723174971910000640</v>
      </c>
      <c r="F8492" s="1" t="str">
        <f t="shared" si="2407"/>
        <v>花都四部-凤凰仓</v>
      </c>
      <c r="G8492" s="1" t="str">
        <f t="shared" si="2416"/>
        <v>卡卡杜企业店（视频号）</v>
      </c>
      <c r="H8492" s="1" t="str">
        <f t="shared" si="2408"/>
        <v>正常订单</v>
      </c>
      <c r="I8492" s="1" t="str">
        <f t="shared" si="2409"/>
        <v>已发货</v>
      </c>
      <c r="J8492" s="1" t="str">
        <f t="shared" si="2417"/>
        <v>2</v>
      </c>
      <c r="K8492" s="1">
        <v>2</v>
      </c>
      <c r="L8492" s="1" t="s">
        <v>74</v>
      </c>
      <c r="M8492" s="1" t="str">
        <f>"上海 上海市 浦东新区 "</f>
        <v xml:space="preserve">上海 上海市 浦东新区 </v>
      </c>
      <c r="N8492" s="1" t="str">
        <f t="shared" si="2418"/>
        <v>凡华云仓-韵达-微信视频号</v>
      </c>
      <c r="O8492" s="5">
        <v>315012385894176</v>
      </c>
      <c r="P8492" s="6">
        <v>0.28000000000000003</v>
      </c>
      <c r="Q8492" s="11">
        <v>2</v>
      </c>
      <c r="R8492" s="11"/>
      <c r="S8492" s="11"/>
      <c r="T8492" s="11"/>
      <c r="U8492" s="11">
        <f t="shared" si="2405"/>
        <v>2</v>
      </c>
      <c r="W8492">
        <v>2.2000000000000002</v>
      </c>
      <c r="X8492" s="1" t="s">
        <v>74</v>
      </c>
    </row>
    <row r="8493" spans="1:24" x14ac:dyDescent="0.25">
      <c r="A8493" s="1" t="str">
        <f t="shared" si="2406"/>
        <v>卡卡杜-凤凰仓</v>
      </c>
      <c r="B8493" s="1" t="str">
        <f>"CK2024100918"</f>
        <v>CK2024100918</v>
      </c>
      <c r="C8493" s="1" t="str">
        <f>"DD2024100910470"</f>
        <v>DD2024100910470</v>
      </c>
      <c r="D8493" s="1" t="str">
        <f>"CK2024100920472"</f>
        <v>CK2024100920472</v>
      </c>
      <c r="E8493" s="1" t="str">
        <f>"3723174090547006464"</f>
        <v>3723174090547006464</v>
      </c>
      <c r="F8493" s="1" t="str">
        <f t="shared" si="2407"/>
        <v>花都四部-凤凰仓</v>
      </c>
      <c r="G8493" s="1" t="str">
        <f t="shared" si="2416"/>
        <v>卡卡杜企业店（视频号）</v>
      </c>
      <c r="H8493" s="1" t="str">
        <f t="shared" si="2408"/>
        <v>正常订单</v>
      </c>
      <c r="I8493" s="1" t="str">
        <f t="shared" si="2409"/>
        <v>已发货</v>
      </c>
      <c r="J8493" s="1" t="str">
        <f t="shared" si="2417"/>
        <v>2</v>
      </c>
      <c r="K8493" s="1">
        <v>2</v>
      </c>
      <c r="L8493" s="1" t="s">
        <v>105</v>
      </c>
      <c r="M8493" s="1" t="str">
        <f>"北京 北京市 朝阳区 "</f>
        <v xml:space="preserve">北京 北京市 朝阳区 </v>
      </c>
      <c r="N8493" s="1" t="str">
        <f t="shared" si="2418"/>
        <v>凡华云仓-韵达-微信视频号</v>
      </c>
      <c r="O8493" s="5">
        <v>315012385880387</v>
      </c>
      <c r="P8493" s="6">
        <v>0.28000000000000003</v>
      </c>
      <c r="Q8493" s="11">
        <v>2</v>
      </c>
      <c r="R8493" s="11"/>
      <c r="S8493" s="11"/>
      <c r="T8493" s="11"/>
      <c r="U8493" s="11">
        <f t="shared" si="2405"/>
        <v>2</v>
      </c>
      <c r="W8493">
        <v>2.2000000000000002</v>
      </c>
      <c r="X8493" s="1" t="s">
        <v>105</v>
      </c>
    </row>
    <row r="8494" spans="1:24" x14ac:dyDescent="0.25">
      <c r="A8494" s="1" t="str">
        <f t="shared" si="2406"/>
        <v>卡卡杜-凤凰仓</v>
      </c>
      <c r="B8494" s="1" t="str">
        <f>"CK20241006176"</f>
        <v>CK20241006176</v>
      </c>
      <c r="C8494" s="1" t="str">
        <f>"DD2024100613508"</f>
        <v>DD2024100613508</v>
      </c>
      <c r="D8494" s="1" t="str">
        <f>"CK2024100620313"</f>
        <v>CK2024100620313</v>
      </c>
      <c r="E8494" s="1" t="str">
        <f>"6917864278804823309"</f>
        <v>6917864278804823309</v>
      </c>
      <c r="F8494" s="1" t="str">
        <f t="shared" si="2407"/>
        <v>花都四部-凤凰仓</v>
      </c>
      <c r="G8494" s="1" t="str">
        <f>"卡卡杜个人护理店（抖店）"</f>
        <v>卡卡杜个人护理店（抖店）</v>
      </c>
      <c r="H8494" s="1" t="str">
        <f t="shared" si="2408"/>
        <v>正常订单</v>
      </c>
      <c r="I8494" s="1" t="str">
        <f t="shared" si="2409"/>
        <v>已发货</v>
      </c>
      <c r="J8494" s="1" t="str">
        <f>"4"</f>
        <v>4</v>
      </c>
      <c r="K8494" s="1">
        <v>1</v>
      </c>
      <c r="L8494" s="1" t="s">
        <v>74</v>
      </c>
      <c r="M8494" s="1" t="str">
        <f>"上海 上海市 浦东新区 张江镇"</f>
        <v>上海 上海市 浦东新区 张江镇</v>
      </c>
      <c r="N8494" s="1" t="str">
        <f>"凡华云仓-韵达-抖音"</f>
        <v>凡华云仓-韵达-抖音</v>
      </c>
      <c r="O8494" s="5">
        <v>320157847302002</v>
      </c>
      <c r="P8494" s="6">
        <v>0.57999999999999996</v>
      </c>
      <c r="Q8494" s="11">
        <f>CEILING(P8494-0.5,0.1)*10*0.15+2.3</f>
        <v>2.4499999999999997</v>
      </c>
      <c r="R8494" s="11"/>
      <c r="S8494" s="11"/>
      <c r="T8494" s="11"/>
      <c r="U8494" s="11">
        <f t="shared" si="2405"/>
        <v>2.4499999999999997</v>
      </c>
      <c r="V8494" t="s">
        <v>15</v>
      </c>
      <c r="W8494">
        <v>2.4500000000000002</v>
      </c>
      <c r="X8494" s="1" t="s">
        <v>74</v>
      </c>
    </row>
    <row r="8495" spans="1:24" x14ac:dyDescent="0.25">
      <c r="A8495" s="1" t="str">
        <f t="shared" si="2406"/>
        <v>卡卡杜-凤凰仓</v>
      </c>
      <c r="B8495" s="1" t="str">
        <f>"CK2024100932"</f>
        <v>CK2024100932</v>
      </c>
      <c r="C8495" s="1" t="str">
        <f>"DD2024100910483"</f>
        <v>DD2024100910483</v>
      </c>
      <c r="D8495" s="1" t="str">
        <f>"CK2024100920470"</f>
        <v>CK2024100920470</v>
      </c>
      <c r="E8495" s="1" t="str">
        <f>"6917978771476741415"</f>
        <v>6917978771476741415</v>
      </c>
      <c r="F8495" s="1" t="str">
        <f t="shared" si="2407"/>
        <v>花都四部-凤凰仓</v>
      </c>
      <c r="G8495" s="1" t="str">
        <f t="shared" ref="G8495:G8558" si="2419">"卡卡杜个人护理店（抖店）"</f>
        <v>卡卡杜个人护理店（抖店）</v>
      </c>
      <c r="H8495" s="1" t="str">
        <f t="shared" si="2408"/>
        <v>正常订单</v>
      </c>
      <c r="I8495" s="1" t="str">
        <f t="shared" si="2409"/>
        <v>已发货</v>
      </c>
      <c r="J8495" s="1" t="str">
        <f t="shared" ref="J8495:J8497" si="2420">"2"</f>
        <v>2</v>
      </c>
      <c r="K8495" s="1">
        <v>1</v>
      </c>
      <c r="L8495" s="1" t="s">
        <v>36</v>
      </c>
      <c r="M8495" s="1" t="str">
        <f>"安徽省 阜阳市 颍泉区 中市街道"</f>
        <v>安徽省 阜阳市 颍泉区 中市街道</v>
      </c>
      <c r="N8495" s="1" t="str">
        <f t="shared" ref="N8495:N8558" si="2421">"凡华云仓-韵达-抖音"</f>
        <v>凡华云仓-韵达-抖音</v>
      </c>
      <c r="O8495" s="5">
        <v>320162830654000</v>
      </c>
      <c r="P8495" s="6">
        <v>0.33</v>
      </c>
      <c r="Q8495" s="11">
        <v>2.2999999999999998</v>
      </c>
      <c r="R8495" s="11"/>
      <c r="S8495" s="11"/>
      <c r="T8495" s="11"/>
      <c r="U8495" s="11">
        <f t="shared" si="2405"/>
        <v>2.2999999999999998</v>
      </c>
      <c r="W8495">
        <v>2.5</v>
      </c>
      <c r="X8495" s="1" t="s">
        <v>36</v>
      </c>
    </row>
    <row r="8496" spans="1:24" x14ac:dyDescent="0.25">
      <c r="A8496" s="1" t="str">
        <f t="shared" si="2406"/>
        <v>卡卡杜-凤凰仓</v>
      </c>
      <c r="B8496" s="1" t="str">
        <f>"CK2024100946"</f>
        <v>CK2024100946</v>
      </c>
      <c r="C8496" s="1" t="str">
        <f>"DD2024100910498"</f>
        <v>DD2024100910498</v>
      </c>
      <c r="D8496" s="1" t="str">
        <f>"CK2024100920469"</f>
        <v>CK2024100920469</v>
      </c>
      <c r="E8496" s="1" t="str">
        <f>"6917985567676465116"</f>
        <v>6917985567676465116</v>
      </c>
      <c r="F8496" s="1" t="str">
        <f t="shared" si="2407"/>
        <v>花都四部-凤凰仓</v>
      </c>
      <c r="G8496" s="1" t="str">
        <f t="shared" si="2419"/>
        <v>卡卡杜个人护理店（抖店）</v>
      </c>
      <c r="H8496" s="1" t="str">
        <f t="shared" si="2408"/>
        <v>正常订单</v>
      </c>
      <c r="I8496" s="1" t="str">
        <f t="shared" si="2409"/>
        <v>已发货</v>
      </c>
      <c r="J8496" s="1" t="str">
        <f t="shared" si="2420"/>
        <v>2</v>
      </c>
      <c r="K8496" s="1">
        <v>1</v>
      </c>
      <c r="L8496" s="1" t="s">
        <v>96</v>
      </c>
      <c r="M8496" s="1" t="str">
        <f>"广西壮族自治区 贵港市 平南县 思界乡"</f>
        <v>广西壮族自治区 贵港市 平南县 思界乡</v>
      </c>
      <c r="N8496" s="1" t="str">
        <f t="shared" si="2421"/>
        <v>凡华云仓-韵达-抖音</v>
      </c>
      <c r="O8496" s="5">
        <v>320162837670186</v>
      </c>
      <c r="P8496" s="6">
        <v>0.33</v>
      </c>
      <c r="Q8496" s="11">
        <v>2.2999999999999998</v>
      </c>
      <c r="R8496" s="11"/>
      <c r="S8496" s="11"/>
      <c r="T8496" s="11"/>
      <c r="U8496" s="11">
        <f t="shared" si="2405"/>
        <v>2.2999999999999998</v>
      </c>
      <c r="W8496">
        <v>2.5</v>
      </c>
      <c r="X8496" s="1" t="s">
        <v>96</v>
      </c>
    </row>
    <row r="8497" spans="1:24" x14ac:dyDescent="0.25">
      <c r="A8497" s="1" t="str">
        <f t="shared" si="2406"/>
        <v>卡卡杜-凤凰仓</v>
      </c>
      <c r="B8497" s="1" t="str">
        <f>"CK2024100942"</f>
        <v>CK2024100942</v>
      </c>
      <c r="C8497" s="1" t="str">
        <f>"DD2024100910494"</f>
        <v>DD2024100910494</v>
      </c>
      <c r="D8497" s="1" t="str">
        <f>"CK2024100920468"</f>
        <v>CK2024100920468</v>
      </c>
      <c r="E8497" s="1" t="str">
        <f>"6917987859045252770"</f>
        <v>6917987859045252770</v>
      </c>
      <c r="F8497" s="1" t="str">
        <f t="shared" si="2407"/>
        <v>花都四部-凤凰仓</v>
      </c>
      <c r="G8497" s="1" t="str">
        <f t="shared" si="2419"/>
        <v>卡卡杜个人护理店（抖店）</v>
      </c>
      <c r="H8497" s="1" t="str">
        <f t="shared" si="2408"/>
        <v>正常订单</v>
      </c>
      <c r="I8497" s="1" t="str">
        <f t="shared" si="2409"/>
        <v>已发货</v>
      </c>
      <c r="J8497" s="1" t="str">
        <f t="shared" si="2420"/>
        <v>2</v>
      </c>
      <c r="K8497" s="1">
        <v>1</v>
      </c>
      <c r="L8497" s="1" t="s">
        <v>94</v>
      </c>
      <c r="M8497" s="1" t="str">
        <f>"湖南省 株洲市 渌口区 渌口镇"</f>
        <v>湖南省 株洲市 渌口区 渌口镇</v>
      </c>
      <c r="N8497" s="1" t="str">
        <f t="shared" si="2421"/>
        <v>凡华云仓-韵达-抖音</v>
      </c>
      <c r="O8497" s="5">
        <v>320162837670097</v>
      </c>
      <c r="P8497" s="6">
        <v>0.33</v>
      </c>
      <c r="Q8497" s="11">
        <v>2.2999999999999998</v>
      </c>
      <c r="R8497" s="11"/>
      <c r="S8497" s="11"/>
      <c r="T8497" s="11"/>
      <c r="U8497" s="11">
        <f t="shared" si="2405"/>
        <v>2.2999999999999998</v>
      </c>
      <c r="W8497">
        <v>2.5</v>
      </c>
      <c r="X8497" s="1" t="s">
        <v>94</v>
      </c>
    </row>
    <row r="8498" spans="1:24" x14ac:dyDescent="0.25">
      <c r="A8498" s="1" t="str">
        <f t="shared" si="2406"/>
        <v>卡卡杜-凤凰仓</v>
      </c>
      <c r="B8498" s="1" t="str">
        <f>"CK20241006177"</f>
        <v>CK20241006177</v>
      </c>
      <c r="C8498" s="1" t="str">
        <f>"DD2024100613509"</f>
        <v>DD2024100613509</v>
      </c>
      <c r="D8498" s="1" t="str">
        <f>"CK2024100620282"</f>
        <v>CK2024100620282</v>
      </c>
      <c r="E8498" s="1" t="str">
        <f>"6917850386260589605"</f>
        <v>6917850386260589605</v>
      </c>
      <c r="F8498" s="1" t="str">
        <f t="shared" si="2407"/>
        <v>花都四部-凤凰仓</v>
      </c>
      <c r="G8498" s="1" t="str">
        <f t="shared" si="2419"/>
        <v>卡卡杜个人护理店（抖店）</v>
      </c>
      <c r="H8498" s="1" t="str">
        <f t="shared" si="2408"/>
        <v>正常订单</v>
      </c>
      <c r="I8498" s="1" t="str">
        <f t="shared" si="2409"/>
        <v>已发货</v>
      </c>
      <c r="J8498" s="1" t="str">
        <f>"4"</f>
        <v>4</v>
      </c>
      <c r="K8498" s="1">
        <v>1</v>
      </c>
      <c r="L8498" s="1" t="s">
        <v>13</v>
      </c>
      <c r="M8498" s="1" t="str">
        <f>"江苏省 南京市 浦口区 江浦街道"</f>
        <v>江苏省 南京市 浦口区 江浦街道</v>
      </c>
      <c r="N8498" s="1" t="str">
        <f t="shared" si="2421"/>
        <v>凡华云仓-韵达-抖音</v>
      </c>
      <c r="O8498" s="5">
        <v>320157829833748</v>
      </c>
      <c r="P8498" s="6">
        <v>0.57999999999999996</v>
      </c>
      <c r="Q8498" s="11">
        <f>CEILING(P8498-0.5,0.1)*10*0.15+2.3</f>
        <v>2.4499999999999997</v>
      </c>
      <c r="R8498" s="11"/>
      <c r="S8498" s="11"/>
      <c r="T8498" s="11"/>
      <c r="U8498" s="11">
        <f t="shared" si="2405"/>
        <v>2.4499999999999997</v>
      </c>
      <c r="V8498" t="s">
        <v>15</v>
      </c>
      <c r="W8498">
        <v>2.4500000000000002</v>
      </c>
      <c r="X8498" s="1" t="s">
        <v>13</v>
      </c>
    </row>
    <row r="8499" spans="1:24" x14ac:dyDescent="0.25">
      <c r="A8499" s="1" t="str">
        <f t="shared" si="2406"/>
        <v>卡卡杜-凤凰仓</v>
      </c>
      <c r="B8499" s="1" t="str">
        <f>"CK2024100916"</f>
        <v>CK2024100916</v>
      </c>
      <c r="C8499" s="1" t="str">
        <f>"DD2024100910465"</f>
        <v>DD2024100910465</v>
      </c>
      <c r="D8499" s="1" t="str">
        <f>"CK2024100920466"</f>
        <v>CK2024100920466</v>
      </c>
      <c r="E8499" s="1" t="str">
        <f>"6917985573125651483"</f>
        <v>6917985573125651483</v>
      </c>
      <c r="F8499" s="1" t="str">
        <f t="shared" si="2407"/>
        <v>花都四部-凤凰仓</v>
      </c>
      <c r="G8499" s="1" t="str">
        <f t="shared" si="2419"/>
        <v>卡卡杜个人护理店（抖店）</v>
      </c>
      <c r="H8499" s="1" t="str">
        <f t="shared" si="2408"/>
        <v>正常订单</v>
      </c>
      <c r="I8499" s="1" t="str">
        <f t="shared" si="2409"/>
        <v>已发货</v>
      </c>
      <c r="J8499" s="1" t="str">
        <f t="shared" ref="J8499:J8534" si="2422">"2"</f>
        <v>2</v>
      </c>
      <c r="K8499" s="1">
        <v>2</v>
      </c>
      <c r="L8499" s="1" t="s">
        <v>36</v>
      </c>
      <c r="M8499" s="1" t="str">
        <f>"安徽省 马鞍山市 雨山区 向山镇"</f>
        <v>安徽省 马鞍山市 雨山区 向山镇</v>
      </c>
      <c r="N8499" s="1" t="str">
        <f t="shared" si="2421"/>
        <v>凡华云仓-韵达-抖音</v>
      </c>
      <c r="O8499" s="5">
        <v>320162837669837</v>
      </c>
      <c r="P8499" s="6">
        <v>0.28000000000000003</v>
      </c>
      <c r="Q8499" s="11">
        <v>2</v>
      </c>
      <c r="R8499" s="11"/>
      <c r="S8499" s="11"/>
      <c r="T8499" s="11"/>
      <c r="U8499" s="11">
        <f t="shared" si="2405"/>
        <v>2</v>
      </c>
      <c r="W8499">
        <v>2.2000000000000002</v>
      </c>
      <c r="X8499" s="1" t="s">
        <v>36</v>
      </c>
    </row>
    <row r="8500" spans="1:24" x14ac:dyDescent="0.25">
      <c r="A8500" s="1" t="str">
        <f t="shared" si="2406"/>
        <v>卡卡杜-凤凰仓</v>
      </c>
      <c r="B8500" s="1" t="str">
        <f>"CK2024100913"</f>
        <v>CK2024100913</v>
      </c>
      <c r="C8500" s="1" t="str">
        <f>"DD2024100910466"</f>
        <v>DD2024100910466</v>
      </c>
      <c r="D8500" s="1" t="str">
        <f>"CK2024100920465"</f>
        <v>CK2024100920465</v>
      </c>
      <c r="E8500" s="1" t="str">
        <f>"6917987803924889179"</f>
        <v>6917987803924889179</v>
      </c>
      <c r="F8500" s="1" t="str">
        <f t="shared" si="2407"/>
        <v>花都四部-凤凰仓</v>
      </c>
      <c r="G8500" s="1" t="str">
        <f t="shared" si="2419"/>
        <v>卡卡杜个人护理店（抖店）</v>
      </c>
      <c r="H8500" s="1" t="str">
        <f t="shared" si="2408"/>
        <v>正常订单</v>
      </c>
      <c r="I8500" s="1" t="str">
        <f t="shared" si="2409"/>
        <v>已发货</v>
      </c>
      <c r="J8500" s="1" t="str">
        <f t="shared" si="2422"/>
        <v>2</v>
      </c>
      <c r="K8500" s="1">
        <v>2</v>
      </c>
      <c r="L8500" s="1" t="s">
        <v>18</v>
      </c>
      <c r="M8500" s="1" t="str">
        <f>"广东省 梅州市 梅县区 新城办事处"</f>
        <v>广东省 梅州市 梅县区 新城办事处</v>
      </c>
      <c r="N8500" s="1" t="str">
        <f t="shared" si="2421"/>
        <v>凡华云仓-韵达-抖音</v>
      </c>
      <c r="O8500" s="5">
        <v>320162837669734</v>
      </c>
      <c r="P8500" s="6">
        <v>0.28000000000000003</v>
      </c>
      <c r="Q8500" s="11">
        <v>2</v>
      </c>
      <c r="R8500" s="11"/>
      <c r="S8500" s="11"/>
      <c r="T8500" s="11"/>
      <c r="U8500" s="11">
        <f t="shared" si="2405"/>
        <v>2</v>
      </c>
      <c r="W8500">
        <v>2.2000000000000002</v>
      </c>
      <c r="X8500" s="1" t="s">
        <v>18</v>
      </c>
    </row>
    <row r="8501" spans="1:24" x14ac:dyDescent="0.25">
      <c r="A8501" s="1" t="str">
        <f t="shared" si="2406"/>
        <v>卡卡杜-凤凰仓</v>
      </c>
      <c r="B8501" s="1" t="str">
        <f>"CK2024100976"</f>
        <v>CK2024100976</v>
      </c>
      <c r="C8501" s="1" t="str">
        <f>"DD2024100910526"</f>
        <v>DD2024100910526</v>
      </c>
      <c r="D8501" s="1" t="str">
        <f>"CK2024100920464"</f>
        <v>CK2024100920464</v>
      </c>
      <c r="E8501" s="1" t="str">
        <f>"6917985167045065862"</f>
        <v>6917985167045065862</v>
      </c>
      <c r="F8501" s="1" t="str">
        <f t="shared" si="2407"/>
        <v>花都四部-凤凰仓</v>
      </c>
      <c r="G8501" s="1" t="str">
        <f t="shared" si="2419"/>
        <v>卡卡杜个人护理店（抖店）</v>
      </c>
      <c r="H8501" s="1" t="str">
        <f t="shared" si="2408"/>
        <v>正常订单</v>
      </c>
      <c r="I8501" s="1" t="str">
        <f t="shared" si="2409"/>
        <v>已发货</v>
      </c>
      <c r="J8501" s="1" t="str">
        <f t="shared" si="2422"/>
        <v>2</v>
      </c>
      <c r="K8501" s="1">
        <v>1</v>
      </c>
      <c r="L8501" s="1" t="s">
        <v>18</v>
      </c>
      <c r="M8501" s="1" t="str">
        <f>"广东省 中山市 中山市 横栏镇"</f>
        <v>广东省 中山市 中山市 横栏镇</v>
      </c>
      <c r="N8501" s="1" t="str">
        <f t="shared" si="2421"/>
        <v>凡华云仓-韵达-抖音</v>
      </c>
      <c r="O8501" s="5">
        <v>320162837669633</v>
      </c>
      <c r="P8501" s="6">
        <v>0.33</v>
      </c>
      <c r="Q8501" s="11">
        <v>2.2999999999999998</v>
      </c>
      <c r="R8501" s="11"/>
      <c r="S8501" s="11"/>
      <c r="T8501" s="11"/>
      <c r="U8501" s="11">
        <f t="shared" si="2405"/>
        <v>2.2999999999999998</v>
      </c>
      <c r="W8501">
        <v>2.5</v>
      </c>
      <c r="X8501" s="1" t="s">
        <v>18</v>
      </c>
    </row>
    <row r="8502" spans="1:24" x14ac:dyDescent="0.25">
      <c r="A8502" s="1" t="str">
        <f t="shared" si="2406"/>
        <v>卡卡杜-凤凰仓</v>
      </c>
      <c r="B8502" s="1" t="str">
        <f>"CK2024100977"</f>
        <v>CK2024100977</v>
      </c>
      <c r="C8502" s="1" t="str">
        <f>"DD2024100910530"</f>
        <v>DD2024100910530</v>
      </c>
      <c r="D8502" s="1" t="str">
        <f>"CK2024100920463"</f>
        <v>CK2024100920463</v>
      </c>
      <c r="E8502" s="1" t="str">
        <f>"6917985397083831625"</f>
        <v>6917985397083831625</v>
      </c>
      <c r="F8502" s="1" t="str">
        <f t="shared" si="2407"/>
        <v>花都四部-凤凰仓</v>
      </c>
      <c r="G8502" s="1" t="str">
        <f t="shared" si="2419"/>
        <v>卡卡杜个人护理店（抖店）</v>
      </c>
      <c r="H8502" s="1" t="str">
        <f t="shared" si="2408"/>
        <v>正常订单</v>
      </c>
      <c r="I8502" s="1" t="str">
        <f t="shared" si="2409"/>
        <v>已发货</v>
      </c>
      <c r="J8502" s="1" t="str">
        <f t="shared" si="2422"/>
        <v>2</v>
      </c>
      <c r="K8502" s="1">
        <v>1</v>
      </c>
      <c r="L8502" s="1" t="s">
        <v>36</v>
      </c>
      <c r="M8502" s="1" t="str">
        <f>"安徽省 合肥市 巢湖市 天河街道"</f>
        <v>安徽省 合肥市 巢湖市 天河街道</v>
      </c>
      <c r="N8502" s="1" t="str">
        <f t="shared" si="2421"/>
        <v>凡华云仓-韵达-抖音</v>
      </c>
      <c r="O8502" s="5">
        <v>320162837669534</v>
      </c>
      <c r="P8502" s="6">
        <v>0.33</v>
      </c>
      <c r="Q8502" s="11">
        <v>2.2999999999999998</v>
      </c>
      <c r="R8502" s="11"/>
      <c r="S8502" s="11"/>
      <c r="T8502" s="11"/>
      <c r="U8502" s="11">
        <f t="shared" si="2405"/>
        <v>2.2999999999999998</v>
      </c>
      <c r="W8502">
        <v>2.5</v>
      </c>
      <c r="X8502" s="1" t="s">
        <v>36</v>
      </c>
    </row>
    <row r="8503" spans="1:24" x14ac:dyDescent="0.25">
      <c r="A8503" s="1" t="str">
        <f t="shared" si="2406"/>
        <v>卡卡杜-凤凰仓</v>
      </c>
      <c r="B8503" s="1" t="str">
        <f>"CK2024100975"</f>
        <v>CK2024100975</v>
      </c>
      <c r="C8503" s="1" t="str">
        <f>"DD2024100910528"</f>
        <v>DD2024100910528</v>
      </c>
      <c r="D8503" s="1" t="str">
        <f>"CK2024100920462"</f>
        <v>CK2024100920462</v>
      </c>
      <c r="E8503" s="1" t="str">
        <f>"6917982821623561285"</f>
        <v>6917982821623561285</v>
      </c>
      <c r="F8503" s="1" t="str">
        <f t="shared" si="2407"/>
        <v>花都四部-凤凰仓</v>
      </c>
      <c r="G8503" s="1" t="str">
        <f t="shared" si="2419"/>
        <v>卡卡杜个人护理店（抖店）</v>
      </c>
      <c r="H8503" s="1" t="str">
        <f t="shared" si="2408"/>
        <v>正常订单</v>
      </c>
      <c r="I8503" s="1" t="str">
        <f t="shared" si="2409"/>
        <v>已发货</v>
      </c>
      <c r="J8503" s="1" t="str">
        <f t="shared" si="2422"/>
        <v>2</v>
      </c>
      <c r="K8503" s="1">
        <v>1</v>
      </c>
      <c r="L8503" s="1" t="s">
        <v>20</v>
      </c>
      <c r="M8503" s="1" t="str">
        <f>"浙江省 台州市 温岭市 松门镇"</f>
        <v>浙江省 台州市 温岭市 松门镇</v>
      </c>
      <c r="N8503" s="1" t="str">
        <f t="shared" si="2421"/>
        <v>凡华云仓-韵达-抖音</v>
      </c>
      <c r="O8503" s="5">
        <v>320162837669437</v>
      </c>
      <c r="P8503" s="6">
        <v>0.33</v>
      </c>
      <c r="Q8503" s="11">
        <v>2.2999999999999998</v>
      </c>
      <c r="R8503" s="11"/>
      <c r="S8503" s="11"/>
      <c r="T8503" s="11"/>
      <c r="U8503" s="11">
        <f t="shared" si="2405"/>
        <v>2.2999999999999998</v>
      </c>
      <c r="W8503">
        <v>2.5</v>
      </c>
      <c r="X8503" s="1" t="s">
        <v>20</v>
      </c>
    </row>
    <row r="8504" spans="1:24" x14ac:dyDescent="0.25">
      <c r="A8504" s="1" t="str">
        <f t="shared" si="2406"/>
        <v>卡卡杜-凤凰仓</v>
      </c>
      <c r="B8504" s="1" t="str">
        <f>"CK2024100971"</f>
        <v>CK2024100971</v>
      </c>
      <c r="C8504" s="1" t="str">
        <f>"DD2024100910524"</f>
        <v>DD2024100910524</v>
      </c>
      <c r="D8504" s="1" t="str">
        <f>"CK2024100920461"</f>
        <v>CK2024100920461</v>
      </c>
      <c r="E8504" s="1" t="str">
        <f>"6917987146745412662"</f>
        <v>6917987146745412662</v>
      </c>
      <c r="F8504" s="1" t="str">
        <f t="shared" si="2407"/>
        <v>花都四部-凤凰仓</v>
      </c>
      <c r="G8504" s="1" t="str">
        <f t="shared" si="2419"/>
        <v>卡卡杜个人护理店（抖店）</v>
      </c>
      <c r="H8504" s="1" t="str">
        <f t="shared" si="2408"/>
        <v>正常订单</v>
      </c>
      <c r="I8504" s="1" t="str">
        <f t="shared" si="2409"/>
        <v>已发货</v>
      </c>
      <c r="J8504" s="1" t="str">
        <f t="shared" si="2422"/>
        <v>2</v>
      </c>
      <c r="K8504" s="1">
        <v>1</v>
      </c>
      <c r="L8504" s="1" t="s">
        <v>20</v>
      </c>
      <c r="M8504" s="1" t="str">
        <f>"浙江省 宁波市 慈溪市 附海镇"</f>
        <v>浙江省 宁波市 慈溪市 附海镇</v>
      </c>
      <c r="N8504" s="1" t="str">
        <f t="shared" si="2421"/>
        <v>凡华云仓-韵达-抖音</v>
      </c>
      <c r="O8504" s="5">
        <v>320162837669342</v>
      </c>
      <c r="P8504" s="6">
        <v>0.33</v>
      </c>
      <c r="Q8504" s="11">
        <v>2.2999999999999998</v>
      </c>
      <c r="R8504" s="11"/>
      <c r="S8504" s="11"/>
      <c r="T8504" s="11"/>
      <c r="U8504" s="11">
        <f t="shared" si="2405"/>
        <v>2.2999999999999998</v>
      </c>
      <c r="W8504">
        <v>2.5</v>
      </c>
      <c r="X8504" s="1" t="s">
        <v>20</v>
      </c>
    </row>
    <row r="8505" spans="1:24" x14ac:dyDescent="0.25">
      <c r="A8505" s="1" t="str">
        <f t="shared" si="2406"/>
        <v>卡卡杜-凤凰仓</v>
      </c>
      <c r="B8505" s="1" t="str">
        <f>"CK2024100974"</f>
        <v>CK2024100974</v>
      </c>
      <c r="C8505" s="1" t="str">
        <f>"DD2024100910527"</f>
        <v>DD2024100910527</v>
      </c>
      <c r="D8505" s="1" t="str">
        <f>"CK2024100920460"</f>
        <v>CK2024100920460</v>
      </c>
      <c r="E8505" s="1" t="str">
        <f>"6917985045279440190"</f>
        <v>6917985045279440190</v>
      </c>
      <c r="F8505" s="1" t="str">
        <f t="shared" si="2407"/>
        <v>花都四部-凤凰仓</v>
      </c>
      <c r="G8505" s="1" t="str">
        <f t="shared" si="2419"/>
        <v>卡卡杜个人护理店（抖店）</v>
      </c>
      <c r="H8505" s="1" t="str">
        <f t="shared" si="2408"/>
        <v>正常订单</v>
      </c>
      <c r="I8505" s="1" t="str">
        <f t="shared" si="2409"/>
        <v>已发货</v>
      </c>
      <c r="J8505" s="1" t="str">
        <f t="shared" si="2422"/>
        <v>2</v>
      </c>
      <c r="K8505" s="1">
        <v>1</v>
      </c>
      <c r="L8505" s="1" t="s">
        <v>24</v>
      </c>
      <c r="M8505" s="1" t="str">
        <f>"福建省 泉州市 安溪县 城厢镇"</f>
        <v>福建省 泉州市 安溪县 城厢镇</v>
      </c>
      <c r="N8505" s="1" t="str">
        <f t="shared" si="2421"/>
        <v>凡华云仓-韵达-抖音</v>
      </c>
      <c r="O8505" s="5">
        <v>320162837669249</v>
      </c>
      <c r="P8505" s="6">
        <v>0.33</v>
      </c>
      <c r="Q8505" s="11">
        <v>2.2999999999999998</v>
      </c>
      <c r="R8505" s="11"/>
      <c r="S8505" s="11"/>
      <c r="T8505" s="11"/>
      <c r="U8505" s="11">
        <f t="shared" si="2405"/>
        <v>2.2999999999999998</v>
      </c>
      <c r="W8505">
        <v>2.5</v>
      </c>
      <c r="X8505" s="1" t="s">
        <v>24</v>
      </c>
    </row>
    <row r="8506" spans="1:24" x14ac:dyDescent="0.25">
      <c r="A8506" s="1" t="str">
        <f t="shared" si="2406"/>
        <v>卡卡杜-凤凰仓</v>
      </c>
      <c r="B8506" s="1" t="str">
        <f>"CK2024100973"</f>
        <v>CK2024100973</v>
      </c>
      <c r="C8506" s="1" t="str">
        <f>"DD2024100910525"</f>
        <v>DD2024100910525</v>
      </c>
      <c r="D8506" s="1" t="str">
        <f>"CK2024100920459"</f>
        <v>CK2024100920459</v>
      </c>
      <c r="E8506" s="1" t="str">
        <f>"6917978348703612866"</f>
        <v>6917978348703612866</v>
      </c>
      <c r="F8506" s="1" t="str">
        <f t="shared" si="2407"/>
        <v>花都四部-凤凰仓</v>
      </c>
      <c r="G8506" s="1" t="str">
        <f t="shared" si="2419"/>
        <v>卡卡杜个人护理店（抖店）</v>
      </c>
      <c r="H8506" s="1" t="str">
        <f t="shared" si="2408"/>
        <v>正常订单</v>
      </c>
      <c r="I8506" s="1" t="str">
        <f t="shared" si="2409"/>
        <v>已发货</v>
      </c>
      <c r="J8506" s="1" t="str">
        <f t="shared" si="2422"/>
        <v>2</v>
      </c>
      <c r="K8506" s="1">
        <v>1</v>
      </c>
      <c r="L8506" s="1" t="s">
        <v>20</v>
      </c>
      <c r="M8506" s="1" t="str">
        <f>"浙江省 杭州市 余杭区 瓶窑镇"</f>
        <v>浙江省 杭州市 余杭区 瓶窑镇</v>
      </c>
      <c r="N8506" s="1" t="str">
        <f t="shared" si="2421"/>
        <v>凡华云仓-韵达-抖音</v>
      </c>
      <c r="O8506" s="5">
        <v>320162844373350</v>
      </c>
      <c r="P8506" s="6">
        <v>0.33</v>
      </c>
      <c r="Q8506" s="11">
        <v>2.2999999999999998</v>
      </c>
      <c r="R8506" s="11"/>
      <c r="S8506" s="11"/>
      <c r="T8506" s="11"/>
      <c r="U8506" s="11">
        <f t="shared" si="2405"/>
        <v>2.2999999999999998</v>
      </c>
      <c r="W8506">
        <v>2.5</v>
      </c>
      <c r="X8506" s="1" t="s">
        <v>20</v>
      </c>
    </row>
    <row r="8507" spans="1:24" x14ac:dyDescent="0.25">
      <c r="A8507" s="1" t="str">
        <f t="shared" si="2406"/>
        <v>卡卡杜-凤凰仓</v>
      </c>
      <c r="B8507" s="1" t="str">
        <f>"CK2024100929"</f>
        <v>CK2024100929</v>
      </c>
      <c r="C8507" s="1" t="str">
        <f>"DD2024100910481"</f>
        <v>DD2024100910481</v>
      </c>
      <c r="D8507" s="1" t="str">
        <f>"CK2024100920458"</f>
        <v>CK2024100920458</v>
      </c>
      <c r="E8507" s="1" t="str">
        <f>"6917982611910524008"</f>
        <v>6917982611910524008</v>
      </c>
      <c r="F8507" s="1" t="str">
        <f t="shared" si="2407"/>
        <v>花都四部-凤凰仓</v>
      </c>
      <c r="G8507" s="1" t="str">
        <f t="shared" si="2419"/>
        <v>卡卡杜个人护理店（抖店）</v>
      </c>
      <c r="H8507" s="1" t="str">
        <f t="shared" si="2408"/>
        <v>正常订单</v>
      </c>
      <c r="I8507" s="1" t="str">
        <f t="shared" si="2409"/>
        <v>已发货</v>
      </c>
      <c r="J8507" s="1" t="str">
        <f t="shared" si="2422"/>
        <v>2</v>
      </c>
      <c r="K8507" s="1">
        <v>1</v>
      </c>
      <c r="L8507" s="1" t="s">
        <v>20</v>
      </c>
      <c r="M8507" s="1" t="str">
        <f>"浙江省 嘉兴市 平湖市 乍浦镇"</f>
        <v>浙江省 嘉兴市 平湖市 乍浦镇</v>
      </c>
      <c r="N8507" s="1" t="str">
        <f t="shared" si="2421"/>
        <v>凡华云仓-韵达-抖音</v>
      </c>
      <c r="O8507" s="5">
        <v>320162844373257</v>
      </c>
      <c r="P8507" s="6">
        <v>0.33</v>
      </c>
      <c r="Q8507" s="11">
        <v>2.2999999999999998</v>
      </c>
      <c r="R8507" s="11"/>
      <c r="S8507" s="11"/>
      <c r="T8507" s="11"/>
      <c r="U8507" s="11">
        <f t="shared" si="2405"/>
        <v>2.2999999999999998</v>
      </c>
      <c r="W8507">
        <v>2.5</v>
      </c>
      <c r="X8507" s="1" t="s">
        <v>20</v>
      </c>
    </row>
    <row r="8508" spans="1:24" x14ac:dyDescent="0.25">
      <c r="A8508" s="1" t="str">
        <f t="shared" si="2406"/>
        <v>卡卡杜-凤凰仓</v>
      </c>
      <c r="B8508" s="1" t="str">
        <f>"CK2024100979"</f>
        <v>CK2024100979</v>
      </c>
      <c r="C8508" s="1" t="str">
        <f>"DD2024100910529"</f>
        <v>DD2024100910529</v>
      </c>
      <c r="D8508" s="1" t="str">
        <f>"CK2024100920457"</f>
        <v>CK2024100920457</v>
      </c>
      <c r="E8508" s="1" t="str">
        <f>"6917985088938802570"</f>
        <v>6917985088938802570</v>
      </c>
      <c r="F8508" s="1" t="str">
        <f t="shared" si="2407"/>
        <v>花都四部-凤凰仓</v>
      </c>
      <c r="G8508" s="1" t="str">
        <f t="shared" si="2419"/>
        <v>卡卡杜个人护理店（抖店）</v>
      </c>
      <c r="H8508" s="1" t="str">
        <f t="shared" si="2408"/>
        <v>正常订单</v>
      </c>
      <c r="I8508" s="1" t="str">
        <f t="shared" si="2409"/>
        <v>已发货</v>
      </c>
      <c r="J8508" s="1" t="str">
        <f t="shared" si="2422"/>
        <v>2</v>
      </c>
      <c r="K8508" s="1">
        <v>1</v>
      </c>
      <c r="L8508" s="1" t="s">
        <v>161</v>
      </c>
      <c r="M8508" s="1" t="str">
        <f>"四川省 巴中市 南江县 集州街道"</f>
        <v>四川省 巴中市 南江县 集州街道</v>
      </c>
      <c r="N8508" s="1" t="str">
        <f t="shared" si="2421"/>
        <v>凡华云仓-韵达-抖音</v>
      </c>
      <c r="O8508" s="5">
        <v>320162844373166</v>
      </c>
      <c r="P8508" s="6">
        <v>0.33</v>
      </c>
      <c r="Q8508" s="11">
        <v>2.2999999999999998</v>
      </c>
      <c r="R8508" s="11"/>
      <c r="S8508" s="11"/>
      <c r="T8508" s="11"/>
      <c r="U8508" s="11">
        <f t="shared" si="2405"/>
        <v>2.2999999999999998</v>
      </c>
      <c r="W8508">
        <v>2.5</v>
      </c>
      <c r="X8508" s="1" t="s">
        <v>161</v>
      </c>
    </row>
    <row r="8509" spans="1:24" x14ac:dyDescent="0.25">
      <c r="A8509" s="1" t="str">
        <f t="shared" si="2406"/>
        <v>卡卡杜-凤凰仓</v>
      </c>
      <c r="B8509" s="1" t="str">
        <f>"CK2024100928"</f>
        <v>CK2024100928</v>
      </c>
      <c r="C8509" s="1" t="str">
        <f>"DD2024100910480"</f>
        <v>DD2024100910480</v>
      </c>
      <c r="D8509" s="1" t="str">
        <f>"CK2024100920456"</f>
        <v>CK2024100920456</v>
      </c>
      <c r="E8509" s="1" t="str">
        <f>"6917979892613414703"</f>
        <v>6917979892613414703</v>
      </c>
      <c r="F8509" s="1" t="str">
        <f t="shared" si="2407"/>
        <v>花都四部-凤凰仓</v>
      </c>
      <c r="G8509" s="1" t="str">
        <f t="shared" si="2419"/>
        <v>卡卡杜个人护理店（抖店）</v>
      </c>
      <c r="H8509" s="1" t="str">
        <f t="shared" si="2408"/>
        <v>正常订单</v>
      </c>
      <c r="I8509" s="1" t="str">
        <f t="shared" si="2409"/>
        <v>已发货</v>
      </c>
      <c r="J8509" s="1" t="str">
        <f t="shared" si="2422"/>
        <v>2</v>
      </c>
      <c r="K8509" s="1">
        <v>1</v>
      </c>
      <c r="L8509" s="1" t="s">
        <v>18</v>
      </c>
      <c r="M8509" s="1" t="str">
        <f>"广东省 惠州市 博罗县 园洲镇"</f>
        <v>广东省 惠州市 博罗县 园洲镇</v>
      </c>
      <c r="N8509" s="1" t="str">
        <f t="shared" si="2421"/>
        <v>凡华云仓-韵达-抖音</v>
      </c>
      <c r="O8509" s="5">
        <v>320162844373077</v>
      </c>
      <c r="P8509" s="6">
        <v>0.33</v>
      </c>
      <c r="Q8509" s="11">
        <v>2.2999999999999998</v>
      </c>
      <c r="R8509" s="11"/>
      <c r="S8509" s="11"/>
      <c r="T8509" s="11"/>
      <c r="U8509" s="11">
        <f t="shared" si="2405"/>
        <v>2.2999999999999998</v>
      </c>
      <c r="W8509">
        <v>2.5</v>
      </c>
      <c r="X8509" s="1" t="s">
        <v>18</v>
      </c>
    </row>
    <row r="8510" spans="1:24" x14ac:dyDescent="0.25">
      <c r="A8510" s="1" t="str">
        <f t="shared" si="2406"/>
        <v>卡卡杜-凤凰仓</v>
      </c>
      <c r="B8510" s="1" t="str">
        <f>"CK2024100940"</f>
        <v>CK2024100940</v>
      </c>
      <c r="C8510" s="1" t="str">
        <f>"DD2024100910492"</f>
        <v>DD2024100910492</v>
      </c>
      <c r="D8510" s="1" t="str">
        <f>"CK2024100920455"</f>
        <v>CK2024100920455</v>
      </c>
      <c r="E8510" s="1" t="str">
        <f>"6917987439551413384"</f>
        <v>6917987439551413384</v>
      </c>
      <c r="F8510" s="1" t="str">
        <f t="shared" si="2407"/>
        <v>花都四部-凤凰仓</v>
      </c>
      <c r="G8510" s="1" t="str">
        <f t="shared" si="2419"/>
        <v>卡卡杜个人护理店（抖店）</v>
      </c>
      <c r="H8510" s="1" t="str">
        <f t="shared" si="2408"/>
        <v>正常订单</v>
      </c>
      <c r="I8510" s="1" t="str">
        <f t="shared" si="2409"/>
        <v>已发货</v>
      </c>
      <c r="J8510" s="1" t="str">
        <f t="shared" si="2422"/>
        <v>2</v>
      </c>
      <c r="K8510" s="1">
        <v>1</v>
      </c>
      <c r="L8510" s="1" t="s">
        <v>36</v>
      </c>
      <c r="M8510" s="1" t="str">
        <f>"安徽省 合肥市 肥东县 肥东新城开发区"</f>
        <v>安徽省 合肥市 肥东县 肥东新城开发区</v>
      </c>
      <c r="N8510" s="1" t="str">
        <f t="shared" si="2421"/>
        <v>凡华云仓-韵达-抖音</v>
      </c>
      <c r="O8510" s="5">
        <v>320162844372957</v>
      </c>
      <c r="P8510" s="6">
        <v>0.33</v>
      </c>
      <c r="Q8510" s="11">
        <v>2.2999999999999998</v>
      </c>
      <c r="R8510" s="11"/>
      <c r="S8510" s="11"/>
      <c r="T8510" s="11"/>
      <c r="U8510" s="11">
        <f t="shared" si="2405"/>
        <v>2.2999999999999998</v>
      </c>
      <c r="W8510">
        <v>2.5</v>
      </c>
      <c r="X8510" s="1" t="s">
        <v>36</v>
      </c>
    </row>
    <row r="8511" spans="1:24" x14ac:dyDescent="0.25">
      <c r="A8511" s="1" t="str">
        <f t="shared" si="2406"/>
        <v>卡卡杜-凤凰仓</v>
      </c>
      <c r="B8511" s="1" t="str">
        <f>"CK2024100937"</f>
        <v>CK2024100937</v>
      </c>
      <c r="C8511" s="1" t="str">
        <f>"DD2024100910489"</f>
        <v>DD2024100910489</v>
      </c>
      <c r="D8511" s="1" t="str">
        <f>"CK2024100920454"</f>
        <v>CK2024100920454</v>
      </c>
      <c r="E8511" s="1" t="str">
        <f>"6917984955432336740"</f>
        <v>6917984955432336740</v>
      </c>
      <c r="F8511" s="1" t="str">
        <f t="shared" si="2407"/>
        <v>花都四部-凤凰仓</v>
      </c>
      <c r="G8511" s="1" t="str">
        <f t="shared" si="2419"/>
        <v>卡卡杜个人护理店（抖店）</v>
      </c>
      <c r="H8511" s="1" t="str">
        <f t="shared" si="2408"/>
        <v>正常订单</v>
      </c>
      <c r="I8511" s="1" t="str">
        <f t="shared" si="2409"/>
        <v>已发货</v>
      </c>
      <c r="J8511" s="1" t="str">
        <f t="shared" si="2422"/>
        <v>2</v>
      </c>
      <c r="K8511" s="1">
        <v>1</v>
      </c>
      <c r="L8511" s="1" t="s">
        <v>22</v>
      </c>
      <c r="M8511" s="1" t="str">
        <f>"江西省 九江市 德安县 蒲亭镇"</f>
        <v>江西省 九江市 德安县 蒲亭镇</v>
      </c>
      <c r="N8511" s="1" t="str">
        <f t="shared" si="2421"/>
        <v>凡华云仓-韵达-抖音</v>
      </c>
      <c r="O8511" s="5">
        <v>320162844372852</v>
      </c>
      <c r="P8511" s="6">
        <v>0.33</v>
      </c>
      <c r="Q8511" s="11">
        <v>2.2999999999999998</v>
      </c>
      <c r="R8511" s="11"/>
      <c r="S8511" s="11"/>
      <c r="T8511" s="11"/>
      <c r="U8511" s="11">
        <f t="shared" si="2405"/>
        <v>2.2999999999999998</v>
      </c>
      <c r="W8511">
        <v>2.5</v>
      </c>
      <c r="X8511" s="1" t="s">
        <v>22</v>
      </c>
    </row>
    <row r="8512" spans="1:24" x14ac:dyDescent="0.25">
      <c r="A8512" s="1" t="str">
        <f t="shared" si="2406"/>
        <v>卡卡杜-凤凰仓</v>
      </c>
      <c r="B8512" s="1" t="str">
        <f>"CK2024100941"</f>
        <v>CK2024100941</v>
      </c>
      <c r="C8512" s="1" t="str">
        <f>"DD2024100910493"</f>
        <v>DD2024100910493</v>
      </c>
      <c r="D8512" s="1" t="str">
        <f>"CK2024100920453"</f>
        <v>CK2024100920453</v>
      </c>
      <c r="E8512" s="1" t="str">
        <f>"6917979908831870513"</f>
        <v>6917979908831870513</v>
      </c>
      <c r="F8512" s="1" t="str">
        <f t="shared" si="2407"/>
        <v>花都四部-凤凰仓</v>
      </c>
      <c r="G8512" s="1" t="str">
        <f t="shared" si="2419"/>
        <v>卡卡杜个人护理店（抖店）</v>
      </c>
      <c r="H8512" s="1" t="str">
        <f t="shared" si="2408"/>
        <v>正常订单</v>
      </c>
      <c r="I8512" s="1" t="str">
        <f t="shared" si="2409"/>
        <v>已发货</v>
      </c>
      <c r="J8512" s="1" t="str">
        <f t="shared" si="2422"/>
        <v>2</v>
      </c>
      <c r="K8512" s="1">
        <v>1</v>
      </c>
      <c r="L8512" s="1" t="s">
        <v>22</v>
      </c>
      <c r="M8512" s="1" t="str">
        <f>"江西省 宜春市 高安市 "</f>
        <v xml:space="preserve">江西省 宜春市 高安市 </v>
      </c>
      <c r="N8512" s="1" t="str">
        <f t="shared" si="2421"/>
        <v>凡华云仓-韵达-抖音</v>
      </c>
      <c r="O8512" s="5">
        <v>320162838984745</v>
      </c>
      <c r="P8512" s="6">
        <v>0.33</v>
      </c>
      <c r="Q8512" s="11">
        <v>2.2999999999999998</v>
      </c>
      <c r="R8512" s="11"/>
      <c r="S8512" s="11"/>
      <c r="T8512" s="11"/>
      <c r="U8512" s="11">
        <f t="shared" si="2405"/>
        <v>2.2999999999999998</v>
      </c>
      <c r="W8512">
        <v>2.5</v>
      </c>
      <c r="X8512" s="1" t="s">
        <v>22</v>
      </c>
    </row>
    <row r="8513" spans="1:24" x14ac:dyDescent="0.25">
      <c r="A8513" s="1" t="str">
        <f t="shared" si="2406"/>
        <v>卡卡杜-凤凰仓</v>
      </c>
      <c r="B8513" s="1" t="str">
        <f>"CK2024100943"</f>
        <v>CK2024100943</v>
      </c>
      <c r="C8513" s="1" t="str">
        <f>"DD2024100910496"</f>
        <v>DD2024100910496</v>
      </c>
      <c r="D8513" s="1" t="str">
        <f>"CK2024100920452"</f>
        <v>CK2024100920452</v>
      </c>
      <c r="E8513" s="1" t="str">
        <f>"6917976944872225834"</f>
        <v>6917976944872225834</v>
      </c>
      <c r="F8513" s="1" t="str">
        <f t="shared" si="2407"/>
        <v>花都四部-凤凰仓</v>
      </c>
      <c r="G8513" s="1" t="str">
        <f t="shared" si="2419"/>
        <v>卡卡杜个人护理店（抖店）</v>
      </c>
      <c r="H8513" s="1" t="str">
        <f t="shared" si="2408"/>
        <v>正常订单</v>
      </c>
      <c r="I8513" s="1" t="str">
        <f t="shared" si="2409"/>
        <v>已发货</v>
      </c>
      <c r="J8513" s="1" t="str">
        <f t="shared" si="2422"/>
        <v>2</v>
      </c>
      <c r="K8513" s="1">
        <v>1</v>
      </c>
      <c r="L8513" s="1" t="s">
        <v>94</v>
      </c>
      <c r="M8513" s="1" t="str">
        <f>"湖南省 长沙市 长沙县 泉塘街道"</f>
        <v>湖南省 长沙市 长沙县 泉塘街道</v>
      </c>
      <c r="N8513" s="1" t="str">
        <f t="shared" si="2421"/>
        <v>凡华云仓-韵达-抖音</v>
      </c>
      <c r="O8513" s="5">
        <v>320162838984644</v>
      </c>
      <c r="P8513" s="6">
        <v>0.33</v>
      </c>
      <c r="Q8513" s="11">
        <v>2.2999999999999998</v>
      </c>
      <c r="R8513" s="11"/>
      <c r="S8513" s="11"/>
      <c r="T8513" s="11"/>
      <c r="U8513" s="11">
        <f t="shared" si="2405"/>
        <v>2.2999999999999998</v>
      </c>
      <c r="W8513">
        <v>2.5</v>
      </c>
      <c r="X8513" s="1" t="s">
        <v>94</v>
      </c>
    </row>
    <row r="8514" spans="1:24" x14ac:dyDescent="0.25">
      <c r="A8514" s="1" t="str">
        <f t="shared" si="2406"/>
        <v>卡卡杜-凤凰仓</v>
      </c>
      <c r="B8514" s="1" t="str">
        <f>"CK2024100944"</f>
        <v>CK2024100944</v>
      </c>
      <c r="C8514" s="1" t="str">
        <f>"DD2024100910495"</f>
        <v>DD2024100910495</v>
      </c>
      <c r="D8514" s="1" t="str">
        <f>"CK2024100920451"</f>
        <v>CK2024100920451</v>
      </c>
      <c r="E8514" s="1" t="str">
        <f>"6917980004839291980"</f>
        <v>6917980004839291980</v>
      </c>
      <c r="F8514" s="1" t="str">
        <f t="shared" si="2407"/>
        <v>花都四部-凤凰仓</v>
      </c>
      <c r="G8514" s="1" t="str">
        <f t="shared" si="2419"/>
        <v>卡卡杜个人护理店（抖店）</v>
      </c>
      <c r="H8514" s="1" t="str">
        <f t="shared" si="2408"/>
        <v>正常订单</v>
      </c>
      <c r="I8514" s="1" t="str">
        <f t="shared" si="2409"/>
        <v>已发货</v>
      </c>
      <c r="J8514" s="1" t="str">
        <f t="shared" si="2422"/>
        <v>2</v>
      </c>
      <c r="K8514" s="1">
        <v>1</v>
      </c>
      <c r="L8514" s="1" t="s">
        <v>94</v>
      </c>
      <c r="M8514" s="1" t="str">
        <f>"湖南省 湘西土家族苗族自治州 泸溪县 武溪镇"</f>
        <v>湖南省 湘西土家族苗族自治州 泸溪县 武溪镇</v>
      </c>
      <c r="N8514" s="1" t="str">
        <f t="shared" si="2421"/>
        <v>凡华云仓-韵达-抖音</v>
      </c>
      <c r="O8514" s="5">
        <v>320162838984545</v>
      </c>
      <c r="P8514" s="6">
        <v>0.33</v>
      </c>
      <c r="Q8514" s="11">
        <v>2.2999999999999998</v>
      </c>
      <c r="R8514" s="11"/>
      <c r="S8514" s="11"/>
      <c r="T8514" s="11"/>
      <c r="U8514" s="11">
        <f t="shared" si="2405"/>
        <v>2.2999999999999998</v>
      </c>
      <c r="W8514">
        <v>2.5</v>
      </c>
      <c r="X8514" s="1" t="s">
        <v>94</v>
      </c>
    </row>
    <row r="8515" spans="1:24" x14ac:dyDescent="0.25">
      <c r="A8515" s="1" t="str">
        <f t="shared" si="2406"/>
        <v>卡卡杜-凤凰仓</v>
      </c>
      <c r="B8515" s="1" t="str">
        <f>"CK2024100945"</f>
        <v>CK2024100945</v>
      </c>
      <c r="C8515" s="1" t="str">
        <f>"DD2024100910497"</f>
        <v>DD2024100910497</v>
      </c>
      <c r="D8515" s="1" t="str">
        <f>"CK2024100920450"</f>
        <v>CK2024100920450</v>
      </c>
      <c r="E8515" s="1" t="str">
        <f>"6917986959693479525"</f>
        <v>6917986959693479525</v>
      </c>
      <c r="F8515" s="1" t="str">
        <f t="shared" si="2407"/>
        <v>花都四部-凤凰仓</v>
      </c>
      <c r="G8515" s="1" t="str">
        <f t="shared" si="2419"/>
        <v>卡卡杜个人护理店（抖店）</v>
      </c>
      <c r="H8515" s="1" t="str">
        <f t="shared" si="2408"/>
        <v>正常订单</v>
      </c>
      <c r="I8515" s="1" t="str">
        <f t="shared" si="2409"/>
        <v>已发货</v>
      </c>
      <c r="J8515" s="1" t="str">
        <f t="shared" si="2422"/>
        <v>2</v>
      </c>
      <c r="K8515" s="1">
        <v>1</v>
      </c>
      <c r="L8515" s="1" t="s">
        <v>24</v>
      </c>
      <c r="M8515" s="1" t="str">
        <f>"福建省 漳州市 龙文区 蓝田街道"</f>
        <v>福建省 漳州市 龙文区 蓝田街道</v>
      </c>
      <c r="N8515" s="1" t="str">
        <f t="shared" si="2421"/>
        <v>凡华云仓-韵达-抖音</v>
      </c>
      <c r="O8515" s="5">
        <v>320162824981672</v>
      </c>
      <c r="P8515" s="6">
        <v>0.33</v>
      </c>
      <c r="Q8515" s="11">
        <v>2.2999999999999998</v>
      </c>
      <c r="R8515" s="11"/>
      <c r="S8515" s="11"/>
      <c r="T8515" s="11"/>
      <c r="U8515" s="11">
        <f t="shared" ref="U8515:U8578" si="2423">T8515+S8515+R8515+Q8515</f>
        <v>2.2999999999999998</v>
      </c>
      <c r="W8515">
        <v>2.5</v>
      </c>
      <c r="X8515" s="1" t="s">
        <v>24</v>
      </c>
    </row>
    <row r="8516" spans="1:24" x14ac:dyDescent="0.25">
      <c r="A8516" s="1" t="str">
        <f t="shared" si="2406"/>
        <v>卡卡杜-凤凰仓</v>
      </c>
      <c r="B8516" s="1" t="str">
        <f>"CK2024100938"</f>
        <v>CK2024100938</v>
      </c>
      <c r="C8516" s="1" t="str">
        <f>"DD2024100910488"</f>
        <v>DD2024100910488</v>
      </c>
      <c r="D8516" s="1" t="str">
        <f>"CK2024100920449"</f>
        <v>CK2024100920449</v>
      </c>
      <c r="E8516" s="1" t="str">
        <f>"6917984521418865865"</f>
        <v>6917984521418865865</v>
      </c>
      <c r="F8516" s="1" t="str">
        <f t="shared" si="2407"/>
        <v>花都四部-凤凰仓</v>
      </c>
      <c r="G8516" s="1" t="str">
        <f t="shared" si="2419"/>
        <v>卡卡杜个人护理店（抖店）</v>
      </c>
      <c r="H8516" s="1" t="str">
        <f t="shared" si="2408"/>
        <v>正常订单</v>
      </c>
      <c r="I8516" s="1" t="str">
        <f t="shared" si="2409"/>
        <v>已发货</v>
      </c>
      <c r="J8516" s="1" t="str">
        <f t="shared" si="2422"/>
        <v>2</v>
      </c>
      <c r="K8516" s="1">
        <v>1</v>
      </c>
      <c r="L8516" s="1" t="s">
        <v>22</v>
      </c>
      <c r="M8516" s="1" t="str">
        <f>"江西省 上饶市 鄱阳县 田畈街镇"</f>
        <v>江西省 上饶市 鄱阳县 田畈街镇</v>
      </c>
      <c r="N8516" s="1" t="str">
        <f t="shared" si="2421"/>
        <v>凡华云仓-韵达-抖音</v>
      </c>
      <c r="O8516" s="5">
        <v>320162824981573</v>
      </c>
      <c r="P8516" s="6">
        <v>0.33</v>
      </c>
      <c r="Q8516" s="11">
        <v>2.2999999999999998</v>
      </c>
      <c r="R8516" s="11"/>
      <c r="S8516" s="11"/>
      <c r="T8516" s="11"/>
      <c r="U8516" s="11">
        <f t="shared" si="2423"/>
        <v>2.2999999999999998</v>
      </c>
      <c r="W8516">
        <v>2.5</v>
      </c>
      <c r="X8516" s="1" t="s">
        <v>22</v>
      </c>
    </row>
    <row r="8517" spans="1:24" x14ac:dyDescent="0.25">
      <c r="A8517" s="1" t="str">
        <f t="shared" ref="A8517:A8580" si="2424">"卡卡杜-凤凰仓"</f>
        <v>卡卡杜-凤凰仓</v>
      </c>
      <c r="B8517" s="1" t="str">
        <f>"CK2024100935"</f>
        <v>CK2024100935</v>
      </c>
      <c r="C8517" s="1" t="str">
        <f>"DD2024100910487"</f>
        <v>DD2024100910487</v>
      </c>
      <c r="D8517" s="1" t="str">
        <f>"CK2024100920448"</f>
        <v>CK2024100920448</v>
      </c>
      <c r="E8517" s="1" t="str">
        <f>"6917980082258738489"</f>
        <v>6917980082258738489</v>
      </c>
      <c r="F8517" s="1" t="str">
        <f t="shared" ref="F8517:F8580" si="2425">"花都四部-凤凰仓"</f>
        <v>花都四部-凤凰仓</v>
      </c>
      <c r="G8517" s="1" t="str">
        <f t="shared" si="2419"/>
        <v>卡卡杜个人护理店（抖店）</v>
      </c>
      <c r="H8517" s="1" t="str">
        <f t="shared" ref="H8517:H8580" si="2426">"正常订单"</f>
        <v>正常订单</v>
      </c>
      <c r="I8517" s="1" t="str">
        <f t="shared" ref="I8517:I8580" si="2427">"已发货"</f>
        <v>已发货</v>
      </c>
      <c r="J8517" s="1" t="str">
        <f t="shared" si="2422"/>
        <v>2</v>
      </c>
      <c r="K8517" s="1">
        <v>1</v>
      </c>
      <c r="L8517" s="1" t="s">
        <v>13</v>
      </c>
      <c r="M8517" s="1" t="str">
        <f>"江苏省 宿迁市 宿城区 洋河镇"</f>
        <v>江苏省 宿迁市 宿城区 洋河镇</v>
      </c>
      <c r="N8517" s="1" t="str">
        <f t="shared" si="2421"/>
        <v>凡华云仓-韵达-抖音</v>
      </c>
      <c r="O8517" s="5">
        <v>320162824981476</v>
      </c>
      <c r="P8517" s="6">
        <v>0.33</v>
      </c>
      <c r="Q8517" s="11">
        <v>2.2999999999999998</v>
      </c>
      <c r="R8517" s="11"/>
      <c r="S8517" s="11"/>
      <c r="T8517" s="11"/>
      <c r="U8517" s="11">
        <f t="shared" si="2423"/>
        <v>2.2999999999999998</v>
      </c>
      <c r="W8517">
        <v>2.5</v>
      </c>
      <c r="X8517" s="1" t="s">
        <v>13</v>
      </c>
    </row>
    <row r="8518" spans="1:24" x14ac:dyDescent="0.25">
      <c r="A8518" s="1" t="str">
        <f t="shared" si="2424"/>
        <v>卡卡杜-凤凰仓</v>
      </c>
      <c r="B8518" s="1" t="str">
        <f>"CK2024100936"</f>
        <v>CK2024100936</v>
      </c>
      <c r="C8518" s="1" t="str">
        <f>"DD2024100910491"</f>
        <v>DD2024100910491</v>
      </c>
      <c r="D8518" s="1" t="str">
        <f>"CK2024100920447"</f>
        <v>CK2024100920447</v>
      </c>
      <c r="E8518" s="1" t="str">
        <f>"6917980011485953821"</f>
        <v>6917980011485953821</v>
      </c>
      <c r="F8518" s="1" t="str">
        <f t="shared" si="2425"/>
        <v>花都四部-凤凰仓</v>
      </c>
      <c r="G8518" s="1" t="str">
        <f t="shared" si="2419"/>
        <v>卡卡杜个人护理店（抖店）</v>
      </c>
      <c r="H8518" s="1" t="str">
        <f t="shared" si="2426"/>
        <v>正常订单</v>
      </c>
      <c r="I8518" s="1" t="str">
        <f t="shared" si="2427"/>
        <v>已发货</v>
      </c>
      <c r="J8518" s="1" t="str">
        <f t="shared" si="2422"/>
        <v>2</v>
      </c>
      <c r="K8518" s="1">
        <v>1</v>
      </c>
      <c r="L8518" s="1" t="s">
        <v>18</v>
      </c>
      <c r="M8518" s="1" t="str">
        <f>"广东省 茂名市 茂南区 站前街道"</f>
        <v>广东省 茂名市 茂南区 站前街道</v>
      </c>
      <c r="N8518" s="1" t="str">
        <f t="shared" si="2421"/>
        <v>凡华云仓-韵达-抖音</v>
      </c>
      <c r="O8518" s="5">
        <v>320162824981381</v>
      </c>
      <c r="P8518" s="6">
        <v>0.33</v>
      </c>
      <c r="Q8518" s="11">
        <v>2.2999999999999998</v>
      </c>
      <c r="R8518" s="11"/>
      <c r="S8518" s="11"/>
      <c r="T8518" s="11"/>
      <c r="U8518" s="11">
        <f t="shared" si="2423"/>
        <v>2.2999999999999998</v>
      </c>
      <c r="W8518">
        <v>2.5</v>
      </c>
      <c r="X8518" s="1" t="s">
        <v>18</v>
      </c>
    </row>
    <row r="8519" spans="1:24" x14ac:dyDescent="0.25">
      <c r="A8519" s="1" t="str">
        <f t="shared" si="2424"/>
        <v>卡卡杜-凤凰仓</v>
      </c>
      <c r="B8519" s="1" t="str">
        <f>"CK2024100931"</f>
        <v>CK2024100931</v>
      </c>
      <c r="C8519" s="1" t="str">
        <f>"DD2024100910485"</f>
        <v>DD2024100910485</v>
      </c>
      <c r="D8519" s="1" t="str">
        <f>"CK2024100920446"</f>
        <v>CK2024100920446</v>
      </c>
      <c r="E8519" s="1" t="str">
        <f>"6917967740994944379"</f>
        <v>6917967740994944379</v>
      </c>
      <c r="F8519" s="1" t="str">
        <f t="shared" si="2425"/>
        <v>花都四部-凤凰仓</v>
      </c>
      <c r="G8519" s="1" t="str">
        <f t="shared" si="2419"/>
        <v>卡卡杜个人护理店（抖店）</v>
      </c>
      <c r="H8519" s="1" t="str">
        <f t="shared" si="2426"/>
        <v>正常订单</v>
      </c>
      <c r="I8519" s="1" t="str">
        <f t="shared" si="2427"/>
        <v>已发货</v>
      </c>
      <c r="J8519" s="1" t="str">
        <f t="shared" si="2422"/>
        <v>2</v>
      </c>
      <c r="K8519" s="1">
        <v>1</v>
      </c>
      <c r="L8519" s="1" t="s">
        <v>13</v>
      </c>
      <c r="M8519" s="1" t="str">
        <f>"江苏省 徐州市 沛县 沛城街道"</f>
        <v>江苏省 徐州市 沛县 沛城街道</v>
      </c>
      <c r="N8519" s="1" t="str">
        <f t="shared" si="2421"/>
        <v>凡华云仓-韵达-抖音</v>
      </c>
      <c r="O8519" s="5">
        <v>320162824981288</v>
      </c>
      <c r="P8519" s="6">
        <v>0.33</v>
      </c>
      <c r="Q8519" s="11">
        <v>2.2999999999999998</v>
      </c>
      <c r="R8519" s="11"/>
      <c r="S8519" s="11"/>
      <c r="T8519" s="11"/>
      <c r="U8519" s="11">
        <f t="shared" si="2423"/>
        <v>2.2999999999999998</v>
      </c>
      <c r="W8519">
        <v>2.5</v>
      </c>
      <c r="X8519" s="1" t="s">
        <v>13</v>
      </c>
    </row>
    <row r="8520" spans="1:24" x14ac:dyDescent="0.25">
      <c r="A8520" s="1" t="str">
        <f t="shared" si="2424"/>
        <v>卡卡杜-凤凰仓</v>
      </c>
      <c r="B8520" s="1" t="str">
        <f>"CK2024100934"</f>
        <v>CK2024100934</v>
      </c>
      <c r="C8520" s="1" t="str">
        <f>"DD2024100910486"</f>
        <v>DD2024100910486</v>
      </c>
      <c r="D8520" s="1" t="str">
        <f>"CK2024100920445"</f>
        <v>CK2024100920445</v>
      </c>
      <c r="E8520" s="1" t="str">
        <f>"6917969821061512463"</f>
        <v>6917969821061512463</v>
      </c>
      <c r="F8520" s="1" t="str">
        <f t="shared" si="2425"/>
        <v>花都四部-凤凰仓</v>
      </c>
      <c r="G8520" s="1" t="str">
        <f t="shared" si="2419"/>
        <v>卡卡杜个人护理店（抖店）</v>
      </c>
      <c r="H8520" s="1" t="str">
        <f t="shared" si="2426"/>
        <v>正常订单</v>
      </c>
      <c r="I8520" s="1" t="str">
        <f t="shared" si="2427"/>
        <v>已发货</v>
      </c>
      <c r="J8520" s="1" t="str">
        <f t="shared" si="2422"/>
        <v>2</v>
      </c>
      <c r="K8520" s="1">
        <v>1</v>
      </c>
      <c r="L8520" s="1" t="s">
        <v>41</v>
      </c>
      <c r="M8520" s="1" t="str">
        <f>"湖北省 随州市 随县 小林镇"</f>
        <v>湖北省 随州市 随县 小林镇</v>
      </c>
      <c r="N8520" s="1" t="str">
        <f t="shared" si="2421"/>
        <v>凡华云仓-韵达-抖音</v>
      </c>
      <c r="O8520" s="5">
        <v>320162824981197</v>
      </c>
      <c r="P8520" s="6">
        <v>0.33</v>
      </c>
      <c r="Q8520" s="11">
        <v>2.2999999999999998</v>
      </c>
      <c r="R8520" s="11"/>
      <c r="S8520" s="11"/>
      <c r="T8520" s="11"/>
      <c r="U8520" s="11">
        <f t="shared" si="2423"/>
        <v>2.2999999999999998</v>
      </c>
      <c r="W8520">
        <v>2.5</v>
      </c>
      <c r="X8520" s="1" t="s">
        <v>41</v>
      </c>
    </row>
    <row r="8521" spans="1:24" x14ac:dyDescent="0.25">
      <c r="A8521" s="1" t="str">
        <f t="shared" si="2424"/>
        <v>卡卡杜-凤凰仓</v>
      </c>
      <c r="B8521" s="1" t="str">
        <f>"CK2024100980"</f>
        <v>CK2024100980</v>
      </c>
      <c r="C8521" s="1" t="str">
        <f>"DD2024100910533"</f>
        <v>DD2024100910533</v>
      </c>
      <c r="D8521" s="1" t="str">
        <f>"CK2024100920444"</f>
        <v>CK2024100920444</v>
      </c>
      <c r="E8521" s="1" t="str">
        <f>"6917967606841114138"</f>
        <v>6917967606841114138</v>
      </c>
      <c r="F8521" s="1" t="str">
        <f t="shared" si="2425"/>
        <v>花都四部-凤凰仓</v>
      </c>
      <c r="G8521" s="1" t="str">
        <f t="shared" si="2419"/>
        <v>卡卡杜个人护理店（抖店）</v>
      </c>
      <c r="H8521" s="1" t="str">
        <f t="shared" si="2426"/>
        <v>正常订单</v>
      </c>
      <c r="I8521" s="1" t="str">
        <f t="shared" si="2427"/>
        <v>已发货</v>
      </c>
      <c r="J8521" s="1" t="str">
        <f t="shared" si="2422"/>
        <v>2</v>
      </c>
      <c r="K8521" s="1">
        <v>1</v>
      </c>
      <c r="L8521" s="1" t="s">
        <v>66</v>
      </c>
      <c r="M8521" s="1" t="str">
        <f>"内蒙古自治区 鄂尔多斯市 鄂托克旗 棋盘井镇"</f>
        <v>内蒙古自治区 鄂尔多斯市 鄂托克旗 棋盘井镇</v>
      </c>
      <c r="N8521" s="1" t="str">
        <f t="shared" si="2421"/>
        <v>凡华云仓-韵达-抖音</v>
      </c>
      <c r="O8521" s="5">
        <v>320162824981008</v>
      </c>
      <c r="P8521" s="6">
        <v>0.33</v>
      </c>
      <c r="Q8521" s="11">
        <v>2.2999999999999998</v>
      </c>
      <c r="R8521" s="11"/>
      <c r="S8521" s="11"/>
      <c r="T8521" s="11"/>
      <c r="U8521" s="11">
        <f t="shared" si="2423"/>
        <v>2.2999999999999998</v>
      </c>
      <c r="W8521">
        <v>2.5</v>
      </c>
      <c r="X8521" s="1" t="s">
        <v>66</v>
      </c>
    </row>
    <row r="8522" spans="1:24" x14ac:dyDescent="0.25">
      <c r="A8522" s="1" t="str">
        <f t="shared" si="2424"/>
        <v>卡卡杜-凤凰仓</v>
      </c>
      <c r="B8522" s="1" t="str">
        <f>"CK2024100982"</f>
        <v>CK2024100982</v>
      </c>
      <c r="C8522" s="1" t="str">
        <f>"DD2024100910534"</f>
        <v>DD2024100910534</v>
      </c>
      <c r="D8522" s="1" t="str">
        <f>"CK2024100920443"</f>
        <v>CK2024100920443</v>
      </c>
      <c r="E8522" s="1" t="str">
        <f>"6917972001973304971"</f>
        <v>6917972001973304971</v>
      </c>
      <c r="F8522" s="1" t="str">
        <f t="shared" si="2425"/>
        <v>花都四部-凤凰仓</v>
      </c>
      <c r="G8522" s="1" t="str">
        <f t="shared" si="2419"/>
        <v>卡卡杜个人护理店（抖店）</v>
      </c>
      <c r="H8522" s="1" t="str">
        <f t="shared" si="2426"/>
        <v>正常订单</v>
      </c>
      <c r="I8522" s="1" t="str">
        <f t="shared" si="2427"/>
        <v>已发货</v>
      </c>
      <c r="J8522" s="1" t="str">
        <f t="shared" si="2422"/>
        <v>2</v>
      </c>
      <c r="K8522" s="1">
        <v>1</v>
      </c>
      <c r="L8522" s="1" t="s">
        <v>60</v>
      </c>
      <c r="M8522" s="1" t="str">
        <f>"云南省 玉溪市 澄江市 阳宗镇"</f>
        <v>云南省 玉溪市 澄江市 阳宗镇</v>
      </c>
      <c r="N8522" s="1" t="str">
        <f t="shared" si="2421"/>
        <v>凡华云仓-韵达-抖音</v>
      </c>
      <c r="O8522" s="5">
        <v>320162824980992</v>
      </c>
      <c r="P8522" s="6">
        <v>0.33</v>
      </c>
      <c r="Q8522" s="11">
        <v>2.2999999999999998</v>
      </c>
      <c r="R8522" s="11"/>
      <c r="S8522" s="11"/>
      <c r="T8522" s="11"/>
      <c r="U8522" s="11">
        <f t="shared" si="2423"/>
        <v>2.2999999999999998</v>
      </c>
      <c r="W8522">
        <v>2.5</v>
      </c>
      <c r="X8522" s="1" t="s">
        <v>60</v>
      </c>
    </row>
    <row r="8523" spans="1:24" x14ac:dyDescent="0.25">
      <c r="A8523" s="1" t="str">
        <f t="shared" si="2424"/>
        <v>卡卡杜-凤凰仓</v>
      </c>
      <c r="B8523" s="1" t="str">
        <f>"CK2024100981"</f>
        <v>CK2024100981</v>
      </c>
      <c r="C8523" s="1" t="str">
        <f>"DD2024100910531"</f>
        <v>DD2024100910531</v>
      </c>
      <c r="D8523" s="1" t="str">
        <f>"CK2024100920442"</f>
        <v>CK2024100920442</v>
      </c>
      <c r="E8523" s="1" t="str">
        <f>"6917969383968702219"</f>
        <v>6917969383968702219</v>
      </c>
      <c r="F8523" s="1" t="str">
        <f t="shared" si="2425"/>
        <v>花都四部-凤凰仓</v>
      </c>
      <c r="G8523" s="1" t="str">
        <f t="shared" si="2419"/>
        <v>卡卡杜个人护理店（抖店）</v>
      </c>
      <c r="H8523" s="1" t="str">
        <f t="shared" si="2426"/>
        <v>正常订单</v>
      </c>
      <c r="I8523" s="1" t="str">
        <f t="shared" si="2427"/>
        <v>已发货</v>
      </c>
      <c r="J8523" s="1" t="str">
        <f t="shared" si="2422"/>
        <v>2</v>
      </c>
      <c r="K8523" s="1">
        <v>1</v>
      </c>
      <c r="L8523" s="1" t="s">
        <v>60</v>
      </c>
      <c r="M8523" s="1" t="str">
        <f>"云南省 红河哈尼族彝族自治州 泸西县 中枢镇"</f>
        <v>云南省 红河哈尼族彝族自治州 泸西县 中枢镇</v>
      </c>
      <c r="N8523" s="1" t="str">
        <f t="shared" si="2421"/>
        <v>凡华云仓-韵达-抖音</v>
      </c>
      <c r="O8523" s="5">
        <v>320162824980887</v>
      </c>
      <c r="P8523" s="6">
        <v>0.33</v>
      </c>
      <c r="Q8523" s="11">
        <v>2.2999999999999998</v>
      </c>
      <c r="R8523" s="11"/>
      <c r="S8523" s="11"/>
      <c r="T8523" s="11"/>
      <c r="U8523" s="11">
        <f t="shared" si="2423"/>
        <v>2.2999999999999998</v>
      </c>
      <c r="W8523">
        <v>2.5</v>
      </c>
      <c r="X8523" s="1" t="s">
        <v>60</v>
      </c>
    </row>
    <row r="8524" spans="1:24" x14ac:dyDescent="0.25">
      <c r="A8524" s="1" t="str">
        <f t="shared" si="2424"/>
        <v>卡卡杜-凤凰仓</v>
      </c>
      <c r="B8524" s="1" t="str">
        <f>"CK2024100984"</f>
        <v>CK2024100984</v>
      </c>
      <c r="C8524" s="1" t="str">
        <f>"DD2024100910536"</f>
        <v>DD2024100910536</v>
      </c>
      <c r="D8524" s="1" t="str">
        <f>"CK2024100920441"</f>
        <v>CK2024100920441</v>
      </c>
      <c r="E8524" s="1" t="str">
        <f>"6917968990116019329"</f>
        <v>6917968990116019329</v>
      </c>
      <c r="F8524" s="1" t="str">
        <f t="shared" si="2425"/>
        <v>花都四部-凤凰仓</v>
      </c>
      <c r="G8524" s="1" t="str">
        <f t="shared" si="2419"/>
        <v>卡卡杜个人护理店（抖店）</v>
      </c>
      <c r="H8524" s="1" t="str">
        <f t="shared" si="2426"/>
        <v>正常订单</v>
      </c>
      <c r="I8524" s="1" t="str">
        <f t="shared" si="2427"/>
        <v>已发货</v>
      </c>
      <c r="J8524" s="1" t="str">
        <f t="shared" si="2422"/>
        <v>2</v>
      </c>
      <c r="K8524" s="1">
        <v>1</v>
      </c>
      <c r="L8524" s="1" t="s">
        <v>13</v>
      </c>
      <c r="M8524" s="1" t="str">
        <f>"江苏省 南京市 溧水区 "</f>
        <v xml:space="preserve">江苏省 南京市 溧水区 </v>
      </c>
      <c r="N8524" s="1" t="str">
        <f t="shared" si="2421"/>
        <v>凡华云仓-韵达-抖音</v>
      </c>
      <c r="O8524" s="5">
        <v>320162824980784</v>
      </c>
      <c r="P8524" s="6">
        <v>0.33</v>
      </c>
      <c r="Q8524" s="11">
        <v>2.2999999999999998</v>
      </c>
      <c r="R8524" s="11"/>
      <c r="S8524" s="11"/>
      <c r="T8524" s="11"/>
      <c r="U8524" s="11">
        <f t="shared" si="2423"/>
        <v>2.2999999999999998</v>
      </c>
      <c r="W8524">
        <v>2.5</v>
      </c>
      <c r="X8524" s="1" t="s">
        <v>13</v>
      </c>
    </row>
    <row r="8525" spans="1:24" x14ac:dyDescent="0.25">
      <c r="A8525" s="1" t="str">
        <f t="shared" si="2424"/>
        <v>卡卡杜-凤凰仓</v>
      </c>
      <c r="B8525" s="1" t="str">
        <f>"CK2024100951"</f>
        <v>CK2024100951</v>
      </c>
      <c r="C8525" s="1" t="str">
        <f>"DD2024100910503"</f>
        <v>DD2024100910503</v>
      </c>
      <c r="D8525" s="1" t="str">
        <f>"CK2024100920440"</f>
        <v>CK2024100920440</v>
      </c>
      <c r="E8525" s="1" t="str">
        <f>"6917971459314449664"</f>
        <v>6917971459314449664</v>
      </c>
      <c r="F8525" s="1" t="str">
        <f t="shared" si="2425"/>
        <v>花都四部-凤凰仓</v>
      </c>
      <c r="G8525" s="1" t="str">
        <f t="shared" si="2419"/>
        <v>卡卡杜个人护理店（抖店）</v>
      </c>
      <c r="H8525" s="1" t="str">
        <f t="shared" si="2426"/>
        <v>正常订单</v>
      </c>
      <c r="I8525" s="1" t="str">
        <f t="shared" si="2427"/>
        <v>已发货</v>
      </c>
      <c r="J8525" s="1" t="str">
        <f t="shared" si="2422"/>
        <v>2</v>
      </c>
      <c r="K8525" s="1">
        <v>1</v>
      </c>
      <c r="L8525" s="1" t="s">
        <v>20</v>
      </c>
      <c r="M8525" s="1" t="str">
        <f>"浙江省 温州市 永嘉县 瓯北街道"</f>
        <v>浙江省 温州市 永嘉县 瓯北街道</v>
      </c>
      <c r="N8525" s="1" t="str">
        <f t="shared" si="2421"/>
        <v>凡华云仓-韵达-抖音</v>
      </c>
      <c r="O8525" s="5">
        <v>320162833693551</v>
      </c>
      <c r="P8525" s="6">
        <v>0.33</v>
      </c>
      <c r="Q8525" s="11">
        <v>2.2999999999999998</v>
      </c>
      <c r="R8525" s="11"/>
      <c r="S8525" s="11"/>
      <c r="T8525" s="11"/>
      <c r="U8525" s="11">
        <f t="shared" si="2423"/>
        <v>2.2999999999999998</v>
      </c>
      <c r="W8525">
        <v>2.5</v>
      </c>
      <c r="X8525" s="1" t="s">
        <v>20</v>
      </c>
    </row>
    <row r="8526" spans="1:24" x14ac:dyDescent="0.25">
      <c r="A8526" s="1" t="str">
        <f t="shared" si="2424"/>
        <v>卡卡杜-凤凰仓</v>
      </c>
      <c r="B8526" s="1" t="str">
        <f>"CK2024100950"</f>
        <v>CK2024100950</v>
      </c>
      <c r="C8526" s="1" t="str">
        <f>"DD2024100910500"</f>
        <v>DD2024100910500</v>
      </c>
      <c r="D8526" s="1" t="str">
        <f>"CK2024100920439"</f>
        <v>CK2024100920439</v>
      </c>
      <c r="E8526" s="1" t="str">
        <f>"6917966716236955412"</f>
        <v>6917966716236955412</v>
      </c>
      <c r="F8526" s="1" t="str">
        <f t="shared" si="2425"/>
        <v>花都四部-凤凰仓</v>
      </c>
      <c r="G8526" s="1" t="str">
        <f t="shared" si="2419"/>
        <v>卡卡杜个人护理店（抖店）</v>
      </c>
      <c r="H8526" s="1" t="str">
        <f t="shared" si="2426"/>
        <v>正常订单</v>
      </c>
      <c r="I8526" s="1" t="str">
        <f t="shared" si="2427"/>
        <v>已发货</v>
      </c>
      <c r="J8526" s="1" t="str">
        <f t="shared" si="2422"/>
        <v>2</v>
      </c>
      <c r="K8526" s="1">
        <v>1</v>
      </c>
      <c r="L8526" s="1" t="s">
        <v>36</v>
      </c>
      <c r="M8526" s="1" t="str">
        <f>"安徽省 宣城市 广德市 邱村镇"</f>
        <v>安徽省 宣城市 广德市 邱村镇</v>
      </c>
      <c r="N8526" s="1" t="str">
        <f t="shared" si="2421"/>
        <v>凡华云仓-韵达-抖音</v>
      </c>
      <c r="O8526" s="5">
        <v>320162833693454</v>
      </c>
      <c r="P8526" s="6">
        <v>0.33</v>
      </c>
      <c r="Q8526" s="11">
        <v>2.2999999999999998</v>
      </c>
      <c r="R8526" s="11"/>
      <c r="S8526" s="11"/>
      <c r="T8526" s="11"/>
      <c r="U8526" s="11">
        <f t="shared" si="2423"/>
        <v>2.2999999999999998</v>
      </c>
      <c r="W8526">
        <v>2.5</v>
      </c>
      <c r="X8526" s="1" t="s">
        <v>36</v>
      </c>
    </row>
    <row r="8527" spans="1:24" x14ac:dyDescent="0.25">
      <c r="A8527" s="1" t="str">
        <f t="shared" si="2424"/>
        <v>卡卡杜-凤凰仓</v>
      </c>
      <c r="B8527" s="1" t="str">
        <f>"CK2024100957"</f>
        <v>CK2024100957</v>
      </c>
      <c r="C8527" s="1" t="str">
        <f>"DD2024100910509"</f>
        <v>DD2024100910509</v>
      </c>
      <c r="D8527" s="1" t="str">
        <f>"CK2024100920438"</f>
        <v>CK2024100920438</v>
      </c>
      <c r="E8527" s="1" t="str">
        <f>"6917975952015260972"</f>
        <v>6917975952015260972</v>
      </c>
      <c r="F8527" s="1" t="str">
        <f t="shared" si="2425"/>
        <v>花都四部-凤凰仓</v>
      </c>
      <c r="G8527" s="1" t="str">
        <f t="shared" si="2419"/>
        <v>卡卡杜个人护理店（抖店）</v>
      </c>
      <c r="H8527" s="1" t="str">
        <f t="shared" si="2426"/>
        <v>正常订单</v>
      </c>
      <c r="I8527" s="1" t="str">
        <f t="shared" si="2427"/>
        <v>已发货</v>
      </c>
      <c r="J8527" s="1" t="str">
        <f t="shared" si="2422"/>
        <v>2</v>
      </c>
      <c r="K8527" s="1">
        <v>1</v>
      </c>
      <c r="L8527" s="1" t="s">
        <v>18</v>
      </c>
      <c r="M8527" s="1" t="str">
        <f>"广东省 江门市 开平市 水口镇"</f>
        <v>广东省 江门市 开平市 水口镇</v>
      </c>
      <c r="N8527" s="1" t="str">
        <f t="shared" si="2421"/>
        <v>凡华云仓-韵达-抖音</v>
      </c>
      <c r="O8527" s="5">
        <v>320162833693359</v>
      </c>
      <c r="P8527" s="6">
        <v>0.33</v>
      </c>
      <c r="Q8527" s="11">
        <v>2.2999999999999998</v>
      </c>
      <c r="R8527" s="11"/>
      <c r="S8527" s="11"/>
      <c r="T8527" s="11"/>
      <c r="U8527" s="11">
        <f t="shared" si="2423"/>
        <v>2.2999999999999998</v>
      </c>
      <c r="W8527">
        <v>2.5</v>
      </c>
      <c r="X8527" s="1" t="s">
        <v>18</v>
      </c>
    </row>
    <row r="8528" spans="1:24" x14ac:dyDescent="0.25">
      <c r="A8528" s="1" t="str">
        <f t="shared" si="2424"/>
        <v>卡卡杜-凤凰仓</v>
      </c>
      <c r="B8528" s="1" t="str">
        <f>"CK2024100953"</f>
        <v>CK2024100953</v>
      </c>
      <c r="C8528" s="1" t="str">
        <f>"DD2024100910504"</f>
        <v>DD2024100910504</v>
      </c>
      <c r="D8528" s="1" t="str">
        <f>"CK2024100920437"</f>
        <v>CK2024100920437</v>
      </c>
      <c r="E8528" s="1" t="str">
        <f>"6917968945091083839"</f>
        <v>6917968945091083839</v>
      </c>
      <c r="F8528" s="1" t="str">
        <f t="shared" si="2425"/>
        <v>花都四部-凤凰仓</v>
      </c>
      <c r="G8528" s="1" t="str">
        <f t="shared" si="2419"/>
        <v>卡卡杜个人护理店（抖店）</v>
      </c>
      <c r="H8528" s="1" t="str">
        <f t="shared" si="2426"/>
        <v>正常订单</v>
      </c>
      <c r="I8528" s="1" t="str">
        <f t="shared" si="2427"/>
        <v>已发货</v>
      </c>
      <c r="J8528" s="1" t="str">
        <f t="shared" si="2422"/>
        <v>2</v>
      </c>
      <c r="K8528" s="1">
        <v>1</v>
      </c>
      <c r="L8528" s="1" t="s">
        <v>161</v>
      </c>
      <c r="M8528" s="1" t="str">
        <f>"四川省 德阳市 旌阳区 旌阳街道"</f>
        <v>四川省 德阳市 旌阳区 旌阳街道</v>
      </c>
      <c r="N8528" s="1" t="str">
        <f t="shared" si="2421"/>
        <v>凡华云仓-韵达-抖音</v>
      </c>
      <c r="O8528" s="5">
        <v>320162833693266</v>
      </c>
      <c r="P8528" s="6">
        <v>0.33</v>
      </c>
      <c r="Q8528" s="11">
        <v>2.2999999999999998</v>
      </c>
      <c r="R8528" s="11"/>
      <c r="S8528" s="11"/>
      <c r="T8528" s="11"/>
      <c r="U8528" s="11">
        <f t="shared" si="2423"/>
        <v>2.2999999999999998</v>
      </c>
      <c r="W8528">
        <v>2.5</v>
      </c>
      <c r="X8528" s="1" t="s">
        <v>161</v>
      </c>
    </row>
    <row r="8529" spans="1:24" x14ac:dyDescent="0.25">
      <c r="A8529" s="1" t="str">
        <f t="shared" si="2424"/>
        <v>卡卡杜-凤凰仓</v>
      </c>
      <c r="B8529" s="1" t="str">
        <f>"CK2024100958"</f>
        <v>CK2024100958</v>
      </c>
      <c r="C8529" s="1" t="str">
        <f>"DD2024100910510"</f>
        <v>DD2024100910510</v>
      </c>
      <c r="D8529" s="1" t="str">
        <f>"CK2024100920436"</f>
        <v>CK2024100920436</v>
      </c>
      <c r="E8529" s="1" t="str">
        <f>"6917975897852903077"</f>
        <v>6917975897852903077</v>
      </c>
      <c r="F8529" s="1" t="str">
        <f t="shared" si="2425"/>
        <v>花都四部-凤凰仓</v>
      </c>
      <c r="G8529" s="1" t="str">
        <f t="shared" si="2419"/>
        <v>卡卡杜个人护理店（抖店）</v>
      </c>
      <c r="H8529" s="1" t="str">
        <f t="shared" si="2426"/>
        <v>正常订单</v>
      </c>
      <c r="I8529" s="1" t="str">
        <f t="shared" si="2427"/>
        <v>已发货</v>
      </c>
      <c r="J8529" s="1" t="str">
        <f t="shared" si="2422"/>
        <v>2</v>
      </c>
      <c r="K8529" s="1">
        <v>1</v>
      </c>
      <c r="L8529" s="1" t="s">
        <v>96</v>
      </c>
      <c r="M8529" s="1" t="str">
        <f>"广西壮族自治区 河池市 金城江区 金城江街道"</f>
        <v>广西壮族自治区 河池市 金城江区 金城江街道</v>
      </c>
      <c r="N8529" s="1" t="str">
        <f t="shared" si="2421"/>
        <v>凡华云仓-韵达-抖音</v>
      </c>
      <c r="O8529" s="5">
        <v>320162833693175</v>
      </c>
      <c r="P8529" s="6">
        <v>0.33</v>
      </c>
      <c r="Q8529" s="11">
        <v>2.2999999999999998</v>
      </c>
      <c r="R8529" s="11"/>
      <c r="S8529" s="11"/>
      <c r="T8529" s="11"/>
      <c r="U8529" s="11">
        <f t="shared" si="2423"/>
        <v>2.2999999999999998</v>
      </c>
      <c r="W8529">
        <v>2.5</v>
      </c>
      <c r="X8529" s="1" t="s">
        <v>96</v>
      </c>
    </row>
    <row r="8530" spans="1:24" x14ac:dyDescent="0.25">
      <c r="A8530" s="1" t="str">
        <f t="shared" si="2424"/>
        <v>卡卡杜-凤凰仓</v>
      </c>
      <c r="B8530" s="1" t="str">
        <f>"CK2024100961"</f>
        <v>CK2024100961</v>
      </c>
      <c r="C8530" s="1" t="str">
        <f>"DD2024100910512"</f>
        <v>DD2024100910512</v>
      </c>
      <c r="D8530" s="1" t="str">
        <f>"CK2024100920435"</f>
        <v>CK2024100920435</v>
      </c>
      <c r="E8530" s="1" t="str">
        <f>"6917975608898190642"</f>
        <v>6917975608898190642</v>
      </c>
      <c r="F8530" s="1" t="str">
        <f t="shared" si="2425"/>
        <v>花都四部-凤凰仓</v>
      </c>
      <c r="G8530" s="1" t="str">
        <f t="shared" si="2419"/>
        <v>卡卡杜个人护理店（抖店）</v>
      </c>
      <c r="H8530" s="1" t="str">
        <f t="shared" si="2426"/>
        <v>正常订单</v>
      </c>
      <c r="I8530" s="1" t="str">
        <f t="shared" si="2427"/>
        <v>已发货</v>
      </c>
      <c r="J8530" s="1" t="str">
        <f t="shared" si="2422"/>
        <v>2</v>
      </c>
      <c r="K8530" s="1">
        <v>1</v>
      </c>
      <c r="L8530" s="1" t="s">
        <v>109</v>
      </c>
      <c r="M8530" s="1" t="str">
        <f>"山西省 晋中市 榆次区 乌金山镇"</f>
        <v>山西省 晋中市 榆次区 乌金山镇</v>
      </c>
      <c r="N8530" s="1" t="str">
        <f t="shared" si="2421"/>
        <v>凡华云仓-韵达-抖音</v>
      </c>
      <c r="O8530" s="5">
        <v>320162833693086</v>
      </c>
      <c r="P8530" s="6">
        <v>0.33</v>
      </c>
      <c r="Q8530" s="11">
        <v>2.2999999999999998</v>
      </c>
      <c r="R8530" s="11"/>
      <c r="S8530" s="11"/>
      <c r="T8530" s="11"/>
      <c r="U8530" s="11">
        <f t="shared" si="2423"/>
        <v>2.2999999999999998</v>
      </c>
      <c r="W8530">
        <v>2.5</v>
      </c>
      <c r="X8530" s="1" t="s">
        <v>109</v>
      </c>
    </row>
    <row r="8531" spans="1:24" x14ac:dyDescent="0.25">
      <c r="A8531" s="1" t="str">
        <f t="shared" si="2424"/>
        <v>卡卡杜-凤凰仓</v>
      </c>
      <c r="B8531" s="1" t="str">
        <f>"CK2024100966"</f>
        <v>CK2024100966</v>
      </c>
      <c r="C8531" s="1" t="str">
        <f>"DD2024100910519"</f>
        <v>DD2024100910519</v>
      </c>
      <c r="D8531" s="1" t="str">
        <f>"CK2024100920434"</f>
        <v>CK2024100920434</v>
      </c>
      <c r="E8531" s="1" t="str">
        <f>"6917966455977246586"</f>
        <v>6917966455977246586</v>
      </c>
      <c r="F8531" s="1" t="str">
        <f t="shared" si="2425"/>
        <v>花都四部-凤凰仓</v>
      </c>
      <c r="G8531" s="1" t="str">
        <f t="shared" si="2419"/>
        <v>卡卡杜个人护理店（抖店）</v>
      </c>
      <c r="H8531" s="1" t="str">
        <f t="shared" si="2426"/>
        <v>正常订单</v>
      </c>
      <c r="I8531" s="1" t="str">
        <f t="shared" si="2427"/>
        <v>已发货</v>
      </c>
      <c r="J8531" s="1" t="str">
        <f t="shared" si="2422"/>
        <v>2</v>
      </c>
      <c r="K8531" s="1">
        <v>1</v>
      </c>
      <c r="L8531" s="1" t="s">
        <v>36</v>
      </c>
      <c r="M8531" s="1" t="str">
        <f>"安徽省 宣城市 广德市 "</f>
        <v xml:space="preserve">安徽省 宣城市 广德市 </v>
      </c>
      <c r="N8531" s="1" t="str">
        <f t="shared" si="2421"/>
        <v>凡华云仓-韵达-抖音</v>
      </c>
      <c r="O8531" s="5">
        <v>320162833692966</v>
      </c>
      <c r="P8531" s="6">
        <v>0.33</v>
      </c>
      <c r="Q8531" s="11">
        <v>2.2999999999999998</v>
      </c>
      <c r="R8531" s="11"/>
      <c r="S8531" s="11"/>
      <c r="T8531" s="11"/>
      <c r="U8531" s="11">
        <f t="shared" si="2423"/>
        <v>2.2999999999999998</v>
      </c>
      <c r="W8531">
        <v>2.5</v>
      </c>
      <c r="X8531" s="1" t="s">
        <v>36</v>
      </c>
    </row>
    <row r="8532" spans="1:24" x14ac:dyDescent="0.25">
      <c r="A8532" s="1" t="str">
        <f t="shared" si="2424"/>
        <v>卡卡杜-凤凰仓</v>
      </c>
      <c r="B8532" s="1" t="str">
        <f>"CK2024100964"</f>
        <v>CK2024100964</v>
      </c>
      <c r="C8532" s="1" t="str">
        <f>"DD2024100910516"</f>
        <v>DD2024100910516</v>
      </c>
      <c r="D8532" s="1" t="str">
        <f>"CK2024100920433"</f>
        <v>CK2024100920433</v>
      </c>
      <c r="E8532" s="1" t="str">
        <f>"6917973117452516549"</f>
        <v>6917973117452516549</v>
      </c>
      <c r="F8532" s="1" t="str">
        <f t="shared" si="2425"/>
        <v>花都四部-凤凰仓</v>
      </c>
      <c r="G8532" s="1" t="str">
        <f t="shared" si="2419"/>
        <v>卡卡杜个人护理店（抖店）</v>
      </c>
      <c r="H8532" s="1" t="str">
        <f t="shared" si="2426"/>
        <v>正常订单</v>
      </c>
      <c r="I8532" s="1" t="str">
        <f t="shared" si="2427"/>
        <v>已发货</v>
      </c>
      <c r="J8532" s="1" t="str">
        <f t="shared" si="2422"/>
        <v>2</v>
      </c>
      <c r="K8532" s="1">
        <v>1</v>
      </c>
      <c r="L8532" s="1" t="s">
        <v>27</v>
      </c>
      <c r="M8532" s="1" t="str">
        <f>"贵州省 贵阳市 清镇市 青龙山街道"</f>
        <v>贵州省 贵阳市 清镇市 青龙山街道</v>
      </c>
      <c r="N8532" s="1" t="str">
        <f t="shared" si="2421"/>
        <v>凡华云仓-韵达-抖音</v>
      </c>
      <c r="O8532" s="5">
        <v>320162833692861</v>
      </c>
      <c r="P8532" s="6">
        <v>0.33</v>
      </c>
      <c r="Q8532" s="11">
        <v>2.2999999999999998</v>
      </c>
      <c r="R8532" s="11"/>
      <c r="S8532" s="11"/>
      <c r="T8532" s="11"/>
      <c r="U8532" s="11">
        <f t="shared" si="2423"/>
        <v>2.2999999999999998</v>
      </c>
      <c r="W8532">
        <v>2.5</v>
      </c>
      <c r="X8532" s="1" t="s">
        <v>27</v>
      </c>
    </row>
    <row r="8533" spans="1:24" x14ac:dyDescent="0.25">
      <c r="A8533" s="1" t="str">
        <f t="shared" si="2424"/>
        <v>卡卡杜-凤凰仓</v>
      </c>
      <c r="B8533" s="1" t="str">
        <f>"CK2024100960"</f>
        <v>CK2024100960</v>
      </c>
      <c r="C8533" s="1" t="str">
        <f>"DD2024100910513"</f>
        <v>DD2024100910513</v>
      </c>
      <c r="D8533" s="1" t="str">
        <f>"CK2024100920432"</f>
        <v>CK2024100920432</v>
      </c>
      <c r="E8533" s="1" t="str">
        <f>"6917975739807399337"</f>
        <v>6917975739807399337</v>
      </c>
      <c r="F8533" s="1" t="str">
        <f t="shared" si="2425"/>
        <v>花都四部-凤凰仓</v>
      </c>
      <c r="G8533" s="1" t="str">
        <f t="shared" si="2419"/>
        <v>卡卡杜个人护理店（抖店）</v>
      </c>
      <c r="H8533" s="1" t="str">
        <f t="shared" si="2426"/>
        <v>正常订单</v>
      </c>
      <c r="I8533" s="1" t="str">
        <f t="shared" si="2427"/>
        <v>已发货</v>
      </c>
      <c r="J8533" s="1" t="str">
        <f t="shared" si="2422"/>
        <v>2</v>
      </c>
      <c r="K8533" s="1">
        <v>1</v>
      </c>
      <c r="L8533" s="1" t="s">
        <v>20</v>
      </c>
      <c r="M8533" s="1" t="str">
        <f>"浙江省 宁波市 宁海县 跃龙街道"</f>
        <v>浙江省 宁波市 宁海县 跃龙街道</v>
      </c>
      <c r="N8533" s="1" t="str">
        <f t="shared" si="2421"/>
        <v>凡华云仓-韵达-抖音</v>
      </c>
      <c r="O8533" s="5">
        <v>320162833692758</v>
      </c>
      <c r="P8533" s="6">
        <v>0.33</v>
      </c>
      <c r="Q8533" s="11">
        <v>2.2999999999999998</v>
      </c>
      <c r="R8533" s="11"/>
      <c r="S8533" s="11"/>
      <c r="T8533" s="11"/>
      <c r="U8533" s="11">
        <f t="shared" si="2423"/>
        <v>2.2999999999999998</v>
      </c>
      <c r="W8533">
        <v>2.5</v>
      </c>
      <c r="X8533" s="1" t="s">
        <v>20</v>
      </c>
    </row>
    <row r="8534" spans="1:24" x14ac:dyDescent="0.25">
      <c r="A8534" s="1" t="str">
        <f t="shared" si="2424"/>
        <v>卡卡杜-凤凰仓</v>
      </c>
      <c r="B8534" s="1" t="str">
        <f>"CK2024100915"</f>
        <v>CK2024100915</v>
      </c>
      <c r="C8534" s="1" t="str">
        <f>"DD2024100910467"</f>
        <v>DD2024100910467</v>
      </c>
      <c r="D8534" s="1" t="str">
        <f>"CK2024100920431"</f>
        <v>CK2024100920431</v>
      </c>
      <c r="E8534" s="1" t="str">
        <f>"6917973066903223636"</f>
        <v>6917973066903223636</v>
      </c>
      <c r="F8534" s="1" t="str">
        <f t="shared" si="2425"/>
        <v>花都四部-凤凰仓</v>
      </c>
      <c r="G8534" s="1" t="str">
        <f t="shared" si="2419"/>
        <v>卡卡杜个人护理店（抖店）</v>
      </c>
      <c r="H8534" s="1" t="str">
        <f t="shared" si="2426"/>
        <v>正常订单</v>
      </c>
      <c r="I8534" s="1" t="str">
        <f t="shared" si="2427"/>
        <v>已发货</v>
      </c>
      <c r="J8534" s="1" t="str">
        <f t="shared" si="2422"/>
        <v>2</v>
      </c>
      <c r="K8534" s="1">
        <v>2</v>
      </c>
      <c r="L8534" s="1" t="s">
        <v>41</v>
      </c>
      <c r="M8534" s="1" t="str">
        <f>"湖北省 武汉市 江夏区 佛祖岭街道"</f>
        <v>湖北省 武汉市 江夏区 佛祖岭街道</v>
      </c>
      <c r="N8534" s="1" t="str">
        <f t="shared" si="2421"/>
        <v>凡华云仓-韵达-抖音</v>
      </c>
      <c r="O8534" s="5">
        <v>320162847150681</v>
      </c>
      <c r="P8534" s="6">
        <v>0.28000000000000003</v>
      </c>
      <c r="Q8534" s="11">
        <v>2</v>
      </c>
      <c r="R8534" s="11"/>
      <c r="S8534" s="11"/>
      <c r="T8534" s="11"/>
      <c r="U8534" s="11">
        <f t="shared" si="2423"/>
        <v>2</v>
      </c>
      <c r="W8534">
        <v>2.2000000000000002</v>
      </c>
      <c r="X8534" s="1" t="s">
        <v>41</v>
      </c>
    </row>
    <row r="8535" spans="1:24" x14ac:dyDescent="0.25">
      <c r="A8535" s="1" t="str">
        <f t="shared" si="2424"/>
        <v>卡卡杜-凤凰仓</v>
      </c>
      <c r="B8535" s="1" t="str">
        <f>"CK2024101019128"</f>
        <v>CK2024101019128</v>
      </c>
      <c r="C8535" s="1" t="str">
        <f>"DD2024101037944"</f>
        <v>DD2024101037944</v>
      </c>
      <c r="D8535" s="1" t="str">
        <f>"CK2024101037596"</f>
        <v>CK2024101037596</v>
      </c>
      <c r="E8535" s="1" t="str">
        <f>"6918031325647568052"</f>
        <v>6918031325647568052</v>
      </c>
      <c r="F8535" s="1" t="str">
        <f t="shared" si="2425"/>
        <v>花都四部-凤凰仓</v>
      </c>
      <c r="G8535" s="1" t="str">
        <f t="shared" si="2419"/>
        <v>卡卡杜个人护理店（抖店）</v>
      </c>
      <c r="H8535" s="1" t="str">
        <f t="shared" si="2426"/>
        <v>正常订单</v>
      </c>
      <c r="I8535" s="1" t="str">
        <f t="shared" si="2427"/>
        <v>已发货</v>
      </c>
      <c r="J8535" s="1" t="str">
        <f>"4"</f>
        <v>4</v>
      </c>
      <c r="K8535" s="1">
        <v>1</v>
      </c>
      <c r="L8535" s="1" t="s">
        <v>13</v>
      </c>
      <c r="M8535" s="1" t="str">
        <f>"江苏省 常州市 新北区 三井街道"</f>
        <v>江苏省 常州市 新北区 三井街道</v>
      </c>
      <c r="N8535" s="1" t="str">
        <f t="shared" si="2421"/>
        <v>凡华云仓-韵达-抖音</v>
      </c>
      <c r="O8535" s="5">
        <v>320165106476661</v>
      </c>
      <c r="P8535" s="6">
        <v>0.57999999999999996</v>
      </c>
      <c r="Q8535" s="11">
        <f>CEILING(P8535-0.5,0.1)*10*0.15+2.3</f>
        <v>2.4499999999999997</v>
      </c>
      <c r="R8535" s="11"/>
      <c r="S8535" s="11"/>
      <c r="T8535" s="11"/>
      <c r="U8535" s="11">
        <f t="shared" si="2423"/>
        <v>2.4499999999999997</v>
      </c>
      <c r="V8535" t="s">
        <v>15</v>
      </c>
      <c r="W8535">
        <v>2.4500000000000002</v>
      </c>
      <c r="X8535" s="1" t="s">
        <v>13</v>
      </c>
    </row>
    <row r="8536" spans="1:24" x14ac:dyDescent="0.25">
      <c r="A8536" s="1" t="str">
        <f t="shared" si="2424"/>
        <v>卡卡杜-凤凰仓</v>
      </c>
      <c r="B8536" s="1" t="str">
        <f>"CK2024100986"</f>
        <v>CK2024100986</v>
      </c>
      <c r="C8536" s="1" t="str">
        <f>"DD2024100910538"</f>
        <v>DD2024100910538</v>
      </c>
      <c r="D8536" s="1" t="str">
        <f>"CK2024100920429"</f>
        <v>CK2024100920429</v>
      </c>
      <c r="E8536" s="1" t="str">
        <f>"6917975348190870891"</f>
        <v>6917975348190870891</v>
      </c>
      <c r="F8536" s="1" t="str">
        <f t="shared" si="2425"/>
        <v>花都四部-凤凰仓</v>
      </c>
      <c r="G8536" s="1" t="str">
        <f t="shared" si="2419"/>
        <v>卡卡杜个人护理店（抖店）</v>
      </c>
      <c r="H8536" s="1" t="str">
        <f t="shared" si="2426"/>
        <v>正常订单</v>
      </c>
      <c r="I8536" s="1" t="str">
        <f t="shared" si="2427"/>
        <v>已发货</v>
      </c>
      <c r="J8536" s="1" t="str">
        <f t="shared" ref="J8536:J8539" si="2428">"2"</f>
        <v>2</v>
      </c>
      <c r="K8536" s="1">
        <v>1</v>
      </c>
      <c r="L8536" s="1" t="s">
        <v>13</v>
      </c>
      <c r="M8536" s="1" t="str">
        <f>"江苏省 扬州市 江都区 邵伯镇"</f>
        <v>江苏省 扬州市 江都区 邵伯镇</v>
      </c>
      <c r="N8536" s="1" t="str">
        <f t="shared" si="2421"/>
        <v>凡华云仓-韵达-抖音</v>
      </c>
      <c r="O8536" s="5">
        <v>320162847150485</v>
      </c>
      <c r="P8536" s="6">
        <v>0.33</v>
      </c>
      <c r="Q8536" s="11">
        <v>2.2999999999999998</v>
      </c>
      <c r="R8536" s="11"/>
      <c r="S8536" s="11"/>
      <c r="T8536" s="11"/>
      <c r="U8536" s="11">
        <f t="shared" si="2423"/>
        <v>2.2999999999999998</v>
      </c>
      <c r="W8536">
        <v>2.5</v>
      </c>
      <c r="X8536" s="1" t="s">
        <v>13</v>
      </c>
    </row>
    <row r="8537" spans="1:24" x14ac:dyDescent="0.25">
      <c r="A8537" s="1" t="str">
        <f t="shared" si="2424"/>
        <v>卡卡杜-凤凰仓</v>
      </c>
      <c r="B8537" s="1" t="str">
        <f>"CK2024100991"</f>
        <v>CK2024100991</v>
      </c>
      <c r="C8537" s="1" t="str">
        <f>"DD2024100910543"</f>
        <v>DD2024100910543</v>
      </c>
      <c r="D8537" s="1" t="str">
        <f>"CK2024100920428"</f>
        <v>CK2024100920428</v>
      </c>
      <c r="E8537" s="1" t="str">
        <f>"6917972750797667589"</f>
        <v>6917972750797667589</v>
      </c>
      <c r="F8537" s="1" t="str">
        <f t="shared" si="2425"/>
        <v>花都四部-凤凰仓</v>
      </c>
      <c r="G8537" s="1" t="str">
        <f t="shared" si="2419"/>
        <v>卡卡杜个人护理店（抖店）</v>
      </c>
      <c r="H8537" s="1" t="str">
        <f t="shared" si="2426"/>
        <v>正常订单</v>
      </c>
      <c r="I8537" s="1" t="str">
        <f t="shared" si="2427"/>
        <v>已发货</v>
      </c>
      <c r="J8537" s="1" t="str">
        <f t="shared" si="2428"/>
        <v>2</v>
      </c>
      <c r="K8537" s="1">
        <v>1</v>
      </c>
      <c r="L8537" s="1" t="s">
        <v>47</v>
      </c>
      <c r="M8537" s="1" t="str">
        <f>"重庆 重庆市 荣昌区 昌州街道"</f>
        <v>重庆 重庆市 荣昌区 昌州街道</v>
      </c>
      <c r="N8537" s="1" t="str">
        <f t="shared" si="2421"/>
        <v>凡华云仓-韵达-抖音</v>
      </c>
      <c r="O8537" s="5">
        <v>320162847150390</v>
      </c>
      <c r="P8537" s="6">
        <v>0.33</v>
      </c>
      <c r="Q8537" s="11">
        <v>2.2999999999999998</v>
      </c>
      <c r="R8537" s="11"/>
      <c r="S8537" s="11"/>
      <c r="T8537" s="11"/>
      <c r="U8537" s="11">
        <f t="shared" si="2423"/>
        <v>2.2999999999999998</v>
      </c>
      <c r="W8537">
        <v>2.5</v>
      </c>
      <c r="X8537" s="1" t="s">
        <v>47</v>
      </c>
    </row>
    <row r="8538" spans="1:24" x14ac:dyDescent="0.25">
      <c r="A8538" s="1" t="str">
        <f t="shared" si="2424"/>
        <v>卡卡杜-凤凰仓</v>
      </c>
      <c r="B8538" s="1" t="str">
        <f>"CK2024100990"</f>
        <v>CK2024100990</v>
      </c>
      <c r="C8538" s="1" t="str">
        <f>"DD2024100910542"</f>
        <v>DD2024100910542</v>
      </c>
      <c r="D8538" s="1" t="str">
        <f>"CK2024100920427"</f>
        <v>CK2024100920427</v>
      </c>
      <c r="E8538" s="1" t="str">
        <f>"6917965819367554961"</f>
        <v>6917965819367554961</v>
      </c>
      <c r="F8538" s="1" t="str">
        <f t="shared" si="2425"/>
        <v>花都四部-凤凰仓</v>
      </c>
      <c r="G8538" s="1" t="str">
        <f t="shared" si="2419"/>
        <v>卡卡杜个人护理店（抖店）</v>
      </c>
      <c r="H8538" s="1" t="str">
        <f t="shared" si="2426"/>
        <v>正常订单</v>
      </c>
      <c r="I8538" s="1" t="str">
        <f t="shared" si="2427"/>
        <v>已发货</v>
      </c>
      <c r="J8538" s="1" t="str">
        <f t="shared" si="2428"/>
        <v>2</v>
      </c>
      <c r="K8538" s="1">
        <v>1</v>
      </c>
      <c r="L8538" s="1" t="s">
        <v>13</v>
      </c>
      <c r="M8538" s="1" t="str">
        <f>"江苏省 无锡市 宜兴市 "</f>
        <v xml:space="preserve">江苏省 无锡市 宜兴市 </v>
      </c>
      <c r="N8538" s="1" t="str">
        <f t="shared" si="2421"/>
        <v>凡华云仓-韵达-抖音</v>
      </c>
      <c r="O8538" s="5">
        <v>320162847150297</v>
      </c>
      <c r="P8538" s="6">
        <v>0.33</v>
      </c>
      <c r="Q8538" s="11">
        <v>2.2999999999999998</v>
      </c>
      <c r="R8538" s="11"/>
      <c r="S8538" s="11"/>
      <c r="T8538" s="11"/>
      <c r="U8538" s="11">
        <f t="shared" si="2423"/>
        <v>2.2999999999999998</v>
      </c>
      <c r="W8538">
        <v>2.5</v>
      </c>
      <c r="X8538" s="1" t="s">
        <v>13</v>
      </c>
    </row>
    <row r="8539" spans="1:24" x14ac:dyDescent="0.25">
      <c r="A8539" s="1" t="str">
        <f t="shared" si="2424"/>
        <v>卡卡杜-凤凰仓</v>
      </c>
      <c r="B8539" s="1" t="str">
        <f>"CK2024100989"</f>
        <v>CK2024100989</v>
      </c>
      <c r="C8539" s="1" t="str">
        <f>"DD2024100910541"</f>
        <v>DD2024100910541</v>
      </c>
      <c r="D8539" s="1" t="str">
        <f>"CK2024100920426"</f>
        <v>CK2024100920426</v>
      </c>
      <c r="E8539" s="1" t="str">
        <f>"6917972992527793335"</f>
        <v>6917972992527793335</v>
      </c>
      <c r="F8539" s="1" t="str">
        <f t="shared" si="2425"/>
        <v>花都四部-凤凰仓</v>
      </c>
      <c r="G8539" s="1" t="str">
        <f t="shared" si="2419"/>
        <v>卡卡杜个人护理店（抖店）</v>
      </c>
      <c r="H8539" s="1" t="str">
        <f t="shared" si="2426"/>
        <v>正常订单</v>
      </c>
      <c r="I8539" s="1" t="str">
        <f t="shared" si="2427"/>
        <v>已发货</v>
      </c>
      <c r="J8539" s="1" t="str">
        <f t="shared" si="2428"/>
        <v>2</v>
      </c>
      <c r="K8539" s="1">
        <v>1</v>
      </c>
      <c r="L8539" s="1" t="s">
        <v>24</v>
      </c>
      <c r="M8539" s="1" t="str">
        <f>"福建省 泉州市 石狮市 "</f>
        <v xml:space="preserve">福建省 泉州市 石狮市 </v>
      </c>
      <c r="N8539" s="1" t="str">
        <f t="shared" si="2421"/>
        <v>凡华云仓-韵达-抖音</v>
      </c>
      <c r="O8539" s="5">
        <v>320162847150106</v>
      </c>
      <c r="P8539" s="6">
        <v>0.33</v>
      </c>
      <c r="Q8539" s="11">
        <v>2.2999999999999998</v>
      </c>
      <c r="R8539" s="11"/>
      <c r="S8539" s="11"/>
      <c r="T8539" s="11"/>
      <c r="U8539" s="11">
        <f t="shared" si="2423"/>
        <v>2.2999999999999998</v>
      </c>
      <c r="W8539">
        <v>2.5</v>
      </c>
      <c r="X8539" s="1" t="s">
        <v>24</v>
      </c>
    </row>
    <row r="8540" spans="1:24" x14ac:dyDescent="0.25">
      <c r="A8540" s="1" t="str">
        <f t="shared" si="2424"/>
        <v>卡卡杜-凤凰仓</v>
      </c>
      <c r="B8540" s="1" t="str">
        <f>"CK20241010198"</f>
        <v>CK20241010198</v>
      </c>
      <c r="C8540" s="1" t="str">
        <f>"DD2024101014203"</f>
        <v>DD2024101014203</v>
      </c>
      <c r="D8540" s="1" t="str">
        <f>"CK2024101012706"</f>
        <v>CK2024101012706</v>
      </c>
      <c r="E8540" s="1" t="str">
        <f>"6918030505029959628"</f>
        <v>6918030505029959628</v>
      </c>
      <c r="F8540" s="1" t="str">
        <f t="shared" si="2425"/>
        <v>花都四部-凤凰仓</v>
      </c>
      <c r="G8540" s="1" t="str">
        <f t="shared" si="2419"/>
        <v>卡卡杜个人护理店（抖店）</v>
      </c>
      <c r="H8540" s="1" t="str">
        <f t="shared" si="2426"/>
        <v>正常订单</v>
      </c>
      <c r="I8540" s="1" t="str">
        <f t="shared" si="2427"/>
        <v>已发货</v>
      </c>
      <c r="J8540" s="1" t="str">
        <f>"4"</f>
        <v>4</v>
      </c>
      <c r="K8540" s="1">
        <v>1</v>
      </c>
      <c r="L8540" s="1" t="s">
        <v>80</v>
      </c>
      <c r="M8540" s="1" t="str">
        <f>"河南省 信阳市 潢川县 卜塔集镇"</f>
        <v>河南省 信阳市 潢川县 卜塔集镇</v>
      </c>
      <c r="N8540" s="1" t="str">
        <f t="shared" si="2421"/>
        <v>凡华云仓-韵达-抖音</v>
      </c>
      <c r="O8540" s="5">
        <v>320164389557427</v>
      </c>
      <c r="P8540" s="6">
        <v>0.57999999999999996</v>
      </c>
      <c r="Q8540" s="11">
        <f>CEILING(P8540-0.5,0.1)*10*0.15+2.3</f>
        <v>2.4499999999999997</v>
      </c>
      <c r="R8540" s="11"/>
      <c r="S8540" s="11"/>
      <c r="T8540" s="11"/>
      <c r="U8540" s="11">
        <f t="shared" si="2423"/>
        <v>2.4499999999999997</v>
      </c>
      <c r="V8540" t="s">
        <v>15</v>
      </c>
      <c r="W8540">
        <v>2.4500000000000002</v>
      </c>
      <c r="X8540" s="1" t="s">
        <v>80</v>
      </c>
    </row>
    <row r="8541" spans="1:24" x14ac:dyDescent="0.25">
      <c r="A8541" s="1" t="str">
        <f t="shared" si="2424"/>
        <v>卡卡杜-凤凰仓</v>
      </c>
      <c r="B8541" s="1" t="str">
        <f>"CK2024100912"</f>
        <v>CK2024100912</v>
      </c>
      <c r="C8541" s="1" t="str">
        <f>"DD2024100910463"</f>
        <v>DD2024100910463</v>
      </c>
      <c r="D8541" s="1" t="str">
        <f>"CK2024100920424"</f>
        <v>CK2024100920424</v>
      </c>
      <c r="E8541" s="1" t="str">
        <f>"6917970217759702603"</f>
        <v>6917970217759702603</v>
      </c>
      <c r="F8541" s="1" t="str">
        <f t="shared" si="2425"/>
        <v>花都四部-凤凰仓</v>
      </c>
      <c r="G8541" s="1" t="str">
        <f t="shared" si="2419"/>
        <v>卡卡杜个人护理店（抖店）</v>
      </c>
      <c r="H8541" s="1" t="str">
        <f t="shared" si="2426"/>
        <v>正常订单</v>
      </c>
      <c r="I8541" s="1" t="str">
        <f t="shared" si="2427"/>
        <v>已发货</v>
      </c>
      <c r="J8541" s="1" t="str">
        <f t="shared" ref="J8541:J8560" si="2429">"2"</f>
        <v>2</v>
      </c>
      <c r="K8541" s="1">
        <v>2</v>
      </c>
      <c r="L8541" s="1" t="s">
        <v>20</v>
      </c>
      <c r="M8541" s="1" t="str">
        <f>"浙江省 杭州市 上城区 采荷街道"</f>
        <v>浙江省 杭州市 上城区 采荷街道</v>
      </c>
      <c r="N8541" s="1" t="str">
        <f t="shared" si="2421"/>
        <v>凡华云仓-韵达-抖音</v>
      </c>
      <c r="O8541" s="5">
        <v>320162847149966</v>
      </c>
      <c r="P8541" s="6">
        <v>0.28000000000000003</v>
      </c>
      <c r="Q8541" s="11">
        <v>2</v>
      </c>
      <c r="R8541" s="11"/>
      <c r="S8541" s="11"/>
      <c r="T8541" s="11"/>
      <c r="U8541" s="11">
        <f t="shared" si="2423"/>
        <v>2</v>
      </c>
      <c r="W8541">
        <v>2.2000000000000002</v>
      </c>
      <c r="X8541" s="1" t="s">
        <v>20</v>
      </c>
    </row>
    <row r="8542" spans="1:24" x14ac:dyDescent="0.25">
      <c r="A8542" s="1" t="str">
        <f t="shared" si="2424"/>
        <v>卡卡杜-凤凰仓</v>
      </c>
      <c r="B8542" s="1" t="str">
        <f>"CK2024100983"</f>
        <v>CK2024100983</v>
      </c>
      <c r="C8542" s="1" t="str">
        <f>"DD2024100910535"</f>
        <v>DD2024100910535</v>
      </c>
      <c r="D8542" s="1" t="str">
        <f>"CK2024100920423"</f>
        <v>CK2024100920423</v>
      </c>
      <c r="E8542" s="1" t="str">
        <f>"6917968009889152426"</f>
        <v>6917968009889152426</v>
      </c>
      <c r="F8542" s="1" t="str">
        <f t="shared" si="2425"/>
        <v>花都四部-凤凰仓</v>
      </c>
      <c r="G8542" s="1" t="str">
        <f t="shared" si="2419"/>
        <v>卡卡杜个人护理店（抖店）</v>
      </c>
      <c r="H8542" s="1" t="str">
        <f t="shared" si="2426"/>
        <v>正常订单</v>
      </c>
      <c r="I8542" s="1" t="str">
        <f t="shared" si="2427"/>
        <v>已发货</v>
      </c>
      <c r="J8542" s="1" t="str">
        <f t="shared" si="2429"/>
        <v>2</v>
      </c>
      <c r="K8542" s="1">
        <v>1</v>
      </c>
      <c r="L8542" s="1" t="s">
        <v>20</v>
      </c>
      <c r="M8542" s="1" t="str">
        <f>"浙江省 金华市 义乌市 稠江街道"</f>
        <v>浙江省 金华市 义乌市 稠江街道</v>
      </c>
      <c r="N8542" s="1" t="str">
        <f t="shared" si="2421"/>
        <v>凡华云仓-韵达-抖音</v>
      </c>
      <c r="O8542" s="5">
        <v>320162847149861</v>
      </c>
      <c r="P8542" s="6">
        <v>0.33</v>
      </c>
      <c r="Q8542" s="11">
        <v>2.2999999999999998</v>
      </c>
      <c r="R8542" s="11"/>
      <c r="S8542" s="11"/>
      <c r="T8542" s="11"/>
      <c r="U8542" s="11">
        <f t="shared" si="2423"/>
        <v>2.2999999999999998</v>
      </c>
      <c r="W8542">
        <v>2.5</v>
      </c>
      <c r="X8542" s="1" t="s">
        <v>20</v>
      </c>
    </row>
    <row r="8543" spans="1:24" x14ac:dyDescent="0.25">
      <c r="A8543" s="1" t="str">
        <f t="shared" si="2424"/>
        <v>卡卡杜-凤凰仓</v>
      </c>
      <c r="B8543" s="1" t="str">
        <f>"CK2024100985"</f>
        <v>CK2024100985</v>
      </c>
      <c r="C8543" s="1" t="str">
        <f>"DD2024100910539"</f>
        <v>DD2024100910539</v>
      </c>
      <c r="D8543" s="1" t="str">
        <f>"CK2024100920422"</f>
        <v>CK2024100920422</v>
      </c>
      <c r="E8543" s="1" t="str">
        <f>"6917975037595516901"</f>
        <v>6917975037595516901</v>
      </c>
      <c r="F8543" s="1" t="str">
        <f t="shared" si="2425"/>
        <v>花都四部-凤凰仓</v>
      </c>
      <c r="G8543" s="1" t="str">
        <f t="shared" si="2419"/>
        <v>卡卡杜个人护理店（抖店）</v>
      </c>
      <c r="H8543" s="1" t="str">
        <f t="shared" si="2426"/>
        <v>正常订单</v>
      </c>
      <c r="I8543" s="1" t="str">
        <f t="shared" si="2427"/>
        <v>已发货</v>
      </c>
      <c r="J8543" s="1" t="str">
        <f t="shared" si="2429"/>
        <v>2</v>
      </c>
      <c r="K8543" s="1">
        <v>1</v>
      </c>
      <c r="L8543" s="1" t="s">
        <v>94</v>
      </c>
      <c r="M8543" s="1" t="str">
        <f>"湖南省 岳阳市 岳阳楼区 "</f>
        <v xml:space="preserve">湖南省 岳阳市 岳阳楼区 </v>
      </c>
      <c r="N8543" s="1" t="str">
        <f t="shared" si="2421"/>
        <v>凡华云仓-韵达-抖音</v>
      </c>
      <c r="O8543" s="5">
        <v>320162847149758</v>
      </c>
      <c r="P8543" s="6">
        <v>0.33</v>
      </c>
      <c r="Q8543" s="11">
        <v>2.2999999999999998</v>
      </c>
      <c r="R8543" s="11"/>
      <c r="S8543" s="11"/>
      <c r="T8543" s="11"/>
      <c r="U8543" s="11">
        <f t="shared" si="2423"/>
        <v>2.2999999999999998</v>
      </c>
      <c r="W8543">
        <v>2.5</v>
      </c>
      <c r="X8543" s="1" t="s">
        <v>94</v>
      </c>
    </row>
    <row r="8544" spans="1:24" x14ac:dyDescent="0.25">
      <c r="A8544" s="1" t="str">
        <f t="shared" si="2424"/>
        <v>卡卡杜-凤凰仓</v>
      </c>
      <c r="B8544" s="1" t="str">
        <f>"CK2024100954"</f>
        <v>CK2024100954</v>
      </c>
      <c r="C8544" s="1" t="str">
        <f>"DD2024100910507"</f>
        <v>DD2024100910507</v>
      </c>
      <c r="D8544" s="1" t="str">
        <f>"CK2024100920421"</f>
        <v>CK2024100920421</v>
      </c>
      <c r="E8544" s="1" t="str">
        <f>"6917965293688880614"</f>
        <v>6917965293688880614</v>
      </c>
      <c r="F8544" s="1" t="str">
        <f t="shared" si="2425"/>
        <v>花都四部-凤凰仓</v>
      </c>
      <c r="G8544" s="1" t="str">
        <f t="shared" si="2419"/>
        <v>卡卡杜个人护理店（抖店）</v>
      </c>
      <c r="H8544" s="1" t="str">
        <f t="shared" si="2426"/>
        <v>正常订单</v>
      </c>
      <c r="I8544" s="1" t="str">
        <f t="shared" si="2427"/>
        <v>已发货</v>
      </c>
      <c r="J8544" s="1" t="str">
        <f t="shared" si="2429"/>
        <v>2</v>
      </c>
      <c r="K8544" s="1">
        <v>1</v>
      </c>
      <c r="L8544" s="1" t="s">
        <v>20</v>
      </c>
      <c r="M8544" s="1" t="str">
        <f>"浙江省 杭州市 西湖区 双浦镇"</f>
        <v>浙江省 杭州市 西湖区 双浦镇</v>
      </c>
      <c r="N8544" s="1" t="str">
        <f t="shared" si="2421"/>
        <v>凡华云仓-韵达-抖音</v>
      </c>
      <c r="O8544" s="5">
        <v>320162843139571</v>
      </c>
      <c r="P8544" s="6">
        <v>0.33</v>
      </c>
      <c r="Q8544" s="11">
        <v>2.2999999999999998</v>
      </c>
      <c r="R8544" s="11"/>
      <c r="S8544" s="11"/>
      <c r="T8544" s="11"/>
      <c r="U8544" s="11">
        <f t="shared" si="2423"/>
        <v>2.2999999999999998</v>
      </c>
      <c r="W8544">
        <v>2.5</v>
      </c>
      <c r="X8544" s="1" t="s">
        <v>20</v>
      </c>
    </row>
    <row r="8545" spans="1:24" x14ac:dyDescent="0.25">
      <c r="A8545" s="1" t="str">
        <f t="shared" si="2424"/>
        <v>卡卡杜-凤凰仓</v>
      </c>
      <c r="B8545" s="1" t="str">
        <f>"CK2024100917"</f>
        <v>CK2024100917</v>
      </c>
      <c r="C8545" s="1" t="str">
        <f>"DD2024100910468"</f>
        <v>DD2024100910468</v>
      </c>
      <c r="D8545" s="1" t="str">
        <f>"CK2024100920420"</f>
        <v>CK2024100920420</v>
      </c>
      <c r="E8545" s="1" t="str">
        <f>"6917960168972123721"</f>
        <v>6917960168972123721</v>
      </c>
      <c r="F8545" s="1" t="str">
        <f t="shared" si="2425"/>
        <v>花都四部-凤凰仓</v>
      </c>
      <c r="G8545" s="1" t="str">
        <f t="shared" si="2419"/>
        <v>卡卡杜个人护理店（抖店）</v>
      </c>
      <c r="H8545" s="1" t="str">
        <f t="shared" si="2426"/>
        <v>正常订单</v>
      </c>
      <c r="I8545" s="1" t="str">
        <f t="shared" si="2427"/>
        <v>已发货</v>
      </c>
      <c r="J8545" s="1" t="str">
        <f t="shared" si="2429"/>
        <v>2</v>
      </c>
      <c r="K8545" s="1">
        <v>2</v>
      </c>
      <c r="L8545" s="1" t="s">
        <v>96</v>
      </c>
      <c r="M8545" s="1" t="str">
        <f>"广西壮族自治区 来宾市 合山市 岭南镇"</f>
        <v>广西壮族自治区 来宾市 合山市 岭南镇</v>
      </c>
      <c r="N8545" s="1" t="str">
        <f t="shared" si="2421"/>
        <v>凡华云仓-韵达-抖音</v>
      </c>
      <c r="O8545" s="5">
        <v>320162843139474</v>
      </c>
      <c r="P8545" s="6">
        <v>0.28000000000000003</v>
      </c>
      <c r="Q8545" s="11">
        <v>2</v>
      </c>
      <c r="R8545" s="11"/>
      <c r="S8545" s="11"/>
      <c r="T8545" s="11"/>
      <c r="U8545" s="11">
        <f t="shared" si="2423"/>
        <v>2</v>
      </c>
      <c r="W8545">
        <v>2.2000000000000002</v>
      </c>
      <c r="X8545" s="1" t="s">
        <v>96</v>
      </c>
    </row>
    <row r="8546" spans="1:24" x14ac:dyDescent="0.25">
      <c r="A8546" s="1" t="str">
        <f t="shared" si="2424"/>
        <v>卡卡杜-凤凰仓</v>
      </c>
      <c r="B8546" s="1" t="str">
        <f>"CK2024100970"</f>
        <v>CK2024100970</v>
      </c>
      <c r="C8546" s="1" t="str">
        <f>"DD2024100910520"</f>
        <v>DD2024100910520</v>
      </c>
      <c r="D8546" s="1" t="str">
        <f>"CK2024100920419"</f>
        <v>CK2024100920419</v>
      </c>
      <c r="E8546" s="1" t="str">
        <f>"6917962632480849640"</f>
        <v>6917962632480849640</v>
      </c>
      <c r="F8546" s="1" t="str">
        <f t="shared" si="2425"/>
        <v>花都四部-凤凰仓</v>
      </c>
      <c r="G8546" s="1" t="str">
        <f t="shared" si="2419"/>
        <v>卡卡杜个人护理店（抖店）</v>
      </c>
      <c r="H8546" s="1" t="str">
        <f t="shared" si="2426"/>
        <v>正常订单</v>
      </c>
      <c r="I8546" s="1" t="str">
        <f t="shared" si="2427"/>
        <v>已发货</v>
      </c>
      <c r="J8546" s="1" t="str">
        <f t="shared" si="2429"/>
        <v>2</v>
      </c>
      <c r="K8546" s="1">
        <v>1</v>
      </c>
      <c r="L8546" s="1" t="s">
        <v>22</v>
      </c>
      <c r="M8546" s="1" t="str">
        <f>"江西省 萍乡市 安源区 "</f>
        <v xml:space="preserve">江西省 萍乡市 安源区 </v>
      </c>
      <c r="N8546" s="1" t="str">
        <f t="shared" si="2421"/>
        <v>凡华云仓-韵达-抖音</v>
      </c>
      <c r="O8546" s="5">
        <v>320162843139379</v>
      </c>
      <c r="P8546" s="6">
        <v>0.33</v>
      </c>
      <c r="Q8546" s="11">
        <v>2.2999999999999998</v>
      </c>
      <c r="R8546" s="11"/>
      <c r="S8546" s="11"/>
      <c r="T8546" s="11"/>
      <c r="U8546" s="11">
        <f t="shared" si="2423"/>
        <v>2.2999999999999998</v>
      </c>
      <c r="W8546">
        <v>2.5</v>
      </c>
      <c r="X8546" s="1" t="s">
        <v>22</v>
      </c>
    </row>
    <row r="8547" spans="1:24" x14ac:dyDescent="0.25">
      <c r="A8547" s="1" t="str">
        <f t="shared" si="2424"/>
        <v>卡卡杜-凤凰仓</v>
      </c>
      <c r="B8547" s="1" t="str">
        <f>"CK2024100959"</f>
        <v>CK2024100959</v>
      </c>
      <c r="C8547" s="1" t="str">
        <f>"DD2024100910511"</f>
        <v>DD2024100910511</v>
      </c>
      <c r="D8547" s="1" t="str">
        <f>"CK2024100920418"</f>
        <v>CK2024100920418</v>
      </c>
      <c r="E8547" s="1" t="str">
        <f>"6917956052815871818"</f>
        <v>6917956052815871818</v>
      </c>
      <c r="F8547" s="1" t="str">
        <f t="shared" si="2425"/>
        <v>花都四部-凤凰仓</v>
      </c>
      <c r="G8547" s="1" t="str">
        <f t="shared" si="2419"/>
        <v>卡卡杜个人护理店（抖店）</v>
      </c>
      <c r="H8547" s="1" t="str">
        <f t="shared" si="2426"/>
        <v>正常订单</v>
      </c>
      <c r="I8547" s="1" t="str">
        <f t="shared" si="2427"/>
        <v>已发货</v>
      </c>
      <c r="J8547" s="1" t="str">
        <f t="shared" si="2429"/>
        <v>2</v>
      </c>
      <c r="K8547" s="1">
        <v>1</v>
      </c>
      <c r="L8547" s="1" t="s">
        <v>94</v>
      </c>
      <c r="M8547" s="1" t="str">
        <f>"湖南省 常德市 汉寿县 罐头嘴镇"</f>
        <v>湖南省 常德市 汉寿县 罐头嘴镇</v>
      </c>
      <c r="N8547" s="1" t="str">
        <f t="shared" si="2421"/>
        <v>凡华云仓-韵达-抖音</v>
      </c>
      <c r="O8547" s="5">
        <v>320162843139286</v>
      </c>
      <c r="P8547" s="6">
        <v>0.33</v>
      </c>
      <c r="Q8547" s="11">
        <v>2.2999999999999998</v>
      </c>
      <c r="R8547" s="11"/>
      <c r="S8547" s="11"/>
      <c r="T8547" s="11"/>
      <c r="U8547" s="11">
        <f t="shared" si="2423"/>
        <v>2.2999999999999998</v>
      </c>
      <c r="W8547">
        <v>2.5</v>
      </c>
      <c r="X8547" s="1" t="s">
        <v>94</v>
      </c>
    </row>
    <row r="8548" spans="1:24" x14ac:dyDescent="0.25">
      <c r="A8548" s="1" t="str">
        <f t="shared" si="2424"/>
        <v>卡卡杜-凤凰仓</v>
      </c>
      <c r="B8548" s="1" t="str">
        <f>"CK2024100969"</f>
        <v>CK2024100969</v>
      </c>
      <c r="C8548" s="1" t="str">
        <f>"DD2024100910522"</f>
        <v>DD2024100910522</v>
      </c>
      <c r="D8548" s="1" t="str">
        <f>"CK2024100920417"</f>
        <v>CK2024100920417</v>
      </c>
      <c r="E8548" s="1" t="str">
        <f>"6917963000244698987"</f>
        <v>6917963000244698987</v>
      </c>
      <c r="F8548" s="1" t="str">
        <f t="shared" si="2425"/>
        <v>花都四部-凤凰仓</v>
      </c>
      <c r="G8548" s="1" t="str">
        <f t="shared" si="2419"/>
        <v>卡卡杜个人护理店（抖店）</v>
      </c>
      <c r="H8548" s="1" t="str">
        <f t="shared" si="2426"/>
        <v>正常订单</v>
      </c>
      <c r="I8548" s="1" t="str">
        <f t="shared" si="2427"/>
        <v>已发货</v>
      </c>
      <c r="J8548" s="1" t="str">
        <f t="shared" si="2429"/>
        <v>2</v>
      </c>
      <c r="K8548" s="1">
        <v>1</v>
      </c>
      <c r="L8548" s="1" t="s">
        <v>13</v>
      </c>
      <c r="M8548" s="1" t="str">
        <f>"江苏省 苏州市 张家港市 金港街道"</f>
        <v>江苏省 苏州市 张家港市 金港街道</v>
      </c>
      <c r="N8548" s="1" t="str">
        <f t="shared" si="2421"/>
        <v>凡华云仓-韵达-抖音</v>
      </c>
      <c r="O8548" s="5">
        <v>320162843139195</v>
      </c>
      <c r="P8548" s="6">
        <v>0.33</v>
      </c>
      <c r="Q8548" s="11">
        <v>2.2999999999999998</v>
      </c>
      <c r="R8548" s="11"/>
      <c r="S8548" s="11"/>
      <c r="T8548" s="11"/>
      <c r="U8548" s="11">
        <f t="shared" si="2423"/>
        <v>2.2999999999999998</v>
      </c>
      <c r="W8548">
        <v>2.5</v>
      </c>
      <c r="X8548" s="1" t="s">
        <v>13</v>
      </c>
    </row>
    <row r="8549" spans="1:24" x14ac:dyDescent="0.25">
      <c r="A8549" s="1" t="str">
        <f t="shared" si="2424"/>
        <v>卡卡杜-凤凰仓</v>
      </c>
      <c r="B8549" s="1" t="str">
        <f>"CK2024100956"</f>
        <v>CK2024100956</v>
      </c>
      <c r="C8549" s="1" t="str">
        <f>"DD2024100910506"</f>
        <v>DD2024100910506</v>
      </c>
      <c r="D8549" s="1" t="str">
        <f>"CK2024100920416"</f>
        <v>CK2024100920416</v>
      </c>
      <c r="E8549" s="1" t="str">
        <f>"6917962814306221493"</f>
        <v>6917962814306221493</v>
      </c>
      <c r="F8549" s="1" t="str">
        <f t="shared" si="2425"/>
        <v>花都四部-凤凰仓</v>
      </c>
      <c r="G8549" s="1" t="str">
        <f t="shared" si="2419"/>
        <v>卡卡杜个人护理店（抖店）</v>
      </c>
      <c r="H8549" s="1" t="str">
        <f t="shared" si="2426"/>
        <v>正常订单</v>
      </c>
      <c r="I8549" s="1" t="str">
        <f t="shared" si="2427"/>
        <v>已发货</v>
      </c>
      <c r="J8549" s="1" t="str">
        <f t="shared" si="2429"/>
        <v>2</v>
      </c>
      <c r="K8549" s="1">
        <v>1</v>
      </c>
      <c r="L8549" s="1" t="s">
        <v>22</v>
      </c>
      <c r="M8549" s="1" t="str">
        <f>"江西省 上饶市 万年县 青云镇"</f>
        <v>江西省 上饶市 万年县 青云镇</v>
      </c>
      <c r="N8549" s="1" t="str">
        <f t="shared" si="2421"/>
        <v>凡华云仓-韵达-抖音</v>
      </c>
      <c r="O8549" s="5">
        <v>320162843139006</v>
      </c>
      <c r="P8549" s="6">
        <v>0.33</v>
      </c>
      <c r="Q8549" s="11">
        <v>2.2999999999999998</v>
      </c>
      <c r="R8549" s="11"/>
      <c r="S8549" s="11"/>
      <c r="T8549" s="11"/>
      <c r="U8549" s="11">
        <f t="shared" si="2423"/>
        <v>2.2999999999999998</v>
      </c>
      <c r="W8549">
        <v>2.5</v>
      </c>
      <c r="X8549" s="1" t="s">
        <v>22</v>
      </c>
    </row>
    <row r="8550" spans="1:24" x14ac:dyDescent="0.25">
      <c r="A8550" s="1" t="str">
        <f t="shared" si="2424"/>
        <v>卡卡杜-凤凰仓</v>
      </c>
      <c r="B8550" s="1" t="str">
        <f>"CK2024100939"</f>
        <v>CK2024100939</v>
      </c>
      <c r="C8550" s="1" t="str">
        <f>"DD2024100910490"</f>
        <v>DD2024100910490</v>
      </c>
      <c r="D8550" s="1" t="str">
        <f>"CK2024100920415"</f>
        <v>CK2024100920415</v>
      </c>
      <c r="E8550" s="1" t="str">
        <f>"6917958242702425563"</f>
        <v>6917958242702425563</v>
      </c>
      <c r="F8550" s="1" t="str">
        <f t="shared" si="2425"/>
        <v>花都四部-凤凰仓</v>
      </c>
      <c r="G8550" s="1" t="str">
        <f t="shared" si="2419"/>
        <v>卡卡杜个人护理店（抖店）</v>
      </c>
      <c r="H8550" s="1" t="str">
        <f t="shared" si="2426"/>
        <v>正常订单</v>
      </c>
      <c r="I8550" s="1" t="str">
        <f t="shared" si="2427"/>
        <v>已发货</v>
      </c>
      <c r="J8550" s="1" t="str">
        <f t="shared" si="2429"/>
        <v>2</v>
      </c>
      <c r="K8550" s="1">
        <v>1</v>
      </c>
      <c r="L8550" s="1" t="s">
        <v>20</v>
      </c>
      <c r="M8550" s="1" t="str">
        <f>"浙江省 杭州市 余杭区 仓前街道"</f>
        <v>浙江省 杭州市 余杭区 仓前街道</v>
      </c>
      <c r="N8550" s="1" t="str">
        <f t="shared" si="2421"/>
        <v>凡华云仓-韵达-抖音</v>
      </c>
      <c r="O8550" s="5">
        <v>320162843138974</v>
      </c>
      <c r="P8550" s="6">
        <v>0.33</v>
      </c>
      <c r="Q8550" s="11">
        <v>2.2999999999999998</v>
      </c>
      <c r="R8550" s="11"/>
      <c r="S8550" s="11"/>
      <c r="T8550" s="11"/>
      <c r="U8550" s="11">
        <f t="shared" si="2423"/>
        <v>2.2999999999999998</v>
      </c>
      <c r="W8550">
        <v>2.5</v>
      </c>
      <c r="X8550" s="1" t="s">
        <v>20</v>
      </c>
    </row>
    <row r="8551" spans="1:24" x14ac:dyDescent="0.25">
      <c r="A8551" s="1" t="str">
        <f t="shared" si="2424"/>
        <v>卡卡杜-凤凰仓</v>
      </c>
      <c r="B8551" s="1" t="str">
        <f>"CK2024100926"</f>
        <v>CK2024100926</v>
      </c>
      <c r="C8551" s="1" t="str">
        <f>"DD2024100910477"</f>
        <v>DD2024100910477</v>
      </c>
      <c r="D8551" s="1" t="str">
        <f>"CK2024100920414"</f>
        <v>CK2024100920414</v>
      </c>
      <c r="E8551" s="1" t="str">
        <f>"6917964943776316754"</f>
        <v>6917964943776316754</v>
      </c>
      <c r="F8551" s="1" t="str">
        <f t="shared" si="2425"/>
        <v>花都四部-凤凰仓</v>
      </c>
      <c r="G8551" s="1" t="str">
        <f t="shared" si="2419"/>
        <v>卡卡杜个人护理店（抖店）</v>
      </c>
      <c r="H8551" s="1" t="str">
        <f t="shared" si="2426"/>
        <v>正常订单</v>
      </c>
      <c r="I8551" s="1" t="str">
        <f t="shared" si="2427"/>
        <v>已发货</v>
      </c>
      <c r="J8551" s="1" t="str">
        <f t="shared" si="2429"/>
        <v>2</v>
      </c>
      <c r="K8551" s="1">
        <v>1</v>
      </c>
      <c r="L8551" s="1" t="s">
        <v>18</v>
      </c>
      <c r="M8551" s="1" t="str">
        <f>"广东省 中山市 中山市 坦洲镇"</f>
        <v>广东省 中山市 中山市 坦洲镇</v>
      </c>
      <c r="N8551" s="1" t="str">
        <f t="shared" si="2421"/>
        <v>凡华云仓-韵达-抖音</v>
      </c>
      <c r="O8551" s="5">
        <v>320162843138869</v>
      </c>
      <c r="P8551" s="6">
        <v>0.33</v>
      </c>
      <c r="Q8551" s="11">
        <v>2.2999999999999998</v>
      </c>
      <c r="R8551" s="11"/>
      <c r="S8551" s="11"/>
      <c r="T8551" s="11"/>
      <c r="U8551" s="11">
        <f t="shared" si="2423"/>
        <v>2.2999999999999998</v>
      </c>
      <c r="W8551">
        <v>2.5</v>
      </c>
      <c r="X8551" s="1" t="s">
        <v>18</v>
      </c>
    </row>
    <row r="8552" spans="1:24" x14ac:dyDescent="0.25">
      <c r="A8552" s="1" t="str">
        <f t="shared" si="2424"/>
        <v>卡卡杜-凤凰仓</v>
      </c>
      <c r="B8552" s="1" t="str">
        <f>"CK2024100972"</f>
        <v>CK2024100972</v>
      </c>
      <c r="C8552" s="1" t="str">
        <f>"DD2024100910523"</f>
        <v>DD2024100910523</v>
      </c>
      <c r="D8552" s="1" t="str">
        <f>"CK2024100920413"</f>
        <v>CK2024100920413</v>
      </c>
      <c r="E8552" s="1" t="str">
        <f>"6917955410399493624"</f>
        <v>6917955410399493624</v>
      </c>
      <c r="F8552" s="1" t="str">
        <f t="shared" si="2425"/>
        <v>花都四部-凤凰仓</v>
      </c>
      <c r="G8552" s="1" t="str">
        <f t="shared" si="2419"/>
        <v>卡卡杜个人护理店（抖店）</v>
      </c>
      <c r="H8552" s="1" t="str">
        <f t="shared" si="2426"/>
        <v>正常订单</v>
      </c>
      <c r="I8552" s="1" t="str">
        <f t="shared" si="2427"/>
        <v>已发货</v>
      </c>
      <c r="J8552" s="1" t="str">
        <f t="shared" si="2429"/>
        <v>2</v>
      </c>
      <c r="K8552" s="1">
        <v>1</v>
      </c>
      <c r="L8552" s="1" t="s">
        <v>22</v>
      </c>
      <c r="M8552" s="1" t="str">
        <f>"江西省 景德镇市 珠山区 竟成镇"</f>
        <v>江西省 景德镇市 珠山区 竟成镇</v>
      </c>
      <c r="N8552" s="1" t="str">
        <f t="shared" si="2421"/>
        <v>凡华云仓-韵达-抖音</v>
      </c>
      <c r="O8552" s="5">
        <v>320162843138766</v>
      </c>
      <c r="P8552" s="6">
        <v>0.33</v>
      </c>
      <c r="Q8552" s="11">
        <v>2.2999999999999998</v>
      </c>
      <c r="R8552" s="11"/>
      <c r="S8552" s="11"/>
      <c r="T8552" s="11"/>
      <c r="U8552" s="11">
        <f t="shared" si="2423"/>
        <v>2.2999999999999998</v>
      </c>
      <c r="W8552">
        <v>2.5</v>
      </c>
      <c r="X8552" s="1" t="s">
        <v>22</v>
      </c>
    </row>
    <row r="8553" spans="1:24" x14ac:dyDescent="0.25">
      <c r="A8553" s="1" t="str">
        <f t="shared" si="2424"/>
        <v>卡卡杜-凤凰仓</v>
      </c>
      <c r="B8553" s="1" t="str">
        <f>"CK2024100987"</f>
        <v>CK2024100987</v>
      </c>
      <c r="C8553" s="1" t="str">
        <f>"DD2024100910537"</f>
        <v>DD2024100910537</v>
      </c>
      <c r="D8553" s="1" t="str">
        <f>"CK2024100920412"</f>
        <v>CK2024100920412</v>
      </c>
      <c r="E8553" s="1" t="str">
        <f>"6917955850950638793"</f>
        <v>6917955850950638793</v>
      </c>
      <c r="F8553" s="1" t="str">
        <f t="shared" si="2425"/>
        <v>花都四部-凤凰仓</v>
      </c>
      <c r="G8553" s="1" t="str">
        <f t="shared" si="2419"/>
        <v>卡卡杜个人护理店（抖店）</v>
      </c>
      <c r="H8553" s="1" t="str">
        <f t="shared" si="2426"/>
        <v>正常订单</v>
      </c>
      <c r="I8553" s="1" t="str">
        <f t="shared" si="2427"/>
        <v>已发货</v>
      </c>
      <c r="J8553" s="1" t="str">
        <f t="shared" si="2429"/>
        <v>2</v>
      </c>
      <c r="K8553" s="1">
        <v>1</v>
      </c>
      <c r="L8553" s="1" t="s">
        <v>32</v>
      </c>
      <c r="M8553" s="1" t="str">
        <f>"陕西省 商洛市 柞水县 下梁镇"</f>
        <v>陕西省 商洛市 柞水县 下梁镇</v>
      </c>
      <c r="N8553" s="1" t="str">
        <f t="shared" si="2421"/>
        <v>凡华云仓-韵达-抖音</v>
      </c>
      <c r="O8553" s="5">
        <v>320162843138665</v>
      </c>
      <c r="P8553" s="6">
        <v>0.33</v>
      </c>
      <c r="Q8553" s="11">
        <v>2.2999999999999998</v>
      </c>
      <c r="R8553" s="11"/>
      <c r="S8553" s="11"/>
      <c r="T8553" s="11"/>
      <c r="U8553" s="11">
        <f t="shared" si="2423"/>
        <v>2.2999999999999998</v>
      </c>
      <c r="W8553">
        <v>2.5</v>
      </c>
      <c r="X8553" s="1" t="s">
        <v>32</v>
      </c>
    </row>
    <row r="8554" spans="1:24" x14ac:dyDescent="0.25">
      <c r="A8554" s="1" t="str">
        <f t="shared" si="2424"/>
        <v>卡卡杜-凤凰仓</v>
      </c>
      <c r="B8554" s="1" t="str">
        <f>"CK2024100988"</f>
        <v>CK2024100988</v>
      </c>
      <c r="C8554" s="1" t="str">
        <f>"DD2024100910540"</f>
        <v>DD2024100910540</v>
      </c>
      <c r="D8554" s="1" t="str">
        <f>"CK2024100920411"</f>
        <v>CK2024100920411</v>
      </c>
      <c r="E8554" s="1" t="str">
        <f>"6917958171920334080"</f>
        <v>6917958171920334080</v>
      </c>
      <c r="F8554" s="1" t="str">
        <f t="shared" si="2425"/>
        <v>花都四部-凤凰仓</v>
      </c>
      <c r="G8554" s="1" t="str">
        <f t="shared" si="2419"/>
        <v>卡卡杜个人护理店（抖店）</v>
      </c>
      <c r="H8554" s="1" t="str">
        <f t="shared" si="2426"/>
        <v>正常订单</v>
      </c>
      <c r="I8554" s="1" t="str">
        <f t="shared" si="2427"/>
        <v>已发货</v>
      </c>
      <c r="J8554" s="1" t="str">
        <f t="shared" si="2429"/>
        <v>2</v>
      </c>
      <c r="K8554" s="1">
        <v>1</v>
      </c>
      <c r="L8554" s="1" t="s">
        <v>20</v>
      </c>
      <c r="M8554" s="1" t="str">
        <f>"浙江省 金华市 义乌市 福田街道"</f>
        <v>浙江省 金华市 义乌市 福田街道</v>
      </c>
      <c r="N8554" s="1" t="str">
        <f t="shared" si="2421"/>
        <v>凡华云仓-韵达-抖音</v>
      </c>
      <c r="O8554" s="5">
        <v>320162846065756</v>
      </c>
      <c r="P8554" s="6">
        <v>0.33</v>
      </c>
      <c r="Q8554" s="11">
        <v>2.2999999999999998</v>
      </c>
      <c r="R8554" s="11"/>
      <c r="S8554" s="11"/>
      <c r="T8554" s="11"/>
      <c r="U8554" s="11">
        <f t="shared" si="2423"/>
        <v>2.2999999999999998</v>
      </c>
      <c r="W8554">
        <v>2.5</v>
      </c>
      <c r="X8554" s="1" t="s">
        <v>20</v>
      </c>
    </row>
    <row r="8555" spans="1:24" x14ac:dyDescent="0.25">
      <c r="A8555" s="1" t="str">
        <f t="shared" si="2424"/>
        <v>卡卡杜-凤凰仓</v>
      </c>
      <c r="B8555" s="1" t="str">
        <f>"CK2024100952"</f>
        <v>CK2024100952</v>
      </c>
      <c r="C8555" s="1" t="str">
        <f>"DD2024100910505"</f>
        <v>DD2024100910505</v>
      </c>
      <c r="D8555" s="1" t="str">
        <f>"CK2024100920410"</f>
        <v>CK2024100920410</v>
      </c>
      <c r="E8555" s="1" t="str">
        <f>"6917957736175401997"</f>
        <v>6917957736175401997</v>
      </c>
      <c r="F8555" s="1" t="str">
        <f t="shared" si="2425"/>
        <v>花都四部-凤凰仓</v>
      </c>
      <c r="G8555" s="1" t="str">
        <f t="shared" si="2419"/>
        <v>卡卡杜个人护理店（抖店）</v>
      </c>
      <c r="H8555" s="1" t="str">
        <f t="shared" si="2426"/>
        <v>正常订单</v>
      </c>
      <c r="I8555" s="1" t="str">
        <f t="shared" si="2427"/>
        <v>已发货</v>
      </c>
      <c r="J8555" s="1" t="str">
        <f t="shared" si="2429"/>
        <v>2</v>
      </c>
      <c r="K8555" s="1">
        <v>1</v>
      </c>
      <c r="L8555" s="1" t="s">
        <v>96</v>
      </c>
      <c r="M8555" s="1" t="str">
        <f>"广西壮族自治区 防城港市 防城区 茅岭乡"</f>
        <v>广西壮族自治区 防城港市 防城区 茅岭乡</v>
      </c>
      <c r="N8555" s="1" t="str">
        <f t="shared" si="2421"/>
        <v>凡华云仓-韵达-抖音</v>
      </c>
      <c r="O8555" s="5">
        <v>320162846065655</v>
      </c>
      <c r="P8555" s="6">
        <v>0.33</v>
      </c>
      <c r="Q8555" s="11">
        <v>2.2999999999999998</v>
      </c>
      <c r="R8555" s="11"/>
      <c r="S8555" s="11"/>
      <c r="T8555" s="11"/>
      <c r="U8555" s="11">
        <f t="shared" si="2423"/>
        <v>2.2999999999999998</v>
      </c>
      <c r="W8555">
        <v>2.5</v>
      </c>
      <c r="X8555" s="1" t="s">
        <v>96</v>
      </c>
    </row>
    <row r="8556" spans="1:24" x14ac:dyDescent="0.25">
      <c r="A8556" s="1" t="str">
        <f t="shared" si="2424"/>
        <v>卡卡杜-凤凰仓</v>
      </c>
      <c r="B8556" s="1" t="str">
        <f>"CK2024100965"</f>
        <v>CK2024100965</v>
      </c>
      <c r="C8556" s="1" t="str">
        <f>"DD2024100910517"</f>
        <v>DD2024100910517</v>
      </c>
      <c r="D8556" s="1" t="str">
        <f>"CK2024100920409"</f>
        <v>CK2024100920409</v>
      </c>
      <c r="E8556" s="1" t="str">
        <f>"6917962606807186891"</f>
        <v>6917962606807186891</v>
      </c>
      <c r="F8556" s="1" t="str">
        <f t="shared" si="2425"/>
        <v>花都四部-凤凰仓</v>
      </c>
      <c r="G8556" s="1" t="str">
        <f t="shared" si="2419"/>
        <v>卡卡杜个人护理店（抖店）</v>
      </c>
      <c r="H8556" s="1" t="str">
        <f t="shared" si="2426"/>
        <v>正常订单</v>
      </c>
      <c r="I8556" s="1" t="str">
        <f t="shared" si="2427"/>
        <v>已发货</v>
      </c>
      <c r="J8556" s="1" t="str">
        <f t="shared" si="2429"/>
        <v>2</v>
      </c>
      <c r="K8556" s="1">
        <v>1</v>
      </c>
      <c r="L8556" s="1" t="s">
        <v>13</v>
      </c>
      <c r="M8556" s="1" t="str">
        <f>"江苏省 盐城市 东台市 溱东镇"</f>
        <v>江苏省 盐城市 东台市 溱东镇</v>
      </c>
      <c r="N8556" s="1" t="str">
        <f t="shared" si="2421"/>
        <v>凡华云仓-韵达-抖音</v>
      </c>
      <c r="O8556" s="5">
        <v>320162846065556</v>
      </c>
      <c r="P8556" s="6">
        <v>0.33</v>
      </c>
      <c r="Q8556" s="11">
        <v>2.2999999999999998</v>
      </c>
      <c r="R8556" s="11"/>
      <c r="S8556" s="11"/>
      <c r="T8556" s="11"/>
      <c r="U8556" s="11">
        <f t="shared" si="2423"/>
        <v>2.2999999999999998</v>
      </c>
      <c r="W8556">
        <v>2.5</v>
      </c>
      <c r="X8556" s="1" t="s">
        <v>13</v>
      </c>
    </row>
    <row r="8557" spans="1:24" x14ac:dyDescent="0.25">
      <c r="A8557" s="1" t="str">
        <f t="shared" si="2424"/>
        <v>卡卡杜-凤凰仓</v>
      </c>
      <c r="B8557" s="1" t="str">
        <f>"CK2024100948"</f>
        <v>CK2024100948</v>
      </c>
      <c r="C8557" s="1" t="str">
        <f>"DD2024100910502"</f>
        <v>DD2024100910502</v>
      </c>
      <c r="D8557" s="1" t="str">
        <f>"CK2024100920408"</f>
        <v>CK2024100920408</v>
      </c>
      <c r="E8557" s="1" t="str">
        <f>"6917955497390865455"</f>
        <v>6917955497390865455</v>
      </c>
      <c r="F8557" s="1" t="str">
        <f t="shared" si="2425"/>
        <v>花都四部-凤凰仓</v>
      </c>
      <c r="G8557" s="1" t="str">
        <f t="shared" si="2419"/>
        <v>卡卡杜个人护理店（抖店）</v>
      </c>
      <c r="H8557" s="1" t="str">
        <f t="shared" si="2426"/>
        <v>正常订单</v>
      </c>
      <c r="I8557" s="1" t="str">
        <f t="shared" si="2427"/>
        <v>已发货</v>
      </c>
      <c r="J8557" s="1" t="str">
        <f t="shared" si="2429"/>
        <v>2</v>
      </c>
      <c r="K8557" s="1">
        <v>1</v>
      </c>
      <c r="L8557" s="1" t="s">
        <v>60</v>
      </c>
      <c r="M8557" s="1" t="str">
        <f>"云南省 红河哈尼族彝族自治州 建水县 曲江镇"</f>
        <v>云南省 红河哈尼族彝族自治州 建水县 曲江镇</v>
      </c>
      <c r="N8557" s="1" t="str">
        <f t="shared" si="2421"/>
        <v>凡华云仓-韵达-抖音</v>
      </c>
      <c r="O8557" s="5">
        <v>320162846065459</v>
      </c>
      <c r="P8557" s="6">
        <v>0.33</v>
      </c>
      <c r="Q8557" s="11">
        <v>2.2999999999999998</v>
      </c>
      <c r="R8557" s="11"/>
      <c r="S8557" s="11"/>
      <c r="T8557" s="11"/>
      <c r="U8557" s="11">
        <f t="shared" si="2423"/>
        <v>2.2999999999999998</v>
      </c>
      <c r="W8557">
        <v>2.5</v>
      </c>
      <c r="X8557" s="1" t="s">
        <v>60</v>
      </c>
    </row>
    <row r="8558" spans="1:24" x14ac:dyDescent="0.25">
      <c r="A8558" s="1" t="str">
        <f t="shared" si="2424"/>
        <v>卡卡杜-凤凰仓</v>
      </c>
      <c r="B8558" s="1" t="str">
        <f>"CK2024100963"</f>
        <v>CK2024100963</v>
      </c>
      <c r="C8558" s="1" t="str">
        <f>"DD2024100910515"</f>
        <v>DD2024100910515</v>
      </c>
      <c r="D8558" s="1" t="str">
        <f>"CK2024100920407"</f>
        <v>CK2024100920407</v>
      </c>
      <c r="E8558" s="1" t="str">
        <f>"6917955376163552837"</f>
        <v>6917955376163552837</v>
      </c>
      <c r="F8558" s="1" t="str">
        <f t="shared" si="2425"/>
        <v>花都四部-凤凰仓</v>
      </c>
      <c r="G8558" s="1" t="str">
        <f t="shared" si="2419"/>
        <v>卡卡杜个人护理店（抖店）</v>
      </c>
      <c r="H8558" s="1" t="str">
        <f t="shared" si="2426"/>
        <v>正常订单</v>
      </c>
      <c r="I8558" s="1" t="str">
        <f t="shared" si="2427"/>
        <v>已发货</v>
      </c>
      <c r="J8558" s="1" t="str">
        <f t="shared" si="2429"/>
        <v>2</v>
      </c>
      <c r="K8558" s="1">
        <v>1</v>
      </c>
      <c r="L8558" s="1" t="s">
        <v>24</v>
      </c>
      <c r="M8558" s="1" t="str">
        <f>"福建省 福州市 福清市 "</f>
        <v xml:space="preserve">福建省 福州市 福清市 </v>
      </c>
      <c r="N8558" s="1" t="str">
        <f t="shared" si="2421"/>
        <v>凡华云仓-韵达-抖音</v>
      </c>
      <c r="O8558" s="5">
        <v>320162846065364</v>
      </c>
      <c r="P8558" s="6">
        <v>0.33</v>
      </c>
      <c r="Q8558" s="11">
        <v>2.2999999999999998</v>
      </c>
      <c r="R8558" s="11"/>
      <c r="S8558" s="11"/>
      <c r="T8558" s="11"/>
      <c r="U8558" s="11">
        <f t="shared" si="2423"/>
        <v>2.2999999999999998</v>
      </c>
      <c r="W8558">
        <v>2.5</v>
      </c>
      <c r="X8558" s="1" t="s">
        <v>24</v>
      </c>
    </row>
    <row r="8559" spans="1:24" x14ac:dyDescent="0.25">
      <c r="A8559" s="1" t="str">
        <f t="shared" si="2424"/>
        <v>卡卡杜-凤凰仓</v>
      </c>
      <c r="B8559" s="1" t="str">
        <f>"CK2024100967"</f>
        <v>CK2024100967</v>
      </c>
      <c r="C8559" s="1" t="str">
        <f>"DD2024100910518"</f>
        <v>DD2024100910518</v>
      </c>
      <c r="D8559" s="1" t="str">
        <f>"CK2024100920406"</f>
        <v>CK2024100920406</v>
      </c>
      <c r="E8559" s="1" t="str">
        <f>"6917954997833203563"</f>
        <v>6917954997833203563</v>
      </c>
      <c r="F8559" s="1" t="str">
        <f t="shared" si="2425"/>
        <v>花都四部-凤凰仓</v>
      </c>
      <c r="G8559" s="1" t="str">
        <f t="shared" ref="G8559:G8569" si="2430">"卡卡杜个人护理店（抖店）"</f>
        <v>卡卡杜个人护理店（抖店）</v>
      </c>
      <c r="H8559" s="1" t="str">
        <f t="shared" si="2426"/>
        <v>正常订单</v>
      </c>
      <c r="I8559" s="1" t="str">
        <f t="shared" si="2427"/>
        <v>已发货</v>
      </c>
      <c r="J8559" s="1" t="str">
        <f t="shared" si="2429"/>
        <v>2</v>
      </c>
      <c r="K8559" s="1">
        <v>1</v>
      </c>
      <c r="L8559" s="1" t="s">
        <v>24</v>
      </c>
      <c r="M8559" s="1" t="str">
        <f>"福建省 宁德市 蕉城区 蕉南街道"</f>
        <v>福建省 宁德市 蕉城区 蕉南街道</v>
      </c>
      <c r="N8559" s="1" t="str">
        <f t="shared" ref="N8559:N8569" si="2431">"凡华云仓-韵达-抖音"</f>
        <v>凡华云仓-韵达-抖音</v>
      </c>
      <c r="O8559" s="5">
        <v>320162846065271</v>
      </c>
      <c r="P8559" s="6">
        <v>0.33</v>
      </c>
      <c r="Q8559" s="11">
        <v>2.2999999999999998</v>
      </c>
      <c r="R8559" s="11"/>
      <c r="S8559" s="11"/>
      <c r="T8559" s="11"/>
      <c r="U8559" s="11">
        <f t="shared" si="2423"/>
        <v>2.2999999999999998</v>
      </c>
      <c r="W8559">
        <v>2.5</v>
      </c>
      <c r="X8559" s="1" t="s">
        <v>24</v>
      </c>
    </row>
    <row r="8560" spans="1:24" x14ac:dyDescent="0.25">
      <c r="A8560" s="1" t="str">
        <f t="shared" si="2424"/>
        <v>卡卡杜-凤凰仓</v>
      </c>
      <c r="B8560" s="1" t="str">
        <f>"CK2024100962"</f>
        <v>CK2024100962</v>
      </c>
      <c r="C8560" s="1" t="str">
        <f>"DD2024100910514"</f>
        <v>DD2024100910514</v>
      </c>
      <c r="D8560" s="1" t="str">
        <f>"CK2024100920405"</f>
        <v>CK2024100920405</v>
      </c>
      <c r="E8560" s="1" t="str">
        <f>"6917964538666057519"</f>
        <v>6917964538666057519</v>
      </c>
      <c r="F8560" s="1" t="str">
        <f t="shared" si="2425"/>
        <v>花都四部-凤凰仓</v>
      </c>
      <c r="G8560" s="1" t="str">
        <f t="shared" si="2430"/>
        <v>卡卡杜个人护理店（抖店）</v>
      </c>
      <c r="H8560" s="1" t="str">
        <f t="shared" si="2426"/>
        <v>正常订单</v>
      </c>
      <c r="I8560" s="1" t="str">
        <f t="shared" si="2427"/>
        <v>已发货</v>
      </c>
      <c r="J8560" s="1" t="str">
        <f t="shared" si="2429"/>
        <v>2</v>
      </c>
      <c r="K8560" s="1">
        <v>1</v>
      </c>
      <c r="L8560" s="1" t="s">
        <v>105</v>
      </c>
      <c r="M8560" s="1" t="str">
        <f>"北京 北京市 大兴区 榆垡镇"</f>
        <v>北京 北京市 大兴区 榆垡镇</v>
      </c>
      <c r="N8560" s="1" t="str">
        <f t="shared" si="2431"/>
        <v>凡华云仓-韵达-抖音</v>
      </c>
      <c r="O8560" s="5">
        <v>320162846065180</v>
      </c>
      <c r="P8560" s="6">
        <v>0.33</v>
      </c>
      <c r="Q8560" s="11">
        <v>2.2999999999999998</v>
      </c>
      <c r="R8560" s="11"/>
      <c r="S8560" s="11"/>
      <c r="T8560" s="11"/>
      <c r="U8560" s="11">
        <f t="shared" si="2423"/>
        <v>2.2999999999999998</v>
      </c>
      <c r="W8560">
        <v>2.5</v>
      </c>
      <c r="X8560" s="1" t="s">
        <v>105</v>
      </c>
    </row>
    <row r="8561" spans="1:24" x14ac:dyDescent="0.25">
      <c r="A8561" s="1" t="str">
        <f t="shared" si="2424"/>
        <v>卡卡杜-凤凰仓</v>
      </c>
      <c r="B8561" s="1" t="str">
        <f>"CK2024100914104"</f>
        <v>CK2024100914104</v>
      </c>
      <c r="C8561" s="1" t="str">
        <f>"DD2024100944821"</f>
        <v>DD2024100944821</v>
      </c>
      <c r="D8561" s="1" t="str">
        <f>"CK2024100944625"</f>
        <v>CK2024100944625</v>
      </c>
      <c r="E8561" s="1" t="str">
        <f>"6917997143322755030"</f>
        <v>6917997143322755030</v>
      </c>
      <c r="F8561" s="1" t="str">
        <f t="shared" si="2425"/>
        <v>花都四部-凤凰仓</v>
      </c>
      <c r="G8561" s="1" t="str">
        <f t="shared" si="2430"/>
        <v>卡卡杜个人护理店（抖店）</v>
      </c>
      <c r="H8561" s="1" t="str">
        <f t="shared" si="2426"/>
        <v>正常订单</v>
      </c>
      <c r="I8561" s="1" t="str">
        <f t="shared" si="2427"/>
        <v>已发货</v>
      </c>
      <c r="J8561" s="1" t="str">
        <f>"4"</f>
        <v>4</v>
      </c>
      <c r="K8561" s="1">
        <v>1</v>
      </c>
      <c r="L8561" s="1" t="s">
        <v>74</v>
      </c>
      <c r="M8561" s="1" t="str">
        <f>"上海 上海市 松江区 车墩镇"</f>
        <v>上海 上海市 松江区 车墩镇</v>
      </c>
      <c r="N8561" s="1" t="str">
        <f t="shared" si="2431"/>
        <v>凡华云仓-韵达-抖音</v>
      </c>
      <c r="O8561" s="5">
        <v>320163365592348</v>
      </c>
      <c r="P8561" s="6">
        <v>0.57999999999999996</v>
      </c>
      <c r="Q8561" s="11">
        <f>CEILING(P8561-0.5,0.1)*10*0.15+2.3</f>
        <v>2.4499999999999997</v>
      </c>
      <c r="R8561" s="11"/>
      <c r="S8561" s="11"/>
      <c r="T8561" s="11"/>
      <c r="U8561" s="11">
        <f t="shared" si="2423"/>
        <v>2.4499999999999997</v>
      </c>
      <c r="V8561" t="s">
        <v>15</v>
      </c>
      <c r="W8561">
        <v>2.4500000000000002</v>
      </c>
      <c r="X8561" s="1" t="s">
        <v>74</v>
      </c>
    </row>
    <row r="8562" spans="1:24" x14ac:dyDescent="0.25">
      <c r="A8562" s="1" t="str">
        <f t="shared" si="2424"/>
        <v>卡卡杜-凤凰仓</v>
      </c>
      <c r="B8562" s="1" t="str">
        <f>"CK2024100914102"</f>
        <v>CK2024100914102</v>
      </c>
      <c r="C8562" s="1" t="str">
        <f>"DD2024100944820"</f>
        <v>DD2024100944820</v>
      </c>
      <c r="D8562" s="1" t="str">
        <f>"CK2024100944618"</f>
        <v>CK2024100944618</v>
      </c>
      <c r="E8562" s="1" t="str">
        <f>"6917994658506702379"</f>
        <v>6917994658506702379</v>
      </c>
      <c r="F8562" s="1" t="str">
        <f t="shared" si="2425"/>
        <v>花都四部-凤凰仓</v>
      </c>
      <c r="G8562" s="1" t="str">
        <f t="shared" si="2430"/>
        <v>卡卡杜个人护理店（抖店）</v>
      </c>
      <c r="H8562" s="1" t="str">
        <f t="shared" si="2426"/>
        <v>正常订单</v>
      </c>
      <c r="I8562" s="1" t="str">
        <f t="shared" si="2427"/>
        <v>已发货</v>
      </c>
      <c r="J8562" s="1" t="str">
        <f>"4"</f>
        <v>4</v>
      </c>
      <c r="K8562" s="1">
        <v>1</v>
      </c>
      <c r="L8562" s="1" t="s">
        <v>20</v>
      </c>
      <c r="M8562" s="1" t="str">
        <f>"浙江省 嘉兴市 南湖区 余新镇"</f>
        <v>浙江省 嘉兴市 南湖区 余新镇</v>
      </c>
      <c r="N8562" s="1" t="str">
        <f t="shared" si="2431"/>
        <v>凡华云仓-韵达-抖音</v>
      </c>
      <c r="O8562" s="5">
        <v>320163375035660</v>
      </c>
      <c r="P8562" s="6">
        <v>0.57999999999999996</v>
      </c>
      <c r="Q8562" s="11">
        <f>CEILING(P8562-0.5,0.1)*10*0.15+2.3</f>
        <v>2.4499999999999997</v>
      </c>
      <c r="R8562" s="11"/>
      <c r="S8562" s="11"/>
      <c r="T8562" s="11"/>
      <c r="U8562" s="11">
        <f t="shared" si="2423"/>
        <v>2.4499999999999997</v>
      </c>
      <c r="V8562" t="s">
        <v>15</v>
      </c>
      <c r="W8562">
        <v>2.4500000000000002</v>
      </c>
      <c r="X8562" s="1" t="s">
        <v>20</v>
      </c>
    </row>
    <row r="8563" spans="1:24" x14ac:dyDescent="0.25">
      <c r="A8563" s="1" t="str">
        <f t="shared" si="2424"/>
        <v>卡卡杜-凤凰仓</v>
      </c>
      <c r="B8563" s="1" t="str">
        <f>"CK2024100955"</f>
        <v>CK2024100955</v>
      </c>
      <c r="C8563" s="1" t="str">
        <f>"DD2024100910508"</f>
        <v>DD2024100910508</v>
      </c>
      <c r="D8563" s="1" t="str">
        <f>"CK2024100920402"</f>
        <v>CK2024100920402</v>
      </c>
      <c r="E8563" s="1" t="str">
        <f>"6917960153277365363"</f>
        <v>6917960153277365363</v>
      </c>
      <c r="F8563" s="1" t="str">
        <f t="shared" si="2425"/>
        <v>花都四部-凤凰仓</v>
      </c>
      <c r="G8563" s="1" t="str">
        <f t="shared" si="2430"/>
        <v>卡卡杜个人护理店（抖店）</v>
      </c>
      <c r="H8563" s="1" t="str">
        <f t="shared" si="2426"/>
        <v>正常订单</v>
      </c>
      <c r="I8563" s="1" t="str">
        <f t="shared" si="2427"/>
        <v>已发货</v>
      </c>
      <c r="J8563" s="1" t="str">
        <f t="shared" ref="J8563:J8571" si="2432">"2"</f>
        <v>2</v>
      </c>
      <c r="K8563" s="1">
        <v>1</v>
      </c>
      <c r="L8563" s="1" t="s">
        <v>18</v>
      </c>
      <c r="M8563" s="1" t="str">
        <f>"广东省 深圳市 龙岗区 龙城街道"</f>
        <v>广东省 深圳市 龙岗区 龙城街道</v>
      </c>
      <c r="N8563" s="1" t="str">
        <f t="shared" si="2431"/>
        <v>凡华云仓-韵达-抖音</v>
      </c>
      <c r="O8563" s="5">
        <v>320162846064862</v>
      </c>
      <c r="P8563" s="6">
        <v>0.33</v>
      </c>
      <c r="Q8563" s="11">
        <v>2.2999999999999998</v>
      </c>
      <c r="R8563" s="11"/>
      <c r="S8563" s="11"/>
      <c r="T8563" s="11"/>
      <c r="U8563" s="11">
        <f t="shared" si="2423"/>
        <v>2.2999999999999998</v>
      </c>
      <c r="W8563">
        <v>2.5</v>
      </c>
      <c r="X8563" s="1" t="s">
        <v>18</v>
      </c>
    </row>
    <row r="8564" spans="1:24" x14ac:dyDescent="0.25">
      <c r="A8564" s="1" t="str">
        <f t="shared" si="2424"/>
        <v>卡卡杜-凤凰仓</v>
      </c>
      <c r="B8564" s="1" t="str">
        <f>"CK2024100927"</f>
        <v>CK2024100927</v>
      </c>
      <c r="C8564" s="1" t="str">
        <f>"DD2024100910479"</f>
        <v>DD2024100910479</v>
      </c>
      <c r="D8564" s="1" t="str">
        <f>"CK2024100920401"</f>
        <v>CK2024100920401</v>
      </c>
      <c r="E8564" s="1" t="str">
        <f>"6917964515050159524"</f>
        <v>6917964515050159524</v>
      </c>
      <c r="F8564" s="1" t="str">
        <f t="shared" si="2425"/>
        <v>花都四部-凤凰仓</v>
      </c>
      <c r="G8564" s="1" t="str">
        <f t="shared" si="2430"/>
        <v>卡卡杜个人护理店（抖店）</v>
      </c>
      <c r="H8564" s="1" t="str">
        <f t="shared" si="2426"/>
        <v>正常订单</v>
      </c>
      <c r="I8564" s="1" t="str">
        <f t="shared" si="2427"/>
        <v>已发货</v>
      </c>
      <c r="J8564" s="1" t="str">
        <f t="shared" si="2432"/>
        <v>2</v>
      </c>
      <c r="K8564" s="1">
        <v>1</v>
      </c>
      <c r="L8564" s="1" t="s">
        <v>30</v>
      </c>
      <c r="M8564" s="1" t="str">
        <f>"山东省 济南市 市中区 七贤街道"</f>
        <v>山东省 济南市 市中区 七贤街道</v>
      </c>
      <c r="N8564" s="1" t="str">
        <f t="shared" si="2431"/>
        <v>凡华云仓-韵达-抖音</v>
      </c>
      <c r="O8564" s="5">
        <v>320162843140208</v>
      </c>
      <c r="P8564" s="6">
        <v>0.33</v>
      </c>
      <c r="Q8564" s="11">
        <v>2.2999999999999998</v>
      </c>
      <c r="R8564" s="11"/>
      <c r="S8564" s="11"/>
      <c r="T8564" s="11"/>
      <c r="U8564" s="11">
        <f t="shared" si="2423"/>
        <v>2.2999999999999998</v>
      </c>
      <c r="W8564">
        <v>2.5</v>
      </c>
      <c r="X8564" s="1" t="s">
        <v>30</v>
      </c>
    </row>
    <row r="8565" spans="1:24" x14ac:dyDescent="0.25">
      <c r="A8565" s="1" t="str">
        <f t="shared" si="2424"/>
        <v>卡卡杜-凤凰仓</v>
      </c>
      <c r="B8565" s="1" t="str">
        <f>"CK2024100930"</f>
        <v>CK2024100930</v>
      </c>
      <c r="C8565" s="1" t="str">
        <f>"DD2024100910482"</f>
        <v>DD2024100910482</v>
      </c>
      <c r="D8565" s="1" t="str">
        <f>"CK2024100920400"</f>
        <v>CK2024100920400</v>
      </c>
      <c r="E8565" s="1" t="str">
        <f>"6917964149519056461"</f>
        <v>6917964149519056461</v>
      </c>
      <c r="F8565" s="1" t="str">
        <f t="shared" si="2425"/>
        <v>花都四部-凤凰仓</v>
      </c>
      <c r="G8565" s="1" t="str">
        <f t="shared" si="2430"/>
        <v>卡卡杜个人护理店（抖店）</v>
      </c>
      <c r="H8565" s="1" t="str">
        <f t="shared" si="2426"/>
        <v>正常订单</v>
      </c>
      <c r="I8565" s="1" t="str">
        <f t="shared" si="2427"/>
        <v>已发货</v>
      </c>
      <c r="J8565" s="1" t="str">
        <f t="shared" si="2432"/>
        <v>2</v>
      </c>
      <c r="K8565" s="1">
        <v>1</v>
      </c>
      <c r="L8565" s="1" t="s">
        <v>24</v>
      </c>
      <c r="M8565" s="1" t="str">
        <f>"福建省 厦门市 思明区 嘉莲街道"</f>
        <v>福建省 厦门市 思明区 嘉莲街道</v>
      </c>
      <c r="N8565" s="1" t="str">
        <f t="shared" si="2431"/>
        <v>凡华云仓-韵达-抖音</v>
      </c>
      <c r="O8565" s="5">
        <v>320162843140117</v>
      </c>
      <c r="P8565" s="6">
        <v>0.33</v>
      </c>
      <c r="Q8565" s="11">
        <v>2.2999999999999998</v>
      </c>
      <c r="R8565" s="11"/>
      <c r="S8565" s="11"/>
      <c r="T8565" s="11"/>
      <c r="U8565" s="11">
        <f t="shared" si="2423"/>
        <v>2.2999999999999998</v>
      </c>
      <c r="W8565">
        <v>2.5</v>
      </c>
      <c r="X8565" s="1" t="s">
        <v>24</v>
      </c>
    </row>
    <row r="8566" spans="1:24" x14ac:dyDescent="0.25">
      <c r="A8566" s="1" t="str">
        <f t="shared" si="2424"/>
        <v>卡卡杜-凤凰仓</v>
      </c>
      <c r="B8566" s="1" t="str">
        <f>"CK2024100978"</f>
        <v>CK2024100978</v>
      </c>
      <c r="C8566" s="1" t="str">
        <f>"DD2024100910532"</f>
        <v>DD2024100910532</v>
      </c>
      <c r="D8566" s="1" t="str">
        <f>"CK2024100920399"</f>
        <v>CK2024100920399</v>
      </c>
      <c r="E8566" s="1" t="str">
        <f>"6917959546993278776"</f>
        <v>6917959546993278776</v>
      </c>
      <c r="F8566" s="1" t="str">
        <f t="shared" si="2425"/>
        <v>花都四部-凤凰仓</v>
      </c>
      <c r="G8566" s="1" t="str">
        <f t="shared" si="2430"/>
        <v>卡卡杜个人护理店（抖店）</v>
      </c>
      <c r="H8566" s="1" t="str">
        <f t="shared" si="2426"/>
        <v>正常订单</v>
      </c>
      <c r="I8566" s="1" t="str">
        <f t="shared" si="2427"/>
        <v>已发货</v>
      </c>
      <c r="J8566" s="1" t="str">
        <f t="shared" si="2432"/>
        <v>2</v>
      </c>
      <c r="K8566" s="1">
        <v>1</v>
      </c>
      <c r="L8566" s="1" t="s">
        <v>22</v>
      </c>
      <c r="M8566" s="1" t="str">
        <f>"江西省 抚州市 广昌县 旴江镇"</f>
        <v>江西省 抚州市 广昌县 旴江镇</v>
      </c>
      <c r="N8566" s="1" t="str">
        <f t="shared" si="2431"/>
        <v>凡华云仓-韵达-抖音</v>
      </c>
      <c r="O8566" s="5">
        <v>320162843140028</v>
      </c>
      <c r="P8566" s="6">
        <v>0.33</v>
      </c>
      <c r="Q8566" s="11">
        <v>2.2999999999999998</v>
      </c>
      <c r="R8566" s="11"/>
      <c r="S8566" s="11"/>
      <c r="T8566" s="11"/>
      <c r="U8566" s="11">
        <f t="shared" si="2423"/>
        <v>2.2999999999999998</v>
      </c>
      <c r="W8566">
        <v>2.5</v>
      </c>
      <c r="X8566" s="1" t="s">
        <v>22</v>
      </c>
    </row>
    <row r="8567" spans="1:24" x14ac:dyDescent="0.25">
      <c r="A8567" s="1" t="str">
        <f t="shared" si="2424"/>
        <v>卡卡杜-凤凰仓</v>
      </c>
      <c r="B8567" s="1" t="str">
        <f>"CK2024100949"</f>
        <v>CK2024100949</v>
      </c>
      <c r="C8567" s="1" t="str">
        <f>"DD2024100910501"</f>
        <v>DD2024100910501</v>
      </c>
      <c r="D8567" s="1" t="str">
        <f>"CK2024100920398"</f>
        <v>CK2024100920398</v>
      </c>
      <c r="E8567" s="1" t="str">
        <f>"6917964187183709250"</f>
        <v>6917964187183709250</v>
      </c>
      <c r="F8567" s="1" t="str">
        <f t="shared" si="2425"/>
        <v>花都四部-凤凰仓</v>
      </c>
      <c r="G8567" s="1" t="str">
        <f t="shared" si="2430"/>
        <v>卡卡杜个人护理店（抖店）</v>
      </c>
      <c r="H8567" s="1" t="str">
        <f t="shared" si="2426"/>
        <v>正常订单</v>
      </c>
      <c r="I8567" s="1" t="str">
        <f t="shared" si="2427"/>
        <v>已发货</v>
      </c>
      <c r="J8567" s="1" t="str">
        <f t="shared" si="2432"/>
        <v>2</v>
      </c>
      <c r="K8567" s="1">
        <v>1</v>
      </c>
      <c r="L8567" s="1" t="s">
        <v>18</v>
      </c>
      <c r="M8567" s="1" t="str">
        <f>"广东省 佛山市 顺德区 乐从镇"</f>
        <v>广东省 佛山市 顺德区 乐从镇</v>
      </c>
      <c r="N8567" s="1" t="str">
        <f t="shared" si="2431"/>
        <v>凡华云仓-韵达-抖音</v>
      </c>
      <c r="O8567" s="5">
        <v>320162843139979</v>
      </c>
      <c r="P8567" s="6">
        <v>0.33</v>
      </c>
      <c r="Q8567" s="11">
        <v>2.2999999999999998</v>
      </c>
      <c r="R8567" s="11"/>
      <c r="S8567" s="11"/>
      <c r="T8567" s="11"/>
      <c r="U8567" s="11">
        <f t="shared" si="2423"/>
        <v>2.2999999999999998</v>
      </c>
      <c r="W8567">
        <v>2.5</v>
      </c>
      <c r="X8567" s="1" t="s">
        <v>18</v>
      </c>
    </row>
    <row r="8568" spans="1:24" x14ac:dyDescent="0.25">
      <c r="A8568" s="1" t="str">
        <f t="shared" si="2424"/>
        <v>卡卡杜-凤凰仓</v>
      </c>
      <c r="B8568" s="1" t="str">
        <f>"CK2024100947"</f>
        <v>CK2024100947</v>
      </c>
      <c r="C8568" s="1" t="str">
        <f>"DD2024100910499"</f>
        <v>DD2024100910499</v>
      </c>
      <c r="D8568" s="1" t="str">
        <f>"CK2024100920397"</f>
        <v>CK2024100920397</v>
      </c>
      <c r="E8568" s="1" t="str">
        <f>"6917957382300990622"</f>
        <v>6917957382300990622</v>
      </c>
      <c r="F8568" s="1" t="str">
        <f t="shared" si="2425"/>
        <v>花都四部-凤凰仓</v>
      </c>
      <c r="G8568" s="1" t="str">
        <f t="shared" si="2430"/>
        <v>卡卡杜个人护理店（抖店）</v>
      </c>
      <c r="H8568" s="1" t="str">
        <f t="shared" si="2426"/>
        <v>正常订单</v>
      </c>
      <c r="I8568" s="1" t="str">
        <f t="shared" si="2427"/>
        <v>已发货</v>
      </c>
      <c r="J8568" s="1" t="str">
        <f t="shared" si="2432"/>
        <v>2</v>
      </c>
      <c r="K8568" s="1">
        <v>1</v>
      </c>
      <c r="L8568" s="1" t="s">
        <v>18</v>
      </c>
      <c r="M8568" s="1" t="str">
        <f>"广东省 东莞市 东莞市 清溪镇"</f>
        <v>广东省 东莞市 东莞市 清溪镇</v>
      </c>
      <c r="N8568" s="1" t="str">
        <f t="shared" si="2431"/>
        <v>凡华云仓-韵达-抖音</v>
      </c>
      <c r="O8568" s="5">
        <v>320162843139874</v>
      </c>
      <c r="P8568" s="6">
        <v>0.33</v>
      </c>
      <c r="Q8568" s="11">
        <v>2.2999999999999998</v>
      </c>
      <c r="R8568" s="11"/>
      <c r="S8568" s="11"/>
      <c r="T8568" s="11"/>
      <c r="U8568" s="11">
        <f t="shared" si="2423"/>
        <v>2.2999999999999998</v>
      </c>
      <c r="W8568">
        <v>2.5</v>
      </c>
      <c r="X8568" s="1" t="s">
        <v>18</v>
      </c>
    </row>
    <row r="8569" spans="1:24" x14ac:dyDescent="0.25">
      <c r="A8569" s="1" t="str">
        <f t="shared" si="2424"/>
        <v>卡卡杜-凤凰仓</v>
      </c>
      <c r="B8569" s="1" t="str">
        <f>"CK2024100968"</f>
        <v>CK2024100968</v>
      </c>
      <c r="C8569" s="1" t="str">
        <f>"DD2024100910521"</f>
        <v>DD2024100910521</v>
      </c>
      <c r="D8569" s="1" t="str">
        <f>"CK2024100920396"</f>
        <v>CK2024100920396</v>
      </c>
      <c r="E8569" s="1" t="str">
        <f>"6917954933849030370"</f>
        <v>6917954933849030370</v>
      </c>
      <c r="F8569" s="1" t="str">
        <f t="shared" si="2425"/>
        <v>花都四部-凤凰仓</v>
      </c>
      <c r="G8569" s="1" t="str">
        <f t="shared" si="2430"/>
        <v>卡卡杜个人护理店（抖店）</v>
      </c>
      <c r="H8569" s="1" t="str">
        <f t="shared" si="2426"/>
        <v>正常订单</v>
      </c>
      <c r="I8569" s="1" t="str">
        <f t="shared" si="2427"/>
        <v>已发货</v>
      </c>
      <c r="J8569" s="1" t="str">
        <f t="shared" si="2432"/>
        <v>2</v>
      </c>
      <c r="K8569" s="1">
        <v>1</v>
      </c>
      <c r="L8569" s="1" t="s">
        <v>22</v>
      </c>
      <c r="M8569" s="1" t="str">
        <f>"江西省 上饶市 横峰县 兴安街道"</f>
        <v>江西省 上饶市 横峰县 兴安街道</v>
      </c>
      <c r="N8569" s="1" t="str">
        <f t="shared" si="2431"/>
        <v>凡华云仓-韵达-抖音</v>
      </c>
      <c r="O8569" s="5">
        <v>320162843139771</v>
      </c>
      <c r="P8569" s="6">
        <v>0.33</v>
      </c>
      <c r="Q8569" s="11">
        <v>2.2999999999999998</v>
      </c>
      <c r="R8569" s="11"/>
      <c r="S8569" s="11"/>
      <c r="T8569" s="11"/>
      <c r="U8569" s="11">
        <f t="shared" si="2423"/>
        <v>2.2999999999999998</v>
      </c>
      <c r="W8569">
        <v>2.5</v>
      </c>
      <c r="X8569" s="1" t="s">
        <v>22</v>
      </c>
    </row>
    <row r="8570" spans="1:24" x14ac:dyDescent="0.25">
      <c r="A8570" s="1" t="str">
        <f t="shared" si="2424"/>
        <v>卡卡杜-凤凰仓</v>
      </c>
      <c r="B8570" s="1" t="str">
        <f>"CK2024100819765"</f>
        <v>CK2024100819765</v>
      </c>
      <c r="C8570" s="1" t="str">
        <f>"DD2024100853377"</f>
        <v>DD2024100853377</v>
      </c>
      <c r="D8570" s="1" t="str">
        <f>"CK2024100852246"</f>
        <v>CK2024100852246</v>
      </c>
      <c r="E8570" s="1" t="str">
        <f>"3723169918792633344"</f>
        <v>3723169918792633344</v>
      </c>
      <c r="F8570" s="1" t="str">
        <f t="shared" si="2425"/>
        <v>花都四部-凤凰仓</v>
      </c>
      <c r="G8570" s="1" t="str">
        <f>"卡卡杜企业店（视频号）"</f>
        <v>卡卡杜企业店（视频号）</v>
      </c>
      <c r="H8570" s="1" t="str">
        <f t="shared" si="2426"/>
        <v>正常订单</v>
      </c>
      <c r="I8570" s="1" t="str">
        <f t="shared" si="2427"/>
        <v>已发货</v>
      </c>
      <c r="J8570" s="1" t="str">
        <f t="shared" si="2432"/>
        <v>2</v>
      </c>
      <c r="K8570" s="1">
        <v>2</v>
      </c>
      <c r="L8570" s="1" t="s">
        <v>36</v>
      </c>
      <c r="M8570" s="1" t="str">
        <f>"安徽省 黄山市 屯溪区 "</f>
        <v xml:space="preserve">安徽省 黄山市 屯溪区 </v>
      </c>
      <c r="N8570" s="1" t="str">
        <f>"凡华云仓-韵达-微信视频号"</f>
        <v>凡华云仓-韵达-微信视频号</v>
      </c>
      <c r="O8570" s="5">
        <v>315012327889467</v>
      </c>
      <c r="P8570" s="6">
        <v>0.28000000000000003</v>
      </c>
      <c r="Q8570" s="11">
        <v>2</v>
      </c>
      <c r="R8570" s="11"/>
      <c r="S8570" s="11"/>
      <c r="T8570" s="11"/>
      <c r="U8570" s="11">
        <f t="shared" si="2423"/>
        <v>2</v>
      </c>
      <c r="W8570">
        <v>2.2000000000000002</v>
      </c>
      <c r="X8570" s="1" t="s">
        <v>36</v>
      </c>
    </row>
    <row r="8571" spans="1:24" x14ac:dyDescent="0.25">
      <c r="A8571" s="1" t="str">
        <f t="shared" si="2424"/>
        <v>卡卡杜-凤凰仓</v>
      </c>
      <c r="B8571" s="1" t="str">
        <f>"CK2024100819766"</f>
        <v>CK2024100819766</v>
      </c>
      <c r="C8571" s="1" t="str">
        <f>"DD2024100853378"</f>
        <v>DD2024100853378</v>
      </c>
      <c r="D8571" s="1" t="str">
        <f>"CK2024100852245"</f>
        <v>CK2024100852245</v>
      </c>
      <c r="E8571" s="1" t="str">
        <f>"3723167738218284544"</f>
        <v>3723167738218284544</v>
      </c>
      <c r="F8571" s="1" t="str">
        <f t="shared" si="2425"/>
        <v>花都四部-凤凰仓</v>
      </c>
      <c r="G8571" s="1" t="str">
        <f>"卡卡杜企业店（视频号）"</f>
        <v>卡卡杜企业店（视频号）</v>
      </c>
      <c r="H8571" s="1" t="str">
        <f t="shared" si="2426"/>
        <v>正常订单</v>
      </c>
      <c r="I8571" s="1" t="str">
        <f t="shared" si="2427"/>
        <v>已发货</v>
      </c>
      <c r="J8571" s="1" t="str">
        <f t="shared" si="2432"/>
        <v>2</v>
      </c>
      <c r="K8571" s="1">
        <v>2</v>
      </c>
      <c r="L8571" s="1" t="s">
        <v>74</v>
      </c>
      <c r="M8571" s="1" t="str">
        <f>"上海 上海市 黄浦区 "</f>
        <v xml:space="preserve">上海 上海市 黄浦区 </v>
      </c>
      <c r="N8571" s="1" t="str">
        <f>"凡华云仓-韵达-微信视频号"</f>
        <v>凡华云仓-韵达-微信视频号</v>
      </c>
      <c r="O8571" s="5">
        <v>315012327885859</v>
      </c>
      <c r="P8571" s="6">
        <v>0.28000000000000003</v>
      </c>
      <c r="Q8571" s="11">
        <v>2</v>
      </c>
      <c r="R8571" s="11"/>
      <c r="S8571" s="11"/>
      <c r="T8571" s="11"/>
      <c r="U8571" s="11">
        <f t="shared" si="2423"/>
        <v>2</v>
      </c>
      <c r="W8571">
        <v>2.2000000000000002</v>
      </c>
      <c r="X8571" s="1" t="s">
        <v>74</v>
      </c>
    </row>
    <row r="8572" spans="1:24" x14ac:dyDescent="0.25">
      <c r="A8572" s="1" t="str">
        <f t="shared" si="2424"/>
        <v>卡卡杜-凤凰仓</v>
      </c>
      <c r="B8572" s="1" t="str">
        <f>"CK2024101019098"</f>
        <v>CK2024101019098</v>
      </c>
      <c r="C8572" s="1" t="str">
        <f>"DD2024101037432"</f>
        <v>DD2024101037432</v>
      </c>
      <c r="D8572" s="1" t="str">
        <f>"CK2024101037626"</f>
        <v>CK2024101037626</v>
      </c>
      <c r="E8572" s="1" t="str">
        <f>"KKD20241010YP003"</f>
        <v>KKD20241010YP003</v>
      </c>
      <c r="F8572" s="1" t="str">
        <f t="shared" si="2425"/>
        <v>花都四部-凤凰仓</v>
      </c>
      <c r="G8572" s="1" t="str">
        <f>"卡卡杜全欣样品"</f>
        <v>卡卡杜全欣样品</v>
      </c>
      <c r="H8572" s="1" t="str">
        <f t="shared" si="2426"/>
        <v>正常订单</v>
      </c>
      <c r="I8572" s="1" t="str">
        <f t="shared" si="2427"/>
        <v>已发货</v>
      </c>
      <c r="J8572" s="1" t="str">
        <f>"7"</f>
        <v>7</v>
      </c>
      <c r="K8572" s="1">
        <v>5</v>
      </c>
      <c r="L8572" s="1" t="s">
        <v>187</v>
      </c>
      <c r="M8572" s="1" t="str">
        <f>"吉林省 长春市 净月高新技术产业开发区 "</f>
        <v xml:space="preserve">吉林省 长春市 净月高新技术产业开发区 </v>
      </c>
      <c r="N8572" s="1" t="str">
        <f>"凡华云仓-韵达-淘宝"</f>
        <v>凡华云仓-韵达-淘宝</v>
      </c>
      <c r="O8572" s="3">
        <v>434181044508832</v>
      </c>
      <c r="P8572" s="6">
        <v>0.86</v>
      </c>
      <c r="Q8572" s="11">
        <f t="shared" ref="Q8572:Q8585" si="2433">CEILING(P8572-0.5,0.1)*10*0.15+2.3</f>
        <v>2.9</v>
      </c>
      <c r="R8572" s="11">
        <f t="shared" ref="R8572:R8583" si="2434">(K8572-3)*0.1</f>
        <v>0.2</v>
      </c>
      <c r="S8572" s="11">
        <v>0.15</v>
      </c>
      <c r="T8572" s="11"/>
      <c r="U8572" s="11">
        <f t="shared" si="2423"/>
        <v>3.25</v>
      </c>
      <c r="V8572" t="s">
        <v>15</v>
      </c>
      <c r="W8572">
        <v>3.25</v>
      </c>
      <c r="X8572" s="1" t="s">
        <v>187</v>
      </c>
    </row>
    <row r="8573" spans="1:24" x14ac:dyDescent="0.25">
      <c r="A8573" s="1" t="str">
        <f t="shared" si="2424"/>
        <v>卡卡杜-凤凰仓</v>
      </c>
      <c r="B8573" s="1" t="str">
        <f>"CK2024100819779"</f>
        <v>CK2024100819779</v>
      </c>
      <c r="C8573" s="1" t="str">
        <f>"DD2024100853395"</f>
        <v>DD2024100853395</v>
      </c>
      <c r="D8573" s="1" t="str">
        <f>"CK2024100852243"</f>
        <v>CK2024100852243</v>
      </c>
      <c r="E8573" s="1" t="str">
        <f>"KKD2024108YP014"</f>
        <v>KKD2024108YP014</v>
      </c>
      <c r="F8573" s="1" t="str">
        <f t="shared" si="2425"/>
        <v>花都四部-凤凰仓</v>
      </c>
      <c r="G8573" s="1" t="str">
        <f t="shared" ref="G8573:G8585" si="2435">"卡卡杜全欣样品"</f>
        <v>卡卡杜全欣样品</v>
      </c>
      <c r="H8573" s="1" t="str">
        <f t="shared" si="2426"/>
        <v>正常订单</v>
      </c>
      <c r="I8573" s="1" t="str">
        <f t="shared" si="2427"/>
        <v>已发货</v>
      </c>
      <c r="J8573" s="1" t="str">
        <f>"10"</f>
        <v>10</v>
      </c>
      <c r="K8573" s="1">
        <v>7</v>
      </c>
      <c r="L8573" s="1" t="s">
        <v>80</v>
      </c>
      <c r="M8573" s="1" t="str">
        <f>"河南省 商丘市 永城市 "</f>
        <v xml:space="preserve">河南省 商丘市 永城市 </v>
      </c>
      <c r="N8573" s="1" t="str">
        <f t="shared" ref="N8573:N8585" si="2436">"凡华云仓-韵达-淘宝"</f>
        <v>凡华云仓-韵达-淘宝</v>
      </c>
      <c r="O8573" s="3">
        <v>434176958554517</v>
      </c>
      <c r="P8573" s="6">
        <v>1.0900000000000001</v>
      </c>
      <c r="Q8573" s="11">
        <f t="shared" si="2433"/>
        <v>3.2</v>
      </c>
      <c r="R8573" s="11">
        <f t="shared" si="2434"/>
        <v>0.4</v>
      </c>
      <c r="S8573" s="11">
        <v>0.15</v>
      </c>
      <c r="T8573" s="11"/>
      <c r="U8573" s="11">
        <f t="shared" si="2423"/>
        <v>3.75</v>
      </c>
      <c r="V8573" t="s">
        <v>15</v>
      </c>
      <c r="W8573">
        <v>3.75</v>
      </c>
      <c r="X8573" s="1" t="s">
        <v>80</v>
      </c>
    </row>
    <row r="8574" spans="1:24" x14ac:dyDescent="0.25">
      <c r="A8574" s="1" t="str">
        <f t="shared" si="2424"/>
        <v>卡卡杜-凤凰仓</v>
      </c>
      <c r="B8574" s="1" t="str">
        <f>"CK2024100819781"</f>
        <v>CK2024100819781</v>
      </c>
      <c r="C8574" s="1" t="str">
        <f>"DD2024100853396"</f>
        <v>DD2024100853396</v>
      </c>
      <c r="D8574" s="1" t="str">
        <f>"CK2024100852242"</f>
        <v>CK2024100852242</v>
      </c>
      <c r="E8574" s="1" t="str">
        <f>"KKD2024108YP013"</f>
        <v>KKD2024108YP013</v>
      </c>
      <c r="F8574" s="1" t="str">
        <f t="shared" si="2425"/>
        <v>花都四部-凤凰仓</v>
      </c>
      <c r="G8574" s="1" t="str">
        <f t="shared" si="2435"/>
        <v>卡卡杜全欣样品</v>
      </c>
      <c r="H8574" s="1" t="str">
        <f t="shared" si="2426"/>
        <v>正常订单</v>
      </c>
      <c r="I8574" s="1" t="str">
        <f t="shared" si="2427"/>
        <v>已发货</v>
      </c>
      <c r="J8574" s="1" t="str">
        <f>"5"</f>
        <v>5</v>
      </c>
      <c r="K8574" s="1">
        <v>4</v>
      </c>
      <c r="L8574" s="1" t="s">
        <v>32</v>
      </c>
      <c r="M8574" s="1" t="str">
        <f>"陕西省 西安市 新城区 "</f>
        <v xml:space="preserve">陕西省 西安市 新城区 </v>
      </c>
      <c r="N8574" s="1" t="str">
        <f t="shared" si="2436"/>
        <v>凡华云仓-韵达-淘宝</v>
      </c>
      <c r="O8574" s="3">
        <v>434176950123305</v>
      </c>
      <c r="P8574" s="6">
        <v>0.62</v>
      </c>
      <c r="Q8574" s="11">
        <f t="shared" si="2433"/>
        <v>2.5999999999999996</v>
      </c>
      <c r="R8574" s="11"/>
      <c r="S8574" s="11">
        <v>0.15</v>
      </c>
      <c r="T8574" s="11"/>
      <c r="U8574" s="11">
        <f t="shared" si="2423"/>
        <v>2.7499999999999996</v>
      </c>
      <c r="V8574" t="s">
        <v>15</v>
      </c>
      <c r="W8574">
        <v>2.75</v>
      </c>
      <c r="X8574" s="1" t="s">
        <v>32</v>
      </c>
    </row>
    <row r="8575" spans="1:24" x14ac:dyDescent="0.25">
      <c r="A8575" s="1" t="str">
        <f t="shared" si="2424"/>
        <v>卡卡杜-凤凰仓</v>
      </c>
      <c r="B8575" s="1" t="str">
        <f>"CK2024100614351"</f>
        <v>CK2024100614351</v>
      </c>
      <c r="C8575" s="1" t="str">
        <f>"DD2024100647752"</f>
        <v>DD2024100647752</v>
      </c>
      <c r="D8575" s="1" t="str">
        <f>"CK2024100643901"</f>
        <v>CK2024100643901</v>
      </c>
      <c r="E8575" s="1" t="str">
        <f>"KKD20241006YP020"</f>
        <v>KKD20241006YP020</v>
      </c>
      <c r="F8575" s="1" t="str">
        <f t="shared" si="2425"/>
        <v>花都四部-凤凰仓</v>
      </c>
      <c r="G8575" s="1" t="str">
        <f t="shared" si="2435"/>
        <v>卡卡杜全欣样品</v>
      </c>
      <c r="H8575" s="1" t="str">
        <f t="shared" si="2426"/>
        <v>正常订单</v>
      </c>
      <c r="I8575" s="1" t="str">
        <f t="shared" si="2427"/>
        <v>已发货</v>
      </c>
      <c r="J8575" s="1" t="str">
        <f>"7"</f>
        <v>7</v>
      </c>
      <c r="K8575" s="1">
        <v>5</v>
      </c>
      <c r="L8575" s="1" t="s">
        <v>30</v>
      </c>
      <c r="M8575" s="1" t="str">
        <f>"山东省 潍坊市 青州市 "</f>
        <v xml:space="preserve">山东省 潍坊市 青州市 </v>
      </c>
      <c r="N8575" s="1" t="str">
        <f t="shared" si="2436"/>
        <v>凡华云仓-韵达-淘宝</v>
      </c>
      <c r="O8575" s="3">
        <v>434172753433264</v>
      </c>
      <c r="P8575" s="6">
        <v>0.86</v>
      </c>
      <c r="Q8575" s="11">
        <f t="shared" si="2433"/>
        <v>2.9</v>
      </c>
      <c r="R8575" s="11">
        <f t="shared" si="2434"/>
        <v>0.2</v>
      </c>
      <c r="S8575" s="11">
        <v>0.15</v>
      </c>
      <c r="T8575" s="11"/>
      <c r="U8575" s="11">
        <f t="shared" si="2423"/>
        <v>3.25</v>
      </c>
      <c r="V8575" t="s">
        <v>15</v>
      </c>
      <c r="W8575">
        <v>3.25</v>
      </c>
      <c r="X8575" s="1" t="s">
        <v>30</v>
      </c>
    </row>
    <row r="8576" spans="1:24" x14ac:dyDescent="0.25">
      <c r="A8576" s="1" t="str">
        <f t="shared" si="2424"/>
        <v>卡卡杜-凤凰仓</v>
      </c>
      <c r="B8576" s="1" t="str">
        <f>"CK2024100819782"</f>
        <v>CK2024100819782</v>
      </c>
      <c r="C8576" s="1" t="str">
        <f>"DD2024100853407"</f>
        <v>DD2024100853407</v>
      </c>
      <c r="D8576" s="1" t="str">
        <f>"CK2024100852240"</f>
        <v>CK2024100852240</v>
      </c>
      <c r="E8576" s="1" t="str">
        <f>"KKD2024108YP016"</f>
        <v>KKD2024108YP016</v>
      </c>
      <c r="F8576" s="1" t="str">
        <f t="shared" si="2425"/>
        <v>花都四部-凤凰仓</v>
      </c>
      <c r="G8576" s="1" t="str">
        <f t="shared" si="2435"/>
        <v>卡卡杜全欣样品</v>
      </c>
      <c r="H8576" s="1" t="str">
        <f t="shared" si="2426"/>
        <v>正常订单</v>
      </c>
      <c r="I8576" s="1" t="str">
        <f t="shared" si="2427"/>
        <v>已发货</v>
      </c>
      <c r="J8576" s="1" t="str">
        <f>"30"</f>
        <v>30</v>
      </c>
      <c r="K8576" s="1">
        <v>10</v>
      </c>
      <c r="L8576" s="1" t="s">
        <v>24</v>
      </c>
      <c r="M8576" s="1" t="str">
        <f>"福建省 厦门市 集美区 "</f>
        <v xml:space="preserve">福建省 厦门市 集美区 </v>
      </c>
      <c r="N8576" s="1" t="str">
        <f t="shared" si="2436"/>
        <v>凡华云仓-韵达-淘宝</v>
      </c>
      <c r="O8576" s="3">
        <v>434176948291490</v>
      </c>
      <c r="P8576" s="6">
        <v>3.39</v>
      </c>
      <c r="Q8576" s="11">
        <f>ROUNDUP(P8576,0)*VLOOKUP(L:L,'[1]3KG报价'!A:C,3,0)+VLOOKUP(L:L,'[1]3KG报价'!A:B,2,0)+0.8</f>
        <v>12.3</v>
      </c>
      <c r="R8576" s="11">
        <f t="shared" si="2434"/>
        <v>0.70000000000000007</v>
      </c>
      <c r="S8576" s="11">
        <v>0.15</v>
      </c>
      <c r="T8576" s="11"/>
      <c r="U8576" s="11">
        <f t="shared" si="2423"/>
        <v>13.15</v>
      </c>
      <c r="V8576" t="s">
        <v>1212</v>
      </c>
      <c r="W8576">
        <v>13.15</v>
      </c>
      <c r="X8576" s="1" t="s">
        <v>24</v>
      </c>
    </row>
    <row r="8577" spans="1:24" x14ac:dyDescent="0.25">
      <c r="A8577" s="1" t="str">
        <f t="shared" si="2424"/>
        <v>卡卡杜-凤凰仓</v>
      </c>
      <c r="B8577" s="1" t="str">
        <f>"CK2024100819770"</f>
        <v>CK2024100819770</v>
      </c>
      <c r="C8577" s="1" t="str">
        <f>"DD2024100853386"</f>
        <v>DD2024100853386</v>
      </c>
      <c r="D8577" s="1" t="str">
        <f>"CK2024100852233"</f>
        <v>CK2024100852233</v>
      </c>
      <c r="E8577" s="1" t="str">
        <f>"KKD2024108YP010"</f>
        <v>KKD2024108YP010</v>
      </c>
      <c r="F8577" s="1" t="str">
        <f t="shared" si="2425"/>
        <v>花都四部-凤凰仓</v>
      </c>
      <c r="G8577" s="1" t="str">
        <f t="shared" si="2435"/>
        <v>卡卡杜全欣样品</v>
      </c>
      <c r="H8577" s="1" t="str">
        <f t="shared" si="2426"/>
        <v>正常订单</v>
      </c>
      <c r="I8577" s="1" t="str">
        <f t="shared" si="2427"/>
        <v>已发货</v>
      </c>
      <c r="J8577" s="1" t="str">
        <f>"7"</f>
        <v>7</v>
      </c>
      <c r="K8577" s="1">
        <v>5</v>
      </c>
      <c r="L8577" s="1" t="s">
        <v>18</v>
      </c>
      <c r="M8577" s="1" t="str">
        <f>"广东省 中山市 沙溪镇 "</f>
        <v xml:space="preserve">广东省 中山市 沙溪镇 </v>
      </c>
      <c r="N8577" s="1" t="str">
        <f t="shared" si="2436"/>
        <v>凡华云仓-韵达-淘宝</v>
      </c>
      <c r="O8577" s="3">
        <v>434176943739404</v>
      </c>
      <c r="P8577" s="6">
        <v>0.95</v>
      </c>
      <c r="Q8577" s="11">
        <f>CEILING(P8577-0.5,0.1)*10*0.15+2.3</f>
        <v>3.05</v>
      </c>
      <c r="R8577" s="11">
        <f t="shared" si="2434"/>
        <v>0.2</v>
      </c>
      <c r="S8577" s="11">
        <v>0.15</v>
      </c>
      <c r="T8577" s="11"/>
      <c r="U8577" s="11">
        <f t="shared" si="2423"/>
        <v>3.4</v>
      </c>
      <c r="V8577" t="s">
        <v>15</v>
      </c>
      <c r="W8577">
        <v>3.4</v>
      </c>
      <c r="X8577" s="1" t="s">
        <v>18</v>
      </c>
    </row>
    <row r="8578" spans="1:24" x14ac:dyDescent="0.25">
      <c r="A8578" s="1" t="str">
        <f t="shared" si="2424"/>
        <v>卡卡杜-凤凰仓</v>
      </c>
      <c r="B8578" s="1" t="str">
        <f>"CK2024100819778"</f>
        <v>CK2024100819778</v>
      </c>
      <c r="C8578" s="1" t="str">
        <f>"DD2024100853392"</f>
        <v>DD2024100853392</v>
      </c>
      <c r="D8578" s="1" t="str">
        <f>"CK2024100852238"</f>
        <v>CK2024100852238</v>
      </c>
      <c r="E8578" s="1" t="str">
        <f>"KKD2024108YP012"</f>
        <v>KKD2024108YP012</v>
      </c>
      <c r="F8578" s="1" t="str">
        <f t="shared" si="2425"/>
        <v>花都四部-凤凰仓</v>
      </c>
      <c r="G8578" s="1" t="str">
        <f t="shared" si="2435"/>
        <v>卡卡杜全欣样品</v>
      </c>
      <c r="H8578" s="1" t="str">
        <f t="shared" si="2426"/>
        <v>正常订单</v>
      </c>
      <c r="I8578" s="1" t="str">
        <f t="shared" si="2427"/>
        <v>已发货</v>
      </c>
      <c r="J8578" s="1" t="str">
        <f>"10"</f>
        <v>10</v>
      </c>
      <c r="K8578" s="1">
        <v>7</v>
      </c>
      <c r="L8578" s="1" t="s">
        <v>13</v>
      </c>
      <c r="M8578" s="1" t="str">
        <f>"江苏省 宿迁市 宿城区 "</f>
        <v xml:space="preserve">江苏省 宿迁市 宿城区 </v>
      </c>
      <c r="N8578" s="1" t="str">
        <f t="shared" si="2436"/>
        <v>凡华云仓-韵达-淘宝</v>
      </c>
      <c r="O8578" s="3">
        <v>434176962487429</v>
      </c>
      <c r="P8578" s="6">
        <v>1.0900000000000001</v>
      </c>
      <c r="Q8578" s="11">
        <f t="shared" si="2433"/>
        <v>3.2</v>
      </c>
      <c r="R8578" s="11">
        <f t="shared" si="2434"/>
        <v>0.4</v>
      </c>
      <c r="S8578" s="11">
        <v>0.15</v>
      </c>
      <c r="T8578" s="11"/>
      <c r="U8578" s="11">
        <f t="shared" si="2423"/>
        <v>3.75</v>
      </c>
      <c r="V8578" t="s">
        <v>15</v>
      </c>
      <c r="W8578">
        <v>3.75</v>
      </c>
      <c r="X8578" s="1" t="s">
        <v>13</v>
      </c>
    </row>
    <row r="8579" spans="1:24" x14ac:dyDescent="0.25">
      <c r="A8579" s="1" t="str">
        <f t="shared" si="2424"/>
        <v>卡卡杜-凤凰仓</v>
      </c>
      <c r="B8579" s="1" t="str">
        <f>"CK2024100819775"</f>
        <v>CK2024100819775</v>
      </c>
      <c r="C8579" s="1" t="str">
        <f>"DD2024100853391"</f>
        <v>DD2024100853391</v>
      </c>
      <c r="D8579" s="1" t="str">
        <f>"CK2024100852237"</f>
        <v>CK2024100852237</v>
      </c>
      <c r="E8579" s="1" t="str">
        <f>"KKD2024108YP007"</f>
        <v>KKD2024108YP007</v>
      </c>
      <c r="F8579" s="1" t="str">
        <f t="shared" si="2425"/>
        <v>花都四部-凤凰仓</v>
      </c>
      <c r="G8579" s="1" t="str">
        <f t="shared" si="2435"/>
        <v>卡卡杜全欣样品</v>
      </c>
      <c r="H8579" s="1" t="str">
        <f t="shared" si="2426"/>
        <v>正常订单</v>
      </c>
      <c r="I8579" s="1" t="str">
        <f t="shared" si="2427"/>
        <v>已发货</v>
      </c>
      <c r="J8579" s="1" t="str">
        <f>"13"</f>
        <v>13</v>
      </c>
      <c r="K8579" s="1">
        <v>10</v>
      </c>
      <c r="L8579" s="1" t="s">
        <v>105</v>
      </c>
      <c r="M8579" s="1" t="str">
        <f>"北京 北京市 朝阳区 "</f>
        <v xml:space="preserve">北京 北京市 朝阳区 </v>
      </c>
      <c r="N8579" s="1" t="str">
        <f t="shared" si="2436"/>
        <v>凡华云仓-韵达-淘宝</v>
      </c>
      <c r="O8579" s="3">
        <v>434176946930264</v>
      </c>
      <c r="P8579" s="6">
        <v>1.4</v>
      </c>
      <c r="Q8579" s="11">
        <f t="shared" si="2433"/>
        <v>3.6499999999999995</v>
      </c>
      <c r="R8579" s="11">
        <f t="shared" si="2434"/>
        <v>0.70000000000000007</v>
      </c>
      <c r="S8579" s="11">
        <v>0.15</v>
      </c>
      <c r="T8579" s="11"/>
      <c r="U8579" s="11">
        <f t="shared" ref="U8579:U8642" si="2437">T8579+S8579+R8579+Q8579</f>
        <v>4.5</v>
      </c>
      <c r="V8579" t="s">
        <v>15</v>
      </c>
      <c r="W8579">
        <v>4.5</v>
      </c>
      <c r="X8579" s="1" t="s">
        <v>105</v>
      </c>
    </row>
    <row r="8580" spans="1:24" x14ac:dyDescent="0.25">
      <c r="A8580" s="1" t="str">
        <f t="shared" si="2424"/>
        <v>卡卡杜-凤凰仓</v>
      </c>
      <c r="B8580" s="1" t="str">
        <f>"CK2024100819774"</f>
        <v>CK2024100819774</v>
      </c>
      <c r="C8580" s="1" t="str">
        <f>"DD2024100853390"</f>
        <v>DD2024100853390</v>
      </c>
      <c r="D8580" s="1" t="str">
        <f>"CK2024100852236"</f>
        <v>CK2024100852236</v>
      </c>
      <c r="E8580" s="1" t="str">
        <f>"KKD2024108YP009"</f>
        <v>KKD2024108YP009</v>
      </c>
      <c r="F8580" s="1" t="str">
        <f t="shared" si="2425"/>
        <v>花都四部-凤凰仓</v>
      </c>
      <c r="G8580" s="1" t="str">
        <f t="shared" si="2435"/>
        <v>卡卡杜全欣样品</v>
      </c>
      <c r="H8580" s="1" t="str">
        <f t="shared" si="2426"/>
        <v>正常订单</v>
      </c>
      <c r="I8580" s="1" t="str">
        <f t="shared" si="2427"/>
        <v>已发货</v>
      </c>
      <c r="J8580" s="1" t="str">
        <f t="shared" ref="J8580:J8582" si="2438">"15"</f>
        <v>15</v>
      </c>
      <c r="K8580" s="1">
        <v>10</v>
      </c>
      <c r="L8580" s="1" t="s">
        <v>16</v>
      </c>
      <c r="M8580" s="1" t="str">
        <f>"河北省 邢台市 任县 "</f>
        <v xml:space="preserve">河北省 邢台市 任县 </v>
      </c>
      <c r="N8580" s="1" t="str">
        <f t="shared" si="2436"/>
        <v>凡华云仓-韵达-淘宝</v>
      </c>
      <c r="O8580" s="3">
        <v>434176944556520</v>
      </c>
      <c r="P8580" s="6">
        <v>1.62</v>
      </c>
      <c r="Q8580" s="11">
        <f t="shared" si="2433"/>
        <v>4.0999999999999996</v>
      </c>
      <c r="R8580" s="11">
        <f t="shared" si="2434"/>
        <v>0.70000000000000007</v>
      </c>
      <c r="S8580" s="11">
        <v>0.15</v>
      </c>
      <c r="T8580" s="11"/>
      <c r="U8580" s="11">
        <f t="shared" si="2437"/>
        <v>4.9499999999999993</v>
      </c>
      <c r="V8580" t="s">
        <v>15</v>
      </c>
      <c r="W8580">
        <v>4.95</v>
      </c>
      <c r="X8580" s="1" t="s">
        <v>16</v>
      </c>
    </row>
    <row r="8581" spans="1:24" x14ac:dyDescent="0.25">
      <c r="A8581" s="1" t="str">
        <f t="shared" ref="A8581:A8644" si="2439">"卡卡杜-凤凰仓"</f>
        <v>卡卡杜-凤凰仓</v>
      </c>
      <c r="B8581" s="1" t="str">
        <f>"CK2024100819773"</f>
        <v>CK2024100819773</v>
      </c>
      <c r="C8581" s="1" t="str">
        <f>"DD2024100853389"</f>
        <v>DD2024100853389</v>
      </c>
      <c r="D8581" s="1" t="str">
        <f>"CK2024100852235"</f>
        <v>CK2024100852235</v>
      </c>
      <c r="E8581" s="1" t="str">
        <f>"KKD2024108YP011"</f>
        <v>KKD2024108YP011</v>
      </c>
      <c r="F8581" s="1" t="str">
        <f t="shared" ref="F8581:F8644" si="2440">"花都四部-凤凰仓"</f>
        <v>花都四部-凤凰仓</v>
      </c>
      <c r="G8581" s="1" t="str">
        <f t="shared" si="2435"/>
        <v>卡卡杜全欣样品</v>
      </c>
      <c r="H8581" s="1" t="str">
        <f t="shared" ref="H8581:H8644" si="2441">"正常订单"</f>
        <v>正常订单</v>
      </c>
      <c r="I8581" s="1" t="str">
        <f t="shared" ref="I8581:I8644" si="2442">"已发货"</f>
        <v>已发货</v>
      </c>
      <c r="J8581" s="1" t="str">
        <f t="shared" si="2438"/>
        <v>15</v>
      </c>
      <c r="K8581" s="1">
        <v>10</v>
      </c>
      <c r="L8581" s="1" t="s">
        <v>30</v>
      </c>
      <c r="M8581" s="1" t="str">
        <f>"山东省 聊城市 东昌府区 "</f>
        <v xml:space="preserve">山东省 聊城市 东昌府区 </v>
      </c>
      <c r="N8581" s="1" t="str">
        <f t="shared" si="2436"/>
        <v>凡华云仓-韵达-淘宝</v>
      </c>
      <c r="O8581" s="3">
        <v>434176951670345</v>
      </c>
      <c r="P8581" s="6">
        <v>1.62</v>
      </c>
      <c r="Q8581" s="11">
        <f t="shared" si="2433"/>
        <v>4.0999999999999996</v>
      </c>
      <c r="R8581" s="11">
        <f t="shared" si="2434"/>
        <v>0.70000000000000007</v>
      </c>
      <c r="S8581" s="11">
        <v>0.15</v>
      </c>
      <c r="T8581" s="11"/>
      <c r="U8581" s="11">
        <f t="shared" si="2437"/>
        <v>4.9499999999999993</v>
      </c>
      <c r="V8581" t="s">
        <v>15</v>
      </c>
      <c r="W8581">
        <v>4.95</v>
      </c>
      <c r="X8581" s="1" t="s">
        <v>30</v>
      </c>
    </row>
    <row r="8582" spans="1:24" x14ac:dyDescent="0.25">
      <c r="A8582" s="1" t="str">
        <f t="shared" si="2439"/>
        <v>卡卡杜-凤凰仓</v>
      </c>
      <c r="B8582" s="1" t="str">
        <f>"CK2024100819772"</f>
        <v>CK2024100819772</v>
      </c>
      <c r="C8582" s="1" t="str">
        <f>"DD2024100853388"</f>
        <v>DD2024100853388</v>
      </c>
      <c r="D8582" s="1" t="str">
        <f>"CK2024100852234"</f>
        <v>CK2024100852234</v>
      </c>
      <c r="E8582" s="1" t="str">
        <f>"KKD2024108YP008"</f>
        <v>KKD2024108YP008</v>
      </c>
      <c r="F8582" s="1" t="str">
        <f t="shared" si="2440"/>
        <v>花都四部-凤凰仓</v>
      </c>
      <c r="G8582" s="1" t="str">
        <f t="shared" si="2435"/>
        <v>卡卡杜全欣样品</v>
      </c>
      <c r="H8582" s="1" t="str">
        <f t="shared" si="2441"/>
        <v>正常订单</v>
      </c>
      <c r="I8582" s="1" t="str">
        <f t="shared" si="2442"/>
        <v>已发货</v>
      </c>
      <c r="J8582" s="1" t="str">
        <f t="shared" si="2438"/>
        <v>15</v>
      </c>
      <c r="K8582" s="1">
        <v>10</v>
      </c>
      <c r="L8582" s="1" t="s">
        <v>41</v>
      </c>
      <c r="M8582" s="1" t="str">
        <f>"湖北省 武汉市 江夏区 "</f>
        <v xml:space="preserve">湖北省 武汉市 江夏区 </v>
      </c>
      <c r="N8582" s="1" t="str">
        <f t="shared" si="2436"/>
        <v>凡华云仓-韵达-淘宝</v>
      </c>
      <c r="O8582" s="3">
        <v>434176960134756</v>
      </c>
      <c r="P8582" s="6">
        <v>1.62</v>
      </c>
      <c r="Q8582" s="11">
        <f t="shared" si="2433"/>
        <v>4.0999999999999996</v>
      </c>
      <c r="R8582" s="11">
        <f t="shared" si="2434"/>
        <v>0.70000000000000007</v>
      </c>
      <c r="S8582" s="11">
        <v>0.15</v>
      </c>
      <c r="T8582" s="11"/>
      <c r="U8582" s="11">
        <f t="shared" si="2437"/>
        <v>4.9499999999999993</v>
      </c>
      <c r="V8582" t="s">
        <v>15</v>
      </c>
      <c r="W8582">
        <v>4.95</v>
      </c>
      <c r="X8582" s="1" t="s">
        <v>41</v>
      </c>
    </row>
    <row r="8583" spans="1:24" x14ac:dyDescent="0.25">
      <c r="A8583" s="1" t="str">
        <f t="shared" si="2439"/>
        <v>卡卡杜-凤凰仓</v>
      </c>
      <c r="B8583" s="1" t="str">
        <f>"CK2024100819771"</f>
        <v>CK2024100819771</v>
      </c>
      <c r="C8583" s="1" t="str">
        <f>"DD2024100853387"</f>
        <v>DD2024100853387</v>
      </c>
      <c r="D8583" s="1" t="str">
        <f>"CK2024100852239"</f>
        <v>CK2024100852239</v>
      </c>
      <c r="E8583" s="1" t="str">
        <f>"KKD2024108YP005"</f>
        <v>KKD2024108YP005</v>
      </c>
      <c r="F8583" s="1" t="str">
        <f t="shared" si="2440"/>
        <v>花都四部-凤凰仓</v>
      </c>
      <c r="G8583" s="1" t="str">
        <f t="shared" si="2435"/>
        <v>卡卡杜全欣样品</v>
      </c>
      <c r="H8583" s="1" t="str">
        <f t="shared" si="2441"/>
        <v>正常订单</v>
      </c>
      <c r="I8583" s="1" t="str">
        <f t="shared" si="2442"/>
        <v>已发货</v>
      </c>
      <c r="J8583" s="1" t="str">
        <f>"7"</f>
        <v>7</v>
      </c>
      <c r="K8583" s="1">
        <v>5</v>
      </c>
      <c r="L8583" s="1" t="s">
        <v>96</v>
      </c>
      <c r="M8583" s="1" t="str">
        <f>"广西壮族自治区 南宁市 良庆区 "</f>
        <v xml:space="preserve">广西壮族自治区 南宁市 良庆区 </v>
      </c>
      <c r="N8583" s="1" t="str">
        <f t="shared" si="2436"/>
        <v>凡华云仓-韵达-淘宝</v>
      </c>
      <c r="O8583" s="3">
        <v>434176950894796</v>
      </c>
      <c r="P8583" s="6">
        <v>0.95</v>
      </c>
      <c r="Q8583" s="11">
        <f t="shared" si="2433"/>
        <v>3.05</v>
      </c>
      <c r="R8583" s="11">
        <f t="shared" si="2434"/>
        <v>0.2</v>
      </c>
      <c r="S8583" s="11">
        <v>0.15</v>
      </c>
      <c r="T8583" s="11"/>
      <c r="U8583" s="11">
        <f t="shared" si="2437"/>
        <v>3.4</v>
      </c>
      <c r="V8583" t="s">
        <v>15</v>
      </c>
      <c r="W8583">
        <v>3.4</v>
      </c>
      <c r="X8583" s="1" t="s">
        <v>96</v>
      </c>
    </row>
    <row r="8584" spans="1:24" x14ac:dyDescent="0.25">
      <c r="A8584" s="1" t="str">
        <f t="shared" si="2439"/>
        <v>卡卡杜-凤凰仓</v>
      </c>
      <c r="B8584" s="1" t="str">
        <f>"CK2024100819780"</f>
        <v>CK2024100819780</v>
      </c>
      <c r="C8584" s="1" t="str">
        <f>"DD2024100853397"</f>
        <v>DD2024100853397</v>
      </c>
      <c r="D8584" s="1" t="str">
        <f>"CK2024100852232"</f>
        <v>CK2024100852232</v>
      </c>
      <c r="E8584" s="1" t="str">
        <f>"KKD2024108YP003"</f>
        <v>KKD2024108YP003</v>
      </c>
      <c r="F8584" s="1" t="str">
        <f t="shared" si="2440"/>
        <v>花都四部-凤凰仓</v>
      </c>
      <c r="G8584" s="1" t="str">
        <f t="shared" si="2435"/>
        <v>卡卡杜全欣样品</v>
      </c>
      <c r="H8584" s="1" t="str">
        <f t="shared" si="2441"/>
        <v>正常订单</v>
      </c>
      <c r="I8584" s="1" t="str">
        <f t="shared" si="2442"/>
        <v>已发货</v>
      </c>
      <c r="J8584" s="1" t="str">
        <f>"5"</f>
        <v>5</v>
      </c>
      <c r="K8584" s="1">
        <v>4</v>
      </c>
      <c r="L8584" s="1" t="s">
        <v>16</v>
      </c>
      <c r="M8584" s="1" t="str">
        <f>"河北省 保定市 莲池区 "</f>
        <v xml:space="preserve">河北省 保定市 莲池区 </v>
      </c>
      <c r="N8584" s="1" t="str">
        <f t="shared" si="2436"/>
        <v>凡华云仓-韵达-淘宝</v>
      </c>
      <c r="O8584" s="3">
        <v>434176964042825</v>
      </c>
      <c r="P8584" s="6">
        <v>0.62</v>
      </c>
      <c r="Q8584" s="11">
        <f t="shared" si="2433"/>
        <v>2.5999999999999996</v>
      </c>
      <c r="R8584" s="11"/>
      <c r="S8584" s="11">
        <v>0.15</v>
      </c>
      <c r="T8584" s="11"/>
      <c r="U8584" s="11">
        <f t="shared" si="2437"/>
        <v>2.7499999999999996</v>
      </c>
      <c r="V8584" t="s">
        <v>15</v>
      </c>
      <c r="W8584">
        <v>2.75</v>
      </c>
      <c r="X8584" s="1" t="s">
        <v>16</v>
      </c>
    </row>
    <row r="8585" spans="1:24" x14ac:dyDescent="0.25">
      <c r="A8585" s="1" t="str">
        <f t="shared" si="2439"/>
        <v>卡卡杜-凤凰仓</v>
      </c>
      <c r="B8585" s="1" t="str">
        <f>"CK2024100819783"</f>
        <v>CK2024100819783</v>
      </c>
      <c r="C8585" s="1" t="str">
        <f>"DD2024100853408"</f>
        <v>DD2024100853408</v>
      </c>
      <c r="D8585" s="1" t="str">
        <f>"CK2024100852231"</f>
        <v>CK2024100852231</v>
      </c>
      <c r="E8585" s="1" t="str">
        <f>"KKD2024108YP004"</f>
        <v>KKD2024108YP004</v>
      </c>
      <c r="F8585" s="1" t="str">
        <f t="shared" si="2440"/>
        <v>花都四部-凤凰仓</v>
      </c>
      <c r="G8585" s="1" t="str">
        <f t="shared" si="2435"/>
        <v>卡卡杜全欣样品</v>
      </c>
      <c r="H8585" s="1" t="str">
        <f t="shared" si="2441"/>
        <v>正常订单</v>
      </c>
      <c r="I8585" s="1" t="str">
        <f t="shared" si="2442"/>
        <v>已发货</v>
      </c>
      <c r="J8585" s="1" t="str">
        <f>"17"</f>
        <v>17</v>
      </c>
      <c r="K8585" s="1">
        <v>10</v>
      </c>
      <c r="L8585" s="1" t="s">
        <v>24</v>
      </c>
      <c r="M8585" s="1" t="str">
        <f>"福建省 厦门市 集美区 "</f>
        <v xml:space="preserve">福建省 厦门市 集美区 </v>
      </c>
      <c r="N8585" s="1" t="str">
        <f t="shared" si="2436"/>
        <v>凡华云仓-韵达-淘宝</v>
      </c>
      <c r="O8585" s="3">
        <v>434176951670169</v>
      </c>
      <c r="P8585" s="6">
        <v>2.02</v>
      </c>
      <c r="Q8585" s="11">
        <f t="shared" si="2433"/>
        <v>4.6999999999999993</v>
      </c>
      <c r="R8585" s="11">
        <f>(K8585-3)*0.1</f>
        <v>0.70000000000000007</v>
      </c>
      <c r="S8585" s="11">
        <v>0.15</v>
      </c>
      <c r="T8585" s="11"/>
      <c r="U8585" s="11">
        <f t="shared" si="2437"/>
        <v>5.5499999999999989</v>
      </c>
      <c r="V8585" t="s">
        <v>15</v>
      </c>
      <c r="W8585">
        <v>5.55</v>
      </c>
      <c r="X8585" s="1" t="s">
        <v>24</v>
      </c>
    </row>
    <row r="8586" spans="1:24" x14ac:dyDescent="0.25">
      <c r="A8586" s="1" t="str">
        <f t="shared" si="2439"/>
        <v>卡卡杜-凤凰仓</v>
      </c>
      <c r="B8586" s="1" t="str">
        <f>"CK2024100819752"</f>
        <v>CK2024100819752</v>
      </c>
      <c r="C8586" s="1" t="str">
        <f>"DD2024100853142"</f>
        <v>DD2024100853142</v>
      </c>
      <c r="D8586" s="1" t="str">
        <f>"CK2024100852230"</f>
        <v>CK2024100852230</v>
      </c>
      <c r="E8586" s="1" t="str">
        <f>"6917963249203445162"</f>
        <v>6917963249203445162</v>
      </c>
      <c r="F8586" s="1" t="str">
        <f t="shared" si="2440"/>
        <v>花都四部-凤凰仓</v>
      </c>
      <c r="G8586" s="1" t="str">
        <f t="shared" ref="G8586:G8610" si="2443">"卡卡杜个人护理店（抖店）"</f>
        <v>卡卡杜个人护理店（抖店）</v>
      </c>
      <c r="H8586" s="1" t="str">
        <f t="shared" si="2441"/>
        <v>正常订单</v>
      </c>
      <c r="I8586" s="1" t="str">
        <f t="shared" si="2442"/>
        <v>已发货</v>
      </c>
      <c r="J8586" s="1" t="str">
        <f t="shared" ref="J8586:J8600" si="2444">"2"</f>
        <v>2</v>
      </c>
      <c r="K8586" s="1">
        <v>1</v>
      </c>
      <c r="L8586" s="1" t="s">
        <v>24</v>
      </c>
      <c r="M8586" s="1" t="str">
        <f>"福建省 龙岩市 新罗区 "</f>
        <v xml:space="preserve">福建省 龙岩市 新罗区 </v>
      </c>
      <c r="N8586" s="1" t="str">
        <f t="shared" ref="N8586:N8610" si="2445">"凡华云仓-韵达-抖音"</f>
        <v>凡华云仓-韵达-抖音</v>
      </c>
      <c r="O8586" s="5">
        <v>320161820372702</v>
      </c>
      <c r="P8586" s="6">
        <v>0.33</v>
      </c>
      <c r="Q8586" s="11">
        <v>2.2999999999999998</v>
      </c>
      <c r="R8586" s="11"/>
      <c r="S8586" s="11"/>
      <c r="T8586" s="11"/>
      <c r="U8586" s="11">
        <f t="shared" si="2437"/>
        <v>2.2999999999999998</v>
      </c>
      <c r="W8586">
        <v>2.5</v>
      </c>
      <c r="X8586" s="1" t="s">
        <v>24</v>
      </c>
    </row>
    <row r="8587" spans="1:24" x14ac:dyDescent="0.25">
      <c r="A8587" s="1" t="str">
        <f t="shared" si="2439"/>
        <v>卡卡杜-凤凰仓</v>
      </c>
      <c r="B8587" s="1" t="str">
        <f>"CK2024100924"</f>
        <v>CK2024100924</v>
      </c>
      <c r="C8587" s="1" t="str">
        <f>"DD2024100910476"</f>
        <v>DD2024100910476</v>
      </c>
      <c r="D8587" s="1" t="str">
        <f>"CK2024100920425"</f>
        <v>CK2024100920425</v>
      </c>
      <c r="E8587" s="1" t="str">
        <f>"6917968154339082099"</f>
        <v>6917968154339082099</v>
      </c>
      <c r="F8587" s="1" t="str">
        <f t="shared" si="2440"/>
        <v>花都四部-凤凰仓</v>
      </c>
      <c r="G8587" s="1" t="str">
        <f t="shared" si="2443"/>
        <v>卡卡杜个人护理店（抖店）</v>
      </c>
      <c r="H8587" s="1" t="str">
        <f t="shared" si="2441"/>
        <v>正常订单</v>
      </c>
      <c r="I8587" s="1" t="str">
        <f t="shared" si="2442"/>
        <v>已发货</v>
      </c>
      <c r="J8587" s="1" t="str">
        <f>"4"</f>
        <v>4</v>
      </c>
      <c r="K8587" s="1">
        <v>1</v>
      </c>
      <c r="L8587" s="1" t="s">
        <v>18</v>
      </c>
      <c r="M8587" s="1" t="str">
        <f>"广东省 惠州市 惠阳区 大亚湾澳头街道"</f>
        <v>广东省 惠州市 惠阳区 大亚湾澳头街道</v>
      </c>
      <c r="N8587" s="1" t="str">
        <f t="shared" si="2445"/>
        <v>凡华云仓-韵达-抖音</v>
      </c>
      <c r="O8587" s="5">
        <v>320162847150017</v>
      </c>
      <c r="P8587" s="6">
        <v>0.57999999999999996</v>
      </c>
      <c r="Q8587" s="11">
        <f>CEILING(P8587-0.5,0.1)*10*0.15+2.3</f>
        <v>2.4499999999999997</v>
      </c>
      <c r="R8587" s="11"/>
      <c r="S8587" s="11"/>
      <c r="T8587" s="11"/>
      <c r="U8587" s="11">
        <f t="shared" si="2437"/>
        <v>2.4499999999999997</v>
      </c>
      <c r="V8587" t="s">
        <v>15</v>
      </c>
      <c r="W8587">
        <v>2.4500000000000002</v>
      </c>
      <c r="X8587" s="1" t="s">
        <v>18</v>
      </c>
    </row>
    <row r="8588" spans="1:24" x14ac:dyDescent="0.25">
      <c r="A8588" s="1" t="str">
        <f t="shared" si="2439"/>
        <v>卡卡杜-凤凰仓</v>
      </c>
      <c r="B8588" s="1" t="str">
        <f>"CK2024100819758"</f>
        <v>CK2024100819758</v>
      </c>
      <c r="C8588" s="1" t="str">
        <f>"DD2024100853156"</f>
        <v>DD2024100853156</v>
      </c>
      <c r="D8588" s="1" t="str">
        <f>"CK2024100852228"</f>
        <v>CK2024100852228</v>
      </c>
      <c r="E8588" s="1" t="str">
        <f>"6917954069662498017"</f>
        <v>6917954069662498017</v>
      </c>
      <c r="F8588" s="1" t="str">
        <f t="shared" si="2440"/>
        <v>花都四部-凤凰仓</v>
      </c>
      <c r="G8588" s="1" t="str">
        <f t="shared" si="2443"/>
        <v>卡卡杜个人护理店（抖店）</v>
      </c>
      <c r="H8588" s="1" t="str">
        <f t="shared" si="2441"/>
        <v>正常订单</v>
      </c>
      <c r="I8588" s="1" t="str">
        <f t="shared" si="2442"/>
        <v>已发货</v>
      </c>
      <c r="J8588" s="1" t="str">
        <f t="shared" si="2444"/>
        <v>2</v>
      </c>
      <c r="K8588" s="1">
        <v>1</v>
      </c>
      <c r="L8588" s="1" t="s">
        <v>22</v>
      </c>
      <c r="M8588" s="1" t="str">
        <f>"江西省 抚州市 临川区 钟岭街道"</f>
        <v>江西省 抚州市 临川区 钟岭街道</v>
      </c>
      <c r="N8588" s="1" t="str">
        <f t="shared" si="2445"/>
        <v>凡华云仓-韵达-抖音</v>
      </c>
      <c r="O8588" s="5">
        <v>320161820372502</v>
      </c>
      <c r="P8588" s="6">
        <v>0.33</v>
      </c>
      <c r="Q8588" s="11">
        <v>2.2999999999999998</v>
      </c>
      <c r="R8588" s="11"/>
      <c r="S8588" s="11"/>
      <c r="T8588" s="11"/>
      <c r="U8588" s="11">
        <f t="shared" si="2437"/>
        <v>2.2999999999999998</v>
      </c>
      <c r="W8588">
        <v>2.5</v>
      </c>
      <c r="X8588" s="1" t="s">
        <v>22</v>
      </c>
    </row>
    <row r="8589" spans="1:24" x14ac:dyDescent="0.25">
      <c r="A8589" s="1" t="str">
        <f t="shared" si="2439"/>
        <v>卡卡杜-凤凰仓</v>
      </c>
      <c r="B8589" s="1" t="str">
        <f>"CK2024100819760"</f>
        <v>CK2024100819760</v>
      </c>
      <c r="C8589" s="1" t="str">
        <f>"DD2024100853157"</f>
        <v>DD2024100853157</v>
      </c>
      <c r="D8589" s="1" t="str">
        <f>"CK2024100852227"</f>
        <v>CK2024100852227</v>
      </c>
      <c r="E8589" s="1" t="str">
        <f>"6917954054286638898"</f>
        <v>6917954054286638898</v>
      </c>
      <c r="F8589" s="1" t="str">
        <f t="shared" si="2440"/>
        <v>花都四部-凤凰仓</v>
      </c>
      <c r="G8589" s="1" t="str">
        <f t="shared" si="2443"/>
        <v>卡卡杜个人护理店（抖店）</v>
      </c>
      <c r="H8589" s="1" t="str">
        <f t="shared" si="2441"/>
        <v>正常订单</v>
      </c>
      <c r="I8589" s="1" t="str">
        <f t="shared" si="2442"/>
        <v>已发货</v>
      </c>
      <c r="J8589" s="1" t="str">
        <f t="shared" si="2444"/>
        <v>2</v>
      </c>
      <c r="K8589" s="1">
        <v>1</v>
      </c>
      <c r="L8589" s="1" t="s">
        <v>94</v>
      </c>
      <c r="M8589" s="1" t="str">
        <f>"湖南省 衡阳市 耒阳市 五里牌街道"</f>
        <v>湖南省 衡阳市 耒阳市 五里牌街道</v>
      </c>
      <c r="N8589" s="1" t="str">
        <f t="shared" si="2445"/>
        <v>凡华云仓-韵达-抖音</v>
      </c>
      <c r="O8589" s="5">
        <v>320161820372405</v>
      </c>
      <c r="P8589" s="6">
        <v>0.33</v>
      </c>
      <c r="Q8589" s="11">
        <v>2.2999999999999998</v>
      </c>
      <c r="R8589" s="11"/>
      <c r="S8589" s="11"/>
      <c r="T8589" s="11"/>
      <c r="U8589" s="11">
        <f t="shared" si="2437"/>
        <v>2.2999999999999998</v>
      </c>
      <c r="W8589">
        <v>2.5</v>
      </c>
      <c r="X8589" s="1" t="s">
        <v>94</v>
      </c>
    </row>
    <row r="8590" spans="1:24" x14ac:dyDescent="0.25">
      <c r="A8590" s="1" t="str">
        <f t="shared" si="2439"/>
        <v>卡卡杜-凤凰仓</v>
      </c>
      <c r="B8590" s="1" t="str">
        <f>"CK2024100819759"</f>
        <v>CK2024100819759</v>
      </c>
      <c r="C8590" s="1" t="str">
        <f>"DD2024100853155"</f>
        <v>DD2024100853155</v>
      </c>
      <c r="D8590" s="1" t="str">
        <f>"CK2024100852226"</f>
        <v>CK2024100852226</v>
      </c>
      <c r="E8590" s="1" t="str">
        <f>"6917946469143117000"</f>
        <v>6917946469143117000</v>
      </c>
      <c r="F8590" s="1" t="str">
        <f t="shared" si="2440"/>
        <v>花都四部-凤凰仓</v>
      </c>
      <c r="G8590" s="1" t="str">
        <f t="shared" si="2443"/>
        <v>卡卡杜个人护理店（抖店）</v>
      </c>
      <c r="H8590" s="1" t="str">
        <f t="shared" si="2441"/>
        <v>正常订单</v>
      </c>
      <c r="I8590" s="1" t="str">
        <f t="shared" si="2442"/>
        <v>已发货</v>
      </c>
      <c r="J8590" s="1" t="str">
        <f t="shared" si="2444"/>
        <v>2</v>
      </c>
      <c r="K8590" s="1">
        <v>1</v>
      </c>
      <c r="L8590" s="1" t="s">
        <v>20</v>
      </c>
      <c r="M8590" s="1" t="str">
        <f>"浙江省 温州市 鹿城区 滨江街道"</f>
        <v>浙江省 温州市 鹿城区 滨江街道</v>
      </c>
      <c r="N8590" s="1" t="str">
        <f t="shared" si="2445"/>
        <v>凡华云仓-韵达-抖音</v>
      </c>
      <c r="O8590" s="5">
        <v>320161820372310</v>
      </c>
      <c r="P8590" s="6">
        <v>0.33</v>
      </c>
      <c r="Q8590" s="11">
        <v>2.2999999999999998</v>
      </c>
      <c r="R8590" s="11"/>
      <c r="S8590" s="11"/>
      <c r="T8590" s="11"/>
      <c r="U8590" s="11">
        <f t="shared" si="2437"/>
        <v>2.2999999999999998</v>
      </c>
      <c r="W8590">
        <v>2.5</v>
      </c>
      <c r="X8590" s="1" t="s">
        <v>20</v>
      </c>
    </row>
    <row r="8591" spans="1:24" x14ac:dyDescent="0.25">
      <c r="A8591" s="1" t="str">
        <f t="shared" si="2439"/>
        <v>卡卡杜-凤凰仓</v>
      </c>
      <c r="B8591" s="1" t="str">
        <f>"CK2024100819784"</f>
        <v>CK2024100819784</v>
      </c>
      <c r="C8591" s="1" t="str">
        <f>"DD2024100853471"</f>
        <v>DD2024100853471</v>
      </c>
      <c r="D8591" s="1" t="str">
        <f>"CK2024100852225"</f>
        <v>CK2024100852225</v>
      </c>
      <c r="E8591" s="1" t="str">
        <f>"6917961909386706625"</f>
        <v>6917961909386706625</v>
      </c>
      <c r="F8591" s="1" t="str">
        <f t="shared" si="2440"/>
        <v>花都四部-凤凰仓</v>
      </c>
      <c r="G8591" s="1" t="str">
        <f t="shared" si="2443"/>
        <v>卡卡杜个人护理店（抖店）</v>
      </c>
      <c r="H8591" s="1" t="str">
        <f t="shared" si="2441"/>
        <v>正常订单</v>
      </c>
      <c r="I8591" s="1" t="str">
        <f t="shared" si="2442"/>
        <v>已发货</v>
      </c>
      <c r="J8591" s="1" t="str">
        <f t="shared" si="2444"/>
        <v>2</v>
      </c>
      <c r="K8591" s="1">
        <v>1</v>
      </c>
      <c r="L8591" s="1" t="s">
        <v>36</v>
      </c>
      <c r="M8591" s="1" t="str">
        <f>"安徽省 铜陵市 铜官区 "</f>
        <v xml:space="preserve">安徽省 铜陵市 铜官区 </v>
      </c>
      <c r="N8591" s="1" t="str">
        <f t="shared" si="2445"/>
        <v>凡华云仓-韵达-抖音</v>
      </c>
      <c r="O8591" s="5">
        <v>320161823451579</v>
      </c>
      <c r="P8591" s="6">
        <v>0.33</v>
      </c>
      <c r="Q8591" s="11">
        <v>2.2999999999999998</v>
      </c>
      <c r="R8591" s="11"/>
      <c r="S8591" s="11"/>
      <c r="T8591" s="11"/>
      <c r="U8591" s="11">
        <f t="shared" si="2437"/>
        <v>2.2999999999999998</v>
      </c>
      <c r="W8591">
        <v>2.5</v>
      </c>
      <c r="X8591" s="1" t="s">
        <v>36</v>
      </c>
    </row>
    <row r="8592" spans="1:24" x14ac:dyDescent="0.25">
      <c r="A8592" s="1" t="str">
        <f t="shared" si="2439"/>
        <v>卡卡杜-凤凰仓</v>
      </c>
      <c r="B8592" s="1" t="str">
        <f>"CK2024100819743"</f>
        <v>CK2024100819743</v>
      </c>
      <c r="C8592" s="1" t="str">
        <f>"DD2024100853118"</f>
        <v>DD2024100853118</v>
      </c>
      <c r="D8592" s="1" t="str">
        <f>"CK2024100852224"</f>
        <v>CK2024100852224</v>
      </c>
      <c r="E8592" s="1" t="str">
        <f>"6917946183586840139"</f>
        <v>6917946183586840139</v>
      </c>
      <c r="F8592" s="1" t="str">
        <f t="shared" si="2440"/>
        <v>花都四部-凤凰仓</v>
      </c>
      <c r="G8592" s="1" t="str">
        <f t="shared" si="2443"/>
        <v>卡卡杜个人护理店（抖店）</v>
      </c>
      <c r="H8592" s="1" t="str">
        <f t="shared" si="2441"/>
        <v>正常订单</v>
      </c>
      <c r="I8592" s="1" t="str">
        <f t="shared" si="2442"/>
        <v>已发货</v>
      </c>
      <c r="J8592" s="1" t="str">
        <f t="shared" si="2444"/>
        <v>2</v>
      </c>
      <c r="K8592" s="1">
        <v>1</v>
      </c>
      <c r="L8592" s="1" t="s">
        <v>18</v>
      </c>
      <c r="M8592" s="1" t="str">
        <f>"广东省 湛江市 霞山区 建设街道"</f>
        <v>广东省 湛江市 霞山区 建设街道</v>
      </c>
      <c r="N8592" s="1" t="str">
        <f t="shared" si="2445"/>
        <v>凡华云仓-韵达-抖音</v>
      </c>
      <c r="O8592" s="5">
        <v>320161823451482</v>
      </c>
      <c r="P8592" s="6">
        <v>0.33</v>
      </c>
      <c r="Q8592" s="11">
        <v>2.2999999999999998</v>
      </c>
      <c r="R8592" s="11"/>
      <c r="S8592" s="11"/>
      <c r="T8592" s="11"/>
      <c r="U8592" s="11">
        <f t="shared" si="2437"/>
        <v>2.2999999999999998</v>
      </c>
      <c r="W8592">
        <v>2.5</v>
      </c>
      <c r="X8592" s="1" t="s">
        <v>18</v>
      </c>
    </row>
    <row r="8593" spans="1:24" x14ac:dyDescent="0.25">
      <c r="A8593" s="1" t="str">
        <f t="shared" si="2439"/>
        <v>卡卡杜-凤凰仓</v>
      </c>
      <c r="B8593" s="1" t="str">
        <f>"CK2024100819742"</f>
        <v>CK2024100819742</v>
      </c>
      <c r="C8593" s="1" t="str">
        <f>"DD2024100853119"</f>
        <v>DD2024100853119</v>
      </c>
      <c r="D8593" s="1" t="str">
        <f>"CK2024100852223"</f>
        <v>CK2024100852223</v>
      </c>
      <c r="E8593" s="1" t="str">
        <f>"6917958524723298094"</f>
        <v>6917958524723298094</v>
      </c>
      <c r="F8593" s="1" t="str">
        <f t="shared" si="2440"/>
        <v>花都四部-凤凰仓</v>
      </c>
      <c r="G8593" s="1" t="str">
        <f t="shared" si="2443"/>
        <v>卡卡杜个人护理店（抖店）</v>
      </c>
      <c r="H8593" s="1" t="str">
        <f t="shared" si="2441"/>
        <v>正常订单</v>
      </c>
      <c r="I8593" s="1" t="str">
        <f t="shared" si="2442"/>
        <v>已发货</v>
      </c>
      <c r="J8593" s="1" t="str">
        <f t="shared" si="2444"/>
        <v>2</v>
      </c>
      <c r="K8593" s="1">
        <v>1</v>
      </c>
      <c r="L8593" s="1" t="s">
        <v>161</v>
      </c>
      <c r="M8593" s="1" t="str">
        <f>"四川省 自贡市 沿滩区 "</f>
        <v xml:space="preserve">四川省 自贡市 沿滩区 </v>
      </c>
      <c r="N8593" s="1" t="str">
        <f t="shared" si="2445"/>
        <v>凡华云仓-韵达-抖音</v>
      </c>
      <c r="O8593" s="5">
        <v>320161823451387</v>
      </c>
      <c r="P8593" s="6">
        <v>0.33</v>
      </c>
      <c r="Q8593" s="11">
        <v>2.2999999999999998</v>
      </c>
      <c r="R8593" s="11"/>
      <c r="S8593" s="11"/>
      <c r="T8593" s="11"/>
      <c r="U8593" s="11">
        <f t="shared" si="2437"/>
        <v>2.2999999999999998</v>
      </c>
      <c r="W8593">
        <v>2.5</v>
      </c>
      <c r="X8593" s="1" t="s">
        <v>161</v>
      </c>
    </row>
    <row r="8594" spans="1:24" x14ac:dyDescent="0.25">
      <c r="A8594" s="1" t="str">
        <f t="shared" si="2439"/>
        <v>卡卡杜-凤凰仓</v>
      </c>
      <c r="B8594" s="1" t="str">
        <f>"CK2024100819756"</f>
        <v>CK2024100819756</v>
      </c>
      <c r="C8594" s="1" t="str">
        <f>"DD2024100853147"</f>
        <v>DD2024100853147</v>
      </c>
      <c r="D8594" s="1" t="str">
        <f>"CK2024100852222"</f>
        <v>CK2024100852222</v>
      </c>
      <c r="E8594" s="1" t="str">
        <f>"6917950884368776444"</f>
        <v>6917950884368776444</v>
      </c>
      <c r="F8594" s="1" t="str">
        <f t="shared" si="2440"/>
        <v>花都四部-凤凰仓</v>
      </c>
      <c r="G8594" s="1" t="str">
        <f t="shared" si="2443"/>
        <v>卡卡杜个人护理店（抖店）</v>
      </c>
      <c r="H8594" s="1" t="str">
        <f t="shared" si="2441"/>
        <v>正常订单</v>
      </c>
      <c r="I8594" s="1" t="str">
        <f t="shared" si="2442"/>
        <v>已发货</v>
      </c>
      <c r="J8594" s="1" t="str">
        <f t="shared" si="2444"/>
        <v>2</v>
      </c>
      <c r="K8594" s="1">
        <v>1</v>
      </c>
      <c r="L8594" s="1" t="s">
        <v>60</v>
      </c>
      <c r="M8594" s="1" t="str">
        <f>"云南省 昭通市 绥江县 "</f>
        <v xml:space="preserve">云南省 昭通市 绥江县 </v>
      </c>
      <c r="N8594" s="1" t="str">
        <f t="shared" si="2445"/>
        <v>凡华云仓-韵达-抖音</v>
      </c>
      <c r="O8594" s="5">
        <v>320161823451294</v>
      </c>
      <c r="P8594" s="6">
        <v>0.33</v>
      </c>
      <c r="Q8594" s="11">
        <v>2.2999999999999998</v>
      </c>
      <c r="R8594" s="11"/>
      <c r="S8594" s="11"/>
      <c r="T8594" s="11"/>
      <c r="U8594" s="11">
        <f t="shared" si="2437"/>
        <v>2.2999999999999998</v>
      </c>
      <c r="W8594">
        <v>2.5</v>
      </c>
      <c r="X8594" s="1" t="s">
        <v>60</v>
      </c>
    </row>
    <row r="8595" spans="1:24" x14ac:dyDescent="0.25">
      <c r="A8595" s="1" t="str">
        <f t="shared" si="2439"/>
        <v>卡卡杜-凤凰仓</v>
      </c>
      <c r="B8595" s="1" t="str">
        <f>"CK2024100819761"</f>
        <v>CK2024100819761</v>
      </c>
      <c r="C8595" s="1" t="str">
        <f>"DD2024100853158"</f>
        <v>DD2024100853158</v>
      </c>
      <c r="D8595" s="1" t="str">
        <f>"CK2024100852221"</f>
        <v>CK2024100852221</v>
      </c>
      <c r="E8595" s="1" t="str">
        <f>"6917956532193623834"</f>
        <v>6917956532193623834</v>
      </c>
      <c r="F8595" s="1" t="str">
        <f t="shared" si="2440"/>
        <v>花都四部-凤凰仓</v>
      </c>
      <c r="G8595" s="1" t="str">
        <f t="shared" si="2443"/>
        <v>卡卡杜个人护理店（抖店）</v>
      </c>
      <c r="H8595" s="1" t="str">
        <f t="shared" si="2441"/>
        <v>正常订单</v>
      </c>
      <c r="I8595" s="1" t="str">
        <f t="shared" si="2442"/>
        <v>已发货</v>
      </c>
      <c r="J8595" s="1" t="str">
        <f t="shared" si="2444"/>
        <v>2</v>
      </c>
      <c r="K8595" s="1">
        <v>1</v>
      </c>
      <c r="L8595" s="1" t="s">
        <v>20</v>
      </c>
      <c r="M8595" s="1" t="str">
        <f>"浙江省 丽水市 莲都区 岩泉街道"</f>
        <v>浙江省 丽水市 莲都区 岩泉街道</v>
      </c>
      <c r="N8595" s="1" t="str">
        <f t="shared" si="2445"/>
        <v>凡华云仓-韵达-抖音</v>
      </c>
      <c r="O8595" s="5">
        <v>320161823451103</v>
      </c>
      <c r="P8595" s="6">
        <v>0.33</v>
      </c>
      <c r="Q8595" s="11">
        <v>2.2999999999999998</v>
      </c>
      <c r="R8595" s="11"/>
      <c r="S8595" s="11"/>
      <c r="T8595" s="11"/>
      <c r="U8595" s="11">
        <f t="shared" si="2437"/>
        <v>2.2999999999999998</v>
      </c>
      <c r="W8595">
        <v>2.5</v>
      </c>
      <c r="X8595" s="1" t="s">
        <v>20</v>
      </c>
    </row>
    <row r="8596" spans="1:24" x14ac:dyDescent="0.25">
      <c r="A8596" s="1" t="str">
        <f t="shared" si="2439"/>
        <v>卡卡杜-凤凰仓</v>
      </c>
      <c r="B8596" s="1" t="str">
        <f>"CK2024100819744"</f>
        <v>CK2024100819744</v>
      </c>
      <c r="C8596" s="1" t="str">
        <f>"DD2024100853122"</f>
        <v>DD2024100853122</v>
      </c>
      <c r="D8596" s="1" t="str">
        <f>"CK2024100852220"</f>
        <v>CK2024100852220</v>
      </c>
      <c r="E8596" s="1" t="str">
        <f>"6917954217904406229"</f>
        <v>6917954217904406229</v>
      </c>
      <c r="F8596" s="1" t="str">
        <f t="shared" si="2440"/>
        <v>花都四部-凤凰仓</v>
      </c>
      <c r="G8596" s="1" t="str">
        <f t="shared" si="2443"/>
        <v>卡卡杜个人护理店（抖店）</v>
      </c>
      <c r="H8596" s="1" t="str">
        <f t="shared" si="2441"/>
        <v>正常订单</v>
      </c>
      <c r="I8596" s="1" t="str">
        <f t="shared" si="2442"/>
        <v>已发货</v>
      </c>
      <c r="J8596" s="1" t="str">
        <f t="shared" si="2444"/>
        <v>2</v>
      </c>
      <c r="K8596" s="1">
        <v>1</v>
      </c>
      <c r="L8596" s="1" t="s">
        <v>22</v>
      </c>
      <c r="M8596" s="1" t="str">
        <f>"江西省 上饶市 广丰区 洋口镇"</f>
        <v>江西省 上饶市 广丰区 洋口镇</v>
      </c>
      <c r="N8596" s="1" t="str">
        <f t="shared" si="2445"/>
        <v>凡华云仓-韵达-抖音</v>
      </c>
      <c r="O8596" s="5">
        <v>320161823451014</v>
      </c>
      <c r="P8596" s="6">
        <v>0.33</v>
      </c>
      <c r="Q8596" s="11">
        <v>2.2999999999999998</v>
      </c>
      <c r="R8596" s="11"/>
      <c r="S8596" s="11"/>
      <c r="T8596" s="11"/>
      <c r="U8596" s="11">
        <f t="shared" si="2437"/>
        <v>2.2999999999999998</v>
      </c>
      <c r="W8596">
        <v>2.5</v>
      </c>
      <c r="X8596" s="1" t="s">
        <v>22</v>
      </c>
    </row>
    <row r="8597" spans="1:24" x14ac:dyDescent="0.25">
      <c r="A8597" s="1" t="str">
        <f t="shared" si="2439"/>
        <v>卡卡杜-凤凰仓</v>
      </c>
      <c r="B8597" s="1" t="str">
        <f>"CK2024100819746"</f>
        <v>CK2024100819746</v>
      </c>
      <c r="C8597" s="1" t="str">
        <f>"DD2024100853130"</f>
        <v>DD2024100853130</v>
      </c>
      <c r="D8597" s="1" t="str">
        <f>"CK2024100852219"</f>
        <v>CK2024100852219</v>
      </c>
      <c r="E8597" s="1" t="str">
        <f>"6917958920935800363"</f>
        <v>6917958920935800363</v>
      </c>
      <c r="F8597" s="1" t="str">
        <f t="shared" si="2440"/>
        <v>花都四部-凤凰仓</v>
      </c>
      <c r="G8597" s="1" t="str">
        <f t="shared" si="2443"/>
        <v>卡卡杜个人护理店（抖店）</v>
      </c>
      <c r="H8597" s="1" t="str">
        <f t="shared" si="2441"/>
        <v>正常订单</v>
      </c>
      <c r="I8597" s="1" t="str">
        <f t="shared" si="2442"/>
        <v>已发货</v>
      </c>
      <c r="J8597" s="1" t="str">
        <f t="shared" si="2444"/>
        <v>2</v>
      </c>
      <c r="K8597" s="1">
        <v>1</v>
      </c>
      <c r="L8597" s="1" t="s">
        <v>13</v>
      </c>
      <c r="M8597" s="1" t="str">
        <f>"江苏省 徐州市 邳州市 东湖街道"</f>
        <v>江苏省 徐州市 邳州市 东湖街道</v>
      </c>
      <c r="N8597" s="1" t="str">
        <f t="shared" si="2445"/>
        <v>凡华云仓-韵达-抖音</v>
      </c>
      <c r="O8597" s="5">
        <v>320161823450998</v>
      </c>
      <c r="P8597" s="6">
        <v>0.33</v>
      </c>
      <c r="Q8597" s="11">
        <v>2.2999999999999998</v>
      </c>
      <c r="R8597" s="11"/>
      <c r="S8597" s="11"/>
      <c r="T8597" s="11"/>
      <c r="U8597" s="11">
        <f t="shared" si="2437"/>
        <v>2.2999999999999998</v>
      </c>
      <c r="W8597">
        <v>2.5</v>
      </c>
      <c r="X8597" s="1" t="s">
        <v>13</v>
      </c>
    </row>
    <row r="8598" spans="1:24" x14ac:dyDescent="0.25">
      <c r="A8598" s="1" t="str">
        <f t="shared" si="2439"/>
        <v>卡卡杜-凤凰仓</v>
      </c>
      <c r="B8598" s="1" t="str">
        <f>"CK2024100819750"</f>
        <v>CK2024100819750</v>
      </c>
      <c r="C8598" s="1" t="str">
        <f>"DD2024100853135"</f>
        <v>DD2024100853135</v>
      </c>
      <c r="D8598" s="1" t="str">
        <f>"CK2024100852218"</f>
        <v>CK2024100852218</v>
      </c>
      <c r="E8598" s="1" t="str">
        <f>"6917963660194512262"</f>
        <v>6917963660194512262</v>
      </c>
      <c r="F8598" s="1" t="str">
        <f t="shared" si="2440"/>
        <v>花都四部-凤凰仓</v>
      </c>
      <c r="G8598" s="1" t="str">
        <f t="shared" si="2443"/>
        <v>卡卡杜个人护理店（抖店）</v>
      </c>
      <c r="H8598" s="1" t="str">
        <f t="shared" si="2441"/>
        <v>正常订单</v>
      </c>
      <c r="I8598" s="1" t="str">
        <f t="shared" si="2442"/>
        <v>已发货</v>
      </c>
      <c r="J8598" s="1" t="str">
        <f t="shared" si="2444"/>
        <v>2</v>
      </c>
      <c r="K8598" s="1">
        <v>1</v>
      </c>
      <c r="L8598" s="1" t="s">
        <v>20</v>
      </c>
      <c r="M8598" s="1" t="str">
        <f>"浙江省 台州市 路桥区 螺洋街道"</f>
        <v>浙江省 台州市 路桥区 螺洋街道</v>
      </c>
      <c r="N8598" s="1" t="str">
        <f t="shared" si="2445"/>
        <v>凡华云仓-韵达-抖音</v>
      </c>
      <c r="O8598" s="5">
        <v>320161823450893</v>
      </c>
      <c r="P8598" s="6">
        <v>0.33</v>
      </c>
      <c r="Q8598" s="11">
        <v>2.2999999999999998</v>
      </c>
      <c r="R8598" s="11"/>
      <c r="S8598" s="11"/>
      <c r="T8598" s="11"/>
      <c r="U8598" s="11">
        <f t="shared" si="2437"/>
        <v>2.2999999999999998</v>
      </c>
      <c r="W8598">
        <v>2.5</v>
      </c>
      <c r="X8598" s="1" t="s">
        <v>20</v>
      </c>
    </row>
    <row r="8599" spans="1:24" x14ac:dyDescent="0.25">
      <c r="A8599" s="1" t="str">
        <f t="shared" si="2439"/>
        <v>卡卡杜-凤凰仓</v>
      </c>
      <c r="B8599" s="1" t="str">
        <f>"CK2024100819755"</f>
        <v>CK2024100819755</v>
      </c>
      <c r="C8599" s="1" t="str">
        <f>"DD2024100853146"</f>
        <v>DD2024100853146</v>
      </c>
      <c r="D8599" s="1" t="str">
        <f>"CK2024100852217"</f>
        <v>CK2024100852217</v>
      </c>
      <c r="E8599" s="1" t="str">
        <f>"6917959215848390401"</f>
        <v>6917959215848390401</v>
      </c>
      <c r="F8599" s="1" t="str">
        <f t="shared" si="2440"/>
        <v>花都四部-凤凰仓</v>
      </c>
      <c r="G8599" s="1" t="str">
        <f t="shared" si="2443"/>
        <v>卡卡杜个人护理店（抖店）</v>
      </c>
      <c r="H8599" s="1" t="str">
        <f t="shared" si="2441"/>
        <v>正常订单</v>
      </c>
      <c r="I8599" s="1" t="str">
        <f t="shared" si="2442"/>
        <v>已发货</v>
      </c>
      <c r="J8599" s="1" t="str">
        <f t="shared" si="2444"/>
        <v>2</v>
      </c>
      <c r="K8599" s="1">
        <v>1</v>
      </c>
      <c r="L8599" s="1" t="s">
        <v>60</v>
      </c>
      <c r="M8599" s="1" t="str">
        <f>"云南省 保山市 腾冲市 界头镇"</f>
        <v>云南省 保山市 腾冲市 界头镇</v>
      </c>
      <c r="N8599" s="1" t="str">
        <f t="shared" si="2445"/>
        <v>凡华云仓-韵达-抖音</v>
      </c>
      <c r="O8599" s="5">
        <v>320161823450790</v>
      </c>
      <c r="P8599" s="6">
        <v>0.33</v>
      </c>
      <c r="Q8599" s="11">
        <v>2.2999999999999998</v>
      </c>
      <c r="R8599" s="11"/>
      <c r="S8599" s="11"/>
      <c r="T8599" s="11"/>
      <c r="U8599" s="11">
        <f t="shared" si="2437"/>
        <v>2.2999999999999998</v>
      </c>
      <c r="W8599">
        <v>2.5</v>
      </c>
      <c r="X8599" s="1" t="s">
        <v>60</v>
      </c>
    </row>
    <row r="8600" spans="1:24" x14ac:dyDescent="0.25">
      <c r="A8600" s="1" t="str">
        <f t="shared" si="2439"/>
        <v>卡卡杜-凤凰仓</v>
      </c>
      <c r="B8600" s="1" t="str">
        <f>"CK2024100819785"</f>
        <v>CK2024100819785</v>
      </c>
      <c r="C8600" s="1" t="str">
        <f>"DD2024100853472"</f>
        <v>DD2024100853472</v>
      </c>
      <c r="D8600" s="1" t="str">
        <f>"CK2024100852216"</f>
        <v>CK2024100852216</v>
      </c>
      <c r="E8600" s="1" t="str">
        <f>"6917961967327345742"</f>
        <v>6917961967327345742</v>
      </c>
      <c r="F8600" s="1" t="str">
        <f t="shared" si="2440"/>
        <v>花都四部-凤凰仓</v>
      </c>
      <c r="G8600" s="1" t="str">
        <f t="shared" si="2443"/>
        <v>卡卡杜个人护理店（抖店）</v>
      </c>
      <c r="H8600" s="1" t="str">
        <f t="shared" si="2441"/>
        <v>正常订单</v>
      </c>
      <c r="I8600" s="1" t="str">
        <f t="shared" si="2442"/>
        <v>已发货</v>
      </c>
      <c r="J8600" s="1" t="str">
        <f t="shared" si="2444"/>
        <v>2</v>
      </c>
      <c r="K8600" s="1">
        <v>1</v>
      </c>
      <c r="L8600" s="1" t="s">
        <v>20</v>
      </c>
      <c r="M8600" s="1" t="str">
        <f>"浙江省 绍兴市 上虞区 崧厦街道"</f>
        <v>浙江省 绍兴市 上虞区 崧厦街道</v>
      </c>
      <c r="N8600" s="1" t="str">
        <f t="shared" si="2445"/>
        <v>凡华云仓-韵达-抖音</v>
      </c>
      <c r="O8600" s="5">
        <v>320161823450689</v>
      </c>
      <c r="P8600" s="6">
        <v>0.33</v>
      </c>
      <c r="Q8600" s="11">
        <v>2.2999999999999998</v>
      </c>
      <c r="R8600" s="11"/>
      <c r="S8600" s="11"/>
      <c r="T8600" s="11"/>
      <c r="U8600" s="11">
        <f t="shared" si="2437"/>
        <v>2.2999999999999998</v>
      </c>
      <c r="W8600">
        <v>2.5</v>
      </c>
      <c r="X8600" s="1" t="s">
        <v>20</v>
      </c>
    </row>
    <row r="8601" spans="1:24" x14ac:dyDescent="0.25">
      <c r="A8601" s="1" t="str">
        <f t="shared" si="2439"/>
        <v>卡卡杜-凤凰仓</v>
      </c>
      <c r="B8601" s="1" t="str">
        <f>"CK2024100819740"</f>
        <v>CK2024100819740</v>
      </c>
      <c r="C8601" s="1" t="str">
        <f>"DD2024100853120"</f>
        <v>DD2024100853120</v>
      </c>
      <c r="D8601" s="1" t="str">
        <f>"CK2024100852229"</f>
        <v>CK2024100852229</v>
      </c>
      <c r="E8601" s="1" t="str">
        <f>"6917961098996055222"</f>
        <v>6917961098996055222</v>
      </c>
      <c r="F8601" s="1" t="str">
        <f t="shared" si="2440"/>
        <v>花都四部-凤凰仓</v>
      </c>
      <c r="G8601" s="1" t="str">
        <f t="shared" si="2443"/>
        <v>卡卡杜个人护理店（抖店）</v>
      </c>
      <c r="H8601" s="1" t="str">
        <f t="shared" si="2441"/>
        <v>正常订单</v>
      </c>
      <c r="I8601" s="1" t="str">
        <f t="shared" si="2442"/>
        <v>已发货</v>
      </c>
      <c r="J8601" s="1" t="str">
        <f>"4"</f>
        <v>4</v>
      </c>
      <c r="K8601" s="1">
        <v>1</v>
      </c>
      <c r="L8601" s="1" t="s">
        <v>20</v>
      </c>
      <c r="M8601" s="1" t="str">
        <f>"浙江省 金华市 婺城区 "</f>
        <v xml:space="preserve">浙江省 金华市 婺城区 </v>
      </c>
      <c r="N8601" s="1" t="str">
        <f t="shared" si="2445"/>
        <v>凡华云仓-韵达-抖音</v>
      </c>
      <c r="O8601" s="5">
        <v>320161820372601</v>
      </c>
      <c r="P8601" s="6">
        <v>0.57999999999999996</v>
      </c>
      <c r="Q8601" s="11">
        <f>CEILING(P8601-0.5,0.1)*10*0.15+2.3</f>
        <v>2.4499999999999997</v>
      </c>
      <c r="R8601" s="11"/>
      <c r="S8601" s="11"/>
      <c r="T8601" s="11"/>
      <c r="U8601" s="11">
        <f t="shared" si="2437"/>
        <v>2.4499999999999997</v>
      </c>
      <c r="V8601" t="s">
        <v>15</v>
      </c>
      <c r="W8601">
        <v>2.4500000000000002</v>
      </c>
      <c r="X8601" s="1" t="s">
        <v>20</v>
      </c>
    </row>
    <row r="8602" spans="1:24" x14ac:dyDescent="0.25">
      <c r="A8602" s="1" t="str">
        <f t="shared" si="2439"/>
        <v>卡卡杜-凤凰仓</v>
      </c>
      <c r="B8602" s="1" t="str">
        <f>"CK2024100819741"</f>
        <v>CK2024100819741</v>
      </c>
      <c r="C8602" s="1" t="str">
        <f>"DD2024100853123"</f>
        <v>DD2024100853123</v>
      </c>
      <c r="D8602" s="1" t="str">
        <f>"CK2024100852214"</f>
        <v>CK2024100852214</v>
      </c>
      <c r="E8602" s="1" t="str">
        <f>"6917954738346163554"</f>
        <v>6917954738346163554</v>
      </c>
      <c r="F8602" s="1" t="str">
        <f t="shared" si="2440"/>
        <v>花都四部-凤凰仓</v>
      </c>
      <c r="G8602" s="1" t="str">
        <f t="shared" si="2443"/>
        <v>卡卡杜个人护理店（抖店）</v>
      </c>
      <c r="H8602" s="1" t="str">
        <f t="shared" si="2441"/>
        <v>正常订单</v>
      </c>
      <c r="I8602" s="1" t="str">
        <f t="shared" si="2442"/>
        <v>已发货</v>
      </c>
      <c r="J8602" s="1" t="str">
        <f t="shared" ref="J8602:J8638" si="2446">"2"</f>
        <v>2</v>
      </c>
      <c r="K8602" s="1">
        <v>1</v>
      </c>
      <c r="L8602" s="1" t="s">
        <v>13</v>
      </c>
      <c r="M8602" s="1" t="str">
        <f>"江苏省 泰州市 兴化市 戴南镇"</f>
        <v>江苏省 泰州市 兴化市 戴南镇</v>
      </c>
      <c r="N8602" s="1" t="str">
        <f t="shared" si="2445"/>
        <v>凡华云仓-韵达-抖音</v>
      </c>
      <c r="O8602" s="5">
        <v>320161832127894</v>
      </c>
      <c r="P8602" s="6">
        <v>0.33</v>
      </c>
      <c r="Q8602" s="11">
        <v>2.2999999999999998</v>
      </c>
      <c r="R8602" s="11"/>
      <c r="S8602" s="11"/>
      <c r="T8602" s="11"/>
      <c r="U8602" s="11">
        <f t="shared" si="2437"/>
        <v>2.2999999999999998</v>
      </c>
      <c r="W8602">
        <v>2.5</v>
      </c>
      <c r="X8602" s="1" t="s">
        <v>13</v>
      </c>
    </row>
    <row r="8603" spans="1:24" x14ac:dyDescent="0.25">
      <c r="A8603" s="1" t="str">
        <f t="shared" si="2439"/>
        <v>卡卡杜-凤凰仓</v>
      </c>
      <c r="B8603" s="1" t="str">
        <f>"CK2024100819749"</f>
        <v>CK2024100819749</v>
      </c>
      <c r="C8603" s="1" t="str">
        <f>"DD2024100853131"</f>
        <v>DD2024100853131</v>
      </c>
      <c r="D8603" s="1" t="str">
        <f>"CK2024100852213"</f>
        <v>CK2024100852213</v>
      </c>
      <c r="E8603" s="1" t="str">
        <f>"6917961515723488714"</f>
        <v>6917961515723488714</v>
      </c>
      <c r="F8603" s="1" t="str">
        <f t="shared" si="2440"/>
        <v>花都四部-凤凰仓</v>
      </c>
      <c r="G8603" s="1" t="str">
        <f t="shared" si="2443"/>
        <v>卡卡杜个人护理店（抖店）</v>
      </c>
      <c r="H8603" s="1" t="str">
        <f t="shared" si="2441"/>
        <v>正常订单</v>
      </c>
      <c r="I8603" s="1" t="str">
        <f t="shared" si="2442"/>
        <v>已发货</v>
      </c>
      <c r="J8603" s="1" t="str">
        <f t="shared" si="2446"/>
        <v>2</v>
      </c>
      <c r="K8603" s="1">
        <v>1</v>
      </c>
      <c r="L8603" s="1" t="s">
        <v>60</v>
      </c>
      <c r="M8603" s="1" t="str">
        <f>"云南省 普洱市 思茅区 "</f>
        <v xml:space="preserve">云南省 普洱市 思茅区 </v>
      </c>
      <c r="N8603" s="1" t="str">
        <f t="shared" si="2445"/>
        <v>凡华云仓-韵达-抖音</v>
      </c>
      <c r="O8603" s="5">
        <v>320161832127791</v>
      </c>
      <c r="P8603" s="6">
        <v>0.33</v>
      </c>
      <c r="Q8603" s="11">
        <v>2.2999999999999998</v>
      </c>
      <c r="R8603" s="11"/>
      <c r="S8603" s="11"/>
      <c r="T8603" s="11"/>
      <c r="U8603" s="11">
        <f t="shared" si="2437"/>
        <v>2.2999999999999998</v>
      </c>
      <c r="W8603">
        <v>2.5</v>
      </c>
      <c r="X8603" s="1" t="s">
        <v>60</v>
      </c>
    </row>
    <row r="8604" spans="1:24" x14ac:dyDescent="0.25">
      <c r="A8604" s="1" t="str">
        <f t="shared" si="2439"/>
        <v>卡卡杜-凤凰仓</v>
      </c>
      <c r="B8604" s="1" t="str">
        <f>"CK2024100819747"</f>
        <v>CK2024100819747</v>
      </c>
      <c r="C8604" s="1" t="str">
        <f>"DD2024100853133"</f>
        <v>DD2024100853133</v>
      </c>
      <c r="D8604" s="1" t="str">
        <f>"CK2024100852212"</f>
        <v>CK2024100852212</v>
      </c>
      <c r="E8604" s="1" t="str">
        <f>"6917958870968991697"</f>
        <v>6917958870968991697</v>
      </c>
      <c r="F8604" s="1" t="str">
        <f t="shared" si="2440"/>
        <v>花都四部-凤凰仓</v>
      </c>
      <c r="G8604" s="1" t="str">
        <f t="shared" si="2443"/>
        <v>卡卡杜个人护理店（抖店）</v>
      </c>
      <c r="H8604" s="1" t="str">
        <f t="shared" si="2441"/>
        <v>正常订单</v>
      </c>
      <c r="I8604" s="1" t="str">
        <f t="shared" si="2442"/>
        <v>已发货</v>
      </c>
      <c r="J8604" s="1" t="str">
        <f t="shared" si="2446"/>
        <v>2</v>
      </c>
      <c r="K8604" s="1">
        <v>1</v>
      </c>
      <c r="L8604" s="1" t="s">
        <v>22</v>
      </c>
      <c r="M8604" s="1" t="str">
        <f>"江西省 上饶市 鄱阳县 侯家岗乡"</f>
        <v>江西省 上饶市 鄱阳县 侯家岗乡</v>
      </c>
      <c r="N8604" s="1" t="str">
        <f t="shared" si="2445"/>
        <v>凡华云仓-韵达-抖音</v>
      </c>
      <c r="O8604" s="5">
        <v>320161832127690</v>
      </c>
      <c r="P8604" s="6">
        <v>0.33</v>
      </c>
      <c r="Q8604" s="11">
        <v>2.2999999999999998</v>
      </c>
      <c r="R8604" s="11"/>
      <c r="S8604" s="11"/>
      <c r="T8604" s="11"/>
      <c r="U8604" s="11">
        <f t="shared" si="2437"/>
        <v>2.2999999999999998</v>
      </c>
      <c r="W8604">
        <v>2.5</v>
      </c>
      <c r="X8604" s="1" t="s">
        <v>22</v>
      </c>
    </row>
    <row r="8605" spans="1:24" x14ac:dyDescent="0.25">
      <c r="A8605" s="1" t="str">
        <f t="shared" si="2439"/>
        <v>卡卡杜-凤凰仓</v>
      </c>
      <c r="B8605" s="1" t="str">
        <f>"CK2024100819748"</f>
        <v>CK2024100819748</v>
      </c>
      <c r="C8605" s="1" t="str">
        <f>"DD2024100853134"</f>
        <v>DD2024100853134</v>
      </c>
      <c r="D8605" s="1" t="str">
        <f>"CK2024100852211"</f>
        <v>CK2024100852211</v>
      </c>
      <c r="E8605" s="1" t="str">
        <f>"6917943954007096501"</f>
        <v>6917943954007096501</v>
      </c>
      <c r="F8605" s="1" t="str">
        <f t="shared" si="2440"/>
        <v>花都四部-凤凰仓</v>
      </c>
      <c r="G8605" s="1" t="str">
        <f t="shared" si="2443"/>
        <v>卡卡杜个人护理店（抖店）</v>
      </c>
      <c r="H8605" s="1" t="str">
        <f t="shared" si="2441"/>
        <v>正常订单</v>
      </c>
      <c r="I8605" s="1" t="str">
        <f t="shared" si="2442"/>
        <v>已发货</v>
      </c>
      <c r="J8605" s="1" t="str">
        <f t="shared" si="2446"/>
        <v>2</v>
      </c>
      <c r="K8605" s="1">
        <v>1</v>
      </c>
      <c r="L8605" s="1" t="s">
        <v>20</v>
      </c>
      <c r="M8605" s="1" t="str">
        <f>"浙江省 宁波市 象山县 丹东街道"</f>
        <v>浙江省 宁波市 象山县 丹东街道</v>
      </c>
      <c r="N8605" s="1" t="str">
        <f t="shared" si="2445"/>
        <v>凡华云仓-韵达-抖音</v>
      </c>
      <c r="O8605" s="5">
        <v>320161832127591</v>
      </c>
      <c r="P8605" s="6">
        <v>0.33</v>
      </c>
      <c r="Q8605" s="11">
        <v>2.2999999999999998</v>
      </c>
      <c r="R8605" s="11"/>
      <c r="S8605" s="11"/>
      <c r="T8605" s="11"/>
      <c r="U8605" s="11">
        <f t="shared" si="2437"/>
        <v>2.2999999999999998</v>
      </c>
      <c r="W8605">
        <v>2.5</v>
      </c>
      <c r="X8605" s="1" t="s">
        <v>20</v>
      </c>
    </row>
    <row r="8606" spans="1:24" x14ac:dyDescent="0.25">
      <c r="A8606" s="1" t="str">
        <f t="shared" si="2439"/>
        <v>卡卡杜-凤凰仓</v>
      </c>
      <c r="B8606" s="1" t="str">
        <f>"CK2024100819745"</f>
        <v>CK2024100819745</v>
      </c>
      <c r="C8606" s="1" t="str">
        <f>"DD2024100853132"</f>
        <v>DD2024100853132</v>
      </c>
      <c r="D8606" s="1" t="str">
        <f>"CK2024100852210"</f>
        <v>CK2024100852210</v>
      </c>
      <c r="E8606" s="1" t="str">
        <f>"6917959323995045506"</f>
        <v>6917959323995045506</v>
      </c>
      <c r="F8606" s="1" t="str">
        <f t="shared" si="2440"/>
        <v>花都四部-凤凰仓</v>
      </c>
      <c r="G8606" s="1" t="str">
        <f t="shared" si="2443"/>
        <v>卡卡杜个人护理店（抖店）</v>
      </c>
      <c r="H8606" s="1" t="str">
        <f t="shared" si="2441"/>
        <v>正常订单</v>
      </c>
      <c r="I8606" s="1" t="str">
        <f t="shared" si="2442"/>
        <v>已发货</v>
      </c>
      <c r="J8606" s="1" t="str">
        <f t="shared" si="2446"/>
        <v>2</v>
      </c>
      <c r="K8606" s="1">
        <v>1</v>
      </c>
      <c r="L8606" s="1" t="s">
        <v>80</v>
      </c>
      <c r="M8606" s="1" t="str">
        <f>"河南省 商丘市 民权县 孙六镇"</f>
        <v>河南省 商丘市 民权县 孙六镇</v>
      </c>
      <c r="N8606" s="1" t="str">
        <f t="shared" si="2445"/>
        <v>凡华云仓-韵达-抖音</v>
      </c>
      <c r="O8606" s="5">
        <v>320161832127494</v>
      </c>
      <c r="P8606" s="6">
        <v>0.33</v>
      </c>
      <c r="Q8606" s="11">
        <v>2.2999999999999998</v>
      </c>
      <c r="R8606" s="11"/>
      <c r="S8606" s="11"/>
      <c r="T8606" s="11"/>
      <c r="U8606" s="11">
        <f t="shared" si="2437"/>
        <v>2.2999999999999998</v>
      </c>
      <c r="W8606">
        <v>2.5</v>
      </c>
      <c r="X8606" s="1" t="s">
        <v>80</v>
      </c>
    </row>
    <row r="8607" spans="1:24" x14ac:dyDescent="0.25">
      <c r="A8607" s="1" t="str">
        <f t="shared" si="2439"/>
        <v>卡卡杜-凤凰仓</v>
      </c>
      <c r="B8607" s="1" t="str">
        <f>"CK2024100819753"</f>
        <v>CK2024100819753</v>
      </c>
      <c r="C8607" s="1" t="str">
        <f>"DD2024100853145"</f>
        <v>DD2024100853145</v>
      </c>
      <c r="D8607" s="1" t="str">
        <f>"CK2024100852209"</f>
        <v>CK2024100852209</v>
      </c>
      <c r="E8607" s="1" t="str">
        <f>"6917961455002943099"</f>
        <v>6917961455002943099</v>
      </c>
      <c r="F8607" s="1" t="str">
        <f t="shared" si="2440"/>
        <v>花都四部-凤凰仓</v>
      </c>
      <c r="G8607" s="1" t="str">
        <f t="shared" si="2443"/>
        <v>卡卡杜个人护理店（抖店）</v>
      </c>
      <c r="H8607" s="1" t="str">
        <f t="shared" si="2441"/>
        <v>正常订单</v>
      </c>
      <c r="I8607" s="1" t="str">
        <f t="shared" si="2442"/>
        <v>已发货</v>
      </c>
      <c r="J8607" s="1" t="str">
        <f t="shared" si="2446"/>
        <v>2</v>
      </c>
      <c r="K8607" s="1">
        <v>1</v>
      </c>
      <c r="L8607" s="1" t="s">
        <v>20</v>
      </c>
      <c r="M8607" s="1" t="str">
        <f>"浙江省 杭州市 富阳区 富春街道"</f>
        <v>浙江省 杭州市 富阳区 富春街道</v>
      </c>
      <c r="N8607" s="1" t="str">
        <f t="shared" si="2445"/>
        <v>凡华云仓-韵达-抖音</v>
      </c>
      <c r="O8607" s="5">
        <v>320161832127399</v>
      </c>
      <c r="P8607" s="6">
        <v>0.33</v>
      </c>
      <c r="Q8607" s="11">
        <v>2.2999999999999998</v>
      </c>
      <c r="R8607" s="11"/>
      <c r="S8607" s="11"/>
      <c r="T8607" s="11"/>
      <c r="U8607" s="11">
        <f t="shared" si="2437"/>
        <v>2.2999999999999998</v>
      </c>
      <c r="W8607">
        <v>2.5</v>
      </c>
      <c r="X8607" s="1" t="s">
        <v>20</v>
      </c>
    </row>
    <row r="8608" spans="1:24" x14ac:dyDescent="0.25">
      <c r="A8608" s="1" t="str">
        <f t="shared" si="2439"/>
        <v>卡卡杜-凤凰仓</v>
      </c>
      <c r="B8608" s="1" t="str">
        <f>"CK2024100819754"</f>
        <v>CK2024100819754</v>
      </c>
      <c r="C8608" s="1" t="str">
        <f>"DD2024100853143"</f>
        <v>DD2024100853143</v>
      </c>
      <c r="D8608" s="1" t="str">
        <f>"CK2024100852208"</f>
        <v>CK2024100852208</v>
      </c>
      <c r="E8608" s="1" t="str">
        <f>"6917956832692763891"</f>
        <v>6917956832692763891</v>
      </c>
      <c r="F8608" s="1" t="str">
        <f t="shared" si="2440"/>
        <v>花都四部-凤凰仓</v>
      </c>
      <c r="G8608" s="1" t="str">
        <f t="shared" si="2443"/>
        <v>卡卡杜个人护理店（抖店）</v>
      </c>
      <c r="H8608" s="1" t="str">
        <f t="shared" si="2441"/>
        <v>正常订单</v>
      </c>
      <c r="I8608" s="1" t="str">
        <f t="shared" si="2442"/>
        <v>已发货</v>
      </c>
      <c r="J8608" s="1" t="str">
        <f t="shared" si="2446"/>
        <v>2</v>
      </c>
      <c r="K8608" s="1">
        <v>1</v>
      </c>
      <c r="L8608" s="1" t="s">
        <v>24</v>
      </c>
      <c r="M8608" s="1" t="str">
        <f>"福建省 莆田市 荔城区 北高镇"</f>
        <v>福建省 莆田市 荔城区 北高镇</v>
      </c>
      <c r="N8608" s="1" t="str">
        <f t="shared" si="2445"/>
        <v>凡华云仓-韵达-抖音</v>
      </c>
      <c r="O8608" s="5">
        <v>320161832127206</v>
      </c>
      <c r="P8608" s="6">
        <v>0.33</v>
      </c>
      <c r="Q8608" s="11">
        <v>2.2999999999999998</v>
      </c>
      <c r="R8608" s="11"/>
      <c r="S8608" s="11"/>
      <c r="T8608" s="11"/>
      <c r="U8608" s="11">
        <f t="shared" si="2437"/>
        <v>2.2999999999999998</v>
      </c>
      <c r="W8608">
        <v>2.5</v>
      </c>
      <c r="X8608" s="1" t="s">
        <v>24</v>
      </c>
    </row>
    <row r="8609" spans="1:24" x14ac:dyDescent="0.25">
      <c r="A8609" s="1" t="str">
        <f t="shared" si="2439"/>
        <v>卡卡杜-凤凰仓</v>
      </c>
      <c r="B8609" s="1" t="str">
        <f>"CK2024100819757"</f>
        <v>CK2024100819757</v>
      </c>
      <c r="C8609" s="1" t="str">
        <f>"DD2024100853154"</f>
        <v>DD2024100853154</v>
      </c>
      <c r="D8609" s="1" t="str">
        <f>"CK2024100852207"</f>
        <v>CK2024100852207</v>
      </c>
      <c r="E8609" s="1" t="str">
        <f>"6917943971432988189"</f>
        <v>6917943971432988189</v>
      </c>
      <c r="F8609" s="1" t="str">
        <f t="shared" si="2440"/>
        <v>花都四部-凤凰仓</v>
      </c>
      <c r="G8609" s="1" t="str">
        <f t="shared" si="2443"/>
        <v>卡卡杜个人护理店（抖店）</v>
      </c>
      <c r="H8609" s="1" t="str">
        <f t="shared" si="2441"/>
        <v>正常订单</v>
      </c>
      <c r="I8609" s="1" t="str">
        <f t="shared" si="2442"/>
        <v>已发货</v>
      </c>
      <c r="J8609" s="1" t="str">
        <f t="shared" si="2446"/>
        <v>2</v>
      </c>
      <c r="K8609" s="1">
        <v>1</v>
      </c>
      <c r="L8609" s="1" t="s">
        <v>20</v>
      </c>
      <c r="M8609" s="1" t="str">
        <f>"浙江省 宁波市 慈溪市 附海镇"</f>
        <v>浙江省 宁波市 慈溪市 附海镇</v>
      </c>
      <c r="N8609" s="1" t="str">
        <f t="shared" si="2445"/>
        <v>凡华云仓-韵达-抖音</v>
      </c>
      <c r="O8609" s="5">
        <v>320161832127115</v>
      </c>
      <c r="P8609" s="6">
        <v>0.33</v>
      </c>
      <c r="Q8609" s="11">
        <v>2.2999999999999998</v>
      </c>
      <c r="R8609" s="11"/>
      <c r="S8609" s="11"/>
      <c r="T8609" s="11"/>
      <c r="U8609" s="11">
        <f t="shared" si="2437"/>
        <v>2.2999999999999998</v>
      </c>
      <c r="W8609">
        <v>2.5</v>
      </c>
      <c r="X8609" s="1" t="s">
        <v>20</v>
      </c>
    </row>
    <row r="8610" spans="1:24" x14ac:dyDescent="0.25">
      <c r="A8610" s="1" t="str">
        <f t="shared" si="2439"/>
        <v>卡卡杜-凤凰仓</v>
      </c>
      <c r="B8610" s="1" t="str">
        <f>"CK2024100819751"</f>
        <v>CK2024100819751</v>
      </c>
      <c r="C8610" s="1" t="str">
        <f>"DD2024100853144"</f>
        <v>DD2024100853144</v>
      </c>
      <c r="D8610" s="1" t="str">
        <f>"CK2024100852206"</f>
        <v>CK2024100852206</v>
      </c>
      <c r="E8610" s="1" t="str">
        <f>"6917956857742654698"</f>
        <v>6917956857742654698</v>
      </c>
      <c r="F8610" s="1" t="str">
        <f t="shared" si="2440"/>
        <v>花都四部-凤凰仓</v>
      </c>
      <c r="G8610" s="1" t="str">
        <f t="shared" si="2443"/>
        <v>卡卡杜个人护理店（抖店）</v>
      </c>
      <c r="H8610" s="1" t="str">
        <f t="shared" si="2441"/>
        <v>正常订单</v>
      </c>
      <c r="I8610" s="1" t="str">
        <f t="shared" si="2442"/>
        <v>已发货</v>
      </c>
      <c r="J8610" s="1" t="str">
        <f t="shared" si="2446"/>
        <v>2</v>
      </c>
      <c r="K8610" s="1">
        <v>1</v>
      </c>
      <c r="L8610" s="1" t="s">
        <v>96</v>
      </c>
      <c r="M8610" s="1" t="str">
        <f>"广西壮族自治区 柳州市 柳南区 "</f>
        <v xml:space="preserve">广西壮族自治区 柳州市 柳南区 </v>
      </c>
      <c r="N8610" s="1" t="str">
        <f t="shared" si="2445"/>
        <v>凡华云仓-韵达-抖音</v>
      </c>
      <c r="O8610" s="5">
        <v>320161832127026</v>
      </c>
      <c r="P8610" s="6">
        <v>0.33</v>
      </c>
      <c r="Q8610" s="11">
        <v>2.2999999999999998</v>
      </c>
      <c r="R8610" s="11"/>
      <c r="S8610" s="11"/>
      <c r="T8610" s="11"/>
      <c r="U8610" s="11">
        <f t="shared" si="2437"/>
        <v>2.2999999999999998</v>
      </c>
      <c r="W8610">
        <v>2.5</v>
      </c>
      <c r="X8610" s="1" t="s">
        <v>96</v>
      </c>
    </row>
    <row r="8611" spans="1:24" x14ac:dyDescent="0.25">
      <c r="A8611" s="1" t="str">
        <f t="shared" si="2439"/>
        <v>卡卡杜-凤凰仓</v>
      </c>
      <c r="B8611" s="1" t="str">
        <f>"CK2024100816797"</f>
        <v>CK2024100816797</v>
      </c>
      <c r="C8611" s="1" t="str">
        <f>"DD2024100841389"</f>
        <v>DD2024100841389</v>
      </c>
      <c r="D8611" s="1" t="str">
        <f>"CK2024100840151"</f>
        <v>CK2024100840151</v>
      </c>
      <c r="E8611" s="1" t="str">
        <f>"3723165527488990208"</f>
        <v>3723165527488990208</v>
      </c>
      <c r="F8611" s="1" t="str">
        <f t="shared" si="2440"/>
        <v>花都四部-凤凰仓</v>
      </c>
      <c r="G8611" s="1" t="str">
        <f>"卡卡杜企业店（视频号）"</f>
        <v>卡卡杜企业店（视频号）</v>
      </c>
      <c r="H8611" s="1" t="str">
        <f t="shared" si="2441"/>
        <v>正常订单</v>
      </c>
      <c r="I8611" s="1" t="str">
        <f t="shared" si="2442"/>
        <v>已发货</v>
      </c>
      <c r="J8611" s="1" t="str">
        <f t="shared" si="2446"/>
        <v>2</v>
      </c>
      <c r="K8611" s="1">
        <v>2</v>
      </c>
      <c r="L8611" s="1" t="s">
        <v>74</v>
      </c>
      <c r="M8611" s="1" t="str">
        <f>"上海 上海市 徐汇区 "</f>
        <v xml:space="preserve">上海 上海市 徐汇区 </v>
      </c>
      <c r="N8611" s="1" t="str">
        <f>"凡华云仓-韵达-微信视频号"</f>
        <v>凡华云仓-韵达-微信视频号</v>
      </c>
      <c r="O8611" s="5">
        <v>315012310788124</v>
      </c>
      <c r="P8611" s="6">
        <v>0.28000000000000003</v>
      </c>
      <c r="Q8611" s="11">
        <v>2</v>
      </c>
      <c r="R8611" s="11"/>
      <c r="S8611" s="11"/>
      <c r="T8611" s="11"/>
      <c r="U8611" s="11">
        <f t="shared" si="2437"/>
        <v>2</v>
      </c>
      <c r="W8611">
        <v>2.2000000000000002</v>
      </c>
      <c r="X8611" s="1" t="s">
        <v>74</v>
      </c>
    </row>
    <row r="8612" spans="1:24" x14ac:dyDescent="0.25">
      <c r="A8612" s="1" t="str">
        <f t="shared" si="2439"/>
        <v>卡卡杜-凤凰仓</v>
      </c>
      <c r="B8612" s="1" t="str">
        <f>"CK2024100816796"</f>
        <v>CK2024100816796</v>
      </c>
      <c r="C8612" s="1" t="str">
        <f>"DD2024100841387"</f>
        <v>DD2024100841387</v>
      </c>
      <c r="D8612" s="1" t="str">
        <f>"CK2024100840150"</f>
        <v>CK2024100840150</v>
      </c>
      <c r="E8612" s="1" t="str">
        <f>"3723167044591554560"</f>
        <v>3723167044591554560</v>
      </c>
      <c r="F8612" s="1" t="str">
        <f t="shared" si="2440"/>
        <v>花都四部-凤凰仓</v>
      </c>
      <c r="G8612" s="1" t="str">
        <f>"卡卡杜企业店（视频号）"</f>
        <v>卡卡杜企业店（视频号）</v>
      </c>
      <c r="H8612" s="1" t="str">
        <f t="shared" si="2441"/>
        <v>正常订单</v>
      </c>
      <c r="I8612" s="1" t="str">
        <f t="shared" si="2442"/>
        <v>已发货</v>
      </c>
      <c r="J8612" s="1" t="str">
        <f t="shared" si="2446"/>
        <v>2</v>
      </c>
      <c r="K8612" s="1">
        <v>2</v>
      </c>
      <c r="L8612" s="1" t="s">
        <v>30</v>
      </c>
      <c r="M8612" s="1" t="str">
        <f>"山东省 青岛市 市北区 "</f>
        <v xml:space="preserve">山东省 青岛市 市北区 </v>
      </c>
      <c r="N8612" s="1" t="str">
        <f>"凡华云仓-韵达-微信视频号"</f>
        <v>凡华云仓-韵达-微信视频号</v>
      </c>
      <c r="O8612" s="5">
        <v>315012310786796</v>
      </c>
      <c r="P8612" s="6">
        <v>0.28000000000000003</v>
      </c>
      <c r="Q8612" s="11">
        <v>2</v>
      </c>
      <c r="R8612" s="11"/>
      <c r="S8612" s="11"/>
      <c r="T8612" s="11"/>
      <c r="U8612" s="11">
        <f t="shared" si="2437"/>
        <v>2</v>
      </c>
      <c r="W8612">
        <v>2.2000000000000002</v>
      </c>
      <c r="X8612" s="1" t="s">
        <v>30</v>
      </c>
    </row>
    <row r="8613" spans="1:24" x14ac:dyDescent="0.25">
      <c r="A8613" s="1" t="str">
        <f t="shared" si="2439"/>
        <v>卡卡杜-凤凰仓</v>
      </c>
      <c r="B8613" s="1" t="str">
        <f>"CK2024100816814"</f>
        <v>CK2024100816814</v>
      </c>
      <c r="C8613" s="1" t="str">
        <f>"DD2024100841406"</f>
        <v>DD2024100841406</v>
      </c>
      <c r="D8613" s="1" t="str">
        <f>"CK2024100840125"</f>
        <v>CK2024100840125</v>
      </c>
      <c r="E8613" s="1" t="str">
        <f>"6917952344227085415"</f>
        <v>6917952344227085415</v>
      </c>
      <c r="F8613" s="1" t="str">
        <f t="shared" si="2440"/>
        <v>花都四部-凤凰仓</v>
      </c>
      <c r="G8613" s="1" t="str">
        <f t="shared" ref="G8613:G8638" si="2447">"卡卡杜个人护理店（抖店）"</f>
        <v>卡卡杜个人护理店（抖店）</v>
      </c>
      <c r="H8613" s="1" t="str">
        <f t="shared" si="2441"/>
        <v>正常订单</v>
      </c>
      <c r="I8613" s="1" t="str">
        <f t="shared" si="2442"/>
        <v>已发货</v>
      </c>
      <c r="J8613" s="1" t="str">
        <f t="shared" si="2446"/>
        <v>2</v>
      </c>
      <c r="K8613" s="1">
        <v>1</v>
      </c>
      <c r="L8613" s="1" t="s">
        <v>18</v>
      </c>
      <c r="M8613" s="1" t="str">
        <f>"广东省 深圳市 龙岗区 宝龙街道"</f>
        <v>广东省 深圳市 龙岗区 宝龙街道</v>
      </c>
      <c r="N8613" s="1" t="str">
        <f t="shared" ref="N8613:N8638" si="2448">"凡华云仓-韵达-抖音"</f>
        <v>凡华云仓-韵达-抖音</v>
      </c>
      <c r="O8613" s="5">
        <v>320161545374164</v>
      </c>
      <c r="P8613" s="6">
        <v>0.33</v>
      </c>
      <c r="Q8613" s="11">
        <v>2.2999999999999998</v>
      </c>
      <c r="R8613" s="11"/>
      <c r="S8613" s="11"/>
      <c r="T8613" s="11"/>
      <c r="U8613" s="11">
        <f t="shared" si="2437"/>
        <v>2.2999999999999998</v>
      </c>
      <c r="W8613">
        <v>2.5</v>
      </c>
      <c r="X8613" s="1" t="s">
        <v>18</v>
      </c>
    </row>
    <row r="8614" spans="1:24" x14ac:dyDescent="0.25">
      <c r="A8614" s="1" t="str">
        <f t="shared" si="2439"/>
        <v>卡卡杜-凤凰仓</v>
      </c>
      <c r="B8614" s="1" t="str">
        <f>"CK2024100816815"</f>
        <v>CK2024100816815</v>
      </c>
      <c r="C8614" s="1" t="str">
        <f>"DD2024100841405"</f>
        <v>DD2024100841405</v>
      </c>
      <c r="D8614" s="1" t="str">
        <f>"CK2024100840124"</f>
        <v>CK2024100840124</v>
      </c>
      <c r="E8614" s="1" t="str">
        <f>"6917943226174635624"</f>
        <v>6917943226174635624</v>
      </c>
      <c r="F8614" s="1" t="str">
        <f t="shared" si="2440"/>
        <v>花都四部-凤凰仓</v>
      </c>
      <c r="G8614" s="1" t="str">
        <f t="shared" si="2447"/>
        <v>卡卡杜个人护理店（抖店）</v>
      </c>
      <c r="H8614" s="1" t="str">
        <f t="shared" si="2441"/>
        <v>正常订单</v>
      </c>
      <c r="I8614" s="1" t="str">
        <f t="shared" si="2442"/>
        <v>已发货</v>
      </c>
      <c r="J8614" s="1" t="str">
        <f t="shared" si="2446"/>
        <v>2</v>
      </c>
      <c r="K8614" s="1">
        <v>1</v>
      </c>
      <c r="L8614" s="1" t="s">
        <v>18</v>
      </c>
      <c r="M8614" s="1" t="str">
        <f>"广东省 中山市 中山市 南朗街道"</f>
        <v>广东省 中山市 中山市 南朗街道</v>
      </c>
      <c r="N8614" s="1" t="str">
        <f t="shared" si="2448"/>
        <v>凡华云仓-韵达-抖音</v>
      </c>
      <c r="O8614" s="5">
        <v>320161545374075</v>
      </c>
      <c r="P8614" s="6">
        <v>0.33</v>
      </c>
      <c r="Q8614" s="11">
        <v>2.2999999999999998</v>
      </c>
      <c r="R8614" s="11"/>
      <c r="S8614" s="11"/>
      <c r="T8614" s="11"/>
      <c r="U8614" s="11">
        <f t="shared" si="2437"/>
        <v>2.2999999999999998</v>
      </c>
      <c r="W8614">
        <v>2.5</v>
      </c>
      <c r="X8614" s="1" t="s">
        <v>18</v>
      </c>
    </row>
    <row r="8615" spans="1:24" x14ac:dyDescent="0.25">
      <c r="A8615" s="1" t="str">
        <f t="shared" si="2439"/>
        <v>卡卡杜-凤凰仓</v>
      </c>
      <c r="B8615" s="1" t="str">
        <f>"CK2024100816824"</f>
        <v>CK2024100816824</v>
      </c>
      <c r="C8615" s="1" t="str">
        <f>"DD2024100841415"</f>
        <v>DD2024100841415</v>
      </c>
      <c r="D8615" s="1" t="str">
        <f>"CK2024100840123"</f>
        <v>CK2024100840123</v>
      </c>
      <c r="E8615" s="1" t="str">
        <f>"6917950310951321177"</f>
        <v>6917950310951321177</v>
      </c>
      <c r="F8615" s="1" t="str">
        <f t="shared" si="2440"/>
        <v>花都四部-凤凰仓</v>
      </c>
      <c r="G8615" s="1" t="str">
        <f t="shared" si="2447"/>
        <v>卡卡杜个人护理店（抖店）</v>
      </c>
      <c r="H8615" s="1" t="str">
        <f t="shared" si="2441"/>
        <v>正常订单</v>
      </c>
      <c r="I8615" s="1" t="str">
        <f t="shared" si="2442"/>
        <v>已发货</v>
      </c>
      <c r="J8615" s="1" t="str">
        <f t="shared" si="2446"/>
        <v>2</v>
      </c>
      <c r="K8615" s="1">
        <v>1</v>
      </c>
      <c r="L8615" s="1" t="s">
        <v>96</v>
      </c>
      <c r="M8615" s="1" t="str">
        <f>"广西壮族自治区 北海市 海城区 "</f>
        <v xml:space="preserve">广西壮族自治区 北海市 海城区 </v>
      </c>
      <c r="N8615" s="1" t="str">
        <f t="shared" si="2448"/>
        <v>凡华云仓-韵达-抖音</v>
      </c>
      <c r="O8615" s="5">
        <v>320161545373953</v>
      </c>
      <c r="P8615" s="6">
        <v>0.33</v>
      </c>
      <c r="Q8615" s="11">
        <v>2.2999999999999998</v>
      </c>
      <c r="R8615" s="11"/>
      <c r="S8615" s="11"/>
      <c r="T8615" s="11"/>
      <c r="U8615" s="11">
        <f t="shared" si="2437"/>
        <v>2.2999999999999998</v>
      </c>
      <c r="W8615">
        <v>2.5</v>
      </c>
      <c r="X8615" s="1" t="s">
        <v>96</v>
      </c>
    </row>
    <row r="8616" spans="1:24" x14ac:dyDescent="0.25">
      <c r="A8616" s="1" t="str">
        <f t="shared" si="2439"/>
        <v>卡卡杜-凤凰仓</v>
      </c>
      <c r="B8616" s="1" t="str">
        <f>"CK2024100816816"</f>
        <v>CK2024100816816</v>
      </c>
      <c r="C8616" s="1" t="str">
        <f>"DD2024100841410"</f>
        <v>DD2024100841410</v>
      </c>
      <c r="D8616" s="1" t="str">
        <f>"CK2024100840122"</f>
        <v>CK2024100840122</v>
      </c>
      <c r="E8616" s="1" t="str">
        <f>"6917952191543017118"</f>
        <v>6917952191543017118</v>
      </c>
      <c r="F8616" s="1" t="str">
        <f t="shared" si="2440"/>
        <v>花都四部-凤凰仓</v>
      </c>
      <c r="G8616" s="1" t="str">
        <f t="shared" si="2447"/>
        <v>卡卡杜个人护理店（抖店）</v>
      </c>
      <c r="H8616" s="1" t="str">
        <f t="shared" si="2441"/>
        <v>正常订单</v>
      </c>
      <c r="I8616" s="1" t="str">
        <f t="shared" si="2442"/>
        <v>已发货</v>
      </c>
      <c r="J8616" s="1" t="str">
        <f t="shared" si="2446"/>
        <v>2</v>
      </c>
      <c r="K8616" s="1">
        <v>1</v>
      </c>
      <c r="L8616" s="1" t="s">
        <v>18</v>
      </c>
      <c r="M8616" s="1" t="str">
        <f>"广东省 东莞市 东莞市 大朗镇"</f>
        <v>广东省 东莞市 东莞市 大朗镇</v>
      </c>
      <c r="N8616" s="1" t="str">
        <f t="shared" si="2448"/>
        <v>凡华云仓-韵达-抖音</v>
      </c>
      <c r="O8616" s="5">
        <v>320161545373848</v>
      </c>
      <c r="P8616" s="6">
        <v>0.33</v>
      </c>
      <c r="Q8616" s="11">
        <v>2.2999999999999998</v>
      </c>
      <c r="R8616" s="11"/>
      <c r="S8616" s="11"/>
      <c r="T8616" s="11"/>
      <c r="U8616" s="11">
        <f t="shared" si="2437"/>
        <v>2.2999999999999998</v>
      </c>
      <c r="W8616">
        <v>2.5</v>
      </c>
      <c r="X8616" s="1" t="s">
        <v>18</v>
      </c>
    </row>
    <row r="8617" spans="1:24" x14ac:dyDescent="0.25">
      <c r="A8617" s="1" t="str">
        <f t="shared" si="2439"/>
        <v>卡卡杜-凤凰仓</v>
      </c>
      <c r="B8617" s="1" t="str">
        <f>"CK2024100816812"</f>
        <v>CK2024100816812</v>
      </c>
      <c r="C8617" s="1" t="str">
        <f>"DD2024100841403"</f>
        <v>DD2024100841403</v>
      </c>
      <c r="D8617" s="1" t="str">
        <f>"CK2024100840121"</f>
        <v>CK2024100840121</v>
      </c>
      <c r="E8617" s="1" t="str">
        <f>"6917950487407328965"</f>
        <v>6917950487407328965</v>
      </c>
      <c r="F8617" s="1" t="str">
        <f t="shared" si="2440"/>
        <v>花都四部-凤凰仓</v>
      </c>
      <c r="G8617" s="1" t="str">
        <f t="shared" si="2447"/>
        <v>卡卡杜个人护理店（抖店）</v>
      </c>
      <c r="H8617" s="1" t="str">
        <f t="shared" si="2441"/>
        <v>正常订单</v>
      </c>
      <c r="I8617" s="1" t="str">
        <f t="shared" si="2442"/>
        <v>已发货</v>
      </c>
      <c r="J8617" s="1" t="str">
        <f t="shared" si="2446"/>
        <v>2</v>
      </c>
      <c r="K8617" s="1">
        <v>1</v>
      </c>
      <c r="L8617" s="1" t="s">
        <v>22</v>
      </c>
      <c r="M8617" s="1" t="str">
        <f>"江西省 九江市 修水县 "</f>
        <v xml:space="preserve">江西省 九江市 修水县 </v>
      </c>
      <c r="N8617" s="1" t="str">
        <f t="shared" si="2448"/>
        <v>凡华云仓-韵达-抖音</v>
      </c>
      <c r="O8617" s="5">
        <v>320161545373745</v>
      </c>
      <c r="P8617" s="6">
        <v>0.33</v>
      </c>
      <c r="Q8617" s="11">
        <v>2.2999999999999998</v>
      </c>
      <c r="R8617" s="11"/>
      <c r="S8617" s="11"/>
      <c r="T8617" s="11"/>
      <c r="U8617" s="11">
        <f t="shared" si="2437"/>
        <v>2.2999999999999998</v>
      </c>
      <c r="W8617">
        <v>2.5</v>
      </c>
      <c r="X8617" s="1" t="s">
        <v>22</v>
      </c>
    </row>
    <row r="8618" spans="1:24" x14ac:dyDescent="0.25">
      <c r="A8618" s="1" t="str">
        <f t="shared" si="2439"/>
        <v>卡卡杜-凤凰仓</v>
      </c>
      <c r="B8618" s="1" t="str">
        <f>"CK2024100816809"</f>
        <v>CK2024100816809</v>
      </c>
      <c r="C8618" s="1" t="str">
        <f>"DD2024100841402"</f>
        <v>DD2024100841402</v>
      </c>
      <c r="D8618" s="1" t="str">
        <f>"CK2024100840120"</f>
        <v>CK2024100840120</v>
      </c>
      <c r="E8618" s="1" t="str">
        <f>"6917946430728011341"</f>
        <v>6917946430728011341</v>
      </c>
      <c r="F8618" s="1" t="str">
        <f t="shared" si="2440"/>
        <v>花都四部-凤凰仓</v>
      </c>
      <c r="G8618" s="1" t="str">
        <f t="shared" si="2447"/>
        <v>卡卡杜个人护理店（抖店）</v>
      </c>
      <c r="H8618" s="1" t="str">
        <f t="shared" si="2441"/>
        <v>正常订单</v>
      </c>
      <c r="I8618" s="1" t="str">
        <f t="shared" si="2442"/>
        <v>已发货</v>
      </c>
      <c r="J8618" s="1" t="str">
        <f t="shared" si="2446"/>
        <v>2</v>
      </c>
      <c r="K8618" s="1">
        <v>1</v>
      </c>
      <c r="L8618" s="1" t="s">
        <v>36</v>
      </c>
      <c r="M8618" s="1" t="str">
        <f>"安徽省 合肥市 巢湖市 凤凰山街道"</f>
        <v>安徽省 合肥市 巢湖市 凤凰山街道</v>
      </c>
      <c r="N8618" s="1" t="str">
        <f t="shared" si="2448"/>
        <v>凡华云仓-韵达-抖音</v>
      </c>
      <c r="O8618" s="5">
        <v>320161545373644</v>
      </c>
      <c r="P8618" s="6">
        <v>0.33</v>
      </c>
      <c r="Q8618" s="11">
        <v>2.2999999999999998</v>
      </c>
      <c r="R8618" s="11"/>
      <c r="S8618" s="11"/>
      <c r="T8618" s="11"/>
      <c r="U8618" s="11">
        <f t="shared" si="2437"/>
        <v>2.2999999999999998</v>
      </c>
      <c r="W8618">
        <v>2.5</v>
      </c>
      <c r="X8618" s="1" t="s">
        <v>36</v>
      </c>
    </row>
    <row r="8619" spans="1:24" x14ac:dyDescent="0.25">
      <c r="A8619" s="1" t="str">
        <f t="shared" si="2439"/>
        <v>卡卡杜-凤凰仓</v>
      </c>
      <c r="B8619" s="1" t="str">
        <f>"CK2024100816818"</f>
        <v>CK2024100816818</v>
      </c>
      <c r="C8619" s="1" t="str">
        <f>"DD2024100841408"</f>
        <v>DD2024100841408</v>
      </c>
      <c r="D8619" s="1" t="str">
        <f>"CK2024100840119"</f>
        <v>CK2024100840119</v>
      </c>
      <c r="E8619" s="1" t="str">
        <f>"6917947361561246930"</f>
        <v>6917947361561246930</v>
      </c>
      <c r="F8619" s="1" t="str">
        <f t="shared" si="2440"/>
        <v>花都四部-凤凰仓</v>
      </c>
      <c r="G8619" s="1" t="str">
        <f t="shared" si="2447"/>
        <v>卡卡杜个人护理店（抖店）</v>
      </c>
      <c r="H8619" s="1" t="str">
        <f t="shared" si="2441"/>
        <v>正常订单</v>
      </c>
      <c r="I8619" s="1" t="str">
        <f t="shared" si="2442"/>
        <v>已发货</v>
      </c>
      <c r="J8619" s="1" t="str">
        <f t="shared" si="2446"/>
        <v>2</v>
      </c>
      <c r="K8619" s="1">
        <v>1</v>
      </c>
      <c r="L8619" s="1" t="s">
        <v>20</v>
      </c>
      <c r="M8619" s="1" t="str">
        <f>"浙江省 湖州市 吴兴区 埭溪镇"</f>
        <v>浙江省 湖州市 吴兴区 埭溪镇</v>
      </c>
      <c r="N8619" s="1" t="str">
        <f t="shared" si="2448"/>
        <v>凡华云仓-韵达-抖音</v>
      </c>
      <c r="O8619" s="5">
        <v>320161548163466</v>
      </c>
      <c r="P8619" s="6">
        <v>0.33</v>
      </c>
      <c r="Q8619" s="11">
        <v>2.2999999999999998</v>
      </c>
      <c r="R8619" s="11"/>
      <c r="S8619" s="11"/>
      <c r="T8619" s="11"/>
      <c r="U8619" s="11">
        <f t="shared" si="2437"/>
        <v>2.2999999999999998</v>
      </c>
      <c r="W8619">
        <v>2.5</v>
      </c>
      <c r="X8619" s="1" t="s">
        <v>20</v>
      </c>
    </row>
    <row r="8620" spans="1:24" x14ac:dyDescent="0.25">
      <c r="A8620" s="1" t="str">
        <f t="shared" si="2439"/>
        <v>卡卡杜-凤凰仓</v>
      </c>
      <c r="B8620" s="1" t="str">
        <f>"CK2024100816819"</f>
        <v>CK2024100816819</v>
      </c>
      <c r="C8620" s="1" t="str">
        <f>"DD2024100841412"</f>
        <v>DD2024100841412</v>
      </c>
      <c r="D8620" s="1" t="str">
        <f>"CK2024100840118"</f>
        <v>CK2024100840118</v>
      </c>
      <c r="E8620" s="1" t="str">
        <f>"6917942717629562592"</f>
        <v>6917942717629562592</v>
      </c>
      <c r="F8620" s="1" t="str">
        <f t="shared" si="2440"/>
        <v>花都四部-凤凰仓</v>
      </c>
      <c r="G8620" s="1" t="str">
        <f t="shared" si="2447"/>
        <v>卡卡杜个人护理店（抖店）</v>
      </c>
      <c r="H8620" s="1" t="str">
        <f t="shared" si="2441"/>
        <v>正常订单</v>
      </c>
      <c r="I8620" s="1" t="str">
        <f t="shared" si="2442"/>
        <v>已发货</v>
      </c>
      <c r="J8620" s="1" t="str">
        <f t="shared" si="2446"/>
        <v>2</v>
      </c>
      <c r="K8620" s="1">
        <v>1</v>
      </c>
      <c r="L8620" s="1" t="s">
        <v>20</v>
      </c>
      <c r="M8620" s="1" t="str">
        <f>"浙江省 衢州市 柯城区 荷花街道"</f>
        <v>浙江省 衢州市 柯城区 荷花街道</v>
      </c>
      <c r="N8620" s="1" t="str">
        <f t="shared" si="2448"/>
        <v>凡华云仓-韵达-抖音</v>
      </c>
      <c r="O8620" s="5">
        <v>320161548163371</v>
      </c>
      <c r="P8620" s="6">
        <v>0.33</v>
      </c>
      <c r="Q8620" s="11">
        <v>2.2999999999999998</v>
      </c>
      <c r="R8620" s="11"/>
      <c r="S8620" s="11"/>
      <c r="T8620" s="11"/>
      <c r="U8620" s="11">
        <f t="shared" si="2437"/>
        <v>2.2999999999999998</v>
      </c>
      <c r="W8620">
        <v>2.5</v>
      </c>
      <c r="X8620" s="1" t="s">
        <v>20</v>
      </c>
    </row>
    <row r="8621" spans="1:24" x14ac:dyDescent="0.25">
      <c r="A8621" s="1" t="str">
        <f t="shared" si="2439"/>
        <v>卡卡杜-凤凰仓</v>
      </c>
      <c r="B8621" s="1" t="str">
        <f>"CK2024100816820"</f>
        <v>CK2024100816820</v>
      </c>
      <c r="C8621" s="1" t="str">
        <f>"DD2024100841411"</f>
        <v>DD2024100841411</v>
      </c>
      <c r="D8621" s="1" t="str">
        <f>"CK2024100840117"</f>
        <v>CK2024100840117</v>
      </c>
      <c r="E8621" s="1" t="str">
        <f>"6917951989665005005"</f>
        <v>6917951989665005005</v>
      </c>
      <c r="F8621" s="1" t="str">
        <f t="shared" si="2440"/>
        <v>花都四部-凤凰仓</v>
      </c>
      <c r="G8621" s="1" t="str">
        <f t="shared" si="2447"/>
        <v>卡卡杜个人护理店（抖店）</v>
      </c>
      <c r="H8621" s="1" t="str">
        <f t="shared" si="2441"/>
        <v>正常订单</v>
      </c>
      <c r="I8621" s="1" t="str">
        <f t="shared" si="2442"/>
        <v>已发货</v>
      </c>
      <c r="J8621" s="1" t="str">
        <f t="shared" si="2446"/>
        <v>2</v>
      </c>
      <c r="K8621" s="1">
        <v>1</v>
      </c>
      <c r="L8621" s="1" t="s">
        <v>20</v>
      </c>
      <c r="M8621" s="1" t="str">
        <f>"浙江省 杭州市 上城区 九堡街道"</f>
        <v>浙江省 杭州市 上城区 九堡街道</v>
      </c>
      <c r="N8621" s="1" t="str">
        <f t="shared" si="2448"/>
        <v>凡华云仓-韵达-抖音</v>
      </c>
      <c r="O8621" s="5">
        <v>320161548163278</v>
      </c>
      <c r="P8621" s="6">
        <v>0.33</v>
      </c>
      <c r="Q8621" s="11">
        <v>2.2999999999999998</v>
      </c>
      <c r="R8621" s="11"/>
      <c r="S8621" s="11"/>
      <c r="T8621" s="11"/>
      <c r="U8621" s="11">
        <f t="shared" si="2437"/>
        <v>2.2999999999999998</v>
      </c>
      <c r="W8621">
        <v>2.5</v>
      </c>
      <c r="X8621" s="1" t="s">
        <v>20</v>
      </c>
    </row>
    <row r="8622" spans="1:24" x14ac:dyDescent="0.25">
      <c r="A8622" s="1" t="str">
        <f t="shared" si="2439"/>
        <v>卡卡杜-凤凰仓</v>
      </c>
      <c r="B8622" s="1" t="str">
        <f>"CK2024100816821"</f>
        <v>CK2024100816821</v>
      </c>
      <c r="C8622" s="1" t="str">
        <f>"DD2024100841409"</f>
        <v>DD2024100841409</v>
      </c>
      <c r="D8622" s="1" t="str">
        <f>"CK2024100840116"</f>
        <v>CK2024100840116</v>
      </c>
      <c r="E8622" s="1" t="str">
        <f>"6917949863796768682"</f>
        <v>6917949863796768682</v>
      </c>
      <c r="F8622" s="1" t="str">
        <f t="shared" si="2440"/>
        <v>花都四部-凤凰仓</v>
      </c>
      <c r="G8622" s="1" t="str">
        <f t="shared" si="2447"/>
        <v>卡卡杜个人护理店（抖店）</v>
      </c>
      <c r="H8622" s="1" t="str">
        <f t="shared" si="2441"/>
        <v>正常订单</v>
      </c>
      <c r="I8622" s="1" t="str">
        <f t="shared" si="2442"/>
        <v>已发货</v>
      </c>
      <c r="J8622" s="1" t="str">
        <f t="shared" si="2446"/>
        <v>2</v>
      </c>
      <c r="K8622" s="1">
        <v>1</v>
      </c>
      <c r="L8622" s="1" t="s">
        <v>20</v>
      </c>
      <c r="M8622" s="1" t="str">
        <f>"浙江省 宁波市 宁海县 桃源街道"</f>
        <v>浙江省 宁波市 宁海县 桃源街道</v>
      </c>
      <c r="N8622" s="1" t="str">
        <f t="shared" si="2448"/>
        <v>凡华云仓-韵达-抖音</v>
      </c>
      <c r="O8622" s="5">
        <v>320161548163187</v>
      </c>
      <c r="P8622" s="6">
        <v>0.33</v>
      </c>
      <c r="Q8622" s="11">
        <v>2.2999999999999998</v>
      </c>
      <c r="R8622" s="11"/>
      <c r="S8622" s="11"/>
      <c r="T8622" s="11"/>
      <c r="U8622" s="11">
        <f t="shared" si="2437"/>
        <v>2.2999999999999998</v>
      </c>
      <c r="W8622">
        <v>2.5</v>
      </c>
      <c r="X8622" s="1" t="s">
        <v>20</v>
      </c>
    </row>
    <row r="8623" spans="1:24" x14ac:dyDescent="0.25">
      <c r="A8623" s="1" t="str">
        <f t="shared" si="2439"/>
        <v>卡卡杜-凤凰仓</v>
      </c>
      <c r="B8623" s="1" t="str">
        <f>"CK2024100816813"</f>
        <v>CK2024100816813</v>
      </c>
      <c r="C8623" s="1" t="str">
        <f>"DD2024100841404"</f>
        <v>DD2024100841404</v>
      </c>
      <c r="D8623" s="1" t="str">
        <f>"CK2024100840115"</f>
        <v>CK2024100840115</v>
      </c>
      <c r="E8623" s="1" t="str">
        <f>"6917943299885071813"</f>
        <v>6917943299885071813</v>
      </c>
      <c r="F8623" s="1" t="str">
        <f t="shared" si="2440"/>
        <v>花都四部-凤凰仓</v>
      </c>
      <c r="G8623" s="1" t="str">
        <f t="shared" si="2447"/>
        <v>卡卡杜个人护理店（抖店）</v>
      </c>
      <c r="H8623" s="1" t="str">
        <f t="shared" si="2441"/>
        <v>正常订单</v>
      </c>
      <c r="I8623" s="1" t="str">
        <f t="shared" si="2442"/>
        <v>已发货</v>
      </c>
      <c r="J8623" s="1" t="str">
        <f t="shared" si="2446"/>
        <v>2</v>
      </c>
      <c r="K8623" s="1">
        <v>1</v>
      </c>
      <c r="L8623" s="1" t="s">
        <v>22</v>
      </c>
      <c r="M8623" s="1" t="str">
        <f>"江西省 上饶市 万年县 苏桥乡"</f>
        <v>江西省 上饶市 万年县 苏桥乡</v>
      </c>
      <c r="N8623" s="1" t="str">
        <f t="shared" si="2448"/>
        <v>凡华云仓-韵达-抖音</v>
      </c>
      <c r="O8623" s="5">
        <v>320161548163098</v>
      </c>
      <c r="P8623" s="6">
        <v>0.33</v>
      </c>
      <c r="Q8623" s="11">
        <v>2.2999999999999998</v>
      </c>
      <c r="R8623" s="11"/>
      <c r="S8623" s="11"/>
      <c r="T8623" s="11"/>
      <c r="U8623" s="11">
        <f t="shared" si="2437"/>
        <v>2.2999999999999998</v>
      </c>
      <c r="W8623">
        <v>2.5</v>
      </c>
      <c r="X8623" s="1" t="s">
        <v>22</v>
      </c>
    </row>
    <row r="8624" spans="1:24" x14ac:dyDescent="0.25">
      <c r="A8624" s="1" t="str">
        <f t="shared" si="2439"/>
        <v>卡卡杜-凤凰仓</v>
      </c>
      <c r="B8624" s="1" t="str">
        <f>"CK2024100816817"</f>
        <v>CK2024100816817</v>
      </c>
      <c r="C8624" s="1" t="str">
        <f>"DD2024100841407"</f>
        <v>DD2024100841407</v>
      </c>
      <c r="D8624" s="1" t="str">
        <f>"CK2024100840114"</f>
        <v>CK2024100840114</v>
      </c>
      <c r="E8624" s="1" t="str">
        <f>"6917942924645399836"</f>
        <v>6917942924645399836</v>
      </c>
      <c r="F8624" s="1" t="str">
        <f t="shared" si="2440"/>
        <v>花都四部-凤凰仓</v>
      </c>
      <c r="G8624" s="1" t="str">
        <f t="shared" si="2447"/>
        <v>卡卡杜个人护理店（抖店）</v>
      </c>
      <c r="H8624" s="1" t="str">
        <f t="shared" si="2441"/>
        <v>正常订单</v>
      </c>
      <c r="I8624" s="1" t="str">
        <f t="shared" si="2442"/>
        <v>已发货</v>
      </c>
      <c r="J8624" s="1" t="str">
        <f t="shared" si="2446"/>
        <v>2</v>
      </c>
      <c r="K8624" s="1">
        <v>1</v>
      </c>
      <c r="L8624" s="1" t="s">
        <v>24</v>
      </c>
      <c r="M8624" s="1" t="str">
        <f>"福建省 龙岩市 永定区 下洋镇"</f>
        <v>福建省 龙岩市 永定区 下洋镇</v>
      </c>
      <c r="N8624" s="1" t="str">
        <f t="shared" si="2448"/>
        <v>凡华云仓-韵达-抖音</v>
      </c>
      <c r="O8624" s="5">
        <v>320161548162978</v>
      </c>
      <c r="P8624" s="6">
        <v>0.33</v>
      </c>
      <c r="Q8624" s="11">
        <v>2.2999999999999998</v>
      </c>
      <c r="R8624" s="11"/>
      <c r="S8624" s="11"/>
      <c r="T8624" s="11"/>
      <c r="U8624" s="11">
        <f t="shared" si="2437"/>
        <v>2.2999999999999998</v>
      </c>
      <c r="W8624">
        <v>2.5</v>
      </c>
      <c r="X8624" s="1" t="s">
        <v>24</v>
      </c>
    </row>
    <row r="8625" spans="1:24" x14ac:dyDescent="0.25">
      <c r="A8625" s="1" t="str">
        <f t="shared" si="2439"/>
        <v>卡卡杜-凤凰仓</v>
      </c>
      <c r="B8625" s="1" t="str">
        <f>"CK2024100816823"</f>
        <v>CK2024100816823</v>
      </c>
      <c r="C8625" s="1" t="str">
        <f>"DD2024100841414"</f>
        <v>DD2024100841414</v>
      </c>
      <c r="D8625" s="1" t="str">
        <f>"CK2024100840113"</f>
        <v>CK2024100840113</v>
      </c>
      <c r="E8625" s="1" t="str">
        <f>"6917943204591598759"</f>
        <v>6917943204591598759</v>
      </c>
      <c r="F8625" s="1" t="str">
        <f t="shared" si="2440"/>
        <v>花都四部-凤凰仓</v>
      </c>
      <c r="G8625" s="1" t="str">
        <f t="shared" si="2447"/>
        <v>卡卡杜个人护理店（抖店）</v>
      </c>
      <c r="H8625" s="1" t="str">
        <f t="shared" si="2441"/>
        <v>正常订单</v>
      </c>
      <c r="I8625" s="1" t="str">
        <f t="shared" si="2442"/>
        <v>已发货</v>
      </c>
      <c r="J8625" s="1" t="str">
        <f t="shared" si="2446"/>
        <v>2</v>
      </c>
      <c r="K8625" s="1">
        <v>1</v>
      </c>
      <c r="L8625" s="1" t="s">
        <v>41</v>
      </c>
      <c r="M8625" s="1" t="str">
        <f>"湖北省 十堰市 竹溪县 向坝乡"</f>
        <v>湖北省 十堰市 竹溪县 向坝乡</v>
      </c>
      <c r="N8625" s="1" t="str">
        <f t="shared" si="2448"/>
        <v>凡华云仓-韵达-抖音</v>
      </c>
      <c r="O8625" s="5">
        <v>320161548162873</v>
      </c>
      <c r="P8625" s="6">
        <v>0.33</v>
      </c>
      <c r="Q8625" s="11">
        <v>2.2999999999999998</v>
      </c>
      <c r="R8625" s="11"/>
      <c r="S8625" s="11"/>
      <c r="T8625" s="11"/>
      <c r="U8625" s="11">
        <f t="shared" si="2437"/>
        <v>2.2999999999999998</v>
      </c>
      <c r="W8625">
        <v>2.5</v>
      </c>
      <c r="X8625" s="1" t="s">
        <v>41</v>
      </c>
    </row>
    <row r="8626" spans="1:24" x14ac:dyDescent="0.25">
      <c r="A8626" s="1" t="str">
        <f t="shared" si="2439"/>
        <v>卡卡杜-凤凰仓</v>
      </c>
      <c r="B8626" s="1" t="str">
        <f>"CK2024100816806"</f>
        <v>CK2024100816806</v>
      </c>
      <c r="C8626" s="1" t="str">
        <f>"DD2024100841398"</f>
        <v>DD2024100841398</v>
      </c>
      <c r="D8626" s="1" t="str">
        <f>"CK2024100840112"</f>
        <v>CK2024100840112</v>
      </c>
      <c r="E8626" s="1" t="str">
        <f>"6917946072304024698"</f>
        <v>6917946072304024698</v>
      </c>
      <c r="F8626" s="1" t="str">
        <f t="shared" si="2440"/>
        <v>花都四部-凤凰仓</v>
      </c>
      <c r="G8626" s="1" t="str">
        <f t="shared" si="2447"/>
        <v>卡卡杜个人护理店（抖店）</v>
      </c>
      <c r="H8626" s="1" t="str">
        <f t="shared" si="2441"/>
        <v>正常订单</v>
      </c>
      <c r="I8626" s="1" t="str">
        <f t="shared" si="2442"/>
        <v>已发货</v>
      </c>
      <c r="J8626" s="1" t="str">
        <f t="shared" si="2446"/>
        <v>2</v>
      </c>
      <c r="K8626" s="1">
        <v>1</v>
      </c>
      <c r="L8626" s="1" t="s">
        <v>22</v>
      </c>
      <c r="M8626" s="1" t="str">
        <f>"江西省 上饶市 余干县 玉亭镇"</f>
        <v>江西省 上饶市 余干县 玉亭镇</v>
      </c>
      <c r="N8626" s="1" t="str">
        <f t="shared" si="2448"/>
        <v>凡华云仓-韵达-抖音</v>
      </c>
      <c r="O8626" s="5">
        <v>320161548162770</v>
      </c>
      <c r="P8626" s="6">
        <v>0.33</v>
      </c>
      <c r="Q8626" s="11">
        <v>2.2999999999999998</v>
      </c>
      <c r="R8626" s="11"/>
      <c r="S8626" s="11"/>
      <c r="T8626" s="11"/>
      <c r="U8626" s="11">
        <f t="shared" si="2437"/>
        <v>2.2999999999999998</v>
      </c>
      <c r="W8626">
        <v>2.5</v>
      </c>
      <c r="X8626" s="1" t="s">
        <v>22</v>
      </c>
    </row>
    <row r="8627" spans="1:24" x14ac:dyDescent="0.25">
      <c r="A8627" s="1" t="str">
        <f t="shared" si="2439"/>
        <v>卡卡杜-凤凰仓</v>
      </c>
      <c r="B8627" s="1" t="str">
        <f>"CK2024100816810"</f>
        <v>CK2024100816810</v>
      </c>
      <c r="C8627" s="1" t="str">
        <f>"DD2024100841401"</f>
        <v>DD2024100841401</v>
      </c>
      <c r="D8627" s="1" t="str">
        <f>"CK2024100840111"</f>
        <v>CK2024100840111</v>
      </c>
      <c r="E8627" s="1" t="str">
        <f>"6917952998555548674"</f>
        <v>6917952998555548674</v>
      </c>
      <c r="F8627" s="1" t="str">
        <f t="shared" si="2440"/>
        <v>花都四部-凤凰仓</v>
      </c>
      <c r="G8627" s="1" t="str">
        <f t="shared" si="2447"/>
        <v>卡卡杜个人护理店（抖店）</v>
      </c>
      <c r="H8627" s="1" t="str">
        <f t="shared" si="2441"/>
        <v>正常订单</v>
      </c>
      <c r="I8627" s="1" t="str">
        <f t="shared" si="2442"/>
        <v>已发货</v>
      </c>
      <c r="J8627" s="1" t="str">
        <f t="shared" si="2446"/>
        <v>2</v>
      </c>
      <c r="K8627" s="1">
        <v>1</v>
      </c>
      <c r="L8627" s="1" t="s">
        <v>80</v>
      </c>
      <c r="M8627" s="1" t="str">
        <f>"河南省 南阳市 方城县 凤瑞街道"</f>
        <v>河南省 南阳市 方城县 凤瑞街道</v>
      </c>
      <c r="N8627" s="1" t="str">
        <f t="shared" si="2448"/>
        <v>凡华云仓-韵达-抖音</v>
      </c>
      <c r="O8627" s="5">
        <v>320161548162669</v>
      </c>
      <c r="P8627" s="6">
        <v>0.33</v>
      </c>
      <c r="Q8627" s="11">
        <v>2.2999999999999998</v>
      </c>
      <c r="R8627" s="11"/>
      <c r="S8627" s="11"/>
      <c r="T8627" s="11"/>
      <c r="U8627" s="11">
        <f t="shared" si="2437"/>
        <v>2.2999999999999998</v>
      </c>
      <c r="W8627">
        <v>2.5</v>
      </c>
      <c r="X8627" s="1" t="s">
        <v>80</v>
      </c>
    </row>
    <row r="8628" spans="1:24" x14ac:dyDescent="0.25">
      <c r="A8628" s="1" t="str">
        <f t="shared" si="2439"/>
        <v>卡卡杜-凤凰仓</v>
      </c>
      <c r="B8628" s="1" t="str">
        <f>"CK2024100816807"</f>
        <v>CK2024100816807</v>
      </c>
      <c r="C8628" s="1" t="str">
        <f>"DD2024100841396"</f>
        <v>DD2024100841396</v>
      </c>
      <c r="D8628" s="1" t="str">
        <f>"CK2024100840110"</f>
        <v>CK2024100840110</v>
      </c>
      <c r="E8628" s="1" t="str">
        <f>"6917952802598977264"</f>
        <v>6917952802598977264</v>
      </c>
      <c r="F8628" s="1" t="str">
        <f t="shared" si="2440"/>
        <v>花都四部-凤凰仓</v>
      </c>
      <c r="G8628" s="1" t="str">
        <f t="shared" si="2447"/>
        <v>卡卡杜个人护理店（抖店）</v>
      </c>
      <c r="H8628" s="1" t="str">
        <f t="shared" si="2441"/>
        <v>正常订单</v>
      </c>
      <c r="I8628" s="1" t="str">
        <f t="shared" si="2442"/>
        <v>已发货</v>
      </c>
      <c r="J8628" s="1" t="str">
        <f t="shared" si="2446"/>
        <v>2</v>
      </c>
      <c r="K8628" s="1">
        <v>1</v>
      </c>
      <c r="L8628" s="1" t="s">
        <v>22</v>
      </c>
      <c r="M8628" s="1" t="str">
        <f>"江西省 南昌市 青山湖区 青山路街道"</f>
        <v>江西省 南昌市 青山湖区 青山路街道</v>
      </c>
      <c r="N8628" s="1" t="str">
        <f t="shared" si="2448"/>
        <v>凡华云仓-韵达-抖音</v>
      </c>
      <c r="O8628" s="5">
        <v>320161548162570</v>
      </c>
      <c r="P8628" s="6">
        <v>0.33</v>
      </c>
      <c r="Q8628" s="11">
        <v>2.2999999999999998</v>
      </c>
      <c r="R8628" s="11"/>
      <c r="S8628" s="11"/>
      <c r="T8628" s="11"/>
      <c r="U8628" s="11">
        <f t="shared" si="2437"/>
        <v>2.2999999999999998</v>
      </c>
      <c r="W8628">
        <v>2.5</v>
      </c>
      <c r="X8628" s="1" t="s">
        <v>22</v>
      </c>
    </row>
    <row r="8629" spans="1:24" x14ac:dyDescent="0.25">
      <c r="A8629" s="1" t="str">
        <f t="shared" si="2439"/>
        <v>卡卡杜-凤凰仓</v>
      </c>
      <c r="B8629" s="1" t="str">
        <f>"CK2024100816799"</f>
        <v>CK2024100816799</v>
      </c>
      <c r="C8629" s="1" t="str">
        <f>"DD2024100841391"</f>
        <v>DD2024100841391</v>
      </c>
      <c r="D8629" s="1" t="str">
        <f>"CK2024100840109"</f>
        <v>CK2024100840109</v>
      </c>
      <c r="E8629" s="1" t="str">
        <f>"6917948476276571838"</f>
        <v>6917948476276571838</v>
      </c>
      <c r="F8629" s="1" t="str">
        <f t="shared" si="2440"/>
        <v>花都四部-凤凰仓</v>
      </c>
      <c r="G8629" s="1" t="str">
        <f t="shared" si="2447"/>
        <v>卡卡杜个人护理店（抖店）</v>
      </c>
      <c r="H8629" s="1" t="str">
        <f t="shared" si="2441"/>
        <v>正常订单</v>
      </c>
      <c r="I8629" s="1" t="str">
        <f t="shared" si="2442"/>
        <v>已发货</v>
      </c>
      <c r="J8629" s="1" t="str">
        <f t="shared" si="2446"/>
        <v>2</v>
      </c>
      <c r="K8629" s="1">
        <v>1</v>
      </c>
      <c r="L8629" s="1" t="s">
        <v>161</v>
      </c>
      <c r="M8629" s="1" t="str">
        <f>"四川省 资阳市 乐至县 良安镇"</f>
        <v>四川省 资阳市 乐至县 良安镇</v>
      </c>
      <c r="N8629" s="1" t="str">
        <f t="shared" si="2448"/>
        <v>凡华云仓-韵达-抖音</v>
      </c>
      <c r="O8629" s="5">
        <v>320161535718864</v>
      </c>
      <c r="P8629" s="6">
        <v>0.33</v>
      </c>
      <c r="Q8629" s="11">
        <v>2.2999999999999998</v>
      </c>
      <c r="R8629" s="11"/>
      <c r="S8629" s="11"/>
      <c r="T8629" s="11"/>
      <c r="U8629" s="11">
        <f t="shared" si="2437"/>
        <v>2.2999999999999998</v>
      </c>
      <c r="W8629">
        <v>2.5</v>
      </c>
      <c r="X8629" s="1" t="s">
        <v>161</v>
      </c>
    </row>
    <row r="8630" spans="1:24" x14ac:dyDescent="0.25">
      <c r="A8630" s="1" t="str">
        <f t="shared" si="2439"/>
        <v>卡卡杜-凤凰仓</v>
      </c>
      <c r="B8630" s="1" t="str">
        <f>"CK2024100816800"</f>
        <v>CK2024100816800</v>
      </c>
      <c r="C8630" s="1" t="str">
        <f>"DD2024100841388"</f>
        <v>DD2024100841388</v>
      </c>
      <c r="D8630" s="1" t="str">
        <f>"CK2024100840108"</f>
        <v>CK2024100840108</v>
      </c>
      <c r="E8630" s="1" t="str">
        <f>"6917943726648425691"</f>
        <v>6917943726648425691</v>
      </c>
      <c r="F8630" s="1" t="str">
        <f t="shared" si="2440"/>
        <v>花都四部-凤凰仓</v>
      </c>
      <c r="G8630" s="1" t="str">
        <f t="shared" si="2447"/>
        <v>卡卡杜个人护理店（抖店）</v>
      </c>
      <c r="H8630" s="1" t="str">
        <f t="shared" si="2441"/>
        <v>正常订单</v>
      </c>
      <c r="I8630" s="1" t="str">
        <f t="shared" si="2442"/>
        <v>已发货</v>
      </c>
      <c r="J8630" s="1" t="str">
        <f t="shared" si="2446"/>
        <v>2</v>
      </c>
      <c r="K8630" s="1">
        <v>1</v>
      </c>
      <c r="L8630" s="1" t="s">
        <v>13</v>
      </c>
      <c r="M8630" s="1" t="str">
        <f>"江苏省 徐州市 新沂市 新安街道"</f>
        <v>江苏省 徐州市 新沂市 新安街道</v>
      </c>
      <c r="N8630" s="1" t="str">
        <f t="shared" si="2448"/>
        <v>凡华云仓-韵达-抖音</v>
      </c>
      <c r="O8630" s="5">
        <v>320161535718761</v>
      </c>
      <c r="P8630" s="6">
        <v>0.33</v>
      </c>
      <c r="Q8630" s="11">
        <v>2.2999999999999998</v>
      </c>
      <c r="R8630" s="11"/>
      <c r="S8630" s="11"/>
      <c r="T8630" s="11"/>
      <c r="U8630" s="11">
        <f t="shared" si="2437"/>
        <v>2.2999999999999998</v>
      </c>
      <c r="W8630">
        <v>2.5</v>
      </c>
      <c r="X8630" s="1" t="s">
        <v>13</v>
      </c>
    </row>
    <row r="8631" spans="1:24" x14ac:dyDescent="0.25">
      <c r="A8631" s="1" t="str">
        <f t="shared" si="2439"/>
        <v>卡卡杜-凤凰仓</v>
      </c>
      <c r="B8631" s="1" t="str">
        <f>"CK2024100816803"</f>
        <v>CK2024100816803</v>
      </c>
      <c r="C8631" s="1" t="str">
        <f>"DD2024100841395"</f>
        <v>DD2024100841395</v>
      </c>
      <c r="D8631" s="1" t="str">
        <f>"CK2024100840107"</f>
        <v>CK2024100840107</v>
      </c>
      <c r="E8631" s="1" t="str">
        <f>"6917951893624290357"</f>
        <v>6917951893624290357</v>
      </c>
      <c r="F8631" s="1" t="str">
        <f t="shared" si="2440"/>
        <v>花都四部-凤凰仓</v>
      </c>
      <c r="G8631" s="1" t="str">
        <f t="shared" si="2447"/>
        <v>卡卡杜个人护理店（抖店）</v>
      </c>
      <c r="H8631" s="1" t="str">
        <f t="shared" si="2441"/>
        <v>正常订单</v>
      </c>
      <c r="I8631" s="1" t="str">
        <f t="shared" si="2442"/>
        <v>已发货</v>
      </c>
      <c r="J8631" s="1" t="str">
        <f t="shared" si="2446"/>
        <v>2</v>
      </c>
      <c r="K8631" s="1">
        <v>1</v>
      </c>
      <c r="L8631" s="1" t="s">
        <v>18</v>
      </c>
      <c r="M8631" s="1" t="str">
        <f>"广东省 珠海市 斗门区 白蕉镇"</f>
        <v>广东省 珠海市 斗门区 白蕉镇</v>
      </c>
      <c r="N8631" s="1" t="str">
        <f t="shared" si="2448"/>
        <v>凡华云仓-韵达-抖音</v>
      </c>
      <c r="O8631" s="5">
        <v>320161535718660</v>
      </c>
      <c r="P8631" s="6">
        <v>0.33</v>
      </c>
      <c r="Q8631" s="11">
        <v>2.2999999999999998</v>
      </c>
      <c r="R8631" s="11"/>
      <c r="S8631" s="11"/>
      <c r="T8631" s="11"/>
      <c r="U8631" s="11">
        <f t="shared" si="2437"/>
        <v>2.2999999999999998</v>
      </c>
      <c r="W8631">
        <v>2.5</v>
      </c>
      <c r="X8631" s="1" t="s">
        <v>18</v>
      </c>
    </row>
    <row r="8632" spans="1:24" x14ac:dyDescent="0.25">
      <c r="A8632" s="1" t="str">
        <f t="shared" si="2439"/>
        <v>卡卡杜-凤凰仓</v>
      </c>
      <c r="B8632" s="1" t="str">
        <f>"CK2024100816801"</f>
        <v>CK2024100816801</v>
      </c>
      <c r="C8632" s="1" t="str">
        <f>"DD2024100841393"</f>
        <v>DD2024100841393</v>
      </c>
      <c r="D8632" s="1" t="str">
        <f>"CK2024100840106"</f>
        <v>CK2024100840106</v>
      </c>
      <c r="E8632" s="1" t="str">
        <f>"6917946316369985042"</f>
        <v>6917946316369985042</v>
      </c>
      <c r="F8632" s="1" t="str">
        <f t="shared" si="2440"/>
        <v>花都四部-凤凰仓</v>
      </c>
      <c r="G8632" s="1" t="str">
        <f t="shared" si="2447"/>
        <v>卡卡杜个人护理店（抖店）</v>
      </c>
      <c r="H8632" s="1" t="str">
        <f t="shared" si="2441"/>
        <v>正常订单</v>
      </c>
      <c r="I8632" s="1" t="str">
        <f t="shared" si="2442"/>
        <v>已发货</v>
      </c>
      <c r="J8632" s="1" t="str">
        <f t="shared" si="2446"/>
        <v>2</v>
      </c>
      <c r="K8632" s="1">
        <v>1</v>
      </c>
      <c r="L8632" s="1" t="s">
        <v>18</v>
      </c>
      <c r="M8632" s="1" t="str">
        <f>"广东省 惠州市 博罗县 泰美镇"</f>
        <v>广东省 惠州市 博罗县 泰美镇</v>
      </c>
      <c r="N8632" s="1" t="str">
        <f t="shared" si="2448"/>
        <v>凡华云仓-韵达-抖音</v>
      </c>
      <c r="O8632" s="5">
        <v>320161535718561</v>
      </c>
      <c r="P8632" s="6">
        <v>0.33</v>
      </c>
      <c r="Q8632" s="11">
        <v>2.2999999999999998</v>
      </c>
      <c r="R8632" s="11"/>
      <c r="S8632" s="11"/>
      <c r="T8632" s="11"/>
      <c r="U8632" s="11">
        <f t="shared" si="2437"/>
        <v>2.2999999999999998</v>
      </c>
      <c r="W8632">
        <v>2.5</v>
      </c>
      <c r="X8632" s="1" t="s">
        <v>18</v>
      </c>
    </row>
    <row r="8633" spans="1:24" x14ac:dyDescent="0.25">
      <c r="A8633" s="1" t="str">
        <f t="shared" si="2439"/>
        <v>卡卡杜-凤凰仓</v>
      </c>
      <c r="B8633" s="1" t="str">
        <f>"CK2024100816808"</f>
        <v>CK2024100816808</v>
      </c>
      <c r="C8633" s="1" t="str">
        <f>"DD2024100841399"</f>
        <v>DD2024100841399</v>
      </c>
      <c r="D8633" s="1" t="str">
        <f>"CK2024100840105"</f>
        <v>CK2024100840105</v>
      </c>
      <c r="E8633" s="1" t="str">
        <f>"6917948190314233132"</f>
        <v>6917948190314233132</v>
      </c>
      <c r="F8633" s="1" t="str">
        <f t="shared" si="2440"/>
        <v>花都四部-凤凰仓</v>
      </c>
      <c r="G8633" s="1" t="str">
        <f t="shared" si="2447"/>
        <v>卡卡杜个人护理店（抖店）</v>
      </c>
      <c r="H8633" s="1" t="str">
        <f t="shared" si="2441"/>
        <v>正常订单</v>
      </c>
      <c r="I8633" s="1" t="str">
        <f t="shared" si="2442"/>
        <v>已发货</v>
      </c>
      <c r="J8633" s="1" t="str">
        <f t="shared" si="2446"/>
        <v>2</v>
      </c>
      <c r="K8633" s="1">
        <v>1</v>
      </c>
      <c r="L8633" s="1" t="s">
        <v>20</v>
      </c>
      <c r="M8633" s="1" t="str">
        <f>"浙江省 绍兴市 诸暨市 安华镇"</f>
        <v>浙江省 绍兴市 诸暨市 安华镇</v>
      </c>
      <c r="N8633" s="1" t="str">
        <f t="shared" si="2448"/>
        <v>凡华云仓-韵达-抖音</v>
      </c>
      <c r="O8633" s="5">
        <v>320161535718464</v>
      </c>
      <c r="P8633" s="6">
        <v>0.33</v>
      </c>
      <c r="Q8633" s="11">
        <v>2.2999999999999998</v>
      </c>
      <c r="R8633" s="11"/>
      <c r="S8633" s="11"/>
      <c r="T8633" s="11"/>
      <c r="U8633" s="11">
        <f t="shared" si="2437"/>
        <v>2.2999999999999998</v>
      </c>
      <c r="W8633">
        <v>2.5</v>
      </c>
      <c r="X8633" s="1" t="s">
        <v>20</v>
      </c>
    </row>
    <row r="8634" spans="1:24" x14ac:dyDescent="0.25">
      <c r="A8634" s="1" t="str">
        <f t="shared" si="2439"/>
        <v>卡卡杜-凤凰仓</v>
      </c>
      <c r="B8634" s="1" t="str">
        <f>"CK2024100816802"</f>
        <v>CK2024100816802</v>
      </c>
      <c r="C8634" s="1" t="str">
        <f>"DD2024100841392"</f>
        <v>DD2024100841392</v>
      </c>
      <c r="D8634" s="1" t="str">
        <f>"CK2024100840104"</f>
        <v>CK2024100840104</v>
      </c>
      <c r="E8634" s="1" t="str">
        <f>"6917953038514486844"</f>
        <v>6917953038514486844</v>
      </c>
      <c r="F8634" s="1" t="str">
        <f t="shared" si="2440"/>
        <v>花都四部-凤凰仓</v>
      </c>
      <c r="G8634" s="1" t="str">
        <f t="shared" si="2447"/>
        <v>卡卡杜个人护理店（抖店）</v>
      </c>
      <c r="H8634" s="1" t="str">
        <f t="shared" si="2441"/>
        <v>正常订单</v>
      </c>
      <c r="I8634" s="1" t="str">
        <f t="shared" si="2442"/>
        <v>已发货</v>
      </c>
      <c r="J8634" s="1" t="str">
        <f t="shared" si="2446"/>
        <v>2</v>
      </c>
      <c r="K8634" s="1">
        <v>1</v>
      </c>
      <c r="L8634" s="1" t="s">
        <v>60</v>
      </c>
      <c r="M8634" s="1" t="str">
        <f>"云南省 昆明市 官渡区 六甲街道"</f>
        <v>云南省 昆明市 官渡区 六甲街道</v>
      </c>
      <c r="N8634" s="1" t="str">
        <f t="shared" si="2448"/>
        <v>凡华云仓-韵达-抖音</v>
      </c>
      <c r="O8634" s="5">
        <v>320161535718369</v>
      </c>
      <c r="P8634" s="6">
        <v>0.33</v>
      </c>
      <c r="Q8634" s="11">
        <v>2.2999999999999998</v>
      </c>
      <c r="R8634" s="11"/>
      <c r="S8634" s="11"/>
      <c r="T8634" s="11"/>
      <c r="U8634" s="11">
        <f t="shared" si="2437"/>
        <v>2.2999999999999998</v>
      </c>
      <c r="W8634">
        <v>2.5</v>
      </c>
      <c r="X8634" s="1" t="s">
        <v>60</v>
      </c>
    </row>
    <row r="8635" spans="1:24" x14ac:dyDescent="0.25">
      <c r="A8635" s="1" t="str">
        <f t="shared" si="2439"/>
        <v>卡卡杜-凤凰仓</v>
      </c>
      <c r="B8635" s="1" t="str">
        <f>"CK2024100816805"</f>
        <v>CK2024100816805</v>
      </c>
      <c r="C8635" s="1" t="str">
        <f>"DD2024100841394"</f>
        <v>DD2024100841394</v>
      </c>
      <c r="D8635" s="1" t="str">
        <f>"CK2024100840103"</f>
        <v>CK2024100840103</v>
      </c>
      <c r="E8635" s="1" t="str">
        <f>"6917950469434605280"</f>
        <v>6917950469434605280</v>
      </c>
      <c r="F8635" s="1" t="str">
        <f t="shared" si="2440"/>
        <v>花都四部-凤凰仓</v>
      </c>
      <c r="G8635" s="1" t="str">
        <f t="shared" si="2447"/>
        <v>卡卡杜个人护理店（抖店）</v>
      </c>
      <c r="H8635" s="1" t="str">
        <f t="shared" si="2441"/>
        <v>正常订单</v>
      </c>
      <c r="I8635" s="1" t="str">
        <f t="shared" si="2442"/>
        <v>已发货</v>
      </c>
      <c r="J8635" s="1" t="str">
        <f t="shared" si="2446"/>
        <v>2</v>
      </c>
      <c r="K8635" s="1">
        <v>1</v>
      </c>
      <c r="L8635" s="1" t="s">
        <v>20</v>
      </c>
      <c r="M8635" s="1" t="str">
        <f>"浙江省 丽水市 云和县 浮云街道"</f>
        <v>浙江省 丽水市 云和县 浮云街道</v>
      </c>
      <c r="N8635" s="1" t="str">
        <f t="shared" si="2448"/>
        <v>凡华云仓-韵达-抖音</v>
      </c>
      <c r="O8635" s="5">
        <v>320161535718276</v>
      </c>
      <c r="P8635" s="6">
        <v>0.33</v>
      </c>
      <c r="Q8635" s="11">
        <v>2.2999999999999998</v>
      </c>
      <c r="R8635" s="11"/>
      <c r="S8635" s="11"/>
      <c r="T8635" s="11"/>
      <c r="U8635" s="11">
        <f t="shared" si="2437"/>
        <v>2.2999999999999998</v>
      </c>
      <c r="W8635">
        <v>2.5</v>
      </c>
      <c r="X8635" s="1" t="s">
        <v>20</v>
      </c>
    </row>
    <row r="8636" spans="1:24" x14ac:dyDescent="0.25">
      <c r="A8636" s="1" t="str">
        <f t="shared" si="2439"/>
        <v>卡卡杜-凤凰仓</v>
      </c>
      <c r="B8636" s="1" t="str">
        <f>"CK2024100816804"</f>
        <v>CK2024100816804</v>
      </c>
      <c r="C8636" s="1" t="str">
        <f>"DD2024100841397"</f>
        <v>DD2024100841397</v>
      </c>
      <c r="D8636" s="1" t="str">
        <f>"CK2024100840102"</f>
        <v>CK2024100840102</v>
      </c>
      <c r="E8636" s="1" t="str">
        <f>"6917950415512567282"</f>
        <v>6917950415512567282</v>
      </c>
      <c r="F8636" s="1" t="str">
        <f t="shared" si="2440"/>
        <v>花都四部-凤凰仓</v>
      </c>
      <c r="G8636" s="1" t="str">
        <f t="shared" si="2447"/>
        <v>卡卡杜个人护理店（抖店）</v>
      </c>
      <c r="H8636" s="1" t="str">
        <f t="shared" si="2441"/>
        <v>正常订单</v>
      </c>
      <c r="I8636" s="1" t="str">
        <f t="shared" si="2442"/>
        <v>已发货</v>
      </c>
      <c r="J8636" s="1" t="str">
        <f t="shared" si="2446"/>
        <v>2</v>
      </c>
      <c r="K8636" s="1">
        <v>1</v>
      </c>
      <c r="L8636" s="1" t="s">
        <v>18</v>
      </c>
      <c r="M8636" s="1" t="str">
        <f>"广东省 惠州市 惠阳区 新圩镇"</f>
        <v>广东省 惠州市 惠阳区 新圩镇</v>
      </c>
      <c r="N8636" s="1" t="str">
        <f t="shared" si="2448"/>
        <v>凡华云仓-韵达-抖音</v>
      </c>
      <c r="O8636" s="5">
        <v>320161535718185</v>
      </c>
      <c r="P8636" s="6">
        <v>0.33</v>
      </c>
      <c r="Q8636" s="11">
        <v>2.2999999999999998</v>
      </c>
      <c r="R8636" s="11"/>
      <c r="S8636" s="11"/>
      <c r="T8636" s="11"/>
      <c r="U8636" s="11">
        <f t="shared" si="2437"/>
        <v>2.2999999999999998</v>
      </c>
      <c r="W8636">
        <v>2.5</v>
      </c>
      <c r="X8636" s="1" t="s">
        <v>18</v>
      </c>
    </row>
    <row r="8637" spans="1:24" x14ac:dyDescent="0.25">
      <c r="A8637" s="1" t="str">
        <f t="shared" si="2439"/>
        <v>卡卡杜-凤凰仓</v>
      </c>
      <c r="B8637" s="1" t="str">
        <f>"CK2024100816822"</f>
        <v>CK2024100816822</v>
      </c>
      <c r="C8637" s="1" t="str">
        <f>"DD2024100841413"</f>
        <v>DD2024100841413</v>
      </c>
      <c r="D8637" s="1" t="str">
        <f>"CK2024100840101"</f>
        <v>CK2024100840101</v>
      </c>
      <c r="E8637" s="1" t="str">
        <f>"6917947020740820763"</f>
        <v>6917947020740820763</v>
      </c>
      <c r="F8637" s="1" t="str">
        <f t="shared" si="2440"/>
        <v>花都四部-凤凰仓</v>
      </c>
      <c r="G8637" s="1" t="str">
        <f t="shared" si="2447"/>
        <v>卡卡杜个人护理店（抖店）</v>
      </c>
      <c r="H8637" s="1" t="str">
        <f t="shared" si="2441"/>
        <v>正常订单</v>
      </c>
      <c r="I8637" s="1" t="str">
        <f t="shared" si="2442"/>
        <v>已发货</v>
      </c>
      <c r="J8637" s="1" t="str">
        <f t="shared" si="2446"/>
        <v>2</v>
      </c>
      <c r="K8637" s="1">
        <v>1</v>
      </c>
      <c r="L8637" s="1" t="s">
        <v>18</v>
      </c>
      <c r="M8637" s="1" t="str">
        <f>"广东省 广州市 番禺区 石碁镇"</f>
        <v>广东省 广州市 番禺区 石碁镇</v>
      </c>
      <c r="N8637" s="1" t="str">
        <f t="shared" si="2448"/>
        <v>凡华云仓-韵达-抖音</v>
      </c>
      <c r="O8637" s="5">
        <v>320161535718096</v>
      </c>
      <c r="P8637" s="6">
        <v>0.33</v>
      </c>
      <c r="Q8637" s="11">
        <v>2.2999999999999998</v>
      </c>
      <c r="R8637" s="11"/>
      <c r="S8637" s="11"/>
      <c r="T8637" s="11"/>
      <c r="U8637" s="11">
        <f t="shared" si="2437"/>
        <v>2.2999999999999998</v>
      </c>
      <c r="W8637">
        <v>2.5</v>
      </c>
      <c r="X8637" s="1" t="s">
        <v>18</v>
      </c>
    </row>
    <row r="8638" spans="1:24" x14ac:dyDescent="0.25">
      <c r="A8638" s="1" t="str">
        <f t="shared" si="2439"/>
        <v>卡卡杜-凤凰仓</v>
      </c>
      <c r="B8638" s="1" t="str">
        <f>"CK2024100816798"</f>
        <v>CK2024100816798</v>
      </c>
      <c r="C8638" s="1" t="str">
        <f>"DD2024100841390"</f>
        <v>DD2024100841390</v>
      </c>
      <c r="D8638" s="1" t="str">
        <f>"CK2024100840100"</f>
        <v>CK2024100840100</v>
      </c>
      <c r="E8638" s="1" t="str">
        <f>"6917950467890445856"</f>
        <v>6917950467890445856</v>
      </c>
      <c r="F8638" s="1" t="str">
        <f t="shared" si="2440"/>
        <v>花都四部-凤凰仓</v>
      </c>
      <c r="G8638" s="1" t="str">
        <f t="shared" si="2447"/>
        <v>卡卡杜个人护理店（抖店）</v>
      </c>
      <c r="H8638" s="1" t="str">
        <f t="shared" si="2441"/>
        <v>正常订单</v>
      </c>
      <c r="I8638" s="1" t="str">
        <f t="shared" si="2442"/>
        <v>已发货</v>
      </c>
      <c r="J8638" s="1" t="str">
        <f t="shared" si="2446"/>
        <v>2</v>
      </c>
      <c r="K8638" s="1">
        <v>1</v>
      </c>
      <c r="L8638" s="1" t="s">
        <v>16</v>
      </c>
      <c r="M8638" s="1" t="str">
        <f>"河北省 廊坊市 文安县 大围河回族满族乡"</f>
        <v>河北省 廊坊市 文安县 大围河回族满族乡</v>
      </c>
      <c r="N8638" s="1" t="str">
        <f t="shared" si="2448"/>
        <v>凡华云仓-韵达-抖音</v>
      </c>
      <c r="O8638" s="5">
        <v>320161535717966</v>
      </c>
      <c r="P8638" s="6">
        <v>0.33</v>
      </c>
      <c r="Q8638" s="11">
        <v>2.2999999999999998</v>
      </c>
      <c r="R8638" s="11"/>
      <c r="S8638" s="11"/>
      <c r="T8638" s="11"/>
      <c r="U8638" s="11">
        <f t="shared" si="2437"/>
        <v>2.2999999999999998</v>
      </c>
      <c r="W8638">
        <v>2.5</v>
      </c>
      <c r="X8638" s="1" t="s">
        <v>16</v>
      </c>
    </row>
    <row r="8639" spans="1:24" x14ac:dyDescent="0.25">
      <c r="A8639" s="1" t="str">
        <f t="shared" si="2439"/>
        <v>卡卡杜-凤凰仓</v>
      </c>
      <c r="B8639" s="1" t="str">
        <f>"CK2024100815704"</f>
        <v>CK2024100815704</v>
      </c>
      <c r="C8639" s="1" t="str">
        <f>"DD2024100830378"</f>
        <v>DD2024100830378</v>
      </c>
      <c r="D8639" s="1" t="str">
        <f>"CK2024100832447"</f>
        <v>CK2024100832447</v>
      </c>
      <c r="E8639" s="1" t="str">
        <f>"3723164178814734336"</f>
        <v>3723164178814734336</v>
      </c>
      <c r="F8639" s="1" t="str">
        <f t="shared" si="2440"/>
        <v>花都四部-凤凰仓</v>
      </c>
      <c r="G8639" s="1" t="str">
        <f>"卡卡杜企业店（视频号）"</f>
        <v>卡卡杜企业店（视频号）</v>
      </c>
      <c r="H8639" s="1" t="str">
        <f t="shared" si="2441"/>
        <v>正常订单</v>
      </c>
      <c r="I8639" s="1" t="str">
        <f t="shared" si="2442"/>
        <v>已发货</v>
      </c>
      <c r="J8639" s="1" t="str">
        <f>"4"</f>
        <v>4</v>
      </c>
      <c r="K8639" s="1">
        <v>2</v>
      </c>
      <c r="L8639" s="1" t="s">
        <v>44</v>
      </c>
      <c r="M8639" s="1" t="str">
        <f>"海南省 省直辖县级行政区划 陵水黎族自治县 "</f>
        <v xml:space="preserve">海南省 省直辖县级行政区划 陵水黎族自治县 </v>
      </c>
      <c r="N8639" s="1" t="str">
        <f>"凡华云仓-韵达-微信视频号"</f>
        <v>凡华云仓-韵达-微信视频号</v>
      </c>
      <c r="O8639" s="5">
        <v>315012281227802</v>
      </c>
      <c r="P8639" s="6">
        <v>0.52</v>
      </c>
      <c r="Q8639" s="11">
        <f>CEILING(P8639-0.5,0.1)*10*0.15+2.3</f>
        <v>2.4499999999999997</v>
      </c>
      <c r="R8639" s="11"/>
      <c r="S8639" s="11"/>
      <c r="T8639" s="11"/>
      <c r="U8639" s="11">
        <f t="shared" si="2437"/>
        <v>2.4499999999999997</v>
      </c>
      <c r="V8639" t="s">
        <v>15</v>
      </c>
      <c r="W8639">
        <v>2.4500000000000002</v>
      </c>
      <c r="X8639" s="1" t="s">
        <v>44</v>
      </c>
    </row>
    <row r="8640" spans="1:24" x14ac:dyDescent="0.25">
      <c r="A8640" s="1" t="str">
        <f t="shared" si="2439"/>
        <v>卡卡杜-凤凰仓</v>
      </c>
      <c r="B8640" s="1" t="str">
        <f>"CK2024100815707"</f>
        <v>CK2024100815707</v>
      </c>
      <c r="C8640" s="1" t="str">
        <f>"DD2024100830928"</f>
        <v>DD2024100830928</v>
      </c>
      <c r="D8640" s="1" t="str">
        <f>"CK2024100832446"</f>
        <v>CK2024100832446</v>
      </c>
      <c r="E8640" s="1" t="str">
        <f>"KKD2024108YP001"</f>
        <v>KKD2024108YP001</v>
      </c>
      <c r="F8640" s="1" t="str">
        <f t="shared" si="2440"/>
        <v>花都四部-凤凰仓</v>
      </c>
      <c r="G8640" s="1" t="str">
        <f>"卡卡杜全欣样品"</f>
        <v>卡卡杜全欣样品</v>
      </c>
      <c r="H8640" s="1" t="str">
        <f t="shared" si="2441"/>
        <v>正常订单</v>
      </c>
      <c r="I8640" s="1" t="str">
        <f t="shared" si="2442"/>
        <v>已发货</v>
      </c>
      <c r="J8640" s="1" t="str">
        <f>"9"</f>
        <v>9</v>
      </c>
      <c r="K8640" s="1">
        <v>4</v>
      </c>
      <c r="L8640" s="1" t="s">
        <v>24</v>
      </c>
      <c r="M8640" s="1" t="str">
        <f>"福建省 厦门市 集美区 "</f>
        <v xml:space="preserve">福建省 厦门市 集美区 </v>
      </c>
      <c r="N8640" s="1" t="str">
        <f>"凡华云仓-韵达-淘宝"</f>
        <v>凡华云仓-韵达-淘宝</v>
      </c>
      <c r="O8640" s="3">
        <v>434176006995469</v>
      </c>
      <c r="P8640" s="6">
        <v>0.85</v>
      </c>
      <c r="Q8640" s="11">
        <f>CEILING(P8640-0.5,0.1)*10*0.15+2.3</f>
        <v>2.9</v>
      </c>
      <c r="R8640" s="11"/>
      <c r="S8640" s="11">
        <v>0.15</v>
      </c>
      <c r="T8640" s="11"/>
      <c r="U8640" s="11">
        <f t="shared" si="2437"/>
        <v>3.05</v>
      </c>
      <c r="V8640" t="s">
        <v>15</v>
      </c>
      <c r="W8640">
        <v>3.05</v>
      </c>
      <c r="X8640" s="1" t="s">
        <v>24</v>
      </c>
    </row>
    <row r="8641" spans="1:24" x14ac:dyDescent="0.25">
      <c r="A8641" s="1" t="str">
        <f t="shared" si="2439"/>
        <v>卡卡杜-凤凰仓</v>
      </c>
      <c r="B8641" s="1" t="str">
        <f>"CK2024100815703"</f>
        <v>CK2024100815703</v>
      </c>
      <c r="C8641" s="1" t="str">
        <f>"DD2024100830377"</f>
        <v>DD2024100830377</v>
      </c>
      <c r="D8641" s="1" t="str">
        <f>"CK2024100832445"</f>
        <v>CK2024100832445</v>
      </c>
      <c r="E8641" s="1" t="str">
        <f>"6917944745306717485"</f>
        <v>6917944745306717485</v>
      </c>
      <c r="F8641" s="1" t="str">
        <f t="shared" si="2440"/>
        <v>花都四部-凤凰仓</v>
      </c>
      <c r="G8641" s="1" t="str">
        <f t="shared" ref="G8641:G8643" si="2449">"卡卡杜个人护理店（抖店）"</f>
        <v>卡卡杜个人护理店（抖店）</v>
      </c>
      <c r="H8641" s="1" t="str">
        <f t="shared" si="2441"/>
        <v>正常订单</v>
      </c>
      <c r="I8641" s="1" t="str">
        <f t="shared" si="2442"/>
        <v>已发货</v>
      </c>
      <c r="J8641" s="1" t="str">
        <f t="shared" ref="J8641:J8647" si="2450">"2"</f>
        <v>2</v>
      </c>
      <c r="K8641" s="1">
        <v>1</v>
      </c>
      <c r="L8641" s="1" t="s">
        <v>24</v>
      </c>
      <c r="M8641" s="1" t="str">
        <f>"福建省 泉州市 晋江市 紫帽镇"</f>
        <v>福建省 泉州市 晋江市 紫帽镇</v>
      </c>
      <c r="N8641" s="1" t="str">
        <f t="shared" ref="N8641:N8643" si="2451">"凡华云仓-韵达-抖音"</f>
        <v>凡华云仓-韵达-抖音</v>
      </c>
      <c r="O8641" s="5">
        <v>320161123040645</v>
      </c>
      <c r="P8641" s="6">
        <v>0.33</v>
      </c>
      <c r="Q8641" s="11">
        <v>2.2999999999999998</v>
      </c>
      <c r="R8641" s="11"/>
      <c r="S8641" s="11"/>
      <c r="T8641" s="11"/>
      <c r="U8641" s="11">
        <f t="shared" si="2437"/>
        <v>2.2999999999999998</v>
      </c>
      <c r="W8641">
        <v>2.5</v>
      </c>
      <c r="X8641" s="1" t="s">
        <v>24</v>
      </c>
    </row>
    <row r="8642" spans="1:24" x14ac:dyDescent="0.25">
      <c r="A8642" s="1" t="str">
        <f t="shared" si="2439"/>
        <v>卡卡杜-凤凰仓</v>
      </c>
      <c r="B8642" s="1" t="str">
        <f>"CK2024100815705"</f>
        <v>CK2024100815705</v>
      </c>
      <c r="C8642" s="1" t="str">
        <f>"DD2024100830380"</f>
        <v>DD2024100830380</v>
      </c>
      <c r="D8642" s="1" t="str">
        <f>"CK2024100832444"</f>
        <v>CK2024100832444</v>
      </c>
      <c r="E8642" s="1" t="str">
        <f>"6917947139834674472"</f>
        <v>6917947139834674472</v>
      </c>
      <c r="F8642" s="1" t="str">
        <f t="shared" si="2440"/>
        <v>花都四部-凤凰仓</v>
      </c>
      <c r="G8642" s="1" t="str">
        <f t="shared" si="2449"/>
        <v>卡卡杜个人护理店（抖店）</v>
      </c>
      <c r="H8642" s="1" t="str">
        <f t="shared" si="2441"/>
        <v>正常订单</v>
      </c>
      <c r="I8642" s="1" t="str">
        <f t="shared" si="2442"/>
        <v>已发货</v>
      </c>
      <c r="J8642" s="1" t="str">
        <f t="shared" si="2450"/>
        <v>2</v>
      </c>
      <c r="K8642" s="1">
        <v>2</v>
      </c>
      <c r="L8642" s="1" t="s">
        <v>218</v>
      </c>
      <c r="M8642" s="1" t="str">
        <f>"天津 天津市 南开区 华苑街道"</f>
        <v>天津 天津市 南开区 华苑街道</v>
      </c>
      <c r="N8642" s="1" t="str">
        <f t="shared" si="2451"/>
        <v>凡华云仓-韵达-抖音</v>
      </c>
      <c r="O8642" s="5">
        <v>320161123040546</v>
      </c>
      <c r="P8642" s="6">
        <v>0.28000000000000003</v>
      </c>
      <c r="Q8642" s="11">
        <v>2</v>
      </c>
      <c r="R8642" s="11"/>
      <c r="S8642" s="11"/>
      <c r="T8642" s="11"/>
      <c r="U8642" s="11">
        <f t="shared" si="2437"/>
        <v>2</v>
      </c>
      <c r="W8642">
        <v>2.2000000000000002</v>
      </c>
      <c r="X8642" s="1" t="s">
        <v>218</v>
      </c>
    </row>
    <row r="8643" spans="1:24" x14ac:dyDescent="0.25">
      <c r="A8643" s="1" t="str">
        <f t="shared" si="2439"/>
        <v>卡卡杜-凤凰仓</v>
      </c>
      <c r="B8643" s="1" t="str">
        <f>"CK2024100815706"</f>
        <v>CK2024100815706</v>
      </c>
      <c r="C8643" s="1" t="str">
        <f>"DD2024100830379"</f>
        <v>DD2024100830379</v>
      </c>
      <c r="D8643" s="1" t="str">
        <f>"CK2024100832443"</f>
        <v>CK2024100832443</v>
      </c>
      <c r="E8643" s="1" t="str">
        <f>"6917944816645733543"</f>
        <v>6917944816645733543</v>
      </c>
      <c r="F8643" s="1" t="str">
        <f t="shared" si="2440"/>
        <v>花都四部-凤凰仓</v>
      </c>
      <c r="G8643" s="1" t="str">
        <f t="shared" si="2449"/>
        <v>卡卡杜个人护理店（抖店）</v>
      </c>
      <c r="H8643" s="1" t="str">
        <f t="shared" si="2441"/>
        <v>正常订单</v>
      </c>
      <c r="I8643" s="1" t="str">
        <f t="shared" si="2442"/>
        <v>已发货</v>
      </c>
      <c r="J8643" s="1" t="str">
        <f t="shared" si="2450"/>
        <v>2</v>
      </c>
      <c r="K8643" s="1">
        <v>1</v>
      </c>
      <c r="L8643" s="1" t="s">
        <v>20</v>
      </c>
      <c r="M8643" s="1" t="str">
        <f>"浙江省 宁波市 余姚市 黄家埠镇"</f>
        <v>浙江省 宁波市 余姚市 黄家埠镇</v>
      </c>
      <c r="N8643" s="1" t="str">
        <f t="shared" si="2451"/>
        <v>凡华云仓-韵达-抖音</v>
      </c>
      <c r="O8643" s="5">
        <v>320161123040449</v>
      </c>
      <c r="P8643" s="6">
        <v>0.33</v>
      </c>
      <c r="Q8643" s="11">
        <v>2.2999999999999998</v>
      </c>
      <c r="R8643" s="11"/>
      <c r="S8643" s="11"/>
      <c r="T8643" s="11"/>
      <c r="U8643" s="11">
        <f t="shared" ref="U8643:U8706" si="2452">T8643+S8643+R8643+Q8643</f>
        <v>2.2999999999999998</v>
      </c>
      <c r="W8643">
        <v>2.5</v>
      </c>
      <c r="X8643" s="1" t="s">
        <v>20</v>
      </c>
    </row>
    <row r="8644" spans="1:24" x14ac:dyDescent="0.25">
      <c r="A8644" s="1" t="str">
        <f t="shared" si="2439"/>
        <v>卡卡杜-凤凰仓</v>
      </c>
      <c r="B8644" s="1" t="str">
        <f>"CK202410082018"</f>
        <v>CK202410082018</v>
      </c>
      <c r="C8644" s="1" t="str">
        <f>"DD2024100817493"</f>
        <v>DD2024100817493</v>
      </c>
      <c r="D8644" s="1" t="str">
        <f>"CK2024100813082"</f>
        <v>CK2024100813082</v>
      </c>
      <c r="E8644" s="1" t="str">
        <f>"3723163710709699584"</f>
        <v>3723163710709699584</v>
      </c>
      <c r="F8644" s="1" t="str">
        <f t="shared" si="2440"/>
        <v>花都四部-凤凰仓</v>
      </c>
      <c r="G8644" s="1" t="str">
        <f t="shared" ref="G8644:G8653" si="2453">"卡卡杜企业店（视频号）"</f>
        <v>卡卡杜企业店（视频号）</v>
      </c>
      <c r="H8644" s="1" t="str">
        <f t="shared" si="2441"/>
        <v>正常订单</v>
      </c>
      <c r="I8644" s="1" t="str">
        <f t="shared" si="2442"/>
        <v>已发货</v>
      </c>
      <c r="J8644" s="1" t="str">
        <f t="shared" si="2450"/>
        <v>2</v>
      </c>
      <c r="K8644" s="1">
        <v>2</v>
      </c>
      <c r="L8644" s="1" t="s">
        <v>60</v>
      </c>
      <c r="M8644" s="1" t="str">
        <f>"云南省 昆明市 五华区 "</f>
        <v xml:space="preserve">云南省 昆明市 五华区 </v>
      </c>
      <c r="N8644" s="1" t="str">
        <f t="shared" ref="N8644:N8653" si="2454">"凡华云仓-韵达-微信视频号"</f>
        <v>凡华云仓-韵达-微信视频号</v>
      </c>
      <c r="O8644" s="5">
        <v>315012275294192</v>
      </c>
      <c r="P8644" s="6">
        <v>0.28000000000000003</v>
      </c>
      <c r="Q8644" s="11">
        <v>2</v>
      </c>
      <c r="R8644" s="11"/>
      <c r="S8644" s="11"/>
      <c r="T8644" s="11"/>
      <c r="U8644" s="11">
        <f t="shared" si="2452"/>
        <v>2</v>
      </c>
      <c r="W8644">
        <v>2.2000000000000002</v>
      </c>
      <c r="X8644" s="1" t="s">
        <v>60</v>
      </c>
    </row>
    <row r="8645" spans="1:24" x14ac:dyDescent="0.25">
      <c r="A8645" s="1" t="str">
        <f t="shared" ref="A8645:A8708" si="2455">"卡卡杜-凤凰仓"</f>
        <v>卡卡杜-凤凰仓</v>
      </c>
      <c r="B8645" s="1" t="str">
        <f>"CK202410082023"</f>
        <v>CK202410082023</v>
      </c>
      <c r="C8645" s="1" t="str">
        <f>"DD2024100817498"</f>
        <v>DD2024100817498</v>
      </c>
      <c r="D8645" s="1" t="str">
        <f>"CK2024100813081"</f>
        <v>CK2024100813081</v>
      </c>
      <c r="E8645" s="1" t="str">
        <f>"3723163232610683904"</f>
        <v>3723163232610683904</v>
      </c>
      <c r="F8645" s="1" t="str">
        <f t="shared" ref="F8645:F8708" si="2456">"花都四部-凤凰仓"</f>
        <v>花都四部-凤凰仓</v>
      </c>
      <c r="G8645" s="1" t="str">
        <f t="shared" si="2453"/>
        <v>卡卡杜企业店（视频号）</v>
      </c>
      <c r="H8645" s="1" t="str">
        <f t="shared" ref="H8645:H8708" si="2457">"正常订单"</f>
        <v>正常订单</v>
      </c>
      <c r="I8645" s="1" t="str">
        <f t="shared" ref="I8645:I8708" si="2458">"已发货"</f>
        <v>已发货</v>
      </c>
      <c r="J8645" s="1" t="str">
        <f t="shared" si="2450"/>
        <v>2</v>
      </c>
      <c r="K8645" s="1">
        <v>2</v>
      </c>
      <c r="L8645" s="1" t="s">
        <v>13</v>
      </c>
      <c r="M8645" s="1" t="str">
        <f>"江苏省 无锡市 南长区 "</f>
        <v xml:space="preserve">江苏省 无锡市 南长区 </v>
      </c>
      <c r="N8645" s="1" t="str">
        <f t="shared" si="2454"/>
        <v>凡华云仓-韵达-微信视频号</v>
      </c>
      <c r="O8645" s="5">
        <v>315012275290124</v>
      </c>
      <c r="P8645" s="6">
        <v>0.28000000000000003</v>
      </c>
      <c r="Q8645" s="11">
        <v>2</v>
      </c>
      <c r="R8645" s="11"/>
      <c r="S8645" s="11"/>
      <c r="T8645" s="11"/>
      <c r="U8645" s="11">
        <f t="shared" si="2452"/>
        <v>2</v>
      </c>
      <c r="W8645">
        <v>2.2000000000000002</v>
      </c>
      <c r="X8645" s="1" t="s">
        <v>13</v>
      </c>
    </row>
    <row r="8646" spans="1:24" x14ac:dyDescent="0.25">
      <c r="A8646" s="1" t="str">
        <f t="shared" si="2455"/>
        <v>卡卡杜-凤凰仓</v>
      </c>
      <c r="B8646" s="1" t="str">
        <f>"CK202410082024"</f>
        <v>CK202410082024</v>
      </c>
      <c r="C8646" s="1" t="str">
        <f>"DD2024100817499"</f>
        <v>DD2024100817499</v>
      </c>
      <c r="D8646" s="1" t="str">
        <f>"CK2024100813080"</f>
        <v>CK2024100813080</v>
      </c>
      <c r="E8646" s="1" t="str">
        <f>"3723162961130685952"</f>
        <v>3723162961130685952</v>
      </c>
      <c r="F8646" s="1" t="str">
        <f t="shared" si="2456"/>
        <v>花都四部-凤凰仓</v>
      </c>
      <c r="G8646" s="1" t="str">
        <f t="shared" si="2453"/>
        <v>卡卡杜企业店（视频号）</v>
      </c>
      <c r="H8646" s="1" t="str">
        <f t="shared" si="2457"/>
        <v>正常订单</v>
      </c>
      <c r="I8646" s="1" t="str">
        <f t="shared" si="2458"/>
        <v>已发货</v>
      </c>
      <c r="J8646" s="1" t="str">
        <f t="shared" si="2450"/>
        <v>2</v>
      </c>
      <c r="K8646" s="1">
        <v>2</v>
      </c>
      <c r="L8646" s="1" t="s">
        <v>105</v>
      </c>
      <c r="M8646" s="1" t="str">
        <f>"北京 北京市 丰台区 "</f>
        <v xml:space="preserve">北京 北京市 丰台区 </v>
      </c>
      <c r="N8646" s="1" t="str">
        <f t="shared" si="2454"/>
        <v>凡华云仓-韵达-微信视频号</v>
      </c>
      <c r="O8646" s="5">
        <v>315012275288187</v>
      </c>
      <c r="P8646" s="6">
        <v>0.28000000000000003</v>
      </c>
      <c r="Q8646" s="11">
        <v>2</v>
      </c>
      <c r="R8646" s="11"/>
      <c r="S8646" s="11"/>
      <c r="T8646" s="11"/>
      <c r="U8646" s="11">
        <f t="shared" si="2452"/>
        <v>2</v>
      </c>
      <c r="W8646">
        <v>2.2000000000000002</v>
      </c>
      <c r="X8646" s="1" t="s">
        <v>105</v>
      </c>
    </row>
    <row r="8647" spans="1:24" x14ac:dyDescent="0.25">
      <c r="A8647" s="1" t="str">
        <f t="shared" si="2455"/>
        <v>卡卡杜-凤凰仓</v>
      </c>
      <c r="B8647" s="1" t="str">
        <f>"CK202410082020"</f>
        <v>CK202410082020</v>
      </c>
      <c r="C8647" s="1" t="str">
        <f>"DD2024100817495"</f>
        <v>DD2024100817495</v>
      </c>
      <c r="D8647" s="1" t="str">
        <f>"CK2024100813079"</f>
        <v>CK2024100813079</v>
      </c>
      <c r="E8647" s="1" t="str">
        <f>"3723152090550373376"</f>
        <v>3723152090550373376</v>
      </c>
      <c r="F8647" s="1" t="str">
        <f t="shared" si="2456"/>
        <v>花都四部-凤凰仓</v>
      </c>
      <c r="G8647" s="1" t="str">
        <f t="shared" si="2453"/>
        <v>卡卡杜企业店（视频号）</v>
      </c>
      <c r="H8647" s="1" t="str">
        <f t="shared" si="2457"/>
        <v>正常订单</v>
      </c>
      <c r="I8647" s="1" t="str">
        <f t="shared" si="2458"/>
        <v>已发货</v>
      </c>
      <c r="J8647" s="1" t="str">
        <f t="shared" si="2450"/>
        <v>2</v>
      </c>
      <c r="K8647" s="1">
        <v>2</v>
      </c>
      <c r="L8647" s="1" t="s">
        <v>18</v>
      </c>
      <c r="M8647" s="1" t="str">
        <f>"广东省 深圳市 罗湖区 "</f>
        <v xml:space="preserve">广东省 深圳市 罗湖区 </v>
      </c>
      <c r="N8647" s="1" t="str">
        <f t="shared" si="2454"/>
        <v>凡华云仓-韵达-微信视频号</v>
      </c>
      <c r="O8647" s="5">
        <v>315012275284187</v>
      </c>
      <c r="P8647" s="6">
        <v>0.28000000000000003</v>
      </c>
      <c r="Q8647" s="11">
        <v>2</v>
      </c>
      <c r="R8647" s="11"/>
      <c r="S8647" s="11"/>
      <c r="T8647" s="11"/>
      <c r="U8647" s="11">
        <f t="shared" si="2452"/>
        <v>2</v>
      </c>
      <c r="W8647">
        <v>2.2000000000000002</v>
      </c>
      <c r="X8647" s="1" t="s">
        <v>18</v>
      </c>
    </row>
    <row r="8648" spans="1:24" x14ac:dyDescent="0.25">
      <c r="A8648" s="1" t="str">
        <f t="shared" si="2455"/>
        <v>卡卡杜-凤凰仓</v>
      </c>
      <c r="B8648" s="1" t="str">
        <f>"CK202410082025"</f>
        <v>CK202410082025</v>
      </c>
      <c r="C8648" s="1" t="str">
        <f>"DD2024100817508"</f>
        <v>DD2024100817508</v>
      </c>
      <c r="D8648" s="1" t="str">
        <f>"CK2024100813078"</f>
        <v>CK2024100813078</v>
      </c>
      <c r="E8648" s="1" t="str">
        <f>"3723151828635750400"</f>
        <v>3723151828635750400</v>
      </c>
      <c r="F8648" s="1" t="str">
        <f t="shared" si="2456"/>
        <v>花都四部-凤凰仓</v>
      </c>
      <c r="G8648" s="1" t="str">
        <f t="shared" si="2453"/>
        <v>卡卡杜企业店（视频号）</v>
      </c>
      <c r="H8648" s="1" t="str">
        <f t="shared" si="2457"/>
        <v>正常订单</v>
      </c>
      <c r="I8648" s="1" t="str">
        <f t="shared" si="2458"/>
        <v>已发货</v>
      </c>
      <c r="J8648" s="1" t="str">
        <f>"4"</f>
        <v>4</v>
      </c>
      <c r="K8648" s="1">
        <v>2</v>
      </c>
      <c r="L8648" s="1" t="s">
        <v>109</v>
      </c>
      <c r="M8648" s="1" t="str">
        <f>"山西省 晋城市 城区 "</f>
        <v xml:space="preserve">山西省 晋城市 城区 </v>
      </c>
      <c r="N8648" s="1" t="str">
        <f t="shared" si="2454"/>
        <v>凡华云仓-韵达-微信视频号</v>
      </c>
      <c r="O8648" s="5">
        <v>315012275281683</v>
      </c>
      <c r="P8648" s="6">
        <v>0.42</v>
      </c>
      <c r="Q8648" s="11">
        <v>2.2999999999999998</v>
      </c>
      <c r="R8648" s="11"/>
      <c r="S8648" s="11"/>
      <c r="T8648" s="11"/>
      <c r="U8648" s="11">
        <f t="shared" si="2452"/>
        <v>2.2999999999999998</v>
      </c>
      <c r="W8648">
        <v>2.5</v>
      </c>
      <c r="X8648" s="1" t="s">
        <v>109</v>
      </c>
    </row>
    <row r="8649" spans="1:24" x14ac:dyDescent="0.25">
      <c r="A8649" s="1" t="str">
        <f t="shared" si="2455"/>
        <v>卡卡杜-凤凰仓</v>
      </c>
      <c r="B8649" s="1" t="str">
        <f>"CK202410082010"</f>
        <v>CK202410082010</v>
      </c>
      <c r="C8649" s="1" t="str">
        <f>"DD2024100817487"</f>
        <v>DD2024100817487</v>
      </c>
      <c r="D8649" s="1" t="str">
        <f>"CK2024100813077"</f>
        <v>CK2024100813077</v>
      </c>
      <c r="E8649" s="1" t="str">
        <f>"3723151815221316608"</f>
        <v>3723151815221316608</v>
      </c>
      <c r="F8649" s="1" t="str">
        <f t="shared" si="2456"/>
        <v>花都四部-凤凰仓</v>
      </c>
      <c r="G8649" s="1" t="str">
        <f t="shared" si="2453"/>
        <v>卡卡杜企业店（视频号）</v>
      </c>
      <c r="H8649" s="1" t="str">
        <f t="shared" si="2457"/>
        <v>正常订单</v>
      </c>
      <c r="I8649" s="1" t="str">
        <f t="shared" si="2458"/>
        <v>已发货</v>
      </c>
      <c r="J8649" s="1" t="str">
        <f>"4"</f>
        <v>4</v>
      </c>
      <c r="K8649" s="1">
        <v>2</v>
      </c>
      <c r="L8649" s="1" t="s">
        <v>105</v>
      </c>
      <c r="M8649" s="1" t="str">
        <f>"北京 北京市 昌平区 "</f>
        <v xml:space="preserve">北京 北京市 昌平区 </v>
      </c>
      <c r="N8649" s="1" t="str">
        <f t="shared" si="2454"/>
        <v>凡华云仓-韵达-微信视频号</v>
      </c>
      <c r="O8649" s="5">
        <v>315012275279468</v>
      </c>
      <c r="P8649" s="6">
        <v>0.52</v>
      </c>
      <c r="Q8649" s="11">
        <f>CEILING(P8649-0.5,0.1)*10*0.15+2.3</f>
        <v>2.4499999999999997</v>
      </c>
      <c r="R8649" s="11"/>
      <c r="S8649" s="11"/>
      <c r="T8649" s="11"/>
      <c r="U8649" s="11">
        <f t="shared" si="2452"/>
        <v>2.4499999999999997</v>
      </c>
      <c r="V8649" t="s">
        <v>15</v>
      </c>
      <c r="W8649">
        <v>2.4500000000000002</v>
      </c>
      <c r="X8649" s="1" t="s">
        <v>105</v>
      </c>
    </row>
    <row r="8650" spans="1:24" x14ac:dyDescent="0.25">
      <c r="A8650" s="1" t="str">
        <f t="shared" si="2455"/>
        <v>卡卡杜-凤凰仓</v>
      </c>
      <c r="B8650" s="1" t="str">
        <f>"CK202410082013"</f>
        <v>CK202410082013</v>
      </c>
      <c r="C8650" s="1" t="str">
        <f>"DD2024100817484"</f>
        <v>DD2024100817484</v>
      </c>
      <c r="D8650" s="1" t="str">
        <f>"CK2024100813076"</f>
        <v>CK2024100813076</v>
      </c>
      <c r="E8650" s="1" t="str">
        <f>"3723151289155192320"</f>
        <v>3723151289155192320</v>
      </c>
      <c r="F8650" s="1" t="str">
        <f t="shared" si="2456"/>
        <v>花都四部-凤凰仓</v>
      </c>
      <c r="G8650" s="1" t="str">
        <f t="shared" si="2453"/>
        <v>卡卡杜企业店（视频号）</v>
      </c>
      <c r="H8650" s="1" t="str">
        <f t="shared" si="2457"/>
        <v>正常订单</v>
      </c>
      <c r="I8650" s="1" t="str">
        <f t="shared" si="2458"/>
        <v>已发货</v>
      </c>
      <c r="J8650" s="1" t="str">
        <f t="shared" ref="J8650:J8654" si="2459">"2"</f>
        <v>2</v>
      </c>
      <c r="K8650" s="1">
        <v>2</v>
      </c>
      <c r="L8650" s="1" t="s">
        <v>24</v>
      </c>
      <c r="M8650" s="1" t="str">
        <f>"福建省 福州市 鼓楼区 "</f>
        <v xml:space="preserve">福建省 福州市 鼓楼区 </v>
      </c>
      <c r="N8650" s="1" t="str">
        <f t="shared" si="2454"/>
        <v>凡华云仓-韵达-微信视频号</v>
      </c>
      <c r="O8650" s="5">
        <v>315012275276271</v>
      </c>
      <c r="P8650" s="6">
        <v>0.28000000000000003</v>
      </c>
      <c r="Q8650" s="11">
        <v>2</v>
      </c>
      <c r="R8650" s="11"/>
      <c r="S8650" s="11"/>
      <c r="T8650" s="11"/>
      <c r="U8650" s="11">
        <f t="shared" si="2452"/>
        <v>2</v>
      </c>
      <c r="W8650">
        <v>2.2000000000000002</v>
      </c>
      <c r="X8650" s="1" t="s">
        <v>24</v>
      </c>
    </row>
    <row r="8651" spans="1:24" x14ac:dyDescent="0.25">
      <c r="A8651" s="1" t="str">
        <f t="shared" si="2455"/>
        <v>卡卡杜-凤凰仓</v>
      </c>
      <c r="B8651" s="1" t="str">
        <f>"CK202410082014"</f>
        <v>CK202410082014</v>
      </c>
      <c r="C8651" s="1" t="str">
        <f>"DD2024100817485"</f>
        <v>DD2024100817485</v>
      </c>
      <c r="D8651" s="1" t="str">
        <f>"CK2024100813075"</f>
        <v>CK2024100813075</v>
      </c>
      <c r="E8651" s="1" t="str">
        <f>"3723149855829920768"</f>
        <v>3723149855829920768</v>
      </c>
      <c r="F8651" s="1" t="str">
        <f t="shared" si="2456"/>
        <v>花都四部-凤凰仓</v>
      </c>
      <c r="G8651" s="1" t="str">
        <f t="shared" si="2453"/>
        <v>卡卡杜企业店（视频号）</v>
      </c>
      <c r="H8651" s="1" t="str">
        <f t="shared" si="2457"/>
        <v>正常订单</v>
      </c>
      <c r="I8651" s="1" t="str">
        <f t="shared" si="2458"/>
        <v>已发货</v>
      </c>
      <c r="J8651" s="1" t="str">
        <f t="shared" si="2459"/>
        <v>2</v>
      </c>
      <c r="K8651" s="1">
        <v>2</v>
      </c>
      <c r="L8651" s="1" t="s">
        <v>105</v>
      </c>
      <c r="M8651" s="1" t="str">
        <f>"北京 北京市 门头沟区 "</f>
        <v xml:space="preserve">北京 北京市 门头沟区 </v>
      </c>
      <c r="N8651" s="1" t="str">
        <f t="shared" si="2454"/>
        <v>凡华云仓-韵达-微信视频号</v>
      </c>
      <c r="O8651" s="5">
        <v>315012275273664</v>
      </c>
      <c r="P8651" s="6">
        <v>0.28000000000000003</v>
      </c>
      <c r="Q8651" s="11">
        <v>2</v>
      </c>
      <c r="R8651" s="11"/>
      <c r="S8651" s="11"/>
      <c r="T8651" s="11"/>
      <c r="U8651" s="11">
        <f t="shared" si="2452"/>
        <v>2</v>
      </c>
      <c r="W8651">
        <v>2.2000000000000002</v>
      </c>
      <c r="X8651" s="1" t="s">
        <v>105</v>
      </c>
    </row>
    <row r="8652" spans="1:24" x14ac:dyDescent="0.25">
      <c r="A8652" s="1" t="str">
        <f t="shared" si="2455"/>
        <v>卡卡杜-凤凰仓</v>
      </c>
      <c r="B8652" s="1" t="str">
        <f>"CK202410082021"</f>
        <v>CK202410082021</v>
      </c>
      <c r="C8652" s="1" t="str">
        <f>"DD2024100817496"</f>
        <v>DD2024100817496</v>
      </c>
      <c r="D8652" s="1" t="str">
        <f>"CK2024100813074"</f>
        <v>CK2024100813074</v>
      </c>
      <c r="E8652" s="1" t="str">
        <f>"3723148966551489536"</f>
        <v>3723148966551489536</v>
      </c>
      <c r="F8652" s="1" t="str">
        <f t="shared" si="2456"/>
        <v>花都四部-凤凰仓</v>
      </c>
      <c r="G8652" s="1" t="str">
        <f t="shared" si="2453"/>
        <v>卡卡杜企业店（视频号）</v>
      </c>
      <c r="H8652" s="1" t="str">
        <f t="shared" si="2457"/>
        <v>正常订单</v>
      </c>
      <c r="I8652" s="1" t="str">
        <f t="shared" si="2458"/>
        <v>已发货</v>
      </c>
      <c r="J8652" s="1" t="str">
        <f t="shared" si="2459"/>
        <v>2</v>
      </c>
      <c r="K8652" s="1">
        <v>2</v>
      </c>
      <c r="L8652" s="1" t="s">
        <v>94</v>
      </c>
      <c r="M8652" s="1" t="str">
        <f>"湖南省 长沙市 长沙县 "</f>
        <v xml:space="preserve">湖南省 长沙市 长沙县 </v>
      </c>
      <c r="N8652" s="1" t="str">
        <f t="shared" si="2454"/>
        <v>凡华云仓-韵达-微信视频号</v>
      </c>
      <c r="O8652" s="5">
        <v>315012275270027</v>
      </c>
      <c r="P8652" s="6">
        <v>0.28000000000000003</v>
      </c>
      <c r="Q8652" s="11">
        <v>2</v>
      </c>
      <c r="R8652" s="11"/>
      <c r="S8652" s="11"/>
      <c r="T8652" s="11"/>
      <c r="U8652" s="11">
        <f t="shared" si="2452"/>
        <v>2</v>
      </c>
      <c r="W8652">
        <v>2.2000000000000002</v>
      </c>
      <c r="X8652" s="1" t="s">
        <v>94</v>
      </c>
    </row>
    <row r="8653" spans="1:24" x14ac:dyDescent="0.25">
      <c r="A8653" s="1" t="str">
        <f t="shared" si="2455"/>
        <v>卡卡杜-凤凰仓</v>
      </c>
      <c r="B8653" s="1" t="str">
        <f>"CK202410082022"</f>
        <v>CK202410082022</v>
      </c>
      <c r="C8653" s="1" t="str">
        <f>"DD2024100817497"</f>
        <v>DD2024100817497</v>
      </c>
      <c r="D8653" s="1" t="str">
        <f>"CK2024100813073"</f>
        <v>CK2024100813073</v>
      </c>
      <c r="E8653" s="1" t="str">
        <f>"3723148147629364224"</f>
        <v>3723148147629364224</v>
      </c>
      <c r="F8653" s="1" t="str">
        <f t="shared" si="2456"/>
        <v>花都四部-凤凰仓</v>
      </c>
      <c r="G8653" s="1" t="str">
        <f t="shared" si="2453"/>
        <v>卡卡杜企业店（视频号）</v>
      </c>
      <c r="H8653" s="1" t="str">
        <f t="shared" si="2457"/>
        <v>正常订单</v>
      </c>
      <c r="I8653" s="1" t="str">
        <f t="shared" si="2458"/>
        <v>已发货</v>
      </c>
      <c r="J8653" s="1" t="str">
        <f t="shared" si="2459"/>
        <v>2</v>
      </c>
      <c r="K8653" s="1">
        <v>2</v>
      </c>
      <c r="L8653" s="1" t="s">
        <v>20</v>
      </c>
      <c r="M8653" s="1" t="str">
        <f>"浙江省 杭州市 上城区 "</f>
        <v xml:space="preserve">浙江省 杭州市 上城区 </v>
      </c>
      <c r="N8653" s="1" t="str">
        <f t="shared" si="2454"/>
        <v>凡华云仓-韵达-微信视频号</v>
      </c>
      <c r="O8653" s="5">
        <v>315012275267271</v>
      </c>
      <c r="P8653" s="6">
        <v>0.28000000000000003</v>
      </c>
      <c r="Q8653" s="11">
        <v>2</v>
      </c>
      <c r="R8653" s="11"/>
      <c r="S8653" s="11"/>
      <c r="T8653" s="11"/>
      <c r="U8653" s="11">
        <f t="shared" si="2452"/>
        <v>2</v>
      </c>
      <c r="W8653">
        <v>2.2000000000000002</v>
      </c>
      <c r="X8653" s="1" t="s">
        <v>20</v>
      </c>
    </row>
    <row r="8654" spans="1:24" x14ac:dyDescent="0.25">
      <c r="A8654" s="1" t="str">
        <f t="shared" si="2455"/>
        <v>卡卡杜-凤凰仓</v>
      </c>
      <c r="B8654" s="1" t="str">
        <f>"CK202410082016"</f>
        <v>CK202410082016</v>
      </c>
      <c r="C8654" s="1" t="str">
        <f>"DD2024100817491"</f>
        <v>DD2024100817491</v>
      </c>
      <c r="D8654" s="1" t="str">
        <f>"CK2024100813072"</f>
        <v>CK2024100813072</v>
      </c>
      <c r="E8654" s="1" t="str">
        <f>"2428101608696303"</f>
        <v>2428101608696303</v>
      </c>
      <c r="F8654" s="1" t="str">
        <f t="shared" si="2456"/>
        <v>花都四部-凤凰仓</v>
      </c>
      <c r="G8654" s="1" t="str">
        <f>"卡卡杜佳旺专卖店（快手店）"</f>
        <v>卡卡杜佳旺专卖店（快手店）</v>
      </c>
      <c r="H8654" s="1" t="str">
        <f t="shared" si="2457"/>
        <v>正常订单</v>
      </c>
      <c r="I8654" s="1" t="str">
        <f t="shared" si="2458"/>
        <v>已发货</v>
      </c>
      <c r="J8654" s="1" t="str">
        <f t="shared" si="2459"/>
        <v>2</v>
      </c>
      <c r="K8654" s="1">
        <v>2</v>
      </c>
      <c r="L8654" s="1" t="s">
        <v>30</v>
      </c>
      <c r="M8654" s="1" t="str">
        <f>"山东省 青岛市 黄岛区 辛安街道"</f>
        <v>山东省 青岛市 黄岛区 辛安街道</v>
      </c>
      <c r="N8654" s="1" t="str">
        <f>"凡华云仓-韵达-快手"</f>
        <v>凡华云仓-韵达-快手</v>
      </c>
      <c r="O8654" s="5">
        <v>319205144166278</v>
      </c>
      <c r="P8654" s="6">
        <v>0.28000000000000003</v>
      </c>
      <c r="Q8654" s="11">
        <v>2</v>
      </c>
      <c r="R8654" s="11"/>
      <c r="S8654" s="11"/>
      <c r="T8654" s="11"/>
      <c r="U8654" s="11">
        <f t="shared" si="2452"/>
        <v>2</v>
      </c>
      <c r="W8654">
        <v>2.2000000000000002</v>
      </c>
      <c r="X8654" s="1" t="s">
        <v>30</v>
      </c>
    </row>
    <row r="8655" spans="1:24" x14ac:dyDescent="0.25">
      <c r="A8655" s="1" t="str">
        <f t="shared" si="2455"/>
        <v>卡卡杜-凤凰仓</v>
      </c>
      <c r="B8655" s="1" t="str">
        <f>"CK202410081849"</f>
        <v>CK202410081849</v>
      </c>
      <c r="C8655" s="1" t="str">
        <f>"DD2024100817090"</f>
        <v>DD2024100817090</v>
      </c>
      <c r="D8655" s="1" t="str">
        <f>"CK2024100812958"</f>
        <v>CK2024100812958</v>
      </c>
      <c r="E8655" s="1" t="str">
        <f>"6917926810706803983"</f>
        <v>6917926810706803983</v>
      </c>
      <c r="F8655" s="1" t="str">
        <f t="shared" si="2456"/>
        <v>花都四部-凤凰仓</v>
      </c>
      <c r="G8655" s="1" t="str">
        <f>"卡卡杜个人护理店（抖店）"</f>
        <v>卡卡杜个人护理店（抖店）</v>
      </c>
      <c r="H8655" s="1" t="str">
        <f t="shared" si="2457"/>
        <v>正常订单</v>
      </c>
      <c r="I8655" s="1" t="str">
        <f t="shared" si="2458"/>
        <v>已发货</v>
      </c>
      <c r="J8655" s="1" t="str">
        <f>"4"</f>
        <v>4</v>
      </c>
      <c r="K8655" s="1">
        <v>1</v>
      </c>
      <c r="L8655" s="1" t="s">
        <v>161</v>
      </c>
      <c r="M8655" s="1" t="str">
        <f>"四川省 甘孜藏族自治州 康定市 甲根坝镇"</f>
        <v>四川省 甘孜藏族自治州 康定市 甲根坝镇</v>
      </c>
      <c r="N8655" s="1" t="str">
        <f>"凡华云仓-韵达-抖音"</f>
        <v>凡华云仓-韵达-抖音</v>
      </c>
      <c r="O8655" s="5">
        <v>320161040492149</v>
      </c>
      <c r="P8655" s="6">
        <v>0.57999999999999996</v>
      </c>
      <c r="Q8655" s="11">
        <f>CEILING(P8655-0.5,0.1)*10*0.15+2.3</f>
        <v>2.4499999999999997</v>
      </c>
      <c r="R8655" s="11"/>
      <c r="S8655" s="11"/>
      <c r="T8655" s="11"/>
      <c r="U8655" s="11">
        <f t="shared" si="2452"/>
        <v>2.4499999999999997</v>
      </c>
      <c r="V8655" t="s">
        <v>15</v>
      </c>
      <c r="W8655">
        <v>2.4500000000000002</v>
      </c>
      <c r="X8655" s="1" t="s">
        <v>161</v>
      </c>
    </row>
    <row r="8656" spans="1:24" x14ac:dyDescent="0.25">
      <c r="A8656" s="1" t="str">
        <f t="shared" si="2455"/>
        <v>卡卡杜-凤凰仓</v>
      </c>
      <c r="B8656" s="1" t="str">
        <f>"CK202410081911"</f>
        <v>CK202410081911</v>
      </c>
      <c r="C8656" s="1" t="str">
        <f>"DD2024100817150"</f>
        <v>DD2024100817150</v>
      </c>
      <c r="D8656" s="1" t="str">
        <f>"CK2024100813061"</f>
        <v>CK2024100813061</v>
      </c>
      <c r="E8656" s="1" t="str">
        <f>"6917949169576869496"</f>
        <v>6917949169576869496</v>
      </c>
      <c r="F8656" s="1" t="str">
        <f t="shared" si="2456"/>
        <v>花都四部-凤凰仓</v>
      </c>
      <c r="G8656" s="1" t="str">
        <f t="shared" ref="G8656:G8719" si="2460">"卡卡杜个人护理店（抖店）"</f>
        <v>卡卡杜个人护理店（抖店）</v>
      </c>
      <c r="H8656" s="1" t="str">
        <f t="shared" si="2457"/>
        <v>正常订单</v>
      </c>
      <c r="I8656" s="1" t="str">
        <f t="shared" si="2458"/>
        <v>已发货</v>
      </c>
      <c r="J8656" s="1" t="str">
        <f t="shared" ref="J8656:J8719" si="2461">"2"</f>
        <v>2</v>
      </c>
      <c r="K8656" s="1">
        <v>1</v>
      </c>
      <c r="L8656" s="1" t="s">
        <v>13</v>
      </c>
      <c r="M8656" s="1" t="str">
        <f>"江苏省 宿迁市 沭阳县 沭城街道"</f>
        <v>江苏省 宿迁市 沭阳县 沭城街道</v>
      </c>
      <c r="N8656" s="1" t="str">
        <f t="shared" ref="N8656:N8719" si="2462">"凡华云仓-韵达-抖音"</f>
        <v>凡华云仓-韵达-抖音</v>
      </c>
      <c r="O8656" s="5">
        <v>320161035780222</v>
      </c>
      <c r="P8656" s="6">
        <v>0.33</v>
      </c>
      <c r="Q8656" s="11">
        <v>2.2999999999999998</v>
      </c>
      <c r="R8656" s="11"/>
      <c r="S8656" s="11"/>
      <c r="T8656" s="11"/>
      <c r="U8656" s="11">
        <f t="shared" si="2452"/>
        <v>2.2999999999999998</v>
      </c>
      <c r="W8656">
        <v>2.5</v>
      </c>
      <c r="X8656" s="1" t="s">
        <v>13</v>
      </c>
    </row>
    <row r="8657" spans="1:24" x14ac:dyDescent="0.25">
      <c r="A8657" s="1" t="str">
        <f t="shared" si="2455"/>
        <v>卡卡杜-凤凰仓</v>
      </c>
      <c r="B8657" s="1" t="str">
        <f>"CK202410081949"</f>
        <v>CK202410081949</v>
      </c>
      <c r="C8657" s="1" t="str">
        <f>"DD2024100817189"</f>
        <v>DD2024100817189</v>
      </c>
      <c r="D8657" s="1" t="str">
        <f>"CK2024100813060"</f>
        <v>CK2024100813060</v>
      </c>
      <c r="E8657" s="1" t="str">
        <f>"6917944536465374702"</f>
        <v>6917944536465374702</v>
      </c>
      <c r="F8657" s="1" t="str">
        <f t="shared" si="2456"/>
        <v>花都四部-凤凰仓</v>
      </c>
      <c r="G8657" s="1" t="str">
        <f t="shared" si="2460"/>
        <v>卡卡杜个人护理店（抖店）</v>
      </c>
      <c r="H8657" s="1" t="str">
        <f t="shared" si="2457"/>
        <v>正常订单</v>
      </c>
      <c r="I8657" s="1" t="str">
        <f t="shared" si="2458"/>
        <v>已发货</v>
      </c>
      <c r="J8657" s="1" t="str">
        <f t="shared" si="2461"/>
        <v>2</v>
      </c>
      <c r="K8657" s="1">
        <v>1</v>
      </c>
      <c r="L8657" s="1" t="s">
        <v>13</v>
      </c>
      <c r="M8657" s="1" t="str">
        <f>"江苏省 无锡市 滨湖区 太湖街道"</f>
        <v>江苏省 无锡市 滨湖区 太湖街道</v>
      </c>
      <c r="N8657" s="1" t="str">
        <f t="shared" si="2462"/>
        <v>凡华云仓-韵达-抖音</v>
      </c>
      <c r="O8657" s="5">
        <v>320161035780131</v>
      </c>
      <c r="P8657" s="6">
        <v>0.33</v>
      </c>
      <c r="Q8657" s="11">
        <v>2.2999999999999998</v>
      </c>
      <c r="R8657" s="11"/>
      <c r="S8657" s="11"/>
      <c r="T8657" s="11"/>
      <c r="U8657" s="11">
        <f t="shared" si="2452"/>
        <v>2.2999999999999998</v>
      </c>
      <c r="W8657">
        <v>2.5</v>
      </c>
      <c r="X8657" s="1" t="s">
        <v>13</v>
      </c>
    </row>
    <row r="8658" spans="1:24" x14ac:dyDescent="0.25">
      <c r="A8658" s="1" t="str">
        <f t="shared" si="2455"/>
        <v>卡卡杜-凤凰仓</v>
      </c>
      <c r="B8658" s="1" t="str">
        <f>"CK202410081950"</f>
        <v>CK202410081950</v>
      </c>
      <c r="C8658" s="1" t="str">
        <f>"DD2024100817190"</f>
        <v>DD2024100817190</v>
      </c>
      <c r="D8658" s="1" t="str">
        <f>"CK2024100813059"</f>
        <v>CK2024100813059</v>
      </c>
      <c r="E8658" s="1" t="str">
        <f>"6917949116421733999"</f>
        <v>6917949116421733999</v>
      </c>
      <c r="F8658" s="1" t="str">
        <f t="shared" si="2456"/>
        <v>花都四部-凤凰仓</v>
      </c>
      <c r="G8658" s="1" t="str">
        <f t="shared" si="2460"/>
        <v>卡卡杜个人护理店（抖店）</v>
      </c>
      <c r="H8658" s="1" t="str">
        <f t="shared" si="2457"/>
        <v>正常订单</v>
      </c>
      <c r="I8658" s="1" t="str">
        <f t="shared" si="2458"/>
        <v>已发货</v>
      </c>
      <c r="J8658" s="1" t="str">
        <f t="shared" si="2461"/>
        <v>2</v>
      </c>
      <c r="K8658" s="1">
        <v>1</v>
      </c>
      <c r="L8658" s="1" t="s">
        <v>94</v>
      </c>
      <c r="M8658" s="1" t="str">
        <f>"湖南省 郴州市 桂阳县 流峰镇"</f>
        <v>湖南省 郴州市 桂阳县 流峰镇</v>
      </c>
      <c r="N8658" s="1" t="str">
        <f t="shared" si="2462"/>
        <v>凡华云仓-韵达-抖音</v>
      </c>
      <c r="O8658" s="5">
        <v>320161035780042</v>
      </c>
      <c r="P8658" s="6">
        <v>0.33</v>
      </c>
      <c r="Q8658" s="11">
        <v>2.2999999999999998</v>
      </c>
      <c r="R8658" s="11"/>
      <c r="S8658" s="11"/>
      <c r="T8658" s="11"/>
      <c r="U8658" s="11">
        <f t="shared" si="2452"/>
        <v>2.2999999999999998</v>
      </c>
      <c r="W8658">
        <v>2.5</v>
      </c>
      <c r="X8658" s="1" t="s">
        <v>94</v>
      </c>
    </row>
    <row r="8659" spans="1:24" x14ac:dyDescent="0.25">
      <c r="A8659" s="1" t="str">
        <f t="shared" si="2455"/>
        <v>卡卡杜-凤凰仓</v>
      </c>
      <c r="B8659" s="1" t="str">
        <f>"CK202410082019"</f>
        <v>CK202410082019</v>
      </c>
      <c r="C8659" s="1" t="str">
        <f>"DD2024100817492"</f>
        <v>DD2024100817492</v>
      </c>
      <c r="D8659" s="1" t="str">
        <f>"CK2024100813058"</f>
        <v>CK2024100813058</v>
      </c>
      <c r="E8659" s="1" t="str">
        <f>"6917934825308257581"</f>
        <v>6917934825308257581</v>
      </c>
      <c r="F8659" s="1" t="str">
        <f t="shared" si="2456"/>
        <v>花都四部-凤凰仓</v>
      </c>
      <c r="G8659" s="1" t="str">
        <f t="shared" si="2460"/>
        <v>卡卡杜个人护理店（抖店）</v>
      </c>
      <c r="H8659" s="1" t="str">
        <f t="shared" si="2457"/>
        <v>正常订单</v>
      </c>
      <c r="I8659" s="1" t="str">
        <f t="shared" si="2458"/>
        <v>已发货</v>
      </c>
      <c r="J8659" s="1" t="str">
        <f t="shared" si="2461"/>
        <v>2</v>
      </c>
      <c r="K8659" s="1">
        <v>2</v>
      </c>
      <c r="L8659" s="1" t="s">
        <v>18</v>
      </c>
      <c r="M8659" s="1" t="str">
        <f>"广东省 揭阳市 榕城区 榕华街道"</f>
        <v>广东省 揭阳市 榕城区 榕华街道</v>
      </c>
      <c r="N8659" s="1" t="str">
        <f t="shared" si="2462"/>
        <v>凡华云仓-韵达-抖音</v>
      </c>
      <c r="O8659" s="5">
        <v>320161031547904</v>
      </c>
      <c r="P8659" s="6">
        <v>0.28000000000000003</v>
      </c>
      <c r="Q8659" s="11">
        <v>2</v>
      </c>
      <c r="R8659" s="11"/>
      <c r="S8659" s="11"/>
      <c r="T8659" s="11"/>
      <c r="U8659" s="11">
        <f t="shared" si="2452"/>
        <v>2</v>
      </c>
      <c r="W8659">
        <v>2.2000000000000002</v>
      </c>
      <c r="X8659" s="1" t="s">
        <v>18</v>
      </c>
    </row>
    <row r="8660" spans="1:24" x14ac:dyDescent="0.25">
      <c r="A8660" s="1" t="str">
        <f t="shared" si="2455"/>
        <v>卡卡杜-凤凰仓</v>
      </c>
      <c r="B8660" s="1" t="str">
        <f>"CK202410081951"</f>
        <v>CK202410081951</v>
      </c>
      <c r="C8660" s="1" t="str">
        <f>"DD2024100817191"</f>
        <v>DD2024100817191</v>
      </c>
      <c r="D8660" s="1" t="str">
        <f>"CK2024100813057"</f>
        <v>CK2024100813057</v>
      </c>
      <c r="E8660" s="1" t="str">
        <f>"6917941620760935570"</f>
        <v>6917941620760935570</v>
      </c>
      <c r="F8660" s="1" t="str">
        <f t="shared" si="2456"/>
        <v>花都四部-凤凰仓</v>
      </c>
      <c r="G8660" s="1" t="str">
        <f t="shared" si="2460"/>
        <v>卡卡杜个人护理店（抖店）</v>
      </c>
      <c r="H8660" s="1" t="str">
        <f t="shared" si="2457"/>
        <v>正常订单</v>
      </c>
      <c r="I8660" s="1" t="str">
        <f t="shared" si="2458"/>
        <v>已发货</v>
      </c>
      <c r="J8660" s="1" t="str">
        <f t="shared" si="2461"/>
        <v>2</v>
      </c>
      <c r="K8660" s="1">
        <v>1</v>
      </c>
      <c r="L8660" s="1" t="s">
        <v>22</v>
      </c>
      <c r="M8660" s="1" t="str">
        <f>"江西省 九江市 湖口县 "</f>
        <v xml:space="preserve">江西省 九江市 湖口县 </v>
      </c>
      <c r="N8660" s="1" t="str">
        <f t="shared" si="2462"/>
        <v>凡华云仓-韵达-抖音</v>
      </c>
      <c r="O8660" s="5">
        <v>320161031547899</v>
      </c>
      <c r="P8660" s="6">
        <v>0.33</v>
      </c>
      <c r="Q8660" s="11">
        <v>2.2999999999999998</v>
      </c>
      <c r="R8660" s="11"/>
      <c r="S8660" s="11"/>
      <c r="T8660" s="11"/>
      <c r="U8660" s="11">
        <f t="shared" si="2452"/>
        <v>2.2999999999999998</v>
      </c>
      <c r="W8660">
        <v>2.5</v>
      </c>
      <c r="X8660" s="1" t="s">
        <v>22</v>
      </c>
    </row>
    <row r="8661" spans="1:24" x14ac:dyDescent="0.25">
      <c r="A8661" s="1" t="str">
        <f t="shared" si="2455"/>
        <v>卡卡杜-凤凰仓</v>
      </c>
      <c r="B8661" s="1" t="str">
        <f>"CK202410081952"</f>
        <v>CK202410081952</v>
      </c>
      <c r="C8661" s="1" t="str">
        <f>"DD2024100817192"</f>
        <v>DD2024100817192</v>
      </c>
      <c r="D8661" s="1" t="str">
        <f>"CK2024100813056"</f>
        <v>CK2024100813056</v>
      </c>
      <c r="E8661" s="1" t="str">
        <f>"6917941749453389017"</f>
        <v>6917941749453389017</v>
      </c>
      <c r="F8661" s="1" t="str">
        <f t="shared" si="2456"/>
        <v>花都四部-凤凰仓</v>
      </c>
      <c r="G8661" s="1" t="str">
        <f t="shared" si="2460"/>
        <v>卡卡杜个人护理店（抖店）</v>
      </c>
      <c r="H8661" s="1" t="str">
        <f t="shared" si="2457"/>
        <v>正常订单</v>
      </c>
      <c r="I8661" s="1" t="str">
        <f t="shared" si="2458"/>
        <v>已发货</v>
      </c>
      <c r="J8661" s="1" t="str">
        <f t="shared" si="2461"/>
        <v>2</v>
      </c>
      <c r="K8661" s="1">
        <v>1</v>
      </c>
      <c r="L8661" s="1" t="s">
        <v>94</v>
      </c>
      <c r="M8661" s="1" t="str">
        <f>"湖南省 株洲市 攸县 黄丰桥镇"</f>
        <v>湖南省 株洲市 攸县 黄丰桥镇</v>
      </c>
      <c r="N8661" s="1" t="str">
        <f t="shared" si="2462"/>
        <v>凡华云仓-韵达-抖音</v>
      </c>
      <c r="O8661" s="5">
        <v>320161031547796</v>
      </c>
      <c r="P8661" s="6">
        <v>0.33</v>
      </c>
      <c r="Q8661" s="11">
        <v>2.2999999999999998</v>
      </c>
      <c r="R8661" s="11"/>
      <c r="S8661" s="11"/>
      <c r="T8661" s="11"/>
      <c r="U8661" s="11">
        <f t="shared" si="2452"/>
        <v>2.2999999999999998</v>
      </c>
      <c r="W8661">
        <v>2.5</v>
      </c>
      <c r="X8661" s="1" t="s">
        <v>94</v>
      </c>
    </row>
    <row r="8662" spans="1:24" x14ac:dyDescent="0.25">
      <c r="A8662" s="1" t="str">
        <f t="shared" si="2455"/>
        <v>卡卡杜-凤凰仓</v>
      </c>
      <c r="B8662" s="1" t="str">
        <f>"CK202410081953"</f>
        <v>CK202410081953</v>
      </c>
      <c r="C8662" s="1" t="str">
        <f>"DD2024100817193"</f>
        <v>DD2024100817193</v>
      </c>
      <c r="D8662" s="1" t="str">
        <f>"CK2024100813055"</f>
        <v>CK2024100813055</v>
      </c>
      <c r="E8662" s="1" t="str">
        <f>"6917937150623186265"</f>
        <v>6917937150623186265</v>
      </c>
      <c r="F8662" s="1" t="str">
        <f t="shared" si="2456"/>
        <v>花都四部-凤凰仓</v>
      </c>
      <c r="G8662" s="1" t="str">
        <f t="shared" si="2460"/>
        <v>卡卡杜个人护理店（抖店）</v>
      </c>
      <c r="H8662" s="1" t="str">
        <f t="shared" si="2457"/>
        <v>正常订单</v>
      </c>
      <c r="I8662" s="1" t="str">
        <f t="shared" si="2458"/>
        <v>已发货</v>
      </c>
      <c r="J8662" s="1" t="str">
        <f t="shared" si="2461"/>
        <v>2</v>
      </c>
      <c r="K8662" s="1">
        <v>1</v>
      </c>
      <c r="L8662" s="1" t="s">
        <v>24</v>
      </c>
      <c r="M8662" s="1" t="str">
        <f>"福建省 泉州市 惠安县 黄塘镇"</f>
        <v>福建省 泉州市 惠安县 黄塘镇</v>
      </c>
      <c r="N8662" s="1" t="str">
        <f t="shared" si="2462"/>
        <v>凡华云仓-韵达-抖音</v>
      </c>
      <c r="O8662" s="5">
        <v>320161031547695</v>
      </c>
      <c r="P8662" s="6">
        <v>0.33</v>
      </c>
      <c r="Q8662" s="11">
        <v>2.2999999999999998</v>
      </c>
      <c r="R8662" s="11"/>
      <c r="S8662" s="11"/>
      <c r="T8662" s="11"/>
      <c r="U8662" s="11">
        <f t="shared" si="2452"/>
        <v>2.2999999999999998</v>
      </c>
      <c r="W8662">
        <v>2.5</v>
      </c>
      <c r="X8662" s="1" t="s">
        <v>24</v>
      </c>
    </row>
    <row r="8663" spans="1:24" x14ac:dyDescent="0.25">
      <c r="A8663" s="1" t="str">
        <f t="shared" si="2455"/>
        <v>卡卡杜-凤凰仓</v>
      </c>
      <c r="B8663" s="1" t="str">
        <f>"CK202410081954"</f>
        <v>CK202410081954</v>
      </c>
      <c r="C8663" s="1" t="str">
        <f>"DD2024100817194"</f>
        <v>DD2024100817194</v>
      </c>
      <c r="D8663" s="1" t="str">
        <f>"CK2024100813054"</f>
        <v>CK2024100813054</v>
      </c>
      <c r="E8663" s="1" t="str">
        <f>"6917934277518392469"</f>
        <v>6917934277518392469</v>
      </c>
      <c r="F8663" s="1" t="str">
        <f t="shared" si="2456"/>
        <v>花都四部-凤凰仓</v>
      </c>
      <c r="G8663" s="1" t="str">
        <f t="shared" si="2460"/>
        <v>卡卡杜个人护理店（抖店）</v>
      </c>
      <c r="H8663" s="1" t="str">
        <f t="shared" si="2457"/>
        <v>正常订单</v>
      </c>
      <c r="I8663" s="1" t="str">
        <f t="shared" si="2458"/>
        <v>已发货</v>
      </c>
      <c r="J8663" s="1" t="str">
        <f t="shared" si="2461"/>
        <v>2</v>
      </c>
      <c r="K8663" s="1">
        <v>1</v>
      </c>
      <c r="L8663" s="1" t="s">
        <v>60</v>
      </c>
      <c r="M8663" s="1" t="str">
        <f>"云南省 迪庆藏族自治州 香格里拉市 建塘镇"</f>
        <v>云南省 迪庆藏族自治州 香格里拉市 建塘镇</v>
      </c>
      <c r="N8663" s="1" t="str">
        <f t="shared" si="2462"/>
        <v>凡华云仓-韵达-抖音</v>
      </c>
      <c r="O8663" s="5">
        <v>320161031547596</v>
      </c>
      <c r="P8663" s="6">
        <v>0.33</v>
      </c>
      <c r="Q8663" s="11">
        <v>2.2999999999999998</v>
      </c>
      <c r="R8663" s="11"/>
      <c r="S8663" s="11"/>
      <c r="T8663" s="11"/>
      <c r="U8663" s="11">
        <f t="shared" si="2452"/>
        <v>2.2999999999999998</v>
      </c>
      <c r="W8663">
        <v>2.5</v>
      </c>
      <c r="X8663" s="1" t="s">
        <v>60</v>
      </c>
    </row>
    <row r="8664" spans="1:24" x14ac:dyDescent="0.25">
      <c r="A8664" s="1" t="str">
        <f t="shared" si="2455"/>
        <v>卡卡杜-凤凰仓</v>
      </c>
      <c r="B8664" s="1" t="str">
        <f>"CK202410081955"</f>
        <v>CK202410081955</v>
      </c>
      <c r="C8664" s="1" t="str">
        <f>"DD2024100817196"</f>
        <v>DD2024100817196</v>
      </c>
      <c r="D8664" s="1" t="str">
        <f>"CK2024100813053"</f>
        <v>CK2024100813053</v>
      </c>
      <c r="E8664" s="1" t="str">
        <f>"6917937084276637666"</f>
        <v>6917937084276637666</v>
      </c>
      <c r="F8664" s="1" t="str">
        <f t="shared" si="2456"/>
        <v>花都四部-凤凰仓</v>
      </c>
      <c r="G8664" s="1" t="str">
        <f t="shared" si="2460"/>
        <v>卡卡杜个人护理店（抖店）</v>
      </c>
      <c r="H8664" s="1" t="str">
        <f t="shared" si="2457"/>
        <v>正常订单</v>
      </c>
      <c r="I8664" s="1" t="str">
        <f t="shared" si="2458"/>
        <v>已发货</v>
      </c>
      <c r="J8664" s="1" t="str">
        <f t="shared" si="2461"/>
        <v>2</v>
      </c>
      <c r="K8664" s="1">
        <v>1</v>
      </c>
      <c r="L8664" s="1" t="s">
        <v>27</v>
      </c>
      <c r="M8664" s="1" t="str">
        <f>"贵州省 黔南布依族苗族自治州 三都水族自治县 三合街道"</f>
        <v>贵州省 黔南布依族苗族自治州 三都水族自治县 三合街道</v>
      </c>
      <c r="N8664" s="1" t="str">
        <f t="shared" si="2462"/>
        <v>凡华云仓-韵达-抖音</v>
      </c>
      <c r="O8664" s="5">
        <v>320161031547499</v>
      </c>
      <c r="P8664" s="6">
        <v>0.33</v>
      </c>
      <c r="Q8664" s="11">
        <v>2.2999999999999998</v>
      </c>
      <c r="R8664" s="11"/>
      <c r="S8664" s="11"/>
      <c r="T8664" s="11"/>
      <c r="U8664" s="11">
        <f t="shared" si="2452"/>
        <v>2.2999999999999998</v>
      </c>
      <c r="W8664">
        <v>2.5</v>
      </c>
      <c r="X8664" s="1" t="s">
        <v>27</v>
      </c>
    </row>
    <row r="8665" spans="1:24" x14ac:dyDescent="0.25">
      <c r="A8665" s="1" t="str">
        <f t="shared" si="2455"/>
        <v>卡卡杜-凤凰仓</v>
      </c>
      <c r="B8665" s="1" t="str">
        <f>"CK202410081947"</f>
        <v>CK202410081947</v>
      </c>
      <c r="C8665" s="1" t="str">
        <f>"DD2024100817187"</f>
        <v>DD2024100817187</v>
      </c>
      <c r="D8665" s="1" t="str">
        <f>"CK2024100813052"</f>
        <v>CK2024100813052</v>
      </c>
      <c r="E8665" s="1" t="str">
        <f>"6917936952906448831"</f>
        <v>6917936952906448831</v>
      </c>
      <c r="F8665" s="1" t="str">
        <f t="shared" si="2456"/>
        <v>花都四部-凤凰仓</v>
      </c>
      <c r="G8665" s="1" t="str">
        <f t="shared" si="2460"/>
        <v>卡卡杜个人护理店（抖店）</v>
      </c>
      <c r="H8665" s="1" t="str">
        <f t="shared" si="2457"/>
        <v>正常订单</v>
      </c>
      <c r="I8665" s="1" t="str">
        <f t="shared" si="2458"/>
        <v>已发货</v>
      </c>
      <c r="J8665" s="1" t="str">
        <f t="shared" si="2461"/>
        <v>2</v>
      </c>
      <c r="K8665" s="1">
        <v>1</v>
      </c>
      <c r="L8665" s="1" t="s">
        <v>96</v>
      </c>
      <c r="M8665" s="1" t="str">
        <f>"广西壮族自治区 贵港市 平南县 寺面镇"</f>
        <v>广西壮族自治区 贵港市 平南县 寺面镇</v>
      </c>
      <c r="N8665" s="1" t="str">
        <f t="shared" si="2462"/>
        <v>凡华云仓-韵达-抖音</v>
      </c>
      <c r="O8665" s="5">
        <v>320161031547304</v>
      </c>
      <c r="P8665" s="6">
        <v>0.33</v>
      </c>
      <c r="Q8665" s="11">
        <v>2.2999999999999998</v>
      </c>
      <c r="R8665" s="11"/>
      <c r="S8665" s="11"/>
      <c r="T8665" s="11"/>
      <c r="U8665" s="11">
        <f t="shared" si="2452"/>
        <v>2.2999999999999998</v>
      </c>
      <c r="W8665">
        <v>2.5</v>
      </c>
      <c r="X8665" s="1" t="s">
        <v>96</v>
      </c>
    </row>
    <row r="8666" spans="1:24" x14ac:dyDescent="0.25">
      <c r="A8666" s="1" t="str">
        <f t="shared" si="2455"/>
        <v>卡卡杜-凤凰仓</v>
      </c>
      <c r="B8666" s="1" t="str">
        <f>"CK202410081956"</f>
        <v>CK202410081956</v>
      </c>
      <c r="C8666" s="1" t="str">
        <f>"DD2024100817195"</f>
        <v>DD2024100817195</v>
      </c>
      <c r="D8666" s="1" t="str">
        <f>"CK2024100813051"</f>
        <v>CK2024100813051</v>
      </c>
      <c r="E8666" s="1" t="str">
        <f>"6917936881207770588"</f>
        <v>6917936881207770588</v>
      </c>
      <c r="F8666" s="1" t="str">
        <f t="shared" si="2456"/>
        <v>花都四部-凤凰仓</v>
      </c>
      <c r="G8666" s="1" t="str">
        <f t="shared" si="2460"/>
        <v>卡卡杜个人护理店（抖店）</v>
      </c>
      <c r="H8666" s="1" t="str">
        <f t="shared" si="2457"/>
        <v>正常订单</v>
      </c>
      <c r="I8666" s="1" t="str">
        <f t="shared" si="2458"/>
        <v>已发货</v>
      </c>
      <c r="J8666" s="1" t="str">
        <f t="shared" si="2461"/>
        <v>2</v>
      </c>
      <c r="K8666" s="1">
        <v>1</v>
      </c>
      <c r="L8666" s="1" t="s">
        <v>22</v>
      </c>
      <c r="M8666" s="1" t="str">
        <f>"江西省 赣州市 于都县 "</f>
        <v xml:space="preserve">江西省 赣州市 于都县 </v>
      </c>
      <c r="N8666" s="1" t="str">
        <f t="shared" si="2462"/>
        <v>凡华云仓-韵达-抖音</v>
      </c>
      <c r="O8666" s="5">
        <v>320161031547211</v>
      </c>
      <c r="P8666" s="6">
        <v>0.33</v>
      </c>
      <c r="Q8666" s="11">
        <v>2.2999999999999998</v>
      </c>
      <c r="R8666" s="11"/>
      <c r="S8666" s="11"/>
      <c r="T8666" s="11"/>
      <c r="U8666" s="11">
        <f t="shared" si="2452"/>
        <v>2.2999999999999998</v>
      </c>
      <c r="W8666">
        <v>2.5</v>
      </c>
      <c r="X8666" s="1" t="s">
        <v>22</v>
      </c>
    </row>
    <row r="8667" spans="1:24" x14ac:dyDescent="0.25">
      <c r="A8667" s="1" t="str">
        <f t="shared" si="2455"/>
        <v>卡卡杜-凤凰仓</v>
      </c>
      <c r="B8667" s="1" t="str">
        <f>"CK202410081958"</f>
        <v>CK202410081958</v>
      </c>
      <c r="C8667" s="1" t="str">
        <f>"DD2024100817198"</f>
        <v>DD2024100817198</v>
      </c>
      <c r="D8667" s="1" t="str">
        <f>"CK2024100813050"</f>
        <v>CK2024100813050</v>
      </c>
      <c r="E8667" s="1" t="str">
        <f>"6917941305882999808"</f>
        <v>6917941305882999808</v>
      </c>
      <c r="F8667" s="1" t="str">
        <f t="shared" si="2456"/>
        <v>花都四部-凤凰仓</v>
      </c>
      <c r="G8667" s="1" t="str">
        <f t="shared" si="2460"/>
        <v>卡卡杜个人护理店（抖店）</v>
      </c>
      <c r="H8667" s="1" t="str">
        <f t="shared" si="2457"/>
        <v>正常订单</v>
      </c>
      <c r="I8667" s="1" t="str">
        <f t="shared" si="2458"/>
        <v>已发货</v>
      </c>
      <c r="J8667" s="1" t="str">
        <f t="shared" si="2461"/>
        <v>2</v>
      </c>
      <c r="K8667" s="1">
        <v>1</v>
      </c>
      <c r="L8667" s="1" t="s">
        <v>18</v>
      </c>
      <c r="M8667" s="1" t="str">
        <f>"广东省 清远市 清新区 太和镇"</f>
        <v>广东省 清远市 清新区 太和镇</v>
      </c>
      <c r="N8667" s="1" t="str">
        <f t="shared" si="2462"/>
        <v>凡华云仓-韵达-抖音</v>
      </c>
      <c r="O8667" s="5">
        <v>320161031547120</v>
      </c>
      <c r="P8667" s="6">
        <v>0.33</v>
      </c>
      <c r="Q8667" s="11">
        <v>2.2999999999999998</v>
      </c>
      <c r="R8667" s="11"/>
      <c r="S8667" s="11"/>
      <c r="T8667" s="11"/>
      <c r="U8667" s="11">
        <f t="shared" si="2452"/>
        <v>2.2999999999999998</v>
      </c>
      <c r="W8667">
        <v>2.5</v>
      </c>
      <c r="X8667" s="1" t="s">
        <v>18</v>
      </c>
    </row>
    <row r="8668" spans="1:24" x14ac:dyDescent="0.25">
      <c r="A8668" s="1" t="str">
        <f t="shared" si="2455"/>
        <v>卡卡杜-凤凰仓</v>
      </c>
      <c r="B8668" s="1" t="str">
        <f>"CK202410081959"</f>
        <v>CK202410081959</v>
      </c>
      <c r="C8668" s="1" t="str">
        <f>"DD2024100817199"</f>
        <v>DD2024100817199</v>
      </c>
      <c r="D8668" s="1" t="str">
        <f>"CK2024100813049"</f>
        <v>CK2024100813049</v>
      </c>
      <c r="E8668" s="1" t="str">
        <f>"6917941447718240229"</f>
        <v>6917941447718240229</v>
      </c>
      <c r="F8668" s="1" t="str">
        <f t="shared" si="2456"/>
        <v>花都四部-凤凰仓</v>
      </c>
      <c r="G8668" s="1" t="str">
        <f t="shared" si="2460"/>
        <v>卡卡杜个人护理店（抖店）</v>
      </c>
      <c r="H8668" s="1" t="str">
        <f t="shared" si="2457"/>
        <v>正常订单</v>
      </c>
      <c r="I8668" s="1" t="str">
        <f t="shared" si="2458"/>
        <v>已发货</v>
      </c>
      <c r="J8668" s="1" t="str">
        <f t="shared" si="2461"/>
        <v>2</v>
      </c>
      <c r="K8668" s="1">
        <v>1</v>
      </c>
      <c r="L8668" s="1" t="s">
        <v>22</v>
      </c>
      <c r="M8668" s="1" t="str">
        <f>"江西省 抚州市 乐安县 山砀镇"</f>
        <v>江西省 抚州市 乐安县 山砀镇</v>
      </c>
      <c r="N8668" s="1" t="str">
        <f t="shared" si="2462"/>
        <v>凡华云仓-韵达-抖音</v>
      </c>
      <c r="O8668" s="5">
        <v>320161031547031</v>
      </c>
      <c r="P8668" s="6">
        <v>0.33</v>
      </c>
      <c r="Q8668" s="11">
        <v>2.2999999999999998</v>
      </c>
      <c r="R8668" s="11"/>
      <c r="S8668" s="11"/>
      <c r="T8668" s="11"/>
      <c r="U8668" s="11">
        <f t="shared" si="2452"/>
        <v>2.2999999999999998</v>
      </c>
      <c r="W8668">
        <v>2.5</v>
      </c>
      <c r="X8668" s="1" t="s">
        <v>22</v>
      </c>
    </row>
    <row r="8669" spans="1:24" x14ac:dyDescent="0.25">
      <c r="A8669" s="1" t="str">
        <f t="shared" si="2455"/>
        <v>卡卡杜-凤凰仓</v>
      </c>
      <c r="B8669" s="1" t="str">
        <f>"CK202410081960"</f>
        <v>CK202410081960</v>
      </c>
      <c r="C8669" s="1" t="str">
        <f>"DD2024100817200"</f>
        <v>DD2024100817200</v>
      </c>
      <c r="D8669" s="1" t="str">
        <f>"CK2024100813048"</f>
        <v>CK2024100813048</v>
      </c>
      <c r="E8669" s="1" t="str">
        <f>"6917934086947962213"</f>
        <v>6917934086947962213</v>
      </c>
      <c r="F8669" s="1" t="str">
        <f t="shared" si="2456"/>
        <v>花都四部-凤凰仓</v>
      </c>
      <c r="G8669" s="1" t="str">
        <f t="shared" si="2460"/>
        <v>卡卡杜个人护理店（抖店）</v>
      </c>
      <c r="H8669" s="1" t="str">
        <f t="shared" si="2457"/>
        <v>正常订单</v>
      </c>
      <c r="I8669" s="1" t="str">
        <f t="shared" si="2458"/>
        <v>已发货</v>
      </c>
      <c r="J8669" s="1" t="str">
        <f t="shared" si="2461"/>
        <v>2</v>
      </c>
      <c r="K8669" s="1">
        <v>1</v>
      </c>
      <c r="L8669" s="1" t="s">
        <v>20</v>
      </c>
      <c r="M8669" s="1" t="str">
        <f>"浙江省 舟山市 普陀区 东港街道"</f>
        <v>浙江省 舟山市 普陀区 东港街道</v>
      </c>
      <c r="N8669" s="1" t="str">
        <f t="shared" si="2462"/>
        <v>凡华云仓-韵达-抖音</v>
      </c>
      <c r="O8669" s="5">
        <v>320161051001103</v>
      </c>
      <c r="P8669" s="6">
        <v>0.33</v>
      </c>
      <c r="Q8669" s="11">
        <v>2.2999999999999998</v>
      </c>
      <c r="R8669" s="11"/>
      <c r="S8669" s="11"/>
      <c r="T8669" s="11"/>
      <c r="U8669" s="11">
        <f t="shared" si="2452"/>
        <v>2.2999999999999998</v>
      </c>
      <c r="W8669">
        <v>2.5</v>
      </c>
      <c r="X8669" s="1" t="s">
        <v>20</v>
      </c>
    </row>
    <row r="8670" spans="1:24" x14ac:dyDescent="0.25">
      <c r="A8670" s="1" t="str">
        <f t="shared" si="2455"/>
        <v>卡卡杜-凤凰仓</v>
      </c>
      <c r="B8670" s="1" t="str">
        <f>"CK202410081961"</f>
        <v>CK202410081961</v>
      </c>
      <c r="C8670" s="1" t="str">
        <f>"DD2024100817201"</f>
        <v>DD2024100817201</v>
      </c>
      <c r="D8670" s="1" t="str">
        <f>"CK2024100813047"</f>
        <v>CK2024100813047</v>
      </c>
      <c r="E8670" s="1" t="str">
        <f>"6917939100875718525"</f>
        <v>6917939100875718525</v>
      </c>
      <c r="F8670" s="1" t="str">
        <f t="shared" si="2456"/>
        <v>花都四部-凤凰仓</v>
      </c>
      <c r="G8670" s="1" t="str">
        <f t="shared" si="2460"/>
        <v>卡卡杜个人护理店（抖店）</v>
      </c>
      <c r="H8670" s="1" t="str">
        <f t="shared" si="2457"/>
        <v>正常订单</v>
      </c>
      <c r="I8670" s="1" t="str">
        <f t="shared" si="2458"/>
        <v>已发货</v>
      </c>
      <c r="J8670" s="1" t="str">
        <f t="shared" si="2461"/>
        <v>2</v>
      </c>
      <c r="K8670" s="1">
        <v>1</v>
      </c>
      <c r="L8670" s="1" t="s">
        <v>18</v>
      </c>
      <c r="M8670" s="1" t="str">
        <f>"广东省 广州市 从化区 鳌头镇"</f>
        <v>广东省 广州市 从化区 鳌头镇</v>
      </c>
      <c r="N8670" s="1" t="str">
        <f t="shared" si="2462"/>
        <v>凡华云仓-韵达-抖音</v>
      </c>
      <c r="O8670" s="5">
        <v>320161051001014</v>
      </c>
      <c r="P8670" s="6">
        <v>0.33</v>
      </c>
      <c r="Q8670" s="11">
        <v>2.2999999999999998</v>
      </c>
      <c r="R8670" s="11"/>
      <c r="S8670" s="11"/>
      <c r="T8670" s="11"/>
      <c r="U8670" s="11">
        <f t="shared" si="2452"/>
        <v>2.2999999999999998</v>
      </c>
      <c r="W8670">
        <v>2.5</v>
      </c>
      <c r="X8670" s="1" t="s">
        <v>18</v>
      </c>
    </row>
    <row r="8671" spans="1:24" x14ac:dyDescent="0.25">
      <c r="A8671" s="1" t="str">
        <f t="shared" si="2455"/>
        <v>卡卡杜-凤凰仓</v>
      </c>
      <c r="B8671" s="1" t="str">
        <f>"CK202410081962"</f>
        <v>CK202410081962</v>
      </c>
      <c r="C8671" s="1" t="str">
        <f>"DD2024100817203"</f>
        <v>DD2024100817203</v>
      </c>
      <c r="D8671" s="1" t="str">
        <f>"CK2024100813046"</f>
        <v>CK2024100813046</v>
      </c>
      <c r="E8671" s="1" t="str">
        <f>"6917934482605899433"</f>
        <v>6917934482605899433</v>
      </c>
      <c r="F8671" s="1" t="str">
        <f t="shared" si="2456"/>
        <v>花都四部-凤凰仓</v>
      </c>
      <c r="G8671" s="1" t="str">
        <f t="shared" si="2460"/>
        <v>卡卡杜个人护理店（抖店）</v>
      </c>
      <c r="H8671" s="1" t="str">
        <f t="shared" si="2457"/>
        <v>正常订单</v>
      </c>
      <c r="I8671" s="1" t="str">
        <f t="shared" si="2458"/>
        <v>已发货</v>
      </c>
      <c r="J8671" s="1" t="str">
        <f t="shared" si="2461"/>
        <v>2</v>
      </c>
      <c r="K8671" s="1">
        <v>1</v>
      </c>
      <c r="L8671" s="1" t="s">
        <v>74</v>
      </c>
      <c r="M8671" s="1" t="str">
        <f>"上海 上海市 宝山区 顾村镇"</f>
        <v>上海 上海市 宝山区 顾村镇</v>
      </c>
      <c r="N8671" s="1" t="str">
        <f t="shared" si="2462"/>
        <v>凡华云仓-韵达-抖音</v>
      </c>
      <c r="O8671" s="5">
        <v>320161051000998</v>
      </c>
      <c r="P8671" s="6">
        <v>0.33</v>
      </c>
      <c r="Q8671" s="11">
        <v>2.2999999999999998</v>
      </c>
      <c r="R8671" s="11"/>
      <c r="S8671" s="11"/>
      <c r="T8671" s="11"/>
      <c r="U8671" s="11">
        <f t="shared" si="2452"/>
        <v>2.2999999999999998</v>
      </c>
      <c r="W8671">
        <v>2.5</v>
      </c>
      <c r="X8671" s="1" t="s">
        <v>74</v>
      </c>
    </row>
    <row r="8672" spans="1:24" x14ac:dyDescent="0.25">
      <c r="A8672" s="1" t="str">
        <f t="shared" si="2455"/>
        <v>卡卡杜-凤凰仓</v>
      </c>
      <c r="B8672" s="1" t="str">
        <f>"CK202410082015"</f>
        <v>CK202410082015</v>
      </c>
      <c r="C8672" s="1" t="str">
        <f>"DD2024100817490"</f>
        <v>DD2024100817490</v>
      </c>
      <c r="D8672" s="1" t="str">
        <f>"CK2024100813045"</f>
        <v>CK2024100813045</v>
      </c>
      <c r="E8672" s="1" t="str">
        <f>"6917931779088416311"</f>
        <v>6917931779088416311</v>
      </c>
      <c r="F8672" s="1" t="str">
        <f t="shared" si="2456"/>
        <v>花都四部-凤凰仓</v>
      </c>
      <c r="G8672" s="1" t="str">
        <f t="shared" si="2460"/>
        <v>卡卡杜个人护理店（抖店）</v>
      </c>
      <c r="H8672" s="1" t="str">
        <f t="shared" si="2457"/>
        <v>正常订单</v>
      </c>
      <c r="I8672" s="1" t="str">
        <f t="shared" si="2458"/>
        <v>已发货</v>
      </c>
      <c r="J8672" s="1" t="str">
        <f t="shared" si="2461"/>
        <v>2</v>
      </c>
      <c r="K8672" s="1">
        <v>2</v>
      </c>
      <c r="L8672" s="1" t="s">
        <v>161</v>
      </c>
      <c r="M8672" s="1" t="str">
        <f>"四川省 成都市 都江堰市 奎光塔街道"</f>
        <v>四川省 成都市 都江堰市 奎光塔街道</v>
      </c>
      <c r="N8672" s="1" t="str">
        <f t="shared" si="2462"/>
        <v>凡华云仓-韵达-抖音</v>
      </c>
      <c r="O8672" s="5">
        <v>320161051000893</v>
      </c>
      <c r="P8672" s="6">
        <v>0.28000000000000003</v>
      </c>
      <c r="Q8672" s="11">
        <v>2</v>
      </c>
      <c r="R8672" s="11"/>
      <c r="S8672" s="11"/>
      <c r="T8672" s="11"/>
      <c r="U8672" s="11">
        <f t="shared" si="2452"/>
        <v>2</v>
      </c>
      <c r="W8672">
        <v>2.2000000000000002</v>
      </c>
      <c r="X8672" s="1" t="s">
        <v>161</v>
      </c>
    </row>
    <row r="8673" spans="1:24" x14ac:dyDescent="0.25">
      <c r="A8673" s="1" t="str">
        <f t="shared" si="2455"/>
        <v>卡卡杜-凤凰仓</v>
      </c>
      <c r="B8673" s="1" t="str">
        <f>"CK202410081963"</f>
        <v>CK202410081963</v>
      </c>
      <c r="C8673" s="1" t="str">
        <f>"DD2024100817202"</f>
        <v>DD2024100817202</v>
      </c>
      <c r="D8673" s="1" t="str">
        <f>"CK2024100813044"</f>
        <v>CK2024100813044</v>
      </c>
      <c r="E8673" s="1" t="str">
        <f>"6917934316073352510"</f>
        <v>6917934316073352510</v>
      </c>
      <c r="F8673" s="1" t="str">
        <f t="shared" si="2456"/>
        <v>花都四部-凤凰仓</v>
      </c>
      <c r="G8673" s="1" t="str">
        <f t="shared" si="2460"/>
        <v>卡卡杜个人护理店（抖店）</v>
      </c>
      <c r="H8673" s="1" t="str">
        <f t="shared" si="2457"/>
        <v>正常订单</v>
      </c>
      <c r="I8673" s="1" t="str">
        <f t="shared" si="2458"/>
        <v>已发货</v>
      </c>
      <c r="J8673" s="1" t="str">
        <f t="shared" si="2461"/>
        <v>2</v>
      </c>
      <c r="K8673" s="1">
        <v>1</v>
      </c>
      <c r="L8673" s="1" t="s">
        <v>105</v>
      </c>
      <c r="M8673" s="1" t="str">
        <f>"北京 北京市 通州区 永乐店镇"</f>
        <v>北京 北京市 通州区 永乐店镇</v>
      </c>
      <c r="N8673" s="1" t="str">
        <f t="shared" si="2462"/>
        <v>凡华云仓-韵达-抖音</v>
      </c>
      <c r="O8673" s="5">
        <v>320161051000790</v>
      </c>
      <c r="P8673" s="6">
        <v>0.33</v>
      </c>
      <c r="Q8673" s="11">
        <v>2.2999999999999998</v>
      </c>
      <c r="R8673" s="11"/>
      <c r="S8673" s="11"/>
      <c r="T8673" s="11"/>
      <c r="U8673" s="11">
        <f t="shared" si="2452"/>
        <v>2.2999999999999998</v>
      </c>
      <c r="W8673">
        <v>2.5</v>
      </c>
      <c r="X8673" s="1" t="s">
        <v>105</v>
      </c>
    </row>
    <row r="8674" spans="1:24" x14ac:dyDescent="0.25">
      <c r="A8674" s="1" t="str">
        <f t="shared" si="2455"/>
        <v>卡卡杜-凤凰仓</v>
      </c>
      <c r="B8674" s="1" t="str">
        <f>"CK202410081964"</f>
        <v>CK202410081964</v>
      </c>
      <c r="C8674" s="1" t="str">
        <f>"DD2024100817204"</f>
        <v>DD2024100817204</v>
      </c>
      <c r="D8674" s="1" t="str">
        <f>"CK2024100813043"</f>
        <v>CK2024100813043</v>
      </c>
      <c r="E8674" s="1" t="str">
        <f>"6917940861694541221"</f>
        <v>6917940861694541221</v>
      </c>
      <c r="F8674" s="1" t="str">
        <f t="shared" si="2456"/>
        <v>花都四部-凤凰仓</v>
      </c>
      <c r="G8674" s="1" t="str">
        <f t="shared" si="2460"/>
        <v>卡卡杜个人护理店（抖店）</v>
      </c>
      <c r="H8674" s="1" t="str">
        <f t="shared" si="2457"/>
        <v>正常订单</v>
      </c>
      <c r="I8674" s="1" t="str">
        <f t="shared" si="2458"/>
        <v>已发货</v>
      </c>
      <c r="J8674" s="1" t="str">
        <f t="shared" si="2461"/>
        <v>2</v>
      </c>
      <c r="K8674" s="1">
        <v>1</v>
      </c>
      <c r="L8674" s="1" t="s">
        <v>27</v>
      </c>
      <c r="M8674" s="1" t="str">
        <f>"贵州省 黔南布依族苗族自治州 福泉市 金山街道"</f>
        <v>贵州省 黔南布依族苗族自治州 福泉市 金山街道</v>
      </c>
      <c r="N8674" s="1" t="str">
        <f t="shared" si="2462"/>
        <v>凡华云仓-韵达-抖音</v>
      </c>
      <c r="O8674" s="5">
        <v>320161051000689</v>
      </c>
      <c r="P8674" s="6">
        <v>0.33</v>
      </c>
      <c r="Q8674" s="11">
        <v>2.2999999999999998</v>
      </c>
      <c r="R8674" s="11"/>
      <c r="S8674" s="11"/>
      <c r="T8674" s="11"/>
      <c r="U8674" s="11">
        <f t="shared" si="2452"/>
        <v>2.2999999999999998</v>
      </c>
      <c r="W8674">
        <v>2.5</v>
      </c>
      <c r="X8674" s="1" t="s">
        <v>27</v>
      </c>
    </row>
    <row r="8675" spans="1:24" x14ac:dyDescent="0.25">
      <c r="A8675" s="1" t="str">
        <f t="shared" si="2455"/>
        <v>卡卡杜-凤凰仓</v>
      </c>
      <c r="B8675" s="1" t="str">
        <f>"CK202410081965"</f>
        <v>CK202410081965</v>
      </c>
      <c r="C8675" s="1" t="str">
        <f>"DD2024100817205"</f>
        <v>DD2024100817205</v>
      </c>
      <c r="D8675" s="1" t="str">
        <f>"CK2024100813042"</f>
        <v>CK2024100813042</v>
      </c>
      <c r="E8675" s="1" t="str">
        <f>"6917931561407643375"</f>
        <v>6917931561407643375</v>
      </c>
      <c r="F8675" s="1" t="str">
        <f t="shared" si="2456"/>
        <v>花都四部-凤凰仓</v>
      </c>
      <c r="G8675" s="1" t="str">
        <f t="shared" si="2460"/>
        <v>卡卡杜个人护理店（抖店）</v>
      </c>
      <c r="H8675" s="1" t="str">
        <f t="shared" si="2457"/>
        <v>正常订单</v>
      </c>
      <c r="I8675" s="1" t="str">
        <f t="shared" si="2458"/>
        <v>已发货</v>
      </c>
      <c r="J8675" s="1" t="str">
        <f t="shared" si="2461"/>
        <v>2</v>
      </c>
      <c r="K8675" s="1">
        <v>1</v>
      </c>
      <c r="L8675" s="1" t="s">
        <v>18</v>
      </c>
      <c r="M8675" s="1" t="str">
        <f>"广东省 肇庆市 德庆县 德城街道"</f>
        <v>广东省 肇庆市 德庆县 德城街道</v>
      </c>
      <c r="N8675" s="1" t="str">
        <f t="shared" si="2462"/>
        <v>凡华云仓-韵达-抖音</v>
      </c>
      <c r="O8675" s="5">
        <v>320161051000590</v>
      </c>
      <c r="P8675" s="6">
        <v>0.33</v>
      </c>
      <c r="Q8675" s="11">
        <v>2.2999999999999998</v>
      </c>
      <c r="R8675" s="11"/>
      <c r="S8675" s="11"/>
      <c r="T8675" s="11"/>
      <c r="U8675" s="11">
        <f t="shared" si="2452"/>
        <v>2.2999999999999998</v>
      </c>
      <c r="W8675">
        <v>2.5</v>
      </c>
      <c r="X8675" s="1" t="s">
        <v>18</v>
      </c>
    </row>
    <row r="8676" spans="1:24" x14ac:dyDescent="0.25">
      <c r="A8676" s="1" t="str">
        <f t="shared" si="2455"/>
        <v>卡卡杜-凤凰仓</v>
      </c>
      <c r="B8676" s="1" t="str">
        <f>"CK202410081948"</f>
        <v>CK202410081948</v>
      </c>
      <c r="C8676" s="1" t="str">
        <f>"DD2024100817188"</f>
        <v>DD2024100817188</v>
      </c>
      <c r="D8676" s="1" t="str">
        <f>"CK2024100813041"</f>
        <v>CK2024100813041</v>
      </c>
      <c r="E8676" s="1" t="str">
        <f>"6917931227585412547"</f>
        <v>6917931227585412547</v>
      </c>
      <c r="F8676" s="1" t="str">
        <f t="shared" si="2456"/>
        <v>花都四部-凤凰仓</v>
      </c>
      <c r="G8676" s="1" t="str">
        <f t="shared" si="2460"/>
        <v>卡卡杜个人护理店（抖店）</v>
      </c>
      <c r="H8676" s="1" t="str">
        <f t="shared" si="2457"/>
        <v>正常订单</v>
      </c>
      <c r="I8676" s="1" t="str">
        <f t="shared" si="2458"/>
        <v>已发货</v>
      </c>
      <c r="J8676" s="1" t="str">
        <f t="shared" si="2461"/>
        <v>2</v>
      </c>
      <c r="K8676" s="1">
        <v>1</v>
      </c>
      <c r="L8676" s="1" t="s">
        <v>74</v>
      </c>
      <c r="M8676" s="1" t="str">
        <f>"上海 上海市 金山区 枫泾镇"</f>
        <v>上海 上海市 金山区 枫泾镇</v>
      </c>
      <c r="N8676" s="1" t="str">
        <f t="shared" si="2462"/>
        <v>凡华云仓-韵达-抖音</v>
      </c>
      <c r="O8676" s="5">
        <v>320161051000493</v>
      </c>
      <c r="P8676" s="6">
        <v>0.33</v>
      </c>
      <c r="Q8676" s="11">
        <v>2.2999999999999998</v>
      </c>
      <c r="R8676" s="11"/>
      <c r="S8676" s="11"/>
      <c r="T8676" s="11"/>
      <c r="U8676" s="11">
        <f t="shared" si="2452"/>
        <v>2.2999999999999998</v>
      </c>
      <c r="W8676">
        <v>2.5</v>
      </c>
      <c r="X8676" s="1" t="s">
        <v>74</v>
      </c>
    </row>
    <row r="8677" spans="1:24" x14ac:dyDescent="0.25">
      <c r="A8677" s="1" t="str">
        <f t="shared" si="2455"/>
        <v>卡卡杜-凤凰仓</v>
      </c>
      <c r="B8677" s="1" t="str">
        <f>"CK202410081957"</f>
        <v>CK202410081957</v>
      </c>
      <c r="C8677" s="1" t="str">
        <f>"DD2024100817197"</f>
        <v>DD2024100817197</v>
      </c>
      <c r="D8677" s="1" t="str">
        <f>"CK2024100813040"</f>
        <v>CK2024100813040</v>
      </c>
      <c r="E8677" s="1" t="str">
        <f>"6917940512047071123"</f>
        <v>6917940512047071123</v>
      </c>
      <c r="F8677" s="1" t="str">
        <f t="shared" si="2456"/>
        <v>花都四部-凤凰仓</v>
      </c>
      <c r="G8677" s="1" t="str">
        <f t="shared" si="2460"/>
        <v>卡卡杜个人护理店（抖店）</v>
      </c>
      <c r="H8677" s="1" t="str">
        <f t="shared" si="2457"/>
        <v>正常订单</v>
      </c>
      <c r="I8677" s="1" t="str">
        <f t="shared" si="2458"/>
        <v>已发货</v>
      </c>
      <c r="J8677" s="1" t="str">
        <f t="shared" si="2461"/>
        <v>2</v>
      </c>
      <c r="K8677" s="1">
        <v>1</v>
      </c>
      <c r="L8677" s="1" t="s">
        <v>18</v>
      </c>
      <c r="M8677" s="1" t="str">
        <f>"广东省 广州市 番禺区 洛浦街道"</f>
        <v>广东省 广州市 番禺区 洛浦街道</v>
      </c>
      <c r="N8677" s="1" t="str">
        <f t="shared" si="2462"/>
        <v>凡华云仓-韵达-抖音</v>
      </c>
      <c r="O8677" s="5">
        <v>320161051000398</v>
      </c>
      <c r="P8677" s="6">
        <v>0.33</v>
      </c>
      <c r="Q8677" s="11">
        <v>2.2999999999999998</v>
      </c>
      <c r="R8677" s="11"/>
      <c r="S8677" s="11"/>
      <c r="T8677" s="11"/>
      <c r="U8677" s="11">
        <f t="shared" si="2452"/>
        <v>2.2999999999999998</v>
      </c>
      <c r="W8677">
        <v>2.5</v>
      </c>
      <c r="X8677" s="1" t="s">
        <v>18</v>
      </c>
    </row>
    <row r="8678" spans="1:24" x14ac:dyDescent="0.25">
      <c r="A8678" s="1" t="str">
        <f t="shared" si="2455"/>
        <v>卡卡杜-凤凰仓</v>
      </c>
      <c r="B8678" s="1" t="str">
        <f>"CK202410082017"</f>
        <v>CK202410082017</v>
      </c>
      <c r="C8678" s="1" t="str">
        <f>"DD2024100817494"</f>
        <v>DD2024100817494</v>
      </c>
      <c r="D8678" s="1" t="str">
        <f>"CK2024100813039"</f>
        <v>CK2024100813039</v>
      </c>
      <c r="E8678" s="1" t="str">
        <f>"6917938319216704593"</f>
        <v>6917938319216704593</v>
      </c>
      <c r="F8678" s="1" t="str">
        <f t="shared" si="2456"/>
        <v>花都四部-凤凰仓</v>
      </c>
      <c r="G8678" s="1" t="str">
        <f t="shared" si="2460"/>
        <v>卡卡杜个人护理店（抖店）</v>
      </c>
      <c r="H8678" s="1" t="str">
        <f t="shared" si="2457"/>
        <v>正常订单</v>
      </c>
      <c r="I8678" s="1" t="str">
        <f t="shared" si="2458"/>
        <v>已发货</v>
      </c>
      <c r="J8678" s="1" t="str">
        <f t="shared" si="2461"/>
        <v>2</v>
      </c>
      <c r="K8678" s="1">
        <v>2</v>
      </c>
      <c r="L8678" s="1" t="s">
        <v>18</v>
      </c>
      <c r="M8678" s="1" t="str">
        <f>"广东省 广州市 天河区 前进街道"</f>
        <v>广东省 广州市 天河区 前进街道</v>
      </c>
      <c r="N8678" s="1" t="str">
        <f t="shared" si="2462"/>
        <v>凡华云仓-韵达-抖音</v>
      </c>
      <c r="O8678" s="5">
        <v>320161051000205</v>
      </c>
      <c r="P8678" s="6">
        <v>0.28000000000000003</v>
      </c>
      <c r="Q8678" s="11">
        <v>2</v>
      </c>
      <c r="R8678" s="11"/>
      <c r="S8678" s="11"/>
      <c r="T8678" s="11"/>
      <c r="U8678" s="11">
        <f t="shared" si="2452"/>
        <v>2</v>
      </c>
      <c r="W8678">
        <v>2.2000000000000002</v>
      </c>
      <c r="X8678" s="1" t="s">
        <v>18</v>
      </c>
    </row>
    <row r="8679" spans="1:24" x14ac:dyDescent="0.25">
      <c r="A8679" s="1" t="str">
        <f t="shared" si="2455"/>
        <v>卡卡杜-凤凰仓</v>
      </c>
      <c r="B8679" s="1" t="str">
        <f>"CK202410081945"</f>
        <v>CK202410081945</v>
      </c>
      <c r="C8679" s="1" t="str">
        <f>"DD2024100817185"</f>
        <v>DD2024100817185</v>
      </c>
      <c r="D8679" s="1" t="str">
        <f>"CK2024100813038"</f>
        <v>CK2024100813038</v>
      </c>
      <c r="E8679" s="1" t="str">
        <f>"6917940355994976098"</f>
        <v>6917940355994976098</v>
      </c>
      <c r="F8679" s="1" t="str">
        <f t="shared" si="2456"/>
        <v>花都四部-凤凰仓</v>
      </c>
      <c r="G8679" s="1" t="str">
        <f t="shared" si="2460"/>
        <v>卡卡杜个人护理店（抖店）</v>
      </c>
      <c r="H8679" s="1" t="str">
        <f t="shared" si="2457"/>
        <v>正常订单</v>
      </c>
      <c r="I8679" s="1" t="str">
        <f t="shared" si="2458"/>
        <v>已发货</v>
      </c>
      <c r="J8679" s="1" t="str">
        <f t="shared" si="2461"/>
        <v>2</v>
      </c>
      <c r="K8679" s="1">
        <v>1</v>
      </c>
      <c r="L8679" s="1" t="s">
        <v>109</v>
      </c>
      <c r="M8679" s="1" t="str">
        <f>"山西省 太原市 小店区 营盘街道"</f>
        <v>山西省 太原市 小店区 营盘街道</v>
      </c>
      <c r="N8679" s="1" t="str">
        <f t="shared" si="2462"/>
        <v>凡华云仓-韵达-抖音</v>
      </c>
      <c r="O8679" s="5">
        <v>320161048167998</v>
      </c>
      <c r="P8679" s="6">
        <v>0.33</v>
      </c>
      <c r="Q8679" s="11">
        <v>2.2999999999999998</v>
      </c>
      <c r="R8679" s="11"/>
      <c r="S8679" s="11"/>
      <c r="T8679" s="11"/>
      <c r="U8679" s="11">
        <f t="shared" si="2452"/>
        <v>2.2999999999999998</v>
      </c>
      <c r="W8679">
        <v>2.5</v>
      </c>
      <c r="X8679" s="1" t="s">
        <v>109</v>
      </c>
    </row>
    <row r="8680" spans="1:24" x14ac:dyDescent="0.25">
      <c r="A8680" s="1" t="str">
        <f t="shared" si="2455"/>
        <v>卡卡杜-凤凰仓</v>
      </c>
      <c r="B8680" s="1" t="str">
        <f>"CK202410081935"</f>
        <v>CK202410081935</v>
      </c>
      <c r="C8680" s="1" t="str">
        <f>"DD2024100817174"</f>
        <v>DD2024100817174</v>
      </c>
      <c r="D8680" s="1" t="str">
        <f>"CK2024100813037"</f>
        <v>CK2024100813037</v>
      </c>
      <c r="E8680" s="1" t="str">
        <f>"6917938237668753267"</f>
        <v>6917938237668753267</v>
      </c>
      <c r="F8680" s="1" t="str">
        <f t="shared" si="2456"/>
        <v>花都四部-凤凰仓</v>
      </c>
      <c r="G8680" s="1" t="str">
        <f t="shared" si="2460"/>
        <v>卡卡杜个人护理店（抖店）</v>
      </c>
      <c r="H8680" s="1" t="str">
        <f t="shared" si="2457"/>
        <v>正常订单</v>
      </c>
      <c r="I8680" s="1" t="str">
        <f t="shared" si="2458"/>
        <v>已发货</v>
      </c>
      <c r="J8680" s="1" t="str">
        <f t="shared" si="2461"/>
        <v>2</v>
      </c>
      <c r="K8680" s="1">
        <v>1</v>
      </c>
      <c r="L8680" s="1" t="s">
        <v>24</v>
      </c>
      <c r="M8680" s="1" t="str">
        <f>"福建省 福州市 罗源县 凤山镇"</f>
        <v>福建省 福州市 罗源县 凤山镇</v>
      </c>
      <c r="N8680" s="1" t="str">
        <f t="shared" si="2462"/>
        <v>凡华云仓-韵达-抖音</v>
      </c>
      <c r="O8680" s="5">
        <v>320161048167893</v>
      </c>
      <c r="P8680" s="6">
        <v>0.33</v>
      </c>
      <c r="Q8680" s="11">
        <v>2.2999999999999998</v>
      </c>
      <c r="R8680" s="11"/>
      <c r="S8680" s="11"/>
      <c r="T8680" s="11"/>
      <c r="U8680" s="11">
        <f t="shared" si="2452"/>
        <v>2.2999999999999998</v>
      </c>
      <c r="W8680">
        <v>2.5</v>
      </c>
      <c r="X8680" s="1" t="s">
        <v>24</v>
      </c>
    </row>
    <row r="8681" spans="1:24" x14ac:dyDescent="0.25">
      <c r="A8681" s="1" t="str">
        <f t="shared" si="2455"/>
        <v>卡卡杜-凤凰仓</v>
      </c>
      <c r="B8681" s="1" t="str">
        <f>"CK202410081944"</f>
        <v>CK202410081944</v>
      </c>
      <c r="C8681" s="1" t="str">
        <f>"DD2024100817184"</f>
        <v>DD2024100817184</v>
      </c>
      <c r="D8681" s="1" t="str">
        <f>"CK2024100813036"</f>
        <v>CK2024100813036</v>
      </c>
      <c r="E8681" s="1" t="str">
        <f>"6917931294400085412"</f>
        <v>6917931294400085412</v>
      </c>
      <c r="F8681" s="1" t="str">
        <f t="shared" si="2456"/>
        <v>花都四部-凤凰仓</v>
      </c>
      <c r="G8681" s="1" t="str">
        <f t="shared" si="2460"/>
        <v>卡卡杜个人护理店（抖店）</v>
      </c>
      <c r="H8681" s="1" t="str">
        <f t="shared" si="2457"/>
        <v>正常订单</v>
      </c>
      <c r="I8681" s="1" t="str">
        <f t="shared" si="2458"/>
        <v>已发货</v>
      </c>
      <c r="J8681" s="1" t="str">
        <f t="shared" si="2461"/>
        <v>2</v>
      </c>
      <c r="K8681" s="1">
        <v>1</v>
      </c>
      <c r="L8681" s="1" t="s">
        <v>60</v>
      </c>
      <c r="M8681" s="1" t="str">
        <f>"云南省 西双版纳傣族自治州 勐腊县 勐仑镇"</f>
        <v>云南省 西双版纳傣族自治州 勐腊县 勐仑镇</v>
      </c>
      <c r="N8681" s="1" t="str">
        <f t="shared" si="2462"/>
        <v>凡华云仓-韵达-抖音</v>
      </c>
      <c r="O8681" s="5">
        <v>320161048167790</v>
      </c>
      <c r="P8681" s="6">
        <v>0.33</v>
      </c>
      <c r="Q8681" s="11">
        <v>2.2999999999999998</v>
      </c>
      <c r="R8681" s="11"/>
      <c r="S8681" s="11"/>
      <c r="T8681" s="11"/>
      <c r="U8681" s="11">
        <f t="shared" si="2452"/>
        <v>2.2999999999999998</v>
      </c>
      <c r="W8681">
        <v>2.5</v>
      </c>
      <c r="X8681" s="1" t="s">
        <v>60</v>
      </c>
    </row>
    <row r="8682" spans="1:24" x14ac:dyDescent="0.25">
      <c r="A8682" s="1" t="str">
        <f t="shared" si="2455"/>
        <v>卡卡杜-凤凰仓</v>
      </c>
      <c r="B8682" s="1" t="str">
        <f>"CK202410081927"</f>
        <v>CK202410081927</v>
      </c>
      <c r="C8682" s="1" t="str">
        <f>"DD2024100817167"</f>
        <v>DD2024100817167</v>
      </c>
      <c r="D8682" s="1" t="str">
        <f>"CK2024100813035"</f>
        <v>CK2024100813035</v>
      </c>
      <c r="E8682" s="1" t="str">
        <f>"6917935956089339664"</f>
        <v>6917935956089339664</v>
      </c>
      <c r="F8682" s="1" t="str">
        <f t="shared" si="2456"/>
        <v>花都四部-凤凰仓</v>
      </c>
      <c r="G8682" s="1" t="str">
        <f t="shared" si="2460"/>
        <v>卡卡杜个人护理店（抖店）</v>
      </c>
      <c r="H8682" s="1" t="str">
        <f t="shared" si="2457"/>
        <v>正常订单</v>
      </c>
      <c r="I8682" s="1" t="str">
        <f t="shared" si="2458"/>
        <v>已发货</v>
      </c>
      <c r="J8682" s="1" t="str">
        <f t="shared" si="2461"/>
        <v>2</v>
      </c>
      <c r="K8682" s="1">
        <v>1</v>
      </c>
      <c r="L8682" s="1" t="s">
        <v>20</v>
      </c>
      <c r="M8682" s="1" t="str">
        <f>"浙江省 衢州市 柯城区 双港街道"</f>
        <v>浙江省 衢州市 柯城区 双港街道</v>
      </c>
      <c r="N8682" s="1" t="str">
        <f t="shared" si="2462"/>
        <v>凡华云仓-韵达-抖音</v>
      </c>
      <c r="O8682" s="5">
        <v>320161048167689</v>
      </c>
      <c r="P8682" s="6">
        <v>0.33</v>
      </c>
      <c r="Q8682" s="11">
        <v>2.2999999999999998</v>
      </c>
      <c r="R8682" s="11"/>
      <c r="S8682" s="11"/>
      <c r="T8682" s="11"/>
      <c r="U8682" s="11">
        <f t="shared" si="2452"/>
        <v>2.2999999999999998</v>
      </c>
      <c r="W8682">
        <v>2.5</v>
      </c>
      <c r="X8682" s="1" t="s">
        <v>20</v>
      </c>
    </row>
    <row r="8683" spans="1:24" x14ac:dyDescent="0.25">
      <c r="A8683" s="1" t="str">
        <f t="shared" si="2455"/>
        <v>卡卡杜-凤凰仓</v>
      </c>
      <c r="B8683" s="1" t="str">
        <f>"CK202410081928"</f>
        <v>CK202410081928</v>
      </c>
      <c r="C8683" s="1" t="str">
        <f>"DD2024100817168"</f>
        <v>DD2024100817168</v>
      </c>
      <c r="D8683" s="1" t="str">
        <f>"CK2024100813034"</f>
        <v>CK2024100813034</v>
      </c>
      <c r="E8683" s="1" t="str">
        <f>"6917932898813967463"</f>
        <v>6917932898813967463</v>
      </c>
      <c r="F8683" s="1" t="str">
        <f t="shared" si="2456"/>
        <v>花都四部-凤凰仓</v>
      </c>
      <c r="G8683" s="1" t="str">
        <f t="shared" si="2460"/>
        <v>卡卡杜个人护理店（抖店）</v>
      </c>
      <c r="H8683" s="1" t="str">
        <f t="shared" si="2457"/>
        <v>正常订单</v>
      </c>
      <c r="I8683" s="1" t="str">
        <f t="shared" si="2458"/>
        <v>已发货</v>
      </c>
      <c r="J8683" s="1" t="str">
        <f t="shared" si="2461"/>
        <v>2</v>
      </c>
      <c r="K8683" s="1">
        <v>1</v>
      </c>
      <c r="L8683" s="1" t="s">
        <v>13</v>
      </c>
      <c r="M8683" s="1" t="str">
        <f>"江苏省 盐城市 大丰区 "</f>
        <v xml:space="preserve">江苏省 盐城市 大丰区 </v>
      </c>
      <c r="N8683" s="1" t="str">
        <f t="shared" si="2462"/>
        <v>凡华云仓-韵达-抖音</v>
      </c>
      <c r="O8683" s="5">
        <v>320161048167590</v>
      </c>
      <c r="P8683" s="6">
        <v>0.33</v>
      </c>
      <c r="Q8683" s="11">
        <v>2.2999999999999998</v>
      </c>
      <c r="R8683" s="11"/>
      <c r="S8683" s="11"/>
      <c r="T8683" s="11"/>
      <c r="U8683" s="11">
        <f t="shared" si="2452"/>
        <v>2.2999999999999998</v>
      </c>
      <c r="W8683">
        <v>2.5</v>
      </c>
      <c r="X8683" s="1" t="s">
        <v>13</v>
      </c>
    </row>
    <row r="8684" spans="1:24" x14ac:dyDescent="0.25">
      <c r="A8684" s="1" t="str">
        <f t="shared" si="2455"/>
        <v>卡卡杜-凤凰仓</v>
      </c>
      <c r="B8684" s="1" t="str">
        <f>"CK202410081929"</f>
        <v>CK202410081929</v>
      </c>
      <c r="C8684" s="1" t="str">
        <f>"DD2024100817169"</f>
        <v>DD2024100817169</v>
      </c>
      <c r="D8684" s="1" t="str">
        <f>"CK2024100813033"</f>
        <v>CK2024100813033</v>
      </c>
      <c r="E8684" s="1" t="str">
        <f>"6917931265078688878"</f>
        <v>6917931265078688878</v>
      </c>
      <c r="F8684" s="1" t="str">
        <f t="shared" si="2456"/>
        <v>花都四部-凤凰仓</v>
      </c>
      <c r="G8684" s="1" t="str">
        <f t="shared" si="2460"/>
        <v>卡卡杜个人护理店（抖店）</v>
      </c>
      <c r="H8684" s="1" t="str">
        <f t="shared" si="2457"/>
        <v>正常订单</v>
      </c>
      <c r="I8684" s="1" t="str">
        <f t="shared" si="2458"/>
        <v>已发货</v>
      </c>
      <c r="J8684" s="1" t="str">
        <f t="shared" si="2461"/>
        <v>2</v>
      </c>
      <c r="K8684" s="1">
        <v>1</v>
      </c>
      <c r="L8684" s="1" t="s">
        <v>32</v>
      </c>
      <c r="M8684" s="1" t="str">
        <f>"陕西省 汉中市 西乡县 城北街道"</f>
        <v>陕西省 汉中市 西乡县 城北街道</v>
      </c>
      <c r="N8684" s="1" t="str">
        <f t="shared" si="2462"/>
        <v>凡华云仓-韵达-抖音</v>
      </c>
      <c r="O8684" s="5">
        <v>320161048167493</v>
      </c>
      <c r="P8684" s="6">
        <v>0.33</v>
      </c>
      <c r="Q8684" s="11">
        <v>2.2999999999999998</v>
      </c>
      <c r="R8684" s="11"/>
      <c r="S8684" s="11"/>
      <c r="T8684" s="11"/>
      <c r="U8684" s="11">
        <f t="shared" si="2452"/>
        <v>2.2999999999999998</v>
      </c>
      <c r="W8684">
        <v>2.5</v>
      </c>
      <c r="X8684" s="1" t="s">
        <v>32</v>
      </c>
    </row>
    <row r="8685" spans="1:24" x14ac:dyDescent="0.25">
      <c r="A8685" s="1" t="str">
        <f t="shared" si="2455"/>
        <v>卡卡杜-凤凰仓</v>
      </c>
      <c r="B8685" s="1" t="str">
        <f>"CK202410081930"</f>
        <v>CK202410081930</v>
      </c>
      <c r="C8685" s="1" t="str">
        <f>"DD2024100817175"</f>
        <v>DD2024100817175</v>
      </c>
      <c r="D8685" s="1" t="str">
        <f>"CK2024100813032"</f>
        <v>CK2024100813032</v>
      </c>
      <c r="E8685" s="1" t="str">
        <f>"6917930842899578308"</f>
        <v>6917930842899578308</v>
      </c>
      <c r="F8685" s="1" t="str">
        <f t="shared" si="2456"/>
        <v>花都四部-凤凰仓</v>
      </c>
      <c r="G8685" s="1" t="str">
        <f t="shared" si="2460"/>
        <v>卡卡杜个人护理店（抖店）</v>
      </c>
      <c r="H8685" s="1" t="str">
        <f t="shared" si="2457"/>
        <v>正常订单</v>
      </c>
      <c r="I8685" s="1" t="str">
        <f t="shared" si="2458"/>
        <v>已发货</v>
      </c>
      <c r="J8685" s="1" t="str">
        <f t="shared" si="2461"/>
        <v>2</v>
      </c>
      <c r="K8685" s="1">
        <v>1</v>
      </c>
      <c r="L8685" s="1" t="s">
        <v>18</v>
      </c>
      <c r="M8685" s="1" t="str">
        <f>"广东省 深圳市 宝安区 航城街道"</f>
        <v>广东省 深圳市 宝安区 航城街道</v>
      </c>
      <c r="N8685" s="1" t="str">
        <f t="shared" si="2462"/>
        <v>凡华云仓-韵达-抖音</v>
      </c>
      <c r="O8685" s="5">
        <v>320161048167398</v>
      </c>
      <c r="P8685" s="6">
        <v>0.33</v>
      </c>
      <c r="Q8685" s="11">
        <v>2.2999999999999998</v>
      </c>
      <c r="R8685" s="11"/>
      <c r="S8685" s="11"/>
      <c r="T8685" s="11"/>
      <c r="U8685" s="11">
        <f t="shared" si="2452"/>
        <v>2.2999999999999998</v>
      </c>
      <c r="W8685">
        <v>2.5</v>
      </c>
      <c r="X8685" s="1" t="s">
        <v>18</v>
      </c>
    </row>
    <row r="8686" spans="1:24" x14ac:dyDescent="0.25">
      <c r="A8686" s="1" t="str">
        <f t="shared" si="2455"/>
        <v>卡卡杜-凤凰仓</v>
      </c>
      <c r="B8686" s="1" t="str">
        <f>"CK202410081931"</f>
        <v>CK202410081931</v>
      </c>
      <c r="C8686" s="1" t="str">
        <f>"DD2024100817170"</f>
        <v>DD2024100817170</v>
      </c>
      <c r="D8686" s="1" t="str">
        <f>"CK2024100813031"</f>
        <v>CK2024100813031</v>
      </c>
      <c r="E8686" s="1" t="str">
        <f>"6917933545208577509"</f>
        <v>6917933545208577509</v>
      </c>
      <c r="F8686" s="1" t="str">
        <f t="shared" si="2456"/>
        <v>花都四部-凤凰仓</v>
      </c>
      <c r="G8686" s="1" t="str">
        <f t="shared" si="2460"/>
        <v>卡卡杜个人护理店（抖店）</v>
      </c>
      <c r="H8686" s="1" t="str">
        <f t="shared" si="2457"/>
        <v>正常订单</v>
      </c>
      <c r="I8686" s="1" t="str">
        <f t="shared" si="2458"/>
        <v>已发货</v>
      </c>
      <c r="J8686" s="1" t="str">
        <f t="shared" si="2461"/>
        <v>2</v>
      </c>
      <c r="K8686" s="1">
        <v>1</v>
      </c>
      <c r="L8686" s="1" t="s">
        <v>13</v>
      </c>
      <c r="M8686" s="1" t="str">
        <f>"江苏省 连云港市 海州区 新浦街道"</f>
        <v>江苏省 连云港市 海州区 新浦街道</v>
      </c>
      <c r="N8686" s="1" t="str">
        <f t="shared" si="2462"/>
        <v>凡华云仓-韵达-抖音</v>
      </c>
      <c r="O8686" s="5">
        <v>320161048167205</v>
      </c>
      <c r="P8686" s="6">
        <v>0.33</v>
      </c>
      <c r="Q8686" s="11">
        <v>2.2999999999999998</v>
      </c>
      <c r="R8686" s="11"/>
      <c r="S8686" s="11"/>
      <c r="T8686" s="11"/>
      <c r="U8686" s="11">
        <f t="shared" si="2452"/>
        <v>2.2999999999999998</v>
      </c>
      <c r="W8686">
        <v>2.5</v>
      </c>
      <c r="X8686" s="1" t="s">
        <v>13</v>
      </c>
    </row>
    <row r="8687" spans="1:24" x14ac:dyDescent="0.25">
      <c r="A8687" s="1" t="str">
        <f t="shared" si="2455"/>
        <v>卡卡杜-凤凰仓</v>
      </c>
      <c r="B8687" s="1" t="str">
        <f>"CK202410081932"</f>
        <v>CK202410081932</v>
      </c>
      <c r="C8687" s="1" t="str">
        <f>"DD2024100817171"</f>
        <v>DD2024100817171</v>
      </c>
      <c r="D8687" s="1" t="str">
        <f>"CK2024100813030"</f>
        <v>CK2024100813030</v>
      </c>
      <c r="E8687" s="1" t="str">
        <f>"6917933454481653434"</f>
        <v>6917933454481653434</v>
      </c>
      <c r="F8687" s="1" t="str">
        <f t="shared" si="2456"/>
        <v>花都四部-凤凰仓</v>
      </c>
      <c r="G8687" s="1" t="str">
        <f t="shared" si="2460"/>
        <v>卡卡杜个人护理店（抖店）</v>
      </c>
      <c r="H8687" s="1" t="str">
        <f t="shared" si="2457"/>
        <v>正常订单</v>
      </c>
      <c r="I8687" s="1" t="str">
        <f t="shared" si="2458"/>
        <v>已发货</v>
      </c>
      <c r="J8687" s="1" t="str">
        <f t="shared" si="2461"/>
        <v>2</v>
      </c>
      <c r="K8687" s="1">
        <v>1</v>
      </c>
      <c r="L8687" s="1" t="s">
        <v>16</v>
      </c>
      <c r="M8687" s="1" t="str">
        <f>"河北省 石家庄市 长安区 广安街道"</f>
        <v>河北省 石家庄市 长安区 广安街道</v>
      </c>
      <c r="N8687" s="1" t="str">
        <f t="shared" si="2462"/>
        <v>凡华云仓-韵达-抖音</v>
      </c>
      <c r="O8687" s="5">
        <v>320161048167114</v>
      </c>
      <c r="P8687" s="6">
        <v>0.33</v>
      </c>
      <c r="Q8687" s="11">
        <v>2.2999999999999998</v>
      </c>
      <c r="R8687" s="11"/>
      <c r="S8687" s="11"/>
      <c r="T8687" s="11"/>
      <c r="U8687" s="11">
        <f t="shared" si="2452"/>
        <v>2.2999999999999998</v>
      </c>
      <c r="W8687">
        <v>2.5</v>
      </c>
      <c r="X8687" s="1" t="s">
        <v>16</v>
      </c>
    </row>
    <row r="8688" spans="1:24" x14ac:dyDescent="0.25">
      <c r="A8688" s="1" t="str">
        <f t="shared" si="2455"/>
        <v>卡卡杜-凤凰仓</v>
      </c>
      <c r="B8688" s="1" t="str">
        <f>"CK202410081933"</f>
        <v>CK202410081933</v>
      </c>
      <c r="C8688" s="1" t="str">
        <f>"DD2024100817172"</f>
        <v>DD2024100817172</v>
      </c>
      <c r="D8688" s="1" t="str">
        <f>"CK2024100813029"</f>
        <v>CK2024100813029</v>
      </c>
      <c r="E8688" s="1" t="str">
        <f>"6917937992213560638"</f>
        <v>6917937992213560638</v>
      </c>
      <c r="F8688" s="1" t="str">
        <f t="shared" si="2456"/>
        <v>花都四部-凤凰仓</v>
      </c>
      <c r="G8688" s="1" t="str">
        <f t="shared" si="2460"/>
        <v>卡卡杜个人护理店（抖店）</v>
      </c>
      <c r="H8688" s="1" t="str">
        <f t="shared" si="2457"/>
        <v>正常订单</v>
      </c>
      <c r="I8688" s="1" t="str">
        <f t="shared" si="2458"/>
        <v>已发货</v>
      </c>
      <c r="J8688" s="1" t="str">
        <f t="shared" si="2461"/>
        <v>2</v>
      </c>
      <c r="K8688" s="1">
        <v>1</v>
      </c>
      <c r="L8688" s="1" t="s">
        <v>27</v>
      </c>
      <c r="M8688" s="1" t="str">
        <f>"贵州省 铜仁市 思南县 长坝镇"</f>
        <v>贵州省 铜仁市 思南县 长坝镇</v>
      </c>
      <c r="N8688" s="1" t="str">
        <f t="shared" si="2462"/>
        <v>凡华云仓-韵达-抖音</v>
      </c>
      <c r="O8688" s="5">
        <v>320161048167025</v>
      </c>
      <c r="P8688" s="6">
        <v>0.33</v>
      </c>
      <c r="Q8688" s="11">
        <v>2.2999999999999998</v>
      </c>
      <c r="R8688" s="11"/>
      <c r="S8688" s="11"/>
      <c r="T8688" s="11"/>
      <c r="U8688" s="11">
        <f t="shared" si="2452"/>
        <v>2.2999999999999998</v>
      </c>
      <c r="W8688">
        <v>2.5</v>
      </c>
      <c r="X8688" s="1" t="s">
        <v>27</v>
      </c>
    </row>
    <row r="8689" spans="1:24" x14ac:dyDescent="0.25">
      <c r="A8689" s="1" t="str">
        <f t="shared" si="2455"/>
        <v>卡卡杜-凤凰仓</v>
      </c>
      <c r="B8689" s="1" t="str">
        <f>"CK202410081925"</f>
        <v>CK202410081925</v>
      </c>
      <c r="C8689" s="1" t="str">
        <f>"DD2024100817165"</f>
        <v>DD2024100817165</v>
      </c>
      <c r="D8689" s="1" t="str">
        <f>"CK2024100813028"</f>
        <v>CK2024100813028</v>
      </c>
      <c r="E8689" s="1" t="str">
        <f>"6917935613626907701"</f>
        <v>6917935613626907701</v>
      </c>
      <c r="F8689" s="1" t="str">
        <f t="shared" si="2456"/>
        <v>花都四部-凤凰仓</v>
      </c>
      <c r="G8689" s="1" t="str">
        <f t="shared" si="2460"/>
        <v>卡卡杜个人护理店（抖店）</v>
      </c>
      <c r="H8689" s="1" t="str">
        <f t="shared" si="2457"/>
        <v>正常订单</v>
      </c>
      <c r="I8689" s="1" t="str">
        <f t="shared" si="2458"/>
        <v>已发货</v>
      </c>
      <c r="J8689" s="1" t="str">
        <f t="shared" si="2461"/>
        <v>2</v>
      </c>
      <c r="K8689" s="1">
        <v>1</v>
      </c>
      <c r="L8689" s="1" t="s">
        <v>94</v>
      </c>
      <c r="M8689" s="1" t="str">
        <f>"湖南省 怀化市 新晃侗族自治县 "</f>
        <v xml:space="preserve">湖南省 怀化市 新晃侗族自治县 </v>
      </c>
      <c r="N8689" s="1" t="str">
        <f t="shared" si="2462"/>
        <v>凡华云仓-韵达-抖音</v>
      </c>
      <c r="O8689" s="5">
        <v>320161043315128</v>
      </c>
      <c r="P8689" s="6">
        <v>0.33</v>
      </c>
      <c r="Q8689" s="11">
        <v>2.2999999999999998</v>
      </c>
      <c r="R8689" s="11"/>
      <c r="S8689" s="11"/>
      <c r="T8689" s="11"/>
      <c r="U8689" s="11">
        <f t="shared" si="2452"/>
        <v>2.2999999999999998</v>
      </c>
      <c r="W8689">
        <v>2.5</v>
      </c>
      <c r="X8689" s="1" t="s">
        <v>94</v>
      </c>
    </row>
    <row r="8690" spans="1:24" x14ac:dyDescent="0.25">
      <c r="A8690" s="1" t="str">
        <f t="shared" si="2455"/>
        <v>卡卡杜-凤凰仓</v>
      </c>
      <c r="B8690" s="1" t="str">
        <f>"CK202410081934"</f>
        <v>CK202410081934</v>
      </c>
      <c r="C8690" s="1" t="str">
        <f>"DD2024100817173"</f>
        <v>DD2024100817173</v>
      </c>
      <c r="D8690" s="1" t="str">
        <f>"CK2024100813027"</f>
        <v>CK2024100813027</v>
      </c>
      <c r="E8690" s="1" t="str">
        <f>"6917935749341281375"</f>
        <v>6917935749341281375</v>
      </c>
      <c r="F8690" s="1" t="str">
        <f t="shared" si="2456"/>
        <v>花都四部-凤凰仓</v>
      </c>
      <c r="G8690" s="1" t="str">
        <f t="shared" si="2460"/>
        <v>卡卡杜个人护理店（抖店）</v>
      </c>
      <c r="H8690" s="1" t="str">
        <f t="shared" si="2457"/>
        <v>正常订单</v>
      </c>
      <c r="I8690" s="1" t="str">
        <f t="shared" si="2458"/>
        <v>已发货</v>
      </c>
      <c r="J8690" s="1" t="str">
        <f t="shared" si="2461"/>
        <v>2</v>
      </c>
      <c r="K8690" s="1">
        <v>1</v>
      </c>
      <c r="L8690" s="1" t="s">
        <v>18</v>
      </c>
      <c r="M8690" s="1" t="str">
        <f>"广东省 东莞市 东莞市 大朗镇"</f>
        <v>广东省 东莞市 东莞市 大朗镇</v>
      </c>
      <c r="N8690" s="1" t="str">
        <f t="shared" si="2462"/>
        <v>凡华云仓-韵达-抖音</v>
      </c>
      <c r="O8690" s="5">
        <v>320161043315039</v>
      </c>
      <c r="P8690" s="6">
        <v>0.33</v>
      </c>
      <c r="Q8690" s="11">
        <v>2.2999999999999998</v>
      </c>
      <c r="R8690" s="11"/>
      <c r="S8690" s="11"/>
      <c r="T8690" s="11"/>
      <c r="U8690" s="11">
        <f t="shared" si="2452"/>
        <v>2.2999999999999998</v>
      </c>
      <c r="W8690">
        <v>2.5</v>
      </c>
      <c r="X8690" s="1" t="s">
        <v>18</v>
      </c>
    </row>
    <row r="8691" spans="1:24" x14ac:dyDescent="0.25">
      <c r="A8691" s="1" t="str">
        <f t="shared" si="2455"/>
        <v>卡卡杜-凤凰仓</v>
      </c>
      <c r="B8691" s="1" t="str">
        <f>"CK202410081936"</f>
        <v>CK202410081936</v>
      </c>
      <c r="C8691" s="1" t="str">
        <f>"DD2024100817176"</f>
        <v>DD2024100817176</v>
      </c>
      <c r="D8691" s="1" t="str">
        <f>"CK2024100813026"</f>
        <v>CK2024100813026</v>
      </c>
      <c r="E8691" s="1" t="str">
        <f>"6917940168860007489"</f>
        <v>6917940168860007489</v>
      </c>
      <c r="F8691" s="1" t="str">
        <f t="shared" si="2456"/>
        <v>花都四部-凤凰仓</v>
      </c>
      <c r="G8691" s="1" t="str">
        <f t="shared" si="2460"/>
        <v>卡卡杜个人护理店（抖店）</v>
      </c>
      <c r="H8691" s="1" t="str">
        <f t="shared" si="2457"/>
        <v>正常订单</v>
      </c>
      <c r="I8691" s="1" t="str">
        <f t="shared" si="2458"/>
        <v>已发货</v>
      </c>
      <c r="J8691" s="1" t="str">
        <f t="shared" si="2461"/>
        <v>2</v>
      </c>
      <c r="K8691" s="1">
        <v>1</v>
      </c>
      <c r="L8691" s="1" t="s">
        <v>161</v>
      </c>
      <c r="M8691" s="1" t="str">
        <f>"四川省 巴中市 巴州区 兴文街道"</f>
        <v>四川省 巴中市 巴州区 兴文街道</v>
      </c>
      <c r="N8691" s="1" t="str">
        <f t="shared" si="2462"/>
        <v>凡华云仓-韵达-抖音</v>
      </c>
      <c r="O8691" s="5">
        <v>320161043314915</v>
      </c>
      <c r="P8691" s="6">
        <v>0.33</v>
      </c>
      <c r="Q8691" s="11">
        <v>2.2999999999999998</v>
      </c>
      <c r="R8691" s="11"/>
      <c r="S8691" s="11"/>
      <c r="T8691" s="11"/>
      <c r="U8691" s="11">
        <f t="shared" si="2452"/>
        <v>2.2999999999999998</v>
      </c>
      <c r="W8691">
        <v>2.5</v>
      </c>
      <c r="X8691" s="1" t="s">
        <v>161</v>
      </c>
    </row>
    <row r="8692" spans="1:24" x14ac:dyDescent="0.25">
      <c r="A8692" s="1" t="str">
        <f t="shared" si="2455"/>
        <v>卡卡杜-凤凰仓</v>
      </c>
      <c r="B8692" s="1" t="str">
        <f>"CK202410081937"</f>
        <v>CK202410081937</v>
      </c>
      <c r="C8692" s="1" t="str">
        <f>"DD2024100817177"</f>
        <v>DD2024100817177</v>
      </c>
      <c r="D8692" s="1" t="str">
        <f>"CK2024100813025"</f>
        <v>CK2024100813025</v>
      </c>
      <c r="E8692" s="1" t="str">
        <f>"6917937947496119823"</f>
        <v>6917937947496119823</v>
      </c>
      <c r="F8692" s="1" t="str">
        <f t="shared" si="2456"/>
        <v>花都四部-凤凰仓</v>
      </c>
      <c r="G8692" s="1" t="str">
        <f t="shared" si="2460"/>
        <v>卡卡杜个人护理店（抖店）</v>
      </c>
      <c r="H8692" s="1" t="str">
        <f t="shared" si="2457"/>
        <v>正常订单</v>
      </c>
      <c r="I8692" s="1" t="str">
        <f t="shared" si="2458"/>
        <v>已发货</v>
      </c>
      <c r="J8692" s="1" t="str">
        <f t="shared" si="2461"/>
        <v>2</v>
      </c>
      <c r="K8692" s="1">
        <v>1</v>
      </c>
      <c r="L8692" s="1" t="s">
        <v>94</v>
      </c>
      <c r="M8692" s="1" t="str">
        <f>"湖南省 郴州市 安仁县 永乐江镇"</f>
        <v>湖南省 郴州市 安仁县 永乐江镇</v>
      </c>
      <c r="N8692" s="1" t="str">
        <f t="shared" si="2462"/>
        <v>凡华云仓-韵达-抖音</v>
      </c>
      <c r="O8692" s="5">
        <v>320161043314810</v>
      </c>
      <c r="P8692" s="6">
        <v>0.33</v>
      </c>
      <c r="Q8692" s="11">
        <v>2.2999999999999998</v>
      </c>
      <c r="R8692" s="11"/>
      <c r="S8692" s="11"/>
      <c r="T8692" s="11"/>
      <c r="U8692" s="11">
        <f t="shared" si="2452"/>
        <v>2.2999999999999998</v>
      </c>
      <c r="W8692">
        <v>2.5</v>
      </c>
      <c r="X8692" s="1" t="s">
        <v>94</v>
      </c>
    </row>
    <row r="8693" spans="1:24" x14ac:dyDescent="0.25">
      <c r="A8693" s="1" t="str">
        <f t="shared" si="2455"/>
        <v>卡卡杜-凤凰仓</v>
      </c>
      <c r="B8693" s="1" t="str">
        <f>"CK202410081938"</f>
        <v>CK202410081938</v>
      </c>
      <c r="C8693" s="1" t="str">
        <f>"DD2024100817178"</f>
        <v>DD2024100817178</v>
      </c>
      <c r="D8693" s="1" t="str">
        <f>"CK2024100813024"</f>
        <v>CK2024100813024</v>
      </c>
      <c r="E8693" s="1" t="str">
        <f>"6917930843868200841"</f>
        <v>6917930843868200841</v>
      </c>
      <c r="F8693" s="1" t="str">
        <f t="shared" si="2456"/>
        <v>花都四部-凤凰仓</v>
      </c>
      <c r="G8693" s="1" t="str">
        <f t="shared" si="2460"/>
        <v>卡卡杜个人护理店（抖店）</v>
      </c>
      <c r="H8693" s="1" t="str">
        <f t="shared" si="2457"/>
        <v>正常订单</v>
      </c>
      <c r="I8693" s="1" t="str">
        <f t="shared" si="2458"/>
        <v>已发货</v>
      </c>
      <c r="J8693" s="1" t="str">
        <f t="shared" si="2461"/>
        <v>2</v>
      </c>
      <c r="K8693" s="1">
        <v>1</v>
      </c>
      <c r="L8693" s="1" t="s">
        <v>161</v>
      </c>
      <c r="M8693" s="1" t="str">
        <f>"四川省 广元市 苍溪县 陵江镇"</f>
        <v>四川省 广元市 苍溪县 陵江镇</v>
      </c>
      <c r="N8693" s="1" t="str">
        <f t="shared" si="2462"/>
        <v>凡华云仓-韵达-抖音</v>
      </c>
      <c r="O8693" s="5">
        <v>320161043314707</v>
      </c>
      <c r="P8693" s="6">
        <v>0.33</v>
      </c>
      <c r="Q8693" s="11">
        <v>2.2999999999999998</v>
      </c>
      <c r="R8693" s="11"/>
      <c r="S8693" s="11"/>
      <c r="T8693" s="11"/>
      <c r="U8693" s="11">
        <f t="shared" si="2452"/>
        <v>2.2999999999999998</v>
      </c>
      <c r="W8693">
        <v>2.5</v>
      </c>
      <c r="X8693" s="1" t="s">
        <v>161</v>
      </c>
    </row>
    <row r="8694" spans="1:24" x14ac:dyDescent="0.25">
      <c r="A8694" s="1" t="str">
        <f t="shared" si="2455"/>
        <v>卡卡杜-凤凰仓</v>
      </c>
      <c r="B8694" s="1" t="str">
        <f>"CK202410081939"</f>
        <v>CK202410081939</v>
      </c>
      <c r="C8694" s="1" t="str">
        <f>"DD2024100817179"</f>
        <v>DD2024100817179</v>
      </c>
      <c r="D8694" s="1" t="str">
        <f>"CK2024100813023"</f>
        <v>CK2024100813023</v>
      </c>
      <c r="E8694" s="1" t="str">
        <f>"6917931091731184934"</f>
        <v>6917931091731184934</v>
      </c>
      <c r="F8694" s="1" t="str">
        <f t="shared" si="2456"/>
        <v>花都四部-凤凰仓</v>
      </c>
      <c r="G8694" s="1" t="str">
        <f t="shared" si="2460"/>
        <v>卡卡杜个人护理店（抖店）</v>
      </c>
      <c r="H8694" s="1" t="str">
        <f t="shared" si="2457"/>
        <v>正常订单</v>
      </c>
      <c r="I8694" s="1" t="str">
        <f t="shared" si="2458"/>
        <v>已发货</v>
      </c>
      <c r="J8694" s="1" t="str">
        <f t="shared" si="2461"/>
        <v>2</v>
      </c>
      <c r="K8694" s="1">
        <v>1</v>
      </c>
      <c r="L8694" s="1" t="s">
        <v>18</v>
      </c>
      <c r="M8694" s="1" t="str">
        <f>"广东省 佛山市 顺德区 均安镇"</f>
        <v>广东省 佛山市 顺德区 均安镇</v>
      </c>
      <c r="N8694" s="1" t="str">
        <f t="shared" si="2462"/>
        <v>凡华云仓-韵达-抖音</v>
      </c>
      <c r="O8694" s="5">
        <v>320161043314606</v>
      </c>
      <c r="P8694" s="6">
        <v>0.33</v>
      </c>
      <c r="Q8694" s="11">
        <v>2.2999999999999998</v>
      </c>
      <c r="R8694" s="11"/>
      <c r="S8694" s="11"/>
      <c r="T8694" s="11"/>
      <c r="U8694" s="11">
        <f t="shared" si="2452"/>
        <v>2.2999999999999998</v>
      </c>
      <c r="W8694">
        <v>2.5</v>
      </c>
      <c r="X8694" s="1" t="s">
        <v>18</v>
      </c>
    </row>
    <row r="8695" spans="1:24" x14ac:dyDescent="0.25">
      <c r="A8695" s="1" t="str">
        <f t="shared" si="2455"/>
        <v>卡卡杜-凤凰仓</v>
      </c>
      <c r="B8695" s="1" t="str">
        <f>"CK202410081940"</f>
        <v>CK202410081940</v>
      </c>
      <c r="C8695" s="1" t="str">
        <f>"DD2024100817180"</f>
        <v>DD2024100817180</v>
      </c>
      <c r="D8695" s="1" t="str">
        <f>"CK2024100813022"</f>
        <v>CK2024100813022</v>
      </c>
      <c r="E8695" s="1" t="str">
        <f>"6917935508590263631"</f>
        <v>6917935508590263631</v>
      </c>
      <c r="F8695" s="1" t="str">
        <f t="shared" si="2456"/>
        <v>花都四部-凤凰仓</v>
      </c>
      <c r="G8695" s="1" t="str">
        <f t="shared" si="2460"/>
        <v>卡卡杜个人护理店（抖店）</v>
      </c>
      <c r="H8695" s="1" t="str">
        <f t="shared" si="2457"/>
        <v>正常订单</v>
      </c>
      <c r="I8695" s="1" t="str">
        <f t="shared" si="2458"/>
        <v>已发货</v>
      </c>
      <c r="J8695" s="1" t="str">
        <f t="shared" si="2461"/>
        <v>2</v>
      </c>
      <c r="K8695" s="1">
        <v>1</v>
      </c>
      <c r="L8695" s="1" t="s">
        <v>74</v>
      </c>
      <c r="M8695" s="1" t="str">
        <f>"上海 上海市 浦东新区 南汇新城镇"</f>
        <v>上海 上海市 浦东新区 南汇新城镇</v>
      </c>
      <c r="N8695" s="1" t="str">
        <f t="shared" si="2462"/>
        <v>凡华云仓-韵达-抖音</v>
      </c>
      <c r="O8695" s="5">
        <v>320161043314507</v>
      </c>
      <c r="P8695" s="6">
        <v>0.33</v>
      </c>
      <c r="Q8695" s="11">
        <v>2.2999999999999998</v>
      </c>
      <c r="R8695" s="11"/>
      <c r="S8695" s="11"/>
      <c r="T8695" s="11"/>
      <c r="U8695" s="11">
        <f t="shared" si="2452"/>
        <v>2.2999999999999998</v>
      </c>
      <c r="W8695">
        <v>2.5</v>
      </c>
      <c r="X8695" s="1" t="s">
        <v>74</v>
      </c>
    </row>
    <row r="8696" spans="1:24" x14ac:dyDescent="0.25">
      <c r="A8696" s="1" t="str">
        <f t="shared" si="2455"/>
        <v>卡卡杜-凤凰仓</v>
      </c>
      <c r="B8696" s="1" t="str">
        <f>"CK202410081967"</f>
        <v>CK202410081967</v>
      </c>
      <c r="C8696" s="1" t="str">
        <f>"DD2024100817207"</f>
        <v>DD2024100817207</v>
      </c>
      <c r="D8696" s="1" t="str">
        <f>"CK2024100813021"</f>
        <v>CK2024100813021</v>
      </c>
      <c r="E8696" s="1" t="str">
        <f>"6917930003599359526"</f>
        <v>6917930003599359526</v>
      </c>
      <c r="F8696" s="1" t="str">
        <f t="shared" si="2456"/>
        <v>花都四部-凤凰仓</v>
      </c>
      <c r="G8696" s="1" t="str">
        <f t="shared" si="2460"/>
        <v>卡卡杜个人护理店（抖店）</v>
      </c>
      <c r="H8696" s="1" t="str">
        <f t="shared" si="2457"/>
        <v>正常订单</v>
      </c>
      <c r="I8696" s="1" t="str">
        <f t="shared" si="2458"/>
        <v>已发货</v>
      </c>
      <c r="J8696" s="1" t="str">
        <f t="shared" si="2461"/>
        <v>2</v>
      </c>
      <c r="K8696" s="1">
        <v>1</v>
      </c>
      <c r="L8696" s="1" t="s">
        <v>13</v>
      </c>
      <c r="M8696" s="1" t="str">
        <f>"江苏省 镇江市 丹阳市 曲阿街道"</f>
        <v>江苏省 镇江市 丹阳市 曲阿街道</v>
      </c>
      <c r="N8696" s="1" t="str">
        <f t="shared" si="2462"/>
        <v>凡华云仓-韵达-抖音</v>
      </c>
      <c r="O8696" s="5">
        <v>320161043314410</v>
      </c>
      <c r="P8696" s="6">
        <v>0.33</v>
      </c>
      <c r="Q8696" s="11">
        <v>2.2999999999999998</v>
      </c>
      <c r="R8696" s="11"/>
      <c r="S8696" s="11"/>
      <c r="T8696" s="11"/>
      <c r="U8696" s="11">
        <f t="shared" si="2452"/>
        <v>2.2999999999999998</v>
      </c>
      <c r="W8696">
        <v>2.5</v>
      </c>
      <c r="X8696" s="1" t="s">
        <v>13</v>
      </c>
    </row>
    <row r="8697" spans="1:24" x14ac:dyDescent="0.25">
      <c r="A8697" s="1" t="str">
        <f t="shared" si="2455"/>
        <v>卡卡杜-凤凰仓</v>
      </c>
      <c r="B8697" s="1" t="str">
        <f>"CK202410081942"</f>
        <v>CK202410081942</v>
      </c>
      <c r="C8697" s="1" t="str">
        <f>"DD2024100817182"</f>
        <v>DD2024100817182</v>
      </c>
      <c r="D8697" s="1" t="str">
        <f>"CK2024100813020"</f>
        <v>CK2024100813020</v>
      </c>
      <c r="E8697" s="1" t="str">
        <f>"6917933179158691815"</f>
        <v>6917933179158691815</v>
      </c>
      <c r="F8697" s="1" t="str">
        <f t="shared" si="2456"/>
        <v>花都四部-凤凰仓</v>
      </c>
      <c r="G8697" s="1" t="str">
        <f t="shared" si="2460"/>
        <v>卡卡杜个人护理店（抖店）</v>
      </c>
      <c r="H8697" s="1" t="str">
        <f t="shared" si="2457"/>
        <v>正常订单</v>
      </c>
      <c r="I8697" s="1" t="str">
        <f t="shared" si="2458"/>
        <v>已发货</v>
      </c>
      <c r="J8697" s="1" t="str">
        <f t="shared" si="2461"/>
        <v>2</v>
      </c>
      <c r="K8697" s="1">
        <v>1</v>
      </c>
      <c r="L8697" s="1" t="s">
        <v>13</v>
      </c>
      <c r="M8697" s="1" t="str">
        <f>"江苏省 常州市 武进区 西太湖生态休闲区"</f>
        <v>江苏省 常州市 武进区 西太湖生态休闲区</v>
      </c>
      <c r="N8697" s="1" t="str">
        <f t="shared" si="2462"/>
        <v>凡华云仓-韵达-抖音</v>
      </c>
      <c r="O8697" s="5">
        <v>320161043314315</v>
      </c>
      <c r="P8697" s="6">
        <v>0.33</v>
      </c>
      <c r="Q8697" s="11">
        <v>2.2999999999999998</v>
      </c>
      <c r="R8697" s="11"/>
      <c r="S8697" s="11"/>
      <c r="T8697" s="11"/>
      <c r="U8697" s="11">
        <f t="shared" si="2452"/>
        <v>2.2999999999999998</v>
      </c>
      <c r="W8697">
        <v>2.5</v>
      </c>
      <c r="X8697" s="1" t="s">
        <v>13</v>
      </c>
    </row>
    <row r="8698" spans="1:24" x14ac:dyDescent="0.25">
      <c r="A8698" s="1" t="str">
        <f t="shared" si="2455"/>
        <v>卡卡杜-凤凰仓</v>
      </c>
      <c r="B8698" s="1" t="str">
        <f>"CK202410082012"</f>
        <v>CK202410082012</v>
      </c>
      <c r="C8698" s="1" t="str">
        <f>"DD2024100817489"</f>
        <v>DD2024100817489</v>
      </c>
      <c r="D8698" s="1" t="str">
        <f>"CK2024100813019"</f>
        <v>CK2024100813019</v>
      </c>
      <c r="E8698" s="1" t="str">
        <f>"6917939931268349421"</f>
        <v>6917939931268349421</v>
      </c>
      <c r="F8698" s="1" t="str">
        <f t="shared" si="2456"/>
        <v>花都四部-凤凰仓</v>
      </c>
      <c r="G8698" s="1" t="str">
        <f t="shared" si="2460"/>
        <v>卡卡杜个人护理店（抖店）</v>
      </c>
      <c r="H8698" s="1" t="str">
        <f t="shared" si="2457"/>
        <v>正常订单</v>
      </c>
      <c r="I8698" s="1" t="str">
        <f t="shared" si="2458"/>
        <v>已发货</v>
      </c>
      <c r="J8698" s="1" t="str">
        <f t="shared" si="2461"/>
        <v>2</v>
      </c>
      <c r="K8698" s="1">
        <v>2</v>
      </c>
      <c r="L8698" s="1" t="s">
        <v>18</v>
      </c>
      <c r="M8698" s="1" t="str">
        <f>"广东省 佛山市 顺德区 勒流街道"</f>
        <v>广东省 佛山市 顺德区 勒流街道</v>
      </c>
      <c r="N8698" s="1" t="str">
        <f t="shared" si="2462"/>
        <v>凡华云仓-韵达-抖音</v>
      </c>
      <c r="O8698" s="5">
        <v>320161043314222</v>
      </c>
      <c r="P8698" s="6">
        <v>0.28000000000000003</v>
      </c>
      <c r="Q8698" s="11">
        <v>2</v>
      </c>
      <c r="R8698" s="11"/>
      <c r="S8698" s="11"/>
      <c r="T8698" s="11"/>
      <c r="U8698" s="11">
        <f t="shared" si="2452"/>
        <v>2</v>
      </c>
      <c r="W8698">
        <v>2.2000000000000002</v>
      </c>
      <c r="X8698" s="1" t="s">
        <v>18</v>
      </c>
    </row>
    <row r="8699" spans="1:24" x14ac:dyDescent="0.25">
      <c r="A8699" s="1" t="str">
        <f t="shared" si="2455"/>
        <v>卡卡杜-凤凰仓</v>
      </c>
      <c r="B8699" s="1" t="str">
        <f>"CK202410081943"</f>
        <v>CK202410081943</v>
      </c>
      <c r="C8699" s="1" t="str">
        <f>"DD2024100817183"</f>
        <v>DD2024100817183</v>
      </c>
      <c r="D8699" s="1" t="str">
        <f>"CK2024100813018"</f>
        <v>CK2024100813018</v>
      </c>
      <c r="E8699" s="1" t="str">
        <f>"6917939916593724881"</f>
        <v>6917939916593724881</v>
      </c>
      <c r="F8699" s="1" t="str">
        <f t="shared" si="2456"/>
        <v>花都四部-凤凰仓</v>
      </c>
      <c r="G8699" s="1" t="str">
        <f t="shared" si="2460"/>
        <v>卡卡杜个人护理店（抖店）</v>
      </c>
      <c r="H8699" s="1" t="str">
        <f t="shared" si="2457"/>
        <v>正常订单</v>
      </c>
      <c r="I8699" s="1" t="str">
        <f t="shared" si="2458"/>
        <v>已发货</v>
      </c>
      <c r="J8699" s="1" t="str">
        <f t="shared" si="2461"/>
        <v>2</v>
      </c>
      <c r="K8699" s="1">
        <v>1</v>
      </c>
      <c r="L8699" s="1" t="s">
        <v>18</v>
      </c>
      <c r="M8699" s="1" t="str">
        <f>"广东省 肇庆市 四会市 东城街道"</f>
        <v>广东省 肇庆市 四会市 东城街道</v>
      </c>
      <c r="N8699" s="1" t="str">
        <f t="shared" si="2462"/>
        <v>凡华云仓-韵达-抖音</v>
      </c>
      <c r="O8699" s="5">
        <v>320161044427888</v>
      </c>
      <c r="P8699" s="6">
        <v>0.33</v>
      </c>
      <c r="Q8699" s="11">
        <v>2.2999999999999998</v>
      </c>
      <c r="R8699" s="11"/>
      <c r="S8699" s="11"/>
      <c r="T8699" s="11"/>
      <c r="U8699" s="11">
        <f t="shared" si="2452"/>
        <v>2.2999999999999998</v>
      </c>
      <c r="W8699">
        <v>2.5</v>
      </c>
      <c r="X8699" s="1" t="s">
        <v>18</v>
      </c>
    </row>
    <row r="8700" spans="1:24" x14ac:dyDescent="0.25">
      <c r="A8700" s="1" t="str">
        <f t="shared" si="2455"/>
        <v>卡卡杜-凤凰仓</v>
      </c>
      <c r="B8700" s="1" t="str">
        <f>"CK202410081966"</f>
        <v>CK202410081966</v>
      </c>
      <c r="C8700" s="1" t="str">
        <f>"DD2024100817206"</f>
        <v>DD2024100817206</v>
      </c>
      <c r="D8700" s="1" t="str">
        <f>"CK2024100813017"</f>
        <v>CK2024100813017</v>
      </c>
      <c r="E8700" s="1" t="str">
        <f>"6917937612592480099"</f>
        <v>6917937612592480099</v>
      </c>
      <c r="F8700" s="1" t="str">
        <f t="shared" si="2456"/>
        <v>花都四部-凤凰仓</v>
      </c>
      <c r="G8700" s="1" t="str">
        <f t="shared" si="2460"/>
        <v>卡卡杜个人护理店（抖店）</v>
      </c>
      <c r="H8700" s="1" t="str">
        <f t="shared" si="2457"/>
        <v>正常订单</v>
      </c>
      <c r="I8700" s="1" t="str">
        <f t="shared" si="2458"/>
        <v>已发货</v>
      </c>
      <c r="J8700" s="1" t="str">
        <f t="shared" si="2461"/>
        <v>2</v>
      </c>
      <c r="K8700" s="1">
        <v>1</v>
      </c>
      <c r="L8700" s="1" t="s">
        <v>20</v>
      </c>
      <c r="M8700" s="1" t="str">
        <f>"浙江省 温州市 乐清市 清江镇"</f>
        <v>浙江省 温州市 乐清市 清江镇</v>
      </c>
      <c r="N8700" s="1" t="str">
        <f t="shared" si="2462"/>
        <v>凡华云仓-韵达-抖音</v>
      </c>
      <c r="O8700" s="5">
        <v>320161044427785</v>
      </c>
      <c r="P8700" s="6">
        <v>0.33</v>
      </c>
      <c r="Q8700" s="11">
        <v>2.2999999999999998</v>
      </c>
      <c r="R8700" s="11"/>
      <c r="S8700" s="11"/>
      <c r="T8700" s="11"/>
      <c r="U8700" s="11">
        <f t="shared" si="2452"/>
        <v>2.2999999999999998</v>
      </c>
      <c r="W8700">
        <v>2.5</v>
      </c>
      <c r="X8700" s="1" t="s">
        <v>20</v>
      </c>
    </row>
    <row r="8701" spans="1:24" x14ac:dyDescent="0.25">
      <c r="A8701" s="1" t="str">
        <f t="shared" si="2455"/>
        <v>卡卡杜-凤凰仓</v>
      </c>
      <c r="B8701" s="1" t="str">
        <f>"CK202410081946"</f>
        <v>CK202410081946</v>
      </c>
      <c r="C8701" s="1" t="str">
        <f>"DD2024100817186"</f>
        <v>DD2024100817186</v>
      </c>
      <c r="D8701" s="1" t="str">
        <f>"CK2024100813016"</f>
        <v>CK2024100813016</v>
      </c>
      <c r="E8701" s="1" t="str">
        <f>"6917932909793279758"</f>
        <v>6917932909793279758</v>
      </c>
      <c r="F8701" s="1" t="str">
        <f t="shared" si="2456"/>
        <v>花都四部-凤凰仓</v>
      </c>
      <c r="G8701" s="1" t="str">
        <f t="shared" si="2460"/>
        <v>卡卡杜个人护理店（抖店）</v>
      </c>
      <c r="H8701" s="1" t="str">
        <f t="shared" si="2457"/>
        <v>正常订单</v>
      </c>
      <c r="I8701" s="1" t="str">
        <f t="shared" si="2458"/>
        <v>已发货</v>
      </c>
      <c r="J8701" s="1" t="str">
        <f t="shared" si="2461"/>
        <v>2</v>
      </c>
      <c r="K8701" s="1">
        <v>1</v>
      </c>
      <c r="L8701" s="1" t="s">
        <v>24</v>
      </c>
      <c r="M8701" s="1" t="str">
        <f>"福建省 泉州市 晋江市 深沪镇"</f>
        <v>福建省 泉州市 晋江市 深沪镇</v>
      </c>
      <c r="N8701" s="1" t="str">
        <f t="shared" si="2462"/>
        <v>凡华云仓-韵达-抖音</v>
      </c>
      <c r="O8701" s="5">
        <v>320161044427684</v>
      </c>
      <c r="P8701" s="6">
        <v>0.33</v>
      </c>
      <c r="Q8701" s="11">
        <v>2.2999999999999998</v>
      </c>
      <c r="R8701" s="11"/>
      <c r="S8701" s="11"/>
      <c r="T8701" s="11"/>
      <c r="U8701" s="11">
        <f t="shared" si="2452"/>
        <v>2.2999999999999998</v>
      </c>
      <c r="W8701">
        <v>2.5</v>
      </c>
      <c r="X8701" s="1" t="s">
        <v>24</v>
      </c>
    </row>
    <row r="8702" spans="1:24" x14ac:dyDescent="0.25">
      <c r="A8702" s="1" t="str">
        <f t="shared" si="2455"/>
        <v>卡卡杜-凤凰仓</v>
      </c>
      <c r="B8702" s="1" t="str">
        <f>"CK202410081968"</f>
        <v>CK202410081968</v>
      </c>
      <c r="C8702" s="1" t="str">
        <f>"DD2024100817208"</f>
        <v>DD2024100817208</v>
      </c>
      <c r="D8702" s="1" t="str">
        <f>"CK2024100813015"</f>
        <v>CK2024100813015</v>
      </c>
      <c r="E8702" s="1" t="str">
        <f>"6917930378183736561"</f>
        <v>6917930378183736561</v>
      </c>
      <c r="F8702" s="1" t="str">
        <f t="shared" si="2456"/>
        <v>花都四部-凤凰仓</v>
      </c>
      <c r="G8702" s="1" t="str">
        <f t="shared" si="2460"/>
        <v>卡卡杜个人护理店（抖店）</v>
      </c>
      <c r="H8702" s="1" t="str">
        <f t="shared" si="2457"/>
        <v>正常订单</v>
      </c>
      <c r="I8702" s="1" t="str">
        <f t="shared" si="2458"/>
        <v>已发货</v>
      </c>
      <c r="J8702" s="1" t="str">
        <f t="shared" si="2461"/>
        <v>2</v>
      </c>
      <c r="K8702" s="1">
        <v>1</v>
      </c>
      <c r="L8702" s="1" t="s">
        <v>24</v>
      </c>
      <c r="M8702" s="1" t="str">
        <f>"福建省 宁德市 福鼎市 点头镇"</f>
        <v>福建省 宁德市 福鼎市 点头镇</v>
      </c>
      <c r="N8702" s="1" t="str">
        <f t="shared" si="2462"/>
        <v>凡华云仓-韵达-抖音</v>
      </c>
      <c r="O8702" s="5">
        <v>320161044427585</v>
      </c>
      <c r="P8702" s="6">
        <v>0.33</v>
      </c>
      <c r="Q8702" s="11">
        <v>2.2999999999999998</v>
      </c>
      <c r="R8702" s="11"/>
      <c r="S8702" s="11"/>
      <c r="T8702" s="11"/>
      <c r="U8702" s="11">
        <f t="shared" si="2452"/>
        <v>2.2999999999999998</v>
      </c>
      <c r="W8702">
        <v>2.5</v>
      </c>
      <c r="X8702" s="1" t="s">
        <v>24</v>
      </c>
    </row>
    <row r="8703" spans="1:24" x14ac:dyDescent="0.25">
      <c r="A8703" s="1" t="str">
        <f t="shared" si="2455"/>
        <v>卡卡杜-凤凰仓</v>
      </c>
      <c r="B8703" s="1" t="str">
        <f>"CK202410081969"</f>
        <v>CK202410081969</v>
      </c>
      <c r="C8703" s="1" t="str">
        <f>"DD2024100817209"</f>
        <v>DD2024100817209</v>
      </c>
      <c r="D8703" s="1" t="str">
        <f>"CK2024100813014"</f>
        <v>CK2024100813014</v>
      </c>
      <c r="E8703" s="1" t="str">
        <f>"6917930400463879735"</f>
        <v>6917930400463879735</v>
      </c>
      <c r="F8703" s="1" t="str">
        <f t="shared" si="2456"/>
        <v>花都四部-凤凰仓</v>
      </c>
      <c r="G8703" s="1" t="str">
        <f t="shared" si="2460"/>
        <v>卡卡杜个人护理店（抖店）</v>
      </c>
      <c r="H8703" s="1" t="str">
        <f t="shared" si="2457"/>
        <v>正常订单</v>
      </c>
      <c r="I8703" s="1" t="str">
        <f t="shared" si="2458"/>
        <v>已发货</v>
      </c>
      <c r="J8703" s="1" t="str">
        <f t="shared" si="2461"/>
        <v>2</v>
      </c>
      <c r="K8703" s="1">
        <v>1</v>
      </c>
      <c r="L8703" s="1" t="s">
        <v>20</v>
      </c>
      <c r="M8703" s="1" t="str">
        <f>"浙江省 杭州市 拱墅区 祥符街道"</f>
        <v>浙江省 杭州市 拱墅区 祥符街道</v>
      </c>
      <c r="N8703" s="1" t="str">
        <f t="shared" si="2462"/>
        <v>凡华云仓-韵达-抖音</v>
      </c>
      <c r="O8703" s="5">
        <v>320161044427488</v>
      </c>
      <c r="P8703" s="6">
        <v>0.33</v>
      </c>
      <c r="Q8703" s="11">
        <v>2.2999999999999998</v>
      </c>
      <c r="R8703" s="11"/>
      <c r="S8703" s="11"/>
      <c r="T8703" s="11"/>
      <c r="U8703" s="11">
        <f t="shared" si="2452"/>
        <v>2.2999999999999998</v>
      </c>
      <c r="W8703">
        <v>2.5</v>
      </c>
      <c r="X8703" s="1" t="s">
        <v>20</v>
      </c>
    </row>
    <row r="8704" spans="1:24" x14ac:dyDescent="0.25">
      <c r="A8704" s="1" t="str">
        <f t="shared" si="2455"/>
        <v>卡卡杜-凤凰仓</v>
      </c>
      <c r="B8704" s="1" t="str">
        <f>"CK202410082001"</f>
        <v>CK202410082001</v>
      </c>
      <c r="C8704" s="1" t="str">
        <f>"DD2024100817242"</f>
        <v>DD2024100817242</v>
      </c>
      <c r="D8704" s="1" t="str">
        <f>"CK2024100813013"</f>
        <v>CK2024100813013</v>
      </c>
      <c r="E8704" s="1" t="str">
        <f>"6917930486788489022"</f>
        <v>6917930486788489022</v>
      </c>
      <c r="F8704" s="1" t="str">
        <f t="shared" si="2456"/>
        <v>花都四部-凤凰仓</v>
      </c>
      <c r="G8704" s="1" t="str">
        <f t="shared" si="2460"/>
        <v>卡卡杜个人护理店（抖店）</v>
      </c>
      <c r="H8704" s="1" t="str">
        <f t="shared" si="2457"/>
        <v>正常订单</v>
      </c>
      <c r="I8704" s="1" t="str">
        <f t="shared" si="2458"/>
        <v>已发货</v>
      </c>
      <c r="J8704" s="1" t="str">
        <f t="shared" si="2461"/>
        <v>2</v>
      </c>
      <c r="K8704" s="1">
        <v>1</v>
      </c>
      <c r="L8704" s="1" t="s">
        <v>20</v>
      </c>
      <c r="M8704" s="1" t="str">
        <f>"浙江省 宁波市 镇海区 庄市街道"</f>
        <v>浙江省 宁波市 镇海区 庄市街道</v>
      </c>
      <c r="N8704" s="1" t="str">
        <f t="shared" si="2462"/>
        <v>凡华云仓-韵达-抖音</v>
      </c>
      <c r="O8704" s="5">
        <v>320161044427393</v>
      </c>
      <c r="P8704" s="6">
        <v>0.33</v>
      </c>
      <c r="Q8704" s="11">
        <v>2.2999999999999998</v>
      </c>
      <c r="R8704" s="11"/>
      <c r="S8704" s="11"/>
      <c r="T8704" s="11"/>
      <c r="U8704" s="11">
        <f t="shared" si="2452"/>
        <v>2.2999999999999998</v>
      </c>
      <c r="W8704">
        <v>2.5</v>
      </c>
      <c r="X8704" s="1" t="s">
        <v>20</v>
      </c>
    </row>
    <row r="8705" spans="1:24" x14ac:dyDescent="0.25">
      <c r="A8705" s="1" t="str">
        <f t="shared" si="2455"/>
        <v>卡卡杜-凤凰仓</v>
      </c>
      <c r="B8705" s="1" t="str">
        <f>"CK202410081990"</f>
        <v>CK202410081990</v>
      </c>
      <c r="C8705" s="1" t="str">
        <f>"DD2024100817230"</f>
        <v>DD2024100817230</v>
      </c>
      <c r="D8705" s="1" t="str">
        <f>"CK2024100813012"</f>
        <v>CK2024100813012</v>
      </c>
      <c r="E8705" s="1" t="str">
        <f>"6917932957509713714"</f>
        <v>6917932957509713714</v>
      </c>
      <c r="F8705" s="1" t="str">
        <f t="shared" si="2456"/>
        <v>花都四部-凤凰仓</v>
      </c>
      <c r="G8705" s="1" t="str">
        <f t="shared" si="2460"/>
        <v>卡卡杜个人护理店（抖店）</v>
      </c>
      <c r="H8705" s="1" t="str">
        <f t="shared" si="2457"/>
        <v>正常订单</v>
      </c>
      <c r="I8705" s="1" t="str">
        <f t="shared" si="2458"/>
        <v>已发货</v>
      </c>
      <c r="J8705" s="1" t="str">
        <f t="shared" si="2461"/>
        <v>2</v>
      </c>
      <c r="K8705" s="1">
        <v>1</v>
      </c>
      <c r="L8705" s="1" t="s">
        <v>18</v>
      </c>
      <c r="M8705" s="1" t="str">
        <f>"广东省 广州市 海珠区 "</f>
        <v xml:space="preserve">广东省 广州市 海珠区 </v>
      </c>
      <c r="N8705" s="1" t="str">
        <f t="shared" si="2462"/>
        <v>凡华云仓-韵达-抖音</v>
      </c>
      <c r="O8705" s="5">
        <v>320161044427200</v>
      </c>
      <c r="P8705" s="6">
        <v>0.33</v>
      </c>
      <c r="Q8705" s="11">
        <v>2.2999999999999998</v>
      </c>
      <c r="R8705" s="11"/>
      <c r="S8705" s="11"/>
      <c r="T8705" s="11"/>
      <c r="U8705" s="11">
        <f t="shared" si="2452"/>
        <v>2.2999999999999998</v>
      </c>
      <c r="W8705">
        <v>2.5</v>
      </c>
      <c r="X8705" s="1" t="s">
        <v>18</v>
      </c>
    </row>
    <row r="8706" spans="1:24" x14ac:dyDescent="0.25">
      <c r="A8706" s="1" t="str">
        <f t="shared" si="2455"/>
        <v>卡卡杜-凤凰仓</v>
      </c>
      <c r="B8706" s="1" t="str">
        <f>"CK202410081996"</f>
        <v>CK202410081996</v>
      </c>
      <c r="C8706" s="1" t="str">
        <f>"DD2024100817236"</f>
        <v>DD2024100817236</v>
      </c>
      <c r="D8706" s="1" t="str">
        <f>"CK2024100813011"</f>
        <v>CK2024100813011</v>
      </c>
      <c r="E8706" s="1" t="str">
        <f>"6917932864325516521"</f>
        <v>6917932864325516521</v>
      </c>
      <c r="F8706" s="1" t="str">
        <f t="shared" si="2456"/>
        <v>花都四部-凤凰仓</v>
      </c>
      <c r="G8706" s="1" t="str">
        <f t="shared" si="2460"/>
        <v>卡卡杜个人护理店（抖店）</v>
      </c>
      <c r="H8706" s="1" t="str">
        <f t="shared" si="2457"/>
        <v>正常订单</v>
      </c>
      <c r="I8706" s="1" t="str">
        <f t="shared" si="2458"/>
        <v>已发货</v>
      </c>
      <c r="J8706" s="1" t="str">
        <f t="shared" si="2461"/>
        <v>2</v>
      </c>
      <c r="K8706" s="1">
        <v>1</v>
      </c>
      <c r="L8706" s="1" t="s">
        <v>22</v>
      </c>
      <c r="M8706" s="1" t="str">
        <f>"江西省 宜春市 高安市 "</f>
        <v xml:space="preserve">江西省 宜春市 高安市 </v>
      </c>
      <c r="N8706" s="1" t="str">
        <f t="shared" si="2462"/>
        <v>凡华云仓-韵达-抖音</v>
      </c>
      <c r="O8706" s="5">
        <v>320161044427109</v>
      </c>
      <c r="P8706" s="6">
        <v>0.33</v>
      </c>
      <c r="Q8706" s="11">
        <v>2.2999999999999998</v>
      </c>
      <c r="R8706" s="11"/>
      <c r="S8706" s="11"/>
      <c r="T8706" s="11"/>
      <c r="U8706" s="11">
        <f t="shared" si="2452"/>
        <v>2.2999999999999998</v>
      </c>
      <c r="W8706">
        <v>2.5</v>
      </c>
      <c r="X8706" s="1" t="s">
        <v>22</v>
      </c>
    </row>
    <row r="8707" spans="1:24" x14ac:dyDescent="0.25">
      <c r="A8707" s="1" t="str">
        <f t="shared" si="2455"/>
        <v>卡卡杜-凤凰仓</v>
      </c>
      <c r="B8707" s="1" t="str">
        <f>"CK202410081991"</f>
        <v>CK202410081991</v>
      </c>
      <c r="C8707" s="1" t="str">
        <f>"DD2024100817231"</f>
        <v>DD2024100817231</v>
      </c>
      <c r="D8707" s="1" t="str">
        <f>"CK2024100813010"</f>
        <v>CK2024100813010</v>
      </c>
      <c r="E8707" s="1" t="str">
        <f>"6917937285335842151"</f>
        <v>6917937285335842151</v>
      </c>
      <c r="F8707" s="1" t="str">
        <f t="shared" si="2456"/>
        <v>花都四部-凤凰仓</v>
      </c>
      <c r="G8707" s="1" t="str">
        <f t="shared" si="2460"/>
        <v>卡卡杜个人护理店（抖店）</v>
      </c>
      <c r="H8707" s="1" t="str">
        <f t="shared" si="2457"/>
        <v>正常订单</v>
      </c>
      <c r="I8707" s="1" t="str">
        <f t="shared" si="2458"/>
        <v>已发货</v>
      </c>
      <c r="J8707" s="1" t="str">
        <f t="shared" si="2461"/>
        <v>2</v>
      </c>
      <c r="K8707" s="1">
        <v>1</v>
      </c>
      <c r="L8707" s="1" t="s">
        <v>20</v>
      </c>
      <c r="M8707" s="1" t="str">
        <f>"浙江省 嘉兴市 平湖市 曹桥街道"</f>
        <v>浙江省 嘉兴市 平湖市 曹桥街道</v>
      </c>
      <c r="N8707" s="1" t="str">
        <f t="shared" si="2462"/>
        <v>凡华云仓-韵达-抖音</v>
      </c>
      <c r="O8707" s="5">
        <v>320161044427020</v>
      </c>
      <c r="P8707" s="6">
        <v>0.33</v>
      </c>
      <c r="Q8707" s="11">
        <v>2.2999999999999998</v>
      </c>
      <c r="R8707" s="11"/>
      <c r="S8707" s="11"/>
      <c r="T8707" s="11"/>
      <c r="U8707" s="11">
        <f t="shared" ref="U8707:U8770" si="2463">T8707+S8707+R8707+Q8707</f>
        <v>2.2999999999999998</v>
      </c>
      <c r="W8707">
        <v>2.5</v>
      </c>
      <c r="X8707" s="1" t="s">
        <v>20</v>
      </c>
    </row>
    <row r="8708" spans="1:24" x14ac:dyDescent="0.25">
      <c r="A8708" s="1" t="str">
        <f t="shared" si="2455"/>
        <v>卡卡杜-凤凰仓</v>
      </c>
      <c r="B8708" s="1" t="str">
        <f>"CK202410081989"</f>
        <v>CK202410081989</v>
      </c>
      <c r="C8708" s="1" t="str">
        <f>"DD2024100817229"</f>
        <v>DD2024100817229</v>
      </c>
      <c r="D8708" s="1" t="str">
        <f>"CK2024100813009"</f>
        <v>CK2024100813009</v>
      </c>
      <c r="E8708" s="1" t="str">
        <f>"6917939804702736191"</f>
        <v>6917939804702736191</v>
      </c>
      <c r="F8708" s="1" t="str">
        <f t="shared" si="2456"/>
        <v>花都四部-凤凰仓</v>
      </c>
      <c r="G8708" s="1" t="str">
        <f t="shared" si="2460"/>
        <v>卡卡杜个人护理店（抖店）</v>
      </c>
      <c r="H8708" s="1" t="str">
        <f t="shared" si="2457"/>
        <v>正常订单</v>
      </c>
      <c r="I8708" s="1" t="str">
        <f t="shared" si="2458"/>
        <v>已发货</v>
      </c>
      <c r="J8708" s="1" t="str">
        <f t="shared" si="2461"/>
        <v>2</v>
      </c>
      <c r="K8708" s="1">
        <v>1</v>
      </c>
      <c r="L8708" s="1" t="s">
        <v>24</v>
      </c>
      <c r="M8708" s="1" t="str">
        <f>"福建省 漳州市 龙海区 石码街道"</f>
        <v>福建省 漳州市 龙海区 石码街道</v>
      </c>
      <c r="N8708" s="1" t="str">
        <f t="shared" si="2462"/>
        <v>凡华云仓-韵达-抖音</v>
      </c>
      <c r="O8708" s="5">
        <v>320161044426992</v>
      </c>
      <c r="P8708" s="6">
        <v>0.33</v>
      </c>
      <c r="Q8708" s="11">
        <v>2.2999999999999998</v>
      </c>
      <c r="R8708" s="11"/>
      <c r="S8708" s="11"/>
      <c r="T8708" s="11"/>
      <c r="U8708" s="11">
        <f t="shared" si="2463"/>
        <v>2.2999999999999998</v>
      </c>
      <c r="W8708">
        <v>2.5</v>
      </c>
      <c r="X8708" s="1" t="s">
        <v>24</v>
      </c>
    </row>
    <row r="8709" spans="1:24" x14ac:dyDescent="0.25">
      <c r="A8709" s="1" t="str">
        <f t="shared" ref="A8709:A8772" si="2464">"卡卡杜-凤凰仓"</f>
        <v>卡卡杜-凤凰仓</v>
      </c>
      <c r="B8709" s="1" t="str">
        <f>"CK202410081993"</f>
        <v>CK202410081993</v>
      </c>
      <c r="C8709" s="1" t="str">
        <f>"DD2024100817234"</f>
        <v>DD2024100817234</v>
      </c>
      <c r="D8709" s="1" t="str">
        <f>"CK2024100813008"</f>
        <v>CK2024100813008</v>
      </c>
      <c r="E8709" s="1" t="str">
        <f>"6917932808122957067"</f>
        <v>6917932808122957067</v>
      </c>
      <c r="F8709" s="1" t="str">
        <f t="shared" ref="F8709:F8772" si="2465">"花都四部-凤凰仓"</f>
        <v>花都四部-凤凰仓</v>
      </c>
      <c r="G8709" s="1" t="str">
        <f t="shared" si="2460"/>
        <v>卡卡杜个人护理店（抖店）</v>
      </c>
      <c r="H8709" s="1" t="str">
        <f t="shared" ref="H8709:H8772" si="2466">"正常订单"</f>
        <v>正常订单</v>
      </c>
      <c r="I8709" s="1" t="str">
        <f t="shared" ref="I8709:I8772" si="2467">"已发货"</f>
        <v>已发货</v>
      </c>
      <c r="J8709" s="1" t="str">
        <f t="shared" si="2461"/>
        <v>2</v>
      </c>
      <c r="K8709" s="1">
        <v>1</v>
      </c>
      <c r="L8709" s="1" t="s">
        <v>18</v>
      </c>
      <c r="M8709" s="1" t="str">
        <f>"广东省 中山市 中山市 南头镇"</f>
        <v>广东省 中山市 中山市 南头镇</v>
      </c>
      <c r="N8709" s="1" t="str">
        <f t="shared" si="2462"/>
        <v>凡华云仓-韵达-抖音</v>
      </c>
      <c r="O8709" s="5">
        <v>320161025999908</v>
      </c>
      <c r="P8709" s="6">
        <v>0.33</v>
      </c>
      <c r="Q8709" s="11">
        <v>2.2999999999999998</v>
      </c>
      <c r="R8709" s="11"/>
      <c r="S8709" s="11"/>
      <c r="T8709" s="11"/>
      <c r="U8709" s="11">
        <f t="shared" si="2463"/>
        <v>2.2999999999999998</v>
      </c>
      <c r="W8709">
        <v>2.5</v>
      </c>
      <c r="X8709" s="1" t="s">
        <v>18</v>
      </c>
    </row>
    <row r="8710" spans="1:24" x14ac:dyDescent="0.25">
      <c r="A8710" s="1" t="str">
        <f t="shared" si="2464"/>
        <v>卡卡杜-凤凰仓</v>
      </c>
      <c r="B8710" s="1" t="str">
        <f>"CK202410081988"</f>
        <v>CK202410081988</v>
      </c>
      <c r="C8710" s="1" t="str">
        <f>"DD2024100817228"</f>
        <v>DD2024100817228</v>
      </c>
      <c r="D8710" s="1" t="str">
        <f>"CK2024100813007"</f>
        <v>CK2024100813007</v>
      </c>
      <c r="E8710" s="1" t="str">
        <f>"6917934926436203728"</f>
        <v>6917934926436203728</v>
      </c>
      <c r="F8710" s="1" t="str">
        <f t="shared" si="2465"/>
        <v>花都四部-凤凰仓</v>
      </c>
      <c r="G8710" s="1" t="str">
        <f t="shared" si="2460"/>
        <v>卡卡杜个人护理店（抖店）</v>
      </c>
      <c r="H8710" s="1" t="str">
        <f t="shared" si="2466"/>
        <v>正常订单</v>
      </c>
      <c r="I8710" s="1" t="str">
        <f t="shared" si="2467"/>
        <v>已发货</v>
      </c>
      <c r="J8710" s="1" t="str">
        <f t="shared" si="2461"/>
        <v>2</v>
      </c>
      <c r="K8710" s="1">
        <v>1</v>
      </c>
      <c r="L8710" s="1" t="s">
        <v>22</v>
      </c>
      <c r="M8710" s="1" t="str">
        <f>"江西省 赣州市 宁都县 梅江镇"</f>
        <v>江西省 赣州市 宁都县 梅江镇</v>
      </c>
      <c r="N8710" s="1" t="str">
        <f t="shared" si="2462"/>
        <v>凡华云仓-韵达-抖音</v>
      </c>
      <c r="O8710" s="5">
        <v>320161025999803</v>
      </c>
      <c r="P8710" s="6">
        <v>0.33</v>
      </c>
      <c r="Q8710" s="11">
        <v>2.2999999999999998</v>
      </c>
      <c r="R8710" s="11"/>
      <c r="S8710" s="11"/>
      <c r="T8710" s="11"/>
      <c r="U8710" s="11">
        <f t="shared" si="2463"/>
        <v>2.2999999999999998</v>
      </c>
      <c r="W8710">
        <v>2.5</v>
      </c>
      <c r="X8710" s="1" t="s">
        <v>22</v>
      </c>
    </row>
    <row r="8711" spans="1:24" x14ac:dyDescent="0.25">
      <c r="A8711" s="1" t="str">
        <f t="shared" si="2464"/>
        <v>卡卡杜-凤凰仓</v>
      </c>
      <c r="B8711" s="1" t="str">
        <f>"CK202410081994"</f>
        <v>CK202410081994</v>
      </c>
      <c r="C8711" s="1" t="str">
        <f>"DD2024100817233"</f>
        <v>DD2024100817233</v>
      </c>
      <c r="D8711" s="1" t="str">
        <f>"CK2024100813006"</f>
        <v>CK2024100813006</v>
      </c>
      <c r="E8711" s="1" t="str">
        <f>"6917930362204552972"</f>
        <v>6917930362204552972</v>
      </c>
      <c r="F8711" s="1" t="str">
        <f t="shared" si="2465"/>
        <v>花都四部-凤凰仓</v>
      </c>
      <c r="G8711" s="1" t="str">
        <f t="shared" si="2460"/>
        <v>卡卡杜个人护理店（抖店）</v>
      </c>
      <c r="H8711" s="1" t="str">
        <f t="shared" si="2466"/>
        <v>正常订单</v>
      </c>
      <c r="I8711" s="1" t="str">
        <f t="shared" si="2467"/>
        <v>已发货</v>
      </c>
      <c r="J8711" s="1" t="str">
        <f t="shared" si="2461"/>
        <v>2</v>
      </c>
      <c r="K8711" s="1">
        <v>1</v>
      </c>
      <c r="L8711" s="1" t="s">
        <v>94</v>
      </c>
      <c r="M8711" s="1" t="str">
        <f>"湖南省 永州市 零陵区 七里店街道"</f>
        <v>湖南省 永州市 零陵区 七里店街道</v>
      </c>
      <c r="N8711" s="1" t="str">
        <f t="shared" si="2462"/>
        <v>凡华云仓-韵达-抖音</v>
      </c>
      <c r="O8711" s="5">
        <v>320161025999700</v>
      </c>
      <c r="P8711" s="6">
        <v>0.33</v>
      </c>
      <c r="Q8711" s="11">
        <v>2.2999999999999998</v>
      </c>
      <c r="R8711" s="11"/>
      <c r="S8711" s="11"/>
      <c r="T8711" s="11"/>
      <c r="U8711" s="11">
        <f t="shared" si="2463"/>
        <v>2.2999999999999998</v>
      </c>
      <c r="W8711">
        <v>2.5</v>
      </c>
      <c r="X8711" s="1" t="s">
        <v>94</v>
      </c>
    </row>
    <row r="8712" spans="1:24" x14ac:dyDescent="0.25">
      <c r="A8712" s="1" t="str">
        <f t="shared" si="2464"/>
        <v>卡卡杜-凤凰仓</v>
      </c>
      <c r="B8712" s="1" t="str">
        <f>"CK202410081997"</f>
        <v>CK202410081997</v>
      </c>
      <c r="C8712" s="1" t="str">
        <f>"DD2024100817237"</f>
        <v>DD2024100817237</v>
      </c>
      <c r="D8712" s="1" t="str">
        <f>"CK2024100813005"</f>
        <v>CK2024100813005</v>
      </c>
      <c r="E8712" s="1" t="str">
        <f>"6917930043048886015"</f>
        <v>6917930043048886015</v>
      </c>
      <c r="F8712" s="1" t="str">
        <f t="shared" si="2465"/>
        <v>花都四部-凤凰仓</v>
      </c>
      <c r="G8712" s="1" t="str">
        <f t="shared" si="2460"/>
        <v>卡卡杜个人护理店（抖店）</v>
      </c>
      <c r="H8712" s="1" t="str">
        <f t="shared" si="2466"/>
        <v>正常订单</v>
      </c>
      <c r="I8712" s="1" t="str">
        <f t="shared" si="2467"/>
        <v>已发货</v>
      </c>
      <c r="J8712" s="1" t="str">
        <f t="shared" si="2461"/>
        <v>2</v>
      </c>
      <c r="K8712" s="1">
        <v>1</v>
      </c>
      <c r="L8712" s="1" t="s">
        <v>20</v>
      </c>
      <c r="M8712" s="1" t="str">
        <f>"浙江省 温州市 瓯海区 潘桥街道"</f>
        <v>浙江省 温州市 瓯海区 潘桥街道</v>
      </c>
      <c r="N8712" s="1" t="str">
        <f t="shared" si="2462"/>
        <v>凡华云仓-韵达-抖音</v>
      </c>
      <c r="O8712" s="5">
        <v>320161025999699</v>
      </c>
      <c r="P8712" s="6">
        <v>0.33</v>
      </c>
      <c r="Q8712" s="11">
        <v>2.2999999999999998</v>
      </c>
      <c r="R8712" s="11"/>
      <c r="S8712" s="11"/>
      <c r="T8712" s="11"/>
      <c r="U8712" s="11">
        <f t="shared" si="2463"/>
        <v>2.2999999999999998</v>
      </c>
      <c r="W8712">
        <v>2.5</v>
      </c>
      <c r="X8712" s="1" t="s">
        <v>20</v>
      </c>
    </row>
    <row r="8713" spans="1:24" x14ac:dyDescent="0.25">
      <c r="A8713" s="1" t="str">
        <f t="shared" si="2464"/>
        <v>卡卡杜-凤凰仓</v>
      </c>
      <c r="B8713" s="1" t="str">
        <f>"CK202410081998"</f>
        <v>CK202410081998</v>
      </c>
      <c r="C8713" s="1" t="str">
        <f>"DD2024100817238"</f>
        <v>DD2024100817238</v>
      </c>
      <c r="D8713" s="1" t="str">
        <f>"CK2024100813004"</f>
        <v>CK2024100813004</v>
      </c>
      <c r="E8713" s="1" t="str">
        <f>"6917920500671741687"</f>
        <v>6917920500671741687</v>
      </c>
      <c r="F8713" s="1" t="str">
        <f t="shared" si="2465"/>
        <v>花都四部-凤凰仓</v>
      </c>
      <c r="G8713" s="1" t="str">
        <f t="shared" si="2460"/>
        <v>卡卡杜个人护理店（抖店）</v>
      </c>
      <c r="H8713" s="1" t="str">
        <f t="shared" si="2466"/>
        <v>正常订单</v>
      </c>
      <c r="I8713" s="1" t="str">
        <f t="shared" si="2467"/>
        <v>已发货</v>
      </c>
      <c r="J8713" s="1" t="str">
        <f t="shared" si="2461"/>
        <v>2</v>
      </c>
      <c r="K8713" s="1">
        <v>1</v>
      </c>
      <c r="L8713" s="1" t="s">
        <v>22</v>
      </c>
      <c r="M8713" s="1" t="str">
        <f>"江西省 赣州市 信丰县 嘉定镇"</f>
        <v>江西省 赣州市 信丰县 嘉定镇</v>
      </c>
      <c r="N8713" s="1" t="str">
        <f t="shared" si="2462"/>
        <v>凡华云仓-韵达-抖音</v>
      </c>
      <c r="O8713" s="5">
        <v>320161025999500</v>
      </c>
      <c r="P8713" s="6">
        <v>0.33</v>
      </c>
      <c r="Q8713" s="11">
        <v>2.2999999999999998</v>
      </c>
      <c r="R8713" s="11"/>
      <c r="S8713" s="11"/>
      <c r="T8713" s="11"/>
      <c r="U8713" s="11">
        <f t="shared" si="2463"/>
        <v>2.2999999999999998</v>
      </c>
      <c r="W8713">
        <v>2.5</v>
      </c>
      <c r="X8713" s="1" t="s">
        <v>22</v>
      </c>
    </row>
    <row r="8714" spans="1:24" x14ac:dyDescent="0.25">
      <c r="A8714" s="1" t="str">
        <f t="shared" si="2464"/>
        <v>卡卡杜-凤凰仓</v>
      </c>
      <c r="B8714" s="1" t="str">
        <f>"CK202410081999"</f>
        <v>CK202410081999</v>
      </c>
      <c r="C8714" s="1" t="str">
        <f>"DD2024100817239"</f>
        <v>DD2024100817239</v>
      </c>
      <c r="D8714" s="1" t="str">
        <f>"CK2024100813003"</f>
        <v>CK2024100813003</v>
      </c>
      <c r="E8714" s="1" t="str">
        <f>"6917934956811091677"</f>
        <v>6917934956811091677</v>
      </c>
      <c r="F8714" s="1" t="str">
        <f t="shared" si="2465"/>
        <v>花都四部-凤凰仓</v>
      </c>
      <c r="G8714" s="1" t="str">
        <f t="shared" si="2460"/>
        <v>卡卡杜个人护理店（抖店）</v>
      </c>
      <c r="H8714" s="1" t="str">
        <f t="shared" si="2466"/>
        <v>正常订单</v>
      </c>
      <c r="I8714" s="1" t="str">
        <f t="shared" si="2467"/>
        <v>已发货</v>
      </c>
      <c r="J8714" s="1" t="str">
        <f t="shared" si="2461"/>
        <v>2</v>
      </c>
      <c r="K8714" s="1">
        <v>1</v>
      </c>
      <c r="L8714" s="1" t="s">
        <v>20</v>
      </c>
      <c r="M8714" s="1" t="str">
        <f>"浙江省 嘉兴市 海宁市 许村镇"</f>
        <v>浙江省 嘉兴市 海宁市 许村镇</v>
      </c>
      <c r="N8714" s="1" t="str">
        <f t="shared" si="2462"/>
        <v>凡华云仓-韵达-抖音</v>
      </c>
      <c r="O8714" s="5">
        <v>320161025999403</v>
      </c>
      <c r="P8714" s="6">
        <v>0.33</v>
      </c>
      <c r="Q8714" s="11">
        <v>2.2999999999999998</v>
      </c>
      <c r="R8714" s="11"/>
      <c r="S8714" s="11"/>
      <c r="T8714" s="11"/>
      <c r="U8714" s="11">
        <f t="shared" si="2463"/>
        <v>2.2999999999999998</v>
      </c>
      <c r="W8714">
        <v>2.5</v>
      </c>
      <c r="X8714" s="1" t="s">
        <v>20</v>
      </c>
    </row>
    <row r="8715" spans="1:24" x14ac:dyDescent="0.25">
      <c r="A8715" s="1" t="str">
        <f t="shared" si="2464"/>
        <v>卡卡杜-凤凰仓</v>
      </c>
      <c r="B8715" s="1" t="str">
        <f>"CK202410082000"</f>
        <v>CK202410082000</v>
      </c>
      <c r="C8715" s="1" t="str">
        <f>"DD2024100817240"</f>
        <v>DD2024100817240</v>
      </c>
      <c r="D8715" s="1" t="str">
        <f>"CK2024100813002"</f>
        <v>CK2024100813002</v>
      </c>
      <c r="E8715" s="1" t="str">
        <f>"6917930076124970900"</f>
        <v>6917930076124970900</v>
      </c>
      <c r="F8715" s="1" t="str">
        <f t="shared" si="2465"/>
        <v>花都四部-凤凰仓</v>
      </c>
      <c r="G8715" s="1" t="str">
        <f t="shared" si="2460"/>
        <v>卡卡杜个人护理店（抖店）</v>
      </c>
      <c r="H8715" s="1" t="str">
        <f t="shared" si="2466"/>
        <v>正常订单</v>
      </c>
      <c r="I8715" s="1" t="str">
        <f t="shared" si="2467"/>
        <v>已发货</v>
      </c>
      <c r="J8715" s="1" t="str">
        <f t="shared" si="2461"/>
        <v>2</v>
      </c>
      <c r="K8715" s="1">
        <v>1</v>
      </c>
      <c r="L8715" s="1" t="s">
        <v>94</v>
      </c>
      <c r="M8715" s="1" t="str">
        <f>"湖南省 株洲市 醴陵市 白兔潭镇"</f>
        <v>湖南省 株洲市 醴陵市 白兔潭镇</v>
      </c>
      <c r="N8715" s="1" t="str">
        <f t="shared" si="2462"/>
        <v>凡华云仓-韵达-抖音</v>
      </c>
      <c r="O8715" s="5">
        <v>320161025999308</v>
      </c>
      <c r="P8715" s="6">
        <v>0.33</v>
      </c>
      <c r="Q8715" s="11">
        <v>2.2999999999999998</v>
      </c>
      <c r="R8715" s="11"/>
      <c r="S8715" s="11"/>
      <c r="T8715" s="11"/>
      <c r="U8715" s="11">
        <f t="shared" si="2463"/>
        <v>2.2999999999999998</v>
      </c>
      <c r="W8715">
        <v>2.5</v>
      </c>
      <c r="X8715" s="1" t="s">
        <v>94</v>
      </c>
    </row>
    <row r="8716" spans="1:24" x14ac:dyDescent="0.25">
      <c r="A8716" s="1" t="str">
        <f t="shared" si="2464"/>
        <v>卡卡杜-凤凰仓</v>
      </c>
      <c r="B8716" s="1" t="str">
        <f>"CK202410081992"</f>
        <v>CK202410081992</v>
      </c>
      <c r="C8716" s="1" t="str">
        <f>"DD2024100817232"</f>
        <v>DD2024100817232</v>
      </c>
      <c r="D8716" s="1" t="str">
        <f>"CK2024100813001"</f>
        <v>CK2024100813001</v>
      </c>
      <c r="E8716" s="1" t="str">
        <f>"6917930472026045564"</f>
        <v>6917930472026045564</v>
      </c>
      <c r="F8716" s="1" t="str">
        <f t="shared" si="2465"/>
        <v>花都四部-凤凰仓</v>
      </c>
      <c r="G8716" s="1" t="str">
        <f t="shared" si="2460"/>
        <v>卡卡杜个人护理店（抖店）</v>
      </c>
      <c r="H8716" s="1" t="str">
        <f t="shared" si="2466"/>
        <v>正常订单</v>
      </c>
      <c r="I8716" s="1" t="str">
        <f t="shared" si="2467"/>
        <v>已发货</v>
      </c>
      <c r="J8716" s="1" t="str">
        <f t="shared" si="2461"/>
        <v>2</v>
      </c>
      <c r="K8716" s="1">
        <v>1</v>
      </c>
      <c r="L8716" s="1" t="s">
        <v>20</v>
      </c>
      <c r="M8716" s="1" t="str">
        <f>"浙江省 绍兴市 诸暨市 大唐街道"</f>
        <v>浙江省 绍兴市 诸暨市 大唐街道</v>
      </c>
      <c r="N8716" s="1" t="str">
        <f t="shared" si="2462"/>
        <v>凡华云仓-韵达-抖音</v>
      </c>
      <c r="O8716" s="5">
        <v>320161025999215</v>
      </c>
      <c r="P8716" s="6">
        <v>0.33</v>
      </c>
      <c r="Q8716" s="11">
        <v>2.2999999999999998</v>
      </c>
      <c r="R8716" s="11"/>
      <c r="S8716" s="11"/>
      <c r="T8716" s="11"/>
      <c r="U8716" s="11">
        <f t="shared" si="2463"/>
        <v>2.2999999999999998</v>
      </c>
      <c r="W8716">
        <v>2.5</v>
      </c>
      <c r="X8716" s="1" t="s">
        <v>20</v>
      </c>
    </row>
    <row r="8717" spans="1:24" x14ac:dyDescent="0.25">
      <c r="A8717" s="1" t="str">
        <f t="shared" si="2464"/>
        <v>卡卡杜-凤凰仓</v>
      </c>
      <c r="B8717" s="1" t="str">
        <f>"CK202410081987"</f>
        <v>CK202410081987</v>
      </c>
      <c r="C8717" s="1" t="str">
        <f>"DD2024100817226"</f>
        <v>DD2024100817226</v>
      </c>
      <c r="D8717" s="1" t="str">
        <f>"CK2024100813000"</f>
        <v>CK2024100813000</v>
      </c>
      <c r="E8717" s="1" t="str">
        <f>"6917930098212372449"</f>
        <v>6917930098212372449</v>
      </c>
      <c r="F8717" s="1" t="str">
        <f t="shared" si="2465"/>
        <v>花都四部-凤凰仓</v>
      </c>
      <c r="G8717" s="1" t="str">
        <f t="shared" si="2460"/>
        <v>卡卡杜个人护理店（抖店）</v>
      </c>
      <c r="H8717" s="1" t="str">
        <f t="shared" si="2466"/>
        <v>正常订单</v>
      </c>
      <c r="I8717" s="1" t="str">
        <f t="shared" si="2467"/>
        <v>已发货</v>
      </c>
      <c r="J8717" s="1" t="str">
        <f t="shared" si="2461"/>
        <v>2</v>
      </c>
      <c r="K8717" s="1">
        <v>1</v>
      </c>
      <c r="L8717" s="1" t="s">
        <v>13</v>
      </c>
      <c r="M8717" s="1" t="str">
        <f>"江苏省 南京市 溧水区 永阳街道"</f>
        <v>江苏省 南京市 溧水区 永阳街道</v>
      </c>
      <c r="N8717" s="1" t="str">
        <f t="shared" si="2462"/>
        <v>凡华云仓-韵达-抖音</v>
      </c>
      <c r="O8717" s="5">
        <v>320161025999124</v>
      </c>
      <c r="P8717" s="6">
        <v>0.33</v>
      </c>
      <c r="Q8717" s="11">
        <v>2.2999999999999998</v>
      </c>
      <c r="R8717" s="11"/>
      <c r="S8717" s="11"/>
      <c r="T8717" s="11"/>
      <c r="U8717" s="11">
        <f t="shared" si="2463"/>
        <v>2.2999999999999998</v>
      </c>
      <c r="W8717">
        <v>2.5</v>
      </c>
      <c r="X8717" s="1" t="s">
        <v>13</v>
      </c>
    </row>
    <row r="8718" spans="1:24" x14ac:dyDescent="0.25">
      <c r="A8718" s="1" t="str">
        <f t="shared" si="2464"/>
        <v>卡卡杜-凤凰仓</v>
      </c>
      <c r="B8718" s="1" t="str">
        <f>"CK202410081986"</f>
        <v>CK202410081986</v>
      </c>
      <c r="C8718" s="1" t="str">
        <f>"DD2024100817227"</f>
        <v>DD2024100817227</v>
      </c>
      <c r="D8718" s="1" t="str">
        <f>"CK2024100812999"</f>
        <v>CK2024100812999</v>
      </c>
      <c r="E8718" s="1" t="str">
        <f>"6917927672253480686"</f>
        <v>6917927672253480686</v>
      </c>
      <c r="F8718" s="1" t="str">
        <f t="shared" si="2465"/>
        <v>花都四部-凤凰仓</v>
      </c>
      <c r="G8718" s="1" t="str">
        <f t="shared" si="2460"/>
        <v>卡卡杜个人护理店（抖店）</v>
      </c>
      <c r="H8718" s="1" t="str">
        <f t="shared" si="2466"/>
        <v>正常订单</v>
      </c>
      <c r="I8718" s="1" t="str">
        <f t="shared" si="2467"/>
        <v>已发货</v>
      </c>
      <c r="J8718" s="1" t="str">
        <f t="shared" si="2461"/>
        <v>2</v>
      </c>
      <c r="K8718" s="1">
        <v>1</v>
      </c>
      <c r="L8718" s="1" t="s">
        <v>13</v>
      </c>
      <c r="M8718" s="1" t="str">
        <f>"江苏省 镇江市 丹阳市 陵口镇"</f>
        <v>江苏省 镇江市 丹阳市 陵口镇</v>
      </c>
      <c r="N8718" s="1" t="str">
        <f t="shared" si="2462"/>
        <v>凡华云仓-韵达-抖音</v>
      </c>
      <c r="O8718" s="5">
        <v>320161025999035</v>
      </c>
      <c r="P8718" s="6">
        <v>0.33</v>
      </c>
      <c r="Q8718" s="11">
        <v>2.2999999999999998</v>
      </c>
      <c r="R8718" s="11"/>
      <c r="S8718" s="11"/>
      <c r="T8718" s="11"/>
      <c r="U8718" s="11">
        <f t="shared" si="2463"/>
        <v>2.2999999999999998</v>
      </c>
      <c r="W8718">
        <v>2.5</v>
      </c>
      <c r="X8718" s="1" t="s">
        <v>13</v>
      </c>
    </row>
    <row r="8719" spans="1:24" x14ac:dyDescent="0.25">
      <c r="A8719" s="1" t="str">
        <f t="shared" si="2464"/>
        <v>卡卡杜-凤凰仓</v>
      </c>
      <c r="B8719" s="1" t="str">
        <f>"CK202410081985"</f>
        <v>CK202410081985</v>
      </c>
      <c r="C8719" s="1" t="str">
        <f>"DD2024100817225"</f>
        <v>DD2024100817225</v>
      </c>
      <c r="D8719" s="1" t="str">
        <f>"CK2024100812998"</f>
        <v>CK2024100812998</v>
      </c>
      <c r="E8719" s="1" t="str">
        <f>"6917930345619160680"</f>
        <v>6917930345619160680</v>
      </c>
      <c r="F8719" s="1" t="str">
        <f t="shared" si="2465"/>
        <v>花都四部-凤凰仓</v>
      </c>
      <c r="G8719" s="1" t="str">
        <f t="shared" si="2460"/>
        <v>卡卡杜个人护理店（抖店）</v>
      </c>
      <c r="H8719" s="1" t="str">
        <f t="shared" si="2466"/>
        <v>正常订单</v>
      </c>
      <c r="I8719" s="1" t="str">
        <f t="shared" si="2467"/>
        <v>已发货</v>
      </c>
      <c r="J8719" s="1" t="str">
        <f t="shared" si="2461"/>
        <v>2</v>
      </c>
      <c r="K8719" s="1">
        <v>1</v>
      </c>
      <c r="L8719" s="1" t="s">
        <v>18</v>
      </c>
      <c r="M8719" s="1" t="str">
        <f>"广东省 佛山市 南海区 里水镇"</f>
        <v>广东省 佛山市 南海区 里水镇</v>
      </c>
      <c r="N8719" s="1" t="str">
        <f t="shared" si="2462"/>
        <v>凡华云仓-韵达-抖音</v>
      </c>
      <c r="O8719" s="5">
        <v>320161045283590</v>
      </c>
      <c r="P8719" s="6">
        <v>0.33</v>
      </c>
      <c r="Q8719" s="11">
        <v>2.2999999999999998</v>
      </c>
      <c r="R8719" s="11"/>
      <c r="S8719" s="11"/>
      <c r="T8719" s="11"/>
      <c r="U8719" s="11">
        <f t="shared" si="2463"/>
        <v>2.2999999999999998</v>
      </c>
      <c r="W8719">
        <v>2.5</v>
      </c>
      <c r="X8719" s="1" t="s">
        <v>18</v>
      </c>
    </row>
    <row r="8720" spans="1:24" x14ac:dyDescent="0.25">
      <c r="A8720" s="1" t="str">
        <f t="shared" si="2464"/>
        <v>卡卡杜-凤凰仓</v>
      </c>
      <c r="B8720" s="1" t="str">
        <f>"CK202410081971"</f>
        <v>CK202410081971</v>
      </c>
      <c r="C8720" s="1" t="str">
        <f>"DD2024100817211"</f>
        <v>DD2024100817211</v>
      </c>
      <c r="D8720" s="1" t="str">
        <f>"CK2024100812997"</f>
        <v>CK2024100812997</v>
      </c>
      <c r="E8720" s="1" t="str">
        <f>"6917930116572544563"</f>
        <v>6917930116572544563</v>
      </c>
      <c r="F8720" s="1" t="str">
        <f t="shared" si="2465"/>
        <v>花都四部-凤凰仓</v>
      </c>
      <c r="G8720" s="1" t="str">
        <f t="shared" ref="G8720:G8783" si="2468">"卡卡杜个人护理店（抖店）"</f>
        <v>卡卡杜个人护理店（抖店）</v>
      </c>
      <c r="H8720" s="1" t="str">
        <f t="shared" si="2466"/>
        <v>正常订单</v>
      </c>
      <c r="I8720" s="1" t="str">
        <f t="shared" si="2467"/>
        <v>已发货</v>
      </c>
      <c r="J8720" s="1" t="str">
        <f t="shared" ref="J8720:J8758" si="2469">"2"</f>
        <v>2</v>
      </c>
      <c r="K8720" s="1">
        <v>1</v>
      </c>
      <c r="L8720" s="1" t="s">
        <v>20</v>
      </c>
      <c r="M8720" s="1" t="str">
        <f>"浙江省 嘉兴市 桐乡市 凤鸣街道"</f>
        <v>浙江省 嘉兴市 桐乡市 凤鸣街道</v>
      </c>
      <c r="N8720" s="1" t="str">
        <f t="shared" ref="N8720:N8783" si="2470">"凡华云仓-韵达-抖音"</f>
        <v>凡华云仓-韵达-抖音</v>
      </c>
      <c r="O8720" s="5">
        <v>320161045283493</v>
      </c>
      <c r="P8720" s="6">
        <v>0.33</v>
      </c>
      <c r="Q8720" s="11">
        <v>2.2999999999999998</v>
      </c>
      <c r="R8720" s="11"/>
      <c r="S8720" s="11"/>
      <c r="T8720" s="11"/>
      <c r="U8720" s="11">
        <f t="shared" si="2463"/>
        <v>2.2999999999999998</v>
      </c>
      <c r="W8720">
        <v>2.5</v>
      </c>
      <c r="X8720" s="1" t="s">
        <v>20</v>
      </c>
    </row>
    <row r="8721" spans="1:24" x14ac:dyDescent="0.25">
      <c r="A8721" s="1" t="str">
        <f t="shared" si="2464"/>
        <v>卡卡杜-凤凰仓</v>
      </c>
      <c r="B8721" s="1" t="str">
        <f>"CK202410081972"</f>
        <v>CK202410081972</v>
      </c>
      <c r="C8721" s="1" t="str">
        <f>"DD2024100817212"</f>
        <v>DD2024100817212</v>
      </c>
      <c r="D8721" s="1" t="str">
        <f>"CK2024100812996"</f>
        <v>CK2024100812996</v>
      </c>
      <c r="E8721" s="1" t="str">
        <f>"6917927689926638619"</f>
        <v>6917927689926638619</v>
      </c>
      <c r="F8721" s="1" t="str">
        <f t="shared" si="2465"/>
        <v>花都四部-凤凰仓</v>
      </c>
      <c r="G8721" s="1" t="str">
        <f t="shared" si="2468"/>
        <v>卡卡杜个人护理店（抖店）</v>
      </c>
      <c r="H8721" s="1" t="str">
        <f t="shared" si="2466"/>
        <v>正常订单</v>
      </c>
      <c r="I8721" s="1" t="str">
        <f t="shared" si="2467"/>
        <v>已发货</v>
      </c>
      <c r="J8721" s="1" t="str">
        <f t="shared" si="2469"/>
        <v>2</v>
      </c>
      <c r="K8721" s="1">
        <v>1</v>
      </c>
      <c r="L8721" s="1" t="s">
        <v>96</v>
      </c>
      <c r="M8721" s="1" t="str">
        <f>"广西壮族自治区 贵港市 覃塘区 樟木镇"</f>
        <v>广西壮族自治区 贵港市 覃塘区 樟木镇</v>
      </c>
      <c r="N8721" s="1" t="str">
        <f t="shared" si="2470"/>
        <v>凡华云仓-韵达-抖音</v>
      </c>
      <c r="O8721" s="5">
        <v>320161045283398</v>
      </c>
      <c r="P8721" s="6">
        <v>0.33</v>
      </c>
      <c r="Q8721" s="11">
        <v>2.2999999999999998</v>
      </c>
      <c r="R8721" s="11"/>
      <c r="S8721" s="11"/>
      <c r="T8721" s="11"/>
      <c r="U8721" s="11">
        <f t="shared" si="2463"/>
        <v>2.2999999999999998</v>
      </c>
      <c r="W8721">
        <v>2.5</v>
      </c>
      <c r="X8721" s="1" t="s">
        <v>96</v>
      </c>
    </row>
    <row r="8722" spans="1:24" x14ac:dyDescent="0.25">
      <c r="A8722" s="1" t="str">
        <f t="shared" si="2464"/>
        <v>卡卡杜-凤凰仓</v>
      </c>
      <c r="B8722" s="1" t="str">
        <f>"CK202410081974"</f>
        <v>CK202410081974</v>
      </c>
      <c r="C8722" s="1" t="str">
        <f>"DD2024100817214"</f>
        <v>DD2024100817214</v>
      </c>
      <c r="D8722" s="1" t="str">
        <f>"CK2024100812995"</f>
        <v>CK2024100812995</v>
      </c>
      <c r="E8722" s="1" t="str">
        <f>"6917925275745287796"</f>
        <v>6917925275745287796</v>
      </c>
      <c r="F8722" s="1" t="str">
        <f t="shared" si="2465"/>
        <v>花都四部-凤凰仓</v>
      </c>
      <c r="G8722" s="1" t="str">
        <f t="shared" si="2468"/>
        <v>卡卡杜个人护理店（抖店）</v>
      </c>
      <c r="H8722" s="1" t="str">
        <f t="shared" si="2466"/>
        <v>正常订单</v>
      </c>
      <c r="I8722" s="1" t="str">
        <f t="shared" si="2467"/>
        <v>已发货</v>
      </c>
      <c r="J8722" s="1" t="str">
        <f t="shared" si="2469"/>
        <v>2</v>
      </c>
      <c r="K8722" s="1">
        <v>1</v>
      </c>
      <c r="L8722" s="1" t="s">
        <v>18</v>
      </c>
      <c r="M8722" s="1" t="str">
        <f>"广东省 东莞市 东莞市 望牛墩镇"</f>
        <v>广东省 东莞市 东莞市 望牛墩镇</v>
      </c>
      <c r="N8722" s="1" t="str">
        <f t="shared" si="2470"/>
        <v>凡华云仓-韵达-抖音</v>
      </c>
      <c r="O8722" s="5">
        <v>320161045283205</v>
      </c>
      <c r="P8722" s="6">
        <v>0.33</v>
      </c>
      <c r="Q8722" s="11">
        <v>2.2999999999999998</v>
      </c>
      <c r="R8722" s="11"/>
      <c r="S8722" s="11"/>
      <c r="T8722" s="11"/>
      <c r="U8722" s="11">
        <f t="shared" si="2463"/>
        <v>2.2999999999999998</v>
      </c>
      <c r="W8722">
        <v>2.5</v>
      </c>
      <c r="X8722" s="1" t="s">
        <v>18</v>
      </c>
    </row>
    <row r="8723" spans="1:24" x14ac:dyDescent="0.25">
      <c r="A8723" s="1" t="str">
        <f t="shared" si="2464"/>
        <v>卡卡杜-凤凰仓</v>
      </c>
      <c r="B8723" s="1" t="str">
        <f>"CK202410081976"</f>
        <v>CK202410081976</v>
      </c>
      <c r="C8723" s="1" t="str">
        <f>"DD2024100817216"</f>
        <v>DD2024100817216</v>
      </c>
      <c r="D8723" s="1" t="str">
        <f>"CK2024100812994"</f>
        <v>CK2024100812994</v>
      </c>
      <c r="E8723" s="1" t="str">
        <f>"6917930089648127176"</f>
        <v>6917930089648127176</v>
      </c>
      <c r="F8723" s="1" t="str">
        <f t="shared" si="2465"/>
        <v>花都四部-凤凰仓</v>
      </c>
      <c r="G8723" s="1" t="str">
        <f t="shared" si="2468"/>
        <v>卡卡杜个人护理店（抖店）</v>
      </c>
      <c r="H8723" s="1" t="str">
        <f t="shared" si="2466"/>
        <v>正常订单</v>
      </c>
      <c r="I8723" s="1" t="str">
        <f t="shared" si="2467"/>
        <v>已发货</v>
      </c>
      <c r="J8723" s="1" t="str">
        <f t="shared" si="2469"/>
        <v>2</v>
      </c>
      <c r="K8723" s="1">
        <v>1</v>
      </c>
      <c r="L8723" s="1" t="s">
        <v>18</v>
      </c>
      <c r="M8723" s="1" t="str">
        <f>"广东省 东莞市 东莞市 常平镇"</f>
        <v>广东省 东莞市 东莞市 常平镇</v>
      </c>
      <c r="N8723" s="1" t="str">
        <f t="shared" si="2470"/>
        <v>凡华云仓-韵达-抖音</v>
      </c>
      <c r="O8723" s="5">
        <v>320161045283114</v>
      </c>
      <c r="P8723" s="6">
        <v>0.33</v>
      </c>
      <c r="Q8723" s="11">
        <v>2.2999999999999998</v>
      </c>
      <c r="R8723" s="11"/>
      <c r="S8723" s="11"/>
      <c r="T8723" s="11"/>
      <c r="U8723" s="11">
        <f t="shared" si="2463"/>
        <v>2.2999999999999998</v>
      </c>
      <c r="W8723">
        <v>2.5</v>
      </c>
      <c r="X8723" s="1" t="s">
        <v>18</v>
      </c>
    </row>
    <row r="8724" spans="1:24" x14ac:dyDescent="0.25">
      <c r="A8724" s="1" t="str">
        <f t="shared" si="2464"/>
        <v>卡卡杜-凤凰仓</v>
      </c>
      <c r="B8724" s="1" t="str">
        <f>"CK202410081975"</f>
        <v>CK202410081975</v>
      </c>
      <c r="C8724" s="1" t="str">
        <f>"DD2024100817215"</f>
        <v>DD2024100817215</v>
      </c>
      <c r="D8724" s="1" t="str">
        <f>"CK2024100812993"</f>
        <v>CK2024100812993</v>
      </c>
      <c r="E8724" s="1" t="str">
        <f>"6917925137009901485"</f>
        <v>6917925137009901485</v>
      </c>
      <c r="F8724" s="1" t="str">
        <f t="shared" si="2465"/>
        <v>花都四部-凤凰仓</v>
      </c>
      <c r="G8724" s="1" t="str">
        <f t="shared" si="2468"/>
        <v>卡卡杜个人护理店（抖店）</v>
      </c>
      <c r="H8724" s="1" t="str">
        <f t="shared" si="2466"/>
        <v>正常订单</v>
      </c>
      <c r="I8724" s="1" t="str">
        <f t="shared" si="2467"/>
        <v>已发货</v>
      </c>
      <c r="J8724" s="1" t="str">
        <f t="shared" si="2469"/>
        <v>2</v>
      </c>
      <c r="K8724" s="1">
        <v>1</v>
      </c>
      <c r="L8724" s="1" t="s">
        <v>18</v>
      </c>
      <c r="M8724" s="1" t="str">
        <f>"广东省 惠州市 惠阳区 镇隆镇"</f>
        <v>广东省 惠州市 惠阳区 镇隆镇</v>
      </c>
      <c r="N8724" s="1" t="str">
        <f t="shared" si="2470"/>
        <v>凡华云仓-韵达-抖音</v>
      </c>
      <c r="O8724" s="5">
        <v>320161045283025</v>
      </c>
      <c r="P8724" s="6">
        <v>0.33</v>
      </c>
      <c r="Q8724" s="11">
        <v>2.2999999999999998</v>
      </c>
      <c r="R8724" s="11"/>
      <c r="S8724" s="11"/>
      <c r="T8724" s="11"/>
      <c r="U8724" s="11">
        <f t="shared" si="2463"/>
        <v>2.2999999999999998</v>
      </c>
      <c r="W8724">
        <v>2.5</v>
      </c>
      <c r="X8724" s="1" t="s">
        <v>18</v>
      </c>
    </row>
    <row r="8725" spans="1:24" x14ac:dyDescent="0.25">
      <c r="A8725" s="1" t="str">
        <f t="shared" si="2464"/>
        <v>卡卡杜-凤凰仓</v>
      </c>
      <c r="B8725" s="1" t="str">
        <f>"CK202410081981"</f>
        <v>CK202410081981</v>
      </c>
      <c r="C8725" s="1" t="str">
        <f>"DD2024100817221"</f>
        <v>DD2024100817221</v>
      </c>
      <c r="D8725" s="1" t="str">
        <f>"CK2024100812992"</f>
        <v>CK2024100812992</v>
      </c>
      <c r="E8725" s="1" t="str">
        <f>"6917927422835784722"</f>
        <v>6917927422835784722</v>
      </c>
      <c r="F8725" s="1" t="str">
        <f t="shared" si="2465"/>
        <v>花都四部-凤凰仓</v>
      </c>
      <c r="G8725" s="1" t="str">
        <f t="shared" si="2468"/>
        <v>卡卡杜个人护理店（抖店）</v>
      </c>
      <c r="H8725" s="1" t="str">
        <f t="shared" si="2466"/>
        <v>正常订单</v>
      </c>
      <c r="I8725" s="1" t="str">
        <f t="shared" si="2467"/>
        <v>已发货</v>
      </c>
      <c r="J8725" s="1" t="str">
        <f t="shared" si="2469"/>
        <v>2</v>
      </c>
      <c r="K8725" s="1">
        <v>1</v>
      </c>
      <c r="L8725" s="1" t="s">
        <v>20</v>
      </c>
      <c r="M8725" s="1" t="str">
        <f>"浙江省 杭州市 萧山区 河上镇"</f>
        <v>浙江省 杭州市 萧山区 河上镇</v>
      </c>
      <c r="N8725" s="1" t="str">
        <f t="shared" si="2470"/>
        <v>凡华云仓-韵达-抖音</v>
      </c>
      <c r="O8725" s="5">
        <v>320161045282905</v>
      </c>
      <c r="P8725" s="6">
        <v>0.33</v>
      </c>
      <c r="Q8725" s="11">
        <v>2.2999999999999998</v>
      </c>
      <c r="R8725" s="11"/>
      <c r="S8725" s="11"/>
      <c r="T8725" s="11"/>
      <c r="U8725" s="11">
        <f t="shared" si="2463"/>
        <v>2.2999999999999998</v>
      </c>
      <c r="W8725">
        <v>2.5</v>
      </c>
      <c r="X8725" s="1" t="s">
        <v>20</v>
      </c>
    </row>
    <row r="8726" spans="1:24" x14ac:dyDescent="0.25">
      <c r="A8726" s="1" t="str">
        <f t="shared" si="2464"/>
        <v>卡卡杜-凤凰仓</v>
      </c>
      <c r="B8726" s="1" t="str">
        <f>"CK202410081983"</f>
        <v>CK202410081983</v>
      </c>
      <c r="C8726" s="1" t="str">
        <f>"DD2024100817223"</f>
        <v>DD2024100817223</v>
      </c>
      <c r="D8726" s="1" t="str">
        <f>"CK2024100812991"</f>
        <v>CK2024100812991</v>
      </c>
      <c r="E8726" s="1" t="str">
        <f>"6917929901278920221"</f>
        <v>6917929901278920221</v>
      </c>
      <c r="F8726" s="1" t="str">
        <f t="shared" si="2465"/>
        <v>花都四部-凤凰仓</v>
      </c>
      <c r="G8726" s="1" t="str">
        <f t="shared" si="2468"/>
        <v>卡卡杜个人护理店（抖店）</v>
      </c>
      <c r="H8726" s="1" t="str">
        <f t="shared" si="2466"/>
        <v>正常订单</v>
      </c>
      <c r="I8726" s="1" t="str">
        <f t="shared" si="2467"/>
        <v>已发货</v>
      </c>
      <c r="J8726" s="1" t="str">
        <f t="shared" si="2469"/>
        <v>2</v>
      </c>
      <c r="K8726" s="1">
        <v>1</v>
      </c>
      <c r="L8726" s="1" t="s">
        <v>24</v>
      </c>
      <c r="M8726" s="1" t="str">
        <f>"福建省 福州市 仓山区 螺洲镇"</f>
        <v>福建省 福州市 仓山区 螺洲镇</v>
      </c>
      <c r="N8726" s="1" t="str">
        <f t="shared" si="2470"/>
        <v>凡华云仓-韵达-抖音</v>
      </c>
      <c r="O8726" s="5">
        <v>320161045282800</v>
      </c>
      <c r="P8726" s="6">
        <v>0.33</v>
      </c>
      <c r="Q8726" s="11">
        <v>2.2999999999999998</v>
      </c>
      <c r="R8726" s="11"/>
      <c r="S8726" s="11"/>
      <c r="T8726" s="11"/>
      <c r="U8726" s="11">
        <f t="shared" si="2463"/>
        <v>2.2999999999999998</v>
      </c>
      <c r="W8726">
        <v>2.5</v>
      </c>
      <c r="X8726" s="1" t="s">
        <v>24</v>
      </c>
    </row>
    <row r="8727" spans="1:24" x14ac:dyDescent="0.25">
      <c r="A8727" s="1" t="str">
        <f t="shared" si="2464"/>
        <v>卡卡杜-凤凰仓</v>
      </c>
      <c r="B8727" s="1" t="str">
        <f>"CK202410081978"</f>
        <v>CK202410081978</v>
      </c>
      <c r="C8727" s="1" t="str">
        <f>"DD2024100817218"</f>
        <v>DD2024100817218</v>
      </c>
      <c r="D8727" s="1" t="str">
        <f>"CK2024100812990"</f>
        <v>CK2024100812990</v>
      </c>
      <c r="E8727" s="1" t="str">
        <f>"6917929689147735743"</f>
        <v>6917929689147735743</v>
      </c>
      <c r="F8727" s="1" t="str">
        <f t="shared" si="2465"/>
        <v>花都四部-凤凰仓</v>
      </c>
      <c r="G8727" s="1" t="str">
        <f t="shared" si="2468"/>
        <v>卡卡杜个人护理店（抖店）</v>
      </c>
      <c r="H8727" s="1" t="str">
        <f t="shared" si="2466"/>
        <v>正常订单</v>
      </c>
      <c r="I8727" s="1" t="str">
        <f t="shared" si="2467"/>
        <v>已发货</v>
      </c>
      <c r="J8727" s="1" t="str">
        <f t="shared" si="2469"/>
        <v>2</v>
      </c>
      <c r="K8727" s="1">
        <v>1</v>
      </c>
      <c r="L8727" s="1" t="s">
        <v>20</v>
      </c>
      <c r="M8727" s="1" t="str">
        <f>"浙江省 绍兴市 嵊州市 甘霖镇"</f>
        <v>浙江省 绍兴市 嵊州市 甘霖镇</v>
      </c>
      <c r="N8727" s="1" t="str">
        <f t="shared" si="2470"/>
        <v>凡华云仓-韵达-抖音</v>
      </c>
      <c r="O8727" s="5">
        <v>320161045282797</v>
      </c>
      <c r="P8727" s="6">
        <v>0.33</v>
      </c>
      <c r="Q8727" s="11">
        <v>2.2999999999999998</v>
      </c>
      <c r="R8727" s="11"/>
      <c r="S8727" s="11"/>
      <c r="T8727" s="11"/>
      <c r="U8727" s="11">
        <f t="shared" si="2463"/>
        <v>2.2999999999999998</v>
      </c>
      <c r="W8727">
        <v>2.5</v>
      </c>
      <c r="X8727" s="1" t="s">
        <v>20</v>
      </c>
    </row>
    <row r="8728" spans="1:24" x14ac:dyDescent="0.25">
      <c r="A8728" s="1" t="str">
        <f t="shared" si="2464"/>
        <v>卡卡杜-凤凰仓</v>
      </c>
      <c r="B8728" s="1" t="str">
        <f>"CK202410081970"</f>
        <v>CK202410081970</v>
      </c>
      <c r="C8728" s="1" t="str">
        <f>"DD2024100817210"</f>
        <v>DD2024100817210</v>
      </c>
      <c r="D8728" s="1" t="str">
        <f>"CK2024100812989"</f>
        <v>CK2024100812989</v>
      </c>
      <c r="E8728" s="1" t="str">
        <f>"6917925153960787640"</f>
        <v>6917925153960787640</v>
      </c>
      <c r="F8728" s="1" t="str">
        <f t="shared" si="2465"/>
        <v>花都四部-凤凰仓</v>
      </c>
      <c r="G8728" s="1" t="str">
        <f t="shared" si="2468"/>
        <v>卡卡杜个人护理店（抖店）</v>
      </c>
      <c r="H8728" s="1" t="str">
        <f t="shared" si="2466"/>
        <v>正常订单</v>
      </c>
      <c r="I8728" s="1" t="str">
        <f t="shared" si="2467"/>
        <v>已发货</v>
      </c>
      <c r="J8728" s="1" t="str">
        <f t="shared" si="2469"/>
        <v>2</v>
      </c>
      <c r="K8728" s="1">
        <v>1</v>
      </c>
      <c r="L8728" s="1" t="s">
        <v>20</v>
      </c>
      <c r="M8728" s="1" t="str">
        <f>"浙江省 绍兴市 新昌县 七星街道"</f>
        <v>浙江省 绍兴市 新昌县 七星街道</v>
      </c>
      <c r="N8728" s="1" t="str">
        <f t="shared" si="2470"/>
        <v>凡华云仓-韵达-抖音</v>
      </c>
      <c r="O8728" s="5">
        <v>320161045282696</v>
      </c>
      <c r="P8728" s="6">
        <v>0.33</v>
      </c>
      <c r="Q8728" s="11">
        <v>2.2999999999999998</v>
      </c>
      <c r="R8728" s="11"/>
      <c r="S8728" s="11"/>
      <c r="T8728" s="11"/>
      <c r="U8728" s="11">
        <f t="shared" si="2463"/>
        <v>2.2999999999999998</v>
      </c>
      <c r="W8728">
        <v>2.5</v>
      </c>
      <c r="X8728" s="1" t="s">
        <v>20</v>
      </c>
    </row>
    <row r="8729" spans="1:24" x14ac:dyDescent="0.25">
      <c r="A8729" s="1" t="str">
        <f t="shared" si="2464"/>
        <v>卡卡杜-凤凰仓</v>
      </c>
      <c r="B8729" s="1" t="str">
        <f>"CK202410081984"</f>
        <v>CK202410081984</v>
      </c>
      <c r="C8729" s="1" t="str">
        <f>"DD2024100817224"</f>
        <v>DD2024100817224</v>
      </c>
      <c r="D8729" s="1" t="str">
        <f>"CK2024100812988"</f>
        <v>CK2024100812988</v>
      </c>
      <c r="E8729" s="1" t="str">
        <f>"6917922670447721554"</f>
        <v>6917922670447721554</v>
      </c>
      <c r="F8729" s="1" t="str">
        <f t="shared" si="2465"/>
        <v>花都四部-凤凰仓</v>
      </c>
      <c r="G8729" s="1" t="str">
        <f t="shared" si="2468"/>
        <v>卡卡杜个人护理店（抖店）</v>
      </c>
      <c r="H8729" s="1" t="str">
        <f t="shared" si="2466"/>
        <v>正常订单</v>
      </c>
      <c r="I8729" s="1" t="str">
        <f t="shared" si="2467"/>
        <v>已发货</v>
      </c>
      <c r="J8729" s="1" t="str">
        <f t="shared" si="2469"/>
        <v>2</v>
      </c>
      <c r="K8729" s="1">
        <v>1</v>
      </c>
      <c r="L8729" s="1" t="s">
        <v>13</v>
      </c>
      <c r="M8729" s="1" t="str">
        <f>"江苏省 南通市 海安市 海安街道"</f>
        <v>江苏省 南通市 海安市 海安街道</v>
      </c>
      <c r="N8729" s="1" t="str">
        <f t="shared" si="2470"/>
        <v>凡华云仓-韵达-抖音</v>
      </c>
      <c r="O8729" s="5">
        <v>320161040490080</v>
      </c>
      <c r="P8729" s="6">
        <v>0.33</v>
      </c>
      <c r="Q8729" s="11">
        <v>2.2999999999999998</v>
      </c>
      <c r="R8729" s="11"/>
      <c r="S8729" s="11"/>
      <c r="T8729" s="11"/>
      <c r="U8729" s="11">
        <f t="shared" si="2463"/>
        <v>2.2999999999999998</v>
      </c>
      <c r="W8729">
        <v>2.5</v>
      </c>
      <c r="X8729" s="1" t="s">
        <v>13</v>
      </c>
    </row>
    <row r="8730" spans="1:24" x14ac:dyDescent="0.25">
      <c r="A8730" s="1" t="str">
        <f t="shared" si="2464"/>
        <v>卡卡杜-凤凰仓</v>
      </c>
      <c r="B8730" s="1" t="str">
        <f>"CK202410081982"</f>
        <v>CK202410081982</v>
      </c>
      <c r="C8730" s="1" t="str">
        <f>"DD2024100817222"</f>
        <v>DD2024100817222</v>
      </c>
      <c r="D8730" s="1" t="str">
        <f>"CK2024100812987"</f>
        <v>CK2024100812987</v>
      </c>
      <c r="E8730" s="1" t="str">
        <f>"6917925135370190346"</f>
        <v>6917925135370190346</v>
      </c>
      <c r="F8730" s="1" t="str">
        <f t="shared" si="2465"/>
        <v>花都四部-凤凰仓</v>
      </c>
      <c r="G8730" s="1" t="str">
        <f t="shared" si="2468"/>
        <v>卡卡杜个人护理店（抖店）</v>
      </c>
      <c r="H8730" s="1" t="str">
        <f t="shared" si="2466"/>
        <v>正常订单</v>
      </c>
      <c r="I8730" s="1" t="str">
        <f t="shared" si="2467"/>
        <v>已发货</v>
      </c>
      <c r="J8730" s="1" t="str">
        <f t="shared" si="2469"/>
        <v>2</v>
      </c>
      <c r="K8730" s="1">
        <v>1</v>
      </c>
      <c r="L8730" s="1" t="s">
        <v>36</v>
      </c>
      <c r="M8730" s="1" t="str">
        <f>"安徽省 亳州市 利辛县 城关镇"</f>
        <v>安徽省 亳州市 利辛县 城关镇</v>
      </c>
      <c r="N8730" s="1" t="str">
        <f t="shared" si="2470"/>
        <v>凡华云仓-韵达-抖音</v>
      </c>
      <c r="O8730" s="5">
        <v>320161040489921</v>
      </c>
      <c r="P8730" s="6">
        <v>0.33</v>
      </c>
      <c r="Q8730" s="11">
        <v>2.2999999999999998</v>
      </c>
      <c r="R8730" s="11"/>
      <c r="S8730" s="11"/>
      <c r="T8730" s="11"/>
      <c r="U8730" s="11">
        <f t="shared" si="2463"/>
        <v>2.2999999999999998</v>
      </c>
      <c r="W8730">
        <v>2.5</v>
      </c>
      <c r="X8730" s="1" t="s">
        <v>36</v>
      </c>
    </row>
    <row r="8731" spans="1:24" x14ac:dyDescent="0.25">
      <c r="A8731" s="1" t="str">
        <f t="shared" si="2464"/>
        <v>卡卡杜-凤凰仓</v>
      </c>
      <c r="B8731" s="1" t="str">
        <f>"CK202410081980"</f>
        <v>CK202410081980</v>
      </c>
      <c r="C8731" s="1" t="str">
        <f>"DD2024100817220"</f>
        <v>DD2024100817220</v>
      </c>
      <c r="D8731" s="1" t="str">
        <f>"CK2024100812986"</f>
        <v>CK2024100812986</v>
      </c>
      <c r="E8731" s="1" t="str">
        <f>"6917929840066395411"</f>
        <v>6917929840066395411</v>
      </c>
      <c r="F8731" s="1" t="str">
        <f t="shared" si="2465"/>
        <v>花都四部-凤凰仓</v>
      </c>
      <c r="G8731" s="1" t="str">
        <f t="shared" si="2468"/>
        <v>卡卡杜个人护理店（抖店）</v>
      </c>
      <c r="H8731" s="1" t="str">
        <f t="shared" si="2466"/>
        <v>正常订单</v>
      </c>
      <c r="I8731" s="1" t="str">
        <f t="shared" si="2467"/>
        <v>已发货</v>
      </c>
      <c r="J8731" s="1" t="str">
        <f t="shared" si="2469"/>
        <v>2</v>
      </c>
      <c r="K8731" s="1">
        <v>1</v>
      </c>
      <c r="L8731" s="1" t="s">
        <v>22</v>
      </c>
      <c r="M8731" s="1" t="str">
        <f>"江西省 宜春市 高安市 筠阳街道"</f>
        <v>江西省 宜春市 高安市 筠阳街道</v>
      </c>
      <c r="N8731" s="1" t="str">
        <f t="shared" si="2470"/>
        <v>凡华云仓-韵达-抖音</v>
      </c>
      <c r="O8731" s="5">
        <v>320161040489816</v>
      </c>
      <c r="P8731" s="6">
        <v>0.33</v>
      </c>
      <c r="Q8731" s="11">
        <v>2.2999999999999998</v>
      </c>
      <c r="R8731" s="11"/>
      <c r="S8731" s="11"/>
      <c r="T8731" s="11"/>
      <c r="U8731" s="11">
        <f t="shared" si="2463"/>
        <v>2.2999999999999998</v>
      </c>
      <c r="W8731">
        <v>2.5</v>
      </c>
      <c r="X8731" s="1" t="s">
        <v>22</v>
      </c>
    </row>
    <row r="8732" spans="1:24" x14ac:dyDescent="0.25">
      <c r="A8732" s="1" t="str">
        <f t="shared" si="2464"/>
        <v>卡卡杜-凤凰仓</v>
      </c>
      <c r="B8732" s="1" t="str">
        <f>"CK202410081979"</f>
        <v>CK202410081979</v>
      </c>
      <c r="C8732" s="1" t="str">
        <f>"DD2024100817219"</f>
        <v>DD2024100817219</v>
      </c>
      <c r="D8732" s="1" t="str">
        <f>"CK2024100812985"</f>
        <v>CK2024100812985</v>
      </c>
      <c r="E8732" s="1" t="str">
        <f>"6917922581302181030"</f>
        <v>6917922581302181030</v>
      </c>
      <c r="F8732" s="1" t="str">
        <f t="shared" si="2465"/>
        <v>花都四部-凤凰仓</v>
      </c>
      <c r="G8732" s="1" t="str">
        <f t="shared" si="2468"/>
        <v>卡卡杜个人护理店（抖店）</v>
      </c>
      <c r="H8732" s="1" t="str">
        <f t="shared" si="2466"/>
        <v>正常订单</v>
      </c>
      <c r="I8732" s="1" t="str">
        <f t="shared" si="2467"/>
        <v>已发货</v>
      </c>
      <c r="J8732" s="1" t="str">
        <f t="shared" si="2469"/>
        <v>2</v>
      </c>
      <c r="K8732" s="1">
        <v>1</v>
      </c>
      <c r="L8732" s="1" t="s">
        <v>13</v>
      </c>
      <c r="M8732" s="1" t="str">
        <f>"江苏省 苏州市 常熟市 古里镇"</f>
        <v>江苏省 苏州市 常熟市 古里镇</v>
      </c>
      <c r="N8732" s="1" t="str">
        <f t="shared" si="2470"/>
        <v>凡华云仓-韵达-抖音</v>
      </c>
      <c r="O8732" s="5">
        <v>320161040489713</v>
      </c>
      <c r="P8732" s="6">
        <v>0.33</v>
      </c>
      <c r="Q8732" s="11">
        <v>2.2999999999999998</v>
      </c>
      <c r="R8732" s="11"/>
      <c r="S8732" s="11"/>
      <c r="T8732" s="11"/>
      <c r="U8732" s="11">
        <f t="shared" si="2463"/>
        <v>2.2999999999999998</v>
      </c>
      <c r="W8732">
        <v>2.5</v>
      </c>
      <c r="X8732" s="1" t="s">
        <v>13</v>
      </c>
    </row>
    <row r="8733" spans="1:24" x14ac:dyDescent="0.25">
      <c r="A8733" s="1" t="str">
        <f t="shared" si="2464"/>
        <v>卡卡杜-凤凰仓</v>
      </c>
      <c r="B8733" s="1" t="str">
        <f>"CK202410081977"</f>
        <v>CK202410081977</v>
      </c>
      <c r="C8733" s="1" t="str">
        <f>"DD2024100817217"</f>
        <v>DD2024100817217</v>
      </c>
      <c r="D8733" s="1" t="str">
        <f>"CK2024100812984"</f>
        <v>CK2024100812984</v>
      </c>
      <c r="E8733" s="1" t="str">
        <f>"6917927715902094563"</f>
        <v>6917927715902094563</v>
      </c>
      <c r="F8733" s="1" t="str">
        <f t="shared" si="2465"/>
        <v>花都四部-凤凰仓</v>
      </c>
      <c r="G8733" s="1" t="str">
        <f t="shared" si="2468"/>
        <v>卡卡杜个人护理店（抖店）</v>
      </c>
      <c r="H8733" s="1" t="str">
        <f t="shared" si="2466"/>
        <v>正常订单</v>
      </c>
      <c r="I8733" s="1" t="str">
        <f t="shared" si="2467"/>
        <v>已发货</v>
      </c>
      <c r="J8733" s="1" t="str">
        <f t="shared" si="2469"/>
        <v>2</v>
      </c>
      <c r="K8733" s="1">
        <v>1</v>
      </c>
      <c r="L8733" s="1" t="s">
        <v>20</v>
      </c>
      <c r="M8733" s="1" t="str">
        <f>"浙江省 金华市 永康市 东城街道"</f>
        <v>浙江省 金华市 永康市 东城街道</v>
      </c>
      <c r="N8733" s="1" t="str">
        <f t="shared" si="2470"/>
        <v>凡华云仓-韵达-抖音</v>
      </c>
      <c r="O8733" s="5">
        <v>320161040489612</v>
      </c>
      <c r="P8733" s="6">
        <v>0.33</v>
      </c>
      <c r="Q8733" s="11">
        <v>2.2999999999999998</v>
      </c>
      <c r="R8733" s="11"/>
      <c r="S8733" s="11"/>
      <c r="T8733" s="11"/>
      <c r="U8733" s="11">
        <f t="shared" si="2463"/>
        <v>2.2999999999999998</v>
      </c>
      <c r="W8733">
        <v>2.5</v>
      </c>
      <c r="X8733" s="1" t="s">
        <v>20</v>
      </c>
    </row>
    <row r="8734" spans="1:24" x14ac:dyDescent="0.25">
      <c r="A8734" s="1" t="str">
        <f t="shared" si="2464"/>
        <v>卡卡杜-凤凰仓</v>
      </c>
      <c r="B8734" s="1" t="str">
        <f>"CK202410081973"</f>
        <v>CK202410081973</v>
      </c>
      <c r="C8734" s="1" t="str">
        <f>"DD2024100817213"</f>
        <v>DD2024100817213</v>
      </c>
      <c r="D8734" s="1" t="str">
        <f>"CK2024100812983"</f>
        <v>CK2024100812983</v>
      </c>
      <c r="E8734" s="1" t="str">
        <f>"6917927537358437817"</f>
        <v>6917927537358437817</v>
      </c>
      <c r="F8734" s="1" t="str">
        <f t="shared" si="2465"/>
        <v>花都四部-凤凰仓</v>
      </c>
      <c r="G8734" s="1" t="str">
        <f t="shared" si="2468"/>
        <v>卡卡杜个人护理店（抖店）</v>
      </c>
      <c r="H8734" s="1" t="str">
        <f t="shared" si="2466"/>
        <v>正常订单</v>
      </c>
      <c r="I8734" s="1" t="str">
        <f t="shared" si="2467"/>
        <v>已发货</v>
      </c>
      <c r="J8734" s="1" t="str">
        <f t="shared" si="2469"/>
        <v>2</v>
      </c>
      <c r="K8734" s="1">
        <v>1</v>
      </c>
      <c r="L8734" s="1" t="s">
        <v>27</v>
      </c>
      <c r="M8734" s="1" t="str">
        <f>"贵州省 铜仁市 思南县 邵家桥镇"</f>
        <v>贵州省 铜仁市 思南县 邵家桥镇</v>
      </c>
      <c r="N8734" s="1" t="str">
        <f t="shared" si="2470"/>
        <v>凡华云仓-韵达-抖音</v>
      </c>
      <c r="O8734" s="5">
        <v>320161040489513</v>
      </c>
      <c r="P8734" s="6">
        <v>0.33</v>
      </c>
      <c r="Q8734" s="11">
        <v>2.2999999999999998</v>
      </c>
      <c r="R8734" s="11"/>
      <c r="S8734" s="11"/>
      <c r="T8734" s="11"/>
      <c r="U8734" s="11">
        <f t="shared" si="2463"/>
        <v>2.2999999999999998</v>
      </c>
      <c r="W8734">
        <v>2.5</v>
      </c>
      <c r="X8734" s="1" t="s">
        <v>27</v>
      </c>
    </row>
    <row r="8735" spans="1:24" x14ac:dyDescent="0.25">
      <c r="A8735" s="1" t="str">
        <f t="shared" si="2464"/>
        <v>卡卡杜-凤凰仓</v>
      </c>
      <c r="B8735" s="1" t="str">
        <f>"CK202410081995"</f>
        <v>CK202410081995</v>
      </c>
      <c r="C8735" s="1" t="str">
        <f>"DD2024100817235"</f>
        <v>DD2024100817235</v>
      </c>
      <c r="D8735" s="1" t="str">
        <f>"CK2024100812982"</f>
        <v>CK2024100812982</v>
      </c>
      <c r="E8735" s="1" t="str">
        <f>"6917920342074096916"</f>
        <v>6917920342074096916</v>
      </c>
      <c r="F8735" s="1" t="str">
        <f t="shared" si="2465"/>
        <v>花都四部-凤凰仓</v>
      </c>
      <c r="G8735" s="1" t="str">
        <f t="shared" si="2468"/>
        <v>卡卡杜个人护理店（抖店）</v>
      </c>
      <c r="H8735" s="1" t="str">
        <f t="shared" si="2466"/>
        <v>正常订单</v>
      </c>
      <c r="I8735" s="1" t="str">
        <f t="shared" si="2467"/>
        <v>已发货</v>
      </c>
      <c r="J8735" s="1" t="str">
        <f t="shared" si="2469"/>
        <v>2</v>
      </c>
      <c r="K8735" s="1">
        <v>1</v>
      </c>
      <c r="L8735" s="1" t="s">
        <v>13</v>
      </c>
      <c r="M8735" s="1" t="str">
        <f>"江苏省 徐州市 睢宁县 睢城街道"</f>
        <v>江苏省 徐州市 睢宁县 睢城街道</v>
      </c>
      <c r="N8735" s="1" t="str">
        <f t="shared" si="2470"/>
        <v>凡华云仓-韵达-抖音</v>
      </c>
      <c r="O8735" s="5">
        <v>320161040489416</v>
      </c>
      <c r="P8735" s="6">
        <v>0.33</v>
      </c>
      <c r="Q8735" s="11">
        <v>2.2999999999999998</v>
      </c>
      <c r="R8735" s="11"/>
      <c r="S8735" s="11"/>
      <c r="T8735" s="11"/>
      <c r="U8735" s="11">
        <f t="shared" si="2463"/>
        <v>2.2999999999999998</v>
      </c>
      <c r="W8735">
        <v>2.5</v>
      </c>
      <c r="X8735" s="1" t="s">
        <v>13</v>
      </c>
    </row>
    <row r="8736" spans="1:24" x14ac:dyDescent="0.25">
      <c r="A8736" s="1" t="str">
        <f t="shared" si="2464"/>
        <v>卡卡杜-凤凰仓</v>
      </c>
      <c r="B8736" s="1" t="str">
        <f>"CK202410081926"</f>
        <v>CK202410081926</v>
      </c>
      <c r="C8736" s="1" t="str">
        <f>"DD2024100817166"</f>
        <v>DD2024100817166</v>
      </c>
      <c r="D8736" s="1" t="str">
        <f>"CK2024100812981"</f>
        <v>CK2024100812981</v>
      </c>
      <c r="E8736" s="1" t="str">
        <f>"6917922642981518965"</f>
        <v>6917922642981518965</v>
      </c>
      <c r="F8736" s="1" t="str">
        <f t="shared" si="2465"/>
        <v>花都四部-凤凰仓</v>
      </c>
      <c r="G8736" s="1" t="str">
        <f t="shared" si="2468"/>
        <v>卡卡杜个人护理店（抖店）</v>
      </c>
      <c r="H8736" s="1" t="str">
        <f t="shared" si="2466"/>
        <v>正常订单</v>
      </c>
      <c r="I8736" s="1" t="str">
        <f t="shared" si="2467"/>
        <v>已发货</v>
      </c>
      <c r="J8736" s="1" t="str">
        <f t="shared" si="2469"/>
        <v>2</v>
      </c>
      <c r="K8736" s="1">
        <v>1</v>
      </c>
      <c r="L8736" s="1" t="s">
        <v>22</v>
      </c>
      <c r="M8736" s="1" t="str">
        <f>"江西省 吉安市 新干县 "</f>
        <v xml:space="preserve">江西省 吉安市 新干县 </v>
      </c>
      <c r="N8736" s="1" t="str">
        <f t="shared" si="2470"/>
        <v>凡华云仓-韵达-抖音</v>
      </c>
      <c r="O8736" s="5">
        <v>320161040489321</v>
      </c>
      <c r="P8736" s="6">
        <v>0.33</v>
      </c>
      <c r="Q8736" s="11">
        <v>2.2999999999999998</v>
      </c>
      <c r="R8736" s="11"/>
      <c r="S8736" s="11"/>
      <c r="T8736" s="11"/>
      <c r="U8736" s="11">
        <f t="shared" si="2463"/>
        <v>2.2999999999999998</v>
      </c>
      <c r="W8736">
        <v>2.5</v>
      </c>
      <c r="X8736" s="1" t="s">
        <v>22</v>
      </c>
    </row>
    <row r="8737" spans="1:24" x14ac:dyDescent="0.25">
      <c r="A8737" s="1" t="str">
        <f t="shared" si="2464"/>
        <v>卡卡杜-凤凰仓</v>
      </c>
      <c r="B8737" s="1" t="str">
        <f>"CK202410081941"</f>
        <v>CK202410081941</v>
      </c>
      <c r="C8737" s="1" t="str">
        <f>"DD2024100817181"</f>
        <v>DD2024100817181</v>
      </c>
      <c r="D8737" s="1" t="str">
        <f>"CK2024100812980"</f>
        <v>CK2024100812980</v>
      </c>
      <c r="E8737" s="1" t="str">
        <f>"6917929684549795209"</f>
        <v>6917929684549795209</v>
      </c>
      <c r="F8737" s="1" t="str">
        <f t="shared" si="2465"/>
        <v>花都四部-凤凰仓</v>
      </c>
      <c r="G8737" s="1" t="str">
        <f t="shared" si="2468"/>
        <v>卡卡杜个人护理店（抖店）</v>
      </c>
      <c r="H8737" s="1" t="str">
        <f t="shared" si="2466"/>
        <v>正常订单</v>
      </c>
      <c r="I8737" s="1" t="str">
        <f t="shared" si="2467"/>
        <v>已发货</v>
      </c>
      <c r="J8737" s="1" t="str">
        <f t="shared" si="2469"/>
        <v>2</v>
      </c>
      <c r="K8737" s="1">
        <v>1</v>
      </c>
      <c r="L8737" s="1" t="s">
        <v>41</v>
      </c>
      <c r="M8737" s="1" t="str">
        <f>"湖北省 武汉市 东西湖区 吴家山街道"</f>
        <v>湖北省 武汉市 东西湖区 吴家山街道</v>
      </c>
      <c r="N8737" s="1" t="str">
        <f t="shared" si="2470"/>
        <v>凡华云仓-韵达-抖音</v>
      </c>
      <c r="O8737" s="5">
        <v>320161040489228</v>
      </c>
      <c r="P8737" s="6">
        <v>0.33</v>
      </c>
      <c r="Q8737" s="11">
        <v>2.2999999999999998</v>
      </c>
      <c r="R8737" s="11"/>
      <c r="S8737" s="11"/>
      <c r="T8737" s="11"/>
      <c r="U8737" s="11">
        <f t="shared" si="2463"/>
        <v>2.2999999999999998</v>
      </c>
      <c r="W8737">
        <v>2.5</v>
      </c>
      <c r="X8737" s="1" t="s">
        <v>41</v>
      </c>
    </row>
    <row r="8738" spans="1:24" x14ac:dyDescent="0.25">
      <c r="A8738" s="1" t="str">
        <f t="shared" si="2464"/>
        <v>卡卡杜-凤凰仓</v>
      </c>
      <c r="B8738" s="1" t="str">
        <f>"CK202410081924"</f>
        <v>CK202410081924</v>
      </c>
      <c r="C8738" s="1" t="str">
        <f>"DD2024100817164"</f>
        <v>DD2024100817164</v>
      </c>
      <c r="D8738" s="1" t="str">
        <f>"CK2024100812979"</f>
        <v>CK2024100812979</v>
      </c>
      <c r="E8738" s="1" t="str">
        <f>"6917924671633784429"</f>
        <v>6917924671633784429</v>
      </c>
      <c r="F8738" s="1" t="str">
        <f t="shared" si="2465"/>
        <v>花都四部-凤凰仓</v>
      </c>
      <c r="G8738" s="1" t="str">
        <f t="shared" si="2468"/>
        <v>卡卡杜个人护理店（抖店）</v>
      </c>
      <c r="H8738" s="1" t="str">
        <f t="shared" si="2466"/>
        <v>正常订单</v>
      </c>
      <c r="I8738" s="1" t="str">
        <f t="shared" si="2467"/>
        <v>已发货</v>
      </c>
      <c r="J8738" s="1" t="str">
        <f t="shared" si="2469"/>
        <v>2</v>
      </c>
      <c r="K8738" s="1">
        <v>1</v>
      </c>
      <c r="L8738" s="1" t="s">
        <v>60</v>
      </c>
      <c r="M8738" s="1" t="str">
        <f>"云南省 红河哈尼族彝族自治州 泸西县 中枢镇"</f>
        <v>云南省 红河哈尼族彝族自治州 泸西县 中枢镇</v>
      </c>
      <c r="N8738" s="1" t="str">
        <f t="shared" si="2470"/>
        <v>凡华云仓-韵达-抖音</v>
      </c>
      <c r="O8738" s="5">
        <v>320161040489137</v>
      </c>
      <c r="P8738" s="6">
        <v>0.33</v>
      </c>
      <c r="Q8738" s="11">
        <v>2.2999999999999998</v>
      </c>
      <c r="R8738" s="11"/>
      <c r="S8738" s="11"/>
      <c r="T8738" s="11"/>
      <c r="U8738" s="11">
        <f t="shared" si="2463"/>
        <v>2.2999999999999998</v>
      </c>
      <c r="W8738">
        <v>2.5</v>
      </c>
      <c r="X8738" s="1" t="s">
        <v>60</v>
      </c>
    </row>
    <row r="8739" spans="1:24" x14ac:dyDescent="0.25">
      <c r="A8739" s="1" t="str">
        <f t="shared" si="2464"/>
        <v>卡卡杜-凤凰仓</v>
      </c>
      <c r="B8739" s="1" t="str">
        <f>"CK202410081923"</f>
        <v>CK202410081923</v>
      </c>
      <c r="C8739" s="1" t="str">
        <f>"DD2024100817163"</f>
        <v>DD2024100817163</v>
      </c>
      <c r="D8739" s="1" t="str">
        <f>"CK2024100812978"</f>
        <v>CK2024100812978</v>
      </c>
      <c r="E8739" s="1" t="str">
        <f>"6917927292030582181"</f>
        <v>6917927292030582181</v>
      </c>
      <c r="F8739" s="1" t="str">
        <f t="shared" si="2465"/>
        <v>花都四部-凤凰仓</v>
      </c>
      <c r="G8739" s="1" t="str">
        <f t="shared" si="2468"/>
        <v>卡卡杜个人护理店（抖店）</v>
      </c>
      <c r="H8739" s="1" t="str">
        <f t="shared" si="2466"/>
        <v>正常订单</v>
      </c>
      <c r="I8739" s="1" t="str">
        <f t="shared" si="2467"/>
        <v>已发货</v>
      </c>
      <c r="J8739" s="1" t="str">
        <f t="shared" si="2469"/>
        <v>2</v>
      </c>
      <c r="K8739" s="1">
        <v>1</v>
      </c>
      <c r="L8739" s="1" t="s">
        <v>27</v>
      </c>
      <c r="M8739" s="1" t="str">
        <f>"贵州省 黔南布依族苗族自治州 平塘县 金盆街道"</f>
        <v>贵州省 黔南布依族苗族自治州 平塘县 金盆街道</v>
      </c>
      <c r="N8739" s="1" t="str">
        <f t="shared" si="2470"/>
        <v>凡华云仓-韵达-抖音</v>
      </c>
      <c r="O8739" s="5">
        <v>320161048170061</v>
      </c>
      <c r="P8739" s="6">
        <v>0.33</v>
      </c>
      <c r="Q8739" s="11">
        <v>2.2999999999999998</v>
      </c>
      <c r="R8739" s="11"/>
      <c r="S8739" s="11"/>
      <c r="T8739" s="11"/>
      <c r="U8739" s="11">
        <f t="shared" si="2463"/>
        <v>2.2999999999999998</v>
      </c>
      <c r="W8739">
        <v>2.5</v>
      </c>
      <c r="X8739" s="1" t="s">
        <v>27</v>
      </c>
    </row>
    <row r="8740" spans="1:24" x14ac:dyDescent="0.25">
      <c r="A8740" s="1" t="str">
        <f t="shared" si="2464"/>
        <v>卡卡杜-凤凰仓</v>
      </c>
      <c r="B8740" s="1" t="str">
        <f>"CK202410081865"</f>
        <v>CK202410081865</v>
      </c>
      <c r="C8740" s="1" t="str">
        <f>"DD2024100817105"</f>
        <v>DD2024100817105</v>
      </c>
      <c r="D8740" s="1" t="str">
        <f>"CK2024100812977"</f>
        <v>CK2024100812977</v>
      </c>
      <c r="E8740" s="1" t="str">
        <f>"6917924799041076349"</f>
        <v>6917924799041076349</v>
      </c>
      <c r="F8740" s="1" t="str">
        <f t="shared" si="2465"/>
        <v>花都四部-凤凰仓</v>
      </c>
      <c r="G8740" s="1" t="str">
        <f t="shared" si="2468"/>
        <v>卡卡杜个人护理店（抖店）</v>
      </c>
      <c r="H8740" s="1" t="str">
        <f t="shared" si="2466"/>
        <v>正常订单</v>
      </c>
      <c r="I8740" s="1" t="str">
        <f t="shared" si="2467"/>
        <v>已发货</v>
      </c>
      <c r="J8740" s="1" t="str">
        <f t="shared" si="2469"/>
        <v>2</v>
      </c>
      <c r="K8740" s="1">
        <v>1</v>
      </c>
      <c r="L8740" s="1" t="s">
        <v>27</v>
      </c>
      <c r="M8740" s="1" t="str">
        <f>"贵州省 遵义市 道真仡佬族苗族自治县 "</f>
        <v xml:space="preserve">贵州省 遵义市 道真仡佬族苗族自治县 </v>
      </c>
      <c r="N8740" s="1" t="str">
        <f t="shared" si="2470"/>
        <v>凡华云仓-韵达-抖音</v>
      </c>
      <c r="O8740" s="5">
        <v>320161048169906</v>
      </c>
      <c r="P8740" s="6">
        <v>0.33</v>
      </c>
      <c r="Q8740" s="11">
        <v>2.2999999999999998</v>
      </c>
      <c r="R8740" s="11"/>
      <c r="S8740" s="11"/>
      <c r="T8740" s="11"/>
      <c r="U8740" s="11">
        <f t="shared" si="2463"/>
        <v>2.2999999999999998</v>
      </c>
      <c r="W8740">
        <v>2.5</v>
      </c>
      <c r="X8740" s="1" t="s">
        <v>27</v>
      </c>
    </row>
    <row r="8741" spans="1:24" x14ac:dyDescent="0.25">
      <c r="A8741" s="1" t="str">
        <f t="shared" si="2464"/>
        <v>卡卡杜-凤凰仓</v>
      </c>
      <c r="B8741" s="1" t="str">
        <f>"CK202410081874"</f>
        <v>CK202410081874</v>
      </c>
      <c r="C8741" s="1" t="str">
        <f>"DD2024100817114"</f>
        <v>DD2024100817114</v>
      </c>
      <c r="D8741" s="1" t="str">
        <f>"CK2024100812976"</f>
        <v>CK2024100812976</v>
      </c>
      <c r="E8741" s="1" t="str">
        <f>"6917922474118708751"</f>
        <v>6917922474118708751</v>
      </c>
      <c r="F8741" s="1" t="str">
        <f t="shared" si="2465"/>
        <v>花都四部-凤凰仓</v>
      </c>
      <c r="G8741" s="1" t="str">
        <f t="shared" si="2468"/>
        <v>卡卡杜个人护理店（抖店）</v>
      </c>
      <c r="H8741" s="1" t="str">
        <f t="shared" si="2466"/>
        <v>正常订单</v>
      </c>
      <c r="I8741" s="1" t="str">
        <f t="shared" si="2467"/>
        <v>已发货</v>
      </c>
      <c r="J8741" s="1" t="str">
        <f t="shared" si="2469"/>
        <v>2</v>
      </c>
      <c r="K8741" s="1">
        <v>1</v>
      </c>
      <c r="L8741" s="1" t="s">
        <v>20</v>
      </c>
      <c r="M8741" s="1" t="str">
        <f>"浙江省 温州市 苍南县 金乡镇"</f>
        <v>浙江省 温州市 苍南县 金乡镇</v>
      </c>
      <c r="N8741" s="1" t="str">
        <f t="shared" si="2470"/>
        <v>凡华云仓-韵达-抖音</v>
      </c>
      <c r="O8741" s="5">
        <v>320161048169801</v>
      </c>
      <c r="P8741" s="6">
        <v>0.33</v>
      </c>
      <c r="Q8741" s="11">
        <v>2.2999999999999998</v>
      </c>
      <c r="R8741" s="11"/>
      <c r="S8741" s="11"/>
      <c r="T8741" s="11"/>
      <c r="U8741" s="11">
        <f t="shared" si="2463"/>
        <v>2.2999999999999998</v>
      </c>
      <c r="W8741">
        <v>2.5</v>
      </c>
      <c r="X8741" s="1" t="s">
        <v>20</v>
      </c>
    </row>
    <row r="8742" spans="1:24" x14ac:dyDescent="0.25">
      <c r="A8742" s="1" t="str">
        <f t="shared" si="2464"/>
        <v>卡卡杜-凤凰仓</v>
      </c>
      <c r="B8742" s="1" t="str">
        <f>"CK202410081869"</f>
        <v>CK202410081869</v>
      </c>
      <c r="C8742" s="1" t="str">
        <f>"DD2024100817107"</f>
        <v>DD2024100817107</v>
      </c>
      <c r="D8742" s="1" t="str">
        <f>"CK2024100812975"</f>
        <v>CK2024100812975</v>
      </c>
      <c r="E8742" s="1" t="str">
        <f>"6917927387322416901"</f>
        <v>6917927387322416901</v>
      </c>
      <c r="F8742" s="1" t="str">
        <f t="shared" si="2465"/>
        <v>花都四部-凤凰仓</v>
      </c>
      <c r="G8742" s="1" t="str">
        <f t="shared" si="2468"/>
        <v>卡卡杜个人护理店（抖店）</v>
      </c>
      <c r="H8742" s="1" t="str">
        <f t="shared" si="2466"/>
        <v>正常订单</v>
      </c>
      <c r="I8742" s="1" t="str">
        <f t="shared" si="2467"/>
        <v>已发货</v>
      </c>
      <c r="J8742" s="1" t="str">
        <f t="shared" si="2469"/>
        <v>2</v>
      </c>
      <c r="K8742" s="1">
        <v>1</v>
      </c>
      <c r="L8742" s="1" t="s">
        <v>3743</v>
      </c>
      <c r="M8742" s="1" t="str">
        <f>"西藏自治区 拉萨市 堆龙德庆区 柳梧街道"</f>
        <v>西藏自治区 拉萨市 堆龙德庆区 柳梧街道</v>
      </c>
      <c r="N8742" s="1" t="str">
        <f t="shared" si="2470"/>
        <v>凡华云仓-韵达-抖音</v>
      </c>
      <c r="O8742" s="5">
        <v>320161048169798</v>
      </c>
      <c r="P8742" s="6">
        <v>0.33</v>
      </c>
      <c r="Q8742" s="11">
        <v>17</v>
      </c>
      <c r="R8742" s="11"/>
      <c r="S8742" s="11"/>
      <c r="T8742" s="11"/>
      <c r="U8742" s="11">
        <f t="shared" si="2463"/>
        <v>17</v>
      </c>
      <c r="W8742">
        <v>17</v>
      </c>
      <c r="X8742" s="1" t="s">
        <v>3743</v>
      </c>
    </row>
    <row r="8743" spans="1:24" x14ac:dyDescent="0.25">
      <c r="A8743" s="1" t="str">
        <f t="shared" si="2464"/>
        <v>卡卡杜-凤凰仓</v>
      </c>
      <c r="B8743" s="1" t="str">
        <f>"CK202410081868"</f>
        <v>CK202410081868</v>
      </c>
      <c r="C8743" s="1" t="str">
        <f>"DD2024100817109"</f>
        <v>DD2024100817109</v>
      </c>
      <c r="D8743" s="1" t="str">
        <f>"CK2024100812974"</f>
        <v>CK2024100812974</v>
      </c>
      <c r="E8743" s="1" t="str">
        <f>"6917925014910631611"</f>
        <v>6917925014910631611</v>
      </c>
      <c r="F8743" s="1" t="str">
        <f t="shared" si="2465"/>
        <v>花都四部-凤凰仓</v>
      </c>
      <c r="G8743" s="1" t="str">
        <f t="shared" si="2468"/>
        <v>卡卡杜个人护理店（抖店）</v>
      </c>
      <c r="H8743" s="1" t="str">
        <f t="shared" si="2466"/>
        <v>正常订单</v>
      </c>
      <c r="I8743" s="1" t="str">
        <f t="shared" si="2467"/>
        <v>已发货</v>
      </c>
      <c r="J8743" s="1" t="str">
        <f t="shared" si="2469"/>
        <v>2</v>
      </c>
      <c r="K8743" s="1">
        <v>1</v>
      </c>
      <c r="L8743" s="1" t="s">
        <v>20</v>
      </c>
      <c r="M8743" s="1" t="str">
        <f>"浙江省 台州市 玉环市 大麦屿街道"</f>
        <v>浙江省 台州市 玉环市 大麦屿街道</v>
      </c>
      <c r="N8743" s="1" t="str">
        <f t="shared" si="2470"/>
        <v>凡华云仓-韵达-抖音</v>
      </c>
      <c r="O8743" s="5">
        <v>320161048169697</v>
      </c>
      <c r="P8743" s="6">
        <v>0.33</v>
      </c>
      <c r="Q8743" s="11">
        <v>2.2999999999999998</v>
      </c>
      <c r="R8743" s="11"/>
      <c r="S8743" s="11"/>
      <c r="T8743" s="11"/>
      <c r="U8743" s="11">
        <f t="shared" si="2463"/>
        <v>2.2999999999999998</v>
      </c>
      <c r="W8743">
        <v>2.5</v>
      </c>
      <c r="X8743" s="1" t="s">
        <v>20</v>
      </c>
    </row>
    <row r="8744" spans="1:24" x14ac:dyDescent="0.25">
      <c r="A8744" s="1" t="str">
        <f t="shared" si="2464"/>
        <v>卡卡杜-凤凰仓</v>
      </c>
      <c r="B8744" s="1" t="str">
        <f>"CK202410081852"</f>
        <v>CK202410081852</v>
      </c>
      <c r="C8744" s="1" t="str">
        <f>"DD2024100817088"</f>
        <v>DD2024100817088</v>
      </c>
      <c r="D8744" s="1" t="str">
        <f>"CK2024100812973"</f>
        <v>CK2024100812973</v>
      </c>
      <c r="E8744" s="1" t="str">
        <f>"6917922751660456968"</f>
        <v>6917922751660456968</v>
      </c>
      <c r="F8744" s="1" t="str">
        <f t="shared" si="2465"/>
        <v>花都四部-凤凰仓</v>
      </c>
      <c r="G8744" s="1" t="str">
        <f t="shared" si="2468"/>
        <v>卡卡杜个人护理店（抖店）</v>
      </c>
      <c r="H8744" s="1" t="str">
        <f t="shared" si="2466"/>
        <v>正常订单</v>
      </c>
      <c r="I8744" s="1" t="str">
        <f t="shared" si="2467"/>
        <v>已发货</v>
      </c>
      <c r="J8744" s="1" t="str">
        <f t="shared" si="2469"/>
        <v>2</v>
      </c>
      <c r="K8744" s="1">
        <v>1</v>
      </c>
      <c r="L8744" s="1" t="s">
        <v>18</v>
      </c>
      <c r="M8744" s="1" t="str">
        <f>"广东省 东莞市 东莞市 长安镇"</f>
        <v>广东省 东莞市 东莞市 长安镇</v>
      </c>
      <c r="N8744" s="1" t="str">
        <f t="shared" si="2470"/>
        <v>凡华云仓-韵达-抖音</v>
      </c>
      <c r="O8744" s="5">
        <v>320161048169598</v>
      </c>
      <c r="P8744" s="6">
        <v>0.33</v>
      </c>
      <c r="Q8744" s="11">
        <v>2.2999999999999998</v>
      </c>
      <c r="R8744" s="11"/>
      <c r="S8744" s="11"/>
      <c r="T8744" s="11"/>
      <c r="U8744" s="11">
        <f t="shared" si="2463"/>
        <v>2.2999999999999998</v>
      </c>
      <c r="W8744">
        <v>2.5</v>
      </c>
      <c r="X8744" s="1" t="s">
        <v>18</v>
      </c>
    </row>
    <row r="8745" spans="1:24" x14ac:dyDescent="0.25">
      <c r="A8745" s="1" t="str">
        <f t="shared" si="2464"/>
        <v>卡卡杜-凤凰仓</v>
      </c>
      <c r="B8745" s="1" t="str">
        <f>"CK202410081870"</f>
        <v>CK202410081870</v>
      </c>
      <c r="C8745" s="1" t="str">
        <f>"DD2024100817110"</f>
        <v>DD2024100817110</v>
      </c>
      <c r="D8745" s="1" t="str">
        <f>"CK2024100812972"</f>
        <v>CK2024100812972</v>
      </c>
      <c r="E8745" s="1" t="str">
        <f>"6917924959863340775"</f>
        <v>6917924959863340775</v>
      </c>
      <c r="F8745" s="1" t="str">
        <f t="shared" si="2465"/>
        <v>花都四部-凤凰仓</v>
      </c>
      <c r="G8745" s="1" t="str">
        <f t="shared" si="2468"/>
        <v>卡卡杜个人护理店（抖店）</v>
      </c>
      <c r="H8745" s="1" t="str">
        <f t="shared" si="2466"/>
        <v>正常订单</v>
      </c>
      <c r="I8745" s="1" t="str">
        <f t="shared" si="2467"/>
        <v>已发货</v>
      </c>
      <c r="J8745" s="1" t="str">
        <f t="shared" si="2469"/>
        <v>2</v>
      </c>
      <c r="K8745" s="1">
        <v>1</v>
      </c>
      <c r="L8745" s="1" t="s">
        <v>96</v>
      </c>
      <c r="M8745" s="1" t="str">
        <f>"广西壮族自治区 北海市 铁山港区 营盘镇"</f>
        <v>广西壮族自治区 北海市 铁山港区 营盘镇</v>
      </c>
      <c r="N8745" s="1" t="str">
        <f t="shared" si="2470"/>
        <v>凡华云仓-韵达-抖音</v>
      </c>
      <c r="O8745" s="5">
        <v>320161048169401</v>
      </c>
      <c r="P8745" s="6">
        <v>0.33</v>
      </c>
      <c r="Q8745" s="11">
        <v>2.2999999999999998</v>
      </c>
      <c r="R8745" s="11"/>
      <c r="S8745" s="11"/>
      <c r="T8745" s="11"/>
      <c r="U8745" s="11">
        <f t="shared" si="2463"/>
        <v>2.2999999999999998</v>
      </c>
      <c r="W8745">
        <v>2.5</v>
      </c>
      <c r="X8745" s="1" t="s">
        <v>96</v>
      </c>
    </row>
    <row r="8746" spans="1:24" x14ac:dyDescent="0.25">
      <c r="A8746" s="1" t="str">
        <f t="shared" si="2464"/>
        <v>卡卡杜-凤凰仓</v>
      </c>
      <c r="B8746" s="1" t="str">
        <f>"CK202410081871"</f>
        <v>CK202410081871</v>
      </c>
      <c r="C8746" s="1" t="str">
        <f>"DD2024100817111"</f>
        <v>DD2024100817111</v>
      </c>
      <c r="D8746" s="1" t="str">
        <f>"CK2024100812971"</f>
        <v>CK2024100812971</v>
      </c>
      <c r="E8746" s="1" t="str">
        <f>"6917927251525139957"</f>
        <v>6917927251525139957</v>
      </c>
      <c r="F8746" s="1" t="str">
        <f t="shared" si="2465"/>
        <v>花都四部-凤凰仓</v>
      </c>
      <c r="G8746" s="1" t="str">
        <f t="shared" si="2468"/>
        <v>卡卡杜个人护理店（抖店）</v>
      </c>
      <c r="H8746" s="1" t="str">
        <f t="shared" si="2466"/>
        <v>正常订单</v>
      </c>
      <c r="I8746" s="1" t="str">
        <f t="shared" si="2467"/>
        <v>已发货</v>
      </c>
      <c r="J8746" s="1" t="str">
        <f t="shared" si="2469"/>
        <v>2</v>
      </c>
      <c r="K8746" s="1">
        <v>1</v>
      </c>
      <c r="L8746" s="1" t="s">
        <v>18</v>
      </c>
      <c r="M8746" s="1" t="str">
        <f>"广东省 深圳市 福田区 沙头街道"</f>
        <v>广东省 深圳市 福田区 沙头街道</v>
      </c>
      <c r="N8746" s="1" t="str">
        <f t="shared" si="2470"/>
        <v>凡华云仓-韵达-抖音</v>
      </c>
      <c r="O8746" s="5">
        <v>320161048169306</v>
      </c>
      <c r="P8746" s="6">
        <v>0.33</v>
      </c>
      <c r="Q8746" s="11">
        <v>2.2999999999999998</v>
      </c>
      <c r="R8746" s="11"/>
      <c r="S8746" s="11"/>
      <c r="T8746" s="11"/>
      <c r="U8746" s="11">
        <f t="shared" si="2463"/>
        <v>2.2999999999999998</v>
      </c>
      <c r="W8746">
        <v>2.5</v>
      </c>
      <c r="X8746" s="1" t="s">
        <v>18</v>
      </c>
    </row>
    <row r="8747" spans="1:24" x14ac:dyDescent="0.25">
      <c r="A8747" s="1" t="str">
        <f t="shared" si="2464"/>
        <v>卡卡杜-凤凰仓</v>
      </c>
      <c r="B8747" s="1" t="str">
        <f>"CK202410081872"</f>
        <v>CK202410081872</v>
      </c>
      <c r="C8747" s="1" t="str">
        <f>"DD2024100817113"</f>
        <v>DD2024100817113</v>
      </c>
      <c r="D8747" s="1" t="str">
        <f>"CK2024100812970"</f>
        <v>CK2024100812970</v>
      </c>
      <c r="E8747" s="1" t="str">
        <f>"6917927396435132013"</f>
        <v>6917927396435132013</v>
      </c>
      <c r="F8747" s="1" t="str">
        <f t="shared" si="2465"/>
        <v>花都四部-凤凰仓</v>
      </c>
      <c r="G8747" s="1" t="str">
        <f t="shared" si="2468"/>
        <v>卡卡杜个人护理店（抖店）</v>
      </c>
      <c r="H8747" s="1" t="str">
        <f t="shared" si="2466"/>
        <v>正常订单</v>
      </c>
      <c r="I8747" s="1" t="str">
        <f t="shared" si="2467"/>
        <v>已发货</v>
      </c>
      <c r="J8747" s="1" t="str">
        <f t="shared" si="2469"/>
        <v>2</v>
      </c>
      <c r="K8747" s="1">
        <v>1</v>
      </c>
      <c r="L8747" s="1" t="s">
        <v>18</v>
      </c>
      <c r="M8747" s="1" t="str">
        <f>"广东省 清远市 佛冈县 龙山镇"</f>
        <v>广东省 清远市 佛冈县 龙山镇</v>
      </c>
      <c r="N8747" s="1" t="str">
        <f t="shared" si="2470"/>
        <v>凡华云仓-韵达-抖音</v>
      </c>
      <c r="O8747" s="5">
        <v>320161048169213</v>
      </c>
      <c r="P8747" s="6">
        <v>0.33</v>
      </c>
      <c r="Q8747" s="11">
        <v>2.2999999999999998</v>
      </c>
      <c r="R8747" s="11"/>
      <c r="S8747" s="11"/>
      <c r="T8747" s="11"/>
      <c r="U8747" s="11">
        <f t="shared" si="2463"/>
        <v>2.2999999999999998</v>
      </c>
      <c r="W8747">
        <v>2.5</v>
      </c>
      <c r="X8747" s="1" t="s">
        <v>18</v>
      </c>
    </row>
    <row r="8748" spans="1:24" x14ac:dyDescent="0.25">
      <c r="A8748" s="1" t="str">
        <f t="shared" si="2464"/>
        <v>卡卡杜-凤凰仓</v>
      </c>
      <c r="B8748" s="1" t="str">
        <f>"CK202410081873"</f>
        <v>CK202410081873</v>
      </c>
      <c r="C8748" s="1" t="str">
        <f>"DD2024100817112"</f>
        <v>DD2024100817112</v>
      </c>
      <c r="D8748" s="1" t="str">
        <f>"CK2024100812969"</f>
        <v>CK2024100812969</v>
      </c>
      <c r="E8748" s="1" t="str">
        <f>"6917920226688990871"</f>
        <v>6917920226688990871</v>
      </c>
      <c r="F8748" s="1" t="str">
        <f t="shared" si="2465"/>
        <v>花都四部-凤凰仓</v>
      </c>
      <c r="G8748" s="1" t="str">
        <f t="shared" si="2468"/>
        <v>卡卡杜个人护理店（抖店）</v>
      </c>
      <c r="H8748" s="1" t="str">
        <f t="shared" si="2466"/>
        <v>正常订单</v>
      </c>
      <c r="I8748" s="1" t="str">
        <f t="shared" si="2467"/>
        <v>已发货</v>
      </c>
      <c r="J8748" s="1" t="str">
        <f t="shared" si="2469"/>
        <v>2</v>
      </c>
      <c r="K8748" s="1">
        <v>1</v>
      </c>
      <c r="L8748" s="1" t="s">
        <v>161</v>
      </c>
      <c r="M8748" s="1" t="str">
        <f>"四川省 成都市 双流区 "</f>
        <v xml:space="preserve">四川省 成都市 双流区 </v>
      </c>
      <c r="N8748" s="1" t="str">
        <f t="shared" si="2470"/>
        <v>凡华云仓-韵达-抖音</v>
      </c>
      <c r="O8748" s="5">
        <v>320161048169122</v>
      </c>
      <c r="P8748" s="6">
        <v>0.33</v>
      </c>
      <c r="Q8748" s="11">
        <v>2.2999999999999998</v>
      </c>
      <c r="R8748" s="11"/>
      <c r="S8748" s="11"/>
      <c r="T8748" s="11"/>
      <c r="U8748" s="11">
        <f t="shared" si="2463"/>
        <v>2.2999999999999998</v>
      </c>
      <c r="W8748">
        <v>2.5</v>
      </c>
      <c r="X8748" s="1" t="s">
        <v>161</v>
      </c>
    </row>
    <row r="8749" spans="1:24" x14ac:dyDescent="0.25">
      <c r="A8749" s="1" t="str">
        <f t="shared" si="2464"/>
        <v>卡卡杜-凤凰仓</v>
      </c>
      <c r="B8749" s="1" t="str">
        <f>"CK202410081866"</f>
        <v>CK202410081866</v>
      </c>
      <c r="C8749" s="1" t="str">
        <f>"DD2024100817106"</f>
        <v>DD2024100817106</v>
      </c>
      <c r="D8749" s="1" t="str">
        <f>"CK2024100812968"</f>
        <v>CK2024100812968</v>
      </c>
      <c r="E8749" s="1" t="str">
        <f>"6917924806084361331"</f>
        <v>6917924806084361331</v>
      </c>
      <c r="F8749" s="1" t="str">
        <f t="shared" si="2465"/>
        <v>花都四部-凤凰仓</v>
      </c>
      <c r="G8749" s="1" t="str">
        <f t="shared" si="2468"/>
        <v>卡卡杜个人护理店（抖店）</v>
      </c>
      <c r="H8749" s="1" t="str">
        <f t="shared" si="2466"/>
        <v>正常订单</v>
      </c>
      <c r="I8749" s="1" t="str">
        <f t="shared" si="2467"/>
        <v>已发货</v>
      </c>
      <c r="J8749" s="1" t="str">
        <f t="shared" si="2469"/>
        <v>2</v>
      </c>
      <c r="K8749" s="1">
        <v>1</v>
      </c>
      <c r="L8749" s="1" t="s">
        <v>13</v>
      </c>
      <c r="M8749" s="1" t="str">
        <f>"江苏省 宿迁市 沭阳县 潼阳镇"</f>
        <v>江苏省 宿迁市 沭阳县 潼阳镇</v>
      </c>
      <c r="N8749" s="1" t="str">
        <f t="shared" si="2470"/>
        <v>凡华云仓-韵达-抖音</v>
      </c>
      <c r="O8749" s="5">
        <v>320161044425200</v>
      </c>
      <c r="P8749" s="6">
        <v>0.33</v>
      </c>
      <c r="Q8749" s="11">
        <v>2.2999999999999998</v>
      </c>
      <c r="R8749" s="11"/>
      <c r="S8749" s="11"/>
      <c r="T8749" s="11"/>
      <c r="U8749" s="11">
        <f t="shared" si="2463"/>
        <v>2.2999999999999998</v>
      </c>
      <c r="W8749">
        <v>2.5</v>
      </c>
      <c r="X8749" s="1" t="s">
        <v>13</v>
      </c>
    </row>
    <row r="8750" spans="1:24" x14ac:dyDescent="0.25">
      <c r="A8750" s="1" t="str">
        <f t="shared" si="2464"/>
        <v>卡卡杜-凤凰仓</v>
      </c>
      <c r="B8750" s="1" t="str">
        <f>"CK202410081876"</f>
        <v>CK202410081876</v>
      </c>
      <c r="C8750" s="1" t="str">
        <f>"DD2024100817115"</f>
        <v>DD2024100817115</v>
      </c>
      <c r="D8750" s="1" t="str">
        <f>"CK2024100812967"</f>
        <v>CK2024100812967</v>
      </c>
      <c r="E8750" s="1" t="str">
        <f>"6917920088609094770"</f>
        <v>6917920088609094770</v>
      </c>
      <c r="F8750" s="1" t="str">
        <f t="shared" si="2465"/>
        <v>花都四部-凤凰仓</v>
      </c>
      <c r="G8750" s="1" t="str">
        <f t="shared" si="2468"/>
        <v>卡卡杜个人护理店（抖店）</v>
      </c>
      <c r="H8750" s="1" t="str">
        <f t="shared" si="2466"/>
        <v>正常订单</v>
      </c>
      <c r="I8750" s="1" t="str">
        <f t="shared" si="2467"/>
        <v>已发货</v>
      </c>
      <c r="J8750" s="1" t="str">
        <f t="shared" si="2469"/>
        <v>2</v>
      </c>
      <c r="K8750" s="1">
        <v>1</v>
      </c>
      <c r="L8750" s="1" t="s">
        <v>94</v>
      </c>
      <c r="M8750" s="1" t="str">
        <f>"湖南省 郴州市 桂阳县 黄沙坪街道"</f>
        <v>湖南省 郴州市 桂阳县 黄沙坪街道</v>
      </c>
      <c r="N8750" s="1" t="str">
        <f t="shared" si="2470"/>
        <v>凡华云仓-韵达-抖音</v>
      </c>
      <c r="O8750" s="5">
        <v>320161044425109</v>
      </c>
      <c r="P8750" s="6">
        <v>0.33</v>
      </c>
      <c r="Q8750" s="11">
        <v>2.2999999999999998</v>
      </c>
      <c r="R8750" s="11"/>
      <c r="S8750" s="11"/>
      <c r="T8750" s="11"/>
      <c r="U8750" s="11">
        <f t="shared" si="2463"/>
        <v>2.2999999999999998</v>
      </c>
      <c r="W8750">
        <v>2.5</v>
      </c>
      <c r="X8750" s="1" t="s">
        <v>94</v>
      </c>
    </row>
    <row r="8751" spans="1:24" x14ac:dyDescent="0.25">
      <c r="A8751" s="1" t="str">
        <f t="shared" si="2464"/>
        <v>卡卡杜-凤凰仓</v>
      </c>
      <c r="B8751" s="1" t="str">
        <f>"CK202410081877"</f>
        <v>CK202410081877</v>
      </c>
      <c r="C8751" s="1" t="str">
        <f>"DD2024100817117"</f>
        <v>DD2024100817117</v>
      </c>
      <c r="D8751" s="1" t="str">
        <f>"CK2024100812966"</f>
        <v>CK2024100812966</v>
      </c>
      <c r="E8751" s="1" t="str">
        <f>"6917929226432248838"</f>
        <v>6917929226432248838</v>
      </c>
      <c r="F8751" s="1" t="str">
        <f t="shared" si="2465"/>
        <v>花都四部-凤凰仓</v>
      </c>
      <c r="G8751" s="1" t="str">
        <f t="shared" si="2468"/>
        <v>卡卡杜个人护理店（抖店）</v>
      </c>
      <c r="H8751" s="1" t="str">
        <f t="shared" si="2466"/>
        <v>正常订单</v>
      </c>
      <c r="I8751" s="1" t="str">
        <f t="shared" si="2467"/>
        <v>已发货</v>
      </c>
      <c r="J8751" s="1" t="str">
        <f t="shared" si="2469"/>
        <v>2</v>
      </c>
      <c r="K8751" s="1">
        <v>1</v>
      </c>
      <c r="L8751" s="1" t="s">
        <v>18</v>
      </c>
      <c r="M8751" s="1" t="str">
        <f>"广东省 东莞市 东莞市 虎门镇"</f>
        <v>广东省 东莞市 东莞市 虎门镇</v>
      </c>
      <c r="N8751" s="1" t="str">
        <f t="shared" si="2470"/>
        <v>凡华云仓-韵达-抖音</v>
      </c>
      <c r="O8751" s="5">
        <v>320161044425020</v>
      </c>
      <c r="P8751" s="6">
        <v>0.33</v>
      </c>
      <c r="Q8751" s="11">
        <v>2.2999999999999998</v>
      </c>
      <c r="R8751" s="11"/>
      <c r="S8751" s="11"/>
      <c r="T8751" s="11"/>
      <c r="U8751" s="11">
        <f t="shared" si="2463"/>
        <v>2.2999999999999998</v>
      </c>
      <c r="W8751">
        <v>2.5</v>
      </c>
      <c r="X8751" s="1" t="s">
        <v>18</v>
      </c>
    </row>
    <row r="8752" spans="1:24" x14ac:dyDescent="0.25">
      <c r="A8752" s="1" t="str">
        <f t="shared" si="2464"/>
        <v>卡卡杜-凤凰仓</v>
      </c>
      <c r="B8752" s="1" t="str">
        <f>"CK202410081878"</f>
        <v>CK202410081878</v>
      </c>
      <c r="C8752" s="1" t="str">
        <f>"DD2024100817118"</f>
        <v>DD2024100817118</v>
      </c>
      <c r="D8752" s="1" t="str">
        <f>"CK2024100812965"</f>
        <v>CK2024100812965</v>
      </c>
      <c r="E8752" s="1" t="str">
        <f>"6917927064950177729"</f>
        <v>6917927064950177729</v>
      </c>
      <c r="F8752" s="1" t="str">
        <f t="shared" si="2465"/>
        <v>花都四部-凤凰仓</v>
      </c>
      <c r="G8752" s="1" t="str">
        <f t="shared" si="2468"/>
        <v>卡卡杜个人护理店（抖店）</v>
      </c>
      <c r="H8752" s="1" t="str">
        <f t="shared" si="2466"/>
        <v>正常订单</v>
      </c>
      <c r="I8752" s="1" t="str">
        <f t="shared" si="2467"/>
        <v>已发货</v>
      </c>
      <c r="J8752" s="1" t="str">
        <f t="shared" si="2469"/>
        <v>2</v>
      </c>
      <c r="K8752" s="1">
        <v>1</v>
      </c>
      <c r="L8752" s="1" t="s">
        <v>18</v>
      </c>
      <c r="M8752" s="1" t="str">
        <f>"广东省 佛山市 南海区 西樵镇"</f>
        <v>广东省 佛山市 南海区 西樵镇</v>
      </c>
      <c r="N8752" s="1" t="str">
        <f t="shared" si="2470"/>
        <v>凡华云仓-韵达-抖音</v>
      </c>
      <c r="O8752" s="5">
        <v>320161044424996</v>
      </c>
      <c r="P8752" s="6">
        <v>0.33</v>
      </c>
      <c r="Q8752" s="11">
        <v>2.2999999999999998</v>
      </c>
      <c r="R8752" s="11"/>
      <c r="S8752" s="11"/>
      <c r="T8752" s="11"/>
      <c r="U8752" s="11">
        <f t="shared" si="2463"/>
        <v>2.2999999999999998</v>
      </c>
      <c r="W8752">
        <v>2.5</v>
      </c>
      <c r="X8752" s="1" t="s">
        <v>18</v>
      </c>
    </row>
    <row r="8753" spans="1:24" x14ac:dyDescent="0.25">
      <c r="A8753" s="1" t="str">
        <f t="shared" si="2464"/>
        <v>卡卡杜-凤凰仓</v>
      </c>
      <c r="B8753" s="1" t="str">
        <f>"CK202410081879"</f>
        <v>CK202410081879</v>
      </c>
      <c r="C8753" s="1" t="str">
        <f>"DD2024100817121"</f>
        <v>DD2024100817121</v>
      </c>
      <c r="D8753" s="1" t="str">
        <f>"CK2024100812964"</f>
        <v>CK2024100812964</v>
      </c>
      <c r="E8753" s="1" t="str">
        <f>"6917929128843771844"</f>
        <v>6917929128843771844</v>
      </c>
      <c r="F8753" s="1" t="str">
        <f t="shared" si="2465"/>
        <v>花都四部-凤凰仓</v>
      </c>
      <c r="G8753" s="1" t="str">
        <f t="shared" si="2468"/>
        <v>卡卡杜个人护理店（抖店）</v>
      </c>
      <c r="H8753" s="1" t="str">
        <f t="shared" si="2466"/>
        <v>正常订单</v>
      </c>
      <c r="I8753" s="1" t="str">
        <f t="shared" si="2467"/>
        <v>已发货</v>
      </c>
      <c r="J8753" s="1" t="str">
        <f t="shared" si="2469"/>
        <v>2</v>
      </c>
      <c r="K8753" s="1">
        <v>1</v>
      </c>
      <c r="L8753" s="1" t="s">
        <v>44</v>
      </c>
      <c r="M8753" s="1" t="str">
        <f>"海南省 五指山市 五指山市 南圣镇"</f>
        <v>海南省 五指山市 五指山市 南圣镇</v>
      </c>
      <c r="N8753" s="1" t="str">
        <f t="shared" si="2470"/>
        <v>凡华云仓-韵达-抖音</v>
      </c>
      <c r="O8753" s="5">
        <v>320161044424891</v>
      </c>
      <c r="P8753" s="6">
        <v>0.33</v>
      </c>
      <c r="Q8753" s="11">
        <v>2.2999999999999998</v>
      </c>
      <c r="R8753" s="11"/>
      <c r="S8753" s="11"/>
      <c r="T8753" s="11"/>
      <c r="U8753" s="11">
        <f t="shared" si="2463"/>
        <v>2.2999999999999998</v>
      </c>
      <c r="W8753">
        <v>2.5</v>
      </c>
      <c r="X8753" s="1" t="s">
        <v>44</v>
      </c>
    </row>
    <row r="8754" spans="1:24" x14ac:dyDescent="0.25">
      <c r="A8754" s="1" t="str">
        <f t="shared" si="2464"/>
        <v>卡卡杜-凤凰仓</v>
      </c>
      <c r="B8754" s="1" t="str">
        <f>"CK202410081880"</f>
        <v>CK202410081880</v>
      </c>
      <c r="C8754" s="1" t="str">
        <f>"DD2024100817119"</f>
        <v>DD2024100817119</v>
      </c>
      <c r="D8754" s="1" t="str">
        <f>"CK2024100812963"</f>
        <v>CK2024100812963</v>
      </c>
      <c r="E8754" s="1" t="str">
        <f>"6917922435609886155"</f>
        <v>6917922435609886155</v>
      </c>
      <c r="F8754" s="1" t="str">
        <f t="shared" si="2465"/>
        <v>花都四部-凤凰仓</v>
      </c>
      <c r="G8754" s="1" t="str">
        <f t="shared" si="2468"/>
        <v>卡卡杜个人护理店（抖店）</v>
      </c>
      <c r="H8754" s="1" t="str">
        <f t="shared" si="2466"/>
        <v>正常订单</v>
      </c>
      <c r="I8754" s="1" t="str">
        <f t="shared" si="2467"/>
        <v>已发货</v>
      </c>
      <c r="J8754" s="1" t="str">
        <f t="shared" si="2469"/>
        <v>2</v>
      </c>
      <c r="K8754" s="1">
        <v>1</v>
      </c>
      <c r="L8754" s="1" t="s">
        <v>18</v>
      </c>
      <c r="M8754" s="1" t="str">
        <f>"广东省 阳江市 阳东区 东城镇"</f>
        <v>广东省 阳江市 阳东区 东城镇</v>
      </c>
      <c r="N8754" s="1" t="str">
        <f t="shared" si="2470"/>
        <v>凡华云仓-韵达-抖音</v>
      </c>
      <c r="O8754" s="5">
        <v>320161044424788</v>
      </c>
      <c r="P8754" s="6">
        <v>0.33</v>
      </c>
      <c r="Q8754" s="11">
        <v>2.2999999999999998</v>
      </c>
      <c r="R8754" s="11"/>
      <c r="S8754" s="11"/>
      <c r="T8754" s="11"/>
      <c r="U8754" s="11">
        <f t="shared" si="2463"/>
        <v>2.2999999999999998</v>
      </c>
      <c r="W8754">
        <v>2.5</v>
      </c>
      <c r="X8754" s="1" t="s">
        <v>18</v>
      </c>
    </row>
    <row r="8755" spans="1:24" x14ac:dyDescent="0.25">
      <c r="A8755" s="1" t="str">
        <f t="shared" si="2464"/>
        <v>卡卡杜-凤凰仓</v>
      </c>
      <c r="B8755" s="1" t="str">
        <f>"CK202410081881"</f>
        <v>CK202410081881</v>
      </c>
      <c r="C8755" s="1" t="str">
        <f>"DD2024100817120"</f>
        <v>DD2024100817120</v>
      </c>
      <c r="D8755" s="1" t="str">
        <f>"CK2024100812962"</f>
        <v>CK2024100812962</v>
      </c>
      <c r="E8755" s="1" t="str">
        <f>"6917924244431339047"</f>
        <v>6917924244431339047</v>
      </c>
      <c r="F8755" s="1" t="str">
        <f t="shared" si="2465"/>
        <v>花都四部-凤凰仓</v>
      </c>
      <c r="G8755" s="1" t="str">
        <f t="shared" si="2468"/>
        <v>卡卡杜个人护理店（抖店）</v>
      </c>
      <c r="H8755" s="1" t="str">
        <f t="shared" si="2466"/>
        <v>正常订单</v>
      </c>
      <c r="I8755" s="1" t="str">
        <f t="shared" si="2467"/>
        <v>已发货</v>
      </c>
      <c r="J8755" s="1" t="str">
        <f t="shared" si="2469"/>
        <v>2</v>
      </c>
      <c r="K8755" s="1">
        <v>1</v>
      </c>
      <c r="L8755" s="1" t="s">
        <v>41</v>
      </c>
      <c r="M8755" s="1" t="str">
        <f>"湖北省 荆州市 监利市 容城镇"</f>
        <v>湖北省 荆州市 监利市 容城镇</v>
      </c>
      <c r="N8755" s="1" t="str">
        <f t="shared" si="2470"/>
        <v>凡华云仓-韵达-抖音</v>
      </c>
      <c r="O8755" s="5">
        <v>320161044424687</v>
      </c>
      <c r="P8755" s="6">
        <v>0.33</v>
      </c>
      <c r="Q8755" s="11">
        <v>2.2999999999999998</v>
      </c>
      <c r="R8755" s="11"/>
      <c r="S8755" s="11"/>
      <c r="T8755" s="11"/>
      <c r="U8755" s="11">
        <f t="shared" si="2463"/>
        <v>2.2999999999999998</v>
      </c>
      <c r="W8755">
        <v>2.5</v>
      </c>
      <c r="X8755" s="1" t="s">
        <v>41</v>
      </c>
    </row>
    <row r="8756" spans="1:24" x14ac:dyDescent="0.25">
      <c r="A8756" s="1" t="str">
        <f t="shared" si="2464"/>
        <v>卡卡杜-凤凰仓</v>
      </c>
      <c r="B8756" s="1" t="str">
        <f>"CK202410081867"</f>
        <v>CK202410081867</v>
      </c>
      <c r="C8756" s="1" t="str">
        <f>"DD2024100817108"</f>
        <v>DD2024100817108</v>
      </c>
      <c r="D8756" s="1" t="str">
        <f>"CK2024100812961"</f>
        <v>CK2024100812961</v>
      </c>
      <c r="E8756" s="1" t="str">
        <f>"6917924629876735476"</f>
        <v>6917924629876735476</v>
      </c>
      <c r="F8756" s="1" t="str">
        <f t="shared" si="2465"/>
        <v>花都四部-凤凰仓</v>
      </c>
      <c r="G8756" s="1" t="str">
        <f t="shared" si="2468"/>
        <v>卡卡杜个人护理店（抖店）</v>
      </c>
      <c r="H8756" s="1" t="str">
        <f t="shared" si="2466"/>
        <v>正常订单</v>
      </c>
      <c r="I8756" s="1" t="str">
        <f t="shared" si="2467"/>
        <v>已发货</v>
      </c>
      <c r="J8756" s="1" t="str">
        <f t="shared" si="2469"/>
        <v>2</v>
      </c>
      <c r="K8756" s="1">
        <v>1</v>
      </c>
      <c r="L8756" s="1" t="s">
        <v>161</v>
      </c>
      <c r="M8756" s="1" t="str">
        <f>"四川省 宜宾市 筠连县 筠连镇"</f>
        <v>四川省 宜宾市 筠连县 筠连镇</v>
      </c>
      <c r="N8756" s="1" t="str">
        <f t="shared" si="2470"/>
        <v>凡华云仓-韵达-抖音</v>
      </c>
      <c r="O8756" s="5">
        <v>320161044424588</v>
      </c>
      <c r="P8756" s="6">
        <v>0.33</v>
      </c>
      <c r="Q8756" s="11">
        <v>2.2999999999999998</v>
      </c>
      <c r="R8756" s="11"/>
      <c r="S8756" s="11"/>
      <c r="T8756" s="11"/>
      <c r="U8756" s="11">
        <f t="shared" si="2463"/>
        <v>2.2999999999999998</v>
      </c>
      <c r="W8756">
        <v>2.5</v>
      </c>
      <c r="X8756" s="1" t="s">
        <v>161</v>
      </c>
    </row>
    <row r="8757" spans="1:24" x14ac:dyDescent="0.25">
      <c r="A8757" s="1" t="str">
        <f t="shared" si="2464"/>
        <v>卡卡杜-凤凰仓</v>
      </c>
      <c r="B8757" s="1" t="str">
        <f>"CK202410081875"</f>
        <v>CK202410081875</v>
      </c>
      <c r="C8757" s="1" t="str">
        <f>"DD2024100817116"</f>
        <v>DD2024100817116</v>
      </c>
      <c r="D8757" s="1" t="str">
        <f>"CK2024100812960"</f>
        <v>CK2024100812960</v>
      </c>
      <c r="E8757" s="1" t="str">
        <f>"6917919945789308811"</f>
        <v>6917919945789308811</v>
      </c>
      <c r="F8757" s="1" t="str">
        <f t="shared" si="2465"/>
        <v>花都四部-凤凰仓</v>
      </c>
      <c r="G8757" s="1" t="str">
        <f t="shared" si="2468"/>
        <v>卡卡杜个人护理店（抖店）</v>
      </c>
      <c r="H8757" s="1" t="str">
        <f t="shared" si="2466"/>
        <v>正常订单</v>
      </c>
      <c r="I8757" s="1" t="str">
        <f t="shared" si="2467"/>
        <v>已发货</v>
      </c>
      <c r="J8757" s="1" t="str">
        <f t="shared" si="2469"/>
        <v>2</v>
      </c>
      <c r="K8757" s="1">
        <v>1</v>
      </c>
      <c r="L8757" s="1" t="s">
        <v>20</v>
      </c>
      <c r="M8757" s="1" t="str">
        <f>"浙江省 杭州市 江干区 "</f>
        <v xml:space="preserve">浙江省 杭州市 江干区 </v>
      </c>
      <c r="N8757" s="1" t="str">
        <f t="shared" si="2470"/>
        <v>凡华云仓-韵达-抖音</v>
      </c>
      <c r="O8757" s="5">
        <v>320161044424491</v>
      </c>
      <c r="P8757" s="6">
        <v>0.33</v>
      </c>
      <c r="Q8757" s="11">
        <v>2.2999999999999998</v>
      </c>
      <c r="R8757" s="11"/>
      <c r="S8757" s="11"/>
      <c r="T8757" s="11"/>
      <c r="U8757" s="11">
        <f t="shared" si="2463"/>
        <v>2.2999999999999998</v>
      </c>
      <c r="W8757">
        <v>2.5</v>
      </c>
      <c r="X8757" s="1" t="s">
        <v>20</v>
      </c>
    </row>
    <row r="8758" spans="1:24" x14ac:dyDescent="0.25">
      <c r="A8758" s="1" t="str">
        <f t="shared" si="2464"/>
        <v>卡卡杜-凤凰仓</v>
      </c>
      <c r="B8758" s="1" t="str">
        <f>"CK202410081864"</f>
        <v>CK202410081864</v>
      </c>
      <c r="C8758" s="1" t="str">
        <f>"DD2024100817101"</f>
        <v>DD2024100817101</v>
      </c>
      <c r="D8758" s="1" t="str">
        <f>"CK2024100812959"</f>
        <v>CK2024100812959</v>
      </c>
      <c r="E8758" s="1" t="str">
        <f>"6917927108113366167"</f>
        <v>6917927108113366167</v>
      </c>
      <c r="F8758" s="1" t="str">
        <f t="shared" si="2465"/>
        <v>花都四部-凤凰仓</v>
      </c>
      <c r="G8758" s="1" t="str">
        <f t="shared" si="2468"/>
        <v>卡卡杜个人护理店（抖店）</v>
      </c>
      <c r="H8758" s="1" t="str">
        <f t="shared" si="2466"/>
        <v>正常订单</v>
      </c>
      <c r="I8758" s="1" t="str">
        <f t="shared" si="2467"/>
        <v>已发货</v>
      </c>
      <c r="J8758" s="1" t="str">
        <f t="shared" si="2469"/>
        <v>2</v>
      </c>
      <c r="K8758" s="1">
        <v>1</v>
      </c>
      <c r="L8758" s="1" t="s">
        <v>96</v>
      </c>
      <c r="M8758" s="1" t="str">
        <f>"广西壮族自治区 玉林市 博白县 松旺镇"</f>
        <v>广西壮族自治区 玉林市 博白县 松旺镇</v>
      </c>
      <c r="N8758" s="1" t="str">
        <f t="shared" si="2470"/>
        <v>凡华云仓-韵达-抖音</v>
      </c>
      <c r="O8758" s="5">
        <v>320161044424396</v>
      </c>
      <c r="P8758" s="6">
        <v>0.33</v>
      </c>
      <c r="Q8758" s="11">
        <v>2.2999999999999998</v>
      </c>
      <c r="R8758" s="11"/>
      <c r="S8758" s="11"/>
      <c r="T8758" s="11"/>
      <c r="U8758" s="11">
        <f t="shared" si="2463"/>
        <v>2.2999999999999998</v>
      </c>
      <c r="W8758">
        <v>2.5</v>
      </c>
      <c r="X8758" s="1" t="s">
        <v>96</v>
      </c>
    </row>
    <row r="8759" spans="1:24" x14ac:dyDescent="0.25">
      <c r="A8759" s="1" t="str">
        <f t="shared" si="2464"/>
        <v>卡卡杜-凤凰仓</v>
      </c>
      <c r="B8759" s="1" t="str">
        <f>"CK202410081848"</f>
        <v>CK202410081848</v>
      </c>
      <c r="C8759" s="1" t="str">
        <f>"DD2024100817089"</f>
        <v>DD2024100817089</v>
      </c>
      <c r="D8759" s="1" t="str">
        <f>"CK2024100812957"</f>
        <v>CK2024100812957</v>
      </c>
      <c r="E8759" s="1" t="str">
        <f>"6917924397648084582"</f>
        <v>6917924397648084582</v>
      </c>
      <c r="F8759" s="1" t="str">
        <f t="shared" si="2465"/>
        <v>花都四部-凤凰仓</v>
      </c>
      <c r="G8759" s="1" t="str">
        <f t="shared" si="2468"/>
        <v>卡卡杜个人护理店（抖店）</v>
      </c>
      <c r="H8759" s="1" t="str">
        <f t="shared" si="2466"/>
        <v>正常订单</v>
      </c>
      <c r="I8759" s="1" t="str">
        <f t="shared" si="2467"/>
        <v>已发货</v>
      </c>
      <c r="J8759" s="1" t="str">
        <f>"4"</f>
        <v>4</v>
      </c>
      <c r="K8759" s="1">
        <v>1</v>
      </c>
      <c r="L8759" s="1" t="s">
        <v>18</v>
      </c>
      <c r="M8759" s="1" t="str">
        <f>"广东省 河源市 东源县 仙塘镇"</f>
        <v>广东省 河源市 东源县 仙塘镇</v>
      </c>
      <c r="N8759" s="1" t="str">
        <f t="shared" si="2470"/>
        <v>凡华云仓-韵达-抖音</v>
      </c>
      <c r="O8759" s="5">
        <v>320161040492060</v>
      </c>
      <c r="P8759" s="6">
        <v>0.57999999999999996</v>
      </c>
      <c r="Q8759" s="11">
        <f>CEILING(P8759-0.5,0.1)*10*0.15+2.3</f>
        <v>2.4499999999999997</v>
      </c>
      <c r="R8759" s="11"/>
      <c r="S8759" s="11"/>
      <c r="T8759" s="11"/>
      <c r="U8759" s="11">
        <f t="shared" si="2463"/>
        <v>2.4499999999999997</v>
      </c>
      <c r="V8759" t="s">
        <v>15</v>
      </c>
      <c r="W8759">
        <v>2.4500000000000002</v>
      </c>
      <c r="X8759" s="1" t="s">
        <v>18</v>
      </c>
    </row>
    <row r="8760" spans="1:24" x14ac:dyDescent="0.25">
      <c r="A8760" s="1" t="str">
        <f t="shared" si="2464"/>
        <v>卡卡杜-凤凰仓</v>
      </c>
      <c r="B8760" s="1" t="str">
        <f>"CK202410081851"</f>
        <v>CK202410081851</v>
      </c>
      <c r="C8760" s="1" t="str">
        <f>"DD2024100817092"</f>
        <v>DD2024100817092</v>
      </c>
      <c r="D8760" s="1" t="str">
        <f>"CK2024100812900"</f>
        <v>CK2024100812900</v>
      </c>
      <c r="E8760" s="1" t="str">
        <f>"6917918923341594339"</f>
        <v>6917918923341594339</v>
      </c>
      <c r="F8760" s="1" t="str">
        <f t="shared" si="2465"/>
        <v>花都四部-凤凰仓</v>
      </c>
      <c r="G8760" s="1" t="str">
        <f t="shared" si="2468"/>
        <v>卡卡杜个人护理店（抖店）</v>
      </c>
      <c r="H8760" s="1" t="str">
        <f t="shared" si="2466"/>
        <v>正常订单</v>
      </c>
      <c r="I8760" s="1" t="str">
        <f t="shared" si="2467"/>
        <v>已发货</v>
      </c>
      <c r="J8760" s="1" t="str">
        <f>"4"</f>
        <v>4</v>
      </c>
      <c r="K8760" s="1">
        <v>1</v>
      </c>
      <c r="L8760" s="1" t="s">
        <v>36</v>
      </c>
      <c r="M8760" s="1" t="str">
        <f>"安徽省 安庆市 大观区 "</f>
        <v xml:space="preserve">安徽省 安庆市 大观区 </v>
      </c>
      <c r="N8760" s="1" t="str">
        <f t="shared" si="2470"/>
        <v>凡华云仓-韵达-抖音</v>
      </c>
      <c r="O8760" s="5">
        <v>320161048165114</v>
      </c>
      <c r="P8760" s="6">
        <v>0.57999999999999996</v>
      </c>
      <c r="Q8760" s="11">
        <f>CEILING(P8760-0.5,0.1)*10*0.15+2.3</f>
        <v>2.4499999999999997</v>
      </c>
      <c r="R8760" s="11"/>
      <c r="S8760" s="11"/>
      <c r="T8760" s="11"/>
      <c r="U8760" s="11">
        <f t="shared" si="2463"/>
        <v>2.4499999999999997</v>
      </c>
      <c r="V8760" t="s">
        <v>15</v>
      </c>
      <c r="W8760">
        <v>2.4500000000000002</v>
      </c>
      <c r="X8760" s="1" t="s">
        <v>36</v>
      </c>
    </row>
    <row r="8761" spans="1:24" x14ac:dyDescent="0.25">
      <c r="A8761" s="1" t="str">
        <f t="shared" si="2464"/>
        <v>卡卡杜-凤凰仓</v>
      </c>
      <c r="B8761" s="1" t="str">
        <f>"CK202410081854"</f>
        <v>CK202410081854</v>
      </c>
      <c r="C8761" s="1" t="str">
        <f>"DD2024100817093"</f>
        <v>DD2024100817093</v>
      </c>
      <c r="D8761" s="1" t="str">
        <f>"CK2024100812956"</f>
        <v>CK2024100812956</v>
      </c>
      <c r="E8761" s="1" t="str">
        <f>"6917922350842740031"</f>
        <v>6917922350842740031</v>
      </c>
      <c r="F8761" s="1" t="str">
        <f t="shared" si="2465"/>
        <v>花都四部-凤凰仓</v>
      </c>
      <c r="G8761" s="1" t="str">
        <f t="shared" si="2468"/>
        <v>卡卡杜个人护理店（抖店）</v>
      </c>
      <c r="H8761" s="1" t="str">
        <f t="shared" si="2466"/>
        <v>正常订单</v>
      </c>
      <c r="I8761" s="1" t="str">
        <f t="shared" si="2467"/>
        <v>已发货</v>
      </c>
      <c r="J8761" s="1" t="str">
        <f t="shared" ref="J8761:J8772" si="2471">"2"</f>
        <v>2</v>
      </c>
      <c r="K8761" s="1">
        <v>1</v>
      </c>
      <c r="L8761" s="1" t="s">
        <v>13</v>
      </c>
      <c r="M8761" s="1" t="str">
        <f>"江苏省 无锡市 惠山区 钱桥街道"</f>
        <v>江苏省 无锡市 惠山区 钱桥街道</v>
      </c>
      <c r="N8761" s="1" t="str">
        <f t="shared" si="2470"/>
        <v>凡华云仓-韵达-抖音</v>
      </c>
      <c r="O8761" s="5">
        <v>320161040491942</v>
      </c>
      <c r="P8761" s="6">
        <v>0.33</v>
      </c>
      <c r="Q8761" s="11">
        <v>2.2999999999999998</v>
      </c>
      <c r="R8761" s="11"/>
      <c r="S8761" s="11"/>
      <c r="T8761" s="11"/>
      <c r="U8761" s="11">
        <f t="shared" si="2463"/>
        <v>2.2999999999999998</v>
      </c>
      <c r="W8761">
        <v>2.5</v>
      </c>
      <c r="X8761" s="1" t="s">
        <v>13</v>
      </c>
    </row>
    <row r="8762" spans="1:24" x14ac:dyDescent="0.25">
      <c r="A8762" s="1" t="str">
        <f t="shared" si="2464"/>
        <v>卡卡杜-凤凰仓</v>
      </c>
      <c r="B8762" s="1" t="str">
        <f>"CK202410081855"</f>
        <v>CK202410081855</v>
      </c>
      <c r="C8762" s="1" t="str">
        <f>"DD2024100817098"</f>
        <v>DD2024100817098</v>
      </c>
      <c r="D8762" s="1" t="str">
        <f>"CK2024100812955"</f>
        <v>CK2024100812955</v>
      </c>
      <c r="E8762" s="1" t="str">
        <f>"6917922040946720067"</f>
        <v>6917922040946720067</v>
      </c>
      <c r="F8762" s="1" t="str">
        <f t="shared" si="2465"/>
        <v>花都四部-凤凰仓</v>
      </c>
      <c r="G8762" s="1" t="str">
        <f t="shared" si="2468"/>
        <v>卡卡杜个人护理店（抖店）</v>
      </c>
      <c r="H8762" s="1" t="str">
        <f t="shared" si="2466"/>
        <v>正常订单</v>
      </c>
      <c r="I8762" s="1" t="str">
        <f t="shared" si="2467"/>
        <v>已发货</v>
      </c>
      <c r="J8762" s="1" t="str">
        <f t="shared" si="2471"/>
        <v>2</v>
      </c>
      <c r="K8762" s="1">
        <v>1</v>
      </c>
      <c r="L8762" s="1" t="s">
        <v>20</v>
      </c>
      <c r="M8762" s="1" t="str">
        <f>"浙江省 温州市 鹿城区 藤桥镇"</f>
        <v>浙江省 温州市 鹿城区 藤桥镇</v>
      </c>
      <c r="N8762" s="1" t="str">
        <f t="shared" si="2470"/>
        <v>凡华云仓-韵达-抖音</v>
      </c>
      <c r="O8762" s="5">
        <v>320161040491837</v>
      </c>
      <c r="P8762" s="6">
        <v>0.33</v>
      </c>
      <c r="Q8762" s="11">
        <v>2.2999999999999998</v>
      </c>
      <c r="R8762" s="11"/>
      <c r="S8762" s="11"/>
      <c r="T8762" s="11"/>
      <c r="U8762" s="11">
        <f t="shared" si="2463"/>
        <v>2.2999999999999998</v>
      </c>
      <c r="W8762">
        <v>2.5</v>
      </c>
      <c r="X8762" s="1" t="s">
        <v>20</v>
      </c>
    </row>
    <row r="8763" spans="1:24" x14ac:dyDescent="0.25">
      <c r="A8763" s="1" t="str">
        <f t="shared" si="2464"/>
        <v>卡卡杜-凤凰仓</v>
      </c>
      <c r="B8763" s="1" t="str">
        <f>"CK202410081853"</f>
        <v>CK202410081853</v>
      </c>
      <c r="C8763" s="1" t="str">
        <f>"DD2024100817095"</f>
        <v>DD2024100817095</v>
      </c>
      <c r="D8763" s="1" t="str">
        <f>"CK2024100812954"</f>
        <v>CK2024100812954</v>
      </c>
      <c r="E8763" s="1" t="str">
        <f>"6917920032157039900"</f>
        <v>6917920032157039900</v>
      </c>
      <c r="F8763" s="1" t="str">
        <f t="shared" si="2465"/>
        <v>花都四部-凤凰仓</v>
      </c>
      <c r="G8763" s="1" t="str">
        <f t="shared" si="2468"/>
        <v>卡卡杜个人护理店（抖店）</v>
      </c>
      <c r="H8763" s="1" t="str">
        <f t="shared" si="2466"/>
        <v>正常订单</v>
      </c>
      <c r="I8763" s="1" t="str">
        <f t="shared" si="2467"/>
        <v>已发货</v>
      </c>
      <c r="J8763" s="1" t="str">
        <f t="shared" si="2471"/>
        <v>2</v>
      </c>
      <c r="K8763" s="1">
        <v>1</v>
      </c>
      <c r="L8763" s="1" t="s">
        <v>20</v>
      </c>
      <c r="M8763" s="1" t="str">
        <f>"浙江省 湖州市 长兴县 夹浦镇"</f>
        <v>浙江省 湖州市 长兴县 夹浦镇</v>
      </c>
      <c r="N8763" s="1" t="str">
        <f t="shared" si="2470"/>
        <v>凡华云仓-韵达-抖音</v>
      </c>
      <c r="O8763" s="5">
        <v>320161040491734</v>
      </c>
      <c r="P8763" s="6">
        <v>0.33</v>
      </c>
      <c r="Q8763" s="11">
        <v>2.2999999999999998</v>
      </c>
      <c r="R8763" s="11"/>
      <c r="S8763" s="11"/>
      <c r="T8763" s="11"/>
      <c r="U8763" s="11">
        <f t="shared" si="2463"/>
        <v>2.2999999999999998</v>
      </c>
      <c r="W8763">
        <v>2.5</v>
      </c>
      <c r="X8763" s="1" t="s">
        <v>20</v>
      </c>
    </row>
    <row r="8764" spans="1:24" x14ac:dyDescent="0.25">
      <c r="A8764" s="1" t="str">
        <f t="shared" si="2464"/>
        <v>卡卡杜-凤凰仓</v>
      </c>
      <c r="B8764" s="1" t="str">
        <f>"CK202410081857"</f>
        <v>CK202410081857</v>
      </c>
      <c r="C8764" s="1" t="str">
        <f>"DD2024100817096"</f>
        <v>DD2024100817096</v>
      </c>
      <c r="D8764" s="1" t="str">
        <f>"CK2024100812953"</f>
        <v>CK2024100812953</v>
      </c>
      <c r="E8764" s="1" t="str">
        <f>"6917929043164822906"</f>
        <v>6917929043164822906</v>
      </c>
      <c r="F8764" s="1" t="str">
        <f t="shared" si="2465"/>
        <v>花都四部-凤凰仓</v>
      </c>
      <c r="G8764" s="1" t="str">
        <f t="shared" si="2468"/>
        <v>卡卡杜个人护理店（抖店）</v>
      </c>
      <c r="H8764" s="1" t="str">
        <f t="shared" si="2466"/>
        <v>正常订单</v>
      </c>
      <c r="I8764" s="1" t="str">
        <f t="shared" si="2467"/>
        <v>已发货</v>
      </c>
      <c r="J8764" s="1" t="str">
        <f t="shared" si="2471"/>
        <v>2</v>
      </c>
      <c r="K8764" s="1">
        <v>1</v>
      </c>
      <c r="L8764" s="1" t="s">
        <v>105</v>
      </c>
      <c r="M8764" s="1" t="str">
        <f>"北京 北京市 朝阳区 崔各庄地区"</f>
        <v>北京 北京市 朝阳区 崔各庄地区</v>
      </c>
      <c r="N8764" s="1" t="str">
        <f t="shared" si="2470"/>
        <v>凡华云仓-韵达-抖音</v>
      </c>
      <c r="O8764" s="5">
        <v>320161040491633</v>
      </c>
      <c r="P8764" s="6">
        <v>0.33</v>
      </c>
      <c r="Q8764" s="11">
        <v>2.2999999999999998</v>
      </c>
      <c r="R8764" s="11"/>
      <c r="S8764" s="11"/>
      <c r="T8764" s="11"/>
      <c r="U8764" s="11">
        <f t="shared" si="2463"/>
        <v>2.2999999999999998</v>
      </c>
      <c r="W8764">
        <v>2.5</v>
      </c>
      <c r="X8764" s="1" t="s">
        <v>105</v>
      </c>
    </row>
    <row r="8765" spans="1:24" x14ac:dyDescent="0.25">
      <c r="A8765" s="1" t="str">
        <f t="shared" si="2464"/>
        <v>卡卡杜-凤凰仓</v>
      </c>
      <c r="B8765" s="1" t="str">
        <f>"CK202410081858"</f>
        <v>CK202410081858</v>
      </c>
      <c r="C8765" s="1" t="str">
        <f>"DD2024100817094"</f>
        <v>DD2024100817094</v>
      </c>
      <c r="D8765" s="1" t="str">
        <f>"CK2024100812952"</f>
        <v>CK2024100812952</v>
      </c>
      <c r="E8765" s="1" t="str">
        <f>"6917926688841891486"</f>
        <v>6917926688841891486</v>
      </c>
      <c r="F8765" s="1" t="str">
        <f t="shared" si="2465"/>
        <v>花都四部-凤凰仓</v>
      </c>
      <c r="G8765" s="1" t="str">
        <f t="shared" si="2468"/>
        <v>卡卡杜个人护理店（抖店）</v>
      </c>
      <c r="H8765" s="1" t="str">
        <f t="shared" si="2466"/>
        <v>正常订单</v>
      </c>
      <c r="I8765" s="1" t="str">
        <f t="shared" si="2467"/>
        <v>已发货</v>
      </c>
      <c r="J8765" s="1" t="str">
        <f t="shared" si="2471"/>
        <v>2</v>
      </c>
      <c r="K8765" s="1">
        <v>1</v>
      </c>
      <c r="L8765" s="1" t="s">
        <v>20</v>
      </c>
      <c r="M8765" s="1" t="str">
        <f>"浙江省 金华市 义乌市 上溪镇"</f>
        <v>浙江省 金华市 义乌市 上溪镇</v>
      </c>
      <c r="N8765" s="1" t="str">
        <f t="shared" si="2470"/>
        <v>凡华云仓-韵达-抖音</v>
      </c>
      <c r="O8765" s="5">
        <v>320161040491534</v>
      </c>
      <c r="P8765" s="6">
        <v>0.33</v>
      </c>
      <c r="Q8765" s="11">
        <v>2.2999999999999998</v>
      </c>
      <c r="R8765" s="11"/>
      <c r="S8765" s="11"/>
      <c r="T8765" s="11"/>
      <c r="U8765" s="11">
        <f t="shared" si="2463"/>
        <v>2.2999999999999998</v>
      </c>
      <c r="W8765">
        <v>2.5</v>
      </c>
      <c r="X8765" s="1" t="s">
        <v>20</v>
      </c>
    </row>
    <row r="8766" spans="1:24" x14ac:dyDescent="0.25">
      <c r="A8766" s="1" t="str">
        <f t="shared" si="2464"/>
        <v>卡卡杜-凤凰仓</v>
      </c>
      <c r="B8766" s="1" t="str">
        <f>"CK202410081856"</f>
        <v>CK202410081856</v>
      </c>
      <c r="C8766" s="1" t="str">
        <f>"DD2024100817097"</f>
        <v>DD2024100817097</v>
      </c>
      <c r="D8766" s="1" t="str">
        <f>"CK2024100812951"</f>
        <v>CK2024100812951</v>
      </c>
      <c r="E8766" s="1" t="str">
        <f>"6917919965081993132"</f>
        <v>6917919965081993132</v>
      </c>
      <c r="F8766" s="1" t="str">
        <f t="shared" si="2465"/>
        <v>花都四部-凤凰仓</v>
      </c>
      <c r="G8766" s="1" t="str">
        <f t="shared" si="2468"/>
        <v>卡卡杜个人护理店（抖店）</v>
      </c>
      <c r="H8766" s="1" t="str">
        <f t="shared" si="2466"/>
        <v>正常订单</v>
      </c>
      <c r="I8766" s="1" t="str">
        <f t="shared" si="2467"/>
        <v>已发货</v>
      </c>
      <c r="J8766" s="1" t="str">
        <f t="shared" si="2471"/>
        <v>2</v>
      </c>
      <c r="K8766" s="1">
        <v>1</v>
      </c>
      <c r="L8766" s="1" t="s">
        <v>94</v>
      </c>
      <c r="M8766" s="1" t="str">
        <f>"湖南省 常德市 武陵区 德山街道"</f>
        <v>湖南省 常德市 武陵区 德山街道</v>
      </c>
      <c r="N8766" s="1" t="str">
        <f t="shared" si="2470"/>
        <v>凡华云仓-韵达-抖音</v>
      </c>
      <c r="O8766" s="5">
        <v>320161040491437</v>
      </c>
      <c r="P8766" s="6">
        <v>0.33</v>
      </c>
      <c r="Q8766" s="11">
        <v>2.2999999999999998</v>
      </c>
      <c r="R8766" s="11"/>
      <c r="S8766" s="11"/>
      <c r="T8766" s="11"/>
      <c r="U8766" s="11">
        <f t="shared" si="2463"/>
        <v>2.2999999999999998</v>
      </c>
      <c r="W8766">
        <v>2.5</v>
      </c>
      <c r="X8766" s="1" t="s">
        <v>94</v>
      </c>
    </row>
    <row r="8767" spans="1:24" x14ac:dyDescent="0.25">
      <c r="A8767" s="1" t="str">
        <f t="shared" si="2464"/>
        <v>卡卡杜-凤凰仓</v>
      </c>
      <c r="B8767" s="1" t="str">
        <f>"CK202410081859"</f>
        <v>CK202410081859</v>
      </c>
      <c r="C8767" s="1" t="str">
        <f>"DD2024100817099"</f>
        <v>DD2024100817099</v>
      </c>
      <c r="D8767" s="1" t="str">
        <f>"CK2024100812950"</f>
        <v>CK2024100812950</v>
      </c>
      <c r="E8767" s="1" t="str">
        <f>"6917926731838029485"</f>
        <v>6917926731838029485</v>
      </c>
      <c r="F8767" s="1" t="str">
        <f t="shared" si="2465"/>
        <v>花都四部-凤凰仓</v>
      </c>
      <c r="G8767" s="1" t="str">
        <f t="shared" si="2468"/>
        <v>卡卡杜个人护理店（抖店）</v>
      </c>
      <c r="H8767" s="1" t="str">
        <f t="shared" si="2466"/>
        <v>正常订单</v>
      </c>
      <c r="I8767" s="1" t="str">
        <f t="shared" si="2467"/>
        <v>已发货</v>
      </c>
      <c r="J8767" s="1" t="str">
        <f t="shared" si="2471"/>
        <v>2</v>
      </c>
      <c r="K8767" s="1">
        <v>1</v>
      </c>
      <c r="L8767" s="1" t="s">
        <v>20</v>
      </c>
      <c r="M8767" s="1" t="str">
        <f>"浙江省 嘉兴市 南湖区 "</f>
        <v xml:space="preserve">浙江省 嘉兴市 南湖区 </v>
      </c>
      <c r="N8767" s="1" t="str">
        <f t="shared" si="2470"/>
        <v>凡华云仓-韵达-抖音</v>
      </c>
      <c r="O8767" s="5">
        <v>320161040491342</v>
      </c>
      <c r="P8767" s="6">
        <v>0.33</v>
      </c>
      <c r="Q8767" s="11">
        <v>2.2999999999999998</v>
      </c>
      <c r="R8767" s="11"/>
      <c r="S8767" s="11"/>
      <c r="T8767" s="11"/>
      <c r="U8767" s="11">
        <f t="shared" si="2463"/>
        <v>2.2999999999999998</v>
      </c>
      <c r="W8767">
        <v>2.5</v>
      </c>
      <c r="X8767" s="1" t="s">
        <v>20</v>
      </c>
    </row>
    <row r="8768" spans="1:24" x14ac:dyDescent="0.25">
      <c r="A8768" s="1" t="str">
        <f t="shared" si="2464"/>
        <v>卡卡杜-凤凰仓</v>
      </c>
      <c r="B8768" s="1" t="str">
        <f>"CK202410081860"</f>
        <v>CK202410081860</v>
      </c>
      <c r="C8768" s="1" t="str">
        <f>"DD2024100817103"</f>
        <v>DD2024100817103</v>
      </c>
      <c r="D8768" s="1" t="str">
        <f>"CK2024100812949"</f>
        <v>CK2024100812949</v>
      </c>
      <c r="E8768" s="1" t="str">
        <f>"6917919624470035524"</f>
        <v>6917919624470035524</v>
      </c>
      <c r="F8768" s="1" t="str">
        <f t="shared" si="2465"/>
        <v>花都四部-凤凰仓</v>
      </c>
      <c r="G8768" s="1" t="str">
        <f t="shared" si="2468"/>
        <v>卡卡杜个人护理店（抖店）</v>
      </c>
      <c r="H8768" s="1" t="str">
        <f t="shared" si="2466"/>
        <v>正常订单</v>
      </c>
      <c r="I8768" s="1" t="str">
        <f t="shared" si="2467"/>
        <v>已发货</v>
      </c>
      <c r="J8768" s="1" t="str">
        <f t="shared" si="2471"/>
        <v>2</v>
      </c>
      <c r="K8768" s="1">
        <v>1</v>
      </c>
      <c r="L8768" s="1" t="s">
        <v>94</v>
      </c>
      <c r="M8768" s="1" t="str">
        <f>"湖南省 湘潭市 雨湖区 长城乡"</f>
        <v>湖南省 湘潭市 雨湖区 长城乡</v>
      </c>
      <c r="N8768" s="1" t="str">
        <f t="shared" si="2470"/>
        <v>凡华云仓-韵达-抖音</v>
      </c>
      <c r="O8768" s="5">
        <v>320161040491249</v>
      </c>
      <c r="P8768" s="6">
        <v>0.33</v>
      </c>
      <c r="Q8768" s="11">
        <v>2.2999999999999998</v>
      </c>
      <c r="R8768" s="11"/>
      <c r="S8768" s="11"/>
      <c r="T8768" s="11"/>
      <c r="U8768" s="11">
        <f t="shared" si="2463"/>
        <v>2.2999999999999998</v>
      </c>
      <c r="W8768">
        <v>2.5</v>
      </c>
      <c r="X8768" s="1" t="s">
        <v>94</v>
      </c>
    </row>
    <row r="8769" spans="1:24" x14ac:dyDescent="0.25">
      <c r="A8769" s="1" t="str">
        <f t="shared" si="2464"/>
        <v>卡卡杜-凤凰仓</v>
      </c>
      <c r="B8769" s="1" t="str">
        <f>"CK202410081861"</f>
        <v>CK202410081861</v>
      </c>
      <c r="C8769" s="1" t="str">
        <f>"DD2024100817100"</f>
        <v>DD2024100817100</v>
      </c>
      <c r="D8769" s="1" t="str">
        <f>"CK2024100812948"</f>
        <v>CK2024100812948</v>
      </c>
      <c r="E8769" s="1" t="str">
        <f>"6917919736798412418"</f>
        <v>6917919736798412418</v>
      </c>
      <c r="F8769" s="1" t="str">
        <f t="shared" si="2465"/>
        <v>花都四部-凤凰仓</v>
      </c>
      <c r="G8769" s="1" t="str">
        <f t="shared" si="2468"/>
        <v>卡卡杜个人护理店（抖店）</v>
      </c>
      <c r="H8769" s="1" t="str">
        <f t="shared" si="2466"/>
        <v>正常订单</v>
      </c>
      <c r="I8769" s="1" t="str">
        <f t="shared" si="2467"/>
        <v>已发货</v>
      </c>
      <c r="J8769" s="1" t="str">
        <f t="shared" si="2471"/>
        <v>2</v>
      </c>
      <c r="K8769" s="1">
        <v>1</v>
      </c>
      <c r="L8769" s="1" t="s">
        <v>22</v>
      </c>
      <c r="M8769" s="1" t="str">
        <f>"江西省 新余市 渝水区 "</f>
        <v xml:space="preserve">江西省 新余市 渝水区 </v>
      </c>
      <c r="N8769" s="1" t="str">
        <f t="shared" si="2470"/>
        <v>凡华云仓-韵达-抖音</v>
      </c>
      <c r="O8769" s="5">
        <v>320161028723405</v>
      </c>
      <c r="P8769" s="6">
        <v>0.33</v>
      </c>
      <c r="Q8769" s="11">
        <v>2.2999999999999998</v>
      </c>
      <c r="R8769" s="11"/>
      <c r="S8769" s="11"/>
      <c r="T8769" s="11"/>
      <c r="U8769" s="11">
        <f t="shared" si="2463"/>
        <v>2.2999999999999998</v>
      </c>
      <c r="W8769">
        <v>2.5</v>
      </c>
      <c r="X8769" s="1" t="s">
        <v>22</v>
      </c>
    </row>
    <row r="8770" spans="1:24" x14ac:dyDescent="0.25">
      <c r="A8770" s="1" t="str">
        <f t="shared" si="2464"/>
        <v>卡卡杜-凤凰仓</v>
      </c>
      <c r="B8770" s="1" t="str">
        <f>"CK202410081862"</f>
        <v>CK202410081862</v>
      </c>
      <c r="C8770" s="1" t="str">
        <f>"DD2024100817104"</f>
        <v>DD2024100817104</v>
      </c>
      <c r="D8770" s="1" t="str">
        <f>"CK2024100812947"</f>
        <v>CK2024100812947</v>
      </c>
      <c r="E8770" s="1" t="str">
        <f>"6917922001392598831"</f>
        <v>6917922001392598831</v>
      </c>
      <c r="F8770" s="1" t="str">
        <f t="shared" si="2465"/>
        <v>花都四部-凤凰仓</v>
      </c>
      <c r="G8770" s="1" t="str">
        <f t="shared" si="2468"/>
        <v>卡卡杜个人护理店（抖店）</v>
      </c>
      <c r="H8770" s="1" t="str">
        <f t="shared" si="2466"/>
        <v>正常订单</v>
      </c>
      <c r="I8770" s="1" t="str">
        <f t="shared" si="2467"/>
        <v>已发货</v>
      </c>
      <c r="J8770" s="1" t="str">
        <f t="shared" si="2471"/>
        <v>2</v>
      </c>
      <c r="K8770" s="1">
        <v>1</v>
      </c>
      <c r="L8770" s="1" t="s">
        <v>20</v>
      </c>
      <c r="M8770" s="1" t="str">
        <f>"浙江省 杭州市 余杭区 良渚街道"</f>
        <v>浙江省 杭州市 余杭区 良渚街道</v>
      </c>
      <c r="N8770" s="1" t="str">
        <f t="shared" si="2470"/>
        <v>凡华云仓-韵达-抖音</v>
      </c>
      <c r="O8770" s="5">
        <v>320161028723310</v>
      </c>
      <c r="P8770" s="6">
        <v>0.33</v>
      </c>
      <c r="Q8770" s="11">
        <v>2.2999999999999998</v>
      </c>
      <c r="R8770" s="11"/>
      <c r="S8770" s="11"/>
      <c r="T8770" s="11"/>
      <c r="U8770" s="11">
        <f t="shared" si="2463"/>
        <v>2.2999999999999998</v>
      </c>
      <c r="W8770">
        <v>2.5</v>
      </c>
      <c r="X8770" s="1" t="s">
        <v>20</v>
      </c>
    </row>
    <row r="8771" spans="1:24" x14ac:dyDescent="0.25">
      <c r="A8771" s="1" t="str">
        <f t="shared" si="2464"/>
        <v>卡卡杜-凤凰仓</v>
      </c>
      <c r="B8771" s="1" t="str">
        <f>"CK202410081863"</f>
        <v>CK202410081863</v>
      </c>
      <c r="C8771" s="1" t="str">
        <f>"DD2024100817102"</f>
        <v>DD2024100817102</v>
      </c>
      <c r="D8771" s="1" t="str">
        <f>"CK2024100812946"</f>
        <v>CK2024100812946</v>
      </c>
      <c r="E8771" s="1" t="str">
        <f>"6917928676632854020"</f>
        <v>6917928676632854020</v>
      </c>
      <c r="F8771" s="1" t="str">
        <f t="shared" si="2465"/>
        <v>花都四部-凤凰仓</v>
      </c>
      <c r="G8771" s="1" t="str">
        <f t="shared" si="2468"/>
        <v>卡卡杜个人护理店（抖店）</v>
      </c>
      <c r="H8771" s="1" t="str">
        <f t="shared" si="2466"/>
        <v>正常订单</v>
      </c>
      <c r="I8771" s="1" t="str">
        <f t="shared" si="2467"/>
        <v>已发货</v>
      </c>
      <c r="J8771" s="1" t="str">
        <f t="shared" si="2471"/>
        <v>2</v>
      </c>
      <c r="K8771" s="1">
        <v>1</v>
      </c>
      <c r="L8771" s="1" t="s">
        <v>13</v>
      </c>
      <c r="M8771" s="1" t="str">
        <f>"江苏省 南京市 江宁区 横溪街道"</f>
        <v>江苏省 南京市 江宁区 横溪街道</v>
      </c>
      <c r="N8771" s="1" t="str">
        <f t="shared" si="2470"/>
        <v>凡华云仓-韵达-抖音</v>
      </c>
      <c r="O8771" s="5">
        <v>320161028723217</v>
      </c>
      <c r="P8771" s="6">
        <v>0.33</v>
      </c>
      <c r="Q8771" s="11">
        <v>2.2999999999999998</v>
      </c>
      <c r="R8771" s="11"/>
      <c r="S8771" s="11"/>
      <c r="T8771" s="11"/>
      <c r="U8771" s="11">
        <f t="shared" ref="U8771:U8834" si="2472">T8771+S8771+R8771+Q8771</f>
        <v>2.2999999999999998</v>
      </c>
      <c r="W8771">
        <v>2.5</v>
      </c>
      <c r="X8771" s="1" t="s">
        <v>13</v>
      </c>
    </row>
    <row r="8772" spans="1:24" x14ac:dyDescent="0.25">
      <c r="A8772" s="1" t="str">
        <f t="shared" si="2464"/>
        <v>卡卡杜-凤凰仓</v>
      </c>
      <c r="B8772" s="1" t="str">
        <f>"CK202410081882"</f>
        <v>CK202410081882</v>
      </c>
      <c r="C8772" s="1" t="str">
        <f>"DD2024100817122"</f>
        <v>DD2024100817122</v>
      </c>
      <c r="D8772" s="1" t="str">
        <f>"CK2024100812945"</f>
        <v>CK2024100812945</v>
      </c>
      <c r="E8772" s="1" t="str">
        <f>"6917928898155085003"</f>
        <v>6917928898155085003</v>
      </c>
      <c r="F8772" s="1" t="str">
        <f t="shared" si="2465"/>
        <v>花都四部-凤凰仓</v>
      </c>
      <c r="G8772" s="1" t="str">
        <f t="shared" si="2468"/>
        <v>卡卡杜个人护理店（抖店）</v>
      </c>
      <c r="H8772" s="1" t="str">
        <f t="shared" si="2466"/>
        <v>正常订单</v>
      </c>
      <c r="I8772" s="1" t="str">
        <f t="shared" si="2467"/>
        <v>已发货</v>
      </c>
      <c r="J8772" s="1" t="str">
        <f t="shared" si="2471"/>
        <v>2</v>
      </c>
      <c r="K8772" s="1">
        <v>1</v>
      </c>
      <c r="L8772" s="1" t="s">
        <v>20</v>
      </c>
      <c r="M8772" s="1" t="str">
        <f>"浙江省 宁波市 镇海区 贵驷街道"</f>
        <v>浙江省 宁波市 镇海区 贵驷街道</v>
      </c>
      <c r="N8772" s="1" t="str">
        <f t="shared" si="2470"/>
        <v>凡华云仓-韵达-抖音</v>
      </c>
      <c r="O8772" s="5">
        <v>320161028723126</v>
      </c>
      <c r="P8772" s="6">
        <v>0.33</v>
      </c>
      <c r="Q8772" s="11">
        <v>2.2999999999999998</v>
      </c>
      <c r="R8772" s="11"/>
      <c r="S8772" s="11"/>
      <c r="T8772" s="11"/>
      <c r="U8772" s="11">
        <f t="shared" si="2472"/>
        <v>2.2999999999999998</v>
      </c>
      <c r="W8772">
        <v>2.5</v>
      </c>
      <c r="X8772" s="1" t="s">
        <v>20</v>
      </c>
    </row>
    <row r="8773" spans="1:24" x14ac:dyDescent="0.25">
      <c r="A8773" s="1" t="str">
        <f t="shared" ref="A8773:A8836" si="2473">"卡卡杜-凤凰仓"</f>
        <v>卡卡杜-凤凰仓</v>
      </c>
      <c r="B8773" s="1" t="str">
        <f>"CK202410082009"</f>
        <v>CK202410082009</v>
      </c>
      <c r="C8773" s="1" t="str">
        <f>"DD2024100817488"</f>
        <v>DD2024100817488</v>
      </c>
      <c r="D8773" s="1" t="str">
        <f>"CK2024100812944"</f>
        <v>CK2024100812944</v>
      </c>
      <c r="E8773" s="1" t="str">
        <f>"6917926758761135863"</f>
        <v>6917926758761135863</v>
      </c>
      <c r="F8773" s="1" t="str">
        <f t="shared" ref="F8773:F8836" si="2474">"花都四部-凤凰仓"</f>
        <v>花都四部-凤凰仓</v>
      </c>
      <c r="G8773" s="1" t="str">
        <f t="shared" si="2468"/>
        <v>卡卡杜个人护理店（抖店）</v>
      </c>
      <c r="H8773" s="1" t="str">
        <f t="shared" ref="H8773:H8836" si="2475">"正常订单"</f>
        <v>正常订单</v>
      </c>
      <c r="I8773" s="1" t="str">
        <f t="shared" ref="I8773:I8836" si="2476">"已发货"</f>
        <v>已发货</v>
      </c>
      <c r="J8773" s="1" t="str">
        <f>"6"</f>
        <v>6</v>
      </c>
      <c r="K8773" s="1">
        <v>2</v>
      </c>
      <c r="L8773" s="1" t="s">
        <v>22</v>
      </c>
      <c r="M8773" s="1" t="str">
        <f>"江西省 南昌市 南昌县 莲塘镇"</f>
        <v>江西省 南昌市 南昌县 莲塘镇</v>
      </c>
      <c r="N8773" s="1" t="str">
        <f t="shared" si="2470"/>
        <v>凡华云仓-韵达-抖音</v>
      </c>
      <c r="O8773" s="5">
        <v>320161028723037</v>
      </c>
      <c r="P8773" s="6">
        <v>0.81</v>
      </c>
      <c r="Q8773" s="11">
        <f>CEILING(P8773-0.5,0.1)*10*0.15+2.3</f>
        <v>2.9</v>
      </c>
      <c r="R8773" s="11"/>
      <c r="S8773" s="11"/>
      <c r="T8773" s="11"/>
      <c r="U8773" s="11">
        <f t="shared" si="2472"/>
        <v>2.9</v>
      </c>
      <c r="V8773" t="s">
        <v>15</v>
      </c>
      <c r="W8773">
        <v>2.9</v>
      </c>
      <c r="X8773" s="1" t="s">
        <v>22</v>
      </c>
    </row>
    <row r="8774" spans="1:24" x14ac:dyDescent="0.25">
      <c r="A8774" s="1" t="str">
        <f t="shared" si="2473"/>
        <v>卡卡杜-凤凰仓</v>
      </c>
      <c r="B8774" s="1" t="str">
        <f>"CK202410081884"</f>
        <v>CK202410081884</v>
      </c>
      <c r="C8774" s="1" t="str">
        <f>"DD2024100817125"</f>
        <v>DD2024100817125</v>
      </c>
      <c r="D8774" s="1" t="str">
        <f>"CK2024100812943"</f>
        <v>CK2024100812943</v>
      </c>
      <c r="E8774" s="1" t="str">
        <f>"6917924355820125568"</f>
        <v>6917924355820125568</v>
      </c>
      <c r="F8774" s="1" t="str">
        <f t="shared" si="2474"/>
        <v>花都四部-凤凰仓</v>
      </c>
      <c r="G8774" s="1" t="str">
        <f t="shared" si="2468"/>
        <v>卡卡杜个人护理店（抖店）</v>
      </c>
      <c r="H8774" s="1" t="str">
        <f t="shared" si="2475"/>
        <v>正常订单</v>
      </c>
      <c r="I8774" s="1" t="str">
        <f t="shared" si="2476"/>
        <v>已发货</v>
      </c>
      <c r="J8774" s="1" t="str">
        <f t="shared" ref="J8774:J8791" si="2477">"2"</f>
        <v>2</v>
      </c>
      <c r="K8774" s="1">
        <v>1</v>
      </c>
      <c r="L8774" s="1" t="s">
        <v>18</v>
      </c>
      <c r="M8774" s="1" t="str">
        <f>"广东省 中山市 中山市 横栏镇"</f>
        <v>广东省 中山市 中山市 横栏镇</v>
      </c>
      <c r="N8774" s="1" t="str">
        <f t="shared" si="2470"/>
        <v>凡华云仓-韵达-抖音</v>
      </c>
      <c r="O8774" s="5">
        <v>320161028722917</v>
      </c>
      <c r="P8774" s="6">
        <v>0.33</v>
      </c>
      <c r="Q8774" s="11">
        <v>2.2999999999999998</v>
      </c>
      <c r="R8774" s="11"/>
      <c r="S8774" s="11"/>
      <c r="T8774" s="11"/>
      <c r="U8774" s="11">
        <f t="shared" si="2472"/>
        <v>2.2999999999999998</v>
      </c>
      <c r="W8774">
        <v>2.5</v>
      </c>
      <c r="X8774" s="1" t="s">
        <v>18</v>
      </c>
    </row>
    <row r="8775" spans="1:24" x14ac:dyDescent="0.25">
      <c r="A8775" s="1" t="str">
        <f t="shared" si="2473"/>
        <v>卡卡杜-凤凰仓</v>
      </c>
      <c r="B8775" s="1" t="str">
        <f>"CK202410081914"</f>
        <v>CK202410081914</v>
      </c>
      <c r="C8775" s="1" t="str">
        <f>"DD2024100817152"</f>
        <v>DD2024100817152</v>
      </c>
      <c r="D8775" s="1" t="str">
        <f>"CK2024100812942"</f>
        <v>CK2024100812942</v>
      </c>
      <c r="E8775" s="1" t="str">
        <f>"6917926802657476454"</f>
        <v>6917926802657476454</v>
      </c>
      <c r="F8775" s="1" t="str">
        <f t="shared" si="2474"/>
        <v>花都四部-凤凰仓</v>
      </c>
      <c r="G8775" s="1" t="str">
        <f t="shared" si="2468"/>
        <v>卡卡杜个人护理店（抖店）</v>
      </c>
      <c r="H8775" s="1" t="str">
        <f t="shared" si="2475"/>
        <v>正常订单</v>
      </c>
      <c r="I8775" s="1" t="str">
        <f t="shared" si="2476"/>
        <v>已发货</v>
      </c>
      <c r="J8775" s="1" t="str">
        <f t="shared" si="2477"/>
        <v>2</v>
      </c>
      <c r="K8775" s="1">
        <v>1</v>
      </c>
      <c r="L8775" s="1" t="s">
        <v>18</v>
      </c>
      <c r="M8775" s="1" t="str">
        <f>"广东省 广州市 海珠区 官洲街道"</f>
        <v>广东省 广州市 海珠区 官洲街道</v>
      </c>
      <c r="N8775" s="1" t="str">
        <f t="shared" si="2470"/>
        <v>凡华云仓-韵达-抖音</v>
      </c>
      <c r="O8775" s="5">
        <v>320161028722812</v>
      </c>
      <c r="P8775" s="6">
        <v>0.33</v>
      </c>
      <c r="Q8775" s="11">
        <v>2.2999999999999998</v>
      </c>
      <c r="R8775" s="11"/>
      <c r="S8775" s="11"/>
      <c r="T8775" s="11"/>
      <c r="U8775" s="11">
        <f t="shared" si="2472"/>
        <v>2.2999999999999998</v>
      </c>
      <c r="W8775">
        <v>2.5</v>
      </c>
      <c r="X8775" s="1" t="s">
        <v>18</v>
      </c>
    </row>
    <row r="8776" spans="1:24" x14ac:dyDescent="0.25">
      <c r="A8776" s="1" t="str">
        <f t="shared" si="2473"/>
        <v>卡卡杜-凤凰仓</v>
      </c>
      <c r="B8776" s="1" t="str">
        <f>"CK202410081886"</f>
        <v>CK202410081886</v>
      </c>
      <c r="C8776" s="1" t="str">
        <f>"DD2024100817126"</f>
        <v>DD2024100817126</v>
      </c>
      <c r="D8776" s="1" t="str">
        <f>"CK2024100812941"</f>
        <v>CK2024100812941</v>
      </c>
      <c r="E8776" s="1" t="str">
        <f>"6917921875674168754"</f>
        <v>6917921875674168754</v>
      </c>
      <c r="F8776" s="1" t="str">
        <f t="shared" si="2474"/>
        <v>花都四部-凤凰仓</v>
      </c>
      <c r="G8776" s="1" t="str">
        <f t="shared" si="2468"/>
        <v>卡卡杜个人护理店（抖店）</v>
      </c>
      <c r="H8776" s="1" t="str">
        <f t="shared" si="2475"/>
        <v>正常订单</v>
      </c>
      <c r="I8776" s="1" t="str">
        <f t="shared" si="2476"/>
        <v>已发货</v>
      </c>
      <c r="J8776" s="1" t="str">
        <f t="shared" si="2477"/>
        <v>2</v>
      </c>
      <c r="K8776" s="1">
        <v>1</v>
      </c>
      <c r="L8776" s="1" t="s">
        <v>20</v>
      </c>
      <c r="M8776" s="1" t="str">
        <f>"浙江省 衢州市 龙游县 詹家镇"</f>
        <v>浙江省 衢州市 龙游县 詹家镇</v>
      </c>
      <c r="N8776" s="1" t="str">
        <f t="shared" si="2470"/>
        <v>凡华云仓-韵达-抖音</v>
      </c>
      <c r="O8776" s="5">
        <v>320161028722709</v>
      </c>
      <c r="P8776" s="6">
        <v>0.33</v>
      </c>
      <c r="Q8776" s="11">
        <v>2.2999999999999998</v>
      </c>
      <c r="R8776" s="11"/>
      <c r="S8776" s="11"/>
      <c r="T8776" s="11"/>
      <c r="U8776" s="11">
        <f t="shared" si="2472"/>
        <v>2.2999999999999998</v>
      </c>
      <c r="W8776">
        <v>2.5</v>
      </c>
      <c r="X8776" s="1" t="s">
        <v>20</v>
      </c>
    </row>
    <row r="8777" spans="1:24" x14ac:dyDescent="0.25">
      <c r="A8777" s="1" t="str">
        <f t="shared" si="2473"/>
        <v>卡卡杜-凤凰仓</v>
      </c>
      <c r="B8777" s="1" t="str">
        <f>"CK202410081906"</f>
        <v>CK202410081906</v>
      </c>
      <c r="C8777" s="1" t="str">
        <f>"DD2024100817146"</f>
        <v>DD2024100817146</v>
      </c>
      <c r="D8777" s="1" t="str">
        <f>"CK2024100812940"</f>
        <v>CK2024100812940</v>
      </c>
      <c r="E8777" s="1" t="str">
        <f>"6917928813809859912"</f>
        <v>6917928813809859912</v>
      </c>
      <c r="F8777" s="1" t="str">
        <f t="shared" si="2474"/>
        <v>花都四部-凤凰仓</v>
      </c>
      <c r="G8777" s="1" t="str">
        <f t="shared" si="2468"/>
        <v>卡卡杜个人护理店（抖店）</v>
      </c>
      <c r="H8777" s="1" t="str">
        <f t="shared" si="2475"/>
        <v>正常订单</v>
      </c>
      <c r="I8777" s="1" t="str">
        <f t="shared" si="2476"/>
        <v>已发货</v>
      </c>
      <c r="J8777" s="1" t="str">
        <f t="shared" si="2477"/>
        <v>2</v>
      </c>
      <c r="K8777" s="1">
        <v>1</v>
      </c>
      <c r="L8777" s="1" t="s">
        <v>13</v>
      </c>
      <c r="M8777" s="1" t="str">
        <f>"江苏省 苏州市 常熟市 辛庄镇"</f>
        <v>江苏省 苏州市 常熟市 辛庄镇</v>
      </c>
      <c r="N8777" s="1" t="str">
        <f t="shared" si="2470"/>
        <v>凡华云仓-韵达-抖音</v>
      </c>
      <c r="O8777" s="5">
        <v>320161028722608</v>
      </c>
      <c r="P8777" s="6">
        <v>0.33</v>
      </c>
      <c r="Q8777" s="11">
        <v>2.2999999999999998</v>
      </c>
      <c r="R8777" s="11"/>
      <c r="S8777" s="11"/>
      <c r="T8777" s="11"/>
      <c r="U8777" s="11">
        <f t="shared" si="2472"/>
        <v>2.2999999999999998</v>
      </c>
      <c r="W8777">
        <v>2.5</v>
      </c>
      <c r="X8777" s="1" t="s">
        <v>13</v>
      </c>
    </row>
    <row r="8778" spans="1:24" x14ac:dyDescent="0.25">
      <c r="A8778" s="1" t="str">
        <f t="shared" si="2473"/>
        <v>卡卡杜-凤凰仓</v>
      </c>
      <c r="B8778" s="1" t="str">
        <f>"CK202410081907"</f>
        <v>CK202410081907</v>
      </c>
      <c r="C8778" s="1" t="str">
        <f>"DD2024100817147"</f>
        <v>DD2024100817147</v>
      </c>
      <c r="D8778" s="1" t="str">
        <f>"CK2024100812939"</f>
        <v>CK2024100812939</v>
      </c>
      <c r="E8778" s="1" t="str">
        <f>"6917928929030930378"</f>
        <v>6917928929030930378</v>
      </c>
      <c r="F8778" s="1" t="str">
        <f t="shared" si="2474"/>
        <v>花都四部-凤凰仓</v>
      </c>
      <c r="G8778" s="1" t="str">
        <f t="shared" si="2468"/>
        <v>卡卡杜个人护理店（抖店）</v>
      </c>
      <c r="H8778" s="1" t="str">
        <f t="shared" si="2475"/>
        <v>正常订单</v>
      </c>
      <c r="I8778" s="1" t="str">
        <f t="shared" si="2476"/>
        <v>已发货</v>
      </c>
      <c r="J8778" s="1" t="str">
        <f t="shared" si="2477"/>
        <v>2</v>
      </c>
      <c r="K8778" s="1">
        <v>1</v>
      </c>
      <c r="L8778" s="1" t="s">
        <v>41</v>
      </c>
      <c r="M8778" s="1" t="str">
        <f>"湖北省 孝感市 大悟县 大新镇"</f>
        <v>湖北省 孝感市 大悟县 大新镇</v>
      </c>
      <c r="N8778" s="1" t="str">
        <f t="shared" si="2470"/>
        <v>凡华云仓-韵达-抖音</v>
      </c>
      <c r="O8778" s="5">
        <v>320161028722509</v>
      </c>
      <c r="P8778" s="6">
        <v>0.33</v>
      </c>
      <c r="Q8778" s="11">
        <v>2.2999999999999998</v>
      </c>
      <c r="R8778" s="11"/>
      <c r="S8778" s="11"/>
      <c r="T8778" s="11"/>
      <c r="U8778" s="11">
        <f t="shared" si="2472"/>
        <v>2.2999999999999998</v>
      </c>
      <c r="W8778">
        <v>2.5</v>
      </c>
      <c r="X8778" s="1" t="s">
        <v>41</v>
      </c>
    </row>
    <row r="8779" spans="1:24" x14ac:dyDescent="0.25">
      <c r="A8779" s="1" t="str">
        <f t="shared" si="2473"/>
        <v>卡卡杜-凤凰仓</v>
      </c>
      <c r="B8779" s="1" t="str">
        <f>"CK202410081909"</f>
        <v>CK202410081909</v>
      </c>
      <c r="C8779" s="1" t="str">
        <f>"DD2024100817149"</f>
        <v>DD2024100817149</v>
      </c>
      <c r="D8779" s="1" t="str">
        <f>"CK2024100812938"</f>
        <v>CK2024100812938</v>
      </c>
      <c r="E8779" s="1" t="str">
        <f>"6917926667703450832"</f>
        <v>6917926667703450832</v>
      </c>
      <c r="F8779" s="1" t="str">
        <f t="shared" si="2474"/>
        <v>花都四部-凤凰仓</v>
      </c>
      <c r="G8779" s="1" t="str">
        <f t="shared" si="2468"/>
        <v>卡卡杜个人护理店（抖店）</v>
      </c>
      <c r="H8779" s="1" t="str">
        <f t="shared" si="2475"/>
        <v>正常订单</v>
      </c>
      <c r="I8779" s="1" t="str">
        <f t="shared" si="2476"/>
        <v>已发货</v>
      </c>
      <c r="J8779" s="1" t="str">
        <f t="shared" si="2477"/>
        <v>2</v>
      </c>
      <c r="K8779" s="1">
        <v>1</v>
      </c>
      <c r="L8779" s="1" t="s">
        <v>18</v>
      </c>
      <c r="M8779" s="1" t="str">
        <f>"广东省 揭阳市 普宁市 南径镇"</f>
        <v>广东省 揭阳市 普宁市 南径镇</v>
      </c>
      <c r="N8779" s="1" t="str">
        <f t="shared" si="2470"/>
        <v>凡华云仓-韵达-抖音</v>
      </c>
      <c r="O8779" s="5">
        <v>320161049030085</v>
      </c>
      <c r="P8779" s="6">
        <v>0.33</v>
      </c>
      <c r="Q8779" s="11">
        <v>2.2999999999999998</v>
      </c>
      <c r="R8779" s="11"/>
      <c r="S8779" s="11"/>
      <c r="T8779" s="11"/>
      <c r="U8779" s="11">
        <f t="shared" si="2472"/>
        <v>2.2999999999999998</v>
      </c>
      <c r="W8779">
        <v>2.5</v>
      </c>
      <c r="X8779" s="1" t="s">
        <v>18</v>
      </c>
    </row>
    <row r="8780" spans="1:24" x14ac:dyDescent="0.25">
      <c r="A8780" s="1" t="str">
        <f t="shared" si="2473"/>
        <v>卡卡杜-凤凰仓</v>
      </c>
      <c r="B8780" s="1" t="str">
        <f>"CK202410081908"</f>
        <v>CK202410081908</v>
      </c>
      <c r="C8780" s="1" t="str">
        <f>"DD2024100817148"</f>
        <v>DD2024100817148</v>
      </c>
      <c r="D8780" s="1" t="str">
        <f>"CK2024100812937"</f>
        <v>CK2024100812937</v>
      </c>
      <c r="E8780" s="1" t="str">
        <f>"6917928710761840211"</f>
        <v>6917928710761840211</v>
      </c>
      <c r="F8780" s="1" t="str">
        <f t="shared" si="2474"/>
        <v>花都四部-凤凰仓</v>
      </c>
      <c r="G8780" s="1" t="str">
        <f t="shared" si="2468"/>
        <v>卡卡杜个人护理店（抖店）</v>
      </c>
      <c r="H8780" s="1" t="str">
        <f t="shared" si="2475"/>
        <v>正常订单</v>
      </c>
      <c r="I8780" s="1" t="str">
        <f t="shared" si="2476"/>
        <v>已发货</v>
      </c>
      <c r="J8780" s="1" t="str">
        <f t="shared" si="2477"/>
        <v>2</v>
      </c>
      <c r="K8780" s="1">
        <v>1</v>
      </c>
      <c r="L8780" s="1" t="s">
        <v>13</v>
      </c>
      <c r="M8780" s="1" t="str">
        <f>"江苏省 无锡市 梁溪区 广益街道"</f>
        <v>江苏省 无锡市 梁溪区 广益街道</v>
      </c>
      <c r="N8780" s="1" t="str">
        <f t="shared" si="2470"/>
        <v>凡华云仓-韵达-抖音</v>
      </c>
      <c r="O8780" s="5">
        <v>320161049029938</v>
      </c>
      <c r="P8780" s="6">
        <v>0.33</v>
      </c>
      <c r="Q8780" s="11">
        <v>2.2999999999999998</v>
      </c>
      <c r="R8780" s="11"/>
      <c r="S8780" s="11"/>
      <c r="T8780" s="11"/>
      <c r="U8780" s="11">
        <f t="shared" si="2472"/>
        <v>2.2999999999999998</v>
      </c>
      <c r="W8780">
        <v>2.5</v>
      </c>
      <c r="X8780" s="1" t="s">
        <v>13</v>
      </c>
    </row>
    <row r="8781" spans="1:24" x14ac:dyDescent="0.25">
      <c r="A8781" s="1" t="str">
        <f t="shared" si="2473"/>
        <v>卡卡杜-凤凰仓</v>
      </c>
      <c r="B8781" s="1" t="str">
        <f>"CK202410081910"</f>
        <v>CK202410081910</v>
      </c>
      <c r="C8781" s="1" t="str">
        <f>"DD2024100817151"</f>
        <v>DD2024100817151</v>
      </c>
      <c r="D8781" s="1" t="str">
        <f>"CK2024100812936"</f>
        <v>CK2024100812936</v>
      </c>
      <c r="E8781" s="1" t="str">
        <f>"6917924284573318611"</f>
        <v>6917924284573318611</v>
      </c>
      <c r="F8781" s="1" t="str">
        <f t="shared" si="2474"/>
        <v>花都四部-凤凰仓</v>
      </c>
      <c r="G8781" s="1" t="str">
        <f t="shared" si="2468"/>
        <v>卡卡杜个人护理店（抖店）</v>
      </c>
      <c r="H8781" s="1" t="str">
        <f t="shared" si="2475"/>
        <v>正常订单</v>
      </c>
      <c r="I8781" s="1" t="str">
        <f t="shared" si="2476"/>
        <v>已发货</v>
      </c>
      <c r="J8781" s="1" t="str">
        <f t="shared" si="2477"/>
        <v>2</v>
      </c>
      <c r="K8781" s="1">
        <v>1</v>
      </c>
      <c r="L8781" s="1" t="s">
        <v>24</v>
      </c>
      <c r="M8781" s="1" t="str">
        <f>"福建省 南平市 建瓯市 芝山街道"</f>
        <v>福建省 南平市 建瓯市 芝山街道</v>
      </c>
      <c r="N8781" s="1" t="str">
        <f t="shared" si="2470"/>
        <v>凡华云仓-韵达-抖音</v>
      </c>
      <c r="O8781" s="5">
        <v>320161049029833</v>
      </c>
      <c r="P8781" s="6">
        <v>0.33</v>
      </c>
      <c r="Q8781" s="11">
        <v>2.2999999999999998</v>
      </c>
      <c r="R8781" s="11"/>
      <c r="S8781" s="11"/>
      <c r="T8781" s="11"/>
      <c r="U8781" s="11">
        <f t="shared" si="2472"/>
        <v>2.2999999999999998</v>
      </c>
      <c r="W8781">
        <v>2.5</v>
      </c>
      <c r="X8781" s="1" t="s">
        <v>24</v>
      </c>
    </row>
    <row r="8782" spans="1:24" x14ac:dyDescent="0.25">
      <c r="A8782" s="1" t="str">
        <f t="shared" si="2473"/>
        <v>卡卡杜-凤凰仓</v>
      </c>
      <c r="B8782" s="1" t="str">
        <f>"CK202410081883"</f>
        <v>CK202410081883</v>
      </c>
      <c r="C8782" s="1" t="str">
        <f>"DD2024100817123"</f>
        <v>DD2024100817123</v>
      </c>
      <c r="D8782" s="1" t="str">
        <f>"CK2024100812935"</f>
        <v>CK2024100812935</v>
      </c>
      <c r="E8782" s="1" t="str">
        <f>"6917926472430877782"</f>
        <v>6917926472430877782</v>
      </c>
      <c r="F8782" s="1" t="str">
        <f t="shared" si="2474"/>
        <v>花都四部-凤凰仓</v>
      </c>
      <c r="G8782" s="1" t="str">
        <f t="shared" si="2468"/>
        <v>卡卡杜个人护理店（抖店）</v>
      </c>
      <c r="H8782" s="1" t="str">
        <f t="shared" si="2475"/>
        <v>正常订单</v>
      </c>
      <c r="I8782" s="1" t="str">
        <f t="shared" si="2476"/>
        <v>已发货</v>
      </c>
      <c r="J8782" s="1" t="str">
        <f t="shared" si="2477"/>
        <v>2</v>
      </c>
      <c r="K8782" s="1">
        <v>1</v>
      </c>
      <c r="L8782" s="1" t="s">
        <v>13</v>
      </c>
      <c r="M8782" s="1" t="str">
        <f>"江苏省 盐城市 滨海县 陈涛镇"</f>
        <v>江苏省 盐城市 滨海县 陈涛镇</v>
      </c>
      <c r="N8782" s="1" t="str">
        <f t="shared" si="2470"/>
        <v>凡华云仓-韵达-抖音</v>
      </c>
      <c r="O8782" s="5">
        <v>320161049029730</v>
      </c>
      <c r="P8782" s="6">
        <v>0.33</v>
      </c>
      <c r="Q8782" s="11">
        <v>2.2999999999999998</v>
      </c>
      <c r="R8782" s="11"/>
      <c r="S8782" s="11"/>
      <c r="T8782" s="11"/>
      <c r="U8782" s="11">
        <f t="shared" si="2472"/>
        <v>2.2999999999999998</v>
      </c>
      <c r="W8782">
        <v>2.5</v>
      </c>
      <c r="X8782" s="1" t="s">
        <v>13</v>
      </c>
    </row>
    <row r="8783" spans="1:24" x14ac:dyDescent="0.25">
      <c r="A8783" s="1" t="str">
        <f t="shared" si="2473"/>
        <v>卡卡杜-凤凰仓</v>
      </c>
      <c r="B8783" s="1" t="str">
        <f>"CK202410081912"</f>
        <v>CK202410081912</v>
      </c>
      <c r="C8783" s="1" t="str">
        <f>"DD2024100817154"</f>
        <v>DD2024100817154</v>
      </c>
      <c r="D8783" s="1" t="str">
        <f>"CK2024100812934"</f>
        <v>CK2024100812934</v>
      </c>
      <c r="E8783" s="1" t="str">
        <f>"6917926410266574071"</f>
        <v>6917926410266574071</v>
      </c>
      <c r="F8783" s="1" t="str">
        <f t="shared" si="2474"/>
        <v>花都四部-凤凰仓</v>
      </c>
      <c r="G8783" s="1" t="str">
        <f t="shared" si="2468"/>
        <v>卡卡杜个人护理店（抖店）</v>
      </c>
      <c r="H8783" s="1" t="str">
        <f t="shared" si="2475"/>
        <v>正常订单</v>
      </c>
      <c r="I8783" s="1" t="str">
        <f t="shared" si="2476"/>
        <v>已发货</v>
      </c>
      <c r="J8783" s="1" t="str">
        <f t="shared" si="2477"/>
        <v>2</v>
      </c>
      <c r="K8783" s="1">
        <v>1</v>
      </c>
      <c r="L8783" s="1" t="s">
        <v>80</v>
      </c>
      <c r="M8783" s="1" t="str">
        <f>"河南省 周口市 鹿邑县 卫真办事处"</f>
        <v>河南省 周口市 鹿邑县 卫真办事处</v>
      </c>
      <c r="N8783" s="1" t="str">
        <f t="shared" si="2470"/>
        <v>凡华云仓-韵达-抖音</v>
      </c>
      <c r="O8783" s="5">
        <v>320161049029629</v>
      </c>
      <c r="P8783" s="6">
        <v>0.33</v>
      </c>
      <c r="Q8783" s="11">
        <v>2.2999999999999998</v>
      </c>
      <c r="R8783" s="11"/>
      <c r="S8783" s="11"/>
      <c r="T8783" s="11"/>
      <c r="U8783" s="11">
        <f t="shared" si="2472"/>
        <v>2.2999999999999998</v>
      </c>
      <c r="W8783">
        <v>2.5</v>
      </c>
      <c r="X8783" s="1" t="s">
        <v>80</v>
      </c>
    </row>
    <row r="8784" spans="1:24" x14ac:dyDescent="0.25">
      <c r="A8784" s="1" t="str">
        <f t="shared" si="2473"/>
        <v>卡卡杜-凤凰仓</v>
      </c>
      <c r="B8784" s="1" t="str">
        <f>"CK202410081904"</f>
        <v>CK202410081904</v>
      </c>
      <c r="C8784" s="1" t="str">
        <f>"DD2024100817144"</f>
        <v>DD2024100817144</v>
      </c>
      <c r="D8784" s="1" t="str">
        <f>"CK2024100812933"</f>
        <v>CK2024100812933</v>
      </c>
      <c r="E8784" s="1" t="str">
        <f>"6917926578892668555"</f>
        <v>6917926578892668555</v>
      </c>
      <c r="F8784" s="1" t="str">
        <f t="shared" si="2474"/>
        <v>花都四部-凤凰仓</v>
      </c>
      <c r="G8784" s="1" t="str">
        <f t="shared" ref="G8784:G8818" si="2478">"卡卡杜个人护理店（抖店）"</f>
        <v>卡卡杜个人护理店（抖店）</v>
      </c>
      <c r="H8784" s="1" t="str">
        <f t="shared" si="2475"/>
        <v>正常订单</v>
      </c>
      <c r="I8784" s="1" t="str">
        <f t="shared" si="2476"/>
        <v>已发货</v>
      </c>
      <c r="J8784" s="1" t="str">
        <f t="shared" si="2477"/>
        <v>2</v>
      </c>
      <c r="K8784" s="1">
        <v>1</v>
      </c>
      <c r="L8784" s="1" t="s">
        <v>60</v>
      </c>
      <c r="M8784" s="1" t="str">
        <f>"云南省 昆明市 官渡区 金马街道"</f>
        <v>云南省 昆明市 官渡区 金马街道</v>
      </c>
      <c r="N8784" s="1" t="str">
        <f t="shared" ref="N8784:N8818" si="2479">"凡华云仓-韵达-抖音"</f>
        <v>凡华云仓-韵达-抖音</v>
      </c>
      <c r="O8784" s="5">
        <v>320161049029530</v>
      </c>
      <c r="P8784" s="6">
        <v>0.33</v>
      </c>
      <c r="Q8784" s="11">
        <v>2.2999999999999998</v>
      </c>
      <c r="R8784" s="11"/>
      <c r="S8784" s="11"/>
      <c r="T8784" s="11"/>
      <c r="U8784" s="11">
        <f t="shared" si="2472"/>
        <v>2.2999999999999998</v>
      </c>
      <c r="W8784">
        <v>2.5</v>
      </c>
      <c r="X8784" s="1" t="s">
        <v>60</v>
      </c>
    </row>
    <row r="8785" spans="1:24" x14ac:dyDescent="0.25">
      <c r="A8785" s="1" t="str">
        <f t="shared" si="2473"/>
        <v>卡卡杜-凤凰仓</v>
      </c>
      <c r="B8785" s="1" t="str">
        <f>"CK202410081913"</f>
        <v>CK202410081913</v>
      </c>
      <c r="C8785" s="1" t="str">
        <f>"DD2024100817153"</f>
        <v>DD2024100817153</v>
      </c>
      <c r="D8785" s="1" t="str">
        <f>"CK2024100812932"</f>
        <v>CK2024100812932</v>
      </c>
      <c r="E8785" s="1" t="str">
        <f>"6917921615675620537"</f>
        <v>6917921615675620537</v>
      </c>
      <c r="F8785" s="1" t="str">
        <f t="shared" si="2474"/>
        <v>花都四部-凤凰仓</v>
      </c>
      <c r="G8785" s="1" t="str">
        <f t="shared" si="2478"/>
        <v>卡卡杜个人护理店（抖店）</v>
      </c>
      <c r="H8785" s="1" t="str">
        <f t="shared" si="2475"/>
        <v>正常订单</v>
      </c>
      <c r="I8785" s="1" t="str">
        <f t="shared" si="2476"/>
        <v>已发货</v>
      </c>
      <c r="J8785" s="1" t="str">
        <f t="shared" si="2477"/>
        <v>2</v>
      </c>
      <c r="K8785" s="1">
        <v>1</v>
      </c>
      <c r="L8785" s="1" t="s">
        <v>96</v>
      </c>
      <c r="M8785" s="1" t="str">
        <f>"广西壮族自治区 桂林市 荔浦市 "</f>
        <v xml:space="preserve">广西壮族自治区 桂林市 荔浦市 </v>
      </c>
      <c r="N8785" s="1" t="str">
        <f t="shared" si="2479"/>
        <v>凡华云仓-韵达-抖音</v>
      </c>
      <c r="O8785" s="5">
        <v>320161049029433</v>
      </c>
      <c r="P8785" s="6">
        <v>0.33</v>
      </c>
      <c r="Q8785" s="11">
        <v>2.2999999999999998</v>
      </c>
      <c r="R8785" s="11"/>
      <c r="S8785" s="11"/>
      <c r="T8785" s="11"/>
      <c r="U8785" s="11">
        <f t="shared" si="2472"/>
        <v>2.2999999999999998</v>
      </c>
      <c r="W8785">
        <v>2.5</v>
      </c>
      <c r="X8785" s="1" t="s">
        <v>96</v>
      </c>
    </row>
    <row r="8786" spans="1:24" x14ac:dyDescent="0.25">
      <c r="A8786" s="1" t="str">
        <f t="shared" si="2473"/>
        <v>卡卡杜-凤凰仓</v>
      </c>
      <c r="B8786" s="1" t="str">
        <f>"CK202410081915"</f>
        <v>CK202410081915</v>
      </c>
      <c r="C8786" s="1" t="str">
        <f>"DD2024100817155"</f>
        <v>DD2024100817155</v>
      </c>
      <c r="D8786" s="1" t="str">
        <f>"CK2024100812931"</f>
        <v>CK2024100812931</v>
      </c>
      <c r="E8786" s="1" t="str">
        <f>"6917926297280347144"</f>
        <v>6917926297280347144</v>
      </c>
      <c r="F8786" s="1" t="str">
        <f t="shared" si="2474"/>
        <v>花都四部-凤凰仓</v>
      </c>
      <c r="G8786" s="1" t="str">
        <f t="shared" si="2478"/>
        <v>卡卡杜个人护理店（抖店）</v>
      </c>
      <c r="H8786" s="1" t="str">
        <f t="shared" si="2475"/>
        <v>正常订单</v>
      </c>
      <c r="I8786" s="1" t="str">
        <f t="shared" si="2476"/>
        <v>已发货</v>
      </c>
      <c r="J8786" s="1" t="str">
        <f t="shared" si="2477"/>
        <v>2</v>
      </c>
      <c r="K8786" s="1">
        <v>1</v>
      </c>
      <c r="L8786" s="1" t="s">
        <v>24</v>
      </c>
      <c r="M8786" s="1" t="str">
        <f>"福建省 南平市 武夷山市 崇安街道"</f>
        <v>福建省 南平市 武夷山市 崇安街道</v>
      </c>
      <c r="N8786" s="1" t="str">
        <f t="shared" si="2479"/>
        <v>凡华云仓-韵达-抖音</v>
      </c>
      <c r="O8786" s="5">
        <v>320161049029338</v>
      </c>
      <c r="P8786" s="6">
        <v>0.33</v>
      </c>
      <c r="Q8786" s="11">
        <v>2.2999999999999998</v>
      </c>
      <c r="R8786" s="11"/>
      <c r="S8786" s="11"/>
      <c r="T8786" s="11"/>
      <c r="U8786" s="11">
        <f t="shared" si="2472"/>
        <v>2.2999999999999998</v>
      </c>
      <c r="W8786">
        <v>2.5</v>
      </c>
      <c r="X8786" s="1" t="s">
        <v>24</v>
      </c>
    </row>
    <row r="8787" spans="1:24" x14ac:dyDescent="0.25">
      <c r="A8787" s="1" t="str">
        <f t="shared" si="2473"/>
        <v>卡卡杜-凤凰仓</v>
      </c>
      <c r="B8787" s="1" t="str">
        <f>"CK202410081916"</f>
        <v>CK202410081916</v>
      </c>
      <c r="C8787" s="1" t="str">
        <f>"DD2024100817157"</f>
        <v>DD2024100817157</v>
      </c>
      <c r="D8787" s="1" t="str">
        <f>"CK2024100812930"</f>
        <v>CK2024100812930</v>
      </c>
      <c r="E8787" s="1" t="str">
        <f>"6917924306080399043"</f>
        <v>6917924306080399043</v>
      </c>
      <c r="F8787" s="1" t="str">
        <f t="shared" si="2474"/>
        <v>花都四部-凤凰仓</v>
      </c>
      <c r="G8787" s="1" t="str">
        <f t="shared" si="2478"/>
        <v>卡卡杜个人护理店（抖店）</v>
      </c>
      <c r="H8787" s="1" t="str">
        <f t="shared" si="2475"/>
        <v>正常订单</v>
      </c>
      <c r="I8787" s="1" t="str">
        <f t="shared" si="2476"/>
        <v>已发货</v>
      </c>
      <c r="J8787" s="1" t="str">
        <f t="shared" si="2477"/>
        <v>2</v>
      </c>
      <c r="K8787" s="1">
        <v>1</v>
      </c>
      <c r="L8787" s="1" t="s">
        <v>20</v>
      </c>
      <c r="M8787" s="1" t="str">
        <f>"浙江省 嘉兴市 桐乡市 梧桐街道"</f>
        <v>浙江省 嘉兴市 桐乡市 梧桐街道</v>
      </c>
      <c r="N8787" s="1" t="str">
        <f t="shared" si="2479"/>
        <v>凡华云仓-韵达-抖音</v>
      </c>
      <c r="O8787" s="5">
        <v>320161049029245</v>
      </c>
      <c r="P8787" s="6">
        <v>0.33</v>
      </c>
      <c r="Q8787" s="11">
        <v>2.2999999999999998</v>
      </c>
      <c r="R8787" s="11"/>
      <c r="S8787" s="11"/>
      <c r="T8787" s="11"/>
      <c r="U8787" s="11">
        <f t="shared" si="2472"/>
        <v>2.2999999999999998</v>
      </c>
      <c r="W8787">
        <v>2.5</v>
      </c>
      <c r="X8787" s="1" t="s">
        <v>20</v>
      </c>
    </row>
    <row r="8788" spans="1:24" x14ac:dyDescent="0.25">
      <c r="A8788" s="1" t="str">
        <f t="shared" si="2473"/>
        <v>卡卡杜-凤凰仓</v>
      </c>
      <c r="B8788" s="1" t="str">
        <f>"CK202410081917"</f>
        <v>CK202410081917</v>
      </c>
      <c r="C8788" s="1" t="str">
        <f>"DD2024100817156"</f>
        <v>DD2024100817156</v>
      </c>
      <c r="D8788" s="1" t="str">
        <f>"CK2024100812929"</f>
        <v>CK2024100812929</v>
      </c>
      <c r="E8788" s="1" t="str">
        <f>"6917921693793484727"</f>
        <v>6917921693793484727</v>
      </c>
      <c r="F8788" s="1" t="str">
        <f t="shared" si="2474"/>
        <v>花都四部-凤凰仓</v>
      </c>
      <c r="G8788" s="1" t="str">
        <f t="shared" si="2478"/>
        <v>卡卡杜个人护理店（抖店）</v>
      </c>
      <c r="H8788" s="1" t="str">
        <f t="shared" si="2475"/>
        <v>正常订单</v>
      </c>
      <c r="I8788" s="1" t="str">
        <f t="shared" si="2476"/>
        <v>已发货</v>
      </c>
      <c r="J8788" s="1" t="str">
        <f t="shared" si="2477"/>
        <v>2</v>
      </c>
      <c r="K8788" s="1">
        <v>1</v>
      </c>
      <c r="L8788" s="1" t="s">
        <v>161</v>
      </c>
      <c r="M8788" s="1" t="str">
        <f>"四川省 广元市 剑阁县 杨村镇"</f>
        <v>四川省 广元市 剑阁县 杨村镇</v>
      </c>
      <c r="N8788" s="1" t="str">
        <f t="shared" si="2479"/>
        <v>凡华云仓-韵达-抖音</v>
      </c>
      <c r="O8788" s="5">
        <v>320161049029154</v>
      </c>
      <c r="P8788" s="6">
        <v>0.33</v>
      </c>
      <c r="Q8788" s="11">
        <v>2.2999999999999998</v>
      </c>
      <c r="R8788" s="11"/>
      <c r="S8788" s="11"/>
      <c r="T8788" s="11"/>
      <c r="U8788" s="11">
        <f t="shared" si="2472"/>
        <v>2.2999999999999998</v>
      </c>
      <c r="W8788">
        <v>2.5</v>
      </c>
      <c r="X8788" s="1" t="s">
        <v>161</v>
      </c>
    </row>
    <row r="8789" spans="1:24" x14ac:dyDescent="0.25">
      <c r="A8789" s="1" t="str">
        <f t="shared" si="2473"/>
        <v>卡卡杜-凤凰仓</v>
      </c>
      <c r="B8789" s="1" t="str">
        <f>"CK202410081918"</f>
        <v>CK202410081918</v>
      </c>
      <c r="C8789" s="1" t="str">
        <f>"DD2024100817158"</f>
        <v>DD2024100817158</v>
      </c>
      <c r="D8789" s="1" t="str">
        <f>"CK2024100812928"</f>
        <v>CK2024100812928</v>
      </c>
      <c r="E8789" s="1" t="str">
        <f>"6917919530898783609"</f>
        <v>6917919530898783609</v>
      </c>
      <c r="F8789" s="1" t="str">
        <f t="shared" si="2474"/>
        <v>花都四部-凤凰仓</v>
      </c>
      <c r="G8789" s="1" t="str">
        <f t="shared" si="2478"/>
        <v>卡卡杜个人护理店（抖店）</v>
      </c>
      <c r="H8789" s="1" t="str">
        <f t="shared" si="2475"/>
        <v>正常订单</v>
      </c>
      <c r="I8789" s="1" t="str">
        <f t="shared" si="2476"/>
        <v>已发货</v>
      </c>
      <c r="J8789" s="1" t="str">
        <f t="shared" si="2477"/>
        <v>2</v>
      </c>
      <c r="K8789" s="1">
        <v>1</v>
      </c>
      <c r="L8789" s="1" t="s">
        <v>24</v>
      </c>
      <c r="M8789" s="1" t="str">
        <f>"福建省 宁德市 福鼎市 硖门畲族乡"</f>
        <v>福建省 宁德市 福鼎市 硖门畲族乡</v>
      </c>
      <c r="N8789" s="1" t="str">
        <f t="shared" si="2479"/>
        <v>凡华云仓-韵达-抖音</v>
      </c>
      <c r="O8789" s="5">
        <v>320161048164901</v>
      </c>
      <c r="P8789" s="6">
        <v>0.33</v>
      </c>
      <c r="Q8789" s="11">
        <v>2.2999999999999998</v>
      </c>
      <c r="R8789" s="11"/>
      <c r="S8789" s="11"/>
      <c r="T8789" s="11"/>
      <c r="U8789" s="11">
        <f t="shared" si="2472"/>
        <v>2.2999999999999998</v>
      </c>
      <c r="W8789">
        <v>2.5</v>
      </c>
      <c r="X8789" s="1" t="s">
        <v>24</v>
      </c>
    </row>
    <row r="8790" spans="1:24" x14ac:dyDescent="0.25">
      <c r="A8790" s="1" t="str">
        <f t="shared" si="2473"/>
        <v>卡卡杜-凤凰仓</v>
      </c>
      <c r="B8790" s="1" t="str">
        <f>"CK202410081919"</f>
        <v>CK202410081919</v>
      </c>
      <c r="C8790" s="1" t="str">
        <f>"DD2024100817159"</f>
        <v>DD2024100817159</v>
      </c>
      <c r="D8790" s="1" t="str">
        <f>"CK2024100812927"</f>
        <v>CK2024100812927</v>
      </c>
      <c r="E8790" s="1" t="str">
        <f>"6917919325898505302"</f>
        <v>6917919325898505302</v>
      </c>
      <c r="F8790" s="1" t="str">
        <f t="shared" si="2474"/>
        <v>花都四部-凤凰仓</v>
      </c>
      <c r="G8790" s="1" t="str">
        <f t="shared" si="2478"/>
        <v>卡卡杜个人护理店（抖店）</v>
      </c>
      <c r="H8790" s="1" t="str">
        <f t="shared" si="2475"/>
        <v>正常订单</v>
      </c>
      <c r="I8790" s="1" t="str">
        <f t="shared" si="2476"/>
        <v>已发货</v>
      </c>
      <c r="J8790" s="1" t="str">
        <f t="shared" si="2477"/>
        <v>2</v>
      </c>
      <c r="K8790" s="1">
        <v>1</v>
      </c>
      <c r="L8790" s="1" t="s">
        <v>16</v>
      </c>
      <c r="M8790" s="1" t="str">
        <f>"河北省 廊坊市 广阳区 "</f>
        <v xml:space="preserve">河北省 廊坊市 广阳区 </v>
      </c>
      <c r="N8790" s="1" t="str">
        <f t="shared" si="2479"/>
        <v>凡华云仓-韵达-抖音</v>
      </c>
      <c r="O8790" s="5">
        <v>320161048164896</v>
      </c>
      <c r="P8790" s="6">
        <v>0.33</v>
      </c>
      <c r="Q8790" s="11">
        <v>2.2999999999999998</v>
      </c>
      <c r="R8790" s="11"/>
      <c r="S8790" s="11"/>
      <c r="T8790" s="11"/>
      <c r="U8790" s="11">
        <f t="shared" si="2472"/>
        <v>2.2999999999999998</v>
      </c>
      <c r="W8790">
        <v>2.5</v>
      </c>
      <c r="X8790" s="1" t="s">
        <v>16</v>
      </c>
    </row>
    <row r="8791" spans="1:24" x14ac:dyDescent="0.25">
      <c r="A8791" s="1" t="str">
        <f t="shared" si="2473"/>
        <v>卡卡杜-凤凰仓</v>
      </c>
      <c r="B8791" s="1" t="str">
        <f>"CK202410081920"</f>
        <v>CK202410081920</v>
      </c>
      <c r="C8791" s="1" t="str">
        <f>"DD2024100817161"</f>
        <v>DD2024100817161</v>
      </c>
      <c r="D8791" s="1" t="str">
        <f>"CK2024100812926"</f>
        <v>CK2024100812926</v>
      </c>
      <c r="E8791" s="1" t="str">
        <f>"6917919222521888691"</f>
        <v>6917919222521888691</v>
      </c>
      <c r="F8791" s="1" t="str">
        <f t="shared" si="2474"/>
        <v>花都四部-凤凰仓</v>
      </c>
      <c r="G8791" s="1" t="str">
        <f t="shared" si="2478"/>
        <v>卡卡杜个人护理店（抖店）</v>
      </c>
      <c r="H8791" s="1" t="str">
        <f t="shared" si="2475"/>
        <v>正常订单</v>
      </c>
      <c r="I8791" s="1" t="str">
        <f t="shared" si="2476"/>
        <v>已发货</v>
      </c>
      <c r="J8791" s="1" t="str">
        <f t="shared" si="2477"/>
        <v>2</v>
      </c>
      <c r="K8791" s="1">
        <v>1</v>
      </c>
      <c r="L8791" s="1" t="s">
        <v>24</v>
      </c>
      <c r="M8791" s="1" t="str">
        <f>"福建省 莆田市 仙游县 榜头镇"</f>
        <v>福建省 莆田市 仙游县 榜头镇</v>
      </c>
      <c r="N8791" s="1" t="str">
        <f t="shared" si="2479"/>
        <v>凡华云仓-韵达-抖音</v>
      </c>
      <c r="O8791" s="5">
        <v>320161048164793</v>
      </c>
      <c r="P8791" s="6">
        <v>0.33</v>
      </c>
      <c r="Q8791" s="11">
        <v>2.2999999999999998</v>
      </c>
      <c r="R8791" s="11"/>
      <c r="S8791" s="11"/>
      <c r="T8791" s="11"/>
      <c r="U8791" s="11">
        <f t="shared" si="2472"/>
        <v>2.2999999999999998</v>
      </c>
      <c r="W8791">
        <v>2.5</v>
      </c>
      <c r="X8791" s="1" t="s">
        <v>24</v>
      </c>
    </row>
    <row r="8792" spans="1:24" x14ac:dyDescent="0.25">
      <c r="A8792" s="1" t="str">
        <f t="shared" si="2473"/>
        <v>卡卡杜-凤凰仓</v>
      </c>
      <c r="B8792" s="1" t="str">
        <f>"CK20241007148"</f>
        <v>CK20241007148</v>
      </c>
      <c r="C8792" s="1" t="str">
        <f>"DD202410079094"</f>
        <v>DD202410079094</v>
      </c>
      <c r="D8792" s="1" t="str">
        <f>"CK2024100723529"</f>
        <v>CK2024100723529</v>
      </c>
      <c r="E8792" s="1" t="str">
        <f>"6917896409733168602"</f>
        <v>6917896409733168602</v>
      </c>
      <c r="F8792" s="1" t="str">
        <f t="shared" si="2474"/>
        <v>花都四部-凤凰仓</v>
      </c>
      <c r="G8792" s="1" t="str">
        <f t="shared" si="2478"/>
        <v>卡卡杜个人护理店（抖店）</v>
      </c>
      <c r="H8792" s="1" t="str">
        <f t="shared" si="2475"/>
        <v>正常订单</v>
      </c>
      <c r="I8792" s="1" t="str">
        <f t="shared" si="2476"/>
        <v>已发货</v>
      </c>
      <c r="J8792" s="1" t="str">
        <f>"4"</f>
        <v>4</v>
      </c>
      <c r="K8792" s="1">
        <v>1</v>
      </c>
      <c r="L8792" s="1" t="s">
        <v>94</v>
      </c>
      <c r="M8792" s="1" t="str">
        <f>"湖南省 株洲市 炎陵县 "</f>
        <v xml:space="preserve">湖南省 株洲市 炎陵县 </v>
      </c>
      <c r="N8792" s="1" t="str">
        <f t="shared" si="2479"/>
        <v>凡华云仓-韵达-抖音</v>
      </c>
      <c r="O8792" s="5">
        <v>320159621706783</v>
      </c>
      <c r="P8792" s="6">
        <v>0.57999999999999996</v>
      </c>
      <c r="Q8792" s="11">
        <f>CEILING(P8792-0.5,0.1)*10*0.15+2.3</f>
        <v>2.4499999999999997</v>
      </c>
      <c r="R8792" s="11"/>
      <c r="S8792" s="11"/>
      <c r="T8792" s="11"/>
      <c r="U8792" s="11">
        <f t="shared" si="2472"/>
        <v>2.4499999999999997</v>
      </c>
      <c r="V8792" t="s">
        <v>15</v>
      </c>
      <c r="W8792">
        <v>2.4500000000000002</v>
      </c>
      <c r="X8792" s="1" t="s">
        <v>94</v>
      </c>
    </row>
    <row r="8793" spans="1:24" x14ac:dyDescent="0.25">
      <c r="A8793" s="1" t="str">
        <f t="shared" si="2473"/>
        <v>卡卡杜-凤凰仓</v>
      </c>
      <c r="B8793" s="1" t="str">
        <f>"CK202410081921"</f>
        <v>CK202410081921</v>
      </c>
      <c r="C8793" s="1" t="str">
        <f>"DD2024100817160"</f>
        <v>DD2024100817160</v>
      </c>
      <c r="D8793" s="1" t="str">
        <f>"CK2024100812924"</f>
        <v>CK2024100812924</v>
      </c>
      <c r="E8793" s="1" t="str">
        <f>"6917928573678026010"</f>
        <v>6917928573678026010</v>
      </c>
      <c r="F8793" s="1" t="str">
        <f t="shared" si="2474"/>
        <v>花都四部-凤凰仓</v>
      </c>
      <c r="G8793" s="1" t="str">
        <f t="shared" si="2478"/>
        <v>卡卡杜个人护理店（抖店）</v>
      </c>
      <c r="H8793" s="1" t="str">
        <f t="shared" si="2475"/>
        <v>正常订单</v>
      </c>
      <c r="I8793" s="1" t="str">
        <f t="shared" si="2476"/>
        <v>已发货</v>
      </c>
      <c r="J8793" s="1" t="str">
        <f t="shared" ref="J8793:J8802" si="2480">"2"</f>
        <v>2</v>
      </c>
      <c r="K8793" s="1">
        <v>1</v>
      </c>
      <c r="L8793" s="1" t="s">
        <v>18</v>
      </c>
      <c r="M8793" s="1" t="str">
        <f>"广东省 东莞市 东莞市 大岭山镇"</f>
        <v>广东省 东莞市 东莞市 大岭山镇</v>
      </c>
      <c r="N8793" s="1" t="str">
        <f t="shared" si="2479"/>
        <v>凡华云仓-韵达-抖音</v>
      </c>
      <c r="O8793" s="5">
        <v>320161048164593</v>
      </c>
      <c r="P8793" s="6">
        <v>0.33</v>
      </c>
      <c r="Q8793" s="11">
        <v>2.2999999999999998</v>
      </c>
      <c r="R8793" s="11"/>
      <c r="S8793" s="11"/>
      <c r="T8793" s="11"/>
      <c r="U8793" s="11">
        <f t="shared" si="2472"/>
        <v>2.2999999999999998</v>
      </c>
      <c r="W8793">
        <v>2.5</v>
      </c>
      <c r="X8793" s="1" t="s">
        <v>18</v>
      </c>
    </row>
    <row r="8794" spans="1:24" x14ac:dyDescent="0.25">
      <c r="A8794" s="1" t="str">
        <f t="shared" si="2473"/>
        <v>卡卡杜-凤凰仓</v>
      </c>
      <c r="B8794" s="1" t="str">
        <f>"CK202410081922"</f>
        <v>CK202410081922</v>
      </c>
      <c r="C8794" s="1" t="str">
        <f>"DD2024100817162"</f>
        <v>DD2024100817162</v>
      </c>
      <c r="D8794" s="1" t="str">
        <f>"CK2024100812923"</f>
        <v>CK2024100812923</v>
      </c>
      <c r="E8794" s="1" t="str">
        <f>"6917928535114481292"</f>
        <v>6917928535114481292</v>
      </c>
      <c r="F8794" s="1" t="str">
        <f t="shared" si="2474"/>
        <v>花都四部-凤凰仓</v>
      </c>
      <c r="G8794" s="1" t="str">
        <f t="shared" si="2478"/>
        <v>卡卡杜个人护理店（抖店）</v>
      </c>
      <c r="H8794" s="1" t="str">
        <f t="shared" si="2475"/>
        <v>正常订单</v>
      </c>
      <c r="I8794" s="1" t="str">
        <f t="shared" si="2476"/>
        <v>已发货</v>
      </c>
      <c r="J8794" s="1" t="str">
        <f t="shared" si="2480"/>
        <v>2</v>
      </c>
      <c r="K8794" s="1">
        <v>1</v>
      </c>
      <c r="L8794" s="1" t="s">
        <v>20</v>
      </c>
      <c r="M8794" s="1" t="str">
        <f>"浙江省 舟山市 定海区 城东街道"</f>
        <v>浙江省 舟山市 定海区 城东街道</v>
      </c>
      <c r="N8794" s="1" t="str">
        <f t="shared" si="2479"/>
        <v>凡华云仓-韵达-抖音</v>
      </c>
      <c r="O8794" s="5">
        <v>320161048164496</v>
      </c>
      <c r="P8794" s="6">
        <v>0.33</v>
      </c>
      <c r="Q8794" s="11">
        <v>2.2999999999999998</v>
      </c>
      <c r="R8794" s="11"/>
      <c r="S8794" s="11"/>
      <c r="T8794" s="11"/>
      <c r="U8794" s="11">
        <f t="shared" si="2472"/>
        <v>2.2999999999999998</v>
      </c>
      <c r="W8794">
        <v>2.5</v>
      </c>
      <c r="X8794" s="1" t="s">
        <v>20</v>
      </c>
    </row>
    <row r="8795" spans="1:24" x14ac:dyDescent="0.25">
      <c r="A8795" s="1" t="str">
        <f t="shared" si="2473"/>
        <v>卡卡杜-凤凰仓</v>
      </c>
      <c r="B8795" s="1" t="str">
        <f>"CK202410081905"</f>
        <v>CK202410081905</v>
      </c>
      <c r="C8795" s="1" t="str">
        <f>"DD2024100817145"</f>
        <v>DD2024100817145</v>
      </c>
      <c r="D8795" s="1" t="str">
        <f>"CK2024100812922"</f>
        <v>CK2024100812922</v>
      </c>
      <c r="E8795" s="1" t="str">
        <f>"6917924023032773868"</f>
        <v>6917924023032773868</v>
      </c>
      <c r="F8795" s="1" t="str">
        <f t="shared" si="2474"/>
        <v>花都四部-凤凰仓</v>
      </c>
      <c r="G8795" s="1" t="str">
        <f t="shared" si="2478"/>
        <v>卡卡杜个人护理店（抖店）</v>
      </c>
      <c r="H8795" s="1" t="str">
        <f t="shared" si="2475"/>
        <v>正常订单</v>
      </c>
      <c r="I8795" s="1" t="str">
        <f t="shared" si="2476"/>
        <v>已发货</v>
      </c>
      <c r="J8795" s="1" t="str">
        <f t="shared" si="2480"/>
        <v>2</v>
      </c>
      <c r="K8795" s="1">
        <v>1</v>
      </c>
      <c r="L8795" s="1" t="s">
        <v>24</v>
      </c>
      <c r="M8795" s="1" t="str">
        <f>"福建省 泉州市 晋江市 池店镇"</f>
        <v>福建省 泉州市 晋江市 池店镇</v>
      </c>
      <c r="N8795" s="1" t="str">
        <f t="shared" si="2479"/>
        <v>凡华云仓-韵达-抖音</v>
      </c>
      <c r="O8795" s="5">
        <v>320161048164301</v>
      </c>
      <c r="P8795" s="6">
        <v>0.33</v>
      </c>
      <c r="Q8795" s="11">
        <v>2.2999999999999998</v>
      </c>
      <c r="R8795" s="11"/>
      <c r="S8795" s="11"/>
      <c r="T8795" s="11"/>
      <c r="U8795" s="11">
        <f t="shared" si="2472"/>
        <v>2.2999999999999998</v>
      </c>
      <c r="W8795">
        <v>2.5</v>
      </c>
      <c r="X8795" s="1" t="s">
        <v>24</v>
      </c>
    </row>
    <row r="8796" spans="1:24" x14ac:dyDescent="0.25">
      <c r="A8796" s="1" t="str">
        <f t="shared" si="2473"/>
        <v>卡卡杜-凤凰仓</v>
      </c>
      <c r="B8796" s="1" t="str">
        <f>"CK202410081903"</f>
        <v>CK202410081903</v>
      </c>
      <c r="C8796" s="1" t="str">
        <f>"DD2024100817143"</f>
        <v>DD2024100817143</v>
      </c>
      <c r="D8796" s="1" t="str">
        <f>"CK2024100812921"</f>
        <v>CK2024100812921</v>
      </c>
      <c r="E8796" s="1" t="str">
        <f>"6917923887072574565"</f>
        <v>6917923887072574565</v>
      </c>
      <c r="F8796" s="1" t="str">
        <f t="shared" si="2474"/>
        <v>花都四部-凤凰仓</v>
      </c>
      <c r="G8796" s="1" t="str">
        <f t="shared" si="2478"/>
        <v>卡卡杜个人护理店（抖店）</v>
      </c>
      <c r="H8796" s="1" t="str">
        <f t="shared" si="2475"/>
        <v>正常订单</v>
      </c>
      <c r="I8796" s="1" t="str">
        <f t="shared" si="2476"/>
        <v>已发货</v>
      </c>
      <c r="J8796" s="1" t="str">
        <f t="shared" si="2480"/>
        <v>2</v>
      </c>
      <c r="K8796" s="1">
        <v>1</v>
      </c>
      <c r="L8796" s="1" t="s">
        <v>22</v>
      </c>
      <c r="M8796" s="1" t="str">
        <f>"江西省 九江市 永修县 "</f>
        <v xml:space="preserve">江西省 九江市 永修县 </v>
      </c>
      <c r="N8796" s="1" t="str">
        <f t="shared" si="2479"/>
        <v>凡华云仓-韵达-抖音</v>
      </c>
      <c r="O8796" s="5">
        <v>320161048164208</v>
      </c>
      <c r="P8796" s="6">
        <v>0.33</v>
      </c>
      <c r="Q8796" s="11">
        <v>2.2999999999999998</v>
      </c>
      <c r="R8796" s="11"/>
      <c r="S8796" s="11"/>
      <c r="T8796" s="11"/>
      <c r="U8796" s="11">
        <f t="shared" si="2472"/>
        <v>2.2999999999999998</v>
      </c>
      <c r="W8796">
        <v>2.5</v>
      </c>
      <c r="X8796" s="1" t="s">
        <v>22</v>
      </c>
    </row>
    <row r="8797" spans="1:24" x14ac:dyDescent="0.25">
      <c r="A8797" s="1" t="str">
        <f t="shared" si="2473"/>
        <v>卡卡杜-凤凰仓</v>
      </c>
      <c r="B8797" s="1" t="str">
        <f>"CK202410081894"</f>
        <v>CK202410081894</v>
      </c>
      <c r="C8797" s="1" t="str">
        <f>"DD2024100817133"</f>
        <v>DD2024100817133</v>
      </c>
      <c r="D8797" s="1" t="str">
        <f>"CK2024100812920"</f>
        <v>CK2024100812920</v>
      </c>
      <c r="E8797" s="1" t="str">
        <f>"6917923794113363118"</f>
        <v>6917923794113363118</v>
      </c>
      <c r="F8797" s="1" t="str">
        <f t="shared" si="2474"/>
        <v>花都四部-凤凰仓</v>
      </c>
      <c r="G8797" s="1" t="str">
        <f t="shared" si="2478"/>
        <v>卡卡杜个人护理店（抖店）</v>
      </c>
      <c r="H8797" s="1" t="str">
        <f t="shared" si="2475"/>
        <v>正常订单</v>
      </c>
      <c r="I8797" s="1" t="str">
        <f t="shared" si="2476"/>
        <v>已发货</v>
      </c>
      <c r="J8797" s="1" t="str">
        <f t="shared" si="2480"/>
        <v>2</v>
      </c>
      <c r="K8797" s="1">
        <v>1</v>
      </c>
      <c r="L8797" s="1" t="s">
        <v>94</v>
      </c>
      <c r="M8797" s="1" t="str">
        <f>"湖南省 常德市 武陵区 长庚街道"</f>
        <v>湖南省 常德市 武陵区 长庚街道</v>
      </c>
      <c r="N8797" s="1" t="str">
        <f t="shared" si="2479"/>
        <v>凡华云仓-韵达-抖音</v>
      </c>
      <c r="O8797" s="5">
        <v>320161048164117</v>
      </c>
      <c r="P8797" s="6">
        <v>0.33</v>
      </c>
      <c r="Q8797" s="11">
        <v>2.2999999999999998</v>
      </c>
      <c r="R8797" s="11"/>
      <c r="S8797" s="11"/>
      <c r="T8797" s="11"/>
      <c r="U8797" s="11">
        <f t="shared" si="2472"/>
        <v>2.2999999999999998</v>
      </c>
      <c r="W8797">
        <v>2.5</v>
      </c>
      <c r="X8797" s="1" t="s">
        <v>94</v>
      </c>
    </row>
    <row r="8798" spans="1:24" x14ac:dyDescent="0.25">
      <c r="A8798" s="1" t="str">
        <f t="shared" si="2473"/>
        <v>卡卡杜-凤凰仓</v>
      </c>
      <c r="B8798" s="1" t="str">
        <f>"CK202410082003"</f>
        <v>CK202410082003</v>
      </c>
      <c r="C8798" s="1" t="str">
        <f>"DD2024100817243"</f>
        <v>DD2024100817243</v>
      </c>
      <c r="D8798" s="1" t="str">
        <f>"CK2024100812919"</f>
        <v>CK2024100812919</v>
      </c>
      <c r="E8798" s="1" t="str">
        <f>"6917919071600606526"</f>
        <v>6917919071600606526</v>
      </c>
      <c r="F8798" s="1" t="str">
        <f t="shared" si="2474"/>
        <v>花都四部-凤凰仓</v>
      </c>
      <c r="G8798" s="1" t="str">
        <f t="shared" si="2478"/>
        <v>卡卡杜个人护理店（抖店）</v>
      </c>
      <c r="H8798" s="1" t="str">
        <f t="shared" si="2475"/>
        <v>正常订单</v>
      </c>
      <c r="I8798" s="1" t="str">
        <f t="shared" si="2476"/>
        <v>已发货</v>
      </c>
      <c r="J8798" s="1" t="str">
        <f t="shared" si="2480"/>
        <v>2</v>
      </c>
      <c r="K8798" s="1">
        <v>1</v>
      </c>
      <c r="L8798" s="1" t="s">
        <v>20</v>
      </c>
      <c r="M8798" s="1" t="str">
        <f>"浙江省 金华市 金东区 塘雅镇"</f>
        <v>浙江省 金华市 金东区 塘雅镇</v>
      </c>
      <c r="N8798" s="1" t="str">
        <f t="shared" si="2479"/>
        <v>凡华云仓-韵达-抖音</v>
      </c>
      <c r="O8798" s="5">
        <v>320161048164028</v>
      </c>
      <c r="P8798" s="6">
        <v>0.33</v>
      </c>
      <c r="Q8798" s="11">
        <v>2.2999999999999998</v>
      </c>
      <c r="R8798" s="11"/>
      <c r="S8798" s="11"/>
      <c r="T8798" s="11"/>
      <c r="U8798" s="11">
        <f t="shared" si="2472"/>
        <v>2.2999999999999998</v>
      </c>
      <c r="W8798">
        <v>2.5</v>
      </c>
      <c r="X8798" s="1" t="s">
        <v>20</v>
      </c>
    </row>
    <row r="8799" spans="1:24" x14ac:dyDescent="0.25">
      <c r="A8799" s="1" t="str">
        <f t="shared" si="2473"/>
        <v>卡卡杜-凤凰仓</v>
      </c>
      <c r="B8799" s="1" t="str">
        <f>"CK202410082002"</f>
        <v>CK202410082002</v>
      </c>
      <c r="C8799" s="1" t="str">
        <f>"DD2024100817241"</f>
        <v>DD2024100817241</v>
      </c>
      <c r="D8799" s="1" t="str">
        <f>"CK2024100812918"</f>
        <v>CK2024100812918</v>
      </c>
      <c r="E8799" s="1" t="str">
        <f>"6917918845900979518"</f>
        <v>6917918845900979518</v>
      </c>
      <c r="F8799" s="1" t="str">
        <f t="shared" si="2474"/>
        <v>花都四部-凤凰仓</v>
      </c>
      <c r="G8799" s="1" t="str">
        <f t="shared" si="2478"/>
        <v>卡卡杜个人护理店（抖店）</v>
      </c>
      <c r="H8799" s="1" t="str">
        <f t="shared" si="2475"/>
        <v>正常订单</v>
      </c>
      <c r="I8799" s="1" t="str">
        <f t="shared" si="2476"/>
        <v>已发货</v>
      </c>
      <c r="J8799" s="1" t="str">
        <f t="shared" si="2480"/>
        <v>2</v>
      </c>
      <c r="K8799" s="1">
        <v>1</v>
      </c>
      <c r="L8799" s="1" t="s">
        <v>20</v>
      </c>
      <c r="M8799" s="1" t="str">
        <f>"浙江省 金华市 金东区 塘雅镇"</f>
        <v>浙江省 金华市 金东区 塘雅镇</v>
      </c>
      <c r="N8799" s="1" t="str">
        <f t="shared" si="2479"/>
        <v>凡华云仓-韵达-抖音</v>
      </c>
      <c r="O8799" s="5">
        <v>320161045282305</v>
      </c>
      <c r="P8799" s="6">
        <v>0.33</v>
      </c>
      <c r="Q8799" s="11">
        <v>2.2999999999999998</v>
      </c>
      <c r="R8799" s="11"/>
      <c r="S8799" s="11"/>
      <c r="T8799" s="11"/>
      <c r="U8799" s="11">
        <f t="shared" si="2472"/>
        <v>2.2999999999999998</v>
      </c>
      <c r="W8799">
        <v>2.5</v>
      </c>
      <c r="X8799" s="1" t="s">
        <v>20</v>
      </c>
    </row>
    <row r="8800" spans="1:24" x14ac:dyDescent="0.25">
      <c r="A8800" s="1" t="str">
        <f t="shared" si="2473"/>
        <v>卡卡杜-凤凰仓</v>
      </c>
      <c r="B8800" s="1" t="str">
        <f>"CK202410081887"</f>
        <v>CK202410081887</v>
      </c>
      <c r="C8800" s="1" t="str">
        <f>"DD2024100817127"</f>
        <v>DD2024100817127</v>
      </c>
      <c r="D8800" s="1" t="str">
        <f>"CK2024100812917"</f>
        <v>CK2024100812917</v>
      </c>
      <c r="E8800" s="1" t="str">
        <f>"6917919208103246917"</f>
        <v>6917919208103246917</v>
      </c>
      <c r="F8800" s="1" t="str">
        <f t="shared" si="2474"/>
        <v>花都四部-凤凰仓</v>
      </c>
      <c r="G8800" s="1" t="str">
        <f t="shared" si="2478"/>
        <v>卡卡杜个人护理店（抖店）</v>
      </c>
      <c r="H8800" s="1" t="str">
        <f t="shared" si="2475"/>
        <v>正常订单</v>
      </c>
      <c r="I8800" s="1" t="str">
        <f t="shared" si="2476"/>
        <v>已发货</v>
      </c>
      <c r="J8800" s="1" t="str">
        <f t="shared" si="2480"/>
        <v>2</v>
      </c>
      <c r="K8800" s="1">
        <v>1</v>
      </c>
      <c r="L8800" s="1" t="s">
        <v>20</v>
      </c>
      <c r="M8800" s="1" t="str">
        <f>"浙江省 台州市 温岭市 横峰街道"</f>
        <v>浙江省 台州市 温岭市 横峰街道</v>
      </c>
      <c r="N8800" s="1" t="str">
        <f t="shared" si="2479"/>
        <v>凡华云仓-韵达-抖音</v>
      </c>
      <c r="O8800" s="5">
        <v>320161045282212</v>
      </c>
      <c r="P8800" s="6">
        <v>0.33</v>
      </c>
      <c r="Q8800" s="11">
        <v>2.2999999999999998</v>
      </c>
      <c r="R8800" s="11"/>
      <c r="S8800" s="11"/>
      <c r="T8800" s="11"/>
      <c r="U8800" s="11">
        <f t="shared" si="2472"/>
        <v>2.2999999999999998</v>
      </c>
      <c r="W8800">
        <v>2.5</v>
      </c>
      <c r="X8800" s="1" t="s">
        <v>20</v>
      </c>
    </row>
    <row r="8801" spans="1:24" x14ac:dyDescent="0.25">
      <c r="A8801" s="1" t="str">
        <f t="shared" si="2473"/>
        <v>卡卡杜-凤凰仓</v>
      </c>
      <c r="B8801" s="1" t="str">
        <f>"CK202410081888"</f>
        <v>CK202410081888</v>
      </c>
      <c r="C8801" s="1" t="str">
        <f>"DD2024100817128"</f>
        <v>DD2024100817128</v>
      </c>
      <c r="D8801" s="1" t="str">
        <f>"CK2024100812916"</f>
        <v>CK2024100812916</v>
      </c>
      <c r="E8801" s="1" t="str">
        <f>"6917923496974122862"</f>
        <v>6917923496974122862</v>
      </c>
      <c r="F8801" s="1" t="str">
        <f t="shared" si="2474"/>
        <v>花都四部-凤凰仓</v>
      </c>
      <c r="G8801" s="1" t="str">
        <f t="shared" si="2478"/>
        <v>卡卡杜个人护理店（抖店）</v>
      </c>
      <c r="H8801" s="1" t="str">
        <f t="shared" si="2475"/>
        <v>正常订单</v>
      </c>
      <c r="I8801" s="1" t="str">
        <f t="shared" si="2476"/>
        <v>已发货</v>
      </c>
      <c r="J8801" s="1" t="str">
        <f t="shared" si="2480"/>
        <v>2</v>
      </c>
      <c r="K8801" s="1">
        <v>1</v>
      </c>
      <c r="L8801" s="1" t="s">
        <v>94</v>
      </c>
      <c r="M8801" s="1" t="str">
        <f>"湖南省 怀化市 沅陵县 沅陵镇"</f>
        <v>湖南省 怀化市 沅陵县 沅陵镇</v>
      </c>
      <c r="N8801" s="1" t="str">
        <f t="shared" si="2479"/>
        <v>凡华云仓-韵达-抖音</v>
      </c>
      <c r="O8801" s="5">
        <v>320161045282121</v>
      </c>
      <c r="P8801" s="6">
        <v>0.33</v>
      </c>
      <c r="Q8801" s="11">
        <v>2.2999999999999998</v>
      </c>
      <c r="R8801" s="11"/>
      <c r="S8801" s="11"/>
      <c r="T8801" s="11"/>
      <c r="U8801" s="11">
        <f t="shared" si="2472"/>
        <v>2.2999999999999998</v>
      </c>
      <c r="W8801">
        <v>2.5</v>
      </c>
      <c r="X8801" s="1" t="s">
        <v>94</v>
      </c>
    </row>
    <row r="8802" spans="1:24" x14ac:dyDescent="0.25">
      <c r="A8802" s="1" t="str">
        <f t="shared" si="2473"/>
        <v>卡卡杜-凤凰仓</v>
      </c>
      <c r="B8802" s="1" t="str">
        <f>"CK202410081889"</f>
        <v>CK202410081889</v>
      </c>
      <c r="C8802" s="1" t="str">
        <f>"DD2024100817139"</f>
        <v>DD2024100817139</v>
      </c>
      <c r="D8802" s="1" t="str">
        <f>"CK2024100812915"</f>
        <v>CK2024100812915</v>
      </c>
      <c r="E8802" s="1" t="str">
        <f>"6917928288440778460"</f>
        <v>6917928288440778460</v>
      </c>
      <c r="F8802" s="1" t="str">
        <f t="shared" si="2474"/>
        <v>花都四部-凤凰仓</v>
      </c>
      <c r="G8802" s="1" t="str">
        <f t="shared" si="2478"/>
        <v>卡卡杜个人护理店（抖店）</v>
      </c>
      <c r="H8802" s="1" t="str">
        <f t="shared" si="2475"/>
        <v>正常订单</v>
      </c>
      <c r="I8802" s="1" t="str">
        <f t="shared" si="2476"/>
        <v>已发货</v>
      </c>
      <c r="J8802" s="1" t="str">
        <f t="shared" si="2480"/>
        <v>2</v>
      </c>
      <c r="K8802" s="1">
        <v>1</v>
      </c>
      <c r="L8802" s="1" t="s">
        <v>20</v>
      </c>
      <c r="M8802" s="1" t="str">
        <f>"浙江省 温州市 瓯海区 瞿溪街道"</f>
        <v>浙江省 温州市 瓯海区 瞿溪街道</v>
      </c>
      <c r="N8802" s="1" t="str">
        <f t="shared" si="2479"/>
        <v>凡华云仓-韵达-抖音</v>
      </c>
      <c r="O8802" s="5">
        <v>320161045282032</v>
      </c>
      <c r="P8802" s="6">
        <v>0.33</v>
      </c>
      <c r="Q8802" s="11">
        <v>2.2999999999999998</v>
      </c>
      <c r="R8802" s="11"/>
      <c r="S8802" s="11"/>
      <c r="T8802" s="11"/>
      <c r="U8802" s="11">
        <f t="shared" si="2472"/>
        <v>2.2999999999999998</v>
      </c>
      <c r="W8802">
        <v>2.5</v>
      </c>
      <c r="X8802" s="1" t="s">
        <v>20</v>
      </c>
    </row>
    <row r="8803" spans="1:24" x14ac:dyDescent="0.25">
      <c r="A8803" s="1" t="str">
        <f t="shared" si="2473"/>
        <v>卡卡杜-凤凰仓</v>
      </c>
      <c r="B8803" s="1" t="str">
        <f>"CK2024100614199"</f>
        <v>CK2024100614199</v>
      </c>
      <c r="C8803" s="1" t="str">
        <f>"DD2024100644422"</f>
        <v>DD2024100644422</v>
      </c>
      <c r="D8803" s="1" t="str">
        <f>"CK2024100640832"</f>
        <v>CK2024100640832</v>
      </c>
      <c r="E8803" s="1" t="str">
        <f>"6917876015629040811"</f>
        <v>6917876015629040811</v>
      </c>
      <c r="F8803" s="1" t="str">
        <f t="shared" si="2474"/>
        <v>花都四部-凤凰仓</v>
      </c>
      <c r="G8803" s="1" t="str">
        <f t="shared" si="2478"/>
        <v>卡卡杜个人护理店（抖店）</v>
      </c>
      <c r="H8803" s="1" t="str">
        <f t="shared" si="2475"/>
        <v>正常订单</v>
      </c>
      <c r="I8803" s="1" t="str">
        <f t="shared" si="2476"/>
        <v>已发货</v>
      </c>
      <c r="J8803" s="1" t="str">
        <f>"4"</f>
        <v>4</v>
      </c>
      <c r="K8803" s="1">
        <v>1</v>
      </c>
      <c r="L8803" s="1" t="s">
        <v>96</v>
      </c>
      <c r="M8803" s="1" t="str">
        <f>"广西壮族自治区 百色市 田东县 平马镇"</f>
        <v>广西壮族自治区 百色市 田东县 平马镇</v>
      </c>
      <c r="N8803" s="1" t="str">
        <f t="shared" si="2479"/>
        <v>凡华云仓-韵达-抖音</v>
      </c>
      <c r="O8803" s="5">
        <v>320158395625344</v>
      </c>
      <c r="P8803" s="6">
        <v>0.57999999999999996</v>
      </c>
      <c r="Q8803" s="11">
        <f>CEILING(P8803-0.5,0.1)*10*0.15+2.3</f>
        <v>2.4499999999999997</v>
      </c>
      <c r="R8803" s="11"/>
      <c r="S8803" s="11"/>
      <c r="T8803" s="11"/>
      <c r="U8803" s="11">
        <f t="shared" si="2472"/>
        <v>2.4499999999999997</v>
      </c>
      <c r="V8803" t="s">
        <v>15</v>
      </c>
      <c r="W8803">
        <v>2.4500000000000002</v>
      </c>
      <c r="X8803" s="1" t="s">
        <v>96</v>
      </c>
    </row>
    <row r="8804" spans="1:24" x14ac:dyDescent="0.25">
      <c r="A8804" s="1" t="str">
        <f t="shared" si="2473"/>
        <v>卡卡杜-凤凰仓</v>
      </c>
      <c r="B8804" s="1" t="str">
        <f>"CK202410081890"</f>
        <v>CK202410081890</v>
      </c>
      <c r="C8804" s="1" t="str">
        <f>"DD2024100817129"</f>
        <v>DD2024100817129</v>
      </c>
      <c r="D8804" s="1" t="str">
        <f>"CK2024100812913"</f>
        <v>CK2024100812913</v>
      </c>
      <c r="E8804" s="1" t="str">
        <f>"6917925931231051094"</f>
        <v>6917925931231051094</v>
      </c>
      <c r="F8804" s="1" t="str">
        <f t="shared" si="2474"/>
        <v>花都四部-凤凰仓</v>
      </c>
      <c r="G8804" s="1" t="str">
        <f t="shared" si="2478"/>
        <v>卡卡杜个人护理店（抖店）</v>
      </c>
      <c r="H8804" s="1" t="str">
        <f t="shared" si="2475"/>
        <v>正常订单</v>
      </c>
      <c r="I8804" s="1" t="str">
        <f t="shared" si="2476"/>
        <v>已发货</v>
      </c>
      <c r="J8804" s="1" t="str">
        <f t="shared" ref="J8804:J8809" si="2481">"2"</f>
        <v>2</v>
      </c>
      <c r="K8804" s="1">
        <v>1</v>
      </c>
      <c r="L8804" s="1" t="s">
        <v>24</v>
      </c>
      <c r="M8804" s="1" t="str">
        <f>"福建省 莆田市 荔城区 黄石镇"</f>
        <v>福建省 莆田市 荔城区 黄石镇</v>
      </c>
      <c r="N8804" s="1" t="str">
        <f t="shared" si="2479"/>
        <v>凡华云仓-韵达-抖音</v>
      </c>
      <c r="O8804" s="5">
        <v>320161045281809</v>
      </c>
      <c r="P8804" s="6">
        <v>0.33</v>
      </c>
      <c r="Q8804" s="11">
        <v>2.2999999999999998</v>
      </c>
      <c r="R8804" s="11"/>
      <c r="S8804" s="11"/>
      <c r="T8804" s="11"/>
      <c r="U8804" s="11">
        <f t="shared" si="2472"/>
        <v>2.2999999999999998</v>
      </c>
      <c r="W8804">
        <v>2.5</v>
      </c>
      <c r="X8804" s="1" t="s">
        <v>24</v>
      </c>
    </row>
    <row r="8805" spans="1:24" x14ac:dyDescent="0.25">
      <c r="A8805" s="1" t="str">
        <f t="shared" si="2473"/>
        <v>卡卡杜-凤凰仓</v>
      </c>
      <c r="B8805" s="1" t="str">
        <f>"CK202410081891"</f>
        <v>CK202410081891</v>
      </c>
      <c r="C8805" s="1" t="str">
        <f>"DD2024100817130"</f>
        <v>DD2024100817130</v>
      </c>
      <c r="D8805" s="1" t="str">
        <f>"CK2024100812912"</f>
        <v>CK2024100812912</v>
      </c>
      <c r="E8805" s="1" t="str">
        <f>"6917919245706689710"</f>
        <v>6917919245706689710</v>
      </c>
      <c r="F8805" s="1" t="str">
        <f t="shared" si="2474"/>
        <v>花都四部-凤凰仓</v>
      </c>
      <c r="G8805" s="1" t="str">
        <f t="shared" si="2478"/>
        <v>卡卡杜个人护理店（抖店）</v>
      </c>
      <c r="H8805" s="1" t="str">
        <f t="shared" si="2475"/>
        <v>正常订单</v>
      </c>
      <c r="I8805" s="1" t="str">
        <f t="shared" si="2476"/>
        <v>已发货</v>
      </c>
      <c r="J8805" s="1" t="str">
        <f t="shared" si="2481"/>
        <v>2</v>
      </c>
      <c r="K8805" s="1">
        <v>1</v>
      </c>
      <c r="L8805" s="1" t="s">
        <v>94</v>
      </c>
      <c r="M8805" s="1" t="str">
        <f>"湖南省 株洲市 荷塘区 茨菇塘街道"</f>
        <v>湖南省 株洲市 荷塘区 茨菇塘街道</v>
      </c>
      <c r="N8805" s="1" t="str">
        <f t="shared" si="2479"/>
        <v>凡华云仓-韵达-抖音</v>
      </c>
      <c r="O8805" s="5">
        <v>320161045281706</v>
      </c>
      <c r="P8805" s="6">
        <v>0.33</v>
      </c>
      <c r="Q8805" s="11">
        <v>2.2999999999999998</v>
      </c>
      <c r="R8805" s="11"/>
      <c r="S8805" s="11"/>
      <c r="T8805" s="11"/>
      <c r="U8805" s="11">
        <f t="shared" si="2472"/>
        <v>2.2999999999999998</v>
      </c>
      <c r="W8805">
        <v>2.5</v>
      </c>
      <c r="X8805" s="1" t="s">
        <v>94</v>
      </c>
    </row>
    <row r="8806" spans="1:24" x14ac:dyDescent="0.25">
      <c r="A8806" s="1" t="str">
        <f t="shared" si="2473"/>
        <v>卡卡杜-凤凰仓</v>
      </c>
      <c r="B8806" s="1" t="str">
        <f>"CK202410081892"</f>
        <v>CK202410081892</v>
      </c>
      <c r="C8806" s="1" t="str">
        <f>"DD2024100817131"</f>
        <v>DD2024100817131</v>
      </c>
      <c r="D8806" s="1" t="str">
        <f>"CK2024100812911"</f>
        <v>CK2024100812911</v>
      </c>
      <c r="E8806" s="1" t="str">
        <f>"6917928316319595726"</f>
        <v>6917928316319595726</v>
      </c>
      <c r="F8806" s="1" t="str">
        <f t="shared" si="2474"/>
        <v>花都四部-凤凰仓</v>
      </c>
      <c r="G8806" s="1" t="str">
        <f t="shared" si="2478"/>
        <v>卡卡杜个人护理店（抖店）</v>
      </c>
      <c r="H8806" s="1" t="str">
        <f t="shared" si="2475"/>
        <v>正常订单</v>
      </c>
      <c r="I8806" s="1" t="str">
        <f t="shared" si="2476"/>
        <v>已发货</v>
      </c>
      <c r="J8806" s="1" t="str">
        <f t="shared" si="2481"/>
        <v>2</v>
      </c>
      <c r="K8806" s="1">
        <v>1</v>
      </c>
      <c r="L8806" s="1" t="s">
        <v>20</v>
      </c>
      <c r="M8806" s="1" t="str">
        <f>"浙江省 金华市 兰溪市 游埠镇"</f>
        <v>浙江省 金华市 兰溪市 游埠镇</v>
      </c>
      <c r="N8806" s="1" t="str">
        <f t="shared" si="2479"/>
        <v>凡华云仓-韵达-抖音</v>
      </c>
      <c r="O8806" s="5">
        <v>320161045281605</v>
      </c>
      <c r="P8806" s="6">
        <v>0.33</v>
      </c>
      <c r="Q8806" s="11">
        <v>2.2999999999999998</v>
      </c>
      <c r="R8806" s="11"/>
      <c r="S8806" s="11"/>
      <c r="T8806" s="11"/>
      <c r="U8806" s="11">
        <f t="shared" si="2472"/>
        <v>2.2999999999999998</v>
      </c>
      <c r="W8806">
        <v>2.5</v>
      </c>
      <c r="X8806" s="1" t="s">
        <v>20</v>
      </c>
    </row>
    <row r="8807" spans="1:24" x14ac:dyDescent="0.25">
      <c r="A8807" s="1" t="str">
        <f t="shared" si="2473"/>
        <v>卡卡杜-凤凰仓</v>
      </c>
      <c r="B8807" s="1" t="str">
        <f>"CK202410081885"</f>
        <v>CK202410081885</v>
      </c>
      <c r="C8807" s="1" t="str">
        <f>"DD2024100817124"</f>
        <v>DD2024100817124</v>
      </c>
      <c r="D8807" s="1" t="str">
        <f>"CK2024100812910"</f>
        <v>CK2024100812910</v>
      </c>
      <c r="E8807" s="1" t="str">
        <f>"6917918827495718536"</f>
        <v>6917918827495718536</v>
      </c>
      <c r="F8807" s="1" t="str">
        <f t="shared" si="2474"/>
        <v>花都四部-凤凰仓</v>
      </c>
      <c r="G8807" s="1" t="str">
        <f t="shared" si="2478"/>
        <v>卡卡杜个人护理店（抖店）</v>
      </c>
      <c r="H8807" s="1" t="str">
        <f t="shared" si="2475"/>
        <v>正常订单</v>
      </c>
      <c r="I8807" s="1" t="str">
        <f t="shared" si="2476"/>
        <v>已发货</v>
      </c>
      <c r="J8807" s="1" t="str">
        <f t="shared" si="2481"/>
        <v>2</v>
      </c>
      <c r="K8807" s="1">
        <v>1</v>
      </c>
      <c r="L8807" s="1" t="s">
        <v>27</v>
      </c>
      <c r="M8807" s="1" t="str">
        <f>"贵州省 安顺市 普定县 "</f>
        <v xml:space="preserve">贵州省 安顺市 普定县 </v>
      </c>
      <c r="N8807" s="1" t="str">
        <f t="shared" si="2479"/>
        <v>凡华云仓-韵达-抖音</v>
      </c>
      <c r="O8807" s="5">
        <v>320161045281506</v>
      </c>
      <c r="P8807" s="6">
        <v>0.33</v>
      </c>
      <c r="Q8807" s="11">
        <v>2.2999999999999998</v>
      </c>
      <c r="R8807" s="11"/>
      <c r="S8807" s="11"/>
      <c r="T8807" s="11"/>
      <c r="U8807" s="11">
        <f t="shared" si="2472"/>
        <v>2.2999999999999998</v>
      </c>
      <c r="W8807">
        <v>2.5</v>
      </c>
      <c r="X8807" s="1" t="s">
        <v>27</v>
      </c>
    </row>
    <row r="8808" spans="1:24" x14ac:dyDescent="0.25">
      <c r="A8808" s="1" t="str">
        <f t="shared" si="2473"/>
        <v>卡卡杜-凤凰仓</v>
      </c>
      <c r="B8808" s="1" t="str">
        <f>"CK202410081893"</f>
        <v>CK202410081893</v>
      </c>
      <c r="C8808" s="1" t="str">
        <f>"DD2024100817132"</f>
        <v>DD2024100817132</v>
      </c>
      <c r="D8808" s="1" t="str">
        <f>"CK2024100812909"</f>
        <v>CK2024100812909</v>
      </c>
      <c r="E8808" s="1" t="str">
        <f>"6917921409506769927"</f>
        <v>6917921409506769927</v>
      </c>
      <c r="F8808" s="1" t="str">
        <f t="shared" si="2474"/>
        <v>花都四部-凤凰仓</v>
      </c>
      <c r="G8808" s="1" t="str">
        <f t="shared" si="2478"/>
        <v>卡卡杜个人护理店（抖店）</v>
      </c>
      <c r="H8808" s="1" t="str">
        <f t="shared" si="2475"/>
        <v>正常订单</v>
      </c>
      <c r="I8808" s="1" t="str">
        <f t="shared" si="2476"/>
        <v>已发货</v>
      </c>
      <c r="J8808" s="1" t="str">
        <f t="shared" si="2481"/>
        <v>2</v>
      </c>
      <c r="K8808" s="1">
        <v>1</v>
      </c>
      <c r="L8808" s="1" t="s">
        <v>22</v>
      </c>
      <c r="M8808" s="1" t="str">
        <f>"江西省 萍乡市 上栗县 上栗镇"</f>
        <v>江西省 萍乡市 上栗县 上栗镇</v>
      </c>
      <c r="N8808" s="1" t="str">
        <f t="shared" si="2479"/>
        <v>凡华云仓-韵达-抖音</v>
      </c>
      <c r="O8808" s="5">
        <v>320161045281409</v>
      </c>
      <c r="P8808" s="6">
        <v>0.33</v>
      </c>
      <c r="Q8808" s="11">
        <v>2.2999999999999998</v>
      </c>
      <c r="R8808" s="11"/>
      <c r="S8808" s="11"/>
      <c r="T8808" s="11"/>
      <c r="U8808" s="11">
        <f t="shared" si="2472"/>
        <v>2.2999999999999998</v>
      </c>
      <c r="W8808">
        <v>2.5</v>
      </c>
      <c r="X8808" s="1" t="s">
        <v>22</v>
      </c>
    </row>
    <row r="8809" spans="1:24" x14ac:dyDescent="0.25">
      <c r="A8809" s="1" t="str">
        <f t="shared" si="2473"/>
        <v>卡卡杜-凤凰仓</v>
      </c>
      <c r="B8809" s="1" t="str">
        <f>"CK202410081895"</f>
        <v>CK202410081895</v>
      </c>
      <c r="C8809" s="1" t="str">
        <f>"DD2024100817135"</f>
        <v>DD2024100817135</v>
      </c>
      <c r="D8809" s="1" t="str">
        <f>"CK2024100812908"</f>
        <v>CK2024100812908</v>
      </c>
      <c r="E8809" s="1" t="str">
        <f>"6917919084188368649"</f>
        <v>6917919084188368649</v>
      </c>
      <c r="F8809" s="1" t="str">
        <f t="shared" si="2474"/>
        <v>花都四部-凤凰仓</v>
      </c>
      <c r="G8809" s="1" t="str">
        <f t="shared" si="2478"/>
        <v>卡卡杜个人护理店（抖店）</v>
      </c>
      <c r="H8809" s="1" t="str">
        <f t="shared" si="2475"/>
        <v>正常订单</v>
      </c>
      <c r="I8809" s="1" t="str">
        <f t="shared" si="2476"/>
        <v>已发货</v>
      </c>
      <c r="J8809" s="1" t="str">
        <f t="shared" si="2481"/>
        <v>2</v>
      </c>
      <c r="K8809" s="1">
        <v>1</v>
      </c>
      <c r="L8809" s="1" t="s">
        <v>60</v>
      </c>
      <c r="M8809" s="1" t="str">
        <f>"云南省 文山壮族苗族自治州 文山市 卧龙街道"</f>
        <v>云南省 文山壮族苗族自治州 文山市 卧龙街道</v>
      </c>
      <c r="N8809" s="1" t="str">
        <f t="shared" si="2479"/>
        <v>凡华云仓-韵达-抖音</v>
      </c>
      <c r="O8809" s="5">
        <v>320161048165998</v>
      </c>
      <c r="P8809" s="6">
        <v>0.33</v>
      </c>
      <c r="Q8809" s="11">
        <v>2.2999999999999998</v>
      </c>
      <c r="R8809" s="11"/>
      <c r="S8809" s="11"/>
      <c r="T8809" s="11"/>
      <c r="U8809" s="11">
        <f t="shared" si="2472"/>
        <v>2.2999999999999998</v>
      </c>
      <c r="W8809">
        <v>2.5</v>
      </c>
      <c r="X8809" s="1" t="s">
        <v>60</v>
      </c>
    </row>
    <row r="8810" spans="1:24" x14ac:dyDescent="0.25">
      <c r="A8810" s="1" t="str">
        <f t="shared" si="2473"/>
        <v>卡卡杜-凤凰仓</v>
      </c>
      <c r="B8810" s="1" t="str">
        <f>"CK202410082011"</f>
        <v>CK202410082011</v>
      </c>
      <c r="C8810" s="1" t="str">
        <f>"DD2024100817486"</f>
        <v>DD2024100817486</v>
      </c>
      <c r="D8810" s="1" t="str">
        <f>"CK2024100812907"</f>
        <v>CK2024100812907</v>
      </c>
      <c r="E8810" s="1" t="str">
        <f>"6917921203695156940"</f>
        <v>6917921203695156940</v>
      </c>
      <c r="F8810" s="1" t="str">
        <f t="shared" si="2474"/>
        <v>花都四部-凤凰仓</v>
      </c>
      <c r="G8810" s="1" t="str">
        <f t="shared" si="2478"/>
        <v>卡卡杜个人护理店（抖店）</v>
      </c>
      <c r="H8810" s="1" t="str">
        <f t="shared" si="2475"/>
        <v>正常订单</v>
      </c>
      <c r="I8810" s="1" t="str">
        <f t="shared" si="2476"/>
        <v>已发货</v>
      </c>
      <c r="J8810" s="1" t="str">
        <f>"4"</f>
        <v>4</v>
      </c>
      <c r="K8810" s="1">
        <v>2</v>
      </c>
      <c r="L8810" s="1" t="s">
        <v>18</v>
      </c>
      <c r="M8810" s="1" t="str">
        <f>"广东省 深圳市 南山区 沙河街道"</f>
        <v>广东省 深圳市 南山区 沙河街道</v>
      </c>
      <c r="N8810" s="1" t="str">
        <f t="shared" si="2479"/>
        <v>凡华云仓-韵达-抖音</v>
      </c>
      <c r="O8810" s="5">
        <v>320161048165893</v>
      </c>
      <c r="P8810" s="6">
        <v>0.52</v>
      </c>
      <c r="Q8810" s="11">
        <f>CEILING(P8810-0.5,0.1)*10*0.15+2.3</f>
        <v>2.4499999999999997</v>
      </c>
      <c r="R8810" s="11"/>
      <c r="S8810" s="11"/>
      <c r="T8810" s="11"/>
      <c r="U8810" s="11">
        <f t="shared" si="2472"/>
        <v>2.4499999999999997</v>
      </c>
      <c r="V8810" t="s">
        <v>15</v>
      </c>
      <c r="W8810">
        <v>2.4500000000000002</v>
      </c>
      <c r="X8810" s="1" t="s">
        <v>18</v>
      </c>
    </row>
    <row r="8811" spans="1:24" x14ac:dyDescent="0.25">
      <c r="A8811" s="1" t="str">
        <f t="shared" si="2473"/>
        <v>卡卡杜-凤凰仓</v>
      </c>
      <c r="B8811" s="1" t="str">
        <f>"CK202410081896"</f>
        <v>CK202410081896</v>
      </c>
      <c r="C8811" s="1" t="str">
        <f>"DD2024100817134"</f>
        <v>DD2024100817134</v>
      </c>
      <c r="D8811" s="1" t="str">
        <f>"CK2024100812906"</f>
        <v>CK2024100812906</v>
      </c>
      <c r="E8811" s="1" t="str">
        <f>"6917923219099647546"</f>
        <v>6917923219099647546</v>
      </c>
      <c r="F8811" s="1" t="str">
        <f t="shared" si="2474"/>
        <v>花都四部-凤凰仓</v>
      </c>
      <c r="G8811" s="1" t="str">
        <f t="shared" si="2478"/>
        <v>卡卡杜个人护理店（抖店）</v>
      </c>
      <c r="H8811" s="1" t="str">
        <f t="shared" si="2475"/>
        <v>正常订单</v>
      </c>
      <c r="I8811" s="1" t="str">
        <f t="shared" si="2476"/>
        <v>已发货</v>
      </c>
      <c r="J8811" s="1" t="str">
        <f t="shared" ref="J8811:J8816" si="2482">"2"</f>
        <v>2</v>
      </c>
      <c r="K8811" s="1">
        <v>1</v>
      </c>
      <c r="L8811" s="1" t="s">
        <v>161</v>
      </c>
      <c r="M8811" s="1" t="str">
        <f>"四川省 凉山彝族自治州 西昌市 经久乡"</f>
        <v>四川省 凉山彝族自治州 西昌市 经久乡</v>
      </c>
      <c r="N8811" s="1" t="str">
        <f t="shared" si="2479"/>
        <v>凡华云仓-韵达-抖音</v>
      </c>
      <c r="O8811" s="5">
        <v>320161048165790</v>
      </c>
      <c r="P8811" s="6">
        <v>0.33</v>
      </c>
      <c r="Q8811" s="11">
        <v>2.2999999999999998</v>
      </c>
      <c r="R8811" s="11"/>
      <c r="S8811" s="11"/>
      <c r="T8811" s="11"/>
      <c r="U8811" s="11">
        <f t="shared" si="2472"/>
        <v>2.2999999999999998</v>
      </c>
      <c r="W8811">
        <v>2.5</v>
      </c>
      <c r="X8811" s="1" t="s">
        <v>161</v>
      </c>
    </row>
    <row r="8812" spans="1:24" x14ac:dyDescent="0.25">
      <c r="A8812" s="1" t="str">
        <f t="shared" si="2473"/>
        <v>卡卡杜-凤凰仓</v>
      </c>
      <c r="B8812" s="1" t="str">
        <f>"CK202410081897"</f>
        <v>CK202410081897</v>
      </c>
      <c r="C8812" s="1" t="str">
        <f>"DD2024100817136"</f>
        <v>DD2024100817136</v>
      </c>
      <c r="D8812" s="1" t="str">
        <f>"CK2024100812905"</f>
        <v>CK2024100812905</v>
      </c>
      <c r="E8812" s="1" t="str">
        <f>"6917921028236934319"</f>
        <v>6917921028236934319</v>
      </c>
      <c r="F8812" s="1" t="str">
        <f t="shared" si="2474"/>
        <v>花都四部-凤凰仓</v>
      </c>
      <c r="G8812" s="1" t="str">
        <f t="shared" si="2478"/>
        <v>卡卡杜个人护理店（抖店）</v>
      </c>
      <c r="H8812" s="1" t="str">
        <f t="shared" si="2475"/>
        <v>正常订单</v>
      </c>
      <c r="I8812" s="1" t="str">
        <f t="shared" si="2476"/>
        <v>已发货</v>
      </c>
      <c r="J8812" s="1" t="str">
        <f t="shared" si="2482"/>
        <v>2</v>
      </c>
      <c r="K8812" s="1">
        <v>1</v>
      </c>
      <c r="L8812" s="1" t="s">
        <v>20</v>
      </c>
      <c r="M8812" s="1" t="str">
        <f>"浙江省 杭州市 桐庐县 分水镇"</f>
        <v>浙江省 杭州市 桐庐县 分水镇</v>
      </c>
      <c r="N8812" s="1" t="str">
        <f t="shared" si="2479"/>
        <v>凡华云仓-韵达-抖音</v>
      </c>
      <c r="O8812" s="5">
        <v>320161048165689</v>
      </c>
      <c r="P8812" s="6">
        <v>0.33</v>
      </c>
      <c r="Q8812" s="11">
        <v>2.2999999999999998</v>
      </c>
      <c r="R8812" s="11"/>
      <c r="S8812" s="11"/>
      <c r="T8812" s="11"/>
      <c r="U8812" s="11">
        <f t="shared" si="2472"/>
        <v>2.2999999999999998</v>
      </c>
      <c r="W8812">
        <v>2.5</v>
      </c>
      <c r="X8812" s="1" t="s">
        <v>20</v>
      </c>
    </row>
    <row r="8813" spans="1:24" x14ac:dyDescent="0.25">
      <c r="A8813" s="1" t="str">
        <f t="shared" si="2473"/>
        <v>卡卡杜-凤凰仓</v>
      </c>
      <c r="B8813" s="1" t="str">
        <f>"CK202410081898"</f>
        <v>CK202410081898</v>
      </c>
      <c r="C8813" s="1" t="str">
        <f>"DD2024100817137"</f>
        <v>DD2024100817137</v>
      </c>
      <c r="D8813" s="1" t="str">
        <f>"CK2024100812904"</f>
        <v>CK2024100812904</v>
      </c>
      <c r="E8813" s="1" t="str">
        <f>"6917923356359818333"</f>
        <v>6917923356359818333</v>
      </c>
      <c r="F8813" s="1" t="str">
        <f t="shared" si="2474"/>
        <v>花都四部-凤凰仓</v>
      </c>
      <c r="G8813" s="1" t="str">
        <f t="shared" si="2478"/>
        <v>卡卡杜个人护理店（抖店）</v>
      </c>
      <c r="H8813" s="1" t="str">
        <f t="shared" si="2475"/>
        <v>正常订单</v>
      </c>
      <c r="I8813" s="1" t="str">
        <f t="shared" si="2476"/>
        <v>已发货</v>
      </c>
      <c r="J8813" s="1" t="str">
        <f t="shared" si="2482"/>
        <v>2</v>
      </c>
      <c r="K8813" s="1">
        <v>1</v>
      </c>
      <c r="L8813" s="1" t="s">
        <v>94</v>
      </c>
      <c r="M8813" s="1" t="str">
        <f>"湖南省 怀化市 麻阳苗族自治县 兰村乡"</f>
        <v>湖南省 怀化市 麻阳苗族自治县 兰村乡</v>
      </c>
      <c r="N8813" s="1" t="str">
        <f t="shared" si="2479"/>
        <v>凡华云仓-韵达-抖音</v>
      </c>
      <c r="O8813" s="5">
        <v>320161048165590</v>
      </c>
      <c r="P8813" s="6">
        <v>0.33</v>
      </c>
      <c r="Q8813" s="11">
        <v>2.2999999999999998</v>
      </c>
      <c r="R8813" s="11"/>
      <c r="S8813" s="11"/>
      <c r="T8813" s="11"/>
      <c r="U8813" s="11">
        <f t="shared" si="2472"/>
        <v>2.2999999999999998</v>
      </c>
      <c r="W8813">
        <v>2.5</v>
      </c>
      <c r="X8813" s="1" t="s">
        <v>94</v>
      </c>
    </row>
    <row r="8814" spans="1:24" x14ac:dyDescent="0.25">
      <c r="A8814" s="1" t="str">
        <f t="shared" si="2473"/>
        <v>卡卡杜-凤凰仓</v>
      </c>
      <c r="B8814" s="1" t="str">
        <f>"CK202410081899"</f>
        <v>CK202410081899</v>
      </c>
      <c r="C8814" s="1" t="str">
        <f>"DD2024100817138"</f>
        <v>DD2024100817138</v>
      </c>
      <c r="D8814" s="1" t="str">
        <f>"CK2024100812903"</f>
        <v>CK2024100812903</v>
      </c>
      <c r="E8814" s="1" t="str">
        <f>"6917925526780935737"</f>
        <v>6917925526780935737</v>
      </c>
      <c r="F8814" s="1" t="str">
        <f t="shared" si="2474"/>
        <v>花都四部-凤凰仓</v>
      </c>
      <c r="G8814" s="1" t="str">
        <f t="shared" si="2478"/>
        <v>卡卡杜个人护理店（抖店）</v>
      </c>
      <c r="H8814" s="1" t="str">
        <f t="shared" si="2475"/>
        <v>正常订单</v>
      </c>
      <c r="I8814" s="1" t="str">
        <f t="shared" si="2476"/>
        <v>已发货</v>
      </c>
      <c r="J8814" s="1" t="str">
        <f t="shared" si="2482"/>
        <v>2</v>
      </c>
      <c r="K8814" s="1">
        <v>1</v>
      </c>
      <c r="L8814" s="1" t="s">
        <v>22</v>
      </c>
      <c r="M8814" s="1" t="str">
        <f>"江西省 南昌市 青云谱区 三家店街道"</f>
        <v>江西省 南昌市 青云谱区 三家店街道</v>
      </c>
      <c r="N8814" s="1" t="str">
        <f t="shared" si="2479"/>
        <v>凡华云仓-韵达-抖音</v>
      </c>
      <c r="O8814" s="5">
        <v>320161048165493</v>
      </c>
      <c r="P8814" s="6">
        <v>0.33</v>
      </c>
      <c r="Q8814" s="11">
        <v>2.2999999999999998</v>
      </c>
      <c r="R8814" s="11"/>
      <c r="S8814" s="11"/>
      <c r="T8814" s="11"/>
      <c r="U8814" s="11">
        <f t="shared" si="2472"/>
        <v>2.2999999999999998</v>
      </c>
      <c r="W8814">
        <v>2.5</v>
      </c>
      <c r="X8814" s="1" t="s">
        <v>22</v>
      </c>
    </row>
    <row r="8815" spans="1:24" x14ac:dyDescent="0.25">
      <c r="A8815" s="1" t="str">
        <f t="shared" si="2473"/>
        <v>卡卡杜-凤凰仓</v>
      </c>
      <c r="B8815" s="1" t="str">
        <f>"CK202410081900"</f>
        <v>CK202410081900</v>
      </c>
      <c r="C8815" s="1" t="str">
        <f>"DD2024100817140"</f>
        <v>DD2024100817140</v>
      </c>
      <c r="D8815" s="1" t="str">
        <f>"CK2024100812902"</f>
        <v>CK2024100812902</v>
      </c>
      <c r="E8815" s="1" t="str">
        <f>"6917923624210955462"</f>
        <v>6917923624210955462</v>
      </c>
      <c r="F8815" s="1" t="str">
        <f t="shared" si="2474"/>
        <v>花都四部-凤凰仓</v>
      </c>
      <c r="G8815" s="1" t="str">
        <f t="shared" si="2478"/>
        <v>卡卡杜个人护理店（抖店）</v>
      </c>
      <c r="H8815" s="1" t="str">
        <f t="shared" si="2475"/>
        <v>正常订单</v>
      </c>
      <c r="I8815" s="1" t="str">
        <f t="shared" si="2476"/>
        <v>已发货</v>
      </c>
      <c r="J8815" s="1" t="str">
        <f t="shared" si="2482"/>
        <v>2</v>
      </c>
      <c r="K8815" s="1">
        <v>1</v>
      </c>
      <c r="L8815" s="1" t="s">
        <v>22</v>
      </c>
      <c r="M8815" s="1" t="str">
        <f>"江西省 上饶市 广丰区 丰溪街道"</f>
        <v>江西省 上饶市 广丰区 丰溪街道</v>
      </c>
      <c r="N8815" s="1" t="str">
        <f t="shared" si="2479"/>
        <v>凡华云仓-韵达-抖音</v>
      </c>
      <c r="O8815" s="5">
        <v>320161048165398</v>
      </c>
      <c r="P8815" s="6">
        <v>0.33</v>
      </c>
      <c r="Q8815" s="11">
        <v>2.2999999999999998</v>
      </c>
      <c r="R8815" s="11"/>
      <c r="S8815" s="11"/>
      <c r="T8815" s="11"/>
      <c r="U8815" s="11">
        <f t="shared" si="2472"/>
        <v>2.2999999999999998</v>
      </c>
      <c r="W8815">
        <v>2.5</v>
      </c>
      <c r="X8815" s="1" t="s">
        <v>22</v>
      </c>
    </row>
    <row r="8816" spans="1:24" x14ac:dyDescent="0.25">
      <c r="A8816" s="1" t="str">
        <f t="shared" si="2473"/>
        <v>卡卡杜-凤凰仓</v>
      </c>
      <c r="B8816" s="1" t="str">
        <f>"CK202410081901"</f>
        <v>CK202410081901</v>
      </c>
      <c r="C8816" s="1" t="str">
        <f>"DD2024100817141"</f>
        <v>DD2024100817141</v>
      </c>
      <c r="D8816" s="1" t="str">
        <f>"CK2024100812901"</f>
        <v>CK2024100812901</v>
      </c>
      <c r="E8816" s="1" t="str">
        <f>"6917918797898415668"</f>
        <v>6917918797898415668</v>
      </c>
      <c r="F8816" s="1" t="str">
        <f t="shared" si="2474"/>
        <v>花都四部-凤凰仓</v>
      </c>
      <c r="G8816" s="1" t="str">
        <f t="shared" si="2478"/>
        <v>卡卡杜个人护理店（抖店）</v>
      </c>
      <c r="H8816" s="1" t="str">
        <f t="shared" si="2475"/>
        <v>正常订单</v>
      </c>
      <c r="I8816" s="1" t="str">
        <f t="shared" si="2476"/>
        <v>已发货</v>
      </c>
      <c r="J8816" s="1" t="str">
        <f t="shared" si="2482"/>
        <v>2</v>
      </c>
      <c r="K8816" s="1">
        <v>1</v>
      </c>
      <c r="L8816" s="1" t="s">
        <v>66</v>
      </c>
      <c r="M8816" s="1" t="str">
        <f>"内蒙古自治区 巴彦淖尔市 乌拉特前旗 乌拉山镇"</f>
        <v>内蒙古自治区 巴彦淖尔市 乌拉特前旗 乌拉山镇</v>
      </c>
      <c r="N8816" s="1" t="str">
        <f t="shared" si="2479"/>
        <v>凡华云仓-韵达-抖音</v>
      </c>
      <c r="O8816" s="5">
        <v>320161048165205</v>
      </c>
      <c r="P8816" s="6">
        <v>0.33</v>
      </c>
      <c r="Q8816" s="11">
        <v>2.2999999999999998</v>
      </c>
      <c r="R8816" s="11"/>
      <c r="S8816" s="11"/>
      <c r="T8816" s="11"/>
      <c r="U8816" s="11">
        <f t="shared" si="2472"/>
        <v>2.2999999999999998</v>
      </c>
      <c r="W8816">
        <v>2.5</v>
      </c>
      <c r="X8816" s="1" t="s">
        <v>66</v>
      </c>
    </row>
    <row r="8817" spans="1:24" x14ac:dyDescent="0.25">
      <c r="A8817" s="1" t="str">
        <f t="shared" si="2473"/>
        <v>卡卡杜-凤凰仓</v>
      </c>
      <c r="B8817" s="1" t="str">
        <f>"CK2024100614210"</f>
        <v>CK2024100614210</v>
      </c>
      <c r="C8817" s="1" t="str">
        <f>"DD2024100644432"</f>
        <v>DD2024100644432</v>
      </c>
      <c r="D8817" s="1" t="str">
        <f>"CK2024100640815"</f>
        <v>CK2024100640815</v>
      </c>
      <c r="E8817" s="1" t="str">
        <f>"6917870387232735045"</f>
        <v>6917870387232735045</v>
      </c>
      <c r="F8817" s="1" t="str">
        <f t="shared" si="2474"/>
        <v>花都四部-凤凰仓</v>
      </c>
      <c r="G8817" s="1" t="str">
        <f t="shared" si="2478"/>
        <v>卡卡杜个人护理店（抖店）</v>
      </c>
      <c r="H8817" s="1" t="str">
        <f t="shared" si="2475"/>
        <v>正常订单</v>
      </c>
      <c r="I8817" s="1" t="str">
        <f t="shared" si="2476"/>
        <v>已发货</v>
      </c>
      <c r="J8817" s="1" t="str">
        <f>"4"</f>
        <v>4</v>
      </c>
      <c r="K8817" s="1">
        <v>1</v>
      </c>
      <c r="L8817" s="1" t="s">
        <v>20</v>
      </c>
      <c r="M8817" s="1" t="str">
        <f>"浙江省 绍兴市 诸暨市 店口镇"</f>
        <v>浙江省 绍兴市 诸暨市 店口镇</v>
      </c>
      <c r="N8817" s="1" t="str">
        <f t="shared" si="2479"/>
        <v>凡华云仓-韵达-抖音</v>
      </c>
      <c r="O8817" s="5">
        <v>320158400953795</v>
      </c>
      <c r="P8817" s="6">
        <v>0.57999999999999996</v>
      </c>
      <c r="Q8817" s="11">
        <f>CEILING(P8817-0.5,0.1)*10*0.15+2.3</f>
        <v>2.4499999999999997</v>
      </c>
      <c r="R8817" s="11"/>
      <c r="S8817" s="11"/>
      <c r="T8817" s="11"/>
      <c r="U8817" s="11">
        <f t="shared" si="2472"/>
        <v>2.4499999999999997</v>
      </c>
      <c r="V8817" t="s">
        <v>15</v>
      </c>
      <c r="W8817">
        <v>2.4500000000000002</v>
      </c>
      <c r="X8817" s="1" t="s">
        <v>20</v>
      </c>
    </row>
    <row r="8818" spans="1:24" x14ac:dyDescent="0.25">
      <c r="A8818" s="1" t="str">
        <f t="shared" si="2473"/>
        <v>卡卡杜-凤凰仓</v>
      </c>
      <c r="B8818" s="1" t="str">
        <f>"CK202410081902"</f>
        <v>CK202410081902</v>
      </c>
      <c r="C8818" s="1" t="str">
        <f>"DD2024100817142"</f>
        <v>DD2024100817142</v>
      </c>
      <c r="D8818" s="1" t="str">
        <f>"CK2024100812899"</f>
        <v>CK2024100812899</v>
      </c>
      <c r="E8818" s="1" t="str">
        <f>"6917921171016154988"</f>
        <v>6917921171016154988</v>
      </c>
      <c r="F8818" s="1" t="str">
        <f t="shared" si="2474"/>
        <v>花都四部-凤凰仓</v>
      </c>
      <c r="G8818" s="1" t="str">
        <f t="shared" si="2478"/>
        <v>卡卡杜个人护理店（抖店）</v>
      </c>
      <c r="H8818" s="1" t="str">
        <f t="shared" si="2475"/>
        <v>正常订单</v>
      </c>
      <c r="I8818" s="1" t="str">
        <f t="shared" si="2476"/>
        <v>已发货</v>
      </c>
      <c r="J8818" s="1" t="str">
        <f t="shared" ref="J8818:J8828" si="2483">"2"</f>
        <v>2</v>
      </c>
      <c r="K8818" s="1">
        <v>1</v>
      </c>
      <c r="L8818" s="1" t="s">
        <v>94</v>
      </c>
      <c r="M8818" s="1" t="str">
        <f>"湖南省 娄底市 冷水江市 布溪街道"</f>
        <v>湖南省 娄底市 冷水江市 布溪街道</v>
      </c>
      <c r="N8818" s="1" t="str">
        <f t="shared" si="2479"/>
        <v>凡华云仓-韵达-抖音</v>
      </c>
      <c r="O8818" s="5">
        <v>320161048165025</v>
      </c>
      <c r="P8818" s="6">
        <v>0.33</v>
      </c>
      <c r="Q8818" s="11">
        <v>2.2999999999999998</v>
      </c>
      <c r="R8818" s="11"/>
      <c r="S8818" s="11"/>
      <c r="T8818" s="11"/>
      <c r="U8818" s="11">
        <f t="shared" si="2472"/>
        <v>2.2999999999999998</v>
      </c>
      <c r="W8818">
        <v>2.5</v>
      </c>
      <c r="X8818" s="1" t="s">
        <v>94</v>
      </c>
    </row>
    <row r="8819" spans="1:24" x14ac:dyDescent="0.25">
      <c r="A8819" s="1" t="str">
        <f t="shared" si="2473"/>
        <v>卡卡杜-凤凰仓</v>
      </c>
      <c r="B8819" s="1" t="str">
        <f>"CK2024100718230"</f>
        <v>CK2024100718230</v>
      </c>
      <c r="C8819" s="1" t="str">
        <f>"DD2024100748437"</f>
        <v>DD2024100748437</v>
      </c>
      <c r="D8819" s="1" t="str">
        <f>"CK2024100748143"</f>
        <v>CK2024100748143</v>
      </c>
      <c r="E8819" s="1" t="str">
        <f>"3723147102615638016"</f>
        <v>3723147102615638016</v>
      </c>
      <c r="F8819" s="1" t="str">
        <f t="shared" si="2474"/>
        <v>花都四部-凤凰仓</v>
      </c>
      <c r="G8819" s="1" t="str">
        <f>"卡卡杜企业店（视频号）"</f>
        <v>卡卡杜企业店（视频号）</v>
      </c>
      <c r="H8819" s="1" t="str">
        <f t="shared" si="2475"/>
        <v>正常订单</v>
      </c>
      <c r="I8819" s="1" t="str">
        <f t="shared" si="2476"/>
        <v>已发货</v>
      </c>
      <c r="J8819" s="1" t="str">
        <f>"4"</f>
        <v>4</v>
      </c>
      <c r="K8819" s="1">
        <v>2</v>
      </c>
      <c r="L8819" s="1" t="s">
        <v>161</v>
      </c>
      <c r="M8819" s="1" t="str">
        <f>"四川省 成都市 龙泉驿区 "</f>
        <v xml:space="preserve">四川省 成都市 龙泉驿区 </v>
      </c>
      <c r="N8819" s="1" t="str">
        <f>"凡华云仓-韵达-微信视频号"</f>
        <v>凡华云仓-韵达-微信视频号</v>
      </c>
      <c r="O8819" s="5">
        <v>315012224006729</v>
      </c>
      <c r="P8819" s="6">
        <v>0.52</v>
      </c>
      <c r="Q8819" s="11">
        <f>CEILING(P8819-0.5,0.1)*10*0.15+2.3</f>
        <v>2.4499999999999997</v>
      </c>
      <c r="R8819" s="11"/>
      <c r="S8819" s="11"/>
      <c r="T8819" s="11"/>
      <c r="U8819" s="11">
        <f t="shared" si="2472"/>
        <v>2.4499999999999997</v>
      </c>
      <c r="V8819" t="s">
        <v>15</v>
      </c>
      <c r="W8819">
        <v>2.4500000000000002</v>
      </c>
      <c r="X8819" s="1" t="s">
        <v>161</v>
      </c>
    </row>
    <row r="8820" spans="1:24" x14ac:dyDescent="0.25">
      <c r="A8820" s="1" t="str">
        <f t="shared" si="2473"/>
        <v>卡卡杜-凤凰仓</v>
      </c>
      <c r="B8820" s="1" t="str">
        <f>"CK2024100718228"</f>
        <v>CK2024100718228</v>
      </c>
      <c r="C8820" s="1" t="str">
        <f>"DD2024100748436"</f>
        <v>DD2024100748436</v>
      </c>
      <c r="D8820" s="1" t="str">
        <f>"CK2024100748142"</f>
        <v>CK2024100748142</v>
      </c>
      <c r="E8820" s="1" t="str">
        <f>"6917925441895300320"</f>
        <v>6917925441895300320</v>
      </c>
      <c r="F8820" s="1" t="str">
        <f t="shared" si="2474"/>
        <v>花都四部-凤凰仓</v>
      </c>
      <c r="G8820" s="1" t="str">
        <f t="shared" ref="G8820:G8828" si="2484">"卡卡杜个人护理店（抖店）"</f>
        <v>卡卡杜个人护理店（抖店）</v>
      </c>
      <c r="H8820" s="1" t="str">
        <f t="shared" si="2475"/>
        <v>正常订单</v>
      </c>
      <c r="I8820" s="1" t="str">
        <f t="shared" si="2476"/>
        <v>已发货</v>
      </c>
      <c r="J8820" s="1" t="str">
        <f t="shared" si="2483"/>
        <v>2</v>
      </c>
      <c r="K8820" s="1">
        <v>1</v>
      </c>
      <c r="L8820" s="1" t="s">
        <v>18</v>
      </c>
      <c r="M8820" s="1" t="str">
        <f>"广东省 广州市 增城区 荔城街道"</f>
        <v>广东省 广州市 增城区 荔城街道</v>
      </c>
      <c r="N8820" s="1" t="str">
        <f t="shared" ref="N8820:N8828" si="2485">"凡华云仓-韵达-抖音"</f>
        <v>凡华云仓-韵达-抖音</v>
      </c>
      <c r="O8820" s="5">
        <v>320160194159039</v>
      </c>
      <c r="P8820" s="6">
        <v>0.33</v>
      </c>
      <c r="Q8820" s="11">
        <v>2.2999999999999998</v>
      </c>
      <c r="R8820" s="11"/>
      <c r="S8820" s="11"/>
      <c r="T8820" s="11"/>
      <c r="U8820" s="11">
        <f t="shared" si="2472"/>
        <v>2.2999999999999998</v>
      </c>
      <c r="W8820">
        <v>2.5</v>
      </c>
      <c r="X8820" s="1" t="s">
        <v>18</v>
      </c>
    </row>
    <row r="8821" spans="1:24" x14ac:dyDescent="0.25">
      <c r="A8821" s="1" t="str">
        <f t="shared" si="2473"/>
        <v>卡卡杜-凤凰仓</v>
      </c>
      <c r="B8821" s="1" t="str">
        <f>"CK2024100718226"</f>
        <v>CK2024100718226</v>
      </c>
      <c r="C8821" s="1" t="str">
        <f>"DD2024100748434"</f>
        <v>DD2024100748434</v>
      </c>
      <c r="D8821" s="1" t="str">
        <f>"CK2024100748141"</f>
        <v>CK2024100748141</v>
      </c>
      <c r="E8821" s="1" t="str">
        <f>"6917918195628997872"</f>
        <v>6917918195628997872</v>
      </c>
      <c r="F8821" s="1" t="str">
        <f t="shared" si="2474"/>
        <v>花都四部-凤凰仓</v>
      </c>
      <c r="G8821" s="1" t="str">
        <f t="shared" si="2484"/>
        <v>卡卡杜个人护理店（抖店）</v>
      </c>
      <c r="H8821" s="1" t="str">
        <f t="shared" si="2475"/>
        <v>正常订单</v>
      </c>
      <c r="I8821" s="1" t="str">
        <f t="shared" si="2476"/>
        <v>已发货</v>
      </c>
      <c r="J8821" s="1" t="str">
        <f t="shared" si="2483"/>
        <v>2</v>
      </c>
      <c r="K8821" s="1">
        <v>1</v>
      </c>
      <c r="L8821" s="1" t="s">
        <v>22</v>
      </c>
      <c r="M8821" s="1" t="str">
        <f>"江西省 九江市 瑞昌市 码头镇"</f>
        <v>江西省 九江市 瑞昌市 码头镇</v>
      </c>
      <c r="N8821" s="1" t="str">
        <f t="shared" si="2485"/>
        <v>凡华云仓-韵达-抖音</v>
      </c>
      <c r="O8821" s="5">
        <v>320160194158907</v>
      </c>
      <c r="P8821" s="6">
        <v>0.33</v>
      </c>
      <c r="Q8821" s="11">
        <v>2.2999999999999998</v>
      </c>
      <c r="R8821" s="11"/>
      <c r="S8821" s="11"/>
      <c r="T8821" s="11"/>
      <c r="U8821" s="11">
        <f t="shared" si="2472"/>
        <v>2.2999999999999998</v>
      </c>
      <c r="W8821">
        <v>2.5</v>
      </c>
      <c r="X8821" s="1" t="s">
        <v>22</v>
      </c>
    </row>
    <row r="8822" spans="1:24" x14ac:dyDescent="0.25">
      <c r="A8822" s="1" t="str">
        <f t="shared" si="2473"/>
        <v>卡卡杜-凤凰仓</v>
      </c>
      <c r="B8822" s="1" t="str">
        <f>"CK2024100718229"</f>
        <v>CK2024100718229</v>
      </c>
      <c r="C8822" s="1" t="str">
        <f>"DD2024100748438"</f>
        <v>DD2024100748438</v>
      </c>
      <c r="D8822" s="1" t="str">
        <f>"CK2024100748140"</f>
        <v>CK2024100748140</v>
      </c>
      <c r="E8822" s="1" t="str">
        <f>"6917915362878783017"</f>
        <v>6917915362878783017</v>
      </c>
      <c r="F8822" s="1" t="str">
        <f t="shared" si="2474"/>
        <v>花都四部-凤凰仓</v>
      </c>
      <c r="G8822" s="1" t="str">
        <f t="shared" si="2484"/>
        <v>卡卡杜个人护理店（抖店）</v>
      </c>
      <c r="H8822" s="1" t="str">
        <f t="shared" si="2475"/>
        <v>正常订单</v>
      </c>
      <c r="I8822" s="1" t="str">
        <f t="shared" si="2476"/>
        <v>已发货</v>
      </c>
      <c r="J8822" s="1" t="str">
        <f t="shared" si="2483"/>
        <v>2</v>
      </c>
      <c r="K8822" s="1">
        <v>2</v>
      </c>
      <c r="L8822" s="1" t="s">
        <v>20</v>
      </c>
      <c r="M8822" s="1" t="str">
        <f>"浙江省 宁波市 余姚市 凤山街道"</f>
        <v>浙江省 宁波市 余姚市 凤山街道</v>
      </c>
      <c r="N8822" s="1" t="str">
        <f t="shared" si="2485"/>
        <v>凡华云仓-韵达-抖音</v>
      </c>
      <c r="O8822" s="5">
        <v>320160194158802</v>
      </c>
      <c r="P8822" s="6">
        <v>0.28000000000000003</v>
      </c>
      <c r="Q8822" s="11">
        <v>2</v>
      </c>
      <c r="R8822" s="11"/>
      <c r="S8822" s="11"/>
      <c r="T8822" s="11"/>
      <c r="U8822" s="11">
        <f t="shared" si="2472"/>
        <v>2</v>
      </c>
      <c r="W8822">
        <v>2.2000000000000002</v>
      </c>
      <c r="X8822" s="1" t="s">
        <v>20</v>
      </c>
    </row>
    <row r="8823" spans="1:24" x14ac:dyDescent="0.25">
      <c r="A8823" s="1" t="str">
        <f t="shared" si="2473"/>
        <v>卡卡杜-凤凰仓</v>
      </c>
      <c r="B8823" s="1" t="str">
        <f>"CK2024100718227"</f>
        <v>CK2024100718227</v>
      </c>
      <c r="C8823" s="1" t="str">
        <f>"DD2024100748435"</f>
        <v>DD2024100748435</v>
      </c>
      <c r="D8823" s="1" t="str">
        <f>"CK2024100748139"</f>
        <v>CK2024100748139</v>
      </c>
      <c r="E8823" s="1" t="str">
        <f>"6917913473416002565"</f>
        <v>6917913473416002565</v>
      </c>
      <c r="F8823" s="1" t="str">
        <f t="shared" si="2474"/>
        <v>花都四部-凤凰仓</v>
      </c>
      <c r="G8823" s="1" t="str">
        <f t="shared" si="2484"/>
        <v>卡卡杜个人护理店（抖店）</v>
      </c>
      <c r="H8823" s="1" t="str">
        <f t="shared" si="2475"/>
        <v>正常订单</v>
      </c>
      <c r="I8823" s="1" t="str">
        <f t="shared" si="2476"/>
        <v>已发货</v>
      </c>
      <c r="J8823" s="1" t="str">
        <f t="shared" si="2483"/>
        <v>2</v>
      </c>
      <c r="K8823" s="1">
        <v>1</v>
      </c>
      <c r="L8823" s="1" t="s">
        <v>20</v>
      </c>
      <c r="M8823" s="1" t="str">
        <f>"浙江省 绍兴市 嵊州市 "</f>
        <v xml:space="preserve">浙江省 绍兴市 嵊州市 </v>
      </c>
      <c r="N8823" s="1" t="str">
        <f t="shared" si="2485"/>
        <v>凡华云仓-韵达-抖音</v>
      </c>
      <c r="O8823" s="5">
        <v>320160187330515</v>
      </c>
      <c r="P8823" s="6">
        <v>0.33</v>
      </c>
      <c r="Q8823" s="11">
        <v>2.2999999999999998</v>
      </c>
      <c r="R8823" s="11"/>
      <c r="S8823" s="11"/>
      <c r="T8823" s="11"/>
      <c r="U8823" s="11">
        <f t="shared" si="2472"/>
        <v>2.2999999999999998</v>
      </c>
      <c r="W8823">
        <v>2.5</v>
      </c>
      <c r="X8823" s="1" t="s">
        <v>20</v>
      </c>
    </row>
    <row r="8824" spans="1:24" x14ac:dyDescent="0.25">
      <c r="A8824" s="1" t="str">
        <f t="shared" si="2473"/>
        <v>卡卡杜-凤凰仓</v>
      </c>
      <c r="B8824" s="1" t="str">
        <f>"CK2024100718231"</f>
        <v>CK2024100718231</v>
      </c>
      <c r="C8824" s="1" t="str">
        <f>"DD2024100748499"</f>
        <v>DD2024100748499</v>
      </c>
      <c r="D8824" s="1" t="str">
        <f>"CK2024100748138"</f>
        <v>CK2024100748138</v>
      </c>
      <c r="E8824" s="1" t="str">
        <f>"6917908777966272178"</f>
        <v>6917908777966272178</v>
      </c>
      <c r="F8824" s="1" t="str">
        <f t="shared" si="2474"/>
        <v>花都四部-凤凰仓</v>
      </c>
      <c r="G8824" s="1" t="str">
        <f t="shared" si="2484"/>
        <v>卡卡杜个人护理店（抖店）</v>
      </c>
      <c r="H8824" s="1" t="str">
        <f t="shared" si="2475"/>
        <v>正常订单</v>
      </c>
      <c r="I8824" s="1" t="str">
        <f t="shared" si="2476"/>
        <v>已发货</v>
      </c>
      <c r="J8824" s="1" t="str">
        <f t="shared" si="2483"/>
        <v>2</v>
      </c>
      <c r="K8824" s="1">
        <v>1</v>
      </c>
      <c r="L8824" s="1" t="s">
        <v>161</v>
      </c>
      <c r="M8824" s="1" t="str">
        <f>"四川省 泸州市 龙马潭区 红星街道"</f>
        <v>四川省 泸州市 龙马潭区 红星街道</v>
      </c>
      <c r="N8824" s="1" t="str">
        <f t="shared" si="2485"/>
        <v>凡华云仓-韵达-抖音</v>
      </c>
      <c r="O8824" s="5">
        <v>320160187330418</v>
      </c>
      <c r="P8824" s="6">
        <v>0.33</v>
      </c>
      <c r="Q8824" s="11">
        <v>2.2999999999999998</v>
      </c>
      <c r="R8824" s="11"/>
      <c r="S8824" s="11"/>
      <c r="T8824" s="11"/>
      <c r="U8824" s="11">
        <f t="shared" si="2472"/>
        <v>2.2999999999999998</v>
      </c>
      <c r="W8824">
        <v>2.5</v>
      </c>
      <c r="X8824" s="1" t="s">
        <v>161</v>
      </c>
    </row>
    <row r="8825" spans="1:24" x14ac:dyDescent="0.25">
      <c r="A8825" s="1" t="str">
        <f t="shared" si="2473"/>
        <v>卡卡杜-凤凰仓</v>
      </c>
      <c r="B8825" s="1" t="str">
        <f>"CK2024100718232"</f>
        <v>CK2024100718232</v>
      </c>
      <c r="C8825" s="1" t="str">
        <f>"DD2024100748502"</f>
        <v>DD2024100748502</v>
      </c>
      <c r="D8825" s="1" t="str">
        <f>"CK2024100748137"</f>
        <v>CK2024100748137</v>
      </c>
      <c r="E8825" s="1" t="str">
        <f>"6917913126846889262"</f>
        <v>6917913126846889262</v>
      </c>
      <c r="F8825" s="1" t="str">
        <f t="shared" si="2474"/>
        <v>花都四部-凤凰仓</v>
      </c>
      <c r="G8825" s="1" t="str">
        <f t="shared" si="2484"/>
        <v>卡卡杜个人护理店（抖店）</v>
      </c>
      <c r="H8825" s="1" t="str">
        <f t="shared" si="2475"/>
        <v>正常订单</v>
      </c>
      <c r="I8825" s="1" t="str">
        <f t="shared" si="2476"/>
        <v>已发货</v>
      </c>
      <c r="J8825" s="1" t="str">
        <f t="shared" si="2483"/>
        <v>2</v>
      </c>
      <c r="K8825" s="1">
        <v>1</v>
      </c>
      <c r="L8825" s="1" t="s">
        <v>13</v>
      </c>
      <c r="M8825" s="1" t="str">
        <f>"江苏省 镇江市 京口区 姚桥镇"</f>
        <v>江苏省 镇江市 京口区 姚桥镇</v>
      </c>
      <c r="N8825" s="1" t="str">
        <f t="shared" si="2485"/>
        <v>凡华云仓-韵达-抖音</v>
      </c>
      <c r="O8825" s="5">
        <v>320160187330323</v>
      </c>
      <c r="P8825" s="6">
        <v>0.33</v>
      </c>
      <c r="Q8825" s="11">
        <v>2.2999999999999998</v>
      </c>
      <c r="R8825" s="11"/>
      <c r="S8825" s="11"/>
      <c r="T8825" s="11"/>
      <c r="U8825" s="11">
        <f t="shared" si="2472"/>
        <v>2.2999999999999998</v>
      </c>
      <c r="W8825">
        <v>2.5</v>
      </c>
      <c r="X8825" s="1" t="s">
        <v>13</v>
      </c>
    </row>
    <row r="8826" spans="1:24" x14ac:dyDescent="0.25">
      <c r="A8826" s="1" t="str">
        <f t="shared" si="2473"/>
        <v>卡卡杜-凤凰仓</v>
      </c>
      <c r="B8826" s="1" t="str">
        <f>"CK2024100718234"</f>
        <v>CK2024100718234</v>
      </c>
      <c r="C8826" s="1" t="str">
        <f>"DD2024100748503"</f>
        <v>DD2024100748503</v>
      </c>
      <c r="D8826" s="1" t="str">
        <f>"CK2024100748136"</f>
        <v>CK2024100748136</v>
      </c>
      <c r="E8826" s="1" t="str">
        <f>"6917910795281202934"</f>
        <v>6917910795281202934</v>
      </c>
      <c r="F8826" s="1" t="str">
        <f t="shared" si="2474"/>
        <v>花都四部-凤凰仓</v>
      </c>
      <c r="G8826" s="1" t="str">
        <f t="shared" si="2484"/>
        <v>卡卡杜个人护理店（抖店）</v>
      </c>
      <c r="H8826" s="1" t="str">
        <f t="shared" si="2475"/>
        <v>正常订单</v>
      </c>
      <c r="I8826" s="1" t="str">
        <f t="shared" si="2476"/>
        <v>已发货</v>
      </c>
      <c r="J8826" s="1" t="str">
        <f t="shared" si="2483"/>
        <v>2</v>
      </c>
      <c r="K8826" s="1">
        <v>1</v>
      </c>
      <c r="L8826" s="1" t="s">
        <v>18</v>
      </c>
      <c r="M8826" s="1" t="str">
        <f>"广东省 湛江市 麻章区 麻章镇"</f>
        <v>广东省 湛江市 麻章区 麻章镇</v>
      </c>
      <c r="N8826" s="1" t="str">
        <f t="shared" si="2485"/>
        <v>凡华云仓-韵达-抖音</v>
      </c>
      <c r="O8826" s="5">
        <v>320160187330230</v>
      </c>
      <c r="P8826" s="6">
        <v>0.33</v>
      </c>
      <c r="Q8826" s="11">
        <v>2.2999999999999998</v>
      </c>
      <c r="R8826" s="11"/>
      <c r="S8826" s="11"/>
      <c r="T8826" s="11"/>
      <c r="U8826" s="11">
        <f t="shared" si="2472"/>
        <v>2.2999999999999998</v>
      </c>
      <c r="W8826">
        <v>2.5</v>
      </c>
      <c r="X8826" s="1" t="s">
        <v>18</v>
      </c>
    </row>
    <row r="8827" spans="1:24" x14ac:dyDescent="0.25">
      <c r="A8827" s="1" t="str">
        <f t="shared" si="2473"/>
        <v>卡卡杜-凤凰仓</v>
      </c>
      <c r="B8827" s="1" t="str">
        <f>"CK2024100718235"</f>
        <v>CK2024100718235</v>
      </c>
      <c r="C8827" s="1" t="str">
        <f>"DD2024100748501"</f>
        <v>DD2024100748501</v>
      </c>
      <c r="D8827" s="1" t="str">
        <f>"CK2024100748135"</f>
        <v>CK2024100748135</v>
      </c>
      <c r="E8827" s="1" t="str">
        <f>"6917913152463273686"</f>
        <v>6917913152463273686</v>
      </c>
      <c r="F8827" s="1" t="str">
        <f t="shared" si="2474"/>
        <v>花都四部-凤凰仓</v>
      </c>
      <c r="G8827" s="1" t="str">
        <f t="shared" si="2484"/>
        <v>卡卡杜个人护理店（抖店）</v>
      </c>
      <c r="H8827" s="1" t="str">
        <f t="shared" si="2475"/>
        <v>正常订单</v>
      </c>
      <c r="I8827" s="1" t="str">
        <f t="shared" si="2476"/>
        <v>已发货</v>
      </c>
      <c r="J8827" s="1" t="str">
        <f t="shared" si="2483"/>
        <v>2</v>
      </c>
      <c r="K8827" s="1">
        <v>1</v>
      </c>
      <c r="L8827" s="1" t="s">
        <v>41</v>
      </c>
      <c r="M8827" s="1" t="str">
        <f>"湖北省 武汉市 硚口区 易家街道"</f>
        <v>湖北省 武汉市 硚口区 易家街道</v>
      </c>
      <c r="N8827" s="1" t="str">
        <f t="shared" si="2485"/>
        <v>凡华云仓-韵达-抖音</v>
      </c>
      <c r="O8827" s="5">
        <v>320160187330139</v>
      </c>
      <c r="P8827" s="6">
        <v>0.33</v>
      </c>
      <c r="Q8827" s="11">
        <v>2.2999999999999998</v>
      </c>
      <c r="R8827" s="11"/>
      <c r="S8827" s="11"/>
      <c r="T8827" s="11"/>
      <c r="U8827" s="11">
        <f t="shared" si="2472"/>
        <v>2.2999999999999998</v>
      </c>
      <c r="W8827">
        <v>2.5</v>
      </c>
      <c r="X8827" s="1" t="s">
        <v>41</v>
      </c>
    </row>
    <row r="8828" spans="1:24" x14ac:dyDescent="0.25">
      <c r="A8828" s="1" t="str">
        <f t="shared" si="2473"/>
        <v>卡卡杜-凤凰仓</v>
      </c>
      <c r="B8828" s="1" t="str">
        <f>"CK2024100718236"</f>
        <v>CK2024100718236</v>
      </c>
      <c r="C8828" s="1" t="str">
        <f>"DD2024100748498"</f>
        <v>DD2024100748498</v>
      </c>
      <c r="D8828" s="1" t="str">
        <f>"CK2024100748134"</f>
        <v>CK2024100748134</v>
      </c>
      <c r="E8828" s="1" t="str">
        <f>"6917915585913192401"</f>
        <v>6917915585913192401</v>
      </c>
      <c r="F8828" s="1" t="str">
        <f t="shared" si="2474"/>
        <v>花都四部-凤凰仓</v>
      </c>
      <c r="G8828" s="1" t="str">
        <f t="shared" si="2484"/>
        <v>卡卡杜个人护理店（抖店）</v>
      </c>
      <c r="H8828" s="1" t="str">
        <f t="shared" si="2475"/>
        <v>正常订单</v>
      </c>
      <c r="I8828" s="1" t="str">
        <f t="shared" si="2476"/>
        <v>已发货</v>
      </c>
      <c r="J8828" s="1" t="str">
        <f t="shared" si="2483"/>
        <v>2</v>
      </c>
      <c r="K8828" s="1">
        <v>1</v>
      </c>
      <c r="L8828" s="1" t="s">
        <v>20</v>
      </c>
      <c r="M8828" s="1" t="str">
        <f>"浙江省 温州市 平阳县 腾蛟镇"</f>
        <v>浙江省 温州市 平阳县 腾蛟镇</v>
      </c>
      <c r="N8828" s="1" t="str">
        <f t="shared" si="2485"/>
        <v>凡华云仓-韵达-抖音</v>
      </c>
      <c r="O8828" s="5">
        <v>320160187330050</v>
      </c>
      <c r="P8828" s="6">
        <v>0.33</v>
      </c>
      <c r="Q8828" s="11">
        <v>2.2999999999999998</v>
      </c>
      <c r="R8828" s="11"/>
      <c r="S8828" s="11"/>
      <c r="T8828" s="11"/>
      <c r="U8828" s="11">
        <f t="shared" si="2472"/>
        <v>2.2999999999999998</v>
      </c>
      <c r="W8828">
        <v>2.5</v>
      </c>
      <c r="X8828" s="1" t="s">
        <v>20</v>
      </c>
    </row>
    <row r="8829" spans="1:24" x14ac:dyDescent="0.25">
      <c r="A8829" s="1" t="str">
        <f t="shared" si="2473"/>
        <v>卡卡杜-凤凰仓</v>
      </c>
      <c r="B8829" s="1" t="str">
        <f>"CK2024100718237"</f>
        <v>CK2024100718237</v>
      </c>
      <c r="C8829" s="1" t="str">
        <f>"DD2024100748504"</f>
        <v>DD2024100748504</v>
      </c>
      <c r="D8829" s="1" t="str">
        <f>"CK2024100748133"</f>
        <v>CK2024100748133</v>
      </c>
      <c r="E8829" s="1" t="str">
        <f>"KKD20241007YP005"</f>
        <v>KKD20241007YP005</v>
      </c>
      <c r="F8829" s="1" t="str">
        <f t="shared" si="2474"/>
        <v>花都四部-凤凰仓</v>
      </c>
      <c r="G8829" s="1" t="str">
        <f t="shared" ref="G8829:G8832" si="2486">"卡卡杜全欣样品"</f>
        <v>卡卡杜全欣样品</v>
      </c>
      <c r="H8829" s="1" t="str">
        <f t="shared" si="2475"/>
        <v>正常订单</v>
      </c>
      <c r="I8829" s="1" t="str">
        <f t="shared" si="2476"/>
        <v>已发货</v>
      </c>
      <c r="J8829" s="1" t="str">
        <f>"13"</f>
        <v>13</v>
      </c>
      <c r="K8829" s="1">
        <v>10</v>
      </c>
      <c r="L8829" s="1" t="s">
        <v>18</v>
      </c>
      <c r="M8829" s="1" t="str">
        <f>"广东省 广州市 白云区 "</f>
        <v xml:space="preserve">广东省 广州市 白云区 </v>
      </c>
      <c r="N8829" s="1" t="str">
        <f t="shared" ref="N8829:N8832" si="2487">"凡华云仓-韵达-淘宝"</f>
        <v>凡华云仓-韵达-淘宝</v>
      </c>
      <c r="O8829" s="3">
        <v>434174847147224</v>
      </c>
      <c r="P8829" s="6">
        <v>1.4</v>
      </c>
      <c r="Q8829" s="11">
        <f t="shared" ref="Q8829:Q8832" si="2488">CEILING(P8829-0.5,0.1)*10*0.15+2.3</f>
        <v>3.6499999999999995</v>
      </c>
      <c r="R8829" s="11">
        <f t="shared" ref="R8829:R8832" si="2489">(K8829-3)*0.1</f>
        <v>0.70000000000000007</v>
      </c>
      <c r="S8829" s="11">
        <v>0.15</v>
      </c>
      <c r="T8829" s="11"/>
      <c r="U8829" s="11">
        <f t="shared" si="2472"/>
        <v>4.5</v>
      </c>
      <c r="V8829" t="s">
        <v>15</v>
      </c>
      <c r="W8829">
        <v>4.5</v>
      </c>
      <c r="X8829" s="1" t="s">
        <v>18</v>
      </c>
    </row>
    <row r="8830" spans="1:24" x14ac:dyDescent="0.25">
      <c r="A8830" s="1" t="str">
        <f t="shared" si="2473"/>
        <v>卡卡杜-凤凰仓</v>
      </c>
      <c r="B8830" s="1" t="str">
        <f>"CK2024100718238"</f>
        <v>CK2024100718238</v>
      </c>
      <c r="C8830" s="1" t="str">
        <f>"DD2024100748505"</f>
        <v>DD2024100748505</v>
      </c>
      <c r="D8830" s="1" t="str">
        <f>"CK2024100748132"</f>
        <v>CK2024100748132</v>
      </c>
      <c r="E8830" s="1" t="str">
        <f>"KKD20241007YP004"</f>
        <v>KKD20241007YP004</v>
      </c>
      <c r="F8830" s="1" t="str">
        <f t="shared" si="2474"/>
        <v>花都四部-凤凰仓</v>
      </c>
      <c r="G8830" s="1" t="str">
        <f t="shared" si="2486"/>
        <v>卡卡杜全欣样品</v>
      </c>
      <c r="H8830" s="1" t="str">
        <f t="shared" si="2475"/>
        <v>正常订单</v>
      </c>
      <c r="I8830" s="1" t="str">
        <f t="shared" si="2476"/>
        <v>已发货</v>
      </c>
      <c r="J8830" s="1" t="str">
        <f>"13"</f>
        <v>13</v>
      </c>
      <c r="K8830" s="1">
        <v>10</v>
      </c>
      <c r="L8830" s="1" t="s">
        <v>18</v>
      </c>
      <c r="M8830" s="1" t="str">
        <f>"广东省 深圳市 宝安区 "</f>
        <v xml:space="preserve">广东省 深圳市 宝安区 </v>
      </c>
      <c r="N8830" s="1" t="str">
        <f t="shared" si="2487"/>
        <v>凡华云仓-韵达-淘宝</v>
      </c>
      <c r="O8830" s="3">
        <v>434174847147129</v>
      </c>
      <c r="P8830" s="6">
        <v>1.4</v>
      </c>
      <c r="Q8830" s="11">
        <f t="shared" si="2488"/>
        <v>3.6499999999999995</v>
      </c>
      <c r="R8830" s="11">
        <f t="shared" si="2489"/>
        <v>0.70000000000000007</v>
      </c>
      <c r="S8830" s="11">
        <v>0.15</v>
      </c>
      <c r="T8830" s="11"/>
      <c r="U8830" s="11">
        <f t="shared" si="2472"/>
        <v>4.5</v>
      </c>
      <c r="V8830" t="s">
        <v>15</v>
      </c>
      <c r="W8830">
        <v>4.5</v>
      </c>
      <c r="X8830" s="1" t="s">
        <v>18</v>
      </c>
    </row>
    <row r="8831" spans="1:24" x14ac:dyDescent="0.25">
      <c r="A8831" s="1" t="str">
        <f t="shared" si="2473"/>
        <v>卡卡杜-凤凰仓</v>
      </c>
      <c r="B8831" s="1" t="str">
        <f>"CK2024100614368"</f>
        <v>CK2024100614368</v>
      </c>
      <c r="C8831" s="1" t="str">
        <f>"DD2024100647774"</f>
        <v>DD2024100647774</v>
      </c>
      <c r="D8831" s="1" t="str">
        <f>"CK2024100643879"</f>
        <v>CK2024100643879</v>
      </c>
      <c r="E8831" s="1" t="str">
        <f>"KKD20241006YP003"</f>
        <v>KKD20241006YP003</v>
      </c>
      <c r="F8831" s="1" t="str">
        <f t="shared" si="2474"/>
        <v>花都四部-凤凰仓</v>
      </c>
      <c r="G8831" s="1" t="str">
        <f t="shared" si="2486"/>
        <v>卡卡杜全欣样品</v>
      </c>
      <c r="H8831" s="1" t="str">
        <f t="shared" si="2475"/>
        <v>正常订单</v>
      </c>
      <c r="I8831" s="1" t="str">
        <f t="shared" si="2476"/>
        <v>已发货</v>
      </c>
      <c r="J8831" s="1" t="str">
        <f>"7"</f>
        <v>7</v>
      </c>
      <c r="K8831" s="1">
        <v>5</v>
      </c>
      <c r="L8831" s="1" t="s">
        <v>20</v>
      </c>
      <c r="M8831" s="1" t="str">
        <f>"浙江省 宁波市 北仑区 "</f>
        <v xml:space="preserve">浙江省 宁波市 北仑区 </v>
      </c>
      <c r="N8831" s="1" t="str">
        <f t="shared" si="2487"/>
        <v>凡华云仓-韵达-淘宝</v>
      </c>
      <c r="O8831" s="3">
        <v>434172772008074</v>
      </c>
      <c r="P8831" s="6">
        <v>0.86</v>
      </c>
      <c r="Q8831" s="11">
        <f t="shared" si="2488"/>
        <v>2.9</v>
      </c>
      <c r="R8831" s="11">
        <f t="shared" si="2489"/>
        <v>0.2</v>
      </c>
      <c r="S8831" s="11">
        <v>0.15</v>
      </c>
      <c r="T8831" s="11"/>
      <c r="U8831" s="11">
        <f t="shared" si="2472"/>
        <v>3.25</v>
      </c>
      <c r="V8831" t="s">
        <v>15</v>
      </c>
      <c r="W8831">
        <v>3.25</v>
      </c>
      <c r="X8831" s="1" t="s">
        <v>20</v>
      </c>
    </row>
    <row r="8832" spans="1:24" x14ac:dyDescent="0.25">
      <c r="A8832" s="1" t="str">
        <f t="shared" si="2473"/>
        <v>卡卡杜-凤凰仓</v>
      </c>
      <c r="B8832" s="1" t="str">
        <f>"CK2024100718240"</f>
        <v>CK2024100718240</v>
      </c>
      <c r="C8832" s="1" t="str">
        <f>"DD2024100748507"</f>
        <v>DD2024100748507</v>
      </c>
      <c r="D8832" s="1" t="str">
        <f>"CK2024100748130"</f>
        <v>CK2024100748130</v>
      </c>
      <c r="E8832" s="1" t="str">
        <f>"KKD20241007YP002"</f>
        <v>KKD20241007YP002</v>
      </c>
      <c r="F8832" s="1" t="str">
        <f t="shared" si="2474"/>
        <v>花都四部-凤凰仓</v>
      </c>
      <c r="G8832" s="1" t="str">
        <f t="shared" si="2486"/>
        <v>卡卡杜全欣样品</v>
      </c>
      <c r="H8832" s="1" t="str">
        <f t="shared" si="2475"/>
        <v>正常订单</v>
      </c>
      <c r="I8832" s="1" t="str">
        <f t="shared" si="2476"/>
        <v>已发货</v>
      </c>
      <c r="J8832" s="1" t="str">
        <f>"10"</f>
        <v>10</v>
      </c>
      <c r="K8832" s="1">
        <v>7</v>
      </c>
      <c r="L8832" s="1" t="s">
        <v>80</v>
      </c>
      <c r="M8832" s="1" t="str">
        <f>"河南省 新乡市 辉县市 "</f>
        <v xml:space="preserve">河南省 新乡市 辉县市 </v>
      </c>
      <c r="N8832" s="1" t="str">
        <f t="shared" si="2487"/>
        <v>凡华云仓-韵达-淘宝</v>
      </c>
      <c r="O8832" s="3">
        <v>434174847146988</v>
      </c>
      <c r="P8832" s="6">
        <v>1.18</v>
      </c>
      <c r="Q8832" s="11">
        <f t="shared" si="2488"/>
        <v>3.3499999999999996</v>
      </c>
      <c r="R8832" s="11">
        <f t="shared" si="2489"/>
        <v>0.4</v>
      </c>
      <c r="S8832" s="11">
        <v>0.15</v>
      </c>
      <c r="T8832" s="11"/>
      <c r="U8832" s="11">
        <f t="shared" si="2472"/>
        <v>3.8999999999999995</v>
      </c>
      <c r="V8832" t="s">
        <v>15</v>
      </c>
      <c r="W8832">
        <v>3.9</v>
      </c>
      <c r="X8832" s="1" t="s">
        <v>80</v>
      </c>
    </row>
    <row r="8833" spans="1:24" x14ac:dyDescent="0.25">
      <c r="A8833" s="1" t="str">
        <f t="shared" si="2473"/>
        <v>卡卡杜-凤凰仓</v>
      </c>
      <c r="B8833" s="1" t="str">
        <f>"CK2024100718241"</f>
        <v>CK2024100718241</v>
      </c>
      <c r="C8833" s="1" t="str">
        <f>"DD2024100748509"</f>
        <v>DD2024100748509</v>
      </c>
      <c r="D8833" s="1" t="str">
        <f>"CK2024100748129"</f>
        <v>CK2024100748129</v>
      </c>
      <c r="E8833" s="1" t="str">
        <f>"6917907873741569961"</f>
        <v>6917907873741569961</v>
      </c>
      <c r="F8833" s="1" t="str">
        <f t="shared" si="2474"/>
        <v>花都四部-凤凰仓</v>
      </c>
      <c r="G8833" s="1" t="str">
        <f t="shared" ref="G8833:G8843" si="2490">"卡卡杜个人护理店（抖店）"</f>
        <v>卡卡杜个人护理店（抖店）</v>
      </c>
      <c r="H8833" s="1" t="str">
        <f t="shared" si="2475"/>
        <v>正常订单</v>
      </c>
      <c r="I8833" s="1" t="str">
        <f t="shared" si="2476"/>
        <v>已发货</v>
      </c>
      <c r="J8833" s="1" t="str">
        <f t="shared" ref="J8833:J8849" si="2491">"2"</f>
        <v>2</v>
      </c>
      <c r="K8833" s="1">
        <v>1</v>
      </c>
      <c r="L8833" s="1" t="s">
        <v>94</v>
      </c>
      <c r="M8833" s="1" t="str">
        <f>"湖南省 岳阳市 平江县 汉昌街道"</f>
        <v>湖南省 岳阳市 平江县 汉昌街道</v>
      </c>
      <c r="N8833" s="1" t="str">
        <f t="shared" ref="N8833:N8843" si="2492">"凡华云仓-韵达-抖音"</f>
        <v>凡华云仓-韵达-抖音</v>
      </c>
      <c r="O8833" s="5">
        <v>320160187329903</v>
      </c>
      <c r="P8833" s="6">
        <v>0.33</v>
      </c>
      <c r="Q8833" s="11">
        <v>2.2999999999999998</v>
      </c>
      <c r="R8833" s="11"/>
      <c r="S8833" s="11"/>
      <c r="T8833" s="11"/>
      <c r="U8833" s="11">
        <f t="shared" si="2472"/>
        <v>2.2999999999999998</v>
      </c>
      <c r="W8833">
        <v>2.5</v>
      </c>
      <c r="X8833" s="1" t="s">
        <v>94</v>
      </c>
    </row>
    <row r="8834" spans="1:24" x14ac:dyDescent="0.25">
      <c r="A8834" s="1" t="str">
        <f t="shared" si="2473"/>
        <v>卡卡杜-凤凰仓</v>
      </c>
      <c r="B8834" s="1" t="str">
        <f>"CK2024100718242"</f>
        <v>CK2024100718242</v>
      </c>
      <c r="C8834" s="1" t="str">
        <f>"DD2024100748508"</f>
        <v>DD2024100748508</v>
      </c>
      <c r="D8834" s="1" t="str">
        <f>"CK2024100748128"</f>
        <v>CK2024100748128</v>
      </c>
      <c r="E8834" s="1" t="str">
        <f>"6917913137622907941"</f>
        <v>6917913137622907941</v>
      </c>
      <c r="F8834" s="1" t="str">
        <f t="shared" si="2474"/>
        <v>花都四部-凤凰仓</v>
      </c>
      <c r="G8834" s="1" t="str">
        <f t="shared" si="2490"/>
        <v>卡卡杜个人护理店（抖店）</v>
      </c>
      <c r="H8834" s="1" t="str">
        <f t="shared" si="2475"/>
        <v>正常订单</v>
      </c>
      <c r="I8834" s="1" t="str">
        <f t="shared" si="2476"/>
        <v>已发货</v>
      </c>
      <c r="J8834" s="1" t="str">
        <f t="shared" si="2491"/>
        <v>2</v>
      </c>
      <c r="K8834" s="1">
        <v>1</v>
      </c>
      <c r="L8834" s="1" t="s">
        <v>20</v>
      </c>
      <c r="M8834" s="1" t="str">
        <f>"浙江省 宁波市 鄞州区 "</f>
        <v xml:space="preserve">浙江省 宁波市 鄞州区 </v>
      </c>
      <c r="N8834" s="1" t="str">
        <f t="shared" si="2492"/>
        <v>凡华云仓-韵达-抖音</v>
      </c>
      <c r="O8834" s="5">
        <v>320160187329898</v>
      </c>
      <c r="P8834" s="6">
        <v>0.33</v>
      </c>
      <c r="Q8834" s="11">
        <v>2.2999999999999998</v>
      </c>
      <c r="R8834" s="11"/>
      <c r="S8834" s="11"/>
      <c r="T8834" s="11"/>
      <c r="U8834" s="11">
        <f t="shared" si="2472"/>
        <v>2.2999999999999998</v>
      </c>
      <c r="W8834">
        <v>2.5</v>
      </c>
      <c r="X8834" s="1" t="s">
        <v>20</v>
      </c>
    </row>
    <row r="8835" spans="1:24" x14ac:dyDescent="0.25">
      <c r="A8835" s="1" t="str">
        <f t="shared" si="2473"/>
        <v>卡卡杜-凤凰仓</v>
      </c>
      <c r="B8835" s="1" t="str">
        <f>"CK2024100718243"</f>
        <v>CK2024100718243</v>
      </c>
      <c r="C8835" s="1" t="str">
        <f>"DD2024100748510"</f>
        <v>DD2024100748510</v>
      </c>
      <c r="D8835" s="1" t="str">
        <f>"CK2024100748127"</f>
        <v>CK2024100748127</v>
      </c>
      <c r="E8835" s="1" t="str">
        <f>"6917910720409075345"</f>
        <v>6917910720409075345</v>
      </c>
      <c r="F8835" s="1" t="str">
        <f t="shared" si="2474"/>
        <v>花都四部-凤凰仓</v>
      </c>
      <c r="G8835" s="1" t="str">
        <f t="shared" si="2490"/>
        <v>卡卡杜个人护理店（抖店）</v>
      </c>
      <c r="H8835" s="1" t="str">
        <f t="shared" si="2475"/>
        <v>正常订单</v>
      </c>
      <c r="I8835" s="1" t="str">
        <f t="shared" si="2476"/>
        <v>已发货</v>
      </c>
      <c r="J8835" s="1" t="str">
        <f t="shared" si="2491"/>
        <v>2</v>
      </c>
      <c r="K8835" s="1">
        <v>2</v>
      </c>
      <c r="L8835" s="1" t="s">
        <v>96</v>
      </c>
      <c r="M8835" s="1" t="str">
        <f>"广西壮族自治区 南宁市 兴宁区 兴东街道"</f>
        <v>广西壮族自治区 南宁市 兴宁区 兴东街道</v>
      </c>
      <c r="N8835" s="1" t="str">
        <f t="shared" si="2492"/>
        <v>凡华云仓-韵达-抖音</v>
      </c>
      <c r="O8835" s="5">
        <v>320160187329795</v>
      </c>
      <c r="P8835" s="6">
        <v>0.28000000000000003</v>
      </c>
      <c r="Q8835" s="11">
        <v>2</v>
      </c>
      <c r="R8835" s="11"/>
      <c r="S8835" s="11"/>
      <c r="T8835" s="11"/>
      <c r="U8835" s="11">
        <f t="shared" ref="U8835:U8898" si="2493">T8835+S8835+R8835+Q8835</f>
        <v>2</v>
      </c>
      <c r="W8835">
        <v>2.2000000000000002</v>
      </c>
      <c r="X8835" s="1" t="s">
        <v>96</v>
      </c>
    </row>
    <row r="8836" spans="1:24" x14ac:dyDescent="0.25">
      <c r="A8836" s="1" t="str">
        <f t="shared" si="2473"/>
        <v>卡卡杜-凤凰仓</v>
      </c>
      <c r="B8836" s="1" t="str">
        <f>"CK2024100718244"</f>
        <v>CK2024100718244</v>
      </c>
      <c r="C8836" s="1" t="str">
        <f>"DD2024100748513"</f>
        <v>DD2024100748513</v>
      </c>
      <c r="D8836" s="1" t="str">
        <f>"CK2024100748126"</f>
        <v>CK2024100748126</v>
      </c>
      <c r="E8836" s="1" t="str">
        <f>"6917913047347396317"</f>
        <v>6917913047347396317</v>
      </c>
      <c r="F8836" s="1" t="str">
        <f t="shared" si="2474"/>
        <v>花都四部-凤凰仓</v>
      </c>
      <c r="G8836" s="1" t="str">
        <f t="shared" si="2490"/>
        <v>卡卡杜个人护理店（抖店）</v>
      </c>
      <c r="H8836" s="1" t="str">
        <f t="shared" si="2475"/>
        <v>正常订单</v>
      </c>
      <c r="I8836" s="1" t="str">
        <f t="shared" si="2476"/>
        <v>已发货</v>
      </c>
      <c r="J8836" s="1" t="str">
        <f t="shared" si="2491"/>
        <v>2</v>
      </c>
      <c r="K8836" s="1">
        <v>1</v>
      </c>
      <c r="L8836" s="1" t="s">
        <v>20</v>
      </c>
      <c r="M8836" s="1" t="str">
        <f>"浙江省 宁波市 鄞州区 塘溪镇"</f>
        <v>浙江省 宁波市 鄞州区 塘溪镇</v>
      </c>
      <c r="N8836" s="1" t="str">
        <f t="shared" si="2492"/>
        <v>凡华云仓-韵达-抖音</v>
      </c>
      <c r="O8836" s="5">
        <v>320160187329694</v>
      </c>
      <c r="P8836" s="6">
        <v>0.33</v>
      </c>
      <c r="Q8836" s="11">
        <v>2.2999999999999998</v>
      </c>
      <c r="R8836" s="11"/>
      <c r="S8836" s="11"/>
      <c r="T8836" s="11"/>
      <c r="U8836" s="11">
        <f t="shared" si="2493"/>
        <v>2.2999999999999998</v>
      </c>
      <c r="W8836">
        <v>2.5</v>
      </c>
      <c r="X8836" s="1" t="s">
        <v>20</v>
      </c>
    </row>
    <row r="8837" spans="1:24" x14ac:dyDescent="0.25">
      <c r="A8837" s="1" t="str">
        <f t="shared" ref="A8837:A8900" si="2494">"卡卡杜-凤凰仓"</f>
        <v>卡卡杜-凤凰仓</v>
      </c>
      <c r="B8837" s="1" t="str">
        <f>"CK2024100718245"</f>
        <v>CK2024100718245</v>
      </c>
      <c r="C8837" s="1" t="str">
        <f>"DD2024100748511"</f>
        <v>DD2024100748511</v>
      </c>
      <c r="D8837" s="1" t="str">
        <f>"CK2024100748125"</f>
        <v>CK2024100748125</v>
      </c>
      <c r="E8837" s="1" t="str">
        <f>"6917914658710519007"</f>
        <v>6917914658710519007</v>
      </c>
      <c r="F8837" s="1" t="str">
        <f t="shared" ref="F8837:F8900" si="2495">"花都四部-凤凰仓"</f>
        <v>花都四部-凤凰仓</v>
      </c>
      <c r="G8837" s="1" t="str">
        <f t="shared" si="2490"/>
        <v>卡卡杜个人护理店（抖店）</v>
      </c>
      <c r="H8837" s="1" t="str">
        <f t="shared" ref="H8837:H8900" si="2496">"正常订单"</f>
        <v>正常订单</v>
      </c>
      <c r="I8837" s="1" t="str">
        <f t="shared" ref="I8837:I8900" si="2497">"已发货"</f>
        <v>已发货</v>
      </c>
      <c r="J8837" s="1" t="str">
        <f t="shared" si="2491"/>
        <v>2</v>
      </c>
      <c r="K8837" s="1">
        <v>1</v>
      </c>
      <c r="L8837" s="1" t="s">
        <v>60</v>
      </c>
      <c r="M8837" s="1" t="str">
        <f>"云南省 普洱市 江城哈尼族彝族自治县 勐烈镇"</f>
        <v>云南省 普洱市 江城哈尼族彝族自治县 勐烈镇</v>
      </c>
      <c r="N8837" s="1" t="str">
        <f t="shared" si="2492"/>
        <v>凡华云仓-韵达-抖音</v>
      </c>
      <c r="O8837" s="5">
        <v>320160170918939</v>
      </c>
      <c r="P8837" s="6">
        <v>0.33</v>
      </c>
      <c r="Q8837" s="11">
        <v>2.2999999999999998</v>
      </c>
      <c r="R8837" s="11"/>
      <c r="S8837" s="11"/>
      <c r="T8837" s="11"/>
      <c r="U8837" s="11">
        <f t="shared" si="2493"/>
        <v>2.2999999999999998</v>
      </c>
      <c r="W8837">
        <v>2.5</v>
      </c>
      <c r="X8837" s="1" t="s">
        <v>60</v>
      </c>
    </row>
    <row r="8838" spans="1:24" x14ac:dyDescent="0.25">
      <c r="A8838" s="1" t="str">
        <f t="shared" si="2494"/>
        <v>卡卡杜-凤凰仓</v>
      </c>
      <c r="B8838" s="1" t="str">
        <f>"CK2024100718246"</f>
        <v>CK2024100718246</v>
      </c>
      <c r="C8838" s="1" t="str">
        <f>"DD2024100748512"</f>
        <v>DD2024100748512</v>
      </c>
      <c r="D8838" s="1" t="str">
        <f>"CK2024100748124"</f>
        <v>CK2024100748124</v>
      </c>
      <c r="E8838" s="1" t="str">
        <f>"6917912744034008619"</f>
        <v>6917912744034008619</v>
      </c>
      <c r="F8838" s="1" t="str">
        <f t="shared" si="2495"/>
        <v>花都四部-凤凰仓</v>
      </c>
      <c r="G8838" s="1" t="str">
        <f t="shared" si="2490"/>
        <v>卡卡杜个人护理店（抖店）</v>
      </c>
      <c r="H8838" s="1" t="str">
        <f t="shared" si="2496"/>
        <v>正常订单</v>
      </c>
      <c r="I8838" s="1" t="str">
        <f t="shared" si="2497"/>
        <v>已发货</v>
      </c>
      <c r="J8838" s="1" t="str">
        <f t="shared" si="2491"/>
        <v>2</v>
      </c>
      <c r="K8838" s="1">
        <v>1</v>
      </c>
      <c r="L8838" s="1" t="s">
        <v>18</v>
      </c>
      <c r="M8838" s="1" t="str">
        <f>"广东省 珠海市 金湾区 三灶镇"</f>
        <v>广东省 珠海市 金湾区 三灶镇</v>
      </c>
      <c r="N8838" s="1" t="str">
        <f t="shared" si="2492"/>
        <v>凡华云仓-韵达-抖音</v>
      </c>
      <c r="O8838" s="5">
        <v>320160170918834</v>
      </c>
      <c r="P8838" s="6">
        <v>0.33</v>
      </c>
      <c r="Q8838" s="11">
        <v>2.2999999999999998</v>
      </c>
      <c r="R8838" s="11"/>
      <c r="S8838" s="11"/>
      <c r="T8838" s="11"/>
      <c r="U8838" s="11">
        <f t="shared" si="2493"/>
        <v>2.2999999999999998</v>
      </c>
      <c r="W8838">
        <v>2.5</v>
      </c>
      <c r="X8838" s="1" t="s">
        <v>18</v>
      </c>
    </row>
    <row r="8839" spans="1:24" x14ac:dyDescent="0.25">
      <c r="A8839" s="1" t="str">
        <f t="shared" si="2494"/>
        <v>卡卡杜-凤凰仓</v>
      </c>
      <c r="B8839" s="1" t="str">
        <f>"CK2024100718247"</f>
        <v>CK2024100718247</v>
      </c>
      <c r="C8839" s="1" t="str">
        <f>"DD2024100748515"</f>
        <v>DD2024100748515</v>
      </c>
      <c r="D8839" s="1" t="str">
        <f>"CK2024100748123"</f>
        <v>CK2024100748123</v>
      </c>
      <c r="E8839" s="1" t="str">
        <f>"6917910543848996524"</f>
        <v>6917910543848996524</v>
      </c>
      <c r="F8839" s="1" t="str">
        <f t="shared" si="2495"/>
        <v>花都四部-凤凰仓</v>
      </c>
      <c r="G8839" s="1" t="str">
        <f t="shared" si="2490"/>
        <v>卡卡杜个人护理店（抖店）</v>
      </c>
      <c r="H8839" s="1" t="str">
        <f t="shared" si="2496"/>
        <v>正常订单</v>
      </c>
      <c r="I8839" s="1" t="str">
        <f t="shared" si="2497"/>
        <v>已发货</v>
      </c>
      <c r="J8839" s="1" t="str">
        <f t="shared" si="2491"/>
        <v>2</v>
      </c>
      <c r="K8839" s="1">
        <v>1</v>
      </c>
      <c r="L8839" s="1" t="s">
        <v>24</v>
      </c>
      <c r="M8839" s="1" t="str">
        <f>"福建省 福州市 闽侯县 南屿镇"</f>
        <v>福建省 福州市 闽侯县 南屿镇</v>
      </c>
      <c r="N8839" s="1" t="str">
        <f t="shared" si="2492"/>
        <v>凡华云仓-韵达-抖音</v>
      </c>
      <c r="O8839" s="5">
        <v>320160170918731</v>
      </c>
      <c r="P8839" s="6">
        <v>0.33</v>
      </c>
      <c r="Q8839" s="11">
        <v>2.2999999999999998</v>
      </c>
      <c r="R8839" s="11"/>
      <c r="S8839" s="11"/>
      <c r="T8839" s="11"/>
      <c r="U8839" s="11">
        <f t="shared" si="2493"/>
        <v>2.2999999999999998</v>
      </c>
      <c r="W8839">
        <v>2.5</v>
      </c>
      <c r="X8839" s="1" t="s">
        <v>24</v>
      </c>
    </row>
    <row r="8840" spans="1:24" x14ac:dyDescent="0.25">
      <c r="A8840" s="1" t="str">
        <f t="shared" si="2494"/>
        <v>卡卡杜-凤凰仓</v>
      </c>
      <c r="B8840" s="1" t="str">
        <f>"CK2024100718248"</f>
        <v>CK2024100718248</v>
      </c>
      <c r="C8840" s="1" t="str">
        <f>"DD2024100748514"</f>
        <v>DD2024100748514</v>
      </c>
      <c r="D8840" s="1" t="str">
        <f>"CK2024100748122"</f>
        <v>CK2024100748122</v>
      </c>
      <c r="E8840" s="1" t="str">
        <f>"6917912860221341582"</f>
        <v>6917912860221341582</v>
      </c>
      <c r="F8840" s="1" t="str">
        <f t="shared" si="2495"/>
        <v>花都四部-凤凰仓</v>
      </c>
      <c r="G8840" s="1" t="str">
        <f t="shared" si="2490"/>
        <v>卡卡杜个人护理店（抖店）</v>
      </c>
      <c r="H8840" s="1" t="str">
        <f t="shared" si="2496"/>
        <v>正常订单</v>
      </c>
      <c r="I8840" s="1" t="str">
        <f t="shared" si="2497"/>
        <v>已发货</v>
      </c>
      <c r="J8840" s="1" t="str">
        <f t="shared" si="2491"/>
        <v>2</v>
      </c>
      <c r="K8840" s="1">
        <v>1</v>
      </c>
      <c r="L8840" s="1" t="s">
        <v>80</v>
      </c>
      <c r="M8840" s="1" t="str">
        <f>"河南省 南阳市 邓州市 小杨营镇"</f>
        <v>河南省 南阳市 邓州市 小杨营镇</v>
      </c>
      <c r="N8840" s="1" t="str">
        <f t="shared" si="2492"/>
        <v>凡华云仓-韵达-抖音</v>
      </c>
      <c r="O8840" s="5">
        <v>320160170918630</v>
      </c>
      <c r="P8840" s="6">
        <v>0.33</v>
      </c>
      <c r="Q8840" s="11">
        <v>2.2999999999999998</v>
      </c>
      <c r="R8840" s="11"/>
      <c r="S8840" s="11"/>
      <c r="T8840" s="11"/>
      <c r="U8840" s="11">
        <f t="shared" si="2493"/>
        <v>2.2999999999999998</v>
      </c>
      <c r="W8840">
        <v>2.5</v>
      </c>
      <c r="X8840" s="1" t="s">
        <v>80</v>
      </c>
    </row>
    <row r="8841" spans="1:24" x14ac:dyDescent="0.25">
      <c r="A8841" s="1" t="str">
        <f t="shared" si="2494"/>
        <v>卡卡杜-凤凰仓</v>
      </c>
      <c r="B8841" s="1" t="str">
        <f>"CK2024100718249"</f>
        <v>CK2024100718249</v>
      </c>
      <c r="C8841" s="1" t="str">
        <f>"DD2024100748516"</f>
        <v>DD2024100748516</v>
      </c>
      <c r="D8841" s="1" t="str">
        <f>"CK2024100748121"</f>
        <v>CK2024100748121</v>
      </c>
      <c r="E8841" s="1" t="str">
        <f>"6917910426226556561"</f>
        <v>6917910426226556561</v>
      </c>
      <c r="F8841" s="1" t="str">
        <f t="shared" si="2495"/>
        <v>花都四部-凤凰仓</v>
      </c>
      <c r="G8841" s="1" t="str">
        <f t="shared" si="2490"/>
        <v>卡卡杜个人护理店（抖店）</v>
      </c>
      <c r="H8841" s="1" t="str">
        <f t="shared" si="2496"/>
        <v>正常订单</v>
      </c>
      <c r="I8841" s="1" t="str">
        <f t="shared" si="2497"/>
        <v>已发货</v>
      </c>
      <c r="J8841" s="1" t="str">
        <f t="shared" si="2491"/>
        <v>2</v>
      </c>
      <c r="K8841" s="1">
        <v>1</v>
      </c>
      <c r="L8841" s="1" t="s">
        <v>20</v>
      </c>
      <c r="M8841" s="1" t="str">
        <f>"浙江省 绍兴市 柯桥区 福全街道"</f>
        <v>浙江省 绍兴市 柯桥区 福全街道</v>
      </c>
      <c r="N8841" s="1" t="str">
        <f t="shared" si="2492"/>
        <v>凡华云仓-韵达-抖音</v>
      </c>
      <c r="O8841" s="5">
        <v>320160170918531</v>
      </c>
      <c r="P8841" s="6">
        <v>0.33</v>
      </c>
      <c r="Q8841" s="11">
        <v>2.2999999999999998</v>
      </c>
      <c r="R8841" s="11"/>
      <c r="S8841" s="11"/>
      <c r="T8841" s="11"/>
      <c r="U8841" s="11">
        <f t="shared" si="2493"/>
        <v>2.2999999999999998</v>
      </c>
      <c r="W8841">
        <v>2.5</v>
      </c>
      <c r="X8841" s="1" t="s">
        <v>20</v>
      </c>
    </row>
    <row r="8842" spans="1:24" x14ac:dyDescent="0.25">
      <c r="A8842" s="1" t="str">
        <f t="shared" si="2494"/>
        <v>卡卡杜-凤凰仓</v>
      </c>
      <c r="B8842" s="1" t="str">
        <f>"CK2024100718250"</f>
        <v>CK2024100718250</v>
      </c>
      <c r="C8842" s="1" t="str">
        <f>"DD2024100748517"</f>
        <v>DD2024100748517</v>
      </c>
      <c r="D8842" s="1" t="str">
        <f>"CK2024100748120"</f>
        <v>CK2024100748120</v>
      </c>
      <c r="E8842" s="1" t="str">
        <f>"6917914828802326294"</f>
        <v>6917914828802326294</v>
      </c>
      <c r="F8842" s="1" t="str">
        <f t="shared" si="2495"/>
        <v>花都四部-凤凰仓</v>
      </c>
      <c r="G8842" s="1" t="str">
        <f t="shared" si="2490"/>
        <v>卡卡杜个人护理店（抖店）</v>
      </c>
      <c r="H8842" s="1" t="str">
        <f t="shared" si="2496"/>
        <v>正常订单</v>
      </c>
      <c r="I8842" s="1" t="str">
        <f t="shared" si="2497"/>
        <v>已发货</v>
      </c>
      <c r="J8842" s="1" t="str">
        <f t="shared" si="2491"/>
        <v>2</v>
      </c>
      <c r="K8842" s="1">
        <v>1</v>
      </c>
      <c r="L8842" s="1" t="s">
        <v>20</v>
      </c>
      <c r="M8842" s="1" t="str">
        <f>"浙江省 温州市 鹿城区 "</f>
        <v xml:space="preserve">浙江省 温州市 鹿城区 </v>
      </c>
      <c r="N8842" s="1" t="str">
        <f t="shared" si="2492"/>
        <v>凡华云仓-韵达-抖音</v>
      </c>
      <c r="O8842" s="5">
        <v>320160170918434</v>
      </c>
      <c r="P8842" s="6">
        <v>0.33</v>
      </c>
      <c r="Q8842" s="11">
        <v>2.2999999999999998</v>
      </c>
      <c r="R8842" s="11"/>
      <c r="S8842" s="11"/>
      <c r="T8842" s="11"/>
      <c r="U8842" s="11">
        <f t="shared" si="2493"/>
        <v>2.2999999999999998</v>
      </c>
      <c r="W8842">
        <v>2.5</v>
      </c>
      <c r="X8842" s="1" t="s">
        <v>20</v>
      </c>
    </row>
    <row r="8843" spans="1:24" x14ac:dyDescent="0.25">
      <c r="A8843" s="1" t="str">
        <f t="shared" si="2494"/>
        <v>卡卡杜-凤凰仓</v>
      </c>
      <c r="B8843" s="1" t="str">
        <f>"CK2024100718251"</f>
        <v>CK2024100718251</v>
      </c>
      <c r="C8843" s="1" t="str">
        <f>"DD2024100748518"</f>
        <v>DD2024100748518</v>
      </c>
      <c r="D8843" s="1" t="str">
        <f>"CK2024100748119"</f>
        <v>CK2024100748119</v>
      </c>
      <c r="E8843" s="1" t="str">
        <f>"6917914836502674469"</f>
        <v>6917914836502674469</v>
      </c>
      <c r="F8843" s="1" t="str">
        <f t="shared" si="2495"/>
        <v>花都四部-凤凰仓</v>
      </c>
      <c r="G8843" s="1" t="str">
        <f t="shared" si="2490"/>
        <v>卡卡杜个人护理店（抖店）</v>
      </c>
      <c r="H8843" s="1" t="str">
        <f t="shared" si="2496"/>
        <v>正常订单</v>
      </c>
      <c r="I8843" s="1" t="str">
        <f t="shared" si="2497"/>
        <v>已发货</v>
      </c>
      <c r="J8843" s="1" t="str">
        <f t="shared" si="2491"/>
        <v>2</v>
      </c>
      <c r="K8843" s="1">
        <v>1</v>
      </c>
      <c r="L8843" s="1" t="s">
        <v>27</v>
      </c>
      <c r="M8843" s="1" t="str">
        <f>"贵州省 铜仁市 江口县 "</f>
        <v xml:space="preserve">贵州省 铜仁市 江口县 </v>
      </c>
      <c r="N8843" s="1" t="str">
        <f t="shared" si="2492"/>
        <v>凡华云仓-韵达-抖音</v>
      </c>
      <c r="O8843" s="5">
        <v>320160170918339</v>
      </c>
      <c r="P8843" s="6">
        <v>0.33</v>
      </c>
      <c r="Q8843" s="11">
        <v>2.2999999999999998</v>
      </c>
      <c r="R8843" s="11"/>
      <c r="S8843" s="11"/>
      <c r="T8843" s="11"/>
      <c r="U8843" s="11">
        <f t="shared" si="2493"/>
        <v>2.2999999999999998</v>
      </c>
      <c r="W8843">
        <v>2.5</v>
      </c>
      <c r="X8843" s="1" t="s">
        <v>27</v>
      </c>
    </row>
    <row r="8844" spans="1:24" x14ac:dyDescent="0.25">
      <c r="A8844" s="1" t="str">
        <f t="shared" si="2494"/>
        <v>卡卡杜-凤凰仓</v>
      </c>
      <c r="B8844" s="1" t="str">
        <f>"CK2024100714906"</f>
        <v>CK2024100714906</v>
      </c>
      <c r="C8844" s="1" t="str">
        <f>"DD2024100736849"</f>
        <v>DD2024100736849</v>
      </c>
      <c r="D8844" s="1" t="str">
        <f>"CK2024100738018"</f>
        <v>CK2024100738018</v>
      </c>
      <c r="E8844" s="1" t="str">
        <f>"3723145287919604736"</f>
        <v>3723145287919604736</v>
      </c>
      <c r="F8844" s="1" t="str">
        <f t="shared" si="2495"/>
        <v>花都四部-凤凰仓</v>
      </c>
      <c r="G8844" s="1" t="str">
        <f>"卡卡杜企业店（视频号）"</f>
        <v>卡卡杜企业店（视频号）</v>
      </c>
      <c r="H8844" s="1" t="str">
        <f t="shared" si="2496"/>
        <v>正常订单</v>
      </c>
      <c r="I8844" s="1" t="str">
        <f t="shared" si="2497"/>
        <v>已发货</v>
      </c>
      <c r="J8844" s="1" t="str">
        <f t="shared" si="2491"/>
        <v>2</v>
      </c>
      <c r="K8844" s="1">
        <v>2</v>
      </c>
      <c r="L8844" s="1" t="s">
        <v>18</v>
      </c>
      <c r="M8844" s="1" t="str">
        <f>"广东省 广州市 荔湾区 "</f>
        <v xml:space="preserve">广东省 广州市 荔湾区 </v>
      </c>
      <c r="N8844" s="1" t="str">
        <f>"凡华云仓-韵达-微信视频号"</f>
        <v>凡华云仓-韵达-微信视频号</v>
      </c>
      <c r="O8844" s="5">
        <v>315012207434026</v>
      </c>
      <c r="P8844" s="6">
        <v>0.28000000000000003</v>
      </c>
      <c r="Q8844" s="11">
        <v>2</v>
      </c>
      <c r="R8844" s="11"/>
      <c r="S8844" s="11"/>
      <c r="T8844" s="11"/>
      <c r="U8844" s="11">
        <f t="shared" si="2493"/>
        <v>2</v>
      </c>
      <c r="W8844">
        <v>2.2000000000000002</v>
      </c>
      <c r="X8844" s="1" t="s">
        <v>18</v>
      </c>
    </row>
    <row r="8845" spans="1:24" x14ac:dyDescent="0.25">
      <c r="A8845" s="1" t="str">
        <f t="shared" si="2494"/>
        <v>卡卡杜-凤凰仓</v>
      </c>
      <c r="B8845" s="1" t="str">
        <f>"CK2024100714908"</f>
        <v>CK2024100714908</v>
      </c>
      <c r="C8845" s="1" t="str">
        <f>"DD2024100736851"</f>
        <v>DD2024100736851</v>
      </c>
      <c r="D8845" s="1" t="str">
        <f>"CK2024100738017"</f>
        <v>CK2024100738017</v>
      </c>
      <c r="E8845" s="1" t="str">
        <f>"3723141073074523136"</f>
        <v>3723141073074523136</v>
      </c>
      <c r="F8845" s="1" t="str">
        <f t="shared" si="2495"/>
        <v>花都四部-凤凰仓</v>
      </c>
      <c r="G8845" s="1" t="str">
        <f>"卡卡杜企业店（视频号）"</f>
        <v>卡卡杜企业店（视频号）</v>
      </c>
      <c r="H8845" s="1" t="str">
        <f t="shared" si="2496"/>
        <v>正常订单</v>
      </c>
      <c r="I8845" s="1" t="str">
        <f t="shared" si="2497"/>
        <v>已发货</v>
      </c>
      <c r="J8845" s="1" t="str">
        <f t="shared" si="2491"/>
        <v>2</v>
      </c>
      <c r="K8845" s="1">
        <v>2</v>
      </c>
      <c r="L8845" s="1" t="s">
        <v>74</v>
      </c>
      <c r="M8845" s="1" t="str">
        <f>"上海 上海市 青浦区 "</f>
        <v xml:space="preserve">上海 上海市 青浦区 </v>
      </c>
      <c r="N8845" s="1" t="str">
        <f>"凡华云仓-韵达-微信视频号"</f>
        <v>凡华云仓-韵达-微信视频号</v>
      </c>
      <c r="O8845" s="5">
        <v>315012207433596</v>
      </c>
      <c r="P8845" s="6">
        <v>0.28000000000000003</v>
      </c>
      <c r="Q8845" s="11">
        <v>2</v>
      </c>
      <c r="R8845" s="11"/>
      <c r="S8845" s="11"/>
      <c r="T8845" s="11"/>
      <c r="U8845" s="11">
        <f t="shared" si="2493"/>
        <v>2</v>
      </c>
      <c r="W8845">
        <v>2.2000000000000002</v>
      </c>
      <c r="X8845" s="1" t="s">
        <v>74</v>
      </c>
    </row>
    <row r="8846" spans="1:24" x14ac:dyDescent="0.25">
      <c r="A8846" s="1" t="str">
        <f t="shared" si="2494"/>
        <v>卡卡杜-凤凰仓</v>
      </c>
      <c r="B8846" s="1" t="str">
        <f>"CK2024100714909"</f>
        <v>CK2024100714909</v>
      </c>
      <c r="C8846" s="1" t="str">
        <f>"DD2024100736852"</f>
        <v>DD2024100736852</v>
      </c>
      <c r="D8846" s="1" t="str">
        <f>"CK2024100738016"</f>
        <v>CK2024100738016</v>
      </c>
      <c r="E8846" s="1" t="str">
        <f>"KKD20241007YP001"</f>
        <v>KKD20241007YP001</v>
      </c>
      <c r="F8846" s="1" t="str">
        <f t="shared" si="2495"/>
        <v>花都四部-凤凰仓</v>
      </c>
      <c r="G8846" s="1" t="str">
        <f>"卡卡杜全欣样品"</f>
        <v>卡卡杜全欣样品</v>
      </c>
      <c r="H8846" s="1" t="str">
        <f t="shared" si="2496"/>
        <v>正常订单</v>
      </c>
      <c r="I8846" s="1" t="str">
        <f t="shared" si="2497"/>
        <v>已发货</v>
      </c>
      <c r="J8846" s="1" t="str">
        <f>"18"</f>
        <v>18</v>
      </c>
      <c r="K8846" s="1">
        <v>4</v>
      </c>
      <c r="L8846" s="1" t="s">
        <v>20</v>
      </c>
      <c r="M8846" s="1" t="str">
        <f>"浙江省 杭州市 上城区 "</f>
        <v xml:space="preserve">浙江省 杭州市 上城区 </v>
      </c>
      <c r="N8846" s="1" t="str">
        <f>"凡华云仓-韵达-淘宝"</f>
        <v>凡华云仓-韵达-淘宝</v>
      </c>
      <c r="O8846" s="3">
        <v>434174443047083</v>
      </c>
      <c r="P8846" s="6">
        <v>2.66</v>
      </c>
      <c r="Q8846" s="11">
        <f>CEILING(P8846-0.5,0.1)*10*0.15+2.3</f>
        <v>5.6</v>
      </c>
      <c r="R8846" s="11"/>
      <c r="S8846" s="11"/>
      <c r="T8846" s="11"/>
      <c r="U8846" s="11">
        <f t="shared" si="2493"/>
        <v>5.6</v>
      </c>
      <c r="V8846" t="s">
        <v>15</v>
      </c>
      <c r="W8846">
        <v>5.6</v>
      </c>
      <c r="X8846" s="1" t="s">
        <v>20</v>
      </c>
    </row>
    <row r="8847" spans="1:24" x14ac:dyDescent="0.25">
      <c r="A8847" s="1" t="str">
        <f t="shared" si="2494"/>
        <v>卡卡杜-凤凰仓</v>
      </c>
      <c r="B8847" s="1" t="str">
        <f>"CK2024100714917"</f>
        <v>CK2024100714917</v>
      </c>
      <c r="C8847" s="1" t="str">
        <f>"DD2024100736900"</f>
        <v>DD2024100736900</v>
      </c>
      <c r="D8847" s="1" t="str">
        <f>"CK2024100738015"</f>
        <v>CK2024100738015</v>
      </c>
      <c r="E8847" s="1" t="str">
        <f>"6917906392555880157"</f>
        <v>6917906392555880157</v>
      </c>
      <c r="F8847" s="1" t="str">
        <f t="shared" si="2495"/>
        <v>花都四部-凤凰仓</v>
      </c>
      <c r="G8847" s="1" t="str">
        <f t="shared" ref="G8847:G8910" si="2498">"卡卡杜个人护理店（抖店）"</f>
        <v>卡卡杜个人护理店（抖店）</v>
      </c>
      <c r="H8847" s="1" t="str">
        <f t="shared" si="2496"/>
        <v>正常订单</v>
      </c>
      <c r="I8847" s="1" t="str">
        <f t="shared" si="2497"/>
        <v>已发货</v>
      </c>
      <c r="J8847" s="1" t="str">
        <f t="shared" si="2491"/>
        <v>2</v>
      </c>
      <c r="K8847" s="1">
        <v>1</v>
      </c>
      <c r="L8847" s="1" t="s">
        <v>41</v>
      </c>
      <c r="M8847" s="1" t="str">
        <f>"湖北省 宜昌市 长阳土家族自治县 "</f>
        <v xml:space="preserve">湖北省 宜昌市 长阳土家族自治县 </v>
      </c>
      <c r="N8847" s="1" t="str">
        <f t="shared" ref="N8847:N8864" si="2499">"凡华云仓-韵达-抖音"</f>
        <v>凡华云仓-韵达-抖音</v>
      </c>
      <c r="O8847" s="5">
        <v>320159968222374</v>
      </c>
      <c r="P8847" s="6">
        <v>0.33</v>
      </c>
      <c r="Q8847" s="11">
        <v>2.2999999999999998</v>
      </c>
      <c r="R8847" s="11"/>
      <c r="S8847" s="11"/>
      <c r="T8847" s="11"/>
      <c r="U8847" s="11">
        <f t="shared" si="2493"/>
        <v>2.2999999999999998</v>
      </c>
      <c r="W8847">
        <v>2.5</v>
      </c>
      <c r="X8847" s="1" t="s">
        <v>41</v>
      </c>
    </row>
    <row r="8848" spans="1:24" x14ac:dyDescent="0.25">
      <c r="A8848" s="1" t="str">
        <f t="shared" si="2494"/>
        <v>卡卡杜-凤凰仓</v>
      </c>
      <c r="B8848" s="1" t="str">
        <f>"CK2024100714914"</f>
        <v>CK2024100714914</v>
      </c>
      <c r="C8848" s="1" t="str">
        <f>"DD2024100736885"</f>
        <v>DD2024100736885</v>
      </c>
      <c r="D8848" s="1" t="str">
        <f>"CK2024100738014"</f>
        <v>CK2024100738014</v>
      </c>
      <c r="E8848" s="1" t="str">
        <f>"6917906686734663367"</f>
        <v>6917906686734663367</v>
      </c>
      <c r="F8848" s="1" t="str">
        <f t="shared" si="2495"/>
        <v>花都四部-凤凰仓</v>
      </c>
      <c r="G8848" s="1" t="str">
        <f t="shared" si="2498"/>
        <v>卡卡杜个人护理店（抖店）</v>
      </c>
      <c r="H8848" s="1" t="str">
        <f t="shared" si="2496"/>
        <v>正常订单</v>
      </c>
      <c r="I8848" s="1" t="str">
        <f t="shared" si="2497"/>
        <v>已发货</v>
      </c>
      <c r="J8848" s="1" t="str">
        <f t="shared" si="2491"/>
        <v>2</v>
      </c>
      <c r="K8848" s="1">
        <v>1</v>
      </c>
      <c r="L8848" s="1" t="s">
        <v>94</v>
      </c>
      <c r="M8848" s="1" t="str">
        <f>"湖南省 长沙市 长沙县 黄兴镇"</f>
        <v>湖南省 长沙市 长沙县 黄兴镇</v>
      </c>
      <c r="N8848" s="1" t="str">
        <f t="shared" si="2499"/>
        <v>凡华云仓-韵达-抖音</v>
      </c>
      <c r="O8848" s="5">
        <v>320159968222281</v>
      </c>
      <c r="P8848" s="6">
        <v>0.33</v>
      </c>
      <c r="Q8848" s="11">
        <v>2.2999999999999998</v>
      </c>
      <c r="R8848" s="11"/>
      <c r="S8848" s="11"/>
      <c r="T8848" s="11"/>
      <c r="U8848" s="11">
        <f t="shared" si="2493"/>
        <v>2.2999999999999998</v>
      </c>
      <c r="W8848">
        <v>2.5</v>
      </c>
      <c r="X8848" s="1" t="s">
        <v>94</v>
      </c>
    </row>
    <row r="8849" spans="1:24" x14ac:dyDescent="0.25">
      <c r="A8849" s="1" t="str">
        <f t="shared" si="2494"/>
        <v>卡卡杜-凤凰仓</v>
      </c>
      <c r="B8849" s="1" t="str">
        <f>"CK2024100714904"</f>
        <v>CK2024100714904</v>
      </c>
      <c r="C8849" s="1" t="str">
        <f>"DD2024100736846"</f>
        <v>DD2024100736846</v>
      </c>
      <c r="D8849" s="1" t="str">
        <f>"CK2024100738013"</f>
        <v>CK2024100738013</v>
      </c>
      <c r="E8849" s="1" t="str">
        <f>"6917906782391140107"</f>
        <v>6917906782391140107</v>
      </c>
      <c r="F8849" s="1" t="str">
        <f t="shared" si="2495"/>
        <v>花都四部-凤凰仓</v>
      </c>
      <c r="G8849" s="1" t="str">
        <f t="shared" si="2498"/>
        <v>卡卡杜个人护理店（抖店）</v>
      </c>
      <c r="H8849" s="1" t="str">
        <f t="shared" si="2496"/>
        <v>正常订单</v>
      </c>
      <c r="I8849" s="1" t="str">
        <f t="shared" si="2497"/>
        <v>已发货</v>
      </c>
      <c r="J8849" s="1" t="str">
        <f t="shared" si="2491"/>
        <v>2</v>
      </c>
      <c r="K8849" s="1">
        <v>2</v>
      </c>
      <c r="L8849" s="1" t="s">
        <v>92</v>
      </c>
      <c r="M8849" s="1" t="str">
        <f>"辽宁省 大连市 中山区 人民路街道"</f>
        <v>辽宁省 大连市 中山区 人民路街道</v>
      </c>
      <c r="N8849" s="1" t="str">
        <f t="shared" si="2499"/>
        <v>凡华云仓-韵达-抖音</v>
      </c>
      <c r="O8849" s="5">
        <v>320159971292016</v>
      </c>
      <c r="P8849" s="6">
        <v>0.28000000000000003</v>
      </c>
      <c r="Q8849" s="11">
        <v>2</v>
      </c>
      <c r="R8849" s="11"/>
      <c r="S8849" s="11"/>
      <c r="T8849" s="11"/>
      <c r="U8849" s="11">
        <f t="shared" si="2493"/>
        <v>2</v>
      </c>
      <c r="W8849">
        <v>2.2000000000000002</v>
      </c>
      <c r="X8849" s="1" t="s">
        <v>92</v>
      </c>
    </row>
    <row r="8850" spans="1:24" x14ac:dyDescent="0.25">
      <c r="A8850" s="1" t="str">
        <f t="shared" si="2494"/>
        <v>卡卡杜-凤凰仓</v>
      </c>
      <c r="B8850" s="1" t="str">
        <f>"CK20241006178"</f>
        <v>CK20241006178</v>
      </c>
      <c r="C8850" s="1" t="str">
        <f>"DD2024100613510"</f>
        <v>DD2024100613510</v>
      </c>
      <c r="D8850" s="1" t="str">
        <f>"CK2024100620324"</f>
        <v>CK2024100620324</v>
      </c>
      <c r="E8850" s="1" t="str">
        <f>"6917866716251454794"</f>
        <v>6917866716251454794</v>
      </c>
      <c r="F8850" s="1" t="str">
        <f t="shared" si="2495"/>
        <v>花都四部-凤凰仓</v>
      </c>
      <c r="G8850" s="1" t="str">
        <f t="shared" si="2498"/>
        <v>卡卡杜个人护理店（抖店）</v>
      </c>
      <c r="H8850" s="1" t="str">
        <f t="shared" si="2496"/>
        <v>正常订单</v>
      </c>
      <c r="I8850" s="1" t="str">
        <f t="shared" si="2497"/>
        <v>已发货</v>
      </c>
      <c r="J8850" s="1" t="str">
        <f>"4"</f>
        <v>4</v>
      </c>
      <c r="K8850" s="1">
        <v>1</v>
      </c>
      <c r="L8850" s="1" t="s">
        <v>20</v>
      </c>
      <c r="M8850" s="1" t="str">
        <f>"浙江省 宁波市 鄞州区 东钱湖镇"</f>
        <v>浙江省 宁波市 鄞州区 东钱湖镇</v>
      </c>
      <c r="N8850" s="1" t="str">
        <f t="shared" si="2499"/>
        <v>凡华云仓-韵达-抖音</v>
      </c>
      <c r="O8850" s="5">
        <v>320157848746229</v>
      </c>
      <c r="P8850" s="6">
        <v>0.57999999999999996</v>
      </c>
      <c r="Q8850" s="11">
        <f>CEILING(P8850-0.5,0.1)*10*0.15+2.3</f>
        <v>2.4499999999999997</v>
      </c>
      <c r="R8850" s="11"/>
      <c r="S8850" s="11"/>
      <c r="T8850" s="11"/>
      <c r="U8850" s="11">
        <f t="shared" si="2493"/>
        <v>2.4499999999999997</v>
      </c>
      <c r="V8850" t="s">
        <v>15</v>
      </c>
      <c r="W8850">
        <v>2.4500000000000002</v>
      </c>
      <c r="X8850" s="1" t="s">
        <v>20</v>
      </c>
    </row>
    <row r="8851" spans="1:24" x14ac:dyDescent="0.25">
      <c r="A8851" s="1" t="str">
        <f t="shared" si="2494"/>
        <v>卡卡杜-凤凰仓</v>
      </c>
      <c r="B8851" s="1" t="str">
        <f>"CK2024100714919"</f>
        <v>CK2024100714919</v>
      </c>
      <c r="C8851" s="1" t="str">
        <f>"DD2024100736906"</f>
        <v>DD2024100736906</v>
      </c>
      <c r="D8851" s="1" t="str">
        <f>"CK2024100738011"</f>
        <v>CK2024100738011</v>
      </c>
      <c r="E8851" s="1" t="str">
        <f>"6917906379012668898"</f>
        <v>6917906379012668898</v>
      </c>
      <c r="F8851" s="1" t="str">
        <f t="shared" si="2495"/>
        <v>花都四部-凤凰仓</v>
      </c>
      <c r="G8851" s="1" t="str">
        <f t="shared" si="2498"/>
        <v>卡卡杜个人护理店（抖店）</v>
      </c>
      <c r="H8851" s="1" t="str">
        <f t="shared" si="2496"/>
        <v>正常订单</v>
      </c>
      <c r="I8851" s="1" t="str">
        <f t="shared" si="2497"/>
        <v>已发货</v>
      </c>
      <c r="J8851" s="1" t="str">
        <f t="shared" ref="J8851:J8867" si="2500">"2"</f>
        <v>2</v>
      </c>
      <c r="K8851" s="1">
        <v>1</v>
      </c>
      <c r="L8851" s="1" t="s">
        <v>13</v>
      </c>
      <c r="M8851" s="1" t="str">
        <f>"江苏省 盐城市 滨海县 东坎街道"</f>
        <v>江苏省 盐城市 滨海县 东坎街道</v>
      </c>
      <c r="N8851" s="1" t="str">
        <f t="shared" si="2499"/>
        <v>凡华云仓-韵达-抖音</v>
      </c>
      <c r="O8851" s="5">
        <v>320159971291893</v>
      </c>
      <c r="P8851" s="6">
        <v>0.33</v>
      </c>
      <c r="Q8851" s="11">
        <v>2.2999999999999998</v>
      </c>
      <c r="R8851" s="11"/>
      <c r="S8851" s="11"/>
      <c r="T8851" s="11"/>
      <c r="U8851" s="11">
        <f t="shared" si="2493"/>
        <v>2.2999999999999998</v>
      </c>
      <c r="W8851">
        <v>2.5</v>
      </c>
      <c r="X8851" s="1" t="s">
        <v>13</v>
      </c>
    </row>
    <row r="8852" spans="1:24" x14ac:dyDescent="0.25">
      <c r="A8852" s="1" t="str">
        <f t="shared" si="2494"/>
        <v>卡卡杜-凤凰仓</v>
      </c>
      <c r="B8852" s="1" t="str">
        <f>"CK2024100714915"</f>
        <v>CK2024100714915</v>
      </c>
      <c r="C8852" s="1" t="str">
        <f>"DD2024100736890"</f>
        <v>DD2024100736890</v>
      </c>
      <c r="D8852" s="1" t="str">
        <f>"CK2024100738010"</f>
        <v>CK2024100738010</v>
      </c>
      <c r="E8852" s="1" t="str">
        <f>"6917899428116463552"</f>
        <v>6917899428116463552</v>
      </c>
      <c r="F8852" s="1" t="str">
        <f t="shared" si="2495"/>
        <v>花都四部-凤凰仓</v>
      </c>
      <c r="G8852" s="1" t="str">
        <f t="shared" si="2498"/>
        <v>卡卡杜个人护理店（抖店）</v>
      </c>
      <c r="H8852" s="1" t="str">
        <f t="shared" si="2496"/>
        <v>正常订单</v>
      </c>
      <c r="I8852" s="1" t="str">
        <f t="shared" si="2497"/>
        <v>已发货</v>
      </c>
      <c r="J8852" s="1" t="str">
        <f t="shared" si="2500"/>
        <v>2</v>
      </c>
      <c r="K8852" s="1">
        <v>1</v>
      </c>
      <c r="L8852" s="1" t="s">
        <v>94</v>
      </c>
      <c r="M8852" s="1" t="str">
        <f>"湖南省 邵阳市 隆回县 花门街道"</f>
        <v>湖南省 邵阳市 隆回县 花门街道</v>
      </c>
      <c r="N8852" s="1" t="str">
        <f t="shared" si="2499"/>
        <v>凡华云仓-韵达-抖音</v>
      </c>
      <c r="O8852" s="5">
        <v>320159971291790</v>
      </c>
      <c r="P8852" s="6">
        <v>0.33</v>
      </c>
      <c r="Q8852" s="11">
        <v>2.2999999999999998</v>
      </c>
      <c r="R8852" s="11"/>
      <c r="S8852" s="11"/>
      <c r="T8852" s="11"/>
      <c r="U8852" s="11">
        <f t="shared" si="2493"/>
        <v>2.2999999999999998</v>
      </c>
      <c r="W8852">
        <v>2.5</v>
      </c>
      <c r="X8852" s="1" t="s">
        <v>94</v>
      </c>
    </row>
    <row r="8853" spans="1:24" x14ac:dyDescent="0.25">
      <c r="A8853" s="1" t="str">
        <f t="shared" si="2494"/>
        <v>卡卡杜-凤凰仓</v>
      </c>
      <c r="B8853" s="1" t="str">
        <f>"CK2024100714913"</f>
        <v>CK2024100714913</v>
      </c>
      <c r="C8853" s="1" t="str">
        <f>"DD2024100736880"</f>
        <v>DD2024100736880</v>
      </c>
      <c r="D8853" s="1" t="str">
        <f>"CK2024100738009"</f>
        <v>CK2024100738009</v>
      </c>
      <c r="E8853" s="1" t="str">
        <f>"6917913770497376050"</f>
        <v>6917913770497376050</v>
      </c>
      <c r="F8853" s="1" t="str">
        <f t="shared" si="2495"/>
        <v>花都四部-凤凰仓</v>
      </c>
      <c r="G8853" s="1" t="str">
        <f t="shared" si="2498"/>
        <v>卡卡杜个人护理店（抖店）</v>
      </c>
      <c r="H8853" s="1" t="str">
        <f t="shared" si="2496"/>
        <v>正常订单</v>
      </c>
      <c r="I8853" s="1" t="str">
        <f t="shared" si="2497"/>
        <v>已发货</v>
      </c>
      <c r="J8853" s="1" t="str">
        <f t="shared" si="2500"/>
        <v>2</v>
      </c>
      <c r="K8853" s="1">
        <v>1</v>
      </c>
      <c r="L8853" s="1" t="s">
        <v>52</v>
      </c>
      <c r="M8853" s="1" t="str">
        <f>"甘肃省 兰州市 榆中县 和平镇"</f>
        <v>甘肃省 兰州市 榆中县 和平镇</v>
      </c>
      <c r="N8853" s="1" t="str">
        <f t="shared" si="2499"/>
        <v>凡华云仓-韵达-抖音</v>
      </c>
      <c r="O8853" s="5">
        <v>320159971291689</v>
      </c>
      <c r="P8853" s="6">
        <v>0.33</v>
      </c>
      <c r="Q8853" s="11">
        <v>2.2999999999999998</v>
      </c>
      <c r="R8853" s="11"/>
      <c r="S8853" s="11"/>
      <c r="T8853" s="11"/>
      <c r="U8853" s="11">
        <f t="shared" si="2493"/>
        <v>2.2999999999999998</v>
      </c>
      <c r="W8853">
        <v>2.5</v>
      </c>
      <c r="X8853" s="1" t="s">
        <v>52</v>
      </c>
    </row>
    <row r="8854" spans="1:24" x14ac:dyDescent="0.25">
      <c r="A8854" s="1" t="str">
        <f t="shared" si="2494"/>
        <v>卡卡杜-凤凰仓</v>
      </c>
      <c r="B8854" s="1" t="str">
        <f>"CK2024100714936"</f>
        <v>CK2024100714936</v>
      </c>
      <c r="C8854" s="1" t="str">
        <f>"DD2024100736933"</f>
        <v>DD2024100736933</v>
      </c>
      <c r="D8854" s="1" t="str">
        <f>"CK2024100738008"</f>
        <v>CK2024100738008</v>
      </c>
      <c r="E8854" s="1" t="str">
        <f>"6917906413404060723"</f>
        <v>6917906413404060723</v>
      </c>
      <c r="F8854" s="1" t="str">
        <f t="shared" si="2495"/>
        <v>花都四部-凤凰仓</v>
      </c>
      <c r="G8854" s="1" t="str">
        <f t="shared" si="2498"/>
        <v>卡卡杜个人护理店（抖店）</v>
      </c>
      <c r="H8854" s="1" t="str">
        <f t="shared" si="2496"/>
        <v>正常订单</v>
      </c>
      <c r="I8854" s="1" t="str">
        <f t="shared" si="2497"/>
        <v>已发货</v>
      </c>
      <c r="J8854" s="1" t="str">
        <f t="shared" si="2500"/>
        <v>2</v>
      </c>
      <c r="K8854" s="1">
        <v>1</v>
      </c>
      <c r="L8854" s="1" t="s">
        <v>13</v>
      </c>
      <c r="M8854" s="1" t="str">
        <f>"江苏省 南通市 海安市 海安街道"</f>
        <v>江苏省 南通市 海安市 海安街道</v>
      </c>
      <c r="N8854" s="1" t="str">
        <f t="shared" si="2499"/>
        <v>凡华云仓-韵达-抖音</v>
      </c>
      <c r="O8854" s="5">
        <v>320159971291590</v>
      </c>
      <c r="P8854" s="6">
        <v>0.33</v>
      </c>
      <c r="Q8854" s="11">
        <v>2.2999999999999998</v>
      </c>
      <c r="R8854" s="11"/>
      <c r="S8854" s="11"/>
      <c r="T8854" s="11"/>
      <c r="U8854" s="11">
        <f t="shared" si="2493"/>
        <v>2.2999999999999998</v>
      </c>
      <c r="W8854">
        <v>2.5</v>
      </c>
      <c r="X8854" s="1" t="s">
        <v>13</v>
      </c>
    </row>
    <row r="8855" spans="1:24" x14ac:dyDescent="0.25">
      <c r="A8855" s="1" t="str">
        <f t="shared" si="2494"/>
        <v>卡卡杜-凤凰仓</v>
      </c>
      <c r="B8855" s="1" t="str">
        <f>"CK2024100714920"</f>
        <v>CK2024100714920</v>
      </c>
      <c r="C8855" s="1" t="str">
        <f>"DD2024100736907"</f>
        <v>DD2024100736907</v>
      </c>
      <c r="D8855" s="1" t="str">
        <f>"CK2024100738007"</f>
        <v>CK2024100738007</v>
      </c>
      <c r="E8855" s="1" t="str">
        <f>"6917905858969632581"</f>
        <v>6917905858969632581</v>
      </c>
      <c r="F8855" s="1" t="str">
        <f t="shared" si="2495"/>
        <v>花都四部-凤凰仓</v>
      </c>
      <c r="G8855" s="1" t="str">
        <f t="shared" si="2498"/>
        <v>卡卡杜个人护理店（抖店）</v>
      </c>
      <c r="H8855" s="1" t="str">
        <f t="shared" si="2496"/>
        <v>正常订单</v>
      </c>
      <c r="I8855" s="1" t="str">
        <f t="shared" si="2497"/>
        <v>已发货</v>
      </c>
      <c r="J8855" s="1" t="str">
        <f t="shared" si="2500"/>
        <v>2</v>
      </c>
      <c r="K8855" s="1">
        <v>1</v>
      </c>
      <c r="L8855" s="1" t="s">
        <v>60</v>
      </c>
      <c r="M8855" s="1" t="str">
        <f>"云南省 丽江市 华坪县 中心镇"</f>
        <v>云南省 丽江市 华坪县 中心镇</v>
      </c>
      <c r="N8855" s="1" t="str">
        <f t="shared" si="2499"/>
        <v>凡华云仓-韵达-抖音</v>
      </c>
      <c r="O8855" s="5">
        <v>320159971291493</v>
      </c>
      <c r="P8855" s="6">
        <v>0.33</v>
      </c>
      <c r="Q8855" s="11">
        <v>2.2999999999999998</v>
      </c>
      <c r="R8855" s="11"/>
      <c r="S8855" s="11"/>
      <c r="T8855" s="11"/>
      <c r="U8855" s="11">
        <f t="shared" si="2493"/>
        <v>2.2999999999999998</v>
      </c>
      <c r="W8855">
        <v>2.5</v>
      </c>
      <c r="X8855" s="1" t="s">
        <v>60</v>
      </c>
    </row>
    <row r="8856" spans="1:24" x14ac:dyDescent="0.25">
      <c r="A8856" s="1" t="str">
        <f t="shared" si="2494"/>
        <v>卡卡杜-凤凰仓</v>
      </c>
      <c r="B8856" s="1" t="str">
        <f>"CK2024100714921"</f>
        <v>CK2024100714921</v>
      </c>
      <c r="C8856" s="1" t="str">
        <f>"DD2024100736908"</f>
        <v>DD2024100736908</v>
      </c>
      <c r="D8856" s="1" t="str">
        <f>"CK2024100738006"</f>
        <v>CK2024100738006</v>
      </c>
      <c r="E8856" s="1" t="str">
        <f>"6917909083814199190"</f>
        <v>6917909083814199190</v>
      </c>
      <c r="F8856" s="1" t="str">
        <f t="shared" si="2495"/>
        <v>花都四部-凤凰仓</v>
      </c>
      <c r="G8856" s="1" t="str">
        <f t="shared" si="2498"/>
        <v>卡卡杜个人护理店（抖店）</v>
      </c>
      <c r="H8856" s="1" t="str">
        <f t="shared" si="2496"/>
        <v>正常订单</v>
      </c>
      <c r="I8856" s="1" t="str">
        <f t="shared" si="2497"/>
        <v>已发货</v>
      </c>
      <c r="J8856" s="1" t="str">
        <f t="shared" si="2500"/>
        <v>2</v>
      </c>
      <c r="K8856" s="1">
        <v>1</v>
      </c>
      <c r="L8856" s="1" t="s">
        <v>74</v>
      </c>
      <c r="M8856" s="1" t="str">
        <f>"上海 上海市 奉贤区 南桥镇"</f>
        <v>上海 上海市 奉贤区 南桥镇</v>
      </c>
      <c r="N8856" s="1" t="str">
        <f t="shared" si="2499"/>
        <v>凡华云仓-韵达-抖音</v>
      </c>
      <c r="O8856" s="5">
        <v>320159971291398</v>
      </c>
      <c r="P8856" s="6">
        <v>0.33</v>
      </c>
      <c r="Q8856" s="11">
        <v>2.2999999999999998</v>
      </c>
      <c r="R8856" s="11"/>
      <c r="S8856" s="11"/>
      <c r="T8856" s="11"/>
      <c r="U8856" s="11">
        <f t="shared" si="2493"/>
        <v>2.2999999999999998</v>
      </c>
      <c r="W8856">
        <v>2.5</v>
      </c>
      <c r="X8856" s="1" t="s">
        <v>74</v>
      </c>
    </row>
    <row r="8857" spans="1:24" x14ac:dyDescent="0.25">
      <c r="A8857" s="1" t="str">
        <f t="shared" si="2494"/>
        <v>卡卡杜-凤凰仓</v>
      </c>
      <c r="B8857" s="1" t="str">
        <f>"CK2024100714959"</f>
        <v>CK2024100714959</v>
      </c>
      <c r="C8857" s="1" t="str">
        <f>"DD2024100736975"</f>
        <v>DD2024100736975</v>
      </c>
      <c r="D8857" s="1" t="str">
        <f>"CK2024100738005"</f>
        <v>CK2024100738005</v>
      </c>
      <c r="E8857" s="1" t="str">
        <f>"6917909236948631513"</f>
        <v>6917909236948631513</v>
      </c>
      <c r="F8857" s="1" t="str">
        <f t="shared" si="2495"/>
        <v>花都四部-凤凰仓</v>
      </c>
      <c r="G8857" s="1" t="str">
        <f t="shared" si="2498"/>
        <v>卡卡杜个人护理店（抖店）</v>
      </c>
      <c r="H8857" s="1" t="str">
        <f t="shared" si="2496"/>
        <v>正常订单</v>
      </c>
      <c r="I8857" s="1" t="str">
        <f t="shared" si="2497"/>
        <v>已发货</v>
      </c>
      <c r="J8857" s="1" t="str">
        <f t="shared" si="2500"/>
        <v>2</v>
      </c>
      <c r="K8857" s="1">
        <v>1</v>
      </c>
      <c r="L8857" s="1" t="s">
        <v>20</v>
      </c>
      <c r="M8857" s="1" t="str">
        <f>"浙江省 杭州市 建德市 新安江街道"</f>
        <v>浙江省 杭州市 建德市 新安江街道</v>
      </c>
      <c r="N8857" s="1" t="str">
        <f t="shared" si="2499"/>
        <v>凡华云仓-韵达-抖音</v>
      </c>
      <c r="O8857" s="5">
        <v>320159971291205</v>
      </c>
      <c r="P8857" s="6">
        <v>0.33</v>
      </c>
      <c r="Q8857" s="11">
        <v>2.2999999999999998</v>
      </c>
      <c r="R8857" s="11"/>
      <c r="S8857" s="11"/>
      <c r="T8857" s="11"/>
      <c r="U8857" s="11">
        <f t="shared" si="2493"/>
        <v>2.2999999999999998</v>
      </c>
      <c r="W8857">
        <v>2.5</v>
      </c>
      <c r="X8857" s="1" t="s">
        <v>20</v>
      </c>
    </row>
    <row r="8858" spans="1:24" x14ac:dyDescent="0.25">
      <c r="A8858" s="1" t="str">
        <f t="shared" si="2494"/>
        <v>卡卡杜-凤凰仓</v>
      </c>
      <c r="B8858" s="1" t="str">
        <f>"CK2024100714966"</f>
        <v>CK2024100714966</v>
      </c>
      <c r="C8858" s="1" t="str">
        <f>"DD2024100736993"</f>
        <v>DD2024100736993</v>
      </c>
      <c r="D8858" s="1" t="str">
        <f>"CK2024100738004"</f>
        <v>CK2024100738004</v>
      </c>
      <c r="E8858" s="1" t="str">
        <f>"6917909174291234202"</f>
        <v>6917909174291234202</v>
      </c>
      <c r="F8858" s="1" t="str">
        <f t="shared" si="2495"/>
        <v>花都四部-凤凰仓</v>
      </c>
      <c r="G8858" s="1" t="str">
        <f t="shared" si="2498"/>
        <v>卡卡杜个人护理店（抖店）</v>
      </c>
      <c r="H8858" s="1" t="str">
        <f t="shared" si="2496"/>
        <v>正常订单</v>
      </c>
      <c r="I8858" s="1" t="str">
        <f t="shared" si="2497"/>
        <v>已发货</v>
      </c>
      <c r="J8858" s="1" t="str">
        <f t="shared" si="2500"/>
        <v>2</v>
      </c>
      <c r="K8858" s="1">
        <v>1</v>
      </c>
      <c r="L8858" s="1" t="s">
        <v>36</v>
      </c>
      <c r="M8858" s="1" t="str">
        <f>"安徽省 蚌埠市 怀远县 "</f>
        <v xml:space="preserve">安徽省 蚌埠市 怀远县 </v>
      </c>
      <c r="N8858" s="1" t="str">
        <f t="shared" si="2499"/>
        <v>凡华云仓-韵达-抖音</v>
      </c>
      <c r="O8858" s="5">
        <v>320159971291114</v>
      </c>
      <c r="P8858" s="6">
        <v>0.33</v>
      </c>
      <c r="Q8858" s="11">
        <v>2.2999999999999998</v>
      </c>
      <c r="R8858" s="11"/>
      <c r="S8858" s="11"/>
      <c r="T8858" s="11"/>
      <c r="U8858" s="11">
        <f t="shared" si="2493"/>
        <v>2.2999999999999998</v>
      </c>
      <c r="W8858">
        <v>2.5</v>
      </c>
      <c r="X8858" s="1" t="s">
        <v>36</v>
      </c>
    </row>
    <row r="8859" spans="1:24" x14ac:dyDescent="0.25">
      <c r="A8859" s="1" t="str">
        <f t="shared" si="2494"/>
        <v>卡卡杜-凤凰仓</v>
      </c>
      <c r="B8859" s="1" t="str">
        <f>"CK2024100714935"</f>
        <v>CK2024100714935</v>
      </c>
      <c r="C8859" s="1" t="str">
        <f>"DD2024100736929"</f>
        <v>DD2024100736929</v>
      </c>
      <c r="D8859" s="1" t="str">
        <f>"CK2024100738003"</f>
        <v>CK2024100738003</v>
      </c>
      <c r="E8859" s="1" t="str">
        <f>"6917906124811893865"</f>
        <v>6917906124811893865</v>
      </c>
      <c r="F8859" s="1" t="str">
        <f t="shared" si="2495"/>
        <v>花都四部-凤凰仓</v>
      </c>
      <c r="G8859" s="1" t="str">
        <f t="shared" si="2498"/>
        <v>卡卡杜个人护理店（抖店）</v>
      </c>
      <c r="H8859" s="1" t="str">
        <f t="shared" si="2496"/>
        <v>正常订单</v>
      </c>
      <c r="I8859" s="1" t="str">
        <f t="shared" si="2497"/>
        <v>已发货</v>
      </c>
      <c r="J8859" s="1" t="str">
        <f t="shared" si="2500"/>
        <v>2</v>
      </c>
      <c r="K8859" s="1">
        <v>1</v>
      </c>
      <c r="L8859" s="1" t="s">
        <v>218</v>
      </c>
      <c r="M8859" s="1" t="str">
        <f>"天津 天津市 津南区 双林街道"</f>
        <v>天津 天津市 津南区 双林街道</v>
      </c>
      <c r="N8859" s="1" t="str">
        <f t="shared" si="2499"/>
        <v>凡华云仓-韵达-抖音</v>
      </c>
      <c r="O8859" s="5">
        <v>320159953752542</v>
      </c>
      <c r="P8859" s="6">
        <v>0.33</v>
      </c>
      <c r="Q8859" s="11">
        <v>2.2999999999999998</v>
      </c>
      <c r="R8859" s="11"/>
      <c r="S8859" s="11"/>
      <c r="T8859" s="11"/>
      <c r="U8859" s="11">
        <f t="shared" si="2493"/>
        <v>2.2999999999999998</v>
      </c>
      <c r="W8859">
        <v>2.5</v>
      </c>
      <c r="X8859" s="1" t="s">
        <v>218</v>
      </c>
    </row>
    <row r="8860" spans="1:24" x14ac:dyDescent="0.25">
      <c r="A8860" s="1" t="str">
        <f t="shared" si="2494"/>
        <v>卡卡杜-凤凰仓</v>
      </c>
      <c r="B8860" s="1" t="str">
        <f>"CK2024100714924"</f>
        <v>CK2024100714924</v>
      </c>
      <c r="C8860" s="1" t="str">
        <f>"DD2024100736914"</f>
        <v>DD2024100736914</v>
      </c>
      <c r="D8860" s="1" t="str">
        <f>"CK2024100738002"</f>
        <v>CK2024100738002</v>
      </c>
      <c r="E8860" s="1" t="str">
        <f>"6917896933169134729"</f>
        <v>6917896933169134729</v>
      </c>
      <c r="F8860" s="1" t="str">
        <f t="shared" si="2495"/>
        <v>花都四部-凤凰仓</v>
      </c>
      <c r="G8860" s="1" t="str">
        <f t="shared" si="2498"/>
        <v>卡卡杜个人护理店（抖店）</v>
      </c>
      <c r="H8860" s="1" t="str">
        <f t="shared" si="2496"/>
        <v>正常订单</v>
      </c>
      <c r="I8860" s="1" t="str">
        <f t="shared" si="2497"/>
        <v>已发货</v>
      </c>
      <c r="J8860" s="1" t="str">
        <f t="shared" si="2500"/>
        <v>2</v>
      </c>
      <c r="K8860" s="1">
        <v>1</v>
      </c>
      <c r="L8860" s="1" t="s">
        <v>161</v>
      </c>
      <c r="M8860" s="1" t="str">
        <f>"四川省 成都市 金牛区 驷马桥街道"</f>
        <v>四川省 成都市 金牛区 驷马桥街道</v>
      </c>
      <c r="N8860" s="1" t="str">
        <f t="shared" si="2499"/>
        <v>凡华云仓-韵达-抖音</v>
      </c>
      <c r="O8860" s="5">
        <v>320159953752445</v>
      </c>
      <c r="P8860" s="6">
        <v>0.33</v>
      </c>
      <c r="Q8860" s="11">
        <v>2.2999999999999998</v>
      </c>
      <c r="R8860" s="11"/>
      <c r="S8860" s="11"/>
      <c r="T8860" s="11"/>
      <c r="U8860" s="11">
        <f t="shared" si="2493"/>
        <v>2.2999999999999998</v>
      </c>
      <c r="W8860">
        <v>2.5</v>
      </c>
      <c r="X8860" s="1" t="s">
        <v>161</v>
      </c>
    </row>
    <row r="8861" spans="1:24" x14ac:dyDescent="0.25">
      <c r="A8861" s="1" t="str">
        <f t="shared" si="2494"/>
        <v>卡卡杜-凤凰仓</v>
      </c>
      <c r="B8861" s="1" t="str">
        <f>"CK2024100714922"</f>
        <v>CK2024100714922</v>
      </c>
      <c r="C8861" s="1" t="str">
        <f>"DD2024100736910"</f>
        <v>DD2024100736910</v>
      </c>
      <c r="D8861" s="1" t="str">
        <f>"CK2024100738001"</f>
        <v>CK2024100738001</v>
      </c>
      <c r="E8861" s="1" t="str">
        <f>"6917901443459415090"</f>
        <v>6917901443459415090</v>
      </c>
      <c r="F8861" s="1" t="str">
        <f t="shared" si="2495"/>
        <v>花都四部-凤凰仓</v>
      </c>
      <c r="G8861" s="1" t="str">
        <f t="shared" si="2498"/>
        <v>卡卡杜个人护理店（抖店）</v>
      </c>
      <c r="H8861" s="1" t="str">
        <f t="shared" si="2496"/>
        <v>正常订单</v>
      </c>
      <c r="I8861" s="1" t="str">
        <f t="shared" si="2497"/>
        <v>已发货</v>
      </c>
      <c r="J8861" s="1" t="str">
        <f t="shared" si="2500"/>
        <v>2</v>
      </c>
      <c r="K8861" s="1">
        <v>1</v>
      </c>
      <c r="L8861" s="1" t="s">
        <v>74</v>
      </c>
      <c r="M8861" s="1" t="str">
        <f>"上海 上海市 浦东新区 康桥镇"</f>
        <v>上海 上海市 浦东新区 康桥镇</v>
      </c>
      <c r="N8861" s="1" t="str">
        <f t="shared" si="2499"/>
        <v>凡华云仓-韵达-抖音</v>
      </c>
      <c r="O8861" s="5">
        <v>320159953752350</v>
      </c>
      <c r="P8861" s="6">
        <v>0.33</v>
      </c>
      <c r="Q8861" s="11">
        <v>2.2999999999999998</v>
      </c>
      <c r="R8861" s="11"/>
      <c r="S8861" s="11"/>
      <c r="T8861" s="11"/>
      <c r="U8861" s="11">
        <f t="shared" si="2493"/>
        <v>2.2999999999999998</v>
      </c>
      <c r="W8861">
        <v>2.5</v>
      </c>
      <c r="X8861" s="1" t="s">
        <v>74</v>
      </c>
    </row>
    <row r="8862" spans="1:24" x14ac:dyDescent="0.25">
      <c r="A8862" s="1" t="str">
        <f t="shared" si="2494"/>
        <v>卡卡杜-凤凰仓</v>
      </c>
      <c r="B8862" s="1" t="str">
        <f>"CK2024100714932"</f>
        <v>CK2024100714932</v>
      </c>
      <c r="C8862" s="1" t="str">
        <f>"DD2024100736930"</f>
        <v>DD2024100736930</v>
      </c>
      <c r="D8862" s="1" t="str">
        <f>"CK2024100738000"</f>
        <v>CK2024100738000</v>
      </c>
      <c r="E8862" s="1" t="str">
        <f>"6917906090094329079"</f>
        <v>6917906090094329079</v>
      </c>
      <c r="F8862" s="1" t="str">
        <f t="shared" si="2495"/>
        <v>花都四部-凤凰仓</v>
      </c>
      <c r="G8862" s="1" t="str">
        <f t="shared" si="2498"/>
        <v>卡卡杜个人护理店（抖店）</v>
      </c>
      <c r="H8862" s="1" t="str">
        <f t="shared" si="2496"/>
        <v>正常订单</v>
      </c>
      <c r="I8862" s="1" t="str">
        <f t="shared" si="2497"/>
        <v>已发货</v>
      </c>
      <c r="J8862" s="1" t="str">
        <f t="shared" si="2500"/>
        <v>2</v>
      </c>
      <c r="K8862" s="1">
        <v>1</v>
      </c>
      <c r="L8862" s="1" t="s">
        <v>13</v>
      </c>
      <c r="M8862" s="1" t="str">
        <f>"江苏省 宿迁市 沭阳县 南湖街道"</f>
        <v>江苏省 宿迁市 沭阳县 南湖街道</v>
      </c>
      <c r="N8862" s="1" t="str">
        <f t="shared" si="2499"/>
        <v>凡华云仓-韵达-抖音</v>
      </c>
      <c r="O8862" s="5">
        <v>320159953752257</v>
      </c>
      <c r="P8862" s="6">
        <v>0.33</v>
      </c>
      <c r="Q8862" s="11">
        <v>2.2999999999999998</v>
      </c>
      <c r="R8862" s="11"/>
      <c r="S8862" s="11"/>
      <c r="T8862" s="11"/>
      <c r="U8862" s="11">
        <f t="shared" si="2493"/>
        <v>2.2999999999999998</v>
      </c>
      <c r="W8862">
        <v>2.5</v>
      </c>
      <c r="X8862" s="1" t="s">
        <v>13</v>
      </c>
    </row>
    <row r="8863" spans="1:24" x14ac:dyDescent="0.25">
      <c r="A8863" s="1" t="str">
        <f t="shared" si="2494"/>
        <v>卡卡杜-凤凰仓</v>
      </c>
      <c r="B8863" s="1" t="str">
        <f>"CK2024100714926"</f>
        <v>CK2024100714926</v>
      </c>
      <c r="C8863" s="1" t="str">
        <f>"DD2024100736918"</f>
        <v>DD2024100736918</v>
      </c>
      <c r="D8863" s="1" t="str">
        <f>"CK2024100737999"</f>
        <v>CK2024100737999</v>
      </c>
      <c r="E8863" s="1" t="str">
        <f>"6917899063874124836"</f>
        <v>6917899063874124836</v>
      </c>
      <c r="F8863" s="1" t="str">
        <f t="shared" si="2495"/>
        <v>花都四部-凤凰仓</v>
      </c>
      <c r="G8863" s="1" t="str">
        <f t="shared" si="2498"/>
        <v>卡卡杜个人护理店（抖店）</v>
      </c>
      <c r="H8863" s="1" t="str">
        <f t="shared" si="2496"/>
        <v>正常订单</v>
      </c>
      <c r="I8863" s="1" t="str">
        <f t="shared" si="2497"/>
        <v>已发货</v>
      </c>
      <c r="J8863" s="1" t="str">
        <f t="shared" si="2500"/>
        <v>2</v>
      </c>
      <c r="K8863" s="1">
        <v>1</v>
      </c>
      <c r="L8863" s="1" t="s">
        <v>20</v>
      </c>
      <c r="M8863" s="1" t="str">
        <f>"浙江省 绍兴市 诸暨市 暨阳街道"</f>
        <v>浙江省 绍兴市 诸暨市 暨阳街道</v>
      </c>
      <c r="N8863" s="1" t="str">
        <f t="shared" si="2499"/>
        <v>凡华云仓-韵达-抖音</v>
      </c>
      <c r="O8863" s="5">
        <v>320159953752166</v>
      </c>
      <c r="P8863" s="6">
        <v>0.33</v>
      </c>
      <c r="Q8863" s="11">
        <v>2.2999999999999998</v>
      </c>
      <c r="R8863" s="11"/>
      <c r="S8863" s="11"/>
      <c r="T8863" s="11"/>
      <c r="U8863" s="11">
        <f t="shared" si="2493"/>
        <v>2.2999999999999998</v>
      </c>
      <c r="W8863">
        <v>2.5</v>
      </c>
      <c r="X8863" s="1" t="s">
        <v>20</v>
      </c>
    </row>
    <row r="8864" spans="1:24" x14ac:dyDescent="0.25">
      <c r="A8864" s="1" t="str">
        <f t="shared" si="2494"/>
        <v>卡卡杜-凤凰仓</v>
      </c>
      <c r="B8864" s="1" t="str">
        <f>"CK2024100714934"</f>
        <v>CK2024100714934</v>
      </c>
      <c r="C8864" s="1" t="str">
        <f>"DD2024100736927"</f>
        <v>DD2024100736927</v>
      </c>
      <c r="D8864" s="1" t="str">
        <f>"CK2024100737998"</f>
        <v>CK2024100737998</v>
      </c>
      <c r="E8864" s="1" t="str">
        <f>"6917896760674647895"</f>
        <v>6917896760674647895</v>
      </c>
      <c r="F8864" s="1" t="str">
        <f t="shared" si="2495"/>
        <v>花都四部-凤凰仓</v>
      </c>
      <c r="G8864" s="1" t="str">
        <f t="shared" si="2498"/>
        <v>卡卡杜个人护理店（抖店）</v>
      </c>
      <c r="H8864" s="1" t="str">
        <f t="shared" si="2496"/>
        <v>正常订单</v>
      </c>
      <c r="I8864" s="1" t="str">
        <f t="shared" si="2497"/>
        <v>已发货</v>
      </c>
      <c r="J8864" s="1" t="str">
        <f t="shared" si="2500"/>
        <v>2</v>
      </c>
      <c r="K8864" s="1">
        <v>1</v>
      </c>
      <c r="L8864" s="1" t="s">
        <v>20</v>
      </c>
      <c r="M8864" s="1" t="str">
        <f>"浙江省 杭州市 富阳区 鹿山街道"</f>
        <v>浙江省 杭州市 富阳区 鹿山街道</v>
      </c>
      <c r="N8864" s="1" t="str">
        <f t="shared" si="2499"/>
        <v>凡华云仓-韵达-抖音</v>
      </c>
      <c r="O8864" s="5">
        <v>320159953752077</v>
      </c>
      <c r="P8864" s="6">
        <v>0.33</v>
      </c>
      <c r="Q8864" s="11">
        <v>2.2999999999999998</v>
      </c>
      <c r="R8864" s="11"/>
      <c r="S8864" s="11"/>
      <c r="T8864" s="11"/>
      <c r="U8864" s="11">
        <f t="shared" si="2493"/>
        <v>2.2999999999999998</v>
      </c>
      <c r="W8864">
        <v>2.5</v>
      </c>
      <c r="X8864" s="1" t="s">
        <v>20</v>
      </c>
    </row>
    <row r="8865" spans="1:24" x14ac:dyDescent="0.25">
      <c r="A8865" s="1" t="str">
        <f t="shared" si="2494"/>
        <v>卡卡杜-凤凰仓</v>
      </c>
      <c r="B8865" s="1" t="str">
        <f>"CK2024100714938"</f>
        <v>CK2024100714938</v>
      </c>
      <c r="C8865" s="1" t="str">
        <f>"DD2024100736934"</f>
        <v>DD2024100736934</v>
      </c>
      <c r="D8865" s="1" t="str">
        <f>"CK2024100737997"</f>
        <v>CK2024100737997</v>
      </c>
      <c r="E8865" s="1" t="str">
        <f>"6917903745569881670"</f>
        <v>6917903745569881670</v>
      </c>
      <c r="F8865" s="1" t="str">
        <f t="shared" si="2495"/>
        <v>花都四部-凤凰仓</v>
      </c>
      <c r="G8865" s="1" t="str">
        <f t="shared" si="2498"/>
        <v>卡卡杜个人护理店（抖店）</v>
      </c>
      <c r="H8865" s="1" t="str">
        <f t="shared" si="2496"/>
        <v>正常订单</v>
      </c>
      <c r="I8865" s="1" t="str">
        <f t="shared" si="2497"/>
        <v>已发货</v>
      </c>
      <c r="J8865" s="1" t="str">
        <f t="shared" si="2500"/>
        <v>2</v>
      </c>
      <c r="K8865" s="1">
        <v>1</v>
      </c>
      <c r="L8865" s="1" t="s">
        <v>20</v>
      </c>
      <c r="M8865" s="1" t="str">
        <f>"浙江省 宁波市 北仑区 大碶街道"</f>
        <v>浙江省 宁波市 北仑区 大碶街道</v>
      </c>
      <c r="N8865" s="1" t="str">
        <f>"凡华云仓-竹料中通-抖音"</f>
        <v>凡华云仓-竹料中通-抖音</v>
      </c>
      <c r="O8865" s="5">
        <v>76428933409468</v>
      </c>
      <c r="P8865" s="6">
        <v>0.33</v>
      </c>
      <c r="Q8865" s="11">
        <v>2.6</v>
      </c>
      <c r="R8865" s="11"/>
      <c r="S8865" s="11"/>
      <c r="T8865" s="11"/>
      <c r="U8865" s="11">
        <f t="shared" si="2493"/>
        <v>2.6</v>
      </c>
      <c r="W8865">
        <v>2.6</v>
      </c>
      <c r="X8865" s="1" t="s">
        <v>20</v>
      </c>
    </row>
    <row r="8866" spans="1:24" x14ac:dyDescent="0.25">
      <c r="A8866" s="1" t="str">
        <f t="shared" si="2494"/>
        <v>卡卡杜-凤凰仓</v>
      </c>
      <c r="B8866" s="1" t="str">
        <f>"CK2024100714930"</f>
        <v>CK2024100714930</v>
      </c>
      <c r="C8866" s="1" t="str">
        <f>"DD2024100736921"</f>
        <v>DD2024100736921</v>
      </c>
      <c r="D8866" s="1" t="str">
        <f>"CK2024100737996"</f>
        <v>CK2024100737996</v>
      </c>
      <c r="E8866" s="1" t="str">
        <f>"6917901319016644135"</f>
        <v>6917901319016644135</v>
      </c>
      <c r="F8866" s="1" t="str">
        <f t="shared" si="2495"/>
        <v>花都四部-凤凰仓</v>
      </c>
      <c r="G8866" s="1" t="str">
        <f t="shared" si="2498"/>
        <v>卡卡杜个人护理店（抖店）</v>
      </c>
      <c r="H8866" s="1" t="str">
        <f t="shared" si="2496"/>
        <v>正常订单</v>
      </c>
      <c r="I8866" s="1" t="str">
        <f t="shared" si="2497"/>
        <v>已发货</v>
      </c>
      <c r="J8866" s="1" t="str">
        <f t="shared" si="2500"/>
        <v>2</v>
      </c>
      <c r="K8866" s="1">
        <v>1</v>
      </c>
      <c r="L8866" s="1" t="s">
        <v>94</v>
      </c>
      <c r="M8866" s="1" t="str">
        <f>"湖南省 株洲市 醴陵市 来龙门街道"</f>
        <v>湖南省 株洲市 醴陵市 来龙门街道</v>
      </c>
      <c r="N8866" s="1" t="str">
        <f t="shared" ref="N8866:N8913" si="2501">"凡华云仓-韵达-抖音"</f>
        <v>凡华云仓-韵达-抖音</v>
      </c>
      <c r="O8866" s="5">
        <v>320159953751959</v>
      </c>
      <c r="P8866" s="6">
        <v>0.33</v>
      </c>
      <c r="Q8866" s="11">
        <v>2.2999999999999998</v>
      </c>
      <c r="R8866" s="11"/>
      <c r="S8866" s="11"/>
      <c r="T8866" s="11"/>
      <c r="U8866" s="11">
        <f t="shared" si="2493"/>
        <v>2.2999999999999998</v>
      </c>
      <c r="W8866">
        <v>2.5</v>
      </c>
      <c r="X8866" s="1" t="s">
        <v>94</v>
      </c>
    </row>
    <row r="8867" spans="1:24" x14ac:dyDescent="0.25">
      <c r="A8867" s="1" t="str">
        <f t="shared" si="2494"/>
        <v>卡卡杜-凤凰仓</v>
      </c>
      <c r="B8867" s="1" t="str">
        <f>"CK2024100714931"</f>
        <v>CK2024100714931</v>
      </c>
      <c r="C8867" s="1" t="str">
        <f>"DD2024100736928"</f>
        <v>DD2024100736928</v>
      </c>
      <c r="D8867" s="1" t="str">
        <f>"CK2024100737995"</f>
        <v>CK2024100737995</v>
      </c>
      <c r="E8867" s="1" t="str">
        <f>"6917900975525493948"</f>
        <v>6917900975525493948</v>
      </c>
      <c r="F8867" s="1" t="str">
        <f t="shared" si="2495"/>
        <v>花都四部-凤凰仓</v>
      </c>
      <c r="G8867" s="1" t="str">
        <f t="shared" si="2498"/>
        <v>卡卡杜个人护理店（抖店）</v>
      </c>
      <c r="H8867" s="1" t="str">
        <f t="shared" si="2496"/>
        <v>正常订单</v>
      </c>
      <c r="I8867" s="1" t="str">
        <f t="shared" si="2497"/>
        <v>已发货</v>
      </c>
      <c r="J8867" s="1" t="str">
        <f t="shared" si="2500"/>
        <v>2</v>
      </c>
      <c r="K8867" s="1">
        <v>1</v>
      </c>
      <c r="L8867" s="1" t="s">
        <v>44</v>
      </c>
      <c r="M8867" s="1" t="str">
        <f>"海南省 海口市 龙华区 海垦街道"</f>
        <v>海南省 海口市 龙华区 海垦街道</v>
      </c>
      <c r="N8867" s="1" t="str">
        <f t="shared" si="2501"/>
        <v>凡华云仓-韵达-抖音</v>
      </c>
      <c r="O8867" s="5">
        <v>320159953751854</v>
      </c>
      <c r="P8867" s="6">
        <v>0.33</v>
      </c>
      <c r="Q8867" s="11">
        <v>2.2999999999999998</v>
      </c>
      <c r="R8867" s="11"/>
      <c r="S8867" s="11"/>
      <c r="T8867" s="11"/>
      <c r="U8867" s="11">
        <f t="shared" si="2493"/>
        <v>2.2999999999999998</v>
      </c>
      <c r="W8867">
        <v>2.5</v>
      </c>
      <c r="X8867" s="1" t="s">
        <v>44</v>
      </c>
    </row>
    <row r="8868" spans="1:24" x14ac:dyDescent="0.25">
      <c r="A8868" s="1" t="str">
        <f t="shared" si="2494"/>
        <v>卡卡杜-凤凰仓</v>
      </c>
      <c r="B8868" s="1" t="str">
        <f>"CK20241006175"</f>
        <v>CK20241006175</v>
      </c>
      <c r="C8868" s="1" t="str">
        <f>"DD2024100613507"</f>
        <v>DD2024100613507</v>
      </c>
      <c r="D8868" s="1" t="str">
        <f>"CK2024100620292"</f>
        <v>CK2024100620292</v>
      </c>
      <c r="E8868" s="1" t="str">
        <f>"6917848412323610251"</f>
        <v>6917848412323610251</v>
      </c>
      <c r="F8868" s="1" t="str">
        <f t="shared" si="2495"/>
        <v>花都四部-凤凰仓</v>
      </c>
      <c r="G8868" s="1" t="str">
        <f t="shared" si="2498"/>
        <v>卡卡杜个人护理店（抖店）</v>
      </c>
      <c r="H8868" s="1" t="str">
        <f t="shared" si="2496"/>
        <v>正常订单</v>
      </c>
      <c r="I8868" s="1" t="str">
        <f t="shared" si="2497"/>
        <v>已发货</v>
      </c>
      <c r="J8868" s="1" t="str">
        <f>"4"</f>
        <v>4</v>
      </c>
      <c r="K8868" s="1">
        <v>1</v>
      </c>
      <c r="L8868" s="1" t="s">
        <v>27</v>
      </c>
      <c r="M8868" s="1" t="str">
        <f>"贵州省 遵义市 习水县 温水镇"</f>
        <v>贵州省 遵义市 习水县 温水镇</v>
      </c>
      <c r="N8868" s="1" t="str">
        <f t="shared" si="2501"/>
        <v>凡华云仓-韵达-抖音</v>
      </c>
      <c r="O8868" s="5">
        <v>320157859013296</v>
      </c>
      <c r="P8868" s="6">
        <v>0.57999999999999996</v>
      </c>
      <c r="Q8868" s="11">
        <f>CEILING(P8868-0.5,0.1)*10*0.15+2.3</f>
        <v>2.4499999999999997</v>
      </c>
      <c r="R8868" s="11"/>
      <c r="S8868" s="11"/>
      <c r="T8868" s="11"/>
      <c r="U8868" s="11">
        <f t="shared" si="2493"/>
        <v>2.4499999999999997</v>
      </c>
      <c r="V8868" t="s">
        <v>15</v>
      </c>
      <c r="W8868">
        <v>2.4500000000000002</v>
      </c>
      <c r="X8868" s="1" t="s">
        <v>27</v>
      </c>
    </row>
    <row r="8869" spans="1:24" x14ac:dyDescent="0.25">
      <c r="A8869" s="1" t="str">
        <f t="shared" si="2494"/>
        <v>卡卡杜-凤凰仓</v>
      </c>
      <c r="B8869" s="1" t="str">
        <f>"CK2024100714941"</f>
        <v>CK2024100714941</v>
      </c>
      <c r="C8869" s="1" t="str">
        <f>"DD2024100736942"</f>
        <v>DD2024100736942</v>
      </c>
      <c r="D8869" s="1" t="str">
        <f>"CK2024100737993"</f>
        <v>CK2024100737993</v>
      </c>
      <c r="E8869" s="1" t="str">
        <f>"6917913895336968038"</f>
        <v>6917913895336968038</v>
      </c>
      <c r="F8869" s="1" t="str">
        <f t="shared" si="2495"/>
        <v>花都四部-凤凰仓</v>
      </c>
      <c r="G8869" s="1" t="str">
        <f t="shared" si="2498"/>
        <v>卡卡杜个人护理店（抖店）</v>
      </c>
      <c r="H8869" s="1" t="str">
        <f t="shared" si="2496"/>
        <v>正常订单</v>
      </c>
      <c r="I8869" s="1" t="str">
        <f t="shared" si="2497"/>
        <v>已发货</v>
      </c>
      <c r="J8869" s="1" t="str">
        <f t="shared" ref="J8869:J8874" si="2502">"2"</f>
        <v>2</v>
      </c>
      <c r="K8869" s="1">
        <v>1</v>
      </c>
      <c r="L8869" s="1" t="s">
        <v>13</v>
      </c>
      <c r="M8869" s="1" t="str">
        <f>"江苏省 常州市 天宁区 青龙街道"</f>
        <v>江苏省 常州市 天宁区 青龙街道</v>
      </c>
      <c r="N8869" s="1" t="str">
        <f t="shared" si="2501"/>
        <v>凡华云仓-韵达-抖音</v>
      </c>
      <c r="O8869" s="5">
        <v>320159966724070</v>
      </c>
      <c r="P8869" s="6">
        <v>0.33</v>
      </c>
      <c r="Q8869" s="11">
        <v>2.2999999999999998</v>
      </c>
      <c r="R8869" s="11"/>
      <c r="S8869" s="11"/>
      <c r="T8869" s="11"/>
      <c r="U8869" s="11">
        <f t="shared" si="2493"/>
        <v>2.2999999999999998</v>
      </c>
      <c r="W8869">
        <v>2.5</v>
      </c>
      <c r="X8869" s="1" t="s">
        <v>13</v>
      </c>
    </row>
    <row r="8870" spans="1:24" x14ac:dyDescent="0.25">
      <c r="A8870" s="1" t="str">
        <f t="shared" si="2494"/>
        <v>卡卡杜-凤凰仓</v>
      </c>
      <c r="B8870" s="1" t="str">
        <f>"CK2024100714927"</f>
        <v>CK2024100714927</v>
      </c>
      <c r="C8870" s="1" t="str">
        <f>"DD2024100736917"</f>
        <v>DD2024100736917</v>
      </c>
      <c r="D8870" s="1" t="str">
        <f>"CK2024100737992"</f>
        <v>CK2024100737992</v>
      </c>
      <c r="E8870" s="1" t="str">
        <f>"6917905958225411684"</f>
        <v>6917905958225411684</v>
      </c>
      <c r="F8870" s="1" t="str">
        <f t="shared" si="2495"/>
        <v>花都四部-凤凰仓</v>
      </c>
      <c r="G8870" s="1" t="str">
        <f t="shared" si="2498"/>
        <v>卡卡杜个人护理店（抖店）</v>
      </c>
      <c r="H8870" s="1" t="str">
        <f t="shared" si="2496"/>
        <v>正常订单</v>
      </c>
      <c r="I8870" s="1" t="str">
        <f t="shared" si="2497"/>
        <v>已发货</v>
      </c>
      <c r="J8870" s="1" t="str">
        <f t="shared" si="2502"/>
        <v>2</v>
      </c>
      <c r="K8870" s="1">
        <v>1</v>
      </c>
      <c r="L8870" s="1" t="s">
        <v>18</v>
      </c>
      <c r="M8870" s="1" t="str">
        <f>"广东省 中山市 中山市 东凤镇"</f>
        <v>广东省 中山市 中山市 东凤镇</v>
      </c>
      <c r="N8870" s="1" t="str">
        <f t="shared" si="2501"/>
        <v>凡华云仓-韵达-抖音</v>
      </c>
      <c r="O8870" s="5">
        <v>320159966723948</v>
      </c>
      <c r="P8870" s="6">
        <v>0.33</v>
      </c>
      <c r="Q8870" s="11">
        <v>2.2999999999999998</v>
      </c>
      <c r="R8870" s="11"/>
      <c r="S8870" s="11"/>
      <c r="T8870" s="11"/>
      <c r="U8870" s="11">
        <f t="shared" si="2493"/>
        <v>2.2999999999999998</v>
      </c>
      <c r="W8870">
        <v>2.5</v>
      </c>
      <c r="X8870" s="1" t="s">
        <v>18</v>
      </c>
    </row>
    <row r="8871" spans="1:24" x14ac:dyDescent="0.25">
      <c r="A8871" s="1" t="str">
        <f t="shared" si="2494"/>
        <v>卡卡杜-凤凰仓</v>
      </c>
      <c r="B8871" s="1" t="str">
        <f>"CK2024100714929"</f>
        <v>CK2024100714929</v>
      </c>
      <c r="C8871" s="1" t="str">
        <f>"DD2024100736923"</f>
        <v>DD2024100736923</v>
      </c>
      <c r="D8871" s="1" t="str">
        <f>"CK2024100737991"</f>
        <v>CK2024100737991</v>
      </c>
      <c r="E8871" s="1" t="str">
        <f>"6917905794988015494"</f>
        <v>6917905794988015494</v>
      </c>
      <c r="F8871" s="1" t="str">
        <f t="shared" si="2495"/>
        <v>花都四部-凤凰仓</v>
      </c>
      <c r="G8871" s="1" t="str">
        <f t="shared" si="2498"/>
        <v>卡卡杜个人护理店（抖店）</v>
      </c>
      <c r="H8871" s="1" t="str">
        <f t="shared" si="2496"/>
        <v>正常订单</v>
      </c>
      <c r="I8871" s="1" t="str">
        <f t="shared" si="2497"/>
        <v>已发货</v>
      </c>
      <c r="J8871" s="1" t="str">
        <f t="shared" si="2502"/>
        <v>2</v>
      </c>
      <c r="K8871" s="1">
        <v>1</v>
      </c>
      <c r="L8871" s="1" t="s">
        <v>13</v>
      </c>
      <c r="M8871" s="1" t="str">
        <f>"江苏省 苏州市 昆山市 巴城镇"</f>
        <v>江苏省 苏州市 昆山市 巴城镇</v>
      </c>
      <c r="N8871" s="1" t="str">
        <f t="shared" si="2501"/>
        <v>凡华云仓-韵达-抖音</v>
      </c>
      <c r="O8871" s="5">
        <v>320159966723843</v>
      </c>
      <c r="P8871" s="6">
        <v>0.33</v>
      </c>
      <c r="Q8871" s="11">
        <v>2.2999999999999998</v>
      </c>
      <c r="R8871" s="11"/>
      <c r="S8871" s="11"/>
      <c r="T8871" s="11"/>
      <c r="U8871" s="11">
        <f t="shared" si="2493"/>
        <v>2.2999999999999998</v>
      </c>
      <c r="W8871">
        <v>2.5</v>
      </c>
      <c r="X8871" s="1" t="s">
        <v>13</v>
      </c>
    </row>
    <row r="8872" spans="1:24" x14ac:dyDescent="0.25">
      <c r="A8872" s="1" t="str">
        <f t="shared" si="2494"/>
        <v>卡卡杜-凤凰仓</v>
      </c>
      <c r="B8872" s="1" t="str">
        <f>"CK2024100714918"</f>
        <v>CK2024100714918</v>
      </c>
      <c r="C8872" s="1" t="str">
        <f>"DD2024100736902"</f>
        <v>DD2024100736902</v>
      </c>
      <c r="D8872" s="1" t="str">
        <f>"CK2024100737990"</f>
        <v>CK2024100737990</v>
      </c>
      <c r="E8872" s="1" t="str">
        <f>"6917901589991292050"</f>
        <v>6917901589991292050</v>
      </c>
      <c r="F8872" s="1" t="str">
        <f t="shared" si="2495"/>
        <v>花都四部-凤凰仓</v>
      </c>
      <c r="G8872" s="1" t="str">
        <f t="shared" si="2498"/>
        <v>卡卡杜个人护理店（抖店）</v>
      </c>
      <c r="H8872" s="1" t="str">
        <f t="shared" si="2496"/>
        <v>正常订单</v>
      </c>
      <c r="I8872" s="1" t="str">
        <f t="shared" si="2497"/>
        <v>已发货</v>
      </c>
      <c r="J8872" s="1" t="str">
        <f t="shared" si="2502"/>
        <v>2</v>
      </c>
      <c r="K8872" s="1">
        <v>1</v>
      </c>
      <c r="L8872" s="1" t="s">
        <v>52</v>
      </c>
      <c r="M8872" s="1" t="str">
        <f>"甘肃省 张掖市 山丹县 清泉镇"</f>
        <v>甘肃省 张掖市 山丹县 清泉镇</v>
      </c>
      <c r="N8872" s="1" t="str">
        <f t="shared" si="2501"/>
        <v>凡华云仓-韵达-抖音</v>
      </c>
      <c r="O8872" s="5">
        <v>320159966723740</v>
      </c>
      <c r="P8872" s="6">
        <v>0.33</v>
      </c>
      <c r="Q8872" s="11">
        <v>2.2999999999999998</v>
      </c>
      <c r="R8872" s="11"/>
      <c r="S8872" s="11"/>
      <c r="T8872" s="11"/>
      <c r="U8872" s="11">
        <f t="shared" si="2493"/>
        <v>2.2999999999999998</v>
      </c>
      <c r="W8872">
        <v>2.5</v>
      </c>
      <c r="X8872" s="1" t="s">
        <v>52</v>
      </c>
    </row>
    <row r="8873" spans="1:24" x14ac:dyDescent="0.25">
      <c r="A8873" s="1" t="str">
        <f t="shared" si="2494"/>
        <v>卡卡杜-凤凰仓</v>
      </c>
      <c r="B8873" s="1" t="str">
        <f>"CK2024100714923"</f>
        <v>CK2024100714923</v>
      </c>
      <c r="C8873" s="1" t="str">
        <f>"DD2024100736915"</f>
        <v>DD2024100736915</v>
      </c>
      <c r="D8873" s="1" t="str">
        <f>"CK2024100737989"</f>
        <v>CK2024100737989</v>
      </c>
      <c r="E8873" s="1" t="str">
        <f>"6917906150374080367"</f>
        <v>6917906150374080367</v>
      </c>
      <c r="F8873" s="1" t="str">
        <f t="shared" si="2495"/>
        <v>花都四部-凤凰仓</v>
      </c>
      <c r="G8873" s="1" t="str">
        <f t="shared" si="2498"/>
        <v>卡卡杜个人护理店（抖店）</v>
      </c>
      <c r="H8873" s="1" t="str">
        <f t="shared" si="2496"/>
        <v>正常订单</v>
      </c>
      <c r="I8873" s="1" t="str">
        <f t="shared" si="2497"/>
        <v>已发货</v>
      </c>
      <c r="J8873" s="1" t="str">
        <f t="shared" si="2502"/>
        <v>2</v>
      </c>
      <c r="K8873" s="1">
        <v>1</v>
      </c>
      <c r="L8873" s="1" t="s">
        <v>13</v>
      </c>
      <c r="M8873" s="1" t="str">
        <f>"江苏省 泰州市 高港区 许庄街道"</f>
        <v>江苏省 泰州市 高港区 许庄街道</v>
      </c>
      <c r="N8873" s="1" t="str">
        <f t="shared" si="2501"/>
        <v>凡华云仓-韵达-抖音</v>
      </c>
      <c r="O8873" s="5">
        <v>320159966723639</v>
      </c>
      <c r="P8873" s="6">
        <v>0.33</v>
      </c>
      <c r="Q8873" s="11">
        <v>2.2999999999999998</v>
      </c>
      <c r="R8873" s="11"/>
      <c r="S8873" s="11"/>
      <c r="T8873" s="11"/>
      <c r="U8873" s="11">
        <f t="shared" si="2493"/>
        <v>2.2999999999999998</v>
      </c>
      <c r="W8873">
        <v>2.5</v>
      </c>
      <c r="X8873" s="1" t="s">
        <v>13</v>
      </c>
    </row>
    <row r="8874" spans="1:24" x14ac:dyDescent="0.25">
      <c r="A8874" s="1" t="str">
        <f t="shared" si="2494"/>
        <v>卡卡杜-凤凰仓</v>
      </c>
      <c r="B8874" s="1" t="str">
        <f>"CK2024100714933"</f>
        <v>CK2024100714933</v>
      </c>
      <c r="C8874" s="1" t="str">
        <f>"DD2024100736931"</f>
        <v>DD2024100736931</v>
      </c>
      <c r="D8874" s="1" t="str">
        <f>"CK2024100737988"</f>
        <v>CK2024100737988</v>
      </c>
      <c r="E8874" s="1" t="str">
        <f>"6917899415575822212"</f>
        <v>6917899415575822212</v>
      </c>
      <c r="F8874" s="1" t="str">
        <f t="shared" si="2495"/>
        <v>花都四部-凤凰仓</v>
      </c>
      <c r="G8874" s="1" t="str">
        <f t="shared" si="2498"/>
        <v>卡卡杜个人护理店（抖店）</v>
      </c>
      <c r="H8874" s="1" t="str">
        <f t="shared" si="2496"/>
        <v>正常订单</v>
      </c>
      <c r="I8874" s="1" t="str">
        <f t="shared" si="2497"/>
        <v>已发货</v>
      </c>
      <c r="J8874" s="1" t="str">
        <f t="shared" si="2502"/>
        <v>2</v>
      </c>
      <c r="K8874" s="1">
        <v>1</v>
      </c>
      <c r="L8874" s="1" t="s">
        <v>22</v>
      </c>
      <c r="M8874" s="1" t="str">
        <f>"江西省 上饶市 万年县 石镇镇"</f>
        <v>江西省 上饶市 万年县 石镇镇</v>
      </c>
      <c r="N8874" s="1" t="str">
        <f t="shared" si="2501"/>
        <v>凡华云仓-韵达-抖音</v>
      </c>
      <c r="O8874" s="5">
        <v>320159966723540</v>
      </c>
      <c r="P8874" s="6">
        <v>0.33</v>
      </c>
      <c r="Q8874" s="11">
        <v>2.2999999999999998</v>
      </c>
      <c r="R8874" s="11"/>
      <c r="S8874" s="11"/>
      <c r="T8874" s="11"/>
      <c r="U8874" s="11">
        <f t="shared" si="2493"/>
        <v>2.2999999999999998</v>
      </c>
      <c r="W8874">
        <v>2.5</v>
      </c>
      <c r="X8874" s="1" t="s">
        <v>22</v>
      </c>
    </row>
    <row r="8875" spans="1:24" x14ac:dyDescent="0.25">
      <c r="A8875" s="1" t="str">
        <f t="shared" si="2494"/>
        <v>卡卡杜-凤凰仓</v>
      </c>
      <c r="B8875" s="1" t="str">
        <f>"CK2024100518565"</f>
        <v>CK2024100518565</v>
      </c>
      <c r="C8875" s="1" t="str">
        <f>"DD2024100549704"</f>
        <v>DD2024100549704</v>
      </c>
      <c r="D8875" s="1" t="str">
        <f>"CK2024100542477"</f>
        <v>CK2024100542477</v>
      </c>
      <c r="E8875" s="1" t="str">
        <f>"6917825764093164869"</f>
        <v>6917825764093164869</v>
      </c>
      <c r="F8875" s="1" t="str">
        <f t="shared" si="2495"/>
        <v>花都四部-凤凰仓</v>
      </c>
      <c r="G8875" s="1" t="str">
        <f t="shared" si="2498"/>
        <v>卡卡杜个人护理店（抖店）</v>
      </c>
      <c r="H8875" s="1" t="str">
        <f t="shared" si="2496"/>
        <v>正常订单</v>
      </c>
      <c r="I8875" s="1" t="str">
        <f t="shared" si="2497"/>
        <v>已发货</v>
      </c>
      <c r="J8875" s="1" t="str">
        <f>"4"</f>
        <v>4</v>
      </c>
      <c r="K8875" s="1">
        <v>1</v>
      </c>
      <c r="L8875" s="1" t="s">
        <v>20</v>
      </c>
      <c r="M8875" s="1" t="str">
        <f>"浙江省 湖州市 德清县 康乾街道"</f>
        <v>浙江省 湖州市 德清县 康乾街道</v>
      </c>
      <c r="N8875" s="1" t="str">
        <f t="shared" si="2501"/>
        <v>凡华云仓-韵达-抖音</v>
      </c>
      <c r="O8875" s="5">
        <v>320156925011508</v>
      </c>
      <c r="P8875" s="6">
        <v>0.57999999999999996</v>
      </c>
      <c r="Q8875" s="11">
        <f>CEILING(P8875-0.5,0.1)*10*0.15+2.3</f>
        <v>2.4499999999999997</v>
      </c>
      <c r="R8875" s="11"/>
      <c r="S8875" s="11"/>
      <c r="T8875" s="11"/>
      <c r="U8875" s="11">
        <f t="shared" si="2493"/>
        <v>2.4499999999999997</v>
      </c>
      <c r="V8875" t="s">
        <v>15</v>
      </c>
      <c r="W8875">
        <v>2.4500000000000002</v>
      </c>
      <c r="X8875" s="1" t="s">
        <v>20</v>
      </c>
    </row>
    <row r="8876" spans="1:24" x14ac:dyDescent="0.25">
      <c r="A8876" s="1" t="str">
        <f t="shared" si="2494"/>
        <v>卡卡杜-凤凰仓</v>
      </c>
      <c r="B8876" s="1" t="str">
        <f>"CK2024100714947"</f>
        <v>CK2024100714947</v>
      </c>
      <c r="C8876" s="1" t="str">
        <f>"DD2024100736952"</f>
        <v>DD2024100736952</v>
      </c>
      <c r="D8876" s="1" t="str">
        <f>"CK2024100737986"</f>
        <v>CK2024100737986</v>
      </c>
      <c r="E8876" s="1" t="str">
        <f>"6917909010579619077"</f>
        <v>6917909010579619077</v>
      </c>
      <c r="F8876" s="1" t="str">
        <f t="shared" si="2495"/>
        <v>花都四部-凤凰仓</v>
      </c>
      <c r="G8876" s="1" t="str">
        <f t="shared" si="2498"/>
        <v>卡卡杜个人护理店（抖店）</v>
      </c>
      <c r="H8876" s="1" t="str">
        <f t="shared" si="2496"/>
        <v>正常订单</v>
      </c>
      <c r="I8876" s="1" t="str">
        <f t="shared" si="2497"/>
        <v>已发货</v>
      </c>
      <c r="J8876" s="1" t="str">
        <f t="shared" ref="J8876:J8913" si="2503">"2"</f>
        <v>2</v>
      </c>
      <c r="K8876" s="1">
        <v>1</v>
      </c>
      <c r="L8876" s="1" t="s">
        <v>22</v>
      </c>
      <c r="M8876" s="1" t="str">
        <f>"江西省 上饶市 弋阳县 桃源街道"</f>
        <v>江西省 上饶市 弋阳县 桃源街道</v>
      </c>
      <c r="N8876" s="1" t="str">
        <f t="shared" si="2501"/>
        <v>凡华云仓-韵达-抖音</v>
      </c>
      <c r="O8876" s="5">
        <v>320159966723348</v>
      </c>
      <c r="P8876" s="6">
        <v>0.33</v>
      </c>
      <c r="Q8876" s="11">
        <v>2.2999999999999998</v>
      </c>
      <c r="R8876" s="11"/>
      <c r="S8876" s="11"/>
      <c r="T8876" s="11"/>
      <c r="U8876" s="11">
        <f t="shared" si="2493"/>
        <v>2.2999999999999998</v>
      </c>
      <c r="W8876">
        <v>2.5</v>
      </c>
      <c r="X8876" s="1" t="s">
        <v>22</v>
      </c>
    </row>
    <row r="8877" spans="1:24" x14ac:dyDescent="0.25">
      <c r="A8877" s="1" t="str">
        <f t="shared" si="2494"/>
        <v>卡卡杜-凤凰仓</v>
      </c>
      <c r="B8877" s="1" t="str">
        <f>"CK2024100714928"</f>
        <v>CK2024100714928</v>
      </c>
      <c r="C8877" s="1" t="str">
        <f>"DD2024100736920"</f>
        <v>DD2024100736920</v>
      </c>
      <c r="D8877" s="1" t="str">
        <f>"CK2024100737985"</f>
        <v>CK2024100737985</v>
      </c>
      <c r="E8877" s="1" t="str">
        <f>"6917896714865573656"</f>
        <v>6917896714865573656</v>
      </c>
      <c r="F8877" s="1" t="str">
        <f t="shared" si="2495"/>
        <v>花都四部-凤凰仓</v>
      </c>
      <c r="G8877" s="1" t="str">
        <f t="shared" si="2498"/>
        <v>卡卡杜个人护理店（抖店）</v>
      </c>
      <c r="H8877" s="1" t="str">
        <f t="shared" si="2496"/>
        <v>正常订单</v>
      </c>
      <c r="I8877" s="1" t="str">
        <f t="shared" si="2497"/>
        <v>已发货</v>
      </c>
      <c r="J8877" s="1" t="str">
        <f t="shared" si="2503"/>
        <v>2</v>
      </c>
      <c r="K8877" s="1">
        <v>1</v>
      </c>
      <c r="L8877" s="1" t="s">
        <v>13</v>
      </c>
      <c r="M8877" s="1" t="str">
        <f>"江苏省 常州市 武进区 横林镇"</f>
        <v>江苏省 常州市 武进区 横林镇</v>
      </c>
      <c r="N8877" s="1" t="str">
        <f t="shared" si="2501"/>
        <v>凡华云仓-韵达-抖音</v>
      </c>
      <c r="O8877" s="5">
        <v>320159966723255</v>
      </c>
      <c r="P8877" s="6">
        <v>0.33</v>
      </c>
      <c r="Q8877" s="11">
        <v>2.2999999999999998</v>
      </c>
      <c r="R8877" s="11"/>
      <c r="S8877" s="11"/>
      <c r="T8877" s="11"/>
      <c r="U8877" s="11">
        <f t="shared" si="2493"/>
        <v>2.2999999999999998</v>
      </c>
      <c r="W8877">
        <v>2.5</v>
      </c>
      <c r="X8877" s="1" t="s">
        <v>13</v>
      </c>
    </row>
    <row r="8878" spans="1:24" x14ac:dyDescent="0.25">
      <c r="A8878" s="1" t="str">
        <f t="shared" si="2494"/>
        <v>卡卡杜-凤凰仓</v>
      </c>
      <c r="B8878" s="1" t="str">
        <f>"CK2024100714925"</f>
        <v>CK2024100714925</v>
      </c>
      <c r="C8878" s="1" t="str">
        <f>"DD2024100736916"</f>
        <v>DD2024100736916</v>
      </c>
      <c r="D8878" s="1" t="str">
        <f>"CK2024100737984"</f>
        <v>CK2024100737984</v>
      </c>
      <c r="E8878" s="1" t="str">
        <f>"6917901088645021091"</f>
        <v>6917901088645021091</v>
      </c>
      <c r="F8878" s="1" t="str">
        <f t="shared" si="2495"/>
        <v>花都四部-凤凰仓</v>
      </c>
      <c r="G8878" s="1" t="str">
        <f t="shared" si="2498"/>
        <v>卡卡杜个人护理店（抖店）</v>
      </c>
      <c r="H8878" s="1" t="str">
        <f t="shared" si="2496"/>
        <v>正常订单</v>
      </c>
      <c r="I8878" s="1" t="str">
        <f t="shared" si="2497"/>
        <v>已发货</v>
      </c>
      <c r="J8878" s="1" t="str">
        <f t="shared" si="2503"/>
        <v>2</v>
      </c>
      <c r="K8878" s="1">
        <v>1</v>
      </c>
      <c r="L8878" s="1" t="s">
        <v>27</v>
      </c>
      <c r="M8878" s="1" t="str">
        <f>"贵州省 安顺市 普定县 玉秀街道"</f>
        <v>贵州省 安顺市 普定县 玉秀街道</v>
      </c>
      <c r="N8878" s="1" t="str">
        <f t="shared" si="2501"/>
        <v>凡华云仓-韵达-抖音</v>
      </c>
      <c r="O8878" s="5">
        <v>320159966723164</v>
      </c>
      <c r="P8878" s="6">
        <v>0.33</v>
      </c>
      <c r="Q8878" s="11">
        <v>2.2999999999999998</v>
      </c>
      <c r="R8878" s="11"/>
      <c r="S8878" s="11"/>
      <c r="T8878" s="11"/>
      <c r="U8878" s="11">
        <f t="shared" si="2493"/>
        <v>2.2999999999999998</v>
      </c>
      <c r="W8878">
        <v>2.5</v>
      </c>
      <c r="X8878" s="1" t="s">
        <v>27</v>
      </c>
    </row>
    <row r="8879" spans="1:24" x14ac:dyDescent="0.25">
      <c r="A8879" s="1" t="str">
        <f t="shared" si="2494"/>
        <v>卡卡杜-凤凰仓</v>
      </c>
      <c r="B8879" s="1" t="str">
        <f>"CK2024100714961"</f>
        <v>CK2024100714961</v>
      </c>
      <c r="C8879" s="1" t="str">
        <f>"DD2024100736987"</f>
        <v>DD2024100736987</v>
      </c>
      <c r="D8879" s="1" t="str">
        <f>"CK2024100737983"</f>
        <v>CK2024100737983</v>
      </c>
      <c r="E8879" s="1" t="str">
        <f>"6917916340954758955"</f>
        <v>6917916340954758955</v>
      </c>
      <c r="F8879" s="1" t="str">
        <f t="shared" si="2495"/>
        <v>花都四部-凤凰仓</v>
      </c>
      <c r="G8879" s="1" t="str">
        <f t="shared" si="2498"/>
        <v>卡卡杜个人护理店（抖店）</v>
      </c>
      <c r="H8879" s="1" t="str">
        <f t="shared" si="2496"/>
        <v>正常订单</v>
      </c>
      <c r="I8879" s="1" t="str">
        <f t="shared" si="2497"/>
        <v>已发货</v>
      </c>
      <c r="J8879" s="1" t="str">
        <f t="shared" si="2503"/>
        <v>2</v>
      </c>
      <c r="K8879" s="1">
        <v>1</v>
      </c>
      <c r="L8879" s="1" t="s">
        <v>80</v>
      </c>
      <c r="M8879" s="1" t="str">
        <f>"河南省 新乡市 封丘县 陈固镇"</f>
        <v>河南省 新乡市 封丘县 陈固镇</v>
      </c>
      <c r="N8879" s="1" t="str">
        <f t="shared" si="2501"/>
        <v>凡华云仓-韵达-抖音</v>
      </c>
      <c r="O8879" s="5">
        <v>320159963880375</v>
      </c>
      <c r="P8879" s="6">
        <v>0.33</v>
      </c>
      <c r="Q8879" s="11">
        <v>2.2999999999999998</v>
      </c>
      <c r="R8879" s="11"/>
      <c r="S8879" s="11"/>
      <c r="T8879" s="11"/>
      <c r="U8879" s="11">
        <f t="shared" si="2493"/>
        <v>2.2999999999999998</v>
      </c>
      <c r="W8879">
        <v>2.5</v>
      </c>
      <c r="X8879" s="1" t="s">
        <v>80</v>
      </c>
    </row>
    <row r="8880" spans="1:24" x14ac:dyDescent="0.25">
      <c r="A8880" s="1" t="str">
        <f t="shared" si="2494"/>
        <v>卡卡杜-凤凰仓</v>
      </c>
      <c r="B8880" s="1" t="str">
        <f>"CK2024100714963"</f>
        <v>CK2024100714963</v>
      </c>
      <c r="C8880" s="1" t="str">
        <f>"DD2024100736986"</f>
        <v>DD2024100736986</v>
      </c>
      <c r="D8880" s="1" t="str">
        <f>"CK2024100737982"</f>
        <v>CK2024100737982</v>
      </c>
      <c r="E8880" s="1" t="str">
        <f>"6917907112191360420"</f>
        <v>6917907112191360420</v>
      </c>
      <c r="F8880" s="1" t="str">
        <f t="shared" si="2495"/>
        <v>花都四部-凤凰仓</v>
      </c>
      <c r="G8880" s="1" t="str">
        <f t="shared" si="2498"/>
        <v>卡卡杜个人护理店（抖店）</v>
      </c>
      <c r="H8880" s="1" t="str">
        <f t="shared" si="2496"/>
        <v>正常订单</v>
      </c>
      <c r="I8880" s="1" t="str">
        <f t="shared" si="2497"/>
        <v>已发货</v>
      </c>
      <c r="J8880" s="1" t="str">
        <f t="shared" si="2503"/>
        <v>2</v>
      </c>
      <c r="K8880" s="1">
        <v>1</v>
      </c>
      <c r="L8880" s="1" t="s">
        <v>44</v>
      </c>
      <c r="M8880" s="1" t="str">
        <f>"海南省 文昌市 文昌市 翁田镇"</f>
        <v>海南省 文昌市 文昌市 翁田镇</v>
      </c>
      <c r="N8880" s="1" t="str">
        <f t="shared" si="2501"/>
        <v>凡华云仓-韵达-抖音</v>
      </c>
      <c r="O8880" s="5">
        <v>320159963880282</v>
      </c>
      <c r="P8880" s="6">
        <v>0.33</v>
      </c>
      <c r="Q8880" s="11">
        <v>2.2999999999999998</v>
      </c>
      <c r="R8880" s="11"/>
      <c r="S8880" s="11"/>
      <c r="T8880" s="11"/>
      <c r="U8880" s="11">
        <f t="shared" si="2493"/>
        <v>2.2999999999999998</v>
      </c>
      <c r="W8880">
        <v>2.5</v>
      </c>
      <c r="X8880" s="1" t="s">
        <v>44</v>
      </c>
    </row>
    <row r="8881" spans="1:24" x14ac:dyDescent="0.25">
      <c r="A8881" s="1" t="str">
        <f t="shared" si="2494"/>
        <v>卡卡杜-凤凰仓</v>
      </c>
      <c r="B8881" s="1" t="str">
        <f>"CK2024100714945"</f>
        <v>CK2024100714945</v>
      </c>
      <c r="C8881" s="1" t="str">
        <f>"DD2024100736949"</f>
        <v>DD2024100736949</v>
      </c>
      <c r="D8881" s="1" t="str">
        <f>"CK2024100737981"</f>
        <v>CK2024100737981</v>
      </c>
      <c r="E8881" s="1" t="str">
        <f>"6917909854830558870"</f>
        <v>6917909854830558870</v>
      </c>
      <c r="F8881" s="1" t="str">
        <f t="shared" si="2495"/>
        <v>花都四部-凤凰仓</v>
      </c>
      <c r="G8881" s="1" t="str">
        <f t="shared" si="2498"/>
        <v>卡卡杜个人护理店（抖店）</v>
      </c>
      <c r="H8881" s="1" t="str">
        <f t="shared" si="2496"/>
        <v>正常订单</v>
      </c>
      <c r="I8881" s="1" t="str">
        <f t="shared" si="2497"/>
        <v>已发货</v>
      </c>
      <c r="J8881" s="1" t="str">
        <f t="shared" si="2503"/>
        <v>2</v>
      </c>
      <c r="K8881" s="1">
        <v>1</v>
      </c>
      <c r="L8881" s="1" t="s">
        <v>18</v>
      </c>
      <c r="M8881" s="1" t="str">
        <f>"广东省 梅州市 五华县 河东镇"</f>
        <v>广东省 梅州市 五华县 河东镇</v>
      </c>
      <c r="N8881" s="1" t="str">
        <f t="shared" si="2501"/>
        <v>凡华云仓-韵达-抖音</v>
      </c>
      <c r="O8881" s="5">
        <v>320159963880191</v>
      </c>
      <c r="P8881" s="6">
        <v>0.33</v>
      </c>
      <c r="Q8881" s="11">
        <v>2.2999999999999998</v>
      </c>
      <c r="R8881" s="11"/>
      <c r="S8881" s="11"/>
      <c r="T8881" s="11"/>
      <c r="U8881" s="11">
        <f t="shared" si="2493"/>
        <v>2.2999999999999998</v>
      </c>
      <c r="W8881">
        <v>2.5</v>
      </c>
      <c r="X8881" s="1" t="s">
        <v>18</v>
      </c>
    </row>
    <row r="8882" spans="1:24" x14ac:dyDescent="0.25">
      <c r="A8882" s="1" t="str">
        <f t="shared" si="2494"/>
        <v>卡卡杜-凤凰仓</v>
      </c>
      <c r="B8882" s="1" t="str">
        <f>"CK2024100714937"</f>
        <v>CK2024100714937</v>
      </c>
      <c r="C8882" s="1" t="str">
        <f>"DD2024100736943"</f>
        <v>DD2024100736943</v>
      </c>
      <c r="D8882" s="1" t="str">
        <f>"CK2024100737980"</f>
        <v>CK2024100737980</v>
      </c>
      <c r="E8882" s="1" t="str">
        <f>"6917914722100083732"</f>
        <v>6917914722100083732</v>
      </c>
      <c r="F8882" s="1" t="str">
        <f t="shared" si="2495"/>
        <v>花都四部-凤凰仓</v>
      </c>
      <c r="G8882" s="1" t="str">
        <f t="shared" si="2498"/>
        <v>卡卡杜个人护理店（抖店）</v>
      </c>
      <c r="H8882" s="1" t="str">
        <f t="shared" si="2496"/>
        <v>正常订单</v>
      </c>
      <c r="I8882" s="1" t="str">
        <f t="shared" si="2497"/>
        <v>已发货</v>
      </c>
      <c r="J8882" s="1" t="str">
        <f t="shared" si="2503"/>
        <v>2</v>
      </c>
      <c r="K8882" s="1">
        <v>1</v>
      </c>
      <c r="L8882" s="1" t="s">
        <v>18</v>
      </c>
      <c r="M8882" s="1" t="str">
        <f>"广东省 肇庆市 端州区 "</f>
        <v xml:space="preserve">广东省 肇庆市 端州区 </v>
      </c>
      <c r="N8882" s="1" t="str">
        <f t="shared" si="2501"/>
        <v>凡华云仓-韵达-抖音</v>
      </c>
      <c r="O8882" s="5">
        <v>320159963880002</v>
      </c>
      <c r="P8882" s="6">
        <v>0.33</v>
      </c>
      <c r="Q8882" s="11">
        <v>2.2999999999999998</v>
      </c>
      <c r="R8882" s="11"/>
      <c r="S8882" s="11"/>
      <c r="T8882" s="11"/>
      <c r="U8882" s="11">
        <f t="shared" si="2493"/>
        <v>2.2999999999999998</v>
      </c>
      <c r="W8882">
        <v>2.5</v>
      </c>
      <c r="X8882" s="1" t="s">
        <v>18</v>
      </c>
    </row>
    <row r="8883" spans="1:24" x14ac:dyDescent="0.25">
      <c r="A8883" s="1" t="str">
        <f t="shared" si="2494"/>
        <v>卡卡杜-凤凰仓</v>
      </c>
      <c r="B8883" s="1" t="str">
        <f>"CK2024100714948"</f>
        <v>CK2024100714948</v>
      </c>
      <c r="C8883" s="1" t="str">
        <f>"DD2024100736954"</f>
        <v>DD2024100736954</v>
      </c>
      <c r="D8883" s="1" t="str">
        <f>"CK2024100737979"</f>
        <v>CK2024100737979</v>
      </c>
      <c r="E8883" s="1" t="str">
        <f>"6917910168048926453"</f>
        <v>6917910168048926453</v>
      </c>
      <c r="F8883" s="1" t="str">
        <f t="shared" si="2495"/>
        <v>花都四部-凤凰仓</v>
      </c>
      <c r="G8883" s="1" t="str">
        <f t="shared" si="2498"/>
        <v>卡卡杜个人护理店（抖店）</v>
      </c>
      <c r="H8883" s="1" t="str">
        <f t="shared" si="2496"/>
        <v>正常订单</v>
      </c>
      <c r="I8883" s="1" t="str">
        <f t="shared" si="2497"/>
        <v>已发货</v>
      </c>
      <c r="J8883" s="1" t="str">
        <f t="shared" si="2503"/>
        <v>2</v>
      </c>
      <c r="K8883" s="1">
        <v>1</v>
      </c>
      <c r="L8883" s="1" t="s">
        <v>22</v>
      </c>
      <c r="M8883" s="1" t="str">
        <f>"江西省 抚州市 广昌县 旴江镇"</f>
        <v>江西省 抚州市 广昌县 旴江镇</v>
      </c>
      <c r="N8883" s="1" t="str">
        <f t="shared" si="2501"/>
        <v>凡华云仓-韵达-抖音</v>
      </c>
      <c r="O8883" s="5">
        <v>320159963879945</v>
      </c>
      <c r="P8883" s="6">
        <v>0.33</v>
      </c>
      <c r="Q8883" s="11">
        <v>2.2999999999999998</v>
      </c>
      <c r="R8883" s="11"/>
      <c r="S8883" s="11"/>
      <c r="T8883" s="11"/>
      <c r="U8883" s="11">
        <f t="shared" si="2493"/>
        <v>2.2999999999999998</v>
      </c>
      <c r="W8883">
        <v>2.5</v>
      </c>
      <c r="X8883" s="1" t="s">
        <v>22</v>
      </c>
    </row>
    <row r="8884" spans="1:24" x14ac:dyDescent="0.25">
      <c r="A8884" s="1" t="str">
        <f t="shared" si="2494"/>
        <v>卡卡杜-凤凰仓</v>
      </c>
      <c r="B8884" s="1" t="str">
        <f>"CK2024100714940"</f>
        <v>CK2024100714940</v>
      </c>
      <c r="C8884" s="1" t="str">
        <f>"DD2024100736936"</f>
        <v>DD2024100736936</v>
      </c>
      <c r="D8884" s="1" t="str">
        <f>"CK2024100737978"</f>
        <v>CK2024100737978</v>
      </c>
      <c r="E8884" s="1" t="str">
        <f>"6917910034497502673"</f>
        <v>6917910034497502673</v>
      </c>
      <c r="F8884" s="1" t="str">
        <f t="shared" si="2495"/>
        <v>花都四部-凤凰仓</v>
      </c>
      <c r="G8884" s="1" t="str">
        <f t="shared" si="2498"/>
        <v>卡卡杜个人护理店（抖店）</v>
      </c>
      <c r="H8884" s="1" t="str">
        <f t="shared" si="2496"/>
        <v>正常订单</v>
      </c>
      <c r="I8884" s="1" t="str">
        <f t="shared" si="2497"/>
        <v>已发货</v>
      </c>
      <c r="J8884" s="1" t="str">
        <f t="shared" si="2503"/>
        <v>2</v>
      </c>
      <c r="K8884" s="1">
        <v>1</v>
      </c>
      <c r="L8884" s="1" t="s">
        <v>94</v>
      </c>
      <c r="M8884" s="1" t="str">
        <f>"湖南省 娄底市 新化县 田坪镇"</f>
        <v>湖南省 娄底市 新化县 田坪镇</v>
      </c>
      <c r="N8884" s="1" t="str">
        <f t="shared" si="2501"/>
        <v>凡华云仓-韵达-抖音</v>
      </c>
      <c r="O8884" s="5">
        <v>320159963879840</v>
      </c>
      <c r="P8884" s="6">
        <v>0.33</v>
      </c>
      <c r="Q8884" s="11">
        <v>2.2999999999999998</v>
      </c>
      <c r="R8884" s="11"/>
      <c r="S8884" s="11"/>
      <c r="T8884" s="11"/>
      <c r="U8884" s="11">
        <f t="shared" si="2493"/>
        <v>2.2999999999999998</v>
      </c>
      <c r="W8884">
        <v>2.5</v>
      </c>
      <c r="X8884" s="1" t="s">
        <v>94</v>
      </c>
    </row>
    <row r="8885" spans="1:24" x14ac:dyDescent="0.25">
      <c r="A8885" s="1" t="str">
        <f t="shared" si="2494"/>
        <v>卡卡杜-凤凰仓</v>
      </c>
      <c r="B8885" s="1" t="str">
        <f>"CK2024100714974"</f>
        <v>CK2024100714974</v>
      </c>
      <c r="C8885" s="1" t="str">
        <f>"DD2024100737009"</f>
        <v>DD2024100737009</v>
      </c>
      <c r="D8885" s="1" t="str">
        <f>"CK2024100737977"</f>
        <v>CK2024100737977</v>
      </c>
      <c r="E8885" s="1" t="str">
        <f>"6917914608894508261"</f>
        <v>6917914608894508261</v>
      </c>
      <c r="F8885" s="1" t="str">
        <f t="shared" si="2495"/>
        <v>花都四部-凤凰仓</v>
      </c>
      <c r="G8885" s="1" t="str">
        <f t="shared" si="2498"/>
        <v>卡卡杜个人护理店（抖店）</v>
      </c>
      <c r="H8885" s="1" t="str">
        <f t="shared" si="2496"/>
        <v>正常订单</v>
      </c>
      <c r="I8885" s="1" t="str">
        <f t="shared" si="2497"/>
        <v>已发货</v>
      </c>
      <c r="J8885" s="1" t="str">
        <f t="shared" si="2503"/>
        <v>2</v>
      </c>
      <c r="K8885" s="1">
        <v>1</v>
      </c>
      <c r="L8885" s="1" t="s">
        <v>20</v>
      </c>
      <c r="M8885" s="1" t="str">
        <f>"浙江省 金华市 兰溪市 云山街道"</f>
        <v>浙江省 金华市 兰溪市 云山街道</v>
      </c>
      <c r="N8885" s="1" t="str">
        <f t="shared" si="2501"/>
        <v>凡华云仓-韵达-抖音</v>
      </c>
      <c r="O8885" s="5">
        <v>320159963879737</v>
      </c>
      <c r="P8885" s="6">
        <v>0.33</v>
      </c>
      <c r="Q8885" s="11">
        <v>2.2999999999999998</v>
      </c>
      <c r="R8885" s="11"/>
      <c r="S8885" s="11"/>
      <c r="T8885" s="11"/>
      <c r="U8885" s="11">
        <f t="shared" si="2493"/>
        <v>2.2999999999999998</v>
      </c>
      <c r="W8885">
        <v>2.5</v>
      </c>
      <c r="X8885" s="1" t="s">
        <v>20</v>
      </c>
    </row>
    <row r="8886" spans="1:24" x14ac:dyDescent="0.25">
      <c r="A8886" s="1" t="str">
        <f t="shared" si="2494"/>
        <v>卡卡杜-凤凰仓</v>
      </c>
      <c r="B8886" s="1" t="str">
        <f>"CK2024100714950"</f>
        <v>CK2024100714950</v>
      </c>
      <c r="C8886" s="1" t="str">
        <f>"DD2024100736958"</f>
        <v>DD2024100736958</v>
      </c>
      <c r="D8886" s="1" t="str">
        <f>"CK2024100737976"</f>
        <v>CK2024100737976</v>
      </c>
      <c r="E8886" s="1" t="str">
        <f>"6917916840383708537"</f>
        <v>6917916840383708537</v>
      </c>
      <c r="F8886" s="1" t="str">
        <f t="shared" si="2495"/>
        <v>花都四部-凤凰仓</v>
      </c>
      <c r="G8886" s="1" t="str">
        <f t="shared" si="2498"/>
        <v>卡卡杜个人护理店（抖店）</v>
      </c>
      <c r="H8886" s="1" t="str">
        <f t="shared" si="2496"/>
        <v>正常订单</v>
      </c>
      <c r="I8886" s="1" t="str">
        <f t="shared" si="2497"/>
        <v>已发货</v>
      </c>
      <c r="J8886" s="1" t="str">
        <f t="shared" si="2503"/>
        <v>2</v>
      </c>
      <c r="K8886" s="1">
        <v>1</v>
      </c>
      <c r="L8886" s="1" t="s">
        <v>20</v>
      </c>
      <c r="M8886" s="1" t="str">
        <f>"浙江省 宁波市 象山县 东陈乡"</f>
        <v>浙江省 宁波市 象山县 东陈乡</v>
      </c>
      <c r="N8886" s="1" t="str">
        <f t="shared" si="2501"/>
        <v>凡华云仓-韵达-抖音</v>
      </c>
      <c r="O8886" s="5">
        <v>320159963879636</v>
      </c>
      <c r="P8886" s="6">
        <v>0.33</v>
      </c>
      <c r="Q8886" s="11">
        <v>2.2999999999999998</v>
      </c>
      <c r="R8886" s="11"/>
      <c r="S8886" s="11"/>
      <c r="T8886" s="11"/>
      <c r="U8886" s="11">
        <f t="shared" si="2493"/>
        <v>2.2999999999999998</v>
      </c>
      <c r="W8886">
        <v>2.5</v>
      </c>
      <c r="X8886" s="1" t="s">
        <v>20</v>
      </c>
    </row>
    <row r="8887" spans="1:24" x14ac:dyDescent="0.25">
      <c r="A8887" s="1" t="str">
        <f t="shared" si="2494"/>
        <v>卡卡杜-凤凰仓</v>
      </c>
      <c r="B8887" s="1" t="str">
        <f>"CK2024100714943"</f>
        <v>CK2024100714943</v>
      </c>
      <c r="C8887" s="1" t="str">
        <f>"DD2024100736947"</f>
        <v>DD2024100736947</v>
      </c>
      <c r="D8887" s="1" t="str">
        <f>"CK2024100737975"</f>
        <v>CK2024100737975</v>
      </c>
      <c r="E8887" s="1" t="str">
        <f>"6917910000887561353"</f>
        <v>6917910000887561353</v>
      </c>
      <c r="F8887" s="1" t="str">
        <f t="shared" si="2495"/>
        <v>花都四部-凤凰仓</v>
      </c>
      <c r="G8887" s="1" t="str">
        <f t="shared" si="2498"/>
        <v>卡卡杜个人护理店（抖店）</v>
      </c>
      <c r="H8887" s="1" t="str">
        <f t="shared" si="2496"/>
        <v>正常订单</v>
      </c>
      <c r="I8887" s="1" t="str">
        <f t="shared" si="2497"/>
        <v>已发货</v>
      </c>
      <c r="J8887" s="1" t="str">
        <f t="shared" si="2503"/>
        <v>2</v>
      </c>
      <c r="K8887" s="1">
        <v>1</v>
      </c>
      <c r="L8887" s="1" t="s">
        <v>80</v>
      </c>
      <c r="M8887" s="1" t="str">
        <f>"河南省 信阳市 平桥区 平西街道"</f>
        <v>河南省 信阳市 平桥区 平西街道</v>
      </c>
      <c r="N8887" s="1" t="str">
        <f t="shared" si="2501"/>
        <v>凡华云仓-韵达-抖音</v>
      </c>
      <c r="O8887" s="5">
        <v>320159963879537</v>
      </c>
      <c r="P8887" s="6">
        <v>0.33</v>
      </c>
      <c r="Q8887" s="11">
        <v>2.2999999999999998</v>
      </c>
      <c r="R8887" s="11"/>
      <c r="S8887" s="11"/>
      <c r="T8887" s="11"/>
      <c r="U8887" s="11">
        <f t="shared" si="2493"/>
        <v>2.2999999999999998</v>
      </c>
      <c r="W8887">
        <v>2.5</v>
      </c>
      <c r="X8887" s="1" t="s">
        <v>80</v>
      </c>
    </row>
    <row r="8888" spans="1:24" x14ac:dyDescent="0.25">
      <c r="A8888" s="1" t="str">
        <f t="shared" si="2494"/>
        <v>卡卡杜-凤凰仓</v>
      </c>
      <c r="B8888" s="1" t="str">
        <f>"CK2024100714951"</f>
        <v>CK2024100714951</v>
      </c>
      <c r="C8888" s="1" t="str">
        <f>"DD2024100736959"</f>
        <v>DD2024100736959</v>
      </c>
      <c r="D8888" s="1" t="str">
        <f>"CK2024100737974"</f>
        <v>CK2024100737974</v>
      </c>
      <c r="E8888" s="1" t="str">
        <f>"6917914712920915940"</f>
        <v>6917914712920915940</v>
      </c>
      <c r="F8888" s="1" t="str">
        <f t="shared" si="2495"/>
        <v>花都四部-凤凰仓</v>
      </c>
      <c r="G8888" s="1" t="str">
        <f t="shared" si="2498"/>
        <v>卡卡杜个人护理店（抖店）</v>
      </c>
      <c r="H8888" s="1" t="str">
        <f t="shared" si="2496"/>
        <v>正常订单</v>
      </c>
      <c r="I8888" s="1" t="str">
        <f t="shared" si="2497"/>
        <v>已发货</v>
      </c>
      <c r="J8888" s="1" t="str">
        <f t="shared" si="2503"/>
        <v>2</v>
      </c>
      <c r="K8888" s="1">
        <v>1</v>
      </c>
      <c r="L8888" s="1" t="s">
        <v>60</v>
      </c>
      <c r="M8888" s="1" t="str">
        <f>"云南省 昆明市 官渡区 "</f>
        <v xml:space="preserve">云南省 昆明市 官渡区 </v>
      </c>
      <c r="N8888" s="1" t="str">
        <f t="shared" si="2501"/>
        <v>凡华云仓-韵达-抖音</v>
      </c>
      <c r="O8888" s="5">
        <v>320159963879440</v>
      </c>
      <c r="P8888" s="6">
        <v>0.33</v>
      </c>
      <c r="Q8888" s="11">
        <v>2.2999999999999998</v>
      </c>
      <c r="R8888" s="11"/>
      <c r="S8888" s="11"/>
      <c r="T8888" s="11"/>
      <c r="U8888" s="11">
        <f t="shared" si="2493"/>
        <v>2.2999999999999998</v>
      </c>
      <c r="W8888">
        <v>2.5</v>
      </c>
      <c r="X8888" s="1" t="s">
        <v>60</v>
      </c>
    </row>
    <row r="8889" spans="1:24" x14ac:dyDescent="0.25">
      <c r="A8889" s="1" t="str">
        <f t="shared" si="2494"/>
        <v>卡卡杜-凤凰仓</v>
      </c>
      <c r="B8889" s="1" t="str">
        <f>"CK2024100714953"</f>
        <v>CK2024100714953</v>
      </c>
      <c r="C8889" s="1" t="str">
        <f>"DD2024100736961"</f>
        <v>DD2024100736961</v>
      </c>
      <c r="D8889" s="1" t="str">
        <f>"CK2024100737973"</f>
        <v>CK2024100737973</v>
      </c>
      <c r="E8889" s="1" t="str">
        <f>"6917916401720720429"</f>
        <v>6917916401720720429</v>
      </c>
      <c r="F8889" s="1" t="str">
        <f t="shared" si="2495"/>
        <v>花都四部-凤凰仓</v>
      </c>
      <c r="G8889" s="1" t="str">
        <f t="shared" si="2498"/>
        <v>卡卡杜个人护理店（抖店）</v>
      </c>
      <c r="H8889" s="1" t="str">
        <f t="shared" si="2496"/>
        <v>正常订单</v>
      </c>
      <c r="I8889" s="1" t="str">
        <f t="shared" si="2497"/>
        <v>已发货</v>
      </c>
      <c r="J8889" s="1" t="str">
        <f t="shared" si="2503"/>
        <v>2</v>
      </c>
      <c r="K8889" s="1">
        <v>1</v>
      </c>
      <c r="L8889" s="1" t="s">
        <v>60</v>
      </c>
      <c r="M8889" s="1" t="str">
        <f>"云南省 昆明市 呈贡区 吴家营街道"</f>
        <v>云南省 昆明市 呈贡区 吴家营街道</v>
      </c>
      <c r="N8889" s="1" t="str">
        <f t="shared" si="2501"/>
        <v>凡华云仓-韵达-抖音</v>
      </c>
      <c r="O8889" s="5">
        <v>320159967414451</v>
      </c>
      <c r="P8889" s="6">
        <v>0.33</v>
      </c>
      <c r="Q8889" s="11">
        <v>2.2999999999999998</v>
      </c>
      <c r="R8889" s="11"/>
      <c r="S8889" s="11"/>
      <c r="T8889" s="11"/>
      <c r="U8889" s="11">
        <f t="shared" si="2493"/>
        <v>2.2999999999999998</v>
      </c>
      <c r="W8889">
        <v>2.5</v>
      </c>
      <c r="X8889" s="1" t="s">
        <v>60</v>
      </c>
    </row>
    <row r="8890" spans="1:24" x14ac:dyDescent="0.25">
      <c r="A8890" s="1" t="str">
        <f t="shared" si="2494"/>
        <v>卡卡杜-凤凰仓</v>
      </c>
      <c r="B8890" s="1" t="str">
        <f>"CK2024100714954"</f>
        <v>CK2024100714954</v>
      </c>
      <c r="C8890" s="1" t="str">
        <f>"DD2024100736963"</f>
        <v>DD2024100736963</v>
      </c>
      <c r="D8890" s="1" t="str">
        <f>"CK2024100737972"</f>
        <v>CK2024100737972</v>
      </c>
      <c r="E8890" s="1" t="str">
        <f>"6917912438963207540"</f>
        <v>6917912438963207540</v>
      </c>
      <c r="F8890" s="1" t="str">
        <f t="shared" si="2495"/>
        <v>花都四部-凤凰仓</v>
      </c>
      <c r="G8890" s="1" t="str">
        <f t="shared" si="2498"/>
        <v>卡卡杜个人护理店（抖店）</v>
      </c>
      <c r="H8890" s="1" t="str">
        <f t="shared" si="2496"/>
        <v>正常订单</v>
      </c>
      <c r="I8890" s="1" t="str">
        <f t="shared" si="2497"/>
        <v>已发货</v>
      </c>
      <c r="J8890" s="1" t="str">
        <f t="shared" si="2503"/>
        <v>2</v>
      </c>
      <c r="K8890" s="1">
        <v>1</v>
      </c>
      <c r="L8890" s="1" t="s">
        <v>13</v>
      </c>
      <c r="M8890" s="1" t="str">
        <f>"江苏省 扬州市 仪征市 真州镇"</f>
        <v>江苏省 扬州市 仪征市 真州镇</v>
      </c>
      <c r="N8890" s="1" t="str">
        <f t="shared" si="2501"/>
        <v>凡华云仓-韵达-抖音</v>
      </c>
      <c r="O8890" s="5">
        <v>320159967414356</v>
      </c>
      <c r="P8890" s="6">
        <v>0.33</v>
      </c>
      <c r="Q8890" s="11">
        <v>2.2999999999999998</v>
      </c>
      <c r="R8890" s="11"/>
      <c r="S8890" s="11"/>
      <c r="T8890" s="11"/>
      <c r="U8890" s="11">
        <f t="shared" si="2493"/>
        <v>2.2999999999999998</v>
      </c>
      <c r="W8890">
        <v>2.5</v>
      </c>
      <c r="X8890" s="1" t="s">
        <v>13</v>
      </c>
    </row>
    <row r="8891" spans="1:24" x14ac:dyDescent="0.25">
      <c r="A8891" s="1" t="str">
        <f t="shared" si="2494"/>
        <v>卡卡杜-凤凰仓</v>
      </c>
      <c r="B8891" s="1" t="str">
        <f>"CK2024100714905"</f>
        <v>CK2024100714905</v>
      </c>
      <c r="C8891" s="1" t="str">
        <f>"DD2024100736847"</f>
        <v>DD2024100736847</v>
      </c>
      <c r="D8891" s="1" t="str">
        <f>"CK2024100737971"</f>
        <v>CK2024100737971</v>
      </c>
      <c r="E8891" s="1" t="str">
        <f>"6917907612396584007"</f>
        <v>6917907612396584007</v>
      </c>
      <c r="F8891" s="1" t="str">
        <f t="shared" si="2495"/>
        <v>花都四部-凤凰仓</v>
      </c>
      <c r="G8891" s="1" t="str">
        <f t="shared" si="2498"/>
        <v>卡卡杜个人护理店（抖店）</v>
      </c>
      <c r="H8891" s="1" t="str">
        <f t="shared" si="2496"/>
        <v>正常订单</v>
      </c>
      <c r="I8891" s="1" t="str">
        <f t="shared" si="2497"/>
        <v>已发货</v>
      </c>
      <c r="J8891" s="1" t="str">
        <f t="shared" si="2503"/>
        <v>2</v>
      </c>
      <c r="K8891" s="1">
        <v>2</v>
      </c>
      <c r="L8891" s="1" t="s">
        <v>20</v>
      </c>
      <c r="M8891" s="1" t="str">
        <f>"浙江省 杭州市 余杭区 塘栖镇"</f>
        <v>浙江省 杭州市 余杭区 塘栖镇</v>
      </c>
      <c r="N8891" s="1" t="str">
        <f t="shared" si="2501"/>
        <v>凡华云仓-韵达-抖音</v>
      </c>
      <c r="O8891" s="5">
        <v>320159967414263</v>
      </c>
      <c r="P8891" s="6">
        <v>0.28000000000000003</v>
      </c>
      <c r="Q8891" s="11">
        <v>2</v>
      </c>
      <c r="R8891" s="11"/>
      <c r="S8891" s="11"/>
      <c r="T8891" s="11"/>
      <c r="U8891" s="11">
        <f t="shared" si="2493"/>
        <v>2</v>
      </c>
      <c r="W8891">
        <v>2.2000000000000002</v>
      </c>
      <c r="X8891" s="1" t="s">
        <v>20</v>
      </c>
    </row>
    <row r="8892" spans="1:24" x14ac:dyDescent="0.25">
      <c r="A8892" s="1" t="str">
        <f t="shared" si="2494"/>
        <v>卡卡杜-凤凰仓</v>
      </c>
      <c r="B8892" s="1" t="str">
        <f>"CK2024100714939"</f>
        <v>CK2024100714939</v>
      </c>
      <c r="C8892" s="1" t="str">
        <f>"DD2024100736935"</f>
        <v>DD2024100736935</v>
      </c>
      <c r="D8892" s="1" t="str">
        <f>"CK2024100737970"</f>
        <v>CK2024100737970</v>
      </c>
      <c r="E8892" s="1" t="str">
        <f>"6917910141750967406"</f>
        <v>6917910141750967406</v>
      </c>
      <c r="F8892" s="1" t="str">
        <f t="shared" si="2495"/>
        <v>花都四部-凤凰仓</v>
      </c>
      <c r="G8892" s="1" t="str">
        <f t="shared" si="2498"/>
        <v>卡卡杜个人护理店（抖店）</v>
      </c>
      <c r="H8892" s="1" t="str">
        <f t="shared" si="2496"/>
        <v>正常订单</v>
      </c>
      <c r="I8892" s="1" t="str">
        <f t="shared" si="2497"/>
        <v>已发货</v>
      </c>
      <c r="J8892" s="1" t="str">
        <f t="shared" si="2503"/>
        <v>2</v>
      </c>
      <c r="K8892" s="1">
        <v>1</v>
      </c>
      <c r="L8892" s="1" t="s">
        <v>18</v>
      </c>
      <c r="M8892" s="1" t="str">
        <f>"广东省 东莞市 东莞市 大朗镇"</f>
        <v>广东省 东莞市 东莞市 大朗镇</v>
      </c>
      <c r="N8892" s="1" t="str">
        <f t="shared" si="2501"/>
        <v>凡华云仓-韵达-抖音</v>
      </c>
      <c r="O8892" s="5">
        <v>320159967414172</v>
      </c>
      <c r="P8892" s="6">
        <v>0.33</v>
      </c>
      <c r="Q8892" s="11">
        <v>2.2999999999999998</v>
      </c>
      <c r="R8892" s="11"/>
      <c r="S8892" s="11"/>
      <c r="T8892" s="11"/>
      <c r="U8892" s="11">
        <f t="shared" si="2493"/>
        <v>2.2999999999999998</v>
      </c>
      <c r="W8892">
        <v>2.5</v>
      </c>
      <c r="X8892" s="1" t="s">
        <v>18</v>
      </c>
    </row>
    <row r="8893" spans="1:24" x14ac:dyDescent="0.25">
      <c r="A8893" s="1" t="str">
        <f t="shared" si="2494"/>
        <v>卡卡杜-凤凰仓</v>
      </c>
      <c r="B8893" s="1" t="str">
        <f>"CK2024100714973"</f>
        <v>CK2024100714973</v>
      </c>
      <c r="C8893" s="1" t="str">
        <f>"DD2024100737008"</f>
        <v>DD2024100737008</v>
      </c>
      <c r="D8893" s="1" t="str">
        <f>"CK2024100737969"</f>
        <v>CK2024100737969</v>
      </c>
      <c r="E8893" s="1" t="str">
        <f>"6917917084931161840"</f>
        <v>6917917084931161840</v>
      </c>
      <c r="F8893" s="1" t="str">
        <f t="shared" si="2495"/>
        <v>花都四部-凤凰仓</v>
      </c>
      <c r="G8893" s="1" t="str">
        <f t="shared" si="2498"/>
        <v>卡卡杜个人护理店（抖店）</v>
      </c>
      <c r="H8893" s="1" t="str">
        <f t="shared" si="2496"/>
        <v>正常订单</v>
      </c>
      <c r="I8893" s="1" t="str">
        <f t="shared" si="2497"/>
        <v>已发货</v>
      </c>
      <c r="J8893" s="1" t="str">
        <f t="shared" si="2503"/>
        <v>2</v>
      </c>
      <c r="K8893" s="1">
        <v>1</v>
      </c>
      <c r="L8893" s="1" t="s">
        <v>24</v>
      </c>
      <c r="M8893" s="1" t="str">
        <f>"福建省 泉州市 晋江市 东石镇"</f>
        <v>福建省 泉州市 晋江市 东石镇</v>
      </c>
      <c r="N8893" s="1" t="str">
        <f t="shared" si="2501"/>
        <v>凡华云仓-韵达-抖音</v>
      </c>
      <c r="O8893" s="5">
        <v>320159967414083</v>
      </c>
      <c r="P8893" s="6">
        <v>0.33</v>
      </c>
      <c r="Q8893" s="11">
        <v>2.2999999999999998</v>
      </c>
      <c r="R8893" s="11"/>
      <c r="S8893" s="11"/>
      <c r="T8893" s="11"/>
      <c r="U8893" s="11">
        <f t="shared" si="2493"/>
        <v>2.2999999999999998</v>
      </c>
      <c r="W8893">
        <v>2.5</v>
      </c>
      <c r="X8893" s="1" t="s">
        <v>24</v>
      </c>
    </row>
    <row r="8894" spans="1:24" x14ac:dyDescent="0.25">
      <c r="A8894" s="1" t="str">
        <f t="shared" si="2494"/>
        <v>卡卡杜-凤凰仓</v>
      </c>
      <c r="B8894" s="1" t="str">
        <f>"CK2024100714944"</f>
        <v>CK2024100714944</v>
      </c>
      <c r="C8894" s="1" t="str">
        <f>"DD2024100736948"</f>
        <v>DD2024100736948</v>
      </c>
      <c r="D8894" s="1" t="str">
        <f>"CK2024100737968"</f>
        <v>CK2024100737968</v>
      </c>
      <c r="E8894" s="1" t="str">
        <f>"6917909939926564729"</f>
        <v>6917909939926564729</v>
      </c>
      <c r="F8894" s="1" t="str">
        <f t="shared" si="2495"/>
        <v>花都四部-凤凰仓</v>
      </c>
      <c r="G8894" s="1" t="str">
        <f t="shared" si="2498"/>
        <v>卡卡杜个人护理店（抖店）</v>
      </c>
      <c r="H8894" s="1" t="str">
        <f t="shared" si="2496"/>
        <v>正常订单</v>
      </c>
      <c r="I8894" s="1" t="str">
        <f t="shared" si="2497"/>
        <v>已发货</v>
      </c>
      <c r="J8894" s="1" t="str">
        <f t="shared" si="2503"/>
        <v>2</v>
      </c>
      <c r="K8894" s="1">
        <v>1</v>
      </c>
      <c r="L8894" s="1" t="s">
        <v>18</v>
      </c>
      <c r="M8894" s="1" t="str">
        <f>"广东省 广州市 黄埔区 云埔街道"</f>
        <v>广东省 广州市 黄埔区 云埔街道</v>
      </c>
      <c r="N8894" s="1" t="str">
        <f t="shared" si="2501"/>
        <v>凡华云仓-韵达-抖音</v>
      </c>
      <c r="O8894" s="5">
        <v>320159967413961</v>
      </c>
      <c r="P8894" s="6">
        <v>0.33</v>
      </c>
      <c r="Q8894" s="11">
        <v>2.2999999999999998</v>
      </c>
      <c r="R8894" s="11"/>
      <c r="S8894" s="11"/>
      <c r="T8894" s="11"/>
      <c r="U8894" s="11">
        <f t="shared" si="2493"/>
        <v>2.2999999999999998</v>
      </c>
      <c r="W8894">
        <v>2.5</v>
      </c>
      <c r="X8894" s="1" t="s">
        <v>18</v>
      </c>
    </row>
    <row r="8895" spans="1:24" x14ac:dyDescent="0.25">
      <c r="A8895" s="1" t="str">
        <f t="shared" si="2494"/>
        <v>卡卡杜-凤凰仓</v>
      </c>
      <c r="B8895" s="1" t="str">
        <f>"CK2024100714952"</f>
        <v>CK2024100714952</v>
      </c>
      <c r="C8895" s="1" t="str">
        <f>"DD2024100736960"</f>
        <v>DD2024100736960</v>
      </c>
      <c r="D8895" s="1" t="str">
        <f>"CK2024100737967"</f>
        <v>CK2024100737967</v>
      </c>
      <c r="E8895" s="1" t="str">
        <f>"6917907796905196582"</f>
        <v>6917907796905196582</v>
      </c>
      <c r="F8895" s="1" t="str">
        <f t="shared" si="2495"/>
        <v>花都四部-凤凰仓</v>
      </c>
      <c r="G8895" s="1" t="str">
        <f t="shared" si="2498"/>
        <v>卡卡杜个人护理店（抖店）</v>
      </c>
      <c r="H8895" s="1" t="str">
        <f t="shared" si="2496"/>
        <v>正常订单</v>
      </c>
      <c r="I8895" s="1" t="str">
        <f t="shared" si="2497"/>
        <v>已发货</v>
      </c>
      <c r="J8895" s="1" t="str">
        <f t="shared" si="2503"/>
        <v>2</v>
      </c>
      <c r="K8895" s="1">
        <v>1</v>
      </c>
      <c r="L8895" s="1" t="s">
        <v>20</v>
      </c>
      <c r="M8895" s="1" t="str">
        <f>"浙江省 杭州市 余杭区 南苑街道"</f>
        <v>浙江省 杭州市 余杭区 南苑街道</v>
      </c>
      <c r="N8895" s="1" t="str">
        <f t="shared" si="2501"/>
        <v>凡华云仓-韵达-抖音</v>
      </c>
      <c r="O8895" s="5">
        <v>320159967413856</v>
      </c>
      <c r="P8895" s="6">
        <v>0.33</v>
      </c>
      <c r="Q8895" s="11">
        <v>2.2999999999999998</v>
      </c>
      <c r="R8895" s="11"/>
      <c r="S8895" s="11"/>
      <c r="T8895" s="11"/>
      <c r="U8895" s="11">
        <f t="shared" si="2493"/>
        <v>2.2999999999999998</v>
      </c>
      <c r="W8895">
        <v>2.5</v>
      </c>
      <c r="X8895" s="1" t="s">
        <v>20</v>
      </c>
    </row>
    <row r="8896" spans="1:24" x14ac:dyDescent="0.25">
      <c r="A8896" s="1" t="str">
        <f t="shared" si="2494"/>
        <v>卡卡杜-凤凰仓</v>
      </c>
      <c r="B8896" s="1" t="str">
        <f>"CK2024100714962"</f>
        <v>CK2024100714962</v>
      </c>
      <c r="C8896" s="1" t="str">
        <f>"DD2024100736985"</f>
        <v>DD2024100736985</v>
      </c>
      <c r="D8896" s="1" t="str">
        <f>"CK2024100737966"</f>
        <v>CK2024100737966</v>
      </c>
      <c r="E8896" s="1" t="str">
        <f>"6917911714500607703"</f>
        <v>6917911714500607703</v>
      </c>
      <c r="F8896" s="1" t="str">
        <f t="shared" si="2495"/>
        <v>花都四部-凤凰仓</v>
      </c>
      <c r="G8896" s="1" t="str">
        <f t="shared" si="2498"/>
        <v>卡卡杜个人护理店（抖店）</v>
      </c>
      <c r="H8896" s="1" t="str">
        <f t="shared" si="2496"/>
        <v>正常订单</v>
      </c>
      <c r="I8896" s="1" t="str">
        <f t="shared" si="2497"/>
        <v>已发货</v>
      </c>
      <c r="J8896" s="1" t="str">
        <f t="shared" si="2503"/>
        <v>2</v>
      </c>
      <c r="K8896" s="1">
        <v>1</v>
      </c>
      <c r="L8896" s="1" t="s">
        <v>24</v>
      </c>
      <c r="M8896" s="1" t="str">
        <f>"福建省 泉州市 泉港区 峰尾镇"</f>
        <v>福建省 泉州市 泉港区 峰尾镇</v>
      </c>
      <c r="N8896" s="1" t="str">
        <f t="shared" si="2501"/>
        <v>凡华云仓-韵达-抖音</v>
      </c>
      <c r="O8896" s="5">
        <v>320159967413753</v>
      </c>
      <c r="P8896" s="6">
        <v>0.33</v>
      </c>
      <c r="Q8896" s="11">
        <v>2.2999999999999998</v>
      </c>
      <c r="R8896" s="11"/>
      <c r="S8896" s="11"/>
      <c r="T8896" s="11"/>
      <c r="U8896" s="11">
        <f t="shared" si="2493"/>
        <v>2.2999999999999998</v>
      </c>
      <c r="W8896">
        <v>2.5</v>
      </c>
      <c r="X8896" s="1" t="s">
        <v>24</v>
      </c>
    </row>
    <row r="8897" spans="1:24" x14ac:dyDescent="0.25">
      <c r="A8897" s="1" t="str">
        <f t="shared" si="2494"/>
        <v>卡卡杜-凤凰仓</v>
      </c>
      <c r="B8897" s="1" t="str">
        <f>"CK2024100714942"</f>
        <v>CK2024100714942</v>
      </c>
      <c r="C8897" s="1" t="str">
        <f>"DD2024100736944"</f>
        <v>DD2024100736944</v>
      </c>
      <c r="D8897" s="1" t="str">
        <f>"CK2024100737965"</f>
        <v>CK2024100737965</v>
      </c>
      <c r="E8897" s="1" t="str">
        <f>"6917914424432230210"</f>
        <v>6917914424432230210</v>
      </c>
      <c r="F8897" s="1" t="str">
        <f t="shared" si="2495"/>
        <v>花都四部-凤凰仓</v>
      </c>
      <c r="G8897" s="1" t="str">
        <f t="shared" si="2498"/>
        <v>卡卡杜个人护理店（抖店）</v>
      </c>
      <c r="H8897" s="1" t="str">
        <f t="shared" si="2496"/>
        <v>正常订单</v>
      </c>
      <c r="I8897" s="1" t="str">
        <f t="shared" si="2497"/>
        <v>已发货</v>
      </c>
      <c r="J8897" s="1" t="str">
        <f t="shared" si="2503"/>
        <v>2</v>
      </c>
      <c r="K8897" s="1">
        <v>1</v>
      </c>
      <c r="L8897" s="1" t="s">
        <v>20</v>
      </c>
      <c r="M8897" s="1" t="str">
        <f>"浙江省 杭州市 临平区 崇贤街道"</f>
        <v>浙江省 杭州市 临平区 崇贤街道</v>
      </c>
      <c r="N8897" s="1" t="str">
        <f t="shared" si="2501"/>
        <v>凡华云仓-韵达-抖音</v>
      </c>
      <c r="O8897" s="5">
        <v>320159967413652</v>
      </c>
      <c r="P8897" s="6">
        <v>0.33</v>
      </c>
      <c r="Q8897" s="11">
        <v>2.2999999999999998</v>
      </c>
      <c r="R8897" s="11"/>
      <c r="S8897" s="11"/>
      <c r="T8897" s="11"/>
      <c r="U8897" s="11">
        <f t="shared" si="2493"/>
        <v>2.2999999999999998</v>
      </c>
      <c r="W8897">
        <v>2.5</v>
      </c>
      <c r="X8897" s="1" t="s">
        <v>20</v>
      </c>
    </row>
    <row r="8898" spans="1:24" x14ac:dyDescent="0.25">
      <c r="A8898" s="1" t="str">
        <f t="shared" si="2494"/>
        <v>卡卡杜-凤凰仓</v>
      </c>
      <c r="B8898" s="1" t="str">
        <f>"CK2024100714949"</f>
        <v>CK2024100714949</v>
      </c>
      <c r="C8898" s="1" t="str">
        <f>"DD2024100736957"</f>
        <v>DD2024100736957</v>
      </c>
      <c r="D8898" s="1" t="str">
        <f>"CK2024100737964"</f>
        <v>CK2024100737964</v>
      </c>
      <c r="E8898" s="1" t="str">
        <f>"6917914277677924091"</f>
        <v>6917914277677924091</v>
      </c>
      <c r="F8898" s="1" t="str">
        <f t="shared" si="2495"/>
        <v>花都四部-凤凰仓</v>
      </c>
      <c r="G8898" s="1" t="str">
        <f t="shared" si="2498"/>
        <v>卡卡杜个人护理店（抖店）</v>
      </c>
      <c r="H8898" s="1" t="str">
        <f t="shared" si="2496"/>
        <v>正常订单</v>
      </c>
      <c r="I8898" s="1" t="str">
        <f t="shared" si="2497"/>
        <v>已发货</v>
      </c>
      <c r="J8898" s="1" t="str">
        <f t="shared" si="2503"/>
        <v>2</v>
      </c>
      <c r="K8898" s="1">
        <v>1</v>
      </c>
      <c r="L8898" s="1" t="s">
        <v>13</v>
      </c>
      <c r="M8898" s="1" t="str">
        <f>"江苏省 镇江市 丹阳市 云阳街道"</f>
        <v>江苏省 镇江市 丹阳市 云阳街道</v>
      </c>
      <c r="N8898" s="1" t="str">
        <f t="shared" si="2501"/>
        <v>凡华云仓-韵达-抖音</v>
      </c>
      <c r="O8898" s="5">
        <v>320159967413553</v>
      </c>
      <c r="P8898" s="6">
        <v>0.33</v>
      </c>
      <c r="Q8898" s="11">
        <v>2.2999999999999998</v>
      </c>
      <c r="R8898" s="11"/>
      <c r="S8898" s="11"/>
      <c r="T8898" s="11"/>
      <c r="U8898" s="11">
        <f t="shared" si="2493"/>
        <v>2.2999999999999998</v>
      </c>
      <c r="W8898">
        <v>2.5</v>
      </c>
      <c r="X8898" s="1" t="s">
        <v>13</v>
      </c>
    </row>
    <row r="8899" spans="1:24" x14ac:dyDescent="0.25">
      <c r="A8899" s="1" t="str">
        <f t="shared" si="2494"/>
        <v>卡卡杜-凤凰仓</v>
      </c>
      <c r="B8899" s="1" t="str">
        <f>"CK2024100714964"</f>
        <v>CK2024100714964</v>
      </c>
      <c r="C8899" s="1" t="str">
        <f>"DD2024100736988"</f>
        <v>DD2024100736988</v>
      </c>
      <c r="D8899" s="1" t="str">
        <f>"CK2024100737963"</f>
        <v>CK2024100737963</v>
      </c>
      <c r="E8899" s="1" t="str">
        <f>"6917909529510838083"</f>
        <v>6917909529510838083</v>
      </c>
      <c r="F8899" s="1" t="str">
        <f t="shared" si="2495"/>
        <v>花都四部-凤凰仓</v>
      </c>
      <c r="G8899" s="1" t="str">
        <f t="shared" si="2498"/>
        <v>卡卡杜个人护理店（抖店）</v>
      </c>
      <c r="H8899" s="1" t="str">
        <f t="shared" si="2496"/>
        <v>正常订单</v>
      </c>
      <c r="I8899" s="1" t="str">
        <f t="shared" si="2497"/>
        <v>已发货</v>
      </c>
      <c r="J8899" s="1" t="str">
        <f t="shared" si="2503"/>
        <v>2</v>
      </c>
      <c r="K8899" s="1">
        <v>1</v>
      </c>
      <c r="L8899" s="1" t="s">
        <v>80</v>
      </c>
      <c r="M8899" s="1" t="str">
        <f>"河南省 信阳市 固始县 汪棚镇"</f>
        <v>河南省 信阳市 固始县 汪棚镇</v>
      </c>
      <c r="N8899" s="1" t="str">
        <f t="shared" si="2501"/>
        <v>凡华云仓-韵达-抖音</v>
      </c>
      <c r="O8899" s="5">
        <v>320159957673429</v>
      </c>
      <c r="P8899" s="6">
        <v>0.33</v>
      </c>
      <c r="Q8899" s="11">
        <v>2.2999999999999998</v>
      </c>
      <c r="R8899" s="11"/>
      <c r="S8899" s="11"/>
      <c r="T8899" s="11"/>
      <c r="U8899" s="11">
        <f t="shared" ref="U8899:U8962" si="2504">T8899+S8899+R8899+Q8899</f>
        <v>2.2999999999999998</v>
      </c>
      <c r="W8899">
        <v>2.5</v>
      </c>
      <c r="X8899" s="1" t="s">
        <v>80</v>
      </c>
    </row>
    <row r="8900" spans="1:24" x14ac:dyDescent="0.25">
      <c r="A8900" s="1" t="str">
        <f t="shared" si="2494"/>
        <v>卡卡杜-凤凰仓</v>
      </c>
      <c r="B8900" s="1" t="str">
        <f>"CK2024100714965"</f>
        <v>CK2024100714965</v>
      </c>
      <c r="C8900" s="1" t="str">
        <f>"DD2024100736989"</f>
        <v>DD2024100736989</v>
      </c>
      <c r="D8900" s="1" t="str">
        <f>"CK2024100737962"</f>
        <v>CK2024100737962</v>
      </c>
      <c r="E8900" s="1" t="str">
        <f>"6917911588397285234"</f>
        <v>6917911588397285234</v>
      </c>
      <c r="F8900" s="1" t="str">
        <f t="shared" si="2495"/>
        <v>花都四部-凤凰仓</v>
      </c>
      <c r="G8900" s="1" t="str">
        <f t="shared" si="2498"/>
        <v>卡卡杜个人护理店（抖店）</v>
      </c>
      <c r="H8900" s="1" t="str">
        <f t="shared" si="2496"/>
        <v>正常订单</v>
      </c>
      <c r="I8900" s="1" t="str">
        <f t="shared" si="2497"/>
        <v>已发货</v>
      </c>
      <c r="J8900" s="1" t="str">
        <f t="shared" si="2503"/>
        <v>2</v>
      </c>
      <c r="K8900" s="1">
        <v>1</v>
      </c>
      <c r="L8900" s="1" t="s">
        <v>109</v>
      </c>
      <c r="M8900" s="1" t="str">
        <f>"山西省 运城市 永济市 城西街道"</f>
        <v>山西省 运城市 永济市 城西街道</v>
      </c>
      <c r="N8900" s="1" t="str">
        <f t="shared" si="2501"/>
        <v>凡华云仓-韵达-抖音</v>
      </c>
      <c r="O8900" s="5">
        <v>320159957673334</v>
      </c>
      <c r="P8900" s="6">
        <v>0.33</v>
      </c>
      <c r="Q8900" s="11">
        <v>2.2999999999999998</v>
      </c>
      <c r="R8900" s="11"/>
      <c r="S8900" s="11"/>
      <c r="T8900" s="11"/>
      <c r="U8900" s="11">
        <f t="shared" si="2504"/>
        <v>2.2999999999999998</v>
      </c>
      <c r="W8900">
        <v>2.5</v>
      </c>
      <c r="X8900" s="1" t="s">
        <v>109</v>
      </c>
    </row>
    <row r="8901" spans="1:24" x14ac:dyDescent="0.25">
      <c r="A8901" s="1" t="str">
        <f t="shared" ref="A8901:A8964" si="2505">"卡卡杜-凤凰仓"</f>
        <v>卡卡杜-凤凰仓</v>
      </c>
      <c r="B8901" s="1" t="str">
        <f>"CK2024100714958"</f>
        <v>CK2024100714958</v>
      </c>
      <c r="C8901" s="1" t="str">
        <f>"DD2024100736972"</f>
        <v>DD2024100736972</v>
      </c>
      <c r="D8901" s="1" t="str">
        <f>"CK2024100737961"</f>
        <v>CK2024100737961</v>
      </c>
      <c r="E8901" s="1" t="str">
        <f>"6917909577996860963"</f>
        <v>6917909577996860963</v>
      </c>
      <c r="F8901" s="1" t="str">
        <f t="shared" ref="F8901:F8964" si="2506">"花都四部-凤凰仓"</f>
        <v>花都四部-凤凰仓</v>
      </c>
      <c r="G8901" s="1" t="str">
        <f t="shared" si="2498"/>
        <v>卡卡杜个人护理店（抖店）</v>
      </c>
      <c r="H8901" s="1" t="str">
        <f t="shared" ref="H8901:H8964" si="2507">"正常订单"</f>
        <v>正常订单</v>
      </c>
      <c r="I8901" s="1" t="str">
        <f t="shared" ref="I8901:I8964" si="2508">"已发货"</f>
        <v>已发货</v>
      </c>
      <c r="J8901" s="1" t="str">
        <f t="shared" si="2503"/>
        <v>2</v>
      </c>
      <c r="K8901" s="1">
        <v>1</v>
      </c>
      <c r="L8901" s="1" t="s">
        <v>24</v>
      </c>
      <c r="M8901" s="1" t="str">
        <f>"福建省 泉州市 南安市 霞美镇"</f>
        <v>福建省 泉州市 南安市 霞美镇</v>
      </c>
      <c r="N8901" s="1" t="str">
        <f t="shared" si="2501"/>
        <v>凡华云仓-韵达-抖音</v>
      </c>
      <c r="O8901" s="5">
        <v>320159957673241</v>
      </c>
      <c r="P8901" s="6">
        <v>0.33</v>
      </c>
      <c r="Q8901" s="11">
        <v>2.2999999999999998</v>
      </c>
      <c r="R8901" s="11"/>
      <c r="S8901" s="11"/>
      <c r="T8901" s="11"/>
      <c r="U8901" s="11">
        <f t="shared" si="2504"/>
        <v>2.2999999999999998</v>
      </c>
      <c r="W8901">
        <v>2.5</v>
      </c>
      <c r="X8901" s="1" t="s">
        <v>24</v>
      </c>
    </row>
    <row r="8902" spans="1:24" x14ac:dyDescent="0.25">
      <c r="A8902" s="1" t="str">
        <f t="shared" si="2505"/>
        <v>卡卡杜-凤凰仓</v>
      </c>
      <c r="B8902" s="1" t="str">
        <f>"CK2024100714957"</f>
        <v>CK2024100714957</v>
      </c>
      <c r="C8902" s="1" t="str">
        <f>"DD2024100736974"</f>
        <v>DD2024100736974</v>
      </c>
      <c r="D8902" s="1" t="str">
        <f>"CK2024100737960"</f>
        <v>CK2024100737960</v>
      </c>
      <c r="E8902" s="1" t="str">
        <f>"6917916496493051266"</f>
        <v>6917916496493051266</v>
      </c>
      <c r="F8902" s="1" t="str">
        <f t="shared" si="2506"/>
        <v>花都四部-凤凰仓</v>
      </c>
      <c r="G8902" s="1" t="str">
        <f t="shared" si="2498"/>
        <v>卡卡杜个人护理店（抖店）</v>
      </c>
      <c r="H8902" s="1" t="str">
        <f t="shared" si="2507"/>
        <v>正常订单</v>
      </c>
      <c r="I8902" s="1" t="str">
        <f t="shared" si="2508"/>
        <v>已发货</v>
      </c>
      <c r="J8902" s="1" t="str">
        <f t="shared" si="2503"/>
        <v>2</v>
      </c>
      <c r="K8902" s="1">
        <v>1</v>
      </c>
      <c r="L8902" s="1" t="s">
        <v>96</v>
      </c>
      <c r="M8902" s="1" t="str">
        <f>"广西壮族自治区 南宁市 青秀区 长塘镇"</f>
        <v>广西壮族自治区 南宁市 青秀区 长塘镇</v>
      </c>
      <c r="N8902" s="1" t="str">
        <f t="shared" si="2501"/>
        <v>凡华云仓-韵达-抖音</v>
      </c>
      <c r="O8902" s="5">
        <v>320159957673150</v>
      </c>
      <c r="P8902" s="6">
        <v>0.33</v>
      </c>
      <c r="Q8902" s="11">
        <v>2.2999999999999998</v>
      </c>
      <c r="R8902" s="11"/>
      <c r="S8902" s="11"/>
      <c r="T8902" s="11"/>
      <c r="U8902" s="11">
        <f t="shared" si="2504"/>
        <v>2.2999999999999998</v>
      </c>
      <c r="W8902">
        <v>2.5</v>
      </c>
      <c r="X8902" s="1" t="s">
        <v>96</v>
      </c>
    </row>
    <row r="8903" spans="1:24" x14ac:dyDescent="0.25">
      <c r="A8903" s="1" t="str">
        <f t="shared" si="2505"/>
        <v>卡卡杜-凤凰仓</v>
      </c>
      <c r="B8903" s="1" t="str">
        <f>"CK2024100714956"</f>
        <v>CK2024100714956</v>
      </c>
      <c r="C8903" s="1" t="str">
        <f>"DD2024100736970"</f>
        <v>DD2024100736970</v>
      </c>
      <c r="D8903" s="1" t="str">
        <f>"CK2024100737959"</f>
        <v>CK2024100737959</v>
      </c>
      <c r="E8903" s="1" t="str">
        <f>"6917916147589545674"</f>
        <v>6917916147589545674</v>
      </c>
      <c r="F8903" s="1" t="str">
        <f t="shared" si="2506"/>
        <v>花都四部-凤凰仓</v>
      </c>
      <c r="G8903" s="1" t="str">
        <f t="shared" si="2498"/>
        <v>卡卡杜个人护理店（抖店）</v>
      </c>
      <c r="H8903" s="1" t="str">
        <f t="shared" si="2507"/>
        <v>正常订单</v>
      </c>
      <c r="I8903" s="1" t="str">
        <f t="shared" si="2508"/>
        <v>已发货</v>
      </c>
      <c r="J8903" s="1" t="str">
        <f t="shared" si="2503"/>
        <v>2</v>
      </c>
      <c r="K8903" s="1">
        <v>1</v>
      </c>
      <c r="L8903" s="1" t="s">
        <v>18</v>
      </c>
      <c r="M8903" s="1" t="str">
        <f>"广东省 肇庆市 端州区 黄岗街道"</f>
        <v>广东省 肇庆市 端州区 黄岗街道</v>
      </c>
      <c r="N8903" s="1" t="str">
        <f t="shared" si="2501"/>
        <v>凡华云仓-韵达-抖音</v>
      </c>
      <c r="O8903" s="5">
        <v>320159957673061</v>
      </c>
      <c r="P8903" s="6">
        <v>0.33</v>
      </c>
      <c r="Q8903" s="11">
        <v>2.2999999999999998</v>
      </c>
      <c r="R8903" s="11"/>
      <c r="S8903" s="11"/>
      <c r="T8903" s="11"/>
      <c r="U8903" s="11">
        <f t="shared" si="2504"/>
        <v>2.2999999999999998</v>
      </c>
      <c r="W8903">
        <v>2.5</v>
      </c>
      <c r="X8903" s="1" t="s">
        <v>18</v>
      </c>
    </row>
    <row r="8904" spans="1:24" x14ac:dyDescent="0.25">
      <c r="A8904" s="1" t="str">
        <f t="shared" si="2505"/>
        <v>卡卡杜-凤凰仓</v>
      </c>
      <c r="B8904" s="1" t="str">
        <f>"CK2024100714968"</f>
        <v>CK2024100714968</v>
      </c>
      <c r="C8904" s="1" t="str">
        <f>"DD2024100736998"</f>
        <v>DD2024100736998</v>
      </c>
      <c r="D8904" s="1" t="str">
        <f>"CK2024100737958"</f>
        <v>CK2024100737958</v>
      </c>
      <c r="E8904" s="1" t="str">
        <f>"6917911981151322039"</f>
        <v>6917911981151322039</v>
      </c>
      <c r="F8904" s="1" t="str">
        <f t="shared" si="2506"/>
        <v>花都四部-凤凰仓</v>
      </c>
      <c r="G8904" s="1" t="str">
        <f t="shared" si="2498"/>
        <v>卡卡杜个人护理店（抖店）</v>
      </c>
      <c r="H8904" s="1" t="str">
        <f t="shared" si="2507"/>
        <v>正常订单</v>
      </c>
      <c r="I8904" s="1" t="str">
        <f t="shared" si="2508"/>
        <v>已发货</v>
      </c>
      <c r="J8904" s="1" t="str">
        <f t="shared" si="2503"/>
        <v>2</v>
      </c>
      <c r="K8904" s="1">
        <v>1</v>
      </c>
      <c r="L8904" s="1" t="s">
        <v>54</v>
      </c>
      <c r="M8904" s="1" t="str">
        <f>"黑龙江省 大兴安岭地区 大兴安岭辖区 东山街道"</f>
        <v>黑龙江省 大兴安岭地区 大兴安岭辖区 东山街道</v>
      </c>
      <c r="N8904" s="1" t="str">
        <f t="shared" si="2501"/>
        <v>凡华云仓-韵达-抖音</v>
      </c>
      <c r="O8904" s="5">
        <v>320159957672941</v>
      </c>
      <c r="P8904" s="6">
        <v>0.33</v>
      </c>
      <c r="Q8904" s="11">
        <v>2.2999999999999998</v>
      </c>
      <c r="R8904" s="11"/>
      <c r="S8904" s="11"/>
      <c r="T8904" s="11"/>
      <c r="U8904" s="11">
        <f t="shared" si="2504"/>
        <v>2.2999999999999998</v>
      </c>
      <c r="W8904">
        <v>2.5</v>
      </c>
      <c r="X8904" s="1" t="s">
        <v>54</v>
      </c>
    </row>
    <row r="8905" spans="1:24" x14ac:dyDescent="0.25">
      <c r="A8905" s="1" t="str">
        <f t="shared" si="2505"/>
        <v>卡卡杜-凤凰仓</v>
      </c>
      <c r="B8905" s="1" t="str">
        <f>"CK2024100714946"</f>
        <v>CK2024100714946</v>
      </c>
      <c r="C8905" s="1" t="str">
        <f>"DD2024100736950"</f>
        <v>DD2024100736950</v>
      </c>
      <c r="D8905" s="1" t="str">
        <f>"CK2024100737957"</f>
        <v>CK2024100737957</v>
      </c>
      <c r="E8905" s="1" t="str">
        <f>"6917914547954482431"</f>
        <v>6917914547954482431</v>
      </c>
      <c r="F8905" s="1" t="str">
        <f t="shared" si="2506"/>
        <v>花都四部-凤凰仓</v>
      </c>
      <c r="G8905" s="1" t="str">
        <f t="shared" si="2498"/>
        <v>卡卡杜个人护理店（抖店）</v>
      </c>
      <c r="H8905" s="1" t="str">
        <f t="shared" si="2507"/>
        <v>正常订单</v>
      </c>
      <c r="I8905" s="1" t="str">
        <f t="shared" si="2508"/>
        <v>已发货</v>
      </c>
      <c r="J8905" s="1" t="str">
        <f t="shared" si="2503"/>
        <v>2</v>
      </c>
      <c r="K8905" s="1">
        <v>1</v>
      </c>
      <c r="L8905" s="1" t="s">
        <v>96</v>
      </c>
      <c r="M8905" s="1" t="str">
        <f>"广西壮族自治区 南宁市 横州市 横州镇"</f>
        <v>广西壮族自治区 南宁市 横州市 横州镇</v>
      </c>
      <c r="N8905" s="1" t="str">
        <f t="shared" si="2501"/>
        <v>凡华云仓-韵达-抖音</v>
      </c>
      <c r="O8905" s="5">
        <v>320159957672836</v>
      </c>
      <c r="P8905" s="6">
        <v>0.33</v>
      </c>
      <c r="Q8905" s="11">
        <v>2.2999999999999998</v>
      </c>
      <c r="R8905" s="11"/>
      <c r="S8905" s="11"/>
      <c r="T8905" s="11"/>
      <c r="U8905" s="11">
        <f t="shared" si="2504"/>
        <v>2.2999999999999998</v>
      </c>
      <c r="W8905">
        <v>2.5</v>
      </c>
      <c r="X8905" s="1" t="s">
        <v>96</v>
      </c>
    </row>
    <row r="8906" spans="1:24" x14ac:dyDescent="0.25">
      <c r="A8906" s="1" t="str">
        <f t="shared" si="2505"/>
        <v>卡卡杜-凤凰仓</v>
      </c>
      <c r="B8906" s="1" t="str">
        <f>"CK2024100714969"</f>
        <v>CK2024100714969</v>
      </c>
      <c r="C8906" s="1" t="str">
        <f>"DD2024100737001"</f>
        <v>DD2024100737001</v>
      </c>
      <c r="D8906" s="1" t="str">
        <f>"CK2024100737956"</f>
        <v>CK2024100737956</v>
      </c>
      <c r="E8906" s="1" t="str">
        <f>"6917909093816171854"</f>
        <v>6917909093816171854</v>
      </c>
      <c r="F8906" s="1" t="str">
        <f t="shared" si="2506"/>
        <v>花都四部-凤凰仓</v>
      </c>
      <c r="G8906" s="1" t="str">
        <f t="shared" si="2498"/>
        <v>卡卡杜个人护理店（抖店）</v>
      </c>
      <c r="H8906" s="1" t="str">
        <f t="shared" si="2507"/>
        <v>正常订单</v>
      </c>
      <c r="I8906" s="1" t="str">
        <f t="shared" si="2508"/>
        <v>已发货</v>
      </c>
      <c r="J8906" s="1" t="str">
        <f t="shared" si="2503"/>
        <v>2</v>
      </c>
      <c r="K8906" s="1">
        <v>1</v>
      </c>
      <c r="L8906" s="1" t="s">
        <v>161</v>
      </c>
      <c r="M8906" s="1" t="str">
        <f>"四川省 资阳市 安岳县 "</f>
        <v xml:space="preserve">四川省 资阳市 安岳县 </v>
      </c>
      <c r="N8906" s="1" t="str">
        <f t="shared" si="2501"/>
        <v>凡华云仓-韵达-抖音</v>
      </c>
      <c r="O8906" s="5">
        <v>320159957672733</v>
      </c>
      <c r="P8906" s="6">
        <v>0.33</v>
      </c>
      <c r="Q8906" s="11">
        <v>2.2999999999999998</v>
      </c>
      <c r="R8906" s="11"/>
      <c r="S8906" s="11"/>
      <c r="T8906" s="11"/>
      <c r="U8906" s="11">
        <f t="shared" si="2504"/>
        <v>2.2999999999999998</v>
      </c>
      <c r="W8906">
        <v>2.5</v>
      </c>
      <c r="X8906" s="1" t="s">
        <v>161</v>
      </c>
    </row>
    <row r="8907" spans="1:24" x14ac:dyDescent="0.25">
      <c r="A8907" s="1" t="str">
        <f t="shared" si="2505"/>
        <v>卡卡杜-凤凰仓</v>
      </c>
      <c r="B8907" s="1" t="str">
        <f>"CK2024100714971"</f>
        <v>CK2024100714971</v>
      </c>
      <c r="C8907" s="1" t="str">
        <f>"DD2024100737003"</f>
        <v>DD2024100737003</v>
      </c>
      <c r="D8907" s="1" t="str">
        <f>"CK2024100737955"</f>
        <v>CK2024100737955</v>
      </c>
      <c r="E8907" s="1" t="str">
        <f>"6917909757614915496"</f>
        <v>6917909757614915496</v>
      </c>
      <c r="F8907" s="1" t="str">
        <f t="shared" si="2506"/>
        <v>花都四部-凤凰仓</v>
      </c>
      <c r="G8907" s="1" t="str">
        <f t="shared" si="2498"/>
        <v>卡卡杜个人护理店（抖店）</v>
      </c>
      <c r="H8907" s="1" t="str">
        <f t="shared" si="2507"/>
        <v>正常订单</v>
      </c>
      <c r="I8907" s="1" t="str">
        <f t="shared" si="2508"/>
        <v>已发货</v>
      </c>
      <c r="J8907" s="1" t="str">
        <f t="shared" si="2503"/>
        <v>2</v>
      </c>
      <c r="K8907" s="1">
        <v>1</v>
      </c>
      <c r="L8907" s="1" t="s">
        <v>36</v>
      </c>
      <c r="M8907" s="1" t="str">
        <f>"安徽省 滁州市 定远县 定城镇"</f>
        <v>安徽省 滁州市 定远县 定城镇</v>
      </c>
      <c r="N8907" s="1" t="str">
        <f t="shared" si="2501"/>
        <v>凡华云仓-韵达-抖音</v>
      </c>
      <c r="O8907" s="5">
        <v>320159957672632</v>
      </c>
      <c r="P8907" s="6">
        <v>0.33</v>
      </c>
      <c r="Q8907" s="11">
        <v>2.2999999999999998</v>
      </c>
      <c r="R8907" s="11"/>
      <c r="S8907" s="11"/>
      <c r="T8907" s="11"/>
      <c r="U8907" s="11">
        <f t="shared" si="2504"/>
        <v>2.2999999999999998</v>
      </c>
      <c r="W8907">
        <v>2.5</v>
      </c>
      <c r="X8907" s="1" t="s">
        <v>36</v>
      </c>
    </row>
    <row r="8908" spans="1:24" x14ac:dyDescent="0.25">
      <c r="A8908" s="1" t="str">
        <f t="shared" si="2505"/>
        <v>卡卡杜-凤凰仓</v>
      </c>
      <c r="B8908" s="1" t="str">
        <f>"CK2024100714972"</f>
        <v>CK2024100714972</v>
      </c>
      <c r="C8908" s="1" t="str">
        <f>"DD2024100737007"</f>
        <v>DD2024100737007</v>
      </c>
      <c r="D8908" s="1" t="str">
        <f>"CK2024100737954"</f>
        <v>CK2024100737954</v>
      </c>
      <c r="E8908" s="1" t="str">
        <f>"6917914235052522500"</f>
        <v>6917914235052522500</v>
      </c>
      <c r="F8908" s="1" t="str">
        <f t="shared" si="2506"/>
        <v>花都四部-凤凰仓</v>
      </c>
      <c r="G8908" s="1" t="str">
        <f t="shared" si="2498"/>
        <v>卡卡杜个人护理店（抖店）</v>
      </c>
      <c r="H8908" s="1" t="str">
        <f t="shared" si="2507"/>
        <v>正常订单</v>
      </c>
      <c r="I8908" s="1" t="str">
        <f t="shared" si="2508"/>
        <v>已发货</v>
      </c>
      <c r="J8908" s="1" t="str">
        <f t="shared" si="2503"/>
        <v>2</v>
      </c>
      <c r="K8908" s="1">
        <v>1</v>
      </c>
      <c r="L8908" s="1" t="s">
        <v>96</v>
      </c>
      <c r="M8908" s="1" t="str">
        <f>"广西壮族自治区 南宁市 宾阳县 宾州镇"</f>
        <v>广西壮族自治区 南宁市 宾阳县 宾州镇</v>
      </c>
      <c r="N8908" s="1" t="str">
        <f t="shared" si="2501"/>
        <v>凡华云仓-韵达-抖音</v>
      </c>
      <c r="O8908" s="5">
        <v>320159957672533</v>
      </c>
      <c r="P8908" s="6">
        <v>0.33</v>
      </c>
      <c r="Q8908" s="11">
        <v>2.2999999999999998</v>
      </c>
      <c r="R8908" s="11"/>
      <c r="S8908" s="11"/>
      <c r="T8908" s="11"/>
      <c r="U8908" s="11">
        <f t="shared" si="2504"/>
        <v>2.2999999999999998</v>
      </c>
      <c r="W8908">
        <v>2.5</v>
      </c>
      <c r="X8908" s="1" t="s">
        <v>96</v>
      </c>
    </row>
    <row r="8909" spans="1:24" x14ac:dyDescent="0.25">
      <c r="A8909" s="1" t="str">
        <f t="shared" si="2505"/>
        <v>卡卡杜-凤凰仓</v>
      </c>
      <c r="B8909" s="1" t="str">
        <f>"CK2024100714960"</f>
        <v>CK2024100714960</v>
      </c>
      <c r="C8909" s="1" t="str">
        <f>"DD2024100736982"</f>
        <v>DD2024100736982</v>
      </c>
      <c r="D8909" s="1" t="str">
        <f>"CK2024100737953"</f>
        <v>CK2024100737953</v>
      </c>
      <c r="E8909" s="1" t="str">
        <f>"6917911990430760323"</f>
        <v>6917911990430760323</v>
      </c>
      <c r="F8909" s="1" t="str">
        <f t="shared" si="2506"/>
        <v>花都四部-凤凰仓</v>
      </c>
      <c r="G8909" s="1" t="str">
        <f t="shared" si="2498"/>
        <v>卡卡杜个人护理店（抖店）</v>
      </c>
      <c r="H8909" s="1" t="str">
        <f t="shared" si="2507"/>
        <v>正常订单</v>
      </c>
      <c r="I8909" s="1" t="str">
        <f t="shared" si="2508"/>
        <v>已发货</v>
      </c>
      <c r="J8909" s="1" t="str">
        <f t="shared" si="2503"/>
        <v>2</v>
      </c>
      <c r="K8909" s="1">
        <v>1</v>
      </c>
      <c r="L8909" s="1" t="s">
        <v>27</v>
      </c>
      <c r="M8909" s="1" t="str">
        <f>"贵州省 贵阳市 花溪区 "</f>
        <v xml:space="preserve">贵州省 贵阳市 花溪区 </v>
      </c>
      <c r="N8909" s="1" t="str">
        <f t="shared" si="2501"/>
        <v>凡华云仓-韵达-抖音</v>
      </c>
      <c r="O8909" s="5">
        <v>320159969225859</v>
      </c>
      <c r="P8909" s="6">
        <v>0.33</v>
      </c>
      <c r="Q8909" s="11">
        <v>2.2999999999999998</v>
      </c>
      <c r="R8909" s="11"/>
      <c r="S8909" s="11"/>
      <c r="T8909" s="11"/>
      <c r="U8909" s="11">
        <f t="shared" si="2504"/>
        <v>2.2999999999999998</v>
      </c>
      <c r="W8909">
        <v>2.5</v>
      </c>
      <c r="X8909" s="1" t="s">
        <v>27</v>
      </c>
    </row>
    <row r="8910" spans="1:24" x14ac:dyDescent="0.25">
      <c r="A8910" s="1" t="str">
        <f t="shared" si="2505"/>
        <v>卡卡杜-凤凰仓</v>
      </c>
      <c r="B8910" s="1" t="str">
        <f>"CK2024100714967"</f>
        <v>CK2024100714967</v>
      </c>
      <c r="C8910" s="1" t="str">
        <f>"DD2024100736997"</f>
        <v>DD2024100736997</v>
      </c>
      <c r="D8910" s="1" t="str">
        <f>"CK2024100737952"</f>
        <v>CK2024100737952</v>
      </c>
      <c r="E8910" s="1" t="str">
        <f>"6917914492048145549"</f>
        <v>6917914492048145549</v>
      </c>
      <c r="F8910" s="1" t="str">
        <f t="shared" si="2506"/>
        <v>花都四部-凤凰仓</v>
      </c>
      <c r="G8910" s="1" t="str">
        <f t="shared" si="2498"/>
        <v>卡卡杜个人护理店（抖店）</v>
      </c>
      <c r="H8910" s="1" t="str">
        <f t="shared" si="2507"/>
        <v>正常订单</v>
      </c>
      <c r="I8910" s="1" t="str">
        <f t="shared" si="2508"/>
        <v>已发货</v>
      </c>
      <c r="J8910" s="1" t="str">
        <f t="shared" si="2503"/>
        <v>2</v>
      </c>
      <c r="K8910" s="1">
        <v>1</v>
      </c>
      <c r="L8910" s="1" t="s">
        <v>24</v>
      </c>
      <c r="M8910" s="1" t="str">
        <f>"福建省 南平市 武夷山市 崇安街道"</f>
        <v>福建省 南平市 武夷山市 崇安街道</v>
      </c>
      <c r="N8910" s="1" t="str">
        <f t="shared" si="2501"/>
        <v>凡华云仓-韵达-抖音</v>
      </c>
      <c r="O8910" s="5">
        <v>320159969225756</v>
      </c>
      <c r="P8910" s="6">
        <v>0.33</v>
      </c>
      <c r="Q8910" s="11">
        <v>2.2999999999999998</v>
      </c>
      <c r="R8910" s="11"/>
      <c r="S8910" s="11"/>
      <c r="T8910" s="11"/>
      <c r="U8910" s="11">
        <f t="shared" si="2504"/>
        <v>2.2999999999999998</v>
      </c>
      <c r="W8910">
        <v>2.5</v>
      </c>
      <c r="X8910" s="1" t="s">
        <v>24</v>
      </c>
    </row>
    <row r="8911" spans="1:24" x14ac:dyDescent="0.25">
      <c r="A8911" s="1" t="str">
        <f t="shared" si="2505"/>
        <v>卡卡杜-凤凰仓</v>
      </c>
      <c r="B8911" s="1" t="str">
        <f>"CK2024100714955"</f>
        <v>CK2024100714955</v>
      </c>
      <c r="C8911" s="1" t="str">
        <f>"DD2024100736968"</f>
        <v>DD2024100736968</v>
      </c>
      <c r="D8911" s="1" t="str">
        <f>"CK2024100737951"</f>
        <v>CK2024100737951</v>
      </c>
      <c r="E8911" s="1" t="str">
        <f>"6917909897084370032"</f>
        <v>6917909897084370032</v>
      </c>
      <c r="F8911" s="1" t="str">
        <f t="shared" si="2506"/>
        <v>花都四部-凤凰仓</v>
      </c>
      <c r="G8911" s="1" t="str">
        <f t="shared" ref="G8911:G8913" si="2509">"卡卡杜个人护理店（抖店）"</f>
        <v>卡卡杜个人护理店（抖店）</v>
      </c>
      <c r="H8911" s="1" t="str">
        <f t="shared" si="2507"/>
        <v>正常订单</v>
      </c>
      <c r="I8911" s="1" t="str">
        <f t="shared" si="2508"/>
        <v>已发货</v>
      </c>
      <c r="J8911" s="1" t="str">
        <f t="shared" si="2503"/>
        <v>2</v>
      </c>
      <c r="K8911" s="1">
        <v>1</v>
      </c>
      <c r="L8911" s="1" t="s">
        <v>24</v>
      </c>
      <c r="M8911" s="1" t="str">
        <f>"福建省 三明市 三元区 富兴堡街道"</f>
        <v>福建省 三明市 三元区 富兴堡街道</v>
      </c>
      <c r="N8911" s="1" t="str">
        <f t="shared" si="2501"/>
        <v>凡华云仓-韵达-抖音</v>
      </c>
      <c r="O8911" s="5">
        <v>320159969225655</v>
      </c>
      <c r="P8911" s="6">
        <v>0.33</v>
      </c>
      <c r="Q8911" s="11">
        <v>2.2999999999999998</v>
      </c>
      <c r="R8911" s="11"/>
      <c r="S8911" s="11"/>
      <c r="T8911" s="11"/>
      <c r="U8911" s="11">
        <f t="shared" si="2504"/>
        <v>2.2999999999999998</v>
      </c>
      <c r="W8911">
        <v>2.5</v>
      </c>
      <c r="X8911" s="1" t="s">
        <v>24</v>
      </c>
    </row>
    <row r="8912" spans="1:24" x14ac:dyDescent="0.25">
      <c r="A8912" s="1" t="str">
        <f t="shared" si="2505"/>
        <v>卡卡杜-凤凰仓</v>
      </c>
      <c r="B8912" s="1" t="str">
        <f>"CK2024100714916"</f>
        <v>CK2024100714916</v>
      </c>
      <c r="C8912" s="1" t="str">
        <f>"DD2024100736889"</f>
        <v>DD2024100736889</v>
      </c>
      <c r="D8912" s="1" t="str">
        <f>"CK2024100737950"</f>
        <v>CK2024100737950</v>
      </c>
      <c r="E8912" s="1" t="str">
        <f>"6917896575623331758"</f>
        <v>6917896575623331758</v>
      </c>
      <c r="F8912" s="1" t="str">
        <f t="shared" si="2506"/>
        <v>花都四部-凤凰仓</v>
      </c>
      <c r="G8912" s="1" t="str">
        <f t="shared" si="2509"/>
        <v>卡卡杜个人护理店（抖店）</v>
      </c>
      <c r="H8912" s="1" t="str">
        <f t="shared" si="2507"/>
        <v>正常订单</v>
      </c>
      <c r="I8912" s="1" t="str">
        <f t="shared" si="2508"/>
        <v>已发货</v>
      </c>
      <c r="J8912" s="1" t="str">
        <f t="shared" si="2503"/>
        <v>2</v>
      </c>
      <c r="K8912" s="1">
        <v>1</v>
      </c>
      <c r="L8912" s="1" t="s">
        <v>18</v>
      </c>
      <c r="M8912" s="1" t="str">
        <f>"广东省 佛山市 禅城区 南庄镇"</f>
        <v>广东省 佛山市 禅城区 南庄镇</v>
      </c>
      <c r="N8912" s="1" t="str">
        <f t="shared" si="2501"/>
        <v>凡华云仓-韵达-抖音</v>
      </c>
      <c r="O8912" s="5">
        <v>320159969225556</v>
      </c>
      <c r="P8912" s="6">
        <v>0.33</v>
      </c>
      <c r="Q8912" s="11">
        <v>2.2999999999999998</v>
      </c>
      <c r="R8912" s="11"/>
      <c r="S8912" s="11"/>
      <c r="T8912" s="11"/>
      <c r="U8912" s="11">
        <f t="shared" si="2504"/>
        <v>2.2999999999999998</v>
      </c>
      <c r="W8912">
        <v>2.5</v>
      </c>
      <c r="X8912" s="1" t="s">
        <v>18</v>
      </c>
    </row>
    <row r="8913" spans="1:24" x14ac:dyDescent="0.25">
      <c r="A8913" s="1" t="str">
        <f t="shared" si="2505"/>
        <v>卡卡杜-凤凰仓</v>
      </c>
      <c r="B8913" s="1" t="str">
        <f>"CK2024100714970"</f>
        <v>CK2024100714970</v>
      </c>
      <c r="C8913" s="1" t="str">
        <f>"DD2024100736999"</f>
        <v>DD2024100736999</v>
      </c>
      <c r="D8913" s="1" t="str">
        <f>"CK2024100737949"</f>
        <v>CK2024100737949</v>
      </c>
      <c r="E8913" s="1" t="str">
        <f>"6917911825244781836"</f>
        <v>6917911825244781836</v>
      </c>
      <c r="F8913" s="1" t="str">
        <f t="shared" si="2506"/>
        <v>花都四部-凤凰仓</v>
      </c>
      <c r="G8913" s="1" t="str">
        <f t="shared" si="2509"/>
        <v>卡卡杜个人护理店（抖店）</v>
      </c>
      <c r="H8913" s="1" t="str">
        <f t="shared" si="2507"/>
        <v>正常订单</v>
      </c>
      <c r="I8913" s="1" t="str">
        <f t="shared" si="2508"/>
        <v>已发货</v>
      </c>
      <c r="J8913" s="1" t="str">
        <f t="shared" si="2503"/>
        <v>2</v>
      </c>
      <c r="K8913" s="1">
        <v>1</v>
      </c>
      <c r="L8913" s="1" t="s">
        <v>13</v>
      </c>
      <c r="M8913" s="1" t="str">
        <f>"江苏省 常州市 武进区 牛塘镇"</f>
        <v>江苏省 常州市 武进区 牛塘镇</v>
      </c>
      <c r="N8913" s="1" t="str">
        <f t="shared" si="2501"/>
        <v>凡华云仓-韵达-抖音</v>
      </c>
      <c r="O8913" s="5">
        <v>320159969225459</v>
      </c>
      <c r="P8913" s="6">
        <v>0.33</v>
      </c>
      <c r="Q8913" s="11">
        <v>2.2999999999999998</v>
      </c>
      <c r="R8913" s="11"/>
      <c r="S8913" s="11"/>
      <c r="T8913" s="11"/>
      <c r="U8913" s="11">
        <f t="shared" si="2504"/>
        <v>2.2999999999999998</v>
      </c>
      <c r="W8913">
        <v>2.5</v>
      </c>
      <c r="X8913" s="1" t="s">
        <v>13</v>
      </c>
    </row>
    <row r="8914" spans="1:24" x14ac:dyDescent="0.25">
      <c r="A8914" s="1" t="str">
        <f t="shared" si="2505"/>
        <v>卡卡杜-凤凰仓</v>
      </c>
      <c r="B8914" s="1" t="str">
        <f>"CK2024100718"</f>
        <v>CK2024100718</v>
      </c>
      <c r="C8914" s="1" t="str">
        <f>"DD202410078945"</f>
        <v>DD202410078945</v>
      </c>
      <c r="D8914" s="1" t="str">
        <f>"CK2024100723539"</f>
        <v>CK2024100723539</v>
      </c>
      <c r="E8914" s="1" t="str">
        <f>"4069672381132249334"</f>
        <v>4069672381132249334</v>
      </c>
      <c r="F8914" s="1" t="str">
        <f t="shared" si="2506"/>
        <v>花都四部-凤凰仓</v>
      </c>
      <c r="G8914" s="1" t="str">
        <f>"卡卡杜旗舰店(天猫）"</f>
        <v>卡卡杜旗舰店(天猫）</v>
      </c>
      <c r="H8914" s="1" t="str">
        <f t="shared" si="2507"/>
        <v>正常订单</v>
      </c>
      <c r="I8914" s="1" t="str">
        <f t="shared" si="2508"/>
        <v>已发货</v>
      </c>
      <c r="J8914" s="1" t="str">
        <f>"1"</f>
        <v>1</v>
      </c>
      <c r="K8914" s="1">
        <v>1</v>
      </c>
      <c r="L8914" s="1" t="s">
        <v>161</v>
      </c>
      <c r="M8914" s="1" t="str">
        <f>"四川省 成都市 温江区 "</f>
        <v xml:space="preserve">四川省 成都市 温江区 </v>
      </c>
      <c r="N8914" s="1" t="str">
        <f>"凡华云仓-韵达-淘宝"</f>
        <v>凡华云仓-韵达-淘宝</v>
      </c>
      <c r="O8914" s="5">
        <v>434173863884790</v>
      </c>
      <c r="P8914" s="6">
        <v>0.19</v>
      </c>
      <c r="Q8914" s="11">
        <v>2</v>
      </c>
      <c r="R8914" s="11"/>
      <c r="S8914" s="11"/>
      <c r="T8914" s="11"/>
      <c r="U8914" s="11">
        <f t="shared" si="2504"/>
        <v>2</v>
      </c>
      <c r="W8914">
        <v>2.2000000000000002</v>
      </c>
      <c r="X8914" s="1" t="s">
        <v>161</v>
      </c>
    </row>
    <row r="8915" spans="1:24" x14ac:dyDescent="0.25">
      <c r="A8915" s="1" t="str">
        <f t="shared" si="2505"/>
        <v>卡卡杜-凤凰仓</v>
      </c>
      <c r="B8915" s="1" t="str">
        <f>"CK20241007160"</f>
        <v>CK20241007160</v>
      </c>
      <c r="C8915" s="1" t="str">
        <f>"DD202410079102"</f>
        <v>DD202410079102</v>
      </c>
      <c r="D8915" s="1" t="str">
        <f>"CK2024100723538"</f>
        <v>CK2024100723538</v>
      </c>
      <c r="E8915" s="1" t="str">
        <f>"3723139232462672896"</f>
        <v>3723139232462672896</v>
      </c>
      <c r="F8915" s="1" t="str">
        <f t="shared" si="2506"/>
        <v>花都四部-凤凰仓</v>
      </c>
      <c r="G8915" s="1" t="str">
        <f t="shared" ref="G8915:G8918" si="2510">"卡卡杜企业店（视频号）"</f>
        <v>卡卡杜企业店（视频号）</v>
      </c>
      <c r="H8915" s="1" t="str">
        <f t="shared" si="2507"/>
        <v>正常订单</v>
      </c>
      <c r="I8915" s="1" t="str">
        <f t="shared" si="2508"/>
        <v>已发货</v>
      </c>
      <c r="J8915" s="1" t="str">
        <f>"4"</f>
        <v>4</v>
      </c>
      <c r="K8915" s="1">
        <v>2</v>
      </c>
      <c r="L8915" s="1" t="s">
        <v>218</v>
      </c>
      <c r="M8915" s="1" t="str">
        <f>"天津 天津市 河东区 "</f>
        <v xml:space="preserve">天津 天津市 河东区 </v>
      </c>
      <c r="N8915" s="1" t="str">
        <f t="shared" ref="N8915:N8918" si="2511">"凡华云仓-韵达-微信视频号"</f>
        <v>凡华云仓-韵达-微信视频号</v>
      </c>
      <c r="O8915" s="5">
        <v>315012188169491</v>
      </c>
      <c r="P8915" s="6">
        <v>0.52</v>
      </c>
      <c r="Q8915" s="11">
        <f>CEILING(P8915-0.5,0.1)*10*0.15+2.3</f>
        <v>2.4499999999999997</v>
      </c>
      <c r="R8915" s="11"/>
      <c r="S8915" s="11"/>
      <c r="T8915" s="11"/>
      <c r="U8915" s="11">
        <f t="shared" si="2504"/>
        <v>2.4499999999999997</v>
      </c>
      <c r="V8915" t="s">
        <v>15</v>
      </c>
      <c r="W8915">
        <v>2.4500000000000002</v>
      </c>
      <c r="X8915" s="1" t="s">
        <v>218</v>
      </c>
    </row>
    <row r="8916" spans="1:24" x14ac:dyDescent="0.25">
      <c r="A8916" s="1" t="str">
        <f t="shared" si="2505"/>
        <v>卡卡杜-凤凰仓</v>
      </c>
      <c r="B8916" s="1" t="str">
        <f>"CK20241007159"</f>
        <v>CK20241007159</v>
      </c>
      <c r="C8916" s="1" t="str">
        <f>"DD202410079103"</f>
        <v>DD202410079103</v>
      </c>
      <c r="D8916" s="1" t="str">
        <f>"CK2024100723537"</f>
        <v>CK2024100723537</v>
      </c>
      <c r="E8916" s="1" t="str">
        <f>"3723129253773579265"</f>
        <v>3723129253773579265</v>
      </c>
      <c r="F8916" s="1" t="str">
        <f t="shared" si="2506"/>
        <v>花都四部-凤凰仓</v>
      </c>
      <c r="G8916" s="1" t="str">
        <f t="shared" si="2510"/>
        <v>卡卡杜企业店（视频号）</v>
      </c>
      <c r="H8916" s="1" t="str">
        <f t="shared" si="2507"/>
        <v>正常订单</v>
      </c>
      <c r="I8916" s="1" t="str">
        <f t="shared" si="2508"/>
        <v>已发货</v>
      </c>
      <c r="J8916" s="1" t="str">
        <f t="shared" ref="J8916:J8923" si="2512">"2"</f>
        <v>2</v>
      </c>
      <c r="K8916" s="1">
        <v>2</v>
      </c>
      <c r="L8916" s="1" t="s">
        <v>105</v>
      </c>
      <c r="M8916" s="1" t="str">
        <f>"北京 北京市 石景山区 "</f>
        <v xml:space="preserve">北京 北京市 石景山区 </v>
      </c>
      <c r="N8916" s="1" t="str">
        <f t="shared" si="2511"/>
        <v>凡华云仓-韵达-微信视频号</v>
      </c>
      <c r="O8916" s="5">
        <v>315012188164486</v>
      </c>
      <c r="P8916" s="6">
        <v>0.28000000000000003</v>
      </c>
      <c r="Q8916" s="11">
        <v>2</v>
      </c>
      <c r="R8916" s="11"/>
      <c r="S8916" s="11"/>
      <c r="T8916" s="11"/>
      <c r="U8916" s="11">
        <f t="shared" si="2504"/>
        <v>2</v>
      </c>
      <c r="W8916">
        <v>2.2000000000000002</v>
      </c>
      <c r="X8916" s="1" t="s">
        <v>105</v>
      </c>
    </row>
    <row r="8917" spans="1:24" x14ac:dyDescent="0.25">
      <c r="A8917" s="1" t="str">
        <f t="shared" si="2505"/>
        <v>卡卡杜-凤凰仓</v>
      </c>
      <c r="B8917" s="1" t="str">
        <f>"CK20241007158"</f>
        <v>CK20241007158</v>
      </c>
      <c r="C8917" s="1" t="str">
        <f>"DD202410079101"</f>
        <v>DD202410079101</v>
      </c>
      <c r="D8917" s="1" t="str">
        <f>"CK2024100723536"</f>
        <v>CK2024100723536</v>
      </c>
      <c r="E8917" s="1" t="str">
        <f>"3723129194122184192"</f>
        <v>3723129194122184192</v>
      </c>
      <c r="F8917" s="1" t="str">
        <f t="shared" si="2506"/>
        <v>花都四部-凤凰仓</v>
      </c>
      <c r="G8917" s="1" t="str">
        <f t="shared" si="2510"/>
        <v>卡卡杜企业店（视频号）</v>
      </c>
      <c r="H8917" s="1" t="str">
        <f t="shared" si="2507"/>
        <v>正常订单</v>
      </c>
      <c r="I8917" s="1" t="str">
        <f t="shared" si="2508"/>
        <v>已发货</v>
      </c>
      <c r="J8917" s="1" t="str">
        <f t="shared" si="2512"/>
        <v>2</v>
      </c>
      <c r="K8917" s="1">
        <v>2</v>
      </c>
      <c r="L8917" s="1" t="s">
        <v>74</v>
      </c>
      <c r="M8917" s="1" t="str">
        <f>"上海 上海市 徐汇区 "</f>
        <v xml:space="preserve">上海 上海市 徐汇区 </v>
      </c>
      <c r="N8917" s="1" t="str">
        <f t="shared" si="2511"/>
        <v>凡华云仓-韵达-微信视频号</v>
      </c>
      <c r="O8917" s="5">
        <v>315012188160230</v>
      </c>
      <c r="P8917" s="6">
        <v>0.28000000000000003</v>
      </c>
      <c r="Q8917" s="11">
        <v>2</v>
      </c>
      <c r="R8917" s="11"/>
      <c r="S8917" s="11"/>
      <c r="T8917" s="11"/>
      <c r="U8917" s="11">
        <f t="shared" si="2504"/>
        <v>2</v>
      </c>
      <c r="W8917">
        <v>2.2000000000000002</v>
      </c>
      <c r="X8917" s="1" t="s">
        <v>74</v>
      </c>
    </row>
    <row r="8918" spans="1:24" x14ac:dyDescent="0.25">
      <c r="A8918" s="1" t="str">
        <f t="shared" si="2505"/>
        <v>卡卡杜-凤凰仓</v>
      </c>
      <c r="B8918" s="1" t="str">
        <f>"CK20241007157"</f>
        <v>CK20241007157</v>
      </c>
      <c r="C8918" s="1" t="str">
        <f>"DD202410079099"</f>
        <v>DD202410079099</v>
      </c>
      <c r="D8918" s="1" t="str">
        <f>"CK2024100723535"</f>
        <v>CK2024100723535</v>
      </c>
      <c r="E8918" s="1" t="str">
        <f>"3723128457371190784"</f>
        <v>3723128457371190784</v>
      </c>
      <c r="F8918" s="1" t="str">
        <f t="shared" si="2506"/>
        <v>花都四部-凤凰仓</v>
      </c>
      <c r="G8918" s="1" t="str">
        <f t="shared" si="2510"/>
        <v>卡卡杜企业店（视频号）</v>
      </c>
      <c r="H8918" s="1" t="str">
        <f t="shared" si="2507"/>
        <v>正常订单</v>
      </c>
      <c r="I8918" s="1" t="str">
        <f t="shared" si="2508"/>
        <v>已发货</v>
      </c>
      <c r="J8918" s="1" t="str">
        <f t="shared" si="2512"/>
        <v>2</v>
      </c>
      <c r="K8918" s="1">
        <v>2</v>
      </c>
      <c r="L8918" s="1" t="s">
        <v>105</v>
      </c>
      <c r="M8918" s="1" t="str">
        <f>"北京 北京市 昌平区 "</f>
        <v xml:space="preserve">北京 北京市 昌平区 </v>
      </c>
      <c r="N8918" s="1" t="str">
        <f t="shared" si="2511"/>
        <v>凡华云仓-韵达-微信视频号</v>
      </c>
      <c r="O8918" s="5">
        <v>315012168123308</v>
      </c>
      <c r="P8918" s="6">
        <v>0.28000000000000003</v>
      </c>
      <c r="Q8918" s="11">
        <v>2</v>
      </c>
      <c r="R8918" s="11"/>
      <c r="S8918" s="11"/>
      <c r="T8918" s="11"/>
      <c r="U8918" s="11">
        <f t="shared" si="2504"/>
        <v>2</v>
      </c>
      <c r="W8918">
        <v>2.2000000000000002</v>
      </c>
      <c r="X8918" s="1" t="s">
        <v>105</v>
      </c>
    </row>
    <row r="8919" spans="1:24" x14ac:dyDescent="0.25">
      <c r="A8919" s="1" t="str">
        <f t="shared" si="2505"/>
        <v>卡卡杜-凤凰仓</v>
      </c>
      <c r="B8919" s="1" t="str">
        <f>"CK2024100750"</f>
        <v>CK2024100750</v>
      </c>
      <c r="C8919" s="1" t="str">
        <f>"DD202410078993"</f>
        <v>DD202410078993</v>
      </c>
      <c r="D8919" s="1" t="str">
        <f>"CK2024100723534"</f>
        <v>CK2024100723534</v>
      </c>
      <c r="E8919" s="1" t="str">
        <f>"6917903212628442364"</f>
        <v>6917903212628442364</v>
      </c>
      <c r="F8919" s="1" t="str">
        <f t="shared" si="2506"/>
        <v>花都四部-凤凰仓</v>
      </c>
      <c r="G8919" s="1" t="str">
        <f t="shared" ref="G8919:G8982" si="2513">"卡卡杜个人护理店（抖店）"</f>
        <v>卡卡杜个人护理店（抖店）</v>
      </c>
      <c r="H8919" s="1" t="str">
        <f t="shared" si="2507"/>
        <v>正常订单</v>
      </c>
      <c r="I8919" s="1" t="str">
        <f t="shared" si="2508"/>
        <v>已发货</v>
      </c>
      <c r="J8919" s="1" t="str">
        <f t="shared" si="2512"/>
        <v>2</v>
      </c>
      <c r="K8919" s="1">
        <v>1</v>
      </c>
      <c r="L8919" s="1" t="s">
        <v>13</v>
      </c>
      <c r="M8919" s="1" t="str">
        <f>"江苏省 苏州市 太仓市 浮桥镇"</f>
        <v>江苏省 苏州市 太仓市 浮桥镇</v>
      </c>
      <c r="N8919" s="1" t="str">
        <f t="shared" ref="N8919:N8933" si="2514">"凡华云仓-韵达-抖音"</f>
        <v>凡华云仓-韵达-抖音</v>
      </c>
      <c r="O8919" s="5">
        <v>320159621707299</v>
      </c>
      <c r="P8919" s="6">
        <v>0.33</v>
      </c>
      <c r="Q8919" s="11">
        <v>2.2999999999999998</v>
      </c>
      <c r="R8919" s="11"/>
      <c r="S8919" s="11"/>
      <c r="T8919" s="11"/>
      <c r="U8919" s="11">
        <f t="shared" si="2504"/>
        <v>2.2999999999999998</v>
      </c>
      <c r="W8919">
        <v>2.5</v>
      </c>
      <c r="X8919" s="1" t="s">
        <v>13</v>
      </c>
    </row>
    <row r="8920" spans="1:24" x14ac:dyDescent="0.25">
      <c r="A8920" s="1" t="str">
        <f t="shared" si="2505"/>
        <v>卡卡杜-凤凰仓</v>
      </c>
      <c r="B8920" s="1" t="str">
        <f>"CK20241007112"</f>
        <v>CK20241007112</v>
      </c>
      <c r="C8920" s="1" t="str">
        <f>"DD202410079057"</f>
        <v>DD202410079057</v>
      </c>
      <c r="D8920" s="1" t="str">
        <f>"CK2024100723533"</f>
        <v>CK2024100723533</v>
      </c>
      <c r="E8920" s="1" t="str">
        <f>"6917903541170568761"</f>
        <v>6917903541170568761</v>
      </c>
      <c r="F8920" s="1" t="str">
        <f t="shared" si="2506"/>
        <v>花都四部-凤凰仓</v>
      </c>
      <c r="G8920" s="1" t="str">
        <f t="shared" si="2513"/>
        <v>卡卡杜个人护理店（抖店）</v>
      </c>
      <c r="H8920" s="1" t="str">
        <f t="shared" si="2507"/>
        <v>正常订单</v>
      </c>
      <c r="I8920" s="1" t="str">
        <f t="shared" si="2508"/>
        <v>已发货</v>
      </c>
      <c r="J8920" s="1" t="str">
        <f t="shared" si="2512"/>
        <v>2</v>
      </c>
      <c r="K8920" s="1">
        <v>1</v>
      </c>
      <c r="L8920" s="1" t="s">
        <v>22</v>
      </c>
      <c r="M8920" s="1" t="str">
        <f>"江西省 抚州市 临川区 钟岭街道"</f>
        <v>江西省 抚州市 临川区 钟岭街道</v>
      </c>
      <c r="N8920" s="1" t="str">
        <f t="shared" si="2514"/>
        <v>凡华云仓-韵达-抖音</v>
      </c>
      <c r="O8920" s="5">
        <v>320159621707108</v>
      </c>
      <c r="P8920" s="6">
        <v>0.33</v>
      </c>
      <c r="Q8920" s="11">
        <v>2.2999999999999998</v>
      </c>
      <c r="R8920" s="11"/>
      <c r="S8920" s="11"/>
      <c r="T8920" s="11"/>
      <c r="U8920" s="11">
        <f t="shared" si="2504"/>
        <v>2.2999999999999998</v>
      </c>
      <c r="W8920">
        <v>2.5</v>
      </c>
      <c r="X8920" s="1" t="s">
        <v>22</v>
      </c>
    </row>
    <row r="8921" spans="1:24" x14ac:dyDescent="0.25">
      <c r="A8921" s="1" t="str">
        <f t="shared" si="2505"/>
        <v>卡卡杜-凤凰仓</v>
      </c>
      <c r="B8921" s="1" t="str">
        <f>"CK20241007149"</f>
        <v>CK20241007149</v>
      </c>
      <c r="C8921" s="1" t="str">
        <f>"DD202410079091"</f>
        <v>DD202410079091</v>
      </c>
      <c r="D8921" s="1" t="str">
        <f>"CK2024100723532"</f>
        <v>CK2024100723532</v>
      </c>
      <c r="E8921" s="1" t="str">
        <f>"6917896513037434167"</f>
        <v>6917896513037434167</v>
      </c>
      <c r="F8921" s="1" t="str">
        <f t="shared" si="2506"/>
        <v>花都四部-凤凰仓</v>
      </c>
      <c r="G8921" s="1" t="str">
        <f t="shared" si="2513"/>
        <v>卡卡杜个人护理店（抖店）</v>
      </c>
      <c r="H8921" s="1" t="str">
        <f t="shared" si="2507"/>
        <v>正常订单</v>
      </c>
      <c r="I8921" s="1" t="str">
        <f t="shared" si="2508"/>
        <v>已发货</v>
      </c>
      <c r="J8921" s="1" t="str">
        <f t="shared" si="2512"/>
        <v>2</v>
      </c>
      <c r="K8921" s="1">
        <v>2</v>
      </c>
      <c r="L8921" s="1" t="s">
        <v>218</v>
      </c>
      <c r="M8921" s="1" t="str">
        <f>"天津 天津市 河西区 挂甲寺街道"</f>
        <v>天津 天津市 河西区 挂甲寺街道</v>
      </c>
      <c r="N8921" s="1" t="str">
        <f t="shared" si="2514"/>
        <v>凡华云仓-韵达-抖音</v>
      </c>
      <c r="O8921" s="5">
        <v>320159621707019</v>
      </c>
      <c r="P8921" s="6">
        <v>0.28000000000000003</v>
      </c>
      <c r="Q8921" s="11">
        <v>2</v>
      </c>
      <c r="R8921" s="11"/>
      <c r="S8921" s="11"/>
      <c r="T8921" s="11"/>
      <c r="U8921" s="11">
        <f t="shared" si="2504"/>
        <v>2</v>
      </c>
      <c r="W8921">
        <v>2.2000000000000002</v>
      </c>
      <c r="X8921" s="1" t="s">
        <v>218</v>
      </c>
    </row>
    <row r="8922" spans="1:24" x14ac:dyDescent="0.25">
      <c r="A8922" s="1" t="str">
        <f t="shared" si="2505"/>
        <v>卡卡杜-凤凰仓</v>
      </c>
      <c r="B8922" s="1" t="str">
        <f>"CK20241007113"</f>
        <v>CK20241007113</v>
      </c>
      <c r="C8922" s="1" t="str">
        <f>"DD202410079055"</f>
        <v>DD202410079055</v>
      </c>
      <c r="D8922" s="1" t="str">
        <f>"CK2024100723531"</f>
        <v>CK2024100723531</v>
      </c>
      <c r="E8922" s="1" t="str">
        <f>"6917900850006556003"</f>
        <v>6917900850006556003</v>
      </c>
      <c r="F8922" s="1" t="str">
        <f t="shared" si="2506"/>
        <v>花都四部-凤凰仓</v>
      </c>
      <c r="G8922" s="1" t="str">
        <f t="shared" si="2513"/>
        <v>卡卡杜个人护理店（抖店）</v>
      </c>
      <c r="H8922" s="1" t="str">
        <f t="shared" si="2507"/>
        <v>正常订单</v>
      </c>
      <c r="I8922" s="1" t="str">
        <f t="shared" si="2508"/>
        <v>已发货</v>
      </c>
      <c r="J8922" s="1" t="str">
        <f t="shared" si="2512"/>
        <v>2</v>
      </c>
      <c r="K8922" s="1">
        <v>1</v>
      </c>
      <c r="L8922" s="1" t="s">
        <v>94</v>
      </c>
      <c r="M8922" s="1" t="str">
        <f>"湖南省 娄底市 娄星区 涟滨街道"</f>
        <v>湖南省 娄底市 娄星区 涟滨街道</v>
      </c>
      <c r="N8922" s="1" t="str">
        <f t="shared" si="2514"/>
        <v>凡华云仓-韵达-抖音</v>
      </c>
      <c r="O8922" s="5">
        <v>320159621706991</v>
      </c>
      <c r="P8922" s="6">
        <v>0.33</v>
      </c>
      <c r="Q8922" s="11">
        <v>2.2999999999999998</v>
      </c>
      <c r="R8922" s="11"/>
      <c r="S8922" s="11"/>
      <c r="T8922" s="11"/>
      <c r="U8922" s="11">
        <f t="shared" si="2504"/>
        <v>2.2999999999999998</v>
      </c>
      <c r="W8922">
        <v>2.5</v>
      </c>
      <c r="X8922" s="1" t="s">
        <v>94</v>
      </c>
    </row>
    <row r="8923" spans="1:24" x14ac:dyDescent="0.25">
      <c r="A8923" s="1" t="str">
        <f t="shared" si="2505"/>
        <v>卡卡杜-凤凰仓</v>
      </c>
      <c r="B8923" s="1" t="str">
        <f>"CK20241007114"</f>
        <v>CK20241007114</v>
      </c>
      <c r="C8923" s="1" t="str">
        <f>"DD202410079056"</f>
        <v>DD202410079056</v>
      </c>
      <c r="D8923" s="1" t="str">
        <f>"CK2024100723530"</f>
        <v>CK2024100723530</v>
      </c>
      <c r="E8923" s="1" t="str">
        <f>"6917898752712932551"</f>
        <v>6917898752712932551</v>
      </c>
      <c r="F8923" s="1" t="str">
        <f t="shared" si="2506"/>
        <v>花都四部-凤凰仓</v>
      </c>
      <c r="G8923" s="1" t="str">
        <f t="shared" si="2513"/>
        <v>卡卡杜个人护理店（抖店）</v>
      </c>
      <c r="H8923" s="1" t="str">
        <f t="shared" si="2507"/>
        <v>正常订单</v>
      </c>
      <c r="I8923" s="1" t="str">
        <f t="shared" si="2508"/>
        <v>已发货</v>
      </c>
      <c r="J8923" s="1" t="str">
        <f t="shared" si="2512"/>
        <v>2</v>
      </c>
      <c r="K8923" s="1">
        <v>1</v>
      </c>
      <c r="L8923" s="1" t="s">
        <v>18</v>
      </c>
      <c r="M8923" s="1" t="str">
        <f>"广东省 东莞市 东莞市 虎门镇"</f>
        <v>广东省 东莞市 东莞市 虎门镇</v>
      </c>
      <c r="N8923" s="1" t="str">
        <f t="shared" si="2514"/>
        <v>凡华云仓-韵达-抖音</v>
      </c>
      <c r="O8923" s="5">
        <v>320159621706886</v>
      </c>
      <c r="P8923" s="6">
        <v>0.33</v>
      </c>
      <c r="Q8923" s="11">
        <v>2.2999999999999998</v>
      </c>
      <c r="R8923" s="11"/>
      <c r="S8923" s="11"/>
      <c r="T8923" s="11"/>
      <c r="U8923" s="11">
        <f t="shared" si="2504"/>
        <v>2.2999999999999998</v>
      </c>
      <c r="W8923">
        <v>2.5</v>
      </c>
      <c r="X8923" s="1" t="s">
        <v>18</v>
      </c>
    </row>
    <row r="8924" spans="1:24" x14ac:dyDescent="0.25">
      <c r="A8924" s="1" t="str">
        <f t="shared" si="2505"/>
        <v>卡卡杜-凤凰仓</v>
      </c>
      <c r="B8924" s="1" t="str">
        <f>"CK2024101926423"</f>
        <v>CK2024101926423</v>
      </c>
      <c r="C8924" s="1" t="str">
        <f>"DD2024101961345"</f>
        <v>DD2024101961345</v>
      </c>
      <c r="D8924" s="1" t="str">
        <f>"CK2024101948961"</f>
        <v>CK2024101948961</v>
      </c>
      <c r="E8924" s="1" t="str">
        <f>"6935208276135318974"</f>
        <v>6935208276135318974</v>
      </c>
      <c r="F8924" s="1" t="str">
        <f t="shared" si="2506"/>
        <v>花都四部-凤凰仓</v>
      </c>
      <c r="G8924" s="1" t="str">
        <f t="shared" si="2513"/>
        <v>卡卡杜个人护理店（抖店）</v>
      </c>
      <c r="H8924" s="1" t="str">
        <f t="shared" si="2507"/>
        <v>正常订单</v>
      </c>
      <c r="I8924" s="1" t="str">
        <f t="shared" si="2508"/>
        <v>已发货</v>
      </c>
      <c r="J8924" s="1" t="str">
        <f>"4"</f>
        <v>4</v>
      </c>
      <c r="K8924" s="1">
        <v>1</v>
      </c>
      <c r="L8924" s="1" t="s">
        <v>74</v>
      </c>
      <c r="M8924" s="1" t="str">
        <f>"上海 上海市 虹口区 凉城新村街道"</f>
        <v>上海 上海市 虹口区 凉城新村街道</v>
      </c>
      <c r="N8924" s="1" t="str">
        <f>"凡华云仓-城南圆通-抖音"</f>
        <v>凡华云仓-城南圆通-抖音</v>
      </c>
      <c r="O8924" s="5" t="s">
        <v>5671</v>
      </c>
      <c r="P8924" s="6">
        <v>0.57999999999999996</v>
      </c>
      <c r="Q8924" s="11">
        <f>CEILING(P8924-0.5,0.1)*10*0.15+2.3</f>
        <v>2.4499999999999997</v>
      </c>
      <c r="R8924" s="11"/>
      <c r="S8924" s="11"/>
      <c r="T8924" s="11"/>
      <c r="U8924" s="11">
        <f t="shared" si="2504"/>
        <v>2.4499999999999997</v>
      </c>
      <c r="V8924" t="s">
        <v>15</v>
      </c>
      <c r="W8924">
        <v>2.4500000000000002</v>
      </c>
      <c r="X8924" s="1" t="s">
        <v>74</v>
      </c>
    </row>
    <row r="8925" spans="1:24" x14ac:dyDescent="0.25">
      <c r="A8925" s="1" t="str">
        <f t="shared" si="2505"/>
        <v>卡卡杜-凤凰仓</v>
      </c>
      <c r="B8925" s="1" t="str">
        <f>"CK20241007115"</f>
        <v>CK20241007115</v>
      </c>
      <c r="C8925" s="1" t="str">
        <f>"DD202410079058"</f>
        <v>DD202410079058</v>
      </c>
      <c r="D8925" s="1" t="str">
        <f>"CK2024100723528"</f>
        <v>CK2024100723528</v>
      </c>
      <c r="E8925" s="1" t="str">
        <f>"6917902955741216311"</f>
        <v>6917902955741216311</v>
      </c>
      <c r="F8925" s="1" t="str">
        <f t="shared" si="2506"/>
        <v>花都四部-凤凰仓</v>
      </c>
      <c r="G8925" s="1" t="str">
        <f t="shared" si="2513"/>
        <v>卡卡杜个人护理店（抖店）</v>
      </c>
      <c r="H8925" s="1" t="str">
        <f t="shared" si="2507"/>
        <v>正常订单</v>
      </c>
      <c r="I8925" s="1" t="str">
        <f t="shared" si="2508"/>
        <v>已发货</v>
      </c>
      <c r="J8925" s="1" t="str">
        <f t="shared" ref="J8925:J8930" si="2515">"2"</f>
        <v>2</v>
      </c>
      <c r="K8925" s="1">
        <v>1</v>
      </c>
      <c r="L8925" s="1" t="s">
        <v>60</v>
      </c>
      <c r="M8925" s="1" t="str">
        <f>"云南省 昆明市 五华区 红云街道"</f>
        <v>云南省 昆明市 五华区 红云街道</v>
      </c>
      <c r="N8925" s="1" t="str">
        <f t="shared" si="2514"/>
        <v>凡华云仓-韵达-抖音</v>
      </c>
      <c r="O8925" s="5">
        <v>320159607886649</v>
      </c>
      <c r="P8925" s="6">
        <v>0.33</v>
      </c>
      <c r="Q8925" s="11">
        <v>2.2999999999999998</v>
      </c>
      <c r="R8925" s="11"/>
      <c r="S8925" s="11"/>
      <c r="T8925" s="11"/>
      <c r="U8925" s="11">
        <f t="shared" si="2504"/>
        <v>2.2999999999999998</v>
      </c>
      <c r="W8925">
        <v>2.5</v>
      </c>
      <c r="X8925" s="1" t="s">
        <v>60</v>
      </c>
    </row>
    <row r="8926" spans="1:24" x14ac:dyDescent="0.25">
      <c r="A8926" s="1" t="str">
        <f t="shared" si="2505"/>
        <v>卡卡杜-凤凰仓</v>
      </c>
      <c r="B8926" s="1" t="str">
        <f>"CK20241007110"</f>
        <v>CK20241007110</v>
      </c>
      <c r="C8926" s="1" t="str">
        <f>"DD202410079053"</f>
        <v>DD202410079053</v>
      </c>
      <c r="D8926" s="1" t="str">
        <f>"CK2024100723527"</f>
        <v>CK2024100723527</v>
      </c>
      <c r="E8926" s="1" t="str">
        <f>"6917905429309783456"</f>
        <v>6917905429309783456</v>
      </c>
      <c r="F8926" s="1" t="str">
        <f t="shared" si="2506"/>
        <v>花都四部-凤凰仓</v>
      </c>
      <c r="G8926" s="1" t="str">
        <f t="shared" si="2513"/>
        <v>卡卡杜个人护理店（抖店）</v>
      </c>
      <c r="H8926" s="1" t="str">
        <f t="shared" si="2507"/>
        <v>正常订单</v>
      </c>
      <c r="I8926" s="1" t="str">
        <f t="shared" si="2508"/>
        <v>已发货</v>
      </c>
      <c r="J8926" s="1" t="str">
        <f t="shared" si="2515"/>
        <v>2</v>
      </c>
      <c r="K8926" s="1">
        <v>1</v>
      </c>
      <c r="L8926" s="1" t="s">
        <v>41</v>
      </c>
      <c r="M8926" s="1" t="str">
        <f>"湖北省 黄冈市 武穴市 武穴街道"</f>
        <v>湖北省 黄冈市 武穴市 武穴街道</v>
      </c>
      <c r="N8926" s="1" t="str">
        <f t="shared" si="2514"/>
        <v>凡华云仓-韵达-抖音</v>
      </c>
      <c r="O8926" s="5">
        <v>320159607886550</v>
      </c>
      <c r="P8926" s="6">
        <v>0.33</v>
      </c>
      <c r="Q8926" s="11">
        <v>2.2999999999999998</v>
      </c>
      <c r="R8926" s="11"/>
      <c r="S8926" s="11"/>
      <c r="T8926" s="11"/>
      <c r="U8926" s="11">
        <f t="shared" si="2504"/>
        <v>2.2999999999999998</v>
      </c>
      <c r="W8926">
        <v>2.5</v>
      </c>
      <c r="X8926" s="1" t="s">
        <v>41</v>
      </c>
    </row>
    <row r="8927" spans="1:24" x14ac:dyDescent="0.25">
      <c r="A8927" s="1" t="str">
        <f t="shared" si="2505"/>
        <v>卡卡杜-凤凰仓</v>
      </c>
      <c r="B8927" s="1" t="str">
        <f>"CK20241007116"</f>
        <v>CK20241007116</v>
      </c>
      <c r="C8927" s="1" t="str">
        <f>"DD202410079059"</f>
        <v>DD202410079059</v>
      </c>
      <c r="D8927" s="1" t="str">
        <f>"CK2024100723526"</f>
        <v>CK2024100723526</v>
      </c>
      <c r="E8927" s="1" t="str">
        <f>"6917903255801462136"</f>
        <v>6917903255801462136</v>
      </c>
      <c r="F8927" s="1" t="str">
        <f t="shared" si="2506"/>
        <v>花都四部-凤凰仓</v>
      </c>
      <c r="G8927" s="1" t="str">
        <f t="shared" si="2513"/>
        <v>卡卡杜个人护理店（抖店）</v>
      </c>
      <c r="H8927" s="1" t="str">
        <f t="shared" si="2507"/>
        <v>正常订单</v>
      </c>
      <c r="I8927" s="1" t="str">
        <f t="shared" si="2508"/>
        <v>已发货</v>
      </c>
      <c r="J8927" s="1" t="str">
        <f t="shared" si="2515"/>
        <v>2</v>
      </c>
      <c r="K8927" s="1">
        <v>1</v>
      </c>
      <c r="L8927" s="1" t="s">
        <v>18</v>
      </c>
      <c r="M8927" s="1" t="str">
        <f>"广东省 中山市 中山市 石岐区街道"</f>
        <v>广东省 中山市 中山市 石岐区街道</v>
      </c>
      <c r="N8927" s="1" t="str">
        <f t="shared" si="2514"/>
        <v>凡华云仓-韵达-抖音</v>
      </c>
      <c r="O8927" s="5">
        <v>320159607886453</v>
      </c>
      <c r="P8927" s="6">
        <v>0.33</v>
      </c>
      <c r="Q8927" s="11">
        <v>2.2999999999999998</v>
      </c>
      <c r="R8927" s="11"/>
      <c r="S8927" s="11"/>
      <c r="T8927" s="11"/>
      <c r="U8927" s="11">
        <f t="shared" si="2504"/>
        <v>2.2999999999999998</v>
      </c>
      <c r="W8927">
        <v>2.5</v>
      </c>
      <c r="X8927" s="1" t="s">
        <v>18</v>
      </c>
    </row>
    <row r="8928" spans="1:24" x14ac:dyDescent="0.25">
      <c r="A8928" s="1" t="str">
        <f t="shared" si="2505"/>
        <v>卡卡杜-凤凰仓</v>
      </c>
      <c r="B8928" s="1" t="str">
        <f>"CK20241007118"</f>
        <v>CK20241007118</v>
      </c>
      <c r="C8928" s="1" t="str">
        <f>"DD202410079061"</f>
        <v>DD202410079061</v>
      </c>
      <c r="D8928" s="1" t="str">
        <f>"CK2024100723525"</f>
        <v>CK2024100723525</v>
      </c>
      <c r="E8928" s="1" t="str">
        <f>"6917898552810765612"</f>
        <v>6917898552810765612</v>
      </c>
      <c r="F8928" s="1" t="str">
        <f t="shared" si="2506"/>
        <v>花都四部-凤凰仓</v>
      </c>
      <c r="G8928" s="1" t="str">
        <f t="shared" si="2513"/>
        <v>卡卡杜个人护理店（抖店）</v>
      </c>
      <c r="H8928" s="1" t="str">
        <f t="shared" si="2507"/>
        <v>正常订单</v>
      </c>
      <c r="I8928" s="1" t="str">
        <f t="shared" si="2508"/>
        <v>已发货</v>
      </c>
      <c r="J8928" s="1" t="str">
        <f t="shared" si="2515"/>
        <v>2</v>
      </c>
      <c r="K8928" s="1">
        <v>1</v>
      </c>
      <c r="L8928" s="1" t="s">
        <v>24</v>
      </c>
      <c r="M8928" s="1" t="str">
        <f>"福建省 南平市 邵武市 通泰街道"</f>
        <v>福建省 南平市 邵武市 通泰街道</v>
      </c>
      <c r="N8928" s="1" t="str">
        <f t="shared" si="2514"/>
        <v>凡华云仓-韵达-抖音</v>
      </c>
      <c r="O8928" s="5">
        <v>320159607886358</v>
      </c>
      <c r="P8928" s="6">
        <v>0.33</v>
      </c>
      <c r="Q8928" s="11">
        <v>2.2999999999999998</v>
      </c>
      <c r="R8928" s="11"/>
      <c r="S8928" s="11"/>
      <c r="T8928" s="11"/>
      <c r="U8928" s="11">
        <f t="shared" si="2504"/>
        <v>2.2999999999999998</v>
      </c>
      <c r="W8928">
        <v>2.5</v>
      </c>
      <c r="X8928" s="1" t="s">
        <v>24</v>
      </c>
    </row>
    <row r="8929" spans="1:24" x14ac:dyDescent="0.25">
      <c r="A8929" s="1" t="str">
        <f t="shared" si="2505"/>
        <v>卡卡杜-凤凰仓</v>
      </c>
      <c r="B8929" s="1" t="str">
        <f>"CK20241007119"</f>
        <v>CK20241007119</v>
      </c>
      <c r="C8929" s="1" t="str">
        <f>"DD202410079063"</f>
        <v>DD202410079063</v>
      </c>
      <c r="D8929" s="1" t="str">
        <f>"CK2024100723524"</f>
        <v>CK2024100723524</v>
      </c>
      <c r="E8929" s="1" t="str">
        <f>"6917900846826487148"</f>
        <v>6917900846826487148</v>
      </c>
      <c r="F8929" s="1" t="str">
        <f t="shared" si="2506"/>
        <v>花都四部-凤凰仓</v>
      </c>
      <c r="G8929" s="1" t="str">
        <f t="shared" si="2513"/>
        <v>卡卡杜个人护理店（抖店）</v>
      </c>
      <c r="H8929" s="1" t="str">
        <f t="shared" si="2507"/>
        <v>正常订单</v>
      </c>
      <c r="I8929" s="1" t="str">
        <f t="shared" si="2508"/>
        <v>已发货</v>
      </c>
      <c r="J8929" s="1" t="str">
        <f t="shared" si="2515"/>
        <v>2</v>
      </c>
      <c r="K8929" s="1">
        <v>1</v>
      </c>
      <c r="L8929" s="1" t="s">
        <v>92</v>
      </c>
      <c r="M8929" s="1" t="str">
        <f>"辽宁省 鞍山市 海城市 兴海街道"</f>
        <v>辽宁省 鞍山市 海城市 兴海街道</v>
      </c>
      <c r="N8929" s="1" t="str">
        <f t="shared" si="2514"/>
        <v>凡华云仓-韵达-抖音</v>
      </c>
      <c r="O8929" s="5">
        <v>320159607886265</v>
      </c>
      <c r="P8929" s="6">
        <v>0.33</v>
      </c>
      <c r="Q8929" s="11">
        <v>2.2999999999999998</v>
      </c>
      <c r="R8929" s="11"/>
      <c r="S8929" s="11"/>
      <c r="T8929" s="11"/>
      <c r="U8929" s="11">
        <f t="shared" si="2504"/>
        <v>2.2999999999999998</v>
      </c>
      <c r="W8929">
        <v>2.5</v>
      </c>
      <c r="X8929" s="1" t="s">
        <v>92</v>
      </c>
    </row>
    <row r="8930" spans="1:24" x14ac:dyDescent="0.25">
      <c r="A8930" s="1" t="str">
        <f t="shared" si="2505"/>
        <v>卡卡杜-凤凰仓</v>
      </c>
      <c r="B8930" s="1" t="str">
        <f>"CK20241007120"</f>
        <v>CK20241007120</v>
      </c>
      <c r="C8930" s="1" t="str">
        <f>"DD202410079062"</f>
        <v>DD202410079062</v>
      </c>
      <c r="D8930" s="1" t="str">
        <f>"CK2024100723523"</f>
        <v>CK2024100723523</v>
      </c>
      <c r="E8930" s="1" t="str">
        <f>"6917898505794715403"</f>
        <v>6917898505794715403</v>
      </c>
      <c r="F8930" s="1" t="str">
        <f t="shared" si="2506"/>
        <v>花都四部-凤凰仓</v>
      </c>
      <c r="G8930" s="1" t="str">
        <f t="shared" si="2513"/>
        <v>卡卡杜个人护理店（抖店）</v>
      </c>
      <c r="H8930" s="1" t="str">
        <f t="shared" si="2507"/>
        <v>正常订单</v>
      </c>
      <c r="I8930" s="1" t="str">
        <f t="shared" si="2508"/>
        <v>已发货</v>
      </c>
      <c r="J8930" s="1" t="str">
        <f t="shared" si="2515"/>
        <v>2</v>
      </c>
      <c r="K8930" s="1">
        <v>1</v>
      </c>
      <c r="L8930" s="1" t="s">
        <v>20</v>
      </c>
      <c r="M8930" s="1" t="str">
        <f>"浙江省 金华市 义乌市 廿三里街道"</f>
        <v>浙江省 金华市 义乌市 廿三里街道</v>
      </c>
      <c r="N8930" s="1" t="str">
        <f t="shared" si="2514"/>
        <v>凡华云仓-韵达-抖音</v>
      </c>
      <c r="O8930" s="5">
        <v>320159472622273</v>
      </c>
      <c r="P8930" s="6">
        <v>0.33</v>
      </c>
      <c r="Q8930" s="11">
        <v>2.2999999999999998</v>
      </c>
      <c r="R8930" s="11"/>
      <c r="S8930" s="11"/>
      <c r="T8930" s="11"/>
      <c r="U8930" s="11">
        <f t="shared" si="2504"/>
        <v>2.2999999999999998</v>
      </c>
      <c r="W8930">
        <v>2.5</v>
      </c>
      <c r="X8930" s="1" t="s">
        <v>20</v>
      </c>
    </row>
    <row r="8931" spans="1:24" x14ac:dyDescent="0.25">
      <c r="A8931" s="1" t="str">
        <f t="shared" si="2505"/>
        <v>卡卡杜-凤凰仓</v>
      </c>
      <c r="B8931" s="1" t="str">
        <f>"CK2024101926424"</f>
        <v>CK2024101926424</v>
      </c>
      <c r="C8931" s="1" t="str">
        <f>"DD2024101961346"</f>
        <v>DD2024101961346</v>
      </c>
      <c r="D8931" s="1" t="str">
        <f>"CK2024101948959"</f>
        <v>CK2024101948959</v>
      </c>
      <c r="E8931" s="1" t="str">
        <f>"6935214956236248645"</f>
        <v>6935214956236248645</v>
      </c>
      <c r="F8931" s="1" t="str">
        <f t="shared" si="2506"/>
        <v>花都四部-凤凰仓</v>
      </c>
      <c r="G8931" s="1" t="str">
        <f t="shared" si="2513"/>
        <v>卡卡杜个人护理店（抖店）</v>
      </c>
      <c r="H8931" s="1" t="str">
        <f t="shared" si="2507"/>
        <v>正常订单</v>
      </c>
      <c r="I8931" s="1" t="str">
        <f t="shared" si="2508"/>
        <v>已发货</v>
      </c>
      <c r="J8931" s="1" t="str">
        <f>"4"</f>
        <v>4</v>
      </c>
      <c r="K8931" s="1">
        <v>1</v>
      </c>
      <c r="L8931" s="1" t="s">
        <v>13</v>
      </c>
      <c r="M8931" s="1" t="str">
        <f>"江苏省 无锡市 锡山区 安镇街道"</f>
        <v>江苏省 无锡市 锡山区 安镇街道</v>
      </c>
      <c r="N8931" s="1" t="str">
        <f>"凡华云仓-城南圆通-抖音"</f>
        <v>凡华云仓-城南圆通-抖音</v>
      </c>
      <c r="O8931" s="5" t="s">
        <v>5672</v>
      </c>
      <c r="P8931" s="6">
        <v>0.57999999999999996</v>
      </c>
      <c r="Q8931" s="11">
        <f>CEILING(P8931-0.5,0.1)*10*0.15+2.3</f>
        <v>2.4499999999999997</v>
      </c>
      <c r="R8931" s="11"/>
      <c r="S8931" s="11"/>
      <c r="T8931" s="11"/>
      <c r="U8931" s="11">
        <f t="shared" si="2504"/>
        <v>2.4499999999999997</v>
      </c>
      <c r="V8931" t="s">
        <v>15</v>
      </c>
      <c r="W8931">
        <v>2.4500000000000002</v>
      </c>
      <c r="X8931" s="1" t="s">
        <v>13</v>
      </c>
    </row>
    <row r="8932" spans="1:24" x14ac:dyDescent="0.25">
      <c r="A8932" s="1" t="str">
        <f t="shared" si="2505"/>
        <v>卡卡杜-凤凰仓</v>
      </c>
      <c r="B8932" s="1" t="str">
        <f>"CK20241007121"</f>
        <v>CK20241007121</v>
      </c>
      <c r="C8932" s="1" t="str">
        <f>"DD202410079064"</f>
        <v>DD202410079064</v>
      </c>
      <c r="D8932" s="1" t="str">
        <f>"CK2024100723521"</f>
        <v>CK2024100723521</v>
      </c>
      <c r="E8932" s="1" t="str">
        <f>"6917895547826110418"</f>
        <v>6917895547826110418</v>
      </c>
      <c r="F8932" s="1" t="str">
        <f t="shared" si="2506"/>
        <v>花都四部-凤凰仓</v>
      </c>
      <c r="G8932" s="1" t="str">
        <f t="shared" si="2513"/>
        <v>卡卡杜个人护理店（抖店）</v>
      </c>
      <c r="H8932" s="1" t="str">
        <f t="shared" si="2507"/>
        <v>正常订单</v>
      </c>
      <c r="I8932" s="1" t="str">
        <f t="shared" si="2508"/>
        <v>已发货</v>
      </c>
      <c r="J8932" s="1" t="str">
        <f t="shared" ref="J8932:J8995" si="2516">"2"</f>
        <v>2</v>
      </c>
      <c r="K8932" s="1">
        <v>1</v>
      </c>
      <c r="L8932" s="1" t="s">
        <v>80</v>
      </c>
      <c r="M8932" s="1" t="str">
        <f>"河南省 信阳市 固始县 "</f>
        <v xml:space="preserve">河南省 信阳市 固始县 </v>
      </c>
      <c r="N8932" s="1" t="str">
        <f t="shared" si="2514"/>
        <v>凡华云仓-韵达-抖音</v>
      </c>
      <c r="O8932" s="5">
        <v>320159478457328</v>
      </c>
      <c r="P8932" s="6">
        <v>0.33</v>
      </c>
      <c r="Q8932" s="11">
        <v>2.2999999999999998</v>
      </c>
      <c r="R8932" s="11"/>
      <c r="S8932" s="11"/>
      <c r="T8932" s="11"/>
      <c r="U8932" s="11">
        <f t="shared" si="2504"/>
        <v>2.2999999999999998</v>
      </c>
      <c r="W8932">
        <v>2.5</v>
      </c>
      <c r="X8932" s="1" t="s">
        <v>80</v>
      </c>
    </row>
    <row r="8933" spans="1:24" x14ac:dyDescent="0.25">
      <c r="A8933" s="1" t="str">
        <f t="shared" si="2505"/>
        <v>卡卡杜-凤凰仓</v>
      </c>
      <c r="B8933" s="1" t="str">
        <f>"CK20241007111"</f>
        <v>CK20241007111</v>
      </c>
      <c r="C8933" s="1" t="str">
        <f>"DD202410079054"</f>
        <v>DD202410079054</v>
      </c>
      <c r="D8933" s="1" t="str">
        <f>"CK2024100723520"</f>
        <v>CK2024100723520</v>
      </c>
      <c r="E8933" s="1" t="str">
        <f>"6917895939731717506"</f>
        <v>6917895939731717506</v>
      </c>
      <c r="F8933" s="1" t="str">
        <f t="shared" si="2506"/>
        <v>花都四部-凤凰仓</v>
      </c>
      <c r="G8933" s="1" t="str">
        <f t="shared" si="2513"/>
        <v>卡卡杜个人护理店（抖店）</v>
      </c>
      <c r="H8933" s="1" t="str">
        <f t="shared" si="2507"/>
        <v>正常订单</v>
      </c>
      <c r="I8933" s="1" t="str">
        <f t="shared" si="2508"/>
        <v>已发货</v>
      </c>
      <c r="J8933" s="1" t="str">
        <f t="shared" si="2516"/>
        <v>2</v>
      </c>
      <c r="K8933" s="1">
        <v>1</v>
      </c>
      <c r="L8933" s="1" t="s">
        <v>60</v>
      </c>
      <c r="M8933" s="1" t="str">
        <f>"云南省 普洱市 墨江哈尼族自治县 联珠镇"</f>
        <v>云南省 普洱市 墨江哈尼族自治县 联珠镇</v>
      </c>
      <c r="N8933" s="1" t="str">
        <f t="shared" si="2514"/>
        <v>凡华云仓-韵达-抖音</v>
      </c>
      <c r="O8933" s="5">
        <v>320159478457235</v>
      </c>
      <c r="P8933" s="6">
        <v>0.33</v>
      </c>
      <c r="Q8933" s="11">
        <v>2.2999999999999998</v>
      </c>
      <c r="R8933" s="11"/>
      <c r="S8933" s="11"/>
      <c r="T8933" s="11"/>
      <c r="U8933" s="11">
        <f t="shared" si="2504"/>
        <v>2.2999999999999998</v>
      </c>
      <c r="W8933">
        <v>2.5</v>
      </c>
      <c r="X8933" s="1" t="s">
        <v>60</v>
      </c>
    </row>
    <row r="8934" spans="1:24" x14ac:dyDescent="0.25">
      <c r="A8934" s="1" t="str">
        <f t="shared" si="2505"/>
        <v>卡卡杜-凤凰仓</v>
      </c>
      <c r="B8934" s="1" t="str">
        <f>"CK20241007109"</f>
        <v>CK20241007109</v>
      </c>
      <c r="C8934" s="1" t="str">
        <f>"DD202410079051"</f>
        <v>DD202410079051</v>
      </c>
      <c r="D8934" s="1" t="str">
        <f>"CK2024100723519"</f>
        <v>CK2024100723519</v>
      </c>
      <c r="E8934" s="1" t="str">
        <f>"6917902892108250354"</f>
        <v>6917902892108250354</v>
      </c>
      <c r="F8934" s="1" t="str">
        <f t="shared" si="2506"/>
        <v>花都四部-凤凰仓</v>
      </c>
      <c r="G8934" s="1" t="str">
        <f t="shared" si="2513"/>
        <v>卡卡杜个人护理店（抖店）</v>
      </c>
      <c r="H8934" s="1" t="str">
        <f t="shared" si="2507"/>
        <v>正常订单</v>
      </c>
      <c r="I8934" s="1" t="str">
        <f t="shared" si="2508"/>
        <v>已发货</v>
      </c>
      <c r="J8934" s="1" t="str">
        <f t="shared" si="2516"/>
        <v>2</v>
      </c>
      <c r="K8934" s="1">
        <v>1</v>
      </c>
      <c r="L8934" s="1" t="s">
        <v>18</v>
      </c>
      <c r="M8934" s="1" t="str">
        <f>"广东省 汕头市 澄海区 广益街道"</f>
        <v>广东省 汕头市 澄海区 广益街道</v>
      </c>
      <c r="N8934" s="1" t="str">
        <f>"凡华云仓-竹料中通-抖音"</f>
        <v>凡华云仓-竹料中通-抖音</v>
      </c>
      <c r="O8934" s="5">
        <v>76428865354931</v>
      </c>
      <c r="P8934" s="6">
        <v>0.33</v>
      </c>
      <c r="Q8934" s="11">
        <v>2.6</v>
      </c>
      <c r="R8934" s="11"/>
      <c r="S8934" s="11"/>
      <c r="T8934" s="11"/>
      <c r="U8934" s="11">
        <f t="shared" si="2504"/>
        <v>2.6</v>
      </c>
      <c r="W8934">
        <v>2.6</v>
      </c>
      <c r="X8934" s="1" t="s">
        <v>18</v>
      </c>
    </row>
    <row r="8935" spans="1:24" x14ac:dyDescent="0.25">
      <c r="A8935" s="1" t="str">
        <f t="shared" si="2505"/>
        <v>卡卡杜-凤凰仓</v>
      </c>
      <c r="B8935" s="1" t="str">
        <f>"CK20241007103"</f>
        <v>CK20241007103</v>
      </c>
      <c r="C8935" s="1" t="str">
        <f>"DD202410079046"</f>
        <v>DD202410079046</v>
      </c>
      <c r="D8935" s="1" t="str">
        <f>"CK2024100723518"</f>
        <v>CK2024100723518</v>
      </c>
      <c r="E8935" s="1" t="str">
        <f>"6917895913974496322"</f>
        <v>6917895913974496322</v>
      </c>
      <c r="F8935" s="1" t="str">
        <f t="shared" si="2506"/>
        <v>花都四部-凤凰仓</v>
      </c>
      <c r="G8935" s="1" t="str">
        <f t="shared" si="2513"/>
        <v>卡卡杜个人护理店（抖店）</v>
      </c>
      <c r="H8935" s="1" t="str">
        <f t="shared" si="2507"/>
        <v>正常订单</v>
      </c>
      <c r="I8935" s="1" t="str">
        <f t="shared" si="2508"/>
        <v>已发货</v>
      </c>
      <c r="J8935" s="1" t="str">
        <f t="shared" si="2516"/>
        <v>2</v>
      </c>
      <c r="K8935" s="1">
        <v>1</v>
      </c>
      <c r="L8935" s="1" t="s">
        <v>96</v>
      </c>
      <c r="M8935" s="1" t="str">
        <f>"广西壮族自治区 河池市 都安瑶族自治县 安阳镇"</f>
        <v>广西壮族自治区 河池市 都安瑶族自治县 安阳镇</v>
      </c>
      <c r="N8935" s="1" t="str">
        <f t="shared" ref="N8935:N8998" si="2517">"凡华云仓-韵达-抖音"</f>
        <v>凡华云仓-韵达-抖音</v>
      </c>
      <c r="O8935" s="5">
        <v>320159478457144</v>
      </c>
      <c r="P8935" s="6">
        <v>0.33</v>
      </c>
      <c r="Q8935" s="11">
        <v>2.2999999999999998</v>
      </c>
      <c r="R8935" s="11"/>
      <c r="S8935" s="11"/>
      <c r="T8935" s="11"/>
      <c r="U8935" s="11">
        <f t="shared" si="2504"/>
        <v>2.2999999999999998</v>
      </c>
      <c r="W8935">
        <v>2.5</v>
      </c>
      <c r="X8935" s="1" t="s">
        <v>96</v>
      </c>
    </row>
    <row r="8936" spans="1:24" x14ac:dyDescent="0.25">
      <c r="A8936" s="1" t="str">
        <f t="shared" si="2505"/>
        <v>卡卡杜-凤凰仓</v>
      </c>
      <c r="B8936" s="1" t="str">
        <f>"CK20241007108"</f>
        <v>CK20241007108</v>
      </c>
      <c r="C8936" s="1" t="str">
        <f>"DD202410079052"</f>
        <v>DD202410079052</v>
      </c>
      <c r="D8936" s="1" t="str">
        <f>"CK2024100723517"</f>
        <v>CK2024100723517</v>
      </c>
      <c r="E8936" s="1" t="str">
        <f>"6917898304982777480"</f>
        <v>6917898304982777480</v>
      </c>
      <c r="F8936" s="1" t="str">
        <f t="shared" si="2506"/>
        <v>花都四部-凤凰仓</v>
      </c>
      <c r="G8936" s="1" t="str">
        <f t="shared" si="2513"/>
        <v>卡卡杜个人护理店（抖店）</v>
      </c>
      <c r="H8936" s="1" t="str">
        <f t="shared" si="2507"/>
        <v>正常订单</v>
      </c>
      <c r="I8936" s="1" t="str">
        <f t="shared" si="2508"/>
        <v>已发货</v>
      </c>
      <c r="J8936" s="1" t="str">
        <f t="shared" si="2516"/>
        <v>2</v>
      </c>
      <c r="K8936" s="1">
        <v>1</v>
      </c>
      <c r="L8936" s="1" t="s">
        <v>36</v>
      </c>
      <c r="M8936" s="1" t="str">
        <f>"安徽省 安庆市 迎江区 龙狮桥乡"</f>
        <v>安徽省 安庆市 迎江区 龙狮桥乡</v>
      </c>
      <c r="N8936" s="1" t="str">
        <f t="shared" si="2517"/>
        <v>凡华云仓-韵达-抖音</v>
      </c>
      <c r="O8936" s="5">
        <v>320159478457055</v>
      </c>
      <c r="P8936" s="6">
        <v>0.33</v>
      </c>
      <c r="Q8936" s="11">
        <v>2.2999999999999998</v>
      </c>
      <c r="R8936" s="11"/>
      <c r="S8936" s="11"/>
      <c r="T8936" s="11"/>
      <c r="U8936" s="11">
        <f t="shared" si="2504"/>
        <v>2.2999999999999998</v>
      </c>
      <c r="W8936">
        <v>2.5</v>
      </c>
      <c r="X8936" s="1" t="s">
        <v>36</v>
      </c>
    </row>
    <row r="8937" spans="1:24" x14ac:dyDescent="0.25">
      <c r="A8937" s="1" t="str">
        <f t="shared" si="2505"/>
        <v>卡卡杜-凤凰仓</v>
      </c>
      <c r="B8937" s="1" t="str">
        <f>"CK2024100798"</f>
        <v>CK2024100798</v>
      </c>
      <c r="C8937" s="1" t="str">
        <f>"DD202410079039"</f>
        <v>DD202410079039</v>
      </c>
      <c r="D8937" s="1" t="str">
        <f>"CK2024100723516"</f>
        <v>CK2024100723516</v>
      </c>
      <c r="E8937" s="1" t="str">
        <f>"6917898000821484726"</f>
        <v>6917898000821484726</v>
      </c>
      <c r="F8937" s="1" t="str">
        <f t="shared" si="2506"/>
        <v>花都四部-凤凰仓</v>
      </c>
      <c r="G8937" s="1" t="str">
        <f t="shared" si="2513"/>
        <v>卡卡杜个人护理店（抖店）</v>
      </c>
      <c r="H8937" s="1" t="str">
        <f t="shared" si="2507"/>
        <v>正常订单</v>
      </c>
      <c r="I8937" s="1" t="str">
        <f t="shared" si="2508"/>
        <v>已发货</v>
      </c>
      <c r="J8937" s="1" t="str">
        <f t="shared" si="2516"/>
        <v>2</v>
      </c>
      <c r="K8937" s="1">
        <v>1</v>
      </c>
      <c r="L8937" s="1" t="s">
        <v>18</v>
      </c>
      <c r="M8937" s="1" t="str">
        <f>"广东省 广州市 增城区 永宁街道"</f>
        <v>广东省 广州市 增城区 永宁街道</v>
      </c>
      <c r="N8937" s="1" t="str">
        <f t="shared" si="2517"/>
        <v>凡华云仓-韵达-抖音</v>
      </c>
      <c r="O8937" s="5">
        <v>320159478456927</v>
      </c>
      <c r="P8937" s="6">
        <v>0.33</v>
      </c>
      <c r="Q8937" s="11">
        <v>2.2999999999999998</v>
      </c>
      <c r="R8937" s="11"/>
      <c r="S8937" s="11"/>
      <c r="T8937" s="11"/>
      <c r="U8937" s="11">
        <f t="shared" si="2504"/>
        <v>2.2999999999999998</v>
      </c>
      <c r="W8937">
        <v>2.5</v>
      </c>
      <c r="X8937" s="1" t="s">
        <v>18</v>
      </c>
    </row>
    <row r="8938" spans="1:24" x14ac:dyDescent="0.25">
      <c r="A8938" s="1" t="str">
        <f t="shared" si="2505"/>
        <v>卡卡杜-凤凰仓</v>
      </c>
      <c r="B8938" s="1" t="str">
        <f>"CK2024100799"</f>
        <v>CK2024100799</v>
      </c>
      <c r="C8938" s="1" t="str">
        <f>"DD202410079040"</f>
        <v>DD202410079040</v>
      </c>
      <c r="D8938" s="1" t="str">
        <f>"CK2024100723515"</f>
        <v>CK2024100723515</v>
      </c>
      <c r="E8938" s="1" t="str">
        <f>"6917904492090589021"</f>
        <v>6917904492090589021</v>
      </c>
      <c r="F8938" s="1" t="str">
        <f t="shared" si="2506"/>
        <v>花都四部-凤凰仓</v>
      </c>
      <c r="G8938" s="1" t="str">
        <f t="shared" si="2513"/>
        <v>卡卡杜个人护理店（抖店）</v>
      </c>
      <c r="H8938" s="1" t="str">
        <f t="shared" si="2507"/>
        <v>正常订单</v>
      </c>
      <c r="I8938" s="1" t="str">
        <f t="shared" si="2508"/>
        <v>已发货</v>
      </c>
      <c r="J8938" s="1" t="str">
        <f t="shared" si="2516"/>
        <v>2</v>
      </c>
      <c r="K8938" s="1">
        <v>1</v>
      </c>
      <c r="L8938" s="1" t="s">
        <v>24</v>
      </c>
      <c r="M8938" s="1" t="str">
        <f>"福建省 泉州市 晋江市 内坑镇"</f>
        <v>福建省 泉州市 晋江市 内坑镇</v>
      </c>
      <c r="N8938" s="1" t="str">
        <f t="shared" si="2517"/>
        <v>凡华云仓-韵达-抖音</v>
      </c>
      <c r="O8938" s="5">
        <v>320159478456822</v>
      </c>
      <c r="P8938" s="6">
        <v>0.33</v>
      </c>
      <c r="Q8938" s="11">
        <v>2.2999999999999998</v>
      </c>
      <c r="R8938" s="11"/>
      <c r="S8938" s="11"/>
      <c r="T8938" s="11"/>
      <c r="U8938" s="11">
        <f t="shared" si="2504"/>
        <v>2.2999999999999998</v>
      </c>
      <c r="W8938">
        <v>2.5</v>
      </c>
      <c r="X8938" s="1" t="s">
        <v>24</v>
      </c>
    </row>
    <row r="8939" spans="1:24" x14ac:dyDescent="0.25">
      <c r="A8939" s="1" t="str">
        <f t="shared" si="2505"/>
        <v>卡卡杜-凤凰仓</v>
      </c>
      <c r="B8939" s="1" t="str">
        <f>"CK20241007100"</f>
        <v>CK20241007100</v>
      </c>
      <c r="C8939" s="1" t="str">
        <f>"DD202410079043"</f>
        <v>DD202410079043</v>
      </c>
      <c r="D8939" s="1" t="str">
        <f>"CK2024100723514"</f>
        <v>CK2024100723514</v>
      </c>
      <c r="E8939" s="1" t="str">
        <f>"6917895645615455863"</f>
        <v>6917895645615455863</v>
      </c>
      <c r="F8939" s="1" t="str">
        <f t="shared" si="2506"/>
        <v>花都四部-凤凰仓</v>
      </c>
      <c r="G8939" s="1" t="str">
        <f t="shared" si="2513"/>
        <v>卡卡杜个人护理店（抖店）</v>
      </c>
      <c r="H8939" s="1" t="str">
        <f t="shared" si="2507"/>
        <v>正常订单</v>
      </c>
      <c r="I8939" s="1" t="str">
        <f t="shared" si="2508"/>
        <v>已发货</v>
      </c>
      <c r="J8939" s="1" t="str">
        <f t="shared" si="2516"/>
        <v>2</v>
      </c>
      <c r="K8939" s="1">
        <v>1</v>
      </c>
      <c r="L8939" s="1" t="s">
        <v>24</v>
      </c>
      <c r="M8939" s="1" t="str">
        <f>"福建省 三明市 尤溪县 西城镇"</f>
        <v>福建省 三明市 尤溪县 西城镇</v>
      </c>
      <c r="N8939" s="1" t="str">
        <f t="shared" si="2517"/>
        <v>凡华云仓-韵达-抖音</v>
      </c>
      <c r="O8939" s="5">
        <v>320159478456719</v>
      </c>
      <c r="P8939" s="6">
        <v>0.33</v>
      </c>
      <c r="Q8939" s="11">
        <v>2.2999999999999998</v>
      </c>
      <c r="R8939" s="11"/>
      <c r="S8939" s="11"/>
      <c r="T8939" s="11"/>
      <c r="U8939" s="11">
        <f t="shared" si="2504"/>
        <v>2.2999999999999998</v>
      </c>
      <c r="W8939">
        <v>2.5</v>
      </c>
      <c r="X8939" s="1" t="s">
        <v>24</v>
      </c>
    </row>
    <row r="8940" spans="1:24" x14ac:dyDescent="0.25">
      <c r="A8940" s="1" t="str">
        <f t="shared" si="2505"/>
        <v>卡卡杜-凤凰仓</v>
      </c>
      <c r="B8940" s="1" t="str">
        <f>"CK20241007101"</f>
        <v>CK20241007101</v>
      </c>
      <c r="C8940" s="1" t="str">
        <f>"DD202410079044"</f>
        <v>DD202410079044</v>
      </c>
      <c r="D8940" s="1" t="str">
        <f>"CK2024100723513"</f>
        <v>CK2024100723513</v>
      </c>
      <c r="E8940" s="1" t="str">
        <f>"6917889779005816375"</f>
        <v>6917889779005816375</v>
      </c>
      <c r="F8940" s="1" t="str">
        <f t="shared" si="2506"/>
        <v>花都四部-凤凰仓</v>
      </c>
      <c r="G8940" s="1" t="str">
        <f t="shared" si="2513"/>
        <v>卡卡杜个人护理店（抖店）</v>
      </c>
      <c r="H8940" s="1" t="str">
        <f t="shared" si="2507"/>
        <v>正常订单</v>
      </c>
      <c r="I8940" s="1" t="str">
        <f t="shared" si="2508"/>
        <v>已发货</v>
      </c>
      <c r="J8940" s="1" t="str">
        <f t="shared" si="2516"/>
        <v>2</v>
      </c>
      <c r="K8940" s="1">
        <v>1</v>
      </c>
      <c r="L8940" s="1" t="s">
        <v>60</v>
      </c>
      <c r="M8940" s="1" t="str">
        <f>"云南省 普洱市 孟连傣族拉祜族佤族自治县 勐马镇"</f>
        <v>云南省 普洱市 孟连傣族拉祜族佤族自治县 勐马镇</v>
      </c>
      <c r="N8940" s="1" t="str">
        <f t="shared" si="2517"/>
        <v>凡华云仓-韵达-抖音</v>
      </c>
      <c r="O8940" s="5">
        <v>320159478456618</v>
      </c>
      <c r="P8940" s="6">
        <v>0.33</v>
      </c>
      <c r="Q8940" s="11">
        <v>2.2999999999999998</v>
      </c>
      <c r="R8940" s="11"/>
      <c r="S8940" s="11"/>
      <c r="T8940" s="11"/>
      <c r="U8940" s="11">
        <f t="shared" si="2504"/>
        <v>2.2999999999999998</v>
      </c>
      <c r="W8940">
        <v>2.5</v>
      </c>
      <c r="X8940" s="1" t="s">
        <v>60</v>
      </c>
    </row>
    <row r="8941" spans="1:24" x14ac:dyDescent="0.25">
      <c r="A8941" s="1" t="str">
        <f t="shared" si="2505"/>
        <v>卡卡杜-凤凰仓</v>
      </c>
      <c r="B8941" s="1" t="str">
        <f>"CK2024100796"</f>
        <v>CK2024100796</v>
      </c>
      <c r="C8941" s="1" t="str">
        <f>"DD202410079041"</f>
        <v>DD202410079041</v>
      </c>
      <c r="D8941" s="1" t="str">
        <f>"CK2024100723512"</f>
        <v>CK2024100723512</v>
      </c>
      <c r="E8941" s="1" t="str">
        <f>"6917904628439285107"</f>
        <v>6917904628439285107</v>
      </c>
      <c r="F8941" s="1" t="str">
        <f t="shared" si="2506"/>
        <v>花都四部-凤凰仓</v>
      </c>
      <c r="G8941" s="1" t="str">
        <f t="shared" si="2513"/>
        <v>卡卡杜个人护理店（抖店）</v>
      </c>
      <c r="H8941" s="1" t="str">
        <f t="shared" si="2507"/>
        <v>正常订单</v>
      </c>
      <c r="I8941" s="1" t="str">
        <f t="shared" si="2508"/>
        <v>已发货</v>
      </c>
      <c r="J8941" s="1" t="str">
        <f t="shared" si="2516"/>
        <v>2</v>
      </c>
      <c r="K8941" s="1">
        <v>1</v>
      </c>
      <c r="L8941" s="1" t="s">
        <v>13</v>
      </c>
      <c r="M8941" s="1" t="str">
        <f>"江苏省 盐城市 建湖县 钟庄街道"</f>
        <v>江苏省 盐城市 建湖县 钟庄街道</v>
      </c>
      <c r="N8941" s="1" t="str">
        <f t="shared" si="2517"/>
        <v>凡华云仓-韵达-抖音</v>
      </c>
      <c r="O8941" s="5">
        <v>320159478456519</v>
      </c>
      <c r="P8941" s="6">
        <v>0.33</v>
      </c>
      <c r="Q8941" s="11">
        <v>2.2999999999999998</v>
      </c>
      <c r="R8941" s="11"/>
      <c r="S8941" s="11"/>
      <c r="T8941" s="11"/>
      <c r="U8941" s="11">
        <f t="shared" si="2504"/>
        <v>2.2999999999999998</v>
      </c>
      <c r="W8941">
        <v>2.5</v>
      </c>
      <c r="X8941" s="1" t="s">
        <v>13</v>
      </c>
    </row>
    <row r="8942" spans="1:24" x14ac:dyDescent="0.25">
      <c r="A8942" s="1" t="str">
        <f t="shared" si="2505"/>
        <v>卡卡杜-凤凰仓</v>
      </c>
      <c r="B8942" s="1" t="str">
        <f>"CK20241007102"</f>
        <v>CK20241007102</v>
      </c>
      <c r="C8942" s="1" t="str">
        <f>"DD202410079045"</f>
        <v>DD202410079045</v>
      </c>
      <c r="D8942" s="1" t="str">
        <f>"CK2024100723511"</f>
        <v>CK2024100723511</v>
      </c>
      <c r="E8942" s="1" t="str">
        <f>"6917902614141304583"</f>
        <v>6917902614141304583</v>
      </c>
      <c r="F8942" s="1" t="str">
        <f t="shared" si="2506"/>
        <v>花都四部-凤凰仓</v>
      </c>
      <c r="G8942" s="1" t="str">
        <f t="shared" si="2513"/>
        <v>卡卡杜个人护理店（抖店）</v>
      </c>
      <c r="H8942" s="1" t="str">
        <f t="shared" si="2507"/>
        <v>正常订单</v>
      </c>
      <c r="I8942" s="1" t="str">
        <f t="shared" si="2508"/>
        <v>已发货</v>
      </c>
      <c r="J8942" s="1" t="str">
        <f t="shared" si="2516"/>
        <v>2</v>
      </c>
      <c r="K8942" s="1">
        <v>1</v>
      </c>
      <c r="L8942" s="1" t="s">
        <v>20</v>
      </c>
      <c r="M8942" s="1" t="str">
        <f>"浙江省 嘉兴市 海宁市 马桥街道"</f>
        <v>浙江省 嘉兴市 海宁市 马桥街道</v>
      </c>
      <c r="N8942" s="1" t="str">
        <f t="shared" si="2517"/>
        <v>凡华云仓-韵达-抖音</v>
      </c>
      <c r="O8942" s="5">
        <v>320159452847634</v>
      </c>
      <c r="P8942" s="6">
        <v>0.33</v>
      </c>
      <c r="Q8942" s="11">
        <v>2.2999999999999998</v>
      </c>
      <c r="R8942" s="11"/>
      <c r="S8942" s="11"/>
      <c r="T8942" s="11"/>
      <c r="U8942" s="11">
        <f t="shared" si="2504"/>
        <v>2.2999999999999998</v>
      </c>
      <c r="W8942">
        <v>2.5</v>
      </c>
      <c r="X8942" s="1" t="s">
        <v>20</v>
      </c>
    </row>
    <row r="8943" spans="1:24" x14ac:dyDescent="0.25">
      <c r="A8943" s="1" t="str">
        <f t="shared" si="2505"/>
        <v>卡卡杜-凤凰仓</v>
      </c>
      <c r="B8943" s="1" t="str">
        <f>"CK20241007104"</f>
        <v>CK20241007104</v>
      </c>
      <c r="C8943" s="1" t="str">
        <f>"DD202410079047"</f>
        <v>DD202410079047</v>
      </c>
      <c r="D8943" s="1" t="str">
        <f>"CK2024100723510"</f>
        <v>CK2024100723510</v>
      </c>
      <c r="E8943" s="1" t="str">
        <f>"6917898007895178308"</f>
        <v>6917898007895178308</v>
      </c>
      <c r="F8943" s="1" t="str">
        <f t="shared" si="2506"/>
        <v>花都四部-凤凰仓</v>
      </c>
      <c r="G8943" s="1" t="str">
        <f t="shared" si="2513"/>
        <v>卡卡杜个人护理店（抖店）</v>
      </c>
      <c r="H8943" s="1" t="str">
        <f t="shared" si="2507"/>
        <v>正常订单</v>
      </c>
      <c r="I8943" s="1" t="str">
        <f t="shared" si="2508"/>
        <v>已发货</v>
      </c>
      <c r="J8943" s="1" t="str">
        <f t="shared" si="2516"/>
        <v>2</v>
      </c>
      <c r="K8943" s="1">
        <v>1</v>
      </c>
      <c r="L8943" s="1" t="s">
        <v>74</v>
      </c>
      <c r="M8943" s="1" t="str">
        <f>"上海 上海市 浦东新区 高桥镇"</f>
        <v>上海 上海市 浦东新区 高桥镇</v>
      </c>
      <c r="N8943" s="1" t="str">
        <f t="shared" si="2517"/>
        <v>凡华云仓-韵达-抖音</v>
      </c>
      <c r="O8943" s="5">
        <v>320159452847535</v>
      </c>
      <c r="P8943" s="6">
        <v>0.33</v>
      </c>
      <c r="Q8943" s="11">
        <v>2.2999999999999998</v>
      </c>
      <c r="R8943" s="11"/>
      <c r="S8943" s="11"/>
      <c r="T8943" s="11"/>
      <c r="U8943" s="11">
        <f t="shared" si="2504"/>
        <v>2.2999999999999998</v>
      </c>
      <c r="W8943">
        <v>2.5</v>
      </c>
      <c r="X8943" s="1" t="s">
        <v>74</v>
      </c>
    </row>
    <row r="8944" spans="1:24" x14ac:dyDescent="0.25">
      <c r="A8944" s="1" t="str">
        <f t="shared" si="2505"/>
        <v>卡卡杜-凤凰仓</v>
      </c>
      <c r="B8944" s="1" t="str">
        <f>"CK20241007123"</f>
        <v>CK20241007123</v>
      </c>
      <c r="C8944" s="1" t="str">
        <f>"DD202410079066"</f>
        <v>DD202410079066</v>
      </c>
      <c r="D8944" s="1" t="str">
        <f>"CK2024100723509"</f>
        <v>CK2024100723509</v>
      </c>
      <c r="E8944" s="1" t="str">
        <f>"6917895386595294793"</f>
        <v>6917895386595294793</v>
      </c>
      <c r="F8944" s="1" t="str">
        <f t="shared" si="2506"/>
        <v>花都四部-凤凰仓</v>
      </c>
      <c r="G8944" s="1" t="str">
        <f t="shared" si="2513"/>
        <v>卡卡杜个人护理店（抖店）</v>
      </c>
      <c r="H8944" s="1" t="str">
        <f t="shared" si="2507"/>
        <v>正常订单</v>
      </c>
      <c r="I8944" s="1" t="str">
        <f t="shared" si="2508"/>
        <v>已发货</v>
      </c>
      <c r="J8944" s="1" t="str">
        <f t="shared" si="2516"/>
        <v>2</v>
      </c>
      <c r="K8944" s="1">
        <v>1</v>
      </c>
      <c r="L8944" s="1" t="s">
        <v>20</v>
      </c>
      <c r="M8944" s="1" t="str">
        <f>"浙江省 丽水市 莲都区 "</f>
        <v xml:space="preserve">浙江省 丽水市 莲都区 </v>
      </c>
      <c r="N8944" s="1" t="str">
        <f t="shared" si="2517"/>
        <v>凡华云仓-韵达-抖音</v>
      </c>
      <c r="O8944" s="5">
        <v>320159452847438</v>
      </c>
      <c r="P8944" s="6">
        <v>0.33</v>
      </c>
      <c r="Q8944" s="11">
        <v>2.2999999999999998</v>
      </c>
      <c r="R8944" s="11"/>
      <c r="S8944" s="11"/>
      <c r="T8944" s="11"/>
      <c r="U8944" s="11">
        <f t="shared" si="2504"/>
        <v>2.2999999999999998</v>
      </c>
      <c r="W8944">
        <v>2.5</v>
      </c>
      <c r="X8944" s="1" t="s">
        <v>20</v>
      </c>
    </row>
    <row r="8945" spans="1:24" x14ac:dyDescent="0.25">
      <c r="A8945" s="1" t="str">
        <f t="shared" si="2505"/>
        <v>卡卡杜-凤凰仓</v>
      </c>
      <c r="B8945" s="1" t="str">
        <f>"CK20241007106"</f>
        <v>CK20241007106</v>
      </c>
      <c r="C8945" s="1" t="str">
        <f>"DD202410079050"</f>
        <v>DD202410079050</v>
      </c>
      <c r="D8945" s="1" t="str">
        <f>"CK2024100723508"</f>
        <v>CK2024100723508</v>
      </c>
      <c r="E8945" s="1" t="str">
        <f>"6917899845688524614"</f>
        <v>6917899845688524614</v>
      </c>
      <c r="F8945" s="1" t="str">
        <f t="shared" si="2506"/>
        <v>花都四部-凤凰仓</v>
      </c>
      <c r="G8945" s="1" t="str">
        <f t="shared" si="2513"/>
        <v>卡卡杜个人护理店（抖店）</v>
      </c>
      <c r="H8945" s="1" t="str">
        <f t="shared" si="2507"/>
        <v>正常订单</v>
      </c>
      <c r="I8945" s="1" t="str">
        <f t="shared" si="2508"/>
        <v>已发货</v>
      </c>
      <c r="J8945" s="1" t="str">
        <f t="shared" si="2516"/>
        <v>2</v>
      </c>
      <c r="K8945" s="1">
        <v>1</v>
      </c>
      <c r="L8945" s="1" t="s">
        <v>60</v>
      </c>
      <c r="M8945" s="1" t="str">
        <f>"云南省 临沧市 临翔区 凤翔街道"</f>
        <v>云南省 临沧市 临翔区 凤翔街道</v>
      </c>
      <c r="N8945" s="1" t="str">
        <f t="shared" si="2517"/>
        <v>凡华云仓-韵达-抖音</v>
      </c>
      <c r="O8945" s="5">
        <v>320159452847343</v>
      </c>
      <c r="P8945" s="6">
        <v>0.33</v>
      </c>
      <c r="Q8945" s="11">
        <v>2.2999999999999998</v>
      </c>
      <c r="R8945" s="11"/>
      <c r="S8945" s="11"/>
      <c r="T8945" s="11"/>
      <c r="U8945" s="11">
        <f t="shared" si="2504"/>
        <v>2.2999999999999998</v>
      </c>
      <c r="W8945">
        <v>2.5</v>
      </c>
      <c r="X8945" s="1" t="s">
        <v>60</v>
      </c>
    </row>
    <row r="8946" spans="1:24" x14ac:dyDescent="0.25">
      <c r="A8946" s="1" t="str">
        <f t="shared" si="2505"/>
        <v>卡卡杜-凤凰仓</v>
      </c>
      <c r="B8946" s="1" t="str">
        <f>"CK20241007107"</f>
        <v>CK20241007107</v>
      </c>
      <c r="C8946" s="1" t="str">
        <f>"DD202410079049"</f>
        <v>DD202410079049</v>
      </c>
      <c r="D8946" s="1" t="str">
        <f>"CK2024100723507"</f>
        <v>CK2024100723507</v>
      </c>
      <c r="E8946" s="1" t="str">
        <f>"6917900135556611960"</f>
        <v>6917900135556611960</v>
      </c>
      <c r="F8946" s="1" t="str">
        <f t="shared" si="2506"/>
        <v>花都四部-凤凰仓</v>
      </c>
      <c r="G8946" s="1" t="str">
        <f t="shared" si="2513"/>
        <v>卡卡杜个人护理店（抖店）</v>
      </c>
      <c r="H8946" s="1" t="str">
        <f t="shared" si="2507"/>
        <v>正常订单</v>
      </c>
      <c r="I8946" s="1" t="str">
        <f t="shared" si="2508"/>
        <v>已发货</v>
      </c>
      <c r="J8946" s="1" t="str">
        <f t="shared" si="2516"/>
        <v>2</v>
      </c>
      <c r="K8946" s="1">
        <v>1</v>
      </c>
      <c r="L8946" s="1" t="s">
        <v>16</v>
      </c>
      <c r="M8946" s="1" t="str">
        <f>"河北省 承德市 双桥区 大石庙镇"</f>
        <v>河北省 承德市 双桥区 大石庙镇</v>
      </c>
      <c r="N8946" s="1" t="str">
        <f t="shared" si="2517"/>
        <v>凡华云仓-韵达-抖音</v>
      </c>
      <c r="O8946" s="5">
        <v>320159452847250</v>
      </c>
      <c r="P8946" s="6">
        <v>0.33</v>
      </c>
      <c r="Q8946" s="11">
        <v>2.2999999999999998</v>
      </c>
      <c r="R8946" s="11"/>
      <c r="S8946" s="11"/>
      <c r="T8946" s="11"/>
      <c r="U8946" s="11">
        <f t="shared" si="2504"/>
        <v>2.2999999999999998</v>
      </c>
      <c r="W8946">
        <v>2.5</v>
      </c>
      <c r="X8946" s="1" t="s">
        <v>16</v>
      </c>
    </row>
    <row r="8947" spans="1:24" x14ac:dyDescent="0.25">
      <c r="A8947" s="1" t="str">
        <f t="shared" si="2505"/>
        <v>卡卡杜-凤凰仓</v>
      </c>
      <c r="B8947" s="1" t="str">
        <f>"CK20241007122"</f>
        <v>CK20241007122</v>
      </c>
      <c r="C8947" s="1" t="str">
        <f>"DD202410079065"</f>
        <v>DD202410079065</v>
      </c>
      <c r="D8947" s="1" t="str">
        <f>"CK2024100723506"</f>
        <v>CK2024100723506</v>
      </c>
      <c r="E8947" s="1" t="str">
        <f>"6917904701831085603"</f>
        <v>6917904701831085603</v>
      </c>
      <c r="F8947" s="1" t="str">
        <f t="shared" si="2506"/>
        <v>花都四部-凤凰仓</v>
      </c>
      <c r="G8947" s="1" t="str">
        <f t="shared" si="2513"/>
        <v>卡卡杜个人护理店（抖店）</v>
      </c>
      <c r="H8947" s="1" t="str">
        <f t="shared" si="2507"/>
        <v>正常订单</v>
      </c>
      <c r="I8947" s="1" t="str">
        <f t="shared" si="2508"/>
        <v>已发货</v>
      </c>
      <c r="J8947" s="1" t="str">
        <f t="shared" si="2516"/>
        <v>2</v>
      </c>
      <c r="K8947" s="1">
        <v>1</v>
      </c>
      <c r="L8947" s="1" t="s">
        <v>18</v>
      </c>
      <c r="M8947" s="1" t="str">
        <f>"广东省 东莞市 东莞市 长安镇"</f>
        <v>广东省 东莞市 东莞市 长安镇</v>
      </c>
      <c r="N8947" s="1" t="str">
        <f t="shared" si="2517"/>
        <v>凡华云仓-韵达-抖音</v>
      </c>
      <c r="O8947" s="5">
        <v>320159452847159</v>
      </c>
      <c r="P8947" s="6">
        <v>0.33</v>
      </c>
      <c r="Q8947" s="11">
        <v>2.2999999999999998</v>
      </c>
      <c r="R8947" s="11"/>
      <c r="S8947" s="11"/>
      <c r="T8947" s="11"/>
      <c r="U8947" s="11">
        <f t="shared" si="2504"/>
        <v>2.2999999999999998</v>
      </c>
      <c r="W8947">
        <v>2.5</v>
      </c>
      <c r="X8947" s="1" t="s">
        <v>18</v>
      </c>
    </row>
    <row r="8948" spans="1:24" x14ac:dyDescent="0.25">
      <c r="A8948" s="1" t="str">
        <f t="shared" si="2505"/>
        <v>卡卡杜-凤凰仓</v>
      </c>
      <c r="B8948" s="1" t="str">
        <f>"CK20241007117"</f>
        <v>CK20241007117</v>
      </c>
      <c r="C8948" s="1" t="str">
        <f>"DD202410079060"</f>
        <v>DD202410079060</v>
      </c>
      <c r="D8948" s="1" t="str">
        <f>"CK2024100723505"</f>
        <v>CK2024100723505</v>
      </c>
      <c r="E8948" s="1" t="str">
        <f>"6917904371926400840"</f>
        <v>6917904371926400840</v>
      </c>
      <c r="F8948" s="1" t="str">
        <f t="shared" si="2506"/>
        <v>花都四部-凤凰仓</v>
      </c>
      <c r="G8948" s="1" t="str">
        <f t="shared" si="2513"/>
        <v>卡卡杜个人护理店（抖店）</v>
      </c>
      <c r="H8948" s="1" t="str">
        <f t="shared" si="2507"/>
        <v>正常订单</v>
      </c>
      <c r="I8948" s="1" t="str">
        <f t="shared" si="2508"/>
        <v>已发货</v>
      </c>
      <c r="J8948" s="1" t="str">
        <f t="shared" si="2516"/>
        <v>2</v>
      </c>
      <c r="K8948" s="1">
        <v>1</v>
      </c>
      <c r="L8948" s="1" t="s">
        <v>13</v>
      </c>
      <c r="M8948" s="1" t="str">
        <f>"江苏省 扬州市 邗江区 杨庙镇"</f>
        <v>江苏省 扬州市 邗江区 杨庙镇</v>
      </c>
      <c r="N8948" s="1" t="str">
        <f t="shared" si="2517"/>
        <v>凡华云仓-韵达-抖音</v>
      </c>
      <c r="O8948" s="5">
        <v>320159452847070</v>
      </c>
      <c r="P8948" s="6">
        <v>0.33</v>
      </c>
      <c r="Q8948" s="11">
        <v>2.2999999999999998</v>
      </c>
      <c r="R8948" s="11"/>
      <c r="S8948" s="11"/>
      <c r="T8948" s="11"/>
      <c r="U8948" s="11">
        <f t="shared" si="2504"/>
        <v>2.2999999999999998</v>
      </c>
      <c r="W8948">
        <v>2.5</v>
      </c>
      <c r="X8948" s="1" t="s">
        <v>13</v>
      </c>
    </row>
    <row r="8949" spans="1:24" x14ac:dyDescent="0.25">
      <c r="A8949" s="1" t="str">
        <f t="shared" si="2505"/>
        <v>卡卡杜-凤凰仓</v>
      </c>
      <c r="B8949" s="1" t="str">
        <f>"CK20241007151"</f>
        <v>CK20241007151</v>
      </c>
      <c r="C8949" s="1" t="str">
        <f>"DD202410079093"</f>
        <v>DD202410079093</v>
      </c>
      <c r="D8949" s="1" t="str">
        <f>"CK2024100723504"</f>
        <v>CK2024100723504</v>
      </c>
      <c r="E8949" s="1" t="str">
        <f>"6917897529288392085"</f>
        <v>6917897529288392085</v>
      </c>
      <c r="F8949" s="1" t="str">
        <f t="shared" si="2506"/>
        <v>花都四部-凤凰仓</v>
      </c>
      <c r="G8949" s="1" t="str">
        <f t="shared" si="2513"/>
        <v>卡卡杜个人护理店（抖店）</v>
      </c>
      <c r="H8949" s="1" t="str">
        <f t="shared" si="2507"/>
        <v>正常订单</v>
      </c>
      <c r="I8949" s="1" t="str">
        <f t="shared" si="2508"/>
        <v>已发货</v>
      </c>
      <c r="J8949" s="1" t="str">
        <f t="shared" si="2516"/>
        <v>2</v>
      </c>
      <c r="K8949" s="1">
        <v>2</v>
      </c>
      <c r="L8949" s="1" t="s">
        <v>18</v>
      </c>
      <c r="M8949" s="1" t="str">
        <f>"广东省 湛江市 霞山区 解放街道"</f>
        <v>广东省 湛江市 霞山区 解放街道</v>
      </c>
      <c r="N8949" s="1" t="str">
        <f t="shared" si="2517"/>
        <v>凡华云仓-韵达-抖音</v>
      </c>
      <c r="O8949" s="5">
        <v>320159452846942</v>
      </c>
      <c r="P8949" s="6">
        <v>0.28000000000000003</v>
      </c>
      <c r="Q8949" s="11">
        <v>2</v>
      </c>
      <c r="R8949" s="11"/>
      <c r="S8949" s="11"/>
      <c r="T8949" s="11"/>
      <c r="U8949" s="11">
        <f t="shared" si="2504"/>
        <v>2</v>
      </c>
      <c r="W8949">
        <v>2.2000000000000002</v>
      </c>
      <c r="X8949" s="1" t="s">
        <v>18</v>
      </c>
    </row>
    <row r="8950" spans="1:24" x14ac:dyDescent="0.25">
      <c r="A8950" s="1" t="str">
        <f t="shared" si="2505"/>
        <v>卡卡杜-凤凰仓</v>
      </c>
      <c r="B8950" s="1" t="str">
        <f>"CK20241007124"</f>
        <v>CK20241007124</v>
      </c>
      <c r="C8950" s="1" t="str">
        <f>"DD202410079067"</f>
        <v>DD202410079067</v>
      </c>
      <c r="D8950" s="1" t="str">
        <f>"CK2024100723503"</f>
        <v>CK2024100723503</v>
      </c>
      <c r="E8950" s="1" t="str">
        <f>"6917895321453624968"</f>
        <v>6917895321453624968</v>
      </c>
      <c r="F8950" s="1" t="str">
        <f t="shared" si="2506"/>
        <v>花都四部-凤凰仓</v>
      </c>
      <c r="G8950" s="1" t="str">
        <f t="shared" si="2513"/>
        <v>卡卡杜个人护理店（抖店）</v>
      </c>
      <c r="H8950" s="1" t="str">
        <f t="shared" si="2507"/>
        <v>正常订单</v>
      </c>
      <c r="I8950" s="1" t="str">
        <f t="shared" si="2508"/>
        <v>已发货</v>
      </c>
      <c r="J8950" s="1" t="str">
        <f t="shared" si="2516"/>
        <v>2</v>
      </c>
      <c r="K8950" s="1">
        <v>1</v>
      </c>
      <c r="L8950" s="1" t="s">
        <v>24</v>
      </c>
      <c r="M8950" s="1" t="str">
        <f>"福建省 泉州市 惠安县 紫山镇"</f>
        <v>福建省 泉州市 惠安县 紫山镇</v>
      </c>
      <c r="N8950" s="1" t="str">
        <f t="shared" si="2517"/>
        <v>凡华云仓-韵达-抖音</v>
      </c>
      <c r="O8950" s="5">
        <v>320159452846837</v>
      </c>
      <c r="P8950" s="6">
        <v>0.33</v>
      </c>
      <c r="Q8950" s="11">
        <v>2.2999999999999998</v>
      </c>
      <c r="R8950" s="11"/>
      <c r="S8950" s="11"/>
      <c r="T8950" s="11"/>
      <c r="U8950" s="11">
        <f t="shared" si="2504"/>
        <v>2.2999999999999998</v>
      </c>
      <c r="W8950">
        <v>2.5</v>
      </c>
      <c r="X8950" s="1" t="s">
        <v>24</v>
      </c>
    </row>
    <row r="8951" spans="1:24" x14ac:dyDescent="0.25">
      <c r="A8951" s="1" t="str">
        <f t="shared" si="2505"/>
        <v>卡卡杜-凤凰仓</v>
      </c>
      <c r="B8951" s="1" t="str">
        <f>"CK20241007139"</f>
        <v>CK20241007139</v>
      </c>
      <c r="C8951" s="1" t="str">
        <f>"DD202410079083"</f>
        <v>DD202410079083</v>
      </c>
      <c r="D8951" s="1" t="str">
        <f>"CK2024100723502"</f>
        <v>CK2024100723502</v>
      </c>
      <c r="E8951" s="1" t="str">
        <f>"6917902396102770186"</f>
        <v>6917902396102770186</v>
      </c>
      <c r="F8951" s="1" t="str">
        <f t="shared" si="2506"/>
        <v>花都四部-凤凰仓</v>
      </c>
      <c r="G8951" s="1" t="str">
        <f t="shared" si="2513"/>
        <v>卡卡杜个人护理店（抖店）</v>
      </c>
      <c r="H8951" s="1" t="str">
        <f t="shared" si="2507"/>
        <v>正常订单</v>
      </c>
      <c r="I8951" s="1" t="str">
        <f t="shared" si="2508"/>
        <v>已发货</v>
      </c>
      <c r="J8951" s="1" t="str">
        <f t="shared" si="2516"/>
        <v>2</v>
      </c>
      <c r="K8951" s="1">
        <v>1</v>
      </c>
      <c r="L8951" s="1" t="s">
        <v>24</v>
      </c>
      <c r="M8951" s="1" t="str">
        <f>"福建省 三明市 永安市 燕南街道"</f>
        <v>福建省 三明市 永安市 燕南街道</v>
      </c>
      <c r="N8951" s="1" t="str">
        <f t="shared" si="2517"/>
        <v>凡华云仓-韵达-抖音</v>
      </c>
      <c r="O8951" s="5">
        <v>320159452846734</v>
      </c>
      <c r="P8951" s="6">
        <v>0.33</v>
      </c>
      <c r="Q8951" s="11">
        <v>2.2999999999999998</v>
      </c>
      <c r="R8951" s="11"/>
      <c r="S8951" s="11"/>
      <c r="T8951" s="11"/>
      <c r="U8951" s="11">
        <f t="shared" si="2504"/>
        <v>2.2999999999999998</v>
      </c>
      <c r="W8951">
        <v>2.5</v>
      </c>
      <c r="X8951" s="1" t="s">
        <v>24</v>
      </c>
    </row>
    <row r="8952" spans="1:24" x14ac:dyDescent="0.25">
      <c r="A8952" s="1" t="str">
        <f t="shared" si="2505"/>
        <v>卡卡杜-凤凰仓</v>
      </c>
      <c r="B8952" s="1" t="str">
        <f>"CK20241007140"</f>
        <v>CK20241007140</v>
      </c>
      <c r="C8952" s="1" t="str">
        <f>"DD202410079082"</f>
        <v>DD202410079082</v>
      </c>
      <c r="D8952" s="1" t="str">
        <f>"CK2024100723501"</f>
        <v>CK2024100723501</v>
      </c>
      <c r="E8952" s="1" t="str">
        <f>"6917904645596609564"</f>
        <v>6917904645596609564</v>
      </c>
      <c r="F8952" s="1" t="str">
        <f t="shared" si="2506"/>
        <v>花都四部-凤凰仓</v>
      </c>
      <c r="G8952" s="1" t="str">
        <f t="shared" si="2513"/>
        <v>卡卡杜个人护理店（抖店）</v>
      </c>
      <c r="H8952" s="1" t="str">
        <f t="shared" si="2507"/>
        <v>正常订单</v>
      </c>
      <c r="I8952" s="1" t="str">
        <f t="shared" si="2508"/>
        <v>已发货</v>
      </c>
      <c r="J8952" s="1" t="str">
        <f t="shared" si="2516"/>
        <v>2</v>
      </c>
      <c r="K8952" s="1">
        <v>1</v>
      </c>
      <c r="L8952" s="1" t="s">
        <v>18</v>
      </c>
      <c r="M8952" s="1" t="str">
        <f>"广东省 湛江市 麻章区 东山镇"</f>
        <v>广东省 湛江市 麻章区 东山镇</v>
      </c>
      <c r="N8952" s="1" t="str">
        <f t="shared" si="2517"/>
        <v>凡华云仓-韵达-抖音</v>
      </c>
      <c r="O8952" s="5">
        <v>320159467919456</v>
      </c>
      <c r="P8952" s="6">
        <v>0.33</v>
      </c>
      <c r="Q8952" s="11">
        <v>2.2999999999999998</v>
      </c>
      <c r="R8952" s="11"/>
      <c r="S8952" s="11"/>
      <c r="T8952" s="11"/>
      <c r="U8952" s="11">
        <f t="shared" si="2504"/>
        <v>2.2999999999999998</v>
      </c>
      <c r="W8952">
        <v>2.5</v>
      </c>
      <c r="X8952" s="1" t="s">
        <v>18</v>
      </c>
    </row>
    <row r="8953" spans="1:24" x14ac:dyDescent="0.25">
      <c r="A8953" s="1" t="str">
        <f t="shared" si="2505"/>
        <v>卡卡杜-凤凰仓</v>
      </c>
      <c r="B8953" s="1" t="str">
        <f>"CK20241007137"</f>
        <v>CK20241007137</v>
      </c>
      <c r="C8953" s="1" t="str">
        <f>"DD202410079079"</f>
        <v>DD202410079079</v>
      </c>
      <c r="D8953" s="1" t="str">
        <f>"CK2024100723500"</f>
        <v>CK2024100723500</v>
      </c>
      <c r="E8953" s="1" t="str">
        <f>"6917897661532831500"</f>
        <v>6917897661532831500</v>
      </c>
      <c r="F8953" s="1" t="str">
        <f t="shared" si="2506"/>
        <v>花都四部-凤凰仓</v>
      </c>
      <c r="G8953" s="1" t="str">
        <f t="shared" si="2513"/>
        <v>卡卡杜个人护理店（抖店）</v>
      </c>
      <c r="H8953" s="1" t="str">
        <f t="shared" si="2507"/>
        <v>正常订单</v>
      </c>
      <c r="I8953" s="1" t="str">
        <f t="shared" si="2508"/>
        <v>已发货</v>
      </c>
      <c r="J8953" s="1" t="str">
        <f t="shared" si="2516"/>
        <v>2</v>
      </c>
      <c r="K8953" s="1">
        <v>1</v>
      </c>
      <c r="L8953" s="1" t="s">
        <v>18</v>
      </c>
      <c r="M8953" s="1" t="str">
        <f>"广东省 惠州市 博罗县 龙溪街道"</f>
        <v>广东省 惠州市 博罗县 龙溪街道</v>
      </c>
      <c r="N8953" s="1" t="str">
        <f t="shared" si="2517"/>
        <v>凡华云仓-韵达-抖音</v>
      </c>
      <c r="O8953" s="5">
        <v>320159467919361</v>
      </c>
      <c r="P8953" s="6">
        <v>0.33</v>
      </c>
      <c r="Q8953" s="11">
        <v>2.2999999999999998</v>
      </c>
      <c r="R8953" s="11"/>
      <c r="S8953" s="11"/>
      <c r="T8953" s="11"/>
      <c r="U8953" s="11">
        <f t="shared" si="2504"/>
        <v>2.2999999999999998</v>
      </c>
      <c r="W8953">
        <v>2.5</v>
      </c>
      <c r="X8953" s="1" t="s">
        <v>18</v>
      </c>
    </row>
    <row r="8954" spans="1:24" x14ac:dyDescent="0.25">
      <c r="A8954" s="1" t="str">
        <f t="shared" si="2505"/>
        <v>卡卡杜-凤凰仓</v>
      </c>
      <c r="B8954" s="1" t="str">
        <f>"CK20241007142"</f>
        <v>CK20241007142</v>
      </c>
      <c r="C8954" s="1" t="str">
        <f>"DD202410079085"</f>
        <v>DD202410079085</v>
      </c>
      <c r="D8954" s="1" t="str">
        <f>"CK2024100723499"</f>
        <v>CK2024100723499</v>
      </c>
      <c r="E8954" s="1" t="str">
        <f>"6917904582376062417"</f>
        <v>6917904582376062417</v>
      </c>
      <c r="F8954" s="1" t="str">
        <f t="shared" si="2506"/>
        <v>花都四部-凤凰仓</v>
      </c>
      <c r="G8954" s="1" t="str">
        <f t="shared" si="2513"/>
        <v>卡卡杜个人护理店（抖店）</v>
      </c>
      <c r="H8954" s="1" t="str">
        <f t="shared" si="2507"/>
        <v>正常订单</v>
      </c>
      <c r="I8954" s="1" t="str">
        <f t="shared" si="2508"/>
        <v>已发货</v>
      </c>
      <c r="J8954" s="1" t="str">
        <f t="shared" si="2516"/>
        <v>2</v>
      </c>
      <c r="K8954" s="1">
        <v>1</v>
      </c>
      <c r="L8954" s="1" t="s">
        <v>18</v>
      </c>
      <c r="M8954" s="1" t="str">
        <f>"广东省 广州市 天河区 长兴街道"</f>
        <v>广东省 广州市 天河区 长兴街道</v>
      </c>
      <c r="N8954" s="1" t="str">
        <f t="shared" si="2517"/>
        <v>凡华云仓-韵达-抖音</v>
      </c>
      <c r="O8954" s="5">
        <v>320159467919268</v>
      </c>
      <c r="P8954" s="6">
        <v>0.33</v>
      </c>
      <c r="Q8954" s="11">
        <v>2.2999999999999998</v>
      </c>
      <c r="R8954" s="11"/>
      <c r="S8954" s="11"/>
      <c r="T8954" s="11"/>
      <c r="U8954" s="11">
        <f t="shared" si="2504"/>
        <v>2.2999999999999998</v>
      </c>
      <c r="W8954">
        <v>2.5</v>
      </c>
      <c r="X8954" s="1" t="s">
        <v>18</v>
      </c>
    </row>
    <row r="8955" spans="1:24" x14ac:dyDescent="0.25">
      <c r="A8955" s="1" t="str">
        <f t="shared" si="2505"/>
        <v>卡卡杜-凤凰仓</v>
      </c>
      <c r="B8955" s="1" t="str">
        <f>"CK20241007141"</f>
        <v>CK20241007141</v>
      </c>
      <c r="C8955" s="1" t="str">
        <f>"DD202410079084"</f>
        <v>DD202410079084</v>
      </c>
      <c r="D8955" s="1" t="str">
        <f>"CK2024100723498"</f>
        <v>CK2024100723498</v>
      </c>
      <c r="E8955" s="1" t="str">
        <f>"6917897362881019861"</f>
        <v>6917897362881019861</v>
      </c>
      <c r="F8955" s="1" t="str">
        <f t="shared" si="2506"/>
        <v>花都四部-凤凰仓</v>
      </c>
      <c r="G8955" s="1" t="str">
        <f t="shared" si="2513"/>
        <v>卡卡杜个人护理店（抖店）</v>
      </c>
      <c r="H8955" s="1" t="str">
        <f t="shared" si="2507"/>
        <v>正常订单</v>
      </c>
      <c r="I8955" s="1" t="str">
        <f t="shared" si="2508"/>
        <v>已发货</v>
      </c>
      <c r="J8955" s="1" t="str">
        <f t="shared" si="2516"/>
        <v>2</v>
      </c>
      <c r="K8955" s="1">
        <v>1</v>
      </c>
      <c r="L8955" s="1" t="s">
        <v>96</v>
      </c>
      <c r="M8955" s="1" t="str">
        <f>"广西壮族自治区 南宁市 西乡塘区 上尧街道"</f>
        <v>广西壮族自治区 南宁市 西乡塘区 上尧街道</v>
      </c>
      <c r="N8955" s="1" t="str">
        <f t="shared" si="2517"/>
        <v>凡华云仓-韵达-抖音</v>
      </c>
      <c r="O8955" s="5">
        <v>320159467919177</v>
      </c>
      <c r="P8955" s="6">
        <v>0.33</v>
      </c>
      <c r="Q8955" s="11">
        <v>2.2999999999999998</v>
      </c>
      <c r="R8955" s="11"/>
      <c r="S8955" s="11"/>
      <c r="T8955" s="11"/>
      <c r="U8955" s="11">
        <f t="shared" si="2504"/>
        <v>2.2999999999999998</v>
      </c>
      <c r="W8955">
        <v>2.5</v>
      </c>
      <c r="X8955" s="1" t="s">
        <v>96</v>
      </c>
    </row>
    <row r="8956" spans="1:24" x14ac:dyDescent="0.25">
      <c r="A8956" s="1" t="str">
        <f t="shared" si="2505"/>
        <v>卡卡杜-凤凰仓</v>
      </c>
      <c r="B8956" s="1" t="str">
        <f>"CK20241007138"</f>
        <v>CK20241007138</v>
      </c>
      <c r="C8956" s="1" t="str">
        <f>"DD202410079081"</f>
        <v>DD202410079081</v>
      </c>
      <c r="D8956" s="1" t="str">
        <f>"CK2024100723497"</f>
        <v>CK2024100723497</v>
      </c>
      <c r="E8956" s="1" t="str">
        <f>"6917889813944630619"</f>
        <v>6917889813944630619</v>
      </c>
      <c r="F8956" s="1" t="str">
        <f t="shared" si="2506"/>
        <v>花都四部-凤凰仓</v>
      </c>
      <c r="G8956" s="1" t="str">
        <f t="shared" si="2513"/>
        <v>卡卡杜个人护理店（抖店）</v>
      </c>
      <c r="H8956" s="1" t="str">
        <f t="shared" si="2507"/>
        <v>正常订单</v>
      </c>
      <c r="I8956" s="1" t="str">
        <f t="shared" si="2508"/>
        <v>已发货</v>
      </c>
      <c r="J8956" s="1" t="str">
        <f t="shared" si="2516"/>
        <v>2</v>
      </c>
      <c r="K8956" s="1">
        <v>1</v>
      </c>
      <c r="L8956" s="1" t="s">
        <v>36</v>
      </c>
      <c r="M8956" s="1" t="str">
        <f>"安徽省 蚌埠市 五河县 城关镇"</f>
        <v>安徽省 蚌埠市 五河县 城关镇</v>
      </c>
      <c r="N8956" s="1" t="str">
        <f t="shared" si="2517"/>
        <v>凡华云仓-韵达-抖音</v>
      </c>
      <c r="O8956" s="5">
        <v>320159467919088</v>
      </c>
      <c r="P8956" s="6">
        <v>0.33</v>
      </c>
      <c r="Q8956" s="11">
        <v>2.2999999999999998</v>
      </c>
      <c r="R8956" s="11"/>
      <c r="S8956" s="11"/>
      <c r="T8956" s="11"/>
      <c r="U8956" s="11">
        <f t="shared" si="2504"/>
        <v>2.2999999999999998</v>
      </c>
      <c r="W8956">
        <v>2.5</v>
      </c>
      <c r="X8956" s="1" t="s">
        <v>36</v>
      </c>
    </row>
    <row r="8957" spans="1:24" x14ac:dyDescent="0.25">
      <c r="A8957" s="1" t="str">
        <f t="shared" si="2505"/>
        <v>卡卡杜-凤凰仓</v>
      </c>
      <c r="B8957" s="1" t="str">
        <f>"CK20241007143"</f>
        <v>CK20241007143</v>
      </c>
      <c r="C8957" s="1" t="str">
        <f>"DD202410079086"</f>
        <v>DD202410079086</v>
      </c>
      <c r="D8957" s="1" t="str">
        <f>"CK2024100723496"</f>
        <v>CK2024100723496</v>
      </c>
      <c r="E8957" s="1" t="str">
        <f>"6917895345095081112"</f>
        <v>6917895345095081112</v>
      </c>
      <c r="F8957" s="1" t="str">
        <f t="shared" si="2506"/>
        <v>花都四部-凤凰仓</v>
      </c>
      <c r="G8957" s="1" t="str">
        <f t="shared" si="2513"/>
        <v>卡卡杜个人护理店（抖店）</v>
      </c>
      <c r="H8957" s="1" t="str">
        <f t="shared" si="2507"/>
        <v>正常订单</v>
      </c>
      <c r="I8957" s="1" t="str">
        <f t="shared" si="2508"/>
        <v>已发货</v>
      </c>
      <c r="J8957" s="1" t="str">
        <f t="shared" si="2516"/>
        <v>2</v>
      </c>
      <c r="K8957" s="1">
        <v>1</v>
      </c>
      <c r="L8957" s="1" t="s">
        <v>18</v>
      </c>
      <c r="M8957" s="1" t="str">
        <f>"广东省 肇庆市 高要区 南岸街道"</f>
        <v>广东省 肇庆市 高要区 南岸街道</v>
      </c>
      <c r="N8957" s="1" t="str">
        <f t="shared" si="2517"/>
        <v>凡华云仓-韵达-抖音</v>
      </c>
      <c r="O8957" s="5">
        <v>320159467918956</v>
      </c>
      <c r="P8957" s="6">
        <v>0.33</v>
      </c>
      <c r="Q8957" s="11">
        <v>2.2999999999999998</v>
      </c>
      <c r="R8957" s="11"/>
      <c r="S8957" s="11"/>
      <c r="T8957" s="11"/>
      <c r="U8957" s="11">
        <f t="shared" si="2504"/>
        <v>2.2999999999999998</v>
      </c>
      <c r="W8957">
        <v>2.5</v>
      </c>
      <c r="X8957" s="1" t="s">
        <v>18</v>
      </c>
    </row>
    <row r="8958" spans="1:24" x14ac:dyDescent="0.25">
      <c r="A8958" s="1" t="str">
        <f t="shared" si="2505"/>
        <v>卡卡杜-凤凰仓</v>
      </c>
      <c r="B8958" s="1" t="str">
        <f>"CK20241007127"</f>
        <v>CK20241007127</v>
      </c>
      <c r="C8958" s="1" t="str">
        <f>"DD202410079070"</f>
        <v>DD202410079070</v>
      </c>
      <c r="D8958" s="1" t="str">
        <f>"CK2024100723495"</f>
        <v>CK2024100723495</v>
      </c>
      <c r="E8958" s="1" t="str">
        <f>"6917902226341395469"</f>
        <v>6917902226341395469</v>
      </c>
      <c r="F8958" s="1" t="str">
        <f t="shared" si="2506"/>
        <v>花都四部-凤凰仓</v>
      </c>
      <c r="G8958" s="1" t="str">
        <f t="shared" si="2513"/>
        <v>卡卡杜个人护理店（抖店）</v>
      </c>
      <c r="H8958" s="1" t="str">
        <f t="shared" si="2507"/>
        <v>正常订单</v>
      </c>
      <c r="I8958" s="1" t="str">
        <f t="shared" si="2508"/>
        <v>已发货</v>
      </c>
      <c r="J8958" s="1" t="str">
        <f t="shared" si="2516"/>
        <v>2</v>
      </c>
      <c r="K8958" s="1">
        <v>1</v>
      </c>
      <c r="L8958" s="1" t="s">
        <v>20</v>
      </c>
      <c r="M8958" s="1" t="str">
        <f>"浙江省 温州市 鹿城区 南汇街道"</f>
        <v>浙江省 温州市 鹿城区 南汇街道</v>
      </c>
      <c r="N8958" s="1" t="str">
        <f t="shared" si="2517"/>
        <v>凡华云仓-韵达-抖音</v>
      </c>
      <c r="O8958" s="5">
        <v>320159467918851</v>
      </c>
      <c r="P8958" s="6">
        <v>0.33</v>
      </c>
      <c r="Q8958" s="11">
        <v>2.2999999999999998</v>
      </c>
      <c r="R8958" s="11"/>
      <c r="S8958" s="11"/>
      <c r="T8958" s="11"/>
      <c r="U8958" s="11">
        <f t="shared" si="2504"/>
        <v>2.2999999999999998</v>
      </c>
      <c r="W8958">
        <v>2.5</v>
      </c>
      <c r="X8958" s="1" t="s">
        <v>20</v>
      </c>
    </row>
    <row r="8959" spans="1:24" x14ac:dyDescent="0.25">
      <c r="A8959" s="1" t="str">
        <f t="shared" si="2505"/>
        <v>卡卡杜-凤凰仓</v>
      </c>
      <c r="B8959" s="1" t="str">
        <f>"CK20241007128"</f>
        <v>CK20241007128</v>
      </c>
      <c r="C8959" s="1" t="str">
        <f>"DD202410079071"</f>
        <v>DD202410079071</v>
      </c>
      <c r="D8959" s="1" t="str">
        <f>"CK2024100723494"</f>
        <v>CK2024100723494</v>
      </c>
      <c r="E8959" s="1" t="str">
        <f>"6917904381495312254"</f>
        <v>6917904381495312254</v>
      </c>
      <c r="F8959" s="1" t="str">
        <f t="shared" si="2506"/>
        <v>花都四部-凤凰仓</v>
      </c>
      <c r="G8959" s="1" t="str">
        <f t="shared" si="2513"/>
        <v>卡卡杜个人护理店（抖店）</v>
      </c>
      <c r="H8959" s="1" t="str">
        <f t="shared" si="2507"/>
        <v>正常订单</v>
      </c>
      <c r="I8959" s="1" t="str">
        <f t="shared" si="2508"/>
        <v>已发货</v>
      </c>
      <c r="J8959" s="1" t="str">
        <f t="shared" si="2516"/>
        <v>2</v>
      </c>
      <c r="K8959" s="1">
        <v>1</v>
      </c>
      <c r="L8959" s="1" t="s">
        <v>20</v>
      </c>
      <c r="M8959" s="1" t="str">
        <f>"浙江省 杭州市 临平区 星桥街道"</f>
        <v>浙江省 杭州市 临平区 星桥街道</v>
      </c>
      <c r="N8959" s="1" t="str">
        <f t="shared" si="2517"/>
        <v>凡华云仓-韵达-抖音</v>
      </c>
      <c r="O8959" s="5">
        <v>320159467918748</v>
      </c>
      <c r="P8959" s="6">
        <v>0.33</v>
      </c>
      <c r="Q8959" s="11">
        <v>2.2999999999999998</v>
      </c>
      <c r="R8959" s="11"/>
      <c r="S8959" s="11"/>
      <c r="T8959" s="11"/>
      <c r="U8959" s="11">
        <f t="shared" si="2504"/>
        <v>2.2999999999999998</v>
      </c>
      <c r="W8959">
        <v>2.5</v>
      </c>
      <c r="X8959" s="1" t="s">
        <v>20</v>
      </c>
    </row>
    <row r="8960" spans="1:24" x14ac:dyDescent="0.25">
      <c r="A8960" s="1" t="str">
        <f t="shared" si="2505"/>
        <v>卡卡杜-凤凰仓</v>
      </c>
      <c r="B8960" s="1" t="str">
        <f>"CK20241007129"</f>
        <v>CK20241007129</v>
      </c>
      <c r="C8960" s="1" t="str">
        <f>"DD202410079072"</f>
        <v>DD202410079072</v>
      </c>
      <c r="D8960" s="1" t="str">
        <f>"CK2024100723493"</f>
        <v>CK2024100723493</v>
      </c>
      <c r="E8960" s="1" t="str">
        <f>"6917897219537075436"</f>
        <v>6917897219537075436</v>
      </c>
      <c r="F8960" s="1" t="str">
        <f t="shared" si="2506"/>
        <v>花都四部-凤凰仓</v>
      </c>
      <c r="G8960" s="1" t="str">
        <f t="shared" si="2513"/>
        <v>卡卡杜个人护理店（抖店）</v>
      </c>
      <c r="H8960" s="1" t="str">
        <f t="shared" si="2507"/>
        <v>正常订单</v>
      </c>
      <c r="I8960" s="1" t="str">
        <f t="shared" si="2508"/>
        <v>已发货</v>
      </c>
      <c r="J8960" s="1" t="str">
        <f t="shared" si="2516"/>
        <v>2</v>
      </c>
      <c r="K8960" s="1">
        <v>1</v>
      </c>
      <c r="L8960" s="1" t="s">
        <v>32</v>
      </c>
      <c r="M8960" s="1" t="str">
        <f>"陕西省 咸阳市 武功县 武功镇"</f>
        <v>陕西省 咸阳市 武功县 武功镇</v>
      </c>
      <c r="N8960" s="1" t="str">
        <f t="shared" si="2517"/>
        <v>凡华云仓-韵达-抖音</v>
      </c>
      <c r="O8960" s="5">
        <v>320159467918647</v>
      </c>
      <c r="P8960" s="6">
        <v>0.33</v>
      </c>
      <c r="Q8960" s="11">
        <v>2.2999999999999998</v>
      </c>
      <c r="R8960" s="11"/>
      <c r="S8960" s="11"/>
      <c r="T8960" s="11"/>
      <c r="U8960" s="11">
        <f t="shared" si="2504"/>
        <v>2.2999999999999998</v>
      </c>
      <c r="W8960">
        <v>2.5</v>
      </c>
      <c r="X8960" s="1" t="s">
        <v>32</v>
      </c>
    </row>
    <row r="8961" spans="1:24" x14ac:dyDescent="0.25">
      <c r="A8961" s="1" t="str">
        <f t="shared" si="2505"/>
        <v>卡卡杜-凤凰仓</v>
      </c>
      <c r="B8961" s="1" t="str">
        <f>"CK20241007125"</f>
        <v>CK20241007125</v>
      </c>
      <c r="C8961" s="1" t="str">
        <f>"DD202410079069"</f>
        <v>DD202410079069</v>
      </c>
      <c r="D8961" s="1" t="str">
        <f>"CK2024100723492"</f>
        <v>CK2024100723492</v>
      </c>
      <c r="E8961" s="1" t="str">
        <f>"6917901938415992376"</f>
        <v>6917901938415992376</v>
      </c>
      <c r="F8961" s="1" t="str">
        <f t="shared" si="2506"/>
        <v>花都四部-凤凰仓</v>
      </c>
      <c r="G8961" s="1" t="str">
        <f t="shared" si="2513"/>
        <v>卡卡杜个人护理店（抖店）</v>
      </c>
      <c r="H8961" s="1" t="str">
        <f t="shared" si="2507"/>
        <v>正常订单</v>
      </c>
      <c r="I8961" s="1" t="str">
        <f t="shared" si="2508"/>
        <v>已发货</v>
      </c>
      <c r="J8961" s="1" t="str">
        <f t="shared" si="2516"/>
        <v>2</v>
      </c>
      <c r="K8961" s="1">
        <v>1</v>
      </c>
      <c r="L8961" s="1" t="s">
        <v>22</v>
      </c>
      <c r="M8961" s="1" t="str">
        <f>"江西省 宜春市 万载县 高城镇"</f>
        <v>江西省 宜春市 万载县 高城镇</v>
      </c>
      <c r="N8961" s="1" t="str">
        <f t="shared" si="2517"/>
        <v>凡华云仓-韵达-抖音</v>
      </c>
      <c r="O8961" s="5">
        <v>320159467918548</v>
      </c>
      <c r="P8961" s="6">
        <v>0.33</v>
      </c>
      <c r="Q8961" s="11">
        <v>2.2999999999999998</v>
      </c>
      <c r="R8961" s="11"/>
      <c r="S8961" s="11"/>
      <c r="T8961" s="11"/>
      <c r="U8961" s="11">
        <f t="shared" si="2504"/>
        <v>2.2999999999999998</v>
      </c>
      <c r="W8961">
        <v>2.5</v>
      </c>
      <c r="X8961" s="1" t="s">
        <v>22</v>
      </c>
    </row>
    <row r="8962" spans="1:24" x14ac:dyDescent="0.25">
      <c r="A8962" s="1" t="str">
        <f t="shared" si="2505"/>
        <v>卡卡杜-凤凰仓</v>
      </c>
      <c r="B8962" s="1" t="str">
        <f>"CK20241007154"</f>
        <v>CK20241007154</v>
      </c>
      <c r="C8962" s="1" t="str">
        <f>"DD202410079097"</f>
        <v>DD202410079097</v>
      </c>
      <c r="D8962" s="1" t="str">
        <f>"CK2024100723491"</f>
        <v>CK2024100723491</v>
      </c>
      <c r="E8962" s="1" t="str">
        <f>"6917899584791805660"</f>
        <v>6917899584791805660</v>
      </c>
      <c r="F8962" s="1" t="str">
        <f t="shared" si="2506"/>
        <v>花都四部-凤凰仓</v>
      </c>
      <c r="G8962" s="1" t="str">
        <f t="shared" si="2513"/>
        <v>卡卡杜个人护理店（抖店）</v>
      </c>
      <c r="H8962" s="1" t="str">
        <f t="shared" si="2507"/>
        <v>正常订单</v>
      </c>
      <c r="I8962" s="1" t="str">
        <f t="shared" si="2508"/>
        <v>已发货</v>
      </c>
      <c r="J8962" s="1" t="str">
        <f t="shared" si="2516"/>
        <v>2</v>
      </c>
      <c r="K8962" s="1">
        <v>2</v>
      </c>
      <c r="L8962" s="1" t="s">
        <v>74</v>
      </c>
      <c r="M8962" s="1" t="str">
        <f>"上海 上海市 闵行区 梅陇镇"</f>
        <v>上海 上海市 闵行区 梅陇镇</v>
      </c>
      <c r="N8962" s="1" t="str">
        <f t="shared" si="2517"/>
        <v>凡华云仓-韵达-抖音</v>
      </c>
      <c r="O8962" s="5">
        <v>320159469853340</v>
      </c>
      <c r="P8962" s="6">
        <v>0.28000000000000003</v>
      </c>
      <c r="Q8962" s="11">
        <v>2</v>
      </c>
      <c r="R8962" s="11"/>
      <c r="S8962" s="11"/>
      <c r="T8962" s="11"/>
      <c r="U8962" s="11">
        <f t="shared" si="2504"/>
        <v>2</v>
      </c>
      <c r="W8962">
        <v>2.2000000000000002</v>
      </c>
      <c r="X8962" s="1" t="s">
        <v>74</v>
      </c>
    </row>
    <row r="8963" spans="1:24" x14ac:dyDescent="0.25">
      <c r="A8963" s="1" t="str">
        <f t="shared" si="2505"/>
        <v>卡卡杜-凤凰仓</v>
      </c>
      <c r="B8963" s="1" t="str">
        <f>"CK20241007132"</f>
        <v>CK20241007132</v>
      </c>
      <c r="C8963" s="1" t="str">
        <f>"DD202410079076"</f>
        <v>DD202410079076</v>
      </c>
      <c r="D8963" s="1" t="str">
        <f>"CK2024100723490"</f>
        <v>CK2024100723490</v>
      </c>
      <c r="E8963" s="1" t="str">
        <f>"6917894620769320402"</f>
        <v>6917894620769320402</v>
      </c>
      <c r="F8963" s="1" t="str">
        <f t="shared" si="2506"/>
        <v>花都四部-凤凰仓</v>
      </c>
      <c r="G8963" s="1" t="str">
        <f t="shared" si="2513"/>
        <v>卡卡杜个人护理店（抖店）</v>
      </c>
      <c r="H8963" s="1" t="str">
        <f t="shared" si="2507"/>
        <v>正常订单</v>
      </c>
      <c r="I8963" s="1" t="str">
        <f t="shared" si="2508"/>
        <v>已发货</v>
      </c>
      <c r="J8963" s="1" t="str">
        <f t="shared" si="2516"/>
        <v>2</v>
      </c>
      <c r="K8963" s="1">
        <v>1</v>
      </c>
      <c r="L8963" s="1" t="s">
        <v>20</v>
      </c>
      <c r="M8963" s="1" t="str">
        <f>"浙江省 金华市 婺城区 秋滨街道"</f>
        <v>浙江省 金华市 婺城区 秋滨街道</v>
      </c>
      <c r="N8963" s="1" t="str">
        <f t="shared" si="2517"/>
        <v>凡华云仓-韵达-抖音</v>
      </c>
      <c r="O8963" s="5">
        <v>320159469853247</v>
      </c>
      <c r="P8963" s="6">
        <v>0.33</v>
      </c>
      <c r="Q8963" s="11">
        <v>2.2999999999999998</v>
      </c>
      <c r="R8963" s="11"/>
      <c r="S8963" s="11"/>
      <c r="T8963" s="11"/>
      <c r="U8963" s="11">
        <f t="shared" ref="U8963:U9026" si="2518">T8963+S8963+R8963+Q8963</f>
        <v>2.2999999999999998</v>
      </c>
      <c r="W8963">
        <v>2.5</v>
      </c>
      <c r="X8963" s="1" t="s">
        <v>20</v>
      </c>
    </row>
    <row r="8964" spans="1:24" x14ac:dyDescent="0.25">
      <c r="A8964" s="1" t="str">
        <f t="shared" si="2505"/>
        <v>卡卡杜-凤凰仓</v>
      </c>
      <c r="B8964" s="1" t="str">
        <f>"CK20241007134"</f>
        <v>CK20241007134</v>
      </c>
      <c r="C8964" s="1" t="str">
        <f>"DD202410079075"</f>
        <v>DD202410079075</v>
      </c>
      <c r="D8964" s="1" t="str">
        <f>"CK2024100723489"</f>
        <v>CK2024100723489</v>
      </c>
      <c r="E8964" s="1" t="str">
        <f>"6917889894927596925"</f>
        <v>6917889894927596925</v>
      </c>
      <c r="F8964" s="1" t="str">
        <f t="shared" si="2506"/>
        <v>花都四部-凤凰仓</v>
      </c>
      <c r="G8964" s="1" t="str">
        <f t="shared" si="2513"/>
        <v>卡卡杜个人护理店（抖店）</v>
      </c>
      <c r="H8964" s="1" t="str">
        <f t="shared" si="2507"/>
        <v>正常订单</v>
      </c>
      <c r="I8964" s="1" t="str">
        <f t="shared" si="2508"/>
        <v>已发货</v>
      </c>
      <c r="J8964" s="1" t="str">
        <f t="shared" si="2516"/>
        <v>2</v>
      </c>
      <c r="K8964" s="1">
        <v>1</v>
      </c>
      <c r="L8964" s="1" t="s">
        <v>24</v>
      </c>
      <c r="M8964" s="1" t="str">
        <f>"福建省 南平市 武夷山市 "</f>
        <v xml:space="preserve">福建省 南平市 武夷山市 </v>
      </c>
      <c r="N8964" s="1" t="str">
        <f t="shared" si="2517"/>
        <v>凡华云仓-韵达-抖音</v>
      </c>
      <c r="O8964" s="5">
        <v>320159469853156</v>
      </c>
      <c r="P8964" s="6">
        <v>0.33</v>
      </c>
      <c r="Q8964" s="11">
        <v>2.2999999999999998</v>
      </c>
      <c r="R8964" s="11"/>
      <c r="S8964" s="11"/>
      <c r="T8964" s="11"/>
      <c r="U8964" s="11">
        <f t="shared" si="2518"/>
        <v>2.2999999999999998</v>
      </c>
      <c r="W8964">
        <v>2.5</v>
      </c>
      <c r="X8964" s="1" t="s">
        <v>24</v>
      </c>
    </row>
    <row r="8965" spans="1:24" x14ac:dyDescent="0.25">
      <c r="A8965" s="1" t="str">
        <f t="shared" ref="A8965:A9001" si="2519">"卡卡杜-凤凰仓"</f>
        <v>卡卡杜-凤凰仓</v>
      </c>
      <c r="B8965" s="1" t="str">
        <f>"CK20241007126"</f>
        <v>CK20241007126</v>
      </c>
      <c r="C8965" s="1" t="str">
        <f>"DD202410079068"</f>
        <v>DD202410079068</v>
      </c>
      <c r="D8965" s="1" t="str">
        <f>"CK2024100723488"</f>
        <v>CK2024100723488</v>
      </c>
      <c r="E8965" s="1" t="str">
        <f>"6917885273370754627"</f>
        <v>6917885273370754627</v>
      </c>
      <c r="F8965" s="1" t="str">
        <f t="shared" ref="F8965:F9001" si="2520">"花都四部-凤凰仓"</f>
        <v>花都四部-凤凰仓</v>
      </c>
      <c r="G8965" s="1" t="str">
        <f t="shared" si="2513"/>
        <v>卡卡杜个人护理店（抖店）</v>
      </c>
      <c r="H8965" s="1" t="str">
        <f t="shared" ref="H8965:H9001" si="2521">"正常订单"</f>
        <v>正常订单</v>
      </c>
      <c r="I8965" s="1" t="str">
        <f t="shared" ref="I8965:I9001" si="2522">"已发货"</f>
        <v>已发货</v>
      </c>
      <c r="J8965" s="1" t="str">
        <f t="shared" si="2516"/>
        <v>2</v>
      </c>
      <c r="K8965" s="1">
        <v>1</v>
      </c>
      <c r="L8965" s="1" t="s">
        <v>36</v>
      </c>
      <c r="M8965" s="1" t="str">
        <f>"安徽省 黄山市 屯溪区 昱西街道"</f>
        <v>安徽省 黄山市 屯溪区 昱西街道</v>
      </c>
      <c r="N8965" s="1" t="str">
        <f t="shared" si="2517"/>
        <v>凡华云仓-韵达-抖音</v>
      </c>
      <c r="O8965" s="5">
        <v>320159469853067</v>
      </c>
      <c r="P8965" s="6">
        <v>0.33</v>
      </c>
      <c r="Q8965" s="11">
        <v>2.2999999999999998</v>
      </c>
      <c r="R8965" s="11"/>
      <c r="S8965" s="11"/>
      <c r="T8965" s="11"/>
      <c r="U8965" s="11">
        <f t="shared" si="2518"/>
        <v>2.2999999999999998</v>
      </c>
      <c r="W8965">
        <v>2.5</v>
      </c>
      <c r="X8965" s="1" t="s">
        <v>36</v>
      </c>
    </row>
    <row r="8966" spans="1:24" x14ac:dyDescent="0.25">
      <c r="A8966" s="1" t="str">
        <f t="shared" si="2519"/>
        <v>卡卡杜-凤凰仓</v>
      </c>
      <c r="B8966" s="1" t="str">
        <f>"CK20241007133"</f>
        <v>CK20241007133</v>
      </c>
      <c r="C8966" s="1" t="str">
        <f>"DD202410079077"</f>
        <v>DD202410079077</v>
      </c>
      <c r="D8966" s="1" t="str">
        <f>"CK2024100723487"</f>
        <v>CK2024100723487</v>
      </c>
      <c r="E8966" s="1" t="str">
        <f>"6917894502767624161"</f>
        <v>6917894502767624161</v>
      </c>
      <c r="F8966" s="1" t="str">
        <f t="shared" si="2520"/>
        <v>花都四部-凤凰仓</v>
      </c>
      <c r="G8966" s="1" t="str">
        <f t="shared" si="2513"/>
        <v>卡卡杜个人护理店（抖店）</v>
      </c>
      <c r="H8966" s="1" t="str">
        <f t="shared" si="2521"/>
        <v>正常订单</v>
      </c>
      <c r="I8966" s="1" t="str">
        <f t="shared" si="2522"/>
        <v>已发货</v>
      </c>
      <c r="J8966" s="1" t="str">
        <f t="shared" si="2516"/>
        <v>2</v>
      </c>
      <c r="K8966" s="1">
        <v>1</v>
      </c>
      <c r="L8966" s="1" t="s">
        <v>96</v>
      </c>
      <c r="M8966" s="1" t="str">
        <f>"广西壮族自治区 梧州市 龙圩区 龙圩镇"</f>
        <v>广西壮族自治区 梧州市 龙圩区 龙圩镇</v>
      </c>
      <c r="N8966" s="1" t="str">
        <f t="shared" si="2517"/>
        <v>凡华云仓-韵达-抖音</v>
      </c>
      <c r="O8966" s="5">
        <v>320159469852947</v>
      </c>
      <c r="P8966" s="6">
        <v>0.33</v>
      </c>
      <c r="Q8966" s="11">
        <v>2.2999999999999998</v>
      </c>
      <c r="R8966" s="11"/>
      <c r="S8966" s="11"/>
      <c r="T8966" s="11"/>
      <c r="U8966" s="11">
        <f t="shared" si="2518"/>
        <v>2.2999999999999998</v>
      </c>
      <c r="W8966">
        <v>2.5</v>
      </c>
      <c r="X8966" s="1" t="s">
        <v>96</v>
      </c>
    </row>
    <row r="8967" spans="1:24" x14ac:dyDescent="0.25">
      <c r="A8967" s="1" t="str">
        <f t="shared" si="2519"/>
        <v>卡卡杜-凤凰仓</v>
      </c>
      <c r="B8967" s="1" t="str">
        <f>"CK20241007135"</f>
        <v>CK20241007135</v>
      </c>
      <c r="C8967" s="1" t="str">
        <f>"DD202410079080"</f>
        <v>DD202410079080</v>
      </c>
      <c r="D8967" s="1" t="str">
        <f>"CK2024100723486"</f>
        <v>CK2024100723486</v>
      </c>
      <c r="E8967" s="1" t="str">
        <f>"6917887632046783502"</f>
        <v>6917887632046783502</v>
      </c>
      <c r="F8967" s="1" t="str">
        <f t="shared" si="2520"/>
        <v>花都四部-凤凰仓</v>
      </c>
      <c r="G8967" s="1" t="str">
        <f t="shared" si="2513"/>
        <v>卡卡杜个人护理店（抖店）</v>
      </c>
      <c r="H8967" s="1" t="str">
        <f t="shared" si="2521"/>
        <v>正常订单</v>
      </c>
      <c r="I8967" s="1" t="str">
        <f t="shared" si="2522"/>
        <v>已发货</v>
      </c>
      <c r="J8967" s="1" t="str">
        <f t="shared" si="2516"/>
        <v>2</v>
      </c>
      <c r="K8967" s="1">
        <v>1</v>
      </c>
      <c r="L8967" s="1" t="s">
        <v>74</v>
      </c>
      <c r="M8967" s="1" t="str">
        <f>"上海 上海市 宝山区 友谊路街道"</f>
        <v>上海 上海市 宝山区 友谊路街道</v>
      </c>
      <c r="N8967" s="1" t="str">
        <f t="shared" si="2517"/>
        <v>凡华云仓-韵达-抖音</v>
      </c>
      <c r="O8967" s="5">
        <v>320159469852842</v>
      </c>
      <c r="P8967" s="6">
        <v>0.33</v>
      </c>
      <c r="Q8967" s="11">
        <v>2.2999999999999998</v>
      </c>
      <c r="R8967" s="11"/>
      <c r="S8967" s="11"/>
      <c r="T8967" s="11"/>
      <c r="U8967" s="11">
        <f t="shared" si="2518"/>
        <v>2.2999999999999998</v>
      </c>
      <c r="W8967">
        <v>2.5</v>
      </c>
      <c r="X8967" s="1" t="s">
        <v>74</v>
      </c>
    </row>
    <row r="8968" spans="1:24" x14ac:dyDescent="0.25">
      <c r="A8968" s="1" t="str">
        <f t="shared" si="2519"/>
        <v>卡卡杜-凤凰仓</v>
      </c>
      <c r="B8968" s="1" t="str">
        <f>"CK20241007130"</f>
        <v>CK20241007130</v>
      </c>
      <c r="C8968" s="1" t="str">
        <f>"DD202410079073"</f>
        <v>DD202410079073</v>
      </c>
      <c r="D8968" s="1" t="str">
        <f>"CK2024100723485"</f>
        <v>CK2024100723485</v>
      </c>
      <c r="E8968" s="1" t="str">
        <f>"6917899468657753101"</f>
        <v>6917899468657753101</v>
      </c>
      <c r="F8968" s="1" t="str">
        <f t="shared" si="2520"/>
        <v>花都四部-凤凰仓</v>
      </c>
      <c r="G8968" s="1" t="str">
        <f t="shared" si="2513"/>
        <v>卡卡杜个人护理店（抖店）</v>
      </c>
      <c r="H8968" s="1" t="str">
        <f t="shared" si="2521"/>
        <v>正常订单</v>
      </c>
      <c r="I8968" s="1" t="str">
        <f t="shared" si="2522"/>
        <v>已发货</v>
      </c>
      <c r="J8968" s="1" t="str">
        <f t="shared" si="2516"/>
        <v>2</v>
      </c>
      <c r="K8968" s="1">
        <v>1</v>
      </c>
      <c r="L8968" s="1" t="s">
        <v>27</v>
      </c>
      <c r="M8968" s="1" t="str">
        <f>"贵州省 黔南布依族苗族自治州 龙里县 谷脚镇"</f>
        <v>贵州省 黔南布依族苗族自治州 龙里县 谷脚镇</v>
      </c>
      <c r="N8968" s="1" t="str">
        <f t="shared" si="2517"/>
        <v>凡华云仓-韵达-抖音</v>
      </c>
      <c r="O8968" s="5">
        <v>320159469852739</v>
      </c>
      <c r="P8968" s="6">
        <v>0.33</v>
      </c>
      <c r="Q8968" s="11">
        <v>2.2999999999999998</v>
      </c>
      <c r="R8968" s="11"/>
      <c r="S8968" s="11"/>
      <c r="T8968" s="11"/>
      <c r="U8968" s="11">
        <f t="shared" si="2518"/>
        <v>2.2999999999999998</v>
      </c>
      <c r="W8968">
        <v>2.5</v>
      </c>
      <c r="X8968" s="1" t="s">
        <v>27</v>
      </c>
    </row>
    <row r="8969" spans="1:24" x14ac:dyDescent="0.25">
      <c r="A8969" s="1" t="str">
        <f t="shared" si="2519"/>
        <v>卡卡杜-凤凰仓</v>
      </c>
      <c r="B8969" s="1" t="str">
        <f>"CK20241007136"</f>
        <v>CK20241007136</v>
      </c>
      <c r="C8969" s="1" t="str">
        <f>"DD202410079078"</f>
        <v>DD202410079078</v>
      </c>
      <c r="D8969" s="1" t="str">
        <f>"CK2024100723484"</f>
        <v>CK2024100723484</v>
      </c>
      <c r="E8969" s="1" t="str">
        <f>"6917887450708868583"</f>
        <v>6917887450708868583</v>
      </c>
      <c r="F8969" s="1" t="str">
        <f t="shared" si="2520"/>
        <v>花都四部-凤凰仓</v>
      </c>
      <c r="G8969" s="1" t="str">
        <f t="shared" si="2513"/>
        <v>卡卡杜个人护理店（抖店）</v>
      </c>
      <c r="H8969" s="1" t="str">
        <f t="shared" si="2521"/>
        <v>正常订单</v>
      </c>
      <c r="I8969" s="1" t="str">
        <f t="shared" si="2522"/>
        <v>已发货</v>
      </c>
      <c r="J8969" s="1" t="str">
        <f t="shared" si="2516"/>
        <v>2</v>
      </c>
      <c r="K8969" s="1">
        <v>1</v>
      </c>
      <c r="L8969" s="1" t="s">
        <v>60</v>
      </c>
      <c r="M8969" s="1" t="str">
        <f>"云南省 楚雄彝族自治州 武定县 狮山镇"</f>
        <v>云南省 楚雄彝族自治州 武定县 狮山镇</v>
      </c>
      <c r="N8969" s="1" t="str">
        <f t="shared" si="2517"/>
        <v>凡华云仓-韵达-抖音</v>
      </c>
      <c r="O8969" s="5">
        <v>320159469852638</v>
      </c>
      <c r="P8969" s="6">
        <v>0.33</v>
      </c>
      <c r="Q8969" s="11">
        <v>2.2999999999999998</v>
      </c>
      <c r="R8969" s="11"/>
      <c r="S8969" s="11"/>
      <c r="T8969" s="11"/>
      <c r="U8969" s="11">
        <f t="shared" si="2518"/>
        <v>2.2999999999999998</v>
      </c>
      <c r="W8969">
        <v>2.5</v>
      </c>
      <c r="X8969" s="1" t="s">
        <v>60</v>
      </c>
    </row>
    <row r="8970" spans="1:24" x14ac:dyDescent="0.25">
      <c r="A8970" s="1" t="str">
        <f t="shared" si="2519"/>
        <v>卡卡杜-凤凰仓</v>
      </c>
      <c r="B8970" s="1" t="str">
        <f>"CK20241007131"</f>
        <v>CK20241007131</v>
      </c>
      <c r="C8970" s="1" t="str">
        <f>"DD202410079074"</f>
        <v>DD202410079074</v>
      </c>
      <c r="D8970" s="1" t="str">
        <f>"CK2024100723483"</f>
        <v>CK2024100723483</v>
      </c>
      <c r="E8970" s="1" t="str">
        <f>"6917894263728930291"</f>
        <v>6917894263728930291</v>
      </c>
      <c r="F8970" s="1" t="str">
        <f t="shared" si="2520"/>
        <v>花都四部-凤凰仓</v>
      </c>
      <c r="G8970" s="1" t="str">
        <f t="shared" si="2513"/>
        <v>卡卡杜个人护理店（抖店）</v>
      </c>
      <c r="H8970" s="1" t="str">
        <f t="shared" si="2521"/>
        <v>正常订单</v>
      </c>
      <c r="I8970" s="1" t="str">
        <f t="shared" si="2522"/>
        <v>已发货</v>
      </c>
      <c r="J8970" s="1" t="str">
        <f t="shared" si="2516"/>
        <v>2</v>
      </c>
      <c r="K8970" s="1">
        <v>1</v>
      </c>
      <c r="L8970" s="1" t="s">
        <v>20</v>
      </c>
      <c r="M8970" s="1" t="str">
        <f>"浙江省 金华市 磐安县 尖山镇"</f>
        <v>浙江省 金华市 磐安县 尖山镇</v>
      </c>
      <c r="N8970" s="1" t="str">
        <f t="shared" si="2517"/>
        <v>凡华云仓-韵达-抖音</v>
      </c>
      <c r="O8970" s="5">
        <v>320159469852539</v>
      </c>
      <c r="P8970" s="6">
        <v>0.33</v>
      </c>
      <c r="Q8970" s="11">
        <v>2.2999999999999998</v>
      </c>
      <c r="R8970" s="11"/>
      <c r="S8970" s="11"/>
      <c r="T8970" s="11"/>
      <c r="U8970" s="11">
        <f t="shared" si="2518"/>
        <v>2.2999999999999998</v>
      </c>
      <c r="W8970">
        <v>2.5</v>
      </c>
      <c r="X8970" s="1" t="s">
        <v>20</v>
      </c>
    </row>
    <row r="8971" spans="1:24" x14ac:dyDescent="0.25">
      <c r="A8971" s="1" t="str">
        <f t="shared" si="2519"/>
        <v>卡卡杜-凤凰仓</v>
      </c>
      <c r="B8971" s="1" t="str">
        <f>"CK20241007144"</f>
        <v>CK20241007144</v>
      </c>
      <c r="C8971" s="1" t="str">
        <f>"DD202410079087"</f>
        <v>DD202410079087</v>
      </c>
      <c r="D8971" s="1" t="str">
        <f>"CK2024100723482"</f>
        <v>CK2024100723482</v>
      </c>
      <c r="E8971" s="1" t="str">
        <f>"6917889392013770246"</f>
        <v>6917889392013770246</v>
      </c>
      <c r="F8971" s="1" t="str">
        <f t="shared" si="2520"/>
        <v>花都四部-凤凰仓</v>
      </c>
      <c r="G8971" s="1" t="str">
        <f t="shared" si="2513"/>
        <v>卡卡杜个人护理店（抖店）</v>
      </c>
      <c r="H8971" s="1" t="str">
        <f t="shared" si="2521"/>
        <v>正常订单</v>
      </c>
      <c r="I8971" s="1" t="str">
        <f t="shared" si="2522"/>
        <v>已发货</v>
      </c>
      <c r="J8971" s="1" t="str">
        <f t="shared" si="2516"/>
        <v>2</v>
      </c>
      <c r="K8971" s="1">
        <v>1</v>
      </c>
      <c r="L8971" s="1" t="s">
        <v>18</v>
      </c>
      <c r="M8971" s="1" t="str">
        <f>"广东省 深圳市 宝安区 松岗街道"</f>
        <v>广东省 深圳市 宝安区 松岗街道</v>
      </c>
      <c r="N8971" s="1" t="str">
        <f t="shared" si="2517"/>
        <v>凡华云仓-韵达-抖音</v>
      </c>
      <c r="O8971" s="5">
        <v>320159469852442</v>
      </c>
      <c r="P8971" s="6">
        <v>0.33</v>
      </c>
      <c r="Q8971" s="11">
        <v>2.2999999999999998</v>
      </c>
      <c r="R8971" s="11"/>
      <c r="S8971" s="11"/>
      <c r="T8971" s="11"/>
      <c r="U8971" s="11">
        <f t="shared" si="2518"/>
        <v>2.2999999999999998</v>
      </c>
      <c r="W8971">
        <v>2.5</v>
      </c>
      <c r="X8971" s="1" t="s">
        <v>18</v>
      </c>
    </row>
    <row r="8972" spans="1:24" x14ac:dyDescent="0.25">
      <c r="A8972" s="1" t="str">
        <f t="shared" si="2519"/>
        <v>卡卡杜-凤凰仓</v>
      </c>
      <c r="B8972" s="1" t="str">
        <f>"CK2024100797"</f>
        <v>CK2024100797</v>
      </c>
      <c r="C8972" s="1" t="str">
        <f>"DD202410079042"</f>
        <v>DD202410079042</v>
      </c>
      <c r="D8972" s="1" t="str">
        <f>"CK2024100723481"</f>
        <v>CK2024100723481</v>
      </c>
      <c r="E8972" s="1" t="str">
        <f>"6917889420228263110"</f>
        <v>6917889420228263110</v>
      </c>
      <c r="F8972" s="1" t="str">
        <f t="shared" si="2520"/>
        <v>花都四部-凤凰仓</v>
      </c>
      <c r="G8972" s="1" t="str">
        <f t="shared" si="2513"/>
        <v>卡卡杜个人护理店（抖店）</v>
      </c>
      <c r="H8972" s="1" t="str">
        <f t="shared" si="2521"/>
        <v>正常订单</v>
      </c>
      <c r="I8972" s="1" t="str">
        <f t="shared" si="2522"/>
        <v>已发货</v>
      </c>
      <c r="J8972" s="1" t="str">
        <f t="shared" si="2516"/>
        <v>2</v>
      </c>
      <c r="K8972" s="1">
        <v>1</v>
      </c>
      <c r="L8972" s="1" t="s">
        <v>18</v>
      </c>
      <c r="M8972" s="1" t="str">
        <f>"广东省 东莞市 东莞市 虎门镇"</f>
        <v>广东省 东莞市 东莞市 虎门镇</v>
      </c>
      <c r="N8972" s="1" t="str">
        <f t="shared" si="2517"/>
        <v>凡华云仓-韵达-抖音</v>
      </c>
      <c r="O8972" s="5">
        <v>320159468497830</v>
      </c>
      <c r="P8972" s="6">
        <v>0.33</v>
      </c>
      <c r="Q8972" s="11">
        <v>2.2999999999999998</v>
      </c>
      <c r="R8972" s="11"/>
      <c r="S8972" s="11"/>
      <c r="T8972" s="11"/>
      <c r="U8972" s="11">
        <f t="shared" si="2518"/>
        <v>2.2999999999999998</v>
      </c>
      <c r="W8972">
        <v>2.5</v>
      </c>
      <c r="X8972" s="1" t="s">
        <v>18</v>
      </c>
    </row>
    <row r="8973" spans="1:24" x14ac:dyDescent="0.25">
      <c r="A8973" s="1" t="str">
        <f t="shared" si="2519"/>
        <v>卡卡杜-凤凰仓</v>
      </c>
      <c r="B8973" s="1" t="str">
        <f>"CK20241007105"</f>
        <v>CK20241007105</v>
      </c>
      <c r="C8973" s="1" t="str">
        <f>"DD202410079048"</f>
        <v>DD202410079048</v>
      </c>
      <c r="D8973" s="1" t="str">
        <f>"CK2024100723480"</f>
        <v>CK2024100723480</v>
      </c>
      <c r="E8973" s="1" t="str">
        <f>"6917884492906856348"</f>
        <v>6917884492906856348</v>
      </c>
      <c r="F8973" s="1" t="str">
        <f t="shared" si="2520"/>
        <v>花都四部-凤凰仓</v>
      </c>
      <c r="G8973" s="1" t="str">
        <f t="shared" si="2513"/>
        <v>卡卡杜个人护理店（抖店）</v>
      </c>
      <c r="H8973" s="1" t="str">
        <f t="shared" si="2521"/>
        <v>正常订单</v>
      </c>
      <c r="I8973" s="1" t="str">
        <f t="shared" si="2522"/>
        <v>已发货</v>
      </c>
      <c r="J8973" s="1" t="str">
        <f t="shared" si="2516"/>
        <v>2</v>
      </c>
      <c r="K8973" s="1">
        <v>1</v>
      </c>
      <c r="L8973" s="1" t="s">
        <v>13</v>
      </c>
      <c r="M8973" s="1" t="str">
        <f>"江苏省 徐州市 铜山区 新区街道"</f>
        <v>江苏省 徐州市 铜山区 新区街道</v>
      </c>
      <c r="N8973" s="1" t="str">
        <f t="shared" si="2517"/>
        <v>凡华云仓-韵达-抖音</v>
      </c>
      <c r="O8973" s="5">
        <v>320159468497727</v>
      </c>
      <c r="P8973" s="6">
        <v>0.33</v>
      </c>
      <c r="Q8973" s="11">
        <v>2.2999999999999998</v>
      </c>
      <c r="R8973" s="11"/>
      <c r="S8973" s="11"/>
      <c r="T8973" s="11"/>
      <c r="U8973" s="11">
        <f t="shared" si="2518"/>
        <v>2.2999999999999998</v>
      </c>
      <c r="W8973">
        <v>2.5</v>
      </c>
      <c r="X8973" s="1" t="s">
        <v>13</v>
      </c>
    </row>
    <row r="8974" spans="1:24" x14ac:dyDescent="0.25">
      <c r="A8974" s="1" t="str">
        <f t="shared" si="2519"/>
        <v>卡卡杜-凤凰仓</v>
      </c>
      <c r="B8974" s="1" t="str">
        <f>"CK2024100795"</f>
        <v>CK2024100795</v>
      </c>
      <c r="C8974" s="1" t="str">
        <f>"DD202410079038"</f>
        <v>DD202410079038</v>
      </c>
      <c r="D8974" s="1" t="str">
        <f>"CK2024100723479"</f>
        <v>CK2024100723479</v>
      </c>
      <c r="E8974" s="1" t="str">
        <f>"6917885047187537487"</f>
        <v>6917885047187537487</v>
      </c>
      <c r="F8974" s="1" t="str">
        <f t="shared" si="2520"/>
        <v>花都四部-凤凰仓</v>
      </c>
      <c r="G8974" s="1" t="str">
        <f t="shared" si="2513"/>
        <v>卡卡杜个人护理店（抖店）</v>
      </c>
      <c r="H8974" s="1" t="str">
        <f t="shared" si="2521"/>
        <v>正常订单</v>
      </c>
      <c r="I8974" s="1" t="str">
        <f t="shared" si="2522"/>
        <v>已发货</v>
      </c>
      <c r="J8974" s="1" t="str">
        <f t="shared" si="2516"/>
        <v>2</v>
      </c>
      <c r="K8974" s="1">
        <v>1</v>
      </c>
      <c r="L8974" s="1" t="s">
        <v>94</v>
      </c>
      <c r="M8974" s="1" t="str">
        <f>"湖南省 邵阳市 新宁县 "</f>
        <v xml:space="preserve">湖南省 邵阳市 新宁县 </v>
      </c>
      <c r="N8974" s="1" t="str">
        <f t="shared" si="2517"/>
        <v>凡华云仓-韵达-抖音</v>
      </c>
      <c r="O8974" s="5">
        <v>320159468497626</v>
      </c>
      <c r="P8974" s="6">
        <v>0.33</v>
      </c>
      <c r="Q8974" s="11">
        <v>2.2999999999999998</v>
      </c>
      <c r="R8974" s="11"/>
      <c r="S8974" s="11"/>
      <c r="T8974" s="11"/>
      <c r="U8974" s="11">
        <f t="shared" si="2518"/>
        <v>2.2999999999999998</v>
      </c>
      <c r="W8974">
        <v>2.5</v>
      </c>
      <c r="X8974" s="1" t="s">
        <v>94</v>
      </c>
    </row>
    <row r="8975" spans="1:24" x14ac:dyDescent="0.25">
      <c r="A8975" s="1" t="str">
        <f t="shared" si="2519"/>
        <v>卡卡杜-凤凰仓</v>
      </c>
      <c r="B8975" s="1" t="str">
        <f>"CK2024100782"</f>
        <v>CK2024100782</v>
      </c>
      <c r="C8975" s="1" t="str">
        <f>"DD202410079025"</f>
        <v>DD202410079025</v>
      </c>
      <c r="D8975" s="1" t="str">
        <f>"CK2024100723478"</f>
        <v>CK2024100723478</v>
      </c>
      <c r="E8975" s="1" t="str">
        <f>"6917885055706168689"</f>
        <v>6917885055706168689</v>
      </c>
      <c r="F8975" s="1" t="str">
        <f t="shared" si="2520"/>
        <v>花都四部-凤凰仓</v>
      </c>
      <c r="G8975" s="1" t="str">
        <f t="shared" si="2513"/>
        <v>卡卡杜个人护理店（抖店）</v>
      </c>
      <c r="H8975" s="1" t="str">
        <f t="shared" si="2521"/>
        <v>正常订单</v>
      </c>
      <c r="I8975" s="1" t="str">
        <f t="shared" si="2522"/>
        <v>已发货</v>
      </c>
      <c r="J8975" s="1" t="str">
        <f t="shared" si="2516"/>
        <v>2</v>
      </c>
      <c r="K8975" s="1">
        <v>1</v>
      </c>
      <c r="L8975" s="1" t="s">
        <v>24</v>
      </c>
      <c r="M8975" s="1" t="str">
        <f>"福建省 宁德市 柘荣县 城郊乡"</f>
        <v>福建省 宁德市 柘荣县 城郊乡</v>
      </c>
      <c r="N8975" s="1" t="str">
        <f t="shared" si="2517"/>
        <v>凡华云仓-韵达-抖音</v>
      </c>
      <c r="O8975" s="5">
        <v>320159468497527</v>
      </c>
      <c r="P8975" s="6">
        <v>0.33</v>
      </c>
      <c r="Q8975" s="11">
        <v>2.2999999999999998</v>
      </c>
      <c r="R8975" s="11"/>
      <c r="S8975" s="11"/>
      <c r="T8975" s="11"/>
      <c r="U8975" s="11">
        <f t="shared" si="2518"/>
        <v>2.2999999999999998</v>
      </c>
      <c r="W8975">
        <v>2.5</v>
      </c>
      <c r="X8975" s="1" t="s">
        <v>24</v>
      </c>
    </row>
    <row r="8976" spans="1:24" x14ac:dyDescent="0.25">
      <c r="A8976" s="1" t="str">
        <f t="shared" si="2519"/>
        <v>卡卡杜-凤凰仓</v>
      </c>
      <c r="B8976" s="1" t="str">
        <f>"CK2024100793"</f>
        <v>CK2024100793</v>
      </c>
      <c r="C8976" s="1" t="str">
        <f>"DD202410079036"</f>
        <v>DD202410079036</v>
      </c>
      <c r="D8976" s="1" t="str">
        <f>"CK2024100723477"</f>
        <v>CK2024100723477</v>
      </c>
      <c r="E8976" s="1" t="str">
        <f>"6917889632202489169"</f>
        <v>6917889632202489169</v>
      </c>
      <c r="F8976" s="1" t="str">
        <f t="shared" si="2520"/>
        <v>花都四部-凤凰仓</v>
      </c>
      <c r="G8976" s="1" t="str">
        <f t="shared" si="2513"/>
        <v>卡卡杜个人护理店（抖店）</v>
      </c>
      <c r="H8976" s="1" t="str">
        <f t="shared" si="2521"/>
        <v>正常订单</v>
      </c>
      <c r="I8976" s="1" t="str">
        <f t="shared" si="2522"/>
        <v>已发货</v>
      </c>
      <c r="J8976" s="1" t="str">
        <f t="shared" si="2516"/>
        <v>2</v>
      </c>
      <c r="K8976" s="1">
        <v>1</v>
      </c>
      <c r="L8976" s="1" t="s">
        <v>44</v>
      </c>
      <c r="M8976" s="1" t="str">
        <f>"海南省 文昌市 文昌市 文城镇"</f>
        <v>海南省 文昌市 文昌市 文城镇</v>
      </c>
      <c r="N8976" s="1" t="str">
        <f t="shared" si="2517"/>
        <v>凡华云仓-韵达-抖音</v>
      </c>
      <c r="O8976" s="5">
        <v>320159468497430</v>
      </c>
      <c r="P8976" s="6">
        <v>0.33</v>
      </c>
      <c r="Q8976" s="11">
        <v>2.2999999999999998</v>
      </c>
      <c r="R8976" s="11"/>
      <c r="S8976" s="11"/>
      <c r="T8976" s="11"/>
      <c r="U8976" s="11">
        <f t="shared" si="2518"/>
        <v>2.2999999999999998</v>
      </c>
      <c r="W8976">
        <v>2.5</v>
      </c>
      <c r="X8976" s="1" t="s">
        <v>44</v>
      </c>
    </row>
    <row r="8977" spans="1:24" x14ac:dyDescent="0.25">
      <c r="A8977" s="1" t="str">
        <f t="shared" si="2519"/>
        <v>卡卡杜-凤凰仓</v>
      </c>
      <c r="B8977" s="1" t="str">
        <f>"CK2024100794"</f>
        <v>CK2024100794</v>
      </c>
      <c r="C8977" s="1" t="str">
        <f>"DD202410079037"</f>
        <v>DD202410079037</v>
      </c>
      <c r="D8977" s="1" t="str">
        <f>"CK2024100723476"</f>
        <v>CK2024100723476</v>
      </c>
      <c r="E8977" s="1" t="str">
        <f>"6917894208075103679"</f>
        <v>6917894208075103679</v>
      </c>
      <c r="F8977" s="1" t="str">
        <f t="shared" si="2520"/>
        <v>花都四部-凤凰仓</v>
      </c>
      <c r="G8977" s="1" t="str">
        <f t="shared" si="2513"/>
        <v>卡卡杜个人护理店（抖店）</v>
      </c>
      <c r="H8977" s="1" t="str">
        <f t="shared" si="2521"/>
        <v>正常订单</v>
      </c>
      <c r="I8977" s="1" t="str">
        <f t="shared" si="2522"/>
        <v>已发货</v>
      </c>
      <c r="J8977" s="1" t="str">
        <f t="shared" si="2516"/>
        <v>2</v>
      </c>
      <c r="K8977" s="1">
        <v>1</v>
      </c>
      <c r="L8977" s="1" t="s">
        <v>30</v>
      </c>
      <c r="M8977" s="1" t="str">
        <f>"山东省 菏泽市 牡丹区 西城街道"</f>
        <v>山东省 菏泽市 牡丹区 西城街道</v>
      </c>
      <c r="N8977" s="1" t="str">
        <f t="shared" si="2517"/>
        <v>凡华云仓-韵达-抖音</v>
      </c>
      <c r="O8977" s="5">
        <v>320159468497335</v>
      </c>
      <c r="P8977" s="6">
        <v>0.33</v>
      </c>
      <c r="Q8977" s="11">
        <v>2.2999999999999998</v>
      </c>
      <c r="R8977" s="11"/>
      <c r="S8977" s="11"/>
      <c r="T8977" s="11"/>
      <c r="U8977" s="11">
        <f t="shared" si="2518"/>
        <v>2.2999999999999998</v>
      </c>
      <c r="W8977">
        <v>2.5</v>
      </c>
      <c r="X8977" s="1" t="s">
        <v>30</v>
      </c>
    </row>
    <row r="8978" spans="1:24" x14ac:dyDescent="0.25">
      <c r="A8978" s="1" t="str">
        <f t="shared" si="2519"/>
        <v>卡卡杜-凤凰仓</v>
      </c>
      <c r="B8978" s="1" t="str">
        <f>"CK2024100751"</f>
        <v>CK2024100751</v>
      </c>
      <c r="C8978" s="1" t="str">
        <f>"DD202410078994"</f>
        <v>DD202410078994</v>
      </c>
      <c r="D8978" s="1" t="str">
        <f>"CK2024100723475"</f>
        <v>CK2024100723475</v>
      </c>
      <c r="E8978" s="1" t="str">
        <f>"6917894183417249178"</f>
        <v>6917894183417249178</v>
      </c>
      <c r="F8978" s="1" t="str">
        <f t="shared" si="2520"/>
        <v>花都四部-凤凰仓</v>
      </c>
      <c r="G8978" s="1" t="str">
        <f t="shared" si="2513"/>
        <v>卡卡杜个人护理店（抖店）</v>
      </c>
      <c r="H8978" s="1" t="str">
        <f t="shared" si="2521"/>
        <v>正常订单</v>
      </c>
      <c r="I8978" s="1" t="str">
        <f t="shared" si="2522"/>
        <v>已发货</v>
      </c>
      <c r="J8978" s="1" t="str">
        <f t="shared" si="2516"/>
        <v>2</v>
      </c>
      <c r="K8978" s="1">
        <v>1</v>
      </c>
      <c r="L8978" s="1" t="s">
        <v>20</v>
      </c>
      <c r="M8978" s="1" t="str">
        <f>"浙江省 嘉兴市 海宁市 海昌街道"</f>
        <v>浙江省 嘉兴市 海宁市 海昌街道</v>
      </c>
      <c r="N8978" s="1" t="str">
        <f t="shared" si="2517"/>
        <v>凡华云仓-韵达-抖音</v>
      </c>
      <c r="O8978" s="5">
        <v>320159468497242</v>
      </c>
      <c r="P8978" s="6">
        <v>0.33</v>
      </c>
      <c r="Q8978" s="11">
        <v>2.2999999999999998</v>
      </c>
      <c r="R8978" s="11"/>
      <c r="S8978" s="11"/>
      <c r="T8978" s="11"/>
      <c r="U8978" s="11">
        <f t="shared" si="2518"/>
        <v>2.2999999999999998</v>
      </c>
      <c r="W8978">
        <v>2.5</v>
      </c>
      <c r="X8978" s="1" t="s">
        <v>20</v>
      </c>
    </row>
    <row r="8979" spans="1:24" x14ac:dyDescent="0.25">
      <c r="A8979" s="1" t="str">
        <f t="shared" si="2519"/>
        <v>卡卡杜-凤凰仓</v>
      </c>
      <c r="B8979" s="1" t="str">
        <f>"CK2024100752"</f>
        <v>CK2024100752</v>
      </c>
      <c r="C8979" s="1" t="str">
        <f>"DD202410078995"</f>
        <v>DD202410078995</v>
      </c>
      <c r="D8979" s="1" t="str">
        <f>"CK2024100723474"</f>
        <v>CK2024100723474</v>
      </c>
      <c r="E8979" s="1" t="str">
        <f>"6917886864698604636"</f>
        <v>6917886864698604636</v>
      </c>
      <c r="F8979" s="1" t="str">
        <f t="shared" si="2520"/>
        <v>花都四部-凤凰仓</v>
      </c>
      <c r="G8979" s="1" t="str">
        <f t="shared" si="2513"/>
        <v>卡卡杜个人护理店（抖店）</v>
      </c>
      <c r="H8979" s="1" t="str">
        <f t="shared" si="2521"/>
        <v>正常订单</v>
      </c>
      <c r="I8979" s="1" t="str">
        <f t="shared" si="2522"/>
        <v>已发货</v>
      </c>
      <c r="J8979" s="1" t="str">
        <f t="shared" si="2516"/>
        <v>2</v>
      </c>
      <c r="K8979" s="1">
        <v>1</v>
      </c>
      <c r="L8979" s="1" t="s">
        <v>96</v>
      </c>
      <c r="M8979" s="1" t="str">
        <f>"广西壮族自治区 北海市 银海区 福成镇"</f>
        <v>广西壮族自治区 北海市 银海区 福成镇</v>
      </c>
      <c r="N8979" s="1" t="str">
        <f t="shared" si="2517"/>
        <v>凡华云仓-韵达-抖音</v>
      </c>
      <c r="O8979" s="5">
        <v>320159468497151</v>
      </c>
      <c r="P8979" s="6">
        <v>0.33</v>
      </c>
      <c r="Q8979" s="11">
        <v>2.2999999999999998</v>
      </c>
      <c r="R8979" s="11"/>
      <c r="S8979" s="11"/>
      <c r="T8979" s="11"/>
      <c r="U8979" s="11">
        <f t="shared" si="2518"/>
        <v>2.2999999999999998</v>
      </c>
      <c r="W8979">
        <v>2.5</v>
      </c>
      <c r="X8979" s="1" t="s">
        <v>96</v>
      </c>
    </row>
    <row r="8980" spans="1:24" x14ac:dyDescent="0.25">
      <c r="A8980" s="1" t="str">
        <f t="shared" si="2519"/>
        <v>卡卡杜-凤凰仓</v>
      </c>
      <c r="B8980" s="1" t="str">
        <f>"CK2024100753"</f>
        <v>CK2024100753</v>
      </c>
      <c r="C8980" s="1" t="str">
        <f>"DD202410078998"</f>
        <v>DD202410078998</v>
      </c>
      <c r="D8980" s="1" t="str">
        <f>"CK2024100723473"</f>
        <v>CK2024100723473</v>
      </c>
      <c r="E8980" s="1" t="str">
        <f>"6917885074965561188"</f>
        <v>6917885074965561188</v>
      </c>
      <c r="F8980" s="1" t="str">
        <f t="shared" si="2520"/>
        <v>花都四部-凤凰仓</v>
      </c>
      <c r="G8980" s="1" t="str">
        <f t="shared" si="2513"/>
        <v>卡卡杜个人护理店（抖店）</v>
      </c>
      <c r="H8980" s="1" t="str">
        <f t="shared" si="2521"/>
        <v>正常订单</v>
      </c>
      <c r="I8980" s="1" t="str">
        <f t="shared" si="2522"/>
        <v>已发货</v>
      </c>
      <c r="J8980" s="1" t="str">
        <f t="shared" si="2516"/>
        <v>2</v>
      </c>
      <c r="K8980" s="1">
        <v>1</v>
      </c>
      <c r="L8980" s="1" t="s">
        <v>41</v>
      </c>
      <c r="M8980" s="1" t="str">
        <f>"湖北省 荆州市 荆州区 纪南镇"</f>
        <v>湖北省 荆州市 荆州区 纪南镇</v>
      </c>
      <c r="N8980" s="1" t="str">
        <f t="shared" si="2517"/>
        <v>凡华云仓-韵达-抖音</v>
      </c>
      <c r="O8980" s="5">
        <v>320159468497062</v>
      </c>
      <c r="P8980" s="6">
        <v>0.33</v>
      </c>
      <c r="Q8980" s="11">
        <v>2.2999999999999998</v>
      </c>
      <c r="R8980" s="11"/>
      <c r="S8980" s="11"/>
      <c r="T8980" s="11"/>
      <c r="U8980" s="11">
        <f t="shared" si="2518"/>
        <v>2.2999999999999998</v>
      </c>
      <c r="W8980">
        <v>2.5</v>
      </c>
      <c r="X8980" s="1" t="s">
        <v>41</v>
      </c>
    </row>
    <row r="8981" spans="1:24" x14ac:dyDescent="0.25">
      <c r="A8981" s="1" t="str">
        <f t="shared" si="2519"/>
        <v>卡卡杜-凤凰仓</v>
      </c>
      <c r="B8981" s="1" t="str">
        <f>"CK2024100754"</f>
        <v>CK2024100754</v>
      </c>
      <c r="C8981" s="1" t="str">
        <f>"DD202410078996"</f>
        <v>DD202410078996</v>
      </c>
      <c r="D8981" s="1" t="str">
        <f>"CK2024100723472"</f>
        <v>CK2024100723472</v>
      </c>
      <c r="E8981" s="1" t="str">
        <f>"6917894056320269674"</f>
        <v>6917894056320269674</v>
      </c>
      <c r="F8981" s="1" t="str">
        <f t="shared" si="2520"/>
        <v>花都四部-凤凰仓</v>
      </c>
      <c r="G8981" s="1" t="str">
        <f t="shared" si="2513"/>
        <v>卡卡杜个人护理店（抖店）</v>
      </c>
      <c r="H8981" s="1" t="str">
        <f t="shared" si="2521"/>
        <v>正常订单</v>
      </c>
      <c r="I8981" s="1" t="str">
        <f t="shared" si="2522"/>
        <v>已发货</v>
      </c>
      <c r="J8981" s="1" t="str">
        <f t="shared" si="2516"/>
        <v>2</v>
      </c>
      <c r="K8981" s="1">
        <v>1</v>
      </c>
      <c r="L8981" s="1" t="s">
        <v>20</v>
      </c>
      <c r="M8981" s="1" t="str">
        <f>"浙江省 杭州市 拱墅区 祥符街道"</f>
        <v>浙江省 杭州市 拱墅区 祥符街道</v>
      </c>
      <c r="N8981" s="1" t="str">
        <f t="shared" si="2517"/>
        <v>凡华云仓-韵达-抖音</v>
      </c>
      <c r="O8981" s="5">
        <v>320159468496934</v>
      </c>
      <c r="P8981" s="6">
        <v>0.33</v>
      </c>
      <c r="Q8981" s="11">
        <v>2.2999999999999998</v>
      </c>
      <c r="R8981" s="11"/>
      <c r="S8981" s="11"/>
      <c r="T8981" s="11"/>
      <c r="U8981" s="11">
        <f t="shared" si="2518"/>
        <v>2.2999999999999998</v>
      </c>
      <c r="W8981">
        <v>2.5</v>
      </c>
      <c r="X8981" s="1" t="s">
        <v>20</v>
      </c>
    </row>
    <row r="8982" spans="1:24" x14ac:dyDescent="0.25">
      <c r="A8982" s="1" t="str">
        <f t="shared" si="2519"/>
        <v>卡卡杜-凤凰仓</v>
      </c>
      <c r="B8982" s="1" t="str">
        <f>"CK2024100748"</f>
        <v>CK2024100748</v>
      </c>
      <c r="C8982" s="1" t="str">
        <f>"DD202410078991"</f>
        <v>DD202410078991</v>
      </c>
      <c r="D8982" s="1" t="str">
        <f>"CK2024100723471"</f>
        <v>CK2024100723471</v>
      </c>
      <c r="E8982" s="1" t="str">
        <f>"6917891964741581907"</f>
        <v>6917891964741581907</v>
      </c>
      <c r="F8982" s="1" t="str">
        <f t="shared" si="2520"/>
        <v>花都四部-凤凰仓</v>
      </c>
      <c r="G8982" s="1" t="str">
        <f t="shared" si="2513"/>
        <v>卡卡杜个人护理店（抖店）</v>
      </c>
      <c r="H8982" s="1" t="str">
        <f t="shared" si="2521"/>
        <v>正常订单</v>
      </c>
      <c r="I8982" s="1" t="str">
        <f t="shared" si="2522"/>
        <v>已发货</v>
      </c>
      <c r="J8982" s="1" t="str">
        <f t="shared" si="2516"/>
        <v>2</v>
      </c>
      <c r="K8982" s="1">
        <v>1</v>
      </c>
      <c r="L8982" s="1" t="s">
        <v>94</v>
      </c>
      <c r="M8982" s="1" t="str">
        <f>"湖南省 益阳市 赫山区 赫山街道"</f>
        <v>湖南省 益阳市 赫山区 赫山街道</v>
      </c>
      <c r="N8982" s="1" t="str">
        <f t="shared" si="2517"/>
        <v>凡华云仓-韵达-抖音</v>
      </c>
      <c r="O8982" s="5">
        <v>320159449911781</v>
      </c>
      <c r="P8982" s="6">
        <v>0.33</v>
      </c>
      <c r="Q8982" s="11">
        <v>2.2999999999999998</v>
      </c>
      <c r="R8982" s="11"/>
      <c r="S8982" s="11"/>
      <c r="T8982" s="11"/>
      <c r="U8982" s="11">
        <f t="shared" si="2518"/>
        <v>2.2999999999999998</v>
      </c>
      <c r="W8982">
        <v>2.5</v>
      </c>
      <c r="X8982" s="1" t="s">
        <v>94</v>
      </c>
    </row>
    <row r="8983" spans="1:24" x14ac:dyDescent="0.25">
      <c r="A8983" s="1" t="str">
        <f t="shared" si="2519"/>
        <v>卡卡杜-凤凰仓</v>
      </c>
      <c r="B8983" s="1" t="str">
        <f>"CK2024100755"</f>
        <v>CK2024100755</v>
      </c>
      <c r="C8983" s="1" t="str">
        <f>"DD202410078997"</f>
        <v>DD202410078997</v>
      </c>
      <c r="D8983" s="1" t="str">
        <f>"CK2024100723470"</f>
        <v>CK2024100723470</v>
      </c>
      <c r="E8983" s="1" t="str">
        <f>"6917893847802543240"</f>
        <v>6917893847802543240</v>
      </c>
      <c r="F8983" s="1" t="str">
        <f t="shared" si="2520"/>
        <v>花都四部-凤凰仓</v>
      </c>
      <c r="G8983" s="1" t="str">
        <f t="shared" ref="G8983:G9045" si="2523">"卡卡杜个人护理店（抖店）"</f>
        <v>卡卡杜个人护理店（抖店）</v>
      </c>
      <c r="H8983" s="1" t="str">
        <f t="shared" si="2521"/>
        <v>正常订单</v>
      </c>
      <c r="I8983" s="1" t="str">
        <f t="shared" si="2522"/>
        <v>已发货</v>
      </c>
      <c r="J8983" s="1" t="str">
        <f t="shared" si="2516"/>
        <v>2</v>
      </c>
      <c r="K8983" s="1">
        <v>1</v>
      </c>
      <c r="L8983" s="1" t="s">
        <v>36</v>
      </c>
      <c r="M8983" s="1" t="str">
        <f>"安徽省 合肥市 肥东县 肥东新城开发区"</f>
        <v>安徽省 合肥市 肥东县 肥东新城开发区</v>
      </c>
      <c r="N8983" s="1" t="str">
        <f t="shared" si="2517"/>
        <v>凡华云仓-韵达-抖音</v>
      </c>
      <c r="O8983" s="5">
        <v>320159449911680</v>
      </c>
      <c r="P8983" s="6">
        <v>0.33</v>
      </c>
      <c r="Q8983" s="11">
        <v>2.2999999999999998</v>
      </c>
      <c r="R8983" s="11"/>
      <c r="S8983" s="11"/>
      <c r="T8983" s="11"/>
      <c r="U8983" s="11">
        <f t="shared" si="2518"/>
        <v>2.2999999999999998</v>
      </c>
      <c r="W8983">
        <v>2.5</v>
      </c>
      <c r="X8983" s="1" t="s">
        <v>36</v>
      </c>
    </row>
    <row r="8984" spans="1:24" x14ac:dyDescent="0.25">
      <c r="A8984" s="1" t="str">
        <f t="shared" si="2519"/>
        <v>卡卡杜-凤凰仓</v>
      </c>
      <c r="B8984" s="1" t="str">
        <f>"CK2024100757"</f>
        <v>CK2024100757</v>
      </c>
      <c r="C8984" s="1" t="str">
        <f>"DD202410079000"</f>
        <v>DD202410079000</v>
      </c>
      <c r="D8984" s="1" t="str">
        <f>"CK2024100723469"</f>
        <v>CK2024100723469</v>
      </c>
      <c r="E8984" s="1" t="str">
        <f>"6917887252721401180"</f>
        <v>6917887252721401180</v>
      </c>
      <c r="F8984" s="1" t="str">
        <f t="shared" si="2520"/>
        <v>花都四部-凤凰仓</v>
      </c>
      <c r="G8984" s="1" t="str">
        <f t="shared" si="2523"/>
        <v>卡卡杜个人护理店（抖店）</v>
      </c>
      <c r="H8984" s="1" t="str">
        <f t="shared" si="2521"/>
        <v>正常订单</v>
      </c>
      <c r="I8984" s="1" t="str">
        <f t="shared" si="2522"/>
        <v>已发货</v>
      </c>
      <c r="J8984" s="1" t="str">
        <f t="shared" si="2516"/>
        <v>2</v>
      </c>
      <c r="K8984" s="1">
        <v>1</v>
      </c>
      <c r="L8984" s="1" t="s">
        <v>94</v>
      </c>
      <c r="M8984" s="1" t="str">
        <f>"湖南省 岳阳市 岳阳县 杨林街镇"</f>
        <v>湖南省 岳阳市 岳阳县 杨林街镇</v>
      </c>
      <c r="N8984" s="1" t="str">
        <f t="shared" si="2517"/>
        <v>凡华云仓-韵达-抖音</v>
      </c>
      <c r="O8984" s="5">
        <v>320159449911581</v>
      </c>
      <c r="P8984" s="6">
        <v>0.33</v>
      </c>
      <c r="Q8984" s="11">
        <v>2.2999999999999998</v>
      </c>
      <c r="R8984" s="11"/>
      <c r="S8984" s="11"/>
      <c r="T8984" s="11"/>
      <c r="U8984" s="11">
        <f t="shared" si="2518"/>
        <v>2.2999999999999998</v>
      </c>
      <c r="W8984">
        <v>2.5</v>
      </c>
      <c r="X8984" s="1" t="s">
        <v>94</v>
      </c>
    </row>
    <row r="8985" spans="1:24" x14ac:dyDescent="0.25">
      <c r="A8985" s="1" t="str">
        <f t="shared" si="2519"/>
        <v>卡卡杜-凤凰仓</v>
      </c>
      <c r="B8985" s="1" t="str">
        <f>"CK20241007152"</f>
        <v>CK20241007152</v>
      </c>
      <c r="C8985" s="1" t="str">
        <f>"DD202410079095"</f>
        <v>DD202410079095</v>
      </c>
      <c r="D8985" s="1" t="str">
        <f>"CK2024100723468"</f>
        <v>CK2024100723468</v>
      </c>
      <c r="E8985" s="1" t="str">
        <f>"6917893687819009564"</f>
        <v>6917893687819009564</v>
      </c>
      <c r="F8985" s="1" t="str">
        <f t="shared" si="2520"/>
        <v>花都四部-凤凰仓</v>
      </c>
      <c r="G8985" s="1" t="str">
        <f t="shared" si="2523"/>
        <v>卡卡杜个人护理店（抖店）</v>
      </c>
      <c r="H8985" s="1" t="str">
        <f t="shared" si="2521"/>
        <v>正常订单</v>
      </c>
      <c r="I8985" s="1" t="str">
        <f t="shared" si="2522"/>
        <v>已发货</v>
      </c>
      <c r="J8985" s="1" t="str">
        <f t="shared" si="2516"/>
        <v>2</v>
      </c>
      <c r="K8985" s="1">
        <v>2</v>
      </c>
      <c r="L8985" s="1" t="s">
        <v>13</v>
      </c>
      <c r="M8985" s="1" t="str">
        <f>"江苏省 苏州市 吴江区 江陵街道"</f>
        <v>江苏省 苏州市 吴江区 江陵街道</v>
      </c>
      <c r="N8985" s="1" t="str">
        <f t="shared" si="2517"/>
        <v>凡华云仓-韵达-抖音</v>
      </c>
      <c r="O8985" s="5">
        <v>320159449911484</v>
      </c>
      <c r="P8985" s="6">
        <v>0.28000000000000003</v>
      </c>
      <c r="Q8985" s="11">
        <v>2</v>
      </c>
      <c r="R8985" s="11"/>
      <c r="S8985" s="11"/>
      <c r="T8985" s="11"/>
      <c r="U8985" s="11">
        <f t="shared" si="2518"/>
        <v>2</v>
      </c>
      <c r="W8985">
        <v>2.2000000000000002</v>
      </c>
      <c r="X8985" s="1" t="s">
        <v>13</v>
      </c>
    </row>
    <row r="8986" spans="1:24" x14ac:dyDescent="0.25">
      <c r="A8986" s="1" t="str">
        <f t="shared" si="2519"/>
        <v>卡卡杜-凤凰仓</v>
      </c>
      <c r="B8986" s="1" t="str">
        <f>"CK2024100758"</f>
        <v>CK2024100758</v>
      </c>
      <c r="C8986" s="1" t="str">
        <f>"DD202410079001"</f>
        <v>DD202410079001</v>
      </c>
      <c r="D8986" s="1" t="str">
        <f>"CK2024100723467"</f>
        <v>CK2024100723467</v>
      </c>
      <c r="E8986" s="1" t="str">
        <f>"6917884287698108039"</f>
        <v>6917884287698108039</v>
      </c>
      <c r="F8986" s="1" t="str">
        <f t="shared" si="2520"/>
        <v>花都四部-凤凰仓</v>
      </c>
      <c r="G8986" s="1" t="str">
        <f t="shared" si="2523"/>
        <v>卡卡杜个人护理店（抖店）</v>
      </c>
      <c r="H8986" s="1" t="str">
        <f t="shared" si="2521"/>
        <v>正常订单</v>
      </c>
      <c r="I8986" s="1" t="str">
        <f t="shared" si="2522"/>
        <v>已发货</v>
      </c>
      <c r="J8986" s="1" t="str">
        <f t="shared" si="2516"/>
        <v>2</v>
      </c>
      <c r="K8986" s="1">
        <v>1</v>
      </c>
      <c r="L8986" s="1" t="s">
        <v>96</v>
      </c>
      <c r="M8986" s="1" t="str">
        <f>"广西壮族自治区 来宾市 象州县 象州镇"</f>
        <v>广西壮族自治区 来宾市 象州县 象州镇</v>
      </c>
      <c r="N8986" s="1" t="str">
        <f t="shared" si="2517"/>
        <v>凡华云仓-韵达-抖音</v>
      </c>
      <c r="O8986" s="5">
        <v>320159449911389</v>
      </c>
      <c r="P8986" s="6">
        <v>0.33</v>
      </c>
      <c r="Q8986" s="11">
        <v>2.2999999999999998</v>
      </c>
      <c r="R8986" s="11"/>
      <c r="S8986" s="11"/>
      <c r="T8986" s="11"/>
      <c r="U8986" s="11">
        <f t="shared" si="2518"/>
        <v>2.2999999999999998</v>
      </c>
      <c r="W8986">
        <v>2.5</v>
      </c>
      <c r="X8986" s="1" t="s">
        <v>96</v>
      </c>
    </row>
    <row r="8987" spans="1:24" x14ac:dyDescent="0.25">
      <c r="A8987" s="1" t="str">
        <f t="shared" si="2519"/>
        <v>卡卡杜-凤凰仓</v>
      </c>
      <c r="B8987" s="1" t="str">
        <f>"CK2024100759"</f>
        <v>CK2024100759</v>
      </c>
      <c r="C8987" s="1" t="str">
        <f>"DD202410079004"</f>
        <v>DD202410079004</v>
      </c>
      <c r="D8987" s="1" t="str">
        <f>"CK2024100723466"</f>
        <v>CK2024100723466</v>
      </c>
      <c r="E8987" s="1" t="str">
        <f>"6917884454808026622"</f>
        <v>6917884454808026622</v>
      </c>
      <c r="F8987" s="1" t="str">
        <f t="shared" si="2520"/>
        <v>花都四部-凤凰仓</v>
      </c>
      <c r="G8987" s="1" t="str">
        <f t="shared" si="2523"/>
        <v>卡卡杜个人护理店（抖店）</v>
      </c>
      <c r="H8987" s="1" t="str">
        <f t="shared" si="2521"/>
        <v>正常订单</v>
      </c>
      <c r="I8987" s="1" t="str">
        <f t="shared" si="2522"/>
        <v>已发货</v>
      </c>
      <c r="J8987" s="1" t="str">
        <f t="shared" si="2516"/>
        <v>2</v>
      </c>
      <c r="K8987" s="1">
        <v>1</v>
      </c>
      <c r="L8987" s="1" t="s">
        <v>36</v>
      </c>
      <c r="M8987" s="1" t="str">
        <f>"安徽省 六安市 舒城县 "</f>
        <v xml:space="preserve">安徽省 六安市 舒城县 </v>
      </c>
      <c r="N8987" s="1" t="str">
        <f t="shared" si="2517"/>
        <v>凡华云仓-韵达-抖音</v>
      </c>
      <c r="O8987" s="5">
        <v>320159449911296</v>
      </c>
      <c r="P8987" s="6">
        <v>0.33</v>
      </c>
      <c r="Q8987" s="11">
        <v>2.2999999999999998</v>
      </c>
      <c r="R8987" s="11"/>
      <c r="S8987" s="11"/>
      <c r="T8987" s="11"/>
      <c r="U8987" s="11">
        <f t="shared" si="2518"/>
        <v>2.2999999999999998</v>
      </c>
      <c r="W8987">
        <v>2.5</v>
      </c>
      <c r="X8987" s="1" t="s">
        <v>36</v>
      </c>
    </row>
    <row r="8988" spans="1:24" x14ac:dyDescent="0.25">
      <c r="A8988" s="1" t="str">
        <f t="shared" si="2519"/>
        <v>卡卡杜-凤凰仓</v>
      </c>
      <c r="B8988" s="1" t="str">
        <f>"CK2024100760"</f>
        <v>CK2024100760</v>
      </c>
      <c r="C8988" s="1" t="str">
        <f>"DD202410079002"</f>
        <v>DD202410079002</v>
      </c>
      <c r="D8988" s="1" t="str">
        <f>"CK2024100723465"</f>
        <v>CK2024100723465</v>
      </c>
      <c r="E8988" s="1" t="str">
        <f>"6917886983339539948"</f>
        <v>6917886983339539948</v>
      </c>
      <c r="F8988" s="1" t="str">
        <f t="shared" si="2520"/>
        <v>花都四部-凤凰仓</v>
      </c>
      <c r="G8988" s="1" t="str">
        <f t="shared" si="2523"/>
        <v>卡卡杜个人护理店（抖店）</v>
      </c>
      <c r="H8988" s="1" t="str">
        <f t="shared" si="2521"/>
        <v>正常订单</v>
      </c>
      <c r="I8988" s="1" t="str">
        <f t="shared" si="2522"/>
        <v>已发货</v>
      </c>
      <c r="J8988" s="1" t="str">
        <f t="shared" si="2516"/>
        <v>2</v>
      </c>
      <c r="K8988" s="1">
        <v>1</v>
      </c>
      <c r="L8988" s="1" t="s">
        <v>18</v>
      </c>
      <c r="M8988" s="1" t="str">
        <f>"广东省 湛江市 廉江市 城北街道"</f>
        <v>广东省 湛江市 廉江市 城北街道</v>
      </c>
      <c r="N8988" s="1" t="str">
        <f t="shared" si="2517"/>
        <v>凡华云仓-韵达-抖音</v>
      </c>
      <c r="O8988" s="5">
        <v>320159449911105</v>
      </c>
      <c r="P8988" s="6">
        <v>0.33</v>
      </c>
      <c r="Q8988" s="11">
        <v>2.2999999999999998</v>
      </c>
      <c r="R8988" s="11"/>
      <c r="S8988" s="11"/>
      <c r="T8988" s="11"/>
      <c r="U8988" s="11">
        <f t="shared" si="2518"/>
        <v>2.2999999999999998</v>
      </c>
      <c r="W8988">
        <v>2.5</v>
      </c>
      <c r="X8988" s="1" t="s">
        <v>18</v>
      </c>
    </row>
    <row r="8989" spans="1:24" x14ac:dyDescent="0.25">
      <c r="A8989" s="1" t="str">
        <f t="shared" si="2519"/>
        <v>卡卡杜-凤凰仓</v>
      </c>
      <c r="B8989" s="1" t="str">
        <f>"CK2024100761"</f>
        <v>CK2024100761</v>
      </c>
      <c r="C8989" s="1" t="str">
        <f>"DD202410079003"</f>
        <v>DD202410079003</v>
      </c>
      <c r="D8989" s="1" t="str">
        <f>"CK2024100723464"</f>
        <v>CK2024100723464</v>
      </c>
      <c r="E8989" s="1" t="str">
        <f>"6917891503539716069"</f>
        <v>6917891503539716069</v>
      </c>
      <c r="F8989" s="1" t="str">
        <f t="shared" si="2520"/>
        <v>花都四部-凤凰仓</v>
      </c>
      <c r="G8989" s="1" t="str">
        <f t="shared" si="2523"/>
        <v>卡卡杜个人护理店（抖店）</v>
      </c>
      <c r="H8989" s="1" t="str">
        <f t="shared" si="2521"/>
        <v>正常订单</v>
      </c>
      <c r="I8989" s="1" t="str">
        <f t="shared" si="2522"/>
        <v>已发货</v>
      </c>
      <c r="J8989" s="1" t="str">
        <f t="shared" si="2516"/>
        <v>2</v>
      </c>
      <c r="K8989" s="1">
        <v>1</v>
      </c>
      <c r="L8989" s="1" t="s">
        <v>109</v>
      </c>
      <c r="M8989" s="1" t="str">
        <f>"山西省 长治市 潞城区 "</f>
        <v xml:space="preserve">山西省 长治市 潞城区 </v>
      </c>
      <c r="N8989" s="1" t="str">
        <f t="shared" si="2517"/>
        <v>凡华云仓-韵达-抖音</v>
      </c>
      <c r="O8989" s="5">
        <v>320159449911016</v>
      </c>
      <c r="P8989" s="6">
        <v>0.33</v>
      </c>
      <c r="Q8989" s="11">
        <v>2.2999999999999998</v>
      </c>
      <c r="R8989" s="11"/>
      <c r="S8989" s="11"/>
      <c r="T8989" s="11"/>
      <c r="U8989" s="11">
        <f t="shared" si="2518"/>
        <v>2.2999999999999998</v>
      </c>
      <c r="W8989">
        <v>2.5</v>
      </c>
      <c r="X8989" s="1" t="s">
        <v>109</v>
      </c>
    </row>
    <row r="8990" spans="1:24" x14ac:dyDescent="0.25">
      <c r="A8990" s="1" t="str">
        <f t="shared" si="2519"/>
        <v>卡卡杜-凤凰仓</v>
      </c>
      <c r="B8990" s="1" t="str">
        <f>"CK20241007155"</f>
        <v>CK20241007155</v>
      </c>
      <c r="C8990" s="1" t="str">
        <f>"DD202410079100"</f>
        <v>DD202410079100</v>
      </c>
      <c r="D8990" s="1" t="str">
        <f>"CK2024100723463"</f>
        <v>CK2024100723463</v>
      </c>
      <c r="E8990" s="1" t="str">
        <f>"6917886971261386088"</f>
        <v>6917886971261386088</v>
      </c>
      <c r="F8990" s="1" t="str">
        <f t="shared" si="2520"/>
        <v>花都四部-凤凰仓</v>
      </c>
      <c r="G8990" s="1" t="str">
        <f t="shared" si="2523"/>
        <v>卡卡杜个人护理店（抖店）</v>
      </c>
      <c r="H8990" s="1" t="str">
        <f t="shared" si="2521"/>
        <v>正常订单</v>
      </c>
      <c r="I8990" s="1" t="str">
        <f t="shared" si="2522"/>
        <v>已发货</v>
      </c>
      <c r="J8990" s="1" t="str">
        <f t="shared" si="2516"/>
        <v>2</v>
      </c>
      <c r="K8990" s="1">
        <v>2</v>
      </c>
      <c r="L8990" s="1" t="s">
        <v>20</v>
      </c>
      <c r="M8990" s="1" t="str">
        <f>"浙江省 杭州市 西湖区 文新街道"</f>
        <v>浙江省 杭州市 西湖区 文新街道</v>
      </c>
      <c r="N8990" s="1" t="str">
        <f t="shared" si="2517"/>
        <v>凡华云仓-韵达-抖音</v>
      </c>
      <c r="O8990" s="5">
        <v>320159449910900</v>
      </c>
      <c r="P8990" s="6">
        <v>0.28000000000000003</v>
      </c>
      <c r="Q8990" s="11">
        <v>2</v>
      </c>
      <c r="R8990" s="11"/>
      <c r="S8990" s="11"/>
      <c r="T8990" s="11"/>
      <c r="U8990" s="11">
        <f t="shared" si="2518"/>
        <v>2</v>
      </c>
      <c r="W8990">
        <v>2.2000000000000002</v>
      </c>
      <c r="X8990" s="1" t="s">
        <v>20</v>
      </c>
    </row>
    <row r="8991" spans="1:24" x14ac:dyDescent="0.25">
      <c r="A8991" s="1" t="str">
        <f t="shared" si="2519"/>
        <v>卡卡杜-凤凰仓</v>
      </c>
      <c r="B8991" s="1" t="str">
        <f>"CK2024100749"</f>
        <v>CK2024100749</v>
      </c>
      <c r="C8991" s="1" t="str">
        <f>"DD202410078990"</f>
        <v>DD202410078990</v>
      </c>
      <c r="D8991" s="1" t="str">
        <f>"CK2024100723462"</f>
        <v>CK2024100723462</v>
      </c>
      <c r="E8991" s="1" t="str">
        <f>"6917886829293698425"</f>
        <v>6917886829293698425</v>
      </c>
      <c r="F8991" s="1" t="str">
        <f t="shared" si="2520"/>
        <v>花都四部-凤凰仓</v>
      </c>
      <c r="G8991" s="1" t="str">
        <f t="shared" si="2523"/>
        <v>卡卡杜个人护理店（抖店）</v>
      </c>
      <c r="H8991" s="1" t="str">
        <f t="shared" si="2521"/>
        <v>正常订单</v>
      </c>
      <c r="I8991" s="1" t="str">
        <f t="shared" si="2522"/>
        <v>已发货</v>
      </c>
      <c r="J8991" s="1" t="str">
        <f t="shared" si="2516"/>
        <v>2</v>
      </c>
      <c r="K8991" s="1">
        <v>1</v>
      </c>
      <c r="L8991" s="1" t="s">
        <v>24</v>
      </c>
      <c r="M8991" s="1" t="str">
        <f>"福建省 泉州市 晋江市 陈埭镇"</f>
        <v>福建省 泉州市 晋江市 陈埭镇</v>
      </c>
      <c r="N8991" s="1" t="str">
        <f t="shared" si="2517"/>
        <v>凡华云仓-韵达-抖音</v>
      </c>
      <c r="O8991" s="5">
        <v>320159449910895</v>
      </c>
      <c r="P8991" s="6">
        <v>0.33</v>
      </c>
      <c r="Q8991" s="11">
        <v>2.2999999999999998</v>
      </c>
      <c r="R8991" s="11"/>
      <c r="S8991" s="11"/>
      <c r="T8991" s="11"/>
      <c r="U8991" s="11">
        <f t="shared" si="2518"/>
        <v>2.2999999999999998</v>
      </c>
      <c r="W8991">
        <v>2.5</v>
      </c>
      <c r="X8991" s="1" t="s">
        <v>24</v>
      </c>
    </row>
    <row r="8992" spans="1:24" x14ac:dyDescent="0.25">
      <c r="A8992" s="1" t="str">
        <f t="shared" si="2519"/>
        <v>卡卡杜-凤凰仓</v>
      </c>
      <c r="B8992" s="1" t="str">
        <f>"CK2024100746"</f>
        <v>CK2024100746</v>
      </c>
      <c r="C8992" s="1" t="str">
        <f>"DD202410078989"</f>
        <v>DD202410078989</v>
      </c>
      <c r="D8992" s="1" t="str">
        <f>"CK2024100723461"</f>
        <v>CK2024100723461</v>
      </c>
      <c r="E8992" s="1" t="str">
        <f>"6917891193826737249"</f>
        <v>6917891193826737249</v>
      </c>
      <c r="F8992" s="1" t="str">
        <f t="shared" si="2520"/>
        <v>花都四部-凤凰仓</v>
      </c>
      <c r="G8992" s="1" t="str">
        <f t="shared" si="2523"/>
        <v>卡卡杜个人护理店（抖店）</v>
      </c>
      <c r="H8992" s="1" t="str">
        <f t="shared" si="2521"/>
        <v>正常订单</v>
      </c>
      <c r="I8992" s="1" t="str">
        <f t="shared" si="2522"/>
        <v>已发货</v>
      </c>
      <c r="J8992" s="1" t="str">
        <f t="shared" si="2516"/>
        <v>2</v>
      </c>
      <c r="K8992" s="1">
        <v>1</v>
      </c>
      <c r="L8992" s="1" t="s">
        <v>80</v>
      </c>
      <c r="M8992" s="1" t="str">
        <f>"河南省 新乡市 封丘县 城关乡"</f>
        <v>河南省 新乡市 封丘县 城关乡</v>
      </c>
      <c r="N8992" s="1" t="str">
        <f t="shared" si="2517"/>
        <v>凡华云仓-韵达-抖音</v>
      </c>
      <c r="O8992" s="5">
        <v>320159478454426</v>
      </c>
      <c r="P8992" s="6">
        <v>0.33</v>
      </c>
      <c r="Q8992" s="11">
        <v>2.2999999999999998</v>
      </c>
      <c r="R8992" s="11"/>
      <c r="S8992" s="11"/>
      <c r="T8992" s="11"/>
      <c r="U8992" s="11">
        <f t="shared" si="2518"/>
        <v>2.2999999999999998</v>
      </c>
      <c r="W8992">
        <v>2.5</v>
      </c>
      <c r="X8992" s="1" t="s">
        <v>80</v>
      </c>
    </row>
    <row r="8993" spans="1:24" x14ac:dyDescent="0.25">
      <c r="A8993" s="1" t="str">
        <f t="shared" si="2519"/>
        <v>卡卡杜-凤凰仓</v>
      </c>
      <c r="B8993" s="1" t="str">
        <f>"CK20241007153"</f>
        <v>CK20241007153</v>
      </c>
      <c r="C8993" s="1" t="str">
        <f>"DD202410079096"</f>
        <v>DD202410079096</v>
      </c>
      <c r="D8993" s="1" t="str">
        <f>"CK2024100723460"</f>
        <v>CK2024100723460</v>
      </c>
      <c r="E8993" s="1" t="str">
        <f>"6917893099671617375"</f>
        <v>6917893099671617375</v>
      </c>
      <c r="F8993" s="1" t="str">
        <f t="shared" si="2520"/>
        <v>花都四部-凤凰仓</v>
      </c>
      <c r="G8993" s="1" t="str">
        <f t="shared" si="2523"/>
        <v>卡卡杜个人护理店（抖店）</v>
      </c>
      <c r="H8993" s="1" t="str">
        <f t="shared" si="2521"/>
        <v>正常订单</v>
      </c>
      <c r="I8993" s="1" t="str">
        <f t="shared" si="2522"/>
        <v>已发货</v>
      </c>
      <c r="J8993" s="1" t="str">
        <f t="shared" si="2516"/>
        <v>2</v>
      </c>
      <c r="K8993" s="1">
        <v>2</v>
      </c>
      <c r="L8993" s="1" t="s">
        <v>20</v>
      </c>
      <c r="M8993" s="1" t="str">
        <f>"浙江省 绍兴市 诸暨市 浣东街道"</f>
        <v>浙江省 绍兴市 诸暨市 浣东街道</v>
      </c>
      <c r="N8993" s="1" t="str">
        <f t="shared" si="2517"/>
        <v>凡华云仓-韵达-抖音</v>
      </c>
      <c r="O8993" s="5">
        <v>320159478454331</v>
      </c>
      <c r="P8993" s="6">
        <v>0.28000000000000003</v>
      </c>
      <c r="Q8993" s="11">
        <v>2</v>
      </c>
      <c r="R8993" s="11"/>
      <c r="S8993" s="11"/>
      <c r="T8993" s="11"/>
      <c r="U8993" s="11">
        <f t="shared" si="2518"/>
        <v>2</v>
      </c>
      <c r="W8993">
        <v>2.2000000000000002</v>
      </c>
      <c r="X8993" s="1" t="s">
        <v>20</v>
      </c>
    </row>
    <row r="8994" spans="1:24" x14ac:dyDescent="0.25">
      <c r="A8994" s="1" t="str">
        <f t="shared" si="2519"/>
        <v>卡卡杜-凤凰仓</v>
      </c>
      <c r="B8994" s="1" t="str">
        <f>"CK2024100756"</f>
        <v>CK2024100756</v>
      </c>
      <c r="C8994" s="1" t="str">
        <f>"DD202410078999"</f>
        <v>DD202410078999</v>
      </c>
      <c r="D8994" s="1" t="str">
        <f>"CK2024100723459"</f>
        <v>CK2024100723459</v>
      </c>
      <c r="E8994" s="1" t="str">
        <f>"6917890913141619720"</f>
        <v>6917890913141619720</v>
      </c>
      <c r="F8994" s="1" t="str">
        <f t="shared" si="2520"/>
        <v>花都四部-凤凰仓</v>
      </c>
      <c r="G8994" s="1" t="str">
        <f t="shared" si="2523"/>
        <v>卡卡杜个人护理店（抖店）</v>
      </c>
      <c r="H8994" s="1" t="str">
        <f t="shared" si="2521"/>
        <v>正常订单</v>
      </c>
      <c r="I8994" s="1" t="str">
        <f t="shared" si="2522"/>
        <v>已发货</v>
      </c>
      <c r="J8994" s="1" t="str">
        <f t="shared" si="2516"/>
        <v>2</v>
      </c>
      <c r="K8994" s="1">
        <v>1</v>
      </c>
      <c r="L8994" s="1" t="s">
        <v>60</v>
      </c>
      <c r="M8994" s="1" t="str">
        <f>"云南省 迪庆藏族自治州 香格里拉市 建塘镇"</f>
        <v>云南省 迪庆藏族自治州 香格里拉市 建塘镇</v>
      </c>
      <c r="N8994" s="1" t="str">
        <f t="shared" si="2517"/>
        <v>凡华云仓-韵达-抖音</v>
      </c>
      <c r="O8994" s="5">
        <v>320159478454238</v>
      </c>
      <c r="P8994" s="6">
        <v>0.33</v>
      </c>
      <c r="Q8994" s="11">
        <v>2.2999999999999998</v>
      </c>
      <c r="R8994" s="11"/>
      <c r="S8994" s="11"/>
      <c r="T8994" s="11"/>
      <c r="U8994" s="11">
        <f t="shared" si="2518"/>
        <v>2.2999999999999998</v>
      </c>
      <c r="W8994">
        <v>2.5</v>
      </c>
      <c r="X8994" s="1" t="s">
        <v>60</v>
      </c>
    </row>
    <row r="8995" spans="1:24" x14ac:dyDescent="0.25">
      <c r="A8995" s="1" t="str">
        <f t="shared" si="2519"/>
        <v>卡卡杜-凤凰仓</v>
      </c>
      <c r="B8995" s="1" t="str">
        <f>"CK2024100747"</f>
        <v>CK2024100747</v>
      </c>
      <c r="C8995" s="1" t="str">
        <f>"DD202410078992"</f>
        <v>DD202410078992</v>
      </c>
      <c r="D8995" s="1" t="str">
        <f>"CK2024100723458"</f>
        <v>CK2024100723458</v>
      </c>
      <c r="E8995" s="1" t="str">
        <f>"6917890949120622157"</f>
        <v>6917890949120622157</v>
      </c>
      <c r="F8995" s="1" t="str">
        <f t="shared" si="2520"/>
        <v>花都四部-凤凰仓</v>
      </c>
      <c r="G8995" s="1" t="str">
        <f t="shared" si="2523"/>
        <v>卡卡杜个人护理店（抖店）</v>
      </c>
      <c r="H8995" s="1" t="str">
        <f t="shared" si="2521"/>
        <v>正常订单</v>
      </c>
      <c r="I8995" s="1" t="str">
        <f t="shared" si="2522"/>
        <v>已发货</v>
      </c>
      <c r="J8995" s="1" t="str">
        <f t="shared" si="2516"/>
        <v>2</v>
      </c>
      <c r="K8995" s="1">
        <v>1</v>
      </c>
      <c r="L8995" s="1" t="s">
        <v>20</v>
      </c>
      <c r="M8995" s="1" t="str">
        <f>"浙江省 宁波市 慈溪市 周巷镇"</f>
        <v>浙江省 宁波市 慈溪市 周巷镇</v>
      </c>
      <c r="N8995" s="1" t="str">
        <f t="shared" si="2517"/>
        <v>凡华云仓-韵达-抖音</v>
      </c>
      <c r="O8995" s="5">
        <v>320159478454147</v>
      </c>
      <c r="P8995" s="6">
        <v>0.33</v>
      </c>
      <c r="Q8995" s="11">
        <v>2.2999999999999998</v>
      </c>
      <c r="R8995" s="11"/>
      <c r="S8995" s="11"/>
      <c r="T8995" s="11"/>
      <c r="U8995" s="11">
        <f t="shared" si="2518"/>
        <v>2.2999999999999998</v>
      </c>
      <c r="W8995">
        <v>2.5</v>
      </c>
      <c r="X8995" s="1" t="s">
        <v>20</v>
      </c>
    </row>
    <row r="8996" spans="1:24" x14ac:dyDescent="0.25">
      <c r="A8996" s="1" t="str">
        <f t="shared" si="2519"/>
        <v>卡卡杜-凤凰仓</v>
      </c>
      <c r="B8996" s="1" t="str">
        <f>"CK2024100740"</f>
        <v>CK2024100740</v>
      </c>
      <c r="C8996" s="1" t="str">
        <f>"DD202410078979"</f>
        <v>DD202410078979</v>
      </c>
      <c r="D8996" s="1" t="str">
        <f>"CK2024100723457"</f>
        <v>CK2024100723457</v>
      </c>
      <c r="E8996" s="1" t="str">
        <f>"6917886379016355665"</f>
        <v>6917886379016355665</v>
      </c>
      <c r="F8996" s="1" t="str">
        <f t="shared" si="2520"/>
        <v>花都四部-凤凰仓</v>
      </c>
      <c r="G8996" s="1" t="str">
        <f t="shared" si="2523"/>
        <v>卡卡杜个人护理店（抖店）</v>
      </c>
      <c r="H8996" s="1" t="str">
        <f t="shared" si="2521"/>
        <v>正常订单</v>
      </c>
      <c r="I8996" s="1" t="str">
        <f t="shared" si="2522"/>
        <v>已发货</v>
      </c>
      <c r="J8996" s="1" t="str">
        <f t="shared" ref="J8996:J9001" si="2524">"2"</f>
        <v>2</v>
      </c>
      <c r="K8996" s="1">
        <v>1</v>
      </c>
      <c r="L8996" s="1" t="s">
        <v>41</v>
      </c>
      <c r="M8996" s="1" t="str">
        <f>"湖北省 黄冈市 武穴市 梅川镇"</f>
        <v>湖北省 黄冈市 武穴市 梅川镇</v>
      </c>
      <c r="N8996" s="1" t="str">
        <f t="shared" si="2517"/>
        <v>凡华云仓-韵达-抖音</v>
      </c>
      <c r="O8996" s="5">
        <v>320159478454058</v>
      </c>
      <c r="P8996" s="6">
        <v>0.33</v>
      </c>
      <c r="Q8996" s="11">
        <v>2.2999999999999998</v>
      </c>
      <c r="R8996" s="11"/>
      <c r="S8996" s="11"/>
      <c r="T8996" s="11"/>
      <c r="U8996" s="11">
        <f t="shared" si="2518"/>
        <v>2.2999999999999998</v>
      </c>
      <c r="W8996">
        <v>2.5</v>
      </c>
      <c r="X8996" s="1" t="s">
        <v>41</v>
      </c>
    </row>
    <row r="8997" spans="1:24" x14ac:dyDescent="0.25">
      <c r="A8997" s="1" t="str">
        <f t="shared" si="2519"/>
        <v>卡卡杜-凤凰仓</v>
      </c>
      <c r="B8997" s="1" t="str">
        <f>"CK2024100737"</f>
        <v>CK2024100737</v>
      </c>
      <c r="C8997" s="1" t="str">
        <f>"DD202410078981"</f>
        <v>DD202410078981</v>
      </c>
      <c r="D8997" s="1" t="str">
        <f>"CK2024100723456"</f>
        <v>CK2024100723456</v>
      </c>
      <c r="E8997" s="1" t="str">
        <f>"6917890853184503677"</f>
        <v>6917890853184503677</v>
      </c>
      <c r="F8997" s="1" t="str">
        <f t="shared" si="2520"/>
        <v>花都四部-凤凰仓</v>
      </c>
      <c r="G8997" s="1" t="str">
        <f t="shared" si="2523"/>
        <v>卡卡杜个人护理店（抖店）</v>
      </c>
      <c r="H8997" s="1" t="str">
        <f t="shared" si="2521"/>
        <v>正常订单</v>
      </c>
      <c r="I8997" s="1" t="str">
        <f t="shared" si="2522"/>
        <v>已发货</v>
      </c>
      <c r="J8997" s="1" t="str">
        <f t="shared" si="2524"/>
        <v>2</v>
      </c>
      <c r="K8997" s="1">
        <v>1</v>
      </c>
      <c r="L8997" s="1" t="s">
        <v>94</v>
      </c>
      <c r="M8997" s="1" t="str">
        <f>"湖南省 长沙市 天心区 "</f>
        <v xml:space="preserve">湖南省 长沙市 天心区 </v>
      </c>
      <c r="N8997" s="1" t="str">
        <f t="shared" si="2517"/>
        <v>凡华云仓-韵达-抖音</v>
      </c>
      <c r="O8997" s="5">
        <v>320159478453936</v>
      </c>
      <c r="P8997" s="6">
        <v>0.33</v>
      </c>
      <c r="Q8997" s="11">
        <v>2.2999999999999998</v>
      </c>
      <c r="R8997" s="11"/>
      <c r="S8997" s="11"/>
      <c r="T8997" s="11"/>
      <c r="U8997" s="11">
        <f t="shared" si="2518"/>
        <v>2.2999999999999998</v>
      </c>
      <c r="W8997">
        <v>2.5</v>
      </c>
      <c r="X8997" s="1" t="s">
        <v>94</v>
      </c>
    </row>
    <row r="8998" spans="1:24" x14ac:dyDescent="0.25">
      <c r="A8998" s="1" t="str">
        <f t="shared" si="2519"/>
        <v>卡卡杜-凤凰仓</v>
      </c>
      <c r="B8998" s="1" t="str">
        <f>"CK2024100735"</f>
        <v>CK2024100735</v>
      </c>
      <c r="C8998" s="1" t="str">
        <f>"DD202410078982"</f>
        <v>DD202410078982</v>
      </c>
      <c r="D8998" s="1" t="str">
        <f>"CK2024100723455"</f>
        <v>CK2024100723455</v>
      </c>
      <c r="E8998" s="1" t="str">
        <f>"6917886221448019526"</f>
        <v>6917886221448019526</v>
      </c>
      <c r="F8998" s="1" t="str">
        <f t="shared" si="2520"/>
        <v>花都四部-凤凰仓</v>
      </c>
      <c r="G8998" s="1" t="str">
        <f t="shared" si="2523"/>
        <v>卡卡杜个人护理店（抖店）</v>
      </c>
      <c r="H8998" s="1" t="str">
        <f t="shared" si="2521"/>
        <v>正常订单</v>
      </c>
      <c r="I8998" s="1" t="str">
        <f t="shared" si="2522"/>
        <v>已发货</v>
      </c>
      <c r="J8998" s="1" t="str">
        <f t="shared" si="2524"/>
        <v>2</v>
      </c>
      <c r="K8998" s="1">
        <v>1</v>
      </c>
      <c r="L8998" s="1" t="s">
        <v>74</v>
      </c>
      <c r="M8998" s="1" t="str">
        <f>"上海 上海市 浦东新区 "</f>
        <v xml:space="preserve">上海 上海市 浦东新区 </v>
      </c>
      <c r="N8998" s="1" t="str">
        <f t="shared" si="2517"/>
        <v>凡华云仓-韵达-抖音</v>
      </c>
      <c r="O8998" s="5">
        <v>320159478453831</v>
      </c>
      <c r="P8998" s="6">
        <v>0.33</v>
      </c>
      <c r="Q8998" s="11">
        <v>2.2999999999999998</v>
      </c>
      <c r="R8998" s="11"/>
      <c r="S8998" s="11"/>
      <c r="T8998" s="11"/>
      <c r="U8998" s="11">
        <f t="shared" si="2518"/>
        <v>2.2999999999999998</v>
      </c>
      <c r="W8998">
        <v>2.5</v>
      </c>
      <c r="X8998" s="1" t="s">
        <v>74</v>
      </c>
    </row>
    <row r="8999" spans="1:24" x14ac:dyDescent="0.25">
      <c r="A8999" s="1" t="str">
        <f t="shared" si="2519"/>
        <v>卡卡杜-凤凰仓</v>
      </c>
      <c r="B8999" s="1" t="str">
        <f>"CK2024100736"</f>
        <v>CK2024100736</v>
      </c>
      <c r="C8999" s="1" t="str">
        <f>"DD202410078978"</f>
        <v>DD202410078978</v>
      </c>
      <c r="D8999" s="1" t="str">
        <f>"CK2024100723454"</f>
        <v>CK2024100723454</v>
      </c>
      <c r="E8999" s="1" t="str">
        <f>"6917888659559382450"</f>
        <v>6917888659559382450</v>
      </c>
      <c r="F8999" s="1" t="str">
        <f t="shared" si="2520"/>
        <v>花都四部-凤凰仓</v>
      </c>
      <c r="G8999" s="1" t="str">
        <f t="shared" si="2523"/>
        <v>卡卡杜个人护理店（抖店）</v>
      </c>
      <c r="H8999" s="1" t="str">
        <f t="shared" si="2521"/>
        <v>正常订单</v>
      </c>
      <c r="I8999" s="1" t="str">
        <f t="shared" si="2522"/>
        <v>已发货</v>
      </c>
      <c r="J8999" s="1" t="str">
        <f t="shared" si="2524"/>
        <v>2</v>
      </c>
      <c r="K8999" s="1">
        <v>1</v>
      </c>
      <c r="L8999" s="1" t="s">
        <v>20</v>
      </c>
      <c r="M8999" s="1" t="str">
        <f>"浙江省 台州市 临海市 大田街道"</f>
        <v>浙江省 台州市 临海市 大田街道</v>
      </c>
      <c r="N8999" s="1" t="str">
        <f t="shared" ref="N8999:N9045" si="2525">"凡华云仓-韵达-抖音"</f>
        <v>凡华云仓-韵达-抖音</v>
      </c>
      <c r="O8999" s="5">
        <v>320159478453728</v>
      </c>
      <c r="P8999" s="6">
        <v>0.33</v>
      </c>
      <c r="Q8999" s="11">
        <v>2.2999999999999998</v>
      </c>
      <c r="R8999" s="11"/>
      <c r="S8999" s="11"/>
      <c r="T8999" s="11"/>
      <c r="U8999" s="11">
        <f t="shared" si="2518"/>
        <v>2.2999999999999998</v>
      </c>
      <c r="W8999">
        <v>2.5</v>
      </c>
      <c r="X8999" s="1" t="s">
        <v>20</v>
      </c>
    </row>
    <row r="9000" spans="1:24" x14ac:dyDescent="0.25">
      <c r="A9000" s="1" t="str">
        <f t="shared" si="2519"/>
        <v>卡卡杜-凤凰仓</v>
      </c>
      <c r="B9000" s="1" t="str">
        <f>"CK2024100738"</f>
        <v>CK2024100738</v>
      </c>
      <c r="C9000" s="1" t="str">
        <f>"DD202410078983"</f>
        <v>DD202410078983</v>
      </c>
      <c r="D9000" s="1" t="str">
        <f>"CK2024100723453"</f>
        <v>CK2024100723453</v>
      </c>
      <c r="E9000" s="1" t="str">
        <f>"6917883636987035057"</f>
        <v>6917883636987035057</v>
      </c>
      <c r="F9000" s="1" t="str">
        <f t="shared" si="2520"/>
        <v>花都四部-凤凰仓</v>
      </c>
      <c r="G9000" s="1" t="str">
        <f t="shared" si="2523"/>
        <v>卡卡杜个人护理店（抖店）</v>
      </c>
      <c r="H9000" s="1" t="str">
        <f t="shared" si="2521"/>
        <v>正常订单</v>
      </c>
      <c r="I9000" s="1" t="str">
        <f t="shared" si="2522"/>
        <v>已发货</v>
      </c>
      <c r="J9000" s="1" t="str">
        <f t="shared" si="2524"/>
        <v>2</v>
      </c>
      <c r="K9000" s="1">
        <v>1</v>
      </c>
      <c r="L9000" s="1" t="s">
        <v>24</v>
      </c>
      <c r="M9000" s="1" t="str">
        <f>"福建省 厦门市 湖里区 殿前街道"</f>
        <v>福建省 厦门市 湖里区 殿前街道</v>
      </c>
      <c r="N9000" s="1" t="str">
        <f t="shared" si="2525"/>
        <v>凡华云仓-韵达-抖音</v>
      </c>
      <c r="O9000" s="5">
        <v>320159478453627</v>
      </c>
      <c r="P9000" s="6">
        <v>0.33</v>
      </c>
      <c r="Q9000" s="11">
        <v>2.2999999999999998</v>
      </c>
      <c r="R9000" s="11"/>
      <c r="S9000" s="11"/>
      <c r="T9000" s="11"/>
      <c r="U9000" s="11">
        <f t="shared" si="2518"/>
        <v>2.2999999999999998</v>
      </c>
      <c r="W9000">
        <v>2.5</v>
      </c>
      <c r="X9000" s="1" t="s">
        <v>24</v>
      </c>
    </row>
    <row r="9001" spans="1:24" x14ac:dyDescent="0.25">
      <c r="A9001" s="1" t="str">
        <f t="shared" si="2519"/>
        <v>卡卡杜-凤凰仓</v>
      </c>
      <c r="B9001" s="1" t="str">
        <f>"CK2024100739"</f>
        <v>CK2024100739</v>
      </c>
      <c r="C9001" s="1" t="str">
        <f>"DD202410078980"</f>
        <v>DD202410078980</v>
      </c>
      <c r="D9001" s="1" t="str">
        <f>"CK2024100723452"</f>
        <v>CK2024100723452</v>
      </c>
      <c r="E9001" s="1" t="str">
        <f>"6917890808445828285"</f>
        <v>6917890808445828285</v>
      </c>
      <c r="F9001" s="1" t="str">
        <f t="shared" si="2520"/>
        <v>花都四部-凤凰仓</v>
      </c>
      <c r="G9001" s="1" t="str">
        <f t="shared" si="2523"/>
        <v>卡卡杜个人护理店（抖店）</v>
      </c>
      <c r="H9001" s="1" t="str">
        <f t="shared" si="2521"/>
        <v>正常订单</v>
      </c>
      <c r="I9001" s="1" t="str">
        <f t="shared" si="2522"/>
        <v>已发货</v>
      </c>
      <c r="J9001" s="1" t="str">
        <f t="shared" si="2524"/>
        <v>2</v>
      </c>
      <c r="K9001" s="1">
        <v>1</v>
      </c>
      <c r="L9001" s="1" t="s">
        <v>20</v>
      </c>
      <c r="M9001" s="1" t="str">
        <f>"浙江省 温州市 瓯海区 郭溪街道"</f>
        <v>浙江省 温州市 瓯海区 郭溪街道</v>
      </c>
      <c r="N9001" s="1" t="str">
        <f t="shared" si="2525"/>
        <v>凡华云仓-韵达-抖音</v>
      </c>
      <c r="O9001" s="5">
        <v>320159478453528</v>
      </c>
      <c r="P9001" s="6">
        <v>0.33</v>
      </c>
      <c r="Q9001" s="11">
        <v>2.2999999999999998</v>
      </c>
      <c r="R9001" s="11"/>
      <c r="S9001" s="11"/>
      <c r="T9001" s="11"/>
      <c r="U9001" s="11">
        <f t="shared" si="2518"/>
        <v>2.2999999999999998</v>
      </c>
      <c r="W9001">
        <v>2.5</v>
      </c>
      <c r="X9001" s="1" t="s">
        <v>20</v>
      </c>
    </row>
    <row r="9002" spans="1:24" x14ac:dyDescent="0.25">
      <c r="A9002" s="1" t="str">
        <f>"卡卡杜-凤凰仓"</f>
        <v>卡卡杜-凤凰仓</v>
      </c>
      <c r="B9002" s="1" t="str">
        <f>"CK2024101926427"</f>
        <v>CK2024101926427</v>
      </c>
      <c r="C9002" s="1" t="str">
        <f>"DD2024101961349"</f>
        <v>DD2024101961349</v>
      </c>
      <c r="D9002" s="1" t="str">
        <f>"CK2024101948738"</f>
        <v>CK2024101948738</v>
      </c>
      <c r="E9002" s="1" t="str">
        <f>"2429301740738450"</f>
        <v>2429301740738450</v>
      </c>
      <c r="F9002" s="1" t="str">
        <f>"花都四部-凤凰仓"</f>
        <v>花都四部-凤凰仓</v>
      </c>
      <c r="G9002" s="1" t="str">
        <f>"卡卡杜佳旺专卖店（快手店）"</f>
        <v>卡卡杜佳旺专卖店（快手店）</v>
      </c>
      <c r="H9002" s="1" t="str">
        <f>"正常订单"</f>
        <v>正常订单</v>
      </c>
      <c r="I9002" s="1" t="str">
        <f>"已发货"</f>
        <v>已发货</v>
      </c>
      <c r="J9002" s="1" t="str">
        <f>"4"</f>
        <v>4</v>
      </c>
      <c r="K9002" s="1">
        <v>1</v>
      </c>
      <c r="L9002" s="1" t="s">
        <v>32</v>
      </c>
      <c r="M9002" s="1" t="str">
        <f>"陕西省 咸阳市 秦都区 钓台街道"</f>
        <v>陕西省 咸阳市 秦都区 钓台街道</v>
      </c>
      <c r="N9002" s="1" t="str">
        <f>"凡华云仓-城南圆通-快手"</f>
        <v>凡华云仓-城南圆通-快手</v>
      </c>
      <c r="O9002" s="5" t="s">
        <v>5673</v>
      </c>
      <c r="P9002" s="6">
        <v>0.57999999999999996</v>
      </c>
      <c r="Q9002" s="11">
        <f>CEILING(P9002-0.5,0.1)*10*0.15+2.3</f>
        <v>2.4499999999999997</v>
      </c>
      <c r="R9002" s="11"/>
      <c r="S9002" s="11"/>
      <c r="T9002" s="11"/>
      <c r="U9002" s="11">
        <f t="shared" si="2518"/>
        <v>2.4499999999999997</v>
      </c>
      <c r="V9002" t="s">
        <v>15</v>
      </c>
      <c r="W9002">
        <v>2.4500000000000002</v>
      </c>
      <c r="X9002" s="1" t="s">
        <v>32</v>
      </c>
    </row>
    <row r="9003" spans="1:24" x14ac:dyDescent="0.25">
      <c r="A9003" s="1" t="str">
        <f t="shared" ref="A9003:A9066" si="2526">"卡卡杜-凤凰仓"</f>
        <v>卡卡杜-凤凰仓</v>
      </c>
      <c r="B9003" s="1" t="str">
        <f>"CK2024100741"</f>
        <v>CK2024100741</v>
      </c>
      <c r="C9003" s="1" t="str">
        <f>"DD202410078985"</f>
        <v>DD202410078985</v>
      </c>
      <c r="D9003" s="1" t="str">
        <f>"CK2024100723450"</f>
        <v>CK2024100723450</v>
      </c>
      <c r="E9003" s="1" t="str">
        <f>"6917883759603908488"</f>
        <v>6917883759603908488</v>
      </c>
      <c r="F9003" s="1" t="str">
        <f t="shared" ref="F9003:F9066" si="2527">"花都四部-凤凰仓"</f>
        <v>花都四部-凤凰仓</v>
      </c>
      <c r="G9003" s="1" t="str">
        <f t="shared" si="2523"/>
        <v>卡卡杜个人护理店（抖店）</v>
      </c>
      <c r="H9003" s="1" t="str">
        <f t="shared" ref="H9003:H9066" si="2528">"正常订单"</f>
        <v>正常订单</v>
      </c>
      <c r="I9003" s="1" t="str">
        <f t="shared" ref="I9003:I9066" si="2529">"已发货"</f>
        <v>已发货</v>
      </c>
      <c r="J9003" s="1" t="str">
        <f t="shared" ref="J9003:J9027" si="2530">"2"</f>
        <v>2</v>
      </c>
      <c r="K9003" s="1">
        <v>1</v>
      </c>
      <c r="L9003" s="1" t="s">
        <v>94</v>
      </c>
      <c r="M9003" s="1" t="str">
        <f>"湖南省 怀化市 溆浦县 低庄镇"</f>
        <v>湖南省 怀化市 溆浦县 低庄镇</v>
      </c>
      <c r="N9003" s="1" t="str">
        <f t="shared" si="2525"/>
        <v>凡华云仓-韵达-抖音</v>
      </c>
      <c r="O9003" s="5">
        <v>320159439294091</v>
      </c>
      <c r="P9003" s="6">
        <v>0.33</v>
      </c>
      <c r="Q9003" s="11">
        <v>2.2999999999999998</v>
      </c>
      <c r="R9003" s="11"/>
      <c r="S9003" s="11"/>
      <c r="T9003" s="11"/>
      <c r="U9003" s="11">
        <f t="shared" si="2518"/>
        <v>2.2999999999999998</v>
      </c>
      <c r="W9003">
        <v>2.5</v>
      </c>
      <c r="X9003" s="1" t="s">
        <v>94</v>
      </c>
    </row>
    <row r="9004" spans="1:24" x14ac:dyDescent="0.25">
      <c r="A9004" s="1" t="str">
        <f t="shared" si="2526"/>
        <v>卡卡杜-凤凰仓</v>
      </c>
      <c r="B9004" s="1" t="str">
        <f>"CK2024100742"</f>
        <v>CK2024100742</v>
      </c>
      <c r="C9004" s="1" t="str">
        <f>"DD202410078988"</f>
        <v>DD202410078988</v>
      </c>
      <c r="D9004" s="1" t="str">
        <f>"CK2024100723449"</f>
        <v>CK2024100723449</v>
      </c>
      <c r="E9004" s="1" t="str">
        <f>"6917886257207082558"</f>
        <v>6917886257207082558</v>
      </c>
      <c r="F9004" s="1" t="str">
        <f t="shared" si="2527"/>
        <v>花都四部-凤凰仓</v>
      </c>
      <c r="G9004" s="1" t="str">
        <f t="shared" si="2523"/>
        <v>卡卡杜个人护理店（抖店）</v>
      </c>
      <c r="H9004" s="1" t="str">
        <f t="shared" si="2528"/>
        <v>正常订单</v>
      </c>
      <c r="I9004" s="1" t="str">
        <f t="shared" si="2529"/>
        <v>已发货</v>
      </c>
      <c r="J9004" s="1" t="str">
        <f t="shared" si="2530"/>
        <v>2</v>
      </c>
      <c r="K9004" s="1">
        <v>1</v>
      </c>
      <c r="L9004" s="1" t="s">
        <v>20</v>
      </c>
      <c r="M9004" s="1" t="str">
        <f>"浙江省 宁波市 海曙区 石碶街道"</f>
        <v>浙江省 宁波市 海曙区 石碶街道</v>
      </c>
      <c r="N9004" s="1" t="str">
        <f t="shared" si="2525"/>
        <v>凡华云仓-韵达-抖音</v>
      </c>
      <c r="O9004" s="5">
        <v>320159439293969</v>
      </c>
      <c r="P9004" s="6">
        <v>0.33</v>
      </c>
      <c r="Q9004" s="11">
        <v>2.2999999999999998</v>
      </c>
      <c r="R9004" s="11"/>
      <c r="S9004" s="11"/>
      <c r="T9004" s="11"/>
      <c r="U9004" s="11">
        <f t="shared" si="2518"/>
        <v>2.2999999999999998</v>
      </c>
      <c r="W9004">
        <v>2.5</v>
      </c>
      <c r="X9004" s="1" t="s">
        <v>20</v>
      </c>
    </row>
    <row r="9005" spans="1:24" x14ac:dyDescent="0.25">
      <c r="A9005" s="1" t="str">
        <f t="shared" si="2526"/>
        <v>卡卡杜-凤凰仓</v>
      </c>
      <c r="B9005" s="1" t="str">
        <f>"CK2024100743"</f>
        <v>CK2024100743</v>
      </c>
      <c r="C9005" s="1" t="str">
        <f>"DD202410078986"</f>
        <v>DD202410078986</v>
      </c>
      <c r="D9005" s="1" t="str">
        <f>"CK2024100723448"</f>
        <v>CK2024100723448</v>
      </c>
      <c r="E9005" s="1" t="str">
        <f>"6917888421642272125"</f>
        <v>6917888421642272125</v>
      </c>
      <c r="F9005" s="1" t="str">
        <f t="shared" si="2527"/>
        <v>花都四部-凤凰仓</v>
      </c>
      <c r="G9005" s="1" t="str">
        <f t="shared" si="2523"/>
        <v>卡卡杜个人护理店（抖店）</v>
      </c>
      <c r="H9005" s="1" t="str">
        <f t="shared" si="2528"/>
        <v>正常订单</v>
      </c>
      <c r="I9005" s="1" t="str">
        <f t="shared" si="2529"/>
        <v>已发货</v>
      </c>
      <c r="J9005" s="1" t="str">
        <f t="shared" si="2530"/>
        <v>2</v>
      </c>
      <c r="K9005" s="1">
        <v>1</v>
      </c>
      <c r="L9005" s="1" t="s">
        <v>74</v>
      </c>
      <c r="M9005" s="1" t="str">
        <f>"上海 上海市 青浦区 徐泾镇"</f>
        <v>上海 上海市 青浦区 徐泾镇</v>
      </c>
      <c r="N9005" s="1" t="str">
        <f t="shared" si="2525"/>
        <v>凡华云仓-韵达-抖音</v>
      </c>
      <c r="O9005" s="5">
        <v>320159439293864</v>
      </c>
      <c r="P9005" s="6">
        <v>0.33</v>
      </c>
      <c r="Q9005" s="11">
        <v>2.2999999999999998</v>
      </c>
      <c r="R9005" s="11"/>
      <c r="S9005" s="11"/>
      <c r="T9005" s="11"/>
      <c r="U9005" s="11">
        <f t="shared" si="2518"/>
        <v>2.2999999999999998</v>
      </c>
      <c r="W9005">
        <v>2.5</v>
      </c>
      <c r="X9005" s="1" t="s">
        <v>74</v>
      </c>
    </row>
    <row r="9006" spans="1:24" x14ac:dyDescent="0.25">
      <c r="A9006" s="1" t="str">
        <f t="shared" si="2526"/>
        <v>卡卡杜-凤凰仓</v>
      </c>
      <c r="B9006" s="1" t="str">
        <f>"CK2024100744"</f>
        <v>CK2024100744</v>
      </c>
      <c r="C9006" s="1" t="str">
        <f>"DD202410078984"</f>
        <v>DD202410078984</v>
      </c>
      <c r="D9006" s="1" t="str">
        <f>"CK2024100723447"</f>
        <v>CK2024100723447</v>
      </c>
      <c r="E9006" s="1" t="str">
        <f>"6917885662039342778"</f>
        <v>6917885662039342778</v>
      </c>
      <c r="F9006" s="1" t="str">
        <f t="shared" si="2527"/>
        <v>花都四部-凤凰仓</v>
      </c>
      <c r="G9006" s="1" t="str">
        <f t="shared" si="2523"/>
        <v>卡卡杜个人护理店（抖店）</v>
      </c>
      <c r="H9006" s="1" t="str">
        <f t="shared" si="2528"/>
        <v>正常订单</v>
      </c>
      <c r="I9006" s="1" t="str">
        <f t="shared" si="2529"/>
        <v>已发货</v>
      </c>
      <c r="J9006" s="1" t="str">
        <f t="shared" si="2530"/>
        <v>2</v>
      </c>
      <c r="K9006" s="1">
        <v>1</v>
      </c>
      <c r="L9006" s="1" t="s">
        <v>20</v>
      </c>
      <c r="M9006" s="1" t="str">
        <f>"浙江省 湖州市 南浔区 东迁街道"</f>
        <v>浙江省 湖州市 南浔区 东迁街道</v>
      </c>
      <c r="N9006" s="1" t="str">
        <f t="shared" si="2525"/>
        <v>凡华云仓-韵达-抖音</v>
      </c>
      <c r="O9006" s="5">
        <v>320159439293761</v>
      </c>
      <c r="P9006" s="6">
        <v>0.33</v>
      </c>
      <c r="Q9006" s="11">
        <v>2.2999999999999998</v>
      </c>
      <c r="R9006" s="11"/>
      <c r="S9006" s="11"/>
      <c r="T9006" s="11"/>
      <c r="U9006" s="11">
        <f t="shared" si="2518"/>
        <v>2.2999999999999998</v>
      </c>
      <c r="W9006">
        <v>2.5</v>
      </c>
      <c r="X9006" s="1" t="s">
        <v>20</v>
      </c>
    </row>
    <row r="9007" spans="1:24" x14ac:dyDescent="0.25">
      <c r="A9007" s="1" t="str">
        <f t="shared" si="2526"/>
        <v>卡卡杜-凤凰仓</v>
      </c>
      <c r="B9007" s="1" t="str">
        <f>"CK2024100762"</f>
        <v>CK2024100762</v>
      </c>
      <c r="C9007" s="1" t="str">
        <f>"DD202410079005"</f>
        <v>DD202410079005</v>
      </c>
      <c r="D9007" s="1" t="str">
        <f>"CK2024100723446"</f>
        <v>CK2024100723446</v>
      </c>
      <c r="E9007" s="1" t="str">
        <f>"6917883489800912833"</f>
        <v>6917883489800912833</v>
      </c>
      <c r="F9007" s="1" t="str">
        <f t="shared" si="2527"/>
        <v>花都四部-凤凰仓</v>
      </c>
      <c r="G9007" s="1" t="str">
        <f t="shared" si="2523"/>
        <v>卡卡杜个人护理店（抖店）</v>
      </c>
      <c r="H9007" s="1" t="str">
        <f t="shared" si="2528"/>
        <v>正常订单</v>
      </c>
      <c r="I9007" s="1" t="str">
        <f t="shared" si="2529"/>
        <v>已发货</v>
      </c>
      <c r="J9007" s="1" t="str">
        <f t="shared" si="2530"/>
        <v>2</v>
      </c>
      <c r="K9007" s="1">
        <v>1</v>
      </c>
      <c r="L9007" s="1" t="s">
        <v>20</v>
      </c>
      <c r="M9007" s="1" t="str">
        <f>"浙江省 嘉兴市 南湖区 "</f>
        <v xml:space="preserve">浙江省 嘉兴市 南湖区 </v>
      </c>
      <c r="N9007" s="1" t="str">
        <f t="shared" si="2525"/>
        <v>凡华云仓-韵达-抖音</v>
      </c>
      <c r="O9007" s="5">
        <v>320159439293660</v>
      </c>
      <c r="P9007" s="6">
        <v>0.33</v>
      </c>
      <c r="Q9007" s="11">
        <v>2.2999999999999998</v>
      </c>
      <c r="R9007" s="11"/>
      <c r="S9007" s="11"/>
      <c r="T9007" s="11"/>
      <c r="U9007" s="11">
        <f t="shared" si="2518"/>
        <v>2.2999999999999998</v>
      </c>
      <c r="W9007">
        <v>2.5</v>
      </c>
      <c r="X9007" s="1" t="s">
        <v>20</v>
      </c>
    </row>
    <row r="9008" spans="1:24" x14ac:dyDescent="0.25">
      <c r="A9008" s="1" t="str">
        <f t="shared" si="2526"/>
        <v>卡卡杜-凤凰仓</v>
      </c>
      <c r="B9008" s="1" t="str">
        <f>"CK2024100779"</f>
        <v>CK2024100779</v>
      </c>
      <c r="C9008" s="1" t="str">
        <f>"DD202410079022"</f>
        <v>DD202410079022</v>
      </c>
      <c r="D9008" s="1" t="str">
        <f>"CK2024100723445"</f>
        <v>CK2024100723445</v>
      </c>
      <c r="E9008" s="1" t="str">
        <f>"6917890278994246950"</f>
        <v>6917890278994246950</v>
      </c>
      <c r="F9008" s="1" t="str">
        <f t="shared" si="2527"/>
        <v>花都四部-凤凰仓</v>
      </c>
      <c r="G9008" s="1" t="str">
        <f t="shared" si="2523"/>
        <v>卡卡杜个人护理店（抖店）</v>
      </c>
      <c r="H9008" s="1" t="str">
        <f t="shared" si="2528"/>
        <v>正常订单</v>
      </c>
      <c r="I9008" s="1" t="str">
        <f t="shared" si="2529"/>
        <v>已发货</v>
      </c>
      <c r="J9008" s="1" t="str">
        <f t="shared" si="2530"/>
        <v>2</v>
      </c>
      <c r="K9008" s="1">
        <v>1</v>
      </c>
      <c r="L9008" s="1" t="s">
        <v>161</v>
      </c>
      <c r="M9008" s="1" t="str">
        <f>"四川省 绵阳市 安州区 "</f>
        <v xml:space="preserve">四川省 绵阳市 安州区 </v>
      </c>
      <c r="N9008" s="1" t="str">
        <f t="shared" si="2525"/>
        <v>凡华云仓-韵达-抖音</v>
      </c>
      <c r="O9008" s="5">
        <v>320159439293561</v>
      </c>
      <c r="P9008" s="6">
        <v>0.33</v>
      </c>
      <c r="Q9008" s="11">
        <v>2.2999999999999998</v>
      </c>
      <c r="R9008" s="11"/>
      <c r="S9008" s="11"/>
      <c r="T9008" s="11"/>
      <c r="U9008" s="11">
        <f t="shared" si="2518"/>
        <v>2.2999999999999998</v>
      </c>
      <c r="W9008">
        <v>2.5</v>
      </c>
      <c r="X9008" s="1" t="s">
        <v>161</v>
      </c>
    </row>
    <row r="9009" spans="1:24" x14ac:dyDescent="0.25">
      <c r="A9009" s="1" t="str">
        <f t="shared" si="2526"/>
        <v>卡卡杜-凤凰仓</v>
      </c>
      <c r="B9009" s="1" t="str">
        <f>"CK2024100765"</f>
        <v>CK2024100765</v>
      </c>
      <c r="C9009" s="1" t="str">
        <f>"DD202410079009"</f>
        <v>DD202410079009</v>
      </c>
      <c r="D9009" s="1" t="str">
        <f>"CK2024100723444"</f>
        <v>CK2024100723444</v>
      </c>
      <c r="E9009" s="1" t="str">
        <f>"6917892700421717207"</f>
        <v>6917892700421717207</v>
      </c>
      <c r="F9009" s="1" t="str">
        <f t="shared" si="2527"/>
        <v>花都四部-凤凰仓</v>
      </c>
      <c r="G9009" s="1" t="str">
        <f t="shared" si="2523"/>
        <v>卡卡杜个人护理店（抖店）</v>
      </c>
      <c r="H9009" s="1" t="str">
        <f t="shared" si="2528"/>
        <v>正常订单</v>
      </c>
      <c r="I9009" s="1" t="str">
        <f t="shared" si="2529"/>
        <v>已发货</v>
      </c>
      <c r="J9009" s="1" t="str">
        <f t="shared" si="2530"/>
        <v>2</v>
      </c>
      <c r="K9009" s="1">
        <v>1</v>
      </c>
      <c r="L9009" s="1" t="s">
        <v>20</v>
      </c>
      <c r="M9009" s="1" t="str">
        <f>"浙江省 湖州市 安吉县 报福镇"</f>
        <v>浙江省 湖州市 安吉县 报福镇</v>
      </c>
      <c r="N9009" s="1" t="str">
        <f t="shared" si="2525"/>
        <v>凡华云仓-韵达-抖音</v>
      </c>
      <c r="O9009" s="5">
        <v>320159439293464</v>
      </c>
      <c r="P9009" s="6">
        <v>0.33</v>
      </c>
      <c r="Q9009" s="11">
        <v>2.2999999999999998</v>
      </c>
      <c r="R9009" s="11"/>
      <c r="S9009" s="11"/>
      <c r="T9009" s="11"/>
      <c r="U9009" s="11">
        <f t="shared" si="2518"/>
        <v>2.2999999999999998</v>
      </c>
      <c r="W9009">
        <v>2.5</v>
      </c>
      <c r="X9009" s="1" t="s">
        <v>20</v>
      </c>
    </row>
    <row r="9010" spans="1:24" x14ac:dyDescent="0.25">
      <c r="A9010" s="1" t="str">
        <f t="shared" si="2526"/>
        <v>卡卡杜-凤凰仓</v>
      </c>
      <c r="B9010" s="1" t="str">
        <f>"CK2024100763"</f>
        <v>CK2024100763</v>
      </c>
      <c r="C9010" s="1" t="str">
        <f>"DD202410079006"</f>
        <v>DD202410079006</v>
      </c>
      <c r="D9010" s="1" t="str">
        <f>"CK2024100723443"</f>
        <v>CK2024100723443</v>
      </c>
      <c r="E9010" s="1" t="str">
        <f>"6917892489296182597"</f>
        <v>6917892489296182597</v>
      </c>
      <c r="F9010" s="1" t="str">
        <f t="shared" si="2527"/>
        <v>花都四部-凤凰仓</v>
      </c>
      <c r="G9010" s="1" t="str">
        <f t="shared" si="2523"/>
        <v>卡卡杜个人护理店（抖店）</v>
      </c>
      <c r="H9010" s="1" t="str">
        <f t="shared" si="2528"/>
        <v>正常订单</v>
      </c>
      <c r="I9010" s="1" t="str">
        <f t="shared" si="2529"/>
        <v>已发货</v>
      </c>
      <c r="J9010" s="1" t="str">
        <f t="shared" si="2530"/>
        <v>2</v>
      </c>
      <c r="K9010" s="1">
        <v>1</v>
      </c>
      <c r="L9010" s="1" t="s">
        <v>60</v>
      </c>
      <c r="M9010" s="1" t="str">
        <f>"云南省 普洱市 景谷傣族彝族自治县 勐班乡"</f>
        <v>云南省 普洱市 景谷傣族彝族自治县 勐班乡</v>
      </c>
      <c r="N9010" s="1" t="str">
        <f t="shared" si="2525"/>
        <v>凡华云仓-韵达-抖音</v>
      </c>
      <c r="O9010" s="5">
        <v>320159439293369</v>
      </c>
      <c r="P9010" s="6">
        <v>0.33</v>
      </c>
      <c r="Q9010" s="11">
        <v>2.2999999999999998</v>
      </c>
      <c r="R9010" s="11"/>
      <c r="S9010" s="11"/>
      <c r="T9010" s="11"/>
      <c r="U9010" s="11">
        <f t="shared" si="2518"/>
        <v>2.2999999999999998</v>
      </c>
      <c r="W9010">
        <v>2.5</v>
      </c>
      <c r="X9010" s="1" t="s">
        <v>60</v>
      </c>
    </row>
    <row r="9011" spans="1:24" x14ac:dyDescent="0.25">
      <c r="A9011" s="1" t="str">
        <f t="shared" si="2526"/>
        <v>卡卡杜-凤凰仓</v>
      </c>
      <c r="B9011" s="1" t="str">
        <f>"CK2024100783"</f>
        <v>CK2024100783</v>
      </c>
      <c r="C9011" s="1" t="str">
        <f>"DD202410079027"</f>
        <v>DD202410079027</v>
      </c>
      <c r="D9011" s="1" t="str">
        <f>"CK2024100723442"</f>
        <v>CK2024100723442</v>
      </c>
      <c r="E9011" s="1" t="str">
        <f>"6917890407056506274"</f>
        <v>6917890407056506274</v>
      </c>
      <c r="F9011" s="1" t="str">
        <f t="shared" si="2527"/>
        <v>花都四部-凤凰仓</v>
      </c>
      <c r="G9011" s="1" t="str">
        <f t="shared" si="2523"/>
        <v>卡卡杜个人护理店（抖店）</v>
      </c>
      <c r="H9011" s="1" t="str">
        <f t="shared" si="2528"/>
        <v>正常订单</v>
      </c>
      <c r="I9011" s="1" t="str">
        <f t="shared" si="2529"/>
        <v>已发货</v>
      </c>
      <c r="J9011" s="1" t="str">
        <f t="shared" si="2530"/>
        <v>2</v>
      </c>
      <c r="K9011" s="1">
        <v>1</v>
      </c>
      <c r="L9011" s="1" t="s">
        <v>18</v>
      </c>
      <c r="M9011" s="1" t="str">
        <f>"广东省 广州市 黄埔区 新龙镇"</f>
        <v>广东省 广州市 黄埔区 新龙镇</v>
      </c>
      <c r="N9011" s="1" t="str">
        <f t="shared" si="2525"/>
        <v>凡华云仓-韵达-抖音</v>
      </c>
      <c r="O9011" s="5">
        <v>320159439293276</v>
      </c>
      <c r="P9011" s="6">
        <v>0.33</v>
      </c>
      <c r="Q9011" s="11">
        <v>2.2999999999999998</v>
      </c>
      <c r="R9011" s="11"/>
      <c r="S9011" s="11"/>
      <c r="T9011" s="11"/>
      <c r="U9011" s="11">
        <f t="shared" si="2518"/>
        <v>2.2999999999999998</v>
      </c>
      <c r="W9011">
        <v>2.5</v>
      </c>
      <c r="X9011" s="1" t="s">
        <v>18</v>
      </c>
    </row>
    <row r="9012" spans="1:24" x14ac:dyDescent="0.25">
      <c r="A9012" s="1" t="str">
        <f t="shared" si="2526"/>
        <v>卡卡杜-凤凰仓</v>
      </c>
      <c r="B9012" s="1" t="str">
        <f>"CK2024100784"</f>
        <v>CK2024100784</v>
      </c>
      <c r="C9012" s="1" t="str">
        <f>"DD202410079028"</f>
        <v>DD202410079028</v>
      </c>
      <c r="D9012" s="1" t="str">
        <f>"CK2024100723441"</f>
        <v>CK2024100723441</v>
      </c>
      <c r="E9012" s="1" t="str">
        <f>"6917883250930121871"</f>
        <v>6917883250930121871</v>
      </c>
      <c r="F9012" s="1" t="str">
        <f t="shared" si="2527"/>
        <v>花都四部-凤凰仓</v>
      </c>
      <c r="G9012" s="1" t="str">
        <f t="shared" si="2523"/>
        <v>卡卡杜个人护理店（抖店）</v>
      </c>
      <c r="H9012" s="1" t="str">
        <f t="shared" si="2528"/>
        <v>正常订单</v>
      </c>
      <c r="I9012" s="1" t="str">
        <f t="shared" si="2529"/>
        <v>已发货</v>
      </c>
      <c r="J9012" s="1" t="str">
        <f t="shared" si="2530"/>
        <v>2</v>
      </c>
      <c r="K9012" s="1">
        <v>1</v>
      </c>
      <c r="L9012" s="1" t="s">
        <v>32</v>
      </c>
      <c r="M9012" s="1" t="str">
        <f>"陕西省 汉中市 勉县 "</f>
        <v xml:space="preserve">陕西省 汉中市 勉县 </v>
      </c>
      <c r="N9012" s="1" t="str">
        <f t="shared" si="2525"/>
        <v>凡华云仓-韵达-抖音</v>
      </c>
      <c r="O9012" s="5">
        <v>320159485064962</v>
      </c>
      <c r="P9012" s="6">
        <v>0.33</v>
      </c>
      <c r="Q9012" s="11">
        <v>2.2999999999999998</v>
      </c>
      <c r="R9012" s="11"/>
      <c r="S9012" s="11"/>
      <c r="T9012" s="11"/>
      <c r="U9012" s="11">
        <f t="shared" si="2518"/>
        <v>2.2999999999999998</v>
      </c>
      <c r="W9012">
        <v>2.5</v>
      </c>
      <c r="X9012" s="1" t="s">
        <v>32</v>
      </c>
    </row>
    <row r="9013" spans="1:24" x14ac:dyDescent="0.25">
      <c r="A9013" s="1" t="str">
        <f t="shared" si="2526"/>
        <v>卡卡杜-凤凰仓</v>
      </c>
      <c r="B9013" s="1" t="str">
        <f>"CK2024100785"</f>
        <v>CK2024100785</v>
      </c>
      <c r="C9013" s="1" t="str">
        <f>"DD202410079026"</f>
        <v>DD202410079026</v>
      </c>
      <c r="D9013" s="1" t="str">
        <f>"CK2024100723440"</f>
        <v>CK2024100723440</v>
      </c>
      <c r="E9013" s="1" t="str">
        <f>"6917892623805415167"</f>
        <v>6917892623805415167</v>
      </c>
      <c r="F9013" s="1" t="str">
        <f t="shared" si="2527"/>
        <v>花都四部-凤凰仓</v>
      </c>
      <c r="G9013" s="1" t="str">
        <f t="shared" si="2523"/>
        <v>卡卡杜个人护理店（抖店）</v>
      </c>
      <c r="H9013" s="1" t="str">
        <f t="shared" si="2528"/>
        <v>正常订单</v>
      </c>
      <c r="I9013" s="1" t="str">
        <f t="shared" si="2529"/>
        <v>已发货</v>
      </c>
      <c r="J9013" s="1" t="str">
        <f t="shared" si="2530"/>
        <v>2</v>
      </c>
      <c r="K9013" s="1">
        <v>1</v>
      </c>
      <c r="L9013" s="1" t="s">
        <v>66</v>
      </c>
      <c r="M9013" s="1" t="str">
        <f>"内蒙古自治区 呼伦贝尔市 新巴尔虎左旗 阿木古郎镇"</f>
        <v>内蒙古自治区 呼伦贝尔市 新巴尔虎左旗 阿木古郎镇</v>
      </c>
      <c r="N9013" s="1" t="str">
        <f t="shared" si="2525"/>
        <v>凡华云仓-韵达-抖音</v>
      </c>
      <c r="O9013" s="5">
        <v>320159485064857</v>
      </c>
      <c r="P9013" s="6">
        <v>0.33</v>
      </c>
      <c r="Q9013" s="11">
        <v>2.2999999999999998</v>
      </c>
      <c r="R9013" s="11"/>
      <c r="S9013" s="11"/>
      <c r="T9013" s="11"/>
      <c r="U9013" s="11">
        <f t="shared" si="2518"/>
        <v>2.2999999999999998</v>
      </c>
      <c r="W9013">
        <v>2.5</v>
      </c>
      <c r="X9013" s="1" t="s">
        <v>66</v>
      </c>
    </row>
    <row r="9014" spans="1:24" x14ac:dyDescent="0.25">
      <c r="A9014" s="1" t="str">
        <f t="shared" si="2526"/>
        <v>卡卡杜-凤凰仓</v>
      </c>
      <c r="B9014" s="1" t="str">
        <f>"CK20241007156"</f>
        <v>CK20241007156</v>
      </c>
      <c r="C9014" s="1" t="str">
        <f>"DD202410079098"</f>
        <v>DD202410079098</v>
      </c>
      <c r="D9014" s="1" t="str">
        <f>"CK2024100723439"</f>
        <v>CK2024100723439</v>
      </c>
      <c r="E9014" s="1" t="str">
        <f>"6917882838758948195"</f>
        <v>6917882838758948195</v>
      </c>
      <c r="F9014" s="1" t="str">
        <f t="shared" si="2527"/>
        <v>花都四部-凤凰仓</v>
      </c>
      <c r="G9014" s="1" t="str">
        <f t="shared" si="2523"/>
        <v>卡卡杜个人护理店（抖店）</v>
      </c>
      <c r="H9014" s="1" t="str">
        <f t="shared" si="2528"/>
        <v>正常订单</v>
      </c>
      <c r="I9014" s="1" t="str">
        <f t="shared" si="2529"/>
        <v>已发货</v>
      </c>
      <c r="J9014" s="1" t="str">
        <f t="shared" si="2530"/>
        <v>2</v>
      </c>
      <c r="K9014" s="1">
        <v>2</v>
      </c>
      <c r="L9014" s="1" t="s">
        <v>18</v>
      </c>
      <c r="M9014" s="1" t="str">
        <f>"广东省 深圳市 南山区 招商街道"</f>
        <v>广东省 深圳市 南山区 招商街道</v>
      </c>
      <c r="N9014" s="1" t="str">
        <f t="shared" si="2525"/>
        <v>凡华云仓-韵达-抖音</v>
      </c>
      <c r="O9014" s="5">
        <v>320159485064754</v>
      </c>
      <c r="P9014" s="6">
        <v>0.28000000000000003</v>
      </c>
      <c r="Q9014" s="11">
        <v>2</v>
      </c>
      <c r="R9014" s="11"/>
      <c r="S9014" s="11"/>
      <c r="T9014" s="11"/>
      <c r="U9014" s="11">
        <f t="shared" si="2518"/>
        <v>2</v>
      </c>
      <c r="W9014">
        <v>2.2000000000000002</v>
      </c>
      <c r="X9014" s="1" t="s">
        <v>18</v>
      </c>
    </row>
    <row r="9015" spans="1:24" x14ac:dyDescent="0.25">
      <c r="A9015" s="1" t="str">
        <f t="shared" si="2526"/>
        <v>卡卡杜-凤凰仓</v>
      </c>
      <c r="B9015" s="1" t="str">
        <f>"CK2024100780"</f>
        <v>CK2024100780</v>
      </c>
      <c r="C9015" s="1" t="str">
        <f>"DD202410079024"</f>
        <v>DD202410079024</v>
      </c>
      <c r="D9015" s="1" t="str">
        <f>"CK2024100723438"</f>
        <v>CK2024100723438</v>
      </c>
      <c r="E9015" s="1" t="str">
        <f>"6917878109889855142"</f>
        <v>6917878109889855142</v>
      </c>
      <c r="F9015" s="1" t="str">
        <f t="shared" si="2527"/>
        <v>花都四部-凤凰仓</v>
      </c>
      <c r="G9015" s="1" t="str">
        <f t="shared" si="2523"/>
        <v>卡卡杜个人护理店（抖店）</v>
      </c>
      <c r="H9015" s="1" t="str">
        <f t="shared" si="2528"/>
        <v>正常订单</v>
      </c>
      <c r="I9015" s="1" t="str">
        <f t="shared" si="2529"/>
        <v>已发货</v>
      </c>
      <c r="J9015" s="1" t="str">
        <f t="shared" si="2530"/>
        <v>2</v>
      </c>
      <c r="K9015" s="1">
        <v>1</v>
      </c>
      <c r="L9015" s="1" t="s">
        <v>47</v>
      </c>
      <c r="M9015" s="1" t="str">
        <f>"重庆 重庆市 永川区 青峰镇"</f>
        <v>重庆 重庆市 永川区 青峰镇</v>
      </c>
      <c r="N9015" s="1" t="str">
        <f t="shared" si="2525"/>
        <v>凡华云仓-韵达-抖音</v>
      </c>
      <c r="O9015" s="5">
        <v>320159485064653</v>
      </c>
      <c r="P9015" s="6">
        <v>0.33</v>
      </c>
      <c r="Q9015" s="11">
        <v>2.2999999999999998</v>
      </c>
      <c r="R9015" s="11"/>
      <c r="S9015" s="11"/>
      <c r="T9015" s="11"/>
      <c r="U9015" s="11">
        <f t="shared" si="2518"/>
        <v>2.2999999999999998</v>
      </c>
      <c r="W9015">
        <v>2.5</v>
      </c>
      <c r="X9015" s="1" t="s">
        <v>47</v>
      </c>
    </row>
    <row r="9016" spans="1:24" x14ac:dyDescent="0.25">
      <c r="A9016" s="1" t="str">
        <f t="shared" si="2526"/>
        <v>卡卡杜-凤凰仓</v>
      </c>
      <c r="B9016" s="1" t="str">
        <f>"CK2024100786"</f>
        <v>CK2024100786</v>
      </c>
      <c r="C9016" s="1" t="str">
        <f>"DD202410079030"</f>
        <v>DD202410079030</v>
      </c>
      <c r="D9016" s="1" t="str">
        <f>"CK2024100723437"</f>
        <v>CK2024100723437</v>
      </c>
      <c r="E9016" s="1" t="str">
        <f>"6917875720913059603"</f>
        <v>6917875720913059603</v>
      </c>
      <c r="F9016" s="1" t="str">
        <f t="shared" si="2527"/>
        <v>花都四部-凤凰仓</v>
      </c>
      <c r="G9016" s="1" t="str">
        <f t="shared" si="2523"/>
        <v>卡卡杜个人护理店（抖店）</v>
      </c>
      <c r="H9016" s="1" t="str">
        <f t="shared" si="2528"/>
        <v>正常订单</v>
      </c>
      <c r="I9016" s="1" t="str">
        <f t="shared" si="2529"/>
        <v>已发货</v>
      </c>
      <c r="J9016" s="1" t="str">
        <f t="shared" si="2530"/>
        <v>2</v>
      </c>
      <c r="K9016" s="1">
        <v>1</v>
      </c>
      <c r="L9016" s="1" t="s">
        <v>41</v>
      </c>
      <c r="M9016" s="1" t="str">
        <f>"湖北省 鄂州市 华容区 华容镇"</f>
        <v>湖北省 鄂州市 华容区 华容镇</v>
      </c>
      <c r="N9016" s="1" t="str">
        <f t="shared" si="2525"/>
        <v>凡华云仓-韵达-抖音</v>
      </c>
      <c r="O9016" s="5">
        <v>320159485064554</v>
      </c>
      <c r="P9016" s="6">
        <v>0.33</v>
      </c>
      <c r="Q9016" s="11">
        <v>2.2999999999999998</v>
      </c>
      <c r="R9016" s="11"/>
      <c r="S9016" s="11"/>
      <c r="T9016" s="11"/>
      <c r="U9016" s="11">
        <f t="shared" si="2518"/>
        <v>2.2999999999999998</v>
      </c>
      <c r="W9016">
        <v>2.5</v>
      </c>
      <c r="X9016" s="1" t="s">
        <v>41</v>
      </c>
    </row>
    <row r="9017" spans="1:24" x14ac:dyDescent="0.25">
      <c r="A9017" s="1" t="str">
        <f t="shared" si="2526"/>
        <v>卡卡杜-凤凰仓</v>
      </c>
      <c r="B9017" s="1" t="str">
        <f>"CK2024100788"</f>
        <v>CK2024100788</v>
      </c>
      <c r="C9017" s="1" t="str">
        <f>"DD202410079032"</f>
        <v>DD202410079032</v>
      </c>
      <c r="D9017" s="1" t="str">
        <f>"CK2024100723436"</f>
        <v>CK2024100723436</v>
      </c>
      <c r="E9017" s="1" t="str">
        <f>"6917882686964399791"</f>
        <v>6917882686964399791</v>
      </c>
      <c r="F9017" s="1" t="str">
        <f t="shared" si="2527"/>
        <v>花都四部-凤凰仓</v>
      </c>
      <c r="G9017" s="1" t="str">
        <f t="shared" si="2523"/>
        <v>卡卡杜个人护理店（抖店）</v>
      </c>
      <c r="H9017" s="1" t="str">
        <f t="shared" si="2528"/>
        <v>正常订单</v>
      </c>
      <c r="I9017" s="1" t="str">
        <f t="shared" si="2529"/>
        <v>已发货</v>
      </c>
      <c r="J9017" s="1" t="str">
        <f t="shared" si="2530"/>
        <v>2</v>
      </c>
      <c r="K9017" s="1">
        <v>1</v>
      </c>
      <c r="L9017" s="1" t="s">
        <v>18</v>
      </c>
      <c r="M9017" s="1" t="str">
        <f>"广东省 珠海市 香洲区 拱北街道"</f>
        <v>广东省 珠海市 香洲区 拱北街道</v>
      </c>
      <c r="N9017" s="1" t="str">
        <f t="shared" si="2525"/>
        <v>凡华云仓-韵达-抖音</v>
      </c>
      <c r="O9017" s="5">
        <v>320159485064457</v>
      </c>
      <c r="P9017" s="6">
        <v>0.33</v>
      </c>
      <c r="Q9017" s="11">
        <v>2.2999999999999998</v>
      </c>
      <c r="R9017" s="11"/>
      <c r="S9017" s="11"/>
      <c r="T9017" s="11"/>
      <c r="U9017" s="11">
        <f t="shared" si="2518"/>
        <v>2.2999999999999998</v>
      </c>
      <c r="W9017">
        <v>2.5</v>
      </c>
      <c r="X9017" s="1" t="s">
        <v>18</v>
      </c>
    </row>
    <row r="9018" spans="1:24" x14ac:dyDescent="0.25">
      <c r="A9018" s="1" t="str">
        <f t="shared" si="2526"/>
        <v>卡卡杜-凤凰仓</v>
      </c>
      <c r="B9018" s="1" t="str">
        <f>"CK2024100789"</f>
        <v>CK2024100789</v>
      </c>
      <c r="C9018" s="1" t="str">
        <f>"DD202410079031"</f>
        <v>DD202410079031</v>
      </c>
      <c r="D9018" s="1" t="str">
        <f>"CK2024100723435"</f>
        <v>CK2024100723435</v>
      </c>
      <c r="E9018" s="1" t="str">
        <f>"6917882792183168802"</f>
        <v>6917882792183168802</v>
      </c>
      <c r="F9018" s="1" t="str">
        <f t="shared" si="2527"/>
        <v>花都四部-凤凰仓</v>
      </c>
      <c r="G9018" s="1" t="str">
        <f t="shared" si="2523"/>
        <v>卡卡杜个人护理店（抖店）</v>
      </c>
      <c r="H9018" s="1" t="str">
        <f t="shared" si="2528"/>
        <v>正常订单</v>
      </c>
      <c r="I9018" s="1" t="str">
        <f t="shared" si="2529"/>
        <v>已发货</v>
      </c>
      <c r="J9018" s="1" t="str">
        <f t="shared" si="2530"/>
        <v>2</v>
      </c>
      <c r="K9018" s="1">
        <v>1</v>
      </c>
      <c r="L9018" s="1" t="s">
        <v>20</v>
      </c>
      <c r="M9018" s="1" t="str">
        <f>"浙江省 温州市 瓯海区 娄桥街道"</f>
        <v>浙江省 温州市 瓯海区 娄桥街道</v>
      </c>
      <c r="N9018" s="1" t="str">
        <f t="shared" si="2525"/>
        <v>凡华云仓-韵达-抖音</v>
      </c>
      <c r="O9018" s="5">
        <v>320159485064362</v>
      </c>
      <c r="P9018" s="6">
        <v>0.33</v>
      </c>
      <c r="Q9018" s="11">
        <v>2.2999999999999998</v>
      </c>
      <c r="R9018" s="11"/>
      <c r="S9018" s="11"/>
      <c r="T9018" s="11"/>
      <c r="U9018" s="11">
        <f t="shared" si="2518"/>
        <v>2.2999999999999998</v>
      </c>
      <c r="W9018">
        <v>2.5</v>
      </c>
      <c r="X9018" s="1" t="s">
        <v>20</v>
      </c>
    </row>
    <row r="9019" spans="1:24" x14ac:dyDescent="0.25">
      <c r="A9019" s="1" t="str">
        <f t="shared" si="2526"/>
        <v>卡卡杜-凤凰仓</v>
      </c>
      <c r="B9019" s="1" t="str">
        <f>"CK2024100790"</f>
        <v>CK2024100790</v>
      </c>
      <c r="C9019" s="1" t="str">
        <f>"DD202410079034"</f>
        <v>DD202410079034</v>
      </c>
      <c r="D9019" s="1" t="str">
        <f>"CK2024100723434"</f>
        <v>CK2024100723434</v>
      </c>
      <c r="E9019" s="1" t="str">
        <f>"6917880542676024366"</f>
        <v>6917880542676024366</v>
      </c>
      <c r="F9019" s="1" t="str">
        <f t="shared" si="2527"/>
        <v>花都四部-凤凰仓</v>
      </c>
      <c r="G9019" s="1" t="str">
        <f t="shared" si="2523"/>
        <v>卡卡杜个人护理店（抖店）</v>
      </c>
      <c r="H9019" s="1" t="str">
        <f t="shared" si="2528"/>
        <v>正常订单</v>
      </c>
      <c r="I9019" s="1" t="str">
        <f t="shared" si="2529"/>
        <v>已发货</v>
      </c>
      <c r="J9019" s="1" t="str">
        <f t="shared" si="2530"/>
        <v>2</v>
      </c>
      <c r="K9019" s="1">
        <v>1</v>
      </c>
      <c r="L9019" s="1" t="s">
        <v>20</v>
      </c>
      <c r="M9019" s="1" t="str">
        <f>"浙江省 宁波市 海曙区 鄞江镇"</f>
        <v>浙江省 宁波市 海曙区 鄞江镇</v>
      </c>
      <c r="N9019" s="1" t="str">
        <f t="shared" si="2525"/>
        <v>凡华云仓-韵达-抖音</v>
      </c>
      <c r="O9019" s="5">
        <v>320159485064269</v>
      </c>
      <c r="P9019" s="6">
        <v>0.33</v>
      </c>
      <c r="Q9019" s="11">
        <v>2.2999999999999998</v>
      </c>
      <c r="R9019" s="11"/>
      <c r="S9019" s="11"/>
      <c r="T9019" s="11"/>
      <c r="U9019" s="11">
        <f t="shared" si="2518"/>
        <v>2.2999999999999998</v>
      </c>
      <c r="W9019">
        <v>2.5</v>
      </c>
      <c r="X9019" s="1" t="s">
        <v>20</v>
      </c>
    </row>
    <row r="9020" spans="1:24" x14ac:dyDescent="0.25">
      <c r="A9020" s="1" t="str">
        <f t="shared" si="2526"/>
        <v>卡卡杜-凤凰仓</v>
      </c>
      <c r="B9020" s="1" t="str">
        <f>"CK2024100791"</f>
        <v>CK2024100791</v>
      </c>
      <c r="C9020" s="1" t="str">
        <f>"DD202410079033"</f>
        <v>DD202410079033</v>
      </c>
      <c r="D9020" s="1" t="str">
        <f>"CK2024100723433"</f>
        <v>CK2024100723433</v>
      </c>
      <c r="E9020" s="1" t="str">
        <f>"6917882688228589103"</f>
        <v>6917882688228589103</v>
      </c>
      <c r="F9020" s="1" t="str">
        <f t="shared" si="2527"/>
        <v>花都四部-凤凰仓</v>
      </c>
      <c r="G9020" s="1" t="str">
        <f t="shared" si="2523"/>
        <v>卡卡杜个人护理店（抖店）</v>
      </c>
      <c r="H9020" s="1" t="str">
        <f t="shared" si="2528"/>
        <v>正常订单</v>
      </c>
      <c r="I9020" s="1" t="str">
        <f t="shared" si="2529"/>
        <v>已发货</v>
      </c>
      <c r="J9020" s="1" t="str">
        <f t="shared" si="2530"/>
        <v>2</v>
      </c>
      <c r="K9020" s="1">
        <v>1</v>
      </c>
      <c r="L9020" s="1" t="s">
        <v>20</v>
      </c>
      <c r="M9020" s="1" t="str">
        <f>"浙江省 金华市 永康市 东城街道"</f>
        <v>浙江省 金华市 永康市 东城街道</v>
      </c>
      <c r="N9020" s="1" t="str">
        <f t="shared" si="2525"/>
        <v>凡华云仓-韵达-抖音</v>
      </c>
      <c r="O9020" s="5">
        <v>320159485064178</v>
      </c>
      <c r="P9020" s="6">
        <v>0.33</v>
      </c>
      <c r="Q9020" s="11">
        <v>2.2999999999999998</v>
      </c>
      <c r="R9020" s="11"/>
      <c r="S9020" s="11"/>
      <c r="T9020" s="11"/>
      <c r="U9020" s="11">
        <f t="shared" si="2518"/>
        <v>2.2999999999999998</v>
      </c>
      <c r="W9020">
        <v>2.5</v>
      </c>
      <c r="X9020" s="1" t="s">
        <v>20</v>
      </c>
    </row>
    <row r="9021" spans="1:24" x14ac:dyDescent="0.25">
      <c r="A9021" s="1" t="str">
        <f t="shared" si="2526"/>
        <v>卡卡杜-凤凰仓</v>
      </c>
      <c r="B9021" s="1" t="str">
        <f>"CK2024100792"</f>
        <v>CK2024100792</v>
      </c>
      <c r="C9021" s="1" t="str">
        <f>"DD202410079035"</f>
        <v>DD202410079035</v>
      </c>
      <c r="D9021" s="1" t="str">
        <f>"CK2024100723432"</f>
        <v>CK2024100723432</v>
      </c>
      <c r="E9021" s="1" t="str">
        <f>"6917875807892897476"</f>
        <v>6917875807892897476</v>
      </c>
      <c r="F9021" s="1" t="str">
        <f t="shared" si="2527"/>
        <v>花都四部-凤凰仓</v>
      </c>
      <c r="G9021" s="1" t="str">
        <f t="shared" si="2523"/>
        <v>卡卡杜个人护理店（抖店）</v>
      </c>
      <c r="H9021" s="1" t="str">
        <f t="shared" si="2528"/>
        <v>正常订单</v>
      </c>
      <c r="I9021" s="1" t="str">
        <f t="shared" si="2529"/>
        <v>已发货</v>
      </c>
      <c r="J9021" s="1" t="str">
        <f t="shared" si="2530"/>
        <v>2</v>
      </c>
      <c r="K9021" s="1">
        <v>1</v>
      </c>
      <c r="L9021" s="1" t="s">
        <v>13</v>
      </c>
      <c r="M9021" s="1" t="str">
        <f>"江苏省 常州市 武进区 牛塘镇"</f>
        <v>江苏省 常州市 武进区 牛塘镇</v>
      </c>
      <c r="N9021" s="1" t="str">
        <f t="shared" si="2525"/>
        <v>凡华云仓-韵达-抖音</v>
      </c>
      <c r="O9021" s="5">
        <v>320159485064089</v>
      </c>
      <c r="P9021" s="6">
        <v>0.33</v>
      </c>
      <c r="Q9021" s="11">
        <v>2.2999999999999998</v>
      </c>
      <c r="R9021" s="11"/>
      <c r="S9021" s="11"/>
      <c r="T9021" s="11"/>
      <c r="U9021" s="11">
        <f t="shared" si="2518"/>
        <v>2.2999999999999998</v>
      </c>
      <c r="W9021">
        <v>2.5</v>
      </c>
      <c r="X9021" s="1" t="s">
        <v>13</v>
      </c>
    </row>
    <row r="9022" spans="1:24" x14ac:dyDescent="0.25">
      <c r="A9022" s="1" t="str">
        <f t="shared" si="2526"/>
        <v>卡卡杜-凤凰仓</v>
      </c>
      <c r="B9022" s="1" t="str">
        <f>"CK2024100781"</f>
        <v>CK2024100781</v>
      </c>
      <c r="C9022" s="1" t="str">
        <f>"DD202410079023"</f>
        <v>DD202410079023</v>
      </c>
      <c r="D9022" s="1" t="str">
        <f>"CK2024100723431"</f>
        <v>CK2024100723431</v>
      </c>
      <c r="E9022" s="1" t="str">
        <f>"6917873227100552938"</f>
        <v>6917873227100552938</v>
      </c>
      <c r="F9022" s="1" t="str">
        <f t="shared" si="2527"/>
        <v>花都四部-凤凰仓</v>
      </c>
      <c r="G9022" s="1" t="str">
        <f t="shared" si="2523"/>
        <v>卡卡杜个人护理店（抖店）</v>
      </c>
      <c r="H9022" s="1" t="str">
        <f t="shared" si="2528"/>
        <v>正常订单</v>
      </c>
      <c r="I9022" s="1" t="str">
        <f t="shared" si="2529"/>
        <v>已发货</v>
      </c>
      <c r="J9022" s="1" t="str">
        <f t="shared" si="2530"/>
        <v>2</v>
      </c>
      <c r="K9022" s="1">
        <v>1</v>
      </c>
      <c r="L9022" s="1" t="s">
        <v>20</v>
      </c>
      <c r="M9022" s="1" t="str">
        <f>"浙江省 丽水市 松阳县 "</f>
        <v xml:space="preserve">浙江省 丽水市 松阳县 </v>
      </c>
      <c r="N9022" s="1" t="str">
        <f t="shared" si="2525"/>
        <v>凡华云仓-韵达-抖音</v>
      </c>
      <c r="O9022" s="5">
        <v>320159437249451</v>
      </c>
      <c r="P9022" s="6">
        <v>0.33</v>
      </c>
      <c r="Q9022" s="11">
        <v>2.2999999999999998</v>
      </c>
      <c r="R9022" s="11"/>
      <c r="S9022" s="11"/>
      <c r="T9022" s="11"/>
      <c r="U9022" s="11">
        <f t="shared" si="2518"/>
        <v>2.2999999999999998</v>
      </c>
      <c r="W9022">
        <v>2.5</v>
      </c>
      <c r="X9022" s="1" t="s">
        <v>20</v>
      </c>
    </row>
    <row r="9023" spans="1:24" x14ac:dyDescent="0.25">
      <c r="A9023" s="1" t="str">
        <f t="shared" si="2526"/>
        <v>卡卡杜-凤凰仓</v>
      </c>
      <c r="B9023" s="1" t="str">
        <f>"CK2024100787"</f>
        <v>CK2024100787</v>
      </c>
      <c r="C9023" s="1" t="str">
        <f>"DD202410079029"</f>
        <v>DD202410079029</v>
      </c>
      <c r="D9023" s="1" t="str">
        <f>"CK2024100723430"</f>
        <v>CK2024100723430</v>
      </c>
      <c r="E9023" s="1" t="str">
        <f>"6917877982756306568"</f>
        <v>6917877982756306568</v>
      </c>
      <c r="F9023" s="1" t="str">
        <f t="shared" si="2527"/>
        <v>花都四部-凤凰仓</v>
      </c>
      <c r="G9023" s="1" t="str">
        <f t="shared" si="2523"/>
        <v>卡卡杜个人护理店（抖店）</v>
      </c>
      <c r="H9023" s="1" t="str">
        <f t="shared" si="2528"/>
        <v>正常订单</v>
      </c>
      <c r="I9023" s="1" t="str">
        <f t="shared" si="2529"/>
        <v>已发货</v>
      </c>
      <c r="J9023" s="1" t="str">
        <f t="shared" si="2530"/>
        <v>2</v>
      </c>
      <c r="K9023" s="1">
        <v>1</v>
      </c>
      <c r="L9023" s="1" t="s">
        <v>92</v>
      </c>
      <c r="M9023" s="1" t="str">
        <f>"辽宁省 盘锦市 盘山县 吴家镇"</f>
        <v>辽宁省 盘锦市 盘山县 吴家镇</v>
      </c>
      <c r="N9023" s="1" t="str">
        <f t="shared" si="2525"/>
        <v>凡华云仓-韵达-抖音</v>
      </c>
      <c r="O9023" s="5">
        <v>320159437249356</v>
      </c>
      <c r="P9023" s="6">
        <v>0.33</v>
      </c>
      <c r="Q9023" s="11">
        <v>2.2999999999999998</v>
      </c>
      <c r="R9023" s="11"/>
      <c r="S9023" s="11"/>
      <c r="T9023" s="11"/>
      <c r="U9023" s="11">
        <f t="shared" si="2518"/>
        <v>2.2999999999999998</v>
      </c>
      <c r="W9023">
        <v>2.5</v>
      </c>
      <c r="X9023" s="1" t="s">
        <v>92</v>
      </c>
    </row>
    <row r="9024" spans="1:24" x14ac:dyDescent="0.25">
      <c r="A9024" s="1" t="str">
        <f t="shared" si="2526"/>
        <v>卡卡杜-凤凰仓</v>
      </c>
      <c r="B9024" s="1" t="str">
        <f>"CK2024100778"</f>
        <v>CK2024100778</v>
      </c>
      <c r="C9024" s="1" t="str">
        <f>"DD202410079020"</f>
        <v>DD202410079020</v>
      </c>
      <c r="D9024" s="1" t="str">
        <f>"CK2024100723429"</f>
        <v>CK2024100723429</v>
      </c>
      <c r="E9024" s="1" t="str">
        <f>"6917873038346321414"</f>
        <v>6917873038346321414</v>
      </c>
      <c r="F9024" s="1" t="str">
        <f t="shared" si="2527"/>
        <v>花都四部-凤凰仓</v>
      </c>
      <c r="G9024" s="1" t="str">
        <f t="shared" si="2523"/>
        <v>卡卡杜个人护理店（抖店）</v>
      </c>
      <c r="H9024" s="1" t="str">
        <f t="shared" si="2528"/>
        <v>正常订单</v>
      </c>
      <c r="I9024" s="1" t="str">
        <f t="shared" si="2529"/>
        <v>已发货</v>
      </c>
      <c r="J9024" s="1" t="str">
        <f t="shared" si="2530"/>
        <v>2</v>
      </c>
      <c r="K9024" s="1">
        <v>1</v>
      </c>
      <c r="L9024" s="1" t="s">
        <v>20</v>
      </c>
      <c r="M9024" s="1" t="str">
        <f>"浙江省 衢州市 开化县 村头镇"</f>
        <v>浙江省 衢州市 开化县 村头镇</v>
      </c>
      <c r="N9024" s="1" t="str">
        <f t="shared" si="2525"/>
        <v>凡华云仓-韵达-抖音</v>
      </c>
      <c r="O9024" s="5">
        <v>320159437249263</v>
      </c>
      <c r="P9024" s="6">
        <v>0.33</v>
      </c>
      <c r="Q9024" s="11">
        <v>2.2999999999999998</v>
      </c>
      <c r="R9024" s="11"/>
      <c r="S9024" s="11"/>
      <c r="T9024" s="11"/>
      <c r="U9024" s="11">
        <f t="shared" si="2518"/>
        <v>2.2999999999999998</v>
      </c>
      <c r="W9024">
        <v>2.5</v>
      </c>
      <c r="X9024" s="1" t="s">
        <v>20</v>
      </c>
    </row>
    <row r="9025" spans="1:24" x14ac:dyDescent="0.25">
      <c r="A9025" s="1" t="str">
        <f t="shared" si="2526"/>
        <v>卡卡杜-凤凰仓</v>
      </c>
      <c r="B9025" s="1" t="str">
        <f>"CK2024100771"</f>
        <v>CK2024100771</v>
      </c>
      <c r="C9025" s="1" t="str">
        <f>"DD202410079016"</f>
        <v>DD202410079016</v>
      </c>
      <c r="D9025" s="1" t="str">
        <f>"CK2024100723428"</f>
        <v>CK2024100723428</v>
      </c>
      <c r="E9025" s="1" t="str">
        <f>"6917873411528883430"</f>
        <v>6917873411528883430</v>
      </c>
      <c r="F9025" s="1" t="str">
        <f t="shared" si="2527"/>
        <v>花都四部-凤凰仓</v>
      </c>
      <c r="G9025" s="1" t="str">
        <f t="shared" si="2523"/>
        <v>卡卡杜个人护理店（抖店）</v>
      </c>
      <c r="H9025" s="1" t="str">
        <f t="shared" si="2528"/>
        <v>正常订单</v>
      </c>
      <c r="I9025" s="1" t="str">
        <f t="shared" si="2529"/>
        <v>已发货</v>
      </c>
      <c r="J9025" s="1" t="str">
        <f t="shared" si="2530"/>
        <v>2</v>
      </c>
      <c r="K9025" s="1">
        <v>1</v>
      </c>
      <c r="L9025" s="1" t="s">
        <v>22</v>
      </c>
      <c r="M9025" s="1" t="str">
        <f>"江西省 上饶市 万年县 陈营镇"</f>
        <v>江西省 上饶市 万年县 陈营镇</v>
      </c>
      <c r="N9025" s="1" t="str">
        <f t="shared" si="2525"/>
        <v>凡华云仓-韵达-抖音</v>
      </c>
      <c r="O9025" s="5">
        <v>320159437249172</v>
      </c>
      <c r="P9025" s="6">
        <v>0.33</v>
      </c>
      <c r="Q9025" s="11">
        <v>2.2999999999999998</v>
      </c>
      <c r="R9025" s="11"/>
      <c r="S9025" s="11"/>
      <c r="T9025" s="11"/>
      <c r="U9025" s="11">
        <f t="shared" si="2518"/>
        <v>2.2999999999999998</v>
      </c>
      <c r="W9025">
        <v>2.5</v>
      </c>
      <c r="X9025" s="1" t="s">
        <v>22</v>
      </c>
    </row>
    <row r="9026" spans="1:24" x14ac:dyDescent="0.25">
      <c r="A9026" s="1" t="str">
        <f t="shared" si="2526"/>
        <v>卡卡杜-凤凰仓</v>
      </c>
      <c r="B9026" s="1" t="str">
        <f>"CK2024100777"</f>
        <v>CK2024100777</v>
      </c>
      <c r="C9026" s="1" t="str">
        <f>"DD202410079021"</f>
        <v>DD202410079021</v>
      </c>
      <c r="D9026" s="1" t="str">
        <f>"CK2024100723427"</f>
        <v>CK2024100723427</v>
      </c>
      <c r="E9026" s="1" t="str">
        <f>"6917875531531910429"</f>
        <v>6917875531531910429</v>
      </c>
      <c r="F9026" s="1" t="str">
        <f t="shared" si="2527"/>
        <v>花都四部-凤凰仓</v>
      </c>
      <c r="G9026" s="1" t="str">
        <f t="shared" si="2523"/>
        <v>卡卡杜个人护理店（抖店）</v>
      </c>
      <c r="H9026" s="1" t="str">
        <f t="shared" si="2528"/>
        <v>正常订单</v>
      </c>
      <c r="I9026" s="1" t="str">
        <f t="shared" si="2529"/>
        <v>已发货</v>
      </c>
      <c r="J9026" s="1" t="str">
        <f t="shared" si="2530"/>
        <v>2</v>
      </c>
      <c r="K9026" s="1">
        <v>1</v>
      </c>
      <c r="L9026" s="1" t="s">
        <v>20</v>
      </c>
      <c r="M9026" s="1" t="str">
        <f>"浙江省 台州市 临海市 桃渚镇"</f>
        <v>浙江省 台州市 临海市 桃渚镇</v>
      </c>
      <c r="N9026" s="1" t="str">
        <f t="shared" si="2525"/>
        <v>凡华云仓-韵达-抖音</v>
      </c>
      <c r="O9026" s="5">
        <v>320159437249083</v>
      </c>
      <c r="P9026" s="6">
        <v>0.33</v>
      </c>
      <c r="Q9026" s="11">
        <v>2.2999999999999998</v>
      </c>
      <c r="R9026" s="11"/>
      <c r="S9026" s="11"/>
      <c r="T9026" s="11"/>
      <c r="U9026" s="11">
        <f t="shared" si="2518"/>
        <v>2.2999999999999998</v>
      </c>
      <c r="W9026">
        <v>2.5</v>
      </c>
      <c r="X9026" s="1" t="s">
        <v>20</v>
      </c>
    </row>
    <row r="9027" spans="1:24" x14ac:dyDescent="0.25">
      <c r="A9027" s="1" t="str">
        <f t="shared" si="2526"/>
        <v>卡卡杜-凤凰仓</v>
      </c>
      <c r="B9027" s="1" t="str">
        <f>"CK2024100766"</f>
        <v>CK2024100766</v>
      </c>
      <c r="C9027" s="1" t="str">
        <f>"DD202410079007"</f>
        <v>DD202410079007</v>
      </c>
      <c r="D9027" s="1" t="str">
        <f>"CK2024100723426"</f>
        <v>CK2024100723426</v>
      </c>
      <c r="E9027" s="1" t="str">
        <f>"6917882291777535909"</f>
        <v>6917882291777535909</v>
      </c>
      <c r="F9027" s="1" t="str">
        <f t="shared" si="2527"/>
        <v>花都四部-凤凰仓</v>
      </c>
      <c r="G9027" s="1" t="str">
        <f t="shared" si="2523"/>
        <v>卡卡杜个人护理店（抖店）</v>
      </c>
      <c r="H9027" s="1" t="str">
        <f t="shared" si="2528"/>
        <v>正常订单</v>
      </c>
      <c r="I9027" s="1" t="str">
        <f t="shared" si="2529"/>
        <v>已发货</v>
      </c>
      <c r="J9027" s="1" t="str">
        <f t="shared" si="2530"/>
        <v>2</v>
      </c>
      <c r="K9027" s="1">
        <v>1</v>
      </c>
      <c r="L9027" s="1" t="s">
        <v>20</v>
      </c>
      <c r="M9027" s="1" t="str">
        <f>"浙江省 金华市 永康市 "</f>
        <v xml:space="preserve">浙江省 金华市 永康市 </v>
      </c>
      <c r="N9027" s="1" t="str">
        <f t="shared" si="2525"/>
        <v>凡华云仓-韵达-抖音</v>
      </c>
      <c r="O9027" s="5">
        <v>320159437248951</v>
      </c>
      <c r="P9027" s="6">
        <v>0.33</v>
      </c>
      <c r="Q9027" s="11">
        <v>2.2999999999999998</v>
      </c>
      <c r="R9027" s="11"/>
      <c r="S9027" s="11"/>
      <c r="T9027" s="11"/>
      <c r="U9027" s="11">
        <f t="shared" ref="U9027:U9090" si="2531">T9027+S9027+R9027+Q9027</f>
        <v>2.2999999999999998</v>
      </c>
      <c r="W9027">
        <v>2.5</v>
      </c>
      <c r="X9027" s="1" t="s">
        <v>20</v>
      </c>
    </row>
    <row r="9028" spans="1:24" x14ac:dyDescent="0.25">
      <c r="A9028" s="1" t="str">
        <f t="shared" si="2526"/>
        <v>卡卡杜-凤凰仓</v>
      </c>
      <c r="B9028" s="1" t="str">
        <f>"CK2024101926421"</f>
        <v>CK2024101926421</v>
      </c>
      <c r="C9028" s="1" t="str">
        <f>"DD2024101961344"</f>
        <v>DD2024101961344</v>
      </c>
      <c r="D9028" s="1" t="str">
        <f>"CK2024101948731"</f>
        <v>CK2024101948731</v>
      </c>
      <c r="E9028" s="1" t="str">
        <f>"2429301751746803"</f>
        <v>2429301751746803</v>
      </c>
      <c r="F9028" s="1" t="str">
        <f t="shared" si="2527"/>
        <v>花都四部-凤凰仓</v>
      </c>
      <c r="G9028" s="1" t="str">
        <f>"卡卡杜佳旺专卖店（快手店）"</f>
        <v>卡卡杜佳旺专卖店（快手店）</v>
      </c>
      <c r="H9028" s="1" t="str">
        <f t="shared" si="2528"/>
        <v>正常订单</v>
      </c>
      <c r="I9028" s="1" t="str">
        <f t="shared" si="2529"/>
        <v>已发货</v>
      </c>
      <c r="J9028" s="1" t="str">
        <f>"4"</f>
        <v>4</v>
      </c>
      <c r="K9028" s="1">
        <v>1</v>
      </c>
      <c r="L9028" s="1" t="s">
        <v>18</v>
      </c>
      <c r="M9028" s="1" t="str">
        <f>"广东省 佛山市 顺德区 杏坛镇"</f>
        <v>广东省 佛山市 顺德区 杏坛镇</v>
      </c>
      <c r="N9028" s="1" t="str">
        <f>"凡华云仓-城南圆通-快手"</f>
        <v>凡华云仓-城南圆通-快手</v>
      </c>
      <c r="O9028" s="5" t="s">
        <v>5674</v>
      </c>
      <c r="P9028" s="6">
        <v>0.57999999999999996</v>
      </c>
      <c r="Q9028" s="11">
        <f>CEILING(P9028-0.5,0.1)*10*0.15+2.3</f>
        <v>2.4499999999999997</v>
      </c>
      <c r="R9028" s="11"/>
      <c r="S9028" s="11"/>
      <c r="T9028" s="11"/>
      <c r="U9028" s="11">
        <f t="shared" si="2531"/>
        <v>2.4499999999999997</v>
      </c>
      <c r="V9028" t="s">
        <v>15</v>
      </c>
      <c r="W9028">
        <v>2.4500000000000002</v>
      </c>
      <c r="X9028" s="1" t="s">
        <v>18</v>
      </c>
    </row>
    <row r="9029" spans="1:24" x14ac:dyDescent="0.25">
      <c r="A9029" s="1" t="str">
        <f t="shared" si="2526"/>
        <v>卡卡杜-凤凰仓</v>
      </c>
      <c r="B9029" s="1" t="str">
        <f>"CK2024100767"</f>
        <v>CK2024100767</v>
      </c>
      <c r="C9029" s="1" t="str">
        <f>"DD202410079010"</f>
        <v>DD202410079010</v>
      </c>
      <c r="D9029" s="1" t="str">
        <f>"CK2024100723424"</f>
        <v>CK2024100723424</v>
      </c>
      <c r="E9029" s="1" t="str">
        <f>"6917877843884343069"</f>
        <v>6917877843884343069</v>
      </c>
      <c r="F9029" s="1" t="str">
        <f t="shared" si="2527"/>
        <v>花都四部-凤凰仓</v>
      </c>
      <c r="G9029" s="1" t="str">
        <f t="shared" si="2523"/>
        <v>卡卡杜个人护理店（抖店）</v>
      </c>
      <c r="H9029" s="1" t="str">
        <f t="shared" si="2528"/>
        <v>正常订单</v>
      </c>
      <c r="I9029" s="1" t="str">
        <f t="shared" si="2529"/>
        <v>已发货</v>
      </c>
      <c r="J9029" s="1" t="str">
        <f t="shared" ref="J9029:J9045" si="2532">"2"</f>
        <v>2</v>
      </c>
      <c r="K9029" s="1">
        <v>1</v>
      </c>
      <c r="L9029" s="1" t="s">
        <v>74</v>
      </c>
      <c r="M9029" s="1" t="str">
        <f>"上海 上海市 宝山区 大场镇"</f>
        <v>上海 上海市 宝山区 大场镇</v>
      </c>
      <c r="N9029" s="1" t="str">
        <f t="shared" si="2525"/>
        <v>凡华云仓-韵达-抖音</v>
      </c>
      <c r="O9029" s="5">
        <v>320159437248743</v>
      </c>
      <c r="P9029" s="6">
        <v>0.33</v>
      </c>
      <c r="Q9029" s="11">
        <v>2.2999999999999998</v>
      </c>
      <c r="R9029" s="11"/>
      <c r="S9029" s="11"/>
      <c r="T9029" s="11"/>
      <c r="U9029" s="11">
        <f t="shared" si="2531"/>
        <v>2.2999999999999998</v>
      </c>
      <c r="W9029">
        <v>2.5</v>
      </c>
      <c r="X9029" s="1" t="s">
        <v>74</v>
      </c>
    </row>
    <row r="9030" spans="1:24" x14ac:dyDescent="0.25">
      <c r="A9030" s="1" t="str">
        <f t="shared" si="2526"/>
        <v>卡卡杜-凤凰仓</v>
      </c>
      <c r="B9030" s="1" t="str">
        <f>"CK2024100768"</f>
        <v>CK2024100768</v>
      </c>
      <c r="C9030" s="1" t="str">
        <f>"DD202410079012"</f>
        <v>DD202410079012</v>
      </c>
      <c r="D9030" s="1" t="str">
        <f>"CK2024100723423"</f>
        <v>CK2024100723423</v>
      </c>
      <c r="E9030" s="1" t="str">
        <f>"6917875342350711808"</f>
        <v>6917875342350711808</v>
      </c>
      <c r="F9030" s="1" t="str">
        <f t="shared" si="2527"/>
        <v>花都四部-凤凰仓</v>
      </c>
      <c r="G9030" s="1" t="str">
        <f t="shared" si="2523"/>
        <v>卡卡杜个人护理店（抖店）</v>
      </c>
      <c r="H9030" s="1" t="str">
        <f t="shared" si="2528"/>
        <v>正常订单</v>
      </c>
      <c r="I9030" s="1" t="str">
        <f t="shared" si="2529"/>
        <v>已发货</v>
      </c>
      <c r="J9030" s="1" t="str">
        <f t="shared" si="2532"/>
        <v>2</v>
      </c>
      <c r="K9030" s="1">
        <v>1</v>
      </c>
      <c r="L9030" s="1" t="s">
        <v>36</v>
      </c>
      <c r="M9030" s="1" t="str">
        <f>"安徽省 黄山市 屯溪区 新潭镇"</f>
        <v>安徽省 黄山市 屯溪区 新潭镇</v>
      </c>
      <c r="N9030" s="1" t="str">
        <f t="shared" si="2525"/>
        <v>凡华云仓-韵达-抖音</v>
      </c>
      <c r="O9030" s="5">
        <v>320159437248642</v>
      </c>
      <c r="P9030" s="6">
        <v>0.33</v>
      </c>
      <c r="Q9030" s="11">
        <v>2.2999999999999998</v>
      </c>
      <c r="R9030" s="11"/>
      <c r="S9030" s="11"/>
      <c r="T9030" s="11"/>
      <c r="U9030" s="11">
        <f t="shared" si="2531"/>
        <v>2.2999999999999998</v>
      </c>
      <c r="W9030">
        <v>2.5</v>
      </c>
      <c r="X9030" s="1" t="s">
        <v>36</v>
      </c>
    </row>
    <row r="9031" spans="1:24" x14ac:dyDescent="0.25">
      <c r="A9031" s="1" t="str">
        <f t="shared" si="2526"/>
        <v>卡卡杜-凤凰仓</v>
      </c>
      <c r="B9031" s="1" t="str">
        <f>"CK2024100769"</f>
        <v>CK2024100769</v>
      </c>
      <c r="C9031" s="1" t="str">
        <f>"DD202410079011"</f>
        <v>DD202410079011</v>
      </c>
      <c r="D9031" s="1" t="str">
        <f>"CK2024100723422"</f>
        <v>CK2024100723422</v>
      </c>
      <c r="E9031" s="1" t="str">
        <f>"6917877971842924358"</f>
        <v>6917877971842924358</v>
      </c>
      <c r="F9031" s="1" t="str">
        <f t="shared" si="2527"/>
        <v>花都四部-凤凰仓</v>
      </c>
      <c r="G9031" s="1" t="str">
        <f t="shared" si="2523"/>
        <v>卡卡杜个人护理店（抖店）</v>
      </c>
      <c r="H9031" s="1" t="str">
        <f t="shared" si="2528"/>
        <v>正常订单</v>
      </c>
      <c r="I9031" s="1" t="str">
        <f t="shared" si="2529"/>
        <v>已发货</v>
      </c>
      <c r="J9031" s="1" t="str">
        <f t="shared" si="2532"/>
        <v>2</v>
      </c>
      <c r="K9031" s="1">
        <v>1</v>
      </c>
      <c r="L9031" s="1" t="s">
        <v>13</v>
      </c>
      <c r="M9031" s="1" t="str">
        <f>"江苏省 扬州市 高邮市 临泽镇"</f>
        <v>江苏省 扬州市 高邮市 临泽镇</v>
      </c>
      <c r="N9031" s="1" t="str">
        <f t="shared" si="2525"/>
        <v>凡华云仓-韵达-抖音</v>
      </c>
      <c r="O9031" s="5">
        <v>320159437248543</v>
      </c>
      <c r="P9031" s="6">
        <v>0.33</v>
      </c>
      <c r="Q9031" s="11">
        <v>2.2999999999999998</v>
      </c>
      <c r="R9031" s="11"/>
      <c r="S9031" s="11"/>
      <c r="T9031" s="11"/>
      <c r="U9031" s="11">
        <f t="shared" si="2531"/>
        <v>2.2999999999999998</v>
      </c>
      <c r="W9031">
        <v>2.5</v>
      </c>
      <c r="X9031" s="1" t="s">
        <v>13</v>
      </c>
    </row>
    <row r="9032" spans="1:24" x14ac:dyDescent="0.25">
      <c r="A9032" s="1" t="str">
        <f t="shared" si="2526"/>
        <v>卡卡杜-凤凰仓</v>
      </c>
      <c r="B9032" s="1" t="str">
        <f>"CK2024100764"</f>
        <v>CK2024100764</v>
      </c>
      <c r="C9032" s="1" t="str">
        <f>"DD202410079008"</f>
        <v>DD202410079008</v>
      </c>
      <c r="D9032" s="1" t="str">
        <f>"CK2024100723421"</f>
        <v>CK2024100723421</v>
      </c>
      <c r="E9032" s="1" t="str">
        <f>"6917875369590750612"</f>
        <v>6917875369590750612</v>
      </c>
      <c r="F9032" s="1" t="str">
        <f t="shared" si="2527"/>
        <v>花都四部-凤凰仓</v>
      </c>
      <c r="G9032" s="1" t="str">
        <f t="shared" si="2523"/>
        <v>卡卡杜个人护理店（抖店）</v>
      </c>
      <c r="H9032" s="1" t="str">
        <f t="shared" si="2528"/>
        <v>正常订单</v>
      </c>
      <c r="I9032" s="1" t="str">
        <f t="shared" si="2529"/>
        <v>已发货</v>
      </c>
      <c r="J9032" s="1" t="str">
        <f t="shared" si="2532"/>
        <v>2</v>
      </c>
      <c r="K9032" s="1">
        <v>1</v>
      </c>
      <c r="L9032" s="1" t="s">
        <v>18</v>
      </c>
      <c r="M9032" s="1" t="str">
        <f>"广东省 佛山市 顺德区 勒流街道"</f>
        <v>广东省 佛山市 顺德区 勒流街道</v>
      </c>
      <c r="N9032" s="1" t="str">
        <f t="shared" si="2525"/>
        <v>凡华云仓-韵达-抖音</v>
      </c>
      <c r="O9032" s="5">
        <v>320159485061478</v>
      </c>
      <c r="P9032" s="6">
        <v>0.33</v>
      </c>
      <c r="Q9032" s="11">
        <v>2.2999999999999998</v>
      </c>
      <c r="R9032" s="11"/>
      <c r="S9032" s="11"/>
      <c r="T9032" s="11"/>
      <c r="U9032" s="11">
        <f t="shared" si="2531"/>
        <v>2.2999999999999998</v>
      </c>
      <c r="W9032">
        <v>2.5</v>
      </c>
      <c r="X9032" s="1" t="s">
        <v>18</v>
      </c>
    </row>
    <row r="9033" spans="1:24" x14ac:dyDescent="0.25">
      <c r="A9033" s="1" t="str">
        <f t="shared" si="2526"/>
        <v>卡卡杜-凤凰仓</v>
      </c>
      <c r="B9033" s="1" t="str">
        <f>"CK20241007150"</f>
        <v>CK20241007150</v>
      </c>
      <c r="C9033" s="1" t="str">
        <f>"DD202410079092"</f>
        <v>DD202410079092</v>
      </c>
      <c r="D9033" s="1" t="str">
        <f>"CK2024100723420"</f>
        <v>CK2024100723420</v>
      </c>
      <c r="E9033" s="1" t="str">
        <f>"6917880245961391847"</f>
        <v>6917880245961391847</v>
      </c>
      <c r="F9033" s="1" t="str">
        <f t="shared" si="2527"/>
        <v>花都四部-凤凰仓</v>
      </c>
      <c r="G9033" s="1" t="str">
        <f t="shared" si="2523"/>
        <v>卡卡杜个人护理店（抖店）</v>
      </c>
      <c r="H9033" s="1" t="str">
        <f t="shared" si="2528"/>
        <v>正常订单</v>
      </c>
      <c r="I9033" s="1" t="str">
        <f t="shared" si="2529"/>
        <v>已发货</v>
      </c>
      <c r="J9033" s="1" t="str">
        <f t="shared" si="2532"/>
        <v>2</v>
      </c>
      <c r="K9033" s="1">
        <v>2</v>
      </c>
      <c r="L9033" s="1" t="s">
        <v>30</v>
      </c>
      <c r="M9033" s="1" t="str">
        <f>"山东省 菏泽市 牡丹区 丹阳街道"</f>
        <v>山东省 菏泽市 牡丹区 丹阳街道</v>
      </c>
      <c r="N9033" s="1" t="str">
        <f t="shared" si="2525"/>
        <v>凡华云仓-韵达-抖音</v>
      </c>
      <c r="O9033" s="5">
        <v>320159485061383</v>
      </c>
      <c r="P9033" s="6">
        <v>0.28000000000000003</v>
      </c>
      <c r="Q9033" s="11">
        <v>2</v>
      </c>
      <c r="R9033" s="11"/>
      <c r="S9033" s="11"/>
      <c r="T9033" s="11"/>
      <c r="U9033" s="11">
        <f t="shared" si="2531"/>
        <v>2</v>
      </c>
      <c r="W9033">
        <v>2.2000000000000002</v>
      </c>
      <c r="X9033" s="1" t="s">
        <v>30</v>
      </c>
    </row>
    <row r="9034" spans="1:24" x14ac:dyDescent="0.25">
      <c r="A9034" s="1" t="str">
        <f t="shared" si="2526"/>
        <v>卡卡杜-凤凰仓</v>
      </c>
      <c r="B9034" s="1" t="str">
        <f>"CK2024100770"</f>
        <v>CK2024100770</v>
      </c>
      <c r="C9034" s="1" t="str">
        <f>"DD202410079013"</f>
        <v>DD202410079013</v>
      </c>
      <c r="D9034" s="1" t="str">
        <f>"CK2024100723419"</f>
        <v>CK2024100723419</v>
      </c>
      <c r="E9034" s="1" t="str">
        <f>"6917882237628219050"</f>
        <v>6917882237628219050</v>
      </c>
      <c r="F9034" s="1" t="str">
        <f t="shared" si="2527"/>
        <v>花都四部-凤凰仓</v>
      </c>
      <c r="G9034" s="1" t="str">
        <f t="shared" si="2523"/>
        <v>卡卡杜个人护理店（抖店）</v>
      </c>
      <c r="H9034" s="1" t="str">
        <f t="shared" si="2528"/>
        <v>正常订单</v>
      </c>
      <c r="I9034" s="1" t="str">
        <f t="shared" si="2529"/>
        <v>已发货</v>
      </c>
      <c r="J9034" s="1" t="str">
        <f t="shared" si="2532"/>
        <v>2</v>
      </c>
      <c r="K9034" s="1">
        <v>1</v>
      </c>
      <c r="L9034" s="1" t="s">
        <v>20</v>
      </c>
      <c r="M9034" s="1" t="str">
        <f>"浙江省 宁波市 慈溪市 长河镇"</f>
        <v>浙江省 宁波市 慈溪市 长河镇</v>
      </c>
      <c r="N9034" s="1" t="str">
        <f t="shared" si="2525"/>
        <v>凡华云仓-韵达-抖音</v>
      </c>
      <c r="O9034" s="5">
        <v>320159485061290</v>
      </c>
      <c r="P9034" s="6">
        <v>0.33</v>
      </c>
      <c r="Q9034" s="11">
        <v>2.2999999999999998</v>
      </c>
      <c r="R9034" s="11"/>
      <c r="S9034" s="11"/>
      <c r="T9034" s="11"/>
      <c r="U9034" s="11">
        <f t="shared" si="2531"/>
        <v>2.2999999999999998</v>
      </c>
      <c r="W9034">
        <v>2.5</v>
      </c>
      <c r="X9034" s="1" t="s">
        <v>20</v>
      </c>
    </row>
    <row r="9035" spans="1:24" x14ac:dyDescent="0.25">
      <c r="A9035" s="1" t="str">
        <f t="shared" si="2526"/>
        <v>卡卡杜-凤凰仓</v>
      </c>
      <c r="B9035" s="1" t="str">
        <f>"CK2024100772"</f>
        <v>CK2024100772</v>
      </c>
      <c r="C9035" s="1" t="str">
        <f>"DD202410079014"</f>
        <v>DD202410079014</v>
      </c>
      <c r="D9035" s="1" t="str">
        <f>"CK2024100723418"</f>
        <v>CK2024100723418</v>
      </c>
      <c r="E9035" s="1" t="str">
        <f>"6917875500315213623"</f>
        <v>6917875500315213623</v>
      </c>
      <c r="F9035" s="1" t="str">
        <f t="shared" si="2527"/>
        <v>花都四部-凤凰仓</v>
      </c>
      <c r="G9035" s="1" t="str">
        <f t="shared" si="2523"/>
        <v>卡卡杜个人护理店（抖店）</v>
      </c>
      <c r="H9035" s="1" t="str">
        <f t="shared" si="2528"/>
        <v>正常订单</v>
      </c>
      <c r="I9035" s="1" t="str">
        <f t="shared" si="2529"/>
        <v>已发货</v>
      </c>
      <c r="J9035" s="1" t="str">
        <f t="shared" si="2532"/>
        <v>2</v>
      </c>
      <c r="K9035" s="1">
        <v>1</v>
      </c>
      <c r="L9035" s="1" t="s">
        <v>41</v>
      </c>
      <c r="M9035" s="1" t="str">
        <f>"湖北省 孝感市 孝南区 卧龙乡"</f>
        <v>湖北省 孝感市 孝南区 卧龙乡</v>
      </c>
      <c r="N9035" s="1" t="str">
        <f t="shared" si="2525"/>
        <v>凡华云仓-韵达-抖音</v>
      </c>
      <c r="O9035" s="5">
        <v>320159485061199</v>
      </c>
      <c r="P9035" s="6">
        <v>0.33</v>
      </c>
      <c r="Q9035" s="11">
        <v>2.2999999999999998</v>
      </c>
      <c r="R9035" s="11"/>
      <c r="S9035" s="11"/>
      <c r="T9035" s="11"/>
      <c r="U9035" s="11">
        <f t="shared" si="2531"/>
        <v>2.2999999999999998</v>
      </c>
      <c r="W9035">
        <v>2.5</v>
      </c>
      <c r="X9035" s="1" t="s">
        <v>41</v>
      </c>
    </row>
    <row r="9036" spans="1:24" x14ac:dyDescent="0.25">
      <c r="A9036" s="1" t="str">
        <f t="shared" si="2526"/>
        <v>卡卡杜-凤凰仓</v>
      </c>
      <c r="B9036" s="1" t="str">
        <f>"CK2024100773"</f>
        <v>CK2024100773</v>
      </c>
      <c r="C9036" s="1" t="str">
        <f>"DD202410079015"</f>
        <v>DD202410079015</v>
      </c>
      <c r="D9036" s="1" t="str">
        <f>"CK2024100723417"</f>
        <v>CK2024100723417</v>
      </c>
      <c r="E9036" s="1" t="str">
        <f>"6917877709482392663"</f>
        <v>6917877709482392663</v>
      </c>
      <c r="F9036" s="1" t="str">
        <f t="shared" si="2527"/>
        <v>花都四部-凤凰仓</v>
      </c>
      <c r="G9036" s="1" t="str">
        <f t="shared" si="2523"/>
        <v>卡卡杜个人护理店（抖店）</v>
      </c>
      <c r="H9036" s="1" t="str">
        <f t="shared" si="2528"/>
        <v>正常订单</v>
      </c>
      <c r="I9036" s="1" t="str">
        <f t="shared" si="2529"/>
        <v>已发货</v>
      </c>
      <c r="J9036" s="1" t="str">
        <f t="shared" si="2532"/>
        <v>2</v>
      </c>
      <c r="K9036" s="1">
        <v>1</v>
      </c>
      <c r="L9036" s="1" t="s">
        <v>20</v>
      </c>
      <c r="M9036" s="1" t="str">
        <f>"浙江省 舟山市 定海区 "</f>
        <v xml:space="preserve">浙江省 舟山市 定海区 </v>
      </c>
      <c r="N9036" s="1" t="str">
        <f t="shared" si="2525"/>
        <v>凡华云仓-韵达-抖音</v>
      </c>
      <c r="O9036" s="5">
        <v>320159485061010</v>
      </c>
      <c r="P9036" s="6">
        <v>0.33</v>
      </c>
      <c r="Q9036" s="11">
        <v>2.2999999999999998</v>
      </c>
      <c r="R9036" s="11"/>
      <c r="S9036" s="11"/>
      <c r="T9036" s="11"/>
      <c r="U9036" s="11">
        <f t="shared" si="2531"/>
        <v>2.2999999999999998</v>
      </c>
      <c r="W9036">
        <v>2.5</v>
      </c>
      <c r="X9036" s="1" t="s">
        <v>20</v>
      </c>
    </row>
    <row r="9037" spans="1:24" x14ac:dyDescent="0.25">
      <c r="A9037" s="1" t="str">
        <f t="shared" si="2526"/>
        <v>卡卡杜-凤凰仓</v>
      </c>
      <c r="B9037" s="1" t="str">
        <f>"CK2024100774"</f>
        <v>CK2024100774</v>
      </c>
      <c r="C9037" s="1" t="str">
        <f>"DD202410079017"</f>
        <v>DD202410079017</v>
      </c>
      <c r="D9037" s="1" t="str">
        <f>"CK2024100723416"</f>
        <v>CK2024100723416</v>
      </c>
      <c r="E9037" s="1" t="str">
        <f>"6917882406006783916"</f>
        <v>6917882406006783916</v>
      </c>
      <c r="F9037" s="1" t="str">
        <f t="shared" si="2527"/>
        <v>花都四部-凤凰仓</v>
      </c>
      <c r="G9037" s="1" t="str">
        <f t="shared" si="2523"/>
        <v>卡卡杜个人护理店（抖店）</v>
      </c>
      <c r="H9037" s="1" t="str">
        <f t="shared" si="2528"/>
        <v>正常订单</v>
      </c>
      <c r="I9037" s="1" t="str">
        <f t="shared" si="2529"/>
        <v>已发货</v>
      </c>
      <c r="J9037" s="1" t="str">
        <f t="shared" si="2532"/>
        <v>2</v>
      </c>
      <c r="K9037" s="1">
        <v>1</v>
      </c>
      <c r="L9037" s="1" t="s">
        <v>18</v>
      </c>
      <c r="M9037" s="1" t="str">
        <f>"广东省 佛山市 南海区 狮山镇"</f>
        <v>广东省 佛山市 南海区 狮山镇</v>
      </c>
      <c r="N9037" s="1" t="str">
        <f t="shared" si="2525"/>
        <v>凡华云仓-韵达-抖音</v>
      </c>
      <c r="O9037" s="5">
        <v>320159426872746</v>
      </c>
      <c r="P9037" s="6">
        <v>0.33</v>
      </c>
      <c r="Q9037" s="11">
        <v>2.2999999999999998</v>
      </c>
      <c r="R9037" s="11"/>
      <c r="S9037" s="11"/>
      <c r="T9037" s="11"/>
      <c r="U9037" s="11">
        <f t="shared" si="2531"/>
        <v>2.2999999999999998</v>
      </c>
      <c r="W9037">
        <v>2.5</v>
      </c>
      <c r="X9037" s="1" t="s">
        <v>18</v>
      </c>
    </row>
    <row r="9038" spans="1:24" x14ac:dyDescent="0.25">
      <c r="A9038" s="1" t="str">
        <f t="shared" si="2526"/>
        <v>卡卡杜-凤凰仓</v>
      </c>
      <c r="B9038" s="1" t="str">
        <f>"CK2024100775"</f>
        <v>CK2024100775</v>
      </c>
      <c r="C9038" s="1" t="str">
        <f>"DD202410079018"</f>
        <v>DD202410079018</v>
      </c>
      <c r="D9038" s="1" t="str">
        <f>"CK2024100723415"</f>
        <v>CK2024100723415</v>
      </c>
      <c r="E9038" s="1" t="str">
        <f>"6917875507474693430"</f>
        <v>6917875507474693430</v>
      </c>
      <c r="F9038" s="1" t="str">
        <f t="shared" si="2527"/>
        <v>花都四部-凤凰仓</v>
      </c>
      <c r="G9038" s="1" t="str">
        <f t="shared" si="2523"/>
        <v>卡卡杜个人护理店（抖店）</v>
      </c>
      <c r="H9038" s="1" t="str">
        <f t="shared" si="2528"/>
        <v>正常订单</v>
      </c>
      <c r="I9038" s="1" t="str">
        <f t="shared" si="2529"/>
        <v>已发货</v>
      </c>
      <c r="J9038" s="1" t="str">
        <f t="shared" si="2532"/>
        <v>2</v>
      </c>
      <c r="K9038" s="1">
        <v>1</v>
      </c>
      <c r="L9038" s="1" t="s">
        <v>32</v>
      </c>
      <c r="M9038" s="1" t="str">
        <f>"陕西省 延安市 洛川县 "</f>
        <v xml:space="preserve">陕西省 延安市 洛川县 </v>
      </c>
      <c r="N9038" s="1" t="str">
        <f t="shared" si="2525"/>
        <v>凡华云仓-韵达-抖音</v>
      </c>
      <c r="O9038" s="5">
        <v>320159426872645</v>
      </c>
      <c r="P9038" s="6">
        <v>0.33</v>
      </c>
      <c r="Q9038" s="11">
        <v>2.2999999999999998</v>
      </c>
      <c r="R9038" s="11"/>
      <c r="S9038" s="11"/>
      <c r="T9038" s="11"/>
      <c r="U9038" s="11">
        <f t="shared" si="2531"/>
        <v>2.2999999999999998</v>
      </c>
      <c r="W9038">
        <v>2.5</v>
      </c>
      <c r="X9038" s="1" t="s">
        <v>32</v>
      </c>
    </row>
    <row r="9039" spans="1:24" x14ac:dyDescent="0.25">
      <c r="A9039" s="1" t="str">
        <f t="shared" si="2526"/>
        <v>卡卡杜-凤凰仓</v>
      </c>
      <c r="B9039" s="1" t="str">
        <f>"CK2024100776"</f>
        <v>CK2024100776</v>
      </c>
      <c r="C9039" s="1" t="str">
        <f>"DD202410079019"</f>
        <v>DD202410079019</v>
      </c>
      <c r="D9039" s="1" t="str">
        <f>"CK2024100723414"</f>
        <v>CK2024100723414</v>
      </c>
      <c r="E9039" s="1" t="str">
        <f>"6917882262907420025"</f>
        <v>6917882262907420025</v>
      </c>
      <c r="F9039" s="1" t="str">
        <f t="shared" si="2527"/>
        <v>花都四部-凤凰仓</v>
      </c>
      <c r="G9039" s="1" t="str">
        <f t="shared" si="2523"/>
        <v>卡卡杜个人护理店（抖店）</v>
      </c>
      <c r="H9039" s="1" t="str">
        <f t="shared" si="2528"/>
        <v>正常订单</v>
      </c>
      <c r="I9039" s="1" t="str">
        <f t="shared" si="2529"/>
        <v>已发货</v>
      </c>
      <c r="J9039" s="1" t="str">
        <f t="shared" si="2532"/>
        <v>2</v>
      </c>
      <c r="K9039" s="1">
        <v>1</v>
      </c>
      <c r="L9039" s="1" t="s">
        <v>41</v>
      </c>
      <c r="M9039" s="1" t="str">
        <f>"湖北省 黄石市 下陆区 团城山街道"</f>
        <v>湖北省 黄石市 下陆区 团城山街道</v>
      </c>
      <c r="N9039" s="1" t="str">
        <f t="shared" si="2525"/>
        <v>凡华云仓-韵达-抖音</v>
      </c>
      <c r="O9039" s="5">
        <v>320159426872546</v>
      </c>
      <c r="P9039" s="6">
        <v>0.33</v>
      </c>
      <c r="Q9039" s="11">
        <v>2.2999999999999998</v>
      </c>
      <c r="R9039" s="11"/>
      <c r="S9039" s="11"/>
      <c r="T9039" s="11"/>
      <c r="U9039" s="11">
        <f t="shared" si="2531"/>
        <v>2.2999999999999998</v>
      </c>
      <c r="W9039">
        <v>2.5</v>
      </c>
      <c r="X9039" s="1" t="s">
        <v>41</v>
      </c>
    </row>
    <row r="9040" spans="1:24" x14ac:dyDescent="0.25">
      <c r="A9040" s="1" t="str">
        <f t="shared" si="2526"/>
        <v>卡卡杜-凤凰仓</v>
      </c>
      <c r="B9040" s="1" t="str">
        <f>"CK2024100745"</f>
        <v>CK2024100745</v>
      </c>
      <c r="C9040" s="1" t="str">
        <f>"DD202410078987"</f>
        <v>DD202410078987</v>
      </c>
      <c r="D9040" s="1" t="str">
        <f>"CK2024100723413"</f>
        <v>CK2024100723413</v>
      </c>
      <c r="E9040" s="1" t="str">
        <f>"6917872826098220384"</f>
        <v>6917872826098220384</v>
      </c>
      <c r="F9040" s="1" t="str">
        <f t="shared" si="2527"/>
        <v>花都四部-凤凰仓</v>
      </c>
      <c r="G9040" s="1" t="str">
        <f t="shared" si="2523"/>
        <v>卡卡杜个人护理店（抖店）</v>
      </c>
      <c r="H9040" s="1" t="str">
        <f t="shared" si="2528"/>
        <v>正常订单</v>
      </c>
      <c r="I9040" s="1" t="str">
        <f t="shared" si="2529"/>
        <v>已发货</v>
      </c>
      <c r="J9040" s="1" t="str">
        <f t="shared" si="2532"/>
        <v>2</v>
      </c>
      <c r="K9040" s="1">
        <v>1</v>
      </c>
      <c r="L9040" s="1" t="s">
        <v>92</v>
      </c>
      <c r="M9040" s="1" t="str">
        <f>"辽宁省 朝阳市 双塔区 "</f>
        <v xml:space="preserve">辽宁省 朝阳市 双塔区 </v>
      </c>
      <c r="N9040" s="1" t="str">
        <f t="shared" si="2525"/>
        <v>凡华云仓-韵达-抖音</v>
      </c>
      <c r="O9040" s="5">
        <v>320159426872449</v>
      </c>
      <c r="P9040" s="6">
        <v>0.33</v>
      </c>
      <c r="Q9040" s="11">
        <v>2.2999999999999998</v>
      </c>
      <c r="R9040" s="11"/>
      <c r="S9040" s="11"/>
      <c r="T9040" s="11"/>
      <c r="U9040" s="11">
        <f t="shared" si="2531"/>
        <v>2.2999999999999998</v>
      </c>
      <c r="W9040">
        <v>2.5</v>
      </c>
      <c r="X9040" s="1" t="s">
        <v>92</v>
      </c>
    </row>
    <row r="9041" spans="1:24" x14ac:dyDescent="0.25">
      <c r="A9041" s="1" t="str">
        <f t="shared" si="2526"/>
        <v>卡卡杜-凤凰仓</v>
      </c>
      <c r="B9041" s="1" t="str">
        <f>"CK2024100617956"</f>
        <v>CK2024100617956</v>
      </c>
      <c r="C9041" s="1" t="str">
        <f>"DD2024100652889"</f>
        <v>DD2024100652889</v>
      </c>
      <c r="D9041" s="1" t="str">
        <f>"CK2024100650030"</f>
        <v>CK2024100650030</v>
      </c>
      <c r="E9041" s="1" t="str">
        <f>"6917882287373516576"</f>
        <v>6917882287373516576</v>
      </c>
      <c r="F9041" s="1" t="str">
        <f t="shared" si="2527"/>
        <v>花都四部-凤凰仓</v>
      </c>
      <c r="G9041" s="1" t="str">
        <f t="shared" si="2523"/>
        <v>卡卡杜个人护理店（抖店）</v>
      </c>
      <c r="H9041" s="1" t="str">
        <f t="shared" si="2528"/>
        <v>正常订单</v>
      </c>
      <c r="I9041" s="1" t="str">
        <f t="shared" si="2529"/>
        <v>已发货</v>
      </c>
      <c r="J9041" s="1" t="str">
        <f t="shared" si="2532"/>
        <v>2</v>
      </c>
      <c r="K9041" s="1">
        <v>1</v>
      </c>
      <c r="L9041" s="1" t="s">
        <v>92</v>
      </c>
      <c r="M9041" s="1" t="str">
        <f>"辽宁省 大连市 旅顺口区 三涧堡街道"</f>
        <v>辽宁省 大连市 旅顺口区 三涧堡街道</v>
      </c>
      <c r="N9041" s="1" t="str">
        <f t="shared" si="2525"/>
        <v>凡华云仓-韵达-抖音</v>
      </c>
      <c r="O9041" s="5">
        <v>320158549127180</v>
      </c>
      <c r="P9041" s="6">
        <v>0.33</v>
      </c>
      <c r="Q9041" s="11">
        <v>2.2999999999999998</v>
      </c>
      <c r="R9041" s="11"/>
      <c r="S9041" s="11"/>
      <c r="T9041" s="11"/>
      <c r="U9041" s="11">
        <f t="shared" si="2531"/>
        <v>2.2999999999999998</v>
      </c>
      <c r="W9041">
        <v>2.5</v>
      </c>
      <c r="X9041" s="1" t="s">
        <v>92</v>
      </c>
    </row>
    <row r="9042" spans="1:24" x14ac:dyDescent="0.25">
      <c r="A9042" s="1" t="str">
        <f t="shared" si="2526"/>
        <v>卡卡杜-凤凰仓</v>
      </c>
      <c r="B9042" s="1" t="str">
        <f>"CK2024100617957"</f>
        <v>CK2024100617957</v>
      </c>
      <c r="C9042" s="1" t="str">
        <f>"DD2024100652888"</f>
        <v>DD2024100652888</v>
      </c>
      <c r="D9042" s="1" t="str">
        <f>"CK2024100650029"</f>
        <v>CK2024100650029</v>
      </c>
      <c r="E9042" s="1" t="str">
        <f>"6917882037757247454"</f>
        <v>6917882037757247454</v>
      </c>
      <c r="F9042" s="1" t="str">
        <f t="shared" si="2527"/>
        <v>花都四部-凤凰仓</v>
      </c>
      <c r="G9042" s="1" t="str">
        <f t="shared" si="2523"/>
        <v>卡卡杜个人护理店（抖店）</v>
      </c>
      <c r="H9042" s="1" t="str">
        <f t="shared" si="2528"/>
        <v>正常订单</v>
      </c>
      <c r="I9042" s="1" t="str">
        <f t="shared" si="2529"/>
        <v>已发货</v>
      </c>
      <c r="J9042" s="1" t="str">
        <f t="shared" si="2532"/>
        <v>2</v>
      </c>
      <c r="K9042" s="1">
        <v>1</v>
      </c>
      <c r="L9042" s="1" t="s">
        <v>20</v>
      </c>
      <c r="M9042" s="1" t="str">
        <f>"浙江省 杭州市 桐庐县 分水镇"</f>
        <v>浙江省 杭州市 桐庐县 分水镇</v>
      </c>
      <c r="N9042" s="1" t="str">
        <f t="shared" si="2525"/>
        <v>凡华云仓-韵达-抖音</v>
      </c>
      <c r="O9042" s="5">
        <v>320158549127091</v>
      </c>
      <c r="P9042" s="6">
        <v>0.33</v>
      </c>
      <c r="Q9042" s="11">
        <v>2.2999999999999998</v>
      </c>
      <c r="R9042" s="11"/>
      <c r="S9042" s="11"/>
      <c r="T9042" s="11"/>
      <c r="U9042" s="11">
        <f t="shared" si="2531"/>
        <v>2.2999999999999998</v>
      </c>
      <c r="W9042">
        <v>2.5</v>
      </c>
      <c r="X9042" s="1" t="s">
        <v>20</v>
      </c>
    </row>
    <row r="9043" spans="1:24" x14ac:dyDescent="0.25">
      <c r="A9043" s="1" t="str">
        <f t="shared" si="2526"/>
        <v>卡卡杜-凤凰仓</v>
      </c>
      <c r="B9043" s="1" t="str">
        <f>"CK2024100617958"</f>
        <v>CK2024100617958</v>
      </c>
      <c r="C9043" s="1" t="str">
        <f>"DD2024100652891"</f>
        <v>DD2024100652891</v>
      </c>
      <c r="D9043" s="1" t="str">
        <f>"CK2024100650028"</f>
        <v>CK2024100650028</v>
      </c>
      <c r="E9043" s="1" t="str">
        <f>"6917877597943135472"</f>
        <v>6917877597943135472</v>
      </c>
      <c r="F9043" s="1" t="str">
        <f t="shared" si="2527"/>
        <v>花都四部-凤凰仓</v>
      </c>
      <c r="G9043" s="1" t="str">
        <f t="shared" si="2523"/>
        <v>卡卡杜个人护理店（抖店）</v>
      </c>
      <c r="H9043" s="1" t="str">
        <f t="shared" si="2528"/>
        <v>正常订单</v>
      </c>
      <c r="I9043" s="1" t="str">
        <f t="shared" si="2529"/>
        <v>已发货</v>
      </c>
      <c r="J9043" s="1" t="str">
        <f t="shared" si="2532"/>
        <v>2</v>
      </c>
      <c r="K9043" s="1">
        <v>2</v>
      </c>
      <c r="L9043" s="1" t="s">
        <v>18</v>
      </c>
      <c r="M9043" s="1" t="str">
        <f>"广东省 河源市 源城区 源南镇"</f>
        <v>广东省 河源市 源城区 源南镇</v>
      </c>
      <c r="N9043" s="1" t="str">
        <f t="shared" si="2525"/>
        <v>凡华云仓-韵达-抖音</v>
      </c>
      <c r="O9043" s="5">
        <v>320158549126963</v>
      </c>
      <c r="P9043" s="6">
        <v>0.28000000000000003</v>
      </c>
      <c r="Q9043" s="11">
        <v>2</v>
      </c>
      <c r="R9043" s="11"/>
      <c r="S9043" s="11"/>
      <c r="T9043" s="11"/>
      <c r="U9043" s="11">
        <f t="shared" si="2531"/>
        <v>2</v>
      </c>
      <c r="W9043">
        <v>2.2000000000000002</v>
      </c>
      <c r="X9043" s="1" t="s">
        <v>18</v>
      </c>
    </row>
    <row r="9044" spans="1:24" x14ac:dyDescent="0.25">
      <c r="A9044" s="1" t="str">
        <f t="shared" si="2526"/>
        <v>卡卡杜-凤凰仓</v>
      </c>
      <c r="B9044" s="1" t="str">
        <f>"CK2024100617959"</f>
        <v>CK2024100617959</v>
      </c>
      <c r="C9044" s="1" t="str">
        <f>"DD2024100652890"</f>
        <v>DD2024100652890</v>
      </c>
      <c r="D9044" s="1" t="str">
        <f>"CK2024100650027"</f>
        <v>CK2024100650027</v>
      </c>
      <c r="E9044" s="1" t="str">
        <f>"6917879750672350525"</f>
        <v>6917879750672350525</v>
      </c>
      <c r="F9044" s="1" t="str">
        <f t="shared" si="2527"/>
        <v>花都四部-凤凰仓</v>
      </c>
      <c r="G9044" s="1" t="str">
        <f t="shared" si="2523"/>
        <v>卡卡杜个人护理店（抖店）</v>
      </c>
      <c r="H9044" s="1" t="str">
        <f t="shared" si="2528"/>
        <v>正常订单</v>
      </c>
      <c r="I9044" s="1" t="str">
        <f t="shared" si="2529"/>
        <v>已发货</v>
      </c>
      <c r="J9044" s="1" t="str">
        <f t="shared" si="2532"/>
        <v>2</v>
      </c>
      <c r="K9044" s="1">
        <v>1</v>
      </c>
      <c r="L9044" s="1" t="s">
        <v>24</v>
      </c>
      <c r="M9044" s="1" t="str">
        <f>"福建省 宁德市 屏南县 古峰镇"</f>
        <v>福建省 宁德市 屏南县 古峰镇</v>
      </c>
      <c r="N9044" s="1" t="str">
        <f t="shared" si="2525"/>
        <v>凡华云仓-韵达-抖音</v>
      </c>
      <c r="O9044" s="5">
        <v>320158549126858</v>
      </c>
      <c r="P9044" s="6">
        <v>0.33</v>
      </c>
      <c r="Q9044" s="11">
        <v>2.2999999999999998</v>
      </c>
      <c r="R9044" s="11"/>
      <c r="S9044" s="11"/>
      <c r="T9044" s="11"/>
      <c r="U9044" s="11">
        <f t="shared" si="2531"/>
        <v>2.2999999999999998</v>
      </c>
      <c r="W9044">
        <v>2.5</v>
      </c>
      <c r="X9044" s="1" t="s">
        <v>24</v>
      </c>
    </row>
    <row r="9045" spans="1:24" x14ac:dyDescent="0.25">
      <c r="A9045" s="1" t="str">
        <f t="shared" si="2526"/>
        <v>卡卡杜-凤凰仓</v>
      </c>
      <c r="B9045" s="1" t="str">
        <f>"CK2024100617960"</f>
        <v>CK2024100617960</v>
      </c>
      <c r="C9045" s="1" t="str">
        <f>"DD2024100652887"</f>
        <v>DD2024100652887</v>
      </c>
      <c r="D9045" s="1" t="str">
        <f>"CK2024100650026"</f>
        <v>CK2024100650026</v>
      </c>
      <c r="E9045" s="1" t="str">
        <f>"6917881898986143354"</f>
        <v>6917881898986143354</v>
      </c>
      <c r="F9045" s="1" t="str">
        <f t="shared" si="2527"/>
        <v>花都四部-凤凰仓</v>
      </c>
      <c r="G9045" s="1" t="str">
        <f t="shared" si="2523"/>
        <v>卡卡杜个人护理店（抖店）</v>
      </c>
      <c r="H9045" s="1" t="str">
        <f t="shared" si="2528"/>
        <v>正常订单</v>
      </c>
      <c r="I9045" s="1" t="str">
        <f t="shared" si="2529"/>
        <v>已发货</v>
      </c>
      <c r="J9045" s="1" t="str">
        <f t="shared" si="2532"/>
        <v>2</v>
      </c>
      <c r="K9045" s="1">
        <v>1</v>
      </c>
      <c r="L9045" s="1" t="s">
        <v>30</v>
      </c>
      <c r="M9045" s="1" t="str">
        <f>"山东省 济南市 章丘区 明水街道"</f>
        <v>山东省 济南市 章丘区 明水街道</v>
      </c>
      <c r="N9045" s="1" t="str">
        <f t="shared" si="2525"/>
        <v>凡华云仓-韵达-抖音</v>
      </c>
      <c r="O9045" s="5">
        <v>320158549126755</v>
      </c>
      <c r="P9045" s="6">
        <v>0.33</v>
      </c>
      <c r="Q9045" s="11">
        <v>2.2999999999999998</v>
      </c>
      <c r="R9045" s="11"/>
      <c r="S9045" s="11"/>
      <c r="T9045" s="11"/>
      <c r="U9045" s="11">
        <f t="shared" si="2531"/>
        <v>2.2999999999999998</v>
      </c>
      <c r="W9045">
        <v>2.5</v>
      </c>
      <c r="X9045" s="1" t="s">
        <v>30</v>
      </c>
    </row>
    <row r="9046" spans="1:24" x14ac:dyDescent="0.25">
      <c r="A9046" s="1" t="str">
        <f t="shared" si="2526"/>
        <v>卡卡杜-凤凰仓</v>
      </c>
      <c r="B9046" s="1" t="str">
        <f>"CK2024100614378"</f>
        <v>CK2024100614378</v>
      </c>
      <c r="C9046" s="1" t="str">
        <f>"DD2024100648061"</f>
        <v>DD2024100648061</v>
      </c>
      <c r="D9046" s="1" t="str">
        <f>"CK2024100647526"</f>
        <v>CK2024100647526</v>
      </c>
      <c r="E9046" s="1" t="str">
        <f>"3723124331175350272"</f>
        <v>3723124331175350272</v>
      </c>
      <c r="F9046" s="1" t="str">
        <f t="shared" si="2527"/>
        <v>花都四部-凤凰仓</v>
      </c>
      <c r="G9046" s="1" t="str">
        <f t="shared" ref="G9046:G9048" si="2533">"卡卡杜企业店（视频号）"</f>
        <v>卡卡杜企业店（视频号）</v>
      </c>
      <c r="H9046" s="1" t="str">
        <f t="shared" si="2528"/>
        <v>正常订单</v>
      </c>
      <c r="I9046" s="1" t="str">
        <f t="shared" si="2529"/>
        <v>已发货</v>
      </c>
      <c r="J9046" s="1" t="str">
        <f>"4"</f>
        <v>4</v>
      </c>
      <c r="K9046" s="1">
        <v>2</v>
      </c>
      <c r="L9046" s="1" t="s">
        <v>218</v>
      </c>
      <c r="M9046" s="1" t="str">
        <f>"天津 天津市 西青区 "</f>
        <v xml:space="preserve">天津 天津市 西青区 </v>
      </c>
      <c r="N9046" s="1" t="str">
        <f t="shared" ref="N9046:N9048" si="2534">"凡华云仓-韵达-微信视频号"</f>
        <v>凡华云仓-韵达-微信视频号</v>
      </c>
      <c r="O9046" s="5">
        <v>315012122853592</v>
      </c>
      <c r="P9046" s="6">
        <v>0.52</v>
      </c>
      <c r="Q9046" s="11">
        <f>CEILING(P9046-0.5,0.1)*10*0.15+2.3</f>
        <v>2.4499999999999997</v>
      </c>
      <c r="R9046" s="11"/>
      <c r="S9046" s="11"/>
      <c r="T9046" s="11"/>
      <c r="U9046" s="11">
        <f t="shared" si="2531"/>
        <v>2.4499999999999997</v>
      </c>
      <c r="V9046" t="s">
        <v>15</v>
      </c>
      <c r="W9046">
        <v>2.4500000000000002</v>
      </c>
      <c r="X9046" s="1" t="s">
        <v>218</v>
      </c>
    </row>
    <row r="9047" spans="1:24" x14ac:dyDescent="0.25">
      <c r="A9047" s="1" t="str">
        <f t="shared" si="2526"/>
        <v>卡卡杜-凤凰仓</v>
      </c>
      <c r="B9047" s="1" t="str">
        <f>"CK2024100614383"</f>
        <v>CK2024100614383</v>
      </c>
      <c r="C9047" s="1" t="str">
        <f>"DD2024100648064"</f>
        <v>DD2024100648064</v>
      </c>
      <c r="D9047" s="1" t="str">
        <f>"CK2024100647525"</f>
        <v>CK2024100647525</v>
      </c>
      <c r="E9047" s="1" t="str">
        <f>"3723123949628949760"</f>
        <v>3723123949628949760</v>
      </c>
      <c r="F9047" s="1" t="str">
        <f t="shared" si="2527"/>
        <v>花都四部-凤凰仓</v>
      </c>
      <c r="G9047" s="1" t="str">
        <f t="shared" si="2533"/>
        <v>卡卡杜企业店（视频号）</v>
      </c>
      <c r="H9047" s="1" t="str">
        <f t="shared" si="2528"/>
        <v>正常订单</v>
      </c>
      <c r="I9047" s="1" t="str">
        <f t="shared" si="2529"/>
        <v>已发货</v>
      </c>
      <c r="J9047" s="1" t="str">
        <f>"2"</f>
        <v>2</v>
      </c>
      <c r="K9047" s="1">
        <v>2</v>
      </c>
      <c r="L9047" s="1" t="s">
        <v>74</v>
      </c>
      <c r="M9047" s="1" t="str">
        <f>"上海 上海市 浦东新区 "</f>
        <v xml:space="preserve">上海 上海市 浦东新区 </v>
      </c>
      <c r="N9047" s="1" t="str">
        <f t="shared" si="2534"/>
        <v>凡华云仓-韵达-微信视频号</v>
      </c>
      <c r="O9047" s="5">
        <v>315012122852123</v>
      </c>
      <c r="P9047" s="6">
        <v>0.28000000000000003</v>
      </c>
      <c r="Q9047" s="11">
        <v>2</v>
      </c>
      <c r="R9047" s="11"/>
      <c r="S9047" s="11"/>
      <c r="T9047" s="11"/>
      <c r="U9047" s="11">
        <f t="shared" si="2531"/>
        <v>2</v>
      </c>
      <c r="W9047">
        <v>2.2000000000000002</v>
      </c>
      <c r="X9047" s="1" t="s">
        <v>74</v>
      </c>
    </row>
    <row r="9048" spans="1:24" x14ac:dyDescent="0.25">
      <c r="A9048" s="1" t="str">
        <f t="shared" si="2526"/>
        <v>卡卡杜-凤凰仓</v>
      </c>
      <c r="B9048" s="1" t="str">
        <f>"CK2024100614374"</f>
        <v>CK2024100614374</v>
      </c>
      <c r="C9048" s="1" t="str">
        <f>"DD2024100648055"</f>
        <v>DD2024100648055</v>
      </c>
      <c r="D9048" s="1" t="str">
        <f>"CK2024100647524"</f>
        <v>CK2024100647524</v>
      </c>
      <c r="E9048" s="1" t="str">
        <f>"3723124765728050176"</f>
        <v>3723124765728050176</v>
      </c>
      <c r="F9048" s="1" t="str">
        <f t="shared" si="2527"/>
        <v>花都四部-凤凰仓</v>
      </c>
      <c r="G9048" s="1" t="str">
        <f t="shared" si="2533"/>
        <v>卡卡杜企业店（视频号）</v>
      </c>
      <c r="H9048" s="1" t="str">
        <f t="shared" si="2528"/>
        <v>正常订单</v>
      </c>
      <c r="I9048" s="1" t="str">
        <f t="shared" si="2529"/>
        <v>已发货</v>
      </c>
      <c r="J9048" s="1" t="str">
        <f>"2"</f>
        <v>2</v>
      </c>
      <c r="K9048" s="1">
        <v>2</v>
      </c>
      <c r="L9048" s="1" t="s">
        <v>24</v>
      </c>
      <c r="M9048" s="1" t="str">
        <f>"福建省 莆田市 城厢区 "</f>
        <v xml:space="preserve">福建省 莆田市 城厢区 </v>
      </c>
      <c r="N9048" s="1" t="str">
        <f t="shared" si="2534"/>
        <v>凡华云仓-韵达-微信视频号</v>
      </c>
      <c r="O9048" s="5">
        <v>315012122850327</v>
      </c>
      <c r="P9048" s="6">
        <v>0.28000000000000003</v>
      </c>
      <c r="Q9048" s="11">
        <v>2</v>
      </c>
      <c r="R9048" s="11"/>
      <c r="S9048" s="11"/>
      <c r="T9048" s="11"/>
      <c r="U9048" s="11">
        <f t="shared" si="2531"/>
        <v>2</v>
      </c>
      <c r="W9048">
        <v>2.2000000000000002</v>
      </c>
      <c r="X9048" s="1" t="s">
        <v>24</v>
      </c>
    </row>
    <row r="9049" spans="1:24" x14ac:dyDescent="0.25">
      <c r="A9049" s="1" t="str">
        <f t="shared" si="2526"/>
        <v>卡卡杜-凤凰仓</v>
      </c>
      <c r="B9049" s="1" t="str">
        <f>"CK2024100614375"</f>
        <v>CK2024100614375</v>
      </c>
      <c r="C9049" s="1" t="str">
        <f>"DD2024100648057"</f>
        <v>DD2024100648057</v>
      </c>
      <c r="D9049" s="1" t="str">
        <f>"CK2024100647377"</f>
        <v>CK2024100647377</v>
      </c>
      <c r="E9049" s="1" t="str">
        <f>"6917879855854877765"</f>
        <v>6917879855854877765</v>
      </c>
      <c r="F9049" s="1" t="str">
        <f t="shared" si="2527"/>
        <v>花都四部-凤凰仓</v>
      </c>
      <c r="G9049" s="1" t="str">
        <f t="shared" ref="G9049:G9059" si="2535">"卡卡杜个人护理店（抖店）"</f>
        <v>卡卡杜个人护理店（抖店）</v>
      </c>
      <c r="H9049" s="1" t="str">
        <f t="shared" si="2528"/>
        <v>正常订单</v>
      </c>
      <c r="I9049" s="1" t="str">
        <f t="shared" si="2529"/>
        <v>已发货</v>
      </c>
      <c r="J9049" s="1" t="str">
        <f>"2"</f>
        <v>2</v>
      </c>
      <c r="K9049" s="1">
        <v>1</v>
      </c>
      <c r="L9049" s="1" t="s">
        <v>20</v>
      </c>
      <c r="M9049" s="1" t="str">
        <f>"浙江省 宁波市 慈溪市 浒山街道"</f>
        <v>浙江省 宁波市 慈溪市 浒山街道</v>
      </c>
      <c r="N9049" s="1" t="str">
        <f t="shared" ref="N9049:N9059" si="2536">"凡华云仓-韵达-抖音"</f>
        <v>凡华云仓-韵达-抖音</v>
      </c>
      <c r="O9049" s="5">
        <v>320158528400305</v>
      </c>
      <c r="P9049" s="6">
        <v>0.33</v>
      </c>
      <c r="Q9049" s="11">
        <v>2.2999999999999998</v>
      </c>
      <c r="R9049" s="11"/>
      <c r="S9049" s="11"/>
      <c r="T9049" s="11"/>
      <c r="U9049" s="11">
        <f t="shared" si="2531"/>
        <v>2.2999999999999998</v>
      </c>
      <c r="W9049">
        <v>2.5</v>
      </c>
      <c r="X9049" s="1" t="s">
        <v>20</v>
      </c>
    </row>
    <row r="9050" spans="1:24" x14ac:dyDescent="0.25">
      <c r="A9050" s="1" t="str">
        <f t="shared" si="2526"/>
        <v>卡卡杜-凤凰仓</v>
      </c>
      <c r="B9050" s="1" t="str">
        <f>"CK2024100614372"</f>
        <v>CK2024100614372</v>
      </c>
      <c r="C9050" s="1" t="str">
        <f>"DD2024100648058"</f>
        <v>DD2024100648058</v>
      </c>
      <c r="D9050" s="1" t="str">
        <f>"CK2024100647376"</f>
        <v>CK2024100647376</v>
      </c>
      <c r="E9050" s="1" t="str">
        <f>"6917875278585167374"</f>
        <v>6917875278585167374</v>
      </c>
      <c r="F9050" s="1" t="str">
        <f t="shared" si="2527"/>
        <v>花都四部-凤凰仓</v>
      </c>
      <c r="G9050" s="1" t="str">
        <f t="shared" si="2535"/>
        <v>卡卡杜个人护理店（抖店）</v>
      </c>
      <c r="H9050" s="1" t="str">
        <f t="shared" si="2528"/>
        <v>正常订单</v>
      </c>
      <c r="I9050" s="1" t="str">
        <f t="shared" si="2529"/>
        <v>已发货</v>
      </c>
      <c r="J9050" s="1" t="str">
        <f>"4"</f>
        <v>4</v>
      </c>
      <c r="K9050" s="1">
        <v>2</v>
      </c>
      <c r="L9050" s="1" t="s">
        <v>13</v>
      </c>
      <c r="M9050" s="1" t="str">
        <f>"江苏省 南京市 玄武区 新街口街道"</f>
        <v>江苏省 南京市 玄武区 新街口街道</v>
      </c>
      <c r="N9050" s="1" t="str">
        <f t="shared" si="2536"/>
        <v>凡华云仓-韵达-抖音</v>
      </c>
      <c r="O9050" s="5">
        <v>320158520660492</v>
      </c>
      <c r="P9050" s="6">
        <v>0.52</v>
      </c>
      <c r="Q9050" s="11">
        <f>CEILING(P9050-0.5,0.1)*10*0.15+2.3</f>
        <v>2.4499999999999997</v>
      </c>
      <c r="R9050" s="11"/>
      <c r="S9050" s="11"/>
      <c r="T9050" s="11"/>
      <c r="U9050" s="11">
        <f t="shared" si="2531"/>
        <v>2.4499999999999997</v>
      </c>
      <c r="V9050" t="s">
        <v>15</v>
      </c>
      <c r="W9050">
        <v>2.4500000000000002</v>
      </c>
      <c r="X9050" s="1" t="s">
        <v>13</v>
      </c>
    </row>
    <row r="9051" spans="1:24" x14ac:dyDescent="0.25">
      <c r="A9051" s="1" t="str">
        <f t="shared" si="2526"/>
        <v>卡卡杜-凤凰仓</v>
      </c>
      <c r="B9051" s="1" t="str">
        <f>"CK2024100614382"</f>
        <v>CK2024100614382</v>
      </c>
      <c r="C9051" s="1" t="str">
        <f>"DD2024100648063"</f>
        <v>DD2024100648063</v>
      </c>
      <c r="D9051" s="1" t="str">
        <f>"CK2024100647375"</f>
        <v>CK2024100647375</v>
      </c>
      <c r="E9051" s="1" t="str">
        <f>"6917874848152256184"</f>
        <v>6917874848152256184</v>
      </c>
      <c r="F9051" s="1" t="str">
        <f t="shared" si="2527"/>
        <v>花都四部-凤凰仓</v>
      </c>
      <c r="G9051" s="1" t="str">
        <f t="shared" si="2535"/>
        <v>卡卡杜个人护理店（抖店）</v>
      </c>
      <c r="H9051" s="1" t="str">
        <f t="shared" si="2528"/>
        <v>正常订单</v>
      </c>
      <c r="I9051" s="1" t="str">
        <f t="shared" si="2529"/>
        <v>已发货</v>
      </c>
      <c r="J9051" s="1" t="str">
        <f t="shared" ref="J9051:J9054" si="2537">"2"</f>
        <v>2</v>
      </c>
      <c r="K9051" s="1">
        <v>1</v>
      </c>
      <c r="L9051" s="1" t="s">
        <v>30</v>
      </c>
      <c r="M9051" s="1" t="str">
        <f>"山东省 德州市 临邑县 理合务镇"</f>
        <v>山东省 德州市 临邑县 理合务镇</v>
      </c>
      <c r="N9051" s="1" t="str">
        <f t="shared" si="2536"/>
        <v>凡华云仓-韵达-抖音</v>
      </c>
      <c r="O9051" s="5">
        <v>320158520660397</v>
      </c>
      <c r="P9051" s="6">
        <v>0.33</v>
      </c>
      <c r="Q9051" s="11">
        <v>2.2999999999999998</v>
      </c>
      <c r="R9051" s="11"/>
      <c r="S9051" s="11"/>
      <c r="T9051" s="11"/>
      <c r="U9051" s="11">
        <f t="shared" si="2531"/>
        <v>2.2999999999999998</v>
      </c>
      <c r="W9051">
        <v>2.5</v>
      </c>
      <c r="X9051" s="1" t="s">
        <v>30</v>
      </c>
    </row>
    <row r="9052" spans="1:24" x14ac:dyDescent="0.25">
      <c r="A9052" s="1" t="str">
        <f t="shared" si="2526"/>
        <v>卡卡杜-凤凰仓</v>
      </c>
      <c r="B9052" s="1" t="str">
        <f>"CK2024100614381"</f>
        <v>CK2024100614381</v>
      </c>
      <c r="C9052" s="1" t="str">
        <f>"DD2024100648062"</f>
        <v>DD2024100648062</v>
      </c>
      <c r="D9052" s="1" t="str">
        <f>"CK2024100647374"</f>
        <v>CK2024100647374</v>
      </c>
      <c r="E9052" s="1" t="str">
        <f>"6917881339633761487"</f>
        <v>6917881339633761487</v>
      </c>
      <c r="F9052" s="1" t="str">
        <f t="shared" si="2527"/>
        <v>花都四部-凤凰仓</v>
      </c>
      <c r="G9052" s="1" t="str">
        <f t="shared" si="2535"/>
        <v>卡卡杜个人护理店（抖店）</v>
      </c>
      <c r="H9052" s="1" t="str">
        <f t="shared" si="2528"/>
        <v>正常订单</v>
      </c>
      <c r="I9052" s="1" t="str">
        <f t="shared" si="2529"/>
        <v>已发货</v>
      </c>
      <c r="J9052" s="1" t="str">
        <f t="shared" si="2537"/>
        <v>2</v>
      </c>
      <c r="K9052" s="1">
        <v>1</v>
      </c>
      <c r="L9052" s="1" t="s">
        <v>20</v>
      </c>
      <c r="M9052" s="1" t="str">
        <f>"浙江省 杭州市 余杭区 仁和街道"</f>
        <v>浙江省 杭州市 余杭区 仁和街道</v>
      </c>
      <c r="N9052" s="1" t="str">
        <f t="shared" si="2536"/>
        <v>凡华云仓-韵达-抖音</v>
      </c>
      <c r="O9052" s="5">
        <v>320158520660204</v>
      </c>
      <c r="P9052" s="6">
        <v>0.33</v>
      </c>
      <c r="Q9052" s="11">
        <v>2.2999999999999998</v>
      </c>
      <c r="R9052" s="11"/>
      <c r="S9052" s="11"/>
      <c r="T9052" s="11"/>
      <c r="U9052" s="11">
        <f t="shared" si="2531"/>
        <v>2.2999999999999998</v>
      </c>
      <c r="W9052">
        <v>2.5</v>
      </c>
      <c r="X9052" s="1" t="s">
        <v>20</v>
      </c>
    </row>
    <row r="9053" spans="1:24" x14ac:dyDescent="0.25">
      <c r="A9053" s="1" t="str">
        <f t="shared" si="2526"/>
        <v>卡卡杜-凤凰仓</v>
      </c>
      <c r="B9053" s="1" t="str">
        <f>"CK2024100614373"</f>
        <v>CK2024100614373</v>
      </c>
      <c r="C9053" s="1" t="str">
        <f>"DD2024100648053"</f>
        <v>DD2024100648053</v>
      </c>
      <c r="D9053" s="1" t="str">
        <f>"CK2024100647373"</f>
        <v>CK2024100647373</v>
      </c>
      <c r="E9053" s="1" t="str">
        <f>"6917872817558486137"</f>
        <v>6917872817558486137</v>
      </c>
      <c r="F9053" s="1" t="str">
        <f t="shared" si="2527"/>
        <v>花都四部-凤凰仓</v>
      </c>
      <c r="G9053" s="1" t="str">
        <f t="shared" si="2535"/>
        <v>卡卡杜个人护理店（抖店）</v>
      </c>
      <c r="H9053" s="1" t="str">
        <f t="shared" si="2528"/>
        <v>正常订单</v>
      </c>
      <c r="I9053" s="1" t="str">
        <f t="shared" si="2529"/>
        <v>已发货</v>
      </c>
      <c r="J9053" s="1" t="str">
        <f t="shared" si="2537"/>
        <v>2</v>
      </c>
      <c r="K9053" s="1">
        <v>1</v>
      </c>
      <c r="L9053" s="1" t="s">
        <v>20</v>
      </c>
      <c r="M9053" s="1" t="str">
        <f>"浙江省 金华市 义乌市 福田街道"</f>
        <v>浙江省 金华市 义乌市 福田街道</v>
      </c>
      <c r="N9053" s="1" t="str">
        <f t="shared" si="2536"/>
        <v>凡华云仓-韵达-抖音</v>
      </c>
      <c r="O9053" s="5">
        <v>320158520660113</v>
      </c>
      <c r="P9053" s="6">
        <v>0.33</v>
      </c>
      <c r="Q9053" s="11">
        <v>2.2999999999999998</v>
      </c>
      <c r="R9053" s="11"/>
      <c r="S9053" s="11"/>
      <c r="T9053" s="11"/>
      <c r="U9053" s="11">
        <f t="shared" si="2531"/>
        <v>2.2999999999999998</v>
      </c>
      <c r="W9053">
        <v>2.5</v>
      </c>
      <c r="X9053" s="1" t="s">
        <v>20</v>
      </c>
    </row>
    <row r="9054" spans="1:24" x14ac:dyDescent="0.25">
      <c r="A9054" s="1" t="str">
        <f t="shared" si="2526"/>
        <v>卡卡杜-凤凰仓</v>
      </c>
      <c r="B9054" s="1" t="str">
        <f>"CK2024100614380"</f>
        <v>CK2024100614380</v>
      </c>
      <c r="C9054" s="1" t="str">
        <f>"DD2024100648060"</f>
        <v>DD2024100648060</v>
      </c>
      <c r="D9054" s="1" t="str">
        <f>"CK2024100647372"</f>
        <v>CK2024100647372</v>
      </c>
      <c r="E9054" s="1" t="str">
        <f>"6917875107565436459"</f>
        <v>6917875107565436459</v>
      </c>
      <c r="F9054" s="1" t="str">
        <f t="shared" si="2527"/>
        <v>花都四部-凤凰仓</v>
      </c>
      <c r="G9054" s="1" t="str">
        <f t="shared" si="2535"/>
        <v>卡卡杜个人护理店（抖店）</v>
      </c>
      <c r="H9054" s="1" t="str">
        <f t="shared" si="2528"/>
        <v>正常订单</v>
      </c>
      <c r="I9054" s="1" t="str">
        <f t="shared" si="2529"/>
        <v>已发货</v>
      </c>
      <c r="J9054" s="1" t="str">
        <f t="shared" si="2537"/>
        <v>2</v>
      </c>
      <c r="K9054" s="1">
        <v>1</v>
      </c>
      <c r="L9054" s="1" t="s">
        <v>30</v>
      </c>
      <c r="M9054" s="1" t="str">
        <f>"山东省 烟台市 蓬莱区 村里集镇"</f>
        <v>山东省 烟台市 蓬莱区 村里集镇</v>
      </c>
      <c r="N9054" s="1" t="str">
        <f t="shared" si="2536"/>
        <v>凡华云仓-韵达-抖音</v>
      </c>
      <c r="O9054" s="5">
        <v>320158520660024</v>
      </c>
      <c r="P9054" s="6">
        <v>0.33</v>
      </c>
      <c r="Q9054" s="11">
        <v>2.2999999999999998</v>
      </c>
      <c r="R9054" s="11"/>
      <c r="S9054" s="11"/>
      <c r="T9054" s="11"/>
      <c r="U9054" s="11">
        <f t="shared" si="2531"/>
        <v>2.2999999999999998</v>
      </c>
      <c r="W9054">
        <v>2.5</v>
      </c>
      <c r="X9054" s="1" t="s">
        <v>30</v>
      </c>
    </row>
    <row r="9055" spans="1:24" x14ac:dyDescent="0.25">
      <c r="A9055" s="1" t="str">
        <f t="shared" si="2526"/>
        <v>卡卡杜-凤凰仓</v>
      </c>
      <c r="B9055" s="1" t="str">
        <f>"CK2024101926418"</f>
        <v>CK2024101926418</v>
      </c>
      <c r="C9055" s="1" t="str">
        <f>"DD2024101961341"</f>
        <v>DD2024101961341</v>
      </c>
      <c r="D9055" s="1" t="str">
        <f>"CK2024101948730"</f>
        <v>CK2024101948730</v>
      </c>
      <c r="E9055" s="1" t="str">
        <f>"2429301744104691"</f>
        <v>2429301744104691</v>
      </c>
      <c r="F9055" s="1" t="str">
        <f t="shared" si="2527"/>
        <v>花都四部-凤凰仓</v>
      </c>
      <c r="G9055" s="1" t="str">
        <f>"卡卡杜佳旺专卖店（快手店）"</f>
        <v>卡卡杜佳旺专卖店（快手店）</v>
      </c>
      <c r="H9055" s="1" t="str">
        <f t="shared" si="2528"/>
        <v>正常订单</v>
      </c>
      <c r="I9055" s="1" t="str">
        <f t="shared" si="2529"/>
        <v>已发货</v>
      </c>
      <c r="J9055" s="1" t="str">
        <f>"4"</f>
        <v>4</v>
      </c>
      <c r="K9055" s="1">
        <v>1</v>
      </c>
      <c r="L9055" s="1" t="s">
        <v>1099</v>
      </c>
      <c r="M9055" s="1" t="str">
        <f>"重庆市 重庆市 合川区 合阳城街道"</f>
        <v>重庆市 重庆市 合川区 合阳城街道</v>
      </c>
      <c r="N9055" s="1" t="str">
        <f>"凡华云仓-城南圆通-快手"</f>
        <v>凡华云仓-城南圆通-快手</v>
      </c>
      <c r="O9055" s="5" t="s">
        <v>5675</v>
      </c>
      <c r="P9055" s="6">
        <v>0.57999999999999996</v>
      </c>
      <c r="Q9055" s="11">
        <f>CEILING(P9055-0.5,0.1)*10*0.15+2.3</f>
        <v>2.4499999999999997</v>
      </c>
      <c r="R9055" s="11"/>
      <c r="S9055" s="11"/>
      <c r="T9055" s="11"/>
      <c r="U9055" s="11">
        <f t="shared" si="2531"/>
        <v>2.4499999999999997</v>
      </c>
      <c r="V9055" t="s">
        <v>15</v>
      </c>
      <c r="W9055">
        <v>2.4500000000000002</v>
      </c>
      <c r="X9055" s="1" t="s">
        <v>1099</v>
      </c>
    </row>
    <row r="9056" spans="1:24" x14ac:dyDescent="0.25">
      <c r="A9056" s="1" t="str">
        <f t="shared" si="2526"/>
        <v>卡卡杜-凤凰仓</v>
      </c>
      <c r="B9056" s="1" t="str">
        <f>"CK2024100614377"</f>
        <v>CK2024100614377</v>
      </c>
      <c r="C9056" s="1" t="str">
        <f>"DD2024100648056"</f>
        <v>DD2024100648056</v>
      </c>
      <c r="D9056" s="1" t="str">
        <f>"CK2024100647370"</f>
        <v>CK2024100647370</v>
      </c>
      <c r="E9056" s="1" t="str">
        <f>"6917874781623778444"</f>
        <v>6917874781623778444</v>
      </c>
      <c r="F9056" s="1" t="str">
        <f t="shared" si="2527"/>
        <v>花都四部-凤凰仓</v>
      </c>
      <c r="G9056" s="1" t="str">
        <f t="shared" si="2535"/>
        <v>卡卡杜个人护理店（抖店）</v>
      </c>
      <c r="H9056" s="1" t="str">
        <f t="shared" si="2528"/>
        <v>正常订单</v>
      </c>
      <c r="I9056" s="1" t="str">
        <f t="shared" si="2529"/>
        <v>已发货</v>
      </c>
      <c r="J9056" s="1" t="str">
        <f t="shared" ref="J9056:J9059" si="2538">"2"</f>
        <v>2</v>
      </c>
      <c r="K9056" s="1">
        <v>1</v>
      </c>
      <c r="L9056" s="1" t="s">
        <v>94</v>
      </c>
      <c r="M9056" s="1" t="str">
        <f>"湖南省 长沙市 长沙县 星沙街道"</f>
        <v>湖南省 长沙市 长沙县 星沙街道</v>
      </c>
      <c r="N9056" s="1" t="str">
        <f t="shared" si="2536"/>
        <v>凡华云仓-韵达-抖音</v>
      </c>
      <c r="O9056" s="5">
        <v>320158520659866</v>
      </c>
      <c r="P9056" s="6">
        <v>0.33</v>
      </c>
      <c r="Q9056" s="11">
        <v>2.2999999999999998</v>
      </c>
      <c r="R9056" s="11"/>
      <c r="S9056" s="11"/>
      <c r="T9056" s="11"/>
      <c r="U9056" s="11">
        <f t="shared" si="2531"/>
        <v>2.2999999999999998</v>
      </c>
      <c r="W9056">
        <v>2.5</v>
      </c>
      <c r="X9056" s="1" t="s">
        <v>94</v>
      </c>
    </row>
    <row r="9057" spans="1:24" x14ac:dyDescent="0.25">
      <c r="A9057" s="1" t="str">
        <f t="shared" si="2526"/>
        <v>卡卡杜-凤凰仓</v>
      </c>
      <c r="B9057" s="1" t="str">
        <f>"CK2024100614376"</f>
        <v>CK2024100614376</v>
      </c>
      <c r="C9057" s="1" t="str">
        <f>"DD2024100648054"</f>
        <v>DD2024100648054</v>
      </c>
      <c r="D9057" s="1" t="str">
        <f>"CK2024100647369"</f>
        <v>CK2024100647369</v>
      </c>
      <c r="E9057" s="1" t="str">
        <f>"6917875252115897348"</f>
        <v>6917875252115897348</v>
      </c>
      <c r="F9057" s="1" t="str">
        <f t="shared" si="2527"/>
        <v>花都四部-凤凰仓</v>
      </c>
      <c r="G9057" s="1" t="str">
        <f t="shared" si="2535"/>
        <v>卡卡杜个人护理店（抖店）</v>
      </c>
      <c r="H9057" s="1" t="str">
        <f t="shared" si="2528"/>
        <v>正常订单</v>
      </c>
      <c r="I9057" s="1" t="str">
        <f t="shared" si="2529"/>
        <v>已发货</v>
      </c>
      <c r="J9057" s="1" t="str">
        <f t="shared" si="2538"/>
        <v>2</v>
      </c>
      <c r="K9057" s="1">
        <v>1</v>
      </c>
      <c r="L9057" s="1" t="s">
        <v>92</v>
      </c>
      <c r="M9057" s="1" t="str">
        <f>"辽宁省 铁岭市 开原市 开原街道"</f>
        <v>辽宁省 铁岭市 开原市 开原街道</v>
      </c>
      <c r="N9057" s="1" t="str">
        <f t="shared" si="2536"/>
        <v>凡华云仓-韵达-抖音</v>
      </c>
      <c r="O9057" s="5">
        <v>320158520659763</v>
      </c>
      <c r="P9057" s="6">
        <v>0.33</v>
      </c>
      <c r="Q9057" s="11">
        <v>2.2999999999999998</v>
      </c>
      <c r="R9057" s="11"/>
      <c r="S9057" s="11"/>
      <c r="T9057" s="11"/>
      <c r="U9057" s="11">
        <f t="shared" si="2531"/>
        <v>2.2999999999999998</v>
      </c>
      <c r="W9057">
        <v>2.5</v>
      </c>
      <c r="X9057" s="1" t="s">
        <v>92</v>
      </c>
    </row>
    <row r="9058" spans="1:24" x14ac:dyDescent="0.25">
      <c r="A9058" s="1" t="str">
        <f t="shared" si="2526"/>
        <v>卡卡杜-凤凰仓</v>
      </c>
      <c r="B9058" s="1" t="str">
        <f>"CK2024100614384"</f>
        <v>CK2024100614384</v>
      </c>
      <c r="C9058" s="1" t="str">
        <f>"DD2024100648066"</f>
        <v>DD2024100648066</v>
      </c>
      <c r="D9058" s="1" t="str">
        <f>"CK2024100647368"</f>
        <v>CK2024100647368</v>
      </c>
      <c r="E9058" s="1" t="str">
        <f>"6917872506902576882"</f>
        <v>6917872506902576882</v>
      </c>
      <c r="F9058" s="1" t="str">
        <f t="shared" si="2527"/>
        <v>花都四部-凤凰仓</v>
      </c>
      <c r="G9058" s="1" t="str">
        <f t="shared" si="2535"/>
        <v>卡卡杜个人护理店（抖店）</v>
      </c>
      <c r="H9058" s="1" t="str">
        <f t="shared" si="2528"/>
        <v>正常订单</v>
      </c>
      <c r="I9058" s="1" t="str">
        <f t="shared" si="2529"/>
        <v>已发货</v>
      </c>
      <c r="J9058" s="1" t="str">
        <f t="shared" si="2538"/>
        <v>2</v>
      </c>
      <c r="K9058" s="1">
        <v>1</v>
      </c>
      <c r="L9058" s="1" t="s">
        <v>96</v>
      </c>
      <c r="M9058" s="1" t="str">
        <f>"广西壮族自治区 玉林市 北流市 六靖镇"</f>
        <v>广西壮族自治区 玉林市 北流市 六靖镇</v>
      </c>
      <c r="N9058" s="1" t="str">
        <f t="shared" si="2536"/>
        <v>凡华云仓-韵达-抖音</v>
      </c>
      <c r="O9058" s="5">
        <v>320158520659662</v>
      </c>
      <c r="P9058" s="6">
        <v>0.33</v>
      </c>
      <c r="Q9058" s="11">
        <v>2.2999999999999998</v>
      </c>
      <c r="R9058" s="11"/>
      <c r="S9058" s="11"/>
      <c r="T9058" s="11"/>
      <c r="U9058" s="11">
        <f t="shared" si="2531"/>
        <v>2.2999999999999998</v>
      </c>
      <c r="W9058">
        <v>2.5</v>
      </c>
      <c r="X9058" s="1" t="s">
        <v>96</v>
      </c>
    </row>
    <row r="9059" spans="1:24" x14ac:dyDescent="0.25">
      <c r="A9059" s="1" t="str">
        <f t="shared" si="2526"/>
        <v>卡卡杜-凤凰仓</v>
      </c>
      <c r="B9059" s="1" t="str">
        <f>"CK2024100614379"</f>
        <v>CK2024100614379</v>
      </c>
      <c r="C9059" s="1" t="str">
        <f>"DD2024100648059"</f>
        <v>DD2024100648059</v>
      </c>
      <c r="D9059" s="1" t="str">
        <f>"CK2024100647367"</f>
        <v>CK2024100647367</v>
      </c>
      <c r="E9059" s="1" t="str">
        <f>"6917879419671117167"</f>
        <v>6917879419671117167</v>
      </c>
      <c r="F9059" s="1" t="str">
        <f t="shared" si="2527"/>
        <v>花都四部-凤凰仓</v>
      </c>
      <c r="G9059" s="1" t="str">
        <f t="shared" si="2535"/>
        <v>卡卡杜个人护理店（抖店）</v>
      </c>
      <c r="H9059" s="1" t="str">
        <f t="shared" si="2528"/>
        <v>正常订单</v>
      </c>
      <c r="I9059" s="1" t="str">
        <f t="shared" si="2529"/>
        <v>已发货</v>
      </c>
      <c r="J9059" s="1" t="str">
        <f t="shared" si="2538"/>
        <v>2</v>
      </c>
      <c r="K9059" s="1">
        <v>1</v>
      </c>
      <c r="L9059" s="1" t="s">
        <v>13</v>
      </c>
      <c r="M9059" s="1" t="str">
        <f>"江苏省 徐州市 贾汪区 大黄山街道"</f>
        <v>江苏省 徐州市 贾汪区 大黄山街道</v>
      </c>
      <c r="N9059" s="1" t="str">
        <f t="shared" si="2536"/>
        <v>凡华云仓-韵达-抖音</v>
      </c>
      <c r="O9059" s="5">
        <v>320158520659563</v>
      </c>
      <c r="P9059" s="6">
        <v>0.33</v>
      </c>
      <c r="Q9059" s="11">
        <v>2.2999999999999998</v>
      </c>
      <c r="R9059" s="11"/>
      <c r="S9059" s="11"/>
      <c r="T9059" s="11"/>
      <c r="U9059" s="11">
        <f t="shared" si="2531"/>
        <v>2.2999999999999998</v>
      </c>
      <c r="W9059">
        <v>2.5</v>
      </c>
      <c r="X9059" s="1" t="s">
        <v>13</v>
      </c>
    </row>
    <row r="9060" spans="1:24" x14ac:dyDescent="0.25">
      <c r="A9060" s="1" t="str">
        <f t="shared" si="2526"/>
        <v>卡卡杜-凤凰仓</v>
      </c>
      <c r="B9060" s="1" t="str">
        <f>"CK2024101719371"</f>
        <v>CK2024101719371</v>
      </c>
      <c r="C9060" s="1" t="str">
        <f>"DD2024101728304"</f>
        <v>DD2024101728304</v>
      </c>
      <c r="D9060" s="1" t="str">
        <f>"CK2024101727562"</f>
        <v>CK2024101727562</v>
      </c>
      <c r="E9060" s="1" t="str">
        <f>"KKD20241017YP010"</f>
        <v>KKD20241017YP010</v>
      </c>
      <c r="F9060" s="1" t="str">
        <f t="shared" si="2527"/>
        <v>花都四部-凤凰仓</v>
      </c>
      <c r="G9060" s="1" t="str">
        <f t="shared" ref="G9060:G9080" si="2539">"卡卡杜全欣样品"</f>
        <v>卡卡杜全欣样品</v>
      </c>
      <c r="H9060" s="1" t="str">
        <f t="shared" si="2528"/>
        <v>正常订单</v>
      </c>
      <c r="I9060" s="1" t="str">
        <f t="shared" si="2529"/>
        <v>已发货</v>
      </c>
      <c r="J9060" s="1" t="str">
        <f>"7"</f>
        <v>7</v>
      </c>
      <c r="K9060" s="1">
        <v>5</v>
      </c>
      <c r="L9060" s="1" t="s">
        <v>20</v>
      </c>
      <c r="M9060" s="1" t="str">
        <f>"浙江省 杭州市  "</f>
        <v xml:space="preserve">浙江省 杭州市  </v>
      </c>
      <c r="N9060" s="1" t="str">
        <f>"凡华云仓-韵达-淘宝"</f>
        <v>凡华云仓-韵达-淘宝</v>
      </c>
      <c r="O9060" s="3">
        <v>434195075941422</v>
      </c>
      <c r="P9060" s="6">
        <v>0.86</v>
      </c>
      <c r="Q9060" s="11">
        <f t="shared" ref="Q9060:Q9080" si="2540">CEILING(P9060-0.5,0.1)*10*0.15+2.3</f>
        <v>2.9</v>
      </c>
      <c r="R9060" s="11">
        <f t="shared" ref="R9060:R9069" si="2541">(K9060-3)*0.1</f>
        <v>0.2</v>
      </c>
      <c r="S9060" s="11">
        <v>0.15</v>
      </c>
      <c r="T9060" s="11"/>
      <c r="U9060" s="11">
        <f t="shared" si="2531"/>
        <v>3.25</v>
      </c>
      <c r="V9060" t="s">
        <v>15</v>
      </c>
      <c r="W9060">
        <v>3.25</v>
      </c>
      <c r="X9060" s="1" t="s">
        <v>20</v>
      </c>
    </row>
    <row r="9061" spans="1:24" x14ac:dyDescent="0.25">
      <c r="A9061" s="1" t="str">
        <f t="shared" si="2526"/>
        <v>卡卡杜-凤凰仓</v>
      </c>
      <c r="B9061" s="1" t="str">
        <f>"CK2024100614349"</f>
        <v>CK2024100614349</v>
      </c>
      <c r="C9061" s="1" t="str">
        <f>"DD2024100647753"</f>
        <v>DD2024100647753</v>
      </c>
      <c r="D9061" s="1" t="str">
        <f>"CK2024100643900"</f>
        <v>CK2024100643900</v>
      </c>
      <c r="E9061" s="1" t="str">
        <f>"KKD20241006YP022"</f>
        <v>KKD20241006YP022</v>
      </c>
      <c r="F9061" s="1" t="str">
        <f t="shared" si="2527"/>
        <v>花都四部-凤凰仓</v>
      </c>
      <c r="G9061" s="1" t="str">
        <f t="shared" si="2539"/>
        <v>卡卡杜全欣样品</v>
      </c>
      <c r="H9061" s="1" t="str">
        <f t="shared" si="2528"/>
        <v>正常订单</v>
      </c>
      <c r="I9061" s="1" t="str">
        <f t="shared" si="2529"/>
        <v>已发货</v>
      </c>
      <c r="J9061" s="1" t="str">
        <f>"12"</f>
        <v>12</v>
      </c>
      <c r="K9061" s="1">
        <v>7</v>
      </c>
      <c r="L9061" s="1" t="s">
        <v>24</v>
      </c>
      <c r="M9061" s="1" t="str">
        <f>"福建省 厦门市 海沧区 "</f>
        <v xml:space="preserve">福建省 厦门市 海沧区 </v>
      </c>
      <c r="N9061" s="1" t="str">
        <f t="shared" ref="N9061:N9073" si="2542">"凡华云仓-韵达-淘宝"</f>
        <v>凡华云仓-韵达-淘宝</v>
      </c>
      <c r="O9061" s="3">
        <v>434172753433173</v>
      </c>
      <c r="P9061" s="6">
        <v>1.08</v>
      </c>
      <c r="Q9061" s="11">
        <f t="shared" si="2540"/>
        <v>3.2</v>
      </c>
      <c r="R9061" s="11">
        <f t="shared" si="2541"/>
        <v>0.4</v>
      </c>
      <c r="S9061" s="11">
        <v>0.15</v>
      </c>
      <c r="T9061" s="11"/>
      <c r="U9061" s="11">
        <f t="shared" si="2531"/>
        <v>3.75</v>
      </c>
      <c r="V9061" t="s">
        <v>15</v>
      </c>
      <c r="W9061">
        <v>3.75</v>
      </c>
      <c r="X9061" s="1" t="s">
        <v>24</v>
      </c>
    </row>
    <row r="9062" spans="1:24" x14ac:dyDescent="0.25">
      <c r="A9062" s="1" t="str">
        <f t="shared" si="2526"/>
        <v>卡卡杜-凤凰仓</v>
      </c>
      <c r="B9062" s="1" t="str">
        <f>"CK2024100614350"</f>
        <v>CK2024100614350</v>
      </c>
      <c r="C9062" s="1" t="str">
        <f>"DD2024100647754"</f>
        <v>DD2024100647754</v>
      </c>
      <c r="D9062" s="1" t="str">
        <f>"CK2024100643899"</f>
        <v>CK2024100643899</v>
      </c>
      <c r="E9062" s="1" t="str">
        <f>"KKD20241006YP021"</f>
        <v>KKD20241006YP021</v>
      </c>
      <c r="F9062" s="1" t="str">
        <f t="shared" si="2527"/>
        <v>花都四部-凤凰仓</v>
      </c>
      <c r="G9062" s="1" t="str">
        <f t="shared" si="2539"/>
        <v>卡卡杜全欣样品</v>
      </c>
      <c r="H9062" s="1" t="str">
        <f t="shared" si="2528"/>
        <v>正常订单</v>
      </c>
      <c r="I9062" s="1" t="str">
        <f t="shared" si="2529"/>
        <v>已发货</v>
      </c>
      <c r="J9062" s="1" t="str">
        <f>"19"</f>
        <v>19</v>
      </c>
      <c r="K9062" s="1">
        <v>10</v>
      </c>
      <c r="L9062" s="1" t="s">
        <v>20</v>
      </c>
      <c r="M9062" s="1" t="str">
        <f>"浙江省 金华市 义乌市 "</f>
        <v xml:space="preserve">浙江省 金华市 义乌市 </v>
      </c>
      <c r="N9062" s="1" t="str">
        <f t="shared" si="2542"/>
        <v>凡华云仓-韵达-淘宝</v>
      </c>
      <c r="O9062" s="3">
        <v>434172753433082</v>
      </c>
      <c r="P9062" s="6">
        <v>1.62</v>
      </c>
      <c r="Q9062" s="11">
        <f t="shared" si="2540"/>
        <v>4.0999999999999996</v>
      </c>
      <c r="R9062" s="11">
        <f t="shared" si="2541"/>
        <v>0.70000000000000007</v>
      </c>
      <c r="S9062" s="11">
        <v>0.15</v>
      </c>
      <c r="T9062" s="11"/>
      <c r="U9062" s="11">
        <f t="shared" si="2531"/>
        <v>4.9499999999999993</v>
      </c>
      <c r="V9062" t="s">
        <v>15</v>
      </c>
      <c r="W9062">
        <v>4.95</v>
      </c>
      <c r="X9062" s="1" t="s">
        <v>20</v>
      </c>
    </row>
    <row r="9063" spans="1:24" x14ac:dyDescent="0.25">
      <c r="A9063" s="1" t="str">
        <f t="shared" si="2526"/>
        <v>卡卡杜-凤凰仓</v>
      </c>
      <c r="B9063" s="1" t="str">
        <f>"CK2024100614348"</f>
        <v>CK2024100614348</v>
      </c>
      <c r="C9063" s="1" t="str">
        <f>"DD2024100647755"</f>
        <v>DD2024100647755</v>
      </c>
      <c r="D9063" s="1" t="str">
        <f>"CK2024100643898"</f>
        <v>CK2024100643898</v>
      </c>
      <c r="E9063" s="1" t="str">
        <f>"KKD20241006YP023"</f>
        <v>KKD20241006YP023</v>
      </c>
      <c r="F9063" s="1" t="str">
        <f t="shared" si="2527"/>
        <v>花都四部-凤凰仓</v>
      </c>
      <c r="G9063" s="1" t="str">
        <f t="shared" si="2539"/>
        <v>卡卡杜全欣样品</v>
      </c>
      <c r="H9063" s="1" t="str">
        <f t="shared" si="2528"/>
        <v>正常订单</v>
      </c>
      <c r="I9063" s="1" t="str">
        <f t="shared" si="2529"/>
        <v>已发货</v>
      </c>
      <c r="J9063" s="1" t="str">
        <f>"19"</f>
        <v>19</v>
      </c>
      <c r="K9063" s="1">
        <v>10</v>
      </c>
      <c r="L9063" s="1" t="s">
        <v>18</v>
      </c>
      <c r="M9063" s="1" t="str">
        <f>"广东省 东莞市 莞城街道 "</f>
        <v xml:space="preserve">广东省 东莞市 莞城街道 </v>
      </c>
      <c r="N9063" s="1" t="str">
        <f t="shared" si="2542"/>
        <v>凡华云仓-韵达-淘宝</v>
      </c>
      <c r="O9063" s="3">
        <v>434172753432901</v>
      </c>
      <c r="P9063" s="6">
        <v>1.62</v>
      </c>
      <c r="Q9063" s="11">
        <f t="shared" si="2540"/>
        <v>4.0999999999999996</v>
      </c>
      <c r="R9063" s="11">
        <f t="shared" si="2541"/>
        <v>0.70000000000000007</v>
      </c>
      <c r="S9063" s="11">
        <v>0.15</v>
      </c>
      <c r="T9063" s="11"/>
      <c r="U9063" s="11">
        <f t="shared" si="2531"/>
        <v>4.9499999999999993</v>
      </c>
      <c r="V9063" t="s">
        <v>15</v>
      </c>
      <c r="W9063">
        <v>4.95</v>
      </c>
      <c r="X9063" s="1" t="s">
        <v>18</v>
      </c>
    </row>
    <row r="9064" spans="1:24" x14ac:dyDescent="0.25">
      <c r="A9064" s="1" t="str">
        <f t="shared" si="2526"/>
        <v>卡卡杜-凤凰仓</v>
      </c>
      <c r="B9064" s="1" t="str">
        <f>"CK2024100614352"</f>
        <v>CK2024100614352</v>
      </c>
      <c r="C9064" s="1" t="str">
        <f>"DD2024100647756"</f>
        <v>DD2024100647756</v>
      </c>
      <c r="D9064" s="1" t="str">
        <f>"CK2024100643897"</f>
        <v>CK2024100643897</v>
      </c>
      <c r="E9064" s="1" t="str">
        <f>"KKD20241006YP019"</f>
        <v>KKD20241006YP019</v>
      </c>
      <c r="F9064" s="1" t="str">
        <f t="shared" si="2527"/>
        <v>花都四部-凤凰仓</v>
      </c>
      <c r="G9064" s="1" t="str">
        <f t="shared" si="2539"/>
        <v>卡卡杜全欣样品</v>
      </c>
      <c r="H9064" s="1" t="str">
        <f t="shared" si="2528"/>
        <v>正常订单</v>
      </c>
      <c r="I9064" s="1" t="str">
        <f t="shared" si="2529"/>
        <v>已发货</v>
      </c>
      <c r="J9064" s="1" t="str">
        <f>"19"</f>
        <v>19</v>
      </c>
      <c r="K9064" s="1">
        <v>10</v>
      </c>
      <c r="L9064" s="1" t="s">
        <v>60</v>
      </c>
      <c r="M9064" s="1" t="str">
        <f>"云南省 昆明市 西山区 "</f>
        <v xml:space="preserve">云南省 昆明市 西山区 </v>
      </c>
      <c r="N9064" s="1" t="str">
        <f t="shared" si="2542"/>
        <v>凡华云仓-韵达-淘宝</v>
      </c>
      <c r="O9064" s="3">
        <v>434172753432811</v>
      </c>
      <c r="P9064" s="6">
        <v>1.62</v>
      </c>
      <c r="Q9064" s="11">
        <f t="shared" si="2540"/>
        <v>4.0999999999999996</v>
      </c>
      <c r="R9064" s="11">
        <f t="shared" si="2541"/>
        <v>0.70000000000000007</v>
      </c>
      <c r="S9064" s="11">
        <v>0.15</v>
      </c>
      <c r="T9064" s="11"/>
      <c r="U9064" s="11">
        <f t="shared" si="2531"/>
        <v>4.9499999999999993</v>
      </c>
      <c r="V9064" t="s">
        <v>15</v>
      </c>
      <c r="W9064">
        <v>4.95</v>
      </c>
      <c r="X9064" s="1" t="s">
        <v>60</v>
      </c>
    </row>
    <row r="9065" spans="1:24" x14ac:dyDescent="0.25">
      <c r="A9065" s="1" t="str">
        <f t="shared" si="2526"/>
        <v>卡卡杜-凤凰仓</v>
      </c>
      <c r="B9065" s="1" t="str">
        <f>"CK2024100614353"</f>
        <v>CK2024100614353</v>
      </c>
      <c r="C9065" s="1" t="str">
        <f>"DD2024100647757"</f>
        <v>DD2024100647757</v>
      </c>
      <c r="D9065" s="1" t="str">
        <f>"CK2024100643896"</f>
        <v>CK2024100643896</v>
      </c>
      <c r="E9065" s="1" t="str">
        <f>"KKD20241006YP018"</f>
        <v>KKD20241006YP018</v>
      </c>
      <c r="F9065" s="1" t="str">
        <f t="shared" si="2527"/>
        <v>花都四部-凤凰仓</v>
      </c>
      <c r="G9065" s="1" t="str">
        <f t="shared" si="2539"/>
        <v>卡卡杜全欣样品</v>
      </c>
      <c r="H9065" s="1" t="str">
        <f t="shared" si="2528"/>
        <v>正常订单</v>
      </c>
      <c r="I9065" s="1" t="str">
        <f t="shared" si="2529"/>
        <v>已发货</v>
      </c>
      <c r="J9065" s="1" t="str">
        <f>"19"</f>
        <v>19</v>
      </c>
      <c r="K9065" s="1">
        <v>10</v>
      </c>
      <c r="L9065" s="1" t="s">
        <v>187</v>
      </c>
      <c r="M9065" s="1" t="str">
        <f>"吉林省 长春市 榆树市 "</f>
        <v xml:space="preserve">吉林省 长春市 榆树市 </v>
      </c>
      <c r="N9065" s="1" t="str">
        <f t="shared" si="2542"/>
        <v>凡华云仓-韵达-淘宝</v>
      </c>
      <c r="O9065" s="3">
        <v>434172753432721</v>
      </c>
      <c r="P9065" s="6">
        <v>1.62</v>
      </c>
      <c r="Q9065" s="11">
        <f t="shared" si="2540"/>
        <v>4.0999999999999996</v>
      </c>
      <c r="R9065" s="11">
        <f t="shared" si="2541"/>
        <v>0.70000000000000007</v>
      </c>
      <c r="S9065" s="11">
        <v>0.15</v>
      </c>
      <c r="T9065" s="11"/>
      <c r="U9065" s="11">
        <f t="shared" si="2531"/>
        <v>4.9499999999999993</v>
      </c>
      <c r="V9065" t="s">
        <v>15</v>
      </c>
      <c r="W9065">
        <v>4.95</v>
      </c>
      <c r="X9065" s="1" t="s">
        <v>187</v>
      </c>
    </row>
    <row r="9066" spans="1:24" x14ac:dyDescent="0.25">
      <c r="A9066" s="1" t="str">
        <f t="shared" si="2526"/>
        <v>卡卡杜-凤凰仓</v>
      </c>
      <c r="B9066" s="1" t="str">
        <f>"CK2024100614354"</f>
        <v>CK2024100614354</v>
      </c>
      <c r="C9066" s="1" t="str">
        <f>"DD2024100647759"</f>
        <v>DD2024100647759</v>
      </c>
      <c r="D9066" s="1" t="str">
        <f>"CK2024100643894"</f>
        <v>CK2024100643894</v>
      </c>
      <c r="E9066" s="1" t="str">
        <f>"KKD20241006YP017"</f>
        <v>KKD20241006YP017</v>
      </c>
      <c r="F9066" s="1" t="str">
        <f t="shared" si="2527"/>
        <v>花都四部-凤凰仓</v>
      </c>
      <c r="G9066" s="1" t="str">
        <f t="shared" si="2539"/>
        <v>卡卡杜全欣样品</v>
      </c>
      <c r="H9066" s="1" t="str">
        <f t="shared" si="2528"/>
        <v>正常订单</v>
      </c>
      <c r="I9066" s="1" t="str">
        <f t="shared" si="2529"/>
        <v>已发货</v>
      </c>
      <c r="J9066" s="1" t="str">
        <f>"19"</f>
        <v>19</v>
      </c>
      <c r="K9066" s="1">
        <v>10</v>
      </c>
      <c r="L9066" s="1" t="s">
        <v>109</v>
      </c>
      <c r="M9066" s="1" t="str">
        <f>"山西省 太原市 小店区 "</f>
        <v xml:space="preserve">山西省 太原市 小店区 </v>
      </c>
      <c r="N9066" s="1" t="str">
        <f t="shared" si="2542"/>
        <v>凡华云仓-韵达-淘宝</v>
      </c>
      <c r="O9066" s="3">
        <v>434172751869017</v>
      </c>
      <c r="P9066" s="6">
        <v>1.62</v>
      </c>
      <c r="Q9066" s="11">
        <f t="shared" si="2540"/>
        <v>4.0999999999999996</v>
      </c>
      <c r="R9066" s="11">
        <f t="shared" si="2541"/>
        <v>0.70000000000000007</v>
      </c>
      <c r="S9066" s="11">
        <v>0.15</v>
      </c>
      <c r="T9066" s="11"/>
      <c r="U9066" s="11">
        <f t="shared" si="2531"/>
        <v>4.9499999999999993</v>
      </c>
      <c r="V9066" t="s">
        <v>15</v>
      </c>
      <c r="W9066">
        <v>4.95</v>
      </c>
      <c r="X9066" s="1" t="s">
        <v>109</v>
      </c>
    </row>
    <row r="9067" spans="1:24" x14ac:dyDescent="0.25">
      <c r="A9067" s="1" t="str">
        <f t="shared" ref="A9067:A9130" si="2543">"卡卡杜-凤凰仓"</f>
        <v>卡卡杜-凤凰仓</v>
      </c>
      <c r="B9067" s="1" t="str">
        <f>"CK2024100614356"</f>
        <v>CK2024100614356</v>
      </c>
      <c r="C9067" s="1" t="str">
        <f>"DD2024100647760"</f>
        <v>DD2024100647760</v>
      </c>
      <c r="D9067" s="1" t="str">
        <f>"CK2024100643893"</f>
        <v>CK2024100643893</v>
      </c>
      <c r="E9067" s="1" t="str">
        <f>"KKD20241006YP015"</f>
        <v>KKD20241006YP015</v>
      </c>
      <c r="F9067" s="1" t="str">
        <f t="shared" ref="F9067:F9130" si="2544">"花都四部-凤凰仓"</f>
        <v>花都四部-凤凰仓</v>
      </c>
      <c r="G9067" s="1" t="str">
        <f t="shared" si="2539"/>
        <v>卡卡杜全欣样品</v>
      </c>
      <c r="H9067" s="1" t="str">
        <f t="shared" ref="H9067:H9130" si="2545">"正常订单"</f>
        <v>正常订单</v>
      </c>
      <c r="I9067" s="1" t="str">
        <f t="shared" ref="I9067:I9130" si="2546">"已发货"</f>
        <v>已发货</v>
      </c>
      <c r="J9067" s="1" t="str">
        <f>"12"</f>
        <v>12</v>
      </c>
      <c r="K9067" s="1">
        <v>7</v>
      </c>
      <c r="L9067" s="1" t="s">
        <v>20</v>
      </c>
      <c r="M9067" s="1" t="str">
        <f>"浙江省 绍兴市 越城区 "</f>
        <v xml:space="preserve">浙江省 绍兴市 越城区 </v>
      </c>
      <c r="N9067" s="1" t="str">
        <f t="shared" si="2542"/>
        <v>凡华云仓-韵达-淘宝</v>
      </c>
      <c r="O9067" s="3">
        <v>434172754251990</v>
      </c>
      <c r="P9067" s="6">
        <v>1.08</v>
      </c>
      <c r="Q9067" s="11">
        <f t="shared" si="2540"/>
        <v>3.2</v>
      </c>
      <c r="R9067" s="11">
        <f t="shared" si="2541"/>
        <v>0.4</v>
      </c>
      <c r="S9067" s="11">
        <v>0.15</v>
      </c>
      <c r="T9067" s="11"/>
      <c r="U9067" s="11">
        <f t="shared" si="2531"/>
        <v>3.75</v>
      </c>
      <c r="V9067" t="s">
        <v>15</v>
      </c>
      <c r="W9067">
        <v>3.75</v>
      </c>
      <c r="X9067" s="1" t="s">
        <v>20</v>
      </c>
    </row>
    <row r="9068" spans="1:24" x14ac:dyDescent="0.25">
      <c r="A9068" s="1" t="str">
        <f t="shared" si="2543"/>
        <v>卡卡杜-凤凰仓</v>
      </c>
      <c r="B9068" s="1" t="str">
        <f>"CK2024100614357"</f>
        <v>CK2024100614357</v>
      </c>
      <c r="C9068" s="1" t="str">
        <f>"DD2024100647761"</f>
        <v>DD2024100647761</v>
      </c>
      <c r="D9068" s="1" t="str">
        <f>"CK2024100643892"</f>
        <v>CK2024100643892</v>
      </c>
      <c r="E9068" s="1" t="str">
        <f>"KKD20241006YP014"</f>
        <v>KKD20241006YP014</v>
      </c>
      <c r="F9068" s="1" t="str">
        <f t="shared" si="2544"/>
        <v>花都四部-凤凰仓</v>
      </c>
      <c r="G9068" s="1" t="str">
        <f t="shared" si="2539"/>
        <v>卡卡杜全欣样品</v>
      </c>
      <c r="H9068" s="1" t="str">
        <f t="shared" si="2545"/>
        <v>正常订单</v>
      </c>
      <c r="I9068" s="1" t="str">
        <f t="shared" si="2546"/>
        <v>已发货</v>
      </c>
      <c r="J9068" s="1" t="str">
        <f>"12"</f>
        <v>12</v>
      </c>
      <c r="K9068" s="1">
        <v>7</v>
      </c>
      <c r="L9068" s="1" t="s">
        <v>36</v>
      </c>
      <c r="M9068" s="1" t="str">
        <f>"安徽省 安庆市 大观区 "</f>
        <v xml:space="preserve">安徽省 安庆市 大观区 </v>
      </c>
      <c r="N9068" s="1" t="str">
        <f t="shared" si="2542"/>
        <v>凡华云仓-韵达-淘宝</v>
      </c>
      <c r="O9068" s="3">
        <v>434172766580327</v>
      </c>
      <c r="P9068" s="6">
        <v>1.08</v>
      </c>
      <c r="Q9068" s="11">
        <f t="shared" si="2540"/>
        <v>3.2</v>
      </c>
      <c r="R9068" s="11">
        <f t="shared" si="2541"/>
        <v>0.4</v>
      </c>
      <c r="S9068" s="11">
        <v>0.15</v>
      </c>
      <c r="T9068" s="11"/>
      <c r="U9068" s="11">
        <f t="shared" si="2531"/>
        <v>3.75</v>
      </c>
      <c r="V9068" t="s">
        <v>15</v>
      </c>
      <c r="W9068">
        <v>3.75</v>
      </c>
      <c r="X9068" s="1" t="s">
        <v>36</v>
      </c>
    </row>
    <row r="9069" spans="1:24" x14ac:dyDescent="0.25">
      <c r="A9069" s="1" t="str">
        <f t="shared" si="2543"/>
        <v>卡卡杜-凤凰仓</v>
      </c>
      <c r="B9069" s="1" t="str">
        <f>"CK2024100614358"</f>
        <v>CK2024100614358</v>
      </c>
      <c r="C9069" s="1" t="str">
        <f>"DD2024100647762"</f>
        <v>DD2024100647762</v>
      </c>
      <c r="D9069" s="1" t="str">
        <f>"CK2024100643891"</f>
        <v>CK2024100643891</v>
      </c>
      <c r="E9069" s="1" t="str">
        <f>"KKD20241006YP013"</f>
        <v>KKD20241006YP013</v>
      </c>
      <c r="F9069" s="1" t="str">
        <f t="shared" si="2544"/>
        <v>花都四部-凤凰仓</v>
      </c>
      <c r="G9069" s="1" t="str">
        <f t="shared" si="2539"/>
        <v>卡卡杜全欣样品</v>
      </c>
      <c r="H9069" s="1" t="str">
        <f t="shared" si="2545"/>
        <v>正常订单</v>
      </c>
      <c r="I9069" s="1" t="str">
        <f t="shared" si="2546"/>
        <v>已发货</v>
      </c>
      <c r="J9069" s="1" t="str">
        <f>"19"</f>
        <v>19</v>
      </c>
      <c r="K9069" s="1">
        <v>10</v>
      </c>
      <c r="L9069" s="1" t="s">
        <v>18</v>
      </c>
      <c r="M9069" s="1" t="str">
        <f>"广东省 惠州市 大亚湾区 "</f>
        <v xml:space="preserve">广东省 惠州市 大亚湾区 </v>
      </c>
      <c r="N9069" s="1" t="str">
        <f t="shared" si="2542"/>
        <v>凡华云仓-韵达-淘宝</v>
      </c>
      <c r="O9069" s="3">
        <v>434172751868407</v>
      </c>
      <c r="P9069" s="6">
        <v>1.62</v>
      </c>
      <c r="Q9069" s="11">
        <f t="shared" si="2540"/>
        <v>4.0999999999999996</v>
      </c>
      <c r="R9069" s="11">
        <f t="shared" si="2541"/>
        <v>0.70000000000000007</v>
      </c>
      <c r="S9069" s="11">
        <v>0.15</v>
      </c>
      <c r="T9069" s="11"/>
      <c r="U9069" s="11">
        <f t="shared" si="2531"/>
        <v>4.9499999999999993</v>
      </c>
      <c r="V9069" t="s">
        <v>15</v>
      </c>
      <c r="W9069">
        <v>4.95</v>
      </c>
      <c r="X9069" s="1" t="s">
        <v>18</v>
      </c>
    </row>
    <row r="9070" spans="1:24" x14ac:dyDescent="0.25">
      <c r="A9070" s="1" t="str">
        <f t="shared" si="2543"/>
        <v>卡卡杜-凤凰仓</v>
      </c>
      <c r="B9070" s="1" t="str">
        <f>"CK2024100614359"</f>
        <v>CK2024100614359</v>
      </c>
      <c r="C9070" s="1" t="str">
        <f>"DD2024100647763"</f>
        <v>DD2024100647763</v>
      </c>
      <c r="D9070" s="1" t="str">
        <f>"CK2024100643890"</f>
        <v>CK2024100643890</v>
      </c>
      <c r="E9070" s="1" t="str">
        <f>"KKD20241006YP012"</f>
        <v>KKD20241006YP012</v>
      </c>
      <c r="F9070" s="1" t="str">
        <f t="shared" si="2544"/>
        <v>花都四部-凤凰仓</v>
      </c>
      <c r="G9070" s="1" t="str">
        <f t="shared" si="2539"/>
        <v>卡卡杜全欣样品</v>
      </c>
      <c r="H9070" s="1" t="str">
        <f t="shared" si="2545"/>
        <v>正常订单</v>
      </c>
      <c r="I9070" s="1" t="str">
        <f t="shared" si="2546"/>
        <v>已发货</v>
      </c>
      <c r="J9070" s="1" t="str">
        <f>"5"</f>
        <v>5</v>
      </c>
      <c r="K9070" s="1">
        <v>4</v>
      </c>
      <c r="L9070" s="1" t="s">
        <v>54</v>
      </c>
      <c r="M9070" s="1" t="str">
        <f>"黑龙江省 哈尔滨市 松北区 "</f>
        <v xml:space="preserve">黑龙江省 哈尔滨市 松北区 </v>
      </c>
      <c r="N9070" s="1" t="str">
        <f t="shared" si="2542"/>
        <v>凡华云仓-韵达-淘宝</v>
      </c>
      <c r="O9070" s="3">
        <v>434172755001944</v>
      </c>
      <c r="P9070" s="6">
        <v>0.62</v>
      </c>
      <c r="Q9070" s="11">
        <f t="shared" si="2540"/>
        <v>2.5999999999999996</v>
      </c>
      <c r="R9070" s="11"/>
      <c r="S9070" s="11">
        <v>0.15</v>
      </c>
      <c r="T9070" s="11"/>
      <c r="U9070" s="11">
        <f t="shared" si="2531"/>
        <v>2.7499999999999996</v>
      </c>
      <c r="V9070" t="s">
        <v>15</v>
      </c>
      <c r="W9070">
        <v>2.75</v>
      </c>
      <c r="X9070" s="1" t="s">
        <v>54</v>
      </c>
    </row>
    <row r="9071" spans="1:24" x14ac:dyDescent="0.25">
      <c r="A9071" s="1" t="str">
        <f t="shared" si="2543"/>
        <v>卡卡杜-凤凰仓</v>
      </c>
      <c r="B9071" s="1" t="str">
        <f>"CK2024100614360"</f>
        <v>CK2024100614360</v>
      </c>
      <c r="C9071" s="1" t="str">
        <f>"DD2024100647764"</f>
        <v>DD2024100647764</v>
      </c>
      <c r="D9071" s="1" t="str">
        <f>"CK2024100643889"</f>
        <v>CK2024100643889</v>
      </c>
      <c r="E9071" s="1" t="str">
        <f>"KKD20241006YP011"</f>
        <v>KKD20241006YP011</v>
      </c>
      <c r="F9071" s="1" t="str">
        <f t="shared" si="2544"/>
        <v>花都四部-凤凰仓</v>
      </c>
      <c r="G9071" s="1" t="str">
        <f t="shared" si="2539"/>
        <v>卡卡杜全欣样品</v>
      </c>
      <c r="H9071" s="1" t="str">
        <f t="shared" si="2545"/>
        <v>正常订单</v>
      </c>
      <c r="I9071" s="1" t="str">
        <f t="shared" si="2546"/>
        <v>已发货</v>
      </c>
      <c r="J9071" s="1" t="str">
        <f>"5"</f>
        <v>5</v>
      </c>
      <c r="K9071" s="1">
        <v>4</v>
      </c>
      <c r="L9071" s="1" t="s">
        <v>18</v>
      </c>
      <c r="M9071" s="1" t="str">
        <f>"广东省 揭阳市 惠来县 "</f>
        <v xml:space="preserve">广东省 揭阳市 惠来县 </v>
      </c>
      <c r="N9071" s="1" t="str">
        <f t="shared" si="2542"/>
        <v>凡华云仓-韵达-淘宝</v>
      </c>
      <c r="O9071" s="3">
        <v>434172758916975</v>
      </c>
      <c r="P9071" s="6">
        <v>0.62</v>
      </c>
      <c r="Q9071" s="11">
        <f t="shared" si="2540"/>
        <v>2.5999999999999996</v>
      </c>
      <c r="R9071" s="11"/>
      <c r="S9071" s="11">
        <v>0.15</v>
      </c>
      <c r="T9071" s="11"/>
      <c r="U9071" s="11">
        <f t="shared" si="2531"/>
        <v>2.7499999999999996</v>
      </c>
      <c r="V9071" t="s">
        <v>15</v>
      </c>
      <c r="W9071">
        <v>2.75</v>
      </c>
      <c r="X9071" s="1" t="s">
        <v>18</v>
      </c>
    </row>
    <row r="9072" spans="1:24" x14ac:dyDescent="0.25">
      <c r="A9072" s="1" t="str">
        <f t="shared" si="2543"/>
        <v>卡卡杜-凤凰仓</v>
      </c>
      <c r="B9072" s="1" t="str">
        <f>"CK2024100614361"</f>
        <v>CK2024100614361</v>
      </c>
      <c r="C9072" s="1" t="str">
        <f>"DD2024100647765"</f>
        <v>DD2024100647765</v>
      </c>
      <c r="D9072" s="1" t="str">
        <f>"CK2024100643888"</f>
        <v>CK2024100643888</v>
      </c>
      <c r="E9072" s="1" t="str">
        <f>"KKD20241006YP010"</f>
        <v>KKD20241006YP010</v>
      </c>
      <c r="F9072" s="1" t="str">
        <f t="shared" si="2544"/>
        <v>花都四部-凤凰仓</v>
      </c>
      <c r="G9072" s="1" t="str">
        <f t="shared" si="2539"/>
        <v>卡卡杜全欣样品</v>
      </c>
      <c r="H9072" s="1" t="str">
        <f t="shared" si="2545"/>
        <v>正常订单</v>
      </c>
      <c r="I9072" s="1" t="str">
        <f t="shared" si="2546"/>
        <v>已发货</v>
      </c>
      <c r="J9072" s="1" t="str">
        <f>"19"</f>
        <v>19</v>
      </c>
      <c r="K9072" s="1">
        <v>10</v>
      </c>
      <c r="L9072" s="1" t="s">
        <v>41</v>
      </c>
      <c r="M9072" s="1" t="str">
        <f>"湖北省 随州市 广水市 "</f>
        <v xml:space="preserve">湖北省 随州市 广水市 </v>
      </c>
      <c r="N9072" s="1" t="str">
        <f t="shared" si="2542"/>
        <v>凡华云仓-韵达-淘宝</v>
      </c>
      <c r="O9072" s="3">
        <v>434172760464525</v>
      </c>
      <c r="P9072" s="6">
        <v>1.62</v>
      </c>
      <c r="Q9072" s="11">
        <f t="shared" si="2540"/>
        <v>4.0999999999999996</v>
      </c>
      <c r="R9072" s="11">
        <f t="shared" ref="R9072:R9080" si="2547">(K9072-3)*0.1</f>
        <v>0.70000000000000007</v>
      </c>
      <c r="S9072" s="11">
        <v>0.15</v>
      </c>
      <c r="T9072" s="11"/>
      <c r="U9072" s="11">
        <f t="shared" si="2531"/>
        <v>4.9499999999999993</v>
      </c>
      <c r="V9072" t="s">
        <v>15</v>
      </c>
      <c r="W9072">
        <v>4.95</v>
      </c>
      <c r="X9072" s="1" t="s">
        <v>41</v>
      </c>
    </row>
    <row r="9073" spans="1:24" x14ac:dyDescent="0.25">
      <c r="A9073" s="1" t="str">
        <f t="shared" si="2543"/>
        <v>卡卡杜-凤凰仓</v>
      </c>
      <c r="B9073" s="1" t="str">
        <f>"CK2024100614363"</f>
        <v>CK2024100614363</v>
      </c>
      <c r="C9073" s="1" t="str">
        <f>"DD2024100647766"</f>
        <v>DD2024100647766</v>
      </c>
      <c r="D9073" s="1" t="str">
        <f>"CK2024100643887"</f>
        <v>CK2024100643887</v>
      </c>
      <c r="E9073" s="1" t="str">
        <f>"KKD20241006YP008"</f>
        <v>KKD20241006YP008</v>
      </c>
      <c r="F9073" s="1" t="str">
        <f t="shared" si="2544"/>
        <v>花都四部-凤凰仓</v>
      </c>
      <c r="G9073" s="1" t="str">
        <f t="shared" si="2539"/>
        <v>卡卡杜全欣样品</v>
      </c>
      <c r="H9073" s="1" t="str">
        <f t="shared" si="2545"/>
        <v>正常订单</v>
      </c>
      <c r="I9073" s="1" t="str">
        <f t="shared" si="2546"/>
        <v>已发货</v>
      </c>
      <c r="J9073" s="1" t="str">
        <f>"17"</f>
        <v>17</v>
      </c>
      <c r="K9073" s="1">
        <v>10</v>
      </c>
      <c r="L9073" s="1" t="s">
        <v>94</v>
      </c>
      <c r="M9073" s="1" t="str">
        <f>"湖南省 长沙市 芙蓉区 "</f>
        <v xml:space="preserve">湖南省 长沙市 芙蓉区 </v>
      </c>
      <c r="N9073" s="1" t="str">
        <f t="shared" si="2542"/>
        <v>凡华云仓-韵达-淘宝</v>
      </c>
      <c r="O9073" s="3">
        <v>434172755816123</v>
      </c>
      <c r="P9073" s="6">
        <v>1.41</v>
      </c>
      <c r="Q9073" s="11">
        <f t="shared" si="2540"/>
        <v>3.8</v>
      </c>
      <c r="R9073" s="11">
        <f t="shared" si="2547"/>
        <v>0.70000000000000007</v>
      </c>
      <c r="S9073" s="11">
        <v>0.15</v>
      </c>
      <c r="T9073" s="11"/>
      <c r="U9073" s="11">
        <f t="shared" si="2531"/>
        <v>4.6500000000000004</v>
      </c>
      <c r="V9073" t="s">
        <v>15</v>
      </c>
      <c r="W9073">
        <v>4.6500000000000004</v>
      </c>
      <c r="X9073" s="1" t="s">
        <v>94</v>
      </c>
    </row>
    <row r="9074" spans="1:24" x14ac:dyDescent="0.25">
      <c r="A9074" s="1" t="str">
        <f t="shared" si="2543"/>
        <v>卡卡杜-凤凰仓</v>
      </c>
      <c r="B9074" s="1" t="str">
        <f>"CK2024100614365"</f>
        <v>CK2024100614365</v>
      </c>
      <c r="C9074" s="1" t="str">
        <f>"DD2024100647768"</f>
        <v>DD2024100647768</v>
      </c>
      <c r="D9074" s="1" t="str">
        <f>"CK2024100643885"</f>
        <v>CK2024100643885</v>
      </c>
      <c r="E9074" s="1" t="str">
        <f>"KKD20241006YP006"</f>
        <v>KKD20241006YP006</v>
      </c>
      <c r="F9074" s="1" t="str">
        <f t="shared" si="2544"/>
        <v>花都四部-凤凰仓</v>
      </c>
      <c r="G9074" s="1" t="str">
        <f t="shared" si="2539"/>
        <v>卡卡杜全欣样品</v>
      </c>
      <c r="H9074" s="1" t="str">
        <f t="shared" si="2545"/>
        <v>正常订单</v>
      </c>
      <c r="I9074" s="1" t="str">
        <f t="shared" si="2546"/>
        <v>已发货</v>
      </c>
      <c r="J9074" s="1" t="str">
        <f>"5"</f>
        <v>5</v>
      </c>
      <c r="K9074" s="1">
        <v>4</v>
      </c>
      <c r="L9074" s="1" t="s">
        <v>32</v>
      </c>
      <c r="M9074" s="1" t="str">
        <f>"陕西省 西安市 雁塔区 "</f>
        <v xml:space="preserve">陕西省 西安市 雁塔区 </v>
      </c>
      <c r="N9074" s="1" t="str">
        <f>"凡华云仓-竹料中通-菜鸟"</f>
        <v>凡华云仓-竹料中通-菜鸟</v>
      </c>
      <c r="O9074" s="3">
        <v>78841159168677</v>
      </c>
      <c r="P9074" s="6">
        <v>0.62</v>
      </c>
      <c r="Q9074" s="11">
        <f>CEILING(P9074-0.5,0.1)*10*0.15+2.6</f>
        <v>2.9</v>
      </c>
      <c r="R9074" s="11"/>
      <c r="S9074" s="11">
        <v>0.15</v>
      </c>
      <c r="T9074" s="11"/>
      <c r="U9074" s="11">
        <f t="shared" si="2531"/>
        <v>3.05</v>
      </c>
      <c r="V9074" t="s">
        <v>15</v>
      </c>
      <c r="W9074">
        <v>3.05</v>
      </c>
      <c r="X9074" s="1" t="s">
        <v>32</v>
      </c>
    </row>
    <row r="9075" spans="1:24" x14ac:dyDescent="0.25">
      <c r="A9075" s="1" t="str">
        <f t="shared" si="2543"/>
        <v>卡卡杜-凤凰仓</v>
      </c>
      <c r="B9075" s="1" t="str">
        <f>"CK2024100614364"</f>
        <v>CK2024100614364</v>
      </c>
      <c r="C9075" s="1" t="str">
        <f>"DD2024100647769"</f>
        <v>DD2024100647769</v>
      </c>
      <c r="D9075" s="1" t="str">
        <f>"CK2024100643884"</f>
        <v>CK2024100643884</v>
      </c>
      <c r="E9075" s="1" t="str">
        <f>"KKD20241006YP007"</f>
        <v>KKD20241006YP007</v>
      </c>
      <c r="F9075" s="1" t="str">
        <f t="shared" si="2544"/>
        <v>花都四部-凤凰仓</v>
      </c>
      <c r="G9075" s="1" t="str">
        <f t="shared" si="2539"/>
        <v>卡卡杜全欣样品</v>
      </c>
      <c r="H9075" s="1" t="str">
        <f t="shared" si="2545"/>
        <v>正常订单</v>
      </c>
      <c r="I9075" s="1" t="str">
        <f t="shared" si="2546"/>
        <v>已发货</v>
      </c>
      <c r="J9075" s="1" t="str">
        <f>"17"</f>
        <v>17</v>
      </c>
      <c r="K9075" s="1">
        <v>10</v>
      </c>
      <c r="L9075" s="1" t="s">
        <v>94</v>
      </c>
      <c r="M9075" s="1" t="str">
        <f>"湖南省 长沙市 芙蓉区 "</f>
        <v xml:space="preserve">湖南省 长沙市 芙蓉区 </v>
      </c>
      <c r="N9075" s="1" t="str">
        <f t="shared" ref="N9075:N9080" si="2548">"凡华云仓-韵达-淘宝"</f>
        <v>凡华云仓-韵达-淘宝</v>
      </c>
      <c r="O9075" s="3">
        <v>434172772008554</v>
      </c>
      <c r="P9075" s="6">
        <v>1.41</v>
      </c>
      <c r="Q9075" s="11">
        <f t="shared" si="2540"/>
        <v>3.8</v>
      </c>
      <c r="R9075" s="11">
        <f t="shared" si="2547"/>
        <v>0.70000000000000007</v>
      </c>
      <c r="S9075" s="11">
        <v>0.15</v>
      </c>
      <c r="T9075" s="11"/>
      <c r="U9075" s="11">
        <f t="shared" si="2531"/>
        <v>4.6500000000000004</v>
      </c>
      <c r="V9075" t="s">
        <v>15</v>
      </c>
      <c r="W9075">
        <v>4.6500000000000004</v>
      </c>
      <c r="X9075" s="1" t="s">
        <v>94</v>
      </c>
    </row>
    <row r="9076" spans="1:24" x14ac:dyDescent="0.25">
      <c r="A9076" s="1" t="str">
        <f t="shared" si="2543"/>
        <v>卡卡杜-凤凰仓</v>
      </c>
      <c r="B9076" s="1" t="str">
        <f>"CK2024101019095"</f>
        <v>CK2024101019095</v>
      </c>
      <c r="C9076" s="1" t="str">
        <f>"DD2024101037428"</f>
        <v>DD2024101037428</v>
      </c>
      <c r="D9076" s="1" t="str">
        <f>"CK2024101037624"</f>
        <v>CK2024101037624</v>
      </c>
      <c r="E9076" s="1" t="str">
        <f>"KKD20241010YP006"</f>
        <v>KKD20241010YP006</v>
      </c>
      <c r="F9076" s="1" t="str">
        <f t="shared" si="2544"/>
        <v>花都四部-凤凰仓</v>
      </c>
      <c r="G9076" s="1" t="str">
        <f t="shared" si="2539"/>
        <v>卡卡杜全欣样品</v>
      </c>
      <c r="H9076" s="1" t="str">
        <f t="shared" si="2545"/>
        <v>正常订单</v>
      </c>
      <c r="I9076" s="1" t="str">
        <f t="shared" si="2546"/>
        <v>已发货</v>
      </c>
      <c r="J9076" s="1" t="str">
        <f>"7"</f>
        <v>7</v>
      </c>
      <c r="K9076" s="1">
        <v>5</v>
      </c>
      <c r="L9076" s="1" t="s">
        <v>44</v>
      </c>
      <c r="M9076" s="1" t="str">
        <f>"海南省 海口市 琼山区 "</f>
        <v xml:space="preserve">海南省 海口市 琼山区 </v>
      </c>
      <c r="N9076" s="1" t="str">
        <f t="shared" si="2548"/>
        <v>凡华云仓-韵达-淘宝</v>
      </c>
      <c r="O9076" s="3">
        <v>434181044508640</v>
      </c>
      <c r="P9076" s="6">
        <v>0.95</v>
      </c>
      <c r="Q9076" s="11">
        <f t="shared" si="2540"/>
        <v>3.05</v>
      </c>
      <c r="R9076" s="11">
        <f t="shared" si="2547"/>
        <v>0.2</v>
      </c>
      <c r="S9076" s="11">
        <v>0.15</v>
      </c>
      <c r="T9076" s="11"/>
      <c r="U9076" s="11">
        <f t="shared" si="2531"/>
        <v>3.4</v>
      </c>
      <c r="V9076" t="s">
        <v>15</v>
      </c>
      <c r="W9076">
        <v>3.4</v>
      </c>
      <c r="X9076" s="1" t="s">
        <v>44</v>
      </c>
    </row>
    <row r="9077" spans="1:24" x14ac:dyDescent="0.25">
      <c r="A9077" s="1" t="str">
        <f t="shared" si="2543"/>
        <v>卡卡杜-凤凰仓</v>
      </c>
      <c r="B9077" s="1" t="str">
        <f>"CK2024100614367"</f>
        <v>CK2024100614367</v>
      </c>
      <c r="C9077" s="1" t="str">
        <f>"DD2024100647771"</f>
        <v>DD2024100647771</v>
      </c>
      <c r="D9077" s="1" t="str">
        <f>"CK2024100643882"</f>
        <v>CK2024100643882</v>
      </c>
      <c r="E9077" s="1" t="str">
        <f>"KKD20241006YP004"</f>
        <v>KKD20241006YP004</v>
      </c>
      <c r="F9077" s="1" t="str">
        <f t="shared" si="2544"/>
        <v>花都四部-凤凰仓</v>
      </c>
      <c r="G9077" s="1" t="str">
        <f t="shared" si="2539"/>
        <v>卡卡杜全欣样品</v>
      </c>
      <c r="H9077" s="1" t="str">
        <f t="shared" si="2545"/>
        <v>正常订单</v>
      </c>
      <c r="I9077" s="1" t="str">
        <f t="shared" si="2546"/>
        <v>已发货</v>
      </c>
      <c r="J9077" s="1" t="str">
        <f>"12"</f>
        <v>12</v>
      </c>
      <c r="K9077" s="1">
        <v>7</v>
      </c>
      <c r="L9077" s="1" t="s">
        <v>187</v>
      </c>
      <c r="M9077" s="1" t="str">
        <f>"吉林省 白山市 临江市 "</f>
        <v xml:space="preserve">吉林省 白山市 临江市 </v>
      </c>
      <c r="N9077" s="1" t="str">
        <f t="shared" si="2548"/>
        <v>凡华云仓-韵达-淘宝</v>
      </c>
      <c r="O9077" s="3">
        <v>434172772008362</v>
      </c>
      <c r="P9077" s="6">
        <v>1.08</v>
      </c>
      <c r="Q9077" s="11">
        <f t="shared" si="2540"/>
        <v>3.2</v>
      </c>
      <c r="R9077" s="11">
        <f t="shared" si="2547"/>
        <v>0.4</v>
      </c>
      <c r="S9077" s="11">
        <v>0.15</v>
      </c>
      <c r="T9077" s="11"/>
      <c r="U9077" s="11">
        <f t="shared" si="2531"/>
        <v>3.75</v>
      </c>
      <c r="V9077" t="s">
        <v>15</v>
      </c>
      <c r="W9077">
        <v>3.75</v>
      </c>
      <c r="X9077" s="1" t="s">
        <v>187</v>
      </c>
    </row>
    <row r="9078" spans="1:24" x14ac:dyDescent="0.25">
      <c r="A9078" s="1" t="str">
        <f t="shared" si="2543"/>
        <v>卡卡杜-凤凰仓</v>
      </c>
      <c r="B9078" s="1" t="str">
        <f>"CK2024100614370"</f>
        <v>CK2024100614370</v>
      </c>
      <c r="C9078" s="1" t="str">
        <f>"DD2024100647772"</f>
        <v>DD2024100647772</v>
      </c>
      <c r="D9078" s="1" t="str">
        <f>"CK2024100643881"</f>
        <v>CK2024100643881</v>
      </c>
      <c r="E9078" s="1" t="str">
        <f>"KKD20241006YP001"</f>
        <v>KKD20241006YP001</v>
      </c>
      <c r="F9078" s="1" t="str">
        <f t="shared" si="2544"/>
        <v>花都四部-凤凰仓</v>
      </c>
      <c r="G9078" s="1" t="str">
        <f t="shared" si="2539"/>
        <v>卡卡杜全欣样品</v>
      </c>
      <c r="H9078" s="1" t="str">
        <f t="shared" si="2545"/>
        <v>正常订单</v>
      </c>
      <c r="I9078" s="1" t="str">
        <f t="shared" si="2546"/>
        <v>已发货</v>
      </c>
      <c r="J9078" s="1" t="str">
        <f>"19"</f>
        <v>19</v>
      </c>
      <c r="K9078" s="1">
        <v>10</v>
      </c>
      <c r="L9078" s="1" t="s">
        <v>30</v>
      </c>
      <c r="M9078" s="1" t="str">
        <f>"山东省 潍坊市 奎文区 "</f>
        <v xml:space="preserve">山东省 潍坊市 奎文区 </v>
      </c>
      <c r="N9078" s="1" t="str">
        <f t="shared" si="2548"/>
        <v>凡华云仓-韵达-淘宝</v>
      </c>
      <c r="O9078" s="3">
        <v>434172772008266</v>
      </c>
      <c r="P9078" s="6">
        <v>1.62</v>
      </c>
      <c r="Q9078" s="11">
        <f t="shared" si="2540"/>
        <v>4.0999999999999996</v>
      </c>
      <c r="R9078" s="11">
        <f t="shared" si="2547"/>
        <v>0.70000000000000007</v>
      </c>
      <c r="S9078" s="11">
        <v>0.15</v>
      </c>
      <c r="T9078" s="11"/>
      <c r="U9078" s="11">
        <f t="shared" si="2531"/>
        <v>4.9499999999999993</v>
      </c>
      <c r="V9078" t="s">
        <v>15</v>
      </c>
      <c r="W9078">
        <v>4.95</v>
      </c>
      <c r="X9078" s="1" t="s">
        <v>30</v>
      </c>
    </row>
    <row r="9079" spans="1:24" x14ac:dyDescent="0.25">
      <c r="A9079" s="1" t="str">
        <f t="shared" si="2543"/>
        <v>卡卡杜-凤凰仓</v>
      </c>
      <c r="B9079" s="1" t="str">
        <f>"CK2024101116655"</f>
        <v>CK2024101116655</v>
      </c>
      <c r="C9079" s="1" t="str">
        <f>"DD2024101146400"</f>
        <v>DD2024101146400</v>
      </c>
      <c r="D9079" s="1" t="str">
        <f>"CK2024101151492"</f>
        <v>CK2024101151492</v>
      </c>
      <c r="E9079" s="1" t="str">
        <f>"KKD20241011YP014"</f>
        <v>KKD20241011YP014</v>
      </c>
      <c r="F9079" s="1" t="str">
        <f t="shared" si="2544"/>
        <v>花都四部-凤凰仓</v>
      </c>
      <c r="G9079" s="1" t="str">
        <f t="shared" si="2539"/>
        <v>卡卡杜全欣样品</v>
      </c>
      <c r="H9079" s="1" t="str">
        <f t="shared" si="2545"/>
        <v>正常订单</v>
      </c>
      <c r="I9079" s="1" t="str">
        <f t="shared" si="2546"/>
        <v>已发货</v>
      </c>
      <c r="J9079" s="1" t="str">
        <f>"7"</f>
        <v>7</v>
      </c>
      <c r="K9079" s="1">
        <v>5</v>
      </c>
      <c r="L9079" s="1" t="s">
        <v>105</v>
      </c>
      <c r="M9079" s="1" t="str">
        <f>"北京 北京市 通州区 "</f>
        <v xml:space="preserve">北京 北京市 通州区 </v>
      </c>
      <c r="N9079" s="1" t="str">
        <f t="shared" si="2548"/>
        <v>凡华云仓-韵达-淘宝</v>
      </c>
      <c r="O9079" s="3">
        <v>434183172013031</v>
      </c>
      <c r="P9079" s="6">
        <v>0.95</v>
      </c>
      <c r="Q9079" s="11">
        <f t="shared" si="2540"/>
        <v>3.05</v>
      </c>
      <c r="R9079" s="11">
        <f t="shared" si="2547"/>
        <v>0.2</v>
      </c>
      <c r="S9079" s="11">
        <v>0.15</v>
      </c>
      <c r="T9079" s="11"/>
      <c r="U9079" s="11">
        <f t="shared" si="2531"/>
        <v>3.4</v>
      </c>
      <c r="V9079" t="s">
        <v>15</v>
      </c>
      <c r="W9079">
        <v>3.4</v>
      </c>
      <c r="X9079" s="1" t="s">
        <v>105</v>
      </c>
    </row>
    <row r="9080" spans="1:24" x14ac:dyDescent="0.25">
      <c r="A9080" s="1" t="str">
        <f t="shared" si="2543"/>
        <v>卡卡杜-凤凰仓</v>
      </c>
      <c r="B9080" s="1" t="str">
        <f>"CK2024101214388"</f>
        <v>CK2024101214388</v>
      </c>
      <c r="C9080" s="1" t="str">
        <f>"DD2024101242443"</f>
        <v>DD2024101242443</v>
      </c>
      <c r="D9080" s="1" t="str">
        <f>"CK2024101247046"</f>
        <v>CK2024101247046</v>
      </c>
      <c r="E9080" s="1" t="str">
        <f>"20241012QXYP011"</f>
        <v>20241012QXYP011</v>
      </c>
      <c r="F9080" s="1" t="str">
        <f t="shared" si="2544"/>
        <v>花都四部-凤凰仓</v>
      </c>
      <c r="G9080" s="1" t="str">
        <f t="shared" si="2539"/>
        <v>卡卡杜全欣样品</v>
      </c>
      <c r="H9080" s="1" t="str">
        <f t="shared" si="2545"/>
        <v>正常订单</v>
      </c>
      <c r="I9080" s="1" t="str">
        <f t="shared" si="2546"/>
        <v>已发货</v>
      </c>
      <c r="J9080" s="1" t="str">
        <f>"7"</f>
        <v>7</v>
      </c>
      <c r="K9080" s="1">
        <v>5</v>
      </c>
      <c r="L9080" s="1" t="s">
        <v>13</v>
      </c>
      <c r="M9080" s="1" t="str">
        <f>"江苏省 南京市 溧水区 "</f>
        <v xml:space="preserve">江苏省 南京市 溧水区 </v>
      </c>
      <c r="N9080" s="1" t="str">
        <f t="shared" si="2548"/>
        <v>凡华云仓-韵达-淘宝</v>
      </c>
      <c r="O9080" s="3">
        <v>434185120165306</v>
      </c>
      <c r="P9080" s="6">
        <v>0.86</v>
      </c>
      <c r="Q9080" s="11">
        <f t="shared" si="2540"/>
        <v>2.9</v>
      </c>
      <c r="R9080" s="11">
        <f t="shared" si="2547"/>
        <v>0.2</v>
      </c>
      <c r="S9080" s="11">
        <v>0.15</v>
      </c>
      <c r="T9080" s="11"/>
      <c r="U9080" s="11">
        <f t="shared" si="2531"/>
        <v>3.25</v>
      </c>
      <c r="V9080" t="s">
        <v>15</v>
      </c>
      <c r="W9080">
        <v>3.25</v>
      </c>
      <c r="X9080" s="1" t="s">
        <v>13</v>
      </c>
    </row>
    <row r="9081" spans="1:24" x14ac:dyDescent="0.25">
      <c r="A9081" s="1" t="str">
        <f t="shared" si="2543"/>
        <v>卡卡杜-凤凰仓</v>
      </c>
      <c r="B9081" s="1" t="str">
        <f>"CK2024100614341"</f>
        <v>CK2024100614341</v>
      </c>
      <c r="C9081" s="1" t="str">
        <f>"DD2024100644564"</f>
        <v>DD2024100644564</v>
      </c>
      <c r="D9081" s="1" t="str">
        <f>"CK2024100640904"</f>
        <v>CK2024100640904</v>
      </c>
      <c r="E9081" s="1" t="str">
        <f>"3723120016940470272"</f>
        <v>3723120016940470272</v>
      </c>
      <c r="F9081" s="1" t="str">
        <f t="shared" si="2544"/>
        <v>花都四部-凤凰仓</v>
      </c>
      <c r="G9081" s="1" t="str">
        <f>"卡卡杜企业店（视频号）"</f>
        <v>卡卡杜企业店（视频号）</v>
      </c>
      <c r="H9081" s="1" t="str">
        <f t="shared" si="2545"/>
        <v>正常订单</v>
      </c>
      <c r="I9081" s="1" t="str">
        <f t="shared" si="2546"/>
        <v>已发货</v>
      </c>
      <c r="J9081" s="1" t="str">
        <f t="shared" ref="J9081:J9138" si="2549">"2"</f>
        <v>2</v>
      </c>
      <c r="K9081" s="1">
        <v>2</v>
      </c>
      <c r="L9081" s="1" t="s">
        <v>13</v>
      </c>
      <c r="M9081" s="1" t="str">
        <f>"江苏省 南通市 通州区 "</f>
        <v xml:space="preserve">江苏省 南通市 通州区 </v>
      </c>
      <c r="N9081" s="1" t="str">
        <f>"凡华云仓-韵达-微信视频号"</f>
        <v>凡华云仓-韵达-微信视频号</v>
      </c>
      <c r="O9081" s="5">
        <v>315012116042430</v>
      </c>
      <c r="P9081" s="6">
        <v>0.28000000000000003</v>
      </c>
      <c r="Q9081" s="11">
        <v>2</v>
      </c>
      <c r="R9081" s="11"/>
      <c r="S9081" s="11"/>
      <c r="T9081" s="11"/>
      <c r="U9081" s="11">
        <f t="shared" si="2531"/>
        <v>2</v>
      </c>
      <c r="W9081">
        <v>2.2000000000000002</v>
      </c>
      <c r="X9081" s="1" t="s">
        <v>13</v>
      </c>
    </row>
    <row r="9082" spans="1:24" x14ac:dyDescent="0.25">
      <c r="A9082" s="1" t="str">
        <f t="shared" si="2543"/>
        <v>卡卡杜-凤凰仓</v>
      </c>
      <c r="B9082" s="1" t="str">
        <f>"CK2024100614246"</f>
        <v>CK2024100614246</v>
      </c>
      <c r="C9082" s="1" t="str">
        <f>"DD2024100644469"</f>
        <v>DD2024100644469</v>
      </c>
      <c r="D9082" s="1" t="str">
        <f>"CK2024100640903"</f>
        <v>CK2024100640903</v>
      </c>
      <c r="E9082" s="1" t="str">
        <f>"3723119056580642048"</f>
        <v>3723119056580642048</v>
      </c>
      <c r="F9082" s="1" t="str">
        <f t="shared" si="2544"/>
        <v>花都四部-凤凰仓</v>
      </c>
      <c r="G9082" s="1" t="str">
        <f>"卡卡杜企业店（视频号）"</f>
        <v>卡卡杜企业店（视频号）</v>
      </c>
      <c r="H9082" s="1" t="str">
        <f t="shared" si="2545"/>
        <v>正常订单</v>
      </c>
      <c r="I9082" s="1" t="str">
        <f t="shared" si="2546"/>
        <v>已发货</v>
      </c>
      <c r="J9082" s="1" t="str">
        <f t="shared" si="2549"/>
        <v>2</v>
      </c>
      <c r="K9082" s="1">
        <v>2</v>
      </c>
      <c r="L9082" s="1" t="s">
        <v>18</v>
      </c>
      <c r="M9082" s="1" t="str">
        <f>"广东省 深圳市 福田区 "</f>
        <v xml:space="preserve">广东省 深圳市 福田区 </v>
      </c>
      <c r="N9082" s="1" t="str">
        <f>"凡华云仓-韵达-微信视频号"</f>
        <v>凡华云仓-韵达-微信视频号</v>
      </c>
      <c r="O9082" s="5">
        <v>315012116042151</v>
      </c>
      <c r="P9082" s="6">
        <v>0.28000000000000003</v>
      </c>
      <c r="Q9082" s="11">
        <v>2</v>
      </c>
      <c r="R9082" s="11"/>
      <c r="S9082" s="11"/>
      <c r="T9082" s="11"/>
      <c r="U9082" s="11">
        <f t="shared" si="2531"/>
        <v>2</v>
      </c>
      <c r="W9082">
        <v>2.2000000000000002</v>
      </c>
      <c r="X9082" s="1" t="s">
        <v>18</v>
      </c>
    </row>
    <row r="9083" spans="1:24" x14ac:dyDescent="0.25">
      <c r="A9083" s="1" t="str">
        <f t="shared" si="2543"/>
        <v>卡卡杜-凤凰仓</v>
      </c>
      <c r="B9083" s="1" t="str">
        <f>"CK2024100614347"</f>
        <v>CK2024100614347</v>
      </c>
      <c r="C9083" s="1" t="str">
        <f>"DD2024100644685"</f>
        <v>DD2024100644685</v>
      </c>
      <c r="D9083" s="1" t="str">
        <f>"CK2024100640901"</f>
        <v>CK2024100640901</v>
      </c>
      <c r="E9083" s="1" t="str">
        <f>"6917876373355789539"</f>
        <v>6917876373355789539</v>
      </c>
      <c r="F9083" s="1" t="str">
        <f t="shared" si="2544"/>
        <v>花都四部-凤凰仓</v>
      </c>
      <c r="G9083" s="1" t="str">
        <f t="shared" ref="G9083:G9146" si="2550">"卡卡杜个人护理店（抖店）"</f>
        <v>卡卡杜个人护理店（抖店）</v>
      </c>
      <c r="H9083" s="1" t="str">
        <f t="shared" si="2545"/>
        <v>正常订单</v>
      </c>
      <c r="I9083" s="1" t="str">
        <f t="shared" si="2546"/>
        <v>已发货</v>
      </c>
      <c r="J9083" s="1" t="str">
        <f t="shared" si="2549"/>
        <v>2</v>
      </c>
      <c r="K9083" s="1">
        <v>1</v>
      </c>
      <c r="L9083" s="1" t="s">
        <v>13</v>
      </c>
      <c r="M9083" s="1" t="str">
        <f>"江苏省 镇江市 句容市 华阳街道"</f>
        <v>江苏省 镇江市 句容市 华阳街道</v>
      </c>
      <c r="N9083" s="1" t="str">
        <f t="shared" ref="N9083:N9146" si="2551">"凡华云仓-韵达-抖音"</f>
        <v>凡华云仓-韵达-抖音</v>
      </c>
      <c r="O9083" s="5">
        <v>320158392929667</v>
      </c>
      <c r="P9083" s="6">
        <v>0.33</v>
      </c>
      <c r="Q9083" s="11">
        <v>2.2999999999999998</v>
      </c>
      <c r="R9083" s="11"/>
      <c r="S9083" s="11"/>
      <c r="T9083" s="11"/>
      <c r="U9083" s="11">
        <f t="shared" si="2531"/>
        <v>2.2999999999999998</v>
      </c>
      <c r="W9083">
        <v>2.5</v>
      </c>
      <c r="X9083" s="1" t="s">
        <v>13</v>
      </c>
    </row>
    <row r="9084" spans="1:24" x14ac:dyDescent="0.25">
      <c r="A9084" s="1" t="str">
        <f t="shared" si="2543"/>
        <v>卡卡杜-凤凰仓</v>
      </c>
      <c r="B9084" s="1" t="str">
        <f>"CK2024100614254"</f>
        <v>CK2024100614254</v>
      </c>
      <c r="C9084" s="1" t="str">
        <f>"DD2024100644477"</f>
        <v>DD2024100644477</v>
      </c>
      <c r="D9084" s="1" t="str">
        <f>"CK2024100640900"</f>
        <v>CK2024100640900</v>
      </c>
      <c r="E9084" s="1" t="str">
        <f>"6917877103453306175"</f>
        <v>6917877103453306175</v>
      </c>
      <c r="F9084" s="1" t="str">
        <f t="shared" si="2544"/>
        <v>花都四部-凤凰仓</v>
      </c>
      <c r="G9084" s="1" t="str">
        <f t="shared" si="2550"/>
        <v>卡卡杜个人护理店（抖店）</v>
      </c>
      <c r="H9084" s="1" t="str">
        <f t="shared" si="2545"/>
        <v>正常订单</v>
      </c>
      <c r="I9084" s="1" t="str">
        <f t="shared" si="2546"/>
        <v>已发货</v>
      </c>
      <c r="J9084" s="1" t="str">
        <f t="shared" si="2549"/>
        <v>2</v>
      </c>
      <c r="K9084" s="1">
        <v>2</v>
      </c>
      <c r="L9084" s="1" t="s">
        <v>20</v>
      </c>
      <c r="M9084" s="1" t="str">
        <f>"浙江省 宁波市 江北区 甬江街道"</f>
        <v>浙江省 宁波市 江北区 甬江街道</v>
      </c>
      <c r="N9084" s="1" t="str">
        <f t="shared" si="2551"/>
        <v>凡华云仓-韵达-抖音</v>
      </c>
      <c r="O9084" s="5">
        <v>320158392929568</v>
      </c>
      <c r="P9084" s="6">
        <v>0.28000000000000003</v>
      </c>
      <c r="Q9084" s="11">
        <v>2</v>
      </c>
      <c r="R9084" s="11"/>
      <c r="S9084" s="11"/>
      <c r="T9084" s="11"/>
      <c r="U9084" s="11">
        <f t="shared" si="2531"/>
        <v>2</v>
      </c>
      <c r="W9084">
        <v>2.2000000000000002</v>
      </c>
      <c r="X9084" s="1" t="s">
        <v>20</v>
      </c>
    </row>
    <row r="9085" spans="1:24" x14ac:dyDescent="0.25">
      <c r="A9085" s="1" t="str">
        <f t="shared" si="2543"/>
        <v>卡卡杜-凤凰仓</v>
      </c>
      <c r="B9085" s="1" t="str">
        <f>"CK2024100614346"</f>
        <v>CK2024100614346</v>
      </c>
      <c r="C9085" s="1" t="str">
        <f>"DD2024100644567"</f>
        <v>DD2024100644567</v>
      </c>
      <c r="D9085" s="1" t="str">
        <f>"CK2024100640899"</f>
        <v>CK2024100640899</v>
      </c>
      <c r="E9085" s="1" t="str">
        <f>"6917872448122093430"</f>
        <v>6917872448122093430</v>
      </c>
      <c r="F9085" s="1" t="str">
        <f t="shared" si="2544"/>
        <v>花都四部-凤凰仓</v>
      </c>
      <c r="G9085" s="1" t="str">
        <f t="shared" si="2550"/>
        <v>卡卡杜个人护理店（抖店）</v>
      </c>
      <c r="H9085" s="1" t="str">
        <f t="shared" si="2545"/>
        <v>正常订单</v>
      </c>
      <c r="I9085" s="1" t="str">
        <f t="shared" si="2546"/>
        <v>已发货</v>
      </c>
      <c r="J9085" s="1" t="str">
        <f t="shared" si="2549"/>
        <v>2</v>
      </c>
      <c r="K9085" s="1">
        <v>1</v>
      </c>
      <c r="L9085" s="1" t="s">
        <v>44</v>
      </c>
      <c r="M9085" s="1" t="str">
        <f>"海南省 海口市 琼山区 府城街道"</f>
        <v>海南省 海口市 琼山区 府城街道</v>
      </c>
      <c r="N9085" s="1" t="str">
        <f t="shared" si="2551"/>
        <v>凡华云仓-韵达-抖音</v>
      </c>
      <c r="O9085" s="5">
        <v>320158412147478</v>
      </c>
      <c r="P9085" s="6">
        <v>0.33</v>
      </c>
      <c r="Q9085" s="11">
        <v>2.2999999999999998</v>
      </c>
      <c r="R9085" s="11"/>
      <c r="S9085" s="11"/>
      <c r="T9085" s="11"/>
      <c r="U9085" s="11">
        <f t="shared" si="2531"/>
        <v>2.2999999999999998</v>
      </c>
      <c r="W9085">
        <v>2.5</v>
      </c>
      <c r="X9085" s="1" t="s">
        <v>44</v>
      </c>
    </row>
    <row r="9086" spans="1:24" x14ac:dyDescent="0.25">
      <c r="A9086" s="1" t="str">
        <f t="shared" si="2543"/>
        <v>卡卡杜-凤凰仓</v>
      </c>
      <c r="B9086" s="1" t="str">
        <f>"CK2024100614143"</f>
        <v>CK2024100614143</v>
      </c>
      <c r="C9086" s="1" t="str">
        <f>"DD2024100644367"</f>
        <v>DD2024100644367</v>
      </c>
      <c r="D9086" s="1" t="str">
        <f>"CK2024100640898"</f>
        <v>CK2024100640898</v>
      </c>
      <c r="E9086" s="1" t="str">
        <f>"6917874731363630644"</f>
        <v>6917874731363630644</v>
      </c>
      <c r="F9086" s="1" t="str">
        <f t="shared" si="2544"/>
        <v>花都四部-凤凰仓</v>
      </c>
      <c r="G9086" s="1" t="str">
        <f t="shared" si="2550"/>
        <v>卡卡杜个人护理店（抖店）</v>
      </c>
      <c r="H9086" s="1" t="str">
        <f t="shared" si="2545"/>
        <v>正常订单</v>
      </c>
      <c r="I9086" s="1" t="str">
        <f t="shared" si="2546"/>
        <v>已发货</v>
      </c>
      <c r="J9086" s="1" t="str">
        <f t="shared" si="2549"/>
        <v>2</v>
      </c>
      <c r="K9086" s="1">
        <v>1</v>
      </c>
      <c r="L9086" s="1" t="s">
        <v>20</v>
      </c>
      <c r="M9086" s="1" t="str">
        <f>"浙江省 绍兴市 柯桥区 柯桥街道"</f>
        <v>浙江省 绍兴市 柯桥区 柯桥街道</v>
      </c>
      <c r="N9086" s="1" t="str">
        <f t="shared" si="2551"/>
        <v>凡华云仓-韵达-抖音</v>
      </c>
      <c r="O9086" s="5">
        <v>320158412147383</v>
      </c>
      <c r="P9086" s="6">
        <v>0.33</v>
      </c>
      <c r="Q9086" s="11">
        <v>2.2999999999999998</v>
      </c>
      <c r="R9086" s="11"/>
      <c r="S9086" s="11"/>
      <c r="T9086" s="11"/>
      <c r="U9086" s="11">
        <f t="shared" si="2531"/>
        <v>2.2999999999999998</v>
      </c>
      <c r="W9086">
        <v>2.5</v>
      </c>
      <c r="X9086" s="1" t="s">
        <v>20</v>
      </c>
    </row>
    <row r="9087" spans="1:24" x14ac:dyDescent="0.25">
      <c r="A9087" s="1" t="str">
        <f t="shared" si="2543"/>
        <v>卡卡杜-凤凰仓</v>
      </c>
      <c r="B9087" s="1" t="str">
        <f>"CK2024100614171"</f>
        <v>CK2024100614171</v>
      </c>
      <c r="C9087" s="1" t="str">
        <f>"DD2024100644393"</f>
        <v>DD2024100644393</v>
      </c>
      <c r="D9087" s="1" t="str">
        <f>"CK2024100640897"</f>
        <v>CK2024100640897</v>
      </c>
      <c r="E9087" s="1" t="str">
        <f>"6917881371056963357"</f>
        <v>6917881371056963357</v>
      </c>
      <c r="F9087" s="1" t="str">
        <f t="shared" si="2544"/>
        <v>花都四部-凤凰仓</v>
      </c>
      <c r="G9087" s="1" t="str">
        <f t="shared" si="2550"/>
        <v>卡卡杜个人护理店（抖店）</v>
      </c>
      <c r="H9087" s="1" t="str">
        <f t="shared" si="2545"/>
        <v>正常订单</v>
      </c>
      <c r="I9087" s="1" t="str">
        <f t="shared" si="2546"/>
        <v>已发货</v>
      </c>
      <c r="J9087" s="1" t="str">
        <f t="shared" si="2549"/>
        <v>2</v>
      </c>
      <c r="K9087" s="1">
        <v>1</v>
      </c>
      <c r="L9087" s="1" t="s">
        <v>80</v>
      </c>
      <c r="M9087" s="1" t="str">
        <f>"河南省 南阳市 唐河县 古城乡"</f>
        <v>河南省 南阳市 唐河县 古城乡</v>
      </c>
      <c r="N9087" s="1" t="str">
        <f t="shared" si="2551"/>
        <v>凡华云仓-韵达-抖音</v>
      </c>
      <c r="O9087" s="5">
        <v>320158412147290</v>
      </c>
      <c r="P9087" s="6">
        <v>0.33</v>
      </c>
      <c r="Q9087" s="11">
        <v>2.2999999999999998</v>
      </c>
      <c r="R9087" s="11"/>
      <c r="S9087" s="11"/>
      <c r="T9087" s="11"/>
      <c r="U9087" s="11">
        <f t="shared" si="2531"/>
        <v>2.2999999999999998</v>
      </c>
      <c r="W9087">
        <v>2.5</v>
      </c>
      <c r="X9087" s="1" t="s">
        <v>80</v>
      </c>
    </row>
    <row r="9088" spans="1:24" x14ac:dyDescent="0.25">
      <c r="A9088" s="1" t="str">
        <f t="shared" si="2543"/>
        <v>卡卡杜-凤凰仓</v>
      </c>
      <c r="B9088" s="1" t="str">
        <f>"CK2024100614162"</f>
        <v>CK2024100614162</v>
      </c>
      <c r="C9088" s="1" t="str">
        <f>"DD2024100644385"</f>
        <v>DD2024100644385</v>
      </c>
      <c r="D9088" s="1" t="str">
        <f>"CK2024100640896"</f>
        <v>CK2024100640896</v>
      </c>
      <c r="E9088" s="1" t="str">
        <f>"6917876942002093404"</f>
        <v>6917876942002093404</v>
      </c>
      <c r="F9088" s="1" t="str">
        <f t="shared" si="2544"/>
        <v>花都四部-凤凰仓</v>
      </c>
      <c r="G9088" s="1" t="str">
        <f t="shared" si="2550"/>
        <v>卡卡杜个人护理店（抖店）</v>
      </c>
      <c r="H9088" s="1" t="str">
        <f t="shared" si="2545"/>
        <v>正常订单</v>
      </c>
      <c r="I9088" s="1" t="str">
        <f t="shared" si="2546"/>
        <v>已发货</v>
      </c>
      <c r="J9088" s="1" t="str">
        <f t="shared" si="2549"/>
        <v>2</v>
      </c>
      <c r="K9088" s="1">
        <v>1</v>
      </c>
      <c r="L9088" s="1" t="s">
        <v>96</v>
      </c>
      <c r="M9088" s="1" t="str">
        <f>"广西壮族自治区 钦州市 钦北区 "</f>
        <v xml:space="preserve">广西壮族自治区 钦州市 钦北区 </v>
      </c>
      <c r="N9088" s="1" t="str">
        <f t="shared" si="2551"/>
        <v>凡华云仓-韵达-抖音</v>
      </c>
      <c r="O9088" s="5">
        <v>320158412147199</v>
      </c>
      <c r="P9088" s="6">
        <v>0.33</v>
      </c>
      <c r="Q9088" s="11">
        <v>2.2999999999999998</v>
      </c>
      <c r="R9088" s="11"/>
      <c r="S9088" s="11"/>
      <c r="T9088" s="11"/>
      <c r="U9088" s="11">
        <f t="shared" si="2531"/>
        <v>2.2999999999999998</v>
      </c>
      <c r="W9088">
        <v>2.5</v>
      </c>
      <c r="X9088" s="1" t="s">
        <v>96</v>
      </c>
    </row>
    <row r="9089" spans="1:24" x14ac:dyDescent="0.25">
      <c r="A9089" s="1" t="str">
        <f t="shared" si="2543"/>
        <v>卡卡杜-凤凰仓</v>
      </c>
      <c r="B9089" s="1" t="str">
        <f>"CK2024100614179"</f>
        <v>CK2024100614179</v>
      </c>
      <c r="C9089" s="1" t="str">
        <f>"DD2024100644402"</f>
        <v>DD2024100644402</v>
      </c>
      <c r="D9089" s="1" t="str">
        <f>"CK2024100640895"</f>
        <v>CK2024100640895</v>
      </c>
      <c r="E9089" s="1" t="str">
        <f>"6917876624543022440"</f>
        <v>6917876624543022440</v>
      </c>
      <c r="F9089" s="1" t="str">
        <f t="shared" si="2544"/>
        <v>花都四部-凤凰仓</v>
      </c>
      <c r="G9089" s="1" t="str">
        <f t="shared" si="2550"/>
        <v>卡卡杜个人护理店（抖店）</v>
      </c>
      <c r="H9089" s="1" t="str">
        <f t="shared" si="2545"/>
        <v>正常订单</v>
      </c>
      <c r="I9089" s="1" t="str">
        <f t="shared" si="2546"/>
        <v>已发货</v>
      </c>
      <c r="J9089" s="1" t="str">
        <f t="shared" si="2549"/>
        <v>2</v>
      </c>
      <c r="K9089" s="1">
        <v>1</v>
      </c>
      <c r="L9089" s="1" t="s">
        <v>13</v>
      </c>
      <c r="M9089" s="1" t="str">
        <f>"江苏省 常州市 金坛区 东城街道"</f>
        <v>江苏省 常州市 金坛区 东城街道</v>
      </c>
      <c r="N9089" s="1" t="str">
        <f t="shared" si="2551"/>
        <v>凡华云仓-韵达-抖音</v>
      </c>
      <c r="O9089" s="5">
        <v>320158412147010</v>
      </c>
      <c r="P9089" s="6">
        <v>0.33</v>
      </c>
      <c r="Q9089" s="11">
        <v>2.2999999999999998</v>
      </c>
      <c r="R9089" s="11"/>
      <c r="S9089" s="11"/>
      <c r="T9089" s="11"/>
      <c r="U9089" s="11">
        <f t="shared" si="2531"/>
        <v>2.2999999999999998</v>
      </c>
      <c r="W9089">
        <v>2.5</v>
      </c>
      <c r="X9089" s="1" t="s">
        <v>13</v>
      </c>
    </row>
    <row r="9090" spans="1:24" x14ac:dyDescent="0.25">
      <c r="A9090" s="1" t="str">
        <f t="shared" si="2543"/>
        <v>卡卡杜-凤凰仓</v>
      </c>
      <c r="B9090" s="1" t="str">
        <f>"CK2024100614177"</f>
        <v>CK2024100614177</v>
      </c>
      <c r="C9090" s="1" t="str">
        <f>"DD2024100644399"</f>
        <v>DD2024100644399</v>
      </c>
      <c r="D9090" s="1" t="str">
        <f>"CK2024100640894"</f>
        <v>CK2024100640894</v>
      </c>
      <c r="E9090" s="1" t="str">
        <f>"6917874248281718272"</f>
        <v>6917874248281718272</v>
      </c>
      <c r="F9090" s="1" t="str">
        <f t="shared" si="2544"/>
        <v>花都四部-凤凰仓</v>
      </c>
      <c r="G9090" s="1" t="str">
        <f t="shared" si="2550"/>
        <v>卡卡杜个人护理店（抖店）</v>
      </c>
      <c r="H9090" s="1" t="str">
        <f t="shared" si="2545"/>
        <v>正常订单</v>
      </c>
      <c r="I9090" s="1" t="str">
        <f t="shared" si="2546"/>
        <v>已发货</v>
      </c>
      <c r="J9090" s="1" t="str">
        <f t="shared" si="2549"/>
        <v>2</v>
      </c>
      <c r="K9090" s="1">
        <v>1</v>
      </c>
      <c r="L9090" s="1" t="s">
        <v>105</v>
      </c>
      <c r="M9090" s="1" t="str">
        <f>"北京 北京市 大兴区 天宫院街道"</f>
        <v>北京 北京市 大兴区 天宫院街道</v>
      </c>
      <c r="N9090" s="1" t="str">
        <f t="shared" si="2551"/>
        <v>凡华云仓-韵达-抖音</v>
      </c>
      <c r="O9090" s="5">
        <v>320158412146982</v>
      </c>
      <c r="P9090" s="6">
        <v>0.33</v>
      </c>
      <c r="Q9090" s="11">
        <v>2.2999999999999998</v>
      </c>
      <c r="R9090" s="11"/>
      <c r="S9090" s="11"/>
      <c r="T9090" s="11"/>
      <c r="U9090" s="11">
        <f t="shared" si="2531"/>
        <v>2.2999999999999998</v>
      </c>
      <c r="W9090">
        <v>2.5</v>
      </c>
      <c r="X9090" s="1" t="s">
        <v>105</v>
      </c>
    </row>
    <row r="9091" spans="1:24" x14ac:dyDescent="0.25">
      <c r="A9091" s="1" t="str">
        <f t="shared" si="2543"/>
        <v>卡卡杜-凤凰仓</v>
      </c>
      <c r="B9091" s="1" t="str">
        <f>"CK2024100614170"</f>
        <v>CK2024100614170</v>
      </c>
      <c r="C9091" s="1" t="str">
        <f>"DD2024100644394"</f>
        <v>DD2024100644394</v>
      </c>
      <c r="D9091" s="1" t="str">
        <f>"CK2024100640893"</f>
        <v>CK2024100640893</v>
      </c>
      <c r="E9091" s="1" t="str">
        <f>"6917874607225994613"</f>
        <v>6917874607225994613</v>
      </c>
      <c r="F9091" s="1" t="str">
        <f t="shared" si="2544"/>
        <v>花都四部-凤凰仓</v>
      </c>
      <c r="G9091" s="1" t="str">
        <f t="shared" si="2550"/>
        <v>卡卡杜个人护理店（抖店）</v>
      </c>
      <c r="H9091" s="1" t="str">
        <f t="shared" si="2545"/>
        <v>正常订单</v>
      </c>
      <c r="I9091" s="1" t="str">
        <f t="shared" si="2546"/>
        <v>已发货</v>
      </c>
      <c r="J9091" s="1" t="str">
        <f t="shared" si="2549"/>
        <v>2</v>
      </c>
      <c r="K9091" s="1">
        <v>2</v>
      </c>
      <c r="L9091" s="1" t="s">
        <v>96</v>
      </c>
      <c r="M9091" s="1" t="str">
        <f>"广西壮族自治区 来宾市 兴宾区 城北街道"</f>
        <v>广西壮族自治区 来宾市 兴宾区 城北街道</v>
      </c>
      <c r="N9091" s="1" t="str">
        <f t="shared" si="2551"/>
        <v>凡华云仓-韵达-抖音</v>
      </c>
      <c r="O9091" s="5">
        <v>320158412146877</v>
      </c>
      <c r="P9091" s="6">
        <v>0.28000000000000003</v>
      </c>
      <c r="Q9091" s="11">
        <v>2</v>
      </c>
      <c r="R9091" s="11"/>
      <c r="S9091" s="11"/>
      <c r="T9091" s="11"/>
      <c r="U9091" s="11">
        <f t="shared" ref="U9091:U9154" si="2552">T9091+S9091+R9091+Q9091</f>
        <v>2</v>
      </c>
      <c r="W9091">
        <v>2.2000000000000002</v>
      </c>
      <c r="X9091" s="1" t="s">
        <v>96</v>
      </c>
    </row>
    <row r="9092" spans="1:24" x14ac:dyDescent="0.25">
      <c r="A9092" s="1" t="str">
        <f t="shared" si="2543"/>
        <v>卡卡杜-凤凰仓</v>
      </c>
      <c r="B9092" s="1" t="str">
        <f>"CK2024100614176"</f>
        <v>CK2024100614176</v>
      </c>
      <c r="C9092" s="1" t="str">
        <f>"DD2024100644400"</f>
        <v>DD2024100644400</v>
      </c>
      <c r="D9092" s="1" t="str">
        <f>"CK2024100640892"</f>
        <v>CK2024100640892</v>
      </c>
      <c r="E9092" s="1" t="str">
        <f>"6917872261336891153"</f>
        <v>6917872261336891153</v>
      </c>
      <c r="F9092" s="1" t="str">
        <f t="shared" si="2544"/>
        <v>花都四部-凤凰仓</v>
      </c>
      <c r="G9092" s="1" t="str">
        <f t="shared" si="2550"/>
        <v>卡卡杜个人护理店（抖店）</v>
      </c>
      <c r="H9092" s="1" t="str">
        <f t="shared" si="2545"/>
        <v>正常订单</v>
      </c>
      <c r="I9092" s="1" t="str">
        <f t="shared" si="2546"/>
        <v>已发货</v>
      </c>
      <c r="J9092" s="1" t="str">
        <f t="shared" si="2549"/>
        <v>2</v>
      </c>
      <c r="K9092" s="1">
        <v>1</v>
      </c>
      <c r="L9092" s="1" t="s">
        <v>36</v>
      </c>
      <c r="M9092" s="1" t="str">
        <f>"安徽省 芜湖市 南陵县 弋江镇"</f>
        <v>安徽省 芜湖市 南陵县 弋江镇</v>
      </c>
      <c r="N9092" s="1" t="str">
        <f t="shared" si="2551"/>
        <v>凡华云仓-韵达-抖音</v>
      </c>
      <c r="O9092" s="5">
        <v>320158412146774</v>
      </c>
      <c r="P9092" s="6">
        <v>0.33</v>
      </c>
      <c r="Q9092" s="11">
        <v>2.2999999999999998</v>
      </c>
      <c r="R9092" s="11"/>
      <c r="S9092" s="11"/>
      <c r="T9092" s="11"/>
      <c r="U9092" s="11">
        <f t="shared" si="2552"/>
        <v>2.2999999999999998</v>
      </c>
      <c r="W9092">
        <v>2.5</v>
      </c>
      <c r="X9092" s="1" t="s">
        <v>36</v>
      </c>
    </row>
    <row r="9093" spans="1:24" x14ac:dyDescent="0.25">
      <c r="A9093" s="1" t="str">
        <f t="shared" si="2543"/>
        <v>卡卡杜-凤凰仓</v>
      </c>
      <c r="B9093" s="1" t="str">
        <f>"CK2024100614175"</f>
        <v>CK2024100614175</v>
      </c>
      <c r="C9093" s="1" t="str">
        <f>"DD2024100644398"</f>
        <v>DD2024100644398</v>
      </c>
      <c r="D9093" s="1" t="str">
        <f>"CK2024100640891"</f>
        <v>CK2024100640891</v>
      </c>
      <c r="E9093" s="1" t="str">
        <f>"6917879053955791889"</f>
        <v>6917879053955791889</v>
      </c>
      <c r="F9093" s="1" t="str">
        <f t="shared" si="2544"/>
        <v>花都四部-凤凰仓</v>
      </c>
      <c r="G9093" s="1" t="str">
        <f t="shared" si="2550"/>
        <v>卡卡杜个人护理店（抖店）</v>
      </c>
      <c r="H9093" s="1" t="str">
        <f t="shared" si="2545"/>
        <v>正常订单</v>
      </c>
      <c r="I9093" s="1" t="str">
        <f t="shared" si="2546"/>
        <v>已发货</v>
      </c>
      <c r="J9093" s="1" t="str">
        <f t="shared" si="2549"/>
        <v>2</v>
      </c>
      <c r="K9093" s="1">
        <v>1</v>
      </c>
      <c r="L9093" s="1" t="s">
        <v>24</v>
      </c>
      <c r="M9093" s="1" t="str">
        <f>"福建省 龙岩市 漳平市 "</f>
        <v xml:space="preserve">福建省 龙岩市 漳平市 </v>
      </c>
      <c r="N9093" s="1" t="str">
        <f t="shared" si="2551"/>
        <v>凡华云仓-韵达-抖音</v>
      </c>
      <c r="O9093" s="5">
        <v>320158412146673</v>
      </c>
      <c r="P9093" s="6">
        <v>0.33</v>
      </c>
      <c r="Q9093" s="11">
        <v>2.2999999999999998</v>
      </c>
      <c r="R9093" s="11"/>
      <c r="S9093" s="11"/>
      <c r="T9093" s="11"/>
      <c r="U9093" s="11">
        <f t="shared" si="2552"/>
        <v>2.2999999999999998</v>
      </c>
      <c r="W9093">
        <v>2.5</v>
      </c>
      <c r="X9093" s="1" t="s">
        <v>24</v>
      </c>
    </row>
    <row r="9094" spans="1:24" x14ac:dyDescent="0.25">
      <c r="A9094" s="1" t="str">
        <f t="shared" si="2543"/>
        <v>卡卡杜-凤凰仓</v>
      </c>
      <c r="B9094" s="1" t="str">
        <f>"CK2024100614174"</f>
        <v>CK2024100614174</v>
      </c>
      <c r="C9094" s="1" t="str">
        <f>"DD2024100644397"</f>
        <v>DD2024100644397</v>
      </c>
      <c r="D9094" s="1" t="str">
        <f>"CK2024100640890"</f>
        <v>CK2024100640890</v>
      </c>
      <c r="E9094" s="1" t="str">
        <f>"6917879125806644640"</f>
        <v>6917879125806644640</v>
      </c>
      <c r="F9094" s="1" t="str">
        <f t="shared" si="2544"/>
        <v>花都四部-凤凰仓</v>
      </c>
      <c r="G9094" s="1" t="str">
        <f t="shared" si="2550"/>
        <v>卡卡杜个人护理店（抖店）</v>
      </c>
      <c r="H9094" s="1" t="str">
        <f t="shared" si="2545"/>
        <v>正常订单</v>
      </c>
      <c r="I9094" s="1" t="str">
        <f t="shared" si="2546"/>
        <v>已发货</v>
      </c>
      <c r="J9094" s="1" t="str">
        <f t="shared" si="2549"/>
        <v>2</v>
      </c>
      <c r="K9094" s="1">
        <v>1</v>
      </c>
      <c r="L9094" s="1" t="s">
        <v>18</v>
      </c>
      <c r="M9094" s="1" t="str">
        <f>"广东省 中山市 中山市 南头镇"</f>
        <v>广东省 中山市 中山市 南头镇</v>
      </c>
      <c r="N9094" s="1" t="str">
        <f t="shared" si="2551"/>
        <v>凡华云仓-韵达-抖音</v>
      </c>
      <c r="O9094" s="5">
        <v>320158412146574</v>
      </c>
      <c r="P9094" s="6">
        <v>0.33</v>
      </c>
      <c r="Q9094" s="11">
        <v>2.2999999999999998</v>
      </c>
      <c r="R9094" s="11"/>
      <c r="S9094" s="11"/>
      <c r="T9094" s="11"/>
      <c r="U9094" s="11">
        <f t="shared" si="2552"/>
        <v>2.2999999999999998</v>
      </c>
      <c r="W9094">
        <v>2.5</v>
      </c>
      <c r="X9094" s="1" t="s">
        <v>18</v>
      </c>
    </row>
    <row r="9095" spans="1:24" x14ac:dyDescent="0.25">
      <c r="A9095" s="1" t="str">
        <f t="shared" si="2543"/>
        <v>卡卡杜-凤凰仓</v>
      </c>
      <c r="B9095" s="1" t="str">
        <f>"CK2024100614173"</f>
        <v>CK2024100614173</v>
      </c>
      <c r="C9095" s="1" t="str">
        <f>"DD2024100644396"</f>
        <v>DD2024100644396</v>
      </c>
      <c r="D9095" s="1" t="str">
        <f>"CK2024100640889"</f>
        <v>CK2024100640889</v>
      </c>
      <c r="E9095" s="1" t="str">
        <f>"6917876510655151630"</f>
        <v>6917876510655151630</v>
      </c>
      <c r="F9095" s="1" t="str">
        <f t="shared" si="2544"/>
        <v>花都四部-凤凰仓</v>
      </c>
      <c r="G9095" s="1" t="str">
        <f t="shared" si="2550"/>
        <v>卡卡杜个人护理店（抖店）</v>
      </c>
      <c r="H9095" s="1" t="str">
        <f t="shared" si="2545"/>
        <v>正常订单</v>
      </c>
      <c r="I9095" s="1" t="str">
        <f t="shared" si="2546"/>
        <v>已发货</v>
      </c>
      <c r="J9095" s="1" t="str">
        <f t="shared" si="2549"/>
        <v>2</v>
      </c>
      <c r="K9095" s="1">
        <v>1</v>
      </c>
      <c r="L9095" s="1" t="s">
        <v>66</v>
      </c>
      <c r="M9095" s="1" t="str">
        <f>"内蒙古自治区 赤峰市 喀喇沁旗 锦山镇"</f>
        <v>内蒙古自治区 赤峰市 喀喇沁旗 锦山镇</v>
      </c>
      <c r="N9095" s="1" t="str">
        <f t="shared" si="2551"/>
        <v>凡华云仓-韵达-抖音</v>
      </c>
      <c r="O9095" s="5">
        <v>320158399852956</v>
      </c>
      <c r="P9095" s="6">
        <v>0.33</v>
      </c>
      <c r="Q9095" s="11">
        <v>2.2999999999999998</v>
      </c>
      <c r="R9095" s="11"/>
      <c r="S9095" s="11"/>
      <c r="T9095" s="11"/>
      <c r="U9095" s="11">
        <f t="shared" si="2552"/>
        <v>2.2999999999999998</v>
      </c>
      <c r="W9095">
        <v>2.5</v>
      </c>
      <c r="X9095" s="1" t="s">
        <v>66</v>
      </c>
    </row>
    <row r="9096" spans="1:24" x14ac:dyDescent="0.25">
      <c r="A9096" s="1" t="str">
        <f t="shared" si="2543"/>
        <v>卡卡杜-凤凰仓</v>
      </c>
      <c r="B9096" s="1" t="str">
        <f>"CK2024100614159"</f>
        <v>CK2024100614159</v>
      </c>
      <c r="C9096" s="1" t="str">
        <f>"DD2024100644384"</f>
        <v>DD2024100644384</v>
      </c>
      <c r="D9096" s="1" t="str">
        <f>"CK2024100640888"</f>
        <v>CK2024100640888</v>
      </c>
      <c r="E9096" s="1" t="str">
        <f>"6917871539972373510"</f>
        <v>6917871539972373510</v>
      </c>
      <c r="F9096" s="1" t="str">
        <f t="shared" si="2544"/>
        <v>花都四部-凤凰仓</v>
      </c>
      <c r="G9096" s="1" t="str">
        <f t="shared" si="2550"/>
        <v>卡卡杜个人护理店（抖店）</v>
      </c>
      <c r="H9096" s="1" t="str">
        <f t="shared" si="2545"/>
        <v>正常订单</v>
      </c>
      <c r="I9096" s="1" t="str">
        <f t="shared" si="2546"/>
        <v>已发货</v>
      </c>
      <c r="J9096" s="1" t="str">
        <f t="shared" si="2549"/>
        <v>2</v>
      </c>
      <c r="K9096" s="1">
        <v>1</v>
      </c>
      <c r="L9096" s="1" t="s">
        <v>20</v>
      </c>
      <c r="M9096" s="1" t="str">
        <f>"浙江省 杭州市 桐庐县 桐君街道"</f>
        <v>浙江省 杭州市 桐庐县 桐君街道</v>
      </c>
      <c r="N9096" s="1" t="str">
        <f t="shared" si="2551"/>
        <v>凡华云仓-韵达-抖音</v>
      </c>
      <c r="O9096" s="5">
        <v>320158399852851</v>
      </c>
      <c r="P9096" s="6">
        <v>0.33</v>
      </c>
      <c r="Q9096" s="11">
        <v>2.2999999999999998</v>
      </c>
      <c r="R9096" s="11"/>
      <c r="S9096" s="11"/>
      <c r="T9096" s="11"/>
      <c r="U9096" s="11">
        <f t="shared" si="2552"/>
        <v>2.2999999999999998</v>
      </c>
      <c r="W9096">
        <v>2.5</v>
      </c>
      <c r="X9096" s="1" t="s">
        <v>20</v>
      </c>
    </row>
    <row r="9097" spans="1:24" x14ac:dyDescent="0.25">
      <c r="A9097" s="1" t="str">
        <f t="shared" si="2543"/>
        <v>卡卡杜-凤凰仓</v>
      </c>
      <c r="B9097" s="1" t="str">
        <f>"CK2024100614178"</f>
        <v>CK2024100614178</v>
      </c>
      <c r="C9097" s="1" t="str">
        <f>"DD2024100644401"</f>
        <v>DD2024100644401</v>
      </c>
      <c r="D9097" s="1" t="str">
        <f>"CK2024100640887"</f>
        <v>CK2024100640887</v>
      </c>
      <c r="E9097" s="1" t="str">
        <f>"6917874540095700671"</f>
        <v>6917874540095700671</v>
      </c>
      <c r="F9097" s="1" t="str">
        <f t="shared" si="2544"/>
        <v>花都四部-凤凰仓</v>
      </c>
      <c r="G9097" s="1" t="str">
        <f t="shared" si="2550"/>
        <v>卡卡杜个人护理店（抖店）</v>
      </c>
      <c r="H9097" s="1" t="str">
        <f t="shared" si="2545"/>
        <v>正常订单</v>
      </c>
      <c r="I9097" s="1" t="str">
        <f t="shared" si="2546"/>
        <v>已发货</v>
      </c>
      <c r="J9097" s="1" t="str">
        <f t="shared" si="2549"/>
        <v>2</v>
      </c>
      <c r="K9097" s="1">
        <v>1</v>
      </c>
      <c r="L9097" s="1" t="s">
        <v>20</v>
      </c>
      <c r="M9097" s="1" t="str">
        <f>"浙江省 金华市 义乌市 佛堂镇"</f>
        <v>浙江省 金华市 义乌市 佛堂镇</v>
      </c>
      <c r="N9097" s="1" t="str">
        <f t="shared" si="2551"/>
        <v>凡华云仓-韵达-抖音</v>
      </c>
      <c r="O9097" s="5">
        <v>320158399852748</v>
      </c>
      <c r="P9097" s="6">
        <v>0.33</v>
      </c>
      <c r="Q9097" s="11">
        <v>2.2999999999999998</v>
      </c>
      <c r="R9097" s="11"/>
      <c r="S9097" s="11"/>
      <c r="T9097" s="11"/>
      <c r="U9097" s="11">
        <f t="shared" si="2552"/>
        <v>2.2999999999999998</v>
      </c>
      <c r="W9097">
        <v>2.5</v>
      </c>
      <c r="X9097" s="1" t="s">
        <v>20</v>
      </c>
    </row>
    <row r="9098" spans="1:24" x14ac:dyDescent="0.25">
      <c r="A9098" s="1" t="str">
        <f t="shared" si="2543"/>
        <v>卡卡杜-凤凰仓</v>
      </c>
      <c r="B9098" s="1" t="str">
        <f>"CK2024100614144"</f>
        <v>CK2024100614144</v>
      </c>
      <c r="C9098" s="1" t="str">
        <f>"DD2024100644366"</f>
        <v>DD2024100644366</v>
      </c>
      <c r="D9098" s="1" t="str">
        <f>"CK2024100640886"</f>
        <v>CK2024100640886</v>
      </c>
      <c r="E9098" s="1" t="str">
        <f>"6917876613172657720"</f>
        <v>6917876613172657720</v>
      </c>
      <c r="F9098" s="1" t="str">
        <f t="shared" si="2544"/>
        <v>花都四部-凤凰仓</v>
      </c>
      <c r="G9098" s="1" t="str">
        <f t="shared" si="2550"/>
        <v>卡卡杜个人护理店（抖店）</v>
      </c>
      <c r="H9098" s="1" t="str">
        <f t="shared" si="2545"/>
        <v>正常订单</v>
      </c>
      <c r="I9098" s="1" t="str">
        <f t="shared" si="2546"/>
        <v>已发货</v>
      </c>
      <c r="J9098" s="1" t="str">
        <f t="shared" si="2549"/>
        <v>2</v>
      </c>
      <c r="K9098" s="1">
        <v>1</v>
      </c>
      <c r="L9098" s="1" t="s">
        <v>105</v>
      </c>
      <c r="M9098" s="1" t="str">
        <f>"北京 北京市 房山区 城关街道"</f>
        <v>北京 北京市 房山区 城关街道</v>
      </c>
      <c r="N9098" s="1" t="str">
        <f t="shared" si="2551"/>
        <v>凡华云仓-韵达-抖音</v>
      </c>
      <c r="O9098" s="5">
        <v>320158399852647</v>
      </c>
      <c r="P9098" s="6">
        <v>0.33</v>
      </c>
      <c r="Q9098" s="11">
        <v>2.2999999999999998</v>
      </c>
      <c r="R9098" s="11"/>
      <c r="S9098" s="11"/>
      <c r="T9098" s="11"/>
      <c r="U9098" s="11">
        <f t="shared" si="2552"/>
        <v>2.2999999999999998</v>
      </c>
      <c r="W9098">
        <v>2.5</v>
      </c>
      <c r="X9098" s="1" t="s">
        <v>105</v>
      </c>
    </row>
    <row r="9099" spans="1:24" x14ac:dyDescent="0.25">
      <c r="A9099" s="1" t="str">
        <f t="shared" si="2543"/>
        <v>卡卡杜-凤凰仓</v>
      </c>
      <c r="B9099" s="1" t="str">
        <f>"CK2024100614146"</f>
        <v>CK2024100614146</v>
      </c>
      <c r="C9099" s="1" t="str">
        <f>"DD2024100644369"</f>
        <v>DD2024100644369</v>
      </c>
      <c r="D9099" s="1" t="str">
        <f>"CK2024100640885"</f>
        <v>CK2024100640885</v>
      </c>
      <c r="E9099" s="1" t="str">
        <f>"6917874379165498644"</f>
        <v>6917874379165498644</v>
      </c>
      <c r="F9099" s="1" t="str">
        <f t="shared" si="2544"/>
        <v>花都四部-凤凰仓</v>
      </c>
      <c r="G9099" s="1" t="str">
        <f t="shared" si="2550"/>
        <v>卡卡杜个人护理店（抖店）</v>
      </c>
      <c r="H9099" s="1" t="str">
        <f t="shared" si="2545"/>
        <v>正常订单</v>
      </c>
      <c r="I9099" s="1" t="str">
        <f t="shared" si="2546"/>
        <v>已发货</v>
      </c>
      <c r="J9099" s="1" t="str">
        <f t="shared" si="2549"/>
        <v>2</v>
      </c>
      <c r="K9099" s="1">
        <v>2</v>
      </c>
      <c r="L9099" s="1" t="s">
        <v>109</v>
      </c>
      <c r="M9099" s="1" t="str">
        <f>"山西省 太原市 尖草坪区 "</f>
        <v xml:space="preserve">山西省 太原市 尖草坪区 </v>
      </c>
      <c r="N9099" s="1" t="str">
        <f t="shared" si="2551"/>
        <v>凡华云仓-韵达-抖音</v>
      </c>
      <c r="O9099" s="5">
        <v>320158399852548</v>
      </c>
      <c r="P9099" s="6">
        <v>0.28000000000000003</v>
      </c>
      <c r="Q9099" s="11">
        <v>2</v>
      </c>
      <c r="R9099" s="11"/>
      <c r="S9099" s="11"/>
      <c r="T9099" s="11"/>
      <c r="U9099" s="11">
        <f t="shared" si="2552"/>
        <v>2</v>
      </c>
      <c r="W9099">
        <v>2.2000000000000002</v>
      </c>
      <c r="X9099" s="1" t="s">
        <v>109</v>
      </c>
    </row>
    <row r="9100" spans="1:24" x14ac:dyDescent="0.25">
      <c r="A9100" s="1" t="str">
        <f t="shared" si="2543"/>
        <v>卡卡杜-凤凰仓</v>
      </c>
      <c r="B9100" s="1" t="str">
        <f>"CK2024100614154"</f>
        <v>CK2024100614154</v>
      </c>
      <c r="C9100" s="1" t="str">
        <f>"DD2024100644376"</f>
        <v>DD2024100644376</v>
      </c>
      <c r="D9100" s="1" t="str">
        <f>"CK2024100640884"</f>
        <v>CK2024100640884</v>
      </c>
      <c r="E9100" s="1" t="str">
        <f>"6917874358668722126"</f>
        <v>6917874358668722126</v>
      </c>
      <c r="F9100" s="1" t="str">
        <f t="shared" si="2544"/>
        <v>花都四部-凤凰仓</v>
      </c>
      <c r="G9100" s="1" t="str">
        <f t="shared" si="2550"/>
        <v>卡卡杜个人护理店（抖店）</v>
      </c>
      <c r="H9100" s="1" t="str">
        <f t="shared" si="2545"/>
        <v>正常订单</v>
      </c>
      <c r="I9100" s="1" t="str">
        <f t="shared" si="2546"/>
        <v>已发货</v>
      </c>
      <c r="J9100" s="1" t="str">
        <f t="shared" si="2549"/>
        <v>2</v>
      </c>
      <c r="K9100" s="1">
        <v>2</v>
      </c>
      <c r="L9100" s="1" t="s">
        <v>18</v>
      </c>
      <c r="M9100" s="1" t="str">
        <f>"广东省 东莞市 东莞市 虎门镇"</f>
        <v>广东省 东莞市 东莞市 虎门镇</v>
      </c>
      <c r="N9100" s="1" t="str">
        <f t="shared" si="2551"/>
        <v>凡华云仓-韵达-抖音</v>
      </c>
      <c r="O9100" s="5">
        <v>320158399852451</v>
      </c>
      <c r="P9100" s="6">
        <v>0.28000000000000003</v>
      </c>
      <c r="Q9100" s="11">
        <v>2</v>
      </c>
      <c r="R9100" s="11"/>
      <c r="S9100" s="11"/>
      <c r="T9100" s="11"/>
      <c r="U9100" s="11">
        <f t="shared" si="2552"/>
        <v>2</v>
      </c>
      <c r="W9100">
        <v>2.2000000000000002</v>
      </c>
      <c r="X9100" s="1" t="s">
        <v>18</v>
      </c>
    </row>
    <row r="9101" spans="1:24" x14ac:dyDescent="0.25">
      <c r="A9101" s="1" t="str">
        <f t="shared" si="2543"/>
        <v>卡卡杜-凤凰仓</v>
      </c>
      <c r="B9101" s="1" t="str">
        <f>"CK2024100614150"</f>
        <v>CK2024100614150</v>
      </c>
      <c r="C9101" s="1" t="str">
        <f>"DD2024100644373"</f>
        <v>DD2024100644373</v>
      </c>
      <c r="D9101" s="1" t="str">
        <f>"CK2024100640883"</f>
        <v>CK2024100640883</v>
      </c>
      <c r="E9101" s="1" t="str">
        <f>"6917878819969989800"</f>
        <v>6917878819969989800</v>
      </c>
      <c r="F9101" s="1" t="str">
        <f t="shared" si="2544"/>
        <v>花都四部-凤凰仓</v>
      </c>
      <c r="G9101" s="1" t="str">
        <f t="shared" si="2550"/>
        <v>卡卡杜个人护理店（抖店）</v>
      </c>
      <c r="H9101" s="1" t="str">
        <f t="shared" si="2545"/>
        <v>正常订单</v>
      </c>
      <c r="I9101" s="1" t="str">
        <f t="shared" si="2546"/>
        <v>已发货</v>
      </c>
      <c r="J9101" s="1" t="str">
        <f t="shared" si="2549"/>
        <v>2</v>
      </c>
      <c r="K9101" s="1">
        <v>1</v>
      </c>
      <c r="L9101" s="1" t="s">
        <v>60</v>
      </c>
      <c r="M9101" s="1" t="str">
        <f>"云南省 德宏傣族景颇族自治州 盈江县 平原镇"</f>
        <v>云南省 德宏傣族景颇族自治州 盈江县 平原镇</v>
      </c>
      <c r="N9101" s="1" t="str">
        <f t="shared" si="2551"/>
        <v>凡华云仓-韵达-抖音</v>
      </c>
      <c r="O9101" s="5">
        <v>320158399852356</v>
      </c>
      <c r="P9101" s="6">
        <v>0.33</v>
      </c>
      <c r="Q9101" s="11">
        <v>2.2999999999999998</v>
      </c>
      <c r="R9101" s="11"/>
      <c r="S9101" s="11"/>
      <c r="T9101" s="11"/>
      <c r="U9101" s="11">
        <f t="shared" si="2552"/>
        <v>2.2999999999999998</v>
      </c>
      <c r="W9101">
        <v>2.5</v>
      </c>
      <c r="X9101" s="1" t="s">
        <v>60</v>
      </c>
    </row>
    <row r="9102" spans="1:24" x14ac:dyDescent="0.25">
      <c r="A9102" s="1" t="str">
        <f t="shared" si="2543"/>
        <v>卡卡杜-凤凰仓</v>
      </c>
      <c r="B9102" s="1" t="str">
        <f>"CK2024100614153"</f>
        <v>CK2024100614153</v>
      </c>
      <c r="C9102" s="1" t="str">
        <f>"DD2024100644375"</f>
        <v>DD2024100644375</v>
      </c>
      <c r="D9102" s="1" t="str">
        <f>"CK2024100640882"</f>
        <v>CK2024100640882</v>
      </c>
      <c r="E9102" s="1" t="str">
        <f>"6917876788576091735"</f>
        <v>6917876788576091735</v>
      </c>
      <c r="F9102" s="1" t="str">
        <f t="shared" si="2544"/>
        <v>花都四部-凤凰仓</v>
      </c>
      <c r="G9102" s="1" t="str">
        <f t="shared" si="2550"/>
        <v>卡卡杜个人护理店（抖店）</v>
      </c>
      <c r="H9102" s="1" t="str">
        <f t="shared" si="2545"/>
        <v>正常订单</v>
      </c>
      <c r="I9102" s="1" t="str">
        <f t="shared" si="2546"/>
        <v>已发货</v>
      </c>
      <c r="J9102" s="1" t="str">
        <f t="shared" si="2549"/>
        <v>2</v>
      </c>
      <c r="K9102" s="1">
        <v>1</v>
      </c>
      <c r="L9102" s="1" t="s">
        <v>18</v>
      </c>
      <c r="M9102" s="1" t="str">
        <f>"广东省 清远市 英德市 青塘镇"</f>
        <v>广东省 清远市 英德市 青塘镇</v>
      </c>
      <c r="N9102" s="1" t="str">
        <f t="shared" si="2551"/>
        <v>凡华云仓-韵达-抖音</v>
      </c>
      <c r="O9102" s="5">
        <v>320158399852263</v>
      </c>
      <c r="P9102" s="6">
        <v>0.33</v>
      </c>
      <c r="Q9102" s="11">
        <v>2.2999999999999998</v>
      </c>
      <c r="R9102" s="11"/>
      <c r="S9102" s="11"/>
      <c r="T9102" s="11"/>
      <c r="U9102" s="11">
        <f t="shared" si="2552"/>
        <v>2.2999999999999998</v>
      </c>
      <c r="W9102">
        <v>2.5</v>
      </c>
      <c r="X9102" s="1" t="s">
        <v>18</v>
      </c>
    </row>
    <row r="9103" spans="1:24" x14ac:dyDescent="0.25">
      <c r="A9103" s="1" t="str">
        <f t="shared" si="2543"/>
        <v>卡卡杜-凤凰仓</v>
      </c>
      <c r="B9103" s="1" t="str">
        <f>"CK2024100614152"</f>
        <v>CK2024100614152</v>
      </c>
      <c r="C9103" s="1" t="str">
        <f>"DD2024100644377"</f>
        <v>DD2024100644377</v>
      </c>
      <c r="D9103" s="1" t="str">
        <f>"CK2024100640881"</f>
        <v>CK2024100640881</v>
      </c>
      <c r="E9103" s="1" t="str">
        <f>"6917881010924387358"</f>
        <v>6917881010924387358</v>
      </c>
      <c r="F9103" s="1" t="str">
        <f t="shared" si="2544"/>
        <v>花都四部-凤凰仓</v>
      </c>
      <c r="G9103" s="1" t="str">
        <f t="shared" si="2550"/>
        <v>卡卡杜个人护理店（抖店）</v>
      </c>
      <c r="H9103" s="1" t="str">
        <f t="shared" si="2545"/>
        <v>正常订单</v>
      </c>
      <c r="I9103" s="1" t="str">
        <f t="shared" si="2546"/>
        <v>已发货</v>
      </c>
      <c r="J9103" s="1" t="str">
        <f t="shared" si="2549"/>
        <v>2</v>
      </c>
      <c r="K9103" s="1">
        <v>1</v>
      </c>
      <c r="L9103" s="1" t="s">
        <v>20</v>
      </c>
      <c r="M9103" s="1" t="str">
        <f>"浙江省 嘉兴市 嘉善县 罗星街道"</f>
        <v>浙江省 嘉兴市 嘉善县 罗星街道</v>
      </c>
      <c r="N9103" s="1" t="str">
        <f t="shared" si="2551"/>
        <v>凡华云仓-韵达-抖音</v>
      </c>
      <c r="O9103" s="5">
        <v>320158399852172</v>
      </c>
      <c r="P9103" s="6">
        <v>0.33</v>
      </c>
      <c r="Q9103" s="11">
        <v>2.2999999999999998</v>
      </c>
      <c r="R9103" s="11"/>
      <c r="S9103" s="11"/>
      <c r="T9103" s="11"/>
      <c r="U9103" s="11">
        <f t="shared" si="2552"/>
        <v>2.2999999999999998</v>
      </c>
      <c r="W9103">
        <v>2.5</v>
      </c>
      <c r="X9103" s="1" t="s">
        <v>20</v>
      </c>
    </row>
    <row r="9104" spans="1:24" x14ac:dyDescent="0.25">
      <c r="A9104" s="1" t="str">
        <f t="shared" si="2543"/>
        <v>卡卡杜-凤凰仓</v>
      </c>
      <c r="B9104" s="1" t="str">
        <f>"CK2024100614148"</f>
        <v>CK2024100614148</v>
      </c>
      <c r="C9104" s="1" t="str">
        <f>"DD2024100644371"</f>
        <v>DD2024100644371</v>
      </c>
      <c r="D9104" s="1" t="str">
        <f>"CK2024100640880"</f>
        <v>CK2024100640880</v>
      </c>
      <c r="E9104" s="1" t="str">
        <f>"6917871839383289186"</f>
        <v>6917871839383289186</v>
      </c>
      <c r="F9104" s="1" t="str">
        <f t="shared" si="2544"/>
        <v>花都四部-凤凰仓</v>
      </c>
      <c r="G9104" s="1" t="str">
        <f t="shared" si="2550"/>
        <v>卡卡杜个人护理店（抖店）</v>
      </c>
      <c r="H9104" s="1" t="str">
        <f t="shared" si="2545"/>
        <v>正常订单</v>
      </c>
      <c r="I9104" s="1" t="str">
        <f t="shared" si="2546"/>
        <v>已发货</v>
      </c>
      <c r="J9104" s="1" t="str">
        <f t="shared" si="2549"/>
        <v>2</v>
      </c>
      <c r="K9104" s="1">
        <v>1</v>
      </c>
      <c r="L9104" s="1" t="s">
        <v>74</v>
      </c>
      <c r="M9104" s="1" t="str">
        <f>"上海 上海市 闵行区 七宝镇"</f>
        <v>上海 上海市 闵行区 七宝镇</v>
      </c>
      <c r="N9104" s="1" t="str">
        <f t="shared" si="2551"/>
        <v>凡华云仓-韵达-抖音</v>
      </c>
      <c r="O9104" s="5">
        <v>320158399852083</v>
      </c>
      <c r="P9104" s="6">
        <v>0.33</v>
      </c>
      <c r="Q9104" s="11">
        <v>2.2999999999999998</v>
      </c>
      <c r="R9104" s="11"/>
      <c r="S9104" s="11"/>
      <c r="T9104" s="11"/>
      <c r="U9104" s="11">
        <f t="shared" si="2552"/>
        <v>2.2999999999999998</v>
      </c>
      <c r="W9104">
        <v>2.5</v>
      </c>
      <c r="X9104" s="1" t="s">
        <v>74</v>
      </c>
    </row>
    <row r="9105" spans="1:24" x14ac:dyDescent="0.25">
      <c r="A9105" s="1" t="str">
        <f t="shared" si="2543"/>
        <v>卡卡杜-凤凰仓</v>
      </c>
      <c r="B9105" s="1" t="str">
        <f>"CK2024100614147"</f>
        <v>CK2024100614147</v>
      </c>
      <c r="C9105" s="1" t="str">
        <f>"DD2024100644370"</f>
        <v>DD2024100644370</v>
      </c>
      <c r="D9105" s="1" t="str">
        <f>"CK2024100640879"</f>
        <v>CK2024100640879</v>
      </c>
      <c r="E9105" s="1" t="str">
        <f>"6917874291032358654"</f>
        <v>6917874291032358654</v>
      </c>
      <c r="F9105" s="1" t="str">
        <f t="shared" si="2544"/>
        <v>花都四部-凤凰仓</v>
      </c>
      <c r="G9105" s="1" t="str">
        <f t="shared" si="2550"/>
        <v>卡卡杜个人护理店（抖店）</v>
      </c>
      <c r="H9105" s="1" t="str">
        <f t="shared" si="2545"/>
        <v>正常订单</v>
      </c>
      <c r="I9105" s="1" t="str">
        <f t="shared" si="2546"/>
        <v>已发货</v>
      </c>
      <c r="J9105" s="1" t="str">
        <f t="shared" si="2549"/>
        <v>2</v>
      </c>
      <c r="K9105" s="1">
        <v>1</v>
      </c>
      <c r="L9105" s="1" t="s">
        <v>30</v>
      </c>
      <c r="M9105" s="1" t="str">
        <f>"山东省 烟台市 海阳市 "</f>
        <v xml:space="preserve">山东省 烟台市 海阳市 </v>
      </c>
      <c r="N9105" s="1" t="str">
        <f t="shared" si="2551"/>
        <v>凡华云仓-韵达-抖音</v>
      </c>
      <c r="O9105" s="5">
        <v>320158378871079</v>
      </c>
      <c r="P9105" s="6">
        <v>0.33</v>
      </c>
      <c r="Q9105" s="11">
        <v>2.2999999999999998</v>
      </c>
      <c r="R9105" s="11"/>
      <c r="S9105" s="11"/>
      <c r="T9105" s="11"/>
      <c r="U9105" s="11">
        <f t="shared" si="2552"/>
        <v>2.2999999999999998</v>
      </c>
      <c r="W9105">
        <v>2.5</v>
      </c>
      <c r="X9105" s="1" t="s">
        <v>30</v>
      </c>
    </row>
    <row r="9106" spans="1:24" x14ac:dyDescent="0.25">
      <c r="A9106" s="1" t="str">
        <f t="shared" si="2543"/>
        <v>卡卡杜-凤凰仓</v>
      </c>
      <c r="B9106" s="1" t="str">
        <f>"CK2024100614149"</f>
        <v>CK2024100614149</v>
      </c>
      <c r="C9106" s="1" t="str">
        <f>"DD2024100644372"</f>
        <v>DD2024100644372</v>
      </c>
      <c r="D9106" s="1" t="str">
        <f>"CK2024100640878"</f>
        <v>CK2024100640878</v>
      </c>
      <c r="E9106" s="1" t="str">
        <f>"6917876627713523437"</f>
        <v>6917876627713523437</v>
      </c>
      <c r="F9106" s="1" t="str">
        <f t="shared" si="2544"/>
        <v>花都四部-凤凰仓</v>
      </c>
      <c r="G9106" s="1" t="str">
        <f t="shared" si="2550"/>
        <v>卡卡杜个人护理店（抖店）</v>
      </c>
      <c r="H9106" s="1" t="str">
        <f t="shared" si="2545"/>
        <v>正常订单</v>
      </c>
      <c r="I9106" s="1" t="str">
        <f t="shared" si="2546"/>
        <v>已发货</v>
      </c>
      <c r="J9106" s="1" t="str">
        <f t="shared" si="2549"/>
        <v>2</v>
      </c>
      <c r="K9106" s="1">
        <v>1</v>
      </c>
      <c r="L9106" s="1" t="s">
        <v>36</v>
      </c>
      <c r="M9106" s="1" t="str">
        <f>"安徽省 安庆市 怀宁县 公岭镇"</f>
        <v>安徽省 安庆市 怀宁县 公岭镇</v>
      </c>
      <c r="N9106" s="1" t="str">
        <f t="shared" si="2551"/>
        <v>凡华云仓-韵达-抖音</v>
      </c>
      <c r="O9106" s="5">
        <v>320158378870963</v>
      </c>
      <c r="P9106" s="6">
        <v>0.33</v>
      </c>
      <c r="Q9106" s="11">
        <v>2.2999999999999998</v>
      </c>
      <c r="R9106" s="11"/>
      <c r="S9106" s="11"/>
      <c r="T9106" s="11"/>
      <c r="U9106" s="11">
        <f t="shared" si="2552"/>
        <v>2.2999999999999998</v>
      </c>
      <c r="W9106">
        <v>2.5</v>
      </c>
      <c r="X9106" s="1" t="s">
        <v>36</v>
      </c>
    </row>
    <row r="9107" spans="1:24" x14ac:dyDescent="0.25">
      <c r="A9107" s="1" t="str">
        <f t="shared" si="2543"/>
        <v>卡卡杜-凤凰仓</v>
      </c>
      <c r="B9107" s="1" t="str">
        <f>"CK2024100614142"</f>
        <v>CK2024100614142</v>
      </c>
      <c r="C9107" s="1" t="str">
        <f>"DD2024100644365"</f>
        <v>DD2024100644365</v>
      </c>
      <c r="D9107" s="1" t="str">
        <f>"CK2024100640877"</f>
        <v>CK2024100640877</v>
      </c>
      <c r="E9107" s="1" t="str">
        <f>"6917876577266925164"</f>
        <v>6917876577266925164</v>
      </c>
      <c r="F9107" s="1" t="str">
        <f t="shared" si="2544"/>
        <v>花都四部-凤凰仓</v>
      </c>
      <c r="G9107" s="1" t="str">
        <f t="shared" si="2550"/>
        <v>卡卡杜个人护理店（抖店）</v>
      </c>
      <c r="H9107" s="1" t="str">
        <f t="shared" si="2545"/>
        <v>正常订单</v>
      </c>
      <c r="I9107" s="1" t="str">
        <f t="shared" si="2546"/>
        <v>已发货</v>
      </c>
      <c r="J9107" s="1" t="str">
        <f t="shared" si="2549"/>
        <v>2</v>
      </c>
      <c r="K9107" s="1">
        <v>1</v>
      </c>
      <c r="L9107" s="1" t="s">
        <v>80</v>
      </c>
      <c r="M9107" s="1" t="str">
        <f>"河南省 新乡市 新乡县 七里营镇"</f>
        <v>河南省 新乡市 新乡县 七里营镇</v>
      </c>
      <c r="N9107" s="1" t="str">
        <f t="shared" si="2551"/>
        <v>凡华云仓-韵达-抖音</v>
      </c>
      <c r="O9107" s="5">
        <v>320158378870858</v>
      </c>
      <c r="P9107" s="6">
        <v>0.33</v>
      </c>
      <c r="Q9107" s="11">
        <v>2.2999999999999998</v>
      </c>
      <c r="R9107" s="11"/>
      <c r="S9107" s="11"/>
      <c r="T9107" s="11"/>
      <c r="U9107" s="11">
        <f t="shared" si="2552"/>
        <v>2.2999999999999998</v>
      </c>
      <c r="W9107">
        <v>2.5</v>
      </c>
      <c r="X9107" s="1" t="s">
        <v>80</v>
      </c>
    </row>
    <row r="9108" spans="1:24" x14ac:dyDescent="0.25">
      <c r="A9108" s="1" t="str">
        <f t="shared" si="2543"/>
        <v>卡卡杜-凤凰仓</v>
      </c>
      <c r="B9108" s="1" t="str">
        <f>"CK2024100614141"</f>
        <v>CK2024100614141</v>
      </c>
      <c r="C9108" s="1" t="str">
        <f>"DD2024100644364"</f>
        <v>DD2024100644364</v>
      </c>
      <c r="D9108" s="1" t="str">
        <f>"CK2024100640876"</f>
        <v>CK2024100640876</v>
      </c>
      <c r="E9108" s="1" t="str">
        <f>"6917874182613663399"</f>
        <v>6917874182613663399</v>
      </c>
      <c r="F9108" s="1" t="str">
        <f t="shared" si="2544"/>
        <v>花都四部-凤凰仓</v>
      </c>
      <c r="G9108" s="1" t="str">
        <f t="shared" si="2550"/>
        <v>卡卡杜个人护理店（抖店）</v>
      </c>
      <c r="H9108" s="1" t="str">
        <f t="shared" si="2545"/>
        <v>正常订单</v>
      </c>
      <c r="I9108" s="1" t="str">
        <f t="shared" si="2546"/>
        <v>已发货</v>
      </c>
      <c r="J9108" s="1" t="str">
        <f t="shared" si="2549"/>
        <v>2</v>
      </c>
      <c r="K9108" s="1">
        <v>1</v>
      </c>
      <c r="L9108" s="1" t="s">
        <v>18</v>
      </c>
      <c r="M9108" s="1" t="str">
        <f>"广东省 广州市 海珠区 江海街道"</f>
        <v>广东省 广州市 海珠区 江海街道</v>
      </c>
      <c r="N9108" s="1" t="str">
        <f t="shared" si="2551"/>
        <v>凡华云仓-韵达-抖音</v>
      </c>
      <c r="O9108" s="5">
        <v>320158378870755</v>
      </c>
      <c r="P9108" s="6">
        <v>0.33</v>
      </c>
      <c r="Q9108" s="11">
        <v>2.2999999999999998</v>
      </c>
      <c r="R9108" s="11"/>
      <c r="S9108" s="11"/>
      <c r="T9108" s="11"/>
      <c r="U9108" s="11">
        <f t="shared" si="2552"/>
        <v>2.2999999999999998</v>
      </c>
      <c r="W9108">
        <v>2.5</v>
      </c>
      <c r="X9108" s="1" t="s">
        <v>18</v>
      </c>
    </row>
    <row r="9109" spans="1:24" x14ac:dyDescent="0.25">
      <c r="A9109" s="1" t="str">
        <f t="shared" si="2543"/>
        <v>卡卡杜-凤凰仓</v>
      </c>
      <c r="B9109" s="1" t="str">
        <f>"CK2024100614145"</f>
        <v>CK2024100614145</v>
      </c>
      <c r="C9109" s="1" t="str">
        <f>"DD2024100644368"</f>
        <v>DD2024100644368</v>
      </c>
      <c r="D9109" s="1" t="str">
        <f>"CK2024100640875"</f>
        <v>CK2024100640875</v>
      </c>
      <c r="E9109" s="1" t="str">
        <f>"6917871765451669056"</f>
        <v>6917871765451669056</v>
      </c>
      <c r="F9109" s="1" t="str">
        <f t="shared" si="2544"/>
        <v>花都四部-凤凰仓</v>
      </c>
      <c r="G9109" s="1" t="str">
        <f t="shared" si="2550"/>
        <v>卡卡杜个人护理店（抖店）</v>
      </c>
      <c r="H9109" s="1" t="str">
        <f t="shared" si="2545"/>
        <v>正常订单</v>
      </c>
      <c r="I9109" s="1" t="str">
        <f t="shared" si="2546"/>
        <v>已发货</v>
      </c>
      <c r="J9109" s="1" t="str">
        <f t="shared" si="2549"/>
        <v>2</v>
      </c>
      <c r="K9109" s="1">
        <v>1</v>
      </c>
      <c r="L9109" s="1" t="s">
        <v>13</v>
      </c>
      <c r="M9109" s="1" t="str">
        <f>"江苏省 宿迁市 宿豫区 豫新街道"</f>
        <v>江苏省 宿迁市 宿豫区 豫新街道</v>
      </c>
      <c r="N9109" s="1" t="str">
        <f t="shared" si="2551"/>
        <v>凡华云仓-韵达-抖音</v>
      </c>
      <c r="O9109" s="5">
        <v>320158378870654</v>
      </c>
      <c r="P9109" s="6">
        <v>0.33</v>
      </c>
      <c r="Q9109" s="11">
        <v>2.2999999999999998</v>
      </c>
      <c r="R9109" s="11"/>
      <c r="S9109" s="11"/>
      <c r="T9109" s="11"/>
      <c r="U9109" s="11">
        <f t="shared" si="2552"/>
        <v>2.2999999999999998</v>
      </c>
      <c r="W9109">
        <v>2.5</v>
      </c>
      <c r="X9109" s="1" t="s">
        <v>13</v>
      </c>
    </row>
    <row r="9110" spans="1:24" x14ac:dyDescent="0.25">
      <c r="A9110" s="1" t="str">
        <f t="shared" si="2543"/>
        <v>卡卡杜-凤凰仓</v>
      </c>
      <c r="B9110" s="1" t="str">
        <f>"CK2024100614172"</f>
        <v>CK2024100614172</v>
      </c>
      <c r="C9110" s="1" t="str">
        <f>"DD2024100644395"</f>
        <v>DD2024100644395</v>
      </c>
      <c r="D9110" s="1" t="str">
        <f>"CK2024100640874"</f>
        <v>CK2024100640874</v>
      </c>
      <c r="E9110" s="1" t="str">
        <f>"6917878688023543013"</f>
        <v>6917878688023543013</v>
      </c>
      <c r="F9110" s="1" t="str">
        <f t="shared" si="2544"/>
        <v>花都四部-凤凰仓</v>
      </c>
      <c r="G9110" s="1" t="str">
        <f t="shared" si="2550"/>
        <v>卡卡杜个人护理店（抖店）</v>
      </c>
      <c r="H9110" s="1" t="str">
        <f t="shared" si="2545"/>
        <v>正常订单</v>
      </c>
      <c r="I9110" s="1" t="str">
        <f t="shared" si="2546"/>
        <v>已发货</v>
      </c>
      <c r="J9110" s="1" t="str">
        <f t="shared" si="2549"/>
        <v>2</v>
      </c>
      <c r="K9110" s="1">
        <v>1</v>
      </c>
      <c r="L9110" s="1" t="s">
        <v>18</v>
      </c>
      <c r="M9110" s="1" t="str">
        <f>"广东省 潮州市 潮安区 江东镇"</f>
        <v>广东省 潮州市 潮安区 江东镇</v>
      </c>
      <c r="N9110" s="1" t="str">
        <f t="shared" si="2551"/>
        <v>凡华云仓-韵达-抖音</v>
      </c>
      <c r="O9110" s="5">
        <v>320158378870555</v>
      </c>
      <c r="P9110" s="6">
        <v>0.33</v>
      </c>
      <c r="Q9110" s="11">
        <v>2.2999999999999998</v>
      </c>
      <c r="R9110" s="11"/>
      <c r="S9110" s="11"/>
      <c r="T9110" s="11"/>
      <c r="U9110" s="11">
        <f t="shared" si="2552"/>
        <v>2.2999999999999998</v>
      </c>
      <c r="W9110">
        <v>2.5</v>
      </c>
      <c r="X9110" s="1" t="s">
        <v>18</v>
      </c>
    </row>
    <row r="9111" spans="1:24" x14ac:dyDescent="0.25">
      <c r="A9111" s="1" t="str">
        <f t="shared" si="2543"/>
        <v>卡卡杜-凤凰仓</v>
      </c>
      <c r="B9111" s="1" t="str">
        <f>"CK2024100614161"</f>
        <v>CK2024100614161</v>
      </c>
      <c r="C9111" s="1" t="str">
        <f>"DD2024100644383"</f>
        <v>DD2024100644383</v>
      </c>
      <c r="D9111" s="1" t="str">
        <f>"CK2024100640873"</f>
        <v>CK2024100640873</v>
      </c>
      <c r="E9111" s="1" t="str">
        <f>"6917880968575089690"</f>
        <v>6917880968575089690</v>
      </c>
      <c r="F9111" s="1" t="str">
        <f t="shared" si="2544"/>
        <v>花都四部-凤凰仓</v>
      </c>
      <c r="G9111" s="1" t="str">
        <f t="shared" si="2550"/>
        <v>卡卡杜个人护理店（抖店）</v>
      </c>
      <c r="H9111" s="1" t="str">
        <f t="shared" si="2545"/>
        <v>正常订单</v>
      </c>
      <c r="I9111" s="1" t="str">
        <f t="shared" si="2546"/>
        <v>已发货</v>
      </c>
      <c r="J9111" s="1" t="str">
        <f t="shared" si="2549"/>
        <v>2</v>
      </c>
      <c r="K9111" s="1">
        <v>2</v>
      </c>
      <c r="L9111" s="1" t="s">
        <v>41</v>
      </c>
      <c r="M9111" s="1" t="str">
        <f>"湖北省 武汉市 武昌区 徐家棚街道"</f>
        <v>湖北省 武汉市 武昌区 徐家棚街道</v>
      </c>
      <c r="N9111" s="1" t="str">
        <f t="shared" si="2551"/>
        <v>凡华云仓-韵达-抖音</v>
      </c>
      <c r="O9111" s="5">
        <v>320158378870458</v>
      </c>
      <c r="P9111" s="6">
        <v>0.28000000000000003</v>
      </c>
      <c r="Q9111" s="11">
        <v>2</v>
      </c>
      <c r="R9111" s="11"/>
      <c r="S9111" s="11"/>
      <c r="T9111" s="11"/>
      <c r="U9111" s="11">
        <f t="shared" si="2552"/>
        <v>2</v>
      </c>
      <c r="W9111">
        <v>2.2000000000000002</v>
      </c>
      <c r="X9111" s="1" t="s">
        <v>41</v>
      </c>
    </row>
    <row r="9112" spans="1:24" x14ac:dyDescent="0.25">
      <c r="A9112" s="1" t="str">
        <f t="shared" si="2543"/>
        <v>卡卡杜-凤凰仓</v>
      </c>
      <c r="B9112" s="1" t="str">
        <f>"CK2024100614164"</f>
        <v>CK2024100614164</v>
      </c>
      <c r="C9112" s="1" t="str">
        <f>"DD2024100644388"</f>
        <v>DD2024100644388</v>
      </c>
      <c r="D9112" s="1" t="str">
        <f>"CK2024100640872"</f>
        <v>CK2024100640872</v>
      </c>
      <c r="E9112" s="1" t="str">
        <f>"6917880799237210025"</f>
        <v>6917880799237210025</v>
      </c>
      <c r="F9112" s="1" t="str">
        <f t="shared" si="2544"/>
        <v>花都四部-凤凰仓</v>
      </c>
      <c r="G9112" s="1" t="str">
        <f t="shared" si="2550"/>
        <v>卡卡杜个人护理店（抖店）</v>
      </c>
      <c r="H9112" s="1" t="str">
        <f t="shared" si="2545"/>
        <v>正常订单</v>
      </c>
      <c r="I9112" s="1" t="str">
        <f t="shared" si="2546"/>
        <v>已发货</v>
      </c>
      <c r="J9112" s="1" t="str">
        <f t="shared" si="2549"/>
        <v>2</v>
      </c>
      <c r="K9112" s="1">
        <v>1</v>
      </c>
      <c r="L9112" s="1" t="s">
        <v>94</v>
      </c>
      <c r="M9112" s="1" t="str">
        <f>"湖南省 岳阳市 汨罗市 归义镇"</f>
        <v>湖南省 岳阳市 汨罗市 归义镇</v>
      </c>
      <c r="N9112" s="1" t="str">
        <f t="shared" si="2551"/>
        <v>凡华云仓-韵达-抖音</v>
      </c>
      <c r="O9112" s="5">
        <v>320158378870363</v>
      </c>
      <c r="P9112" s="6">
        <v>0.33</v>
      </c>
      <c r="Q9112" s="11">
        <v>2.2999999999999998</v>
      </c>
      <c r="R9112" s="11"/>
      <c r="S9112" s="11"/>
      <c r="T9112" s="11"/>
      <c r="U9112" s="11">
        <f t="shared" si="2552"/>
        <v>2.2999999999999998</v>
      </c>
      <c r="W9112">
        <v>2.5</v>
      </c>
      <c r="X9112" s="1" t="s">
        <v>94</v>
      </c>
    </row>
    <row r="9113" spans="1:24" x14ac:dyDescent="0.25">
      <c r="A9113" s="1" t="str">
        <f t="shared" si="2543"/>
        <v>卡卡杜-凤凰仓</v>
      </c>
      <c r="B9113" s="1" t="str">
        <f>"CK2024100614169"</f>
        <v>CK2024100614169</v>
      </c>
      <c r="C9113" s="1" t="str">
        <f>"DD2024100644392"</f>
        <v>DD2024100644392</v>
      </c>
      <c r="D9113" s="1" t="str">
        <f>"CK2024100640871"</f>
        <v>CK2024100640871</v>
      </c>
      <c r="E9113" s="1" t="str">
        <f>"6917878476522094120"</f>
        <v>6917878476522094120</v>
      </c>
      <c r="F9113" s="1" t="str">
        <f t="shared" si="2544"/>
        <v>花都四部-凤凰仓</v>
      </c>
      <c r="G9113" s="1" t="str">
        <f t="shared" si="2550"/>
        <v>卡卡杜个人护理店（抖店）</v>
      </c>
      <c r="H9113" s="1" t="str">
        <f t="shared" si="2545"/>
        <v>正常订单</v>
      </c>
      <c r="I9113" s="1" t="str">
        <f t="shared" si="2546"/>
        <v>已发货</v>
      </c>
      <c r="J9113" s="1" t="str">
        <f t="shared" si="2549"/>
        <v>2</v>
      </c>
      <c r="K9113" s="1">
        <v>1</v>
      </c>
      <c r="L9113" s="1" t="s">
        <v>22</v>
      </c>
      <c r="M9113" s="1" t="str">
        <f>"江西省 赣州市 兴国县 长冈乡"</f>
        <v>江西省 赣州市 兴国县 长冈乡</v>
      </c>
      <c r="N9113" s="1" t="str">
        <f t="shared" si="2551"/>
        <v>凡华云仓-韵达-抖音</v>
      </c>
      <c r="O9113" s="5">
        <v>320158378870270</v>
      </c>
      <c r="P9113" s="6">
        <v>0.33</v>
      </c>
      <c r="Q9113" s="11">
        <v>2.2999999999999998</v>
      </c>
      <c r="R9113" s="11"/>
      <c r="S9113" s="11"/>
      <c r="T9113" s="11"/>
      <c r="U9113" s="11">
        <f t="shared" si="2552"/>
        <v>2.2999999999999998</v>
      </c>
      <c r="W9113">
        <v>2.5</v>
      </c>
      <c r="X9113" s="1" t="s">
        <v>22</v>
      </c>
    </row>
    <row r="9114" spans="1:24" x14ac:dyDescent="0.25">
      <c r="A9114" s="1" t="str">
        <f t="shared" si="2543"/>
        <v>卡卡杜-凤凰仓</v>
      </c>
      <c r="B9114" s="1" t="str">
        <f>"CK2024100614307"</f>
        <v>CK2024100614307</v>
      </c>
      <c r="C9114" s="1" t="str">
        <f>"DD2024100644530"</f>
        <v>DD2024100644530</v>
      </c>
      <c r="D9114" s="1" t="str">
        <f>"CK2024100640870"</f>
        <v>CK2024100640870</v>
      </c>
      <c r="E9114" s="1" t="str">
        <f>"6917880711693762435"</f>
        <v>6917880711693762435</v>
      </c>
      <c r="F9114" s="1" t="str">
        <f t="shared" si="2544"/>
        <v>花都四部-凤凰仓</v>
      </c>
      <c r="G9114" s="1" t="str">
        <f t="shared" si="2550"/>
        <v>卡卡杜个人护理店（抖店）</v>
      </c>
      <c r="H9114" s="1" t="str">
        <f t="shared" si="2545"/>
        <v>正常订单</v>
      </c>
      <c r="I9114" s="1" t="str">
        <f t="shared" si="2546"/>
        <v>已发货</v>
      </c>
      <c r="J9114" s="1" t="str">
        <f t="shared" si="2549"/>
        <v>2</v>
      </c>
      <c r="K9114" s="1">
        <v>1</v>
      </c>
      <c r="L9114" s="1" t="s">
        <v>60</v>
      </c>
      <c r="M9114" s="1" t="str">
        <f>"云南省 曲靖市 罗平县 "</f>
        <v xml:space="preserve">云南省 曲靖市 罗平县 </v>
      </c>
      <c r="N9114" s="1" t="str">
        <f t="shared" si="2551"/>
        <v>凡华云仓-韵达-抖音</v>
      </c>
      <c r="O9114" s="5">
        <v>320158378870179</v>
      </c>
      <c r="P9114" s="6">
        <v>0.33</v>
      </c>
      <c r="Q9114" s="11">
        <v>2.2999999999999998</v>
      </c>
      <c r="R9114" s="11"/>
      <c r="S9114" s="11"/>
      <c r="T9114" s="11"/>
      <c r="U9114" s="11">
        <f t="shared" si="2552"/>
        <v>2.2999999999999998</v>
      </c>
      <c r="W9114">
        <v>2.5</v>
      </c>
      <c r="X9114" s="1" t="s">
        <v>60</v>
      </c>
    </row>
    <row r="9115" spans="1:24" x14ac:dyDescent="0.25">
      <c r="A9115" s="1" t="str">
        <f t="shared" si="2543"/>
        <v>卡卡杜-凤凰仓</v>
      </c>
      <c r="B9115" s="1" t="str">
        <f>"CK2024100614302"</f>
        <v>CK2024100614302</v>
      </c>
      <c r="C9115" s="1" t="str">
        <f>"DD2024100644525"</f>
        <v>DD2024100644525</v>
      </c>
      <c r="D9115" s="1" t="str">
        <f>"CK2024100640869"</f>
        <v>CK2024100640869</v>
      </c>
      <c r="E9115" s="1" t="str">
        <f>"6917873895353122052"</f>
        <v>6917873895353122052</v>
      </c>
      <c r="F9115" s="1" t="str">
        <f t="shared" si="2544"/>
        <v>花都四部-凤凰仓</v>
      </c>
      <c r="G9115" s="1" t="str">
        <f t="shared" si="2550"/>
        <v>卡卡杜个人护理店（抖店）</v>
      </c>
      <c r="H9115" s="1" t="str">
        <f t="shared" si="2545"/>
        <v>正常订单</v>
      </c>
      <c r="I9115" s="1" t="str">
        <f t="shared" si="2546"/>
        <v>已发货</v>
      </c>
      <c r="J9115" s="1" t="str">
        <f t="shared" si="2549"/>
        <v>2</v>
      </c>
      <c r="K9115" s="1">
        <v>1</v>
      </c>
      <c r="L9115" s="1" t="s">
        <v>24</v>
      </c>
      <c r="M9115" s="1" t="str">
        <f>"福建省 莆田市 仙游县 "</f>
        <v xml:space="preserve">福建省 莆田市 仙游县 </v>
      </c>
      <c r="N9115" s="1" t="str">
        <f t="shared" si="2551"/>
        <v>凡华云仓-韵达-抖音</v>
      </c>
      <c r="O9115" s="5">
        <v>320158378872535</v>
      </c>
      <c r="P9115" s="6">
        <v>0.33</v>
      </c>
      <c r="Q9115" s="11">
        <v>2.2999999999999998</v>
      </c>
      <c r="R9115" s="11"/>
      <c r="S9115" s="11"/>
      <c r="T9115" s="11"/>
      <c r="U9115" s="11">
        <f t="shared" si="2552"/>
        <v>2.2999999999999998</v>
      </c>
      <c r="W9115">
        <v>2.5</v>
      </c>
      <c r="X9115" s="1" t="s">
        <v>24</v>
      </c>
    </row>
    <row r="9116" spans="1:24" x14ac:dyDescent="0.25">
      <c r="A9116" s="1" t="str">
        <f t="shared" si="2543"/>
        <v>卡卡杜-凤凰仓</v>
      </c>
      <c r="B9116" s="1" t="str">
        <f>"CK2024100614308"</f>
        <v>CK2024100614308</v>
      </c>
      <c r="C9116" s="1" t="str">
        <f>"DD2024100644533"</f>
        <v>DD2024100644533</v>
      </c>
      <c r="D9116" s="1" t="str">
        <f>"CK2024100640868"</f>
        <v>CK2024100640868</v>
      </c>
      <c r="E9116" s="1" t="str">
        <f>"6917878765114850918"</f>
        <v>6917878765114850918</v>
      </c>
      <c r="F9116" s="1" t="str">
        <f t="shared" si="2544"/>
        <v>花都四部-凤凰仓</v>
      </c>
      <c r="G9116" s="1" t="str">
        <f t="shared" si="2550"/>
        <v>卡卡杜个人护理店（抖店）</v>
      </c>
      <c r="H9116" s="1" t="str">
        <f t="shared" si="2545"/>
        <v>正常订单</v>
      </c>
      <c r="I9116" s="1" t="str">
        <f t="shared" si="2546"/>
        <v>已发货</v>
      </c>
      <c r="J9116" s="1" t="str">
        <f t="shared" si="2549"/>
        <v>2</v>
      </c>
      <c r="K9116" s="1">
        <v>1</v>
      </c>
      <c r="L9116" s="1" t="s">
        <v>18</v>
      </c>
      <c r="M9116" s="1" t="str">
        <f>"广东省 揭阳市 普宁市 占陇镇"</f>
        <v>广东省 揭阳市 普宁市 占陇镇</v>
      </c>
      <c r="N9116" s="1" t="str">
        <f t="shared" si="2551"/>
        <v>凡华云仓-韵达-抖音</v>
      </c>
      <c r="O9116" s="5">
        <v>320158378872438</v>
      </c>
      <c r="P9116" s="6">
        <v>0.33</v>
      </c>
      <c r="Q9116" s="11">
        <v>2.2999999999999998</v>
      </c>
      <c r="R9116" s="11"/>
      <c r="S9116" s="11"/>
      <c r="T9116" s="11"/>
      <c r="U9116" s="11">
        <f t="shared" si="2552"/>
        <v>2.2999999999999998</v>
      </c>
      <c r="W9116">
        <v>2.5</v>
      </c>
      <c r="X9116" s="1" t="s">
        <v>18</v>
      </c>
    </row>
    <row r="9117" spans="1:24" x14ac:dyDescent="0.25">
      <c r="A9117" s="1" t="str">
        <f t="shared" si="2543"/>
        <v>卡卡杜-凤凰仓</v>
      </c>
      <c r="B9117" s="1" t="str">
        <f>"CK2024100614310"</f>
        <v>CK2024100614310</v>
      </c>
      <c r="C9117" s="1" t="str">
        <f>"DD2024100644532"</f>
        <v>DD2024100644532</v>
      </c>
      <c r="D9117" s="1" t="str">
        <f>"CK2024100640867"</f>
        <v>CK2024100640867</v>
      </c>
      <c r="E9117" s="1" t="str">
        <f>"6917873888774815705"</f>
        <v>6917873888774815705</v>
      </c>
      <c r="F9117" s="1" t="str">
        <f t="shared" si="2544"/>
        <v>花都四部-凤凰仓</v>
      </c>
      <c r="G9117" s="1" t="str">
        <f t="shared" si="2550"/>
        <v>卡卡杜个人护理店（抖店）</v>
      </c>
      <c r="H9117" s="1" t="str">
        <f t="shared" si="2545"/>
        <v>正常订单</v>
      </c>
      <c r="I9117" s="1" t="str">
        <f t="shared" si="2546"/>
        <v>已发货</v>
      </c>
      <c r="J9117" s="1" t="str">
        <f t="shared" si="2549"/>
        <v>2</v>
      </c>
      <c r="K9117" s="1">
        <v>1</v>
      </c>
      <c r="L9117" s="1" t="s">
        <v>60</v>
      </c>
      <c r="M9117" s="1" t="str">
        <f>"云南省 玉溪市 通海县 秀山街道"</f>
        <v>云南省 玉溪市 通海县 秀山街道</v>
      </c>
      <c r="N9117" s="1" t="str">
        <f t="shared" si="2551"/>
        <v>凡华云仓-韵达-抖音</v>
      </c>
      <c r="O9117" s="5">
        <v>320158378872343</v>
      </c>
      <c r="P9117" s="6">
        <v>0.33</v>
      </c>
      <c r="Q9117" s="11">
        <v>2.2999999999999998</v>
      </c>
      <c r="R9117" s="11"/>
      <c r="S9117" s="11"/>
      <c r="T9117" s="11"/>
      <c r="U9117" s="11">
        <f t="shared" si="2552"/>
        <v>2.2999999999999998</v>
      </c>
      <c r="W9117">
        <v>2.5</v>
      </c>
      <c r="X9117" s="1" t="s">
        <v>60</v>
      </c>
    </row>
    <row r="9118" spans="1:24" x14ac:dyDescent="0.25">
      <c r="A9118" s="1" t="str">
        <f t="shared" si="2543"/>
        <v>卡卡杜-凤凰仓</v>
      </c>
      <c r="B9118" s="1" t="str">
        <f>"CK2024100614312"</f>
        <v>CK2024100614312</v>
      </c>
      <c r="C9118" s="1" t="str">
        <f>"DD2024100644534"</f>
        <v>DD2024100644534</v>
      </c>
      <c r="D9118" s="1" t="str">
        <f>"CK2024100640866"</f>
        <v>CK2024100640866</v>
      </c>
      <c r="E9118" s="1" t="str">
        <f>"6917873935872851100"</f>
        <v>6917873935872851100</v>
      </c>
      <c r="F9118" s="1" t="str">
        <f t="shared" si="2544"/>
        <v>花都四部-凤凰仓</v>
      </c>
      <c r="G9118" s="1" t="str">
        <f t="shared" si="2550"/>
        <v>卡卡杜个人护理店（抖店）</v>
      </c>
      <c r="H9118" s="1" t="str">
        <f t="shared" si="2545"/>
        <v>正常订单</v>
      </c>
      <c r="I9118" s="1" t="str">
        <f t="shared" si="2546"/>
        <v>已发货</v>
      </c>
      <c r="J9118" s="1" t="str">
        <f t="shared" si="2549"/>
        <v>2</v>
      </c>
      <c r="K9118" s="1">
        <v>1</v>
      </c>
      <c r="L9118" s="1" t="s">
        <v>20</v>
      </c>
      <c r="M9118" s="1" t="str">
        <f>"浙江省 湖州市 长兴县 洪桥镇"</f>
        <v>浙江省 湖州市 长兴县 洪桥镇</v>
      </c>
      <c r="N9118" s="1" t="str">
        <f t="shared" si="2551"/>
        <v>凡华云仓-韵达-抖音</v>
      </c>
      <c r="O9118" s="5">
        <v>320158378872250</v>
      </c>
      <c r="P9118" s="6">
        <v>0.33</v>
      </c>
      <c r="Q9118" s="11">
        <v>2.2999999999999998</v>
      </c>
      <c r="R9118" s="11"/>
      <c r="S9118" s="11"/>
      <c r="T9118" s="11"/>
      <c r="U9118" s="11">
        <f t="shared" si="2552"/>
        <v>2.2999999999999998</v>
      </c>
      <c r="W9118">
        <v>2.5</v>
      </c>
      <c r="X9118" s="1" t="s">
        <v>20</v>
      </c>
    </row>
    <row r="9119" spans="1:24" x14ac:dyDescent="0.25">
      <c r="A9119" s="1" t="str">
        <f t="shared" si="2543"/>
        <v>卡卡杜-凤凰仓</v>
      </c>
      <c r="B9119" s="1" t="str">
        <f>"CK2024100614300"</f>
        <v>CK2024100614300</v>
      </c>
      <c r="C9119" s="1" t="str">
        <f>"DD2024100644523"</f>
        <v>DD2024100644523</v>
      </c>
      <c r="D9119" s="1" t="str">
        <f>"CK2024100640865"</f>
        <v>CK2024100640865</v>
      </c>
      <c r="E9119" s="1" t="str">
        <f>"6917878702227815915"</f>
        <v>6917878702227815915</v>
      </c>
      <c r="F9119" s="1" t="str">
        <f t="shared" si="2544"/>
        <v>花都四部-凤凰仓</v>
      </c>
      <c r="G9119" s="1" t="str">
        <f t="shared" si="2550"/>
        <v>卡卡杜个人护理店（抖店）</v>
      </c>
      <c r="H9119" s="1" t="str">
        <f t="shared" si="2545"/>
        <v>正常订单</v>
      </c>
      <c r="I9119" s="1" t="str">
        <f t="shared" si="2546"/>
        <v>已发货</v>
      </c>
      <c r="J9119" s="1" t="str">
        <f t="shared" si="2549"/>
        <v>2</v>
      </c>
      <c r="K9119" s="1">
        <v>1</v>
      </c>
      <c r="L9119" s="1" t="s">
        <v>74</v>
      </c>
      <c r="M9119" s="1" t="str">
        <f>"上海 上海市 宝山区 庙行镇"</f>
        <v>上海 上海市 宝山区 庙行镇</v>
      </c>
      <c r="N9119" s="1" t="str">
        <f t="shared" si="2551"/>
        <v>凡华云仓-韵达-抖音</v>
      </c>
      <c r="O9119" s="5">
        <v>320158378872159</v>
      </c>
      <c r="P9119" s="6">
        <v>0.33</v>
      </c>
      <c r="Q9119" s="11">
        <v>2.2999999999999998</v>
      </c>
      <c r="R9119" s="11"/>
      <c r="S9119" s="11"/>
      <c r="T9119" s="11"/>
      <c r="U9119" s="11">
        <f t="shared" si="2552"/>
        <v>2.2999999999999998</v>
      </c>
      <c r="W9119">
        <v>2.5</v>
      </c>
      <c r="X9119" s="1" t="s">
        <v>74</v>
      </c>
    </row>
    <row r="9120" spans="1:24" x14ac:dyDescent="0.25">
      <c r="A9120" s="1" t="str">
        <f t="shared" si="2543"/>
        <v>卡卡杜-凤凰仓</v>
      </c>
      <c r="B9120" s="1" t="str">
        <f>"CK2024100614313"</f>
        <v>CK2024100614313</v>
      </c>
      <c r="C9120" s="1" t="str">
        <f>"DD2024100644536"</f>
        <v>DD2024100644536</v>
      </c>
      <c r="D9120" s="1" t="str">
        <f>"CK2024100640864"</f>
        <v>CK2024100640864</v>
      </c>
      <c r="E9120" s="1" t="str">
        <f>"6917876066607791974"</f>
        <v>6917876066607791974</v>
      </c>
      <c r="F9120" s="1" t="str">
        <f t="shared" si="2544"/>
        <v>花都四部-凤凰仓</v>
      </c>
      <c r="G9120" s="1" t="str">
        <f t="shared" si="2550"/>
        <v>卡卡杜个人护理店（抖店）</v>
      </c>
      <c r="H9120" s="1" t="str">
        <f t="shared" si="2545"/>
        <v>正常订单</v>
      </c>
      <c r="I9120" s="1" t="str">
        <f t="shared" si="2546"/>
        <v>已发货</v>
      </c>
      <c r="J9120" s="1" t="str">
        <f t="shared" si="2549"/>
        <v>2</v>
      </c>
      <c r="K9120" s="1">
        <v>1</v>
      </c>
      <c r="L9120" s="1" t="s">
        <v>13</v>
      </c>
      <c r="M9120" s="1" t="str">
        <f>"江苏省 宿迁市 沭阳县 沭城街道"</f>
        <v>江苏省 宿迁市 沭阳县 沭城街道</v>
      </c>
      <c r="N9120" s="1" t="str">
        <f t="shared" si="2551"/>
        <v>凡华云仓-韵达-抖音</v>
      </c>
      <c r="O9120" s="5">
        <v>320158378872070</v>
      </c>
      <c r="P9120" s="6">
        <v>0.33</v>
      </c>
      <c r="Q9120" s="11">
        <v>2.2999999999999998</v>
      </c>
      <c r="R9120" s="11"/>
      <c r="S9120" s="11"/>
      <c r="T9120" s="11"/>
      <c r="U9120" s="11">
        <f t="shared" si="2552"/>
        <v>2.2999999999999998</v>
      </c>
      <c r="W9120">
        <v>2.5</v>
      </c>
      <c r="X9120" s="1" t="s">
        <v>13</v>
      </c>
    </row>
    <row r="9121" spans="1:24" x14ac:dyDescent="0.25">
      <c r="A9121" s="1" t="str">
        <f t="shared" si="2543"/>
        <v>卡卡杜-凤凰仓</v>
      </c>
      <c r="B9121" s="1" t="str">
        <f>"CK2024100614314"</f>
        <v>CK2024100614314</v>
      </c>
      <c r="C9121" s="1" t="str">
        <f>"DD2024100644537"</f>
        <v>DD2024100644537</v>
      </c>
      <c r="D9121" s="1" t="str">
        <f>"CK2024100640863"</f>
        <v>CK2024100640863</v>
      </c>
      <c r="E9121" s="1" t="str">
        <f>"6917871751113768304"</f>
        <v>6917871751113768304</v>
      </c>
      <c r="F9121" s="1" t="str">
        <f t="shared" si="2544"/>
        <v>花都四部-凤凰仓</v>
      </c>
      <c r="G9121" s="1" t="str">
        <f t="shared" si="2550"/>
        <v>卡卡杜个人护理店（抖店）</v>
      </c>
      <c r="H9121" s="1" t="str">
        <f t="shared" si="2545"/>
        <v>正常订单</v>
      </c>
      <c r="I9121" s="1" t="str">
        <f t="shared" si="2546"/>
        <v>已发货</v>
      </c>
      <c r="J9121" s="1" t="str">
        <f t="shared" si="2549"/>
        <v>2</v>
      </c>
      <c r="K9121" s="1">
        <v>1</v>
      </c>
      <c r="L9121" s="1" t="s">
        <v>18</v>
      </c>
      <c r="M9121" s="1" t="str">
        <f>"广东省 梅州市 梅江区 三角镇"</f>
        <v>广东省 梅州市 梅江区 三角镇</v>
      </c>
      <c r="N9121" s="1" t="str">
        <f t="shared" si="2551"/>
        <v>凡华云仓-韵达-抖音</v>
      </c>
      <c r="O9121" s="5">
        <v>320158378871952</v>
      </c>
      <c r="P9121" s="6">
        <v>0.33</v>
      </c>
      <c r="Q9121" s="11">
        <v>2.2999999999999998</v>
      </c>
      <c r="R9121" s="11"/>
      <c r="S9121" s="11"/>
      <c r="T9121" s="11"/>
      <c r="U9121" s="11">
        <f t="shared" si="2552"/>
        <v>2.2999999999999998</v>
      </c>
      <c r="W9121">
        <v>2.5</v>
      </c>
      <c r="X9121" s="1" t="s">
        <v>18</v>
      </c>
    </row>
    <row r="9122" spans="1:24" x14ac:dyDescent="0.25">
      <c r="A9122" s="1" t="str">
        <f t="shared" si="2543"/>
        <v>卡卡杜-凤凰仓</v>
      </c>
      <c r="B9122" s="1" t="str">
        <f>"CK2024100614303"</f>
        <v>CK2024100614303</v>
      </c>
      <c r="C9122" s="1" t="str">
        <f>"DD2024100644526"</f>
        <v>DD2024100644526</v>
      </c>
      <c r="D9122" s="1" t="str">
        <f>"CK2024100640862"</f>
        <v>CK2024100640862</v>
      </c>
      <c r="E9122" s="1" t="str">
        <f>"6917871530545937703"</f>
        <v>6917871530545937703</v>
      </c>
      <c r="F9122" s="1" t="str">
        <f t="shared" si="2544"/>
        <v>花都四部-凤凰仓</v>
      </c>
      <c r="G9122" s="1" t="str">
        <f t="shared" si="2550"/>
        <v>卡卡杜个人护理店（抖店）</v>
      </c>
      <c r="H9122" s="1" t="str">
        <f t="shared" si="2545"/>
        <v>正常订单</v>
      </c>
      <c r="I9122" s="1" t="str">
        <f t="shared" si="2546"/>
        <v>已发货</v>
      </c>
      <c r="J9122" s="1" t="str">
        <f t="shared" si="2549"/>
        <v>2</v>
      </c>
      <c r="K9122" s="1">
        <v>1</v>
      </c>
      <c r="L9122" s="1" t="s">
        <v>13</v>
      </c>
      <c r="M9122" s="1" t="str">
        <f>"江苏省 苏州市 吴江区 桃源镇"</f>
        <v>江苏省 苏州市 吴江区 桃源镇</v>
      </c>
      <c r="N9122" s="1" t="str">
        <f t="shared" si="2551"/>
        <v>凡华云仓-韵达-抖音</v>
      </c>
      <c r="O9122" s="5">
        <v>320158378871847</v>
      </c>
      <c r="P9122" s="6">
        <v>0.33</v>
      </c>
      <c r="Q9122" s="11">
        <v>2.2999999999999998</v>
      </c>
      <c r="R9122" s="11"/>
      <c r="S9122" s="11"/>
      <c r="T9122" s="11"/>
      <c r="U9122" s="11">
        <f t="shared" si="2552"/>
        <v>2.2999999999999998</v>
      </c>
      <c r="W9122">
        <v>2.5</v>
      </c>
      <c r="X9122" s="1" t="s">
        <v>13</v>
      </c>
    </row>
    <row r="9123" spans="1:24" x14ac:dyDescent="0.25">
      <c r="A9123" s="1" t="str">
        <f t="shared" si="2543"/>
        <v>卡卡杜-凤凰仓</v>
      </c>
      <c r="B9123" s="1" t="str">
        <f>"CK2024100614301"</f>
        <v>CK2024100614301</v>
      </c>
      <c r="C9123" s="1" t="str">
        <f>"DD2024100644524"</f>
        <v>DD2024100644524</v>
      </c>
      <c r="D9123" s="1" t="str">
        <f>"CK2024100640861"</f>
        <v>CK2024100640861</v>
      </c>
      <c r="E9123" s="1" t="str">
        <f>"6917873931236835137"</f>
        <v>6917873931236835137</v>
      </c>
      <c r="F9123" s="1" t="str">
        <f t="shared" si="2544"/>
        <v>花都四部-凤凰仓</v>
      </c>
      <c r="G9123" s="1" t="str">
        <f t="shared" si="2550"/>
        <v>卡卡杜个人护理店（抖店）</v>
      </c>
      <c r="H9123" s="1" t="str">
        <f t="shared" si="2545"/>
        <v>正常订单</v>
      </c>
      <c r="I9123" s="1" t="str">
        <f t="shared" si="2546"/>
        <v>已发货</v>
      </c>
      <c r="J9123" s="1" t="str">
        <f t="shared" si="2549"/>
        <v>2</v>
      </c>
      <c r="K9123" s="1">
        <v>1</v>
      </c>
      <c r="L9123" s="1" t="s">
        <v>44</v>
      </c>
      <c r="M9123" s="1" t="str">
        <f>"海南省 屯昌县 屯昌县 屯城镇"</f>
        <v>海南省 屯昌县 屯昌县 屯城镇</v>
      </c>
      <c r="N9123" s="1" t="str">
        <f t="shared" si="2551"/>
        <v>凡华云仓-韵达-抖音</v>
      </c>
      <c r="O9123" s="5">
        <v>320158378871744</v>
      </c>
      <c r="P9123" s="6">
        <v>0.33</v>
      </c>
      <c r="Q9123" s="11">
        <v>2.2999999999999998</v>
      </c>
      <c r="R9123" s="11"/>
      <c r="S9123" s="11"/>
      <c r="T9123" s="11"/>
      <c r="U9123" s="11">
        <f t="shared" si="2552"/>
        <v>2.2999999999999998</v>
      </c>
      <c r="W9123">
        <v>2.5</v>
      </c>
      <c r="X9123" s="1" t="s">
        <v>44</v>
      </c>
    </row>
    <row r="9124" spans="1:24" x14ac:dyDescent="0.25">
      <c r="A9124" s="1" t="str">
        <f t="shared" si="2543"/>
        <v>卡卡杜-凤凰仓</v>
      </c>
      <c r="B9124" s="1" t="str">
        <f>"CK2024100614306"</f>
        <v>CK2024100614306</v>
      </c>
      <c r="C9124" s="1" t="str">
        <f>"DD2024100644529"</f>
        <v>DD2024100644529</v>
      </c>
      <c r="D9124" s="1" t="str">
        <f>"CK2024100640860"</f>
        <v>CK2024100640860</v>
      </c>
      <c r="E9124" s="1" t="str">
        <f>"6917873792100040001"</f>
        <v>6917873792100040001</v>
      </c>
      <c r="F9124" s="1" t="str">
        <f t="shared" si="2544"/>
        <v>花都四部-凤凰仓</v>
      </c>
      <c r="G9124" s="1" t="str">
        <f t="shared" si="2550"/>
        <v>卡卡杜个人护理店（抖店）</v>
      </c>
      <c r="H9124" s="1" t="str">
        <f t="shared" si="2545"/>
        <v>正常订单</v>
      </c>
      <c r="I9124" s="1" t="str">
        <f t="shared" si="2546"/>
        <v>已发货</v>
      </c>
      <c r="J9124" s="1" t="str">
        <f t="shared" si="2549"/>
        <v>2</v>
      </c>
      <c r="K9124" s="1">
        <v>1</v>
      </c>
      <c r="L9124" s="1" t="s">
        <v>105</v>
      </c>
      <c r="M9124" s="1" t="str">
        <f>"北京 北京市 昌平区 北七家镇"</f>
        <v>北京 北京市 昌平区 北七家镇</v>
      </c>
      <c r="N9124" s="1" t="str">
        <f t="shared" si="2551"/>
        <v>凡华云仓-韵达-抖音</v>
      </c>
      <c r="O9124" s="5">
        <v>320158378871643</v>
      </c>
      <c r="P9124" s="6">
        <v>0.33</v>
      </c>
      <c r="Q9124" s="11">
        <v>2.2999999999999998</v>
      </c>
      <c r="R9124" s="11"/>
      <c r="S9124" s="11"/>
      <c r="T9124" s="11"/>
      <c r="U9124" s="11">
        <f t="shared" si="2552"/>
        <v>2.2999999999999998</v>
      </c>
      <c r="W9124">
        <v>2.5</v>
      </c>
      <c r="X9124" s="1" t="s">
        <v>105</v>
      </c>
    </row>
    <row r="9125" spans="1:24" x14ac:dyDescent="0.25">
      <c r="A9125" s="1" t="str">
        <f t="shared" si="2543"/>
        <v>卡卡杜-凤凰仓</v>
      </c>
      <c r="B9125" s="1" t="str">
        <f>"CK2024100614311"</f>
        <v>CK2024100614311</v>
      </c>
      <c r="C9125" s="1" t="str">
        <f>"DD2024100644535"</f>
        <v>DD2024100644535</v>
      </c>
      <c r="D9125" s="1" t="str">
        <f>"CK2024100640859"</f>
        <v>CK2024100640859</v>
      </c>
      <c r="E9125" s="1" t="str">
        <f>"6917880757554151082"</f>
        <v>6917880757554151082</v>
      </c>
      <c r="F9125" s="1" t="str">
        <f t="shared" si="2544"/>
        <v>花都四部-凤凰仓</v>
      </c>
      <c r="G9125" s="1" t="str">
        <f t="shared" si="2550"/>
        <v>卡卡杜个人护理店（抖店）</v>
      </c>
      <c r="H9125" s="1" t="str">
        <f t="shared" si="2545"/>
        <v>正常订单</v>
      </c>
      <c r="I9125" s="1" t="str">
        <f t="shared" si="2546"/>
        <v>已发货</v>
      </c>
      <c r="J9125" s="1" t="str">
        <f t="shared" si="2549"/>
        <v>2</v>
      </c>
      <c r="K9125" s="1">
        <v>1</v>
      </c>
      <c r="L9125" s="1" t="s">
        <v>20</v>
      </c>
      <c r="M9125" s="1" t="str">
        <f>"浙江省 金华市 东阳市 吴宁街道"</f>
        <v>浙江省 金华市 东阳市 吴宁街道</v>
      </c>
      <c r="N9125" s="1" t="str">
        <f t="shared" si="2551"/>
        <v>凡华云仓-韵达-抖音</v>
      </c>
      <c r="O9125" s="5">
        <v>320158393912777</v>
      </c>
      <c r="P9125" s="6">
        <v>0.33</v>
      </c>
      <c r="Q9125" s="11">
        <v>2.2999999999999998</v>
      </c>
      <c r="R9125" s="11"/>
      <c r="S9125" s="11"/>
      <c r="T9125" s="11"/>
      <c r="U9125" s="11">
        <f t="shared" si="2552"/>
        <v>2.2999999999999998</v>
      </c>
      <c r="W9125">
        <v>2.5</v>
      </c>
      <c r="X9125" s="1" t="s">
        <v>20</v>
      </c>
    </row>
    <row r="9126" spans="1:24" x14ac:dyDescent="0.25">
      <c r="A9126" s="1" t="str">
        <f t="shared" si="2543"/>
        <v>卡卡杜-凤凰仓</v>
      </c>
      <c r="B9126" s="1" t="str">
        <f>"CK2024100614305"</f>
        <v>CK2024100614305</v>
      </c>
      <c r="C9126" s="1" t="str">
        <f>"DD2024100644528"</f>
        <v>DD2024100644528</v>
      </c>
      <c r="D9126" s="1" t="str">
        <f>"CK2024100640858"</f>
        <v>CK2024100640858</v>
      </c>
      <c r="E9126" s="1" t="str">
        <f>"6917876229181505345"</f>
        <v>6917876229181505345</v>
      </c>
      <c r="F9126" s="1" t="str">
        <f t="shared" si="2544"/>
        <v>花都四部-凤凰仓</v>
      </c>
      <c r="G9126" s="1" t="str">
        <f t="shared" si="2550"/>
        <v>卡卡杜个人护理店（抖店）</v>
      </c>
      <c r="H9126" s="1" t="str">
        <f t="shared" si="2545"/>
        <v>正常订单</v>
      </c>
      <c r="I9126" s="1" t="str">
        <f t="shared" si="2546"/>
        <v>已发货</v>
      </c>
      <c r="J9126" s="1" t="str">
        <f t="shared" si="2549"/>
        <v>2</v>
      </c>
      <c r="K9126" s="1">
        <v>2</v>
      </c>
      <c r="L9126" s="1" t="s">
        <v>24</v>
      </c>
      <c r="M9126" s="1" t="str">
        <f>"福建省 宁德市 福安市 溪潭镇"</f>
        <v>福建省 宁德市 福安市 溪潭镇</v>
      </c>
      <c r="N9126" s="1" t="str">
        <f t="shared" si="2551"/>
        <v>凡华云仓-韵达-抖音</v>
      </c>
      <c r="O9126" s="5">
        <v>320158393912676</v>
      </c>
      <c r="P9126" s="6">
        <v>0.28000000000000003</v>
      </c>
      <c r="Q9126" s="11">
        <v>2</v>
      </c>
      <c r="R9126" s="11"/>
      <c r="S9126" s="11"/>
      <c r="T9126" s="11"/>
      <c r="U9126" s="11">
        <f t="shared" si="2552"/>
        <v>2</v>
      </c>
      <c r="W9126">
        <v>2.2000000000000002</v>
      </c>
      <c r="X9126" s="1" t="s">
        <v>24</v>
      </c>
    </row>
    <row r="9127" spans="1:24" x14ac:dyDescent="0.25">
      <c r="A9127" s="1" t="str">
        <f t="shared" si="2543"/>
        <v>卡卡杜-凤凰仓</v>
      </c>
      <c r="B9127" s="1" t="str">
        <f>"CK2024100614156"</f>
        <v>CK2024100614156</v>
      </c>
      <c r="C9127" s="1" t="str">
        <f>"DD2024100644379"</f>
        <v>DD2024100644379</v>
      </c>
      <c r="D9127" s="1" t="str">
        <f>"CK2024100640857"</f>
        <v>CK2024100640857</v>
      </c>
      <c r="E9127" s="1" t="str">
        <f>"6917874029212630587"</f>
        <v>6917874029212630587</v>
      </c>
      <c r="F9127" s="1" t="str">
        <f t="shared" si="2544"/>
        <v>花都四部-凤凰仓</v>
      </c>
      <c r="G9127" s="1" t="str">
        <f t="shared" si="2550"/>
        <v>卡卡杜个人护理店（抖店）</v>
      </c>
      <c r="H9127" s="1" t="str">
        <f t="shared" si="2545"/>
        <v>正常订单</v>
      </c>
      <c r="I9127" s="1" t="str">
        <f t="shared" si="2546"/>
        <v>已发货</v>
      </c>
      <c r="J9127" s="1" t="str">
        <f t="shared" si="2549"/>
        <v>2</v>
      </c>
      <c r="K9127" s="1">
        <v>1</v>
      </c>
      <c r="L9127" s="1" t="s">
        <v>94</v>
      </c>
      <c r="M9127" s="1" t="str">
        <f>"湖南省 张家界市 慈利县 零阳镇"</f>
        <v>湖南省 张家界市 慈利县 零阳镇</v>
      </c>
      <c r="N9127" s="1" t="str">
        <f t="shared" si="2551"/>
        <v>凡华云仓-韵达-抖音</v>
      </c>
      <c r="O9127" s="5">
        <v>320158393912577</v>
      </c>
      <c r="P9127" s="6">
        <v>0.33</v>
      </c>
      <c r="Q9127" s="11">
        <v>2.2999999999999998</v>
      </c>
      <c r="R9127" s="11"/>
      <c r="S9127" s="11"/>
      <c r="T9127" s="11"/>
      <c r="U9127" s="11">
        <f t="shared" si="2552"/>
        <v>2.2999999999999998</v>
      </c>
      <c r="W9127">
        <v>2.5</v>
      </c>
      <c r="X9127" s="1" t="s">
        <v>94</v>
      </c>
    </row>
    <row r="9128" spans="1:24" x14ac:dyDescent="0.25">
      <c r="A9128" s="1" t="str">
        <f t="shared" si="2543"/>
        <v>卡卡杜-凤凰仓</v>
      </c>
      <c r="B9128" s="1" t="str">
        <f>"CK2024100614168"</f>
        <v>CK2024100614168</v>
      </c>
      <c r="C9128" s="1" t="str">
        <f>"DD2024100644390"</f>
        <v>DD2024100644390</v>
      </c>
      <c r="D9128" s="1" t="str">
        <f>"CK2024100640856"</f>
        <v>CK2024100640856</v>
      </c>
      <c r="E9128" s="1" t="str">
        <f>"6917878501300665390"</f>
        <v>6917878501300665390</v>
      </c>
      <c r="F9128" s="1" t="str">
        <f t="shared" si="2544"/>
        <v>花都四部-凤凰仓</v>
      </c>
      <c r="G9128" s="1" t="str">
        <f t="shared" si="2550"/>
        <v>卡卡杜个人护理店（抖店）</v>
      </c>
      <c r="H9128" s="1" t="str">
        <f t="shared" si="2545"/>
        <v>正常订单</v>
      </c>
      <c r="I9128" s="1" t="str">
        <f t="shared" si="2546"/>
        <v>已发货</v>
      </c>
      <c r="J9128" s="1" t="str">
        <f t="shared" si="2549"/>
        <v>2</v>
      </c>
      <c r="K9128" s="1">
        <v>1</v>
      </c>
      <c r="L9128" s="1" t="s">
        <v>18</v>
      </c>
      <c r="M9128" s="1" t="str">
        <f>"广东省 东莞市 东莞市 大朗镇"</f>
        <v>广东省 东莞市 东莞市 大朗镇</v>
      </c>
      <c r="N9128" s="1" t="str">
        <f t="shared" si="2551"/>
        <v>凡华云仓-韵达-抖音</v>
      </c>
      <c r="O9128" s="5">
        <v>320158393912480</v>
      </c>
      <c r="P9128" s="6">
        <v>0.33</v>
      </c>
      <c r="Q9128" s="11">
        <v>2.2999999999999998</v>
      </c>
      <c r="R9128" s="11"/>
      <c r="S9128" s="11"/>
      <c r="T9128" s="11"/>
      <c r="U9128" s="11">
        <f t="shared" si="2552"/>
        <v>2.2999999999999998</v>
      </c>
      <c r="W9128">
        <v>2.5</v>
      </c>
      <c r="X9128" s="1" t="s">
        <v>18</v>
      </c>
    </row>
    <row r="9129" spans="1:24" x14ac:dyDescent="0.25">
      <c r="A9129" s="1" t="str">
        <f t="shared" si="2543"/>
        <v>卡卡杜-凤凰仓</v>
      </c>
      <c r="B9129" s="1" t="str">
        <f>"CK2024100614167"</f>
        <v>CK2024100614167</v>
      </c>
      <c r="C9129" s="1" t="str">
        <f>"DD2024100644391"</f>
        <v>DD2024100644391</v>
      </c>
      <c r="D9129" s="1" t="str">
        <f>"CK2024100640855"</f>
        <v>CK2024100640855</v>
      </c>
      <c r="E9129" s="1" t="str">
        <f>"6917876264584838760"</f>
        <v>6917876264584838760</v>
      </c>
      <c r="F9129" s="1" t="str">
        <f t="shared" si="2544"/>
        <v>花都四部-凤凰仓</v>
      </c>
      <c r="G9129" s="1" t="str">
        <f t="shared" si="2550"/>
        <v>卡卡杜个人护理店（抖店）</v>
      </c>
      <c r="H9129" s="1" t="str">
        <f t="shared" si="2545"/>
        <v>正常订单</v>
      </c>
      <c r="I9129" s="1" t="str">
        <f t="shared" si="2546"/>
        <v>已发货</v>
      </c>
      <c r="J9129" s="1" t="str">
        <f t="shared" si="2549"/>
        <v>2</v>
      </c>
      <c r="K9129" s="1">
        <v>1</v>
      </c>
      <c r="L9129" s="1" t="s">
        <v>20</v>
      </c>
      <c r="M9129" s="1" t="str">
        <f>"浙江省 杭州市 富阳区 东洲街道"</f>
        <v>浙江省 杭州市 富阳区 东洲街道</v>
      </c>
      <c r="N9129" s="1" t="str">
        <f t="shared" si="2551"/>
        <v>凡华云仓-韵达-抖音</v>
      </c>
      <c r="O9129" s="5">
        <v>320158393912385</v>
      </c>
      <c r="P9129" s="6">
        <v>0.33</v>
      </c>
      <c r="Q9129" s="11">
        <v>2.2999999999999998</v>
      </c>
      <c r="R9129" s="11"/>
      <c r="S9129" s="11"/>
      <c r="T9129" s="11"/>
      <c r="U9129" s="11">
        <f t="shared" si="2552"/>
        <v>2.2999999999999998</v>
      </c>
      <c r="W9129">
        <v>2.5</v>
      </c>
      <c r="X9129" s="1" t="s">
        <v>20</v>
      </c>
    </row>
    <row r="9130" spans="1:24" x14ac:dyDescent="0.25">
      <c r="A9130" s="1" t="str">
        <f t="shared" si="2543"/>
        <v>卡卡杜-凤凰仓</v>
      </c>
      <c r="B9130" s="1" t="str">
        <f>"CK2024100614166"</f>
        <v>CK2024100614166</v>
      </c>
      <c r="C9130" s="1" t="str">
        <f>"DD2024100644389"</f>
        <v>DD2024100644389</v>
      </c>
      <c r="D9130" s="1" t="str">
        <f>"CK2024100640854"</f>
        <v>CK2024100640854</v>
      </c>
      <c r="E9130" s="1" t="str">
        <f>"6917876411093384891"</f>
        <v>6917876411093384891</v>
      </c>
      <c r="F9130" s="1" t="str">
        <f t="shared" si="2544"/>
        <v>花都四部-凤凰仓</v>
      </c>
      <c r="G9130" s="1" t="str">
        <f t="shared" si="2550"/>
        <v>卡卡杜个人护理店（抖店）</v>
      </c>
      <c r="H9130" s="1" t="str">
        <f t="shared" si="2545"/>
        <v>正常订单</v>
      </c>
      <c r="I9130" s="1" t="str">
        <f t="shared" si="2546"/>
        <v>已发货</v>
      </c>
      <c r="J9130" s="1" t="str">
        <f t="shared" si="2549"/>
        <v>2</v>
      </c>
      <c r="K9130" s="1">
        <v>1</v>
      </c>
      <c r="L9130" s="1" t="s">
        <v>30</v>
      </c>
      <c r="M9130" s="1" t="str">
        <f>"山东省 临沂市 郯城县 马头镇"</f>
        <v>山东省 临沂市 郯城县 马头镇</v>
      </c>
      <c r="N9130" s="1" t="str">
        <f t="shared" si="2551"/>
        <v>凡华云仓-韵达-抖音</v>
      </c>
      <c r="O9130" s="5">
        <v>320158393912292</v>
      </c>
      <c r="P9130" s="6">
        <v>0.33</v>
      </c>
      <c r="Q9130" s="11">
        <v>2.2999999999999998</v>
      </c>
      <c r="R9130" s="11"/>
      <c r="S9130" s="11"/>
      <c r="T9130" s="11"/>
      <c r="U9130" s="11">
        <f t="shared" si="2552"/>
        <v>2.2999999999999998</v>
      </c>
      <c r="W9130">
        <v>2.5</v>
      </c>
      <c r="X9130" s="1" t="s">
        <v>30</v>
      </c>
    </row>
    <row r="9131" spans="1:24" x14ac:dyDescent="0.25">
      <c r="A9131" s="1" t="str">
        <f t="shared" ref="A9131:A9194" si="2553">"卡卡杜-凤凰仓"</f>
        <v>卡卡杜-凤凰仓</v>
      </c>
      <c r="B9131" s="1" t="str">
        <f>"CK2024100614165"</f>
        <v>CK2024100614165</v>
      </c>
      <c r="C9131" s="1" t="str">
        <f>"DD2024100644387"</f>
        <v>DD2024100644387</v>
      </c>
      <c r="D9131" s="1" t="str">
        <f>"CK2024100640853"</f>
        <v>CK2024100640853</v>
      </c>
      <c r="E9131" s="1" t="str">
        <f>"6917871264816921898"</f>
        <v>6917871264816921898</v>
      </c>
      <c r="F9131" s="1" t="str">
        <f t="shared" ref="F9131:F9194" si="2554">"花都四部-凤凰仓"</f>
        <v>花都四部-凤凰仓</v>
      </c>
      <c r="G9131" s="1" t="str">
        <f t="shared" si="2550"/>
        <v>卡卡杜个人护理店（抖店）</v>
      </c>
      <c r="H9131" s="1" t="str">
        <f t="shared" ref="H9131:H9194" si="2555">"正常订单"</f>
        <v>正常订单</v>
      </c>
      <c r="I9131" s="1" t="str">
        <f t="shared" ref="I9131:I9194" si="2556">"已发货"</f>
        <v>已发货</v>
      </c>
      <c r="J9131" s="1" t="str">
        <f t="shared" si="2549"/>
        <v>2</v>
      </c>
      <c r="K9131" s="1">
        <v>1</v>
      </c>
      <c r="L9131" s="1" t="s">
        <v>52</v>
      </c>
      <c r="M9131" s="1" t="str">
        <f>"甘肃省 兰州市 七里河区 龚家湾街道"</f>
        <v>甘肃省 兰州市 七里河区 龚家湾街道</v>
      </c>
      <c r="N9131" s="1" t="str">
        <f t="shared" si="2551"/>
        <v>凡华云仓-韵达-抖音</v>
      </c>
      <c r="O9131" s="5">
        <v>320158393912101</v>
      </c>
      <c r="P9131" s="6">
        <v>0.33</v>
      </c>
      <c r="Q9131" s="11">
        <v>2.2999999999999998</v>
      </c>
      <c r="R9131" s="11"/>
      <c r="S9131" s="11"/>
      <c r="T9131" s="11"/>
      <c r="U9131" s="11">
        <f t="shared" si="2552"/>
        <v>2.2999999999999998</v>
      </c>
      <c r="W9131">
        <v>2.5</v>
      </c>
      <c r="X9131" s="1" t="s">
        <v>52</v>
      </c>
    </row>
    <row r="9132" spans="1:24" x14ac:dyDescent="0.25">
      <c r="A9132" s="1" t="str">
        <f t="shared" si="2553"/>
        <v>卡卡杜-凤凰仓</v>
      </c>
      <c r="B9132" s="1" t="str">
        <f>"CK2024100614160"</f>
        <v>CK2024100614160</v>
      </c>
      <c r="C9132" s="1" t="str">
        <f>"DD2024100644381"</f>
        <v>DD2024100644381</v>
      </c>
      <c r="D9132" s="1" t="str">
        <f>"CK2024100640852"</f>
        <v>CK2024100640852</v>
      </c>
      <c r="E9132" s="1" t="str">
        <f>"6917876180807220475"</f>
        <v>6917876180807220475</v>
      </c>
      <c r="F9132" s="1" t="str">
        <f t="shared" si="2554"/>
        <v>花都四部-凤凰仓</v>
      </c>
      <c r="G9132" s="1" t="str">
        <f t="shared" si="2550"/>
        <v>卡卡杜个人护理店（抖店）</v>
      </c>
      <c r="H9132" s="1" t="str">
        <f t="shared" si="2555"/>
        <v>正常订单</v>
      </c>
      <c r="I9132" s="1" t="str">
        <f t="shared" si="2556"/>
        <v>已发货</v>
      </c>
      <c r="J9132" s="1" t="str">
        <f t="shared" si="2549"/>
        <v>2</v>
      </c>
      <c r="K9132" s="1">
        <v>1</v>
      </c>
      <c r="L9132" s="1" t="s">
        <v>66</v>
      </c>
      <c r="M9132" s="1" t="str">
        <f>"内蒙古自治区 锡林郭勒盟 锡林浩特市 希日塔拉街道"</f>
        <v>内蒙古自治区 锡林郭勒盟 锡林浩特市 希日塔拉街道</v>
      </c>
      <c r="N9132" s="1" t="str">
        <f t="shared" si="2551"/>
        <v>凡华云仓-韵达-抖音</v>
      </c>
      <c r="O9132" s="5">
        <v>320158393912012</v>
      </c>
      <c r="P9132" s="6">
        <v>0.33</v>
      </c>
      <c r="Q9132" s="11">
        <v>2.2999999999999998</v>
      </c>
      <c r="R9132" s="11"/>
      <c r="S9132" s="11"/>
      <c r="T9132" s="11"/>
      <c r="U9132" s="11">
        <f t="shared" si="2552"/>
        <v>2.2999999999999998</v>
      </c>
      <c r="W9132">
        <v>2.5</v>
      </c>
      <c r="X9132" s="1" t="s">
        <v>66</v>
      </c>
    </row>
    <row r="9133" spans="1:24" x14ac:dyDescent="0.25">
      <c r="A9133" s="1" t="str">
        <f t="shared" si="2553"/>
        <v>卡卡杜-凤凰仓</v>
      </c>
      <c r="B9133" s="1" t="str">
        <f>"CK2024100614304"</f>
        <v>CK2024100614304</v>
      </c>
      <c r="C9133" s="1" t="str">
        <f>"DD2024100644527"</f>
        <v>DD2024100644527</v>
      </c>
      <c r="D9133" s="1" t="str">
        <f>"CK2024100640851"</f>
        <v>CK2024100640851</v>
      </c>
      <c r="E9133" s="1" t="str">
        <f>"6917871628101975361"</f>
        <v>6917871628101975361</v>
      </c>
      <c r="F9133" s="1" t="str">
        <f t="shared" si="2554"/>
        <v>花都四部-凤凰仓</v>
      </c>
      <c r="G9133" s="1" t="str">
        <f t="shared" si="2550"/>
        <v>卡卡杜个人护理店（抖店）</v>
      </c>
      <c r="H9133" s="1" t="str">
        <f t="shared" si="2555"/>
        <v>正常订单</v>
      </c>
      <c r="I9133" s="1" t="str">
        <f t="shared" si="2556"/>
        <v>已发货</v>
      </c>
      <c r="J9133" s="1" t="str">
        <f t="shared" si="2549"/>
        <v>2</v>
      </c>
      <c r="K9133" s="1">
        <v>1</v>
      </c>
      <c r="L9133" s="1" t="s">
        <v>18</v>
      </c>
      <c r="M9133" s="1" t="str">
        <f>"广东省 肇庆市 高要区 金利镇"</f>
        <v>广东省 肇庆市 高要区 金利镇</v>
      </c>
      <c r="N9133" s="1" t="str">
        <f t="shared" si="2551"/>
        <v>凡华云仓-韵达-抖音</v>
      </c>
      <c r="O9133" s="5">
        <v>320158393911994</v>
      </c>
      <c r="P9133" s="6">
        <v>0.33</v>
      </c>
      <c r="Q9133" s="11">
        <v>2.2999999999999998</v>
      </c>
      <c r="R9133" s="11"/>
      <c r="S9133" s="11"/>
      <c r="T9133" s="11"/>
      <c r="U9133" s="11">
        <f t="shared" si="2552"/>
        <v>2.2999999999999998</v>
      </c>
      <c r="W9133">
        <v>2.5</v>
      </c>
      <c r="X9133" s="1" t="s">
        <v>18</v>
      </c>
    </row>
    <row r="9134" spans="1:24" x14ac:dyDescent="0.25">
      <c r="A9134" s="1" t="str">
        <f t="shared" si="2553"/>
        <v>卡卡杜-凤凰仓</v>
      </c>
      <c r="B9134" s="1" t="str">
        <f>"CK2024100614223"</f>
        <v>CK2024100614223</v>
      </c>
      <c r="C9134" s="1" t="str">
        <f>"DD2024100644446"</f>
        <v>DD2024100644446</v>
      </c>
      <c r="D9134" s="1" t="str">
        <f>"CK2024100640850"</f>
        <v>CK2024100640850</v>
      </c>
      <c r="E9134" s="1" t="str">
        <f>"6917878528675445918"</f>
        <v>6917878528675445918</v>
      </c>
      <c r="F9134" s="1" t="str">
        <f t="shared" si="2554"/>
        <v>花都四部-凤凰仓</v>
      </c>
      <c r="G9134" s="1" t="str">
        <f t="shared" si="2550"/>
        <v>卡卡杜个人护理店（抖店）</v>
      </c>
      <c r="H9134" s="1" t="str">
        <f t="shared" si="2555"/>
        <v>正常订单</v>
      </c>
      <c r="I9134" s="1" t="str">
        <f t="shared" si="2556"/>
        <v>已发货</v>
      </c>
      <c r="J9134" s="1" t="str">
        <f t="shared" si="2549"/>
        <v>2</v>
      </c>
      <c r="K9134" s="1">
        <v>1</v>
      </c>
      <c r="L9134" s="1" t="s">
        <v>94</v>
      </c>
      <c r="M9134" s="1" t="str">
        <f>"湖南省 益阳市 资阳区 长春经济开发区"</f>
        <v>湖南省 益阳市 资阳区 长春经济开发区</v>
      </c>
      <c r="N9134" s="1" t="str">
        <f t="shared" si="2551"/>
        <v>凡华云仓-韵达-抖音</v>
      </c>
      <c r="O9134" s="5">
        <v>320158393911889</v>
      </c>
      <c r="P9134" s="6">
        <v>0.33</v>
      </c>
      <c r="Q9134" s="11">
        <v>2.2999999999999998</v>
      </c>
      <c r="R9134" s="11"/>
      <c r="S9134" s="11"/>
      <c r="T9134" s="11"/>
      <c r="U9134" s="11">
        <f t="shared" si="2552"/>
        <v>2.2999999999999998</v>
      </c>
      <c r="W9134">
        <v>2.5</v>
      </c>
      <c r="X9134" s="1" t="s">
        <v>94</v>
      </c>
    </row>
    <row r="9135" spans="1:24" x14ac:dyDescent="0.25">
      <c r="A9135" s="1" t="str">
        <f t="shared" si="2553"/>
        <v>卡卡杜-凤凰仓</v>
      </c>
      <c r="B9135" s="1" t="str">
        <f>"CK2024100614222"</f>
        <v>CK2024100614222</v>
      </c>
      <c r="C9135" s="1" t="str">
        <f>"DD2024100644445"</f>
        <v>DD2024100644445</v>
      </c>
      <c r="D9135" s="1" t="str">
        <f>"CK2024100640849"</f>
        <v>CK2024100640849</v>
      </c>
      <c r="E9135" s="1" t="str">
        <f>"6917873909610086040"</f>
        <v>6917873909610086040</v>
      </c>
      <c r="F9135" s="1" t="str">
        <f t="shared" si="2554"/>
        <v>花都四部-凤凰仓</v>
      </c>
      <c r="G9135" s="1" t="str">
        <f t="shared" si="2550"/>
        <v>卡卡杜个人护理店（抖店）</v>
      </c>
      <c r="H9135" s="1" t="str">
        <f t="shared" si="2555"/>
        <v>正常订单</v>
      </c>
      <c r="I9135" s="1" t="str">
        <f t="shared" si="2556"/>
        <v>已发货</v>
      </c>
      <c r="J9135" s="1" t="str">
        <f t="shared" si="2549"/>
        <v>2</v>
      </c>
      <c r="K9135" s="1">
        <v>2</v>
      </c>
      <c r="L9135" s="1" t="s">
        <v>18</v>
      </c>
      <c r="M9135" s="1" t="str">
        <f>"广东省 深圳市 龙华区 福城街道"</f>
        <v>广东省 深圳市 龙华区 福城街道</v>
      </c>
      <c r="N9135" s="1" t="str">
        <f t="shared" si="2551"/>
        <v>凡华云仓-韵达-抖音</v>
      </c>
      <c r="O9135" s="5">
        <v>320158400955890</v>
      </c>
      <c r="P9135" s="6">
        <v>0.28000000000000003</v>
      </c>
      <c r="Q9135" s="11">
        <v>2</v>
      </c>
      <c r="R9135" s="11"/>
      <c r="S9135" s="11"/>
      <c r="T9135" s="11"/>
      <c r="U9135" s="11">
        <f t="shared" si="2552"/>
        <v>2</v>
      </c>
      <c r="W9135">
        <v>2.2000000000000002</v>
      </c>
      <c r="X9135" s="1" t="s">
        <v>18</v>
      </c>
    </row>
    <row r="9136" spans="1:24" x14ac:dyDescent="0.25">
      <c r="A9136" s="1" t="str">
        <f t="shared" si="2553"/>
        <v>卡卡杜-凤凰仓</v>
      </c>
      <c r="B9136" s="1" t="str">
        <f>"CK2024100614224"</f>
        <v>CK2024100614224</v>
      </c>
      <c r="C9136" s="1" t="str">
        <f>"DD2024100644447"</f>
        <v>DD2024100644447</v>
      </c>
      <c r="D9136" s="1" t="str">
        <f>"CK2024100640848"</f>
        <v>CK2024100640848</v>
      </c>
      <c r="E9136" s="1" t="str">
        <f>"6917873971824917504"</f>
        <v>6917873971824917504</v>
      </c>
      <c r="F9136" s="1" t="str">
        <f t="shared" si="2554"/>
        <v>花都四部-凤凰仓</v>
      </c>
      <c r="G9136" s="1" t="str">
        <f t="shared" si="2550"/>
        <v>卡卡杜个人护理店（抖店）</v>
      </c>
      <c r="H9136" s="1" t="str">
        <f t="shared" si="2555"/>
        <v>正常订单</v>
      </c>
      <c r="I9136" s="1" t="str">
        <f t="shared" si="2556"/>
        <v>已发货</v>
      </c>
      <c r="J9136" s="1" t="str">
        <f t="shared" si="2549"/>
        <v>2</v>
      </c>
      <c r="K9136" s="1">
        <v>1</v>
      </c>
      <c r="L9136" s="1" t="s">
        <v>80</v>
      </c>
      <c r="M9136" s="1" t="str">
        <f>"河南省 新乡市 获嘉县 冯庄镇"</f>
        <v>河南省 新乡市 获嘉县 冯庄镇</v>
      </c>
      <c r="N9136" s="1" t="str">
        <f t="shared" si="2551"/>
        <v>凡华云仓-韵达-抖音</v>
      </c>
      <c r="O9136" s="5">
        <v>320158400955787</v>
      </c>
      <c r="P9136" s="6">
        <v>0.33</v>
      </c>
      <c r="Q9136" s="11">
        <v>2.2999999999999998</v>
      </c>
      <c r="R9136" s="11"/>
      <c r="S9136" s="11"/>
      <c r="T9136" s="11"/>
      <c r="U9136" s="11">
        <f t="shared" si="2552"/>
        <v>2.2999999999999998</v>
      </c>
      <c r="W9136">
        <v>2.5</v>
      </c>
      <c r="X9136" s="1" t="s">
        <v>80</v>
      </c>
    </row>
    <row r="9137" spans="1:24" x14ac:dyDescent="0.25">
      <c r="A9137" s="1" t="str">
        <f t="shared" si="2553"/>
        <v>卡卡杜-凤凰仓</v>
      </c>
      <c r="B9137" s="1" t="str">
        <f>"CK2024100614317"</f>
        <v>CK2024100614317</v>
      </c>
      <c r="C9137" s="1" t="str">
        <f>"DD2024100644540"</f>
        <v>DD2024100644540</v>
      </c>
      <c r="D9137" s="1" t="str">
        <f>"CK2024100640847"</f>
        <v>CK2024100640847</v>
      </c>
      <c r="E9137" s="1" t="str">
        <f>"6917876049120296024"</f>
        <v>6917876049120296024</v>
      </c>
      <c r="F9137" s="1" t="str">
        <f t="shared" si="2554"/>
        <v>花都四部-凤凰仓</v>
      </c>
      <c r="G9137" s="1" t="str">
        <f t="shared" si="2550"/>
        <v>卡卡杜个人护理店（抖店）</v>
      </c>
      <c r="H9137" s="1" t="str">
        <f t="shared" si="2555"/>
        <v>正常订单</v>
      </c>
      <c r="I9137" s="1" t="str">
        <f t="shared" si="2556"/>
        <v>已发货</v>
      </c>
      <c r="J9137" s="1" t="str">
        <f t="shared" si="2549"/>
        <v>2</v>
      </c>
      <c r="K9137" s="1">
        <v>1</v>
      </c>
      <c r="L9137" s="1" t="s">
        <v>13</v>
      </c>
      <c r="M9137" s="1" t="str">
        <f>"江苏省 扬州市 广陵区 文峰街道"</f>
        <v>江苏省 扬州市 广陵区 文峰街道</v>
      </c>
      <c r="N9137" s="1" t="str">
        <f t="shared" si="2551"/>
        <v>凡华云仓-韵达-抖音</v>
      </c>
      <c r="O9137" s="5">
        <v>320158400955686</v>
      </c>
      <c r="P9137" s="6">
        <v>0.33</v>
      </c>
      <c r="Q9137" s="11">
        <v>2.2999999999999998</v>
      </c>
      <c r="R9137" s="11"/>
      <c r="S9137" s="11"/>
      <c r="T9137" s="11"/>
      <c r="U9137" s="11">
        <f t="shared" si="2552"/>
        <v>2.2999999999999998</v>
      </c>
      <c r="W9137">
        <v>2.5</v>
      </c>
      <c r="X9137" s="1" t="s">
        <v>13</v>
      </c>
    </row>
    <row r="9138" spans="1:24" x14ac:dyDescent="0.25">
      <c r="A9138" s="1" t="str">
        <f t="shared" si="2553"/>
        <v>卡卡杜-凤凰仓</v>
      </c>
      <c r="B9138" s="1" t="str">
        <f>"CK2024100614155"</f>
        <v>CK2024100614155</v>
      </c>
      <c r="C9138" s="1" t="str">
        <f>"DD2024100644378"</f>
        <v>DD2024100644378</v>
      </c>
      <c r="D9138" s="1" t="str">
        <f>"CK2024100640846"</f>
        <v>CK2024100640846</v>
      </c>
      <c r="E9138" s="1" t="str">
        <f>"6917876199755710081"</f>
        <v>6917876199755710081</v>
      </c>
      <c r="F9138" s="1" t="str">
        <f t="shared" si="2554"/>
        <v>花都四部-凤凰仓</v>
      </c>
      <c r="G9138" s="1" t="str">
        <f t="shared" si="2550"/>
        <v>卡卡杜个人护理店（抖店）</v>
      </c>
      <c r="H9138" s="1" t="str">
        <f t="shared" si="2555"/>
        <v>正常订单</v>
      </c>
      <c r="I9138" s="1" t="str">
        <f t="shared" si="2556"/>
        <v>已发货</v>
      </c>
      <c r="J9138" s="1" t="str">
        <f t="shared" si="2549"/>
        <v>2</v>
      </c>
      <c r="K9138" s="1">
        <v>1</v>
      </c>
      <c r="L9138" s="1" t="s">
        <v>44</v>
      </c>
      <c r="M9138" s="1" t="str">
        <f>"海南省 屯昌县 屯昌县 南坤镇"</f>
        <v>海南省 屯昌县 屯昌县 南坤镇</v>
      </c>
      <c r="N9138" s="1" t="str">
        <f t="shared" si="2551"/>
        <v>凡华云仓-韵达-抖音</v>
      </c>
      <c r="O9138" s="5">
        <v>320158400955587</v>
      </c>
      <c r="P9138" s="6">
        <v>0.33</v>
      </c>
      <c r="Q9138" s="11">
        <v>2.2999999999999998</v>
      </c>
      <c r="R9138" s="11"/>
      <c r="S9138" s="11"/>
      <c r="T9138" s="11"/>
      <c r="U9138" s="11">
        <f t="shared" si="2552"/>
        <v>2.2999999999999998</v>
      </c>
      <c r="W9138">
        <v>2.5</v>
      </c>
      <c r="X9138" s="1" t="s">
        <v>44</v>
      </c>
    </row>
    <row r="9139" spans="1:24" x14ac:dyDescent="0.25">
      <c r="A9139" s="1" t="str">
        <f t="shared" si="2553"/>
        <v>卡卡杜-凤凰仓</v>
      </c>
      <c r="B9139" s="1" t="str">
        <f>"CK2024100914103"</f>
        <v>CK2024100914103</v>
      </c>
      <c r="C9139" s="1" t="str">
        <f>"DD2024100944823"</f>
        <v>DD2024100944823</v>
      </c>
      <c r="D9139" s="1" t="str">
        <f>"CK2024100944599"</f>
        <v>CK2024100944599</v>
      </c>
      <c r="E9139" s="1" t="str">
        <f>"6917994242383249249"</f>
        <v>6917994242383249249</v>
      </c>
      <c r="F9139" s="1" t="str">
        <f t="shared" si="2554"/>
        <v>花都四部-凤凰仓</v>
      </c>
      <c r="G9139" s="1" t="str">
        <f t="shared" si="2550"/>
        <v>卡卡杜个人护理店（抖店）</v>
      </c>
      <c r="H9139" s="1" t="str">
        <f t="shared" si="2555"/>
        <v>正常订单</v>
      </c>
      <c r="I9139" s="1" t="str">
        <f t="shared" si="2556"/>
        <v>已发货</v>
      </c>
      <c r="J9139" s="1" t="str">
        <f>"4"</f>
        <v>4</v>
      </c>
      <c r="K9139" s="1">
        <v>1</v>
      </c>
      <c r="L9139" s="1" t="s">
        <v>22</v>
      </c>
      <c r="M9139" s="1" t="str">
        <f>"江西省 新余市 分宜县 分宜镇"</f>
        <v>江西省 新余市 分宜县 分宜镇</v>
      </c>
      <c r="N9139" s="1" t="str">
        <f t="shared" si="2551"/>
        <v>凡华云仓-韵达-抖音</v>
      </c>
      <c r="O9139" s="5">
        <v>320163360843469</v>
      </c>
      <c r="P9139" s="6">
        <v>0.57999999999999996</v>
      </c>
      <c r="Q9139" s="11">
        <f>CEILING(P9139-0.5,0.1)*10*0.15+2.3</f>
        <v>2.4499999999999997</v>
      </c>
      <c r="R9139" s="11"/>
      <c r="S9139" s="11"/>
      <c r="T9139" s="11"/>
      <c r="U9139" s="11">
        <f t="shared" si="2552"/>
        <v>2.4499999999999997</v>
      </c>
      <c r="V9139" t="s">
        <v>15</v>
      </c>
      <c r="W9139">
        <v>2.4500000000000002</v>
      </c>
      <c r="X9139" s="1" t="s">
        <v>22</v>
      </c>
    </row>
    <row r="9140" spans="1:24" x14ac:dyDescent="0.25">
      <c r="A9140" s="1" t="str">
        <f t="shared" si="2553"/>
        <v>卡卡杜-凤凰仓</v>
      </c>
      <c r="B9140" s="1" t="str">
        <f>"CK2024100614157"</f>
        <v>CK2024100614157</v>
      </c>
      <c r="C9140" s="1" t="str">
        <f>"DD2024100644380"</f>
        <v>DD2024100644380</v>
      </c>
      <c r="D9140" s="1" t="str">
        <f>"CK2024100640844"</f>
        <v>CK2024100640844</v>
      </c>
      <c r="E9140" s="1" t="str">
        <f>"6917870851200155212"</f>
        <v>6917870851200155212</v>
      </c>
      <c r="F9140" s="1" t="str">
        <f t="shared" si="2554"/>
        <v>花都四部-凤凰仓</v>
      </c>
      <c r="G9140" s="1" t="str">
        <f t="shared" si="2550"/>
        <v>卡卡杜个人护理店（抖店）</v>
      </c>
      <c r="H9140" s="1" t="str">
        <f t="shared" si="2555"/>
        <v>正常订单</v>
      </c>
      <c r="I9140" s="1" t="str">
        <f t="shared" si="2556"/>
        <v>已发货</v>
      </c>
      <c r="J9140" s="1" t="str">
        <f t="shared" ref="J9140:J9151" si="2557">"2"</f>
        <v>2</v>
      </c>
      <c r="K9140" s="1">
        <v>1</v>
      </c>
      <c r="L9140" s="1" t="s">
        <v>36</v>
      </c>
      <c r="M9140" s="1" t="str">
        <f>"安徽省 安庆市 迎江区 华中路街道"</f>
        <v>安徽省 安庆市 迎江区 华中路街道</v>
      </c>
      <c r="N9140" s="1" t="str">
        <f t="shared" si="2551"/>
        <v>凡华云仓-韵达-抖音</v>
      </c>
      <c r="O9140" s="5">
        <v>320158400955395</v>
      </c>
      <c r="P9140" s="6">
        <v>0.33</v>
      </c>
      <c r="Q9140" s="11">
        <v>2.2999999999999998</v>
      </c>
      <c r="R9140" s="11"/>
      <c r="S9140" s="11"/>
      <c r="T9140" s="11"/>
      <c r="U9140" s="11">
        <f t="shared" si="2552"/>
        <v>2.2999999999999998</v>
      </c>
      <c r="W9140">
        <v>2.5</v>
      </c>
      <c r="X9140" s="1" t="s">
        <v>36</v>
      </c>
    </row>
    <row r="9141" spans="1:24" x14ac:dyDescent="0.25">
      <c r="A9141" s="1" t="str">
        <f t="shared" si="2553"/>
        <v>卡卡杜-凤凰仓</v>
      </c>
      <c r="B9141" s="1" t="str">
        <f>"CK2024100614219"</f>
        <v>CK2024100614219</v>
      </c>
      <c r="C9141" s="1" t="str">
        <f>"DD2024100644442"</f>
        <v>DD2024100644442</v>
      </c>
      <c r="D9141" s="1" t="str">
        <f>"CK2024100640843"</f>
        <v>CK2024100640843</v>
      </c>
      <c r="E9141" s="1" t="str">
        <f>"6917880661729508760"</f>
        <v>6917880661729508760</v>
      </c>
      <c r="F9141" s="1" t="str">
        <f t="shared" si="2554"/>
        <v>花都四部-凤凰仓</v>
      </c>
      <c r="G9141" s="1" t="str">
        <f t="shared" si="2550"/>
        <v>卡卡杜个人护理店（抖店）</v>
      </c>
      <c r="H9141" s="1" t="str">
        <f t="shared" si="2555"/>
        <v>正常订单</v>
      </c>
      <c r="I9141" s="1" t="str">
        <f t="shared" si="2556"/>
        <v>已发货</v>
      </c>
      <c r="J9141" s="1" t="str">
        <f t="shared" si="2557"/>
        <v>2</v>
      </c>
      <c r="K9141" s="1">
        <v>1</v>
      </c>
      <c r="L9141" s="1" t="s">
        <v>44</v>
      </c>
      <c r="M9141" s="1" t="str">
        <f>"海南省 屯昌县 屯昌县 屯城镇"</f>
        <v>海南省 屯昌县 屯昌县 屯城镇</v>
      </c>
      <c r="N9141" s="1" t="str">
        <f t="shared" si="2551"/>
        <v>凡华云仓-韵达-抖音</v>
      </c>
      <c r="O9141" s="5">
        <v>320158400955202</v>
      </c>
      <c r="P9141" s="6">
        <v>0.33</v>
      </c>
      <c r="Q9141" s="11">
        <v>2.2999999999999998</v>
      </c>
      <c r="R9141" s="11"/>
      <c r="S9141" s="11"/>
      <c r="T9141" s="11"/>
      <c r="U9141" s="11">
        <f t="shared" si="2552"/>
        <v>2.2999999999999998</v>
      </c>
      <c r="W9141">
        <v>2.5</v>
      </c>
      <c r="X9141" s="1" t="s">
        <v>44</v>
      </c>
    </row>
    <row r="9142" spans="1:24" x14ac:dyDescent="0.25">
      <c r="A9142" s="1" t="str">
        <f t="shared" si="2553"/>
        <v>卡卡杜-凤凰仓</v>
      </c>
      <c r="B9142" s="1" t="str">
        <f>"CK2024100614180"</f>
        <v>CK2024100614180</v>
      </c>
      <c r="C9142" s="1" t="str">
        <f>"DD2024100644403"</f>
        <v>DD2024100644403</v>
      </c>
      <c r="D9142" s="1" t="str">
        <f>"CK2024100640842"</f>
        <v>CK2024100640842</v>
      </c>
      <c r="E9142" s="1" t="str">
        <f>"6917875889553440109"</f>
        <v>6917875889553440109</v>
      </c>
      <c r="F9142" s="1" t="str">
        <f t="shared" si="2554"/>
        <v>花都四部-凤凰仓</v>
      </c>
      <c r="G9142" s="1" t="str">
        <f t="shared" si="2550"/>
        <v>卡卡杜个人护理店（抖店）</v>
      </c>
      <c r="H9142" s="1" t="str">
        <f t="shared" si="2555"/>
        <v>正常订单</v>
      </c>
      <c r="I9142" s="1" t="str">
        <f t="shared" si="2556"/>
        <v>已发货</v>
      </c>
      <c r="J9142" s="1" t="str">
        <f t="shared" si="2557"/>
        <v>2</v>
      </c>
      <c r="K9142" s="1">
        <v>1</v>
      </c>
      <c r="L9142" s="1" t="s">
        <v>24</v>
      </c>
      <c r="M9142" s="1" t="str">
        <f>"福建省 泉州市 惠安县 辋川镇"</f>
        <v>福建省 泉州市 惠安县 辋川镇</v>
      </c>
      <c r="N9142" s="1" t="str">
        <f t="shared" si="2551"/>
        <v>凡华云仓-韵达-抖音</v>
      </c>
      <c r="O9142" s="5">
        <v>320158400955111</v>
      </c>
      <c r="P9142" s="6">
        <v>0.33</v>
      </c>
      <c r="Q9142" s="11">
        <v>2.2999999999999998</v>
      </c>
      <c r="R9142" s="11"/>
      <c r="S9142" s="11"/>
      <c r="T9142" s="11"/>
      <c r="U9142" s="11">
        <f t="shared" si="2552"/>
        <v>2.2999999999999998</v>
      </c>
      <c r="W9142">
        <v>2.5</v>
      </c>
      <c r="X9142" s="1" t="s">
        <v>24</v>
      </c>
    </row>
    <row r="9143" spans="1:24" x14ac:dyDescent="0.25">
      <c r="A9143" s="1" t="str">
        <f t="shared" si="2553"/>
        <v>卡卡杜-凤凰仓</v>
      </c>
      <c r="B9143" s="1" t="str">
        <f>"CK2024100614186"</f>
        <v>CK2024100614186</v>
      </c>
      <c r="C9143" s="1" t="str">
        <f>"DD2024100644409"</f>
        <v>DD2024100644409</v>
      </c>
      <c r="D9143" s="1" t="str">
        <f>"CK2024100640841"</f>
        <v>CK2024100640841</v>
      </c>
      <c r="E9143" s="1" t="str">
        <f>"6917880607585303770"</f>
        <v>6917880607585303770</v>
      </c>
      <c r="F9143" s="1" t="str">
        <f t="shared" si="2554"/>
        <v>花都四部-凤凰仓</v>
      </c>
      <c r="G9143" s="1" t="str">
        <f t="shared" si="2550"/>
        <v>卡卡杜个人护理店（抖店）</v>
      </c>
      <c r="H9143" s="1" t="str">
        <f t="shared" si="2555"/>
        <v>正常订单</v>
      </c>
      <c r="I9143" s="1" t="str">
        <f t="shared" si="2556"/>
        <v>已发货</v>
      </c>
      <c r="J9143" s="1" t="str">
        <f t="shared" si="2557"/>
        <v>2</v>
      </c>
      <c r="K9143" s="1">
        <v>1</v>
      </c>
      <c r="L9143" s="1" t="s">
        <v>20</v>
      </c>
      <c r="M9143" s="1" t="str">
        <f>"浙江省 衢州市 江山市 新塘边镇"</f>
        <v>浙江省 衢州市 江山市 新塘边镇</v>
      </c>
      <c r="N9143" s="1" t="str">
        <f t="shared" si="2551"/>
        <v>凡华云仓-韵达-抖音</v>
      </c>
      <c r="O9143" s="5">
        <v>320158400955022</v>
      </c>
      <c r="P9143" s="6">
        <v>0.33</v>
      </c>
      <c r="Q9143" s="11">
        <v>2.2999999999999998</v>
      </c>
      <c r="R9143" s="11"/>
      <c r="S9143" s="11"/>
      <c r="T9143" s="11"/>
      <c r="U9143" s="11">
        <f t="shared" si="2552"/>
        <v>2.2999999999999998</v>
      </c>
      <c r="W9143">
        <v>2.5</v>
      </c>
      <c r="X9143" s="1" t="s">
        <v>20</v>
      </c>
    </row>
    <row r="9144" spans="1:24" x14ac:dyDescent="0.25">
      <c r="A9144" s="1" t="str">
        <f t="shared" si="2553"/>
        <v>卡卡杜-凤凰仓</v>
      </c>
      <c r="B9144" s="1" t="str">
        <f>"CK2024100614187"</f>
        <v>CK2024100614187</v>
      </c>
      <c r="C9144" s="1" t="str">
        <f>"DD2024100644410"</f>
        <v>DD2024100644410</v>
      </c>
      <c r="D9144" s="1" t="str">
        <f>"CK2024100640840"</f>
        <v>CK2024100640840</v>
      </c>
      <c r="E9144" s="1" t="str">
        <f>"6917873550820343608"</f>
        <v>6917873550820343608</v>
      </c>
      <c r="F9144" s="1" t="str">
        <f t="shared" si="2554"/>
        <v>花都四部-凤凰仓</v>
      </c>
      <c r="G9144" s="1" t="str">
        <f t="shared" si="2550"/>
        <v>卡卡杜个人护理店（抖店）</v>
      </c>
      <c r="H9144" s="1" t="str">
        <f t="shared" si="2555"/>
        <v>正常订单</v>
      </c>
      <c r="I9144" s="1" t="str">
        <f t="shared" si="2556"/>
        <v>已发货</v>
      </c>
      <c r="J9144" s="1" t="str">
        <f t="shared" si="2557"/>
        <v>2</v>
      </c>
      <c r="K9144" s="1">
        <v>1</v>
      </c>
      <c r="L9144" s="1" t="s">
        <v>16</v>
      </c>
      <c r="M9144" s="1" t="str">
        <f>"河北省 邢台市 襄都区 "</f>
        <v xml:space="preserve">河北省 邢台市 襄都区 </v>
      </c>
      <c r="N9144" s="1" t="str">
        <f t="shared" si="2551"/>
        <v>凡华云仓-韵达-抖音</v>
      </c>
      <c r="O9144" s="5">
        <v>320158400954998</v>
      </c>
      <c r="P9144" s="6">
        <v>0.33</v>
      </c>
      <c r="Q9144" s="11">
        <v>2.2999999999999998</v>
      </c>
      <c r="R9144" s="11"/>
      <c r="S9144" s="11"/>
      <c r="T9144" s="11"/>
      <c r="U9144" s="11">
        <f t="shared" si="2552"/>
        <v>2.2999999999999998</v>
      </c>
      <c r="W9144">
        <v>2.5</v>
      </c>
      <c r="X9144" s="1" t="s">
        <v>16</v>
      </c>
    </row>
    <row r="9145" spans="1:24" x14ac:dyDescent="0.25">
      <c r="A9145" s="1" t="str">
        <f t="shared" si="2553"/>
        <v>卡卡杜-凤凰仓</v>
      </c>
      <c r="B9145" s="1" t="str">
        <f>"CK2024100614190"</f>
        <v>CK2024100614190</v>
      </c>
      <c r="C9145" s="1" t="str">
        <f>"DD2024100644413"</f>
        <v>DD2024100644413</v>
      </c>
      <c r="D9145" s="1" t="str">
        <f>"CK2024100640839"</f>
        <v>CK2024100640839</v>
      </c>
      <c r="E9145" s="1" t="str">
        <f>"6917871259130297465"</f>
        <v>6917871259130297465</v>
      </c>
      <c r="F9145" s="1" t="str">
        <f t="shared" si="2554"/>
        <v>花都四部-凤凰仓</v>
      </c>
      <c r="G9145" s="1" t="str">
        <f t="shared" si="2550"/>
        <v>卡卡杜个人护理店（抖店）</v>
      </c>
      <c r="H9145" s="1" t="str">
        <f t="shared" si="2555"/>
        <v>正常订单</v>
      </c>
      <c r="I9145" s="1" t="str">
        <f t="shared" si="2556"/>
        <v>已发货</v>
      </c>
      <c r="J9145" s="1" t="str">
        <f t="shared" si="2557"/>
        <v>2</v>
      </c>
      <c r="K9145" s="1">
        <v>1</v>
      </c>
      <c r="L9145" s="1" t="s">
        <v>74</v>
      </c>
      <c r="M9145" s="1" t="str">
        <f>"上海 上海市 浦东新区 康桥镇"</f>
        <v>上海 上海市 浦东新区 康桥镇</v>
      </c>
      <c r="N9145" s="1" t="str">
        <f t="shared" si="2551"/>
        <v>凡华云仓-韵达-抖音</v>
      </c>
      <c r="O9145" s="5">
        <v>320158395626070</v>
      </c>
      <c r="P9145" s="6">
        <v>0.33</v>
      </c>
      <c r="Q9145" s="11">
        <v>2.2999999999999998</v>
      </c>
      <c r="R9145" s="11"/>
      <c r="S9145" s="11"/>
      <c r="T9145" s="11"/>
      <c r="U9145" s="11">
        <f t="shared" si="2552"/>
        <v>2.2999999999999998</v>
      </c>
      <c r="W9145">
        <v>2.5</v>
      </c>
      <c r="X9145" s="1" t="s">
        <v>74</v>
      </c>
    </row>
    <row r="9146" spans="1:24" x14ac:dyDescent="0.25">
      <c r="A9146" s="1" t="str">
        <f t="shared" si="2553"/>
        <v>卡卡杜-凤凰仓</v>
      </c>
      <c r="B9146" s="1" t="str">
        <f>"CK2024100614189"</f>
        <v>CK2024100614189</v>
      </c>
      <c r="C9146" s="1" t="str">
        <f>"DD2024100644412"</f>
        <v>DD2024100644412</v>
      </c>
      <c r="D9146" s="1" t="str">
        <f>"CK2024100640838"</f>
        <v>CK2024100640838</v>
      </c>
      <c r="E9146" s="1" t="str">
        <f>"6917868629149449649"</f>
        <v>6917868629149449649</v>
      </c>
      <c r="F9146" s="1" t="str">
        <f t="shared" si="2554"/>
        <v>花都四部-凤凰仓</v>
      </c>
      <c r="G9146" s="1" t="str">
        <f t="shared" si="2550"/>
        <v>卡卡杜个人护理店（抖店）</v>
      </c>
      <c r="H9146" s="1" t="str">
        <f t="shared" si="2555"/>
        <v>正常订单</v>
      </c>
      <c r="I9146" s="1" t="str">
        <f t="shared" si="2556"/>
        <v>已发货</v>
      </c>
      <c r="J9146" s="1" t="str">
        <f t="shared" si="2557"/>
        <v>2</v>
      </c>
      <c r="K9146" s="1">
        <v>1</v>
      </c>
      <c r="L9146" s="1" t="s">
        <v>80</v>
      </c>
      <c r="M9146" s="1" t="str">
        <f>"河南省 驻马店市 正阳县 "</f>
        <v xml:space="preserve">河南省 驻马店市 正阳县 </v>
      </c>
      <c r="N9146" s="1" t="str">
        <f t="shared" si="2551"/>
        <v>凡华云仓-韵达-抖音</v>
      </c>
      <c r="O9146" s="5">
        <v>320158395625944</v>
      </c>
      <c r="P9146" s="6">
        <v>0.33</v>
      </c>
      <c r="Q9146" s="11">
        <v>2.2999999999999998</v>
      </c>
      <c r="R9146" s="11"/>
      <c r="S9146" s="11"/>
      <c r="T9146" s="11"/>
      <c r="U9146" s="11">
        <f t="shared" si="2552"/>
        <v>2.2999999999999998</v>
      </c>
      <c r="W9146">
        <v>2.5</v>
      </c>
      <c r="X9146" s="1" t="s">
        <v>80</v>
      </c>
    </row>
    <row r="9147" spans="1:24" x14ac:dyDescent="0.25">
      <c r="A9147" s="1" t="str">
        <f t="shared" si="2553"/>
        <v>卡卡杜-凤凰仓</v>
      </c>
      <c r="B9147" s="1" t="str">
        <f>"CK2024100614188"</f>
        <v>CK2024100614188</v>
      </c>
      <c r="C9147" s="1" t="str">
        <f>"DD2024100644411"</f>
        <v>DD2024100644411</v>
      </c>
      <c r="D9147" s="1" t="str">
        <f>"CK2024100640837"</f>
        <v>CK2024100640837</v>
      </c>
      <c r="E9147" s="1" t="str">
        <f>"6917878432567557858"</f>
        <v>6917878432567557858</v>
      </c>
      <c r="F9147" s="1" t="str">
        <f t="shared" si="2554"/>
        <v>花都四部-凤凰仓</v>
      </c>
      <c r="G9147" s="1" t="str">
        <f t="shared" ref="G9147:G9210" si="2558">"卡卡杜个人护理店（抖店）"</f>
        <v>卡卡杜个人护理店（抖店）</v>
      </c>
      <c r="H9147" s="1" t="str">
        <f t="shared" si="2555"/>
        <v>正常订单</v>
      </c>
      <c r="I9147" s="1" t="str">
        <f t="shared" si="2556"/>
        <v>已发货</v>
      </c>
      <c r="J9147" s="1" t="str">
        <f t="shared" si="2557"/>
        <v>2</v>
      </c>
      <c r="K9147" s="1">
        <v>2</v>
      </c>
      <c r="L9147" s="1" t="s">
        <v>13</v>
      </c>
      <c r="M9147" s="1" t="str">
        <f>"江苏省 徐州市 睢宁县 睢城街道"</f>
        <v>江苏省 徐州市 睢宁县 睢城街道</v>
      </c>
      <c r="N9147" s="1" t="str">
        <f t="shared" ref="N9147:N9170" si="2559">"凡华云仓-韵达-抖音"</f>
        <v>凡华云仓-韵达-抖音</v>
      </c>
      <c r="O9147" s="5">
        <v>320158395625839</v>
      </c>
      <c r="P9147" s="6">
        <v>0.28000000000000003</v>
      </c>
      <c r="Q9147" s="11">
        <v>2</v>
      </c>
      <c r="R9147" s="11"/>
      <c r="S9147" s="11"/>
      <c r="T9147" s="11"/>
      <c r="U9147" s="11">
        <f t="shared" si="2552"/>
        <v>2</v>
      </c>
      <c r="W9147">
        <v>2.2000000000000002</v>
      </c>
      <c r="X9147" s="1" t="s">
        <v>13</v>
      </c>
    </row>
    <row r="9148" spans="1:24" x14ac:dyDescent="0.25">
      <c r="A9148" s="1" t="str">
        <f t="shared" si="2553"/>
        <v>卡卡杜-凤凰仓</v>
      </c>
      <c r="B9148" s="1" t="str">
        <f>"CK2024100614203"</f>
        <v>CK2024100614203</v>
      </c>
      <c r="C9148" s="1" t="str">
        <f>"DD2024100644426"</f>
        <v>DD2024100644426</v>
      </c>
      <c r="D9148" s="1" t="str">
        <f>"CK2024100640836"</f>
        <v>CK2024100640836</v>
      </c>
      <c r="E9148" s="1" t="str">
        <f>"6917875899530574928"</f>
        <v>6917875899530574928</v>
      </c>
      <c r="F9148" s="1" t="str">
        <f t="shared" si="2554"/>
        <v>花都四部-凤凰仓</v>
      </c>
      <c r="G9148" s="1" t="str">
        <f t="shared" si="2558"/>
        <v>卡卡杜个人护理店（抖店）</v>
      </c>
      <c r="H9148" s="1" t="str">
        <f t="shared" si="2555"/>
        <v>正常订单</v>
      </c>
      <c r="I9148" s="1" t="str">
        <f t="shared" si="2556"/>
        <v>已发货</v>
      </c>
      <c r="J9148" s="1" t="str">
        <f t="shared" si="2557"/>
        <v>2</v>
      </c>
      <c r="K9148" s="1">
        <v>1</v>
      </c>
      <c r="L9148" s="1" t="s">
        <v>20</v>
      </c>
      <c r="M9148" s="1" t="str">
        <f>"浙江省 宁波市 象山县 丹东街道"</f>
        <v>浙江省 宁波市 象山县 丹东街道</v>
      </c>
      <c r="N9148" s="1" t="str">
        <f t="shared" si="2559"/>
        <v>凡华云仓-韵达-抖音</v>
      </c>
      <c r="O9148" s="5">
        <v>320158395625736</v>
      </c>
      <c r="P9148" s="6">
        <v>0.33</v>
      </c>
      <c r="Q9148" s="11">
        <v>2.2999999999999998</v>
      </c>
      <c r="R9148" s="11"/>
      <c r="S9148" s="11"/>
      <c r="T9148" s="11"/>
      <c r="U9148" s="11">
        <f t="shared" si="2552"/>
        <v>2.2999999999999998</v>
      </c>
      <c r="W9148">
        <v>2.5</v>
      </c>
      <c r="X9148" s="1" t="s">
        <v>20</v>
      </c>
    </row>
    <row r="9149" spans="1:24" x14ac:dyDescent="0.25">
      <c r="A9149" s="1" t="str">
        <f t="shared" si="2553"/>
        <v>卡卡杜-凤凰仓</v>
      </c>
      <c r="B9149" s="1" t="str">
        <f>"CK2024100614202"</f>
        <v>CK2024100614202</v>
      </c>
      <c r="C9149" s="1" t="str">
        <f>"DD2024100644425"</f>
        <v>DD2024100644425</v>
      </c>
      <c r="D9149" s="1" t="str">
        <f>"CK2024100640835"</f>
        <v>CK2024100640835</v>
      </c>
      <c r="E9149" s="1" t="str">
        <f>"6917868475089976684"</f>
        <v>6917868475089976684</v>
      </c>
      <c r="F9149" s="1" t="str">
        <f t="shared" si="2554"/>
        <v>花都四部-凤凰仓</v>
      </c>
      <c r="G9149" s="1" t="str">
        <f t="shared" si="2558"/>
        <v>卡卡杜个人护理店（抖店）</v>
      </c>
      <c r="H9149" s="1" t="str">
        <f t="shared" si="2555"/>
        <v>正常订单</v>
      </c>
      <c r="I9149" s="1" t="str">
        <f t="shared" si="2556"/>
        <v>已发货</v>
      </c>
      <c r="J9149" s="1" t="str">
        <f t="shared" si="2557"/>
        <v>2</v>
      </c>
      <c r="K9149" s="1">
        <v>1</v>
      </c>
      <c r="L9149" s="1" t="s">
        <v>18</v>
      </c>
      <c r="M9149" s="1" t="str">
        <f>"广东省 东莞市 东莞市 清溪镇"</f>
        <v>广东省 东莞市 东莞市 清溪镇</v>
      </c>
      <c r="N9149" s="1" t="str">
        <f t="shared" si="2559"/>
        <v>凡华云仓-韵达-抖音</v>
      </c>
      <c r="O9149" s="5">
        <v>320158395625635</v>
      </c>
      <c r="P9149" s="6">
        <v>0.33</v>
      </c>
      <c r="Q9149" s="11">
        <v>2.2999999999999998</v>
      </c>
      <c r="R9149" s="11"/>
      <c r="S9149" s="11"/>
      <c r="T9149" s="11"/>
      <c r="U9149" s="11">
        <f t="shared" si="2552"/>
        <v>2.2999999999999998</v>
      </c>
      <c r="W9149">
        <v>2.5</v>
      </c>
      <c r="X9149" s="1" t="s">
        <v>18</v>
      </c>
    </row>
    <row r="9150" spans="1:24" x14ac:dyDescent="0.25">
      <c r="A9150" s="1" t="str">
        <f t="shared" si="2553"/>
        <v>卡卡杜-凤凰仓</v>
      </c>
      <c r="B9150" s="1" t="str">
        <f>"CK2024100614183"</f>
        <v>CK2024100614183</v>
      </c>
      <c r="C9150" s="1" t="str">
        <f>"DD2024100644407"</f>
        <v>DD2024100644407</v>
      </c>
      <c r="D9150" s="1" t="str">
        <f>"CK2024100640834"</f>
        <v>CK2024100640834</v>
      </c>
      <c r="E9150" s="1" t="str">
        <f>"6917876050178636814"</f>
        <v>6917876050178636814</v>
      </c>
      <c r="F9150" s="1" t="str">
        <f t="shared" si="2554"/>
        <v>花都四部-凤凰仓</v>
      </c>
      <c r="G9150" s="1" t="str">
        <f t="shared" si="2558"/>
        <v>卡卡杜个人护理店（抖店）</v>
      </c>
      <c r="H9150" s="1" t="str">
        <f t="shared" si="2555"/>
        <v>正常订单</v>
      </c>
      <c r="I9150" s="1" t="str">
        <f t="shared" si="2556"/>
        <v>已发货</v>
      </c>
      <c r="J9150" s="1" t="str">
        <f t="shared" si="2557"/>
        <v>2</v>
      </c>
      <c r="K9150" s="1">
        <v>2</v>
      </c>
      <c r="L9150" s="1" t="s">
        <v>161</v>
      </c>
      <c r="M9150" s="1" t="str">
        <f>"四川省 成都市 双流区 西航港街道"</f>
        <v>四川省 成都市 双流区 西航港街道</v>
      </c>
      <c r="N9150" s="1" t="str">
        <f t="shared" si="2559"/>
        <v>凡华云仓-韵达-抖音</v>
      </c>
      <c r="O9150" s="5">
        <v>320158395625536</v>
      </c>
      <c r="P9150" s="6">
        <v>0.28000000000000003</v>
      </c>
      <c r="Q9150" s="11">
        <v>2</v>
      </c>
      <c r="R9150" s="11"/>
      <c r="S9150" s="11"/>
      <c r="T9150" s="11"/>
      <c r="U9150" s="11">
        <f t="shared" si="2552"/>
        <v>2</v>
      </c>
      <c r="W9150">
        <v>2.2000000000000002</v>
      </c>
      <c r="X9150" s="1" t="s">
        <v>161</v>
      </c>
    </row>
    <row r="9151" spans="1:24" x14ac:dyDescent="0.25">
      <c r="A9151" s="1" t="str">
        <f t="shared" si="2553"/>
        <v>卡卡杜-凤凰仓</v>
      </c>
      <c r="B9151" s="1" t="str">
        <f>"CK2024100614192"</f>
        <v>CK2024100614192</v>
      </c>
      <c r="C9151" s="1" t="str">
        <f>"DD2024100644415"</f>
        <v>DD2024100644415</v>
      </c>
      <c r="D9151" s="1" t="str">
        <f>"CK2024100640833"</f>
        <v>CK2024100640833</v>
      </c>
      <c r="E9151" s="1" t="str">
        <f>"6917871552870841930"</f>
        <v>6917871552870841930</v>
      </c>
      <c r="F9151" s="1" t="str">
        <f t="shared" si="2554"/>
        <v>花都四部-凤凰仓</v>
      </c>
      <c r="G9151" s="1" t="str">
        <f t="shared" si="2558"/>
        <v>卡卡杜个人护理店（抖店）</v>
      </c>
      <c r="H9151" s="1" t="str">
        <f t="shared" si="2555"/>
        <v>正常订单</v>
      </c>
      <c r="I9151" s="1" t="str">
        <f t="shared" si="2556"/>
        <v>已发货</v>
      </c>
      <c r="J9151" s="1" t="str">
        <f t="shared" si="2557"/>
        <v>2</v>
      </c>
      <c r="K9151" s="1">
        <v>1</v>
      </c>
      <c r="L9151" s="1" t="s">
        <v>80</v>
      </c>
      <c r="M9151" s="1" t="str">
        <f>"河南省 南阳市 邓州市 湍河街道"</f>
        <v>河南省 南阳市 邓州市 湍河街道</v>
      </c>
      <c r="N9151" s="1" t="str">
        <f t="shared" si="2559"/>
        <v>凡华云仓-韵达-抖音</v>
      </c>
      <c r="O9151" s="5">
        <v>320158395625439</v>
      </c>
      <c r="P9151" s="6">
        <v>0.33</v>
      </c>
      <c r="Q9151" s="11">
        <v>2.2999999999999998</v>
      </c>
      <c r="R9151" s="11"/>
      <c r="S9151" s="11"/>
      <c r="T9151" s="11"/>
      <c r="U9151" s="11">
        <f t="shared" si="2552"/>
        <v>2.2999999999999998</v>
      </c>
      <c r="W9151">
        <v>2.5</v>
      </c>
      <c r="X9151" s="1" t="s">
        <v>80</v>
      </c>
    </row>
    <row r="9152" spans="1:24" x14ac:dyDescent="0.25">
      <c r="A9152" s="1" t="str">
        <f t="shared" si="2553"/>
        <v>卡卡杜-凤凰仓</v>
      </c>
      <c r="B9152" s="1" t="str">
        <f>"CK2024100714911"</f>
        <v>CK2024100714911</v>
      </c>
      <c r="C9152" s="1" t="str">
        <f>"DD2024100736865"</f>
        <v>DD2024100736865</v>
      </c>
      <c r="D9152" s="1" t="str">
        <f>"CK2024100738012"</f>
        <v>CK2024100738012</v>
      </c>
      <c r="E9152" s="1" t="str">
        <f>"6917899167986449652"</f>
        <v>6917899167986449652</v>
      </c>
      <c r="F9152" s="1" t="str">
        <f t="shared" si="2554"/>
        <v>花都四部-凤凰仓</v>
      </c>
      <c r="G9152" s="1" t="str">
        <f t="shared" si="2558"/>
        <v>卡卡杜个人护理店（抖店）</v>
      </c>
      <c r="H9152" s="1" t="str">
        <f t="shared" si="2555"/>
        <v>正常订单</v>
      </c>
      <c r="I9152" s="1" t="str">
        <f t="shared" si="2556"/>
        <v>已发货</v>
      </c>
      <c r="J9152" s="1" t="str">
        <f>"4"</f>
        <v>4</v>
      </c>
      <c r="K9152" s="1">
        <v>1</v>
      </c>
      <c r="L9152" s="1" t="s">
        <v>22</v>
      </c>
      <c r="M9152" s="1" t="str">
        <f>"江西省 吉安市 泰和县 "</f>
        <v xml:space="preserve">江西省 吉安市 泰和县 </v>
      </c>
      <c r="N9152" s="1" t="str">
        <f t="shared" si="2559"/>
        <v>凡华云仓-韵达-抖音</v>
      </c>
      <c r="O9152" s="5">
        <v>320159971291998</v>
      </c>
      <c r="P9152" s="6">
        <v>0.57999999999999996</v>
      </c>
      <c r="Q9152" s="11">
        <f>CEILING(P9152-0.5,0.1)*10*0.15+2.3</f>
        <v>2.4499999999999997</v>
      </c>
      <c r="R9152" s="11"/>
      <c r="S9152" s="11"/>
      <c r="T9152" s="11"/>
      <c r="U9152" s="11">
        <f t="shared" si="2552"/>
        <v>2.4499999999999997</v>
      </c>
      <c r="V9152" t="s">
        <v>15</v>
      </c>
      <c r="W9152">
        <v>2.4500000000000002</v>
      </c>
      <c r="X9152" s="1" t="s">
        <v>22</v>
      </c>
    </row>
    <row r="9153" spans="1:24" x14ac:dyDescent="0.25">
      <c r="A9153" s="1" t="str">
        <f t="shared" si="2553"/>
        <v>卡卡杜-凤凰仓</v>
      </c>
      <c r="B9153" s="1" t="str">
        <f>"CK2024100614195"</f>
        <v>CK2024100614195</v>
      </c>
      <c r="C9153" s="1" t="str">
        <f>"DD2024100644417"</f>
        <v>DD2024100644417</v>
      </c>
      <c r="D9153" s="1" t="str">
        <f>"CK2024100640831"</f>
        <v>CK2024100640831</v>
      </c>
      <c r="E9153" s="1" t="str">
        <f>"6917871096593546533"</f>
        <v>6917871096593546533</v>
      </c>
      <c r="F9153" s="1" t="str">
        <f t="shared" si="2554"/>
        <v>花都四部-凤凰仓</v>
      </c>
      <c r="G9153" s="1" t="str">
        <f t="shared" si="2558"/>
        <v>卡卡杜个人护理店（抖店）</v>
      </c>
      <c r="H9153" s="1" t="str">
        <f t="shared" si="2555"/>
        <v>正常订单</v>
      </c>
      <c r="I9153" s="1" t="str">
        <f t="shared" si="2556"/>
        <v>已发货</v>
      </c>
      <c r="J9153" s="1" t="str">
        <f t="shared" ref="J9153:J9167" si="2560">"2"</f>
        <v>2</v>
      </c>
      <c r="K9153" s="1">
        <v>1</v>
      </c>
      <c r="L9153" s="1" t="s">
        <v>24</v>
      </c>
      <c r="M9153" s="1" t="str">
        <f>"福建省 龙岩市 新罗区 西陂街道"</f>
        <v>福建省 龙岩市 新罗区 西陂街道</v>
      </c>
      <c r="N9153" s="1" t="str">
        <f t="shared" si="2559"/>
        <v>凡华云仓-韵达-抖音</v>
      </c>
      <c r="O9153" s="5">
        <v>320158395625251</v>
      </c>
      <c r="P9153" s="6">
        <v>0.33</v>
      </c>
      <c r="Q9153" s="11">
        <v>2.2999999999999998</v>
      </c>
      <c r="R9153" s="11"/>
      <c r="S9153" s="11"/>
      <c r="T9153" s="11"/>
      <c r="U9153" s="11">
        <f t="shared" si="2552"/>
        <v>2.2999999999999998</v>
      </c>
      <c r="W9153">
        <v>2.5</v>
      </c>
      <c r="X9153" s="1" t="s">
        <v>24</v>
      </c>
    </row>
    <row r="9154" spans="1:24" x14ac:dyDescent="0.25">
      <c r="A9154" s="1" t="str">
        <f t="shared" si="2553"/>
        <v>卡卡杜-凤凰仓</v>
      </c>
      <c r="B9154" s="1" t="str">
        <f>"CK2024100614197"</f>
        <v>CK2024100614197</v>
      </c>
      <c r="C9154" s="1" t="str">
        <f>"DD2024100644421"</f>
        <v>DD2024100644421</v>
      </c>
      <c r="D9154" s="1" t="str">
        <f>"CK2024100640829"</f>
        <v>CK2024100640829</v>
      </c>
      <c r="E9154" s="1" t="str">
        <f>"6917868589319356016"</f>
        <v>6917868589319356016</v>
      </c>
      <c r="F9154" s="1" t="str">
        <f t="shared" si="2554"/>
        <v>花都四部-凤凰仓</v>
      </c>
      <c r="G9154" s="1" t="str">
        <f t="shared" si="2558"/>
        <v>卡卡杜个人护理店（抖店）</v>
      </c>
      <c r="H9154" s="1" t="str">
        <f t="shared" si="2555"/>
        <v>正常订单</v>
      </c>
      <c r="I9154" s="1" t="str">
        <f t="shared" si="2556"/>
        <v>已发货</v>
      </c>
      <c r="J9154" s="1" t="str">
        <f t="shared" si="2560"/>
        <v>2</v>
      </c>
      <c r="K9154" s="1">
        <v>2</v>
      </c>
      <c r="L9154" s="1" t="s">
        <v>94</v>
      </c>
      <c r="M9154" s="1" t="str">
        <f>"湖南省 长沙市 开福区 通泰街街道"</f>
        <v>湖南省 长沙市 开福区 通泰街街道</v>
      </c>
      <c r="N9154" s="1" t="str">
        <f t="shared" si="2559"/>
        <v>凡华云仓-韵达-抖音</v>
      </c>
      <c r="O9154" s="5">
        <v>320158394969540</v>
      </c>
      <c r="P9154" s="6">
        <v>0.28000000000000003</v>
      </c>
      <c r="Q9154" s="11">
        <v>2</v>
      </c>
      <c r="R9154" s="11"/>
      <c r="S9154" s="11"/>
      <c r="T9154" s="11"/>
      <c r="U9154" s="11">
        <f t="shared" si="2552"/>
        <v>2</v>
      </c>
      <c r="W9154">
        <v>2.2000000000000002</v>
      </c>
      <c r="X9154" s="1" t="s">
        <v>94</v>
      </c>
    </row>
    <row r="9155" spans="1:24" x14ac:dyDescent="0.25">
      <c r="A9155" s="1" t="str">
        <f t="shared" si="2553"/>
        <v>卡卡杜-凤凰仓</v>
      </c>
      <c r="B9155" s="1" t="str">
        <f>"CK2024100614198"</f>
        <v>CK2024100614198</v>
      </c>
      <c r="C9155" s="1" t="str">
        <f>"DD2024100644420"</f>
        <v>DD2024100644420</v>
      </c>
      <c r="D9155" s="1" t="str">
        <f>"CK2024100640828"</f>
        <v>CK2024100640828</v>
      </c>
      <c r="E9155" s="1" t="str">
        <f>"6917873806763130247"</f>
        <v>6917873806763130247</v>
      </c>
      <c r="F9155" s="1" t="str">
        <f t="shared" si="2554"/>
        <v>花都四部-凤凰仓</v>
      </c>
      <c r="G9155" s="1" t="str">
        <f t="shared" si="2558"/>
        <v>卡卡杜个人护理店（抖店）</v>
      </c>
      <c r="H9155" s="1" t="str">
        <f t="shared" si="2555"/>
        <v>正常订单</v>
      </c>
      <c r="I9155" s="1" t="str">
        <f t="shared" si="2556"/>
        <v>已发货</v>
      </c>
      <c r="J9155" s="1" t="str">
        <f t="shared" si="2560"/>
        <v>2</v>
      </c>
      <c r="K9155" s="1">
        <v>1</v>
      </c>
      <c r="L9155" s="1" t="s">
        <v>18</v>
      </c>
      <c r="M9155" s="1" t="str">
        <f>"广东省 东莞市 东莞市 中堂镇"</f>
        <v>广东省 东莞市 东莞市 中堂镇</v>
      </c>
      <c r="N9155" s="1" t="str">
        <f t="shared" si="2559"/>
        <v>凡华云仓-韵达-抖音</v>
      </c>
      <c r="O9155" s="5">
        <v>320158394969443</v>
      </c>
      <c r="P9155" s="6">
        <v>0.33</v>
      </c>
      <c r="Q9155" s="11">
        <v>2.2999999999999998</v>
      </c>
      <c r="R9155" s="11"/>
      <c r="S9155" s="11"/>
      <c r="T9155" s="11"/>
      <c r="U9155" s="11">
        <f t="shared" ref="U9155:U9218" si="2561">T9155+S9155+R9155+Q9155</f>
        <v>2.2999999999999998</v>
      </c>
      <c r="W9155">
        <v>2.5</v>
      </c>
      <c r="X9155" s="1" t="s">
        <v>18</v>
      </c>
    </row>
    <row r="9156" spans="1:24" x14ac:dyDescent="0.25">
      <c r="A9156" s="1" t="str">
        <f t="shared" si="2553"/>
        <v>卡卡杜-凤凰仓</v>
      </c>
      <c r="B9156" s="1" t="str">
        <f>"CK2024100614201"</f>
        <v>CK2024100614201</v>
      </c>
      <c r="C9156" s="1" t="str">
        <f>"DD2024100644424"</f>
        <v>DD2024100644424</v>
      </c>
      <c r="D9156" s="1" t="str">
        <f>"CK2024100640827"</f>
        <v>CK2024100640827</v>
      </c>
      <c r="E9156" s="1" t="str">
        <f>"6917868652872760597"</f>
        <v>6917868652872760597</v>
      </c>
      <c r="F9156" s="1" t="str">
        <f t="shared" si="2554"/>
        <v>花都四部-凤凰仓</v>
      </c>
      <c r="G9156" s="1" t="str">
        <f t="shared" si="2558"/>
        <v>卡卡杜个人护理店（抖店）</v>
      </c>
      <c r="H9156" s="1" t="str">
        <f t="shared" si="2555"/>
        <v>正常订单</v>
      </c>
      <c r="I9156" s="1" t="str">
        <f t="shared" si="2556"/>
        <v>已发货</v>
      </c>
      <c r="J9156" s="1" t="str">
        <f t="shared" si="2560"/>
        <v>2</v>
      </c>
      <c r="K9156" s="1">
        <v>1</v>
      </c>
      <c r="L9156" s="1" t="s">
        <v>44</v>
      </c>
      <c r="M9156" s="1" t="str">
        <f>"海南省 琼海市 琼海市 嘉积镇"</f>
        <v>海南省 琼海市 琼海市 嘉积镇</v>
      </c>
      <c r="N9156" s="1" t="str">
        <f t="shared" si="2559"/>
        <v>凡华云仓-韵达-抖音</v>
      </c>
      <c r="O9156" s="5">
        <v>320158394969348</v>
      </c>
      <c r="P9156" s="6">
        <v>0.33</v>
      </c>
      <c r="Q9156" s="11">
        <v>2.2999999999999998</v>
      </c>
      <c r="R9156" s="11"/>
      <c r="S9156" s="11"/>
      <c r="T9156" s="11"/>
      <c r="U9156" s="11">
        <f t="shared" si="2561"/>
        <v>2.2999999999999998</v>
      </c>
      <c r="W9156">
        <v>2.5</v>
      </c>
      <c r="X9156" s="1" t="s">
        <v>44</v>
      </c>
    </row>
    <row r="9157" spans="1:24" x14ac:dyDescent="0.25">
      <c r="A9157" s="1" t="str">
        <f t="shared" si="2553"/>
        <v>卡卡杜-凤凰仓</v>
      </c>
      <c r="B9157" s="1" t="str">
        <f>"CK2024100614185"</f>
        <v>CK2024100614185</v>
      </c>
      <c r="C9157" s="1" t="str">
        <f>"DD2024100644408"</f>
        <v>DD2024100644408</v>
      </c>
      <c r="D9157" s="1" t="str">
        <f>"CK2024100640826"</f>
        <v>CK2024100640826</v>
      </c>
      <c r="E9157" s="1" t="str">
        <f>"6917873819156642855"</f>
        <v>6917873819156642855</v>
      </c>
      <c r="F9157" s="1" t="str">
        <f t="shared" si="2554"/>
        <v>花都四部-凤凰仓</v>
      </c>
      <c r="G9157" s="1" t="str">
        <f t="shared" si="2558"/>
        <v>卡卡杜个人护理店（抖店）</v>
      </c>
      <c r="H9157" s="1" t="str">
        <f t="shared" si="2555"/>
        <v>正常订单</v>
      </c>
      <c r="I9157" s="1" t="str">
        <f t="shared" si="2556"/>
        <v>已发货</v>
      </c>
      <c r="J9157" s="1" t="str">
        <f t="shared" si="2560"/>
        <v>2</v>
      </c>
      <c r="K9157" s="1">
        <v>1</v>
      </c>
      <c r="L9157" s="1" t="s">
        <v>74</v>
      </c>
      <c r="M9157" s="1" t="str">
        <f>"上海 上海市 奉贤区 奉城镇"</f>
        <v>上海 上海市 奉贤区 奉城镇</v>
      </c>
      <c r="N9157" s="1" t="str">
        <f t="shared" si="2559"/>
        <v>凡华云仓-韵达-抖音</v>
      </c>
      <c r="O9157" s="5">
        <v>320158394969255</v>
      </c>
      <c r="P9157" s="6">
        <v>0.33</v>
      </c>
      <c r="Q9157" s="11">
        <v>2.2999999999999998</v>
      </c>
      <c r="R9157" s="11"/>
      <c r="S9157" s="11"/>
      <c r="T9157" s="11"/>
      <c r="U9157" s="11">
        <f t="shared" si="2561"/>
        <v>2.2999999999999998</v>
      </c>
      <c r="W9157">
        <v>2.5</v>
      </c>
      <c r="X9157" s="1" t="s">
        <v>74</v>
      </c>
    </row>
    <row r="9158" spans="1:24" x14ac:dyDescent="0.25">
      <c r="A9158" s="1" t="str">
        <f t="shared" si="2553"/>
        <v>卡卡杜-凤凰仓</v>
      </c>
      <c r="B9158" s="1" t="str">
        <f>"CK2024100614205"</f>
        <v>CK2024100614205</v>
      </c>
      <c r="C9158" s="1" t="str">
        <f>"DD2024100644428"</f>
        <v>DD2024100644428</v>
      </c>
      <c r="D9158" s="1" t="str">
        <f>"CK2024100640825"</f>
        <v>CK2024100640825</v>
      </c>
      <c r="E9158" s="1" t="str">
        <f>"6917873738559618936"</f>
        <v>6917873738559618936</v>
      </c>
      <c r="F9158" s="1" t="str">
        <f t="shared" si="2554"/>
        <v>花都四部-凤凰仓</v>
      </c>
      <c r="G9158" s="1" t="str">
        <f t="shared" si="2558"/>
        <v>卡卡杜个人护理店（抖店）</v>
      </c>
      <c r="H9158" s="1" t="str">
        <f t="shared" si="2555"/>
        <v>正常订单</v>
      </c>
      <c r="I9158" s="1" t="str">
        <f t="shared" si="2556"/>
        <v>已发货</v>
      </c>
      <c r="J9158" s="1" t="str">
        <f t="shared" si="2560"/>
        <v>2</v>
      </c>
      <c r="K9158" s="1">
        <v>1</v>
      </c>
      <c r="L9158" s="1" t="s">
        <v>94</v>
      </c>
      <c r="M9158" s="1" t="str">
        <f>"湖南省 岳阳市 平江县 汉昌街道"</f>
        <v>湖南省 岳阳市 平江县 汉昌街道</v>
      </c>
      <c r="N9158" s="1" t="str">
        <f t="shared" si="2559"/>
        <v>凡华云仓-韵达-抖音</v>
      </c>
      <c r="O9158" s="5">
        <v>320158394969164</v>
      </c>
      <c r="P9158" s="6">
        <v>0.33</v>
      </c>
      <c r="Q9158" s="11">
        <v>2.2999999999999998</v>
      </c>
      <c r="R9158" s="11"/>
      <c r="S9158" s="11"/>
      <c r="T9158" s="11"/>
      <c r="U9158" s="11">
        <f t="shared" si="2561"/>
        <v>2.2999999999999998</v>
      </c>
      <c r="W9158">
        <v>2.5</v>
      </c>
      <c r="X9158" s="1" t="s">
        <v>94</v>
      </c>
    </row>
    <row r="9159" spans="1:24" x14ac:dyDescent="0.25">
      <c r="A9159" s="1" t="str">
        <f t="shared" si="2553"/>
        <v>卡卡杜-凤凰仓</v>
      </c>
      <c r="B9159" s="1" t="str">
        <f>"CK2024100614208"</f>
        <v>CK2024100614208</v>
      </c>
      <c r="C9159" s="1" t="str">
        <f>"DD2024100644433"</f>
        <v>DD2024100644433</v>
      </c>
      <c r="D9159" s="1" t="str">
        <f>"CK2024100640824"</f>
        <v>CK2024100640824</v>
      </c>
      <c r="E9159" s="1" t="str">
        <f>"6917868686759984240"</f>
        <v>6917868686759984240</v>
      </c>
      <c r="F9159" s="1" t="str">
        <f t="shared" si="2554"/>
        <v>花都四部-凤凰仓</v>
      </c>
      <c r="G9159" s="1" t="str">
        <f t="shared" si="2558"/>
        <v>卡卡杜个人护理店（抖店）</v>
      </c>
      <c r="H9159" s="1" t="str">
        <f t="shared" si="2555"/>
        <v>正常订单</v>
      </c>
      <c r="I9159" s="1" t="str">
        <f t="shared" si="2556"/>
        <v>已发货</v>
      </c>
      <c r="J9159" s="1" t="str">
        <f t="shared" si="2560"/>
        <v>2</v>
      </c>
      <c r="K9159" s="1">
        <v>1</v>
      </c>
      <c r="L9159" s="1" t="s">
        <v>96</v>
      </c>
      <c r="M9159" s="1" t="str">
        <f>"广西壮族自治区 河池市 环江毛南族自治县 思恩镇"</f>
        <v>广西壮族自治区 河池市 环江毛南族自治县 思恩镇</v>
      </c>
      <c r="N9159" s="1" t="str">
        <f t="shared" si="2559"/>
        <v>凡华云仓-韵达-抖音</v>
      </c>
      <c r="O9159" s="5">
        <v>320158394969075</v>
      </c>
      <c r="P9159" s="6">
        <v>0.33</v>
      </c>
      <c r="Q9159" s="11">
        <v>2.2999999999999998</v>
      </c>
      <c r="R9159" s="11"/>
      <c r="S9159" s="11"/>
      <c r="T9159" s="11"/>
      <c r="U9159" s="11">
        <f t="shared" si="2561"/>
        <v>2.2999999999999998</v>
      </c>
      <c r="W9159">
        <v>2.5</v>
      </c>
      <c r="X9159" s="1" t="s">
        <v>96</v>
      </c>
    </row>
    <row r="9160" spans="1:24" x14ac:dyDescent="0.25">
      <c r="A9160" s="1" t="str">
        <f t="shared" si="2553"/>
        <v>卡卡杜-凤凰仓</v>
      </c>
      <c r="B9160" s="1" t="str">
        <f>"CK2024100614221"</f>
        <v>CK2024100614221</v>
      </c>
      <c r="C9160" s="1" t="str">
        <f>"DD2024100644444"</f>
        <v>DD2024100644444</v>
      </c>
      <c r="D9160" s="1" t="str">
        <f>"CK2024100640823"</f>
        <v>CK2024100640823</v>
      </c>
      <c r="E9160" s="1" t="str">
        <f>"6917873701578112442"</f>
        <v>6917873701578112442</v>
      </c>
      <c r="F9160" s="1" t="str">
        <f t="shared" si="2554"/>
        <v>花都四部-凤凰仓</v>
      </c>
      <c r="G9160" s="1" t="str">
        <f t="shared" si="2558"/>
        <v>卡卡杜个人护理店（抖店）</v>
      </c>
      <c r="H9160" s="1" t="str">
        <f t="shared" si="2555"/>
        <v>正常订单</v>
      </c>
      <c r="I9160" s="1" t="str">
        <f t="shared" si="2556"/>
        <v>已发货</v>
      </c>
      <c r="J9160" s="1" t="str">
        <f t="shared" si="2560"/>
        <v>2</v>
      </c>
      <c r="K9160" s="1">
        <v>1</v>
      </c>
      <c r="L9160" s="1" t="s">
        <v>20</v>
      </c>
      <c r="M9160" s="1" t="str">
        <f>"浙江省 宁波市 北仑区 小港街道"</f>
        <v>浙江省 宁波市 北仑区 小港街道</v>
      </c>
      <c r="N9160" s="1" t="str">
        <f t="shared" si="2559"/>
        <v>凡华云仓-韵达-抖音</v>
      </c>
      <c r="O9160" s="5">
        <v>320158394968943</v>
      </c>
      <c r="P9160" s="6">
        <v>0.33</v>
      </c>
      <c r="Q9160" s="11">
        <v>2.2999999999999998</v>
      </c>
      <c r="R9160" s="11"/>
      <c r="S9160" s="11"/>
      <c r="T9160" s="11"/>
      <c r="U9160" s="11">
        <f t="shared" si="2561"/>
        <v>2.2999999999999998</v>
      </c>
      <c r="W9160">
        <v>2.5</v>
      </c>
      <c r="X9160" s="1" t="s">
        <v>20</v>
      </c>
    </row>
    <row r="9161" spans="1:24" x14ac:dyDescent="0.25">
      <c r="A9161" s="1" t="str">
        <f t="shared" si="2553"/>
        <v>卡卡杜-凤凰仓</v>
      </c>
      <c r="B9161" s="1" t="str">
        <f>"CK2024100614207"</f>
        <v>CK2024100614207</v>
      </c>
      <c r="C9161" s="1" t="str">
        <f>"DD2024100644430"</f>
        <v>DD2024100644430</v>
      </c>
      <c r="D9161" s="1" t="str">
        <f>"CK2024100640822"</f>
        <v>CK2024100640822</v>
      </c>
      <c r="E9161" s="1" t="str">
        <f>"6917861613209746616"</f>
        <v>6917861613209746616</v>
      </c>
      <c r="F9161" s="1" t="str">
        <f t="shared" si="2554"/>
        <v>花都四部-凤凰仓</v>
      </c>
      <c r="G9161" s="1" t="str">
        <f t="shared" si="2558"/>
        <v>卡卡杜个人护理店（抖店）</v>
      </c>
      <c r="H9161" s="1" t="str">
        <f t="shared" si="2555"/>
        <v>正常订单</v>
      </c>
      <c r="I9161" s="1" t="str">
        <f t="shared" si="2556"/>
        <v>已发货</v>
      </c>
      <c r="J9161" s="1" t="str">
        <f t="shared" si="2560"/>
        <v>2</v>
      </c>
      <c r="K9161" s="1">
        <v>1</v>
      </c>
      <c r="L9161" s="1" t="s">
        <v>60</v>
      </c>
      <c r="M9161" s="1" t="str">
        <f>"云南省 楚雄彝族自治州 武定县 狮山镇"</f>
        <v>云南省 楚雄彝族自治州 武定县 狮山镇</v>
      </c>
      <c r="N9161" s="1" t="str">
        <f t="shared" si="2559"/>
        <v>凡华云仓-韵达-抖音</v>
      </c>
      <c r="O9161" s="5">
        <v>320158394968838</v>
      </c>
      <c r="P9161" s="6">
        <v>0.33</v>
      </c>
      <c r="Q9161" s="11">
        <v>2.2999999999999998</v>
      </c>
      <c r="R9161" s="11"/>
      <c r="S9161" s="11"/>
      <c r="T9161" s="11"/>
      <c r="U9161" s="11">
        <f t="shared" si="2561"/>
        <v>2.2999999999999998</v>
      </c>
      <c r="W9161">
        <v>2.5</v>
      </c>
      <c r="X9161" s="1" t="s">
        <v>60</v>
      </c>
    </row>
    <row r="9162" spans="1:24" x14ac:dyDescent="0.25">
      <c r="A9162" s="1" t="str">
        <f t="shared" si="2553"/>
        <v>卡卡杜-凤凰仓</v>
      </c>
      <c r="B9162" s="1" t="str">
        <f>"CK2024100614181"</f>
        <v>CK2024100614181</v>
      </c>
      <c r="C9162" s="1" t="str">
        <f>"DD2024100644404"</f>
        <v>DD2024100644404</v>
      </c>
      <c r="D9162" s="1" t="str">
        <f>"CK2024100640821"</f>
        <v>CK2024100640821</v>
      </c>
      <c r="E9162" s="1" t="str">
        <f>"6917863930961952022"</f>
        <v>6917863930961952022</v>
      </c>
      <c r="F9162" s="1" t="str">
        <f t="shared" si="2554"/>
        <v>花都四部-凤凰仓</v>
      </c>
      <c r="G9162" s="1" t="str">
        <f t="shared" si="2558"/>
        <v>卡卡杜个人护理店（抖店）</v>
      </c>
      <c r="H9162" s="1" t="str">
        <f t="shared" si="2555"/>
        <v>正常订单</v>
      </c>
      <c r="I9162" s="1" t="str">
        <f t="shared" si="2556"/>
        <v>已发货</v>
      </c>
      <c r="J9162" s="1" t="str">
        <f t="shared" si="2560"/>
        <v>2</v>
      </c>
      <c r="K9162" s="1">
        <v>2</v>
      </c>
      <c r="L9162" s="1" t="s">
        <v>13</v>
      </c>
      <c r="M9162" s="1" t="str">
        <f>"江苏省 常州市 溧阳市 社渚镇"</f>
        <v>江苏省 常州市 溧阳市 社渚镇</v>
      </c>
      <c r="N9162" s="1" t="str">
        <f t="shared" si="2559"/>
        <v>凡华云仓-韵达-抖音</v>
      </c>
      <c r="O9162" s="5">
        <v>320158394968735</v>
      </c>
      <c r="P9162" s="6">
        <v>0.28000000000000003</v>
      </c>
      <c r="Q9162" s="11">
        <v>2</v>
      </c>
      <c r="R9162" s="11"/>
      <c r="S9162" s="11"/>
      <c r="T9162" s="11"/>
      <c r="U9162" s="11">
        <f t="shared" si="2561"/>
        <v>2</v>
      </c>
      <c r="W9162">
        <v>2.2000000000000002</v>
      </c>
      <c r="X9162" s="1" t="s">
        <v>13</v>
      </c>
    </row>
    <row r="9163" spans="1:24" x14ac:dyDescent="0.25">
      <c r="A9163" s="1" t="str">
        <f t="shared" si="2553"/>
        <v>卡卡杜-凤凰仓</v>
      </c>
      <c r="B9163" s="1" t="str">
        <f>"CK2024100614214"</f>
        <v>CK2024100614214</v>
      </c>
      <c r="C9163" s="1" t="str">
        <f>"DD2024100644437"</f>
        <v>DD2024100644437</v>
      </c>
      <c r="D9163" s="1" t="str">
        <f>"CK2024100640820"</f>
        <v>CK2024100640820</v>
      </c>
      <c r="E9163" s="1" t="str">
        <f>"6917878305787706518"</f>
        <v>6917878305787706518</v>
      </c>
      <c r="F9163" s="1" t="str">
        <f t="shared" si="2554"/>
        <v>花都四部-凤凰仓</v>
      </c>
      <c r="G9163" s="1" t="str">
        <f t="shared" si="2558"/>
        <v>卡卡杜个人护理店（抖店）</v>
      </c>
      <c r="H9163" s="1" t="str">
        <f t="shared" si="2555"/>
        <v>正常订单</v>
      </c>
      <c r="I9163" s="1" t="str">
        <f t="shared" si="2556"/>
        <v>已发货</v>
      </c>
      <c r="J9163" s="1" t="str">
        <f t="shared" si="2560"/>
        <v>2</v>
      </c>
      <c r="K9163" s="1">
        <v>1</v>
      </c>
      <c r="L9163" s="1" t="s">
        <v>16</v>
      </c>
      <c r="M9163" s="1" t="str">
        <f>"河北省 邯郸市 成安县 道东堡乡"</f>
        <v>河北省 邯郸市 成安县 道东堡乡</v>
      </c>
      <c r="N9163" s="1" t="str">
        <f t="shared" si="2559"/>
        <v>凡华云仓-韵达-抖音</v>
      </c>
      <c r="O9163" s="5">
        <v>320158394968634</v>
      </c>
      <c r="P9163" s="6">
        <v>0.33</v>
      </c>
      <c r="Q9163" s="11">
        <v>2.2999999999999998</v>
      </c>
      <c r="R9163" s="11"/>
      <c r="S9163" s="11"/>
      <c r="T9163" s="11"/>
      <c r="U9163" s="11">
        <f t="shared" si="2561"/>
        <v>2.2999999999999998</v>
      </c>
      <c r="W9163">
        <v>2.5</v>
      </c>
      <c r="X9163" s="1" t="s">
        <v>16</v>
      </c>
    </row>
    <row r="9164" spans="1:24" x14ac:dyDescent="0.25">
      <c r="A9164" s="1" t="str">
        <f t="shared" si="2553"/>
        <v>卡卡杜-凤凰仓</v>
      </c>
      <c r="B9164" s="1" t="str">
        <f>"CK2024100614158"</f>
        <v>CK2024100614158</v>
      </c>
      <c r="C9164" s="1" t="str">
        <f>"DD2024100644382"</f>
        <v>DD2024100644382</v>
      </c>
      <c r="D9164" s="1" t="str">
        <f>"CK2024100640819"</f>
        <v>CK2024100640819</v>
      </c>
      <c r="E9164" s="1" t="str">
        <f>"6917873805126500001"</f>
        <v>6917873805126500001</v>
      </c>
      <c r="F9164" s="1" t="str">
        <f t="shared" si="2554"/>
        <v>花都四部-凤凰仓</v>
      </c>
      <c r="G9164" s="1" t="str">
        <f t="shared" si="2558"/>
        <v>卡卡杜个人护理店（抖店）</v>
      </c>
      <c r="H9164" s="1" t="str">
        <f t="shared" si="2555"/>
        <v>正常订单</v>
      </c>
      <c r="I9164" s="1" t="str">
        <f t="shared" si="2556"/>
        <v>已发货</v>
      </c>
      <c r="J9164" s="1" t="str">
        <f t="shared" si="2560"/>
        <v>2</v>
      </c>
      <c r="K9164" s="1">
        <v>1</v>
      </c>
      <c r="L9164" s="1" t="s">
        <v>18</v>
      </c>
      <c r="M9164" s="1" t="str">
        <f>"广东省 广州市 增城区 新塘镇"</f>
        <v>广东省 广州市 增城区 新塘镇</v>
      </c>
      <c r="N9164" s="1" t="str">
        <f t="shared" si="2559"/>
        <v>凡华云仓-韵达-抖音</v>
      </c>
      <c r="O9164" s="5">
        <v>320158400954114</v>
      </c>
      <c r="P9164" s="6">
        <v>0.33</v>
      </c>
      <c r="Q9164" s="11">
        <v>2.2999999999999998</v>
      </c>
      <c r="R9164" s="11"/>
      <c r="S9164" s="11"/>
      <c r="T9164" s="11"/>
      <c r="U9164" s="11">
        <f t="shared" si="2561"/>
        <v>2.2999999999999998</v>
      </c>
      <c r="W9164">
        <v>2.5</v>
      </c>
      <c r="X9164" s="1" t="s">
        <v>18</v>
      </c>
    </row>
    <row r="9165" spans="1:24" x14ac:dyDescent="0.25">
      <c r="A9165" s="1" t="str">
        <f t="shared" si="2553"/>
        <v>卡卡杜-凤凰仓</v>
      </c>
      <c r="B9165" s="1" t="str">
        <f>"CK2024100614182"</f>
        <v>CK2024100614182</v>
      </c>
      <c r="C9165" s="1" t="str">
        <f>"DD2024100644405"</f>
        <v>DD2024100644405</v>
      </c>
      <c r="D9165" s="1" t="str">
        <f>"CK2024100640818"</f>
        <v>CK2024100640818</v>
      </c>
      <c r="E9165" s="1" t="str">
        <f>"6917861637160075037"</f>
        <v>6917861637160075037</v>
      </c>
      <c r="F9165" s="1" t="str">
        <f t="shared" si="2554"/>
        <v>花都四部-凤凰仓</v>
      </c>
      <c r="G9165" s="1" t="str">
        <f t="shared" si="2558"/>
        <v>卡卡杜个人护理店（抖店）</v>
      </c>
      <c r="H9165" s="1" t="str">
        <f t="shared" si="2555"/>
        <v>正常订单</v>
      </c>
      <c r="I9165" s="1" t="str">
        <f t="shared" si="2556"/>
        <v>已发货</v>
      </c>
      <c r="J9165" s="1" t="str">
        <f t="shared" si="2560"/>
        <v>2</v>
      </c>
      <c r="K9165" s="1">
        <v>1</v>
      </c>
      <c r="L9165" s="1" t="s">
        <v>36</v>
      </c>
      <c r="M9165" s="1" t="str">
        <f>"安徽省 宣城市 宁国市 西津街道"</f>
        <v>安徽省 宣城市 宁国市 西津街道</v>
      </c>
      <c r="N9165" s="1" t="str">
        <f t="shared" si="2559"/>
        <v>凡华云仓-韵达-抖音</v>
      </c>
      <c r="O9165" s="5">
        <v>320158400954025</v>
      </c>
      <c r="P9165" s="6">
        <v>0.33</v>
      </c>
      <c r="Q9165" s="11">
        <v>2.2999999999999998</v>
      </c>
      <c r="R9165" s="11"/>
      <c r="S9165" s="11"/>
      <c r="T9165" s="11"/>
      <c r="U9165" s="11">
        <f t="shared" si="2561"/>
        <v>2.2999999999999998</v>
      </c>
      <c r="W9165">
        <v>2.5</v>
      </c>
      <c r="X9165" s="1" t="s">
        <v>36</v>
      </c>
    </row>
    <row r="9166" spans="1:24" x14ac:dyDescent="0.25">
      <c r="A9166" s="1" t="str">
        <f t="shared" si="2553"/>
        <v>卡卡杜-凤凰仓</v>
      </c>
      <c r="B9166" s="1" t="str">
        <f>"CK2024100614163"</f>
        <v>CK2024100614163</v>
      </c>
      <c r="C9166" s="1" t="str">
        <f>"DD2024100644386"</f>
        <v>DD2024100644386</v>
      </c>
      <c r="D9166" s="1" t="str">
        <f>"CK2024100640817"</f>
        <v>CK2024100640817</v>
      </c>
      <c r="E9166" s="1" t="str">
        <f>"6917861628410494503"</f>
        <v>6917861628410494503</v>
      </c>
      <c r="F9166" s="1" t="str">
        <f t="shared" si="2554"/>
        <v>花都四部-凤凰仓</v>
      </c>
      <c r="G9166" s="1" t="str">
        <f t="shared" si="2558"/>
        <v>卡卡杜个人护理店（抖店）</v>
      </c>
      <c r="H9166" s="1" t="str">
        <f t="shared" si="2555"/>
        <v>正常订单</v>
      </c>
      <c r="I9166" s="1" t="str">
        <f t="shared" si="2556"/>
        <v>已发货</v>
      </c>
      <c r="J9166" s="1" t="str">
        <f t="shared" si="2560"/>
        <v>2</v>
      </c>
      <c r="K9166" s="1">
        <v>1</v>
      </c>
      <c r="L9166" s="1" t="s">
        <v>20</v>
      </c>
      <c r="M9166" s="1" t="str">
        <f>"浙江省 杭州市 富阳区 富春街道"</f>
        <v>浙江省 杭州市 富阳区 富春街道</v>
      </c>
      <c r="N9166" s="1" t="str">
        <f t="shared" si="2559"/>
        <v>凡华云仓-韵达-抖音</v>
      </c>
      <c r="O9166" s="5">
        <v>320158400953903</v>
      </c>
      <c r="P9166" s="6">
        <v>0.33</v>
      </c>
      <c r="Q9166" s="11">
        <v>2.2999999999999998</v>
      </c>
      <c r="R9166" s="11"/>
      <c r="S9166" s="11"/>
      <c r="T9166" s="11"/>
      <c r="U9166" s="11">
        <f t="shared" si="2561"/>
        <v>2.2999999999999998</v>
      </c>
      <c r="W9166">
        <v>2.5</v>
      </c>
      <c r="X9166" s="1" t="s">
        <v>20</v>
      </c>
    </row>
    <row r="9167" spans="1:24" x14ac:dyDescent="0.25">
      <c r="A9167" s="1" t="str">
        <f t="shared" si="2553"/>
        <v>卡卡杜-凤凰仓</v>
      </c>
      <c r="B9167" s="1" t="str">
        <f>"CK2024100614209"</f>
        <v>CK2024100614209</v>
      </c>
      <c r="C9167" s="1" t="str">
        <f>"DD2024100644431"</f>
        <v>DD2024100644431</v>
      </c>
      <c r="D9167" s="1" t="str">
        <f>"CK2024100640816"</f>
        <v>CK2024100640816</v>
      </c>
      <c r="E9167" s="1" t="str">
        <f>"6917866176164035786"</f>
        <v>6917866176164035786</v>
      </c>
      <c r="F9167" s="1" t="str">
        <f t="shared" si="2554"/>
        <v>花都四部-凤凰仓</v>
      </c>
      <c r="G9167" s="1" t="str">
        <f t="shared" si="2558"/>
        <v>卡卡杜个人护理店（抖店）</v>
      </c>
      <c r="H9167" s="1" t="str">
        <f t="shared" si="2555"/>
        <v>正常订单</v>
      </c>
      <c r="I9167" s="1" t="str">
        <f t="shared" si="2556"/>
        <v>已发货</v>
      </c>
      <c r="J9167" s="1" t="str">
        <f t="shared" si="2560"/>
        <v>2</v>
      </c>
      <c r="K9167" s="1">
        <v>1</v>
      </c>
      <c r="L9167" s="1" t="s">
        <v>20</v>
      </c>
      <c r="M9167" s="1" t="str">
        <f>"浙江省 台州市 黄岩区 沙埠镇"</f>
        <v>浙江省 台州市 黄岩区 沙埠镇</v>
      </c>
      <c r="N9167" s="1" t="str">
        <f t="shared" si="2559"/>
        <v>凡华云仓-韵达-抖音</v>
      </c>
      <c r="O9167" s="5">
        <v>320158400953898</v>
      </c>
      <c r="P9167" s="6">
        <v>0.33</v>
      </c>
      <c r="Q9167" s="11">
        <v>2.2999999999999998</v>
      </c>
      <c r="R9167" s="11"/>
      <c r="S9167" s="11"/>
      <c r="T9167" s="11"/>
      <c r="U9167" s="11">
        <f t="shared" si="2561"/>
        <v>2.2999999999999998</v>
      </c>
      <c r="W9167">
        <v>2.5</v>
      </c>
      <c r="X9167" s="1" t="s">
        <v>20</v>
      </c>
    </row>
    <row r="9168" spans="1:24" x14ac:dyDescent="0.25">
      <c r="A9168" s="1" t="str">
        <f t="shared" si="2553"/>
        <v>卡卡杜-凤凰仓</v>
      </c>
      <c r="B9168" s="1" t="str">
        <f>"CK2024100714912"</f>
        <v>CK2024100714912</v>
      </c>
      <c r="C9168" s="1" t="str">
        <f>"DD2024100736878"</f>
        <v>DD2024100736878</v>
      </c>
      <c r="D9168" s="1" t="str">
        <f>"CK2024100737987"</f>
        <v>CK2024100737987</v>
      </c>
      <c r="E9168" s="1" t="str">
        <f>"6917896592447077471"</f>
        <v>6917896592447077471</v>
      </c>
      <c r="F9168" s="1" t="str">
        <f t="shared" si="2554"/>
        <v>花都四部-凤凰仓</v>
      </c>
      <c r="G9168" s="1" t="str">
        <f t="shared" si="2558"/>
        <v>卡卡杜个人护理店（抖店）</v>
      </c>
      <c r="H9168" s="1" t="str">
        <f t="shared" si="2555"/>
        <v>正常订单</v>
      </c>
      <c r="I9168" s="1" t="str">
        <f t="shared" si="2556"/>
        <v>已发货</v>
      </c>
      <c r="J9168" s="1" t="str">
        <f>"4"</f>
        <v>4</v>
      </c>
      <c r="K9168" s="1">
        <v>1</v>
      </c>
      <c r="L9168" s="1" t="s">
        <v>47</v>
      </c>
      <c r="M9168" s="1" t="str">
        <f>"重庆 重庆市 潼南区 "</f>
        <v xml:space="preserve">重庆 重庆市 潼南区 </v>
      </c>
      <c r="N9168" s="1" t="str">
        <f t="shared" si="2559"/>
        <v>凡华云仓-韵达-抖音</v>
      </c>
      <c r="O9168" s="5">
        <v>320159966723443</v>
      </c>
      <c r="P9168" s="6">
        <v>0.57999999999999996</v>
      </c>
      <c r="Q9168" s="11">
        <f>CEILING(P9168-0.5,0.1)*10*0.15+2.3</f>
        <v>2.4499999999999997</v>
      </c>
      <c r="R9168" s="11"/>
      <c r="S9168" s="11"/>
      <c r="T9168" s="11"/>
      <c r="U9168" s="11">
        <f t="shared" si="2561"/>
        <v>2.4499999999999997</v>
      </c>
      <c r="V9168" t="s">
        <v>15</v>
      </c>
      <c r="W9168">
        <v>2.4500000000000002</v>
      </c>
      <c r="X9168" s="1" t="s">
        <v>47</v>
      </c>
    </row>
    <row r="9169" spans="1:24" x14ac:dyDescent="0.25">
      <c r="A9169" s="1" t="str">
        <f t="shared" si="2553"/>
        <v>卡卡杜-凤凰仓</v>
      </c>
      <c r="B9169" s="1" t="str">
        <f>"CK2024100614204"</f>
        <v>CK2024100614204</v>
      </c>
      <c r="C9169" s="1" t="str">
        <f>"DD2024100644427"</f>
        <v>DD2024100644427</v>
      </c>
      <c r="D9169" s="1" t="str">
        <f>"CK2024100640814"</f>
        <v>CK2024100640814</v>
      </c>
      <c r="E9169" s="1" t="str">
        <f>"6917868710801473499"</f>
        <v>6917868710801473499</v>
      </c>
      <c r="F9169" s="1" t="str">
        <f t="shared" si="2554"/>
        <v>花都四部-凤凰仓</v>
      </c>
      <c r="G9169" s="1" t="str">
        <f t="shared" si="2558"/>
        <v>卡卡杜个人护理店（抖店）</v>
      </c>
      <c r="H9169" s="1" t="str">
        <f t="shared" si="2555"/>
        <v>正常订单</v>
      </c>
      <c r="I9169" s="1" t="str">
        <f t="shared" si="2556"/>
        <v>已发货</v>
      </c>
      <c r="J9169" s="1" t="str">
        <f t="shared" ref="J9169:J9172" si="2562">"2"</f>
        <v>2</v>
      </c>
      <c r="K9169" s="1">
        <v>1</v>
      </c>
      <c r="L9169" s="1" t="s">
        <v>161</v>
      </c>
      <c r="M9169" s="1" t="str">
        <f>"四川省 资阳市 乐至县 宝林镇"</f>
        <v>四川省 资阳市 乐至县 宝林镇</v>
      </c>
      <c r="N9169" s="1" t="str">
        <f t="shared" si="2559"/>
        <v>凡华云仓-韵达-抖音</v>
      </c>
      <c r="O9169" s="5">
        <v>320158400953694</v>
      </c>
      <c r="P9169" s="6">
        <v>0.33</v>
      </c>
      <c r="Q9169" s="11">
        <v>2.2999999999999998</v>
      </c>
      <c r="R9169" s="11"/>
      <c r="S9169" s="11"/>
      <c r="T9169" s="11"/>
      <c r="U9169" s="11">
        <f t="shared" si="2561"/>
        <v>2.2999999999999998</v>
      </c>
      <c r="W9169">
        <v>2.5</v>
      </c>
      <c r="X9169" s="1" t="s">
        <v>161</v>
      </c>
    </row>
    <row r="9170" spans="1:24" x14ac:dyDescent="0.25">
      <c r="A9170" s="1" t="str">
        <f t="shared" si="2553"/>
        <v>卡卡杜-凤凰仓</v>
      </c>
      <c r="B9170" s="1" t="str">
        <f>"CK2024100614220"</f>
        <v>CK2024100614220</v>
      </c>
      <c r="C9170" s="1" t="str">
        <f>"DD2024100644443"</f>
        <v>DD2024100644443</v>
      </c>
      <c r="D9170" s="1" t="str">
        <f>"CK2024100640813"</f>
        <v>CK2024100640813</v>
      </c>
      <c r="E9170" s="1" t="str">
        <f>"6917876060477619313"</f>
        <v>6917876060477619313</v>
      </c>
      <c r="F9170" s="1" t="str">
        <f t="shared" si="2554"/>
        <v>花都四部-凤凰仓</v>
      </c>
      <c r="G9170" s="1" t="str">
        <f t="shared" si="2558"/>
        <v>卡卡杜个人护理店（抖店）</v>
      </c>
      <c r="H9170" s="1" t="str">
        <f t="shared" si="2555"/>
        <v>正常订单</v>
      </c>
      <c r="I9170" s="1" t="str">
        <f t="shared" si="2556"/>
        <v>已发货</v>
      </c>
      <c r="J9170" s="1" t="str">
        <f t="shared" si="2562"/>
        <v>2</v>
      </c>
      <c r="K9170" s="1">
        <v>1</v>
      </c>
      <c r="L9170" s="1" t="s">
        <v>20</v>
      </c>
      <c r="M9170" s="1" t="str">
        <f>"浙江省 温州市 永嘉县 瓯北街道"</f>
        <v>浙江省 温州市 永嘉县 瓯北街道</v>
      </c>
      <c r="N9170" s="1" t="str">
        <f t="shared" si="2559"/>
        <v>凡华云仓-韵达-抖音</v>
      </c>
      <c r="O9170" s="5">
        <v>320158400953595</v>
      </c>
      <c r="P9170" s="6">
        <v>0.33</v>
      </c>
      <c r="Q9170" s="11">
        <v>2.2999999999999998</v>
      </c>
      <c r="R9170" s="11"/>
      <c r="S9170" s="11"/>
      <c r="T9170" s="11"/>
      <c r="U9170" s="11">
        <f t="shared" si="2561"/>
        <v>2.2999999999999998</v>
      </c>
      <c r="W9170">
        <v>2.5</v>
      </c>
      <c r="X9170" s="1" t="s">
        <v>20</v>
      </c>
    </row>
    <row r="9171" spans="1:24" x14ac:dyDescent="0.25">
      <c r="A9171" s="1" t="str">
        <f t="shared" si="2553"/>
        <v>卡卡杜-凤凰仓</v>
      </c>
      <c r="B9171" s="1" t="str">
        <f>"CK2024100614218"</f>
        <v>CK2024100614218</v>
      </c>
      <c r="C9171" s="1" t="str">
        <f>"DD2024100644441"</f>
        <v>DD2024100644441</v>
      </c>
      <c r="D9171" s="1" t="str">
        <f>"CK2024100640812"</f>
        <v>CK2024100640812</v>
      </c>
      <c r="E9171" s="1" t="str">
        <f>"6917878315881102383"</f>
        <v>6917878315881102383</v>
      </c>
      <c r="F9171" s="1" t="str">
        <f t="shared" si="2554"/>
        <v>花都四部-凤凰仓</v>
      </c>
      <c r="G9171" s="1" t="str">
        <f t="shared" si="2558"/>
        <v>卡卡杜个人护理店（抖店）</v>
      </c>
      <c r="H9171" s="1" t="str">
        <f t="shared" si="2555"/>
        <v>正常订单</v>
      </c>
      <c r="I9171" s="1" t="str">
        <f t="shared" si="2556"/>
        <v>已发货</v>
      </c>
      <c r="J9171" s="1" t="str">
        <f t="shared" si="2562"/>
        <v>2</v>
      </c>
      <c r="K9171" s="1">
        <v>1</v>
      </c>
      <c r="L9171" s="1" t="s">
        <v>24</v>
      </c>
      <c r="M9171" s="1" t="str">
        <f>"福建省 厦门市 集美区 侨英街道"</f>
        <v>福建省 厦门市 集美区 侨英街道</v>
      </c>
      <c r="N9171" s="1" t="str">
        <f>"凡华云仓-竹料中通-抖音"</f>
        <v>凡华云仓-竹料中通-抖音</v>
      </c>
      <c r="O9171" s="5">
        <v>76428622699329</v>
      </c>
      <c r="P9171" s="6">
        <v>0.33</v>
      </c>
      <c r="Q9171" s="11">
        <v>2.6</v>
      </c>
      <c r="R9171" s="11"/>
      <c r="S9171" s="11"/>
      <c r="T9171" s="11"/>
      <c r="U9171" s="11">
        <f t="shared" si="2561"/>
        <v>2.6</v>
      </c>
      <c r="W9171">
        <v>2.6</v>
      </c>
      <c r="X9171" s="1" t="s">
        <v>24</v>
      </c>
    </row>
    <row r="9172" spans="1:24" x14ac:dyDescent="0.25">
      <c r="A9172" s="1" t="str">
        <f t="shared" si="2553"/>
        <v>卡卡杜-凤凰仓</v>
      </c>
      <c r="B9172" s="1" t="str">
        <f>"CK2024100614216"</f>
        <v>CK2024100614216</v>
      </c>
      <c r="C9172" s="1" t="str">
        <f>"DD2024100644439"</f>
        <v>DD2024100644439</v>
      </c>
      <c r="D9172" s="1" t="str">
        <f>"CK2024100640811"</f>
        <v>CK2024100640811</v>
      </c>
      <c r="E9172" s="1" t="str">
        <f>"6917870792142389107"</f>
        <v>6917870792142389107</v>
      </c>
      <c r="F9172" s="1" t="str">
        <f t="shared" si="2554"/>
        <v>花都四部-凤凰仓</v>
      </c>
      <c r="G9172" s="1" t="str">
        <f t="shared" si="2558"/>
        <v>卡卡杜个人护理店（抖店）</v>
      </c>
      <c r="H9172" s="1" t="str">
        <f t="shared" si="2555"/>
        <v>正常订单</v>
      </c>
      <c r="I9172" s="1" t="str">
        <f t="shared" si="2556"/>
        <v>已发货</v>
      </c>
      <c r="J9172" s="1" t="str">
        <f t="shared" si="2562"/>
        <v>2</v>
      </c>
      <c r="K9172" s="1">
        <v>1</v>
      </c>
      <c r="L9172" s="1" t="s">
        <v>36</v>
      </c>
      <c r="M9172" s="1" t="str">
        <f>"安徽省 滁州市 定远县 定城镇"</f>
        <v>安徽省 滁州市 定远县 定城镇</v>
      </c>
      <c r="N9172" s="1" t="str">
        <f t="shared" ref="N9172:N9235" si="2563">"凡华云仓-韵达-抖音"</f>
        <v>凡华云仓-韵达-抖音</v>
      </c>
      <c r="O9172" s="5">
        <v>320158400953498</v>
      </c>
      <c r="P9172" s="6">
        <v>0.33</v>
      </c>
      <c r="Q9172" s="11">
        <v>2.2999999999999998</v>
      </c>
      <c r="R9172" s="11"/>
      <c r="S9172" s="11"/>
      <c r="T9172" s="11"/>
      <c r="U9172" s="11">
        <f t="shared" si="2561"/>
        <v>2.2999999999999998</v>
      </c>
      <c r="W9172">
        <v>2.5</v>
      </c>
      <c r="X9172" s="1" t="s">
        <v>36</v>
      </c>
    </row>
    <row r="9173" spans="1:24" x14ac:dyDescent="0.25">
      <c r="A9173" s="1" t="str">
        <f t="shared" si="2553"/>
        <v>卡卡杜-凤凰仓</v>
      </c>
      <c r="B9173" s="1" t="str">
        <f>"CK20241006181"</f>
        <v>CK20241006181</v>
      </c>
      <c r="C9173" s="1" t="str">
        <f>"DD2024100613513"</f>
        <v>DD2024100613513</v>
      </c>
      <c r="D9173" s="1" t="str">
        <f>"CK2024100620342"</f>
        <v>CK2024100620342</v>
      </c>
      <c r="E9173" s="1" t="str">
        <f>"6917862531379396433"</f>
        <v>6917862531379396433</v>
      </c>
      <c r="F9173" s="1" t="str">
        <f t="shared" si="2554"/>
        <v>花都四部-凤凰仓</v>
      </c>
      <c r="G9173" s="1" t="str">
        <f t="shared" si="2558"/>
        <v>卡卡杜个人护理店（抖店）</v>
      </c>
      <c r="H9173" s="1" t="str">
        <f t="shared" si="2555"/>
        <v>正常订单</v>
      </c>
      <c r="I9173" s="1" t="str">
        <f t="shared" si="2556"/>
        <v>已发货</v>
      </c>
      <c r="J9173" s="1" t="str">
        <f>"4"</f>
        <v>4</v>
      </c>
      <c r="K9173" s="1">
        <v>1</v>
      </c>
      <c r="L9173" s="1" t="s">
        <v>13</v>
      </c>
      <c r="M9173" s="1" t="str">
        <f>"江苏省 泰州市 姜堰区 天目山街道"</f>
        <v>江苏省 泰州市 姜堰区 天目山街道</v>
      </c>
      <c r="N9173" s="1" t="str">
        <f t="shared" si="2563"/>
        <v>凡华云仓-韵达-抖音</v>
      </c>
      <c r="O9173" s="5">
        <v>320157842856429</v>
      </c>
      <c r="P9173" s="6">
        <v>0.57999999999999996</v>
      </c>
      <c r="Q9173" s="11">
        <f>CEILING(P9173-0.5,0.1)*10*0.15+2.3</f>
        <v>2.4499999999999997</v>
      </c>
      <c r="R9173" s="11"/>
      <c r="S9173" s="11"/>
      <c r="T9173" s="11"/>
      <c r="U9173" s="11">
        <f t="shared" si="2561"/>
        <v>2.4499999999999997</v>
      </c>
      <c r="V9173" t="s">
        <v>15</v>
      </c>
      <c r="W9173">
        <v>2.4500000000000002</v>
      </c>
      <c r="X9173" s="1" t="s">
        <v>13</v>
      </c>
    </row>
    <row r="9174" spans="1:24" x14ac:dyDescent="0.25">
      <c r="A9174" s="1" t="str">
        <f t="shared" si="2553"/>
        <v>卡卡杜-凤凰仓</v>
      </c>
      <c r="B9174" s="1" t="str">
        <f>"CK2024100614215"</f>
        <v>CK2024100614215</v>
      </c>
      <c r="C9174" s="1" t="str">
        <f>"DD2024100644438"</f>
        <v>DD2024100644438</v>
      </c>
      <c r="D9174" s="1" t="str">
        <f>"CK2024100640809"</f>
        <v>CK2024100640809</v>
      </c>
      <c r="E9174" s="1" t="str">
        <f>"6917870901298954214"</f>
        <v>6917870901298954214</v>
      </c>
      <c r="F9174" s="1" t="str">
        <f t="shared" si="2554"/>
        <v>花都四部-凤凰仓</v>
      </c>
      <c r="G9174" s="1" t="str">
        <f t="shared" si="2558"/>
        <v>卡卡杜个人护理店（抖店）</v>
      </c>
      <c r="H9174" s="1" t="str">
        <f t="shared" si="2555"/>
        <v>正常订单</v>
      </c>
      <c r="I9174" s="1" t="str">
        <f t="shared" si="2556"/>
        <v>已发货</v>
      </c>
      <c r="J9174" s="1" t="str">
        <f t="shared" ref="J9174:J9177" si="2564">"2"</f>
        <v>2</v>
      </c>
      <c r="K9174" s="1">
        <v>1</v>
      </c>
      <c r="L9174" s="1" t="s">
        <v>18</v>
      </c>
      <c r="M9174" s="1" t="str">
        <f>"广东省 深圳市 龙岗区 布吉街道"</f>
        <v>广东省 深圳市 龙岗区 布吉街道</v>
      </c>
      <c r="N9174" s="1" t="str">
        <f t="shared" si="2563"/>
        <v>凡华云仓-韵达-抖音</v>
      </c>
      <c r="O9174" s="5">
        <v>320158388790971</v>
      </c>
      <c r="P9174" s="6">
        <v>0.33</v>
      </c>
      <c r="Q9174" s="11">
        <v>2.2999999999999998</v>
      </c>
      <c r="R9174" s="11"/>
      <c r="S9174" s="11"/>
      <c r="T9174" s="11"/>
      <c r="U9174" s="11">
        <f t="shared" si="2561"/>
        <v>2.2999999999999998</v>
      </c>
      <c r="W9174">
        <v>2.5</v>
      </c>
      <c r="X9174" s="1" t="s">
        <v>18</v>
      </c>
    </row>
    <row r="9175" spans="1:24" x14ac:dyDescent="0.25">
      <c r="A9175" s="1" t="str">
        <f t="shared" si="2553"/>
        <v>卡卡杜-凤凰仓</v>
      </c>
      <c r="B9175" s="1" t="str">
        <f>"CK2024100614206"</f>
        <v>CK2024100614206</v>
      </c>
      <c r="C9175" s="1" t="str">
        <f>"DD2024100644429"</f>
        <v>DD2024100644429</v>
      </c>
      <c r="D9175" s="1" t="str">
        <f>"CK2024100640808"</f>
        <v>CK2024100640808</v>
      </c>
      <c r="E9175" s="1" t="str">
        <f>"6917880574943723304"</f>
        <v>6917880574943723304</v>
      </c>
      <c r="F9175" s="1" t="str">
        <f t="shared" si="2554"/>
        <v>花都四部-凤凰仓</v>
      </c>
      <c r="G9175" s="1" t="str">
        <f t="shared" si="2558"/>
        <v>卡卡杜个人护理店（抖店）</v>
      </c>
      <c r="H9175" s="1" t="str">
        <f t="shared" si="2555"/>
        <v>正常订单</v>
      </c>
      <c r="I9175" s="1" t="str">
        <f t="shared" si="2556"/>
        <v>已发货</v>
      </c>
      <c r="J9175" s="1" t="str">
        <f t="shared" si="2564"/>
        <v>2</v>
      </c>
      <c r="K9175" s="1">
        <v>1</v>
      </c>
      <c r="L9175" s="1" t="s">
        <v>161</v>
      </c>
      <c r="M9175" s="1" t="str">
        <f>"四川省 凉山彝族自治州 西昌市 长安街道"</f>
        <v>四川省 凉山彝族自治州 西昌市 长安街道</v>
      </c>
      <c r="N9175" s="1" t="str">
        <f t="shared" si="2563"/>
        <v>凡华云仓-韵达-抖音</v>
      </c>
      <c r="O9175" s="5">
        <v>320158388790866</v>
      </c>
      <c r="P9175" s="6">
        <v>0.33</v>
      </c>
      <c r="Q9175" s="11">
        <v>2.2999999999999998</v>
      </c>
      <c r="R9175" s="11"/>
      <c r="S9175" s="11"/>
      <c r="T9175" s="11"/>
      <c r="U9175" s="11">
        <f t="shared" si="2561"/>
        <v>2.2999999999999998</v>
      </c>
      <c r="W9175">
        <v>2.5</v>
      </c>
      <c r="X9175" s="1" t="s">
        <v>161</v>
      </c>
    </row>
    <row r="9176" spans="1:24" x14ac:dyDescent="0.25">
      <c r="A9176" s="1" t="str">
        <f t="shared" si="2553"/>
        <v>卡卡杜-凤凰仓</v>
      </c>
      <c r="B9176" s="1" t="str">
        <f>"CK2024100614213"</f>
        <v>CK2024100614213</v>
      </c>
      <c r="C9176" s="1" t="str">
        <f>"DD2024100644436"</f>
        <v>DD2024100644436</v>
      </c>
      <c r="D9176" s="1" t="str">
        <f>"CK2024100640807"</f>
        <v>CK2024100640807</v>
      </c>
      <c r="E9176" s="1" t="str">
        <f>"6917870808960629804"</f>
        <v>6917870808960629804</v>
      </c>
      <c r="F9176" s="1" t="str">
        <f t="shared" si="2554"/>
        <v>花都四部-凤凰仓</v>
      </c>
      <c r="G9176" s="1" t="str">
        <f t="shared" si="2558"/>
        <v>卡卡杜个人护理店（抖店）</v>
      </c>
      <c r="H9176" s="1" t="str">
        <f t="shared" si="2555"/>
        <v>正常订单</v>
      </c>
      <c r="I9176" s="1" t="str">
        <f t="shared" si="2556"/>
        <v>已发货</v>
      </c>
      <c r="J9176" s="1" t="str">
        <f t="shared" si="2564"/>
        <v>2</v>
      </c>
      <c r="K9176" s="1">
        <v>1</v>
      </c>
      <c r="L9176" s="1" t="s">
        <v>18</v>
      </c>
      <c r="M9176" s="1" t="str">
        <f>"广东省 广州市 花都区 "</f>
        <v xml:space="preserve">广东省 广州市 花都区 </v>
      </c>
      <c r="N9176" s="1" t="str">
        <f t="shared" si="2563"/>
        <v>凡华云仓-韵达-抖音</v>
      </c>
      <c r="O9176" s="5">
        <v>320158388790763</v>
      </c>
      <c r="P9176" s="6">
        <v>0.33</v>
      </c>
      <c r="Q9176" s="11">
        <v>2.2999999999999998</v>
      </c>
      <c r="R9176" s="11"/>
      <c r="S9176" s="11"/>
      <c r="T9176" s="11"/>
      <c r="U9176" s="11">
        <f t="shared" si="2561"/>
        <v>2.2999999999999998</v>
      </c>
      <c r="W9176">
        <v>2.5</v>
      </c>
      <c r="X9176" s="1" t="s">
        <v>18</v>
      </c>
    </row>
    <row r="9177" spans="1:24" x14ac:dyDescent="0.25">
      <c r="A9177" s="1" t="str">
        <f t="shared" si="2553"/>
        <v>卡卡杜-凤凰仓</v>
      </c>
      <c r="B9177" s="1" t="str">
        <f>"CK2024100614217"</f>
        <v>CK2024100614217</v>
      </c>
      <c r="C9177" s="1" t="str">
        <f>"DD2024100644440"</f>
        <v>DD2024100644440</v>
      </c>
      <c r="D9177" s="1" t="str">
        <f>"CK2024100640806"</f>
        <v>CK2024100640806</v>
      </c>
      <c r="E9177" s="1" t="str">
        <f>"6917878261854666312"</f>
        <v>6917878261854666312</v>
      </c>
      <c r="F9177" s="1" t="str">
        <f t="shared" si="2554"/>
        <v>花都四部-凤凰仓</v>
      </c>
      <c r="G9177" s="1" t="str">
        <f t="shared" si="2558"/>
        <v>卡卡杜个人护理店（抖店）</v>
      </c>
      <c r="H9177" s="1" t="str">
        <f t="shared" si="2555"/>
        <v>正常订单</v>
      </c>
      <c r="I9177" s="1" t="str">
        <f t="shared" si="2556"/>
        <v>已发货</v>
      </c>
      <c r="J9177" s="1" t="str">
        <f t="shared" si="2564"/>
        <v>2</v>
      </c>
      <c r="K9177" s="1">
        <v>1</v>
      </c>
      <c r="L9177" s="1" t="s">
        <v>74</v>
      </c>
      <c r="M9177" s="1" t="str">
        <f>"上海 上海市 浦东新区 高桥镇"</f>
        <v>上海 上海市 浦东新区 高桥镇</v>
      </c>
      <c r="N9177" s="1" t="str">
        <f t="shared" si="2563"/>
        <v>凡华云仓-韵达-抖音</v>
      </c>
      <c r="O9177" s="5">
        <v>320158388790662</v>
      </c>
      <c r="P9177" s="6">
        <v>0.33</v>
      </c>
      <c r="Q9177" s="11">
        <v>2.2999999999999998</v>
      </c>
      <c r="R9177" s="11"/>
      <c r="S9177" s="11"/>
      <c r="T9177" s="11"/>
      <c r="U9177" s="11">
        <f t="shared" si="2561"/>
        <v>2.2999999999999998</v>
      </c>
      <c r="W9177">
        <v>2.5</v>
      </c>
      <c r="X9177" s="1" t="s">
        <v>74</v>
      </c>
    </row>
    <row r="9178" spans="1:24" x14ac:dyDescent="0.25">
      <c r="A9178" s="1" t="str">
        <f t="shared" si="2553"/>
        <v>卡卡杜-凤凰仓</v>
      </c>
      <c r="B9178" s="1" t="str">
        <f>"CK2024100614184"</f>
        <v>CK2024100614184</v>
      </c>
      <c r="C9178" s="1" t="str">
        <f>"DD2024100644406"</f>
        <v>DD2024100644406</v>
      </c>
      <c r="D9178" s="1" t="str">
        <f>"CK2024100640805"</f>
        <v>CK2024100640805</v>
      </c>
      <c r="E9178" s="1" t="str">
        <f>"6917878268175023478"</f>
        <v>6917878268175023478</v>
      </c>
      <c r="F9178" s="1" t="str">
        <f t="shared" si="2554"/>
        <v>花都四部-凤凰仓</v>
      </c>
      <c r="G9178" s="1" t="str">
        <f t="shared" si="2558"/>
        <v>卡卡杜个人护理店（抖店）</v>
      </c>
      <c r="H9178" s="1" t="str">
        <f t="shared" si="2555"/>
        <v>正常订单</v>
      </c>
      <c r="I9178" s="1" t="str">
        <f t="shared" si="2556"/>
        <v>已发货</v>
      </c>
      <c r="J9178" s="1" t="str">
        <f>"12"</f>
        <v>12</v>
      </c>
      <c r="K9178" s="1">
        <v>1</v>
      </c>
      <c r="L9178" s="1" t="s">
        <v>13</v>
      </c>
      <c r="M9178" s="1" t="str">
        <f>"江苏省 淮安市 盱眙县 桂五镇"</f>
        <v>江苏省 淮安市 盱眙县 桂五镇</v>
      </c>
      <c r="N9178" s="1" t="str">
        <f t="shared" si="2563"/>
        <v>凡华云仓-韵达-抖音</v>
      </c>
      <c r="O9178" s="5">
        <v>320158388790563</v>
      </c>
      <c r="P9178" s="6">
        <v>1.74</v>
      </c>
      <c r="Q9178" s="11">
        <f>CEILING(P9178-0.5,0.1)*10*0.15+2.3</f>
        <v>4.25</v>
      </c>
      <c r="R9178" s="11"/>
      <c r="S9178" s="11"/>
      <c r="T9178" s="11"/>
      <c r="U9178" s="11">
        <f t="shared" si="2561"/>
        <v>4.25</v>
      </c>
      <c r="V9178" t="s">
        <v>15</v>
      </c>
      <c r="W9178">
        <v>4.25</v>
      </c>
      <c r="X9178" s="1" t="s">
        <v>13</v>
      </c>
    </row>
    <row r="9179" spans="1:24" x14ac:dyDescent="0.25">
      <c r="A9179" s="1" t="str">
        <f t="shared" si="2553"/>
        <v>卡卡杜-凤凰仓</v>
      </c>
      <c r="B9179" s="1" t="str">
        <f>"CK2024100614211"</f>
        <v>CK2024100614211</v>
      </c>
      <c r="C9179" s="1" t="str">
        <f>"DD2024100644434"</f>
        <v>DD2024100644434</v>
      </c>
      <c r="D9179" s="1" t="str">
        <f>"CK2024100640804"</f>
        <v>CK2024100640804</v>
      </c>
      <c r="E9179" s="1" t="str">
        <f>"6917876001506426639"</f>
        <v>6917876001506426639</v>
      </c>
      <c r="F9179" s="1" t="str">
        <f t="shared" si="2554"/>
        <v>花都四部-凤凰仓</v>
      </c>
      <c r="G9179" s="1" t="str">
        <f t="shared" si="2558"/>
        <v>卡卡杜个人护理店（抖店）</v>
      </c>
      <c r="H9179" s="1" t="str">
        <f t="shared" si="2555"/>
        <v>正常订单</v>
      </c>
      <c r="I9179" s="1" t="str">
        <f t="shared" si="2556"/>
        <v>已发货</v>
      </c>
      <c r="J9179" s="1" t="str">
        <f t="shared" ref="J9179:J9186" si="2565">"2"</f>
        <v>2</v>
      </c>
      <c r="K9179" s="1">
        <v>1</v>
      </c>
      <c r="L9179" s="1" t="s">
        <v>20</v>
      </c>
      <c r="M9179" s="1" t="str">
        <f>"浙江省 温州市 瓯海区 "</f>
        <v xml:space="preserve">浙江省 温州市 瓯海区 </v>
      </c>
      <c r="N9179" s="1" t="str">
        <f t="shared" si="2563"/>
        <v>凡华云仓-韵达-抖音</v>
      </c>
      <c r="O9179" s="5">
        <v>320158388790466</v>
      </c>
      <c r="P9179" s="6">
        <v>0.33</v>
      </c>
      <c r="Q9179" s="11">
        <v>2.2999999999999998</v>
      </c>
      <c r="R9179" s="11"/>
      <c r="S9179" s="11"/>
      <c r="T9179" s="11"/>
      <c r="U9179" s="11">
        <f t="shared" si="2561"/>
        <v>2.2999999999999998</v>
      </c>
      <c r="W9179">
        <v>2.5</v>
      </c>
      <c r="X9179" s="1" t="s">
        <v>20</v>
      </c>
    </row>
    <row r="9180" spans="1:24" x14ac:dyDescent="0.25">
      <c r="A9180" s="1" t="str">
        <f t="shared" si="2553"/>
        <v>卡卡杜-凤凰仓</v>
      </c>
      <c r="B9180" s="1" t="str">
        <f>"CK2024100614193"</f>
        <v>CK2024100614193</v>
      </c>
      <c r="C9180" s="1" t="str">
        <f>"DD2024100644416"</f>
        <v>DD2024100644416</v>
      </c>
      <c r="D9180" s="1" t="str">
        <f>"CK2024100640803"</f>
        <v>CK2024100640803</v>
      </c>
      <c r="E9180" s="1" t="str">
        <f>"6917866370939715452"</f>
        <v>6917866370939715452</v>
      </c>
      <c r="F9180" s="1" t="str">
        <f t="shared" si="2554"/>
        <v>花都四部-凤凰仓</v>
      </c>
      <c r="G9180" s="1" t="str">
        <f t="shared" si="2558"/>
        <v>卡卡杜个人护理店（抖店）</v>
      </c>
      <c r="H9180" s="1" t="str">
        <f t="shared" si="2555"/>
        <v>正常订单</v>
      </c>
      <c r="I9180" s="1" t="str">
        <f t="shared" si="2556"/>
        <v>已发货</v>
      </c>
      <c r="J9180" s="1" t="str">
        <f t="shared" si="2565"/>
        <v>2</v>
      </c>
      <c r="K9180" s="1">
        <v>1</v>
      </c>
      <c r="L9180" s="1" t="s">
        <v>20</v>
      </c>
      <c r="M9180" s="1" t="str">
        <f>"浙江省 温州市 平阳县 鳌江镇"</f>
        <v>浙江省 温州市 平阳县 鳌江镇</v>
      </c>
      <c r="N9180" s="1" t="str">
        <f t="shared" si="2563"/>
        <v>凡华云仓-韵达-抖音</v>
      </c>
      <c r="O9180" s="5">
        <v>320158388790371</v>
      </c>
      <c r="P9180" s="6">
        <v>0.33</v>
      </c>
      <c r="Q9180" s="11">
        <v>2.2999999999999998</v>
      </c>
      <c r="R9180" s="11"/>
      <c r="S9180" s="11"/>
      <c r="T9180" s="11"/>
      <c r="U9180" s="11">
        <f t="shared" si="2561"/>
        <v>2.2999999999999998</v>
      </c>
      <c r="W9180">
        <v>2.5</v>
      </c>
      <c r="X9180" s="1" t="s">
        <v>20</v>
      </c>
    </row>
    <row r="9181" spans="1:24" x14ac:dyDescent="0.25">
      <c r="A9181" s="1" t="str">
        <f t="shared" si="2553"/>
        <v>卡卡杜-凤凰仓</v>
      </c>
      <c r="B9181" s="1" t="str">
        <f>"CK2024100614200"</f>
        <v>CK2024100614200</v>
      </c>
      <c r="C9181" s="1" t="str">
        <f>"DD2024100644423"</f>
        <v>DD2024100644423</v>
      </c>
      <c r="D9181" s="1" t="str">
        <f>"CK2024100640802"</f>
        <v>CK2024100640802</v>
      </c>
      <c r="E9181" s="1" t="str">
        <f>"6917866226372017496"</f>
        <v>6917866226372017496</v>
      </c>
      <c r="F9181" s="1" t="str">
        <f t="shared" si="2554"/>
        <v>花都四部-凤凰仓</v>
      </c>
      <c r="G9181" s="1" t="str">
        <f t="shared" si="2558"/>
        <v>卡卡杜个人护理店（抖店）</v>
      </c>
      <c r="H9181" s="1" t="str">
        <f t="shared" si="2555"/>
        <v>正常订单</v>
      </c>
      <c r="I9181" s="1" t="str">
        <f t="shared" si="2556"/>
        <v>已发货</v>
      </c>
      <c r="J9181" s="1" t="str">
        <f t="shared" si="2565"/>
        <v>2</v>
      </c>
      <c r="K9181" s="1">
        <v>1</v>
      </c>
      <c r="L9181" s="1" t="s">
        <v>161</v>
      </c>
      <c r="M9181" s="1" t="str">
        <f>"四川省 凉山彝族自治州 雷波县 金沙镇"</f>
        <v>四川省 凉山彝族自治州 雷波县 金沙镇</v>
      </c>
      <c r="N9181" s="1" t="str">
        <f t="shared" si="2563"/>
        <v>凡华云仓-韵达-抖音</v>
      </c>
      <c r="O9181" s="5">
        <v>320158388790278</v>
      </c>
      <c r="P9181" s="6">
        <v>0.33</v>
      </c>
      <c r="Q9181" s="11">
        <v>2.2999999999999998</v>
      </c>
      <c r="R9181" s="11"/>
      <c r="S9181" s="11"/>
      <c r="T9181" s="11"/>
      <c r="U9181" s="11">
        <f t="shared" si="2561"/>
        <v>2.2999999999999998</v>
      </c>
      <c r="W9181">
        <v>2.5</v>
      </c>
      <c r="X9181" s="1" t="s">
        <v>161</v>
      </c>
    </row>
    <row r="9182" spans="1:24" x14ac:dyDescent="0.25">
      <c r="A9182" s="1" t="str">
        <f t="shared" si="2553"/>
        <v>卡卡杜-凤凰仓</v>
      </c>
      <c r="B9182" s="1" t="str">
        <f>"CK2024100614194"</f>
        <v>CK2024100614194</v>
      </c>
      <c r="C9182" s="1" t="str">
        <f>"DD2024100644418"</f>
        <v>DD2024100644418</v>
      </c>
      <c r="D9182" s="1" t="str">
        <f>"CK2024100640801"</f>
        <v>CK2024100640801</v>
      </c>
      <c r="E9182" s="1" t="str">
        <f>"6917866231280795037"</f>
        <v>6917866231280795037</v>
      </c>
      <c r="F9182" s="1" t="str">
        <f t="shared" si="2554"/>
        <v>花都四部-凤凰仓</v>
      </c>
      <c r="G9182" s="1" t="str">
        <f t="shared" si="2558"/>
        <v>卡卡杜个人护理店（抖店）</v>
      </c>
      <c r="H9182" s="1" t="str">
        <f t="shared" si="2555"/>
        <v>正常订单</v>
      </c>
      <c r="I9182" s="1" t="str">
        <f t="shared" si="2556"/>
        <v>已发货</v>
      </c>
      <c r="J9182" s="1" t="str">
        <f t="shared" si="2565"/>
        <v>2</v>
      </c>
      <c r="K9182" s="1">
        <v>1</v>
      </c>
      <c r="L9182" s="1" t="s">
        <v>24</v>
      </c>
      <c r="M9182" s="1" t="str">
        <f>"福建省 宁德市 福安市 "</f>
        <v xml:space="preserve">福建省 宁德市 福安市 </v>
      </c>
      <c r="N9182" s="1" t="str">
        <f t="shared" si="2563"/>
        <v>凡华云仓-韵达-抖音</v>
      </c>
      <c r="O9182" s="5">
        <v>320158388790187</v>
      </c>
      <c r="P9182" s="6">
        <v>0.33</v>
      </c>
      <c r="Q9182" s="11">
        <v>2.2999999999999998</v>
      </c>
      <c r="R9182" s="11"/>
      <c r="S9182" s="11"/>
      <c r="T9182" s="11"/>
      <c r="U9182" s="11">
        <f t="shared" si="2561"/>
        <v>2.2999999999999998</v>
      </c>
      <c r="W9182">
        <v>2.5</v>
      </c>
      <c r="X9182" s="1" t="s">
        <v>24</v>
      </c>
    </row>
    <row r="9183" spans="1:24" x14ac:dyDescent="0.25">
      <c r="A9183" s="1" t="str">
        <f t="shared" si="2553"/>
        <v>卡卡杜-凤凰仓</v>
      </c>
      <c r="B9183" s="1" t="str">
        <f>"CK2024100614191"</f>
        <v>CK2024100614191</v>
      </c>
      <c r="C9183" s="1" t="str">
        <f>"DD2024100644414"</f>
        <v>DD2024100644414</v>
      </c>
      <c r="D9183" s="1" t="str">
        <f>"CK2024100640800"</f>
        <v>CK2024100640800</v>
      </c>
      <c r="E9183" s="1" t="str">
        <f>"6917875882708401763"</f>
        <v>6917875882708401763</v>
      </c>
      <c r="F9183" s="1" t="str">
        <f t="shared" si="2554"/>
        <v>花都四部-凤凰仓</v>
      </c>
      <c r="G9183" s="1" t="str">
        <f t="shared" si="2558"/>
        <v>卡卡杜个人护理店（抖店）</v>
      </c>
      <c r="H9183" s="1" t="str">
        <f t="shared" si="2555"/>
        <v>正常订单</v>
      </c>
      <c r="I9183" s="1" t="str">
        <f t="shared" si="2556"/>
        <v>已发货</v>
      </c>
      <c r="J9183" s="1" t="str">
        <f t="shared" si="2565"/>
        <v>2</v>
      </c>
      <c r="K9183" s="1">
        <v>1</v>
      </c>
      <c r="L9183" s="1" t="s">
        <v>20</v>
      </c>
      <c r="M9183" s="1" t="str">
        <f>"浙江省 丽水市 遂昌县 妙高街道"</f>
        <v>浙江省 丽水市 遂昌县 妙高街道</v>
      </c>
      <c r="N9183" s="1" t="str">
        <f t="shared" si="2563"/>
        <v>凡华云仓-韵达-抖音</v>
      </c>
      <c r="O9183" s="5">
        <v>320158388790098</v>
      </c>
      <c r="P9183" s="6">
        <v>0.33</v>
      </c>
      <c r="Q9183" s="11">
        <v>2.2999999999999998</v>
      </c>
      <c r="R9183" s="11"/>
      <c r="S9183" s="11"/>
      <c r="T9183" s="11"/>
      <c r="U9183" s="11">
        <f t="shared" si="2561"/>
        <v>2.2999999999999998</v>
      </c>
      <c r="W9183">
        <v>2.5</v>
      </c>
      <c r="X9183" s="1" t="s">
        <v>20</v>
      </c>
    </row>
    <row r="9184" spans="1:24" x14ac:dyDescent="0.25">
      <c r="A9184" s="1" t="str">
        <f t="shared" si="2553"/>
        <v>卡卡杜-凤凰仓</v>
      </c>
      <c r="B9184" s="1" t="str">
        <f>"CK2024100614294"</f>
        <v>CK2024100614294</v>
      </c>
      <c r="C9184" s="1" t="str">
        <f>"DD2024100644516"</f>
        <v>DD2024100644516</v>
      </c>
      <c r="D9184" s="1" t="str">
        <f>"CK2024100640799"</f>
        <v>CK2024100640799</v>
      </c>
      <c r="E9184" s="1" t="str">
        <f>"6917864009886695196"</f>
        <v>6917864009886695196</v>
      </c>
      <c r="F9184" s="1" t="str">
        <f t="shared" si="2554"/>
        <v>花都四部-凤凰仓</v>
      </c>
      <c r="G9184" s="1" t="str">
        <f t="shared" si="2558"/>
        <v>卡卡杜个人护理店（抖店）</v>
      </c>
      <c r="H9184" s="1" t="str">
        <f t="shared" si="2555"/>
        <v>正常订单</v>
      </c>
      <c r="I9184" s="1" t="str">
        <f t="shared" si="2556"/>
        <v>已发货</v>
      </c>
      <c r="J9184" s="1" t="str">
        <f t="shared" si="2565"/>
        <v>2</v>
      </c>
      <c r="K9184" s="1">
        <v>1</v>
      </c>
      <c r="L9184" s="1" t="s">
        <v>18</v>
      </c>
      <c r="M9184" s="1" t="str">
        <f>"广东省 汕尾市 海丰县 海城镇"</f>
        <v>广东省 汕尾市 海丰县 海城镇</v>
      </c>
      <c r="N9184" s="1" t="str">
        <f t="shared" si="2563"/>
        <v>凡华云仓-韵达-抖音</v>
      </c>
      <c r="O9184" s="5">
        <v>320158412146198</v>
      </c>
      <c r="P9184" s="6">
        <v>0.33</v>
      </c>
      <c r="Q9184" s="11">
        <v>2.2999999999999998</v>
      </c>
      <c r="R9184" s="11"/>
      <c r="S9184" s="11"/>
      <c r="T9184" s="11"/>
      <c r="U9184" s="11">
        <f t="shared" si="2561"/>
        <v>2.2999999999999998</v>
      </c>
      <c r="W9184">
        <v>2.5</v>
      </c>
      <c r="X9184" s="1" t="s">
        <v>18</v>
      </c>
    </row>
    <row r="9185" spans="1:24" x14ac:dyDescent="0.25">
      <c r="A9185" s="1" t="str">
        <f t="shared" si="2553"/>
        <v>卡卡杜-凤凰仓</v>
      </c>
      <c r="B9185" s="1" t="str">
        <f>"CK2024100614249"</f>
        <v>CK2024100614249</v>
      </c>
      <c r="C9185" s="1" t="str">
        <f>"DD2024100644474"</f>
        <v>DD2024100644474</v>
      </c>
      <c r="D9185" s="1" t="str">
        <f>"CK2024100640797"</f>
        <v>CK2024100640797</v>
      </c>
      <c r="E9185" s="1" t="str">
        <f>"6917868375264165736"</f>
        <v>6917868375264165736</v>
      </c>
      <c r="F9185" s="1" t="str">
        <f t="shared" si="2554"/>
        <v>花都四部-凤凰仓</v>
      </c>
      <c r="G9185" s="1" t="str">
        <f t="shared" si="2558"/>
        <v>卡卡杜个人护理店（抖店）</v>
      </c>
      <c r="H9185" s="1" t="str">
        <f t="shared" si="2555"/>
        <v>正常订单</v>
      </c>
      <c r="I9185" s="1" t="str">
        <f t="shared" si="2556"/>
        <v>已发货</v>
      </c>
      <c r="J9185" s="1" t="str">
        <f t="shared" si="2565"/>
        <v>2</v>
      </c>
      <c r="K9185" s="1">
        <v>1</v>
      </c>
      <c r="L9185" s="1" t="s">
        <v>47</v>
      </c>
      <c r="M9185" s="1" t="str">
        <f>"重庆 重庆市 涪陵区 "</f>
        <v xml:space="preserve">重庆 重庆市 涪陵区 </v>
      </c>
      <c r="N9185" s="1" t="str">
        <f t="shared" si="2563"/>
        <v>凡华云仓-韵达-抖音</v>
      </c>
      <c r="O9185" s="5">
        <v>320158412145983</v>
      </c>
      <c r="P9185" s="6">
        <v>0.33</v>
      </c>
      <c r="Q9185" s="11">
        <v>2.2999999999999998</v>
      </c>
      <c r="R9185" s="11"/>
      <c r="S9185" s="11"/>
      <c r="T9185" s="11"/>
      <c r="U9185" s="11">
        <f t="shared" si="2561"/>
        <v>2.2999999999999998</v>
      </c>
      <c r="W9185">
        <v>2.5</v>
      </c>
      <c r="X9185" s="1" t="s">
        <v>47</v>
      </c>
    </row>
    <row r="9186" spans="1:24" x14ac:dyDescent="0.25">
      <c r="A9186" s="1" t="str">
        <f t="shared" si="2553"/>
        <v>卡卡杜-凤凰仓</v>
      </c>
      <c r="B9186" s="1" t="str">
        <f>"CK2024100614290"</f>
        <v>CK2024100614290</v>
      </c>
      <c r="C9186" s="1" t="str">
        <f>"DD2024100644513"</f>
        <v>DD2024100644513</v>
      </c>
      <c r="D9186" s="1" t="str">
        <f>"CK2024100640796"</f>
        <v>CK2024100640796</v>
      </c>
      <c r="E9186" s="1" t="str">
        <f>"6917873692673474031"</f>
        <v>6917873692673474031</v>
      </c>
      <c r="F9186" s="1" t="str">
        <f t="shared" si="2554"/>
        <v>花都四部-凤凰仓</v>
      </c>
      <c r="G9186" s="1" t="str">
        <f t="shared" si="2558"/>
        <v>卡卡杜个人护理店（抖店）</v>
      </c>
      <c r="H9186" s="1" t="str">
        <f t="shared" si="2555"/>
        <v>正常订单</v>
      </c>
      <c r="I9186" s="1" t="str">
        <f t="shared" si="2556"/>
        <v>已发货</v>
      </c>
      <c r="J9186" s="1" t="str">
        <f t="shared" si="2565"/>
        <v>2</v>
      </c>
      <c r="K9186" s="1">
        <v>1</v>
      </c>
      <c r="L9186" s="1" t="s">
        <v>20</v>
      </c>
      <c r="M9186" s="1" t="str">
        <f>"浙江省 温州市 瑞安市 马屿镇"</f>
        <v>浙江省 温州市 瑞安市 马屿镇</v>
      </c>
      <c r="N9186" s="1" t="str">
        <f t="shared" si="2563"/>
        <v>凡华云仓-韵达-抖音</v>
      </c>
      <c r="O9186" s="5">
        <v>320158412145878</v>
      </c>
      <c r="P9186" s="6">
        <v>0.33</v>
      </c>
      <c r="Q9186" s="11">
        <v>2.2999999999999998</v>
      </c>
      <c r="R9186" s="11"/>
      <c r="S9186" s="11"/>
      <c r="T9186" s="11"/>
      <c r="U9186" s="11">
        <f t="shared" si="2561"/>
        <v>2.2999999999999998</v>
      </c>
      <c r="W9186">
        <v>2.5</v>
      </c>
      <c r="X9186" s="1" t="s">
        <v>20</v>
      </c>
    </row>
    <row r="9187" spans="1:24" x14ac:dyDescent="0.25">
      <c r="A9187" s="1" t="str">
        <f t="shared" si="2553"/>
        <v>卡卡杜-凤凰仓</v>
      </c>
      <c r="B9187" s="1" t="str">
        <f>"CK2024100921"</f>
        <v>CK2024100921</v>
      </c>
      <c r="C9187" s="1" t="str">
        <f>"DD2024100910471"</f>
        <v>DD2024100910471</v>
      </c>
      <c r="D9187" s="1" t="str">
        <f>"CK2024100920404"</f>
        <v>CK2024100920404</v>
      </c>
      <c r="E9187" s="1" t="str">
        <f>"6917959976502983958"</f>
        <v>6917959976502983958</v>
      </c>
      <c r="F9187" s="1" t="str">
        <f t="shared" si="2554"/>
        <v>花都四部-凤凰仓</v>
      </c>
      <c r="G9187" s="1" t="str">
        <f t="shared" si="2558"/>
        <v>卡卡杜个人护理店（抖店）</v>
      </c>
      <c r="H9187" s="1" t="str">
        <f t="shared" si="2555"/>
        <v>正常订单</v>
      </c>
      <c r="I9187" s="1" t="str">
        <f t="shared" si="2556"/>
        <v>已发货</v>
      </c>
      <c r="J9187" s="1" t="str">
        <f>"4"</f>
        <v>4</v>
      </c>
      <c r="K9187" s="1">
        <v>1</v>
      </c>
      <c r="L9187" s="1" t="s">
        <v>20</v>
      </c>
      <c r="M9187" s="1" t="str">
        <f>"浙江省 温州市 乐清市 "</f>
        <v xml:space="preserve">浙江省 温州市 乐清市 </v>
      </c>
      <c r="N9187" s="1" t="str">
        <f t="shared" si="2563"/>
        <v>凡华云仓-韵达-抖音</v>
      </c>
      <c r="O9187" s="5">
        <v>320162846065091</v>
      </c>
      <c r="P9187" s="6">
        <v>0.57999999999999996</v>
      </c>
      <c r="Q9187" s="11">
        <f>CEILING(P9187-0.5,0.1)*10*0.15+2.3</f>
        <v>2.4499999999999997</v>
      </c>
      <c r="R9187" s="11"/>
      <c r="S9187" s="11"/>
      <c r="T9187" s="11"/>
      <c r="U9187" s="11">
        <f t="shared" si="2561"/>
        <v>2.4499999999999997</v>
      </c>
      <c r="V9187" t="s">
        <v>15</v>
      </c>
      <c r="W9187">
        <v>2.4500000000000002</v>
      </c>
      <c r="X9187" s="1" t="s">
        <v>20</v>
      </c>
    </row>
    <row r="9188" spans="1:24" x14ac:dyDescent="0.25">
      <c r="A9188" s="1" t="str">
        <f t="shared" si="2553"/>
        <v>卡卡杜-凤凰仓</v>
      </c>
      <c r="B9188" s="1" t="str">
        <f>"CK2024100614236"</f>
        <v>CK2024100614236</v>
      </c>
      <c r="C9188" s="1" t="str">
        <f>"DD2024100644459"</f>
        <v>DD2024100644459</v>
      </c>
      <c r="D9188" s="1" t="str">
        <f>"CK2024100640794"</f>
        <v>CK2024100640794</v>
      </c>
      <c r="E9188" s="1" t="str">
        <f>"6917866140153511435"</f>
        <v>6917866140153511435</v>
      </c>
      <c r="F9188" s="1" t="str">
        <f t="shared" si="2554"/>
        <v>花都四部-凤凰仓</v>
      </c>
      <c r="G9188" s="1" t="str">
        <f t="shared" si="2558"/>
        <v>卡卡杜个人护理店（抖店）</v>
      </c>
      <c r="H9188" s="1" t="str">
        <f t="shared" si="2555"/>
        <v>正常订单</v>
      </c>
      <c r="I9188" s="1" t="str">
        <f t="shared" si="2556"/>
        <v>已发货</v>
      </c>
      <c r="J9188" s="1" t="str">
        <f t="shared" ref="J9188:J9213" si="2566">"2"</f>
        <v>2</v>
      </c>
      <c r="K9188" s="1">
        <v>1</v>
      </c>
      <c r="L9188" s="1" t="s">
        <v>94</v>
      </c>
      <c r="M9188" s="1" t="str">
        <f>"湖南省 衡阳市 衡南县 车江街道"</f>
        <v>湖南省 衡阳市 衡南县 车江街道</v>
      </c>
      <c r="N9188" s="1" t="str">
        <f t="shared" si="2563"/>
        <v>凡华云仓-韵达-抖音</v>
      </c>
      <c r="O9188" s="5">
        <v>320158412145674</v>
      </c>
      <c r="P9188" s="6">
        <v>0.33</v>
      </c>
      <c r="Q9188" s="11">
        <v>2.2999999999999998</v>
      </c>
      <c r="R9188" s="11"/>
      <c r="S9188" s="11"/>
      <c r="T9188" s="11"/>
      <c r="U9188" s="11">
        <f t="shared" si="2561"/>
        <v>2.2999999999999998</v>
      </c>
      <c r="W9188">
        <v>2.5</v>
      </c>
      <c r="X9188" s="1" t="s">
        <v>94</v>
      </c>
    </row>
    <row r="9189" spans="1:24" x14ac:dyDescent="0.25">
      <c r="A9189" s="1" t="str">
        <f t="shared" si="2553"/>
        <v>卡卡杜-凤凰仓</v>
      </c>
      <c r="B9189" s="1" t="str">
        <f>"CK2024100614237"</f>
        <v>CK2024100614237</v>
      </c>
      <c r="C9189" s="1" t="str">
        <f>"DD2024100644461"</f>
        <v>DD2024100644461</v>
      </c>
      <c r="D9189" s="1" t="str">
        <f>"CK2024100640793"</f>
        <v>CK2024100640793</v>
      </c>
      <c r="E9189" s="1" t="str">
        <f>"6917870589766040930"</f>
        <v>6917870589766040930</v>
      </c>
      <c r="F9189" s="1" t="str">
        <f t="shared" si="2554"/>
        <v>花都四部-凤凰仓</v>
      </c>
      <c r="G9189" s="1" t="str">
        <f t="shared" si="2558"/>
        <v>卡卡杜个人护理店（抖店）</v>
      </c>
      <c r="H9189" s="1" t="str">
        <f t="shared" si="2555"/>
        <v>正常订单</v>
      </c>
      <c r="I9189" s="1" t="str">
        <f t="shared" si="2556"/>
        <v>已发货</v>
      </c>
      <c r="J9189" s="1" t="str">
        <f t="shared" si="2566"/>
        <v>2</v>
      </c>
      <c r="K9189" s="1">
        <v>1</v>
      </c>
      <c r="L9189" s="1" t="s">
        <v>18</v>
      </c>
      <c r="M9189" s="1" t="str">
        <f>"广东省 中山市 中山市 小榄镇"</f>
        <v>广东省 中山市 中山市 小榄镇</v>
      </c>
      <c r="N9189" s="1" t="str">
        <f t="shared" si="2563"/>
        <v>凡华云仓-韵达-抖音</v>
      </c>
      <c r="O9189" s="5">
        <v>320158412145575</v>
      </c>
      <c r="P9189" s="6">
        <v>0.33</v>
      </c>
      <c r="Q9189" s="11">
        <v>2.2999999999999998</v>
      </c>
      <c r="R9189" s="11"/>
      <c r="S9189" s="11"/>
      <c r="T9189" s="11"/>
      <c r="U9189" s="11">
        <f t="shared" si="2561"/>
        <v>2.2999999999999998</v>
      </c>
      <c r="W9189">
        <v>2.5</v>
      </c>
      <c r="X9189" s="1" t="s">
        <v>18</v>
      </c>
    </row>
    <row r="9190" spans="1:24" x14ac:dyDescent="0.25">
      <c r="A9190" s="1" t="str">
        <f t="shared" si="2553"/>
        <v>卡卡杜-凤凰仓</v>
      </c>
      <c r="B9190" s="1" t="str">
        <f>"CK2024100614238"</f>
        <v>CK2024100614238</v>
      </c>
      <c r="C9190" s="1" t="str">
        <f>"DD2024100644460"</f>
        <v>DD2024100644460</v>
      </c>
      <c r="D9190" s="1" t="str">
        <f>"CK2024100640792"</f>
        <v>CK2024100640792</v>
      </c>
      <c r="E9190" s="1" t="str">
        <f>"6917875888577740165"</f>
        <v>6917875888577740165</v>
      </c>
      <c r="F9190" s="1" t="str">
        <f t="shared" si="2554"/>
        <v>花都四部-凤凰仓</v>
      </c>
      <c r="G9190" s="1" t="str">
        <f t="shared" si="2558"/>
        <v>卡卡杜个人护理店（抖店）</v>
      </c>
      <c r="H9190" s="1" t="str">
        <f t="shared" si="2555"/>
        <v>正常订单</v>
      </c>
      <c r="I9190" s="1" t="str">
        <f t="shared" si="2556"/>
        <v>已发货</v>
      </c>
      <c r="J9190" s="1" t="str">
        <f t="shared" si="2566"/>
        <v>2</v>
      </c>
      <c r="K9190" s="1">
        <v>1</v>
      </c>
      <c r="L9190" s="1" t="s">
        <v>13</v>
      </c>
      <c r="M9190" s="1" t="str">
        <f>"江苏省 扬州市 江都区 仙女镇"</f>
        <v>江苏省 扬州市 江都区 仙女镇</v>
      </c>
      <c r="N9190" s="1" t="str">
        <f t="shared" si="2563"/>
        <v>凡华云仓-韵达-抖音</v>
      </c>
      <c r="O9190" s="5">
        <v>320158412145478</v>
      </c>
      <c r="P9190" s="6">
        <v>0.33</v>
      </c>
      <c r="Q9190" s="11">
        <v>2.2999999999999998</v>
      </c>
      <c r="R9190" s="11"/>
      <c r="S9190" s="11"/>
      <c r="T9190" s="11"/>
      <c r="U9190" s="11">
        <f t="shared" si="2561"/>
        <v>2.2999999999999998</v>
      </c>
      <c r="W9190">
        <v>2.5</v>
      </c>
      <c r="X9190" s="1" t="s">
        <v>13</v>
      </c>
    </row>
    <row r="9191" spans="1:24" x14ac:dyDescent="0.25">
      <c r="A9191" s="1" t="str">
        <f t="shared" si="2553"/>
        <v>卡卡杜-凤凰仓</v>
      </c>
      <c r="B9191" s="1" t="str">
        <f>"CK2024100614248"</f>
        <v>CK2024100614248</v>
      </c>
      <c r="C9191" s="1" t="str">
        <f>"DD2024100644471"</f>
        <v>DD2024100644471</v>
      </c>
      <c r="D9191" s="1" t="str">
        <f>"CK2024100640791"</f>
        <v>CK2024100640791</v>
      </c>
      <c r="E9191" s="1" t="str">
        <f>"6917861542815956817"</f>
        <v>6917861542815956817</v>
      </c>
      <c r="F9191" s="1" t="str">
        <f t="shared" si="2554"/>
        <v>花都四部-凤凰仓</v>
      </c>
      <c r="G9191" s="1" t="str">
        <f t="shared" si="2558"/>
        <v>卡卡杜个人护理店（抖店）</v>
      </c>
      <c r="H9191" s="1" t="str">
        <f t="shared" si="2555"/>
        <v>正常订单</v>
      </c>
      <c r="I9191" s="1" t="str">
        <f t="shared" si="2556"/>
        <v>已发货</v>
      </c>
      <c r="J9191" s="1" t="str">
        <f t="shared" si="2566"/>
        <v>2</v>
      </c>
      <c r="K9191" s="1">
        <v>1</v>
      </c>
      <c r="L9191" s="1" t="s">
        <v>44</v>
      </c>
      <c r="M9191" s="1" t="str">
        <f>"海南省 海口市 秀英区 海秀镇"</f>
        <v>海南省 海口市 秀英区 海秀镇</v>
      </c>
      <c r="N9191" s="1" t="str">
        <f t="shared" si="2563"/>
        <v>凡华云仓-韵达-抖音</v>
      </c>
      <c r="O9191" s="5">
        <v>320158412145383</v>
      </c>
      <c r="P9191" s="6">
        <v>0.33</v>
      </c>
      <c r="Q9191" s="11">
        <v>2.2999999999999998</v>
      </c>
      <c r="R9191" s="11"/>
      <c r="S9191" s="11"/>
      <c r="T9191" s="11"/>
      <c r="U9191" s="11">
        <f t="shared" si="2561"/>
        <v>2.2999999999999998</v>
      </c>
      <c r="W9191">
        <v>2.5</v>
      </c>
      <c r="X9191" s="1" t="s">
        <v>44</v>
      </c>
    </row>
    <row r="9192" spans="1:24" x14ac:dyDescent="0.25">
      <c r="A9192" s="1" t="str">
        <f t="shared" si="2553"/>
        <v>卡卡杜-凤凰仓</v>
      </c>
      <c r="B9192" s="1" t="str">
        <f>"CK2024100614275"</f>
        <v>CK2024100614275</v>
      </c>
      <c r="C9192" s="1" t="str">
        <f>"DD2024100644497"</f>
        <v>DD2024100644497</v>
      </c>
      <c r="D9192" s="1" t="str">
        <f>"CK2024100640790"</f>
        <v>CK2024100640790</v>
      </c>
      <c r="E9192" s="1" t="str">
        <f>"6917868711963164156"</f>
        <v>6917868711963164156</v>
      </c>
      <c r="F9192" s="1" t="str">
        <f t="shared" si="2554"/>
        <v>花都四部-凤凰仓</v>
      </c>
      <c r="G9192" s="1" t="str">
        <f t="shared" si="2558"/>
        <v>卡卡杜个人护理店（抖店）</v>
      </c>
      <c r="H9192" s="1" t="str">
        <f t="shared" si="2555"/>
        <v>正常订单</v>
      </c>
      <c r="I9192" s="1" t="str">
        <f t="shared" si="2556"/>
        <v>已发货</v>
      </c>
      <c r="J9192" s="1" t="str">
        <f t="shared" si="2566"/>
        <v>2</v>
      </c>
      <c r="K9192" s="1">
        <v>1</v>
      </c>
      <c r="L9192" s="1" t="s">
        <v>24</v>
      </c>
      <c r="M9192" s="1" t="str">
        <f>"福建省 福州市 长乐区 古槐镇"</f>
        <v>福建省 福州市 长乐区 古槐镇</v>
      </c>
      <c r="N9192" s="1" t="str">
        <f t="shared" si="2563"/>
        <v>凡华云仓-韵达-抖音</v>
      </c>
      <c r="O9192" s="5">
        <v>320158412145290</v>
      </c>
      <c r="P9192" s="6">
        <v>0.33</v>
      </c>
      <c r="Q9192" s="11">
        <v>2.2999999999999998</v>
      </c>
      <c r="R9192" s="11"/>
      <c r="S9192" s="11"/>
      <c r="T9192" s="11"/>
      <c r="U9192" s="11">
        <f t="shared" si="2561"/>
        <v>2.2999999999999998</v>
      </c>
      <c r="W9192">
        <v>2.5</v>
      </c>
      <c r="X9192" s="1" t="s">
        <v>24</v>
      </c>
    </row>
    <row r="9193" spans="1:24" x14ac:dyDescent="0.25">
      <c r="A9193" s="1" t="str">
        <f t="shared" si="2553"/>
        <v>卡卡杜-凤凰仓</v>
      </c>
      <c r="B9193" s="1" t="str">
        <f>"CK2024100614255"</f>
        <v>CK2024100614255</v>
      </c>
      <c r="C9193" s="1" t="str">
        <f>"DD2024100644478"</f>
        <v>DD2024100644478</v>
      </c>
      <c r="D9193" s="1" t="str">
        <f>"CK2024100640789"</f>
        <v>CK2024100640789</v>
      </c>
      <c r="E9193" s="1" t="str">
        <f>"6917870968757321554"</f>
        <v>6917870968757321554</v>
      </c>
      <c r="F9193" s="1" t="str">
        <f t="shared" si="2554"/>
        <v>花都四部-凤凰仓</v>
      </c>
      <c r="G9193" s="1" t="str">
        <f t="shared" si="2558"/>
        <v>卡卡杜个人护理店（抖店）</v>
      </c>
      <c r="H9193" s="1" t="str">
        <f t="shared" si="2555"/>
        <v>正常订单</v>
      </c>
      <c r="I9193" s="1" t="str">
        <f t="shared" si="2556"/>
        <v>已发货</v>
      </c>
      <c r="J9193" s="1" t="str">
        <f t="shared" si="2566"/>
        <v>2</v>
      </c>
      <c r="K9193" s="1">
        <v>1</v>
      </c>
      <c r="L9193" s="1" t="s">
        <v>36</v>
      </c>
      <c r="M9193" s="1" t="str">
        <f>"安徽省 宣城市 旌德县 旌阳镇"</f>
        <v>安徽省 宣城市 旌德县 旌阳镇</v>
      </c>
      <c r="N9193" s="1" t="str">
        <f t="shared" si="2563"/>
        <v>凡华云仓-韵达-抖音</v>
      </c>
      <c r="O9193" s="5">
        <v>320158396675328</v>
      </c>
      <c r="P9193" s="6">
        <v>0.33</v>
      </c>
      <c r="Q9193" s="11">
        <v>2.2999999999999998</v>
      </c>
      <c r="R9193" s="11"/>
      <c r="S9193" s="11"/>
      <c r="T9193" s="11"/>
      <c r="U9193" s="11">
        <f t="shared" si="2561"/>
        <v>2.2999999999999998</v>
      </c>
      <c r="W9193">
        <v>2.5</v>
      </c>
      <c r="X9193" s="1" t="s">
        <v>36</v>
      </c>
    </row>
    <row r="9194" spans="1:24" x14ac:dyDescent="0.25">
      <c r="A9194" s="1" t="str">
        <f t="shared" si="2553"/>
        <v>卡卡杜-凤凰仓</v>
      </c>
      <c r="B9194" s="1" t="str">
        <f>"CK2024100614279"</f>
        <v>CK2024100614279</v>
      </c>
      <c r="C9194" s="1" t="str">
        <f>"DD2024100644502"</f>
        <v>DD2024100644502</v>
      </c>
      <c r="D9194" s="1" t="str">
        <f>"CK2024100640788"</f>
        <v>CK2024100640788</v>
      </c>
      <c r="E9194" s="1" t="str">
        <f>"6917863606181657864"</f>
        <v>6917863606181657864</v>
      </c>
      <c r="F9194" s="1" t="str">
        <f t="shared" si="2554"/>
        <v>花都四部-凤凰仓</v>
      </c>
      <c r="G9194" s="1" t="str">
        <f t="shared" si="2558"/>
        <v>卡卡杜个人护理店（抖店）</v>
      </c>
      <c r="H9194" s="1" t="str">
        <f t="shared" si="2555"/>
        <v>正常订单</v>
      </c>
      <c r="I9194" s="1" t="str">
        <f t="shared" si="2556"/>
        <v>已发货</v>
      </c>
      <c r="J9194" s="1" t="str">
        <f t="shared" si="2566"/>
        <v>2</v>
      </c>
      <c r="K9194" s="1">
        <v>1</v>
      </c>
      <c r="L9194" s="1" t="s">
        <v>24</v>
      </c>
      <c r="M9194" s="1" t="str">
        <f>"福建省 泉州市 晋江市 安海镇"</f>
        <v>福建省 泉州市 晋江市 安海镇</v>
      </c>
      <c r="N9194" s="1" t="str">
        <f t="shared" si="2563"/>
        <v>凡华云仓-韵达-抖音</v>
      </c>
      <c r="O9194" s="5">
        <v>320158396675235</v>
      </c>
      <c r="P9194" s="6">
        <v>0.33</v>
      </c>
      <c r="Q9194" s="11">
        <v>2.2999999999999998</v>
      </c>
      <c r="R9194" s="11"/>
      <c r="S9194" s="11"/>
      <c r="T9194" s="11"/>
      <c r="U9194" s="11">
        <f t="shared" si="2561"/>
        <v>2.2999999999999998</v>
      </c>
      <c r="W9194">
        <v>2.5</v>
      </c>
      <c r="X9194" s="1" t="s">
        <v>24</v>
      </c>
    </row>
    <row r="9195" spans="1:24" x14ac:dyDescent="0.25">
      <c r="A9195" s="1" t="str">
        <f t="shared" ref="A9195:A9258" si="2567">"卡卡杜-凤凰仓"</f>
        <v>卡卡杜-凤凰仓</v>
      </c>
      <c r="B9195" s="1" t="str">
        <f>"CK2024100614258"</f>
        <v>CK2024100614258</v>
      </c>
      <c r="C9195" s="1" t="str">
        <f>"DD2024100644481"</f>
        <v>DD2024100644481</v>
      </c>
      <c r="D9195" s="1" t="str">
        <f>"CK2024100640787"</f>
        <v>CK2024100640787</v>
      </c>
      <c r="E9195" s="1" t="str">
        <f>"6917870494765973164"</f>
        <v>6917870494765973164</v>
      </c>
      <c r="F9195" s="1" t="str">
        <f t="shared" ref="F9195:F9258" si="2568">"花都四部-凤凰仓"</f>
        <v>花都四部-凤凰仓</v>
      </c>
      <c r="G9195" s="1" t="str">
        <f t="shared" si="2558"/>
        <v>卡卡杜个人护理店（抖店）</v>
      </c>
      <c r="H9195" s="1" t="str">
        <f t="shared" ref="H9195:H9258" si="2569">"正常订单"</f>
        <v>正常订单</v>
      </c>
      <c r="I9195" s="1" t="str">
        <f t="shared" ref="I9195:I9258" si="2570">"已发货"</f>
        <v>已发货</v>
      </c>
      <c r="J9195" s="1" t="str">
        <f t="shared" si="2566"/>
        <v>2</v>
      </c>
      <c r="K9195" s="1">
        <v>1</v>
      </c>
      <c r="L9195" s="1" t="s">
        <v>18</v>
      </c>
      <c r="M9195" s="1" t="str">
        <f>"广东省 佛山市 南海区 桂城街道"</f>
        <v>广东省 佛山市 南海区 桂城街道</v>
      </c>
      <c r="N9195" s="1" t="str">
        <f t="shared" si="2563"/>
        <v>凡华云仓-韵达-抖音</v>
      </c>
      <c r="O9195" s="5">
        <v>320158396675144</v>
      </c>
      <c r="P9195" s="6">
        <v>0.33</v>
      </c>
      <c r="Q9195" s="11">
        <v>2.2999999999999998</v>
      </c>
      <c r="R9195" s="11"/>
      <c r="S9195" s="11"/>
      <c r="T9195" s="11"/>
      <c r="U9195" s="11">
        <f t="shared" si="2561"/>
        <v>2.2999999999999998</v>
      </c>
      <c r="W9195">
        <v>2.5</v>
      </c>
      <c r="X9195" s="1" t="s">
        <v>18</v>
      </c>
    </row>
    <row r="9196" spans="1:24" x14ac:dyDescent="0.25">
      <c r="A9196" s="1" t="str">
        <f t="shared" si="2567"/>
        <v>卡卡杜-凤凰仓</v>
      </c>
      <c r="B9196" s="1" t="str">
        <f>"CK2024100614234"</f>
        <v>CK2024100614234</v>
      </c>
      <c r="C9196" s="1" t="str">
        <f>"DD2024100644457"</f>
        <v>DD2024100644457</v>
      </c>
      <c r="D9196" s="1" t="str">
        <f>"CK2024100640786"</f>
        <v>CK2024100640786</v>
      </c>
      <c r="E9196" s="1" t="str">
        <f>"6917863687453703423"</f>
        <v>6917863687453703423</v>
      </c>
      <c r="F9196" s="1" t="str">
        <f t="shared" si="2568"/>
        <v>花都四部-凤凰仓</v>
      </c>
      <c r="G9196" s="1" t="str">
        <f t="shared" si="2558"/>
        <v>卡卡杜个人护理店（抖店）</v>
      </c>
      <c r="H9196" s="1" t="str">
        <f t="shared" si="2569"/>
        <v>正常订单</v>
      </c>
      <c r="I9196" s="1" t="str">
        <f t="shared" si="2570"/>
        <v>已发货</v>
      </c>
      <c r="J9196" s="1" t="str">
        <f t="shared" si="2566"/>
        <v>2</v>
      </c>
      <c r="K9196" s="1">
        <v>1</v>
      </c>
      <c r="L9196" s="1" t="s">
        <v>20</v>
      </c>
      <c r="M9196" s="1" t="str">
        <f>"浙江省 宁波市 江北区 庄桥街道"</f>
        <v>浙江省 宁波市 江北区 庄桥街道</v>
      </c>
      <c r="N9196" s="1" t="str">
        <f t="shared" si="2563"/>
        <v>凡华云仓-韵达-抖音</v>
      </c>
      <c r="O9196" s="5">
        <v>320158396675055</v>
      </c>
      <c r="P9196" s="6">
        <v>0.33</v>
      </c>
      <c r="Q9196" s="11">
        <v>2.2999999999999998</v>
      </c>
      <c r="R9196" s="11"/>
      <c r="S9196" s="11"/>
      <c r="T9196" s="11"/>
      <c r="U9196" s="11">
        <f t="shared" si="2561"/>
        <v>2.2999999999999998</v>
      </c>
      <c r="W9196">
        <v>2.5</v>
      </c>
      <c r="X9196" s="1" t="s">
        <v>20</v>
      </c>
    </row>
    <row r="9197" spans="1:24" x14ac:dyDescent="0.25">
      <c r="A9197" s="1" t="str">
        <f t="shared" si="2567"/>
        <v>卡卡杜-凤凰仓</v>
      </c>
      <c r="B9197" s="1" t="str">
        <f>"CK2024100614289"</f>
        <v>CK2024100614289</v>
      </c>
      <c r="C9197" s="1" t="str">
        <f>"DD2024100644512"</f>
        <v>DD2024100644512</v>
      </c>
      <c r="D9197" s="1" t="str">
        <f>"CK2024100640785"</f>
        <v>CK2024100640785</v>
      </c>
      <c r="E9197" s="1" t="str">
        <f>"6917866337608367142"</f>
        <v>6917866337608367142</v>
      </c>
      <c r="F9197" s="1" t="str">
        <f t="shared" si="2568"/>
        <v>花都四部-凤凰仓</v>
      </c>
      <c r="G9197" s="1" t="str">
        <f t="shared" si="2558"/>
        <v>卡卡杜个人护理店（抖店）</v>
      </c>
      <c r="H9197" s="1" t="str">
        <f t="shared" si="2569"/>
        <v>正常订单</v>
      </c>
      <c r="I9197" s="1" t="str">
        <f t="shared" si="2570"/>
        <v>已发货</v>
      </c>
      <c r="J9197" s="1" t="str">
        <f t="shared" si="2566"/>
        <v>2</v>
      </c>
      <c r="K9197" s="1">
        <v>1</v>
      </c>
      <c r="L9197" s="1" t="s">
        <v>96</v>
      </c>
      <c r="M9197" s="1" t="str">
        <f>"广西壮族自治区 北海市 海城区 东街街道"</f>
        <v>广西壮族自治区 北海市 海城区 东街街道</v>
      </c>
      <c r="N9197" s="1" t="str">
        <f t="shared" si="2563"/>
        <v>凡华云仓-韵达-抖音</v>
      </c>
      <c r="O9197" s="5">
        <v>320158396674931</v>
      </c>
      <c r="P9197" s="6">
        <v>0.33</v>
      </c>
      <c r="Q9197" s="11">
        <v>2.2999999999999998</v>
      </c>
      <c r="R9197" s="11"/>
      <c r="S9197" s="11"/>
      <c r="T9197" s="11"/>
      <c r="U9197" s="11">
        <f t="shared" si="2561"/>
        <v>2.2999999999999998</v>
      </c>
      <c r="W9197">
        <v>2.5</v>
      </c>
      <c r="X9197" s="1" t="s">
        <v>96</v>
      </c>
    </row>
    <row r="9198" spans="1:24" x14ac:dyDescent="0.25">
      <c r="A9198" s="1" t="str">
        <f t="shared" si="2567"/>
        <v>卡卡杜-凤凰仓</v>
      </c>
      <c r="B9198" s="1" t="str">
        <f>"CK2024100614232"</f>
        <v>CK2024100614232</v>
      </c>
      <c r="C9198" s="1" t="str">
        <f>"DD2024100644455"</f>
        <v>DD2024100644455</v>
      </c>
      <c r="D9198" s="1" t="str">
        <f>"CK2024100640784"</f>
        <v>CK2024100640784</v>
      </c>
      <c r="E9198" s="1" t="str">
        <f>"6917866007519788671"</f>
        <v>6917866007519788671</v>
      </c>
      <c r="F9198" s="1" t="str">
        <f t="shared" si="2568"/>
        <v>花都四部-凤凰仓</v>
      </c>
      <c r="G9198" s="1" t="str">
        <f t="shared" si="2558"/>
        <v>卡卡杜个人护理店（抖店）</v>
      </c>
      <c r="H9198" s="1" t="str">
        <f t="shared" si="2569"/>
        <v>正常订单</v>
      </c>
      <c r="I9198" s="1" t="str">
        <f t="shared" si="2570"/>
        <v>已发货</v>
      </c>
      <c r="J9198" s="1" t="str">
        <f t="shared" si="2566"/>
        <v>2</v>
      </c>
      <c r="K9198" s="1">
        <v>1</v>
      </c>
      <c r="L9198" s="1" t="s">
        <v>13</v>
      </c>
      <c r="M9198" s="1" t="str">
        <f>"江苏省 盐城市 东台市 安丰镇"</f>
        <v>江苏省 盐城市 东台市 安丰镇</v>
      </c>
      <c r="N9198" s="1" t="str">
        <f t="shared" si="2563"/>
        <v>凡华云仓-韵达-抖音</v>
      </c>
      <c r="O9198" s="5">
        <v>320158396674826</v>
      </c>
      <c r="P9198" s="6">
        <v>0.33</v>
      </c>
      <c r="Q9198" s="11">
        <v>2.2999999999999998</v>
      </c>
      <c r="R9198" s="11"/>
      <c r="S9198" s="11"/>
      <c r="T9198" s="11"/>
      <c r="U9198" s="11">
        <f t="shared" si="2561"/>
        <v>2.2999999999999998</v>
      </c>
      <c r="W9198">
        <v>2.5</v>
      </c>
      <c r="X9198" s="1" t="s">
        <v>13</v>
      </c>
    </row>
    <row r="9199" spans="1:24" x14ac:dyDescent="0.25">
      <c r="A9199" s="1" t="str">
        <f t="shared" si="2567"/>
        <v>卡卡杜-凤凰仓</v>
      </c>
      <c r="B9199" s="1" t="str">
        <f>"CK2024100614231"</f>
        <v>CK2024100614231</v>
      </c>
      <c r="C9199" s="1" t="str">
        <f>"DD2024100644453"</f>
        <v>DD2024100644453</v>
      </c>
      <c r="D9199" s="1" t="str">
        <f>"CK2024100640783"</f>
        <v>CK2024100640783</v>
      </c>
      <c r="E9199" s="1" t="str">
        <f>"6917863819574673368"</f>
        <v>6917863819574673368</v>
      </c>
      <c r="F9199" s="1" t="str">
        <f t="shared" si="2568"/>
        <v>花都四部-凤凰仓</v>
      </c>
      <c r="G9199" s="1" t="str">
        <f t="shared" si="2558"/>
        <v>卡卡杜个人护理店（抖店）</v>
      </c>
      <c r="H9199" s="1" t="str">
        <f t="shared" si="2569"/>
        <v>正常订单</v>
      </c>
      <c r="I9199" s="1" t="str">
        <f t="shared" si="2570"/>
        <v>已发货</v>
      </c>
      <c r="J9199" s="1" t="str">
        <f t="shared" si="2566"/>
        <v>2</v>
      </c>
      <c r="K9199" s="1">
        <v>1</v>
      </c>
      <c r="L9199" s="1" t="s">
        <v>16</v>
      </c>
      <c r="M9199" s="1" t="str">
        <f>"河北省 邢台市 巨鹿县 巨鹿镇"</f>
        <v>河北省 邢台市 巨鹿县 巨鹿镇</v>
      </c>
      <c r="N9199" s="1" t="str">
        <f t="shared" si="2563"/>
        <v>凡华云仓-韵达-抖音</v>
      </c>
      <c r="O9199" s="5">
        <v>320158396674723</v>
      </c>
      <c r="P9199" s="6">
        <v>0.33</v>
      </c>
      <c r="Q9199" s="11">
        <v>2.2999999999999998</v>
      </c>
      <c r="R9199" s="11"/>
      <c r="S9199" s="11"/>
      <c r="T9199" s="11"/>
      <c r="U9199" s="11">
        <f t="shared" si="2561"/>
        <v>2.2999999999999998</v>
      </c>
      <c r="W9199">
        <v>2.5</v>
      </c>
      <c r="X9199" s="1" t="s">
        <v>16</v>
      </c>
    </row>
    <row r="9200" spans="1:24" x14ac:dyDescent="0.25">
      <c r="A9200" s="1" t="str">
        <f t="shared" si="2567"/>
        <v>卡卡杜-凤凰仓</v>
      </c>
      <c r="B9200" s="1" t="str">
        <f>"CK2024100614252"</f>
        <v>CK2024100614252</v>
      </c>
      <c r="C9200" s="1" t="str">
        <f>"DD2024100644475"</f>
        <v>DD2024100644475</v>
      </c>
      <c r="D9200" s="1" t="str">
        <f>"CK2024100640782"</f>
        <v>CK2024100640782</v>
      </c>
      <c r="E9200" s="1" t="str">
        <f>"6917866129406393883"</f>
        <v>6917866129406393883</v>
      </c>
      <c r="F9200" s="1" t="str">
        <f t="shared" si="2568"/>
        <v>花都四部-凤凰仓</v>
      </c>
      <c r="G9200" s="1" t="str">
        <f t="shared" si="2558"/>
        <v>卡卡杜个人护理店（抖店）</v>
      </c>
      <c r="H9200" s="1" t="str">
        <f t="shared" si="2569"/>
        <v>正常订单</v>
      </c>
      <c r="I9200" s="1" t="str">
        <f t="shared" si="2570"/>
        <v>已发货</v>
      </c>
      <c r="J9200" s="1" t="str">
        <f t="shared" si="2566"/>
        <v>2</v>
      </c>
      <c r="K9200" s="1">
        <v>1</v>
      </c>
      <c r="L9200" s="1" t="s">
        <v>92</v>
      </c>
      <c r="M9200" s="1" t="str">
        <f>"辽宁省 沈阳市 浑南区 桃仙街道"</f>
        <v>辽宁省 沈阳市 浑南区 桃仙街道</v>
      </c>
      <c r="N9200" s="1" t="str">
        <f t="shared" si="2563"/>
        <v>凡华云仓-韵达-抖音</v>
      </c>
      <c r="O9200" s="5">
        <v>320158396674622</v>
      </c>
      <c r="P9200" s="6">
        <v>0.33</v>
      </c>
      <c r="Q9200" s="11">
        <v>2.2999999999999998</v>
      </c>
      <c r="R9200" s="11"/>
      <c r="S9200" s="11"/>
      <c r="T9200" s="11"/>
      <c r="U9200" s="11">
        <f t="shared" si="2561"/>
        <v>2.2999999999999998</v>
      </c>
      <c r="W9200">
        <v>2.5</v>
      </c>
      <c r="X9200" s="1" t="s">
        <v>92</v>
      </c>
    </row>
    <row r="9201" spans="1:24" x14ac:dyDescent="0.25">
      <c r="A9201" s="1" t="str">
        <f t="shared" si="2567"/>
        <v>卡卡杜-凤凰仓</v>
      </c>
      <c r="B9201" s="1" t="str">
        <f>"CK2024100614253"</f>
        <v>CK2024100614253</v>
      </c>
      <c r="C9201" s="1" t="str">
        <f>"DD2024100644476"</f>
        <v>DD2024100644476</v>
      </c>
      <c r="D9201" s="1" t="str">
        <f>"CK2024100640781"</f>
        <v>CK2024100640781</v>
      </c>
      <c r="E9201" s="1" t="str">
        <f>"6917861619383368805"</f>
        <v>6917861619383368805</v>
      </c>
      <c r="F9201" s="1" t="str">
        <f t="shared" si="2568"/>
        <v>花都四部-凤凰仓</v>
      </c>
      <c r="G9201" s="1" t="str">
        <f t="shared" si="2558"/>
        <v>卡卡杜个人护理店（抖店）</v>
      </c>
      <c r="H9201" s="1" t="str">
        <f t="shared" si="2569"/>
        <v>正常订单</v>
      </c>
      <c r="I9201" s="1" t="str">
        <f t="shared" si="2570"/>
        <v>已发货</v>
      </c>
      <c r="J9201" s="1" t="str">
        <f t="shared" si="2566"/>
        <v>2</v>
      </c>
      <c r="K9201" s="1">
        <v>1</v>
      </c>
      <c r="L9201" s="1" t="s">
        <v>18</v>
      </c>
      <c r="M9201" s="1" t="str">
        <f>"广东省 东莞市 东莞市 寮步镇"</f>
        <v>广东省 东莞市 东莞市 寮步镇</v>
      </c>
      <c r="N9201" s="1" t="str">
        <f t="shared" si="2563"/>
        <v>凡华云仓-韵达-抖音</v>
      </c>
      <c r="O9201" s="5">
        <v>320158396674523</v>
      </c>
      <c r="P9201" s="6">
        <v>0.33</v>
      </c>
      <c r="Q9201" s="11">
        <v>2.2999999999999998</v>
      </c>
      <c r="R9201" s="11"/>
      <c r="S9201" s="11"/>
      <c r="T9201" s="11"/>
      <c r="U9201" s="11">
        <f t="shared" si="2561"/>
        <v>2.2999999999999998</v>
      </c>
      <c r="W9201">
        <v>2.5</v>
      </c>
      <c r="X9201" s="1" t="s">
        <v>18</v>
      </c>
    </row>
    <row r="9202" spans="1:24" x14ac:dyDescent="0.25">
      <c r="A9202" s="1" t="str">
        <f t="shared" si="2567"/>
        <v>卡卡杜-凤凰仓</v>
      </c>
      <c r="B9202" s="1" t="str">
        <f>"CK2024100614242"</f>
        <v>CK2024100614242</v>
      </c>
      <c r="C9202" s="1" t="str">
        <f>"DD2024100644465"</f>
        <v>DD2024100644465</v>
      </c>
      <c r="D9202" s="1" t="str">
        <f>"CK2024100640780"</f>
        <v>CK2024100640780</v>
      </c>
      <c r="E9202" s="1" t="str">
        <f>"6917863691793169866"</f>
        <v>6917863691793169866</v>
      </c>
      <c r="F9202" s="1" t="str">
        <f t="shared" si="2568"/>
        <v>花都四部-凤凰仓</v>
      </c>
      <c r="G9202" s="1" t="str">
        <f t="shared" si="2558"/>
        <v>卡卡杜个人护理店（抖店）</v>
      </c>
      <c r="H9202" s="1" t="str">
        <f t="shared" si="2569"/>
        <v>正常订单</v>
      </c>
      <c r="I9202" s="1" t="str">
        <f t="shared" si="2570"/>
        <v>已发货</v>
      </c>
      <c r="J9202" s="1" t="str">
        <f t="shared" si="2566"/>
        <v>2</v>
      </c>
      <c r="K9202" s="1">
        <v>1</v>
      </c>
      <c r="L9202" s="1" t="s">
        <v>18</v>
      </c>
      <c r="M9202" s="1" t="str">
        <f>"广东省 中山市 中山市 横栏镇"</f>
        <v>广东省 中山市 中山市 横栏镇</v>
      </c>
      <c r="N9202" s="1" t="str">
        <f t="shared" si="2563"/>
        <v>凡华云仓-韵达-抖音</v>
      </c>
      <c r="O9202" s="5">
        <v>320158396674426</v>
      </c>
      <c r="P9202" s="6">
        <v>0.33</v>
      </c>
      <c r="Q9202" s="11">
        <v>2.2999999999999998</v>
      </c>
      <c r="R9202" s="11"/>
      <c r="S9202" s="11"/>
      <c r="T9202" s="11"/>
      <c r="U9202" s="11">
        <f t="shared" si="2561"/>
        <v>2.2999999999999998</v>
      </c>
      <c r="W9202">
        <v>2.5</v>
      </c>
      <c r="X9202" s="1" t="s">
        <v>18</v>
      </c>
    </row>
    <row r="9203" spans="1:24" x14ac:dyDescent="0.25">
      <c r="A9203" s="1" t="str">
        <f t="shared" si="2567"/>
        <v>卡卡杜-凤凰仓</v>
      </c>
      <c r="B9203" s="1" t="str">
        <f>"CK2024100614240"</f>
        <v>CK2024100614240</v>
      </c>
      <c r="C9203" s="1" t="str">
        <f>"DD2024100644463"</f>
        <v>DD2024100644463</v>
      </c>
      <c r="D9203" s="1" t="str">
        <f>"CK2024100640779"</f>
        <v>CK2024100640779</v>
      </c>
      <c r="E9203" s="1" t="str">
        <f>"6917863968631455284"</f>
        <v>6917863968631455284</v>
      </c>
      <c r="F9203" s="1" t="str">
        <f t="shared" si="2568"/>
        <v>花都四部-凤凰仓</v>
      </c>
      <c r="G9203" s="1" t="str">
        <f t="shared" si="2558"/>
        <v>卡卡杜个人护理店（抖店）</v>
      </c>
      <c r="H9203" s="1" t="str">
        <f t="shared" si="2569"/>
        <v>正常订单</v>
      </c>
      <c r="I9203" s="1" t="str">
        <f t="shared" si="2570"/>
        <v>已发货</v>
      </c>
      <c r="J9203" s="1" t="str">
        <f t="shared" si="2566"/>
        <v>2</v>
      </c>
      <c r="K9203" s="1">
        <v>1</v>
      </c>
      <c r="L9203" s="1" t="s">
        <v>27</v>
      </c>
      <c r="M9203" s="1" t="str">
        <f>"贵州省 黔南布依族苗族自治州 三都水族自治县 三合街道"</f>
        <v>贵州省 黔南布依族苗族自治州 三都水族自治县 三合街道</v>
      </c>
      <c r="N9203" s="1" t="str">
        <f t="shared" si="2563"/>
        <v>凡华云仓-韵达-抖音</v>
      </c>
      <c r="O9203" s="5">
        <v>320158397583941</v>
      </c>
      <c r="P9203" s="6">
        <v>0.33</v>
      </c>
      <c r="Q9203" s="11">
        <v>2.2999999999999998</v>
      </c>
      <c r="R9203" s="11"/>
      <c r="S9203" s="11"/>
      <c r="T9203" s="11"/>
      <c r="U9203" s="11">
        <f t="shared" si="2561"/>
        <v>2.2999999999999998</v>
      </c>
      <c r="W9203">
        <v>2.5</v>
      </c>
      <c r="X9203" s="1" t="s">
        <v>27</v>
      </c>
    </row>
    <row r="9204" spans="1:24" x14ac:dyDescent="0.25">
      <c r="A9204" s="1" t="str">
        <f t="shared" si="2567"/>
        <v>卡卡杜-凤凰仓</v>
      </c>
      <c r="B9204" s="1" t="str">
        <f>"CK2024100614239"</f>
        <v>CK2024100614239</v>
      </c>
      <c r="C9204" s="1" t="str">
        <f>"DD2024100644462"</f>
        <v>DD2024100644462</v>
      </c>
      <c r="D9204" s="1" t="str">
        <f>"CK2024100640778"</f>
        <v>CK2024100640778</v>
      </c>
      <c r="E9204" s="1" t="str">
        <f>"6917866042908638834"</f>
        <v>6917866042908638834</v>
      </c>
      <c r="F9204" s="1" t="str">
        <f t="shared" si="2568"/>
        <v>花都四部-凤凰仓</v>
      </c>
      <c r="G9204" s="1" t="str">
        <f t="shared" si="2558"/>
        <v>卡卡杜个人护理店（抖店）</v>
      </c>
      <c r="H9204" s="1" t="str">
        <f t="shared" si="2569"/>
        <v>正常订单</v>
      </c>
      <c r="I9204" s="1" t="str">
        <f t="shared" si="2570"/>
        <v>已发货</v>
      </c>
      <c r="J9204" s="1" t="str">
        <f t="shared" si="2566"/>
        <v>2</v>
      </c>
      <c r="K9204" s="1">
        <v>1</v>
      </c>
      <c r="L9204" s="1" t="s">
        <v>24</v>
      </c>
      <c r="M9204" s="1" t="str">
        <f>"福建省 龙岩市 漳平市 菁城街道"</f>
        <v>福建省 龙岩市 漳平市 菁城街道</v>
      </c>
      <c r="N9204" s="1" t="str">
        <f t="shared" si="2563"/>
        <v>凡华云仓-韵达-抖音</v>
      </c>
      <c r="O9204" s="5">
        <v>320158397583836</v>
      </c>
      <c r="P9204" s="6">
        <v>0.33</v>
      </c>
      <c r="Q9204" s="11">
        <v>2.2999999999999998</v>
      </c>
      <c r="R9204" s="11"/>
      <c r="S9204" s="11"/>
      <c r="T9204" s="11"/>
      <c r="U9204" s="11">
        <f t="shared" si="2561"/>
        <v>2.2999999999999998</v>
      </c>
      <c r="W9204">
        <v>2.5</v>
      </c>
      <c r="X9204" s="1" t="s">
        <v>24</v>
      </c>
    </row>
    <row r="9205" spans="1:24" x14ac:dyDescent="0.25">
      <c r="A9205" s="1" t="str">
        <f t="shared" si="2567"/>
        <v>卡卡杜-凤凰仓</v>
      </c>
      <c r="B9205" s="1" t="str">
        <f>"CK2024100614228"</f>
        <v>CK2024100614228</v>
      </c>
      <c r="C9205" s="1" t="str">
        <f>"DD2024100644451"</f>
        <v>DD2024100644451</v>
      </c>
      <c r="D9205" s="1" t="str">
        <f>"CK2024100640777"</f>
        <v>CK2024100640777</v>
      </c>
      <c r="E9205" s="1" t="str">
        <f>"6917870668420578707"</f>
        <v>6917870668420578707</v>
      </c>
      <c r="F9205" s="1" t="str">
        <f t="shared" si="2568"/>
        <v>花都四部-凤凰仓</v>
      </c>
      <c r="G9205" s="1" t="str">
        <f t="shared" si="2558"/>
        <v>卡卡杜个人护理店（抖店）</v>
      </c>
      <c r="H9205" s="1" t="str">
        <f t="shared" si="2569"/>
        <v>正常订单</v>
      </c>
      <c r="I9205" s="1" t="str">
        <f t="shared" si="2570"/>
        <v>已发货</v>
      </c>
      <c r="J9205" s="1" t="str">
        <f t="shared" si="2566"/>
        <v>2</v>
      </c>
      <c r="K9205" s="1">
        <v>1</v>
      </c>
      <c r="L9205" s="1" t="s">
        <v>20</v>
      </c>
      <c r="M9205" s="1" t="str">
        <f>"浙江省 金华市 义乌市 北苑街道"</f>
        <v>浙江省 金华市 义乌市 北苑街道</v>
      </c>
      <c r="N9205" s="1" t="str">
        <f t="shared" si="2563"/>
        <v>凡华云仓-韵达-抖音</v>
      </c>
      <c r="O9205" s="5">
        <v>320158397583733</v>
      </c>
      <c r="P9205" s="6">
        <v>0.33</v>
      </c>
      <c r="Q9205" s="11">
        <v>2.2999999999999998</v>
      </c>
      <c r="R9205" s="11"/>
      <c r="S9205" s="11"/>
      <c r="T9205" s="11"/>
      <c r="U9205" s="11">
        <f t="shared" si="2561"/>
        <v>2.2999999999999998</v>
      </c>
      <c r="W9205">
        <v>2.5</v>
      </c>
      <c r="X9205" s="1" t="s">
        <v>20</v>
      </c>
    </row>
    <row r="9206" spans="1:24" x14ac:dyDescent="0.25">
      <c r="A9206" s="1" t="str">
        <f t="shared" si="2567"/>
        <v>卡卡杜-凤凰仓</v>
      </c>
      <c r="B9206" s="1" t="str">
        <f>"CK2024100614226"</f>
        <v>CK2024100614226</v>
      </c>
      <c r="C9206" s="1" t="str">
        <f>"DD2024100644449"</f>
        <v>DD2024100644449</v>
      </c>
      <c r="D9206" s="1" t="str">
        <f>"CK2024100640776"</f>
        <v>CK2024100640776</v>
      </c>
      <c r="E9206" s="1" t="str">
        <f>"6917861518585331647"</f>
        <v>6917861518585331647</v>
      </c>
      <c r="F9206" s="1" t="str">
        <f t="shared" si="2568"/>
        <v>花都四部-凤凰仓</v>
      </c>
      <c r="G9206" s="1" t="str">
        <f t="shared" si="2558"/>
        <v>卡卡杜个人护理店（抖店）</v>
      </c>
      <c r="H9206" s="1" t="str">
        <f t="shared" si="2569"/>
        <v>正常订单</v>
      </c>
      <c r="I9206" s="1" t="str">
        <f t="shared" si="2570"/>
        <v>已发货</v>
      </c>
      <c r="J9206" s="1" t="str">
        <f t="shared" si="2566"/>
        <v>2</v>
      </c>
      <c r="K9206" s="1">
        <v>1</v>
      </c>
      <c r="L9206" s="1" t="s">
        <v>20</v>
      </c>
      <c r="M9206" s="1" t="str">
        <f>"浙江省 宁波市 海曙区 石碶街道"</f>
        <v>浙江省 宁波市 海曙区 石碶街道</v>
      </c>
      <c r="N9206" s="1" t="str">
        <f t="shared" si="2563"/>
        <v>凡华云仓-韵达-抖音</v>
      </c>
      <c r="O9206" s="5">
        <v>320158397583632</v>
      </c>
      <c r="P9206" s="6">
        <v>0.33</v>
      </c>
      <c r="Q9206" s="11">
        <v>2.2999999999999998</v>
      </c>
      <c r="R9206" s="11"/>
      <c r="S9206" s="11"/>
      <c r="T9206" s="11"/>
      <c r="U9206" s="11">
        <f t="shared" si="2561"/>
        <v>2.2999999999999998</v>
      </c>
      <c r="W9206">
        <v>2.5</v>
      </c>
      <c r="X9206" s="1" t="s">
        <v>20</v>
      </c>
    </row>
    <row r="9207" spans="1:24" x14ac:dyDescent="0.25">
      <c r="A9207" s="1" t="str">
        <f t="shared" si="2567"/>
        <v>卡卡杜-凤凰仓</v>
      </c>
      <c r="B9207" s="1" t="str">
        <f>"CK2024100614229"</f>
        <v>CK2024100614229</v>
      </c>
      <c r="C9207" s="1" t="str">
        <f>"DD2024100644452"</f>
        <v>DD2024100644452</v>
      </c>
      <c r="D9207" s="1" t="str">
        <f>"CK2024100640775"</f>
        <v>CK2024100640775</v>
      </c>
      <c r="E9207" s="1" t="str">
        <f>"6917861669180898793"</f>
        <v>6917861669180898793</v>
      </c>
      <c r="F9207" s="1" t="str">
        <f t="shared" si="2568"/>
        <v>花都四部-凤凰仓</v>
      </c>
      <c r="G9207" s="1" t="str">
        <f t="shared" si="2558"/>
        <v>卡卡杜个人护理店（抖店）</v>
      </c>
      <c r="H9207" s="1" t="str">
        <f t="shared" si="2569"/>
        <v>正常订单</v>
      </c>
      <c r="I9207" s="1" t="str">
        <f t="shared" si="2570"/>
        <v>已发货</v>
      </c>
      <c r="J9207" s="1" t="str">
        <f t="shared" si="2566"/>
        <v>2</v>
      </c>
      <c r="K9207" s="1">
        <v>1</v>
      </c>
      <c r="L9207" s="1" t="s">
        <v>20</v>
      </c>
      <c r="M9207" s="1" t="str">
        <f>"浙江省 绍兴市 柯桥区 柯岩街道"</f>
        <v>浙江省 绍兴市 柯桥区 柯岩街道</v>
      </c>
      <c r="N9207" s="1" t="str">
        <f t="shared" si="2563"/>
        <v>凡华云仓-韵达-抖音</v>
      </c>
      <c r="O9207" s="5">
        <v>320158397583533</v>
      </c>
      <c r="P9207" s="6">
        <v>0.33</v>
      </c>
      <c r="Q9207" s="11">
        <v>2.2999999999999998</v>
      </c>
      <c r="R9207" s="11"/>
      <c r="S9207" s="11"/>
      <c r="T9207" s="11"/>
      <c r="U9207" s="11">
        <f t="shared" si="2561"/>
        <v>2.2999999999999998</v>
      </c>
      <c r="W9207">
        <v>2.5</v>
      </c>
      <c r="X9207" s="1" t="s">
        <v>20</v>
      </c>
    </row>
    <row r="9208" spans="1:24" x14ac:dyDescent="0.25">
      <c r="A9208" s="1" t="str">
        <f t="shared" si="2567"/>
        <v>卡卡杜-凤凰仓</v>
      </c>
      <c r="B9208" s="1" t="str">
        <f>"CK2024100614230"</f>
        <v>CK2024100614230</v>
      </c>
      <c r="C9208" s="1" t="str">
        <f>"DD2024100644454"</f>
        <v>DD2024100644454</v>
      </c>
      <c r="D9208" s="1" t="str">
        <f>"CK2024100640774"</f>
        <v>CK2024100640774</v>
      </c>
      <c r="E9208" s="1" t="str">
        <f>"6917870886824935107"</f>
        <v>6917870886824935107</v>
      </c>
      <c r="F9208" s="1" t="str">
        <f t="shared" si="2568"/>
        <v>花都四部-凤凰仓</v>
      </c>
      <c r="G9208" s="1" t="str">
        <f t="shared" si="2558"/>
        <v>卡卡杜个人护理店（抖店）</v>
      </c>
      <c r="H9208" s="1" t="str">
        <f t="shared" si="2569"/>
        <v>正常订单</v>
      </c>
      <c r="I9208" s="1" t="str">
        <f t="shared" si="2570"/>
        <v>已发货</v>
      </c>
      <c r="J9208" s="1" t="str">
        <f t="shared" si="2566"/>
        <v>2</v>
      </c>
      <c r="K9208" s="1">
        <v>1</v>
      </c>
      <c r="L9208" s="1" t="s">
        <v>74</v>
      </c>
      <c r="M9208" s="1" t="str">
        <f>"上海 上海市 奉贤区 庄行镇"</f>
        <v>上海 上海市 奉贤区 庄行镇</v>
      </c>
      <c r="N9208" s="1" t="str">
        <f t="shared" si="2563"/>
        <v>凡华云仓-韵达-抖音</v>
      </c>
      <c r="O9208" s="5">
        <v>320158397583436</v>
      </c>
      <c r="P9208" s="6">
        <v>0.33</v>
      </c>
      <c r="Q9208" s="11">
        <v>2.2999999999999998</v>
      </c>
      <c r="R9208" s="11"/>
      <c r="S9208" s="11"/>
      <c r="T9208" s="11"/>
      <c r="U9208" s="11">
        <f t="shared" si="2561"/>
        <v>2.2999999999999998</v>
      </c>
      <c r="W9208">
        <v>2.5</v>
      </c>
      <c r="X9208" s="1" t="s">
        <v>74</v>
      </c>
    </row>
    <row r="9209" spans="1:24" x14ac:dyDescent="0.25">
      <c r="A9209" s="1" t="str">
        <f t="shared" si="2567"/>
        <v>卡卡杜-凤凰仓</v>
      </c>
      <c r="B9209" s="1" t="str">
        <f>"CK2024100614274"</f>
        <v>CK2024100614274</v>
      </c>
      <c r="C9209" s="1" t="str">
        <f>"DD2024100644498"</f>
        <v>DD2024100644498</v>
      </c>
      <c r="D9209" s="1" t="str">
        <f>"CK2024100640773"</f>
        <v>CK2024100640773</v>
      </c>
      <c r="E9209" s="1" t="str">
        <f>"6917871250084822449"</f>
        <v>6917871250084822449</v>
      </c>
      <c r="F9209" s="1" t="str">
        <f t="shared" si="2568"/>
        <v>花都四部-凤凰仓</v>
      </c>
      <c r="G9209" s="1" t="str">
        <f t="shared" si="2558"/>
        <v>卡卡杜个人护理店（抖店）</v>
      </c>
      <c r="H9209" s="1" t="str">
        <f t="shared" si="2569"/>
        <v>正常订单</v>
      </c>
      <c r="I9209" s="1" t="str">
        <f t="shared" si="2570"/>
        <v>已发货</v>
      </c>
      <c r="J9209" s="1" t="str">
        <f t="shared" si="2566"/>
        <v>2</v>
      </c>
      <c r="K9209" s="1">
        <v>1</v>
      </c>
      <c r="L9209" s="1" t="s">
        <v>13</v>
      </c>
      <c r="M9209" s="1" t="str">
        <f>"江苏省 连云港市 赣榆区 青口镇"</f>
        <v>江苏省 连云港市 赣榆区 青口镇</v>
      </c>
      <c r="N9209" s="1" t="str">
        <f t="shared" si="2563"/>
        <v>凡华云仓-韵达-抖音</v>
      </c>
      <c r="O9209" s="5">
        <v>320158397583341</v>
      </c>
      <c r="P9209" s="6">
        <v>0.33</v>
      </c>
      <c r="Q9209" s="11">
        <v>2.2999999999999998</v>
      </c>
      <c r="R9209" s="11"/>
      <c r="S9209" s="11"/>
      <c r="T9209" s="11"/>
      <c r="U9209" s="11">
        <f t="shared" si="2561"/>
        <v>2.2999999999999998</v>
      </c>
      <c r="W9209">
        <v>2.5</v>
      </c>
      <c r="X9209" s="1" t="s">
        <v>13</v>
      </c>
    </row>
    <row r="9210" spans="1:24" x14ac:dyDescent="0.25">
      <c r="A9210" s="1" t="str">
        <f t="shared" si="2567"/>
        <v>卡卡杜-凤凰仓</v>
      </c>
      <c r="B9210" s="1" t="str">
        <f>"CK2024100614276"</f>
        <v>CK2024100614276</v>
      </c>
      <c r="C9210" s="1" t="str">
        <f>"DD2024100644499"</f>
        <v>DD2024100644499</v>
      </c>
      <c r="D9210" s="1" t="str">
        <f>"CK2024100640772"</f>
        <v>CK2024100640772</v>
      </c>
      <c r="E9210" s="1" t="str">
        <f>"6917861612495928690"</f>
        <v>6917861612495928690</v>
      </c>
      <c r="F9210" s="1" t="str">
        <f t="shared" si="2568"/>
        <v>花都四部-凤凰仓</v>
      </c>
      <c r="G9210" s="1" t="str">
        <f t="shared" si="2558"/>
        <v>卡卡杜个人护理店（抖店）</v>
      </c>
      <c r="H9210" s="1" t="str">
        <f t="shared" si="2569"/>
        <v>正常订单</v>
      </c>
      <c r="I9210" s="1" t="str">
        <f t="shared" si="2570"/>
        <v>已发货</v>
      </c>
      <c r="J9210" s="1" t="str">
        <f t="shared" si="2566"/>
        <v>2</v>
      </c>
      <c r="K9210" s="1">
        <v>1</v>
      </c>
      <c r="L9210" s="1" t="s">
        <v>18</v>
      </c>
      <c r="M9210" s="1" t="str">
        <f>"广东省 佛山市 顺德区 龙江镇"</f>
        <v>广东省 佛山市 顺德区 龙江镇</v>
      </c>
      <c r="N9210" s="1" t="str">
        <f t="shared" si="2563"/>
        <v>凡华云仓-韵达-抖音</v>
      </c>
      <c r="O9210" s="5">
        <v>320158397583248</v>
      </c>
      <c r="P9210" s="6">
        <v>0.33</v>
      </c>
      <c r="Q9210" s="11">
        <v>2.2999999999999998</v>
      </c>
      <c r="R9210" s="11"/>
      <c r="S9210" s="11"/>
      <c r="T9210" s="11"/>
      <c r="U9210" s="11">
        <f t="shared" si="2561"/>
        <v>2.2999999999999998</v>
      </c>
      <c r="W9210">
        <v>2.5</v>
      </c>
      <c r="X9210" s="1" t="s">
        <v>18</v>
      </c>
    </row>
    <row r="9211" spans="1:24" x14ac:dyDescent="0.25">
      <c r="A9211" s="1" t="str">
        <f t="shared" si="2567"/>
        <v>卡卡杜-凤凰仓</v>
      </c>
      <c r="B9211" s="1" t="str">
        <f>"CK2024100614282"</f>
        <v>CK2024100614282</v>
      </c>
      <c r="C9211" s="1" t="str">
        <f>"DD2024100644505"</f>
        <v>DD2024100644505</v>
      </c>
      <c r="D9211" s="1" t="str">
        <f>"CK2024100640771"</f>
        <v>CK2024100640771</v>
      </c>
      <c r="E9211" s="1" t="str">
        <f>"6917870900839480787"</f>
        <v>6917870900839480787</v>
      </c>
      <c r="F9211" s="1" t="str">
        <f t="shared" si="2568"/>
        <v>花都四部-凤凰仓</v>
      </c>
      <c r="G9211" s="1" t="str">
        <f t="shared" ref="G9211:G9274" si="2571">"卡卡杜个人护理店（抖店）"</f>
        <v>卡卡杜个人护理店（抖店）</v>
      </c>
      <c r="H9211" s="1" t="str">
        <f t="shared" si="2569"/>
        <v>正常订单</v>
      </c>
      <c r="I9211" s="1" t="str">
        <f t="shared" si="2570"/>
        <v>已发货</v>
      </c>
      <c r="J9211" s="1" t="str">
        <f t="shared" si="2566"/>
        <v>2</v>
      </c>
      <c r="K9211" s="1">
        <v>1</v>
      </c>
      <c r="L9211" s="1" t="s">
        <v>66</v>
      </c>
      <c r="M9211" s="1" t="str">
        <f>"内蒙古自治区 阿拉善盟 额济纳旗 达来呼布镇"</f>
        <v>内蒙古自治区 阿拉善盟 额济纳旗 达来呼布镇</v>
      </c>
      <c r="N9211" s="1" t="str">
        <f t="shared" si="2563"/>
        <v>凡华云仓-韵达-抖音</v>
      </c>
      <c r="O9211" s="5">
        <v>320158397583157</v>
      </c>
      <c r="P9211" s="6">
        <v>0.33</v>
      </c>
      <c r="Q9211" s="11">
        <v>2.2999999999999998</v>
      </c>
      <c r="R9211" s="11"/>
      <c r="S9211" s="11"/>
      <c r="T9211" s="11"/>
      <c r="U9211" s="11">
        <f t="shared" si="2561"/>
        <v>2.2999999999999998</v>
      </c>
      <c r="W9211">
        <v>2.5</v>
      </c>
      <c r="X9211" s="1" t="s">
        <v>66</v>
      </c>
    </row>
    <row r="9212" spans="1:24" x14ac:dyDescent="0.25">
      <c r="A9212" s="1" t="str">
        <f t="shared" si="2567"/>
        <v>卡卡杜-凤凰仓</v>
      </c>
      <c r="B9212" s="1" t="str">
        <f>"CK2024100614277"</f>
        <v>CK2024100614277</v>
      </c>
      <c r="C9212" s="1" t="str">
        <f>"DD2024100644500"</f>
        <v>DD2024100644500</v>
      </c>
      <c r="D9212" s="1" t="str">
        <f>"CK2024100640770"</f>
        <v>CK2024100640770</v>
      </c>
      <c r="E9212" s="1" t="str">
        <f>"6917861393423760869"</f>
        <v>6917861393423760869</v>
      </c>
      <c r="F9212" s="1" t="str">
        <f t="shared" si="2568"/>
        <v>花都四部-凤凰仓</v>
      </c>
      <c r="G9212" s="1" t="str">
        <f t="shared" si="2571"/>
        <v>卡卡杜个人护理店（抖店）</v>
      </c>
      <c r="H9212" s="1" t="str">
        <f t="shared" si="2569"/>
        <v>正常订单</v>
      </c>
      <c r="I9212" s="1" t="str">
        <f t="shared" si="2570"/>
        <v>已发货</v>
      </c>
      <c r="J9212" s="1" t="str">
        <f t="shared" si="2566"/>
        <v>2</v>
      </c>
      <c r="K9212" s="1">
        <v>1</v>
      </c>
      <c r="L9212" s="1" t="s">
        <v>60</v>
      </c>
      <c r="M9212" s="1" t="str">
        <f>"云南省 保山市 龙陵县 龙山镇"</f>
        <v>云南省 保山市 龙陵县 龙山镇</v>
      </c>
      <c r="N9212" s="1" t="str">
        <f t="shared" si="2563"/>
        <v>凡华云仓-韵达-抖音</v>
      </c>
      <c r="O9212" s="5">
        <v>320158397583068</v>
      </c>
      <c r="P9212" s="6">
        <v>0.33</v>
      </c>
      <c r="Q9212" s="11">
        <v>2.2999999999999998</v>
      </c>
      <c r="R9212" s="11"/>
      <c r="S9212" s="11"/>
      <c r="T9212" s="11"/>
      <c r="U9212" s="11">
        <f t="shared" si="2561"/>
        <v>2.2999999999999998</v>
      </c>
      <c r="W9212">
        <v>2.5</v>
      </c>
      <c r="X9212" s="1" t="s">
        <v>60</v>
      </c>
    </row>
    <row r="9213" spans="1:24" x14ac:dyDescent="0.25">
      <c r="A9213" s="1" t="str">
        <f t="shared" si="2567"/>
        <v>卡卡杜-凤凰仓</v>
      </c>
      <c r="B9213" s="1" t="str">
        <f>"CK2024100614261"</f>
        <v>CK2024100614261</v>
      </c>
      <c r="C9213" s="1" t="str">
        <f>"DD2024100644484"</f>
        <v>DD2024100644484</v>
      </c>
      <c r="D9213" s="1" t="str">
        <f>"CK2024100640769"</f>
        <v>CK2024100640769</v>
      </c>
      <c r="E9213" s="1" t="str">
        <f>"6917861606819003977"</f>
        <v>6917861606819003977</v>
      </c>
      <c r="F9213" s="1" t="str">
        <f t="shared" si="2568"/>
        <v>花都四部-凤凰仓</v>
      </c>
      <c r="G9213" s="1" t="str">
        <f t="shared" si="2571"/>
        <v>卡卡杜个人护理店（抖店）</v>
      </c>
      <c r="H9213" s="1" t="str">
        <f t="shared" si="2569"/>
        <v>正常订单</v>
      </c>
      <c r="I9213" s="1" t="str">
        <f t="shared" si="2570"/>
        <v>已发货</v>
      </c>
      <c r="J9213" s="1" t="str">
        <f t="shared" si="2566"/>
        <v>2</v>
      </c>
      <c r="K9213" s="1">
        <v>1</v>
      </c>
      <c r="L9213" s="1" t="s">
        <v>96</v>
      </c>
      <c r="M9213" s="1" t="str">
        <f>"广西壮族自治区 玉林市 玉州区 名山街道"</f>
        <v>广西壮族自治区 玉林市 玉州区 名山街道</v>
      </c>
      <c r="N9213" s="1" t="str">
        <f t="shared" si="2563"/>
        <v>凡华云仓-韵达-抖音</v>
      </c>
      <c r="O9213" s="5">
        <v>320158406100072</v>
      </c>
      <c r="P9213" s="6">
        <v>0.33</v>
      </c>
      <c r="Q9213" s="11">
        <v>2.2999999999999998</v>
      </c>
      <c r="R9213" s="11"/>
      <c r="S9213" s="11"/>
      <c r="T9213" s="11"/>
      <c r="U9213" s="11">
        <f t="shared" si="2561"/>
        <v>2.2999999999999998</v>
      </c>
      <c r="W9213">
        <v>2.5</v>
      </c>
      <c r="X9213" s="1" t="s">
        <v>96</v>
      </c>
    </row>
    <row r="9214" spans="1:24" x14ac:dyDescent="0.25">
      <c r="A9214" s="1" t="str">
        <f t="shared" si="2567"/>
        <v>卡卡杜-凤凰仓</v>
      </c>
      <c r="B9214" s="1" t="str">
        <f>"CK20241007146"</f>
        <v>CK20241007146</v>
      </c>
      <c r="C9214" s="1" t="str">
        <f>"DD202410079089"</f>
        <v>DD202410079089</v>
      </c>
      <c r="D9214" s="1" t="str">
        <f>"CK2024100723425"</f>
        <v>CK2024100723425</v>
      </c>
      <c r="E9214" s="1" t="str">
        <f>"6917875507156385310"</f>
        <v>6917875507156385310</v>
      </c>
      <c r="F9214" s="1" t="str">
        <f t="shared" si="2568"/>
        <v>花都四部-凤凰仓</v>
      </c>
      <c r="G9214" s="1" t="str">
        <f t="shared" si="2571"/>
        <v>卡卡杜个人护理店（抖店）</v>
      </c>
      <c r="H9214" s="1" t="str">
        <f t="shared" si="2569"/>
        <v>正常订单</v>
      </c>
      <c r="I9214" s="1" t="str">
        <f t="shared" si="2570"/>
        <v>已发货</v>
      </c>
      <c r="J9214" s="1" t="str">
        <f>"4"</f>
        <v>4</v>
      </c>
      <c r="K9214" s="1">
        <v>1</v>
      </c>
      <c r="L9214" s="1" t="s">
        <v>94</v>
      </c>
      <c r="M9214" s="1" t="str">
        <f>"湖南省 张家界市 永定区 官黎坪街道"</f>
        <v>湖南省 张家界市 永定区 官黎坪街道</v>
      </c>
      <c r="N9214" s="1" t="str">
        <f t="shared" si="2563"/>
        <v>凡华云仓-韵达-抖音</v>
      </c>
      <c r="O9214" s="5">
        <v>320159437248846</v>
      </c>
      <c r="P9214" s="6">
        <v>0.57999999999999996</v>
      </c>
      <c r="Q9214" s="11">
        <f>CEILING(P9214-0.5,0.1)*10*0.15+2.3</f>
        <v>2.4499999999999997</v>
      </c>
      <c r="R9214" s="11"/>
      <c r="S9214" s="11"/>
      <c r="T9214" s="11"/>
      <c r="U9214" s="11">
        <f t="shared" si="2561"/>
        <v>2.4499999999999997</v>
      </c>
      <c r="V9214" t="s">
        <v>15</v>
      </c>
      <c r="W9214">
        <v>2.4500000000000002</v>
      </c>
      <c r="X9214" s="1" t="s">
        <v>94</v>
      </c>
    </row>
    <row r="9215" spans="1:24" x14ac:dyDescent="0.25">
      <c r="A9215" s="1" t="str">
        <f t="shared" si="2567"/>
        <v>卡卡杜-凤凰仓</v>
      </c>
      <c r="B9215" s="1" t="str">
        <f>"CK2024100614257"</f>
        <v>CK2024100614257</v>
      </c>
      <c r="C9215" s="1" t="str">
        <f>"DD2024100644480"</f>
        <v>DD2024100644480</v>
      </c>
      <c r="D9215" s="1" t="str">
        <f>"CK2024100640767"</f>
        <v>CK2024100640767</v>
      </c>
      <c r="E9215" s="1" t="str">
        <f>"6917866301822172868"</f>
        <v>6917866301822172868</v>
      </c>
      <c r="F9215" s="1" t="str">
        <f t="shared" si="2568"/>
        <v>花都四部-凤凰仓</v>
      </c>
      <c r="G9215" s="1" t="str">
        <f t="shared" si="2571"/>
        <v>卡卡杜个人护理店（抖店）</v>
      </c>
      <c r="H9215" s="1" t="str">
        <f t="shared" si="2569"/>
        <v>正常订单</v>
      </c>
      <c r="I9215" s="1" t="str">
        <f t="shared" si="2570"/>
        <v>已发货</v>
      </c>
      <c r="J9215" s="1" t="str">
        <f t="shared" ref="J9215:J9252" si="2572">"2"</f>
        <v>2</v>
      </c>
      <c r="K9215" s="1">
        <v>1</v>
      </c>
      <c r="L9215" s="1" t="s">
        <v>32</v>
      </c>
      <c r="M9215" s="1" t="str">
        <f>"陕西省 榆林市 定边县 定边街道"</f>
        <v>陕西省 榆林市 定边县 定边街道</v>
      </c>
      <c r="N9215" s="1" t="str">
        <f t="shared" si="2563"/>
        <v>凡华云仓-韵达-抖音</v>
      </c>
      <c r="O9215" s="5">
        <v>320158406099897</v>
      </c>
      <c r="P9215" s="6">
        <v>0.33</v>
      </c>
      <c r="Q9215" s="11">
        <v>2.2999999999999998</v>
      </c>
      <c r="R9215" s="11"/>
      <c r="S9215" s="11"/>
      <c r="T9215" s="11"/>
      <c r="U9215" s="11">
        <f t="shared" si="2561"/>
        <v>2.2999999999999998</v>
      </c>
      <c r="W9215">
        <v>2.5</v>
      </c>
      <c r="X9215" s="1" t="s">
        <v>32</v>
      </c>
    </row>
    <row r="9216" spans="1:24" x14ac:dyDescent="0.25">
      <c r="A9216" s="1" t="str">
        <f t="shared" si="2567"/>
        <v>卡卡杜-凤凰仓</v>
      </c>
      <c r="B9216" s="1" t="str">
        <f>"CK2024100614263"</f>
        <v>CK2024100614263</v>
      </c>
      <c r="C9216" s="1" t="str">
        <f>"DD2024100644486"</f>
        <v>DD2024100644486</v>
      </c>
      <c r="D9216" s="1" t="str">
        <f>"CK2024100640766"</f>
        <v>CK2024100640766</v>
      </c>
      <c r="E9216" s="1" t="str">
        <f>"6917866190220459017"</f>
        <v>6917866190220459017</v>
      </c>
      <c r="F9216" s="1" t="str">
        <f t="shared" si="2568"/>
        <v>花都四部-凤凰仓</v>
      </c>
      <c r="G9216" s="1" t="str">
        <f t="shared" si="2571"/>
        <v>卡卡杜个人护理店（抖店）</v>
      </c>
      <c r="H9216" s="1" t="str">
        <f t="shared" si="2569"/>
        <v>正常订单</v>
      </c>
      <c r="I9216" s="1" t="str">
        <f t="shared" si="2570"/>
        <v>已发货</v>
      </c>
      <c r="J9216" s="1" t="str">
        <f t="shared" si="2572"/>
        <v>2</v>
      </c>
      <c r="K9216" s="1">
        <v>1</v>
      </c>
      <c r="L9216" s="1" t="s">
        <v>30</v>
      </c>
      <c r="M9216" s="1" t="str">
        <f>"山东省 济宁市 梁山县 小安山镇"</f>
        <v>山东省 济宁市 梁山县 小安山镇</v>
      </c>
      <c r="N9216" s="1" t="str">
        <f t="shared" si="2563"/>
        <v>凡华云仓-韵达-抖音</v>
      </c>
      <c r="O9216" s="5">
        <v>320158406099794</v>
      </c>
      <c r="P9216" s="6">
        <v>0.33</v>
      </c>
      <c r="Q9216" s="11">
        <v>2.2999999999999998</v>
      </c>
      <c r="R9216" s="11"/>
      <c r="S9216" s="11"/>
      <c r="T9216" s="11"/>
      <c r="U9216" s="11">
        <f t="shared" si="2561"/>
        <v>2.2999999999999998</v>
      </c>
      <c r="W9216">
        <v>2.5</v>
      </c>
      <c r="X9216" s="1" t="s">
        <v>30</v>
      </c>
    </row>
    <row r="9217" spans="1:24" x14ac:dyDescent="0.25">
      <c r="A9217" s="1" t="str">
        <f t="shared" si="2567"/>
        <v>卡卡杜-凤凰仓</v>
      </c>
      <c r="B9217" s="1" t="str">
        <f>"CK2024100614235"</f>
        <v>CK2024100614235</v>
      </c>
      <c r="C9217" s="1" t="str">
        <f>"DD2024100644458"</f>
        <v>DD2024100644458</v>
      </c>
      <c r="D9217" s="1" t="str">
        <f>"CK2024100640795"</f>
        <v>CK2024100640795</v>
      </c>
      <c r="E9217" s="1" t="str">
        <f>"6917873595496627236"</f>
        <v>6917873595496627236</v>
      </c>
      <c r="F9217" s="1" t="str">
        <f t="shared" si="2568"/>
        <v>花都四部-凤凰仓</v>
      </c>
      <c r="G9217" s="1" t="str">
        <f t="shared" si="2571"/>
        <v>卡卡杜个人护理店（抖店）</v>
      </c>
      <c r="H9217" s="1" t="str">
        <f t="shared" si="2569"/>
        <v>正常订单</v>
      </c>
      <c r="I9217" s="1" t="str">
        <f t="shared" si="2570"/>
        <v>已发货</v>
      </c>
      <c r="J9217" s="1" t="str">
        <f>"4"</f>
        <v>4</v>
      </c>
      <c r="K9217" s="1">
        <v>1</v>
      </c>
      <c r="L9217" s="1" t="s">
        <v>18</v>
      </c>
      <c r="M9217" s="1" t="str">
        <f>"广东省 云浮市 罗定市 罗城街道"</f>
        <v>广东省 云浮市 罗定市 罗城街道</v>
      </c>
      <c r="N9217" s="1" t="str">
        <f t="shared" si="2563"/>
        <v>凡华云仓-韵达-抖音</v>
      </c>
      <c r="O9217" s="5">
        <v>320158412145775</v>
      </c>
      <c r="P9217" s="6">
        <v>0.57999999999999996</v>
      </c>
      <c r="Q9217" s="11">
        <f>CEILING(P9217-0.5,0.1)*10*0.15+2.3</f>
        <v>2.4499999999999997</v>
      </c>
      <c r="R9217" s="11"/>
      <c r="S9217" s="11"/>
      <c r="T9217" s="11"/>
      <c r="U9217" s="11">
        <f t="shared" si="2561"/>
        <v>2.4499999999999997</v>
      </c>
      <c r="V9217" t="s">
        <v>15</v>
      </c>
      <c r="W9217">
        <v>2.4500000000000002</v>
      </c>
      <c r="X9217" s="1" t="s">
        <v>18</v>
      </c>
    </row>
    <row r="9218" spans="1:24" x14ac:dyDescent="0.25">
      <c r="A9218" s="1" t="str">
        <f t="shared" si="2567"/>
        <v>卡卡杜-凤凰仓</v>
      </c>
      <c r="B9218" s="1" t="str">
        <f>"CK2024100614225"</f>
        <v>CK2024100614225</v>
      </c>
      <c r="C9218" s="1" t="str">
        <f>"DD2024100644448"</f>
        <v>DD2024100644448</v>
      </c>
      <c r="D9218" s="1" t="str">
        <f>"CK2024100640764"</f>
        <v>CK2024100640764</v>
      </c>
      <c r="E9218" s="1" t="str">
        <f>"6917868527618588336"</f>
        <v>6917868527618588336</v>
      </c>
      <c r="F9218" s="1" t="str">
        <f t="shared" si="2568"/>
        <v>花都四部-凤凰仓</v>
      </c>
      <c r="G9218" s="1" t="str">
        <f t="shared" si="2571"/>
        <v>卡卡杜个人护理店（抖店）</v>
      </c>
      <c r="H9218" s="1" t="str">
        <f t="shared" si="2569"/>
        <v>正常订单</v>
      </c>
      <c r="I9218" s="1" t="str">
        <f t="shared" si="2570"/>
        <v>已发货</v>
      </c>
      <c r="J9218" s="1" t="str">
        <f t="shared" si="2572"/>
        <v>2</v>
      </c>
      <c r="K9218" s="1">
        <v>1</v>
      </c>
      <c r="L9218" s="1" t="s">
        <v>13</v>
      </c>
      <c r="M9218" s="1" t="str">
        <f>"江苏省 南京市 六合区 长芦街道"</f>
        <v>江苏省 南京市 六合区 长芦街道</v>
      </c>
      <c r="N9218" s="1" t="str">
        <f t="shared" si="2563"/>
        <v>凡华云仓-韵达-抖音</v>
      </c>
      <c r="O9218" s="5">
        <v>320158406099594</v>
      </c>
      <c r="P9218" s="6">
        <v>0.33</v>
      </c>
      <c r="Q9218" s="11">
        <v>2.2999999999999998</v>
      </c>
      <c r="R9218" s="11"/>
      <c r="S9218" s="11"/>
      <c r="T9218" s="11"/>
      <c r="U9218" s="11">
        <f t="shared" si="2561"/>
        <v>2.2999999999999998</v>
      </c>
      <c r="W9218">
        <v>2.5</v>
      </c>
      <c r="X9218" s="1" t="s">
        <v>13</v>
      </c>
    </row>
    <row r="9219" spans="1:24" x14ac:dyDescent="0.25">
      <c r="A9219" s="1" t="str">
        <f t="shared" si="2567"/>
        <v>卡卡杜-凤凰仓</v>
      </c>
      <c r="B9219" s="1" t="str">
        <f>"CK2024100614268"</f>
        <v>CK2024100614268</v>
      </c>
      <c r="C9219" s="1" t="str">
        <f>"DD2024100644492"</f>
        <v>DD2024100644492</v>
      </c>
      <c r="D9219" s="1" t="str">
        <f>"CK2024100640763"</f>
        <v>CK2024100640763</v>
      </c>
      <c r="E9219" s="1" t="str">
        <f>"6917861634707849096"</f>
        <v>6917861634707849096</v>
      </c>
      <c r="F9219" s="1" t="str">
        <f t="shared" si="2568"/>
        <v>花都四部-凤凰仓</v>
      </c>
      <c r="G9219" s="1" t="str">
        <f t="shared" si="2571"/>
        <v>卡卡杜个人护理店（抖店）</v>
      </c>
      <c r="H9219" s="1" t="str">
        <f t="shared" si="2569"/>
        <v>正常订单</v>
      </c>
      <c r="I9219" s="1" t="str">
        <f t="shared" si="2570"/>
        <v>已发货</v>
      </c>
      <c r="J9219" s="1" t="str">
        <f t="shared" si="2572"/>
        <v>2</v>
      </c>
      <c r="K9219" s="1">
        <v>1</v>
      </c>
      <c r="L9219" s="1" t="s">
        <v>13</v>
      </c>
      <c r="M9219" s="1" t="str">
        <f>"江苏省 宿迁市 沭阳县 李恒镇"</f>
        <v>江苏省 宿迁市 沭阳县 李恒镇</v>
      </c>
      <c r="N9219" s="1" t="str">
        <f t="shared" si="2563"/>
        <v>凡华云仓-韵达-抖音</v>
      </c>
      <c r="O9219" s="5">
        <v>320158406099497</v>
      </c>
      <c r="P9219" s="6">
        <v>0.33</v>
      </c>
      <c r="Q9219" s="11">
        <v>2.2999999999999998</v>
      </c>
      <c r="R9219" s="11"/>
      <c r="S9219" s="11"/>
      <c r="T9219" s="11"/>
      <c r="U9219" s="11">
        <f t="shared" ref="U9219:U9282" si="2573">T9219+S9219+R9219+Q9219</f>
        <v>2.2999999999999998</v>
      </c>
      <c r="W9219">
        <v>2.5</v>
      </c>
      <c r="X9219" s="1" t="s">
        <v>13</v>
      </c>
    </row>
    <row r="9220" spans="1:24" x14ac:dyDescent="0.25">
      <c r="A9220" s="1" t="str">
        <f t="shared" si="2567"/>
        <v>卡卡杜-凤凰仓</v>
      </c>
      <c r="B9220" s="1" t="str">
        <f>"CK2024100614267"</f>
        <v>CK2024100614267</v>
      </c>
      <c r="C9220" s="1" t="str">
        <f>"DD2024100644490"</f>
        <v>DD2024100644490</v>
      </c>
      <c r="D9220" s="1" t="str">
        <f>"CK2024100640762"</f>
        <v>CK2024100640762</v>
      </c>
      <c r="E9220" s="1" t="str">
        <f>"6917871140759371363"</f>
        <v>6917871140759371363</v>
      </c>
      <c r="F9220" s="1" t="str">
        <f t="shared" si="2568"/>
        <v>花都四部-凤凰仓</v>
      </c>
      <c r="G9220" s="1" t="str">
        <f t="shared" si="2571"/>
        <v>卡卡杜个人护理店（抖店）</v>
      </c>
      <c r="H9220" s="1" t="str">
        <f t="shared" si="2569"/>
        <v>正常订单</v>
      </c>
      <c r="I9220" s="1" t="str">
        <f t="shared" si="2570"/>
        <v>已发货</v>
      </c>
      <c r="J9220" s="1" t="str">
        <f t="shared" si="2572"/>
        <v>2</v>
      </c>
      <c r="K9220" s="1">
        <v>1</v>
      </c>
      <c r="L9220" s="1" t="s">
        <v>13</v>
      </c>
      <c r="M9220" s="1" t="str">
        <f>"江苏省 盐城市 盐都区 大冈镇"</f>
        <v>江苏省 盐城市 盐都区 大冈镇</v>
      </c>
      <c r="N9220" s="1" t="str">
        <f t="shared" si="2563"/>
        <v>凡华云仓-韵达-抖音</v>
      </c>
      <c r="O9220" s="5">
        <v>320158406099302</v>
      </c>
      <c r="P9220" s="6">
        <v>0.33</v>
      </c>
      <c r="Q9220" s="11">
        <v>2.2999999999999998</v>
      </c>
      <c r="R9220" s="11"/>
      <c r="S9220" s="11"/>
      <c r="T9220" s="11"/>
      <c r="U9220" s="11">
        <f t="shared" si="2573"/>
        <v>2.2999999999999998</v>
      </c>
      <c r="W9220">
        <v>2.5</v>
      </c>
      <c r="X9220" s="1" t="s">
        <v>13</v>
      </c>
    </row>
    <row r="9221" spans="1:24" x14ac:dyDescent="0.25">
      <c r="A9221" s="1" t="str">
        <f t="shared" si="2567"/>
        <v>卡卡杜-凤凰仓</v>
      </c>
      <c r="B9221" s="1" t="str">
        <f>"CK2024100614269"</f>
        <v>CK2024100614269</v>
      </c>
      <c r="C9221" s="1" t="str">
        <f>"DD2024100644491"</f>
        <v>DD2024100644491</v>
      </c>
      <c r="D9221" s="1" t="str">
        <f>"CK2024100640761"</f>
        <v>CK2024100640761</v>
      </c>
      <c r="E9221" s="1" t="str">
        <f>"6917861385452289201"</f>
        <v>6917861385452289201</v>
      </c>
      <c r="F9221" s="1" t="str">
        <f t="shared" si="2568"/>
        <v>花都四部-凤凰仓</v>
      </c>
      <c r="G9221" s="1" t="str">
        <f t="shared" si="2571"/>
        <v>卡卡杜个人护理店（抖店）</v>
      </c>
      <c r="H9221" s="1" t="str">
        <f t="shared" si="2569"/>
        <v>正常订单</v>
      </c>
      <c r="I9221" s="1" t="str">
        <f t="shared" si="2570"/>
        <v>已发货</v>
      </c>
      <c r="J9221" s="1" t="str">
        <f t="shared" si="2572"/>
        <v>2</v>
      </c>
      <c r="K9221" s="1">
        <v>1</v>
      </c>
      <c r="L9221" s="1" t="s">
        <v>60</v>
      </c>
      <c r="M9221" s="1" t="str">
        <f>"云南省 楚雄彝族自治州 南华县 龙川镇"</f>
        <v>云南省 楚雄彝族自治州 南华县 龙川镇</v>
      </c>
      <c r="N9221" s="1" t="str">
        <f t="shared" si="2563"/>
        <v>凡华云仓-韵达-抖音</v>
      </c>
      <c r="O9221" s="5">
        <v>320158406099209</v>
      </c>
      <c r="P9221" s="6">
        <v>0.33</v>
      </c>
      <c r="Q9221" s="11">
        <v>2.2999999999999998</v>
      </c>
      <c r="R9221" s="11"/>
      <c r="S9221" s="11"/>
      <c r="T9221" s="11"/>
      <c r="U9221" s="11">
        <f t="shared" si="2573"/>
        <v>2.2999999999999998</v>
      </c>
      <c r="W9221">
        <v>2.5</v>
      </c>
      <c r="X9221" s="1" t="s">
        <v>60</v>
      </c>
    </row>
    <row r="9222" spans="1:24" x14ac:dyDescent="0.25">
      <c r="A9222" s="1" t="str">
        <f t="shared" si="2567"/>
        <v>卡卡杜-凤凰仓</v>
      </c>
      <c r="B9222" s="1" t="str">
        <f>"CK2024100614260"</f>
        <v>CK2024100614260</v>
      </c>
      <c r="C9222" s="1" t="str">
        <f>"DD2024100644483"</f>
        <v>DD2024100644483</v>
      </c>
      <c r="D9222" s="1" t="str">
        <f>"CK2024100640760"</f>
        <v>CK2024100640760</v>
      </c>
      <c r="E9222" s="1" t="str">
        <f>"6917866120286141627"</f>
        <v>6917866120286141627</v>
      </c>
      <c r="F9222" s="1" t="str">
        <f t="shared" si="2568"/>
        <v>花都四部-凤凰仓</v>
      </c>
      <c r="G9222" s="1" t="str">
        <f t="shared" si="2571"/>
        <v>卡卡杜个人护理店（抖店）</v>
      </c>
      <c r="H9222" s="1" t="str">
        <f t="shared" si="2569"/>
        <v>正常订单</v>
      </c>
      <c r="I9222" s="1" t="str">
        <f t="shared" si="2570"/>
        <v>已发货</v>
      </c>
      <c r="J9222" s="1" t="str">
        <f t="shared" si="2572"/>
        <v>2</v>
      </c>
      <c r="K9222" s="1">
        <v>1</v>
      </c>
      <c r="L9222" s="1" t="s">
        <v>161</v>
      </c>
      <c r="M9222" s="1" t="str">
        <f>"四川省 凉山彝族自治州 西昌市 "</f>
        <v xml:space="preserve">四川省 凉山彝族自治州 西昌市 </v>
      </c>
      <c r="N9222" s="1" t="str">
        <f t="shared" si="2563"/>
        <v>凡华云仓-韵达-抖音</v>
      </c>
      <c r="O9222" s="5">
        <v>320158406099118</v>
      </c>
      <c r="P9222" s="6">
        <v>0.33</v>
      </c>
      <c r="Q9222" s="11">
        <v>2.2999999999999998</v>
      </c>
      <c r="R9222" s="11"/>
      <c r="S9222" s="11"/>
      <c r="T9222" s="11"/>
      <c r="U9222" s="11">
        <f t="shared" si="2573"/>
        <v>2.2999999999999998</v>
      </c>
      <c r="W9222">
        <v>2.5</v>
      </c>
      <c r="X9222" s="1" t="s">
        <v>161</v>
      </c>
    </row>
    <row r="9223" spans="1:24" x14ac:dyDescent="0.25">
      <c r="A9223" s="1" t="str">
        <f t="shared" si="2567"/>
        <v>卡卡杜-凤凰仓</v>
      </c>
      <c r="B9223" s="1" t="str">
        <f>"CK2024100614265"</f>
        <v>CK2024100614265</v>
      </c>
      <c r="C9223" s="1" t="str">
        <f>"DD2024100644488"</f>
        <v>DD2024100644488</v>
      </c>
      <c r="D9223" s="1" t="str">
        <f>"CK2024100640759"</f>
        <v>CK2024100640759</v>
      </c>
      <c r="E9223" s="1" t="str">
        <f>"6917866306723675684"</f>
        <v>6917866306723675684</v>
      </c>
      <c r="F9223" s="1" t="str">
        <f t="shared" si="2568"/>
        <v>花都四部-凤凰仓</v>
      </c>
      <c r="G9223" s="1" t="str">
        <f t="shared" si="2571"/>
        <v>卡卡杜个人护理店（抖店）</v>
      </c>
      <c r="H9223" s="1" t="str">
        <f t="shared" si="2569"/>
        <v>正常订单</v>
      </c>
      <c r="I9223" s="1" t="str">
        <f t="shared" si="2570"/>
        <v>已发货</v>
      </c>
      <c r="J9223" s="1" t="str">
        <f t="shared" si="2572"/>
        <v>2</v>
      </c>
      <c r="K9223" s="1">
        <v>1</v>
      </c>
      <c r="L9223" s="1" t="s">
        <v>20</v>
      </c>
      <c r="M9223" s="1" t="str">
        <f>"浙江省 杭州市 江干区 下沙街道"</f>
        <v>浙江省 杭州市 江干区 下沙街道</v>
      </c>
      <c r="N9223" s="1" t="str">
        <f t="shared" si="2563"/>
        <v>凡华云仓-韵达-抖音</v>
      </c>
      <c r="O9223" s="5">
        <v>320158392929283</v>
      </c>
      <c r="P9223" s="6">
        <v>0.33</v>
      </c>
      <c r="Q9223" s="11">
        <v>2.2999999999999998</v>
      </c>
      <c r="R9223" s="11"/>
      <c r="S9223" s="11"/>
      <c r="T9223" s="11"/>
      <c r="U9223" s="11">
        <f t="shared" si="2573"/>
        <v>2.2999999999999998</v>
      </c>
      <c r="W9223">
        <v>2.5</v>
      </c>
      <c r="X9223" s="1" t="s">
        <v>20</v>
      </c>
    </row>
    <row r="9224" spans="1:24" x14ac:dyDescent="0.25">
      <c r="A9224" s="1" t="str">
        <f t="shared" si="2567"/>
        <v>卡卡杜-凤凰仓</v>
      </c>
      <c r="B9224" s="1" t="str">
        <f>"CK2024100614259"</f>
        <v>CK2024100614259</v>
      </c>
      <c r="C9224" s="1" t="str">
        <f>"DD2024100644482"</f>
        <v>DD2024100644482</v>
      </c>
      <c r="D9224" s="1" t="str">
        <f>"CK2024100640758"</f>
        <v>CK2024100640758</v>
      </c>
      <c r="E9224" s="1" t="str">
        <f>"6917870688941342509"</f>
        <v>6917870688941342509</v>
      </c>
      <c r="F9224" s="1" t="str">
        <f t="shared" si="2568"/>
        <v>花都四部-凤凰仓</v>
      </c>
      <c r="G9224" s="1" t="str">
        <f t="shared" si="2571"/>
        <v>卡卡杜个人护理店（抖店）</v>
      </c>
      <c r="H9224" s="1" t="str">
        <f t="shared" si="2569"/>
        <v>正常订单</v>
      </c>
      <c r="I9224" s="1" t="str">
        <f t="shared" si="2570"/>
        <v>已发货</v>
      </c>
      <c r="J9224" s="1" t="str">
        <f t="shared" si="2572"/>
        <v>2</v>
      </c>
      <c r="K9224" s="1">
        <v>1</v>
      </c>
      <c r="L9224" s="1" t="s">
        <v>109</v>
      </c>
      <c r="M9224" s="1" t="str">
        <f>"山西省 大同市 平城区 新华街道"</f>
        <v>山西省 大同市 平城区 新华街道</v>
      </c>
      <c r="N9224" s="1" t="str">
        <f t="shared" si="2563"/>
        <v>凡华云仓-韵达-抖音</v>
      </c>
      <c r="O9224" s="5">
        <v>320158392929192</v>
      </c>
      <c r="P9224" s="6">
        <v>0.33</v>
      </c>
      <c r="Q9224" s="11">
        <v>2.2999999999999998</v>
      </c>
      <c r="R9224" s="11"/>
      <c r="S9224" s="11"/>
      <c r="T9224" s="11"/>
      <c r="U9224" s="11">
        <f t="shared" si="2573"/>
        <v>2.2999999999999998</v>
      </c>
      <c r="W9224">
        <v>2.5</v>
      </c>
      <c r="X9224" s="1" t="s">
        <v>109</v>
      </c>
    </row>
    <row r="9225" spans="1:24" x14ac:dyDescent="0.25">
      <c r="A9225" s="1" t="str">
        <f t="shared" si="2567"/>
        <v>卡卡杜-凤凰仓</v>
      </c>
      <c r="B9225" s="1" t="str">
        <f>"CK2024100614264"</f>
        <v>CK2024100614264</v>
      </c>
      <c r="C9225" s="1" t="str">
        <f>"DD2024100644487"</f>
        <v>DD2024100644487</v>
      </c>
      <c r="D9225" s="1" t="str">
        <f>"CK2024100640757"</f>
        <v>CK2024100640757</v>
      </c>
      <c r="E9225" s="1" t="str">
        <f>"6917868674967109442"</f>
        <v>6917868674967109442</v>
      </c>
      <c r="F9225" s="1" t="str">
        <f t="shared" si="2568"/>
        <v>花都四部-凤凰仓</v>
      </c>
      <c r="G9225" s="1" t="str">
        <f t="shared" si="2571"/>
        <v>卡卡杜个人护理店（抖店）</v>
      </c>
      <c r="H9225" s="1" t="str">
        <f t="shared" si="2569"/>
        <v>正常订单</v>
      </c>
      <c r="I9225" s="1" t="str">
        <f t="shared" si="2570"/>
        <v>已发货</v>
      </c>
      <c r="J9225" s="1" t="str">
        <f t="shared" si="2572"/>
        <v>2</v>
      </c>
      <c r="K9225" s="1">
        <v>1</v>
      </c>
      <c r="L9225" s="1" t="s">
        <v>32</v>
      </c>
      <c r="M9225" s="1" t="str">
        <f>"陕西省 西安市 雁塔区 漳浒寨街道"</f>
        <v>陕西省 西安市 雁塔区 漳浒寨街道</v>
      </c>
      <c r="N9225" s="1" t="str">
        <f t="shared" si="2563"/>
        <v>凡华云仓-韵达-抖音</v>
      </c>
      <c r="O9225" s="5">
        <v>320158392929003</v>
      </c>
      <c r="P9225" s="6">
        <v>0.33</v>
      </c>
      <c r="Q9225" s="11">
        <v>2.2999999999999998</v>
      </c>
      <c r="R9225" s="11"/>
      <c r="S9225" s="11"/>
      <c r="T9225" s="11"/>
      <c r="U9225" s="11">
        <f t="shared" si="2573"/>
        <v>2.2999999999999998</v>
      </c>
      <c r="W9225">
        <v>2.5</v>
      </c>
      <c r="X9225" s="1" t="s">
        <v>32</v>
      </c>
    </row>
    <row r="9226" spans="1:24" x14ac:dyDescent="0.25">
      <c r="A9226" s="1" t="str">
        <f t="shared" si="2567"/>
        <v>卡卡杜-凤凰仓</v>
      </c>
      <c r="B9226" s="1" t="str">
        <f>"CK2024100614272"</f>
        <v>CK2024100614272</v>
      </c>
      <c r="C9226" s="1" t="str">
        <f>"DD2024100644495"</f>
        <v>DD2024100644495</v>
      </c>
      <c r="D9226" s="1" t="str">
        <f>"CK2024100640756"</f>
        <v>CK2024100640756</v>
      </c>
      <c r="E9226" s="1" t="str">
        <f>"6917868175580560472"</f>
        <v>6917868175580560472</v>
      </c>
      <c r="F9226" s="1" t="str">
        <f t="shared" si="2568"/>
        <v>花都四部-凤凰仓</v>
      </c>
      <c r="G9226" s="1" t="str">
        <f t="shared" si="2571"/>
        <v>卡卡杜个人护理店（抖店）</v>
      </c>
      <c r="H9226" s="1" t="str">
        <f t="shared" si="2569"/>
        <v>正常订单</v>
      </c>
      <c r="I9226" s="1" t="str">
        <f t="shared" si="2570"/>
        <v>已发货</v>
      </c>
      <c r="J9226" s="1" t="str">
        <f t="shared" si="2572"/>
        <v>2</v>
      </c>
      <c r="K9226" s="1">
        <v>1</v>
      </c>
      <c r="L9226" s="1" t="s">
        <v>13</v>
      </c>
      <c r="M9226" s="1" t="str">
        <f>"江苏省 常州市 武进区 横林镇"</f>
        <v>江苏省 常州市 武进区 横林镇</v>
      </c>
      <c r="N9226" s="1" t="str">
        <f t="shared" si="2563"/>
        <v>凡华云仓-韵达-抖音</v>
      </c>
      <c r="O9226" s="5">
        <v>320158392928971</v>
      </c>
      <c r="P9226" s="6">
        <v>0.33</v>
      </c>
      <c r="Q9226" s="11">
        <v>2.2999999999999998</v>
      </c>
      <c r="R9226" s="11"/>
      <c r="S9226" s="11"/>
      <c r="T9226" s="11"/>
      <c r="U9226" s="11">
        <f t="shared" si="2573"/>
        <v>2.2999999999999998</v>
      </c>
      <c r="W9226">
        <v>2.5</v>
      </c>
      <c r="X9226" s="1" t="s">
        <v>13</v>
      </c>
    </row>
    <row r="9227" spans="1:24" x14ac:dyDescent="0.25">
      <c r="A9227" s="1" t="str">
        <f t="shared" si="2567"/>
        <v>卡卡杜-凤凰仓</v>
      </c>
      <c r="B9227" s="1" t="str">
        <f>"CK2024100614278"</f>
        <v>CK2024100614278</v>
      </c>
      <c r="C9227" s="1" t="str">
        <f>"DD2024100644501"</f>
        <v>DD2024100644501</v>
      </c>
      <c r="D9227" s="1" t="str">
        <f>"CK2024100640755"</f>
        <v>CK2024100640755</v>
      </c>
      <c r="E9227" s="1" t="str">
        <f>"6917868684099943473"</f>
        <v>6917868684099943473</v>
      </c>
      <c r="F9227" s="1" t="str">
        <f t="shared" si="2568"/>
        <v>花都四部-凤凰仓</v>
      </c>
      <c r="G9227" s="1" t="str">
        <f t="shared" si="2571"/>
        <v>卡卡杜个人护理店（抖店）</v>
      </c>
      <c r="H9227" s="1" t="str">
        <f t="shared" si="2569"/>
        <v>正常订单</v>
      </c>
      <c r="I9227" s="1" t="str">
        <f t="shared" si="2570"/>
        <v>已发货</v>
      </c>
      <c r="J9227" s="1" t="str">
        <f t="shared" si="2572"/>
        <v>2</v>
      </c>
      <c r="K9227" s="1">
        <v>1</v>
      </c>
      <c r="L9227" s="1" t="s">
        <v>36</v>
      </c>
      <c r="M9227" s="1" t="str">
        <f>"安徽省 滁州市 天长市 广陵街道"</f>
        <v>安徽省 滁州市 天长市 广陵街道</v>
      </c>
      <c r="N9227" s="1" t="str">
        <f t="shared" si="2563"/>
        <v>凡华云仓-韵达-抖音</v>
      </c>
      <c r="O9227" s="5">
        <v>320158392928866</v>
      </c>
      <c r="P9227" s="6">
        <v>0.33</v>
      </c>
      <c r="Q9227" s="11">
        <v>2.2999999999999998</v>
      </c>
      <c r="R9227" s="11"/>
      <c r="S9227" s="11"/>
      <c r="T9227" s="11"/>
      <c r="U9227" s="11">
        <f t="shared" si="2573"/>
        <v>2.2999999999999998</v>
      </c>
      <c r="W9227">
        <v>2.5</v>
      </c>
      <c r="X9227" s="1" t="s">
        <v>36</v>
      </c>
    </row>
    <row r="9228" spans="1:24" x14ac:dyDescent="0.25">
      <c r="A9228" s="1" t="str">
        <f t="shared" si="2567"/>
        <v>卡卡杜-凤凰仓</v>
      </c>
      <c r="B9228" s="1" t="str">
        <f>"CK2024100614280"</f>
        <v>CK2024100614280</v>
      </c>
      <c r="C9228" s="1" t="str">
        <f>"DD2024100644503"</f>
        <v>DD2024100644503</v>
      </c>
      <c r="D9228" s="1" t="str">
        <f>"CK2024100640754"</f>
        <v>CK2024100640754</v>
      </c>
      <c r="E9228" s="1" t="str">
        <f>"6917868081709481421"</f>
        <v>6917868081709481421</v>
      </c>
      <c r="F9228" s="1" t="str">
        <f t="shared" si="2568"/>
        <v>花都四部-凤凰仓</v>
      </c>
      <c r="G9228" s="1" t="str">
        <f t="shared" si="2571"/>
        <v>卡卡杜个人护理店（抖店）</v>
      </c>
      <c r="H9228" s="1" t="str">
        <f t="shared" si="2569"/>
        <v>正常订单</v>
      </c>
      <c r="I9228" s="1" t="str">
        <f t="shared" si="2570"/>
        <v>已发货</v>
      </c>
      <c r="J9228" s="1" t="str">
        <f t="shared" si="2572"/>
        <v>2</v>
      </c>
      <c r="K9228" s="1">
        <v>1</v>
      </c>
      <c r="L9228" s="1" t="s">
        <v>94</v>
      </c>
      <c r="M9228" s="1" t="str">
        <f>"湖南省 邵阳市 北塔区 状元洲街道"</f>
        <v>湖南省 邵阳市 北塔区 状元洲街道</v>
      </c>
      <c r="N9228" s="1" t="str">
        <f t="shared" si="2563"/>
        <v>凡华云仓-韵达-抖音</v>
      </c>
      <c r="O9228" s="5">
        <v>320158392928763</v>
      </c>
      <c r="P9228" s="6">
        <v>0.33</v>
      </c>
      <c r="Q9228" s="11">
        <v>2.2999999999999998</v>
      </c>
      <c r="R9228" s="11"/>
      <c r="S9228" s="11"/>
      <c r="T9228" s="11"/>
      <c r="U9228" s="11">
        <f t="shared" si="2573"/>
        <v>2.2999999999999998</v>
      </c>
      <c r="W9228">
        <v>2.5</v>
      </c>
      <c r="X9228" s="1" t="s">
        <v>94</v>
      </c>
    </row>
    <row r="9229" spans="1:24" x14ac:dyDescent="0.25">
      <c r="A9229" s="1" t="str">
        <f t="shared" si="2567"/>
        <v>卡卡杜-凤凰仓</v>
      </c>
      <c r="B9229" s="1" t="str">
        <f>"CK2024100614281"</f>
        <v>CK2024100614281</v>
      </c>
      <c r="C9229" s="1" t="str">
        <f>"DD2024100644504"</f>
        <v>DD2024100644504</v>
      </c>
      <c r="D9229" s="1" t="str">
        <f>"CK2024100640753"</f>
        <v>CK2024100640753</v>
      </c>
      <c r="E9229" s="1" t="str">
        <f>"6917861461192178919"</f>
        <v>6917861461192178919</v>
      </c>
      <c r="F9229" s="1" t="str">
        <f t="shared" si="2568"/>
        <v>花都四部-凤凰仓</v>
      </c>
      <c r="G9229" s="1" t="str">
        <f t="shared" si="2571"/>
        <v>卡卡杜个人护理店（抖店）</v>
      </c>
      <c r="H9229" s="1" t="str">
        <f t="shared" si="2569"/>
        <v>正常订单</v>
      </c>
      <c r="I9229" s="1" t="str">
        <f t="shared" si="2570"/>
        <v>已发货</v>
      </c>
      <c r="J9229" s="1" t="str">
        <f t="shared" si="2572"/>
        <v>2</v>
      </c>
      <c r="K9229" s="1">
        <v>1</v>
      </c>
      <c r="L9229" s="1" t="s">
        <v>22</v>
      </c>
      <c r="M9229" s="1" t="str">
        <f>"江西省 吉安市 吉州区 白塘街道"</f>
        <v>江西省 吉安市 吉州区 白塘街道</v>
      </c>
      <c r="N9229" s="1" t="str">
        <f t="shared" si="2563"/>
        <v>凡华云仓-韵达-抖音</v>
      </c>
      <c r="O9229" s="5">
        <v>320158392928662</v>
      </c>
      <c r="P9229" s="6">
        <v>0.33</v>
      </c>
      <c r="Q9229" s="11">
        <v>2.2999999999999998</v>
      </c>
      <c r="R9229" s="11"/>
      <c r="S9229" s="11"/>
      <c r="T9229" s="11"/>
      <c r="U9229" s="11">
        <f t="shared" si="2573"/>
        <v>2.2999999999999998</v>
      </c>
      <c r="W9229">
        <v>2.5</v>
      </c>
      <c r="X9229" s="1" t="s">
        <v>22</v>
      </c>
    </row>
    <row r="9230" spans="1:24" x14ac:dyDescent="0.25">
      <c r="A9230" s="1" t="str">
        <f t="shared" si="2567"/>
        <v>卡卡杜-凤凰仓</v>
      </c>
      <c r="B9230" s="1" t="str">
        <f>"CK2024100614283"</f>
        <v>CK2024100614283</v>
      </c>
      <c r="C9230" s="1" t="str">
        <f>"DD2024100644506"</f>
        <v>DD2024100644506</v>
      </c>
      <c r="D9230" s="1" t="str">
        <f>"CK2024100640752"</f>
        <v>CK2024100640752</v>
      </c>
      <c r="E9230" s="1" t="str">
        <f>"6917868594317459045"</f>
        <v>6917868594317459045</v>
      </c>
      <c r="F9230" s="1" t="str">
        <f t="shared" si="2568"/>
        <v>花都四部-凤凰仓</v>
      </c>
      <c r="G9230" s="1" t="str">
        <f t="shared" si="2571"/>
        <v>卡卡杜个人护理店（抖店）</v>
      </c>
      <c r="H9230" s="1" t="str">
        <f t="shared" si="2569"/>
        <v>正常订单</v>
      </c>
      <c r="I9230" s="1" t="str">
        <f t="shared" si="2570"/>
        <v>已发货</v>
      </c>
      <c r="J9230" s="1" t="str">
        <f t="shared" si="2572"/>
        <v>2</v>
      </c>
      <c r="K9230" s="1">
        <v>1</v>
      </c>
      <c r="L9230" s="1" t="s">
        <v>20</v>
      </c>
      <c r="M9230" s="1" t="str">
        <f>"浙江省 嘉兴市 秀洲区 高照街道"</f>
        <v>浙江省 嘉兴市 秀洲区 高照街道</v>
      </c>
      <c r="N9230" s="1" t="str">
        <f t="shared" si="2563"/>
        <v>凡华云仓-韵达-抖音</v>
      </c>
      <c r="O9230" s="5">
        <v>320158392928563</v>
      </c>
      <c r="P9230" s="6">
        <v>0.33</v>
      </c>
      <c r="Q9230" s="11">
        <v>2.2999999999999998</v>
      </c>
      <c r="R9230" s="11"/>
      <c r="S9230" s="11"/>
      <c r="T9230" s="11"/>
      <c r="U9230" s="11">
        <f t="shared" si="2573"/>
        <v>2.2999999999999998</v>
      </c>
      <c r="W9230">
        <v>2.5</v>
      </c>
      <c r="X9230" s="1" t="s">
        <v>20</v>
      </c>
    </row>
    <row r="9231" spans="1:24" x14ac:dyDescent="0.25">
      <c r="A9231" s="1" t="str">
        <f t="shared" si="2567"/>
        <v>卡卡杜-凤凰仓</v>
      </c>
      <c r="B9231" s="1" t="str">
        <f>"CK2024100614270"</f>
        <v>CK2024100614270</v>
      </c>
      <c r="C9231" s="1" t="str">
        <f>"DD2024100644493"</f>
        <v>DD2024100644493</v>
      </c>
      <c r="D9231" s="1" t="str">
        <f>"CK2024100640751"</f>
        <v>CK2024100640751</v>
      </c>
      <c r="E9231" s="1" t="str">
        <f>"6917866106659896534"</f>
        <v>6917866106659896534</v>
      </c>
      <c r="F9231" s="1" t="str">
        <f t="shared" si="2568"/>
        <v>花都四部-凤凰仓</v>
      </c>
      <c r="G9231" s="1" t="str">
        <f t="shared" si="2571"/>
        <v>卡卡杜个人护理店（抖店）</v>
      </c>
      <c r="H9231" s="1" t="str">
        <f t="shared" si="2569"/>
        <v>正常订单</v>
      </c>
      <c r="I9231" s="1" t="str">
        <f t="shared" si="2570"/>
        <v>已发货</v>
      </c>
      <c r="J9231" s="1" t="str">
        <f t="shared" si="2572"/>
        <v>2</v>
      </c>
      <c r="K9231" s="1">
        <v>1</v>
      </c>
      <c r="L9231" s="1" t="s">
        <v>13</v>
      </c>
      <c r="M9231" s="1" t="str">
        <f>"江苏省 盐城市 射阳县 县经济开发区"</f>
        <v>江苏省 盐城市 射阳县 县经济开发区</v>
      </c>
      <c r="N9231" s="1" t="str">
        <f t="shared" si="2563"/>
        <v>凡华云仓-韵达-抖音</v>
      </c>
      <c r="O9231" s="5">
        <v>320158392928466</v>
      </c>
      <c r="P9231" s="6">
        <v>0.33</v>
      </c>
      <c r="Q9231" s="11">
        <v>2.2999999999999998</v>
      </c>
      <c r="R9231" s="11"/>
      <c r="S9231" s="11"/>
      <c r="T9231" s="11"/>
      <c r="U9231" s="11">
        <f t="shared" si="2573"/>
        <v>2.2999999999999998</v>
      </c>
      <c r="W9231">
        <v>2.5</v>
      </c>
      <c r="X9231" s="1" t="s">
        <v>13</v>
      </c>
    </row>
    <row r="9232" spans="1:24" x14ac:dyDescent="0.25">
      <c r="A9232" s="1" t="str">
        <f t="shared" si="2567"/>
        <v>卡卡杜-凤凰仓</v>
      </c>
      <c r="B9232" s="1" t="str">
        <f>"CK2024100614284"</f>
        <v>CK2024100614284</v>
      </c>
      <c r="C9232" s="1" t="str">
        <f>"DD2024100644507"</f>
        <v>DD2024100644507</v>
      </c>
      <c r="D9232" s="1" t="str">
        <f>"CK2024100640750"</f>
        <v>CK2024100640750</v>
      </c>
      <c r="E9232" s="1" t="str">
        <f>"6917861386036870896"</f>
        <v>6917861386036870896</v>
      </c>
      <c r="F9232" s="1" t="str">
        <f t="shared" si="2568"/>
        <v>花都四部-凤凰仓</v>
      </c>
      <c r="G9232" s="1" t="str">
        <f t="shared" si="2571"/>
        <v>卡卡杜个人护理店（抖店）</v>
      </c>
      <c r="H9232" s="1" t="str">
        <f t="shared" si="2569"/>
        <v>正常订单</v>
      </c>
      <c r="I9232" s="1" t="str">
        <f t="shared" si="2570"/>
        <v>已发货</v>
      </c>
      <c r="J9232" s="1" t="str">
        <f t="shared" si="2572"/>
        <v>2</v>
      </c>
      <c r="K9232" s="1">
        <v>1</v>
      </c>
      <c r="L9232" s="1" t="s">
        <v>20</v>
      </c>
      <c r="M9232" s="1" t="str">
        <f>"浙江省 金华市 武义县 白洋街道"</f>
        <v>浙江省 金华市 武义县 白洋街道</v>
      </c>
      <c r="N9232" s="1" t="str">
        <f t="shared" si="2563"/>
        <v>凡华云仓-韵达-抖音</v>
      </c>
      <c r="O9232" s="5">
        <v>320158392928371</v>
      </c>
      <c r="P9232" s="6">
        <v>0.33</v>
      </c>
      <c r="Q9232" s="11">
        <v>2.2999999999999998</v>
      </c>
      <c r="R9232" s="11"/>
      <c r="S9232" s="11"/>
      <c r="T9232" s="11"/>
      <c r="U9232" s="11">
        <f t="shared" si="2573"/>
        <v>2.2999999999999998</v>
      </c>
      <c r="W9232">
        <v>2.5</v>
      </c>
      <c r="X9232" s="1" t="s">
        <v>20</v>
      </c>
    </row>
    <row r="9233" spans="1:24" x14ac:dyDescent="0.25">
      <c r="A9233" s="1" t="str">
        <f t="shared" si="2567"/>
        <v>卡卡杜-凤凰仓</v>
      </c>
      <c r="B9233" s="1" t="str">
        <f>"CK2024100614273"</f>
        <v>CK2024100614273</v>
      </c>
      <c r="C9233" s="1" t="str">
        <f>"DD2024100644496"</f>
        <v>DD2024100644496</v>
      </c>
      <c r="D9233" s="1" t="str">
        <f>"CK2024100640749"</f>
        <v>CK2024100640749</v>
      </c>
      <c r="E9233" s="1" t="str">
        <f>"6917863850650795834"</f>
        <v>6917863850650795834</v>
      </c>
      <c r="F9233" s="1" t="str">
        <f t="shared" si="2568"/>
        <v>花都四部-凤凰仓</v>
      </c>
      <c r="G9233" s="1" t="str">
        <f t="shared" si="2571"/>
        <v>卡卡杜个人护理店（抖店）</v>
      </c>
      <c r="H9233" s="1" t="str">
        <f t="shared" si="2569"/>
        <v>正常订单</v>
      </c>
      <c r="I9233" s="1" t="str">
        <f t="shared" si="2570"/>
        <v>已发货</v>
      </c>
      <c r="J9233" s="1" t="str">
        <f t="shared" si="2572"/>
        <v>2</v>
      </c>
      <c r="K9233" s="1">
        <v>1</v>
      </c>
      <c r="L9233" s="1" t="s">
        <v>74</v>
      </c>
      <c r="M9233" s="1" t="str">
        <f>"上海 上海市 松江区 洞泾镇"</f>
        <v>上海 上海市 松江区 洞泾镇</v>
      </c>
      <c r="N9233" s="1" t="str">
        <f t="shared" si="2563"/>
        <v>凡华云仓-韵达-抖音</v>
      </c>
      <c r="O9233" s="5">
        <v>320158407212798</v>
      </c>
      <c r="P9233" s="6">
        <v>0.33</v>
      </c>
      <c r="Q9233" s="11">
        <v>2.2999999999999998</v>
      </c>
      <c r="R9233" s="11"/>
      <c r="S9233" s="11"/>
      <c r="T9233" s="11"/>
      <c r="U9233" s="11">
        <f t="shared" si="2573"/>
        <v>2.2999999999999998</v>
      </c>
      <c r="W9233">
        <v>2.5</v>
      </c>
      <c r="X9233" s="1" t="s">
        <v>74</v>
      </c>
    </row>
    <row r="9234" spans="1:24" x14ac:dyDescent="0.25">
      <c r="A9234" s="1" t="str">
        <f t="shared" si="2567"/>
        <v>卡卡杜-凤凰仓</v>
      </c>
      <c r="B9234" s="1" t="str">
        <f>"CK2024100614271"</f>
        <v>CK2024100614271</v>
      </c>
      <c r="C9234" s="1" t="str">
        <f>"DD2024100644494"</f>
        <v>DD2024100644494</v>
      </c>
      <c r="D9234" s="1" t="str">
        <f>"CK2024100640748"</f>
        <v>CK2024100640748</v>
      </c>
      <c r="E9234" s="1" t="str">
        <f>"6917868421502238340"</f>
        <v>6917868421502238340</v>
      </c>
      <c r="F9234" s="1" t="str">
        <f t="shared" si="2568"/>
        <v>花都四部-凤凰仓</v>
      </c>
      <c r="G9234" s="1" t="str">
        <f t="shared" si="2571"/>
        <v>卡卡杜个人护理店（抖店）</v>
      </c>
      <c r="H9234" s="1" t="str">
        <f t="shared" si="2569"/>
        <v>正常订单</v>
      </c>
      <c r="I9234" s="1" t="str">
        <f t="shared" si="2570"/>
        <v>已发货</v>
      </c>
      <c r="J9234" s="1" t="str">
        <f t="shared" si="2572"/>
        <v>2</v>
      </c>
      <c r="K9234" s="1">
        <v>1</v>
      </c>
      <c r="L9234" s="1" t="s">
        <v>41</v>
      </c>
      <c r="M9234" s="1" t="str">
        <f>"湖北省 咸宁市 崇阳县 天城镇"</f>
        <v>湖北省 咸宁市 崇阳县 天城镇</v>
      </c>
      <c r="N9234" s="1" t="str">
        <f t="shared" si="2563"/>
        <v>凡华云仓-韵达-抖音</v>
      </c>
      <c r="O9234" s="5">
        <v>320158407212697</v>
      </c>
      <c r="P9234" s="6">
        <v>0.33</v>
      </c>
      <c r="Q9234" s="11">
        <v>2.2999999999999998</v>
      </c>
      <c r="R9234" s="11"/>
      <c r="S9234" s="11"/>
      <c r="T9234" s="11"/>
      <c r="U9234" s="11">
        <f t="shared" si="2573"/>
        <v>2.2999999999999998</v>
      </c>
      <c r="W9234">
        <v>2.5</v>
      </c>
      <c r="X9234" s="1" t="s">
        <v>41</v>
      </c>
    </row>
    <row r="9235" spans="1:24" x14ac:dyDescent="0.25">
      <c r="A9235" s="1" t="str">
        <f t="shared" si="2567"/>
        <v>卡卡杜-凤凰仓</v>
      </c>
      <c r="B9235" s="1" t="str">
        <f>"CK2024100614251"</f>
        <v>CK2024100614251</v>
      </c>
      <c r="C9235" s="1" t="str">
        <f>"DD2024100644472"</f>
        <v>DD2024100644472</v>
      </c>
      <c r="D9235" s="1" t="str">
        <f>"CK2024100640747"</f>
        <v>CK2024100640747</v>
      </c>
      <c r="E9235" s="1" t="str">
        <f>"6917863140906925923"</f>
        <v>6917863140906925923</v>
      </c>
      <c r="F9235" s="1" t="str">
        <f t="shared" si="2568"/>
        <v>花都四部-凤凰仓</v>
      </c>
      <c r="G9235" s="1" t="str">
        <f t="shared" si="2571"/>
        <v>卡卡杜个人护理店（抖店）</v>
      </c>
      <c r="H9235" s="1" t="str">
        <f t="shared" si="2569"/>
        <v>正常订单</v>
      </c>
      <c r="I9235" s="1" t="str">
        <f t="shared" si="2570"/>
        <v>已发货</v>
      </c>
      <c r="J9235" s="1" t="str">
        <f t="shared" si="2572"/>
        <v>2</v>
      </c>
      <c r="K9235" s="1">
        <v>1</v>
      </c>
      <c r="L9235" s="1" t="s">
        <v>27</v>
      </c>
      <c r="M9235" s="1" t="str">
        <f>"贵州省 遵义市 湄潭县 湄江街道"</f>
        <v>贵州省 遵义市 湄潭县 湄江街道</v>
      </c>
      <c r="N9235" s="1" t="str">
        <f t="shared" si="2563"/>
        <v>凡华云仓-韵达-抖音</v>
      </c>
      <c r="O9235" s="5">
        <v>320158407212598</v>
      </c>
      <c r="P9235" s="6">
        <v>0.33</v>
      </c>
      <c r="Q9235" s="11">
        <v>2.2999999999999998</v>
      </c>
      <c r="R9235" s="11"/>
      <c r="S9235" s="11"/>
      <c r="T9235" s="11"/>
      <c r="U9235" s="11">
        <f t="shared" si="2573"/>
        <v>2.2999999999999998</v>
      </c>
      <c r="W9235">
        <v>2.5</v>
      </c>
      <c r="X9235" s="1" t="s">
        <v>27</v>
      </c>
    </row>
    <row r="9236" spans="1:24" x14ac:dyDescent="0.25">
      <c r="A9236" s="1" t="str">
        <f t="shared" si="2567"/>
        <v>卡卡杜-凤凰仓</v>
      </c>
      <c r="B9236" s="1" t="str">
        <f>"CK2024100614233"</f>
        <v>CK2024100614233</v>
      </c>
      <c r="C9236" s="1" t="str">
        <f>"DD2024100644456"</f>
        <v>DD2024100644456</v>
      </c>
      <c r="D9236" s="1" t="str">
        <f>"CK2024100640746"</f>
        <v>CK2024100640746</v>
      </c>
      <c r="E9236" s="1" t="str">
        <f>"6917861548559728186"</f>
        <v>6917861548559728186</v>
      </c>
      <c r="F9236" s="1" t="str">
        <f t="shared" si="2568"/>
        <v>花都四部-凤凰仓</v>
      </c>
      <c r="G9236" s="1" t="str">
        <f t="shared" si="2571"/>
        <v>卡卡杜个人护理店（抖店）</v>
      </c>
      <c r="H9236" s="1" t="str">
        <f t="shared" si="2569"/>
        <v>正常订单</v>
      </c>
      <c r="I9236" s="1" t="str">
        <f t="shared" si="2570"/>
        <v>已发货</v>
      </c>
      <c r="J9236" s="1" t="str">
        <f t="shared" si="2572"/>
        <v>2</v>
      </c>
      <c r="K9236" s="1">
        <v>1</v>
      </c>
      <c r="L9236" s="1" t="s">
        <v>13</v>
      </c>
      <c r="M9236" s="1" t="str">
        <f>"江苏省 宿迁市 沭阳县 沭城街道"</f>
        <v>江苏省 宿迁市 沭阳县 沭城街道</v>
      </c>
      <c r="N9236" s="1" t="str">
        <f t="shared" ref="N9236:N9247" si="2574">"凡华云仓-韵达-抖音"</f>
        <v>凡华云仓-韵达-抖音</v>
      </c>
      <c r="O9236" s="5">
        <v>320158407212401</v>
      </c>
      <c r="P9236" s="6">
        <v>0.33</v>
      </c>
      <c r="Q9236" s="11">
        <v>2.2999999999999998</v>
      </c>
      <c r="R9236" s="11"/>
      <c r="S9236" s="11"/>
      <c r="T9236" s="11"/>
      <c r="U9236" s="11">
        <f t="shared" si="2573"/>
        <v>2.2999999999999998</v>
      </c>
      <c r="W9236">
        <v>2.5</v>
      </c>
      <c r="X9236" s="1" t="s">
        <v>13</v>
      </c>
    </row>
    <row r="9237" spans="1:24" x14ac:dyDescent="0.25">
      <c r="A9237" s="1" t="str">
        <f t="shared" si="2567"/>
        <v>卡卡杜-凤凰仓</v>
      </c>
      <c r="B9237" s="1" t="str">
        <f>"CK2024100614250"</f>
        <v>CK2024100614250</v>
      </c>
      <c r="C9237" s="1" t="str">
        <f>"DD2024100644473"</f>
        <v>DD2024100644473</v>
      </c>
      <c r="D9237" s="1" t="str">
        <f>"CK2024100640745"</f>
        <v>CK2024100640745</v>
      </c>
      <c r="E9237" s="1" t="str">
        <f>"6917866099265470113"</f>
        <v>6917866099265470113</v>
      </c>
      <c r="F9237" s="1" t="str">
        <f t="shared" si="2568"/>
        <v>花都四部-凤凰仓</v>
      </c>
      <c r="G9237" s="1" t="str">
        <f t="shared" si="2571"/>
        <v>卡卡杜个人护理店（抖店）</v>
      </c>
      <c r="H9237" s="1" t="str">
        <f t="shared" si="2569"/>
        <v>正常订单</v>
      </c>
      <c r="I9237" s="1" t="str">
        <f t="shared" si="2570"/>
        <v>已发货</v>
      </c>
      <c r="J9237" s="1" t="str">
        <f t="shared" si="2572"/>
        <v>2</v>
      </c>
      <c r="K9237" s="1">
        <v>1</v>
      </c>
      <c r="L9237" s="1" t="s">
        <v>22</v>
      </c>
      <c r="M9237" s="1" t="str">
        <f>"江西省 上饶市 广信区 旭日街道"</f>
        <v>江西省 上饶市 广信区 旭日街道</v>
      </c>
      <c r="N9237" s="1" t="str">
        <f t="shared" si="2574"/>
        <v>凡华云仓-韵达-抖音</v>
      </c>
      <c r="O9237" s="5">
        <v>320158407212306</v>
      </c>
      <c r="P9237" s="6">
        <v>0.33</v>
      </c>
      <c r="Q9237" s="11">
        <v>2.2999999999999998</v>
      </c>
      <c r="R9237" s="11"/>
      <c r="S9237" s="11"/>
      <c r="T9237" s="11"/>
      <c r="U9237" s="11">
        <f t="shared" si="2573"/>
        <v>2.2999999999999998</v>
      </c>
      <c r="W9237">
        <v>2.5</v>
      </c>
      <c r="X9237" s="1" t="s">
        <v>22</v>
      </c>
    </row>
    <row r="9238" spans="1:24" x14ac:dyDescent="0.25">
      <c r="A9238" s="1" t="str">
        <f t="shared" si="2567"/>
        <v>卡卡杜-凤凰仓</v>
      </c>
      <c r="B9238" s="1" t="str">
        <f>"CK2024100614295"</f>
        <v>CK2024100614295</v>
      </c>
      <c r="C9238" s="1" t="str">
        <f>"DD2024100644518"</f>
        <v>DD2024100644518</v>
      </c>
      <c r="D9238" s="1" t="str">
        <f>"CK2024100640744"</f>
        <v>CK2024100640744</v>
      </c>
      <c r="E9238" s="1" t="str">
        <f>"6917863855913467199"</f>
        <v>6917863855913467199</v>
      </c>
      <c r="F9238" s="1" t="str">
        <f t="shared" si="2568"/>
        <v>花都四部-凤凰仓</v>
      </c>
      <c r="G9238" s="1" t="str">
        <f t="shared" si="2571"/>
        <v>卡卡杜个人护理店（抖店）</v>
      </c>
      <c r="H9238" s="1" t="str">
        <f t="shared" si="2569"/>
        <v>正常订单</v>
      </c>
      <c r="I9238" s="1" t="str">
        <f t="shared" si="2570"/>
        <v>已发货</v>
      </c>
      <c r="J9238" s="1" t="str">
        <f t="shared" si="2572"/>
        <v>2</v>
      </c>
      <c r="K9238" s="1">
        <v>1</v>
      </c>
      <c r="L9238" s="1" t="s">
        <v>60</v>
      </c>
      <c r="M9238" s="1" t="str">
        <f>"云南省 文山壮族苗族自治州 马关县 马白镇"</f>
        <v>云南省 文山壮族苗族自治州 马关县 马白镇</v>
      </c>
      <c r="N9238" s="1" t="str">
        <f t="shared" si="2574"/>
        <v>凡华云仓-韵达-抖音</v>
      </c>
      <c r="O9238" s="5">
        <v>320158407212213</v>
      </c>
      <c r="P9238" s="6">
        <v>0.33</v>
      </c>
      <c r="Q9238" s="11">
        <v>2.2999999999999998</v>
      </c>
      <c r="R9238" s="11"/>
      <c r="S9238" s="11"/>
      <c r="T9238" s="11"/>
      <c r="U9238" s="11">
        <f t="shared" si="2573"/>
        <v>2.2999999999999998</v>
      </c>
      <c r="W9238">
        <v>2.5</v>
      </c>
      <c r="X9238" s="1" t="s">
        <v>60</v>
      </c>
    </row>
    <row r="9239" spans="1:24" x14ac:dyDescent="0.25">
      <c r="A9239" s="1" t="str">
        <f t="shared" si="2567"/>
        <v>卡卡杜-凤凰仓</v>
      </c>
      <c r="B9239" s="1" t="str">
        <f>"CK2024100614241"</f>
        <v>CK2024100614241</v>
      </c>
      <c r="C9239" s="1" t="str">
        <f>"DD2024100644464"</f>
        <v>DD2024100644464</v>
      </c>
      <c r="D9239" s="1" t="str">
        <f>"CK2024100640743"</f>
        <v>CK2024100640743</v>
      </c>
      <c r="E9239" s="1" t="str">
        <f>"6917868490489035898"</f>
        <v>6917868490489035898</v>
      </c>
      <c r="F9239" s="1" t="str">
        <f t="shared" si="2568"/>
        <v>花都四部-凤凰仓</v>
      </c>
      <c r="G9239" s="1" t="str">
        <f t="shared" si="2571"/>
        <v>卡卡杜个人护理店（抖店）</v>
      </c>
      <c r="H9239" s="1" t="str">
        <f t="shared" si="2569"/>
        <v>正常订单</v>
      </c>
      <c r="I9239" s="1" t="str">
        <f t="shared" si="2570"/>
        <v>已发货</v>
      </c>
      <c r="J9239" s="1" t="str">
        <f t="shared" si="2572"/>
        <v>2</v>
      </c>
      <c r="K9239" s="1">
        <v>1</v>
      </c>
      <c r="L9239" s="1" t="s">
        <v>24</v>
      </c>
      <c r="M9239" s="1" t="str">
        <f>"福建省 莆田市 城厢区 灵川镇"</f>
        <v>福建省 莆田市 城厢区 灵川镇</v>
      </c>
      <c r="N9239" s="1" t="str">
        <f t="shared" si="2574"/>
        <v>凡华云仓-韵达-抖音</v>
      </c>
      <c r="O9239" s="5">
        <v>320158407212122</v>
      </c>
      <c r="P9239" s="6">
        <v>0.33</v>
      </c>
      <c r="Q9239" s="11">
        <v>2.2999999999999998</v>
      </c>
      <c r="R9239" s="11"/>
      <c r="S9239" s="11"/>
      <c r="T9239" s="11"/>
      <c r="U9239" s="11">
        <f t="shared" si="2573"/>
        <v>2.2999999999999998</v>
      </c>
      <c r="W9239">
        <v>2.5</v>
      </c>
      <c r="X9239" s="1" t="s">
        <v>24</v>
      </c>
    </row>
    <row r="9240" spans="1:24" x14ac:dyDescent="0.25">
      <c r="A9240" s="1" t="str">
        <f t="shared" si="2567"/>
        <v>卡卡杜-凤凰仓</v>
      </c>
      <c r="B9240" s="1" t="str">
        <f>"CK2024100614319"</f>
        <v>CK2024100614319</v>
      </c>
      <c r="C9240" s="1" t="str">
        <f>"DD2024100644543"</f>
        <v>DD2024100644543</v>
      </c>
      <c r="D9240" s="1" t="str">
        <f>"CK2024100640742"</f>
        <v>CK2024100640742</v>
      </c>
      <c r="E9240" s="1" t="str">
        <f>"6917863565272972888"</f>
        <v>6917863565272972888</v>
      </c>
      <c r="F9240" s="1" t="str">
        <f t="shared" si="2568"/>
        <v>花都四部-凤凰仓</v>
      </c>
      <c r="G9240" s="1" t="str">
        <f t="shared" si="2571"/>
        <v>卡卡杜个人护理店（抖店）</v>
      </c>
      <c r="H9240" s="1" t="str">
        <f t="shared" si="2569"/>
        <v>正常订单</v>
      </c>
      <c r="I9240" s="1" t="str">
        <f t="shared" si="2570"/>
        <v>已发货</v>
      </c>
      <c r="J9240" s="1" t="str">
        <f t="shared" si="2572"/>
        <v>2</v>
      </c>
      <c r="K9240" s="1">
        <v>1</v>
      </c>
      <c r="L9240" s="1" t="s">
        <v>13</v>
      </c>
      <c r="M9240" s="1" t="str">
        <f>"江苏省 淮安市 淮安区 山阳街道"</f>
        <v>江苏省 淮安市 淮安区 山阳街道</v>
      </c>
      <c r="N9240" s="1" t="str">
        <f t="shared" si="2574"/>
        <v>凡华云仓-韵达-抖音</v>
      </c>
      <c r="O9240" s="5">
        <v>320158407212033</v>
      </c>
      <c r="P9240" s="6">
        <v>0.33</v>
      </c>
      <c r="Q9240" s="11">
        <v>2.2999999999999998</v>
      </c>
      <c r="R9240" s="11"/>
      <c r="S9240" s="11"/>
      <c r="T9240" s="11"/>
      <c r="U9240" s="11">
        <f t="shared" si="2573"/>
        <v>2.2999999999999998</v>
      </c>
      <c r="W9240">
        <v>2.5</v>
      </c>
      <c r="X9240" s="1" t="s">
        <v>13</v>
      </c>
    </row>
    <row r="9241" spans="1:24" x14ac:dyDescent="0.25">
      <c r="A9241" s="1" t="str">
        <f t="shared" si="2567"/>
        <v>卡卡杜-凤凰仓</v>
      </c>
      <c r="B9241" s="1" t="str">
        <f>"CK2024100614335"</f>
        <v>CK2024100614335</v>
      </c>
      <c r="C9241" s="1" t="str">
        <f>"DD2024100644557"</f>
        <v>DD2024100644557</v>
      </c>
      <c r="D9241" s="1" t="str">
        <f>"CK2024100640741"</f>
        <v>CK2024100640741</v>
      </c>
      <c r="E9241" s="1" t="str">
        <f>"6917870554044661436"</f>
        <v>6917870554044661436</v>
      </c>
      <c r="F9241" s="1" t="str">
        <f t="shared" si="2568"/>
        <v>花都四部-凤凰仓</v>
      </c>
      <c r="G9241" s="1" t="str">
        <f t="shared" si="2571"/>
        <v>卡卡杜个人护理店（抖店）</v>
      </c>
      <c r="H9241" s="1" t="str">
        <f t="shared" si="2569"/>
        <v>正常订单</v>
      </c>
      <c r="I9241" s="1" t="str">
        <f t="shared" si="2570"/>
        <v>已发货</v>
      </c>
      <c r="J9241" s="1" t="str">
        <f t="shared" si="2572"/>
        <v>2</v>
      </c>
      <c r="K9241" s="1">
        <v>1</v>
      </c>
      <c r="L9241" s="1" t="s">
        <v>20</v>
      </c>
      <c r="M9241" s="1" t="str">
        <f>"浙江省 金华市 婺城区 "</f>
        <v xml:space="preserve">浙江省 金华市 婺城区 </v>
      </c>
      <c r="N9241" s="1" t="str">
        <f t="shared" si="2574"/>
        <v>凡华云仓-韵达-抖音</v>
      </c>
      <c r="O9241" s="5">
        <v>320158407211915</v>
      </c>
      <c r="P9241" s="6">
        <v>0.33</v>
      </c>
      <c r="Q9241" s="11">
        <v>2.2999999999999998</v>
      </c>
      <c r="R9241" s="11"/>
      <c r="S9241" s="11"/>
      <c r="T9241" s="11"/>
      <c r="U9241" s="11">
        <f t="shared" si="2573"/>
        <v>2.2999999999999998</v>
      </c>
      <c r="W9241">
        <v>2.5</v>
      </c>
      <c r="X9241" s="1" t="s">
        <v>20</v>
      </c>
    </row>
    <row r="9242" spans="1:24" x14ac:dyDescent="0.25">
      <c r="A9242" s="1" t="str">
        <f t="shared" si="2567"/>
        <v>卡卡杜-凤凰仓</v>
      </c>
      <c r="B9242" s="1" t="str">
        <f>"CK2024100614336"</f>
        <v>CK2024100614336</v>
      </c>
      <c r="C9242" s="1" t="str">
        <f>"DD2024100644559"</f>
        <v>DD2024100644559</v>
      </c>
      <c r="D9242" s="1" t="str">
        <f>"CK2024100640740"</f>
        <v>CK2024100640740</v>
      </c>
      <c r="E9242" s="1" t="str">
        <f>"6917866242555673755"</f>
        <v>6917866242555673755</v>
      </c>
      <c r="F9242" s="1" t="str">
        <f t="shared" si="2568"/>
        <v>花都四部-凤凰仓</v>
      </c>
      <c r="G9242" s="1" t="str">
        <f t="shared" si="2571"/>
        <v>卡卡杜个人护理店（抖店）</v>
      </c>
      <c r="H9242" s="1" t="str">
        <f t="shared" si="2569"/>
        <v>正常订单</v>
      </c>
      <c r="I9242" s="1" t="str">
        <f t="shared" si="2570"/>
        <v>已发货</v>
      </c>
      <c r="J9242" s="1" t="str">
        <f t="shared" si="2572"/>
        <v>2</v>
      </c>
      <c r="K9242" s="1">
        <v>1</v>
      </c>
      <c r="L9242" s="1" t="s">
        <v>13</v>
      </c>
      <c r="M9242" s="1" t="str">
        <f>"江苏省 徐州市 睢宁县 梁集镇"</f>
        <v>江苏省 徐州市 睢宁县 梁集镇</v>
      </c>
      <c r="N9242" s="1" t="str">
        <f t="shared" si="2574"/>
        <v>凡华云仓-韵达-抖音</v>
      </c>
      <c r="O9242" s="5">
        <v>320158407211810</v>
      </c>
      <c r="P9242" s="6">
        <v>0.33</v>
      </c>
      <c r="Q9242" s="11">
        <v>2.2999999999999998</v>
      </c>
      <c r="R9242" s="11"/>
      <c r="S9242" s="11"/>
      <c r="T9242" s="11"/>
      <c r="U9242" s="11">
        <f t="shared" si="2573"/>
        <v>2.2999999999999998</v>
      </c>
      <c r="W9242">
        <v>2.5</v>
      </c>
      <c r="X9242" s="1" t="s">
        <v>13</v>
      </c>
    </row>
    <row r="9243" spans="1:24" x14ac:dyDescent="0.25">
      <c r="A9243" s="1" t="str">
        <f t="shared" si="2567"/>
        <v>卡卡杜-凤凰仓</v>
      </c>
      <c r="B9243" s="1" t="str">
        <f>"CK2024100614333"</f>
        <v>CK2024100614333</v>
      </c>
      <c r="C9243" s="1" t="str">
        <f>"DD2024100644555"</f>
        <v>DD2024100644555</v>
      </c>
      <c r="D9243" s="1" t="str">
        <f>"CK2024100640739"</f>
        <v>CK2024100640739</v>
      </c>
      <c r="E9243" s="1" t="str">
        <f>"6917870771404962817"</f>
        <v>6917870771404962817</v>
      </c>
      <c r="F9243" s="1" t="str">
        <f t="shared" si="2568"/>
        <v>花都四部-凤凰仓</v>
      </c>
      <c r="G9243" s="1" t="str">
        <f t="shared" si="2571"/>
        <v>卡卡杜个人护理店（抖店）</v>
      </c>
      <c r="H9243" s="1" t="str">
        <f t="shared" si="2569"/>
        <v>正常订单</v>
      </c>
      <c r="I9243" s="1" t="str">
        <f t="shared" si="2570"/>
        <v>已发货</v>
      </c>
      <c r="J9243" s="1" t="str">
        <f t="shared" si="2572"/>
        <v>2</v>
      </c>
      <c r="K9243" s="1">
        <v>1</v>
      </c>
      <c r="L9243" s="1" t="s">
        <v>22</v>
      </c>
      <c r="M9243" s="1" t="str">
        <f>"江西省 宜春市 奉新县 冯川镇"</f>
        <v>江西省 宜春市 奉新县 冯川镇</v>
      </c>
      <c r="N9243" s="1" t="str">
        <f t="shared" si="2574"/>
        <v>凡华云仓-韵达-抖音</v>
      </c>
      <c r="O9243" s="5">
        <v>320158404387461</v>
      </c>
      <c r="P9243" s="6">
        <v>0.33</v>
      </c>
      <c r="Q9243" s="11">
        <v>2.2999999999999998</v>
      </c>
      <c r="R9243" s="11"/>
      <c r="S9243" s="11"/>
      <c r="T9243" s="11"/>
      <c r="U9243" s="11">
        <f t="shared" si="2573"/>
        <v>2.2999999999999998</v>
      </c>
      <c r="W9243">
        <v>2.5</v>
      </c>
      <c r="X9243" s="1" t="s">
        <v>22</v>
      </c>
    </row>
    <row r="9244" spans="1:24" x14ac:dyDescent="0.25">
      <c r="A9244" s="1" t="str">
        <f t="shared" si="2567"/>
        <v>卡卡杜-凤凰仓</v>
      </c>
      <c r="B9244" s="1" t="str">
        <f>"CK2024100614337"</f>
        <v>CK2024100614337</v>
      </c>
      <c r="C9244" s="1" t="str">
        <f>"DD2024100644560"</f>
        <v>DD2024100644560</v>
      </c>
      <c r="D9244" s="1" t="str">
        <f>"CK2024100640738"</f>
        <v>CK2024100640738</v>
      </c>
      <c r="E9244" s="1" t="str">
        <f>"6917865897954082724"</f>
        <v>6917865897954082724</v>
      </c>
      <c r="F9244" s="1" t="str">
        <f t="shared" si="2568"/>
        <v>花都四部-凤凰仓</v>
      </c>
      <c r="G9244" s="1" t="str">
        <f t="shared" si="2571"/>
        <v>卡卡杜个人护理店（抖店）</v>
      </c>
      <c r="H9244" s="1" t="str">
        <f t="shared" si="2569"/>
        <v>正常订单</v>
      </c>
      <c r="I9244" s="1" t="str">
        <f t="shared" si="2570"/>
        <v>已发货</v>
      </c>
      <c r="J9244" s="1" t="str">
        <f t="shared" si="2572"/>
        <v>2</v>
      </c>
      <c r="K9244" s="1">
        <v>1</v>
      </c>
      <c r="L9244" s="1" t="s">
        <v>41</v>
      </c>
      <c r="M9244" s="1" t="str">
        <f>"湖北省 十堰市 郧阳区 郧县经济开发区"</f>
        <v>湖北省 十堰市 郧阳区 郧县经济开发区</v>
      </c>
      <c r="N9244" s="1" t="str">
        <f t="shared" si="2574"/>
        <v>凡华云仓-韵达-抖音</v>
      </c>
      <c r="O9244" s="5">
        <v>320158404387366</v>
      </c>
      <c r="P9244" s="6">
        <v>0.33</v>
      </c>
      <c r="Q9244" s="11">
        <v>2.2999999999999998</v>
      </c>
      <c r="R9244" s="11"/>
      <c r="S9244" s="11"/>
      <c r="T9244" s="11"/>
      <c r="U9244" s="11">
        <f t="shared" si="2573"/>
        <v>2.2999999999999998</v>
      </c>
      <c r="W9244">
        <v>2.5</v>
      </c>
      <c r="X9244" s="1" t="s">
        <v>41</v>
      </c>
    </row>
    <row r="9245" spans="1:24" x14ac:dyDescent="0.25">
      <c r="A9245" s="1" t="str">
        <f t="shared" si="2567"/>
        <v>卡卡杜-凤凰仓</v>
      </c>
      <c r="B9245" s="1" t="str">
        <f>"CK2024100614344"</f>
        <v>CK2024100614344</v>
      </c>
      <c r="C9245" s="1" t="str">
        <f>"DD2024100644569"</f>
        <v>DD2024100644569</v>
      </c>
      <c r="D9245" s="1" t="str">
        <f>"CK2024100640737"</f>
        <v>CK2024100640737</v>
      </c>
      <c r="E9245" s="1" t="str">
        <f>"6917861088535084779"</f>
        <v>6917861088535084779</v>
      </c>
      <c r="F9245" s="1" t="str">
        <f t="shared" si="2568"/>
        <v>花都四部-凤凰仓</v>
      </c>
      <c r="G9245" s="1" t="str">
        <f t="shared" si="2571"/>
        <v>卡卡杜个人护理店（抖店）</v>
      </c>
      <c r="H9245" s="1" t="str">
        <f t="shared" si="2569"/>
        <v>正常订单</v>
      </c>
      <c r="I9245" s="1" t="str">
        <f t="shared" si="2570"/>
        <v>已发货</v>
      </c>
      <c r="J9245" s="1" t="str">
        <f t="shared" si="2572"/>
        <v>2</v>
      </c>
      <c r="K9245" s="1">
        <v>2</v>
      </c>
      <c r="L9245" s="1" t="s">
        <v>161</v>
      </c>
      <c r="M9245" s="1" t="str">
        <f>"四川省 成都市 武侯区 "</f>
        <v xml:space="preserve">四川省 成都市 武侯区 </v>
      </c>
      <c r="N9245" s="1" t="str">
        <f t="shared" si="2574"/>
        <v>凡华云仓-韵达-抖音</v>
      </c>
      <c r="O9245" s="5">
        <v>320158404387273</v>
      </c>
      <c r="P9245" s="6">
        <v>0.28000000000000003</v>
      </c>
      <c r="Q9245" s="11">
        <v>2</v>
      </c>
      <c r="R9245" s="11"/>
      <c r="S9245" s="11"/>
      <c r="T9245" s="11"/>
      <c r="U9245" s="11">
        <f t="shared" si="2573"/>
        <v>2</v>
      </c>
      <c r="W9245">
        <v>2.2000000000000002</v>
      </c>
      <c r="X9245" s="1" t="s">
        <v>161</v>
      </c>
    </row>
    <row r="9246" spans="1:24" x14ac:dyDescent="0.25">
      <c r="A9246" s="1" t="str">
        <f t="shared" si="2567"/>
        <v>卡卡杜-凤凰仓</v>
      </c>
      <c r="B9246" s="1" t="str">
        <f>"CK2024100614339"</f>
        <v>CK2024100614339</v>
      </c>
      <c r="C9246" s="1" t="str">
        <f>"DD2024100644562"</f>
        <v>DD2024100644562</v>
      </c>
      <c r="D9246" s="1" t="str">
        <f>"CK2024100640736"</f>
        <v>CK2024100640736</v>
      </c>
      <c r="E9246" s="1" t="str">
        <f>"6917861342285758168"</f>
        <v>6917861342285758168</v>
      </c>
      <c r="F9246" s="1" t="str">
        <f t="shared" si="2568"/>
        <v>花都四部-凤凰仓</v>
      </c>
      <c r="G9246" s="1" t="str">
        <f t="shared" si="2571"/>
        <v>卡卡杜个人护理店（抖店）</v>
      </c>
      <c r="H9246" s="1" t="str">
        <f t="shared" si="2569"/>
        <v>正常订单</v>
      </c>
      <c r="I9246" s="1" t="str">
        <f t="shared" si="2570"/>
        <v>已发货</v>
      </c>
      <c r="J9246" s="1" t="str">
        <f t="shared" si="2572"/>
        <v>2</v>
      </c>
      <c r="K9246" s="1">
        <v>1</v>
      </c>
      <c r="L9246" s="1" t="s">
        <v>13</v>
      </c>
      <c r="M9246" s="1" t="str">
        <f>"江苏省 盐城市 阜宁县 阜宁经济开发区"</f>
        <v>江苏省 盐城市 阜宁县 阜宁经济开发区</v>
      </c>
      <c r="N9246" s="1" t="str">
        <f t="shared" si="2574"/>
        <v>凡华云仓-韵达-抖音</v>
      </c>
      <c r="O9246" s="5">
        <v>320158404387182</v>
      </c>
      <c r="P9246" s="6">
        <v>0.33</v>
      </c>
      <c r="Q9246" s="11">
        <v>2.2999999999999998</v>
      </c>
      <c r="R9246" s="11"/>
      <c r="S9246" s="11"/>
      <c r="T9246" s="11"/>
      <c r="U9246" s="11">
        <f t="shared" si="2573"/>
        <v>2.2999999999999998</v>
      </c>
      <c r="W9246">
        <v>2.5</v>
      </c>
      <c r="X9246" s="1" t="s">
        <v>13</v>
      </c>
    </row>
    <row r="9247" spans="1:24" x14ac:dyDescent="0.25">
      <c r="A9247" s="1" t="str">
        <f t="shared" si="2567"/>
        <v>卡卡杜-凤凰仓</v>
      </c>
      <c r="B9247" s="1" t="str">
        <f>"CK2024100614342"</f>
        <v>CK2024100614342</v>
      </c>
      <c r="C9247" s="1" t="str">
        <f>"DD2024100644565"</f>
        <v>DD2024100644565</v>
      </c>
      <c r="D9247" s="1" t="str">
        <f>"CK2024100640735"</f>
        <v>CK2024100640735</v>
      </c>
      <c r="E9247" s="1" t="str">
        <f>"6917868335289171171"</f>
        <v>6917868335289171171</v>
      </c>
      <c r="F9247" s="1" t="str">
        <f t="shared" si="2568"/>
        <v>花都四部-凤凰仓</v>
      </c>
      <c r="G9247" s="1" t="str">
        <f t="shared" si="2571"/>
        <v>卡卡杜个人护理店（抖店）</v>
      </c>
      <c r="H9247" s="1" t="str">
        <f t="shared" si="2569"/>
        <v>正常订单</v>
      </c>
      <c r="I9247" s="1" t="str">
        <f t="shared" si="2570"/>
        <v>已发货</v>
      </c>
      <c r="J9247" s="1" t="str">
        <f t="shared" si="2572"/>
        <v>2</v>
      </c>
      <c r="K9247" s="1">
        <v>1</v>
      </c>
      <c r="L9247" s="1" t="s">
        <v>96</v>
      </c>
      <c r="M9247" s="1" t="str">
        <f>"广西壮族自治区 百色市 凌云县 泗城镇"</f>
        <v>广西壮族自治区 百色市 凌云县 泗城镇</v>
      </c>
      <c r="N9247" s="1" t="str">
        <f t="shared" si="2574"/>
        <v>凡华云仓-韵达-抖音</v>
      </c>
      <c r="O9247" s="5">
        <v>320158404387093</v>
      </c>
      <c r="P9247" s="6">
        <v>0.33</v>
      </c>
      <c r="Q9247" s="11">
        <v>2.2999999999999998</v>
      </c>
      <c r="R9247" s="11"/>
      <c r="S9247" s="11"/>
      <c r="T9247" s="11"/>
      <c r="U9247" s="11">
        <f t="shared" si="2573"/>
        <v>2.2999999999999998</v>
      </c>
      <c r="W9247">
        <v>2.5</v>
      </c>
      <c r="X9247" s="1" t="s">
        <v>96</v>
      </c>
    </row>
    <row r="9248" spans="1:24" x14ac:dyDescent="0.25">
      <c r="A9248" s="1" t="str">
        <f t="shared" si="2567"/>
        <v>卡卡杜-凤凰仓</v>
      </c>
      <c r="B9248" s="1" t="str">
        <f>"CK2024100614340"</f>
        <v>CK2024100614340</v>
      </c>
      <c r="C9248" s="1" t="str">
        <f>"DD2024100644563"</f>
        <v>DD2024100644563</v>
      </c>
      <c r="D9248" s="1" t="str">
        <f>"CK2024100640734"</f>
        <v>CK2024100640734</v>
      </c>
      <c r="E9248" s="1" t="str">
        <f>"6917870666250485668"</f>
        <v>6917870666250485668</v>
      </c>
      <c r="F9248" s="1" t="str">
        <f t="shared" si="2568"/>
        <v>花都四部-凤凰仓</v>
      </c>
      <c r="G9248" s="1" t="str">
        <f t="shared" si="2571"/>
        <v>卡卡杜个人护理店（抖店）</v>
      </c>
      <c r="H9248" s="1" t="str">
        <f t="shared" si="2569"/>
        <v>正常订单</v>
      </c>
      <c r="I9248" s="1" t="str">
        <f t="shared" si="2570"/>
        <v>已发货</v>
      </c>
      <c r="J9248" s="1" t="str">
        <f t="shared" si="2572"/>
        <v>2</v>
      </c>
      <c r="K9248" s="1">
        <v>1</v>
      </c>
      <c r="L9248" s="1" t="s">
        <v>18</v>
      </c>
      <c r="M9248" s="1" t="str">
        <f>"广东省 广州市 南沙区 南沙街道"</f>
        <v>广东省 广州市 南沙区 南沙街道</v>
      </c>
      <c r="N9248" s="1" t="str">
        <f>"凡华云仓-竹料中通-抖音"</f>
        <v>凡华云仓-竹料中通-抖音</v>
      </c>
      <c r="O9248" s="5">
        <v>76428622699316</v>
      </c>
      <c r="P9248" s="6">
        <v>0.33</v>
      </c>
      <c r="Q9248" s="11">
        <v>2.6</v>
      </c>
      <c r="R9248" s="11"/>
      <c r="S9248" s="11"/>
      <c r="T9248" s="11"/>
      <c r="U9248" s="11">
        <f t="shared" si="2573"/>
        <v>2.6</v>
      </c>
      <c r="W9248">
        <v>2.6</v>
      </c>
      <c r="X9248" s="1" t="s">
        <v>18</v>
      </c>
    </row>
    <row r="9249" spans="1:24" x14ac:dyDescent="0.25">
      <c r="A9249" s="1" t="str">
        <f t="shared" si="2567"/>
        <v>卡卡杜-凤凰仓</v>
      </c>
      <c r="B9249" s="1" t="str">
        <f>"CK2024100614338"</f>
        <v>CK2024100614338</v>
      </c>
      <c r="C9249" s="1" t="str">
        <f>"DD2024100644561"</f>
        <v>DD2024100644561</v>
      </c>
      <c r="D9249" s="1" t="str">
        <f>"CK2024100640733"</f>
        <v>CK2024100640733</v>
      </c>
      <c r="E9249" s="1" t="str">
        <f>"6917861178355056088"</f>
        <v>6917861178355056088</v>
      </c>
      <c r="F9249" s="1" t="str">
        <f t="shared" si="2568"/>
        <v>花都四部-凤凰仓</v>
      </c>
      <c r="G9249" s="1" t="str">
        <f t="shared" si="2571"/>
        <v>卡卡杜个人护理店（抖店）</v>
      </c>
      <c r="H9249" s="1" t="str">
        <f t="shared" si="2569"/>
        <v>正常订单</v>
      </c>
      <c r="I9249" s="1" t="str">
        <f t="shared" si="2570"/>
        <v>已发货</v>
      </c>
      <c r="J9249" s="1" t="str">
        <f t="shared" si="2572"/>
        <v>2</v>
      </c>
      <c r="K9249" s="1">
        <v>1</v>
      </c>
      <c r="L9249" s="1" t="s">
        <v>94</v>
      </c>
      <c r="M9249" s="1" t="str">
        <f>"湖南省 常德市 武陵区 樟木桥街道"</f>
        <v>湖南省 常德市 武陵区 樟木桥街道</v>
      </c>
      <c r="N9249" s="1" t="str">
        <f t="shared" ref="N9249:N9285" si="2575">"凡华云仓-韵达-抖音"</f>
        <v>凡华云仓-韵达-抖音</v>
      </c>
      <c r="O9249" s="5">
        <v>320158404386965</v>
      </c>
      <c r="P9249" s="6">
        <v>0.33</v>
      </c>
      <c r="Q9249" s="11">
        <v>2.2999999999999998</v>
      </c>
      <c r="R9249" s="11"/>
      <c r="S9249" s="11"/>
      <c r="T9249" s="11"/>
      <c r="U9249" s="11">
        <f t="shared" si="2573"/>
        <v>2.2999999999999998</v>
      </c>
      <c r="W9249">
        <v>2.5</v>
      </c>
      <c r="X9249" s="1" t="s">
        <v>94</v>
      </c>
    </row>
    <row r="9250" spans="1:24" x14ac:dyDescent="0.25">
      <c r="A9250" s="1" t="str">
        <f t="shared" si="2567"/>
        <v>卡卡杜-凤凰仓</v>
      </c>
      <c r="B9250" s="1" t="str">
        <f>"CK2024100614316"</f>
        <v>CK2024100614316</v>
      </c>
      <c r="C9250" s="1" t="str">
        <f>"DD2024100644539"</f>
        <v>DD2024100644539</v>
      </c>
      <c r="D9250" s="1" t="str">
        <f>"CK2024100640732"</f>
        <v>CK2024100640732</v>
      </c>
      <c r="E9250" s="1" t="str">
        <f>"6917866143270469457"</f>
        <v>6917866143270469457</v>
      </c>
      <c r="F9250" s="1" t="str">
        <f t="shared" si="2568"/>
        <v>花都四部-凤凰仓</v>
      </c>
      <c r="G9250" s="1" t="str">
        <f t="shared" si="2571"/>
        <v>卡卡杜个人护理店（抖店）</v>
      </c>
      <c r="H9250" s="1" t="str">
        <f t="shared" si="2569"/>
        <v>正常订单</v>
      </c>
      <c r="I9250" s="1" t="str">
        <f t="shared" si="2570"/>
        <v>已发货</v>
      </c>
      <c r="J9250" s="1" t="str">
        <f t="shared" si="2572"/>
        <v>2</v>
      </c>
      <c r="K9250" s="1">
        <v>1</v>
      </c>
      <c r="L9250" s="1" t="s">
        <v>18</v>
      </c>
      <c r="M9250" s="1" t="str">
        <f>"广东省 广州市 花都区 狮岭镇"</f>
        <v>广东省 广州市 花都区 狮岭镇</v>
      </c>
      <c r="N9250" s="1" t="str">
        <f t="shared" si="2575"/>
        <v>凡华云仓-韵达-抖音</v>
      </c>
      <c r="O9250" s="5">
        <v>320158404386860</v>
      </c>
      <c r="P9250" s="6">
        <v>0.33</v>
      </c>
      <c r="Q9250" s="11">
        <v>2.2999999999999998</v>
      </c>
      <c r="R9250" s="11"/>
      <c r="S9250" s="11"/>
      <c r="T9250" s="11"/>
      <c r="U9250" s="11">
        <f t="shared" si="2573"/>
        <v>2.2999999999999998</v>
      </c>
      <c r="W9250">
        <v>2.5</v>
      </c>
      <c r="X9250" s="1" t="s">
        <v>18</v>
      </c>
    </row>
    <row r="9251" spans="1:24" x14ac:dyDescent="0.25">
      <c r="A9251" s="1" t="str">
        <f t="shared" si="2567"/>
        <v>卡卡杜-凤凰仓</v>
      </c>
      <c r="B9251" s="1" t="str">
        <f>"CK2024100614315"</f>
        <v>CK2024100614315</v>
      </c>
      <c r="C9251" s="1" t="str">
        <f>"DD2024100644538"</f>
        <v>DD2024100644538</v>
      </c>
      <c r="D9251" s="1" t="str">
        <f>"CK2024100640731"</f>
        <v>CK2024100640731</v>
      </c>
      <c r="E9251" s="1" t="str">
        <f>"6917861483232788332"</f>
        <v>6917861483232788332</v>
      </c>
      <c r="F9251" s="1" t="str">
        <f t="shared" si="2568"/>
        <v>花都四部-凤凰仓</v>
      </c>
      <c r="G9251" s="1" t="str">
        <f t="shared" si="2571"/>
        <v>卡卡杜个人护理店（抖店）</v>
      </c>
      <c r="H9251" s="1" t="str">
        <f t="shared" si="2569"/>
        <v>正常订单</v>
      </c>
      <c r="I9251" s="1" t="str">
        <f t="shared" si="2570"/>
        <v>已发货</v>
      </c>
      <c r="J9251" s="1" t="str">
        <f t="shared" si="2572"/>
        <v>2</v>
      </c>
      <c r="K9251" s="1">
        <v>1</v>
      </c>
      <c r="L9251" s="1" t="s">
        <v>18</v>
      </c>
      <c r="M9251" s="1" t="str">
        <f>"广东省 佛山市 南海区 西樵镇"</f>
        <v>广东省 佛山市 南海区 西樵镇</v>
      </c>
      <c r="N9251" s="1" t="str">
        <f t="shared" si="2575"/>
        <v>凡华云仓-韵达-抖音</v>
      </c>
      <c r="O9251" s="5">
        <v>320158404386757</v>
      </c>
      <c r="P9251" s="6">
        <v>0.33</v>
      </c>
      <c r="Q9251" s="11">
        <v>2.2999999999999998</v>
      </c>
      <c r="R9251" s="11"/>
      <c r="S9251" s="11"/>
      <c r="T9251" s="11"/>
      <c r="U9251" s="11">
        <f t="shared" si="2573"/>
        <v>2.2999999999999998</v>
      </c>
      <c r="W9251">
        <v>2.5</v>
      </c>
      <c r="X9251" s="1" t="s">
        <v>18</v>
      </c>
    </row>
    <row r="9252" spans="1:24" x14ac:dyDescent="0.25">
      <c r="A9252" s="1" t="str">
        <f t="shared" si="2567"/>
        <v>卡卡杜-凤凰仓</v>
      </c>
      <c r="B9252" s="1" t="str">
        <f>"CK2024100614291"</f>
        <v>CK2024100614291</v>
      </c>
      <c r="C9252" s="1" t="str">
        <f>"DD2024100644517"</f>
        <v>DD2024100644517</v>
      </c>
      <c r="D9252" s="1" t="str">
        <f>"CK2024100640730"</f>
        <v>CK2024100640730</v>
      </c>
      <c r="E9252" s="1" t="str">
        <f>"6917861575382695221"</f>
        <v>6917861575382695221</v>
      </c>
      <c r="F9252" s="1" t="str">
        <f t="shared" si="2568"/>
        <v>花都四部-凤凰仓</v>
      </c>
      <c r="G9252" s="1" t="str">
        <f t="shared" si="2571"/>
        <v>卡卡杜个人护理店（抖店）</v>
      </c>
      <c r="H9252" s="1" t="str">
        <f t="shared" si="2569"/>
        <v>正常订单</v>
      </c>
      <c r="I9252" s="1" t="str">
        <f t="shared" si="2570"/>
        <v>已发货</v>
      </c>
      <c r="J9252" s="1" t="str">
        <f t="shared" si="2572"/>
        <v>2</v>
      </c>
      <c r="K9252" s="1">
        <v>1</v>
      </c>
      <c r="L9252" s="1" t="s">
        <v>24</v>
      </c>
      <c r="M9252" s="1" t="str">
        <f>"福建省 泉州市 晋江市 磁灶镇"</f>
        <v>福建省 泉州市 晋江市 磁灶镇</v>
      </c>
      <c r="N9252" s="1" t="str">
        <f t="shared" si="2575"/>
        <v>凡华云仓-韵达-抖音</v>
      </c>
      <c r="O9252" s="5">
        <v>320158404386656</v>
      </c>
      <c r="P9252" s="6">
        <v>0.33</v>
      </c>
      <c r="Q9252" s="11">
        <v>2.2999999999999998</v>
      </c>
      <c r="R9252" s="11"/>
      <c r="S9252" s="11"/>
      <c r="T9252" s="11"/>
      <c r="U9252" s="11">
        <f t="shared" si="2573"/>
        <v>2.2999999999999998</v>
      </c>
      <c r="W9252">
        <v>2.5</v>
      </c>
      <c r="X9252" s="1" t="s">
        <v>24</v>
      </c>
    </row>
    <row r="9253" spans="1:24" x14ac:dyDescent="0.25">
      <c r="A9253" s="1" t="str">
        <f t="shared" si="2567"/>
        <v>卡卡杜-凤凰仓</v>
      </c>
      <c r="B9253" s="1" t="str">
        <f>"CK20241006179"</f>
        <v>CK20241006179</v>
      </c>
      <c r="C9253" s="1" t="str">
        <f>"DD2024100613511"</f>
        <v>DD2024100613511</v>
      </c>
      <c r="D9253" s="1" t="str">
        <f>"CK2024100620262"</f>
        <v>CK2024100620262</v>
      </c>
      <c r="E9253" s="1" t="str">
        <f>"6917837576500182983"</f>
        <v>6917837576500182983</v>
      </c>
      <c r="F9253" s="1" t="str">
        <f t="shared" si="2568"/>
        <v>花都四部-凤凰仓</v>
      </c>
      <c r="G9253" s="1" t="str">
        <f t="shared" si="2571"/>
        <v>卡卡杜个人护理店（抖店）</v>
      </c>
      <c r="H9253" s="1" t="str">
        <f t="shared" si="2569"/>
        <v>正常订单</v>
      </c>
      <c r="I9253" s="1" t="str">
        <f t="shared" si="2570"/>
        <v>已发货</v>
      </c>
      <c r="J9253" s="1" t="str">
        <f>"4"</f>
        <v>4</v>
      </c>
      <c r="K9253" s="1">
        <v>1</v>
      </c>
      <c r="L9253" s="1" t="s">
        <v>44</v>
      </c>
      <c r="M9253" s="1" t="str">
        <f>"海南省 琼海市 琼海市 嘉积镇"</f>
        <v>海南省 琼海市 琼海市 嘉积镇</v>
      </c>
      <c r="N9253" s="1" t="str">
        <f t="shared" si="2575"/>
        <v>凡华云仓-韵达-抖音</v>
      </c>
      <c r="O9253" s="5">
        <v>320157837820375</v>
      </c>
      <c r="P9253" s="6">
        <v>0.57999999999999996</v>
      </c>
      <c r="Q9253" s="11">
        <f>CEILING(P9253-0.5,0.1)*10*0.15+2.3</f>
        <v>2.4499999999999997</v>
      </c>
      <c r="R9253" s="11"/>
      <c r="S9253" s="11"/>
      <c r="T9253" s="11"/>
      <c r="U9253" s="11">
        <f t="shared" si="2573"/>
        <v>2.4499999999999997</v>
      </c>
      <c r="V9253" t="s">
        <v>15</v>
      </c>
      <c r="W9253">
        <v>2.4500000000000002</v>
      </c>
      <c r="X9253" s="1" t="s">
        <v>44</v>
      </c>
    </row>
    <row r="9254" spans="1:24" x14ac:dyDescent="0.25">
      <c r="A9254" s="1" t="str">
        <f t="shared" si="2567"/>
        <v>卡卡杜-凤凰仓</v>
      </c>
      <c r="B9254" s="1" t="str">
        <f>"CK2024100614287"</f>
        <v>CK2024100614287</v>
      </c>
      <c r="C9254" s="1" t="str">
        <f>"DD2024100644510"</f>
        <v>DD2024100644510</v>
      </c>
      <c r="D9254" s="1" t="str">
        <f>"CK2024100640728"</f>
        <v>CK2024100640728</v>
      </c>
      <c r="E9254" s="1" t="str">
        <f>"6917866157795409351"</f>
        <v>6917866157795409351</v>
      </c>
      <c r="F9254" s="1" t="str">
        <f t="shared" si="2568"/>
        <v>花都四部-凤凰仓</v>
      </c>
      <c r="G9254" s="1" t="str">
        <f t="shared" si="2571"/>
        <v>卡卡杜个人护理店（抖店）</v>
      </c>
      <c r="H9254" s="1" t="str">
        <f t="shared" si="2569"/>
        <v>正常订单</v>
      </c>
      <c r="I9254" s="1" t="str">
        <f t="shared" si="2570"/>
        <v>已发货</v>
      </c>
      <c r="J9254" s="1" t="str">
        <f t="shared" ref="J9254:J9262" si="2576">"2"</f>
        <v>2</v>
      </c>
      <c r="K9254" s="1">
        <v>1</v>
      </c>
      <c r="L9254" s="1" t="s">
        <v>60</v>
      </c>
      <c r="M9254" s="1" t="str">
        <f>"云南省 临沧市 临翔区 凤翔街道"</f>
        <v>云南省 临沧市 临翔区 凤翔街道</v>
      </c>
      <c r="N9254" s="1" t="str">
        <f t="shared" si="2575"/>
        <v>凡华云仓-韵达-抖音</v>
      </c>
      <c r="O9254" s="5">
        <v>320158399853844</v>
      </c>
      <c r="P9254" s="6">
        <v>0.33</v>
      </c>
      <c r="Q9254" s="11">
        <v>2.2999999999999998</v>
      </c>
      <c r="R9254" s="11"/>
      <c r="S9254" s="11"/>
      <c r="T9254" s="11"/>
      <c r="U9254" s="11">
        <f t="shared" si="2573"/>
        <v>2.2999999999999998</v>
      </c>
      <c r="W9254">
        <v>2.5</v>
      </c>
      <c r="X9254" s="1" t="s">
        <v>60</v>
      </c>
    </row>
    <row r="9255" spans="1:24" x14ac:dyDescent="0.25">
      <c r="A9255" s="1" t="str">
        <f t="shared" si="2567"/>
        <v>卡卡杜-凤凰仓</v>
      </c>
      <c r="B9255" s="1" t="str">
        <f>"CK2024100614293"</f>
        <v>CK2024100614293</v>
      </c>
      <c r="C9255" s="1" t="str">
        <f>"DD2024100644515"</f>
        <v>DD2024100644515</v>
      </c>
      <c r="D9255" s="1" t="str">
        <f>"CK2024100640727"</f>
        <v>CK2024100640727</v>
      </c>
      <c r="E9255" s="1" t="str">
        <f>"6917863718579503014"</f>
        <v>6917863718579503014</v>
      </c>
      <c r="F9255" s="1" t="str">
        <f t="shared" si="2568"/>
        <v>花都四部-凤凰仓</v>
      </c>
      <c r="G9255" s="1" t="str">
        <f t="shared" si="2571"/>
        <v>卡卡杜个人护理店（抖店）</v>
      </c>
      <c r="H9255" s="1" t="str">
        <f t="shared" si="2569"/>
        <v>正常订单</v>
      </c>
      <c r="I9255" s="1" t="str">
        <f t="shared" si="2570"/>
        <v>已发货</v>
      </c>
      <c r="J9255" s="1" t="str">
        <f t="shared" si="2576"/>
        <v>2</v>
      </c>
      <c r="K9255" s="1">
        <v>1</v>
      </c>
      <c r="L9255" s="1" t="s">
        <v>30</v>
      </c>
      <c r="M9255" s="1" t="str">
        <f>"山东省 泰安市 新泰市 龙廷镇"</f>
        <v>山东省 泰安市 新泰市 龙廷镇</v>
      </c>
      <c r="N9255" s="1" t="str">
        <f t="shared" si="2575"/>
        <v>凡华云仓-韵达-抖音</v>
      </c>
      <c r="O9255" s="5">
        <v>320158399853741</v>
      </c>
      <c r="P9255" s="6">
        <v>0.33</v>
      </c>
      <c r="Q9255" s="11">
        <v>2.2999999999999998</v>
      </c>
      <c r="R9255" s="11"/>
      <c r="S9255" s="11"/>
      <c r="T9255" s="11"/>
      <c r="U9255" s="11">
        <f t="shared" si="2573"/>
        <v>2.2999999999999998</v>
      </c>
      <c r="W9255">
        <v>2.5</v>
      </c>
      <c r="X9255" s="1" t="s">
        <v>30</v>
      </c>
    </row>
    <row r="9256" spans="1:24" x14ac:dyDescent="0.25">
      <c r="A9256" s="1" t="str">
        <f t="shared" si="2567"/>
        <v>卡卡杜-凤凰仓</v>
      </c>
      <c r="B9256" s="1" t="str">
        <f>"CK2024100614296"</f>
        <v>CK2024100614296</v>
      </c>
      <c r="C9256" s="1" t="str">
        <f>"DD2024100644520"</f>
        <v>DD2024100644520</v>
      </c>
      <c r="D9256" s="1" t="str">
        <f>"CK2024100640726"</f>
        <v>CK2024100640726</v>
      </c>
      <c r="E9256" s="1" t="str">
        <f>"6917861344681885620"</f>
        <v>6917861344681885620</v>
      </c>
      <c r="F9256" s="1" t="str">
        <f t="shared" si="2568"/>
        <v>花都四部-凤凰仓</v>
      </c>
      <c r="G9256" s="1" t="str">
        <f t="shared" si="2571"/>
        <v>卡卡杜个人护理店（抖店）</v>
      </c>
      <c r="H9256" s="1" t="str">
        <f t="shared" si="2569"/>
        <v>正常订单</v>
      </c>
      <c r="I9256" s="1" t="str">
        <f t="shared" si="2570"/>
        <v>已发货</v>
      </c>
      <c r="J9256" s="1" t="str">
        <f t="shared" si="2576"/>
        <v>2</v>
      </c>
      <c r="K9256" s="1">
        <v>1</v>
      </c>
      <c r="L9256" s="1" t="s">
        <v>13</v>
      </c>
      <c r="M9256" s="1" t="str">
        <f>"江苏省 盐城市 射阳县 新坍镇"</f>
        <v>江苏省 盐城市 射阳县 新坍镇</v>
      </c>
      <c r="N9256" s="1" t="str">
        <f t="shared" si="2575"/>
        <v>凡华云仓-韵达-抖音</v>
      </c>
      <c r="O9256" s="5">
        <v>320158399853640</v>
      </c>
      <c r="P9256" s="6">
        <v>0.33</v>
      </c>
      <c r="Q9256" s="11">
        <v>2.2999999999999998</v>
      </c>
      <c r="R9256" s="11"/>
      <c r="S9256" s="11"/>
      <c r="T9256" s="11"/>
      <c r="U9256" s="11">
        <f t="shared" si="2573"/>
        <v>2.2999999999999998</v>
      </c>
      <c r="W9256">
        <v>2.5</v>
      </c>
      <c r="X9256" s="1" t="s">
        <v>13</v>
      </c>
    </row>
    <row r="9257" spans="1:24" x14ac:dyDescent="0.25">
      <c r="A9257" s="1" t="str">
        <f t="shared" si="2567"/>
        <v>卡卡杜-凤凰仓</v>
      </c>
      <c r="B9257" s="1" t="str">
        <f>"CK2024100614309"</f>
        <v>CK2024100614309</v>
      </c>
      <c r="C9257" s="1" t="str">
        <f>"DD2024100644531"</f>
        <v>DD2024100644531</v>
      </c>
      <c r="D9257" s="1" t="str">
        <f>"CK2024100640725"</f>
        <v>CK2024100640725</v>
      </c>
      <c r="E9257" s="1" t="str">
        <f>"6917863858088016936"</f>
        <v>6917863858088016936</v>
      </c>
      <c r="F9257" s="1" t="str">
        <f t="shared" si="2568"/>
        <v>花都四部-凤凰仓</v>
      </c>
      <c r="G9257" s="1" t="str">
        <f t="shared" si="2571"/>
        <v>卡卡杜个人护理店（抖店）</v>
      </c>
      <c r="H9257" s="1" t="str">
        <f t="shared" si="2569"/>
        <v>正常订单</v>
      </c>
      <c r="I9257" s="1" t="str">
        <f t="shared" si="2570"/>
        <v>已发货</v>
      </c>
      <c r="J9257" s="1" t="str">
        <f t="shared" si="2576"/>
        <v>2</v>
      </c>
      <c r="K9257" s="1">
        <v>1</v>
      </c>
      <c r="L9257" s="1" t="s">
        <v>13</v>
      </c>
      <c r="M9257" s="1" t="str">
        <f>"江苏省 镇江市 扬中市 三茅街道"</f>
        <v>江苏省 镇江市 扬中市 三茅街道</v>
      </c>
      <c r="N9257" s="1" t="str">
        <f t="shared" si="2575"/>
        <v>凡华云仓-韵达-抖音</v>
      </c>
      <c r="O9257" s="5">
        <v>320158399853541</v>
      </c>
      <c r="P9257" s="6">
        <v>0.33</v>
      </c>
      <c r="Q9257" s="11">
        <v>2.2999999999999998</v>
      </c>
      <c r="R9257" s="11"/>
      <c r="S9257" s="11"/>
      <c r="T9257" s="11"/>
      <c r="U9257" s="11">
        <f t="shared" si="2573"/>
        <v>2.2999999999999998</v>
      </c>
      <c r="W9257">
        <v>2.5</v>
      </c>
      <c r="X9257" s="1" t="s">
        <v>13</v>
      </c>
    </row>
    <row r="9258" spans="1:24" x14ac:dyDescent="0.25">
      <c r="A9258" s="1" t="str">
        <f t="shared" si="2567"/>
        <v>卡卡杜-凤凰仓</v>
      </c>
      <c r="B9258" s="1" t="str">
        <f>"CK2024100614297"</f>
        <v>CK2024100614297</v>
      </c>
      <c r="C9258" s="1" t="str">
        <f>"DD2024100644519"</f>
        <v>DD2024100644519</v>
      </c>
      <c r="D9258" s="1" t="str">
        <f>"CK2024100640724"</f>
        <v>CK2024100640724</v>
      </c>
      <c r="E9258" s="1" t="str">
        <f>"6917861090345778687"</f>
        <v>6917861090345778687</v>
      </c>
      <c r="F9258" s="1" t="str">
        <f t="shared" si="2568"/>
        <v>花都四部-凤凰仓</v>
      </c>
      <c r="G9258" s="1" t="str">
        <f t="shared" si="2571"/>
        <v>卡卡杜个人护理店（抖店）</v>
      </c>
      <c r="H9258" s="1" t="str">
        <f t="shared" si="2569"/>
        <v>正常订单</v>
      </c>
      <c r="I9258" s="1" t="str">
        <f t="shared" si="2570"/>
        <v>已发货</v>
      </c>
      <c r="J9258" s="1" t="str">
        <f t="shared" si="2576"/>
        <v>2</v>
      </c>
      <c r="K9258" s="1">
        <v>1</v>
      </c>
      <c r="L9258" s="1" t="s">
        <v>20</v>
      </c>
      <c r="M9258" s="1" t="str">
        <f>"浙江省 衢州市 衢江区 樟潭街道"</f>
        <v>浙江省 衢州市 衢江区 樟潭街道</v>
      </c>
      <c r="N9258" s="1" t="str">
        <f t="shared" si="2575"/>
        <v>凡华云仓-韵达-抖音</v>
      </c>
      <c r="O9258" s="5">
        <v>320158399853444</v>
      </c>
      <c r="P9258" s="6">
        <v>0.33</v>
      </c>
      <c r="Q9258" s="11">
        <v>2.2999999999999998</v>
      </c>
      <c r="R9258" s="11"/>
      <c r="S9258" s="11"/>
      <c r="T9258" s="11"/>
      <c r="U9258" s="11">
        <f t="shared" si="2573"/>
        <v>2.2999999999999998</v>
      </c>
      <c r="W9258">
        <v>2.5</v>
      </c>
      <c r="X9258" s="1" t="s">
        <v>20</v>
      </c>
    </row>
    <row r="9259" spans="1:24" x14ac:dyDescent="0.25">
      <c r="A9259" s="1" t="str">
        <f t="shared" ref="A9259:A9322" si="2577">"卡卡杜-凤凰仓"</f>
        <v>卡卡杜-凤凰仓</v>
      </c>
      <c r="B9259" s="1" t="str">
        <f>"CK2024100614298"</f>
        <v>CK2024100614298</v>
      </c>
      <c r="C9259" s="1" t="str">
        <f>"DD2024100644522"</f>
        <v>DD2024100644522</v>
      </c>
      <c r="D9259" s="1" t="str">
        <f>"CK2024100640723"</f>
        <v>CK2024100640723</v>
      </c>
      <c r="E9259" s="1" t="str">
        <f>"6917865997279722935"</f>
        <v>6917865997279722935</v>
      </c>
      <c r="F9259" s="1" t="str">
        <f t="shared" ref="F9259:F9322" si="2578">"花都四部-凤凰仓"</f>
        <v>花都四部-凤凰仓</v>
      </c>
      <c r="G9259" s="1" t="str">
        <f t="shared" si="2571"/>
        <v>卡卡杜个人护理店（抖店）</v>
      </c>
      <c r="H9259" s="1" t="str">
        <f t="shared" ref="H9259:H9322" si="2579">"正常订单"</f>
        <v>正常订单</v>
      </c>
      <c r="I9259" s="1" t="str">
        <f t="shared" ref="I9259:I9322" si="2580">"已发货"</f>
        <v>已发货</v>
      </c>
      <c r="J9259" s="1" t="str">
        <f t="shared" si="2576"/>
        <v>2</v>
      </c>
      <c r="K9259" s="1">
        <v>1</v>
      </c>
      <c r="L9259" s="1" t="s">
        <v>20</v>
      </c>
      <c r="M9259" s="1" t="str">
        <f>"浙江省 绍兴市 上虞区 曹娥街道"</f>
        <v>浙江省 绍兴市 上虞区 曹娥街道</v>
      </c>
      <c r="N9259" s="1" t="str">
        <f t="shared" si="2575"/>
        <v>凡华云仓-韵达-抖音</v>
      </c>
      <c r="O9259" s="5">
        <v>320158399853349</v>
      </c>
      <c r="P9259" s="6">
        <v>0.33</v>
      </c>
      <c r="Q9259" s="11">
        <v>2.2999999999999998</v>
      </c>
      <c r="R9259" s="11"/>
      <c r="S9259" s="11"/>
      <c r="T9259" s="11"/>
      <c r="U9259" s="11">
        <f t="shared" si="2573"/>
        <v>2.2999999999999998</v>
      </c>
      <c r="W9259">
        <v>2.5</v>
      </c>
      <c r="X9259" s="1" t="s">
        <v>20</v>
      </c>
    </row>
    <row r="9260" spans="1:24" x14ac:dyDescent="0.25">
      <c r="A9260" s="1" t="str">
        <f t="shared" si="2577"/>
        <v>卡卡杜-凤凰仓</v>
      </c>
      <c r="B9260" s="1" t="str">
        <f>"CK2024100614299"</f>
        <v>CK2024100614299</v>
      </c>
      <c r="C9260" s="1" t="str">
        <f>"DD2024100644521"</f>
        <v>DD2024100644521</v>
      </c>
      <c r="D9260" s="1" t="str">
        <f>"CK2024100640722"</f>
        <v>CK2024100640722</v>
      </c>
      <c r="E9260" s="1" t="str">
        <f>"6917868248091688648"</f>
        <v>6917868248091688648</v>
      </c>
      <c r="F9260" s="1" t="str">
        <f t="shared" si="2578"/>
        <v>花都四部-凤凰仓</v>
      </c>
      <c r="G9260" s="1" t="str">
        <f t="shared" si="2571"/>
        <v>卡卡杜个人护理店（抖店）</v>
      </c>
      <c r="H9260" s="1" t="str">
        <f t="shared" si="2579"/>
        <v>正常订单</v>
      </c>
      <c r="I9260" s="1" t="str">
        <f t="shared" si="2580"/>
        <v>已发货</v>
      </c>
      <c r="J9260" s="1" t="str">
        <f t="shared" si="2576"/>
        <v>2</v>
      </c>
      <c r="K9260" s="1">
        <v>1</v>
      </c>
      <c r="L9260" s="1" t="s">
        <v>20</v>
      </c>
      <c r="M9260" s="1" t="str">
        <f>"浙江省 宁波市 北仑区 小港街道"</f>
        <v>浙江省 宁波市 北仑区 小港街道</v>
      </c>
      <c r="N9260" s="1" t="str">
        <f t="shared" si="2575"/>
        <v>凡华云仓-韵达-抖音</v>
      </c>
      <c r="O9260" s="5">
        <v>320158399853256</v>
      </c>
      <c r="P9260" s="6">
        <v>0.33</v>
      </c>
      <c r="Q9260" s="11">
        <v>2.2999999999999998</v>
      </c>
      <c r="R9260" s="11"/>
      <c r="S9260" s="11"/>
      <c r="T9260" s="11"/>
      <c r="U9260" s="11">
        <f t="shared" si="2573"/>
        <v>2.2999999999999998</v>
      </c>
      <c r="W9260">
        <v>2.5</v>
      </c>
      <c r="X9260" s="1" t="s">
        <v>20</v>
      </c>
    </row>
    <row r="9261" spans="1:24" x14ac:dyDescent="0.25">
      <c r="A9261" s="1" t="str">
        <f t="shared" si="2577"/>
        <v>卡卡杜-凤凰仓</v>
      </c>
      <c r="B9261" s="1" t="str">
        <f>"CK2024100614343"</f>
        <v>CK2024100614343</v>
      </c>
      <c r="C9261" s="1" t="str">
        <f>"DD2024100644566"</f>
        <v>DD2024100644566</v>
      </c>
      <c r="D9261" s="1" t="str">
        <f>"CK2024100640721"</f>
        <v>CK2024100640721</v>
      </c>
      <c r="E9261" s="1" t="str">
        <f>"6917869838106000795"</f>
        <v>6917869838106000795</v>
      </c>
      <c r="F9261" s="1" t="str">
        <f t="shared" si="2578"/>
        <v>花都四部-凤凰仓</v>
      </c>
      <c r="G9261" s="1" t="str">
        <f t="shared" si="2571"/>
        <v>卡卡杜个人护理店（抖店）</v>
      </c>
      <c r="H9261" s="1" t="str">
        <f t="shared" si="2579"/>
        <v>正常订单</v>
      </c>
      <c r="I9261" s="1" t="str">
        <f t="shared" si="2580"/>
        <v>已发货</v>
      </c>
      <c r="J9261" s="1" t="str">
        <f t="shared" si="2576"/>
        <v>2</v>
      </c>
      <c r="K9261" s="1">
        <v>1</v>
      </c>
      <c r="L9261" s="1" t="s">
        <v>24</v>
      </c>
      <c r="M9261" s="1" t="str">
        <f>"福建省 漳州市 东山县 陈城镇"</f>
        <v>福建省 漳州市 东山县 陈城镇</v>
      </c>
      <c r="N9261" s="1" t="str">
        <f t="shared" si="2575"/>
        <v>凡华云仓-韵达-抖音</v>
      </c>
      <c r="O9261" s="5">
        <v>320158399853165</v>
      </c>
      <c r="P9261" s="6">
        <v>0.33</v>
      </c>
      <c r="Q9261" s="11">
        <v>2.2999999999999998</v>
      </c>
      <c r="R9261" s="11"/>
      <c r="S9261" s="11"/>
      <c r="T9261" s="11"/>
      <c r="U9261" s="11">
        <f t="shared" si="2573"/>
        <v>2.2999999999999998</v>
      </c>
      <c r="W9261">
        <v>2.5</v>
      </c>
      <c r="X9261" s="1" t="s">
        <v>24</v>
      </c>
    </row>
    <row r="9262" spans="1:24" x14ac:dyDescent="0.25">
      <c r="A9262" s="1" t="str">
        <f t="shared" si="2577"/>
        <v>卡卡杜-凤凰仓</v>
      </c>
      <c r="B9262" s="1" t="str">
        <f>"CK2024100614345"</f>
        <v>CK2024100614345</v>
      </c>
      <c r="C9262" s="1" t="str">
        <f>"DD2024100644568"</f>
        <v>DD2024100644568</v>
      </c>
      <c r="D9262" s="1" t="str">
        <f>"CK2024100640720"</f>
        <v>CK2024100640720</v>
      </c>
      <c r="E9262" s="1" t="str">
        <f>"6917863677378264658"</f>
        <v>6917863677378264658</v>
      </c>
      <c r="F9262" s="1" t="str">
        <f t="shared" si="2578"/>
        <v>花都四部-凤凰仓</v>
      </c>
      <c r="G9262" s="1" t="str">
        <f t="shared" si="2571"/>
        <v>卡卡杜个人护理店（抖店）</v>
      </c>
      <c r="H9262" s="1" t="str">
        <f t="shared" si="2579"/>
        <v>正常订单</v>
      </c>
      <c r="I9262" s="1" t="str">
        <f t="shared" si="2580"/>
        <v>已发货</v>
      </c>
      <c r="J9262" s="1" t="str">
        <f t="shared" si="2576"/>
        <v>2</v>
      </c>
      <c r="K9262" s="1">
        <v>1</v>
      </c>
      <c r="L9262" s="1" t="s">
        <v>24</v>
      </c>
      <c r="M9262" s="1" t="str">
        <f>"福建省 莆田市 城厢区 龙桥街道"</f>
        <v>福建省 莆田市 城厢区 龙桥街道</v>
      </c>
      <c r="N9262" s="1" t="str">
        <f t="shared" si="2575"/>
        <v>凡华云仓-韵达-抖音</v>
      </c>
      <c r="O9262" s="5">
        <v>320158399853076</v>
      </c>
      <c r="P9262" s="6">
        <v>0.33</v>
      </c>
      <c r="Q9262" s="11">
        <v>2.2999999999999998</v>
      </c>
      <c r="R9262" s="11"/>
      <c r="S9262" s="11"/>
      <c r="T9262" s="11"/>
      <c r="U9262" s="11">
        <f t="shared" si="2573"/>
        <v>2.2999999999999998</v>
      </c>
      <c r="W9262">
        <v>2.5</v>
      </c>
      <c r="X9262" s="1" t="s">
        <v>24</v>
      </c>
    </row>
    <row r="9263" spans="1:24" x14ac:dyDescent="0.25">
      <c r="A9263" s="1" t="str">
        <f t="shared" si="2577"/>
        <v>卡卡杜-凤凰仓</v>
      </c>
      <c r="B9263" s="1" t="str">
        <f>"CK2024100614321"</f>
        <v>CK2024100614321</v>
      </c>
      <c r="C9263" s="1" t="str">
        <f>"DD2024100644544"</f>
        <v>DD2024100644544</v>
      </c>
      <c r="D9263" s="1" t="str">
        <f>"CK2024100640719"</f>
        <v>CK2024100640719</v>
      </c>
      <c r="E9263" s="1" t="str">
        <f>"6917861405046636104"</f>
        <v>6917861405046636104</v>
      </c>
      <c r="F9263" s="1" t="str">
        <f t="shared" si="2578"/>
        <v>花都四部-凤凰仓</v>
      </c>
      <c r="G9263" s="1" t="str">
        <f t="shared" si="2571"/>
        <v>卡卡杜个人护理店（抖店）</v>
      </c>
      <c r="H9263" s="1" t="str">
        <f t="shared" si="2579"/>
        <v>正常订单</v>
      </c>
      <c r="I9263" s="1" t="str">
        <f t="shared" si="2580"/>
        <v>已发货</v>
      </c>
      <c r="J9263" s="1" t="str">
        <f>"40"</f>
        <v>40</v>
      </c>
      <c r="K9263" s="1">
        <v>1</v>
      </c>
      <c r="L9263" s="1" t="s">
        <v>80</v>
      </c>
      <c r="M9263" s="1" t="str">
        <f>"河南省 焦作市 沁阳市 太行街道"</f>
        <v>河南省 焦作市 沁阳市 太行街道</v>
      </c>
      <c r="N9263" s="1" t="str">
        <f t="shared" si="2575"/>
        <v>凡华云仓-韵达-抖音</v>
      </c>
      <c r="O9263" s="5">
        <v>320158403409906</v>
      </c>
      <c r="P9263" s="6">
        <v>5.3</v>
      </c>
      <c r="Q9263" s="11">
        <f>ROUNDUP(P9263,0)*VLOOKUP(L:L,'[1]3KG报价'!A:C,3,0)+VLOOKUP(L:L,'[1]3KG报价'!A:B,2,0)+0.8</f>
        <v>19.3</v>
      </c>
      <c r="R9263" s="11"/>
      <c r="S9263" s="11"/>
      <c r="T9263" s="11"/>
      <c r="U9263" s="11">
        <f t="shared" si="2573"/>
        <v>19.3</v>
      </c>
      <c r="V9263" t="s">
        <v>1212</v>
      </c>
      <c r="W9263">
        <v>19.3</v>
      </c>
      <c r="X9263" s="1" t="s">
        <v>80</v>
      </c>
    </row>
    <row r="9264" spans="1:24" x14ac:dyDescent="0.25">
      <c r="A9264" s="1" t="str">
        <f t="shared" si="2577"/>
        <v>卡卡杜-凤凰仓</v>
      </c>
      <c r="B9264" s="1" t="str">
        <f>"CK2024100614334"</f>
        <v>CK2024100614334</v>
      </c>
      <c r="C9264" s="1" t="str">
        <f>"DD2024100644558"</f>
        <v>DD2024100644558</v>
      </c>
      <c r="D9264" s="1" t="str">
        <f>"CK2024100640718"</f>
        <v>CK2024100640718</v>
      </c>
      <c r="E9264" s="1" t="str">
        <f>"6917863685308644498"</f>
        <v>6917863685308644498</v>
      </c>
      <c r="F9264" s="1" t="str">
        <f t="shared" si="2578"/>
        <v>花都四部-凤凰仓</v>
      </c>
      <c r="G9264" s="1" t="str">
        <f t="shared" si="2571"/>
        <v>卡卡杜个人护理店（抖店）</v>
      </c>
      <c r="H9264" s="1" t="str">
        <f t="shared" si="2579"/>
        <v>正常订单</v>
      </c>
      <c r="I9264" s="1" t="str">
        <f t="shared" si="2580"/>
        <v>已发货</v>
      </c>
      <c r="J9264" s="1" t="str">
        <f t="shared" ref="J9264:J9267" si="2581">"2"</f>
        <v>2</v>
      </c>
      <c r="K9264" s="1">
        <v>2</v>
      </c>
      <c r="L9264" s="1" t="s">
        <v>52</v>
      </c>
      <c r="M9264" s="1" t="str">
        <f>"甘肃省 临夏回族自治州 临夏市 城南街道"</f>
        <v>甘肃省 临夏回族自治州 临夏市 城南街道</v>
      </c>
      <c r="N9264" s="1" t="str">
        <f t="shared" si="2575"/>
        <v>凡华云仓-韵达-抖音</v>
      </c>
      <c r="O9264" s="5">
        <v>320158403409801</v>
      </c>
      <c r="P9264" s="6">
        <v>0.28000000000000003</v>
      </c>
      <c r="Q9264" s="11">
        <v>2</v>
      </c>
      <c r="R9264" s="11"/>
      <c r="S9264" s="11"/>
      <c r="T9264" s="11"/>
      <c r="U9264" s="11">
        <f t="shared" si="2573"/>
        <v>2</v>
      </c>
      <c r="W9264">
        <v>2.2000000000000002</v>
      </c>
      <c r="X9264" s="1" t="s">
        <v>52</v>
      </c>
    </row>
    <row r="9265" spans="1:24" x14ac:dyDescent="0.25">
      <c r="A9265" s="1" t="str">
        <f t="shared" si="2577"/>
        <v>卡卡杜-凤凰仓</v>
      </c>
      <c r="B9265" s="1" t="str">
        <f>"CK2024100614330"</f>
        <v>CK2024100614330</v>
      </c>
      <c r="C9265" s="1" t="str">
        <f>"DD2024100644553"</f>
        <v>DD2024100644553</v>
      </c>
      <c r="D9265" s="1" t="str">
        <f>"CK2024100640717"</f>
        <v>CK2024100640717</v>
      </c>
      <c r="E9265" s="1" t="str">
        <f>"6917868447780601671"</f>
        <v>6917868447780601671</v>
      </c>
      <c r="F9265" s="1" t="str">
        <f t="shared" si="2578"/>
        <v>花都四部-凤凰仓</v>
      </c>
      <c r="G9265" s="1" t="str">
        <f t="shared" si="2571"/>
        <v>卡卡杜个人护理店（抖店）</v>
      </c>
      <c r="H9265" s="1" t="str">
        <f t="shared" si="2579"/>
        <v>正常订单</v>
      </c>
      <c r="I9265" s="1" t="str">
        <f t="shared" si="2580"/>
        <v>已发货</v>
      </c>
      <c r="J9265" s="1" t="str">
        <f t="shared" si="2581"/>
        <v>2</v>
      </c>
      <c r="K9265" s="1">
        <v>1</v>
      </c>
      <c r="L9265" s="1" t="s">
        <v>22</v>
      </c>
      <c r="M9265" s="1" t="str">
        <f>"江西省 南昌市 新建区 "</f>
        <v xml:space="preserve">江西省 南昌市 新建区 </v>
      </c>
      <c r="N9265" s="1" t="str">
        <f t="shared" si="2575"/>
        <v>凡华云仓-韵达-抖音</v>
      </c>
      <c r="O9265" s="5">
        <v>320158403409798</v>
      </c>
      <c r="P9265" s="6">
        <v>0.33</v>
      </c>
      <c r="Q9265" s="11">
        <v>2.2999999999999998</v>
      </c>
      <c r="R9265" s="11"/>
      <c r="S9265" s="11"/>
      <c r="T9265" s="11"/>
      <c r="U9265" s="11">
        <f t="shared" si="2573"/>
        <v>2.2999999999999998</v>
      </c>
      <c r="W9265">
        <v>2.5</v>
      </c>
      <c r="X9265" s="1" t="s">
        <v>22</v>
      </c>
    </row>
    <row r="9266" spans="1:24" x14ac:dyDescent="0.25">
      <c r="A9266" s="1" t="str">
        <f t="shared" si="2577"/>
        <v>卡卡杜-凤凰仓</v>
      </c>
      <c r="B9266" s="1" t="str">
        <f>"CK2024100614288"</f>
        <v>CK2024100614288</v>
      </c>
      <c r="C9266" s="1" t="str">
        <f>"DD2024100644511"</f>
        <v>DD2024100644511</v>
      </c>
      <c r="D9266" s="1" t="str">
        <f>"CK2024100640716"</f>
        <v>CK2024100640716</v>
      </c>
      <c r="E9266" s="1" t="str">
        <f>"6917865746684542756"</f>
        <v>6917865746684542756</v>
      </c>
      <c r="F9266" s="1" t="str">
        <f t="shared" si="2578"/>
        <v>花都四部-凤凰仓</v>
      </c>
      <c r="G9266" s="1" t="str">
        <f t="shared" si="2571"/>
        <v>卡卡杜个人护理店（抖店）</v>
      </c>
      <c r="H9266" s="1" t="str">
        <f t="shared" si="2579"/>
        <v>正常订单</v>
      </c>
      <c r="I9266" s="1" t="str">
        <f t="shared" si="2580"/>
        <v>已发货</v>
      </c>
      <c r="J9266" s="1" t="str">
        <f t="shared" si="2581"/>
        <v>2</v>
      </c>
      <c r="K9266" s="1">
        <v>1</v>
      </c>
      <c r="L9266" s="1" t="s">
        <v>24</v>
      </c>
      <c r="M9266" s="1" t="str">
        <f>"福建省 莆田市 仙游县 枫亭镇"</f>
        <v>福建省 莆田市 仙游县 枫亭镇</v>
      </c>
      <c r="N9266" s="1" t="str">
        <f t="shared" si="2575"/>
        <v>凡华云仓-韵达-抖音</v>
      </c>
      <c r="O9266" s="5">
        <v>320158403409697</v>
      </c>
      <c r="P9266" s="6">
        <v>0.33</v>
      </c>
      <c r="Q9266" s="11">
        <v>2.2999999999999998</v>
      </c>
      <c r="R9266" s="11"/>
      <c r="S9266" s="11"/>
      <c r="T9266" s="11"/>
      <c r="U9266" s="11">
        <f t="shared" si="2573"/>
        <v>2.2999999999999998</v>
      </c>
      <c r="W9266">
        <v>2.5</v>
      </c>
      <c r="X9266" s="1" t="s">
        <v>24</v>
      </c>
    </row>
    <row r="9267" spans="1:24" x14ac:dyDescent="0.25">
      <c r="A9267" s="1" t="str">
        <f t="shared" si="2577"/>
        <v>卡卡杜-凤凰仓</v>
      </c>
      <c r="B9267" s="1" t="str">
        <f>"CK2024100614286"</f>
        <v>CK2024100614286</v>
      </c>
      <c r="C9267" s="1" t="str">
        <f>"DD2024100644509"</f>
        <v>DD2024100644509</v>
      </c>
      <c r="D9267" s="1" t="str">
        <f>"CK2024100640715"</f>
        <v>CK2024100640715</v>
      </c>
      <c r="E9267" s="1" t="str">
        <f>"6917863583258738216"</f>
        <v>6917863583258738216</v>
      </c>
      <c r="F9267" s="1" t="str">
        <f t="shared" si="2578"/>
        <v>花都四部-凤凰仓</v>
      </c>
      <c r="G9267" s="1" t="str">
        <f t="shared" si="2571"/>
        <v>卡卡杜个人护理店（抖店）</v>
      </c>
      <c r="H9267" s="1" t="str">
        <f t="shared" si="2579"/>
        <v>正常订单</v>
      </c>
      <c r="I9267" s="1" t="str">
        <f t="shared" si="2580"/>
        <v>已发货</v>
      </c>
      <c r="J9267" s="1" t="str">
        <f t="shared" si="2581"/>
        <v>2</v>
      </c>
      <c r="K9267" s="1">
        <v>1</v>
      </c>
      <c r="L9267" s="1" t="s">
        <v>18</v>
      </c>
      <c r="M9267" s="1" t="str">
        <f>"广东省 梅州市 五华县 水寨镇"</f>
        <v>广东省 梅州市 五华县 水寨镇</v>
      </c>
      <c r="N9267" s="1" t="str">
        <f t="shared" si="2575"/>
        <v>凡华云仓-韵达-抖音</v>
      </c>
      <c r="O9267" s="5">
        <v>320158403409598</v>
      </c>
      <c r="P9267" s="6">
        <v>0.33</v>
      </c>
      <c r="Q9267" s="11">
        <v>2.2999999999999998</v>
      </c>
      <c r="R9267" s="11"/>
      <c r="S9267" s="11"/>
      <c r="T9267" s="11"/>
      <c r="U9267" s="11">
        <f t="shared" si="2573"/>
        <v>2.2999999999999998</v>
      </c>
      <c r="W9267">
        <v>2.5</v>
      </c>
      <c r="X9267" s="1" t="s">
        <v>18</v>
      </c>
    </row>
    <row r="9268" spans="1:24" x14ac:dyDescent="0.25">
      <c r="A9268" s="1" t="str">
        <f t="shared" si="2577"/>
        <v>卡卡杜-凤凰仓</v>
      </c>
      <c r="B9268" s="1" t="str">
        <f>"CK2024101926422"</f>
        <v>CK2024101926422</v>
      </c>
      <c r="C9268" s="1" t="str">
        <f>"DD2024101961343"</f>
        <v>DD2024101961343</v>
      </c>
      <c r="D9268" s="1" t="str">
        <f>"CK2024101948739"</f>
        <v>CK2024101948739</v>
      </c>
      <c r="E9268" s="1" t="str">
        <f>"2429301914779551"</f>
        <v>2429301914779551</v>
      </c>
      <c r="F9268" s="1" t="str">
        <f t="shared" si="2578"/>
        <v>花都四部-凤凰仓</v>
      </c>
      <c r="G9268" s="1" t="str">
        <f>"卡卡杜佳旺专卖店（快手店）"</f>
        <v>卡卡杜佳旺专卖店（快手店）</v>
      </c>
      <c r="H9268" s="1" t="str">
        <f t="shared" si="2579"/>
        <v>正常订单</v>
      </c>
      <c r="I9268" s="1" t="str">
        <f t="shared" si="2580"/>
        <v>已发货</v>
      </c>
      <c r="J9268" s="1" t="str">
        <f>"4"</f>
        <v>4</v>
      </c>
      <c r="K9268" s="1">
        <v>1</v>
      </c>
      <c r="L9268" s="1" t="s">
        <v>109</v>
      </c>
      <c r="M9268" s="1" t="str">
        <f>"山西省 太原市 小店区 小店街道"</f>
        <v>山西省 太原市 小店区 小店街道</v>
      </c>
      <c r="N9268" s="1" t="str">
        <f>"凡华云仓-城南圆通-快手"</f>
        <v>凡华云仓-城南圆通-快手</v>
      </c>
      <c r="O9268" s="5" t="s">
        <v>5676</v>
      </c>
      <c r="P9268" s="6">
        <v>0.57999999999999996</v>
      </c>
      <c r="Q9268" s="11">
        <f>CEILING(P9268-0.5,0.1)*10*0.15+2.3</f>
        <v>2.4499999999999997</v>
      </c>
      <c r="R9268" s="11"/>
      <c r="S9268" s="11"/>
      <c r="T9268" s="11"/>
      <c r="U9268" s="11">
        <f t="shared" si="2573"/>
        <v>2.4499999999999997</v>
      </c>
      <c r="V9268" t="s">
        <v>15</v>
      </c>
      <c r="W9268">
        <v>2.4500000000000002</v>
      </c>
      <c r="X9268" s="1" t="s">
        <v>109</v>
      </c>
    </row>
    <row r="9269" spans="1:24" x14ac:dyDescent="0.25">
      <c r="A9269" s="1" t="str">
        <f t="shared" si="2577"/>
        <v>卡卡杜-凤凰仓</v>
      </c>
      <c r="B9269" s="1" t="str">
        <f>"CK2024100614243"</f>
        <v>CK2024100614243</v>
      </c>
      <c r="C9269" s="1" t="str">
        <f>"DD2024100644467"</f>
        <v>DD2024100644467</v>
      </c>
      <c r="D9269" s="1" t="str">
        <f>"CK2024100640713"</f>
        <v>CK2024100640713</v>
      </c>
      <c r="E9269" s="1" t="str">
        <f>"6917863517620108620"</f>
        <v>6917863517620108620</v>
      </c>
      <c r="F9269" s="1" t="str">
        <f t="shared" si="2578"/>
        <v>花都四部-凤凰仓</v>
      </c>
      <c r="G9269" s="1" t="str">
        <f t="shared" si="2571"/>
        <v>卡卡杜个人护理店（抖店）</v>
      </c>
      <c r="H9269" s="1" t="str">
        <f t="shared" si="2579"/>
        <v>正常订单</v>
      </c>
      <c r="I9269" s="1" t="str">
        <f t="shared" si="2580"/>
        <v>已发货</v>
      </c>
      <c r="J9269" s="1" t="str">
        <f t="shared" ref="J9269:J9289" si="2582">"2"</f>
        <v>2</v>
      </c>
      <c r="K9269" s="1">
        <v>1</v>
      </c>
      <c r="L9269" s="1" t="s">
        <v>18</v>
      </c>
      <c r="M9269" s="1" t="str">
        <f>"广东省 湛江市 廉江市 石角镇"</f>
        <v>广东省 湛江市 廉江市 石角镇</v>
      </c>
      <c r="N9269" s="1" t="str">
        <f t="shared" si="2575"/>
        <v>凡华云仓-韵达-抖音</v>
      </c>
      <c r="O9269" s="5">
        <v>320158403409306</v>
      </c>
      <c r="P9269" s="6">
        <v>0.33</v>
      </c>
      <c r="Q9269" s="11">
        <v>2.2999999999999998</v>
      </c>
      <c r="R9269" s="11"/>
      <c r="S9269" s="11"/>
      <c r="T9269" s="11"/>
      <c r="U9269" s="11">
        <f t="shared" si="2573"/>
        <v>2.2999999999999998</v>
      </c>
      <c r="W9269">
        <v>2.5</v>
      </c>
      <c r="X9269" s="1" t="s">
        <v>18</v>
      </c>
    </row>
    <row r="9270" spans="1:24" x14ac:dyDescent="0.25">
      <c r="A9270" s="1" t="str">
        <f t="shared" si="2577"/>
        <v>卡卡杜-凤凰仓</v>
      </c>
      <c r="B9270" s="1" t="str">
        <f>"CK2024100614247"</f>
        <v>CK2024100614247</v>
      </c>
      <c r="C9270" s="1" t="str">
        <f>"DD2024100644470"</f>
        <v>DD2024100644470</v>
      </c>
      <c r="D9270" s="1" t="str">
        <f>"CK2024100640712"</f>
        <v>CK2024100640712</v>
      </c>
      <c r="E9270" s="1" t="str">
        <f>"6917861248048922564"</f>
        <v>6917861248048922564</v>
      </c>
      <c r="F9270" s="1" t="str">
        <f t="shared" si="2578"/>
        <v>花都四部-凤凰仓</v>
      </c>
      <c r="G9270" s="1" t="str">
        <f t="shared" si="2571"/>
        <v>卡卡杜个人护理店（抖店）</v>
      </c>
      <c r="H9270" s="1" t="str">
        <f t="shared" si="2579"/>
        <v>正常订单</v>
      </c>
      <c r="I9270" s="1" t="str">
        <f t="shared" si="2580"/>
        <v>已发货</v>
      </c>
      <c r="J9270" s="1" t="str">
        <f t="shared" si="2582"/>
        <v>2</v>
      </c>
      <c r="K9270" s="1">
        <v>1</v>
      </c>
      <c r="L9270" s="1" t="s">
        <v>94</v>
      </c>
      <c r="M9270" s="1" t="str">
        <f>"湖南省 湘潭市 湘潭县 易俗河镇"</f>
        <v>湖南省 湘潭市 湘潭县 易俗河镇</v>
      </c>
      <c r="N9270" s="1" t="str">
        <f t="shared" si="2575"/>
        <v>凡华云仓-韵达-抖音</v>
      </c>
      <c r="O9270" s="5">
        <v>320158403409213</v>
      </c>
      <c r="P9270" s="6">
        <v>0.33</v>
      </c>
      <c r="Q9270" s="11">
        <v>2.2999999999999998</v>
      </c>
      <c r="R9270" s="11"/>
      <c r="S9270" s="11"/>
      <c r="T9270" s="11"/>
      <c r="U9270" s="11">
        <f t="shared" si="2573"/>
        <v>2.2999999999999998</v>
      </c>
      <c r="W9270">
        <v>2.5</v>
      </c>
      <c r="X9270" s="1" t="s">
        <v>94</v>
      </c>
    </row>
    <row r="9271" spans="1:24" x14ac:dyDescent="0.25">
      <c r="A9271" s="1" t="str">
        <f t="shared" si="2577"/>
        <v>卡卡杜-凤凰仓</v>
      </c>
      <c r="B9271" s="1" t="str">
        <f>"CK2024100614244"</f>
        <v>CK2024100614244</v>
      </c>
      <c r="C9271" s="1" t="str">
        <f>"DD2024100644466"</f>
        <v>DD2024100644466</v>
      </c>
      <c r="D9271" s="1" t="str">
        <f>"CK2024100640711"</f>
        <v>CK2024100640711</v>
      </c>
      <c r="E9271" s="1" t="str">
        <f>"6917861114854931971"</f>
        <v>6917861114854931971</v>
      </c>
      <c r="F9271" s="1" t="str">
        <f t="shared" si="2578"/>
        <v>花都四部-凤凰仓</v>
      </c>
      <c r="G9271" s="1" t="str">
        <f t="shared" si="2571"/>
        <v>卡卡杜个人护理店（抖店）</v>
      </c>
      <c r="H9271" s="1" t="str">
        <f t="shared" si="2579"/>
        <v>正常订单</v>
      </c>
      <c r="I9271" s="1" t="str">
        <f t="shared" si="2580"/>
        <v>已发货</v>
      </c>
      <c r="J9271" s="1" t="str">
        <f t="shared" si="2582"/>
        <v>2</v>
      </c>
      <c r="K9271" s="1">
        <v>1</v>
      </c>
      <c r="L9271" s="1" t="s">
        <v>22</v>
      </c>
      <c r="M9271" s="1" t="str">
        <f>"江西省 上饶市 鄱阳县 鄱阳镇"</f>
        <v>江西省 上饶市 鄱阳县 鄱阳镇</v>
      </c>
      <c r="N9271" s="1" t="str">
        <f t="shared" si="2575"/>
        <v>凡华云仓-韵达-抖音</v>
      </c>
      <c r="O9271" s="5">
        <v>320158403409122</v>
      </c>
      <c r="P9271" s="6">
        <v>0.33</v>
      </c>
      <c r="Q9271" s="11">
        <v>2.2999999999999998</v>
      </c>
      <c r="R9271" s="11"/>
      <c r="S9271" s="11"/>
      <c r="T9271" s="11"/>
      <c r="U9271" s="11">
        <f t="shared" si="2573"/>
        <v>2.2999999999999998</v>
      </c>
      <c r="W9271">
        <v>2.5</v>
      </c>
      <c r="X9271" s="1" t="s">
        <v>22</v>
      </c>
    </row>
    <row r="9272" spans="1:24" x14ac:dyDescent="0.25">
      <c r="A9272" s="1" t="str">
        <f t="shared" si="2577"/>
        <v>卡卡杜-凤凰仓</v>
      </c>
      <c r="B9272" s="1" t="str">
        <f>"CK2024100614245"</f>
        <v>CK2024100614245</v>
      </c>
      <c r="C9272" s="1" t="str">
        <f>"DD2024100644468"</f>
        <v>DD2024100644468</v>
      </c>
      <c r="D9272" s="1" t="str">
        <f>"CK2024100640710"</f>
        <v>CK2024100640710</v>
      </c>
      <c r="E9272" s="1" t="str">
        <f>"6917863556895112707"</f>
        <v>6917863556895112707</v>
      </c>
      <c r="F9272" s="1" t="str">
        <f t="shared" si="2578"/>
        <v>花都四部-凤凰仓</v>
      </c>
      <c r="G9272" s="1" t="str">
        <f t="shared" si="2571"/>
        <v>卡卡杜个人护理店（抖店）</v>
      </c>
      <c r="H9272" s="1" t="str">
        <f t="shared" si="2579"/>
        <v>正常订单</v>
      </c>
      <c r="I9272" s="1" t="str">
        <f t="shared" si="2580"/>
        <v>已发货</v>
      </c>
      <c r="J9272" s="1" t="str">
        <f t="shared" si="2582"/>
        <v>2</v>
      </c>
      <c r="K9272" s="1">
        <v>1</v>
      </c>
      <c r="L9272" s="1" t="s">
        <v>22</v>
      </c>
      <c r="M9272" s="1" t="str">
        <f>"江西省 萍乡市 湘东区 湘东镇"</f>
        <v>江西省 萍乡市 湘东区 湘东镇</v>
      </c>
      <c r="N9272" s="1" t="str">
        <f t="shared" si="2575"/>
        <v>凡华云仓-韵达-抖音</v>
      </c>
      <c r="O9272" s="5">
        <v>320158403409033</v>
      </c>
      <c r="P9272" s="6">
        <v>0.33</v>
      </c>
      <c r="Q9272" s="11">
        <v>2.2999999999999998</v>
      </c>
      <c r="R9272" s="11"/>
      <c r="S9272" s="11"/>
      <c r="T9272" s="11"/>
      <c r="U9272" s="11">
        <f t="shared" si="2573"/>
        <v>2.2999999999999998</v>
      </c>
      <c r="W9272">
        <v>2.5</v>
      </c>
      <c r="X9272" s="1" t="s">
        <v>22</v>
      </c>
    </row>
    <row r="9273" spans="1:24" x14ac:dyDescent="0.25">
      <c r="A9273" s="1" t="str">
        <f t="shared" si="2577"/>
        <v>卡卡杜-凤凰仓</v>
      </c>
      <c r="B9273" s="1" t="str">
        <f>"CK2024100614329"</f>
        <v>CK2024100614329</v>
      </c>
      <c r="C9273" s="1" t="str">
        <f>"DD2024100644552"</f>
        <v>DD2024100644552</v>
      </c>
      <c r="D9273" s="1" t="str">
        <f>"CK2024100640709"</f>
        <v>CK2024100640709</v>
      </c>
      <c r="E9273" s="1" t="str">
        <f>"6917865243258158412"</f>
        <v>6917865243258158412</v>
      </c>
      <c r="F9273" s="1" t="str">
        <f t="shared" si="2578"/>
        <v>花都四部-凤凰仓</v>
      </c>
      <c r="G9273" s="1" t="str">
        <f t="shared" si="2571"/>
        <v>卡卡杜个人护理店（抖店）</v>
      </c>
      <c r="H9273" s="1" t="str">
        <f t="shared" si="2579"/>
        <v>正常订单</v>
      </c>
      <c r="I9273" s="1" t="str">
        <f t="shared" si="2580"/>
        <v>已发货</v>
      </c>
      <c r="J9273" s="1" t="str">
        <f t="shared" si="2582"/>
        <v>2</v>
      </c>
      <c r="K9273" s="1">
        <v>1</v>
      </c>
      <c r="L9273" s="1" t="s">
        <v>18</v>
      </c>
      <c r="M9273" s="1" t="str">
        <f>"广东省 深圳市 龙岗区 平湖街道"</f>
        <v>广东省 深圳市 龙岗区 平湖街道</v>
      </c>
      <c r="N9273" s="1" t="str">
        <f t="shared" si="2575"/>
        <v>凡华云仓-韵达-抖音</v>
      </c>
      <c r="O9273" s="5">
        <v>320158407210718</v>
      </c>
      <c r="P9273" s="6">
        <v>0.33</v>
      </c>
      <c r="Q9273" s="11">
        <v>2.2999999999999998</v>
      </c>
      <c r="R9273" s="11"/>
      <c r="S9273" s="11"/>
      <c r="T9273" s="11"/>
      <c r="U9273" s="11">
        <f t="shared" si="2573"/>
        <v>2.2999999999999998</v>
      </c>
      <c r="W9273">
        <v>2.5</v>
      </c>
      <c r="X9273" s="1" t="s">
        <v>18</v>
      </c>
    </row>
    <row r="9274" spans="1:24" x14ac:dyDescent="0.25">
      <c r="A9274" s="1" t="str">
        <f t="shared" si="2577"/>
        <v>卡卡杜-凤凰仓</v>
      </c>
      <c r="B9274" s="1" t="str">
        <f>"CK2024100614285"</f>
        <v>CK2024100614285</v>
      </c>
      <c r="C9274" s="1" t="str">
        <f>"DD2024100644508"</f>
        <v>DD2024100644508</v>
      </c>
      <c r="D9274" s="1" t="str">
        <f>"CK2024100640708"</f>
        <v>CK2024100640708</v>
      </c>
      <c r="E9274" s="1" t="str">
        <f>"6917869871767191138"</f>
        <v>6917869871767191138</v>
      </c>
      <c r="F9274" s="1" t="str">
        <f t="shared" si="2578"/>
        <v>花都四部-凤凰仓</v>
      </c>
      <c r="G9274" s="1" t="str">
        <f t="shared" si="2571"/>
        <v>卡卡杜个人护理店（抖店）</v>
      </c>
      <c r="H9274" s="1" t="str">
        <f t="shared" si="2579"/>
        <v>正常订单</v>
      </c>
      <c r="I9274" s="1" t="str">
        <f t="shared" si="2580"/>
        <v>已发货</v>
      </c>
      <c r="J9274" s="1" t="str">
        <f t="shared" si="2582"/>
        <v>2</v>
      </c>
      <c r="K9274" s="1">
        <v>1</v>
      </c>
      <c r="L9274" s="1" t="s">
        <v>41</v>
      </c>
      <c r="M9274" s="1" t="str">
        <f>"湖北省 黄石市 下陆区 "</f>
        <v xml:space="preserve">湖北省 黄石市 下陆区 </v>
      </c>
      <c r="N9274" s="1" t="str">
        <f t="shared" si="2575"/>
        <v>凡华云仓-韵达-抖音</v>
      </c>
      <c r="O9274" s="5">
        <v>320158407210617</v>
      </c>
      <c r="P9274" s="6">
        <v>0.33</v>
      </c>
      <c r="Q9274" s="11">
        <v>2.2999999999999998</v>
      </c>
      <c r="R9274" s="11"/>
      <c r="S9274" s="11"/>
      <c r="T9274" s="11"/>
      <c r="U9274" s="11">
        <f t="shared" si="2573"/>
        <v>2.2999999999999998</v>
      </c>
      <c r="W9274">
        <v>2.5</v>
      </c>
      <c r="X9274" s="1" t="s">
        <v>41</v>
      </c>
    </row>
    <row r="9275" spans="1:24" x14ac:dyDescent="0.25">
      <c r="A9275" s="1" t="str">
        <f t="shared" si="2577"/>
        <v>卡卡杜-凤凰仓</v>
      </c>
      <c r="B9275" s="1" t="str">
        <f>"CK2024100614328"</f>
        <v>CK2024100614328</v>
      </c>
      <c r="C9275" s="1" t="str">
        <f>"DD2024100644551"</f>
        <v>DD2024100644551</v>
      </c>
      <c r="D9275" s="1" t="str">
        <f>"CK2024100640707"</f>
        <v>CK2024100640707</v>
      </c>
      <c r="E9275" s="1" t="str">
        <f>"6917860788398685909"</f>
        <v>6917860788398685909</v>
      </c>
      <c r="F9275" s="1" t="str">
        <f t="shared" si="2578"/>
        <v>花都四部-凤凰仓</v>
      </c>
      <c r="G9275" s="1" t="str">
        <f t="shared" ref="G9275:G9285" si="2583">"卡卡杜个人护理店（抖店）"</f>
        <v>卡卡杜个人护理店（抖店）</v>
      </c>
      <c r="H9275" s="1" t="str">
        <f t="shared" si="2579"/>
        <v>正常订单</v>
      </c>
      <c r="I9275" s="1" t="str">
        <f t="shared" si="2580"/>
        <v>已发货</v>
      </c>
      <c r="J9275" s="1" t="str">
        <f t="shared" si="2582"/>
        <v>2</v>
      </c>
      <c r="K9275" s="1">
        <v>1</v>
      </c>
      <c r="L9275" s="1" t="s">
        <v>161</v>
      </c>
      <c r="M9275" s="1" t="str">
        <f>"四川省 泸州市 古蔺县 彰德街道"</f>
        <v>四川省 泸州市 古蔺县 彰德街道</v>
      </c>
      <c r="N9275" s="1" t="str">
        <f t="shared" si="2575"/>
        <v>凡华云仓-韵达-抖音</v>
      </c>
      <c r="O9275" s="5">
        <v>320158407210518</v>
      </c>
      <c r="P9275" s="6">
        <v>0.33</v>
      </c>
      <c r="Q9275" s="11">
        <v>2.2999999999999998</v>
      </c>
      <c r="R9275" s="11"/>
      <c r="S9275" s="11"/>
      <c r="T9275" s="11"/>
      <c r="U9275" s="11">
        <f t="shared" si="2573"/>
        <v>2.2999999999999998</v>
      </c>
      <c r="W9275">
        <v>2.5</v>
      </c>
      <c r="X9275" s="1" t="s">
        <v>161</v>
      </c>
    </row>
    <row r="9276" spans="1:24" x14ac:dyDescent="0.25">
      <c r="A9276" s="1" t="str">
        <f t="shared" si="2577"/>
        <v>卡卡杜-凤凰仓</v>
      </c>
      <c r="B9276" s="1" t="str">
        <f>"CK2024100614326"</f>
        <v>CK2024100614326</v>
      </c>
      <c r="C9276" s="1" t="str">
        <f>"DD2024100644549"</f>
        <v>DD2024100644549</v>
      </c>
      <c r="D9276" s="1" t="str">
        <f>"CK2024100640706"</f>
        <v>CK2024100640706</v>
      </c>
      <c r="E9276" s="1" t="str">
        <f>"6917863316737129950"</f>
        <v>6917863316737129950</v>
      </c>
      <c r="F9276" s="1" t="str">
        <f t="shared" si="2578"/>
        <v>花都四部-凤凰仓</v>
      </c>
      <c r="G9276" s="1" t="str">
        <f t="shared" si="2583"/>
        <v>卡卡杜个人护理店（抖店）</v>
      </c>
      <c r="H9276" s="1" t="str">
        <f t="shared" si="2579"/>
        <v>正常订单</v>
      </c>
      <c r="I9276" s="1" t="str">
        <f t="shared" si="2580"/>
        <v>已发货</v>
      </c>
      <c r="J9276" s="1" t="str">
        <f t="shared" si="2582"/>
        <v>2</v>
      </c>
      <c r="K9276" s="1">
        <v>1</v>
      </c>
      <c r="L9276" s="1" t="s">
        <v>30</v>
      </c>
      <c r="M9276" s="1" t="str">
        <f>"山东省 菏泽市 单县 谢集镇"</f>
        <v>山东省 菏泽市 单县 谢集镇</v>
      </c>
      <c r="N9276" s="1" t="str">
        <f t="shared" si="2575"/>
        <v>凡华云仓-韵达-抖音</v>
      </c>
      <c r="O9276" s="5">
        <v>320158407210421</v>
      </c>
      <c r="P9276" s="6">
        <v>0.33</v>
      </c>
      <c r="Q9276" s="11">
        <v>2.2999999999999998</v>
      </c>
      <c r="R9276" s="11"/>
      <c r="S9276" s="11"/>
      <c r="T9276" s="11"/>
      <c r="U9276" s="11">
        <f t="shared" si="2573"/>
        <v>2.2999999999999998</v>
      </c>
      <c r="W9276">
        <v>2.5</v>
      </c>
      <c r="X9276" s="1" t="s">
        <v>30</v>
      </c>
    </row>
    <row r="9277" spans="1:24" x14ac:dyDescent="0.25">
      <c r="A9277" s="1" t="str">
        <f t="shared" si="2577"/>
        <v>卡卡杜-凤凰仓</v>
      </c>
      <c r="B9277" s="1" t="str">
        <f>"CK2024100614332"</f>
        <v>CK2024100614332</v>
      </c>
      <c r="C9277" s="1" t="str">
        <f>"DD2024100644556"</f>
        <v>DD2024100644556</v>
      </c>
      <c r="D9277" s="1" t="str">
        <f>"CK2024100640705"</f>
        <v>CK2024100640705</v>
      </c>
      <c r="E9277" s="1" t="str">
        <f>"6917863147827527635"</f>
        <v>6917863147827527635</v>
      </c>
      <c r="F9277" s="1" t="str">
        <f t="shared" si="2578"/>
        <v>花都四部-凤凰仓</v>
      </c>
      <c r="G9277" s="1" t="str">
        <f t="shared" si="2583"/>
        <v>卡卡杜个人护理店（抖店）</v>
      </c>
      <c r="H9277" s="1" t="str">
        <f t="shared" si="2579"/>
        <v>正常订单</v>
      </c>
      <c r="I9277" s="1" t="str">
        <f t="shared" si="2580"/>
        <v>已发货</v>
      </c>
      <c r="J9277" s="1" t="str">
        <f t="shared" si="2582"/>
        <v>2</v>
      </c>
      <c r="K9277" s="1">
        <v>1</v>
      </c>
      <c r="L9277" s="1" t="s">
        <v>18</v>
      </c>
      <c r="M9277" s="1" t="str">
        <f>"广东省 佛山市 高明区 更合镇"</f>
        <v>广东省 佛山市 高明区 更合镇</v>
      </c>
      <c r="N9277" s="1" t="str">
        <f t="shared" si="2575"/>
        <v>凡华云仓-韵达-抖音</v>
      </c>
      <c r="O9277" s="5">
        <v>320158407210326</v>
      </c>
      <c r="P9277" s="6">
        <v>0.33</v>
      </c>
      <c r="Q9277" s="11">
        <v>2.2999999999999998</v>
      </c>
      <c r="R9277" s="11"/>
      <c r="S9277" s="11"/>
      <c r="T9277" s="11"/>
      <c r="U9277" s="11">
        <f t="shared" si="2573"/>
        <v>2.2999999999999998</v>
      </c>
      <c r="W9277">
        <v>2.5</v>
      </c>
      <c r="X9277" s="1" t="s">
        <v>18</v>
      </c>
    </row>
    <row r="9278" spans="1:24" x14ac:dyDescent="0.25">
      <c r="A9278" s="1" t="str">
        <f t="shared" si="2577"/>
        <v>卡卡杜-凤凰仓</v>
      </c>
      <c r="B9278" s="1" t="str">
        <f>"CK2024100614325"</f>
        <v>CK2024100614325</v>
      </c>
      <c r="C9278" s="1" t="str">
        <f>"DD2024100644548"</f>
        <v>DD2024100644548</v>
      </c>
      <c r="D9278" s="1" t="str">
        <f>"CK2024100640704"</f>
        <v>CK2024100640704</v>
      </c>
      <c r="E9278" s="1" t="str">
        <f>"6917870036755185407"</f>
        <v>6917870036755185407</v>
      </c>
      <c r="F9278" s="1" t="str">
        <f t="shared" si="2578"/>
        <v>花都四部-凤凰仓</v>
      </c>
      <c r="G9278" s="1" t="str">
        <f t="shared" si="2583"/>
        <v>卡卡杜个人护理店（抖店）</v>
      </c>
      <c r="H9278" s="1" t="str">
        <f t="shared" si="2579"/>
        <v>正常订单</v>
      </c>
      <c r="I9278" s="1" t="str">
        <f t="shared" si="2580"/>
        <v>已发货</v>
      </c>
      <c r="J9278" s="1" t="str">
        <f t="shared" si="2582"/>
        <v>2</v>
      </c>
      <c r="K9278" s="1">
        <v>1</v>
      </c>
      <c r="L9278" s="1" t="s">
        <v>20</v>
      </c>
      <c r="M9278" s="1" t="str">
        <f>"浙江省 宁波市 奉化区 溪口镇"</f>
        <v>浙江省 宁波市 奉化区 溪口镇</v>
      </c>
      <c r="N9278" s="1" t="str">
        <f t="shared" si="2575"/>
        <v>凡华云仓-韵达-抖音</v>
      </c>
      <c r="O9278" s="5">
        <v>320158407210233</v>
      </c>
      <c r="P9278" s="6">
        <v>0.33</v>
      </c>
      <c r="Q9278" s="11">
        <v>2.2999999999999998</v>
      </c>
      <c r="R9278" s="11"/>
      <c r="S9278" s="11"/>
      <c r="T9278" s="11"/>
      <c r="U9278" s="11">
        <f t="shared" si="2573"/>
        <v>2.2999999999999998</v>
      </c>
      <c r="W9278">
        <v>2.5</v>
      </c>
      <c r="X9278" s="1" t="s">
        <v>20</v>
      </c>
    </row>
    <row r="9279" spans="1:24" x14ac:dyDescent="0.25">
      <c r="A9279" s="1" t="str">
        <f t="shared" si="2577"/>
        <v>卡卡杜-凤凰仓</v>
      </c>
      <c r="B9279" s="1" t="str">
        <f>"CK2024100614331"</f>
        <v>CK2024100614331</v>
      </c>
      <c r="C9279" s="1" t="str">
        <f>"DD2024100644554"</f>
        <v>DD2024100644554</v>
      </c>
      <c r="D9279" s="1" t="str">
        <f>"CK2024100640703"</f>
        <v>CK2024100640703</v>
      </c>
      <c r="E9279" s="1" t="str">
        <f>"6917869967945989162"</f>
        <v>6917869967945989162</v>
      </c>
      <c r="F9279" s="1" t="str">
        <f t="shared" si="2578"/>
        <v>花都四部-凤凰仓</v>
      </c>
      <c r="G9279" s="1" t="str">
        <f t="shared" si="2583"/>
        <v>卡卡杜个人护理店（抖店）</v>
      </c>
      <c r="H9279" s="1" t="str">
        <f t="shared" si="2579"/>
        <v>正常订单</v>
      </c>
      <c r="I9279" s="1" t="str">
        <f t="shared" si="2580"/>
        <v>已发货</v>
      </c>
      <c r="J9279" s="1" t="str">
        <f t="shared" si="2582"/>
        <v>2</v>
      </c>
      <c r="K9279" s="1">
        <v>1</v>
      </c>
      <c r="L9279" s="1" t="s">
        <v>22</v>
      </c>
      <c r="M9279" s="1" t="str">
        <f>"江西省 南昌市 青云谱区 青云谱镇"</f>
        <v>江西省 南昌市 青云谱区 青云谱镇</v>
      </c>
      <c r="N9279" s="1" t="str">
        <f t="shared" si="2575"/>
        <v>凡华云仓-韵达-抖音</v>
      </c>
      <c r="O9279" s="5">
        <v>320158407210142</v>
      </c>
      <c r="P9279" s="6">
        <v>0.33</v>
      </c>
      <c r="Q9279" s="11">
        <v>2.2999999999999998</v>
      </c>
      <c r="R9279" s="11"/>
      <c r="S9279" s="11"/>
      <c r="T9279" s="11"/>
      <c r="U9279" s="11">
        <f t="shared" si="2573"/>
        <v>2.2999999999999998</v>
      </c>
      <c r="W9279">
        <v>2.5</v>
      </c>
      <c r="X9279" s="1" t="s">
        <v>22</v>
      </c>
    </row>
    <row r="9280" spans="1:24" x14ac:dyDescent="0.25">
      <c r="A9280" s="1" t="str">
        <f t="shared" si="2577"/>
        <v>卡卡杜-凤凰仓</v>
      </c>
      <c r="B9280" s="1" t="str">
        <f>"CK2024100614320"</f>
        <v>CK2024100614320</v>
      </c>
      <c r="C9280" s="1" t="str">
        <f>"DD2024100644542"</f>
        <v>DD2024100644542</v>
      </c>
      <c r="D9280" s="1" t="str">
        <f>"CK2024100640702"</f>
        <v>CK2024100640702</v>
      </c>
      <c r="E9280" s="1" t="str">
        <f>"6917865422950006451"</f>
        <v>6917865422950006451</v>
      </c>
      <c r="F9280" s="1" t="str">
        <f t="shared" si="2578"/>
        <v>花都四部-凤凰仓</v>
      </c>
      <c r="G9280" s="1" t="str">
        <f t="shared" si="2583"/>
        <v>卡卡杜个人护理店（抖店）</v>
      </c>
      <c r="H9280" s="1" t="str">
        <f t="shared" si="2579"/>
        <v>正常订单</v>
      </c>
      <c r="I9280" s="1" t="str">
        <f t="shared" si="2580"/>
        <v>已发货</v>
      </c>
      <c r="J9280" s="1" t="str">
        <f t="shared" si="2582"/>
        <v>2</v>
      </c>
      <c r="K9280" s="1">
        <v>1</v>
      </c>
      <c r="L9280" s="1" t="s">
        <v>96</v>
      </c>
      <c r="M9280" s="1" t="str">
        <f>"广西壮族自治区 河池市 东兰县 三石镇"</f>
        <v>广西壮族自治区 河池市 东兰县 三石镇</v>
      </c>
      <c r="N9280" s="1" t="str">
        <f t="shared" si="2575"/>
        <v>凡华云仓-韵达-抖音</v>
      </c>
      <c r="O9280" s="5">
        <v>320158407210053</v>
      </c>
      <c r="P9280" s="6">
        <v>0.33</v>
      </c>
      <c r="Q9280" s="11">
        <v>2.2999999999999998</v>
      </c>
      <c r="R9280" s="11"/>
      <c r="S9280" s="11"/>
      <c r="T9280" s="11"/>
      <c r="U9280" s="11">
        <f t="shared" si="2573"/>
        <v>2.2999999999999998</v>
      </c>
      <c r="W9280">
        <v>2.5</v>
      </c>
      <c r="X9280" s="1" t="s">
        <v>96</v>
      </c>
    </row>
    <row r="9281" spans="1:24" x14ac:dyDescent="0.25">
      <c r="A9281" s="1" t="str">
        <f t="shared" si="2577"/>
        <v>卡卡杜-凤凰仓</v>
      </c>
      <c r="B9281" s="1" t="str">
        <f>"CK2024100614322"</f>
        <v>CK2024100614322</v>
      </c>
      <c r="C9281" s="1" t="str">
        <f>"DD2024100644545"</f>
        <v>DD2024100644545</v>
      </c>
      <c r="D9281" s="1" t="str">
        <f>"CK2024100640701"</f>
        <v>CK2024100640701</v>
      </c>
      <c r="E9281" s="1" t="str">
        <f>"6917865308721741256"</f>
        <v>6917865308721741256</v>
      </c>
      <c r="F9281" s="1" t="str">
        <f t="shared" si="2578"/>
        <v>花都四部-凤凰仓</v>
      </c>
      <c r="G9281" s="1" t="str">
        <f t="shared" si="2583"/>
        <v>卡卡杜个人护理店（抖店）</v>
      </c>
      <c r="H9281" s="1" t="str">
        <f t="shared" si="2579"/>
        <v>正常订单</v>
      </c>
      <c r="I9281" s="1" t="str">
        <f t="shared" si="2580"/>
        <v>已发货</v>
      </c>
      <c r="J9281" s="1" t="str">
        <f t="shared" si="2582"/>
        <v>2</v>
      </c>
      <c r="K9281" s="1">
        <v>1</v>
      </c>
      <c r="L9281" s="1" t="s">
        <v>18</v>
      </c>
      <c r="M9281" s="1" t="str">
        <f>"广东省 广州市 海珠区 龙凤街道"</f>
        <v>广东省 广州市 海珠区 龙凤街道</v>
      </c>
      <c r="N9281" s="1" t="str">
        <f t="shared" si="2575"/>
        <v>凡华云仓-韵达-抖音</v>
      </c>
      <c r="O9281" s="5">
        <v>320158407209910</v>
      </c>
      <c r="P9281" s="6">
        <v>0.33</v>
      </c>
      <c r="Q9281" s="11">
        <v>2.2999999999999998</v>
      </c>
      <c r="R9281" s="11"/>
      <c r="S9281" s="11"/>
      <c r="T9281" s="11"/>
      <c r="U9281" s="11">
        <f t="shared" si="2573"/>
        <v>2.2999999999999998</v>
      </c>
      <c r="W9281">
        <v>2.5</v>
      </c>
      <c r="X9281" s="1" t="s">
        <v>18</v>
      </c>
    </row>
    <row r="9282" spans="1:24" x14ac:dyDescent="0.25">
      <c r="A9282" s="1" t="str">
        <f t="shared" si="2577"/>
        <v>卡卡杜-凤凰仓</v>
      </c>
      <c r="B9282" s="1" t="str">
        <f>"CK2024100614327"</f>
        <v>CK2024100614327</v>
      </c>
      <c r="C9282" s="1" t="str">
        <f>"DD2024100644550"</f>
        <v>DD2024100644550</v>
      </c>
      <c r="D9282" s="1" t="str">
        <f>"CK2024100640700"</f>
        <v>CK2024100640700</v>
      </c>
      <c r="E9282" s="1" t="str">
        <f>"6917865190158138728"</f>
        <v>6917865190158138728</v>
      </c>
      <c r="F9282" s="1" t="str">
        <f t="shared" si="2578"/>
        <v>花都四部-凤凰仓</v>
      </c>
      <c r="G9282" s="1" t="str">
        <f t="shared" si="2583"/>
        <v>卡卡杜个人护理店（抖店）</v>
      </c>
      <c r="H9282" s="1" t="str">
        <f t="shared" si="2579"/>
        <v>正常订单</v>
      </c>
      <c r="I9282" s="1" t="str">
        <f t="shared" si="2580"/>
        <v>已发货</v>
      </c>
      <c r="J9282" s="1" t="str">
        <f t="shared" si="2582"/>
        <v>2</v>
      </c>
      <c r="K9282" s="1">
        <v>1</v>
      </c>
      <c r="L9282" s="1" t="s">
        <v>18</v>
      </c>
      <c r="M9282" s="1" t="str">
        <f>"广东省 珠海市 香洲区 拱北街道"</f>
        <v>广东省 珠海市 香洲区 拱北街道</v>
      </c>
      <c r="N9282" s="1" t="str">
        <f t="shared" si="2575"/>
        <v>凡华云仓-韵达-抖音</v>
      </c>
      <c r="O9282" s="5">
        <v>320158407209805</v>
      </c>
      <c r="P9282" s="6">
        <v>0.33</v>
      </c>
      <c r="Q9282" s="11">
        <v>2.2999999999999998</v>
      </c>
      <c r="R9282" s="11"/>
      <c r="S9282" s="11"/>
      <c r="T9282" s="11"/>
      <c r="U9282" s="11">
        <f t="shared" si="2573"/>
        <v>2.2999999999999998</v>
      </c>
      <c r="W9282">
        <v>2.5</v>
      </c>
      <c r="X9282" s="1" t="s">
        <v>18</v>
      </c>
    </row>
    <row r="9283" spans="1:24" x14ac:dyDescent="0.25">
      <c r="A9283" s="1" t="str">
        <f t="shared" si="2577"/>
        <v>卡卡杜-凤凰仓</v>
      </c>
      <c r="B9283" s="1" t="str">
        <f>"CK2024100614323"</f>
        <v>CK2024100614323</v>
      </c>
      <c r="C9283" s="1" t="str">
        <f>"DD2024100644546"</f>
        <v>DD2024100644546</v>
      </c>
      <c r="D9283" s="1" t="str">
        <f>"CK2024100640699"</f>
        <v>CK2024100640699</v>
      </c>
      <c r="E9283" s="1" t="str">
        <f>"6917862660567563348"</f>
        <v>6917862660567563348</v>
      </c>
      <c r="F9283" s="1" t="str">
        <f t="shared" si="2578"/>
        <v>花都四部-凤凰仓</v>
      </c>
      <c r="G9283" s="1" t="str">
        <f t="shared" si="2583"/>
        <v>卡卡杜个人护理店（抖店）</v>
      </c>
      <c r="H9283" s="1" t="str">
        <f t="shared" si="2579"/>
        <v>正常订单</v>
      </c>
      <c r="I9283" s="1" t="str">
        <f t="shared" si="2580"/>
        <v>已发货</v>
      </c>
      <c r="J9283" s="1" t="str">
        <f t="shared" si="2582"/>
        <v>2</v>
      </c>
      <c r="K9283" s="1">
        <v>1</v>
      </c>
      <c r="L9283" s="1" t="s">
        <v>22</v>
      </c>
      <c r="M9283" s="1" t="str">
        <f>"江西省 鹰潭市 余江区 平定乡"</f>
        <v>江西省 鹰潭市 余江区 平定乡</v>
      </c>
      <c r="N9283" s="1" t="str">
        <f t="shared" si="2575"/>
        <v>凡华云仓-韵达-抖音</v>
      </c>
      <c r="O9283" s="5">
        <v>320158412146477</v>
      </c>
      <c r="P9283" s="6">
        <v>0.33</v>
      </c>
      <c r="Q9283" s="11">
        <v>2.2999999999999998</v>
      </c>
      <c r="R9283" s="11"/>
      <c r="S9283" s="11"/>
      <c r="T9283" s="11"/>
      <c r="U9283" s="11">
        <f t="shared" ref="U9283:U9346" si="2584">T9283+S9283+R9283+Q9283</f>
        <v>2.2999999999999998</v>
      </c>
      <c r="W9283">
        <v>2.5</v>
      </c>
      <c r="X9283" s="1" t="s">
        <v>22</v>
      </c>
    </row>
    <row r="9284" spans="1:24" x14ac:dyDescent="0.25">
      <c r="A9284" s="1" t="str">
        <f t="shared" si="2577"/>
        <v>卡卡杜-凤凰仓</v>
      </c>
      <c r="B9284" s="1" t="str">
        <f>"CK2024100614318"</f>
        <v>CK2024100614318</v>
      </c>
      <c r="C9284" s="1" t="str">
        <f>"DD2024100644541"</f>
        <v>DD2024100644541</v>
      </c>
      <c r="D9284" s="1" t="str">
        <f>"CK2024100640698"</f>
        <v>CK2024100640698</v>
      </c>
      <c r="E9284" s="1" t="str">
        <f>"6917863047067041400"</f>
        <v>6917863047067041400</v>
      </c>
      <c r="F9284" s="1" t="str">
        <f t="shared" si="2578"/>
        <v>花都四部-凤凰仓</v>
      </c>
      <c r="G9284" s="1" t="str">
        <f t="shared" si="2583"/>
        <v>卡卡杜个人护理店（抖店）</v>
      </c>
      <c r="H9284" s="1" t="str">
        <f t="shared" si="2579"/>
        <v>正常订单</v>
      </c>
      <c r="I9284" s="1" t="str">
        <f t="shared" si="2580"/>
        <v>已发货</v>
      </c>
      <c r="J9284" s="1" t="str">
        <f t="shared" si="2582"/>
        <v>2</v>
      </c>
      <c r="K9284" s="1">
        <v>1</v>
      </c>
      <c r="L9284" s="1" t="s">
        <v>16</v>
      </c>
      <c r="M9284" s="1" t="str">
        <f>"河北省 沧州市 东光县 东光镇"</f>
        <v>河北省 沧州市 东光县 东光镇</v>
      </c>
      <c r="N9284" s="1" t="str">
        <f t="shared" si="2575"/>
        <v>凡华云仓-韵达-抖音</v>
      </c>
      <c r="O9284" s="5">
        <v>320158412146382</v>
      </c>
      <c r="P9284" s="6">
        <v>0.33</v>
      </c>
      <c r="Q9284" s="11">
        <v>2.2999999999999998</v>
      </c>
      <c r="R9284" s="11"/>
      <c r="S9284" s="11"/>
      <c r="T9284" s="11"/>
      <c r="U9284" s="11">
        <f t="shared" si="2584"/>
        <v>2.2999999999999998</v>
      </c>
      <c r="W9284">
        <v>2.5</v>
      </c>
      <c r="X9284" s="1" t="s">
        <v>16</v>
      </c>
    </row>
    <row r="9285" spans="1:24" x14ac:dyDescent="0.25">
      <c r="A9285" s="1" t="str">
        <f t="shared" si="2577"/>
        <v>卡卡杜-凤凰仓</v>
      </c>
      <c r="B9285" s="1" t="str">
        <f>"CK2024100614324"</f>
        <v>CK2024100614324</v>
      </c>
      <c r="C9285" s="1" t="str">
        <f>"DD2024100644547"</f>
        <v>DD2024100644547</v>
      </c>
      <c r="D9285" s="1" t="str">
        <f>"CK2024100640697"</f>
        <v>CK2024100640697</v>
      </c>
      <c r="E9285" s="1" t="str">
        <f>"6917862708921990229"</f>
        <v>6917862708921990229</v>
      </c>
      <c r="F9285" s="1" t="str">
        <f t="shared" si="2578"/>
        <v>花都四部-凤凰仓</v>
      </c>
      <c r="G9285" s="1" t="str">
        <f t="shared" si="2583"/>
        <v>卡卡杜个人护理店（抖店）</v>
      </c>
      <c r="H9285" s="1" t="str">
        <f t="shared" si="2579"/>
        <v>正常订单</v>
      </c>
      <c r="I9285" s="1" t="str">
        <f t="shared" si="2580"/>
        <v>已发货</v>
      </c>
      <c r="J9285" s="1" t="str">
        <f t="shared" si="2582"/>
        <v>2</v>
      </c>
      <c r="K9285" s="1">
        <v>1</v>
      </c>
      <c r="L9285" s="1" t="s">
        <v>60</v>
      </c>
      <c r="M9285" s="1" t="str">
        <f>"云南省 保山市 隆阳区 永昌街道"</f>
        <v>云南省 保山市 隆阳区 永昌街道</v>
      </c>
      <c r="N9285" s="1" t="str">
        <f t="shared" si="2575"/>
        <v>凡华云仓-韵达-抖音</v>
      </c>
      <c r="O9285" s="5">
        <v>320158412146289</v>
      </c>
      <c r="P9285" s="6">
        <v>0.33</v>
      </c>
      <c r="Q9285" s="11">
        <v>2.2999999999999998</v>
      </c>
      <c r="R9285" s="11"/>
      <c r="S9285" s="11"/>
      <c r="T9285" s="11"/>
      <c r="U9285" s="11">
        <f t="shared" si="2584"/>
        <v>2.2999999999999998</v>
      </c>
      <c r="W9285">
        <v>2.5</v>
      </c>
      <c r="X9285" s="1" t="s">
        <v>60</v>
      </c>
    </row>
    <row r="9286" spans="1:24" x14ac:dyDescent="0.25">
      <c r="A9286" s="1" t="str">
        <f t="shared" si="2577"/>
        <v>卡卡杜-凤凰仓</v>
      </c>
      <c r="B9286" s="1" t="str">
        <f>"CK20241006195"</f>
        <v>CK20241006195</v>
      </c>
      <c r="C9286" s="1" t="str">
        <f>"DD2024100613528"</f>
        <v>DD2024100613528</v>
      </c>
      <c r="D9286" s="1" t="str">
        <f>"CK2024100620373"</f>
        <v>CK2024100620373</v>
      </c>
      <c r="E9286" s="1" t="str">
        <f>"3723117466547258880"</f>
        <v>3723117466547258880</v>
      </c>
      <c r="F9286" s="1" t="str">
        <f t="shared" si="2578"/>
        <v>花都四部-凤凰仓</v>
      </c>
      <c r="G9286" s="1" t="str">
        <f t="shared" ref="G9286:G9302" si="2585">"卡卡杜企业店（视频号）"</f>
        <v>卡卡杜企业店（视频号）</v>
      </c>
      <c r="H9286" s="1" t="str">
        <f t="shared" si="2579"/>
        <v>正常订单</v>
      </c>
      <c r="I9286" s="1" t="str">
        <f t="shared" si="2580"/>
        <v>已发货</v>
      </c>
      <c r="J9286" s="1" t="str">
        <f t="shared" si="2582"/>
        <v>2</v>
      </c>
      <c r="K9286" s="1">
        <v>2</v>
      </c>
      <c r="L9286" s="1" t="s">
        <v>13</v>
      </c>
      <c r="M9286" s="1" t="str">
        <f>"江苏省 苏州市 虎丘区 "</f>
        <v xml:space="preserve">江苏省 苏州市 虎丘区 </v>
      </c>
      <c r="N9286" s="1" t="str">
        <f t="shared" ref="N9286:N9302" si="2586">"凡华云仓-韵达-微信视频号"</f>
        <v>凡华云仓-韵达-微信视频号</v>
      </c>
      <c r="O9286" s="5">
        <v>315012069008350</v>
      </c>
      <c r="P9286" s="6">
        <v>0.28000000000000003</v>
      </c>
      <c r="Q9286" s="11">
        <v>2</v>
      </c>
      <c r="R9286" s="11"/>
      <c r="S9286" s="11"/>
      <c r="T9286" s="11"/>
      <c r="U9286" s="11">
        <f t="shared" si="2584"/>
        <v>2</v>
      </c>
      <c r="W9286">
        <v>2.2000000000000002</v>
      </c>
      <c r="X9286" s="1" t="s">
        <v>13</v>
      </c>
    </row>
    <row r="9287" spans="1:24" x14ac:dyDescent="0.25">
      <c r="A9287" s="1" t="str">
        <f t="shared" si="2577"/>
        <v>卡卡杜-凤凰仓</v>
      </c>
      <c r="B9287" s="1" t="str">
        <f>"CK20241006198"</f>
        <v>CK20241006198</v>
      </c>
      <c r="C9287" s="1" t="str">
        <f>"DD2024100613529"</f>
        <v>DD2024100613529</v>
      </c>
      <c r="D9287" s="1" t="str">
        <f>"CK2024100620372"</f>
        <v>CK2024100620372</v>
      </c>
      <c r="E9287" s="1" t="str">
        <f>"3723116879578269184"</f>
        <v>3723116879578269184</v>
      </c>
      <c r="F9287" s="1" t="str">
        <f t="shared" si="2578"/>
        <v>花都四部-凤凰仓</v>
      </c>
      <c r="G9287" s="1" t="str">
        <f t="shared" si="2585"/>
        <v>卡卡杜企业店（视频号）</v>
      </c>
      <c r="H9287" s="1" t="str">
        <f t="shared" si="2579"/>
        <v>正常订单</v>
      </c>
      <c r="I9287" s="1" t="str">
        <f t="shared" si="2580"/>
        <v>已发货</v>
      </c>
      <c r="J9287" s="1" t="str">
        <f t="shared" si="2582"/>
        <v>2</v>
      </c>
      <c r="K9287" s="1">
        <v>2</v>
      </c>
      <c r="L9287" s="1" t="s">
        <v>74</v>
      </c>
      <c r="M9287" s="1" t="str">
        <f>"上海 上海市 杨浦区 "</f>
        <v xml:space="preserve">上海 上海市 杨浦区 </v>
      </c>
      <c r="N9287" s="1" t="str">
        <f t="shared" si="2586"/>
        <v>凡华云仓-韵达-微信视频号</v>
      </c>
      <c r="O9287" s="5">
        <v>315012069004257</v>
      </c>
      <c r="P9287" s="6">
        <v>0.28000000000000003</v>
      </c>
      <c r="Q9287" s="11">
        <v>2</v>
      </c>
      <c r="R9287" s="11"/>
      <c r="S9287" s="11"/>
      <c r="T9287" s="11"/>
      <c r="U9287" s="11">
        <f t="shared" si="2584"/>
        <v>2</v>
      </c>
      <c r="W9287">
        <v>2.2000000000000002</v>
      </c>
      <c r="X9287" s="1" t="s">
        <v>74</v>
      </c>
    </row>
    <row r="9288" spans="1:24" x14ac:dyDescent="0.25">
      <c r="A9288" s="1" t="str">
        <f t="shared" si="2577"/>
        <v>卡卡杜-凤凰仓</v>
      </c>
      <c r="B9288" s="1" t="str">
        <f>"CK20241006196"</f>
        <v>CK20241006196</v>
      </c>
      <c r="C9288" s="1" t="str">
        <f>"DD2024100613527"</f>
        <v>DD2024100613527</v>
      </c>
      <c r="D9288" s="1" t="str">
        <f>"CK2024100620371"</f>
        <v>CK2024100620371</v>
      </c>
      <c r="E9288" s="1" t="str">
        <f>"3723115935782536704"</f>
        <v>3723115935782536704</v>
      </c>
      <c r="F9288" s="1" t="str">
        <f t="shared" si="2578"/>
        <v>花都四部-凤凰仓</v>
      </c>
      <c r="G9288" s="1" t="str">
        <f t="shared" si="2585"/>
        <v>卡卡杜企业店（视频号）</v>
      </c>
      <c r="H9288" s="1" t="str">
        <f t="shared" si="2579"/>
        <v>正常订单</v>
      </c>
      <c r="I9288" s="1" t="str">
        <f t="shared" si="2580"/>
        <v>已发货</v>
      </c>
      <c r="J9288" s="1" t="str">
        <f t="shared" si="2582"/>
        <v>2</v>
      </c>
      <c r="K9288" s="1">
        <v>2</v>
      </c>
      <c r="L9288" s="1" t="s">
        <v>18</v>
      </c>
      <c r="M9288" s="1" t="str">
        <f>"广东省 东莞市 桥头镇 "</f>
        <v xml:space="preserve">广东省 东莞市 桥头镇 </v>
      </c>
      <c r="N9288" s="1" t="str">
        <f t="shared" si="2586"/>
        <v>凡华云仓-韵达-微信视频号</v>
      </c>
      <c r="O9288" s="5">
        <v>315012069000574</v>
      </c>
      <c r="P9288" s="6">
        <v>0.28000000000000003</v>
      </c>
      <c r="Q9288" s="11">
        <v>2</v>
      </c>
      <c r="R9288" s="11"/>
      <c r="S9288" s="11"/>
      <c r="T9288" s="11"/>
      <c r="U9288" s="11">
        <f t="shared" si="2584"/>
        <v>2</v>
      </c>
      <c r="W9288">
        <v>2.2000000000000002</v>
      </c>
      <c r="X9288" s="1" t="s">
        <v>18</v>
      </c>
    </row>
    <row r="9289" spans="1:24" x14ac:dyDescent="0.25">
      <c r="A9289" s="1" t="str">
        <f t="shared" si="2577"/>
        <v>卡卡杜-凤凰仓</v>
      </c>
      <c r="B9289" s="1" t="str">
        <f>"CK20241006191"</f>
        <v>CK20241006191</v>
      </c>
      <c r="C9289" s="1" t="str">
        <f>"DD2024100613523"</f>
        <v>DD2024100613523</v>
      </c>
      <c r="D9289" s="1" t="str">
        <f>"CK2024100620370"</f>
        <v>CK2024100620370</v>
      </c>
      <c r="E9289" s="1" t="str">
        <f>"3723109128530432000"</f>
        <v>3723109128530432000</v>
      </c>
      <c r="F9289" s="1" t="str">
        <f t="shared" si="2578"/>
        <v>花都四部-凤凰仓</v>
      </c>
      <c r="G9289" s="1" t="str">
        <f t="shared" si="2585"/>
        <v>卡卡杜企业店（视频号）</v>
      </c>
      <c r="H9289" s="1" t="str">
        <f t="shared" si="2579"/>
        <v>正常订单</v>
      </c>
      <c r="I9289" s="1" t="str">
        <f t="shared" si="2580"/>
        <v>已发货</v>
      </c>
      <c r="J9289" s="1" t="str">
        <f t="shared" si="2582"/>
        <v>2</v>
      </c>
      <c r="K9289" s="1">
        <v>2</v>
      </c>
      <c r="L9289" s="1" t="s">
        <v>18</v>
      </c>
      <c r="M9289" s="1" t="str">
        <f>"广东省 东莞市 石排镇 "</f>
        <v xml:space="preserve">广东省 东莞市 石排镇 </v>
      </c>
      <c r="N9289" s="1" t="str">
        <f t="shared" si="2586"/>
        <v>凡华云仓-韵达-微信视频号</v>
      </c>
      <c r="O9289" s="5">
        <v>315012068995679</v>
      </c>
      <c r="P9289" s="6">
        <v>0.28000000000000003</v>
      </c>
      <c r="Q9289" s="11">
        <v>2</v>
      </c>
      <c r="R9289" s="11"/>
      <c r="S9289" s="11"/>
      <c r="T9289" s="11"/>
      <c r="U9289" s="11">
        <f t="shared" si="2584"/>
        <v>2</v>
      </c>
      <c r="W9289">
        <v>2.2000000000000002</v>
      </c>
      <c r="X9289" s="1" t="s">
        <v>18</v>
      </c>
    </row>
    <row r="9290" spans="1:24" x14ac:dyDescent="0.25">
      <c r="A9290" s="1" t="str">
        <f t="shared" si="2577"/>
        <v>卡卡杜-凤凰仓</v>
      </c>
      <c r="B9290" s="1" t="str">
        <f>"CK20241006206"</f>
        <v>CK20241006206</v>
      </c>
      <c r="C9290" s="1" t="str">
        <f>"DD2024100613537"</f>
        <v>DD2024100613537</v>
      </c>
      <c r="D9290" s="1" t="str">
        <f>"CK2024100620369"</f>
        <v>CK2024100620369</v>
      </c>
      <c r="E9290" s="1" t="str">
        <f>"3723108810051945984"</f>
        <v>3723108810051945984</v>
      </c>
      <c r="F9290" s="1" t="str">
        <f t="shared" si="2578"/>
        <v>花都四部-凤凰仓</v>
      </c>
      <c r="G9290" s="1" t="str">
        <f t="shared" si="2585"/>
        <v>卡卡杜企业店（视频号）</v>
      </c>
      <c r="H9290" s="1" t="str">
        <f t="shared" si="2579"/>
        <v>正常订单</v>
      </c>
      <c r="I9290" s="1" t="str">
        <f t="shared" si="2580"/>
        <v>已发货</v>
      </c>
      <c r="J9290" s="1" t="str">
        <f t="shared" ref="J9290:J9294" si="2587">"4"</f>
        <v>4</v>
      </c>
      <c r="K9290" s="1">
        <v>2</v>
      </c>
      <c r="L9290" s="1" t="s">
        <v>74</v>
      </c>
      <c r="M9290" s="1" t="str">
        <f>"上海 上海市 静安区 "</f>
        <v xml:space="preserve">上海 上海市 静安区 </v>
      </c>
      <c r="N9290" s="1" t="str">
        <f t="shared" si="2586"/>
        <v>凡华云仓-韵达-微信视频号</v>
      </c>
      <c r="O9290" s="5">
        <v>315012068991128</v>
      </c>
      <c r="P9290" s="6">
        <v>0.52</v>
      </c>
      <c r="Q9290" s="11">
        <f t="shared" ref="Q9290:Q9294" si="2588">CEILING(P9290-0.5,0.1)*10*0.15+2.3</f>
        <v>2.4499999999999997</v>
      </c>
      <c r="R9290" s="11"/>
      <c r="S9290" s="11"/>
      <c r="T9290" s="11"/>
      <c r="U9290" s="11">
        <f t="shared" si="2584"/>
        <v>2.4499999999999997</v>
      </c>
      <c r="V9290" t="s">
        <v>15</v>
      </c>
      <c r="W9290">
        <v>2.4500000000000002</v>
      </c>
      <c r="X9290" s="1" t="s">
        <v>74</v>
      </c>
    </row>
    <row r="9291" spans="1:24" x14ac:dyDescent="0.25">
      <c r="A9291" s="1" t="str">
        <f t="shared" si="2577"/>
        <v>卡卡杜-凤凰仓</v>
      </c>
      <c r="B9291" s="1" t="str">
        <f>"CK20241006189"</f>
        <v>CK20241006189</v>
      </c>
      <c r="C9291" s="1" t="str">
        <f>"DD2024100613521"</f>
        <v>DD2024100613521</v>
      </c>
      <c r="D9291" s="1" t="str">
        <f>"CK2024100620368"</f>
        <v>CK2024100620368</v>
      </c>
      <c r="E9291" s="1" t="str">
        <f>"3723108550007720960"</f>
        <v>3723108550007720960</v>
      </c>
      <c r="F9291" s="1" t="str">
        <f t="shared" si="2578"/>
        <v>花都四部-凤凰仓</v>
      </c>
      <c r="G9291" s="1" t="str">
        <f t="shared" si="2585"/>
        <v>卡卡杜企业店（视频号）</v>
      </c>
      <c r="H9291" s="1" t="str">
        <f t="shared" si="2579"/>
        <v>正常订单</v>
      </c>
      <c r="I9291" s="1" t="str">
        <f t="shared" si="2580"/>
        <v>已发货</v>
      </c>
      <c r="J9291" s="1" t="str">
        <f t="shared" ref="J9291:J9301" si="2589">"2"</f>
        <v>2</v>
      </c>
      <c r="K9291" s="1">
        <v>2</v>
      </c>
      <c r="L9291" s="1" t="s">
        <v>74</v>
      </c>
      <c r="M9291" s="1" t="str">
        <f>"上海 上海市 浦东新区 "</f>
        <v xml:space="preserve">上海 上海市 浦东新区 </v>
      </c>
      <c r="N9291" s="1" t="str">
        <f t="shared" si="2586"/>
        <v>凡华云仓-韵达-微信视频号</v>
      </c>
      <c r="O9291" s="5">
        <v>315012068987674</v>
      </c>
      <c r="P9291" s="6">
        <v>0.28000000000000003</v>
      </c>
      <c r="Q9291" s="11">
        <v>2</v>
      </c>
      <c r="R9291" s="11"/>
      <c r="S9291" s="11"/>
      <c r="T9291" s="11"/>
      <c r="U9291" s="11">
        <f t="shared" si="2584"/>
        <v>2</v>
      </c>
      <c r="W9291">
        <v>2.2000000000000002</v>
      </c>
      <c r="X9291" s="1" t="s">
        <v>74</v>
      </c>
    </row>
    <row r="9292" spans="1:24" x14ac:dyDescent="0.25">
      <c r="A9292" s="1" t="str">
        <f t="shared" si="2577"/>
        <v>卡卡杜-凤凰仓</v>
      </c>
      <c r="B9292" s="1" t="str">
        <f>"CK20241006190"</f>
        <v>CK20241006190</v>
      </c>
      <c r="C9292" s="1" t="str">
        <f>"DD2024100613522"</f>
        <v>DD2024100613522</v>
      </c>
      <c r="D9292" s="1" t="str">
        <f>"CK2024100620367"</f>
        <v>CK2024100620367</v>
      </c>
      <c r="E9292" s="1" t="str">
        <f>"3723108191651630080"</f>
        <v>3723108191651630080</v>
      </c>
      <c r="F9292" s="1" t="str">
        <f t="shared" si="2578"/>
        <v>花都四部-凤凰仓</v>
      </c>
      <c r="G9292" s="1" t="str">
        <f t="shared" si="2585"/>
        <v>卡卡杜企业店（视频号）</v>
      </c>
      <c r="H9292" s="1" t="str">
        <f t="shared" si="2579"/>
        <v>正常订单</v>
      </c>
      <c r="I9292" s="1" t="str">
        <f t="shared" si="2580"/>
        <v>已发货</v>
      </c>
      <c r="J9292" s="1" t="str">
        <f t="shared" si="2589"/>
        <v>2</v>
      </c>
      <c r="K9292" s="1">
        <v>2</v>
      </c>
      <c r="L9292" s="1" t="s">
        <v>13</v>
      </c>
      <c r="M9292" s="1" t="str">
        <f>"江苏省 南京市 建邺区 "</f>
        <v xml:space="preserve">江苏省 南京市 建邺区 </v>
      </c>
      <c r="N9292" s="1" t="str">
        <f t="shared" si="2586"/>
        <v>凡华云仓-韵达-微信视频号</v>
      </c>
      <c r="O9292" s="5">
        <v>315012068984778</v>
      </c>
      <c r="P9292" s="6">
        <v>0.28000000000000003</v>
      </c>
      <c r="Q9292" s="11">
        <v>2</v>
      </c>
      <c r="R9292" s="11"/>
      <c r="S9292" s="11"/>
      <c r="T9292" s="11"/>
      <c r="U9292" s="11">
        <f t="shared" si="2584"/>
        <v>2</v>
      </c>
      <c r="W9292">
        <v>2.2000000000000002</v>
      </c>
      <c r="X9292" s="1" t="s">
        <v>13</v>
      </c>
    </row>
    <row r="9293" spans="1:24" x14ac:dyDescent="0.25">
      <c r="A9293" s="1" t="str">
        <f t="shared" si="2577"/>
        <v>卡卡杜-凤凰仓</v>
      </c>
      <c r="B9293" s="1" t="str">
        <f>"CK20241006210"</f>
        <v>CK20241006210</v>
      </c>
      <c r="C9293" s="1" t="str">
        <f>"DD2024100613542"</f>
        <v>DD2024100613542</v>
      </c>
      <c r="D9293" s="1" t="str">
        <f>"CK2024100620366"</f>
        <v>CK2024100620366</v>
      </c>
      <c r="E9293" s="1" t="str">
        <f>"3723108009140163584"</f>
        <v>3723108009140163584</v>
      </c>
      <c r="F9293" s="1" t="str">
        <f t="shared" si="2578"/>
        <v>花都四部-凤凰仓</v>
      </c>
      <c r="G9293" s="1" t="str">
        <f t="shared" si="2585"/>
        <v>卡卡杜企业店（视频号）</v>
      </c>
      <c r="H9293" s="1" t="str">
        <f t="shared" si="2579"/>
        <v>正常订单</v>
      </c>
      <c r="I9293" s="1" t="str">
        <f t="shared" si="2580"/>
        <v>已发货</v>
      </c>
      <c r="J9293" s="1" t="str">
        <f t="shared" si="2587"/>
        <v>4</v>
      </c>
      <c r="K9293" s="1">
        <v>2</v>
      </c>
      <c r="L9293" s="1" t="s">
        <v>74</v>
      </c>
      <c r="M9293" s="1" t="str">
        <f>"上海 上海市 闵行区 "</f>
        <v xml:space="preserve">上海 上海市 闵行区 </v>
      </c>
      <c r="N9293" s="1" t="str">
        <f t="shared" si="2586"/>
        <v>凡华云仓-韵达-微信视频号</v>
      </c>
      <c r="O9293" s="5">
        <v>315012069059227</v>
      </c>
      <c r="P9293" s="6">
        <v>0.52</v>
      </c>
      <c r="Q9293" s="11">
        <f t="shared" si="2588"/>
        <v>2.4499999999999997</v>
      </c>
      <c r="R9293" s="11"/>
      <c r="S9293" s="11"/>
      <c r="T9293" s="11"/>
      <c r="U9293" s="11">
        <f t="shared" si="2584"/>
        <v>2.4499999999999997</v>
      </c>
      <c r="V9293" t="s">
        <v>15</v>
      </c>
      <c r="W9293">
        <v>2.4500000000000002</v>
      </c>
      <c r="X9293" s="1" t="s">
        <v>74</v>
      </c>
    </row>
    <row r="9294" spans="1:24" x14ac:dyDescent="0.25">
      <c r="A9294" s="1" t="str">
        <f t="shared" si="2577"/>
        <v>卡卡杜-凤凰仓</v>
      </c>
      <c r="B9294" s="1" t="str">
        <f>"CK20241006208"</f>
        <v>CK20241006208</v>
      </c>
      <c r="C9294" s="1" t="str">
        <f>"DD2024100613539"</f>
        <v>DD2024100613539</v>
      </c>
      <c r="D9294" s="1" t="str">
        <f>"CK2024100620365"</f>
        <v>CK2024100620365</v>
      </c>
      <c r="E9294" s="1" t="str">
        <f>"3723106853326295040"</f>
        <v>3723106853326295040</v>
      </c>
      <c r="F9294" s="1" t="str">
        <f t="shared" si="2578"/>
        <v>花都四部-凤凰仓</v>
      </c>
      <c r="G9294" s="1" t="str">
        <f t="shared" si="2585"/>
        <v>卡卡杜企业店（视频号）</v>
      </c>
      <c r="H9294" s="1" t="str">
        <f t="shared" si="2579"/>
        <v>正常订单</v>
      </c>
      <c r="I9294" s="1" t="str">
        <f t="shared" si="2580"/>
        <v>已发货</v>
      </c>
      <c r="J9294" s="1" t="str">
        <f t="shared" si="2587"/>
        <v>4</v>
      </c>
      <c r="K9294" s="1">
        <v>2</v>
      </c>
      <c r="L9294" s="1" t="s">
        <v>105</v>
      </c>
      <c r="M9294" s="1" t="str">
        <f>"北京 北京市 海淀区 "</f>
        <v xml:space="preserve">北京 北京市 海淀区 </v>
      </c>
      <c r="N9294" s="1" t="str">
        <f t="shared" si="2586"/>
        <v>凡华云仓-韵达-微信视频号</v>
      </c>
      <c r="O9294" s="5">
        <v>315012074092238</v>
      </c>
      <c r="P9294" s="6">
        <v>0.52</v>
      </c>
      <c r="Q9294" s="11">
        <f t="shared" si="2588"/>
        <v>2.4499999999999997</v>
      </c>
      <c r="R9294" s="11"/>
      <c r="S9294" s="11"/>
      <c r="T9294" s="11"/>
      <c r="U9294" s="11">
        <f t="shared" si="2584"/>
        <v>2.4499999999999997</v>
      </c>
      <c r="V9294" t="s">
        <v>15</v>
      </c>
      <c r="W9294">
        <v>2.4500000000000002</v>
      </c>
      <c r="X9294" s="1" t="s">
        <v>105</v>
      </c>
    </row>
    <row r="9295" spans="1:24" x14ac:dyDescent="0.25">
      <c r="A9295" s="1" t="str">
        <f t="shared" si="2577"/>
        <v>卡卡杜-凤凰仓</v>
      </c>
      <c r="B9295" s="1" t="str">
        <f>"CK20241006201"</f>
        <v>CK20241006201</v>
      </c>
      <c r="C9295" s="1" t="str">
        <f>"DD2024100613534"</f>
        <v>DD2024100613534</v>
      </c>
      <c r="D9295" s="1" t="str">
        <f>"CK2024100620364"</f>
        <v>CK2024100620364</v>
      </c>
      <c r="E9295" s="1" t="str">
        <f>"3723105774399788032"</f>
        <v>3723105774399788032</v>
      </c>
      <c r="F9295" s="1" t="str">
        <f t="shared" si="2578"/>
        <v>花都四部-凤凰仓</v>
      </c>
      <c r="G9295" s="1" t="str">
        <f t="shared" si="2585"/>
        <v>卡卡杜企业店（视频号）</v>
      </c>
      <c r="H9295" s="1" t="str">
        <f t="shared" si="2579"/>
        <v>正常订单</v>
      </c>
      <c r="I9295" s="1" t="str">
        <f t="shared" si="2580"/>
        <v>已发货</v>
      </c>
      <c r="J9295" s="1" t="str">
        <f t="shared" si="2589"/>
        <v>2</v>
      </c>
      <c r="K9295" s="1">
        <v>2</v>
      </c>
      <c r="L9295" s="1" t="s">
        <v>18</v>
      </c>
      <c r="M9295" s="1" t="str">
        <f>"广东省 珠海市 香洲区 "</f>
        <v xml:space="preserve">广东省 珠海市 香洲区 </v>
      </c>
      <c r="N9295" s="1" t="str">
        <f t="shared" si="2586"/>
        <v>凡华云仓-韵达-微信视频号</v>
      </c>
      <c r="O9295" s="5">
        <v>315012067956283</v>
      </c>
      <c r="P9295" s="6">
        <v>0.28000000000000003</v>
      </c>
      <c r="Q9295" s="11">
        <v>2</v>
      </c>
      <c r="R9295" s="11"/>
      <c r="S9295" s="11"/>
      <c r="T9295" s="11"/>
      <c r="U9295" s="11">
        <f t="shared" si="2584"/>
        <v>2</v>
      </c>
      <c r="W9295">
        <v>2.2000000000000002</v>
      </c>
      <c r="X9295" s="1" t="s">
        <v>18</v>
      </c>
    </row>
    <row r="9296" spans="1:24" x14ac:dyDescent="0.25">
      <c r="A9296" s="1" t="str">
        <f t="shared" si="2577"/>
        <v>卡卡杜-凤凰仓</v>
      </c>
      <c r="B9296" s="1" t="str">
        <f>"CK20241006192"</f>
        <v>CK20241006192</v>
      </c>
      <c r="C9296" s="1" t="str">
        <f>"DD2024100613525"</f>
        <v>DD2024100613525</v>
      </c>
      <c r="D9296" s="1" t="str">
        <f>"CK2024100620363"</f>
        <v>CK2024100620363</v>
      </c>
      <c r="E9296" s="1" t="str">
        <f>"3723105231491696128"</f>
        <v>3723105231491696128</v>
      </c>
      <c r="F9296" s="1" t="str">
        <f t="shared" si="2578"/>
        <v>花都四部-凤凰仓</v>
      </c>
      <c r="G9296" s="1" t="str">
        <f t="shared" si="2585"/>
        <v>卡卡杜企业店（视频号）</v>
      </c>
      <c r="H9296" s="1" t="str">
        <f t="shared" si="2579"/>
        <v>正常订单</v>
      </c>
      <c r="I9296" s="1" t="str">
        <f t="shared" si="2580"/>
        <v>已发货</v>
      </c>
      <c r="J9296" s="1" t="str">
        <f t="shared" si="2589"/>
        <v>2</v>
      </c>
      <c r="K9296" s="1">
        <v>2</v>
      </c>
      <c r="L9296" s="1" t="s">
        <v>105</v>
      </c>
      <c r="M9296" s="1" t="str">
        <f>"北京 北京市 东城区 "</f>
        <v xml:space="preserve">北京 北京市 东城区 </v>
      </c>
      <c r="N9296" s="1" t="str">
        <f t="shared" si="2586"/>
        <v>凡华云仓-韵达-微信视频号</v>
      </c>
      <c r="O9296" s="5">
        <v>315012067950504</v>
      </c>
      <c r="P9296" s="6">
        <v>0.28000000000000003</v>
      </c>
      <c r="Q9296" s="11">
        <v>2</v>
      </c>
      <c r="R9296" s="11"/>
      <c r="S9296" s="11"/>
      <c r="T9296" s="11"/>
      <c r="U9296" s="11">
        <f t="shared" si="2584"/>
        <v>2</v>
      </c>
      <c r="W9296">
        <v>2.2000000000000002</v>
      </c>
      <c r="X9296" s="1" t="s">
        <v>105</v>
      </c>
    </row>
    <row r="9297" spans="1:24" x14ac:dyDescent="0.25">
      <c r="A9297" s="1" t="str">
        <f t="shared" si="2577"/>
        <v>卡卡杜-凤凰仓</v>
      </c>
      <c r="B9297" s="1" t="str">
        <f>"CK20241006199"</f>
        <v>CK20241006199</v>
      </c>
      <c r="C9297" s="1" t="str">
        <f>"DD2024100613531"</f>
        <v>DD2024100613531</v>
      </c>
      <c r="D9297" s="1" t="str">
        <f>"CK2024100620362"</f>
        <v>CK2024100620362</v>
      </c>
      <c r="E9297" s="1" t="str">
        <f>"3723104006829380608"</f>
        <v>3723104006829380608</v>
      </c>
      <c r="F9297" s="1" t="str">
        <f t="shared" si="2578"/>
        <v>花都四部-凤凰仓</v>
      </c>
      <c r="G9297" s="1" t="str">
        <f t="shared" si="2585"/>
        <v>卡卡杜企业店（视频号）</v>
      </c>
      <c r="H9297" s="1" t="str">
        <f t="shared" si="2579"/>
        <v>正常订单</v>
      </c>
      <c r="I9297" s="1" t="str">
        <f t="shared" si="2580"/>
        <v>已发货</v>
      </c>
      <c r="J9297" s="1" t="str">
        <f t="shared" si="2589"/>
        <v>2</v>
      </c>
      <c r="K9297" s="1">
        <v>2</v>
      </c>
      <c r="L9297" s="1" t="s">
        <v>47</v>
      </c>
      <c r="M9297" s="1" t="str">
        <f>"重庆 重庆市 渝中区 "</f>
        <v xml:space="preserve">重庆 重庆市 渝中区 </v>
      </c>
      <c r="N9297" s="1" t="str">
        <f t="shared" si="2586"/>
        <v>凡华云仓-韵达-微信视频号</v>
      </c>
      <c r="O9297" s="5">
        <v>315012067946006</v>
      </c>
      <c r="P9297" s="6">
        <v>0.28000000000000003</v>
      </c>
      <c r="Q9297" s="11">
        <v>2</v>
      </c>
      <c r="R9297" s="11"/>
      <c r="S9297" s="11"/>
      <c r="T9297" s="11"/>
      <c r="U9297" s="11">
        <f t="shared" si="2584"/>
        <v>2</v>
      </c>
      <c r="W9297">
        <v>2.2000000000000002</v>
      </c>
      <c r="X9297" s="1" t="s">
        <v>47</v>
      </c>
    </row>
    <row r="9298" spans="1:24" x14ac:dyDescent="0.25">
      <c r="A9298" s="1" t="str">
        <f t="shared" si="2577"/>
        <v>卡卡杜-凤凰仓</v>
      </c>
      <c r="B9298" s="1" t="str">
        <f>"CK20241006203"</f>
        <v>CK20241006203</v>
      </c>
      <c r="C9298" s="1" t="str">
        <f>"DD2024100613538"</f>
        <v>DD2024100613538</v>
      </c>
      <c r="D9298" s="1" t="str">
        <f>"CK2024100620361"</f>
        <v>CK2024100620361</v>
      </c>
      <c r="E9298" s="1" t="str">
        <f>"3723102792935150592"</f>
        <v>3723102792935150592</v>
      </c>
      <c r="F9298" s="1" t="str">
        <f t="shared" si="2578"/>
        <v>花都四部-凤凰仓</v>
      </c>
      <c r="G9298" s="1" t="str">
        <f t="shared" si="2585"/>
        <v>卡卡杜企业店（视频号）</v>
      </c>
      <c r="H9298" s="1" t="str">
        <f t="shared" si="2579"/>
        <v>正常订单</v>
      </c>
      <c r="I9298" s="1" t="str">
        <f t="shared" si="2580"/>
        <v>已发货</v>
      </c>
      <c r="J9298" s="1" t="str">
        <f t="shared" si="2589"/>
        <v>2</v>
      </c>
      <c r="K9298" s="1">
        <v>2</v>
      </c>
      <c r="L9298" s="1" t="s">
        <v>18</v>
      </c>
      <c r="M9298" s="1" t="str">
        <f>"广东省 深圳市 南山区 "</f>
        <v xml:space="preserve">广东省 深圳市 南山区 </v>
      </c>
      <c r="N9298" s="1" t="str">
        <f t="shared" si="2586"/>
        <v>凡华云仓-韵达-微信视频号</v>
      </c>
      <c r="O9298" s="5">
        <v>315012067942111</v>
      </c>
      <c r="P9298" s="6">
        <v>0.28000000000000003</v>
      </c>
      <c r="Q9298" s="11">
        <v>2</v>
      </c>
      <c r="R9298" s="11"/>
      <c r="S9298" s="11"/>
      <c r="T9298" s="11"/>
      <c r="U9298" s="11">
        <f t="shared" si="2584"/>
        <v>2</v>
      </c>
      <c r="W9298">
        <v>2.2000000000000002</v>
      </c>
      <c r="X9298" s="1" t="s">
        <v>18</v>
      </c>
    </row>
    <row r="9299" spans="1:24" x14ac:dyDescent="0.25">
      <c r="A9299" s="1" t="str">
        <f t="shared" si="2577"/>
        <v>卡卡杜-凤凰仓</v>
      </c>
      <c r="B9299" s="1" t="str">
        <f>"CK20241006204"</f>
        <v>CK20241006204</v>
      </c>
      <c r="C9299" s="1" t="str">
        <f>"DD2024100613536"</f>
        <v>DD2024100613536</v>
      </c>
      <c r="D9299" s="1" t="str">
        <f>"CK2024100620360"</f>
        <v>CK2024100620360</v>
      </c>
      <c r="E9299" s="1" t="str">
        <f>"3723102749625552896"</f>
        <v>3723102749625552896</v>
      </c>
      <c r="F9299" s="1" t="str">
        <f t="shared" si="2578"/>
        <v>花都四部-凤凰仓</v>
      </c>
      <c r="G9299" s="1" t="str">
        <f t="shared" si="2585"/>
        <v>卡卡杜企业店（视频号）</v>
      </c>
      <c r="H9299" s="1" t="str">
        <f t="shared" si="2579"/>
        <v>正常订单</v>
      </c>
      <c r="I9299" s="1" t="str">
        <f t="shared" si="2580"/>
        <v>已发货</v>
      </c>
      <c r="J9299" s="1" t="str">
        <f t="shared" si="2589"/>
        <v>2</v>
      </c>
      <c r="K9299" s="1">
        <v>2</v>
      </c>
      <c r="L9299" s="1" t="s">
        <v>18</v>
      </c>
      <c r="M9299" s="1" t="str">
        <f>"广东省 深圳市 福田区 "</f>
        <v xml:space="preserve">广东省 深圳市 福田区 </v>
      </c>
      <c r="N9299" s="1" t="str">
        <f t="shared" si="2586"/>
        <v>凡华云仓-韵达-微信视频号</v>
      </c>
      <c r="O9299" s="5">
        <v>315012067938388</v>
      </c>
      <c r="P9299" s="6">
        <v>0.28000000000000003</v>
      </c>
      <c r="Q9299" s="11">
        <v>2</v>
      </c>
      <c r="R9299" s="11"/>
      <c r="S9299" s="11"/>
      <c r="T9299" s="11"/>
      <c r="U9299" s="11">
        <f t="shared" si="2584"/>
        <v>2</v>
      </c>
      <c r="W9299">
        <v>2.2000000000000002</v>
      </c>
      <c r="X9299" s="1" t="s">
        <v>18</v>
      </c>
    </row>
    <row r="9300" spans="1:24" x14ac:dyDescent="0.25">
      <c r="A9300" s="1" t="str">
        <f t="shared" si="2577"/>
        <v>卡卡杜-凤凰仓</v>
      </c>
      <c r="B9300" s="1" t="str">
        <f>"CK20241006200"</f>
        <v>CK20241006200</v>
      </c>
      <c r="C9300" s="1" t="str">
        <f>"DD2024100613532"</f>
        <v>DD2024100613532</v>
      </c>
      <c r="D9300" s="1" t="str">
        <f>"CK2024100620359"</f>
        <v>CK2024100620359</v>
      </c>
      <c r="E9300" s="1" t="str">
        <f>"3723102226029875200"</f>
        <v>3723102226029875200</v>
      </c>
      <c r="F9300" s="1" t="str">
        <f t="shared" si="2578"/>
        <v>花都四部-凤凰仓</v>
      </c>
      <c r="G9300" s="1" t="str">
        <f t="shared" si="2585"/>
        <v>卡卡杜企业店（视频号）</v>
      </c>
      <c r="H9300" s="1" t="str">
        <f t="shared" si="2579"/>
        <v>正常订单</v>
      </c>
      <c r="I9300" s="1" t="str">
        <f t="shared" si="2580"/>
        <v>已发货</v>
      </c>
      <c r="J9300" s="1" t="str">
        <f t="shared" si="2589"/>
        <v>2</v>
      </c>
      <c r="K9300" s="1">
        <v>2</v>
      </c>
      <c r="L9300" s="1" t="s">
        <v>74</v>
      </c>
      <c r="M9300" s="1" t="str">
        <f>"上海 上海市 普陀区 "</f>
        <v xml:space="preserve">上海 上海市 普陀区 </v>
      </c>
      <c r="N9300" s="1" t="str">
        <f t="shared" si="2586"/>
        <v>凡华云仓-韵达-微信视频号</v>
      </c>
      <c r="O9300" s="5">
        <v>315012067934679</v>
      </c>
      <c r="P9300" s="6">
        <v>0.28000000000000003</v>
      </c>
      <c r="Q9300" s="11">
        <v>2</v>
      </c>
      <c r="R9300" s="11"/>
      <c r="S9300" s="11"/>
      <c r="T9300" s="11"/>
      <c r="U9300" s="11">
        <f t="shared" si="2584"/>
        <v>2</v>
      </c>
      <c r="W9300">
        <v>2.2000000000000002</v>
      </c>
      <c r="X9300" s="1" t="s">
        <v>74</v>
      </c>
    </row>
    <row r="9301" spans="1:24" x14ac:dyDescent="0.25">
      <c r="A9301" s="1" t="str">
        <f t="shared" si="2577"/>
        <v>卡卡杜-凤凰仓</v>
      </c>
      <c r="B9301" s="1" t="str">
        <f>"CK20241006193"</f>
        <v>CK20241006193</v>
      </c>
      <c r="C9301" s="1" t="str">
        <f>"DD2024100613524"</f>
        <v>DD2024100613524</v>
      </c>
      <c r="D9301" s="1" t="str">
        <f>"CK2024100620358"</f>
        <v>CK2024100620358</v>
      </c>
      <c r="E9301" s="1" t="str">
        <f>"3723101628464760064"</f>
        <v>3723101628464760064</v>
      </c>
      <c r="F9301" s="1" t="str">
        <f t="shared" si="2578"/>
        <v>花都四部-凤凰仓</v>
      </c>
      <c r="G9301" s="1" t="str">
        <f t="shared" si="2585"/>
        <v>卡卡杜企业店（视频号）</v>
      </c>
      <c r="H9301" s="1" t="str">
        <f t="shared" si="2579"/>
        <v>正常订单</v>
      </c>
      <c r="I9301" s="1" t="str">
        <f t="shared" si="2580"/>
        <v>已发货</v>
      </c>
      <c r="J9301" s="1" t="str">
        <f t="shared" si="2589"/>
        <v>2</v>
      </c>
      <c r="K9301" s="1">
        <v>2</v>
      </c>
      <c r="L9301" s="1" t="s">
        <v>20</v>
      </c>
      <c r="M9301" s="1" t="str">
        <f>"浙江省 嘉兴市 秀洲区 "</f>
        <v xml:space="preserve">浙江省 嘉兴市 秀洲区 </v>
      </c>
      <c r="N9301" s="1" t="str">
        <f t="shared" si="2586"/>
        <v>凡华云仓-韵达-微信视频号</v>
      </c>
      <c r="O9301" s="5">
        <v>315012067929207</v>
      </c>
      <c r="P9301" s="6">
        <v>0.28000000000000003</v>
      </c>
      <c r="Q9301" s="11">
        <v>2</v>
      </c>
      <c r="R9301" s="11"/>
      <c r="S9301" s="11"/>
      <c r="T9301" s="11"/>
      <c r="U9301" s="11">
        <f t="shared" si="2584"/>
        <v>2</v>
      </c>
      <c r="W9301">
        <v>2.2000000000000002</v>
      </c>
      <c r="X9301" s="1" t="s">
        <v>20</v>
      </c>
    </row>
    <row r="9302" spans="1:24" x14ac:dyDescent="0.25">
      <c r="A9302" s="1" t="str">
        <f t="shared" si="2577"/>
        <v>卡卡杜-凤凰仓</v>
      </c>
      <c r="B9302" s="1" t="str">
        <f>"CK20241006209"</f>
        <v>CK20241006209</v>
      </c>
      <c r="C9302" s="1" t="str">
        <f>"DD2024100613541"</f>
        <v>DD2024100613541</v>
      </c>
      <c r="D9302" s="1" t="str">
        <f>"CK2024100620357"</f>
        <v>CK2024100620357</v>
      </c>
      <c r="E9302" s="1" t="str">
        <f>"3723100940739413248"</f>
        <v>3723100940739413248</v>
      </c>
      <c r="F9302" s="1" t="str">
        <f t="shared" si="2578"/>
        <v>花都四部-凤凰仓</v>
      </c>
      <c r="G9302" s="1" t="str">
        <f t="shared" si="2585"/>
        <v>卡卡杜企业店（视频号）</v>
      </c>
      <c r="H9302" s="1" t="str">
        <f t="shared" si="2579"/>
        <v>正常订单</v>
      </c>
      <c r="I9302" s="1" t="str">
        <f t="shared" si="2580"/>
        <v>已发货</v>
      </c>
      <c r="J9302" s="1" t="str">
        <f>"4"</f>
        <v>4</v>
      </c>
      <c r="K9302" s="1">
        <v>2</v>
      </c>
      <c r="L9302" s="1" t="s">
        <v>105</v>
      </c>
      <c r="M9302" s="1" t="str">
        <f>"北京 北京市 石景山区 "</f>
        <v xml:space="preserve">北京 北京市 石景山区 </v>
      </c>
      <c r="N9302" s="1" t="str">
        <f t="shared" si="2586"/>
        <v>凡华云仓-韵达-微信视频号</v>
      </c>
      <c r="O9302" s="5">
        <v>315012067923691</v>
      </c>
      <c r="P9302" s="6">
        <v>0.52</v>
      </c>
      <c r="Q9302" s="11">
        <f>CEILING(P9302-0.5,0.1)*10*0.15+2.3</f>
        <v>2.4499999999999997</v>
      </c>
      <c r="R9302" s="11"/>
      <c r="S9302" s="11"/>
      <c r="T9302" s="11"/>
      <c r="U9302" s="11">
        <f t="shared" si="2584"/>
        <v>2.4499999999999997</v>
      </c>
      <c r="V9302" t="s">
        <v>15</v>
      </c>
      <c r="W9302">
        <v>2.4500000000000002</v>
      </c>
      <c r="X9302" s="1" t="s">
        <v>105</v>
      </c>
    </row>
    <row r="9303" spans="1:24" x14ac:dyDescent="0.25">
      <c r="A9303" s="1" t="str">
        <f t="shared" si="2577"/>
        <v>卡卡杜-凤凰仓</v>
      </c>
      <c r="B9303" s="1" t="str">
        <f>"CK2024100696"</f>
        <v>CK2024100696</v>
      </c>
      <c r="C9303" s="1" t="str">
        <f>"DD2024100613428"</f>
        <v>DD2024100613428</v>
      </c>
      <c r="D9303" s="1" t="str">
        <f>"CK2024100620356"</f>
        <v>CK2024100620356</v>
      </c>
      <c r="E9303" s="1" t="str">
        <f>"6917862963494616983"</f>
        <v>6917862963494616983</v>
      </c>
      <c r="F9303" s="1" t="str">
        <f t="shared" si="2578"/>
        <v>花都四部-凤凰仓</v>
      </c>
      <c r="G9303" s="1" t="str">
        <f t="shared" ref="G9303:G9366" si="2590">"卡卡杜个人护理店（抖店）"</f>
        <v>卡卡杜个人护理店（抖店）</v>
      </c>
      <c r="H9303" s="1" t="str">
        <f t="shared" si="2579"/>
        <v>正常订单</v>
      </c>
      <c r="I9303" s="1" t="str">
        <f t="shared" si="2580"/>
        <v>已发货</v>
      </c>
      <c r="J9303" s="1" t="str">
        <f t="shared" ref="J9303:J9306" si="2591">"2"</f>
        <v>2</v>
      </c>
      <c r="K9303" s="1">
        <v>1</v>
      </c>
      <c r="L9303" s="1" t="s">
        <v>20</v>
      </c>
      <c r="M9303" s="1" t="str">
        <f>"浙江省 湖州市 安吉县 天子湖镇"</f>
        <v>浙江省 湖州市 安吉县 天子湖镇</v>
      </c>
      <c r="N9303" s="1" t="str">
        <f t="shared" ref="N9303:N9366" si="2592">"凡华云仓-韵达-抖音"</f>
        <v>凡华云仓-韵达-抖音</v>
      </c>
      <c r="O9303" s="5">
        <v>320157848620969</v>
      </c>
      <c r="P9303" s="6">
        <v>0.33</v>
      </c>
      <c r="Q9303" s="11">
        <v>2.2999999999999998</v>
      </c>
      <c r="R9303" s="11"/>
      <c r="S9303" s="11"/>
      <c r="T9303" s="11"/>
      <c r="U9303" s="11">
        <f t="shared" si="2584"/>
        <v>2.2999999999999998</v>
      </c>
      <c r="W9303">
        <v>2.5</v>
      </c>
      <c r="X9303" s="1" t="s">
        <v>20</v>
      </c>
    </row>
    <row r="9304" spans="1:24" x14ac:dyDescent="0.25">
      <c r="A9304" s="1" t="str">
        <f t="shared" si="2577"/>
        <v>卡卡杜-凤凰仓</v>
      </c>
      <c r="B9304" s="1" t="str">
        <f>"CK20241006155"</f>
        <v>CK20241006155</v>
      </c>
      <c r="C9304" s="1" t="str">
        <f>"DD2024100613487"</f>
        <v>DD2024100613487</v>
      </c>
      <c r="D9304" s="1" t="str">
        <f>"CK2024100620355"</f>
        <v>CK2024100620355</v>
      </c>
      <c r="E9304" s="1" t="str">
        <f>"6917864977187175441"</f>
        <v>6917864977187175441</v>
      </c>
      <c r="F9304" s="1" t="str">
        <f t="shared" si="2578"/>
        <v>花都四部-凤凰仓</v>
      </c>
      <c r="G9304" s="1" t="str">
        <f t="shared" si="2590"/>
        <v>卡卡杜个人护理店（抖店）</v>
      </c>
      <c r="H9304" s="1" t="str">
        <f t="shared" si="2579"/>
        <v>正常订单</v>
      </c>
      <c r="I9304" s="1" t="str">
        <f t="shared" si="2580"/>
        <v>已发货</v>
      </c>
      <c r="J9304" s="1" t="str">
        <f t="shared" si="2591"/>
        <v>2</v>
      </c>
      <c r="K9304" s="1">
        <v>1</v>
      </c>
      <c r="L9304" s="1" t="s">
        <v>24</v>
      </c>
      <c r="M9304" s="1" t="str">
        <f>"福建省 漳州市 长泰区 "</f>
        <v xml:space="preserve">福建省 漳州市 长泰区 </v>
      </c>
      <c r="N9304" s="1" t="str">
        <f t="shared" si="2592"/>
        <v>凡华云仓-韵达-抖音</v>
      </c>
      <c r="O9304" s="5">
        <v>320157848620864</v>
      </c>
      <c r="P9304" s="6">
        <v>0.33</v>
      </c>
      <c r="Q9304" s="11">
        <v>2.2999999999999998</v>
      </c>
      <c r="R9304" s="11"/>
      <c r="S9304" s="11"/>
      <c r="T9304" s="11"/>
      <c r="U9304" s="11">
        <f t="shared" si="2584"/>
        <v>2.2999999999999998</v>
      </c>
      <c r="W9304">
        <v>2.5</v>
      </c>
      <c r="X9304" s="1" t="s">
        <v>24</v>
      </c>
    </row>
    <row r="9305" spans="1:24" x14ac:dyDescent="0.25">
      <c r="A9305" s="1" t="str">
        <f t="shared" si="2577"/>
        <v>卡卡杜-凤凰仓</v>
      </c>
      <c r="B9305" s="1" t="str">
        <f>"CK20241006138"</f>
        <v>CK20241006138</v>
      </c>
      <c r="C9305" s="1" t="str">
        <f>"DD2024100613468"</f>
        <v>DD2024100613468</v>
      </c>
      <c r="D9305" s="1" t="str">
        <f>"CK2024100620354"</f>
        <v>CK2024100620354</v>
      </c>
      <c r="E9305" s="1" t="str">
        <f>"6917867177566568146"</f>
        <v>6917867177566568146</v>
      </c>
      <c r="F9305" s="1" t="str">
        <f t="shared" si="2578"/>
        <v>花都四部-凤凰仓</v>
      </c>
      <c r="G9305" s="1" t="str">
        <f t="shared" si="2590"/>
        <v>卡卡杜个人护理店（抖店）</v>
      </c>
      <c r="H9305" s="1" t="str">
        <f t="shared" si="2579"/>
        <v>正常订单</v>
      </c>
      <c r="I9305" s="1" t="str">
        <f t="shared" si="2580"/>
        <v>已发货</v>
      </c>
      <c r="J9305" s="1" t="str">
        <f t="shared" si="2591"/>
        <v>2</v>
      </c>
      <c r="K9305" s="1">
        <v>1</v>
      </c>
      <c r="L9305" s="1" t="s">
        <v>94</v>
      </c>
      <c r="M9305" s="1" t="str">
        <f>"湖南省 怀化市 沅陵县 沅陵镇"</f>
        <v>湖南省 怀化市 沅陵县 沅陵镇</v>
      </c>
      <c r="N9305" s="1" t="str">
        <f t="shared" si="2592"/>
        <v>凡华云仓-韵达-抖音</v>
      </c>
      <c r="O9305" s="5">
        <v>320157849217655</v>
      </c>
      <c r="P9305" s="6">
        <v>0.33</v>
      </c>
      <c r="Q9305" s="11">
        <v>2.2999999999999998</v>
      </c>
      <c r="R9305" s="11"/>
      <c r="S9305" s="11"/>
      <c r="T9305" s="11"/>
      <c r="U9305" s="11">
        <f t="shared" si="2584"/>
        <v>2.2999999999999998</v>
      </c>
      <c r="W9305">
        <v>2.5</v>
      </c>
      <c r="X9305" s="1" t="s">
        <v>94</v>
      </c>
    </row>
    <row r="9306" spans="1:24" x14ac:dyDescent="0.25">
      <c r="A9306" s="1" t="str">
        <f t="shared" si="2577"/>
        <v>卡卡杜-凤凰仓</v>
      </c>
      <c r="B9306" s="1" t="str">
        <f>"CK20241006174"</f>
        <v>CK20241006174</v>
      </c>
      <c r="C9306" s="1" t="str">
        <f>"DD2024100613506"</f>
        <v>DD2024100613506</v>
      </c>
      <c r="D9306" s="1" t="str">
        <f>"CK2024100620353"</f>
        <v>CK2024100620353</v>
      </c>
      <c r="E9306" s="1" t="str">
        <f>"6917860135376747996"</f>
        <v>6917860135376747996</v>
      </c>
      <c r="F9306" s="1" t="str">
        <f t="shared" si="2578"/>
        <v>花都四部-凤凰仓</v>
      </c>
      <c r="G9306" s="1" t="str">
        <f t="shared" si="2590"/>
        <v>卡卡杜个人护理店（抖店）</v>
      </c>
      <c r="H9306" s="1" t="str">
        <f t="shared" si="2579"/>
        <v>正常订单</v>
      </c>
      <c r="I9306" s="1" t="str">
        <f t="shared" si="2580"/>
        <v>已发货</v>
      </c>
      <c r="J9306" s="1" t="str">
        <f t="shared" si="2591"/>
        <v>2</v>
      </c>
      <c r="K9306" s="1">
        <v>1</v>
      </c>
      <c r="L9306" s="1" t="s">
        <v>74</v>
      </c>
      <c r="M9306" s="1" t="str">
        <f>"上海 上海市 闵行区 "</f>
        <v xml:space="preserve">上海 上海市 闵行区 </v>
      </c>
      <c r="N9306" s="1" t="str">
        <f t="shared" si="2592"/>
        <v>凡华云仓-韵达-抖音</v>
      </c>
      <c r="O9306" s="5">
        <v>320157849217556</v>
      </c>
      <c r="P9306" s="6">
        <v>0.33</v>
      </c>
      <c r="Q9306" s="11">
        <v>2.2999999999999998</v>
      </c>
      <c r="R9306" s="11"/>
      <c r="S9306" s="11"/>
      <c r="T9306" s="11"/>
      <c r="U9306" s="11">
        <f t="shared" si="2584"/>
        <v>2.2999999999999998</v>
      </c>
      <c r="W9306">
        <v>2.5</v>
      </c>
      <c r="X9306" s="1" t="s">
        <v>74</v>
      </c>
    </row>
    <row r="9307" spans="1:24" x14ac:dyDescent="0.25">
      <c r="A9307" s="1" t="str">
        <f t="shared" si="2577"/>
        <v>卡卡杜-凤凰仓</v>
      </c>
      <c r="B9307" s="1" t="str">
        <f>"CK2024101926426"</f>
        <v>CK2024101926426</v>
      </c>
      <c r="C9307" s="1" t="str">
        <f>"DD2024101961348"</f>
        <v>DD2024101961348</v>
      </c>
      <c r="D9307" s="1" t="str">
        <f>"CK2024101948737"</f>
        <v>CK2024101948737</v>
      </c>
      <c r="E9307" s="1" t="str">
        <f>"2429302223889121"</f>
        <v>2429302223889121</v>
      </c>
      <c r="F9307" s="1" t="str">
        <f t="shared" si="2578"/>
        <v>花都四部-凤凰仓</v>
      </c>
      <c r="G9307" s="1" t="str">
        <f>"卡卡杜佳旺专卖店（快手店）"</f>
        <v>卡卡杜佳旺专卖店（快手店）</v>
      </c>
      <c r="H9307" s="1" t="str">
        <f t="shared" si="2579"/>
        <v>正常订单</v>
      </c>
      <c r="I9307" s="1" t="str">
        <f t="shared" si="2580"/>
        <v>已发货</v>
      </c>
      <c r="J9307" s="1" t="str">
        <f>"4"</f>
        <v>4</v>
      </c>
      <c r="K9307" s="1">
        <v>1</v>
      </c>
      <c r="L9307" s="1" t="s">
        <v>30</v>
      </c>
      <c r="M9307" s="1" t="str">
        <f>"山东省 聊城市 东昌府区 古楼街道"</f>
        <v>山东省 聊城市 东昌府区 古楼街道</v>
      </c>
      <c r="N9307" s="1" t="str">
        <f>"凡华云仓-城南圆通-快手"</f>
        <v>凡华云仓-城南圆通-快手</v>
      </c>
      <c r="O9307" s="5" t="s">
        <v>5677</v>
      </c>
      <c r="P9307" s="6">
        <v>0.57999999999999996</v>
      </c>
      <c r="Q9307" s="11">
        <f>CEILING(P9307-0.5,0.1)*10*0.15+2.3</f>
        <v>2.4499999999999997</v>
      </c>
      <c r="R9307" s="11"/>
      <c r="S9307" s="11"/>
      <c r="T9307" s="11"/>
      <c r="U9307" s="11">
        <f t="shared" si="2584"/>
        <v>2.4499999999999997</v>
      </c>
      <c r="V9307" t="s">
        <v>15</v>
      </c>
      <c r="W9307">
        <v>2.4500000000000002</v>
      </c>
      <c r="X9307" s="1" t="s">
        <v>30</v>
      </c>
    </row>
    <row r="9308" spans="1:24" x14ac:dyDescent="0.25">
      <c r="A9308" s="1" t="str">
        <f t="shared" si="2577"/>
        <v>卡卡杜-凤凰仓</v>
      </c>
      <c r="B9308" s="1" t="str">
        <f>"CK20241006133"</f>
        <v>CK20241006133</v>
      </c>
      <c r="C9308" s="1" t="str">
        <f>"DD2024100613463"</f>
        <v>DD2024100613463</v>
      </c>
      <c r="D9308" s="1" t="str">
        <f>"CK2024100620351"</f>
        <v>CK2024100620351</v>
      </c>
      <c r="E9308" s="1" t="str">
        <f>"6917860610320137913"</f>
        <v>6917860610320137913</v>
      </c>
      <c r="F9308" s="1" t="str">
        <f t="shared" si="2578"/>
        <v>花都四部-凤凰仓</v>
      </c>
      <c r="G9308" s="1" t="str">
        <f t="shared" si="2590"/>
        <v>卡卡杜个人护理店（抖店）</v>
      </c>
      <c r="H9308" s="1" t="str">
        <f t="shared" si="2579"/>
        <v>正常订单</v>
      </c>
      <c r="I9308" s="1" t="str">
        <f t="shared" si="2580"/>
        <v>已发货</v>
      </c>
      <c r="J9308" s="1" t="str">
        <f t="shared" ref="J9308:J9316" si="2593">"2"</f>
        <v>2</v>
      </c>
      <c r="K9308" s="1">
        <v>1</v>
      </c>
      <c r="L9308" s="1" t="s">
        <v>30</v>
      </c>
      <c r="M9308" s="1" t="str">
        <f>"山东省 东营市 东营区 "</f>
        <v xml:space="preserve">山东省 东营市 东营区 </v>
      </c>
      <c r="N9308" s="1" t="str">
        <f t="shared" si="2592"/>
        <v>凡华云仓-韵达-抖音</v>
      </c>
      <c r="O9308" s="5">
        <v>320157849217364</v>
      </c>
      <c r="P9308" s="6">
        <v>0.33</v>
      </c>
      <c r="Q9308" s="11">
        <v>2.2999999999999998</v>
      </c>
      <c r="R9308" s="11"/>
      <c r="S9308" s="11"/>
      <c r="T9308" s="11"/>
      <c r="U9308" s="11">
        <f t="shared" si="2584"/>
        <v>2.2999999999999998</v>
      </c>
      <c r="W9308">
        <v>2.5</v>
      </c>
      <c r="X9308" s="1" t="s">
        <v>30</v>
      </c>
    </row>
    <row r="9309" spans="1:24" x14ac:dyDescent="0.25">
      <c r="A9309" s="1" t="str">
        <f t="shared" si="2577"/>
        <v>卡卡杜-凤凰仓</v>
      </c>
      <c r="B9309" s="1" t="str">
        <f>"CK20241006125"</f>
        <v>CK20241006125</v>
      </c>
      <c r="C9309" s="1" t="str">
        <f>"DD2024100613457"</f>
        <v>DD2024100613457</v>
      </c>
      <c r="D9309" s="1" t="str">
        <f>"CK2024100620350"</f>
        <v>CK2024100620350</v>
      </c>
      <c r="E9309" s="1" t="str">
        <f>"6917867184513055756"</f>
        <v>6917867184513055756</v>
      </c>
      <c r="F9309" s="1" t="str">
        <f t="shared" si="2578"/>
        <v>花都四部-凤凰仓</v>
      </c>
      <c r="G9309" s="1" t="str">
        <f t="shared" si="2590"/>
        <v>卡卡杜个人护理店（抖店）</v>
      </c>
      <c r="H9309" s="1" t="str">
        <f t="shared" si="2579"/>
        <v>正常订单</v>
      </c>
      <c r="I9309" s="1" t="str">
        <f t="shared" si="2580"/>
        <v>已发货</v>
      </c>
      <c r="J9309" s="1" t="str">
        <f t="shared" si="2593"/>
        <v>2</v>
      </c>
      <c r="K9309" s="1">
        <v>1</v>
      </c>
      <c r="L9309" s="1" t="s">
        <v>36</v>
      </c>
      <c r="M9309" s="1" t="str">
        <f>"安徽省 阜阳市 太和县 "</f>
        <v xml:space="preserve">安徽省 阜阳市 太和县 </v>
      </c>
      <c r="N9309" s="1" t="str">
        <f t="shared" si="2592"/>
        <v>凡华云仓-韵达-抖音</v>
      </c>
      <c r="O9309" s="5">
        <v>320157849217271</v>
      </c>
      <c r="P9309" s="6">
        <v>0.33</v>
      </c>
      <c r="Q9309" s="11">
        <v>2.2999999999999998</v>
      </c>
      <c r="R9309" s="11"/>
      <c r="S9309" s="11"/>
      <c r="T9309" s="11"/>
      <c r="U9309" s="11">
        <f t="shared" si="2584"/>
        <v>2.2999999999999998</v>
      </c>
      <c r="W9309">
        <v>2.5</v>
      </c>
      <c r="X9309" s="1" t="s">
        <v>36</v>
      </c>
    </row>
    <row r="9310" spans="1:24" x14ac:dyDescent="0.25">
      <c r="A9310" s="1" t="str">
        <f t="shared" si="2577"/>
        <v>卡卡杜-凤凰仓</v>
      </c>
      <c r="B9310" s="1" t="str">
        <f>"CK20241006130"</f>
        <v>CK20241006130</v>
      </c>
      <c r="C9310" s="1" t="str">
        <f>"DD2024100613464"</f>
        <v>DD2024100613464</v>
      </c>
      <c r="D9310" s="1" t="str">
        <f>"CK2024100620349"</f>
        <v>CK2024100620349</v>
      </c>
      <c r="E9310" s="1" t="str">
        <f>"6917867129269746713"</f>
        <v>6917867129269746713</v>
      </c>
      <c r="F9310" s="1" t="str">
        <f t="shared" si="2578"/>
        <v>花都四部-凤凰仓</v>
      </c>
      <c r="G9310" s="1" t="str">
        <f t="shared" si="2590"/>
        <v>卡卡杜个人护理店（抖店）</v>
      </c>
      <c r="H9310" s="1" t="str">
        <f t="shared" si="2579"/>
        <v>正常订单</v>
      </c>
      <c r="I9310" s="1" t="str">
        <f t="shared" si="2580"/>
        <v>已发货</v>
      </c>
      <c r="J9310" s="1" t="str">
        <f t="shared" si="2593"/>
        <v>2</v>
      </c>
      <c r="K9310" s="1">
        <v>1</v>
      </c>
      <c r="L9310" s="1" t="s">
        <v>20</v>
      </c>
      <c r="M9310" s="1" t="str">
        <f>"浙江省 嘉兴市 嘉善县 西塘镇"</f>
        <v>浙江省 嘉兴市 嘉善县 西塘镇</v>
      </c>
      <c r="N9310" s="1" t="str">
        <f t="shared" si="2592"/>
        <v>凡华云仓-韵达-抖音</v>
      </c>
      <c r="O9310" s="5">
        <v>320157849217180</v>
      </c>
      <c r="P9310" s="6">
        <v>0.33</v>
      </c>
      <c r="Q9310" s="11">
        <v>2.2999999999999998</v>
      </c>
      <c r="R9310" s="11"/>
      <c r="S9310" s="11"/>
      <c r="T9310" s="11"/>
      <c r="U9310" s="11">
        <f t="shared" si="2584"/>
        <v>2.2999999999999998</v>
      </c>
      <c r="W9310">
        <v>2.5</v>
      </c>
      <c r="X9310" s="1" t="s">
        <v>20</v>
      </c>
    </row>
    <row r="9311" spans="1:24" x14ac:dyDescent="0.25">
      <c r="A9311" s="1" t="str">
        <f t="shared" si="2577"/>
        <v>卡卡杜-凤凰仓</v>
      </c>
      <c r="B9311" s="1" t="str">
        <f>"CK20241006205"</f>
        <v>CK20241006205</v>
      </c>
      <c r="C9311" s="1" t="str">
        <f>"DD2024100613535"</f>
        <v>DD2024100613535</v>
      </c>
      <c r="D9311" s="1" t="str">
        <f>"CK2024100620348"</f>
        <v>CK2024100620348</v>
      </c>
      <c r="E9311" s="1" t="str">
        <f>"6917869694429593219"</f>
        <v>6917869694429593219</v>
      </c>
      <c r="F9311" s="1" t="str">
        <f t="shared" si="2578"/>
        <v>花都四部-凤凰仓</v>
      </c>
      <c r="G9311" s="1" t="str">
        <f t="shared" si="2590"/>
        <v>卡卡杜个人护理店（抖店）</v>
      </c>
      <c r="H9311" s="1" t="str">
        <f t="shared" si="2579"/>
        <v>正常订单</v>
      </c>
      <c r="I9311" s="1" t="str">
        <f t="shared" si="2580"/>
        <v>已发货</v>
      </c>
      <c r="J9311" s="1" t="str">
        <f t="shared" si="2593"/>
        <v>2</v>
      </c>
      <c r="K9311" s="1">
        <v>2</v>
      </c>
      <c r="L9311" s="1" t="s">
        <v>92</v>
      </c>
      <c r="M9311" s="1" t="str">
        <f>"辽宁省 鞍山市 立山区 "</f>
        <v xml:space="preserve">辽宁省 鞍山市 立山区 </v>
      </c>
      <c r="N9311" s="1" t="str">
        <f t="shared" si="2592"/>
        <v>凡华云仓-韵达-抖音</v>
      </c>
      <c r="O9311" s="5">
        <v>320157849217091</v>
      </c>
      <c r="P9311" s="6">
        <v>0.28000000000000003</v>
      </c>
      <c r="Q9311" s="11">
        <v>2</v>
      </c>
      <c r="R9311" s="11"/>
      <c r="S9311" s="11"/>
      <c r="T9311" s="11"/>
      <c r="U9311" s="11">
        <f t="shared" si="2584"/>
        <v>2</v>
      </c>
      <c r="W9311">
        <v>2.2000000000000002</v>
      </c>
      <c r="X9311" s="1" t="s">
        <v>92</v>
      </c>
    </row>
    <row r="9312" spans="1:24" x14ac:dyDescent="0.25">
      <c r="A9312" s="1" t="str">
        <f t="shared" si="2577"/>
        <v>卡卡杜-凤凰仓</v>
      </c>
      <c r="B9312" s="1" t="str">
        <f>"CK20241006117"</f>
        <v>CK20241006117</v>
      </c>
      <c r="C9312" s="1" t="str">
        <f>"DD2024100613449"</f>
        <v>DD2024100613449</v>
      </c>
      <c r="D9312" s="1" t="str">
        <f>"CK2024100620347"</f>
        <v>CK2024100620347</v>
      </c>
      <c r="E9312" s="1" t="str">
        <f>"6917860333868777197"</f>
        <v>6917860333868777197</v>
      </c>
      <c r="F9312" s="1" t="str">
        <f t="shared" si="2578"/>
        <v>花都四部-凤凰仓</v>
      </c>
      <c r="G9312" s="1" t="str">
        <f t="shared" si="2590"/>
        <v>卡卡杜个人护理店（抖店）</v>
      </c>
      <c r="H9312" s="1" t="str">
        <f t="shared" si="2579"/>
        <v>正常订单</v>
      </c>
      <c r="I9312" s="1" t="str">
        <f t="shared" si="2580"/>
        <v>已发货</v>
      </c>
      <c r="J9312" s="1" t="str">
        <f t="shared" si="2593"/>
        <v>2</v>
      </c>
      <c r="K9312" s="1">
        <v>1</v>
      </c>
      <c r="L9312" s="1" t="s">
        <v>36</v>
      </c>
      <c r="M9312" s="1" t="str">
        <f>"安徽省 滁州市 明光市 明光街道"</f>
        <v>安徽省 滁州市 明光市 明光街道</v>
      </c>
      <c r="N9312" s="1" t="str">
        <f t="shared" si="2592"/>
        <v>凡华云仓-韵达-抖音</v>
      </c>
      <c r="O9312" s="5">
        <v>320157842856934</v>
      </c>
      <c r="P9312" s="6">
        <v>0.33</v>
      </c>
      <c r="Q9312" s="11">
        <v>2.2999999999999998</v>
      </c>
      <c r="R9312" s="11"/>
      <c r="S9312" s="11"/>
      <c r="T9312" s="11"/>
      <c r="U9312" s="11">
        <f t="shared" si="2584"/>
        <v>2.2999999999999998</v>
      </c>
      <c r="W9312">
        <v>2.5</v>
      </c>
      <c r="X9312" s="1" t="s">
        <v>36</v>
      </c>
    </row>
    <row r="9313" spans="1:24" x14ac:dyDescent="0.25">
      <c r="A9313" s="1" t="str">
        <f t="shared" si="2577"/>
        <v>卡卡杜-凤凰仓</v>
      </c>
      <c r="B9313" s="1" t="str">
        <f>"CK2024100697"</f>
        <v>CK2024100697</v>
      </c>
      <c r="C9313" s="1" t="str">
        <f>"DD2024100613429"</f>
        <v>DD2024100613429</v>
      </c>
      <c r="D9313" s="1" t="str">
        <f>"CK2024100620346"</f>
        <v>CK2024100620346</v>
      </c>
      <c r="E9313" s="1" t="str">
        <f>"6917864787657325877"</f>
        <v>6917864787657325877</v>
      </c>
      <c r="F9313" s="1" t="str">
        <f t="shared" si="2578"/>
        <v>花都四部-凤凰仓</v>
      </c>
      <c r="G9313" s="1" t="str">
        <f t="shared" si="2590"/>
        <v>卡卡杜个人护理店（抖店）</v>
      </c>
      <c r="H9313" s="1" t="str">
        <f t="shared" si="2579"/>
        <v>正常订单</v>
      </c>
      <c r="I9313" s="1" t="str">
        <f t="shared" si="2580"/>
        <v>已发货</v>
      </c>
      <c r="J9313" s="1" t="str">
        <f t="shared" si="2593"/>
        <v>2</v>
      </c>
      <c r="K9313" s="1">
        <v>1</v>
      </c>
      <c r="L9313" s="1" t="s">
        <v>13</v>
      </c>
      <c r="M9313" s="1" t="str">
        <f>"江苏省 南京市 江宁区 秣陵街道"</f>
        <v>江苏省 南京市 江宁区 秣陵街道</v>
      </c>
      <c r="N9313" s="1" t="str">
        <f t="shared" si="2592"/>
        <v>凡华云仓-韵达-抖音</v>
      </c>
      <c r="O9313" s="5">
        <v>320157842856829</v>
      </c>
      <c r="P9313" s="6">
        <v>0.33</v>
      </c>
      <c r="Q9313" s="11">
        <v>2.2999999999999998</v>
      </c>
      <c r="R9313" s="11"/>
      <c r="S9313" s="11"/>
      <c r="T9313" s="11"/>
      <c r="U9313" s="11">
        <f t="shared" si="2584"/>
        <v>2.2999999999999998</v>
      </c>
      <c r="W9313">
        <v>2.5</v>
      </c>
      <c r="X9313" s="1" t="s">
        <v>13</v>
      </c>
    </row>
    <row r="9314" spans="1:24" x14ac:dyDescent="0.25">
      <c r="A9314" s="1" t="str">
        <f t="shared" si="2577"/>
        <v>卡卡杜-凤凰仓</v>
      </c>
      <c r="B9314" s="1" t="str">
        <f>"CK2024100698"</f>
        <v>CK2024100698</v>
      </c>
      <c r="C9314" s="1" t="str">
        <f>"DD2024100613431"</f>
        <v>DD2024100613431</v>
      </c>
      <c r="D9314" s="1" t="str">
        <f>"CK2024100620345"</f>
        <v>CK2024100620345</v>
      </c>
      <c r="E9314" s="1" t="str">
        <f>"6917865102294088869"</f>
        <v>6917865102294088869</v>
      </c>
      <c r="F9314" s="1" t="str">
        <f t="shared" si="2578"/>
        <v>花都四部-凤凰仓</v>
      </c>
      <c r="G9314" s="1" t="str">
        <f t="shared" si="2590"/>
        <v>卡卡杜个人护理店（抖店）</v>
      </c>
      <c r="H9314" s="1" t="str">
        <f t="shared" si="2579"/>
        <v>正常订单</v>
      </c>
      <c r="I9314" s="1" t="str">
        <f t="shared" si="2580"/>
        <v>已发货</v>
      </c>
      <c r="J9314" s="1" t="str">
        <f t="shared" si="2593"/>
        <v>2</v>
      </c>
      <c r="K9314" s="1">
        <v>1</v>
      </c>
      <c r="L9314" s="1" t="s">
        <v>18</v>
      </c>
      <c r="M9314" s="1" t="str">
        <f>"广东省 东莞市 东莞市 茶山镇"</f>
        <v>广东省 东莞市 东莞市 茶山镇</v>
      </c>
      <c r="N9314" s="1" t="str">
        <f t="shared" si="2592"/>
        <v>凡华云仓-韵达-抖音</v>
      </c>
      <c r="O9314" s="5">
        <v>320157842856726</v>
      </c>
      <c r="P9314" s="6">
        <v>0.33</v>
      </c>
      <c r="Q9314" s="11">
        <v>2.2999999999999998</v>
      </c>
      <c r="R9314" s="11"/>
      <c r="S9314" s="11"/>
      <c r="T9314" s="11"/>
      <c r="U9314" s="11">
        <f t="shared" si="2584"/>
        <v>2.2999999999999998</v>
      </c>
      <c r="W9314">
        <v>2.5</v>
      </c>
      <c r="X9314" s="1" t="s">
        <v>18</v>
      </c>
    </row>
    <row r="9315" spans="1:24" x14ac:dyDescent="0.25">
      <c r="A9315" s="1" t="str">
        <f t="shared" si="2577"/>
        <v>卡卡杜-凤凰仓</v>
      </c>
      <c r="B9315" s="1" t="str">
        <f>"CK2024100694"</f>
        <v>CK2024100694</v>
      </c>
      <c r="C9315" s="1" t="str">
        <f>"DD2024100613426"</f>
        <v>DD2024100613426</v>
      </c>
      <c r="D9315" s="1" t="str">
        <f>"CK2024100620344"</f>
        <v>CK2024100620344</v>
      </c>
      <c r="E9315" s="1" t="str">
        <f>"6917862813856137034"</f>
        <v>6917862813856137034</v>
      </c>
      <c r="F9315" s="1" t="str">
        <f t="shared" si="2578"/>
        <v>花都四部-凤凰仓</v>
      </c>
      <c r="G9315" s="1" t="str">
        <f t="shared" si="2590"/>
        <v>卡卡杜个人护理店（抖店）</v>
      </c>
      <c r="H9315" s="1" t="str">
        <f t="shared" si="2579"/>
        <v>正常订单</v>
      </c>
      <c r="I9315" s="1" t="str">
        <f t="shared" si="2580"/>
        <v>已发货</v>
      </c>
      <c r="J9315" s="1" t="str">
        <f t="shared" si="2593"/>
        <v>2</v>
      </c>
      <c r="K9315" s="1">
        <v>1</v>
      </c>
      <c r="L9315" s="1" t="s">
        <v>20</v>
      </c>
      <c r="M9315" s="1" t="str">
        <f>"浙江省 台州市 三门县 健跳镇"</f>
        <v>浙江省 台州市 三门县 健跳镇</v>
      </c>
      <c r="N9315" s="1" t="str">
        <f t="shared" si="2592"/>
        <v>凡华云仓-韵达-抖音</v>
      </c>
      <c r="O9315" s="5">
        <v>320157842856625</v>
      </c>
      <c r="P9315" s="6">
        <v>0.33</v>
      </c>
      <c r="Q9315" s="11">
        <v>2.2999999999999998</v>
      </c>
      <c r="R9315" s="11"/>
      <c r="S9315" s="11"/>
      <c r="T9315" s="11"/>
      <c r="U9315" s="11">
        <f t="shared" si="2584"/>
        <v>2.2999999999999998</v>
      </c>
      <c r="W9315">
        <v>2.5</v>
      </c>
      <c r="X9315" s="1" t="s">
        <v>20</v>
      </c>
    </row>
    <row r="9316" spans="1:24" x14ac:dyDescent="0.25">
      <c r="A9316" s="1" t="str">
        <f t="shared" si="2577"/>
        <v>卡卡杜-凤凰仓</v>
      </c>
      <c r="B9316" s="1" t="str">
        <f>"CK2024100686"</f>
        <v>CK2024100686</v>
      </c>
      <c r="C9316" s="1" t="str">
        <f>"DD2024100613416"</f>
        <v>DD2024100613416</v>
      </c>
      <c r="D9316" s="1" t="str">
        <f>"CK2024100620343"</f>
        <v>CK2024100620343</v>
      </c>
      <c r="E9316" s="1" t="str">
        <f>"6917862928980802608"</f>
        <v>6917862928980802608</v>
      </c>
      <c r="F9316" s="1" t="str">
        <f t="shared" si="2578"/>
        <v>花都四部-凤凰仓</v>
      </c>
      <c r="G9316" s="1" t="str">
        <f t="shared" si="2590"/>
        <v>卡卡杜个人护理店（抖店）</v>
      </c>
      <c r="H9316" s="1" t="str">
        <f t="shared" si="2579"/>
        <v>正常订单</v>
      </c>
      <c r="I9316" s="1" t="str">
        <f t="shared" si="2580"/>
        <v>已发货</v>
      </c>
      <c r="J9316" s="1" t="str">
        <f t="shared" si="2593"/>
        <v>2</v>
      </c>
      <c r="K9316" s="1">
        <v>1</v>
      </c>
      <c r="L9316" s="1" t="s">
        <v>36</v>
      </c>
      <c r="M9316" s="1" t="str">
        <f>"安徽省 合肥市 庐阳区 海棠街道"</f>
        <v>安徽省 合肥市 庐阳区 海棠街道</v>
      </c>
      <c r="N9316" s="1" t="str">
        <f t="shared" si="2592"/>
        <v>凡华云仓-韵达-抖音</v>
      </c>
      <c r="O9316" s="5">
        <v>320157842856526</v>
      </c>
      <c r="P9316" s="6">
        <v>0.33</v>
      </c>
      <c r="Q9316" s="11">
        <v>2.2999999999999998</v>
      </c>
      <c r="R9316" s="11"/>
      <c r="S9316" s="11"/>
      <c r="T9316" s="11"/>
      <c r="U9316" s="11">
        <f t="shared" si="2584"/>
        <v>2.2999999999999998</v>
      </c>
      <c r="W9316">
        <v>2.5</v>
      </c>
      <c r="X9316" s="1" t="s">
        <v>36</v>
      </c>
    </row>
    <row r="9317" spans="1:24" x14ac:dyDescent="0.25">
      <c r="A9317" s="1" t="str">
        <f t="shared" si="2577"/>
        <v>卡卡杜-凤凰仓</v>
      </c>
      <c r="B9317" s="1" t="str">
        <f>"CK2024101926420"</f>
        <v>CK2024101926420</v>
      </c>
      <c r="C9317" s="1" t="str">
        <f>"DD2024101961342"</f>
        <v>DD2024101961342</v>
      </c>
      <c r="D9317" s="1" t="str">
        <f>"CK2024101948732"</f>
        <v>CK2024101948732</v>
      </c>
      <c r="E9317" s="1" t="str">
        <f>"2429301741587862"</f>
        <v>2429301741587862</v>
      </c>
      <c r="F9317" s="1" t="str">
        <f t="shared" si="2578"/>
        <v>花都四部-凤凰仓</v>
      </c>
      <c r="G9317" s="1" t="str">
        <f>"卡卡杜佳旺专卖店（快手店）"</f>
        <v>卡卡杜佳旺专卖店（快手店）</v>
      </c>
      <c r="H9317" s="1" t="str">
        <f t="shared" si="2579"/>
        <v>正常订单</v>
      </c>
      <c r="I9317" s="1" t="str">
        <f t="shared" si="2580"/>
        <v>已发货</v>
      </c>
      <c r="J9317" s="1" t="str">
        <f>"4"</f>
        <v>4</v>
      </c>
      <c r="K9317" s="1">
        <v>1</v>
      </c>
      <c r="L9317" s="1" t="s">
        <v>24</v>
      </c>
      <c r="M9317" s="1" t="str">
        <f>"福建省 宁德市 福安市 阳头街道"</f>
        <v>福建省 宁德市 福安市 阳头街道</v>
      </c>
      <c r="N9317" s="1" t="str">
        <f>"凡华云仓-城南圆通-快手"</f>
        <v>凡华云仓-城南圆通-快手</v>
      </c>
      <c r="O9317" s="5" t="s">
        <v>5678</v>
      </c>
      <c r="P9317" s="6">
        <v>0.57999999999999996</v>
      </c>
      <c r="Q9317" s="11">
        <f>CEILING(P9317-0.5,0.1)*10*0.15+2.3</f>
        <v>2.4499999999999997</v>
      </c>
      <c r="R9317" s="11"/>
      <c r="S9317" s="11"/>
      <c r="T9317" s="11"/>
      <c r="U9317" s="11">
        <f t="shared" si="2584"/>
        <v>2.4499999999999997</v>
      </c>
      <c r="V9317" t="s">
        <v>15</v>
      </c>
      <c r="W9317">
        <v>2.4500000000000002</v>
      </c>
      <c r="X9317" s="1" t="s">
        <v>24</v>
      </c>
    </row>
    <row r="9318" spans="1:24" x14ac:dyDescent="0.25">
      <c r="A9318" s="1" t="str">
        <f t="shared" si="2577"/>
        <v>卡卡杜-凤凰仓</v>
      </c>
      <c r="B9318" s="1" t="str">
        <f>"CK20241006113"</f>
        <v>CK20241006113</v>
      </c>
      <c r="C9318" s="1" t="str">
        <f>"DD2024100613446"</f>
        <v>DD2024100613446</v>
      </c>
      <c r="D9318" s="1" t="str">
        <f>"CK2024100620341"</f>
        <v>CK2024100620341</v>
      </c>
      <c r="E9318" s="1" t="str">
        <f>"6917862180849155414"</f>
        <v>6917862180849155414</v>
      </c>
      <c r="F9318" s="1" t="str">
        <f t="shared" si="2578"/>
        <v>花都四部-凤凰仓</v>
      </c>
      <c r="G9318" s="1" t="str">
        <f t="shared" si="2590"/>
        <v>卡卡杜个人护理店（抖店）</v>
      </c>
      <c r="H9318" s="1" t="str">
        <f t="shared" si="2579"/>
        <v>正常订单</v>
      </c>
      <c r="I9318" s="1" t="str">
        <f t="shared" si="2580"/>
        <v>已发货</v>
      </c>
      <c r="J9318" s="1" t="str">
        <f t="shared" ref="J9318:J9333" si="2594">"2"</f>
        <v>2</v>
      </c>
      <c r="K9318" s="1">
        <v>1</v>
      </c>
      <c r="L9318" s="1" t="s">
        <v>16</v>
      </c>
      <c r="M9318" s="1" t="str">
        <f>"河北省 邢台市 宁晋县 大陆村镇"</f>
        <v>河北省 邢台市 宁晋县 大陆村镇</v>
      </c>
      <c r="N9318" s="1" t="str">
        <f t="shared" si="2592"/>
        <v>凡华云仓-韵达-抖音</v>
      </c>
      <c r="O9318" s="5">
        <v>320157842856334</v>
      </c>
      <c r="P9318" s="6">
        <v>0.33</v>
      </c>
      <c r="Q9318" s="11">
        <v>2.2999999999999998</v>
      </c>
      <c r="R9318" s="11"/>
      <c r="S9318" s="11"/>
      <c r="T9318" s="11"/>
      <c r="U9318" s="11">
        <f t="shared" si="2584"/>
        <v>2.2999999999999998</v>
      </c>
      <c r="W9318">
        <v>2.5</v>
      </c>
      <c r="X9318" s="1" t="s">
        <v>16</v>
      </c>
    </row>
    <row r="9319" spans="1:24" x14ac:dyDescent="0.25">
      <c r="A9319" s="1" t="str">
        <f t="shared" si="2577"/>
        <v>卡卡杜-凤凰仓</v>
      </c>
      <c r="B9319" s="1" t="str">
        <f>"CK20241006197"</f>
        <v>CK20241006197</v>
      </c>
      <c r="C9319" s="1" t="str">
        <f>"DD2024100613530"</f>
        <v>DD2024100613530</v>
      </c>
      <c r="D9319" s="1" t="str">
        <f>"CK2024100620340"</f>
        <v>CK2024100620340</v>
      </c>
      <c r="E9319" s="1" t="str">
        <f>"6917862291580026101"</f>
        <v>6917862291580026101</v>
      </c>
      <c r="F9319" s="1" t="str">
        <f t="shared" si="2578"/>
        <v>花都四部-凤凰仓</v>
      </c>
      <c r="G9319" s="1" t="str">
        <f t="shared" si="2590"/>
        <v>卡卡杜个人护理店（抖店）</v>
      </c>
      <c r="H9319" s="1" t="str">
        <f t="shared" si="2579"/>
        <v>正常订单</v>
      </c>
      <c r="I9319" s="1" t="str">
        <f t="shared" si="2580"/>
        <v>已发货</v>
      </c>
      <c r="J9319" s="1" t="str">
        <f t="shared" si="2594"/>
        <v>2</v>
      </c>
      <c r="K9319" s="1">
        <v>2</v>
      </c>
      <c r="L9319" s="1" t="s">
        <v>36</v>
      </c>
      <c r="M9319" s="1" t="str">
        <f>"安徽省 铜陵市 铜官区 铜陵经济开发区"</f>
        <v>安徽省 铜陵市 铜官区 铜陵经济开发区</v>
      </c>
      <c r="N9319" s="1" t="str">
        <f t="shared" si="2592"/>
        <v>凡华云仓-韵达-抖音</v>
      </c>
      <c r="O9319" s="5">
        <v>320157842856241</v>
      </c>
      <c r="P9319" s="6">
        <v>0.28000000000000003</v>
      </c>
      <c r="Q9319" s="11">
        <v>2</v>
      </c>
      <c r="R9319" s="11"/>
      <c r="S9319" s="11"/>
      <c r="T9319" s="11"/>
      <c r="U9319" s="11">
        <f t="shared" si="2584"/>
        <v>2</v>
      </c>
      <c r="W9319">
        <v>2.2000000000000002</v>
      </c>
      <c r="X9319" s="1" t="s">
        <v>36</v>
      </c>
    </row>
    <row r="9320" spans="1:24" x14ac:dyDescent="0.25">
      <c r="A9320" s="1" t="str">
        <f t="shared" si="2577"/>
        <v>卡卡杜-凤凰仓</v>
      </c>
      <c r="B9320" s="1" t="str">
        <f>"CK20241006111"</f>
        <v>CK20241006111</v>
      </c>
      <c r="C9320" s="1" t="str">
        <f>"DD2024100613441"</f>
        <v>DD2024100613441</v>
      </c>
      <c r="D9320" s="1" t="str">
        <f>"CK2024100620339"</f>
        <v>CK2024100620339</v>
      </c>
      <c r="E9320" s="1" t="str">
        <f>"6917864764158082677"</f>
        <v>6917864764158082677</v>
      </c>
      <c r="F9320" s="1" t="str">
        <f t="shared" si="2578"/>
        <v>花都四部-凤凰仓</v>
      </c>
      <c r="G9320" s="1" t="str">
        <f t="shared" si="2590"/>
        <v>卡卡杜个人护理店（抖店）</v>
      </c>
      <c r="H9320" s="1" t="str">
        <f t="shared" si="2579"/>
        <v>正常订单</v>
      </c>
      <c r="I9320" s="1" t="str">
        <f t="shared" si="2580"/>
        <v>已发货</v>
      </c>
      <c r="J9320" s="1" t="str">
        <f t="shared" si="2594"/>
        <v>2</v>
      </c>
      <c r="K9320" s="1">
        <v>1</v>
      </c>
      <c r="L9320" s="1" t="s">
        <v>22</v>
      </c>
      <c r="M9320" s="1" t="str">
        <f>"江西省 上饶市 广丰区 芦林街道"</f>
        <v>江西省 上饶市 广丰区 芦林街道</v>
      </c>
      <c r="N9320" s="1" t="str">
        <f t="shared" si="2592"/>
        <v>凡华云仓-韵达-抖音</v>
      </c>
      <c r="O9320" s="5">
        <v>320157842856150</v>
      </c>
      <c r="P9320" s="6">
        <v>0.33</v>
      </c>
      <c r="Q9320" s="11">
        <v>2.2999999999999998</v>
      </c>
      <c r="R9320" s="11"/>
      <c r="S9320" s="11"/>
      <c r="T9320" s="11"/>
      <c r="U9320" s="11">
        <f t="shared" si="2584"/>
        <v>2.2999999999999998</v>
      </c>
      <c r="W9320">
        <v>2.5</v>
      </c>
      <c r="X9320" s="1" t="s">
        <v>22</v>
      </c>
    </row>
    <row r="9321" spans="1:24" x14ac:dyDescent="0.25">
      <c r="A9321" s="1" t="str">
        <f t="shared" si="2577"/>
        <v>卡卡杜-凤凰仓</v>
      </c>
      <c r="B9321" s="1" t="str">
        <f>"CK2024100648"</f>
        <v>CK2024100648</v>
      </c>
      <c r="C9321" s="1" t="str">
        <f>"DD2024100613380"</f>
        <v>DD2024100613380</v>
      </c>
      <c r="D9321" s="1" t="str">
        <f>"CK2024100620338"</f>
        <v>CK2024100620338</v>
      </c>
      <c r="E9321" s="1" t="str">
        <f>"6917864720219602214"</f>
        <v>6917864720219602214</v>
      </c>
      <c r="F9321" s="1" t="str">
        <f t="shared" si="2578"/>
        <v>花都四部-凤凰仓</v>
      </c>
      <c r="G9321" s="1" t="str">
        <f t="shared" si="2590"/>
        <v>卡卡杜个人护理店（抖店）</v>
      </c>
      <c r="H9321" s="1" t="str">
        <f t="shared" si="2579"/>
        <v>正常订单</v>
      </c>
      <c r="I9321" s="1" t="str">
        <f t="shared" si="2580"/>
        <v>已发货</v>
      </c>
      <c r="J9321" s="1" t="str">
        <f t="shared" si="2594"/>
        <v>2</v>
      </c>
      <c r="K9321" s="1">
        <v>1</v>
      </c>
      <c r="L9321" s="1" t="s">
        <v>18</v>
      </c>
      <c r="M9321" s="1" t="str">
        <f>"广东省 中山市 中山市 南头镇"</f>
        <v>广东省 中山市 中山市 南头镇</v>
      </c>
      <c r="N9321" s="1" t="str">
        <f t="shared" si="2592"/>
        <v>凡华云仓-韵达-抖音</v>
      </c>
      <c r="O9321" s="5">
        <v>320157861000158</v>
      </c>
      <c r="P9321" s="6">
        <v>0.33</v>
      </c>
      <c r="Q9321" s="11">
        <v>2.2999999999999998</v>
      </c>
      <c r="R9321" s="11"/>
      <c r="S9321" s="11"/>
      <c r="T9321" s="11"/>
      <c r="U9321" s="11">
        <f t="shared" si="2584"/>
        <v>2.2999999999999998</v>
      </c>
      <c r="W9321">
        <v>2.5</v>
      </c>
      <c r="X9321" s="1" t="s">
        <v>18</v>
      </c>
    </row>
    <row r="9322" spans="1:24" x14ac:dyDescent="0.25">
      <c r="A9322" s="1" t="str">
        <f t="shared" si="2577"/>
        <v>卡卡杜-凤凰仓</v>
      </c>
      <c r="B9322" s="1" t="str">
        <f>"CK2024100646"</f>
        <v>CK2024100646</v>
      </c>
      <c r="C9322" s="1" t="str">
        <f>"DD2024100613378"</f>
        <v>DD2024100613378</v>
      </c>
      <c r="D9322" s="1" t="str">
        <f>"CK2024100620337"</f>
        <v>CK2024100620337</v>
      </c>
      <c r="E9322" s="1" t="str">
        <f>"6917862458823310550"</f>
        <v>6917862458823310550</v>
      </c>
      <c r="F9322" s="1" t="str">
        <f t="shared" si="2578"/>
        <v>花都四部-凤凰仓</v>
      </c>
      <c r="G9322" s="1" t="str">
        <f t="shared" si="2590"/>
        <v>卡卡杜个人护理店（抖店）</v>
      </c>
      <c r="H9322" s="1" t="str">
        <f t="shared" si="2579"/>
        <v>正常订单</v>
      </c>
      <c r="I9322" s="1" t="str">
        <f t="shared" si="2580"/>
        <v>已发货</v>
      </c>
      <c r="J9322" s="1" t="str">
        <f t="shared" si="2594"/>
        <v>2</v>
      </c>
      <c r="K9322" s="1">
        <v>1</v>
      </c>
      <c r="L9322" s="1" t="s">
        <v>18</v>
      </c>
      <c r="M9322" s="1" t="str">
        <f>"广东省 佛山市 高明区 荷城街道"</f>
        <v>广东省 佛山市 高明区 荷城街道</v>
      </c>
      <c r="N9322" s="1" t="str">
        <f t="shared" si="2592"/>
        <v>凡华云仓-韵达-抖音</v>
      </c>
      <c r="O9322" s="5">
        <v>320157830000089</v>
      </c>
      <c r="P9322" s="6">
        <v>0.33</v>
      </c>
      <c r="Q9322" s="11">
        <v>2.2999999999999998</v>
      </c>
      <c r="R9322" s="11"/>
      <c r="S9322" s="11"/>
      <c r="T9322" s="11"/>
      <c r="U9322" s="11">
        <f t="shared" si="2584"/>
        <v>2.2999999999999998</v>
      </c>
      <c r="W9322">
        <v>2.5</v>
      </c>
      <c r="X9322" s="1" t="s">
        <v>18</v>
      </c>
    </row>
    <row r="9323" spans="1:24" x14ac:dyDescent="0.25">
      <c r="A9323" s="1" t="str">
        <f t="shared" ref="A9323:A9386" si="2595">"卡卡杜-凤凰仓"</f>
        <v>卡卡杜-凤凰仓</v>
      </c>
      <c r="B9323" s="1" t="str">
        <f>"CK2024100658"</f>
        <v>CK2024100658</v>
      </c>
      <c r="C9323" s="1" t="str">
        <f>"DD2024100613390"</f>
        <v>DD2024100613390</v>
      </c>
      <c r="D9323" s="1" t="str">
        <f>"CK2024100620336"</f>
        <v>CK2024100620336</v>
      </c>
      <c r="E9323" s="1" t="str">
        <f>"6917869442941811978"</f>
        <v>6917869442941811978</v>
      </c>
      <c r="F9323" s="1" t="str">
        <f t="shared" ref="F9323:F9386" si="2596">"花都四部-凤凰仓"</f>
        <v>花都四部-凤凰仓</v>
      </c>
      <c r="G9323" s="1" t="str">
        <f t="shared" si="2590"/>
        <v>卡卡杜个人护理店（抖店）</v>
      </c>
      <c r="H9323" s="1" t="str">
        <f t="shared" ref="H9323:H9386" si="2597">"正常订单"</f>
        <v>正常订单</v>
      </c>
      <c r="I9323" s="1" t="str">
        <f t="shared" ref="I9323:I9386" si="2598">"已发货"</f>
        <v>已发货</v>
      </c>
      <c r="J9323" s="1" t="str">
        <f t="shared" si="2594"/>
        <v>2</v>
      </c>
      <c r="K9323" s="1">
        <v>1</v>
      </c>
      <c r="L9323" s="1" t="s">
        <v>24</v>
      </c>
      <c r="M9323" s="1" t="str">
        <f>"福建省 泉州市 南安市 丰州镇"</f>
        <v>福建省 泉州市 南安市 丰州镇</v>
      </c>
      <c r="N9323" s="1" t="str">
        <f t="shared" si="2592"/>
        <v>凡华云仓-韵达-抖音</v>
      </c>
      <c r="O9323" s="5">
        <v>320157829999961</v>
      </c>
      <c r="P9323" s="6">
        <v>0.33</v>
      </c>
      <c r="Q9323" s="11">
        <v>2.2999999999999998</v>
      </c>
      <c r="R9323" s="11"/>
      <c r="S9323" s="11"/>
      <c r="T9323" s="11"/>
      <c r="U9323" s="11">
        <f t="shared" si="2584"/>
        <v>2.2999999999999998</v>
      </c>
      <c r="W9323">
        <v>2.5</v>
      </c>
      <c r="X9323" s="1" t="s">
        <v>24</v>
      </c>
    </row>
    <row r="9324" spans="1:24" x14ac:dyDescent="0.25">
      <c r="A9324" s="1" t="str">
        <f t="shared" si="2595"/>
        <v>卡卡杜-凤凰仓</v>
      </c>
      <c r="B9324" s="1" t="str">
        <f>"CK2024100695"</f>
        <v>CK2024100695</v>
      </c>
      <c r="C9324" s="1" t="str">
        <f>"DD2024100613427"</f>
        <v>DD2024100613427</v>
      </c>
      <c r="D9324" s="1" t="str">
        <f>"CK2024100620335"</f>
        <v>CK2024100620335</v>
      </c>
      <c r="E9324" s="1" t="str">
        <f>"6917859917668646371"</f>
        <v>6917859917668646371</v>
      </c>
      <c r="F9324" s="1" t="str">
        <f t="shared" si="2596"/>
        <v>花都四部-凤凰仓</v>
      </c>
      <c r="G9324" s="1" t="str">
        <f t="shared" si="2590"/>
        <v>卡卡杜个人护理店（抖店）</v>
      </c>
      <c r="H9324" s="1" t="str">
        <f t="shared" si="2597"/>
        <v>正常订单</v>
      </c>
      <c r="I9324" s="1" t="str">
        <f t="shared" si="2598"/>
        <v>已发货</v>
      </c>
      <c r="J9324" s="1" t="str">
        <f t="shared" si="2594"/>
        <v>2</v>
      </c>
      <c r="K9324" s="1">
        <v>1</v>
      </c>
      <c r="L9324" s="1" t="s">
        <v>18</v>
      </c>
      <c r="M9324" s="1" t="str">
        <f>"广东省 深圳市 宝安区 松岗街道"</f>
        <v>广东省 深圳市 宝安区 松岗街道</v>
      </c>
      <c r="N9324" s="1" t="str">
        <f t="shared" si="2592"/>
        <v>凡华云仓-韵达-抖音</v>
      </c>
      <c r="O9324" s="5">
        <v>320157829999856</v>
      </c>
      <c r="P9324" s="6">
        <v>0.33</v>
      </c>
      <c r="Q9324" s="11">
        <v>2.2999999999999998</v>
      </c>
      <c r="R9324" s="11"/>
      <c r="S9324" s="11"/>
      <c r="T9324" s="11"/>
      <c r="U9324" s="11">
        <f t="shared" si="2584"/>
        <v>2.2999999999999998</v>
      </c>
      <c r="W9324">
        <v>2.5</v>
      </c>
      <c r="X9324" s="1" t="s">
        <v>18</v>
      </c>
    </row>
    <row r="9325" spans="1:24" x14ac:dyDescent="0.25">
      <c r="A9325" s="1" t="str">
        <f t="shared" si="2595"/>
        <v>卡卡杜-凤凰仓</v>
      </c>
      <c r="B9325" s="1" t="str">
        <f>"CK2024100676"</f>
        <v>CK2024100676</v>
      </c>
      <c r="C9325" s="1" t="str">
        <f>"DD2024100613408"</f>
        <v>DD2024100613408</v>
      </c>
      <c r="D9325" s="1" t="str">
        <f>"CK2024100620334"</f>
        <v>CK2024100620334</v>
      </c>
      <c r="E9325" s="1" t="str">
        <f>"6917859629488111137"</f>
        <v>6917859629488111137</v>
      </c>
      <c r="F9325" s="1" t="str">
        <f t="shared" si="2596"/>
        <v>花都四部-凤凰仓</v>
      </c>
      <c r="G9325" s="1" t="str">
        <f t="shared" si="2590"/>
        <v>卡卡杜个人护理店（抖店）</v>
      </c>
      <c r="H9325" s="1" t="str">
        <f t="shared" si="2597"/>
        <v>正常订单</v>
      </c>
      <c r="I9325" s="1" t="str">
        <f t="shared" si="2598"/>
        <v>已发货</v>
      </c>
      <c r="J9325" s="1" t="str">
        <f t="shared" si="2594"/>
        <v>2</v>
      </c>
      <c r="K9325" s="1">
        <v>1</v>
      </c>
      <c r="L9325" s="1" t="s">
        <v>20</v>
      </c>
      <c r="M9325" s="1" t="str">
        <f>"浙江省 衢州市 开化县 华埠镇"</f>
        <v>浙江省 衢州市 开化县 华埠镇</v>
      </c>
      <c r="N9325" s="1" t="str">
        <f t="shared" si="2592"/>
        <v>凡华云仓-韵达-抖音</v>
      </c>
      <c r="O9325" s="5">
        <v>320157829999753</v>
      </c>
      <c r="P9325" s="6">
        <v>0.33</v>
      </c>
      <c r="Q9325" s="11">
        <v>2.2999999999999998</v>
      </c>
      <c r="R9325" s="11"/>
      <c r="S9325" s="11"/>
      <c r="T9325" s="11"/>
      <c r="U9325" s="11">
        <f t="shared" si="2584"/>
        <v>2.2999999999999998</v>
      </c>
      <c r="W9325">
        <v>2.5</v>
      </c>
      <c r="X9325" s="1" t="s">
        <v>20</v>
      </c>
    </row>
    <row r="9326" spans="1:24" x14ac:dyDescent="0.25">
      <c r="A9326" s="1" t="str">
        <f t="shared" si="2595"/>
        <v>卡卡杜-凤凰仓</v>
      </c>
      <c r="B9326" s="1" t="str">
        <f>"CK2024100657"</f>
        <v>CK2024100657</v>
      </c>
      <c r="C9326" s="1" t="str">
        <f>"DD2024100613389"</f>
        <v>DD2024100613389</v>
      </c>
      <c r="D9326" s="1" t="str">
        <f>"CK2024100620333"</f>
        <v>CK2024100620333</v>
      </c>
      <c r="E9326" s="1" t="str">
        <f>"6917869089345404510"</f>
        <v>6917869089345404510</v>
      </c>
      <c r="F9326" s="1" t="str">
        <f t="shared" si="2596"/>
        <v>花都四部-凤凰仓</v>
      </c>
      <c r="G9326" s="1" t="str">
        <f t="shared" si="2590"/>
        <v>卡卡杜个人护理店（抖店）</v>
      </c>
      <c r="H9326" s="1" t="str">
        <f t="shared" si="2597"/>
        <v>正常订单</v>
      </c>
      <c r="I9326" s="1" t="str">
        <f t="shared" si="2598"/>
        <v>已发货</v>
      </c>
      <c r="J9326" s="1" t="str">
        <f t="shared" si="2594"/>
        <v>2</v>
      </c>
      <c r="K9326" s="1">
        <v>1</v>
      </c>
      <c r="L9326" s="1" t="s">
        <v>22</v>
      </c>
      <c r="M9326" s="1" t="str">
        <f>"江西省 赣州市 全南县 "</f>
        <v xml:space="preserve">江西省 赣州市 全南县 </v>
      </c>
      <c r="N9326" s="1" t="str">
        <f t="shared" si="2592"/>
        <v>凡华云仓-韵达-抖音</v>
      </c>
      <c r="O9326" s="5">
        <v>320157829999652</v>
      </c>
      <c r="P9326" s="6">
        <v>0.33</v>
      </c>
      <c r="Q9326" s="11">
        <v>2.2999999999999998</v>
      </c>
      <c r="R9326" s="11"/>
      <c r="S9326" s="11"/>
      <c r="T9326" s="11"/>
      <c r="U9326" s="11">
        <f t="shared" si="2584"/>
        <v>2.2999999999999998</v>
      </c>
      <c r="W9326">
        <v>2.5</v>
      </c>
      <c r="X9326" s="1" t="s">
        <v>22</v>
      </c>
    </row>
    <row r="9327" spans="1:24" x14ac:dyDescent="0.25">
      <c r="A9327" s="1" t="str">
        <f t="shared" si="2595"/>
        <v>卡卡杜-凤凰仓</v>
      </c>
      <c r="B9327" s="1" t="str">
        <f>"CK2024100659"</f>
        <v>CK2024100659</v>
      </c>
      <c r="C9327" s="1" t="str">
        <f>"DD2024100613395"</f>
        <v>DD2024100613395</v>
      </c>
      <c r="D9327" s="1" t="str">
        <f>"CK2024100620331"</f>
        <v>CK2024100620331</v>
      </c>
      <c r="E9327" s="1" t="str">
        <f>"6917869276799926153"</f>
        <v>6917869276799926153</v>
      </c>
      <c r="F9327" s="1" t="str">
        <f t="shared" si="2596"/>
        <v>花都四部-凤凰仓</v>
      </c>
      <c r="G9327" s="1" t="str">
        <f t="shared" si="2590"/>
        <v>卡卡杜个人护理店（抖店）</v>
      </c>
      <c r="H9327" s="1" t="str">
        <f t="shared" si="2597"/>
        <v>正常订单</v>
      </c>
      <c r="I9327" s="1" t="str">
        <f t="shared" si="2598"/>
        <v>已发货</v>
      </c>
      <c r="J9327" s="1" t="str">
        <f t="shared" si="2594"/>
        <v>2</v>
      </c>
      <c r="K9327" s="1">
        <v>1</v>
      </c>
      <c r="L9327" s="1" t="s">
        <v>24</v>
      </c>
      <c r="M9327" s="1" t="str">
        <f>"福建省 泉州市 晋江市 陈埭镇"</f>
        <v>福建省 泉州市 晋江市 陈埭镇</v>
      </c>
      <c r="N9327" s="1" t="str">
        <f t="shared" si="2592"/>
        <v>凡华云仓-韵达-抖音</v>
      </c>
      <c r="O9327" s="5">
        <v>320157829999456</v>
      </c>
      <c r="P9327" s="6">
        <v>0.33</v>
      </c>
      <c r="Q9327" s="11">
        <v>2.2999999999999998</v>
      </c>
      <c r="R9327" s="11"/>
      <c r="S9327" s="11"/>
      <c r="T9327" s="11"/>
      <c r="U9327" s="11">
        <f t="shared" si="2584"/>
        <v>2.2999999999999998</v>
      </c>
      <c r="W9327">
        <v>2.5</v>
      </c>
      <c r="X9327" s="1" t="s">
        <v>24</v>
      </c>
    </row>
    <row r="9328" spans="1:24" x14ac:dyDescent="0.25">
      <c r="A9328" s="1" t="str">
        <f t="shared" si="2595"/>
        <v>卡卡杜-凤凰仓</v>
      </c>
      <c r="B9328" s="1" t="str">
        <f>"CK2024100681"</f>
        <v>CK2024100681</v>
      </c>
      <c r="C9328" s="1" t="str">
        <f>"DD2024100613413"</f>
        <v>DD2024100613413</v>
      </c>
      <c r="D9328" s="1" t="str">
        <f>"CK2024100620330"</f>
        <v>CK2024100620330</v>
      </c>
      <c r="E9328" s="1" t="str">
        <f>"6917859776673382146"</f>
        <v>6917859776673382146</v>
      </c>
      <c r="F9328" s="1" t="str">
        <f t="shared" si="2596"/>
        <v>花都四部-凤凰仓</v>
      </c>
      <c r="G9328" s="1" t="str">
        <f t="shared" si="2590"/>
        <v>卡卡杜个人护理店（抖店）</v>
      </c>
      <c r="H9328" s="1" t="str">
        <f t="shared" si="2597"/>
        <v>正常订单</v>
      </c>
      <c r="I9328" s="1" t="str">
        <f t="shared" si="2598"/>
        <v>已发货</v>
      </c>
      <c r="J9328" s="1" t="str">
        <f t="shared" si="2594"/>
        <v>2</v>
      </c>
      <c r="K9328" s="1">
        <v>1</v>
      </c>
      <c r="L9328" s="1" t="s">
        <v>36</v>
      </c>
      <c r="M9328" s="1" t="str">
        <f>"安徽省 合肥市 蜀山区 蜀山区城区"</f>
        <v>安徽省 合肥市 蜀山区 蜀山区城区</v>
      </c>
      <c r="N9328" s="1" t="str">
        <f t="shared" si="2592"/>
        <v>凡华云仓-韵达-抖音</v>
      </c>
      <c r="O9328" s="5">
        <v>320157829999361</v>
      </c>
      <c r="P9328" s="6">
        <v>0.33</v>
      </c>
      <c r="Q9328" s="11">
        <v>2.2999999999999998</v>
      </c>
      <c r="R9328" s="11"/>
      <c r="S9328" s="11"/>
      <c r="T9328" s="11"/>
      <c r="U9328" s="11">
        <f t="shared" si="2584"/>
        <v>2.2999999999999998</v>
      </c>
      <c r="W9328">
        <v>2.5</v>
      </c>
      <c r="X9328" s="1" t="s">
        <v>36</v>
      </c>
    </row>
    <row r="9329" spans="1:24" x14ac:dyDescent="0.25">
      <c r="A9329" s="1" t="str">
        <f t="shared" si="2595"/>
        <v>卡卡杜-凤凰仓</v>
      </c>
      <c r="B9329" s="1" t="str">
        <f>"CK2024100655"</f>
        <v>CK2024100655</v>
      </c>
      <c r="C9329" s="1" t="str">
        <f>"DD2024100613388"</f>
        <v>DD2024100613388</v>
      </c>
      <c r="D9329" s="1" t="str">
        <f>"CK2024100620329"</f>
        <v>CK2024100620329</v>
      </c>
      <c r="E9329" s="1" t="str">
        <f>"6917864482425306235"</f>
        <v>6917864482425306235</v>
      </c>
      <c r="F9329" s="1" t="str">
        <f t="shared" si="2596"/>
        <v>花都四部-凤凰仓</v>
      </c>
      <c r="G9329" s="1" t="str">
        <f t="shared" si="2590"/>
        <v>卡卡杜个人护理店（抖店）</v>
      </c>
      <c r="H9329" s="1" t="str">
        <f t="shared" si="2597"/>
        <v>正常订单</v>
      </c>
      <c r="I9329" s="1" t="str">
        <f t="shared" si="2598"/>
        <v>已发货</v>
      </c>
      <c r="J9329" s="1" t="str">
        <f t="shared" si="2594"/>
        <v>2</v>
      </c>
      <c r="K9329" s="1">
        <v>1</v>
      </c>
      <c r="L9329" s="1" t="s">
        <v>18</v>
      </c>
      <c r="M9329" s="1" t="str">
        <f>"广东省 深圳市 宝安区 西乡街道"</f>
        <v>广东省 深圳市 宝安区 西乡街道</v>
      </c>
      <c r="N9329" s="1" t="str">
        <f t="shared" si="2592"/>
        <v>凡华云仓-韵达-抖音</v>
      </c>
      <c r="O9329" s="5">
        <v>320157829999268</v>
      </c>
      <c r="P9329" s="6">
        <v>0.33</v>
      </c>
      <c r="Q9329" s="11">
        <v>2.2999999999999998</v>
      </c>
      <c r="R9329" s="11"/>
      <c r="S9329" s="11"/>
      <c r="T9329" s="11"/>
      <c r="U9329" s="11">
        <f t="shared" si="2584"/>
        <v>2.2999999999999998</v>
      </c>
      <c r="W9329">
        <v>2.5</v>
      </c>
      <c r="X9329" s="1" t="s">
        <v>18</v>
      </c>
    </row>
    <row r="9330" spans="1:24" x14ac:dyDescent="0.25">
      <c r="A9330" s="1" t="str">
        <f t="shared" si="2595"/>
        <v>卡卡杜-凤凰仓</v>
      </c>
      <c r="B9330" s="1" t="str">
        <f>"CK2024100672"</f>
        <v>CK2024100672</v>
      </c>
      <c r="C9330" s="1" t="str">
        <f>"DD2024100613403"</f>
        <v>DD2024100613403</v>
      </c>
      <c r="D9330" s="1" t="str">
        <f>"CK2024100620328"</f>
        <v>CK2024100620328</v>
      </c>
      <c r="E9330" s="1" t="str">
        <f>"6917864476103703723"</f>
        <v>6917864476103703723</v>
      </c>
      <c r="F9330" s="1" t="str">
        <f t="shared" si="2596"/>
        <v>花都四部-凤凰仓</v>
      </c>
      <c r="G9330" s="1" t="str">
        <f t="shared" si="2590"/>
        <v>卡卡杜个人护理店（抖店）</v>
      </c>
      <c r="H9330" s="1" t="str">
        <f t="shared" si="2597"/>
        <v>正常订单</v>
      </c>
      <c r="I9330" s="1" t="str">
        <f t="shared" si="2598"/>
        <v>已发货</v>
      </c>
      <c r="J9330" s="1" t="str">
        <f t="shared" si="2594"/>
        <v>2</v>
      </c>
      <c r="K9330" s="1">
        <v>1</v>
      </c>
      <c r="L9330" s="1" t="s">
        <v>96</v>
      </c>
      <c r="M9330" s="1" t="str">
        <f>"广西壮族自治区 玉林市 博白县 英桥镇"</f>
        <v>广西壮族自治区 玉林市 博白县 英桥镇</v>
      </c>
      <c r="N9330" s="1" t="str">
        <f t="shared" si="2592"/>
        <v>凡华云仓-韵达-抖音</v>
      </c>
      <c r="O9330" s="5">
        <v>320157848746613</v>
      </c>
      <c r="P9330" s="6">
        <v>0.33</v>
      </c>
      <c r="Q9330" s="11">
        <v>2.2999999999999998</v>
      </c>
      <c r="R9330" s="11"/>
      <c r="S9330" s="11"/>
      <c r="T9330" s="11"/>
      <c r="U9330" s="11">
        <f t="shared" si="2584"/>
        <v>2.2999999999999998</v>
      </c>
      <c r="W9330">
        <v>2.5</v>
      </c>
      <c r="X9330" s="1" t="s">
        <v>96</v>
      </c>
    </row>
    <row r="9331" spans="1:24" x14ac:dyDescent="0.25">
      <c r="A9331" s="1" t="str">
        <f t="shared" si="2595"/>
        <v>卡卡杜-凤凰仓</v>
      </c>
      <c r="B9331" s="1" t="str">
        <f>"CK2024100682"</f>
        <v>CK2024100682</v>
      </c>
      <c r="C9331" s="1" t="str">
        <f>"DD2024100613414"</f>
        <v>DD2024100613414</v>
      </c>
      <c r="D9331" s="1" t="str">
        <f>"CK2024100620327"</f>
        <v>CK2024100620327</v>
      </c>
      <c r="E9331" s="1" t="str">
        <f>"6917867035882323707"</f>
        <v>6917867035882323707</v>
      </c>
      <c r="F9331" s="1" t="str">
        <f t="shared" si="2596"/>
        <v>花都四部-凤凰仓</v>
      </c>
      <c r="G9331" s="1" t="str">
        <f t="shared" si="2590"/>
        <v>卡卡杜个人护理店（抖店）</v>
      </c>
      <c r="H9331" s="1" t="str">
        <f t="shared" si="2597"/>
        <v>正常订单</v>
      </c>
      <c r="I9331" s="1" t="str">
        <f t="shared" si="2598"/>
        <v>已发货</v>
      </c>
      <c r="J9331" s="1" t="str">
        <f t="shared" si="2594"/>
        <v>2</v>
      </c>
      <c r="K9331" s="1">
        <v>1</v>
      </c>
      <c r="L9331" s="1" t="s">
        <v>20</v>
      </c>
      <c r="M9331" s="1" t="str">
        <f>"浙江省 宁波市 北仑区 霞浦街道"</f>
        <v>浙江省 宁波市 北仑区 霞浦街道</v>
      </c>
      <c r="N9331" s="1" t="str">
        <f t="shared" si="2592"/>
        <v>凡华云仓-韵达-抖音</v>
      </c>
      <c r="O9331" s="5">
        <v>320157848746514</v>
      </c>
      <c r="P9331" s="6">
        <v>0.33</v>
      </c>
      <c r="Q9331" s="11">
        <v>2.2999999999999998</v>
      </c>
      <c r="R9331" s="11"/>
      <c r="S9331" s="11"/>
      <c r="T9331" s="11"/>
      <c r="U9331" s="11">
        <f t="shared" si="2584"/>
        <v>2.2999999999999998</v>
      </c>
      <c r="W9331">
        <v>2.5</v>
      </c>
      <c r="X9331" s="1" t="s">
        <v>20</v>
      </c>
    </row>
    <row r="9332" spans="1:24" x14ac:dyDescent="0.25">
      <c r="A9332" s="1" t="str">
        <f t="shared" si="2595"/>
        <v>卡卡杜-凤凰仓</v>
      </c>
      <c r="B9332" s="1" t="str">
        <f>"CK2024100685"</f>
        <v>CK2024100685</v>
      </c>
      <c r="C9332" s="1" t="str">
        <f>"DD2024100613419"</f>
        <v>DD2024100613419</v>
      </c>
      <c r="D9332" s="1" t="str">
        <f>"CK2024100620326"</f>
        <v>CK2024100620326</v>
      </c>
      <c r="E9332" s="1" t="str">
        <f>"6917864669691411856"</f>
        <v>6917864669691411856</v>
      </c>
      <c r="F9332" s="1" t="str">
        <f t="shared" si="2596"/>
        <v>花都四部-凤凰仓</v>
      </c>
      <c r="G9332" s="1" t="str">
        <f t="shared" si="2590"/>
        <v>卡卡杜个人护理店（抖店）</v>
      </c>
      <c r="H9332" s="1" t="str">
        <f t="shared" si="2597"/>
        <v>正常订单</v>
      </c>
      <c r="I9332" s="1" t="str">
        <f t="shared" si="2598"/>
        <v>已发货</v>
      </c>
      <c r="J9332" s="1" t="str">
        <f t="shared" si="2594"/>
        <v>2</v>
      </c>
      <c r="K9332" s="1">
        <v>1</v>
      </c>
      <c r="L9332" s="1" t="s">
        <v>20</v>
      </c>
      <c r="M9332" s="1" t="str">
        <f>"浙江省 台州市 玉环市 芦浦镇"</f>
        <v>浙江省 台州市 玉环市 芦浦镇</v>
      </c>
      <c r="N9332" s="1" t="str">
        <f t="shared" si="2592"/>
        <v>凡华云仓-韵达-抖音</v>
      </c>
      <c r="O9332" s="5">
        <v>320157848746417</v>
      </c>
      <c r="P9332" s="6">
        <v>0.33</v>
      </c>
      <c r="Q9332" s="11">
        <v>2.2999999999999998</v>
      </c>
      <c r="R9332" s="11"/>
      <c r="S9332" s="11"/>
      <c r="T9332" s="11"/>
      <c r="U9332" s="11">
        <f t="shared" si="2584"/>
        <v>2.2999999999999998</v>
      </c>
      <c r="W9332">
        <v>2.5</v>
      </c>
      <c r="X9332" s="1" t="s">
        <v>20</v>
      </c>
    </row>
    <row r="9333" spans="1:24" x14ac:dyDescent="0.25">
      <c r="A9333" s="1" t="str">
        <f t="shared" si="2595"/>
        <v>卡卡杜-凤凰仓</v>
      </c>
      <c r="B9333" s="1" t="str">
        <f>"CK20241006106"</f>
        <v>CK20241006106</v>
      </c>
      <c r="C9333" s="1" t="str">
        <f>"DD2024100613438"</f>
        <v>DD2024100613438</v>
      </c>
      <c r="D9333" s="1" t="str">
        <f>"CK2024100620325"</f>
        <v>CK2024100620325</v>
      </c>
      <c r="E9333" s="1" t="str">
        <f>"6917856859680570746"</f>
        <v>6917856859680570746</v>
      </c>
      <c r="F9333" s="1" t="str">
        <f t="shared" si="2596"/>
        <v>花都四部-凤凰仓</v>
      </c>
      <c r="G9333" s="1" t="str">
        <f t="shared" si="2590"/>
        <v>卡卡杜个人护理店（抖店）</v>
      </c>
      <c r="H9333" s="1" t="str">
        <f t="shared" si="2597"/>
        <v>正常订单</v>
      </c>
      <c r="I9333" s="1" t="str">
        <f t="shared" si="2598"/>
        <v>已发货</v>
      </c>
      <c r="J9333" s="1" t="str">
        <f t="shared" si="2594"/>
        <v>2</v>
      </c>
      <c r="K9333" s="1">
        <v>1</v>
      </c>
      <c r="L9333" s="1" t="s">
        <v>20</v>
      </c>
      <c r="M9333" s="1" t="str">
        <f>"浙江省 湖州市 长兴县 夹浦镇"</f>
        <v>浙江省 湖州市 长兴县 夹浦镇</v>
      </c>
      <c r="N9333" s="1" t="str">
        <f t="shared" si="2592"/>
        <v>凡华云仓-韵达-抖音</v>
      </c>
      <c r="O9333" s="5">
        <v>320157848746322</v>
      </c>
      <c r="P9333" s="6">
        <v>0.33</v>
      </c>
      <c r="Q9333" s="11">
        <v>2.2999999999999998</v>
      </c>
      <c r="R9333" s="11"/>
      <c r="S9333" s="11"/>
      <c r="T9333" s="11"/>
      <c r="U9333" s="11">
        <f t="shared" si="2584"/>
        <v>2.2999999999999998</v>
      </c>
      <c r="W9333">
        <v>2.5</v>
      </c>
      <c r="X9333" s="1" t="s">
        <v>20</v>
      </c>
    </row>
    <row r="9334" spans="1:24" x14ac:dyDescent="0.25">
      <c r="A9334" s="1" t="str">
        <f t="shared" si="2595"/>
        <v>卡卡杜-凤凰仓</v>
      </c>
      <c r="B9334" s="1" t="str">
        <f>"CK2024101926419"</f>
        <v>CK2024101926419</v>
      </c>
      <c r="C9334" s="1" t="str">
        <f>"DD2024101961340"</f>
        <v>DD2024101961340</v>
      </c>
      <c r="D9334" s="1" t="str">
        <f>"CK2024101948726"</f>
        <v>CK2024101948726</v>
      </c>
      <c r="E9334" s="1" t="str">
        <f>"2429301903899150"</f>
        <v>2429301903899150</v>
      </c>
      <c r="F9334" s="1" t="str">
        <f t="shared" si="2596"/>
        <v>花都四部-凤凰仓</v>
      </c>
      <c r="G9334" s="1" t="str">
        <f>"卡卡杜佳旺专卖店（快手店）"</f>
        <v>卡卡杜佳旺专卖店（快手店）</v>
      </c>
      <c r="H9334" s="1" t="str">
        <f t="shared" si="2597"/>
        <v>正常订单</v>
      </c>
      <c r="I9334" s="1" t="str">
        <f t="shared" si="2598"/>
        <v>已发货</v>
      </c>
      <c r="J9334" s="1" t="str">
        <f>"4"</f>
        <v>4</v>
      </c>
      <c r="K9334" s="1">
        <v>1</v>
      </c>
      <c r="L9334" s="1" t="s">
        <v>30</v>
      </c>
      <c r="M9334" s="1" t="str">
        <f>"山东省 菏泽市 鄄城县 陈王街道"</f>
        <v>山东省 菏泽市 鄄城县 陈王街道</v>
      </c>
      <c r="N9334" s="1" t="str">
        <f>"凡华云仓-城南圆通-快手"</f>
        <v>凡华云仓-城南圆通-快手</v>
      </c>
      <c r="O9334" s="5" t="s">
        <v>5679</v>
      </c>
      <c r="P9334" s="6">
        <v>0.57999999999999996</v>
      </c>
      <c r="Q9334" s="11">
        <f>CEILING(P9334-0.5,0.1)*10*0.15+2.3</f>
        <v>2.4499999999999997</v>
      </c>
      <c r="R9334" s="11"/>
      <c r="S9334" s="11"/>
      <c r="T9334" s="11"/>
      <c r="U9334" s="11">
        <f t="shared" si="2584"/>
        <v>2.4499999999999997</v>
      </c>
      <c r="V9334" t="s">
        <v>15</v>
      </c>
      <c r="W9334">
        <v>2.4500000000000002</v>
      </c>
      <c r="X9334" s="1" t="s">
        <v>30</v>
      </c>
    </row>
    <row r="9335" spans="1:24" x14ac:dyDescent="0.25">
      <c r="A9335" s="1" t="str">
        <f t="shared" si="2595"/>
        <v>卡卡杜-凤凰仓</v>
      </c>
      <c r="B9335" s="1" t="str">
        <f>"CK20241006107"</f>
        <v>CK20241006107</v>
      </c>
      <c r="C9335" s="1" t="str">
        <f>"DD2024100613439"</f>
        <v>DD2024100613439</v>
      </c>
      <c r="D9335" s="1" t="str">
        <f>"CK2024100620323"</f>
        <v>CK2024100620323</v>
      </c>
      <c r="E9335" s="1" t="str">
        <f>"6917859099044183623"</f>
        <v>6917859099044183623</v>
      </c>
      <c r="F9335" s="1" t="str">
        <f t="shared" si="2596"/>
        <v>花都四部-凤凰仓</v>
      </c>
      <c r="G9335" s="1" t="str">
        <f t="shared" si="2590"/>
        <v>卡卡杜个人护理店（抖店）</v>
      </c>
      <c r="H9335" s="1" t="str">
        <f t="shared" si="2597"/>
        <v>正常订单</v>
      </c>
      <c r="I9335" s="1" t="str">
        <f t="shared" si="2598"/>
        <v>已发货</v>
      </c>
      <c r="J9335" s="1" t="str">
        <f t="shared" ref="J9335:J9344" si="2599">"2"</f>
        <v>2</v>
      </c>
      <c r="K9335" s="1">
        <v>1</v>
      </c>
      <c r="L9335" s="1" t="s">
        <v>36</v>
      </c>
      <c r="M9335" s="1" t="str">
        <f>"安徽省 宣城市 郎溪县 建平镇"</f>
        <v>安徽省 宣城市 郎溪县 建平镇</v>
      </c>
      <c r="N9335" s="1" t="str">
        <f t="shared" si="2592"/>
        <v>凡华云仓-韵达-抖音</v>
      </c>
      <c r="O9335" s="5">
        <v>320157848746138</v>
      </c>
      <c r="P9335" s="6">
        <v>0.33</v>
      </c>
      <c r="Q9335" s="11">
        <v>2.2999999999999998</v>
      </c>
      <c r="R9335" s="11"/>
      <c r="S9335" s="11"/>
      <c r="T9335" s="11"/>
      <c r="U9335" s="11">
        <f t="shared" si="2584"/>
        <v>2.2999999999999998</v>
      </c>
      <c r="W9335">
        <v>2.5</v>
      </c>
      <c r="X9335" s="1" t="s">
        <v>36</v>
      </c>
    </row>
    <row r="9336" spans="1:24" x14ac:dyDescent="0.25">
      <c r="A9336" s="1" t="str">
        <f t="shared" si="2595"/>
        <v>卡卡杜-凤凰仓</v>
      </c>
      <c r="B9336" s="1" t="str">
        <f>"CK20241006108"</f>
        <v>CK20241006108</v>
      </c>
      <c r="C9336" s="1" t="str">
        <f>"DD2024100613440"</f>
        <v>DD2024100613440</v>
      </c>
      <c r="D9336" s="1" t="str">
        <f>"CK2024100620322"</f>
        <v>CK2024100620322</v>
      </c>
      <c r="E9336" s="1" t="str">
        <f>"6917864438148070576"</f>
        <v>6917864438148070576</v>
      </c>
      <c r="F9336" s="1" t="str">
        <f t="shared" si="2596"/>
        <v>花都四部-凤凰仓</v>
      </c>
      <c r="G9336" s="1" t="str">
        <f t="shared" si="2590"/>
        <v>卡卡杜个人护理店（抖店）</v>
      </c>
      <c r="H9336" s="1" t="str">
        <f t="shared" si="2597"/>
        <v>正常订单</v>
      </c>
      <c r="I9336" s="1" t="str">
        <f t="shared" si="2598"/>
        <v>已发货</v>
      </c>
      <c r="J9336" s="1" t="str">
        <f t="shared" si="2599"/>
        <v>2</v>
      </c>
      <c r="K9336" s="1">
        <v>1</v>
      </c>
      <c r="L9336" s="1" t="s">
        <v>22</v>
      </c>
      <c r="M9336" s="1" t="str">
        <f>"江西省 上饶市 广丰区 洋口镇"</f>
        <v>江西省 上饶市 广丰区 洋口镇</v>
      </c>
      <c r="N9336" s="1" t="str">
        <f t="shared" si="2592"/>
        <v>凡华云仓-韵达-抖音</v>
      </c>
      <c r="O9336" s="5">
        <v>320157848746049</v>
      </c>
      <c r="P9336" s="6">
        <v>0.33</v>
      </c>
      <c r="Q9336" s="11">
        <v>2.2999999999999998</v>
      </c>
      <c r="R9336" s="11"/>
      <c r="S9336" s="11"/>
      <c r="T9336" s="11"/>
      <c r="U9336" s="11">
        <f t="shared" si="2584"/>
        <v>2.2999999999999998</v>
      </c>
      <c r="W9336">
        <v>2.5</v>
      </c>
      <c r="X9336" s="1" t="s">
        <v>22</v>
      </c>
    </row>
    <row r="9337" spans="1:24" x14ac:dyDescent="0.25">
      <c r="A9337" s="1" t="str">
        <f t="shared" si="2595"/>
        <v>卡卡杜-凤凰仓</v>
      </c>
      <c r="B9337" s="1" t="str">
        <f>"CK20241006109"</f>
        <v>CK20241006109</v>
      </c>
      <c r="C9337" s="1" t="str">
        <f>"DD2024100613442"</f>
        <v>DD2024100613442</v>
      </c>
      <c r="D9337" s="1" t="str">
        <f>"CK2024100620321"</f>
        <v>CK2024100620321</v>
      </c>
      <c r="E9337" s="1" t="str">
        <f>"6917868831797313320"</f>
        <v>6917868831797313320</v>
      </c>
      <c r="F9337" s="1" t="str">
        <f t="shared" si="2596"/>
        <v>花都四部-凤凰仓</v>
      </c>
      <c r="G9337" s="1" t="str">
        <f t="shared" si="2590"/>
        <v>卡卡杜个人护理店（抖店）</v>
      </c>
      <c r="H9337" s="1" t="str">
        <f t="shared" si="2597"/>
        <v>正常订单</v>
      </c>
      <c r="I9337" s="1" t="str">
        <f t="shared" si="2598"/>
        <v>已发货</v>
      </c>
      <c r="J9337" s="1" t="str">
        <f t="shared" si="2599"/>
        <v>2</v>
      </c>
      <c r="K9337" s="1">
        <v>1</v>
      </c>
      <c r="L9337" s="1" t="s">
        <v>22</v>
      </c>
      <c r="M9337" s="1" t="str">
        <f>"江西省 南昌市 南昌县 小蓝经济开发区"</f>
        <v>江西省 南昌市 南昌县 小蓝经济开发区</v>
      </c>
      <c r="N9337" s="1" t="str">
        <f t="shared" si="2592"/>
        <v>凡华云仓-韵达-抖音</v>
      </c>
      <c r="O9337" s="5">
        <v>320157848745923</v>
      </c>
      <c r="P9337" s="6">
        <v>0.33</v>
      </c>
      <c r="Q9337" s="11">
        <v>2.2999999999999998</v>
      </c>
      <c r="R9337" s="11"/>
      <c r="S9337" s="11"/>
      <c r="T9337" s="11"/>
      <c r="U9337" s="11">
        <f t="shared" si="2584"/>
        <v>2.2999999999999998</v>
      </c>
      <c r="W9337">
        <v>2.5</v>
      </c>
      <c r="X9337" s="1" t="s">
        <v>22</v>
      </c>
    </row>
    <row r="9338" spans="1:24" x14ac:dyDescent="0.25">
      <c r="A9338" s="1" t="str">
        <f t="shared" si="2595"/>
        <v>卡卡杜-凤凰仓</v>
      </c>
      <c r="B9338" s="1" t="str">
        <f>"CK2024100656"</f>
        <v>CK2024100656</v>
      </c>
      <c r="C9338" s="1" t="str">
        <f>"DD2024100613387"</f>
        <v>DD2024100613387</v>
      </c>
      <c r="D9338" s="1" t="str">
        <f>"CK2024100620320"</f>
        <v>CK2024100620320</v>
      </c>
      <c r="E9338" s="1" t="str">
        <f>"6917866928650288983"</f>
        <v>6917866928650288983</v>
      </c>
      <c r="F9338" s="1" t="str">
        <f t="shared" si="2596"/>
        <v>花都四部-凤凰仓</v>
      </c>
      <c r="G9338" s="1" t="str">
        <f t="shared" si="2590"/>
        <v>卡卡杜个人护理店（抖店）</v>
      </c>
      <c r="H9338" s="1" t="str">
        <f t="shared" si="2597"/>
        <v>正常订单</v>
      </c>
      <c r="I9338" s="1" t="str">
        <f t="shared" si="2598"/>
        <v>已发货</v>
      </c>
      <c r="J9338" s="1" t="str">
        <f t="shared" si="2599"/>
        <v>2</v>
      </c>
      <c r="K9338" s="1">
        <v>1</v>
      </c>
      <c r="L9338" s="1" t="s">
        <v>18</v>
      </c>
      <c r="M9338" s="1" t="str">
        <f>"广东省 东莞市 东莞市 常平镇"</f>
        <v>广东省 东莞市 东莞市 常平镇</v>
      </c>
      <c r="N9338" s="1" t="str">
        <f t="shared" si="2592"/>
        <v>凡华云仓-韵达-抖音</v>
      </c>
      <c r="O9338" s="5">
        <v>320157848745818</v>
      </c>
      <c r="P9338" s="6">
        <v>0.33</v>
      </c>
      <c r="Q9338" s="11">
        <v>2.2999999999999998</v>
      </c>
      <c r="R9338" s="11"/>
      <c r="S9338" s="11"/>
      <c r="T9338" s="11"/>
      <c r="U9338" s="11">
        <f t="shared" si="2584"/>
        <v>2.2999999999999998</v>
      </c>
      <c r="W9338">
        <v>2.5</v>
      </c>
      <c r="X9338" s="1" t="s">
        <v>18</v>
      </c>
    </row>
    <row r="9339" spans="1:24" x14ac:dyDescent="0.25">
      <c r="A9339" s="1" t="str">
        <f t="shared" si="2595"/>
        <v>卡卡杜-凤凰仓</v>
      </c>
      <c r="B9339" s="1" t="str">
        <f>"CK2024100654"</f>
        <v>CK2024100654</v>
      </c>
      <c r="C9339" s="1" t="str">
        <f>"DD2024100613386"</f>
        <v>DD2024100613386</v>
      </c>
      <c r="D9339" s="1" t="str">
        <f>"CK2024100620319"</f>
        <v>CK2024100620319</v>
      </c>
      <c r="E9339" s="1" t="str">
        <f>"6917859803685944342"</f>
        <v>6917859803685944342</v>
      </c>
      <c r="F9339" s="1" t="str">
        <f t="shared" si="2596"/>
        <v>花都四部-凤凰仓</v>
      </c>
      <c r="G9339" s="1" t="str">
        <f t="shared" si="2590"/>
        <v>卡卡杜个人护理店（抖店）</v>
      </c>
      <c r="H9339" s="1" t="str">
        <f t="shared" si="2597"/>
        <v>正常订单</v>
      </c>
      <c r="I9339" s="1" t="str">
        <f t="shared" si="2598"/>
        <v>已发货</v>
      </c>
      <c r="J9339" s="1" t="str">
        <f t="shared" si="2599"/>
        <v>2</v>
      </c>
      <c r="K9339" s="1">
        <v>1</v>
      </c>
      <c r="L9339" s="1" t="s">
        <v>36</v>
      </c>
      <c r="M9339" s="1" t="str">
        <f>"安徽省 宿州市 萧县 大屯镇"</f>
        <v>安徽省 宿州市 萧县 大屯镇</v>
      </c>
      <c r="N9339" s="1" t="str">
        <f t="shared" si="2592"/>
        <v>凡华云仓-韵达-抖音</v>
      </c>
      <c r="O9339" s="5">
        <v>320157848745715</v>
      </c>
      <c r="P9339" s="6">
        <v>0.33</v>
      </c>
      <c r="Q9339" s="11">
        <v>2.2999999999999998</v>
      </c>
      <c r="R9339" s="11"/>
      <c r="S9339" s="11"/>
      <c r="T9339" s="11"/>
      <c r="U9339" s="11">
        <f t="shared" si="2584"/>
        <v>2.2999999999999998</v>
      </c>
      <c r="W9339">
        <v>2.5</v>
      </c>
      <c r="X9339" s="1" t="s">
        <v>36</v>
      </c>
    </row>
    <row r="9340" spans="1:24" x14ac:dyDescent="0.25">
      <c r="A9340" s="1" t="str">
        <f t="shared" si="2595"/>
        <v>卡卡杜-凤凰仓</v>
      </c>
      <c r="B9340" s="1" t="str">
        <f>"CK2024100647"</f>
        <v>CK2024100647</v>
      </c>
      <c r="C9340" s="1" t="str">
        <f>"DD2024100613379"</f>
        <v>DD2024100613379</v>
      </c>
      <c r="D9340" s="1" t="str">
        <f>"CK2024100620318"</f>
        <v>CK2024100620318</v>
      </c>
      <c r="E9340" s="1" t="str">
        <f>"6917864229677202712"</f>
        <v>6917864229677202712</v>
      </c>
      <c r="F9340" s="1" t="str">
        <f t="shared" si="2596"/>
        <v>花都四部-凤凰仓</v>
      </c>
      <c r="G9340" s="1" t="str">
        <f t="shared" si="2590"/>
        <v>卡卡杜个人护理店（抖店）</v>
      </c>
      <c r="H9340" s="1" t="str">
        <f t="shared" si="2597"/>
        <v>正常订单</v>
      </c>
      <c r="I9340" s="1" t="str">
        <f t="shared" si="2598"/>
        <v>已发货</v>
      </c>
      <c r="J9340" s="1" t="str">
        <f t="shared" si="2599"/>
        <v>2</v>
      </c>
      <c r="K9340" s="1">
        <v>1</v>
      </c>
      <c r="L9340" s="1" t="s">
        <v>20</v>
      </c>
      <c r="M9340" s="1" t="str">
        <f>"浙江省 丽水市 遂昌县 "</f>
        <v xml:space="preserve">浙江省 丽水市 遂昌县 </v>
      </c>
      <c r="N9340" s="1" t="str">
        <f t="shared" si="2592"/>
        <v>凡华云仓-韵达-抖音</v>
      </c>
      <c r="O9340" s="5">
        <v>320157847302567</v>
      </c>
      <c r="P9340" s="6">
        <v>0.33</v>
      </c>
      <c r="Q9340" s="11">
        <v>2.2999999999999998</v>
      </c>
      <c r="R9340" s="11"/>
      <c r="S9340" s="11"/>
      <c r="T9340" s="11"/>
      <c r="U9340" s="11">
        <f t="shared" si="2584"/>
        <v>2.2999999999999998</v>
      </c>
      <c r="W9340">
        <v>2.5</v>
      </c>
      <c r="X9340" s="1" t="s">
        <v>20</v>
      </c>
    </row>
    <row r="9341" spans="1:24" x14ac:dyDescent="0.25">
      <c r="A9341" s="1" t="str">
        <f t="shared" si="2595"/>
        <v>卡卡杜-凤凰仓</v>
      </c>
      <c r="B9341" s="1" t="str">
        <f>"CK2024100652"</f>
        <v>CK2024100652</v>
      </c>
      <c r="C9341" s="1" t="str">
        <f>"DD2024100613385"</f>
        <v>DD2024100613385</v>
      </c>
      <c r="D9341" s="1" t="str">
        <f>"CK2024100620317"</f>
        <v>CK2024100620317</v>
      </c>
      <c r="E9341" s="1" t="str">
        <f>"6917864284128246933"</f>
        <v>6917864284128246933</v>
      </c>
      <c r="F9341" s="1" t="str">
        <f t="shared" si="2596"/>
        <v>花都四部-凤凰仓</v>
      </c>
      <c r="G9341" s="1" t="str">
        <f t="shared" si="2590"/>
        <v>卡卡杜个人护理店（抖店）</v>
      </c>
      <c r="H9341" s="1" t="str">
        <f t="shared" si="2597"/>
        <v>正常订单</v>
      </c>
      <c r="I9341" s="1" t="str">
        <f t="shared" si="2598"/>
        <v>已发货</v>
      </c>
      <c r="J9341" s="1" t="str">
        <f t="shared" si="2599"/>
        <v>2</v>
      </c>
      <c r="K9341" s="1">
        <v>1</v>
      </c>
      <c r="L9341" s="1" t="s">
        <v>36</v>
      </c>
      <c r="M9341" s="1" t="str">
        <f>"安徽省 蚌埠市 固镇县 "</f>
        <v xml:space="preserve">安徽省 蚌埠市 固镇县 </v>
      </c>
      <c r="N9341" s="1" t="str">
        <f t="shared" si="2592"/>
        <v>凡华云仓-韵达-抖音</v>
      </c>
      <c r="O9341" s="5">
        <v>320157847302470</v>
      </c>
      <c r="P9341" s="6">
        <v>0.33</v>
      </c>
      <c r="Q9341" s="11">
        <v>2.2999999999999998</v>
      </c>
      <c r="R9341" s="11"/>
      <c r="S9341" s="11"/>
      <c r="T9341" s="11"/>
      <c r="U9341" s="11">
        <f t="shared" si="2584"/>
        <v>2.2999999999999998</v>
      </c>
      <c r="W9341">
        <v>2.5</v>
      </c>
      <c r="X9341" s="1" t="s">
        <v>36</v>
      </c>
    </row>
    <row r="9342" spans="1:24" x14ac:dyDescent="0.25">
      <c r="A9342" s="1" t="str">
        <f t="shared" si="2595"/>
        <v>卡卡杜-凤凰仓</v>
      </c>
      <c r="B9342" s="1" t="str">
        <f>"CK2024100651"</f>
        <v>CK2024100651</v>
      </c>
      <c r="C9342" s="1" t="str">
        <f>"DD2024100613384"</f>
        <v>DD2024100613384</v>
      </c>
      <c r="D9342" s="1" t="str">
        <f>"CK2024100620316"</f>
        <v>CK2024100620316</v>
      </c>
      <c r="E9342" s="1" t="str">
        <f>"6917853961345858578"</f>
        <v>6917853961345858578</v>
      </c>
      <c r="F9342" s="1" t="str">
        <f t="shared" si="2596"/>
        <v>花都四部-凤凰仓</v>
      </c>
      <c r="G9342" s="1" t="str">
        <f t="shared" si="2590"/>
        <v>卡卡杜个人护理店（抖店）</v>
      </c>
      <c r="H9342" s="1" t="str">
        <f t="shared" si="2597"/>
        <v>正常订单</v>
      </c>
      <c r="I9342" s="1" t="str">
        <f t="shared" si="2598"/>
        <v>已发货</v>
      </c>
      <c r="J9342" s="1" t="str">
        <f t="shared" si="2599"/>
        <v>2</v>
      </c>
      <c r="K9342" s="1">
        <v>1</v>
      </c>
      <c r="L9342" s="1" t="s">
        <v>13</v>
      </c>
      <c r="M9342" s="1" t="str">
        <f>"江苏省 无锡市 滨湖区 蠡园街道"</f>
        <v>江苏省 无锡市 滨湖区 蠡园街道</v>
      </c>
      <c r="N9342" s="1" t="str">
        <f t="shared" si="2592"/>
        <v>凡华云仓-韵达-抖音</v>
      </c>
      <c r="O9342" s="5">
        <v>320157847302375</v>
      </c>
      <c r="P9342" s="6">
        <v>0.33</v>
      </c>
      <c r="Q9342" s="11">
        <v>2.2999999999999998</v>
      </c>
      <c r="R9342" s="11"/>
      <c r="S9342" s="11"/>
      <c r="T9342" s="11"/>
      <c r="U9342" s="11">
        <f t="shared" si="2584"/>
        <v>2.2999999999999998</v>
      </c>
      <c r="W9342">
        <v>2.5</v>
      </c>
      <c r="X9342" s="1" t="s">
        <v>13</v>
      </c>
    </row>
    <row r="9343" spans="1:24" x14ac:dyDescent="0.25">
      <c r="A9343" s="1" t="str">
        <f t="shared" si="2595"/>
        <v>卡卡杜-凤凰仓</v>
      </c>
      <c r="B9343" s="1" t="str">
        <f>"CK20241006104"</f>
        <v>CK20241006104</v>
      </c>
      <c r="C9343" s="1" t="str">
        <f>"DD2024100613436"</f>
        <v>DD2024100613436</v>
      </c>
      <c r="D9343" s="1" t="str">
        <f>"CK2024100620315"</f>
        <v>CK2024100620315</v>
      </c>
      <c r="E9343" s="1" t="str">
        <f>"6917849852166700800"</f>
        <v>6917849852166700800</v>
      </c>
      <c r="F9343" s="1" t="str">
        <f t="shared" si="2596"/>
        <v>花都四部-凤凰仓</v>
      </c>
      <c r="G9343" s="1" t="str">
        <f t="shared" si="2590"/>
        <v>卡卡杜个人护理店（抖店）</v>
      </c>
      <c r="H9343" s="1" t="str">
        <f t="shared" si="2597"/>
        <v>正常订单</v>
      </c>
      <c r="I9343" s="1" t="str">
        <f t="shared" si="2598"/>
        <v>已发货</v>
      </c>
      <c r="J9343" s="1" t="str">
        <f t="shared" si="2599"/>
        <v>2</v>
      </c>
      <c r="K9343" s="1">
        <v>1</v>
      </c>
      <c r="L9343" s="1" t="s">
        <v>22</v>
      </c>
      <c r="M9343" s="1" t="str">
        <f>"江西省 九江市 瑞昌市 "</f>
        <v xml:space="preserve">江西省 九江市 瑞昌市 </v>
      </c>
      <c r="N9343" s="1" t="str">
        <f t="shared" si="2592"/>
        <v>凡华云仓-韵达-抖音</v>
      </c>
      <c r="O9343" s="5">
        <v>320157847302282</v>
      </c>
      <c r="P9343" s="6">
        <v>0.33</v>
      </c>
      <c r="Q9343" s="11">
        <v>2.2999999999999998</v>
      </c>
      <c r="R9343" s="11"/>
      <c r="S9343" s="11"/>
      <c r="T9343" s="11"/>
      <c r="U9343" s="11">
        <f t="shared" si="2584"/>
        <v>2.2999999999999998</v>
      </c>
      <c r="W9343">
        <v>2.5</v>
      </c>
      <c r="X9343" s="1" t="s">
        <v>22</v>
      </c>
    </row>
    <row r="9344" spans="1:24" x14ac:dyDescent="0.25">
      <c r="A9344" s="1" t="str">
        <f t="shared" si="2595"/>
        <v>卡卡杜-凤凰仓</v>
      </c>
      <c r="B9344" s="1" t="str">
        <f>"CK2024100653"</f>
        <v>CK2024100653</v>
      </c>
      <c r="C9344" s="1" t="str">
        <f>"DD2024100613382"</f>
        <v>DD2024100613382</v>
      </c>
      <c r="D9344" s="1" t="str">
        <f>"CK2024100620314"</f>
        <v>CK2024100620314</v>
      </c>
      <c r="E9344" s="1" t="str">
        <f>"6917868934702464059"</f>
        <v>6917868934702464059</v>
      </c>
      <c r="F9344" s="1" t="str">
        <f t="shared" si="2596"/>
        <v>花都四部-凤凰仓</v>
      </c>
      <c r="G9344" s="1" t="str">
        <f t="shared" si="2590"/>
        <v>卡卡杜个人护理店（抖店）</v>
      </c>
      <c r="H9344" s="1" t="str">
        <f t="shared" si="2597"/>
        <v>正常订单</v>
      </c>
      <c r="I9344" s="1" t="str">
        <f t="shared" si="2598"/>
        <v>已发货</v>
      </c>
      <c r="J9344" s="1" t="str">
        <f t="shared" si="2599"/>
        <v>2</v>
      </c>
      <c r="K9344" s="1">
        <v>1</v>
      </c>
      <c r="L9344" s="1" t="s">
        <v>41</v>
      </c>
      <c r="M9344" s="1" t="str">
        <f>"湖北省 孝感市 孝南区 车站街道"</f>
        <v>湖北省 孝感市 孝南区 车站街道</v>
      </c>
      <c r="N9344" s="1" t="str">
        <f t="shared" si="2592"/>
        <v>凡华云仓-韵达-抖音</v>
      </c>
      <c r="O9344" s="5">
        <v>320157847302191</v>
      </c>
      <c r="P9344" s="6">
        <v>0.33</v>
      </c>
      <c r="Q9344" s="11">
        <v>2.2999999999999998</v>
      </c>
      <c r="R9344" s="11"/>
      <c r="S9344" s="11"/>
      <c r="T9344" s="11"/>
      <c r="U9344" s="11">
        <f t="shared" si="2584"/>
        <v>2.2999999999999998</v>
      </c>
      <c r="W9344">
        <v>2.5</v>
      </c>
      <c r="X9344" s="1" t="s">
        <v>41</v>
      </c>
    </row>
    <row r="9345" spans="1:24" x14ac:dyDescent="0.25">
      <c r="A9345" s="1" t="str">
        <f t="shared" si="2595"/>
        <v>卡卡杜-凤凰仓</v>
      </c>
      <c r="B9345" s="1" t="str">
        <f>"CK2024100922"</f>
        <v>CK2024100922</v>
      </c>
      <c r="C9345" s="1" t="str">
        <f>"DD2024100910475"</f>
        <v>DD2024100910475</v>
      </c>
      <c r="D9345" s="1" t="str">
        <f>"CK2024100920471"</f>
        <v>CK2024100920471</v>
      </c>
      <c r="E9345" s="1" t="str">
        <f>"6917987887415590312"</f>
        <v>6917987887415590312</v>
      </c>
      <c r="F9345" s="1" t="str">
        <f t="shared" si="2596"/>
        <v>花都四部-凤凰仓</v>
      </c>
      <c r="G9345" s="1" t="str">
        <f t="shared" si="2590"/>
        <v>卡卡杜个人护理店（抖店）</v>
      </c>
      <c r="H9345" s="1" t="str">
        <f t="shared" si="2597"/>
        <v>正常订单</v>
      </c>
      <c r="I9345" s="1" t="str">
        <f t="shared" si="2598"/>
        <v>已发货</v>
      </c>
      <c r="J9345" s="1" t="str">
        <f>"4"</f>
        <v>4</v>
      </c>
      <c r="K9345" s="1">
        <v>1</v>
      </c>
      <c r="L9345" s="1" t="s">
        <v>18</v>
      </c>
      <c r="M9345" s="1" t="str">
        <f>"广东省 汕头市 澄海区 凤翔街道"</f>
        <v>广东省 汕头市 澄海区 凤翔街道</v>
      </c>
      <c r="N9345" s="1" t="str">
        <f t="shared" si="2592"/>
        <v>凡华云仓-韵达-抖音</v>
      </c>
      <c r="O9345" s="5">
        <v>320162830654189</v>
      </c>
      <c r="P9345" s="6">
        <v>0.57999999999999996</v>
      </c>
      <c r="Q9345" s="11">
        <f>CEILING(P9345-0.5,0.1)*10*0.15+2.3</f>
        <v>2.4499999999999997</v>
      </c>
      <c r="R9345" s="11"/>
      <c r="S9345" s="11"/>
      <c r="T9345" s="11"/>
      <c r="U9345" s="11">
        <f t="shared" si="2584"/>
        <v>2.4499999999999997</v>
      </c>
      <c r="V9345" t="s">
        <v>15</v>
      </c>
      <c r="W9345">
        <v>2.4500000000000002</v>
      </c>
      <c r="X9345" s="1" t="s">
        <v>18</v>
      </c>
    </row>
    <row r="9346" spans="1:24" x14ac:dyDescent="0.25">
      <c r="A9346" s="1" t="str">
        <f t="shared" si="2595"/>
        <v>卡卡杜-凤凰仓</v>
      </c>
      <c r="B9346" s="1" t="str">
        <f>"CK2024100660"</f>
        <v>CK2024100660</v>
      </c>
      <c r="C9346" s="1" t="str">
        <f>"DD2024100613392"</f>
        <v>DD2024100613392</v>
      </c>
      <c r="D9346" s="1" t="str">
        <f>"CK2024100620312"</f>
        <v>CK2024100620312</v>
      </c>
      <c r="E9346" s="1" t="str">
        <f>"6917864331470273542"</f>
        <v>6917864331470273542</v>
      </c>
      <c r="F9346" s="1" t="str">
        <f t="shared" si="2596"/>
        <v>花都四部-凤凰仓</v>
      </c>
      <c r="G9346" s="1" t="str">
        <f t="shared" si="2590"/>
        <v>卡卡杜个人护理店（抖店）</v>
      </c>
      <c r="H9346" s="1" t="str">
        <f t="shared" si="2597"/>
        <v>正常订单</v>
      </c>
      <c r="I9346" s="1" t="str">
        <f t="shared" si="2598"/>
        <v>已发货</v>
      </c>
      <c r="J9346" s="1" t="str">
        <f t="shared" ref="J9346:J9365" si="2600">"2"</f>
        <v>2</v>
      </c>
      <c r="K9346" s="1">
        <v>1</v>
      </c>
      <c r="L9346" s="1" t="s">
        <v>20</v>
      </c>
      <c r="M9346" s="1" t="str">
        <f>"浙江省 湖州市 吴兴区 织里镇"</f>
        <v>浙江省 湖州市 吴兴区 织里镇</v>
      </c>
      <c r="N9346" s="1" t="str">
        <f t="shared" si="2592"/>
        <v>凡华云仓-韵达-抖音</v>
      </c>
      <c r="O9346" s="5">
        <v>320157847301984</v>
      </c>
      <c r="P9346" s="6">
        <v>0.33</v>
      </c>
      <c r="Q9346" s="11">
        <v>2.2999999999999998</v>
      </c>
      <c r="R9346" s="11"/>
      <c r="S9346" s="11"/>
      <c r="T9346" s="11"/>
      <c r="U9346" s="11">
        <f t="shared" si="2584"/>
        <v>2.2999999999999998</v>
      </c>
      <c r="W9346">
        <v>2.5</v>
      </c>
      <c r="X9346" s="1" t="s">
        <v>20</v>
      </c>
    </row>
    <row r="9347" spans="1:24" x14ac:dyDescent="0.25">
      <c r="A9347" s="1" t="str">
        <f t="shared" si="2595"/>
        <v>卡卡杜-凤凰仓</v>
      </c>
      <c r="B9347" s="1" t="str">
        <f>"CK2024100649"</f>
        <v>CK2024100649</v>
      </c>
      <c r="C9347" s="1" t="str">
        <f>"DD2024100613383"</f>
        <v>DD2024100613383</v>
      </c>
      <c r="D9347" s="1" t="str">
        <f>"CK2024100620311"</f>
        <v>CK2024100620311</v>
      </c>
      <c r="E9347" s="1" t="str">
        <f>"6917866565353962616"</f>
        <v>6917866565353962616</v>
      </c>
      <c r="F9347" s="1" t="str">
        <f t="shared" si="2596"/>
        <v>花都四部-凤凰仓</v>
      </c>
      <c r="G9347" s="1" t="str">
        <f t="shared" si="2590"/>
        <v>卡卡杜个人护理店（抖店）</v>
      </c>
      <c r="H9347" s="1" t="str">
        <f t="shared" si="2597"/>
        <v>正常订单</v>
      </c>
      <c r="I9347" s="1" t="str">
        <f t="shared" si="2598"/>
        <v>已发货</v>
      </c>
      <c r="J9347" s="1" t="str">
        <f t="shared" si="2600"/>
        <v>2</v>
      </c>
      <c r="K9347" s="1">
        <v>1</v>
      </c>
      <c r="L9347" s="1" t="s">
        <v>18</v>
      </c>
      <c r="M9347" s="1" t="str">
        <f>"广东省 广州市 白云区 江高镇"</f>
        <v>广东省 广州市 白云区 江高镇</v>
      </c>
      <c r="N9347" s="1" t="str">
        <f t="shared" si="2592"/>
        <v>凡华云仓-韵达-抖音</v>
      </c>
      <c r="O9347" s="5">
        <v>320157847301879</v>
      </c>
      <c r="P9347" s="6">
        <v>0.33</v>
      </c>
      <c r="Q9347" s="11">
        <v>2.2999999999999998</v>
      </c>
      <c r="R9347" s="11"/>
      <c r="S9347" s="11"/>
      <c r="T9347" s="11"/>
      <c r="U9347" s="11">
        <f t="shared" ref="U9347:U9410" si="2601">T9347+S9347+R9347+Q9347</f>
        <v>2.2999999999999998</v>
      </c>
      <c r="W9347">
        <v>2.5</v>
      </c>
      <c r="X9347" s="1" t="s">
        <v>18</v>
      </c>
    </row>
    <row r="9348" spans="1:24" x14ac:dyDescent="0.25">
      <c r="A9348" s="1" t="str">
        <f t="shared" si="2595"/>
        <v>卡卡杜-凤凰仓</v>
      </c>
      <c r="B9348" s="1" t="str">
        <f>"CK2024100679"</f>
        <v>CK2024100679</v>
      </c>
      <c r="C9348" s="1" t="str">
        <f>"DD2024100613410"</f>
        <v>DD2024100613410</v>
      </c>
      <c r="D9348" s="1" t="str">
        <f>"CK2024100620310"</f>
        <v>CK2024100620310</v>
      </c>
      <c r="E9348" s="1" t="str">
        <f>"6917854462707072412"</f>
        <v>6917854462707072412</v>
      </c>
      <c r="F9348" s="1" t="str">
        <f t="shared" si="2596"/>
        <v>花都四部-凤凰仓</v>
      </c>
      <c r="G9348" s="1" t="str">
        <f t="shared" si="2590"/>
        <v>卡卡杜个人护理店（抖店）</v>
      </c>
      <c r="H9348" s="1" t="str">
        <f t="shared" si="2597"/>
        <v>正常订单</v>
      </c>
      <c r="I9348" s="1" t="str">
        <f t="shared" si="2598"/>
        <v>已发货</v>
      </c>
      <c r="J9348" s="1" t="str">
        <f t="shared" si="2600"/>
        <v>2</v>
      </c>
      <c r="K9348" s="1">
        <v>1</v>
      </c>
      <c r="L9348" s="1" t="s">
        <v>22</v>
      </c>
      <c r="M9348" s="1" t="str">
        <f>"江西省 抚州市 临川区 钟岭街道"</f>
        <v>江西省 抚州市 临川区 钟岭街道</v>
      </c>
      <c r="N9348" s="1" t="str">
        <f t="shared" si="2592"/>
        <v>凡华云仓-韵达-抖音</v>
      </c>
      <c r="O9348" s="5">
        <v>320157847301776</v>
      </c>
      <c r="P9348" s="6">
        <v>0.33</v>
      </c>
      <c r="Q9348" s="11">
        <v>2.2999999999999998</v>
      </c>
      <c r="R9348" s="11"/>
      <c r="S9348" s="11"/>
      <c r="T9348" s="11"/>
      <c r="U9348" s="11">
        <f t="shared" si="2601"/>
        <v>2.2999999999999998</v>
      </c>
      <c r="W9348">
        <v>2.5</v>
      </c>
      <c r="X9348" s="1" t="s">
        <v>22</v>
      </c>
    </row>
    <row r="9349" spans="1:24" x14ac:dyDescent="0.25">
      <c r="A9349" s="1" t="str">
        <f t="shared" si="2595"/>
        <v>卡卡杜-凤凰仓</v>
      </c>
      <c r="B9349" s="1" t="str">
        <f>"CK20241006202"</f>
        <v>CK20241006202</v>
      </c>
      <c r="C9349" s="1" t="str">
        <f>"DD2024100613533"</f>
        <v>DD2024100613533</v>
      </c>
      <c r="D9349" s="1" t="str">
        <f>"CK2024100620309"</f>
        <v>CK2024100620309</v>
      </c>
      <c r="E9349" s="1" t="str">
        <f>"6917849791951961258"</f>
        <v>6917849791951961258</v>
      </c>
      <c r="F9349" s="1" t="str">
        <f t="shared" si="2596"/>
        <v>花都四部-凤凰仓</v>
      </c>
      <c r="G9349" s="1" t="str">
        <f t="shared" si="2590"/>
        <v>卡卡杜个人护理店（抖店）</v>
      </c>
      <c r="H9349" s="1" t="str">
        <f t="shared" si="2597"/>
        <v>正常订单</v>
      </c>
      <c r="I9349" s="1" t="str">
        <f t="shared" si="2598"/>
        <v>已发货</v>
      </c>
      <c r="J9349" s="1" t="str">
        <f t="shared" si="2600"/>
        <v>2</v>
      </c>
      <c r="K9349" s="1">
        <v>2</v>
      </c>
      <c r="L9349" s="1" t="s">
        <v>22</v>
      </c>
      <c r="M9349" s="1" t="str">
        <f>"江西省 南昌市 西湖区 朝阳洲街道"</f>
        <v>江西省 南昌市 西湖区 朝阳洲街道</v>
      </c>
      <c r="N9349" s="1" t="str">
        <f t="shared" si="2592"/>
        <v>凡华云仓-韵达-抖音</v>
      </c>
      <c r="O9349" s="5">
        <v>320157847301675</v>
      </c>
      <c r="P9349" s="6">
        <v>0.28000000000000003</v>
      </c>
      <c r="Q9349" s="11">
        <v>2</v>
      </c>
      <c r="R9349" s="11"/>
      <c r="S9349" s="11"/>
      <c r="T9349" s="11"/>
      <c r="U9349" s="11">
        <f t="shared" si="2601"/>
        <v>2</v>
      </c>
      <c r="W9349">
        <v>2.2000000000000002</v>
      </c>
      <c r="X9349" s="1" t="s">
        <v>22</v>
      </c>
    </row>
    <row r="9350" spans="1:24" x14ac:dyDescent="0.25">
      <c r="A9350" s="1" t="str">
        <f t="shared" si="2595"/>
        <v>卡卡杜-凤凰仓</v>
      </c>
      <c r="B9350" s="1" t="str">
        <f>"CK20241006101"</f>
        <v>CK20241006101</v>
      </c>
      <c r="C9350" s="1" t="str">
        <f>"DD2024100613435"</f>
        <v>DD2024100613435</v>
      </c>
      <c r="D9350" s="1" t="str">
        <f>"CK2024100620308"</f>
        <v>CK2024100620308</v>
      </c>
      <c r="E9350" s="1" t="str">
        <f>"6917859283562036276"</f>
        <v>6917859283562036276</v>
      </c>
      <c r="F9350" s="1" t="str">
        <f t="shared" si="2596"/>
        <v>花都四部-凤凰仓</v>
      </c>
      <c r="G9350" s="1" t="str">
        <f t="shared" si="2590"/>
        <v>卡卡杜个人护理店（抖店）</v>
      </c>
      <c r="H9350" s="1" t="str">
        <f t="shared" si="2597"/>
        <v>正常订单</v>
      </c>
      <c r="I9350" s="1" t="str">
        <f t="shared" si="2598"/>
        <v>已发货</v>
      </c>
      <c r="J9350" s="1" t="str">
        <f t="shared" si="2600"/>
        <v>2</v>
      </c>
      <c r="K9350" s="1">
        <v>1</v>
      </c>
      <c r="L9350" s="1" t="s">
        <v>20</v>
      </c>
      <c r="M9350" s="1" t="str">
        <f>"浙江省 湖州市 安吉县 递铺街道"</f>
        <v>浙江省 湖州市 安吉县 递铺街道</v>
      </c>
      <c r="N9350" s="1" t="str">
        <f t="shared" si="2592"/>
        <v>凡华云仓-韵达-抖音</v>
      </c>
      <c r="O9350" s="5">
        <v>320157856268330</v>
      </c>
      <c r="P9350" s="6">
        <v>0.33</v>
      </c>
      <c r="Q9350" s="11">
        <v>2.2999999999999998</v>
      </c>
      <c r="R9350" s="11"/>
      <c r="S9350" s="11"/>
      <c r="T9350" s="11"/>
      <c r="U9350" s="11">
        <f t="shared" si="2601"/>
        <v>2.2999999999999998</v>
      </c>
      <c r="W9350">
        <v>2.5</v>
      </c>
      <c r="X9350" s="1" t="s">
        <v>20</v>
      </c>
    </row>
    <row r="9351" spans="1:24" x14ac:dyDescent="0.25">
      <c r="A9351" s="1" t="str">
        <f t="shared" si="2595"/>
        <v>卡卡杜-凤凰仓</v>
      </c>
      <c r="B9351" s="1" t="str">
        <f>"CK2024100645"</f>
        <v>CK2024100645</v>
      </c>
      <c r="C9351" s="1" t="str">
        <f>"DD2024100613377"</f>
        <v>DD2024100613377</v>
      </c>
      <c r="D9351" s="1" t="str">
        <f>"CK2024100620307"</f>
        <v>CK2024100620307</v>
      </c>
      <c r="E9351" s="1" t="str">
        <f>"6917852195024305244"</f>
        <v>6917852195024305244</v>
      </c>
      <c r="F9351" s="1" t="str">
        <f t="shared" si="2596"/>
        <v>花都四部-凤凰仓</v>
      </c>
      <c r="G9351" s="1" t="str">
        <f t="shared" si="2590"/>
        <v>卡卡杜个人护理店（抖店）</v>
      </c>
      <c r="H9351" s="1" t="str">
        <f t="shared" si="2597"/>
        <v>正常订单</v>
      </c>
      <c r="I9351" s="1" t="str">
        <f t="shared" si="2598"/>
        <v>已发货</v>
      </c>
      <c r="J9351" s="1" t="str">
        <f t="shared" si="2600"/>
        <v>2</v>
      </c>
      <c r="K9351" s="1">
        <v>1</v>
      </c>
      <c r="L9351" s="1" t="s">
        <v>18</v>
      </c>
      <c r="M9351" s="1" t="str">
        <f>"广东省 清远市 英德市 浛洸镇"</f>
        <v>广东省 清远市 英德市 浛洸镇</v>
      </c>
      <c r="N9351" s="1" t="str">
        <f t="shared" si="2592"/>
        <v>凡华云仓-韵达-抖音</v>
      </c>
      <c r="O9351" s="5">
        <v>320157856268237</v>
      </c>
      <c r="P9351" s="6">
        <v>0.33</v>
      </c>
      <c r="Q9351" s="11">
        <v>2.2999999999999998</v>
      </c>
      <c r="R9351" s="11"/>
      <c r="S9351" s="11"/>
      <c r="T9351" s="11"/>
      <c r="U9351" s="11">
        <f t="shared" si="2601"/>
        <v>2.2999999999999998</v>
      </c>
      <c r="W9351">
        <v>2.5</v>
      </c>
      <c r="X9351" s="1" t="s">
        <v>18</v>
      </c>
    </row>
    <row r="9352" spans="1:24" x14ac:dyDescent="0.25">
      <c r="A9352" s="1" t="str">
        <f t="shared" si="2595"/>
        <v>卡卡杜-凤凰仓</v>
      </c>
      <c r="B9352" s="1" t="str">
        <f>"CK2024100644"</f>
        <v>CK2024100644</v>
      </c>
      <c r="C9352" s="1" t="str">
        <f>"DD2024100613376"</f>
        <v>DD2024100613376</v>
      </c>
      <c r="D9352" s="1" t="str">
        <f>"CK2024100620306"</f>
        <v>CK2024100620306</v>
      </c>
      <c r="E9352" s="1" t="str">
        <f>"6917859181684228017"</f>
        <v>6917859181684228017</v>
      </c>
      <c r="F9352" s="1" t="str">
        <f t="shared" si="2596"/>
        <v>花都四部-凤凰仓</v>
      </c>
      <c r="G9352" s="1" t="str">
        <f t="shared" si="2590"/>
        <v>卡卡杜个人护理店（抖店）</v>
      </c>
      <c r="H9352" s="1" t="str">
        <f t="shared" si="2597"/>
        <v>正常订单</v>
      </c>
      <c r="I9352" s="1" t="str">
        <f t="shared" si="2598"/>
        <v>已发货</v>
      </c>
      <c r="J9352" s="1" t="str">
        <f t="shared" si="2600"/>
        <v>2</v>
      </c>
      <c r="K9352" s="1">
        <v>1</v>
      </c>
      <c r="L9352" s="1" t="s">
        <v>22</v>
      </c>
      <c r="M9352" s="1" t="str">
        <f>"江西省 赣州市 于都县 贡江镇"</f>
        <v>江西省 赣州市 于都县 贡江镇</v>
      </c>
      <c r="N9352" s="1" t="str">
        <f t="shared" si="2592"/>
        <v>凡华云仓-韵达-抖音</v>
      </c>
      <c r="O9352" s="5">
        <v>320157856268146</v>
      </c>
      <c r="P9352" s="6">
        <v>0.33</v>
      </c>
      <c r="Q9352" s="11">
        <v>2.2999999999999998</v>
      </c>
      <c r="R9352" s="11"/>
      <c r="S9352" s="11"/>
      <c r="T9352" s="11"/>
      <c r="U9352" s="11">
        <f t="shared" si="2601"/>
        <v>2.2999999999999998</v>
      </c>
      <c r="W9352">
        <v>2.5</v>
      </c>
      <c r="X9352" s="1" t="s">
        <v>22</v>
      </c>
    </row>
    <row r="9353" spans="1:24" x14ac:dyDescent="0.25">
      <c r="A9353" s="1" t="str">
        <f t="shared" si="2595"/>
        <v>卡卡杜-凤凰仓</v>
      </c>
      <c r="B9353" s="1" t="str">
        <f>"CK2024100650"</f>
        <v>CK2024100650</v>
      </c>
      <c r="C9353" s="1" t="str">
        <f>"DD2024100613381"</f>
        <v>DD2024100613381</v>
      </c>
      <c r="D9353" s="1" t="str">
        <f>"CK2024100620305"</f>
        <v>CK2024100620305</v>
      </c>
      <c r="E9353" s="1" t="str">
        <f>"6917861697026817095"</f>
        <v>6917861697026817095</v>
      </c>
      <c r="F9353" s="1" t="str">
        <f t="shared" si="2596"/>
        <v>花都四部-凤凰仓</v>
      </c>
      <c r="G9353" s="1" t="str">
        <f t="shared" si="2590"/>
        <v>卡卡杜个人护理店（抖店）</v>
      </c>
      <c r="H9353" s="1" t="str">
        <f t="shared" si="2597"/>
        <v>正常订单</v>
      </c>
      <c r="I9353" s="1" t="str">
        <f t="shared" si="2598"/>
        <v>已发货</v>
      </c>
      <c r="J9353" s="1" t="str">
        <f t="shared" si="2600"/>
        <v>2</v>
      </c>
      <c r="K9353" s="1">
        <v>1</v>
      </c>
      <c r="L9353" s="1" t="s">
        <v>74</v>
      </c>
      <c r="M9353" s="1" t="str">
        <f>"上海 上海市 闵行区 江川路街道"</f>
        <v>上海 上海市 闵行区 江川路街道</v>
      </c>
      <c r="N9353" s="1" t="str">
        <f t="shared" si="2592"/>
        <v>凡华云仓-韵达-抖音</v>
      </c>
      <c r="O9353" s="5">
        <v>320157856268057</v>
      </c>
      <c r="P9353" s="6">
        <v>0.33</v>
      </c>
      <c r="Q9353" s="11">
        <v>2.2999999999999998</v>
      </c>
      <c r="R9353" s="11"/>
      <c r="S9353" s="11"/>
      <c r="T9353" s="11"/>
      <c r="U9353" s="11">
        <f t="shared" si="2601"/>
        <v>2.2999999999999998</v>
      </c>
      <c r="W9353">
        <v>2.5</v>
      </c>
      <c r="X9353" s="1" t="s">
        <v>74</v>
      </c>
    </row>
    <row r="9354" spans="1:24" x14ac:dyDescent="0.25">
      <c r="A9354" s="1" t="str">
        <f t="shared" si="2595"/>
        <v>卡卡杜-凤凰仓</v>
      </c>
      <c r="B9354" s="1" t="str">
        <f>"CK20241006187"</f>
        <v>CK20241006187</v>
      </c>
      <c r="C9354" s="1" t="str">
        <f>"DD2024100613519"</f>
        <v>DD2024100613519</v>
      </c>
      <c r="D9354" s="1" t="str">
        <f>"CK2024100620304"</f>
        <v>CK2024100620304</v>
      </c>
      <c r="E9354" s="1" t="str">
        <f>"6917861788762209949"</f>
        <v>6917861788762209949</v>
      </c>
      <c r="F9354" s="1" t="str">
        <f t="shared" si="2596"/>
        <v>花都四部-凤凰仓</v>
      </c>
      <c r="G9354" s="1" t="str">
        <f t="shared" si="2590"/>
        <v>卡卡杜个人护理店（抖店）</v>
      </c>
      <c r="H9354" s="1" t="str">
        <f t="shared" si="2597"/>
        <v>正常订单</v>
      </c>
      <c r="I9354" s="1" t="str">
        <f t="shared" si="2598"/>
        <v>已发货</v>
      </c>
      <c r="J9354" s="1" t="str">
        <f t="shared" si="2600"/>
        <v>2</v>
      </c>
      <c r="K9354" s="1">
        <v>2</v>
      </c>
      <c r="L9354" s="1" t="s">
        <v>96</v>
      </c>
      <c r="M9354" s="1" t="str">
        <f>"广西壮族自治区 桂林市 七星区 漓东街道"</f>
        <v>广西壮族自治区 桂林市 七星区 漓东街道</v>
      </c>
      <c r="N9354" s="1" t="str">
        <f t="shared" si="2592"/>
        <v>凡华云仓-韵达-抖音</v>
      </c>
      <c r="O9354" s="5">
        <v>320157856267927</v>
      </c>
      <c r="P9354" s="6">
        <v>0.28000000000000003</v>
      </c>
      <c r="Q9354" s="11">
        <v>2</v>
      </c>
      <c r="R9354" s="11"/>
      <c r="S9354" s="11"/>
      <c r="T9354" s="11"/>
      <c r="U9354" s="11">
        <f t="shared" si="2601"/>
        <v>2</v>
      </c>
      <c r="W9354">
        <v>2.2000000000000002</v>
      </c>
      <c r="X9354" s="1" t="s">
        <v>96</v>
      </c>
    </row>
    <row r="9355" spans="1:24" x14ac:dyDescent="0.25">
      <c r="A9355" s="1" t="str">
        <f t="shared" si="2595"/>
        <v>卡卡杜-凤凰仓</v>
      </c>
      <c r="B9355" s="1" t="str">
        <f>"CK2024100643"</f>
        <v>CK2024100643</v>
      </c>
      <c r="C9355" s="1" t="str">
        <f>"DD2024100613375"</f>
        <v>DD2024100613375</v>
      </c>
      <c r="D9355" s="1" t="str">
        <f>"CK2024100620303"</f>
        <v>CK2024100620303</v>
      </c>
      <c r="E9355" s="1" t="str">
        <f>"6917852140959595810"</f>
        <v>6917852140959595810</v>
      </c>
      <c r="F9355" s="1" t="str">
        <f t="shared" si="2596"/>
        <v>花都四部-凤凰仓</v>
      </c>
      <c r="G9355" s="1" t="str">
        <f t="shared" si="2590"/>
        <v>卡卡杜个人护理店（抖店）</v>
      </c>
      <c r="H9355" s="1" t="str">
        <f t="shared" si="2597"/>
        <v>正常订单</v>
      </c>
      <c r="I9355" s="1" t="str">
        <f t="shared" si="2598"/>
        <v>已发货</v>
      </c>
      <c r="J9355" s="1" t="str">
        <f t="shared" si="2600"/>
        <v>2</v>
      </c>
      <c r="K9355" s="1">
        <v>1</v>
      </c>
      <c r="L9355" s="1" t="s">
        <v>36</v>
      </c>
      <c r="M9355" s="1" t="str">
        <f>"安徽省 滁州市 天长市 广陵街道"</f>
        <v>安徽省 滁州市 天长市 广陵街道</v>
      </c>
      <c r="N9355" s="1" t="str">
        <f t="shared" si="2592"/>
        <v>凡华云仓-韵达-抖音</v>
      </c>
      <c r="O9355" s="5">
        <v>320157856267822</v>
      </c>
      <c r="P9355" s="6">
        <v>0.33</v>
      </c>
      <c r="Q9355" s="11">
        <v>2.2999999999999998</v>
      </c>
      <c r="R9355" s="11"/>
      <c r="S9355" s="11"/>
      <c r="T9355" s="11"/>
      <c r="U9355" s="11">
        <f t="shared" si="2601"/>
        <v>2.2999999999999998</v>
      </c>
      <c r="W9355">
        <v>2.5</v>
      </c>
      <c r="X9355" s="1" t="s">
        <v>36</v>
      </c>
    </row>
    <row r="9356" spans="1:24" x14ac:dyDescent="0.25">
      <c r="A9356" s="1" t="str">
        <f t="shared" si="2595"/>
        <v>卡卡杜-凤凰仓</v>
      </c>
      <c r="B9356" s="1" t="str">
        <f>"CK20241006110"</f>
        <v>CK20241006110</v>
      </c>
      <c r="C9356" s="1" t="str">
        <f>"DD2024100613443"</f>
        <v>DD2024100613443</v>
      </c>
      <c r="D9356" s="1" t="str">
        <f>"CK2024100620302"</f>
        <v>CK2024100620302</v>
      </c>
      <c r="E9356" s="1" t="str">
        <f>"6917859265546648899"</f>
        <v>6917859265546648899</v>
      </c>
      <c r="F9356" s="1" t="str">
        <f t="shared" si="2596"/>
        <v>花都四部-凤凰仓</v>
      </c>
      <c r="G9356" s="1" t="str">
        <f t="shared" si="2590"/>
        <v>卡卡杜个人护理店（抖店）</v>
      </c>
      <c r="H9356" s="1" t="str">
        <f t="shared" si="2597"/>
        <v>正常订单</v>
      </c>
      <c r="I9356" s="1" t="str">
        <f t="shared" si="2598"/>
        <v>已发货</v>
      </c>
      <c r="J9356" s="1" t="str">
        <f t="shared" si="2600"/>
        <v>2</v>
      </c>
      <c r="K9356" s="1">
        <v>1</v>
      </c>
      <c r="L9356" s="1" t="s">
        <v>13</v>
      </c>
      <c r="M9356" s="1" t="str">
        <f>"江苏省 扬州市 广陵区 杭集镇"</f>
        <v>江苏省 扬州市 广陵区 杭集镇</v>
      </c>
      <c r="N9356" s="1" t="str">
        <f t="shared" si="2592"/>
        <v>凡华云仓-韵达-抖音</v>
      </c>
      <c r="O9356" s="5">
        <v>320157856267719</v>
      </c>
      <c r="P9356" s="6">
        <v>0.33</v>
      </c>
      <c r="Q9356" s="11">
        <v>2.2999999999999998</v>
      </c>
      <c r="R9356" s="11"/>
      <c r="S9356" s="11"/>
      <c r="T9356" s="11"/>
      <c r="U9356" s="11">
        <f t="shared" si="2601"/>
        <v>2.2999999999999998</v>
      </c>
      <c r="W9356">
        <v>2.5</v>
      </c>
      <c r="X9356" s="1" t="s">
        <v>13</v>
      </c>
    </row>
    <row r="9357" spans="1:24" x14ac:dyDescent="0.25">
      <c r="A9357" s="1" t="str">
        <f t="shared" si="2595"/>
        <v>卡卡杜-凤凰仓</v>
      </c>
      <c r="B9357" s="1" t="str">
        <f>"CK2024100661"</f>
        <v>CK2024100661</v>
      </c>
      <c r="C9357" s="1" t="str">
        <f>"DD2024100613391"</f>
        <v>DD2024100613391</v>
      </c>
      <c r="D9357" s="1" t="str">
        <f>"CK2024100620301"</f>
        <v>CK2024100620301</v>
      </c>
      <c r="E9357" s="1" t="str">
        <f>"6917851877612093214"</f>
        <v>6917851877612093214</v>
      </c>
      <c r="F9357" s="1" t="str">
        <f t="shared" si="2596"/>
        <v>花都四部-凤凰仓</v>
      </c>
      <c r="G9357" s="1" t="str">
        <f t="shared" si="2590"/>
        <v>卡卡杜个人护理店（抖店）</v>
      </c>
      <c r="H9357" s="1" t="str">
        <f t="shared" si="2597"/>
        <v>正常订单</v>
      </c>
      <c r="I9357" s="1" t="str">
        <f t="shared" si="2598"/>
        <v>已发货</v>
      </c>
      <c r="J9357" s="1" t="str">
        <f t="shared" si="2600"/>
        <v>2</v>
      </c>
      <c r="K9357" s="1">
        <v>1</v>
      </c>
      <c r="L9357" s="1" t="s">
        <v>20</v>
      </c>
      <c r="M9357" s="1" t="str">
        <f>"浙江省 温州市 永嘉县 黄田街道"</f>
        <v>浙江省 温州市 永嘉县 黄田街道</v>
      </c>
      <c r="N9357" s="1" t="str">
        <f t="shared" si="2592"/>
        <v>凡华云仓-韵达-抖音</v>
      </c>
      <c r="O9357" s="5">
        <v>320157856267618</v>
      </c>
      <c r="P9357" s="6">
        <v>0.33</v>
      </c>
      <c r="Q9357" s="11">
        <v>2.2999999999999998</v>
      </c>
      <c r="R9357" s="11"/>
      <c r="S9357" s="11"/>
      <c r="T9357" s="11"/>
      <c r="U9357" s="11">
        <f t="shared" si="2601"/>
        <v>2.2999999999999998</v>
      </c>
      <c r="W9357">
        <v>2.5</v>
      </c>
      <c r="X9357" s="1" t="s">
        <v>20</v>
      </c>
    </row>
    <row r="9358" spans="1:24" x14ac:dyDescent="0.25">
      <c r="A9358" s="1" t="str">
        <f t="shared" si="2595"/>
        <v>卡卡杜-凤凰仓</v>
      </c>
      <c r="B9358" s="1" t="str">
        <f>"CK20241006185"</f>
        <v>CK20241006185</v>
      </c>
      <c r="C9358" s="1" t="str">
        <f>"DD2024100613520"</f>
        <v>DD2024100613520</v>
      </c>
      <c r="D9358" s="1" t="str">
        <f>"CK2024100620300"</f>
        <v>CK2024100620300</v>
      </c>
      <c r="E9358" s="1" t="str">
        <f>"6917858697630613390"</f>
        <v>6917858697630613390</v>
      </c>
      <c r="F9358" s="1" t="str">
        <f t="shared" si="2596"/>
        <v>花都四部-凤凰仓</v>
      </c>
      <c r="G9358" s="1" t="str">
        <f t="shared" si="2590"/>
        <v>卡卡杜个人护理店（抖店）</v>
      </c>
      <c r="H9358" s="1" t="str">
        <f t="shared" si="2597"/>
        <v>正常订单</v>
      </c>
      <c r="I9358" s="1" t="str">
        <f t="shared" si="2598"/>
        <v>已发货</v>
      </c>
      <c r="J9358" s="1" t="str">
        <f t="shared" si="2600"/>
        <v>2</v>
      </c>
      <c r="K9358" s="1">
        <v>2</v>
      </c>
      <c r="L9358" s="1" t="s">
        <v>30</v>
      </c>
      <c r="M9358" s="1" t="str">
        <f>"山东省 济南市 市中区 十六里河街道"</f>
        <v>山东省 济南市 市中区 十六里河街道</v>
      </c>
      <c r="N9358" s="1" t="str">
        <f t="shared" si="2592"/>
        <v>凡华云仓-韵达-抖音</v>
      </c>
      <c r="O9358" s="5">
        <v>320157849216963</v>
      </c>
      <c r="P9358" s="6">
        <v>0.28000000000000003</v>
      </c>
      <c r="Q9358" s="11">
        <v>2</v>
      </c>
      <c r="R9358" s="11"/>
      <c r="S9358" s="11"/>
      <c r="T9358" s="11"/>
      <c r="U9358" s="11">
        <f t="shared" si="2601"/>
        <v>2</v>
      </c>
      <c r="W9358">
        <v>2.2000000000000002</v>
      </c>
      <c r="X9358" s="1" t="s">
        <v>30</v>
      </c>
    </row>
    <row r="9359" spans="1:24" x14ac:dyDescent="0.25">
      <c r="A9359" s="1" t="str">
        <f t="shared" si="2595"/>
        <v>卡卡杜-凤凰仓</v>
      </c>
      <c r="B9359" s="1" t="str">
        <f>"CK2024100690"</f>
        <v>CK2024100690</v>
      </c>
      <c r="C9359" s="1" t="str">
        <f>"DD2024100613424"</f>
        <v>DD2024100613424</v>
      </c>
      <c r="D9359" s="1" t="str">
        <f>"CK2024100620299"</f>
        <v>CK2024100620299</v>
      </c>
      <c r="E9359" s="1" t="str">
        <f>"6917858766445248074"</f>
        <v>6917858766445248074</v>
      </c>
      <c r="F9359" s="1" t="str">
        <f t="shared" si="2596"/>
        <v>花都四部-凤凰仓</v>
      </c>
      <c r="G9359" s="1" t="str">
        <f t="shared" si="2590"/>
        <v>卡卡杜个人护理店（抖店）</v>
      </c>
      <c r="H9359" s="1" t="str">
        <f t="shared" si="2597"/>
        <v>正常订单</v>
      </c>
      <c r="I9359" s="1" t="str">
        <f t="shared" si="2598"/>
        <v>已发货</v>
      </c>
      <c r="J9359" s="1" t="str">
        <f t="shared" si="2600"/>
        <v>2</v>
      </c>
      <c r="K9359" s="1">
        <v>1</v>
      </c>
      <c r="L9359" s="1" t="s">
        <v>60</v>
      </c>
      <c r="M9359" s="1" t="str">
        <f>"云南省 西双版纳傣族自治州 勐腊县 勐腊镇"</f>
        <v>云南省 西双版纳傣族自治州 勐腊县 勐腊镇</v>
      </c>
      <c r="N9359" s="1" t="str">
        <f t="shared" si="2592"/>
        <v>凡华云仓-韵达-抖音</v>
      </c>
      <c r="O9359" s="5">
        <v>320157849216858</v>
      </c>
      <c r="P9359" s="6">
        <v>0.33</v>
      </c>
      <c r="Q9359" s="11">
        <v>2.2999999999999998</v>
      </c>
      <c r="R9359" s="11"/>
      <c r="S9359" s="11"/>
      <c r="T9359" s="11"/>
      <c r="U9359" s="11">
        <f t="shared" si="2601"/>
        <v>2.2999999999999998</v>
      </c>
      <c r="W9359">
        <v>2.5</v>
      </c>
      <c r="X9359" s="1" t="s">
        <v>60</v>
      </c>
    </row>
    <row r="9360" spans="1:24" x14ac:dyDescent="0.25">
      <c r="A9360" s="1" t="str">
        <f t="shared" si="2595"/>
        <v>卡卡杜-凤凰仓</v>
      </c>
      <c r="B9360" s="1" t="str">
        <f>"CK20241006103"</f>
        <v>CK20241006103</v>
      </c>
      <c r="C9360" s="1" t="str">
        <f>"DD2024100613433"</f>
        <v>DD2024100613433</v>
      </c>
      <c r="D9360" s="1" t="str">
        <f>"CK2024100620298"</f>
        <v>CK2024100620298</v>
      </c>
      <c r="E9360" s="1" t="str">
        <f>"6917858171012611752"</f>
        <v>6917858171012611752</v>
      </c>
      <c r="F9360" s="1" t="str">
        <f t="shared" si="2596"/>
        <v>花都四部-凤凰仓</v>
      </c>
      <c r="G9360" s="1" t="str">
        <f t="shared" si="2590"/>
        <v>卡卡杜个人护理店（抖店）</v>
      </c>
      <c r="H9360" s="1" t="str">
        <f t="shared" si="2597"/>
        <v>正常订单</v>
      </c>
      <c r="I9360" s="1" t="str">
        <f t="shared" si="2598"/>
        <v>已发货</v>
      </c>
      <c r="J9360" s="1" t="str">
        <f t="shared" si="2600"/>
        <v>2</v>
      </c>
      <c r="K9360" s="1">
        <v>1</v>
      </c>
      <c r="L9360" s="1" t="s">
        <v>36</v>
      </c>
      <c r="M9360" s="1" t="str">
        <f>"安徽省 芜湖市 弋江区 南瑞街道"</f>
        <v>安徽省 芜湖市 弋江区 南瑞街道</v>
      </c>
      <c r="N9360" s="1" t="str">
        <f t="shared" si="2592"/>
        <v>凡华云仓-韵达-抖音</v>
      </c>
      <c r="O9360" s="5">
        <v>320157849216755</v>
      </c>
      <c r="P9360" s="6">
        <v>0.33</v>
      </c>
      <c r="Q9360" s="11">
        <v>2.2999999999999998</v>
      </c>
      <c r="R9360" s="11"/>
      <c r="S9360" s="11"/>
      <c r="T9360" s="11"/>
      <c r="U9360" s="11">
        <f t="shared" si="2601"/>
        <v>2.2999999999999998</v>
      </c>
      <c r="W9360">
        <v>2.5</v>
      </c>
      <c r="X9360" s="1" t="s">
        <v>36</v>
      </c>
    </row>
    <row r="9361" spans="1:24" x14ac:dyDescent="0.25">
      <c r="A9361" s="1" t="str">
        <f t="shared" si="2595"/>
        <v>卡卡杜-凤凰仓</v>
      </c>
      <c r="B9361" s="1" t="str">
        <f>"CK20241006102"</f>
        <v>CK20241006102</v>
      </c>
      <c r="C9361" s="1" t="str">
        <f>"DD2024100613434"</f>
        <v>DD2024100613434</v>
      </c>
      <c r="D9361" s="1" t="str">
        <f>"CK2024100620297"</f>
        <v>CK2024100620297</v>
      </c>
      <c r="E9361" s="1" t="str">
        <f>"6917849105942740352"</f>
        <v>6917849105942740352</v>
      </c>
      <c r="F9361" s="1" t="str">
        <f t="shared" si="2596"/>
        <v>花都四部-凤凰仓</v>
      </c>
      <c r="G9361" s="1" t="str">
        <f t="shared" si="2590"/>
        <v>卡卡杜个人护理店（抖店）</v>
      </c>
      <c r="H9361" s="1" t="str">
        <f t="shared" si="2597"/>
        <v>正常订单</v>
      </c>
      <c r="I9361" s="1" t="str">
        <f t="shared" si="2598"/>
        <v>已发货</v>
      </c>
      <c r="J9361" s="1" t="str">
        <f t="shared" si="2600"/>
        <v>2</v>
      </c>
      <c r="K9361" s="1">
        <v>1</v>
      </c>
      <c r="L9361" s="1" t="s">
        <v>20</v>
      </c>
      <c r="M9361" s="1" t="str">
        <f>"浙江省 金华市 浦江县 浦阳街道"</f>
        <v>浙江省 金华市 浦江县 浦阳街道</v>
      </c>
      <c r="N9361" s="1" t="str">
        <f t="shared" si="2592"/>
        <v>凡华云仓-韵达-抖音</v>
      </c>
      <c r="O9361" s="5">
        <v>320157859013781</v>
      </c>
      <c r="P9361" s="6">
        <v>0.33</v>
      </c>
      <c r="Q9361" s="11">
        <v>2.2999999999999998</v>
      </c>
      <c r="R9361" s="11"/>
      <c r="S9361" s="11"/>
      <c r="T9361" s="11"/>
      <c r="U9361" s="11">
        <f t="shared" si="2601"/>
        <v>2.2999999999999998</v>
      </c>
      <c r="W9361">
        <v>2.5</v>
      </c>
      <c r="X9361" s="1" t="s">
        <v>20</v>
      </c>
    </row>
    <row r="9362" spans="1:24" x14ac:dyDescent="0.25">
      <c r="A9362" s="1" t="str">
        <f t="shared" si="2595"/>
        <v>卡卡杜-凤凰仓</v>
      </c>
      <c r="B9362" s="1" t="str">
        <f>"CK2024100662"</f>
        <v>CK2024100662</v>
      </c>
      <c r="C9362" s="1" t="str">
        <f>"DD2024100613394"</f>
        <v>DD2024100613394</v>
      </c>
      <c r="D9362" s="1" t="str">
        <f>"CK2024100620296"</f>
        <v>CK2024100620296</v>
      </c>
      <c r="E9362" s="1" t="str">
        <f>"6917853786747010166"</f>
        <v>6917853786747010166</v>
      </c>
      <c r="F9362" s="1" t="str">
        <f t="shared" si="2596"/>
        <v>花都四部-凤凰仓</v>
      </c>
      <c r="G9362" s="1" t="str">
        <f t="shared" si="2590"/>
        <v>卡卡杜个人护理店（抖店）</v>
      </c>
      <c r="H9362" s="1" t="str">
        <f t="shared" si="2597"/>
        <v>正常订单</v>
      </c>
      <c r="I9362" s="1" t="str">
        <f t="shared" si="2598"/>
        <v>已发货</v>
      </c>
      <c r="J9362" s="1" t="str">
        <f t="shared" si="2600"/>
        <v>2</v>
      </c>
      <c r="K9362" s="1">
        <v>1</v>
      </c>
      <c r="L9362" s="1" t="s">
        <v>20</v>
      </c>
      <c r="M9362" s="1" t="str">
        <f>"浙江省 金华市 东阳市 白云街道"</f>
        <v>浙江省 金华市 东阳市 白云街道</v>
      </c>
      <c r="N9362" s="1" t="str">
        <f t="shared" si="2592"/>
        <v>凡华云仓-韵达-抖音</v>
      </c>
      <c r="O9362" s="5">
        <v>320157859013680</v>
      </c>
      <c r="P9362" s="6">
        <v>0.33</v>
      </c>
      <c r="Q9362" s="11">
        <v>2.2999999999999998</v>
      </c>
      <c r="R9362" s="11"/>
      <c r="S9362" s="11"/>
      <c r="T9362" s="11"/>
      <c r="U9362" s="11">
        <f t="shared" si="2601"/>
        <v>2.2999999999999998</v>
      </c>
      <c r="W9362">
        <v>2.5</v>
      </c>
      <c r="X9362" s="1" t="s">
        <v>20</v>
      </c>
    </row>
    <row r="9363" spans="1:24" x14ac:dyDescent="0.25">
      <c r="A9363" s="1" t="str">
        <f t="shared" si="2595"/>
        <v>卡卡杜-凤凰仓</v>
      </c>
      <c r="B9363" s="1" t="str">
        <f>"CK2024100691"</f>
        <v>CK2024100691</v>
      </c>
      <c r="C9363" s="1" t="str">
        <f>"DD2024100613421"</f>
        <v>DD2024100613421</v>
      </c>
      <c r="D9363" s="1" t="str">
        <f>"CK2024100620295"</f>
        <v>CK2024100620295</v>
      </c>
      <c r="E9363" s="1" t="str">
        <f>"6917853151647464749"</f>
        <v>6917853151647464749</v>
      </c>
      <c r="F9363" s="1" t="str">
        <f t="shared" si="2596"/>
        <v>花都四部-凤凰仓</v>
      </c>
      <c r="G9363" s="1" t="str">
        <f t="shared" si="2590"/>
        <v>卡卡杜个人护理店（抖店）</v>
      </c>
      <c r="H9363" s="1" t="str">
        <f t="shared" si="2597"/>
        <v>正常订单</v>
      </c>
      <c r="I9363" s="1" t="str">
        <f t="shared" si="2598"/>
        <v>已发货</v>
      </c>
      <c r="J9363" s="1" t="str">
        <f t="shared" si="2600"/>
        <v>2</v>
      </c>
      <c r="K9363" s="1">
        <v>1</v>
      </c>
      <c r="L9363" s="1" t="s">
        <v>30</v>
      </c>
      <c r="M9363" s="1" t="str">
        <f>"山东省 滨州市 惠民县 麻店镇"</f>
        <v>山东省 滨州市 惠民县 麻店镇</v>
      </c>
      <c r="N9363" s="1" t="str">
        <f t="shared" si="2592"/>
        <v>凡华云仓-韵达-抖音</v>
      </c>
      <c r="O9363" s="5">
        <v>320157859013581</v>
      </c>
      <c r="P9363" s="6">
        <v>0.33</v>
      </c>
      <c r="Q9363" s="11">
        <v>2.2999999999999998</v>
      </c>
      <c r="R9363" s="11"/>
      <c r="S9363" s="11"/>
      <c r="T9363" s="11"/>
      <c r="U9363" s="11">
        <f t="shared" si="2601"/>
        <v>2.2999999999999998</v>
      </c>
      <c r="W9363">
        <v>2.5</v>
      </c>
      <c r="X9363" s="1" t="s">
        <v>30</v>
      </c>
    </row>
    <row r="9364" spans="1:24" x14ac:dyDescent="0.25">
      <c r="A9364" s="1" t="str">
        <f t="shared" si="2595"/>
        <v>卡卡杜-凤凰仓</v>
      </c>
      <c r="B9364" s="1" t="str">
        <f>"CK2024100684"</f>
        <v>CK2024100684</v>
      </c>
      <c r="C9364" s="1" t="str">
        <f>"DD2024100613415"</f>
        <v>DD2024100613415</v>
      </c>
      <c r="D9364" s="1" t="str">
        <f>"CK2024100620294"</f>
        <v>CK2024100620294</v>
      </c>
      <c r="E9364" s="1" t="str">
        <f>"6917855730613387000"</f>
        <v>6917855730613387000</v>
      </c>
      <c r="F9364" s="1" t="str">
        <f t="shared" si="2596"/>
        <v>花都四部-凤凰仓</v>
      </c>
      <c r="G9364" s="1" t="str">
        <f t="shared" si="2590"/>
        <v>卡卡杜个人护理店（抖店）</v>
      </c>
      <c r="H9364" s="1" t="str">
        <f t="shared" si="2597"/>
        <v>正常订单</v>
      </c>
      <c r="I9364" s="1" t="str">
        <f t="shared" si="2598"/>
        <v>已发货</v>
      </c>
      <c r="J9364" s="1" t="str">
        <f t="shared" si="2600"/>
        <v>2</v>
      </c>
      <c r="K9364" s="1">
        <v>1</v>
      </c>
      <c r="L9364" s="1" t="s">
        <v>32</v>
      </c>
      <c r="M9364" s="1" t="str">
        <f>"陕西省 西安市 未央区 未央湖街道"</f>
        <v>陕西省 西安市 未央区 未央湖街道</v>
      </c>
      <c r="N9364" s="1" t="str">
        <f t="shared" si="2592"/>
        <v>凡华云仓-韵达-抖音</v>
      </c>
      <c r="O9364" s="5">
        <v>320157859013484</v>
      </c>
      <c r="P9364" s="6">
        <v>0.33</v>
      </c>
      <c r="Q9364" s="11">
        <v>2.2999999999999998</v>
      </c>
      <c r="R9364" s="11"/>
      <c r="S9364" s="11"/>
      <c r="T9364" s="11"/>
      <c r="U9364" s="11">
        <f t="shared" si="2601"/>
        <v>2.2999999999999998</v>
      </c>
      <c r="W9364">
        <v>2.5</v>
      </c>
      <c r="X9364" s="1" t="s">
        <v>32</v>
      </c>
    </row>
    <row r="9365" spans="1:24" x14ac:dyDescent="0.25">
      <c r="A9365" s="1" t="str">
        <f t="shared" si="2595"/>
        <v>卡卡杜-凤凰仓</v>
      </c>
      <c r="B9365" s="1" t="str">
        <f>"CK20241006186"</f>
        <v>CK20241006186</v>
      </c>
      <c r="C9365" s="1" t="str">
        <f>"DD2024100613518"</f>
        <v>DD2024100613518</v>
      </c>
      <c r="D9365" s="1" t="str">
        <f>"CK2024100620293"</f>
        <v>CK2024100620293</v>
      </c>
      <c r="E9365" s="1" t="str">
        <f>"6917855742409408371"</f>
        <v>6917855742409408371</v>
      </c>
      <c r="F9365" s="1" t="str">
        <f t="shared" si="2596"/>
        <v>花都四部-凤凰仓</v>
      </c>
      <c r="G9365" s="1" t="str">
        <f t="shared" si="2590"/>
        <v>卡卡杜个人护理店（抖店）</v>
      </c>
      <c r="H9365" s="1" t="str">
        <f t="shared" si="2597"/>
        <v>正常订单</v>
      </c>
      <c r="I9365" s="1" t="str">
        <f t="shared" si="2598"/>
        <v>已发货</v>
      </c>
      <c r="J9365" s="1" t="str">
        <f t="shared" si="2600"/>
        <v>2</v>
      </c>
      <c r="K9365" s="1">
        <v>2</v>
      </c>
      <c r="L9365" s="1" t="s">
        <v>74</v>
      </c>
      <c r="M9365" s="1" t="str">
        <f>"上海 上海市 浦东新区 张江镇"</f>
        <v>上海 上海市 浦东新区 张江镇</v>
      </c>
      <c r="N9365" s="1" t="str">
        <f t="shared" si="2592"/>
        <v>凡华云仓-韵达-抖音</v>
      </c>
      <c r="O9365" s="5">
        <v>320157859013389</v>
      </c>
      <c r="P9365" s="6">
        <v>0.28000000000000003</v>
      </c>
      <c r="Q9365" s="11">
        <v>2</v>
      </c>
      <c r="R9365" s="11"/>
      <c r="S9365" s="11"/>
      <c r="T9365" s="11"/>
      <c r="U9365" s="11">
        <f t="shared" si="2601"/>
        <v>2</v>
      </c>
      <c r="W9365">
        <v>2.2000000000000002</v>
      </c>
      <c r="X9365" s="1" t="s">
        <v>74</v>
      </c>
    </row>
    <row r="9366" spans="1:24" x14ac:dyDescent="0.25">
      <c r="A9366" s="1" t="str">
        <f t="shared" si="2595"/>
        <v>卡卡杜-凤凰仓</v>
      </c>
      <c r="B9366" s="1" t="str">
        <f>"CK2024100614385"</f>
        <v>CK2024100614385</v>
      </c>
      <c r="C9366" s="1" t="str">
        <f>"DD2024100648065"</f>
        <v>DD2024100648065</v>
      </c>
      <c r="D9366" s="1" t="str">
        <f>"CK2024100647371"</f>
        <v>CK2024100647371</v>
      </c>
      <c r="E9366" s="1" t="str">
        <f>"6917872322833972945"</f>
        <v>6917872322833972945</v>
      </c>
      <c r="F9366" s="1" t="str">
        <f t="shared" si="2596"/>
        <v>花都四部-凤凰仓</v>
      </c>
      <c r="G9366" s="1" t="str">
        <f t="shared" si="2590"/>
        <v>卡卡杜个人护理店（抖店）</v>
      </c>
      <c r="H9366" s="1" t="str">
        <f t="shared" si="2597"/>
        <v>正常订单</v>
      </c>
      <c r="I9366" s="1" t="str">
        <f t="shared" si="2598"/>
        <v>已发货</v>
      </c>
      <c r="J9366" s="1" t="str">
        <f>"4"</f>
        <v>4</v>
      </c>
      <c r="K9366" s="1">
        <v>1</v>
      </c>
      <c r="L9366" s="1" t="s">
        <v>18</v>
      </c>
      <c r="M9366" s="1" t="str">
        <f>"广东省 韶关市 新丰县 马头镇"</f>
        <v>广东省 韶关市 新丰县 马头镇</v>
      </c>
      <c r="N9366" s="1" t="str">
        <f t="shared" si="2592"/>
        <v>凡华云仓-韵达-抖音</v>
      </c>
      <c r="O9366" s="5">
        <v>320158520659971</v>
      </c>
      <c r="P9366" s="6">
        <v>0.57999999999999996</v>
      </c>
      <c r="Q9366" s="11">
        <f>CEILING(P9366-0.5,0.1)*10*0.15+2.3</f>
        <v>2.4499999999999997</v>
      </c>
      <c r="R9366" s="11"/>
      <c r="S9366" s="11"/>
      <c r="T9366" s="11"/>
      <c r="U9366" s="11">
        <f t="shared" si="2601"/>
        <v>2.4499999999999997</v>
      </c>
      <c r="V9366" t="s">
        <v>15</v>
      </c>
      <c r="W9366">
        <v>2.4500000000000002</v>
      </c>
      <c r="X9366" s="1" t="s">
        <v>18</v>
      </c>
    </row>
    <row r="9367" spans="1:24" x14ac:dyDescent="0.25">
      <c r="A9367" s="1" t="str">
        <f t="shared" si="2595"/>
        <v>卡卡杜-凤凰仓</v>
      </c>
      <c r="B9367" s="1" t="str">
        <f>"CK20241006100"</f>
        <v>CK20241006100</v>
      </c>
      <c r="C9367" s="1" t="str">
        <f>"DD2024100613432"</f>
        <v>DD2024100613432</v>
      </c>
      <c r="D9367" s="1" t="str">
        <f>"CK2024100620291"</f>
        <v>CK2024100620291</v>
      </c>
      <c r="E9367" s="1" t="str">
        <f>"6917850988024134937"</f>
        <v>6917850988024134937</v>
      </c>
      <c r="F9367" s="1" t="str">
        <f t="shared" si="2596"/>
        <v>花都四部-凤凰仓</v>
      </c>
      <c r="G9367" s="1" t="str">
        <f t="shared" ref="G9367:G9430" si="2602">"卡卡杜个人护理店（抖店）"</f>
        <v>卡卡杜个人护理店（抖店）</v>
      </c>
      <c r="H9367" s="1" t="str">
        <f t="shared" si="2597"/>
        <v>正常订单</v>
      </c>
      <c r="I9367" s="1" t="str">
        <f t="shared" si="2598"/>
        <v>已发货</v>
      </c>
      <c r="J9367" s="1" t="str">
        <f t="shared" ref="J9367:J9374" si="2603">"2"</f>
        <v>2</v>
      </c>
      <c r="K9367" s="1">
        <v>1</v>
      </c>
      <c r="L9367" s="1" t="s">
        <v>22</v>
      </c>
      <c r="M9367" s="1" t="str">
        <f>"江西省 抚州市 临川区 钟岭街道"</f>
        <v>江西省 抚州市 临川区 钟岭街道</v>
      </c>
      <c r="N9367" s="1" t="str">
        <f t="shared" ref="N9367:N9430" si="2604">"凡华云仓-韵达-抖音"</f>
        <v>凡华云仓-韵达-抖音</v>
      </c>
      <c r="O9367" s="5">
        <v>320157859013105</v>
      </c>
      <c r="P9367" s="6">
        <v>0.33</v>
      </c>
      <c r="Q9367" s="11">
        <v>2.2999999999999998</v>
      </c>
      <c r="R9367" s="11"/>
      <c r="S9367" s="11"/>
      <c r="T9367" s="11"/>
      <c r="U9367" s="11">
        <f t="shared" si="2601"/>
        <v>2.2999999999999998</v>
      </c>
      <c r="W9367">
        <v>2.5</v>
      </c>
      <c r="X9367" s="1" t="s">
        <v>22</v>
      </c>
    </row>
    <row r="9368" spans="1:24" x14ac:dyDescent="0.25">
      <c r="A9368" s="1" t="str">
        <f t="shared" si="2595"/>
        <v>卡卡杜-凤凰仓</v>
      </c>
      <c r="B9368" s="1" t="str">
        <f>"CK2024100699"</f>
        <v>CK2024100699</v>
      </c>
      <c r="C9368" s="1" t="str">
        <f>"DD2024100613430"</f>
        <v>DD2024100613430</v>
      </c>
      <c r="D9368" s="1" t="str">
        <f>"CK2024100620290"</f>
        <v>CK2024100620290</v>
      </c>
      <c r="E9368" s="1" t="str">
        <f>"6917853175220043048"</f>
        <v>6917853175220043048</v>
      </c>
      <c r="F9368" s="1" t="str">
        <f t="shared" si="2596"/>
        <v>花都四部-凤凰仓</v>
      </c>
      <c r="G9368" s="1" t="str">
        <f t="shared" si="2602"/>
        <v>卡卡杜个人护理店（抖店）</v>
      </c>
      <c r="H9368" s="1" t="str">
        <f t="shared" si="2597"/>
        <v>正常订单</v>
      </c>
      <c r="I9368" s="1" t="str">
        <f t="shared" si="2598"/>
        <v>已发货</v>
      </c>
      <c r="J9368" s="1" t="str">
        <f t="shared" si="2603"/>
        <v>2</v>
      </c>
      <c r="K9368" s="1">
        <v>1</v>
      </c>
      <c r="L9368" s="1" t="s">
        <v>22</v>
      </c>
      <c r="M9368" s="1" t="str">
        <f>"江西省 赣州市 寻乌县 长宁镇"</f>
        <v>江西省 赣州市 寻乌县 长宁镇</v>
      </c>
      <c r="N9368" s="1" t="str">
        <f t="shared" si="2604"/>
        <v>凡华云仓-韵达-抖音</v>
      </c>
      <c r="O9368" s="5">
        <v>320157859013016</v>
      </c>
      <c r="P9368" s="6">
        <v>0.33</v>
      </c>
      <c r="Q9368" s="11">
        <v>2.2999999999999998</v>
      </c>
      <c r="R9368" s="11"/>
      <c r="S9368" s="11"/>
      <c r="T9368" s="11"/>
      <c r="U9368" s="11">
        <f t="shared" si="2601"/>
        <v>2.2999999999999998</v>
      </c>
      <c r="W9368">
        <v>2.5</v>
      </c>
      <c r="X9368" s="1" t="s">
        <v>22</v>
      </c>
    </row>
    <row r="9369" spans="1:24" x14ac:dyDescent="0.25">
      <c r="A9369" s="1" t="str">
        <f t="shared" si="2595"/>
        <v>卡卡杜-凤凰仓</v>
      </c>
      <c r="B9369" s="1" t="str">
        <f>"CK20241006182"</f>
        <v>CK20241006182</v>
      </c>
      <c r="C9369" s="1" t="str">
        <f>"DD2024100613514"</f>
        <v>DD2024100613514</v>
      </c>
      <c r="D9369" s="1" t="str">
        <f>"CK2024100620289"</f>
        <v>CK2024100620289</v>
      </c>
      <c r="E9369" s="1" t="str">
        <f>"6917853281799666852"</f>
        <v>6917853281799666852</v>
      </c>
      <c r="F9369" s="1" t="str">
        <f t="shared" si="2596"/>
        <v>花都四部-凤凰仓</v>
      </c>
      <c r="G9369" s="1" t="str">
        <f t="shared" si="2602"/>
        <v>卡卡杜个人护理店（抖店）</v>
      </c>
      <c r="H9369" s="1" t="str">
        <f t="shared" si="2597"/>
        <v>正常订单</v>
      </c>
      <c r="I9369" s="1" t="str">
        <f t="shared" si="2598"/>
        <v>已发货</v>
      </c>
      <c r="J9369" s="1" t="str">
        <f t="shared" si="2603"/>
        <v>2</v>
      </c>
      <c r="K9369" s="1">
        <v>2</v>
      </c>
      <c r="L9369" s="1" t="s">
        <v>18</v>
      </c>
      <c r="M9369" s="1" t="str">
        <f>"广东省 阳江市 江城区 城北街道"</f>
        <v>广东省 阳江市 江城区 城北街道</v>
      </c>
      <c r="N9369" s="1" t="str">
        <f t="shared" si="2604"/>
        <v>凡华云仓-韵达-抖音</v>
      </c>
      <c r="O9369" s="5">
        <v>320157859012996</v>
      </c>
      <c r="P9369" s="6">
        <v>0.28000000000000003</v>
      </c>
      <c r="Q9369" s="11">
        <v>2</v>
      </c>
      <c r="R9369" s="11"/>
      <c r="S9369" s="11"/>
      <c r="T9369" s="11"/>
      <c r="U9369" s="11">
        <f t="shared" si="2601"/>
        <v>2</v>
      </c>
      <c r="W9369">
        <v>2.2000000000000002</v>
      </c>
      <c r="X9369" s="1" t="s">
        <v>18</v>
      </c>
    </row>
    <row r="9370" spans="1:24" x14ac:dyDescent="0.25">
      <c r="A9370" s="1" t="str">
        <f t="shared" si="2595"/>
        <v>卡卡杜-凤凰仓</v>
      </c>
      <c r="B9370" s="1" t="str">
        <f>"CK2024100692"</f>
        <v>CK2024100692</v>
      </c>
      <c r="C9370" s="1" t="str">
        <f>"DD2024100613422"</f>
        <v>DD2024100613422</v>
      </c>
      <c r="D9370" s="1" t="str">
        <f>"CK2024100620288"</f>
        <v>CK2024100620288</v>
      </c>
      <c r="E9370" s="1" t="str">
        <f>"6917855469849444005"</f>
        <v>6917855469849444005</v>
      </c>
      <c r="F9370" s="1" t="str">
        <f t="shared" si="2596"/>
        <v>花都四部-凤凰仓</v>
      </c>
      <c r="G9370" s="1" t="str">
        <f t="shared" si="2602"/>
        <v>卡卡杜个人护理店（抖店）</v>
      </c>
      <c r="H9370" s="1" t="str">
        <f t="shared" si="2597"/>
        <v>正常订单</v>
      </c>
      <c r="I9370" s="1" t="str">
        <f t="shared" si="2598"/>
        <v>已发货</v>
      </c>
      <c r="J9370" s="1" t="str">
        <f t="shared" si="2603"/>
        <v>2</v>
      </c>
      <c r="K9370" s="1">
        <v>1</v>
      </c>
      <c r="L9370" s="1" t="s">
        <v>22</v>
      </c>
      <c r="M9370" s="1" t="str">
        <f>"江西省 赣州市 兴国县 潋江镇"</f>
        <v>江西省 赣州市 兴国县 潋江镇</v>
      </c>
      <c r="N9370" s="1" t="str">
        <f t="shared" si="2604"/>
        <v>凡华云仓-韵达-抖音</v>
      </c>
      <c r="O9370" s="5">
        <v>320157846394830</v>
      </c>
      <c r="P9370" s="6">
        <v>0.33</v>
      </c>
      <c r="Q9370" s="11">
        <v>2.2999999999999998</v>
      </c>
      <c r="R9370" s="11"/>
      <c r="S9370" s="11"/>
      <c r="T9370" s="11"/>
      <c r="U9370" s="11">
        <f t="shared" si="2601"/>
        <v>2.2999999999999998</v>
      </c>
      <c r="W9370">
        <v>2.5</v>
      </c>
      <c r="X9370" s="1" t="s">
        <v>22</v>
      </c>
    </row>
    <row r="9371" spans="1:24" x14ac:dyDescent="0.25">
      <c r="A9371" s="1" t="str">
        <f t="shared" si="2595"/>
        <v>卡卡杜-凤凰仓</v>
      </c>
      <c r="B9371" s="1" t="str">
        <f>"CK2024100687"</f>
        <v>CK2024100687</v>
      </c>
      <c r="C9371" s="1" t="str">
        <f>"DD2024100613418"</f>
        <v>DD2024100613418</v>
      </c>
      <c r="D9371" s="1" t="str">
        <f>"CK2024100620287"</f>
        <v>CK2024100620287</v>
      </c>
      <c r="E9371" s="1" t="str">
        <f>"6917848156493413972"</f>
        <v>6917848156493413972</v>
      </c>
      <c r="F9371" s="1" t="str">
        <f t="shared" si="2596"/>
        <v>花都四部-凤凰仓</v>
      </c>
      <c r="G9371" s="1" t="str">
        <f t="shared" si="2602"/>
        <v>卡卡杜个人护理店（抖店）</v>
      </c>
      <c r="H9371" s="1" t="str">
        <f t="shared" si="2597"/>
        <v>正常订单</v>
      </c>
      <c r="I9371" s="1" t="str">
        <f t="shared" si="2598"/>
        <v>已发货</v>
      </c>
      <c r="J9371" s="1" t="str">
        <f t="shared" si="2603"/>
        <v>2</v>
      </c>
      <c r="K9371" s="1">
        <v>1</v>
      </c>
      <c r="L9371" s="1" t="s">
        <v>18</v>
      </c>
      <c r="M9371" s="1" t="str">
        <f>"广东省 东莞市 东莞市 横沥镇"</f>
        <v>广东省 东莞市 东莞市 横沥镇</v>
      </c>
      <c r="N9371" s="1" t="str">
        <f t="shared" si="2604"/>
        <v>凡华云仓-韵达-抖音</v>
      </c>
      <c r="O9371" s="5">
        <v>320157846394727</v>
      </c>
      <c r="P9371" s="6">
        <v>0.33</v>
      </c>
      <c r="Q9371" s="11">
        <v>2.2999999999999998</v>
      </c>
      <c r="R9371" s="11"/>
      <c r="S9371" s="11"/>
      <c r="T9371" s="11"/>
      <c r="U9371" s="11">
        <f t="shared" si="2601"/>
        <v>2.2999999999999998</v>
      </c>
      <c r="W9371">
        <v>2.5</v>
      </c>
      <c r="X9371" s="1" t="s">
        <v>18</v>
      </c>
    </row>
    <row r="9372" spans="1:24" x14ac:dyDescent="0.25">
      <c r="A9372" s="1" t="str">
        <f t="shared" si="2595"/>
        <v>卡卡杜-凤凰仓</v>
      </c>
      <c r="B9372" s="1" t="str">
        <f>"CK20241006121"</f>
        <v>CK20241006121</v>
      </c>
      <c r="C9372" s="1" t="str">
        <f>"DD2024100613453"</f>
        <v>DD2024100613453</v>
      </c>
      <c r="D9372" s="1" t="str">
        <f>"CK2024100620285"</f>
        <v>CK2024100620285</v>
      </c>
      <c r="E9372" s="1" t="str">
        <f>"6917857268580449463"</f>
        <v>6917857268580449463</v>
      </c>
      <c r="F9372" s="1" t="str">
        <f t="shared" si="2596"/>
        <v>花都四部-凤凰仓</v>
      </c>
      <c r="G9372" s="1" t="str">
        <f t="shared" si="2602"/>
        <v>卡卡杜个人护理店（抖店）</v>
      </c>
      <c r="H9372" s="1" t="str">
        <f t="shared" si="2597"/>
        <v>正常订单</v>
      </c>
      <c r="I9372" s="1" t="str">
        <f t="shared" si="2598"/>
        <v>已发货</v>
      </c>
      <c r="J9372" s="1" t="str">
        <f t="shared" si="2603"/>
        <v>2</v>
      </c>
      <c r="K9372" s="1">
        <v>1</v>
      </c>
      <c r="L9372" s="1" t="s">
        <v>18</v>
      </c>
      <c r="M9372" s="1" t="str">
        <f>"广东省 揭阳市 揭西县 凤江镇"</f>
        <v>广东省 揭阳市 揭西县 凤江镇</v>
      </c>
      <c r="N9372" s="1" t="str">
        <f t="shared" si="2604"/>
        <v>凡华云仓-韵达-抖音</v>
      </c>
      <c r="O9372" s="5">
        <v>320157846394527</v>
      </c>
      <c r="P9372" s="6">
        <v>0.33</v>
      </c>
      <c r="Q9372" s="11">
        <v>2.2999999999999998</v>
      </c>
      <c r="R9372" s="11"/>
      <c r="S9372" s="11"/>
      <c r="T9372" s="11"/>
      <c r="U9372" s="11">
        <f t="shared" si="2601"/>
        <v>2.2999999999999998</v>
      </c>
      <c r="W9372">
        <v>2.5</v>
      </c>
      <c r="X9372" s="1" t="s">
        <v>18</v>
      </c>
    </row>
    <row r="9373" spans="1:24" x14ac:dyDescent="0.25">
      <c r="A9373" s="1" t="str">
        <f t="shared" si="2595"/>
        <v>卡卡杜-凤凰仓</v>
      </c>
      <c r="B9373" s="1" t="str">
        <f>"CK2024100689"</f>
        <v>CK2024100689</v>
      </c>
      <c r="C9373" s="1" t="str">
        <f>"DD2024100613423"</f>
        <v>DD2024100613423</v>
      </c>
      <c r="D9373" s="1" t="str">
        <f>"CK2024100620284"</f>
        <v>CK2024100620284</v>
      </c>
      <c r="E9373" s="1" t="str">
        <f>"6917847955580288169"</f>
        <v>6917847955580288169</v>
      </c>
      <c r="F9373" s="1" t="str">
        <f t="shared" si="2596"/>
        <v>花都四部-凤凰仓</v>
      </c>
      <c r="G9373" s="1" t="str">
        <f t="shared" si="2602"/>
        <v>卡卡杜个人护理店（抖店）</v>
      </c>
      <c r="H9373" s="1" t="str">
        <f t="shared" si="2597"/>
        <v>正常订单</v>
      </c>
      <c r="I9373" s="1" t="str">
        <f t="shared" si="2598"/>
        <v>已发货</v>
      </c>
      <c r="J9373" s="1" t="str">
        <f t="shared" si="2603"/>
        <v>2</v>
      </c>
      <c r="K9373" s="1">
        <v>1</v>
      </c>
      <c r="L9373" s="1" t="s">
        <v>13</v>
      </c>
      <c r="M9373" s="1" t="str">
        <f>"江苏省 苏州市 姑苏区 吴门桥街道"</f>
        <v>江苏省 苏州市 姑苏区 吴门桥街道</v>
      </c>
      <c r="N9373" s="1" t="str">
        <f t="shared" si="2604"/>
        <v>凡华云仓-韵达-抖音</v>
      </c>
      <c r="O9373" s="5">
        <v>320157846394430</v>
      </c>
      <c r="P9373" s="6">
        <v>0.33</v>
      </c>
      <c r="Q9373" s="11">
        <v>2.2999999999999998</v>
      </c>
      <c r="R9373" s="11"/>
      <c r="S9373" s="11"/>
      <c r="T9373" s="11"/>
      <c r="U9373" s="11">
        <f t="shared" si="2601"/>
        <v>2.2999999999999998</v>
      </c>
      <c r="W9373">
        <v>2.5</v>
      </c>
      <c r="X9373" s="1" t="s">
        <v>13</v>
      </c>
    </row>
    <row r="9374" spans="1:24" x14ac:dyDescent="0.25">
      <c r="A9374" s="1" t="str">
        <f t="shared" si="2595"/>
        <v>卡卡杜-凤凰仓</v>
      </c>
      <c r="B9374" s="1" t="str">
        <f>"CK20241006105"</f>
        <v>CK20241006105</v>
      </c>
      <c r="C9374" s="1" t="str">
        <f>"DD2024100613437"</f>
        <v>DD2024100613437</v>
      </c>
      <c r="D9374" s="1" t="str">
        <f>"CK2024100620283"</f>
        <v>CK2024100620283</v>
      </c>
      <c r="E9374" s="1" t="str">
        <f>"6917857346458255046"</f>
        <v>6917857346458255046</v>
      </c>
      <c r="F9374" s="1" t="str">
        <f t="shared" si="2596"/>
        <v>花都四部-凤凰仓</v>
      </c>
      <c r="G9374" s="1" t="str">
        <f t="shared" si="2602"/>
        <v>卡卡杜个人护理店（抖店）</v>
      </c>
      <c r="H9374" s="1" t="str">
        <f t="shared" si="2597"/>
        <v>正常订单</v>
      </c>
      <c r="I9374" s="1" t="str">
        <f t="shared" si="2598"/>
        <v>已发货</v>
      </c>
      <c r="J9374" s="1" t="str">
        <f t="shared" si="2603"/>
        <v>2</v>
      </c>
      <c r="K9374" s="1">
        <v>1</v>
      </c>
      <c r="L9374" s="1" t="s">
        <v>18</v>
      </c>
      <c r="M9374" s="1" t="str">
        <f>"广东省 广州市 海珠区 南洲街道"</f>
        <v>广东省 广州市 海珠区 南洲街道</v>
      </c>
      <c r="N9374" s="1" t="str">
        <f t="shared" si="2604"/>
        <v>凡华云仓-韵达-抖音</v>
      </c>
      <c r="O9374" s="5">
        <v>320157846394335</v>
      </c>
      <c r="P9374" s="6">
        <v>0.33</v>
      </c>
      <c r="Q9374" s="11">
        <v>2.2999999999999998</v>
      </c>
      <c r="R9374" s="11"/>
      <c r="S9374" s="11"/>
      <c r="T9374" s="11"/>
      <c r="U9374" s="11">
        <f t="shared" si="2601"/>
        <v>2.2999999999999998</v>
      </c>
      <c r="W9374">
        <v>2.5</v>
      </c>
      <c r="X9374" s="1" t="s">
        <v>18</v>
      </c>
    </row>
    <row r="9375" spans="1:24" x14ac:dyDescent="0.25">
      <c r="A9375" s="1" t="str">
        <f t="shared" si="2595"/>
        <v>卡卡杜-凤凰仓</v>
      </c>
      <c r="B9375" s="1" t="str">
        <f>"CK2024100614212"</f>
        <v>CK2024100614212</v>
      </c>
      <c r="C9375" s="1" t="str">
        <f>"DD2024100644435"</f>
        <v>DD2024100644435</v>
      </c>
      <c r="D9375" s="1" t="str">
        <f>"CK2024100640810"</f>
        <v>CK2024100640810</v>
      </c>
      <c r="E9375" s="1" t="str">
        <f>"6917871040158007217"</f>
        <v>6917871040158007217</v>
      </c>
      <c r="F9375" s="1" t="str">
        <f t="shared" si="2596"/>
        <v>花都四部-凤凰仓</v>
      </c>
      <c r="G9375" s="1" t="str">
        <f t="shared" si="2602"/>
        <v>卡卡杜个人护理店（抖店）</v>
      </c>
      <c r="H9375" s="1" t="str">
        <f t="shared" si="2597"/>
        <v>正常订单</v>
      </c>
      <c r="I9375" s="1" t="str">
        <f t="shared" si="2598"/>
        <v>已发货</v>
      </c>
      <c r="J9375" s="1" t="str">
        <f>"4"</f>
        <v>4</v>
      </c>
      <c r="K9375" s="1">
        <v>1</v>
      </c>
      <c r="L9375" s="1" t="s">
        <v>94</v>
      </c>
      <c r="M9375" s="1" t="str">
        <f>"湖南省 永州市 道县 西洲街道"</f>
        <v>湖南省 永州市 道县 西洲街道</v>
      </c>
      <c r="N9375" s="1" t="str">
        <f t="shared" si="2604"/>
        <v>凡华云仓-韵达-抖音</v>
      </c>
      <c r="O9375" s="5">
        <v>320158400953303</v>
      </c>
      <c r="P9375" s="6">
        <v>0.57999999999999996</v>
      </c>
      <c r="Q9375" s="11">
        <f>CEILING(P9375-0.5,0.1)*10*0.15+2.3</f>
        <v>2.4499999999999997</v>
      </c>
      <c r="R9375" s="11"/>
      <c r="S9375" s="11"/>
      <c r="T9375" s="11"/>
      <c r="U9375" s="11">
        <f t="shared" si="2601"/>
        <v>2.4499999999999997</v>
      </c>
      <c r="V9375" t="s">
        <v>15</v>
      </c>
      <c r="W9375">
        <v>2.4500000000000002</v>
      </c>
      <c r="X9375" s="1" t="s">
        <v>94</v>
      </c>
    </row>
    <row r="9376" spans="1:24" x14ac:dyDescent="0.25">
      <c r="A9376" s="1" t="str">
        <f t="shared" si="2595"/>
        <v>卡卡杜-凤凰仓</v>
      </c>
      <c r="B9376" s="1" t="str">
        <f>"CK20241006116"</f>
        <v>CK20241006116</v>
      </c>
      <c r="C9376" s="1" t="str">
        <f>"DD2024100613448"</f>
        <v>DD2024100613448</v>
      </c>
      <c r="D9376" s="1" t="str">
        <f>"CK2024100620281"</f>
        <v>CK2024100620281</v>
      </c>
      <c r="E9376" s="1" t="str">
        <f>"6917847725440335470"</f>
        <v>6917847725440335470</v>
      </c>
      <c r="F9376" s="1" t="str">
        <f t="shared" si="2596"/>
        <v>花都四部-凤凰仓</v>
      </c>
      <c r="G9376" s="1" t="str">
        <f t="shared" si="2602"/>
        <v>卡卡杜个人护理店（抖店）</v>
      </c>
      <c r="H9376" s="1" t="str">
        <f t="shared" si="2597"/>
        <v>正常订单</v>
      </c>
      <c r="I9376" s="1" t="str">
        <f t="shared" si="2598"/>
        <v>已发货</v>
      </c>
      <c r="J9376" s="1" t="str">
        <f t="shared" ref="J9376:J9379" si="2605">"2"</f>
        <v>2</v>
      </c>
      <c r="K9376" s="1">
        <v>1</v>
      </c>
      <c r="L9376" s="1" t="s">
        <v>18</v>
      </c>
      <c r="M9376" s="1" t="str">
        <f>"广东省 茂名市 化州市 官桥镇"</f>
        <v>广东省 茂名市 化州市 官桥镇</v>
      </c>
      <c r="N9376" s="1" t="str">
        <f t="shared" si="2604"/>
        <v>凡华云仓-韵达-抖音</v>
      </c>
      <c r="O9376" s="5">
        <v>320157829833647</v>
      </c>
      <c r="P9376" s="6">
        <v>0.33</v>
      </c>
      <c r="Q9376" s="11">
        <v>2.2999999999999998</v>
      </c>
      <c r="R9376" s="11"/>
      <c r="S9376" s="11"/>
      <c r="T9376" s="11"/>
      <c r="U9376" s="11">
        <f t="shared" si="2601"/>
        <v>2.2999999999999998</v>
      </c>
      <c r="W9376">
        <v>2.5</v>
      </c>
      <c r="X9376" s="1" t="s">
        <v>18</v>
      </c>
    </row>
    <row r="9377" spans="1:24" x14ac:dyDescent="0.25">
      <c r="A9377" s="1" t="str">
        <f t="shared" si="2595"/>
        <v>卡卡杜-凤凰仓</v>
      </c>
      <c r="B9377" s="1" t="str">
        <f>"CK20241006183"</f>
        <v>CK20241006183</v>
      </c>
      <c r="C9377" s="1" t="str">
        <f>"DD2024100613515"</f>
        <v>DD2024100613515</v>
      </c>
      <c r="D9377" s="1" t="str">
        <f>"CK2024100620280"</f>
        <v>CK2024100620280</v>
      </c>
      <c r="E9377" s="1" t="str">
        <f>"6917848135245724998"</f>
        <v>6917848135245724998</v>
      </c>
      <c r="F9377" s="1" t="str">
        <f t="shared" si="2596"/>
        <v>花都四部-凤凰仓</v>
      </c>
      <c r="G9377" s="1" t="str">
        <f t="shared" si="2602"/>
        <v>卡卡杜个人护理店（抖店）</v>
      </c>
      <c r="H9377" s="1" t="str">
        <f t="shared" si="2597"/>
        <v>正常订单</v>
      </c>
      <c r="I9377" s="1" t="str">
        <f t="shared" si="2598"/>
        <v>已发货</v>
      </c>
      <c r="J9377" s="1" t="str">
        <f t="shared" si="2605"/>
        <v>2</v>
      </c>
      <c r="K9377" s="1">
        <v>2</v>
      </c>
      <c r="L9377" s="1" t="s">
        <v>74</v>
      </c>
      <c r="M9377" s="1" t="str">
        <f>"上海 上海市 浦东新区 川沙新镇"</f>
        <v>上海 上海市 浦东新区 川沙新镇</v>
      </c>
      <c r="N9377" s="1" t="str">
        <f t="shared" si="2604"/>
        <v>凡华云仓-韵达-抖音</v>
      </c>
      <c r="O9377" s="5">
        <v>320157829833548</v>
      </c>
      <c r="P9377" s="6">
        <v>0.28000000000000003</v>
      </c>
      <c r="Q9377" s="11">
        <v>2</v>
      </c>
      <c r="R9377" s="11"/>
      <c r="S9377" s="11"/>
      <c r="T9377" s="11"/>
      <c r="U9377" s="11">
        <f t="shared" si="2601"/>
        <v>2</v>
      </c>
      <c r="W9377">
        <v>2.2000000000000002</v>
      </c>
      <c r="X9377" s="1" t="s">
        <v>74</v>
      </c>
    </row>
    <row r="9378" spans="1:24" x14ac:dyDescent="0.25">
      <c r="A9378" s="1" t="str">
        <f t="shared" si="2595"/>
        <v>卡卡杜-凤凰仓</v>
      </c>
      <c r="B9378" s="1" t="str">
        <f>"CK20241006118"</f>
        <v>CK20241006118</v>
      </c>
      <c r="C9378" s="1" t="str">
        <f>"DD2024100613450"</f>
        <v>DD2024100613450</v>
      </c>
      <c r="D9378" s="1" t="str">
        <f>"CK2024100620279"</f>
        <v>CK2024100620279</v>
      </c>
      <c r="E9378" s="1" t="str">
        <f>"6917855062790208688"</f>
        <v>6917855062790208688</v>
      </c>
      <c r="F9378" s="1" t="str">
        <f t="shared" si="2596"/>
        <v>花都四部-凤凰仓</v>
      </c>
      <c r="G9378" s="1" t="str">
        <f t="shared" si="2602"/>
        <v>卡卡杜个人护理店（抖店）</v>
      </c>
      <c r="H9378" s="1" t="str">
        <f t="shared" si="2597"/>
        <v>正常订单</v>
      </c>
      <c r="I9378" s="1" t="str">
        <f t="shared" si="2598"/>
        <v>已发货</v>
      </c>
      <c r="J9378" s="1" t="str">
        <f t="shared" si="2605"/>
        <v>2</v>
      </c>
      <c r="K9378" s="1">
        <v>1</v>
      </c>
      <c r="L9378" s="1" t="s">
        <v>36</v>
      </c>
      <c r="M9378" s="1" t="str">
        <f>"安徽省 池州市 贵池区 里山街道"</f>
        <v>安徽省 池州市 贵池区 里山街道</v>
      </c>
      <c r="N9378" s="1" t="str">
        <f t="shared" si="2604"/>
        <v>凡华云仓-韵达-抖音</v>
      </c>
      <c r="O9378" s="5">
        <v>320157829833451</v>
      </c>
      <c r="P9378" s="6">
        <v>0.33</v>
      </c>
      <c r="Q9378" s="11">
        <v>2.2999999999999998</v>
      </c>
      <c r="R9378" s="11"/>
      <c r="S9378" s="11"/>
      <c r="T9378" s="11"/>
      <c r="U9378" s="11">
        <f t="shared" si="2601"/>
        <v>2.2999999999999998</v>
      </c>
      <c r="W9378">
        <v>2.5</v>
      </c>
      <c r="X9378" s="1" t="s">
        <v>36</v>
      </c>
    </row>
    <row r="9379" spans="1:24" x14ac:dyDescent="0.25">
      <c r="A9379" s="1" t="str">
        <f t="shared" si="2595"/>
        <v>卡卡杜-凤凰仓</v>
      </c>
      <c r="B9379" s="1" t="str">
        <f>"CK20241006119"</f>
        <v>CK20241006119</v>
      </c>
      <c r="C9379" s="1" t="str">
        <f>"DD2024100613451"</f>
        <v>DD2024100613451</v>
      </c>
      <c r="D9379" s="1" t="str">
        <f>"CK2024100620278"</f>
        <v>CK2024100620278</v>
      </c>
      <c r="E9379" s="1" t="str">
        <f>"6917850327059496800"</f>
        <v>6917850327059496800</v>
      </c>
      <c r="F9379" s="1" t="str">
        <f t="shared" si="2596"/>
        <v>花都四部-凤凰仓</v>
      </c>
      <c r="G9379" s="1" t="str">
        <f t="shared" si="2602"/>
        <v>卡卡杜个人护理店（抖店）</v>
      </c>
      <c r="H9379" s="1" t="str">
        <f t="shared" si="2597"/>
        <v>正常订单</v>
      </c>
      <c r="I9379" s="1" t="str">
        <f t="shared" si="2598"/>
        <v>已发货</v>
      </c>
      <c r="J9379" s="1" t="str">
        <f t="shared" si="2605"/>
        <v>2</v>
      </c>
      <c r="K9379" s="1">
        <v>1</v>
      </c>
      <c r="L9379" s="1" t="s">
        <v>20</v>
      </c>
      <c r="M9379" s="1" t="str">
        <f>"浙江省 台州市 黄岩区 西城街道"</f>
        <v>浙江省 台州市 黄岩区 西城街道</v>
      </c>
      <c r="N9379" s="1" t="str">
        <f t="shared" si="2604"/>
        <v>凡华云仓-韵达-抖音</v>
      </c>
      <c r="O9379" s="5">
        <v>320157829833356</v>
      </c>
      <c r="P9379" s="6">
        <v>0.33</v>
      </c>
      <c r="Q9379" s="11">
        <v>2.2999999999999998</v>
      </c>
      <c r="R9379" s="11"/>
      <c r="S9379" s="11"/>
      <c r="T9379" s="11"/>
      <c r="U9379" s="11">
        <f t="shared" si="2601"/>
        <v>2.2999999999999998</v>
      </c>
      <c r="W9379">
        <v>2.5</v>
      </c>
      <c r="X9379" s="1" t="s">
        <v>20</v>
      </c>
    </row>
    <row r="9380" spans="1:24" x14ac:dyDescent="0.25">
      <c r="A9380" s="1" t="str">
        <f t="shared" si="2595"/>
        <v>卡卡杜-凤凰仓</v>
      </c>
      <c r="B9380" s="1" t="str">
        <f>"CK2024100642"</f>
        <v>CK2024100642</v>
      </c>
      <c r="C9380" s="1" t="str">
        <f>"DD2024100613374"</f>
        <v>DD2024100613374</v>
      </c>
      <c r="D9380" s="1" t="str">
        <f>"CK2024100620277"</f>
        <v>CK2024100620277</v>
      </c>
      <c r="E9380" s="1" t="str">
        <f>"6917854617699056955"</f>
        <v>6917854617699056955</v>
      </c>
      <c r="F9380" s="1" t="str">
        <f t="shared" si="2596"/>
        <v>花都四部-凤凰仓</v>
      </c>
      <c r="G9380" s="1" t="str">
        <f t="shared" si="2602"/>
        <v>卡卡杜个人护理店（抖店）</v>
      </c>
      <c r="H9380" s="1" t="str">
        <f t="shared" si="2597"/>
        <v>正常订单</v>
      </c>
      <c r="I9380" s="1" t="str">
        <f t="shared" si="2598"/>
        <v>已发货</v>
      </c>
      <c r="J9380" s="1" t="str">
        <f>"12"</f>
        <v>12</v>
      </c>
      <c r="K9380" s="1">
        <v>1</v>
      </c>
      <c r="L9380" s="1" t="s">
        <v>24</v>
      </c>
      <c r="M9380" s="1" t="str">
        <f>"福建省 福州市 仓山区 建新镇"</f>
        <v>福建省 福州市 仓山区 建新镇</v>
      </c>
      <c r="N9380" s="1" t="str">
        <f t="shared" si="2604"/>
        <v>凡华云仓-韵达-抖音</v>
      </c>
      <c r="O9380" s="5">
        <v>320157829833263</v>
      </c>
      <c r="P9380" s="6">
        <v>1.74</v>
      </c>
      <c r="Q9380" s="11">
        <f>CEILING(P9380-0.5,0.1)*10*0.15+2.3</f>
        <v>4.25</v>
      </c>
      <c r="R9380" s="11"/>
      <c r="S9380" s="11"/>
      <c r="T9380" s="11"/>
      <c r="U9380" s="11">
        <f t="shared" si="2601"/>
        <v>4.25</v>
      </c>
      <c r="V9380" t="s">
        <v>15</v>
      </c>
      <c r="W9380">
        <v>4.25</v>
      </c>
      <c r="X9380" s="1" t="s">
        <v>24</v>
      </c>
    </row>
    <row r="9381" spans="1:24" x14ac:dyDescent="0.25">
      <c r="A9381" s="1" t="str">
        <f t="shared" si="2595"/>
        <v>卡卡杜-凤凰仓</v>
      </c>
      <c r="B9381" s="1" t="str">
        <f>"CK20241006115"</f>
        <v>CK20241006115</v>
      </c>
      <c r="C9381" s="1" t="str">
        <f>"DD2024100613447"</f>
        <v>DD2024100613447</v>
      </c>
      <c r="D9381" s="1" t="str">
        <f>"CK2024100620276"</f>
        <v>CK2024100620276</v>
      </c>
      <c r="E9381" s="1" t="str">
        <f>"6917852516344560806"</f>
        <v>6917852516344560806</v>
      </c>
      <c r="F9381" s="1" t="str">
        <f t="shared" si="2596"/>
        <v>花都四部-凤凰仓</v>
      </c>
      <c r="G9381" s="1" t="str">
        <f t="shared" si="2602"/>
        <v>卡卡杜个人护理店（抖店）</v>
      </c>
      <c r="H9381" s="1" t="str">
        <f t="shared" si="2597"/>
        <v>正常订单</v>
      </c>
      <c r="I9381" s="1" t="str">
        <f t="shared" si="2598"/>
        <v>已发货</v>
      </c>
      <c r="J9381" s="1" t="str">
        <f t="shared" ref="J9381:J9394" si="2606">"2"</f>
        <v>2</v>
      </c>
      <c r="K9381" s="1">
        <v>1</v>
      </c>
      <c r="L9381" s="1" t="s">
        <v>20</v>
      </c>
      <c r="M9381" s="1" t="str">
        <f>"浙江省 杭州市 上城区 笕桥街道"</f>
        <v>浙江省 杭州市 上城区 笕桥街道</v>
      </c>
      <c r="N9381" s="1" t="str">
        <f t="shared" si="2604"/>
        <v>凡华云仓-韵达-抖音</v>
      </c>
      <c r="O9381" s="5">
        <v>320157829833172</v>
      </c>
      <c r="P9381" s="6">
        <v>0.33</v>
      </c>
      <c r="Q9381" s="11">
        <v>2.2999999999999998</v>
      </c>
      <c r="R9381" s="11"/>
      <c r="S9381" s="11"/>
      <c r="T9381" s="11"/>
      <c r="U9381" s="11">
        <f t="shared" si="2601"/>
        <v>2.2999999999999998</v>
      </c>
      <c r="W9381">
        <v>2.5</v>
      </c>
      <c r="X9381" s="1" t="s">
        <v>20</v>
      </c>
    </row>
    <row r="9382" spans="1:24" x14ac:dyDescent="0.25">
      <c r="A9382" s="1" t="str">
        <f t="shared" si="2595"/>
        <v>卡卡杜-凤凰仓</v>
      </c>
      <c r="B9382" s="1" t="str">
        <f>"CK20241006120"</f>
        <v>CK20241006120</v>
      </c>
      <c r="C9382" s="1" t="str">
        <f>"DD2024100613452"</f>
        <v>DD2024100613452</v>
      </c>
      <c r="D9382" s="1" t="str">
        <f>"CK2024100620275"</f>
        <v>CK2024100620275</v>
      </c>
      <c r="E9382" s="1" t="str">
        <f>"6917852269391019968"</f>
        <v>6917852269391019968</v>
      </c>
      <c r="F9382" s="1" t="str">
        <f t="shared" si="2596"/>
        <v>花都四部-凤凰仓</v>
      </c>
      <c r="G9382" s="1" t="str">
        <f t="shared" si="2602"/>
        <v>卡卡杜个人护理店（抖店）</v>
      </c>
      <c r="H9382" s="1" t="str">
        <f t="shared" si="2597"/>
        <v>正常订单</v>
      </c>
      <c r="I9382" s="1" t="str">
        <f t="shared" si="2598"/>
        <v>已发货</v>
      </c>
      <c r="J9382" s="1" t="str">
        <f t="shared" si="2606"/>
        <v>2</v>
      </c>
      <c r="K9382" s="1">
        <v>1</v>
      </c>
      <c r="L9382" s="1" t="s">
        <v>94</v>
      </c>
      <c r="M9382" s="1" t="str">
        <f>"湖南省 常德市 武陵区 长庚街道"</f>
        <v>湖南省 常德市 武陵区 长庚街道</v>
      </c>
      <c r="N9382" s="1" t="str">
        <f t="shared" si="2604"/>
        <v>凡华云仓-韵达-抖音</v>
      </c>
      <c r="O9382" s="5">
        <v>320157829833083</v>
      </c>
      <c r="P9382" s="6">
        <v>0.33</v>
      </c>
      <c r="Q9382" s="11">
        <v>2.2999999999999998</v>
      </c>
      <c r="R9382" s="11"/>
      <c r="S9382" s="11"/>
      <c r="T9382" s="11"/>
      <c r="U9382" s="11">
        <f t="shared" si="2601"/>
        <v>2.2999999999999998</v>
      </c>
      <c r="W9382">
        <v>2.5</v>
      </c>
      <c r="X9382" s="1" t="s">
        <v>94</v>
      </c>
    </row>
    <row r="9383" spans="1:24" x14ac:dyDescent="0.25">
      <c r="A9383" s="1" t="str">
        <f t="shared" si="2595"/>
        <v>卡卡杜-凤凰仓</v>
      </c>
      <c r="B9383" s="1" t="str">
        <f>"CK20241006122"</f>
        <v>CK20241006122</v>
      </c>
      <c r="C9383" s="1" t="str">
        <f>"DD2024100613456"</f>
        <v>DD2024100613456</v>
      </c>
      <c r="D9383" s="1" t="str">
        <f>"CK2024100620274"</f>
        <v>CK2024100620274</v>
      </c>
      <c r="E9383" s="1" t="str">
        <f>"6917847796731313610"</f>
        <v>6917847796731313610</v>
      </c>
      <c r="F9383" s="1" t="str">
        <f t="shared" si="2596"/>
        <v>花都四部-凤凰仓</v>
      </c>
      <c r="G9383" s="1" t="str">
        <f t="shared" si="2602"/>
        <v>卡卡杜个人护理店（抖店）</v>
      </c>
      <c r="H9383" s="1" t="str">
        <f t="shared" si="2597"/>
        <v>正常订单</v>
      </c>
      <c r="I9383" s="1" t="str">
        <f t="shared" si="2598"/>
        <v>已发货</v>
      </c>
      <c r="J9383" s="1" t="str">
        <f t="shared" si="2606"/>
        <v>2</v>
      </c>
      <c r="K9383" s="1">
        <v>1</v>
      </c>
      <c r="L9383" s="1" t="s">
        <v>18</v>
      </c>
      <c r="M9383" s="1" t="str">
        <f>"广东省 湛江市 雷州市 覃斗镇"</f>
        <v>广东省 湛江市 雷州市 覃斗镇</v>
      </c>
      <c r="N9383" s="1" t="str">
        <f t="shared" si="2604"/>
        <v>凡华云仓-韵达-抖音</v>
      </c>
      <c r="O9383" s="5">
        <v>320157829832963</v>
      </c>
      <c r="P9383" s="6">
        <v>0.33</v>
      </c>
      <c r="Q9383" s="11">
        <v>2.2999999999999998</v>
      </c>
      <c r="R9383" s="11"/>
      <c r="S9383" s="11"/>
      <c r="T9383" s="11"/>
      <c r="U9383" s="11">
        <f t="shared" si="2601"/>
        <v>2.2999999999999998</v>
      </c>
      <c r="W9383">
        <v>2.5</v>
      </c>
      <c r="X9383" s="1" t="s">
        <v>18</v>
      </c>
    </row>
    <row r="9384" spans="1:24" x14ac:dyDescent="0.25">
      <c r="A9384" s="1" t="str">
        <f t="shared" si="2595"/>
        <v>卡卡杜-凤凰仓</v>
      </c>
      <c r="B9384" s="1" t="str">
        <f>"CK20241006114"</f>
        <v>CK20241006114</v>
      </c>
      <c r="C9384" s="1" t="str">
        <f>"DD2024100613445"</f>
        <v>DD2024100613445</v>
      </c>
      <c r="D9384" s="1" t="str">
        <f>"CK2024100620273"</f>
        <v>CK2024100620273</v>
      </c>
      <c r="E9384" s="1" t="str">
        <f>"6917847568697556737"</f>
        <v>6917847568697556737</v>
      </c>
      <c r="F9384" s="1" t="str">
        <f t="shared" si="2596"/>
        <v>花都四部-凤凰仓</v>
      </c>
      <c r="G9384" s="1" t="str">
        <f t="shared" si="2602"/>
        <v>卡卡杜个人护理店（抖店）</v>
      </c>
      <c r="H9384" s="1" t="str">
        <f t="shared" si="2597"/>
        <v>正常订单</v>
      </c>
      <c r="I9384" s="1" t="str">
        <f t="shared" si="2598"/>
        <v>已发货</v>
      </c>
      <c r="J9384" s="1" t="str">
        <f t="shared" si="2606"/>
        <v>2</v>
      </c>
      <c r="K9384" s="1">
        <v>1</v>
      </c>
      <c r="L9384" s="1" t="s">
        <v>96</v>
      </c>
      <c r="M9384" s="1" t="str">
        <f>"广西壮族自治区 玉林市 兴业县 洛阳镇"</f>
        <v>广西壮族自治区 玉林市 兴业县 洛阳镇</v>
      </c>
      <c r="N9384" s="1" t="str">
        <f t="shared" si="2604"/>
        <v>凡华云仓-韵达-抖音</v>
      </c>
      <c r="O9384" s="5">
        <v>320157829832858</v>
      </c>
      <c r="P9384" s="6">
        <v>0.33</v>
      </c>
      <c r="Q9384" s="11">
        <v>2.2999999999999998</v>
      </c>
      <c r="R9384" s="11"/>
      <c r="S9384" s="11"/>
      <c r="T9384" s="11"/>
      <c r="U9384" s="11">
        <f t="shared" si="2601"/>
        <v>2.2999999999999998</v>
      </c>
      <c r="W9384">
        <v>2.5</v>
      </c>
      <c r="X9384" s="1" t="s">
        <v>96</v>
      </c>
    </row>
    <row r="9385" spans="1:24" x14ac:dyDescent="0.25">
      <c r="A9385" s="1" t="str">
        <f t="shared" si="2595"/>
        <v>卡卡杜-凤凰仓</v>
      </c>
      <c r="B9385" s="1" t="str">
        <f>"CK2024100693"</f>
        <v>CK2024100693</v>
      </c>
      <c r="C9385" s="1" t="str">
        <f>"DD2024100613425"</f>
        <v>DD2024100613425</v>
      </c>
      <c r="D9385" s="1" t="str">
        <f>"CK2024100620272"</f>
        <v>CK2024100620272</v>
      </c>
      <c r="E9385" s="1" t="str">
        <f>"6917837931109842690"</f>
        <v>6917837931109842690</v>
      </c>
      <c r="F9385" s="1" t="str">
        <f t="shared" si="2596"/>
        <v>花都四部-凤凰仓</v>
      </c>
      <c r="G9385" s="1" t="str">
        <f t="shared" si="2602"/>
        <v>卡卡杜个人护理店（抖店）</v>
      </c>
      <c r="H9385" s="1" t="str">
        <f t="shared" si="2597"/>
        <v>正常订单</v>
      </c>
      <c r="I9385" s="1" t="str">
        <f t="shared" si="2598"/>
        <v>已发货</v>
      </c>
      <c r="J9385" s="1" t="str">
        <f t="shared" si="2606"/>
        <v>2</v>
      </c>
      <c r="K9385" s="1">
        <v>1</v>
      </c>
      <c r="L9385" s="1" t="s">
        <v>161</v>
      </c>
      <c r="M9385" s="1" t="str">
        <f>"四川省 乐山市 犍为县 孝姑镇"</f>
        <v>四川省 乐山市 犍为县 孝姑镇</v>
      </c>
      <c r="N9385" s="1" t="str">
        <f t="shared" si="2604"/>
        <v>凡华云仓-韵达-抖音</v>
      </c>
      <c r="O9385" s="5">
        <v>320157838620001</v>
      </c>
      <c r="P9385" s="6">
        <v>0.33</v>
      </c>
      <c r="Q9385" s="11">
        <v>2.2999999999999998</v>
      </c>
      <c r="R9385" s="11"/>
      <c r="S9385" s="11"/>
      <c r="T9385" s="11"/>
      <c r="U9385" s="11">
        <f t="shared" si="2601"/>
        <v>2.2999999999999998</v>
      </c>
      <c r="W9385">
        <v>2.5</v>
      </c>
      <c r="X9385" s="1" t="s">
        <v>161</v>
      </c>
    </row>
    <row r="9386" spans="1:24" x14ac:dyDescent="0.25">
      <c r="A9386" s="1" t="str">
        <f t="shared" si="2595"/>
        <v>卡卡杜-凤凰仓</v>
      </c>
      <c r="B9386" s="1" t="str">
        <f>"CK2024100688"</f>
        <v>CK2024100688</v>
      </c>
      <c r="C9386" s="1" t="str">
        <f>"DD2024100613420"</f>
        <v>DD2024100613420</v>
      </c>
      <c r="D9386" s="1" t="str">
        <f>"CK2024100620271"</f>
        <v>CK2024100620271</v>
      </c>
      <c r="E9386" s="1" t="str">
        <f>"6917847285953363750"</f>
        <v>6917847285953363750</v>
      </c>
      <c r="F9386" s="1" t="str">
        <f t="shared" si="2596"/>
        <v>花都四部-凤凰仓</v>
      </c>
      <c r="G9386" s="1" t="str">
        <f t="shared" si="2602"/>
        <v>卡卡杜个人护理店（抖店）</v>
      </c>
      <c r="H9386" s="1" t="str">
        <f t="shared" si="2597"/>
        <v>正常订单</v>
      </c>
      <c r="I9386" s="1" t="str">
        <f t="shared" si="2598"/>
        <v>已发货</v>
      </c>
      <c r="J9386" s="1" t="str">
        <f t="shared" si="2606"/>
        <v>2</v>
      </c>
      <c r="K9386" s="1">
        <v>1</v>
      </c>
      <c r="L9386" s="1" t="s">
        <v>94</v>
      </c>
      <c r="M9386" s="1" t="str">
        <f>"湖南省 郴州市 桂阳县 鹿峰街道"</f>
        <v>湖南省 郴州市 桂阳县 鹿峰街道</v>
      </c>
      <c r="N9386" s="1" t="str">
        <f t="shared" si="2604"/>
        <v>凡华云仓-韵达-抖音</v>
      </c>
      <c r="O9386" s="5">
        <v>320157838619956</v>
      </c>
      <c r="P9386" s="6">
        <v>0.33</v>
      </c>
      <c r="Q9386" s="11">
        <v>2.2999999999999998</v>
      </c>
      <c r="R9386" s="11"/>
      <c r="S9386" s="11"/>
      <c r="T9386" s="11"/>
      <c r="U9386" s="11">
        <f t="shared" si="2601"/>
        <v>2.2999999999999998</v>
      </c>
      <c r="W9386">
        <v>2.5</v>
      </c>
      <c r="X9386" s="1" t="s">
        <v>94</v>
      </c>
    </row>
    <row r="9387" spans="1:24" x14ac:dyDescent="0.25">
      <c r="A9387" s="1" t="str">
        <f t="shared" ref="A9387:A9450" si="2607">"卡卡杜-凤凰仓"</f>
        <v>卡卡杜-凤凰仓</v>
      </c>
      <c r="B9387" s="1" t="str">
        <f>"CK2024100677"</f>
        <v>CK2024100677</v>
      </c>
      <c r="C9387" s="1" t="str">
        <f>"DD2024100613409"</f>
        <v>DD2024100613409</v>
      </c>
      <c r="D9387" s="1" t="str">
        <f>"CK2024100620270"</f>
        <v>CK2024100620270</v>
      </c>
      <c r="E9387" s="1" t="str">
        <f>"6917842501872418043"</f>
        <v>6917842501872418043</v>
      </c>
      <c r="F9387" s="1" t="str">
        <f t="shared" ref="F9387:F9450" si="2608">"花都四部-凤凰仓"</f>
        <v>花都四部-凤凰仓</v>
      </c>
      <c r="G9387" s="1" t="str">
        <f t="shared" si="2602"/>
        <v>卡卡杜个人护理店（抖店）</v>
      </c>
      <c r="H9387" s="1" t="str">
        <f t="shared" ref="H9387:H9450" si="2609">"正常订单"</f>
        <v>正常订单</v>
      </c>
      <c r="I9387" s="1" t="str">
        <f t="shared" ref="I9387:I9450" si="2610">"已发货"</f>
        <v>已发货</v>
      </c>
      <c r="J9387" s="1" t="str">
        <f t="shared" si="2606"/>
        <v>2</v>
      </c>
      <c r="K9387" s="1">
        <v>1</v>
      </c>
      <c r="L9387" s="1" t="s">
        <v>41</v>
      </c>
      <c r="M9387" s="1" t="str">
        <f>"湖北省 武汉市 新洲区 "</f>
        <v xml:space="preserve">湖北省 武汉市 新洲区 </v>
      </c>
      <c r="N9387" s="1" t="str">
        <f t="shared" si="2604"/>
        <v>凡华云仓-韵达-抖音</v>
      </c>
      <c r="O9387" s="5">
        <v>320157838619851</v>
      </c>
      <c r="P9387" s="6">
        <v>0.33</v>
      </c>
      <c r="Q9387" s="11">
        <v>2.2999999999999998</v>
      </c>
      <c r="R9387" s="11"/>
      <c r="S9387" s="11"/>
      <c r="T9387" s="11"/>
      <c r="U9387" s="11">
        <f t="shared" si="2601"/>
        <v>2.2999999999999998</v>
      </c>
      <c r="W9387">
        <v>2.5</v>
      </c>
      <c r="X9387" s="1" t="s">
        <v>41</v>
      </c>
    </row>
    <row r="9388" spans="1:24" x14ac:dyDescent="0.25">
      <c r="A9388" s="1" t="str">
        <f t="shared" si="2607"/>
        <v>卡卡杜-凤凰仓</v>
      </c>
      <c r="B9388" s="1" t="str">
        <f>"CK2024100680"</f>
        <v>CK2024100680</v>
      </c>
      <c r="C9388" s="1" t="str">
        <f>"DD2024100613411"</f>
        <v>DD2024100613411</v>
      </c>
      <c r="D9388" s="1" t="str">
        <f>"CK2024100620269"</f>
        <v>CK2024100620269</v>
      </c>
      <c r="E9388" s="1" t="str">
        <f>"6917842484422737329"</f>
        <v>6917842484422737329</v>
      </c>
      <c r="F9388" s="1" t="str">
        <f t="shared" si="2608"/>
        <v>花都四部-凤凰仓</v>
      </c>
      <c r="G9388" s="1" t="str">
        <f t="shared" si="2602"/>
        <v>卡卡杜个人护理店（抖店）</v>
      </c>
      <c r="H9388" s="1" t="str">
        <f t="shared" si="2609"/>
        <v>正常订单</v>
      </c>
      <c r="I9388" s="1" t="str">
        <f t="shared" si="2610"/>
        <v>已发货</v>
      </c>
      <c r="J9388" s="1" t="str">
        <f t="shared" si="2606"/>
        <v>2</v>
      </c>
      <c r="K9388" s="1">
        <v>1</v>
      </c>
      <c r="L9388" s="1" t="s">
        <v>94</v>
      </c>
      <c r="M9388" s="1" t="str">
        <f>"湖南省 益阳市 赫山区 "</f>
        <v xml:space="preserve">湖南省 益阳市 赫山区 </v>
      </c>
      <c r="N9388" s="1" t="str">
        <f t="shared" si="2604"/>
        <v>凡华云仓-韵达-抖音</v>
      </c>
      <c r="O9388" s="5">
        <v>320157838619748</v>
      </c>
      <c r="P9388" s="6">
        <v>0.33</v>
      </c>
      <c r="Q9388" s="11">
        <v>2.2999999999999998</v>
      </c>
      <c r="R9388" s="11"/>
      <c r="S9388" s="11"/>
      <c r="T9388" s="11"/>
      <c r="U9388" s="11">
        <f t="shared" si="2601"/>
        <v>2.2999999999999998</v>
      </c>
      <c r="W9388">
        <v>2.5</v>
      </c>
      <c r="X9388" s="1" t="s">
        <v>94</v>
      </c>
    </row>
    <row r="9389" spans="1:24" x14ac:dyDescent="0.25">
      <c r="A9389" s="1" t="str">
        <f t="shared" si="2607"/>
        <v>卡卡杜-凤凰仓</v>
      </c>
      <c r="B9389" s="1" t="str">
        <f>"CK20241006112"</f>
        <v>CK20241006112</v>
      </c>
      <c r="C9389" s="1" t="str">
        <f>"DD2024100613444"</f>
        <v>DD2024100613444</v>
      </c>
      <c r="D9389" s="1" t="str">
        <f>"CK2024100620268"</f>
        <v>CK2024100620268</v>
      </c>
      <c r="E9389" s="1" t="str">
        <f>"6917842447419145351"</f>
        <v>6917842447419145351</v>
      </c>
      <c r="F9389" s="1" t="str">
        <f t="shared" si="2608"/>
        <v>花都四部-凤凰仓</v>
      </c>
      <c r="G9389" s="1" t="str">
        <f t="shared" si="2602"/>
        <v>卡卡杜个人护理店（抖店）</v>
      </c>
      <c r="H9389" s="1" t="str">
        <f t="shared" si="2609"/>
        <v>正常订单</v>
      </c>
      <c r="I9389" s="1" t="str">
        <f t="shared" si="2610"/>
        <v>已发货</v>
      </c>
      <c r="J9389" s="1" t="str">
        <f t="shared" si="2606"/>
        <v>2</v>
      </c>
      <c r="K9389" s="1">
        <v>1</v>
      </c>
      <c r="L9389" s="1" t="s">
        <v>41</v>
      </c>
      <c r="M9389" s="1" t="str">
        <f>"湖北省 襄阳市 保康县 城关镇"</f>
        <v>湖北省 襄阳市 保康县 城关镇</v>
      </c>
      <c r="N9389" s="1" t="str">
        <f t="shared" si="2604"/>
        <v>凡华云仓-韵达-抖音</v>
      </c>
      <c r="O9389" s="5">
        <v>320157838619647</v>
      </c>
      <c r="P9389" s="6">
        <v>0.33</v>
      </c>
      <c r="Q9389" s="11">
        <v>2.2999999999999998</v>
      </c>
      <c r="R9389" s="11"/>
      <c r="S9389" s="11"/>
      <c r="T9389" s="11"/>
      <c r="U9389" s="11">
        <f t="shared" si="2601"/>
        <v>2.2999999999999998</v>
      </c>
      <c r="W9389">
        <v>2.5</v>
      </c>
      <c r="X9389" s="1" t="s">
        <v>41</v>
      </c>
    </row>
    <row r="9390" spans="1:24" x14ac:dyDescent="0.25">
      <c r="A9390" s="1" t="str">
        <f t="shared" si="2607"/>
        <v>卡卡杜-凤凰仓</v>
      </c>
      <c r="B9390" s="1" t="str">
        <f>"CK2024100678"</f>
        <v>CK2024100678</v>
      </c>
      <c r="C9390" s="1" t="str">
        <f>"DD2024100613412"</f>
        <v>DD2024100613412</v>
      </c>
      <c r="D9390" s="1" t="str">
        <f>"CK2024100620267"</f>
        <v>CK2024100620267</v>
      </c>
      <c r="E9390" s="1" t="str">
        <f>"6917847094554164306"</f>
        <v>6917847094554164306</v>
      </c>
      <c r="F9390" s="1" t="str">
        <f t="shared" si="2608"/>
        <v>花都四部-凤凰仓</v>
      </c>
      <c r="G9390" s="1" t="str">
        <f t="shared" si="2602"/>
        <v>卡卡杜个人护理店（抖店）</v>
      </c>
      <c r="H9390" s="1" t="str">
        <f t="shared" si="2609"/>
        <v>正常订单</v>
      </c>
      <c r="I9390" s="1" t="str">
        <f t="shared" si="2610"/>
        <v>已发货</v>
      </c>
      <c r="J9390" s="1" t="str">
        <f t="shared" si="2606"/>
        <v>2</v>
      </c>
      <c r="K9390" s="1">
        <v>1</v>
      </c>
      <c r="L9390" s="1" t="s">
        <v>105</v>
      </c>
      <c r="M9390" s="1" t="str">
        <f>"北京 北京市 平谷区 渔阳地区"</f>
        <v>北京 北京市 平谷区 渔阳地区</v>
      </c>
      <c r="N9390" s="1" t="str">
        <f t="shared" si="2604"/>
        <v>凡华云仓-韵达-抖音</v>
      </c>
      <c r="O9390" s="5">
        <v>320157838619548</v>
      </c>
      <c r="P9390" s="6">
        <v>0.33</v>
      </c>
      <c r="Q9390" s="11">
        <v>2.2999999999999998</v>
      </c>
      <c r="R9390" s="11"/>
      <c r="S9390" s="11"/>
      <c r="T9390" s="11"/>
      <c r="U9390" s="11">
        <f t="shared" si="2601"/>
        <v>2.2999999999999998</v>
      </c>
      <c r="W9390">
        <v>2.5</v>
      </c>
      <c r="X9390" s="1" t="s">
        <v>105</v>
      </c>
    </row>
    <row r="9391" spans="1:24" x14ac:dyDescent="0.25">
      <c r="A9391" s="1" t="str">
        <f t="shared" si="2607"/>
        <v>卡卡杜-凤凰仓</v>
      </c>
      <c r="B9391" s="1" t="str">
        <f>"CK20241006166"</f>
        <v>CK20241006166</v>
      </c>
      <c r="C9391" s="1" t="str">
        <f>"DD2024100613499"</f>
        <v>DD2024100613499</v>
      </c>
      <c r="D9391" s="1" t="str">
        <f>"CK2024100620266"</f>
        <v>CK2024100620266</v>
      </c>
      <c r="E9391" s="1" t="str">
        <f>"6917844774938639684"</f>
        <v>6917844774938639684</v>
      </c>
      <c r="F9391" s="1" t="str">
        <f t="shared" si="2608"/>
        <v>花都四部-凤凰仓</v>
      </c>
      <c r="G9391" s="1" t="str">
        <f t="shared" si="2602"/>
        <v>卡卡杜个人护理店（抖店）</v>
      </c>
      <c r="H9391" s="1" t="str">
        <f t="shared" si="2609"/>
        <v>正常订单</v>
      </c>
      <c r="I9391" s="1" t="str">
        <f t="shared" si="2610"/>
        <v>已发货</v>
      </c>
      <c r="J9391" s="1" t="str">
        <f t="shared" si="2606"/>
        <v>2</v>
      </c>
      <c r="K9391" s="1">
        <v>1</v>
      </c>
      <c r="L9391" s="1" t="s">
        <v>41</v>
      </c>
      <c r="M9391" s="1" t="str">
        <f>"湖北省 鄂州市 华容区 葛店镇"</f>
        <v>湖北省 鄂州市 华容区 葛店镇</v>
      </c>
      <c r="N9391" s="1" t="str">
        <f t="shared" si="2604"/>
        <v>凡华云仓-韵达-抖音</v>
      </c>
      <c r="O9391" s="5">
        <v>320157838619451</v>
      </c>
      <c r="P9391" s="6">
        <v>0.33</v>
      </c>
      <c r="Q9391" s="11">
        <v>2.2999999999999998</v>
      </c>
      <c r="R9391" s="11"/>
      <c r="S9391" s="11"/>
      <c r="T9391" s="11"/>
      <c r="U9391" s="11">
        <f t="shared" si="2601"/>
        <v>2.2999999999999998</v>
      </c>
      <c r="W9391">
        <v>2.5</v>
      </c>
      <c r="X9391" s="1" t="s">
        <v>41</v>
      </c>
    </row>
    <row r="9392" spans="1:24" x14ac:dyDescent="0.25">
      <c r="A9392" s="1" t="str">
        <f t="shared" si="2607"/>
        <v>卡卡杜-凤凰仓</v>
      </c>
      <c r="B9392" s="1" t="str">
        <f>"CK20241006146"</f>
        <v>CK20241006146</v>
      </c>
      <c r="C9392" s="1" t="str">
        <f>"DD2024100613478"</f>
        <v>DD2024100613478</v>
      </c>
      <c r="D9392" s="1" t="str">
        <f>"CK2024100620265"</f>
        <v>CK2024100620265</v>
      </c>
      <c r="E9392" s="1" t="str">
        <f>"6917837552656088682"</f>
        <v>6917837552656088682</v>
      </c>
      <c r="F9392" s="1" t="str">
        <f t="shared" si="2608"/>
        <v>花都四部-凤凰仓</v>
      </c>
      <c r="G9392" s="1" t="str">
        <f t="shared" si="2602"/>
        <v>卡卡杜个人护理店（抖店）</v>
      </c>
      <c r="H9392" s="1" t="str">
        <f t="shared" si="2609"/>
        <v>正常订单</v>
      </c>
      <c r="I9392" s="1" t="str">
        <f t="shared" si="2610"/>
        <v>已发货</v>
      </c>
      <c r="J9392" s="1" t="str">
        <f t="shared" si="2606"/>
        <v>2</v>
      </c>
      <c r="K9392" s="1">
        <v>1</v>
      </c>
      <c r="L9392" s="1" t="s">
        <v>30</v>
      </c>
      <c r="M9392" s="1" t="str">
        <f>"山东省 潍坊市 昌乐县 宝都街道"</f>
        <v>山东省 潍坊市 昌乐县 宝都街道</v>
      </c>
      <c r="N9392" s="1" t="str">
        <f t="shared" si="2604"/>
        <v>凡华云仓-韵达-抖音</v>
      </c>
      <c r="O9392" s="5">
        <v>320157838619356</v>
      </c>
      <c r="P9392" s="6">
        <v>0.33</v>
      </c>
      <c r="Q9392" s="11">
        <v>2.2999999999999998</v>
      </c>
      <c r="R9392" s="11"/>
      <c r="S9392" s="11"/>
      <c r="T9392" s="11"/>
      <c r="U9392" s="11">
        <f t="shared" si="2601"/>
        <v>2.2999999999999998</v>
      </c>
      <c r="W9392">
        <v>2.5</v>
      </c>
      <c r="X9392" s="1" t="s">
        <v>30</v>
      </c>
    </row>
    <row r="9393" spans="1:24" x14ac:dyDescent="0.25">
      <c r="A9393" s="1" t="str">
        <f t="shared" si="2607"/>
        <v>卡卡杜-凤凰仓</v>
      </c>
      <c r="B9393" s="1" t="str">
        <f>"CK20241006126"</f>
        <v>CK20241006126</v>
      </c>
      <c r="C9393" s="1" t="str">
        <f>"DD2024100613458"</f>
        <v>DD2024100613458</v>
      </c>
      <c r="D9393" s="1" t="str">
        <f>"CK2024100620264"</f>
        <v>CK2024100620264</v>
      </c>
      <c r="E9393" s="1" t="str">
        <f>"6917846687448661841"</f>
        <v>6917846687448661841</v>
      </c>
      <c r="F9393" s="1" t="str">
        <f t="shared" si="2608"/>
        <v>花都四部-凤凰仓</v>
      </c>
      <c r="G9393" s="1" t="str">
        <f t="shared" si="2602"/>
        <v>卡卡杜个人护理店（抖店）</v>
      </c>
      <c r="H9393" s="1" t="str">
        <f t="shared" si="2609"/>
        <v>正常订单</v>
      </c>
      <c r="I9393" s="1" t="str">
        <f t="shared" si="2610"/>
        <v>已发货</v>
      </c>
      <c r="J9393" s="1" t="str">
        <f t="shared" si="2606"/>
        <v>2</v>
      </c>
      <c r="K9393" s="1">
        <v>1</v>
      </c>
      <c r="L9393" s="1" t="s">
        <v>22</v>
      </c>
      <c r="M9393" s="1" t="str">
        <f>"江西省 赣州市 赣县区 梅林镇"</f>
        <v>江西省 赣州市 赣县区 梅林镇</v>
      </c>
      <c r="N9393" s="1" t="str">
        <f t="shared" si="2604"/>
        <v>凡华云仓-韵达-抖音</v>
      </c>
      <c r="O9393" s="5">
        <v>320157838619263</v>
      </c>
      <c r="P9393" s="6">
        <v>0.33</v>
      </c>
      <c r="Q9393" s="11">
        <v>2.2999999999999998</v>
      </c>
      <c r="R9393" s="11"/>
      <c r="S9393" s="11"/>
      <c r="T9393" s="11"/>
      <c r="U9393" s="11">
        <f t="shared" si="2601"/>
        <v>2.2999999999999998</v>
      </c>
      <c r="W9393">
        <v>2.5</v>
      </c>
      <c r="X9393" s="1" t="s">
        <v>22</v>
      </c>
    </row>
    <row r="9394" spans="1:24" x14ac:dyDescent="0.25">
      <c r="A9394" s="1" t="str">
        <f t="shared" si="2607"/>
        <v>卡卡杜-凤凰仓</v>
      </c>
      <c r="B9394" s="1" t="str">
        <f>"CK20241006135"</f>
        <v>CK20241006135</v>
      </c>
      <c r="C9394" s="1" t="str">
        <f>"DD2024100613467"</f>
        <v>DD2024100613467</v>
      </c>
      <c r="D9394" s="1" t="str">
        <f>"CK2024100620263"</f>
        <v>CK2024100620263</v>
      </c>
      <c r="E9394" s="1" t="str">
        <f>"6917844666164280530"</f>
        <v>6917844666164280530</v>
      </c>
      <c r="F9394" s="1" t="str">
        <f t="shared" si="2608"/>
        <v>花都四部-凤凰仓</v>
      </c>
      <c r="G9394" s="1" t="str">
        <f t="shared" si="2602"/>
        <v>卡卡杜个人护理店（抖店）</v>
      </c>
      <c r="H9394" s="1" t="str">
        <f t="shared" si="2609"/>
        <v>正常订单</v>
      </c>
      <c r="I9394" s="1" t="str">
        <f t="shared" si="2610"/>
        <v>已发货</v>
      </c>
      <c r="J9394" s="1" t="str">
        <f t="shared" si="2606"/>
        <v>2</v>
      </c>
      <c r="K9394" s="1">
        <v>1</v>
      </c>
      <c r="L9394" s="1" t="s">
        <v>161</v>
      </c>
      <c r="M9394" s="1" t="str">
        <f>"四川省 甘孜藏族自治州 巴塘县 拉哇乡"</f>
        <v>四川省 甘孜藏族自治州 巴塘县 拉哇乡</v>
      </c>
      <c r="N9394" s="1" t="str">
        <f t="shared" si="2604"/>
        <v>凡华云仓-韵达-抖音</v>
      </c>
      <c r="O9394" s="5">
        <v>320157838619172</v>
      </c>
      <c r="P9394" s="6">
        <v>0.33</v>
      </c>
      <c r="Q9394" s="11">
        <v>2.2999999999999998</v>
      </c>
      <c r="R9394" s="11"/>
      <c r="S9394" s="11"/>
      <c r="T9394" s="11"/>
      <c r="U9394" s="11">
        <f t="shared" si="2601"/>
        <v>2.2999999999999998</v>
      </c>
      <c r="W9394">
        <v>2.5</v>
      </c>
      <c r="X9394" s="1" t="s">
        <v>161</v>
      </c>
    </row>
    <row r="9395" spans="1:24" x14ac:dyDescent="0.25">
      <c r="A9395" s="1" t="str">
        <f t="shared" si="2607"/>
        <v>卡卡杜-凤凰仓</v>
      </c>
      <c r="B9395" s="1" t="str">
        <f>"CK20241007147"</f>
        <v>CK20241007147</v>
      </c>
      <c r="C9395" s="1" t="str">
        <f>"DD202410079090"</f>
        <v>DD202410079090</v>
      </c>
      <c r="D9395" s="1" t="str">
        <f>"CK2024100723451"</f>
        <v>CK2024100723451</v>
      </c>
      <c r="E9395" s="1" t="str">
        <f>"6917890624053018503"</f>
        <v>6917890624053018503</v>
      </c>
      <c r="F9395" s="1" t="str">
        <f t="shared" si="2608"/>
        <v>花都四部-凤凰仓</v>
      </c>
      <c r="G9395" s="1" t="str">
        <f t="shared" si="2602"/>
        <v>卡卡杜个人护理店（抖店）</v>
      </c>
      <c r="H9395" s="1" t="str">
        <f t="shared" si="2609"/>
        <v>正常订单</v>
      </c>
      <c r="I9395" s="1" t="str">
        <f t="shared" si="2610"/>
        <v>已发货</v>
      </c>
      <c r="J9395" s="1" t="str">
        <f>"4"</f>
        <v>4</v>
      </c>
      <c r="K9395" s="1">
        <v>1</v>
      </c>
      <c r="L9395" s="1" t="s">
        <v>13</v>
      </c>
      <c r="M9395" s="1" t="str">
        <f>"江苏省 无锡市 惠山区 堰桥街道"</f>
        <v>江苏省 无锡市 惠山区 堰桥街道</v>
      </c>
      <c r="N9395" s="1" t="str">
        <f t="shared" si="2604"/>
        <v>凡华云仓-韵达-抖音</v>
      </c>
      <c r="O9395" s="5">
        <v>320159439294180</v>
      </c>
      <c r="P9395" s="6">
        <v>0.57999999999999996</v>
      </c>
      <c r="Q9395" s="11">
        <f>CEILING(P9395-0.5,0.1)*10*0.15+2.3</f>
        <v>2.4499999999999997</v>
      </c>
      <c r="R9395" s="11"/>
      <c r="S9395" s="11"/>
      <c r="T9395" s="11"/>
      <c r="U9395" s="11">
        <f t="shared" si="2601"/>
        <v>2.4499999999999997</v>
      </c>
      <c r="V9395" t="s">
        <v>15</v>
      </c>
      <c r="W9395">
        <v>2.4500000000000002</v>
      </c>
      <c r="X9395" s="1" t="s">
        <v>13</v>
      </c>
    </row>
    <row r="9396" spans="1:24" x14ac:dyDescent="0.25">
      <c r="A9396" s="1" t="str">
        <f t="shared" si="2607"/>
        <v>卡卡杜-凤凰仓</v>
      </c>
      <c r="B9396" s="1" t="str">
        <f>"CK20241006145"</f>
        <v>CK20241006145</v>
      </c>
      <c r="C9396" s="1" t="str">
        <f>"DD2024100613477"</f>
        <v>DD2024100613477</v>
      </c>
      <c r="D9396" s="1" t="str">
        <f>"CK2024100620261"</f>
        <v>CK2024100620261</v>
      </c>
      <c r="E9396" s="1" t="str">
        <f>"6917843980515835147"</f>
        <v>6917843980515835147</v>
      </c>
      <c r="F9396" s="1" t="str">
        <f t="shared" si="2608"/>
        <v>花都四部-凤凰仓</v>
      </c>
      <c r="G9396" s="1" t="str">
        <f t="shared" si="2602"/>
        <v>卡卡杜个人护理店（抖店）</v>
      </c>
      <c r="H9396" s="1" t="str">
        <f t="shared" si="2609"/>
        <v>正常订单</v>
      </c>
      <c r="I9396" s="1" t="str">
        <f t="shared" si="2610"/>
        <v>已发货</v>
      </c>
      <c r="J9396" s="1" t="str">
        <f t="shared" ref="J9396:J9454" si="2611">"2"</f>
        <v>2</v>
      </c>
      <c r="K9396" s="1">
        <v>1</v>
      </c>
      <c r="L9396" s="1" t="s">
        <v>41</v>
      </c>
      <c r="M9396" s="1" t="str">
        <f>"湖北省 十堰市 郧阳区 城关镇"</f>
        <v>湖北省 十堰市 郧阳区 城关镇</v>
      </c>
      <c r="N9396" s="1" t="str">
        <f t="shared" si="2604"/>
        <v>凡华云仓-韵达-抖音</v>
      </c>
      <c r="O9396" s="5">
        <v>320157837820282</v>
      </c>
      <c r="P9396" s="6">
        <v>0.33</v>
      </c>
      <c r="Q9396" s="11">
        <v>2.2999999999999998</v>
      </c>
      <c r="R9396" s="11"/>
      <c r="S9396" s="11"/>
      <c r="T9396" s="11"/>
      <c r="U9396" s="11">
        <f t="shared" si="2601"/>
        <v>2.2999999999999998</v>
      </c>
      <c r="W9396">
        <v>2.5</v>
      </c>
      <c r="X9396" s="1" t="s">
        <v>41</v>
      </c>
    </row>
    <row r="9397" spans="1:24" x14ac:dyDescent="0.25">
      <c r="A9397" s="1" t="str">
        <f t="shared" si="2607"/>
        <v>卡卡杜-凤凰仓</v>
      </c>
      <c r="B9397" s="1" t="str">
        <f>"CK20241006207"</f>
        <v>CK20241006207</v>
      </c>
      <c r="C9397" s="1" t="str">
        <f>"DD2024100613540"</f>
        <v>DD2024100613540</v>
      </c>
      <c r="D9397" s="1" t="str">
        <f>"CK2024100620260"</f>
        <v>CK2024100620260</v>
      </c>
      <c r="E9397" s="1" t="str">
        <f>"6917842064445505390"</f>
        <v>6917842064445505390</v>
      </c>
      <c r="F9397" s="1" t="str">
        <f t="shared" si="2608"/>
        <v>花都四部-凤凰仓</v>
      </c>
      <c r="G9397" s="1" t="str">
        <f t="shared" si="2602"/>
        <v>卡卡杜个人护理店（抖店）</v>
      </c>
      <c r="H9397" s="1" t="str">
        <f t="shared" si="2609"/>
        <v>正常订单</v>
      </c>
      <c r="I9397" s="1" t="str">
        <f t="shared" si="2610"/>
        <v>已发货</v>
      </c>
      <c r="J9397" s="1" t="str">
        <f>"4"</f>
        <v>4</v>
      </c>
      <c r="K9397" s="1">
        <v>2</v>
      </c>
      <c r="L9397" s="1" t="s">
        <v>74</v>
      </c>
      <c r="M9397" s="1" t="str">
        <f>"上海 上海市 青浦区 徐泾镇"</f>
        <v>上海 上海市 青浦区 徐泾镇</v>
      </c>
      <c r="N9397" s="1" t="str">
        <f t="shared" si="2604"/>
        <v>凡华云仓-韵达-抖音</v>
      </c>
      <c r="O9397" s="5">
        <v>320157837820191</v>
      </c>
      <c r="P9397" s="6">
        <v>0.52</v>
      </c>
      <c r="Q9397" s="11">
        <f>CEILING(P9397-0.5,0.1)*10*0.15+2.3</f>
        <v>2.4499999999999997</v>
      </c>
      <c r="R9397" s="11"/>
      <c r="S9397" s="11"/>
      <c r="T9397" s="11"/>
      <c r="U9397" s="11">
        <f t="shared" si="2601"/>
        <v>2.4499999999999997</v>
      </c>
      <c r="V9397" t="s">
        <v>15</v>
      </c>
      <c r="W9397">
        <v>2.4500000000000002</v>
      </c>
      <c r="X9397" s="1" t="s">
        <v>74</v>
      </c>
    </row>
    <row r="9398" spans="1:24" x14ac:dyDescent="0.25">
      <c r="A9398" s="1" t="str">
        <f t="shared" si="2607"/>
        <v>卡卡杜-凤凰仓</v>
      </c>
      <c r="B9398" s="1" t="str">
        <f>"CK20241006127"</f>
        <v>CK20241006127</v>
      </c>
      <c r="C9398" s="1" t="str">
        <f>"DD2024100613459"</f>
        <v>DD2024100613459</v>
      </c>
      <c r="D9398" s="1" t="str">
        <f>"CK2024100620259"</f>
        <v>CK2024100620259</v>
      </c>
      <c r="E9398" s="1" t="str">
        <f>"6917839888496360955"</f>
        <v>6917839888496360955</v>
      </c>
      <c r="F9398" s="1" t="str">
        <f t="shared" si="2608"/>
        <v>花都四部-凤凰仓</v>
      </c>
      <c r="G9398" s="1" t="str">
        <f t="shared" si="2602"/>
        <v>卡卡杜个人护理店（抖店）</v>
      </c>
      <c r="H9398" s="1" t="str">
        <f t="shared" si="2609"/>
        <v>正常订单</v>
      </c>
      <c r="I9398" s="1" t="str">
        <f t="shared" si="2610"/>
        <v>已发货</v>
      </c>
      <c r="J9398" s="1" t="str">
        <f t="shared" si="2611"/>
        <v>2</v>
      </c>
      <c r="K9398" s="1">
        <v>1</v>
      </c>
      <c r="L9398" s="1" t="s">
        <v>24</v>
      </c>
      <c r="M9398" s="1" t="str">
        <f>"福建省 漳州市 平和县 小溪镇"</f>
        <v>福建省 漳州市 平和县 小溪镇</v>
      </c>
      <c r="N9398" s="1" t="str">
        <f t="shared" si="2604"/>
        <v>凡华云仓-韵达-抖音</v>
      </c>
      <c r="O9398" s="5">
        <v>320157837820002</v>
      </c>
      <c r="P9398" s="6">
        <v>0.33</v>
      </c>
      <c r="Q9398" s="11">
        <v>2.2999999999999998</v>
      </c>
      <c r="R9398" s="11"/>
      <c r="S9398" s="11"/>
      <c r="T9398" s="11"/>
      <c r="U9398" s="11">
        <f t="shared" si="2601"/>
        <v>2.2999999999999998</v>
      </c>
      <c r="W9398">
        <v>2.5</v>
      </c>
      <c r="X9398" s="1" t="s">
        <v>24</v>
      </c>
    </row>
    <row r="9399" spans="1:24" x14ac:dyDescent="0.25">
      <c r="A9399" s="1" t="str">
        <f t="shared" si="2607"/>
        <v>卡卡杜-凤凰仓</v>
      </c>
      <c r="B9399" s="1" t="str">
        <f>"CK20241006134"</f>
        <v>CK20241006134</v>
      </c>
      <c r="C9399" s="1" t="str">
        <f>"DD2024100613466"</f>
        <v>DD2024100613466</v>
      </c>
      <c r="D9399" s="1" t="str">
        <f>"CK2024100620258"</f>
        <v>CK2024100620258</v>
      </c>
      <c r="E9399" s="1" t="str">
        <f>"6917839564720078525"</f>
        <v>6917839564720078525</v>
      </c>
      <c r="F9399" s="1" t="str">
        <f t="shared" si="2608"/>
        <v>花都四部-凤凰仓</v>
      </c>
      <c r="G9399" s="1" t="str">
        <f t="shared" si="2602"/>
        <v>卡卡杜个人护理店（抖店）</v>
      </c>
      <c r="H9399" s="1" t="str">
        <f t="shared" si="2609"/>
        <v>正常订单</v>
      </c>
      <c r="I9399" s="1" t="str">
        <f t="shared" si="2610"/>
        <v>已发货</v>
      </c>
      <c r="J9399" s="1" t="str">
        <f t="shared" si="2611"/>
        <v>2</v>
      </c>
      <c r="K9399" s="1">
        <v>1</v>
      </c>
      <c r="L9399" s="1" t="s">
        <v>24</v>
      </c>
      <c r="M9399" s="1" t="str">
        <f>"福建省 泉州市 石狮市 永宁镇"</f>
        <v>福建省 泉州市 石狮市 永宁镇</v>
      </c>
      <c r="N9399" s="1" t="str">
        <f t="shared" si="2604"/>
        <v>凡华云仓-韵达-抖音</v>
      </c>
      <c r="O9399" s="5">
        <v>320157837819957</v>
      </c>
      <c r="P9399" s="6">
        <v>0.33</v>
      </c>
      <c r="Q9399" s="11">
        <v>2.2999999999999998</v>
      </c>
      <c r="R9399" s="11"/>
      <c r="S9399" s="11"/>
      <c r="T9399" s="11"/>
      <c r="U9399" s="11">
        <f t="shared" si="2601"/>
        <v>2.2999999999999998</v>
      </c>
      <c r="W9399">
        <v>2.5</v>
      </c>
      <c r="X9399" s="1" t="s">
        <v>24</v>
      </c>
    </row>
    <row r="9400" spans="1:24" x14ac:dyDescent="0.25">
      <c r="A9400" s="1" t="str">
        <f t="shared" si="2607"/>
        <v>卡卡杜-凤凰仓</v>
      </c>
      <c r="B9400" s="1" t="str">
        <f>"CK20241006149"</f>
        <v>CK20241006149</v>
      </c>
      <c r="C9400" s="1" t="str">
        <f>"DD2024100613481"</f>
        <v>DD2024100613481</v>
      </c>
      <c r="D9400" s="1" t="str">
        <f>"CK2024100620257"</f>
        <v>CK2024100620257</v>
      </c>
      <c r="E9400" s="1" t="str">
        <f>"6917839483340160134"</f>
        <v>6917839483340160134</v>
      </c>
      <c r="F9400" s="1" t="str">
        <f t="shared" si="2608"/>
        <v>花都四部-凤凰仓</v>
      </c>
      <c r="G9400" s="1" t="str">
        <f t="shared" si="2602"/>
        <v>卡卡杜个人护理店（抖店）</v>
      </c>
      <c r="H9400" s="1" t="str">
        <f t="shared" si="2609"/>
        <v>正常订单</v>
      </c>
      <c r="I9400" s="1" t="str">
        <f t="shared" si="2610"/>
        <v>已发货</v>
      </c>
      <c r="J9400" s="1" t="str">
        <f t="shared" si="2611"/>
        <v>2</v>
      </c>
      <c r="K9400" s="1">
        <v>1</v>
      </c>
      <c r="L9400" s="1" t="s">
        <v>18</v>
      </c>
      <c r="M9400" s="1" t="str">
        <f>"广东省 中山市 中山市 南朗街道"</f>
        <v>广东省 中山市 中山市 南朗街道</v>
      </c>
      <c r="N9400" s="1" t="str">
        <f t="shared" si="2604"/>
        <v>凡华云仓-韵达-抖音</v>
      </c>
      <c r="O9400" s="5">
        <v>320157837819852</v>
      </c>
      <c r="P9400" s="6">
        <v>0.33</v>
      </c>
      <c r="Q9400" s="11">
        <v>2.2999999999999998</v>
      </c>
      <c r="R9400" s="11"/>
      <c r="S9400" s="11"/>
      <c r="T9400" s="11"/>
      <c r="U9400" s="11">
        <f t="shared" si="2601"/>
        <v>2.2999999999999998</v>
      </c>
      <c r="W9400">
        <v>2.5</v>
      </c>
      <c r="X9400" s="1" t="s">
        <v>18</v>
      </c>
    </row>
    <row r="9401" spans="1:24" x14ac:dyDescent="0.25">
      <c r="A9401" s="1" t="str">
        <f t="shared" si="2607"/>
        <v>卡卡杜-凤凰仓</v>
      </c>
      <c r="B9401" s="1" t="str">
        <f>"CK20241006141"</f>
        <v>CK20241006141</v>
      </c>
      <c r="C9401" s="1" t="str">
        <f>"DD2024100613473"</f>
        <v>DD2024100613473</v>
      </c>
      <c r="D9401" s="1" t="str">
        <f>"CK2024100620256"</f>
        <v>CK2024100620256</v>
      </c>
      <c r="E9401" s="1" t="str">
        <f>"6917842052171333011"</f>
        <v>6917842052171333011</v>
      </c>
      <c r="F9401" s="1" t="str">
        <f t="shared" si="2608"/>
        <v>花都四部-凤凰仓</v>
      </c>
      <c r="G9401" s="1" t="str">
        <f t="shared" si="2602"/>
        <v>卡卡杜个人护理店（抖店）</v>
      </c>
      <c r="H9401" s="1" t="str">
        <f t="shared" si="2609"/>
        <v>正常订单</v>
      </c>
      <c r="I9401" s="1" t="str">
        <f t="shared" si="2610"/>
        <v>已发货</v>
      </c>
      <c r="J9401" s="1" t="str">
        <f t="shared" si="2611"/>
        <v>2</v>
      </c>
      <c r="K9401" s="1">
        <v>1</v>
      </c>
      <c r="L9401" s="1" t="s">
        <v>22</v>
      </c>
      <c r="M9401" s="1" t="str">
        <f>"江西省 宜春市 万载县 康乐街道"</f>
        <v>江西省 宜春市 万载县 康乐街道</v>
      </c>
      <c r="N9401" s="1" t="str">
        <f t="shared" si="2604"/>
        <v>凡华云仓-韵达-抖音</v>
      </c>
      <c r="O9401" s="5">
        <v>320157837819749</v>
      </c>
      <c r="P9401" s="6">
        <v>0.33</v>
      </c>
      <c r="Q9401" s="11">
        <v>2.2999999999999998</v>
      </c>
      <c r="R9401" s="11"/>
      <c r="S9401" s="11"/>
      <c r="T9401" s="11"/>
      <c r="U9401" s="11">
        <f t="shared" si="2601"/>
        <v>2.2999999999999998</v>
      </c>
      <c r="W9401">
        <v>2.5</v>
      </c>
      <c r="X9401" s="1" t="s">
        <v>22</v>
      </c>
    </row>
    <row r="9402" spans="1:24" x14ac:dyDescent="0.25">
      <c r="A9402" s="1" t="str">
        <f t="shared" si="2607"/>
        <v>卡卡杜-凤凰仓</v>
      </c>
      <c r="B9402" s="1" t="str">
        <f>"CK20241006160"</f>
        <v>CK20241006160</v>
      </c>
      <c r="C9402" s="1" t="str">
        <f>"DD2024100613490"</f>
        <v>DD2024100613490</v>
      </c>
      <c r="D9402" s="1" t="str">
        <f>"CK2024100620255"</f>
        <v>CK2024100620255</v>
      </c>
      <c r="E9402" s="1" t="str">
        <f>"6917839553835007914"</f>
        <v>6917839553835007914</v>
      </c>
      <c r="F9402" s="1" t="str">
        <f t="shared" si="2608"/>
        <v>花都四部-凤凰仓</v>
      </c>
      <c r="G9402" s="1" t="str">
        <f t="shared" si="2602"/>
        <v>卡卡杜个人护理店（抖店）</v>
      </c>
      <c r="H9402" s="1" t="str">
        <f t="shared" si="2609"/>
        <v>正常订单</v>
      </c>
      <c r="I9402" s="1" t="str">
        <f t="shared" si="2610"/>
        <v>已发货</v>
      </c>
      <c r="J9402" s="1" t="str">
        <f t="shared" si="2611"/>
        <v>2</v>
      </c>
      <c r="K9402" s="1">
        <v>1</v>
      </c>
      <c r="L9402" s="1" t="s">
        <v>18</v>
      </c>
      <c r="M9402" s="1" t="str">
        <f>"广东省 云浮市 新兴县 新城镇"</f>
        <v>广东省 云浮市 新兴县 新城镇</v>
      </c>
      <c r="N9402" s="1" t="str">
        <f t="shared" si="2604"/>
        <v>凡华云仓-韵达-抖音</v>
      </c>
      <c r="O9402" s="5">
        <v>320157837819648</v>
      </c>
      <c r="P9402" s="6">
        <v>0.33</v>
      </c>
      <c r="Q9402" s="11">
        <v>2.2999999999999998</v>
      </c>
      <c r="R9402" s="11"/>
      <c r="S9402" s="11"/>
      <c r="T9402" s="11"/>
      <c r="U9402" s="11">
        <f t="shared" si="2601"/>
        <v>2.2999999999999998</v>
      </c>
      <c r="W9402">
        <v>2.5</v>
      </c>
      <c r="X9402" s="1" t="s">
        <v>18</v>
      </c>
    </row>
    <row r="9403" spans="1:24" x14ac:dyDescent="0.25">
      <c r="A9403" s="1" t="str">
        <f t="shared" si="2607"/>
        <v>卡卡杜-凤凰仓</v>
      </c>
      <c r="B9403" s="1" t="str">
        <f>"CK20241006164"</f>
        <v>CK20241006164</v>
      </c>
      <c r="C9403" s="1" t="str">
        <f>"DD2024100613496"</f>
        <v>DD2024100613496</v>
      </c>
      <c r="D9403" s="1" t="str">
        <f>"CK2024100620254"</f>
        <v>CK2024100620254</v>
      </c>
      <c r="E9403" s="1" t="str">
        <f>"6917844330870374311"</f>
        <v>6917844330870374311</v>
      </c>
      <c r="F9403" s="1" t="str">
        <f t="shared" si="2608"/>
        <v>花都四部-凤凰仓</v>
      </c>
      <c r="G9403" s="1" t="str">
        <f t="shared" si="2602"/>
        <v>卡卡杜个人护理店（抖店）</v>
      </c>
      <c r="H9403" s="1" t="str">
        <f t="shared" si="2609"/>
        <v>正常订单</v>
      </c>
      <c r="I9403" s="1" t="str">
        <f t="shared" si="2610"/>
        <v>已发货</v>
      </c>
      <c r="J9403" s="1" t="str">
        <f t="shared" si="2611"/>
        <v>2</v>
      </c>
      <c r="K9403" s="1">
        <v>1</v>
      </c>
      <c r="L9403" s="1" t="s">
        <v>13</v>
      </c>
      <c r="M9403" s="1" t="str">
        <f>"江苏省 常州市 武进区 横山桥镇"</f>
        <v>江苏省 常州市 武进区 横山桥镇</v>
      </c>
      <c r="N9403" s="1" t="str">
        <f t="shared" si="2604"/>
        <v>凡华云仓-韵达-抖音</v>
      </c>
      <c r="O9403" s="5">
        <v>320157837819549</v>
      </c>
      <c r="P9403" s="6">
        <v>0.33</v>
      </c>
      <c r="Q9403" s="11">
        <v>2.2999999999999998</v>
      </c>
      <c r="R9403" s="11"/>
      <c r="S9403" s="11"/>
      <c r="T9403" s="11"/>
      <c r="U9403" s="11">
        <f t="shared" si="2601"/>
        <v>2.2999999999999998</v>
      </c>
      <c r="W9403">
        <v>2.5</v>
      </c>
      <c r="X9403" s="1" t="s">
        <v>13</v>
      </c>
    </row>
    <row r="9404" spans="1:24" x14ac:dyDescent="0.25">
      <c r="A9404" s="1" t="str">
        <f t="shared" si="2607"/>
        <v>卡卡杜-凤凰仓</v>
      </c>
      <c r="B9404" s="1" t="str">
        <f>"CK20241006167"</f>
        <v>CK20241006167</v>
      </c>
      <c r="C9404" s="1" t="str">
        <f>"DD2024100613497"</f>
        <v>DD2024100613497</v>
      </c>
      <c r="D9404" s="1" t="str">
        <f>"CK2024100620253"</f>
        <v>CK2024100620253</v>
      </c>
      <c r="E9404" s="1" t="str">
        <f>"6917845745763515725"</f>
        <v>6917845745763515725</v>
      </c>
      <c r="F9404" s="1" t="str">
        <f t="shared" si="2608"/>
        <v>花都四部-凤凰仓</v>
      </c>
      <c r="G9404" s="1" t="str">
        <f t="shared" si="2602"/>
        <v>卡卡杜个人护理店（抖店）</v>
      </c>
      <c r="H9404" s="1" t="str">
        <f t="shared" si="2609"/>
        <v>正常订单</v>
      </c>
      <c r="I9404" s="1" t="str">
        <f t="shared" si="2610"/>
        <v>已发货</v>
      </c>
      <c r="J9404" s="1" t="str">
        <f t="shared" si="2611"/>
        <v>2</v>
      </c>
      <c r="K9404" s="1">
        <v>1</v>
      </c>
      <c r="L9404" s="1" t="s">
        <v>24</v>
      </c>
      <c r="M9404" s="1" t="str">
        <f>"福建省 龙岩市 新罗区 西陂街道"</f>
        <v>福建省 龙岩市 新罗区 西陂街道</v>
      </c>
      <c r="N9404" s="1" t="str">
        <f t="shared" si="2604"/>
        <v>凡华云仓-韵达-抖音</v>
      </c>
      <c r="O9404" s="5">
        <v>320157837819452</v>
      </c>
      <c r="P9404" s="6">
        <v>0.33</v>
      </c>
      <c r="Q9404" s="11">
        <v>2.2999999999999998</v>
      </c>
      <c r="R9404" s="11"/>
      <c r="S9404" s="11"/>
      <c r="T9404" s="11"/>
      <c r="U9404" s="11">
        <f t="shared" si="2601"/>
        <v>2.2999999999999998</v>
      </c>
      <c r="W9404">
        <v>2.5</v>
      </c>
      <c r="X9404" s="1" t="s">
        <v>24</v>
      </c>
    </row>
    <row r="9405" spans="1:24" x14ac:dyDescent="0.25">
      <c r="A9405" s="1" t="str">
        <f t="shared" si="2607"/>
        <v>卡卡杜-凤凰仓</v>
      </c>
      <c r="B9405" s="1" t="str">
        <f>"CK20241006129"</f>
        <v>CK20241006129</v>
      </c>
      <c r="C9405" s="1" t="str">
        <f>"DD2024100613460"</f>
        <v>DD2024100613460</v>
      </c>
      <c r="D9405" s="1" t="str">
        <f>"CK2024100620252"</f>
        <v>CK2024100620252</v>
      </c>
      <c r="E9405" s="1" t="str">
        <f>"6917842029015891477"</f>
        <v>6917842029015891477</v>
      </c>
      <c r="F9405" s="1" t="str">
        <f t="shared" si="2608"/>
        <v>花都四部-凤凰仓</v>
      </c>
      <c r="G9405" s="1" t="str">
        <f t="shared" si="2602"/>
        <v>卡卡杜个人护理店（抖店）</v>
      </c>
      <c r="H9405" s="1" t="str">
        <f t="shared" si="2609"/>
        <v>正常订单</v>
      </c>
      <c r="I9405" s="1" t="str">
        <f t="shared" si="2610"/>
        <v>已发货</v>
      </c>
      <c r="J9405" s="1" t="str">
        <f t="shared" si="2611"/>
        <v>2</v>
      </c>
      <c r="K9405" s="1">
        <v>1</v>
      </c>
      <c r="L9405" s="1" t="s">
        <v>36</v>
      </c>
      <c r="M9405" s="1" t="str">
        <f>"安徽省 蚌埠市 淮上区 曹老集镇"</f>
        <v>安徽省 蚌埠市 淮上区 曹老集镇</v>
      </c>
      <c r="N9405" s="1" t="str">
        <f t="shared" si="2604"/>
        <v>凡华云仓-韵达-抖音</v>
      </c>
      <c r="O9405" s="5">
        <v>320157852102119</v>
      </c>
      <c r="P9405" s="6">
        <v>0.33</v>
      </c>
      <c r="Q9405" s="11">
        <v>2.2999999999999998</v>
      </c>
      <c r="R9405" s="11"/>
      <c r="S9405" s="11"/>
      <c r="T9405" s="11"/>
      <c r="U9405" s="11">
        <f t="shared" si="2601"/>
        <v>2.2999999999999998</v>
      </c>
      <c r="W9405">
        <v>2.5</v>
      </c>
      <c r="X9405" s="1" t="s">
        <v>36</v>
      </c>
    </row>
    <row r="9406" spans="1:24" x14ac:dyDescent="0.25">
      <c r="A9406" s="1" t="str">
        <f t="shared" si="2607"/>
        <v>卡卡杜-凤凰仓</v>
      </c>
      <c r="B9406" s="1" t="str">
        <f>"CK20241006132"</f>
        <v>CK20241006132</v>
      </c>
      <c r="C9406" s="1" t="str">
        <f>"DD2024100613462"</f>
        <v>DD2024100613462</v>
      </c>
      <c r="D9406" s="1" t="str">
        <f>"CK2024100620251"</f>
        <v>CK2024100620251</v>
      </c>
      <c r="E9406" s="1" t="str">
        <f>"6917837028461608472"</f>
        <v>6917837028461608472</v>
      </c>
      <c r="F9406" s="1" t="str">
        <f t="shared" si="2608"/>
        <v>花都四部-凤凰仓</v>
      </c>
      <c r="G9406" s="1" t="str">
        <f t="shared" si="2602"/>
        <v>卡卡杜个人护理店（抖店）</v>
      </c>
      <c r="H9406" s="1" t="str">
        <f t="shared" si="2609"/>
        <v>正常订单</v>
      </c>
      <c r="I9406" s="1" t="str">
        <f t="shared" si="2610"/>
        <v>已发货</v>
      </c>
      <c r="J9406" s="1" t="str">
        <f t="shared" si="2611"/>
        <v>2</v>
      </c>
      <c r="K9406" s="1">
        <v>1</v>
      </c>
      <c r="L9406" s="1" t="s">
        <v>24</v>
      </c>
      <c r="M9406" s="1" t="str">
        <f>"福建省 漳州市 龙海区 石码街道"</f>
        <v>福建省 漳州市 龙海区 石码街道</v>
      </c>
      <c r="N9406" s="1" t="str">
        <f t="shared" si="2604"/>
        <v>凡华云仓-韵达-抖音</v>
      </c>
      <c r="O9406" s="5">
        <v>320157852102030</v>
      </c>
      <c r="P9406" s="6">
        <v>0.33</v>
      </c>
      <c r="Q9406" s="11">
        <v>2.2999999999999998</v>
      </c>
      <c r="R9406" s="11"/>
      <c r="S9406" s="11"/>
      <c r="T9406" s="11"/>
      <c r="U9406" s="11">
        <f t="shared" si="2601"/>
        <v>2.2999999999999998</v>
      </c>
      <c r="W9406">
        <v>2.5</v>
      </c>
      <c r="X9406" s="1" t="s">
        <v>24</v>
      </c>
    </row>
    <row r="9407" spans="1:24" x14ac:dyDescent="0.25">
      <c r="A9407" s="1" t="str">
        <f t="shared" si="2607"/>
        <v>卡卡杜-凤凰仓</v>
      </c>
      <c r="B9407" s="1" t="str">
        <f>"CK20241006136"</f>
        <v>CK20241006136</v>
      </c>
      <c r="C9407" s="1" t="str">
        <f>"DD2024100613470"</f>
        <v>DD2024100613470</v>
      </c>
      <c r="D9407" s="1" t="str">
        <f>"CK2024100620250"</f>
        <v>CK2024100620250</v>
      </c>
      <c r="E9407" s="1" t="str">
        <f>"6917837206762061277"</f>
        <v>6917837206762061277</v>
      </c>
      <c r="F9407" s="1" t="str">
        <f t="shared" si="2608"/>
        <v>花都四部-凤凰仓</v>
      </c>
      <c r="G9407" s="1" t="str">
        <f t="shared" si="2602"/>
        <v>卡卡杜个人护理店（抖店）</v>
      </c>
      <c r="H9407" s="1" t="str">
        <f t="shared" si="2609"/>
        <v>正常订单</v>
      </c>
      <c r="I9407" s="1" t="str">
        <f t="shared" si="2610"/>
        <v>已发货</v>
      </c>
      <c r="J9407" s="1" t="str">
        <f t="shared" si="2611"/>
        <v>2</v>
      </c>
      <c r="K9407" s="1">
        <v>1</v>
      </c>
      <c r="L9407" s="1" t="s">
        <v>16</v>
      </c>
      <c r="M9407" s="1" t="str">
        <f>"河北省 沧州市 任丘市 西环路街道"</f>
        <v>河北省 沧州市 任丘市 西环路街道</v>
      </c>
      <c r="N9407" s="1" t="str">
        <f t="shared" si="2604"/>
        <v>凡华云仓-韵达-抖音</v>
      </c>
      <c r="O9407" s="5">
        <v>320157852101912</v>
      </c>
      <c r="P9407" s="6">
        <v>0.33</v>
      </c>
      <c r="Q9407" s="11">
        <v>2.2999999999999998</v>
      </c>
      <c r="R9407" s="11"/>
      <c r="S9407" s="11"/>
      <c r="T9407" s="11"/>
      <c r="U9407" s="11">
        <f t="shared" si="2601"/>
        <v>2.2999999999999998</v>
      </c>
      <c r="W9407">
        <v>2.5</v>
      </c>
      <c r="X9407" s="1" t="s">
        <v>16</v>
      </c>
    </row>
    <row r="9408" spans="1:24" x14ac:dyDescent="0.25">
      <c r="A9408" s="1" t="str">
        <f t="shared" si="2607"/>
        <v>卡卡杜-凤凰仓</v>
      </c>
      <c r="B9408" s="1" t="str">
        <f>"CK20241006131"</f>
        <v>CK20241006131</v>
      </c>
      <c r="C9408" s="1" t="str">
        <f>"DD2024100613465"</f>
        <v>DD2024100613465</v>
      </c>
      <c r="D9408" s="1" t="str">
        <f>"CK2024100620249"</f>
        <v>CK2024100620249</v>
      </c>
      <c r="E9408" s="1" t="str">
        <f>"6917837205903540100"</f>
        <v>6917837205903540100</v>
      </c>
      <c r="F9408" s="1" t="str">
        <f t="shared" si="2608"/>
        <v>花都四部-凤凰仓</v>
      </c>
      <c r="G9408" s="1" t="str">
        <f t="shared" si="2602"/>
        <v>卡卡杜个人护理店（抖店）</v>
      </c>
      <c r="H9408" s="1" t="str">
        <f t="shared" si="2609"/>
        <v>正常订单</v>
      </c>
      <c r="I9408" s="1" t="str">
        <f t="shared" si="2610"/>
        <v>已发货</v>
      </c>
      <c r="J9408" s="1" t="str">
        <f t="shared" si="2611"/>
        <v>2</v>
      </c>
      <c r="K9408" s="1">
        <v>1</v>
      </c>
      <c r="L9408" s="1" t="s">
        <v>13</v>
      </c>
      <c r="M9408" s="1" t="str">
        <f>"江苏省 苏州市 相城区 望亭镇"</f>
        <v>江苏省 苏州市 相城区 望亭镇</v>
      </c>
      <c r="N9408" s="1" t="str">
        <f t="shared" si="2604"/>
        <v>凡华云仓-韵达-抖音</v>
      </c>
      <c r="O9408" s="5">
        <v>320157852101807</v>
      </c>
      <c r="P9408" s="6">
        <v>0.33</v>
      </c>
      <c r="Q9408" s="11">
        <v>2.2999999999999998</v>
      </c>
      <c r="R9408" s="11"/>
      <c r="S9408" s="11"/>
      <c r="T9408" s="11"/>
      <c r="U9408" s="11">
        <f t="shared" si="2601"/>
        <v>2.2999999999999998</v>
      </c>
      <c r="W9408">
        <v>2.5</v>
      </c>
      <c r="X9408" s="1" t="s">
        <v>13</v>
      </c>
    </row>
    <row r="9409" spans="1:24" x14ac:dyDescent="0.25">
      <c r="A9409" s="1" t="str">
        <f t="shared" si="2607"/>
        <v>卡卡杜-凤凰仓</v>
      </c>
      <c r="B9409" s="1" t="str">
        <f>"CK20241006143"</f>
        <v>CK20241006143</v>
      </c>
      <c r="C9409" s="1" t="str">
        <f>"DD2024100613474"</f>
        <v>DD2024100613474</v>
      </c>
      <c r="D9409" s="1" t="str">
        <f>"CK2024100620248"</f>
        <v>CK2024100620248</v>
      </c>
      <c r="E9409" s="1" t="str">
        <f>"6917844110151089869"</f>
        <v>6917844110151089869</v>
      </c>
      <c r="F9409" s="1" t="str">
        <f t="shared" si="2608"/>
        <v>花都四部-凤凰仓</v>
      </c>
      <c r="G9409" s="1" t="str">
        <f t="shared" si="2602"/>
        <v>卡卡杜个人护理店（抖店）</v>
      </c>
      <c r="H9409" s="1" t="str">
        <f t="shared" si="2609"/>
        <v>正常订单</v>
      </c>
      <c r="I9409" s="1" t="str">
        <f t="shared" si="2610"/>
        <v>已发货</v>
      </c>
      <c r="J9409" s="1" t="str">
        <f t="shared" si="2611"/>
        <v>2</v>
      </c>
      <c r="K9409" s="1">
        <v>1</v>
      </c>
      <c r="L9409" s="1" t="s">
        <v>18</v>
      </c>
      <c r="M9409" s="1" t="str">
        <f>"广东省 汕尾市 陆丰市 碣石镇"</f>
        <v>广东省 汕尾市 陆丰市 碣石镇</v>
      </c>
      <c r="N9409" s="1" t="str">
        <f t="shared" si="2604"/>
        <v>凡华云仓-韵达-抖音</v>
      </c>
      <c r="O9409" s="5">
        <v>320157852101704</v>
      </c>
      <c r="P9409" s="6">
        <v>0.33</v>
      </c>
      <c r="Q9409" s="11">
        <v>2.2999999999999998</v>
      </c>
      <c r="R9409" s="11"/>
      <c r="S9409" s="11"/>
      <c r="T9409" s="11"/>
      <c r="U9409" s="11">
        <f t="shared" si="2601"/>
        <v>2.2999999999999998</v>
      </c>
      <c r="W9409">
        <v>2.5</v>
      </c>
      <c r="X9409" s="1" t="s">
        <v>18</v>
      </c>
    </row>
    <row r="9410" spans="1:24" x14ac:dyDescent="0.25">
      <c r="A9410" s="1" t="str">
        <f t="shared" si="2607"/>
        <v>卡卡杜-凤凰仓</v>
      </c>
      <c r="B9410" s="1" t="str">
        <f>"CK20241006140"</f>
        <v>CK20241006140</v>
      </c>
      <c r="C9410" s="1" t="str">
        <f>"DD2024100613472"</f>
        <v>DD2024100613472</v>
      </c>
      <c r="D9410" s="1" t="str">
        <f>"CK2024100620247"</f>
        <v>CK2024100620247</v>
      </c>
      <c r="E9410" s="1" t="str">
        <f>"6917836939864079979"</f>
        <v>6917836939864079979</v>
      </c>
      <c r="F9410" s="1" t="str">
        <f t="shared" si="2608"/>
        <v>花都四部-凤凰仓</v>
      </c>
      <c r="G9410" s="1" t="str">
        <f t="shared" si="2602"/>
        <v>卡卡杜个人护理店（抖店）</v>
      </c>
      <c r="H9410" s="1" t="str">
        <f t="shared" si="2609"/>
        <v>正常订单</v>
      </c>
      <c r="I9410" s="1" t="str">
        <f t="shared" si="2610"/>
        <v>已发货</v>
      </c>
      <c r="J9410" s="1" t="str">
        <f t="shared" si="2611"/>
        <v>2</v>
      </c>
      <c r="K9410" s="1">
        <v>1</v>
      </c>
      <c r="L9410" s="1" t="s">
        <v>27</v>
      </c>
      <c r="M9410" s="1" t="str">
        <f>"贵州省 遵义市 桐梓县 松坎镇"</f>
        <v>贵州省 遵义市 桐梓县 松坎镇</v>
      </c>
      <c r="N9410" s="1" t="str">
        <f t="shared" si="2604"/>
        <v>凡华云仓-韵达-抖音</v>
      </c>
      <c r="O9410" s="5">
        <v>320157852101603</v>
      </c>
      <c r="P9410" s="6">
        <v>0.33</v>
      </c>
      <c r="Q9410" s="11">
        <v>2.2999999999999998</v>
      </c>
      <c r="R9410" s="11"/>
      <c r="S9410" s="11"/>
      <c r="T9410" s="11"/>
      <c r="U9410" s="11">
        <f t="shared" si="2601"/>
        <v>2.2999999999999998</v>
      </c>
      <c r="W9410">
        <v>2.5</v>
      </c>
      <c r="X9410" s="1" t="s">
        <v>27</v>
      </c>
    </row>
    <row r="9411" spans="1:24" x14ac:dyDescent="0.25">
      <c r="A9411" s="1" t="str">
        <f t="shared" si="2607"/>
        <v>卡卡杜-凤凰仓</v>
      </c>
      <c r="B9411" s="1" t="str">
        <f>"CK20241006137"</f>
        <v>CK20241006137</v>
      </c>
      <c r="C9411" s="1" t="str">
        <f>"DD2024100613469"</f>
        <v>DD2024100613469</v>
      </c>
      <c r="D9411" s="1" t="str">
        <f>"CK2024100620246"</f>
        <v>CK2024100620246</v>
      </c>
      <c r="E9411" s="1" t="str">
        <f>"6917839621160336864"</f>
        <v>6917839621160336864</v>
      </c>
      <c r="F9411" s="1" t="str">
        <f t="shared" si="2608"/>
        <v>花都四部-凤凰仓</v>
      </c>
      <c r="G9411" s="1" t="str">
        <f t="shared" si="2602"/>
        <v>卡卡杜个人护理店（抖店）</v>
      </c>
      <c r="H9411" s="1" t="str">
        <f t="shared" si="2609"/>
        <v>正常订单</v>
      </c>
      <c r="I9411" s="1" t="str">
        <f t="shared" si="2610"/>
        <v>已发货</v>
      </c>
      <c r="J9411" s="1" t="str">
        <f t="shared" si="2611"/>
        <v>2</v>
      </c>
      <c r="K9411" s="1">
        <v>1</v>
      </c>
      <c r="L9411" s="1" t="s">
        <v>18</v>
      </c>
      <c r="M9411" s="1" t="str">
        <f>"广东省 清远市 阳山县 阳城镇"</f>
        <v>广东省 清远市 阳山县 阳城镇</v>
      </c>
      <c r="N9411" s="1" t="str">
        <f t="shared" si="2604"/>
        <v>凡华云仓-韵达-抖音</v>
      </c>
      <c r="O9411" s="5">
        <v>320157852101504</v>
      </c>
      <c r="P9411" s="6">
        <v>0.33</v>
      </c>
      <c r="Q9411" s="11">
        <v>2.2999999999999998</v>
      </c>
      <c r="R9411" s="11"/>
      <c r="S9411" s="11"/>
      <c r="T9411" s="11"/>
      <c r="U9411" s="11">
        <f t="shared" ref="U9411:U9474" si="2612">T9411+S9411+R9411+Q9411</f>
        <v>2.2999999999999998</v>
      </c>
      <c r="W9411">
        <v>2.5</v>
      </c>
      <c r="X9411" s="1" t="s">
        <v>18</v>
      </c>
    </row>
    <row r="9412" spans="1:24" x14ac:dyDescent="0.25">
      <c r="A9412" s="1" t="str">
        <f t="shared" si="2607"/>
        <v>卡卡杜-凤凰仓</v>
      </c>
      <c r="B9412" s="1" t="str">
        <f>"CK20241006142"</f>
        <v>CK20241006142</v>
      </c>
      <c r="C9412" s="1" t="str">
        <f>"DD2024100613475"</f>
        <v>DD2024100613475</v>
      </c>
      <c r="D9412" s="1" t="str">
        <f>"CK2024100620245"</f>
        <v>CK2024100620245</v>
      </c>
      <c r="E9412" s="1" t="str">
        <f>"6917839429139464004"</f>
        <v>6917839429139464004</v>
      </c>
      <c r="F9412" s="1" t="str">
        <f t="shared" si="2608"/>
        <v>花都四部-凤凰仓</v>
      </c>
      <c r="G9412" s="1" t="str">
        <f t="shared" si="2602"/>
        <v>卡卡杜个人护理店（抖店）</v>
      </c>
      <c r="H9412" s="1" t="str">
        <f t="shared" si="2609"/>
        <v>正常订单</v>
      </c>
      <c r="I9412" s="1" t="str">
        <f t="shared" si="2610"/>
        <v>已发货</v>
      </c>
      <c r="J9412" s="1" t="str">
        <f t="shared" si="2611"/>
        <v>2</v>
      </c>
      <c r="K9412" s="1">
        <v>1</v>
      </c>
      <c r="L9412" s="1" t="s">
        <v>16</v>
      </c>
      <c r="M9412" s="1" t="str">
        <f>"河北省 邢台市 巨鹿县 巨鹿镇"</f>
        <v>河北省 邢台市 巨鹿县 巨鹿镇</v>
      </c>
      <c r="N9412" s="1" t="str">
        <f t="shared" si="2604"/>
        <v>凡华云仓-韵达-抖音</v>
      </c>
      <c r="O9412" s="5">
        <v>320157852101407</v>
      </c>
      <c r="P9412" s="6">
        <v>0.33</v>
      </c>
      <c r="Q9412" s="11">
        <v>2.2999999999999998</v>
      </c>
      <c r="R9412" s="11"/>
      <c r="S9412" s="11"/>
      <c r="T9412" s="11"/>
      <c r="U9412" s="11">
        <f t="shared" si="2612"/>
        <v>2.2999999999999998</v>
      </c>
      <c r="W9412">
        <v>2.5</v>
      </c>
      <c r="X9412" s="1" t="s">
        <v>16</v>
      </c>
    </row>
    <row r="9413" spans="1:24" x14ac:dyDescent="0.25">
      <c r="A9413" s="1" t="str">
        <f t="shared" si="2607"/>
        <v>卡卡杜-凤凰仓</v>
      </c>
      <c r="B9413" s="1" t="str">
        <f>"CK20241006144"</f>
        <v>CK20241006144</v>
      </c>
      <c r="C9413" s="1" t="str">
        <f>"DD2024100613476"</f>
        <v>DD2024100613476</v>
      </c>
      <c r="D9413" s="1" t="str">
        <f>"CK2024100620244"</f>
        <v>CK2024100620244</v>
      </c>
      <c r="E9413" s="1" t="str">
        <f>"6917839518404017811"</f>
        <v>6917839518404017811</v>
      </c>
      <c r="F9413" s="1" t="str">
        <f t="shared" si="2608"/>
        <v>花都四部-凤凰仓</v>
      </c>
      <c r="G9413" s="1" t="str">
        <f t="shared" si="2602"/>
        <v>卡卡杜个人护理店（抖店）</v>
      </c>
      <c r="H9413" s="1" t="str">
        <f t="shared" si="2609"/>
        <v>正常订单</v>
      </c>
      <c r="I9413" s="1" t="str">
        <f t="shared" si="2610"/>
        <v>已发货</v>
      </c>
      <c r="J9413" s="1" t="str">
        <f t="shared" si="2611"/>
        <v>2</v>
      </c>
      <c r="K9413" s="1">
        <v>1</v>
      </c>
      <c r="L9413" s="1" t="s">
        <v>80</v>
      </c>
      <c r="M9413" s="1" t="str">
        <f>"河南省 信阳市 商城县 上石桥镇"</f>
        <v>河南省 信阳市 商城县 上石桥镇</v>
      </c>
      <c r="N9413" s="1" t="str">
        <f t="shared" si="2604"/>
        <v>凡华云仓-韵达-抖音</v>
      </c>
      <c r="O9413" s="5">
        <v>320157852101312</v>
      </c>
      <c r="P9413" s="6">
        <v>0.33</v>
      </c>
      <c r="Q9413" s="11">
        <v>2.2999999999999998</v>
      </c>
      <c r="R9413" s="11"/>
      <c r="S9413" s="11"/>
      <c r="T9413" s="11"/>
      <c r="U9413" s="11">
        <f t="shared" si="2612"/>
        <v>2.2999999999999998</v>
      </c>
      <c r="W9413">
        <v>2.5</v>
      </c>
      <c r="X9413" s="1" t="s">
        <v>80</v>
      </c>
    </row>
    <row r="9414" spans="1:24" x14ac:dyDescent="0.25">
      <c r="A9414" s="1" t="str">
        <f t="shared" si="2607"/>
        <v>卡卡杜-凤凰仓</v>
      </c>
      <c r="B9414" s="1" t="str">
        <f>"CK20241006139"</f>
        <v>CK20241006139</v>
      </c>
      <c r="C9414" s="1" t="str">
        <f>"DD2024100613471"</f>
        <v>DD2024100613471</v>
      </c>
      <c r="D9414" s="1" t="str">
        <f>"CK2024100620243"</f>
        <v>CK2024100620243</v>
      </c>
      <c r="E9414" s="1" t="str">
        <f>"6917844097708555671"</f>
        <v>6917844097708555671</v>
      </c>
      <c r="F9414" s="1" t="str">
        <f t="shared" si="2608"/>
        <v>花都四部-凤凰仓</v>
      </c>
      <c r="G9414" s="1" t="str">
        <f t="shared" si="2602"/>
        <v>卡卡杜个人护理店（抖店）</v>
      </c>
      <c r="H9414" s="1" t="str">
        <f t="shared" si="2609"/>
        <v>正常订单</v>
      </c>
      <c r="I9414" s="1" t="str">
        <f t="shared" si="2610"/>
        <v>已发货</v>
      </c>
      <c r="J9414" s="1" t="str">
        <f t="shared" si="2611"/>
        <v>2</v>
      </c>
      <c r="K9414" s="1">
        <v>1</v>
      </c>
      <c r="L9414" s="1" t="s">
        <v>22</v>
      </c>
      <c r="M9414" s="1" t="str">
        <f>"江西省 上饶市 万年县 陈营镇"</f>
        <v>江西省 上饶市 万年县 陈营镇</v>
      </c>
      <c r="N9414" s="1" t="str">
        <f t="shared" si="2604"/>
        <v>凡华云仓-韵达-抖音</v>
      </c>
      <c r="O9414" s="5">
        <v>320157852101219</v>
      </c>
      <c r="P9414" s="6">
        <v>0.33</v>
      </c>
      <c r="Q9414" s="11">
        <v>2.2999999999999998</v>
      </c>
      <c r="R9414" s="11"/>
      <c r="S9414" s="11"/>
      <c r="T9414" s="11"/>
      <c r="U9414" s="11">
        <f t="shared" si="2612"/>
        <v>2.2999999999999998</v>
      </c>
      <c r="W9414">
        <v>2.5</v>
      </c>
      <c r="X9414" s="1" t="s">
        <v>22</v>
      </c>
    </row>
    <row r="9415" spans="1:24" x14ac:dyDescent="0.25">
      <c r="A9415" s="1" t="str">
        <f t="shared" si="2607"/>
        <v>卡卡杜-凤凰仓</v>
      </c>
      <c r="B9415" s="1" t="str">
        <f>"CK20241006147"</f>
        <v>CK20241006147</v>
      </c>
      <c r="C9415" s="1" t="str">
        <f>"DD2024100613479"</f>
        <v>DD2024100613479</v>
      </c>
      <c r="D9415" s="1" t="str">
        <f>"CK2024100620242"</f>
        <v>CK2024100620242</v>
      </c>
      <c r="E9415" s="1" t="str">
        <f>"6917841898532076565"</f>
        <v>6917841898532076565</v>
      </c>
      <c r="F9415" s="1" t="str">
        <f t="shared" si="2608"/>
        <v>花都四部-凤凰仓</v>
      </c>
      <c r="G9415" s="1" t="str">
        <f t="shared" si="2602"/>
        <v>卡卡杜个人护理店（抖店）</v>
      </c>
      <c r="H9415" s="1" t="str">
        <f t="shared" si="2609"/>
        <v>正常订单</v>
      </c>
      <c r="I9415" s="1" t="str">
        <f t="shared" si="2610"/>
        <v>已发货</v>
      </c>
      <c r="J9415" s="1" t="str">
        <f t="shared" si="2611"/>
        <v>2</v>
      </c>
      <c r="K9415" s="1">
        <v>1</v>
      </c>
      <c r="L9415" s="1" t="s">
        <v>13</v>
      </c>
      <c r="M9415" s="1" t="str">
        <f>"江苏省 苏州市 吴中区 木渎镇"</f>
        <v>江苏省 苏州市 吴中区 木渎镇</v>
      </c>
      <c r="N9415" s="1" t="str">
        <f t="shared" si="2604"/>
        <v>凡华云仓-韵达-抖音</v>
      </c>
      <c r="O9415" s="5">
        <v>320157850276270</v>
      </c>
      <c r="P9415" s="6">
        <v>0.33</v>
      </c>
      <c r="Q9415" s="11">
        <v>2.2999999999999998</v>
      </c>
      <c r="R9415" s="11"/>
      <c r="S9415" s="11"/>
      <c r="T9415" s="11"/>
      <c r="U9415" s="11">
        <f t="shared" si="2612"/>
        <v>2.2999999999999998</v>
      </c>
      <c r="W9415">
        <v>2.5</v>
      </c>
      <c r="X9415" s="1" t="s">
        <v>13</v>
      </c>
    </row>
    <row r="9416" spans="1:24" x14ac:dyDescent="0.25">
      <c r="A9416" s="1" t="str">
        <f t="shared" si="2607"/>
        <v>卡卡杜-凤凰仓</v>
      </c>
      <c r="B9416" s="1" t="str">
        <f>"CK20241006128"</f>
        <v>CK20241006128</v>
      </c>
      <c r="C9416" s="1" t="str">
        <f>"DD2024100613461"</f>
        <v>DD2024100613461</v>
      </c>
      <c r="D9416" s="1" t="str">
        <f>"CK2024100620241"</f>
        <v>CK2024100620241</v>
      </c>
      <c r="E9416" s="1" t="str">
        <f>"6917841867713117680"</f>
        <v>6917841867713117680</v>
      </c>
      <c r="F9416" s="1" t="str">
        <f t="shared" si="2608"/>
        <v>花都四部-凤凰仓</v>
      </c>
      <c r="G9416" s="1" t="str">
        <f t="shared" si="2602"/>
        <v>卡卡杜个人护理店（抖店）</v>
      </c>
      <c r="H9416" s="1" t="str">
        <f t="shared" si="2609"/>
        <v>正常订单</v>
      </c>
      <c r="I9416" s="1" t="str">
        <f t="shared" si="2610"/>
        <v>已发货</v>
      </c>
      <c r="J9416" s="1" t="str">
        <f t="shared" si="2611"/>
        <v>2</v>
      </c>
      <c r="K9416" s="1">
        <v>1</v>
      </c>
      <c r="L9416" s="1" t="s">
        <v>18</v>
      </c>
      <c r="M9416" s="1" t="str">
        <f>"广东省 佛山市 禅城区 石湾镇街道"</f>
        <v>广东省 佛山市 禅城区 石湾镇街道</v>
      </c>
      <c r="N9416" s="1" t="str">
        <f t="shared" si="2604"/>
        <v>凡华云仓-韵达-抖音</v>
      </c>
      <c r="O9416" s="5">
        <v>320157850276179</v>
      </c>
      <c r="P9416" s="6">
        <v>0.33</v>
      </c>
      <c r="Q9416" s="11">
        <v>2.2999999999999998</v>
      </c>
      <c r="R9416" s="11"/>
      <c r="S9416" s="11"/>
      <c r="T9416" s="11"/>
      <c r="U9416" s="11">
        <f t="shared" si="2612"/>
        <v>2.2999999999999998</v>
      </c>
      <c r="W9416">
        <v>2.5</v>
      </c>
      <c r="X9416" s="1" t="s">
        <v>18</v>
      </c>
    </row>
    <row r="9417" spans="1:24" x14ac:dyDescent="0.25">
      <c r="A9417" s="1" t="str">
        <f t="shared" si="2607"/>
        <v>卡卡杜-凤凰仓</v>
      </c>
      <c r="B9417" s="1" t="str">
        <f>"CK20241006148"</f>
        <v>CK20241006148</v>
      </c>
      <c r="C9417" s="1" t="str">
        <f>"DD2024100613480"</f>
        <v>DD2024100613480</v>
      </c>
      <c r="D9417" s="1" t="str">
        <f>"CK2024100620240"</f>
        <v>CK2024100620240</v>
      </c>
      <c r="E9417" s="1" t="str">
        <f>"6917846327533731227"</f>
        <v>6917846327533731227</v>
      </c>
      <c r="F9417" s="1" t="str">
        <f t="shared" si="2608"/>
        <v>花都四部-凤凰仓</v>
      </c>
      <c r="G9417" s="1" t="str">
        <f t="shared" si="2602"/>
        <v>卡卡杜个人护理店（抖店）</v>
      </c>
      <c r="H9417" s="1" t="str">
        <f t="shared" si="2609"/>
        <v>正常订单</v>
      </c>
      <c r="I9417" s="1" t="str">
        <f t="shared" si="2610"/>
        <v>已发货</v>
      </c>
      <c r="J9417" s="1" t="str">
        <f t="shared" si="2611"/>
        <v>2</v>
      </c>
      <c r="K9417" s="1">
        <v>1</v>
      </c>
      <c r="L9417" s="1" t="s">
        <v>20</v>
      </c>
      <c r="M9417" s="1" t="str">
        <f>"浙江省 金华市 兰溪市 兰江街道"</f>
        <v>浙江省 金华市 兰溪市 兰江街道</v>
      </c>
      <c r="N9417" s="1" t="str">
        <f t="shared" si="2604"/>
        <v>凡华云仓-韵达-抖音</v>
      </c>
      <c r="O9417" s="5">
        <v>320157850276090</v>
      </c>
      <c r="P9417" s="6">
        <v>0.33</v>
      </c>
      <c r="Q9417" s="11">
        <v>2.2999999999999998</v>
      </c>
      <c r="R9417" s="11"/>
      <c r="S9417" s="11"/>
      <c r="T9417" s="11"/>
      <c r="U9417" s="11">
        <f t="shared" si="2612"/>
        <v>2.2999999999999998</v>
      </c>
      <c r="W9417">
        <v>2.5</v>
      </c>
      <c r="X9417" s="1" t="s">
        <v>20</v>
      </c>
    </row>
    <row r="9418" spans="1:24" x14ac:dyDescent="0.25">
      <c r="A9418" s="1" t="str">
        <f t="shared" si="2607"/>
        <v>卡卡杜-凤凰仓</v>
      </c>
      <c r="B9418" s="1" t="str">
        <f>"CK20241006150"</f>
        <v>CK20241006150</v>
      </c>
      <c r="C9418" s="1" t="str">
        <f>"DD2024100613482"</f>
        <v>DD2024100613482</v>
      </c>
      <c r="D9418" s="1" t="str">
        <f>"CK2024100620239"</f>
        <v>CK2024100620239</v>
      </c>
      <c r="E9418" s="1" t="str">
        <f>"6917836868806671804"</f>
        <v>6917836868806671804</v>
      </c>
      <c r="F9418" s="1" t="str">
        <f t="shared" si="2608"/>
        <v>花都四部-凤凰仓</v>
      </c>
      <c r="G9418" s="1" t="str">
        <f t="shared" si="2602"/>
        <v>卡卡杜个人护理店（抖店）</v>
      </c>
      <c r="H9418" s="1" t="str">
        <f t="shared" si="2609"/>
        <v>正常订单</v>
      </c>
      <c r="I9418" s="1" t="str">
        <f t="shared" si="2610"/>
        <v>已发货</v>
      </c>
      <c r="J9418" s="1" t="str">
        <f t="shared" si="2611"/>
        <v>2</v>
      </c>
      <c r="K9418" s="1">
        <v>1</v>
      </c>
      <c r="L9418" s="1" t="s">
        <v>60</v>
      </c>
      <c r="M9418" s="1" t="str">
        <f>"云南省 红河哈尼族彝族自治州 开远市 乐白街道"</f>
        <v>云南省 红河哈尼族彝族自治州 开远市 乐白街道</v>
      </c>
      <c r="N9418" s="1" t="str">
        <f t="shared" si="2604"/>
        <v>凡华云仓-韵达-抖音</v>
      </c>
      <c r="O9418" s="5">
        <v>320157850275964</v>
      </c>
      <c r="P9418" s="6">
        <v>0.33</v>
      </c>
      <c r="Q9418" s="11">
        <v>2.2999999999999998</v>
      </c>
      <c r="R9418" s="11"/>
      <c r="S9418" s="11"/>
      <c r="T9418" s="11"/>
      <c r="U9418" s="11">
        <f t="shared" si="2612"/>
        <v>2.2999999999999998</v>
      </c>
      <c r="W9418">
        <v>2.5</v>
      </c>
      <c r="X9418" s="1" t="s">
        <v>60</v>
      </c>
    </row>
    <row r="9419" spans="1:24" x14ac:dyDescent="0.25">
      <c r="A9419" s="1" t="str">
        <f t="shared" si="2607"/>
        <v>卡卡杜-凤凰仓</v>
      </c>
      <c r="B9419" s="1" t="str">
        <f>"CK20241006159"</f>
        <v>CK20241006159</v>
      </c>
      <c r="C9419" s="1" t="str">
        <f>"DD2024100613493"</f>
        <v>DD2024100613493</v>
      </c>
      <c r="D9419" s="1" t="str">
        <f>"CK2024100620238"</f>
        <v>CK2024100620238</v>
      </c>
      <c r="E9419" s="1" t="str">
        <f>"6917839564828409774"</f>
        <v>6917839564828409774</v>
      </c>
      <c r="F9419" s="1" t="str">
        <f t="shared" si="2608"/>
        <v>花都四部-凤凰仓</v>
      </c>
      <c r="G9419" s="1" t="str">
        <f t="shared" si="2602"/>
        <v>卡卡杜个人护理店（抖店）</v>
      </c>
      <c r="H9419" s="1" t="str">
        <f t="shared" si="2609"/>
        <v>正常订单</v>
      </c>
      <c r="I9419" s="1" t="str">
        <f t="shared" si="2610"/>
        <v>已发货</v>
      </c>
      <c r="J9419" s="1" t="str">
        <f t="shared" si="2611"/>
        <v>2</v>
      </c>
      <c r="K9419" s="1">
        <v>1</v>
      </c>
      <c r="L9419" s="1" t="s">
        <v>18</v>
      </c>
      <c r="M9419" s="1" t="str">
        <f>"广东省 珠海市 金湾区 三灶镇"</f>
        <v>广东省 珠海市 金湾区 三灶镇</v>
      </c>
      <c r="N9419" s="1" t="str">
        <f t="shared" si="2604"/>
        <v>凡华云仓-韵达-抖音</v>
      </c>
      <c r="O9419" s="5">
        <v>320157850275859</v>
      </c>
      <c r="P9419" s="6">
        <v>0.33</v>
      </c>
      <c r="Q9419" s="11">
        <v>2.2999999999999998</v>
      </c>
      <c r="R9419" s="11"/>
      <c r="S9419" s="11"/>
      <c r="T9419" s="11"/>
      <c r="U9419" s="11">
        <f t="shared" si="2612"/>
        <v>2.2999999999999998</v>
      </c>
      <c r="W9419">
        <v>2.5</v>
      </c>
      <c r="X9419" s="1" t="s">
        <v>18</v>
      </c>
    </row>
    <row r="9420" spans="1:24" x14ac:dyDescent="0.25">
      <c r="A9420" s="1" t="str">
        <f t="shared" si="2607"/>
        <v>卡卡杜-凤凰仓</v>
      </c>
      <c r="B9420" s="1" t="str">
        <f>"CK20241006168"</f>
        <v>CK20241006168</v>
      </c>
      <c r="C9420" s="1" t="str">
        <f>"DD2024100613500"</f>
        <v>DD2024100613500</v>
      </c>
      <c r="D9420" s="1" t="str">
        <f>"CK2024100620237"</f>
        <v>CK2024100620237</v>
      </c>
      <c r="E9420" s="1" t="str">
        <f>"6917841715432816404"</f>
        <v>6917841715432816404</v>
      </c>
      <c r="F9420" s="1" t="str">
        <f t="shared" si="2608"/>
        <v>花都四部-凤凰仓</v>
      </c>
      <c r="G9420" s="1" t="str">
        <f t="shared" si="2602"/>
        <v>卡卡杜个人护理店（抖店）</v>
      </c>
      <c r="H9420" s="1" t="str">
        <f t="shared" si="2609"/>
        <v>正常订单</v>
      </c>
      <c r="I9420" s="1" t="str">
        <f t="shared" si="2610"/>
        <v>已发货</v>
      </c>
      <c r="J9420" s="1" t="str">
        <f t="shared" si="2611"/>
        <v>2</v>
      </c>
      <c r="K9420" s="1">
        <v>1</v>
      </c>
      <c r="L9420" s="1" t="s">
        <v>36</v>
      </c>
      <c r="M9420" s="1" t="str">
        <f>"安徽省 安庆市 桐城市 龙眠街道"</f>
        <v>安徽省 安庆市 桐城市 龙眠街道</v>
      </c>
      <c r="N9420" s="1" t="str">
        <f t="shared" si="2604"/>
        <v>凡华云仓-韵达-抖音</v>
      </c>
      <c r="O9420" s="5">
        <v>320157850275756</v>
      </c>
      <c r="P9420" s="6">
        <v>0.33</v>
      </c>
      <c r="Q9420" s="11">
        <v>2.2999999999999998</v>
      </c>
      <c r="R9420" s="11"/>
      <c r="S9420" s="11"/>
      <c r="T9420" s="11"/>
      <c r="U9420" s="11">
        <f t="shared" si="2612"/>
        <v>2.2999999999999998</v>
      </c>
      <c r="W9420">
        <v>2.5</v>
      </c>
      <c r="X9420" s="1" t="s">
        <v>36</v>
      </c>
    </row>
    <row r="9421" spans="1:24" x14ac:dyDescent="0.25">
      <c r="A9421" s="1" t="str">
        <f t="shared" si="2607"/>
        <v>卡卡杜-凤凰仓</v>
      </c>
      <c r="B9421" s="1" t="str">
        <f>"CK2024100683"</f>
        <v>CK2024100683</v>
      </c>
      <c r="C9421" s="1" t="str">
        <f>"DD2024100613417"</f>
        <v>DD2024100613417</v>
      </c>
      <c r="D9421" s="1" t="str">
        <f>"CK2024100620236"</f>
        <v>CK2024100620236</v>
      </c>
      <c r="E9421" s="1" t="str">
        <f>"6917845940957445580"</f>
        <v>6917845940957445580</v>
      </c>
      <c r="F9421" s="1" t="str">
        <f t="shared" si="2608"/>
        <v>花都四部-凤凰仓</v>
      </c>
      <c r="G9421" s="1" t="str">
        <f t="shared" si="2602"/>
        <v>卡卡杜个人护理店（抖店）</v>
      </c>
      <c r="H9421" s="1" t="str">
        <f t="shared" si="2609"/>
        <v>正常订单</v>
      </c>
      <c r="I9421" s="1" t="str">
        <f t="shared" si="2610"/>
        <v>已发货</v>
      </c>
      <c r="J9421" s="1" t="str">
        <f t="shared" si="2611"/>
        <v>2</v>
      </c>
      <c r="K9421" s="1">
        <v>1</v>
      </c>
      <c r="L9421" s="1" t="s">
        <v>96</v>
      </c>
      <c r="M9421" s="1" t="str">
        <f>"广西壮族自治区 梧州市 藤县 藤州镇"</f>
        <v>广西壮族自治区 梧州市 藤县 藤州镇</v>
      </c>
      <c r="N9421" s="1" t="str">
        <f t="shared" si="2604"/>
        <v>凡华云仓-韵达-抖音</v>
      </c>
      <c r="O9421" s="5">
        <v>320157850275655</v>
      </c>
      <c r="P9421" s="6">
        <v>0.33</v>
      </c>
      <c r="Q9421" s="11">
        <v>2.2999999999999998</v>
      </c>
      <c r="R9421" s="11"/>
      <c r="S9421" s="11"/>
      <c r="T9421" s="11"/>
      <c r="U9421" s="11">
        <f t="shared" si="2612"/>
        <v>2.2999999999999998</v>
      </c>
      <c r="W9421">
        <v>2.5</v>
      </c>
      <c r="X9421" s="1" t="s">
        <v>96</v>
      </c>
    </row>
    <row r="9422" spans="1:24" x14ac:dyDescent="0.25">
      <c r="A9422" s="1" t="str">
        <f t="shared" si="2607"/>
        <v>卡卡杜-凤凰仓</v>
      </c>
      <c r="B9422" s="1" t="str">
        <f>"CK20241006123"</f>
        <v>CK20241006123</v>
      </c>
      <c r="C9422" s="1" t="str">
        <f>"DD2024100613455"</f>
        <v>DD2024100613455</v>
      </c>
      <c r="D9422" s="1" t="str">
        <f>"CK2024100620235"</f>
        <v>CK2024100620235</v>
      </c>
      <c r="E9422" s="1" t="str">
        <f>"6917844078332902915"</f>
        <v>6917844078332902915</v>
      </c>
      <c r="F9422" s="1" t="str">
        <f t="shared" si="2608"/>
        <v>花都四部-凤凰仓</v>
      </c>
      <c r="G9422" s="1" t="str">
        <f t="shared" si="2602"/>
        <v>卡卡杜个人护理店（抖店）</v>
      </c>
      <c r="H9422" s="1" t="str">
        <f t="shared" si="2609"/>
        <v>正常订单</v>
      </c>
      <c r="I9422" s="1" t="str">
        <f t="shared" si="2610"/>
        <v>已发货</v>
      </c>
      <c r="J9422" s="1" t="str">
        <f t="shared" si="2611"/>
        <v>2</v>
      </c>
      <c r="K9422" s="1">
        <v>1</v>
      </c>
      <c r="L9422" s="1" t="s">
        <v>20</v>
      </c>
      <c r="M9422" s="1" t="str">
        <f>"浙江省 温州市 瓯海区 泽雅镇"</f>
        <v>浙江省 温州市 瓯海区 泽雅镇</v>
      </c>
      <c r="N9422" s="1" t="str">
        <f t="shared" si="2604"/>
        <v>凡华云仓-韵达-抖音</v>
      </c>
      <c r="O9422" s="5">
        <v>320157850275556</v>
      </c>
      <c r="P9422" s="6">
        <v>0.33</v>
      </c>
      <c r="Q9422" s="11">
        <v>2.2999999999999998</v>
      </c>
      <c r="R9422" s="11"/>
      <c r="S9422" s="11"/>
      <c r="T9422" s="11"/>
      <c r="U9422" s="11">
        <f t="shared" si="2612"/>
        <v>2.2999999999999998</v>
      </c>
      <c r="W9422">
        <v>2.5</v>
      </c>
      <c r="X9422" s="1" t="s">
        <v>20</v>
      </c>
    </row>
    <row r="9423" spans="1:24" x14ac:dyDescent="0.25">
      <c r="A9423" s="1" t="str">
        <f t="shared" si="2607"/>
        <v>卡卡杜-凤凰仓</v>
      </c>
      <c r="B9423" s="1" t="str">
        <f>"CK2024100664"</f>
        <v>CK2024100664</v>
      </c>
      <c r="C9423" s="1" t="str">
        <f>"DD2024100613396"</f>
        <v>DD2024100613396</v>
      </c>
      <c r="D9423" s="1" t="str">
        <f>"CK2024100620234"</f>
        <v>CK2024100620234</v>
      </c>
      <c r="E9423" s="1" t="str">
        <f>"6917836905477602778"</f>
        <v>6917836905477602778</v>
      </c>
      <c r="F9423" s="1" t="str">
        <f t="shared" si="2608"/>
        <v>花都四部-凤凰仓</v>
      </c>
      <c r="G9423" s="1" t="str">
        <f t="shared" si="2602"/>
        <v>卡卡杜个人护理店（抖店）</v>
      </c>
      <c r="H9423" s="1" t="str">
        <f t="shared" si="2609"/>
        <v>正常订单</v>
      </c>
      <c r="I9423" s="1" t="str">
        <f t="shared" si="2610"/>
        <v>已发货</v>
      </c>
      <c r="J9423" s="1" t="str">
        <f t="shared" si="2611"/>
        <v>2</v>
      </c>
      <c r="K9423" s="1">
        <v>1</v>
      </c>
      <c r="L9423" s="1" t="s">
        <v>94</v>
      </c>
      <c r="M9423" s="1" t="str">
        <f>"湖南省 湘潭市 岳塘区 荷塘街道"</f>
        <v>湖南省 湘潭市 岳塘区 荷塘街道</v>
      </c>
      <c r="N9423" s="1" t="str">
        <f t="shared" si="2604"/>
        <v>凡华云仓-韵达-抖音</v>
      </c>
      <c r="O9423" s="5">
        <v>320157850275459</v>
      </c>
      <c r="P9423" s="6">
        <v>0.33</v>
      </c>
      <c r="Q9423" s="11">
        <v>2.2999999999999998</v>
      </c>
      <c r="R9423" s="11"/>
      <c r="S9423" s="11"/>
      <c r="T9423" s="11"/>
      <c r="U9423" s="11">
        <f t="shared" si="2612"/>
        <v>2.2999999999999998</v>
      </c>
      <c r="W9423">
        <v>2.5</v>
      </c>
      <c r="X9423" s="1" t="s">
        <v>94</v>
      </c>
    </row>
    <row r="9424" spans="1:24" x14ac:dyDescent="0.25">
      <c r="A9424" s="1" t="str">
        <f t="shared" si="2607"/>
        <v>卡卡杜-凤凰仓</v>
      </c>
      <c r="B9424" s="1" t="str">
        <f>"CK2024100665"</f>
        <v>CK2024100665</v>
      </c>
      <c r="C9424" s="1" t="str">
        <f>"DD2024100613397"</f>
        <v>DD2024100613397</v>
      </c>
      <c r="D9424" s="1" t="str">
        <f>"CK2024100620233"</f>
        <v>CK2024100620233</v>
      </c>
      <c r="E9424" s="1" t="str">
        <f>"6917836804394679987"</f>
        <v>6917836804394679987</v>
      </c>
      <c r="F9424" s="1" t="str">
        <f t="shared" si="2608"/>
        <v>花都四部-凤凰仓</v>
      </c>
      <c r="G9424" s="1" t="str">
        <f t="shared" si="2602"/>
        <v>卡卡杜个人护理店（抖店）</v>
      </c>
      <c r="H9424" s="1" t="str">
        <f t="shared" si="2609"/>
        <v>正常订单</v>
      </c>
      <c r="I9424" s="1" t="str">
        <f t="shared" si="2610"/>
        <v>已发货</v>
      </c>
      <c r="J9424" s="1" t="str">
        <f t="shared" si="2611"/>
        <v>2</v>
      </c>
      <c r="K9424" s="1">
        <v>1</v>
      </c>
      <c r="L9424" s="1" t="s">
        <v>161</v>
      </c>
      <c r="M9424" s="1" t="str">
        <f>"四川省 眉山市 东坡区 大石桥街道"</f>
        <v>四川省 眉山市 东坡区 大石桥街道</v>
      </c>
      <c r="N9424" s="1" t="str">
        <f t="shared" si="2604"/>
        <v>凡华云仓-韵达-抖音</v>
      </c>
      <c r="O9424" s="5">
        <v>320157850275364</v>
      </c>
      <c r="P9424" s="6">
        <v>0.33</v>
      </c>
      <c r="Q9424" s="11">
        <v>2.2999999999999998</v>
      </c>
      <c r="R9424" s="11"/>
      <c r="S9424" s="11"/>
      <c r="T9424" s="11"/>
      <c r="U9424" s="11">
        <f t="shared" si="2612"/>
        <v>2.2999999999999998</v>
      </c>
      <c r="W9424">
        <v>2.5</v>
      </c>
      <c r="X9424" s="1" t="s">
        <v>161</v>
      </c>
    </row>
    <row r="9425" spans="1:24" x14ac:dyDescent="0.25">
      <c r="A9425" s="1" t="str">
        <f t="shared" si="2607"/>
        <v>卡卡杜-凤凰仓</v>
      </c>
      <c r="B9425" s="1" t="str">
        <f>"CK2024100666"</f>
        <v>CK2024100666</v>
      </c>
      <c r="C9425" s="1" t="str">
        <f>"DD2024100613398"</f>
        <v>DD2024100613398</v>
      </c>
      <c r="D9425" s="1" t="str">
        <f>"CK2024100620232"</f>
        <v>CK2024100620232</v>
      </c>
      <c r="E9425" s="1" t="str">
        <f>"6917843859891649920"</f>
        <v>6917843859891649920</v>
      </c>
      <c r="F9425" s="1" t="str">
        <f t="shared" si="2608"/>
        <v>花都四部-凤凰仓</v>
      </c>
      <c r="G9425" s="1" t="str">
        <f t="shared" si="2602"/>
        <v>卡卡杜个人护理店（抖店）</v>
      </c>
      <c r="H9425" s="1" t="str">
        <f t="shared" si="2609"/>
        <v>正常订单</v>
      </c>
      <c r="I9425" s="1" t="str">
        <f t="shared" si="2610"/>
        <v>已发货</v>
      </c>
      <c r="J9425" s="1" t="str">
        <f t="shared" si="2611"/>
        <v>2</v>
      </c>
      <c r="K9425" s="1">
        <v>1</v>
      </c>
      <c r="L9425" s="1" t="s">
        <v>20</v>
      </c>
      <c r="M9425" s="1" t="str">
        <f>"浙江省 湖州市 安吉县 "</f>
        <v xml:space="preserve">浙江省 湖州市 安吉县 </v>
      </c>
      <c r="N9425" s="1" t="str">
        <f t="shared" si="2604"/>
        <v>凡华云仓-韵达-抖音</v>
      </c>
      <c r="O9425" s="5">
        <v>320157842595247</v>
      </c>
      <c r="P9425" s="6">
        <v>0.33</v>
      </c>
      <c r="Q9425" s="11">
        <v>2.2999999999999998</v>
      </c>
      <c r="R9425" s="11"/>
      <c r="S9425" s="11"/>
      <c r="T9425" s="11"/>
      <c r="U9425" s="11">
        <f t="shared" si="2612"/>
        <v>2.2999999999999998</v>
      </c>
      <c r="W9425">
        <v>2.5</v>
      </c>
      <c r="X9425" s="1" t="s">
        <v>20</v>
      </c>
    </row>
    <row r="9426" spans="1:24" x14ac:dyDescent="0.25">
      <c r="A9426" s="1" t="str">
        <f t="shared" si="2607"/>
        <v>卡卡杜-凤凰仓</v>
      </c>
      <c r="B9426" s="1" t="str">
        <f>"CK2024100667"</f>
        <v>CK2024100667</v>
      </c>
      <c r="C9426" s="1" t="str">
        <f>"DD2024100613400"</f>
        <v>DD2024100613400</v>
      </c>
      <c r="D9426" s="1" t="str">
        <f>"CK2024100620231"</f>
        <v>CK2024100620231</v>
      </c>
      <c r="E9426" s="1" t="str">
        <f>"6917846187245469122"</f>
        <v>6917846187245469122</v>
      </c>
      <c r="F9426" s="1" t="str">
        <f t="shared" si="2608"/>
        <v>花都四部-凤凰仓</v>
      </c>
      <c r="G9426" s="1" t="str">
        <f t="shared" si="2602"/>
        <v>卡卡杜个人护理店（抖店）</v>
      </c>
      <c r="H9426" s="1" t="str">
        <f t="shared" si="2609"/>
        <v>正常订单</v>
      </c>
      <c r="I9426" s="1" t="str">
        <f t="shared" si="2610"/>
        <v>已发货</v>
      </c>
      <c r="J9426" s="1" t="str">
        <f t="shared" si="2611"/>
        <v>2</v>
      </c>
      <c r="K9426" s="1">
        <v>1</v>
      </c>
      <c r="L9426" s="1" t="s">
        <v>18</v>
      </c>
      <c r="M9426" s="1" t="str">
        <f>"广东省 广州市 白云区 大源街道"</f>
        <v>广东省 广州市 白云区 大源街道</v>
      </c>
      <c r="N9426" s="1" t="str">
        <f t="shared" si="2604"/>
        <v>凡华云仓-韵达-抖音</v>
      </c>
      <c r="O9426" s="5">
        <v>320157842595156</v>
      </c>
      <c r="P9426" s="6">
        <v>0.33</v>
      </c>
      <c r="Q9426" s="11">
        <v>2.2999999999999998</v>
      </c>
      <c r="R9426" s="11"/>
      <c r="S9426" s="11"/>
      <c r="T9426" s="11"/>
      <c r="U9426" s="11">
        <f t="shared" si="2612"/>
        <v>2.2999999999999998</v>
      </c>
      <c r="W9426">
        <v>2.5</v>
      </c>
      <c r="X9426" s="1" t="s">
        <v>18</v>
      </c>
    </row>
    <row r="9427" spans="1:24" x14ac:dyDescent="0.25">
      <c r="A9427" s="1" t="str">
        <f t="shared" si="2607"/>
        <v>卡卡杜-凤凰仓</v>
      </c>
      <c r="B9427" s="1" t="str">
        <f>"CK20241006169"</f>
        <v>CK20241006169</v>
      </c>
      <c r="C9427" s="1" t="str">
        <f>"DD2024100613501"</f>
        <v>DD2024100613501</v>
      </c>
      <c r="D9427" s="1" t="str">
        <f>"CK2024100620230"</f>
        <v>CK2024100620230</v>
      </c>
      <c r="E9427" s="1" t="str">
        <f>"6917844137543040959"</f>
        <v>6917844137543040959</v>
      </c>
      <c r="F9427" s="1" t="str">
        <f t="shared" si="2608"/>
        <v>花都四部-凤凰仓</v>
      </c>
      <c r="G9427" s="1" t="str">
        <f t="shared" si="2602"/>
        <v>卡卡杜个人护理店（抖店）</v>
      </c>
      <c r="H9427" s="1" t="str">
        <f t="shared" si="2609"/>
        <v>正常订单</v>
      </c>
      <c r="I9427" s="1" t="str">
        <f t="shared" si="2610"/>
        <v>已发货</v>
      </c>
      <c r="J9427" s="1" t="str">
        <f t="shared" si="2611"/>
        <v>2</v>
      </c>
      <c r="K9427" s="1">
        <v>1</v>
      </c>
      <c r="L9427" s="1" t="s">
        <v>60</v>
      </c>
      <c r="M9427" s="1" t="str">
        <f>"云南省 保山市 腾冲市 滇滩镇"</f>
        <v>云南省 保山市 腾冲市 滇滩镇</v>
      </c>
      <c r="N9427" s="1" t="str">
        <f t="shared" si="2604"/>
        <v>凡华云仓-韵达-抖音</v>
      </c>
      <c r="O9427" s="5">
        <v>320157842595067</v>
      </c>
      <c r="P9427" s="6">
        <v>0.33</v>
      </c>
      <c r="Q9427" s="11">
        <v>2.2999999999999998</v>
      </c>
      <c r="R9427" s="11"/>
      <c r="S9427" s="11"/>
      <c r="T9427" s="11"/>
      <c r="U9427" s="11">
        <f t="shared" si="2612"/>
        <v>2.2999999999999998</v>
      </c>
      <c r="W9427">
        <v>2.5</v>
      </c>
      <c r="X9427" s="1" t="s">
        <v>60</v>
      </c>
    </row>
    <row r="9428" spans="1:24" x14ac:dyDescent="0.25">
      <c r="A9428" s="1" t="str">
        <f t="shared" si="2607"/>
        <v>卡卡杜-凤凰仓</v>
      </c>
      <c r="B9428" s="1" t="str">
        <f>"CK2024100668"</f>
        <v>CK2024100668</v>
      </c>
      <c r="C9428" s="1" t="str">
        <f>"DD2024100613399"</f>
        <v>DD2024100613399</v>
      </c>
      <c r="D9428" s="1" t="str">
        <f>"CK2024100620229"</f>
        <v>CK2024100620229</v>
      </c>
      <c r="E9428" s="1" t="str">
        <f>"6917836797750639946"</f>
        <v>6917836797750639946</v>
      </c>
      <c r="F9428" s="1" t="str">
        <f t="shared" si="2608"/>
        <v>花都四部-凤凰仓</v>
      </c>
      <c r="G9428" s="1" t="str">
        <f t="shared" si="2602"/>
        <v>卡卡杜个人护理店（抖店）</v>
      </c>
      <c r="H9428" s="1" t="str">
        <f t="shared" si="2609"/>
        <v>正常订单</v>
      </c>
      <c r="I9428" s="1" t="str">
        <f t="shared" si="2610"/>
        <v>已发货</v>
      </c>
      <c r="J9428" s="1" t="str">
        <f t="shared" si="2611"/>
        <v>2</v>
      </c>
      <c r="K9428" s="1">
        <v>1</v>
      </c>
      <c r="L9428" s="1" t="s">
        <v>20</v>
      </c>
      <c r="M9428" s="1" t="str">
        <f>"浙江省 衢州市 柯城区 花园街道"</f>
        <v>浙江省 衢州市 柯城区 花园街道</v>
      </c>
      <c r="N9428" s="1" t="str">
        <f t="shared" si="2604"/>
        <v>凡华云仓-韵达-抖音</v>
      </c>
      <c r="O9428" s="5">
        <v>320157842594943</v>
      </c>
      <c r="P9428" s="6">
        <v>0.33</v>
      </c>
      <c r="Q9428" s="11">
        <v>2.2999999999999998</v>
      </c>
      <c r="R9428" s="11"/>
      <c r="S9428" s="11"/>
      <c r="T9428" s="11"/>
      <c r="U9428" s="11">
        <f t="shared" si="2612"/>
        <v>2.2999999999999998</v>
      </c>
      <c r="W9428">
        <v>2.5</v>
      </c>
      <c r="X9428" s="1" t="s">
        <v>20</v>
      </c>
    </row>
    <row r="9429" spans="1:24" x14ac:dyDescent="0.25">
      <c r="A9429" s="1" t="str">
        <f t="shared" si="2607"/>
        <v>卡卡杜-凤凰仓</v>
      </c>
      <c r="B9429" s="1" t="str">
        <f>"CK2024100670"</f>
        <v>CK2024100670</v>
      </c>
      <c r="C9429" s="1" t="str">
        <f>"DD2024100613402"</f>
        <v>DD2024100613402</v>
      </c>
      <c r="D9429" s="1" t="str">
        <f>"CK2024100620228"</f>
        <v>CK2024100620228</v>
      </c>
      <c r="E9429" s="1" t="str">
        <f>"6917838878887280163"</f>
        <v>6917838878887280163</v>
      </c>
      <c r="F9429" s="1" t="str">
        <f t="shared" si="2608"/>
        <v>花都四部-凤凰仓</v>
      </c>
      <c r="G9429" s="1" t="str">
        <f t="shared" si="2602"/>
        <v>卡卡杜个人护理店（抖店）</v>
      </c>
      <c r="H9429" s="1" t="str">
        <f t="shared" si="2609"/>
        <v>正常订单</v>
      </c>
      <c r="I9429" s="1" t="str">
        <f t="shared" si="2610"/>
        <v>已发货</v>
      </c>
      <c r="J9429" s="1" t="str">
        <f t="shared" si="2611"/>
        <v>2</v>
      </c>
      <c r="K9429" s="1">
        <v>1</v>
      </c>
      <c r="L9429" s="1" t="s">
        <v>36</v>
      </c>
      <c r="M9429" s="1" t="str">
        <f>"安徽省 蚌埠市 禹会区 "</f>
        <v xml:space="preserve">安徽省 蚌埠市 禹会区 </v>
      </c>
      <c r="N9429" s="1" t="str">
        <f t="shared" si="2604"/>
        <v>凡华云仓-韵达-抖音</v>
      </c>
      <c r="O9429" s="5">
        <v>320157842594838</v>
      </c>
      <c r="P9429" s="6">
        <v>0.33</v>
      </c>
      <c r="Q9429" s="11">
        <v>2.2999999999999998</v>
      </c>
      <c r="R9429" s="11"/>
      <c r="S9429" s="11"/>
      <c r="T9429" s="11"/>
      <c r="U9429" s="11">
        <f t="shared" si="2612"/>
        <v>2.2999999999999998</v>
      </c>
      <c r="W9429">
        <v>2.5</v>
      </c>
      <c r="X9429" s="1" t="s">
        <v>36</v>
      </c>
    </row>
    <row r="9430" spans="1:24" x14ac:dyDescent="0.25">
      <c r="A9430" s="1" t="str">
        <f t="shared" si="2607"/>
        <v>卡卡杜-凤凰仓</v>
      </c>
      <c r="B9430" s="1" t="str">
        <f>"CK2024100673"</f>
        <v>CK2024100673</v>
      </c>
      <c r="C9430" s="1" t="str">
        <f>"DD2024100613406"</f>
        <v>DD2024100613406</v>
      </c>
      <c r="D9430" s="1" t="str">
        <f>"CK2024100620227"</f>
        <v>CK2024100620227</v>
      </c>
      <c r="E9430" s="1" t="str">
        <f>"6917846161767235033"</f>
        <v>6917846161767235033</v>
      </c>
      <c r="F9430" s="1" t="str">
        <f t="shared" si="2608"/>
        <v>花都四部-凤凰仓</v>
      </c>
      <c r="G9430" s="1" t="str">
        <f t="shared" si="2602"/>
        <v>卡卡杜个人护理店（抖店）</v>
      </c>
      <c r="H9430" s="1" t="str">
        <f t="shared" si="2609"/>
        <v>正常订单</v>
      </c>
      <c r="I9430" s="1" t="str">
        <f t="shared" si="2610"/>
        <v>已发货</v>
      </c>
      <c r="J9430" s="1" t="str">
        <f t="shared" si="2611"/>
        <v>2</v>
      </c>
      <c r="K9430" s="1">
        <v>1</v>
      </c>
      <c r="L9430" s="1" t="s">
        <v>24</v>
      </c>
      <c r="M9430" s="1" t="str">
        <f>"福建省 福州市 福清市 三山镇"</f>
        <v>福建省 福州市 福清市 三山镇</v>
      </c>
      <c r="N9430" s="1" t="str">
        <f t="shared" si="2604"/>
        <v>凡华云仓-韵达-抖音</v>
      </c>
      <c r="O9430" s="5">
        <v>320157842594735</v>
      </c>
      <c r="P9430" s="6">
        <v>0.33</v>
      </c>
      <c r="Q9430" s="11">
        <v>2.2999999999999998</v>
      </c>
      <c r="R9430" s="11"/>
      <c r="S9430" s="11"/>
      <c r="T9430" s="11"/>
      <c r="U9430" s="11">
        <f t="shared" si="2612"/>
        <v>2.2999999999999998</v>
      </c>
      <c r="W9430">
        <v>2.5</v>
      </c>
      <c r="X9430" s="1" t="s">
        <v>24</v>
      </c>
    </row>
    <row r="9431" spans="1:24" x14ac:dyDescent="0.25">
      <c r="A9431" s="1" t="str">
        <f t="shared" si="2607"/>
        <v>卡卡杜-凤凰仓</v>
      </c>
      <c r="B9431" s="1" t="str">
        <f>"CK2024100671"</f>
        <v>CK2024100671</v>
      </c>
      <c r="C9431" s="1" t="str">
        <f>"DD2024100613404"</f>
        <v>DD2024100613404</v>
      </c>
      <c r="D9431" s="1" t="str">
        <f>"CK2024100620226"</f>
        <v>CK2024100620226</v>
      </c>
      <c r="E9431" s="1" t="str">
        <f>"6917839011078831274"</f>
        <v>6917839011078831274</v>
      </c>
      <c r="F9431" s="1" t="str">
        <f t="shared" si="2608"/>
        <v>花都四部-凤凰仓</v>
      </c>
      <c r="G9431" s="1" t="str">
        <f t="shared" ref="G9431:G9452" si="2613">"卡卡杜个人护理店（抖店）"</f>
        <v>卡卡杜个人护理店（抖店）</v>
      </c>
      <c r="H9431" s="1" t="str">
        <f t="shared" si="2609"/>
        <v>正常订单</v>
      </c>
      <c r="I9431" s="1" t="str">
        <f t="shared" si="2610"/>
        <v>已发货</v>
      </c>
      <c r="J9431" s="1" t="str">
        <f t="shared" si="2611"/>
        <v>2</v>
      </c>
      <c r="K9431" s="1">
        <v>1</v>
      </c>
      <c r="L9431" s="1" t="s">
        <v>18</v>
      </c>
      <c r="M9431" s="1" t="str">
        <f>"广东省 肇庆市 鼎湖区 莲花镇"</f>
        <v>广东省 肇庆市 鼎湖区 莲花镇</v>
      </c>
      <c r="N9431" s="1" t="str">
        <f t="shared" ref="N9431:N9452" si="2614">"凡华云仓-韵达-抖音"</f>
        <v>凡华云仓-韵达-抖音</v>
      </c>
      <c r="O9431" s="5">
        <v>320157842594634</v>
      </c>
      <c r="P9431" s="6">
        <v>0.33</v>
      </c>
      <c r="Q9431" s="11">
        <v>2.2999999999999998</v>
      </c>
      <c r="R9431" s="11"/>
      <c r="S9431" s="11"/>
      <c r="T9431" s="11"/>
      <c r="U9431" s="11">
        <f t="shared" si="2612"/>
        <v>2.2999999999999998</v>
      </c>
      <c r="W9431">
        <v>2.5</v>
      </c>
      <c r="X9431" s="1" t="s">
        <v>18</v>
      </c>
    </row>
    <row r="9432" spans="1:24" x14ac:dyDescent="0.25">
      <c r="A9432" s="1" t="str">
        <f t="shared" si="2607"/>
        <v>卡卡杜-凤凰仓</v>
      </c>
      <c r="B9432" s="1" t="str">
        <f>"CK2024100663"</f>
        <v>CK2024100663</v>
      </c>
      <c r="C9432" s="1" t="str">
        <f>"DD2024100613393"</f>
        <v>DD2024100613393</v>
      </c>
      <c r="D9432" s="1" t="str">
        <f>"CK2024100620225"</f>
        <v>CK2024100620225</v>
      </c>
      <c r="E9432" s="1" t="str">
        <f>"6917841574320307402"</f>
        <v>6917841574320307402</v>
      </c>
      <c r="F9432" s="1" t="str">
        <f t="shared" si="2608"/>
        <v>花都四部-凤凰仓</v>
      </c>
      <c r="G9432" s="1" t="str">
        <f t="shared" si="2613"/>
        <v>卡卡杜个人护理店（抖店）</v>
      </c>
      <c r="H9432" s="1" t="str">
        <f t="shared" si="2609"/>
        <v>正常订单</v>
      </c>
      <c r="I9432" s="1" t="str">
        <f t="shared" si="2610"/>
        <v>已发货</v>
      </c>
      <c r="J9432" s="1" t="str">
        <f t="shared" si="2611"/>
        <v>2</v>
      </c>
      <c r="K9432" s="1">
        <v>1</v>
      </c>
      <c r="L9432" s="1" t="s">
        <v>94</v>
      </c>
      <c r="M9432" s="1" t="str">
        <f>"湖南省 岳阳市 平江县 "</f>
        <v xml:space="preserve">湖南省 岳阳市 平江县 </v>
      </c>
      <c r="N9432" s="1" t="str">
        <f t="shared" si="2614"/>
        <v>凡华云仓-韵达-抖音</v>
      </c>
      <c r="O9432" s="5">
        <v>320157842594535</v>
      </c>
      <c r="P9432" s="6">
        <v>0.33</v>
      </c>
      <c r="Q9432" s="11">
        <v>2.2999999999999998</v>
      </c>
      <c r="R9432" s="11"/>
      <c r="S9432" s="11"/>
      <c r="T9432" s="11"/>
      <c r="U9432" s="11">
        <f t="shared" si="2612"/>
        <v>2.2999999999999998</v>
      </c>
      <c r="W9432">
        <v>2.5</v>
      </c>
      <c r="X9432" s="1" t="s">
        <v>94</v>
      </c>
    </row>
    <row r="9433" spans="1:24" x14ac:dyDescent="0.25">
      <c r="A9433" s="1" t="str">
        <f t="shared" si="2607"/>
        <v>卡卡杜-凤凰仓</v>
      </c>
      <c r="B9433" s="1" t="str">
        <f>"CK2024100674"</f>
        <v>CK2024100674</v>
      </c>
      <c r="C9433" s="1" t="str">
        <f>"DD2024100613405"</f>
        <v>DD2024100613405</v>
      </c>
      <c r="D9433" s="1" t="str">
        <f>"CK2024100620224"</f>
        <v>CK2024100620224</v>
      </c>
      <c r="E9433" s="1" t="str">
        <f>"6917836982791667513"</f>
        <v>6917836982791667513</v>
      </c>
      <c r="F9433" s="1" t="str">
        <f t="shared" si="2608"/>
        <v>花都四部-凤凰仓</v>
      </c>
      <c r="G9433" s="1" t="str">
        <f t="shared" si="2613"/>
        <v>卡卡杜个人护理店（抖店）</v>
      </c>
      <c r="H9433" s="1" t="str">
        <f t="shared" si="2609"/>
        <v>正常订单</v>
      </c>
      <c r="I9433" s="1" t="str">
        <f t="shared" si="2610"/>
        <v>已发货</v>
      </c>
      <c r="J9433" s="1" t="str">
        <f t="shared" si="2611"/>
        <v>2</v>
      </c>
      <c r="K9433" s="1">
        <v>1</v>
      </c>
      <c r="L9433" s="1" t="s">
        <v>47</v>
      </c>
      <c r="M9433" s="1" t="str">
        <f>"重庆 重庆市 合川区 清平镇"</f>
        <v>重庆 重庆市 合川区 清平镇</v>
      </c>
      <c r="N9433" s="1" t="str">
        <f t="shared" si="2614"/>
        <v>凡华云仓-韵达-抖音</v>
      </c>
      <c r="O9433" s="5">
        <v>320157842594438</v>
      </c>
      <c r="P9433" s="6">
        <v>0.33</v>
      </c>
      <c r="Q9433" s="11">
        <v>2.2999999999999998</v>
      </c>
      <c r="R9433" s="11"/>
      <c r="S9433" s="11"/>
      <c r="T9433" s="11"/>
      <c r="U9433" s="11">
        <f t="shared" si="2612"/>
        <v>2.2999999999999998</v>
      </c>
      <c r="W9433">
        <v>2.5</v>
      </c>
      <c r="X9433" s="1" t="s">
        <v>47</v>
      </c>
    </row>
    <row r="9434" spans="1:24" x14ac:dyDescent="0.25">
      <c r="A9434" s="1" t="str">
        <f t="shared" si="2607"/>
        <v>卡卡杜-凤凰仓</v>
      </c>
      <c r="B9434" s="1" t="str">
        <f>"CK2024100675"</f>
        <v>CK2024100675</v>
      </c>
      <c r="C9434" s="1" t="str">
        <f>"DD2024100613407"</f>
        <v>DD2024100613407</v>
      </c>
      <c r="D9434" s="1" t="str">
        <f>"CK2024100620223"</f>
        <v>CK2024100620223</v>
      </c>
      <c r="E9434" s="1" t="str">
        <f>"6917836177719393350"</f>
        <v>6917836177719393350</v>
      </c>
      <c r="F9434" s="1" t="str">
        <f t="shared" si="2608"/>
        <v>花都四部-凤凰仓</v>
      </c>
      <c r="G9434" s="1" t="str">
        <f t="shared" si="2613"/>
        <v>卡卡杜个人护理店（抖店）</v>
      </c>
      <c r="H9434" s="1" t="str">
        <f t="shared" si="2609"/>
        <v>正常订单</v>
      </c>
      <c r="I9434" s="1" t="str">
        <f t="shared" si="2610"/>
        <v>已发货</v>
      </c>
      <c r="J9434" s="1" t="str">
        <f t="shared" si="2611"/>
        <v>2</v>
      </c>
      <c r="K9434" s="1">
        <v>1</v>
      </c>
      <c r="L9434" s="1" t="s">
        <v>60</v>
      </c>
      <c r="M9434" s="1" t="str">
        <f>"云南省 德宏傣族景颇族自治州 陇川县 清平乡"</f>
        <v>云南省 德宏傣族景颇族自治州 陇川县 清平乡</v>
      </c>
      <c r="N9434" s="1" t="str">
        <f t="shared" si="2614"/>
        <v>凡华云仓-韵达-抖音</v>
      </c>
      <c r="O9434" s="5">
        <v>320157842594343</v>
      </c>
      <c r="P9434" s="6">
        <v>0.33</v>
      </c>
      <c r="Q9434" s="11">
        <v>2.2999999999999998</v>
      </c>
      <c r="R9434" s="11"/>
      <c r="S9434" s="11"/>
      <c r="T9434" s="11"/>
      <c r="U9434" s="11">
        <f t="shared" si="2612"/>
        <v>2.2999999999999998</v>
      </c>
      <c r="W9434">
        <v>2.5</v>
      </c>
      <c r="X9434" s="1" t="s">
        <v>60</v>
      </c>
    </row>
    <row r="9435" spans="1:24" x14ac:dyDescent="0.25">
      <c r="A9435" s="1" t="str">
        <f t="shared" si="2607"/>
        <v>卡卡杜-凤凰仓</v>
      </c>
      <c r="B9435" s="1" t="str">
        <f>"CK20241006124"</f>
        <v>CK20241006124</v>
      </c>
      <c r="C9435" s="1" t="str">
        <f>"DD2024100613454"</f>
        <v>DD2024100613454</v>
      </c>
      <c r="D9435" s="1" t="str">
        <f>"CK2024100620222"</f>
        <v>CK2024100620222</v>
      </c>
      <c r="E9435" s="1" t="str">
        <f>"6917839075134045452"</f>
        <v>6917839075134045452</v>
      </c>
      <c r="F9435" s="1" t="str">
        <f t="shared" si="2608"/>
        <v>花都四部-凤凰仓</v>
      </c>
      <c r="G9435" s="1" t="str">
        <f t="shared" si="2613"/>
        <v>卡卡杜个人护理店（抖店）</v>
      </c>
      <c r="H9435" s="1" t="str">
        <f t="shared" si="2609"/>
        <v>正常订单</v>
      </c>
      <c r="I9435" s="1" t="str">
        <f t="shared" si="2610"/>
        <v>已发货</v>
      </c>
      <c r="J9435" s="1" t="str">
        <f t="shared" si="2611"/>
        <v>2</v>
      </c>
      <c r="K9435" s="1">
        <v>1</v>
      </c>
      <c r="L9435" s="1" t="s">
        <v>30</v>
      </c>
      <c r="M9435" s="1" t="str">
        <f>"山东省 临沂市 罗庄区 盛庄街道"</f>
        <v>山东省 临沂市 罗庄区 盛庄街道</v>
      </c>
      <c r="N9435" s="1" t="str">
        <f t="shared" si="2614"/>
        <v>凡华云仓-韵达-抖音</v>
      </c>
      <c r="O9435" s="5">
        <v>320157856002398</v>
      </c>
      <c r="P9435" s="6">
        <v>0.33</v>
      </c>
      <c r="Q9435" s="11">
        <v>2.2999999999999998</v>
      </c>
      <c r="R9435" s="11"/>
      <c r="S9435" s="11"/>
      <c r="T9435" s="11"/>
      <c r="U9435" s="11">
        <f t="shared" si="2612"/>
        <v>2.2999999999999998</v>
      </c>
      <c r="W9435">
        <v>2.5</v>
      </c>
      <c r="X9435" s="1" t="s">
        <v>30</v>
      </c>
    </row>
    <row r="9436" spans="1:24" x14ac:dyDescent="0.25">
      <c r="A9436" s="1" t="str">
        <f t="shared" si="2607"/>
        <v>卡卡杜-凤凰仓</v>
      </c>
      <c r="B9436" s="1" t="str">
        <f>"CK2024100669"</f>
        <v>CK2024100669</v>
      </c>
      <c r="C9436" s="1" t="str">
        <f>"DD2024100613401"</f>
        <v>DD2024100613401</v>
      </c>
      <c r="D9436" s="1" t="str">
        <f>"CK2024100620221"</f>
        <v>CK2024100620221</v>
      </c>
      <c r="E9436" s="1" t="str">
        <f>"6917841405867360196"</f>
        <v>6917841405867360196</v>
      </c>
      <c r="F9436" s="1" t="str">
        <f t="shared" si="2608"/>
        <v>花都四部-凤凰仓</v>
      </c>
      <c r="G9436" s="1" t="str">
        <f t="shared" si="2613"/>
        <v>卡卡杜个人护理店（抖店）</v>
      </c>
      <c r="H9436" s="1" t="str">
        <f t="shared" si="2609"/>
        <v>正常订单</v>
      </c>
      <c r="I9436" s="1" t="str">
        <f t="shared" si="2610"/>
        <v>已发货</v>
      </c>
      <c r="J9436" s="1" t="str">
        <f t="shared" si="2611"/>
        <v>2</v>
      </c>
      <c r="K9436" s="1">
        <v>1</v>
      </c>
      <c r="L9436" s="1" t="s">
        <v>52</v>
      </c>
      <c r="M9436" s="1" t="str">
        <f>"甘肃省 酒泉市 敦煌市 七里镇"</f>
        <v>甘肃省 酒泉市 敦煌市 七里镇</v>
      </c>
      <c r="N9436" s="1" t="str">
        <f t="shared" si="2614"/>
        <v>凡华云仓-韵达-抖音</v>
      </c>
      <c r="O9436" s="5">
        <v>320157856002205</v>
      </c>
      <c r="P9436" s="6">
        <v>0.33</v>
      </c>
      <c r="Q9436" s="11">
        <v>2.2999999999999998</v>
      </c>
      <c r="R9436" s="11"/>
      <c r="S9436" s="11"/>
      <c r="T9436" s="11"/>
      <c r="U9436" s="11">
        <f t="shared" si="2612"/>
        <v>2.2999999999999998</v>
      </c>
      <c r="W9436">
        <v>2.5</v>
      </c>
      <c r="X9436" s="1" t="s">
        <v>52</v>
      </c>
    </row>
    <row r="9437" spans="1:24" x14ac:dyDescent="0.25">
      <c r="A9437" s="1" t="str">
        <f t="shared" si="2607"/>
        <v>卡卡杜-凤凰仓</v>
      </c>
      <c r="B9437" s="1" t="str">
        <f>"CK20241006157"</f>
        <v>CK20241006157</v>
      </c>
      <c r="C9437" s="1" t="str">
        <f>"DD2024100613489"</f>
        <v>DD2024100613489</v>
      </c>
      <c r="D9437" s="1" t="str">
        <f>"CK2024100620220"</f>
        <v>CK2024100620220</v>
      </c>
      <c r="E9437" s="1" t="str">
        <f>"6917843837352442953"</f>
        <v>6917843837352442953</v>
      </c>
      <c r="F9437" s="1" t="str">
        <f t="shared" si="2608"/>
        <v>花都四部-凤凰仓</v>
      </c>
      <c r="G9437" s="1" t="str">
        <f t="shared" si="2613"/>
        <v>卡卡杜个人护理店（抖店）</v>
      </c>
      <c r="H9437" s="1" t="str">
        <f t="shared" si="2609"/>
        <v>正常订单</v>
      </c>
      <c r="I9437" s="1" t="str">
        <f t="shared" si="2610"/>
        <v>已发货</v>
      </c>
      <c r="J9437" s="1" t="str">
        <f t="shared" si="2611"/>
        <v>2</v>
      </c>
      <c r="K9437" s="1">
        <v>1</v>
      </c>
      <c r="L9437" s="1" t="s">
        <v>20</v>
      </c>
      <c r="M9437" s="1" t="str">
        <f>"浙江省 温州市 永嘉县 桥头镇"</f>
        <v>浙江省 温州市 永嘉县 桥头镇</v>
      </c>
      <c r="N9437" s="1" t="str">
        <f t="shared" si="2614"/>
        <v>凡华云仓-韵达-抖音</v>
      </c>
      <c r="O9437" s="5">
        <v>320157856002114</v>
      </c>
      <c r="P9437" s="6">
        <v>0.33</v>
      </c>
      <c r="Q9437" s="11">
        <v>2.2999999999999998</v>
      </c>
      <c r="R9437" s="11"/>
      <c r="S9437" s="11"/>
      <c r="T9437" s="11"/>
      <c r="U9437" s="11">
        <f t="shared" si="2612"/>
        <v>2.2999999999999998</v>
      </c>
      <c r="W9437">
        <v>2.5</v>
      </c>
      <c r="X9437" s="1" t="s">
        <v>20</v>
      </c>
    </row>
    <row r="9438" spans="1:24" x14ac:dyDescent="0.25">
      <c r="A9438" s="1" t="str">
        <f t="shared" si="2607"/>
        <v>卡卡杜-凤凰仓</v>
      </c>
      <c r="B9438" s="1" t="str">
        <f>"CK20241006163"</f>
        <v>CK20241006163</v>
      </c>
      <c r="C9438" s="1" t="str">
        <f>"DD2024100613495"</f>
        <v>DD2024100613495</v>
      </c>
      <c r="D9438" s="1" t="str">
        <f>"CK2024100620219"</f>
        <v>CK2024100620219</v>
      </c>
      <c r="E9438" s="1" t="str">
        <f>"6917843924083047620"</f>
        <v>6917843924083047620</v>
      </c>
      <c r="F9438" s="1" t="str">
        <f t="shared" si="2608"/>
        <v>花都四部-凤凰仓</v>
      </c>
      <c r="G9438" s="1" t="str">
        <f t="shared" si="2613"/>
        <v>卡卡杜个人护理店（抖店）</v>
      </c>
      <c r="H9438" s="1" t="str">
        <f t="shared" si="2609"/>
        <v>正常订单</v>
      </c>
      <c r="I9438" s="1" t="str">
        <f t="shared" si="2610"/>
        <v>已发货</v>
      </c>
      <c r="J9438" s="1" t="str">
        <f t="shared" si="2611"/>
        <v>2</v>
      </c>
      <c r="K9438" s="1">
        <v>1</v>
      </c>
      <c r="L9438" s="1" t="s">
        <v>13</v>
      </c>
      <c r="M9438" s="1" t="str">
        <f>"江苏省 徐州市 丰县 凤城街道"</f>
        <v>江苏省 徐州市 丰县 凤城街道</v>
      </c>
      <c r="N9438" s="1" t="str">
        <f t="shared" si="2614"/>
        <v>凡华云仓-韵达-抖音</v>
      </c>
      <c r="O9438" s="5">
        <v>320157856002025</v>
      </c>
      <c r="P9438" s="6">
        <v>0.33</v>
      </c>
      <c r="Q9438" s="11">
        <v>2.2999999999999998</v>
      </c>
      <c r="R9438" s="11"/>
      <c r="S9438" s="11"/>
      <c r="T9438" s="11"/>
      <c r="U9438" s="11">
        <f t="shared" si="2612"/>
        <v>2.2999999999999998</v>
      </c>
      <c r="W9438">
        <v>2.5</v>
      </c>
      <c r="X9438" s="1" t="s">
        <v>13</v>
      </c>
    </row>
    <row r="9439" spans="1:24" x14ac:dyDescent="0.25">
      <c r="A9439" s="1" t="str">
        <f t="shared" si="2607"/>
        <v>卡卡杜-凤凰仓</v>
      </c>
      <c r="B9439" s="1" t="str">
        <f>"CK20241006156"</f>
        <v>CK20241006156</v>
      </c>
      <c r="C9439" s="1" t="str">
        <f>"DD2024100613488"</f>
        <v>DD2024100613488</v>
      </c>
      <c r="D9439" s="1" t="str">
        <f>"CK2024100620218"</f>
        <v>CK2024100620218</v>
      </c>
      <c r="E9439" s="1" t="str">
        <f>"6917841628541779877"</f>
        <v>6917841628541779877</v>
      </c>
      <c r="F9439" s="1" t="str">
        <f t="shared" si="2608"/>
        <v>花都四部-凤凰仓</v>
      </c>
      <c r="G9439" s="1" t="str">
        <f t="shared" si="2613"/>
        <v>卡卡杜个人护理店（抖店）</v>
      </c>
      <c r="H9439" s="1" t="str">
        <f t="shared" si="2609"/>
        <v>正常订单</v>
      </c>
      <c r="I9439" s="1" t="str">
        <f t="shared" si="2610"/>
        <v>已发货</v>
      </c>
      <c r="J9439" s="1" t="str">
        <f t="shared" si="2611"/>
        <v>2</v>
      </c>
      <c r="K9439" s="1">
        <v>1</v>
      </c>
      <c r="L9439" s="1" t="s">
        <v>74</v>
      </c>
      <c r="M9439" s="1" t="str">
        <f>"上海 上海市 青浦区 "</f>
        <v xml:space="preserve">上海 上海市 青浦区 </v>
      </c>
      <c r="N9439" s="1" t="str">
        <f t="shared" si="2614"/>
        <v>凡华云仓-韵达-抖音</v>
      </c>
      <c r="O9439" s="5">
        <v>320157856001907</v>
      </c>
      <c r="P9439" s="6">
        <v>0.33</v>
      </c>
      <c r="Q9439" s="11">
        <v>2.2999999999999998</v>
      </c>
      <c r="R9439" s="11"/>
      <c r="S9439" s="11"/>
      <c r="T9439" s="11"/>
      <c r="U9439" s="11">
        <f t="shared" si="2612"/>
        <v>2.2999999999999998</v>
      </c>
      <c r="W9439">
        <v>2.5</v>
      </c>
      <c r="X9439" s="1" t="s">
        <v>74</v>
      </c>
    </row>
    <row r="9440" spans="1:24" x14ac:dyDescent="0.25">
      <c r="A9440" s="1" t="str">
        <f t="shared" si="2607"/>
        <v>卡卡杜-凤凰仓</v>
      </c>
      <c r="B9440" s="1" t="str">
        <f>"CK20241006161"</f>
        <v>CK20241006161</v>
      </c>
      <c r="C9440" s="1" t="str">
        <f>"DD2024100613492"</f>
        <v>DD2024100613492</v>
      </c>
      <c r="D9440" s="1" t="str">
        <f>"CK2024100620217"</f>
        <v>CK2024100620217</v>
      </c>
      <c r="E9440" s="1" t="str">
        <f>"6917836580085791831"</f>
        <v>6917836580085791831</v>
      </c>
      <c r="F9440" s="1" t="str">
        <f t="shared" si="2608"/>
        <v>花都四部-凤凰仓</v>
      </c>
      <c r="G9440" s="1" t="str">
        <f t="shared" si="2613"/>
        <v>卡卡杜个人护理店（抖店）</v>
      </c>
      <c r="H9440" s="1" t="str">
        <f t="shared" si="2609"/>
        <v>正常订单</v>
      </c>
      <c r="I9440" s="1" t="str">
        <f t="shared" si="2610"/>
        <v>已发货</v>
      </c>
      <c r="J9440" s="1" t="str">
        <f t="shared" si="2611"/>
        <v>2</v>
      </c>
      <c r="K9440" s="1">
        <v>1</v>
      </c>
      <c r="L9440" s="1" t="s">
        <v>13</v>
      </c>
      <c r="M9440" s="1" t="str">
        <f>"江苏省 盐城市 阜宁县 阜城街道"</f>
        <v>江苏省 盐城市 阜宁县 阜城街道</v>
      </c>
      <c r="N9440" s="1" t="str">
        <f t="shared" si="2614"/>
        <v>凡华云仓-韵达-抖音</v>
      </c>
      <c r="O9440" s="5">
        <v>320157856001802</v>
      </c>
      <c r="P9440" s="6">
        <v>0.33</v>
      </c>
      <c r="Q9440" s="11">
        <v>2.2999999999999998</v>
      </c>
      <c r="R9440" s="11"/>
      <c r="S9440" s="11"/>
      <c r="T9440" s="11"/>
      <c r="U9440" s="11">
        <f t="shared" si="2612"/>
        <v>2.2999999999999998</v>
      </c>
      <c r="W9440">
        <v>2.5</v>
      </c>
      <c r="X9440" s="1" t="s">
        <v>13</v>
      </c>
    </row>
    <row r="9441" spans="1:24" x14ac:dyDescent="0.25">
      <c r="A9441" s="1" t="str">
        <f t="shared" si="2607"/>
        <v>卡卡杜-凤凰仓</v>
      </c>
      <c r="B9441" s="1" t="str">
        <f>"CK20241006170"</f>
        <v>CK20241006170</v>
      </c>
      <c r="C9441" s="1" t="str">
        <f>"DD2024100613504"</f>
        <v>DD2024100613504</v>
      </c>
      <c r="D9441" s="1" t="str">
        <f>"CK2024100620216"</f>
        <v>CK2024100620216</v>
      </c>
      <c r="E9441" s="1" t="str">
        <f>"6917836863027052473"</f>
        <v>6917836863027052473</v>
      </c>
      <c r="F9441" s="1" t="str">
        <f t="shared" si="2608"/>
        <v>花都四部-凤凰仓</v>
      </c>
      <c r="G9441" s="1" t="str">
        <f t="shared" si="2613"/>
        <v>卡卡杜个人护理店（抖店）</v>
      </c>
      <c r="H9441" s="1" t="str">
        <f t="shared" si="2609"/>
        <v>正常订单</v>
      </c>
      <c r="I9441" s="1" t="str">
        <f t="shared" si="2610"/>
        <v>已发货</v>
      </c>
      <c r="J9441" s="1" t="str">
        <f t="shared" si="2611"/>
        <v>2</v>
      </c>
      <c r="K9441" s="1">
        <v>1</v>
      </c>
      <c r="L9441" s="1" t="s">
        <v>22</v>
      </c>
      <c r="M9441" s="1" t="str">
        <f>"江西省 上饶市 德兴市 张村乡"</f>
        <v>江西省 上饶市 德兴市 张村乡</v>
      </c>
      <c r="N9441" s="1" t="str">
        <f t="shared" si="2614"/>
        <v>凡华云仓-韵达-抖音</v>
      </c>
      <c r="O9441" s="5">
        <v>320157856001799</v>
      </c>
      <c r="P9441" s="6">
        <v>0.33</v>
      </c>
      <c r="Q9441" s="11">
        <v>2.2999999999999998</v>
      </c>
      <c r="R9441" s="11"/>
      <c r="S9441" s="11"/>
      <c r="T9441" s="11"/>
      <c r="U9441" s="11">
        <f t="shared" si="2612"/>
        <v>2.2999999999999998</v>
      </c>
      <c r="W9441">
        <v>2.5</v>
      </c>
      <c r="X9441" s="1" t="s">
        <v>22</v>
      </c>
    </row>
    <row r="9442" spans="1:24" x14ac:dyDescent="0.25">
      <c r="A9442" s="1" t="str">
        <f t="shared" si="2607"/>
        <v>卡卡杜-凤凰仓</v>
      </c>
      <c r="B9442" s="1" t="str">
        <f>"CK20241006171"</f>
        <v>CK20241006171</v>
      </c>
      <c r="C9442" s="1" t="str">
        <f>"DD2024100613502"</f>
        <v>DD2024100613502</v>
      </c>
      <c r="D9442" s="1" t="str">
        <f>"CK2024100620215"</f>
        <v>CK2024100620215</v>
      </c>
      <c r="E9442" s="1" t="str">
        <f>"6917841352536587315"</f>
        <v>6917841352536587315</v>
      </c>
      <c r="F9442" s="1" t="str">
        <f t="shared" si="2608"/>
        <v>花都四部-凤凰仓</v>
      </c>
      <c r="G9442" s="1" t="str">
        <f t="shared" si="2613"/>
        <v>卡卡杜个人护理店（抖店）</v>
      </c>
      <c r="H9442" s="1" t="str">
        <f t="shared" si="2609"/>
        <v>正常订单</v>
      </c>
      <c r="I9442" s="1" t="str">
        <f t="shared" si="2610"/>
        <v>已发货</v>
      </c>
      <c r="J9442" s="1" t="str">
        <f t="shared" si="2611"/>
        <v>2</v>
      </c>
      <c r="K9442" s="1">
        <v>1</v>
      </c>
      <c r="L9442" s="1" t="s">
        <v>18</v>
      </c>
      <c r="M9442" s="1" t="str">
        <f>"广东省 深圳市 龙华区 龙华街道"</f>
        <v>广东省 深圳市 龙华区 龙华街道</v>
      </c>
      <c r="N9442" s="1" t="str">
        <f t="shared" si="2614"/>
        <v>凡华云仓-韵达-抖音</v>
      </c>
      <c r="O9442" s="5">
        <v>320157856001698</v>
      </c>
      <c r="P9442" s="6">
        <v>0.33</v>
      </c>
      <c r="Q9442" s="11">
        <v>2.2999999999999998</v>
      </c>
      <c r="R9442" s="11"/>
      <c r="S9442" s="11"/>
      <c r="T9442" s="11"/>
      <c r="U9442" s="11">
        <f t="shared" si="2612"/>
        <v>2.2999999999999998</v>
      </c>
      <c r="W9442">
        <v>2.5</v>
      </c>
      <c r="X9442" s="1" t="s">
        <v>18</v>
      </c>
    </row>
    <row r="9443" spans="1:24" x14ac:dyDescent="0.25">
      <c r="A9443" s="1" t="str">
        <f t="shared" si="2607"/>
        <v>卡卡杜-凤凰仓</v>
      </c>
      <c r="B9443" s="1" t="str">
        <f>"CK20241006172"</f>
        <v>CK20241006172</v>
      </c>
      <c r="C9443" s="1" t="str">
        <f>"DD2024100613503"</f>
        <v>DD2024100613503</v>
      </c>
      <c r="D9443" s="1" t="str">
        <f>"CK2024100620214"</f>
        <v>CK2024100620214</v>
      </c>
      <c r="E9443" s="1" t="str">
        <f>"6917841672424554187"</f>
        <v>6917841672424554187</v>
      </c>
      <c r="F9443" s="1" t="str">
        <f t="shared" si="2608"/>
        <v>花都四部-凤凰仓</v>
      </c>
      <c r="G9443" s="1" t="str">
        <f t="shared" si="2613"/>
        <v>卡卡杜个人护理店（抖店）</v>
      </c>
      <c r="H9443" s="1" t="str">
        <f t="shared" si="2609"/>
        <v>正常订单</v>
      </c>
      <c r="I9443" s="1" t="str">
        <f t="shared" si="2610"/>
        <v>已发货</v>
      </c>
      <c r="J9443" s="1" t="str">
        <f t="shared" si="2611"/>
        <v>2</v>
      </c>
      <c r="K9443" s="1">
        <v>1</v>
      </c>
      <c r="L9443" s="1" t="s">
        <v>74</v>
      </c>
      <c r="M9443" s="1" t="str">
        <f>"上海 上海市 浦东新区 惠南镇"</f>
        <v>上海 上海市 浦东新区 惠南镇</v>
      </c>
      <c r="N9443" s="1" t="str">
        <f t="shared" si="2614"/>
        <v>凡华云仓-韵达-抖音</v>
      </c>
      <c r="O9443" s="5">
        <v>320157856001599</v>
      </c>
      <c r="P9443" s="6">
        <v>0.33</v>
      </c>
      <c r="Q9443" s="11">
        <v>2.2999999999999998</v>
      </c>
      <c r="R9443" s="11"/>
      <c r="S9443" s="11"/>
      <c r="T9443" s="11"/>
      <c r="U9443" s="11">
        <f t="shared" si="2612"/>
        <v>2.2999999999999998</v>
      </c>
      <c r="W9443">
        <v>2.5</v>
      </c>
      <c r="X9443" s="1" t="s">
        <v>74</v>
      </c>
    </row>
    <row r="9444" spans="1:24" x14ac:dyDescent="0.25">
      <c r="A9444" s="1" t="str">
        <f t="shared" si="2607"/>
        <v>卡卡杜-凤凰仓</v>
      </c>
      <c r="B9444" s="1" t="str">
        <f>"CK20241006173"</f>
        <v>CK20241006173</v>
      </c>
      <c r="C9444" s="1" t="str">
        <f>"DD2024100613505"</f>
        <v>DD2024100613505</v>
      </c>
      <c r="D9444" s="1" t="str">
        <f>"CK2024100620213"</f>
        <v>CK2024100620213</v>
      </c>
      <c r="E9444" s="1" t="str">
        <f>"6917836241708875570"</f>
        <v>6917836241708875570</v>
      </c>
      <c r="F9444" s="1" t="str">
        <f t="shared" si="2608"/>
        <v>花都四部-凤凰仓</v>
      </c>
      <c r="G9444" s="1" t="str">
        <f t="shared" si="2613"/>
        <v>卡卡杜个人护理店（抖店）</v>
      </c>
      <c r="H9444" s="1" t="str">
        <f t="shared" si="2609"/>
        <v>正常订单</v>
      </c>
      <c r="I9444" s="1" t="str">
        <f t="shared" si="2610"/>
        <v>已发货</v>
      </c>
      <c r="J9444" s="1" t="str">
        <f t="shared" si="2611"/>
        <v>2</v>
      </c>
      <c r="K9444" s="1">
        <v>1</v>
      </c>
      <c r="L9444" s="1" t="s">
        <v>36</v>
      </c>
      <c r="M9444" s="1" t="str">
        <f>"安徽省 宣城市 泾县 泾川镇"</f>
        <v>安徽省 宣城市 泾县 泾川镇</v>
      </c>
      <c r="N9444" s="1" t="str">
        <f t="shared" si="2614"/>
        <v>凡华云仓-韵达-抖音</v>
      </c>
      <c r="O9444" s="5">
        <v>320157856001402</v>
      </c>
      <c r="P9444" s="6">
        <v>0.33</v>
      </c>
      <c r="Q9444" s="11">
        <v>2.2999999999999998</v>
      </c>
      <c r="R9444" s="11"/>
      <c r="S9444" s="11"/>
      <c r="T9444" s="11"/>
      <c r="U9444" s="11">
        <f t="shared" si="2612"/>
        <v>2.2999999999999998</v>
      </c>
      <c r="W9444">
        <v>2.5</v>
      </c>
      <c r="X9444" s="1" t="s">
        <v>36</v>
      </c>
    </row>
    <row r="9445" spans="1:24" x14ac:dyDescent="0.25">
      <c r="A9445" s="1" t="str">
        <f t="shared" si="2607"/>
        <v>卡卡杜-凤凰仓</v>
      </c>
      <c r="B9445" s="1" t="str">
        <f>"CK20241006165"</f>
        <v>CK20241006165</v>
      </c>
      <c r="C9445" s="1" t="str">
        <f>"DD2024100613498"</f>
        <v>DD2024100613498</v>
      </c>
      <c r="D9445" s="1" t="str">
        <f>"CK2024100620212"</f>
        <v>CK2024100620212</v>
      </c>
      <c r="E9445" s="1" t="str">
        <f>"6917841574558531302"</f>
        <v>6917841574558531302</v>
      </c>
      <c r="F9445" s="1" t="str">
        <f t="shared" si="2608"/>
        <v>花都四部-凤凰仓</v>
      </c>
      <c r="G9445" s="1" t="str">
        <f t="shared" si="2613"/>
        <v>卡卡杜个人护理店（抖店）</v>
      </c>
      <c r="H9445" s="1" t="str">
        <f t="shared" si="2609"/>
        <v>正常订单</v>
      </c>
      <c r="I9445" s="1" t="str">
        <f t="shared" si="2610"/>
        <v>已发货</v>
      </c>
      <c r="J9445" s="1" t="str">
        <f t="shared" si="2611"/>
        <v>2</v>
      </c>
      <c r="K9445" s="1">
        <v>1</v>
      </c>
      <c r="L9445" s="1" t="s">
        <v>60</v>
      </c>
      <c r="M9445" s="1" t="str">
        <f>"云南省 昆明市 嵩明县 嵩阳街道"</f>
        <v>云南省 昆明市 嵩明县 嵩阳街道</v>
      </c>
      <c r="N9445" s="1" t="str">
        <f t="shared" si="2614"/>
        <v>凡华云仓-韵达-抖音</v>
      </c>
      <c r="O9445" s="5">
        <v>320157848437238</v>
      </c>
      <c r="P9445" s="6">
        <v>0.33</v>
      </c>
      <c r="Q9445" s="11">
        <v>2.2999999999999998</v>
      </c>
      <c r="R9445" s="11"/>
      <c r="S9445" s="11"/>
      <c r="T9445" s="11"/>
      <c r="U9445" s="11">
        <f t="shared" si="2612"/>
        <v>2.2999999999999998</v>
      </c>
      <c r="W9445">
        <v>2.5</v>
      </c>
      <c r="X9445" s="1" t="s">
        <v>60</v>
      </c>
    </row>
    <row r="9446" spans="1:24" x14ac:dyDescent="0.25">
      <c r="A9446" s="1" t="str">
        <f t="shared" si="2607"/>
        <v>卡卡杜-凤凰仓</v>
      </c>
      <c r="B9446" s="1" t="str">
        <f>"CK20241006152"</f>
        <v>CK20241006152</v>
      </c>
      <c r="C9446" s="1" t="str">
        <f>"DD2024100613484"</f>
        <v>DD2024100613484</v>
      </c>
      <c r="D9446" s="1" t="str">
        <f>"CK2024100620211"</f>
        <v>CK2024100620211</v>
      </c>
      <c r="E9446" s="1" t="str">
        <f>"6917845227655757702"</f>
        <v>6917845227655757702</v>
      </c>
      <c r="F9446" s="1" t="str">
        <f t="shared" si="2608"/>
        <v>花都四部-凤凰仓</v>
      </c>
      <c r="G9446" s="1" t="str">
        <f t="shared" si="2613"/>
        <v>卡卡杜个人护理店（抖店）</v>
      </c>
      <c r="H9446" s="1" t="str">
        <f t="shared" si="2609"/>
        <v>正常订单</v>
      </c>
      <c r="I9446" s="1" t="str">
        <f t="shared" si="2610"/>
        <v>已发货</v>
      </c>
      <c r="J9446" s="1" t="str">
        <f t="shared" si="2611"/>
        <v>2</v>
      </c>
      <c r="K9446" s="1">
        <v>1</v>
      </c>
      <c r="L9446" s="1" t="s">
        <v>13</v>
      </c>
      <c r="M9446" s="1" t="str">
        <f>"江苏省 徐州市 云龙区 子房街道"</f>
        <v>江苏省 徐州市 云龙区 子房街道</v>
      </c>
      <c r="N9446" s="1" t="str">
        <f t="shared" si="2614"/>
        <v>凡华云仓-韵达-抖音</v>
      </c>
      <c r="O9446" s="5">
        <v>320157848437147</v>
      </c>
      <c r="P9446" s="6">
        <v>0.33</v>
      </c>
      <c r="Q9446" s="11">
        <v>2.2999999999999998</v>
      </c>
      <c r="R9446" s="11"/>
      <c r="S9446" s="11"/>
      <c r="T9446" s="11"/>
      <c r="U9446" s="11">
        <f t="shared" si="2612"/>
        <v>2.2999999999999998</v>
      </c>
      <c r="W9446">
        <v>2.5</v>
      </c>
      <c r="X9446" s="1" t="s">
        <v>13</v>
      </c>
    </row>
    <row r="9447" spans="1:24" x14ac:dyDescent="0.25">
      <c r="A9447" s="1" t="str">
        <f t="shared" si="2607"/>
        <v>卡卡杜-凤凰仓</v>
      </c>
      <c r="B9447" s="1" t="str">
        <f>"CK20241006158"</f>
        <v>CK20241006158</v>
      </c>
      <c r="C9447" s="1" t="str">
        <f>"DD2024100613491"</f>
        <v>DD2024100613491</v>
      </c>
      <c r="D9447" s="1" t="str">
        <f>"CK2024100620210"</f>
        <v>CK2024100620210</v>
      </c>
      <c r="E9447" s="1" t="str">
        <f>"6917841363236846633"</f>
        <v>6917841363236846633</v>
      </c>
      <c r="F9447" s="1" t="str">
        <f t="shared" si="2608"/>
        <v>花都四部-凤凰仓</v>
      </c>
      <c r="G9447" s="1" t="str">
        <f t="shared" si="2613"/>
        <v>卡卡杜个人护理店（抖店）</v>
      </c>
      <c r="H9447" s="1" t="str">
        <f t="shared" si="2609"/>
        <v>正常订单</v>
      </c>
      <c r="I9447" s="1" t="str">
        <f t="shared" si="2610"/>
        <v>已发货</v>
      </c>
      <c r="J9447" s="1" t="str">
        <f t="shared" si="2611"/>
        <v>2</v>
      </c>
      <c r="K9447" s="1">
        <v>1</v>
      </c>
      <c r="L9447" s="1" t="s">
        <v>41</v>
      </c>
      <c r="M9447" s="1" t="str">
        <f>"湖北省 武汉市 东西湖区 径河街道"</f>
        <v>湖北省 武汉市 东西湖区 径河街道</v>
      </c>
      <c r="N9447" s="1" t="str">
        <f t="shared" si="2614"/>
        <v>凡华云仓-韵达-抖音</v>
      </c>
      <c r="O9447" s="5">
        <v>320157848437058</v>
      </c>
      <c r="P9447" s="6">
        <v>0.33</v>
      </c>
      <c r="Q9447" s="11">
        <v>2.2999999999999998</v>
      </c>
      <c r="R9447" s="11"/>
      <c r="S9447" s="11"/>
      <c r="T9447" s="11"/>
      <c r="U9447" s="11">
        <f t="shared" si="2612"/>
        <v>2.2999999999999998</v>
      </c>
      <c r="W9447">
        <v>2.5</v>
      </c>
      <c r="X9447" s="1" t="s">
        <v>41</v>
      </c>
    </row>
    <row r="9448" spans="1:24" x14ac:dyDescent="0.25">
      <c r="A9448" s="1" t="str">
        <f t="shared" si="2607"/>
        <v>卡卡杜-凤凰仓</v>
      </c>
      <c r="B9448" s="1" t="str">
        <f>"CK20241006153"</f>
        <v>CK20241006153</v>
      </c>
      <c r="C9448" s="1" t="str">
        <f>"DD2024100613485"</f>
        <v>DD2024100613485</v>
      </c>
      <c r="D9448" s="1" t="str">
        <f>"CK2024100620209"</f>
        <v>CK2024100620209</v>
      </c>
      <c r="E9448" s="1" t="str">
        <f>"6917841281412530144"</f>
        <v>6917841281412530144</v>
      </c>
      <c r="F9448" s="1" t="str">
        <f t="shared" si="2608"/>
        <v>花都四部-凤凰仓</v>
      </c>
      <c r="G9448" s="1" t="str">
        <f t="shared" si="2613"/>
        <v>卡卡杜个人护理店（抖店）</v>
      </c>
      <c r="H9448" s="1" t="str">
        <f t="shared" si="2609"/>
        <v>正常订单</v>
      </c>
      <c r="I9448" s="1" t="str">
        <f t="shared" si="2610"/>
        <v>已发货</v>
      </c>
      <c r="J9448" s="1" t="str">
        <f t="shared" si="2611"/>
        <v>2</v>
      </c>
      <c r="K9448" s="1">
        <v>1</v>
      </c>
      <c r="L9448" s="1" t="s">
        <v>16</v>
      </c>
      <c r="M9448" s="1" t="str">
        <f>"河北省 邯郸市 永年区 永合会镇"</f>
        <v>河北省 邯郸市 永年区 永合会镇</v>
      </c>
      <c r="N9448" s="1" t="str">
        <f t="shared" si="2614"/>
        <v>凡华云仓-韵达-抖音</v>
      </c>
      <c r="O9448" s="5">
        <v>320157848436930</v>
      </c>
      <c r="P9448" s="6">
        <v>0.33</v>
      </c>
      <c r="Q9448" s="11">
        <v>2.2999999999999998</v>
      </c>
      <c r="R9448" s="11"/>
      <c r="S9448" s="11"/>
      <c r="T9448" s="11"/>
      <c r="U9448" s="11">
        <f t="shared" si="2612"/>
        <v>2.2999999999999998</v>
      </c>
      <c r="W9448">
        <v>2.5</v>
      </c>
      <c r="X9448" s="1" t="s">
        <v>16</v>
      </c>
    </row>
    <row r="9449" spans="1:24" x14ac:dyDescent="0.25">
      <c r="A9449" s="1" t="str">
        <f t="shared" si="2607"/>
        <v>卡卡杜-凤凰仓</v>
      </c>
      <c r="B9449" s="1" t="str">
        <f>"CK20241006162"</f>
        <v>CK20241006162</v>
      </c>
      <c r="C9449" s="1" t="str">
        <f>"DD2024100613494"</f>
        <v>DD2024100613494</v>
      </c>
      <c r="D9449" s="1" t="str">
        <f>"CK2024100620208"</f>
        <v>CK2024100620208</v>
      </c>
      <c r="E9449" s="1" t="str">
        <f>"6917841306562559596"</f>
        <v>6917841306562559596</v>
      </c>
      <c r="F9449" s="1" t="str">
        <f t="shared" si="2608"/>
        <v>花都四部-凤凰仓</v>
      </c>
      <c r="G9449" s="1" t="str">
        <f t="shared" si="2613"/>
        <v>卡卡杜个人护理店（抖店）</v>
      </c>
      <c r="H9449" s="1" t="str">
        <f t="shared" si="2609"/>
        <v>正常订单</v>
      </c>
      <c r="I9449" s="1" t="str">
        <f t="shared" si="2610"/>
        <v>已发货</v>
      </c>
      <c r="J9449" s="1" t="str">
        <f t="shared" si="2611"/>
        <v>2</v>
      </c>
      <c r="K9449" s="1">
        <v>1</v>
      </c>
      <c r="L9449" s="1" t="s">
        <v>18</v>
      </c>
      <c r="M9449" s="1" t="str">
        <f>"广东省 广州市 花都区 狮岭镇"</f>
        <v>广东省 广州市 花都区 狮岭镇</v>
      </c>
      <c r="N9449" s="1" t="str">
        <f t="shared" si="2614"/>
        <v>凡华云仓-韵达-抖音</v>
      </c>
      <c r="O9449" s="5">
        <v>320157848436825</v>
      </c>
      <c r="P9449" s="6">
        <v>0.33</v>
      </c>
      <c r="Q9449" s="11">
        <v>2.2999999999999998</v>
      </c>
      <c r="R9449" s="11"/>
      <c r="S9449" s="11"/>
      <c r="T9449" s="11"/>
      <c r="U9449" s="11">
        <f t="shared" si="2612"/>
        <v>2.2999999999999998</v>
      </c>
      <c r="W9449">
        <v>2.5</v>
      </c>
      <c r="X9449" s="1" t="s">
        <v>18</v>
      </c>
    </row>
    <row r="9450" spans="1:24" x14ac:dyDescent="0.25">
      <c r="A9450" s="1" t="str">
        <f t="shared" si="2607"/>
        <v>卡卡杜-凤凰仓</v>
      </c>
      <c r="B9450" s="1" t="str">
        <f>"CK20241006154"</f>
        <v>CK20241006154</v>
      </c>
      <c r="C9450" s="1" t="str">
        <f>"DD2024100613486"</f>
        <v>DD2024100613486</v>
      </c>
      <c r="D9450" s="1" t="str">
        <f>"CK2024100620207"</f>
        <v>CK2024100620207</v>
      </c>
      <c r="E9450" s="1" t="str">
        <f>"6917839001938328742"</f>
        <v>6917839001938328742</v>
      </c>
      <c r="F9450" s="1" t="str">
        <f t="shared" si="2608"/>
        <v>花都四部-凤凰仓</v>
      </c>
      <c r="G9450" s="1" t="str">
        <f t="shared" si="2613"/>
        <v>卡卡杜个人护理店（抖店）</v>
      </c>
      <c r="H9450" s="1" t="str">
        <f t="shared" si="2609"/>
        <v>正常订单</v>
      </c>
      <c r="I9450" s="1" t="str">
        <f t="shared" si="2610"/>
        <v>已发货</v>
      </c>
      <c r="J9450" s="1" t="str">
        <f t="shared" si="2611"/>
        <v>2</v>
      </c>
      <c r="K9450" s="1">
        <v>1</v>
      </c>
      <c r="L9450" s="1" t="s">
        <v>20</v>
      </c>
      <c r="M9450" s="1" t="str">
        <f>"浙江省 嘉兴市 秀洲区 王店镇"</f>
        <v>浙江省 嘉兴市 秀洲区 王店镇</v>
      </c>
      <c r="N9450" s="1" t="str">
        <f t="shared" si="2614"/>
        <v>凡华云仓-韵达-抖音</v>
      </c>
      <c r="O9450" s="5">
        <v>320157848436722</v>
      </c>
      <c r="P9450" s="6">
        <v>0.33</v>
      </c>
      <c r="Q9450" s="11">
        <v>2.2999999999999998</v>
      </c>
      <c r="R9450" s="11"/>
      <c r="S9450" s="11"/>
      <c r="T9450" s="11"/>
      <c r="U9450" s="11">
        <f t="shared" si="2612"/>
        <v>2.2999999999999998</v>
      </c>
      <c r="W9450">
        <v>2.5</v>
      </c>
      <c r="X9450" s="1" t="s">
        <v>20</v>
      </c>
    </row>
    <row r="9451" spans="1:24" x14ac:dyDescent="0.25">
      <c r="A9451" s="1" t="str">
        <f t="shared" ref="A9451:A9514" si="2615">"卡卡杜-凤凰仓"</f>
        <v>卡卡杜-凤凰仓</v>
      </c>
      <c r="B9451" s="1" t="str">
        <f>"CK20241006194"</f>
        <v>CK20241006194</v>
      </c>
      <c r="C9451" s="1" t="str">
        <f>"DD2024100613526"</f>
        <v>DD2024100613526</v>
      </c>
      <c r="D9451" s="1" t="str">
        <f>"CK2024100620206"</f>
        <v>CK2024100620206</v>
      </c>
      <c r="E9451" s="1" t="str">
        <f>"6917841450481188002"</f>
        <v>6917841450481188002</v>
      </c>
      <c r="F9451" s="1" t="str">
        <f t="shared" ref="F9451:F9514" si="2616">"花都四部-凤凰仓"</f>
        <v>花都四部-凤凰仓</v>
      </c>
      <c r="G9451" s="1" t="str">
        <f t="shared" si="2613"/>
        <v>卡卡杜个人护理店（抖店）</v>
      </c>
      <c r="H9451" s="1" t="str">
        <f t="shared" ref="H9451:H9514" si="2617">"正常订单"</f>
        <v>正常订单</v>
      </c>
      <c r="I9451" s="1" t="str">
        <f t="shared" ref="I9451:I9514" si="2618">"已发货"</f>
        <v>已发货</v>
      </c>
      <c r="J9451" s="1" t="str">
        <f t="shared" si="2611"/>
        <v>2</v>
      </c>
      <c r="K9451" s="1">
        <v>2</v>
      </c>
      <c r="L9451" s="1" t="s">
        <v>18</v>
      </c>
      <c r="M9451" s="1" t="str">
        <f>"广东省 东莞市 东莞市 虎门镇"</f>
        <v>广东省 东莞市 东莞市 虎门镇</v>
      </c>
      <c r="N9451" s="1" t="str">
        <f t="shared" si="2614"/>
        <v>凡华云仓-韵达-抖音</v>
      </c>
      <c r="O9451" s="5">
        <v>320157848436621</v>
      </c>
      <c r="P9451" s="6">
        <v>0.28000000000000003</v>
      </c>
      <c r="Q9451" s="11">
        <v>2</v>
      </c>
      <c r="R9451" s="11"/>
      <c r="S9451" s="11"/>
      <c r="T9451" s="11"/>
      <c r="U9451" s="11">
        <f t="shared" si="2612"/>
        <v>2</v>
      </c>
      <c r="W9451">
        <v>2.2000000000000002</v>
      </c>
      <c r="X9451" s="1" t="s">
        <v>18</v>
      </c>
    </row>
    <row r="9452" spans="1:24" x14ac:dyDescent="0.25">
      <c r="A9452" s="1" t="str">
        <f t="shared" si="2615"/>
        <v>卡卡杜-凤凰仓</v>
      </c>
      <c r="B9452" s="1" t="str">
        <f>"CK20241006151"</f>
        <v>CK20241006151</v>
      </c>
      <c r="C9452" s="1" t="str">
        <f>"DD2024100613483"</f>
        <v>DD2024100613483</v>
      </c>
      <c r="D9452" s="1" t="str">
        <f>"CK2024100620205"</f>
        <v>CK2024100620205</v>
      </c>
      <c r="E9452" s="1" t="str">
        <f>"6917839198825840307"</f>
        <v>6917839198825840307</v>
      </c>
      <c r="F9452" s="1" t="str">
        <f t="shared" si="2616"/>
        <v>花都四部-凤凰仓</v>
      </c>
      <c r="G9452" s="1" t="str">
        <f t="shared" si="2613"/>
        <v>卡卡杜个人护理店（抖店）</v>
      </c>
      <c r="H9452" s="1" t="str">
        <f t="shared" si="2617"/>
        <v>正常订单</v>
      </c>
      <c r="I9452" s="1" t="str">
        <f t="shared" si="2618"/>
        <v>已发货</v>
      </c>
      <c r="J9452" s="1" t="str">
        <f t="shared" si="2611"/>
        <v>2</v>
      </c>
      <c r="K9452" s="1">
        <v>1</v>
      </c>
      <c r="L9452" s="1" t="s">
        <v>24</v>
      </c>
      <c r="M9452" s="1" t="str">
        <f>"福建省 龙岩市 新罗区 西陂街道"</f>
        <v>福建省 龙岩市 新罗区 西陂街道</v>
      </c>
      <c r="N9452" s="1" t="str">
        <f t="shared" si="2614"/>
        <v>凡华云仓-韵达-抖音</v>
      </c>
      <c r="O9452" s="5">
        <v>320157848436522</v>
      </c>
      <c r="P9452" s="6">
        <v>0.33</v>
      </c>
      <c r="Q9452" s="11">
        <v>2.2999999999999998</v>
      </c>
      <c r="R9452" s="11"/>
      <c r="S9452" s="11"/>
      <c r="T9452" s="11"/>
      <c r="U9452" s="11">
        <f t="shared" si="2612"/>
        <v>2.2999999999999998</v>
      </c>
      <c r="W9452">
        <v>2.5</v>
      </c>
      <c r="X9452" s="1" t="s">
        <v>24</v>
      </c>
    </row>
    <row r="9453" spans="1:24" x14ac:dyDescent="0.25">
      <c r="A9453" s="1" t="str">
        <f t="shared" si="2615"/>
        <v>卡卡杜-凤凰仓</v>
      </c>
      <c r="B9453" s="1" t="str">
        <f>"CK20241006184"</f>
        <v>CK20241006184</v>
      </c>
      <c r="C9453" s="1" t="str">
        <f>"DD2024100613516"</f>
        <v>DD2024100613516</v>
      </c>
      <c r="D9453" s="1" t="str">
        <f>"CK2024100610838"</f>
        <v>CK2024100610838</v>
      </c>
      <c r="E9453" s="1" t="str">
        <f>"3723061485427102720"</f>
        <v>3723061485427102720</v>
      </c>
      <c r="F9453" s="1" t="str">
        <f t="shared" si="2616"/>
        <v>花都四部-凤凰仓</v>
      </c>
      <c r="G9453" s="1" t="str">
        <f>"RO橙心外贸供应链 （视频号）"</f>
        <v>RO橙心外贸供应链 （视频号）</v>
      </c>
      <c r="H9453" s="1" t="str">
        <f t="shared" si="2617"/>
        <v>正常订单</v>
      </c>
      <c r="I9453" s="1" t="str">
        <f t="shared" si="2618"/>
        <v>已发货</v>
      </c>
      <c r="J9453" s="1" t="str">
        <f t="shared" si="2611"/>
        <v>2</v>
      </c>
      <c r="K9453" s="1">
        <v>2</v>
      </c>
      <c r="L9453" s="1" t="s">
        <v>20</v>
      </c>
      <c r="M9453" s="1" t="str">
        <f>"浙江省 湖州市 吴兴区 "</f>
        <v xml:space="preserve">浙江省 湖州市 吴兴区 </v>
      </c>
      <c r="N9453" s="1" t="str">
        <f>"凡华云仓-韵达-微信视频号"</f>
        <v>凡华云仓-韵达-微信视频号</v>
      </c>
      <c r="O9453" s="5">
        <v>315012057167585</v>
      </c>
      <c r="P9453" s="6">
        <v>0.28000000000000003</v>
      </c>
      <c r="Q9453" s="11">
        <v>2</v>
      </c>
      <c r="R9453" s="11"/>
      <c r="S9453" s="11"/>
      <c r="T9453" s="11"/>
      <c r="U9453" s="11">
        <f t="shared" si="2612"/>
        <v>2</v>
      </c>
      <c r="W9453">
        <v>2.2000000000000002</v>
      </c>
      <c r="X9453" s="1" t="s">
        <v>20</v>
      </c>
    </row>
    <row r="9454" spans="1:24" x14ac:dyDescent="0.25">
      <c r="A9454" s="1" t="str">
        <f t="shared" si="2615"/>
        <v>卡卡杜-凤凰仓</v>
      </c>
      <c r="B9454" s="1" t="str">
        <f>"CK20241006188"</f>
        <v>CK20241006188</v>
      </c>
      <c r="C9454" s="1" t="str">
        <f>"DD2024100613517"</f>
        <v>DD2024100613517</v>
      </c>
      <c r="D9454" s="1" t="str">
        <f>"CK2024100610837"</f>
        <v>CK2024100610837</v>
      </c>
      <c r="E9454" s="1" t="str">
        <f>"3723056650554313728"</f>
        <v>3723056650554313728</v>
      </c>
      <c r="F9454" s="1" t="str">
        <f t="shared" si="2616"/>
        <v>花都四部-凤凰仓</v>
      </c>
      <c r="G9454" s="1" t="str">
        <f>"RO橙心外贸供应链 （视频号）"</f>
        <v>RO橙心外贸供应链 （视频号）</v>
      </c>
      <c r="H9454" s="1" t="str">
        <f t="shared" si="2617"/>
        <v>正常订单</v>
      </c>
      <c r="I9454" s="1" t="str">
        <f t="shared" si="2618"/>
        <v>已发货</v>
      </c>
      <c r="J9454" s="1" t="str">
        <f t="shared" si="2611"/>
        <v>2</v>
      </c>
      <c r="K9454" s="1">
        <v>2</v>
      </c>
      <c r="L9454" s="1" t="s">
        <v>94</v>
      </c>
      <c r="M9454" s="1" t="str">
        <f>"湖南省 长沙市 雨花区 "</f>
        <v xml:space="preserve">湖南省 长沙市 雨花区 </v>
      </c>
      <c r="N9454" s="1" t="str">
        <f>"凡华云仓-韵达-微信视频号"</f>
        <v>凡华云仓-韵达-微信视频号</v>
      </c>
      <c r="O9454" s="5">
        <v>315012057165488</v>
      </c>
      <c r="P9454" s="6">
        <v>0.28000000000000003</v>
      </c>
      <c r="Q9454" s="11">
        <v>2</v>
      </c>
      <c r="R9454" s="11"/>
      <c r="S9454" s="11"/>
      <c r="T9454" s="11"/>
      <c r="U9454" s="11">
        <f t="shared" si="2612"/>
        <v>2</v>
      </c>
      <c r="W9454">
        <v>2.2000000000000002</v>
      </c>
      <c r="X9454" s="1" t="s">
        <v>94</v>
      </c>
    </row>
    <row r="9455" spans="1:24" x14ac:dyDescent="0.25">
      <c r="A9455" s="1" t="str">
        <f t="shared" si="2615"/>
        <v>卡卡杜-凤凰仓</v>
      </c>
      <c r="B9455" s="1" t="str">
        <f>"CK2024101116654"</f>
        <v>CK2024101116654</v>
      </c>
      <c r="C9455" s="1" t="str">
        <f>"DD2024101146398"</f>
        <v>DD2024101146398</v>
      </c>
      <c r="D9455" s="1" t="str">
        <f>"CK2024101151494"</f>
        <v>CK2024101151494</v>
      </c>
      <c r="E9455" s="1" t="str">
        <f>"KKD20241011YP015"</f>
        <v>KKD20241011YP015</v>
      </c>
      <c r="F9455" s="1" t="str">
        <f t="shared" si="2616"/>
        <v>花都四部-凤凰仓</v>
      </c>
      <c r="G9455" s="1" t="str">
        <f>"卡卡杜全欣样品"</f>
        <v>卡卡杜全欣样品</v>
      </c>
      <c r="H9455" s="1" t="str">
        <f t="shared" si="2617"/>
        <v>正常订单</v>
      </c>
      <c r="I9455" s="1" t="str">
        <f t="shared" si="2618"/>
        <v>已发货</v>
      </c>
      <c r="J9455" s="1" t="str">
        <f>"7"</f>
        <v>7</v>
      </c>
      <c r="K9455" s="1">
        <v>5</v>
      </c>
      <c r="L9455" s="1" t="s">
        <v>20</v>
      </c>
      <c r="M9455" s="1" t="str">
        <f>"浙江省 绍兴市 嵊州市 "</f>
        <v xml:space="preserve">浙江省 绍兴市 嵊州市 </v>
      </c>
      <c r="N9455" s="1" t="str">
        <f>"凡华云仓-韵达-淘宝"</f>
        <v>凡华云仓-韵达-淘宝</v>
      </c>
      <c r="O9455" s="3">
        <v>434183172013213</v>
      </c>
      <c r="P9455" s="6">
        <v>0.95</v>
      </c>
      <c r="Q9455" s="11">
        <f>CEILING(P9455-0.5,0.1)*10*0.15+2.3</f>
        <v>3.05</v>
      </c>
      <c r="R9455" s="11">
        <f>(K9455-3)*0.1</f>
        <v>0.2</v>
      </c>
      <c r="S9455" s="11">
        <v>0.15</v>
      </c>
      <c r="T9455" s="11"/>
      <c r="U9455" s="11">
        <f t="shared" si="2612"/>
        <v>3.4</v>
      </c>
      <c r="V9455" t="s">
        <v>15</v>
      </c>
      <c r="W9455">
        <v>3.4</v>
      </c>
      <c r="X9455" s="1" t="s">
        <v>20</v>
      </c>
    </row>
    <row r="9456" spans="1:24" x14ac:dyDescent="0.25">
      <c r="A9456" s="1" t="str">
        <f t="shared" si="2615"/>
        <v>卡卡杜-凤凰仓</v>
      </c>
      <c r="B9456" s="1" t="str">
        <f>"CK2024101214394"</f>
        <v>CK2024101214394</v>
      </c>
      <c r="C9456" s="1" t="str">
        <f>"DD2024101242448"</f>
        <v>DD2024101242448</v>
      </c>
      <c r="D9456" s="1" t="str">
        <f>"CK2024101247041"</f>
        <v>CK2024101247041</v>
      </c>
      <c r="E9456" s="1" t="str">
        <f>"20241012QXYP005"</f>
        <v>20241012QXYP005</v>
      </c>
      <c r="F9456" s="1" t="str">
        <f t="shared" si="2616"/>
        <v>花都四部-凤凰仓</v>
      </c>
      <c r="G9456" s="1" t="str">
        <f>"卡卡杜全欣样品"</f>
        <v>卡卡杜全欣样品</v>
      </c>
      <c r="H9456" s="1" t="str">
        <f t="shared" si="2617"/>
        <v>正常订单</v>
      </c>
      <c r="I9456" s="1" t="str">
        <f t="shared" si="2618"/>
        <v>已发货</v>
      </c>
      <c r="J9456" s="1" t="str">
        <f>"7"</f>
        <v>7</v>
      </c>
      <c r="K9456" s="1">
        <v>5</v>
      </c>
      <c r="L9456" s="1" t="s">
        <v>20</v>
      </c>
      <c r="M9456" s="1" t="str">
        <f>"浙江省 杭州市 余杭区 "</f>
        <v xml:space="preserve">浙江省 杭州市 余杭区 </v>
      </c>
      <c r="N9456" s="1" t="str">
        <f>"凡华云仓-韵达-淘宝"</f>
        <v>凡华云仓-韵达-淘宝</v>
      </c>
      <c r="O9456" s="3">
        <v>434185108729615</v>
      </c>
      <c r="P9456" s="6">
        <v>0.95</v>
      </c>
      <c r="Q9456" s="11">
        <f>CEILING(P9456-0.5,0.1)*10*0.15+2.3</f>
        <v>3.05</v>
      </c>
      <c r="R9456" s="11">
        <f>(K9456-3)*0.1</f>
        <v>0.2</v>
      </c>
      <c r="S9456" s="11">
        <v>0.15</v>
      </c>
      <c r="T9456" s="11"/>
      <c r="U9456" s="11">
        <f t="shared" si="2612"/>
        <v>3.4</v>
      </c>
      <c r="V9456" t="s">
        <v>15</v>
      </c>
      <c r="W9456">
        <v>3.4</v>
      </c>
      <c r="X9456" s="1" t="s">
        <v>20</v>
      </c>
    </row>
    <row r="9457" spans="1:24" x14ac:dyDescent="0.25">
      <c r="A9457" s="1" t="str">
        <f t="shared" si="2615"/>
        <v>卡卡杜-凤凰仓</v>
      </c>
      <c r="B9457" s="1" t="str">
        <f>"CK2024101413605"</f>
        <v>CK2024101413605</v>
      </c>
      <c r="C9457" s="1" t="str">
        <f>"DD2024101460130"</f>
        <v>DD2024101460130</v>
      </c>
      <c r="D9457" s="1" t="str">
        <f>"CK2024101455070"</f>
        <v>CK2024101455070</v>
      </c>
      <c r="E9457" s="1" t="str">
        <f>"KKD20241014YP008"</f>
        <v>KKD20241014YP008</v>
      </c>
      <c r="F9457" s="1" t="str">
        <f t="shared" si="2616"/>
        <v>花都四部-凤凰仓</v>
      </c>
      <c r="G9457" s="1" t="str">
        <f>"卡卡杜全欣样品"</f>
        <v>卡卡杜全欣样品</v>
      </c>
      <c r="H9457" s="1" t="str">
        <f t="shared" si="2617"/>
        <v>正常订单</v>
      </c>
      <c r="I9457" s="1" t="str">
        <f t="shared" si="2618"/>
        <v>已发货</v>
      </c>
      <c r="J9457" s="1" t="str">
        <f>"7"</f>
        <v>7</v>
      </c>
      <c r="K9457" s="1">
        <v>5</v>
      </c>
      <c r="L9457" s="1" t="s">
        <v>105</v>
      </c>
      <c r="M9457" s="1" t="str">
        <f>"北京 北京市 丰台区 "</f>
        <v xml:space="preserve">北京 北京市 丰台区 </v>
      </c>
      <c r="N9457" s="1" t="str">
        <f>"凡华云仓-韵达-淘宝"</f>
        <v>凡华云仓-韵达-淘宝</v>
      </c>
      <c r="O9457" s="3">
        <v>434188985670440</v>
      </c>
      <c r="P9457" s="6">
        <v>0.95</v>
      </c>
      <c r="Q9457" s="11">
        <f t="shared" ref="Q9457:Q9472" si="2619">CEILING(P9457-0.5,0.1)*10*0.15+2.3</f>
        <v>3.05</v>
      </c>
      <c r="R9457" s="11">
        <f t="shared" ref="R9457:R9466" si="2620">(K9457-3)*0.1</f>
        <v>0.2</v>
      </c>
      <c r="S9457" s="11">
        <v>0.15</v>
      </c>
      <c r="T9457" s="11"/>
      <c r="U9457" s="11">
        <f t="shared" si="2612"/>
        <v>3.4</v>
      </c>
      <c r="V9457" t="s">
        <v>15</v>
      </c>
      <c r="W9457">
        <v>3.4</v>
      </c>
      <c r="X9457" s="1" t="s">
        <v>105</v>
      </c>
    </row>
    <row r="9458" spans="1:24" x14ac:dyDescent="0.25">
      <c r="A9458" s="1" t="str">
        <f t="shared" si="2615"/>
        <v>卡卡杜-凤凰仓</v>
      </c>
      <c r="B9458" s="1" t="str">
        <f>"CK2024100518314"</f>
        <v>CK2024100518314</v>
      </c>
      <c r="C9458" s="1" t="str">
        <f>"DD2024100549462"</f>
        <v>DD2024100549462</v>
      </c>
      <c r="D9458" s="1" t="str">
        <f>"CK2024100542730"</f>
        <v>CK2024100542730</v>
      </c>
      <c r="E9458" s="1" t="str">
        <f>"KKD20240105YP015"</f>
        <v>KKD20240105YP015</v>
      </c>
      <c r="F9458" s="1" t="str">
        <f t="shared" si="2616"/>
        <v>花都四部-凤凰仓</v>
      </c>
      <c r="G9458" s="1" t="str">
        <f t="shared" ref="G9458:G9472" si="2621">"卡卡杜全欣样品"</f>
        <v>卡卡杜全欣样品</v>
      </c>
      <c r="H9458" s="1" t="str">
        <f t="shared" si="2617"/>
        <v>正常订单</v>
      </c>
      <c r="I9458" s="1" t="str">
        <f t="shared" si="2618"/>
        <v>已发货</v>
      </c>
      <c r="J9458" s="1" t="str">
        <f t="shared" ref="J9458:J9463" si="2622">"11"</f>
        <v>11</v>
      </c>
      <c r="K9458" s="1">
        <v>8</v>
      </c>
      <c r="L9458" s="1" t="s">
        <v>13</v>
      </c>
      <c r="M9458" s="1" t="str">
        <f>"江苏省 南通市 启东市 "</f>
        <v xml:space="preserve">江苏省 南通市 启东市 </v>
      </c>
      <c r="N9458" s="1" t="str">
        <f t="shared" ref="N9458:N9472" si="2623">"凡华云仓-韵达-淘宝"</f>
        <v>凡华云仓-韵达-淘宝</v>
      </c>
      <c r="O9458" s="3">
        <v>434170757630089</v>
      </c>
      <c r="P9458" s="6">
        <v>1.58</v>
      </c>
      <c r="Q9458" s="11">
        <f t="shared" si="2619"/>
        <v>3.9499999999999997</v>
      </c>
      <c r="R9458" s="11">
        <f t="shared" si="2620"/>
        <v>0.5</v>
      </c>
      <c r="S9458" s="11">
        <v>0.15</v>
      </c>
      <c r="T9458" s="11"/>
      <c r="U9458" s="11">
        <f t="shared" si="2612"/>
        <v>4.5999999999999996</v>
      </c>
      <c r="V9458" t="s">
        <v>15</v>
      </c>
      <c r="W9458">
        <v>4.5999999999999996</v>
      </c>
      <c r="X9458" s="1" t="s">
        <v>13</v>
      </c>
    </row>
    <row r="9459" spans="1:24" x14ac:dyDescent="0.25">
      <c r="A9459" s="1" t="str">
        <f t="shared" si="2615"/>
        <v>卡卡杜-凤凰仓</v>
      </c>
      <c r="B9459" s="1" t="str">
        <f>"CK2024100518317"</f>
        <v>CK2024100518317</v>
      </c>
      <c r="C9459" s="1" t="str">
        <f>"DD2024100549463"</f>
        <v>DD2024100549463</v>
      </c>
      <c r="D9459" s="1" t="str">
        <f>"CK2024100542729"</f>
        <v>CK2024100542729</v>
      </c>
      <c r="E9459" s="1" t="str">
        <f>"KKD20240105YP012"</f>
        <v>KKD20240105YP012</v>
      </c>
      <c r="F9459" s="1" t="str">
        <f t="shared" si="2616"/>
        <v>花都四部-凤凰仓</v>
      </c>
      <c r="G9459" s="1" t="str">
        <f t="shared" si="2621"/>
        <v>卡卡杜全欣样品</v>
      </c>
      <c r="H9459" s="1" t="str">
        <f t="shared" si="2617"/>
        <v>正常订单</v>
      </c>
      <c r="I9459" s="1" t="str">
        <f t="shared" si="2618"/>
        <v>已发货</v>
      </c>
      <c r="J9459" s="1" t="str">
        <f t="shared" si="2622"/>
        <v>11</v>
      </c>
      <c r="K9459" s="1">
        <v>8</v>
      </c>
      <c r="L9459" s="1" t="s">
        <v>80</v>
      </c>
      <c r="M9459" s="1" t="str">
        <f>"河南省 洛阳市 涧西区 "</f>
        <v xml:space="preserve">河南省 洛阳市 涧西区 </v>
      </c>
      <c r="N9459" s="1" t="str">
        <f t="shared" si="2623"/>
        <v>凡华云仓-韵达-淘宝</v>
      </c>
      <c r="O9459" s="3">
        <v>434170757629978</v>
      </c>
      <c r="P9459" s="6">
        <v>1.58</v>
      </c>
      <c r="Q9459" s="11">
        <f t="shared" si="2619"/>
        <v>3.9499999999999997</v>
      </c>
      <c r="R9459" s="11">
        <f t="shared" si="2620"/>
        <v>0.5</v>
      </c>
      <c r="S9459" s="11">
        <v>0.15</v>
      </c>
      <c r="T9459" s="11"/>
      <c r="U9459" s="11">
        <f t="shared" si="2612"/>
        <v>4.5999999999999996</v>
      </c>
      <c r="V9459" t="s">
        <v>15</v>
      </c>
      <c r="W9459">
        <v>4.5999999999999996</v>
      </c>
      <c r="X9459" s="1" t="s">
        <v>80</v>
      </c>
    </row>
    <row r="9460" spans="1:24" x14ac:dyDescent="0.25">
      <c r="A9460" s="1" t="str">
        <f t="shared" si="2615"/>
        <v>卡卡杜-凤凰仓</v>
      </c>
      <c r="B9460" s="1" t="str">
        <f>"CK2024100518316"</f>
        <v>CK2024100518316</v>
      </c>
      <c r="C9460" s="1" t="str">
        <f>"DD2024100549464"</f>
        <v>DD2024100549464</v>
      </c>
      <c r="D9460" s="1" t="str">
        <f>"CK2024100542728"</f>
        <v>CK2024100542728</v>
      </c>
      <c r="E9460" s="1" t="str">
        <f>"KKD20240105YP013"</f>
        <v>KKD20240105YP013</v>
      </c>
      <c r="F9460" s="1" t="str">
        <f t="shared" si="2616"/>
        <v>花都四部-凤凰仓</v>
      </c>
      <c r="G9460" s="1" t="str">
        <f t="shared" si="2621"/>
        <v>卡卡杜全欣样品</v>
      </c>
      <c r="H9460" s="1" t="str">
        <f t="shared" si="2617"/>
        <v>正常订单</v>
      </c>
      <c r="I9460" s="1" t="str">
        <f t="shared" si="2618"/>
        <v>已发货</v>
      </c>
      <c r="J9460" s="1" t="str">
        <f t="shared" si="2622"/>
        <v>11</v>
      </c>
      <c r="K9460" s="1">
        <v>8</v>
      </c>
      <c r="L9460" s="1" t="s">
        <v>20</v>
      </c>
      <c r="M9460" s="1" t="str">
        <f>"浙江省 温州市 瓯海区 "</f>
        <v xml:space="preserve">浙江省 温州市 瓯海区 </v>
      </c>
      <c r="N9460" s="1" t="str">
        <f t="shared" si="2623"/>
        <v>凡华云仓-韵达-淘宝</v>
      </c>
      <c r="O9460" s="3">
        <v>434170757629881</v>
      </c>
      <c r="P9460" s="6">
        <v>1.58</v>
      </c>
      <c r="Q9460" s="11">
        <f t="shared" si="2619"/>
        <v>3.9499999999999997</v>
      </c>
      <c r="R9460" s="11">
        <f t="shared" si="2620"/>
        <v>0.5</v>
      </c>
      <c r="S9460" s="11">
        <v>0.15</v>
      </c>
      <c r="T9460" s="11"/>
      <c r="U9460" s="11">
        <f t="shared" si="2612"/>
        <v>4.5999999999999996</v>
      </c>
      <c r="V9460" t="s">
        <v>15</v>
      </c>
      <c r="W9460">
        <v>4.5999999999999996</v>
      </c>
      <c r="X9460" s="1" t="s">
        <v>20</v>
      </c>
    </row>
    <row r="9461" spans="1:24" x14ac:dyDescent="0.25">
      <c r="A9461" s="1" t="str">
        <f t="shared" si="2615"/>
        <v>卡卡杜-凤凰仓</v>
      </c>
      <c r="B9461" s="1" t="str">
        <f>"CK2024100518315"</f>
        <v>CK2024100518315</v>
      </c>
      <c r="C9461" s="1" t="str">
        <f>"DD2024100549465"</f>
        <v>DD2024100549465</v>
      </c>
      <c r="D9461" s="1" t="str">
        <f>"CK2024100542727"</f>
        <v>CK2024100542727</v>
      </c>
      <c r="E9461" s="1" t="str">
        <f>"KKD20240105YP014"</f>
        <v>KKD20240105YP014</v>
      </c>
      <c r="F9461" s="1" t="str">
        <f t="shared" si="2616"/>
        <v>花都四部-凤凰仓</v>
      </c>
      <c r="G9461" s="1" t="str">
        <f t="shared" si="2621"/>
        <v>卡卡杜全欣样品</v>
      </c>
      <c r="H9461" s="1" t="str">
        <f t="shared" si="2617"/>
        <v>正常订单</v>
      </c>
      <c r="I9461" s="1" t="str">
        <f t="shared" si="2618"/>
        <v>已发货</v>
      </c>
      <c r="J9461" s="1" t="str">
        <f t="shared" si="2622"/>
        <v>11</v>
      </c>
      <c r="K9461" s="1">
        <v>8</v>
      </c>
      <c r="L9461" s="1" t="s">
        <v>94</v>
      </c>
      <c r="M9461" s="1" t="str">
        <f>"湖南省 长沙市 天心区 "</f>
        <v xml:space="preserve">湖南省 长沙市 天心区 </v>
      </c>
      <c r="N9461" s="1" t="str">
        <f t="shared" si="2623"/>
        <v>凡华云仓-韵达-淘宝</v>
      </c>
      <c r="O9461" s="3">
        <v>434170757629784</v>
      </c>
      <c r="P9461" s="6">
        <v>1.58</v>
      </c>
      <c r="Q9461" s="11">
        <f t="shared" si="2619"/>
        <v>3.9499999999999997</v>
      </c>
      <c r="R9461" s="11">
        <f t="shared" si="2620"/>
        <v>0.5</v>
      </c>
      <c r="S9461" s="11">
        <v>0.15</v>
      </c>
      <c r="T9461" s="11"/>
      <c r="U9461" s="11">
        <f t="shared" si="2612"/>
        <v>4.5999999999999996</v>
      </c>
      <c r="V9461" t="s">
        <v>15</v>
      </c>
      <c r="W9461">
        <v>4.5999999999999996</v>
      </c>
      <c r="X9461" s="1" t="s">
        <v>94</v>
      </c>
    </row>
    <row r="9462" spans="1:24" x14ac:dyDescent="0.25">
      <c r="A9462" s="1" t="str">
        <f t="shared" si="2615"/>
        <v>卡卡杜-凤凰仓</v>
      </c>
      <c r="B9462" s="1" t="str">
        <f>"CK2024100518318"</f>
        <v>CK2024100518318</v>
      </c>
      <c r="C9462" s="1" t="str">
        <f>"DD2024100549466"</f>
        <v>DD2024100549466</v>
      </c>
      <c r="D9462" s="1" t="str">
        <f>"CK2024100542726"</f>
        <v>CK2024100542726</v>
      </c>
      <c r="E9462" s="1" t="str">
        <f>"KKD20240105YP011"</f>
        <v>KKD20240105YP011</v>
      </c>
      <c r="F9462" s="1" t="str">
        <f t="shared" si="2616"/>
        <v>花都四部-凤凰仓</v>
      </c>
      <c r="G9462" s="1" t="str">
        <f t="shared" si="2621"/>
        <v>卡卡杜全欣样品</v>
      </c>
      <c r="H9462" s="1" t="str">
        <f t="shared" si="2617"/>
        <v>正常订单</v>
      </c>
      <c r="I9462" s="1" t="str">
        <f t="shared" si="2618"/>
        <v>已发货</v>
      </c>
      <c r="J9462" s="1" t="str">
        <f t="shared" si="2622"/>
        <v>11</v>
      </c>
      <c r="K9462" s="1">
        <v>8</v>
      </c>
      <c r="L9462" s="1" t="s">
        <v>105</v>
      </c>
      <c r="M9462" s="1" t="str">
        <f>"北京 北京市 通州区 "</f>
        <v xml:space="preserve">北京 北京市 通州区 </v>
      </c>
      <c r="N9462" s="1" t="str">
        <f t="shared" si="2623"/>
        <v>凡华云仓-韵达-淘宝</v>
      </c>
      <c r="O9462" s="3">
        <v>434170757629687</v>
      </c>
      <c r="P9462" s="6">
        <v>1.58</v>
      </c>
      <c r="Q9462" s="11">
        <f t="shared" si="2619"/>
        <v>3.9499999999999997</v>
      </c>
      <c r="R9462" s="11">
        <f t="shared" si="2620"/>
        <v>0.5</v>
      </c>
      <c r="S9462" s="11">
        <v>0.15</v>
      </c>
      <c r="T9462" s="11"/>
      <c r="U9462" s="11">
        <f t="shared" si="2612"/>
        <v>4.5999999999999996</v>
      </c>
      <c r="V9462" t="s">
        <v>15</v>
      </c>
      <c r="W9462">
        <v>4.5999999999999996</v>
      </c>
      <c r="X9462" s="1" t="s">
        <v>105</v>
      </c>
    </row>
    <row r="9463" spans="1:24" x14ac:dyDescent="0.25">
      <c r="A9463" s="1" t="str">
        <f t="shared" si="2615"/>
        <v>卡卡杜-凤凰仓</v>
      </c>
      <c r="B9463" s="1" t="str">
        <f>"CK2024100518319"</f>
        <v>CK2024100518319</v>
      </c>
      <c r="C9463" s="1" t="str">
        <f>"DD2024100549467"</f>
        <v>DD2024100549467</v>
      </c>
      <c r="D9463" s="1" t="str">
        <f>"CK2024100542725"</f>
        <v>CK2024100542725</v>
      </c>
      <c r="E9463" s="1" t="str">
        <f>"KKD20240105YP009"</f>
        <v>KKD20240105YP009</v>
      </c>
      <c r="F9463" s="1" t="str">
        <f t="shared" si="2616"/>
        <v>花都四部-凤凰仓</v>
      </c>
      <c r="G9463" s="1" t="str">
        <f t="shared" si="2621"/>
        <v>卡卡杜全欣样品</v>
      </c>
      <c r="H9463" s="1" t="str">
        <f t="shared" si="2617"/>
        <v>正常订单</v>
      </c>
      <c r="I9463" s="1" t="str">
        <f t="shared" si="2618"/>
        <v>已发货</v>
      </c>
      <c r="J9463" s="1" t="str">
        <f t="shared" si="2622"/>
        <v>11</v>
      </c>
      <c r="K9463" s="1">
        <v>8</v>
      </c>
      <c r="L9463" s="1" t="s">
        <v>24</v>
      </c>
      <c r="M9463" s="1" t="str">
        <f>"福建省 泉州市 丰泽区 "</f>
        <v xml:space="preserve">福建省 泉州市 丰泽区 </v>
      </c>
      <c r="N9463" s="1" t="str">
        <f t="shared" si="2623"/>
        <v>凡华云仓-韵达-淘宝</v>
      </c>
      <c r="O9463" s="3">
        <v>434170757629590</v>
      </c>
      <c r="P9463" s="6">
        <v>1.58</v>
      </c>
      <c r="Q9463" s="11">
        <f t="shared" si="2619"/>
        <v>3.9499999999999997</v>
      </c>
      <c r="R9463" s="11">
        <f t="shared" si="2620"/>
        <v>0.5</v>
      </c>
      <c r="S9463" s="11">
        <v>0.15</v>
      </c>
      <c r="T9463" s="11"/>
      <c r="U9463" s="11">
        <f t="shared" si="2612"/>
        <v>4.5999999999999996</v>
      </c>
      <c r="V9463" t="s">
        <v>15</v>
      </c>
      <c r="W9463">
        <v>4.5999999999999996</v>
      </c>
      <c r="X9463" s="1" t="s">
        <v>24</v>
      </c>
    </row>
    <row r="9464" spans="1:24" x14ac:dyDescent="0.25">
      <c r="A9464" s="1" t="str">
        <f t="shared" si="2615"/>
        <v>卡卡杜-凤凰仓</v>
      </c>
      <c r="B9464" s="1" t="str">
        <f>"CK2024100518594"</f>
        <v>CK2024100518594</v>
      </c>
      <c r="C9464" s="1" t="str">
        <f>"DD2024100549758"</f>
        <v>DD2024100549758</v>
      </c>
      <c r="D9464" s="1" t="str">
        <f>"CK2024100542724"</f>
        <v>CK2024100542724</v>
      </c>
      <c r="E9464" s="1" t="str">
        <f>"KKD20240105YP010"</f>
        <v>KKD20240105YP010</v>
      </c>
      <c r="F9464" s="1" t="str">
        <f t="shared" si="2616"/>
        <v>花都四部-凤凰仓</v>
      </c>
      <c r="G9464" s="1" t="str">
        <f t="shared" si="2621"/>
        <v>卡卡杜全欣样品</v>
      </c>
      <c r="H9464" s="1" t="str">
        <f t="shared" si="2617"/>
        <v>正常订单</v>
      </c>
      <c r="I9464" s="1" t="str">
        <f t="shared" si="2618"/>
        <v>已发货</v>
      </c>
      <c r="J9464" s="1" t="str">
        <f>"7"</f>
        <v>7</v>
      </c>
      <c r="K9464" s="1">
        <v>5</v>
      </c>
      <c r="L9464" s="1" t="s">
        <v>80</v>
      </c>
      <c r="M9464" s="1" t="str">
        <f>"河南省 安阳市 汤阴县 "</f>
        <v xml:space="preserve">河南省 安阳市 汤阴县 </v>
      </c>
      <c r="N9464" s="1" t="str">
        <f t="shared" si="2623"/>
        <v>凡华云仓-韵达-淘宝</v>
      </c>
      <c r="O9464" s="3">
        <v>434170757629493</v>
      </c>
      <c r="P9464" s="6">
        <v>1.31</v>
      </c>
      <c r="Q9464" s="11">
        <f t="shared" si="2619"/>
        <v>3.6499999999999995</v>
      </c>
      <c r="R9464" s="11">
        <f t="shared" si="2620"/>
        <v>0.2</v>
      </c>
      <c r="S9464" s="11">
        <v>0.15</v>
      </c>
      <c r="T9464" s="11"/>
      <c r="U9464" s="11">
        <f t="shared" si="2612"/>
        <v>3.9999999999999996</v>
      </c>
      <c r="V9464" t="s">
        <v>15</v>
      </c>
      <c r="W9464">
        <v>4</v>
      </c>
      <c r="X9464" s="1" t="s">
        <v>80</v>
      </c>
    </row>
    <row r="9465" spans="1:24" x14ac:dyDescent="0.25">
      <c r="A9465" s="1" t="str">
        <f t="shared" si="2615"/>
        <v>卡卡杜-凤凰仓</v>
      </c>
      <c r="B9465" s="1" t="str">
        <f>"CK2024100518322"</f>
        <v>CK2024100518322</v>
      </c>
      <c r="C9465" s="1" t="str">
        <f>"DD2024100549468"</f>
        <v>DD2024100549468</v>
      </c>
      <c r="D9465" s="1" t="str">
        <f>"CK2024100542723"</f>
        <v>CK2024100542723</v>
      </c>
      <c r="E9465" s="1" t="str">
        <f>"KKD20240105YP006"</f>
        <v>KKD20240105YP006</v>
      </c>
      <c r="F9465" s="1" t="str">
        <f t="shared" si="2616"/>
        <v>花都四部-凤凰仓</v>
      </c>
      <c r="G9465" s="1" t="str">
        <f t="shared" si="2621"/>
        <v>卡卡杜全欣样品</v>
      </c>
      <c r="H9465" s="1" t="str">
        <f t="shared" si="2617"/>
        <v>正常订单</v>
      </c>
      <c r="I9465" s="1" t="str">
        <f t="shared" si="2618"/>
        <v>已发货</v>
      </c>
      <c r="J9465" s="1" t="str">
        <f t="shared" ref="J9465:J9470" si="2624">"11"</f>
        <v>11</v>
      </c>
      <c r="K9465" s="1">
        <v>8</v>
      </c>
      <c r="L9465" s="1" t="s">
        <v>30</v>
      </c>
      <c r="M9465" s="1" t="str">
        <f>"山东省 青岛市 市南区 "</f>
        <v xml:space="preserve">山东省 青岛市 市南区 </v>
      </c>
      <c r="N9465" s="1" t="str">
        <f t="shared" si="2623"/>
        <v>凡华云仓-韵达-淘宝</v>
      </c>
      <c r="O9465" s="3">
        <v>434170757629396</v>
      </c>
      <c r="P9465" s="6">
        <v>1.58</v>
      </c>
      <c r="Q9465" s="11">
        <f t="shared" si="2619"/>
        <v>3.9499999999999997</v>
      </c>
      <c r="R9465" s="11">
        <f t="shared" si="2620"/>
        <v>0.5</v>
      </c>
      <c r="S9465" s="11">
        <v>0.15</v>
      </c>
      <c r="T9465" s="11"/>
      <c r="U9465" s="11">
        <f t="shared" si="2612"/>
        <v>4.5999999999999996</v>
      </c>
      <c r="V9465" t="s">
        <v>15</v>
      </c>
      <c r="W9465">
        <v>4.5999999999999996</v>
      </c>
      <c r="X9465" s="1" t="s">
        <v>30</v>
      </c>
    </row>
    <row r="9466" spans="1:24" x14ac:dyDescent="0.25">
      <c r="A9466" s="1" t="str">
        <f t="shared" si="2615"/>
        <v>卡卡杜-凤凰仓</v>
      </c>
      <c r="B9466" s="1" t="str">
        <f>"CK2024100518320"</f>
        <v>CK2024100518320</v>
      </c>
      <c r="C9466" s="1" t="str">
        <f>"DD2024100549469"</f>
        <v>DD2024100549469</v>
      </c>
      <c r="D9466" s="1" t="str">
        <f>"CK2024100542722"</f>
        <v>CK2024100542722</v>
      </c>
      <c r="E9466" s="1" t="str">
        <f>"KKD20240105YP008"</f>
        <v>KKD20240105YP008</v>
      </c>
      <c r="F9466" s="1" t="str">
        <f t="shared" si="2616"/>
        <v>花都四部-凤凰仓</v>
      </c>
      <c r="G9466" s="1" t="str">
        <f t="shared" si="2621"/>
        <v>卡卡杜全欣样品</v>
      </c>
      <c r="H9466" s="1" t="str">
        <f t="shared" si="2617"/>
        <v>正常订单</v>
      </c>
      <c r="I9466" s="1" t="str">
        <f t="shared" si="2618"/>
        <v>已发货</v>
      </c>
      <c r="J9466" s="1" t="str">
        <f t="shared" si="2624"/>
        <v>11</v>
      </c>
      <c r="K9466" s="1">
        <v>8</v>
      </c>
      <c r="L9466" s="1" t="s">
        <v>80</v>
      </c>
      <c r="M9466" s="1" t="str">
        <f>"河南省 郑州市 新郑市 "</f>
        <v xml:space="preserve">河南省 郑州市 新郑市 </v>
      </c>
      <c r="N9466" s="1" t="str">
        <f t="shared" si="2623"/>
        <v>凡华云仓-韵达-淘宝</v>
      </c>
      <c r="O9466" s="3">
        <v>434170757629299</v>
      </c>
      <c r="P9466" s="6">
        <v>1.58</v>
      </c>
      <c r="Q9466" s="11">
        <f t="shared" si="2619"/>
        <v>3.9499999999999997</v>
      </c>
      <c r="R9466" s="11">
        <f t="shared" si="2620"/>
        <v>0.5</v>
      </c>
      <c r="S9466" s="11">
        <v>0.15</v>
      </c>
      <c r="T9466" s="11"/>
      <c r="U9466" s="11">
        <f t="shared" si="2612"/>
        <v>4.5999999999999996</v>
      </c>
      <c r="V9466" t="s">
        <v>15</v>
      </c>
      <c r="W9466">
        <v>4.5999999999999996</v>
      </c>
      <c r="X9466" s="1" t="s">
        <v>80</v>
      </c>
    </row>
    <row r="9467" spans="1:24" x14ac:dyDescent="0.25">
      <c r="A9467" s="1" t="str">
        <f t="shared" si="2615"/>
        <v>卡卡杜-凤凰仓</v>
      </c>
      <c r="B9467" s="1" t="str">
        <f>"CK2024100518323"</f>
        <v>CK2024100518323</v>
      </c>
      <c r="C9467" s="1" t="str">
        <f>"DD2024100549470"</f>
        <v>DD2024100549470</v>
      </c>
      <c r="D9467" s="1" t="str">
        <f>"CK2024100542721"</f>
        <v>CK2024100542721</v>
      </c>
      <c r="E9467" s="1" t="str">
        <f>"KKD20240105YP005"</f>
        <v>KKD20240105YP005</v>
      </c>
      <c r="F9467" s="1" t="str">
        <f t="shared" si="2616"/>
        <v>花都四部-凤凰仓</v>
      </c>
      <c r="G9467" s="1" t="str">
        <f t="shared" si="2621"/>
        <v>卡卡杜全欣样品</v>
      </c>
      <c r="H9467" s="1" t="str">
        <f t="shared" si="2617"/>
        <v>正常订单</v>
      </c>
      <c r="I9467" s="1" t="str">
        <f t="shared" si="2618"/>
        <v>已发货</v>
      </c>
      <c r="J9467" s="1" t="str">
        <f>"5"</f>
        <v>5</v>
      </c>
      <c r="K9467" s="1">
        <v>4</v>
      </c>
      <c r="L9467" s="1" t="s">
        <v>92</v>
      </c>
      <c r="M9467" s="1" t="str">
        <f>"辽宁省 大连市 金州区 "</f>
        <v xml:space="preserve">辽宁省 大连市 金州区 </v>
      </c>
      <c r="N9467" s="1" t="str">
        <f t="shared" si="2623"/>
        <v>凡华云仓-韵达-淘宝</v>
      </c>
      <c r="O9467" s="3">
        <v>434170757629102</v>
      </c>
      <c r="P9467" s="6">
        <v>0.62</v>
      </c>
      <c r="Q9467" s="11">
        <f t="shared" si="2619"/>
        <v>2.5999999999999996</v>
      </c>
      <c r="R9467" s="11"/>
      <c r="S9467" s="11">
        <v>0.15</v>
      </c>
      <c r="T9467" s="11"/>
      <c r="U9467" s="11">
        <f t="shared" si="2612"/>
        <v>2.7499999999999996</v>
      </c>
      <c r="V9467" t="s">
        <v>15</v>
      </c>
      <c r="W9467">
        <v>2.75</v>
      </c>
      <c r="X9467" s="1" t="s">
        <v>92</v>
      </c>
    </row>
    <row r="9468" spans="1:24" x14ac:dyDescent="0.25">
      <c r="A9468" s="1" t="str">
        <f t="shared" si="2615"/>
        <v>卡卡杜-凤凰仓</v>
      </c>
      <c r="B9468" s="1" t="str">
        <f>"CK2024101413601"</f>
        <v>CK2024101413601</v>
      </c>
      <c r="C9468" s="1" t="str">
        <f>"DD2024101460120"</f>
        <v>DD2024101460120</v>
      </c>
      <c r="D9468" s="1" t="str">
        <f>"CK2024101455075"</f>
        <v>CK2024101455075</v>
      </c>
      <c r="E9468" s="1" t="str">
        <f>"KKD20241014YP016"</f>
        <v>KKD20241014YP016</v>
      </c>
      <c r="F9468" s="1" t="str">
        <f t="shared" si="2616"/>
        <v>花都四部-凤凰仓</v>
      </c>
      <c r="G9468" s="1" t="str">
        <f t="shared" si="2621"/>
        <v>卡卡杜全欣样品</v>
      </c>
      <c r="H9468" s="1" t="str">
        <f t="shared" si="2617"/>
        <v>正常订单</v>
      </c>
      <c r="I9468" s="1" t="str">
        <f t="shared" si="2618"/>
        <v>已发货</v>
      </c>
      <c r="J9468" s="1" t="str">
        <f>"7"</f>
        <v>7</v>
      </c>
      <c r="K9468" s="1">
        <v>5</v>
      </c>
      <c r="L9468" s="1" t="s">
        <v>18</v>
      </c>
      <c r="M9468" s="1" t="str">
        <f>"广东省 广州市 番禺区 "</f>
        <v xml:space="preserve">广东省 广州市 番禺区 </v>
      </c>
      <c r="N9468" s="1" t="str">
        <f t="shared" si="2623"/>
        <v>凡华云仓-韵达-淘宝</v>
      </c>
      <c r="O9468" s="3">
        <v>434188988823363</v>
      </c>
      <c r="P9468" s="6">
        <v>0.95</v>
      </c>
      <c r="Q9468" s="11">
        <f t="shared" si="2619"/>
        <v>3.05</v>
      </c>
      <c r="R9468" s="11">
        <f>(K9468-3)*0.1</f>
        <v>0.2</v>
      </c>
      <c r="S9468" s="11">
        <v>0.15</v>
      </c>
      <c r="T9468" s="11"/>
      <c r="U9468" s="11">
        <f t="shared" si="2612"/>
        <v>3.4</v>
      </c>
      <c r="V9468" t="s">
        <v>15</v>
      </c>
      <c r="W9468">
        <v>3.4</v>
      </c>
      <c r="X9468" s="1" t="s">
        <v>18</v>
      </c>
    </row>
    <row r="9469" spans="1:24" x14ac:dyDescent="0.25">
      <c r="A9469" s="1" t="str">
        <f t="shared" si="2615"/>
        <v>卡卡杜-凤凰仓</v>
      </c>
      <c r="B9469" s="1" t="str">
        <f>"CK2024101619942"</f>
        <v>CK2024101619942</v>
      </c>
      <c r="C9469" s="1" t="str">
        <f>"DD2024101636221"</f>
        <v>DD2024101636221</v>
      </c>
      <c r="D9469" s="1" t="str">
        <f>"CK2024101631491"</f>
        <v>CK2024101631491</v>
      </c>
      <c r="E9469" s="1" t="str">
        <f>"KKD20241016YP013"</f>
        <v>KKD20241016YP013</v>
      </c>
      <c r="F9469" s="1" t="str">
        <f t="shared" si="2616"/>
        <v>花都四部-凤凰仓</v>
      </c>
      <c r="G9469" s="1" t="str">
        <f t="shared" si="2621"/>
        <v>卡卡杜全欣样品</v>
      </c>
      <c r="H9469" s="1" t="str">
        <f t="shared" si="2617"/>
        <v>正常订单</v>
      </c>
      <c r="I9469" s="1" t="str">
        <f t="shared" si="2618"/>
        <v>已发货</v>
      </c>
      <c r="J9469" s="1" t="str">
        <f>"7"</f>
        <v>7</v>
      </c>
      <c r="K9469" s="1">
        <v>5</v>
      </c>
      <c r="L9469" s="1" t="s">
        <v>52</v>
      </c>
      <c r="M9469" s="1" t="str">
        <f>"甘肃省 庆阳市 西峰区 "</f>
        <v xml:space="preserve">甘肃省 庆阳市 西峰区 </v>
      </c>
      <c r="N9469" s="1" t="str">
        <f t="shared" si="2623"/>
        <v>凡华云仓-韵达-淘宝</v>
      </c>
      <c r="O9469" s="3">
        <v>434192959582110</v>
      </c>
      <c r="P9469" s="6">
        <v>0.86</v>
      </c>
      <c r="Q9469" s="11">
        <f t="shared" si="2619"/>
        <v>2.9</v>
      </c>
      <c r="R9469" s="11">
        <f t="shared" ref="R9469:R9471" si="2625">(K9469-3)*0.1</f>
        <v>0.2</v>
      </c>
      <c r="S9469" s="11">
        <v>0.15</v>
      </c>
      <c r="T9469" s="11"/>
      <c r="U9469" s="11">
        <f t="shared" si="2612"/>
        <v>3.25</v>
      </c>
      <c r="V9469" t="s">
        <v>15</v>
      </c>
      <c r="W9469">
        <v>3.25</v>
      </c>
      <c r="X9469" s="1" t="s">
        <v>52</v>
      </c>
    </row>
    <row r="9470" spans="1:24" x14ac:dyDescent="0.25">
      <c r="A9470" s="1" t="str">
        <f t="shared" si="2615"/>
        <v>卡卡杜-凤凰仓</v>
      </c>
      <c r="B9470" s="1" t="str">
        <f>"CK2024100518325"</f>
        <v>CK2024100518325</v>
      </c>
      <c r="C9470" s="1" t="str">
        <f>"DD2024100549473"</f>
        <v>DD2024100549473</v>
      </c>
      <c r="D9470" s="1" t="str">
        <f>"CK2024100542718"</f>
        <v>CK2024100542718</v>
      </c>
      <c r="E9470" s="1" t="str">
        <f>"KKD20240105YP003"</f>
        <v>KKD20240105YP003</v>
      </c>
      <c r="F9470" s="1" t="str">
        <f t="shared" si="2616"/>
        <v>花都四部-凤凰仓</v>
      </c>
      <c r="G9470" s="1" t="str">
        <f t="shared" si="2621"/>
        <v>卡卡杜全欣样品</v>
      </c>
      <c r="H9470" s="1" t="str">
        <f t="shared" si="2617"/>
        <v>正常订单</v>
      </c>
      <c r="I9470" s="1" t="str">
        <f t="shared" si="2618"/>
        <v>已发货</v>
      </c>
      <c r="J9470" s="1" t="str">
        <f t="shared" si="2624"/>
        <v>11</v>
      </c>
      <c r="K9470" s="1">
        <v>8</v>
      </c>
      <c r="L9470" s="1" t="s">
        <v>74</v>
      </c>
      <c r="M9470" s="1" t="str">
        <f>"上海 上海市 浦东新区 "</f>
        <v xml:space="preserve">上海 上海市 浦东新区 </v>
      </c>
      <c r="N9470" s="1" t="str">
        <f t="shared" si="2623"/>
        <v>凡华云仓-韵达-淘宝</v>
      </c>
      <c r="O9470" s="3">
        <v>434170734327903</v>
      </c>
      <c r="P9470" s="6">
        <v>1.58</v>
      </c>
      <c r="Q9470" s="11">
        <f t="shared" si="2619"/>
        <v>3.9499999999999997</v>
      </c>
      <c r="R9470" s="11">
        <f t="shared" si="2625"/>
        <v>0.5</v>
      </c>
      <c r="S9470" s="11">
        <v>0.15</v>
      </c>
      <c r="T9470" s="11"/>
      <c r="U9470" s="11">
        <f t="shared" si="2612"/>
        <v>4.5999999999999996</v>
      </c>
      <c r="V9470" t="s">
        <v>15</v>
      </c>
      <c r="W9470">
        <v>4.5999999999999996</v>
      </c>
      <c r="X9470" s="1" t="s">
        <v>74</v>
      </c>
    </row>
    <row r="9471" spans="1:24" x14ac:dyDescent="0.25">
      <c r="A9471" s="1" t="str">
        <f t="shared" si="2615"/>
        <v>卡卡杜-凤凰仓</v>
      </c>
      <c r="B9471" s="1" t="str">
        <f>"CK2024100518327"</f>
        <v>CK2024100518327</v>
      </c>
      <c r="C9471" s="1" t="str">
        <f>"DD2024100549474"</f>
        <v>DD2024100549474</v>
      </c>
      <c r="D9471" s="1" t="str">
        <f>"CK2024100542717"</f>
        <v>CK2024100542717</v>
      </c>
      <c r="E9471" s="1" t="str">
        <f>"KKD20240105YP001"</f>
        <v>KKD20240105YP001</v>
      </c>
      <c r="F9471" s="1" t="str">
        <f t="shared" si="2616"/>
        <v>花都四部-凤凰仓</v>
      </c>
      <c r="G9471" s="1" t="str">
        <f t="shared" si="2621"/>
        <v>卡卡杜全欣样品</v>
      </c>
      <c r="H9471" s="1" t="str">
        <f t="shared" si="2617"/>
        <v>正常订单</v>
      </c>
      <c r="I9471" s="1" t="str">
        <f t="shared" si="2618"/>
        <v>已发货</v>
      </c>
      <c r="J9471" s="1" t="str">
        <f>"8"</f>
        <v>8</v>
      </c>
      <c r="K9471" s="1">
        <v>6</v>
      </c>
      <c r="L9471" s="1" t="s">
        <v>20</v>
      </c>
      <c r="M9471" s="1" t="str">
        <f>"浙江省 杭州市 钱塘区 "</f>
        <v xml:space="preserve">浙江省 杭州市 钱塘区 </v>
      </c>
      <c r="N9471" s="1" t="str">
        <f t="shared" si="2623"/>
        <v>凡华云仓-韵达-淘宝</v>
      </c>
      <c r="O9471" s="3">
        <v>434170734327808</v>
      </c>
      <c r="P9471" s="6">
        <v>1.17</v>
      </c>
      <c r="Q9471" s="11">
        <f t="shared" si="2619"/>
        <v>3.3499999999999996</v>
      </c>
      <c r="R9471" s="11">
        <f t="shared" si="2625"/>
        <v>0.30000000000000004</v>
      </c>
      <c r="S9471" s="11">
        <v>0.15</v>
      </c>
      <c r="T9471" s="11"/>
      <c r="U9471" s="11">
        <f t="shared" si="2612"/>
        <v>3.8</v>
      </c>
      <c r="V9471" t="s">
        <v>15</v>
      </c>
      <c r="W9471">
        <v>3.8</v>
      </c>
      <c r="X9471" s="1" t="s">
        <v>20</v>
      </c>
    </row>
    <row r="9472" spans="1:24" x14ac:dyDescent="0.25">
      <c r="A9472" s="1" t="str">
        <f t="shared" si="2615"/>
        <v>卡卡杜-凤凰仓</v>
      </c>
      <c r="B9472" s="1" t="str">
        <f>"CK2024100518326"</f>
        <v>CK2024100518326</v>
      </c>
      <c r="C9472" s="1" t="str">
        <f>"DD2024100549475"</f>
        <v>DD2024100549475</v>
      </c>
      <c r="D9472" s="1" t="str">
        <f>"CK2024100542716"</f>
        <v>CK2024100542716</v>
      </c>
      <c r="E9472" s="1" t="str">
        <f>"KKD20240105YP002"</f>
        <v>KKD20240105YP002</v>
      </c>
      <c r="F9472" s="1" t="str">
        <f t="shared" si="2616"/>
        <v>花都四部-凤凰仓</v>
      </c>
      <c r="G9472" s="1" t="str">
        <f t="shared" si="2621"/>
        <v>卡卡杜全欣样品</v>
      </c>
      <c r="H9472" s="1" t="str">
        <f t="shared" si="2617"/>
        <v>正常订单</v>
      </c>
      <c r="I9472" s="1" t="str">
        <f t="shared" si="2618"/>
        <v>已发货</v>
      </c>
      <c r="J9472" s="1" t="str">
        <f>"5"</f>
        <v>5</v>
      </c>
      <c r="K9472" s="1">
        <v>4</v>
      </c>
      <c r="L9472" s="1" t="s">
        <v>13</v>
      </c>
      <c r="M9472" s="1" t="str">
        <f>"江苏省 苏州市 虎丘区 "</f>
        <v xml:space="preserve">江苏省 苏州市 虎丘区 </v>
      </c>
      <c r="N9472" s="1" t="str">
        <f t="shared" si="2623"/>
        <v>凡华云仓-韵达-淘宝</v>
      </c>
      <c r="O9472" s="3">
        <v>434170734327713</v>
      </c>
      <c r="P9472" s="6">
        <v>0.62</v>
      </c>
      <c r="Q9472" s="11">
        <f t="shared" si="2619"/>
        <v>2.5999999999999996</v>
      </c>
      <c r="R9472" s="11"/>
      <c r="S9472" s="11">
        <v>0.15</v>
      </c>
      <c r="T9472" s="11"/>
      <c r="U9472" s="11">
        <f t="shared" si="2612"/>
        <v>2.7499999999999996</v>
      </c>
      <c r="V9472" t="s">
        <v>15</v>
      </c>
      <c r="W9472">
        <v>2.75</v>
      </c>
      <c r="X9472" s="1" t="s">
        <v>13</v>
      </c>
    </row>
    <row r="9473" spans="1:24" x14ac:dyDescent="0.25">
      <c r="A9473" s="1" t="str">
        <f t="shared" si="2615"/>
        <v>卡卡杜-凤凰仓</v>
      </c>
      <c r="B9473" s="1" t="str">
        <f>"CK2024100518337"</f>
        <v>CK2024100518337</v>
      </c>
      <c r="C9473" s="1" t="str">
        <f>"DD2024100549485"</f>
        <v>DD2024100549485</v>
      </c>
      <c r="D9473" s="1" t="str">
        <f>"CK2024100542715"</f>
        <v>CK2024100542715</v>
      </c>
      <c r="E9473" s="1" t="str">
        <f>"3723100411185990656"</f>
        <v>3723100411185990656</v>
      </c>
      <c r="F9473" s="1" t="str">
        <f t="shared" si="2616"/>
        <v>花都四部-凤凰仓</v>
      </c>
      <c r="G9473" s="1" t="str">
        <f t="shared" ref="G9473:G9485" si="2626">"卡卡杜企业店（视频号）"</f>
        <v>卡卡杜企业店（视频号）</v>
      </c>
      <c r="H9473" s="1" t="str">
        <f t="shared" si="2617"/>
        <v>正常订单</v>
      </c>
      <c r="I9473" s="1" t="str">
        <f t="shared" si="2618"/>
        <v>已发货</v>
      </c>
      <c r="J9473" s="1" t="str">
        <f t="shared" ref="J9473:J9477" si="2627">"2"</f>
        <v>2</v>
      </c>
      <c r="K9473" s="1">
        <v>2</v>
      </c>
      <c r="L9473" s="1" t="s">
        <v>13</v>
      </c>
      <c r="M9473" s="1" t="str">
        <f>"江苏省 扬州市 邗江区 "</f>
        <v xml:space="preserve">江苏省 扬州市 邗江区 </v>
      </c>
      <c r="N9473" s="1" t="str">
        <f t="shared" ref="N9473:N9485" si="2628">"凡华云仓-韵达-微信视频号"</f>
        <v>凡华云仓-韵达-微信视频号</v>
      </c>
      <c r="O9473" s="5">
        <v>315012020817347</v>
      </c>
      <c r="P9473" s="6">
        <v>0.28000000000000003</v>
      </c>
      <c r="Q9473" s="11">
        <v>2</v>
      </c>
      <c r="R9473" s="11"/>
      <c r="S9473" s="11"/>
      <c r="T9473" s="11"/>
      <c r="U9473" s="11">
        <f t="shared" si="2612"/>
        <v>2</v>
      </c>
      <c r="W9473">
        <v>2.2000000000000002</v>
      </c>
      <c r="X9473" s="1" t="s">
        <v>13</v>
      </c>
    </row>
    <row r="9474" spans="1:24" x14ac:dyDescent="0.25">
      <c r="A9474" s="1" t="str">
        <f t="shared" si="2615"/>
        <v>卡卡杜-凤凰仓</v>
      </c>
      <c r="B9474" s="1" t="str">
        <f>"CK2024100518343"</f>
        <v>CK2024100518343</v>
      </c>
      <c r="C9474" s="1" t="str">
        <f>"DD2024100549491"</f>
        <v>DD2024100549491</v>
      </c>
      <c r="D9474" s="1" t="str">
        <f>"CK2024100542714"</f>
        <v>CK2024100542714</v>
      </c>
      <c r="E9474" s="1" t="str">
        <f>"3723100140288214273"</f>
        <v>3723100140288214273</v>
      </c>
      <c r="F9474" s="1" t="str">
        <f t="shared" si="2616"/>
        <v>花都四部-凤凰仓</v>
      </c>
      <c r="G9474" s="1" t="str">
        <f t="shared" si="2626"/>
        <v>卡卡杜企业店（视频号）</v>
      </c>
      <c r="H9474" s="1" t="str">
        <f t="shared" si="2617"/>
        <v>正常订单</v>
      </c>
      <c r="I9474" s="1" t="str">
        <f t="shared" si="2618"/>
        <v>已发货</v>
      </c>
      <c r="J9474" s="1" t="str">
        <f t="shared" si="2627"/>
        <v>2</v>
      </c>
      <c r="K9474" s="1">
        <v>2</v>
      </c>
      <c r="L9474" s="1" t="s">
        <v>24</v>
      </c>
      <c r="M9474" s="1" t="str">
        <f>"福建省 龙岩市 新罗区 "</f>
        <v xml:space="preserve">福建省 龙岩市 新罗区 </v>
      </c>
      <c r="N9474" s="1" t="str">
        <f t="shared" si="2628"/>
        <v>凡华云仓-韵达-微信视频号</v>
      </c>
      <c r="O9474" s="5">
        <v>315012020814350</v>
      </c>
      <c r="P9474" s="6">
        <v>0.28000000000000003</v>
      </c>
      <c r="Q9474" s="11">
        <v>2</v>
      </c>
      <c r="R9474" s="11"/>
      <c r="S9474" s="11"/>
      <c r="T9474" s="11"/>
      <c r="U9474" s="11">
        <f t="shared" si="2612"/>
        <v>2</v>
      </c>
      <c r="W9474">
        <v>2.2000000000000002</v>
      </c>
      <c r="X9474" s="1" t="s">
        <v>24</v>
      </c>
    </row>
    <row r="9475" spans="1:24" x14ac:dyDescent="0.25">
      <c r="A9475" s="1" t="str">
        <f t="shared" si="2615"/>
        <v>卡卡杜-凤凰仓</v>
      </c>
      <c r="B9475" s="1" t="str">
        <f>"CK2024100518369"</f>
        <v>CK2024100518369</v>
      </c>
      <c r="C9475" s="1" t="str">
        <f>"DD2024100549516"</f>
        <v>DD2024100549516</v>
      </c>
      <c r="D9475" s="1" t="str">
        <f>"CK2024100542713"</f>
        <v>CK2024100542713</v>
      </c>
      <c r="E9475" s="1" t="str">
        <f>"3723099574950564864"</f>
        <v>3723099574950564864</v>
      </c>
      <c r="F9475" s="1" t="str">
        <f t="shared" si="2616"/>
        <v>花都四部-凤凰仓</v>
      </c>
      <c r="G9475" s="1" t="str">
        <f t="shared" si="2626"/>
        <v>卡卡杜企业店（视频号）</v>
      </c>
      <c r="H9475" s="1" t="str">
        <f t="shared" si="2617"/>
        <v>正常订单</v>
      </c>
      <c r="I9475" s="1" t="str">
        <f t="shared" si="2618"/>
        <v>已发货</v>
      </c>
      <c r="J9475" s="1" t="str">
        <f t="shared" si="2627"/>
        <v>2</v>
      </c>
      <c r="K9475" s="1">
        <v>2</v>
      </c>
      <c r="L9475" s="1" t="s">
        <v>74</v>
      </c>
      <c r="M9475" s="1" t="str">
        <f>"上海 上海市 杨浦区 "</f>
        <v xml:space="preserve">上海 上海市 杨浦区 </v>
      </c>
      <c r="N9475" s="1" t="str">
        <f t="shared" si="2628"/>
        <v>凡华云仓-韵达-微信视频号</v>
      </c>
      <c r="O9475" s="5">
        <v>315012020811866</v>
      </c>
      <c r="P9475" s="6">
        <v>0.28000000000000003</v>
      </c>
      <c r="Q9475" s="11">
        <v>2</v>
      </c>
      <c r="R9475" s="11"/>
      <c r="S9475" s="11"/>
      <c r="T9475" s="11"/>
      <c r="U9475" s="11">
        <f t="shared" ref="U9475:U9538" si="2629">T9475+S9475+R9475+Q9475</f>
        <v>2</v>
      </c>
      <c r="W9475">
        <v>2.2000000000000002</v>
      </c>
      <c r="X9475" s="1" t="s">
        <v>74</v>
      </c>
    </row>
    <row r="9476" spans="1:24" x14ac:dyDescent="0.25">
      <c r="A9476" s="1" t="str">
        <f t="shared" si="2615"/>
        <v>卡卡杜-凤凰仓</v>
      </c>
      <c r="B9476" s="1" t="str">
        <f>"CK2024100518371"</f>
        <v>CK2024100518371</v>
      </c>
      <c r="C9476" s="1" t="str">
        <f>"DD2024100549518"</f>
        <v>DD2024100549518</v>
      </c>
      <c r="D9476" s="1" t="str">
        <f>"CK2024100542712"</f>
        <v>CK2024100542712</v>
      </c>
      <c r="E9476" s="1" t="str">
        <f>"3723099555565277184"</f>
        <v>3723099555565277184</v>
      </c>
      <c r="F9476" s="1" t="str">
        <f t="shared" si="2616"/>
        <v>花都四部-凤凰仓</v>
      </c>
      <c r="G9476" s="1" t="str">
        <f t="shared" si="2626"/>
        <v>卡卡杜企业店（视频号）</v>
      </c>
      <c r="H9476" s="1" t="str">
        <f t="shared" si="2617"/>
        <v>正常订单</v>
      </c>
      <c r="I9476" s="1" t="str">
        <f t="shared" si="2618"/>
        <v>已发货</v>
      </c>
      <c r="J9476" s="1" t="str">
        <f t="shared" si="2627"/>
        <v>2</v>
      </c>
      <c r="K9476" s="1">
        <v>2</v>
      </c>
      <c r="L9476" s="1" t="s">
        <v>18</v>
      </c>
      <c r="M9476" s="1" t="str">
        <f>"广东省 广州市 海珠区 "</f>
        <v xml:space="preserve">广东省 广州市 海珠区 </v>
      </c>
      <c r="N9476" s="1" t="str">
        <f t="shared" si="2628"/>
        <v>凡华云仓-韵达-微信视频号</v>
      </c>
      <c r="O9476" s="5">
        <v>315012020810477</v>
      </c>
      <c r="P9476" s="6">
        <v>0.28000000000000003</v>
      </c>
      <c r="Q9476" s="11">
        <v>2</v>
      </c>
      <c r="R9476" s="11"/>
      <c r="S9476" s="11"/>
      <c r="T9476" s="11"/>
      <c r="U9476" s="11">
        <f t="shared" si="2629"/>
        <v>2</v>
      </c>
      <c r="W9476">
        <v>2.2000000000000002</v>
      </c>
      <c r="X9476" s="1" t="s">
        <v>18</v>
      </c>
    </row>
    <row r="9477" spans="1:24" x14ac:dyDescent="0.25">
      <c r="A9477" s="1" t="str">
        <f t="shared" si="2615"/>
        <v>卡卡杜-凤凰仓</v>
      </c>
      <c r="B9477" s="1" t="str">
        <f>"CK2024100518421"</f>
        <v>CK2024100518421</v>
      </c>
      <c r="C9477" s="1" t="str">
        <f>"DD2024100549567"</f>
        <v>DD2024100549567</v>
      </c>
      <c r="D9477" s="1" t="str">
        <f>"CK2024100542711"</f>
        <v>CK2024100542711</v>
      </c>
      <c r="E9477" s="1" t="str">
        <f>"3723098719477695744"</f>
        <v>3723098719477695744</v>
      </c>
      <c r="F9477" s="1" t="str">
        <f t="shared" si="2616"/>
        <v>花都四部-凤凰仓</v>
      </c>
      <c r="G9477" s="1" t="str">
        <f t="shared" si="2626"/>
        <v>卡卡杜企业店（视频号）</v>
      </c>
      <c r="H9477" s="1" t="str">
        <f t="shared" si="2617"/>
        <v>正常订单</v>
      </c>
      <c r="I9477" s="1" t="str">
        <f t="shared" si="2618"/>
        <v>已发货</v>
      </c>
      <c r="J9477" s="1" t="str">
        <f t="shared" si="2627"/>
        <v>2</v>
      </c>
      <c r="K9477" s="1">
        <v>2</v>
      </c>
      <c r="L9477" s="1" t="s">
        <v>105</v>
      </c>
      <c r="M9477" s="1" t="str">
        <f>"北京 北京市 朝阳区 "</f>
        <v xml:space="preserve">北京 北京市 朝阳区 </v>
      </c>
      <c r="N9477" s="1" t="str">
        <f t="shared" si="2628"/>
        <v>凡华云仓-韵达-微信视频号</v>
      </c>
      <c r="O9477" s="5">
        <v>315012020808456</v>
      </c>
      <c r="P9477" s="6">
        <v>0.28000000000000003</v>
      </c>
      <c r="Q9477" s="11">
        <v>2</v>
      </c>
      <c r="R9477" s="11"/>
      <c r="S9477" s="11"/>
      <c r="T9477" s="11"/>
      <c r="U9477" s="11">
        <f t="shared" si="2629"/>
        <v>2</v>
      </c>
      <c r="W9477">
        <v>2.2000000000000002</v>
      </c>
      <c r="X9477" s="1" t="s">
        <v>105</v>
      </c>
    </row>
    <row r="9478" spans="1:24" x14ac:dyDescent="0.25">
      <c r="A9478" s="1" t="str">
        <f t="shared" si="2615"/>
        <v>卡卡杜-凤凰仓</v>
      </c>
      <c r="B9478" s="1" t="str">
        <f>"CK2024100518426"</f>
        <v>CK2024100518426</v>
      </c>
      <c r="C9478" s="1" t="str">
        <f>"DD2024100549572"</f>
        <v>DD2024100549572</v>
      </c>
      <c r="D9478" s="1" t="str">
        <f>"CK2024100542710"</f>
        <v>CK2024100542710</v>
      </c>
      <c r="E9478" s="1" t="str">
        <f>"3723098666359197696"</f>
        <v>3723098666359197696</v>
      </c>
      <c r="F9478" s="1" t="str">
        <f t="shared" si="2616"/>
        <v>花都四部-凤凰仓</v>
      </c>
      <c r="G9478" s="1" t="str">
        <f t="shared" si="2626"/>
        <v>卡卡杜企业店（视频号）</v>
      </c>
      <c r="H9478" s="1" t="str">
        <f t="shared" si="2617"/>
        <v>正常订单</v>
      </c>
      <c r="I9478" s="1" t="str">
        <f t="shared" si="2618"/>
        <v>已发货</v>
      </c>
      <c r="J9478" s="1" t="str">
        <f>"4"</f>
        <v>4</v>
      </c>
      <c r="K9478" s="1">
        <v>2</v>
      </c>
      <c r="L9478" s="1" t="s">
        <v>105</v>
      </c>
      <c r="M9478" s="1" t="str">
        <f>"北京 北京市 西城区 "</f>
        <v xml:space="preserve">北京 北京市 西城区 </v>
      </c>
      <c r="N9478" s="1" t="str">
        <f t="shared" si="2628"/>
        <v>凡华云仓-韵达-微信视频号</v>
      </c>
      <c r="O9478" s="5">
        <v>315012020807358</v>
      </c>
      <c r="P9478" s="6">
        <v>0.52</v>
      </c>
      <c r="Q9478" s="11">
        <f>CEILING(P9478-0.5,0.1)*10*0.15+2.3</f>
        <v>2.4499999999999997</v>
      </c>
      <c r="R9478" s="11"/>
      <c r="S9478" s="11"/>
      <c r="T9478" s="11"/>
      <c r="U9478" s="11">
        <f t="shared" si="2629"/>
        <v>2.4499999999999997</v>
      </c>
      <c r="V9478" t="s">
        <v>15</v>
      </c>
      <c r="W9478">
        <v>2.4500000000000002</v>
      </c>
      <c r="X9478" s="1" t="s">
        <v>105</v>
      </c>
    </row>
    <row r="9479" spans="1:24" x14ac:dyDescent="0.25">
      <c r="A9479" s="1" t="str">
        <f t="shared" si="2615"/>
        <v>卡卡杜-凤凰仓</v>
      </c>
      <c r="B9479" s="1" t="str">
        <f>"CK2024100518477"</f>
        <v>CK2024100518477</v>
      </c>
      <c r="C9479" s="1" t="str">
        <f>"DD2024100549622"</f>
        <v>DD2024100549622</v>
      </c>
      <c r="D9479" s="1" t="str">
        <f>"CK2024100542709"</f>
        <v>CK2024100542709</v>
      </c>
      <c r="E9479" s="1" t="str">
        <f>"3723098064813427712"</f>
        <v>3723098064813427712</v>
      </c>
      <c r="F9479" s="1" t="str">
        <f t="shared" si="2616"/>
        <v>花都四部-凤凰仓</v>
      </c>
      <c r="G9479" s="1" t="str">
        <f t="shared" si="2626"/>
        <v>卡卡杜企业店（视频号）</v>
      </c>
      <c r="H9479" s="1" t="str">
        <f t="shared" si="2617"/>
        <v>正常订单</v>
      </c>
      <c r="I9479" s="1" t="str">
        <f t="shared" si="2618"/>
        <v>已发货</v>
      </c>
      <c r="J9479" s="1" t="str">
        <f t="shared" ref="J9479:J9482" si="2630">"2"</f>
        <v>2</v>
      </c>
      <c r="K9479" s="1">
        <v>2</v>
      </c>
      <c r="L9479" s="1" t="s">
        <v>18</v>
      </c>
      <c r="M9479" s="1" t="str">
        <f>"广东省 中山市 石岐街道 "</f>
        <v xml:space="preserve">广东省 中山市 石岐街道 </v>
      </c>
      <c r="N9479" s="1" t="str">
        <f t="shared" si="2628"/>
        <v>凡华云仓-韵达-微信视频号</v>
      </c>
      <c r="O9479" s="5">
        <v>315012020806173</v>
      </c>
      <c r="P9479" s="6">
        <v>0.28000000000000003</v>
      </c>
      <c r="Q9479" s="11">
        <v>2</v>
      </c>
      <c r="R9479" s="11"/>
      <c r="S9479" s="11"/>
      <c r="T9479" s="11"/>
      <c r="U9479" s="11">
        <f t="shared" si="2629"/>
        <v>2</v>
      </c>
      <c r="W9479">
        <v>2.2000000000000002</v>
      </c>
      <c r="X9479" s="1" t="s">
        <v>18</v>
      </c>
    </row>
    <row r="9480" spans="1:24" x14ac:dyDescent="0.25">
      <c r="A9480" s="1" t="str">
        <f t="shared" si="2615"/>
        <v>卡卡杜-凤凰仓</v>
      </c>
      <c r="B9480" s="1" t="str">
        <f>"CK2024100518506"</f>
        <v>CK2024100518506</v>
      </c>
      <c r="C9480" s="1" t="str">
        <f>"DD2024100549652"</f>
        <v>DD2024100549652</v>
      </c>
      <c r="D9480" s="1" t="str">
        <f>"CK2024100542708"</f>
        <v>CK2024100542708</v>
      </c>
      <c r="E9480" s="1" t="str">
        <f>"3723097647273608448"</f>
        <v>3723097647273608448</v>
      </c>
      <c r="F9480" s="1" t="str">
        <f t="shared" si="2616"/>
        <v>花都四部-凤凰仓</v>
      </c>
      <c r="G9480" s="1" t="str">
        <f t="shared" si="2626"/>
        <v>卡卡杜企业店（视频号）</v>
      </c>
      <c r="H9480" s="1" t="str">
        <f t="shared" si="2617"/>
        <v>正常订单</v>
      </c>
      <c r="I9480" s="1" t="str">
        <f t="shared" si="2618"/>
        <v>已发货</v>
      </c>
      <c r="J9480" s="1" t="str">
        <f t="shared" si="2630"/>
        <v>2</v>
      </c>
      <c r="K9480" s="1">
        <v>2</v>
      </c>
      <c r="L9480" s="1" t="s">
        <v>20</v>
      </c>
      <c r="M9480" s="1" t="str">
        <f>"浙江省 宁波市 北仑区 "</f>
        <v xml:space="preserve">浙江省 宁波市 北仑区 </v>
      </c>
      <c r="N9480" s="1" t="str">
        <f t="shared" si="2628"/>
        <v>凡华云仓-韵达-微信视频号</v>
      </c>
      <c r="O9480" s="5">
        <v>315012020804361</v>
      </c>
      <c r="P9480" s="6">
        <v>0.28000000000000003</v>
      </c>
      <c r="Q9480" s="11">
        <v>2</v>
      </c>
      <c r="R9480" s="11"/>
      <c r="S9480" s="11"/>
      <c r="T9480" s="11"/>
      <c r="U9480" s="11">
        <f t="shared" si="2629"/>
        <v>2</v>
      </c>
      <c r="W9480">
        <v>2.2000000000000002</v>
      </c>
      <c r="X9480" s="1" t="s">
        <v>20</v>
      </c>
    </row>
    <row r="9481" spans="1:24" x14ac:dyDescent="0.25">
      <c r="A9481" s="1" t="str">
        <f t="shared" si="2615"/>
        <v>卡卡杜-凤凰仓</v>
      </c>
      <c r="B9481" s="1" t="str">
        <f>"CK2024100518517"</f>
        <v>CK2024100518517</v>
      </c>
      <c r="C9481" s="1" t="str">
        <f>"DD2024100549663"</f>
        <v>DD2024100549663</v>
      </c>
      <c r="D9481" s="1" t="str">
        <f>"CK2024100542707"</f>
        <v>CK2024100542707</v>
      </c>
      <c r="E9481" s="1" t="str">
        <f>"3723097439417533952"</f>
        <v>3723097439417533952</v>
      </c>
      <c r="F9481" s="1" t="str">
        <f t="shared" si="2616"/>
        <v>花都四部-凤凰仓</v>
      </c>
      <c r="G9481" s="1" t="str">
        <f t="shared" si="2626"/>
        <v>卡卡杜企业店（视频号）</v>
      </c>
      <c r="H9481" s="1" t="str">
        <f t="shared" si="2617"/>
        <v>正常订单</v>
      </c>
      <c r="I9481" s="1" t="str">
        <f t="shared" si="2618"/>
        <v>已发货</v>
      </c>
      <c r="J9481" s="1" t="str">
        <f t="shared" si="2630"/>
        <v>2</v>
      </c>
      <c r="K9481" s="1">
        <v>2</v>
      </c>
      <c r="L9481" s="1" t="s">
        <v>13</v>
      </c>
      <c r="M9481" s="1" t="str">
        <f>"江苏省 无锡市 江阴市 "</f>
        <v xml:space="preserve">江苏省 无锡市 江阴市 </v>
      </c>
      <c r="N9481" s="1" t="str">
        <f t="shared" si="2628"/>
        <v>凡华云仓-韵达-微信视频号</v>
      </c>
      <c r="O9481" s="5">
        <v>315012020803273</v>
      </c>
      <c r="P9481" s="6">
        <v>0.28000000000000003</v>
      </c>
      <c r="Q9481" s="11">
        <v>2</v>
      </c>
      <c r="R9481" s="11"/>
      <c r="S9481" s="11"/>
      <c r="T9481" s="11"/>
      <c r="U9481" s="11">
        <f t="shared" si="2629"/>
        <v>2</v>
      </c>
      <c r="W9481">
        <v>2.2000000000000002</v>
      </c>
      <c r="X9481" s="1" t="s">
        <v>13</v>
      </c>
    </row>
    <row r="9482" spans="1:24" x14ac:dyDescent="0.25">
      <c r="A9482" s="1" t="str">
        <f t="shared" si="2615"/>
        <v>卡卡杜-凤凰仓</v>
      </c>
      <c r="B9482" s="1" t="str">
        <f>"CK2024100518521"</f>
        <v>CK2024100518521</v>
      </c>
      <c r="C9482" s="1" t="str">
        <f>"DD2024100549666"</f>
        <v>DD2024100549666</v>
      </c>
      <c r="D9482" s="1" t="str">
        <f>"CK2024100542706"</f>
        <v>CK2024100542706</v>
      </c>
      <c r="E9482" s="1" t="str">
        <f>"3723097353995555840"</f>
        <v>3723097353995555840</v>
      </c>
      <c r="F9482" s="1" t="str">
        <f t="shared" si="2616"/>
        <v>花都四部-凤凰仓</v>
      </c>
      <c r="G9482" s="1" t="str">
        <f t="shared" si="2626"/>
        <v>卡卡杜企业店（视频号）</v>
      </c>
      <c r="H9482" s="1" t="str">
        <f t="shared" si="2617"/>
        <v>正常订单</v>
      </c>
      <c r="I9482" s="1" t="str">
        <f t="shared" si="2618"/>
        <v>已发货</v>
      </c>
      <c r="J9482" s="1" t="str">
        <f t="shared" si="2630"/>
        <v>2</v>
      </c>
      <c r="K9482" s="1">
        <v>2</v>
      </c>
      <c r="L9482" s="1" t="s">
        <v>74</v>
      </c>
      <c r="M9482" s="1" t="str">
        <f>"上海 上海市 黄浦区 "</f>
        <v xml:space="preserve">上海 上海市 黄浦区 </v>
      </c>
      <c r="N9482" s="1" t="str">
        <f t="shared" si="2628"/>
        <v>凡华云仓-韵达-微信视频号</v>
      </c>
      <c r="O9482" s="5">
        <v>315012020801982</v>
      </c>
      <c r="P9482" s="6">
        <v>0.28000000000000003</v>
      </c>
      <c r="Q9482" s="11">
        <v>2</v>
      </c>
      <c r="R9482" s="11"/>
      <c r="S9482" s="11"/>
      <c r="T9482" s="11"/>
      <c r="U9482" s="11">
        <f t="shared" si="2629"/>
        <v>2</v>
      </c>
      <c r="W9482">
        <v>2.2000000000000002</v>
      </c>
      <c r="X9482" s="1" t="s">
        <v>74</v>
      </c>
    </row>
    <row r="9483" spans="1:24" x14ac:dyDescent="0.25">
      <c r="A9483" s="1" t="str">
        <f t="shared" si="2615"/>
        <v>卡卡杜-凤凰仓</v>
      </c>
      <c r="B9483" s="1" t="str">
        <f>"CK2024100518537"</f>
        <v>CK2024100518537</v>
      </c>
      <c r="C9483" s="1" t="str">
        <f>"DD2024100549684"</f>
        <v>DD2024100549684</v>
      </c>
      <c r="D9483" s="1" t="str">
        <f>"CK2024100542705"</f>
        <v>CK2024100542705</v>
      </c>
      <c r="E9483" s="1" t="str">
        <f>"3723097193197997056"</f>
        <v>3723097193197997056</v>
      </c>
      <c r="F9483" s="1" t="str">
        <f t="shared" si="2616"/>
        <v>花都四部-凤凰仓</v>
      </c>
      <c r="G9483" s="1" t="str">
        <f t="shared" si="2626"/>
        <v>卡卡杜企业店（视频号）</v>
      </c>
      <c r="H9483" s="1" t="str">
        <f t="shared" si="2617"/>
        <v>正常订单</v>
      </c>
      <c r="I9483" s="1" t="str">
        <f t="shared" si="2618"/>
        <v>已发货</v>
      </c>
      <c r="J9483" s="1" t="str">
        <f>"4"</f>
        <v>4</v>
      </c>
      <c r="K9483" s="1">
        <v>2</v>
      </c>
      <c r="L9483" s="1" t="s">
        <v>18</v>
      </c>
      <c r="M9483" s="1" t="str">
        <f>"广东省 佛山市 南海区 "</f>
        <v xml:space="preserve">广东省 佛山市 南海区 </v>
      </c>
      <c r="N9483" s="1" t="str">
        <f t="shared" si="2628"/>
        <v>凡华云仓-韵达-微信视频号</v>
      </c>
      <c r="O9483" s="5">
        <v>315012020801009</v>
      </c>
      <c r="P9483" s="6">
        <v>0.52</v>
      </c>
      <c r="Q9483" s="11">
        <f>CEILING(P9483-0.5,0.1)*10*0.15+2.3</f>
        <v>2.4499999999999997</v>
      </c>
      <c r="R9483" s="11"/>
      <c r="S9483" s="11"/>
      <c r="T9483" s="11"/>
      <c r="U9483" s="11">
        <f t="shared" si="2629"/>
        <v>2.4499999999999997</v>
      </c>
      <c r="V9483" t="s">
        <v>15</v>
      </c>
      <c r="W9483">
        <v>2.4500000000000002</v>
      </c>
      <c r="X9483" s="1" t="s">
        <v>18</v>
      </c>
    </row>
    <row r="9484" spans="1:24" x14ac:dyDescent="0.25">
      <c r="A9484" s="1" t="str">
        <f t="shared" si="2615"/>
        <v>卡卡杜-凤凰仓</v>
      </c>
      <c r="B9484" s="1" t="str">
        <f>"CK2024100518588"</f>
        <v>CK2024100518588</v>
      </c>
      <c r="C9484" s="1" t="str">
        <f>"DD2024100549726"</f>
        <v>DD2024100549726</v>
      </c>
      <c r="D9484" s="1" t="str">
        <f>"CK2024100542704"</f>
        <v>CK2024100542704</v>
      </c>
      <c r="E9484" s="1" t="str">
        <f>"3723096516592010496"</f>
        <v>3723096516592010496</v>
      </c>
      <c r="F9484" s="1" t="str">
        <f t="shared" si="2616"/>
        <v>花都四部-凤凰仓</v>
      </c>
      <c r="G9484" s="1" t="str">
        <f t="shared" si="2626"/>
        <v>卡卡杜企业店（视频号）</v>
      </c>
      <c r="H9484" s="1" t="str">
        <f t="shared" si="2617"/>
        <v>正常订单</v>
      </c>
      <c r="I9484" s="1" t="str">
        <f t="shared" si="2618"/>
        <v>已发货</v>
      </c>
      <c r="J9484" s="1" t="str">
        <f t="shared" ref="J9484:J9547" si="2631">"2"</f>
        <v>2</v>
      </c>
      <c r="K9484" s="1">
        <v>2</v>
      </c>
      <c r="L9484" s="1" t="s">
        <v>18</v>
      </c>
      <c r="M9484" s="1" t="str">
        <f>"广东省 深圳市 南山区 "</f>
        <v xml:space="preserve">广东省 深圳市 南山区 </v>
      </c>
      <c r="N9484" s="1" t="str">
        <f t="shared" si="2628"/>
        <v>凡华云仓-韵达-微信视频号</v>
      </c>
      <c r="O9484" s="5">
        <v>315012020800109</v>
      </c>
      <c r="P9484" s="6">
        <v>0.28000000000000003</v>
      </c>
      <c r="Q9484" s="11">
        <v>2</v>
      </c>
      <c r="R9484" s="11"/>
      <c r="S9484" s="11"/>
      <c r="T9484" s="11"/>
      <c r="U9484" s="11">
        <f t="shared" si="2629"/>
        <v>2</v>
      </c>
      <c r="W9484">
        <v>2.2000000000000002</v>
      </c>
      <c r="X9484" s="1" t="s">
        <v>18</v>
      </c>
    </row>
    <row r="9485" spans="1:24" x14ac:dyDescent="0.25">
      <c r="A9485" s="1" t="str">
        <f t="shared" si="2615"/>
        <v>卡卡杜-凤凰仓</v>
      </c>
      <c r="B9485" s="1" t="str">
        <f>"CK2024100518589"</f>
        <v>CK2024100518589</v>
      </c>
      <c r="C9485" s="1" t="str">
        <f>"DD2024100549728"</f>
        <v>DD2024100549728</v>
      </c>
      <c r="D9485" s="1" t="str">
        <f>"CK2024100542703"</f>
        <v>CK2024100542703</v>
      </c>
      <c r="E9485" s="1" t="str">
        <f>"3723096500776600832"</f>
        <v>3723096500776600832</v>
      </c>
      <c r="F9485" s="1" t="str">
        <f t="shared" si="2616"/>
        <v>花都四部-凤凰仓</v>
      </c>
      <c r="G9485" s="1" t="str">
        <f t="shared" si="2626"/>
        <v>卡卡杜企业店（视频号）</v>
      </c>
      <c r="H9485" s="1" t="str">
        <f t="shared" si="2617"/>
        <v>正常订单</v>
      </c>
      <c r="I9485" s="1" t="str">
        <f t="shared" si="2618"/>
        <v>已发货</v>
      </c>
      <c r="J9485" s="1" t="str">
        <f t="shared" si="2631"/>
        <v>2</v>
      </c>
      <c r="K9485" s="1">
        <v>2</v>
      </c>
      <c r="L9485" s="1" t="s">
        <v>18</v>
      </c>
      <c r="M9485" s="1" t="str">
        <f>"广东省 佛山市 顺德区 "</f>
        <v xml:space="preserve">广东省 佛山市 顺德区 </v>
      </c>
      <c r="N9485" s="1" t="str">
        <f t="shared" si="2628"/>
        <v>凡华云仓-韵达-微信视频号</v>
      </c>
      <c r="O9485" s="5">
        <v>315012020799063</v>
      </c>
      <c r="P9485" s="6">
        <v>0.28000000000000003</v>
      </c>
      <c r="Q9485" s="11">
        <v>2</v>
      </c>
      <c r="R9485" s="11"/>
      <c r="S9485" s="11"/>
      <c r="T9485" s="11"/>
      <c r="U9485" s="11">
        <f t="shared" si="2629"/>
        <v>2</v>
      </c>
      <c r="W9485">
        <v>2.2000000000000002</v>
      </c>
      <c r="X9485" s="1" t="s">
        <v>18</v>
      </c>
    </row>
    <row r="9486" spans="1:24" x14ac:dyDescent="0.25">
      <c r="A9486" s="1" t="str">
        <f t="shared" si="2615"/>
        <v>卡卡杜-凤凰仓</v>
      </c>
      <c r="B9486" s="1" t="str">
        <f>"CK2024100518302"</f>
        <v>CK2024100518302</v>
      </c>
      <c r="C9486" s="1" t="str">
        <f>"DD2024100549449"</f>
        <v>DD2024100549449</v>
      </c>
      <c r="D9486" s="1" t="str">
        <f>"CK2024100542702"</f>
        <v>CK2024100542702</v>
      </c>
      <c r="E9486" s="1" t="str">
        <f>"6917841376994819658"</f>
        <v>6917841376994819658</v>
      </c>
      <c r="F9486" s="1" t="str">
        <f t="shared" si="2616"/>
        <v>花都四部-凤凰仓</v>
      </c>
      <c r="G9486" s="1" t="str">
        <f t="shared" ref="G9486:G9549" si="2632">"卡卡杜个人护理店（抖店）"</f>
        <v>卡卡杜个人护理店（抖店）</v>
      </c>
      <c r="H9486" s="1" t="str">
        <f t="shared" si="2617"/>
        <v>正常订单</v>
      </c>
      <c r="I9486" s="1" t="str">
        <f t="shared" si="2618"/>
        <v>已发货</v>
      </c>
      <c r="J9486" s="1" t="str">
        <f t="shared" si="2631"/>
        <v>2</v>
      </c>
      <c r="K9486" s="1">
        <v>1</v>
      </c>
      <c r="L9486" s="1" t="s">
        <v>74</v>
      </c>
      <c r="M9486" s="1" t="str">
        <f>"上海 上海市 宝山区 大场镇"</f>
        <v>上海 上海市 宝山区 大场镇</v>
      </c>
      <c r="N9486" s="1" t="str">
        <f t="shared" ref="N9486:N9549" si="2633">"凡华云仓-韵达-抖音"</f>
        <v>凡华云仓-韵达-抖音</v>
      </c>
      <c r="O9486" s="5">
        <v>320156909765360</v>
      </c>
      <c r="P9486" s="6">
        <v>0.33</v>
      </c>
      <c r="Q9486" s="11">
        <v>2.2999999999999998</v>
      </c>
      <c r="R9486" s="11"/>
      <c r="S9486" s="11"/>
      <c r="T9486" s="11"/>
      <c r="U9486" s="11">
        <f t="shared" si="2629"/>
        <v>2.2999999999999998</v>
      </c>
      <c r="W9486">
        <v>2.5</v>
      </c>
      <c r="X9486" s="1" t="s">
        <v>74</v>
      </c>
    </row>
    <row r="9487" spans="1:24" x14ac:dyDescent="0.25">
      <c r="A9487" s="1" t="str">
        <f t="shared" si="2615"/>
        <v>卡卡杜-凤凰仓</v>
      </c>
      <c r="B9487" s="1" t="str">
        <f>"CK2024100518303"</f>
        <v>CK2024100518303</v>
      </c>
      <c r="C9487" s="1" t="str">
        <f>"DD2024100549452"</f>
        <v>DD2024100549452</v>
      </c>
      <c r="D9487" s="1" t="str">
        <f>"CK2024100542701"</f>
        <v>CK2024100542701</v>
      </c>
      <c r="E9487" s="1" t="str">
        <f>"6917843545651969110"</f>
        <v>6917843545651969110</v>
      </c>
      <c r="F9487" s="1" t="str">
        <f t="shared" si="2616"/>
        <v>花都四部-凤凰仓</v>
      </c>
      <c r="G9487" s="1" t="str">
        <f t="shared" si="2632"/>
        <v>卡卡杜个人护理店（抖店）</v>
      </c>
      <c r="H9487" s="1" t="str">
        <f t="shared" si="2617"/>
        <v>正常订单</v>
      </c>
      <c r="I9487" s="1" t="str">
        <f t="shared" si="2618"/>
        <v>已发货</v>
      </c>
      <c r="J9487" s="1" t="str">
        <f t="shared" si="2631"/>
        <v>2</v>
      </c>
      <c r="K9487" s="1">
        <v>1</v>
      </c>
      <c r="L9487" s="1" t="s">
        <v>18</v>
      </c>
      <c r="M9487" s="1" t="str">
        <f>"广东省 潮州市 饶平县 新丰镇"</f>
        <v>广东省 潮州市 饶平县 新丰镇</v>
      </c>
      <c r="N9487" s="1" t="str">
        <f t="shared" si="2633"/>
        <v>凡华云仓-韵达-抖音</v>
      </c>
      <c r="O9487" s="5">
        <v>320156909765267</v>
      </c>
      <c r="P9487" s="6">
        <v>0.33</v>
      </c>
      <c r="Q9487" s="11">
        <v>2.2999999999999998</v>
      </c>
      <c r="R9487" s="11"/>
      <c r="S9487" s="11"/>
      <c r="T9487" s="11"/>
      <c r="U9487" s="11">
        <f t="shared" si="2629"/>
        <v>2.2999999999999998</v>
      </c>
      <c r="W9487">
        <v>2.5</v>
      </c>
      <c r="X9487" s="1" t="s">
        <v>18</v>
      </c>
    </row>
    <row r="9488" spans="1:24" x14ac:dyDescent="0.25">
      <c r="A9488" s="1" t="str">
        <f t="shared" si="2615"/>
        <v>卡卡杜-凤凰仓</v>
      </c>
      <c r="B9488" s="1" t="str">
        <f>"CK2024100518304"</f>
        <v>CK2024100518304</v>
      </c>
      <c r="C9488" s="1" t="str">
        <f>"DD2024100549454"</f>
        <v>DD2024100549454</v>
      </c>
      <c r="D9488" s="1" t="str">
        <f>"CK2024100542700"</f>
        <v>CK2024100542700</v>
      </c>
      <c r="E9488" s="1" t="str">
        <f>"6917843857076158030"</f>
        <v>6917843857076158030</v>
      </c>
      <c r="F9488" s="1" t="str">
        <f t="shared" si="2616"/>
        <v>花都四部-凤凰仓</v>
      </c>
      <c r="G9488" s="1" t="str">
        <f t="shared" si="2632"/>
        <v>卡卡杜个人护理店（抖店）</v>
      </c>
      <c r="H9488" s="1" t="str">
        <f t="shared" si="2617"/>
        <v>正常订单</v>
      </c>
      <c r="I9488" s="1" t="str">
        <f t="shared" si="2618"/>
        <v>已发货</v>
      </c>
      <c r="J9488" s="1" t="str">
        <f t="shared" si="2631"/>
        <v>2</v>
      </c>
      <c r="K9488" s="1">
        <v>1</v>
      </c>
      <c r="L9488" s="1" t="s">
        <v>13</v>
      </c>
      <c r="M9488" s="1" t="str">
        <f>"江苏省 连云港市 海州区 海州街道"</f>
        <v>江苏省 连云港市 海州区 海州街道</v>
      </c>
      <c r="N9488" s="1" t="str">
        <f t="shared" si="2633"/>
        <v>凡华云仓-韵达-抖音</v>
      </c>
      <c r="O9488" s="5">
        <v>320156909765176</v>
      </c>
      <c r="P9488" s="6">
        <v>0.33</v>
      </c>
      <c r="Q9488" s="11">
        <v>2.2999999999999998</v>
      </c>
      <c r="R9488" s="11"/>
      <c r="S9488" s="11"/>
      <c r="T9488" s="11"/>
      <c r="U9488" s="11">
        <f t="shared" si="2629"/>
        <v>2.2999999999999998</v>
      </c>
      <c r="W9488">
        <v>2.5</v>
      </c>
      <c r="X9488" s="1" t="s">
        <v>13</v>
      </c>
    </row>
    <row r="9489" spans="1:24" x14ac:dyDescent="0.25">
      <c r="A9489" s="1" t="str">
        <f t="shared" si="2615"/>
        <v>卡卡杜-凤凰仓</v>
      </c>
      <c r="B9489" s="1" t="str">
        <f>"CK2024100518306"</f>
        <v>CK2024100518306</v>
      </c>
      <c r="C9489" s="1" t="str">
        <f>"DD2024100549450"</f>
        <v>DD2024100549450</v>
      </c>
      <c r="D9489" s="1" t="str">
        <f>"CK2024100542699"</f>
        <v>CK2024100542699</v>
      </c>
      <c r="E9489" s="1" t="str">
        <f>"6917838847196626626"</f>
        <v>6917838847196626626</v>
      </c>
      <c r="F9489" s="1" t="str">
        <f t="shared" si="2616"/>
        <v>花都四部-凤凰仓</v>
      </c>
      <c r="G9489" s="1" t="str">
        <f t="shared" si="2632"/>
        <v>卡卡杜个人护理店（抖店）</v>
      </c>
      <c r="H9489" s="1" t="str">
        <f t="shared" si="2617"/>
        <v>正常订单</v>
      </c>
      <c r="I9489" s="1" t="str">
        <f t="shared" si="2618"/>
        <v>已发货</v>
      </c>
      <c r="J9489" s="1" t="str">
        <f t="shared" si="2631"/>
        <v>2</v>
      </c>
      <c r="K9489" s="1">
        <v>1</v>
      </c>
      <c r="L9489" s="1" t="s">
        <v>47</v>
      </c>
      <c r="M9489" s="1" t="str">
        <f>"重庆 重庆市 城口县 坪坝镇"</f>
        <v>重庆 重庆市 城口县 坪坝镇</v>
      </c>
      <c r="N9489" s="1" t="str">
        <f t="shared" si="2633"/>
        <v>凡华云仓-韵达-抖音</v>
      </c>
      <c r="O9489" s="5">
        <v>320156908939007</v>
      </c>
      <c r="P9489" s="6">
        <v>0.33</v>
      </c>
      <c r="Q9489" s="11">
        <v>2.2999999999999998</v>
      </c>
      <c r="R9489" s="11"/>
      <c r="S9489" s="11"/>
      <c r="T9489" s="11"/>
      <c r="U9489" s="11">
        <f t="shared" si="2629"/>
        <v>2.2999999999999998</v>
      </c>
      <c r="W9489">
        <v>2.5</v>
      </c>
      <c r="X9489" s="1" t="s">
        <v>47</v>
      </c>
    </row>
    <row r="9490" spans="1:24" x14ac:dyDescent="0.25">
      <c r="A9490" s="1" t="str">
        <f t="shared" si="2615"/>
        <v>卡卡杜-凤凰仓</v>
      </c>
      <c r="B9490" s="1" t="str">
        <f>"CK2024100518307"</f>
        <v>CK2024100518307</v>
      </c>
      <c r="C9490" s="1" t="str">
        <f>"DD2024100549455"</f>
        <v>DD2024100549455</v>
      </c>
      <c r="D9490" s="1" t="str">
        <f>"CK2024100542698"</f>
        <v>CK2024100542698</v>
      </c>
      <c r="E9490" s="1" t="str">
        <f>"6917845731294870631"</f>
        <v>6917845731294870631</v>
      </c>
      <c r="F9490" s="1" t="str">
        <f t="shared" si="2616"/>
        <v>花都四部-凤凰仓</v>
      </c>
      <c r="G9490" s="1" t="str">
        <f t="shared" si="2632"/>
        <v>卡卡杜个人护理店（抖店）</v>
      </c>
      <c r="H9490" s="1" t="str">
        <f t="shared" si="2617"/>
        <v>正常订单</v>
      </c>
      <c r="I9490" s="1" t="str">
        <f t="shared" si="2618"/>
        <v>已发货</v>
      </c>
      <c r="J9490" s="1" t="str">
        <f t="shared" si="2631"/>
        <v>2</v>
      </c>
      <c r="K9490" s="1">
        <v>1</v>
      </c>
      <c r="L9490" s="1" t="s">
        <v>30</v>
      </c>
      <c r="M9490" s="1" t="str">
        <f>"山东省 济南市 市中区 十六里河街道"</f>
        <v>山东省 济南市 市中区 十六里河街道</v>
      </c>
      <c r="N9490" s="1" t="str">
        <f t="shared" si="2633"/>
        <v>凡华云仓-韵达-抖音</v>
      </c>
      <c r="O9490" s="5">
        <v>320156908938975</v>
      </c>
      <c r="P9490" s="6">
        <v>0.33</v>
      </c>
      <c r="Q9490" s="11">
        <v>2.2999999999999998</v>
      </c>
      <c r="R9490" s="11"/>
      <c r="S9490" s="11"/>
      <c r="T9490" s="11"/>
      <c r="U9490" s="11">
        <f t="shared" si="2629"/>
        <v>2.2999999999999998</v>
      </c>
      <c r="W9490">
        <v>2.5</v>
      </c>
      <c r="X9490" s="1" t="s">
        <v>30</v>
      </c>
    </row>
    <row r="9491" spans="1:24" x14ac:dyDescent="0.25">
      <c r="A9491" s="1" t="str">
        <f t="shared" si="2615"/>
        <v>卡卡杜-凤凰仓</v>
      </c>
      <c r="B9491" s="1" t="str">
        <f>"CK2024100518308"</f>
        <v>CK2024100518308</v>
      </c>
      <c r="C9491" s="1" t="str">
        <f>"DD2024100549456"</f>
        <v>DD2024100549456</v>
      </c>
      <c r="D9491" s="1" t="str">
        <f>"CK2024100542697"</f>
        <v>CK2024100542697</v>
      </c>
      <c r="E9491" s="1" t="str">
        <f>"6917838891607359220"</f>
        <v>6917838891607359220</v>
      </c>
      <c r="F9491" s="1" t="str">
        <f t="shared" si="2616"/>
        <v>花都四部-凤凰仓</v>
      </c>
      <c r="G9491" s="1" t="str">
        <f t="shared" si="2632"/>
        <v>卡卡杜个人护理店（抖店）</v>
      </c>
      <c r="H9491" s="1" t="str">
        <f t="shared" si="2617"/>
        <v>正常订单</v>
      </c>
      <c r="I9491" s="1" t="str">
        <f t="shared" si="2618"/>
        <v>已发货</v>
      </c>
      <c r="J9491" s="1" t="str">
        <f t="shared" si="2631"/>
        <v>2</v>
      </c>
      <c r="K9491" s="1">
        <v>1</v>
      </c>
      <c r="L9491" s="1" t="s">
        <v>13</v>
      </c>
      <c r="M9491" s="1" t="str">
        <f>"江苏省 盐城市 亭湖区 亭湖新区"</f>
        <v>江苏省 盐城市 亭湖区 亭湖新区</v>
      </c>
      <c r="N9491" s="1" t="str">
        <f t="shared" si="2633"/>
        <v>凡华云仓-韵达-抖音</v>
      </c>
      <c r="O9491" s="5">
        <v>320156908938870</v>
      </c>
      <c r="P9491" s="6">
        <v>0.33</v>
      </c>
      <c r="Q9491" s="11">
        <v>2.2999999999999998</v>
      </c>
      <c r="R9491" s="11"/>
      <c r="S9491" s="11"/>
      <c r="T9491" s="11"/>
      <c r="U9491" s="11">
        <f t="shared" si="2629"/>
        <v>2.2999999999999998</v>
      </c>
      <c r="W9491">
        <v>2.5</v>
      </c>
      <c r="X9491" s="1" t="s">
        <v>13</v>
      </c>
    </row>
    <row r="9492" spans="1:24" x14ac:dyDescent="0.25">
      <c r="A9492" s="1" t="str">
        <f t="shared" si="2615"/>
        <v>卡卡杜-凤凰仓</v>
      </c>
      <c r="B9492" s="1" t="str">
        <f>"CK2024100518309"</f>
        <v>CK2024100518309</v>
      </c>
      <c r="C9492" s="1" t="str">
        <f>"DD2024100549458"</f>
        <v>DD2024100549458</v>
      </c>
      <c r="D9492" s="1" t="str">
        <f>"CK2024100542696"</f>
        <v>CK2024100542696</v>
      </c>
      <c r="E9492" s="1" t="str">
        <f>"6917838970933378817"</f>
        <v>6917838970933378817</v>
      </c>
      <c r="F9492" s="1" t="str">
        <f t="shared" si="2616"/>
        <v>花都四部-凤凰仓</v>
      </c>
      <c r="G9492" s="1" t="str">
        <f t="shared" si="2632"/>
        <v>卡卡杜个人护理店（抖店）</v>
      </c>
      <c r="H9492" s="1" t="str">
        <f t="shared" si="2617"/>
        <v>正常订单</v>
      </c>
      <c r="I9492" s="1" t="str">
        <f t="shared" si="2618"/>
        <v>已发货</v>
      </c>
      <c r="J9492" s="1" t="str">
        <f t="shared" si="2631"/>
        <v>2</v>
      </c>
      <c r="K9492" s="1">
        <v>1</v>
      </c>
      <c r="L9492" s="1" t="s">
        <v>94</v>
      </c>
      <c r="M9492" s="1" t="str">
        <f>"湖南省 株洲市 攸县 江桥街道"</f>
        <v>湖南省 株洲市 攸县 江桥街道</v>
      </c>
      <c r="N9492" s="1" t="str">
        <f t="shared" si="2633"/>
        <v>凡华云仓-韵达-抖音</v>
      </c>
      <c r="O9492" s="5">
        <v>320156908938767</v>
      </c>
      <c r="P9492" s="6">
        <v>0.33</v>
      </c>
      <c r="Q9492" s="11">
        <v>2.2999999999999998</v>
      </c>
      <c r="R9492" s="11"/>
      <c r="S9492" s="11"/>
      <c r="T9492" s="11"/>
      <c r="U9492" s="11">
        <f t="shared" si="2629"/>
        <v>2.2999999999999998</v>
      </c>
      <c r="W9492">
        <v>2.5</v>
      </c>
      <c r="X9492" s="1" t="s">
        <v>94</v>
      </c>
    </row>
    <row r="9493" spans="1:24" x14ac:dyDescent="0.25">
      <c r="A9493" s="1" t="str">
        <f t="shared" si="2615"/>
        <v>卡卡杜-凤凰仓</v>
      </c>
      <c r="B9493" s="1" t="str">
        <f>"CK2024100518310"</f>
        <v>CK2024100518310</v>
      </c>
      <c r="C9493" s="1" t="str">
        <f>"DD2024100549460"</f>
        <v>DD2024100549460</v>
      </c>
      <c r="D9493" s="1" t="str">
        <f>"CK2024100542695"</f>
        <v>CK2024100542695</v>
      </c>
      <c r="E9493" s="1" t="str">
        <f>"6917845968320888375"</f>
        <v>6917845968320888375</v>
      </c>
      <c r="F9493" s="1" t="str">
        <f t="shared" si="2616"/>
        <v>花都四部-凤凰仓</v>
      </c>
      <c r="G9493" s="1" t="str">
        <f t="shared" si="2632"/>
        <v>卡卡杜个人护理店（抖店）</v>
      </c>
      <c r="H9493" s="1" t="str">
        <f t="shared" si="2617"/>
        <v>正常订单</v>
      </c>
      <c r="I9493" s="1" t="str">
        <f t="shared" si="2618"/>
        <v>已发货</v>
      </c>
      <c r="J9493" s="1" t="str">
        <f t="shared" si="2631"/>
        <v>2</v>
      </c>
      <c r="K9493" s="1">
        <v>1</v>
      </c>
      <c r="L9493" s="1" t="s">
        <v>36</v>
      </c>
      <c r="M9493" s="1" t="str">
        <f>"安徽省 合肥市 庐江县 庐城镇"</f>
        <v>安徽省 合肥市 庐江县 庐城镇</v>
      </c>
      <c r="N9493" s="1" t="str">
        <f t="shared" si="2633"/>
        <v>凡华云仓-韵达-抖音</v>
      </c>
      <c r="O9493" s="5">
        <v>320156908938666</v>
      </c>
      <c r="P9493" s="6">
        <v>0.33</v>
      </c>
      <c r="Q9493" s="11">
        <v>2.2999999999999998</v>
      </c>
      <c r="R9493" s="11"/>
      <c r="S9493" s="11"/>
      <c r="T9493" s="11"/>
      <c r="U9493" s="11">
        <f t="shared" si="2629"/>
        <v>2.2999999999999998</v>
      </c>
      <c r="W9493">
        <v>2.5</v>
      </c>
      <c r="X9493" s="1" t="s">
        <v>36</v>
      </c>
    </row>
    <row r="9494" spans="1:24" x14ac:dyDescent="0.25">
      <c r="A9494" s="1" t="str">
        <f t="shared" si="2615"/>
        <v>卡卡杜-凤凰仓</v>
      </c>
      <c r="B9494" s="1" t="str">
        <f>"CK2024100518328"</f>
        <v>CK2024100518328</v>
      </c>
      <c r="C9494" s="1" t="str">
        <f>"DD2024100549476"</f>
        <v>DD2024100549476</v>
      </c>
      <c r="D9494" s="1" t="str">
        <f>"CK2024100542694"</f>
        <v>CK2024100542694</v>
      </c>
      <c r="E9494" s="1" t="str">
        <f>"6917843380509965598"</f>
        <v>6917843380509965598</v>
      </c>
      <c r="F9494" s="1" t="str">
        <f t="shared" si="2616"/>
        <v>花都四部-凤凰仓</v>
      </c>
      <c r="G9494" s="1" t="str">
        <f t="shared" si="2632"/>
        <v>卡卡杜个人护理店（抖店）</v>
      </c>
      <c r="H9494" s="1" t="str">
        <f t="shared" si="2617"/>
        <v>正常订单</v>
      </c>
      <c r="I9494" s="1" t="str">
        <f t="shared" si="2618"/>
        <v>已发货</v>
      </c>
      <c r="J9494" s="1" t="str">
        <f t="shared" si="2631"/>
        <v>2</v>
      </c>
      <c r="K9494" s="1">
        <v>1</v>
      </c>
      <c r="L9494" s="1" t="s">
        <v>20</v>
      </c>
      <c r="M9494" s="1" t="str">
        <f>"浙江省 杭州市 江干区 "</f>
        <v xml:space="preserve">浙江省 杭州市 江干区 </v>
      </c>
      <c r="N9494" s="1" t="str">
        <f t="shared" si="2633"/>
        <v>凡华云仓-韵达-抖音</v>
      </c>
      <c r="O9494" s="5">
        <v>320156908938567</v>
      </c>
      <c r="P9494" s="6">
        <v>0.33</v>
      </c>
      <c r="Q9494" s="11">
        <v>2.2999999999999998</v>
      </c>
      <c r="R9494" s="11"/>
      <c r="S9494" s="11"/>
      <c r="T9494" s="11"/>
      <c r="U9494" s="11">
        <f t="shared" si="2629"/>
        <v>2.2999999999999998</v>
      </c>
      <c r="W9494">
        <v>2.5</v>
      </c>
      <c r="X9494" s="1" t="s">
        <v>20</v>
      </c>
    </row>
    <row r="9495" spans="1:24" x14ac:dyDescent="0.25">
      <c r="A9495" s="1" t="str">
        <f t="shared" si="2615"/>
        <v>卡卡杜-凤凰仓</v>
      </c>
      <c r="B9495" s="1" t="str">
        <f>"CK2024100518330"</f>
        <v>CK2024100518330</v>
      </c>
      <c r="C9495" s="1" t="str">
        <f>"DD2024100549478"</f>
        <v>DD2024100549478</v>
      </c>
      <c r="D9495" s="1" t="str">
        <f>"CK2024100542693"</f>
        <v>CK2024100542693</v>
      </c>
      <c r="E9495" s="1" t="str">
        <f>"6917845524893040502"</f>
        <v>6917845524893040502</v>
      </c>
      <c r="F9495" s="1" t="str">
        <f t="shared" si="2616"/>
        <v>花都四部-凤凰仓</v>
      </c>
      <c r="G9495" s="1" t="str">
        <f t="shared" si="2632"/>
        <v>卡卡杜个人护理店（抖店）</v>
      </c>
      <c r="H9495" s="1" t="str">
        <f t="shared" si="2617"/>
        <v>正常订单</v>
      </c>
      <c r="I9495" s="1" t="str">
        <f t="shared" si="2618"/>
        <v>已发货</v>
      </c>
      <c r="J9495" s="1" t="str">
        <f t="shared" si="2631"/>
        <v>2</v>
      </c>
      <c r="K9495" s="1">
        <v>1</v>
      </c>
      <c r="L9495" s="1" t="s">
        <v>13</v>
      </c>
      <c r="M9495" s="1" t="str">
        <f>"江苏省 苏州市 太仓市 璜泾镇"</f>
        <v>江苏省 苏州市 太仓市 璜泾镇</v>
      </c>
      <c r="N9495" s="1" t="str">
        <f t="shared" si="2633"/>
        <v>凡华云仓-韵达-抖音</v>
      </c>
      <c r="O9495" s="5">
        <v>320156908938470</v>
      </c>
      <c r="P9495" s="6">
        <v>0.33</v>
      </c>
      <c r="Q9495" s="11">
        <v>2.2999999999999998</v>
      </c>
      <c r="R9495" s="11"/>
      <c r="S9495" s="11"/>
      <c r="T9495" s="11"/>
      <c r="U9495" s="11">
        <f t="shared" si="2629"/>
        <v>2.2999999999999998</v>
      </c>
      <c r="W9495">
        <v>2.5</v>
      </c>
      <c r="X9495" s="1" t="s">
        <v>13</v>
      </c>
    </row>
    <row r="9496" spans="1:24" x14ac:dyDescent="0.25">
      <c r="A9496" s="1" t="str">
        <f t="shared" si="2615"/>
        <v>卡卡杜-凤凰仓</v>
      </c>
      <c r="B9496" s="1" t="str">
        <f>"CK2024100518331"</f>
        <v>CK2024100518331</v>
      </c>
      <c r="C9496" s="1" t="str">
        <f>"DD2024100549479"</f>
        <v>DD2024100549479</v>
      </c>
      <c r="D9496" s="1" t="str">
        <f>"CK2024100542692"</f>
        <v>CK2024100542692</v>
      </c>
      <c r="E9496" s="1" t="str">
        <f>"6917836645967232264"</f>
        <v>6917836645967232264</v>
      </c>
      <c r="F9496" s="1" t="str">
        <f t="shared" si="2616"/>
        <v>花都四部-凤凰仓</v>
      </c>
      <c r="G9496" s="1" t="str">
        <f t="shared" si="2632"/>
        <v>卡卡杜个人护理店（抖店）</v>
      </c>
      <c r="H9496" s="1" t="str">
        <f t="shared" si="2617"/>
        <v>正常订单</v>
      </c>
      <c r="I9496" s="1" t="str">
        <f t="shared" si="2618"/>
        <v>已发货</v>
      </c>
      <c r="J9496" s="1" t="str">
        <f t="shared" si="2631"/>
        <v>2</v>
      </c>
      <c r="K9496" s="1">
        <v>1</v>
      </c>
      <c r="L9496" s="1" t="s">
        <v>18</v>
      </c>
      <c r="M9496" s="1" t="str">
        <f>"广东省 惠州市 博罗县 石湾镇"</f>
        <v>广东省 惠州市 博罗县 石湾镇</v>
      </c>
      <c r="N9496" s="1" t="str">
        <f t="shared" si="2633"/>
        <v>凡华云仓-韵达-抖音</v>
      </c>
      <c r="O9496" s="5">
        <v>320156908938375</v>
      </c>
      <c r="P9496" s="6">
        <v>0.33</v>
      </c>
      <c r="Q9496" s="11">
        <v>2.2999999999999998</v>
      </c>
      <c r="R9496" s="11"/>
      <c r="S9496" s="11"/>
      <c r="T9496" s="11"/>
      <c r="U9496" s="11">
        <f t="shared" si="2629"/>
        <v>2.2999999999999998</v>
      </c>
      <c r="W9496">
        <v>2.5</v>
      </c>
      <c r="X9496" s="1" t="s">
        <v>18</v>
      </c>
    </row>
    <row r="9497" spans="1:24" x14ac:dyDescent="0.25">
      <c r="A9497" s="1" t="str">
        <f t="shared" si="2615"/>
        <v>卡卡杜-凤凰仓</v>
      </c>
      <c r="B9497" s="1" t="str">
        <f>"CK2024100518329"</f>
        <v>CK2024100518329</v>
      </c>
      <c r="C9497" s="1" t="str">
        <f>"DD2024100549477"</f>
        <v>DD2024100549477</v>
      </c>
      <c r="D9497" s="1" t="str">
        <f>"CK2024100542691"</f>
        <v>CK2024100542691</v>
      </c>
      <c r="E9497" s="1" t="str">
        <f>"6917843629127007719"</f>
        <v>6917843629127007719</v>
      </c>
      <c r="F9497" s="1" t="str">
        <f t="shared" si="2616"/>
        <v>花都四部-凤凰仓</v>
      </c>
      <c r="G9497" s="1" t="str">
        <f t="shared" si="2632"/>
        <v>卡卡杜个人护理店（抖店）</v>
      </c>
      <c r="H9497" s="1" t="str">
        <f t="shared" si="2617"/>
        <v>正常订单</v>
      </c>
      <c r="I9497" s="1" t="str">
        <f t="shared" si="2618"/>
        <v>已发货</v>
      </c>
      <c r="J9497" s="1" t="str">
        <f t="shared" si="2631"/>
        <v>2</v>
      </c>
      <c r="K9497" s="1">
        <v>1</v>
      </c>
      <c r="L9497" s="1" t="s">
        <v>36</v>
      </c>
      <c r="M9497" s="1" t="str">
        <f>"安徽省 六安市 裕安区 "</f>
        <v xml:space="preserve">安徽省 六安市 裕安区 </v>
      </c>
      <c r="N9497" s="1" t="str">
        <f t="shared" si="2633"/>
        <v>凡华云仓-韵达-抖音</v>
      </c>
      <c r="O9497" s="5">
        <v>320156908938282</v>
      </c>
      <c r="P9497" s="6">
        <v>0.33</v>
      </c>
      <c r="Q9497" s="11">
        <v>2.2999999999999998</v>
      </c>
      <c r="R9497" s="11"/>
      <c r="S9497" s="11"/>
      <c r="T9497" s="11"/>
      <c r="U9497" s="11">
        <f t="shared" si="2629"/>
        <v>2.2999999999999998</v>
      </c>
      <c r="W9497">
        <v>2.5</v>
      </c>
      <c r="X9497" s="1" t="s">
        <v>36</v>
      </c>
    </row>
    <row r="9498" spans="1:24" x14ac:dyDescent="0.25">
      <c r="A9498" s="1" t="str">
        <f t="shared" si="2615"/>
        <v>卡卡杜-凤凰仓</v>
      </c>
      <c r="B9498" s="1" t="str">
        <f>"CK2024100518332"</f>
        <v>CK2024100518332</v>
      </c>
      <c r="C9498" s="1" t="str">
        <f>"DD2024100549480"</f>
        <v>DD2024100549480</v>
      </c>
      <c r="D9498" s="1" t="str">
        <f>"CK2024100542690"</f>
        <v>CK2024100542690</v>
      </c>
      <c r="E9498" s="1" t="str">
        <f>"6917838937375276663"</f>
        <v>6917838937375276663</v>
      </c>
      <c r="F9498" s="1" t="str">
        <f t="shared" si="2616"/>
        <v>花都四部-凤凰仓</v>
      </c>
      <c r="G9498" s="1" t="str">
        <f t="shared" si="2632"/>
        <v>卡卡杜个人护理店（抖店）</v>
      </c>
      <c r="H9498" s="1" t="str">
        <f t="shared" si="2617"/>
        <v>正常订单</v>
      </c>
      <c r="I9498" s="1" t="str">
        <f t="shared" si="2618"/>
        <v>已发货</v>
      </c>
      <c r="J9498" s="1" t="str">
        <f t="shared" si="2631"/>
        <v>2</v>
      </c>
      <c r="K9498" s="1">
        <v>1</v>
      </c>
      <c r="L9498" s="1" t="s">
        <v>161</v>
      </c>
      <c r="M9498" s="1" t="str">
        <f>"四川省 成都市 武侯区 簇锦街道"</f>
        <v>四川省 成都市 武侯区 簇锦街道</v>
      </c>
      <c r="N9498" s="1" t="str">
        <f t="shared" si="2633"/>
        <v>凡华云仓-韵达-抖音</v>
      </c>
      <c r="O9498" s="5">
        <v>320156908938191</v>
      </c>
      <c r="P9498" s="6">
        <v>0.33</v>
      </c>
      <c r="Q9498" s="11">
        <v>2.2999999999999998</v>
      </c>
      <c r="R9498" s="11"/>
      <c r="S9498" s="11"/>
      <c r="T9498" s="11"/>
      <c r="U9498" s="11">
        <f t="shared" si="2629"/>
        <v>2.2999999999999998</v>
      </c>
      <c r="W9498">
        <v>2.5</v>
      </c>
      <c r="X9498" s="1" t="s">
        <v>161</v>
      </c>
    </row>
    <row r="9499" spans="1:24" x14ac:dyDescent="0.25">
      <c r="A9499" s="1" t="str">
        <f t="shared" si="2615"/>
        <v>卡卡杜-凤凰仓</v>
      </c>
      <c r="B9499" s="1" t="str">
        <f>"CK2024100518333"</f>
        <v>CK2024100518333</v>
      </c>
      <c r="C9499" s="1" t="str">
        <f>"DD2024100549481"</f>
        <v>DD2024100549481</v>
      </c>
      <c r="D9499" s="1" t="str">
        <f>"CK2024100542689"</f>
        <v>CK2024100542689</v>
      </c>
      <c r="E9499" s="1" t="str">
        <f>"6917845948714023954"</f>
        <v>6917845948714023954</v>
      </c>
      <c r="F9499" s="1" t="str">
        <f t="shared" si="2616"/>
        <v>花都四部-凤凰仓</v>
      </c>
      <c r="G9499" s="1" t="str">
        <f t="shared" si="2632"/>
        <v>卡卡杜个人护理店（抖店）</v>
      </c>
      <c r="H9499" s="1" t="str">
        <f t="shared" si="2617"/>
        <v>正常订单</v>
      </c>
      <c r="I9499" s="1" t="str">
        <f t="shared" si="2618"/>
        <v>已发货</v>
      </c>
      <c r="J9499" s="1" t="str">
        <f t="shared" si="2631"/>
        <v>2</v>
      </c>
      <c r="K9499" s="1">
        <v>1</v>
      </c>
      <c r="L9499" s="1" t="s">
        <v>27</v>
      </c>
      <c r="M9499" s="1" t="str">
        <f>"贵州省 黔东南苗族侗族自治州 雷山县 "</f>
        <v xml:space="preserve">贵州省 黔东南苗族侗族自治州 雷山县 </v>
      </c>
      <c r="N9499" s="1" t="str">
        <f t="shared" si="2633"/>
        <v>凡华云仓-韵达-抖音</v>
      </c>
      <c r="O9499" s="5">
        <v>320156922073991</v>
      </c>
      <c r="P9499" s="6">
        <v>0.33</v>
      </c>
      <c r="Q9499" s="11">
        <v>2.2999999999999998</v>
      </c>
      <c r="R9499" s="11"/>
      <c r="S9499" s="11"/>
      <c r="T9499" s="11"/>
      <c r="U9499" s="11">
        <f t="shared" si="2629"/>
        <v>2.2999999999999998</v>
      </c>
      <c r="W9499">
        <v>2.5</v>
      </c>
      <c r="X9499" s="1" t="s">
        <v>27</v>
      </c>
    </row>
    <row r="9500" spans="1:24" x14ac:dyDescent="0.25">
      <c r="A9500" s="1" t="str">
        <f t="shared" si="2615"/>
        <v>卡卡杜-凤凰仓</v>
      </c>
      <c r="B9500" s="1" t="str">
        <f>"CK2024100518334"</f>
        <v>CK2024100518334</v>
      </c>
      <c r="C9500" s="1" t="str">
        <f>"DD2024100549482"</f>
        <v>DD2024100549482</v>
      </c>
      <c r="D9500" s="1" t="str">
        <f>"CK2024100542688"</f>
        <v>CK2024100542688</v>
      </c>
      <c r="E9500" s="1" t="str">
        <f>"6917839079174864056"</f>
        <v>6917839079174864056</v>
      </c>
      <c r="F9500" s="1" t="str">
        <f t="shared" si="2616"/>
        <v>花都四部-凤凰仓</v>
      </c>
      <c r="G9500" s="1" t="str">
        <f t="shared" si="2632"/>
        <v>卡卡杜个人护理店（抖店）</v>
      </c>
      <c r="H9500" s="1" t="str">
        <f t="shared" si="2617"/>
        <v>正常订单</v>
      </c>
      <c r="I9500" s="1" t="str">
        <f t="shared" si="2618"/>
        <v>已发货</v>
      </c>
      <c r="J9500" s="1" t="str">
        <f t="shared" si="2631"/>
        <v>2</v>
      </c>
      <c r="K9500" s="1">
        <v>1</v>
      </c>
      <c r="L9500" s="1" t="s">
        <v>218</v>
      </c>
      <c r="M9500" s="1" t="str">
        <f>"天津 天津市 河东区 二号桥街道"</f>
        <v>天津 天津市 河东区 二号桥街道</v>
      </c>
      <c r="N9500" s="1" t="str">
        <f t="shared" si="2633"/>
        <v>凡华云仓-韵达-抖音</v>
      </c>
      <c r="O9500" s="5">
        <v>320156922073886</v>
      </c>
      <c r="P9500" s="6">
        <v>0.33</v>
      </c>
      <c r="Q9500" s="11">
        <v>2.2999999999999998</v>
      </c>
      <c r="R9500" s="11"/>
      <c r="S9500" s="11"/>
      <c r="T9500" s="11"/>
      <c r="U9500" s="11">
        <f t="shared" si="2629"/>
        <v>2.2999999999999998</v>
      </c>
      <c r="W9500">
        <v>2.5</v>
      </c>
      <c r="X9500" s="1" t="s">
        <v>218</v>
      </c>
    </row>
    <row r="9501" spans="1:24" x14ac:dyDescent="0.25">
      <c r="A9501" s="1" t="str">
        <f t="shared" si="2615"/>
        <v>卡卡杜-凤凰仓</v>
      </c>
      <c r="B9501" s="1" t="str">
        <f>"CK2024100518335"</f>
        <v>CK2024100518335</v>
      </c>
      <c r="C9501" s="1" t="str">
        <f>"DD2024100549483"</f>
        <v>DD2024100549483</v>
      </c>
      <c r="D9501" s="1" t="str">
        <f>"CK2024100542687"</f>
        <v>CK2024100542687</v>
      </c>
      <c r="E9501" s="1" t="str">
        <f>"6917836521531408175"</f>
        <v>6917836521531408175</v>
      </c>
      <c r="F9501" s="1" t="str">
        <f t="shared" si="2616"/>
        <v>花都四部-凤凰仓</v>
      </c>
      <c r="G9501" s="1" t="str">
        <f t="shared" si="2632"/>
        <v>卡卡杜个人护理店（抖店）</v>
      </c>
      <c r="H9501" s="1" t="str">
        <f t="shared" si="2617"/>
        <v>正常订单</v>
      </c>
      <c r="I9501" s="1" t="str">
        <f t="shared" si="2618"/>
        <v>已发货</v>
      </c>
      <c r="J9501" s="1" t="str">
        <f t="shared" si="2631"/>
        <v>2</v>
      </c>
      <c r="K9501" s="1">
        <v>1</v>
      </c>
      <c r="L9501" s="1" t="s">
        <v>20</v>
      </c>
      <c r="M9501" s="1" t="str">
        <f>"浙江省 湖州市 长兴县 虹星桥镇"</f>
        <v>浙江省 湖州市 长兴县 虹星桥镇</v>
      </c>
      <c r="N9501" s="1" t="str">
        <f t="shared" si="2633"/>
        <v>凡华云仓-韵达-抖音</v>
      </c>
      <c r="O9501" s="5">
        <v>320156922073783</v>
      </c>
      <c r="P9501" s="6">
        <v>0.33</v>
      </c>
      <c r="Q9501" s="11">
        <v>2.2999999999999998</v>
      </c>
      <c r="R9501" s="11"/>
      <c r="S9501" s="11"/>
      <c r="T9501" s="11"/>
      <c r="U9501" s="11">
        <f t="shared" si="2629"/>
        <v>2.2999999999999998</v>
      </c>
      <c r="W9501">
        <v>2.5</v>
      </c>
      <c r="X9501" s="1" t="s">
        <v>20</v>
      </c>
    </row>
    <row r="9502" spans="1:24" x14ac:dyDescent="0.25">
      <c r="A9502" s="1" t="str">
        <f t="shared" si="2615"/>
        <v>卡卡杜-凤凰仓</v>
      </c>
      <c r="B9502" s="1" t="str">
        <f>"CK2024100518336"</f>
        <v>CK2024100518336</v>
      </c>
      <c r="C9502" s="1" t="str">
        <f>"DD2024100549484"</f>
        <v>DD2024100549484</v>
      </c>
      <c r="D9502" s="1" t="str">
        <f>"CK2024100542686"</f>
        <v>CK2024100542686</v>
      </c>
      <c r="E9502" s="1" t="str">
        <f>"6917838813189930097"</f>
        <v>6917838813189930097</v>
      </c>
      <c r="F9502" s="1" t="str">
        <f t="shared" si="2616"/>
        <v>花都四部-凤凰仓</v>
      </c>
      <c r="G9502" s="1" t="str">
        <f t="shared" si="2632"/>
        <v>卡卡杜个人护理店（抖店）</v>
      </c>
      <c r="H9502" s="1" t="str">
        <f t="shared" si="2617"/>
        <v>正常订单</v>
      </c>
      <c r="I9502" s="1" t="str">
        <f t="shared" si="2618"/>
        <v>已发货</v>
      </c>
      <c r="J9502" s="1" t="str">
        <f t="shared" si="2631"/>
        <v>2</v>
      </c>
      <c r="K9502" s="1">
        <v>1</v>
      </c>
      <c r="L9502" s="1" t="s">
        <v>44</v>
      </c>
      <c r="M9502" s="1" t="str">
        <f>"海南省 琼海市 琼海市 长坡镇"</f>
        <v>海南省 琼海市 琼海市 长坡镇</v>
      </c>
      <c r="N9502" s="1" t="str">
        <f t="shared" si="2633"/>
        <v>凡华云仓-韵达-抖音</v>
      </c>
      <c r="O9502" s="5">
        <v>320156922073682</v>
      </c>
      <c r="P9502" s="6">
        <v>0.33</v>
      </c>
      <c r="Q9502" s="11">
        <v>2.2999999999999998</v>
      </c>
      <c r="R9502" s="11"/>
      <c r="S9502" s="11"/>
      <c r="T9502" s="11"/>
      <c r="U9502" s="11">
        <f t="shared" si="2629"/>
        <v>2.2999999999999998</v>
      </c>
      <c r="W9502">
        <v>2.5</v>
      </c>
      <c r="X9502" s="1" t="s">
        <v>44</v>
      </c>
    </row>
    <row r="9503" spans="1:24" x14ac:dyDescent="0.25">
      <c r="A9503" s="1" t="str">
        <f t="shared" si="2615"/>
        <v>卡卡杜-凤凰仓</v>
      </c>
      <c r="B9503" s="1" t="str">
        <f>"CK2024100518338"</f>
        <v>CK2024100518338</v>
      </c>
      <c r="C9503" s="1" t="str">
        <f>"DD2024100549487"</f>
        <v>DD2024100549487</v>
      </c>
      <c r="D9503" s="1" t="str">
        <f>"CK2024100542685"</f>
        <v>CK2024100542685</v>
      </c>
      <c r="E9503" s="1" t="str">
        <f>"6917841227967921378"</f>
        <v>6917841227967921378</v>
      </c>
      <c r="F9503" s="1" t="str">
        <f t="shared" si="2616"/>
        <v>花都四部-凤凰仓</v>
      </c>
      <c r="G9503" s="1" t="str">
        <f t="shared" si="2632"/>
        <v>卡卡杜个人护理店（抖店）</v>
      </c>
      <c r="H9503" s="1" t="str">
        <f t="shared" si="2617"/>
        <v>正常订单</v>
      </c>
      <c r="I9503" s="1" t="str">
        <f t="shared" si="2618"/>
        <v>已发货</v>
      </c>
      <c r="J9503" s="1" t="str">
        <f t="shared" si="2631"/>
        <v>2</v>
      </c>
      <c r="K9503" s="1">
        <v>1</v>
      </c>
      <c r="L9503" s="1" t="s">
        <v>41</v>
      </c>
      <c r="M9503" s="1" t="str">
        <f>"湖北省 黄冈市 英山县 孔家坊乡"</f>
        <v>湖北省 黄冈市 英山县 孔家坊乡</v>
      </c>
      <c r="N9503" s="1" t="str">
        <f t="shared" si="2633"/>
        <v>凡华云仓-韵达-抖音</v>
      </c>
      <c r="O9503" s="5">
        <v>320156922073583</v>
      </c>
      <c r="P9503" s="6">
        <v>0.33</v>
      </c>
      <c r="Q9503" s="11">
        <v>2.2999999999999998</v>
      </c>
      <c r="R9503" s="11"/>
      <c r="S9503" s="11"/>
      <c r="T9503" s="11"/>
      <c r="U9503" s="11">
        <f t="shared" si="2629"/>
        <v>2.2999999999999998</v>
      </c>
      <c r="W9503">
        <v>2.5</v>
      </c>
      <c r="X9503" s="1" t="s">
        <v>41</v>
      </c>
    </row>
    <row r="9504" spans="1:24" x14ac:dyDescent="0.25">
      <c r="A9504" s="1" t="str">
        <f t="shared" si="2615"/>
        <v>卡卡杜-凤凰仓</v>
      </c>
      <c r="B9504" s="1" t="str">
        <f>"CK2024100518339"</f>
        <v>CK2024100518339</v>
      </c>
      <c r="C9504" s="1" t="str">
        <f>"DD2024100549486"</f>
        <v>DD2024100549486</v>
      </c>
      <c r="D9504" s="1" t="str">
        <f>"CK2024100542684"</f>
        <v>CK2024100542684</v>
      </c>
      <c r="E9504" s="1" t="str">
        <f>"6917838785252589252"</f>
        <v>6917838785252589252</v>
      </c>
      <c r="F9504" s="1" t="str">
        <f t="shared" si="2616"/>
        <v>花都四部-凤凰仓</v>
      </c>
      <c r="G9504" s="1" t="str">
        <f t="shared" si="2632"/>
        <v>卡卡杜个人护理店（抖店）</v>
      </c>
      <c r="H9504" s="1" t="str">
        <f t="shared" si="2617"/>
        <v>正常订单</v>
      </c>
      <c r="I9504" s="1" t="str">
        <f t="shared" si="2618"/>
        <v>已发货</v>
      </c>
      <c r="J9504" s="1" t="str">
        <f t="shared" si="2631"/>
        <v>2</v>
      </c>
      <c r="K9504" s="1">
        <v>1</v>
      </c>
      <c r="L9504" s="1" t="s">
        <v>20</v>
      </c>
      <c r="M9504" s="1" t="str">
        <f>"浙江省 丽水市 云和县 "</f>
        <v xml:space="preserve">浙江省 丽水市 云和县 </v>
      </c>
      <c r="N9504" s="1" t="str">
        <f t="shared" si="2633"/>
        <v>凡华云仓-韵达-抖音</v>
      </c>
      <c r="O9504" s="5">
        <v>320156922073486</v>
      </c>
      <c r="P9504" s="6">
        <v>0.33</v>
      </c>
      <c r="Q9504" s="11">
        <v>2.2999999999999998</v>
      </c>
      <c r="R9504" s="11"/>
      <c r="S9504" s="11"/>
      <c r="T9504" s="11"/>
      <c r="U9504" s="11">
        <f t="shared" si="2629"/>
        <v>2.2999999999999998</v>
      </c>
      <c r="W9504">
        <v>2.5</v>
      </c>
      <c r="X9504" s="1" t="s">
        <v>20</v>
      </c>
    </row>
    <row r="9505" spans="1:24" x14ac:dyDescent="0.25">
      <c r="A9505" s="1" t="str">
        <f t="shared" si="2615"/>
        <v>卡卡杜-凤凰仓</v>
      </c>
      <c r="B9505" s="1" t="str">
        <f>"CK2024100518340"</f>
        <v>CK2024100518340</v>
      </c>
      <c r="C9505" s="1" t="str">
        <f>"DD2024100549488"</f>
        <v>DD2024100549488</v>
      </c>
      <c r="D9505" s="1" t="str">
        <f>"CK2024100542683"</f>
        <v>CK2024100542683</v>
      </c>
      <c r="E9505" s="1" t="str">
        <f>"6917836761152650776"</f>
        <v>6917836761152650776</v>
      </c>
      <c r="F9505" s="1" t="str">
        <f t="shared" si="2616"/>
        <v>花都四部-凤凰仓</v>
      </c>
      <c r="G9505" s="1" t="str">
        <f t="shared" si="2632"/>
        <v>卡卡杜个人护理店（抖店）</v>
      </c>
      <c r="H9505" s="1" t="str">
        <f t="shared" si="2617"/>
        <v>正常订单</v>
      </c>
      <c r="I9505" s="1" t="str">
        <f t="shared" si="2618"/>
        <v>已发货</v>
      </c>
      <c r="J9505" s="1" t="str">
        <f t="shared" si="2631"/>
        <v>2</v>
      </c>
      <c r="K9505" s="1">
        <v>1</v>
      </c>
      <c r="L9505" s="1" t="s">
        <v>20</v>
      </c>
      <c r="M9505" s="1" t="str">
        <f>"浙江省 杭州市 桐庐县 分水镇"</f>
        <v>浙江省 杭州市 桐庐县 分水镇</v>
      </c>
      <c r="N9505" s="1" t="str">
        <f t="shared" si="2633"/>
        <v>凡华云仓-韵达-抖音</v>
      </c>
      <c r="O9505" s="5">
        <v>320156922073391</v>
      </c>
      <c r="P9505" s="6">
        <v>0.33</v>
      </c>
      <c r="Q9505" s="11">
        <v>2.2999999999999998</v>
      </c>
      <c r="R9505" s="11"/>
      <c r="S9505" s="11"/>
      <c r="T9505" s="11"/>
      <c r="U9505" s="11">
        <f t="shared" si="2629"/>
        <v>2.2999999999999998</v>
      </c>
      <c r="W9505">
        <v>2.5</v>
      </c>
      <c r="X9505" s="1" t="s">
        <v>20</v>
      </c>
    </row>
    <row r="9506" spans="1:24" x14ac:dyDescent="0.25">
      <c r="A9506" s="1" t="str">
        <f t="shared" si="2615"/>
        <v>卡卡杜-凤凰仓</v>
      </c>
      <c r="B9506" s="1" t="str">
        <f>"CK2024100518341"</f>
        <v>CK2024100518341</v>
      </c>
      <c r="C9506" s="1" t="str">
        <f>"DD2024100549489"</f>
        <v>DD2024100549489</v>
      </c>
      <c r="D9506" s="1" t="str">
        <f>"CK2024100542682"</f>
        <v>CK2024100542682</v>
      </c>
      <c r="E9506" s="1" t="str">
        <f>"6917836487549091590"</f>
        <v>6917836487549091590</v>
      </c>
      <c r="F9506" s="1" t="str">
        <f t="shared" si="2616"/>
        <v>花都四部-凤凰仓</v>
      </c>
      <c r="G9506" s="1" t="str">
        <f t="shared" si="2632"/>
        <v>卡卡杜个人护理店（抖店）</v>
      </c>
      <c r="H9506" s="1" t="str">
        <f t="shared" si="2617"/>
        <v>正常订单</v>
      </c>
      <c r="I9506" s="1" t="str">
        <f t="shared" si="2618"/>
        <v>已发货</v>
      </c>
      <c r="J9506" s="1" t="str">
        <f t="shared" si="2631"/>
        <v>2</v>
      </c>
      <c r="K9506" s="1">
        <v>1</v>
      </c>
      <c r="L9506" s="1" t="s">
        <v>18</v>
      </c>
      <c r="M9506" s="1" t="str">
        <f>"广东省 佛山市 南海区 狮山镇"</f>
        <v>广东省 佛山市 南海区 狮山镇</v>
      </c>
      <c r="N9506" s="1" t="str">
        <f t="shared" si="2633"/>
        <v>凡华云仓-韵达-抖音</v>
      </c>
      <c r="O9506" s="5">
        <v>320156922073298</v>
      </c>
      <c r="P9506" s="6">
        <v>0.33</v>
      </c>
      <c r="Q9506" s="11">
        <v>2.2999999999999998</v>
      </c>
      <c r="R9506" s="11"/>
      <c r="S9506" s="11"/>
      <c r="T9506" s="11"/>
      <c r="U9506" s="11">
        <f t="shared" si="2629"/>
        <v>2.2999999999999998</v>
      </c>
      <c r="W9506">
        <v>2.5</v>
      </c>
      <c r="X9506" s="1" t="s">
        <v>18</v>
      </c>
    </row>
    <row r="9507" spans="1:24" x14ac:dyDescent="0.25">
      <c r="A9507" s="1" t="str">
        <f t="shared" si="2615"/>
        <v>卡卡杜-凤凰仓</v>
      </c>
      <c r="B9507" s="1" t="str">
        <f>"CK2024100518342"</f>
        <v>CK2024100518342</v>
      </c>
      <c r="C9507" s="1" t="str">
        <f>"DD2024100549490"</f>
        <v>DD2024100549490</v>
      </c>
      <c r="D9507" s="1" t="str">
        <f>"CK2024100542681"</f>
        <v>CK2024100542681</v>
      </c>
      <c r="E9507" s="1" t="str">
        <f>"6917838736877125301"</f>
        <v>6917838736877125301</v>
      </c>
      <c r="F9507" s="1" t="str">
        <f t="shared" si="2616"/>
        <v>花都四部-凤凰仓</v>
      </c>
      <c r="G9507" s="1" t="str">
        <f t="shared" si="2632"/>
        <v>卡卡杜个人护理店（抖店）</v>
      </c>
      <c r="H9507" s="1" t="str">
        <f t="shared" si="2617"/>
        <v>正常订单</v>
      </c>
      <c r="I9507" s="1" t="str">
        <f t="shared" si="2618"/>
        <v>已发货</v>
      </c>
      <c r="J9507" s="1" t="str">
        <f t="shared" si="2631"/>
        <v>2</v>
      </c>
      <c r="K9507" s="1">
        <v>1</v>
      </c>
      <c r="L9507" s="1" t="s">
        <v>13</v>
      </c>
      <c r="M9507" s="1" t="str">
        <f>"江苏省 扬州市 宝应县 山阳镇"</f>
        <v>江苏省 扬州市 宝应县 山阳镇</v>
      </c>
      <c r="N9507" s="1" t="str">
        <f t="shared" si="2633"/>
        <v>凡华云仓-韵达-抖音</v>
      </c>
      <c r="O9507" s="5">
        <v>320156922073107</v>
      </c>
      <c r="P9507" s="6">
        <v>0.33</v>
      </c>
      <c r="Q9507" s="11">
        <v>2.2999999999999998</v>
      </c>
      <c r="R9507" s="11"/>
      <c r="S9507" s="11"/>
      <c r="T9507" s="11"/>
      <c r="U9507" s="11">
        <f t="shared" si="2629"/>
        <v>2.2999999999999998</v>
      </c>
      <c r="W9507">
        <v>2.5</v>
      </c>
      <c r="X9507" s="1" t="s">
        <v>13</v>
      </c>
    </row>
    <row r="9508" spans="1:24" x14ac:dyDescent="0.25">
      <c r="A9508" s="1" t="str">
        <f t="shared" si="2615"/>
        <v>卡卡杜-凤凰仓</v>
      </c>
      <c r="B9508" s="1" t="str">
        <f>"CK2024100518344"</f>
        <v>CK2024100518344</v>
      </c>
      <c r="C9508" s="1" t="str">
        <f>"DD2024100549492"</f>
        <v>DD2024100549492</v>
      </c>
      <c r="D9508" s="1" t="str">
        <f>"CK2024100542680"</f>
        <v>CK2024100542680</v>
      </c>
      <c r="E9508" s="1" t="str">
        <f>"6917843458972745139"</f>
        <v>6917843458972745139</v>
      </c>
      <c r="F9508" s="1" t="str">
        <f t="shared" si="2616"/>
        <v>花都四部-凤凰仓</v>
      </c>
      <c r="G9508" s="1" t="str">
        <f t="shared" si="2632"/>
        <v>卡卡杜个人护理店（抖店）</v>
      </c>
      <c r="H9508" s="1" t="str">
        <f t="shared" si="2617"/>
        <v>正常订单</v>
      </c>
      <c r="I9508" s="1" t="str">
        <f t="shared" si="2618"/>
        <v>已发货</v>
      </c>
      <c r="J9508" s="1" t="str">
        <f t="shared" si="2631"/>
        <v>2</v>
      </c>
      <c r="K9508" s="1">
        <v>1</v>
      </c>
      <c r="L9508" s="1" t="s">
        <v>18</v>
      </c>
      <c r="M9508" s="1" t="str">
        <f>"广东省 汕尾市 海丰县 附城镇"</f>
        <v>广东省 汕尾市 海丰县 附城镇</v>
      </c>
      <c r="N9508" s="1" t="str">
        <f t="shared" si="2633"/>
        <v>凡华云仓-韵达-抖音</v>
      </c>
      <c r="O9508" s="5">
        <v>320156922073018</v>
      </c>
      <c r="P9508" s="6">
        <v>0.33</v>
      </c>
      <c r="Q9508" s="11">
        <v>2.2999999999999998</v>
      </c>
      <c r="R9508" s="11"/>
      <c r="S9508" s="11"/>
      <c r="T9508" s="11"/>
      <c r="U9508" s="11">
        <f t="shared" si="2629"/>
        <v>2.2999999999999998</v>
      </c>
      <c r="W9508">
        <v>2.5</v>
      </c>
      <c r="X9508" s="1" t="s">
        <v>18</v>
      </c>
    </row>
    <row r="9509" spans="1:24" x14ac:dyDescent="0.25">
      <c r="A9509" s="1" t="str">
        <f t="shared" si="2615"/>
        <v>卡卡杜-凤凰仓</v>
      </c>
      <c r="B9509" s="1" t="str">
        <f>"CK2024100518345"</f>
        <v>CK2024100518345</v>
      </c>
      <c r="C9509" s="1" t="str">
        <f>"DD2024100549494"</f>
        <v>DD2024100549494</v>
      </c>
      <c r="D9509" s="1" t="str">
        <f>"CK2024100542679"</f>
        <v>CK2024100542679</v>
      </c>
      <c r="E9509" s="1" t="str">
        <f>"6917845589151284435"</f>
        <v>6917845589151284435</v>
      </c>
      <c r="F9509" s="1" t="str">
        <f t="shared" si="2616"/>
        <v>花都四部-凤凰仓</v>
      </c>
      <c r="G9509" s="1" t="str">
        <f t="shared" si="2632"/>
        <v>卡卡杜个人护理店（抖店）</v>
      </c>
      <c r="H9509" s="1" t="str">
        <f t="shared" si="2617"/>
        <v>正常订单</v>
      </c>
      <c r="I9509" s="1" t="str">
        <f t="shared" si="2618"/>
        <v>已发货</v>
      </c>
      <c r="J9509" s="1" t="str">
        <f t="shared" si="2631"/>
        <v>2</v>
      </c>
      <c r="K9509" s="1">
        <v>1</v>
      </c>
      <c r="L9509" s="1" t="s">
        <v>24</v>
      </c>
      <c r="M9509" s="1" t="str">
        <f>"福建省 南平市 浦城县 南浦街道"</f>
        <v>福建省 南平市 浦城县 南浦街道</v>
      </c>
      <c r="N9509" s="1" t="str">
        <f t="shared" si="2633"/>
        <v>凡华云仓-韵达-抖音</v>
      </c>
      <c r="O9509" s="5">
        <v>320156922071802</v>
      </c>
      <c r="P9509" s="6">
        <v>0.33</v>
      </c>
      <c r="Q9509" s="11">
        <v>2.2999999999999998</v>
      </c>
      <c r="R9509" s="11"/>
      <c r="S9509" s="11"/>
      <c r="T9509" s="11"/>
      <c r="U9509" s="11">
        <f t="shared" si="2629"/>
        <v>2.2999999999999998</v>
      </c>
      <c r="W9509">
        <v>2.5</v>
      </c>
      <c r="X9509" s="1" t="s">
        <v>24</v>
      </c>
    </row>
    <row r="9510" spans="1:24" x14ac:dyDescent="0.25">
      <c r="A9510" s="1" t="str">
        <f t="shared" si="2615"/>
        <v>卡卡杜-凤凰仓</v>
      </c>
      <c r="B9510" s="1" t="str">
        <f>"CK2024100518346"</f>
        <v>CK2024100518346</v>
      </c>
      <c r="C9510" s="1" t="str">
        <f>"DD2024100549493"</f>
        <v>DD2024100549493</v>
      </c>
      <c r="D9510" s="1" t="str">
        <f>"CK2024100542678"</f>
        <v>CK2024100542678</v>
      </c>
      <c r="E9510" s="1" t="str">
        <f>"6917838736506191049"</f>
        <v>6917838736506191049</v>
      </c>
      <c r="F9510" s="1" t="str">
        <f t="shared" si="2616"/>
        <v>花都四部-凤凰仓</v>
      </c>
      <c r="G9510" s="1" t="str">
        <f t="shared" si="2632"/>
        <v>卡卡杜个人护理店（抖店）</v>
      </c>
      <c r="H9510" s="1" t="str">
        <f t="shared" si="2617"/>
        <v>正常订单</v>
      </c>
      <c r="I9510" s="1" t="str">
        <f t="shared" si="2618"/>
        <v>已发货</v>
      </c>
      <c r="J9510" s="1" t="str">
        <f t="shared" si="2631"/>
        <v>2</v>
      </c>
      <c r="K9510" s="1">
        <v>1</v>
      </c>
      <c r="L9510" s="1" t="s">
        <v>13</v>
      </c>
      <c r="M9510" s="1" t="str">
        <f>"江苏省 盐城市 盐都区 盐龙街道"</f>
        <v>江苏省 盐城市 盐都区 盐龙街道</v>
      </c>
      <c r="N9510" s="1" t="str">
        <f t="shared" si="2633"/>
        <v>凡华云仓-韵达-抖音</v>
      </c>
      <c r="O9510" s="5">
        <v>320156922071799</v>
      </c>
      <c r="P9510" s="6">
        <v>0.33</v>
      </c>
      <c r="Q9510" s="11">
        <v>2.2999999999999998</v>
      </c>
      <c r="R9510" s="11"/>
      <c r="S9510" s="11"/>
      <c r="T9510" s="11"/>
      <c r="U9510" s="11">
        <f t="shared" si="2629"/>
        <v>2.2999999999999998</v>
      </c>
      <c r="W9510">
        <v>2.5</v>
      </c>
      <c r="X9510" s="1" t="s">
        <v>13</v>
      </c>
    </row>
    <row r="9511" spans="1:24" x14ac:dyDescent="0.25">
      <c r="A9511" s="1" t="str">
        <f t="shared" si="2615"/>
        <v>卡卡杜-凤凰仓</v>
      </c>
      <c r="B9511" s="1" t="str">
        <f>"CK2024100518347"</f>
        <v>CK2024100518347</v>
      </c>
      <c r="C9511" s="1" t="str">
        <f>"DD2024100549495"</f>
        <v>DD2024100549495</v>
      </c>
      <c r="D9511" s="1" t="str">
        <f>"CK2024100542677"</f>
        <v>CK2024100542677</v>
      </c>
      <c r="E9511" s="1" t="str">
        <f>"6917836126058872031"</f>
        <v>6917836126058872031</v>
      </c>
      <c r="F9511" s="1" t="str">
        <f t="shared" si="2616"/>
        <v>花都四部-凤凰仓</v>
      </c>
      <c r="G9511" s="1" t="str">
        <f t="shared" si="2632"/>
        <v>卡卡杜个人护理店（抖店）</v>
      </c>
      <c r="H9511" s="1" t="str">
        <f t="shared" si="2617"/>
        <v>正常订单</v>
      </c>
      <c r="I9511" s="1" t="str">
        <f t="shared" si="2618"/>
        <v>已发货</v>
      </c>
      <c r="J9511" s="1" t="str">
        <f t="shared" si="2631"/>
        <v>2</v>
      </c>
      <c r="K9511" s="1">
        <v>1</v>
      </c>
      <c r="L9511" s="1" t="s">
        <v>94</v>
      </c>
      <c r="M9511" s="1" t="str">
        <f>"湖南省 湘潭市 岳塘区 板塘街道"</f>
        <v>湖南省 湘潭市 岳塘区 板塘街道</v>
      </c>
      <c r="N9511" s="1" t="str">
        <f t="shared" si="2633"/>
        <v>凡华云仓-韵达-抖音</v>
      </c>
      <c r="O9511" s="5">
        <v>320156922071698</v>
      </c>
      <c r="P9511" s="6">
        <v>0.33</v>
      </c>
      <c r="Q9511" s="11">
        <v>2.2999999999999998</v>
      </c>
      <c r="R9511" s="11"/>
      <c r="S9511" s="11"/>
      <c r="T9511" s="11"/>
      <c r="U9511" s="11">
        <f t="shared" si="2629"/>
        <v>2.2999999999999998</v>
      </c>
      <c r="W9511">
        <v>2.5</v>
      </c>
      <c r="X9511" s="1" t="s">
        <v>94</v>
      </c>
    </row>
    <row r="9512" spans="1:24" x14ac:dyDescent="0.25">
      <c r="A9512" s="1" t="str">
        <f t="shared" si="2615"/>
        <v>卡卡杜-凤凰仓</v>
      </c>
      <c r="B9512" s="1" t="str">
        <f>"CK2024100518348"</f>
        <v>CK2024100518348</v>
      </c>
      <c r="C9512" s="1" t="str">
        <f>"DD2024100549496"</f>
        <v>DD2024100549496</v>
      </c>
      <c r="D9512" s="1" t="str">
        <f>"CK2024100542676"</f>
        <v>CK2024100542676</v>
      </c>
      <c r="E9512" s="1" t="str">
        <f>"6917845771698995174"</f>
        <v>6917845771698995174</v>
      </c>
      <c r="F9512" s="1" t="str">
        <f t="shared" si="2616"/>
        <v>花都四部-凤凰仓</v>
      </c>
      <c r="G9512" s="1" t="str">
        <f t="shared" si="2632"/>
        <v>卡卡杜个人护理店（抖店）</v>
      </c>
      <c r="H9512" s="1" t="str">
        <f t="shared" si="2617"/>
        <v>正常订单</v>
      </c>
      <c r="I9512" s="1" t="str">
        <f t="shared" si="2618"/>
        <v>已发货</v>
      </c>
      <c r="J9512" s="1" t="str">
        <f t="shared" si="2631"/>
        <v>2</v>
      </c>
      <c r="K9512" s="1">
        <v>1</v>
      </c>
      <c r="L9512" s="1" t="s">
        <v>94</v>
      </c>
      <c r="M9512" s="1" t="str">
        <f>"湖南省 邵阳市 洞口县 "</f>
        <v xml:space="preserve">湖南省 邵阳市 洞口县 </v>
      </c>
      <c r="N9512" s="1" t="str">
        <f t="shared" si="2633"/>
        <v>凡华云仓-韵达-抖音</v>
      </c>
      <c r="O9512" s="5">
        <v>320156922071599</v>
      </c>
      <c r="P9512" s="6">
        <v>0.33</v>
      </c>
      <c r="Q9512" s="11">
        <v>2.2999999999999998</v>
      </c>
      <c r="R9512" s="11"/>
      <c r="S9512" s="11"/>
      <c r="T9512" s="11"/>
      <c r="U9512" s="11">
        <f t="shared" si="2629"/>
        <v>2.2999999999999998</v>
      </c>
      <c r="W9512">
        <v>2.5</v>
      </c>
      <c r="X9512" s="1" t="s">
        <v>94</v>
      </c>
    </row>
    <row r="9513" spans="1:24" x14ac:dyDescent="0.25">
      <c r="A9513" s="1" t="str">
        <f t="shared" si="2615"/>
        <v>卡卡杜-凤凰仓</v>
      </c>
      <c r="B9513" s="1" t="str">
        <f>"CK2024100518349"</f>
        <v>CK2024100518349</v>
      </c>
      <c r="C9513" s="1" t="str">
        <f>"DD2024100549497"</f>
        <v>DD2024100549497</v>
      </c>
      <c r="D9513" s="1" t="str">
        <f>"CK2024100542675"</f>
        <v>CK2024100542675</v>
      </c>
      <c r="E9513" s="1" t="str">
        <f>"6917836629730295236"</f>
        <v>6917836629730295236</v>
      </c>
      <c r="F9513" s="1" t="str">
        <f t="shared" si="2616"/>
        <v>花都四部-凤凰仓</v>
      </c>
      <c r="G9513" s="1" t="str">
        <f t="shared" si="2632"/>
        <v>卡卡杜个人护理店（抖店）</v>
      </c>
      <c r="H9513" s="1" t="str">
        <f t="shared" si="2617"/>
        <v>正常订单</v>
      </c>
      <c r="I9513" s="1" t="str">
        <f t="shared" si="2618"/>
        <v>已发货</v>
      </c>
      <c r="J9513" s="1" t="str">
        <f t="shared" si="2631"/>
        <v>2</v>
      </c>
      <c r="K9513" s="1">
        <v>1</v>
      </c>
      <c r="L9513" s="1" t="s">
        <v>80</v>
      </c>
      <c r="M9513" s="1" t="str">
        <f>"河南省 驻马店市 驿城区 东风路街道"</f>
        <v>河南省 驻马店市 驿城区 东风路街道</v>
      </c>
      <c r="N9513" s="1" t="str">
        <f t="shared" si="2633"/>
        <v>凡华云仓-韵达-抖音</v>
      </c>
      <c r="O9513" s="5">
        <v>320156922071402</v>
      </c>
      <c r="P9513" s="6">
        <v>0.33</v>
      </c>
      <c r="Q9513" s="11">
        <v>2.2999999999999998</v>
      </c>
      <c r="R9513" s="11"/>
      <c r="S9513" s="11"/>
      <c r="T9513" s="11"/>
      <c r="U9513" s="11">
        <f t="shared" si="2629"/>
        <v>2.2999999999999998</v>
      </c>
      <c r="W9513">
        <v>2.5</v>
      </c>
      <c r="X9513" s="1" t="s">
        <v>80</v>
      </c>
    </row>
    <row r="9514" spans="1:24" x14ac:dyDescent="0.25">
      <c r="A9514" s="1" t="str">
        <f t="shared" si="2615"/>
        <v>卡卡杜-凤凰仓</v>
      </c>
      <c r="B9514" s="1" t="str">
        <f>"CK2024100518350"</f>
        <v>CK2024100518350</v>
      </c>
      <c r="C9514" s="1" t="str">
        <f>"DD2024100549499"</f>
        <v>DD2024100549499</v>
      </c>
      <c r="D9514" s="1" t="str">
        <f>"CK2024100542674"</f>
        <v>CK2024100542674</v>
      </c>
      <c r="E9514" s="1" t="str">
        <f>"6917845734641008566"</f>
        <v>6917845734641008566</v>
      </c>
      <c r="F9514" s="1" t="str">
        <f t="shared" si="2616"/>
        <v>花都四部-凤凰仓</v>
      </c>
      <c r="G9514" s="1" t="str">
        <f t="shared" si="2632"/>
        <v>卡卡杜个人护理店（抖店）</v>
      </c>
      <c r="H9514" s="1" t="str">
        <f t="shared" si="2617"/>
        <v>正常订单</v>
      </c>
      <c r="I9514" s="1" t="str">
        <f t="shared" si="2618"/>
        <v>已发货</v>
      </c>
      <c r="J9514" s="1" t="str">
        <f t="shared" si="2631"/>
        <v>2</v>
      </c>
      <c r="K9514" s="1">
        <v>1</v>
      </c>
      <c r="L9514" s="1" t="s">
        <v>16</v>
      </c>
      <c r="M9514" s="1" t="str">
        <f>"河北省 保定市 阜平县 阜平镇"</f>
        <v>河北省 保定市 阜平县 阜平镇</v>
      </c>
      <c r="N9514" s="1" t="str">
        <f t="shared" si="2633"/>
        <v>凡华云仓-韵达-抖音</v>
      </c>
      <c r="O9514" s="5">
        <v>320156922071307</v>
      </c>
      <c r="P9514" s="6">
        <v>0.33</v>
      </c>
      <c r="Q9514" s="11">
        <v>2.2999999999999998</v>
      </c>
      <c r="R9514" s="11"/>
      <c r="S9514" s="11"/>
      <c r="T9514" s="11"/>
      <c r="U9514" s="11">
        <f t="shared" si="2629"/>
        <v>2.2999999999999998</v>
      </c>
      <c r="W9514">
        <v>2.5</v>
      </c>
      <c r="X9514" s="1" t="s">
        <v>16</v>
      </c>
    </row>
    <row r="9515" spans="1:24" x14ac:dyDescent="0.25">
      <c r="A9515" s="1" t="str">
        <f t="shared" ref="A9515:A9578" si="2634">"卡卡杜-凤凰仓"</f>
        <v>卡卡杜-凤凰仓</v>
      </c>
      <c r="B9515" s="1" t="str">
        <f>"CK2024100518351"</f>
        <v>CK2024100518351</v>
      </c>
      <c r="C9515" s="1" t="str">
        <f>"DD2024100549500"</f>
        <v>DD2024100549500</v>
      </c>
      <c r="D9515" s="1" t="str">
        <f>"CK2024100542673"</f>
        <v>CK2024100542673</v>
      </c>
      <c r="E9515" s="1" t="str">
        <f>"6917840846921891424"</f>
        <v>6917840846921891424</v>
      </c>
      <c r="F9515" s="1" t="str">
        <f t="shared" ref="F9515:F9578" si="2635">"花都四部-凤凰仓"</f>
        <v>花都四部-凤凰仓</v>
      </c>
      <c r="G9515" s="1" t="str">
        <f t="shared" si="2632"/>
        <v>卡卡杜个人护理店（抖店）</v>
      </c>
      <c r="H9515" s="1" t="str">
        <f t="shared" ref="H9515:H9578" si="2636">"正常订单"</f>
        <v>正常订单</v>
      </c>
      <c r="I9515" s="1" t="str">
        <f t="shared" ref="I9515:I9578" si="2637">"已发货"</f>
        <v>已发货</v>
      </c>
      <c r="J9515" s="1" t="str">
        <f t="shared" si="2631"/>
        <v>2</v>
      </c>
      <c r="K9515" s="1">
        <v>1</v>
      </c>
      <c r="L9515" s="1" t="s">
        <v>20</v>
      </c>
      <c r="M9515" s="1" t="str">
        <f>"浙江省 金华市 东阳市 白云街道"</f>
        <v>浙江省 金华市 东阳市 白云街道</v>
      </c>
      <c r="N9515" s="1" t="str">
        <f t="shared" si="2633"/>
        <v>凡华云仓-韵达-抖音</v>
      </c>
      <c r="O9515" s="5">
        <v>320156922071214</v>
      </c>
      <c r="P9515" s="6">
        <v>0.33</v>
      </c>
      <c r="Q9515" s="11">
        <v>2.2999999999999998</v>
      </c>
      <c r="R9515" s="11"/>
      <c r="S9515" s="11"/>
      <c r="T9515" s="11"/>
      <c r="U9515" s="11">
        <f t="shared" si="2629"/>
        <v>2.2999999999999998</v>
      </c>
      <c r="W9515">
        <v>2.5</v>
      </c>
      <c r="X9515" s="1" t="s">
        <v>20</v>
      </c>
    </row>
    <row r="9516" spans="1:24" x14ac:dyDescent="0.25">
      <c r="A9516" s="1" t="str">
        <f t="shared" si="2634"/>
        <v>卡卡杜-凤凰仓</v>
      </c>
      <c r="B9516" s="1" t="str">
        <f>"CK2024100518353"</f>
        <v>CK2024100518353</v>
      </c>
      <c r="C9516" s="1" t="str">
        <f>"DD2024100549498"</f>
        <v>DD2024100549498</v>
      </c>
      <c r="D9516" s="1" t="str">
        <f>"CK2024100542672"</f>
        <v>CK2024100542672</v>
      </c>
      <c r="E9516" s="1" t="str">
        <f>"6917836502400204228"</f>
        <v>6917836502400204228</v>
      </c>
      <c r="F9516" s="1" t="str">
        <f t="shared" si="2635"/>
        <v>花都四部-凤凰仓</v>
      </c>
      <c r="G9516" s="1" t="str">
        <f t="shared" si="2632"/>
        <v>卡卡杜个人护理店（抖店）</v>
      </c>
      <c r="H9516" s="1" t="str">
        <f t="shared" si="2636"/>
        <v>正常订单</v>
      </c>
      <c r="I9516" s="1" t="str">
        <f t="shared" si="2637"/>
        <v>已发货</v>
      </c>
      <c r="J9516" s="1" t="str">
        <f t="shared" si="2631"/>
        <v>2</v>
      </c>
      <c r="K9516" s="1">
        <v>1</v>
      </c>
      <c r="L9516" s="1" t="s">
        <v>24</v>
      </c>
      <c r="M9516" s="1" t="str">
        <f>"福建省 漳州市 漳浦县 赤湖镇"</f>
        <v>福建省 漳州市 漳浦县 赤湖镇</v>
      </c>
      <c r="N9516" s="1" t="str">
        <f t="shared" si="2633"/>
        <v>凡华云仓-韵达-抖音</v>
      </c>
      <c r="O9516" s="5">
        <v>320156922071123</v>
      </c>
      <c r="P9516" s="6">
        <v>0.33</v>
      </c>
      <c r="Q9516" s="11">
        <v>2.2999999999999998</v>
      </c>
      <c r="R9516" s="11"/>
      <c r="S9516" s="11"/>
      <c r="T9516" s="11"/>
      <c r="U9516" s="11">
        <f t="shared" si="2629"/>
        <v>2.2999999999999998</v>
      </c>
      <c r="W9516">
        <v>2.5</v>
      </c>
      <c r="X9516" s="1" t="s">
        <v>24</v>
      </c>
    </row>
    <row r="9517" spans="1:24" x14ac:dyDescent="0.25">
      <c r="A9517" s="1" t="str">
        <f t="shared" si="2634"/>
        <v>卡卡杜-凤凰仓</v>
      </c>
      <c r="B9517" s="1" t="str">
        <f>"CK2024100518354"</f>
        <v>CK2024100518354</v>
      </c>
      <c r="C9517" s="1" t="str">
        <f>"DD2024100549501"</f>
        <v>DD2024100549501</v>
      </c>
      <c r="D9517" s="1" t="str">
        <f>"CK2024100542671"</f>
        <v>CK2024100542671</v>
      </c>
      <c r="E9517" s="1" t="str">
        <f>"6917845524467908196"</f>
        <v>6917845524467908196</v>
      </c>
      <c r="F9517" s="1" t="str">
        <f t="shared" si="2635"/>
        <v>花都四部-凤凰仓</v>
      </c>
      <c r="G9517" s="1" t="str">
        <f t="shared" si="2632"/>
        <v>卡卡杜个人护理店（抖店）</v>
      </c>
      <c r="H9517" s="1" t="str">
        <f t="shared" si="2636"/>
        <v>正常订单</v>
      </c>
      <c r="I9517" s="1" t="str">
        <f t="shared" si="2637"/>
        <v>已发货</v>
      </c>
      <c r="J9517" s="1" t="str">
        <f t="shared" si="2631"/>
        <v>2</v>
      </c>
      <c r="K9517" s="1">
        <v>1</v>
      </c>
      <c r="L9517" s="1" t="s">
        <v>13</v>
      </c>
      <c r="M9517" s="1" t="str">
        <f>"江苏省 泰州市 姜堰区 梁徐街道"</f>
        <v>江苏省 泰州市 姜堰区 梁徐街道</v>
      </c>
      <c r="N9517" s="1" t="str">
        <f t="shared" si="2633"/>
        <v>凡华云仓-韵达-抖音</v>
      </c>
      <c r="O9517" s="5">
        <v>320156922071034</v>
      </c>
      <c r="P9517" s="6">
        <v>0.33</v>
      </c>
      <c r="Q9517" s="11">
        <v>2.2999999999999998</v>
      </c>
      <c r="R9517" s="11"/>
      <c r="S9517" s="11"/>
      <c r="T9517" s="11"/>
      <c r="U9517" s="11">
        <f t="shared" si="2629"/>
        <v>2.2999999999999998</v>
      </c>
      <c r="W9517">
        <v>2.5</v>
      </c>
      <c r="X9517" s="1" t="s">
        <v>13</v>
      </c>
    </row>
    <row r="9518" spans="1:24" x14ac:dyDescent="0.25">
      <c r="A9518" s="1" t="str">
        <f t="shared" si="2634"/>
        <v>卡卡杜-凤凰仓</v>
      </c>
      <c r="B9518" s="1" t="str">
        <f>"CK2024100518355"</f>
        <v>CK2024100518355</v>
      </c>
      <c r="C9518" s="1" t="str">
        <f>"DD2024100549502"</f>
        <v>DD2024100549502</v>
      </c>
      <c r="D9518" s="1" t="str">
        <f>"CK2024100542670"</f>
        <v>CK2024100542670</v>
      </c>
      <c r="E9518" s="1" t="str">
        <f>"6917840792032804163"</f>
        <v>6917840792032804163</v>
      </c>
      <c r="F9518" s="1" t="str">
        <f t="shared" si="2635"/>
        <v>花都四部-凤凰仓</v>
      </c>
      <c r="G9518" s="1" t="str">
        <f t="shared" si="2632"/>
        <v>卡卡杜个人护理店（抖店）</v>
      </c>
      <c r="H9518" s="1" t="str">
        <f t="shared" si="2636"/>
        <v>正常订单</v>
      </c>
      <c r="I9518" s="1" t="str">
        <f t="shared" si="2637"/>
        <v>已发货</v>
      </c>
      <c r="J9518" s="1" t="str">
        <f t="shared" si="2631"/>
        <v>2</v>
      </c>
      <c r="K9518" s="1">
        <v>1</v>
      </c>
      <c r="L9518" s="1" t="s">
        <v>60</v>
      </c>
      <c r="M9518" s="1" t="str">
        <f>"云南省 西双版纳傣族自治州 勐腊县 勐腊镇"</f>
        <v>云南省 西双版纳傣族自治州 勐腊县 勐腊镇</v>
      </c>
      <c r="N9518" s="1" t="str">
        <f t="shared" si="2633"/>
        <v>凡华云仓-韵达-抖音</v>
      </c>
      <c r="O9518" s="5">
        <v>320156922070918</v>
      </c>
      <c r="P9518" s="6">
        <v>0.33</v>
      </c>
      <c r="Q9518" s="11">
        <v>2.2999999999999998</v>
      </c>
      <c r="R9518" s="11"/>
      <c r="S9518" s="11"/>
      <c r="T9518" s="11"/>
      <c r="U9518" s="11">
        <f t="shared" si="2629"/>
        <v>2.2999999999999998</v>
      </c>
      <c r="W9518">
        <v>2.5</v>
      </c>
      <c r="X9518" s="1" t="s">
        <v>60</v>
      </c>
    </row>
    <row r="9519" spans="1:24" x14ac:dyDescent="0.25">
      <c r="A9519" s="1" t="str">
        <f t="shared" si="2634"/>
        <v>卡卡杜-凤凰仓</v>
      </c>
      <c r="B9519" s="1" t="str">
        <f>"CK2024100518356"</f>
        <v>CK2024100518356</v>
      </c>
      <c r="C9519" s="1" t="str">
        <f>"DD2024100549503"</f>
        <v>DD2024100549503</v>
      </c>
      <c r="D9519" s="1" t="str">
        <f>"CK2024100542669"</f>
        <v>CK2024100542669</v>
      </c>
      <c r="E9519" s="1" t="str">
        <f>"6917843166584143086"</f>
        <v>6917843166584143086</v>
      </c>
      <c r="F9519" s="1" t="str">
        <f t="shared" si="2635"/>
        <v>花都四部-凤凰仓</v>
      </c>
      <c r="G9519" s="1" t="str">
        <f t="shared" si="2632"/>
        <v>卡卡杜个人护理店（抖店）</v>
      </c>
      <c r="H9519" s="1" t="str">
        <f t="shared" si="2636"/>
        <v>正常订单</v>
      </c>
      <c r="I9519" s="1" t="str">
        <f t="shared" si="2637"/>
        <v>已发货</v>
      </c>
      <c r="J9519" s="1" t="str">
        <f t="shared" si="2631"/>
        <v>2</v>
      </c>
      <c r="K9519" s="1">
        <v>1</v>
      </c>
      <c r="L9519" s="1" t="s">
        <v>109</v>
      </c>
      <c r="M9519" s="1" t="str">
        <f>"山西省 运城市 芮城县 风陵渡镇"</f>
        <v>山西省 运城市 芮城县 风陵渡镇</v>
      </c>
      <c r="N9519" s="1" t="str">
        <f t="shared" si="2633"/>
        <v>凡华云仓-韵达-抖音</v>
      </c>
      <c r="O9519" s="5">
        <v>320156909768555</v>
      </c>
      <c r="P9519" s="6">
        <v>0.33</v>
      </c>
      <c r="Q9519" s="11">
        <v>2.2999999999999998</v>
      </c>
      <c r="R9519" s="11"/>
      <c r="S9519" s="11"/>
      <c r="T9519" s="11"/>
      <c r="U9519" s="11">
        <f t="shared" si="2629"/>
        <v>2.2999999999999998</v>
      </c>
      <c r="W9519">
        <v>2.5</v>
      </c>
      <c r="X9519" s="1" t="s">
        <v>109</v>
      </c>
    </row>
    <row r="9520" spans="1:24" x14ac:dyDescent="0.25">
      <c r="A9520" s="1" t="str">
        <f t="shared" si="2634"/>
        <v>卡卡杜-凤凰仓</v>
      </c>
      <c r="B9520" s="1" t="str">
        <f>"CK2024100518357"</f>
        <v>CK2024100518357</v>
      </c>
      <c r="C9520" s="1" t="str">
        <f>"DD2024100549505"</f>
        <v>DD2024100549505</v>
      </c>
      <c r="D9520" s="1" t="str">
        <f>"CK2024100542668"</f>
        <v>CK2024100542668</v>
      </c>
      <c r="E9520" s="1" t="str">
        <f>"6917841050504625388"</f>
        <v>6917841050504625388</v>
      </c>
      <c r="F9520" s="1" t="str">
        <f t="shared" si="2635"/>
        <v>花都四部-凤凰仓</v>
      </c>
      <c r="G9520" s="1" t="str">
        <f t="shared" si="2632"/>
        <v>卡卡杜个人护理店（抖店）</v>
      </c>
      <c r="H9520" s="1" t="str">
        <f t="shared" si="2636"/>
        <v>正常订单</v>
      </c>
      <c r="I9520" s="1" t="str">
        <f t="shared" si="2637"/>
        <v>已发货</v>
      </c>
      <c r="J9520" s="1" t="str">
        <f t="shared" si="2631"/>
        <v>2</v>
      </c>
      <c r="K9520" s="1">
        <v>1</v>
      </c>
      <c r="L9520" s="1" t="s">
        <v>13</v>
      </c>
      <c r="M9520" s="1" t="str">
        <f>"江苏省 泰州市 海陵区 九龙镇"</f>
        <v>江苏省 泰州市 海陵区 九龙镇</v>
      </c>
      <c r="N9520" s="1" t="str">
        <f t="shared" si="2633"/>
        <v>凡华云仓-韵达-抖音</v>
      </c>
      <c r="O9520" s="5">
        <v>320156909768458</v>
      </c>
      <c r="P9520" s="6">
        <v>0.33</v>
      </c>
      <c r="Q9520" s="11">
        <v>2.2999999999999998</v>
      </c>
      <c r="R9520" s="11"/>
      <c r="S9520" s="11"/>
      <c r="T9520" s="11"/>
      <c r="U9520" s="11">
        <f t="shared" si="2629"/>
        <v>2.2999999999999998</v>
      </c>
      <c r="W9520">
        <v>2.5</v>
      </c>
      <c r="X9520" s="1" t="s">
        <v>13</v>
      </c>
    </row>
    <row r="9521" spans="1:24" x14ac:dyDescent="0.25">
      <c r="A9521" s="1" t="str">
        <f t="shared" si="2634"/>
        <v>卡卡杜-凤凰仓</v>
      </c>
      <c r="B9521" s="1" t="str">
        <f>"CK2024100518358"</f>
        <v>CK2024100518358</v>
      </c>
      <c r="C9521" s="1" t="str">
        <f>"DD2024100549504"</f>
        <v>DD2024100549504</v>
      </c>
      <c r="D9521" s="1" t="str">
        <f>"CK2024100542667"</f>
        <v>CK2024100542667</v>
      </c>
      <c r="E9521" s="1" t="str">
        <f>"6917838911070043236"</f>
        <v>6917838911070043236</v>
      </c>
      <c r="F9521" s="1" t="str">
        <f t="shared" si="2635"/>
        <v>花都四部-凤凰仓</v>
      </c>
      <c r="G9521" s="1" t="str">
        <f t="shared" si="2632"/>
        <v>卡卡杜个人护理店（抖店）</v>
      </c>
      <c r="H9521" s="1" t="str">
        <f t="shared" si="2636"/>
        <v>正常订单</v>
      </c>
      <c r="I9521" s="1" t="str">
        <f t="shared" si="2637"/>
        <v>已发货</v>
      </c>
      <c r="J9521" s="1" t="str">
        <f t="shared" si="2631"/>
        <v>2</v>
      </c>
      <c r="K9521" s="1">
        <v>1</v>
      </c>
      <c r="L9521" s="1" t="s">
        <v>41</v>
      </c>
      <c r="M9521" s="1" t="str">
        <f>"湖北省 武汉市 江汉区 民意街街道"</f>
        <v>湖北省 武汉市 江汉区 民意街街道</v>
      </c>
      <c r="N9521" s="1" t="str">
        <f t="shared" si="2633"/>
        <v>凡华云仓-韵达-抖音</v>
      </c>
      <c r="O9521" s="5">
        <v>320156909768363</v>
      </c>
      <c r="P9521" s="6">
        <v>0.33</v>
      </c>
      <c r="Q9521" s="11">
        <v>2.2999999999999998</v>
      </c>
      <c r="R9521" s="11"/>
      <c r="S9521" s="11"/>
      <c r="T9521" s="11"/>
      <c r="U9521" s="11">
        <f t="shared" si="2629"/>
        <v>2.2999999999999998</v>
      </c>
      <c r="W9521">
        <v>2.5</v>
      </c>
      <c r="X9521" s="1" t="s">
        <v>41</v>
      </c>
    </row>
    <row r="9522" spans="1:24" x14ac:dyDescent="0.25">
      <c r="A9522" s="1" t="str">
        <f t="shared" si="2634"/>
        <v>卡卡杜-凤凰仓</v>
      </c>
      <c r="B9522" s="1" t="str">
        <f>"CK2024100518359"</f>
        <v>CK2024100518359</v>
      </c>
      <c r="C9522" s="1" t="str">
        <f>"DD2024100549506"</f>
        <v>DD2024100549506</v>
      </c>
      <c r="D9522" s="1" t="str">
        <f>"CK2024100542666"</f>
        <v>CK2024100542666</v>
      </c>
      <c r="E9522" s="1" t="str">
        <f>"6917838860902694035"</f>
        <v>6917838860902694035</v>
      </c>
      <c r="F9522" s="1" t="str">
        <f t="shared" si="2635"/>
        <v>花都四部-凤凰仓</v>
      </c>
      <c r="G9522" s="1" t="str">
        <f t="shared" si="2632"/>
        <v>卡卡杜个人护理店（抖店）</v>
      </c>
      <c r="H9522" s="1" t="str">
        <f t="shared" si="2636"/>
        <v>正常订单</v>
      </c>
      <c r="I9522" s="1" t="str">
        <f t="shared" si="2637"/>
        <v>已发货</v>
      </c>
      <c r="J9522" s="1" t="str">
        <f t="shared" si="2631"/>
        <v>2</v>
      </c>
      <c r="K9522" s="1">
        <v>1</v>
      </c>
      <c r="L9522" s="1" t="s">
        <v>20</v>
      </c>
      <c r="M9522" s="1" t="str">
        <f>"浙江省 绍兴市 上虞区 百官街道"</f>
        <v>浙江省 绍兴市 上虞区 百官街道</v>
      </c>
      <c r="N9522" s="1" t="str">
        <f t="shared" si="2633"/>
        <v>凡华云仓-韵达-抖音</v>
      </c>
      <c r="O9522" s="5">
        <v>320156909768270</v>
      </c>
      <c r="P9522" s="6">
        <v>0.33</v>
      </c>
      <c r="Q9522" s="11">
        <v>2.2999999999999998</v>
      </c>
      <c r="R9522" s="11"/>
      <c r="S9522" s="11"/>
      <c r="T9522" s="11"/>
      <c r="U9522" s="11">
        <f t="shared" si="2629"/>
        <v>2.2999999999999998</v>
      </c>
      <c r="W9522">
        <v>2.5</v>
      </c>
      <c r="X9522" s="1" t="s">
        <v>20</v>
      </c>
    </row>
    <row r="9523" spans="1:24" x14ac:dyDescent="0.25">
      <c r="A9523" s="1" t="str">
        <f t="shared" si="2634"/>
        <v>卡卡杜-凤凰仓</v>
      </c>
      <c r="B9523" s="1" t="str">
        <f>"CK2024100518360"</f>
        <v>CK2024100518360</v>
      </c>
      <c r="C9523" s="1" t="str">
        <f>"DD2024100549507"</f>
        <v>DD2024100549507</v>
      </c>
      <c r="D9523" s="1" t="str">
        <f>"CK2024100542665"</f>
        <v>CK2024100542665</v>
      </c>
      <c r="E9523" s="1" t="str">
        <f>"6917836088438390734"</f>
        <v>6917836088438390734</v>
      </c>
      <c r="F9523" s="1" t="str">
        <f t="shared" si="2635"/>
        <v>花都四部-凤凰仓</v>
      </c>
      <c r="G9523" s="1" t="str">
        <f t="shared" si="2632"/>
        <v>卡卡杜个人护理店（抖店）</v>
      </c>
      <c r="H9523" s="1" t="str">
        <f t="shared" si="2636"/>
        <v>正常订单</v>
      </c>
      <c r="I9523" s="1" t="str">
        <f t="shared" si="2637"/>
        <v>已发货</v>
      </c>
      <c r="J9523" s="1" t="str">
        <f t="shared" si="2631"/>
        <v>2</v>
      </c>
      <c r="K9523" s="1">
        <v>1</v>
      </c>
      <c r="L9523" s="1" t="s">
        <v>18</v>
      </c>
      <c r="M9523" s="1" t="str">
        <f>"广东省 东莞市 东莞市 黄江镇"</f>
        <v>广东省 东莞市 东莞市 黄江镇</v>
      </c>
      <c r="N9523" s="1" t="str">
        <f t="shared" si="2633"/>
        <v>凡华云仓-韵达-抖音</v>
      </c>
      <c r="O9523" s="5">
        <v>320156909768179</v>
      </c>
      <c r="P9523" s="6">
        <v>0.33</v>
      </c>
      <c r="Q9523" s="11">
        <v>2.2999999999999998</v>
      </c>
      <c r="R9523" s="11"/>
      <c r="S9523" s="11"/>
      <c r="T9523" s="11"/>
      <c r="U9523" s="11">
        <f t="shared" si="2629"/>
        <v>2.2999999999999998</v>
      </c>
      <c r="W9523">
        <v>2.5</v>
      </c>
      <c r="X9523" s="1" t="s">
        <v>18</v>
      </c>
    </row>
    <row r="9524" spans="1:24" x14ac:dyDescent="0.25">
      <c r="A9524" s="1" t="str">
        <f t="shared" si="2634"/>
        <v>卡卡杜-凤凰仓</v>
      </c>
      <c r="B9524" s="1" t="str">
        <f>"CK2024100518361"</f>
        <v>CK2024100518361</v>
      </c>
      <c r="C9524" s="1" t="str">
        <f>"DD2024100549508"</f>
        <v>DD2024100549508</v>
      </c>
      <c r="D9524" s="1" t="str">
        <f>"CK2024100542664"</f>
        <v>CK2024100542664</v>
      </c>
      <c r="E9524" s="1" t="str">
        <f>"6917836436056735383"</f>
        <v>6917836436056735383</v>
      </c>
      <c r="F9524" s="1" t="str">
        <f t="shared" si="2635"/>
        <v>花都四部-凤凰仓</v>
      </c>
      <c r="G9524" s="1" t="str">
        <f t="shared" si="2632"/>
        <v>卡卡杜个人护理店（抖店）</v>
      </c>
      <c r="H9524" s="1" t="str">
        <f t="shared" si="2636"/>
        <v>正常订单</v>
      </c>
      <c r="I9524" s="1" t="str">
        <f t="shared" si="2637"/>
        <v>已发货</v>
      </c>
      <c r="J9524" s="1" t="str">
        <f t="shared" si="2631"/>
        <v>2</v>
      </c>
      <c r="K9524" s="1">
        <v>1</v>
      </c>
      <c r="L9524" s="1" t="s">
        <v>60</v>
      </c>
      <c r="M9524" s="1" t="str">
        <f>"云南省 保山市 腾冲市 团田乡"</f>
        <v>云南省 保山市 腾冲市 团田乡</v>
      </c>
      <c r="N9524" s="1" t="str">
        <f t="shared" si="2633"/>
        <v>凡华云仓-韵达-抖音</v>
      </c>
      <c r="O9524" s="5">
        <v>320156909768090</v>
      </c>
      <c r="P9524" s="6">
        <v>0.33</v>
      </c>
      <c r="Q9524" s="11">
        <v>2.2999999999999998</v>
      </c>
      <c r="R9524" s="11"/>
      <c r="S9524" s="11"/>
      <c r="T9524" s="11"/>
      <c r="U9524" s="11">
        <f t="shared" si="2629"/>
        <v>2.2999999999999998</v>
      </c>
      <c r="W9524">
        <v>2.5</v>
      </c>
      <c r="X9524" s="1" t="s">
        <v>60</v>
      </c>
    </row>
    <row r="9525" spans="1:24" x14ac:dyDescent="0.25">
      <c r="A9525" s="1" t="str">
        <f t="shared" si="2634"/>
        <v>卡卡杜-凤凰仓</v>
      </c>
      <c r="B9525" s="1" t="str">
        <f>"CK2024100518362"</f>
        <v>CK2024100518362</v>
      </c>
      <c r="C9525" s="1" t="str">
        <f>"DD2024100549509"</f>
        <v>DD2024100549509</v>
      </c>
      <c r="D9525" s="1" t="str">
        <f>"CK2024100542663"</f>
        <v>CK2024100542663</v>
      </c>
      <c r="E9525" s="1" t="str">
        <f>"6917845696760741610"</f>
        <v>6917845696760741610</v>
      </c>
      <c r="F9525" s="1" t="str">
        <f t="shared" si="2635"/>
        <v>花都四部-凤凰仓</v>
      </c>
      <c r="G9525" s="1" t="str">
        <f t="shared" si="2632"/>
        <v>卡卡杜个人护理店（抖店）</v>
      </c>
      <c r="H9525" s="1" t="str">
        <f t="shared" si="2636"/>
        <v>正常订单</v>
      </c>
      <c r="I9525" s="1" t="str">
        <f t="shared" si="2637"/>
        <v>已发货</v>
      </c>
      <c r="J9525" s="1" t="str">
        <f t="shared" si="2631"/>
        <v>2</v>
      </c>
      <c r="K9525" s="1">
        <v>1</v>
      </c>
      <c r="L9525" s="1" t="s">
        <v>96</v>
      </c>
      <c r="M9525" s="1" t="str">
        <f>"广西壮族自治区 南宁市 西乡塘区 心圩街道"</f>
        <v>广西壮族自治区 南宁市 西乡塘区 心圩街道</v>
      </c>
      <c r="N9525" s="1" t="str">
        <f t="shared" si="2633"/>
        <v>凡华云仓-韵达-抖音</v>
      </c>
      <c r="O9525" s="5">
        <v>320156909767960</v>
      </c>
      <c r="P9525" s="6">
        <v>0.33</v>
      </c>
      <c r="Q9525" s="11">
        <v>2.2999999999999998</v>
      </c>
      <c r="R9525" s="11"/>
      <c r="S9525" s="11"/>
      <c r="T9525" s="11"/>
      <c r="U9525" s="11">
        <f t="shared" si="2629"/>
        <v>2.2999999999999998</v>
      </c>
      <c r="W9525">
        <v>2.5</v>
      </c>
      <c r="X9525" s="1" t="s">
        <v>96</v>
      </c>
    </row>
    <row r="9526" spans="1:24" x14ac:dyDescent="0.25">
      <c r="A9526" s="1" t="str">
        <f t="shared" si="2634"/>
        <v>卡卡杜-凤凰仓</v>
      </c>
      <c r="B9526" s="1" t="str">
        <f>"CK2024100518363"</f>
        <v>CK2024100518363</v>
      </c>
      <c r="C9526" s="1" t="str">
        <f>"DD2024100549510"</f>
        <v>DD2024100549510</v>
      </c>
      <c r="D9526" s="1" t="str">
        <f>"CK2024100542662"</f>
        <v>CK2024100542662</v>
      </c>
      <c r="E9526" s="1" t="str">
        <f>"6917845552562929287"</f>
        <v>6917845552562929287</v>
      </c>
      <c r="F9526" s="1" t="str">
        <f t="shared" si="2635"/>
        <v>花都四部-凤凰仓</v>
      </c>
      <c r="G9526" s="1" t="str">
        <f t="shared" si="2632"/>
        <v>卡卡杜个人护理店（抖店）</v>
      </c>
      <c r="H9526" s="1" t="str">
        <f t="shared" si="2636"/>
        <v>正常订单</v>
      </c>
      <c r="I9526" s="1" t="str">
        <f t="shared" si="2637"/>
        <v>已发货</v>
      </c>
      <c r="J9526" s="1" t="str">
        <f t="shared" si="2631"/>
        <v>2</v>
      </c>
      <c r="K9526" s="1">
        <v>1</v>
      </c>
      <c r="L9526" s="1" t="s">
        <v>18</v>
      </c>
      <c r="M9526" s="1" t="str">
        <f>"广东省 广州市 海珠区 昌岗街道"</f>
        <v>广东省 广州市 海珠区 昌岗街道</v>
      </c>
      <c r="N9526" s="1" t="str">
        <f t="shared" si="2633"/>
        <v>凡华云仓-韵达-抖音</v>
      </c>
      <c r="O9526" s="5">
        <v>320156909767855</v>
      </c>
      <c r="P9526" s="6">
        <v>0.33</v>
      </c>
      <c r="Q9526" s="11">
        <v>2.2999999999999998</v>
      </c>
      <c r="R9526" s="11"/>
      <c r="S9526" s="11"/>
      <c r="T9526" s="11"/>
      <c r="U9526" s="11">
        <f t="shared" si="2629"/>
        <v>2.2999999999999998</v>
      </c>
      <c r="W9526">
        <v>2.5</v>
      </c>
      <c r="X9526" s="1" t="s">
        <v>18</v>
      </c>
    </row>
    <row r="9527" spans="1:24" x14ac:dyDescent="0.25">
      <c r="A9527" s="1" t="str">
        <f t="shared" si="2634"/>
        <v>卡卡杜-凤凰仓</v>
      </c>
      <c r="B9527" s="1" t="str">
        <f>"CK2024100518365"</f>
        <v>CK2024100518365</v>
      </c>
      <c r="C9527" s="1" t="str">
        <f>"DD2024100549513"</f>
        <v>DD2024100549513</v>
      </c>
      <c r="D9527" s="1" t="str">
        <f>"CK2024100542661"</f>
        <v>CK2024100542661</v>
      </c>
      <c r="E9527" s="1" t="str">
        <f>"6917838668137594244"</f>
        <v>6917838668137594244</v>
      </c>
      <c r="F9527" s="1" t="str">
        <f t="shared" si="2635"/>
        <v>花都四部-凤凰仓</v>
      </c>
      <c r="G9527" s="1" t="str">
        <f t="shared" si="2632"/>
        <v>卡卡杜个人护理店（抖店）</v>
      </c>
      <c r="H9527" s="1" t="str">
        <f t="shared" si="2636"/>
        <v>正常订单</v>
      </c>
      <c r="I9527" s="1" t="str">
        <f t="shared" si="2637"/>
        <v>已发货</v>
      </c>
      <c r="J9527" s="1" t="str">
        <f t="shared" si="2631"/>
        <v>2</v>
      </c>
      <c r="K9527" s="1">
        <v>1</v>
      </c>
      <c r="L9527" s="1" t="s">
        <v>13</v>
      </c>
      <c r="M9527" s="1" t="str">
        <f>"江苏省 泰州市 泰兴市 黄桥镇"</f>
        <v>江苏省 泰州市 泰兴市 黄桥镇</v>
      </c>
      <c r="N9527" s="1" t="str">
        <f t="shared" si="2633"/>
        <v>凡华云仓-韵达-抖音</v>
      </c>
      <c r="O9527" s="5">
        <v>320156909767752</v>
      </c>
      <c r="P9527" s="6">
        <v>0.33</v>
      </c>
      <c r="Q9527" s="11">
        <v>2.2999999999999998</v>
      </c>
      <c r="R9527" s="11"/>
      <c r="S9527" s="11"/>
      <c r="T9527" s="11"/>
      <c r="U9527" s="11">
        <f t="shared" si="2629"/>
        <v>2.2999999999999998</v>
      </c>
      <c r="W9527">
        <v>2.5</v>
      </c>
      <c r="X9527" s="1" t="s">
        <v>13</v>
      </c>
    </row>
    <row r="9528" spans="1:24" x14ac:dyDescent="0.25">
      <c r="A9528" s="1" t="str">
        <f t="shared" si="2634"/>
        <v>卡卡杜-凤凰仓</v>
      </c>
      <c r="B9528" s="1" t="str">
        <f>"CK2024100518364"</f>
        <v>CK2024100518364</v>
      </c>
      <c r="C9528" s="1" t="str">
        <f>"DD2024100549511"</f>
        <v>DD2024100549511</v>
      </c>
      <c r="D9528" s="1" t="str">
        <f>"CK2024100542660"</f>
        <v>CK2024100542660</v>
      </c>
      <c r="E9528" s="1" t="str">
        <f>"6917845492646706752"</f>
        <v>6917845492646706752</v>
      </c>
      <c r="F9528" s="1" t="str">
        <f t="shared" si="2635"/>
        <v>花都四部-凤凰仓</v>
      </c>
      <c r="G9528" s="1" t="str">
        <f t="shared" si="2632"/>
        <v>卡卡杜个人护理店（抖店）</v>
      </c>
      <c r="H9528" s="1" t="str">
        <f t="shared" si="2636"/>
        <v>正常订单</v>
      </c>
      <c r="I9528" s="1" t="str">
        <f t="shared" si="2637"/>
        <v>已发货</v>
      </c>
      <c r="J9528" s="1" t="str">
        <f t="shared" si="2631"/>
        <v>2</v>
      </c>
      <c r="K9528" s="1">
        <v>1</v>
      </c>
      <c r="L9528" s="1" t="s">
        <v>13</v>
      </c>
      <c r="M9528" s="1" t="str">
        <f>"江苏省 无锡市 新吴区 硕放街道"</f>
        <v>江苏省 无锡市 新吴区 硕放街道</v>
      </c>
      <c r="N9528" s="1" t="str">
        <f t="shared" si="2633"/>
        <v>凡华云仓-韵达-抖音</v>
      </c>
      <c r="O9528" s="5">
        <v>320156909767651</v>
      </c>
      <c r="P9528" s="6">
        <v>0.33</v>
      </c>
      <c r="Q9528" s="11">
        <v>2.2999999999999998</v>
      </c>
      <c r="R9528" s="11"/>
      <c r="S9528" s="11"/>
      <c r="T9528" s="11"/>
      <c r="U9528" s="11">
        <f t="shared" si="2629"/>
        <v>2.2999999999999998</v>
      </c>
      <c r="W9528">
        <v>2.5</v>
      </c>
      <c r="X9528" s="1" t="s">
        <v>13</v>
      </c>
    </row>
    <row r="9529" spans="1:24" x14ac:dyDescent="0.25">
      <c r="A9529" s="1" t="str">
        <f t="shared" si="2634"/>
        <v>卡卡杜-凤凰仓</v>
      </c>
      <c r="B9529" s="1" t="str">
        <f>"CK2024100518366"</f>
        <v>CK2024100518366</v>
      </c>
      <c r="C9529" s="1" t="str">
        <f>"DD2024100549512"</f>
        <v>DD2024100549512</v>
      </c>
      <c r="D9529" s="1" t="str">
        <f>"CK2024100542659"</f>
        <v>CK2024100542659</v>
      </c>
      <c r="E9529" s="1" t="str">
        <f>"6917836387689921891"</f>
        <v>6917836387689921891</v>
      </c>
      <c r="F9529" s="1" t="str">
        <f t="shared" si="2635"/>
        <v>花都四部-凤凰仓</v>
      </c>
      <c r="G9529" s="1" t="str">
        <f t="shared" si="2632"/>
        <v>卡卡杜个人护理店（抖店）</v>
      </c>
      <c r="H9529" s="1" t="str">
        <f t="shared" si="2636"/>
        <v>正常订单</v>
      </c>
      <c r="I9529" s="1" t="str">
        <f t="shared" si="2637"/>
        <v>已发货</v>
      </c>
      <c r="J9529" s="1" t="str">
        <f t="shared" si="2631"/>
        <v>2</v>
      </c>
      <c r="K9529" s="1">
        <v>1</v>
      </c>
      <c r="L9529" s="1" t="s">
        <v>22</v>
      </c>
      <c r="M9529" s="1" t="str">
        <f>"江西省 吉安市 永丰县 龙冈畲族乡"</f>
        <v>江西省 吉安市 永丰县 龙冈畲族乡</v>
      </c>
      <c r="N9529" s="1" t="str">
        <f t="shared" si="2633"/>
        <v>凡华云仓-韵达-抖音</v>
      </c>
      <c r="O9529" s="5">
        <v>320156915231105</v>
      </c>
      <c r="P9529" s="6">
        <v>0.33</v>
      </c>
      <c r="Q9529" s="11">
        <v>2.2999999999999998</v>
      </c>
      <c r="R9529" s="11"/>
      <c r="S9529" s="11"/>
      <c r="T9529" s="11"/>
      <c r="U9529" s="11">
        <f t="shared" si="2629"/>
        <v>2.2999999999999998</v>
      </c>
      <c r="W9529">
        <v>2.5</v>
      </c>
      <c r="X9529" s="1" t="s">
        <v>22</v>
      </c>
    </row>
    <row r="9530" spans="1:24" x14ac:dyDescent="0.25">
      <c r="A9530" s="1" t="str">
        <f t="shared" si="2634"/>
        <v>卡卡杜-凤凰仓</v>
      </c>
      <c r="B9530" s="1" t="str">
        <f>"CK2024100518367"</f>
        <v>CK2024100518367</v>
      </c>
      <c r="C9530" s="1" t="str">
        <f>"DD2024100549514"</f>
        <v>DD2024100549514</v>
      </c>
      <c r="D9530" s="1" t="str">
        <f>"CK2024100542658"</f>
        <v>CK2024100542658</v>
      </c>
      <c r="E9530" s="1" t="str">
        <f>"6917845344457162471"</f>
        <v>6917845344457162471</v>
      </c>
      <c r="F9530" s="1" t="str">
        <f t="shared" si="2635"/>
        <v>花都四部-凤凰仓</v>
      </c>
      <c r="G9530" s="1" t="str">
        <f t="shared" si="2632"/>
        <v>卡卡杜个人护理店（抖店）</v>
      </c>
      <c r="H9530" s="1" t="str">
        <f t="shared" si="2636"/>
        <v>正常订单</v>
      </c>
      <c r="I9530" s="1" t="str">
        <f t="shared" si="2637"/>
        <v>已发货</v>
      </c>
      <c r="J9530" s="1" t="str">
        <f t="shared" si="2631"/>
        <v>2</v>
      </c>
      <c r="K9530" s="1">
        <v>1</v>
      </c>
      <c r="L9530" s="1" t="s">
        <v>96</v>
      </c>
      <c r="M9530" s="1" t="str">
        <f>"广西壮族自治区 南宁市 青秀区 津头街道"</f>
        <v>广西壮族自治区 南宁市 青秀区 津头街道</v>
      </c>
      <c r="N9530" s="1" t="str">
        <f t="shared" si="2633"/>
        <v>凡华云仓-韵达-抖音</v>
      </c>
      <c r="O9530" s="5">
        <v>320156915231016</v>
      </c>
      <c r="P9530" s="6">
        <v>0.33</v>
      </c>
      <c r="Q9530" s="11">
        <v>2.2999999999999998</v>
      </c>
      <c r="R9530" s="11"/>
      <c r="S9530" s="11"/>
      <c r="T9530" s="11"/>
      <c r="U9530" s="11">
        <f t="shared" si="2629"/>
        <v>2.2999999999999998</v>
      </c>
      <c r="W9530">
        <v>2.5</v>
      </c>
      <c r="X9530" s="1" t="s">
        <v>96</v>
      </c>
    </row>
    <row r="9531" spans="1:24" x14ac:dyDescent="0.25">
      <c r="A9531" s="1" t="str">
        <f t="shared" si="2634"/>
        <v>卡卡杜-凤凰仓</v>
      </c>
      <c r="B9531" s="1" t="str">
        <f>"CK2024100518368"</f>
        <v>CK2024100518368</v>
      </c>
      <c r="C9531" s="1" t="str">
        <f>"DD2024100549515"</f>
        <v>DD2024100549515</v>
      </c>
      <c r="D9531" s="1" t="str">
        <f>"CK2024100542657"</f>
        <v>CK2024100542657</v>
      </c>
      <c r="E9531" s="1" t="str">
        <f>"6917843451783839633"</f>
        <v>6917843451783839633</v>
      </c>
      <c r="F9531" s="1" t="str">
        <f t="shared" si="2635"/>
        <v>花都四部-凤凰仓</v>
      </c>
      <c r="G9531" s="1" t="str">
        <f t="shared" si="2632"/>
        <v>卡卡杜个人护理店（抖店）</v>
      </c>
      <c r="H9531" s="1" t="str">
        <f t="shared" si="2636"/>
        <v>正常订单</v>
      </c>
      <c r="I9531" s="1" t="str">
        <f t="shared" si="2637"/>
        <v>已发货</v>
      </c>
      <c r="J9531" s="1" t="str">
        <f t="shared" si="2631"/>
        <v>2</v>
      </c>
      <c r="K9531" s="1">
        <v>1</v>
      </c>
      <c r="L9531" s="1" t="s">
        <v>30</v>
      </c>
      <c r="M9531" s="1" t="str">
        <f>"山东省 青岛市 胶州市 九龙街道"</f>
        <v>山东省 青岛市 胶州市 九龙街道</v>
      </c>
      <c r="N9531" s="1" t="str">
        <f t="shared" si="2633"/>
        <v>凡华云仓-韵达-抖音</v>
      </c>
      <c r="O9531" s="5">
        <v>320156915230900</v>
      </c>
      <c r="P9531" s="6">
        <v>0.33</v>
      </c>
      <c r="Q9531" s="11">
        <v>2.2999999999999998</v>
      </c>
      <c r="R9531" s="11"/>
      <c r="S9531" s="11"/>
      <c r="T9531" s="11"/>
      <c r="U9531" s="11">
        <f t="shared" si="2629"/>
        <v>2.2999999999999998</v>
      </c>
      <c r="W9531">
        <v>2.5</v>
      </c>
      <c r="X9531" s="1" t="s">
        <v>30</v>
      </c>
    </row>
    <row r="9532" spans="1:24" x14ac:dyDescent="0.25">
      <c r="A9532" s="1" t="str">
        <f t="shared" si="2634"/>
        <v>卡卡杜-凤凰仓</v>
      </c>
      <c r="B9532" s="1" t="str">
        <f>"CK2024100518370"</f>
        <v>CK2024100518370</v>
      </c>
      <c r="C9532" s="1" t="str">
        <f>"DD2024100549517"</f>
        <v>DD2024100549517</v>
      </c>
      <c r="D9532" s="1" t="str">
        <f>"CK2024100542656"</f>
        <v>CK2024100542656</v>
      </c>
      <c r="E9532" s="1" t="str">
        <f>"6917843051442240779"</f>
        <v>6917843051442240779</v>
      </c>
      <c r="F9532" s="1" t="str">
        <f t="shared" si="2635"/>
        <v>花都四部-凤凰仓</v>
      </c>
      <c r="G9532" s="1" t="str">
        <f t="shared" si="2632"/>
        <v>卡卡杜个人护理店（抖店）</v>
      </c>
      <c r="H9532" s="1" t="str">
        <f t="shared" si="2636"/>
        <v>正常订单</v>
      </c>
      <c r="I9532" s="1" t="str">
        <f t="shared" si="2637"/>
        <v>已发货</v>
      </c>
      <c r="J9532" s="1" t="str">
        <f t="shared" si="2631"/>
        <v>2</v>
      </c>
      <c r="K9532" s="1">
        <v>1</v>
      </c>
      <c r="L9532" s="1" t="s">
        <v>20</v>
      </c>
      <c r="M9532" s="1" t="str">
        <f>"浙江省 宁波市 镇海区 蛟川街道"</f>
        <v>浙江省 宁波市 镇海区 蛟川街道</v>
      </c>
      <c r="N9532" s="1" t="str">
        <f t="shared" si="2633"/>
        <v>凡华云仓-韵达-抖音</v>
      </c>
      <c r="O9532" s="5">
        <v>320156915230895</v>
      </c>
      <c r="P9532" s="6">
        <v>0.33</v>
      </c>
      <c r="Q9532" s="11">
        <v>2.2999999999999998</v>
      </c>
      <c r="R9532" s="11"/>
      <c r="S9532" s="11"/>
      <c r="T9532" s="11"/>
      <c r="U9532" s="11">
        <f t="shared" si="2629"/>
        <v>2.2999999999999998</v>
      </c>
      <c r="W9532">
        <v>2.5</v>
      </c>
      <c r="X9532" s="1" t="s">
        <v>20</v>
      </c>
    </row>
    <row r="9533" spans="1:24" x14ac:dyDescent="0.25">
      <c r="A9533" s="1" t="str">
        <f t="shared" si="2634"/>
        <v>卡卡杜-凤凰仓</v>
      </c>
      <c r="B9533" s="1" t="str">
        <f>"CK2024100518372"</f>
        <v>CK2024100518372</v>
      </c>
      <c r="C9533" s="1" t="str">
        <f>"DD2024100549519"</f>
        <v>DD2024100549519</v>
      </c>
      <c r="D9533" s="1" t="str">
        <f>"CK2024100542655"</f>
        <v>CK2024100542655</v>
      </c>
      <c r="E9533" s="1" t="str">
        <f>"6917835962625916650"</f>
        <v>6917835962625916650</v>
      </c>
      <c r="F9533" s="1" t="str">
        <f t="shared" si="2635"/>
        <v>花都四部-凤凰仓</v>
      </c>
      <c r="G9533" s="1" t="str">
        <f t="shared" si="2632"/>
        <v>卡卡杜个人护理店（抖店）</v>
      </c>
      <c r="H9533" s="1" t="str">
        <f t="shared" si="2636"/>
        <v>正常订单</v>
      </c>
      <c r="I9533" s="1" t="str">
        <f t="shared" si="2637"/>
        <v>已发货</v>
      </c>
      <c r="J9533" s="1" t="str">
        <f t="shared" si="2631"/>
        <v>2</v>
      </c>
      <c r="K9533" s="1">
        <v>1</v>
      </c>
      <c r="L9533" s="1" t="s">
        <v>20</v>
      </c>
      <c r="M9533" s="1" t="str">
        <f>"浙江省 温州市 平阳县 鳌江镇"</f>
        <v>浙江省 温州市 平阳县 鳌江镇</v>
      </c>
      <c r="N9533" s="1" t="str">
        <f t="shared" si="2633"/>
        <v>凡华云仓-韵达-抖音</v>
      </c>
      <c r="O9533" s="5">
        <v>320156915230792</v>
      </c>
      <c r="P9533" s="6">
        <v>0.33</v>
      </c>
      <c r="Q9533" s="11">
        <v>2.2999999999999998</v>
      </c>
      <c r="R9533" s="11"/>
      <c r="S9533" s="11"/>
      <c r="T9533" s="11"/>
      <c r="U9533" s="11">
        <f t="shared" si="2629"/>
        <v>2.2999999999999998</v>
      </c>
      <c r="W9533">
        <v>2.5</v>
      </c>
      <c r="X9533" s="1" t="s">
        <v>20</v>
      </c>
    </row>
    <row r="9534" spans="1:24" x14ac:dyDescent="0.25">
      <c r="A9534" s="1" t="str">
        <f t="shared" si="2634"/>
        <v>卡卡杜-凤凰仓</v>
      </c>
      <c r="B9534" s="1" t="str">
        <f>"CK2024100518373"</f>
        <v>CK2024100518373</v>
      </c>
      <c r="C9534" s="1" t="str">
        <f>"DD2024100549522"</f>
        <v>DD2024100549522</v>
      </c>
      <c r="D9534" s="1" t="str">
        <f>"CK2024100542654"</f>
        <v>CK2024100542654</v>
      </c>
      <c r="E9534" s="1" t="str">
        <f>"6917838778345356375"</f>
        <v>6917838778345356375</v>
      </c>
      <c r="F9534" s="1" t="str">
        <f t="shared" si="2635"/>
        <v>花都四部-凤凰仓</v>
      </c>
      <c r="G9534" s="1" t="str">
        <f t="shared" si="2632"/>
        <v>卡卡杜个人护理店（抖店）</v>
      </c>
      <c r="H9534" s="1" t="str">
        <f t="shared" si="2636"/>
        <v>正常订单</v>
      </c>
      <c r="I9534" s="1" t="str">
        <f t="shared" si="2637"/>
        <v>已发货</v>
      </c>
      <c r="J9534" s="1" t="str">
        <f t="shared" si="2631"/>
        <v>2</v>
      </c>
      <c r="K9534" s="1">
        <v>1</v>
      </c>
      <c r="L9534" s="1" t="s">
        <v>18</v>
      </c>
      <c r="M9534" s="1" t="str">
        <f>"广东省 河源市 连平县 忠信镇"</f>
        <v>广东省 河源市 连平县 忠信镇</v>
      </c>
      <c r="N9534" s="1" t="str">
        <f t="shared" si="2633"/>
        <v>凡华云仓-韵达-抖音</v>
      </c>
      <c r="O9534" s="5">
        <v>320156915230691</v>
      </c>
      <c r="P9534" s="6">
        <v>0.33</v>
      </c>
      <c r="Q9534" s="11">
        <v>2.2999999999999998</v>
      </c>
      <c r="R9534" s="11"/>
      <c r="S9534" s="11"/>
      <c r="T9534" s="11"/>
      <c r="U9534" s="11">
        <f t="shared" si="2629"/>
        <v>2.2999999999999998</v>
      </c>
      <c r="W9534">
        <v>2.5</v>
      </c>
      <c r="X9534" s="1" t="s">
        <v>18</v>
      </c>
    </row>
    <row r="9535" spans="1:24" x14ac:dyDescent="0.25">
      <c r="A9535" s="1" t="str">
        <f t="shared" si="2634"/>
        <v>卡卡杜-凤凰仓</v>
      </c>
      <c r="B9535" s="1" t="str">
        <f>"CK2024100518374"</f>
        <v>CK2024100518374</v>
      </c>
      <c r="C9535" s="1" t="str">
        <f>"DD2024100549521"</f>
        <v>DD2024100549521</v>
      </c>
      <c r="D9535" s="1" t="str">
        <f>"CK2024100542653"</f>
        <v>CK2024100542653</v>
      </c>
      <c r="E9535" s="1" t="str">
        <f>"6917838230279388521"</f>
        <v>6917838230279388521</v>
      </c>
      <c r="F9535" s="1" t="str">
        <f t="shared" si="2635"/>
        <v>花都四部-凤凰仓</v>
      </c>
      <c r="G9535" s="1" t="str">
        <f t="shared" si="2632"/>
        <v>卡卡杜个人护理店（抖店）</v>
      </c>
      <c r="H9535" s="1" t="str">
        <f t="shared" si="2636"/>
        <v>正常订单</v>
      </c>
      <c r="I9535" s="1" t="str">
        <f t="shared" si="2637"/>
        <v>已发货</v>
      </c>
      <c r="J9535" s="1" t="str">
        <f t="shared" si="2631"/>
        <v>2</v>
      </c>
      <c r="K9535" s="1">
        <v>1</v>
      </c>
      <c r="L9535" s="1" t="s">
        <v>96</v>
      </c>
      <c r="M9535" s="1" t="str">
        <f>"广西壮族自治区 南宁市 宾阳县 黎塘镇"</f>
        <v>广西壮族自治区 南宁市 宾阳县 黎塘镇</v>
      </c>
      <c r="N9535" s="1" t="str">
        <f t="shared" si="2633"/>
        <v>凡华云仓-韵达-抖音</v>
      </c>
      <c r="O9535" s="5">
        <v>320156915230592</v>
      </c>
      <c r="P9535" s="6">
        <v>0.33</v>
      </c>
      <c r="Q9535" s="11">
        <v>2.2999999999999998</v>
      </c>
      <c r="R9535" s="11"/>
      <c r="S9535" s="11"/>
      <c r="T9535" s="11"/>
      <c r="U9535" s="11">
        <f t="shared" si="2629"/>
        <v>2.2999999999999998</v>
      </c>
      <c r="W9535">
        <v>2.5</v>
      </c>
      <c r="X9535" s="1" t="s">
        <v>96</v>
      </c>
    </row>
    <row r="9536" spans="1:24" x14ac:dyDescent="0.25">
      <c r="A9536" s="1" t="str">
        <f t="shared" si="2634"/>
        <v>卡卡杜-凤凰仓</v>
      </c>
      <c r="B9536" s="1" t="str">
        <f>"CK2024100518375"</f>
        <v>CK2024100518375</v>
      </c>
      <c r="C9536" s="1" t="str">
        <f>"DD2024100549520"</f>
        <v>DD2024100549520</v>
      </c>
      <c r="D9536" s="1" t="str">
        <f>"CK2024100542652"</f>
        <v>CK2024100542652</v>
      </c>
      <c r="E9536" s="1" t="str">
        <f>"6917840687319383625"</f>
        <v>6917840687319383625</v>
      </c>
      <c r="F9536" s="1" t="str">
        <f t="shared" si="2635"/>
        <v>花都四部-凤凰仓</v>
      </c>
      <c r="G9536" s="1" t="str">
        <f t="shared" si="2632"/>
        <v>卡卡杜个人护理店（抖店）</v>
      </c>
      <c r="H9536" s="1" t="str">
        <f t="shared" si="2636"/>
        <v>正常订单</v>
      </c>
      <c r="I9536" s="1" t="str">
        <f t="shared" si="2637"/>
        <v>已发货</v>
      </c>
      <c r="J9536" s="1" t="str">
        <f t="shared" si="2631"/>
        <v>2</v>
      </c>
      <c r="K9536" s="1">
        <v>1</v>
      </c>
      <c r="L9536" s="1" t="s">
        <v>94</v>
      </c>
      <c r="M9536" s="1" t="str">
        <f>"湖南省 岳阳市 华容县 章华镇"</f>
        <v>湖南省 岳阳市 华容县 章华镇</v>
      </c>
      <c r="N9536" s="1" t="str">
        <f t="shared" si="2633"/>
        <v>凡华云仓-韵达-抖音</v>
      </c>
      <c r="O9536" s="5">
        <v>320156915230495</v>
      </c>
      <c r="P9536" s="6">
        <v>0.33</v>
      </c>
      <c r="Q9536" s="11">
        <v>2.2999999999999998</v>
      </c>
      <c r="R9536" s="11"/>
      <c r="S9536" s="11"/>
      <c r="T9536" s="11"/>
      <c r="U9536" s="11">
        <f t="shared" si="2629"/>
        <v>2.2999999999999998</v>
      </c>
      <c r="W9536">
        <v>2.5</v>
      </c>
      <c r="X9536" s="1" t="s">
        <v>94</v>
      </c>
    </row>
    <row r="9537" spans="1:24" x14ac:dyDescent="0.25">
      <c r="A9537" s="1" t="str">
        <f t="shared" si="2634"/>
        <v>卡卡杜-凤凰仓</v>
      </c>
      <c r="B9537" s="1" t="str">
        <f>"CK2024100518376"</f>
        <v>CK2024100518376</v>
      </c>
      <c r="C9537" s="1" t="str">
        <f>"DD2024100549523"</f>
        <v>DD2024100549523</v>
      </c>
      <c r="D9537" s="1" t="str">
        <f>"CK2024100542651"</f>
        <v>CK2024100542651</v>
      </c>
      <c r="E9537" s="1" t="str">
        <f>"6917845434991148238"</f>
        <v>6917845434991148238</v>
      </c>
      <c r="F9537" s="1" t="str">
        <f t="shared" si="2635"/>
        <v>花都四部-凤凰仓</v>
      </c>
      <c r="G9537" s="1" t="str">
        <f t="shared" si="2632"/>
        <v>卡卡杜个人护理店（抖店）</v>
      </c>
      <c r="H9537" s="1" t="str">
        <f t="shared" si="2636"/>
        <v>正常订单</v>
      </c>
      <c r="I9537" s="1" t="str">
        <f t="shared" si="2637"/>
        <v>已发货</v>
      </c>
      <c r="J9537" s="1" t="str">
        <f t="shared" si="2631"/>
        <v>2</v>
      </c>
      <c r="K9537" s="1">
        <v>1</v>
      </c>
      <c r="L9537" s="1" t="s">
        <v>80</v>
      </c>
      <c r="M9537" s="1" t="str">
        <f>"河南省 濮阳市 华龙区 中原油田街道"</f>
        <v>河南省 濮阳市 华龙区 中原油田街道</v>
      </c>
      <c r="N9537" s="1" t="str">
        <f t="shared" si="2633"/>
        <v>凡华云仓-韵达-抖音</v>
      </c>
      <c r="O9537" s="5">
        <v>320156915230300</v>
      </c>
      <c r="P9537" s="6">
        <v>0.33</v>
      </c>
      <c r="Q9537" s="11">
        <v>2.2999999999999998</v>
      </c>
      <c r="R9537" s="11"/>
      <c r="S9537" s="11"/>
      <c r="T9537" s="11"/>
      <c r="U9537" s="11">
        <f t="shared" si="2629"/>
        <v>2.2999999999999998</v>
      </c>
      <c r="W9537">
        <v>2.5</v>
      </c>
      <c r="X9537" s="1" t="s">
        <v>80</v>
      </c>
    </row>
    <row r="9538" spans="1:24" x14ac:dyDescent="0.25">
      <c r="A9538" s="1" t="str">
        <f t="shared" si="2634"/>
        <v>卡卡杜-凤凰仓</v>
      </c>
      <c r="B9538" s="1" t="str">
        <f>"CK2024100518377"</f>
        <v>CK2024100518377</v>
      </c>
      <c r="C9538" s="1" t="str">
        <f>"DD2024100549524"</f>
        <v>DD2024100549524</v>
      </c>
      <c r="D9538" s="1" t="str">
        <f>"CK2024100542650"</f>
        <v>CK2024100542650</v>
      </c>
      <c r="E9538" s="1" t="str">
        <f>"6917835594121968899"</f>
        <v>6917835594121968899</v>
      </c>
      <c r="F9538" s="1" t="str">
        <f t="shared" si="2635"/>
        <v>花都四部-凤凰仓</v>
      </c>
      <c r="G9538" s="1" t="str">
        <f t="shared" si="2632"/>
        <v>卡卡杜个人护理店（抖店）</v>
      </c>
      <c r="H9538" s="1" t="str">
        <f t="shared" si="2636"/>
        <v>正常订单</v>
      </c>
      <c r="I9538" s="1" t="str">
        <f t="shared" si="2637"/>
        <v>已发货</v>
      </c>
      <c r="J9538" s="1" t="str">
        <f t="shared" si="2631"/>
        <v>2</v>
      </c>
      <c r="K9538" s="1">
        <v>1</v>
      </c>
      <c r="L9538" s="1" t="s">
        <v>32</v>
      </c>
      <c r="M9538" s="1" t="str">
        <f>"陕西省 西安市 长安区 "</f>
        <v xml:space="preserve">陕西省 西安市 长安区 </v>
      </c>
      <c r="N9538" s="1" t="str">
        <f t="shared" si="2633"/>
        <v>凡华云仓-韵达-抖音</v>
      </c>
      <c r="O9538" s="5">
        <v>320156915230207</v>
      </c>
      <c r="P9538" s="6">
        <v>0.33</v>
      </c>
      <c r="Q9538" s="11">
        <v>2.2999999999999998</v>
      </c>
      <c r="R9538" s="11"/>
      <c r="S9538" s="11"/>
      <c r="T9538" s="11"/>
      <c r="U9538" s="11">
        <f t="shared" si="2629"/>
        <v>2.2999999999999998</v>
      </c>
      <c r="W9538">
        <v>2.5</v>
      </c>
      <c r="X9538" s="1" t="s">
        <v>32</v>
      </c>
    </row>
    <row r="9539" spans="1:24" x14ac:dyDescent="0.25">
      <c r="A9539" s="1" t="str">
        <f t="shared" si="2634"/>
        <v>卡卡杜-凤凰仓</v>
      </c>
      <c r="B9539" s="1" t="str">
        <f>"CK2024100518378"</f>
        <v>CK2024100518378</v>
      </c>
      <c r="C9539" s="1" t="str">
        <f>"DD2024100549525"</f>
        <v>DD2024100549525</v>
      </c>
      <c r="D9539" s="1" t="str">
        <f>"CK2024100542649"</f>
        <v>CK2024100542649</v>
      </c>
      <c r="E9539" s="1" t="str">
        <f>"6917840939257068820"</f>
        <v>6917840939257068820</v>
      </c>
      <c r="F9539" s="1" t="str">
        <f t="shared" si="2635"/>
        <v>花都四部-凤凰仓</v>
      </c>
      <c r="G9539" s="1" t="str">
        <f t="shared" si="2632"/>
        <v>卡卡杜个人护理店（抖店）</v>
      </c>
      <c r="H9539" s="1" t="str">
        <f t="shared" si="2636"/>
        <v>正常订单</v>
      </c>
      <c r="I9539" s="1" t="str">
        <f t="shared" si="2637"/>
        <v>已发货</v>
      </c>
      <c r="J9539" s="1" t="str">
        <f t="shared" si="2631"/>
        <v>2</v>
      </c>
      <c r="K9539" s="1">
        <v>1</v>
      </c>
      <c r="L9539" s="1" t="s">
        <v>18</v>
      </c>
      <c r="M9539" s="1" t="str">
        <f>"广东省 佛山市 禅城区 石湾镇街道"</f>
        <v>广东省 佛山市 禅城区 石湾镇街道</v>
      </c>
      <c r="N9539" s="1" t="str">
        <f t="shared" si="2633"/>
        <v>凡华云仓-韵达-抖音</v>
      </c>
      <c r="O9539" s="5">
        <v>320156930090630</v>
      </c>
      <c r="P9539" s="6">
        <v>0.33</v>
      </c>
      <c r="Q9539" s="11">
        <v>2.2999999999999998</v>
      </c>
      <c r="R9539" s="11"/>
      <c r="S9539" s="11"/>
      <c r="T9539" s="11"/>
      <c r="U9539" s="11">
        <f t="shared" ref="U9539:U9602" si="2638">T9539+S9539+R9539+Q9539</f>
        <v>2.2999999999999998</v>
      </c>
      <c r="W9539">
        <v>2.5</v>
      </c>
      <c r="X9539" s="1" t="s">
        <v>18</v>
      </c>
    </row>
    <row r="9540" spans="1:24" x14ac:dyDescent="0.25">
      <c r="A9540" s="1" t="str">
        <f t="shared" si="2634"/>
        <v>卡卡杜-凤凰仓</v>
      </c>
      <c r="B9540" s="1" t="str">
        <f>"CK2024100518379"</f>
        <v>CK2024100518379</v>
      </c>
      <c r="C9540" s="1" t="str">
        <f>"DD2024100549526"</f>
        <v>DD2024100549526</v>
      </c>
      <c r="D9540" s="1" t="str">
        <f>"CK2024100542648"</f>
        <v>CK2024100542648</v>
      </c>
      <c r="E9540" s="1" t="str">
        <f>"6917843007440453085"</f>
        <v>6917843007440453085</v>
      </c>
      <c r="F9540" s="1" t="str">
        <f t="shared" si="2635"/>
        <v>花都四部-凤凰仓</v>
      </c>
      <c r="G9540" s="1" t="str">
        <f t="shared" si="2632"/>
        <v>卡卡杜个人护理店（抖店）</v>
      </c>
      <c r="H9540" s="1" t="str">
        <f t="shared" si="2636"/>
        <v>正常订单</v>
      </c>
      <c r="I9540" s="1" t="str">
        <f t="shared" si="2637"/>
        <v>已发货</v>
      </c>
      <c r="J9540" s="1" t="str">
        <f t="shared" si="2631"/>
        <v>2</v>
      </c>
      <c r="K9540" s="1">
        <v>1</v>
      </c>
      <c r="L9540" s="1" t="s">
        <v>13</v>
      </c>
      <c r="M9540" s="1" t="str">
        <f>"江苏省 无锡市 江阴市 "</f>
        <v xml:space="preserve">江苏省 无锡市 江阴市 </v>
      </c>
      <c r="N9540" s="1" t="str">
        <f t="shared" si="2633"/>
        <v>凡华云仓-韵达-抖音</v>
      </c>
      <c r="O9540" s="5">
        <v>320156930090531</v>
      </c>
      <c r="P9540" s="6">
        <v>0.33</v>
      </c>
      <c r="Q9540" s="11">
        <v>2.2999999999999998</v>
      </c>
      <c r="R9540" s="11"/>
      <c r="S9540" s="11"/>
      <c r="T9540" s="11"/>
      <c r="U9540" s="11">
        <f t="shared" si="2638"/>
        <v>2.2999999999999998</v>
      </c>
      <c r="W9540">
        <v>2.5</v>
      </c>
      <c r="X9540" s="1" t="s">
        <v>13</v>
      </c>
    </row>
    <row r="9541" spans="1:24" x14ac:dyDescent="0.25">
      <c r="A9541" s="1" t="str">
        <f t="shared" si="2634"/>
        <v>卡卡杜-凤凰仓</v>
      </c>
      <c r="B9541" s="1" t="str">
        <f>"CK2024100518381"</f>
        <v>CK2024100518381</v>
      </c>
      <c r="C9541" s="1" t="str">
        <f>"DD2024100549527"</f>
        <v>DD2024100549527</v>
      </c>
      <c r="D9541" s="1" t="str">
        <f>"CK2024100542647"</f>
        <v>CK2024100542647</v>
      </c>
      <c r="E9541" s="1" t="str">
        <f>"6917836204597083274"</f>
        <v>6917836204597083274</v>
      </c>
      <c r="F9541" s="1" t="str">
        <f t="shared" si="2635"/>
        <v>花都四部-凤凰仓</v>
      </c>
      <c r="G9541" s="1" t="str">
        <f t="shared" si="2632"/>
        <v>卡卡杜个人护理店（抖店）</v>
      </c>
      <c r="H9541" s="1" t="str">
        <f t="shared" si="2636"/>
        <v>正常订单</v>
      </c>
      <c r="I9541" s="1" t="str">
        <f t="shared" si="2637"/>
        <v>已发货</v>
      </c>
      <c r="J9541" s="1" t="str">
        <f t="shared" si="2631"/>
        <v>2</v>
      </c>
      <c r="K9541" s="1">
        <v>1</v>
      </c>
      <c r="L9541" s="1" t="s">
        <v>20</v>
      </c>
      <c r="M9541" s="1" t="str">
        <f>"浙江省 舟山市 普陀区 沈家门街道"</f>
        <v>浙江省 舟山市 普陀区 沈家门街道</v>
      </c>
      <c r="N9541" s="1" t="str">
        <f t="shared" si="2633"/>
        <v>凡华云仓-韵达-抖音</v>
      </c>
      <c r="O9541" s="5">
        <v>320156930090434</v>
      </c>
      <c r="P9541" s="6">
        <v>0.33</v>
      </c>
      <c r="Q9541" s="11">
        <v>2.2999999999999998</v>
      </c>
      <c r="R9541" s="11"/>
      <c r="S9541" s="11"/>
      <c r="T9541" s="11"/>
      <c r="U9541" s="11">
        <f t="shared" si="2638"/>
        <v>2.2999999999999998</v>
      </c>
      <c r="W9541">
        <v>2.5</v>
      </c>
      <c r="X9541" s="1" t="s">
        <v>20</v>
      </c>
    </row>
    <row r="9542" spans="1:24" x14ac:dyDescent="0.25">
      <c r="A9542" s="1" t="str">
        <f t="shared" si="2634"/>
        <v>卡卡杜-凤凰仓</v>
      </c>
      <c r="B9542" s="1" t="str">
        <f>"CK2024100518380"</f>
        <v>CK2024100518380</v>
      </c>
      <c r="C9542" s="1" t="str">
        <f>"DD2024100549528"</f>
        <v>DD2024100549528</v>
      </c>
      <c r="D9542" s="1" t="str">
        <f>"CK2024100542646"</f>
        <v>CK2024100542646</v>
      </c>
      <c r="E9542" s="1" t="str">
        <f>"6917840980792212923"</f>
        <v>6917840980792212923</v>
      </c>
      <c r="F9542" s="1" t="str">
        <f t="shared" si="2635"/>
        <v>花都四部-凤凰仓</v>
      </c>
      <c r="G9542" s="1" t="str">
        <f t="shared" si="2632"/>
        <v>卡卡杜个人护理店（抖店）</v>
      </c>
      <c r="H9542" s="1" t="str">
        <f t="shared" si="2636"/>
        <v>正常订单</v>
      </c>
      <c r="I9542" s="1" t="str">
        <f t="shared" si="2637"/>
        <v>已发货</v>
      </c>
      <c r="J9542" s="1" t="str">
        <f t="shared" si="2631"/>
        <v>2</v>
      </c>
      <c r="K9542" s="1">
        <v>1</v>
      </c>
      <c r="L9542" s="1" t="s">
        <v>18</v>
      </c>
      <c r="M9542" s="1" t="str">
        <f>"广东省 梅州市 蕉岭县 蕉城镇"</f>
        <v>广东省 梅州市 蕉岭县 蕉城镇</v>
      </c>
      <c r="N9542" s="1" t="str">
        <f t="shared" si="2633"/>
        <v>凡华云仓-韵达-抖音</v>
      </c>
      <c r="O9542" s="5">
        <v>320156930090339</v>
      </c>
      <c r="P9542" s="6">
        <v>0.33</v>
      </c>
      <c r="Q9542" s="11">
        <v>2.2999999999999998</v>
      </c>
      <c r="R9542" s="11"/>
      <c r="S9542" s="11"/>
      <c r="T9542" s="11"/>
      <c r="U9542" s="11">
        <f t="shared" si="2638"/>
        <v>2.2999999999999998</v>
      </c>
      <c r="W9542">
        <v>2.5</v>
      </c>
      <c r="X9542" s="1" t="s">
        <v>18</v>
      </c>
    </row>
    <row r="9543" spans="1:24" x14ac:dyDescent="0.25">
      <c r="A9543" s="1" t="str">
        <f t="shared" si="2634"/>
        <v>卡卡杜-凤凰仓</v>
      </c>
      <c r="B9543" s="1" t="str">
        <f>"CK2024100518382"</f>
        <v>CK2024100518382</v>
      </c>
      <c r="C9543" s="1" t="str">
        <f>"DD2024100549529"</f>
        <v>DD2024100549529</v>
      </c>
      <c r="D9543" s="1" t="str">
        <f>"CK2024100542645"</f>
        <v>CK2024100542645</v>
      </c>
      <c r="E9543" s="1" t="str">
        <f>"6917838432143178780"</f>
        <v>6917838432143178780</v>
      </c>
      <c r="F9543" s="1" t="str">
        <f t="shared" si="2635"/>
        <v>花都四部-凤凰仓</v>
      </c>
      <c r="G9543" s="1" t="str">
        <f t="shared" si="2632"/>
        <v>卡卡杜个人护理店（抖店）</v>
      </c>
      <c r="H9543" s="1" t="str">
        <f t="shared" si="2636"/>
        <v>正常订单</v>
      </c>
      <c r="I9543" s="1" t="str">
        <f t="shared" si="2637"/>
        <v>已发货</v>
      </c>
      <c r="J9543" s="1" t="str">
        <f t="shared" si="2631"/>
        <v>2</v>
      </c>
      <c r="K9543" s="1">
        <v>1</v>
      </c>
      <c r="L9543" s="1" t="s">
        <v>36</v>
      </c>
      <c r="M9543" s="1" t="str">
        <f>"安徽省 安庆市 太湖县 新仓镇"</f>
        <v>安徽省 安庆市 太湖县 新仓镇</v>
      </c>
      <c r="N9543" s="1" t="str">
        <f t="shared" si="2633"/>
        <v>凡华云仓-韵达-抖音</v>
      </c>
      <c r="O9543" s="5">
        <v>320156930090246</v>
      </c>
      <c r="P9543" s="6">
        <v>0.33</v>
      </c>
      <c r="Q9543" s="11">
        <v>2.2999999999999998</v>
      </c>
      <c r="R9543" s="11"/>
      <c r="S9543" s="11"/>
      <c r="T9543" s="11"/>
      <c r="U9543" s="11">
        <f t="shared" si="2638"/>
        <v>2.2999999999999998</v>
      </c>
      <c r="W9543">
        <v>2.5</v>
      </c>
      <c r="X9543" s="1" t="s">
        <v>36</v>
      </c>
    </row>
    <row r="9544" spans="1:24" x14ac:dyDescent="0.25">
      <c r="A9544" s="1" t="str">
        <f t="shared" si="2634"/>
        <v>卡卡杜-凤凰仓</v>
      </c>
      <c r="B9544" s="1" t="str">
        <f>"CK2024100518383"</f>
        <v>CK2024100518383</v>
      </c>
      <c r="C9544" s="1" t="str">
        <f>"DD2024100549530"</f>
        <v>DD2024100549530</v>
      </c>
      <c r="D9544" s="1" t="str">
        <f>"CK2024100542644"</f>
        <v>CK2024100542644</v>
      </c>
      <c r="E9544" s="1" t="str">
        <f>"6917836177962401231"</f>
        <v>6917836177962401231</v>
      </c>
      <c r="F9544" s="1" t="str">
        <f t="shared" si="2635"/>
        <v>花都四部-凤凰仓</v>
      </c>
      <c r="G9544" s="1" t="str">
        <f t="shared" si="2632"/>
        <v>卡卡杜个人护理店（抖店）</v>
      </c>
      <c r="H9544" s="1" t="str">
        <f t="shared" si="2636"/>
        <v>正常订单</v>
      </c>
      <c r="I9544" s="1" t="str">
        <f t="shared" si="2637"/>
        <v>已发货</v>
      </c>
      <c r="J9544" s="1" t="str">
        <f t="shared" si="2631"/>
        <v>2</v>
      </c>
      <c r="K9544" s="1">
        <v>1</v>
      </c>
      <c r="L9544" s="1" t="s">
        <v>22</v>
      </c>
      <c r="M9544" s="1" t="str">
        <f>"江西省 宜春市 万载县 "</f>
        <v xml:space="preserve">江西省 宜春市 万载县 </v>
      </c>
      <c r="N9544" s="1" t="str">
        <f t="shared" si="2633"/>
        <v>凡华云仓-韵达-抖音</v>
      </c>
      <c r="O9544" s="5">
        <v>320156930090155</v>
      </c>
      <c r="P9544" s="6">
        <v>0.33</v>
      </c>
      <c r="Q9544" s="11">
        <v>2.2999999999999998</v>
      </c>
      <c r="R9544" s="11"/>
      <c r="S9544" s="11"/>
      <c r="T9544" s="11"/>
      <c r="U9544" s="11">
        <f t="shared" si="2638"/>
        <v>2.2999999999999998</v>
      </c>
      <c r="W9544">
        <v>2.5</v>
      </c>
      <c r="X9544" s="1" t="s">
        <v>22</v>
      </c>
    </row>
    <row r="9545" spans="1:24" x14ac:dyDescent="0.25">
      <c r="A9545" s="1" t="str">
        <f t="shared" si="2634"/>
        <v>卡卡杜-凤凰仓</v>
      </c>
      <c r="B9545" s="1" t="str">
        <f>"CK2024100518384"</f>
        <v>CK2024100518384</v>
      </c>
      <c r="C9545" s="1" t="str">
        <f>"DD2024100549531"</f>
        <v>DD2024100549531</v>
      </c>
      <c r="D9545" s="1" t="str">
        <f>"CK2024100542643"</f>
        <v>CK2024100542643</v>
      </c>
      <c r="E9545" s="1" t="str">
        <f>"6917840845841727358"</f>
        <v>6917840845841727358</v>
      </c>
      <c r="F9545" s="1" t="str">
        <f t="shared" si="2635"/>
        <v>花都四部-凤凰仓</v>
      </c>
      <c r="G9545" s="1" t="str">
        <f t="shared" si="2632"/>
        <v>卡卡杜个人护理店（抖店）</v>
      </c>
      <c r="H9545" s="1" t="str">
        <f t="shared" si="2636"/>
        <v>正常订单</v>
      </c>
      <c r="I9545" s="1" t="str">
        <f t="shared" si="2637"/>
        <v>已发货</v>
      </c>
      <c r="J9545" s="1" t="str">
        <f t="shared" si="2631"/>
        <v>2</v>
      </c>
      <c r="K9545" s="1">
        <v>1</v>
      </c>
      <c r="L9545" s="1" t="s">
        <v>13</v>
      </c>
      <c r="M9545" s="1" t="str">
        <f>"江苏省 苏州市 吴江区 盛泽镇"</f>
        <v>江苏省 苏州市 吴江区 盛泽镇</v>
      </c>
      <c r="N9545" s="1" t="str">
        <f t="shared" si="2633"/>
        <v>凡华云仓-韵达-抖音</v>
      </c>
      <c r="O9545" s="5">
        <v>320156930090066</v>
      </c>
      <c r="P9545" s="6">
        <v>0.33</v>
      </c>
      <c r="Q9545" s="11">
        <v>2.2999999999999998</v>
      </c>
      <c r="R9545" s="11"/>
      <c r="S9545" s="11"/>
      <c r="T9545" s="11"/>
      <c r="U9545" s="11">
        <f t="shared" si="2638"/>
        <v>2.2999999999999998</v>
      </c>
      <c r="W9545">
        <v>2.5</v>
      </c>
      <c r="X9545" s="1" t="s">
        <v>13</v>
      </c>
    </row>
    <row r="9546" spans="1:24" x14ac:dyDescent="0.25">
      <c r="A9546" s="1" t="str">
        <f t="shared" si="2634"/>
        <v>卡卡杜-凤凰仓</v>
      </c>
      <c r="B9546" s="1" t="str">
        <f>"CK2024100518385"</f>
        <v>CK2024100518385</v>
      </c>
      <c r="C9546" s="1" t="str">
        <f>"DD2024100549534"</f>
        <v>DD2024100549534</v>
      </c>
      <c r="D9546" s="1" t="str">
        <f>"CK2024100542642"</f>
        <v>CK2024100542642</v>
      </c>
      <c r="E9546" s="1" t="str">
        <f>"6917838679053860415"</f>
        <v>6917838679053860415</v>
      </c>
      <c r="F9546" s="1" t="str">
        <f t="shared" si="2635"/>
        <v>花都四部-凤凰仓</v>
      </c>
      <c r="G9546" s="1" t="str">
        <f t="shared" si="2632"/>
        <v>卡卡杜个人护理店（抖店）</v>
      </c>
      <c r="H9546" s="1" t="str">
        <f t="shared" si="2636"/>
        <v>正常订单</v>
      </c>
      <c r="I9546" s="1" t="str">
        <f t="shared" si="2637"/>
        <v>已发货</v>
      </c>
      <c r="J9546" s="1" t="str">
        <f t="shared" si="2631"/>
        <v>2</v>
      </c>
      <c r="K9546" s="1">
        <v>1</v>
      </c>
      <c r="L9546" s="1" t="s">
        <v>27</v>
      </c>
      <c r="M9546" s="1" t="str">
        <f>"贵州省 毕节市 黔西市 杜鹃街道"</f>
        <v>贵州省 毕节市 黔西市 杜鹃街道</v>
      </c>
      <c r="N9546" s="1" t="str">
        <f t="shared" si="2633"/>
        <v>凡华云仓-韵达-抖音</v>
      </c>
      <c r="O9546" s="5">
        <v>320156930089907</v>
      </c>
      <c r="P9546" s="6">
        <v>0.33</v>
      </c>
      <c r="Q9546" s="11">
        <v>2.2999999999999998</v>
      </c>
      <c r="R9546" s="11"/>
      <c r="S9546" s="11"/>
      <c r="T9546" s="11"/>
      <c r="U9546" s="11">
        <f t="shared" si="2638"/>
        <v>2.2999999999999998</v>
      </c>
      <c r="W9546">
        <v>2.5</v>
      </c>
      <c r="X9546" s="1" t="s">
        <v>27</v>
      </c>
    </row>
    <row r="9547" spans="1:24" x14ac:dyDescent="0.25">
      <c r="A9547" s="1" t="str">
        <f t="shared" si="2634"/>
        <v>卡卡杜-凤凰仓</v>
      </c>
      <c r="B9547" s="1" t="str">
        <f>"CK2024100518386"</f>
        <v>CK2024100518386</v>
      </c>
      <c r="C9547" s="1" t="str">
        <f>"DD2024100549532"</f>
        <v>DD2024100549532</v>
      </c>
      <c r="D9547" s="1" t="str">
        <f>"CK2024100542641"</f>
        <v>CK2024100542641</v>
      </c>
      <c r="E9547" s="1" t="str">
        <f>"6917835945413541233"</f>
        <v>6917835945413541233</v>
      </c>
      <c r="F9547" s="1" t="str">
        <f t="shared" si="2635"/>
        <v>花都四部-凤凰仓</v>
      </c>
      <c r="G9547" s="1" t="str">
        <f t="shared" si="2632"/>
        <v>卡卡杜个人护理店（抖店）</v>
      </c>
      <c r="H9547" s="1" t="str">
        <f t="shared" si="2636"/>
        <v>正常订单</v>
      </c>
      <c r="I9547" s="1" t="str">
        <f t="shared" si="2637"/>
        <v>已发货</v>
      </c>
      <c r="J9547" s="1" t="str">
        <f t="shared" si="2631"/>
        <v>2</v>
      </c>
      <c r="K9547" s="1">
        <v>1</v>
      </c>
      <c r="L9547" s="1" t="s">
        <v>74</v>
      </c>
      <c r="M9547" s="1" t="str">
        <f>"上海 上海市 闵行区 吴泾镇"</f>
        <v>上海 上海市 闵行区 吴泾镇</v>
      </c>
      <c r="N9547" s="1" t="str">
        <f t="shared" si="2633"/>
        <v>凡华云仓-韵达-抖音</v>
      </c>
      <c r="O9547" s="5">
        <v>320156930089802</v>
      </c>
      <c r="P9547" s="6">
        <v>0.33</v>
      </c>
      <c r="Q9547" s="11">
        <v>2.2999999999999998</v>
      </c>
      <c r="R9547" s="11"/>
      <c r="S9547" s="11"/>
      <c r="T9547" s="11"/>
      <c r="U9547" s="11">
        <f t="shared" si="2638"/>
        <v>2.2999999999999998</v>
      </c>
      <c r="W9547">
        <v>2.5</v>
      </c>
      <c r="X9547" s="1" t="s">
        <v>74</v>
      </c>
    </row>
    <row r="9548" spans="1:24" x14ac:dyDescent="0.25">
      <c r="A9548" s="1" t="str">
        <f t="shared" si="2634"/>
        <v>卡卡杜-凤凰仓</v>
      </c>
      <c r="B9548" s="1" t="str">
        <f>"CK2024100518387"</f>
        <v>CK2024100518387</v>
      </c>
      <c r="C9548" s="1" t="str">
        <f>"DD2024100549533"</f>
        <v>DD2024100549533</v>
      </c>
      <c r="D9548" s="1" t="str">
        <f>"CK2024100542640"</f>
        <v>CK2024100542640</v>
      </c>
      <c r="E9548" s="1" t="str">
        <f>"6917838714760757187"</f>
        <v>6917838714760757187</v>
      </c>
      <c r="F9548" s="1" t="str">
        <f t="shared" si="2635"/>
        <v>花都四部-凤凰仓</v>
      </c>
      <c r="G9548" s="1" t="str">
        <f t="shared" si="2632"/>
        <v>卡卡杜个人护理店（抖店）</v>
      </c>
      <c r="H9548" s="1" t="str">
        <f t="shared" si="2636"/>
        <v>正常订单</v>
      </c>
      <c r="I9548" s="1" t="str">
        <f t="shared" si="2637"/>
        <v>已发货</v>
      </c>
      <c r="J9548" s="1" t="str">
        <f t="shared" ref="J9548:J9611" si="2639">"2"</f>
        <v>2</v>
      </c>
      <c r="K9548" s="1">
        <v>1</v>
      </c>
      <c r="L9548" s="1" t="s">
        <v>16</v>
      </c>
      <c r="M9548" s="1" t="str">
        <f>"河北省 张家口市 万全区 孔家庄镇"</f>
        <v>河北省 张家口市 万全区 孔家庄镇</v>
      </c>
      <c r="N9548" s="1" t="str">
        <f t="shared" si="2633"/>
        <v>凡华云仓-韵达-抖音</v>
      </c>
      <c r="O9548" s="5">
        <v>320156930089799</v>
      </c>
      <c r="P9548" s="6">
        <v>0.33</v>
      </c>
      <c r="Q9548" s="11">
        <v>2.2999999999999998</v>
      </c>
      <c r="R9548" s="11"/>
      <c r="S9548" s="11"/>
      <c r="T9548" s="11"/>
      <c r="U9548" s="11">
        <f t="shared" si="2638"/>
        <v>2.2999999999999998</v>
      </c>
      <c r="W9548">
        <v>2.5</v>
      </c>
      <c r="X9548" s="1" t="s">
        <v>16</v>
      </c>
    </row>
    <row r="9549" spans="1:24" x14ac:dyDescent="0.25">
      <c r="A9549" s="1" t="str">
        <f t="shared" si="2634"/>
        <v>卡卡杜-凤凰仓</v>
      </c>
      <c r="B9549" s="1" t="str">
        <f>"CK2024100518388"</f>
        <v>CK2024100518388</v>
      </c>
      <c r="C9549" s="1" t="str">
        <f>"DD2024100549535"</f>
        <v>DD2024100549535</v>
      </c>
      <c r="D9549" s="1" t="str">
        <f>"CK2024100542639"</f>
        <v>CK2024100542639</v>
      </c>
      <c r="E9549" s="1" t="str">
        <f>"6917843046888209767"</f>
        <v>6917843046888209767</v>
      </c>
      <c r="F9549" s="1" t="str">
        <f t="shared" si="2635"/>
        <v>花都四部-凤凰仓</v>
      </c>
      <c r="G9549" s="1" t="str">
        <f t="shared" si="2632"/>
        <v>卡卡杜个人护理店（抖店）</v>
      </c>
      <c r="H9549" s="1" t="str">
        <f t="shared" si="2636"/>
        <v>正常订单</v>
      </c>
      <c r="I9549" s="1" t="str">
        <f t="shared" si="2637"/>
        <v>已发货</v>
      </c>
      <c r="J9549" s="1" t="str">
        <f t="shared" si="2639"/>
        <v>2</v>
      </c>
      <c r="K9549" s="1">
        <v>1</v>
      </c>
      <c r="L9549" s="1" t="s">
        <v>20</v>
      </c>
      <c r="M9549" s="1" t="str">
        <f>"浙江省 温州市 瑞安市 塘下镇"</f>
        <v>浙江省 温州市 瑞安市 塘下镇</v>
      </c>
      <c r="N9549" s="1" t="str">
        <f t="shared" si="2633"/>
        <v>凡华云仓-韵达-抖音</v>
      </c>
      <c r="O9549" s="5">
        <v>320156912638559</v>
      </c>
      <c r="P9549" s="6">
        <v>0.33</v>
      </c>
      <c r="Q9549" s="11">
        <v>2.2999999999999998</v>
      </c>
      <c r="R9549" s="11"/>
      <c r="S9549" s="11"/>
      <c r="T9549" s="11"/>
      <c r="U9549" s="11">
        <f t="shared" si="2638"/>
        <v>2.2999999999999998</v>
      </c>
      <c r="W9549">
        <v>2.5</v>
      </c>
      <c r="X9549" s="1" t="s">
        <v>20</v>
      </c>
    </row>
    <row r="9550" spans="1:24" x14ac:dyDescent="0.25">
      <c r="A9550" s="1" t="str">
        <f t="shared" si="2634"/>
        <v>卡卡杜-凤凰仓</v>
      </c>
      <c r="B9550" s="1" t="str">
        <f>"CK2024100518389"</f>
        <v>CK2024100518389</v>
      </c>
      <c r="C9550" s="1" t="str">
        <f>"DD2024100549536"</f>
        <v>DD2024100549536</v>
      </c>
      <c r="D9550" s="1" t="str">
        <f>"CK2024100542638"</f>
        <v>CK2024100542638</v>
      </c>
      <c r="E9550" s="1" t="str">
        <f>"6917840687225863319"</f>
        <v>6917840687225863319</v>
      </c>
      <c r="F9550" s="1" t="str">
        <f t="shared" si="2635"/>
        <v>花都四部-凤凰仓</v>
      </c>
      <c r="G9550" s="1" t="str">
        <f t="shared" ref="G9550:G9613" si="2640">"卡卡杜个人护理店（抖店）"</f>
        <v>卡卡杜个人护理店（抖店）</v>
      </c>
      <c r="H9550" s="1" t="str">
        <f t="shared" si="2636"/>
        <v>正常订单</v>
      </c>
      <c r="I9550" s="1" t="str">
        <f t="shared" si="2637"/>
        <v>已发货</v>
      </c>
      <c r="J9550" s="1" t="str">
        <f t="shared" si="2639"/>
        <v>2</v>
      </c>
      <c r="K9550" s="1">
        <v>1</v>
      </c>
      <c r="L9550" s="1" t="s">
        <v>20</v>
      </c>
      <c r="M9550" s="1" t="str">
        <f>"浙江省 杭州市 富阳区 东洲街道"</f>
        <v>浙江省 杭州市 富阳区 东洲街道</v>
      </c>
      <c r="N9550" s="1" t="str">
        <f t="shared" ref="N9550:N9613" si="2641">"凡华云仓-韵达-抖音"</f>
        <v>凡华云仓-韵达-抖音</v>
      </c>
      <c r="O9550" s="5">
        <v>320156912638462</v>
      </c>
      <c r="P9550" s="6">
        <v>0.33</v>
      </c>
      <c r="Q9550" s="11">
        <v>2.2999999999999998</v>
      </c>
      <c r="R9550" s="11"/>
      <c r="S9550" s="11"/>
      <c r="T9550" s="11"/>
      <c r="U9550" s="11">
        <f t="shared" si="2638"/>
        <v>2.2999999999999998</v>
      </c>
      <c r="W9550">
        <v>2.5</v>
      </c>
      <c r="X9550" s="1" t="s">
        <v>20</v>
      </c>
    </row>
    <row r="9551" spans="1:24" x14ac:dyDescent="0.25">
      <c r="A9551" s="1" t="str">
        <f t="shared" si="2634"/>
        <v>卡卡杜-凤凰仓</v>
      </c>
      <c r="B9551" s="1" t="str">
        <f>"CK2024100518390"</f>
        <v>CK2024100518390</v>
      </c>
      <c r="C9551" s="1" t="str">
        <f>"DD2024100549537"</f>
        <v>DD2024100549537</v>
      </c>
      <c r="D9551" s="1" t="str">
        <f>"CK2024100542637"</f>
        <v>CK2024100542637</v>
      </c>
      <c r="E9551" s="1" t="str">
        <f>"6917835969989606488"</f>
        <v>6917835969989606488</v>
      </c>
      <c r="F9551" s="1" t="str">
        <f t="shared" si="2635"/>
        <v>花都四部-凤凰仓</v>
      </c>
      <c r="G9551" s="1" t="str">
        <f t="shared" si="2640"/>
        <v>卡卡杜个人护理店（抖店）</v>
      </c>
      <c r="H9551" s="1" t="str">
        <f t="shared" si="2636"/>
        <v>正常订单</v>
      </c>
      <c r="I9551" s="1" t="str">
        <f t="shared" si="2637"/>
        <v>已发货</v>
      </c>
      <c r="J9551" s="1" t="str">
        <f t="shared" si="2639"/>
        <v>2</v>
      </c>
      <c r="K9551" s="1">
        <v>1</v>
      </c>
      <c r="L9551" s="1" t="s">
        <v>13</v>
      </c>
      <c r="M9551" s="1" t="str">
        <f>"江苏省 苏州市 吴中区 郭巷街道"</f>
        <v>江苏省 苏州市 吴中区 郭巷街道</v>
      </c>
      <c r="N9551" s="1" t="str">
        <f t="shared" si="2641"/>
        <v>凡华云仓-韵达-抖音</v>
      </c>
      <c r="O9551" s="5">
        <v>320156912638367</v>
      </c>
      <c r="P9551" s="6">
        <v>0.33</v>
      </c>
      <c r="Q9551" s="11">
        <v>2.2999999999999998</v>
      </c>
      <c r="R9551" s="11"/>
      <c r="S9551" s="11"/>
      <c r="T9551" s="11"/>
      <c r="U9551" s="11">
        <f t="shared" si="2638"/>
        <v>2.2999999999999998</v>
      </c>
      <c r="W9551">
        <v>2.5</v>
      </c>
      <c r="X9551" s="1" t="s">
        <v>13</v>
      </c>
    </row>
    <row r="9552" spans="1:24" x14ac:dyDescent="0.25">
      <c r="A9552" s="1" t="str">
        <f t="shared" si="2634"/>
        <v>卡卡杜-凤凰仓</v>
      </c>
      <c r="B9552" s="1" t="str">
        <f>"CK2024100518391"</f>
        <v>CK2024100518391</v>
      </c>
      <c r="C9552" s="1" t="str">
        <f>"DD2024100549539"</f>
        <v>DD2024100549539</v>
      </c>
      <c r="D9552" s="1" t="str">
        <f>"CK2024100542636"</f>
        <v>CK2024100542636</v>
      </c>
      <c r="E9552" s="1" t="str">
        <f>"6917836111567290106"</f>
        <v>6917836111567290106</v>
      </c>
      <c r="F9552" s="1" t="str">
        <f t="shared" si="2635"/>
        <v>花都四部-凤凰仓</v>
      </c>
      <c r="G9552" s="1" t="str">
        <f t="shared" si="2640"/>
        <v>卡卡杜个人护理店（抖店）</v>
      </c>
      <c r="H9552" s="1" t="str">
        <f t="shared" si="2636"/>
        <v>正常订单</v>
      </c>
      <c r="I9552" s="1" t="str">
        <f t="shared" si="2637"/>
        <v>已发货</v>
      </c>
      <c r="J9552" s="1" t="str">
        <f t="shared" si="2639"/>
        <v>2</v>
      </c>
      <c r="K9552" s="1">
        <v>1</v>
      </c>
      <c r="L9552" s="1" t="s">
        <v>96</v>
      </c>
      <c r="M9552" s="1" t="str">
        <f>"广西壮族自治区 贵港市 港北区 贵城街道"</f>
        <v>广西壮族自治区 贵港市 港北区 贵城街道</v>
      </c>
      <c r="N9552" s="1" t="str">
        <f t="shared" si="2641"/>
        <v>凡华云仓-韵达-抖音</v>
      </c>
      <c r="O9552" s="5">
        <v>320156912638274</v>
      </c>
      <c r="P9552" s="6">
        <v>0.33</v>
      </c>
      <c r="Q9552" s="11">
        <v>2.2999999999999998</v>
      </c>
      <c r="R9552" s="11"/>
      <c r="S9552" s="11"/>
      <c r="T9552" s="11"/>
      <c r="U9552" s="11">
        <f t="shared" si="2638"/>
        <v>2.2999999999999998</v>
      </c>
      <c r="W9552">
        <v>2.5</v>
      </c>
      <c r="X9552" s="1" t="s">
        <v>96</v>
      </c>
    </row>
    <row r="9553" spans="1:24" x14ac:dyDescent="0.25">
      <c r="A9553" s="1" t="str">
        <f t="shared" si="2634"/>
        <v>卡卡杜-凤凰仓</v>
      </c>
      <c r="B9553" s="1" t="str">
        <f>"CK2024100518392"</f>
        <v>CK2024100518392</v>
      </c>
      <c r="C9553" s="1" t="str">
        <f>"DD2024100549538"</f>
        <v>DD2024100549538</v>
      </c>
      <c r="D9553" s="1" t="str">
        <f>"CK2024100542635"</f>
        <v>CK2024100542635</v>
      </c>
      <c r="E9553" s="1" t="str">
        <f>"6917840828004335341"</f>
        <v>6917840828004335341</v>
      </c>
      <c r="F9553" s="1" t="str">
        <f t="shared" si="2635"/>
        <v>花都四部-凤凰仓</v>
      </c>
      <c r="G9553" s="1" t="str">
        <f t="shared" si="2640"/>
        <v>卡卡杜个人护理店（抖店）</v>
      </c>
      <c r="H9553" s="1" t="str">
        <f t="shared" si="2636"/>
        <v>正常订单</v>
      </c>
      <c r="I9553" s="1" t="str">
        <f t="shared" si="2637"/>
        <v>已发货</v>
      </c>
      <c r="J9553" s="1" t="str">
        <f t="shared" si="2639"/>
        <v>2</v>
      </c>
      <c r="K9553" s="1">
        <v>1</v>
      </c>
      <c r="L9553" s="1" t="s">
        <v>27</v>
      </c>
      <c r="M9553" s="1" t="str">
        <f>"贵州省 黔南布依族苗族自治州 瓮安县 银盏镇"</f>
        <v>贵州省 黔南布依族苗族自治州 瓮安县 银盏镇</v>
      </c>
      <c r="N9553" s="1" t="str">
        <f t="shared" si="2641"/>
        <v>凡华云仓-韵达-抖音</v>
      </c>
      <c r="O9553" s="5">
        <v>320156912638183</v>
      </c>
      <c r="P9553" s="6">
        <v>0.33</v>
      </c>
      <c r="Q9553" s="11">
        <v>2.2999999999999998</v>
      </c>
      <c r="R9553" s="11"/>
      <c r="S9553" s="11"/>
      <c r="T9553" s="11"/>
      <c r="U9553" s="11">
        <f t="shared" si="2638"/>
        <v>2.2999999999999998</v>
      </c>
      <c r="W9553">
        <v>2.5</v>
      </c>
      <c r="X9553" s="1" t="s">
        <v>27</v>
      </c>
    </row>
    <row r="9554" spans="1:24" x14ac:dyDescent="0.25">
      <c r="A9554" s="1" t="str">
        <f t="shared" si="2634"/>
        <v>卡卡杜-凤凰仓</v>
      </c>
      <c r="B9554" s="1" t="str">
        <f>"CK2024100518393"</f>
        <v>CK2024100518393</v>
      </c>
      <c r="C9554" s="1" t="str">
        <f>"DD2024100549540"</f>
        <v>DD2024100549540</v>
      </c>
      <c r="D9554" s="1" t="str">
        <f>"CK2024100542634"</f>
        <v>CK2024100542634</v>
      </c>
      <c r="E9554" s="1" t="str">
        <f>"6917838489704759195"</f>
        <v>6917838489704759195</v>
      </c>
      <c r="F9554" s="1" t="str">
        <f t="shared" si="2635"/>
        <v>花都四部-凤凰仓</v>
      </c>
      <c r="G9554" s="1" t="str">
        <f t="shared" si="2640"/>
        <v>卡卡杜个人护理店（抖店）</v>
      </c>
      <c r="H9554" s="1" t="str">
        <f t="shared" si="2636"/>
        <v>正常订单</v>
      </c>
      <c r="I9554" s="1" t="str">
        <f t="shared" si="2637"/>
        <v>已发货</v>
      </c>
      <c r="J9554" s="1" t="str">
        <f t="shared" si="2639"/>
        <v>2</v>
      </c>
      <c r="K9554" s="1">
        <v>1</v>
      </c>
      <c r="L9554" s="1" t="s">
        <v>18</v>
      </c>
      <c r="M9554" s="1" t="str">
        <f>"广东省 东莞市 东莞市 黄江镇"</f>
        <v>广东省 东莞市 东莞市 黄江镇</v>
      </c>
      <c r="N9554" s="1" t="str">
        <f t="shared" si="2641"/>
        <v>凡华云仓-韵达-抖音</v>
      </c>
      <c r="O9554" s="5">
        <v>320156912638094</v>
      </c>
      <c r="P9554" s="6">
        <v>0.33</v>
      </c>
      <c r="Q9554" s="11">
        <v>2.2999999999999998</v>
      </c>
      <c r="R9554" s="11"/>
      <c r="S9554" s="11"/>
      <c r="T9554" s="11"/>
      <c r="U9554" s="11">
        <f t="shared" si="2638"/>
        <v>2.2999999999999998</v>
      </c>
      <c r="W9554">
        <v>2.5</v>
      </c>
      <c r="X9554" s="1" t="s">
        <v>18</v>
      </c>
    </row>
    <row r="9555" spans="1:24" x14ac:dyDescent="0.25">
      <c r="A9555" s="1" t="str">
        <f t="shared" si="2634"/>
        <v>卡卡杜-凤凰仓</v>
      </c>
      <c r="B9555" s="1" t="str">
        <f>"CK2024100518394"</f>
        <v>CK2024100518394</v>
      </c>
      <c r="C9555" s="1" t="str">
        <f>"DD2024100549541"</f>
        <v>DD2024100549541</v>
      </c>
      <c r="D9555" s="1" t="str">
        <f>"CK2024100542633"</f>
        <v>CK2024100542633</v>
      </c>
      <c r="E9555" s="1" t="str">
        <f>"6917843077202869528"</f>
        <v>6917843077202869528</v>
      </c>
      <c r="F9555" s="1" t="str">
        <f t="shared" si="2635"/>
        <v>花都四部-凤凰仓</v>
      </c>
      <c r="G9555" s="1" t="str">
        <f t="shared" si="2640"/>
        <v>卡卡杜个人护理店（抖店）</v>
      </c>
      <c r="H9555" s="1" t="str">
        <f t="shared" si="2636"/>
        <v>正常订单</v>
      </c>
      <c r="I9555" s="1" t="str">
        <f t="shared" si="2637"/>
        <v>已发货</v>
      </c>
      <c r="J9555" s="1" t="str">
        <f t="shared" si="2639"/>
        <v>2</v>
      </c>
      <c r="K9555" s="1">
        <v>1</v>
      </c>
      <c r="L9555" s="1" t="s">
        <v>18</v>
      </c>
      <c r="M9555" s="1" t="str">
        <f>"广东省 揭阳市 普宁市 池尾街道"</f>
        <v>广东省 揭阳市 普宁市 池尾街道</v>
      </c>
      <c r="N9555" s="1" t="str">
        <f t="shared" si="2641"/>
        <v>凡华云仓-韵达-抖音</v>
      </c>
      <c r="O9555" s="5">
        <v>320156912637964</v>
      </c>
      <c r="P9555" s="6">
        <v>0.33</v>
      </c>
      <c r="Q9555" s="11">
        <v>2.2999999999999998</v>
      </c>
      <c r="R9555" s="11"/>
      <c r="S9555" s="11"/>
      <c r="T9555" s="11"/>
      <c r="U9555" s="11">
        <f t="shared" si="2638"/>
        <v>2.2999999999999998</v>
      </c>
      <c r="W9555">
        <v>2.5</v>
      </c>
      <c r="X9555" s="1" t="s">
        <v>18</v>
      </c>
    </row>
    <row r="9556" spans="1:24" x14ac:dyDescent="0.25">
      <c r="A9556" s="1" t="str">
        <f t="shared" si="2634"/>
        <v>卡卡杜-凤凰仓</v>
      </c>
      <c r="B9556" s="1" t="str">
        <f>"CK2024100518395"</f>
        <v>CK2024100518395</v>
      </c>
      <c r="C9556" s="1" t="str">
        <f>"DD2024100549542"</f>
        <v>DD2024100549542</v>
      </c>
      <c r="D9556" s="1" t="str">
        <f>"CK2024100542632"</f>
        <v>CK2024100542632</v>
      </c>
      <c r="E9556" s="1" t="str">
        <f>"6917835958182051002"</f>
        <v>6917835958182051002</v>
      </c>
      <c r="F9556" s="1" t="str">
        <f t="shared" si="2635"/>
        <v>花都四部-凤凰仓</v>
      </c>
      <c r="G9556" s="1" t="str">
        <f t="shared" si="2640"/>
        <v>卡卡杜个人护理店（抖店）</v>
      </c>
      <c r="H9556" s="1" t="str">
        <f t="shared" si="2636"/>
        <v>正常订单</v>
      </c>
      <c r="I9556" s="1" t="str">
        <f t="shared" si="2637"/>
        <v>已发货</v>
      </c>
      <c r="J9556" s="1" t="str">
        <f t="shared" si="2639"/>
        <v>2</v>
      </c>
      <c r="K9556" s="1">
        <v>1</v>
      </c>
      <c r="L9556" s="1" t="s">
        <v>105</v>
      </c>
      <c r="M9556" s="1" t="str">
        <f>"北京 北京市 大兴区 青云店镇"</f>
        <v>北京 北京市 大兴区 青云店镇</v>
      </c>
      <c r="N9556" s="1" t="str">
        <f t="shared" si="2641"/>
        <v>凡华云仓-韵达-抖音</v>
      </c>
      <c r="O9556" s="5">
        <v>320156912637859</v>
      </c>
      <c r="P9556" s="6">
        <v>0.33</v>
      </c>
      <c r="Q9556" s="11">
        <v>2.2999999999999998</v>
      </c>
      <c r="R9556" s="11"/>
      <c r="S9556" s="11"/>
      <c r="T9556" s="11"/>
      <c r="U9556" s="11">
        <f t="shared" si="2638"/>
        <v>2.2999999999999998</v>
      </c>
      <c r="W9556">
        <v>2.5</v>
      </c>
      <c r="X9556" s="1" t="s">
        <v>105</v>
      </c>
    </row>
    <row r="9557" spans="1:24" x14ac:dyDescent="0.25">
      <c r="A9557" s="1" t="str">
        <f t="shared" si="2634"/>
        <v>卡卡杜-凤凰仓</v>
      </c>
      <c r="B9557" s="1" t="str">
        <f>"CK2024100518396"</f>
        <v>CK2024100518396</v>
      </c>
      <c r="C9557" s="1" t="str">
        <f>"DD2024100549543"</f>
        <v>DD2024100549543</v>
      </c>
      <c r="D9557" s="1" t="str">
        <f>"CK2024100542631"</f>
        <v>CK2024100542631</v>
      </c>
      <c r="E9557" s="1" t="str">
        <f>"6917830655729171713"</f>
        <v>6917830655729171713</v>
      </c>
      <c r="F9557" s="1" t="str">
        <f t="shared" si="2635"/>
        <v>花都四部-凤凰仓</v>
      </c>
      <c r="G9557" s="1" t="str">
        <f t="shared" si="2640"/>
        <v>卡卡杜个人护理店（抖店）</v>
      </c>
      <c r="H9557" s="1" t="str">
        <f t="shared" si="2636"/>
        <v>正常订单</v>
      </c>
      <c r="I9557" s="1" t="str">
        <f t="shared" si="2637"/>
        <v>已发货</v>
      </c>
      <c r="J9557" s="1" t="str">
        <f t="shared" si="2639"/>
        <v>2</v>
      </c>
      <c r="K9557" s="1">
        <v>1</v>
      </c>
      <c r="L9557" s="1" t="s">
        <v>30</v>
      </c>
      <c r="M9557" s="1" t="str">
        <f>"山东省 烟台市 莱州市 "</f>
        <v xml:space="preserve">山东省 烟台市 莱州市 </v>
      </c>
      <c r="N9557" s="1" t="str">
        <f t="shared" si="2641"/>
        <v>凡华云仓-韵达-抖音</v>
      </c>
      <c r="O9557" s="5">
        <v>320156912637756</v>
      </c>
      <c r="P9557" s="6">
        <v>0.33</v>
      </c>
      <c r="Q9557" s="11">
        <v>2.2999999999999998</v>
      </c>
      <c r="R9557" s="11"/>
      <c r="S9557" s="11"/>
      <c r="T9557" s="11"/>
      <c r="U9557" s="11">
        <f t="shared" si="2638"/>
        <v>2.2999999999999998</v>
      </c>
      <c r="W9557">
        <v>2.5</v>
      </c>
      <c r="X9557" s="1" t="s">
        <v>30</v>
      </c>
    </row>
    <row r="9558" spans="1:24" x14ac:dyDescent="0.25">
      <c r="A9558" s="1" t="str">
        <f t="shared" si="2634"/>
        <v>卡卡杜-凤凰仓</v>
      </c>
      <c r="B9558" s="1" t="str">
        <f>"CK2024100518397"</f>
        <v>CK2024100518397</v>
      </c>
      <c r="C9558" s="1" t="str">
        <f>"DD2024100549545"</f>
        <v>DD2024100549545</v>
      </c>
      <c r="D9558" s="1" t="str">
        <f>"CK2024100542630"</f>
        <v>CK2024100542630</v>
      </c>
      <c r="E9558" s="1" t="str">
        <f>"6917836205052821103"</f>
        <v>6917836205052821103</v>
      </c>
      <c r="F9558" s="1" t="str">
        <f t="shared" si="2635"/>
        <v>花都四部-凤凰仓</v>
      </c>
      <c r="G9558" s="1" t="str">
        <f t="shared" si="2640"/>
        <v>卡卡杜个人护理店（抖店）</v>
      </c>
      <c r="H9558" s="1" t="str">
        <f t="shared" si="2636"/>
        <v>正常订单</v>
      </c>
      <c r="I9558" s="1" t="str">
        <f t="shared" si="2637"/>
        <v>已发货</v>
      </c>
      <c r="J9558" s="1" t="str">
        <f t="shared" si="2639"/>
        <v>2</v>
      </c>
      <c r="K9558" s="1">
        <v>1</v>
      </c>
      <c r="L9558" s="1" t="s">
        <v>24</v>
      </c>
      <c r="M9558" s="1" t="str">
        <f>"福建省 南平市 光泽县 "</f>
        <v xml:space="preserve">福建省 南平市 光泽县 </v>
      </c>
      <c r="N9558" s="1" t="str">
        <f t="shared" si="2641"/>
        <v>凡华云仓-韵达-抖音</v>
      </c>
      <c r="O9558" s="5">
        <v>320156912637655</v>
      </c>
      <c r="P9558" s="6">
        <v>0.33</v>
      </c>
      <c r="Q9558" s="11">
        <v>2.2999999999999998</v>
      </c>
      <c r="R9558" s="11"/>
      <c r="S9558" s="11"/>
      <c r="T9558" s="11"/>
      <c r="U9558" s="11">
        <f t="shared" si="2638"/>
        <v>2.2999999999999998</v>
      </c>
      <c r="W9558">
        <v>2.5</v>
      </c>
      <c r="X9558" s="1" t="s">
        <v>24</v>
      </c>
    </row>
    <row r="9559" spans="1:24" x14ac:dyDescent="0.25">
      <c r="A9559" s="1" t="str">
        <f t="shared" si="2634"/>
        <v>卡卡杜-凤凰仓</v>
      </c>
      <c r="B9559" s="1" t="str">
        <f>"CK2024100518398"</f>
        <v>CK2024100518398</v>
      </c>
      <c r="C9559" s="1" t="str">
        <f>"DD2024100549544"</f>
        <v>DD2024100549544</v>
      </c>
      <c r="D9559" s="1" t="str">
        <f>"CK2024100542629"</f>
        <v>CK2024100542629</v>
      </c>
      <c r="E9559" s="1" t="str">
        <f>"6917836129385938365"</f>
        <v>6917836129385938365</v>
      </c>
      <c r="F9559" s="1" t="str">
        <f t="shared" si="2635"/>
        <v>花都四部-凤凰仓</v>
      </c>
      <c r="G9559" s="1" t="str">
        <f t="shared" si="2640"/>
        <v>卡卡杜个人护理店（抖店）</v>
      </c>
      <c r="H9559" s="1" t="str">
        <f t="shared" si="2636"/>
        <v>正常订单</v>
      </c>
      <c r="I9559" s="1" t="str">
        <f t="shared" si="2637"/>
        <v>已发货</v>
      </c>
      <c r="J9559" s="1" t="str">
        <f t="shared" si="2639"/>
        <v>2</v>
      </c>
      <c r="K9559" s="1">
        <v>1</v>
      </c>
      <c r="L9559" s="1" t="s">
        <v>24</v>
      </c>
      <c r="M9559" s="1" t="str">
        <f>"福建省 泉州市 晋江市 陈埭镇"</f>
        <v>福建省 泉州市 晋江市 陈埭镇</v>
      </c>
      <c r="N9559" s="1" t="str">
        <f t="shared" si="2641"/>
        <v>凡华云仓-韵达-抖音</v>
      </c>
      <c r="O9559" s="5">
        <v>320156906930303</v>
      </c>
      <c r="P9559" s="6">
        <v>0.33</v>
      </c>
      <c r="Q9559" s="11">
        <v>2.2999999999999998</v>
      </c>
      <c r="R9559" s="11"/>
      <c r="S9559" s="11"/>
      <c r="T9559" s="11"/>
      <c r="U9559" s="11">
        <f t="shared" si="2638"/>
        <v>2.2999999999999998</v>
      </c>
      <c r="W9559">
        <v>2.5</v>
      </c>
      <c r="X9559" s="1" t="s">
        <v>24</v>
      </c>
    </row>
    <row r="9560" spans="1:24" x14ac:dyDescent="0.25">
      <c r="A9560" s="1" t="str">
        <f t="shared" si="2634"/>
        <v>卡卡杜-凤凰仓</v>
      </c>
      <c r="B9560" s="1" t="str">
        <f>"CK2024100518399"</f>
        <v>CK2024100518399</v>
      </c>
      <c r="C9560" s="1" t="str">
        <f>"DD2024100549546"</f>
        <v>DD2024100549546</v>
      </c>
      <c r="D9560" s="1" t="str">
        <f>"CK2024100542628"</f>
        <v>CK2024100542628</v>
      </c>
      <c r="E9560" s="1" t="str">
        <f>"6917845221202886328"</f>
        <v>6917845221202886328</v>
      </c>
      <c r="F9560" s="1" t="str">
        <f t="shared" si="2635"/>
        <v>花都四部-凤凰仓</v>
      </c>
      <c r="G9560" s="1" t="str">
        <f t="shared" si="2640"/>
        <v>卡卡杜个人护理店（抖店）</v>
      </c>
      <c r="H9560" s="1" t="str">
        <f t="shared" si="2636"/>
        <v>正常订单</v>
      </c>
      <c r="I9560" s="1" t="str">
        <f t="shared" si="2637"/>
        <v>已发货</v>
      </c>
      <c r="J9560" s="1" t="str">
        <f t="shared" si="2639"/>
        <v>2</v>
      </c>
      <c r="K9560" s="1">
        <v>1</v>
      </c>
      <c r="L9560" s="1" t="s">
        <v>96</v>
      </c>
      <c r="M9560" s="1" t="str">
        <f>"广西壮族自治区 南宁市 宾阳县 王灵镇"</f>
        <v>广西壮族自治区 南宁市 宾阳县 王灵镇</v>
      </c>
      <c r="N9560" s="1" t="str">
        <f t="shared" si="2641"/>
        <v>凡华云仓-韵达-抖音</v>
      </c>
      <c r="O9560" s="5">
        <v>320156906930210</v>
      </c>
      <c r="P9560" s="6">
        <v>0.33</v>
      </c>
      <c r="Q9560" s="11">
        <v>2.2999999999999998</v>
      </c>
      <c r="R9560" s="11"/>
      <c r="S9560" s="11"/>
      <c r="T9560" s="11"/>
      <c r="U9560" s="11">
        <f t="shared" si="2638"/>
        <v>2.2999999999999998</v>
      </c>
      <c r="W9560">
        <v>2.5</v>
      </c>
      <c r="X9560" s="1" t="s">
        <v>96</v>
      </c>
    </row>
    <row r="9561" spans="1:24" x14ac:dyDescent="0.25">
      <c r="A9561" s="1" t="str">
        <f t="shared" si="2634"/>
        <v>卡卡杜-凤凰仓</v>
      </c>
      <c r="B9561" s="1" t="str">
        <f>"CK2024100518400"</f>
        <v>CK2024100518400</v>
      </c>
      <c r="C9561" s="1" t="str">
        <f>"DD2024100549547"</f>
        <v>DD2024100549547</v>
      </c>
      <c r="D9561" s="1" t="str">
        <f>"CK2024100542627"</f>
        <v>CK2024100542627</v>
      </c>
      <c r="E9561" s="1" t="str">
        <f>"6917840671468977609"</f>
        <v>6917840671468977609</v>
      </c>
      <c r="F9561" s="1" t="str">
        <f t="shared" si="2635"/>
        <v>花都四部-凤凰仓</v>
      </c>
      <c r="G9561" s="1" t="str">
        <f t="shared" si="2640"/>
        <v>卡卡杜个人护理店（抖店）</v>
      </c>
      <c r="H9561" s="1" t="str">
        <f t="shared" si="2636"/>
        <v>正常订单</v>
      </c>
      <c r="I9561" s="1" t="str">
        <f t="shared" si="2637"/>
        <v>已发货</v>
      </c>
      <c r="J9561" s="1" t="str">
        <f t="shared" si="2639"/>
        <v>2</v>
      </c>
      <c r="K9561" s="1">
        <v>1</v>
      </c>
      <c r="L9561" s="1" t="s">
        <v>20</v>
      </c>
      <c r="M9561" s="1" t="str">
        <f>"浙江省 温州市 瓯海区 南白象街道"</f>
        <v>浙江省 温州市 瓯海区 南白象街道</v>
      </c>
      <c r="N9561" s="1" t="str">
        <f t="shared" si="2641"/>
        <v>凡华云仓-韵达-抖音</v>
      </c>
      <c r="O9561" s="5">
        <v>320156906930119</v>
      </c>
      <c r="P9561" s="6">
        <v>0.33</v>
      </c>
      <c r="Q9561" s="11">
        <v>2.2999999999999998</v>
      </c>
      <c r="R9561" s="11"/>
      <c r="S9561" s="11"/>
      <c r="T9561" s="11"/>
      <c r="U9561" s="11">
        <f t="shared" si="2638"/>
        <v>2.2999999999999998</v>
      </c>
      <c r="W9561">
        <v>2.5</v>
      </c>
      <c r="X9561" s="1" t="s">
        <v>20</v>
      </c>
    </row>
    <row r="9562" spans="1:24" x14ac:dyDescent="0.25">
      <c r="A9562" s="1" t="str">
        <f t="shared" si="2634"/>
        <v>卡卡杜-凤凰仓</v>
      </c>
      <c r="B9562" s="1" t="str">
        <f>"CK2024100518401"</f>
        <v>CK2024100518401</v>
      </c>
      <c r="C9562" s="1" t="str">
        <f>"DD2024100549548"</f>
        <v>DD2024100549548</v>
      </c>
      <c r="D9562" s="1" t="str">
        <f>"CK2024100542626"</f>
        <v>CK2024100542626</v>
      </c>
      <c r="E9562" s="1" t="str">
        <f>"6917840837787483909"</f>
        <v>6917840837787483909</v>
      </c>
      <c r="F9562" s="1" t="str">
        <f t="shared" si="2635"/>
        <v>花都四部-凤凰仓</v>
      </c>
      <c r="G9562" s="1" t="str">
        <f t="shared" si="2640"/>
        <v>卡卡杜个人护理店（抖店）</v>
      </c>
      <c r="H9562" s="1" t="str">
        <f t="shared" si="2636"/>
        <v>正常订单</v>
      </c>
      <c r="I9562" s="1" t="str">
        <f t="shared" si="2637"/>
        <v>已发货</v>
      </c>
      <c r="J9562" s="1" t="str">
        <f t="shared" si="2639"/>
        <v>2</v>
      </c>
      <c r="K9562" s="1">
        <v>1</v>
      </c>
      <c r="L9562" s="1" t="s">
        <v>13</v>
      </c>
      <c r="M9562" s="1" t="str">
        <f>"江苏省 南通市 海门区 四甲镇"</f>
        <v>江苏省 南通市 海门区 四甲镇</v>
      </c>
      <c r="N9562" s="1" t="str">
        <f t="shared" si="2641"/>
        <v>凡华云仓-韵达-抖音</v>
      </c>
      <c r="O9562" s="5">
        <v>320156906930030</v>
      </c>
      <c r="P9562" s="6">
        <v>0.33</v>
      </c>
      <c r="Q9562" s="11">
        <v>2.2999999999999998</v>
      </c>
      <c r="R9562" s="11"/>
      <c r="S9562" s="11"/>
      <c r="T9562" s="11"/>
      <c r="U9562" s="11">
        <f t="shared" si="2638"/>
        <v>2.2999999999999998</v>
      </c>
      <c r="W9562">
        <v>2.5</v>
      </c>
      <c r="X9562" s="1" t="s">
        <v>13</v>
      </c>
    </row>
    <row r="9563" spans="1:24" x14ac:dyDescent="0.25">
      <c r="A9563" s="1" t="str">
        <f t="shared" si="2634"/>
        <v>卡卡杜-凤凰仓</v>
      </c>
      <c r="B9563" s="1" t="str">
        <f>"CK2024100518402"</f>
        <v>CK2024100518402</v>
      </c>
      <c r="C9563" s="1" t="str">
        <f>"DD2024100549549"</f>
        <v>DD2024100549549</v>
      </c>
      <c r="D9563" s="1" t="str">
        <f>"CK2024100542625"</f>
        <v>CK2024100542625</v>
      </c>
      <c r="E9563" s="1" t="str">
        <f>"6917835430549617959"</f>
        <v>6917835430549617959</v>
      </c>
      <c r="F9563" s="1" t="str">
        <f t="shared" si="2635"/>
        <v>花都四部-凤凰仓</v>
      </c>
      <c r="G9563" s="1" t="str">
        <f t="shared" si="2640"/>
        <v>卡卡杜个人护理店（抖店）</v>
      </c>
      <c r="H9563" s="1" t="str">
        <f t="shared" si="2636"/>
        <v>正常订单</v>
      </c>
      <c r="I9563" s="1" t="str">
        <f t="shared" si="2637"/>
        <v>已发货</v>
      </c>
      <c r="J9563" s="1" t="str">
        <f t="shared" si="2639"/>
        <v>2</v>
      </c>
      <c r="K9563" s="1">
        <v>1</v>
      </c>
      <c r="L9563" s="1" t="s">
        <v>94</v>
      </c>
      <c r="M9563" s="1" t="str">
        <f>"湖南省 长沙市 长沙县 "</f>
        <v xml:space="preserve">湖南省 长沙市 长沙县 </v>
      </c>
      <c r="N9563" s="1" t="str">
        <f t="shared" si="2641"/>
        <v>凡华云仓-韵达-抖音</v>
      </c>
      <c r="O9563" s="5">
        <v>320156906929983</v>
      </c>
      <c r="P9563" s="6">
        <v>0.33</v>
      </c>
      <c r="Q9563" s="11">
        <v>2.2999999999999998</v>
      </c>
      <c r="R9563" s="11"/>
      <c r="S9563" s="11"/>
      <c r="T9563" s="11"/>
      <c r="U9563" s="11">
        <f t="shared" si="2638"/>
        <v>2.2999999999999998</v>
      </c>
      <c r="W9563">
        <v>2.5</v>
      </c>
      <c r="X9563" s="1" t="s">
        <v>94</v>
      </c>
    </row>
    <row r="9564" spans="1:24" x14ac:dyDescent="0.25">
      <c r="A9564" s="1" t="str">
        <f t="shared" si="2634"/>
        <v>卡卡杜-凤凰仓</v>
      </c>
      <c r="B9564" s="1" t="str">
        <f>"CK2024100518403"</f>
        <v>CK2024100518403</v>
      </c>
      <c r="C9564" s="1" t="str">
        <f>"DD2024100549550"</f>
        <v>DD2024100549550</v>
      </c>
      <c r="D9564" s="1" t="str">
        <f>"CK2024100542624"</f>
        <v>CK2024100542624</v>
      </c>
      <c r="E9564" s="1" t="str">
        <f>"6917830927356427983"</f>
        <v>6917830927356427983</v>
      </c>
      <c r="F9564" s="1" t="str">
        <f t="shared" si="2635"/>
        <v>花都四部-凤凰仓</v>
      </c>
      <c r="G9564" s="1" t="str">
        <f t="shared" si="2640"/>
        <v>卡卡杜个人护理店（抖店）</v>
      </c>
      <c r="H9564" s="1" t="str">
        <f t="shared" si="2636"/>
        <v>正常订单</v>
      </c>
      <c r="I9564" s="1" t="str">
        <f t="shared" si="2637"/>
        <v>已发货</v>
      </c>
      <c r="J9564" s="1" t="str">
        <f t="shared" si="2639"/>
        <v>2</v>
      </c>
      <c r="K9564" s="1">
        <v>1</v>
      </c>
      <c r="L9564" s="1" t="s">
        <v>22</v>
      </c>
      <c r="M9564" s="1" t="str">
        <f>"江西省 宜春市 万载县 "</f>
        <v xml:space="preserve">江西省 宜春市 万载县 </v>
      </c>
      <c r="N9564" s="1" t="str">
        <f t="shared" si="2641"/>
        <v>凡华云仓-韵达-抖音</v>
      </c>
      <c r="O9564" s="5">
        <v>320156906929878</v>
      </c>
      <c r="P9564" s="6">
        <v>0.33</v>
      </c>
      <c r="Q9564" s="11">
        <v>2.2999999999999998</v>
      </c>
      <c r="R9564" s="11"/>
      <c r="S9564" s="11"/>
      <c r="T9564" s="11"/>
      <c r="U9564" s="11">
        <f t="shared" si="2638"/>
        <v>2.2999999999999998</v>
      </c>
      <c r="W9564">
        <v>2.5</v>
      </c>
      <c r="X9564" s="1" t="s">
        <v>22</v>
      </c>
    </row>
    <row r="9565" spans="1:24" x14ac:dyDescent="0.25">
      <c r="A9565" s="1" t="str">
        <f t="shared" si="2634"/>
        <v>卡卡杜-凤凰仓</v>
      </c>
      <c r="B9565" s="1" t="str">
        <f>"CK2024100518405"</f>
        <v>CK2024100518405</v>
      </c>
      <c r="C9565" s="1" t="str">
        <f>"DD2024100549551"</f>
        <v>DD2024100549551</v>
      </c>
      <c r="D9565" s="1" t="str">
        <f>"CK2024100542623"</f>
        <v>CK2024100542623</v>
      </c>
      <c r="E9565" s="1" t="str">
        <f>"6917835966995791601"</f>
        <v>6917835966995791601</v>
      </c>
      <c r="F9565" s="1" t="str">
        <f t="shared" si="2635"/>
        <v>花都四部-凤凰仓</v>
      </c>
      <c r="G9565" s="1" t="str">
        <f t="shared" si="2640"/>
        <v>卡卡杜个人护理店（抖店）</v>
      </c>
      <c r="H9565" s="1" t="str">
        <f t="shared" si="2636"/>
        <v>正常订单</v>
      </c>
      <c r="I9565" s="1" t="str">
        <f t="shared" si="2637"/>
        <v>已发货</v>
      </c>
      <c r="J9565" s="1" t="str">
        <f t="shared" si="2639"/>
        <v>2</v>
      </c>
      <c r="K9565" s="1">
        <v>1</v>
      </c>
      <c r="L9565" s="1" t="s">
        <v>161</v>
      </c>
      <c r="M9565" s="1" t="str">
        <f>"四川省 遂宁市 安居区 凤凰街道"</f>
        <v>四川省 遂宁市 安居区 凤凰街道</v>
      </c>
      <c r="N9565" s="1" t="str">
        <f t="shared" si="2641"/>
        <v>凡华云仓-韵达-抖音</v>
      </c>
      <c r="O9565" s="5">
        <v>320156906929775</v>
      </c>
      <c r="P9565" s="6">
        <v>0.33</v>
      </c>
      <c r="Q9565" s="11">
        <v>2.2999999999999998</v>
      </c>
      <c r="R9565" s="11"/>
      <c r="S9565" s="11"/>
      <c r="T9565" s="11"/>
      <c r="U9565" s="11">
        <f t="shared" si="2638"/>
        <v>2.2999999999999998</v>
      </c>
      <c r="W9565">
        <v>2.5</v>
      </c>
      <c r="X9565" s="1" t="s">
        <v>161</v>
      </c>
    </row>
    <row r="9566" spans="1:24" x14ac:dyDescent="0.25">
      <c r="A9566" s="1" t="str">
        <f t="shared" si="2634"/>
        <v>卡卡杜-凤凰仓</v>
      </c>
      <c r="B9566" s="1" t="str">
        <f>"CK2024100518406"</f>
        <v>CK2024100518406</v>
      </c>
      <c r="C9566" s="1" t="str">
        <f>"DD2024100549552"</f>
        <v>DD2024100549552</v>
      </c>
      <c r="D9566" s="1" t="str">
        <f>"CK2024100542622"</f>
        <v>CK2024100542622</v>
      </c>
      <c r="E9566" s="1" t="str">
        <f>"6917835710411407132"</f>
        <v>6917835710411407132</v>
      </c>
      <c r="F9566" s="1" t="str">
        <f t="shared" si="2635"/>
        <v>花都四部-凤凰仓</v>
      </c>
      <c r="G9566" s="1" t="str">
        <f t="shared" si="2640"/>
        <v>卡卡杜个人护理店（抖店）</v>
      </c>
      <c r="H9566" s="1" t="str">
        <f t="shared" si="2636"/>
        <v>正常订单</v>
      </c>
      <c r="I9566" s="1" t="str">
        <f t="shared" si="2637"/>
        <v>已发货</v>
      </c>
      <c r="J9566" s="1" t="str">
        <f t="shared" si="2639"/>
        <v>2</v>
      </c>
      <c r="K9566" s="1">
        <v>1</v>
      </c>
      <c r="L9566" s="1" t="s">
        <v>20</v>
      </c>
      <c r="M9566" s="1" t="str">
        <f>"浙江省 金华市 磐安县 尖山镇"</f>
        <v>浙江省 金华市 磐安县 尖山镇</v>
      </c>
      <c r="N9566" s="1" t="str">
        <f t="shared" si="2641"/>
        <v>凡华云仓-韵达-抖音</v>
      </c>
      <c r="O9566" s="5">
        <v>320156906929674</v>
      </c>
      <c r="P9566" s="6">
        <v>0.33</v>
      </c>
      <c r="Q9566" s="11">
        <v>2.2999999999999998</v>
      </c>
      <c r="R9566" s="11"/>
      <c r="S9566" s="11"/>
      <c r="T9566" s="11"/>
      <c r="U9566" s="11">
        <f t="shared" si="2638"/>
        <v>2.2999999999999998</v>
      </c>
      <c r="W9566">
        <v>2.5</v>
      </c>
      <c r="X9566" s="1" t="s">
        <v>20</v>
      </c>
    </row>
    <row r="9567" spans="1:24" x14ac:dyDescent="0.25">
      <c r="A9567" s="1" t="str">
        <f t="shared" si="2634"/>
        <v>卡卡杜-凤凰仓</v>
      </c>
      <c r="B9567" s="1" t="str">
        <f>"CK2024100518407"</f>
        <v>CK2024100518407</v>
      </c>
      <c r="C9567" s="1" t="str">
        <f>"DD2024100549553"</f>
        <v>DD2024100549553</v>
      </c>
      <c r="D9567" s="1" t="str">
        <f>"CK2024100542621"</f>
        <v>CK2024100542621</v>
      </c>
      <c r="E9567" s="1" t="str">
        <f>"6917845367429103194"</f>
        <v>6917845367429103194</v>
      </c>
      <c r="F9567" s="1" t="str">
        <f t="shared" si="2635"/>
        <v>花都四部-凤凰仓</v>
      </c>
      <c r="G9567" s="1" t="str">
        <f t="shared" si="2640"/>
        <v>卡卡杜个人护理店（抖店）</v>
      </c>
      <c r="H9567" s="1" t="str">
        <f t="shared" si="2636"/>
        <v>正常订单</v>
      </c>
      <c r="I9567" s="1" t="str">
        <f t="shared" si="2637"/>
        <v>已发货</v>
      </c>
      <c r="J9567" s="1" t="str">
        <f t="shared" si="2639"/>
        <v>2</v>
      </c>
      <c r="K9567" s="1">
        <v>1</v>
      </c>
      <c r="L9567" s="1" t="s">
        <v>18</v>
      </c>
      <c r="M9567" s="1" t="str">
        <f>"广东省 惠州市 惠阳区 沙田镇"</f>
        <v>广东省 惠州市 惠阳区 沙田镇</v>
      </c>
      <c r="N9567" s="1" t="str">
        <f t="shared" si="2641"/>
        <v>凡华云仓-韵达-抖音</v>
      </c>
      <c r="O9567" s="5">
        <v>320156906929575</v>
      </c>
      <c r="P9567" s="6">
        <v>0.33</v>
      </c>
      <c r="Q9567" s="11">
        <v>2.2999999999999998</v>
      </c>
      <c r="R9567" s="11"/>
      <c r="S9567" s="11"/>
      <c r="T9567" s="11"/>
      <c r="U9567" s="11">
        <f t="shared" si="2638"/>
        <v>2.2999999999999998</v>
      </c>
      <c r="W9567">
        <v>2.5</v>
      </c>
      <c r="X9567" s="1" t="s">
        <v>18</v>
      </c>
    </row>
    <row r="9568" spans="1:24" x14ac:dyDescent="0.25">
      <c r="A9568" s="1" t="str">
        <f t="shared" si="2634"/>
        <v>卡卡杜-凤凰仓</v>
      </c>
      <c r="B9568" s="1" t="str">
        <f>"CK2024100518408"</f>
        <v>CK2024100518408</v>
      </c>
      <c r="C9568" s="1" t="str">
        <f>"DD2024100549554"</f>
        <v>DD2024100549554</v>
      </c>
      <c r="D9568" s="1" t="str">
        <f>"CK2024100542620"</f>
        <v>CK2024100542620</v>
      </c>
      <c r="E9568" s="1" t="str">
        <f>"6917833362271272677"</f>
        <v>6917833362271272677</v>
      </c>
      <c r="F9568" s="1" t="str">
        <f t="shared" si="2635"/>
        <v>花都四部-凤凰仓</v>
      </c>
      <c r="G9568" s="1" t="str">
        <f t="shared" si="2640"/>
        <v>卡卡杜个人护理店（抖店）</v>
      </c>
      <c r="H9568" s="1" t="str">
        <f t="shared" si="2636"/>
        <v>正常订单</v>
      </c>
      <c r="I9568" s="1" t="str">
        <f t="shared" si="2637"/>
        <v>已发货</v>
      </c>
      <c r="J9568" s="1" t="str">
        <f t="shared" si="2639"/>
        <v>2</v>
      </c>
      <c r="K9568" s="1">
        <v>1</v>
      </c>
      <c r="L9568" s="1" t="s">
        <v>80</v>
      </c>
      <c r="M9568" s="1" t="str">
        <f>"河南省 信阳市 淮滨县 张庄乡"</f>
        <v>河南省 信阳市 淮滨县 张庄乡</v>
      </c>
      <c r="N9568" s="1" t="str">
        <f t="shared" si="2641"/>
        <v>凡华云仓-韵达-抖音</v>
      </c>
      <c r="O9568" s="5">
        <v>320156906929478</v>
      </c>
      <c r="P9568" s="6">
        <v>0.33</v>
      </c>
      <c r="Q9568" s="11">
        <v>2.2999999999999998</v>
      </c>
      <c r="R9568" s="11"/>
      <c r="S9568" s="11"/>
      <c r="T9568" s="11"/>
      <c r="U9568" s="11">
        <f t="shared" si="2638"/>
        <v>2.2999999999999998</v>
      </c>
      <c r="W9568">
        <v>2.5</v>
      </c>
      <c r="X9568" s="1" t="s">
        <v>80</v>
      </c>
    </row>
    <row r="9569" spans="1:24" x14ac:dyDescent="0.25">
      <c r="A9569" s="1" t="str">
        <f t="shared" si="2634"/>
        <v>卡卡杜-凤凰仓</v>
      </c>
      <c r="B9569" s="1" t="str">
        <f>"CK2024100518409"</f>
        <v>CK2024100518409</v>
      </c>
      <c r="C9569" s="1" t="str">
        <f>"DD2024100549556"</f>
        <v>DD2024100549556</v>
      </c>
      <c r="D9569" s="1" t="str">
        <f>"CK2024100542619"</f>
        <v>CK2024100542619</v>
      </c>
      <c r="E9569" s="1" t="str">
        <f>"6917845205242903788"</f>
        <v>6917845205242903788</v>
      </c>
      <c r="F9569" s="1" t="str">
        <f t="shared" si="2635"/>
        <v>花都四部-凤凰仓</v>
      </c>
      <c r="G9569" s="1" t="str">
        <f t="shared" si="2640"/>
        <v>卡卡杜个人护理店（抖店）</v>
      </c>
      <c r="H9569" s="1" t="str">
        <f t="shared" si="2636"/>
        <v>正常订单</v>
      </c>
      <c r="I9569" s="1" t="str">
        <f t="shared" si="2637"/>
        <v>已发货</v>
      </c>
      <c r="J9569" s="1" t="str">
        <f t="shared" si="2639"/>
        <v>2</v>
      </c>
      <c r="K9569" s="1">
        <v>1</v>
      </c>
      <c r="L9569" s="1" t="s">
        <v>30</v>
      </c>
      <c r="M9569" s="1" t="str">
        <f>"山东省 烟台市 芝罘区 只楚街道"</f>
        <v>山东省 烟台市 芝罘区 只楚街道</v>
      </c>
      <c r="N9569" s="1" t="str">
        <f t="shared" si="2641"/>
        <v>凡华云仓-韵达-抖音</v>
      </c>
      <c r="O9569" s="5">
        <v>320156924094774</v>
      </c>
      <c r="P9569" s="6">
        <v>0.33</v>
      </c>
      <c r="Q9569" s="11">
        <v>2.2999999999999998</v>
      </c>
      <c r="R9569" s="11"/>
      <c r="S9569" s="11"/>
      <c r="T9569" s="11"/>
      <c r="U9569" s="11">
        <f t="shared" si="2638"/>
        <v>2.2999999999999998</v>
      </c>
      <c r="W9569">
        <v>2.5</v>
      </c>
      <c r="X9569" s="1" t="s">
        <v>30</v>
      </c>
    </row>
    <row r="9570" spans="1:24" x14ac:dyDescent="0.25">
      <c r="A9570" s="1" t="str">
        <f t="shared" si="2634"/>
        <v>卡卡杜-凤凰仓</v>
      </c>
      <c r="B9570" s="1" t="str">
        <f>"CK2024100518410"</f>
        <v>CK2024100518410</v>
      </c>
      <c r="C9570" s="1" t="str">
        <f>"DD2024100549555"</f>
        <v>DD2024100549555</v>
      </c>
      <c r="D9570" s="1" t="str">
        <f>"CK2024100542618"</f>
        <v>CK2024100542618</v>
      </c>
      <c r="E9570" s="1" t="str">
        <f>"6917843039342525534"</f>
        <v>6917843039342525534</v>
      </c>
      <c r="F9570" s="1" t="str">
        <f t="shared" si="2635"/>
        <v>花都四部-凤凰仓</v>
      </c>
      <c r="G9570" s="1" t="str">
        <f t="shared" si="2640"/>
        <v>卡卡杜个人护理店（抖店）</v>
      </c>
      <c r="H9570" s="1" t="str">
        <f t="shared" si="2636"/>
        <v>正常订单</v>
      </c>
      <c r="I9570" s="1" t="str">
        <f t="shared" si="2637"/>
        <v>已发货</v>
      </c>
      <c r="J9570" s="1" t="str">
        <f t="shared" si="2639"/>
        <v>2</v>
      </c>
      <c r="K9570" s="1">
        <v>1</v>
      </c>
      <c r="L9570" s="1" t="s">
        <v>94</v>
      </c>
      <c r="M9570" s="1" t="str">
        <f>"湖南省 湘西土家族苗族自治州 永顺县 万坪镇"</f>
        <v>湖南省 湘西土家族苗族自治州 永顺县 万坪镇</v>
      </c>
      <c r="N9570" s="1" t="str">
        <f t="shared" si="2641"/>
        <v>凡华云仓-韵达-抖音</v>
      </c>
      <c r="O9570" s="5">
        <v>320156924094673</v>
      </c>
      <c r="P9570" s="6">
        <v>0.33</v>
      </c>
      <c r="Q9570" s="11">
        <v>2.2999999999999998</v>
      </c>
      <c r="R9570" s="11"/>
      <c r="S9570" s="11"/>
      <c r="T9570" s="11"/>
      <c r="U9570" s="11">
        <f t="shared" si="2638"/>
        <v>2.2999999999999998</v>
      </c>
      <c r="W9570">
        <v>2.5</v>
      </c>
      <c r="X9570" s="1" t="s">
        <v>94</v>
      </c>
    </row>
    <row r="9571" spans="1:24" x14ac:dyDescent="0.25">
      <c r="A9571" s="1" t="str">
        <f t="shared" si="2634"/>
        <v>卡卡杜-凤凰仓</v>
      </c>
      <c r="B9571" s="1" t="str">
        <f>"CK2024100518411"</f>
        <v>CK2024100518411</v>
      </c>
      <c r="C9571" s="1" t="str">
        <f>"DD2024100549557"</f>
        <v>DD2024100549557</v>
      </c>
      <c r="D9571" s="1" t="str">
        <f>"CK2024100542617"</f>
        <v>CK2024100542617</v>
      </c>
      <c r="E9571" s="1" t="str">
        <f>"6917838216228469927"</f>
        <v>6917838216228469927</v>
      </c>
      <c r="F9571" s="1" t="str">
        <f t="shared" si="2635"/>
        <v>花都四部-凤凰仓</v>
      </c>
      <c r="G9571" s="1" t="str">
        <f t="shared" si="2640"/>
        <v>卡卡杜个人护理店（抖店）</v>
      </c>
      <c r="H9571" s="1" t="str">
        <f t="shared" si="2636"/>
        <v>正常订单</v>
      </c>
      <c r="I9571" s="1" t="str">
        <f t="shared" si="2637"/>
        <v>已发货</v>
      </c>
      <c r="J9571" s="1" t="str">
        <f t="shared" si="2639"/>
        <v>2</v>
      </c>
      <c r="K9571" s="1">
        <v>1</v>
      </c>
      <c r="L9571" s="1" t="s">
        <v>94</v>
      </c>
      <c r="M9571" s="1" t="str">
        <f>"湖南省 郴州市 安仁县 永乐江镇"</f>
        <v>湖南省 郴州市 安仁县 永乐江镇</v>
      </c>
      <c r="N9571" s="1" t="str">
        <f t="shared" si="2641"/>
        <v>凡华云仓-韵达-抖音</v>
      </c>
      <c r="O9571" s="5">
        <v>320156924094574</v>
      </c>
      <c r="P9571" s="6">
        <v>0.33</v>
      </c>
      <c r="Q9571" s="11">
        <v>2.2999999999999998</v>
      </c>
      <c r="R9571" s="11"/>
      <c r="S9571" s="11"/>
      <c r="T9571" s="11"/>
      <c r="U9571" s="11">
        <f t="shared" si="2638"/>
        <v>2.2999999999999998</v>
      </c>
      <c r="W9571">
        <v>2.5</v>
      </c>
      <c r="X9571" s="1" t="s">
        <v>94</v>
      </c>
    </row>
    <row r="9572" spans="1:24" x14ac:dyDescent="0.25">
      <c r="A9572" s="1" t="str">
        <f t="shared" si="2634"/>
        <v>卡卡杜-凤凰仓</v>
      </c>
      <c r="B9572" s="1" t="str">
        <f>"CK2024100518412"</f>
        <v>CK2024100518412</v>
      </c>
      <c r="C9572" s="1" t="str">
        <f>"DD2024100549558"</f>
        <v>DD2024100549558</v>
      </c>
      <c r="D9572" s="1" t="str">
        <f>"CK2024100542616"</f>
        <v>CK2024100542616</v>
      </c>
      <c r="E9572" s="1" t="str">
        <f>"6917838143228968325"</f>
        <v>6917838143228968325</v>
      </c>
      <c r="F9572" s="1" t="str">
        <f t="shared" si="2635"/>
        <v>花都四部-凤凰仓</v>
      </c>
      <c r="G9572" s="1" t="str">
        <f t="shared" si="2640"/>
        <v>卡卡杜个人护理店（抖店）</v>
      </c>
      <c r="H9572" s="1" t="str">
        <f t="shared" si="2636"/>
        <v>正常订单</v>
      </c>
      <c r="I9572" s="1" t="str">
        <f t="shared" si="2637"/>
        <v>已发货</v>
      </c>
      <c r="J9572" s="1" t="str">
        <f t="shared" si="2639"/>
        <v>2</v>
      </c>
      <c r="K9572" s="1">
        <v>1</v>
      </c>
      <c r="L9572" s="1" t="s">
        <v>30</v>
      </c>
      <c r="M9572" s="1" t="str">
        <f>"山东省 临沂市 费县 "</f>
        <v xml:space="preserve">山东省 临沂市 费县 </v>
      </c>
      <c r="N9572" s="1" t="str">
        <f t="shared" si="2641"/>
        <v>凡华云仓-韵达-抖音</v>
      </c>
      <c r="O9572" s="5">
        <v>320156924094477</v>
      </c>
      <c r="P9572" s="6">
        <v>0.33</v>
      </c>
      <c r="Q9572" s="11">
        <v>2.2999999999999998</v>
      </c>
      <c r="R9572" s="11"/>
      <c r="S9572" s="11"/>
      <c r="T9572" s="11"/>
      <c r="U9572" s="11">
        <f t="shared" si="2638"/>
        <v>2.2999999999999998</v>
      </c>
      <c r="W9572">
        <v>2.5</v>
      </c>
      <c r="X9572" s="1" t="s">
        <v>30</v>
      </c>
    </row>
    <row r="9573" spans="1:24" x14ac:dyDescent="0.25">
      <c r="A9573" s="1" t="str">
        <f t="shared" si="2634"/>
        <v>卡卡杜-凤凰仓</v>
      </c>
      <c r="B9573" s="1" t="str">
        <f>"CK2024100518413"</f>
        <v>CK2024100518413</v>
      </c>
      <c r="C9573" s="1" t="str">
        <f>"DD2024100549559"</f>
        <v>DD2024100549559</v>
      </c>
      <c r="D9573" s="1" t="str">
        <f>"CK2024100542615"</f>
        <v>CK2024100542615</v>
      </c>
      <c r="E9573" s="1" t="str">
        <f>"6917836070414089483"</f>
        <v>6917836070414089483</v>
      </c>
      <c r="F9573" s="1" t="str">
        <f t="shared" si="2635"/>
        <v>花都四部-凤凰仓</v>
      </c>
      <c r="G9573" s="1" t="str">
        <f t="shared" si="2640"/>
        <v>卡卡杜个人护理店（抖店）</v>
      </c>
      <c r="H9573" s="1" t="str">
        <f t="shared" si="2636"/>
        <v>正常订单</v>
      </c>
      <c r="I9573" s="1" t="str">
        <f t="shared" si="2637"/>
        <v>已发货</v>
      </c>
      <c r="J9573" s="1" t="str">
        <f t="shared" si="2639"/>
        <v>2</v>
      </c>
      <c r="K9573" s="1">
        <v>1</v>
      </c>
      <c r="L9573" s="1" t="s">
        <v>161</v>
      </c>
      <c r="M9573" s="1" t="str">
        <f>"四川省 自贡市 富顺县 富世街道"</f>
        <v>四川省 自贡市 富顺县 富世街道</v>
      </c>
      <c r="N9573" s="1" t="str">
        <f t="shared" si="2641"/>
        <v>凡华云仓-韵达-抖音</v>
      </c>
      <c r="O9573" s="5">
        <v>320156924094382</v>
      </c>
      <c r="P9573" s="6">
        <v>0.33</v>
      </c>
      <c r="Q9573" s="11">
        <v>2.2999999999999998</v>
      </c>
      <c r="R9573" s="11"/>
      <c r="S9573" s="11"/>
      <c r="T9573" s="11"/>
      <c r="U9573" s="11">
        <f t="shared" si="2638"/>
        <v>2.2999999999999998</v>
      </c>
      <c r="W9573">
        <v>2.5</v>
      </c>
      <c r="X9573" s="1" t="s">
        <v>161</v>
      </c>
    </row>
    <row r="9574" spans="1:24" x14ac:dyDescent="0.25">
      <c r="A9574" s="1" t="str">
        <f t="shared" si="2634"/>
        <v>卡卡杜-凤凰仓</v>
      </c>
      <c r="B9574" s="1" t="str">
        <f>"CK2024100518414"</f>
        <v>CK2024100518414</v>
      </c>
      <c r="C9574" s="1" t="str">
        <f>"DD2024100549560"</f>
        <v>DD2024100549560</v>
      </c>
      <c r="D9574" s="1" t="str">
        <f>"CK2024100542614"</f>
        <v>CK2024100542614</v>
      </c>
      <c r="E9574" s="1" t="str">
        <f>"6917830999243259471"</f>
        <v>6917830999243259471</v>
      </c>
      <c r="F9574" s="1" t="str">
        <f t="shared" si="2635"/>
        <v>花都四部-凤凰仓</v>
      </c>
      <c r="G9574" s="1" t="str">
        <f t="shared" si="2640"/>
        <v>卡卡杜个人护理店（抖店）</v>
      </c>
      <c r="H9574" s="1" t="str">
        <f t="shared" si="2636"/>
        <v>正常订单</v>
      </c>
      <c r="I9574" s="1" t="str">
        <f t="shared" si="2637"/>
        <v>已发货</v>
      </c>
      <c r="J9574" s="1" t="str">
        <f t="shared" si="2639"/>
        <v>2</v>
      </c>
      <c r="K9574" s="1">
        <v>1</v>
      </c>
      <c r="L9574" s="1" t="s">
        <v>18</v>
      </c>
      <c r="M9574" s="1" t="str">
        <f>"广东省 深圳市 宝安区 新桥街道"</f>
        <v>广东省 深圳市 宝安区 新桥街道</v>
      </c>
      <c r="N9574" s="1" t="str">
        <f t="shared" si="2641"/>
        <v>凡华云仓-韵达-抖音</v>
      </c>
      <c r="O9574" s="5">
        <v>320156924094289</v>
      </c>
      <c r="P9574" s="6">
        <v>0.33</v>
      </c>
      <c r="Q9574" s="11">
        <v>2.2999999999999998</v>
      </c>
      <c r="R9574" s="11"/>
      <c r="S9574" s="11"/>
      <c r="T9574" s="11"/>
      <c r="U9574" s="11">
        <f t="shared" si="2638"/>
        <v>2.2999999999999998</v>
      </c>
      <c r="W9574">
        <v>2.5</v>
      </c>
      <c r="X9574" s="1" t="s">
        <v>18</v>
      </c>
    </row>
    <row r="9575" spans="1:24" x14ac:dyDescent="0.25">
      <c r="A9575" s="1" t="str">
        <f t="shared" si="2634"/>
        <v>卡卡杜-凤凰仓</v>
      </c>
      <c r="B9575" s="1" t="str">
        <f>"CK2024100518415"</f>
        <v>CK2024100518415</v>
      </c>
      <c r="C9575" s="1" t="str">
        <f>"DD2024100549561"</f>
        <v>DD2024100549561</v>
      </c>
      <c r="D9575" s="1" t="str">
        <f>"CK2024100542613"</f>
        <v>CK2024100542613</v>
      </c>
      <c r="E9575" s="1" t="str">
        <f>"6917830688423574845"</f>
        <v>6917830688423574845</v>
      </c>
      <c r="F9575" s="1" t="str">
        <f t="shared" si="2635"/>
        <v>花都四部-凤凰仓</v>
      </c>
      <c r="G9575" s="1" t="str">
        <f t="shared" si="2640"/>
        <v>卡卡杜个人护理店（抖店）</v>
      </c>
      <c r="H9575" s="1" t="str">
        <f t="shared" si="2636"/>
        <v>正常订单</v>
      </c>
      <c r="I9575" s="1" t="str">
        <f t="shared" si="2637"/>
        <v>已发货</v>
      </c>
      <c r="J9575" s="1" t="str">
        <f t="shared" si="2639"/>
        <v>2</v>
      </c>
      <c r="K9575" s="1">
        <v>1</v>
      </c>
      <c r="L9575" s="1" t="s">
        <v>74</v>
      </c>
      <c r="M9575" s="1" t="str">
        <f>"上海 上海市 闵行区 古美路街道"</f>
        <v>上海 上海市 闵行区 古美路街道</v>
      </c>
      <c r="N9575" s="1" t="str">
        <f t="shared" si="2641"/>
        <v>凡华云仓-韵达-抖音</v>
      </c>
      <c r="O9575" s="5">
        <v>320156924094198</v>
      </c>
      <c r="P9575" s="6">
        <v>0.33</v>
      </c>
      <c r="Q9575" s="11">
        <v>2.2999999999999998</v>
      </c>
      <c r="R9575" s="11"/>
      <c r="S9575" s="11"/>
      <c r="T9575" s="11"/>
      <c r="U9575" s="11">
        <f t="shared" si="2638"/>
        <v>2.2999999999999998</v>
      </c>
      <c r="W9575">
        <v>2.5</v>
      </c>
      <c r="X9575" s="1" t="s">
        <v>74</v>
      </c>
    </row>
    <row r="9576" spans="1:24" x14ac:dyDescent="0.25">
      <c r="A9576" s="1" t="str">
        <f t="shared" si="2634"/>
        <v>卡卡杜-凤凰仓</v>
      </c>
      <c r="B9576" s="1" t="str">
        <f>"CK2024100518416"</f>
        <v>CK2024100518416</v>
      </c>
      <c r="C9576" s="1" t="str">
        <f>"DD2024100549562"</f>
        <v>DD2024100549562</v>
      </c>
      <c r="D9576" s="1" t="str">
        <f>"CK2024100542612"</f>
        <v>CK2024100542612</v>
      </c>
      <c r="E9576" s="1" t="str">
        <f>"6917838198276980518"</f>
        <v>6917838198276980518</v>
      </c>
      <c r="F9576" s="1" t="str">
        <f t="shared" si="2635"/>
        <v>花都四部-凤凰仓</v>
      </c>
      <c r="G9576" s="1" t="str">
        <f t="shared" si="2640"/>
        <v>卡卡杜个人护理店（抖店）</v>
      </c>
      <c r="H9576" s="1" t="str">
        <f t="shared" si="2636"/>
        <v>正常订单</v>
      </c>
      <c r="I9576" s="1" t="str">
        <f t="shared" si="2637"/>
        <v>已发货</v>
      </c>
      <c r="J9576" s="1" t="str">
        <f t="shared" si="2639"/>
        <v>2</v>
      </c>
      <c r="K9576" s="1">
        <v>1</v>
      </c>
      <c r="L9576" s="1" t="s">
        <v>105</v>
      </c>
      <c r="M9576" s="1" t="str">
        <f>"北京 北京市 丰台区 北宫镇"</f>
        <v>北京 北京市 丰台区 北宫镇</v>
      </c>
      <c r="N9576" s="1" t="str">
        <f t="shared" si="2641"/>
        <v>凡华云仓-韵达-抖音</v>
      </c>
      <c r="O9576" s="5">
        <v>320156924094009</v>
      </c>
      <c r="P9576" s="6">
        <v>0.33</v>
      </c>
      <c r="Q9576" s="11">
        <v>2.2999999999999998</v>
      </c>
      <c r="R9576" s="11"/>
      <c r="S9576" s="11"/>
      <c r="T9576" s="11"/>
      <c r="U9576" s="11">
        <f t="shared" si="2638"/>
        <v>2.2999999999999998</v>
      </c>
      <c r="W9576">
        <v>2.5</v>
      </c>
      <c r="X9576" s="1" t="s">
        <v>105</v>
      </c>
    </row>
    <row r="9577" spans="1:24" x14ac:dyDescent="0.25">
      <c r="A9577" s="1" t="str">
        <f t="shared" si="2634"/>
        <v>卡卡杜-凤凰仓</v>
      </c>
      <c r="B9577" s="1" t="str">
        <f>"CK2024100518417"</f>
        <v>CK2024100518417</v>
      </c>
      <c r="C9577" s="1" t="str">
        <f>"DD2024100549563"</f>
        <v>DD2024100549563</v>
      </c>
      <c r="D9577" s="1" t="str">
        <f>"CK2024100542611"</f>
        <v>CK2024100542611</v>
      </c>
      <c r="E9577" s="1" t="str">
        <f>"6917845293364313435"</f>
        <v>6917845293364313435</v>
      </c>
      <c r="F9577" s="1" t="str">
        <f t="shared" si="2635"/>
        <v>花都四部-凤凰仓</v>
      </c>
      <c r="G9577" s="1" t="str">
        <f t="shared" si="2640"/>
        <v>卡卡杜个人护理店（抖店）</v>
      </c>
      <c r="H9577" s="1" t="str">
        <f t="shared" si="2636"/>
        <v>正常订单</v>
      </c>
      <c r="I9577" s="1" t="str">
        <f t="shared" si="2637"/>
        <v>已发货</v>
      </c>
      <c r="J9577" s="1" t="str">
        <f t="shared" si="2639"/>
        <v>2</v>
      </c>
      <c r="K9577" s="1">
        <v>1</v>
      </c>
      <c r="L9577" s="1" t="s">
        <v>24</v>
      </c>
      <c r="M9577" s="1" t="str">
        <f>"福建省 泉州市 晋江市 "</f>
        <v xml:space="preserve">福建省 泉州市 晋江市 </v>
      </c>
      <c r="N9577" s="1" t="str">
        <f t="shared" si="2641"/>
        <v>凡华云仓-韵达-抖音</v>
      </c>
      <c r="O9577" s="5">
        <v>320156924093987</v>
      </c>
      <c r="P9577" s="6">
        <v>0.33</v>
      </c>
      <c r="Q9577" s="11">
        <v>2.2999999999999998</v>
      </c>
      <c r="R9577" s="11"/>
      <c r="S9577" s="11"/>
      <c r="T9577" s="11"/>
      <c r="U9577" s="11">
        <f t="shared" si="2638"/>
        <v>2.2999999999999998</v>
      </c>
      <c r="W9577">
        <v>2.5</v>
      </c>
      <c r="X9577" s="1" t="s">
        <v>24</v>
      </c>
    </row>
    <row r="9578" spans="1:24" x14ac:dyDescent="0.25">
      <c r="A9578" s="1" t="str">
        <f t="shared" si="2634"/>
        <v>卡卡杜-凤凰仓</v>
      </c>
      <c r="B9578" s="1" t="str">
        <f>"CK2024100518418"</f>
        <v>CK2024100518418</v>
      </c>
      <c r="C9578" s="1" t="str">
        <f>"DD2024100549564"</f>
        <v>DD2024100549564</v>
      </c>
      <c r="D9578" s="1" t="str">
        <f>"CK2024100542610"</f>
        <v>CK2024100542610</v>
      </c>
      <c r="E9578" s="1" t="str">
        <f>"6917831012888247407"</f>
        <v>6917831012888247407</v>
      </c>
      <c r="F9578" s="1" t="str">
        <f t="shared" si="2635"/>
        <v>花都四部-凤凰仓</v>
      </c>
      <c r="G9578" s="1" t="str">
        <f t="shared" si="2640"/>
        <v>卡卡杜个人护理店（抖店）</v>
      </c>
      <c r="H9578" s="1" t="str">
        <f t="shared" si="2636"/>
        <v>正常订单</v>
      </c>
      <c r="I9578" s="1" t="str">
        <f t="shared" si="2637"/>
        <v>已发货</v>
      </c>
      <c r="J9578" s="1" t="str">
        <f t="shared" si="2639"/>
        <v>2</v>
      </c>
      <c r="K9578" s="1">
        <v>1</v>
      </c>
      <c r="L9578" s="1" t="s">
        <v>22</v>
      </c>
      <c r="M9578" s="1" t="str">
        <f>"江西省 赣州市 南康区 横寨乡"</f>
        <v>江西省 赣州市 南康区 横寨乡</v>
      </c>
      <c r="N9578" s="1" t="str">
        <f t="shared" si="2641"/>
        <v>凡华云仓-韵达-抖音</v>
      </c>
      <c r="O9578" s="5">
        <v>320156924093882</v>
      </c>
      <c r="P9578" s="6">
        <v>0.33</v>
      </c>
      <c r="Q9578" s="11">
        <v>2.2999999999999998</v>
      </c>
      <c r="R9578" s="11"/>
      <c r="S9578" s="11"/>
      <c r="T9578" s="11"/>
      <c r="U9578" s="11">
        <f t="shared" si="2638"/>
        <v>2.2999999999999998</v>
      </c>
      <c r="W9578">
        <v>2.5</v>
      </c>
      <c r="X9578" s="1" t="s">
        <v>22</v>
      </c>
    </row>
    <row r="9579" spans="1:24" x14ac:dyDescent="0.25">
      <c r="A9579" s="1" t="str">
        <f t="shared" ref="A9579:A9642" si="2642">"卡卡杜-凤凰仓"</f>
        <v>卡卡杜-凤凰仓</v>
      </c>
      <c r="B9579" s="1" t="str">
        <f>"CK2024100518419"</f>
        <v>CK2024100518419</v>
      </c>
      <c r="C9579" s="1" t="str">
        <f>"DD2024100549565"</f>
        <v>DD2024100549565</v>
      </c>
      <c r="D9579" s="1" t="str">
        <f>"CK2024100542609"</f>
        <v>CK2024100542609</v>
      </c>
      <c r="E9579" s="1" t="str">
        <f>"6917840635723021820"</f>
        <v>6917840635723021820</v>
      </c>
      <c r="F9579" s="1" t="str">
        <f t="shared" ref="F9579:F9642" si="2643">"花都四部-凤凰仓"</f>
        <v>花都四部-凤凰仓</v>
      </c>
      <c r="G9579" s="1" t="str">
        <f t="shared" si="2640"/>
        <v>卡卡杜个人护理店（抖店）</v>
      </c>
      <c r="H9579" s="1" t="str">
        <f t="shared" ref="H9579:H9642" si="2644">"正常订单"</f>
        <v>正常订单</v>
      </c>
      <c r="I9579" s="1" t="str">
        <f t="shared" ref="I9579:I9642" si="2645">"已发货"</f>
        <v>已发货</v>
      </c>
      <c r="J9579" s="1" t="str">
        <f t="shared" si="2639"/>
        <v>2</v>
      </c>
      <c r="K9579" s="1">
        <v>1</v>
      </c>
      <c r="L9579" s="1" t="s">
        <v>22</v>
      </c>
      <c r="M9579" s="1" t="str">
        <f>"江西省 吉安市 万安县 芙蓉镇"</f>
        <v>江西省 吉安市 万安县 芙蓉镇</v>
      </c>
      <c r="N9579" s="1" t="str">
        <f t="shared" si="2641"/>
        <v>凡华云仓-韵达-抖音</v>
      </c>
      <c r="O9579" s="5">
        <v>320156905664261</v>
      </c>
      <c r="P9579" s="6">
        <v>0.33</v>
      </c>
      <c r="Q9579" s="11">
        <v>2.2999999999999998</v>
      </c>
      <c r="R9579" s="11"/>
      <c r="S9579" s="11"/>
      <c r="T9579" s="11"/>
      <c r="U9579" s="11">
        <f t="shared" si="2638"/>
        <v>2.2999999999999998</v>
      </c>
      <c r="W9579">
        <v>2.5</v>
      </c>
      <c r="X9579" s="1" t="s">
        <v>22</v>
      </c>
    </row>
    <row r="9580" spans="1:24" x14ac:dyDescent="0.25">
      <c r="A9580" s="1" t="str">
        <f t="shared" si="2642"/>
        <v>卡卡杜-凤凰仓</v>
      </c>
      <c r="B9580" s="1" t="str">
        <f>"CK2024100518420"</f>
        <v>CK2024100518420</v>
      </c>
      <c r="C9580" s="1" t="str">
        <f>"DD2024100549566"</f>
        <v>DD2024100549566</v>
      </c>
      <c r="D9580" s="1" t="str">
        <f>"CK2024100542608"</f>
        <v>CK2024100542608</v>
      </c>
      <c r="E9580" s="1" t="str">
        <f>"6917835686175145497"</f>
        <v>6917835686175145497</v>
      </c>
      <c r="F9580" s="1" t="str">
        <f t="shared" si="2643"/>
        <v>花都四部-凤凰仓</v>
      </c>
      <c r="G9580" s="1" t="str">
        <f t="shared" si="2640"/>
        <v>卡卡杜个人护理店（抖店）</v>
      </c>
      <c r="H9580" s="1" t="str">
        <f t="shared" si="2644"/>
        <v>正常订单</v>
      </c>
      <c r="I9580" s="1" t="str">
        <f t="shared" si="2645"/>
        <v>已发货</v>
      </c>
      <c r="J9580" s="1" t="str">
        <f t="shared" si="2639"/>
        <v>2</v>
      </c>
      <c r="K9580" s="1">
        <v>1</v>
      </c>
      <c r="L9580" s="1" t="s">
        <v>60</v>
      </c>
      <c r="M9580" s="1" t="str">
        <f>"云南省 红河哈尼族彝族自治州 建水县 面甸镇"</f>
        <v>云南省 红河哈尼族彝族自治州 建水县 面甸镇</v>
      </c>
      <c r="N9580" s="1" t="str">
        <f t="shared" si="2641"/>
        <v>凡华云仓-韵达-抖音</v>
      </c>
      <c r="O9580" s="5">
        <v>320156905664170</v>
      </c>
      <c r="P9580" s="6">
        <v>0.33</v>
      </c>
      <c r="Q9580" s="11">
        <v>2.2999999999999998</v>
      </c>
      <c r="R9580" s="11"/>
      <c r="S9580" s="11"/>
      <c r="T9580" s="11"/>
      <c r="U9580" s="11">
        <f t="shared" si="2638"/>
        <v>2.2999999999999998</v>
      </c>
      <c r="W9580">
        <v>2.5</v>
      </c>
      <c r="X9580" s="1" t="s">
        <v>60</v>
      </c>
    </row>
    <row r="9581" spans="1:24" x14ac:dyDescent="0.25">
      <c r="A9581" s="1" t="str">
        <f t="shared" si="2642"/>
        <v>卡卡杜-凤凰仓</v>
      </c>
      <c r="B9581" s="1" t="str">
        <f>"CK2024100518422"</f>
        <v>CK2024100518422</v>
      </c>
      <c r="C9581" s="1" t="str">
        <f>"DD2024100549568"</f>
        <v>DD2024100549568</v>
      </c>
      <c r="D9581" s="1" t="str">
        <f>"CK2024100542607"</f>
        <v>CK2024100542607</v>
      </c>
      <c r="E9581" s="1" t="str">
        <f>"6917843119471098890"</f>
        <v>6917843119471098890</v>
      </c>
      <c r="F9581" s="1" t="str">
        <f t="shared" si="2643"/>
        <v>花都四部-凤凰仓</v>
      </c>
      <c r="G9581" s="1" t="str">
        <f t="shared" si="2640"/>
        <v>卡卡杜个人护理店（抖店）</v>
      </c>
      <c r="H9581" s="1" t="str">
        <f t="shared" si="2644"/>
        <v>正常订单</v>
      </c>
      <c r="I9581" s="1" t="str">
        <f t="shared" si="2645"/>
        <v>已发货</v>
      </c>
      <c r="J9581" s="1" t="str">
        <f t="shared" si="2639"/>
        <v>2</v>
      </c>
      <c r="K9581" s="1">
        <v>1</v>
      </c>
      <c r="L9581" s="1" t="s">
        <v>22</v>
      </c>
      <c r="M9581" s="1" t="str">
        <f>"江西省 上饶市 横峰县 岑阳镇"</f>
        <v>江西省 上饶市 横峰县 岑阳镇</v>
      </c>
      <c r="N9581" s="1" t="str">
        <f t="shared" si="2641"/>
        <v>凡华云仓-韵达-抖音</v>
      </c>
      <c r="O9581" s="5">
        <v>320156905664081</v>
      </c>
      <c r="P9581" s="6">
        <v>0.33</v>
      </c>
      <c r="Q9581" s="11">
        <v>2.2999999999999998</v>
      </c>
      <c r="R9581" s="11"/>
      <c r="S9581" s="11"/>
      <c r="T9581" s="11"/>
      <c r="U9581" s="11">
        <f t="shared" si="2638"/>
        <v>2.2999999999999998</v>
      </c>
      <c r="W9581">
        <v>2.5</v>
      </c>
      <c r="X9581" s="1" t="s">
        <v>22</v>
      </c>
    </row>
    <row r="9582" spans="1:24" x14ac:dyDescent="0.25">
      <c r="A9582" s="1" t="str">
        <f t="shared" si="2642"/>
        <v>卡卡杜-凤凰仓</v>
      </c>
      <c r="B9582" s="1" t="str">
        <f>"CK2024100518423"</f>
        <v>CK2024100518423</v>
      </c>
      <c r="C9582" s="1" t="str">
        <f>"DD2024100549570"</f>
        <v>DD2024100549570</v>
      </c>
      <c r="D9582" s="1" t="str">
        <f>"CK2024100542606"</f>
        <v>CK2024100542606</v>
      </c>
      <c r="E9582" s="1" t="str">
        <f>"6917835617660861881"</f>
        <v>6917835617660861881</v>
      </c>
      <c r="F9582" s="1" t="str">
        <f t="shared" si="2643"/>
        <v>花都四部-凤凰仓</v>
      </c>
      <c r="G9582" s="1" t="str">
        <f t="shared" si="2640"/>
        <v>卡卡杜个人护理店（抖店）</v>
      </c>
      <c r="H9582" s="1" t="str">
        <f t="shared" si="2644"/>
        <v>正常订单</v>
      </c>
      <c r="I9582" s="1" t="str">
        <f t="shared" si="2645"/>
        <v>已发货</v>
      </c>
      <c r="J9582" s="1" t="str">
        <f t="shared" si="2639"/>
        <v>2</v>
      </c>
      <c r="K9582" s="1">
        <v>1</v>
      </c>
      <c r="L9582" s="1" t="s">
        <v>13</v>
      </c>
      <c r="M9582" s="1" t="str">
        <f>"江苏省 扬州市 邗江区 杨寿镇"</f>
        <v>江苏省 扬州市 邗江区 杨寿镇</v>
      </c>
      <c r="N9582" s="1" t="str">
        <f t="shared" si="2641"/>
        <v>凡华云仓-韵达-抖音</v>
      </c>
      <c r="O9582" s="5">
        <v>320156905663959</v>
      </c>
      <c r="P9582" s="6">
        <v>0.33</v>
      </c>
      <c r="Q9582" s="11">
        <v>2.2999999999999998</v>
      </c>
      <c r="R9582" s="11"/>
      <c r="S9582" s="11"/>
      <c r="T9582" s="11"/>
      <c r="U9582" s="11">
        <f t="shared" si="2638"/>
        <v>2.2999999999999998</v>
      </c>
      <c r="W9582">
        <v>2.5</v>
      </c>
      <c r="X9582" s="1" t="s">
        <v>13</v>
      </c>
    </row>
    <row r="9583" spans="1:24" x14ac:dyDescent="0.25">
      <c r="A9583" s="1" t="str">
        <f t="shared" si="2642"/>
        <v>卡卡杜-凤凰仓</v>
      </c>
      <c r="B9583" s="1" t="str">
        <f>"CK2024100518424"</f>
        <v>CK2024100518424</v>
      </c>
      <c r="C9583" s="1" t="str">
        <f>"DD2024100549569"</f>
        <v>DD2024100549569</v>
      </c>
      <c r="D9583" s="1" t="str">
        <f>"CK2024100542605"</f>
        <v>CK2024100542605</v>
      </c>
      <c r="E9583" s="1" t="str">
        <f>"6917840673714241032"</f>
        <v>6917840673714241032</v>
      </c>
      <c r="F9583" s="1" t="str">
        <f t="shared" si="2643"/>
        <v>花都四部-凤凰仓</v>
      </c>
      <c r="G9583" s="1" t="str">
        <f t="shared" si="2640"/>
        <v>卡卡杜个人护理店（抖店）</v>
      </c>
      <c r="H9583" s="1" t="str">
        <f t="shared" si="2644"/>
        <v>正常订单</v>
      </c>
      <c r="I9583" s="1" t="str">
        <f t="shared" si="2645"/>
        <v>已发货</v>
      </c>
      <c r="J9583" s="1" t="str">
        <f t="shared" si="2639"/>
        <v>2</v>
      </c>
      <c r="K9583" s="1">
        <v>1</v>
      </c>
      <c r="L9583" s="1" t="s">
        <v>24</v>
      </c>
      <c r="M9583" s="1" t="str">
        <f>"福建省 漳州市 漳浦县 绥安镇"</f>
        <v>福建省 漳州市 漳浦县 绥安镇</v>
      </c>
      <c r="N9583" s="1" t="str">
        <f t="shared" si="2641"/>
        <v>凡华云仓-韵达-抖音</v>
      </c>
      <c r="O9583" s="5">
        <v>320156905663854</v>
      </c>
      <c r="P9583" s="6">
        <v>0.33</v>
      </c>
      <c r="Q9583" s="11">
        <v>2.2999999999999998</v>
      </c>
      <c r="R9583" s="11"/>
      <c r="S9583" s="11"/>
      <c r="T9583" s="11"/>
      <c r="U9583" s="11">
        <f t="shared" si="2638"/>
        <v>2.2999999999999998</v>
      </c>
      <c r="W9583">
        <v>2.5</v>
      </c>
      <c r="X9583" s="1" t="s">
        <v>24</v>
      </c>
    </row>
    <row r="9584" spans="1:24" x14ac:dyDescent="0.25">
      <c r="A9584" s="1" t="str">
        <f t="shared" si="2642"/>
        <v>卡卡杜-凤凰仓</v>
      </c>
      <c r="B9584" s="1" t="str">
        <f>"CK2024100518425"</f>
        <v>CK2024100518425</v>
      </c>
      <c r="C9584" s="1" t="str">
        <f>"DD2024100549571"</f>
        <v>DD2024100549571</v>
      </c>
      <c r="D9584" s="1" t="str">
        <f>"CK2024100542604"</f>
        <v>CK2024100542604</v>
      </c>
      <c r="E9584" s="1" t="str">
        <f>"6917835727746464940"</f>
        <v>6917835727746464940</v>
      </c>
      <c r="F9584" s="1" t="str">
        <f t="shared" si="2643"/>
        <v>花都四部-凤凰仓</v>
      </c>
      <c r="G9584" s="1" t="str">
        <f t="shared" si="2640"/>
        <v>卡卡杜个人护理店（抖店）</v>
      </c>
      <c r="H9584" s="1" t="str">
        <f t="shared" si="2644"/>
        <v>正常订单</v>
      </c>
      <c r="I9584" s="1" t="str">
        <f t="shared" si="2645"/>
        <v>已发货</v>
      </c>
      <c r="J9584" s="1" t="str">
        <f t="shared" si="2639"/>
        <v>2</v>
      </c>
      <c r="K9584" s="1">
        <v>1</v>
      </c>
      <c r="L9584" s="1" t="s">
        <v>20</v>
      </c>
      <c r="M9584" s="1" t="str">
        <f>"浙江省 台州市 椒江区 葭沚街道"</f>
        <v>浙江省 台州市 椒江区 葭沚街道</v>
      </c>
      <c r="N9584" s="1" t="str">
        <f t="shared" si="2641"/>
        <v>凡华云仓-韵达-抖音</v>
      </c>
      <c r="O9584" s="5">
        <v>320156905663751</v>
      </c>
      <c r="P9584" s="6">
        <v>0.33</v>
      </c>
      <c r="Q9584" s="11">
        <v>2.2999999999999998</v>
      </c>
      <c r="R9584" s="11"/>
      <c r="S9584" s="11"/>
      <c r="T9584" s="11"/>
      <c r="U9584" s="11">
        <f t="shared" si="2638"/>
        <v>2.2999999999999998</v>
      </c>
      <c r="W9584">
        <v>2.5</v>
      </c>
      <c r="X9584" s="1" t="s">
        <v>20</v>
      </c>
    </row>
    <row r="9585" spans="1:24" x14ac:dyDescent="0.25">
      <c r="A9585" s="1" t="str">
        <f t="shared" si="2642"/>
        <v>卡卡杜-凤凰仓</v>
      </c>
      <c r="B9585" s="1" t="str">
        <f>"CK2024100518427"</f>
        <v>CK2024100518427</v>
      </c>
      <c r="C9585" s="1" t="str">
        <f>"DD2024100549574"</f>
        <v>DD2024100549574</v>
      </c>
      <c r="D9585" s="1" t="str">
        <f>"CK2024100542603"</f>
        <v>CK2024100542603</v>
      </c>
      <c r="E9585" s="1" t="str">
        <f>"6917843076566122261"</f>
        <v>6917843076566122261</v>
      </c>
      <c r="F9585" s="1" t="str">
        <f t="shared" si="2643"/>
        <v>花都四部-凤凰仓</v>
      </c>
      <c r="G9585" s="1" t="str">
        <f t="shared" si="2640"/>
        <v>卡卡杜个人护理店（抖店）</v>
      </c>
      <c r="H9585" s="1" t="str">
        <f t="shared" si="2644"/>
        <v>正常订单</v>
      </c>
      <c r="I9585" s="1" t="str">
        <f t="shared" si="2645"/>
        <v>已发货</v>
      </c>
      <c r="J9585" s="1" t="str">
        <f t="shared" si="2639"/>
        <v>2</v>
      </c>
      <c r="K9585" s="1">
        <v>1</v>
      </c>
      <c r="L9585" s="1" t="s">
        <v>18</v>
      </c>
      <c r="M9585" s="1" t="str">
        <f>"广东省 佛山市 顺德区 勒流街道"</f>
        <v>广东省 佛山市 顺德区 勒流街道</v>
      </c>
      <c r="N9585" s="1" t="str">
        <f t="shared" si="2641"/>
        <v>凡华云仓-韵达-抖音</v>
      </c>
      <c r="O9585" s="5">
        <v>320156905663650</v>
      </c>
      <c r="P9585" s="6">
        <v>0.33</v>
      </c>
      <c r="Q9585" s="11">
        <v>2.2999999999999998</v>
      </c>
      <c r="R9585" s="11"/>
      <c r="S9585" s="11"/>
      <c r="T9585" s="11"/>
      <c r="U9585" s="11">
        <f t="shared" si="2638"/>
        <v>2.2999999999999998</v>
      </c>
      <c r="W9585">
        <v>2.5</v>
      </c>
      <c r="X9585" s="1" t="s">
        <v>18</v>
      </c>
    </row>
    <row r="9586" spans="1:24" x14ac:dyDescent="0.25">
      <c r="A9586" s="1" t="str">
        <f t="shared" si="2642"/>
        <v>卡卡杜-凤凰仓</v>
      </c>
      <c r="B9586" s="1" t="str">
        <f>"CK2024100518428"</f>
        <v>CK2024100518428</v>
      </c>
      <c r="C9586" s="1" t="str">
        <f>"DD2024100549573"</f>
        <v>DD2024100549573</v>
      </c>
      <c r="D9586" s="1" t="str">
        <f>"CK2024100542602"</f>
        <v>CK2024100542602</v>
      </c>
      <c r="E9586" s="1" t="str">
        <f>"6917838351813344336"</f>
        <v>6917838351813344336</v>
      </c>
      <c r="F9586" s="1" t="str">
        <f t="shared" si="2643"/>
        <v>花都四部-凤凰仓</v>
      </c>
      <c r="G9586" s="1" t="str">
        <f t="shared" si="2640"/>
        <v>卡卡杜个人护理店（抖店）</v>
      </c>
      <c r="H9586" s="1" t="str">
        <f t="shared" si="2644"/>
        <v>正常订单</v>
      </c>
      <c r="I9586" s="1" t="str">
        <f t="shared" si="2645"/>
        <v>已发货</v>
      </c>
      <c r="J9586" s="1" t="str">
        <f t="shared" si="2639"/>
        <v>2</v>
      </c>
      <c r="K9586" s="1">
        <v>1</v>
      </c>
      <c r="L9586" s="1" t="s">
        <v>16</v>
      </c>
      <c r="M9586" s="1" t="str">
        <f>"河北省 保定市 莲池区 五四路街道"</f>
        <v>河北省 保定市 莲池区 五四路街道</v>
      </c>
      <c r="N9586" s="1" t="str">
        <f t="shared" si="2641"/>
        <v>凡华云仓-韵达-抖音</v>
      </c>
      <c r="O9586" s="5">
        <v>320156905663551</v>
      </c>
      <c r="P9586" s="6">
        <v>0.33</v>
      </c>
      <c r="Q9586" s="11">
        <v>2.2999999999999998</v>
      </c>
      <c r="R9586" s="11"/>
      <c r="S9586" s="11"/>
      <c r="T9586" s="11"/>
      <c r="U9586" s="11">
        <f t="shared" si="2638"/>
        <v>2.2999999999999998</v>
      </c>
      <c r="W9586">
        <v>2.5</v>
      </c>
      <c r="X9586" s="1" t="s">
        <v>16</v>
      </c>
    </row>
    <row r="9587" spans="1:24" x14ac:dyDescent="0.25">
      <c r="A9587" s="1" t="str">
        <f t="shared" si="2642"/>
        <v>卡卡杜-凤凰仓</v>
      </c>
      <c r="B9587" s="1" t="str">
        <f>"CK2024100518429"</f>
        <v>CK2024100518429</v>
      </c>
      <c r="C9587" s="1" t="str">
        <f>"DD2024100549578"</f>
        <v>DD2024100549578</v>
      </c>
      <c r="D9587" s="1" t="str">
        <f>"CK2024100542601"</f>
        <v>CK2024100542601</v>
      </c>
      <c r="E9587" s="1" t="str">
        <f>"6917845238863658236"</f>
        <v>6917845238863658236</v>
      </c>
      <c r="F9587" s="1" t="str">
        <f t="shared" si="2643"/>
        <v>花都四部-凤凰仓</v>
      </c>
      <c r="G9587" s="1" t="str">
        <f t="shared" si="2640"/>
        <v>卡卡杜个人护理店（抖店）</v>
      </c>
      <c r="H9587" s="1" t="str">
        <f t="shared" si="2644"/>
        <v>正常订单</v>
      </c>
      <c r="I9587" s="1" t="str">
        <f t="shared" si="2645"/>
        <v>已发货</v>
      </c>
      <c r="J9587" s="1" t="str">
        <f t="shared" si="2639"/>
        <v>2</v>
      </c>
      <c r="K9587" s="1">
        <v>1</v>
      </c>
      <c r="L9587" s="1" t="s">
        <v>20</v>
      </c>
      <c r="M9587" s="1" t="str">
        <f>"浙江省 杭州市 临平区 塘栖镇"</f>
        <v>浙江省 杭州市 临平区 塘栖镇</v>
      </c>
      <c r="N9587" s="1" t="str">
        <f t="shared" si="2641"/>
        <v>凡华云仓-韵达-抖音</v>
      </c>
      <c r="O9587" s="5">
        <v>320156905663454</v>
      </c>
      <c r="P9587" s="6">
        <v>0.33</v>
      </c>
      <c r="Q9587" s="11">
        <v>2.2999999999999998</v>
      </c>
      <c r="R9587" s="11"/>
      <c r="S9587" s="11"/>
      <c r="T9587" s="11"/>
      <c r="U9587" s="11">
        <f t="shared" si="2638"/>
        <v>2.2999999999999998</v>
      </c>
      <c r="W9587">
        <v>2.5</v>
      </c>
      <c r="X9587" s="1" t="s">
        <v>20</v>
      </c>
    </row>
    <row r="9588" spans="1:24" x14ac:dyDescent="0.25">
      <c r="A9588" s="1" t="str">
        <f t="shared" si="2642"/>
        <v>卡卡杜-凤凰仓</v>
      </c>
      <c r="B9588" s="1" t="str">
        <f>"CK2024100518430"</f>
        <v>CK2024100518430</v>
      </c>
      <c r="C9588" s="1" t="str">
        <f>"DD2024100549575"</f>
        <v>DD2024100549575</v>
      </c>
      <c r="D9588" s="1" t="str">
        <f>"CK2024100542600"</f>
        <v>CK2024100542600</v>
      </c>
      <c r="E9588" s="1" t="str">
        <f>"6917836046798519330"</f>
        <v>6917836046798519330</v>
      </c>
      <c r="F9588" s="1" t="str">
        <f t="shared" si="2643"/>
        <v>花都四部-凤凰仓</v>
      </c>
      <c r="G9588" s="1" t="str">
        <f t="shared" si="2640"/>
        <v>卡卡杜个人护理店（抖店）</v>
      </c>
      <c r="H9588" s="1" t="str">
        <f t="shared" si="2644"/>
        <v>正常订单</v>
      </c>
      <c r="I9588" s="1" t="str">
        <f t="shared" si="2645"/>
        <v>已发货</v>
      </c>
      <c r="J9588" s="1" t="str">
        <f t="shared" si="2639"/>
        <v>2</v>
      </c>
      <c r="K9588" s="1">
        <v>1</v>
      </c>
      <c r="L9588" s="1" t="s">
        <v>24</v>
      </c>
      <c r="M9588" s="1" t="str">
        <f>"福建省 漳州市 云霄县 莆美镇"</f>
        <v>福建省 漳州市 云霄县 莆美镇</v>
      </c>
      <c r="N9588" s="1" t="str">
        <f t="shared" si="2641"/>
        <v>凡华云仓-韵达-抖音</v>
      </c>
      <c r="O9588" s="5">
        <v>320156905663359</v>
      </c>
      <c r="P9588" s="6">
        <v>0.33</v>
      </c>
      <c r="Q9588" s="11">
        <v>2.2999999999999998</v>
      </c>
      <c r="R9588" s="11"/>
      <c r="S9588" s="11"/>
      <c r="T9588" s="11"/>
      <c r="U9588" s="11">
        <f t="shared" si="2638"/>
        <v>2.2999999999999998</v>
      </c>
      <c r="W9588">
        <v>2.5</v>
      </c>
      <c r="X9588" s="1" t="s">
        <v>24</v>
      </c>
    </row>
    <row r="9589" spans="1:24" x14ac:dyDescent="0.25">
      <c r="A9589" s="1" t="str">
        <f t="shared" si="2642"/>
        <v>卡卡杜-凤凰仓</v>
      </c>
      <c r="B9589" s="1" t="str">
        <f>"CK2024100518431"</f>
        <v>CK2024100518431</v>
      </c>
      <c r="C9589" s="1" t="str">
        <f>"DD2024100549576"</f>
        <v>DD2024100549576</v>
      </c>
      <c r="D9589" s="1" t="str">
        <f>"CK2024100542599"</f>
        <v>CK2024100542599</v>
      </c>
      <c r="E9589" s="1" t="str">
        <f>"6917838180940545197"</f>
        <v>6917838180940545197</v>
      </c>
      <c r="F9589" s="1" t="str">
        <f t="shared" si="2643"/>
        <v>花都四部-凤凰仓</v>
      </c>
      <c r="G9589" s="1" t="str">
        <f t="shared" si="2640"/>
        <v>卡卡杜个人护理店（抖店）</v>
      </c>
      <c r="H9589" s="1" t="str">
        <f t="shared" si="2644"/>
        <v>正常订单</v>
      </c>
      <c r="I9589" s="1" t="str">
        <f t="shared" si="2645"/>
        <v>已发货</v>
      </c>
      <c r="J9589" s="1" t="str">
        <f t="shared" si="2639"/>
        <v>2</v>
      </c>
      <c r="K9589" s="1">
        <v>1</v>
      </c>
      <c r="L9589" s="1" t="s">
        <v>24</v>
      </c>
      <c r="M9589" s="1" t="str">
        <f>"福建省 南平市 邵武市 昭阳街道"</f>
        <v>福建省 南平市 邵武市 昭阳街道</v>
      </c>
      <c r="N9589" s="1" t="str">
        <f t="shared" si="2641"/>
        <v>凡华云仓-韵达-抖音</v>
      </c>
      <c r="O9589" s="5">
        <v>320156924095771</v>
      </c>
      <c r="P9589" s="6">
        <v>0.33</v>
      </c>
      <c r="Q9589" s="11">
        <v>2.2999999999999998</v>
      </c>
      <c r="R9589" s="11"/>
      <c r="S9589" s="11"/>
      <c r="T9589" s="11"/>
      <c r="U9589" s="11">
        <f t="shared" si="2638"/>
        <v>2.2999999999999998</v>
      </c>
      <c r="W9589">
        <v>2.5</v>
      </c>
      <c r="X9589" s="1" t="s">
        <v>24</v>
      </c>
    </row>
    <row r="9590" spans="1:24" x14ac:dyDescent="0.25">
      <c r="A9590" s="1" t="str">
        <f t="shared" si="2642"/>
        <v>卡卡杜-凤凰仓</v>
      </c>
      <c r="B9590" s="1" t="str">
        <f>"CK2024100518432"</f>
        <v>CK2024100518432</v>
      </c>
      <c r="C9590" s="1" t="str">
        <f>"DD2024100549577"</f>
        <v>DD2024100549577</v>
      </c>
      <c r="D9590" s="1" t="str">
        <f>"CK2024100542598"</f>
        <v>CK2024100542598</v>
      </c>
      <c r="E9590" s="1" t="str">
        <f>"6917835868751494815"</f>
        <v>6917835868751494815</v>
      </c>
      <c r="F9590" s="1" t="str">
        <f t="shared" si="2643"/>
        <v>花都四部-凤凰仓</v>
      </c>
      <c r="G9590" s="1" t="str">
        <f t="shared" si="2640"/>
        <v>卡卡杜个人护理店（抖店）</v>
      </c>
      <c r="H9590" s="1" t="str">
        <f t="shared" si="2644"/>
        <v>正常订单</v>
      </c>
      <c r="I9590" s="1" t="str">
        <f t="shared" si="2645"/>
        <v>已发货</v>
      </c>
      <c r="J9590" s="1" t="str">
        <f t="shared" si="2639"/>
        <v>2</v>
      </c>
      <c r="K9590" s="1">
        <v>1</v>
      </c>
      <c r="L9590" s="1" t="s">
        <v>18</v>
      </c>
      <c r="M9590" s="1" t="str">
        <f>"广东省 清远市 连州市 连州镇"</f>
        <v>广东省 清远市 连州市 连州镇</v>
      </c>
      <c r="N9590" s="1" t="str">
        <f t="shared" si="2641"/>
        <v>凡华云仓-韵达-抖音</v>
      </c>
      <c r="O9590" s="5">
        <v>320156924095670</v>
      </c>
      <c r="P9590" s="6">
        <v>0.33</v>
      </c>
      <c r="Q9590" s="11">
        <v>2.2999999999999998</v>
      </c>
      <c r="R9590" s="11"/>
      <c r="S9590" s="11"/>
      <c r="T9590" s="11"/>
      <c r="U9590" s="11">
        <f t="shared" si="2638"/>
        <v>2.2999999999999998</v>
      </c>
      <c r="W9590">
        <v>2.5</v>
      </c>
      <c r="X9590" s="1" t="s">
        <v>18</v>
      </c>
    </row>
    <row r="9591" spans="1:24" x14ac:dyDescent="0.25">
      <c r="A9591" s="1" t="str">
        <f t="shared" si="2642"/>
        <v>卡卡杜-凤凰仓</v>
      </c>
      <c r="B9591" s="1" t="str">
        <f>"CK2024100518433"</f>
        <v>CK2024100518433</v>
      </c>
      <c r="C9591" s="1" t="str">
        <f>"DD2024100549579"</f>
        <v>DD2024100549579</v>
      </c>
      <c r="D9591" s="1" t="str">
        <f>"CK2024100542597"</f>
        <v>CK2024100542597</v>
      </c>
      <c r="E9591" s="1" t="str">
        <f>"6917838409153477987"</f>
        <v>6917838409153477987</v>
      </c>
      <c r="F9591" s="1" t="str">
        <f t="shared" si="2643"/>
        <v>花都四部-凤凰仓</v>
      </c>
      <c r="G9591" s="1" t="str">
        <f t="shared" si="2640"/>
        <v>卡卡杜个人护理店（抖店）</v>
      </c>
      <c r="H9591" s="1" t="str">
        <f t="shared" si="2644"/>
        <v>正常订单</v>
      </c>
      <c r="I9591" s="1" t="str">
        <f t="shared" si="2645"/>
        <v>已发货</v>
      </c>
      <c r="J9591" s="1" t="str">
        <f t="shared" si="2639"/>
        <v>2</v>
      </c>
      <c r="K9591" s="1">
        <v>1</v>
      </c>
      <c r="L9591" s="1" t="s">
        <v>36</v>
      </c>
      <c r="M9591" s="1" t="str">
        <f>"安徽省 合肥市 瑶海区 大兴镇"</f>
        <v>安徽省 合肥市 瑶海区 大兴镇</v>
      </c>
      <c r="N9591" s="1" t="str">
        <f t="shared" si="2641"/>
        <v>凡华云仓-韵达-抖音</v>
      </c>
      <c r="O9591" s="5">
        <v>320156924095571</v>
      </c>
      <c r="P9591" s="6">
        <v>0.33</v>
      </c>
      <c r="Q9591" s="11">
        <v>2.2999999999999998</v>
      </c>
      <c r="R9591" s="11"/>
      <c r="S9591" s="11"/>
      <c r="T9591" s="11"/>
      <c r="U9591" s="11">
        <f t="shared" si="2638"/>
        <v>2.2999999999999998</v>
      </c>
      <c r="W9591">
        <v>2.5</v>
      </c>
      <c r="X9591" s="1" t="s">
        <v>36</v>
      </c>
    </row>
    <row r="9592" spans="1:24" x14ac:dyDescent="0.25">
      <c r="A9592" s="1" t="str">
        <f t="shared" si="2642"/>
        <v>卡卡杜-凤凰仓</v>
      </c>
      <c r="B9592" s="1" t="str">
        <f>"CK2024100518434"</f>
        <v>CK2024100518434</v>
      </c>
      <c r="C9592" s="1" t="str">
        <f>"DD2024100549580"</f>
        <v>DD2024100549580</v>
      </c>
      <c r="D9592" s="1" t="str">
        <f>"CK2024100542596"</f>
        <v>CK2024100542596</v>
      </c>
      <c r="E9592" s="1" t="str">
        <f>"6917835604357643871"</f>
        <v>6917835604357643871</v>
      </c>
      <c r="F9592" s="1" t="str">
        <f t="shared" si="2643"/>
        <v>花都四部-凤凰仓</v>
      </c>
      <c r="G9592" s="1" t="str">
        <f t="shared" si="2640"/>
        <v>卡卡杜个人护理店（抖店）</v>
      </c>
      <c r="H9592" s="1" t="str">
        <f t="shared" si="2644"/>
        <v>正常订单</v>
      </c>
      <c r="I9592" s="1" t="str">
        <f t="shared" si="2645"/>
        <v>已发货</v>
      </c>
      <c r="J9592" s="1" t="str">
        <f t="shared" si="2639"/>
        <v>2</v>
      </c>
      <c r="K9592" s="1">
        <v>1</v>
      </c>
      <c r="L9592" s="1" t="s">
        <v>24</v>
      </c>
      <c r="M9592" s="1" t="str">
        <f>"福建省 莆田市 仙游县 鲤城街道"</f>
        <v>福建省 莆田市 仙游县 鲤城街道</v>
      </c>
      <c r="N9592" s="1" t="str">
        <f t="shared" si="2641"/>
        <v>凡华云仓-韵达-抖音</v>
      </c>
      <c r="O9592" s="5">
        <v>320156924095474</v>
      </c>
      <c r="P9592" s="6">
        <v>0.33</v>
      </c>
      <c r="Q9592" s="11">
        <v>2.2999999999999998</v>
      </c>
      <c r="R9592" s="11"/>
      <c r="S9592" s="11"/>
      <c r="T9592" s="11"/>
      <c r="U9592" s="11">
        <f t="shared" si="2638"/>
        <v>2.2999999999999998</v>
      </c>
      <c r="W9592">
        <v>2.5</v>
      </c>
      <c r="X9592" s="1" t="s">
        <v>24</v>
      </c>
    </row>
    <row r="9593" spans="1:24" x14ac:dyDescent="0.25">
      <c r="A9593" s="1" t="str">
        <f t="shared" si="2642"/>
        <v>卡卡杜-凤凰仓</v>
      </c>
      <c r="B9593" s="1" t="str">
        <f>"CK2024100518435"</f>
        <v>CK2024100518435</v>
      </c>
      <c r="C9593" s="1" t="str">
        <f>"DD2024100549581"</f>
        <v>DD2024100549581</v>
      </c>
      <c r="D9593" s="1" t="str">
        <f>"CK2024100542595"</f>
        <v>CK2024100542595</v>
      </c>
      <c r="E9593" s="1" t="str">
        <f>"6917838290245156170"</f>
        <v>6917838290245156170</v>
      </c>
      <c r="F9593" s="1" t="str">
        <f t="shared" si="2643"/>
        <v>花都四部-凤凰仓</v>
      </c>
      <c r="G9593" s="1" t="str">
        <f t="shared" si="2640"/>
        <v>卡卡杜个人护理店（抖店）</v>
      </c>
      <c r="H9593" s="1" t="str">
        <f t="shared" si="2644"/>
        <v>正常订单</v>
      </c>
      <c r="I9593" s="1" t="str">
        <f t="shared" si="2645"/>
        <v>已发货</v>
      </c>
      <c r="J9593" s="1" t="str">
        <f t="shared" si="2639"/>
        <v>2</v>
      </c>
      <c r="K9593" s="1">
        <v>1</v>
      </c>
      <c r="L9593" s="1" t="s">
        <v>20</v>
      </c>
      <c r="M9593" s="1" t="str">
        <f>"浙江省 宁波市 余姚市 小曹娥镇"</f>
        <v>浙江省 宁波市 余姚市 小曹娥镇</v>
      </c>
      <c r="N9593" s="1" t="str">
        <f t="shared" si="2641"/>
        <v>凡华云仓-韵达-抖音</v>
      </c>
      <c r="O9593" s="5">
        <v>320156924095379</v>
      </c>
      <c r="P9593" s="6">
        <v>0.33</v>
      </c>
      <c r="Q9593" s="11">
        <v>2.2999999999999998</v>
      </c>
      <c r="R9593" s="11"/>
      <c r="S9593" s="11"/>
      <c r="T9593" s="11"/>
      <c r="U9593" s="11">
        <f t="shared" si="2638"/>
        <v>2.2999999999999998</v>
      </c>
      <c r="W9593">
        <v>2.5</v>
      </c>
      <c r="X9593" s="1" t="s">
        <v>20</v>
      </c>
    </row>
    <row r="9594" spans="1:24" x14ac:dyDescent="0.25">
      <c r="A9594" s="1" t="str">
        <f t="shared" si="2642"/>
        <v>卡卡杜-凤凰仓</v>
      </c>
      <c r="B9594" s="1" t="str">
        <f>"CK2024100518436"</f>
        <v>CK2024100518436</v>
      </c>
      <c r="C9594" s="1" t="str">
        <f>"DD2024100549582"</f>
        <v>DD2024100549582</v>
      </c>
      <c r="D9594" s="1" t="str">
        <f>"CK2024100542594"</f>
        <v>CK2024100542594</v>
      </c>
      <c r="E9594" s="1" t="str">
        <f>"6917838289058889466"</f>
        <v>6917838289058889466</v>
      </c>
      <c r="F9594" s="1" t="str">
        <f t="shared" si="2643"/>
        <v>花都四部-凤凰仓</v>
      </c>
      <c r="G9594" s="1" t="str">
        <f t="shared" si="2640"/>
        <v>卡卡杜个人护理店（抖店）</v>
      </c>
      <c r="H9594" s="1" t="str">
        <f t="shared" si="2644"/>
        <v>正常订单</v>
      </c>
      <c r="I9594" s="1" t="str">
        <f t="shared" si="2645"/>
        <v>已发货</v>
      </c>
      <c r="J9594" s="1" t="str">
        <f t="shared" si="2639"/>
        <v>2</v>
      </c>
      <c r="K9594" s="1">
        <v>1</v>
      </c>
      <c r="L9594" s="1" t="s">
        <v>24</v>
      </c>
      <c r="M9594" s="1" t="str">
        <f>"福建省 三明市 大田县 均溪镇"</f>
        <v>福建省 三明市 大田县 均溪镇</v>
      </c>
      <c r="N9594" s="1" t="str">
        <f t="shared" si="2641"/>
        <v>凡华云仓-韵达-抖音</v>
      </c>
      <c r="O9594" s="5">
        <v>320156924095286</v>
      </c>
      <c r="P9594" s="6">
        <v>0.33</v>
      </c>
      <c r="Q9594" s="11">
        <v>2.2999999999999998</v>
      </c>
      <c r="R9594" s="11"/>
      <c r="S9594" s="11"/>
      <c r="T9594" s="11"/>
      <c r="U9594" s="11">
        <f t="shared" si="2638"/>
        <v>2.2999999999999998</v>
      </c>
      <c r="W9594">
        <v>2.5</v>
      </c>
      <c r="X9594" s="1" t="s">
        <v>24</v>
      </c>
    </row>
    <row r="9595" spans="1:24" x14ac:dyDescent="0.25">
      <c r="A9595" s="1" t="str">
        <f t="shared" si="2642"/>
        <v>卡卡杜-凤凰仓</v>
      </c>
      <c r="B9595" s="1" t="str">
        <f>"CK2024100518437"</f>
        <v>CK2024100518437</v>
      </c>
      <c r="C9595" s="1" t="str">
        <f>"DD2024100549583"</f>
        <v>DD2024100549583</v>
      </c>
      <c r="D9595" s="1" t="str">
        <f>"CK2024100542593"</f>
        <v>CK2024100542593</v>
      </c>
      <c r="E9595" s="1" t="str">
        <f>"6917843044484807879"</f>
        <v>6917843044484807879</v>
      </c>
      <c r="F9595" s="1" t="str">
        <f t="shared" si="2643"/>
        <v>花都四部-凤凰仓</v>
      </c>
      <c r="G9595" s="1" t="str">
        <f t="shared" si="2640"/>
        <v>卡卡杜个人护理店（抖店）</v>
      </c>
      <c r="H9595" s="1" t="str">
        <f t="shared" si="2644"/>
        <v>正常订单</v>
      </c>
      <c r="I9595" s="1" t="str">
        <f t="shared" si="2645"/>
        <v>已发货</v>
      </c>
      <c r="J9595" s="1" t="str">
        <f t="shared" si="2639"/>
        <v>2</v>
      </c>
      <c r="K9595" s="1">
        <v>1</v>
      </c>
      <c r="L9595" s="1" t="s">
        <v>24</v>
      </c>
      <c r="M9595" s="1" t="str">
        <f>"福建省 莆田市 秀屿区 东埔镇"</f>
        <v>福建省 莆田市 秀屿区 东埔镇</v>
      </c>
      <c r="N9595" s="1" t="str">
        <f t="shared" si="2641"/>
        <v>凡华云仓-韵达-抖音</v>
      </c>
      <c r="O9595" s="5">
        <v>320156924095195</v>
      </c>
      <c r="P9595" s="6">
        <v>0.33</v>
      </c>
      <c r="Q9595" s="11">
        <v>2.2999999999999998</v>
      </c>
      <c r="R9595" s="11"/>
      <c r="S9595" s="11"/>
      <c r="T9595" s="11"/>
      <c r="U9595" s="11">
        <f t="shared" si="2638"/>
        <v>2.2999999999999998</v>
      </c>
      <c r="W9595">
        <v>2.5</v>
      </c>
      <c r="X9595" s="1" t="s">
        <v>24</v>
      </c>
    </row>
    <row r="9596" spans="1:24" x14ac:dyDescent="0.25">
      <c r="A9596" s="1" t="str">
        <f t="shared" si="2642"/>
        <v>卡卡杜-凤凰仓</v>
      </c>
      <c r="B9596" s="1" t="str">
        <f>"CK2024100518438"</f>
        <v>CK2024100518438</v>
      </c>
      <c r="C9596" s="1" t="str">
        <f>"DD2024100549584"</f>
        <v>DD2024100549584</v>
      </c>
      <c r="D9596" s="1" t="str">
        <f>"CK2024100542592"</f>
        <v>CK2024100542592</v>
      </c>
      <c r="E9596" s="1" t="str">
        <f>"6917835333909970576"</f>
        <v>6917835333909970576</v>
      </c>
      <c r="F9596" s="1" t="str">
        <f t="shared" si="2643"/>
        <v>花都四部-凤凰仓</v>
      </c>
      <c r="G9596" s="1" t="str">
        <f t="shared" si="2640"/>
        <v>卡卡杜个人护理店（抖店）</v>
      </c>
      <c r="H9596" s="1" t="str">
        <f t="shared" si="2644"/>
        <v>正常订单</v>
      </c>
      <c r="I9596" s="1" t="str">
        <f t="shared" si="2645"/>
        <v>已发货</v>
      </c>
      <c r="J9596" s="1" t="str">
        <f t="shared" si="2639"/>
        <v>2</v>
      </c>
      <c r="K9596" s="1">
        <v>1</v>
      </c>
      <c r="L9596" s="1" t="s">
        <v>20</v>
      </c>
      <c r="M9596" s="1" t="str">
        <f>"浙江省 金华市 永康市 芝英镇"</f>
        <v>浙江省 金华市 永康市 芝英镇</v>
      </c>
      <c r="N9596" s="1" t="str">
        <f t="shared" si="2641"/>
        <v>凡华云仓-韵达-抖音</v>
      </c>
      <c r="O9596" s="5">
        <v>320156924095006</v>
      </c>
      <c r="P9596" s="6">
        <v>0.33</v>
      </c>
      <c r="Q9596" s="11">
        <v>2.2999999999999998</v>
      </c>
      <c r="R9596" s="11"/>
      <c r="S9596" s="11"/>
      <c r="T9596" s="11"/>
      <c r="U9596" s="11">
        <f t="shared" si="2638"/>
        <v>2.2999999999999998</v>
      </c>
      <c r="W9596">
        <v>2.5</v>
      </c>
      <c r="X9596" s="1" t="s">
        <v>20</v>
      </c>
    </row>
    <row r="9597" spans="1:24" x14ac:dyDescent="0.25">
      <c r="A9597" s="1" t="str">
        <f t="shared" si="2642"/>
        <v>卡卡杜-凤凰仓</v>
      </c>
      <c r="B9597" s="1" t="str">
        <f>"CK2024100518439"</f>
        <v>CK2024100518439</v>
      </c>
      <c r="C9597" s="1" t="str">
        <f>"DD2024100549587"</f>
        <v>DD2024100549587</v>
      </c>
      <c r="D9597" s="1" t="str">
        <f>"CK2024100542591"</f>
        <v>CK2024100542591</v>
      </c>
      <c r="E9597" s="1" t="str">
        <f>"6917835849463332578"</f>
        <v>6917835849463332578</v>
      </c>
      <c r="F9597" s="1" t="str">
        <f t="shared" si="2643"/>
        <v>花都四部-凤凰仓</v>
      </c>
      <c r="G9597" s="1" t="str">
        <f t="shared" si="2640"/>
        <v>卡卡杜个人护理店（抖店）</v>
      </c>
      <c r="H9597" s="1" t="str">
        <f t="shared" si="2644"/>
        <v>正常订单</v>
      </c>
      <c r="I9597" s="1" t="str">
        <f t="shared" si="2645"/>
        <v>已发货</v>
      </c>
      <c r="J9597" s="1" t="str">
        <f t="shared" si="2639"/>
        <v>2</v>
      </c>
      <c r="K9597" s="1">
        <v>1</v>
      </c>
      <c r="L9597" s="1" t="s">
        <v>60</v>
      </c>
      <c r="M9597" s="1" t="str">
        <f>"云南省 普洱市 思茅区 南屏镇"</f>
        <v>云南省 普洱市 思茅区 南屏镇</v>
      </c>
      <c r="N9597" s="1" t="str">
        <f t="shared" si="2641"/>
        <v>凡华云仓-韵达-抖音</v>
      </c>
      <c r="O9597" s="5">
        <v>320156924094982</v>
      </c>
      <c r="P9597" s="6">
        <v>0.33</v>
      </c>
      <c r="Q9597" s="11">
        <v>2.2999999999999998</v>
      </c>
      <c r="R9597" s="11"/>
      <c r="S9597" s="11"/>
      <c r="T9597" s="11"/>
      <c r="U9597" s="11">
        <f t="shared" si="2638"/>
        <v>2.2999999999999998</v>
      </c>
      <c r="W9597">
        <v>2.5</v>
      </c>
      <c r="X9597" s="1" t="s">
        <v>60</v>
      </c>
    </row>
    <row r="9598" spans="1:24" x14ac:dyDescent="0.25">
      <c r="A9598" s="1" t="str">
        <f t="shared" si="2642"/>
        <v>卡卡杜-凤凰仓</v>
      </c>
      <c r="B9598" s="1" t="str">
        <f>"CK2024100518440"</f>
        <v>CK2024100518440</v>
      </c>
      <c r="C9598" s="1" t="str">
        <f>"DD2024100549586"</f>
        <v>DD2024100549586</v>
      </c>
      <c r="D9598" s="1" t="str">
        <f>"CK2024100542590"</f>
        <v>CK2024100542590</v>
      </c>
      <c r="E9598" s="1" t="str">
        <f>"6917835976094350398"</f>
        <v>6917835976094350398</v>
      </c>
      <c r="F9598" s="1" t="str">
        <f t="shared" si="2643"/>
        <v>花都四部-凤凰仓</v>
      </c>
      <c r="G9598" s="1" t="str">
        <f t="shared" si="2640"/>
        <v>卡卡杜个人护理店（抖店）</v>
      </c>
      <c r="H9598" s="1" t="str">
        <f t="shared" si="2644"/>
        <v>正常订单</v>
      </c>
      <c r="I9598" s="1" t="str">
        <f t="shared" si="2645"/>
        <v>已发货</v>
      </c>
      <c r="J9598" s="1" t="str">
        <f t="shared" si="2639"/>
        <v>2</v>
      </c>
      <c r="K9598" s="1">
        <v>1</v>
      </c>
      <c r="L9598" s="1" t="s">
        <v>18</v>
      </c>
      <c r="M9598" s="1" t="str">
        <f>"广东省 惠州市 惠阳区 西区街道"</f>
        <v>广东省 惠州市 惠阳区 西区街道</v>
      </c>
      <c r="N9598" s="1" t="str">
        <f t="shared" si="2641"/>
        <v>凡华云仓-韵达-抖音</v>
      </c>
      <c r="O9598" s="5">
        <v>320156924094877</v>
      </c>
      <c r="P9598" s="6">
        <v>0.33</v>
      </c>
      <c r="Q9598" s="11">
        <v>2.2999999999999998</v>
      </c>
      <c r="R9598" s="11"/>
      <c r="S9598" s="11"/>
      <c r="T9598" s="11"/>
      <c r="U9598" s="11">
        <f t="shared" si="2638"/>
        <v>2.2999999999999998</v>
      </c>
      <c r="W9598">
        <v>2.5</v>
      </c>
      <c r="X9598" s="1" t="s">
        <v>18</v>
      </c>
    </row>
    <row r="9599" spans="1:24" x14ac:dyDescent="0.25">
      <c r="A9599" s="1" t="str">
        <f t="shared" si="2642"/>
        <v>卡卡杜-凤凰仓</v>
      </c>
      <c r="B9599" s="1" t="str">
        <f>"CK2024100518441"</f>
        <v>CK2024100518441</v>
      </c>
      <c r="C9599" s="1" t="str">
        <f>"DD2024100549585"</f>
        <v>DD2024100549585</v>
      </c>
      <c r="D9599" s="1" t="str">
        <f>"CK2024100542589"</f>
        <v>CK2024100542589</v>
      </c>
      <c r="E9599" s="1" t="str">
        <f>"6917835665328077830"</f>
        <v>6917835665328077830</v>
      </c>
      <c r="F9599" s="1" t="str">
        <f t="shared" si="2643"/>
        <v>花都四部-凤凰仓</v>
      </c>
      <c r="G9599" s="1" t="str">
        <f t="shared" si="2640"/>
        <v>卡卡杜个人护理店（抖店）</v>
      </c>
      <c r="H9599" s="1" t="str">
        <f t="shared" si="2644"/>
        <v>正常订单</v>
      </c>
      <c r="I9599" s="1" t="str">
        <f t="shared" si="2645"/>
        <v>已发货</v>
      </c>
      <c r="J9599" s="1" t="str">
        <f t="shared" si="2639"/>
        <v>2</v>
      </c>
      <c r="K9599" s="1">
        <v>1</v>
      </c>
      <c r="L9599" s="1" t="s">
        <v>94</v>
      </c>
      <c r="M9599" s="1" t="str">
        <f>"湖南省 益阳市 赫山区 朝阳街道"</f>
        <v>湖南省 益阳市 赫山区 朝阳街道</v>
      </c>
      <c r="N9599" s="1" t="str">
        <f t="shared" si="2641"/>
        <v>凡华云仓-韵达-抖音</v>
      </c>
      <c r="O9599" s="5">
        <v>320156912640201</v>
      </c>
      <c r="P9599" s="6">
        <v>0.33</v>
      </c>
      <c r="Q9599" s="11">
        <v>2.2999999999999998</v>
      </c>
      <c r="R9599" s="11"/>
      <c r="S9599" s="11"/>
      <c r="T9599" s="11"/>
      <c r="U9599" s="11">
        <f t="shared" si="2638"/>
        <v>2.2999999999999998</v>
      </c>
      <c r="W9599">
        <v>2.5</v>
      </c>
      <c r="X9599" s="1" t="s">
        <v>94</v>
      </c>
    </row>
    <row r="9600" spans="1:24" x14ac:dyDescent="0.25">
      <c r="A9600" s="1" t="str">
        <f t="shared" si="2642"/>
        <v>卡卡杜-凤凰仓</v>
      </c>
      <c r="B9600" s="1" t="str">
        <f>"CK2024100518442"</f>
        <v>CK2024100518442</v>
      </c>
      <c r="C9600" s="1" t="str">
        <f>"DD2024100549588"</f>
        <v>DD2024100549588</v>
      </c>
      <c r="D9600" s="1" t="str">
        <f>"CK2024100542588"</f>
        <v>CK2024100542588</v>
      </c>
      <c r="E9600" s="1" t="str">
        <f>"6917828422604979950"</f>
        <v>6917828422604979950</v>
      </c>
      <c r="F9600" s="1" t="str">
        <f t="shared" si="2643"/>
        <v>花都四部-凤凰仓</v>
      </c>
      <c r="G9600" s="1" t="str">
        <f t="shared" si="2640"/>
        <v>卡卡杜个人护理店（抖店）</v>
      </c>
      <c r="H9600" s="1" t="str">
        <f t="shared" si="2644"/>
        <v>正常订单</v>
      </c>
      <c r="I9600" s="1" t="str">
        <f t="shared" si="2645"/>
        <v>已发货</v>
      </c>
      <c r="J9600" s="1" t="str">
        <f t="shared" si="2639"/>
        <v>2</v>
      </c>
      <c r="K9600" s="1">
        <v>1</v>
      </c>
      <c r="L9600" s="1" t="s">
        <v>96</v>
      </c>
      <c r="M9600" s="1" t="str">
        <f>"广西壮族自治区 贵港市 覃塘区 蒙公镇"</f>
        <v>广西壮族自治区 贵港市 覃塘区 蒙公镇</v>
      </c>
      <c r="N9600" s="1" t="str">
        <f t="shared" si="2641"/>
        <v>凡华云仓-韵达-抖音</v>
      </c>
      <c r="O9600" s="5">
        <v>320156912640110</v>
      </c>
      <c r="P9600" s="6">
        <v>0.33</v>
      </c>
      <c r="Q9600" s="11">
        <v>2.2999999999999998</v>
      </c>
      <c r="R9600" s="11"/>
      <c r="S9600" s="11"/>
      <c r="T9600" s="11"/>
      <c r="U9600" s="11">
        <f t="shared" si="2638"/>
        <v>2.2999999999999998</v>
      </c>
      <c r="W9600">
        <v>2.5</v>
      </c>
      <c r="X9600" s="1" t="s">
        <v>96</v>
      </c>
    </row>
    <row r="9601" spans="1:24" x14ac:dyDescent="0.25">
      <c r="A9601" s="1" t="str">
        <f t="shared" si="2642"/>
        <v>卡卡杜-凤凰仓</v>
      </c>
      <c r="B9601" s="1" t="str">
        <f>"CK2024100518443"</f>
        <v>CK2024100518443</v>
      </c>
      <c r="C9601" s="1" t="str">
        <f>"DD2024100549589"</f>
        <v>DD2024100549589</v>
      </c>
      <c r="D9601" s="1" t="str">
        <f>"CK2024100542587"</f>
        <v>CK2024100542587</v>
      </c>
      <c r="E9601" s="1" t="str">
        <f>"6917835057466670184"</f>
        <v>6917835057466670184</v>
      </c>
      <c r="F9601" s="1" t="str">
        <f t="shared" si="2643"/>
        <v>花都四部-凤凰仓</v>
      </c>
      <c r="G9601" s="1" t="str">
        <f t="shared" si="2640"/>
        <v>卡卡杜个人护理店（抖店）</v>
      </c>
      <c r="H9601" s="1" t="str">
        <f t="shared" si="2644"/>
        <v>正常订单</v>
      </c>
      <c r="I9601" s="1" t="str">
        <f t="shared" si="2645"/>
        <v>已发货</v>
      </c>
      <c r="J9601" s="1" t="str">
        <f t="shared" si="2639"/>
        <v>2</v>
      </c>
      <c r="K9601" s="1">
        <v>1</v>
      </c>
      <c r="L9601" s="1" t="s">
        <v>20</v>
      </c>
      <c r="M9601" s="1" t="str">
        <f>"浙江省 宁波市 奉化区 西坞街道"</f>
        <v>浙江省 宁波市 奉化区 西坞街道</v>
      </c>
      <c r="N9601" s="1" t="str">
        <f t="shared" si="2641"/>
        <v>凡华云仓-韵达-抖音</v>
      </c>
      <c r="O9601" s="5">
        <v>320156912640021</v>
      </c>
      <c r="P9601" s="6">
        <v>0.33</v>
      </c>
      <c r="Q9601" s="11">
        <v>2.2999999999999998</v>
      </c>
      <c r="R9601" s="11"/>
      <c r="S9601" s="11"/>
      <c r="T9601" s="11"/>
      <c r="U9601" s="11">
        <f t="shared" si="2638"/>
        <v>2.2999999999999998</v>
      </c>
      <c r="W9601">
        <v>2.5</v>
      </c>
      <c r="X9601" s="1" t="s">
        <v>20</v>
      </c>
    </row>
    <row r="9602" spans="1:24" x14ac:dyDescent="0.25">
      <c r="A9602" s="1" t="str">
        <f t="shared" si="2642"/>
        <v>卡卡杜-凤凰仓</v>
      </c>
      <c r="B9602" s="1" t="str">
        <f>"CK2024100518444"</f>
        <v>CK2024100518444</v>
      </c>
      <c r="C9602" s="1" t="str">
        <f>"DD2024100549590"</f>
        <v>DD2024100549590</v>
      </c>
      <c r="D9602" s="1" t="str">
        <f>"CK2024100542586"</f>
        <v>CK2024100542586</v>
      </c>
      <c r="E9602" s="1" t="str">
        <f>"6917831011204759056"</f>
        <v>6917831011204759056</v>
      </c>
      <c r="F9602" s="1" t="str">
        <f t="shared" si="2643"/>
        <v>花都四部-凤凰仓</v>
      </c>
      <c r="G9602" s="1" t="str">
        <f t="shared" si="2640"/>
        <v>卡卡杜个人护理店（抖店）</v>
      </c>
      <c r="H9602" s="1" t="str">
        <f t="shared" si="2644"/>
        <v>正常订单</v>
      </c>
      <c r="I9602" s="1" t="str">
        <f t="shared" si="2645"/>
        <v>已发货</v>
      </c>
      <c r="J9602" s="1" t="str">
        <f t="shared" si="2639"/>
        <v>2</v>
      </c>
      <c r="K9602" s="1">
        <v>1</v>
      </c>
      <c r="L9602" s="1" t="s">
        <v>20</v>
      </c>
      <c r="M9602" s="1" t="str">
        <f>"浙江省 温州市 平阳县 昆阳镇"</f>
        <v>浙江省 温州市 平阳县 昆阳镇</v>
      </c>
      <c r="N9602" s="1" t="str">
        <f t="shared" si="2641"/>
        <v>凡华云仓-韵达-抖音</v>
      </c>
      <c r="O9602" s="5">
        <v>320156912639972</v>
      </c>
      <c r="P9602" s="6">
        <v>0.33</v>
      </c>
      <c r="Q9602" s="11">
        <v>2.2999999999999998</v>
      </c>
      <c r="R9602" s="11"/>
      <c r="S9602" s="11"/>
      <c r="T9602" s="11"/>
      <c r="U9602" s="11">
        <f t="shared" si="2638"/>
        <v>2.2999999999999998</v>
      </c>
      <c r="W9602">
        <v>2.5</v>
      </c>
      <c r="X9602" s="1" t="s">
        <v>20</v>
      </c>
    </row>
    <row r="9603" spans="1:24" x14ac:dyDescent="0.25">
      <c r="A9603" s="1" t="str">
        <f t="shared" si="2642"/>
        <v>卡卡杜-凤凰仓</v>
      </c>
      <c r="B9603" s="1" t="str">
        <f>"CK2024100518445"</f>
        <v>CK2024100518445</v>
      </c>
      <c r="C9603" s="1" t="str">
        <f>"DD2024100549591"</f>
        <v>DD2024100549591</v>
      </c>
      <c r="D9603" s="1" t="str">
        <f>"CK2024100542585"</f>
        <v>CK2024100542585</v>
      </c>
      <c r="E9603" s="1" t="str">
        <f>"6917842980522916954"</f>
        <v>6917842980522916954</v>
      </c>
      <c r="F9603" s="1" t="str">
        <f t="shared" si="2643"/>
        <v>花都四部-凤凰仓</v>
      </c>
      <c r="G9603" s="1" t="str">
        <f t="shared" si="2640"/>
        <v>卡卡杜个人护理店（抖店）</v>
      </c>
      <c r="H9603" s="1" t="str">
        <f t="shared" si="2644"/>
        <v>正常订单</v>
      </c>
      <c r="I9603" s="1" t="str">
        <f t="shared" si="2645"/>
        <v>已发货</v>
      </c>
      <c r="J9603" s="1" t="str">
        <f t="shared" si="2639"/>
        <v>2</v>
      </c>
      <c r="K9603" s="1">
        <v>1</v>
      </c>
      <c r="L9603" s="1" t="s">
        <v>22</v>
      </c>
      <c r="M9603" s="1" t="str">
        <f>"江西省 上饶市 德兴市 大茅山镇"</f>
        <v>江西省 上饶市 德兴市 大茅山镇</v>
      </c>
      <c r="N9603" s="1" t="str">
        <f t="shared" si="2641"/>
        <v>凡华云仓-韵达-抖音</v>
      </c>
      <c r="O9603" s="5">
        <v>320156912639867</v>
      </c>
      <c r="P9603" s="6">
        <v>0.33</v>
      </c>
      <c r="Q9603" s="11">
        <v>2.2999999999999998</v>
      </c>
      <c r="R9603" s="11"/>
      <c r="S9603" s="11"/>
      <c r="T9603" s="11"/>
      <c r="U9603" s="11">
        <f t="shared" ref="U9603:U9666" si="2646">T9603+S9603+R9603+Q9603</f>
        <v>2.2999999999999998</v>
      </c>
      <c r="W9603">
        <v>2.5</v>
      </c>
      <c r="X9603" s="1" t="s">
        <v>22</v>
      </c>
    </row>
    <row r="9604" spans="1:24" x14ac:dyDescent="0.25">
      <c r="A9604" s="1" t="str">
        <f t="shared" si="2642"/>
        <v>卡卡杜-凤凰仓</v>
      </c>
      <c r="B9604" s="1" t="str">
        <f>"CK2024100518446"</f>
        <v>CK2024100518446</v>
      </c>
      <c r="C9604" s="1" t="str">
        <f>"DD2024100549592"</f>
        <v>DD2024100549592</v>
      </c>
      <c r="D9604" s="1" t="str">
        <f>"CK2024100542584"</f>
        <v>CK2024100542584</v>
      </c>
      <c r="E9604" s="1" t="str">
        <f>"6917845242166148265"</f>
        <v>6917845242166148265</v>
      </c>
      <c r="F9604" s="1" t="str">
        <f t="shared" si="2643"/>
        <v>花都四部-凤凰仓</v>
      </c>
      <c r="G9604" s="1" t="str">
        <f t="shared" si="2640"/>
        <v>卡卡杜个人护理店（抖店）</v>
      </c>
      <c r="H9604" s="1" t="str">
        <f t="shared" si="2644"/>
        <v>正常订单</v>
      </c>
      <c r="I9604" s="1" t="str">
        <f t="shared" si="2645"/>
        <v>已发货</v>
      </c>
      <c r="J9604" s="1" t="str">
        <f t="shared" si="2639"/>
        <v>2</v>
      </c>
      <c r="K9604" s="1">
        <v>1</v>
      </c>
      <c r="L9604" s="1" t="s">
        <v>22</v>
      </c>
      <c r="M9604" s="1" t="str">
        <f>"江西省 景德镇市 浮梁县 瑶里镇"</f>
        <v>江西省 景德镇市 浮梁县 瑶里镇</v>
      </c>
      <c r="N9604" s="1" t="str">
        <f t="shared" si="2641"/>
        <v>凡华云仓-韵达-抖音</v>
      </c>
      <c r="O9604" s="5">
        <v>320156912639764</v>
      </c>
      <c r="P9604" s="6">
        <v>0.33</v>
      </c>
      <c r="Q9604" s="11">
        <v>2.2999999999999998</v>
      </c>
      <c r="R9604" s="11"/>
      <c r="S9604" s="11"/>
      <c r="T9604" s="11"/>
      <c r="U9604" s="11">
        <f t="shared" si="2646"/>
        <v>2.2999999999999998</v>
      </c>
      <c r="W9604">
        <v>2.5</v>
      </c>
      <c r="X9604" s="1" t="s">
        <v>22</v>
      </c>
    </row>
    <row r="9605" spans="1:24" x14ac:dyDescent="0.25">
      <c r="A9605" s="1" t="str">
        <f t="shared" si="2642"/>
        <v>卡卡杜-凤凰仓</v>
      </c>
      <c r="B9605" s="1" t="str">
        <f>"CK2024100518447"</f>
        <v>CK2024100518447</v>
      </c>
      <c r="C9605" s="1" t="str">
        <f>"DD2024100549593"</f>
        <v>DD2024100549593</v>
      </c>
      <c r="D9605" s="1" t="str">
        <f>"CK2024100542583"</f>
        <v>CK2024100542583</v>
      </c>
      <c r="E9605" s="1" t="str">
        <f>"6917835546404749278"</f>
        <v>6917835546404749278</v>
      </c>
      <c r="F9605" s="1" t="str">
        <f t="shared" si="2643"/>
        <v>花都四部-凤凰仓</v>
      </c>
      <c r="G9605" s="1" t="str">
        <f t="shared" si="2640"/>
        <v>卡卡杜个人护理店（抖店）</v>
      </c>
      <c r="H9605" s="1" t="str">
        <f t="shared" si="2644"/>
        <v>正常订单</v>
      </c>
      <c r="I9605" s="1" t="str">
        <f t="shared" si="2645"/>
        <v>已发货</v>
      </c>
      <c r="J9605" s="1" t="str">
        <f t="shared" si="2639"/>
        <v>2</v>
      </c>
      <c r="K9605" s="1">
        <v>1</v>
      </c>
      <c r="L9605" s="1" t="s">
        <v>44</v>
      </c>
      <c r="M9605" s="1" t="str">
        <f>"海南省 琼海市 琼海市 嘉积镇"</f>
        <v>海南省 琼海市 琼海市 嘉积镇</v>
      </c>
      <c r="N9605" s="1" t="str">
        <f t="shared" si="2641"/>
        <v>凡华云仓-韵达-抖音</v>
      </c>
      <c r="O9605" s="5">
        <v>320156912639663</v>
      </c>
      <c r="P9605" s="6">
        <v>0.33</v>
      </c>
      <c r="Q9605" s="11">
        <v>2.2999999999999998</v>
      </c>
      <c r="R9605" s="11"/>
      <c r="S9605" s="11"/>
      <c r="T9605" s="11"/>
      <c r="U9605" s="11">
        <f t="shared" si="2646"/>
        <v>2.2999999999999998</v>
      </c>
      <c r="W9605">
        <v>2.5</v>
      </c>
      <c r="X9605" s="1" t="s">
        <v>44</v>
      </c>
    </row>
    <row r="9606" spans="1:24" x14ac:dyDescent="0.25">
      <c r="A9606" s="1" t="str">
        <f t="shared" si="2642"/>
        <v>卡卡杜-凤凰仓</v>
      </c>
      <c r="B9606" s="1" t="str">
        <f>"CK2024100518448"</f>
        <v>CK2024100518448</v>
      </c>
      <c r="C9606" s="1" t="str">
        <f>"DD2024100549594"</f>
        <v>DD2024100549594</v>
      </c>
      <c r="D9606" s="1" t="str">
        <f>"CK2024100542582"</f>
        <v>CK2024100542582</v>
      </c>
      <c r="E9606" s="1" t="str">
        <f>"6917843108277812638"</f>
        <v>6917843108277812638</v>
      </c>
      <c r="F9606" s="1" t="str">
        <f t="shared" si="2643"/>
        <v>花都四部-凤凰仓</v>
      </c>
      <c r="G9606" s="1" t="str">
        <f t="shared" si="2640"/>
        <v>卡卡杜个人护理店（抖店）</v>
      </c>
      <c r="H9606" s="1" t="str">
        <f t="shared" si="2644"/>
        <v>正常订单</v>
      </c>
      <c r="I9606" s="1" t="str">
        <f t="shared" si="2645"/>
        <v>已发货</v>
      </c>
      <c r="J9606" s="1" t="str">
        <f t="shared" si="2639"/>
        <v>2</v>
      </c>
      <c r="K9606" s="1">
        <v>1</v>
      </c>
      <c r="L9606" s="1" t="s">
        <v>44</v>
      </c>
      <c r="M9606" s="1" t="str">
        <f>"海南省 海口市 龙华区 龙泉镇"</f>
        <v>海南省 海口市 龙华区 龙泉镇</v>
      </c>
      <c r="N9606" s="1" t="str">
        <f t="shared" si="2641"/>
        <v>凡华云仓-韵达-抖音</v>
      </c>
      <c r="O9606" s="5">
        <v>320156912639564</v>
      </c>
      <c r="P9606" s="6">
        <v>0.33</v>
      </c>
      <c r="Q9606" s="11">
        <v>2.2999999999999998</v>
      </c>
      <c r="R9606" s="11"/>
      <c r="S9606" s="11"/>
      <c r="T9606" s="11"/>
      <c r="U9606" s="11">
        <f t="shared" si="2646"/>
        <v>2.2999999999999998</v>
      </c>
      <c r="W9606">
        <v>2.5</v>
      </c>
      <c r="X9606" s="1" t="s">
        <v>44</v>
      </c>
    </row>
    <row r="9607" spans="1:24" x14ac:dyDescent="0.25">
      <c r="A9607" s="1" t="str">
        <f t="shared" si="2642"/>
        <v>卡卡杜-凤凰仓</v>
      </c>
      <c r="B9607" s="1" t="str">
        <f>"CK2024100518449"</f>
        <v>CK2024100518449</v>
      </c>
      <c r="C9607" s="1" t="str">
        <f>"DD2024100549595"</f>
        <v>DD2024100549595</v>
      </c>
      <c r="D9607" s="1" t="str">
        <f>"CK2024100542581"</f>
        <v>CK2024100542581</v>
      </c>
      <c r="E9607" s="1" t="str">
        <f>"6917835573504212234"</f>
        <v>6917835573504212234</v>
      </c>
      <c r="F9607" s="1" t="str">
        <f t="shared" si="2643"/>
        <v>花都四部-凤凰仓</v>
      </c>
      <c r="G9607" s="1" t="str">
        <f t="shared" si="2640"/>
        <v>卡卡杜个人护理店（抖店）</v>
      </c>
      <c r="H9607" s="1" t="str">
        <f t="shared" si="2644"/>
        <v>正常订单</v>
      </c>
      <c r="I9607" s="1" t="str">
        <f t="shared" si="2645"/>
        <v>已发货</v>
      </c>
      <c r="J9607" s="1" t="str">
        <f t="shared" si="2639"/>
        <v>2</v>
      </c>
      <c r="K9607" s="1">
        <v>1</v>
      </c>
      <c r="L9607" s="1" t="s">
        <v>18</v>
      </c>
      <c r="M9607" s="1" t="str">
        <f>"广东省 江门市 新会区 大鳌镇"</f>
        <v>广东省 江门市 新会区 大鳌镇</v>
      </c>
      <c r="N9607" s="1" t="str">
        <f t="shared" si="2641"/>
        <v>凡华云仓-韵达-抖音</v>
      </c>
      <c r="O9607" s="5">
        <v>320156912639467</v>
      </c>
      <c r="P9607" s="6">
        <v>0.33</v>
      </c>
      <c r="Q9607" s="11">
        <v>2.2999999999999998</v>
      </c>
      <c r="R9607" s="11"/>
      <c r="S9607" s="11"/>
      <c r="T9607" s="11"/>
      <c r="U9607" s="11">
        <f t="shared" si="2646"/>
        <v>2.2999999999999998</v>
      </c>
      <c r="W9607">
        <v>2.5</v>
      </c>
      <c r="X9607" s="1" t="s">
        <v>18</v>
      </c>
    </row>
    <row r="9608" spans="1:24" x14ac:dyDescent="0.25">
      <c r="A9608" s="1" t="str">
        <f t="shared" si="2642"/>
        <v>卡卡杜-凤凰仓</v>
      </c>
      <c r="B9608" s="1" t="str">
        <f>"CK2024100518450"</f>
        <v>CK2024100518450</v>
      </c>
      <c r="C9608" s="1" t="str">
        <f>"DD2024100549596"</f>
        <v>DD2024100549596</v>
      </c>
      <c r="D9608" s="1" t="str">
        <f>"CK2024100542580"</f>
        <v>CK2024100542580</v>
      </c>
      <c r="E9608" s="1" t="str">
        <f>"6917842896608656989"</f>
        <v>6917842896608656989</v>
      </c>
      <c r="F9608" s="1" t="str">
        <f t="shared" si="2643"/>
        <v>花都四部-凤凰仓</v>
      </c>
      <c r="G9608" s="1" t="str">
        <f t="shared" si="2640"/>
        <v>卡卡杜个人护理店（抖店）</v>
      </c>
      <c r="H9608" s="1" t="str">
        <f t="shared" si="2644"/>
        <v>正常订单</v>
      </c>
      <c r="I9608" s="1" t="str">
        <f t="shared" si="2645"/>
        <v>已发货</v>
      </c>
      <c r="J9608" s="1" t="str">
        <f t="shared" si="2639"/>
        <v>2</v>
      </c>
      <c r="K9608" s="1">
        <v>1</v>
      </c>
      <c r="L9608" s="1" t="s">
        <v>18</v>
      </c>
      <c r="M9608" s="1" t="str">
        <f>"广东省 深圳市 龙岗区 吉华街道"</f>
        <v>广东省 深圳市 龙岗区 吉华街道</v>
      </c>
      <c r="N9608" s="1" t="str">
        <f t="shared" si="2641"/>
        <v>凡华云仓-韵达-抖音</v>
      </c>
      <c r="O9608" s="5">
        <v>320156912639372</v>
      </c>
      <c r="P9608" s="6">
        <v>0.33</v>
      </c>
      <c r="Q9608" s="11">
        <v>2.2999999999999998</v>
      </c>
      <c r="R9608" s="11"/>
      <c r="S9608" s="11"/>
      <c r="T9608" s="11"/>
      <c r="U9608" s="11">
        <f t="shared" si="2646"/>
        <v>2.2999999999999998</v>
      </c>
      <c r="W9608">
        <v>2.5</v>
      </c>
      <c r="X9608" s="1" t="s">
        <v>18</v>
      </c>
    </row>
    <row r="9609" spans="1:24" x14ac:dyDescent="0.25">
      <c r="A9609" s="1" t="str">
        <f t="shared" si="2642"/>
        <v>卡卡杜-凤凰仓</v>
      </c>
      <c r="B9609" s="1" t="str">
        <f>"CK2024100518451"</f>
        <v>CK2024100518451</v>
      </c>
      <c r="C9609" s="1" t="str">
        <f>"DD2024100549598"</f>
        <v>DD2024100549598</v>
      </c>
      <c r="D9609" s="1" t="str">
        <f>"CK2024100542579"</f>
        <v>CK2024100542579</v>
      </c>
      <c r="E9609" s="1" t="str">
        <f>"6917840605486415149"</f>
        <v>6917840605486415149</v>
      </c>
      <c r="F9609" s="1" t="str">
        <f t="shared" si="2643"/>
        <v>花都四部-凤凰仓</v>
      </c>
      <c r="G9609" s="1" t="str">
        <f t="shared" si="2640"/>
        <v>卡卡杜个人护理店（抖店）</v>
      </c>
      <c r="H9609" s="1" t="str">
        <f t="shared" si="2644"/>
        <v>正常订单</v>
      </c>
      <c r="I9609" s="1" t="str">
        <f t="shared" si="2645"/>
        <v>已发货</v>
      </c>
      <c r="J9609" s="1" t="str">
        <f t="shared" si="2639"/>
        <v>2</v>
      </c>
      <c r="K9609" s="1">
        <v>1</v>
      </c>
      <c r="L9609" s="1" t="s">
        <v>18</v>
      </c>
      <c r="M9609" s="1" t="str">
        <f>"广东省 河源市 源城区 东埔街道"</f>
        <v>广东省 河源市 源城区 东埔街道</v>
      </c>
      <c r="N9609" s="1" t="str">
        <f t="shared" si="2641"/>
        <v>凡华云仓-韵达-抖音</v>
      </c>
      <c r="O9609" s="5">
        <v>320156909763863</v>
      </c>
      <c r="P9609" s="6">
        <v>0.33</v>
      </c>
      <c r="Q9609" s="11">
        <v>2.2999999999999998</v>
      </c>
      <c r="R9609" s="11"/>
      <c r="S9609" s="11"/>
      <c r="T9609" s="11"/>
      <c r="U9609" s="11">
        <f t="shared" si="2646"/>
        <v>2.2999999999999998</v>
      </c>
      <c r="W9609">
        <v>2.5</v>
      </c>
      <c r="X9609" s="1" t="s">
        <v>18</v>
      </c>
    </row>
    <row r="9610" spans="1:24" x14ac:dyDescent="0.25">
      <c r="A9610" s="1" t="str">
        <f t="shared" si="2642"/>
        <v>卡卡杜-凤凰仓</v>
      </c>
      <c r="B9610" s="1" t="str">
        <f>"CK2024100518452"</f>
        <v>CK2024100518452</v>
      </c>
      <c r="C9610" s="1" t="str">
        <f>"DD2024100549597"</f>
        <v>DD2024100549597</v>
      </c>
      <c r="D9610" s="1" t="str">
        <f>"CK2024100542578"</f>
        <v>CK2024100542578</v>
      </c>
      <c r="E9610" s="1" t="str">
        <f>"6917835036715220071"</f>
        <v>6917835036715220071</v>
      </c>
      <c r="F9610" s="1" t="str">
        <f t="shared" si="2643"/>
        <v>花都四部-凤凰仓</v>
      </c>
      <c r="G9610" s="1" t="str">
        <f t="shared" si="2640"/>
        <v>卡卡杜个人护理店（抖店）</v>
      </c>
      <c r="H9610" s="1" t="str">
        <f t="shared" si="2644"/>
        <v>正常订单</v>
      </c>
      <c r="I9610" s="1" t="str">
        <f t="shared" si="2645"/>
        <v>已发货</v>
      </c>
      <c r="J9610" s="1" t="str">
        <f t="shared" si="2639"/>
        <v>2</v>
      </c>
      <c r="K9610" s="1">
        <v>1</v>
      </c>
      <c r="L9610" s="1" t="s">
        <v>18</v>
      </c>
      <c r="M9610" s="1" t="str">
        <f>"广东省 中山市 中山市 民众街道"</f>
        <v>广东省 中山市 中山市 民众街道</v>
      </c>
      <c r="N9610" s="1" t="str">
        <f t="shared" si="2641"/>
        <v>凡华云仓-韵达-抖音</v>
      </c>
      <c r="O9610" s="5">
        <v>320156909763760</v>
      </c>
      <c r="P9610" s="6">
        <v>0.33</v>
      </c>
      <c r="Q9610" s="11">
        <v>2.2999999999999998</v>
      </c>
      <c r="R9610" s="11"/>
      <c r="S9610" s="11"/>
      <c r="T9610" s="11"/>
      <c r="U9610" s="11">
        <f t="shared" si="2646"/>
        <v>2.2999999999999998</v>
      </c>
      <c r="W9610">
        <v>2.5</v>
      </c>
      <c r="X9610" s="1" t="s">
        <v>18</v>
      </c>
    </row>
    <row r="9611" spans="1:24" x14ac:dyDescent="0.25">
      <c r="A9611" s="1" t="str">
        <f t="shared" si="2642"/>
        <v>卡卡杜-凤凰仓</v>
      </c>
      <c r="B9611" s="1" t="str">
        <f>"CK2024100518453"</f>
        <v>CK2024100518453</v>
      </c>
      <c r="C9611" s="1" t="str">
        <f>"DD2024100549599"</f>
        <v>DD2024100549599</v>
      </c>
      <c r="D9611" s="1" t="str">
        <f>"CK2024100542577"</f>
        <v>CK2024100542577</v>
      </c>
      <c r="E9611" s="1" t="str">
        <f>"6917828481049525456"</f>
        <v>6917828481049525456</v>
      </c>
      <c r="F9611" s="1" t="str">
        <f t="shared" si="2643"/>
        <v>花都四部-凤凰仓</v>
      </c>
      <c r="G9611" s="1" t="str">
        <f t="shared" si="2640"/>
        <v>卡卡杜个人护理店（抖店）</v>
      </c>
      <c r="H9611" s="1" t="str">
        <f t="shared" si="2644"/>
        <v>正常订单</v>
      </c>
      <c r="I9611" s="1" t="str">
        <f t="shared" si="2645"/>
        <v>已发货</v>
      </c>
      <c r="J9611" s="1" t="str">
        <f t="shared" si="2639"/>
        <v>2</v>
      </c>
      <c r="K9611" s="1">
        <v>1</v>
      </c>
      <c r="L9611" s="1" t="s">
        <v>27</v>
      </c>
      <c r="M9611" s="1" t="str">
        <f>"贵州省 黔南布依族苗族自治州 独山县 井城街道"</f>
        <v>贵州省 黔南布依族苗族自治州 独山县 井城街道</v>
      </c>
      <c r="N9611" s="1" t="str">
        <f t="shared" si="2641"/>
        <v>凡华云仓-韵达-抖音</v>
      </c>
      <c r="O9611" s="5">
        <v>320156909763659</v>
      </c>
      <c r="P9611" s="6">
        <v>0.33</v>
      </c>
      <c r="Q9611" s="11">
        <v>2.2999999999999998</v>
      </c>
      <c r="R9611" s="11"/>
      <c r="S9611" s="11"/>
      <c r="T9611" s="11"/>
      <c r="U9611" s="11">
        <f t="shared" si="2646"/>
        <v>2.2999999999999998</v>
      </c>
      <c r="W9611">
        <v>2.5</v>
      </c>
      <c r="X9611" s="1" t="s">
        <v>27</v>
      </c>
    </row>
    <row r="9612" spans="1:24" x14ac:dyDescent="0.25">
      <c r="A9612" s="1" t="str">
        <f t="shared" si="2642"/>
        <v>卡卡杜-凤凰仓</v>
      </c>
      <c r="B9612" s="1" t="str">
        <f>"CK2024100518454"</f>
        <v>CK2024100518454</v>
      </c>
      <c r="C9612" s="1" t="str">
        <f>"DD2024100549600"</f>
        <v>DD2024100549600</v>
      </c>
      <c r="D9612" s="1" t="str">
        <f>"CK2024100542576"</f>
        <v>CK2024100542576</v>
      </c>
      <c r="E9612" s="1" t="str">
        <f>"6917828558209907714"</f>
        <v>6917828558209907714</v>
      </c>
      <c r="F9612" s="1" t="str">
        <f t="shared" si="2643"/>
        <v>花都四部-凤凰仓</v>
      </c>
      <c r="G9612" s="1" t="str">
        <f t="shared" si="2640"/>
        <v>卡卡杜个人护理店（抖店）</v>
      </c>
      <c r="H9612" s="1" t="str">
        <f t="shared" si="2644"/>
        <v>正常订单</v>
      </c>
      <c r="I9612" s="1" t="str">
        <f t="shared" si="2645"/>
        <v>已发货</v>
      </c>
      <c r="J9612" s="1" t="str">
        <f t="shared" ref="J9612:J9675" si="2647">"2"</f>
        <v>2</v>
      </c>
      <c r="K9612" s="1">
        <v>1</v>
      </c>
      <c r="L9612" s="1" t="s">
        <v>36</v>
      </c>
      <c r="M9612" s="1" t="str">
        <f>"安徽省 宣城市 旌德县 旌阳镇"</f>
        <v>安徽省 宣城市 旌德县 旌阳镇</v>
      </c>
      <c r="N9612" s="1" t="str">
        <f t="shared" si="2641"/>
        <v>凡华云仓-韵达-抖音</v>
      </c>
      <c r="O9612" s="5">
        <v>320156909763560</v>
      </c>
      <c r="P9612" s="6">
        <v>0.33</v>
      </c>
      <c r="Q9612" s="11">
        <v>2.2999999999999998</v>
      </c>
      <c r="R9612" s="11"/>
      <c r="S9612" s="11"/>
      <c r="T9612" s="11"/>
      <c r="U9612" s="11">
        <f t="shared" si="2646"/>
        <v>2.2999999999999998</v>
      </c>
      <c r="W9612">
        <v>2.5</v>
      </c>
      <c r="X9612" s="1" t="s">
        <v>36</v>
      </c>
    </row>
    <row r="9613" spans="1:24" x14ac:dyDescent="0.25">
      <c r="A9613" s="1" t="str">
        <f t="shared" si="2642"/>
        <v>卡卡杜-凤凰仓</v>
      </c>
      <c r="B9613" s="1" t="str">
        <f>"CK2024100518455"</f>
        <v>CK2024100518455</v>
      </c>
      <c r="C9613" s="1" t="str">
        <f>"DD2024100549601"</f>
        <v>DD2024100549601</v>
      </c>
      <c r="D9613" s="1" t="str">
        <f>"CK2024100542575"</f>
        <v>CK2024100542575</v>
      </c>
      <c r="E9613" s="1" t="str">
        <f>"6917832855807360350"</f>
        <v>6917832855807360350</v>
      </c>
      <c r="F9613" s="1" t="str">
        <f t="shared" si="2643"/>
        <v>花都四部-凤凰仓</v>
      </c>
      <c r="G9613" s="1" t="str">
        <f t="shared" si="2640"/>
        <v>卡卡杜个人护理店（抖店）</v>
      </c>
      <c r="H9613" s="1" t="str">
        <f t="shared" si="2644"/>
        <v>正常订单</v>
      </c>
      <c r="I9613" s="1" t="str">
        <f t="shared" si="2645"/>
        <v>已发货</v>
      </c>
      <c r="J9613" s="1" t="str">
        <f t="shared" si="2647"/>
        <v>2</v>
      </c>
      <c r="K9613" s="1">
        <v>1</v>
      </c>
      <c r="L9613" s="1" t="s">
        <v>24</v>
      </c>
      <c r="M9613" s="1" t="str">
        <f>"福建省 三明市 尤溪县 坂面镇"</f>
        <v>福建省 三明市 尤溪县 坂面镇</v>
      </c>
      <c r="N9613" s="1" t="str">
        <f t="shared" si="2641"/>
        <v>凡华云仓-韵达-抖音</v>
      </c>
      <c r="O9613" s="5">
        <v>320156909763463</v>
      </c>
      <c r="P9613" s="6">
        <v>0.33</v>
      </c>
      <c r="Q9613" s="11">
        <v>2.2999999999999998</v>
      </c>
      <c r="R9613" s="11"/>
      <c r="S9613" s="11"/>
      <c r="T9613" s="11"/>
      <c r="U9613" s="11">
        <f t="shared" si="2646"/>
        <v>2.2999999999999998</v>
      </c>
      <c r="W9613">
        <v>2.5</v>
      </c>
      <c r="X9613" s="1" t="s">
        <v>24</v>
      </c>
    </row>
    <row r="9614" spans="1:24" x14ac:dyDescent="0.25">
      <c r="A9614" s="1" t="str">
        <f t="shared" si="2642"/>
        <v>卡卡杜-凤凰仓</v>
      </c>
      <c r="B9614" s="1" t="str">
        <f>"CK2024100518457"</f>
        <v>CK2024100518457</v>
      </c>
      <c r="C9614" s="1" t="str">
        <f>"DD2024100549602"</f>
        <v>DD2024100549602</v>
      </c>
      <c r="D9614" s="1" t="str">
        <f>"CK2024100542574"</f>
        <v>CK2024100542574</v>
      </c>
      <c r="E9614" s="1" t="str">
        <f>"6917828635093794423"</f>
        <v>6917828635093794423</v>
      </c>
      <c r="F9614" s="1" t="str">
        <f t="shared" si="2643"/>
        <v>花都四部-凤凰仓</v>
      </c>
      <c r="G9614" s="1" t="str">
        <f t="shared" ref="G9614:G9677" si="2648">"卡卡杜个人护理店（抖店）"</f>
        <v>卡卡杜个人护理店（抖店）</v>
      </c>
      <c r="H9614" s="1" t="str">
        <f t="shared" si="2644"/>
        <v>正常订单</v>
      </c>
      <c r="I9614" s="1" t="str">
        <f t="shared" si="2645"/>
        <v>已发货</v>
      </c>
      <c r="J9614" s="1" t="str">
        <f t="shared" si="2647"/>
        <v>2</v>
      </c>
      <c r="K9614" s="1">
        <v>1</v>
      </c>
      <c r="L9614" s="1" t="s">
        <v>60</v>
      </c>
      <c r="M9614" s="1" t="str">
        <f>"云南省 昆明市 禄劝彝族苗族自治县 翠华镇"</f>
        <v>云南省 昆明市 禄劝彝族苗族自治县 翠华镇</v>
      </c>
      <c r="N9614" s="1" t="str">
        <f t="shared" ref="N9614:N9619" si="2649">"凡华云仓-韵达-抖音"</f>
        <v>凡华云仓-韵达-抖音</v>
      </c>
      <c r="O9614" s="5">
        <v>320156909763368</v>
      </c>
      <c r="P9614" s="6">
        <v>0.33</v>
      </c>
      <c r="Q9614" s="11">
        <v>2.2999999999999998</v>
      </c>
      <c r="R9614" s="11"/>
      <c r="S9614" s="11"/>
      <c r="T9614" s="11"/>
      <c r="U9614" s="11">
        <f t="shared" si="2646"/>
        <v>2.2999999999999998</v>
      </c>
      <c r="W9614">
        <v>2.5</v>
      </c>
      <c r="X9614" s="1" t="s">
        <v>60</v>
      </c>
    </row>
    <row r="9615" spans="1:24" x14ac:dyDescent="0.25">
      <c r="A9615" s="1" t="str">
        <f t="shared" si="2642"/>
        <v>卡卡杜-凤凰仓</v>
      </c>
      <c r="B9615" s="1" t="str">
        <f>"CK2024100518456"</f>
        <v>CK2024100518456</v>
      </c>
      <c r="C9615" s="1" t="str">
        <f>"DD2024100549603"</f>
        <v>DD2024100549603</v>
      </c>
      <c r="D9615" s="1" t="str">
        <f>"CK2024100542573"</f>
        <v>CK2024100542573</v>
      </c>
      <c r="E9615" s="1" t="str">
        <f>"6917825505618591288"</f>
        <v>6917825505618591288</v>
      </c>
      <c r="F9615" s="1" t="str">
        <f t="shared" si="2643"/>
        <v>花都四部-凤凰仓</v>
      </c>
      <c r="G9615" s="1" t="str">
        <f t="shared" si="2648"/>
        <v>卡卡杜个人护理店（抖店）</v>
      </c>
      <c r="H9615" s="1" t="str">
        <f t="shared" si="2644"/>
        <v>正常订单</v>
      </c>
      <c r="I9615" s="1" t="str">
        <f t="shared" si="2645"/>
        <v>已发货</v>
      </c>
      <c r="J9615" s="1" t="str">
        <f t="shared" si="2647"/>
        <v>2</v>
      </c>
      <c r="K9615" s="1">
        <v>1</v>
      </c>
      <c r="L9615" s="1" t="s">
        <v>30</v>
      </c>
      <c r="M9615" s="1" t="str">
        <f>"山东省 济宁市 鱼台县 鱼城镇"</f>
        <v>山东省 济宁市 鱼台县 鱼城镇</v>
      </c>
      <c r="N9615" s="1" t="str">
        <f t="shared" si="2649"/>
        <v>凡华云仓-韵达-抖音</v>
      </c>
      <c r="O9615" s="5">
        <v>320156909763275</v>
      </c>
      <c r="P9615" s="6">
        <v>0.33</v>
      </c>
      <c r="Q9615" s="11">
        <v>2.2999999999999998</v>
      </c>
      <c r="R9615" s="11"/>
      <c r="S9615" s="11"/>
      <c r="T9615" s="11"/>
      <c r="U9615" s="11">
        <f t="shared" si="2646"/>
        <v>2.2999999999999998</v>
      </c>
      <c r="W9615">
        <v>2.5</v>
      </c>
      <c r="X9615" s="1" t="s">
        <v>30</v>
      </c>
    </row>
    <row r="9616" spans="1:24" x14ac:dyDescent="0.25">
      <c r="A9616" s="1" t="str">
        <f t="shared" si="2642"/>
        <v>卡卡杜-凤凰仓</v>
      </c>
      <c r="B9616" s="1" t="str">
        <f>"CK2024100518458"</f>
        <v>CK2024100518458</v>
      </c>
      <c r="C9616" s="1" t="str">
        <f>"DD2024100549604"</f>
        <v>DD2024100549604</v>
      </c>
      <c r="D9616" s="1" t="str">
        <f>"CK2024100542572"</f>
        <v>CK2024100542572</v>
      </c>
      <c r="E9616" s="1" t="str">
        <f>"6917838300284550605"</f>
        <v>6917838300284550605</v>
      </c>
      <c r="F9616" s="1" t="str">
        <f t="shared" si="2643"/>
        <v>花都四部-凤凰仓</v>
      </c>
      <c r="G9616" s="1" t="str">
        <f t="shared" si="2648"/>
        <v>卡卡杜个人护理店（抖店）</v>
      </c>
      <c r="H9616" s="1" t="str">
        <f t="shared" si="2644"/>
        <v>正常订单</v>
      </c>
      <c r="I9616" s="1" t="str">
        <f t="shared" si="2645"/>
        <v>已发货</v>
      </c>
      <c r="J9616" s="1" t="str">
        <f t="shared" si="2647"/>
        <v>2</v>
      </c>
      <c r="K9616" s="1">
        <v>1</v>
      </c>
      <c r="L9616" s="1" t="s">
        <v>22</v>
      </c>
      <c r="M9616" s="1" t="str">
        <f>"江西省 吉安市 安福县 平都镇"</f>
        <v>江西省 吉安市 安福县 平都镇</v>
      </c>
      <c r="N9616" s="1" t="str">
        <f t="shared" si="2649"/>
        <v>凡华云仓-韵达-抖音</v>
      </c>
      <c r="O9616" s="5">
        <v>320156909763184</v>
      </c>
      <c r="P9616" s="6">
        <v>0.33</v>
      </c>
      <c r="Q9616" s="11">
        <v>2.2999999999999998</v>
      </c>
      <c r="R9616" s="11"/>
      <c r="S9616" s="11"/>
      <c r="T9616" s="11"/>
      <c r="U9616" s="11">
        <f t="shared" si="2646"/>
        <v>2.2999999999999998</v>
      </c>
      <c r="W9616">
        <v>2.5</v>
      </c>
      <c r="X9616" s="1" t="s">
        <v>22</v>
      </c>
    </row>
    <row r="9617" spans="1:24" x14ac:dyDescent="0.25">
      <c r="A9617" s="1" t="str">
        <f t="shared" si="2642"/>
        <v>卡卡杜-凤凰仓</v>
      </c>
      <c r="B9617" s="1" t="str">
        <f>"CK2024100518459"</f>
        <v>CK2024100518459</v>
      </c>
      <c r="C9617" s="1" t="str">
        <f>"DD2024100549605"</f>
        <v>DD2024100549605</v>
      </c>
      <c r="D9617" s="1" t="str">
        <f>"CK2024100542571"</f>
        <v>CK2024100542571</v>
      </c>
      <c r="E9617" s="1" t="str">
        <f>"6917826025217687008"</f>
        <v>6917826025217687008</v>
      </c>
      <c r="F9617" s="1" t="str">
        <f t="shared" si="2643"/>
        <v>花都四部-凤凰仓</v>
      </c>
      <c r="G9617" s="1" t="str">
        <f t="shared" si="2648"/>
        <v>卡卡杜个人护理店（抖店）</v>
      </c>
      <c r="H9617" s="1" t="str">
        <f t="shared" si="2644"/>
        <v>正常订单</v>
      </c>
      <c r="I9617" s="1" t="str">
        <f t="shared" si="2645"/>
        <v>已发货</v>
      </c>
      <c r="J9617" s="1" t="str">
        <f t="shared" si="2647"/>
        <v>2</v>
      </c>
      <c r="K9617" s="1">
        <v>1</v>
      </c>
      <c r="L9617" s="1" t="s">
        <v>13</v>
      </c>
      <c r="M9617" s="1" t="str">
        <f>"江苏省 盐城市 盐都区 北龙港街道"</f>
        <v>江苏省 盐城市 盐都区 北龙港街道</v>
      </c>
      <c r="N9617" s="1" t="str">
        <f t="shared" si="2649"/>
        <v>凡华云仓-韵达-抖音</v>
      </c>
      <c r="O9617" s="5">
        <v>320156909763095</v>
      </c>
      <c r="P9617" s="6">
        <v>0.33</v>
      </c>
      <c r="Q9617" s="11">
        <v>2.2999999999999998</v>
      </c>
      <c r="R9617" s="11"/>
      <c r="S9617" s="11"/>
      <c r="T9617" s="11"/>
      <c r="U9617" s="11">
        <f t="shared" si="2646"/>
        <v>2.2999999999999998</v>
      </c>
      <c r="W9617">
        <v>2.5</v>
      </c>
      <c r="X9617" s="1" t="s">
        <v>13</v>
      </c>
    </row>
    <row r="9618" spans="1:24" x14ac:dyDescent="0.25">
      <c r="A9618" s="1" t="str">
        <f t="shared" si="2642"/>
        <v>卡卡杜-凤凰仓</v>
      </c>
      <c r="B9618" s="1" t="str">
        <f>"CK2024100518460"</f>
        <v>CK2024100518460</v>
      </c>
      <c r="C9618" s="1" t="str">
        <f>"DD2024100549606"</f>
        <v>DD2024100549606</v>
      </c>
      <c r="D9618" s="1" t="str">
        <f>"CK2024100542570"</f>
        <v>CK2024100542570</v>
      </c>
      <c r="E9618" s="1" t="str">
        <f>"6917842894536408497"</f>
        <v>6917842894536408497</v>
      </c>
      <c r="F9618" s="1" t="str">
        <f t="shared" si="2643"/>
        <v>花都四部-凤凰仓</v>
      </c>
      <c r="G9618" s="1" t="str">
        <f t="shared" si="2648"/>
        <v>卡卡杜个人护理店（抖店）</v>
      </c>
      <c r="H9618" s="1" t="str">
        <f t="shared" si="2644"/>
        <v>正常订单</v>
      </c>
      <c r="I9618" s="1" t="str">
        <f t="shared" si="2645"/>
        <v>已发货</v>
      </c>
      <c r="J9618" s="1" t="str">
        <f t="shared" si="2647"/>
        <v>2</v>
      </c>
      <c r="K9618" s="1">
        <v>1</v>
      </c>
      <c r="L9618" s="1" t="s">
        <v>41</v>
      </c>
      <c r="M9618" s="1" t="str">
        <f>"湖北省 武汉市 蔡甸区 奓山街道"</f>
        <v>湖北省 武汉市 蔡甸区 奓山街道</v>
      </c>
      <c r="N9618" s="1" t="str">
        <f t="shared" si="2649"/>
        <v>凡华云仓-韵达-抖音</v>
      </c>
      <c r="O9618" s="5">
        <v>320156909762975</v>
      </c>
      <c r="P9618" s="6">
        <v>0.33</v>
      </c>
      <c r="Q9618" s="11">
        <v>2.2999999999999998</v>
      </c>
      <c r="R9618" s="11"/>
      <c r="S9618" s="11"/>
      <c r="T9618" s="11"/>
      <c r="U9618" s="11">
        <f t="shared" si="2646"/>
        <v>2.2999999999999998</v>
      </c>
      <c r="W9618">
        <v>2.5</v>
      </c>
      <c r="X9618" s="1" t="s">
        <v>41</v>
      </c>
    </row>
    <row r="9619" spans="1:24" x14ac:dyDescent="0.25">
      <c r="A9619" s="1" t="str">
        <f t="shared" si="2642"/>
        <v>卡卡杜-凤凰仓</v>
      </c>
      <c r="B9619" s="1" t="str">
        <f>"CK2024100518461"</f>
        <v>CK2024100518461</v>
      </c>
      <c r="C9619" s="1" t="str">
        <f>"DD2024100549607"</f>
        <v>DD2024100549607</v>
      </c>
      <c r="D9619" s="1" t="str">
        <f>"CK2024100542569"</f>
        <v>CK2024100542569</v>
      </c>
      <c r="E9619" s="1" t="str">
        <f>"6917833144604786565"</f>
        <v>6917833144604786565</v>
      </c>
      <c r="F9619" s="1" t="str">
        <f t="shared" si="2643"/>
        <v>花都四部-凤凰仓</v>
      </c>
      <c r="G9619" s="1" t="str">
        <f t="shared" si="2648"/>
        <v>卡卡杜个人护理店（抖店）</v>
      </c>
      <c r="H9619" s="1" t="str">
        <f t="shared" si="2644"/>
        <v>正常订单</v>
      </c>
      <c r="I9619" s="1" t="str">
        <f t="shared" si="2645"/>
        <v>已发货</v>
      </c>
      <c r="J9619" s="1" t="str">
        <f t="shared" si="2647"/>
        <v>2</v>
      </c>
      <c r="K9619" s="1">
        <v>1</v>
      </c>
      <c r="L9619" s="1" t="s">
        <v>18</v>
      </c>
      <c r="M9619" s="1" t="str">
        <f>"广东省 中山市 中山市 小榄镇"</f>
        <v>广东省 中山市 中山市 小榄镇</v>
      </c>
      <c r="N9619" s="1" t="str">
        <f t="shared" si="2649"/>
        <v>凡华云仓-韵达-抖音</v>
      </c>
      <c r="O9619" s="5">
        <v>320156930091520</v>
      </c>
      <c r="P9619" s="6">
        <v>0.33</v>
      </c>
      <c r="Q9619" s="11">
        <v>2.2999999999999998</v>
      </c>
      <c r="R9619" s="11"/>
      <c r="S9619" s="11"/>
      <c r="T9619" s="11"/>
      <c r="U9619" s="11">
        <f t="shared" si="2646"/>
        <v>2.2999999999999998</v>
      </c>
      <c r="W9619">
        <v>2.5</v>
      </c>
      <c r="X9619" s="1" t="s">
        <v>18</v>
      </c>
    </row>
    <row r="9620" spans="1:24" x14ac:dyDescent="0.25">
      <c r="A9620" s="1" t="str">
        <f t="shared" si="2642"/>
        <v>卡卡杜-凤凰仓</v>
      </c>
      <c r="B9620" s="1" t="str">
        <f>"CK2024100518462"</f>
        <v>CK2024100518462</v>
      </c>
      <c r="C9620" s="1" t="str">
        <f>"DD2024100549608"</f>
        <v>DD2024100549608</v>
      </c>
      <c r="D9620" s="1" t="str">
        <f>"CK2024100542568"</f>
        <v>CK2024100542568</v>
      </c>
      <c r="E9620" s="1" t="str">
        <f>"6917828485143822012"</f>
        <v>6917828485143822012</v>
      </c>
      <c r="F9620" s="1" t="str">
        <f t="shared" si="2643"/>
        <v>花都四部-凤凰仓</v>
      </c>
      <c r="G9620" s="1" t="str">
        <f t="shared" si="2648"/>
        <v>卡卡杜个人护理店（抖店）</v>
      </c>
      <c r="H9620" s="1" t="str">
        <f t="shared" si="2644"/>
        <v>正常订单</v>
      </c>
      <c r="I9620" s="1" t="str">
        <f t="shared" si="2645"/>
        <v>已发货</v>
      </c>
      <c r="J9620" s="1" t="str">
        <f t="shared" si="2647"/>
        <v>2</v>
      </c>
      <c r="K9620" s="1">
        <v>1</v>
      </c>
      <c r="L9620" s="1" t="s">
        <v>13</v>
      </c>
      <c r="M9620" s="1" t="str">
        <f>"江苏省 无锡市 宜兴市 丁蜀镇"</f>
        <v>江苏省 无锡市 宜兴市 丁蜀镇</v>
      </c>
      <c r="N9620" s="1" t="str">
        <f>"凡华云仓-竹料中通-抖音"</f>
        <v>凡华云仓-竹料中通-抖音</v>
      </c>
      <c r="O9620" s="5">
        <v>76428326917261</v>
      </c>
      <c r="P9620" s="6">
        <v>0.33</v>
      </c>
      <c r="Q9620" s="11">
        <v>2.6</v>
      </c>
      <c r="R9620" s="11"/>
      <c r="S9620" s="11"/>
      <c r="T9620" s="11"/>
      <c r="U9620" s="11">
        <f t="shared" si="2646"/>
        <v>2.6</v>
      </c>
      <c r="W9620">
        <v>2.6</v>
      </c>
      <c r="X9620" s="1" t="s">
        <v>13</v>
      </c>
    </row>
    <row r="9621" spans="1:24" x14ac:dyDescent="0.25">
      <c r="A9621" s="1" t="str">
        <f t="shared" si="2642"/>
        <v>卡卡杜-凤凰仓</v>
      </c>
      <c r="B9621" s="1" t="str">
        <f>"CK2024100518463"</f>
        <v>CK2024100518463</v>
      </c>
      <c r="C9621" s="1" t="str">
        <f>"DD2024100549609"</f>
        <v>DD2024100549609</v>
      </c>
      <c r="D9621" s="1" t="str">
        <f>"CK2024100542567"</f>
        <v>CK2024100542567</v>
      </c>
      <c r="E9621" s="1" t="str">
        <f>"6917835554984262677"</f>
        <v>6917835554984262677</v>
      </c>
      <c r="F9621" s="1" t="str">
        <f t="shared" si="2643"/>
        <v>花都四部-凤凰仓</v>
      </c>
      <c r="G9621" s="1" t="str">
        <f t="shared" si="2648"/>
        <v>卡卡杜个人护理店（抖店）</v>
      </c>
      <c r="H9621" s="1" t="str">
        <f t="shared" si="2644"/>
        <v>正常订单</v>
      </c>
      <c r="I9621" s="1" t="str">
        <f t="shared" si="2645"/>
        <v>已发货</v>
      </c>
      <c r="J9621" s="1" t="str">
        <f t="shared" si="2647"/>
        <v>2</v>
      </c>
      <c r="K9621" s="1">
        <v>1</v>
      </c>
      <c r="L9621" s="1" t="s">
        <v>74</v>
      </c>
      <c r="M9621" s="1" t="str">
        <f>"上海 上海市 金山区 朱泾镇"</f>
        <v>上海 上海市 金山区 朱泾镇</v>
      </c>
      <c r="N9621" s="1" t="str">
        <f t="shared" ref="N9621:N9684" si="2650">"凡华云仓-韵达-抖音"</f>
        <v>凡华云仓-韵达-抖音</v>
      </c>
      <c r="O9621" s="5">
        <v>320156930091423</v>
      </c>
      <c r="P9621" s="6">
        <v>0.33</v>
      </c>
      <c r="Q9621" s="11">
        <v>2.2999999999999998</v>
      </c>
      <c r="R9621" s="11"/>
      <c r="S9621" s="11"/>
      <c r="T9621" s="11"/>
      <c r="U9621" s="11">
        <f t="shared" si="2646"/>
        <v>2.2999999999999998</v>
      </c>
      <c r="W9621">
        <v>2.5</v>
      </c>
      <c r="X9621" s="1" t="s">
        <v>74</v>
      </c>
    </row>
    <row r="9622" spans="1:24" x14ac:dyDescent="0.25">
      <c r="A9622" s="1" t="str">
        <f t="shared" si="2642"/>
        <v>卡卡杜-凤凰仓</v>
      </c>
      <c r="B9622" s="1" t="str">
        <f>"CK2024100518464"</f>
        <v>CK2024100518464</v>
      </c>
      <c r="C9622" s="1" t="str">
        <f>"DD2024100549613"</f>
        <v>DD2024100549613</v>
      </c>
      <c r="D9622" s="1" t="str">
        <f>"CK2024100542566"</f>
        <v>CK2024100542566</v>
      </c>
      <c r="E9622" s="1" t="str">
        <f>"6917835985521114947"</f>
        <v>6917835985521114947</v>
      </c>
      <c r="F9622" s="1" t="str">
        <f t="shared" si="2643"/>
        <v>花都四部-凤凰仓</v>
      </c>
      <c r="G9622" s="1" t="str">
        <f t="shared" si="2648"/>
        <v>卡卡杜个人护理店（抖店）</v>
      </c>
      <c r="H9622" s="1" t="str">
        <f t="shared" si="2644"/>
        <v>正常订单</v>
      </c>
      <c r="I9622" s="1" t="str">
        <f t="shared" si="2645"/>
        <v>已发货</v>
      </c>
      <c r="J9622" s="1" t="str">
        <f t="shared" si="2647"/>
        <v>2</v>
      </c>
      <c r="K9622" s="1">
        <v>1</v>
      </c>
      <c r="L9622" s="1" t="s">
        <v>27</v>
      </c>
      <c r="M9622" s="1" t="str">
        <f>"贵州省 黔南布依族苗族自治州 三都水族自治县 三合街道"</f>
        <v>贵州省 黔南布依族苗族自治州 三都水族自治县 三合街道</v>
      </c>
      <c r="N9622" s="1" t="str">
        <f t="shared" si="2650"/>
        <v>凡华云仓-韵达-抖音</v>
      </c>
      <c r="O9622" s="5">
        <v>320156930091328</v>
      </c>
      <c r="P9622" s="6">
        <v>0.33</v>
      </c>
      <c r="Q9622" s="11">
        <v>2.2999999999999998</v>
      </c>
      <c r="R9622" s="11"/>
      <c r="S9622" s="11"/>
      <c r="T9622" s="11"/>
      <c r="U9622" s="11">
        <f t="shared" si="2646"/>
        <v>2.2999999999999998</v>
      </c>
      <c r="W9622">
        <v>2.5</v>
      </c>
      <c r="X9622" s="1" t="s">
        <v>27</v>
      </c>
    </row>
    <row r="9623" spans="1:24" x14ac:dyDescent="0.25">
      <c r="A9623" s="1" t="str">
        <f t="shared" si="2642"/>
        <v>卡卡杜-凤凰仓</v>
      </c>
      <c r="B9623" s="1" t="str">
        <f>"CK2024100518465"</f>
        <v>CK2024100518465</v>
      </c>
      <c r="C9623" s="1" t="str">
        <f>"DD2024100549610"</f>
        <v>DD2024100549610</v>
      </c>
      <c r="D9623" s="1" t="str">
        <f>"CK2024100542565"</f>
        <v>CK2024100542565</v>
      </c>
      <c r="E9623" s="1" t="str">
        <f>"6917838269157506124"</f>
        <v>6917838269157506124</v>
      </c>
      <c r="F9623" s="1" t="str">
        <f t="shared" si="2643"/>
        <v>花都四部-凤凰仓</v>
      </c>
      <c r="G9623" s="1" t="str">
        <f t="shared" si="2648"/>
        <v>卡卡杜个人护理店（抖店）</v>
      </c>
      <c r="H9623" s="1" t="str">
        <f t="shared" si="2644"/>
        <v>正常订单</v>
      </c>
      <c r="I9623" s="1" t="str">
        <f t="shared" si="2645"/>
        <v>已发货</v>
      </c>
      <c r="J9623" s="1" t="str">
        <f t="shared" si="2647"/>
        <v>2</v>
      </c>
      <c r="K9623" s="1">
        <v>1</v>
      </c>
      <c r="L9623" s="1" t="s">
        <v>16</v>
      </c>
      <c r="M9623" s="1" t="str">
        <f>"河北省 保定市 高碑店市 和平街道"</f>
        <v>河北省 保定市 高碑店市 和平街道</v>
      </c>
      <c r="N9623" s="1" t="str">
        <f t="shared" si="2650"/>
        <v>凡华云仓-韵达-抖音</v>
      </c>
      <c r="O9623" s="5">
        <v>320156930091235</v>
      </c>
      <c r="P9623" s="6">
        <v>0.33</v>
      </c>
      <c r="Q9623" s="11">
        <v>2.2999999999999998</v>
      </c>
      <c r="R9623" s="11"/>
      <c r="S9623" s="11"/>
      <c r="T9623" s="11"/>
      <c r="U9623" s="11">
        <f t="shared" si="2646"/>
        <v>2.2999999999999998</v>
      </c>
      <c r="W9623">
        <v>2.5</v>
      </c>
      <c r="X9623" s="1" t="s">
        <v>16</v>
      </c>
    </row>
    <row r="9624" spans="1:24" x14ac:dyDescent="0.25">
      <c r="A9624" s="1" t="str">
        <f t="shared" si="2642"/>
        <v>卡卡杜-凤凰仓</v>
      </c>
      <c r="B9624" s="1" t="str">
        <f>"CK2024100518466"</f>
        <v>CK2024100518466</v>
      </c>
      <c r="C9624" s="1" t="str">
        <f>"DD2024100549612"</f>
        <v>DD2024100549612</v>
      </c>
      <c r="D9624" s="1" t="str">
        <f>"CK2024100542564"</f>
        <v>CK2024100542564</v>
      </c>
      <c r="E9624" s="1" t="str">
        <f>"6917842926211333226"</f>
        <v>6917842926211333226</v>
      </c>
      <c r="F9624" s="1" t="str">
        <f t="shared" si="2643"/>
        <v>花都四部-凤凰仓</v>
      </c>
      <c r="G9624" s="1" t="str">
        <f t="shared" si="2648"/>
        <v>卡卡杜个人护理店（抖店）</v>
      </c>
      <c r="H9624" s="1" t="str">
        <f t="shared" si="2644"/>
        <v>正常订单</v>
      </c>
      <c r="I9624" s="1" t="str">
        <f t="shared" si="2645"/>
        <v>已发货</v>
      </c>
      <c r="J9624" s="1" t="str">
        <f t="shared" si="2647"/>
        <v>2</v>
      </c>
      <c r="K9624" s="1">
        <v>1</v>
      </c>
      <c r="L9624" s="1" t="s">
        <v>80</v>
      </c>
      <c r="M9624" s="1" t="str">
        <f>"河南省 信阳市 罗山县 "</f>
        <v xml:space="preserve">河南省 信阳市 罗山县 </v>
      </c>
      <c r="N9624" s="1" t="str">
        <f t="shared" si="2650"/>
        <v>凡华云仓-韵达-抖音</v>
      </c>
      <c r="O9624" s="5">
        <v>320156930091144</v>
      </c>
      <c r="P9624" s="6">
        <v>0.33</v>
      </c>
      <c r="Q9624" s="11">
        <v>2.2999999999999998</v>
      </c>
      <c r="R9624" s="11"/>
      <c r="S9624" s="11"/>
      <c r="T9624" s="11"/>
      <c r="U9624" s="11">
        <f t="shared" si="2646"/>
        <v>2.2999999999999998</v>
      </c>
      <c r="W9624">
        <v>2.5</v>
      </c>
      <c r="X9624" s="1" t="s">
        <v>80</v>
      </c>
    </row>
    <row r="9625" spans="1:24" x14ac:dyDescent="0.25">
      <c r="A9625" s="1" t="str">
        <f t="shared" si="2642"/>
        <v>卡卡杜-凤凰仓</v>
      </c>
      <c r="B9625" s="1" t="str">
        <f>"CK2024100518467"</f>
        <v>CK2024100518467</v>
      </c>
      <c r="C9625" s="1" t="str">
        <f>"DD2024100549614"</f>
        <v>DD2024100549614</v>
      </c>
      <c r="D9625" s="1" t="str">
        <f>"CK2024100542563"</f>
        <v>CK2024100542563</v>
      </c>
      <c r="E9625" s="1" t="str">
        <f>"6917833241475055094"</f>
        <v>6917833241475055094</v>
      </c>
      <c r="F9625" s="1" t="str">
        <f t="shared" si="2643"/>
        <v>花都四部-凤凰仓</v>
      </c>
      <c r="G9625" s="1" t="str">
        <f t="shared" si="2648"/>
        <v>卡卡杜个人护理店（抖店）</v>
      </c>
      <c r="H9625" s="1" t="str">
        <f t="shared" si="2644"/>
        <v>正常订单</v>
      </c>
      <c r="I9625" s="1" t="str">
        <f t="shared" si="2645"/>
        <v>已发货</v>
      </c>
      <c r="J9625" s="1" t="str">
        <f t="shared" si="2647"/>
        <v>2</v>
      </c>
      <c r="K9625" s="1">
        <v>1</v>
      </c>
      <c r="L9625" s="1" t="s">
        <v>18</v>
      </c>
      <c r="M9625" s="1" t="str">
        <f>"广东省 广州市 花都区 "</f>
        <v xml:space="preserve">广东省 广州市 花都区 </v>
      </c>
      <c r="N9625" s="1" t="str">
        <f t="shared" si="2650"/>
        <v>凡华云仓-韵达-抖音</v>
      </c>
      <c r="O9625" s="5">
        <v>320156930091055</v>
      </c>
      <c r="P9625" s="6">
        <v>0.33</v>
      </c>
      <c r="Q9625" s="11">
        <v>2.2999999999999998</v>
      </c>
      <c r="R9625" s="11"/>
      <c r="S9625" s="11"/>
      <c r="T9625" s="11"/>
      <c r="U9625" s="11">
        <f t="shared" si="2646"/>
        <v>2.2999999999999998</v>
      </c>
      <c r="W9625">
        <v>2.5</v>
      </c>
      <c r="X9625" s="1" t="s">
        <v>18</v>
      </c>
    </row>
    <row r="9626" spans="1:24" x14ac:dyDescent="0.25">
      <c r="A9626" s="1" t="str">
        <f t="shared" si="2642"/>
        <v>卡卡杜-凤凰仓</v>
      </c>
      <c r="B9626" s="1" t="str">
        <f>"CK2024100518468"</f>
        <v>CK2024100518468</v>
      </c>
      <c r="C9626" s="1" t="str">
        <f>"DD2024100549611"</f>
        <v>DD2024100549611</v>
      </c>
      <c r="D9626" s="1" t="str">
        <f>"CK2024100542562"</f>
        <v>CK2024100542562</v>
      </c>
      <c r="E9626" s="1" t="str">
        <f>"6917835157072084055"</f>
        <v>6917835157072084055</v>
      </c>
      <c r="F9626" s="1" t="str">
        <f t="shared" si="2643"/>
        <v>花都四部-凤凰仓</v>
      </c>
      <c r="G9626" s="1" t="str">
        <f t="shared" si="2648"/>
        <v>卡卡杜个人护理店（抖店）</v>
      </c>
      <c r="H9626" s="1" t="str">
        <f t="shared" si="2644"/>
        <v>正常订单</v>
      </c>
      <c r="I9626" s="1" t="str">
        <f t="shared" si="2645"/>
        <v>已发货</v>
      </c>
      <c r="J9626" s="1" t="str">
        <f t="shared" si="2647"/>
        <v>2</v>
      </c>
      <c r="K9626" s="1">
        <v>1</v>
      </c>
      <c r="L9626" s="1" t="s">
        <v>96</v>
      </c>
      <c r="M9626" s="1" t="str">
        <f>"广西壮族自治区 崇左市 江州区 "</f>
        <v xml:space="preserve">广西壮族自治区 崇左市 江州区 </v>
      </c>
      <c r="N9626" s="1" t="str">
        <f t="shared" si="2650"/>
        <v>凡华云仓-韵达-抖音</v>
      </c>
      <c r="O9626" s="5">
        <v>320156930090939</v>
      </c>
      <c r="P9626" s="6">
        <v>0.33</v>
      </c>
      <c r="Q9626" s="11">
        <v>2.2999999999999998</v>
      </c>
      <c r="R9626" s="11"/>
      <c r="S9626" s="11"/>
      <c r="T9626" s="11"/>
      <c r="U9626" s="11">
        <f t="shared" si="2646"/>
        <v>2.2999999999999998</v>
      </c>
      <c r="W9626">
        <v>2.5</v>
      </c>
      <c r="X9626" s="1" t="s">
        <v>96</v>
      </c>
    </row>
    <row r="9627" spans="1:24" x14ac:dyDescent="0.25">
      <c r="A9627" s="1" t="str">
        <f t="shared" si="2642"/>
        <v>卡卡杜-凤凰仓</v>
      </c>
      <c r="B9627" s="1" t="str">
        <f>"CK2024100518469"</f>
        <v>CK2024100518469</v>
      </c>
      <c r="C9627" s="1" t="str">
        <f>"DD2024100549618"</f>
        <v>DD2024100549618</v>
      </c>
      <c r="D9627" s="1" t="str">
        <f>"CK2024100542561"</f>
        <v>CK2024100542561</v>
      </c>
      <c r="E9627" s="1" t="str">
        <f>"6917835683706076332"</f>
        <v>6917835683706076332</v>
      </c>
      <c r="F9627" s="1" t="str">
        <f t="shared" si="2643"/>
        <v>花都四部-凤凰仓</v>
      </c>
      <c r="G9627" s="1" t="str">
        <f t="shared" si="2648"/>
        <v>卡卡杜个人护理店（抖店）</v>
      </c>
      <c r="H9627" s="1" t="str">
        <f t="shared" si="2644"/>
        <v>正常订单</v>
      </c>
      <c r="I9627" s="1" t="str">
        <f t="shared" si="2645"/>
        <v>已发货</v>
      </c>
      <c r="J9627" s="1" t="str">
        <f t="shared" si="2647"/>
        <v>2</v>
      </c>
      <c r="K9627" s="1">
        <v>1</v>
      </c>
      <c r="L9627" s="1" t="s">
        <v>94</v>
      </c>
      <c r="M9627" s="1" t="str">
        <f>"湖南省 长沙市 浏阳市 沙市镇"</f>
        <v>湖南省 长沙市 浏阳市 沙市镇</v>
      </c>
      <c r="N9627" s="1" t="str">
        <f t="shared" si="2650"/>
        <v>凡华云仓-韵达-抖音</v>
      </c>
      <c r="O9627" s="5">
        <v>320156930090834</v>
      </c>
      <c r="P9627" s="6">
        <v>0.33</v>
      </c>
      <c r="Q9627" s="11">
        <v>2.2999999999999998</v>
      </c>
      <c r="R9627" s="11"/>
      <c r="S9627" s="11"/>
      <c r="T9627" s="11"/>
      <c r="U9627" s="11">
        <f t="shared" si="2646"/>
        <v>2.2999999999999998</v>
      </c>
      <c r="W9627">
        <v>2.5</v>
      </c>
      <c r="X9627" s="1" t="s">
        <v>94</v>
      </c>
    </row>
    <row r="9628" spans="1:24" x14ac:dyDescent="0.25">
      <c r="A9628" s="1" t="str">
        <f t="shared" si="2642"/>
        <v>卡卡杜-凤凰仓</v>
      </c>
      <c r="B9628" s="1" t="str">
        <f>"CK2024100518470"</f>
        <v>CK2024100518470</v>
      </c>
      <c r="C9628" s="1" t="str">
        <f>"DD2024100549615"</f>
        <v>DD2024100549615</v>
      </c>
      <c r="D9628" s="1" t="str">
        <f>"CK2024100542560"</f>
        <v>CK2024100542560</v>
      </c>
      <c r="E9628" s="1" t="str">
        <f>"6917833139817381067"</f>
        <v>6917833139817381067</v>
      </c>
      <c r="F9628" s="1" t="str">
        <f t="shared" si="2643"/>
        <v>花都四部-凤凰仓</v>
      </c>
      <c r="G9628" s="1" t="str">
        <f t="shared" si="2648"/>
        <v>卡卡杜个人护理店（抖店）</v>
      </c>
      <c r="H9628" s="1" t="str">
        <f t="shared" si="2644"/>
        <v>正常订单</v>
      </c>
      <c r="I9628" s="1" t="str">
        <f t="shared" si="2645"/>
        <v>已发货</v>
      </c>
      <c r="J9628" s="1" t="str">
        <f t="shared" si="2647"/>
        <v>2</v>
      </c>
      <c r="K9628" s="1">
        <v>1</v>
      </c>
      <c r="L9628" s="1" t="s">
        <v>18</v>
      </c>
      <c r="M9628" s="1" t="str">
        <f>"广东省 茂名市 信宜市 东镇街道"</f>
        <v>广东省 茂名市 信宜市 东镇街道</v>
      </c>
      <c r="N9628" s="1" t="str">
        <f t="shared" si="2650"/>
        <v>凡华云仓-韵达-抖音</v>
      </c>
      <c r="O9628" s="5">
        <v>320156930090731</v>
      </c>
      <c r="P9628" s="6">
        <v>0.33</v>
      </c>
      <c r="Q9628" s="11">
        <v>2.2999999999999998</v>
      </c>
      <c r="R9628" s="11"/>
      <c r="S9628" s="11"/>
      <c r="T9628" s="11"/>
      <c r="U9628" s="11">
        <f t="shared" si="2646"/>
        <v>2.2999999999999998</v>
      </c>
      <c r="W9628">
        <v>2.5</v>
      </c>
      <c r="X9628" s="1" t="s">
        <v>18</v>
      </c>
    </row>
    <row r="9629" spans="1:24" x14ac:dyDescent="0.25">
      <c r="A9629" s="1" t="str">
        <f t="shared" si="2642"/>
        <v>卡卡杜-凤凰仓</v>
      </c>
      <c r="B9629" s="1" t="str">
        <f>"CK2024100518471"</f>
        <v>CK2024100518471</v>
      </c>
      <c r="C9629" s="1" t="str">
        <f>"DD2024100549617"</f>
        <v>DD2024100549617</v>
      </c>
      <c r="D9629" s="1" t="str">
        <f>"CK2024100542559"</f>
        <v>CK2024100542559</v>
      </c>
      <c r="E9629" s="1" t="str">
        <f>"6917833294830927317"</f>
        <v>6917833294830927317</v>
      </c>
      <c r="F9629" s="1" t="str">
        <f t="shared" si="2643"/>
        <v>花都四部-凤凰仓</v>
      </c>
      <c r="G9629" s="1" t="str">
        <f t="shared" si="2648"/>
        <v>卡卡杜个人护理店（抖店）</v>
      </c>
      <c r="H9629" s="1" t="str">
        <f t="shared" si="2644"/>
        <v>正常订单</v>
      </c>
      <c r="I9629" s="1" t="str">
        <f t="shared" si="2645"/>
        <v>已发货</v>
      </c>
      <c r="J9629" s="1" t="str">
        <f t="shared" si="2647"/>
        <v>2</v>
      </c>
      <c r="K9629" s="1">
        <v>1</v>
      </c>
      <c r="L9629" s="1" t="s">
        <v>80</v>
      </c>
      <c r="M9629" s="1" t="str">
        <f>"河南省 开封市 尉氏县 大桥乡"</f>
        <v>河南省 开封市 尉氏县 大桥乡</v>
      </c>
      <c r="N9629" s="1" t="str">
        <f t="shared" si="2650"/>
        <v>凡华云仓-韵达-抖音</v>
      </c>
      <c r="O9629" s="5">
        <v>320156915230116</v>
      </c>
      <c r="P9629" s="6">
        <v>0.33</v>
      </c>
      <c r="Q9629" s="11">
        <v>2.2999999999999998</v>
      </c>
      <c r="R9629" s="11"/>
      <c r="S9629" s="11"/>
      <c r="T9629" s="11"/>
      <c r="U9629" s="11">
        <f t="shared" si="2646"/>
        <v>2.2999999999999998</v>
      </c>
      <c r="W9629">
        <v>2.5</v>
      </c>
      <c r="X9629" s="1" t="s">
        <v>80</v>
      </c>
    </row>
    <row r="9630" spans="1:24" x14ac:dyDescent="0.25">
      <c r="A9630" s="1" t="str">
        <f t="shared" si="2642"/>
        <v>卡卡杜-凤凰仓</v>
      </c>
      <c r="B9630" s="1" t="str">
        <f>"CK2024100518472"</f>
        <v>CK2024100518472</v>
      </c>
      <c r="C9630" s="1" t="str">
        <f>"DD2024100549616"</f>
        <v>DD2024100549616</v>
      </c>
      <c r="D9630" s="1" t="str">
        <f>"CK2024100542558"</f>
        <v>CK2024100542558</v>
      </c>
      <c r="E9630" s="1" t="str">
        <f>"6917830751712017937"</f>
        <v>6917830751712017937</v>
      </c>
      <c r="F9630" s="1" t="str">
        <f t="shared" si="2643"/>
        <v>花都四部-凤凰仓</v>
      </c>
      <c r="G9630" s="1" t="str">
        <f t="shared" si="2648"/>
        <v>卡卡杜个人护理店（抖店）</v>
      </c>
      <c r="H9630" s="1" t="str">
        <f t="shared" si="2644"/>
        <v>正常订单</v>
      </c>
      <c r="I9630" s="1" t="str">
        <f t="shared" si="2645"/>
        <v>已发货</v>
      </c>
      <c r="J9630" s="1" t="str">
        <f t="shared" si="2647"/>
        <v>2</v>
      </c>
      <c r="K9630" s="1">
        <v>1</v>
      </c>
      <c r="L9630" s="1" t="s">
        <v>20</v>
      </c>
      <c r="M9630" s="1" t="str">
        <f>"浙江省 嘉兴市 海盐县 西塘桥街道"</f>
        <v>浙江省 嘉兴市 海盐县 西塘桥街道</v>
      </c>
      <c r="N9630" s="1" t="str">
        <f t="shared" si="2650"/>
        <v>凡华云仓-韵达-抖音</v>
      </c>
      <c r="O9630" s="5">
        <v>320156915230027</v>
      </c>
      <c r="P9630" s="6">
        <v>0.33</v>
      </c>
      <c r="Q9630" s="11">
        <v>2.2999999999999998</v>
      </c>
      <c r="R9630" s="11"/>
      <c r="S9630" s="11"/>
      <c r="T9630" s="11"/>
      <c r="U9630" s="11">
        <f t="shared" si="2646"/>
        <v>2.2999999999999998</v>
      </c>
      <c r="W9630">
        <v>2.5</v>
      </c>
      <c r="X9630" s="1" t="s">
        <v>20</v>
      </c>
    </row>
    <row r="9631" spans="1:24" x14ac:dyDescent="0.25">
      <c r="A9631" s="1" t="str">
        <f t="shared" si="2642"/>
        <v>卡卡杜-凤凰仓</v>
      </c>
      <c r="B9631" s="1" t="str">
        <f>"CK2024100518473"</f>
        <v>CK2024100518473</v>
      </c>
      <c r="C9631" s="1" t="str">
        <f>"DD2024100549619"</f>
        <v>DD2024100549619</v>
      </c>
      <c r="D9631" s="1" t="str">
        <f>"CK2024100542557"</f>
        <v>CK2024100542557</v>
      </c>
      <c r="E9631" s="1" t="str">
        <f>"6917842883484155076"</f>
        <v>6917842883484155076</v>
      </c>
      <c r="F9631" s="1" t="str">
        <f t="shared" si="2643"/>
        <v>花都四部-凤凰仓</v>
      </c>
      <c r="G9631" s="1" t="str">
        <f t="shared" si="2648"/>
        <v>卡卡杜个人护理店（抖店）</v>
      </c>
      <c r="H9631" s="1" t="str">
        <f t="shared" si="2644"/>
        <v>正常订单</v>
      </c>
      <c r="I9631" s="1" t="str">
        <f t="shared" si="2645"/>
        <v>已发货</v>
      </c>
      <c r="J9631" s="1" t="str">
        <f t="shared" si="2647"/>
        <v>2</v>
      </c>
      <c r="K9631" s="1">
        <v>1</v>
      </c>
      <c r="L9631" s="1" t="s">
        <v>13</v>
      </c>
      <c r="M9631" s="1" t="str">
        <f>"江苏省 泰州市 泰兴市 虹桥镇"</f>
        <v>江苏省 泰州市 泰兴市 虹桥镇</v>
      </c>
      <c r="N9631" s="1" t="str">
        <f t="shared" si="2650"/>
        <v>凡华云仓-韵达-抖音</v>
      </c>
      <c r="O9631" s="5">
        <v>320156915229980</v>
      </c>
      <c r="P9631" s="6">
        <v>0.33</v>
      </c>
      <c r="Q9631" s="11">
        <v>2.2999999999999998</v>
      </c>
      <c r="R9631" s="11"/>
      <c r="S9631" s="11"/>
      <c r="T9631" s="11"/>
      <c r="U9631" s="11">
        <f t="shared" si="2646"/>
        <v>2.2999999999999998</v>
      </c>
      <c r="W9631">
        <v>2.5</v>
      </c>
      <c r="X9631" s="1" t="s">
        <v>13</v>
      </c>
    </row>
    <row r="9632" spans="1:24" x14ac:dyDescent="0.25">
      <c r="A9632" s="1" t="str">
        <f t="shared" si="2642"/>
        <v>卡卡杜-凤凰仓</v>
      </c>
      <c r="B9632" s="1" t="str">
        <f>"CK2024100518474"</f>
        <v>CK2024100518474</v>
      </c>
      <c r="C9632" s="1" t="str">
        <f>"DD2024100549620"</f>
        <v>DD2024100549620</v>
      </c>
      <c r="D9632" s="1" t="str">
        <f>"CK2024100542556"</f>
        <v>CK2024100542556</v>
      </c>
      <c r="E9632" s="1" t="str">
        <f>"6917826287069986038"</f>
        <v>6917826287069986038</v>
      </c>
      <c r="F9632" s="1" t="str">
        <f t="shared" si="2643"/>
        <v>花都四部-凤凰仓</v>
      </c>
      <c r="G9632" s="1" t="str">
        <f t="shared" si="2648"/>
        <v>卡卡杜个人护理店（抖店）</v>
      </c>
      <c r="H9632" s="1" t="str">
        <f t="shared" si="2644"/>
        <v>正常订单</v>
      </c>
      <c r="I9632" s="1" t="str">
        <f t="shared" si="2645"/>
        <v>已发货</v>
      </c>
      <c r="J9632" s="1" t="str">
        <f t="shared" si="2647"/>
        <v>2</v>
      </c>
      <c r="K9632" s="1">
        <v>1</v>
      </c>
      <c r="L9632" s="1" t="s">
        <v>20</v>
      </c>
      <c r="M9632" s="1" t="str">
        <f>"浙江省 丽水市 庆元县 松源街道"</f>
        <v>浙江省 丽水市 庆元县 松源街道</v>
      </c>
      <c r="N9632" s="1" t="str">
        <f t="shared" si="2650"/>
        <v>凡华云仓-韵达-抖音</v>
      </c>
      <c r="O9632" s="5">
        <v>320156915229875</v>
      </c>
      <c r="P9632" s="6">
        <v>0.33</v>
      </c>
      <c r="Q9632" s="11">
        <v>2.2999999999999998</v>
      </c>
      <c r="R9632" s="11"/>
      <c r="S9632" s="11"/>
      <c r="T9632" s="11"/>
      <c r="U9632" s="11">
        <f t="shared" si="2646"/>
        <v>2.2999999999999998</v>
      </c>
      <c r="W9632">
        <v>2.5</v>
      </c>
      <c r="X9632" s="1" t="s">
        <v>20</v>
      </c>
    </row>
    <row r="9633" spans="1:24" x14ac:dyDescent="0.25">
      <c r="A9633" s="1" t="str">
        <f t="shared" si="2642"/>
        <v>卡卡杜-凤凰仓</v>
      </c>
      <c r="B9633" s="1" t="str">
        <f>"CK2024100518475"</f>
        <v>CK2024100518475</v>
      </c>
      <c r="C9633" s="1" t="str">
        <f>"DD2024100549624"</f>
        <v>DD2024100549624</v>
      </c>
      <c r="D9633" s="1" t="str">
        <f>"CK2024100542555"</f>
        <v>CK2024100542555</v>
      </c>
      <c r="E9633" s="1" t="str">
        <f>"6917835511811243991"</f>
        <v>6917835511811243991</v>
      </c>
      <c r="F9633" s="1" t="str">
        <f t="shared" si="2643"/>
        <v>花都四部-凤凰仓</v>
      </c>
      <c r="G9633" s="1" t="str">
        <f t="shared" si="2648"/>
        <v>卡卡杜个人护理店（抖店）</v>
      </c>
      <c r="H9633" s="1" t="str">
        <f t="shared" si="2644"/>
        <v>正常订单</v>
      </c>
      <c r="I9633" s="1" t="str">
        <f t="shared" si="2645"/>
        <v>已发货</v>
      </c>
      <c r="J9633" s="1" t="str">
        <f t="shared" si="2647"/>
        <v>2</v>
      </c>
      <c r="K9633" s="1">
        <v>1</v>
      </c>
      <c r="L9633" s="1" t="s">
        <v>13</v>
      </c>
      <c r="M9633" s="1" t="str">
        <f>"江苏省 苏州市 相城区 "</f>
        <v xml:space="preserve">江苏省 苏州市 相城区 </v>
      </c>
      <c r="N9633" s="1" t="str">
        <f t="shared" si="2650"/>
        <v>凡华云仓-韵达-抖音</v>
      </c>
      <c r="O9633" s="5">
        <v>320156915229772</v>
      </c>
      <c r="P9633" s="6">
        <v>0.33</v>
      </c>
      <c r="Q9633" s="11">
        <v>2.2999999999999998</v>
      </c>
      <c r="R9633" s="11"/>
      <c r="S9633" s="11"/>
      <c r="T9633" s="11"/>
      <c r="U9633" s="11">
        <f t="shared" si="2646"/>
        <v>2.2999999999999998</v>
      </c>
      <c r="W9633">
        <v>2.5</v>
      </c>
      <c r="X9633" s="1" t="s">
        <v>13</v>
      </c>
    </row>
    <row r="9634" spans="1:24" x14ac:dyDescent="0.25">
      <c r="A9634" s="1" t="str">
        <f t="shared" si="2642"/>
        <v>卡卡杜-凤凰仓</v>
      </c>
      <c r="B9634" s="1" t="str">
        <f>"CK2024100518476"</f>
        <v>CK2024100518476</v>
      </c>
      <c r="C9634" s="1" t="str">
        <f>"DD2024100549621"</f>
        <v>DD2024100549621</v>
      </c>
      <c r="D9634" s="1" t="str">
        <f>"CK2024100542554"</f>
        <v>CK2024100542554</v>
      </c>
      <c r="E9634" s="1" t="str">
        <f>"6917835577417432481"</f>
        <v>6917835577417432481</v>
      </c>
      <c r="F9634" s="1" t="str">
        <f t="shared" si="2643"/>
        <v>花都四部-凤凰仓</v>
      </c>
      <c r="G9634" s="1" t="str">
        <f t="shared" si="2648"/>
        <v>卡卡杜个人护理店（抖店）</v>
      </c>
      <c r="H9634" s="1" t="str">
        <f t="shared" si="2644"/>
        <v>正常订单</v>
      </c>
      <c r="I9634" s="1" t="str">
        <f t="shared" si="2645"/>
        <v>已发货</v>
      </c>
      <c r="J9634" s="1" t="str">
        <f t="shared" si="2647"/>
        <v>2</v>
      </c>
      <c r="K9634" s="1">
        <v>1</v>
      </c>
      <c r="L9634" s="1" t="s">
        <v>13</v>
      </c>
      <c r="M9634" s="1" t="str">
        <f>"江苏省 南京市 高淳区 桠溪街道"</f>
        <v>江苏省 南京市 高淳区 桠溪街道</v>
      </c>
      <c r="N9634" s="1" t="str">
        <f t="shared" si="2650"/>
        <v>凡华云仓-韵达-抖音</v>
      </c>
      <c r="O9634" s="5">
        <v>320156915229671</v>
      </c>
      <c r="P9634" s="6">
        <v>0.33</v>
      </c>
      <c r="Q9634" s="11">
        <v>2.2999999999999998</v>
      </c>
      <c r="R9634" s="11"/>
      <c r="S9634" s="11"/>
      <c r="T9634" s="11"/>
      <c r="U9634" s="11">
        <f t="shared" si="2646"/>
        <v>2.2999999999999998</v>
      </c>
      <c r="W9634">
        <v>2.5</v>
      </c>
      <c r="X9634" s="1" t="s">
        <v>13</v>
      </c>
    </row>
    <row r="9635" spans="1:24" x14ac:dyDescent="0.25">
      <c r="A9635" s="1" t="str">
        <f t="shared" si="2642"/>
        <v>卡卡杜-凤凰仓</v>
      </c>
      <c r="B9635" s="1" t="str">
        <f>"CK2024100518478"</f>
        <v>CK2024100518478</v>
      </c>
      <c r="C9635" s="1" t="str">
        <f>"DD2024100549625"</f>
        <v>DD2024100549625</v>
      </c>
      <c r="D9635" s="1" t="str">
        <f>"CK2024100542553"</f>
        <v>CK2024100542553</v>
      </c>
      <c r="E9635" s="1" t="str">
        <f>"6917826017717943483"</f>
        <v>6917826017717943483</v>
      </c>
      <c r="F9635" s="1" t="str">
        <f t="shared" si="2643"/>
        <v>花都四部-凤凰仓</v>
      </c>
      <c r="G9635" s="1" t="str">
        <f t="shared" si="2648"/>
        <v>卡卡杜个人护理店（抖店）</v>
      </c>
      <c r="H9635" s="1" t="str">
        <f t="shared" si="2644"/>
        <v>正常订单</v>
      </c>
      <c r="I9635" s="1" t="str">
        <f t="shared" si="2645"/>
        <v>已发货</v>
      </c>
      <c r="J9635" s="1" t="str">
        <f t="shared" si="2647"/>
        <v>2</v>
      </c>
      <c r="K9635" s="1">
        <v>1</v>
      </c>
      <c r="L9635" s="1" t="s">
        <v>20</v>
      </c>
      <c r="M9635" s="1" t="str">
        <f>"浙江省 金华市 兰溪市 云山街道"</f>
        <v>浙江省 金华市 兰溪市 云山街道</v>
      </c>
      <c r="N9635" s="1" t="str">
        <f t="shared" si="2650"/>
        <v>凡华云仓-韵达-抖音</v>
      </c>
      <c r="O9635" s="5">
        <v>320156915229572</v>
      </c>
      <c r="P9635" s="6">
        <v>0.33</v>
      </c>
      <c r="Q9635" s="11">
        <v>2.2999999999999998</v>
      </c>
      <c r="R9635" s="11"/>
      <c r="S9635" s="11"/>
      <c r="T9635" s="11"/>
      <c r="U9635" s="11">
        <f t="shared" si="2646"/>
        <v>2.2999999999999998</v>
      </c>
      <c r="W9635">
        <v>2.5</v>
      </c>
      <c r="X9635" s="1" t="s">
        <v>20</v>
      </c>
    </row>
    <row r="9636" spans="1:24" x14ac:dyDescent="0.25">
      <c r="A9636" s="1" t="str">
        <f t="shared" si="2642"/>
        <v>卡卡杜-凤凰仓</v>
      </c>
      <c r="B9636" s="1" t="str">
        <f>"CK2024100518479"</f>
        <v>CK2024100518479</v>
      </c>
      <c r="C9636" s="1" t="str">
        <f>"DD2024100549623"</f>
        <v>DD2024100549623</v>
      </c>
      <c r="D9636" s="1" t="str">
        <f>"CK2024100542552"</f>
        <v>CK2024100542552</v>
      </c>
      <c r="E9636" s="1" t="str">
        <f>"6917825916314680793"</f>
        <v>6917825916314680793</v>
      </c>
      <c r="F9636" s="1" t="str">
        <f t="shared" si="2643"/>
        <v>花都四部-凤凰仓</v>
      </c>
      <c r="G9636" s="1" t="str">
        <f t="shared" si="2648"/>
        <v>卡卡杜个人护理店（抖店）</v>
      </c>
      <c r="H9636" s="1" t="str">
        <f t="shared" si="2644"/>
        <v>正常订单</v>
      </c>
      <c r="I9636" s="1" t="str">
        <f t="shared" si="2645"/>
        <v>已发货</v>
      </c>
      <c r="J9636" s="1" t="str">
        <f t="shared" si="2647"/>
        <v>2</v>
      </c>
      <c r="K9636" s="1">
        <v>1</v>
      </c>
      <c r="L9636" s="1" t="s">
        <v>20</v>
      </c>
      <c r="M9636" s="1" t="str">
        <f>"浙江省 杭州市 余杭区 余杭街道"</f>
        <v>浙江省 杭州市 余杭区 余杭街道</v>
      </c>
      <c r="N9636" s="1" t="str">
        <f t="shared" si="2650"/>
        <v>凡华云仓-韵达-抖音</v>
      </c>
      <c r="O9636" s="5">
        <v>320156915229475</v>
      </c>
      <c r="P9636" s="6">
        <v>0.33</v>
      </c>
      <c r="Q9636" s="11">
        <v>2.2999999999999998</v>
      </c>
      <c r="R9636" s="11"/>
      <c r="S9636" s="11"/>
      <c r="T9636" s="11"/>
      <c r="U9636" s="11">
        <f t="shared" si="2646"/>
        <v>2.2999999999999998</v>
      </c>
      <c r="W9636">
        <v>2.5</v>
      </c>
      <c r="X9636" s="1" t="s">
        <v>20</v>
      </c>
    </row>
    <row r="9637" spans="1:24" x14ac:dyDescent="0.25">
      <c r="A9637" s="1" t="str">
        <f t="shared" si="2642"/>
        <v>卡卡杜-凤凰仓</v>
      </c>
      <c r="B9637" s="1" t="str">
        <f>"CK2024100518480"</f>
        <v>CK2024100518480</v>
      </c>
      <c r="C9637" s="1" t="str">
        <f>"DD2024100549626"</f>
        <v>DD2024100549626</v>
      </c>
      <c r="D9637" s="1" t="str">
        <f>"CK2024100542551"</f>
        <v>CK2024100542551</v>
      </c>
      <c r="E9637" s="1" t="str">
        <f>"6917833205997010297"</f>
        <v>6917833205997010297</v>
      </c>
      <c r="F9637" s="1" t="str">
        <f t="shared" si="2643"/>
        <v>花都四部-凤凰仓</v>
      </c>
      <c r="G9637" s="1" t="str">
        <f t="shared" si="2648"/>
        <v>卡卡杜个人护理店（抖店）</v>
      </c>
      <c r="H9637" s="1" t="str">
        <f t="shared" si="2644"/>
        <v>正常订单</v>
      </c>
      <c r="I9637" s="1" t="str">
        <f t="shared" si="2645"/>
        <v>已发货</v>
      </c>
      <c r="J9637" s="1" t="str">
        <f t="shared" si="2647"/>
        <v>2</v>
      </c>
      <c r="K9637" s="1">
        <v>1</v>
      </c>
      <c r="L9637" s="1" t="s">
        <v>105</v>
      </c>
      <c r="M9637" s="1" t="str">
        <f>"北京 北京市 通州区 台湖镇"</f>
        <v>北京 北京市 通州区 台湖镇</v>
      </c>
      <c r="N9637" s="1" t="str">
        <f t="shared" si="2650"/>
        <v>凡华云仓-韵达-抖音</v>
      </c>
      <c r="O9637" s="5">
        <v>320156915229380</v>
      </c>
      <c r="P9637" s="6">
        <v>0.33</v>
      </c>
      <c r="Q9637" s="11">
        <v>2.2999999999999998</v>
      </c>
      <c r="R9637" s="11"/>
      <c r="S9637" s="11"/>
      <c r="T9637" s="11"/>
      <c r="U9637" s="11">
        <f t="shared" si="2646"/>
        <v>2.2999999999999998</v>
      </c>
      <c r="W9637">
        <v>2.5</v>
      </c>
      <c r="X9637" s="1" t="s">
        <v>105</v>
      </c>
    </row>
    <row r="9638" spans="1:24" x14ac:dyDescent="0.25">
      <c r="A9638" s="1" t="str">
        <f t="shared" si="2642"/>
        <v>卡卡杜-凤凰仓</v>
      </c>
      <c r="B9638" s="1" t="str">
        <f>"CK2024100518481"</f>
        <v>CK2024100518481</v>
      </c>
      <c r="C9638" s="1" t="str">
        <f>"DD2024100549627"</f>
        <v>DD2024100549627</v>
      </c>
      <c r="D9638" s="1" t="str">
        <f>"CK2024100542550"</f>
        <v>CK2024100542550</v>
      </c>
      <c r="E9638" s="1" t="str">
        <f>"6917835557274025960"</f>
        <v>6917835557274025960</v>
      </c>
      <c r="F9638" s="1" t="str">
        <f t="shared" si="2643"/>
        <v>花都四部-凤凰仓</v>
      </c>
      <c r="G9638" s="1" t="str">
        <f t="shared" si="2648"/>
        <v>卡卡杜个人护理店（抖店）</v>
      </c>
      <c r="H9638" s="1" t="str">
        <f t="shared" si="2644"/>
        <v>正常订单</v>
      </c>
      <c r="I9638" s="1" t="str">
        <f t="shared" si="2645"/>
        <v>已发货</v>
      </c>
      <c r="J9638" s="1" t="str">
        <f t="shared" si="2647"/>
        <v>2</v>
      </c>
      <c r="K9638" s="1">
        <v>1</v>
      </c>
      <c r="L9638" s="1" t="s">
        <v>80</v>
      </c>
      <c r="M9638" s="1" t="str">
        <f>"河南省 周口市 淮阳区 "</f>
        <v xml:space="preserve">河南省 周口市 淮阳区 </v>
      </c>
      <c r="N9638" s="1" t="str">
        <f t="shared" si="2650"/>
        <v>凡华云仓-韵达-抖音</v>
      </c>
      <c r="O9638" s="5">
        <v>320156915229287</v>
      </c>
      <c r="P9638" s="6">
        <v>0.33</v>
      </c>
      <c r="Q9638" s="11">
        <v>2.2999999999999998</v>
      </c>
      <c r="R9638" s="11"/>
      <c r="S9638" s="11"/>
      <c r="T9638" s="11"/>
      <c r="U9638" s="11">
        <f t="shared" si="2646"/>
        <v>2.2999999999999998</v>
      </c>
      <c r="W9638">
        <v>2.5</v>
      </c>
      <c r="X9638" s="1" t="s">
        <v>80</v>
      </c>
    </row>
    <row r="9639" spans="1:24" x14ac:dyDescent="0.25">
      <c r="A9639" s="1" t="str">
        <f t="shared" si="2642"/>
        <v>卡卡杜-凤凰仓</v>
      </c>
      <c r="B9639" s="1" t="str">
        <f>"CK2024100518482"</f>
        <v>CK2024100518482</v>
      </c>
      <c r="C9639" s="1" t="str">
        <f>"DD2024100549629"</f>
        <v>DD2024100549629</v>
      </c>
      <c r="D9639" s="1" t="str">
        <f>"CK2024100542549"</f>
        <v>CK2024100542549</v>
      </c>
      <c r="E9639" s="1" t="str">
        <f>"6917835569084399542"</f>
        <v>6917835569084399542</v>
      </c>
      <c r="F9639" s="1" t="str">
        <f t="shared" si="2643"/>
        <v>花都四部-凤凰仓</v>
      </c>
      <c r="G9639" s="1" t="str">
        <f t="shared" si="2648"/>
        <v>卡卡杜个人护理店（抖店）</v>
      </c>
      <c r="H9639" s="1" t="str">
        <f t="shared" si="2644"/>
        <v>正常订单</v>
      </c>
      <c r="I9639" s="1" t="str">
        <f t="shared" si="2645"/>
        <v>已发货</v>
      </c>
      <c r="J9639" s="1" t="str">
        <f t="shared" si="2647"/>
        <v>2</v>
      </c>
      <c r="K9639" s="1">
        <v>1</v>
      </c>
      <c r="L9639" s="1" t="s">
        <v>44</v>
      </c>
      <c r="M9639" s="1" t="str">
        <f>"海南省 昌江黎族自治县 昌江黎族自治县 石碌镇"</f>
        <v>海南省 昌江黎族自治县 昌江黎族自治县 石碌镇</v>
      </c>
      <c r="N9639" s="1" t="str">
        <f t="shared" si="2650"/>
        <v>凡华云仓-韵达-抖音</v>
      </c>
      <c r="O9639" s="5">
        <v>320156922072998</v>
      </c>
      <c r="P9639" s="6">
        <v>0.33</v>
      </c>
      <c r="Q9639" s="11">
        <v>2.2999999999999998</v>
      </c>
      <c r="R9639" s="11"/>
      <c r="S9639" s="11"/>
      <c r="T9639" s="11"/>
      <c r="U9639" s="11">
        <f t="shared" si="2646"/>
        <v>2.2999999999999998</v>
      </c>
      <c r="W9639">
        <v>2.5</v>
      </c>
      <c r="X9639" s="1" t="s">
        <v>44</v>
      </c>
    </row>
    <row r="9640" spans="1:24" x14ac:dyDescent="0.25">
      <c r="A9640" s="1" t="str">
        <f t="shared" si="2642"/>
        <v>卡卡杜-凤凰仓</v>
      </c>
      <c r="B9640" s="1" t="str">
        <f>"CK2024100518483"</f>
        <v>CK2024100518483</v>
      </c>
      <c r="C9640" s="1" t="str">
        <f>"DD2024100549628"</f>
        <v>DD2024100549628</v>
      </c>
      <c r="D9640" s="1" t="str">
        <f>"CK2024100542548"</f>
        <v>CK2024100542548</v>
      </c>
      <c r="E9640" s="1" t="str">
        <f>"6917835552723533132"</f>
        <v>6917835552723533132</v>
      </c>
      <c r="F9640" s="1" t="str">
        <f t="shared" si="2643"/>
        <v>花都四部-凤凰仓</v>
      </c>
      <c r="G9640" s="1" t="str">
        <f t="shared" si="2648"/>
        <v>卡卡杜个人护理店（抖店）</v>
      </c>
      <c r="H9640" s="1" t="str">
        <f t="shared" si="2644"/>
        <v>正常订单</v>
      </c>
      <c r="I9640" s="1" t="str">
        <f t="shared" si="2645"/>
        <v>已发货</v>
      </c>
      <c r="J9640" s="1" t="str">
        <f t="shared" si="2647"/>
        <v>2</v>
      </c>
      <c r="K9640" s="1">
        <v>1</v>
      </c>
      <c r="L9640" s="1" t="s">
        <v>80</v>
      </c>
      <c r="M9640" s="1" t="str">
        <f>"河南省 郑州市 惠济区 迎宾路街道"</f>
        <v>河南省 郑州市 惠济区 迎宾路街道</v>
      </c>
      <c r="N9640" s="1" t="str">
        <f t="shared" si="2650"/>
        <v>凡华云仓-韵达-抖音</v>
      </c>
      <c r="O9640" s="5">
        <v>320156922072893</v>
      </c>
      <c r="P9640" s="6">
        <v>0.33</v>
      </c>
      <c r="Q9640" s="11">
        <v>2.2999999999999998</v>
      </c>
      <c r="R9640" s="11"/>
      <c r="S9640" s="11"/>
      <c r="T9640" s="11"/>
      <c r="U9640" s="11">
        <f t="shared" si="2646"/>
        <v>2.2999999999999998</v>
      </c>
      <c r="W9640">
        <v>2.5</v>
      </c>
      <c r="X9640" s="1" t="s">
        <v>80</v>
      </c>
    </row>
    <row r="9641" spans="1:24" x14ac:dyDescent="0.25">
      <c r="A9641" s="1" t="str">
        <f t="shared" si="2642"/>
        <v>卡卡杜-凤凰仓</v>
      </c>
      <c r="B9641" s="1" t="str">
        <f>"CK2024100518484"</f>
        <v>CK2024100518484</v>
      </c>
      <c r="C9641" s="1" t="str">
        <f>"DD2024100549630"</f>
        <v>DD2024100549630</v>
      </c>
      <c r="D9641" s="1" t="str">
        <f>"CK2024100542547"</f>
        <v>CK2024100542547</v>
      </c>
      <c r="E9641" s="1" t="str">
        <f>"6917842910681857766"</f>
        <v>6917842910681857766</v>
      </c>
      <c r="F9641" s="1" t="str">
        <f t="shared" si="2643"/>
        <v>花都四部-凤凰仓</v>
      </c>
      <c r="G9641" s="1" t="str">
        <f t="shared" si="2648"/>
        <v>卡卡杜个人护理店（抖店）</v>
      </c>
      <c r="H9641" s="1" t="str">
        <f t="shared" si="2644"/>
        <v>正常订单</v>
      </c>
      <c r="I9641" s="1" t="str">
        <f t="shared" si="2645"/>
        <v>已发货</v>
      </c>
      <c r="J9641" s="1" t="str">
        <f t="shared" si="2647"/>
        <v>2</v>
      </c>
      <c r="K9641" s="1">
        <v>1</v>
      </c>
      <c r="L9641" s="1" t="s">
        <v>20</v>
      </c>
      <c r="M9641" s="1" t="str">
        <f>"浙江省 宁波市 余姚市 黄家埠镇"</f>
        <v>浙江省 宁波市 余姚市 黄家埠镇</v>
      </c>
      <c r="N9641" s="1" t="str">
        <f t="shared" si="2650"/>
        <v>凡华云仓-韵达-抖音</v>
      </c>
      <c r="O9641" s="5">
        <v>320156922072790</v>
      </c>
      <c r="P9641" s="6">
        <v>0.33</v>
      </c>
      <c r="Q9641" s="11">
        <v>2.2999999999999998</v>
      </c>
      <c r="R9641" s="11"/>
      <c r="S9641" s="11"/>
      <c r="T9641" s="11"/>
      <c r="U9641" s="11">
        <f t="shared" si="2646"/>
        <v>2.2999999999999998</v>
      </c>
      <c r="W9641">
        <v>2.5</v>
      </c>
      <c r="X9641" s="1" t="s">
        <v>20</v>
      </c>
    </row>
    <row r="9642" spans="1:24" x14ac:dyDescent="0.25">
      <c r="A9642" s="1" t="str">
        <f t="shared" si="2642"/>
        <v>卡卡杜-凤凰仓</v>
      </c>
      <c r="B9642" s="1" t="str">
        <f>"CK2024100518485"</f>
        <v>CK2024100518485</v>
      </c>
      <c r="C9642" s="1" t="str">
        <f>"DD2024100549631"</f>
        <v>DD2024100549631</v>
      </c>
      <c r="D9642" s="1" t="str">
        <f>"CK2024100542546"</f>
        <v>CK2024100542546</v>
      </c>
      <c r="E9642" s="1" t="str">
        <f>"6917835801484819666"</f>
        <v>6917835801484819666</v>
      </c>
      <c r="F9642" s="1" t="str">
        <f t="shared" si="2643"/>
        <v>花都四部-凤凰仓</v>
      </c>
      <c r="G9642" s="1" t="str">
        <f t="shared" si="2648"/>
        <v>卡卡杜个人护理店（抖店）</v>
      </c>
      <c r="H9642" s="1" t="str">
        <f t="shared" si="2644"/>
        <v>正常订单</v>
      </c>
      <c r="I9642" s="1" t="str">
        <f t="shared" si="2645"/>
        <v>已发货</v>
      </c>
      <c r="J9642" s="1" t="str">
        <f t="shared" si="2647"/>
        <v>2</v>
      </c>
      <c r="K9642" s="1">
        <v>1</v>
      </c>
      <c r="L9642" s="1" t="s">
        <v>18</v>
      </c>
      <c r="M9642" s="1" t="str">
        <f>"广东省 深圳市 龙岗区 葵涌街道"</f>
        <v>广东省 深圳市 龙岗区 葵涌街道</v>
      </c>
      <c r="N9642" s="1" t="str">
        <f t="shared" si="2650"/>
        <v>凡华云仓-韵达-抖音</v>
      </c>
      <c r="O9642" s="5">
        <v>320156922072689</v>
      </c>
      <c r="P9642" s="6">
        <v>0.33</v>
      </c>
      <c r="Q9642" s="11">
        <v>2.2999999999999998</v>
      </c>
      <c r="R9642" s="11"/>
      <c r="S9642" s="11"/>
      <c r="T9642" s="11"/>
      <c r="U9642" s="11">
        <f t="shared" si="2646"/>
        <v>2.2999999999999998</v>
      </c>
      <c r="W9642">
        <v>2.5</v>
      </c>
      <c r="X9642" s="1" t="s">
        <v>18</v>
      </c>
    </row>
    <row r="9643" spans="1:24" x14ac:dyDescent="0.25">
      <c r="A9643" s="1" t="str">
        <f t="shared" ref="A9643:A9706" si="2651">"卡卡杜-凤凰仓"</f>
        <v>卡卡杜-凤凰仓</v>
      </c>
      <c r="B9643" s="1" t="str">
        <f>"CK2024100518486"</f>
        <v>CK2024100518486</v>
      </c>
      <c r="C9643" s="1" t="str">
        <f>"DD2024100549632"</f>
        <v>DD2024100549632</v>
      </c>
      <c r="D9643" s="1" t="str">
        <f>"CK2024100542545"</f>
        <v>CK2024100542545</v>
      </c>
      <c r="E9643" s="1" t="str">
        <f>"6917838190904573540"</f>
        <v>6917838190904573540</v>
      </c>
      <c r="F9643" s="1" t="str">
        <f t="shared" ref="F9643:F9706" si="2652">"花都四部-凤凰仓"</f>
        <v>花都四部-凤凰仓</v>
      </c>
      <c r="G9643" s="1" t="str">
        <f t="shared" si="2648"/>
        <v>卡卡杜个人护理店（抖店）</v>
      </c>
      <c r="H9643" s="1" t="str">
        <f t="shared" ref="H9643:H9706" si="2653">"正常订单"</f>
        <v>正常订单</v>
      </c>
      <c r="I9643" s="1" t="str">
        <f t="shared" ref="I9643:I9706" si="2654">"已发货"</f>
        <v>已发货</v>
      </c>
      <c r="J9643" s="1" t="str">
        <f t="shared" si="2647"/>
        <v>2</v>
      </c>
      <c r="K9643" s="1">
        <v>1</v>
      </c>
      <c r="L9643" s="1" t="s">
        <v>74</v>
      </c>
      <c r="M9643" s="1" t="str">
        <f>"上海 上海市 宝山区 顾村镇"</f>
        <v>上海 上海市 宝山区 顾村镇</v>
      </c>
      <c r="N9643" s="1" t="str">
        <f t="shared" si="2650"/>
        <v>凡华云仓-韵达-抖音</v>
      </c>
      <c r="O9643" s="5">
        <v>320156922072590</v>
      </c>
      <c r="P9643" s="6">
        <v>0.33</v>
      </c>
      <c r="Q9643" s="11">
        <v>2.2999999999999998</v>
      </c>
      <c r="R9643" s="11"/>
      <c r="S9643" s="11"/>
      <c r="T9643" s="11"/>
      <c r="U9643" s="11">
        <f t="shared" si="2646"/>
        <v>2.2999999999999998</v>
      </c>
      <c r="W9643">
        <v>2.5</v>
      </c>
      <c r="X9643" s="1" t="s">
        <v>74</v>
      </c>
    </row>
    <row r="9644" spans="1:24" x14ac:dyDescent="0.25">
      <c r="A9644" s="1" t="str">
        <f t="shared" si="2651"/>
        <v>卡卡杜-凤凰仓</v>
      </c>
      <c r="B9644" s="1" t="str">
        <f>"CK2024100518487"</f>
        <v>CK2024100518487</v>
      </c>
      <c r="C9644" s="1" t="str">
        <f>"DD2024100549633"</f>
        <v>DD2024100549633</v>
      </c>
      <c r="D9644" s="1" t="str">
        <f>"CK2024100542544"</f>
        <v>CK2024100542544</v>
      </c>
      <c r="E9644" s="1" t="str">
        <f>"6917826187405655803"</f>
        <v>6917826187405655803</v>
      </c>
      <c r="F9644" s="1" t="str">
        <f t="shared" si="2652"/>
        <v>花都四部-凤凰仓</v>
      </c>
      <c r="G9644" s="1" t="str">
        <f t="shared" si="2648"/>
        <v>卡卡杜个人护理店（抖店）</v>
      </c>
      <c r="H9644" s="1" t="str">
        <f t="shared" si="2653"/>
        <v>正常订单</v>
      </c>
      <c r="I9644" s="1" t="str">
        <f t="shared" si="2654"/>
        <v>已发货</v>
      </c>
      <c r="J9644" s="1" t="str">
        <f t="shared" si="2647"/>
        <v>2</v>
      </c>
      <c r="K9644" s="1">
        <v>1</v>
      </c>
      <c r="L9644" s="1" t="s">
        <v>20</v>
      </c>
      <c r="M9644" s="1" t="str">
        <f>"浙江省 衢州市 开化县 华埠镇"</f>
        <v>浙江省 衢州市 开化县 华埠镇</v>
      </c>
      <c r="N9644" s="1" t="str">
        <f t="shared" si="2650"/>
        <v>凡华云仓-韵达-抖音</v>
      </c>
      <c r="O9644" s="5">
        <v>320156922072493</v>
      </c>
      <c r="P9644" s="6">
        <v>0.33</v>
      </c>
      <c r="Q9644" s="11">
        <v>2.2999999999999998</v>
      </c>
      <c r="R9644" s="11"/>
      <c r="S9644" s="11"/>
      <c r="T9644" s="11"/>
      <c r="U9644" s="11">
        <f t="shared" si="2646"/>
        <v>2.2999999999999998</v>
      </c>
      <c r="W9644">
        <v>2.5</v>
      </c>
      <c r="X9644" s="1" t="s">
        <v>20</v>
      </c>
    </row>
    <row r="9645" spans="1:24" x14ac:dyDescent="0.25">
      <c r="A9645" s="1" t="str">
        <f t="shared" si="2651"/>
        <v>卡卡杜-凤凰仓</v>
      </c>
      <c r="B9645" s="1" t="str">
        <f>"CK2024100518488"</f>
        <v>CK2024100518488</v>
      </c>
      <c r="C9645" s="1" t="str">
        <f>"DD2024100549634"</f>
        <v>DD2024100549634</v>
      </c>
      <c r="D9645" s="1" t="str">
        <f>"CK2024100542543"</f>
        <v>CK2024100542543</v>
      </c>
      <c r="E9645" s="1" t="str">
        <f>"6917828547718578091"</f>
        <v>6917828547718578091</v>
      </c>
      <c r="F9645" s="1" t="str">
        <f t="shared" si="2652"/>
        <v>花都四部-凤凰仓</v>
      </c>
      <c r="G9645" s="1" t="str">
        <f t="shared" si="2648"/>
        <v>卡卡杜个人护理店（抖店）</v>
      </c>
      <c r="H9645" s="1" t="str">
        <f t="shared" si="2653"/>
        <v>正常订单</v>
      </c>
      <c r="I9645" s="1" t="str">
        <f t="shared" si="2654"/>
        <v>已发货</v>
      </c>
      <c r="J9645" s="1" t="str">
        <f t="shared" si="2647"/>
        <v>2</v>
      </c>
      <c r="K9645" s="1">
        <v>1</v>
      </c>
      <c r="L9645" s="1" t="s">
        <v>30</v>
      </c>
      <c r="M9645" s="1" t="str">
        <f>"山东省 潍坊市 昌乐县 宝都街道"</f>
        <v>山东省 潍坊市 昌乐县 宝都街道</v>
      </c>
      <c r="N9645" s="1" t="str">
        <f t="shared" si="2650"/>
        <v>凡华云仓-韵达-抖音</v>
      </c>
      <c r="O9645" s="5">
        <v>320156922072398</v>
      </c>
      <c r="P9645" s="6">
        <v>0.33</v>
      </c>
      <c r="Q9645" s="11">
        <v>2.2999999999999998</v>
      </c>
      <c r="R9645" s="11"/>
      <c r="S9645" s="11"/>
      <c r="T9645" s="11"/>
      <c r="U9645" s="11">
        <f t="shared" si="2646"/>
        <v>2.2999999999999998</v>
      </c>
      <c r="W9645">
        <v>2.5</v>
      </c>
      <c r="X9645" s="1" t="s">
        <v>30</v>
      </c>
    </row>
    <row r="9646" spans="1:24" x14ac:dyDescent="0.25">
      <c r="A9646" s="1" t="str">
        <f t="shared" si="2651"/>
        <v>卡卡杜-凤凰仓</v>
      </c>
      <c r="B9646" s="1" t="str">
        <f>"CK2024100518489"</f>
        <v>CK2024100518489</v>
      </c>
      <c r="C9646" s="1" t="str">
        <f>"DD2024100549635"</f>
        <v>DD2024100549635</v>
      </c>
      <c r="D9646" s="1" t="str">
        <f>"CK2024100542542"</f>
        <v>CK2024100542542</v>
      </c>
      <c r="E9646" s="1" t="str">
        <f>"6917830805463268706"</f>
        <v>6917830805463268706</v>
      </c>
      <c r="F9646" s="1" t="str">
        <f t="shared" si="2652"/>
        <v>花都四部-凤凰仓</v>
      </c>
      <c r="G9646" s="1" t="str">
        <f t="shared" si="2648"/>
        <v>卡卡杜个人护理店（抖店）</v>
      </c>
      <c r="H9646" s="1" t="str">
        <f t="shared" si="2653"/>
        <v>正常订单</v>
      </c>
      <c r="I9646" s="1" t="str">
        <f t="shared" si="2654"/>
        <v>已发货</v>
      </c>
      <c r="J9646" s="1" t="str">
        <f t="shared" si="2647"/>
        <v>2</v>
      </c>
      <c r="K9646" s="1">
        <v>1</v>
      </c>
      <c r="L9646" s="1" t="s">
        <v>20</v>
      </c>
      <c r="M9646" s="1" t="str">
        <f>"浙江省 杭州市 钱塘区 下沙街道"</f>
        <v>浙江省 杭州市 钱塘区 下沙街道</v>
      </c>
      <c r="N9646" s="1" t="str">
        <f t="shared" si="2650"/>
        <v>凡华云仓-韵达-抖音</v>
      </c>
      <c r="O9646" s="5">
        <v>320156922072205</v>
      </c>
      <c r="P9646" s="6">
        <v>0.33</v>
      </c>
      <c r="Q9646" s="11">
        <v>2.2999999999999998</v>
      </c>
      <c r="R9646" s="11"/>
      <c r="S9646" s="11"/>
      <c r="T9646" s="11"/>
      <c r="U9646" s="11">
        <f t="shared" si="2646"/>
        <v>2.2999999999999998</v>
      </c>
      <c r="W9646">
        <v>2.5</v>
      </c>
      <c r="X9646" s="1" t="s">
        <v>20</v>
      </c>
    </row>
    <row r="9647" spans="1:24" x14ac:dyDescent="0.25">
      <c r="A9647" s="1" t="str">
        <f t="shared" si="2651"/>
        <v>卡卡杜-凤凰仓</v>
      </c>
      <c r="B9647" s="1" t="str">
        <f>"CK2024100518490"</f>
        <v>CK2024100518490</v>
      </c>
      <c r="C9647" s="1" t="str">
        <f>"DD2024100549636"</f>
        <v>DD2024100549636</v>
      </c>
      <c r="D9647" s="1" t="str">
        <f>"CK2024100542541"</f>
        <v>CK2024100542541</v>
      </c>
      <c r="E9647" s="1" t="str">
        <f>"6917828574362041541"</f>
        <v>6917828574362041541</v>
      </c>
      <c r="F9647" s="1" t="str">
        <f t="shared" si="2652"/>
        <v>花都四部-凤凰仓</v>
      </c>
      <c r="G9647" s="1" t="str">
        <f t="shared" si="2648"/>
        <v>卡卡杜个人护理店（抖店）</v>
      </c>
      <c r="H9647" s="1" t="str">
        <f t="shared" si="2653"/>
        <v>正常订单</v>
      </c>
      <c r="I9647" s="1" t="str">
        <f t="shared" si="2654"/>
        <v>已发货</v>
      </c>
      <c r="J9647" s="1" t="str">
        <f t="shared" si="2647"/>
        <v>2</v>
      </c>
      <c r="K9647" s="1">
        <v>1</v>
      </c>
      <c r="L9647" s="1" t="s">
        <v>41</v>
      </c>
      <c r="M9647" s="1" t="str">
        <f>"湖北省 咸宁市 咸安区 温泉街道"</f>
        <v>湖北省 咸宁市 咸安区 温泉街道</v>
      </c>
      <c r="N9647" s="1" t="str">
        <f t="shared" si="2650"/>
        <v>凡华云仓-韵达-抖音</v>
      </c>
      <c r="O9647" s="5">
        <v>320156922072114</v>
      </c>
      <c r="P9647" s="6">
        <v>0.33</v>
      </c>
      <c r="Q9647" s="11">
        <v>2.2999999999999998</v>
      </c>
      <c r="R9647" s="11"/>
      <c r="S9647" s="11"/>
      <c r="T9647" s="11"/>
      <c r="U9647" s="11">
        <f t="shared" si="2646"/>
        <v>2.2999999999999998</v>
      </c>
      <c r="W9647">
        <v>2.5</v>
      </c>
      <c r="X9647" s="1" t="s">
        <v>41</v>
      </c>
    </row>
    <row r="9648" spans="1:24" x14ac:dyDescent="0.25">
      <c r="A9648" s="1" t="str">
        <f t="shared" si="2651"/>
        <v>卡卡杜-凤凰仓</v>
      </c>
      <c r="B9648" s="1" t="str">
        <f>"CK2024100518491"</f>
        <v>CK2024100518491</v>
      </c>
      <c r="C9648" s="1" t="str">
        <f>"DD2024100549637"</f>
        <v>DD2024100549637</v>
      </c>
      <c r="D9648" s="1" t="str">
        <f>"CK2024100542540"</f>
        <v>CK2024100542540</v>
      </c>
      <c r="E9648" s="1" t="str">
        <f>"6917828222620696204"</f>
        <v>6917828222620696204</v>
      </c>
      <c r="F9648" s="1" t="str">
        <f t="shared" si="2652"/>
        <v>花都四部-凤凰仓</v>
      </c>
      <c r="G9648" s="1" t="str">
        <f t="shared" si="2648"/>
        <v>卡卡杜个人护理店（抖店）</v>
      </c>
      <c r="H9648" s="1" t="str">
        <f t="shared" si="2653"/>
        <v>正常订单</v>
      </c>
      <c r="I9648" s="1" t="str">
        <f t="shared" si="2654"/>
        <v>已发货</v>
      </c>
      <c r="J9648" s="1" t="str">
        <f t="shared" si="2647"/>
        <v>2</v>
      </c>
      <c r="K9648" s="1">
        <v>1</v>
      </c>
      <c r="L9648" s="1" t="s">
        <v>22</v>
      </c>
      <c r="M9648" s="1" t="str">
        <f>"江西省 上饶市 弋阳县 南岩街道"</f>
        <v>江西省 上饶市 弋阳县 南岩街道</v>
      </c>
      <c r="N9648" s="1" t="str">
        <f t="shared" si="2650"/>
        <v>凡华云仓-韵达-抖音</v>
      </c>
      <c r="O9648" s="5">
        <v>320156922072025</v>
      </c>
      <c r="P9648" s="6">
        <v>0.33</v>
      </c>
      <c r="Q9648" s="11">
        <v>2.2999999999999998</v>
      </c>
      <c r="R9648" s="11"/>
      <c r="S9648" s="11"/>
      <c r="T9648" s="11"/>
      <c r="U9648" s="11">
        <f t="shared" si="2646"/>
        <v>2.2999999999999998</v>
      </c>
      <c r="W9648">
        <v>2.5</v>
      </c>
      <c r="X9648" s="1" t="s">
        <v>22</v>
      </c>
    </row>
    <row r="9649" spans="1:24" x14ac:dyDescent="0.25">
      <c r="A9649" s="1" t="str">
        <f t="shared" si="2651"/>
        <v>卡卡杜-凤凰仓</v>
      </c>
      <c r="B9649" s="1" t="str">
        <f>"CK2024100518492"</f>
        <v>CK2024100518492</v>
      </c>
      <c r="C9649" s="1" t="str">
        <f>"DD2024100549638"</f>
        <v>DD2024100549638</v>
      </c>
      <c r="D9649" s="1" t="str">
        <f>"CK2024100542539"</f>
        <v>CK2024100542539</v>
      </c>
      <c r="E9649" s="1" t="str">
        <f>"6917828502428745687"</f>
        <v>6917828502428745687</v>
      </c>
      <c r="F9649" s="1" t="str">
        <f t="shared" si="2652"/>
        <v>花都四部-凤凰仓</v>
      </c>
      <c r="G9649" s="1" t="str">
        <f t="shared" si="2648"/>
        <v>卡卡杜个人护理店（抖店）</v>
      </c>
      <c r="H9649" s="1" t="str">
        <f t="shared" si="2653"/>
        <v>正常订单</v>
      </c>
      <c r="I9649" s="1" t="str">
        <f t="shared" si="2654"/>
        <v>已发货</v>
      </c>
      <c r="J9649" s="1" t="str">
        <f t="shared" si="2647"/>
        <v>2</v>
      </c>
      <c r="K9649" s="1">
        <v>1</v>
      </c>
      <c r="L9649" s="1" t="s">
        <v>80</v>
      </c>
      <c r="M9649" s="1" t="str">
        <f>"河南省 商丘市 梁园区 陇海街道"</f>
        <v>河南省 商丘市 梁园区 陇海街道</v>
      </c>
      <c r="N9649" s="1" t="str">
        <f t="shared" si="2650"/>
        <v>凡华云仓-韵达-抖音</v>
      </c>
      <c r="O9649" s="5">
        <v>320156924093779</v>
      </c>
      <c r="P9649" s="6">
        <v>0.33</v>
      </c>
      <c r="Q9649" s="11">
        <v>2.2999999999999998</v>
      </c>
      <c r="R9649" s="11"/>
      <c r="S9649" s="11"/>
      <c r="T9649" s="11"/>
      <c r="U9649" s="11">
        <f t="shared" si="2646"/>
        <v>2.2999999999999998</v>
      </c>
      <c r="W9649">
        <v>2.5</v>
      </c>
      <c r="X9649" s="1" t="s">
        <v>80</v>
      </c>
    </row>
    <row r="9650" spans="1:24" x14ac:dyDescent="0.25">
      <c r="A9650" s="1" t="str">
        <f t="shared" si="2651"/>
        <v>卡卡杜-凤凰仓</v>
      </c>
      <c r="B9650" s="1" t="str">
        <f>"CK2024100518493"</f>
        <v>CK2024100518493</v>
      </c>
      <c r="C9650" s="1" t="str">
        <f>"DD2024100549639"</f>
        <v>DD2024100549639</v>
      </c>
      <c r="D9650" s="1" t="str">
        <f>"CK2024100542538"</f>
        <v>CK2024100542538</v>
      </c>
      <c r="E9650" s="1" t="str">
        <f>"6917830601931652864"</f>
        <v>6917830601931652864</v>
      </c>
      <c r="F9650" s="1" t="str">
        <f t="shared" si="2652"/>
        <v>花都四部-凤凰仓</v>
      </c>
      <c r="G9650" s="1" t="str">
        <f t="shared" si="2648"/>
        <v>卡卡杜个人护理店（抖店）</v>
      </c>
      <c r="H9650" s="1" t="str">
        <f t="shared" si="2653"/>
        <v>正常订单</v>
      </c>
      <c r="I9650" s="1" t="str">
        <f t="shared" si="2654"/>
        <v>已发货</v>
      </c>
      <c r="J9650" s="1" t="str">
        <f t="shared" si="2647"/>
        <v>2</v>
      </c>
      <c r="K9650" s="1">
        <v>1</v>
      </c>
      <c r="L9650" s="1" t="s">
        <v>18</v>
      </c>
      <c r="M9650" s="1" t="str">
        <f>"广东省 中山市 中山市 小榄镇"</f>
        <v>广东省 中山市 中山市 小榄镇</v>
      </c>
      <c r="N9650" s="1" t="str">
        <f t="shared" si="2650"/>
        <v>凡华云仓-韵达-抖音</v>
      </c>
      <c r="O9650" s="5">
        <v>320156924093678</v>
      </c>
      <c r="P9650" s="6">
        <v>0.33</v>
      </c>
      <c r="Q9650" s="11">
        <v>2.2999999999999998</v>
      </c>
      <c r="R9650" s="11"/>
      <c r="S9650" s="11"/>
      <c r="T9650" s="11"/>
      <c r="U9650" s="11">
        <f t="shared" si="2646"/>
        <v>2.2999999999999998</v>
      </c>
      <c r="W9650">
        <v>2.5</v>
      </c>
      <c r="X9650" s="1" t="s">
        <v>18</v>
      </c>
    </row>
    <row r="9651" spans="1:24" x14ac:dyDescent="0.25">
      <c r="A9651" s="1" t="str">
        <f t="shared" si="2651"/>
        <v>卡卡杜-凤凰仓</v>
      </c>
      <c r="B9651" s="1" t="str">
        <f>"CK2024100518494"</f>
        <v>CK2024100518494</v>
      </c>
      <c r="C9651" s="1" t="str">
        <f>"DD2024100549640"</f>
        <v>DD2024100549640</v>
      </c>
      <c r="D9651" s="1" t="str">
        <f>"CK2024100542537"</f>
        <v>CK2024100542537</v>
      </c>
      <c r="E9651" s="1" t="str">
        <f>"6917826156016074354"</f>
        <v>6917826156016074354</v>
      </c>
      <c r="F9651" s="1" t="str">
        <f t="shared" si="2652"/>
        <v>花都四部-凤凰仓</v>
      </c>
      <c r="G9651" s="1" t="str">
        <f t="shared" si="2648"/>
        <v>卡卡杜个人护理店（抖店）</v>
      </c>
      <c r="H9651" s="1" t="str">
        <f t="shared" si="2653"/>
        <v>正常订单</v>
      </c>
      <c r="I9651" s="1" t="str">
        <f t="shared" si="2654"/>
        <v>已发货</v>
      </c>
      <c r="J9651" s="1" t="str">
        <f t="shared" si="2647"/>
        <v>2</v>
      </c>
      <c r="K9651" s="1">
        <v>1</v>
      </c>
      <c r="L9651" s="1" t="s">
        <v>18</v>
      </c>
      <c r="M9651" s="1" t="str">
        <f>"广东省 汕尾市 陆丰市 甲子镇"</f>
        <v>广东省 汕尾市 陆丰市 甲子镇</v>
      </c>
      <c r="N9651" s="1" t="str">
        <f t="shared" si="2650"/>
        <v>凡华云仓-韵达-抖音</v>
      </c>
      <c r="O9651" s="5">
        <v>320156924093579</v>
      </c>
      <c r="P9651" s="6">
        <v>0.33</v>
      </c>
      <c r="Q9651" s="11">
        <v>2.2999999999999998</v>
      </c>
      <c r="R9651" s="11"/>
      <c r="S9651" s="11"/>
      <c r="T9651" s="11"/>
      <c r="U9651" s="11">
        <f t="shared" si="2646"/>
        <v>2.2999999999999998</v>
      </c>
      <c r="W9651">
        <v>2.5</v>
      </c>
      <c r="X9651" s="1" t="s">
        <v>18</v>
      </c>
    </row>
    <row r="9652" spans="1:24" x14ac:dyDescent="0.25">
      <c r="A9652" s="1" t="str">
        <f t="shared" si="2651"/>
        <v>卡卡杜-凤凰仓</v>
      </c>
      <c r="B9652" s="1" t="str">
        <f>"CK2024100518495"</f>
        <v>CK2024100518495</v>
      </c>
      <c r="C9652" s="1" t="str">
        <f>"DD2024100549641"</f>
        <v>DD2024100549641</v>
      </c>
      <c r="D9652" s="1" t="str">
        <f>"CK2024100542536"</f>
        <v>CK2024100542536</v>
      </c>
      <c r="E9652" s="1" t="str">
        <f>"6917828527161965894"</f>
        <v>6917828527161965894</v>
      </c>
      <c r="F9652" s="1" t="str">
        <f t="shared" si="2652"/>
        <v>花都四部-凤凰仓</v>
      </c>
      <c r="G9652" s="1" t="str">
        <f t="shared" si="2648"/>
        <v>卡卡杜个人护理店（抖店）</v>
      </c>
      <c r="H9652" s="1" t="str">
        <f t="shared" si="2653"/>
        <v>正常订单</v>
      </c>
      <c r="I9652" s="1" t="str">
        <f t="shared" si="2654"/>
        <v>已发货</v>
      </c>
      <c r="J9652" s="1" t="str">
        <f t="shared" si="2647"/>
        <v>2</v>
      </c>
      <c r="K9652" s="1">
        <v>1</v>
      </c>
      <c r="L9652" s="1" t="s">
        <v>22</v>
      </c>
      <c r="M9652" s="1" t="str">
        <f>"江西省 上饶市 鄱阳县 枧田街乡"</f>
        <v>江西省 上饶市 鄱阳县 枧田街乡</v>
      </c>
      <c r="N9652" s="1" t="str">
        <f t="shared" si="2650"/>
        <v>凡华云仓-韵达-抖音</v>
      </c>
      <c r="O9652" s="5">
        <v>320156924093482</v>
      </c>
      <c r="P9652" s="6">
        <v>0.33</v>
      </c>
      <c r="Q9652" s="11">
        <v>2.2999999999999998</v>
      </c>
      <c r="R9652" s="11"/>
      <c r="S9652" s="11"/>
      <c r="T9652" s="11"/>
      <c r="U9652" s="11">
        <f t="shared" si="2646"/>
        <v>2.2999999999999998</v>
      </c>
      <c r="W9652">
        <v>2.5</v>
      </c>
      <c r="X9652" s="1" t="s">
        <v>22</v>
      </c>
    </row>
    <row r="9653" spans="1:24" x14ac:dyDescent="0.25">
      <c r="A9653" s="1" t="str">
        <f t="shared" si="2651"/>
        <v>卡卡杜-凤凰仓</v>
      </c>
      <c r="B9653" s="1" t="str">
        <f>"CK2024100518496"</f>
        <v>CK2024100518496</v>
      </c>
      <c r="C9653" s="1" t="str">
        <f>"DD2024100549642"</f>
        <v>DD2024100549642</v>
      </c>
      <c r="D9653" s="1" t="str">
        <f>"CK2024100542535"</f>
        <v>CK2024100542535</v>
      </c>
      <c r="E9653" s="1" t="str">
        <f>"6917828432097082825"</f>
        <v>6917828432097082825</v>
      </c>
      <c r="F9653" s="1" t="str">
        <f t="shared" si="2652"/>
        <v>花都四部-凤凰仓</v>
      </c>
      <c r="G9653" s="1" t="str">
        <f t="shared" si="2648"/>
        <v>卡卡杜个人护理店（抖店）</v>
      </c>
      <c r="H9653" s="1" t="str">
        <f t="shared" si="2653"/>
        <v>正常订单</v>
      </c>
      <c r="I9653" s="1" t="str">
        <f t="shared" si="2654"/>
        <v>已发货</v>
      </c>
      <c r="J9653" s="1" t="str">
        <f t="shared" si="2647"/>
        <v>2</v>
      </c>
      <c r="K9653" s="1">
        <v>1</v>
      </c>
      <c r="L9653" s="1" t="s">
        <v>36</v>
      </c>
      <c r="M9653" s="1" t="str">
        <f>"安徽省 宣城市 广德市 邱村镇"</f>
        <v>安徽省 宣城市 广德市 邱村镇</v>
      </c>
      <c r="N9653" s="1" t="str">
        <f t="shared" si="2650"/>
        <v>凡华云仓-韵达-抖音</v>
      </c>
      <c r="O9653" s="5">
        <v>320156924093387</v>
      </c>
      <c r="P9653" s="6">
        <v>0.33</v>
      </c>
      <c r="Q9653" s="11">
        <v>2.2999999999999998</v>
      </c>
      <c r="R9653" s="11"/>
      <c r="S9653" s="11"/>
      <c r="T9653" s="11"/>
      <c r="U9653" s="11">
        <f t="shared" si="2646"/>
        <v>2.2999999999999998</v>
      </c>
      <c r="W9653">
        <v>2.5</v>
      </c>
      <c r="X9653" s="1" t="s">
        <v>36</v>
      </c>
    </row>
    <row r="9654" spans="1:24" x14ac:dyDescent="0.25">
      <c r="A9654" s="1" t="str">
        <f t="shared" si="2651"/>
        <v>卡卡杜-凤凰仓</v>
      </c>
      <c r="B9654" s="1" t="str">
        <f>"CK2024100518497"</f>
        <v>CK2024100518497</v>
      </c>
      <c r="C9654" s="1" t="str">
        <f>"DD2024100549643"</f>
        <v>DD2024100549643</v>
      </c>
      <c r="D9654" s="1" t="str">
        <f>"CK2024100542534"</f>
        <v>CK2024100542534</v>
      </c>
      <c r="E9654" s="1" t="str">
        <f>"6917828427741953602"</f>
        <v>6917828427741953602</v>
      </c>
      <c r="F9654" s="1" t="str">
        <f t="shared" si="2652"/>
        <v>花都四部-凤凰仓</v>
      </c>
      <c r="G9654" s="1" t="str">
        <f t="shared" si="2648"/>
        <v>卡卡杜个人护理店（抖店）</v>
      </c>
      <c r="H9654" s="1" t="str">
        <f t="shared" si="2653"/>
        <v>正常订单</v>
      </c>
      <c r="I9654" s="1" t="str">
        <f t="shared" si="2654"/>
        <v>已发货</v>
      </c>
      <c r="J9654" s="1" t="str">
        <f t="shared" si="2647"/>
        <v>2</v>
      </c>
      <c r="K9654" s="1">
        <v>1</v>
      </c>
      <c r="L9654" s="1" t="s">
        <v>18</v>
      </c>
      <c r="M9654" s="1" t="str">
        <f>"广东省 广州市 黄埔区 文冲街道"</f>
        <v>广东省 广州市 黄埔区 文冲街道</v>
      </c>
      <c r="N9654" s="1" t="str">
        <f t="shared" si="2650"/>
        <v>凡华云仓-韵达-抖音</v>
      </c>
      <c r="O9654" s="5">
        <v>320156924093294</v>
      </c>
      <c r="P9654" s="6">
        <v>0.33</v>
      </c>
      <c r="Q9654" s="11">
        <v>2.2999999999999998</v>
      </c>
      <c r="R9654" s="11"/>
      <c r="S9654" s="11"/>
      <c r="T9654" s="11"/>
      <c r="U9654" s="11">
        <f t="shared" si="2646"/>
        <v>2.2999999999999998</v>
      </c>
      <c r="W9654">
        <v>2.5</v>
      </c>
      <c r="X9654" s="1" t="s">
        <v>18</v>
      </c>
    </row>
    <row r="9655" spans="1:24" x14ac:dyDescent="0.25">
      <c r="A9655" s="1" t="str">
        <f t="shared" si="2651"/>
        <v>卡卡杜-凤凰仓</v>
      </c>
      <c r="B9655" s="1" t="str">
        <f>"CK2024100518498"</f>
        <v>CK2024100518498</v>
      </c>
      <c r="C9655" s="1" t="str">
        <f>"DD2024100549644"</f>
        <v>DD2024100549644</v>
      </c>
      <c r="D9655" s="1" t="str">
        <f>"CK2024100542533"</f>
        <v>CK2024100542533</v>
      </c>
      <c r="E9655" s="1" t="str">
        <f>"6917835246806138620"</f>
        <v>6917835246806138620</v>
      </c>
      <c r="F9655" s="1" t="str">
        <f t="shared" si="2652"/>
        <v>花都四部-凤凰仓</v>
      </c>
      <c r="G9655" s="1" t="str">
        <f t="shared" si="2648"/>
        <v>卡卡杜个人护理店（抖店）</v>
      </c>
      <c r="H9655" s="1" t="str">
        <f t="shared" si="2653"/>
        <v>正常订单</v>
      </c>
      <c r="I9655" s="1" t="str">
        <f t="shared" si="2654"/>
        <v>已发货</v>
      </c>
      <c r="J9655" s="1" t="str">
        <f t="shared" si="2647"/>
        <v>2</v>
      </c>
      <c r="K9655" s="1">
        <v>1</v>
      </c>
      <c r="L9655" s="1" t="s">
        <v>13</v>
      </c>
      <c r="M9655" s="1" t="str">
        <f>"江苏省 泰州市 泰兴市 姚王街道"</f>
        <v>江苏省 泰州市 泰兴市 姚王街道</v>
      </c>
      <c r="N9655" s="1" t="str">
        <f t="shared" si="2650"/>
        <v>凡华云仓-韵达-抖音</v>
      </c>
      <c r="O9655" s="5">
        <v>320156924093103</v>
      </c>
      <c r="P9655" s="6">
        <v>0.33</v>
      </c>
      <c r="Q9655" s="11">
        <v>2.2999999999999998</v>
      </c>
      <c r="R9655" s="11"/>
      <c r="S9655" s="11"/>
      <c r="T9655" s="11"/>
      <c r="U9655" s="11">
        <f t="shared" si="2646"/>
        <v>2.2999999999999998</v>
      </c>
      <c r="W9655">
        <v>2.5</v>
      </c>
      <c r="X9655" s="1" t="s">
        <v>13</v>
      </c>
    </row>
    <row r="9656" spans="1:24" x14ac:dyDescent="0.25">
      <c r="A9656" s="1" t="str">
        <f t="shared" si="2651"/>
        <v>卡卡杜-凤凰仓</v>
      </c>
      <c r="B9656" s="1" t="str">
        <f>"CK2024100518499"</f>
        <v>CK2024100518499</v>
      </c>
      <c r="C9656" s="1" t="str">
        <f>"DD2024100549645"</f>
        <v>DD2024100549645</v>
      </c>
      <c r="D9656" s="1" t="str">
        <f>"CK2024100542532"</f>
        <v>CK2024100542532</v>
      </c>
      <c r="E9656" s="1" t="str">
        <f>"6917826280648309777"</f>
        <v>6917826280648309777</v>
      </c>
      <c r="F9656" s="1" t="str">
        <f t="shared" si="2652"/>
        <v>花都四部-凤凰仓</v>
      </c>
      <c r="G9656" s="1" t="str">
        <f t="shared" si="2648"/>
        <v>卡卡杜个人护理店（抖店）</v>
      </c>
      <c r="H9656" s="1" t="str">
        <f t="shared" si="2653"/>
        <v>正常订单</v>
      </c>
      <c r="I9656" s="1" t="str">
        <f t="shared" si="2654"/>
        <v>已发货</v>
      </c>
      <c r="J9656" s="1" t="str">
        <f t="shared" si="2647"/>
        <v>2</v>
      </c>
      <c r="K9656" s="1">
        <v>1</v>
      </c>
      <c r="L9656" s="1" t="s">
        <v>36</v>
      </c>
      <c r="M9656" s="1" t="str">
        <f>"安徽省 合肥市 肥东县 店埠镇"</f>
        <v>安徽省 合肥市 肥东县 店埠镇</v>
      </c>
      <c r="N9656" s="1" t="str">
        <f t="shared" si="2650"/>
        <v>凡华云仓-韵达-抖音</v>
      </c>
      <c r="O9656" s="5">
        <v>320156924093014</v>
      </c>
      <c r="P9656" s="6">
        <v>0.33</v>
      </c>
      <c r="Q9656" s="11">
        <v>2.2999999999999998</v>
      </c>
      <c r="R9656" s="11"/>
      <c r="S9656" s="11"/>
      <c r="T9656" s="11"/>
      <c r="U9656" s="11">
        <f t="shared" si="2646"/>
        <v>2.2999999999999998</v>
      </c>
      <c r="W9656">
        <v>2.5</v>
      </c>
      <c r="X9656" s="1" t="s">
        <v>36</v>
      </c>
    </row>
    <row r="9657" spans="1:24" x14ac:dyDescent="0.25">
      <c r="A9657" s="1" t="str">
        <f t="shared" si="2651"/>
        <v>卡卡杜-凤凰仓</v>
      </c>
      <c r="B9657" s="1" t="str">
        <f>"CK2024100518500"</f>
        <v>CK2024100518500</v>
      </c>
      <c r="C9657" s="1" t="str">
        <f>"DD2024100549647"</f>
        <v>DD2024100549647</v>
      </c>
      <c r="D9657" s="1" t="str">
        <f>"CK2024100542531"</f>
        <v>CK2024100542531</v>
      </c>
      <c r="E9657" s="1" t="str">
        <f>"6917842863180381245"</f>
        <v>6917842863180381245</v>
      </c>
      <c r="F9657" s="1" t="str">
        <f t="shared" si="2652"/>
        <v>花都四部-凤凰仓</v>
      </c>
      <c r="G9657" s="1" t="str">
        <f t="shared" si="2648"/>
        <v>卡卡杜个人护理店（抖店）</v>
      </c>
      <c r="H9657" s="1" t="str">
        <f t="shared" si="2653"/>
        <v>正常订单</v>
      </c>
      <c r="I9657" s="1" t="str">
        <f t="shared" si="2654"/>
        <v>已发货</v>
      </c>
      <c r="J9657" s="1" t="str">
        <f t="shared" si="2647"/>
        <v>2</v>
      </c>
      <c r="K9657" s="1">
        <v>1</v>
      </c>
      <c r="L9657" s="1" t="s">
        <v>18</v>
      </c>
      <c r="M9657" s="1" t="str">
        <f>"广东省 清远市 清新区 太平镇"</f>
        <v>广东省 清远市 清新区 太平镇</v>
      </c>
      <c r="N9657" s="1" t="str">
        <f t="shared" si="2650"/>
        <v>凡华云仓-韵达-抖音</v>
      </c>
      <c r="O9657" s="5">
        <v>320156924092994</v>
      </c>
      <c r="P9657" s="6">
        <v>0.33</v>
      </c>
      <c r="Q9657" s="11">
        <v>2.2999999999999998</v>
      </c>
      <c r="R9657" s="11"/>
      <c r="S9657" s="11"/>
      <c r="T9657" s="11"/>
      <c r="U9657" s="11">
        <f t="shared" si="2646"/>
        <v>2.2999999999999998</v>
      </c>
      <c r="W9657">
        <v>2.5</v>
      </c>
      <c r="X9657" s="1" t="s">
        <v>18</v>
      </c>
    </row>
    <row r="9658" spans="1:24" x14ac:dyDescent="0.25">
      <c r="A9658" s="1" t="str">
        <f t="shared" si="2651"/>
        <v>卡卡杜-凤凰仓</v>
      </c>
      <c r="B9658" s="1" t="str">
        <f>"CK2024100518501"</f>
        <v>CK2024100518501</v>
      </c>
      <c r="C9658" s="1" t="str">
        <f>"DD2024100549646"</f>
        <v>DD2024100549646</v>
      </c>
      <c r="D9658" s="1" t="str">
        <f>"CK2024100542530"</f>
        <v>CK2024100542530</v>
      </c>
      <c r="E9658" s="1" t="str">
        <f>"6917835835139259453"</f>
        <v>6917835835139259453</v>
      </c>
      <c r="F9658" s="1" t="str">
        <f t="shared" si="2652"/>
        <v>花都四部-凤凰仓</v>
      </c>
      <c r="G9658" s="1" t="str">
        <f t="shared" si="2648"/>
        <v>卡卡杜个人护理店（抖店）</v>
      </c>
      <c r="H9658" s="1" t="str">
        <f t="shared" si="2653"/>
        <v>正常订单</v>
      </c>
      <c r="I9658" s="1" t="str">
        <f t="shared" si="2654"/>
        <v>已发货</v>
      </c>
      <c r="J9658" s="1" t="str">
        <f t="shared" si="2647"/>
        <v>2</v>
      </c>
      <c r="K9658" s="1">
        <v>1</v>
      </c>
      <c r="L9658" s="1" t="s">
        <v>18</v>
      </c>
      <c r="M9658" s="1" t="str">
        <f>"广东省 肇庆市 高要区 禄步镇"</f>
        <v>广东省 肇庆市 高要区 禄步镇</v>
      </c>
      <c r="N9658" s="1" t="str">
        <f t="shared" si="2650"/>
        <v>凡华云仓-韵达-抖音</v>
      </c>
      <c r="O9658" s="5">
        <v>320156924092889</v>
      </c>
      <c r="P9658" s="6">
        <v>0.33</v>
      </c>
      <c r="Q9658" s="11">
        <v>2.2999999999999998</v>
      </c>
      <c r="R9658" s="11"/>
      <c r="S9658" s="11"/>
      <c r="T9658" s="11"/>
      <c r="U9658" s="11">
        <f t="shared" si="2646"/>
        <v>2.2999999999999998</v>
      </c>
      <c r="W9658">
        <v>2.5</v>
      </c>
      <c r="X9658" s="1" t="s">
        <v>18</v>
      </c>
    </row>
    <row r="9659" spans="1:24" x14ac:dyDescent="0.25">
      <c r="A9659" s="1" t="str">
        <f t="shared" si="2651"/>
        <v>卡卡杜-凤凰仓</v>
      </c>
      <c r="B9659" s="1" t="str">
        <f>"CK2024100518502"</f>
        <v>CK2024100518502</v>
      </c>
      <c r="C9659" s="1" t="str">
        <f>"DD2024100549649"</f>
        <v>DD2024100549649</v>
      </c>
      <c r="D9659" s="1" t="str">
        <f>"CK2024100542529"</f>
        <v>CK2024100542529</v>
      </c>
      <c r="E9659" s="1" t="str">
        <f>"6917835093429353944"</f>
        <v>6917835093429353944</v>
      </c>
      <c r="F9659" s="1" t="str">
        <f t="shared" si="2652"/>
        <v>花都四部-凤凰仓</v>
      </c>
      <c r="G9659" s="1" t="str">
        <f t="shared" si="2648"/>
        <v>卡卡杜个人护理店（抖店）</v>
      </c>
      <c r="H9659" s="1" t="str">
        <f t="shared" si="2653"/>
        <v>正常订单</v>
      </c>
      <c r="I9659" s="1" t="str">
        <f t="shared" si="2654"/>
        <v>已发货</v>
      </c>
      <c r="J9659" s="1" t="str">
        <f t="shared" si="2647"/>
        <v>2</v>
      </c>
      <c r="K9659" s="1">
        <v>1</v>
      </c>
      <c r="L9659" s="1" t="s">
        <v>20</v>
      </c>
      <c r="M9659" s="1" t="str">
        <f>"浙江省 绍兴市 诸暨市 山下湖镇"</f>
        <v>浙江省 绍兴市 诸暨市 山下湖镇</v>
      </c>
      <c r="N9659" s="1" t="str">
        <f t="shared" si="2650"/>
        <v>凡华云仓-韵达-抖音</v>
      </c>
      <c r="O9659" s="5">
        <v>320156918129992</v>
      </c>
      <c r="P9659" s="6">
        <v>0.33</v>
      </c>
      <c r="Q9659" s="11">
        <v>2.2999999999999998</v>
      </c>
      <c r="R9659" s="11"/>
      <c r="S9659" s="11"/>
      <c r="T9659" s="11"/>
      <c r="U9659" s="11">
        <f t="shared" si="2646"/>
        <v>2.2999999999999998</v>
      </c>
      <c r="W9659">
        <v>2.5</v>
      </c>
      <c r="X9659" s="1" t="s">
        <v>20</v>
      </c>
    </row>
    <row r="9660" spans="1:24" x14ac:dyDescent="0.25">
      <c r="A9660" s="1" t="str">
        <f t="shared" si="2651"/>
        <v>卡卡杜-凤凰仓</v>
      </c>
      <c r="B9660" s="1" t="str">
        <f>"CK2024100518503"</f>
        <v>CK2024100518503</v>
      </c>
      <c r="C9660" s="1" t="str">
        <f>"DD2024100549648"</f>
        <v>DD2024100549648</v>
      </c>
      <c r="D9660" s="1" t="str">
        <f>"CK2024100542528"</f>
        <v>CK2024100542528</v>
      </c>
      <c r="E9660" s="1" t="str">
        <f>"6917830954168057307"</f>
        <v>6917830954168057307</v>
      </c>
      <c r="F9660" s="1" t="str">
        <f t="shared" si="2652"/>
        <v>花都四部-凤凰仓</v>
      </c>
      <c r="G9660" s="1" t="str">
        <f t="shared" si="2648"/>
        <v>卡卡杜个人护理店（抖店）</v>
      </c>
      <c r="H9660" s="1" t="str">
        <f t="shared" si="2653"/>
        <v>正常订单</v>
      </c>
      <c r="I9660" s="1" t="str">
        <f t="shared" si="2654"/>
        <v>已发货</v>
      </c>
      <c r="J9660" s="1" t="str">
        <f t="shared" si="2647"/>
        <v>2</v>
      </c>
      <c r="K9660" s="1">
        <v>1</v>
      </c>
      <c r="L9660" s="1" t="s">
        <v>20</v>
      </c>
      <c r="M9660" s="1" t="str">
        <f>"浙江省 湖州市 安吉县 "</f>
        <v xml:space="preserve">浙江省 湖州市 安吉县 </v>
      </c>
      <c r="N9660" s="1" t="str">
        <f t="shared" si="2650"/>
        <v>凡华云仓-韵达-抖音</v>
      </c>
      <c r="O9660" s="5">
        <v>320156918129887</v>
      </c>
      <c r="P9660" s="6">
        <v>0.33</v>
      </c>
      <c r="Q9660" s="11">
        <v>2.2999999999999998</v>
      </c>
      <c r="R9660" s="11"/>
      <c r="S9660" s="11"/>
      <c r="T9660" s="11"/>
      <c r="U9660" s="11">
        <f t="shared" si="2646"/>
        <v>2.2999999999999998</v>
      </c>
      <c r="W9660">
        <v>2.5</v>
      </c>
      <c r="X9660" s="1" t="s">
        <v>20</v>
      </c>
    </row>
    <row r="9661" spans="1:24" x14ac:dyDescent="0.25">
      <c r="A9661" s="1" t="str">
        <f t="shared" si="2651"/>
        <v>卡卡杜-凤凰仓</v>
      </c>
      <c r="B9661" s="1" t="str">
        <f>"CK2024100518504"</f>
        <v>CK2024100518504</v>
      </c>
      <c r="C9661" s="1" t="str">
        <f>"DD2024100549650"</f>
        <v>DD2024100549650</v>
      </c>
      <c r="D9661" s="1" t="str">
        <f>"CK2024100542527"</f>
        <v>CK2024100542527</v>
      </c>
      <c r="E9661" s="1" t="str">
        <f>"6917830794037591784"</f>
        <v>6917830794037591784</v>
      </c>
      <c r="F9661" s="1" t="str">
        <f t="shared" si="2652"/>
        <v>花都四部-凤凰仓</v>
      </c>
      <c r="G9661" s="1" t="str">
        <f t="shared" si="2648"/>
        <v>卡卡杜个人护理店（抖店）</v>
      </c>
      <c r="H9661" s="1" t="str">
        <f t="shared" si="2653"/>
        <v>正常订单</v>
      </c>
      <c r="I9661" s="1" t="str">
        <f t="shared" si="2654"/>
        <v>已发货</v>
      </c>
      <c r="J9661" s="1" t="str">
        <f t="shared" si="2647"/>
        <v>2</v>
      </c>
      <c r="K9661" s="1">
        <v>1</v>
      </c>
      <c r="L9661" s="1" t="s">
        <v>20</v>
      </c>
      <c r="M9661" s="1" t="str">
        <f>"浙江省 绍兴市 柯桥区 钱清街道"</f>
        <v>浙江省 绍兴市 柯桥区 钱清街道</v>
      </c>
      <c r="N9661" s="1" t="str">
        <f t="shared" si="2650"/>
        <v>凡华云仓-韵达-抖音</v>
      </c>
      <c r="O9661" s="5">
        <v>320156918129784</v>
      </c>
      <c r="P9661" s="6">
        <v>0.33</v>
      </c>
      <c r="Q9661" s="11">
        <v>2.2999999999999998</v>
      </c>
      <c r="R9661" s="11"/>
      <c r="S9661" s="11"/>
      <c r="T9661" s="11"/>
      <c r="U9661" s="11">
        <f t="shared" si="2646"/>
        <v>2.2999999999999998</v>
      </c>
      <c r="W9661">
        <v>2.5</v>
      </c>
      <c r="X9661" s="1" t="s">
        <v>20</v>
      </c>
    </row>
    <row r="9662" spans="1:24" x14ac:dyDescent="0.25">
      <c r="A9662" s="1" t="str">
        <f t="shared" si="2651"/>
        <v>卡卡杜-凤凰仓</v>
      </c>
      <c r="B9662" s="1" t="str">
        <f>"CK2024100518505"</f>
        <v>CK2024100518505</v>
      </c>
      <c r="C9662" s="1" t="str">
        <f>"DD2024100549651"</f>
        <v>DD2024100549651</v>
      </c>
      <c r="D9662" s="1" t="str">
        <f>"CK2024100542526"</f>
        <v>CK2024100542526</v>
      </c>
      <c r="E9662" s="1" t="str">
        <f>"6917830874913865566"</f>
        <v>6917830874913865566</v>
      </c>
      <c r="F9662" s="1" t="str">
        <f t="shared" si="2652"/>
        <v>花都四部-凤凰仓</v>
      </c>
      <c r="G9662" s="1" t="str">
        <f t="shared" si="2648"/>
        <v>卡卡杜个人护理店（抖店）</v>
      </c>
      <c r="H9662" s="1" t="str">
        <f t="shared" si="2653"/>
        <v>正常订单</v>
      </c>
      <c r="I9662" s="1" t="str">
        <f t="shared" si="2654"/>
        <v>已发货</v>
      </c>
      <c r="J9662" s="1" t="str">
        <f t="shared" si="2647"/>
        <v>2</v>
      </c>
      <c r="K9662" s="1">
        <v>1</v>
      </c>
      <c r="L9662" s="1" t="s">
        <v>13</v>
      </c>
      <c r="M9662" s="1" t="str">
        <f>"江苏省 常州市 钟楼区 五星街道"</f>
        <v>江苏省 常州市 钟楼区 五星街道</v>
      </c>
      <c r="N9662" s="1" t="str">
        <f t="shared" si="2650"/>
        <v>凡华云仓-韵达-抖音</v>
      </c>
      <c r="O9662" s="5">
        <v>320156918129683</v>
      </c>
      <c r="P9662" s="6">
        <v>0.33</v>
      </c>
      <c r="Q9662" s="11">
        <v>2.2999999999999998</v>
      </c>
      <c r="R9662" s="11"/>
      <c r="S9662" s="11"/>
      <c r="T9662" s="11"/>
      <c r="U9662" s="11">
        <f t="shared" si="2646"/>
        <v>2.2999999999999998</v>
      </c>
      <c r="W9662">
        <v>2.5</v>
      </c>
      <c r="X9662" s="1" t="s">
        <v>13</v>
      </c>
    </row>
    <row r="9663" spans="1:24" x14ac:dyDescent="0.25">
      <c r="A9663" s="1" t="str">
        <f t="shared" si="2651"/>
        <v>卡卡杜-凤凰仓</v>
      </c>
      <c r="B9663" s="1" t="str">
        <f>"CK2024100518507"</f>
        <v>CK2024100518507</v>
      </c>
      <c r="C9663" s="1" t="str">
        <f>"DD2024100549653"</f>
        <v>DD2024100549653</v>
      </c>
      <c r="D9663" s="1" t="str">
        <f>"CK2024100542525"</f>
        <v>CK2024100542525</v>
      </c>
      <c r="E9663" s="1" t="str">
        <f>"6917830895377284098"</f>
        <v>6917830895377284098</v>
      </c>
      <c r="F9663" s="1" t="str">
        <f t="shared" si="2652"/>
        <v>花都四部-凤凰仓</v>
      </c>
      <c r="G9663" s="1" t="str">
        <f t="shared" si="2648"/>
        <v>卡卡杜个人护理店（抖店）</v>
      </c>
      <c r="H9663" s="1" t="str">
        <f t="shared" si="2653"/>
        <v>正常订单</v>
      </c>
      <c r="I9663" s="1" t="str">
        <f t="shared" si="2654"/>
        <v>已发货</v>
      </c>
      <c r="J9663" s="1" t="str">
        <f t="shared" si="2647"/>
        <v>2</v>
      </c>
      <c r="K9663" s="1">
        <v>1</v>
      </c>
      <c r="L9663" s="1" t="s">
        <v>96</v>
      </c>
      <c r="M9663" s="1" t="str">
        <f>"广西壮族自治区 贵港市 港南区 江南街道"</f>
        <v>广西壮族自治区 贵港市 港南区 江南街道</v>
      </c>
      <c r="N9663" s="1" t="str">
        <f t="shared" si="2650"/>
        <v>凡华云仓-韵达-抖音</v>
      </c>
      <c r="O9663" s="5">
        <v>320156918129584</v>
      </c>
      <c r="P9663" s="6">
        <v>0.33</v>
      </c>
      <c r="Q9663" s="11">
        <v>2.2999999999999998</v>
      </c>
      <c r="R9663" s="11"/>
      <c r="S9663" s="11"/>
      <c r="T9663" s="11"/>
      <c r="U9663" s="11">
        <f t="shared" si="2646"/>
        <v>2.2999999999999998</v>
      </c>
      <c r="W9663">
        <v>2.5</v>
      </c>
      <c r="X9663" s="1" t="s">
        <v>96</v>
      </c>
    </row>
    <row r="9664" spans="1:24" x14ac:dyDescent="0.25">
      <c r="A9664" s="1" t="str">
        <f t="shared" si="2651"/>
        <v>卡卡杜-凤凰仓</v>
      </c>
      <c r="B9664" s="1" t="str">
        <f>"CK2024100518508"</f>
        <v>CK2024100518508</v>
      </c>
      <c r="C9664" s="1" t="str">
        <f>"DD2024100549654"</f>
        <v>DD2024100549654</v>
      </c>
      <c r="D9664" s="1" t="str">
        <f>"CK2024100542524"</f>
        <v>CK2024100542524</v>
      </c>
      <c r="E9664" s="1" t="str">
        <f>"6917830945163279701"</f>
        <v>6917830945163279701</v>
      </c>
      <c r="F9664" s="1" t="str">
        <f t="shared" si="2652"/>
        <v>花都四部-凤凰仓</v>
      </c>
      <c r="G9664" s="1" t="str">
        <f t="shared" si="2648"/>
        <v>卡卡杜个人护理店（抖店）</v>
      </c>
      <c r="H9664" s="1" t="str">
        <f t="shared" si="2653"/>
        <v>正常订单</v>
      </c>
      <c r="I9664" s="1" t="str">
        <f t="shared" si="2654"/>
        <v>已发货</v>
      </c>
      <c r="J9664" s="1" t="str">
        <f t="shared" si="2647"/>
        <v>2</v>
      </c>
      <c r="K9664" s="1">
        <v>1</v>
      </c>
      <c r="L9664" s="1" t="s">
        <v>32</v>
      </c>
      <c r="M9664" s="1" t="str">
        <f>"陕西省 安康市 汉滨区 新城街道"</f>
        <v>陕西省 安康市 汉滨区 新城街道</v>
      </c>
      <c r="N9664" s="1" t="str">
        <f t="shared" si="2650"/>
        <v>凡华云仓-韵达-抖音</v>
      </c>
      <c r="O9664" s="5">
        <v>320156918129487</v>
      </c>
      <c r="P9664" s="6">
        <v>0.33</v>
      </c>
      <c r="Q9664" s="11">
        <v>2.2999999999999998</v>
      </c>
      <c r="R9664" s="11"/>
      <c r="S9664" s="11"/>
      <c r="T9664" s="11"/>
      <c r="U9664" s="11">
        <f t="shared" si="2646"/>
        <v>2.2999999999999998</v>
      </c>
      <c r="W9664">
        <v>2.5</v>
      </c>
      <c r="X9664" s="1" t="s">
        <v>32</v>
      </c>
    </row>
    <row r="9665" spans="1:24" x14ac:dyDescent="0.25">
      <c r="A9665" s="1" t="str">
        <f t="shared" si="2651"/>
        <v>卡卡杜-凤凰仓</v>
      </c>
      <c r="B9665" s="1" t="str">
        <f>"CK2024100518510"</f>
        <v>CK2024100518510</v>
      </c>
      <c r="C9665" s="1" t="str">
        <f>"DD2024100549656"</f>
        <v>DD2024100549656</v>
      </c>
      <c r="D9665" s="1" t="str">
        <f>"CK2024100542523"</f>
        <v>CK2024100542523</v>
      </c>
      <c r="E9665" s="1" t="str">
        <f>"6917828556494830992"</f>
        <v>6917828556494830992</v>
      </c>
      <c r="F9665" s="1" t="str">
        <f t="shared" si="2652"/>
        <v>花都四部-凤凰仓</v>
      </c>
      <c r="G9665" s="1" t="str">
        <f t="shared" si="2648"/>
        <v>卡卡杜个人护理店（抖店）</v>
      </c>
      <c r="H9665" s="1" t="str">
        <f t="shared" si="2653"/>
        <v>正常订单</v>
      </c>
      <c r="I9665" s="1" t="str">
        <f t="shared" si="2654"/>
        <v>已发货</v>
      </c>
      <c r="J9665" s="1" t="str">
        <f t="shared" si="2647"/>
        <v>2</v>
      </c>
      <c r="K9665" s="1">
        <v>1</v>
      </c>
      <c r="L9665" s="1" t="s">
        <v>60</v>
      </c>
      <c r="M9665" s="1" t="str">
        <f>"云南省 普洱市 思茅区 思茅街道"</f>
        <v>云南省 普洱市 思茅区 思茅街道</v>
      </c>
      <c r="N9665" s="1" t="str">
        <f t="shared" si="2650"/>
        <v>凡华云仓-韵达-抖音</v>
      </c>
      <c r="O9665" s="5">
        <v>320156918129392</v>
      </c>
      <c r="P9665" s="6">
        <v>0.33</v>
      </c>
      <c r="Q9665" s="11">
        <v>2.2999999999999998</v>
      </c>
      <c r="R9665" s="11"/>
      <c r="S9665" s="11"/>
      <c r="T9665" s="11"/>
      <c r="U9665" s="11">
        <f t="shared" si="2646"/>
        <v>2.2999999999999998</v>
      </c>
      <c r="W9665">
        <v>2.5</v>
      </c>
      <c r="X9665" s="1" t="s">
        <v>60</v>
      </c>
    </row>
    <row r="9666" spans="1:24" x14ac:dyDescent="0.25">
      <c r="A9666" s="1" t="str">
        <f t="shared" si="2651"/>
        <v>卡卡杜-凤凰仓</v>
      </c>
      <c r="B9666" s="1" t="str">
        <f>"CK2024100518509"</f>
        <v>CK2024100518509</v>
      </c>
      <c r="C9666" s="1" t="str">
        <f>"DD2024100549655"</f>
        <v>DD2024100549655</v>
      </c>
      <c r="D9666" s="1" t="str">
        <f>"CK2024100542522"</f>
        <v>CK2024100542522</v>
      </c>
      <c r="E9666" s="1" t="str">
        <f>"6917833217628340083"</f>
        <v>6917833217628340083</v>
      </c>
      <c r="F9666" s="1" t="str">
        <f t="shared" si="2652"/>
        <v>花都四部-凤凰仓</v>
      </c>
      <c r="G9666" s="1" t="str">
        <f t="shared" si="2648"/>
        <v>卡卡杜个人护理店（抖店）</v>
      </c>
      <c r="H9666" s="1" t="str">
        <f t="shared" si="2653"/>
        <v>正常订单</v>
      </c>
      <c r="I9666" s="1" t="str">
        <f t="shared" si="2654"/>
        <v>已发货</v>
      </c>
      <c r="J9666" s="1" t="str">
        <f t="shared" si="2647"/>
        <v>2</v>
      </c>
      <c r="K9666" s="1">
        <v>1</v>
      </c>
      <c r="L9666" s="1" t="s">
        <v>18</v>
      </c>
      <c r="M9666" s="1" t="str">
        <f>"广东省 江门市 蓬江区 杜阮镇"</f>
        <v>广东省 江门市 蓬江区 杜阮镇</v>
      </c>
      <c r="N9666" s="1" t="str">
        <f t="shared" si="2650"/>
        <v>凡华云仓-韵达-抖音</v>
      </c>
      <c r="O9666" s="5">
        <v>320156918129299</v>
      </c>
      <c r="P9666" s="6">
        <v>0.33</v>
      </c>
      <c r="Q9666" s="11">
        <v>2.2999999999999998</v>
      </c>
      <c r="R9666" s="11"/>
      <c r="S9666" s="11"/>
      <c r="T9666" s="11"/>
      <c r="U9666" s="11">
        <f t="shared" si="2646"/>
        <v>2.2999999999999998</v>
      </c>
      <c r="W9666">
        <v>2.5</v>
      </c>
      <c r="X9666" s="1" t="s">
        <v>18</v>
      </c>
    </row>
    <row r="9667" spans="1:24" x14ac:dyDescent="0.25">
      <c r="A9667" s="1" t="str">
        <f t="shared" si="2651"/>
        <v>卡卡杜-凤凰仓</v>
      </c>
      <c r="B9667" s="1" t="str">
        <f>"CK2024100518511"</f>
        <v>CK2024100518511</v>
      </c>
      <c r="C9667" s="1" t="str">
        <f>"DD2024100549657"</f>
        <v>DD2024100549657</v>
      </c>
      <c r="D9667" s="1" t="str">
        <f>"CK2024100542521"</f>
        <v>CK2024100542521</v>
      </c>
      <c r="E9667" s="1" t="str">
        <f>"6917825825027948249"</f>
        <v>6917825825027948249</v>
      </c>
      <c r="F9667" s="1" t="str">
        <f t="shared" si="2652"/>
        <v>花都四部-凤凰仓</v>
      </c>
      <c r="G9667" s="1" t="str">
        <f t="shared" si="2648"/>
        <v>卡卡杜个人护理店（抖店）</v>
      </c>
      <c r="H9667" s="1" t="str">
        <f t="shared" si="2653"/>
        <v>正常订单</v>
      </c>
      <c r="I9667" s="1" t="str">
        <f t="shared" si="2654"/>
        <v>已发货</v>
      </c>
      <c r="J9667" s="1" t="str">
        <f t="shared" si="2647"/>
        <v>2</v>
      </c>
      <c r="K9667" s="1">
        <v>1</v>
      </c>
      <c r="L9667" s="1" t="s">
        <v>22</v>
      </c>
      <c r="M9667" s="1" t="str">
        <f>"江西省 萍乡市 芦溪县 南坑镇"</f>
        <v>江西省 萍乡市 芦溪县 南坑镇</v>
      </c>
      <c r="N9667" s="1" t="str">
        <f t="shared" si="2650"/>
        <v>凡华云仓-韵达-抖音</v>
      </c>
      <c r="O9667" s="5">
        <v>320156918129108</v>
      </c>
      <c r="P9667" s="6">
        <v>0.33</v>
      </c>
      <c r="Q9667" s="11">
        <v>2.2999999999999998</v>
      </c>
      <c r="R9667" s="11"/>
      <c r="S9667" s="11"/>
      <c r="T9667" s="11"/>
      <c r="U9667" s="11">
        <f t="shared" ref="U9667:U9730" si="2655">T9667+S9667+R9667+Q9667</f>
        <v>2.2999999999999998</v>
      </c>
      <c r="W9667">
        <v>2.5</v>
      </c>
      <c r="X9667" s="1" t="s">
        <v>22</v>
      </c>
    </row>
    <row r="9668" spans="1:24" x14ac:dyDescent="0.25">
      <c r="A9668" s="1" t="str">
        <f t="shared" si="2651"/>
        <v>卡卡杜-凤凰仓</v>
      </c>
      <c r="B9668" s="1" t="str">
        <f>"CK2024100518512"</f>
        <v>CK2024100518512</v>
      </c>
      <c r="C9668" s="1" t="str">
        <f>"DD2024100549658"</f>
        <v>DD2024100549658</v>
      </c>
      <c r="D9668" s="1" t="str">
        <f>"CK2024100542520"</f>
        <v>CK2024100542520</v>
      </c>
      <c r="E9668" s="1" t="str">
        <f>"6917828168265793478"</f>
        <v>6917828168265793478</v>
      </c>
      <c r="F9668" s="1" t="str">
        <f t="shared" si="2652"/>
        <v>花都四部-凤凰仓</v>
      </c>
      <c r="G9668" s="1" t="str">
        <f t="shared" si="2648"/>
        <v>卡卡杜个人护理店（抖店）</v>
      </c>
      <c r="H9668" s="1" t="str">
        <f t="shared" si="2653"/>
        <v>正常订单</v>
      </c>
      <c r="I9668" s="1" t="str">
        <f t="shared" si="2654"/>
        <v>已发货</v>
      </c>
      <c r="J9668" s="1" t="str">
        <f t="shared" si="2647"/>
        <v>2</v>
      </c>
      <c r="K9668" s="1">
        <v>1</v>
      </c>
      <c r="L9668" s="1" t="s">
        <v>20</v>
      </c>
      <c r="M9668" s="1" t="str">
        <f>"浙江省 宁波市 慈溪市 白沙路街道"</f>
        <v>浙江省 宁波市 慈溪市 白沙路街道</v>
      </c>
      <c r="N9668" s="1" t="str">
        <f t="shared" si="2650"/>
        <v>凡华云仓-韵达-抖音</v>
      </c>
      <c r="O9668" s="5">
        <v>320156918129019</v>
      </c>
      <c r="P9668" s="6">
        <v>0.33</v>
      </c>
      <c r="Q9668" s="11">
        <v>2.2999999999999998</v>
      </c>
      <c r="R9668" s="11"/>
      <c r="S9668" s="11"/>
      <c r="T9668" s="11"/>
      <c r="U9668" s="11">
        <f t="shared" si="2655"/>
        <v>2.2999999999999998</v>
      </c>
      <c r="W9668">
        <v>2.5</v>
      </c>
      <c r="X9668" s="1" t="s">
        <v>20</v>
      </c>
    </row>
    <row r="9669" spans="1:24" x14ac:dyDescent="0.25">
      <c r="A9669" s="1" t="str">
        <f t="shared" si="2651"/>
        <v>卡卡杜-凤凰仓</v>
      </c>
      <c r="B9669" s="1" t="str">
        <f>"CK2024100518513"</f>
        <v>CK2024100518513</v>
      </c>
      <c r="C9669" s="1" t="str">
        <f>"DD2024100549660"</f>
        <v>DD2024100549660</v>
      </c>
      <c r="D9669" s="1" t="str">
        <f>"CK2024100542519"</f>
        <v>CK2024100542519</v>
      </c>
      <c r="E9669" s="1" t="str">
        <f>"6917835260667919626"</f>
        <v>6917835260667919626</v>
      </c>
      <c r="F9669" s="1" t="str">
        <f t="shared" si="2652"/>
        <v>花都四部-凤凰仓</v>
      </c>
      <c r="G9669" s="1" t="str">
        <f t="shared" si="2648"/>
        <v>卡卡杜个人护理店（抖店）</v>
      </c>
      <c r="H9669" s="1" t="str">
        <f t="shared" si="2653"/>
        <v>正常订单</v>
      </c>
      <c r="I9669" s="1" t="str">
        <f t="shared" si="2654"/>
        <v>已发货</v>
      </c>
      <c r="J9669" s="1" t="str">
        <f t="shared" si="2647"/>
        <v>2</v>
      </c>
      <c r="K9669" s="1">
        <v>1</v>
      </c>
      <c r="L9669" s="1" t="s">
        <v>13</v>
      </c>
      <c r="M9669" s="1" t="str">
        <f>"江苏省 无锡市 新吴区 梅村街道"</f>
        <v>江苏省 无锡市 新吴区 梅村街道</v>
      </c>
      <c r="N9669" s="1" t="str">
        <f t="shared" si="2650"/>
        <v>凡华云仓-韵达-抖音</v>
      </c>
      <c r="O9669" s="5">
        <v>320156927105487</v>
      </c>
      <c r="P9669" s="6">
        <v>0.33</v>
      </c>
      <c r="Q9669" s="11">
        <v>2.2999999999999998</v>
      </c>
      <c r="R9669" s="11"/>
      <c r="S9669" s="11"/>
      <c r="T9669" s="11"/>
      <c r="U9669" s="11">
        <f t="shared" si="2655"/>
        <v>2.2999999999999998</v>
      </c>
      <c r="W9669">
        <v>2.5</v>
      </c>
      <c r="X9669" s="1" t="s">
        <v>13</v>
      </c>
    </row>
    <row r="9670" spans="1:24" x14ac:dyDescent="0.25">
      <c r="A9670" s="1" t="str">
        <f t="shared" si="2651"/>
        <v>卡卡杜-凤凰仓</v>
      </c>
      <c r="B9670" s="1" t="str">
        <f>"CK2024100518514"</f>
        <v>CK2024100518514</v>
      </c>
      <c r="C9670" s="1" t="str">
        <f>"DD2024100549659"</f>
        <v>DD2024100549659</v>
      </c>
      <c r="D9670" s="1" t="str">
        <f>"CK2024100542518"</f>
        <v>CK2024100542518</v>
      </c>
      <c r="E9670" s="1" t="str">
        <f>"6917828362485464266"</f>
        <v>6917828362485464266</v>
      </c>
      <c r="F9670" s="1" t="str">
        <f t="shared" si="2652"/>
        <v>花都四部-凤凰仓</v>
      </c>
      <c r="G9670" s="1" t="str">
        <f t="shared" si="2648"/>
        <v>卡卡杜个人护理店（抖店）</v>
      </c>
      <c r="H9670" s="1" t="str">
        <f t="shared" si="2653"/>
        <v>正常订单</v>
      </c>
      <c r="I9670" s="1" t="str">
        <f t="shared" si="2654"/>
        <v>已发货</v>
      </c>
      <c r="J9670" s="1" t="str">
        <f t="shared" si="2647"/>
        <v>2</v>
      </c>
      <c r="K9670" s="1">
        <v>1</v>
      </c>
      <c r="L9670" s="1" t="s">
        <v>13</v>
      </c>
      <c r="M9670" s="1" t="str">
        <f>"江苏省 宿迁市 泗阳县 众兴街道"</f>
        <v>江苏省 宿迁市 泗阳县 众兴街道</v>
      </c>
      <c r="N9670" s="1" t="str">
        <f t="shared" si="2650"/>
        <v>凡华云仓-韵达-抖音</v>
      </c>
      <c r="O9670" s="5">
        <v>320156927105392</v>
      </c>
      <c r="P9670" s="6">
        <v>0.33</v>
      </c>
      <c r="Q9670" s="11">
        <v>2.2999999999999998</v>
      </c>
      <c r="R9670" s="11"/>
      <c r="S9670" s="11"/>
      <c r="T9670" s="11"/>
      <c r="U9670" s="11">
        <f t="shared" si="2655"/>
        <v>2.2999999999999998</v>
      </c>
      <c r="W9670">
        <v>2.5</v>
      </c>
      <c r="X9670" s="1" t="s">
        <v>13</v>
      </c>
    </row>
    <row r="9671" spans="1:24" x14ac:dyDescent="0.25">
      <c r="A9671" s="1" t="str">
        <f t="shared" si="2651"/>
        <v>卡卡杜-凤凰仓</v>
      </c>
      <c r="B9671" s="1" t="str">
        <f>"CK2024100518515"</f>
        <v>CK2024100518515</v>
      </c>
      <c r="C9671" s="1" t="str">
        <f>"DD2024100549661"</f>
        <v>DD2024100549661</v>
      </c>
      <c r="D9671" s="1" t="str">
        <f>"CK2024100542517"</f>
        <v>CK2024100542517</v>
      </c>
      <c r="E9671" s="1" t="str">
        <f>"6917832765972184342"</f>
        <v>6917832765972184342</v>
      </c>
      <c r="F9671" s="1" t="str">
        <f t="shared" si="2652"/>
        <v>花都四部-凤凰仓</v>
      </c>
      <c r="G9671" s="1" t="str">
        <f t="shared" si="2648"/>
        <v>卡卡杜个人护理店（抖店）</v>
      </c>
      <c r="H9671" s="1" t="str">
        <f t="shared" si="2653"/>
        <v>正常订单</v>
      </c>
      <c r="I9671" s="1" t="str">
        <f t="shared" si="2654"/>
        <v>已发货</v>
      </c>
      <c r="J9671" s="1" t="str">
        <f t="shared" si="2647"/>
        <v>2</v>
      </c>
      <c r="K9671" s="1">
        <v>1</v>
      </c>
      <c r="L9671" s="1" t="s">
        <v>13</v>
      </c>
      <c r="M9671" s="1" t="str">
        <f>"江苏省 盐城市 响水县 响水镇"</f>
        <v>江苏省 盐城市 响水县 响水镇</v>
      </c>
      <c r="N9671" s="1" t="str">
        <f t="shared" si="2650"/>
        <v>凡华云仓-韵达-抖音</v>
      </c>
      <c r="O9671" s="5">
        <v>320156927105299</v>
      </c>
      <c r="P9671" s="6">
        <v>0.33</v>
      </c>
      <c r="Q9671" s="11">
        <v>2.2999999999999998</v>
      </c>
      <c r="R9671" s="11"/>
      <c r="S9671" s="11"/>
      <c r="T9671" s="11"/>
      <c r="U9671" s="11">
        <f t="shared" si="2655"/>
        <v>2.2999999999999998</v>
      </c>
      <c r="W9671">
        <v>2.5</v>
      </c>
      <c r="X9671" s="1" t="s">
        <v>13</v>
      </c>
    </row>
    <row r="9672" spans="1:24" x14ac:dyDescent="0.25">
      <c r="A9672" s="1" t="str">
        <f t="shared" si="2651"/>
        <v>卡卡杜-凤凰仓</v>
      </c>
      <c r="B9672" s="1" t="str">
        <f>"CK2024100518516"</f>
        <v>CK2024100518516</v>
      </c>
      <c r="C9672" s="1" t="str">
        <f>"DD2024100549662"</f>
        <v>DD2024100549662</v>
      </c>
      <c r="D9672" s="1" t="str">
        <f>"CK2024100542516"</f>
        <v>CK2024100542516</v>
      </c>
      <c r="E9672" s="1" t="str">
        <f>"6917826234417577725"</f>
        <v>6917826234417577725</v>
      </c>
      <c r="F9672" s="1" t="str">
        <f t="shared" si="2652"/>
        <v>花都四部-凤凰仓</v>
      </c>
      <c r="G9672" s="1" t="str">
        <f t="shared" si="2648"/>
        <v>卡卡杜个人护理店（抖店）</v>
      </c>
      <c r="H9672" s="1" t="str">
        <f t="shared" si="2653"/>
        <v>正常订单</v>
      </c>
      <c r="I9672" s="1" t="str">
        <f t="shared" si="2654"/>
        <v>已发货</v>
      </c>
      <c r="J9672" s="1" t="str">
        <f t="shared" si="2647"/>
        <v>2</v>
      </c>
      <c r="K9672" s="1">
        <v>1</v>
      </c>
      <c r="L9672" s="1" t="s">
        <v>74</v>
      </c>
      <c r="M9672" s="1" t="str">
        <f>"上海 上海市 奉贤区 四团镇"</f>
        <v>上海 上海市 奉贤区 四团镇</v>
      </c>
      <c r="N9672" s="1" t="str">
        <f t="shared" si="2650"/>
        <v>凡华云仓-韵达-抖音</v>
      </c>
      <c r="O9672" s="5">
        <v>320156927105108</v>
      </c>
      <c r="P9672" s="6">
        <v>0.33</v>
      </c>
      <c r="Q9672" s="11">
        <v>2.2999999999999998</v>
      </c>
      <c r="R9672" s="11"/>
      <c r="S9672" s="11"/>
      <c r="T9672" s="11"/>
      <c r="U9672" s="11">
        <f t="shared" si="2655"/>
        <v>2.2999999999999998</v>
      </c>
      <c r="W9672">
        <v>2.5</v>
      </c>
      <c r="X9672" s="1" t="s">
        <v>74</v>
      </c>
    </row>
    <row r="9673" spans="1:24" x14ac:dyDescent="0.25">
      <c r="A9673" s="1" t="str">
        <f t="shared" si="2651"/>
        <v>卡卡杜-凤凰仓</v>
      </c>
      <c r="B9673" s="1" t="str">
        <f>"CK2024100518518"</f>
        <v>CK2024100518518</v>
      </c>
      <c r="C9673" s="1" t="str">
        <f>"DD2024100549664"</f>
        <v>DD2024100549664</v>
      </c>
      <c r="D9673" s="1" t="str">
        <f>"CK2024100542515"</f>
        <v>CK2024100542515</v>
      </c>
      <c r="E9673" s="1" t="str">
        <f>"6917832580881153708"</f>
        <v>6917832580881153708</v>
      </c>
      <c r="F9673" s="1" t="str">
        <f t="shared" si="2652"/>
        <v>花都四部-凤凰仓</v>
      </c>
      <c r="G9673" s="1" t="str">
        <f t="shared" si="2648"/>
        <v>卡卡杜个人护理店（抖店）</v>
      </c>
      <c r="H9673" s="1" t="str">
        <f t="shared" si="2653"/>
        <v>正常订单</v>
      </c>
      <c r="I9673" s="1" t="str">
        <f t="shared" si="2654"/>
        <v>已发货</v>
      </c>
      <c r="J9673" s="1" t="str">
        <f t="shared" si="2647"/>
        <v>2</v>
      </c>
      <c r="K9673" s="1">
        <v>1</v>
      </c>
      <c r="L9673" s="1" t="s">
        <v>20</v>
      </c>
      <c r="M9673" s="1" t="str">
        <f>"浙江省 湖州市 南浔区 练市镇"</f>
        <v>浙江省 湖州市 南浔区 练市镇</v>
      </c>
      <c r="N9673" s="1" t="str">
        <f t="shared" si="2650"/>
        <v>凡华云仓-韵达-抖音</v>
      </c>
      <c r="O9673" s="5">
        <v>320156927105019</v>
      </c>
      <c r="P9673" s="6">
        <v>0.33</v>
      </c>
      <c r="Q9673" s="11">
        <v>2.2999999999999998</v>
      </c>
      <c r="R9673" s="11"/>
      <c r="S9673" s="11"/>
      <c r="T9673" s="11"/>
      <c r="U9673" s="11">
        <f t="shared" si="2655"/>
        <v>2.2999999999999998</v>
      </c>
      <c r="W9673">
        <v>2.5</v>
      </c>
      <c r="X9673" s="1" t="s">
        <v>20</v>
      </c>
    </row>
    <row r="9674" spans="1:24" x14ac:dyDescent="0.25">
      <c r="A9674" s="1" t="str">
        <f t="shared" si="2651"/>
        <v>卡卡杜-凤凰仓</v>
      </c>
      <c r="B9674" s="1" t="str">
        <f>"CK2024100518519"</f>
        <v>CK2024100518519</v>
      </c>
      <c r="C9674" s="1" t="str">
        <f>"DD2024100549665"</f>
        <v>DD2024100549665</v>
      </c>
      <c r="D9674" s="1" t="str">
        <f>"CK2024100542514"</f>
        <v>CK2024100542514</v>
      </c>
      <c r="E9674" s="1" t="str">
        <f>"6917834924126797213"</f>
        <v>6917834924126797213</v>
      </c>
      <c r="F9674" s="1" t="str">
        <f t="shared" si="2652"/>
        <v>花都四部-凤凰仓</v>
      </c>
      <c r="G9674" s="1" t="str">
        <f t="shared" si="2648"/>
        <v>卡卡杜个人护理店（抖店）</v>
      </c>
      <c r="H9674" s="1" t="str">
        <f t="shared" si="2653"/>
        <v>正常订单</v>
      </c>
      <c r="I9674" s="1" t="str">
        <f t="shared" si="2654"/>
        <v>已发货</v>
      </c>
      <c r="J9674" s="1" t="str">
        <f t="shared" si="2647"/>
        <v>2</v>
      </c>
      <c r="K9674" s="1">
        <v>1</v>
      </c>
      <c r="L9674" s="1" t="s">
        <v>13</v>
      </c>
      <c r="M9674" s="1" t="str">
        <f>"江苏省 南京市 六合区 横梁街道"</f>
        <v>江苏省 南京市 六合区 横梁街道</v>
      </c>
      <c r="N9674" s="1" t="str">
        <f t="shared" si="2650"/>
        <v>凡华云仓-韵达-抖音</v>
      </c>
      <c r="O9674" s="5">
        <v>320156927104995</v>
      </c>
      <c r="P9674" s="6">
        <v>0.33</v>
      </c>
      <c r="Q9674" s="11">
        <v>2.2999999999999998</v>
      </c>
      <c r="R9674" s="11"/>
      <c r="S9674" s="11"/>
      <c r="T9674" s="11"/>
      <c r="U9674" s="11">
        <f t="shared" si="2655"/>
        <v>2.2999999999999998</v>
      </c>
      <c r="W9674">
        <v>2.5</v>
      </c>
      <c r="X9674" s="1" t="s">
        <v>13</v>
      </c>
    </row>
    <row r="9675" spans="1:24" x14ac:dyDescent="0.25">
      <c r="A9675" s="1" t="str">
        <f t="shared" si="2651"/>
        <v>卡卡杜-凤凰仓</v>
      </c>
      <c r="B9675" s="1" t="str">
        <f>"CK2024100518520"</f>
        <v>CK2024100518520</v>
      </c>
      <c r="C9675" s="1" t="str">
        <f>"DD2024100549667"</f>
        <v>DD2024100549667</v>
      </c>
      <c r="D9675" s="1" t="str">
        <f>"CK2024100542513"</f>
        <v>CK2024100542513</v>
      </c>
      <c r="E9675" s="1" t="str">
        <f>"6917828375396187794"</f>
        <v>6917828375396187794</v>
      </c>
      <c r="F9675" s="1" t="str">
        <f t="shared" si="2652"/>
        <v>花都四部-凤凰仓</v>
      </c>
      <c r="G9675" s="1" t="str">
        <f t="shared" si="2648"/>
        <v>卡卡杜个人护理店（抖店）</v>
      </c>
      <c r="H9675" s="1" t="str">
        <f t="shared" si="2653"/>
        <v>正常订单</v>
      </c>
      <c r="I9675" s="1" t="str">
        <f t="shared" si="2654"/>
        <v>已发货</v>
      </c>
      <c r="J9675" s="1" t="str">
        <f t="shared" si="2647"/>
        <v>2</v>
      </c>
      <c r="K9675" s="1">
        <v>1</v>
      </c>
      <c r="L9675" s="1" t="s">
        <v>20</v>
      </c>
      <c r="M9675" s="1" t="str">
        <f>"浙江省 丽水市 龙泉市 剑池街道"</f>
        <v>浙江省 丽水市 龙泉市 剑池街道</v>
      </c>
      <c r="N9675" s="1" t="str">
        <f t="shared" si="2650"/>
        <v>凡华云仓-韵达-抖音</v>
      </c>
      <c r="O9675" s="5">
        <v>320156927104890</v>
      </c>
      <c r="P9675" s="6">
        <v>0.33</v>
      </c>
      <c r="Q9675" s="11">
        <v>2.2999999999999998</v>
      </c>
      <c r="R9675" s="11"/>
      <c r="S9675" s="11"/>
      <c r="T9675" s="11"/>
      <c r="U9675" s="11">
        <f t="shared" si="2655"/>
        <v>2.2999999999999998</v>
      </c>
      <c r="W9675">
        <v>2.5</v>
      </c>
      <c r="X9675" s="1" t="s">
        <v>20</v>
      </c>
    </row>
    <row r="9676" spans="1:24" x14ac:dyDescent="0.25">
      <c r="A9676" s="1" t="str">
        <f t="shared" si="2651"/>
        <v>卡卡杜-凤凰仓</v>
      </c>
      <c r="B9676" s="1" t="str">
        <f>"CK2024100518522"</f>
        <v>CK2024100518522</v>
      </c>
      <c r="C9676" s="1" t="str">
        <f>"DD2024100549668"</f>
        <v>DD2024100549668</v>
      </c>
      <c r="D9676" s="1" t="str">
        <f>"CK2024100542512"</f>
        <v>CK2024100542512</v>
      </c>
      <c r="E9676" s="1" t="str">
        <f>"6917835084801474310"</f>
        <v>6917835084801474310</v>
      </c>
      <c r="F9676" s="1" t="str">
        <f t="shared" si="2652"/>
        <v>花都四部-凤凰仓</v>
      </c>
      <c r="G9676" s="1" t="str">
        <f t="shared" si="2648"/>
        <v>卡卡杜个人护理店（抖店）</v>
      </c>
      <c r="H9676" s="1" t="str">
        <f t="shared" si="2653"/>
        <v>正常订单</v>
      </c>
      <c r="I9676" s="1" t="str">
        <f t="shared" si="2654"/>
        <v>已发货</v>
      </c>
      <c r="J9676" s="1" t="str">
        <f t="shared" ref="J9676:J9710" si="2656">"2"</f>
        <v>2</v>
      </c>
      <c r="K9676" s="1">
        <v>1</v>
      </c>
      <c r="L9676" s="1" t="s">
        <v>161</v>
      </c>
      <c r="M9676" s="1" t="str">
        <f>"四川省 成都市 蒲江县 鹤山街道"</f>
        <v>四川省 成都市 蒲江县 鹤山街道</v>
      </c>
      <c r="N9676" s="1" t="str">
        <f t="shared" si="2650"/>
        <v>凡华云仓-韵达-抖音</v>
      </c>
      <c r="O9676" s="5">
        <v>320156927104787</v>
      </c>
      <c r="P9676" s="6">
        <v>0.33</v>
      </c>
      <c r="Q9676" s="11">
        <v>2.2999999999999998</v>
      </c>
      <c r="R9676" s="11"/>
      <c r="S9676" s="11"/>
      <c r="T9676" s="11"/>
      <c r="U9676" s="11">
        <f t="shared" si="2655"/>
        <v>2.2999999999999998</v>
      </c>
      <c r="W9676">
        <v>2.5</v>
      </c>
      <c r="X9676" s="1" t="s">
        <v>161</v>
      </c>
    </row>
    <row r="9677" spans="1:24" x14ac:dyDescent="0.25">
      <c r="A9677" s="1" t="str">
        <f t="shared" si="2651"/>
        <v>卡卡杜-凤凰仓</v>
      </c>
      <c r="B9677" s="1" t="str">
        <f>"CK2024100518523"</f>
        <v>CK2024100518523</v>
      </c>
      <c r="C9677" s="1" t="str">
        <f>"DD2024100549669"</f>
        <v>DD2024100549669</v>
      </c>
      <c r="D9677" s="1" t="str">
        <f>"CK2024100542511"</f>
        <v>CK2024100542511</v>
      </c>
      <c r="E9677" s="1" t="str">
        <f>"6917833177008864995"</f>
        <v>6917833177008864995</v>
      </c>
      <c r="F9677" s="1" t="str">
        <f t="shared" si="2652"/>
        <v>花都四部-凤凰仓</v>
      </c>
      <c r="G9677" s="1" t="str">
        <f t="shared" si="2648"/>
        <v>卡卡杜个人护理店（抖店）</v>
      </c>
      <c r="H9677" s="1" t="str">
        <f t="shared" si="2653"/>
        <v>正常订单</v>
      </c>
      <c r="I9677" s="1" t="str">
        <f t="shared" si="2654"/>
        <v>已发货</v>
      </c>
      <c r="J9677" s="1" t="str">
        <f t="shared" si="2656"/>
        <v>2</v>
      </c>
      <c r="K9677" s="1">
        <v>2</v>
      </c>
      <c r="L9677" s="1" t="s">
        <v>18</v>
      </c>
      <c r="M9677" s="1" t="str">
        <f>"广东省 佛山市 顺德区 龙江镇"</f>
        <v>广东省 佛山市 顺德区 龙江镇</v>
      </c>
      <c r="N9677" s="1" t="str">
        <f t="shared" si="2650"/>
        <v>凡华云仓-韵达-抖音</v>
      </c>
      <c r="O9677" s="5">
        <v>320156927104686</v>
      </c>
      <c r="P9677" s="6">
        <v>0.28000000000000003</v>
      </c>
      <c r="Q9677" s="11">
        <v>2</v>
      </c>
      <c r="R9677" s="11"/>
      <c r="S9677" s="11"/>
      <c r="T9677" s="11"/>
      <c r="U9677" s="11">
        <f t="shared" si="2655"/>
        <v>2</v>
      </c>
      <c r="W9677">
        <v>2.2000000000000002</v>
      </c>
      <c r="X9677" s="1" t="s">
        <v>18</v>
      </c>
    </row>
    <row r="9678" spans="1:24" x14ac:dyDescent="0.25">
      <c r="A9678" s="1" t="str">
        <f t="shared" si="2651"/>
        <v>卡卡杜-凤凰仓</v>
      </c>
      <c r="B9678" s="1" t="str">
        <f>"CK2024100518524"</f>
        <v>CK2024100518524</v>
      </c>
      <c r="C9678" s="1" t="str">
        <f>"DD2024100549670"</f>
        <v>DD2024100549670</v>
      </c>
      <c r="D9678" s="1" t="str">
        <f>"CK2024100542510"</f>
        <v>CK2024100542510</v>
      </c>
      <c r="E9678" s="1" t="str">
        <f>"6917835278858157650"</f>
        <v>6917835278858157650</v>
      </c>
      <c r="F9678" s="1" t="str">
        <f t="shared" si="2652"/>
        <v>花都四部-凤凰仓</v>
      </c>
      <c r="G9678" s="1" t="str">
        <f t="shared" ref="G9678:G9738" si="2657">"卡卡杜个人护理店（抖店）"</f>
        <v>卡卡杜个人护理店（抖店）</v>
      </c>
      <c r="H9678" s="1" t="str">
        <f t="shared" si="2653"/>
        <v>正常订单</v>
      </c>
      <c r="I9678" s="1" t="str">
        <f t="shared" si="2654"/>
        <v>已发货</v>
      </c>
      <c r="J9678" s="1" t="str">
        <f t="shared" si="2656"/>
        <v>2</v>
      </c>
      <c r="K9678" s="1">
        <v>1</v>
      </c>
      <c r="L9678" s="1" t="s">
        <v>20</v>
      </c>
      <c r="M9678" s="1" t="str">
        <f>"浙江省 宁波市 江北区 孔浦街道"</f>
        <v>浙江省 宁波市 江北区 孔浦街道</v>
      </c>
      <c r="N9678" s="1" t="str">
        <f t="shared" si="2650"/>
        <v>凡华云仓-韵达-抖音</v>
      </c>
      <c r="O9678" s="5">
        <v>320156927104587</v>
      </c>
      <c r="P9678" s="6">
        <v>0.33</v>
      </c>
      <c r="Q9678" s="11">
        <v>2.2999999999999998</v>
      </c>
      <c r="R9678" s="11"/>
      <c r="S9678" s="11"/>
      <c r="T9678" s="11"/>
      <c r="U9678" s="11">
        <f t="shared" si="2655"/>
        <v>2.2999999999999998</v>
      </c>
      <c r="W9678">
        <v>2.5</v>
      </c>
      <c r="X9678" s="1" t="s">
        <v>20</v>
      </c>
    </row>
    <row r="9679" spans="1:24" x14ac:dyDescent="0.25">
      <c r="A9679" s="1" t="str">
        <f t="shared" si="2651"/>
        <v>卡卡杜-凤凰仓</v>
      </c>
      <c r="B9679" s="1" t="str">
        <f>"CK2024100518525"</f>
        <v>CK2024100518525</v>
      </c>
      <c r="C9679" s="1" t="str">
        <f>"DD2024100549671"</f>
        <v>DD2024100549671</v>
      </c>
      <c r="D9679" s="1" t="str">
        <f>"CK2024100542509"</f>
        <v>CK2024100542509</v>
      </c>
      <c r="E9679" s="1" t="str">
        <f>"6917825827648470175"</f>
        <v>6917825827648470175</v>
      </c>
      <c r="F9679" s="1" t="str">
        <f t="shared" si="2652"/>
        <v>花都四部-凤凰仓</v>
      </c>
      <c r="G9679" s="1" t="str">
        <f t="shared" si="2657"/>
        <v>卡卡杜个人护理店（抖店）</v>
      </c>
      <c r="H9679" s="1" t="str">
        <f t="shared" si="2653"/>
        <v>正常订单</v>
      </c>
      <c r="I9679" s="1" t="str">
        <f t="shared" si="2654"/>
        <v>已发货</v>
      </c>
      <c r="J9679" s="1" t="str">
        <f t="shared" si="2656"/>
        <v>2</v>
      </c>
      <c r="K9679" s="1">
        <v>1</v>
      </c>
      <c r="L9679" s="1" t="s">
        <v>13</v>
      </c>
      <c r="M9679" s="1" t="str">
        <f>"江苏省 淮安市 淮安区 "</f>
        <v xml:space="preserve">江苏省 淮安市 淮安区 </v>
      </c>
      <c r="N9679" s="1" t="str">
        <f t="shared" si="2650"/>
        <v>凡华云仓-韵达-抖音</v>
      </c>
      <c r="O9679" s="5">
        <v>320156908940693</v>
      </c>
      <c r="P9679" s="6">
        <v>0.33</v>
      </c>
      <c r="Q9679" s="11">
        <v>2.2999999999999998</v>
      </c>
      <c r="R9679" s="11"/>
      <c r="S9679" s="11"/>
      <c r="T9679" s="11"/>
      <c r="U9679" s="11">
        <f t="shared" si="2655"/>
        <v>2.2999999999999998</v>
      </c>
      <c r="W9679">
        <v>2.5</v>
      </c>
      <c r="X9679" s="1" t="s">
        <v>13</v>
      </c>
    </row>
    <row r="9680" spans="1:24" x14ac:dyDescent="0.25">
      <c r="A9680" s="1" t="str">
        <f t="shared" si="2651"/>
        <v>卡卡杜-凤凰仓</v>
      </c>
      <c r="B9680" s="1" t="str">
        <f>"CK2024100518526"</f>
        <v>CK2024100518526</v>
      </c>
      <c r="C9680" s="1" t="str">
        <f>"DD2024100549672"</f>
        <v>DD2024100549672</v>
      </c>
      <c r="D9680" s="1" t="str">
        <f>"CK2024100542508"</f>
        <v>CK2024100542508</v>
      </c>
      <c r="E9680" s="1" t="str">
        <f>"6917833139591740935"</f>
        <v>6917833139591740935</v>
      </c>
      <c r="F9680" s="1" t="str">
        <f t="shared" si="2652"/>
        <v>花都四部-凤凰仓</v>
      </c>
      <c r="G9680" s="1" t="str">
        <f t="shared" si="2657"/>
        <v>卡卡杜个人护理店（抖店）</v>
      </c>
      <c r="H9680" s="1" t="str">
        <f t="shared" si="2653"/>
        <v>正常订单</v>
      </c>
      <c r="I9680" s="1" t="str">
        <f t="shared" si="2654"/>
        <v>已发货</v>
      </c>
      <c r="J9680" s="1" t="str">
        <f t="shared" si="2656"/>
        <v>2</v>
      </c>
      <c r="K9680" s="1">
        <v>1</v>
      </c>
      <c r="L9680" s="1" t="s">
        <v>92</v>
      </c>
      <c r="M9680" s="1" t="str">
        <f>"辽宁省 阜新市 海州区 "</f>
        <v xml:space="preserve">辽宁省 阜新市 海州区 </v>
      </c>
      <c r="N9680" s="1" t="str">
        <f t="shared" si="2650"/>
        <v>凡华云仓-韵达-抖音</v>
      </c>
      <c r="O9680" s="5">
        <v>320156908940594</v>
      </c>
      <c r="P9680" s="6">
        <v>0.33</v>
      </c>
      <c r="Q9680" s="11">
        <v>2.2999999999999998</v>
      </c>
      <c r="R9680" s="11"/>
      <c r="S9680" s="11"/>
      <c r="T9680" s="11"/>
      <c r="U9680" s="11">
        <f t="shared" si="2655"/>
        <v>2.2999999999999998</v>
      </c>
      <c r="W9680">
        <v>2.5</v>
      </c>
      <c r="X9680" s="1" t="s">
        <v>92</v>
      </c>
    </row>
    <row r="9681" spans="1:24" x14ac:dyDescent="0.25">
      <c r="A9681" s="1" t="str">
        <f t="shared" si="2651"/>
        <v>卡卡杜-凤凰仓</v>
      </c>
      <c r="B9681" s="1" t="str">
        <f>"CK2024100518527"</f>
        <v>CK2024100518527</v>
      </c>
      <c r="C9681" s="1" t="str">
        <f>"DD2024100549673"</f>
        <v>DD2024100549673</v>
      </c>
      <c r="D9681" s="1" t="str">
        <f>"CK2024100542507"</f>
        <v>CK2024100542507</v>
      </c>
      <c r="E9681" s="1" t="str">
        <f>"6917828069507955850"</f>
        <v>6917828069507955850</v>
      </c>
      <c r="F9681" s="1" t="str">
        <f t="shared" si="2652"/>
        <v>花都四部-凤凰仓</v>
      </c>
      <c r="G9681" s="1" t="str">
        <f t="shared" si="2657"/>
        <v>卡卡杜个人护理店（抖店）</v>
      </c>
      <c r="H9681" s="1" t="str">
        <f t="shared" si="2653"/>
        <v>正常订单</v>
      </c>
      <c r="I9681" s="1" t="str">
        <f t="shared" si="2654"/>
        <v>已发货</v>
      </c>
      <c r="J9681" s="1" t="str">
        <f t="shared" si="2656"/>
        <v>2</v>
      </c>
      <c r="K9681" s="1">
        <v>1</v>
      </c>
      <c r="L9681" s="1" t="s">
        <v>20</v>
      </c>
      <c r="M9681" s="1" t="str">
        <f>"浙江省 绍兴市 诸暨市 安华镇"</f>
        <v>浙江省 绍兴市 诸暨市 安华镇</v>
      </c>
      <c r="N9681" s="1" t="str">
        <f t="shared" si="2650"/>
        <v>凡华云仓-韵达-抖音</v>
      </c>
      <c r="O9681" s="5">
        <v>320156908940497</v>
      </c>
      <c r="P9681" s="6">
        <v>0.33</v>
      </c>
      <c r="Q9681" s="11">
        <v>2.2999999999999998</v>
      </c>
      <c r="R9681" s="11"/>
      <c r="S9681" s="11"/>
      <c r="T9681" s="11"/>
      <c r="U9681" s="11">
        <f t="shared" si="2655"/>
        <v>2.2999999999999998</v>
      </c>
      <c r="W9681">
        <v>2.5</v>
      </c>
      <c r="X9681" s="1" t="s">
        <v>20</v>
      </c>
    </row>
    <row r="9682" spans="1:24" x14ac:dyDescent="0.25">
      <c r="A9682" s="1" t="str">
        <f t="shared" si="2651"/>
        <v>卡卡杜-凤凰仓</v>
      </c>
      <c r="B9682" s="1" t="str">
        <f>"CK2024100518528"</f>
        <v>CK2024100518528</v>
      </c>
      <c r="C9682" s="1" t="str">
        <f>"DD2024100549674"</f>
        <v>DD2024100549674</v>
      </c>
      <c r="D9682" s="1" t="str">
        <f>"CK2024100542506"</f>
        <v>CK2024100542506</v>
      </c>
      <c r="E9682" s="1" t="str">
        <f>"6917830797573127427"</f>
        <v>6917830797573127427</v>
      </c>
      <c r="F9682" s="1" t="str">
        <f t="shared" si="2652"/>
        <v>花都四部-凤凰仓</v>
      </c>
      <c r="G9682" s="1" t="str">
        <f t="shared" si="2657"/>
        <v>卡卡杜个人护理店（抖店）</v>
      </c>
      <c r="H9682" s="1" t="str">
        <f t="shared" si="2653"/>
        <v>正常订单</v>
      </c>
      <c r="I9682" s="1" t="str">
        <f t="shared" si="2654"/>
        <v>已发货</v>
      </c>
      <c r="J9682" s="1" t="str">
        <f t="shared" si="2656"/>
        <v>2</v>
      </c>
      <c r="K9682" s="1">
        <v>1</v>
      </c>
      <c r="L9682" s="1" t="s">
        <v>36</v>
      </c>
      <c r="M9682" s="1" t="str">
        <f>"安徽省 黄山市 屯溪区 阳湖镇"</f>
        <v>安徽省 黄山市 屯溪区 阳湖镇</v>
      </c>
      <c r="N9682" s="1" t="str">
        <f t="shared" si="2650"/>
        <v>凡华云仓-韵达-抖音</v>
      </c>
      <c r="O9682" s="5">
        <v>320156908940302</v>
      </c>
      <c r="P9682" s="6">
        <v>0.33</v>
      </c>
      <c r="Q9682" s="11">
        <v>2.2999999999999998</v>
      </c>
      <c r="R9682" s="11"/>
      <c r="S9682" s="11"/>
      <c r="T9682" s="11"/>
      <c r="U9682" s="11">
        <f t="shared" si="2655"/>
        <v>2.2999999999999998</v>
      </c>
      <c r="W9682">
        <v>2.5</v>
      </c>
      <c r="X9682" s="1" t="s">
        <v>36</v>
      </c>
    </row>
    <row r="9683" spans="1:24" x14ac:dyDescent="0.25">
      <c r="A9683" s="1" t="str">
        <f t="shared" si="2651"/>
        <v>卡卡杜-凤凰仓</v>
      </c>
      <c r="B9683" s="1" t="str">
        <f>"CK2024100518529"</f>
        <v>CK2024100518529</v>
      </c>
      <c r="C9683" s="1" t="str">
        <f>"DD2024100549675"</f>
        <v>DD2024100549675</v>
      </c>
      <c r="D9683" s="1" t="str">
        <f>"CK2024100542505"</f>
        <v>CK2024100542505</v>
      </c>
      <c r="E9683" s="1" t="str">
        <f>"6917830413690044107"</f>
        <v>6917830413690044107</v>
      </c>
      <c r="F9683" s="1" t="str">
        <f t="shared" si="2652"/>
        <v>花都四部-凤凰仓</v>
      </c>
      <c r="G9683" s="1" t="str">
        <f t="shared" si="2657"/>
        <v>卡卡杜个人护理店（抖店）</v>
      </c>
      <c r="H9683" s="1" t="str">
        <f t="shared" si="2653"/>
        <v>正常订单</v>
      </c>
      <c r="I9683" s="1" t="str">
        <f t="shared" si="2654"/>
        <v>已发货</v>
      </c>
      <c r="J9683" s="1" t="str">
        <f t="shared" si="2656"/>
        <v>2</v>
      </c>
      <c r="K9683" s="1">
        <v>1</v>
      </c>
      <c r="L9683" s="1" t="s">
        <v>32</v>
      </c>
      <c r="M9683" s="1" t="str">
        <f>"陕西省 咸阳市 永寿县 监军街道"</f>
        <v>陕西省 咸阳市 永寿县 监军街道</v>
      </c>
      <c r="N9683" s="1" t="str">
        <f t="shared" si="2650"/>
        <v>凡华云仓-韵达-抖音</v>
      </c>
      <c r="O9683" s="5">
        <v>320156908940209</v>
      </c>
      <c r="P9683" s="6">
        <v>0.33</v>
      </c>
      <c r="Q9683" s="11">
        <v>2.2999999999999998</v>
      </c>
      <c r="R9683" s="11"/>
      <c r="S9683" s="11"/>
      <c r="T9683" s="11"/>
      <c r="U9683" s="11">
        <f t="shared" si="2655"/>
        <v>2.2999999999999998</v>
      </c>
      <c r="W9683">
        <v>2.5</v>
      </c>
      <c r="X9683" s="1" t="s">
        <v>32</v>
      </c>
    </row>
    <row r="9684" spans="1:24" x14ac:dyDescent="0.25">
      <c r="A9684" s="1" t="str">
        <f t="shared" si="2651"/>
        <v>卡卡杜-凤凰仓</v>
      </c>
      <c r="B9684" s="1" t="str">
        <f>"CK2024100518530"</f>
        <v>CK2024100518530</v>
      </c>
      <c r="C9684" s="1" t="str">
        <f>"DD2024100549677"</f>
        <v>DD2024100549677</v>
      </c>
      <c r="D9684" s="1" t="str">
        <f>"CK2024100542504"</f>
        <v>CK2024100542504</v>
      </c>
      <c r="E9684" s="1" t="str">
        <f>"6917835349506423990"</f>
        <v>6917835349506423990</v>
      </c>
      <c r="F9684" s="1" t="str">
        <f t="shared" si="2652"/>
        <v>花都四部-凤凰仓</v>
      </c>
      <c r="G9684" s="1" t="str">
        <f t="shared" si="2657"/>
        <v>卡卡杜个人护理店（抖店）</v>
      </c>
      <c r="H9684" s="1" t="str">
        <f t="shared" si="2653"/>
        <v>正常订单</v>
      </c>
      <c r="I9684" s="1" t="str">
        <f t="shared" si="2654"/>
        <v>已发货</v>
      </c>
      <c r="J9684" s="1" t="str">
        <f t="shared" si="2656"/>
        <v>2</v>
      </c>
      <c r="K9684" s="1">
        <v>1</v>
      </c>
      <c r="L9684" s="1" t="s">
        <v>109</v>
      </c>
      <c r="M9684" s="1" t="str">
        <f>"山西省 晋城市 高平市 "</f>
        <v xml:space="preserve">山西省 晋城市 高平市 </v>
      </c>
      <c r="N9684" s="1" t="str">
        <f t="shared" si="2650"/>
        <v>凡华云仓-韵达-抖音</v>
      </c>
      <c r="O9684" s="5">
        <v>320156908940118</v>
      </c>
      <c r="P9684" s="6">
        <v>0.33</v>
      </c>
      <c r="Q9684" s="11">
        <v>2.2999999999999998</v>
      </c>
      <c r="R9684" s="11"/>
      <c r="S9684" s="11"/>
      <c r="T9684" s="11"/>
      <c r="U9684" s="11">
        <f t="shared" si="2655"/>
        <v>2.2999999999999998</v>
      </c>
      <c r="W9684">
        <v>2.5</v>
      </c>
      <c r="X9684" s="1" t="s">
        <v>109</v>
      </c>
    </row>
    <row r="9685" spans="1:24" x14ac:dyDescent="0.25">
      <c r="A9685" s="1" t="str">
        <f t="shared" si="2651"/>
        <v>卡卡杜-凤凰仓</v>
      </c>
      <c r="B9685" s="1" t="str">
        <f>"CK2024100518531"</f>
        <v>CK2024100518531</v>
      </c>
      <c r="C9685" s="1" t="str">
        <f>"DD2024100549676"</f>
        <v>DD2024100549676</v>
      </c>
      <c r="D9685" s="1" t="str">
        <f>"CK2024100542503"</f>
        <v>CK2024100542503</v>
      </c>
      <c r="E9685" s="1" t="str">
        <f>"6917833072503127485"</f>
        <v>6917833072503127485</v>
      </c>
      <c r="F9685" s="1" t="str">
        <f t="shared" si="2652"/>
        <v>花都四部-凤凰仓</v>
      </c>
      <c r="G9685" s="1" t="str">
        <f t="shared" si="2657"/>
        <v>卡卡杜个人护理店（抖店）</v>
      </c>
      <c r="H9685" s="1" t="str">
        <f t="shared" si="2653"/>
        <v>正常订单</v>
      </c>
      <c r="I9685" s="1" t="str">
        <f t="shared" si="2654"/>
        <v>已发货</v>
      </c>
      <c r="J9685" s="1" t="str">
        <f t="shared" si="2656"/>
        <v>2</v>
      </c>
      <c r="K9685" s="1">
        <v>1</v>
      </c>
      <c r="L9685" s="1" t="s">
        <v>18</v>
      </c>
      <c r="M9685" s="1" t="str">
        <f>"广东省 东莞市 东莞市 "</f>
        <v xml:space="preserve">广东省 东莞市 东莞市 </v>
      </c>
      <c r="N9685" s="1" t="str">
        <f t="shared" ref="N9685:N9738" si="2658">"凡华云仓-韵达-抖音"</f>
        <v>凡华云仓-韵达-抖音</v>
      </c>
      <c r="O9685" s="5">
        <v>320156908940029</v>
      </c>
      <c r="P9685" s="6">
        <v>0.33</v>
      </c>
      <c r="Q9685" s="11">
        <v>2.2999999999999998</v>
      </c>
      <c r="R9685" s="11"/>
      <c r="S9685" s="11"/>
      <c r="T9685" s="11"/>
      <c r="U9685" s="11">
        <f t="shared" si="2655"/>
        <v>2.2999999999999998</v>
      </c>
      <c r="W9685">
        <v>2.5</v>
      </c>
      <c r="X9685" s="1" t="s">
        <v>18</v>
      </c>
    </row>
    <row r="9686" spans="1:24" x14ac:dyDescent="0.25">
      <c r="A9686" s="1" t="str">
        <f t="shared" si="2651"/>
        <v>卡卡杜-凤凰仓</v>
      </c>
      <c r="B9686" s="1" t="str">
        <f>"CK2024100518532"</f>
        <v>CK2024100518532</v>
      </c>
      <c r="C9686" s="1" t="str">
        <f>"DD2024100549679"</f>
        <v>DD2024100549679</v>
      </c>
      <c r="D9686" s="1" t="str">
        <f>"CK2024100542502"</f>
        <v>CK2024100542502</v>
      </c>
      <c r="E9686" s="1" t="str">
        <f>"6917825755400338586"</f>
        <v>6917825755400338586</v>
      </c>
      <c r="F9686" s="1" t="str">
        <f t="shared" si="2652"/>
        <v>花都四部-凤凰仓</v>
      </c>
      <c r="G9686" s="1" t="str">
        <f t="shared" si="2657"/>
        <v>卡卡杜个人护理店（抖店）</v>
      </c>
      <c r="H9686" s="1" t="str">
        <f t="shared" si="2653"/>
        <v>正常订单</v>
      </c>
      <c r="I9686" s="1" t="str">
        <f t="shared" si="2654"/>
        <v>已发货</v>
      </c>
      <c r="J9686" s="1" t="str">
        <f t="shared" si="2656"/>
        <v>2</v>
      </c>
      <c r="K9686" s="1">
        <v>1</v>
      </c>
      <c r="L9686" s="1" t="s">
        <v>36</v>
      </c>
      <c r="M9686" s="1" t="str">
        <f>"安徽省 淮北市 相山区 西街道"</f>
        <v>安徽省 淮北市 相山区 西街道</v>
      </c>
      <c r="N9686" s="1" t="str">
        <f t="shared" si="2658"/>
        <v>凡华云仓-韵达-抖音</v>
      </c>
      <c r="O9686" s="5">
        <v>320156908939980</v>
      </c>
      <c r="P9686" s="6">
        <v>0.33</v>
      </c>
      <c r="Q9686" s="11">
        <v>2.2999999999999998</v>
      </c>
      <c r="R9686" s="11"/>
      <c r="S9686" s="11"/>
      <c r="T9686" s="11"/>
      <c r="U9686" s="11">
        <f t="shared" si="2655"/>
        <v>2.2999999999999998</v>
      </c>
      <c r="W9686">
        <v>2.5</v>
      </c>
      <c r="X9686" s="1" t="s">
        <v>36</v>
      </c>
    </row>
    <row r="9687" spans="1:24" x14ac:dyDescent="0.25">
      <c r="A9687" s="1" t="str">
        <f t="shared" si="2651"/>
        <v>卡卡杜-凤凰仓</v>
      </c>
      <c r="B9687" s="1" t="str">
        <f>"CK2024100518533"</f>
        <v>CK2024100518533</v>
      </c>
      <c r="C9687" s="1" t="str">
        <f>"DD2024100549678"</f>
        <v>DD2024100549678</v>
      </c>
      <c r="D9687" s="1" t="str">
        <f>"CK2024100542501"</f>
        <v>CK2024100542501</v>
      </c>
      <c r="E9687" s="1" t="str">
        <f>"6917830677851635678"</f>
        <v>6917830677851635678</v>
      </c>
      <c r="F9687" s="1" t="str">
        <f t="shared" si="2652"/>
        <v>花都四部-凤凰仓</v>
      </c>
      <c r="G9687" s="1" t="str">
        <f t="shared" si="2657"/>
        <v>卡卡杜个人护理店（抖店）</v>
      </c>
      <c r="H9687" s="1" t="str">
        <f t="shared" si="2653"/>
        <v>正常订单</v>
      </c>
      <c r="I9687" s="1" t="str">
        <f t="shared" si="2654"/>
        <v>已发货</v>
      </c>
      <c r="J9687" s="1" t="str">
        <f t="shared" si="2656"/>
        <v>2</v>
      </c>
      <c r="K9687" s="1">
        <v>1</v>
      </c>
      <c r="L9687" s="1" t="s">
        <v>13</v>
      </c>
      <c r="M9687" s="1" t="str">
        <f>"江苏省 南京市 雨花台区 赛虹桥街道"</f>
        <v>江苏省 南京市 雨花台区 赛虹桥街道</v>
      </c>
      <c r="N9687" s="1" t="str">
        <f t="shared" si="2658"/>
        <v>凡华云仓-韵达-抖音</v>
      </c>
      <c r="O9687" s="5">
        <v>320156908939875</v>
      </c>
      <c r="P9687" s="6">
        <v>0.33</v>
      </c>
      <c r="Q9687" s="11">
        <v>2.2999999999999998</v>
      </c>
      <c r="R9687" s="11"/>
      <c r="S9687" s="11"/>
      <c r="T9687" s="11"/>
      <c r="U9687" s="11">
        <f t="shared" si="2655"/>
        <v>2.2999999999999998</v>
      </c>
      <c r="W9687">
        <v>2.5</v>
      </c>
      <c r="X9687" s="1" t="s">
        <v>13</v>
      </c>
    </row>
    <row r="9688" spans="1:24" x14ac:dyDescent="0.25">
      <c r="A9688" s="1" t="str">
        <f t="shared" si="2651"/>
        <v>卡卡杜-凤凰仓</v>
      </c>
      <c r="B9688" s="1" t="str">
        <f>"CK2024100518534"</f>
        <v>CK2024100518534</v>
      </c>
      <c r="C9688" s="1" t="str">
        <f>"DD2024100549680"</f>
        <v>DD2024100549680</v>
      </c>
      <c r="D9688" s="1" t="str">
        <f>"CK2024100542500"</f>
        <v>CK2024100542500</v>
      </c>
      <c r="E9688" s="1" t="str">
        <f>"6917826125370391677"</f>
        <v>6917826125370391677</v>
      </c>
      <c r="F9688" s="1" t="str">
        <f t="shared" si="2652"/>
        <v>花都四部-凤凰仓</v>
      </c>
      <c r="G9688" s="1" t="str">
        <f t="shared" si="2657"/>
        <v>卡卡杜个人护理店（抖店）</v>
      </c>
      <c r="H9688" s="1" t="str">
        <f t="shared" si="2653"/>
        <v>正常订单</v>
      </c>
      <c r="I9688" s="1" t="str">
        <f t="shared" si="2654"/>
        <v>已发货</v>
      </c>
      <c r="J9688" s="1" t="str">
        <f t="shared" si="2656"/>
        <v>2</v>
      </c>
      <c r="K9688" s="1">
        <v>1</v>
      </c>
      <c r="L9688" s="1" t="s">
        <v>20</v>
      </c>
      <c r="M9688" s="1" t="str">
        <f>"浙江省 嘉兴市 桐乡市 濮院镇"</f>
        <v>浙江省 嘉兴市 桐乡市 濮院镇</v>
      </c>
      <c r="N9688" s="1" t="str">
        <f t="shared" si="2658"/>
        <v>凡华云仓-韵达-抖音</v>
      </c>
      <c r="O9688" s="5">
        <v>320156908939772</v>
      </c>
      <c r="P9688" s="6">
        <v>0.33</v>
      </c>
      <c r="Q9688" s="11">
        <v>2.2999999999999998</v>
      </c>
      <c r="R9688" s="11"/>
      <c r="S9688" s="11"/>
      <c r="T9688" s="11"/>
      <c r="U9688" s="11">
        <f t="shared" si="2655"/>
        <v>2.2999999999999998</v>
      </c>
      <c r="W9688">
        <v>2.5</v>
      </c>
      <c r="X9688" s="1" t="s">
        <v>20</v>
      </c>
    </row>
    <row r="9689" spans="1:24" x14ac:dyDescent="0.25">
      <c r="A9689" s="1" t="str">
        <f t="shared" si="2651"/>
        <v>卡卡杜-凤凰仓</v>
      </c>
      <c r="B9689" s="1" t="str">
        <f>"CK2024100518535"</f>
        <v>CK2024100518535</v>
      </c>
      <c r="C9689" s="1" t="str">
        <f>"DD2024100549682"</f>
        <v>DD2024100549682</v>
      </c>
      <c r="D9689" s="1" t="str">
        <f>"CK2024100542499"</f>
        <v>CK2024100542499</v>
      </c>
      <c r="E9689" s="1" t="str">
        <f>"6917830570449927318"</f>
        <v>6917830570449927318</v>
      </c>
      <c r="F9689" s="1" t="str">
        <f t="shared" si="2652"/>
        <v>花都四部-凤凰仓</v>
      </c>
      <c r="G9689" s="1" t="str">
        <f t="shared" si="2657"/>
        <v>卡卡杜个人护理店（抖店）</v>
      </c>
      <c r="H9689" s="1" t="str">
        <f t="shared" si="2653"/>
        <v>正常订单</v>
      </c>
      <c r="I9689" s="1" t="str">
        <f t="shared" si="2654"/>
        <v>已发货</v>
      </c>
      <c r="J9689" s="1" t="str">
        <f t="shared" si="2656"/>
        <v>2</v>
      </c>
      <c r="K9689" s="1">
        <v>1</v>
      </c>
      <c r="L9689" s="1" t="s">
        <v>20</v>
      </c>
      <c r="M9689" s="1" t="str">
        <f>"浙江省 金华市 义乌市 上溪镇"</f>
        <v>浙江省 金华市 义乌市 上溪镇</v>
      </c>
      <c r="N9689" s="1" t="str">
        <f t="shared" si="2658"/>
        <v>凡华云仓-韵达-抖音</v>
      </c>
      <c r="O9689" s="5">
        <v>320156906928194</v>
      </c>
      <c r="P9689" s="6">
        <v>0.33</v>
      </c>
      <c r="Q9689" s="11">
        <v>2.2999999999999998</v>
      </c>
      <c r="R9689" s="11"/>
      <c r="S9689" s="11"/>
      <c r="T9689" s="11"/>
      <c r="U9689" s="11">
        <f t="shared" si="2655"/>
        <v>2.2999999999999998</v>
      </c>
      <c r="W9689">
        <v>2.5</v>
      </c>
      <c r="X9689" s="1" t="s">
        <v>20</v>
      </c>
    </row>
    <row r="9690" spans="1:24" x14ac:dyDescent="0.25">
      <c r="A9690" s="1" t="str">
        <f t="shared" si="2651"/>
        <v>卡卡杜-凤凰仓</v>
      </c>
      <c r="B9690" s="1" t="str">
        <f>"CK2024100518536"</f>
        <v>CK2024100518536</v>
      </c>
      <c r="C9690" s="1" t="str">
        <f>"DD2024100549681"</f>
        <v>DD2024100549681</v>
      </c>
      <c r="D9690" s="1" t="str">
        <f>"CK2024100542498"</f>
        <v>CK2024100542498</v>
      </c>
      <c r="E9690" s="1" t="str">
        <f>"6917825917880205130"</f>
        <v>6917825917880205130</v>
      </c>
      <c r="F9690" s="1" t="str">
        <f t="shared" si="2652"/>
        <v>花都四部-凤凰仓</v>
      </c>
      <c r="G9690" s="1" t="str">
        <f t="shared" si="2657"/>
        <v>卡卡杜个人护理店（抖店）</v>
      </c>
      <c r="H9690" s="1" t="str">
        <f t="shared" si="2653"/>
        <v>正常订单</v>
      </c>
      <c r="I9690" s="1" t="str">
        <f t="shared" si="2654"/>
        <v>已发货</v>
      </c>
      <c r="J9690" s="1" t="str">
        <f t="shared" si="2656"/>
        <v>2</v>
      </c>
      <c r="K9690" s="1">
        <v>1</v>
      </c>
      <c r="L9690" s="1" t="s">
        <v>18</v>
      </c>
      <c r="M9690" s="1" t="str">
        <f>"广东省 茂名市 信宜市 东镇街道"</f>
        <v>广东省 茂名市 信宜市 东镇街道</v>
      </c>
      <c r="N9690" s="1" t="str">
        <f t="shared" si="2658"/>
        <v>凡华云仓-韵达-抖音</v>
      </c>
      <c r="O9690" s="5">
        <v>320156906928005</v>
      </c>
      <c r="P9690" s="6">
        <v>0.33</v>
      </c>
      <c r="Q9690" s="11">
        <v>2.2999999999999998</v>
      </c>
      <c r="R9690" s="11"/>
      <c r="S9690" s="11"/>
      <c r="T9690" s="11"/>
      <c r="U9690" s="11">
        <f t="shared" si="2655"/>
        <v>2.2999999999999998</v>
      </c>
      <c r="W9690">
        <v>2.5</v>
      </c>
      <c r="X9690" s="1" t="s">
        <v>18</v>
      </c>
    </row>
    <row r="9691" spans="1:24" x14ac:dyDescent="0.25">
      <c r="A9691" s="1" t="str">
        <f t="shared" si="2651"/>
        <v>卡卡杜-凤凰仓</v>
      </c>
      <c r="B9691" s="1" t="str">
        <f>"CK2024100518538"</f>
        <v>CK2024100518538</v>
      </c>
      <c r="C9691" s="1" t="str">
        <f>"DD2024100549683"</f>
        <v>DD2024100549683</v>
      </c>
      <c r="D9691" s="1" t="str">
        <f>"CK2024100542497"</f>
        <v>CK2024100542497</v>
      </c>
      <c r="E9691" s="1" t="str">
        <f>"6917830655440158354"</f>
        <v>6917830655440158354</v>
      </c>
      <c r="F9691" s="1" t="str">
        <f t="shared" si="2652"/>
        <v>花都四部-凤凰仓</v>
      </c>
      <c r="G9691" s="1" t="str">
        <f t="shared" si="2657"/>
        <v>卡卡杜个人护理店（抖店）</v>
      </c>
      <c r="H9691" s="1" t="str">
        <f t="shared" si="2653"/>
        <v>正常订单</v>
      </c>
      <c r="I9691" s="1" t="str">
        <f t="shared" si="2654"/>
        <v>已发货</v>
      </c>
      <c r="J9691" s="1" t="str">
        <f t="shared" si="2656"/>
        <v>2</v>
      </c>
      <c r="K9691" s="1">
        <v>1</v>
      </c>
      <c r="L9691" s="1" t="s">
        <v>18</v>
      </c>
      <c r="M9691" s="1" t="str">
        <f>"广东省 惠州市 博罗县 龙华镇"</f>
        <v>广东省 惠州市 博罗县 龙华镇</v>
      </c>
      <c r="N9691" s="1" t="str">
        <f t="shared" si="2658"/>
        <v>凡华云仓-韵达-抖音</v>
      </c>
      <c r="O9691" s="5">
        <v>320156906927975</v>
      </c>
      <c r="P9691" s="6">
        <v>0.33</v>
      </c>
      <c r="Q9691" s="11">
        <v>2.2999999999999998</v>
      </c>
      <c r="R9691" s="11"/>
      <c r="S9691" s="11"/>
      <c r="T9691" s="11"/>
      <c r="U9691" s="11">
        <f t="shared" si="2655"/>
        <v>2.2999999999999998</v>
      </c>
      <c r="W9691">
        <v>2.5</v>
      </c>
      <c r="X9691" s="1" t="s">
        <v>18</v>
      </c>
    </row>
    <row r="9692" spans="1:24" x14ac:dyDescent="0.25">
      <c r="A9692" s="1" t="str">
        <f t="shared" si="2651"/>
        <v>卡卡杜-凤凰仓</v>
      </c>
      <c r="B9692" s="1" t="str">
        <f>"CK2024100518539"</f>
        <v>CK2024100518539</v>
      </c>
      <c r="C9692" s="1" t="str">
        <f>"DD2024100549685"</f>
        <v>DD2024100549685</v>
      </c>
      <c r="D9692" s="1" t="str">
        <f>"CK2024100542496"</f>
        <v>CK2024100542496</v>
      </c>
      <c r="E9692" s="1" t="str">
        <f>"6917830754439102342"</f>
        <v>6917830754439102342</v>
      </c>
      <c r="F9692" s="1" t="str">
        <f t="shared" si="2652"/>
        <v>花都四部-凤凰仓</v>
      </c>
      <c r="G9692" s="1" t="str">
        <f t="shared" si="2657"/>
        <v>卡卡杜个人护理店（抖店）</v>
      </c>
      <c r="H9692" s="1" t="str">
        <f t="shared" si="2653"/>
        <v>正常订单</v>
      </c>
      <c r="I9692" s="1" t="str">
        <f t="shared" si="2654"/>
        <v>已发货</v>
      </c>
      <c r="J9692" s="1" t="str">
        <f t="shared" si="2656"/>
        <v>2</v>
      </c>
      <c r="K9692" s="1">
        <v>1</v>
      </c>
      <c r="L9692" s="1" t="s">
        <v>44</v>
      </c>
      <c r="M9692" s="1" t="str">
        <f>"海南省 海口市 龙华区 海垦街道"</f>
        <v>海南省 海口市 龙华区 海垦街道</v>
      </c>
      <c r="N9692" s="1" t="str">
        <f t="shared" si="2658"/>
        <v>凡华云仓-韵达-抖音</v>
      </c>
      <c r="O9692" s="5">
        <v>320156906927870</v>
      </c>
      <c r="P9692" s="6">
        <v>0.33</v>
      </c>
      <c r="Q9692" s="11">
        <v>2.2999999999999998</v>
      </c>
      <c r="R9692" s="11"/>
      <c r="S9692" s="11"/>
      <c r="T9692" s="11"/>
      <c r="U9692" s="11">
        <f t="shared" si="2655"/>
        <v>2.2999999999999998</v>
      </c>
      <c r="W9692">
        <v>2.5</v>
      </c>
      <c r="X9692" s="1" t="s">
        <v>44</v>
      </c>
    </row>
    <row r="9693" spans="1:24" x14ac:dyDescent="0.25">
      <c r="A9693" s="1" t="str">
        <f t="shared" si="2651"/>
        <v>卡卡杜-凤凰仓</v>
      </c>
      <c r="B9693" s="1" t="str">
        <f>"CK2024100518540"</f>
        <v>CK2024100518540</v>
      </c>
      <c r="C9693" s="1" t="str">
        <f>"DD2024100549686"</f>
        <v>DD2024100549686</v>
      </c>
      <c r="D9693" s="1" t="str">
        <f>"CK2024100542495"</f>
        <v>CK2024100542495</v>
      </c>
      <c r="E9693" s="1" t="str">
        <f>"6917832994608938685"</f>
        <v>6917832994608938685</v>
      </c>
      <c r="F9693" s="1" t="str">
        <f t="shared" si="2652"/>
        <v>花都四部-凤凰仓</v>
      </c>
      <c r="G9693" s="1" t="str">
        <f t="shared" si="2657"/>
        <v>卡卡杜个人护理店（抖店）</v>
      </c>
      <c r="H9693" s="1" t="str">
        <f t="shared" si="2653"/>
        <v>正常订单</v>
      </c>
      <c r="I9693" s="1" t="str">
        <f t="shared" si="2654"/>
        <v>已发货</v>
      </c>
      <c r="J9693" s="1" t="str">
        <f t="shared" si="2656"/>
        <v>2</v>
      </c>
      <c r="K9693" s="1">
        <v>1</v>
      </c>
      <c r="L9693" s="1" t="s">
        <v>44</v>
      </c>
      <c r="M9693" s="1" t="str">
        <f>"海南省 文昌市 文昌市 昌洒镇"</f>
        <v>海南省 文昌市 文昌市 昌洒镇</v>
      </c>
      <c r="N9693" s="1" t="str">
        <f t="shared" si="2658"/>
        <v>凡华云仓-韵达-抖音</v>
      </c>
      <c r="O9693" s="5">
        <v>320156906927767</v>
      </c>
      <c r="P9693" s="6">
        <v>0.33</v>
      </c>
      <c r="Q9693" s="11">
        <v>2.2999999999999998</v>
      </c>
      <c r="R9693" s="11"/>
      <c r="S9693" s="11"/>
      <c r="T9693" s="11"/>
      <c r="U9693" s="11">
        <f t="shared" si="2655"/>
        <v>2.2999999999999998</v>
      </c>
      <c r="W9693">
        <v>2.5</v>
      </c>
      <c r="X9693" s="1" t="s">
        <v>44</v>
      </c>
    </row>
    <row r="9694" spans="1:24" x14ac:dyDescent="0.25">
      <c r="A9694" s="1" t="str">
        <f t="shared" si="2651"/>
        <v>卡卡杜-凤凰仓</v>
      </c>
      <c r="B9694" s="1" t="str">
        <f>"CK2024100518541"</f>
        <v>CK2024100518541</v>
      </c>
      <c r="C9694" s="1" t="str">
        <f>"DD2024100549687"</f>
        <v>DD2024100549687</v>
      </c>
      <c r="D9694" s="1" t="str">
        <f>"CK2024100542494"</f>
        <v>CK2024100542494</v>
      </c>
      <c r="E9694" s="1" t="str">
        <f>"6917833017425231525"</f>
        <v>6917833017425231525</v>
      </c>
      <c r="F9694" s="1" t="str">
        <f t="shared" si="2652"/>
        <v>花都四部-凤凰仓</v>
      </c>
      <c r="G9694" s="1" t="str">
        <f t="shared" si="2657"/>
        <v>卡卡杜个人护理店（抖店）</v>
      </c>
      <c r="H9694" s="1" t="str">
        <f t="shared" si="2653"/>
        <v>正常订单</v>
      </c>
      <c r="I9694" s="1" t="str">
        <f t="shared" si="2654"/>
        <v>已发货</v>
      </c>
      <c r="J9694" s="1" t="str">
        <f t="shared" si="2656"/>
        <v>2</v>
      </c>
      <c r="K9694" s="1">
        <v>1</v>
      </c>
      <c r="L9694" s="1" t="s">
        <v>16</v>
      </c>
      <c r="M9694" s="1" t="str">
        <f>"河北省 保定市 徐水区 遂城镇"</f>
        <v>河北省 保定市 徐水区 遂城镇</v>
      </c>
      <c r="N9694" s="1" t="str">
        <f t="shared" si="2658"/>
        <v>凡华云仓-韵达-抖音</v>
      </c>
      <c r="O9694" s="5">
        <v>320156906927666</v>
      </c>
      <c r="P9694" s="6">
        <v>0.33</v>
      </c>
      <c r="Q9694" s="11">
        <v>2.2999999999999998</v>
      </c>
      <c r="R9694" s="11"/>
      <c r="S9694" s="11"/>
      <c r="T9694" s="11"/>
      <c r="U9694" s="11">
        <f t="shared" si="2655"/>
        <v>2.2999999999999998</v>
      </c>
      <c r="W9694">
        <v>2.5</v>
      </c>
      <c r="X9694" s="1" t="s">
        <v>16</v>
      </c>
    </row>
    <row r="9695" spans="1:24" x14ac:dyDescent="0.25">
      <c r="A9695" s="1" t="str">
        <f t="shared" si="2651"/>
        <v>卡卡杜-凤凰仓</v>
      </c>
      <c r="B9695" s="1" t="str">
        <f>"CK2024100518542"</f>
        <v>CK2024100518542</v>
      </c>
      <c r="C9695" s="1" t="str">
        <f>"DD2024100549689"</f>
        <v>DD2024100549689</v>
      </c>
      <c r="D9695" s="1" t="str">
        <f>"CK2024100542493"</f>
        <v>CK2024100542493</v>
      </c>
      <c r="E9695" s="1" t="str">
        <f>"6917834967219404223"</f>
        <v>6917834967219404223</v>
      </c>
      <c r="F9695" s="1" t="str">
        <f t="shared" si="2652"/>
        <v>花都四部-凤凰仓</v>
      </c>
      <c r="G9695" s="1" t="str">
        <f t="shared" si="2657"/>
        <v>卡卡杜个人护理店（抖店）</v>
      </c>
      <c r="H9695" s="1" t="str">
        <f t="shared" si="2653"/>
        <v>正常订单</v>
      </c>
      <c r="I9695" s="1" t="str">
        <f t="shared" si="2654"/>
        <v>已发货</v>
      </c>
      <c r="J9695" s="1" t="str">
        <f t="shared" si="2656"/>
        <v>2</v>
      </c>
      <c r="K9695" s="1">
        <v>1</v>
      </c>
      <c r="L9695" s="1" t="s">
        <v>18</v>
      </c>
      <c r="M9695" s="1" t="str">
        <f>"广东省 深圳市 光明区 马田街道"</f>
        <v>广东省 深圳市 光明区 马田街道</v>
      </c>
      <c r="N9695" s="1" t="str">
        <f t="shared" si="2658"/>
        <v>凡华云仓-韵达-抖音</v>
      </c>
      <c r="O9695" s="5">
        <v>320156906927567</v>
      </c>
      <c r="P9695" s="6">
        <v>0.33</v>
      </c>
      <c r="Q9695" s="11">
        <v>2.2999999999999998</v>
      </c>
      <c r="R9695" s="11"/>
      <c r="S9695" s="11"/>
      <c r="T9695" s="11"/>
      <c r="U9695" s="11">
        <f t="shared" si="2655"/>
        <v>2.2999999999999998</v>
      </c>
      <c r="W9695">
        <v>2.5</v>
      </c>
      <c r="X9695" s="1" t="s">
        <v>18</v>
      </c>
    </row>
    <row r="9696" spans="1:24" x14ac:dyDescent="0.25">
      <c r="A9696" s="1" t="str">
        <f t="shared" si="2651"/>
        <v>卡卡杜-凤凰仓</v>
      </c>
      <c r="B9696" s="1" t="str">
        <f>"CK2024100518543"</f>
        <v>CK2024100518543</v>
      </c>
      <c r="C9696" s="1" t="str">
        <f>"DD2024100549688"</f>
        <v>DD2024100549688</v>
      </c>
      <c r="D9696" s="1" t="str">
        <f>"CK2024100542492"</f>
        <v>CK2024100542492</v>
      </c>
      <c r="E9696" s="1" t="str">
        <f>"6917828344680250791"</f>
        <v>6917828344680250791</v>
      </c>
      <c r="F9696" s="1" t="str">
        <f t="shared" si="2652"/>
        <v>花都四部-凤凰仓</v>
      </c>
      <c r="G9696" s="1" t="str">
        <f t="shared" si="2657"/>
        <v>卡卡杜个人护理店（抖店）</v>
      </c>
      <c r="H9696" s="1" t="str">
        <f t="shared" si="2653"/>
        <v>正常订单</v>
      </c>
      <c r="I9696" s="1" t="str">
        <f t="shared" si="2654"/>
        <v>已发货</v>
      </c>
      <c r="J9696" s="1" t="str">
        <f t="shared" si="2656"/>
        <v>2</v>
      </c>
      <c r="K9696" s="1">
        <v>1</v>
      </c>
      <c r="L9696" s="1" t="s">
        <v>96</v>
      </c>
      <c r="M9696" s="1" t="str">
        <f>"广西壮族自治区 贺州市 平桂区 沙田镇"</f>
        <v>广西壮族自治区 贺州市 平桂区 沙田镇</v>
      </c>
      <c r="N9696" s="1" t="str">
        <f t="shared" si="2658"/>
        <v>凡华云仓-韵达-抖音</v>
      </c>
      <c r="O9696" s="5">
        <v>320156906927470</v>
      </c>
      <c r="P9696" s="6">
        <v>0.33</v>
      </c>
      <c r="Q9696" s="11">
        <v>2.2999999999999998</v>
      </c>
      <c r="R9696" s="11"/>
      <c r="S9696" s="11"/>
      <c r="T9696" s="11"/>
      <c r="U9696" s="11">
        <f t="shared" si="2655"/>
        <v>2.2999999999999998</v>
      </c>
      <c r="W9696">
        <v>2.5</v>
      </c>
      <c r="X9696" s="1" t="s">
        <v>96</v>
      </c>
    </row>
    <row r="9697" spans="1:24" x14ac:dyDescent="0.25">
      <c r="A9697" s="1" t="str">
        <f t="shared" si="2651"/>
        <v>卡卡杜-凤凰仓</v>
      </c>
      <c r="B9697" s="1" t="str">
        <f>"CK2024100518544"</f>
        <v>CK2024100518544</v>
      </c>
      <c r="C9697" s="1" t="str">
        <f>"DD2024100549690"</f>
        <v>DD2024100549690</v>
      </c>
      <c r="D9697" s="1" t="str">
        <f>"CK2024100542491"</f>
        <v>CK2024100542491</v>
      </c>
      <c r="E9697" s="1" t="str">
        <f>"6917833094706331116"</f>
        <v>6917833094706331116</v>
      </c>
      <c r="F9697" s="1" t="str">
        <f t="shared" si="2652"/>
        <v>花都四部-凤凰仓</v>
      </c>
      <c r="G9697" s="1" t="str">
        <f t="shared" si="2657"/>
        <v>卡卡杜个人护理店（抖店）</v>
      </c>
      <c r="H9697" s="1" t="str">
        <f t="shared" si="2653"/>
        <v>正常订单</v>
      </c>
      <c r="I9697" s="1" t="str">
        <f t="shared" si="2654"/>
        <v>已发货</v>
      </c>
      <c r="J9697" s="1" t="str">
        <f t="shared" si="2656"/>
        <v>2</v>
      </c>
      <c r="K9697" s="1">
        <v>1</v>
      </c>
      <c r="L9697" s="1" t="s">
        <v>22</v>
      </c>
      <c r="M9697" s="1" t="str">
        <f>"江西省 九江市 浔阳区 向阳街道"</f>
        <v>江西省 九江市 浔阳区 向阳街道</v>
      </c>
      <c r="N9697" s="1" t="str">
        <f t="shared" si="2658"/>
        <v>凡华云仓-韵达-抖音</v>
      </c>
      <c r="O9697" s="5">
        <v>320156906927375</v>
      </c>
      <c r="P9697" s="6">
        <v>0.33</v>
      </c>
      <c r="Q9697" s="11">
        <v>2.2999999999999998</v>
      </c>
      <c r="R9697" s="11"/>
      <c r="S9697" s="11"/>
      <c r="T9697" s="11"/>
      <c r="U9697" s="11">
        <f t="shared" si="2655"/>
        <v>2.2999999999999998</v>
      </c>
      <c r="W9697">
        <v>2.5</v>
      </c>
      <c r="X9697" s="1" t="s">
        <v>22</v>
      </c>
    </row>
    <row r="9698" spans="1:24" x14ac:dyDescent="0.25">
      <c r="A9698" s="1" t="str">
        <f t="shared" si="2651"/>
        <v>卡卡杜-凤凰仓</v>
      </c>
      <c r="B9698" s="1" t="str">
        <f>"CK2024100518545"</f>
        <v>CK2024100518545</v>
      </c>
      <c r="C9698" s="1" t="str">
        <f>"DD2024100549691"</f>
        <v>DD2024100549691</v>
      </c>
      <c r="D9698" s="1" t="str">
        <f>"CK2024100542490"</f>
        <v>CK2024100542490</v>
      </c>
      <c r="E9698" s="1" t="str">
        <f>"6917825697916353709"</f>
        <v>6917825697916353709</v>
      </c>
      <c r="F9698" s="1" t="str">
        <f t="shared" si="2652"/>
        <v>花都四部-凤凰仓</v>
      </c>
      <c r="G9698" s="1" t="str">
        <f t="shared" si="2657"/>
        <v>卡卡杜个人护理店（抖店）</v>
      </c>
      <c r="H9698" s="1" t="str">
        <f t="shared" si="2653"/>
        <v>正常订单</v>
      </c>
      <c r="I9698" s="1" t="str">
        <f t="shared" si="2654"/>
        <v>已发货</v>
      </c>
      <c r="J9698" s="1" t="str">
        <f t="shared" si="2656"/>
        <v>2</v>
      </c>
      <c r="K9698" s="1">
        <v>1</v>
      </c>
      <c r="L9698" s="1" t="s">
        <v>18</v>
      </c>
      <c r="M9698" s="1" t="str">
        <f>"广东省 广州市 花都区 "</f>
        <v xml:space="preserve">广东省 广州市 花都区 </v>
      </c>
      <c r="N9698" s="1" t="str">
        <f t="shared" si="2658"/>
        <v>凡华云仓-韵达-抖音</v>
      </c>
      <c r="O9698" s="5">
        <v>320156906927282</v>
      </c>
      <c r="P9698" s="6">
        <v>0.33</v>
      </c>
      <c r="Q9698" s="11">
        <v>2.2999999999999998</v>
      </c>
      <c r="R9698" s="11"/>
      <c r="S9698" s="11"/>
      <c r="T9698" s="11"/>
      <c r="U9698" s="11">
        <f t="shared" si="2655"/>
        <v>2.2999999999999998</v>
      </c>
      <c r="W9698">
        <v>2.5</v>
      </c>
      <c r="X9698" s="1" t="s">
        <v>18</v>
      </c>
    </row>
    <row r="9699" spans="1:24" x14ac:dyDescent="0.25">
      <c r="A9699" s="1" t="str">
        <f t="shared" si="2651"/>
        <v>卡卡杜-凤凰仓</v>
      </c>
      <c r="B9699" s="1" t="str">
        <f>"CK2024100518546"</f>
        <v>CK2024100518546</v>
      </c>
      <c r="C9699" s="1" t="str">
        <f>"DD2024100549692"</f>
        <v>DD2024100549692</v>
      </c>
      <c r="D9699" s="1" t="str">
        <f>"CK2024100542489"</f>
        <v>CK2024100542489</v>
      </c>
      <c r="E9699" s="1" t="str">
        <f>"6917830657603632564"</f>
        <v>6917830657603632564</v>
      </c>
      <c r="F9699" s="1" t="str">
        <f t="shared" si="2652"/>
        <v>花都四部-凤凰仓</v>
      </c>
      <c r="G9699" s="1" t="str">
        <f t="shared" si="2657"/>
        <v>卡卡杜个人护理店（抖店）</v>
      </c>
      <c r="H9699" s="1" t="str">
        <f t="shared" si="2653"/>
        <v>正常订单</v>
      </c>
      <c r="I9699" s="1" t="str">
        <f t="shared" si="2654"/>
        <v>已发货</v>
      </c>
      <c r="J9699" s="1" t="str">
        <f t="shared" si="2656"/>
        <v>2</v>
      </c>
      <c r="K9699" s="1">
        <v>1</v>
      </c>
      <c r="L9699" s="1" t="s">
        <v>13</v>
      </c>
      <c r="M9699" s="1" t="str">
        <f>"江苏省 扬州市 高邮市 城南经济新区(车逻镇)"</f>
        <v>江苏省 扬州市 高邮市 城南经济新区(车逻镇)</v>
      </c>
      <c r="N9699" s="1" t="str">
        <f t="shared" si="2658"/>
        <v>凡华云仓-韵达-抖音</v>
      </c>
      <c r="O9699" s="5">
        <v>320156920065794</v>
      </c>
      <c r="P9699" s="6">
        <v>0.33</v>
      </c>
      <c r="Q9699" s="11">
        <v>2.2999999999999998</v>
      </c>
      <c r="R9699" s="11"/>
      <c r="S9699" s="11"/>
      <c r="T9699" s="11"/>
      <c r="U9699" s="11">
        <f t="shared" si="2655"/>
        <v>2.2999999999999998</v>
      </c>
      <c r="W9699">
        <v>2.5</v>
      </c>
      <c r="X9699" s="1" t="s">
        <v>13</v>
      </c>
    </row>
    <row r="9700" spans="1:24" x14ac:dyDescent="0.25">
      <c r="A9700" s="1" t="str">
        <f t="shared" si="2651"/>
        <v>卡卡杜-凤凰仓</v>
      </c>
      <c r="B9700" s="1" t="str">
        <f>"CK2024100518547"</f>
        <v>CK2024100518547</v>
      </c>
      <c r="C9700" s="1" t="str">
        <f>"DD2024100549693"</f>
        <v>DD2024100549693</v>
      </c>
      <c r="D9700" s="1" t="str">
        <f>"CK2024100542488"</f>
        <v>CK2024100542488</v>
      </c>
      <c r="E9700" s="1" t="str">
        <f>"6917834995124698467"</f>
        <v>6917834995124698467</v>
      </c>
      <c r="F9700" s="1" t="str">
        <f t="shared" si="2652"/>
        <v>花都四部-凤凰仓</v>
      </c>
      <c r="G9700" s="1" t="str">
        <f t="shared" si="2657"/>
        <v>卡卡杜个人护理店（抖店）</v>
      </c>
      <c r="H9700" s="1" t="str">
        <f t="shared" si="2653"/>
        <v>正常订单</v>
      </c>
      <c r="I9700" s="1" t="str">
        <f t="shared" si="2654"/>
        <v>已发货</v>
      </c>
      <c r="J9700" s="1" t="str">
        <f t="shared" si="2656"/>
        <v>2</v>
      </c>
      <c r="K9700" s="1">
        <v>1</v>
      </c>
      <c r="L9700" s="1" t="s">
        <v>96</v>
      </c>
      <c r="M9700" s="1" t="str">
        <f>"广西壮族自治区 梧州市 岑溪市 大隆镇"</f>
        <v>广西壮族自治区 梧州市 岑溪市 大隆镇</v>
      </c>
      <c r="N9700" s="1" t="str">
        <f t="shared" si="2658"/>
        <v>凡华云仓-韵达-抖音</v>
      </c>
      <c r="O9700" s="5">
        <v>320156920065693</v>
      </c>
      <c r="P9700" s="6">
        <v>0.33</v>
      </c>
      <c r="Q9700" s="11">
        <v>2.2999999999999998</v>
      </c>
      <c r="R9700" s="11"/>
      <c r="S9700" s="11"/>
      <c r="T9700" s="11"/>
      <c r="U9700" s="11">
        <f t="shared" si="2655"/>
        <v>2.2999999999999998</v>
      </c>
      <c r="W9700">
        <v>2.5</v>
      </c>
      <c r="X9700" s="1" t="s">
        <v>96</v>
      </c>
    </row>
    <row r="9701" spans="1:24" x14ac:dyDescent="0.25">
      <c r="A9701" s="1" t="str">
        <f t="shared" si="2651"/>
        <v>卡卡杜-凤凰仓</v>
      </c>
      <c r="B9701" s="1" t="str">
        <f>"CK2024100518548"</f>
        <v>CK2024100518548</v>
      </c>
      <c r="C9701" s="1" t="str">
        <f>"DD2024100549694"</f>
        <v>DD2024100549694</v>
      </c>
      <c r="D9701" s="1" t="str">
        <f>"CK2024100542487"</f>
        <v>CK2024100542487</v>
      </c>
      <c r="E9701" s="1" t="str">
        <f>"6917825972009991626"</f>
        <v>6917825972009991626</v>
      </c>
      <c r="F9701" s="1" t="str">
        <f t="shared" si="2652"/>
        <v>花都四部-凤凰仓</v>
      </c>
      <c r="G9701" s="1" t="str">
        <f t="shared" si="2657"/>
        <v>卡卡杜个人护理店（抖店）</v>
      </c>
      <c r="H9701" s="1" t="str">
        <f t="shared" si="2653"/>
        <v>正常订单</v>
      </c>
      <c r="I9701" s="1" t="str">
        <f t="shared" si="2654"/>
        <v>已发货</v>
      </c>
      <c r="J9701" s="1" t="str">
        <f t="shared" si="2656"/>
        <v>2</v>
      </c>
      <c r="K9701" s="1">
        <v>1</v>
      </c>
      <c r="L9701" s="1" t="s">
        <v>18</v>
      </c>
      <c r="M9701" s="1" t="str">
        <f>"广东省 东莞市 东莞市 黄江镇"</f>
        <v>广东省 东莞市 东莞市 黄江镇</v>
      </c>
      <c r="N9701" s="1" t="str">
        <f t="shared" si="2658"/>
        <v>凡华云仓-韵达-抖音</v>
      </c>
      <c r="O9701" s="5">
        <v>320156920065594</v>
      </c>
      <c r="P9701" s="6">
        <v>0.33</v>
      </c>
      <c r="Q9701" s="11">
        <v>2.2999999999999998</v>
      </c>
      <c r="R9701" s="11"/>
      <c r="S9701" s="11"/>
      <c r="T9701" s="11"/>
      <c r="U9701" s="11">
        <f t="shared" si="2655"/>
        <v>2.2999999999999998</v>
      </c>
      <c r="W9701">
        <v>2.5</v>
      </c>
      <c r="X9701" s="1" t="s">
        <v>18</v>
      </c>
    </row>
    <row r="9702" spans="1:24" x14ac:dyDescent="0.25">
      <c r="A9702" s="1" t="str">
        <f t="shared" si="2651"/>
        <v>卡卡杜-凤凰仓</v>
      </c>
      <c r="B9702" s="1" t="str">
        <f>"CK2024100518549"</f>
        <v>CK2024100518549</v>
      </c>
      <c r="C9702" s="1" t="str">
        <f>"DD2024100549695"</f>
        <v>DD2024100549695</v>
      </c>
      <c r="D9702" s="1" t="str">
        <f>"CK2024100542486"</f>
        <v>CK2024100542486</v>
      </c>
      <c r="E9702" s="1" t="str">
        <f>"6917825572044242274"</f>
        <v>6917825572044242274</v>
      </c>
      <c r="F9702" s="1" t="str">
        <f t="shared" si="2652"/>
        <v>花都四部-凤凰仓</v>
      </c>
      <c r="G9702" s="1" t="str">
        <f t="shared" si="2657"/>
        <v>卡卡杜个人护理店（抖店）</v>
      </c>
      <c r="H9702" s="1" t="str">
        <f t="shared" si="2653"/>
        <v>正常订单</v>
      </c>
      <c r="I9702" s="1" t="str">
        <f t="shared" si="2654"/>
        <v>已发货</v>
      </c>
      <c r="J9702" s="1" t="str">
        <f t="shared" si="2656"/>
        <v>2</v>
      </c>
      <c r="K9702" s="1">
        <v>1</v>
      </c>
      <c r="L9702" s="1" t="s">
        <v>96</v>
      </c>
      <c r="M9702" s="1" t="str">
        <f>"广西壮族自治区 钦州市 钦北区 板城镇"</f>
        <v>广西壮族自治区 钦州市 钦北区 板城镇</v>
      </c>
      <c r="N9702" s="1" t="str">
        <f t="shared" si="2658"/>
        <v>凡华云仓-韵达-抖音</v>
      </c>
      <c r="O9702" s="5">
        <v>320156920065497</v>
      </c>
      <c r="P9702" s="6">
        <v>0.33</v>
      </c>
      <c r="Q9702" s="11">
        <v>2.2999999999999998</v>
      </c>
      <c r="R9702" s="11"/>
      <c r="S9702" s="11"/>
      <c r="T9702" s="11"/>
      <c r="U9702" s="11">
        <f t="shared" si="2655"/>
        <v>2.2999999999999998</v>
      </c>
      <c r="W9702">
        <v>2.5</v>
      </c>
      <c r="X9702" s="1" t="s">
        <v>96</v>
      </c>
    </row>
    <row r="9703" spans="1:24" x14ac:dyDescent="0.25">
      <c r="A9703" s="1" t="str">
        <f t="shared" si="2651"/>
        <v>卡卡杜-凤凰仓</v>
      </c>
      <c r="B9703" s="1" t="str">
        <f>"CK2024100518550"</f>
        <v>CK2024100518550</v>
      </c>
      <c r="C9703" s="1" t="str">
        <f>"DD2024100549697"</f>
        <v>DD2024100549697</v>
      </c>
      <c r="D9703" s="1" t="str">
        <f>"CK2024100542485"</f>
        <v>CK2024100542485</v>
      </c>
      <c r="E9703" s="1" t="str">
        <f>"6917830426543095728"</f>
        <v>6917830426543095728</v>
      </c>
      <c r="F9703" s="1" t="str">
        <f t="shared" si="2652"/>
        <v>花都四部-凤凰仓</v>
      </c>
      <c r="G9703" s="1" t="str">
        <f t="shared" si="2657"/>
        <v>卡卡杜个人护理店（抖店）</v>
      </c>
      <c r="H9703" s="1" t="str">
        <f t="shared" si="2653"/>
        <v>正常订单</v>
      </c>
      <c r="I9703" s="1" t="str">
        <f t="shared" si="2654"/>
        <v>已发货</v>
      </c>
      <c r="J9703" s="1" t="str">
        <f t="shared" si="2656"/>
        <v>2</v>
      </c>
      <c r="K9703" s="1">
        <v>1</v>
      </c>
      <c r="L9703" s="1" t="s">
        <v>36</v>
      </c>
      <c r="M9703" s="1" t="str">
        <f>"安徽省 六安市 裕安区 平桥乡"</f>
        <v>安徽省 六安市 裕安区 平桥乡</v>
      </c>
      <c r="N9703" s="1" t="str">
        <f t="shared" si="2658"/>
        <v>凡华云仓-韵达-抖音</v>
      </c>
      <c r="O9703" s="5">
        <v>320156920065302</v>
      </c>
      <c r="P9703" s="6">
        <v>0.33</v>
      </c>
      <c r="Q9703" s="11">
        <v>2.2999999999999998</v>
      </c>
      <c r="R9703" s="11"/>
      <c r="S9703" s="11"/>
      <c r="T9703" s="11"/>
      <c r="U9703" s="11">
        <f t="shared" si="2655"/>
        <v>2.2999999999999998</v>
      </c>
      <c r="W9703">
        <v>2.5</v>
      </c>
      <c r="X9703" s="1" t="s">
        <v>36</v>
      </c>
    </row>
    <row r="9704" spans="1:24" x14ac:dyDescent="0.25">
      <c r="A9704" s="1" t="str">
        <f t="shared" si="2651"/>
        <v>卡卡杜-凤凰仓</v>
      </c>
      <c r="B9704" s="1" t="str">
        <f>"CK2024100518552"</f>
        <v>CK2024100518552</v>
      </c>
      <c r="C9704" s="1" t="str">
        <f>"DD2024100549698"</f>
        <v>DD2024100549698</v>
      </c>
      <c r="D9704" s="1" t="str">
        <f>"CK2024100542484"</f>
        <v>CK2024100542484</v>
      </c>
      <c r="E9704" s="1" t="str">
        <f>"6917828164404936118"</f>
        <v>6917828164404936118</v>
      </c>
      <c r="F9704" s="1" t="str">
        <f t="shared" si="2652"/>
        <v>花都四部-凤凰仓</v>
      </c>
      <c r="G9704" s="1" t="str">
        <f t="shared" si="2657"/>
        <v>卡卡杜个人护理店（抖店）</v>
      </c>
      <c r="H9704" s="1" t="str">
        <f t="shared" si="2653"/>
        <v>正常订单</v>
      </c>
      <c r="I9704" s="1" t="str">
        <f t="shared" si="2654"/>
        <v>已发货</v>
      </c>
      <c r="J9704" s="1" t="str">
        <f t="shared" si="2656"/>
        <v>2</v>
      </c>
      <c r="K9704" s="1">
        <v>1</v>
      </c>
      <c r="L9704" s="1" t="s">
        <v>20</v>
      </c>
      <c r="M9704" s="1" t="str">
        <f>"浙江省 绍兴市 柯桥区 柯桥街道"</f>
        <v>浙江省 绍兴市 柯桥区 柯桥街道</v>
      </c>
      <c r="N9704" s="1" t="str">
        <f t="shared" si="2658"/>
        <v>凡华云仓-韵达-抖音</v>
      </c>
      <c r="O9704" s="5">
        <v>320156920065209</v>
      </c>
      <c r="P9704" s="6">
        <v>0.33</v>
      </c>
      <c r="Q9704" s="11">
        <v>2.2999999999999998</v>
      </c>
      <c r="R9704" s="11"/>
      <c r="S9704" s="11"/>
      <c r="T9704" s="11"/>
      <c r="U9704" s="11">
        <f t="shared" si="2655"/>
        <v>2.2999999999999998</v>
      </c>
      <c r="W9704">
        <v>2.5</v>
      </c>
      <c r="X9704" s="1" t="s">
        <v>20</v>
      </c>
    </row>
    <row r="9705" spans="1:24" x14ac:dyDescent="0.25">
      <c r="A9705" s="1" t="str">
        <f t="shared" si="2651"/>
        <v>卡卡杜-凤凰仓</v>
      </c>
      <c r="B9705" s="1" t="str">
        <f>"CK2024100518551"</f>
        <v>CK2024100518551</v>
      </c>
      <c r="C9705" s="1" t="str">
        <f>"DD2024100549696"</f>
        <v>DD2024100549696</v>
      </c>
      <c r="D9705" s="1" t="str">
        <f>"CK2024100542483"</f>
        <v>CK2024100542483</v>
      </c>
      <c r="E9705" s="1" t="str">
        <f>"6917830579734937205"</f>
        <v>6917830579734937205</v>
      </c>
      <c r="F9705" s="1" t="str">
        <f t="shared" si="2652"/>
        <v>花都四部-凤凰仓</v>
      </c>
      <c r="G9705" s="1" t="str">
        <f t="shared" si="2657"/>
        <v>卡卡杜个人护理店（抖店）</v>
      </c>
      <c r="H9705" s="1" t="str">
        <f t="shared" si="2653"/>
        <v>正常订单</v>
      </c>
      <c r="I9705" s="1" t="str">
        <f t="shared" si="2654"/>
        <v>已发货</v>
      </c>
      <c r="J9705" s="1" t="str">
        <f t="shared" si="2656"/>
        <v>2</v>
      </c>
      <c r="K9705" s="1">
        <v>1</v>
      </c>
      <c r="L9705" s="1" t="s">
        <v>41</v>
      </c>
      <c r="M9705" s="1" t="str">
        <f>"湖北省 荆门市 沙洋县 "</f>
        <v xml:space="preserve">湖北省 荆门市 沙洋县 </v>
      </c>
      <c r="N9705" s="1" t="str">
        <f t="shared" si="2658"/>
        <v>凡华云仓-韵达-抖音</v>
      </c>
      <c r="O9705" s="5">
        <v>320156920065118</v>
      </c>
      <c r="P9705" s="6">
        <v>0.33</v>
      </c>
      <c r="Q9705" s="11">
        <v>2.2999999999999998</v>
      </c>
      <c r="R9705" s="11"/>
      <c r="S9705" s="11"/>
      <c r="T9705" s="11"/>
      <c r="U9705" s="11">
        <f t="shared" si="2655"/>
        <v>2.2999999999999998</v>
      </c>
      <c r="W9705">
        <v>2.5</v>
      </c>
      <c r="X9705" s="1" t="s">
        <v>41</v>
      </c>
    </row>
    <row r="9706" spans="1:24" x14ac:dyDescent="0.25">
      <c r="A9706" s="1" t="str">
        <f t="shared" si="2651"/>
        <v>卡卡杜-凤凰仓</v>
      </c>
      <c r="B9706" s="1" t="str">
        <f>"CK2024100518553"</f>
        <v>CK2024100518553</v>
      </c>
      <c r="C9706" s="1" t="str">
        <f>"DD2024100549699"</f>
        <v>DD2024100549699</v>
      </c>
      <c r="D9706" s="1" t="str">
        <f>"CK2024100542482"</f>
        <v>CK2024100542482</v>
      </c>
      <c r="E9706" s="1" t="str">
        <f>"6917835289506643473"</f>
        <v>6917835289506643473</v>
      </c>
      <c r="F9706" s="1" t="str">
        <f t="shared" si="2652"/>
        <v>花都四部-凤凰仓</v>
      </c>
      <c r="G9706" s="1" t="str">
        <f t="shared" si="2657"/>
        <v>卡卡杜个人护理店（抖店）</v>
      </c>
      <c r="H9706" s="1" t="str">
        <f t="shared" si="2653"/>
        <v>正常订单</v>
      </c>
      <c r="I9706" s="1" t="str">
        <f t="shared" si="2654"/>
        <v>已发货</v>
      </c>
      <c r="J9706" s="1" t="str">
        <f t="shared" si="2656"/>
        <v>2</v>
      </c>
      <c r="K9706" s="1">
        <v>1</v>
      </c>
      <c r="L9706" s="1" t="s">
        <v>18</v>
      </c>
      <c r="M9706" s="1" t="str">
        <f>"广东省 惠州市 惠城区 桥东街道"</f>
        <v>广东省 惠州市 惠城区 桥东街道</v>
      </c>
      <c r="N9706" s="1" t="str">
        <f t="shared" si="2658"/>
        <v>凡华云仓-韵达-抖音</v>
      </c>
      <c r="O9706" s="5">
        <v>320156920065029</v>
      </c>
      <c r="P9706" s="6">
        <v>0.33</v>
      </c>
      <c r="Q9706" s="11">
        <v>2.2999999999999998</v>
      </c>
      <c r="R9706" s="11"/>
      <c r="S9706" s="11"/>
      <c r="T9706" s="11"/>
      <c r="U9706" s="11">
        <f t="shared" si="2655"/>
        <v>2.2999999999999998</v>
      </c>
      <c r="W9706">
        <v>2.5</v>
      </c>
      <c r="X9706" s="1" t="s">
        <v>18</v>
      </c>
    </row>
    <row r="9707" spans="1:24" x14ac:dyDescent="0.25">
      <c r="A9707" s="1" t="str">
        <f t="shared" ref="A9707:A9770" si="2659">"卡卡杜-凤凰仓"</f>
        <v>卡卡杜-凤凰仓</v>
      </c>
      <c r="B9707" s="1" t="str">
        <f>"CK2024100518555"</f>
        <v>CK2024100518555</v>
      </c>
      <c r="C9707" s="1" t="str">
        <f>"DD2024100549700"</f>
        <v>DD2024100549700</v>
      </c>
      <c r="D9707" s="1" t="str">
        <f>"CK2024100542481"</f>
        <v>CK2024100542481</v>
      </c>
      <c r="E9707" s="1" t="str">
        <f>"6917825862139346115"</f>
        <v>6917825862139346115</v>
      </c>
      <c r="F9707" s="1" t="str">
        <f t="shared" ref="F9707:F9770" si="2660">"花都四部-凤凰仓"</f>
        <v>花都四部-凤凰仓</v>
      </c>
      <c r="G9707" s="1" t="str">
        <f t="shared" si="2657"/>
        <v>卡卡杜个人护理店（抖店）</v>
      </c>
      <c r="H9707" s="1" t="str">
        <f t="shared" ref="H9707:H9770" si="2661">"正常订单"</f>
        <v>正常订单</v>
      </c>
      <c r="I9707" s="1" t="str">
        <f t="shared" ref="I9707:I9770" si="2662">"已发货"</f>
        <v>已发货</v>
      </c>
      <c r="J9707" s="1" t="str">
        <f t="shared" si="2656"/>
        <v>2</v>
      </c>
      <c r="K9707" s="1">
        <v>1</v>
      </c>
      <c r="L9707" s="1" t="s">
        <v>18</v>
      </c>
      <c r="M9707" s="1" t="str">
        <f>"广东省 东莞市 东莞市 黄江镇"</f>
        <v>广东省 东莞市 东莞市 黄江镇</v>
      </c>
      <c r="N9707" s="1" t="str">
        <f t="shared" si="2658"/>
        <v>凡华云仓-韵达-抖音</v>
      </c>
      <c r="O9707" s="5">
        <v>320156920064905</v>
      </c>
      <c r="P9707" s="6">
        <v>0.33</v>
      </c>
      <c r="Q9707" s="11">
        <v>2.2999999999999998</v>
      </c>
      <c r="R9707" s="11"/>
      <c r="S9707" s="11"/>
      <c r="T9707" s="11"/>
      <c r="U9707" s="11">
        <f t="shared" si="2655"/>
        <v>2.2999999999999998</v>
      </c>
      <c r="W9707">
        <v>2.5</v>
      </c>
      <c r="X9707" s="1" t="s">
        <v>18</v>
      </c>
    </row>
    <row r="9708" spans="1:24" x14ac:dyDescent="0.25">
      <c r="A9708" s="1" t="str">
        <f t="shared" si="2659"/>
        <v>卡卡杜-凤凰仓</v>
      </c>
      <c r="B9708" s="1" t="str">
        <f>"CK2024100518562"</f>
        <v>CK2024100518562</v>
      </c>
      <c r="C9708" s="1" t="str">
        <f>"DD2024100549701"</f>
        <v>DD2024100549701</v>
      </c>
      <c r="D9708" s="1" t="str">
        <f>"CK2024100542480"</f>
        <v>CK2024100542480</v>
      </c>
      <c r="E9708" s="1" t="str">
        <f>"6917828278838197356"</f>
        <v>6917828278838197356</v>
      </c>
      <c r="F9708" s="1" t="str">
        <f t="shared" si="2660"/>
        <v>花都四部-凤凰仓</v>
      </c>
      <c r="G9708" s="1" t="str">
        <f t="shared" si="2657"/>
        <v>卡卡杜个人护理店（抖店）</v>
      </c>
      <c r="H9708" s="1" t="str">
        <f t="shared" si="2661"/>
        <v>正常订单</v>
      </c>
      <c r="I9708" s="1" t="str">
        <f t="shared" si="2662"/>
        <v>已发货</v>
      </c>
      <c r="J9708" s="1" t="str">
        <f t="shared" si="2656"/>
        <v>2</v>
      </c>
      <c r="K9708" s="1">
        <v>1</v>
      </c>
      <c r="L9708" s="1" t="s">
        <v>13</v>
      </c>
      <c r="M9708" s="1" t="str">
        <f>"江苏省 苏州市 相城区 黄埭镇"</f>
        <v>江苏省 苏州市 相城区 黄埭镇</v>
      </c>
      <c r="N9708" s="1" t="str">
        <f t="shared" si="2658"/>
        <v>凡华云仓-韵达-抖音</v>
      </c>
      <c r="O9708" s="5">
        <v>320156920064800</v>
      </c>
      <c r="P9708" s="6">
        <v>0.33</v>
      </c>
      <c r="Q9708" s="11">
        <v>2.2999999999999998</v>
      </c>
      <c r="R9708" s="11"/>
      <c r="S9708" s="11"/>
      <c r="T9708" s="11"/>
      <c r="U9708" s="11">
        <f t="shared" si="2655"/>
        <v>2.2999999999999998</v>
      </c>
      <c r="W9708">
        <v>2.5</v>
      </c>
      <c r="X9708" s="1" t="s">
        <v>13</v>
      </c>
    </row>
    <row r="9709" spans="1:24" x14ac:dyDescent="0.25">
      <c r="A9709" s="1" t="str">
        <f t="shared" si="2659"/>
        <v>卡卡杜-凤凰仓</v>
      </c>
      <c r="B9709" s="1" t="str">
        <f>"CK2024100518563"</f>
        <v>CK2024100518563</v>
      </c>
      <c r="C9709" s="1" t="str">
        <f>"DD2024100549702"</f>
        <v>DD2024100549702</v>
      </c>
      <c r="D9709" s="1" t="str">
        <f>"CK2024100542479"</f>
        <v>CK2024100542479</v>
      </c>
      <c r="E9709" s="1" t="str">
        <f>"6917835056367894356"</f>
        <v>6917835056367894356</v>
      </c>
      <c r="F9709" s="1" t="str">
        <f t="shared" si="2660"/>
        <v>花都四部-凤凰仓</v>
      </c>
      <c r="G9709" s="1" t="str">
        <f t="shared" si="2657"/>
        <v>卡卡杜个人护理店（抖店）</v>
      </c>
      <c r="H9709" s="1" t="str">
        <f t="shared" si="2661"/>
        <v>正常订单</v>
      </c>
      <c r="I9709" s="1" t="str">
        <f t="shared" si="2662"/>
        <v>已发货</v>
      </c>
      <c r="J9709" s="1" t="str">
        <f t="shared" si="2656"/>
        <v>2</v>
      </c>
      <c r="K9709" s="1">
        <v>1</v>
      </c>
      <c r="L9709" s="1" t="s">
        <v>27</v>
      </c>
      <c r="M9709" s="1" t="str">
        <f>"贵州省 黔南布依族苗族自治州 瓮安县 "</f>
        <v xml:space="preserve">贵州省 黔南布依族苗族自治州 瓮安县 </v>
      </c>
      <c r="N9709" s="1" t="str">
        <f t="shared" si="2658"/>
        <v>凡华云仓-韵达-抖音</v>
      </c>
      <c r="O9709" s="5">
        <v>320156925011708</v>
      </c>
      <c r="P9709" s="6">
        <v>0.33</v>
      </c>
      <c r="Q9709" s="11">
        <v>2.2999999999999998</v>
      </c>
      <c r="R9709" s="11"/>
      <c r="S9709" s="11"/>
      <c r="T9709" s="11"/>
      <c r="U9709" s="11">
        <f t="shared" si="2655"/>
        <v>2.2999999999999998</v>
      </c>
      <c r="W9709">
        <v>2.5</v>
      </c>
      <c r="X9709" s="1" t="s">
        <v>27</v>
      </c>
    </row>
    <row r="9710" spans="1:24" x14ac:dyDescent="0.25">
      <c r="A9710" s="1" t="str">
        <f t="shared" si="2659"/>
        <v>卡卡杜-凤凰仓</v>
      </c>
      <c r="B9710" s="1" t="str">
        <f>"CK2024100518564"</f>
        <v>CK2024100518564</v>
      </c>
      <c r="C9710" s="1" t="str">
        <f>"DD2024100549703"</f>
        <v>DD2024100549703</v>
      </c>
      <c r="D9710" s="1" t="str">
        <f>"CK2024100542478"</f>
        <v>CK2024100542478</v>
      </c>
      <c r="E9710" s="1" t="str">
        <f>"6917825977842630428"</f>
        <v>6917825977842630428</v>
      </c>
      <c r="F9710" s="1" t="str">
        <f t="shared" si="2660"/>
        <v>花都四部-凤凰仓</v>
      </c>
      <c r="G9710" s="1" t="str">
        <f t="shared" si="2657"/>
        <v>卡卡杜个人护理店（抖店）</v>
      </c>
      <c r="H9710" s="1" t="str">
        <f t="shared" si="2661"/>
        <v>正常订单</v>
      </c>
      <c r="I9710" s="1" t="str">
        <f t="shared" si="2662"/>
        <v>已发货</v>
      </c>
      <c r="J9710" s="1" t="str">
        <f t="shared" si="2656"/>
        <v>2</v>
      </c>
      <c r="K9710" s="1">
        <v>1</v>
      </c>
      <c r="L9710" s="1" t="s">
        <v>20</v>
      </c>
      <c r="M9710" s="1" t="str">
        <f>"浙江省 杭州市 上城区 采荷街道"</f>
        <v>浙江省 杭州市 上城区 采荷街道</v>
      </c>
      <c r="N9710" s="1" t="str">
        <f t="shared" si="2658"/>
        <v>凡华云仓-韵达-抖音</v>
      </c>
      <c r="O9710" s="5">
        <v>320156925011607</v>
      </c>
      <c r="P9710" s="6">
        <v>0.33</v>
      </c>
      <c r="Q9710" s="11">
        <v>2.2999999999999998</v>
      </c>
      <c r="R9710" s="11"/>
      <c r="S9710" s="11"/>
      <c r="T9710" s="11"/>
      <c r="U9710" s="11">
        <f t="shared" si="2655"/>
        <v>2.2999999999999998</v>
      </c>
      <c r="W9710">
        <v>2.5</v>
      </c>
      <c r="X9710" s="1" t="s">
        <v>20</v>
      </c>
    </row>
    <row r="9711" spans="1:24" x14ac:dyDescent="0.25">
      <c r="A9711" s="1" t="str">
        <f t="shared" si="2659"/>
        <v>卡卡杜-凤凰仓</v>
      </c>
      <c r="B9711" s="1" t="str">
        <f>"CK2024100614262"</f>
        <v>CK2024100614262</v>
      </c>
      <c r="C9711" s="1" t="str">
        <f>"DD2024100644485"</f>
        <v>DD2024100644485</v>
      </c>
      <c r="D9711" s="1" t="str">
        <f>"CK2024100640768"</f>
        <v>CK2024100640768</v>
      </c>
      <c r="E9711" s="1" t="str">
        <f>"6917861348502896203"</f>
        <v>6917861348502896203</v>
      </c>
      <c r="F9711" s="1" t="str">
        <f t="shared" si="2660"/>
        <v>花都四部-凤凰仓</v>
      </c>
      <c r="G9711" s="1" t="str">
        <f t="shared" si="2657"/>
        <v>卡卡杜个人护理店（抖店）</v>
      </c>
      <c r="H9711" s="1" t="str">
        <f t="shared" si="2661"/>
        <v>正常订单</v>
      </c>
      <c r="I9711" s="1" t="str">
        <f t="shared" si="2662"/>
        <v>已发货</v>
      </c>
      <c r="J9711" s="1" t="str">
        <f>"4"</f>
        <v>4</v>
      </c>
      <c r="K9711" s="1">
        <v>1</v>
      </c>
      <c r="L9711" s="1" t="s">
        <v>24</v>
      </c>
      <c r="M9711" s="1" t="str">
        <f>"福建省 南平市 建瓯市 瓯宁街道"</f>
        <v>福建省 南平市 建瓯市 瓯宁街道</v>
      </c>
      <c r="N9711" s="1" t="str">
        <f t="shared" si="2658"/>
        <v>凡华云仓-韵达-抖音</v>
      </c>
      <c r="O9711" s="5">
        <v>320158406099902</v>
      </c>
      <c r="P9711" s="6">
        <v>0.57999999999999996</v>
      </c>
      <c r="Q9711" s="11">
        <f>CEILING(P9711-0.5,0.1)*10*0.15+2.3</f>
        <v>2.4499999999999997</v>
      </c>
      <c r="R9711" s="11"/>
      <c r="S9711" s="11"/>
      <c r="T9711" s="11"/>
      <c r="U9711" s="11">
        <f t="shared" si="2655"/>
        <v>2.4499999999999997</v>
      </c>
      <c r="V9711" t="s">
        <v>15</v>
      </c>
      <c r="W9711">
        <v>2.4500000000000002</v>
      </c>
      <c r="X9711" s="1" t="s">
        <v>24</v>
      </c>
    </row>
    <row r="9712" spans="1:24" x14ac:dyDescent="0.25">
      <c r="A9712" s="1" t="str">
        <f t="shared" si="2659"/>
        <v>卡卡杜-凤凰仓</v>
      </c>
      <c r="B9712" s="1" t="str">
        <f>"CK2024100518566"</f>
        <v>CK2024100518566</v>
      </c>
      <c r="C9712" s="1" t="str">
        <f>"DD2024100549705"</f>
        <v>DD2024100549705</v>
      </c>
      <c r="D9712" s="1" t="str">
        <f>"CK2024100542476"</f>
        <v>CK2024100542476</v>
      </c>
      <c r="E9712" s="1" t="str">
        <f>"6917828369592646717"</f>
        <v>6917828369592646717</v>
      </c>
      <c r="F9712" s="1" t="str">
        <f t="shared" si="2660"/>
        <v>花都四部-凤凰仓</v>
      </c>
      <c r="G9712" s="1" t="str">
        <f t="shared" si="2657"/>
        <v>卡卡杜个人护理店（抖店）</v>
      </c>
      <c r="H9712" s="1" t="str">
        <f t="shared" si="2661"/>
        <v>正常订单</v>
      </c>
      <c r="I9712" s="1" t="str">
        <f t="shared" si="2662"/>
        <v>已发货</v>
      </c>
      <c r="J9712" s="1" t="str">
        <f t="shared" ref="J9712:J9775" si="2663">"2"</f>
        <v>2</v>
      </c>
      <c r="K9712" s="1">
        <v>1</v>
      </c>
      <c r="L9712" s="1" t="s">
        <v>20</v>
      </c>
      <c r="M9712" s="1" t="str">
        <f>"浙江省 金华市 武义县 白洋街道"</f>
        <v>浙江省 金华市 武义县 白洋街道</v>
      </c>
      <c r="N9712" s="1" t="str">
        <f t="shared" si="2658"/>
        <v>凡华云仓-韵达-抖音</v>
      </c>
      <c r="O9712" s="5">
        <v>320156925011411</v>
      </c>
      <c r="P9712" s="6">
        <v>0.33</v>
      </c>
      <c r="Q9712" s="11">
        <v>2.2999999999999998</v>
      </c>
      <c r="R9712" s="11"/>
      <c r="S9712" s="11"/>
      <c r="T9712" s="11"/>
      <c r="U9712" s="11">
        <f t="shared" si="2655"/>
        <v>2.2999999999999998</v>
      </c>
      <c r="W9712">
        <v>2.5</v>
      </c>
      <c r="X9712" s="1" t="s">
        <v>20</v>
      </c>
    </row>
    <row r="9713" spans="1:24" x14ac:dyDescent="0.25">
      <c r="A9713" s="1" t="str">
        <f t="shared" si="2659"/>
        <v>卡卡杜-凤凰仓</v>
      </c>
      <c r="B9713" s="1" t="str">
        <f>"CK2024100518567"</f>
        <v>CK2024100518567</v>
      </c>
      <c r="C9713" s="1" t="str">
        <f>"DD2024100549706"</f>
        <v>DD2024100549706</v>
      </c>
      <c r="D9713" s="1" t="str">
        <f>"CK2024100542475"</f>
        <v>CK2024100542475</v>
      </c>
      <c r="E9713" s="1" t="str">
        <f>"6917834358457859767"</f>
        <v>6917834358457859767</v>
      </c>
      <c r="F9713" s="1" t="str">
        <f t="shared" si="2660"/>
        <v>花都四部-凤凰仓</v>
      </c>
      <c r="G9713" s="1" t="str">
        <f t="shared" si="2657"/>
        <v>卡卡杜个人护理店（抖店）</v>
      </c>
      <c r="H9713" s="1" t="str">
        <f t="shared" si="2661"/>
        <v>正常订单</v>
      </c>
      <c r="I9713" s="1" t="str">
        <f t="shared" si="2662"/>
        <v>已发货</v>
      </c>
      <c r="J9713" s="1" t="str">
        <f t="shared" si="2663"/>
        <v>2</v>
      </c>
      <c r="K9713" s="1">
        <v>1</v>
      </c>
      <c r="L9713" s="1" t="s">
        <v>18</v>
      </c>
      <c r="M9713" s="1" t="str">
        <f>"广东省 中山市 中山市 中山港街道"</f>
        <v>广东省 中山市 中山市 中山港街道</v>
      </c>
      <c r="N9713" s="1" t="str">
        <f t="shared" si="2658"/>
        <v>凡华云仓-韵达-抖音</v>
      </c>
      <c r="O9713" s="5">
        <v>320156925011316</v>
      </c>
      <c r="P9713" s="6">
        <v>0.33</v>
      </c>
      <c r="Q9713" s="11">
        <v>2.2999999999999998</v>
      </c>
      <c r="R9713" s="11"/>
      <c r="S9713" s="11"/>
      <c r="T9713" s="11"/>
      <c r="U9713" s="11">
        <f t="shared" si="2655"/>
        <v>2.2999999999999998</v>
      </c>
      <c r="W9713">
        <v>2.5</v>
      </c>
      <c r="X9713" s="1" t="s">
        <v>18</v>
      </c>
    </row>
    <row r="9714" spans="1:24" x14ac:dyDescent="0.25">
      <c r="A9714" s="1" t="str">
        <f t="shared" si="2659"/>
        <v>卡卡杜-凤凰仓</v>
      </c>
      <c r="B9714" s="1" t="str">
        <f>"CK2024100518568"</f>
        <v>CK2024100518568</v>
      </c>
      <c r="C9714" s="1" t="str">
        <f>"DD2024100549708"</f>
        <v>DD2024100549708</v>
      </c>
      <c r="D9714" s="1" t="str">
        <f>"CK2024100542474"</f>
        <v>CK2024100542474</v>
      </c>
      <c r="E9714" s="1" t="str">
        <f>"6917834948374593031"</f>
        <v>6917834948374593031</v>
      </c>
      <c r="F9714" s="1" t="str">
        <f t="shared" si="2660"/>
        <v>花都四部-凤凰仓</v>
      </c>
      <c r="G9714" s="1" t="str">
        <f t="shared" si="2657"/>
        <v>卡卡杜个人护理店（抖店）</v>
      </c>
      <c r="H9714" s="1" t="str">
        <f t="shared" si="2661"/>
        <v>正常订单</v>
      </c>
      <c r="I9714" s="1" t="str">
        <f t="shared" si="2662"/>
        <v>已发货</v>
      </c>
      <c r="J9714" s="1" t="str">
        <f t="shared" si="2663"/>
        <v>2</v>
      </c>
      <c r="K9714" s="1">
        <v>1</v>
      </c>
      <c r="L9714" s="1" t="s">
        <v>20</v>
      </c>
      <c r="M9714" s="1" t="str">
        <f>"浙江省 丽水市 莲都区 紫金街道"</f>
        <v>浙江省 丽水市 莲都区 紫金街道</v>
      </c>
      <c r="N9714" s="1" t="str">
        <f t="shared" si="2658"/>
        <v>凡华云仓-韵达-抖音</v>
      </c>
      <c r="O9714" s="5">
        <v>320156925011223</v>
      </c>
      <c r="P9714" s="6">
        <v>0.33</v>
      </c>
      <c r="Q9714" s="11">
        <v>2.2999999999999998</v>
      </c>
      <c r="R9714" s="11"/>
      <c r="S9714" s="11"/>
      <c r="T9714" s="11"/>
      <c r="U9714" s="11">
        <f t="shared" si="2655"/>
        <v>2.2999999999999998</v>
      </c>
      <c r="W9714">
        <v>2.5</v>
      </c>
      <c r="X9714" s="1" t="s">
        <v>20</v>
      </c>
    </row>
    <row r="9715" spans="1:24" x14ac:dyDescent="0.25">
      <c r="A9715" s="1" t="str">
        <f t="shared" si="2659"/>
        <v>卡卡杜-凤凰仓</v>
      </c>
      <c r="B9715" s="1" t="str">
        <f>"CK2024100518569"</f>
        <v>CK2024100518569</v>
      </c>
      <c r="C9715" s="1" t="str">
        <f>"DD2024100549707"</f>
        <v>DD2024100549707</v>
      </c>
      <c r="D9715" s="1" t="str">
        <f>"CK2024100542473"</f>
        <v>CK2024100542473</v>
      </c>
      <c r="E9715" s="1" t="str">
        <f>"6917832963761340191"</f>
        <v>6917832963761340191</v>
      </c>
      <c r="F9715" s="1" t="str">
        <f t="shared" si="2660"/>
        <v>花都四部-凤凰仓</v>
      </c>
      <c r="G9715" s="1" t="str">
        <f t="shared" si="2657"/>
        <v>卡卡杜个人护理店（抖店）</v>
      </c>
      <c r="H9715" s="1" t="str">
        <f t="shared" si="2661"/>
        <v>正常订单</v>
      </c>
      <c r="I9715" s="1" t="str">
        <f t="shared" si="2662"/>
        <v>已发货</v>
      </c>
      <c r="J9715" s="1" t="str">
        <f t="shared" si="2663"/>
        <v>2</v>
      </c>
      <c r="K9715" s="1">
        <v>1</v>
      </c>
      <c r="L9715" s="1" t="s">
        <v>22</v>
      </c>
      <c r="M9715" s="1" t="str">
        <f>"江西省 九江市 永修县 虬津镇"</f>
        <v>江西省 九江市 永修县 虬津镇</v>
      </c>
      <c r="N9715" s="1" t="str">
        <f t="shared" si="2658"/>
        <v>凡华云仓-韵达-抖音</v>
      </c>
      <c r="O9715" s="5">
        <v>320156925011132</v>
      </c>
      <c r="P9715" s="6">
        <v>0.33</v>
      </c>
      <c r="Q9715" s="11">
        <v>2.2999999999999998</v>
      </c>
      <c r="R9715" s="11"/>
      <c r="S9715" s="11"/>
      <c r="T9715" s="11"/>
      <c r="U9715" s="11">
        <f t="shared" si="2655"/>
        <v>2.2999999999999998</v>
      </c>
      <c r="W9715">
        <v>2.5</v>
      </c>
      <c r="X9715" s="1" t="s">
        <v>22</v>
      </c>
    </row>
    <row r="9716" spans="1:24" x14ac:dyDescent="0.25">
      <c r="A9716" s="1" t="str">
        <f t="shared" si="2659"/>
        <v>卡卡杜-凤凰仓</v>
      </c>
      <c r="B9716" s="1" t="str">
        <f>"CK2024100518570"</f>
        <v>CK2024100518570</v>
      </c>
      <c r="C9716" s="1" t="str">
        <f>"DD2024100549710"</f>
        <v>DD2024100549710</v>
      </c>
      <c r="D9716" s="1" t="str">
        <f>"CK2024100542472"</f>
        <v>CK2024100542472</v>
      </c>
      <c r="E9716" s="1" t="str">
        <f>"6917834776592415896"</f>
        <v>6917834776592415896</v>
      </c>
      <c r="F9716" s="1" t="str">
        <f t="shared" si="2660"/>
        <v>花都四部-凤凰仓</v>
      </c>
      <c r="G9716" s="1" t="str">
        <f t="shared" si="2657"/>
        <v>卡卡杜个人护理店（抖店）</v>
      </c>
      <c r="H9716" s="1" t="str">
        <f t="shared" si="2661"/>
        <v>正常订单</v>
      </c>
      <c r="I9716" s="1" t="str">
        <f t="shared" si="2662"/>
        <v>已发货</v>
      </c>
      <c r="J9716" s="1" t="str">
        <f t="shared" si="2663"/>
        <v>2</v>
      </c>
      <c r="K9716" s="1">
        <v>1</v>
      </c>
      <c r="L9716" s="1" t="s">
        <v>18</v>
      </c>
      <c r="M9716" s="1" t="str">
        <f>"广东省 佛山市 禅城区 石湾镇街道"</f>
        <v>广东省 佛山市 禅城区 石湾镇街道</v>
      </c>
      <c r="N9716" s="1" t="str">
        <f t="shared" si="2658"/>
        <v>凡华云仓-韵达-抖音</v>
      </c>
      <c r="O9716" s="5">
        <v>320156925011043</v>
      </c>
      <c r="P9716" s="6">
        <v>0.33</v>
      </c>
      <c r="Q9716" s="11">
        <v>2.2999999999999998</v>
      </c>
      <c r="R9716" s="11"/>
      <c r="S9716" s="11"/>
      <c r="T9716" s="11"/>
      <c r="U9716" s="11">
        <f t="shared" si="2655"/>
        <v>2.2999999999999998</v>
      </c>
      <c r="W9716">
        <v>2.5</v>
      </c>
      <c r="X9716" s="1" t="s">
        <v>18</v>
      </c>
    </row>
    <row r="9717" spans="1:24" x14ac:dyDescent="0.25">
      <c r="A9717" s="1" t="str">
        <f t="shared" si="2659"/>
        <v>卡卡杜-凤凰仓</v>
      </c>
      <c r="B9717" s="1" t="str">
        <f>"CK2024100518571"</f>
        <v>CK2024100518571</v>
      </c>
      <c r="C9717" s="1" t="str">
        <f>"DD2024100549709"</f>
        <v>DD2024100549709</v>
      </c>
      <c r="D9717" s="1" t="str">
        <f>"CK2024100542471"</f>
        <v>CK2024100542471</v>
      </c>
      <c r="E9717" s="1" t="str">
        <f>"6917827916556697196"</f>
        <v>6917827916556697196</v>
      </c>
      <c r="F9717" s="1" t="str">
        <f t="shared" si="2660"/>
        <v>花都四部-凤凰仓</v>
      </c>
      <c r="G9717" s="1" t="str">
        <f t="shared" si="2657"/>
        <v>卡卡杜个人护理店（抖店）</v>
      </c>
      <c r="H9717" s="1" t="str">
        <f t="shared" si="2661"/>
        <v>正常订单</v>
      </c>
      <c r="I9717" s="1" t="str">
        <f t="shared" si="2662"/>
        <v>已发货</v>
      </c>
      <c r="J9717" s="1" t="str">
        <f t="shared" si="2663"/>
        <v>2</v>
      </c>
      <c r="K9717" s="1">
        <v>1</v>
      </c>
      <c r="L9717" s="1" t="s">
        <v>20</v>
      </c>
      <c r="M9717" s="1" t="str">
        <f>"浙江省 丽水市 遂昌县 妙高街道"</f>
        <v>浙江省 丽水市 遂昌县 妙高街道</v>
      </c>
      <c r="N9717" s="1" t="str">
        <f t="shared" si="2658"/>
        <v>凡华云仓-韵达-抖音</v>
      </c>
      <c r="O9717" s="5">
        <v>320156925010927</v>
      </c>
      <c r="P9717" s="6">
        <v>0.33</v>
      </c>
      <c r="Q9717" s="11">
        <v>2.2999999999999998</v>
      </c>
      <c r="R9717" s="11"/>
      <c r="S9717" s="11"/>
      <c r="T9717" s="11"/>
      <c r="U9717" s="11">
        <f t="shared" si="2655"/>
        <v>2.2999999999999998</v>
      </c>
      <c r="W9717">
        <v>2.5</v>
      </c>
      <c r="X9717" s="1" t="s">
        <v>20</v>
      </c>
    </row>
    <row r="9718" spans="1:24" x14ac:dyDescent="0.25">
      <c r="A9718" s="1" t="str">
        <f t="shared" si="2659"/>
        <v>卡卡杜-凤凰仓</v>
      </c>
      <c r="B9718" s="1" t="str">
        <f>"CK2024100518572"</f>
        <v>CK2024100518572</v>
      </c>
      <c r="C9718" s="1" t="str">
        <f>"DD2024100549712"</f>
        <v>DD2024100549712</v>
      </c>
      <c r="D9718" s="1" t="str">
        <f>"CK2024100542470"</f>
        <v>CK2024100542470</v>
      </c>
      <c r="E9718" s="1" t="str">
        <f>"6917825755804105848"</f>
        <v>6917825755804105848</v>
      </c>
      <c r="F9718" s="1" t="str">
        <f t="shared" si="2660"/>
        <v>花都四部-凤凰仓</v>
      </c>
      <c r="G9718" s="1" t="str">
        <f t="shared" si="2657"/>
        <v>卡卡杜个人护理店（抖店）</v>
      </c>
      <c r="H9718" s="1" t="str">
        <f t="shared" si="2661"/>
        <v>正常订单</v>
      </c>
      <c r="I9718" s="1" t="str">
        <f t="shared" si="2662"/>
        <v>已发货</v>
      </c>
      <c r="J9718" s="1" t="str">
        <f t="shared" si="2663"/>
        <v>2</v>
      </c>
      <c r="K9718" s="1">
        <v>1</v>
      </c>
      <c r="L9718" s="1" t="s">
        <v>18</v>
      </c>
      <c r="M9718" s="1" t="str">
        <f>"广东省 清远市 清城区 龙塘镇"</f>
        <v>广东省 清远市 清城区 龙塘镇</v>
      </c>
      <c r="N9718" s="1" t="str">
        <f t="shared" si="2658"/>
        <v>凡华云仓-韵达-抖音</v>
      </c>
      <c r="O9718" s="5">
        <v>320156925010822</v>
      </c>
      <c r="P9718" s="6">
        <v>0.33</v>
      </c>
      <c r="Q9718" s="11">
        <v>2.2999999999999998</v>
      </c>
      <c r="R9718" s="11"/>
      <c r="S9718" s="11"/>
      <c r="T9718" s="11"/>
      <c r="U9718" s="11">
        <f t="shared" si="2655"/>
        <v>2.2999999999999998</v>
      </c>
      <c r="W9718">
        <v>2.5</v>
      </c>
      <c r="X9718" s="1" t="s">
        <v>18</v>
      </c>
    </row>
    <row r="9719" spans="1:24" x14ac:dyDescent="0.25">
      <c r="A9719" s="1" t="str">
        <f t="shared" si="2659"/>
        <v>卡卡杜-凤凰仓</v>
      </c>
      <c r="B9719" s="1" t="str">
        <f>"CK2024100518573"</f>
        <v>CK2024100518573</v>
      </c>
      <c r="C9719" s="1" t="str">
        <f>"DD2024100549711"</f>
        <v>DD2024100549711</v>
      </c>
      <c r="D9719" s="1" t="str">
        <f>"CK2024100542469"</f>
        <v>CK2024100542469</v>
      </c>
      <c r="E9719" s="1" t="str">
        <f>"6917834767045066097"</f>
        <v>6917834767045066097</v>
      </c>
      <c r="F9719" s="1" t="str">
        <f t="shared" si="2660"/>
        <v>花都四部-凤凰仓</v>
      </c>
      <c r="G9719" s="1" t="str">
        <f t="shared" si="2657"/>
        <v>卡卡杜个人护理店（抖店）</v>
      </c>
      <c r="H9719" s="1" t="str">
        <f t="shared" si="2661"/>
        <v>正常订单</v>
      </c>
      <c r="I9719" s="1" t="str">
        <f t="shared" si="2662"/>
        <v>已发货</v>
      </c>
      <c r="J9719" s="1" t="str">
        <f t="shared" si="2663"/>
        <v>2</v>
      </c>
      <c r="K9719" s="1">
        <v>1</v>
      </c>
      <c r="L9719" s="1" t="s">
        <v>18</v>
      </c>
      <c r="M9719" s="1" t="str">
        <f>"广东省 广州市 黄埔区 红山街道"</f>
        <v>广东省 广州市 黄埔区 红山街道</v>
      </c>
      <c r="N9719" s="1" t="str">
        <f t="shared" si="2658"/>
        <v>凡华云仓-韵达-抖音</v>
      </c>
      <c r="O9719" s="5">
        <v>320156930092610</v>
      </c>
      <c r="P9719" s="6">
        <v>0.33</v>
      </c>
      <c r="Q9719" s="11">
        <v>2.2999999999999998</v>
      </c>
      <c r="R9719" s="11"/>
      <c r="S9719" s="11"/>
      <c r="T9719" s="11"/>
      <c r="U9719" s="11">
        <f t="shared" si="2655"/>
        <v>2.2999999999999998</v>
      </c>
      <c r="W9719">
        <v>2.5</v>
      </c>
      <c r="X9719" s="1" t="s">
        <v>18</v>
      </c>
    </row>
    <row r="9720" spans="1:24" x14ac:dyDescent="0.25">
      <c r="A9720" s="1" t="str">
        <f t="shared" si="2659"/>
        <v>卡卡杜-凤凰仓</v>
      </c>
      <c r="B9720" s="1" t="str">
        <f>"CK2024100518574"</f>
        <v>CK2024100518574</v>
      </c>
      <c r="C9720" s="1" t="str">
        <f>"DD2024100549713"</f>
        <v>DD2024100549713</v>
      </c>
      <c r="D9720" s="1" t="str">
        <f>"CK2024100542468"</f>
        <v>CK2024100542468</v>
      </c>
      <c r="E9720" s="1" t="str">
        <f>"6917828008339340395"</f>
        <v>6917828008339340395</v>
      </c>
      <c r="F9720" s="1" t="str">
        <f t="shared" si="2660"/>
        <v>花都四部-凤凰仓</v>
      </c>
      <c r="G9720" s="1" t="str">
        <f t="shared" si="2657"/>
        <v>卡卡杜个人护理店（抖店）</v>
      </c>
      <c r="H9720" s="1" t="str">
        <f t="shared" si="2661"/>
        <v>正常订单</v>
      </c>
      <c r="I9720" s="1" t="str">
        <f t="shared" si="2662"/>
        <v>已发货</v>
      </c>
      <c r="J9720" s="1" t="str">
        <f t="shared" si="2663"/>
        <v>2</v>
      </c>
      <c r="K9720" s="1">
        <v>1</v>
      </c>
      <c r="L9720" s="1" t="s">
        <v>20</v>
      </c>
      <c r="M9720" s="1" t="str">
        <f>"浙江省 杭州市 萧山区 临浦镇"</f>
        <v>浙江省 杭州市 萧山区 临浦镇</v>
      </c>
      <c r="N9720" s="1" t="str">
        <f t="shared" si="2658"/>
        <v>凡华云仓-韵达-抖音</v>
      </c>
      <c r="O9720" s="5">
        <v>320156930092511</v>
      </c>
      <c r="P9720" s="6">
        <v>0.33</v>
      </c>
      <c r="Q9720" s="11">
        <v>2.2999999999999998</v>
      </c>
      <c r="R9720" s="11"/>
      <c r="S9720" s="11"/>
      <c r="T9720" s="11"/>
      <c r="U9720" s="11">
        <f t="shared" si="2655"/>
        <v>2.2999999999999998</v>
      </c>
      <c r="W9720">
        <v>2.5</v>
      </c>
      <c r="X9720" s="1" t="s">
        <v>20</v>
      </c>
    </row>
    <row r="9721" spans="1:24" x14ac:dyDescent="0.25">
      <c r="A9721" s="1" t="str">
        <f t="shared" si="2659"/>
        <v>卡卡杜-凤凰仓</v>
      </c>
      <c r="B9721" s="1" t="str">
        <f>"CK2024100518576"</f>
        <v>CK2024100518576</v>
      </c>
      <c r="C9721" s="1" t="str">
        <f>"DD2024100549715"</f>
        <v>DD2024100549715</v>
      </c>
      <c r="D9721" s="1" t="str">
        <f>"CK2024100542467"</f>
        <v>CK2024100542467</v>
      </c>
      <c r="E9721" s="1" t="str">
        <f>"6917834886077054933"</f>
        <v>6917834886077054933</v>
      </c>
      <c r="F9721" s="1" t="str">
        <f t="shared" si="2660"/>
        <v>花都四部-凤凰仓</v>
      </c>
      <c r="G9721" s="1" t="str">
        <f t="shared" si="2657"/>
        <v>卡卡杜个人护理店（抖店）</v>
      </c>
      <c r="H9721" s="1" t="str">
        <f t="shared" si="2661"/>
        <v>正常订单</v>
      </c>
      <c r="I9721" s="1" t="str">
        <f t="shared" si="2662"/>
        <v>已发货</v>
      </c>
      <c r="J9721" s="1" t="str">
        <f t="shared" si="2663"/>
        <v>2</v>
      </c>
      <c r="K9721" s="1">
        <v>1</v>
      </c>
      <c r="L9721" s="1" t="s">
        <v>22</v>
      </c>
      <c r="M9721" s="1" t="str">
        <f>"江西省 赣州市 大余县 黄龙镇"</f>
        <v>江西省 赣州市 大余县 黄龙镇</v>
      </c>
      <c r="N9721" s="1" t="str">
        <f t="shared" si="2658"/>
        <v>凡华云仓-韵达-抖音</v>
      </c>
      <c r="O9721" s="5">
        <v>320156930092414</v>
      </c>
      <c r="P9721" s="6">
        <v>0.33</v>
      </c>
      <c r="Q9721" s="11">
        <v>2.2999999999999998</v>
      </c>
      <c r="R9721" s="11"/>
      <c r="S9721" s="11"/>
      <c r="T9721" s="11"/>
      <c r="U9721" s="11">
        <f t="shared" si="2655"/>
        <v>2.2999999999999998</v>
      </c>
      <c r="W9721">
        <v>2.5</v>
      </c>
      <c r="X9721" s="1" t="s">
        <v>22</v>
      </c>
    </row>
    <row r="9722" spans="1:24" x14ac:dyDescent="0.25">
      <c r="A9722" s="1" t="str">
        <f t="shared" si="2659"/>
        <v>卡卡杜-凤凰仓</v>
      </c>
      <c r="B9722" s="1" t="str">
        <f>"CK2024100518575"</f>
        <v>CK2024100518575</v>
      </c>
      <c r="C9722" s="1" t="str">
        <f>"DD2024100549714"</f>
        <v>DD2024100549714</v>
      </c>
      <c r="D9722" s="1" t="str">
        <f>"CK2024100542466"</f>
        <v>CK2024100542466</v>
      </c>
      <c r="E9722" s="1" t="str">
        <f>"6917825776898179042"</f>
        <v>6917825776898179042</v>
      </c>
      <c r="F9722" s="1" t="str">
        <f t="shared" si="2660"/>
        <v>花都四部-凤凰仓</v>
      </c>
      <c r="G9722" s="1" t="str">
        <f t="shared" si="2657"/>
        <v>卡卡杜个人护理店（抖店）</v>
      </c>
      <c r="H9722" s="1" t="str">
        <f t="shared" si="2661"/>
        <v>正常订单</v>
      </c>
      <c r="I9722" s="1" t="str">
        <f t="shared" si="2662"/>
        <v>已发货</v>
      </c>
      <c r="J9722" s="1" t="str">
        <f t="shared" si="2663"/>
        <v>2</v>
      </c>
      <c r="K9722" s="1">
        <v>1</v>
      </c>
      <c r="L9722" s="1" t="s">
        <v>13</v>
      </c>
      <c r="M9722" s="1" t="str">
        <f>"江苏省 苏州市 姑苏区 金阊街道"</f>
        <v>江苏省 苏州市 姑苏区 金阊街道</v>
      </c>
      <c r="N9722" s="1" t="str">
        <f t="shared" si="2658"/>
        <v>凡华云仓-韵达-抖音</v>
      </c>
      <c r="O9722" s="5">
        <v>320156930092319</v>
      </c>
      <c r="P9722" s="6">
        <v>0.33</v>
      </c>
      <c r="Q9722" s="11">
        <v>2.2999999999999998</v>
      </c>
      <c r="R9722" s="11"/>
      <c r="S9722" s="11"/>
      <c r="T9722" s="11"/>
      <c r="U9722" s="11">
        <f t="shared" si="2655"/>
        <v>2.2999999999999998</v>
      </c>
      <c r="W9722">
        <v>2.5</v>
      </c>
      <c r="X9722" s="1" t="s">
        <v>13</v>
      </c>
    </row>
    <row r="9723" spans="1:24" x14ac:dyDescent="0.25">
      <c r="A9723" s="1" t="str">
        <f t="shared" si="2659"/>
        <v>卡卡杜-凤凰仓</v>
      </c>
      <c r="B9723" s="1" t="str">
        <f>"CK2024100518577"</f>
        <v>CK2024100518577</v>
      </c>
      <c r="C9723" s="1" t="str">
        <f>"DD2024100549716"</f>
        <v>DD2024100549716</v>
      </c>
      <c r="D9723" s="1" t="str">
        <f>"CK2024100542465"</f>
        <v>CK2024100542465</v>
      </c>
      <c r="E9723" s="1" t="str">
        <f>"6917830660840389696"</f>
        <v>6917830660840389696</v>
      </c>
      <c r="F9723" s="1" t="str">
        <f t="shared" si="2660"/>
        <v>花都四部-凤凰仓</v>
      </c>
      <c r="G9723" s="1" t="str">
        <f t="shared" si="2657"/>
        <v>卡卡杜个人护理店（抖店）</v>
      </c>
      <c r="H9723" s="1" t="str">
        <f t="shared" si="2661"/>
        <v>正常订单</v>
      </c>
      <c r="I9723" s="1" t="str">
        <f t="shared" si="2662"/>
        <v>已发货</v>
      </c>
      <c r="J9723" s="1" t="str">
        <f t="shared" si="2663"/>
        <v>2</v>
      </c>
      <c r="K9723" s="1">
        <v>1</v>
      </c>
      <c r="L9723" s="1" t="s">
        <v>36</v>
      </c>
      <c r="M9723" s="1" t="str">
        <f>"安徽省 淮南市 寿县 窑口镇"</f>
        <v>安徽省 淮南市 寿县 窑口镇</v>
      </c>
      <c r="N9723" s="1" t="str">
        <f t="shared" si="2658"/>
        <v>凡华云仓-韵达-抖音</v>
      </c>
      <c r="O9723" s="5">
        <v>320156930092226</v>
      </c>
      <c r="P9723" s="6">
        <v>0.33</v>
      </c>
      <c r="Q9723" s="11">
        <v>2.2999999999999998</v>
      </c>
      <c r="R9723" s="11"/>
      <c r="S9723" s="11"/>
      <c r="T9723" s="11"/>
      <c r="U9723" s="11">
        <f t="shared" si="2655"/>
        <v>2.2999999999999998</v>
      </c>
      <c r="W9723">
        <v>2.5</v>
      </c>
      <c r="X9723" s="1" t="s">
        <v>36</v>
      </c>
    </row>
    <row r="9724" spans="1:24" x14ac:dyDescent="0.25">
      <c r="A9724" s="1" t="str">
        <f t="shared" si="2659"/>
        <v>卡卡杜-凤凰仓</v>
      </c>
      <c r="B9724" s="1" t="str">
        <f>"CK2024100518578"</f>
        <v>CK2024100518578</v>
      </c>
      <c r="C9724" s="1" t="str">
        <f>"DD2024100549718"</f>
        <v>DD2024100549718</v>
      </c>
      <c r="D9724" s="1" t="str">
        <f>"CK2024100542464"</f>
        <v>CK2024100542464</v>
      </c>
      <c r="E9724" s="1" t="str">
        <f>"6917828051685965707"</f>
        <v>6917828051685965707</v>
      </c>
      <c r="F9724" s="1" t="str">
        <f t="shared" si="2660"/>
        <v>花都四部-凤凰仓</v>
      </c>
      <c r="G9724" s="1" t="str">
        <f t="shared" si="2657"/>
        <v>卡卡杜个人护理店（抖店）</v>
      </c>
      <c r="H9724" s="1" t="str">
        <f t="shared" si="2661"/>
        <v>正常订单</v>
      </c>
      <c r="I9724" s="1" t="str">
        <f t="shared" si="2662"/>
        <v>已发货</v>
      </c>
      <c r="J9724" s="1" t="str">
        <f t="shared" si="2663"/>
        <v>2</v>
      </c>
      <c r="K9724" s="1">
        <v>1</v>
      </c>
      <c r="L9724" s="1" t="s">
        <v>94</v>
      </c>
      <c r="M9724" s="1" t="str">
        <f>"湖南省 长沙市 开福区 东风路街道"</f>
        <v>湖南省 长沙市 开福区 东风路街道</v>
      </c>
      <c r="N9724" s="1" t="str">
        <f t="shared" si="2658"/>
        <v>凡华云仓-韵达-抖音</v>
      </c>
      <c r="O9724" s="5">
        <v>320156930092135</v>
      </c>
      <c r="P9724" s="6">
        <v>0.33</v>
      </c>
      <c r="Q9724" s="11">
        <v>2.2999999999999998</v>
      </c>
      <c r="R9724" s="11"/>
      <c r="S9724" s="11"/>
      <c r="T9724" s="11"/>
      <c r="U9724" s="11">
        <f t="shared" si="2655"/>
        <v>2.2999999999999998</v>
      </c>
      <c r="W9724">
        <v>2.5</v>
      </c>
      <c r="X9724" s="1" t="s">
        <v>94</v>
      </c>
    </row>
    <row r="9725" spans="1:24" x14ac:dyDescent="0.25">
      <c r="A9725" s="1" t="str">
        <f t="shared" si="2659"/>
        <v>卡卡杜-凤凰仓</v>
      </c>
      <c r="B9725" s="1" t="str">
        <f>"CK2024100518579"</f>
        <v>CK2024100518579</v>
      </c>
      <c r="C9725" s="1" t="str">
        <f>"DD2024100549719"</f>
        <v>DD2024100549719</v>
      </c>
      <c r="D9725" s="1" t="str">
        <f>"CK2024100542463"</f>
        <v>CK2024100542463</v>
      </c>
      <c r="E9725" s="1" t="str">
        <f>"6917830455202381319"</f>
        <v>6917830455202381319</v>
      </c>
      <c r="F9725" s="1" t="str">
        <f t="shared" si="2660"/>
        <v>花都四部-凤凰仓</v>
      </c>
      <c r="G9725" s="1" t="str">
        <f t="shared" si="2657"/>
        <v>卡卡杜个人护理店（抖店）</v>
      </c>
      <c r="H9725" s="1" t="str">
        <f t="shared" si="2661"/>
        <v>正常订单</v>
      </c>
      <c r="I9725" s="1" t="str">
        <f t="shared" si="2662"/>
        <v>已发货</v>
      </c>
      <c r="J9725" s="1" t="str">
        <f t="shared" si="2663"/>
        <v>2</v>
      </c>
      <c r="K9725" s="1">
        <v>1</v>
      </c>
      <c r="L9725" s="1" t="s">
        <v>94</v>
      </c>
      <c r="M9725" s="1" t="str">
        <f>"湖南省 永州市 蓝山县 塔峰镇"</f>
        <v>湖南省 永州市 蓝山县 塔峰镇</v>
      </c>
      <c r="N9725" s="1" t="str">
        <f t="shared" si="2658"/>
        <v>凡华云仓-韵达-抖音</v>
      </c>
      <c r="O9725" s="5">
        <v>320156930092046</v>
      </c>
      <c r="P9725" s="6">
        <v>0.33</v>
      </c>
      <c r="Q9725" s="11">
        <v>2.2999999999999998</v>
      </c>
      <c r="R9725" s="11"/>
      <c r="S9725" s="11"/>
      <c r="T9725" s="11"/>
      <c r="U9725" s="11">
        <f t="shared" si="2655"/>
        <v>2.2999999999999998</v>
      </c>
      <c r="W9725">
        <v>2.5</v>
      </c>
      <c r="X9725" s="1" t="s">
        <v>94</v>
      </c>
    </row>
    <row r="9726" spans="1:24" x14ac:dyDescent="0.25">
      <c r="A9726" s="1" t="str">
        <f t="shared" si="2659"/>
        <v>卡卡杜-凤凰仓</v>
      </c>
      <c r="B9726" s="1" t="str">
        <f>"CK2024100518580"</f>
        <v>CK2024100518580</v>
      </c>
      <c r="C9726" s="1" t="str">
        <f>"DD2024100549717"</f>
        <v>DD2024100549717</v>
      </c>
      <c r="D9726" s="1" t="str">
        <f>"CK2024100542462"</f>
        <v>CK2024100542462</v>
      </c>
      <c r="E9726" s="1" t="str">
        <f>"6917834724577476449"</f>
        <v>6917834724577476449</v>
      </c>
      <c r="F9726" s="1" t="str">
        <f t="shared" si="2660"/>
        <v>花都四部-凤凰仓</v>
      </c>
      <c r="G9726" s="1" t="str">
        <f t="shared" si="2657"/>
        <v>卡卡杜个人护理店（抖店）</v>
      </c>
      <c r="H9726" s="1" t="str">
        <f t="shared" si="2661"/>
        <v>正常订单</v>
      </c>
      <c r="I9726" s="1" t="str">
        <f t="shared" si="2662"/>
        <v>已发货</v>
      </c>
      <c r="J9726" s="1" t="str">
        <f t="shared" si="2663"/>
        <v>2</v>
      </c>
      <c r="K9726" s="1">
        <v>1</v>
      </c>
      <c r="L9726" s="1" t="s">
        <v>94</v>
      </c>
      <c r="M9726" s="1" t="str">
        <f>"湖南省 株洲市 芦淞区 龙泉街道"</f>
        <v>湖南省 株洲市 芦淞区 龙泉街道</v>
      </c>
      <c r="N9726" s="1" t="str">
        <f t="shared" si="2658"/>
        <v>凡华云仓-韵达-抖音</v>
      </c>
      <c r="O9726" s="5">
        <v>320156930091928</v>
      </c>
      <c r="P9726" s="6">
        <v>0.33</v>
      </c>
      <c r="Q9726" s="11">
        <v>2.2999999999999998</v>
      </c>
      <c r="R9726" s="11"/>
      <c r="S9726" s="11"/>
      <c r="T9726" s="11"/>
      <c r="U9726" s="11">
        <f t="shared" si="2655"/>
        <v>2.2999999999999998</v>
      </c>
      <c r="W9726">
        <v>2.5</v>
      </c>
      <c r="X9726" s="1" t="s">
        <v>94</v>
      </c>
    </row>
    <row r="9727" spans="1:24" x14ac:dyDescent="0.25">
      <c r="A9727" s="1" t="str">
        <f t="shared" si="2659"/>
        <v>卡卡杜-凤凰仓</v>
      </c>
      <c r="B9727" s="1" t="str">
        <f>"CK2024100518581"</f>
        <v>CK2024100518581</v>
      </c>
      <c r="C9727" s="1" t="str">
        <f>"DD2024100549720"</f>
        <v>DD2024100549720</v>
      </c>
      <c r="D9727" s="1" t="str">
        <f>"CK2024100542461"</f>
        <v>CK2024100542461</v>
      </c>
      <c r="E9727" s="1" t="str">
        <f>"6917830295584144415"</f>
        <v>6917830295584144415</v>
      </c>
      <c r="F9727" s="1" t="str">
        <f t="shared" si="2660"/>
        <v>花都四部-凤凰仓</v>
      </c>
      <c r="G9727" s="1" t="str">
        <f t="shared" si="2657"/>
        <v>卡卡杜个人护理店（抖店）</v>
      </c>
      <c r="H9727" s="1" t="str">
        <f t="shared" si="2661"/>
        <v>正常订单</v>
      </c>
      <c r="I9727" s="1" t="str">
        <f t="shared" si="2662"/>
        <v>已发货</v>
      </c>
      <c r="J9727" s="1" t="str">
        <f t="shared" si="2663"/>
        <v>2</v>
      </c>
      <c r="K9727" s="1">
        <v>1</v>
      </c>
      <c r="L9727" s="1" t="s">
        <v>18</v>
      </c>
      <c r="M9727" s="1" t="str">
        <f>"广东省 汕尾市 海丰县 梅陇镇"</f>
        <v>广东省 汕尾市 海丰县 梅陇镇</v>
      </c>
      <c r="N9727" s="1" t="str">
        <f t="shared" si="2658"/>
        <v>凡华云仓-韵达-抖音</v>
      </c>
      <c r="O9727" s="5">
        <v>320156930091823</v>
      </c>
      <c r="P9727" s="6">
        <v>0.33</v>
      </c>
      <c r="Q9727" s="11">
        <v>2.2999999999999998</v>
      </c>
      <c r="R9727" s="11"/>
      <c r="S9727" s="11"/>
      <c r="T9727" s="11"/>
      <c r="U9727" s="11">
        <f t="shared" si="2655"/>
        <v>2.2999999999999998</v>
      </c>
      <c r="W9727">
        <v>2.5</v>
      </c>
      <c r="X9727" s="1" t="s">
        <v>18</v>
      </c>
    </row>
    <row r="9728" spans="1:24" x14ac:dyDescent="0.25">
      <c r="A9728" s="1" t="str">
        <f t="shared" si="2659"/>
        <v>卡卡杜-凤凰仓</v>
      </c>
      <c r="B9728" s="1" t="str">
        <f>"CK2024100518582"</f>
        <v>CK2024100518582</v>
      </c>
      <c r="C9728" s="1" t="str">
        <f>"DD2024100549721"</f>
        <v>DD2024100549721</v>
      </c>
      <c r="D9728" s="1" t="str">
        <f>"CK2024100542460"</f>
        <v>CK2024100542460</v>
      </c>
      <c r="E9728" s="1" t="str">
        <f>"6917828315157659577"</f>
        <v>6917828315157659577</v>
      </c>
      <c r="F9728" s="1" t="str">
        <f t="shared" si="2660"/>
        <v>花都四部-凤凰仓</v>
      </c>
      <c r="G9728" s="1" t="str">
        <f t="shared" si="2657"/>
        <v>卡卡杜个人护理店（抖店）</v>
      </c>
      <c r="H9728" s="1" t="str">
        <f t="shared" si="2661"/>
        <v>正常订单</v>
      </c>
      <c r="I9728" s="1" t="str">
        <f t="shared" si="2662"/>
        <v>已发货</v>
      </c>
      <c r="J9728" s="1" t="str">
        <f t="shared" si="2663"/>
        <v>2</v>
      </c>
      <c r="K9728" s="1">
        <v>1</v>
      </c>
      <c r="L9728" s="1" t="s">
        <v>74</v>
      </c>
      <c r="M9728" s="1" t="str">
        <f>"上海 上海市 松江区 新桥镇"</f>
        <v>上海 上海市 松江区 新桥镇</v>
      </c>
      <c r="N9728" s="1" t="str">
        <f t="shared" si="2658"/>
        <v>凡华云仓-韵达-抖音</v>
      </c>
      <c r="O9728" s="5">
        <v>320156930091720</v>
      </c>
      <c r="P9728" s="6">
        <v>0.33</v>
      </c>
      <c r="Q9728" s="11">
        <v>2.2999999999999998</v>
      </c>
      <c r="R9728" s="11"/>
      <c r="S9728" s="11"/>
      <c r="T9728" s="11"/>
      <c r="U9728" s="11">
        <f t="shared" si="2655"/>
        <v>2.2999999999999998</v>
      </c>
      <c r="W9728">
        <v>2.5</v>
      </c>
      <c r="X9728" s="1" t="s">
        <v>74</v>
      </c>
    </row>
    <row r="9729" spans="1:24" x14ac:dyDescent="0.25">
      <c r="A9729" s="1" t="str">
        <f t="shared" si="2659"/>
        <v>卡卡杜-凤凰仓</v>
      </c>
      <c r="B9729" s="1" t="str">
        <f>"CK2024100518583"</f>
        <v>CK2024100518583</v>
      </c>
      <c r="C9729" s="1" t="str">
        <f>"DD2024100549722"</f>
        <v>DD2024100549722</v>
      </c>
      <c r="D9729" s="1" t="str">
        <f>"CK2024100542459"</f>
        <v>CK2024100542459</v>
      </c>
      <c r="E9729" s="1" t="str">
        <f>"6917828158729452779"</f>
        <v>6917828158729452779</v>
      </c>
      <c r="F9729" s="1" t="str">
        <f t="shared" si="2660"/>
        <v>花都四部-凤凰仓</v>
      </c>
      <c r="G9729" s="1" t="str">
        <f t="shared" si="2657"/>
        <v>卡卡杜个人护理店（抖店）</v>
      </c>
      <c r="H9729" s="1" t="str">
        <f t="shared" si="2661"/>
        <v>正常订单</v>
      </c>
      <c r="I9729" s="1" t="str">
        <f t="shared" si="2662"/>
        <v>已发货</v>
      </c>
      <c r="J9729" s="1" t="str">
        <f t="shared" si="2663"/>
        <v>2</v>
      </c>
      <c r="K9729" s="1">
        <v>1</v>
      </c>
      <c r="L9729" s="1" t="s">
        <v>36</v>
      </c>
      <c r="M9729" s="1" t="str">
        <f>"安徽省 合肥市 肥东县 撮镇镇"</f>
        <v>安徽省 合肥市 肥东县 撮镇镇</v>
      </c>
      <c r="N9729" s="1" t="str">
        <f t="shared" si="2658"/>
        <v>凡华云仓-韵达-抖音</v>
      </c>
      <c r="O9729" s="5">
        <v>320156909764858</v>
      </c>
      <c r="P9729" s="6">
        <v>0.33</v>
      </c>
      <c r="Q9729" s="11">
        <v>2.2999999999999998</v>
      </c>
      <c r="R9729" s="11"/>
      <c r="S9729" s="11"/>
      <c r="T9729" s="11"/>
      <c r="U9729" s="11">
        <f t="shared" si="2655"/>
        <v>2.2999999999999998</v>
      </c>
      <c r="W9729">
        <v>2.5</v>
      </c>
      <c r="X9729" s="1" t="s">
        <v>36</v>
      </c>
    </row>
    <row r="9730" spans="1:24" x14ac:dyDescent="0.25">
      <c r="A9730" s="1" t="str">
        <f t="shared" si="2659"/>
        <v>卡卡杜-凤凰仓</v>
      </c>
      <c r="B9730" s="1" t="str">
        <f>"CK2024100518584"</f>
        <v>CK2024100518584</v>
      </c>
      <c r="C9730" s="1" t="str">
        <f>"DD2024100549723"</f>
        <v>DD2024100549723</v>
      </c>
      <c r="D9730" s="1" t="str">
        <f>"CK2024100542458"</f>
        <v>CK2024100542458</v>
      </c>
      <c r="E9730" s="1" t="str">
        <f>"6917835163013905983"</f>
        <v>6917835163013905983</v>
      </c>
      <c r="F9730" s="1" t="str">
        <f t="shared" si="2660"/>
        <v>花都四部-凤凰仓</v>
      </c>
      <c r="G9730" s="1" t="str">
        <f t="shared" si="2657"/>
        <v>卡卡杜个人护理店（抖店）</v>
      </c>
      <c r="H9730" s="1" t="str">
        <f t="shared" si="2661"/>
        <v>正常订单</v>
      </c>
      <c r="I9730" s="1" t="str">
        <f t="shared" si="2662"/>
        <v>已发货</v>
      </c>
      <c r="J9730" s="1" t="str">
        <f t="shared" si="2663"/>
        <v>2</v>
      </c>
      <c r="K9730" s="1">
        <v>1</v>
      </c>
      <c r="L9730" s="1" t="s">
        <v>18</v>
      </c>
      <c r="M9730" s="1" t="str">
        <f>"广东省 中山市 中山市 东升镇"</f>
        <v>广东省 中山市 中山市 东升镇</v>
      </c>
      <c r="N9730" s="1" t="str">
        <f t="shared" si="2658"/>
        <v>凡华云仓-韵达-抖音</v>
      </c>
      <c r="O9730" s="5">
        <v>320156909764755</v>
      </c>
      <c r="P9730" s="6">
        <v>0.33</v>
      </c>
      <c r="Q9730" s="11">
        <v>2.2999999999999998</v>
      </c>
      <c r="R9730" s="11"/>
      <c r="S9730" s="11"/>
      <c r="T9730" s="11"/>
      <c r="U9730" s="11">
        <f t="shared" si="2655"/>
        <v>2.2999999999999998</v>
      </c>
      <c r="W9730">
        <v>2.5</v>
      </c>
      <c r="X9730" s="1" t="s">
        <v>18</v>
      </c>
    </row>
    <row r="9731" spans="1:24" x14ac:dyDescent="0.25">
      <c r="A9731" s="1" t="str">
        <f t="shared" si="2659"/>
        <v>卡卡杜-凤凰仓</v>
      </c>
      <c r="B9731" s="1" t="str">
        <f>"CK2024100518586"</f>
        <v>CK2024100518586</v>
      </c>
      <c r="C9731" s="1" t="str">
        <f>"DD2024100549724"</f>
        <v>DD2024100549724</v>
      </c>
      <c r="D9731" s="1" t="str">
        <f>"CK2024100542457"</f>
        <v>CK2024100542457</v>
      </c>
      <c r="E9731" s="1" t="str">
        <f>"6917830512090774615"</f>
        <v>6917830512090774615</v>
      </c>
      <c r="F9731" s="1" t="str">
        <f t="shared" si="2660"/>
        <v>花都四部-凤凰仓</v>
      </c>
      <c r="G9731" s="1" t="str">
        <f t="shared" si="2657"/>
        <v>卡卡杜个人护理店（抖店）</v>
      </c>
      <c r="H9731" s="1" t="str">
        <f t="shared" si="2661"/>
        <v>正常订单</v>
      </c>
      <c r="I9731" s="1" t="str">
        <f t="shared" si="2662"/>
        <v>已发货</v>
      </c>
      <c r="J9731" s="1" t="str">
        <f t="shared" si="2663"/>
        <v>2</v>
      </c>
      <c r="K9731" s="1">
        <v>1</v>
      </c>
      <c r="L9731" s="1" t="s">
        <v>20</v>
      </c>
      <c r="M9731" s="1" t="str">
        <f>"浙江省 杭州市 临平区 南苑街道"</f>
        <v>浙江省 杭州市 临平区 南苑街道</v>
      </c>
      <c r="N9731" s="1" t="str">
        <f t="shared" si="2658"/>
        <v>凡华云仓-韵达-抖音</v>
      </c>
      <c r="O9731" s="5">
        <v>320156909764654</v>
      </c>
      <c r="P9731" s="6">
        <v>0.33</v>
      </c>
      <c r="Q9731" s="11">
        <v>2.2999999999999998</v>
      </c>
      <c r="R9731" s="11"/>
      <c r="S9731" s="11"/>
      <c r="T9731" s="11"/>
      <c r="U9731" s="11">
        <f t="shared" ref="U9731:U9794" si="2664">T9731+S9731+R9731+Q9731</f>
        <v>2.2999999999999998</v>
      </c>
      <c r="W9731">
        <v>2.5</v>
      </c>
      <c r="X9731" s="1" t="s">
        <v>20</v>
      </c>
    </row>
    <row r="9732" spans="1:24" x14ac:dyDescent="0.25">
      <c r="A9732" s="1" t="str">
        <f t="shared" si="2659"/>
        <v>卡卡杜-凤凰仓</v>
      </c>
      <c r="B9732" s="1" t="str">
        <f>"CK2024100518585"</f>
        <v>CK2024100518585</v>
      </c>
      <c r="C9732" s="1" t="str">
        <f>"DD2024100549725"</f>
        <v>DD2024100549725</v>
      </c>
      <c r="D9732" s="1" t="str">
        <f>"CK2024100542456"</f>
        <v>CK2024100542456</v>
      </c>
      <c r="E9732" s="1" t="str">
        <f>"6917830462516133309"</f>
        <v>6917830462516133309</v>
      </c>
      <c r="F9732" s="1" t="str">
        <f t="shared" si="2660"/>
        <v>花都四部-凤凰仓</v>
      </c>
      <c r="G9732" s="1" t="str">
        <f t="shared" si="2657"/>
        <v>卡卡杜个人护理店（抖店）</v>
      </c>
      <c r="H9732" s="1" t="str">
        <f t="shared" si="2661"/>
        <v>正常订单</v>
      </c>
      <c r="I9732" s="1" t="str">
        <f t="shared" si="2662"/>
        <v>已发货</v>
      </c>
      <c r="J9732" s="1" t="str">
        <f t="shared" si="2663"/>
        <v>2</v>
      </c>
      <c r="K9732" s="1">
        <v>1</v>
      </c>
      <c r="L9732" s="1" t="s">
        <v>20</v>
      </c>
      <c r="M9732" s="1" t="str">
        <f>"浙江省 衢州市 龙游县 龙洲街道"</f>
        <v>浙江省 衢州市 龙游县 龙洲街道</v>
      </c>
      <c r="N9732" s="1" t="str">
        <f t="shared" si="2658"/>
        <v>凡华云仓-韵达-抖音</v>
      </c>
      <c r="O9732" s="5">
        <v>320156909764555</v>
      </c>
      <c r="P9732" s="6">
        <v>0.33</v>
      </c>
      <c r="Q9732" s="11">
        <v>2.2999999999999998</v>
      </c>
      <c r="R9732" s="11"/>
      <c r="S9732" s="11"/>
      <c r="T9732" s="11"/>
      <c r="U9732" s="11">
        <f t="shared" si="2664"/>
        <v>2.2999999999999998</v>
      </c>
      <c r="W9732">
        <v>2.5</v>
      </c>
      <c r="X9732" s="1" t="s">
        <v>20</v>
      </c>
    </row>
    <row r="9733" spans="1:24" x14ac:dyDescent="0.25">
      <c r="A9733" s="1" t="str">
        <f t="shared" si="2659"/>
        <v>卡卡杜-凤凰仓</v>
      </c>
      <c r="B9733" s="1" t="str">
        <f>"CK2024100518587"</f>
        <v>CK2024100518587</v>
      </c>
      <c r="C9733" s="1" t="str">
        <f>"DD2024100549727"</f>
        <v>DD2024100549727</v>
      </c>
      <c r="D9733" s="1" t="str">
        <f>"CK2024100542455"</f>
        <v>CK2024100542455</v>
      </c>
      <c r="E9733" s="1" t="str">
        <f>"6917825480377531570"</f>
        <v>6917825480377531570</v>
      </c>
      <c r="F9733" s="1" t="str">
        <f t="shared" si="2660"/>
        <v>花都四部-凤凰仓</v>
      </c>
      <c r="G9733" s="1" t="str">
        <f t="shared" si="2657"/>
        <v>卡卡杜个人护理店（抖店）</v>
      </c>
      <c r="H9733" s="1" t="str">
        <f t="shared" si="2661"/>
        <v>正常订单</v>
      </c>
      <c r="I9733" s="1" t="str">
        <f t="shared" si="2662"/>
        <v>已发货</v>
      </c>
      <c r="J9733" s="1" t="str">
        <f t="shared" si="2663"/>
        <v>2</v>
      </c>
      <c r="K9733" s="1">
        <v>1</v>
      </c>
      <c r="L9733" s="1" t="s">
        <v>24</v>
      </c>
      <c r="M9733" s="1" t="str">
        <f>"福建省 莆田市 涵江区 涵西街道"</f>
        <v>福建省 莆田市 涵江区 涵西街道</v>
      </c>
      <c r="N9733" s="1" t="str">
        <f t="shared" si="2658"/>
        <v>凡华云仓-韵达-抖音</v>
      </c>
      <c r="O9733" s="5">
        <v>320156909764458</v>
      </c>
      <c r="P9733" s="6">
        <v>0.33</v>
      </c>
      <c r="Q9733" s="11">
        <v>2.2999999999999998</v>
      </c>
      <c r="R9733" s="11"/>
      <c r="S9733" s="11"/>
      <c r="T9733" s="11"/>
      <c r="U9733" s="11">
        <f t="shared" si="2664"/>
        <v>2.2999999999999998</v>
      </c>
      <c r="W9733">
        <v>2.5</v>
      </c>
      <c r="X9733" s="1" t="s">
        <v>24</v>
      </c>
    </row>
    <row r="9734" spans="1:24" x14ac:dyDescent="0.25">
      <c r="A9734" s="1" t="str">
        <f t="shared" si="2659"/>
        <v>卡卡杜-凤凰仓</v>
      </c>
      <c r="B9734" s="1" t="str">
        <f>"CK2024100518590"</f>
        <v>CK2024100518590</v>
      </c>
      <c r="C9734" s="1" t="str">
        <f>"DD2024100549731"</f>
        <v>DD2024100549731</v>
      </c>
      <c r="D9734" s="1" t="str">
        <f>"CK2024100542454"</f>
        <v>CK2024100542454</v>
      </c>
      <c r="E9734" s="1" t="str">
        <f>"6917828208374742654"</f>
        <v>6917828208374742654</v>
      </c>
      <c r="F9734" s="1" t="str">
        <f t="shared" si="2660"/>
        <v>花都四部-凤凰仓</v>
      </c>
      <c r="G9734" s="1" t="str">
        <f t="shared" si="2657"/>
        <v>卡卡杜个人护理店（抖店）</v>
      </c>
      <c r="H9734" s="1" t="str">
        <f t="shared" si="2661"/>
        <v>正常订单</v>
      </c>
      <c r="I9734" s="1" t="str">
        <f t="shared" si="2662"/>
        <v>已发货</v>
      </c>
      <c r="J9734" s="1" t="str">
        <f t="shared" si="2663"/>
        <v>2</v>
      </c>
      <c r="K9734" s="1">
        <v>1</v>
      </c>
      <c r="L9734" s="1" t="s">
        <v>30</v>
      </c>
      <c r="M9734" s="1" t="str">
        <f>"山东省 淄博市 张店区 马尚街道"</f>
        <v>山东省 淄博市 张店区 马尚街道</v>
      </c>
      <c r="N9734" s="1" t="str">
        <f t="shared" si="2658"/>
        <v>凡华云仓-韵达-抖音</v>
      </c>
      <c r="O9734" s="5">
        <v>320156909764363</v>
      </c>
      <c r="P9734" s="6">
        <v>0.33</v>
      </c>
      <c r="Q9734" s="11">
        <v>2.2999999999999998</v>
      </c>
      <c r="R9734" s="11"/>
      <c r="S9734" s="11"/>
      <c r="T9734" s="11"/>
      <c r="U9734" s="11">
        <f t="shared" si="2664"/>
        <v>2.2999999999999998</v>
      </c>
      <c r="W9734">
        <v>2.5</v>
      </c>
      <c r="X9734" s="1" t="s">
        <v>30</v>
      </c>
    </row>
    <row r="9735" spans="1:24" x14ac:dyDescent="0.25">
      <c r="A9735" s="1" t="str">
        <f t="shared" si="2659"/>
        <v>卡卡杜-凤凰仓</v>
      </c>
      <c r="B9735" s="1" t="str">
        <f>"CK2024100518591"</f>
        <v>CK2024100518591</v>
      </c>
      <c r="C9735" s="1" t="str">
        <f>"DD2024100549729"</f>
        <v>DD2024100549729</v>
      </c>
      <c r="D9735" s="1" t="str">
        <f>"CK2024100542453"</f>
        <v>CK2024100542453</v>
      </c>
      <c r="E9735" s="1" t="str">
        <f>"6917827593485647162"</f>
        <v>6917827593485647162</v>
      </c>
      <c r="F9735" s="1" t="str">
        <f t="shared" si="2660"/>
        <v>花都四部-凤凰仓</v>
      </c>
      <c r="G9735" s="1" t="str">
        <f t="shared" si="2657"/>
        <v>卡卡杜个人护理店（抖店）</v>
      </c>
      <c r="H9735" s="1" t="str">
        <f t="shared" si="2661"/>
        <v>正常订单</v>
      </c>
      <c r="I9735" s="1" t="str">
        <f t="shared" si="2662"/>
        <v>已发货</v>
      </c>
      <c r="J9735" s="1" t="str">
        <f t="shared" si="2663"/>
        <v>2</v>
      </c>
      <c r="K9735" s="1">
        <v>1</v>
      </c>
      <c r="L9735" s="1" t="s">
        <v>13</v>
      </c>
      <c r="M9735" s="1" t="str">
        <f>"江苏省 无锡市 新吴区 "</f>
        <v xml:space="preserve">江苏省 无锡市 新吴区 </v>
      </c>
      <c r="N9735" s="1" t="str">
        <f t="shared" si="2658"/>
        <v>凡华云仓-韵达-抖音</v>
      </c>
      <c r="O9735" s="5">
        <v>320156909764270</v>
      </c>
      <c r="P9735" s="6">
        <v>0.33</v>
      </c>
      <c r="Q9735" s="11">
        <v>2.2999999999999998</v>
      </c>
      <c r="R9735" s="11"/>
      <c r="S9735" s="11"/>
      <c r="T9735" s="11"/>
      <c r="U9735" s="11">
        <f t="shared" si="2664"/>
        <v>2.2999999999999998</v>
      </c>
      <c r="W9735">
        <v>2.5</v>
      </c>
      <c r="X9735" s="1" t="s">
        <v>13</v>
      </c>
    </row>
    <row r="9736" spans="1:24" x14ac:dyDescent="0.25">
      <c r="A9736" s="1" t="str">
        <f t="shared" si="2659"/>
        <v>卡卡杜-凤凰仓</v>
      </c>
      <c r="B9736" s="1" t="str">
        <f>"CK2024100518592"</f>
        <v>CK2024100518592</v>
      </c>
      <c r="C9736" s="1" t="str">
        <f>"DD2024100549730"</f>
        <v>DD2024100549730</v>
      </c>
      <c r="D9736" s="1" t="str">
        <f>"CK2024100542452"</f>
        <v>CK2024100542452</v>
      </c>
      <c r="E9736" s="1" t="str">
        <f>"6917825486059962080"</f>
        <v>6917825486059962080</v>
      </c>
      <c r="F9736" s="1" t="str">
        <f t="shared" si="2660"/>
        <v>花都四部-凤凰仓</v>
      </c>
      <c r="G9736" s="1" t="str">
        <f t="shared" si="2657"/>
        <v>卡卡杜个人护理店（抖店）</v>
      </c>
      <c r="H9736" s="1" t="str">
        <f t="shared" si="2661"/>
        <v>正常订单</v>
      </c>
      <c r="I9736" s="1" t="str">
        <f t="shared" si="2662"/>
        <v>已发货</v>
      </c>
      <c r="J9736" s="1" t="str">
        <f t="shared" si="2663"/>
        <v>2</v>
      </c>
      <c r="K9736" s="1">
        <v>1</v>
      </c>
      <c r="L9736" s="1" t="s">
        <v>18</v>
      </c>
      <c r="M9736" s="1" t="str">
        <f>"广东省 深圳市 宝安区 松岗街道"</f>
        <v>广东省 深圳市 宝安区 松岗街道</v>
      </c>
      <c r="N9736" s="1" t="str">
        <f t="shared" si="2658"/>
        <v>凡华云仓-韵达-抖音</v>
      </c>
      <c r="O9736" s="5">
        <v>320156909764179</v>
      </c>
      <c r="P9736" s="6">
        <v>0.33</v>
      </c>
      <c r="Q9736" s="11">
        <v>2.2999999999999998</v>
      </c>
      <c r="R9736" s="11"/>
      <c r="S9736" s="11"/>
      <c r="T9736" s="11"/>
      <c r="U9736" s="11">
        <f t="shared" si="2664"/>
        <v>2.2999999999999998</v>
      </c>
      <c r="W9736">
        <v>2.5</v>
      </c>
      <c r="X9736" s="1" t="s">
        <v>18</v>
      </c>
    </row>
    <row r="9737" spans="1:24" x14ac:dyDescent="0.25">
      <c r="A9737" s="1" t="str">
        <f t="shared" si="2659"/>
        <v>卡卡杜-凤凰仓</v>
      </c>
      <c r="B9737" s="1" t="str">
        <f>"CK2024100518593"</f>
        <v>CK2024100518593</v>
      </c>
      <c r="C9737" s="1" t="str">
        <f>"DD2024100549732"</f>
        <v>DD2024100549732</v>
      </c>
      <c r="D9737" s="1" t="str">
        <f>"CK2024100542451"</f>
        <v>CK2024100542451</v>
      </c>
      <c r="E9737" s="1" t="str">
        <f>"6917825821215456412"</f>
        <v>6917825821215456412</v>
      </c>
      <c r="F9737" s="1" t="str">
        <f t="shared" si="2660"/>
        <v>花都四部-凤凰仓</v>
      </c>
      <c r="G9737" s="1" t="str">
        <f t="shared" si="2657"/>
        <v>卡卡杜个人护理店（抖店）</v>
      </c>
      <c r="H9737" s="1" t="str">
        <f t="shared" si="2661"/>
        <v>正常订单</v>
      </c>
      <c r="I9737" s="1" t="str">
        <f t="shared" si="2662"/>
        <v>已发货</v>
      </c>
      <c r="J9737" s="1" t="str">
        <f t="shared" si="2663"/>
        <v>2</v>
      </c>
      <c r="K9737" s="1">
        <v>1</v>
      </c>
      <c r="L9737" s="1" t="s">
        <v>20</v>
      </c>
      <c r="M9737" s="1" t="str">
        <f>"浙江省 杭州市 富阳区 富春街道"</f>
        <v>浙江省 杭州市 富阳区 富春街道</v>
      </c>
      <c r="N9737" s="1" t="str">
        <f t="shared" si="2658"/>
        <v>凡华云仓-韵达-抖音</v>
      </c>
      <c r="O9737" s="5">
        <v>320156909764090</v>
      </c>
      <c r="P9737" s="6">
        <v>0.33</v>
      </c>
      <c r="Q9737" s="11">
        <v>2.2999999999999998</v>
      </c>
      <c r="R9737" s="11"/>
      <c r="S9737" s="11"/>
      <c r="T9737" s="11"/>
      <c r="U9737" s="11">
        <f t="shared" si="2664"/>
        <v>2.2999999999999998</v>
      </c>
      <c r="W9737">
        <v>2.5</v>
      </c>
      <c r="X9737" s="1" t="s">
        <v>20</v>
      </c>
    </row>
    <row r="9738" spans="1:24" x14ac:dyDescent="0.25">
      <c r="A9738" s="1" t="str">
        <f t="shared" si="2659"/>
        <v>卡卡杜-凤凰仓</v>
      </c>
      <c r="B9738" s="1" t="str">
        <f>"CK2024100518301"</f>
        <v>CK2024100518301</v>
      </c>
      <c r="C9738" s="1" t="str">
        <f>"DD2024100549453"</f>
        <v>DD2024100549453</v>
      </c>
      <c r="D9738" s="1" t="str">
        <f>"CK2024100542285"</f>
        <v>CK2024100542285</v>
      </c>
      <c r="E9738" s="1" t="str">
        <f>"6917838506245061725"</f>
        <v>6917838506245061725</v>
      </c>
      <c r="F9738" s="1" t="str">
        <f t="shared" si="2660"/>
        <v>花都四部-凤凰仓</v>
      </c>
      <c r="G9738" s="1" t="str">
        <f t="shared" si="2657"/>
        <v>卡卡杜个人护理店（抖店）</v>
      </c>
      <c r="H9738" s="1" t="str">
        <f t="shared" si="2661"/>
        <v>正常订单</v>
      </c>
      <c r="I9738" s="1" t="str">
        <f t="shared" si="2662"/>
        <v>已发货</v>
      </c>
      <c r="J9738" s="1" t="str">
        <f t="shared" si="2663"/>
        <v>2</v>
      </c>
      <c r="K9738" s="1">
        <v>1</v>
      </c>
      <c r="L9738" s="1" t="s">
        <v>18</v>
      </c>
      <c r="M9738" s="1" t="str">
        <f>"广东省 揭阳市 普宁市 流沙东街道"</f>
        <v>广东省 揭阳市 普宁市 流沙东街道</v>
      </c>
      <c r="N9738" s="1" t="str">
        <f t="shared" si="2658"/>
        <v>凡华云仓-韵达-抖音</v>
      </c>
      <c r="O9738" s="5">
        <v>320156909763968</v>
      </c>
      <c r="P9738" s="6">
        <v>0.33</v>
      </c>
      <c r="Q9738" s="11">
        <v>2.2999999999999998</v>
      </c>
      <c r="R9738" s="11"/>
      <c r="S9738" s="11"/>
      <c r="T9738" s="11"/>
      <c r="U9738" s="11">
        <f t="shared" si="2664"/>
        <v>2.2999999999999998</v>
      </c>
      <c r="W9738">
        <v>2.5</v>
      </c>
      <c r="X9738" s="1" t="s">
        <v>18</v>
      </c>
    </row>
    <row r="9739" spans="1:24" x14ac:dyDescent="0.25">
      <c r="A9739" s="1" t="str">
        <f t="shared" si="2659"/>
        <v>卡卡杜-凤凰仓</v>
      </c>
      <c r="B9739" s="1" t="str">
        <f>"CK2024100515451"</f>
        <v>CK2024100515451</v>
      </c>
      <c r="C9739" s="1" t="str">
        <f>"DD2024100526721"</f>
        <v>DD2024100526721</v>
      </c>
      <c r="D9739" s="1" t="str">
        <f>"CK2024100526699"</f>
        <v>CK2024100526699</v>
      </c>
      <c r="E9739" s="1" t="str">
        <f>"3723094011013369856"</f>
        <v>3723094011013369856</v>
      </c>
      <c r="F9739" s="1" t="str">
        <f t="shared" si="2660"/>
        <v>花都四部-凤凰仓</v>
      </c>
      <c r="G9739" s="1" t="str">
        <f t="shared" ref="G9739:G9742" si="2665">"卡卡杜企业店（视频号）"</f>
        <v>卡卡杜企业店（视频号）</v>
      </c>
      <c r="H9739" s="1" t="str">
        <f t="shared" si="2661"/>
        <v>正常订单</v>
      </c>
      <c r="I9739" s="1" t="str">
        <f t="shared" si="2662"/>
        <v>已发货</v>
      </c>
      <c r="J9739" s="1" t="str">
        <f t="shared" si="2663"/>
        <v>2</v>
      </c>
      <c r="K9739" s="1">
        <v>2</v>
      </c>
      <c r="L9739" s="1" t="s">
        <v>30</v>
      </c>
      <c r="M9739" s="1" t="str">
        <f>"山东省 济南市 历下区 "</f>
        <v xml:space="preserve">山东省 济南市 历下区 </v>
      </c>
      <c r="N9739" s="1" t="str">
        <f t="shared" ref="N9739:N9742" si="2666">"凡华云仓-韵达-微信视频号"</f>
        <v>凡华云仓-韵达-微信视频号</v>
      </c>
      <c r="O9739" s="5">
        <v>315011989472672</v>
      </c>
      <c r="P9739" s="6">
        <v>0.28000000000000003</v>
      </c>
      <c r="Q9739" s="11">
        <v>2</v>
      </c>
      <c r="R9739" s="11"/>
      <c r="S9739" s="11"/>
      <c r="T9739" s="11"/>
      <c r="U9739" s="11">
        <f t="shared" si="2664"/>
        <v>2</v>
      </c>
      <c r="W9739">
        <v>2.2000000000000002</v>
      </c>
      <c r="X9739" s="1" t="s">
        <v>30</v>
      </c>
    </row>
    <row r="9740" spans="1:24" x14ac:dyDescent="0.25">
      <c r="A9740" s="1" t="str">
        <f t="shared" si="2659"/>
        <v>卡卡杜-凤凰仓</v>
      </c>
      <c r="B9740" s="1" t="str">
        <f>"CK2024100515449"</f>
        <v>CK2024100515449</v>
      </c>
      <c r="C9740" s="1" t="str">
        <f>"DD2024100526719"</f>
        <v>DD2024100526719</v>
      </c>
      <c r="D9740" s="1" t="str">
        <f>"CK2024100526698"</f>
        <v>CK2024100526698</v>
      </c>
      <c r="E9740" s="1" t="str">
        <f>"3723094867728008704"</f>
        <v>3723094867728008704</v>
      </c>
      <c r="F9740" s="1" t="str">
        <f t="shared" si="2660"/>
        <v>花都四部-凤凰仓</v>
      </c>
      <c r="G9740" s="1" t="str">
        <f t="shared" si="2665"/>
        <v>卡卡杜企业店（视频号）</v>
      </c>
      <c r="H9740" s="1" t="str">
        <f t="shared" si="2661"/>
        <v>正常订单</v>
      </c>
      <c r="I9740" s="1" t="str">
        <f t="shared" si="2662"/>
        <v>已发货</v>
      </c>
      <c r="J9740" s="1" t="str">
        <f t="shared" si="2663"/>
        <v>2</v>
      </c>
      <c r="K9740" s="1">
        <v>2</v>
      </c>
      <c r="L9740" s="1" t="s">
        <v>105</v>
      </c>
      <c r="M9740" s="1" t="str">
        <f>"北京 北京市 海淀区 "</f>
        <v xml:space="preserve">北京 北京市 海淀区 </v>
      </c>
      <c r="N9740" s="1" t="str">
        <f t="shared" si="2666"/>
        <v>凡华云仓-韵达-微信视频号</v>
      </c>
      <c r="O9740" s="5">
        <v>315011989466756</v>
      </c>
      <c r="P9740" s="6">
        <v>0.28000000000000003</v>
      </c>
      <c r="Q9740" s="11">
        <v>2</v>
      </c>
      <c r="R9740" s="11"/>
      <c r="S9740" s="11"/>
      <c r="T9740" s="11"/>
      <c r="U9740" s="11">
        <f t="shared" si="2664"/>
        <v>2</v>
      </c>
      <c r="W9740">
        <v>2.2000000000000002</v>
      </c>
      <c r="X9740" s="1" t="s">
        <v>105</v>
      </c>
    </row>
    <row r="9741" spans="1:24" x14ac:dyDescent="0.25">
      <c r="A9741" s="1" t="str">
        <f t="shared" si="2659"/>
        <v>卡卡杜-凤凰仓</v>
      </c>
      <c r="B9741" s="1" t="str">
        <f>"CK2024100515430"</f>
        <v>CK2024100515430</v>
      </c>
      <c r="C9741" s="1" t="str">
        <f>"DD2024100526698"</f>
        <v>DD2024100526698</v>
      </c>
      <c r="D9741" s="1" t="str">
        <f>"CK2024100526697"</f>
        <v>CK2024100526697</v>
      </c>
      <c r="E9741" s="1" t="str">
        <f>"3723096416491803648"</f>
        <v>3723096416491803648</v>
      </c>
      <c r="F9741" s="1" t="str">
        <f t="shared" si="2660"/>
        <v>花都四部-凤凰仓</v>
      </c>
      <c r="G9741" s="1" t="str">
        <f t="shared" si="2665"/>
        <v>卡卡杜企业店（视频号）</v>
      </c>
      <c r="H9741" s="1" t="str">
        <f t="shared" si="2661"/>
        <v>正常订单</v>
      </c>
      <c r="I9741" s="1" t="str">
        <f t="shared" si="2662"/>
        <v>已发货</v>
      </c>
      <c r="J9741" s="1" t="str">
        <f t="shared" si="2663"/>
        <v>2</v>
      </c>
      <c r="K9741" s="1">
        <v>2</v>
      </c>
      <c r="L9741" s="1" t="s">
        <v>161</v>
      </c>
      <c r="M9741" s="1" t="str">
        <f>"四川省 成都市 双流区 "</f>
        <v xml:space="preserve">四川省 成都市 双流区 </v>
      </c>
      <c r="N9741" s="1" t="str">
        <f t="shared" si="2666"/>
        <v>凡华云仓-韵达-微信视频号</v>
      </c>
      <c r="O9741" s="5">
        <v>315011989464560</v>
      </c>
      <c r="P9741" s="6">
        <v>0.28000000000000003</v>
      </c>
      <c r="Q9741" s="11">
        <v>2</v>
      </c>
      <c r="R9741" s="11"/>
      <c r="S9741" s="11"/>
      <c r="T9741" s="11"/>
      <c r="U9741" s="11">
        <f t="shared" si="2664"/>
        <v>2</v>
      </c>
      <c r="W9741">
        <v>2.2000000000000002</v>
      </c>
      <c r="X9741" s="1" t="s">
        <v>161</v>
      </c>
    </row>
    <row r="9742" spans="1:24" x14ac:dyDescent="0.25">
      <c r="A9742" s="1" t="str">
        <f t="shared" si="2659"/>
        <v>卡卡杜-凤凰仓</v>
      </c>
      <c r="B9742" s="1" t="str">
        <f>"CK2024100515450"</f>
        <v>CK2024100515450</v>
      </c>
      <c r="C9742" s="1" t="str">
        <f>"DD2024100526720"</f>
        <v>DD2024100526720</v>
      </c>
      <c r="D9742" s="1" t="str">
        <f>"CK2024100526696"</f>
        <v>CK2024100526696</v>
      </c>
      <c r="E9742" s="1" t="str">
        <f>"3723094651232194560"</f>
        <v>3723094651232194560</v>
      </c>
      <c r="F9742" s="1" t="str">
        <f t="shared" si="2660"/>
        <v>花都四部-凤凰仓</v>
      </c>
      <c r="G9742" s="1" t="str">
        <f t="shared" si="2665"/>
        <v>卡卡杜企业店（视频号）</v>
      </c>
      <c r="H9742" s="1" t="str">
        <f t="shared" si="2661"/>
        <v>正常订单</v>
      </c>
      <c r="I9742" s="1" t="str">
        <f t="shared" si="2662"/>
        <v>已发货</v>
      </c>
      <c r="J9742" s="1" t="str">
        <f t="shared" si="2663"/>
        <v>2</v>
      </c>
      <c r="K9742" s="1">
        <v>2</v>
      </c>
      <c r="L9742" s="1" t="s">
        <v>20</v>
      </c>
      <c r="M9742" s="1" t="str">
        <f>"浙江省 宁波市 鄞州区 "</f>
        <v xml:space="preserve">浙江省 宁波市 鄞州区 </v>
      </c>
      <c r="N9742" s="1" t="str">
        <f t="shared" si="2666"/>
        <v>凡华云仓-韵达-微信视频号</v>
      </c>
      <c r="O9742" s="5">
        <v>315011989461105</v>
      </c>
      <c r="P9742" s="6">
        <v>0.28000000000000003</v>
      </c>
      <c r="Q9742" s="11">
        <v>2</v>
      </c>
      <c r="R9742" s="11"/>
      <c r="S9742" s="11"/>
      <c r="T9742" s="11"/>
      <c r="U9742" s="11">
        <f t="shared" si="2664"/>
        <v>2</v>
      </c>
      <c r="W9742">
        <v>2.2000000000000002</v>
      </c>
      <c r="X9742" s="1" t="s">
        <v>20</v>
      </c>
    </row>
    <row r="9743" spans="1:24" x14ac:dyDescent="0.25">
      <c r="A9743" s="1" t="str">
        <f t="shared" si="2659"/>
        <v>卡卡杜-凤凰仓</v>
      </c>
      <c r="B9743" s="1" t="str">
        <f>"CK2024100515362-1"</f>
        <v>CK2024100515362-1</v>
      </c>
      <c r="C9743" s="1" t="str">
        <f>"DD2024100526746"</f>
        <v>DD2024100526746</v>
      </c>
      <c r="D9743" s="1" t="str">
        <f>"CK2024100526695"</f>
        <v>CK2024100526695</v>
      </c>
      <c r="E9743" s="1" t="str">
        <f>"6917827781703859650"</f>
        <v>6917827781703859650</v>
      </c>
      <c r="F9743" s="1" t="str">
        <f t="shared" si="2660"/>
        <v>花都四部-凤凰仓</v>
      </c>
      <c r="G9743" s="1" t="str">
        <f t="shared" ref="G9743:G9806" si="2667">"卡卡杜个人护理店（抖店）"</f>
        <v>卡卡杜个人护理店（抖店）</v>
      </c>
      <c r="H9743" s="1" t="str">
        <f t="shared" si="2661"/>
        <v>正常订单</v>
      </c>
      <c r="I9743" s="1" t="str">
        <f t="shared" si="2662"/>
        <v>已发货</v>
      </c>
      <c r="J9743" s="1" t="str">
        <f t="shared" si="2663"/>
        <v>2</v>
      </c>
      <c r="K9743" s="1">
        <v>1</v>
      </c>
      <c r="L9743" s="1" t="s">
        <v>36</v>
      </c>
      <c r="M9743" s="1" t="str">
        <f>"安徽省 亳州市 蒙城县 "</f>
        <v xml:space="preserve">安徽省 亳州市 蒙城县 </v>
      </c>
      <c r="N9743" s="1" t="str">
        <f t="shared" ref="N9743:N9806" si="2668">"凡华云仓-韵达-抖音"</f>
        <v>凡华云仓-韵达-抖音</v>
      </c>
      <c r="O9743" s="5">
        <v>320156464765506</v>
      </c>
      <c r="P9743" s="6">
        <v>0.33</v>
      </c>
      <c r="Q9743" s="11">
        <v>2.2999999999999998</v>
      </c>
      <c r="R9743" s="11"/>
      <c r="S9743" s="11"/>
      <c r="T9743" s="11"/>
      <c r="U9743" s="11">
        <f t="shared" si="2664"/>
        <v>2.2999999999999998</v>
      </c>
      <c r="W9743">
        <v>2.5</v>
      </c>
      <c r="X9743" s="1" t="s">
        <v>36</v>
      </c>
    </row>
    <row r="9744" spans="1:24" x14ac:dyDescent="0.25">
      <c r="A9744" s="1" t="str">
        <f t="shared" si="2659"/>
        <v>卡卡杜-凤凰仓</v>
      </c>
      <c r="B9744" s="1" t="str">
        <f>"CK2024100515374-1"</f>
        <v>CK2024100515374-1</v>
      </c>
      <c r="C9744" s="1" t="str">
        <f>"DD2024100526758"</f>
        <v>DD2024100526758</v>
      </c>
      <c r="D9744" s="1" t="str">
        <f>"CK2024100526694"</f>
        <v>CK2024100526694</v>
      </c>
      <c r="E9744" s="1" t="str">
        <f>"6917827348266515924"</f>
        <v>6917827348266515924</v>
      </c>
      <c r="F9744" s="1" t="str">
        <f t="shared" si="2660"/>
        <v>花都四部-凤凰仓</v>
      </c>
      <c r="G9744" s="1" t="str">
        <f t="shared" si="2667"/>
        <v>卡卡杜个人护理店（抖店）</v>
      </c>
      <c r="H9744" s="1" t="str">
        <f t="shared" si="2661"/>
        <v>正常订单</v>
      </c>
      <c r="I9744" s="1" t="str">
        <f t="shared" si="2662"/>
        <v>已发货</v>
      </c>
      <c r="J9744" s="1" t="str">
        <f t="shared" si="2663"/>
        <v>2</v>
      </c>
      <c r="K9744" s="1">
        <v>1</v>
      </c>
      <c r="L9744" s="1" t="s">
        <v>20</v>
      </c>
      <c r="M9744" s="1" t="str">
        <f>"浙江省 台州市 路桥区 路南街道"</f>
        <v>浙江省 台州市 路桥区 路南街道</v>
      </c>
      <c r="N9744" s="1" t="str">
        <f t="shared" si="2668"/>
        <v>凡华云仓-韵达-抖音</v>
      </c>
      <c r="O9744" s="5">
        <v>320156464765409</v>
      </c>
      <c r="P9744" s="6">
        <v>0.33</v>
      </c>
      <c r="Q9744" s="11">
        <v>2.2999999999999998</v>
      </c>
      <c r="R9744" s="11"/>
      <c r="S9744" s="11"/>
      <c r="T9744" s="11"/>
      <c r="U9744" s="11">
        <f t="shared" si="2664"/>
        <v>2.2999999999999998</v>
      </c>
      <c r="W9744">
        <v>2.5</v>
      </c>
      <c r="X9744" s="1" t="s">
        <v>20</v>
      </c>
    </row>
    <row r="9745" spans="1:24" x14ac:dyDescent="0.25">
      <c r="A9745" s="1" t="str">
        <f t="shared" si="2659"/>
        <v>卡卡杜-凤凰仓</v>
      </c>
      <c r="B9745" s="1" t="str">
        <f>"CK2024100515375-1"</f>
        <v>CK2024100515375-1</v>
      </c>
      <c r="C9745" s="1" t="str">
        <f>"DD2024100526759"</f>
        <v>DD2024100526759</v>
      </c>
      <c r="D9745" s="1" t="str">
        <f>"CK2024100526693"</f>
        <v>CK2024100526693</v>
      </c>
      <c r="E9745" s="1" t="str">
        <f>"6917830009198247797"</f>
        <v>6917830009198247797</v>
      </c>
      <c r="F9745" s="1" t="str">
        <f t="shared" si="2660"/>
        <v>花都四部-凤凰仓</v>
      </c>
      <c r="G9745" s="1" t="str">
        <f t="shared" si="2667"/>
        <v>卡卡杜个人护理店（抖店）</v>
      </c>
      <c r="H9745" s="1" t="str">
        <f t="shared" si="2661"/>
        <v>正常订单</v>
      </c>
      <c r="I9745" s="1" t="str">
        <f t="shared" si="2662"/>
        <v>已发货</v>
      </c>
      <c r="J9745" s="1" t="str">
        <f t="shared" si="2663"/>
        <v>2</v>
      </c>
      <c r="K9745" s="1">
        <v>1</v>
      </c>
      <c r="L9745" s="1" t="s">
        <v>96</v>
      </c>
      <c r="M9745" s="1" t="str">
        <f>"广西壮族自治区 崇左市 大新县 桃城镇"</f>
        <v>广西壮族自治区 崇左市 大新县 桃城镇</v>
      </c>
      <c r="N9745" s="1" t="str">
        <f t="shared" si="2668"/>
        <v>凡华云仓-韵达-抖音</v>
      </c>
      <c r="O9745" s="5">
        <v>320156464765314</v>
      </c>
      <c r="P9745" s="6">
        <v>0.33</v>
      </c>
      <c r="Q9745" s="11">
        <v>2.2999999999999998</v>
      </c>
      <c r="R9745" s="11"/>
      <c r="S9745" s="11"/>
      <c r="T9745" s="11"/>
      <c r="U9745" s="11">
        <f t="shared" si="2664"/>
        <v>2.2999999999999998</v>
      </c>
      <c r="W9745">
        <v>2.5</v>
      </c>
      <c r="X9745" s="1" t="s">
        <v>96</v>
      </c>
    </row>
    <row r="9746" spans="1:24" x14ac:dyDescent="0.25">
      <c r="A9746" s="1" t="str">
        <f t="shared" si="2659"/>
        <v>卡卡杜-凤凰仓</v>
      </c>
      <c r="B9746" s="1" t="str">
        <f>"CK2024100515376-1"</f>
        <v>CK2024100515376-1</v>
      </c>
      <c r="C9746" s="1" t="str">
        <f>"DD2024100526760"</f>
        <v>DD2024100526760</v>
      </c>
      <c r="D9746" s="1" t="str">
        <f>"CK2024100526692"</f>
        <v>CK2024100526692</v>
      </c>
      <c r="E9746" s="1" t="str">
        <f>"6917825281395817532"</f>
        <v>6917825281395817532</v>
      </c>
      <c r="F9746" s="1" t="str">
        <f t="shared" si="2660"/>
        <v>花都四部-凤凰仓</v>
      </c>
      <c r="G9746" s="1" t="str">
        <f t="shared" si="2667"/>
        <v>卡卡杜个人护理店（抖店）</v>
      </c>
      <c r="H9746" s="1" t="str">
        <f t="shared" si="2661"/>
        <v>正常订单</v>
      </c>
      <c r="I9746" s="1" t="str">
        <f t="shared" si="2662"/>
        <v>已发货</v>
      </c>
      <c r="J9746" s="1" t="str">
        <f t="shared" si="2663"/>
        <v>2</v>
      </c>
      <c r="K9746" s="1">
        <v>1</v>
      </c>
      <c r="L9746" s="1" t="s">
        <v>18</v>
      </c>
      <c r="M9746" s="1" t="str">
        <f>"广东省 珠海市 金湾区 南水镇"</f>
        <v>广东省 珠海市 金湾区 南水镇</v>
      </c>
      <c r="N9746" s="1" t="str">
        <f t="shared" si="2668"/>
        <v>凡华云仓-韵达-抖音</v>
      </c>
      <c r="O9746" s="5">
        <v>320156464765221</v>
      </c>
      <c r="P9746" s="6">
        <v>0.33</v>
      </c>
      <c r="Q9746" s="11">
        <v>2.2999999999999998</v>
      </c>
      <c r="R9746" s="11"/>
      <c r="S9746" s="11"/>
      <c r="T9746" s="11"/>
      <c r="U9746" s="11">
        <f t="shared" si="2664"/>
        <v>2.2999999999999998</v>
      </c>
      <c r="W9746">
        <v>2.5</v>
      </c>
      <c r="X9746" s="1" t="s">
        <v>18</v>
      </c>
    </row>
    <row r="9747" spans="1:24" x14ac:dyDescent="0.25">
      <c r="A9747" s="1" t="str">
        <f t="shared" si="2659"/>
        <v>卡卡杜-凤凰仓</v>
      </c>
      <c r="B9747" s="1" t="str">
        <f>"CK2024100515372-1"</f>
        <v>CK2024100515372-1</v>
      </c>
      <c r="C9747" s="1" t="str">
        <f>"DD2024100526754"</f>
        <v>DD2024100526754</v>
      </c>
      <c r="D9747" s="1" t="str">
        <f>"CK2024100526691"</f>
        <v>CK2024100526691</v>
      </c>
      <c r="E9747" s="1" t="str">
        <f>"6917832529919376947"</f>
        <v>6917832529919376947</v>
      </c>
      <c r="F9747" s="1" t="str">
        <f t="shared" si="2660"/>
        <v>花都四部-凤凰仓</v>
      </c>
      <c r="G9747" s="1" t="str">
        <f t="shared" si="2667"/>
        <v>卡卡杜个人护理店（抖店）</v>
      </c>
      <c r="H9747" s="1" t="str">
        <f t="shared" si="2661"/>
        <v>正常订单</v>
      </c>
      <c r="I9747" s="1" t="str">
        <f t="shared" si="2662"/>
        <v>已发货</v>
      </c>
      <c r="J9747" s="1" t="str">
        <f t="shared" si="2663"/>
        <v>2</v>
      </c>
      <c r="K9747" s="1">
        <v>1</v>
      </c>
      <c r="L9747" s="1" t="s">
        <v>94</v>
      </c>
      <c r="M9747" s="1" t="str">
        <f>"湖南省 长沙市 开福区 "</f>
        <v xml:space="preserve">湖南省 长沙市 开福区 </v>
      </c>
      <c r="N9747" s="1" t="str">
        <f t="shared" si="2668"/>
        <v>凡华云仓-韵达-抖音</v>
      </c>
      <c r="O9747" s="5">
        <v>320156464765130</v>
      </c>
      <c r="P9747" s="6">
        <v>0.33</v>
      </c>
      <c r="Q9747" s="11">
        <v>2.2999999999999998</v>
      </c>
      <c r="R9747" s="11"/>
      <c r="S9747" s="11"/>
      <c r="T9747" s="11"/>
      <c r="U9747" s="11">
        <f t="shared" si="2664"/>
        <v>2.2999999999999998</v>
      </c>
      <c r="W9747">
        <v>2.5</v>
      </c>
      <c r="X9747" s="1" t="s">
        <v>94</v>
      </c>
    </row>
    <row r="9748" spans="1:24" x14ac:dyDescent="0.25">
      <c r="A9748" s="1" t="str">
        <f t="shared" si="2659"/>
        <v>卡卡杜-凤凰仓</v>
      </c>
      <c r="B9748" s="1" t="str">
        <f>"CK2024100515377-1"</f>
        <v>CK2024100515377-1</v>
      </c>
      <c r="C9748" s="1" t="str">
        <f>"DD2024100526761"</f>
        <v>DD2024100526761</v>
      </c>
      <c r="D9748" s="1" t="str">
        <f>"CK2024100526690"</f>
        <v>CK2024100526690</v>
      </c>
      <c r="E9748" s="1" t="str">
        <f>"6917832280823922378"</f>
        <v>6917832280823922378</v>
      </c>
      <c r="F9748" s="1" t="str">
        <f t="shared" si="2660"/>
        <v>花都四部-凤凰仓</v>
      </c>
      <c r="G9748" s="1" t="str">
        <f t="shared" si="2667"/>
        <v>卡卡杜个人护理店（抖店）</v>
      </c>
      <c r="H9748" s="1" t="str">
        <f t="shared" si="2661"/>
        <v>正常订单</v>
      </c>
      <c r="I9748" s="1" t="str">
        <f t="shared" si="2662"/>
        <v>已发货</v>
      </c>
      <c r="J9748" s="1" t="str">
        <f t="shared" si="2663"/>
        <v>2</v>
      </c>
      <c r="K9748" s="1">
        <v>1</v>
      </c>
      <c r="L9748" s="1" t="s">
        <v>20</v>
      </c>
      <c r="M9748" s="1" t="str">
        <f>"浙江省 杭州市 桐庐县 江南镇"</f>
        <v>浙江省 杭州市 桐庐县 江南镇</v>
      </c>
      <c r="N9748" s="1" t="str">
        <f t="shared" si="2668"/>
        <v>凡华云仓-韵达-抖音</v>
      </c>
      <c r="O9748" s="5">
        <v>320156464765041</v>
      </c>
      <c r="P9748" s="6">
        <v>0.33</v>
      </c>
      <c r="Q9748" s="11">
        <v>2.2999999999999998</v>
      </c>
      <c r="R9748" s="11"/>
      <c r="S9748" s="11"/>
      <c r="T9748" s="11"/>
      <c r="U9748" s="11">
        <f t="shared" si="2664"/>
        <v>2.2999999999999998</v>
      </c>
      <c r="W9748">
        <v>2.5</v>
      </c>
      <c r="X9748" s="1" t="s">
        <v>20</v>
      </c>
    </row>
    <row r="9749" spans="1:24" x14ac:dyDescent="0.25">
      <c r="A9749" s="1" t="str">
        <f t="shared" si="2659"/>
        <v>卡卡杜-凤凰仓</v>
      </c>
      <c r="B9749" s="1" t="str">
        <f>"CK2024100515379-1"</f>
        <v>CK2024100515379-1</v>
      </c>
      <c r="C9749" s="1" t="str">
        <f>"DD2024100526763"</f>
        <v>DD2024100526763</v>
      </c>
      <c r="D9749" s="1" t="str">
        <f>"CK2024100526689"</f>
        <v>CK2024100526689</v>
      </c>
      <c r="E9749" s="1" t="str">
        <f>"6917827535464005415"</f>
        <v>6917827535464005415</v>
      </c>
      <c r="F9749" s="1" t="str">
        <f t="shared" si="2660"/>
        <v>花都四部-凤凰仓</v>
      </c>
      <c r="G9749" s="1" t="str">
        <f t="shared" si="2667"/>
        <v>卡卡杜个人护理店（抖店）</v>
      </c>
      <c r="H9749" s="1" t="str">
        <f t="shared" si="2661"/>
        <v>正常订单</v>
      </c>
      <c r="I9749" s="1" t="str">
        <f t="shared" si="2662"/>
        <v>已发货</v>
      </c>
      <c r="J9749" s="1" t="str">
        <f t="shared" si="2663"/>
        <v>2</v>
      </c>
      <c r="K9749" s="1">
        <v>1</v>
      </c>
      <c r="L9749" s="1" t="s">
        <v>96</v>
      </c>
      <c r="M9749" s="1" t="str">
        <f>"广西壮族自治区 玉林市 博白县 博白镇"</f>
        <v>广西壮族自治区 玉林市 博白县 博白镇</v>
      </c>
      <c r="N9749" s="1" t="str">
        <f t="shared" si="2668"/>
        <v>凡华云仓-韵达-抖音</v>
      </c>
      <c r="O9749" s="5">
        <v>320156474428432</v>
      </c>
      <c r="P9749" s="6">
        <v>0.33</v>
      </c>
      <c r="Q9749" s="11">
        <v>2.2999999999999998</v>
      </c>
      <c r="R9749" s="11"/>
      <c r="S9749" s="11"/>
      <c r="T9749" s="11"/>
      <c r="U9749" s="11">
        <f t="shared" si="2664"/>
        <v>2.2999999999999998</v>
      </c>
      <c r="W9749">
        <v>2.5</v>
      </c>
      <c r="X9749" s="1" t="s">
        <v>96</v>
      </c>
    </row>
    <row r="9750" spans="1:24" x14ac:dyDescent="0.25">
      <c r="A9750" s="1" t="str">
        <f t="shared" si="2659"/>
        <v>卡卡杜-凤凰仓</v>
      </c>
      <c r="B9750" s="1" t="str">
        <f>"CK2024100515380-1"</f>
        <v>CK2024100515380-1</v>
      </c>
      <c r="C9750" s="1" t="str">
        <f>"DD2024100526764"</f>
        <v>DD2024100526764</v>
      </c>
      <c r="D9750" s="1" t="str">
        <f>"CK2024100526688"</f>
        <v>CK2024100526688</v>
      </c>
      <c r="E9750" s="1" t="str">
        <f>"6917834292593130974"</f>
        <v>6917834292593130974</v>
      </c>
      <c r="F9750" s="1" t="str">
        <f t="shared" si="2660"/>
        <v>花都四部-凤凰仓</v>
      </c>
      <c r="G9750" s="1" t="str">
        <f t="shared" si="2667"/>
        <v>卡卡杜个人护理店（抖店）</v>
      </c>
      <c r="H9750" s="1" t="str">
        <f t="shared" si="2661"/>
        <v>正常订单</v>
      </c>
      <c r="I9750" s="1" t="str">
        <f t="shared" si="2662"/>
        <v>已发货</v>
      </c>
      <c r="J9750" s="1" t="str">
        <f t="shared" si="2663"/>
        <v>2</v>
      </c>
      <c r="K9750" s="1">
        <v>1</v>
      </c>
      <c r="L9750" s="1" t="s">
        <v>94</v>
      </c>
      <c r="M9750" s="1" t="str">
        <f>"湖南省 长沙市 岳麓区 岳麓街道"</f>
        <v>湖南省 长沙市 岳麓区 岳麓街道</v>
      </c>
      <c r="N9750" s="1" t="str">
        <f t="shared" si="2668"/>
        <v>凡华云仓-韵达-抖音</v>
      </c>
      <c r="O9750" s="5">
        <v>320156474428337</v>
      </c>
      <c r="P9750" s="6">
        <v>0.33</v>
      </c>
      <c r="Q9750" s="11">
        <v>2.2999999999999998</v>
      </c>
      <c r="R9750" s="11"/>
      <c r="S9750" s="11"/>
      <c r="T9750" s="11"/>
      <c r="U9750" s="11">
        <f t="shared" si="2664"/>
        <v>2.2999999999999998</v>
      </c>
      <c r="W9750">
        <v>2.5</v>
      </c>
      <c r="X9750" s="1" t="s">
        <v>94</v>
      </c>
    </row>
    <row r="9751" spans="1:24" x14ac:dyDescent="0.25">
      <c r="A9751" s="1" t="str">
        <f t="shared" si="2659"/>
        <v>卡卡杜-凤凰仓</v>
      </c>
      <c r="B9751" s="1" t="str">
        <f>"CK2024100515373-1"</f>
        <v>CK2024100515373-1</v>
      </c>
      <c r="C9751" s="1" t="str">
        <f>"DD2024100526756"</f>
        <v>DD2024100526756</v>
      </c>
      <c r="D9751" s="1" t="str">
        <f>"CK2024100526687"</f>
        <v>CK2024100526687</v>
      </c>
      <c r="E9751" s="1" t="str">
        <f>"6917834571676614342"</f>
        <v>6917834571676614342</v>
      </c>
      <c r="F9751" s="1" t="str">
        <f t="shared" si="2660"/>
        <v>花都四部-凤凰仓</v>
      </c>
      <c r="G9751" s="1" t="str">
        <f t="shared" si="2667"/>
        <v>卡卡杜个人护理店（抖店）</v>
      </c>
      <c r="H9751" s="1" t="str">
        <f t="shared" si="2661"/>
        <v>正常订单</v>
      </c>
      <c r="I9751" s="1" t="str">
        <f t="shared" si="2662"/>
        <v>已发货</v>
      </c>
      <c r="J9751" s="1" t="str">
        <f t="shared" si="2663"/>
        <v>2</v>
      </c>
      <c r="K9751" s="1">
        <v>1</v>
      </c>
      <c r="L9751" s="1" t="s">
        <v>94</v>
      </c>
      <c r="M9751" s="1" t="str">
        <f>"湖南省 邵阳市 武冈市 迎春亭街道"</f>
        <v>湖南省 邵阳市 武冈市 迎春亭街道</v>
      </c>
      <c r="N9751" s="1" t="str">
        <f t="shared" si="2668"/>
        <v>凡华云仓-韵达-抖音</v>
      </c>
      <c r="O9751" s="5">
        <v>320156474428244</v>
      </c>
      <c r="P9751" s="6">
        <v>0.33</v>
      </c>
      <c r="Q9751" s="11">
        <v>2.2999999999999998</v>
      </c>
      <c r="R9751" s="11"/>
      <c r="S9751" s="11"/>
      <c r="T9751" s="11"/>
      <c r="U9751" s="11">
        <f t="shared" si="2664"/>
        <v>2.2999999999999998</v>
      </c>
      <c r="W9751">
        <v>2.5</v>
      </c>
      <c r="X9751" s="1" t="s">
        <v>94</v>
      </c>
    </row>
    <row r="9752" spans="1:24" x14ac:dyDescent="0.25">
      <c r="A9752" s="1" t="str">
        <f t="shared" si="2659"/>
        <v>卡卡杜-凤凰仓</v>
      </c>
      <c r="B9752" s="1" t="str">
        <f>"CK2024100515378-1"</f>
        <v>CK2024100515378-1</v>
      </c>
      <c r="C9752" s="1" t="str">
        <f>"DD2024100526762"</f>
        <v>DD2024100526762</v>
      </c>
      <c r="D9752" s="1" t="str">
        <f>"CK2024100526686"</f>
        <v>CK2024100526686</v>
      </c>
      <c r="E9752" s="1" t="str">
        <f>"6917832381753949645"</f>
        <v>6917832381753949645</v>
      </c>
      <c r="F9752" s="1" t="str">
        <f t="shared" si="2660"/>
        <v>花都四部-凤凰仓</v>
      </c>
      <c r="G9752" s="1" t="str">
        <f t="shared" si="2667"/>
        <v>卡卡杜个人护理店（抖店）</v>
      </c>
      <c r="H9752" s="1" t="str">
        <f t="shared" si="2661"/>
        <v>正常订单</v>
      </c>
      <c r="I9752" s="1" t="str">
        <f t="shared" si="2662"/>
        <v>已发货</v>
      </c>
      <c r="J9752" s="1" t="str">
        <f t="shared" si="2663"/>
        <v>2</v>
      </c>
      <c r="K9752" s="1">
        <v>1</v>
      </c>
      <c r="L9752" s="1" t="s">
        <v>44</v>
      </c>
      <c r="M9752" s="1" t="str">
        <f>"海南省 临高县 临高县 临城镇"</f>
        <v>海南省 临高县 临高县 临城镇</v>
      </c>
      <c r="N9752" s="1" t="str">
        <f t="shared" si="2668"/>
        <v>凡华云仓-韵达-抖音</v>
      </c>
      <c r="O9752" s="5">
        <v>320156474428153</v>
      </c>
      <c r="P9752" s="6">
        <v>0.33</v>
      </c>
      <c r="Q9752" s="11">
        <v>2.2999999999999998</v>
      </c>
      <c r="R9752" s="11"/>
      <c r="S9752" s="11"/>
      <c r="T9752" s="11"/>
      <c r="U9752" s="11">
        <f t="shared" si="2664"/>
        <v>2.2999999999999998</v>
      </c>
      <c r="W9752">
        <v>2.5</v>
      </c>
      <c r="X9752" s="1" t="s">
        <v>44</v>
      </c>
    </row>
    <row r="9753" spans="1:24" x14ac:dyDescent="0.25">
      <c r="A9753" s="1" t="str">
        <f t="shared" si="2659"/>
        <v>卡卡杜-凤凰仓</v>
      </c>
      <c r="B9753" s="1" t="str">
        <f>"CK2024100515361-1"</f>
        <v>CK2024100515361-1</v>
      </c>
      <c r="C9753" s="1" t="str">
        <f>"DD2024100526743"</f>
        <v>DD2024100526743</v>
      </c>
      <c r="D9753" s="1" t="str">
        <f>"CK2024100526685"</f>
        <v>CK2024100526685</v>
      </c>
      <c r="E9753" s="1" t="str">
        <f>"6917827461811698817"</f>
        <v>6917827461811698817</v>
      </c>
      <c r="F9753" s="1" t="str">
        <f t="shared" si="2660"/>
        <v>花都四部-凤凰仓</v>
      </c>
      <c r="G9753" s="1" t="str">
        <f t="shared" si="2667"/>
        <v>卡卡杜个人护理店（抖店）</v>
      </c>
      <c r="H9753" s="1" t="str">
        <f t="shared" si="2661"/>
        <v>正常订单</v>
      </c>
      <c r="I9753" s="1" t="str">
        <f t="shared" si="2662"/>
        <v>已发货</v>
      </c>
      <c r="J9753" s="1" t="str">
        <f t="shared" si="2663"/>
        <v>2</v>
      </c>
      <c r="K9753" s="1">
        <v>1</v>
      </c>
      <c r="L9753" s="1" t="s">
        <v>74</v>
      </c>
      <c r="M9753" s="1" t="str">
        <f>"上海 上海市 奉贤区 南桥镇"</f>
        <v>上海 上海市 奉贤区 南桥镇</v>
      </c>
      <c r="N9753" s="1" t="str">
        <f t="shared" si="2668"/>
        <v>凡华云仓-韵达-抖音</v>
      </c>
      <c r="O9753" s="5">
        <v>320156474428064</v>
      </c>
      <c r="P9753" s="6">
        <v>0.33</v>
      </c>
      <c r="Q9753" s="11">
        <v>2.2999999999999998</v>
      </c>
      <c r="R9753" s="11"/>
      <c r="S9753" s="11"/>
      <c r="T9753" s="11"/>
      <c r="U9753" s="11">
        <f t="shared" si="2664"/>
        <v>2.2999999999999998</v>
      </c>
      <c r="W9753">
        <v>2.5</v>
      </c>
      <c r="X9753" s="1" t="s">
        <v>74</v>
      </c>
    </row>
    <row r="9754" spans="1:24" x14ac:dyDescent="0.25">
      <c r="A9754" s="1" t="str">
        <f t="shared" si="2659"/>
        <v>卡卡杜-凤凰仓</v>
      </c>
      <c r="B9754" s="1" t="str">
        <f>"CK2024100515371-1"</f>
        <v>CK2024100515371-1</v>
      </c>
      <c r="C9754" s="1" t="str">
        <f>"DD2024100526757"</f>
        <v>DD2024100526757</v>
      </c>
      <c r="D9754" s="1" t="str">
        <f>"CK2024100526684"</f>
        <v>CK2024100526684</v>
      </c>
      <c r="E9754" s="1" t="str">
        <f>"6917825057660370317"</f>
        <v>6917825057660370317</v>
      </c>
      <c r="F9754" s="1" t="str">
        <f t="shared" si="2660"/>
        <v>花都四部-凤凰仓</v>
      </c>
      <c r="G9754" s="1" t="str">
        <f t="shared" si="2667"/>
        <v>卡卡杜个人护理店（抖店）</v>
      </c>
      <c r="H9754" s="1" t="str">
        <f t="shared" si="2661"/>
        <v>正常订单</v>
      </c>
      <c r="I9754" s="1" t="str">
        <f t="shared" si="2662"/>
        <v>已发货</v>
      </c>
      <c r="J9754" s="1" t="str">
        <f t="shared" si="2663"/>
        <v>2</v>
      </c>
      <c r="K9754" s="1">
        <v>1</v>
      </c>
      <c r="L9754" s="1" t="s">
        <v>30</v>
      </c>
      <c r="M9754" s="1" t="str">
        <f>"山东省 德州市 德城区 "</f>
        <v xml:space="preserve">山东省 德州市 德城区 </v>
      </c>
      <c r="N9754" s="1" t="str">
        <f t="shared" si="2668"/>
        <v>凡华云仓-韵达-抖音</v>
      </c>
      <c r="O9754" s="5">
        <v>320156474427934</v>
      </c>
      <c r="P9754" s="6">
        <v>0.33</v>
      </c>
      <c r="Q9754" s="11">
        <v>2.2999999999999998</v>
      </c>
      <c r="R9754" s="11"/>
      <c r="S9754" s="11"/>
      <c r="T9754" s="11"/>
      <c r="U9754" s="11">
        <f t="shared" si="2664"/>
        <v>2.2999999999999998</v>
      </c>
      <c r="W9754">
        <v>2.5</v>
      </c>
      <c r="X9754" s="1" t="s">
        <v>30</v>
      </c>
    </row>
    <row r="9755" spans="1:24" x14ac:dyDescent="0.25">
      <c r="A9755" s="1" t="str">
        <f t="shared" si="2659"/>
        <v>卡卡杜-凤凰仓</v>
      </c>
      <c r="B9755" s="1" t="str">
        <f>"CK2024100515381-1"</f>
        <v>CK2024100515381-1</v>
      </c>
      <c r="C9755" s="1" t="str">
        <f>"DD2024100526765"</f>
        <v>DD2024100526765</v>
      </c>
      <c r="D9755" s="1" t="str">
        <f>"CK2024100526683"</f>
        <v>CK2024100526683</v>
      </c>
      <c r="E9755" s="1" t="str">
        <f>"6917834140082339351"</f>
        <v>6917834140082339351</v>
      </c>
      <c r="F9755" s="1" t="str">
        <f t="shared" si="2660"/>
        <v>花都四部-凤凰仓</v>
      </c>
      <c r="G9755" s="1" t="str">
        <f t="shared" si="2667"/>
        <v>卡卡杜个人护理店（抖店）</v>
      </c>
      <c r="H9755" s="1" t="str">
        <f t="shared" si="2661"/>
        <v>正常订单</v>
      </c>
      <c r="I9755" s="1" t="str">
        <f t="shared" si="2662"/>
        <v>已发货</v>
      </c>
      <c r="J9755" s="1" t="str">
        <f t="shared" si="2663"/>
        <v>2</v>
      </c>
      <c r="K9755" s="1">
        <v>1</v>
      </c>
      <c r="L9755" s="1" t="s">
        <v>20</v>
      </c>
      <c r="M9755" s="1" t="str">
        <f>"浙江省 宁波市 奉化区 尚田街道"</f>
        <v>浙江省 宁波市 奉化区 尚田街道</v>
      </c>
      <c r="N9755" s="1" t="str">
        <f t="shared" si="2668"/>
        <v>凡华云仓-韵达-抖音</v>
      </c>
      <c r="O9755" s="5">
        <v>320156474427829</v>
      </c>
      <c r="P9755" s="6">
        <v>0.33</v>
      </c>
      <c r="Q9755" s="11">
        <v>2.2999999999999998</v>
      </c>
      <c r="R9755" s="11"/>
      <c r="S9755" s="11"/>
      <c r="T9755" s="11"/>
      <c r="U9755" s="11">
        <f t="shared" si="2664"/>
        <v>2.2999999999999998</v>
      </c>
      <c r="W9755">
        <v>2.5</v>
      </c>
      <c r="X9755" s="1" t="s">
        <v>20</v>
      </c>
    </row>
    <row r="9756" spans="1:24" x14ac:dyDescent="0.25">
      <c r="A9756" s="1" t="str">
        <f t="shared" si="2659"/>
        <v>卡卡杜-凤凰仓</v>
      </c>
      <c r="B9756" s="1" t="str">
        <f>"CK2024100515363-1"</f>
        <v>CK2024100515363-1</v>
      </c>
      <c r="C9756" s="1" t="str">
        <f>"DD2024100526748"</f>
        <v>DD2024100526748</v>
      </c>
      <c r="D9756" s="1" t="str">
        <f>"CK2024100526682"</f>
        <v>CK2024100526682</v>
      </c>
      <c r="E9756" s="1" t="str">
        <f>"6917832630458875591"</f>
        <v>6917832630458875591</v>
      </c>
      <c r="F9756" s="1" t="str">
        <f t="shared" si="2660"/>
        <v>花都四部-凤凰仓</v>
      </c>
      <c r="G9756" s="1" t="str">
        <f t="shared" si="2667"/>
        <v>卡卡杜个人护理店（抖店）</v>
      </c>
      <c r="H9756" s="1" t="str">
        <f t="shared" si="2661"/>
        <v>正常订单</v>
      </c>
      <c r="I9756" s="1" t="str">
        <f t="shared" si="2662"/>
        <v>已发货</v>
      </c>
      <c r="J9756" s="1" t="str">
        <f t="shared" si="2663"/>
        <v>2</v>
      </c>
      <c r="K9756" s="1">
        <v>1</v>
      </c>
      <c r="L9756" s="1" t="s">
        <v>18</v>
      </c>
      <c r="M9756" s="1" t="str">
        <f>"广东省 深圳市 龙岗区 吉华街道"</f>
        <v>广东省 深圳市 龙岗区 吉华街道</v>
      </c>
      <c r="N9756" s="1" t="str">
        <f t="shared" si="2668"/>
        <v>凡华云仓-韵达-抖音</v>
      </c>
      <c r="O9756" s="5">
        <v>320156474427726</v>
      </c>
      <c r="P9756" s="6">
        <v>0.33</v>
      </c>
      <c r="Q9756" s="11">
        <v>2.2999999999999998</v>
      </c>
      <c r="R9756" s="11"/>
      <c r="S9756" s="11"/>
      <c r="T9756" s="11"/>
      <c r="U9756" s="11">
        <f t="shared" si="2664"/>
        <v>2.2999999999999998</v>
      </c>
      <c r="W9756">
        <v>2.5</v>
      </c>
      <c r="X9756" s="1" t="s">
        <v>18</v>
      </c>
    </row>
    <row r="9757" spans="1:24" x14ac:dyDescent="0.25">
      <c r="A9757" s="1" t="str">
        <f t="shared" si="2659"/>
        <v>卡卡杜-凤凰仓</v>
      </c>
      <c r="B9757" s="1" t="str">
        <f>"CK2024100515360-1"</f>
        <v>CK2024100515360-1</v>
      </c>
      <c r="C9757" s="1" t="str">
        <f>"DD2024100526745"</f>
        <v>DD2024100526745</v>
      </c>
      <c r="D9757" s="1" t="str">
        <f>"CK2024100526681"</f>
        <v>CK2024100526681</v>
      </c>
      <c r="E9757" s="1" t="str">
        <f>"6917829942796975179"</f>
        <v>6917829942796975179</v>
      </c>
      <c r="F9757" s="1" t="str">
        <f t="shared" si="2660"/>
        <v>花都四部-凤凰仓</v>
      </c>
      <c r="G9757" s="1" t="str">
        <f t="shared" si="2667"/>
        <v>卡卡杜个人护理店（抖店）</v>
      </c>
      <c r="H9757" s="1" t="str">
        <f t="shared" si="2661"/>
        <v>正常订单</v>
      </c>
      <c r="I9757" s="1" t="str">
        <f t="shared" si="2662"/>
        <v>已发货</v>
      </c>
      <c r="J9757" s="1" t="str">
        <f t="shared" si="2663"/>
        <v>2</v>
      </c>
      <c r="K9757" s="1">
        <v>1</v>
      </c>
      <c r="L9757" s="1" t="s">
        <v>30</v>
      </c>
      <c r="M9757" s="1" t="str">
        <f>"山东省 滨州市 博兴县 锦秋街道"</f>
        <v>山东省 滨州市 博兴县 锦秋街道</v>
      </c>
      <c r="N9757" s="1" t="str">
        <f t="shared" si="2668"/>
        <v>凡华云仓-韵达-抖音</v>
      </c>
      <c r="O9757" s="5">
        <v>320156474427625</v>
      </c>
      <c r="P9757" s="6">
        <v>0.33</v>
      </c>
      <c r="Q9757" s="11">
        <v>2.2999999999999998</v>
      </c>
      <c r="R9757" s="11"/>
      <c r="S9757" s="11"/>
      <c r="T9757" s="11"/>
      <c r="U9757" s="11">
        <f t="shared" si="2664"/>
        <v>2.2999999999999998</v>
      </c>
      <c r="W9757">
        <v>2.5</v>
      </c>
      <c r="X9757" s="1" t="s">
        <v>30</v>
      </c>
    </row>
    <row r="9758" spans="1:24" x14ac:dyDescent="0.25">
      <c r="A9758" s="1" t="str">
        <f t="shared" si="2659"/>
        <v>卡卡杜-凤凰仓</v>
      </c>
      <c r="B9758" s="1" t="str">
        <f>"CK2024100515364-1"</f>
        <v>CK2024100515364-1</v>
      </c>
      <c r="C9758" s="1" t="str">
        <f>"DD2024100526749"</f>
        <v>DD2024100526749</v>
      </c>
      <c r="D9758" s="1" t="str">
        <f>"CK2024100526680"</f>
        <v>CK2024100526680</v>
      </c>
      <c r="E9758" s="1" t="str">
        <f>"6917825363183763251"</f>
        <v>6917825363183763251</v>
      </c>
      <c r="F9758" s="1" t="str">
        <f t="shared" si="2660"/>
        <v>花都四部-凤凰仓</v>
      </c>
      <c r="G9758" s="1" t="str">
        <f t="shared" si="2667"/>
        <v>卡卡杜个人护理店（抖店）</v>
      </c>
      <c r="H9758" s="1" t="str">
        <f t="shared" si="2661"/>
        <v>正常订单</v>
      </c>
      <c r="I9758" s="1" t="str">
        <f t="shared" si="2662"/>
        <v>已发货</v>
      </c>
      <c r="J9758" s="1" t="str">
        <f t="shared" si="2663"/>
        <v>2</v>
      </c>
      <c r="K9758" s="1">
        <v>1</v>
      </c>
      <c r="L9758" s="1" t="s">
        <v>30</v>
      </c>
      <c r="M9758" s="1" t="str">
        <f>"山东省 烟台市 龙口市 徐福街道"</f>
        <v>山东省 烟台市 龙口市 徐福街道</v>
      </c>
      <c r="N9758" s="1" t="str">
        <f t="shared" si="2668"/>
        <v>凡华云仓-韵达-抖音</v>
      </c>
      <c r="O9758" s="5">
        <v>320156474427526</v>
      </c>
      <c r="P9758" s="6">
        <v>0.33</v>
      </c>
      <c r="Q9758" s="11">
        <v>2.2999999999999998</v>
      </c>
      <c r="R9758" s="11"/>
      <c r="S9758" s="11"/>
      <c r="T9758" s="11"/>
      <c r="U9758" s="11">
        <f t="shared" si="2664"/>
        <v>2.2999999999999998</v>
      </c>
      <c r="W9758">
        <v>2.5</v>
      </c>
      <c r="X9758" s="1" t="s">
        <v>30</v>
      </c>
    </row>
    <row r="9759" spans="1:24" x14ac:dyDescent="0.25">
      <c r="A9759" s="1" t="str">
        <f t="shared" si="2659"/>
        <v>卡卡杜-凤凰仓</v>
      </c>
      <c r="B9759" s="1" t="str">
        <f>"CK2024100515370-1"</f>
        <v>CK2024100515370-1</v>
      </c>
      <c r="C9759" s="1" t="str">
        <f>"DD2024100526755"</f>
        <v>DD2024100526755</v>
      </c>
      <c r="D9759" s="1" t="str">
        <f>"CK2024100526679"</f>
        <v>CK2024100526679</v>
      </c>
      <c r="E9759" s="1" t="str">
        <f>"6917832419607609080"</f>
        <v>6917832419607609080</v>
      </c>
      <c r="F9759" s="1" t="str">
        <f t="shared" si="2660"/>
        <v>花都四部-凤凰仓</v>
      </c>
      <c r="G9759" s="1" t="str">
        <f t="shared" si="2667"/>
        <v>卡卡杜个人护理店（抖店）</v>
      </c>
      <c r="H9759" s="1" t="str">
        <f t="shared" si="2661"/>
        <v>正常订单</v>
      </c>
      <c r="I9759" s="1" t="str">
        <f t="shared" si="2662"/>
        <v>已发货</v>
      </c>
      <c r="J9759" s="1" t="str">
        <f t="shared" si="2663"/>
        <v>2</v>
      </c>
      <c r="K9759" s="1">
        <v>1</v>
      </c>
      <c r="L9759" s="1" t="s">
        <v>36</v>
      </c>
      <c r="M9759" s="1" t="str">
        <f>"安徽省 宣城市 宣州区 "</f>
        <v xml:space="preserve">安徽省 宣城市 宣州区 </v>
      </c>
      <c r="N9759" s="1" t="str">
        <f t="shared" si="2668"/>
        <v>凡华云仓-韵达-抖音</v>
      </c>
      <c r="O9759" s="5">
        <v>320156468801004</v>
      </c>
      <c r="P9759" s="6">
        <v>0.33</v>
      </c>
      <c r="Q9759" s="11">
        <v>2.2999999999999998</v>
      </c>
      <c r="R9759" s="11"/>
      <c r="S9759" s="11"/>
      <c r="T9759" s="11"/>
      <c r="U9759" s="11">
        <f t="shared" si="2664"/>
        <v>2.2999999999999998</v>
      </c>
      <c r="W9759">
        <v>2.5</v>
      </c>
      <c r="X9759" s="1" t="s">
        <v>36</v>
      </c>
    </row>
    <row r="9760" spans="1:24" x14ac:dyDescent="0.25">
      <c r="A9760" s="1" t="str">
        <f t="shared" si="2659"/>
        <v>卡卡杜-凤凰仓</v>
      </c>
      <c r="B9760" s="1" t="str">
        <f>"CK2024100515365-1"</f>
        <v>CK2024100515365-1</v>
      </c>
      <c r="C9760" s="1" t="str">
        <f>"DD2024100526747"</f>
        <v>DD2024100526747</v>
      </c>
      <c r="D9760" s="1" t="str">
        <f>"CK2024100526678"</f>
        <v>CK2024100526678</v>
      </c>
      <c r="E9760" s="1" t="str">
        <f>"6917825232419257731"</f>
        <v>6917825232419257731</v>
      </c>
      <c r="F9760" s="1" t="str">
        <f t="shared" si="2660"/>
        <v>花都四部-凤凰仓</v>
      </c>
      <c r="G9760" s="1" t="str">
        <f t="shared" si="2667"/>
        <v>卡卡杜个人护理店（抖店）</v>
      </c>
      <c r="H9760" s="1" t="str">
        <f t="shared" si="2661"/>
        <v>正常订单</v>
      </c>
      <c r="I9760" s="1" t="str">
        <f t="shared" si="2662"/>
        <v>已发货</v>
      </c>
      <c r="J9760" s="1" t="str">
        <f t="shared" si="2663"/>
        <v>2</v>
      </c>
      <c r="K9760" s="1">
        <v>1</v>
      </c>
      <c r="L9760" s="1" t="s">
        <v>13</v>
      </c>
      <c r="M9760" s="1" t="str">
        <f>"江苏省 苏州市 昆山市 玉山镇"</f>
        <v>江苏省 苏州市 昆山市 玉山镇</v>
      </c>
      <c r="N9760" s="1" t="str">
        <f t="shared" si="2668"/>
        <v>凡华云仓-韵达-抖音</v>
      </c>
      <c r="O9760" s="5">
        <v>320156468800988</v>
      </c>
      <c r="P9760" s="6">
        <v>0.33</v>
      </c>
      <c r="Q9760" s="11">
        <v>2.2999999999999998</v>
      </c>
      <c r="R9760" s="11"/>
      <c r="S9760" s="11"/>
      <c r="T9760" s="11"/>
      <c r="U9760" s="11">
        <f t="shared" si="2664"/>
        <v>2.2999999999999998</v>
      </c>
      <c r="W9760">
        <v>2.5</v>
      </c>
      <c r="X9760" s="1" t="s">
        <v>13</v>
      </c>
    </row>
    <row r="9761" spans="1:24" x14ac:dyDescent="0.25">
      <c r="A9761" s="1" t="str">
        <f t="shared" si="2659"/>
        <v>卡卡杜-凤凰仓</v>
      </c>
      <c r="B9761" s="1" t="str">
        <f>"CK2024100515367-1"</f>
        <v>CK2024100515367-1</v>
      </c>
      <c r="C9761" s="1" t="str">
        <f>"DD2024100526750"</f>
        <v>DD2024100526750</v>
      </c>
      <c r="D9761" s="1" t="str">
        <f>"CK2024100526677"</f>
        <v>CK2024100526677</v>
      </c>
      <c r="E9761" s="1" t="str">
        <f>"6917827830535912729"</f>
        <v>6917827830535912729</v>
      </c>
      <c r="F9761" s="1" t="str">
        <f t="shared" si="2660"/>
        <v>花都四部-凤凰仓</v>
      </c>
      <c r="G9761" s="1" t="str">
        <f t="shared" si="2667"/>
        <v>卡卡杜个人护理店（抖店）</v>
      </c>
      <c r="H9761" s="1" t="str">
        <f t="shared" si="2661"/>
        <v>正常订单</v>
      </c>
      <c r="I9761" s="1" t="str">
        <f t="shared" si="2662"/>
        <v>已发货</v>
      </c>
      <c r="J9761" s="1" t="str">
        <f t="shared" si="2663"/>
        <v>2</v>
      </c>
      <c r="K9761" s="1">
        <v>1</v>
      </c>
      <c r="L9761" s="1" t="s">
        <v>41</v>
      </c>
      <c r="M9761" s="1" t="str">
        <f>"湖北省 恩施土家族苗族自治州 咸丰县 高乐山镇"</f>
        <v>湖北省 恩施土家族苗族自治州 咸丰县 高乐山镇</v>
      </c>
      <c r="N9761" s="1" t="str">
        <f t="shared" si="2668"/>
        <v>凡华云仓-韵达-抖音</v>
      </c>
      <c r="O9761" s="5">
        <v>320156468800883</v>
      </c>
      <c r="P9761" s="6">
        <v>0.33</v>
      </c>
      <c r="Q9761" s="11">
        <v>2.2999999999999998</v>
      </c>
      <c r="R9761" s="11"/>
      <c r="S9761" s="11"/>
      <c r="T9761" s="11"/>
      <c r="U9761" s="11">
        <f t="shared" si="2664"/>
        <v>2.2999999999999998</v>
      </c>
      <c r="W9761">
        <v>2.5</v>
      </c>
      <c r="X9761" s="1" t="s">
        <v>41</v>
      </c>
    </row>
    <row r="9762" spans="1:24" x14ac:dyDescent="0.25">
      <c r="A9762" s="1" t="str">
        <f t="shared" si="2659"/>
        <v>卡卡杜-凤凰仓</v>
      </c>
      <c r="B9762" s="1" t="str">
        <f>"CK2024100515368-1"</f>
        <v>CK2024100515368-1</v>
      </c>
      <c r="C9762" s="1" t="str">
        <f>"DD2024100526752"</f>
        <v>DD2024100526752</v>
      </c>
      <c r="D9762" s="1" t="str">
        <f>"CK2024100526676"</f>
        <v>CK2024100526676</v>
      </c>
      <c r="E9762" s="1" t="str">
        <f>"6917830034804079916"</f>
        <v>6917830034804079916</v>
      </c>
      <c r="F9762" s="1" t="str">
        <f t="shared" si="2660"/>
        <v>花都四部-凤凰仓</v>
      </c>
      <c r="G9762" s="1" t="str">
        <f t="shared" si="2667"/>
        <v>卡卡杜个人护理店（抖店）</v>
      </c>
      <c r="H9762" s="1" t="str">
        <f t="shared" si="2661"/>
        <v>正常订单</v>
      </c>
      <c r="I9762" s="1" t="str">
        <f t="shared" si="2662"/>
        <v>已发货</v>
      </c>
      <c r="J9762" s="1" t="str">
        <f t="shared" si="2663"/>
        <v>2</v>
      </c>
      <c r="K9762" s="1">
        <v>1</v>
      </c>
      <c r="L9762" s="1" t="s">
        <v>74</v>
      </c>
      <c r="M9762" s="1" t="str">
        <f>"上海 上海市 闵行区 吴泾镇"</f>
        <v>上海 上海市 闵行区 吴泾镇</v>
      </c>
      <c r="N9762" s="1" t="str">
        <f t="shared" si="2668"/>
        <v>凡华云仓-韵达-抖音</v>
      </c>
      <c r="O9762" s="5">
        <v>320156468800780</v>
      </c>
      <c r="P9762" s="6">
        <v>0.33</v>
      </c>
      <c r="Q9762" s="11">
        <v>2.2999999999999998</v>
      </c>
      <c r="R9762" s="11"/>
      <c r="S9762" s="11"/>
      <c r="T9762" s="11"/>
      <c r="U9762" s="11">
        <f t="shared" si="2664"/>
        <v>2.2999999999999998</v>
      </c>
      <c r="W9762">
        <v>2.5</v>
      </c>
      <c r="X9762" s="1" t="s">
        <v>74</v>
      </c>
    </row>
    <row r="9763" spans="1:24" x14ac:dyDescent="0.25">
      <c r="A9763" s="1" t="str">
        <f t="shared" si="2659"/>
        <v>卡卡杜-凤凰仓</v>
      </c>
      <c r="B9763" s="1" t="str">
        <f>"CK2024100515369-1"</f>
        <v>CK2024100515369-1</v>
      </c>
      <c r="C9763" s="1" t="str">
        <f>"DD2024100526753"</f>
        <v>DD2024100526753</v>
      </c>
      <c r="D9763" s="1" t="str">
        <f>"CK2024100526675"</f>
        <v>CK2024100526675</v>
      </c>
      <c r="E9763" s="1" t="str">
        <f>"6917825254914096957"</f>
        <v>6917825254914096957</v>
      </c>
      <c r="F9763" s="1" t="str">
        <f t="shared" si="2660"/>
        <v>花都四部-凤凰仓</v>
      </c>
      <c r="G9763" s="1" t="str">
        <f t="shared" si="2667"/>
        <v>卡卡杜个人护理店（抖店）</v>
      </c>
      <c r="H9763" s="1" t="str">
        <f t="shared" si="2661"/>
        <v>正常订单</v>
      </c>
      <c r="I9763" s="1" t="str">
        <f t="shared" si="2662"/>
        <v>已发货</v>
      </c>
      <c r="J9763" s="1" t="str">
        <f t="shared" si="2663"/>
        <v>2</v>
      </c>
      <c r="K9763" s="1">
        <v>1</v>
      </c>
      <c r="L9763" s="1" t="s">
        <v>20</v>
      </c>
      <c r="M9763" s="1" t="str">
        <f>"浙江省 湖州市 长兴县 "</f>
        <v xml:space="preserve">浙江省 湖州市 长兴县 </v>
      </c>
      <c r="N9763" s="1" t="str">
        <f t="shared" si="2668"/>
        <v>凡华云仓-韵达-抖音</v>
      </c>
      <c r="O9763" s="5">
        <v>320156468800679</v>
      </c>
      <c r="P9763" s="6">
        <v>0.33</v>
      </c>
      <c r="Q9763" s="11">
        <v>2.2999999999999998</v>
      </c>
      <c r="R9763" s="11"/>
      <c r="S9763" s="11"/>
      <c r="T9763" s="11"/>
      <c r="U9763" s="11">
        <f t="shared" si="2664"/>
        <v>2.2999999999999998</v>
      </c>
      <c r="W9763">
        <v>2.5</v>
      </c>
      <c r="X9763" s="1" t="s">
        <v>20</v>
      </c>
    </row>
    <row r="9764" spans="1:24" x14ac:dyDescent="0.25">
      <c r="A9764" s="1" t="str">
        <f t="shared" si="2659"/>
        <v>卡卡杜-凤凰仓</v>
      </c>
      <c r="B9764" s="1" t="str">
        <f>"CK2024100515366-1"</f>
        <v>CK2024100515366-1</v>
      </c>
      <c r="C9764" s="1" t="str">
        <f>"DD2024100526751"</f>
        <v>DD2024100526751</v>
      </c>
      <c r="D9764" s="1" t="str">
        <f>"CK2024100526674"</f>
        <v>CK2024100526674</v>
      </c>
      <c r="E9764" s="1" t="str">
        <f>"6917827864934317114"</f>
        <v>6917827864934317114</v>
      </c>
      <c r="F9764" s="1" t="str">
        <f t="shared" si="2660"/>
        <v>花都四部-凤凰仓</v>
      </c>
      <c r="G9764" s="1" t="str">
        <f t="shared" si="2667"/>
        <v>卡卡杜个人护理店（抖店）</v>
      </c>
      <c r="H9764" s="1" t="str">
        <f t="shared" si="2661"/>
        <v>正常订单</v>
      </c>
      <c r="I9764" s="1" t="str">
        <f t="shared" si="2662"/>
        <v>已发货</v>
      </c>
      <c r="J9764" s="1" t="str">
        <f t="shared" si="2663"/>
        <v>2</v>
      </c>
      <c r="K9764" s="1">
        <v>1</v>
      </c>
      <c r="L9764" s="1" t="s">
        <v>20</v>
      </c>
      <c r="M9764" s="1" t="str">
        <f>"浙江省 金华市 义乌市 稠江街道"</f>
        <v>浙江省 金华市 义乌市 稠江街道</v>
      </c>
      <c r="N9764" s="1" t="str">
        <f t="shared" si="2668"/>
        <v>凡华云仓-韵达-抖音</v>
      </c>
      <c r="O9764" s="5">
        <v>320156468800580</v>
      </c>
      <c r="P9764" s="6">
        <v>0.33</v>
      </c>
      <c r="Q9764" s="11">
        <v>2.2999999999999998</v>
      </c>
      <c r="R9764" s="11"/>
      <c r="S9764" s="11"/>
      <c r="T9764" s="11"/>
      <c r="U9764" s="11">
        <f t="shared" si="2664"/>
        <v>2.2999999999999998</v>
      </c>
      <c r="W9764">
        <v>2.5</v>
      </c>
      <c r="X9764" s="1" t="s">
        <v>20</v>
      </c>
    </row>
    <row r="9765" spans="1:24" x14ac:dyDescent="0.25">
      <c r="A9765" s="1" t="str">
        <f t="shared" si="2659"/>
        <v>卡卡杜-凤凰仓</v>
      </c>
      <c r="B9765" s="1" t="str">
        <f>"CK2024100515383-1"</f>
        <v>CK2024100515383-1</v>
      </c>
      <c r="C9765" s="1" t="str">
        <f>"DD2024100526767"</f>
        <v>DD2024100526767</v>
      </c>
      <c r="D9765" s="1" t="str">
        <f>"CK2024100526673"</f>
        <v>CK2024100526673</v>
      </c>
      <c r="E9765" s="1" t="str">
        <f>"6917825196108577950"</f>
        <v>6917825196108577950</v>
      </c>
      <c r="F9765" s="1" t="str">
        <f t="shared" si="2660"/>
        <v>花都四部-凤凰仓</v>
      </c>
      <c r="G9765" s="1" t="str">
        <f t="shared" si="2667"/>
        <v>卡卡杜个人护理店（抖店）</v>
      </c>
      <c r="H9765" s="1" t="str">
        <f t="shared" si="2661"/>
        <v>正常订单</v>
      </c>
      <c r="I9765" s="1" t="str">
        <f t="shared" si="2662"/>
        <v>已发货</v>
      </c>
      <c r="J9765" s="1" t="str">
        <f t="shared" si="2663"/>
        <v>2</v>
      </c>
      <c r="K9765" s="1">
        <v>1</v>
      </c>
      <c r="L9765" s="1" t="s">
        <v>94</v>
      </c>
      <c r="M9765" s="1" t="str">
        <f>"湖南省 邵阳市 邵东市 "</f>
        <v xml:space="preserve">湖南省 邵阳市 邵东市 </v>
      </c>
      <c r="N9765" s="1" t="str">
        <f t="shared" si="2668"/>
        <v>凡华云仓-韵达-抖音</v>
      </c>
      <c r="O9765" s="5">
        <v>320156468800483</v>
      </c>
      <c r="P9765" s="6">
        <v>0.33</v>
      </c>
      <c r="Q9765" s="11">
        <v>2.2999999999999998</v>
      </c>
      <c r="R9765" s="11"/>
      <c r="S9765" s="11"/>
      <c r="T9765" s="11"/>
      <c r="U9765" s="11">
        <f t="shared" si="2664"/>
        <v>2.2999999999999998</v>
      </c>
      <c r="W9765">
        <v>2.5</v>
      </c>
      <c r="X9765" s="1" t="s">
        <v>94</v>
      </c>
    </row>
    <row r="9766" spans="1:24" x14ac:dyDescent="0.25">
      <c r="A9766" s="1" t="str">
        <f t="shared" si="2659"/>
        <v>卡卡杜-凤凰仓</v>
      </c>
      <c r="B9766" s="1" t="str">
        <f>"CK2024100515384-1"</f>
        <v>CK2024100515384-1</v>
      </c>
      <c r="C9766" s="1" t="str">
        <f>"DD2024100526768"</f>
        <v>DD2024100526768</v>
      </c>
      <c r="D9766" s="1" t="str">
        <f>"CK2024100526672"</f>
        <v>CK2024100526672</v>
      </c>
      <c r="E9766" s="1" t="str">
        <f>"6917827390082743814"</f>
        <v>6917827390082743814</v>
      </c>
      <c r="F9766" s="1" t="str">
        <f t="shared" si="2660"/>
        <v>花都四部-凤凰仓</v>
      </c>
      <c r="G9766" s="1" t="str">
        <f t="shared" si="2667"/>
        <v>卡卡杜个人护理店（抖店）</v>
      </c>
      <c r="H9766" s="1" t="str">
        <f t="shared" si="2661"/>
        <v>正常订单</v>
      </c>
      <c r="I9766" s="1" t="str">
        <f t="shared" si="2662"/>
        <v>已发货</v>
      </c>
      <c r="J9766" s="1" t="str">
        <f t="shared" si="2663"/>
        <v>2</v>
      </c>
      <c r="K9766" s="1">
        <v>1</v>
      </c>
      <c r="L9766" s="1" t="s">
        <v>13</v>
      </c>
      <c r="M9766" s="1" t="str">
        <f>"江苏省 盐城市 滨海县 五汛镇"</f>
        <v>江苏省 盐城市 滨海县 五汛镇</v>
      </c>
      <c r="N9766" s="1" t="str">
        <f t="shared" si="2668"/>
        <v>凡华云仓-韵达-抖音</v>
      </c>
      <c r="O9766" s="5">
        <v>320156468800388</v>
      </c>
      <c r="P9766" s="6">
        <v>0.33</v>
      </c>
      <c r="Q9766" s="11">
        <v>2.2999999999999998</v>
      </c>
      <c r="R9766" s="11"/>
      <c r="S9766" s="11"/>
      <c r="T9766" s="11"/>
      <c r="U9766" s="11">
        <f t="shared" si="2664"/>
        <v>2.2999999999999998</v>
      </c>
      <c r="W9766">
        <v>2.5</v>
      </c>
      <c r="X9766" s="1" t="s">
        <v>13</v>
      </c>
    </row>
    <row r="9767" spans="1:24" x14ac:dyDescent="0.25">
      <c r="A9767" s="1" t="str">
        <f t="shared" si="2659"/>
        <v>卡卡杜-凤凰仓</v>
      </c>
      <c r="B9767" s="1" t="str">
        <f>"CK2024100515397-1"</f>
        <v>CK2024100515397-1</v>
      </c>
      <c r="C9767" s="1" t="str">
        <f>"DD2024100526781"</f>
        <v>DD2024100526781</v>
      </c>
      <c r="D9767" s="1" t="str">
        <f>"CK2024100526671"</f>
        <v>CK2024100526671</v>
      </c>
      <c r="E9767" s="1" t="str">
        <f>"6917834470993985415"</f>
        <v>6917834470993985415</v>
      </c>
      <c r="F9767" s="1" t="str">
        <f t="shared" si="2660"/>
        <v>花都四部-凤凰仓</v>
      </c>
      <c r="G9767" s="1" t="str">
        <f t="shared" si="2667"/>
        <v>卡卡杜个人护理店（抖店）</v>
      </c>
      <c r="H9767" s="1" t="str">
        <f t="shared" si="2661"/>
        <v>正常订单</v>
      </c>
      <c r="I9767" s="1" t="str">
        <f t="shared" si="2662"/>
        <v>已发货</v>
      </c>
      <c r="J9767" s="1" t="str">
        <f t="shared" si="2663"/>
        <v>2</v>
      </c>
      <c r="K9767" s="1">
        <v>1</v>
      </c>
      <c r="L9767" s="1" t="s">
        <v>80</v>
      </c>
      <c r="M9767" s="1" t="str">
        <f>"河南省 周口市 太康县 马头镇"</f>
        <v>河南省 周口市 太康县 马头镇</v>
      </c>
      <c r="N9767" s="1" t="str">
        <f t="shared" si="2668"/>
        <v>凡华云仓-韵达-抖音</v>
      </c>
      <c r="O9767" s="5">
        <v>320156468800295</v>
      </c>
      <c r="P9767" s="6">
        <v>0.33</v>
      </c>
      <c r="Q9767" s="11">
        <v>2.2999999999999998</v>
      </c>
      <c r="R9767" s="11"/>
      <c r="S9767" s="11"/>
      <c r="T9767" s="11"/>
      <c r="U9767" s="11">
        <f t="shared" si="2664"/>
        <v>2.2999999999999998</v>
      </c>
      <c r="W9767">
        <v>2.5</v>
      </c>
      <c r="X9767" s="1" t="s">
        <v>80</v>
      </c>
    </row>
    <row r="9768" spans="1:24" x14ac:dyDescent="0.25">
      <c r="A9768" s="1" t="str">
        <f t="shared" si="2659"/>
        <v>卡卡杜-凤凰仓</v>
      </c>
      <c r="B9768" s="1" t="str">
        <f>"CK2024100515398-1"</f>
        <v>CK2024100515398-1</v>
      </c>
      <c r="C9768" s="1" t="str">
        <f>"DD2024100526782"</f>
        <v>DD2024100526782</v>
      </c>
      <c r="D9768" s="1" t="str">
        <f>"CK2024100526670"</f>
        <v>CK2024100526670</v>
      </c>
      <c r="E9768" s="1" t="str">
        <f>"6917829706676469666"</f>
        <v>6917829706676469666</v>
      </c>
      <c r="F9768" s="1" t="str">
        <f t="shared" si="2660"/>
        <v>花都四部-凤凰仓</v>
      </c>
      <c r="G9768" s="1" t="str">
        <f t="shared" si="2667"/>
        <v>卡卡杜个人护理店（抖店）</v>
      </c>
      <c r="H9768" s="1" t="str">
        <f t="shared" si="2661"/>
        <v>正常订单</v>
      </c>
      <c r="I9768" s="1" t="str">
        <f t="shared" si="2662"/>
        <v>已发货</v>
      </c>
      <c r="J9768" s="1" t="str">
        <f t="shared" si="2663"/>
        <v>2</v>
      </c>
      <c r="K9768" s="1">
        <v>1</v>
      </c>
      <c r="L9768" s="1" t="s">
        <v>22</v>
      </c>
      <c r="M9768" s="1" t="str">
        <f>"江西省 赣州市 于都县 贡江镇"</f>
        <v>江西省 赣州市 于都县 贡江镇</v>
      </c>
      <c r="N9768" s="1" t="str">
        <f t="shared" si="2668"/>
        <v>凡华云仓-韵达-抖音</v>
      </c>
      <c r="O9768" s="5">
        <v>320156468800104</v>
      </c>
      <c r="P9768" s="6">
        <v>0.33</v>
      </c>
      <c r="Q9768" s="11">
        <v>2.2999999999999998</v>
      </c>
      <c r="R9768" s="11"/>
      <c r="S9768" s="11"/>
      <c r="T9768" s="11"/>
      <c r="U9768" s="11">
        <f t="shared" si="2664"/>
        <v>2.2999999999999998</v>
      </c>
      <c r="W9768">
        <v>2.5</v>
      </c>
      <c r="X9768" s="1" t="s">
        <v>22</v>
      </c>
    </row>
    <row r="9769" spans="1:24" x14ac:dyDescent="0.25">
      <c r="A9769" s="1" t="str">
        <f t="shared" si="2659"/>
        <v>卡卡杜-凤凰仓</v>
      </c>
      <c r="B9769" s="1" t="str">
        <f>"CK2024100515399-1"</f>
        <v>CK2024100515399-1</v>
      </c>
      <c r="C9769" s="1" t="str">
        <f>"DD2024100526784"</f>
        <v>DD2024100526784</v>
      </c>
      <c r="D9769" s="1" t="str">
        <f>"CK2024100526669"</f>
        <v>CK2024100526669</v>
      </c>
      <c r="E9769" s="1" t="str">
        <f>"6917824894801575256"</f>
        <v>6917824894801575256</v>
      </c>
      <c r="F9769" s="1" t="str">
        <f t="shared" si="2660"/>
        <v>花都四部-凤凰仓</v>
      </c>
      <c r="G9769" s="1" t="str">
        <f t="shared" si="2667"/>
        <v>卡卡杜个人护理店（抖店）</v>
      </c>
      <c r="H9769" s="1" t="str">
        <f t="shared" si="2661"/>
        <v>正常订单</v>
      </c>
      <c r="I9769" s="1" t="str">
        <f t="shared" si="2662"/>
        <v>已发货</v>
      </c>
      <c r="J9769" s="1" t="str">
        <f t="shared" si="2663"/>
        <v>2</v>
      </c>
      <c r="K9769" s="1">
        <v>1</v>
      </c>
      <c r="L9769" s="1" t="s">
        <v>36</v>
      </c>
      <c r="M9769" s="1" t="str">
        <f>"安徽省 安庆市 太湖县 晋熙镇"</f>
        <v>安徽省 安庆市 太湖县 晋熙镇</v>
      </c>
      <c r="N9769" s="1" t="str">
        <f t="shared" si="2668"/>
        <v>凡华云仓-韵达-抖音</v>
      </c>
      <c r="O9769" s="5">
        <v>320156485066349</v>
      </c>
      <c r="P9769" s="6">
        <v>0.33</v>
      </c>
      <c r="Q9769" s="11">
        <v>2.2999999999999998</v>
      </c>
      <c r="R9769" s="11"/>
      <c r="S9769" s="11"/>
      <c r="T9769" s="11"/>
      <c r="U9769" s="11">
        <f t="shared" si="2664"/>
        <v>2.2999999999999998</v>
      </c>
      <c r="W9769">
        <v>2.5</v>
      </c>
      <c r="X9769" s="1" t="s">
        <v>36</v>
      </c>
    </row>
    <row r="9770" spans="1:24" x14ac:dyDescent="0.25">
      <c r="A9770" s="1" t="str">
        <f t="shared" si="2659"/>
        <v>卡卡杜-凤凰仓</v>
      </c>
      <c r="B9770" s="1" t="str">
        <f>"CK2024100515382-1"</f>
        <v>CK2024100515382-1</v>
      </c>
      <c r="C9770" s="1" t="str">
        <f>"DD2024100526766"</f>
        <v>DD2024100526766</v>
      </c>
      <c r="D9770" s="1" t="str">
        <f>"CK2024100526668"</f>
        <v>CK2024100526668</v>
      </c>
      <c r="E9770" s="1" t="str">
        <f>"6917831705576897985"</f>
        <v>6917831705576897985</v>
      </c>
      <c r="F9770" s="1" t="str">
        <f t="shared" si="2660"/>
        <v>花都四部-凤凰仓</v>
      </c>
      <c r="G9770" s="1" t="str">
        <f t="shared" si="2667"/>
        <v>卡卡杜个人护理店（抖店）</v>
      </c>
      <c r="H9770" s="1" t="str">
        <f t="shared" si="2661"/>
        <v>正常订单</v>
      </c>
      <c r="I9770" s="1" t="str">
        <f t="shared" si="2662"/>
        <v>已发货</v>
      </c>
      <c r="J9770" s="1" t="str">
        <f t="shared" si="2663"/>
        <v>2</v>
      </c>
      <c r="K9770" s="1">
        <v>1</v>
      </c>
      <c r="L9770" s="1" t="s">
        <v>13</v>
      </c>
      <c r="M9770" s="1" t="str">
        <f>"江苏省 常州市 钟楼区 西林街道"</f>
        <v>江苏省 常州市 钟楼区 西林街道</v>
      </c>
      <c r="N9770" s="1" t="str">
        <f t="shared" si="2668"/>
        <v>凡华云仓-韵达-抖音</v>
      </c>
      <c r="O9770" s="5">
        <v>320156485066256</v>
      </c>
      <c r="P9770" s="6">
        <v>0.33</v>
      </c>
      <c r="Q9770" s="11">
        <v>2.2999999999999998</v>
      </c>
      <c r="R9770" s="11"/>
      <c r="S9770" s="11"/>
      <c r="T9770" s="11"/>
      <c r="U9770" s="11">
        <f t="shared" si="2664"/>
        <v>2.2999999999999998</v>
      </c>
      <c r="W9770">
        <v>2.5</v>
      </c>
      <c r="X9770" s="1" t="s">
        <v>13</v>
      </c>
    </row>
    <row r="9771" spans="1:24" x14ac:dyDescent="0.25">
      <c r="A9771" s="1" t="str">
        <f t="shared" ref="A9771:A9834" si="2669">"卡卡杜-凤凰仓"</f>
        <v>卡卡杜-凤凰仓</v>
      </c>
      <c r="B9771" s="1" t="str">
        <f>"CK2024100515400-1"</f>
        <v>CK2024100515400-1</v>
      </c>
      <c r="C9771" s="1" t="str">
        <f>"DD2024100526783"</f>
        <v>DD2024100526783</v>
      </c>
      <c r="D9771" s="1" t="str">
        <f>"CK2024100526667"</f>
        <v>CK2024100526667</v>
      </c>
      <c r="E9771" s="1" t="str">
        <f>"6917825183783616445"</f>
        <v>6917825183783616445</v>
      </c>
      <c r="F9771" s="1" t="str">
        <f t="shared" ref="F9771:F9834" si="2670">"花都四部-凤凰仓"</f>
        <v>花都四部-凤凰仓</v>
      </c>
      <c r="G9771" s="1" t="str">
        <f t="shared" si="2667"/>
        <v>卡卡杜个人护理店（抖店）</v>
      </c>
      <c r="H9771" s="1" t="str">
        <f t="shared" ref="H9771:H9834" si="2671">"正常订单"</f>
        <v>正常订单</v>
      </c>
      <c r="I9771" s="1" t="str">
        <f t="shared" ref="I9771:I9834" si="2672">"已发货"</f>
        <v>已发货</v>
      </c>
      <c r="J9771" s="1" t="str">
        <f t="shared" si="2663"/>
        <v>2</v>
      </c>
      <c r="K9771" s="1">
        <v>1</v>
      </c>
      <c r="L9771" s="1" t="s">
        <v>94</v>
      </c>
      <c r="M9771" s="1" t="str">
        <f>"湖南省 长沙市 长沙县 星沙街道"</f>
        <v>湖南省 长沙市 长沙县 星沙街道</v>
      </c>
      <c r="N9771" s="1" t="str">
        <f t="shared" si="2668"/>
        <v>凡华云仓-韵达-抖音</v>
      </c>
      <c r="O9771" s="5">
        <v>320156485066165</v>
      </c>
      <c r="P9771" s="6">
        <v>0.33</v>
      </c>
      <c r="Q9771" s="11">
        <v>2.2999999999999998</v>
      </c>
      <c r="R9771" s="11"/>
      <c r="S9771" s="11"/>
      <c r="T9771" s="11"/>
      <c r="U9771" s="11">
        <f t="shared" si="2664"/>
        <v>2.2999999999999998</v>
      </c>
      <c r="W9771">
        <v>2.5</v>
      </c>
      <c r="X9771" s="1" t="s">
        <v>94</v>
      </c>
    </row>
    <row r="9772" spans="1:24" x14ac:dyDescent="0.25">
      <c r="A9772" s="1" t="str">
        <f t="shared" si="2669"/>
        <v>卡卡杜-凤凰仓</v>
      </c>
      <c r="B9772" s="1" t="str">
        <f>"CK2024100515402-1"</f>
        <v>CK2024100515402-1</v>
      </c>
      <c r="C9772" s="1" t="str">
        <f>"DD2024100526786"</f>
        <v>DD2024100526786</v>
      </c>
      <c r="D9772" s="1" t="str">
        <f>"CK2024100526666"</f>
        <v>CK2024100526666</v>
      </c>
      <c r="E9772" s="1" t="str">
        <f>"6917827401505340611"</f>
        <v>6917827401505340611</v>
      </c>
      <c r="F9772" s="1" t="str">
        <f t="shared" si="2670"/>
        <v>花都四部-凤凰仓</v>
      </c>
      <c r="G9772" s="1" t="str">
        <f t="shared" si="2667"/>
        <v>卡卡杜个人护理店（抖店）</v>
      </c>
      <c r="H9772" s="1" t="str">
        <f t="shared" si="2671"/>
        <v>正常订单</v>
      </c>
      <c r="I9772" s="1" t="str">
        <f t="shared" si="2672"/>
        <v>已发货</v>
      </c>
      <c r="J9772" s="1" t="str">
        <f t="shared" si="2663"/>
        <v>2</v>
      </c>
      <c r="K9772" s="1">
        <v>1</v>
      </c>
      <c r="L9772" s="1" t="s">
        <v>22</v>
      </c>
      <c r="M9772" s="1" t="str">
        <f>"江西省 宜春市 高安市 "</f>
        <v xml:space="preserve">江西省 宜春市 高安市 </v>
      </c>
      <c r="N9772" s="1" t="str">
        <f t="shared" si="2668"/>
        <v>凡华云仓-韵达-抖音</v>
      </c>
      <c r="O9772" s="5">
        <v>320156485066076</v>
      </c>
      <c r="P9772" s="6">
        <v>0.33</v>
      </c>
      <c r="Q9772" s="11">
        <v>2.2999999999999998</v>
      </c>
      <c r="R9772" s="11"/>
      <c r="S9772" s="11"/>
      <c r="T9772" s="11"/>
      <c r="U9772" s="11">
        <f t="shared" si="2664"/>
        <v>2.2999999999999998</v>
      </c>
      <c r="W9772">
        <v>2.5</v>
      </c>
      <c r="X9772" s="1" t="s">
        <v>22</v>
      </c>
    </row>
    <row r="9773" spans="1:24" x14ac:dyDescent="0.25">
      <c r="A9773" s="1" t="str">
        <f t="shared" si="2669"/>
        <v>卡卡杜-凤凰仓</v>
      </c>
      <c r="B9773" s="1" t="str">
        <f>"CK2024100515403-1"</f>
        <v>CK2024100515403-1</v>
      </c>
      <c r="C9773" s="1" t="str">
        <f>"DD2024100526787"</f>
        <v>DD2024100526787</v>
      </c>
      <c r="D9773" s="1" t="str">
        <f>"CK2024100526665"</f>
        <v>CK2024100526665</v>
      </c>
      <c r="E9773" s="1" t="str">
        <f>"6917827336627518910"</f>
        <v>6917827336627518910</v>
      </c>
      <c r="F9773" s="1" t="str">
        <f t="shared" si="2670"/>
        <v>花都四部-凤凰仓</v>
      </c>
      <c r="G9773" s="1" t="str">
        <f t="shared" si="2667"/>
        <v>卡卡杜个人护理店（抖店）</v>
      </c>
      <c r="H9773" s="1" t="str">
        <f t="shared" si="2671"/>
        <v>正常订单</v>
      </c>
      <c r="I9773" s="1" t="str">
        <f t="shared" si="2672"/>
        <v>已发货</v>
      </c>
      <c r="J9773" s="1" t="str">
        <f t="shared" si="2663"/>
        <v>2</v>
      </c>
      <c r="K9773" s="1">
        <v>1</v>
      </c>
      <c r="L9773" s="1" t="s">
        <v>47</v>
      </c>
      <c r="M9773" s="1" t="str">
        <f>"重庆 重庆市 万州区 分水镇"</f>
        <v>重庆 重庆市 万州区 分水镇</v>
      </c>
      <c r="N9773" s="1" t="str">
        <f t="shared" si="2668"/>
        <v>凡华云仓-韵达-抖音</v>
      </c>
      <c r="O9773" s="5">
        <v>320156485065950</v>
      </c>
      <c r="P9773" s="6">
        <v>0.33</v>
      </c>
      <c r="Q9773" s="11">
        <v>2.2999999999999998</v>
      </c>
      <c r="R9773" s="11"/>
      <c r="S9773" s="11"/>
      <c r="T9773" s="11"/>
      <c r="U9773" s="11">
        <f t="shared" si="2664"/>
        <v>2.2999999999999998</v>
      </c>
      <c r="W9773">
        <v>2.5</v>
      </c>
      <c r="X9773" s="1" t="s">
        <v>47</v>
      </c>
    </row>
    <row r="9774" spans="1:24" x14ac:dyDescent="0.25">
      <c r="A9774" s="1" t="str">
        <f t="shared" si="2669"/>
        <v>卡卡杜-凤凰仓</v>
      </c>
      <c r="B9774" s="1" t="str">
        <f>"CK2024100515404-1"</f>
        <v>CK2024100515404-1</v>
      </c>
      <c r="C9774" s="1" t="str">
        <f>"DD2024100526788"</f>
        <v>DD2024100526788</v>
      </c>
      <c r="D9774" s="1" t="str">
        <f>"CK2024100526664"</f>
        <v>CK2024100526664</v>
      </c>
      <c r="E9774" s="1" t="str">
        <f>"6917829742924562189"</f>
        <v>6917829742924562189</v>
      </c>
      <c r="F9774" s="1" t="str">
        <f t="shared" si="2670"/>
        <v>花都四部-凤凰仓</v>
      </c>
      <c r="G9774" s="1" t="str">
        <f t="shared" si="2667"/>
        <v>卡卡杜个人护理店（抖店）</v>
      </c>
      <c r="H9774" s="1" t="str">
        <f t="shared" si="2671"/>
        <v>正常订单</v>
      </c>
      <c r="I9774" s="1" t="str">
        <f t="shared" si="2672"/>
        <v>已发货</v>
      </c>
      <c r="J9774" s="1" t="str">
        <f t="shared" si="2663"/>
        <v>2</v>
      </c>
      <c r="K9774" s="1">
        <v>1</v>
      </c>
      <c r="L9774" s="1" t="s">
        <v>20</v>
      </c>
      <c r="M9774" s="1" t="str">
        <f>"浙江省 金华市 义乌市 北苑街道"</f>
        <v>浙江省 金华市 义乌市 北苑街道</v>
      </c>
      <c r="N9774" s="1" t="str">
        <f t="shared" si="2668"/>
        <v>凡华云仓-韵达-抖音</v>
      </c>
      <c r="O9774" s="5">
        <v>320156485065845</v>
      </c>
      <c r="P9774" s="6">
        <v>0.33</v>
      </c>
      <c r="Q9774" s="11">
        <v>2.2999999999999998</v>
      </c>
      <c r="R9774" s="11"/>
      <c r="S9774" s="11"/>
      <c r="T9774" s="11"/>
      <c r="U9774" s="11">
        <f t="shared" si="2664"/>
        <v>2.2999999999999998</v>
      </c>
      <c r="W9774">
        <v>2.5</v>
      </c>
      <c r="X9774" s="1" t="s">
        <v>20</v>
      </c>
    </row>
    <row r="9775" spans="1:24" x14ac:dyDescent="0.25">
      <c r="A9775" s="1" t="str">
        <f t="shared" si="2669"/>
        <v>卡卡杜-凤凰仓</v>
      </c>
      <c r="B9775" s="1" t="str">
        <f>"CK2024100515396-1"</f>
        <v>CK2024100515396-1</v>
      </c>
      <c r="C9775" s="1" t="str">
        <f>"DD2024100526780"</f>
        <v>DD2024100526780</v>
      </c>
      <c r="D9775" s="1" t="str">
        <f>"CK2024100526663"</f>
        <v>CK2024100526663</v>
      </c>
      <c r="E9775" s="1" t="str">
        <f>"6917834401343241620"</f>
        <v>6917834401343241620</v>
      </c>
      <c r="F9775" s="1" t="str">
        <f t="shared" si="2670"/>
        <v>花都四部-凤凰仓</v>
      </c>
      <c r="G9775" s="1" t="str">
        <f t="shared" si="2667"/>
        <v>卡卡杜个人护理店（抖店）</v>
      </c>
      <c r="H9775" s="1" t="str">
        <f t="shared" si="2671"/>
        <v>正常订单</v>
      </c>
      <c r="I9775" s="1" t="str">
        <f t="shared" si="2672"/>
        <v>已发货</v>
      </c>
      <c r="J9775" s="1" t="str">
        <f t="shared" si="2663"/>
        <v>2</v>
      </c>
      <c r="K9775" s="1">
        <v>1</v>
      </c>
      <c r="L9775" s="1" t="s">
        <v>30</v>
      </c>
      <c r="M9775" s="1" t="str">
        <f>"山东省 青岛市 城阳区 棘洪滩街道"</f>
        <v>山东省 青岛市 城阳区 棘洪滩街道</v>
      </c>
      <c r="N9775" s="1" t="str">
        <f t="shared" si="2668"/>
        <v>凡华云仓-韵达-抖音</v>
      </c>
      <c r="O9775" s="5">
        <v>320156485065742</v>
      </c>
      <c r="P9775" s="6">
        <v>0.33</v>
      </c>
      <c r="Q9775" s="11">
        <v>2.2999999999999998</v>
      </c>
      <c r="R9775" s="11"/>
      <c r="S9775" s="11"/>
      <c r="T9775" s="11"/>
      <c r="U9775" s="11">
        <f t="shared" si="2664"/>
        <v>2.2999999999999998</v>
      </c>
      <c r="W9775">
        <v>2.5</v>
      </c>
      <c r="X9775" s="1" t="s">
        <v>30</v>
      </c>
    </row>
    <row r="9776" spans="1:24" x14ac:dyDescent="0.25">
      <c r="A9776" s="1" t="str">
        <f t="shared" si="2669"/>
        <v>卡卡杜-凤凰仓</v>
      </c>
      <c r="B9776" s="1" t="str">
        <f>"CK2024100515401-1"</f>
        <v>CK2024100515401-1</v>
      </c>
      <c r="C9776" s="1" t="str">
        <f>"DD2024100526785"</f>
        <v>DD2024100526785</v>
      </c>
      <c r="D9776" s="1" t="str">
        <f>"CK2024100526662"</f>
        <v>CK2024100526662</v>
      </c>
      <c r="E9776" s="1" t="str">
        <f>"6917827436697058770"</f>
        <v>6917827436697058770</v>
      </c>
      <c r="F9776" s="1" t="str">
        <f t="shared" si="2670"/>
        <v>花都四部-凤凰仓</v>
      </c>
      <c r="G9776" s="1" t="str">
        <f t="shared" si="2667"/>
        <v>卡卡杜个人护理店（抖店）</v>
      </c>
      <c r="H9776" s="1" t="str">
        <f t="shared" si="2671"/>
        <v>正常订单</v>
      </c>
      <c r="I9776" s="1" t="str">
        <f t="shared" si="2672"/>
        <v>已发货</v>
      </c>
      <c r="J9776" s="1" t="str">
        <f t="shared" ref="J9776:J9839" si="2673">"2"</f>
        <v>2</v>
      </c>
      <c r="K9776" s="1">
        <v>1</v>
      </c>
      <c r="L9776" s="1" t="s">
        <v>30</v>
      </c>
      <c r="M9776" s="1" t="str">
        <f>"山东省 济南市 市中区 四里村街道"</f>
        <v>山东省 济南市 市中区 四里村街道</v>
      </c>
      <c r="N9776" s="1" t="str">
        <f t="shared" si="2668"/>
        <v>凡华云仓-韵达-抖音</v>
      </c>
      <c r="O9776" s="5">
        <v>320156485065641</v>
      </c>
      <c r="P9776" s="6">
        <v>0.33</v>
      </c>
      <c r="Q9776" s="11">
        <v>2.2999999999999998</v>
      </c>
      <c r="R9776" s="11"/>
      <c r="S9776" s="11"/>
      <c r="T9776" s="11"/>
      <c r="U9776" s="11">
        <f t="shared" si="2664"/>
        <v>2.2999999999999998</v>
      </c>
      <c r="W9776">
        <v>2.5</v>
      </c>
      <c r="X9776" s="1" t="s">
        <v>30</v>
      </c>
    </row>
    <row r="9777" spans="1:24" x14ac:dyDescent="0.25">
      <c r="A9777" s="1" t="str">
        <f t="shared" si="2669"/>
        <v>卡卡杜-凤凰仓</v>
      </c>
      <c r="B9777" s="1" t="str">
        <f>"CK2024100515395-1"</f>
        <v>CK2024100515395-1</v>
      </c>
      <c r="C9777" s="1" t="str">
        <f>"DD2024100526779"</f>
        <v>DD2024100526779</v>
      </c>
      <c r="D9777" s="1" t="str">
        <f>"CK2024100526661"</f>
        <v>CK2024100526661</v>
      </c>
      <c r="E9777" s="1" t="str">
        <f>"6917827356222324514"</f>
        <v>6917827356222324514</v>
      </c>
      <c r="F9777" s="1" t="str">
        <f t="shared" si="2670"/>
        <v>花都四部-凤凰仓</v>
      </c>
      <c r="G9777" s="1" t="str">
        <f t="shared" si="2667"/>
        <v>卡卡杜个人护理店（抖店）</v>
      </c>
      <c r="H9777" s="1" t="str">
        <f t="shared" si="2671"/>
        <v>正常订单</v>
      </c>
      <c r="I9777" s="1" t="str">
        <f t="shared" si="2672"/>
        <v>已发货</v>
      </c>
      <c r="J9777" s="1" t="str">
        <f t="shared" si="2673"/>
        <v>2</v>
      </c>
      <c r="K9777" s="1">
        <v>1</v>
      </c>
      <c r="L9777" s="1" t="s">
        <v>41</v>
      </c>
      <c r="M9777" s="1" t="str">
        <f>"湖北省 潜江市 潜江市 浩口镇"</f>
        <v>湖北省 潜江市 潜江市 浩口镇</v>
      </c>
      <c r="N9777" s="1" t="str">
        <f t="shared" si="2668"/>
        <v>凡华云仓-韵达-抖音</v>
      </c>
      <c r="O9777" s="5">
        <v>320156485065542</v>
      </c>
      <c r="P9777" s="6">
        <v>0.33</v>
      </c>
      <c r="Q9777" s="11">
        <v>2.2999999999999998</v>
      </c>
      <c r="R9777" s="11"/>
      <c r="S9777" s="11"/>
      <c r="T9777" s="11"/>
      <c r="U9777" s="11">
        <f t="shared" si="2664"/>
        <v>2.2999999999999998</v>
      </c>
      <c r="W9777">
        <v>2.5</v>
      </c>
      <c r="X9777" s="1" t="s">
        <v>41</v>
      </c>
    </row>
    <row r="9778" spans="1:24" x14ac:dyDescent="0.25">
      <c r="A9778" s="1" t="str">
        <f t="shared" si="2669"/>
        <v>卡卡杜-凤凰仓</v>
      </c>
      <c r="B9778" s="1" t="str">
        <f>"CK2024100515393-1"</f>
        <v>CK2024100515393-1</v>
      </c>
      <c r="C9778" s="1" t="str">
        <f>"DD2024100526777"</f>
        <v>DD2024100526777</v>
      </c>
      <c r="D9778" s="1" t="str">
        <f>"CK2024100526660"</f>
        <v>CK2024100526660</v>
      </c>
      <c r="E9778" s="1" t="str">
        <f>"6917832077517618233"</f>
        <v>6917832077517618233</v>
      </c>
      <c r="F9778" s="1" t="str">
        <f t="shared" si="2670"/>
        <v>花都四部-凤凰仓</v>
      </c>
      <c r="G9778" s="1" t="str">
        <f t="shared" si="2667"/>
        <v>卡卡杜个人护理店（抖店）</v>
      </c>
      <c r="H9778" s="1" t="str">
        <f t="shared" si="2671"/>
        <v>正常订单</v>
      </c>
      <c r="I9778" s="1" t="str">
        <f t="shared" si="2672"/>
        <v>已发货</v>
      </c>
      <c r="J9778" s="1" t="str">
        <f t="shared" si="2673"/>
        <v>2</v>
      </c>
      <c r="K9778" s="1">
        <v>1</v>
      </c>
      <c r="L9778" s="1" t="s">
        <v>41</v>
      </c>
      <c r="M9778" s="1" t="str">
        <f>"湖北省 宜昌市 当阳市 "</f>
        <v xml:space="preserve">湖北省 宜昌市 当阳市 </v>
      </c>
      <c r="N9778" s="1" t="str">
        <f t="shared" si="2668"/>
        <v>凡华云仓-韵达-抖音</v>
      </c>
      <c r="O9778" s="5">
        <v>320156485065445</v>
      </c>
      <c r="P9778" s="6">
        <v>0.33</v>
      </c>
      <c r="Q9778" s="11">
        <v>2.2999999999999998</v>
      </c>
      <c r="R9778" s="11"/>
      <c r="S9778" s="11"/>
      <c r="T9778" s="11"/>
      <c r="U9778" s="11">
        <f t="shared" si="2664"/>
        <v>2.2999999999999998</v>
      </c>
      <c r="W9778">
        <v>2.5</v>
      </c>
      <c r="X9778" s="1" t="s">
        <v>41</v>
      </c>
    </row>
    <row r="9779" spans="1:24" x14ac:dyDescent="0.25">
      <c r="A9779" s="1" t="str">
        <f t="shared" si="2669"/>
        <v>卡卡杜-凤凰仓</v>
      </c>
      <c r="B9779" s="1" t="str">
        <f>"CK2024100515385-1"</f>
        <v>CK2024100515385-1</v>
      </c>
      <c r="C9779" s="1" t="str">
        <f>"DD2024100526769"</f>
        <v>DD2024100526769</v>
      </c>
      <c r="D9779" s="1" t="str">
        <f>"CK2024100526659"</f>
        <v>CK2024100526659</v>
      </c>
      <c r="E9779" s="1" t="str">
        <f>"6917832434168987063"</f>
        <v>6917832434168987063</v>
      </c>
      <c r="F9779" s="1" t="str">
        <f t="shared" si="2670"/>
        <v>花都四部-凤凰仓</v>
      </c>
      <c r="G9779" s="1" t="str">
        <f t="shared" si="2667"/>
        <v>卡卡杜个人护理店（抖店）</v>
      </c>
      <c r="H9779" s="1" t="str">
        <f t="shared" si="2671"/>
        <v>正常订单</v>
      </c>
      <c r="I9779" s="1" t="str">
        <f t="shared" si="2672"/>
        <v>已发货</v>
      </c>
      <c r="J9779" s="1" t="str">
        <f t="shared" si="2673"/>
        <v>2</v>
      </c>
      <c r="K9779" s="1">
        <v>1</v>
      </c>
      <c r="L9779" s="1" t="s">
        <v>20</v>
      </c>
      <c r="M9779" s="1" t="str">
        <f>"浙江省 丽水市 龙泉市 龙渊街道"</f>
        <v>浙江省 丽水市 龙泉市 龙渊街道</v>
      </c>
      <c r="N9779" s="1" t="str">
        <f t="shared" si="2668"/>
        <v>凡华云仓-韵达-抖音</v>
      </c>
      <c r="O9779" s="5">
        <v>320156477415940</v>
      </c>
      <c r="P9779" s="6">
        <v>0.33</v>
      </c>
      <c r="Q9779" s="11">
        <v>2.2999999999999998</v>
      </c>
      <c r="R9779" s="11"/>
      <c r="S9779" s="11"/>
      <c r="T9779" s="11"/>
      <c r="U9779" s="11">
        <f t="shared" si="2664"/>
        <v>2.2999999999999998</v>
      </c>
      <c r="W9779">
        <v>2.5</v>
      </c>
      <c r="X9779" s="1" t="s">
        <v>20</v>
      </c>
    </row>
    <row r="9780" spans="1:24" x14ac:dyDescent="0.25">
      <c r="A9780" s="1" t="str">
        <f t="shared" si="2669"/>
        <v>卡卡杜-凤凰仓</v>
      </c>
      <c r="B9780" s="1" t="str">
        <f>"CK2024100515386-1"</f>
        <v>CK2024100515386-1</v>
      </c>
      <c r="C9780" s="1" t="str">
        <f>"DD2024100526770"</f>
        <v>DD2024100526770</v>
      </c>
      <c r="D9780" s="1" t="str">
        <f>"CK2024100526658"</f>
        <v>CK2024100526658</v>
      </c>
      <c r="E9780" s="1" t="str">
        <f>"6917829856398638230"</f>
        <v>6917829856398638230</v>
      </c>
      <c r="F9780" s="1" t="str">
        <f t="shared" si="2670"/>
        <v>花都四部-凤凰仓</v>
      </c>
      <c r="G9780" s="1" t="str">
        <f t="shared" si="2667"/>
        <v>卡卡杜个人护理店（抖店）</v>
      </c>
      <c r="H9780" s="1" t="str">
        <f t="shared" si="2671"/>
        <v>正常订单</v>
      </c>
      <c r="I9780" s="1" t="str">
        <f t="shared" si="2672"/>
        <v>已发货</v>
      </c>
      <c r="J9780" s="1" t="str">
        <f t="shared" si="2673"/>
        <v>2</v>
      </c>
      <c r="K9780" s="1">
        <v>1</v>
      </c>
      <c r="L9780" s="1" t="s">
        <v>18</v>
      </c>
      <c r="M9780" s="1" t="str">
        <f>"广东省 佛山市 顺德区 北滘镇"</f>
        <v>广东省 佛山市 顺德区 北滘镇</v>
      </c>
      <c r="N9780" s="1" t="str">
        <f t="shared" si="2668"/>
        <v>凡华云仓-韵达-抖音</v>
      </c>
      <c r="O9780" s="5">
        <v>320156477415835</v>
      </c>
      <c r="P9780" s="6">
        <v>0.33</v>
      </c>
      <c r="Q9780" s="11">
        <v>2.2999999999999998</v>
      </c>
      <c r="R9780" s="11"/>
      <c r="S9780" s="11"/>
      <c r="T9780" s="11"/>
      <c r="U9780" s="11">
        <f t="shared" si="2664"/>
        <v>2.2999999999999998</v>
      </c>
      <c r="W9780">
        <v>2.5</v>
      </c>
      <c r="X9780" s="1" t="s">
        <v>18</v>
      </c>
    </row>
    <row r="9781" spans="1:24" x14ac:dyDescent="0.25">
      <c r="A9781" s="1" t="str">
        <f t="shared" si="2669"/>
        <v>卡卡杜-凤凰仓</v>
      </c>
      <c r="B9781" s="1" t="str">
        <f>"CK2024100515387-1"</f>
        <v>CK2024100515387-1</v>
      </c>
      <c r="C9781" s="1" t="str">
        <f>"DD2024100526771"</f>
        <v>DD2024100526771</v>
      </c>
      <c r="D9781" s="1" t="str">
        <f>"CK2024100526657"</f>
        <v>CK2024100526657</v>
      </c>
      <c r="E9781" s="1" t="str">
        <f>"6917827531540823070"</f>
        <v>6917827531540823070</v>
      </c>
      <c r="F9781" s="1" t="str">
        <f t="shared" si="2670"/>
        <v>花都四部-凤凰仓</v>
      </c>
      <c r="G9781" s="1" t="str">
        <f t="shared" si="2667"/>
        <v>卡卡杜个人护理店（抖店）</v>
      </c>
      <c r="H9781" s="1" t="str">
        <f t="shared" si="2671"/>
        <v>正常订单</v>
      </c>
      <c r="I9781" s="1" t="str">
        <f t="shared" si="2672"/>
        <v>已发货</v>
      </c>
      <c r="J9781" s="1" t="str">
        <f t="shared" si="2673"/>
        <v>2</v>
      </c>
      <c r="K9781" s="1">
        <v>1</v>
      </c>
      <c r="L9781" s="1" t="s">
        <v>44</v>
      </c>
      <c r="M9781" s="1" t="str">
        <f>"海南省 屯昌县 屯昌县 南坤镇"</f>
        <v>海南省 屯昌县 屯昌县 南坤镇</v>
      </c>
      <c r="N9781" s="1" t="str">
        <f t="shared" si="2668"/>
        <v>凡华云仓-韵达-抖音</v>
      </c>
      <c r="O9781" s="5">
        <v>320156477415732</v>
      </c>
      <c r="P9781" s="6">
        <v>0.33</v>
      </c>
      <c r="Q9781" s="11">
        <v>2.2999999999999998</v>
      </c>
      <c r="R9781" s="11"/>
      <c r="S9781" s="11"/>
      <c r="T9781" s="11"/>
      <c r="U9781" s="11">
        <f t="shared" si="2664"/>
        <v>2.2999999999999998</v>
      </c>
      <c r="W9781">
        <v>2.5</v>
      </c>
      <c r="X9781" s="1" t="s">
        <v>44</v>
      </c>
    </row>
    <row r="9782" spans="1:24" x14ac:dyDescent="0.25">
      <c r="A9782" s="1" t="str">
        <f t="shared" si="2669"/>
        <v>卡卡杜-凤凰仓</v>
      </c>
      <c r="B9782" s="1" t="str">
        <f>"CK2024100515394-1"</f>
        <v>CK2024100515394-1</v>
      </c>
      <c r="C9782" s="1" t="str">
        <f>"DD2024100526778"</f>
        <v>DD2024100526778</v>
      </c>
      <c r="D9782" s="1" t="str">
        <f>"CK2024100526656"</f>
        <v>CK2024100526656</v>
      </c>
      <c r="E9782" s="1" t="str">
        <f>"6917829765280005474"</f>
        <v>6917829765280005474</v>
      </c>
      <c r="F9782" s="1" t="str">
        <f t="shared" si="2670"/>
        <v>花都四部-凤凰仓</v>
      </c>
      <c r="G9782" s="1" t="str">
        <f t="shared" si="2667"/>
        <v>卡卡杜个人护理店（抖店）</v>
      </c>
      <c r="H9782" s="1" t="str">
        <f t="shared" si="2671"/>
        <v>正常订单</v>
      </c>
      <c r="I9782" s="1" t="str">
        <f t="shared" si="2672"/>
        <v>已发货</v>
      </c>
      <c r="J9782" s="1" t="str">
        <f t="shared" si="2673"/>
        <v>2</v>
      </c>
      <c r="K9782" s="1">
        <v>1</v>
      </c>
      <c r="L9782" s="1" t="s">
        <v>36</v>
      </c>
      <c r="M9782" s="1" t="str">
        <f>"安徽省 宣城市 广德市 邱村镇"</f>
        <v>安徽省 宣城市 广德市 邱村镇</v>
      </c>
      <c r="N9782" s="1" t="str">
        <f t="shared" si="2668"/>
        <v>凡华云仓-韵达-抖音</v>
      </c>
      <c r="O9782" s="5">
        <v>320156477415631</v>
      </c>
      <c r="P9782" s="6">
        <v>0.33</v>
      </c>
      <c r="Q9782" s="11">
        <v>2.2999999999999998</v>
      </c>
      <c r="R9782" s="11"/>
      <c r="S9782" s="11"/>
      <c r="T9782" s="11"/>
      <c r="U9782" s="11">
        <f t="shared" si="2664"/>
        <v>2.2999999999999998</v>
      </c>
      <c r="W9782">
        <v>2.5</v>
      </c>
      <c r="X9782" s="1" t="s">
        <v>36</v>
      </c>
    </row>
    <row r="9783" spans="1:24" x14ac:dyDescent="0.25">
      <c r="A9783" s="1" t="str">
        <f t="shared" si="2669"/>
        <v>卡卡杜-凤凰仓</v>
      </c>
      <c r="B9783" s="1" t="str">
        <f>"CK2024100515388-1"</f>
        <v>CK2024100515388-1</v>
      </c>
      <c r="C9783" s="1" t="str">
        <f>"DD2024100526773"</f>
        <v>DD2024100526773</v>
      </c>
      <c r="D9783" s="1" t="str">
        <f>"CK2024100526655"</f>
        <v>CK2024100526655</v>
      </c>
      <c r="E9783" s="1" t="str">
        <f>"6917834097219304957"</f>
        <v>6917834097219304957</v>
      </c>
      <c r="F9783" s="1" t="str">
        <f t="shared" si="2670"/>
        <v>花都四部-凤凰仓</v>
      </c>
      <c r="G9783" s="1" t="str">
        <f t="shared" si="2667"/>
        <v>卡卡杜个人护理店（抖店）</v>
      </c>
      <c r="H9783" s="1" t="str">
        <f t="shared" si="2671"/>
        <v>正常订单</v>
      </c>
      <c r="I9783" s="1" t="str">
        <f t="shared" si="2672"/>
        <v>已发货</v>
      </c>
      <c r="J9783" s="1" t="str">
        <f t="shared" si="2673"/>
        <v>2</v>
      </c>
      <c r="K9783" s="1">
        <v>1</v>
      </c>
      <c r="L9783" s="1" t="s">
        <v>27</v>
      </c>
      <c r="M9783" s="1" t="str">
        <f>"贵州省 遵义市 播州区 苟江镇"</f>
        <v>贵州省 遵义市 播州区 苟江镇</v>
      </c>
      <c r="N9783" s="1" t="str">
        <f t="shared" si="2668"/>
        <v>凡华云仓-韵达-抖音</v>
      </c>
      <c r="O9783" s="5">
        <v>320156477415532</v>
      </c>
      <c r="P9783" s="6">
        <v>0.33</v>
      </c>
      <c r="Q9783" s="11">
        <v>2.2999999999999998</v>
      </c>
      <c r="R9783" s="11"/>
      <c r="S9783" s="11"/>
      <c r="T9783" s="11"/>
      <c r="U9783" s="11">
        <f t="shared" si="2664"/>
        <v>2.2999999999999998</v>
      </c>
      <c r="W9783">
        <v>2.5</v>
      </c>
      <c r="X9783" s="1" t="s">
        <v>27</v>
      </c>
    </row>
    <row r="9784" spans="1:24" x14ac:dyDescent="0.25">
      <c r="A9784" s="1" t="str">
        <f t="shared" si="2669"/>
        <v>卡卡杜-凤凰仓</v>
      </c>
      <c r="B9784" s="1" t="str">
        <f>"CK2024100515390-1"</f>
        <v>CK2024100515390-1</v>
      </c>
      <c r="C9784" s="1" t="str">
        <f>"DD2024100526774"</f>
        <v>DD2024100526774</v>
      </c>
      <c r="D9784" s="1" t="str">
        <f>"CK2024100526654"</f>
        <v>CK2024100526654</v>
      </c>
      <c r="E9784" s="1" t="str">
        <f>"6917825233944739319"</f>
        <v>6917825233944739319</v>
      </c>
      <c r="F9784" s="1" t="str">
        <f t="shared" si="2670"/>
        <v>花都四部-凤凰仓</v>
      </c>
      <c r="G9784" s="1" t="str">
        <f t="shared" si="2667"/>
        <v>卡卡杜个人护理店（抖店）</v>
      </c>
      <c r="H9784" s="1" t="str">
        <f t="shared" si="2671"/>
        <v>正常订单</v>
      </c>
      <c r="I9784" s="1" t="str">
        <f t="shared" si="2672"/>
        <v>已发货</v>
      </c>
      <c r="J9784" s="1" t="str">
        <f t="shared" si="2673"/>
        <v>2</v>
      </c>
      <c r="K9784" s="1">
        <v>1</v>
      </c>
      <c r="L9784" s="1" t="s">
        <v>22</v>
      </c>
      <c r="M9784" s="1" t="str">
        <f>"江西省 宜春市 万载县 康乐街道"</f>
        <v>江西省 宜春市 万载县 康乐街道</v>
      </c>
      <c r="N9784" s="1" t="str">
        <f t="shared" si="2668"/>
        <v>凡华云仓-韵达-抖音</v>
      </c>
      <c r="O9784" s="5">
        <v>320156477415435</v>
      </c>
      <c r="P9784" s="6">
        <v>0.33</v>
      </c>
      <c r="Q9784" s="11">
        <v>2.2999999999999998</v>
      </c>
      <c r="R9784" s="11"/>
      <c r="S9784" s="11"/>
      <c r="T9784" s="11"/>
      <c r="U9784" s="11">
        <f t="shared" si="2664"/>
        <v>2.2999999999999998</v>
      </c>
      <c r="W9784">
        <v>2.5</v>
      </c>
      <c r="X9784" s="1" t="s">
        <v>22</v>
      </c>
    </row>
    <row r="9785" spans="1:24" x14ac:dyDescent="0.25">
      <c r="A9785" s="1" t="str">
        <f t="shared" si="2669"/>
        <v>卡卡杜-凤凰仓</v>
      </c>
      <c r="B9785" s="1" t="str">
        <f>"CK2024100515391-1"</f>
        <v>CK2024100515391-1</v>
      </c>
      <c r="C9785" s="1" t="str">
        <f>"DD2024100526775"</f>
        <v>DD2024100526775</v>
      </c>
      <c r="D9785" s="1" t="str">
        <f>"CK2024100526653"</f>
        <v>CK2024100526653</v>
      </c>
      <c r="E9785" s="1" t="str">
        <f>"6917832304417472194"</f>
        <v>6917832304417472194</v>
      </c>
      <c r="F9785" s="1" t="str">
        <f t="shared" si="2670"/>
        <v>花都四部-凤凰仓</v>
      </c>
      <c r="G9785" s="1" t="str">
        <f t="shared" si="2667"/>
        <v>卡卡杜个人护理店（抖店）</v>
      </c>
      <c r="H9785" s="1" t="str">
        <f t="shared" si="2671"/>
        <v>正常订单</v>
      </c>
      <c r="I9785" s="1" t="str">
        <f t="shared" si="2672"/>
        <v>已发货</v>
      </c>
      <c r="J9785" s="1" t="str">
        <f t="shared" si="2673"/>
        <v>2</v>
      </c>
      <c r="K9785" s="1">
        <v>1</v>
      </c>
      <c r="L9785" s="1" t="s">
        <v>94</v>
      </c>
      <c r="M9785" s="1" t="str">
        <f>"湖南省 邵阳市 隆回县 桃花坪街道"</f>
        <v>湖南省 邵阳市 隆回县 桃花坪街道</v>
      </c>
      <c r="N9785" s="1" t="str">
        <f t="shared" si="2668"/>
        <v>凡华云仓-韵达-抖音</v>
      </c>
      <c r="O9785" s="5">
        <v>320156477415340</v>
      </c>
      <c r="P9785" s="6">
        <v>0.33</v>
      </c>
      <c r="Q9785" s="11">
        <v>2.2999999999999998</v>
      </c>
      <c r="R9785" s="11"/>
      <c r="S9785" s="11"/>
      <c r="T9785" s="11"/>
      <c r="U9785" s="11">
        <f t="shared" si="2664"/>
        <v>2.2999999999999998</v>
      </c>
      <c r="W9785">
        <v>2.5</v>
      </c>
      <c r="X9785" s="1" t="s">
        <v>94</v>
      </c>
    </row>
    <row r="9786" spans="1:24" x14ac:dyDescent="0.25">
      <c r="A9786" s="1" t="str">
        <f t="shared" si="2669"/>
        <v>卡卡杜-凤凰仓</v>
      </c>
      <c r="B9786" s="1" t="str">
        <f>"CK2024100515392-1"</f>
        <v>CK2024100515392-1</v>
      </c>
      <c r="C9786" s="1" t="str">
        <f>"DD2024100526776"</f>
        <v>DD2024100526776</v>
      </c>
      <c r="D9786" s="1" t="str">
        <f>"CK2024100526652"</f>
        <v>CK2024100526652</v>
      </c>
      <c r="E9786" s="1" t="str">
        <f>"6917829508492328227"</f>
        <v>6917829508492328227</v>
      </c>
      <c r="F9786" s="1" t="str">
        <f t="shared" si="2670"/>
        <v>花都四部-凤凰仓</v>
      </c>
      <c r="G9786" s="1" t="str">
        <f t="shared" si="2667"/>
        <v>卡卡杜个人护理店（抖店）</v>
      </c>
      <c r="H9786" s="1" t="str">
        <f t="shared" si="2671"/>
        <v>正常订单</v>
      </c>
      <c r="I9786" s="1" t="str">
        <f t="shared" si="2672"/>
        <v>已发货</v>
      </c>
      <c r="J9786" s="1" t="str">
        <f t="shared" si="2673"/>
        <v>2</v>
      </c>
      <c r="K9786" s="1">
        <v>1</v>
      </c>
      <c r="L9786" s="1" t="s">
        <v>94</v>
      </c>
      <c r="M9786" s="1" t="str">
        <f>"湖南省 邵阳市 隆回县 山界回族乡"</f>
        <v>湖南省 邵阳市 隆回县 山界回族乡</v>
      </c>
      <c r="N9786" s="1" t="str">
        <f t="shared" si="2668"/>
        <v>凡华云仓-韵达-抖音</v>
      </c>
      <c r="O9786" s="5">
        <v>320156477415247</v>
      </c>
      <c r="P9786" s="6">
        <v>0.33</v>
      </c>
      <c r="Q9786" s="11">
        <v>2.2999999999999998</v>
      </c>
      <c r="R9786" s="11"/>
      <c r="S9786" s="11"/>
      <c r="T9786" s="11"/>
      <c r="U9786" s="11">
        <f t="shared" si="2664"/>
        <v>2.2999999999999998</v>
      </c>
      <c r="W9786">
        <v>2.5</v>
      </c>
      <c r="X9786" s="1" t="s">
        <v>94</v>
      </c>
    </row>
    <row r="9787" spans="1:24" x14ac:dyDescent="0.25">
      <c r="A9787" s="1" t="str">
        <f t="shared" si="2669"/>
        <v>卡卡杜-凤凰仓</v>
      </c>
      <c r="B9787" s="1" t="str">
        <f>"CK2024100515359-1"</f>
        <v>CK2024100515359-1</v>
      </c>
      <c r="C9787" s="1" t="str">
        <f>"DD2024100526742"</f>
        <v>DD2024100526742</v>
      </c>
      <c r="D9787" s="1" t="str">
        <f>"CK2024100526651"</f>
        <v>CK2024100526651</v>
      </c>
      <c r="E9787" s="1" t="str">
        <f>"6917832505304448725"</f>
        <v>6917832505304448725</v>
      </c>
      <c r="F9787" s="1" t="str">
        <f t="shared" si="2670"/>
        <v>花都四部-凤凰仓</v>
      </c>
      <c r="G9787" s="1" t="str">
        <f t="shared" si="2667"/>
        <v>卡卡杜个人护理店（抖店）</v>
      </c>
      <c r="H9787" s="1" t="str">
        <f t="shared" si="2671"/>
        <v>正常订单</v>
      </c>
      <c r="I9787" s="1" t="str">
        <f t="shared" si="2672"/>
        <v>已发货</v>
      </c>
      <c r="J9787" s="1" t="str">
        <f t="shared" si="2673"/>
        <v>2</v>
      </c>
      <c r="K9787" s="1">
        <v>1</v>
      </c>
      <c r="L9787" s="1" t="s">
        <v>13</v>
      </c>
      <c r="M9787" s="1" t="str">
        <f>"江苏省 泰州市 泰兴市 广陵镇"</f>
        <v>江苏省 泰州市 泰兴市 广陵镇</v>
      </c>
      <c r="N9787" s="1" t="str">
        <f t="shared" si="2668"/>
        <v>凡华云仓-韵达-抖音</v>
      </c>
      <c r="O9787" s="5">
        <v>320156477415156</v>
      </c>
      <c r="P9787" s="6">
        <v>0.33</v>
      </c>
      <c r="Q9787" s="11">
        <v>2.2999999999999998</v>
      </c>
      <c r="R9787" s="11"/>
      <c r="S9787" s="11"/>
      <c r="T9787" s="11"/>
      <c r="U9787" s="11">
        <f t="shared" si="2664"/>
        <v>2.2999999999999998</v>
      </c>
      <c r="W9787">
        <v>2.5</v>
      </c>
      <c r="X9787" s="1" t="s">
        <v>13</v>
      </c>
    </row>
    <row r="9788" spans="1:24" x14ac:dyDescent="0.25">
      <c r="A9788" s="1" t="str">
        <f t="shared" si="2669"/>
        <v>卡卡杜-凤凰仓</v>
      </c>
      <c r="B9788" s="1" t="str">
        <f>"CK2024100515389-1"</f>
        <v>CK2024100515389-1</v>
      </c>
      <c r="C9788" s="1" t="str">
        <f>"DD2024100526772"</f>
        <v>DD2024100526772</v>
      </c>
      <c r="D9788" s="1" t="str">
        <f>"CK2024100526650"</f>
        <v>CK2024100526650</v>
      </c>
      <c r="E9788" s="1" t="str">
        <f>"6917825170829769746"</f>
        <v>6917825170829769746</v>
      </c>
      <c r="F9788" s="1" t="str">
        <f t="shared" si="2670"/>
        <v>花都四部-凤凰仓</v>
      </c>
      <c r="G9788" s="1" t="str">
        <f t="shared" si="2667"/>
        <v>卡卡杜个人护理店（抖店）</v>
      </c>
      <c r="H9788" s="1" t="str">
        <f t="shared" si="2671"/>
        <v>正常订单</v>
      </c>
      <c r="I9788" s="1" t="str">
        <f t="shared" si="2672"/>
        <v>已发货</v>
      </c>
      <c r="J9788" s="1" t="str">
        <f t="shared" si="2673"/>
        <v>2</v>
      </c>
      <c r="K9788" s="1">
        <v>1</v>
      </c>
      <c r="L9788" s="1" t="s">
        <v>74</v>
      </c>
      <c r="M9788" s="1" t="str">
        <f>"上海 上海市 浦东新区 南码头路街道"</f>
        <v>上海 上海市 浦东新区 南码头路街道</v>
      </c>
      <c r="N9788" s="1" t="str">
        <f t="shared" si="2668"/>
        <v>凡华云仓-韵达-抖音</v>
      </c>
      <c r="O9788" s="5">
        <v>320156477415067</v>
      </c>
      <c r="P9788" s="6">
        <v>0.33</v>
      </c>
      <c r="Q9788" s="11">
        <v>2.2999999999999998</v>
      </c>
      <c r="R9788" s="11"/>
      <c r="S9788" s="11"/>
      <c r="T9788" s="11"/>
      <c r="U9788" s="11">
        <f t="shared" si="2664"/>
        <v>2.2999999999999998</v>
      </c>
      <c r="W9788">
        <v>2.5</v>
      </c>
      <c r="X9788" s="1" t="s">
        <v>74</v>
      </c>
    </row>
    <row r="9789" spans="1:24" x14ac:dyDescent="0.25">
      <c r="A9789" s="1" t="str">
        <f t="shared" si="2669"/>
        <v>卡卡杜-凤凰仓</v>
      </c>
      <c r="B9789" s="1" t="str">
        <f>"CK2024100515358-1"</f>
        <v>CK2024100515358-1</v>
      </c>
      <c r="C9789" s="1" t="str">
        <f>"DD2024100526744"</f>
        <v>DD2024100526744</v>
      </c>
      <c r="D9789" s="1" t="str">
        <f>"CK2024100526649"</f>
        <v>CK2024100526649</v>
      </c>
      <c r="E9789" s="1" t="str">
        <f>"6917832463693020955"</f>
        <v>6917832463693020955</v>
      </c>
      <c r="F9789" s="1" t="str">
        <f t="shared" si="2670"/>
        <v>花都四部-凤凰仓</v>
      </c>
      <c r="G9789" s="1" t="str">
        <f t="shared" si="2667"/>
        <v>卡卡杜个人护理店（抖店）</v>
      </c>
      <c r="H9789" s="1" t="str">
        <f t="shared" si="2671"/>
        <v>正常订单</v>
      </c>
      <c r="I9789" s="1" t="str">
        <f t="shared" si="2672"/>
        <v>已发货</v>
      </c>
      <c r="J9789" s="1" t="str">
        <f t="shared" si="2673"/>
        <v>2</v>
      </c>
      <c r="K9789" s="1">
        <v>1</v>
      </c>
      <c r="L9789" s="1" t="s">
        <v>60</v>
      </c>
      <c r="M9789" s="1" t="str">
        <f>"云南省 昆明市 呈贡区 洛龙街道"</f>
        <v>云南省 昆明市 呈贡区 洛龙街道</v>
      </c>
      <c r="N9789" s="1" t="str">
        <f t="shared" si="2668"/>
        <v>凡华云仓-韵达-抖音</v>
      </c>
      <c r="O9789" s="5">
        <v>320156463910678</v>
      </c>
      <c r="P9789" s="6">
        <v>0.33</v>
      </c>
      <c r="Q9789" s="11">
        <v>2.2999999999999998</v>
      </c>
      <c r="R9789" s="11"/>
      <c r="S9789" s="11"/>
      <c r="T9789" s="11"/>
      <c r="U9789" s="11">
        <f t="shared" si="2664"/>
        <v>2.2999999999999998</v>
      </c>
      <c r="W9789">
        <v>2.5</v>
      </c>
      <c r="X9789" s="1" t="s">
        <v>60</v>
      </c>
    </row>
    <row r="9790" spans="1:24" x14ac:dyDescent="0.25">
      <c r="A9790" s="1" t="str">
        <f t="shared" si="2669"/>
        <v>卡卡杜-凤凰仓</v>
      </c>
      <c r="B9790" s="1" t="str">
        <f>"CK2024100515356-1"</f>
        <v>CK2024100515356-1</v>
      </c>
      <c r="C9790" s="1" t="str">
        <f>"DD2024100526740"</f>
        <v>DD2024100526740</v>
      </c>
      <c r="D9790" s="1" t="str">
        <f>"CK2024100526648"</f>
        <v>CK2024100526648</v>
      </c>
      <c r="E9790" s="1" t="str">
        <f>"6917830096661675385"</f>
        <v>6917830096661675385</v>
      </c>
      <c r="F9790" s="1" t="str">
        <f t="shared" si="2670"/>
        <v>花都四部-凤凰仓</v>
      </c>
      <c r="G9790" s="1" t="str">
        <f t="shared" si="2667"/>
        <v>卡卡杜个人护理店（抖店）</v>
      </c>
      <c r="H9790" s="1" t="str">
        <f t="shared" si="2671"/>
        <v>正常订单</v>
      </c>
      <c r="I9790" s="1" t="str">
        <f t="shared" si="2672"/>
        <v>已发货</v>
      </c>
      <c r="J9790" s="1" t="str">
        <f t="shared" si="2673"/>
        <v>2</v>
      </c>
      <c r="K9790" s="1">
        <v>1</v>
      </c>
      <c r="L9790" s="1" t="s">
        <v>18</v>
      </c>
      <c r="M9790" s="1" t="str">
        <f>"广东省 潮州市 潮安区 凤塘镇"</f>
        <v>广东省 潮州市 潮安区 凤塘镇</v>
      </c>
      <c r="N9790" s="1" t="str">
        <f t="shared" si="2668"/>
        <v>凡华云仓-韵达-抖音</v>
      </c>
      <c r="O9790" s="5">
        <v>320156463910579</v>
      </c>
      <c r="P9790" s="6">
        <v>0.33</v>
      </c>
      <c r="Q9790" s="11">
        <v>2.2999999999999998</v>
      </c>
      <c r="R9790" s="11"/>
      <c r="S9790" s="11"/>
      <c r="T9790" s="11"/>
      <c r="U9790" s="11">
        <f t="shared" si="2664"/>
        <v>2.2999999999999998</v>
      </c>
      <c r="W9790">
        <v>2.5</v>
      </c>
      <c r="X9790" s="1" t="s">
        <v>18</v>
      </c>
    </row>
    <row r="9791" spans="1:24" x14ac:dyDescent="0.25">
      <c r="A9791" s="1" t="str">
        <f t="shared" si="2669"/>
        <v>卡卡杜-凤凰仓</v>
      </c>
      <c r="B9791" s="1" t="str">
        <f>"CK2024100515441"</f>
        <v>CK2024100515441</v>
      </c>
      <c r="C9791" s="1" t="str">
        <f>"DD2024100526709"</f>
        <v>DD2024100526709</v>
      </c>
      <c r="D9791" s="1" t="str">
        <f>"CK2024100526647"</f>
        <v>CK2024100526647</v>
      </c>
      <c r="E9791" s="1" t="str">
        <f>"6917827475845840809"</f>
        <v>6917827475845840809</v>
      </c>
      <c r="F9791" s="1" t="str">
        <f t="shared" si="2670"/>
        <v>花都四部-凤凰仓</v>
      </c>
      <c r="G9791" s="1" t="str">
        <f t="shared" si="2667"/>
        <v>卡卡杜个人护理店（抖店）</v>
      </c>
      <c r="H9791" s="1" t="str">
        <f t="shared" si="2671"/>
        <v>正常订单</v>
      </c>
      <c r="I9791" s="1" t="str">
        <f t="shared" si="2672"/>
        <v>已发货</v>
      </c>
      <c r="J9791" s="1" t="str">
        <f t="shared" si="2673"/>
        <v>2</v>
      </c>
      <c r="K9791" s="1">
        <v>1</v>
      </c>
      <c r="L9791" s="1" t="s">
        <v>94</v>
      </c>
      <c r="M9791" s="1" t="str">
        <f>"湖南省 益阳市 赫山区 桃花仑街道"</f>
        <v>湖南省 益阳市 赫山区 桃花仑街道</v>
      </c>
      <c r="N9791" s="1" t="str">
        <f t="shared" si="2668"/>
        <v>凡华云仓-韵达-抖音</v>
      </c>
      <c r="O9791" s="5">
        <v>320156463910482</v>
      </c>
      <c r="P9791" s="6">
        <v>0.33</v>
      </c>
      <c r="Q9791" s="11">
        <v>2.2999999999999998</v>
      </c>
      <c r="R9791" s="11"/>
      <c r="S9791" s="11"/>
      <c r="T9791" s="11"/>
      <c r="U9791" s="11">
        <f t="shared" si="2664"/>
        <v>2.2999999999999998</v>
      </c>
      <c r="W9791">
        <v>2.5</v>
      </c>
      <c r="X9791" s="1" t="s">
        <v>94</v>
      </c>
    </row>
    <row r="9792" spans="1:24" x14ac:dyDescent="0.25">
      <c r="A9792" s="1" t="str">
        <f t="shared" si="2669"/>
        <v>卡卡杜-凤凰仓</v>
      </c>
      <c r="B9792" s="1" t="str">
        <f>"CK2024100515442"</f>
        <v>CK2024100515442</v>
      </c>
      <c r="C9792" s="1" t="str">
        <f>"DD2024100526712"</f>
        <v>DD2024100526712</v>
      </c>
      <c r="D9792" s="1" t="str">
        <f>"CK2024100526646"</f>
        <v>CK2024100526646</v>
      </c>
      <c r="E9792" s="1" t="str">
        <f>"6917834036672625878"</f>
        <v>6917834036672625878</v>
      </c>
      <c r="F9792" s="1" t="str">
        <f t="shared" si="2670"/>
        <v>花都四部-凤凰仓</v>
      </c>
      <c r="G9792" s="1" t="str">
        <f t="shared" si="2667"/>
        <v>卡卡杜个人护理店（抖店）</v>
      </c>
      <c r="H9792" s="1" t="str">
        <f t="shared" si="2671"/>
        <v>正常订单</v>
      </c>
      <c r="I9792" s="1" t="str">
        <f t="shared" si="2672"/>
        <v>已发货</v>
      </c>
      <c r="J9792" s="1" t="str">
        <f t="shared" si="2673"/>
        <v>2</v>
      </c>
      <c r="K9792" s="1">
        <v>1</v>
      </c>
      <c r="L9792" s="1" t="s">
        <v>13</v>
      </c>
      <c r="M9792" s="1" t="str">
        <f>"江苏省 南京市 溧水区 永阳街道"</f>
        <v>江苏省 南京市 溧水区 永阳街道</v>
      </c>
      <c r="N9792" s="1" t="str">
        <f t="shared" si="2668"/>
        <v>凡华云仓-韵达-抖音</v>
      </c>
      <c r="O9792" s="5">
        <v>320156463910387</v>
      </c>
      <c r="P9792" s="6">
        <v>0.33</v>
      </c>
      <c r="Q9792" s="11">
        <v>2.2999999999999998</v>
      </c>
      <c r="R9792" s="11"/>
      <c r="S9792" s="11"/>
      <c r="T9792" s="11"/>
      <c r="U9792" s="11">
        <f t="shared" si="2664"/>
        <v>2.2999999999999998</v>
      </c>
      <c r="W9792">
        <v>2.5</v>
      </c>
      <c r="X9792" s="1" t="s">
        <v>13</v>
      </c>
    </row>
    <row r="9793" spans="1:24" x14ac:dyDescent="0.25">
      <c r="A9793" s="1" t="str">
        <f t="shared" si="2669"/>
        <v>卡卡杜-凤凰仓</v>
      </c>
      <c r="B9793" s="1" t="str">
        <f>"CK2024100515443"</f>
        <v>CK2024100515443</v>
      </c>
      <c r="C9793" s="1" t="str">
        <f>"DD2024100526713"</f>
        <v>DD2024100526713</v>
      </c>
      <c r="D9793" s="1" t="str">
        <f>"CK2024100526645"</f>
        <v>CK2024100526645</v>
      </c>
      <c r="E9793" s="1" t="str">
        <f>"6917834509730151966"</f>
        <v>6917834509730151966</v>
      </c>
      <c r="F9793" s="1" t="str">
        <f t="shared" si="2670"/>
        <v>花都四部-凤凰仓</v>
      </c>
      <c r="G9793" s="1" t="str">
        <f t="shared" si="2667"/>
        <v>卡卡杜个人护理店（抖店）</v>
      </c>
      <c r="H9793" s="1" t="str">
        <f t="shared" si="2671"/>
        <v>正常订单</v>
      </c>
      <c r="I9793" s="1" t="str">
        <f t="shared" si="2672"/>
        <v>已发货</v>
      </c>
      <c r="J9793" s="1" t="str">
        <f t="shared" si="2673"/>
        <v>2</v>
      </c>
      <c r="K9793" s="1">
        <v>1</v>
      </c>
      <c r="L9793" s="1" t="s">
        <v>80</v>
      </c>
      <c r="M9793" s="1" t="str">
        <f>"河南省 郑州市 管城回族区 城东路街道"</f>
        <v>河南省 郑州市 管城回族区 城东路街道</v>
      </c>
      <c r="N9793" s="1" t="str">
        <f t="shared" si="2668"/>
        <v>凡华云仓-韵达-抖音</v>
      </c>
      <c r="O9793" s="5">
        <v>320156463910294</v>
      </c>
      <c r="P9793" s="6">
        <v>0.33</v>
      </c>
      <c r="Q9793" s="11">
        <v>2.2999999999999998</v>
      </c>
      <c r="R9793" s="11"/>
      <c r="S9793" s="11"/>
      <c r="T9793" s="11"/>
      <c r="U9793" s="11">
        <f t="shared" si="2664"/>
        <v>2.2999999999999998</v>
      </c>
      <c r="W9793">
        <v>2.5</v>
      </c>
      <c r="X9793" s="1" t="s">
        <v>80</v>
      </c>
    </row>
    <row r="9794" spans="1:24" x14ac:dyDescent="0.25">
      <c r="A9794" s="1" t="str">
        <f t="shared" si="2669"/>
        <v>卡卡杜-凤凰仓</v>
      </c>
      <c r="B9794" s="1" t="str">
        <f>"CK2024100515439"</f>
        <v>CK2024100515439</v>
      </c>
      <c r="C9794" s="1" t="str">
        <f>"DD2024100526710"</f>
        <v>DD2024100526710</v>
      </c>
      <c r="D9794" s="1" t="str">
        <f>"CK2024100526644"</f>
        <v>CK2024100526644</v>
      </c>
      <c r="E9794" s="1" t="str">
        <f>"6917828051108068706"</f>
        <v>6917828051108068706</v>
      </c>
      <c r="F9794" s="1" t="str">
        <f t="shared" si="2670"/>
        <v>花都四部-凤凰仓</v>
      </c>
      <c r="G9794" s="1" t="str">
        <f t="shared" si="2667"/>
        <v>卡卡杜个人护理店（抖店）</v>
      </c>
      <c r="H9794" s="1" t="str">
        <f t="shared" si="2671"/>
        <v>正常订单</v>
      </c>
      <c r="I9794" s="1" t="str">
        <f t="shared" si="2672"/>
        <v>已发货</v>
      </c>
      <c r="J9794" s="1" t="str">
        <f t="shared" si="2673"/>
        <v>2</v>
      </c>
      <c r="K9794" s="1">
        <v>1</v>
      </c>
      <c r="L9794" s="1" t="s">
        <v>18</v>
      </c>
      <c r="M9794" s="1" t="str">
        <f>"广东省 东莞市 东莞市 凤岗镇"</f>
        <v>广东省 东莞市 东莞市 凤岗镇</v>
      </c>
      <c r="N9794" s="1" t="str">
        <f t="shared" si="2668"/>
        <v>凡华云仓-韵达-抖音</v>
      </c>
      <c r="O9794" s="5">
        <v>320156463910103</v>
      </c>
      <c r="P9794" s="6">
        <v>0.33</v>
      </c>
      <c r="Q9794" s="11">
        <v>2.2999999999999998</v>
      </c>
      <c r="R9794" s="11"/>
      <c r="S9794" s="11"/>
      <c r="T9794" s="11"/>
      <c r="U9794" s="11">
        <f t="shared" si="2664"/>
        <v>2.2999999999999998</v>
      </c>
      <c r="W9794">
        <v>2.5</v>
      </c>
      <c r="X9794" s="1" t="s">
        <v>18</v>
      </c>
    </row>
    <row r="9795" spans="1:24" x14ac:dyDescent="0.25">
      <c r="A9795" s="1" t="str">
        <f t="shared" si="2669"/>
        <v>卡卡杜-凤凰仓</v>
      </c>
      <c r="B9795" s="1" t="str">
        <f>"CK2024100515444"</f>
        <v>CK2024100515444</v>
      </c>
      <c r="C9795" s="1" t="str">
        <f>"DD2024100526716"</f>
        <v>DD2024100526716</v>
      </c>
      <c r="D9795" s="1" t="str">
        <f>"CK2024100526643"</f>
        <v>CK2024100526643</v>
      </c>
      <c r="E9795" s="1" t="str">
        <f>"6917834888115027761"</f>
        <v>6917834888115027761</v>
      </c>
      <c r="F9795" s="1" t="str">
        <f t="shared" si="2670"/>
        <v>花都四部-凤凰仓</v>
      </c>
      <c r="G9795" s="1" t="str">
        <f t="shared" si="2667"/>
        <v>卡卡杜个人护理店（抖店）</v>
      </c>
      <c r="H9795" s="1" t="str">
        <f t="shared" si="2671"/>
        <v>正常订单</v>
      </c>
      <c r="I9795" s="1" t="str">
        <f t="shared" si="2672"/>
        <v>已发货</v>
      </c>
      <c r="J9795" s="1" t="str">
        <f t="shared" si="2673"/>
        <v>2</v>
      </c>
      <c r="K9795" s="1">
        <v>1</v>
      </c>
      <c r="L9795" s="1" t="s">
        <v>20</v>
      </c>
      <c r="M9795" s="1" t="str">
        <f>"浙江省 嘉兴市 海宁市 海洲街道"</f>
        <v>浙江省 嘉兴市 海宁市 海洲街道</v>
      </c>
      <c r="N9795" s="1" t="str">
        <f t="shared" si="2668"/>
        <v>凡华云仓-韵达-抖音</v>
      </c>
      <c r="O9795" s="5">
        <v>320156463910014</v>
      </c>
      <c r="P9795" s="6">
        <v>0.33</v>
      </c>
      <c r="Q9795" s="11">
        <v>2.2999999999999998</v>
      </c>
      <c r="R9795" s="11"/>
      <c r="S9795" s="11"/>
      <c r="T9795" s="11"/>
      <c r="U9795" s="11">
        <f t="shared" ref="U9795:U9858" si="2674">T9795+S9795+R9795+Q9795</f>
        <v>2.2999999999999998</v>
      </c>
      <c r="W9795">
        <v>2.5</v>
      </c>
      <c r="X9795" s="1" t="s">
        <v>20</v>
      </c>
    </row>
    <row r="9796" spans="1:24" x14ac:dyDescent="0.25">
      <c r="A9796" s="1" t="str">
        <f t="shared" si="2669"/>
        <v>卡卡杜-凤凰仓</v>
      </c>
      <c r="B9796" s="1" t="str">
        <f>"CK2024100515446"</f>
        <v>CK2024100515446</v>
      </c>
      <c r="C9796" s="1" t="str">
        <f>"DD2024100526715"</f>
        <v>DD2024100526715</v>
      </c>
      <c r="D9796" s="1" t="str">
        <f>"CK2024100526642"</f>
        <v>CK2024100526642</v>
      </c>
      <c r="E9796" s="1" t="str">
        <f>"6917825655207329426"</f>
        <v>6917825655207329426</v>
      </c>
      <c r="F9796" s="1" t="str">
        <f t="shared" si="2670"/>
        <v>花都四部-凤凰仓</v>
      </c>
      <c r="G9796" s="1" t="str">
        <f t="shared" si="2667"/>
        <v>卡卡杜个人护理店（抖店）</v>
      </c>
      <c r="H9796" s="1" t="str">
        <f t="shared" si="2671"/>
        <v>正常订单</v>
      </c>
      <c r="I9796" s="1" t="str">
        <f t="shared" si="2672"/>
        <v>已发货</v>
      </c>
      <c r="J9796" s="1" t="str">
        <f t="shared" si="2673"/>
        <v>2</v>
      </c>
      <c r="K9796" s="1">
        <v>1</v>
      </c>
      <c r="L9796" s="1" t="s">
        <v>44</v>
      </c>
      <c r="M9796" s="1" t="str">
        <f>"海南省 儋州市 儋州市 三都镇"</f>
        <v>海南省 儋州市 儋州市 三都镇</v>
      </c>
      <c r="N9796" s="1" t="str">
        <f t="shared" si="2668"/>
        <v>凡华云仓-韵达-抖音</v>
      </c>
      <c r="O9796" s="5">
        <v>320156463909971</v>
      </c>
      <c r="P9796" s="6">
        <v>0.33</v>
      </c>
      <c r="Q9796" s="11">
        <v>2.2999999999999998</v>
      </c>
      <c r="R9796" s="11"/>
      <c r="S9796" s="11"/>
      <c r="T9796" s="11"/>
      <c r="U9796" s="11">
        <f t="shared" si="2674"/>
        <v>2.2999999999999998</v>
      </c>
      <c r="W9796">
        <v>2.5</v>
      </c>
      <c r="X9796" s="1" t="s">
        <v>44</v>
      </c>
    </row>
    <row r="9797" spans="1:24" x14ac:dyDescent="0.25">
      <c r="A9797" s="1" t="str">
        <f t="shared" si="2669"/>
        <v>卡卡杜-凤凰仓</v>
      </c>
      <c r="B9797" s="1" t="str">
        <f>"CK2024100515447"</f>
        <v>CK2024100515447</v>
      </c>
      <c r="C9797" s="1" t="str">
        <f>"DD2024100526718"</f>
        <v>DD2024100526718</v>
      </c>
      <c r="D9797" s="1" t="str">
        <f>"CK2024100526641"</f>
        <v>CK2024100526641</v>
      </c>
      <c r="E9797" s="1" t="str">
        <f>"6917834869468397478"</f>
        <v>6917834869468397478</v>
      </c>
      <c r="F9797" s="1" t="str">
        <f t="shared" si="2670"/>
        <v>花都四部-凤凰仓</v>
      </c>
      <c r="G9797" s="1" t="str">
        <f t="shared" si="2667"/>
        <v>卡卡杜个人护理店（抖店）</v>
      </c>
      <c r="H9797" s="1" t="str">
        <f t="shared" si="2671"/>
        <v>正常订单</v>
      </c>
      <c r="I9797" s="1" t="str">
        <f t="shared" si="2672"/>
        <v>已发货</v>
      </c>
      <c r="J9797" s="1" t="str">
        <f t="shared" si="2673"/>
        <v>2</v>
      </c>
      <c r="K9797" s="1">
        <v>1</v>
      </c>
      <c r="L9797" s="1" t="s">
        <v>18</v>
      </c>
      <c r="M9797" s="1" t="str">
        <f>"广东省 深圳市 宝安区 松岗街道"</f>
        <v>广东省 深圳市 宝安区 松岗街道</v>
      </c>
      <c r="N9797" s="1" t="str">
        <f t="shared" si="2668"/>
        <v>凡华云仓-韵达-抖音</v>
      </c>
      <c r="O9797" s="5">
        <v>320156463909866</v>
      </c>
      <c r="P9797" s="6">
        <v>0.33</v>
      </c>
      <c r="Q9797" s="11">
        <v>2.2999999999999998</v>
      </c>
      <c r="R9797" s="11"/>
      <c r="S9797" s="11"/>
      <c r="T9797" s="11"/>
      <c r="U9797" s="11">
        <f t="shared" si="2674"/>
        <v>2.2999999999999998</v>
      </c>
      <c r="W9797">
        <v>2.5</v>
      </c>
      <c r="X9797" s="1" t="s">
        <v>18</v>
      </c>
    </row>
    <row r="9798" spans="1:24" x14ac:dyDescent="0.25">
      <c r="A9798" s="1" t="str">
        <f t="shared" si="2669"/>
        <v>卡卡杜-凤凰仓</v>
      </c>
      <c r="B9798" s="1" t="str">
        <f>"CK2024100515409-1"</f>
        <v>CK2024100515409-1</v>
      </c>
      <c r="C9798" s="1" t="str">
        <f>"DD2024100526660"</f>
        <v>DD2024100526660</v>
      </c>
      <c r="D9798" s="1" t="str">
        <f>"CK2024100526640"</f>
        <v>CK2024100526640</v>
      </c>
      <c r="E9798" s="1" t="str">
        <f>"6917834543914450774"</f>
        <v>6917834543914450774</v>
      </c>
      <c r="F9798" s="1" t="str">
        <f t="shared" si="2670"/>
        <v>花都四部-凤凰仓</v>
      </c>
      <c r="G9798" s="1" t="str">
        <f t="shared" si="2667"/>
        <v>卡卡杜个人护理店（抖店）</v>
      </c>
      <c r="H9798" s="1" t="str">
        <f t="shared" si="2671"/>
        <v>正常订单</v>
      </c>
      <c r="I9798" s="1" t="str">
        <f t="shared" si="2672"/>
        <v>已发货</v>
      </c>
      <c r="J9798" s="1" t="str">
        <f t="shared" si="2673"/>
        <v>2</v>
      </c>
      <c r="K9798" s="1">
        <v>1</v>
      </c>
      <c r="L9798" s="1" t="s">
        <v>27</v>
      </c>
      <c r="M9798" s="1" t="str">
        <f>"贵州省 毕节市 七星关区 鸭池镇"</f>
        <v>贵州省 毕节市 七星关区 鸭池镇</v>
      </c>
      <c r="N9798" s="1" t="str">
        <f t="shared" si="2668"/>
        <v>凡华云仓-韵达-抖音</v>
      </c>
      <c r="O9798" s="5">
        <v>320156463909763</v>
      </c>
      <c r="P9798" s="6">
        <v>0.3</v>
      </c>
      <c r="Q9798" s="11">
        <v>2</v>
      </c>
      <c r="R9798" s="11"/>
      <c r="S9798" s="11"/>
      <c r="T9798" s="11"/>
      <c r="U9798" s="11">
        <f t="shared" si="2674"/>
        <v>2</v>
      </c>
      <c r="W9798">
        <v>2.2000000000000002</v>
      </c>
      <c r="X9798" s="1" t="s">
        <v>27</v>
      </c>
    </row>
    <row r="9799" spans="1:24" x14ac:dyDescent="0.25">
      <c r="A9799" s="1" t="str">
        <f t="shared" si="2669"/>
        <v>卡卡杜-凤凰仓</v>
      </c>
      <c r="B9799" s="1" t="str">
        <f>"CK2024100515440"</f>
        <v>CK2024100515440</v>
      </c>
      <c r="C9799" s="1" t="str">
        <f>"DD2024100526708"</f>
        <v>DD2024100526708</v>
      </c>
      <c r="D9799" s="1" t="str">
        <f>"CK2024100526639"</f>
        <v>CK2024100526639</v>
      </c>
      <c r="E9799" s="1" t="str">
        <f>"6917834638510030360"</f>
        <v>6917834638510030360</v>
      </c>
      <c r="F9799" s="1" t="str">
        <f t="shared" si="2670"/>
        <v>花都四部-凤凰仓</v>
      </c>
      <c r="G9799" s="1" t="str">
        <f t="shared" si="2667"/>
        <v>卡卡杜个人护理店（抖店）</v>
      </c>
      <c r="H9799" s="1" t="str">
        <f t="shared" si="2671"/>
        <v>正常订单</v>
      </c>
      <c r="I9799" s="1" t="str">
        <f t="shared" si="2672"/>
        <v>已发货</v>
      </c>
      <c r="J9799" s="1" t="str">
        <f t="shared" si="2673"/>
        <v>2</v>
      </c>
      <c r="K9799" s="1">
        <v>1</v>
      </c>
      <c r="L9799" s="1" t="s">
        <v>80</v>
      </c>
      <c r="M9799" s="1" t="str">
        <f>"河南省 信阳市 商城县 赤城街道"</f>
        <v>河南省 信阳市 商城县 赤城街道</v>
      </c>
      <c r="N9799" s="1" t="str">
        <f t="shared" si="2668"/>
        <v>凡华云仓-韵达-抖音</v>
      </c>
      <c r="O9799" s="5">
        <v>320156476752234</v>
      </c>
      <c r="P9799" s="6">
        <v>0.33</v>
      </c>
      <c r="Q9799" s="11">
        <v>2.2999999999999998</v>
      </c>
      <c r="R9799" s="11"/>
      <c r="S9799" s="11"/>
      <c r="T9799" s="11"/>
      <c r="U9799" s="11">
        <f t="shared" si="2674"/>
        <v>2.2999999999999998</v>
      </c>
      <c r="W9799">
        <v>2.5</v>
      </c>
      <c r="X9799" s="1" t="s">
        <v>80</v>
      </c>
    </row>
    <row r="9800" spans="1:24" x14ac:dyDescent="0.25">
      <c r="A9800" s="1" t="str">
        <f t="shared" si="2669"/>
        <v>卡卡杜-凤凰仓</v>
      </c>
      <c r="B9800" s="1" t="str">
        <f>"CK2024100515445"</f>
        <v>CK2024100515445</v>
      </c>
      <c r="C9800" s="1" t="str">
        <f>"DD2024100526714"</f>
        <v>DD2024100526714</v>
      </c>
      <c r="D9800" s="1" t="str">
        <f>"CK2024100526638"</f>
        <v>CK2024100526638</v>
      </c>
      <c r="E9800" s="1" t="str">
        <f>"6917834855273298957"</f>
        <v>6917834855273298957</v>
      </c>
      <c r="F9800" s="1" t="str">
        <f t="shared" si="2670"/>
        <v>花都四部-凤凰仓</v>
      </c>
      <c r="G9800" s="1" t="str">
        <f t="shared" si="2667"/>
        <v>卡卡杜个人护理店（抖店）</v>
      </c>
      <c r="H9800" s="1" t="str">
        <f t="shared" si="2671"/>
        <v>正常订单</v>
      </c>
      <c r="I9800" s="1" t="str">
        <f t="shared" si="2672"/>
        <v>已发货</v>
      </c>
      <c r="J9800" s="1" t="str">
        <f t="shared" si="2673"/>
        <v>2</v>
      </c>
      <c r="K9800" s="1">
        <v>1</v>
      </c>
      <c r="L9800" s="1" t="s">
        <v>96</v>
      </c>
      <c r="M9800" s="1" t="str">
        <f>"广西壮族自治区 钦州市 钦北区 子材街道"</f>
        <v>广西壮族自治区 钦州市 钦北区 子材街道</v>
      </c>
      <c r="N9800" s="1" t="str">
        <f t="shared" si="2668"/>
        <v>凡华云仓-韵达-抖音</v>
      </c>
      <c r="O9800" s="5">
        <v>320156476752143</v>
      </c>
      <c r="P9800" s="6">
        <v>0.33</v>
      </c>
      <c r="Q9800" s="11">
        <v>2.2999999999999998</v>
      </c>
      <c r="R9800" s="11"/>
      <c r="S9800" s="11"/>
      <c r="T9800" s="11"/>
      <c r="U9800" s="11">
        <f t="shared" si="2674"/>
        <v>2.2999999999999998</v>
      </c>
      <c r="W9800">
        <v>2.5</v>
      </c>
      <c r="X9800" s="1" t="s">
        <v>96</v>
      </c>
    </row>
    <row r="9801" spans="1:24" x14ac:dyDescent="0.25">
      <c r="A9801" s="1" t="str">
        <f t="shared" si="2669"/>
        <v>卡卡杜-凤凰仓</v>
      </c>
      <c r="B9801" s="1" t="str">
        <f>"CK2024100515357-1"</f>
        <v>CK2024100515357-1</v>
      </c>
      <c r="C9801" s="1" t="str">
        <f>"DD2024100526741"</f>
        <v>DD2024100526741</v>
      </c>
      <c r="D9801" s="1" t="str">
        <f>"CK2024100526637"</f>
        <v>CK2024100526637</v>
      </c>
      <c r="E9801" s="1" t="str">
        <f>"6917829954527853855"</f>
        <v>6917829954527853855</v>
      </c>
      <c r="F9801" s="1" t="str">
        <f t="shared" si="2670"/>
        <v>花都四部-凤凰仓</v>
      </c>
      <c r="G9801" s="1" t="str">
        <f t="shared" si="2667"/>
        <v>卡卡杜个人护理店（抖店）</v>
      </c>
      <c r="H9801" s="1" t="str">
        <f t="shared" si="2671"/>
        <v>正常订单</v>
      </c>
      <c r="I9801" s="1" t="str">
        <f t="shared" si="2672"/>
        <v>已发货</v>
      </c>
      <c r="J9801" s="1" t="str">
        <f t="shared" si="2673"/>
        <v>2</v>
      </c>
      <c r="K9801" s="1">
        <v>1</v>
      </c>
      <c r="L9801" s="1" t="s">
        <v>18</v>
      </c>
      <c r="M9801" s="1" t="str">
        <f>"广东省 江门市 开平市 "</f>
        <v xml:space="preserve">广东省 江门市 开平市 </v>
      </c>
      <c r="N9801" s="1" t="str">
        <f t="shared" si="2668"/>
        <v>凡华云仓-韵达-抖音</v>
      </c>
      <c r="O9801" s="5">
        <v>320156476752054</v>
      </c>
      <c r="P9801" s="6">
        <v>0.33</v>
      </c>
      <c r="Q9801" s="11">
        <v>2.2999999999999998</v>
      </c>
      <c r="R9801" s="11"/>
      <c r="S9801" s="11"/>
      <c r="T9801" s="11"/>
      <c r="U9801" s="11">
        <f t="shared" si="2674"/>
        <v>2.2999999999999998</v>
      </c>
      <c r="W9801">
        <v>2.5</v>
      </c>
      <c r="X9801" s="1" t="s">
        <v>18</v>
      </c>
    </row>
    <row r="9802" spans="1:24" x14ac:dyDescent="0.25">
      <c r="A9802" s="1" t="str">
        <f t="shared" si="2669"/>
        <v>卡卡杜-凤凰仓</v>
      </c>
      <c r="B9802" s="1" t="str">
        <f>"CK2024100515437"</f>
        <v>CK2024100515437</v>
      </c>
      <c r="C9802" s="1" t="str">
        <f>"DD2024100526703"</f>
        <v>DD2024100526703</v>
      </c>
      <c r="D9802" s="1" t="str">
        <f>"CK2024100526636"</f>
        <v>CK2024100526636</v>
      </c>
      <c r="E9802" s="1" t="str">
        <f>"6917834878910889718"</f>
        <v>6917834878910889718</v>
      </c>
      <c r="F9802" s="1" t="str">
        <f t="shared" si="2670"/>
        <v>花都四部-凤凰仓</v>
      </c>
      <c r="G9802" s="1" t="str">
        <f t="shared" si="2667"/>
        <v>卡卡杜个人护理店（抖店）</v>
      </c>
      <c r="H9802" s="1" t="str">
        <f t="shared" si="2671"/>
        <v>正常订单</v>
      </c>
      <c r="I9802" s="1" t="str">
        <f t="shared" si="2672"/>
        <v>已发货</v>
      </c>
      <c r="J9802" s="1" t="str">
        <f t="shared" si="2673"/>
        <v>2</v>
      </c>
      <c r="K9802" s="1">
        <v>1</v>
      </c>
      <c r="L9802" s="1" t="s">
        <v>18</v>
      </c>
      <c r="M9802" s="1" t="str">
        <f>"广东省 清远市 清城区 东城街道"</f>
        <v>广东省 清远市 清城区 东城街道</v>
      </c>
      <c r="N9802" s="1" t="str">
        <f t="shared" si="2668"/>
        <v>凡华云仓-韵达-抖音</v>
      </c>
      <c r="O9802" s="5">
        <v>320156476751936</v>
      </c>
      <c r="P9802" s="6">
        <v>0.33</v>
      </c>
      <c r="Q9802" s="11">
        <v>2.2999999999999998</v>
      </c>
      <c r="R9802" s="11"/>
      <c r="S9802" s="11"/>
      <c r="T9802" s="11"/>
      <c r="U9802" s="11">
        <f t="shared" si="2674"/>
        <v>2.2999999999999998</v>
      </c>
      <c r="W9802">
        <v>2.5</v>
      </c>
      <c r="X9802" s="1" t="s">
        <v>18</v>
      </c>
    </row>
    <row r="9803" spans="1:24" x14ac:dyDescent="0.25">
      <c r="A9803" s="1" t="str">
        <f t="shared" si="2669"/>
        <v>卡卡杜-凤凰仓</v>
      </c>
      <c r="B9803" s="1" t="str">
        <f>"CK2024100515435"</f>
        <v>CK2024100515435</v>
      </c>
      <c r="C9803" s="1" t="str">
        <f>"DD2024100526702"</f>
        <v>DD2024100526702</v>
      </c>
      <c r="D9803" s="1" t="str">
        <f>"CK2024100526635"</f>
        <v>CK2024100526635</v>
      </c>
      <c r="E9803" s="1" t="str">
        <f>"6917832459915328535"</f>
        <v>6917832459915328535</v>
      </c>
      <c r="F9803" s="1" t="str">
        <f t="shared" si="2670"/>
        <v>花都四部-凤凰仓</v>
      </c>
      <c r="G9803" s="1" t="str">
        <f t="shared" si="2667"/>
        <v>卡卡杜个人护理店（抖店）</v>
      </c>
      <c r="H9803" s="1" t="str">
        <f t="shared" si="2671"/>
        <v>正常订单</v>
      </c>
      <c r="I9803" s="1" t="str">
        <f t="shared" si="2672"/>
        <v>已发货</v>
      </c>
      <c r="J9803" s="1" t="str">
        <f t="shared" si="2673"/>
        <v>2</v>
      </c>
      <c r="K9803" s="1">
        <v>1</v>
      </c>
      <c r="L9803" s="1" t="s">
        <v>20</v>
      </c>
      <c r="M9803" s="1" t="str">
        <f>"浙江省 宁波市 鄞州区 首南街道"</f>
        <v>浙江省 宁波市 鄞州区 首南街道</v>
      </c>
      <c r="N9803" s="1" t="str">
        <f t="shared" si="2668"/>
        <v>凡华云仓-韵达-抖音</v>
      </c>
      <c r="O9803" s="5">
        <v>320156476751831</v>
      </c>
      <c r="P9803" s="6">
        <v>0.33</v>
      </c>
      <c r="Q9803" s="11">
        <v>2.2999999999999998</v>
      </c>
      <c r="R9803" s="11"/>
      <c r="S9803" s="11"/>
      <c r="T9803" s="11"/>
      <c r="U9803" s="11">
        <f t="shared" si="2674"/>
        <v>2.2999999999999998</v>
      </c>
      <c r="W9803">
        <v>2.5</v>
      </c>
      <c r="X9803" s="1" t="s">
        <v>20</v>
      </c>
    </row>
    <row r="9804" spans="1:24" x14ac:dyDescent="0.25">
      <c r="A9804" s="1" t="str">
        <f t="shared" si="2669"/>
        <v>卡卡杜-凤凰仓</v>
      </c>
      <c r="B9804" s="1" t="str">
        <f>"CK2024100515425"</f>
        <v>CK2024100515425</v>
      </c>
      <c r="C9804" s="1" t="str">
        <f>"DD2024100526695"</f>
        <v>DD2024100526695</v>
      </c>
      <c r="D9804" s="1" t="str">
        <f>"CK2024100526634"</f>
        <v>CK2024100526634</v>
      </c>
      <c r="E9804" s="1" t="str">
        <f>"6917832145378114684"</f>
        <v>6917832145378114684</v>
      </c>
      <c r="F9804" s="1" t="str">
        <f t="shared" si="2670"/>
        <v>花都四部-凤凰仓</v>
      </c>
      <c r="G9804" s="1" t="str">
        <f t="shared" si="2667"/>
        <v>卡卡杜个人护理店（抖店）</v>
      </c>
      <c r="H9804" s="1" t="str">
        <f t="shared" si="2671"/>
        <v>正常订单</v>
      </c>
      <c r="I9804" s="1" t="str">
        <f t="shared" si="2672"/>
        <v>已发货</v>
      </c>
      <c r="J9804" s="1" t="str">
        <f t="shared" si="2673"/>
        <v>2</v>
      </c>
      <c r="K9804" s="1">
        <v>1</v>
      </c>
      <c r="L9804" s="1" t="s">
        <v>13</v>
      </c>
      <c r="M9804" s="1" t="str">
        <f>"江苏省 盐城市 滨海县 滨海港镇"</f>
        <v>江苏省 盐城市 滨海县 滨海港镇</v>
      </c>
      <c r="N9804" s="1" t="str">
        <f t="shared" si="2668"/>
        <v>凡华云仓-韵达-抖音</v>
      </c>
      <c r="O9804" s="5">
        <v>320156476751728</v>
      </c>
      <c r="P9804" s="6">
        <v>0.33</v>
      </c>
      <c r="Q9804" s="11">
        <v>2.2999999999999998</v>
      </c>
      <c r="R9804" s="11"/>
      <c r="S9804" s="11"/>
      <c r="T9804" s="11"/>
      <c r="U9804" s="11">
        <f t="shared" si="2674"/>
        <v>2.2999999999999998</v>
      </c>
      <c r="W9804">
        <v>2.5</v>
      </c>
      <c r="X9804" s="1" t="s">
        <v>13</v>
      </c>
    </row>
    <row r="9805" spans="1:24" x14ac:dyDescent="0.25">
      <c r="A9805" s="1" t="str">
        <f t="shared" si="2669"/>
        <v>卡卡杜-凤凰仓</v>
      </c>
      <c r="B9805" s="1" t="str">
        <f>"CK2024100515427"</f>
        <v>CK2024100515427</v>
      </c>
      <c r="C9805" s="1" t="str">
        <f>"DD2024100526699"</f>
        <v>DD2024100526699</v>
      </c>
      <c r="D9805" s="1" t="str">
        <f>"CK2024100526633"</f>
        <v>CK2024100526633</v>
      </c>
      <c r="E9805" s="1" t="str">
        <f>"6917830440262991619"</f>
        <v>6917830440262991619</v>
      </c>
      <c r="F9805" s="1" t="str">
        <f t="shared" si="2670"/>
        <v>花都四部-凤凰仓</v>
      </c>
      <c r="G9805" s="1" t="str">
        <f t="shared" si="2667"/>
        <v>卡卡杜个人护理店（抖店）</v>
      </c>
      <c r="H9805" s="1" t="str">
        <f t="shared" si="2671"/>
        <v>正常订单</v>
      </c>
      <c r="I9805" s="1" t="str">
        <f t="shared" si="2672"/>
        <v>已发货</v>
      </c>
      <c r="J9805" s="1" t="str">
        <f t="shared" si="2673"/>
        <v>2</v>
      </c>
      <c r="K9805" s="1">
        <v>2</v>
      </c>
      <c r="L9805" s="1" t="s">
        <v>20</v>
      </c>
      <c r="M9805" s="1" t="str">
        <f>"浙江省 杭州市 临安区 锦城街道"</f>
        <v>浙江省 杭州市 临安区 锦城街道</v>
      </c>
      <c r="N9805" s="1" t="str">
        <f t="shared" si="2668"/>
        <v>凡华云仓-韵达-抖音</v>
      </c>
      <c r="O9805" s="5">
        <v>320156476751627</v>
      </c>
      <c r="P9805" s="6">
        <v>0.28000000000000003</v>
      </c>
      <c r="Q9805" s="11">
        <v>2</v>
      </c>
      <c r="R9805" s="11"/>
      <c r="S9805" s="11"/>
      <c r="T9805" s="11"/>
      <c r="U9805" s="11">
        <f t="shared" si="2674"/>
        <v>2</v>
      </c>
      <c r="W9805">
        <v>2.2000000000000002</v>
      </c>
      <c r="X9805" s="1" t="s">
        <v>20</v>
      </c>
    </row>
    <row r="9806" spans="1:24" x14ac:dyDescent="0.25">
      <c r="A9806" s="1" t="str">
        <f t="shared" si="2669"/>
        <v>卡卡杜-凤凰仓</v>
      </c>
      <c r="B9806" s="1" t="str">
        <f>"CK2024100515426"</f>
        <v>CK2024100515426</v>
      </c>
      <c r="C9806" s="1" t="str">
        <f>"DD2024100526696"</f>
        <v>DD2024100526696</v>
      </c>
      <c r="D9806" s="1" t="str">
        <f>"CK2024100526632"</f>
        <v>CK2024100526632</v>
      </c>
      <c r="E9806" s="1" t="str">
        <f>"6917832602146143593"</f>
        <v>6917832602146143593</v>
      </c>
      <c r="F9806" s="1" t="str">
        <f t="shared" si="2670"/>
        <v>花都四部-凤凰仓</v>
      </c>
      <c r="G9806" s="1" t="str">
        <f t="shared" si="2667"/>
        <v>卡卡杜个人护理店（抖店）</v>
      </c>
      <c r="H9806" s="1" t="str">
        <f t="shared" si="2671"/>
        <v>正常订单</v>
      </c>
      <c r="I9806" s="1" t="str">
        <f t="shared" si="2672"/>
        <v>已发货</v>
      </c>
      <c r="J9806" s="1" t="str">
        <f t="shared" si="2673"/>
        <v>2</v>
      </c>
      <c r="K9806" s="1">
        <v>1</v>
      </c>
      <c r="L9806" s="1" t="s">
        <v>13</v>
      </c>
      <c r="M9806" s="1" t="str">
        <f>"江苏省 常州市 武进区 湖塘镇"</f>
        <v>江苏省 常州市 武进区 湖塘镇</v>
      </c>
      <c r="N9806" s="1" t="str">
        <f t="shared" si="2668"/>
        <v>凡华云仓-韵达-抖音</v>
      </c>
      <c r="O9806" s="5">
        <v>320156476751528</v>
      </c>
      <c r="P9806" s="6">
        <v>0.33</v>
      </c>
      <c r="Q9806" s="11">
        <v>2.2999999999999998</v>
      </c>
      <c r="R9806" s="11"/>
      <c r="S9806" s="11"/>
      <c r="T9806" s="11"/>
      <c r="U9806" s="11">
        <f t="shared" si="2674"/>
        <v>2.2999999999999998</v>
      </c>
      <c r="W9806">
        <v>2.5</v>
      </c>
      <c r="X9806" s="1" t="s">
        <v>13</v>
      </c>
    </row>
    <row r="9807" spans="1:24" x14ac:dyDescent="0.25">
      <c r="A9807" s="1" t="str">
        <f t="shared" si="2669"/>
        <v>卡卡杜-凤凰仓</v>
      </c>
      <c r="B9807" s="1" t="str">
        <f>"CK2024100515436"</f>
        <v>CK2024100515436</v>
      </c>
      <c r="C9807" s="1" t="str">
        <f>"DD2024100526706"</f>
        <v>DD2024100526706</v>
      </c>
      <c r="D9807" s="1" t="str">
        <f>"CK2024100526631"</f>
        <v>CK2024100526631</v>
      </c>
      <c r="E9807" s="1" t="str">
        <f>"6917827983351577843"</f>
        <v>6917827983351577843</v>
      </c>
      <c r="F9807" s="1" t="str">
        <f t="shared" si="2670"/>
        <v>花都四部-凤凰仓</v>
      </c>
      <c r="G9807" s="1" t="str">
        <f t="shared" ref="G9807:G9860" si="2675">"卡卡杜个人护理店（抖店）"</f>
        <v>卡卡杜个人护理店（抖店）</v>
      </c>
      <c r="H9807" s="1" t="str">
        <f t="shared" si="2671"/>
        <v>正常订单</v>
      </c>
      <c r="I9807" s="1" t="str">
        <f t="shared" si="2672"/>
        <v>已发货</v>
      </c>
      <c r="J9807" s="1" t="str">
        <f t="shared" si="2673"/>
        <v>2</v>
      </c>
      <c r="K9807" s="1">
        <v>1</v>
      </c>
      <c r="L9807" s="1" t="s">
        <v>18</v>
      </c>
      <c r="M9807" s="1" t="str">
        <f>"广东省 佛山市 南海区 丹灶镇"</f>
        <v>广东省 佛山市 南海区 丹灶镇</v>
      </c>
      <c r="N9807" s="1" t="str">
        <f t="shared" ref="N9807:N9860" si="2676">"凡华云仓-韵达-抖音"</f>
        <v>凡华云仓-韵达-抖音</v>
      </c>
      <c r="O9807" s="5">
        <v>320156476751431</v>
      </c>
      <c r="P9807" s="6">
        <v>0.33</v>
      </c>
      <c r="Q9807" s="11">
        <v>2.2999999999999998</v>
      </c>
      <c r="R9807" s="11"/>
      <c r="S9807" s="11"/>
      <c r="T9807" s="11"/>
      <c r="U9807" s="11">
        <f t="shared" si="2674"/>
        <v>2.2999999999999998</v>
      </c>
      <c r="W9807">
        <v>2.5</v>
      </c>
      <c r="X9807" s="1" t="s">
        <v>18</v>
      </c>
    </row>
    <row r="9808" spans="1:24" x14ac:dyDescent="0.25">
      <c r="A9808" s="1" t="str">
        <f t="shared" si="2669"/>
        <v>卡卡杜-凤凰仓</v>
      </c>
      <c r="B9808" s="1" t="str">
        <f>"CK2024100515428"</f>
        <v>CK2024100515428</v>
      </c>
      <c r="C9808" s="1" t="str">
        <f>"DD2024100526697"</f>
        <v>DD2024100526697</v>
      </c>
      <c r="D9808" s="1" t="str">
        <f>"CK2024100526630"</f>
        <v>CK2024100526630</v>
      </c>
      <c r="E9808" s="1" t="str">
        <f>"6917825763575823636"</f>
        <v>6917825763575823636</v>
      </c>
      <c r="F9808" s="1" t="str">
        <f t="shared" si="2670"/>
        <v>花都四部-凤凰仓</v>
      </c>
      <c r="G9808" s="1" t="str">
        <f t="shared" si="2675"/>
        <v>卡卡杜个人护理店（抖店）</v>
      </c>
      <c r="H9808" s="1" t="str">
        <f t="shared" si="2671"/>
        <v>正常订单</v>
      </c>
      <c r="I9808" s="1" t="str">
        <f t="shared" si="2672"/>
        <v>已发货</v>
      </c>
      <c r="J9808" s="1" t="str">
        <f t="shared" si="2673"/>
        <v>2</v>
      </c>
      <c r="K9808" s="1">
        <v>1</v>
      </c>
      <c r="L9808" s="1" t="s">
        <v>24</v>
      </c>
      <c r="M9808" s="1" t="str">
        <f>"福建省 漳州市 东山县 西埔镇"</f>
        <v>福建省 漳州市 东山县 西埔镇</v>
      </c>
      <c r="N9808" s="1" t="str">
        <f t="shared" si="2676"/>
        <v>凡华云仓-韵达-抖音</v>
      </c>
      <c r="O9808" s="5">
        <v>320156476751336</v>
      </c>
      <c r="P9808" s="6">
        <v>0.33</v>
      </c>
      <c r="Q9808" s="11">
        <v>2.2999999999999998</v>
      </c>
      <c r="R9808" s="11"/>
      <c r="S9808" s="11"/>
      <c r="T9808" s="11"/>
      <c r="U9808" s="11">
        <f t="shared" si="2674"/>
        <v>2.2999999999999998</v>
      </c>
      <c r="W9808">
        <v>2.5</v>
      </c>
      <c r="X9808" s="1" t="s">
        <v>24</v>
      </c>
    </row>
    <row r="9809" spans="1:24" x14ac:dyDescent="0.25">
      <c r="A9809" s="1" t="str">
        <f t="shared" si="2669"/>
        <v>卡卡杜-凤凰仓</v>
      </c>
      <c r="B9809" s="1" t="str">
        <f>"CK2024100515432"</f>
        <v>CK2024100515432</v>
      </c>
      <c r="C9809" s="1" t="str">
        <f>"DD2024100526704"</f>
        <v>DD2024100526704</v>
      </c>
      <c r="D9809" s="1" t="str">
        <f>"CK2024100526629"</f>
        <v>CK2024100526629</v>
      </c>
      <c r="E9809" s="1" t="str">
        <f>"6917834848030850929"</f>
        <v>6917834848030850929</v>
      </c>
      <c r="F9809" s="1" t="str">
        <f t="shared" si="2670"/>
        <v>花都四部-凤凰仓</v>
      </c>
      <c r="G9809" s="1" t="str">
        <f t="shared" si="2675"/>
        <v>卡卡杜个人护理店（抖店）</v>
      </c>
      <c r="H9809" s="1" t="str">
        <f t="shared" si="2671"/>
        <v>正常订单</v>
      </c>
      <c r="I9809" s="1" t="str">
        <f t="shared" si="2672"/>
        <v>已发货</v>
      </c>
      <c r="J9809" s="1" t="str">
        <f t="shared" si="2673"/>
        <v>2</v>
      </c>
      <c r="K9809" s="1">
        <v>1</v>
      </c>
      <c r="L9809" s="1" t="s">
        <v>22</v>
      </c>
      <c r="M9809" s="1" t="str">
        <f>"江西省 上饶市 横峰县 岑阳镇"</f>
        <v>江西省 上饶市 横峰县 岑阳镇</v>
      </c>
      <c r="N9809" s="1" t="str">
        <f t="shared" si="2676"/>
        <v>凡华云仓-韵达-抖音</v>
      </c>
      <c r="O9809" s="5">
        <v>320156476747707</v>
      </c>
      <c r="P9809" s="6">
        <v>0.33</v>
      </c>
      <c r="Q9809" s="11">
        <v>2.2999999999999998</v>
      </c>
      <c r="R9809" s="11"/>
      <c r="S9809" s="11"/>
      <c r="T9809" s="11"/>
      <c r="U9809" s="11">
        <f t="shared" si="2674"/>
        <v>2.2999999999999998</v>
      </c>
      <c r="W9809">
        <v>2.5</v>
      </c>
      <c r="X9809" s="1" t="s">
        <v>22</v>
      </c>
    </row>
    <row r="9810" spans="1:24" x14ac:dyDescent="0.25">
      <c r="A9810" s="1" t="str">
        <f t="shared" si="2669"/>
        <v>卡卡杜-凤凰仓</v>
      </c>
      <c r="B9810" s="1" t="str">
        <f>"CK2024100515433"</f>
        <v>CK2024100515433</v>
      </c>
      <c r="C9810" s="1" t="str">
        <f>"DD2024100526701"</f>
        <v>DD2024100526701</v>
      </c>
      <c r="D9810" s="1" t="str">
        <f>"CK2024100526628"</f>
        <v>CK2024100526628</v>
      </c>
      <c r="E9810" s="1" t="str">
        <f>"6917827355668414229"</f>
        <v>6917827355668414229</v>
      </c>
      <c r="F9810" s="1" t="str">
        <f t="shared" si="2670"/>
        <v>花都四部-凤凰仓</v>
      </c>
      <c r="G9810" s="1" t="str">
        <f t="shared" si="2675"/>
        <v>卡卡杜个人护理店（抖店）</v>
      </c>
      <c r="H9810" s="1" t="str">
        <f t="shared" si="2671"/>
        <v>正常订单</v>
      </c>
      <c r="I9810" s="1" t="str">
        <f t="shared" si="2672"/>
        <v>已发货</v>
      </c>
      <c r="J9810" s="1" t="str">
        <f t="shared" si="2673"/>
        <v>2</v>
      </c>
      <c r="K9810" s="1">
        <v>1</v>
      </c>
      <c r="L9810" s="1" t="s">
        <v>96</v>
      </c>
      <c r="M9810" s="1" t="str">
        <f>"广西壮族自治区 崇左市 龙州县 龙州镇"</f>
        <v>广西壮族自治区 崇左市 龙州县 龙州镇</v>
      </c>
      <c r="N9810" s="1" t="str">
        <f t="shared" si="2676"/>
        <v>凡华云仓-韵达-抖音</v>
      </c>
      <c r="O9810" s="5">
        <v>320156476747606</v>
      </c>
      <c r="P9810" s="6">
        <v>0.33</v>
      </c>
      <c r="Q9810" s="11">
        <v>2.2999999999999998</v>
      </c>
      <c r="R9810" s="11"/>
      <c r="S9810" s="11"/>
      <c r="T9810" s="11"/>
      <c r="U9810" s="11">
        <f t="shared" si="2674"/>
        <v>2.2999999999999998</v>
      </c>
      <c r="W9810">
        <v>2.5</v>
      </c>
      <c r="X9810" s="1" t="s">
        <v>96</v>
      </c>
    </row>
    <row r="9811" spans="1:24" x14ac:dyDescent="0.25">
      <c r="A9811" s="1" t="str">
        <f t="shared" si="2669"/>
        <v>卡卡杜-凤凰仓</v>
      </c>
      <c r="B9811" s="1" t="str">
        <f>"CK2024100515434"</f>
        <v>CK2024100515434</v>
      </c>
      <c r="C9811" s="1" t="str">
        <f>"DD2024100526705"</f>
        <v>DD2024100526705</v>
      </c>
      <c r="D9811" s="1" t="str">
        <f>"CK2024100526627"</f>
        <v>CK2024100526627</v>
      </c>
      <c r="E9811" s="1" t="str">
        <f>"6917832547779706189"</f>
        <v>6917832547779706189</v>
      </c>
      <c r="F9811" s="1" t="str">
        <f t="shared" si="2670"/>
        <v>花都四部-凤凰仓</v>
      </c>
      <c r="G9811" s="1" t="str">
        <f t="shared" si="2675"/>
        <v>卡卡杜个人护理店（抖店）</v>
      </c>
      <c r="H9811" s="1" t="str">
        <f t="shared" si="2671"/>
        <v>正常订单</v>
      </c>
      <c r="I9811" s="1" t="str">
        <f t="shared" si="2672"/>
        <v>已发货</v>
      </c>
      <c r="J9811" s="1" t="str">
        <f t="shared" si="2673"/>
        <v>2</v>
      </c>
      <c r="K9811" s="1">
        <v>1</v>
      </c>
      <c r="L9811" s="1" t="s">
        <v>36</v>
      </c>
      <c r="M9811" s="1" t="str">
        <f>"安徽省 合肥市 蜀山区 高刘街道"</f>
        <v>安徽省 合肥市 蜀山区 高刘街道</v>
      </c>
      <c r="N9811" s="1" t="str">
        <f t="shared" si="2676"/>
        <v>凡华云仓-韵达-抖音</v>
      </c>
      <c r="O9811" s="5">
        <v>320156476747507</v>
      </c>
      <c r="P9811" s="6">
        <v>0.33</v>
      </c>
      <c r="Q9811" s="11">
        <v>2.2999999999999998</v>
      </c>
      <c r="R9811" s="11"/>
      <c r="S9811" s="11"/>
      <c r="T9811" s="11"/>
      <c r="U9811" s="11">
        <f t="shared" si="2674"/>
        <v>2.2999999999999998</v>
      </c>
      <c r="W9811">
        <v>2.5</v>
      </c>
      <c r="X9811" s="1" t="s">
        <v>36</v>
      </c>
    </row>
    <row r="9812" spans="1:24" x14ac:dyDescent="0.25">
      <c r="A9812" s="1" t="str">
        <f t="shared" si="2669"/>
        <v>卡卡杜-凤凰仓</v>
      </c>
      <c r="B9812" s="1" t="str">
        <f>"CK2024100515410-1"</f>
        <v>CK2024100515410-1</v>
      </c>
      <c r="C9812" s="1" t="str">
        <f>"DD2024100526662"</f>
        <v>DD2024100526662</v>
      </c>
      <c r="D9812" s="1" t="str">
        <f>"CK2024100526626"</f>
        <v>CK2024100526626</v>
      </c>
      <c r="E9812" s="1" t="str">
        <f>"6917825541596412991"</f>
        <v>6917825541596412991</v>
      </c>
      <c r="F9812" s="1" t="str">
        <f t="shared" si="2670"/>
        <v>花都四部-凤凰仓</v>
      </c>
      <c r="G9812" s="1" t="str">
        <f t="shared" si="2675"/>
        <v>卡卡杜个人护理店（抖店）</v>
      </c>
      <c r="H9812" s="1" t="str">
        <f t="shared" si="2671"/>
        <v>正常订单</v>
      </c>
      <c r="I9812" s="1" t="str">
        <f t="shared" si="2672"/>
        <v>已发货</v>
      </c>
      <c r="J9812" s="1" t="str">
        <f t="shared" si="2673"/>
        <v>2</v>
      </c>
      <c r="K9812" s="1">
        <v>1</v>
      </c>
      <c r="L9812" s="1" t="s">
        <v>20</v>
      </c>
      <c r="M9812" s="1" t="str">
        <f>"浙江省 嘉兴市 南湖区 东栅街道"</f>
        <v>浙江省 嘉兴市 南湖区 东栅街道</v>
      </c>
      <c r="N9812" s="1" t="str">
        <f t="shared" si="2676"/>
        <v>凡华云仓-韵达-抖音</v>
      </c>
      <c r="O9812" s="5">
        <v>320156476747410</v>
      </c>
      <c r="P9812" s="6">
        <v>0.3</v>
      </c>
      <c r="Q9812" s="11">
        <v>2</v>
      </c>
      <c r="R9812" s="11"/>
      <c r="S9812" s="11"/>
      <c r="T9812" s="11"/>
      <c r="U9812" s="11">
        <f t="shared" si="2674"/>
        <v>2</v>
      </c>
      <c r="W9812">
        <v>2.2000000000000002</v>
      </c>
      <c r="X9812" s="1" t="s">
        <v>20</v>
      </c>
    </row>
    <row r="9813" spans="1:24" x14ac:dyDescent="0.25">
      <c r="A9813" s="1" t="str">
        <f t="shared" si="2669"/>
        <v>卡卡杜-凤凰仓</v>
      </c>
      <c r="B9813" s="1" t="str">
        <f>"CK2024100515431"</f>
        <v>CK2024100515431</v>
      </c>
      <c r="C9813" s="1" t="str">
        <f>"DD2024100526700"</f>
        <v>DD2024100526700</v>
      </c>
      <c r="D9813" s="1" t="str">
        <f>"CK2024100526625"</f>
        <v>CK2024100526625</v>
      </c>
      <c r="E9813" s="1" t="str">
        <f>"6917832655226502655"</f>
        <v>6917832655226502655</v>
      </c>
      <c r="F9813" s="1" t="str">
        <f t="shared" si="2670"/>
        <v>花都四部-凤凰仓</v>
      </c>
      <c r="G9813" s="1" t="str">
        <f t="shared" si="2675"/>
        <v>卡卡杜个人护理店（抖店）</v>
      </c>
      <c r="H9813" s="1" t="str">
        <f t="shared" si="2671"/>
        <v>正常订单</v>
      </c>
      <c r="I9813" s="1" t="str">
        <f t="shared" si="2672"/>
        <v>已发货</v>
      </c>
      <c r="J9813" s="1" t="str">
        <f t="shared" si="2673"/>
        <v>2</v>
      </c>
      <c r="K9813" s="1">
        <v>1</v>
      </c>
      <c r="L9813" s="1" t="s">
        <v>30</v>
      </c>
      <c r="M9813" s="1" t="str">
        <f>"山东省 威海市 环翠区 西苑街道"</f>
        <v>山东省 威海市 环翠区 西苑街道</v>
      </c>
      <c r="N9813" s="1" t="str">
        <f t="shared" si="2676"/>
        <v>凡华云仓-韵达-抖音</v>
      </c>
      <c r="O9813" s="5">
        <v>320156476747315</v>
      </c>
      <c r="P9813" s="6">
        <v>0.33</v>
      </c>
      <c r="Q9813" s="11">
        <v>2.2999999999999998</v>
      </c>
      <c r="R9813" s="11"/>
      <c r="S9813" s="11"/>
      <c r="T9813" s="11"/>
      <c r="U9813" s="11">
        <f t="shared" si="2674"/>
        <v>2.2999999999999998</v>
      </c>
      <c r="W9813">
        <v>2.5</v>
      </c>
      <c r="X9813" s="1" t="s">
        <v>30</v>
      </c>
    </row>
    <row r="9814" spans="1:24" x14ac:dyDescent="0.25">
      <c r="A9814" s="1" t="str">
        <f t="shared" si="2669"/>
        <v>卡卡杜-凤凰仓</v>
      </c>
      <c r="B9814" s="1" t="str">
        <f>"CK2024100515411-1"</f>
        <v>CK2024100515411-1</v>
      </c>
      <c r="C9814" s="1" t="str">
        <f>"DD2024100526659"</f>
        <v>DD2024100526659</v>
      </c>
      <c r="D9814" s="1" t="str">
        <f>"CK2024100526624"</f>
        <v>CK2024100526624</v>
      </c>
      <c r="E9814" s="1" t="str">
        <f>"6917825417706372570"</f>
        <v>6917825417706372570</v>
      </c>
      <c r="F9814" s="1" t="str">
        <f t="shared" si="2670"/>
        <v>花都四部-凤凰仓</v>
      </c>
      <c r="G9814" s="1" t="str">
        <f t="shared" si="2675"/>
        <v>卡卡杜个人护理店（抖店）</v>
      </c>
      <c r="H9814" s="1" t="str">
        <f t="shared" si="2671"/>
        <v>正常订单</v>
      </c>
      <c r="I9814" s="1" t="str">
        <f t="shared" si="2672"/>
        <v>已发货</v>
      </c>
      <c r="J9814" s="1" t="str">
        <f t="shared" si="2673"/>
        <v>2</v>
      </c>
      <c r="K9814" s="1">
        <v>1</v>
      </c>
      <c r="L9814" s="1" t="s">
        <v>13</v>
      </c>
      <c r="M9814" s="1" t="str">
        <f>"江苏省 南通市 海安市 大公镇"</f>
        <v>江苏省 南通市 海安市 大公镇</v>
      </c>
      <c r="N9814" s="1" t="str">
        <f t="shared" si="2676"/>
        <v>凡华云仓-韵达-抖音</v>
      </c>
      <c r="O9814" s="5">
        <v>320156476747222</v>
      </c>
      <c r="P9814" s="6">
        <v>0.3</v>
      </c>
      <c r="Q9814" s="11">
        <v>2</v>
      </c>
      <c r="R9814" s="11"/>
      <c r="S9814" s="11"/>
      <c r="T9814" s="11"/>
      <c r="U9814" s="11">
        <f t="shared" si="2674"/>
        <v>2</v>
      </c>
      <c r="W9814">
        <v>2.2000000000000002</v>
      </c>
      <c r="X9814" s="1" t="s">
        <v>13</v>
      </c>
    </row>
    <row r="9815" spans="1:24" x14ac:dyDescent="0.25">
      <c r="A9815" s="1" t="str">
        <f t="shared" si="2669"/>
        <v>卡卡杜-凤凰仓</v>
      </c>
      <c r="B9815" s="1" t="str">
        <f>"CK2024100515413-1"</f>
        <v>CK2024100515413-1</v>
      </c>
      <c r="C9815" s="1" t="str">
        <f>"DD2024100526661"</f>
        <v>DD2024100526661</v>
      </c>
      <c r="D9815" s="1" t="str">
        <f>"CK2024100526623"</f>
        <v>CK2024100526623</v>
      </c>
      <c r="E9815" s="1" t="str">
        <f>"6917828065805893126"</f>
        <v>6917828065805893126</v>
      </c>
      <c r="F9815" s="1" t="str">
        <f t="shared" si="2670"/>
        <v>花都四部-凤凰仓</v>
      </c>
      <c r="G9815" s="1" t="str">
        <f t="shared" si="2675"/>
        <v>卡卡杜个人护理店（抖店）</v>
      </c>
      <c r="H9815" s="1" t="str">
        <f t="shared" si="2671"/>
        <v>正常订单</v>
      </c>
      <c r="I9815" s="1" t="str">
        <f t="shared" si="2672"/>
        <v>已发货</v>
      </c>
      <c r="J9815" s="1" t="str">
        <f t="shared" si="2673"/>
        <v>2</v>
      </c>
      <c r="K9815" s="1">
        <v>1</v>
      </c>
      <c r="L9815" s="1" t="s">
        <v>20</v>
      </c>
      <c r="M9815" s="1" t="str">
        <f>"浙江省 嘉兴市 海宁市 海昌街道"</f>
        <v>浙江省 嘉兴市 海宁市 海昌街道</v>
      </c>
      <c r="N9815" s="1" t="str">
        <f t="shared" si="2676"/>
        <v>凡华云仓-韵达-抖音</v>
      </c>
      <c r="O9815" s="5">
        <v>320156476747131</v>
      </c>
      <c r="P9815" s="6">
        <v>0.3</v>
      </c>
      <c r="Q9815" s="11">
        <v>2</v>
      </c>
      <c r="R9815" s="11"/>
      <c r="S9815" s="11"/>
      <c r="T9815" s="11"/>
      <c r="U9815" s="11">
        <f t="shared" si="2674"/>
        <v>2</v>
      </c>
      <c r="W9815">
        <v>2.2000000000000002</v>
      </c>
      <c r="X9815" s="1" t="s">
        <v>20</v>
      </c>
    </row>
    <row r="9816" spans="1:24" x14ac:dyDescent="0.25">
      <c r="A9816" s="1" t="str">
        <f t="shared" si="2669"/>
        <v>卡卡杜-凤凰仓</v>
      </c>
      <c r="B9816" s="1" t="str">
        <f>"CK2024100515348-1"</f>
        <v>CK2024100515348-1</v>
      </c>
      <c r="C9816" s="1" t="str">
        <f>"DD2024100526733"</f>
        <v>DD2024100526733</v>
      </c>
      <c r="D9816" s="1" t="str">
        <f>"CK2024100526622"</f>
        <v>CK2024100526622</v>
      </c>
      <c r="E9816" s="1" t="str">
        <f>"6917832116753235801"</f>
        <v>6917832116753235801</v>
      </c>
      <c r="F9816" s="1" t="str">
        <f t="shared" si="2670"/>
        <v>花都四部-凤凰仓</v>
      </c>
      <c r="G9816" s="1" t="str">
        <f t="shared" si="2675"/>
        <v>卡卡杜个人护理店（抖店）</v>
      </c>
      <c r="H9816" s="1" t="str">
        <f t="shared" si="2671"/>
        <v>正常订单</v>
      </c>
      <c r="I9816" s="1" t="str">
        <f t="shared" si="2672"/>
        <v>已发货</v>
      </c>
      <c r="J9816" s="1" t="str">
        <f t="shared" si="2673"/>
        <v>2</v>
      </c>
      <c r="K9816" s="1">
        <v>1</v>
      </c>
      <c r="L9816" s="1" t="s">
        <v>30</v>
      </c>
      <c r="M9816" s="1" t="str">
        <f>"山东省 济南市 槐荫区 段店北路街道"</f>
        <v>山东省 济南市 槐荫区 段店北路街道</v>
      </c>
      <c r="N9816" s="1" t="str">
        <f t="shared" si="2676"/>
        <v>凡华云仓-韵达-抖音</v>
      </c>
      <c r="O9816" s="5">
        <v>320156476747042</v>
      </c>
      <c r="P9816" s="6">
        <v>0.33</v>
      </c>
      <c r="Q9816" s="11">
        <v>2.2999999999999998</v>
      </c>
      <c r="R9816" s="11"/>
      <c r="S9816" s="11"/>
      <c r="T9816" s="11"/>
      <c r="U9816" s="11">
        <f t="shared" si="2674"/>
        <v>2.2999999999999998</v>
      </c>
      <c r="W9816">
        <v>2.5</v>
      </c>
      <c r="X9816" s="1" t="s">
        <v>30</v>
      </c>
    </row>
    <row r="9817" spans="1:24" x14ac:dyDescent="0.25">
      <c r="A9817" s="1" t="str">
        <f t="shared" si="2669"/>
        <v>卡卡杜-凤凰仓</v>
      </c>
      <c r="B9817" s="1" t="str">
        <f>"CK2024100515349-1"</f>
        <v>CK2024100515349-1</v>
      </c>
      <c r="C9817" s="1" t="str">
        <f>"DD2024100526731"</f>
        <v>DD2024100526731</v>
      </c>
      <c r="D9817" s="1" t="str">
        <f>"CK2024100526621"</f>
        <v>CK2024100526621</v>
      </c>
      <c r="E9817" s="1" t="str">
        <f>"6917834368366968043"</f>
        <v>6917834368366968043</v>
      </c>
      <c r="F9817" s="1" t="str">
        <f t="shared" si="2670"/>
        <v>花都四部-凤凰仓</v>
      </c>
      <c r="G9817" s="1" t="str">
        <f t="shared" si="2675"/>
        <v>卡卡杜个人护理店（抖店）</v>
      </c>
      <c r="H9817" s="1" t="str">
        <f t="shared" si="2671"/>
        <v>正常订单</v>
      </c>
      <c r="I9817" s="1" t="str">
        <f t="shared" si="2672"/>
        <v>已发货</v>
      </c>
      <c r="J9817" s="1" t="str">
        <f t="shared" si="2673"/>
        <v>2</v>
      </c>
      <c r="K9817" s="1">
        <v>1</v>
      </c>
      <c r="L9817" s="1" t="s">
        <v>36</v>
      </c>
      <c r="M9817" s="1" t="str">
        <f>"安徽省 六安市 霍山县 诸佛庵镇"</f>
        <v>安徽省 六安市 霍山县 诸佛庵镇</v>
      </c>
      <c r="N9817" s="1" t="str">
        <f t="shared" si="2676"/>
        <v>凡华云仓-韵达-抖音</v>
      </c>
      <c r="O9817" s="5">
        <v>320156476746914</v>
      </c>
      <c r="P9817" s="6">
        <v>0.33</v>
      </c>
      <c r="Q9817" s="11">
        <v>2.2999999999999998</v>
      </c>
      <c r="R9817" s="11"/>
      <c r="S9817" s="11"/>
      <c r="T9817" s="11"/>
      <c r="U9817" s="11">
        <f t="shared" si="2674"/>
        <v>2.2999999999999998</v>
      </c>
      <c r="W9817">
        <v>2.5</v>
      </c>
      <c r="X9817" s="1" t="s">
        <v>36</v>
      </c>
    </row>
    <row r="9818" spans="1:24" x14ac:dyDescent="0.25">
      <c r="A9818" s="1" t="str">
        <f t="shared" si="2669"/>
        <v>卡卡杜-凤凰仓</v>
      </c>
      <c r="B9818" s="1" t="str">
        <f>"CK2024100515350-1"</f>
        <v>CK2024100515350-1</v>
      </c>
      <c r="C9818" s="1" t="str">
        <f>"DD2024100526729"</f>
        <v>DD2024100526729</v>
      </c>
      <c r="D9818" s="1" t="str">
        <f>"CK2024100526620"</f>
        <v>CK2024100526620</v>
      </c>
      <c r="E9818" s="1" t="str">
        <f>"6917829938473303651"</f>
        <v>6917829938473303651</v>
      </c>
      <c r="F9818" s="1" t="str">
        <f t="shared" si="2670"/>
        <v>花都四部-凤凰仓</v>
      </c>
      <c r="G9818" s="1" t="str">
        <f t="shared" si="2675"/>
        <v>卡卡杜个人护理店（抖店）</v>
      </c>
      <c r="H9818" s="1" t="str">
        <f t="shared" si="2671"/>
        <v>正常订单</v>
      </c>
      <c r="I9818" s="1" t="str">
        <f t="shared" si="2672"/>
        <v>已发货</v>
      </c>
      <c r="J9818" s="1" t="str">
        <f t="shared" si="2673"/>
        <v>2</v>
      </c>
      <c r="K9818" s="1">
        <v>1</v>
      </c>
      <c r="L9818" s="1" t="s">
        <v>22</v>
      </c>
      <c r="M9818" s="1" t="str">
        <f>"江西省 鹰潭市 贵溪市 金屯镇"</f>
        <v>江西省 鹰潭市 贵溪市 金屯镇</v>
      </c>
      <c r="N9818" s="1" t="str">
        <f t="shared" si="2676"/>
        <v>凡华云仓-韵达-抖音</v>
      </c>
      <c r="O9818" s="5">
        <v>320156476746809</v>
      </c>
      <c r="P9818" s="6">
        <v>0.33</v>
      </c>
      <c r="Q9818" s="11">
        <v>2.2999999999999998</v>
      </c>
      <c r="R9818" s="11"/>
      <c r="S9818" s="11"/>
      <c r="T9818" s="11"/>
      <c r="U9818" s="11">
        <f t="shared" si="2674"/>
        <v>2.2999999999999998</v>
      </c>
      <c r="W9818">
        <v>2.5</v>
      </c>
      <c r="X9818" s="1" t="s">
        <v>22</v>
      </c>
    </row>
    <row r="9819" spans="1:24" x14ac:dyDescent="0.25">
      <c r="A9819" s="1" t="str">
        <f t="shared" si="2669"/>
        <v>卡卡杜-凤凰仓</v>
      </c>
      <c r="B9819" s="1" t="str">
        <f>"CK2024100515346-1"</f>
        <v>CK2024100515346-1</v>
      </c>
      <c r="C9819" s="1" t="str">
        <f>"DD2024100526732"</f>
        <v>DD2024100526732</v>
      </c>
      <c r="D9819" s="1" t="str">
        <f>"CK2024100526619"</f>
        <v>CK2024100526619</v>
      </c>
      <c r="E9819" s="1" t="str">
        <f>"6917827701079244761"</f>
        <v>6917827701079244761</v>
      </c>
      <c r="F9819" s="1" t="str">
        <f t="shared" si="2670"/>
        <v>花都四部-凤凰仓</v>
      </c>
      <c r="G9819" s="1" t="str">
        <f t="shared" si="2675"/>
        <v>卡卡杜个人护理店（抖店）</v>
      </c>
      <c r="H9819" s="1" t="str">
        <f t="shared" si="2671"/>
        <v>正常订单</v>
      </c>
      <c r="I9819" s="1" t="str">
        <f t="shared" si="2672"/>
        <v>已发货</v>
      </c>
      <c r="J9819" s="1" t="str">
        <f t="shared" si="2673"/>
        <v>2</v>
      </c>
      <c r="K9819" s="1">
        <v>1</v>
      </c>
      <c r="L9819" s="1" t="s">
        <v>20</v>
      </c>
      <c r="M9819" s="1" t="str">
        <f>"浙江省 金华市 东阳市 巍山镇"</f>
        <v>浙江省 金华市 东阳市 巍山镇</v>
      </c>
      <c r="N9819" s="1" t="str">
        <f t="shared" si="2676"/>
        <v>凡华云仓-韵达-抖音</v>
      </c>
      <c r="O9819" s="5">
        <v>320156485067445</v>
      </c>
      <c r="P9819" s="6">
        <v>0.33</v>
      </c>
      <c r="Q9819" s="11">
        <v>2.2999999999999998</v>
      </c>
      <c r="R9819" s="11"/>
      <c r="S9819" s="11"/>
      <c r="T9819" s="11"/>
      <c r="U9819" s="11">
        <f t="shared" si="2674"/>
        <v>2.2999999999999998</v>
      </c>
      <c r="W9819">
        <v>2.5</v>
      </c>
      <c r="X9819" s="1" t="s">
        <v>20</v>
      </c>
    </row>
    <row r="9820" spans="1:24" x14ac:dyDescent="0.25">
      <c r="A9820" s="1" t="str">
        <f t="shared" si="2669"/>
        <v>卡卡杜-凤凰仓</v>
      </c>
      <c r="B9820" s="1" t="str">
        <f>"CK2024100515351-1"</f>
        <v>CK2024100515351-1</v>
      </c>
      <c r="C9820" s="1" t="str">
        <f>"DD2024100526735"</f>
        <v>DD2024100526735</v>
      </c>
      <c r="D9820" s="1" t="str">
        <f>"CK2024100526618"</f>
        <v>CK2024100526618</v>
      </c>
      <c r="E9820" s="1" t="str">
        <f>"6917832248596791228"</f>
        <v>6917832248596791228</v>
      </c>
      <c r="F9820" s="1" t="str">
        <f t="shared" si="2670"/>
        <v>花都四部-凤凰仓</v>
      </c>
      <c r="G9820" s="1" t="str">
        <f t="shared" si="2675"/>
        <v>卡卡杜个人护理店（抖店）</v>
      </c>
      <c r="H9820" s="1" t="str">
        <f t="shared" si="2671"/>
        <v>正常订单</v>
      </c>
      <c r="I9820" s="1" t="str">
        <f t="shared" si="2672"/>
        <v>已发货</v>
      </c>
      <c r="J9820" s="1" t="str">
        <f t="shared" si="2673"/>
        <v>2</v>
      </c>
      <c r="K9820" s="1">
        <v>1</v>
      </c>
      <c r="L9820" s="1" t="s">
        <v>24</v>
      </c>
      <c r="M9820" s="1" t="str">
        <f>"福建省 三明市 永安市 洪田镇"</f>
        <v>福建省 三明市 永安市 洪田镇</v>
      </c>
      <c r="N9820" s="1" t="str">
        <f t="shared" si="2676"/>
        <v>凡华云仓-韵达-抖音</v>
      </c>
      <c r="O9820" s="5">
        <v>320156485067350</v>
      </c>
      <c r="P9820" s="6">
        <v>0.33</v>
      </c>
      <c r="Q9820" s="11">
        <v>2.2999999999999998</v>
      </c>
      <c r="R9820" s="11"/>
      <c r="S9820" s="11"/>
      <c r="T9820" s="11"/>
      <c r="U9820" s="11">
        <f t="shared" si="2674"/>
        <v>2.2999999999999998</v>
      </c>
      <c r="W9820">
        <v>2.5</v>
      </c>
      <c r="X9820" s="1" t="s">
        <v>24</v>
      </c>
    </row>
    <row r="9821" spans="1:24" x14ac:dyDescent="0.25">
      <c r="A9821" s="1" t="str">
        <f t="shared" si="2669"/>
        <v>卡卡杜-凤凰仓</v>
      </c>
      <c r="B9821" s="1" t="str">
        <f>"CK2024100515353-1"</f>
        <v>CK2024100515353-1</v>
      </c>
      <c r="C9821" s="1" t="str">
        <f>"DD2024100526738"</f>
        <v>DD2024100526738</v>
      </c>
      <c r="D9821" s="1" t="str">
        <f>"CK2024100526617"</f>
        <v>CK2024100526617</v>
      </c>
      <c r="E9821" s="1" t="str">
        <f>"6917830341288099152"</f>
        <v>6917830341288099152</v>
      </c>
      <c r="F9821" s="1" t="str">
        <f t="shared" si="2670"/>
        <v>花都四部-凤凰仓</v>
      </c>
      <c r="G9821" s="1" t="str">
        <f t="shared" si="2675"/>
        <v>卡卡杜个人护理店（抖店）</v>
      </c>
      <c r="H9821" s="1" t="str">
        <f t="shared" si="2671"/>
        <v>正常订单</v>
      </c>
      <c r="I9821" s="1" t="str">
        <f t="shared" si="2672"/>
        <v>已发货</v>
      </c>
      <c r="J9821" s="1" t="str">
        <f t="shared" si="2673"/>
        <v>2</v>
      </c>
      <c r="K9821" s="1">
        <v>1</v>
      </c>
      <c r="L9821" s="1" t="s">
        <v>60</v>
      </c>
      <c r="M9821" s="1" t="str">
        <f>"云南省 昆明市 官渡区 太和街道"</f>
        <v>云南省 昆明市 官渡区 太和街道</v>
      </c>
      <c r="N9821" s="1" t="str">
        <f t="shared" si="2676"/>
        <v>凡华云仓-韵达-抖音</v>
      </c>
      <c r="O9821" s="5">
        <v>320156485067257</v>
      </c>
      <c r="P9821" s="6">
        <v>0.33</v>
      </c>
      <c r="Q9821" s="11">
        <v>2.2999999999999998</v>
      </c>
      <c r="R9821" s="11"/>
      <c r="S9821" s="11"/>
      <c r="T9821" s="11"/>
      <c r="U9821" s="11">
        <f t="shared" si="2674"/>
        <v>2.2999999999999998</v>
      </c>
      <c r="W9821">
        <v>2.5</v>
      </c>
      <c r="X9821" s="1" t="s">
        <v>60</v>
      </c>
    </row>
    <row r="9822" spans="1:24" x14ac:dyDescent="0.25">
      <c r="A9822" s="1" t="str">
        <f t="shared" si="2669"/>
        <v>卡卡杜-凤凰仓</v>
      </c>
      <c r="B9822" s="1" t="str">
        <f>"CK2024100515354-1"</f>
        <v>CK2024100515354-1</v>
      </c>
      <c r="C9822" s="1" t="str">
        <f>"DD2024100526737"</f>
        <v>DD2024100526737</v>
      </c>
      <c r="D9822" s="1" t="str">
        <f>"CK2024100526616"</f>
        <v>CK2024100526616</v>
      </c>
      <c r="E9822" s="1" t="str">
        <f>"6917832413645077599"</f>
        <v>6917832413645077599</v>
      </c>
      <c r="F9822" s="1" t="str">
        <f t="shared" si="2670"/>
        <v>花都四部-凤凰仓</v>
      </c>
      <c r="G9822" s="1" t="str">
        <f t="shared" si="2675"/>
        <v>卡卡杜个人护理店（抖店）</v>
      </c>
      <c r="H9822" s="1" t="str">
        <f t="shared" si="2671"/>
        <v>正常订单</v>
      </c>
      <c r="I9822" s="1" t="str">
        <f t="shared" si="2672"/>
        <v>已发货</v>
      </c>
      <c r="J9822" s="1" t="str">
        <f t="shared" si="2673"/>
        <v>2</v>
      </c>
      <c r="K9822" s="1">
        <v>1</v>
      </c>
      <c r="L9822" s="1" t="s">
        <v>74</v>
      </c>
      <c r="M9822" s="1" t="str">
        <f>"上海 上海市 嘉定区 徐行镇"</f>
        <v>上海 上海市 嘉定区 徐行镇</v>
      </c>
      <c r="N9822" s="1" t="str">
        <f t="shared" si="2676"/>
        <v>凡华云仓-韵达-抖音</v>
      </c>
      <c r="O9822" s="5">
        <v>320156485067166</v>
      </c>
      <c r="P9822" s="6">
        <v>0.33</v>
      </c>
      <c r="Q9822" s="11">
        <v>2.2999999999999998</v>
      </c>
      <c r="R9822" s="11"/>
      <c r="S9822" s="11"/>
      <c r="T9822" s="11"/>
      <c r="U9822" s="11">
        <f t="shared" si="2674"/>
        <v>2.2999999999999998</v>
      </c>
      <c r="W9822">
        <v>2.5</v>
      </c>
      <c r="X9822" s="1" t="s">
        <v>74</v>
      </c>
    </row>
    <row r="9823" spans="1:24" x14ac:dyDescent="0.25">
      <c r="A9823" s="1" t="str">
        <f t="shared" si="2669"/>
        <v>卡卡杜-凤凰仓</v>
      </c>
      <c r="B9823" s="1" t="str">
        <f>"CK2024100515355-1"</f>
        <v>CK2024100515355-1</v>
      </c>
      <c r="C9823" s="1" t="str">
        <f>"DD2024100526739"</f>
        <v>DD2024100526739</v>
      </c>
      <c r="D9823" s="1" t="str">
        <f>"CK2024100526615"</f>
        <v>CK2024100526615</v>
      </c>
      <c r="E9823" s="1" t="str">
        <f>"6917825346667118405"</f>
        <v>6917825346667118405</v>
      </c>
      <c r="F9823" s="1" t="str">
        <f t="shared" si="2670"/>
        <v>花都四部-凤凰仓</v>
      </c>
      <c r="G9823" s="1" t="str">
        <f t="shared" si="2675"/>
        <v>卡卡杜个人护理店（抖店）</v>
      </c>
      <c r="H9823" s="1" t="str">
        <f t="shared" si="2671"/>
        <v>正常订单</v>
      </c>
      <c r="I9823" s="1" t="str">
        <f t="shared" si="2672"/>
        <v>已发货</v>
      </c>
      <c r="J9823" s="1" t="str">
        <f t="shared" si="2673"/>
        <v>2</v>
      </c>
      <c r="K9823" s="1">
        <v>1</v>
      </c>
      <c r="L9823" s="1" t="s">
        <v>32</v>
      </c>
      <c r="M9823" s="1" t="str">
        <f>"陕西省 咸阳市 兴平市 西吴街道"</f>
        <v>陕西省 咸阳市 兴平市 西吴街道</v>
      </c>
      <c r="N9823" s="1" t="str">
        <f t="shared" si="2676"/>
        <v>凡华云仓-韵达-抖音</v>
      </c>
      <c r="O9823" s="5">
        <v>320156485067077</v>
      </c>
      <c r="P9823" s="6">
        <v>0.33</v>
      </c>
      <c r="Q9823" s="11">
        <v>2.2999999999999998</v>
      </c>
      <c r="R9823" s="11"/>
      <c r="S9823" s="11"/>
      <c r="T9823" s="11"/>
      <c r="U9823" s="11">
        <f t="shared" si="2674"/>
        <v>2.2999999999999998</v>
      </c>
      <c r="W9823">
        <v>2.5</v>
      </c>
      <c r="X9823" s="1" t="s">
        <v>32</v>
      </c>
    </row>
    <row r="9824" spans="1:24" x14ac:dyDescent="0.25">
      <c r="A9824" s="1" t="str">
        <f t="shared" si="2669"/>
        <v>卡卡杜-凤凰仓</v>
      </c>
      <c r="B9824" s="1" t="str">
        <f>"CK2024100515347-1"</f>
        <v>CK2024100515347-1</v>
      </c>
      <c r="C9824" s="1" t="str">
        <f>"DD2024100526730"</f>
        <v>DD2024100526730</v>
      </c>
      <c r="D9824" s="1" t="str">
        <f>"CK2024100526614"</f>
        <v>CK2024100526614</v>
      </c>
      <c r="E9824" s="1" t="str">
        <f>"6917830119610023085"</f>
        <v>6917830119610023085</v>
      </c>
      <c r="F9824" s="1" t="str">
        <f t="shared" si="2670"/>
        <v>花都四部-凤凰仓</v>
      </c>
      <c r="G9824" s="1" t="str">
        <f t="shared" si="2675"/>
        <v>卡卡杜个人护理店（抖店）</v>
      </c>
      <c r="H9824" s="1" t="str">
        <f t="shared" si="2671"/>
        <v>正常订单</v>
      </c>
      <c r="I9824" s="1" t="str">
        <f t="shared" si="2672"/>
        <v>已发货</v>
      </c>
      <c r="J9824" s="1" t="str">
        <f t="shared" si="2673"/>
        <v>2</v>
      </c>
      <c r="K9824" s="1">
        <v>1</v>
      </c>
      <c r="L9824" s="1" t="s">
        <v>18</v>
      </c>
      <c r="M9824" s="1" t="str">
        <f>"广东省 梅州市 丰顺县 潘田镇"</f>
        <v>广东省 梅州市 丰顺县 潘田镇</v>
      </c>
      <c r="N9824" s="1" t="str">
        <f t="shared" si="2676"/>
        <v>凡华云仓-韵达-抖音</v>
      </c>
      <c r="O9824" s="5">
        <v>320156485066949</v>
      </c>
      <c r="P9824" s="6">
        <v>0.33</v>
      </c>
      <c r="Q9824" s="11">
        <v>2.2999999999999998</v>
      </c>
      <c r="R9824" s="11"/>
      <c r="S9824" s="11"/>
      <c r="T9824" s="11"/>
      <c r="U9824" s="11">
        <f t="shared" si="2674"/>
        <v>2.2999999999999998</v>
      </c>
      <c r="W9824">
        <v>2.5</v>
      </c>
      <c r="X9824" s="1" t="s">
        <v>18</v>
      </c>
    </row>
    <row r="9825" spans="1:24" x14ac:dyDescent="0.25">
      <c r="A9825" s="1" t="str">
        <f t="shared" si="2669"/>
        <v>卡卡杜-凤凰仓</v>
      </c>
      <c r="B9825" s="1" t="str">
        <f>"CK2024100515352-1"</f>
        <v>CK2024100515352-1</v>
      </c>
      <c r="C9825" s="1" t="str">
        <f>"DD2024100526736"</f>
        <v>DD2024100526736</v>
      </c>
      <c r="D9825" s="1" t="str">
        <f>"CK2024100526613"</f>
        <v>CK2024100526613</v>
      </c>
      <c r="E9825" s="1" t="str">
        <f>"6917834812247146272"</f>
        <v>6917834812247146272</v>
      </c>
      <c r="F9825" s="1" t="str">
        <f t="shared" si="2670"/>
        <v>花都四部-凤凰仓</v>
      </c>
      <c r="G9825" s="1" t="str">
        <f t="shared" si="2675"/>
        <v>卡卡杜个人护理店（抖店）</v>
      </c>
      <c r="H9825" s="1" t="str">
        <f t="shared" si="2671"/>
        <v>正常订单</v>
      </c>
      <c r="I9825" s="1" t="str">
        <f t="shared" si="2672"/>
        <v>已发货</v>
      </c>
      <c r="J9825" s="1" t="str">
        <f t="shared" si="2673"/>
        <v>2</v>
      </c>
      <c r="K9825" s="1">
        <v>1</v>
      </c>
      <c r="L9825" s="1" t="s">
        <v>36</v>
      </c>
      <c r="M9825" s="1" t="str">
        <f>"安徽省 宣城市 宣州区 "</f>
        <v xml:space="preserve">安徽省 宣城市 宣州区 </v>
      </c>
      <c r="N9825" s="1" t="str">
        <f t="shared" si="2676"/>
        <v>凡华云仓-韵达-抖音</v>
      </c>
      <c r="O9825" s="5">
        <v>320156485066844</v>
      </c>
      <c r="P9825" s="6">
        <v>0.33</v>
      </c>
      <c r="Q9825" s="11">
        <v>2.2999999999999998</v>
      </c>
      <c r="R9825" s="11"/>
      <c r="S9825" s="11"/>
      <c r="T9825" s="11"/>
      <c r="U9825" s="11">
        <f t="shared" si="2674"/>
        <v>2.2999999999999998</v>
      </c>
      <c r="W9825">
        <v>2.5</v>
      </c>
      <c r="X9825" s="1" t="s">
        <v>36</v>
      </c>
    </row>
    <row r="9826" spans="1:24" x14ac:dyDescent="0.25">
      <c r="A9826" s="1" t="str">
        <f t="shared" si="2669"/>
        <v>卡卡杜-凤凰仓</v>
      </c>
      <c r="B9826" s="1" t="str">
        <f>"CK2024100515412-1"</f>
        <v>CK2024100515412-1</v>
      </c>
      <c r="C9826" s="1" t="str">
        <f>"DD2024100526663"</f>
        <v>DD2024100526663</v>
      </c>
      <c r="D9826" s="1" t="str">
        <f>"CK2024100526612"</f>
        <v>CK2024100526612</v>
      </c>
      <c r="E9826" s="1" t="str">
        <f>"6917830348505644304"</f>
        <v>6917830348505644304</v>
      </c>
      <c r="F9826" s="1" t="str">
        <f t="shared" si="2670"/>
        <v>花都四部-凤凰仓</v>
      </c>
      <c r="G9826" s="1" t="str">
        <f t="shared" si="2675"/>
        <v>卡卡杜个人护理店（抖店）</v>
      </c>
      <c r="H9826" s="1" t="str">
        <f t="shared" si="2671"/>
        <v>正常订单</v>
      </c>
      <c r="I9826" s="1" t="str">
        <f t="shared" si="2672"/>
        <v>已发货</v>
      </c>
      <c r="J9826" s="1" t="str">
        <f t="shared" si="2673"/>
        <v>2</v>
      </c>
      <c r="K9826" s="1">
        <v>1</v>
      </c>
      <c r="L9826" s="1" t="s">
        <v>74</v>
      </c>
      <c r="M9826" s="1" t="str">
        <f>"上海 上海市 浦东新区 康桥镇"</f>
        <v>上海 上海市 浦东新区 康桥镇</v>
      </c>
      <c r="N9826" s="1" t="str">
        <f t="shared" si="2676"/>
        <v>凡华云仓-韵达-抖音</v>
      </c>
      <c r="O9826" s="5">
        <v>320156485066741</v>
      </c>
      <c r="P9826" s="6">
        <v>0.3</v>
      </c>
      <c r="Q9826" s="11">
        <v>2</v>
      </c>
      <c r="R9826" s="11"/>
      <c r="S9826" s="11"/>
      <c r="T9826" s="11"/>
      <c r="U9826" s="11">
        <f t="shared" si="2674"/>
        <v>2</v>
      </c>
      <c r="W9826">
        <v>2.2000000000000002</v>
      </c>
      <c r="X9826" s="1" t="s">
        <v>74</v>
      </c>
    </row>
    <row r="9827" spans="1:24" x14ac:dyDescent="0.25">
      <c r="A9827" s="1" t="str">
        <f t="shared" si="2669"/>
        <v>卡卡杜-凤凰仓</v>
      </c>
      <c r="B9827" s="1" t="str">
        <f>"CK2024100515345-1"</f>
        <v>CK2024100515345-1</v>
      </c>
      <c r="C9827" s="1" t="str">
        <f>"DD2024100526734"</f>
        <v>DD2024100526734</v>
      </c>
      <c r="D9827" s="1" t="str">
        <f>"CK2024100526611"</f>
        <v>CK2024100526611</v>
      </c>
      <c r="E9827" s="1" t="str">
        <f>"6917825648957357093"</f>
        <v>6917825648957357093</v>
      </c>
      <c r="F9827" s="1" t="str">
        <f t="shared" si="2670"/>
        <v>花都四部-凤凰仓</v>
      </c>
      <c r="G9827" s="1" t="str">
        <f t="shared" si="2675"/>
        <v>卡卡杜个人护理店（抖店）</v>
      </c>
      <c r="H9827" s="1" t="str">
        <f t="shared" si="2671"/>
        <v>正常订单</v>
      </c>
      <c r="I9827" s="1" t="str">
        <f t="shared" si="2672"/>
        <v>已发货</v>
      </c>
      <c r="J9827" s="1" t="str">
        <f t="shared" si="2673"/>
        <v>2</v>
      </c>
      <c r="K9827" s="1">
        <v>1</v>
      </c>
      <c r="L9827" s="1" t="s">
        <v>24</v>
      </c>
      <c r="M9827" s="1" t="str">
        <f>"福建省 龙岩市 新罗区 "</f>
        <v xml:space="preserve">福建省 龙岩市 新罗区 </v>
      </c>
      <c r="N9827" s="1" t="str">
        <f t="shared" si="2676"/>
        <v>凡华云仓-韵达-抖音</v>
      </c>
      <c r="O9827" s="5">
        <v>320156485066640</v>
      </c>
      <c r="P9827" s="6">
        <v>0.33</v>
      </c>
      <c r="Q9827" s="11">
        <v>2.2999999999999998</v>
      </c>
      <c r="R9827" s="11"/>
      <c r="S9827" s="11"/>
      <c r="T9827" s="11"/>
      <c r="U9827" s="11">
        <f t="shared" si="2674"/>
        <v>2.2999999999999998</v>
      </c>
      <c r="W9827">
        <v>2.5</v>
      </c>
      <c r="X9827" s="1" t="s">
        <v>24</v>
      </c>
    </row>
    <row r="9828" spans="1:24" x14ac:dyDescent="0.25">
      <c r="A9828" s="1" t="str">
        <f t="shared" si="2669"/>
        <v>卡卡杜-凤凰仓</v>
      </c>
      <c r="B9828" s="1" t="str">
        <f>"CK2024100515448"</f>
        <v>CK2024100515448</v>
      </c>
      <c r="C9828" s="1" t="str">
        <f>"DD2024100526717"</f>
        <v>DD2024100526717</v>
      </c>
      <c r="D9828" s="1" t="str">
        <f>"CK2024100526610"</f>
        <v>CK2024100526610</v>
      </c>
      <c r="E9828" s="1" t="str">
        <f>"6917829899933023357"</f>
        <v>6917829899933023357</v>
      </c>
      <c r="F9828" s="1" t="str">
        <f t="shared" si="2670"/>
        <v>花都四部-凤凰仓</v>
      </c>
      <c r="G9828" s="1" t="str">
        <f t="shared" si="2675"/>
        <v>卡卡杜个人护理店（抖店）</v>
      </c>
      <c r="H9828" s="1" t="str">
        <f t="shared" si="2671"/>
        <v>正常订单</v>
      </c>
      <c r="I9828" s="1" t="str">
        <f t="shared" si="2672"/>
        <v>已发货</v>
      </c>
      <c r="J9828" s="1" t="str">
        <f t="shared" si="2673"/>
        <v>2</v>
      </c>
      <c r="K9828" s="1">
        <v>2</v>
      </c>
      <c r="L9828" s="1" t="s">
        <v>18</v>
      </c>
      <c r="M9828" s="1" t="str">
        <f>"广东省 佛山市 顺德区 均安镇"</f>
        <v>广东省 佛山市 顺德区 均安镇</v>
      </c>
      <c r="N9828" s="1" t="str">
        <f t="shared" si="2676"/>
        <v>凡华云仓-韵达-抖音</v>
      </c>
      <c r="O9828" s="5">
        <v>320156485066541</v>
      </c>
      <c r="P9828" s="6">
        <v>0.28000000000000003</v>
      </c>
      <c r="Q9828" s="11">
        <v>2</v>
      </c>
      <c r="R9828" s="11"/>
      <c r="S9828" s="11"/>
      <c r="T9828" s="11"/>
      <c r="U9828" s="11">
        <f t="shared" si="2674"/>
        <v>2</v>
      </c>
      <c r="W9828">
        <v>2.2000000000000002</v>
      </c>
      <c r="X9828" s="1" t="s">
        <v>18</v>
      </c>
    </row>
    <row r="9829" spans="1:24" x14ac:dyDescent="0.25">
      <c r="A9829" s="1" t="str">
        <f t="shared" si="2669"/>
        <v>卡卡杜-凤凰仓</v>
      </c>
      <c r="B9829" s="1" t="str">
        <f>"CK2024100515414-1"</f>
        <v>CK2024100515414-1</v>
      </c>
      <c r="C9829" s="1" t="str">
        <f>"DD2024100526664"</f>
        <v>DD2024100526664</v>
      </c>
      <c r="D9829" s="1" t="str">
        <f>"CK2024100526609"</f>
        <v>CK2024100526609</v>
      </c>
      <c r="E9829" s="1" t="str">
        <f>"6917834924810207131"</f>
        <v>6917834924810207131</v>
      </c>
      <c r="F9829" s="1" t="str">
        <f t="shared" si="2670"/>
        <v>花都四部-凤凰仓</v>
      </c>
      <c r="G9829" s="1" t="str">
        <f t="shared" si="2675"/>
        <v>卡卡杜个人护理店（抖店）</v>
      </c>
      <c r="H9829" s="1" t="str">
        <f t="shared" si="2671"/>
        <v>正常订单</v>
      </c>
      <c r="I9829" s="1" t="str">
        <f t="shared" si="2672"/>
        <v>已发货</v>
      </c>
      <c r="J9829" s="1" t="str">
        <f t="shared" si="2673"/>
        <v>2</v>
      </c>
      <c r="K9829" s="1">
        <v>1</v>
      </c>
      <c r="L9829" s="1" t="s">
        <v>13</v>
      </c>
      <c r="M9829" s="1" t="str">
        <f>"江苏省 南京市 高淳区 古柏街道"</f>
        <v>江苏省 南京市 高淳区 古柏街道</v>
      </c>
      <c r="N9829" s="1" t="str">
        <f t="shared" si="2676"/>
        <v>凡华云仓-韵达-抖音</v>
      </c>
      <c r="O9829" s="5">
        <v>320156471535161</v>
      </c>
      <c r="P9829" s="6">
        <v>0.3</v>
      </c>
      <c r="Q9829" s="11">
        <v>2</v>
      </c>
      <c r="R9829" s="11"/>
      <c r="S9829" s="11"/>
      <c r="T9829" s="11"/>
      <c r="U9829" s="11">
        <f t="shared" si="2674"/>
        <v>2</v>
      </c>
      <c r="W9829">
        <v>2.2000000000000002</v>
      </c>
      <c r="X9829" s="1" t="s">
        <v>13</v>
      </c>
    </row>
    <row r="9830" spans="1:24" x14ac:dyDescent="0.25">
      <c r="A9830" s="1" t="str">
        <f t="shared" si="2669"/>
        <v>卡卡杜-凤凰仓</v>
      </c>
      <c r="B9830" s="1" t="str">
        <f>"CK2024100515415-1"</f>
        <v>CK2024100515415-1</v>
      </c>
      <c r="C9830" s="1" t="str">
        <f>"DD2024100526665"</f>
        <v>DD2024100526665</v>
      </c>
      <c r="D9830" s="1" t="str">
        <f>"CK2024100526608"</f>
        <v>CK2024100526608</v>
      </c>
      <c r="E9830" s="1" t="str">
        <f>"6917825748501757651"</f>
        <v>6917825748501757651</v>
      </c>
      <c r="F9830" s="1" t="str">
        <f t="shared" si="2670"/>
        <v>花都四部-凤凰仓</v>
      </c>
      <c r="G9830" s="1" t="str">
        <f t="shared" si="2675"/>
        <v>卡卡杜个人护理店（抖店）</v>
      </c>
      <c r="H9830" s="1" t="str">
        <f t="shared" si="2671"/>
        <v>正常订单</v>
      </c>
      <c r="I9830" s="1" t="str">
        <f t="shared" si="2672"/>
        <v>已发货</v>
      </c>
      <c r="J9830" s="1" t="str">
        <f t="shared" si="2673"/>
        <v>2</v>
      </c>
      <c r="K9830" s="1">
        <v>1</v>
      </c>
      <c r="L9830" s="1" t="s">
        <v>22</v>
      </c>
      <c r="M9830" s="1" t="str">
        <f>"江西省 新余市 渝水区 河下镇"</f>
        <v>江西省 新余市 渝水区 河下镇</v>
      </c>
      <c r="N9830" s="1" t="str">
        <f t="shared" si="2676"/>
        <v>凡华云仓-韵达-抖音</v>
      </c>
      <c r="O9830" s="5">
        <v>320156471535072</v>
      </c>
      <c r="P9830" s="6">
        <v>0.3</v>
      </c>
      <c r="Q9830" s="11">
        <v>2</v>
      </c>
      <c r="R9830" s="11"/>
      <c r="S9830" s="11"/>
      <c r="T9830" s="11"/>
      <c r="U9830" s="11">
        <f t="shared" si="2674"/>
        <v>2</v>
      </c>
      <c r="W9830">
        <v>2.2000000000000002</v>
      </c>
      <c r="X9830" s="1" t="s">
        <v>22</v>
      </c>
    </row>
    <row r="9831" spans="1:24" x14ac:dyDescent="0.25">
      <c r="A9831" s="1" t="str">
        <f t="shared" si="2669"/>
        <v>卡卡杜-凤凰仓</v>
      </c>
      <c r="B9831" s="1" t="str">
        <f>"CK2024100515416-1"</f>
        <v>CK2024100515416-1</v>
      </c>
      <c r="C9831" s="1" t="str">
        <f>"DD2024100526666"</f>
        <v>DD2024100526666</v>
      </c>
      <c r="D9831" s="1" t="str">
        <f>"CK2024100526607"</f>
        <v>CK2024100526607</v>
      </c>
      <c r="E9831" s="1" t="str">
        <f>"6917829962544283536"</f>
        <v>6917829962544283536</v>
      </c>
      <c r="F9831" s="1" t="str">
        <f t="shared" si="2670"/>
        <v>花都四部-凤凰仓</v>
      </c>
      <c r="G9831" s="1" t="str">
        <f t="shared" si="2675"/>
        <v>卡卡杜个人护理店（抖店）</v>
      </c>
      <c r="H9831" s="1" t="str">
        <f t="shared" si="2671"/>
        <v>正常订单</v>
      </c>
      <c r="I9831" s="1" t="str">
        <f t="shared" si="2672"/>
        <v>已发货</v>
      </c>
      <c r="J9831" s="1" t="str">
        <f t="shared" si="2673"/>
        <v>2</v>
      </c>
      <c r="K9831" s="1">
        <v>1</v>
      </c>
      <c r="L9831" s="1" t="s">
        <v>20</v>
      </c>
      <c r="M9831" s="1" t="str">
        <f>"浙江省 宁波市 慈溪市 胜山镇"</f>
        <v>浙江省 宁波市 慈溪市 胜山镇</v>
      </c>
      <c r="N9831" s="1" t="str">
        <f t="shared" si="2676"/>
        <v>凡华云仓-韵达-抖音</v>
      </c>
      <c r="O9831" s="5">
        <v>320156471534948</v>
      </c>
      <c r="P9831" s="6">
        <v>0.3</v>
      </c>
      <c r="Q9831" s="11">
        <v>2</v>
      </c>
      <c r="R9831" s="11"/>
      <c r="S9831" s="11"/>
      <c r="T9831" s="11"/>
      <c r="U9831" s="11">
        <f t="shared" si="2674"/>
        <v>2</v>
      </c>
      <c r="W9831">
        <v>2.2000000000000002</v>
      </c>
      <c r="X9831" s="1" t="s">
        <v>20</v>
      </c>
    </row>
    <row r="9832" spans="1:24" x14ac:dyDescent="0.25">
      <c r="A9832" s="1" t="str">
        <f t="shared" si="2669"/>
        <v>卡卡杜-凤凰仓</v>
      </c>
      <c r="B9832" s="1" t="str">
        <f>"CK2024100515422-1"</f>
        <v>CK2024100515422-1</v>
      </c>
      <c r="C9832" s="1" t="str">
        <f>"DD2024100526672"</f>
        <v>DD2024100526672</v>
      </c>
      <c r="D9832" s="1" t="str">
        <f>"CK2024100526606"</f>
        <v>CK2024100526606</v>
      </c>
      <c r="E9832" s="1" t="str">
        <f>"6917832571192311347"</f>
        <v>6917832571192311347</v>
      </c>
      <c r="F9832" s="1" t="str">
        <f t="shared" si="2670"/>
        <v>花都四部-凤凰仓</v>
      </c>
      <c r="G9832" s="1" t="str">
        <f t="shared" si="2675"/>
        <v>卡卡杜个人护理店（抖店）</v>
      </c>
      <c r="H9832" s="1" t="str">
        <f t="shared" si="2671"/>
        <v>正常订单</v>
      </c>
      <c r="I9832" s="1" t="str">
        <f t="shared" si="2672"/>
        <v>已发货</v>
      </c>
      <c r="J9832" s="1" t="str">
        <f t="shared" si="2673"/>
        <v>2</v>
      </c>
      <c r="K9832" s="1">
        <v>1</v>
      </c>
      <c r="L9832" s="1" t="s">
        <v>13</v>
      </c>
      <c r="M9832" s="1" t="str">
        <f>"江苏省 常州市 金坛区 东城街道"</f>
        <v>江苏省 常州市 金坛区 东城街道</v>
      </c>
      <c r="N9832" s="1" t="str">
        <f t="shared" si="2676"/>
        <v>凡华云仓-韵达-抖音</v>
      </c>
      <c r="O9832" s="5">
        <v>320156471534843</v>
      </c>
      <c r="P9832" s="6">
        <v>0.3</v>
      </c>
      <c r="Q9832" s="11">
        <v>2</v>
      </c>
      <c r="R9832" s="11"/>
      <c r="S9832" s="11"/>
      <c r="T9832" s="11"/>
      <c r="U9832" s="11">
        <f t="shared" si="2674"/>
        <v>2</v>
      </c>
      <c r="W9832">
        <v>2.2000000000000002</v>
      </c>
      <c r="X9832" s="1" t="s">
        <v>13</v>
      </c>
    </row>
    <row r="9833" spans="1:24" x14ac:dyDescent="0.25">
      <c r="A9833" s="1" t="str">
        <f t="shared" si="2669"/>
        <v>卡卡杜-凤凰仓</v>
      </c>
      <c r="B9833" s="1" t="str">
        <f>"CK2024100515417-1"</f>
        <v>CK2024100515417-1</v>
      </c>
      <c r="C9833" s="1" t="str">
        <f>"DD2024100526669"</f>
        <v>DD2024100526669</v>
      </c>
      <c r="D9833" s="1" t="str">
        <f>"CK2024100526605"</f>
        <v>CK2024100526605</v>
      </c>
      <c r="E9833" s="1" t="str">
        <f>"6917827658625875338"</f>
        <v>6917827658625875338</v>
      </c>
      <c r="F9833" s="1" t="str">
        <f t="shared" si="2670"/>
        <v>花都四部-凤凰仓</v>
      </c>
      <c r="G9833" s="1" t="str">
        <f t="shared" si="2675"/>
        <v>卡卡杜个人护理店（抖店）</v>
      </c>
      <c r="H9833" s="1" t="str">
        <f t="shared" si="2671"/>
        <v>正常订单</v>
      </c>
      <c r="I9833" s="1" t="str">
        <f t="shared" si="2672"/>
        <v>已发货</v>
      </c>
      <c r="J9833" s="1" t="str">
        <f t="shared" si="2673"/>
        <v>2</v>
      </c>
      <c r="K9833" s="1">
        <v>1</v>
      </c>
      <c r="L9833" s="1" t="s">
        <v>20</v>
      </c>
      <c r="M9833" s="1" t="str">
        <f>"浙江省 丽水市 缙云县 五云街道"</f>
        <v>浙江省 丽水市 缙云县 五云街道</v>
      </c>
      <c r="N9833" s="1" t="str">
        <f t="shared" si="2676"/>
        <v>凡华云仓-韵达-抖音</v>
      </c>
      <c r="O9833" s="5">
        <v>320156471534740</v>
      </c>
      <c r="P9833" s="6">
        <v>0.3</v>
      </c>
      <c r="Q9833" s="11">
        <v>2</v>
      </c>
      <c r="R9833" s="11"/>
      <c r="S9833" s="11"/>
      <c r="T9833" s="11"/>
      <c r="U9833" s="11">
        <f t="shared" si="2674"/>
        <v>2</v>
      </c>
      <c r="W9833">
        <v>2.2000000000000002</v>
      </c>
      <c r="X9833" s="1" t="s">
        <v>20</v>
      </c>
    </row>
    <row r="9834" spans="1:24" x14ac:dyDescent="0.25">
      <c r="A9834" s="1" t="str">
        <f t="shared" si="2669"/>
        <v>卡卡杜-凤凰仓</v>
      </c>
      <c r="B9834" s="1" t="str">
        <f>"CK2024100515419-1"</f>
        <v>CK2024100515419-1</v>
      </c>
      <c r="C9834" s="1" t="str">
        <f>"DD2024100526667"</f>
        <v>DD2024100526667</v>
      </c>
      <c r="D9834" s="1" t="str">
        <f>"CK2024100526604"</f>
        <v>CK2024100526604</v>
      </c>
      <c r="E9834" s="1" t="str">
        <f>"6917834657679834223"</f>
        <v>6917834657679834223</v>
      </c>
      <c r="F9834" s="1" t="str">
        <f t="shared" si="2670"/>
        <v>花都四部-凤凰仓</v>
      </c>
      <c r="G9834" s="1" t="str">
        <f t="shared" si="2675"/>
        <v>卡卡杜个人护理店（抖店）</v>
      </c>
      <c r="H9834" s="1" t="str">
        <f t="shared" si="2671"/>
        <v>正常订单</v>
      </c>
      <c r="I9834" s="1" t="str">
        <f t="shared" si="2672"/>
        <v>已发货</v>
      </c>
      <c r="J9834" s="1" t="str">
        <f t="shared" si="2673"/>
        <v>2</v>
      </c>
      <c r="K9834" s="1">
        <v>1</v>
      </c>
      <c r="L9834" s="1" t="s">
        <v>20</v>
      </c>
      <c r="M9834" s="1" t="str">
        <f>"浙江省 湖州市 长兴县 雉城街道"</f>
        <v>浙江省 湖州市 长兴县 雉城街道</v>
      </c>
      <c r="N9834" s="1" t="str">
        <f t="shared" si="2676"/>
        <v>凡华云仓-韵达-抖音</v>
      </c>
      <c r="O9834" s="5">
        <v>320156471534639</v>
      </c>
      <c r="P9834" s="6">
        <v>0.3</v>
      </c>
      <c r="Q9834" s="11">
        <v>2</v>
      </c>
      <c r="R9834" s="11"/>
      <c r="S9834" s="11"/>
      <c r="T9834" s="11"/>
      <c r="U9834" s="11">
        <f t="shared" si="2674"/>
        <v>2</v>
      </c>
      <c r="W9834">
        <v>2.2000000000000002</v>
      </c>
      <c r="X9834" s="1" t="s">
        <v>20</v>
      </c>
    </row>
    <row r="9835" spans="1:24" x14ac:dyDescent="0.25">
      <c r="A9835" s="1" t="str">
        <f t="shared" ref="A9835:A9898" si="2677">"卡卡杜-凤凰仓"</f>
        <v>卡卡杜-凤凰仓</v>
      </c>
      <c r="B9835" s="1" t="str">
        <f>"CK2024100515421-1"</f>
        <v>CK2024100515421-1</v>
      </c>
      <c r="C9835" s="1" t="str">
        <f>"DD2024100526671"</f>
        <v>DD2024100526671</v>
      </c>
      <c r="D9835" s="1" t="str">
        <f>"CK2024100526603"</f>
        <v>CK2024100526603</v>
      </c>
      <c r="E9835" s="1" t="str">
        <f>"6917828031101239172"</f>
        <v>6917828031101239172</v>
      </c>
      <c r="F9835" s="1" t="str">
        <f t="shared" ref="F9835:F9898" si="2678">"花都四部-凤凰仓"</f>
        <v>花都四部-凤凰仓</v>
      </c>
      <c r="G9835" s="1" t="str">
        <f t="shared" si="2675"/>
        <v>卡卡杜个人护理店（抖店）</v>
      </c>
      <c r="H9835" s="1" t="str">
        <f t="shared" ref="H9835:H9898" si="2679">"正常订单"</f>
        <v>正常订单</v>
      </c>
      <c r="I9835" s="1" t="str">
        <f t="shared" ref="I9835:I9898" si="2680">"已发货"</f>
        <v>已发货</v>
      </c>
      <c r="J9835" s="1" t="str">
        <f t="shared" si="2673"/>
        <v>2</v>
      </c>
      <c r="K9835" s="1">
        <v>1</v>
      </c>
      <c r="L9835" s="1" t="s">
        <v>94</v>
      </c>
      <c r="M9835" s="1" t="str">
        <f>"湖南省 湘西土家族苗族自治州 古丈县 古阳镇"</f>
        <v>湖南省 湘西土家族苗族自治州 古丈县 古阳镇</v>
      </c>
      <c r="N9835" s="1" t="str">
        <f t="shared" si="2676"/>
        <v>凡华云仓-韵达-抖音</v>
      </c>
      <c r="O9835" s="5">
        <v>320156471534540</v>
      </c>
      <c r="P9835" s="6">
        <v>0.3</v>
      </c>
      <c r="Q9835" s="11">
        <v>2</v>
      </c>
      <c r="R9835" s="11"/>
      <c r="S9835" s="11"/>
      <c r="T9835" s="11"/>
      <c r="U9835" s="11">
        <f t="shared" si="2674"/>
        <v>2</v>
      </c>
      <c r="W9835">
        <v>2.2000000000000002</v>
      </c>
      <c r="X9835" s="1" t="s">
        <v>94</v>
      </c>
    </row>
    <row r="9836" spans="1:24" x14ac:dyDescent="0.25">
      <c r="A9836" s="1" t="str">
        <f t="shared" si="2677"/>
        <v>卡卡杜-凤凰仓</v>
      </c>
      <c r="B9836" s="1" t="str">
        <f>"CK2024100515420-1"</f>
        <v>CK2024100515420-1</v>
      </c>
      <c r="C9836" s="1" t="str">
        <f>"DD2024100526670"</f>
        <v>DD2024100526670</v>
      </c>
      <c r="D9836" s="1" t="str">
        <f>"CK2024100526602"</f>
        <v>CK2024100526602</v>
      </c>
      <c r="E9836" s="1" t="str">
        <f>"6917832159797148834"</f>
        <v>6917832159797148834</v>
      </c>
      <c r="F9836" s="1" t="str">
        <f t="shared" si="2678"/>
        <v>花都四部-凤凰仓</v>
      </c>
      <c r="G9836" s="1" t="str">
        <f t="shared" si="2675"/>
        <v>卡卡杜个人护理店（抖店）</v>
      </c>
      <c r="H9836" s="1" t="str">
        <f t="shared" si="2679"/>
        <v>正常订单</v>
      </c>
      <c r="I9836" s="1" t="str">
        <f t="shared" si="2680"/>
        <v>已发货</v>
      </c>
      <c r="J9836" s="1" t="str">
        <f t="shared" si="2673"/>
        <v>2</v>
      </c>
      <c r="K9836" s="1">
        <v>1</v>
      </c>
      <c r="L9836" s="1" t="s">
        <v>20</v>
      </c>
      <c r="M9836" s="1" t="str">
        <f>"浙江省 温州市 乐清市 大荆镇"</f>
        <v>浙江省 温州市 乐清市 大荆镇</v>
      </c>
      <c r="N9836" s="1" t="str">
        <f t="shared" si="2676"/>
        <v>凡华云仓-韵达-抖音</v>
      </c>
      <c r="O9836" s="5">
        <v>320156471534443</v>
      </c>
      <c r="P9836" s="6">
        <v>0.3</v>
      </c>
      <c r="Q9836" s="11">
        <v>2</v>
      </c>
      <c r="R9836" s="11"/>
      <c r="S9836" s="11"/>
      <c r="T9836" s="11"/>
      <c r="U9836" s="11">
        <f t="shared" si="2674"/>
        <v>2</v>
      </c>
      <c r="W9836">
        <v>2.2000000000000002</v>
      </c>
      <c r="X9836" s="1" t="s">
        <v>20</v>
      </c>
    </row>
    <row r="9837" spans="1:24" x14ac:dyDescent="0.25">
      <c r="A9837" s="1" t="str">
        <f t="shared" si="2677"/>
        <v>卡卡杜-凤凰仓</v>
      </c>
      <c r="B9837" s="1" t="str">
        <f>"CK2024100515405-1"</f>
        <v>CK2024100515405-1</v>
      </c>
      <c r="C9837" s="1" t="str">
        <f>"DD2024100526789"</f>
        <v>DD2024100526789</v>
      </c>
      <c r="D9837" s="1" t="str">
        <f>"CK2024100526601"</f>
        <v>CK2024100526601</v>
      </c>
      <c r="E9837" s="1" t="str">
        <f>"6917829388374866979"</f>
        <v>6917829388374866979</v>
      </c>
      <c r="F9837" s="1" t="str">
        <f t="shared" si="2678"/>
        <v>花都四部-凤凰仓</v>
      </c>
      <c r="G9837" s="1" t="str">
        <f t="shared" si="2675"/>
        <v>卡卡杜个人护理店（抖店）</v>
      </c>
      <c r="H9837" s="1" t="str">
        <f t="shared" si="2679"/>
        <v>正常订单</v>
      </c>
      <c r="I9837" s="1" t="str">
        <f t="shared" si="2680"/>
        <v>已发货</v>
      </c>
      <c r="J9837" s="1" t="str">
        <f t="shared" si="2673"/>
        <v>2</v>
      </c>
      <c r="K9837" s="1">
        <v>1</v>
      </c>
      <c r="L9837" s="1" t="s">
        <v>24</v>
      </c>
      <c r="M9837" s="1" t="str">
        <f>"福建省 龙岩市 长汀县 "</f>
        <v xml:space="preserve">福建省 龙岩市 长汀县 </v>
      </c>
      <c r="N9837" s="1" t="str">
        <f t="shared" si="2676"/>
        <v>凡华云仓-韵达-抖音</v>
      </c>
      <c r="O9837" s="5">
        <v>320156471534348</v>
      </c>
      <c r="P9837" s="6">
        <v>0.33</v>
      </c>
      <c r="Q9837" s="11">
        <v>2.2999999999999998</v>
      </c>
      <c r="R9837" s="11"/>
      <c r="S9837" s="11"/>
      <c r="T9837" s="11"/>
      <c r="U9837" s="11">
        <f t="shared" si="2674"/>
        <v>2.2999999999999998</v>
      </c>
      <c r="W9837">
        <v>2.5</v>
      </c>
      <c r="X9837" s="1" t="s">
        <v>24</v>
      </c>
    </row>
    <row r="9838" spans="1:24" x14ac:dyDescent="0.25">
      <c r="A9838" s="1" t="str">
        <f t="shared" si="2677"/>
        <v>卡卡杜-凤凰仓</v>
      </c>
      <c r="B9838" s="1" t="str">
        <f>"CK2024100515418-1"</f>
        <v>CK2024100515418-1</v>
      </c>
      <c r="C9838" s="1" t="str">
        <f>"DD2024100526668"</f>
        <v>DD2024100526668</v>
      </c>
      <c r="D9838" s="1" t="str">
        <f>"CK2024100526600"</f>
        <v>CK2024100526600</v>
      </c>
      <c r="E9838" s="1" t="str">
        <f>"6917834719459900874"</f>
        <v>6917834719459900874</v>
      </c>
      <c r="F9838" s="1" t="str">
        <f t="shared" si="2678"/>
        <v>花都四部-凤凰仓</v>
      </c>
      <c r="G9838" s="1" t="str">
        <f t="shared" si="2675"/>
        <v>卡卡杜个人护理店（抖店）</v>
      </c>
      <c r="H9838" s="1" t="str">
        <f t="shared" si="2679"/>
        <v>正常订单</v>
      </c>
      <c r="I9838" s="1" t="str">
        <f t="shared" si="2680"/>
        <v>已发货</v>
      </c>
      <c r="J9838" s="1" t="str">
        <f t="shared" si="2673"/>
        <v>2</v>
      </c>
      <c r="K9838" s="1">
        <v>1</v>
      </c>
      <c r="L9838" s="1" t="s">
        <v>13</v>
      </c>
      <c r="M9838" s="1" t="str">
        <f>"江苏省 镇江市 丹阳市 界牌镇"</f>
        <v>江苏省 镇江市 丹阳市 界牌镇</v>
      </c>
      <c r="N9838" s="1" t="str">
        <f t="shared" si="2676"/>
        <v>凡华云仓-韵达-抖音</v>
      </c>
      <c r="O9838" s="5">
        <v>320156471534255</v>
      </c>
      <c r="P9838" s="6">
        <v>0.3</v>
      </c>
      <c r="Q9838" s="11">
        <v>2</v>
      </c>
      <c r="R9838" s="11"/>
      <c r="S9838" s="11"/>
      <c r="T9838" s="11"/>
      <c r="U9838" s="11">
        <f t="shared" si="2674"/>
        <v>2</v>
      </c>
      <c r="W9838">
        <v>2.2000000000000002</v>
      </c>
      <c r="X9838" s="1" t="s">
        <v>13</v>
      </c>
    </row>
    <row r="9839" spans="1:24" x14ac:dyDescent="0.25">
      <c r="A9839" s="1" t="str">
        <f t="shared" si="2677"/>
        <v>卡卡杜-凤凰仓</v>
      </c>
      <c r="B9839" s="1" t="str">
        <f>"CK2024100515406-1"</f>
        <v>CK2024100515406-1</v>
      </c>
      <c r="C9839" s="1" t="str">
        <f>"DD2024100526790"</f>
        <v>DD2024100526790</v>
      </c>
      <c r="D9839" s="1" t="str">
        <f>"CK2024100526599"</f>
        <v>CK2024100526599</v>
      </c>
      <c r="E9839" s="1" t="str">
        <f>"6917827064336055498"</f>
        <v>6917827064336055498</v>
      </c>
      <c r="F9839" s="1" t="str">
        <f t="shared" si="2678"/>
        <v>花都四部-凤凰仓</v>
      </c>
      <c r="G9839" s="1" t="str">
        <f t="shared" si="2675"/>
        <v>卡卡杜个人护理店（抖店）</v>
      </c>
      <c r="H9839" s="1" t="str">
        <f t="shared" si="2679"/>
        <v>正常订单</v>
      </c>
      <c r="I9839" s="1" t="str">
        <f t="shared" si="2680"/>
        <v>已发货</v>
      </c>
      <c r="J9839" s="1" t="str">
        <f t="shared" si="2673"/>
        <v>2</v>
      </c>
      <c r="K9839" s="1">
        <v>1</v>
      </c>
      <c r="L9839" s="1" t="s">
        <v>20</v>
      </c>
      <c r="M9839" s="1" t="str">
        <f>"浙江省 丽水市 莲都区 白云街道"</f>
        <v>浙江省 丽水市 莲都区 白云街道</v>
      </c>
      <c r="N9839" s="1" t="str">
        <f t="shared" si="2676"/>
        <v>凡华云仓-韵达-抖音</v>
      </c>
      <c r="O9839" s="5">
        <v>320156471536251</v>
      </c>
      <c r="P9839" s="6">
        <v>0.33</v>
      </c>
      <c r="Q9839" s="11">
        <v>2.2999999999999998</v>
      </c>
      <c r="R9839" s="11"/>
      <c r="S9839" s="11"/>
      <c r="T9839" s="11"/>
      <c r="U9839" s="11">
        <f t="shared" si="2674"/>
        <v>2.2999999999999998</v>
      </c>
      <c r="W9839">
        <v>2.5</v>
      </c>
      <c r="X9839" s="1" t="s">
        <v>20</v>
      </c>
    </row>
    <row r="9840" spans="1:24" x14ac:dyDescent="0.25">
      <c r="A9840" s="1" t="str">
        <f t="shared" si="2677"/>
        <v>卡卡杜-凤凰仓</v>
      </c>
      <c r="B9840" s="1" t="str">
        <f>"CK2024100515407-1"</f>
        <v>CK2024100515407-1</v>
      </c>
      <c r="C9840" s="1" t="str">
        <f>"DD2024100526792"</f>
        <v>DD2024100526792</v>
      </c>
      <c r="D9840" s="1" t="str">
        <f>"CK2024100526598"</f>
        <v>CK2024100526598</v>
      </c>
      <c r="E9840" s="1" t="str">
        <f>"6917831837902667620"</f>
        <v>6917831837902667620</v>
      </c>
      <c r="F9840" s="1" t="str">
        <f t="shared" si="2678"/>
        <v>花都四部-凤凰仓</v>
      </c>
      <c r="G9840" s="1" t="str">
        <f t="shared" si="2675"/>
        <v>卡卡杜个人护理店（抖店）</v>
      </c>
      <c r="H9840" s="1" t="str">
        <f t="shared" si="2679"/>
        <v>正常订单</v>
      </c>
      <c r="I9840" s="1" t="str">
        <f t="shared" si="2680"/>
        <v>已发货</v>
      </c>
      <c r="J9840" s="1" t="str">
        <f t="shared" ref="J9840:J9844" si="2681">"2"</f>
        <v>2</v>
      </c>
      <c r="K9840" s="1">
        <v>1</v>
      </c>
      <c r="L9840" s="1" t="s">
        <v>22</v>
      </c>
      <c r="M9840" s="1" t="str">
        <f>"江西省 南昌市 新建区 长堎镇"</f>
        <v>江西省 南昌市 新建区 长堎镇</v>
      </c>
      <c r="N9840" s="1" t="str">
        <f t="shared" si="2676"/>
        <v>凡华云仓-韵达-抖音</v>
      </c>
      <c r="O9840" s="5">
        <v>320156471536160</v>
      </c>
      <c r="P9840" s="6">
        <v>0.33</v>
      </c>
      <c r="Q9840" s="11">
        <v>2.2999999999999998</v>
      </c>
      <c r="R9840" s="11"/>
      <c r="S9840" s="11"/>
      <c r="T9840" s="11"/>
      <c r="U9840" s="11">
        <f t="shared" si="2674"/>
        <v>2.2999999999999998</v>
      </c>
      <c r="W9840">
        <v>2.5</v>
      </c>
      <c r="X9840" s="1" t="s">
        <v>22</v>
      </c>
    </row>
    <row r="9841" spans="1:24" x14ac:dyDescent="0.25">
      <c r="A9841" s="1" t="str">
        <f t="shared" si="2677"/>
        <v>卡卡杜-凤凰仓</v>
      </c>
      <c r="B9841" s="1" t="str">
        <f>"CK2024100515408-1"</f>
        <v>CK2024100515408-1</v>
      </c>
      <c r="C9841" s="1" t="str">
        <f>"DD2024100526791"</f>
        <v>DD2024100526791</v>
      </c>
      <c r="D9841" s="1" t="str">
        <f>"CK2024100526597"</f>
        <v>CK2024100526597</v>
      </c>
      <c r="E9841" s="1" t="str">
        <f>"6917833946481917334"</f>
        <v>6917833946481917334</v>
      </c>
      <c r="F9841" s="1" t="str">
        <f t="shared" si="2678"/>
        <v>花都四部-凤凰仓</v>
      </c>
      <c r="G9841" s="1" t="str">
        <f t="shared" si="2675"/>
        <v>卡卡杜个人护理店（抖店）</v>
      </c>
      <c r="H9841" s="1" t="str">
        <f t="shared" si="2679"/>
        <v>正常订单</v>
      </c>
      <c r="I9841" s="1" t="str">
        <f t="shared" si="2680"/>
        <v>已发货</v>
      </c>
      <c r="J9841" s="1" t="str">
        <f t="shared" si="2681"/>
        <v>2</v>
      </c>
      <c r="K9841" s="1">
        <v>1</v>
      </c>
      <c r="L9841" s="1" t="s">
        <v>94</v>
      </c>
      <c r="M9841" s="1" t="str">
        <f>"湖南省 郴州市 资兴市 唐洞街道"</f>
        <v>湖南省 郴州市 资兴市 唐洞街道</v>
      </c>
      <c r="N9841" s="1" t="str">
        <f t="shared" si="2676"/>
        <v>凡华云仓-韵达-抖音</v>
      </c>
      <c r="O9841" s="5">
        <v>320156471536071</v>
      </c>
      <c r="P9841" s="6">
        <v>0.33</v>
      </c>
      <c r="Q9841" s="11">
        <v>2.2999999999999998</v>
      </c>
      <c r="R9841" s="11"/>
      <c r="S9841" s="11"/>
      <c r="T9841" s="11"/>
      <c r="U9841" s="11">
        <f t="shared" si="2674"/>
        <v>2.2999999999999998</v>
      </c>
      <c r="W9841">
        <v>2.5</v>
      </c>
      <c r="X9841" s="1" t="s">
        <v>94</v>
      </c>
    </row>
    <row r="9842" spans="1:24" x14ac:dyDescent="0.25">
      <c r="A9842" s="1" t="str">
        <f t="shared" si="2677"/>
        <v>卡卡杜-凤凰仓</v>
      </c>
      <c r="B9842" s="1" t="str">
        <f>"CK2024100549-2"</f>
        <v>CK2024100549-2</v>
      </c>
      <c r="C9842" s="1" t="str">
        <f>"DD2024100526673"</f>
        <v>DD2024100526673</v>
      </c>
      <c r="D9842" s="1" t="str">
        <f>"CK2024100526596"</f>
        <v>CK2024100526596</v>
      </c>
      <c r="E9842" s="1" t="str">
        <f>"6917824844700286880"</f>
        <v>6917824844700286880</v>
      </c>
      <c r="F9842" s="1" t="str">
        <f t="shared" si="2678"/>
        <v>花都四部-凤凰仓</v>
      </c>
      <c r="G9842" s="1" t="str">
        <f t="shared" si="2675"/>
        <v>卡卡杜个人护理店（抖店）</v>
      </c>
      <c r="H9842" s="1" t="str">
        <f t="shared" si="2679"/>
        <v>正常订单</v>
      </c>
      <c r="I9842" s="1" t="str">
        <f t="shared" si="2680"/>
        <v>已发货</v>
      </c>
      <c r="J9842" s="1" t="str">
        <f t="shared" si="2681"/>
        <v>2</v>
      </c>
      <c r="K9842" s="1">
        <v>1</v>
      </c>
      <c r="L9842" s="1" t="s">
        <v>22</v>
      </c>
      <c r="M9842" s="1" t="str">
        <f>"江西省 上饶市 鄱阳县 鄱阳镇"</f>
        <v>江西省 上饶市 鄱阳县 鄱阳镇</v>
      </c>
      <c r="N9842" s="1" t="str">
        <f t="shared" si="2676"/>
        <v>凡华云仓-韵达-抖音</v>
      </c>
      <c r="O9842" s="5">
        <v>320156471535945</v>
      </c>
      <c r="P9842" s="6">
        <v>0.3</v>
      </c>
      <c r="Q9842" s="11">
        <v>2</v>
      </c>
      <c r="R9842" s="11"/>
      <c r="S9842" s="11"/>
      <c r="T9842" s="11"/>
      <c r="U9842" s="11">
        <f t="shared" si="2674"/>
        <v>2</v>
      </c>
      <c r="W9842">
        <v>2.2000000000000002</v>
      </c>
      <c r="X9842" s="1" t="s">
        <v>22</v>
      </c>
    </row>
    <row r="9843" spans="1:24" x14ac:dyDescent="0.25">
      <c r="A9843" s="1" t="str">
        <f t="shared" si="2677"/>
        <v>卡卡杜-凤凰仓</v>
      </c>
      <c r="B9843" s="1" t="str">
        <f>"CK2024100550-2"</f>
        <v>CK2024100550-2</v>
      </c>
      <c r="C9843" s="1" t="str">
        <f>"DD2024100526676"</f>
        <v>DD2024100526676</v>
      </c>
      <c r="D9843" s="1" t="str">
        <f>"CK2024100526595"</f>
        <v>CK2024100526595</v>
      </c>
      <c r="E9843" s="1" t="str">
        <f>"6917831029595013013"</f>
        <v>6917831029595013013</v>
      </c>
      <c r="F9843" s="1" t="str">
        <f t="shared" si="2678"/>
        <v>花都四部-凤凰仓</v>
      </c>
      <c r="G9843" s="1" t="str">
        <f t="shared" si="2675"/>
        <v>卡卡杜个人护理店（抖店）</v>
      </c>
      <c r="H9843" s="1" t="str">
        <f t="shared" si="2679"/>
        <v>正常订单</v>
      </c>
      <c r="I9843" s="1" t="str">
        <f t="shared" si="2680"/>
        <v>已发货</v>
      </c>
      <c r="J9843" s="1" t="str">
        <f t="shared" si="2681"/>
        <v>2</v>
      </c>
      <c r="K9843" s="1">
        <v>1</v>
      </c>
      <c r="L9843" s="1" t="s">
        <v>20</v>
      </c>
      <c r="M9843" s="1" t="str">
        <f>"浙江省 宁波市 海曙区 古林镇"</f>
        <v>浙江省 宁波市 海曙区 古林镇</v>
      </c>
      <c r="N9843" s="1" t="str">
        <f t="shared" si="2676"/>
        <v>凡华云仓-韵达-抖音</v>
      </c>
      <c r="O9843" s="5">
        <v>320156471535840</v>
      </c>
      <c r="P9843" s="6">
        <v>0.3</v>
      </c>
      <c r="Q9843" s="11">
        <v>2</v>
      </c>
      <c r="R9843" s="11"/>
      <c r="S9843" s="11"/>
      <c r="T9843" s="11"/>
      <c r="U9843" s="11">
        <f t="shared" si="2674"/>
        <v>2</v>
      </c>
      <c r="W9843">
        <v>2.2000000000000002</v>
      </c>
      <c r="X9843" s="1" t="s">
        <v>20</v>
      </c>
    </row>
    <row r="9844" spans="1:24" x14ac:dyDescent="0.25">
      <c r="A9844" s="1" t="str">
        <f t="shared" si="2677"/>
        <v>卡卡杜-凤凰仓</v>
      </c>
      <c r="B9844" s="1" t="str">
        <f>"CK2024100547-2"</f>
        <v>CK2024100547-2</v>
      </c>
      <c r="C9844" s="1" t="str">
        <f>"DD2024100526675"</f>
        <v>DD2024100526675</v>
      </c>
      <c r="D9844" s="1" t="str">
        <f>"CK2024100526594"</f>
        <v>CK2024100526594</v>
      </c>
      <c r="E9844" s="1" t="str">
        <f>"6917829048772558781"</f>
        <v>6917829048772558781</v>
      </c>
      <c r="F9844" s="1" t="str">
        <f t="shared" si="2678"/>
        <v>花都四部-凤凰仓</v>
      </c>
      <c r="G9844" s="1" t="str">
        <f t="shared" si="2675"/>
        <v>卡卡杜个人护理店（抖店）</v>
      </c>
      <c r="H9844" s="1" t="str">
        <f t="shared" si="2679"/>
        <v>正常订单</v>
      </c>
      <c r="I9844" s="1" t="str">
        <f t="shared" si="2680"/>
        <v>已发货</v>
      </c>
      <c r="J9844" s="1" t="str">
        <f t="shared" si="2681"/>
        <v>2</v>
      </c>
      <c r="K9844" s="1">
        <v>1</v>
      </c>
      <c r="L9844" s="1" t="s">
        <v>18</v>
      </c>
      <c r="M9844" s="1" t="str">
        <f>"广东省 河源市 源城区 东埔街道"</f>
        <v>广东省 河源市 源城区 东埔街道</v>
      </c>
      <c r="N9844" s="1" t="str">
        <f t="shared" si="2676"/>
        <v>凡华云仓-韵达-抖音</v>
      </c>
      <c r="O9844" s="5">
        <v>320156471535737</v>
      </c>
      <c r="P9844" s="6">
        <v>0.3</v>
      </c>
      <c r="Q9844" s="11">
        <v>2</v>
      </c>
      <c r="R9844" s="11"/>
      <c r="S9844" s="11"/>
      <c r="T9844" s="11"/>
      <c r="U9844" s="11">
        <f t="shared" si="2674"/>
        <v>2</v>
      </c>
      <c r="W9844">
        <v>2.2000000000000002</v>
      </c>
      <c r="X9844" s="1" t="s">
        <v>18</v>
      </c>
    </row>
    <row r="9845" spans="1:24" x14ac:dyDescent="0.25">
      <c r="A9845" s="1" t="str">
        <f t="shared" si="2677"/>
        <v>卡卡杜-凤凰仓</v>
      </c>
      <c r="B9845" s="1" t="str">
        <f>"CK2024100554-1"</f>
        <v>CK2024100554-1</v>
      </c>
      <c r="C9845" s="1" t="str">
        <f>"DD2024100526799"</f>
        <v>DD2024100526799</v>
      </c>
      <c r="D9845" s="1" t="str">
        <f>"CK2024100526593"</f>
        <v>CK2024100526593</v>
      </c>
      <c r="E9845" s="1" t="str">
        <f>"6917831663484697915"</f>
        <v>6917831663484697915</v>
      </c>
      <c r="F9845" s="1" t="str">
        <f t="shared" si="2678"/>
        <v>花都四部-凤凰仓</v>
      </c>
      <c r="G9845" s="1" t="str">
        <f t="shared" si="2675"/>
        <v>卡卡杜个人护理店（抖店）</v>
      </c>
      <c r="H9845" s="1" t="str">
        <f t="shared" si="2679"/>
        <v>正常订单</v>
      </c>
      <c r="I9845" s="1" t="str">
        <f t="shared" si="2680"/>
        <v>已发货</v>
      </c>
      <c r="J9845" s="1" t="str">
        <f>"6"</f>
        <v>6</v>
      </c>
      <c r="K9845" s="1">
        <v>1</v>
      </c>
      <c r="L9845" s="1" t="s">
        <v>24</v>
      </c>
      <c r="M9845" s="1" t="str">
        <f>"福建省 福州市 仓山区 建新镇"</f>
        <v>福建省 福州市 仓山区 建新镇</v>
      </c>
      <c r="N9845" s="1" t="str">
        <f t="shared" si="2676"/>
        <v>凡华云仓-韵达-抖音</v>
      </c>
      <c r="O9845" s="5">
        <v>320156471535636</v>
      </c>
      <c r="P9845" s="6">
        <v>0.87</v>
      </c>
      <c r="Q9845" s="11">
        <f>CEILING(P9845-0.5,0.1)*10*0.15+2.3</f>
        <v>2.9</v>
      </c>
      <c r="R9845" s="11"/>
      <c r="S9845" s="11"/>
      <c r="T9845" s="11"/>
      <c r="U9845" s="11">
        <f t="shared" si="2674"/>
        <v>2.9</v>
      </c>
      <c r="V9845" t="s">
        <v>15</v>
      </c>
      <c r="W9845">
        <v>2.9</v>
      </c>
      <c r="X9845" s="1" t="s">
        <v>24</v>
      </c>
    </row>
    <row r="9846" spans="1:24" x14ac:dyDescent="0.25">
      <c r="A9846" s="1" t="str">
        <f t="shared" si="2677"/>
        <v>卡卡杜-凤凰仓</v>
      </c>
      <c r="B9846" s="1" t="str">
        <f>"CK2024100553-1"</f>
        <v>CK2024100553-1</v>
      </c>
      <c r="C9846" s="1" t="str">
        <f>"DD2024100526798"</f>
        <v>DD2024100526798</v>
      </c>
      <c r="D9846" s="1" t="str">
        <f>"CK2024100526592"</f>
        <v>CK2024100526592</v>
      </c>
      <c r="E9846" s="1" t="str">
        <f>"6917833682913099064"</f>
        <v>6917833682913099064</v>
      </c>
      <c r="F9846" s="1" t="str">
        <f t="shared" si="2678"/>
        <v>花都四部-凤凰仓</v>
      </c>
      <c r="G9846" s="1" t="str">
        <f t="shared" si="2675"/>
        <v>卡卡杜个人护理店（抖店）</v>
      </c>
      <c r="H9846" s="1" t="str">
        <f t="shared" si="2679"/>
        <v>正常订单</v>
      </c>
      <c r="I9846" s="1" t="str">
        <f t="shared" si="2680"/>
        <v>已发货</v>
      </c>
      <c r="J9846" s="1" t="str">
        <f>"6"</f>
        <v>6</v>
      </c>
      <c r="K9846" s="1">
        <v>1</v>
      </c>
      <c r="L9846" s="1" t="s">
        <v>24</v>
      </c>
      <c r="M9846" s="1" t="str">
        <f>"福建省 福州市 仓山区 建新镇"</f>
        <v>福建省 福州市 仓山区 建新镇</v>
      </c>
      <c r="N9846" s="1" t="str">
        <f t="shared" si="2676"/>
        <v>凡华云仓-韵达-抖音</v>
      </c>
      <c r="O9846" s="5">
        <v>320156471535537</v>
      </c>
      <c r="P9846" s="6">
        <v>0.87</v>
      </c>
      <c r="Q9846" s="11">
        <f>CEILING(P9846-0.5,0.1)*10*0.15+2.3</f>
        <v>2.9</v>
      </c>
      <c r="R9846" s="11"/>
      <c r="S9846" s="11"/>
      <c r="T9846" s="11"/>
      <c r="U9846" s="11">
        <f t="shared" si="2674"/>
        <v>2.9</v>
      </c>
      <c r="V9846" t="s">
        <v>15</v>
      </c>
      <c r="W9846">
        <v>2.9</v>
      </c>
      <c r="X9846" s="1" t="s">
        <v>24</v>
      </c>
    </row>
    <row r="9847" spans="1:24" x14ac:dyDescent="0.25">
      <c r="A9847" s="1" t="str">
        <f t="shared" si="2677"/>
        <v>卡卡杜-凤凰仓</v>
      </c>
      <c r="B9847" s="1" t="str">
        <f>"CK2024100552-2"</f>
        <v>CK2024100552-2</v>
      </c>
      <c r="C9847" s="1" t="str">
        <f>"DD2024100526674"</f>
        <v>DD2024100526674</v>
      </c>
      <c r="D9847" s="1" t="str">
        <f>"CK2024100526591"</f>
        <v>CK2024100526591</v>
      </c>
      <c r="E9847" s="1" t="str">
        <f>"6917827038618680522"</f>
        <v>6917827038618680522</v>
      </c>
      <c r="F9847" s="1" t="str">
        <f t="shared" si="2678"/>
        <v>花都四部-凤凰仓</v>
      </c>
      <c r="G9847" s="1" t="str">
        <f t="shared" si="2675"/>
        <v>卡卡杜个人护理店（抖店）</v>
      </c>
      <c r="H9847" s="1" t="str">
        <f t="shared" si="2679"/>
        <v>正常订单</v>
      </c>
      <c r="I9847" s="1" t="str">
        <f t="shared" si="2680"/>
        <v>已发货</v>
      </c>
      <c r="J9847" s="1" t="str">
        <f t="shared" ref="J9847:J9865" si="2682">"2"</f>
        <v>2</v>
      </c>
      <c r="K9847" s="1">
        <v>1</v>
      </c>
      <c r="L9847" s="1" t="s">
        <v>94</v>
      </c>
      <c r="M9847" s="1" t="str">
        <f>"湖南省 长沙市 雨花区 圭塘街道"</f>
        <v>湖南省 长沙市 雨花区 圭塘街道</v>
      </c>
      <c r="N9847" s="1" t="str">
        <f t="shared" si="2676"/>
        <v>凡华云仓-韵达-抖音</v>
      </c>
      <c r="O9847" s="5">
        <v>320156471535440</v>
      </c>
      <c r="P9847" s="6">
        <v>0.3</v>
      </c>
      <c r="Q9847" s="11">
        <v>2</v>
      </c>
      <c r="R9847" s="11"/>
      <c r="S9847" s="11"/>
      <c r="T9847" s="11"/>
      <c r="U9847" s="11">
        <f t="shared" si="2674"/>
        <v>2</v>
      </c>
      <c r="W9847">
        <v>2.2000000000000002</v>
      </c>
      <c r="X9847" s="1" t="s">
        <v>94</v>
      </c>
    </row>
    <row r="9848" spans="1:24" x14ac:dyDescent="0.25">
      <c r="A9848" s="1" t="str">
        <f t="shared" si="2677"/>
        <v>卡卡杜-凤凰仓</v>
      </c>
      <c r="B9848" s="1" t="str">
        <f>"CK2024100545-2"</f>
        <v>CK2024100545-2</v>
      </c>
      <c r="C9848" s="1" t="str">
        <f>"DD2024100526677"</f>
        <v>DD2024100526677</v>
      </c>
      <c r="D9848" s="1" t="str">
        <f>"CK2024100526590"</f>
        <v>CK2024100526590</v>
      </c>
      <c r="E9848" s="1" t="str">
        <f>"6917828912297180424"</f>
        <v>6917828912297180424</v>
      </c>
      <c r="F9848" s="1" t="str">
        <f t="shared" si="2678"/>
        <v>花都四部-凤凰仓</v>
      </c>
      <c r="G9848" s="1" t="str">
        <f t="shared" si="2675"/>
        <v>卡卡杜个人护理店（抖店）</v>
      </c>
      <c r="H9848" s="1" t="str">
        <f t="shared" si="2679"/>
        <v>正常订单</v>
      </c>
      <c r="I9848" s="1" t="str">
        <f t="shared" si="2680"/>
        <v>已发货</v>
      </c>
      <c r="J9848" s="1" t="str">
        <f t="shared" si="2682"/>
        <v>2</v>
      </c>
      <c r="K9848" s="1">
        <v>1</v>
      </c>
      <c r="L9848" s="1" t="s">
        <v>74</v>
      </c>
      <c r="M9848" s="1" t="str">
        <f>"上海 上海市 黄浦区 打浦桥街道"</f>
        <v>上海 上海市 黄浦区 打浦桥街道</v>
      </c>
      <c r="N9848" s="1" t="str">
        <f t="shared" si="2676"/>
        <v>凡华云仓-韵达-抖音</v>
      </c>
      <c r="O9848" s="5">
        <v>320156471535345</v>
      </c>
      <c r="P9848" s="6">
        <v>0.3</v>
      </c>
      <c r="Q9848" s="11">
        <v>2</v>
      </c>
      <c r="R9848" s="11"/>
      <c r="S9848" s="11"/>
      <c r="T9848" s="11"/>
      <c r="U9848" s="11">
        <f t="shared" si="2674"/>
        <v>2</v>
      </c>
      <c r="W9848">
        <v>2.2000000000000002</v>
      </c>
      <c r="X9848" s="1" t="s">
        <v>74</v>
      </c>
    </row>
    <row r="9849" spans="1:24" x14ac:dyDescent="0.25">
      <c r="A9849" s="1" t="str">
        <f t="shared" si="2677"/>
        <v>卡卡杜-凤凰仓</v>
      </c>
      <c r="B9849" s="1" t="str">
        <f>"CK2024100538-2"</f>
        <v>CK2024100538-2</v>
      </c>
      <c r="C9849" s="1" t="str">
        <f>"DD2024100526678"</f>
        <v>DD2024100526678</v>
      </c>
      <c r="D9849" s="1" t="str">
        <f>"CK2024100526589"</f>
        <v>CK2024100526589</v>
      </c>
      <c r="E9849" s="1" t="str">
        <f>"6917823664973971173"</f>
        <v>6917823664973971173</v>
      </c>
      <c r="F9849" s="1" t="str">
        <f t="shared" si="2678"/>
        <v>花都四部-凤凰仓</v>
      </c>
      <c r="G9849" s="1" t="str">
        <f t="shared" si="2675"/>
        <v>卡卡杜个人护理店（抖店）</v>
      </c>
      <c r="H9849" s="1" t="str">
        <f t="shared" si="2679"/>
        <v>正常订单</v>
      </c>
      <c r="I9849" s="1" t="str">
        <f t="shared" si="2680"/>
        <v>已发货</v>
      </c>
      <c r="J9849" s="1" t="str">
        <f t="shared" si="2682"/>
        <v>2</v>
      </c>
      <c r="K9849" s="1">
        <v>1</v>
      </c>
      <c r="L9849" s="1" t="s">
        <v>94</v>
      </c>
      <c r="M9849" s="1" t="str">
        <f>"湖南省 长沙市 浏阳市 大瑶镇"</f>
        <v>湖南省 长沙市 浏阳市 大瑶镇</v>
      </c>
      <c r="N9849" s="1" t="str">
        <f t="shared" si="2676"/>
        <v>凡华云仓-韵达-抖音</v>
      </c>
      <c r="O9849" s="5">
        <v>320156464764917</v>
      </c>
      <c r="P9849" s="6">
        <v>0.3</v>
      </c>
      <c r="Q9849" s="11">
        <v>2</v>
      </c>
      <c r="R9849" s="11"/>
      <c r="S9849" s="11"/>
      <c r="T9849" s="11"/>
      <c r="U9849" s="11">
        <f t="shared" si="2674"/>
        <v>2</v>
      </c>
      <c r="W9849">
        <v>2.2000000000000002</v>
      </c>
      <c r="X9849" s="1" t="s">
        <v>94</v>
      </c>
    </row>
    <row r="9850" spans="1:24" x14ac:dyDescent="0.25">
      <c r="A9850" s="1" t="str">
        <f t="shared" si="2677"/>
        <v>卡卡杜-凤凰仓</v>
      </c>
      <c r="B9850" s="1" t="str">
        <f>"CK2024100536-2"</f>
        <v>CK2024100536-2</v>
      </c>
      <c r="C9850" s="1" t="str">
        <f>"DD2024100526681"</f>
        <v>DD2024100526681</v>
      </c>
      <c r="D9850" s="1" t="str">
        <f>"CK2024100526588"</f>
        <v>CK2024100526588</v>
      </c>
      <c r="E9850" s="1" t="str">
        <f>"6917823551576505833"</f>
        <v>6917823551576505833</v>
      </c>
      <c r="F9850" s="1" t="str">
        <f t="shared" si="2678"/>
        <v>花都四部-凤凰仓</v>
      </c>
      <c r="G9850" s="1" t="str">
        <f t="shared" si="2675"/>
        <v>卡卡杜个人护理店（抖店）</v>
      </c>
      <c r="H9850" s="1" t="str">
        <f t="shared" si="2679"/>
        <v>正常订单</v>
      </c>
      <c r="I9850" s="1" t="str">
        <f t="shared" si="2680"/>
        <v>已发货</v>
      </c>
      <c r="J9850" s="1" t="str">
        <f t="shared" si="2682"/>
        <v>2</v>
      </c>
      <c r="K9850" s="1">
        <v>1</v>
      </c>
      <c r="L9850" s="1" t="s">
        <v>41</v>
      </c>
      <c r="M9850" s="1" t="str">
        <f>"湖北省 武汉市 硚口区 荣华街道"</f>
        <v>湖北省 武汉市 硚口区 荣华街道</v>
      </c>
      <c r="N9850" s="1" t="str">
        <f t="shared" si="2676"/>
        <v>凡华云仓-韵达-抖音</v>
      </c>
      <c r="O9850" s="5">
        <v>320156464764812</v>
      </c>
      <c r="P9850" s="6">
        <v>0.3</v>
      </c>
      <c r="Q9850" s="11">
        <v>2</v>
      </c>
      <c r="R9850" s="11"/>
      <c r="S9850" s="11"/>
      <c r="T9850" s="11"/>
      <c r="U9850" s="11">
        <f t="shared" si="2674"/>
        <v>2</v>
      </c>
      <c r="W9850">
        <v>2.2000000000000002</v>
      </c>
      <c r="X9850" s="1" t="s">
        <v>41</v>
      </c>
    </row>
    <row r="9851" spans="1:24" x14ac:dyDescent="0.25">
      <c r="A9851" s="1" t="str">
        <f t="shared" si="2677"/>
        <v>卡卡杜-凤凰仓</v>
      </c>
      <c r="B9851" s="1" t="str">
        <f>"CK2024100540-2"</f>
        <v>CK2024100540-2</v>
      </c>
      <c r="C9851" s="1" t="str">
        <f>"DD2024100526679"</f>
        <v>DD2024100526679</v>
      </c>
      <c r="D9851" s="1" t="str">
        <f>"CK2024100526587"</f>
        <v>CK2024100526587</v>
      </c>
      <c r="E9851" s="1" t="str">
        <f>"6917814398734466279"</f>
        <v>6917814398734466279</v>
      </c>
      <c r="F9851" s="1" t="str">
        <f t="shared" si="2678"/>
        <v>花都四部-凤凰仓</v>
      </c>
      <c r="G9851" s="1" t="str">
        <f t="shared" si="2675"/>
        <v>卡卡杜个人护理店（抖店）</v>
      </c>
      <c r="H9851" s="1" t="str">
        <f t="shared" si="2679"/>
        <v>正常订单</v>
      </c>
      <c r="I9851" s="1" t="str">
        <f t="shared" si="2680"/>
        <v>已发货</v>
      </c>
      <c r="J9851" s="1" t="str">
        <f t="shared" si="2682"/>
        <v>2</v>
      </c>
      <c r="K9851" s="1">
        <v>1</v>
      </c>
      <c r="L9851" s="1" t="s">
        <v>60</v>
      </c>
      <c r="M9851" s="1" t="str">
        <f>"云南省 曲靖市 师宗县 龙庆乡"</f>
        <v>云南省 曲靖市 师宗县 龙庆乡</v>
      </c>
      <c r="N9851" s="1" t="str">
        <f t="shared" si="2676"/>
        <v>凡华云仓-韵达-抖音</v>
      </c>
      <c r="O9851" s="5">
        <v>320156464764709</v>
      </c>
      <c r="P9851" s="6">
        <v>0.3</v>
      </c>
      <c r="Q9851" s="11">
        <v>2</v>
      </c>
      <c r="R9851" s="11"/>
      <c r="S9851" s="11"/>
      <c r="T9851" s="11"/>
      <c r="U9851" s="11">
        <f t="shared" si="2674"/>
        <v>2</v>
      </c>
      <c r="W9851">
        <v>2.2000000000000002</v>
      </c>
      <c r="X9851" s="1" t="s">
        <v>60</v>
      </c>
    </row>
    <row r="9852" spans="1:24" x14ac:dyDescent="0.25">
      <c r="A9852" s="1" t="str">
        <f t="shared" si="2677"/>
        <v>卡卡杜-凤凰仓</v>
      </c>
      <c r="B9852" s="1" t="str">
        <f>"CK2024100541-2"</f>
        <v>CK2024100541-2</v>
      </c>
      <c r="C9852" s="1" t="str">
        <f>"DD2024100526680"</f>
        <v>DD2024100526680</v>
      </c>
      <c r="D9852" s="1" t="str">
        <f>"CK2024100526586"</f>
        <v>CK2024100526586</v>
      </c>
      <c r="E9852" s="1" t="str">
        <f>"6917823789728234994"</f>
        <v>6917823789728234994</v>
      </c>
      <c r="F9852" s="1" t="str">
        <f t="shared" si="2678"/>
        <v>花都四部-凤凰仓</v>
      </c>
      <c r="G9852" s="1" t="str">
        <f t="shared" si="2675"/>
        <v>卡卡杜个人护理店（抖店）</v>
      </c>
      <c r="H9852" s="1" t="str">
        <f t="shared" si="2679"/>
        <v>正常订单</v>
      </c>
      <c r="I9852" s="1" t="str">
        <f t="shared" si="2680"/>
        <v>已发货</v>
      </c>
      <c r="J9852" s="1" t="str">
        <f t="shared" si="2682"/>
        <v>2</v>
      </c>
      <c r="K9852" s="1">
        <v>1</v>
      </c>
      <c r="L9852" s="1" t="s">
        <v>13</v>
      </c>
      <c r="M9852" s="1" t="str">
        <f>"江苏省 无锡市 江阴市 临港街道"</f>
        <v>江苏省 无锡市 江阴市 临港街道</v>
      </c>
      <c r="N9852" s="1" t="str">
        <f t="shared" si="2676"/>
        <v>凡华云仓-韵达-抖音</v>
      </c>
      <c r="O9852" s="5">
        <v>320156464764608</v>
      </c>
      <c r="P9852" s="6">
        <v>0.3</v>
      </c>
      <c r="Q9852" s="11">
        <v>2</v>
      </c>
      <c r="R9852" s="11"/>
      <c r="S9852" s="11"/>
      <c r="T9852" s="11"/>
      <c r="U9852" s="11">
        <f t="shared" si="2674"/>
        <v>2</v>
      </c>
      <c r="W9852">
        <v>2.2000000000000002</v>
      </c>
      <c r="X9852" s="1" t="s">
        <v>13</v>
      </c>
    </row>
    <row r="9853" spans="1:24" x14ac:dyDescent="0.25">
      <c r="A9853" s="1" t="str">
        <f t="shared" si="2677"/>
        <v>卡卡杜-凤凰仓</v>
      </c>
      <c r="B9853" s="1" t="str">
        <f>"CK2024100539-2"</f>
        <v>CK2024100539-2</v>
      </c>
      <c r="C9853" s="1" t="str">
        <f>"DD2024100526682"</f>
        <v>DD2024100526682</v>
      </c>
      <c r="D9853" s="1" t="str">
        <f>"CK2024100526585"</f>
        <v>CK2024100526585</v>
      </c>
      <c r="E9853" s="1" t="str">
        <f>"6917823877064850443"</f>
        <v>6917823877064850443</v>
      </c>
      <c r="F9853" s="1" t="str">
        <f t="shared" si="2678"/>
        <v>花都四部-凤凰仓</v>
      </c>
      <c r="G9853" s="1" t="str">
        <f t="shared" si="2675"/>
        <v>卡卡杜个人护理店（抖店）</v>
      </c>
      <c r="H9853" s="1" t="str">
        <f t="shared" si="2679"/>
        <v>正常订单</v>
      </c>
      <c r="I9853" s="1" t="str">
        <f t="shared" si="2680"/>
        <v>已发货</v>
      </c>
      <c r="J9853" s="1" t="str">
        <f t="shared" si="2682"/>
        <v>2</v>
      </c>
      <c r="K9853" s="1">
        <v>1</v>
      </c>
      <c r="L9853" s="1" t="s">
        <v>18</v>
      </c>
      <c r="M9853" s="1" t="str">
        <f>"广东省 汕头市 龙湖区 "</f>
        <v xml:space="preserve">广东省 汕头市 龙湖区 </v>
      </c>
      <c r="N9853" s="1" t="str">
        <f t="shared" si="2676"/>
        <v>凡华云仓-韵达-抖音</v>
      </c>
      <c r="O9853" s="5">
        <v>320156464764509</v>
      </c>
      <c r="P9853" s="6">
        <v>0.3</v>
      </c>
      <c r="Q9853" s="11">
        <v>2</v>
      </c>
      <c r="R9853" s="11"/>
      <c r="S9853" s="11"/>
      <c r="T9853" s="11"/>
      <c r="U9853" s="11">
        <f t="shared" si="2674"/>
        <v>2</v>
      </c>
      <c r="W9853">
        <v>2.2000000000000002</v>
      </c>
      <c r="X9853" s="1" t="s">
        <v>18</v>
      </c>
    </row>
    <row r="9854" spans="1:24" x14ac:dyDescent="0.25">
      <c r="A9854" s="1" t="str">
        <f t="shared" si="2677"/>
        <v>卡卡杜-凤凰仓</v>
      </c>
      <c r="B9854" s="1" t="str">
        <f>"CK2024100542-2"</f>
        <v>CK2024100542-2</v>
      </c>
      <c r="C9854" s="1" t="str">
        <f>"DD2024100526683"</f>
        <v>DD2024100526683</v>
      </c>
      <c r="D9854" s="1" t="str">
        <f>"CK2024100526584"</f>
        <v>CK2024100526584</v>
      </c>
      <c r="E9854" s="1" t="str">
        <f>"6917816606029282754"</f>
        <v>6917816606029282754</v>
      </c>
      <c r="F9854" s="1" t="str">
        <f t="shared" si="2678"/>
        <v>花都四部-凤凰仓</v>
      </c>
      <c r="G9854" s="1" t="str">
        <f t="shared" si="2675"/>
        <v>卡卡杜个人护理店（抖店）</v>
      </c>
      <c r="H9854" s="1" t="str">
        <f t="shared" si="2679"/>
        <v>正常订单</v>
      </c>
      <c r="I9854" s="1" t="str">
        <f t="shared" si="2680"/>
        <v>已发货</v>
      </c>
      <c r="J9854" s="1" t="str">
        <f t="shared" si="2682"/>
        <v>2</v>
      </c>
      <c r="K9854" s="1">
        <v>1</v>
      </c>
      <c r="L9854" s="1" t="s">
        <v>36</v>
      </c>
      <c r="M9854" s="1" t="str">
        <f>"安徽省 阜阳市 颍上县 慎城镇"</f>
        <v>安徽省 阜阳市 颍上县 慎城镇</v>
      </c>
      <c r="N9854" s="1" t="str">
        <f t="shared" si="2676"/>
        <v>凡华云仓-韵达-抖音</v>
      </c>
      <c r="O9854" s="5">
        <v>320156464764412</v>
      </c>
      <c r="P9854" s="6">
        <v>0.3</v>
      </c>
      <c r="Q9854" s="11">
        <v>2</v>
      </c>
      <c r="R9854" s="11"/>
      <c r="S9854" s="11"/>
      <c r="T9854" s="11"/>
      <c r="U9854" s="11">
        <f t="shared" si="2674"/>
        <v>2</v>
      </c>
      <c r="W9854">
        <v>2.2000000000000002</v>
      </c>
      <c r="X9854" s="1" t="s">
        <v>36</v>
      </c>
    </row>
    <row r="9855" spans="1:24" x14ac:dyDescent="0.25">
      <c r="A9855" s="1" t="str">
        <f t="shared" si="2677"/>
        <v>卡卡杜-凤凰仓</v>
      </c>
      <c r="B9855" s="1" t="str">
        <f>"CK2024100551-2"</f>
        <v>CK2024100551-2</v>
      </c>
      <c r="C9855" s="1" t="str">
        <f>"DD2024100526684"</f>
        <v>DD2024100526684</v>
      </c>
      <c r="D9855" s="1" t="str">
        <f>"CK2024100526583"</f>
        <v>CK2024100526583</v>
      </c>
      <c r="E9855" s="1" t="str">
        <f>"6917813788712140656"</f>
        <v>6917813788712140656</v>
      </c>
      <c r="F9855" s="1" t="str">
        <f t="shared" si="2678"/>
        <v>花都四部-凤凰仓</v>
      </c>
      <c r="G9855" s="1" t="str">
        <f t="shared" si="2675"/>
        <v>卡卡杜个人护理店（抖店）</v>
      </c>
      <c r="H9855" s="1" t="str">
        <f t="shared" si="2679"/>
        <v>正常订单</v>
      </c>
      <c r="I9855" s="1" t="str">
        <f t="shared" si="2680"/>
        <v>已发货</v>
      </c>
      <c r="J9855" s="1" t="str">
        <f t="shared" si="2682"/>
        <v>2</v>
      </c>
      <c r="K9855" s="1">
        <v>1</v>
      </c>
      <c r="L9855" s="1" t="s">
        <v>13</v>
      </c>
      <c r="M9855" s="1" t="str">
        <f>"江苏省 常州市 溧阳市 竹箦镇"</f>
        <v>江苏省 常州市 溧阳市 竹箦镇</v>
      </c>
      <c r="N9855" s="1" t="str">
        <f t="shared" si="2676"/>
        <v>凡华云仓-韵达-抖音</v>
      </c>
      <c r="O9855" s="5">
        <v>320156464764317</v>
      </c>
      <c r="P9855" s="6">
        <v>0.3</v>
      </c>
      <c r="Q9855" s="11">
        <v>2</v>
      </c>
      <c r="R9855" s="11"/>
      <c r="S9855" s="11"/>
      <c r="T9855" s="11"/>
      <c r="U9855" s="11">
        <f t="shared" si="2674"/>
        <v>2</v>
      </c>
      <c r="W9855">
        <v>2.2000000000000002</v>
      </c>
      <c r="X9855" s="1" t="s">
        <v>13</v>
      </c>
    </row>
    <row r="9856" spans="1:24" x14ac:dyDescent="0.25">
      <c r="A9856" s="1" t="str">
        <f t="shared" si="2677"/>
        <v>卡卡杜-凤凰仓</v>
      </c>
      <c r="B9856" s="1" t="str">
        <f>"CK2024100544-2"</f>
        <v>CK2024100544-2</v>
      </c>
      <c r="C9856" s="1" t="str">
        <f>"DD2024100526687"</f>
        <v>DD2024100526687</v>
      </c>
      <c r="D9856" s="1" t="str">
        <f>"CK2024100526582"</f>
        <v>CK2024100526582</v>
      </c>
      <c r="E9856" s="1" t="str">
        <f>"6917813709943504704"</f>
        <v>6917813709943504704</v>
      </c>
      <c r="F9856" s="1" t="str">
        <f t="shared" si="2678"/>
        <v>花都四部-凤凰仓</v>
      </c>
      <c r="G9856" s="1" t="str">
        <f t="shared" si="2675"/>
        <v>卡卡杜个人护理店（抖店）</v>
      </c>
      <c r="H9856" s="1" t="str">
        <f t="shared" si="2679"/>
        <v>正常订单</v>
      </c>
      <c r="I9856" s="1" t="str">
        <f t="shared" si="2680"/>
        <v>已发货</v>
      </c>
      <c r="J9856" s="1" t="str">
        <f t="shared" si="2682"/>
        <v>2</v>
      </c>
      <c r="K9856" s="1">
        <v>1</v>
      </c>
      <c r="L9856" s="1" t="s">
        <v>13</v>
      </c>
      <c r="M9856" s="1" t="str">
        <f>"江苏省 盐城市 滨海县 东坎街道"</f>
        <v>江苏省 盐城市 滨海县 东坎街道</v>
      </c>
      <c r="N9856" s="1" t="str">
        <f t="shared" si="2676"/>
        <v>凡华云仓-韵达-抖音</v>
      </c>
      <c r="O9856" s="5">
        <v>320156464764224</v>
      </c>
      <c r="P9856" s="6">
        <v>0.3</v>
      </c>
      <c r="Q9856" s="11">
        <v>2</v>
      </c>
      <c r="R9856" s="11"/>
      <c r="S9856" s="11"/>
      <c r="T9856" s="11"/>
      <c r="U9856" s="11">
        <f t="shared" si="2674"/>
        <v>2</v>
      </c>
      <c r="W9856">
        <v>2.2000000000000002</v>
      </c>
      <c r="X9856" s="1" t="s">
        <v>13</v>
      </c>
    </row>
    <row r="9857" spans="1:24" x14ac:dyDescent="0.25">
      <c r="A9857" s="1" t="str">
        <f t="shared" si="2677"/>
        <v>卡卡杜-凤凰仓</v>
      </c>
      <c r="B9857" s="1" t="str">
        <f>"CK2024100543-2"</f>
        <v>CK2024100543-2</v>
      </c>
      <c r="C9857" s="1" t="str">
        <f>"DD2024100526685"</f>
        <v>DD2024100526685</v>
      </c>
      <c r="D9857" s="1" t="str">
        <f>"CK2024100526581"</f>
        <v>CK2024100526581</v>
      </c>
      <c r="E9857" s="1" t="str">
        <f>"6917815415223975879"</f>
        <v>6917815415223975879</v>
      </c>
      <c r="F9857" s="1" t="str">
        <f t="shared" si="2678"/>
        <v>花都四部-凤凰仓</v>
      </c>
      <c r="G9857" s="1" t="str">
        <f t="shared" si="2675"/>
        <v>卡卡杜个人护理店（抖店）</v>
      </c>
      <c r="H9857" s="1" t="str">
        <f t="shared" si="2679"/>
        <v>正常订单</v>
      </c>
      <c r="I9857" s="1" t="str">
        <f t="shared" si="2680"/>
        <v>已发货</v>
      </c>
      <c r="J9857" s="1" t="str">
        <f t="shared" si="2682"/>
        <v>2</v>
      </c>
      <c r="K9857" s="1">
        <v>1</v>
      </c>
      <c r="L9857" s="1" t="s">
        <v>80</v>
      </c>
      <c r="M9857" s="1" t="str">
        <f>"河南省 周口市 沈丘县 槐店回族镇"</f>
        <v>河南省 周口市 沈丘县 槐店回族镇</v>
      </c>
      <c r="N9857" s="1" t="str">
        <f t="shared" si="2676"/>
        <v>凡华云仓-韵达-抖音</v>
      </c>
      <c r="O9857" s="5">
        <v>320156464764133</v>
      </c>
      <c r="P9857" s="6">
        <v>0.3</v>
      </c>
      <c r="Q9857" s="11">
        <v>2</v>
      </c>
      <c r="R9857" s="11"/>
      <c r="S9857" s="11"/>
      <c r="T9857" s="11"/>
      <c r="U9857" s="11">
        <f t="shared" si="2674"/>
        <v>2</v>
      </c>
      <c r="W9857">
        <v>2.2000000000000002</v>
      </c>
      <c r="X9857" s="1" t="s">
        <v>80</v>
      </c>
    </row>
    <row r="9858" spans="1:24" x14ac:dyDescent="0.25">
      <c r="A9858" s="1" t="str">
        <f t="shared" si="2677"/>
        <v>卡卡杜-凤凰仓</v>
      </c>
      <c r="B9858" s="1" t="str">
        <f>"CK2024100537-2"</f>
        <v>CK2024100537-2</v>
      </c>
      <c r="C9858" s="1" t="str">
        <f>"DD2024100526686"</f>
        <v>DD2024100526686</v>
      </c>
      <c r="D9858" s="1" t="str">
        <f>"CK2024100526580"</f>
        <v>CK2024100526580</v>
      </c>
      <c r="E9858" s="1" t="str">
        <f>"6917807120439737514"</f>
        <v>6917807120439737514</v>
      </c>
      <c r="F9858" s="1" t="str">
        <f t="shared" si="2678"/>
        <v>花都四部-凤凰仓</v>
      </c>
      <c r="G9858" s="1" t="str">
        <f t="shared" si="2675"/>
        <v>卡卡杜个人护理店（抖店）</v>
      </c>
      <c r="H9858" s="1" t="str">
        <f t="shared" si="2679"/>
        <v>正常订单</v>
      </c>
      <c r="I9858" s="1" t="str">
        <f t="shared" si="2680"/>
        <v>已发货</v>
      </c>
      <c r="J9858" s="1" t="str">
        <f t="shared" si="2682"/>
        <v>2</v>
      </c>
      <c r="K9858" s="1">
        <v>1</v>
      </c>
      <c r="L9858" s="1" t="s">
        <v>18</v>
      </c>
      <c r="M9858" s="1" t="str">
        <f>"广东省 珠海市 香洲区 拱北街道"</f>
        <v>广东省 珠海市 香洲区 拱北街道</v>
      </c>
      <c r="N9858" s="1" t="str">
        <f t="shared" si="2676"/>
        <v>凡华云仓-韵达-抖音</v>
      </c>
      <c r="O9858" s="5">
        <v>320156464764044</v>
      </c>
      <c r="P9858" s="6">
        <v>0.3</v>
      </c>
      <c r="Q9858" s="11">
        <v>2</v>
      </c>
      <c r="R9858" s="11"/>
      <c r="S9858" s="11"/>
      <c r="T9858" s="11"/>
      <c r="U9858" s="11">
        <f t="shared" si="2674"/>
        <v>2</v>
      </c>
      <c r="W9858">
        <v>2.2000000000000002</v>
      </c>
      <c r="X9858" s="1" t="s">
        <v>18</v>
      </c>
    </row>
    <row r="9859" spans="1:24" x14ac:dyDescent="0.25">
      <c r="A9859" s="1" t="str">
        <f t="shared" si="2677"/>
        <v>卡卡杜-凤凰仓</v>
      </c>
      <c r="B9859" s="1" t="str">
        <f>"CK2024100546-2"</f>
        <v>CK2024100546-2</v>
      </c>
      <c r="C9859" s="1" t="str">
        <f>"DD2024100526688"</f>
        <v>DD2024100526688</v>
      </c>
      <c r="D9859" s="1" t="str">
        <f>"CK2024100526579"</f>
        <v>CK2024100526579</v>
      </c>
      <c r="E9859" s="1" t="str">
        <f>"6917817135415983274"</f>
        <v>6917817135415983274</v>
      </c>
      <c r="F9859" s="1" t="str">
        <f t="shared" si="2678"/>
        <v>花都四部-凤凰仓</v>
      </c>
      <c r="G9859" s="1" t="str">
        <f t="shared" si="2675"/>
        <v>卡卡杜个人护理店（抖店）</v>
      </c>
      <c r="H9859" s="1" t="str">
        <f t="shared" si="2679"/>
        <v>正常订单</v>
      </c>
      <c r="I9859" s="1" t="str">
        <f t="shared" si="2680"/>
        <v>已发货</v>
      </c>
      <c r="J9859" s="1" t="str">
        <f t="shared" si="2682"/>
        <v>2</v>
      </c>
      <c r="K9859" s="1">
        <v>1</v>
      </c>
      <c r="L9859" s="1" t="s">
        <v>18</v>
      </c>
      <c r="M9859" s="1" t="str">
        <f>"广东省 珠海市 香洲区 拱北街道"</f>
        <v>广东省 珠海市 香洲区 拱北街道</v>
      </c>
      <c r="N9859" s="1" t="str">
        <f t="shared" si="2676"/>
        <v>凡华云仓-韵达-抖音</v>
      </c>
      <c r="O9859" s="5">
        <v>320156478365050</v>
      </c>
      <c r="P9859" s="6">
        <v>0.3</v>
      </c>
      <c r="Q9859" s="11">
        <v>2</v>
      </c>
      <c r="R9859" s="11"/>
      <c r="S9859" s="11"/>
      <c r="T9859" s="11"/>
      <c r="U9859" s="11">
        <f t="shared" ref="U9859:U9922" si="2683">T9859+S9859+R9859+Q9859</f>
        <v>2</v>
      </c>
      <c r="W9859">
        <v>2.2000000000000002</v>
      </c>
      <c r="X9859" s="1" t="s">
        <v>18</v>
      </c>
    </row>
    <row r="9860" spans="1:24" x14ac:dyDescent="0.25">
      <c r="A9860" s="1" t="str">
        <f t="shared" si="2677"/>
        <v>卡卡杜-凤凰仓</v>
      </c>
      <c r="B9860" s="1" t="str">
        <f>"CK2024100548-2"</f>
        <v>CK2024100548-2</v>
      </c>
      <c r="C9860" s="1" t="str">
        <f>"DD2024100526689"</f>
        <v>DD2024100526689</v>
      </c>
      <c r="D9860" s="1" t="str">
        <f>"CK2024100526578"</f>
        <v>CK2024100526578</v>
      </c>
      <c r="E9860" s="1" t="str">
        <f>"6917814630930611519"</f>
        <v>6917814630930611519</v>
      </c>
      <c r="F9860" s="1" t="str">
        <f t="shared" si="2678"/>
        <v>花都四部-凤凰仓</v>
      </c>
      <c r="G9860" s="1" t="str">
        <f t="shared" si="2675"/>
        <v>卡卡杜个人护理店（抖店）</v>
      </c>
      <c r="H9860" s="1" t="str">
        <f t="shared" si="2679"/>
        <v>正常订单</v>
      </c>
      <c r="I9860" s="1" t="str">
        <f t="shared" si="2680"/>
        <v>已发货</v>
      </c>
      <c r="J9860" s="1" t="str">
        <f t="shared" si="2682"/>
        <v>2</v>
      </c>
      <c r="K9860" s="1">
        <v>1</v>
      </c>
      <c r="L9860" s="1" t="s">
        <v>13</v>
      </c>
      <c r="M9860" s="1" t="str">
        <f>"江苏省 苏州市 昆山市 玉山镇"</f>
        <v>江苏省 苏州市 昆山市 玉山镇</v>
      </c>
      <c r="N9860" s="1" t="str">
        <f t="shared" si="2676"/>
        <v>凡华云仓-韵达-抖音</v>
      </c>
      <c r="O9860" s="5">
        <v>320156478364926</v>
      </c>
      <c r="P9860" s="6">
        <v>0.3</v>
      </c>
      <c r="Q9860" s="11">
        <v>2</v>
      </c>
      <c r="R9860" s="11"/>
      <c r="S9860" s="11"/>
      <c r="T9860" s="11"/>
      <c r="U9860" s="11">
        <f t="shared" si="2683"/>
        <v>2</v>
      </c>
      <c r="W9860">
        <v>2.2000000000000002</v>
      </c>
      <c r="X9860" s="1" t="s">
        <v>13</v>
      </c>
    </row>
    <row r="9861" spans="1:24" x14ac:dyDescent="0.25">
      <c r="A9861" s="1" t="str">
        <f t="shared" si="2677"/>
        <v>卡卡杜-凤凰仓</v>
      </c>
      <c r="B9861" s="1" t="str">
        <f>"CK2024100501"</f>
        <v>CK2024100501</v>
      </c>
      <c r="C9861" s="1" t="str">
        <f>"DD202410051823"</f>
        <v>DD202410051823</v>
      </c>
      <c r="D9861" s="1" t="str">
        <f>"CK2024100516331"</f>
        <v>CK2024100516331</v>
      </c>
      <c r="E9861" s="1" t="str">
        <f>"3723093617168486400"</f>
        <v>3723093617168486400</v>
      </c>
      <c r="F9861" s="1" t="str">
        <f t="shared" si="2678"/>
        <v>花都四部-凤凰仓</v>
      </c>
      <c r="G9861" s="1" t="str">
        <f t="shared" ref="G9861:G9888" si="2684">"卡卡杜企业店（视频号）"</f>
        <v>卡卡杜企业店（视频号）</v>
      </c>
      <c r="H9861" s="1" t="str">
        <f t="shared" si="2679"/>
        <v>正常订单</v>
      </c>
      <c r="I9861" s="1" t="str">
        <f t="shared" si="2680"/>
        <v>已发货</v>
      </c>
      <c r="J9861" s="1" t="str">
        <f t="shared" si="2682"/>
        <v>2</v>
      </c>
      <c r="K9861" s="1">
        <v>2</v>
      </c>
      <c r="L9861" s="1" t="s">
        <v>74</v>
      </c>
      <c r="M9861" s="1" t="str">
        <f>"上海 上海市 金山区 "</f>
        <v xml:space="preserve">上海 上海市 金山区 </v>
      </c>
      <c r="N9861" s="1" t="str">
        <f t="shared" ref="N9861:N9888" si="2685">"凡华云仓-韵达-微信视频号"</f>
        <v>凡华云仓-韵达-微信视频号</v>
      </c>
      <c r="O9861" s="5">
        <v>315011983021153</v>
      </c>
      <c r="P9861" s="6">
        <v>0.28000000000000003</v>
      </c>
      <c r="Q9861" s="11">
        <v>2</v>
      </c>
      <c r="R9861" s="11"/>
      <c r="S9861" s="11"/>
      <c r="T9861" s="11"/>
      <c r="U9861" s="11">
        <f t="shared" si="2683"/>
        <v>2</v>
      </c>
      <c r="W9861">
        <v>2.2000000000000002</v>
      </c>
      <c r="X9861" s="1" t="s">
        <v>74</v>
      </c>
    </row>
    <row r="9862" spans="1:24" x14ac:dyDescent="0.25">
      <c r="A9862" s="1" t="str">
        <f t="shared" si="2677"/>
        <v>卡卡杜-凤凰仓</v>
      </c>
      <c r="B9862" s="1" t="str">
        <f>"CK2024100503"</f>
        <v>CK2024100503</v>
      </c>
      <c r="C9862" s="1" t="str">
        <f>"DD202410051822"</f>
        <v>DD202410051822</v>
      </c>
      <c r="D9862" s="1" t="str">
        <f>"CK2024100516330"</f>
        <v>CK2024100516330</v>
      </c>
      <c r="E9862" s="1" t="str">
        <f>"3723093496859067904"</f>
        <v>3723093496859067904</v>
      </c>
      <c r="F9862" s="1" t="str">
        <f t="shared" si="2678"/>
        <v>花都四部-凤凰仓</v>
      </c>
      <c r="G9862" s="1" t="str">
        <f t="shared" si="2684"/>
        <v>卡卡杜企业店（视频号）</v>
      </c>
      <c r="H9862" s="1" t="str">
        <f t="shared" si="2679"/>
        <v>正常订单</v>
      </c>
      <c r="I9862" s="1" t="str">
        <f t="shared" si="2680"/>
        <v>已发货</v>
      </c>
      <c r="J9862" s="1" t="str">
        <f t="shared" si="2682"/>
        <v>2</v>
      </c>
      <c r="K9862" s="1">
        <v>2</v>
      </c>
      <c r="L9862" s="1" t="s">
        <v>74</v>
      </c>
      <c r="M9862" s="1" t="str">
        <f>"上海 上海市 杨浦区 "</f>
        <v xml:space="preserve">上海 上海市 杨浦区 </v>
      </c>
      <c r="N9862" s="1" t="str">
        <f t="shared" si="2685"/>
        <v>凡华云仓-韵达-微信视频号</v>
      </c>
      <c r="O9862" s="5">
        <v>315011983016416</v>
      </c>
      <c r="P9862" s="6">
        <v>0.28000000000000003</v>
      </c>
      <c r="Q9862" s="11">
        <v>2</v>
      </c>
      <c r="R9862" s="11"/>
      <c r="S9862" s="11"/>
      <c r="T9862" s="11"/>
      <c r="U9862" s="11">
        <f t="shared" si="2683"/>
        <v>2</v>
      </c>
      <c r="W9862">
        <v>2.2000000000000002</v>
      </c>
      <c r="X9862" s="1" t="s">
        <v>74</v>
      </c>
    </row>
    <row r="9863" spans="1:24" x14ac:dyDescent="0.25">
      <c r="A9863" s="1" t="str">
        <f t="shared" si="2677"/>
        <v>卡卡杜-凤凰仓</v>
      </c>
      <c r="B9863" s="1" t="str">
        <f>"CK2024100504"</f>
        <v>CK2024100504</v>
      </c>
      <c r="C9863" s="1" t="str">
        <f>"DD202410051819"</f>
        <v>DD202410051819</v>
      </c>
      <c r="D9863" s="1" t="str">
        <f>"CK2024100516329"</f>
        <v>CK2024100516329</v>
      </c>
      <c r="E9863" s="1" t="str">
        <f>"3723093288409236992"</f>
        <v>3723093288409236992</v>
      </c>
      <c r="F9863" s="1" t="str">
        <f t="shared" si="2678"/>
        <v>花都四部-凤凰仓</v>
      </c>
      <c r="G9863" s="1" t="str">
        <f t="shared" si="2684"/>
        <v>卡卡杜企业店（视频号）</v>
      </c>
      <c r="H9863" s="1" t="str">
        <f t="shared" si="2679"/>
        <v>正常订单</v>
      </c>
      <c r="I9863" s="1" t="str">
        <f t="shared" si="2680"/>
        <v>已发货</v>
      </c>
      <c r="J9863" s="1" t="str">
        <f t="shared" si="2682"/>
        <v>2</v>
      </c>
      <c r="K9863" s="1">
        <v>2</v>
      </c>
      <c r="L9863" s="1" t="s">
        <v>18</v>
      </c>
      <c r="M9863" s="1" t="str">
        <f>"广东省 深圳市 龙岗区 "</f>
        <v xml:space="preserve">广东省 深圳市 龙岗区 </v>
      </c>
      <c r="N9863" s="1" t="str">
        <f t="shared" si="2685"/>
        <v>凡华云仓-韵达-微信视频号</v>
      </c>
      <c r="O9863" s="5">
        <v>315011983011841</v>
      </c>
      <c r="P9863" s="6">
        <v>0.28000000000000003</v>
      </c>
      <c r="Q9863" s="11">
        <v>2</v>
      </c>
      <c r="R9863" s="11"/>
      <c r="S9863" s="11"/>
      <c r="T9863" s="11"/>
      <c r="U9863" s="11">
        <f t="shared" si="2683"/>
        <v>2</v>
      </c>
      <c r="W9863">
        <v>2.2000000000000002</v>
      </c>
      <c r="X9863" s="1" t="s">
        <v>18</v>
      </c>
    </row>
    <row r="9864" spans="1:24" x14ac:dyDescent="0.25">
      <c r="A9864" s="1" t="str">
        <f t="shared" si="2677"/>
        <v>卡卡杜-凤凰仓</v>
      </c>
      <c r="B9864" s="1" t="str">
        <f>"CK2024100505"</f>
        <v>CK2024100505</v>
      </c>
      <c r="C9864" s="1" t="str">
        <f>"DD202410051821"</f>
        <v>DD202410051821</v>
      </c>
      <c r="D9864" s="1" t="str">
        <f>"CK2024100516328"</f>
        <v>CK2024100516328</v>
      </c>
      <c r="E9864" s="1" t="str">
        <f>"3723093154951468032"</f>
        <v>3723093154951468032</v>
      </c>
      <c r="F9864" s="1" t="str">
        <f t="shared" si="2678"/>
        <v>花都四部-凤凰仓</v>
      </c>
      <c r="G9864" s="1" t="str">
        <f t="shared" si="2684"/>
        <v>卡卡杜企业店（视频号）</v>
      </c>
      <c r="H9864" s="1" t="str">
        <f t="shared" si="2679"/>
        <v>正常订单</v>
      </c>
      <c r="I9864" s="1" t="str">
        <f t="shared" si="2680"/>
        <v>已发货</v>
      </c>
      <c r="J9864" s="1" t="str">
        <f t="shared" si="2682"/>
        <v>2</v>
      </c>
      <c r="K9864" s="1">
        <v>2</v>
      </c>
      <c r="L9864" s="1" t="s">
        <v>105</v>
      </c>
      <c r="M9864" s="1" t="str">
        <f>"北京 北京市 海淀区 "</f>
        <v xml:space="preserve">北京 北京市 海淀区 </v>
      </c>
      <c r="N9864" s="1" t="str">
        <f t="shared" si="2685"/>
        <v>凡华云仓-韵达-微信视频号</v>
      </c>
      <c r="O9864" s="5">
        <v>315011983006332</v>
      </c>
      <c r="P9864" s="6">
        <v>0.28000000000000003</v>
      </c>
      <c r="Q9864" s="11">
        <v>2</v>
      </c>
      <c r="R9864" s="11"/>
      <c r="S9864" s="11"/>
      <c r="T9864" s="11"/>
      <c r="U9864" s="11">
        <f t="shared" si="2683"/>
        <v>2</v>
      </c>
      <c r="W9864">
        <v>2.2000000000000002</v>
      </c>
      <c r="X9864" s="1" t="s">
        <v>105</v>
      </c>
    </row>
    <row r="9865" spans="1:24" x14ac:dyDescent="0.25">
      <c r="A9865" s="1" t="str">
        <f t="shared" si="2677"/>
        <v>卡卡杜-凤凰仓</v>
      </c>
      <c r="B9865" s="1" t="str">
        <f>"CK2024100506"</f>
        <v>CK2024100506</v>
      </c>
      <c r="C9865" s="1" t="str">
        <f>"DD202410051820"</f>
        <v>DD202410051820</v>
      </c>
      <c r="D9865" s="1" t="str">
        <f>"CK2024100516327"</f>
        <v>CK2024100516327</v>
      </c>
      <c r="E9865" s="1" t="str">
        <f>"3723093119042192896"</f>
        <v>3723093119042192896</v>
      </c>
      <c r="F9865" s="1" t="str">
        <f t="shared" si="2678"/>
        <v>花都四部-凤凰仓</v>
      </c>
      <c r="G9865" s="1" t="str">
        <f t="shared" si="2684"/>
        <v>卡卡杜企业店（视频号）</v>
      </c>
      <c r="H9865" s="1" t="str">
        <f t="shared" si="2679"/>
        <v>正常订单</v>
      </c>
      <c r="I9865" s="1" t="str">
        <f t="shared" si="2680"/>
        <v>已发货</v>
      </c>
      <c r="J9865" s="1" t="str">
        <f t="shared" si="2682"/>
        <v>2</v>
      </c>
      <c r="K9865" s="1">
        <v>2</v>
      </c>
      <c r="L9865" s="1" t="s">
        <v>13</v>
      </c>
      <c r="M9865" s="1" t="str">
        <f>"江苏省 南京市 江宁区 "</f>
        <v xml:space="preserve">江苏省 南京市 江宁区 </v>
      </c>
      <c r="N9865" s="1" t="str">
        <f t="shared" si="2685"/>
        <v>凡华云仓-韵达-微信视频号</v>
      </c>
      <c r="O9865" s="5">
        <v>315011983002075</v>
      </c>
      <c r="P9865" s="6">
        <v>0.28000000000000003</v>
      </c>
      <c r="Q9865" s="11">
        <v>2</v>
      </c>
      <c r="R9865" s="11"/>
      <c r="S9865" s="11"/>
      <c r="T9865" s="11"/>
      <c r="U9865" s="11">
        <f t="shared" si="2683"/>
        <v>2</v>
      </c>
      <c r="W9865">
        <v>2.2000000000000002</v>
      </c>
      <c r="X9865" s="1" t="s">
        <v>13</v>
      </c>
    </row>
    <row r="9866" spans="1:24" x14ac:dyDescent="0.25">
      <c r="A9866" s="1" t="str">
        <f t="shared" si="2677"/>
        <v>卡卡杜-凤凰仓</v>
      </c>
      <c r="B9866" s="1" t="str">
        <f>"CK2024100507"</f>
        <v>CK2024100507</v>
      </c>
      <c r="C9866" s="1" t="str">
        <f>"DD202410051825"</f>
        <v>DD202410051825</v>
      </c>
      <c r="D9866" s="1" t="str">
        <f>"CK2024100516326"</f>
        <v>CK2024100516326</v>
      </c>
      <c r="E9866" s="1" t="str">
        <f>"3723093072565113856"</f>
        <v>3723093072565113856</v>
      </c>
      <c r="F9866" s="1" t="str">
        <f t="shared" si="2678"/>
        <v>花都四部-凤凰仓</v>
      </c>
      <c r="G9866" s="1" t="str">
        <f t="shared" si="2684"/>
        <v>卡卡杜企业店（视频号）</v>
      </c>
      <c r="H9866" s="1" t="str">
        <f t="shared" si="2679"/>
        <v>正常订单</v>
      </c>
      <c r="I9866" s="1" t="str">
        <f t="shared" si="2680"/>
        <v>已发货</v>
      </c>
      <c r="J9866" s="1" t="str">
        <f>"4"</f>
        <v>4</v>
      </c>
      <c r="K9866" s="1">
        <v>2</v>
      </c>
      <c r="L9866" s="1" t="s">
        <v>74</v>
      </c>
      <c r="M9866" s="1" t="str">
        <f>"上海 上海市 闵行区 "</f>
        <v xml:space="preserve">上海 上海市 闵行区 </v>
      </c>
      <c r="N9866" s="1" t="str">
        <f t="shared" si="2685"/>
        <v>凡华云仓-韵达-微信视频号</v>
      </c>
      <c r="O9866" s="5">
        <v>315011982997578</v>
      </c>
      <c r="P9866" s="6">
        <v>0.52</v>
      </c>
      <c r="Q9866" s="11">
        <f>CEILING(P9866-0.5,0.1)*10*0.15+2.3</f>
        <v>2.4499999999999997</v>
      </c>
      <c r="R9866" s="11"/>
      <c r="S9866" s="11"/>
      <c r="T9866" s="11"/>
      <c r="U9866" s="11">
        <f t="shared" si="2683"/>
        <v>2.4499999999999997</v>
      </c>
      <c r="V9866" t="s">
        <v>15</v>
      </c>
      <c r="W9866">
        <v>2.4500000000000002</v>
      </c>
      <c r="X9866" s="1" t="s">
        <v>74</v>
      </c>
    </row>
    <row r="9867" spans="1:24" x14ac:dyDescent="0.25">
      <c r="A9867" s="1" t="str">
        <f t="shared" si="2677"/>
        <v>卡卡杜-凤凰仓</v>
      </c>
      <c r="B9867" s="1" t="str">
        <f>"CK2024100508"</f>
        <v>CK2024100508</v>
      </c>
      <c r="C9867" s="1" t="str">
        <f>"DD202410051826"</f>
        <v>DD202410051826</v>
      </c>
      <c r="D9867" s="1" t="str">
        <f>"CK2024100516325"</f>
        <v>CK2024100516325</v>
      </c>
      <c r="E9867" s="1" t="str">
        <f>"3723092491024075776"</f>
        <v>3723092491024075776</v>
      </c>
      <c r="F9867" s="1" t="str">
        <f t="shared" si="2678"/>
        <v>花都四部-凤凰仓</v>
      </c>
      <c r="G9867" s="1" t="str">
        <f t="shared" si="2684"/>
        <v>卡卡杜企业店（视频号）</v>
      </c>
      <c r="H9867" s="1" t="str">
        <f t="shared" si="2679"/>
        <v>正常订单</v>
      </c>
      <c r="I9867" s="1" t="str">
        <f t="shared" si="2680"/>
        <v>已发货</v>
      </c>
      <c r="J9867" s="1" t="str">
        <f t="shared" ref="J9867:J9872" si="2686">"2"</f>
        <v>2</v>
      </c>
      <c r="K9867" s="1">
        <v>2</v>
      </c>
      <c r="L9867" s="1" t="s">
        <v>18</v>
      </c>
      <c r="M9867" s="1" t="str">
        <f>"广东省 广州市 番禺区 "</f>
        <v xml:space="preserve">广东省 广州市 番禺区 </v>
      </c>
      <c r="N9867" s="1" t="str">
        <f t="shared" si="2685"/>
        <v>凡华云仓-韵达-微信视频号</v>
      </c>
      <c r="O9867" s="5">
        <v>315011982989016</v>
      </c>
      <c r="P9867" s="6">
        <v>0.28000000000000003</v>
      </c>
      <c r="Q9867" s="11">
        <v>2</v>
      </c>
      <c r="R9867" s="11"/>
      <c r="S9867" s="11"/>
      <c r="T9867" s="11"/>
      <c r="U9867" s="11">
        <f t="shared" si="2683"/>
        <v>2</v>
      </c>
      <c r="W9867">
        <v>2.2000000000000002</v>
      </c>
      <c r="X9867" s="1" t="s">
        <v>18</v>
      </c>
    </row>
    <row r="9868" spans="1:24" x14ac:dyDescent="0.25">
      <c r="A9868" s="1" t="str">
        <f t="shared" si="2677"/>
        <v>卡卡杜-凤凰仓</v>
      </c>
      <c r="B9868" s="1" t="str">
        <f>"CK2024100509"</f>
        <v>CK2024100509</v>
      </c>
      <c r="C9868" s="1" t="str">
        <f>"DD202410051824"</f>
        <v>DD202410051824</v>
      </c>
      <c r="D9868" s="1" t="str">
        <f>"CK2024100516324"</f>
        <v>CK2024100516324</v>
      </c>
      <c r="E9868" s="1" t="str">
        <f>"3723091307448374272"</f>
        <v>3723091307448374272</v>
      </c>
      <c r="F9868" s="1" t="str">
        <f t="shared" si="2678"/>
        <v>花都四部-凤凰仓</v>
      </c>
      <c r="G9868" s="1" t="str">
        <f t="shared" si="2684"/>
        <v>卡卡杜企业店（视频号）</v>
      </c>
      <c r="H9868" s="1" t="str">
        <f t="shared" si="2679"/>
        <v>正常订单</v>
      </c>
      <c r="I9868" s="1" t="str">
        <f t="shared" si="2680"/>
        <v>已发货</v>
      </c>
      <c r="J9868" s="1" t="str">
        <f t="shared" si="2686"/>
        <v>2</v>
      </c>
      <c r="K9868" s="1">
        <v>2</v>
      </c>
      <c r="L9868" s="1" t="s">
        <v>13</v>
      </c>
      <c r="M9868" s="1" t="str">
        <f>"江苏省 无锡市 梁溪区 "</f>
        <v xml:space="preserve">江苏省 无锡市 梁溪区 </v>
      </c>
      <c r="N9868" s="1" t="str">
        <f t="shared" si="2685"/>
        <v>凡华云仓-韵达-微信视频号</v>
      </c>
      <c r="O9868" s="5">
        <v>315011982982588</v>
      </c>
      <c r="P9868" s="6">
        <v>0.28000000000000003</v>
      </c>
      <c r="Q9868" s="11">
        <v>2</v>
      </c>
      <c r="R9868" s="11"/>
      <c r="S9868" s="11"/>
      <c r="T9868" s="11"/>
      <c r="U9868" s="11">
        <f t="shared" si="2683"/>
        <v>2</v>
      </c>
      <c r="W9868">
        <v>2.2000000000000002</v>
      </c>
      <c r="X9868" s="1" t="s">
        <v>13</v>
      </c>
    </row>
    <row r="9869" spans="1:24" x14ac:dyDescent="0.25">
      <c r="A9869" s="1" t="str">
        <f t="shared" si="2677"/>
        <v>卡卡杜-凤凰仓</v>
      </c>
      <c r="B9869" s="1" t="str">
        <f>"CK2024100511"</f>
        <v>CK2024100511</v>
      </c>
      <c r="C9869" s="1" t="str">
        <f>"DD202410051827"</f>
        <v>DD202410051827</v>
      </c>
      <c r="D9869" s="1" t="str">
        <f>"CK2024100516323"</f>
        <v>CK2024100516323</v>
      </c>
      <c r="E9869" s="1" t="str">
        <f>"3723089169276081152"</f>
        <v>3723089169276081152</v>
      </c>
      <c r="F9869" s="1" t="str">
        <f t="shared" si="2678"/>
        <v>花都四部-凤凰仓</v>
      </c>
      <c r="G9869" s="1" t="str">
        <f t="shared" si="2684"/>
        <v>卡卡杜企业店（视频号）</v>
      </c>
      <c r="H9869" s="1" t="str">
        <f t="shared" si="2679"/>
        <v>正常订单</v>
      </c>
      <c r="I9869" s="1" t="str">
        <f t="shared" si="2680"/>
        <v>已发货</v>
      </c>
      <c r="J9869" s="1" t="str">
        <f>"4"</f>
        <v>4</v>
      </c>
      <c r="K9869" s="1">
        <v>2</v>
      </c>
      <c r="L9869" s="1" t="s">
        <v>44</v>
      </c>
      <c r="M9869" s="1" t="str">
        <f>"海南省 海口市 琼山区 "</f>
        <v xml:space="preserve">海南省 海口市 琼山区 </v>
      </c>
      <c r="N9869" s="1" t="str">
        <f t="shared" si="2685"/>
        <v>凡华云仓-韵达-微信视频号</v>
      </c>
      <c r="O9869" s="5">
        <v>315011982975194</v>
      </c>
      <c r="P9869" s="6">
        <v>0.52</v>
      </c>
      <c r="Q9869" s="11">
        <f>CEILING(P9869-0.5,0.1)*10*0.15+2.3</f>
        <v>2.4499999999999997</v>
      </c>
      <c r="R9869" s="11"/>
      <c r="S9869" s="11"/>
      <c r="T9869" s="11"/>
      <c r="U9869" s="11">
        <f t="shared" si="2683"/>
        <v>2.4499999999999997</v>
      </c>
      <c r="V9869" t="s">
        <v>15</v>
      </c>
      <c r="W9869">
        <v>2.4500000000000002</v>
      </c>
      <c r="X9869" s="1" t="s">
        <v>44</v>
      </c>
    </row>
    <row r="9870" spans="1:24" x14ac:dyDescent="0.25">
      <c r="A9870" s="1" t="str">
        <f t="shared" si="2677"/>
        <v>卡卡杜-凤凰仓</v>
      </c>
      <c r="B9870" s="1" t="str">
        <f>"CK2024100512"</f>
        <v>CK2024100512</v>
      </c>
      <c r="C9870" s="1" t="str">
        <f>"DD202410051828"</f>
        <v>DD202410051828</v>
      </c>
      <c r="D9870" s="1" t="str">
        <f>"CK2024100516322"</f>
        <v>CK2024100516322</v>
      </c>
      <c r="E9870" s="1" t="str">
        <f>"3723087653013685760"</f>
        <v>3723087653013685760</v>
      </c>
      <c r="F9870" s="1" t="str">
        <f t="shared" si="2678"/>
        <v>花都四部-凤凰仓</v>
      </c>
      <c r="G9870" s="1" t="str">
        <f t="shared" si="2684"/>
        <v>卡卡杜企业店（视频号）</v>
      </c>
      <c r="H9870" s="1" t="str">
        <f t="shared" si="2679"/>
        <v>正常订单</v>
      </c>
      <c r="I9870" s="1" t="str">
        <f t="shared" si="2680"/>
        <v>已发货</v>
      </c>
      <c r="J9870" s="1" t="str">
        <f t="shared" si="2686"/>
        <v>2</v>
      </c>
      <c r="K9870" s="1">
        <v>2</v>
      </c>
      <c r="L9870" s="1" t="s">
        <v>218</v>
      </c>
      <c r="M9870" s="1" t="str">
        <f>"天津 天津市 南开区 "</f>
        <v xml:space="preserve">天津 天津市 南开区 </v>
      </c>
      <c r="N9870" s="1" t="str">
        <f t="shared" si="2685"/>
        <v>凡华云仓-韵达-微信视频号</v>
      </c>
      <c r="O9870" s="5">
        <v>315011982968671</v>
      </c>
      <c r="P9870" s="6">
        <v>0.28000000000000003</v>
      </c>
      <c r="Q9870" s="11">
        <v>2</v>
      </c>
      <c r="R9870" s="11"/>
      <c r="S9870" s="11"/>
      <c r="T9870" s="11"/>
      <c r="U9870" s="11">
        <f t="shared" si="2683"/>
        <v>2</v>
      </c>
      <c r="W9870">
        <v>2.2000000000000002</v>
      </c>
      <c r="X9870" s="1" t="s">
        <v>218</v>
      </c>
    </row>
    <row r="9871" spans="1:24" x14ac:dyDescent="0.25">
      <c r="A9871" s="1" t="str">
        <f t="shared" si="2677"/>
        <v>卡卡杜-凤凰仓</v>
      </c>
      <c r="B9871" s="1" t="str">
        <f>"CK2024100513"</f>
        <v>CK2024100513</v>
      </c>
      <c r="C9871" s="1" t="str">
        <f>"DD202410051829"</f>
        <v>DD202410051829</v>
      </c>
      <c r="D9871" s="1" t="str">
        <f>"CK2024100516321"</f>
        <v>CK2024100516321</v>
      </c>
      <c r="E9871" s="1" t="str">
        <f>"3723087644704773120"</f>
        <v>3723087644704773120</v>
      </c>
      <c r="F9871" s="1" t="str">
        <f t="shared" si="2678"/>
        <v>花都四部-凤凰仓</v>
      </c>
      <c r="G9871" s="1" t="str">
        <f t="shared" si="2684"/>
        <v>卡卡杜企业店（视频号）</v>
      </c>
      <c r="H9871" s="1" t="str">
        <f t="shared" si="2679"/>
        <v>正常订单</v>
      </c>
      <c r="I9871" s="1" t="str">
        <f t="shared" si="2680"/>
        <v>已发货</v>
      </c>
      <c r="J9871" s="1" t="str">
        <f t="shared" si="2686"/>
        <v>2</v>
      </c>
      <c r="K9871" s="1">
        <v>2</v>
      </c>
      <c r="L9871" s="1" t="s">
        <v>96</v>
      </c>
      <c r="M9871" s="1" t="str">
        <f>"广西壮族自治区 柳州市 鱼峰区 "</f>
        <v xml:space="preserve">广西壮族自治区 柳州市 鱼峰区 </v>
      </c>
      <c r="N9871" s="1" t="str">
        <f t="shared" si="2685"/>
        <v>凡华云仓-韵达-微信视频号</v>
      </c>
      <c r="O9871" s="5">
        <v>315011982962487</v>
      </c>
      <c r="P9871" s="6">
        <v>0.28000000000000003</v>
      </c>
      <c r="Q9871" s="11">
        <v>2</v>
      </c>
      <c r="R9871" s="11"/>
      <c r="S9871" s="11"/>
      <c r="T9871" s="11"/>
      <c r="U9871" s="11">
        <f t="shared" si="2683"/>
        <v>2</v>
      </c>
      <c r="W9871">
        <v>2.2000000000000002</v>
      </c>
      <c r="X9871" s="1" t="s">
        <v>96</v>
      </c>
    </row>
    <row r="9872" spans="1:24" x14ac:dyDescent="0.25">
      <c r="A9872" s="1" t="str">
        <f t="shared" si="2677"/>
        <v>卡卡杜-凤凰仓</v>
      </c>
      <c r="B9872" s="1" t="str">
        <f>"CK2024100514"</f>
        <v>CK2024100514</v>
      </c>
      <c r="C9872" s="1" t="str">
        <f>"DD202410051832"</f>
        <v>DD202410051832</v>
      </c>
      <c r="D9872" s="1" t="str">
        <f>"CK2024100516320"</f>
        <v>CK2024100516320</v>
      </c>
      <c r="E9872" s="1" t="str">
        <f>"3723087151495777280"</f>
        <v>3723087151495777280</v>
      </c>
      <c r="F9872" s="1" t="str">
        <f t="shared" si="2678"/>
        <v>花都四部-凤凰仓</v>
      </c>
      <c r="G9872" s="1" t="str">
        <f t="shared" si="2684"/>
        <v>卡卡杜企业店（视频号）</v>
      </c>
      <c r="H9872" s="1" t="str">
        <f t="shared" si="2679"/>
        <v>正常订单</v>
      </c>
      <c r="I9872" s="1" t="str">
        <f t="shared" si="2680"/>
        <v>已发货</v>
      </c>
      <c r="J9872" s="1" t="str">
        <f t="shared" si="2686"/>
        <v>2</v>
      </c>
      <c r="K9872" s="1">
        <v>2</v>
      </c>
      <c r="L9872" s="1" t="s">
        <v>18</v>
      </c>
      <c r="M9872" s="1" t="str">
        <f>"广东省 广州市 天河区 "</f>
        <v xml:space="preserve">广东省 广州市 天河区 </v>
      </c>
      <c r="N9872" s="1" t="str">
        <f t="shared" si="2685"/>
        <v>凡华云仓-韵达-微信视频号</v>
      </c>
      <c r="O9872" s="5">
        <v>315011982956977</v>
      </c>
      <c r="P9872" s="6">
        <v>0.28000000000000003</v>
      </c>
      <c r="Q9872" s="11">
        <v>2</v>
      </c>
      <c r="R9872" s="11"/>
      <c r="S9872" s="11"/>
      <c r="T9872" s="11"/>
      <c r="U9872" s="11">
        <f t="shared" si="2683"/>
        <v>2</v>
      </c>
      <c r="W9872">
        <v>2.2000000000000002</v>
      </c>
      <c r="X9872" s="1" t="s">
        <v>18</v>
      </c>
    </row>
    <row r="9873" spans="1:24" x14ac:dyDescent="0.25">
      <c r="A9873" s="1" t="str">
        <f t="shared" si="2677"/>
        <v>卡卡杜-凤凰仓</v>
      </c>
      <c r="B9873" s="1" t="str">
        <f>"CK2024100515"</f>
        <v>CK2024100515</v>
      </c>
      <c r="C9873" s="1" t="str">
        <f>"DD202410051830"</f>
        <v>DD202410051830</v>
      </c>
      <c r="D9873" s="1" t="str">
        <f>"CK2024100516319"</f>
        <v>CK2024100516319</v>
      </c>
      <c r="E9873" s="1" t="str">
        <f>"3723086512230106368"</f>
        <v>3723086512230106368</v>
      </c>
      <c r="F9873" s="1" t="str">
        <f t="shared" si="2678"/>
        <v>花都四部-凤凰仓</v>
      </c>
      <c r="G9873" s="1" t="str">
        <f t="shared" si="2684"/>
        <v>卡卡杜企业店（视频号）</v>
      </c>
      <c r="H9873" s="1" t="str">
        <f t="shared" si="2679"/>
        <v>正常订单</v>
      </c>
      <c r="I9873" s="1" t="str">
        <f t="shared" si="2680"/>
        <v>已发货</v>
      </c>
      <c r="J9873" s="1" t="str">
        <f>"4"</f>
        <v>4</v>
      </c>
      <c r="K9873" s="1">
        <v>2</v>
      </c>
      <c r="L9873" s="1" t="s">
        <v>161</v>
      </c>
      <c r="M9873" s="1" t="str">
        <f>"四川省 成都市 龙泉驿区 "</f>
        <v xml:space="preserve">四川省 成都市 龙泉驿区 </v>
      </c>
      <c r="N9873" s="1" t="str">
        <f t="shared" si="2685"/>
        <v>凡华云仓-韵达-微信视频号</v>
      </c>
      <c r="O9873" s="5">
        <v>315011982950313</v>
      </c>
      <c r="P9873" s="6">
        <v>0.52</v>
      </c>
      <c r="Q9873" s="11">
        <f>CEILING(P9873-0.5,0.1)*10*0.15+2.3</f>
        <v>2.4499999999999997</v>
      </c>
      <c r="R9873" s="11"/>
      <c r="S9873" s="11"/>
      <c r="T9873" s="11"/>
      <c r="U9873" s="11">
        <f t="shared" si="2683"/>
        <v>2.4499999999999997</v>
      </c>
      <c r="V9873" t="s">
        <v>15</v>
      </c>
      <c r="W9873">
        <v>2.4500000000000002</v>
      </c>
      <c r="X9873" s="1" t="s">
        <v>161</v>
      </c>
    </row>
    <row r="9874" spans="1:24" x14ac:dyDescent="0.25">
      <c r="A9874" s="1" t="str">
        <f t="shared" si="2677"/>
        <v>卡卡杜-凤凰仓</v>
      </c>
      <c r="B9874" s="1" t="str">
        <f>"CK2024100516"</f>
        <v>CK2024100516</v>
      </c>
      <c r="C9874" s="1" t="str">
        <f>"DD202410051831"</f>
        <v>DD202410051831</v>
      </c>
      <c r="D9874" s="1" t="str">
        <f>"CK2024100516318"</f>
        <v>CK2024100516318</v>
      </c>
      <c r="E9874" s="1" t="str">
        <f>"3723086417313532928"</f>
        <v>3723086417313532928</v>
      </c>
      <c r="F9874" s="1" t="str">
        <f t="shared" si="2678"/>
        <v>花都四部-凤凰仓</v>
      </c>
      <c r="G9874" s="1" t="str">
        <f t="shared" si="2684"/>
        <v>卡卡杜企业店（视频号）</v>
      </c>
      <c r="H9874" s="1" t="str">
        <f t="shared" si="2679"/>
        <v>正常订单</v>
      </c>
      <c r="I9874" s="1" t="str">
        <f t="shared" si="2680"/>
        <v>已发货</v>
      </c>
      <c r="J9874" s="1" t="str">
        <f t="shared" ref="J9874:J9876" si="2687">"2"</f>
        <v>2</v>
      </c>
      <c r="K9874" s="1">
        <v>2</v>
      </c>
      <c r="L9874" s="1" t="s">
        <v>105</v>
      </c>
      <c r="M9874" s="1" t="str">
        <f>"北京 北京市 西城区 "</f>
        <v xml:space="preserve">北京 北京市 西城区 </v>
      </c>
      <c r="N9874" s="1" t="str">
        <f t="shared" si="2685"/>
        <v>凡华云仓-韵达-微信视频号</v>
      </c>
      <c r="O9874" s="5">
        <v>315011982944984</v>
      </c>
      <c r="P9874" s="6">
        <v>0.28000000000000003</v>
      </c>
      <c r="Q9874" s="11">
        <v>2</v>
      </c>
      <c r="R9874" s="11"/>
      <c r="S9874" s="11"/>
      <c r="T9874" s="11"/>
      <c r="U9874" s="11">
        <f t="shared" si="2683"/>
        <v>2</v>
      </c>
      <c r="W9874">
        <v>2.2000000000000002</v>
      </c>
      <c r="X9874" s="1" t="s">
        <v>105</v>
      </c>
    </row>
    <row r="9875" spans="1:24" x14ac:dyDescent="0.25">
      <c r="A9875" s="1" t="str">
        <f t="shared" si="2677"/>
        <v>卡卡杜-凤凰仓</v>
      </c>
      <c r="B9875" s="1" t="str">
        <f>"CK2024100518"</f>
        <v>CK2024100518</v>
      </c>
      <c r="C9875" s="1" t="str">
        <f>"DD202410051833"</f>
        <v>DD202410051833</v>
      </c>
      <c r="D9875" s="1" t="str">
        <f>"CK2024100516317"</f>
        <v>CK2024100516317</v>
      </c>
      <c r="E9875" s="1" t="str">
        <f>"3723086049101351936"</f>
        <v>3723086049101351936</v>
      </c>
      <c r="F9875" s="1" t="str">
        <f t="shared" si="2678"/>
        <v>花都四部-凤凰仓</v>
      </c>
      <c r="G9875" s="1" t="str">
        <f t="shared" si="2684"/>
        <v>卡卡杜企业店（视频号）</v>
      </c>
      <c r="H9875" s="1" t="str">
        <f t="shared" si="2679"/>
        <v>正常订单</v>
      </c>
      <c r="I9875" s="1" t="str">
        <f t="shared" si="2680"/>
        <v>已发货</v>
      </c>
      <c r="J9875" s="1" t="str">
        <f t="shared" si="2687"/>
        <v>2</v>
      </c>
      <c r="K9875" s="1">
        <v>2</v>
      </c>
      <c r="L9875" s="1" t="s">
        <v>18</v>
      </c>
      <c r="M9875" s="1" t="str">
        <f>"广东省 广州市 黄埔区 "</f>
        <v xml:space="preserve">广东省 广州市 黄埔区 </v>
      </c>
      <c r="N9875" s="1" t="str">
        <f t="shared" si="2685"/>
        <v>凡华云仓-韵达-微信视频号</v>
      </c>
      <c r="O9875" s="5">
        <v>315011982938105</v>
      </c>
      <c r="P9875" s="6">
        <v>0.28000000000000003</v>
      </c>
      <c r="Q9875" s="11">
        <v>2</v>
      </c>
      <c r="R9875" s="11"/>
      <c r="S9875" s="11"/>
      <c r="T9875" s="11"/>
      <c r="U9875" s="11">
        <f t="shared" si="2683"/>
        <v>2</v>
      </c>
      <c r="W9875">
        <v>2.2000000000000002</v>
      </c>
      <c r="X9875" s="1" t="s">
        <v>18</v>
      </c>
    </row>
    <row r="9876" spans="1:24" x14ac:dyDescent="0.25">
      <c r="A9876" s="1" t="str">
        <f t="shared" si="2677"/>
        <v>卡卡杜-凤凰仓</v>
      </c>
      <c r="B9876" s="1" t="str">
        <f>"CK2024100519"</f>
        <v>CK2024100519</v>
      </c>
      <c r="C9876" s="1" t="str">
        <f>"DD202410051834"</f>
        <v>DD202410051834</v>
      </c>
      <c r="D9876" s="1" t="str">
        <f>"CK2024100516316"</f>
        <v>CK2024100516316</v>
      </c>
      <c r="E9876" s="1" t="str">
        <f>"3723084962411450368"</f>
        <v>3723084962411450368</v>
      </c>
      <c r="F9876" s="1" t="str">
        <f t="shared" si="2678"/>
        <v>花都四部-凤凰仓</v>
      </c>
      <c r="G9876" s="1" t="str">
        <f t="shared" si="2684"/>
        <v>卡卡杜企业店（视频号）</v>
      </c>
      <c r="H9876" s="1" t="str">
        <f t="shared" si="2679"/>
        <v>正常订单</v>
      </c>
      <c r="I9876" s="1" t="str">
        <f t="shared" si="2680"/>
        <v>已发货</v>
      </c>
      <c r="J9876" s="1" t="str">
        <f t="shared" si="2687"/>
        <v>2</v>
      </c>
      <c r="K9876" s="1">
        <v>2</v>
      </c>
      <c r="L9876" s="1" t="s">
        <v>36</v>
      </c>
      <c r="M9876" s="1" t="str">
        <f>"安徽省 安庆市 潜山市 "</f>
        <v xml:space="preserve">安徽省 安庆市 潜山市 </v>
      </c>
      <c r="N9876" s="1" t="str">
        <f t="shared" si="2685"/>
        <v>凡华云仓-韵达-微信视频号</v>
      </c>
      <c r="O9876" s="5">
        <v>315011983953874</v>
      </c>
      <c r="P9876" s="6">
        <v>0.28000000000000003</v>
      </c>
      <c r="Q9876" s="11">
        <v>2</v>
      </c>
      <c r="R9876" s="11"/>
      <c r="S9876" s="11"/>
      <c r="T9876" s="11"/>
      <c r="U9876" s="11">
        <f t="shared" si="2683"/>
        <v>2</v>
      </c>
      <c r="W9876">
        <v>2.2000000000000002</v>
      </c>
      <c r="X9876" s="1" t="s">
        <v>36</v>
      </c>
    </row>
    <row r="9877" spans="1:24" x14ac:dyDescent="0.25">
      <c r="A9877" s="1" t="str">
        <f t="shared" si="2677"/>
        <v>卡卡杜-凤凰仓</v>
      </c>
      <c r="B9877" s="1" t="str">
        <f>"CK2024100520"</f>
        <v>CK2024100520</v>
      </c>
      <c r="C9877" s="1" t="str">
        <f>"DD202410051835"</f>
        <v>DD202410051835</v>
      </c>
      <c r="D9877" s="1" t="str">
        <f>"CK2024100516315"</f>
        <v>CK2024100516315</v>
      </c>
      <c r="E9877" s="1" t="str">
        <f>"3723084673147602433"</f>
        <v>3723084673147602433</v>
      </c>
      <c r="F9877" s="1" t="str">
        <f t="shared" si="2678"/>
        <v>花都四部-凤凰仓</v>
      </c>
      <c r="G9877" s="1" t="str">
        <f t="shared" si="2684"/>
        <v>卡卡杜企业店（视频号）</v>
      </c>
      <c r="H9877" s="1" t="str">
        <f t="shared" si="2679"/>
        <v>正常订单</v>
      </c>
      <c r="I9877" s="1" t="str">
        <f t="shared" si="2680"/>
        <v>已发货</v>
      </c>
      <c r="J9877" s="1" t="str">
        <f t="shared" ref="J9877:J9882" si="2688">"4"</f>
        <v>4</v>
      </c>
      <c r="K9877" s="1">
        <v>2</v>
      </c>
      <c r="L9877" s="1" t="s">
        <v>44</v>
      </c>
      <c r="M9877" s="1" t="str">
        <f>"海南省 三亚市 吉阳区 "</f>
        <v xml:space="preserve">海南省 三亚市 吉阳区 </v>
      </c>
      <c r="N9877" s="1" t="str">
        <f t="shared" si="2685"/>
        <v>凡华云仓-韵达-微信视频号</v>
      </c>
      <c r="O9877" s="5">
        <v>315011983512029</v>
      </c>
      <c r="P9877" s="6">
        <v>0.52</v>
      </c>
      <c r="Q9877" s="11">
        <f t="shared" ref="Q9877:Q9882" si="2689">CEILING(P9877-0.5,0.1)*10*0.15+2.3</f>
        <v>2.4499999999999997</v>
      </c>
      <c r="R9877" s="11"/>
      <c r="S9877" s="11"/>
      <c r="T9877" s="11"/>
      <c r="U9877" s="11">
        <f t="shared" si="2683"/>
        <v>2.4499999999999997</v>
      </c>
      <c r="V9877" t="s">
        <v>15</v>
      </c>
      <c r="W9877">
        <v>2.4500000000000002</v>
      </c>
      <c r="X9877" s="1" t="s">
        <v>44</v>
      </c>
    </row>
    <row r="9878" spans="1:24" x14ac:dyDescent="0.25">
      <c r="A9878" s="1" t="str">
        <f t="shared" si="2677"/>
        <v>卡卡杜-凤凰仓</v>
      </c>
      <c r="B9878" s="1" t="str">
        <f>"CK2024100522"</f>
        <v>CK2024100522</v>
      </c>
      <c r="C9878" s="1" t="str">
        <f>"DD202410051836"</f>
        <v>DD202410051836</v>
      </c>
      <c r="D9878" s="1" t="str">
        <f>"CK2024100516314"</f>
        <v>CK2024100516314</v>
      </c>
      <c r="E9878" s="1" t="str">
        <f>"3723084402211295232"</f>
        <v>3723084402211295232</v>
      </c>
      <c r="F9878" s="1" t="str">
        <f t="shared" si="2678"/>
        <v>花都四部-凤凰仓</v>
      </c>
      <c r="G9878" s="1" t="str">
        <f t="shared" si="2684"/>
        <v>卡卡杜企业店（视频号）</v>
      </c>
      <c r="H9878" s="1" t="str">
        <f t="shared" si="2679"/>
        <v>正常订单</v>
      </c>
      <c r="I9878" s="1" t="str">
        <f t="shared" si="2680"/>
        <v>已发货</v>
      </c>
      <c r="J9878" s="1" t="str">
        <f t="shared" ref="J9878:J9886" si="2690">"2"</f>
        <v>2</v>
      </c>
      <c r="K9878" s="1">
        <v>2</v>
      </c>
      <c r="L9878" s="1" t="s">
        <v>30</v>
      </c>
      <c r="M9878" s="1" t="str">
        <f>"山东省 临沂市 兰山区 "</f>
        <v xml:space="preserve">山东省 临沂市 兰山区 </v>
      </c>
      <c r="N9878" s="1" t="str">
        <f t="shared" si="2685"/>
        <v>凡华云仓-韵达-微信视频号</v>
      </c>
      <c r="O9878" s="5">
        <v>315011983506397</v>
      </c>
      <c r="P9878" s="6">
        <v>0.28000000000000003</v>
      </c>
      <c r="Q9878" s="11">
        <v>2</v>
      </c>
      <c r="R9878" s="11"/>
      <c r="S9878" s="11"/>
      <c r="T9878" s="11"/>
      <c r="U9878" s="11">
        <f t="shared" si="2683"/>
        <v>2</v>
      </c>
      <c r="W9878">
        <v>2.2000000000000002</v>
      </c>
      <c r="X9878" s="1" t="s">
        <v>30</v>
      </c>
    </row>
    <row r="9879" spans="1:24" x14ac:dyDescent="0.25">
      <c r="A9879" s="1" t="str">
        <f t="shared" si="2677"/>
        <v>卡卡杜-凤凰仓</v>
      </c>
      <c r="B9879" s="1" t="str">
        <f>"CK2024100523"</f>
        <v>CK2024100523</v>
      </c>
      <c r="C9879" s="1" t="str">
        <f>"DD202410051837"</f>
        <v>DD202410051837</v>
      </c>
      <c r="D9879" s="1" t="str">
        <f>"CK2024100516313"</f>
        <v>CK2024100516313</v>
      </c>
      <c r="E9879" s="1" t="str">
        <f>"3723083680266981376"</f>
        <v>3723083680266981376</v>
      </c>
      <c r="F9879" s="1" t="str">
        <f t="shared" si="2678"/>
        <v>花都四部-凤凰仓</v>
      </c>
      <c r="G9879" s="1" t="str">
        <f t="shared" si="2684"/>
        <v>卡卡杜企业店（视频号）</v>
      </c>
      <c r="H9879" s="1" t="str">
        <f t="shared" si="2679"/>
        <v>正常订单</v>
      </c>
      <c r="I9879" s="1" t="str">
        <f t="shared" si="2680"/>
        <v>已发货</v>
      </c>
      <c r="J9879" s="1" t="str">
        <f t="shared" si="2690"/>
        <v>2</v>
      </c>
      <c r="K9879" s="1">
        <v>2</v>
      </c>
      <c r="L9879" s="1" t="s">
        <v>18</v>
      </c>
      <c r="M9879" s="1" t="str">
        <f>"广东省 韶关市 武江区 "</f>
        <v xml:space="preserve">广东省 韶关市 武江区 </v>
      </c>
      <c r="N9879" s="1" t="str">
        <f t="shared" si="2685"/>
        <v>凡华云仓-韵达-微信视频号</v>
      </c>
      <c r="O9879" s="5">
        <v>315011983498668</v>
      </c>
      <c r="P9879" s="6">
        <v>0.28000000000000003</v>
      </c>
      <c r="Q9879" s="11">
        <v>2</v>
      </c>
      <c r="R9879" s="11"/>
      <c r="S9879" s="11"/>
      <c r="T9879" s="11"/>
      <c r="U9879" s="11">
        <f t="shared" si="2683"/>
        <v>2</v>
      </c>
      <c r="W9879">
        <v>2.2000000000000002</v>
      </c>
      <c r="X9879" s="1" t="s">
        <v>18</v>
      </c>
    </row>
    <row r="9880" spans="1:24" x14ac:dyDescent="0.25">
      <c r="A9880" s="1" t="str">
        <f t="shared" si="2677"/>
        <v>卡卡杜-凤凰仓</v>
      </c>
      <c r="B9880" s="1" t="str">
        <f>"CK2024100524"</f>
        <v>CK2024100524</v>
      </c>
      <c r="C9880" s="1" t="str">
        <f>"DD202410051839"</f>
        <v>DD202410051839</v>
      </c>
      <c r="D9880" s="1" t="str">
        <f>"CK2024100516312"</f>
        <v>CK2024100516312</v>
      </c>
      <c r="E9880" s="1" t="str">
        <f>"3723083408851731968"</f>
        <v>3723083408851731968</v>
      </c>
      <c r="F9880" s="1" t="str">
        <f t="shared" si="2678"/>
        <v>花都四部-凤凰仓</v>
      </c>
      <c r="G9880" s="1" t="str">
        <f t="shared" si="2684"/>
        <v>卡卡杜企业店（视频号）</v>
      </c>
      <c r="H9880" s="1" t="str">
        <f t="shared" si="2679"/>
        <v>正常订单</v>
      </c>
      <c r="I9880" s="1" t="str">
        <f t="shared" si="2680"/>
        <v>已发货</v>
      </c>
      <c r="J9880" s="1" t="str">
        <f t="shared" si="2688"/>
        <v>4</v>
      </c>
      <c r="K9880" s="1">
        <v>2</v>
      </c>
      <c r="L9880" s="1" t="s">
        <v>74</v>
      </c>
      <c r="M9880" s="1" t="str">
        <f>"上海 上海市 浦东新区 "</f>
        <v xml:space="preserve">上海 上海市 浦东新区 </v>
      </c>
      <c r="N9880" s="1" t="str">
        <f t="shared" si="2685"/>
        <v>凡华云仓-韵达-微信视频号</v>
      </c>
      <c r="O9880" s="5">
        <v>315011983491893</v>
      </c>
      <c r="P9880" s="6">
        <v>0.52</v>
      </c>
      <c r="Q9880" s="11">
        <f t="shared" si="2689"/>
        <v>2.4499999999999997</v>
      </c>
      <c r="R9880" s="11"/>
      <c r="S9880" s="11"/>
      <c r="T9880" s="11"/>
      <c r="U9880" s="11">
        <f t="shared" si="2683"/>
        <v>2.4499999999999997</v>
      </c>
      <c r="V9880" t="s">
        <v>15</v>
      </c>
      <c r="W9880">
        <v>2.4500000000000002</v>
      </c>
      <c r="X9880" s="1" t="s">
        <v>74</v>
      </c>
    </row>
    <row r="9881" spans="1:24" x14ac:dyDescent="0.25">
      <c r="A9881" s="1" t="str">
        <f t="shared" si="2677"/>
        <v>卡卡杜-凤凰仓</v>
      </c>
      <c r="B9881" s="1" t="str">
        <f>"CK2024100525"</f>
        <v>CK2024100525</v>
      </c>
      <c r="C9881" s="1" t="str">
        <f>"DD202410051840"</f>
        <v>DD202410051840</v>
      </c>
      <c r="D9881" s="1" t="str">
        <f>"CK2024100516311"</f>
        <v>CK2024100516311</v>
      </c>
      <c r="E9881" s="1" t="str">
        <f>"3723083245721879808"</f>
        <v>3723083245721879808</v>
      </c>
      <c r="F9881" s="1" t="str">
        <f t="shared" si="2678"/>
        <v>花都四部-凤凰仓</v>
      </c>
      <c r="G9881" s="1" t="str">
        <f t="shared" si="2684"/>
        <v>卡卡杜企业店（视频号）</v>
      </c>
      <c r="H9881" s="1" t="str">
        <f t="shared" si="2679"/>
        <v>正常订单</v>
      </c>
      <c r="I9881" s="1" t="str">
        <f t="shared" si="2680"/>
        <v>已发货</v>
      </c>
      <c r="J9881" s="1" t="str">
        <f>"8"</f>
        <v>8</v>
      </c>
      <c r="K9881" s="1">
        <v>2</v>
      </c>
      <c r="L9881" s="1" t="s">
        <v>66</v>
      </c>
      <c r="M9881" s="1" t="str">
        <f>"内蒙古自治区 呼和浩特市 回民区 "</f>
        <v xml:space="preserve">内蒙古自治区 呼和浩特市 回民区 </v>
      </c>
      <c r="N9881" s="1" t="str">
        <f t="shared" si="2685"/>
        <v>凡华云仓-韵达-微信视频号</v>
      </c>
      <c r="O9881" s="5">
        <v>315011983028607</v>
      </c>
      <c r="P9881" s="6">
        <v>1.03</v>
      </c>
      <c r="Q9881" s="11">
        <f t="shared" si="2689"/>
        <v>3.2</v>
      </c>
      <c r="R9881" s="11"/>
      <c r="S9881" s="11"/>
      <c r="T9881" s="11"/>
      <c r="U9881" s="11">
        <f t="shared" si="2683"/>
        <v>3.2</v>
      </c>
      <c r="V9881" t="s">
        <v>15</v>
      </c>
      <c r="W9881">
        <v>3.2</v>
      </c>
      <c r="X9881" s="1" t="s">
        <v>66</v>
      </c>
    </row>
    <row r="9882" spans="1:24" x14ac:dyDescent="0.25">
      <c r="A9882" s="1" t="str">
        <f t="shared" si="2677"/>
        <v>卡卡杜-凤凰仓</v>
      </c>
      <c r="B9882" s="1" t="str">
        <f>"CK2024100527"</f>
        <v>CK2024100527</v>
      </c>
      <c r="C9882" s="1" t="str">
        <f>"DD202410051843"</f>
        <v>DD202410051843</v>
      </c>
      <c r="D9882" s="1" t="str">
        <f>"CK2024100516310"</f>
        <v>CK2024100516310</v>
      </c>
      <c r="E9882" s="1" t="str">
        <f>"3723082971074659584"</f>
        <v>3723082971074659584</v>
      </c>
      <c r="F9882" s="1" t="str">
        <f t="shared" si="2678"/>
        <v>花都四部-凤凰仓</v>
      </c>
      <c r="G9882" s="1" t="str">
        <f t="shared" si="2684"/>
        <v>卡卡杜企业店（视频号）</v>
      </c>
      <c r="H9882" s="1" t="str">
        <f t="shared" si="2679"/>
        <v>正常订单</v>
      </c>
      <c r="I9882" s="1" t="str">
        <f t="shared" si="2680"/>
        <v>已发货</v>
      </c>
      <c r="J9882" s="1" t="str">
        <f t="shared" si="2688"/>
        <v>4</v>
      </c>
      <c r="K9882" s="1">
        <v>2</v>
      </c>
      <c r="L9882" s="1" t="s">
        <v>18</v>
      </c>
      <c r="M9882" s="1" t="str">
        <f>"广东省 深圳市 福田区 "</f>
        <v xml:space="preserve">广东省 深圳市 福田区 </v>
      </c>
      <c r="N9882" s="1" t="str">
        <f t="shared" si="2685"/>
        <v>凡华云仓-韵达-微信视频号</v>
      </c>
      <c r="O9882" s="5">
        <v>315011983023921</v>
      </c>
      <c r="P9882" s="6">
        <v>0.52</v>
      </c>
      <c r="Q9882" s="11">
        <f t="shared" si="2689"/>
        <v>2.4499999999999997</v>
      </c>
      <c r="R9882" s="11"/>
      <c r="S9882" s="11"/>
      <c r="T9882" s="11"/>
      <c r="U9882" s="11">
        <f t="shared" si="2683"/>
        <v>2.4499999999999997</v>
      </c>
      <c r="V9882" t="s">
        <v>15</v>
      </c>
      <c r="W9882">
        <v>2.4500000000000002</v>
      </c>
      <c r="X9882" s="1" t="s">
        <v>18</v>
      </c>
    </row>
    <row r="9883" spans="1:24" x14ac:dyDescent="0.25">
      <c r="A9883" s="1" t="str">
        <f t="shared" si="2677"/>
        <v>卡卡杜-凤凰仓</v>
      </c>
      <c r="B9883" s="1" t="str">
        <f>"CK2024100528"</f>
        <v>CK2024100528</v>
      </c>
      <c r="C9883" s="1" t="str">
        <f>"DD202410051842"</f>
        <v>DD202410051842</v>
      </c>
      <c r="D9883" s="1" t="str">
        <f>"CK2024100516309"</f>
        <v>CK2024100516309</v>
      </c>
      <c r="E9883" s="1" t="str">
        <f>"3723082885955195904"</f>
        <v>3723082885955195904</v>
      </c>
      <c r="F9883" s="1" t="str">
        <f t="shared" si="2678"/>
        <v>花都四部-凤凰仓</v>
      </c>
      <c r="G9883" s="1" t="str">
        <f t="shared" si="2684"/>
        <v>卡卡杜企业店（视频号）</v>
      </c>
      <c r="H9883" s="1" t="str">
        <f t="shared" si="2679"/>
        <v>正常订单</v>
      </c>
      <c r="I9883" s="1" t="str">
        <f t="shared" si="2680"/>
        <v>已发货</v>
      </c>
      <c r="J9883" s="1" t="str">
        <f t="shared" si="2690"/>
        <v>2</v>
      </c>
      <c r="K9883" s="1">
        <v>2</v>
      </c>
      <c r="L9883" s="1" t="s">
        <v>18</v>
      </c>
      <c r="M9883" s="1" t="str">
        <f>"广东省 广州市 番禺区 "</f>
        <v xml:space="preserve">广东省 广州市 番禺区 </v>
      </c>
      <c r="N9883" s="1" t="str">
        <f t="shared" si="2685"/>
        <v>凡华云仓-韵达-微信视频号</v>
      </c>
      <c r="O9883" s="5">
        <v>315011983018717</v>
      </c>
      <c r="P9883" s="6">
        <v>0.28000000000000003</v>
      </c>
      <c r="Q9883" s="11">
        <v>2</v>
      </c>
      <c r="R9883" s="11"/>
      <c r="S9883" s="11"/>
      <c r="T9883" s="11"/>
      <c r="U9883" s="11">
        <f t="shared" si="2683"/>
        <v>2</v>
      </c>
      <c r="W9883">
        <v>2.2000000000000002</v>
      </c>
      <c r="X9883" s="1" t="s">
        <v>18</v>
      </c>
    </row>
    <row r="9884" spans="1:24" x14ac:dyDescent="0.25">
      <c r="A9884" s="1" t="str">
        <f t="shared" si="2677"/>
        <v>卡卡杜-凤凰仓</v>
      </c>
      <c r="B9884" s="1" t="str">
        <f>"CK2024100529"</f>
        <v>CK2024100529</v>
      </c>
      <c r="C9884" s="1" t="str">
        <f>"DD202410051844"</f>
        <v>DD202410051844</v>
      </c>
      <c r="D9884" s="1" t="str">
        <f>"CK2024100516308"</f>
        <v>CK2024100516308</v>
      </c>
      <c r="E9884" s="1" t="str">
        <f>"3723082838147994624"</f>
        <v>3723082838147994624</v>
      </c>
      <c r="F9884" s="1" t="str">
        <f t="shared" si="2678"/>
        <v>花都四部-凤凰仓</v>
      </c>
      <c r="G9884" s="1" t="str">
        <f t="shared" si="2684"/>
        <v>卡卡杜企业店（视频号）</v>
      </c>
      <c r="H9884" s="1" t="str">
        <f t="shared" si="2679"/>
        <v>正常订单</v>
      </c>
      <c r="I9884" s="1" t="str">
        <f t="shared" si="2680"/>
        <v>已发货</v>
      </c>
      <c r="J9884" s="1" t="str">
        <f t="shared" si="2690"/>
        <v>2</v>
      </c>
      <c r="K9884" s="1">
        <v>2</v>
      </c>
      <c r="L9884" s="1" t="s">
        <v>105</v>
      </c>
      <c r="M9884" s="1" t="str">
        <f>"北京 北京市 朝阳区 "</f>
        <v xml:space="preserve">北京 北京市 朝阳区 </v>
      </c>
      <c r="N9884" s="1" t="str">
        <f t="shared" si="2685"/>
        <v>凡华云仓-韵达-微信视频号</v>
      </c>
      <c r="O9884" s="5">
        <v>315011983013722</v>
      </c>
      <c r="P9884" s="6">
        <v>0.28000000000000003</v>
      </c>
      <c r="Q9884" s="11">
        <v>2</v>
      </c>
      <c r="R9884" s="11"/>
      <c r="S9884" s="11"/>
      <c r="T9884" s="11"/>
      <c r="U9884" s="11">
        <f t="shared" si="2683"/>
        <v>2</v>
      </c>
      <c r="W9884">
        <v>2.2000000000000002</v>
      </c>
      <c r="X9884" s="1" t="s">
        <v>105</v>
      </c>
    </row>
    <row r="9885" spans="1:24" x14ac:dyDescent="0.25">
      <c r="A9885" s="1" t="str">
        <f t="shared" si="2677"/>
        <v>卡卡杜-凤凰仓</v>
      </c>
      <c r="B9885" s="1" t="str">
        <f>"CK2024100530"</f>
        <v>CK2024100530</v>
      </c>
      <c r="C9885" s="1" t="str">
        <f>"DD202410051845"</f>
        <v>DD202410051845</v>
      </c>
      <c r="D9885" s="1" t="str">
        <f>"CK2024100516307"</f>
        <v>CK2024100516307</v>
      </c>
      <c r="E9885" s="1" t="str">
        <f>"3723081845918797824"</f>
        <v>3723081845918797824</v>
      </c>
      <c r="F9885" s="1" t="str">
        <f t="shared" si="2678"/>
        <v>花都四部-凤凰仓</v>
      </c>
      <c r="G9885" s="1" t="str">
        <f t="shared" si="2684"/>
        <v>卡卡杜企业店（视频号）</v>
      </c>
      <c r="H9885" s="1" t="str">
        <f t="shared" si="2679"/>
        <v>正常订单</v>
      </c>
      <c r="I9885" s="1" t="str">
        <f t="shared" si="2680"/>
        <v>已发货</v>
      </c>
      <c r="J9885" s="1" t="str">
        <f t="shared" si="2690"/>
        <v>2</v>
      </c>
      <c r="K9885" s="1">
        <v>2</v>
      </c>
      <c r="L9885" s="1" t="s">
        <v>41</v>
      </c>
      <c r="M9885" s="1" t="str">
        <f>"湖北省 武汉市 江汉区 "</f>
        <v xml:space="preserve">湖北省 武汉市 江汉区 </v>
      </c>
      <c r="N9885" s="1" t="str">
        <f t="shared" si="2685"/>
        <v>凡华云仓-韵达-微信视频号</v>
      </c>
      <c r="O9885" s="5">
        <v>315011983004336</v>
      </c>
      <c r="P9885" s="6">
        <v>0.28000000000000003</v>
      </c>
      <c r="Q9885" s="11">
        <v>2</v>
      </c>
      <c r="R9885" s="11"/>
      <c r="S9885" s="11"/>
      <c r="T9885" s="11"/>
      <c r="U9885" s="11">
        <f t="shared" si="2683"/>
        <v>2</v>
      </c>
      <c r="W9885">
        <v>2.2000000000000002</v>
      </c>
      <c r="X9885" s="1" t="s">
        <v>41</v>
      </c>
    </row>
    <row r="9886" spans="1:24" x14ac:dyDescent="0.25">
      <c r="A9886" s="1" t="str">
        <f t="shared" si="2677"/>
        <v>卡卡杜-凤凰仓</v>
      </c>
      <c r="B9886" s="1" t="str">
        <f>"CK2024100531"</f>
        <v>CK2024100531</v>
      </c>
      <c r="C9886" s="1" t="str">
        <f>"DD202410051846"</f>
        <v>DD202410051846</v>
      </c>
      <c r="D9886" s="1" t="str">
        <f>"CK2024100516306"</f>
        <v>CK2024100516306</v>
      </c>
      <c r="E9886" s="1" t="str">
        <f>"3723081115662419200"</f>
        <v>3723081115662419200</v>
      </c>
      <c r="F9886" s="1" t="str">
        <f t="shared" si="2678"/>
        <v>花都四部-凤凰仓</v>
      </c>
      <c r="G9886" s="1" t="str">
        <f t="shared" si="2684"/>
        <v>卡卡杜企业店（视频号）</v>
      </c>
      <c r="H9886" s="1" t="str">
        <f t="shared" si="2679"/>
        <v>正常订单</v>
      </c>
      <c r="I9886" s="1" t="str">
        <f t="shared" si="2680"/>
        <v>已发货</v>
      </c>
      <c r="J9886" s="1" t="str">
        <f t="shared" si="2690"/>
        <v>2</v>
      </c>
      <c r="K9886" s="1">
        <v>2</v>
      </c>
      <c r="L9886" s="1" t="s">
        <v>24</v>
      </c>
      <c r="M9886" s="1" t="str">
        <f>"福建省 三明市 泰宁县 "</f>
        <v xml:space="preserve">福建省 三明市 泰宁县 </v>
      </c>
      <c r="N9886" s="1" t="str">
        <f t="shared" si="2685"/>
        <v>凡华云仓-韵达-微信视频号</v>
      </c>
      <c r="O9886" s="5">
        <v>315011982999394</v>
      </c>
      <c r="P9886" s="6">
        <v>0.28000000000000003</v>
      </c>
      <c r="Q9886" s="11">
        <v>2</v>
      </c>
      <c r="R9886" s="11"/>
      <c r="S9886" s="11"/>
      <c r="T9886" s="11"/>
      <c r="U9886" s="11">
        <f t="shared" si="2683"/>
        <v>2</v>
      </c>
      <c r="W9886">
        <v>2.2000000000000002</v>
      </c>
      <c r="X9886" s="1" t="s">
        <v>24</v>
      </c>
    </row>
    <row r="9887" spans="1:24" x14ac:dyDescent="0.25">
      <c r="A9887" s="1" t="str">
        <f t="shared" si="2677"/>
        <v>卡卡杜-凤凰仓</v>
      </c>
      <c r="B9887" s="1" t="str">
        <f>"CK2024100532"</f>
        <v>CK2024100532</v>
      </c>
      <c r="C9887" s="1" t="str">
        <f>"DD202410051848"</f>
        <v>DD202410051848</v>
      </c>
      <c r="D9887" s="1" t="str">
        <f>"CK2024100516305"</f>
        <v>CK2024100516305</v>
      </c>
      <c r="E9887" s="1" t="str">
        <f>"3723081021354545152"</f>
        <v>3723081021354545152</v>
      </c>
      <c r="F9887" s="1" t="str">
        <f t="shared" si="2678"/>
        <v>花都四部-凤凰仓</v>
      </c>
      <c r="G9887" s="1" t="str">
        <f t="shared" si="2684"/>
        <v>卡卡杜企业店（视频号）</v>
      </c>
      <c r="H9887" s="1" t="str">
        <f t="shared" si="2679"/>
        <v>正常订单</v>
      </c>
      <c r="I9887" s="1" t="str">
        <f t="shared" si="2680"/>
        <v>已发货</v>
      </c>
      <c r="J9887" s="1" t="str">
        <f>"4"</f>
        <v>4</v>
      </c>
      <c r="K9887" s="1">
        <v>2</v>
      </c>
      <c r="L9887" s="1" t="s">
        <v>105</v>
      </c>
      <c r="M9887" s="1" t="str">
        <f>"北京 北京市 朝阳区 "</f>
        <v xml:space="preserve">北京 北京市 朝阳区 </v>
      </c>
      <c r="N9887" s="1" t="str">
        <f t="shared" si="2685"/>
        <v>凡华云仓-韵达-微信视频号</v>
      </c>
      <c r="O9887" s="5">
        <v>315011982992028</v>
      </c>
      <c r="P9887" s="6">
        <v>0.52</v>
      </c>
      <c r="Q9887" s="11">
        <f t="shared" ref="Q9887:Q9895" si="2691">CEILING(P9887-0.5,0.1)*10*0.15+2.3</f>
        <v>2.4499999999999997</v>
      </c>
      <c r="R9887" s="11"/>
      <c r="S9887" s="11"/>
      <c r="T9887" s="11"/>
      <c r="U9887" s="11">
        <f t="shared" si="2683"/>
        <v>2.4499999999999997</v>
      </c>
      <c r="V9887" t="s">
        <v>15</v>
      </c>
      <c r="W9887">
        <v>2.4500000000000002</v>
      </c>
      <c r="X9887" s="1" t="s">
        <v>105</v>
      </c>
    </row>
    <row r="9888" spans="1:24" x14ac:dyDescent="0.25">
      <c r="A9888" s="1" t="str">
        <f t="shared" si="2677"/>
        <v>卡卡杜-凤凰仓</v>
      </c>
      <c r="B9888" s="1" t="str">
        <f>"CK2024100534"</f>
        <v>CK2024100534</v>
      </c>
      <c r="C9888" s="1" t="str">
        <f>"DD202410051849"</f>
        <v>DD202410051849</v>
      </c>
      <c r="D9888" s="1" t="str">
        <f>"CK2024100516304"</f>
        <v>CK2024100516304</v>
      </c>
      <c r="E9888" s="1" t="str">
        <f>"3723079781132669952"</f>
        <v>3723079781132669952</v>
      </c>
      <c r="F9888" s="1" t="str">
        <f t="shared" si="2678"/>
        <v>花都四部-凤凰仓</v>
      </c>
      <c r="G9888" s="1" t="str">
        <f t="shared" si="2684"/>
        <v>卡卡杜企业店（视频号）</v>
      </c>
      <c r="H9888" s="1" t="str">
        <f t="shared" si="2679"/>
        <v>正常订单</v>
      </c>
      <c r="I9888" s="1" t="str">
        <f t="shared" si="2680"/>
        <v>已发货</v>
      </c>
      <c r="J9888" s="1" t="str">
        <f t="shared" ref="J9888:J9891" si="2692">"2"</f>
        <v>2</v>
      </c>
      <c r="K9888" s="1">
        <v>2</v>
      </c>
      <c r="L9888" s="1" t="s">
        <v>18</v>
      </c>
      <c r="M9888" s="1" t="str">
        <f>"广东省 深圳市 龙岗区 "</f>
        <v xml:space="preserve">广东省 深圳市 龙岗区 </v>
      </c>
      <c r="N9888" s="1" t="str">
        <f t="shared" si="2685"/>
        <v>凡华云仓-韵达-微信视频号</v>
      </c>
      <c r="O9888" s="5">
        <v>315011982985773</v>
      </c>
      <c r="P9888" s="6">
        <v>0.28000000000000003</v>
      </c>
      <c r="Q9888" s="11">
        <v>2</v>
      </c>
      <c r="R9888" s="11"/>
      <c r="S9888" s="11"/>
      <c r="T9888" s="11"/>
      <c r="U9888" s="11">
        <f t="shared" si="2683"/>
        <v>2</v>
      </c>
      <c r="W9888">
        <v>2.2000000000000002</v>
      </c>
      <c r="X9888" s="1" t="s">
        <v>18</v>
      </c>
    </row>
    <row r="9889" spans="1:24" x14ac:dyDescent="0.25">
      <c r="A9889" s="1" t="str">
        <f t="shared" si="2677"/>
        <v>卡卡杜-凤凰仓</v>
      </c>
      <c r="B9889" s="1" t="str">
        <f>"CK2024100521"</f>
        <v>CK2024100521</v>
      </c>
      <c r="C9889" s="1" t="str">
        <f>"DD202410051838"</f>
        <v>DD202410051838</v>
      </c>
      <c r="D9889" s="1" t="str">
        <f>"CK2024100516278"</f>
        <v>CK2024100516278</v>
      </c>
      <c r="E9889" s="1" t="str">
        <f>"6917820356767743069"</f>
        <v>6917820356767743069</v>
      </c>
      <c r="F9889" s="1" t="str">
        <f t="shared" si="2678"/>
        <v>花都四部-凤凰仓</v>
      </c>
      <c r="G9889" s="1" t="str">
        <f t="shared" ref="G9889:G9891" si="2693">"卡卡杜个人护理店（抖店）"</f>
        <v>卡卡杜个人护理店（抖店）</v>
      </c>
      <c r="H9889" s="1" t="str">
        <f t="shared" si="2679"/>
        <v>正常订单</v>
      </c>
      <c r="I9889" s="1" t="str">
        <f t="shared" si="2680"/>
        <v>已发货</v>
      </c>
      <c r="J9889" s="1" t="str">
        <f t="shared" si="2692"/>
        <v>2</v>
      </c>
      <c r="K9889" s="1">
        <v>2</v>
      </c>
      <c r="L9889" s="1" t="s">
        <v>18</v>
      </c>
      <c r="M9889" s="1" t="str">
        <f>"广东省 深圳市 福田区 福田街道"</f>
        <v>广东省 深圳市 福田区 福田街道</v>
      </c>
      <c r="N9889" s="1" t="str">
        <f t="shared" ref="N9889:N9891" si="2694">"凡华云仓-韵达-抖音"</f>
        <v>凡华云仓-韵达-抖音</v>
      </c>
      <c r="O9889" s="5">
        <v>320156316360674</v>
      </c>
      <c r="P9889" s="6">
        <v>0.28000000000000003</v>
      </c>
      <c r="Q9889" s="11">
        <v>2</v>
      </c>
      <c r="R9889" s="11"/>
      <c r="S9889" s="11"/>
      <c r="T9889" s="11"/>
      <c r="U9889" s="11">
        <f t="shared" si="2683"/>
        <v>2</v>
      </c>
      <c r="W9889">
        <v>2.2000000000000002</v>
      </c>
      <c r="X9889" s="1" t="s">
        <v>18</v>
      </c>
    </row>
    <row r="9890" spans="1:24" x14ac:dyDescent="0.25">
      <c r="A9890" s="1" t="str">
        <f t="shared" si="2677"/>
        <v>卡卡杜-凤凰仓</v>
      </c>
      <c r="B9890" s="1" t="str">
        <f>"CK2024100526"</f>
        <v>CK2024100526</v>
      </c>
      <c r="C9890" s="1" t="str">
        <f>"DD202410051841"</f>
        <v>DD202410051841</v>
      </c>
      <c r="D9890" s="1" t="str">
        <f>"CK2024100516276"</f>
        <v>CK2024100516276</v>
      </c>
      <c r="E9890" s="1" t="str">
        <f>"6917814807502683374"</f>
        <v>6917814807502683374</v>
      </c>
      <c r="F9890" s="1" t="str">
        <f t="shared" si="2678"/>
        <v>花都四部-凤凰仓</v>
      </c>
      <c r="G9890" s="1" t="str">
        <f t="shared" si="2693"/>
        <v>卡卡杜个人护理店（抖店）</v>
      </c>
      <c r="H9890" s="1" t="str">
        <f t="shared" si="2679"/>
        <v>正常订单</v>
      </c>
      <c r="I9890" s="1" t="str">
        <f t="shared" si="2680"/>
        <v>已发货</v>
      </c>
      <c r="J9890" s="1" t="str">
        <f>"4"</f>
        <v>4</v>
      </c>
      <c r="K9890" s="1">
        <v>2</v>
      </c>
      <c r="L9890" s="1" t="s">
        <v>20</v>
      </c>
      <c r="M9890" s="1" t="str">
        <f>"浙江省 湖州市 安吉县 天荒坪镇"</f>
        <v>浙江省 湖州市 安吉县 天荒坪镇</v>
      </c>
      <c r="N9890" s="1" t="str">
        <f t="shared" si="2694"/>
        <v>凡华云仓-韵达-抖音</v>
      </c>
      <c r="O9890" s="5">
        <v>320156316360478</v>
      </c>
      <c r="P9890" s="6">
        <v>0.52</v>
      </c>
      <c r="Q9890" s="11">
        <f t="shared" si="2691"/>
        <v>2.4499999999999997</v>
      </c>
      <c r="R9890" s="11"/>
      <c r="S9890" s="11"/>
      <c r="T9890" s="11"/>
      <c r="U9890" s="11">
        <f t="shared" si="2683"/>
        <v>2.4499999999999997</v>
      </c>
      <c r="V9890" t="s">
        <v>15</v>
      </c>
      <c r="W9890">
        <v>2.4500000000000002</v>
      </c>
      <c r="X9890" s="1" t="s">
        <v>20</v>
      </c>
    </row>
    <row r="9891" spans="1:24" x14ac:dyDescent="0.25">
      <c r="A9891" s="1" t="str">
        <f t="shared" si="2677"/>
        <v>卡卡杜-凤凰仓</v>
      </c>
      <c r="B9891" s="1" t="str">
        <f>"CK2024100533"</f>
        <v>CK2024100533</v>
      </c>
      <c r="C9891" s="1" t="str">
        <f>"DD202410051847"</f>
        <v>DD202410051847</v>
      </c>
      <c r="D9891" s="1" t="str">
        <f>"CK2024100516272"</f>
        <v>CK2024100516272</v>
      </c>
      <c r="E9891" s="1" t="str">
        <f>"6917809367131782398"</f>
        <v>6917809367131782398</v>
      </c>
      <c r="F9891" s="1" t="str">
        <f t="shared" si="2678"/>
        <v>花都四部-凤凰仓</v>
      </c>
      <c r="G9891" s="1" t="str">
        <f t="shared" si="2693"/>
        <v>卡卡杜个人护理店（抖店）</v>
      </c>
      <c r="H9891" s="1" t="str">
        <f t="shared" si="2679"/>
        <v>正常订单</v>
      </c>
      <c r="I9891" s="1" t="str">
        <f t="shared" si="2680"/>
        <v>已发货</v>
      </c>
      <c r="J9891" s="1" t="str">
        <f t="shared" si="2692"/>
        <v>2</v>
      </c>
      <c r="K9891" s="1">
        <v>2</v>
      </c>
      <c r="L9891" s="1" t="s">
        <v>161</v>
      </c>
      <c r="M9891" s="1" t="str">
        <f>"四川省 成都市 青羊区 金沙街道"</f>
        <v>四川省 成都市 青羊区 金沙街道</v>
      </c>
      <c r="N9891" s="1" t="str">
        <f t="shared" si="2694"/>
        <v>凡华云仓-韵达-抖音</v>
      </c>
      <c r="O9891" s="5">
        <v>320156320223906</v>
      </c>
      <c r="P9891" s="6">
        <v>0.28000000000000003</v>
      </c>
      <c r="Q9891" s="11">
        <v>2</v>
      </c>
      <c r="R9891" s="11"/>
      <c r="S9891" s="11"/>
      <c r="T9891" s="11"/>
      <c r="U9891" s="11">
        <f t="shared" si="2683"/>
        <v>2</v>
      </c>
      <c r="W9891">
        <v>2.2000000000000002</v>
      </c>
      <c r="X9891" s="1" t="s">
        <v>161</v>
      </c>
    </row>
    <row r="9892" spans="1:24" x14ac:dyDescent="0.25">
      <c r="A9892" s="1" t="str">
        <f t="shared" si="2677"/>
        <v>卡卡杜-凤凰仓</v>
      </c>
      <c r="B9892" s="1" t="str">
        <f>"CK2024100415775"</f>
        <v>CK2024100415775</v>
      </c>
      <c r="C9892" s="1" t="str">
        <f>"DD2024100447508"</f>
        <v>DD2024100447508</v>
      </c>
      <c r="D9892" s="1" t="str">
        <f>"CK2024100446945"</f>
        <v>CK2024100446945</v>
      </c>
      <c r="E9892" s="1" t="str">
        <f>"KKD20240104YP023"</f>
        <v>KKD20240104YP023</v>
      </c>
      <c r="F9892" s="1" t="str">
        <f t="shared" si="2678"/>
        <v>花都四部-凤凰仓</v>
      </c>
      <c r="G9892" s="1" t="str">
        <f>"卡卡杜全欣样品"</f>
        <v>卡卡杜全欣样品</v>
      </c>
      <c r="H9892" s="1" t="str">
        <f t="shared" si="2679"/>
        <v>正常订单</v>
      </c>
      <c r="I9892" s="1" t="str">
        <f t="shared" si="2680"/>
        <v>已发货</v>
      </c>
      <c r="J9892" s="1" t="str">
        <f>"5"</f>
        <v>5</v>
      </c>
      <c r="K9892" s="1">
        <v>4</v>
      </c>
      <c r="L9892" s="1" t="s">
        <v>20</v>
      </c>
      <c r="M9892" s="1" t="str">
        <f>"浙江省 杭州市 萧山区 "</f>
        <v xml:space="preserve">浙江省 杭州市 萧山区 </v>
      </c>
      <c r="N9892" s="1" t="str">
        <f t="shared" ref="N9892:N9894" si="2695">"凡华云仓-韵达-淘宝"</f>
        <v>凡华云仓-韵达-淘宝</v>
      </c>
      <c r="O9892" s="3">
        <v>434168960912251</v>
      </c>
      <c r="P9892" s="6">
        <v>0.62</v>
      </c>
      <c r="Q9892" s="11">
        <f t="shared" si="2691"/>
        <v>2.5999999999999996</v>
      </c>
      <c r="R9892" s="11"/>
      <c r="S9892" s="11">
        <v>0.15</v>
      </c>
      <c r="T9892" s="11"/>
      <c r="U9892" s="11">
        <f t="shared" si="2683"/>
        <v>2.7499999999999996</v>
      </c>
      <c r="V9892" t="s">
        <v>15</v>
      </c>
      <c r="W9892">
        <v>2.75</v>
      </c>
      <c r="X9892" s="1" t="s">
        <v>20</v>
      </c>
    </row>
    <row r="9893" spans="1:24" x14ac:dyDescent="0.25">
      <c r="A9893" s="1" t="str">
        <f t="shared" si="2677"/>
        <v>卡卡杜-凤凰仓</v>
      </c>
      <c r="B9893" s="1" t="str">
        <f>"CK2024101619945"</f>
        <v>CK2024101619945</v>
      </c>
      <c r="C9893" s="1" t="str">
        <f>"DD2024101636223"</f>
        <v>DD2024101636223</v>
      </c>
      <c r="D9893" s="1" t="str">
        <f>"CK2024101631489"</f>
        <v>CK2024101631489</v>
      </c>
      <c r="E9893" s="1" t="str">
        <f>"KKD20241016YP016"</f>
        <v>KKD20241016YP016</v>
      </c>
      <c r="F9893" s="1" t="str">
        <f t="shared" si="2678"/>
        <v>花都四部-凤凰仓</v>
      </c>
      <c r="G9893" s="1" t="str">
        <f>"卡卡杜全欣样品"</f>
        <v>卡卡杜全欣样品</v>
      </c>
      <c r="H9893" s="1" t="str">
        <f t="shared" si="2679"/>
        <v>正常订单</v>
      </c>
      <c r="I9893" s="1" t="str">
        <f t="shared" si="2680"/>
        <v>已发货</v>
      </c>
      <c r="J9893" s="1" t="str">
        <f>"7"</f>
        <v>7</v>
      </c>
      <c r="K9893" s="1">
        <v>5</v>
      </c>
      <c r="L9893" s="1" t="s">
        <v>105</v>
      </c>
      <c r="M9893" s="1" t="str">
        <f>"北京 北京市 西城区 "</f>
        <v xml:space="preserve">北京 北京市 西城区 </v>
      </c>
      <c r="N9893" s="1" t="str">
        <f t="shared" si="2695"/>
        <v>凡华云仓-韵达-淘宝</v>
      </c>
      <c r="O9893" s="3">
        <v>434192959581925</v>
      </c>
      <c r="P9893" s="6">
        <v>0.95</v>
      </c>
      <c r="Q9893" s="11">
        <f t="shared" si="2691"/>
        <v>3.05</v>
      </c>
      <c r="R9893" s="11">
        <f>(K9893-3)*0.1</f>
        <v>0.2</v>
      </c>
      <c r="S9893" s="11">
        <v>0.15</v>
      </c>
      <c r="T9893" s="11"/>
      <c r="U9893" s="11">
        <f t="shared" si="2683"/>
        <v>3.4</v>
      </c>
      <c r="V9893" t="s">
        <v>15</v>
      </c>
      <c r="W9893">
        <v>3.4</v>
      </c>
      <c r="X9893" s="1" t="s">
        <v>105</v>
      </c>
    </row>
    <row r="9894" spans="1:24" x14ac:dyDescent="0.25">
      <c r="A9894" s="1" t="str">
        <f t="shared" si="2677"/>
        <v>卡卡杜-凤凰仓</v>
      </c>
      <c r="B9894" s="1" t="str">
        <f>"CK2024100415774"</f>
        <v>CK2024100415774</v>
      </c>
      <c r="C9894" s="1" t="str">
        <f>"DD2024100447510"</f>
        <v>DD2024100447510</v>
      </c>
      <c r="D9894" s="1" t="str">
        <f>"CK2024100446943"</f>
        <v>CK2024100446943</v>
      </c>
      <c r="E9894" s="1" t="str">
        <f>"KKD20240104YP024"</f>
        <v>KKD20240104YP024</v>
      </c>
      <c r="F9894" s="1" t="str">
        <f t="shared" si="2678"/>
        <v>花都四部-凤凰仓</v>
      </c>
      <c r="G9894" s="1" t="str">
        <f>"卡卡杜全欣样品"</f>
        <v>卡卡杜全欣样品</v>
      </c>
      <c r="H9894" s="1" t="str">
        <f t="shared" si="2679"/>
        <v>正常订单</v>
      </c>
      <c r="I9894" s="1" t="str">
        <f t="shared" si="2680"/>
        <v>已发货</v>
      </c>
      <c r="J9894" s="1" t="str">
        <f>"14"</f>
        <v>14</v>
      </c>
      <c r="K9894" s="1">
        <v>5</v>
      </c>
      <c r="L9894" s="1" t="s">
        <v>18</v>
      </c>
      <c r="M9894" s="1" t="str">
        <f>"广东省 广州市 花都区 "</f>
        <v xml:space="preserve">广东省 广州市 花都区 </v>
      </c>
      <c r="N9894" s="1" t="str">
        <f t="shared" si="2695"/>
        <v>凡华云仓-韵达-淘宝</v>
      </c>
      <c r="O9894" s="3">
        <v>434168960912071</v>
      </c>
      <c r="P9894" s="6">
        <v>1.31</v>
      </c>
      <c r="Q9894" s="11">
        <f t="shared" si="2691"/>
        <v>3.6499999999999995</v>
      </c>
      <c r="R9894" s="11">
        <f t="shared" ref="R9894:R9895" si="2696">(K9894-3)*0.1</f>
        <v>0.2</v>
      </c>
      <c r="S9894" s="11">
        <v>0.15</v>
      </c>
      <c r="T9894" s="11"/>
      <c r="U9894" s="11">
        <f t="shared" si="2683"/>
        <v>3.9999999999999996</v>
      </c>
      <c r="V9894" t="s">
        <v>15</v>
      </c>
      <c r="W9894">
        <v>4</v>
      </c>
      <c r="X9894" s="1" t="s">
        <v>18</v>
      </c>
    </row>
    <row r="9895" spans="1:24" x14ac:dyDescent="0.25">
      <c r="A9895" s="1" t="str">
        <f t="shared" si="2677"/>
        <v>卡卡杜-凤凰仓</v>
      </c>
      <c r="B9895" s="1" t="str">
        <f>"CK2024101926417"</f>
        <v>CK2024101926417</v>
      </c>
      <c r="C9895" s="1" t="str">
        <f>"DD2024101961339"</f>
        <v>DD2024101961339</v>
      </c>
      <c r="D9895" s="1" t="str">
        <f>"CK2024101948973"</f>
        <v>CK2024101948973</v>
      </c>
      <c r="E9895" s="1" t="str">
        <f>"KKD20241019YP004"</f>
        <v>KKD20241019YP004</v>
      </c>
      <c r="F9895" s="1" t="str">
        <f t="shared" si="2678"/>
        <v>花都四部-凤凰仓</v>
      </c>
      <c r="G9895" s="1" t="str">
        <f>"卡卡杜全欣样品"</f>
        <v>卡卡杜全欣样品</v>
      </c>
      <c r="H9895" s="1" t="str">
        <f t="shared" si="2679"/>
        <v>正常订单</v>
      </c>
      <c r="I9895" s="1" t="str">
        <f t="shared" si="2680"/>
        <v>已发货</v>
      </c>
      <c r="J9895" s="1" t="str">
        <f>"7"</f>
        <v>7</v>
      </c>
      <c r="K9895" s="1">
        <v>5</v>
      </c>
      <c r="L9895" s="1" t="s">
        <v>30</v>
      </c>
      <c r="M9895" s="1" t="str">
        <f>"山东省 聊城市 东昌府区 "</f>
        <v xml:space="preserve">山东省 聊城市 东昌府区 </v>
      </c>
      <c r="N9895" s="1" t="str">
        <f>"凡华云仓-城南圆通-淘宝"</f>
        <v>凡华云仓-城南圆通-淘宝</v>
      </c>
      <c r="O9895" s="3" t="s">
        <v>5680</v>
      </c>
      <c r="P9895" s="6">
        <v>0.95</v>
      </c>
      <c r="Q9895" s="11">
        <f t="shared" si="2691"/>
        <v>3.05</v>
      </c>
      <c r="R9895" s="11">
        <f t="shared" si="2696"/>
        <v>0.2</v>
      </c>
      <c r="S9895" s="11">
        <v>0.15</v>
      </c>
      <c r="T9895" s="11"/>
      <c r="U9895" s="11">
        <f t="shared" si="2683"/>
        <v>3.4</v>
      </c>
      <c r="V9895" t="s">
        <v>15</v>
      </c>
      <c r="W9895">
        <v>3.4</v>
      </c>
      <c r="X9895" s="1" t="s">
        <v>30</v>
      </c>
    </row>
    <row r="9896" spans="1:24" x14ac:dyDescent="0.25">
      <c r="A9896" s="1" t="str">
        <f t="shared" si="2677"/>
        <v>卡卡杜-凤凰仓</v>
      </c>
      <c r="B9896" s="1" t="str">
        <f>"CK2024100415777"</f>
        <v>CK2024100415777</v>
      </c>
      <c r="C9896" s="1" t="str">
        <f>"DD2024100447512"</f>
        <v>DD2024100447512</v>
      </c>
      <c r="D9896" s="1" t="str">
        <f>"CK2024100446939"</f>
        <v>CK2024100446939</v>
      </c>
      <c r="E9896" s="1" t="str">
        <f>"3723078618036703233"</f>
        <v>3723078618036703233</v>
      </c>
      <c r="F9896" s="1" t="str">
        <f t="shared" si="2678"/>
        <v>花都四部-凤凰仓</v>
      </c>
      <c r="G9896" s="1" t="str">
        <f>"卡卡杜企业店（视频号）"</f>
        <v>卡卡杜企业店（视频号）</v>
      </c>
      <c r="H9896" s="1" t="str">
        <f t="shared" si="2679"/>
        <v>正常订单</v>
      </c>
      <c r="I9896" s="1" t="str">
        <f t="shared" si="2680"/>
        <v>已发货</v>
      </c>
      <c r="J9896" s="1" t="str">
        <f>"2"</f>
        <v>2</v>
      </c>
      <c r="K9896" s="1">
        <v>2</v>
      </c>
      <c r="L9896" s="1" t="s">
        <v>18</v>
      </c>
      <c r="M9896" s="1" t="str">
        <f>"广东省 珠海市 香洲区 "</f>
        <v xml:space="preserve">广东省 珠海市 香洲区 </v>
      </c>
      <c r="N9896" s="1" t="str">
        <f>"凡华云仓-韵达-微信视频号"</f>
        <v>凡华云仓-韵达-微信视频号</v>
      </c>
      <c r="O9896" s="5">
        <v>315011935397568</v>
      </c>
      <c r="P9896" s="6">
        <v>0.28000000000000003</v>
      </c>
      <c r="Q9896" s="11">
        <v>2</v>
      </c>
      <c r="R9896" s="11"/>
      <c r="S9896" s="11"/>
      <c r="T9896" s="11"/>
      <c r="U9896" s="11">
        <f t="shared" si="2683"/>
        <v>2</v>
      </c>
      <c r="W9896">
        <v>2.2000000000000002</v>
      </c>
      <c r="X9896" s="1" t="s">
        <v>18</v>
      </c>
    </row>
    <row r="9897" spans="1:24" x14ac:dyDescent="0.25">
      <c r="A9897" s="1" t="str">
        <f t="shared" si="2677"/>
        <v>卡卡杜-凤凰仓</v>
      </c>
      <c r="B9897" s="1" t="str">
        <f>"CK2024100415779"</f>
        <v>CK2024100415779</v>
      </c>
      <c r="C9897" s="1" t="str">
        <f>"DD2024100447513"</f>
        <v>DD2024100447513</v>
      </c>
      <c r="D9897" s="1" t="str">
        <f>"CK2024100446938"</f>
        <v>CK2024100446938</v>
      </c>
      <c r="E9897" s="1" t="str">
        <f>"3723078263127806976"</f>
        <v>3723078263127806976</v>
      </c>
      <c r="F9897" s="1" t="str">
        <f t="shared" si="2678"/>
        <v>花都四部-凤凰仓</v>
      </c>
      <c r="G9897" s="1" t="str">
        <f>"卡卡杜企业店（视频号）"</f>
        <v>卡卡杜企业店（视频号）</v>
      </c>
      <c r="H9897" s="1" t="str">
        <f t="shared" si="2679"/>
        <v>正常订单</v>
      </c>
      <c r="I9897" s="1" t="str">
        <f t="shared" si="2680"/>
        <v>已发货</v>
      </c>
      <c r="J9897" s="1" t="str">
        <f>"2"</f>
        <v>2</v>
      </c>
      <c r="K9897" s="1">
        <v>2</v>
      </c>
      <c r="L9897" s="1" t="s">
        <v>74</v>
      </c>
      <c r="M9897" s="1" t="str">
        <f>"上海 上海市 浦东新区 "</f>
        <v xml:space="preserve">上海 上海市 浦东新区 </v>
      </c>
      <c r="N9897" s="1" t="str">
        <f>"凡华云仓-韵达-微信视频号"</f>
        <v>凡华云仓-韵达-微信视频号</v>
      </c>
      <c r="O9897" s="5">
        <v>315011935396767</v>
      </c>
      <c r="P9897" s="6">
        <v>0.28000000000000003</v>
      </c>
      <c r="Q9897" s="11">
        <v>2</v>
      </c>
      <c r="R9897" s="11"/>
      <c r="S9897" s="11"/>
      <c r="T9897" s="11"/>
      <c r="U9897" s="11">
        <f t="shared" si="2683"/>
        <v>2</v>
      </c>
      <c r="W9897">
        <v>2.2000000000000002</v>
      </c>
      <c r="X9897" s="1" t="s">
        <v>74</v>
      </c>
    </row>
    <row r="9898" spans="1:24" x14ac:dyDescent="0.25">
      <c r="A9898" s="1" t="str">
        <f t="shared" si="2677"/>
        <v>卡卡杜-凤凰仓</v>
      </c>
      <c r="B9898" s="1" t="str">
        <f>"CK2024100415735"</f>
        <v>CK2024100415735</v>
      </c>
      <c r="C9898" s="1" t="str">
        <f>"DD2024100445925"</f>
        <v>DD2024100445925</v>
      </c>
      <c r="D9898" s="1" t="str">
        <f>"CK2024100445725"</f>
        <v>CK2024100445725</v>
      </c>
      <c r="E9898" s="1" t="str">
        <f>"KKD20240104YP020"</f>
        <v>KKD20240104YP020</v>
      </c>
      <c r="F9898" s="1" t="str">
        <f t="shared" si="2678"/>
        <v>花都四部-凤凰仓</v>
      </c>
      <c r="G9898" s="1" t="str">
        <f t="shared" ref="G9898:G9904" si="2697">"卡卡杜全欣样品"</f>
        <v>卡卡杜全欣样品</v>
      </c>
      <c r="H9898" s="1" t="str">
        <f t="shared" si="2679"/>
        <v>正常订单</v>
      </c>
      <c r="I9898" s="1" t="str">
        <f t="shared" si="2680"/>
        <v>已发货</v>
      </c>
      <c r="J9898" s="1" t="str">
        <f>"11"</f>
        <v>11</v>
      </c>
      <c r="K9898" s="1">
        <v>8</v>
      </c>
      <c r="L9898" s="1" t="s">
        <v>18</v>
      </c>
      <c r="M9898" s="1" t="str">
        <f>"广东省 深圳市 龙岗区 "</f>
        <v xml:space="preserve">广东省 深圳市 龙岗区 </v>
      </c>
      <c r="N9898" s="1" t="str">
        <f t="shared" ref="N9898:N9904" si="2698">"凡华云仓-韵达-淘宝"</f>
        <v>凡华云仓-韵达-淘宝</v>
      </c>
      <c r="O9898" s="3">
        <v>434168913921712</v>
      </c>
      <c r="P9898" s="6">
        <v>1.58</v>
      </c>
      <c r="Q9898" s="11">
        <f t="shared" ref="Q9898:Q9904" si="2699">CEILING(P9898-0.5,0.1)*10*0.15+2.3</f>
        <v>3.9499999999999997</v>
      </c>
      <c r="R9898" s="11">
        <f t="shared" ref="R9898:R9904" si="2700">(K9898-3)*0.1</f>
        <v>0.5</v>
      </c>
      <c r="S9898" s="11">
        <v>0.15</v>
      </c>
      <c r="T9898" s="11"/>
      <c r="U9898" s="11">
        <f t="shared" si="2683"/>
        <v>4.5999999999999996</v>
      </c>
      <c r="V9898" t="s">
        <v>15</v>
      </c>
      <c r="W9898">
        <v>4.5999999999999996</v>
      </c>
      <c r="X9898" s="1" t="s">
        <v>18</v>
      </c>
    </row>
    <row r="9899" spans="1:24" x14ac:dyDescent="0.25">
      <c r="A9899" s="1" t="str">
        <f t="shared" ref="A9899:A9962" si="2701">"卡卡杜-凤凰仓"</f>
        <v>卡卡杜-凤凰仓</v>
      </c>
      <c r="B9899" s="1" t="str">
        <f>"CK2024102025756"</f>
        <v>CK2024102025756</v>
      </c>
      <c r="C9899" s="1" t="str">
        <f>"DD2024102046478"</f>
        <v>DD2024102046478</v>
      </c>
      <c r="D9899" s="1" t="str">
        <f>"CK2024102046065"</f>
        <v>CK2024102046065</v>
      </c>
      <c r="E9899" s="1" t="str">
        <f>"KKD202401020YP010"</f>
        <v>KKD202401020YP010</v>
      </c>
      <c r="F9899" s="1" t="str">
        <f t="shared" ref="F9899:F9962" si="2702">"花都四部-凤凰仓"</f>
        <v>花都四部-凤凰仓</v>
      </c>
      <c r="G9899" s="1" t="str">
        <f t="shared" si="2697"/>
        <v>卡卡杜全欣样品</v>
      </c>
      <c r="H9899" s="1" t="str">
        <f t="shared" ref="H9899:H9962" si="2703">"正常订单"</f>
        <v>正常订单</v>
      </c>
      <c r="I9899" s="1" t="str">
        <f t="shared" ref="I9899:I9962" si="2704">"已发货"</f>
        <v>已发货</v>
      </c>
      <c r="J9899" s="1" t="str">
        <f>"7"</f>
        <v>7</v>
      </c>
      <c r="K9899" s="1">
        <v>5</v>
      </c>
      <c r="L9899" s="1" t="s">
        <v>30</v>
      </c>
      <c r="M9899" s="1" t="str">
        <f>"山东省 临沂市 罗庄区 "</f>
        <v xml:space="preserve">山东省 临沂市 罗庄区 </v>
      </c>
      <c r="N9899" s="1" t="str">
        <f>"凡华云仓-城南圆通-淘宝"</f>
        <v>凡华云仓-城南圆通-淘宝</v>
      </c>
      <c r="O9899" s="3" t="s">
        <v>5681</v>
      </c>
      <c r="P9899" s="6">
        <v>0.95</v>
      </c>
      <c r="Q9899" s="11">
        <f t="shared" si="2699"/>
        <v>3.05</v>
      </c>
      <c r="R9899" s="11">
        <f t="shared" si="2700"/>
        <v>0.2</v>
      </c>
      <c r="S9899" s="11">
        <v>0.15</v>
      </c>
      <c r="T9899" s="11"/>
      <c r="U9899" s="11">
        <f t="shared" si="2683"/>
        <v>3.4</v>
      </c>
      <c r="V9899" t="s">
        <v>15</v>
      </c>
      <c r="W9899">
        <v>3.4</v>
      </c>
      <c r="X9899" s="1" t="s">
        <v>30</v>
      </c>
    </row>
    <row r="9900" spans="1:24" x14ac:dyDescent="0.25">
      <c r="A9900" s="1" t="str">
        <f t="shared" si="2701"/>
        <v>卡卡杜-凤凰仓</v>
      </c>
      <c r="B9900" s="1" t="str">
        <f>"CK2024100415749"</f>
        <v>CK2024100415749</v>
      </c>
      <c r="C9900" s="1" t="str">
        <f>"DD2024100445942"</f>
        <v>DD2024100445942</v>
      </c>
      <c r="D9900" s="1" t="str">
        <f>"CK2024100445723"</f>
        <v>CK2024100445723</v>
      </c>
      <c r="E9900" s="1" t="str">
        <f>"KKD20240104YP002"</f>
        <v>KKD20240104YP002</v>
      </c>
      <c r="F9900" s="1" t="str">
        <f t="shared" si="2702"/>
        <v>花都四部-凤凰仓</v>
      </c>
      <c r="G9900" s="1" t="str">
        <f t="shared" si="2697"/>
        <v>卡卡杜全欣样品</v>
      </c>
      <c r="H9900" s="1" t="str">
        <f t="shared" si="2703"/>
        <v>正常订单</v>
      </c>
      <c r="I9900" s="1" t="str">
        <f t="shared" si="2704"/>
        <v>已发货</v>
      </c>
      <c r="J9900" s="1" t="str">
        <f>"5"</f>
        <v>5</v>
      </c>
      <c r="K9900" s="1">
        <v>4</v>
      </c>
      <c r="L9900" s="1" t="s">
        <v>105</v>
      </c>
      <c r="M9900" s="1" t="str">
        <f>"北京 北京市 朝阳区 "</f>
        <v xml:space="preserve">北京 北京市 朝阳区 </v>
      </c>
      <c r="N9900" s="1" t="str">
        <f t="shared" si="2698"/>
        <v>凡华云仓-韵达-淘宝</v>
      </c>
      <c r="O9900" s="3">
        <v>434168906940172</v>
      </c>
      <c r="P9900" s="6">
        <v>0.62</v>
      </c>
      <c r="Q9900" s="11">
        <f t="shared" si="2699"/>
        <v>2.5999999999999996</v>
      </c>
      <c r="R9900" s="11"/>
      <c r="S9900" s="11">
        <v>0.15</v>
      </c>
      <c r="T9900" s="11"/>
      <c r="U9900" s="11">
        <f t="shared" si="2683"/>
        <v>2.7499999999999996</v>
      </c>
      <c r="V9900" t="s">
        <v>15</v>
      </c>
      <c r="W9900">
        <v>2.75</v>
      </c>
      <c r="X9900" s="1" t="s">
        <v>105</v>
      </c>
    </row>
    <row r="9901" spans="1:24" x14ac:dyDescent="0.25">
      <c r="A9901" s="1" t="str">
        <f t="shared" si="2701"/>
        <v>卡卡杜-凤凰仓</v>
      </c>
      <c r="B9901" s="1" t="str">
        <f>"CK2024100415768"</f>
        <v>CK2024100415768</v>
      </c>
      <c r="C9901" s="1" t="str">
        <f>"DD2024100445955"</f>
        <v>DD2024100445955</v>
      </c>
      <c r="D9901" s="1" t="str">
        <f>"CK2024100445722"</f>
        <v>CK2024100445722</v>
      </c>
      <c r="E9901" s="1" t="str">
        <f>"KKD20240104YP009"</f>
        <v>KKD20240104YP009</v>
      </c>
      <c r="F9901" s="1" t="str">
        <f t="shared" si="2702"/>
        <v>花都四部-凤凰仓</v>
      </c>
      <c r="G9901" s="1" t="str">
        <f t="shared" si="2697"/>
        <v>卡卡杜全欣样品</v>
      </c>
      <c r="H9901" s="1" t="str">
        <f t="shared" si="2703"/>
        <v>正常订单</v>
      </c>
      <c r="I9901" s="1" t="str">
        <f t="shared" si="2704"/>
        <v>已发货</v>
      </c>
      <c r="J9901" s="1" t="str">
        <f t="shared" ref="J9901:J9904" si="2705">"8"</f>
        <v>8</v>
      </c>
      <c r="K9901" s="1">
        <v>6</v>
      </c>
      <c r="L9901" s="1" t="s">
        <v>20</v>
      </c>
      <c r="M9901" s="1" t="str">
        <f>"浙江省 杭州市 滨江区 "</f>
        <v xml:space="preserve">浙江省 杭州市 滨江区 </v>
      </c>
      <c r="N9901" s="1" t="str">
        <f t="shared" si="2698"/>
        <v>凡华云仓-韵达-淘宝</v>
      </c>
      <c r="O9901" s="3">
        <v>434168906940084</v>
      </c>
      <c r="P9901" s="6">
        <v>1.37</v>
      </c>
      <c r="Q9901" s="11">
        <f t="shared" si="2699"/>
        <v>3.6499999999999995</v>
      </c>
      <c r="R9901" s="11">
        <f t="shared" si="2700"/>
        <v>0.30000000000000004</v>
      </c>
      <c r="S9901" s="11">
        <v>0.15</v>
      </c>
      <c r="T9901" s="11"/>
      <c r="U9901" s="11">
        <f t="shared" si="2683"/>
        <v>4.0999999999999996</v>
      </c>
      <c r="V9901" t="s">
        <v>15</v>
      </c>
      <c r="W9901">
        <v>4.0999999999999996</v>
      </c>
      <c r="X9901" s="1" t="s">
        <v>20</v>
      </c>
    </row>
    <row r="9902" spans="1:24" x14ac:dyDescent="0.25">
      <c r="A9902" s="1" t="str">
        <f t="shared" si="2701"/>
        <v>卡卡杜-凤凰仓</v>
      </c>
      <c r="B9902" s="1" t="str">
        <f>"CK2024100415770"</f>
        <v>CK2024100415770</v>
      </c>
      <c r="C9902" s="1" t="str">
        <f>"DD2024100445956"</f>
        <v>DD2024100445956</v>
      </c>
      <c r="D9902" s="1" t="str">
        <f>"CK2024100445721"</f>
        <v>CK2024100445721</v>
      </c>
      <c r="E9902" s="1" t="str">
        <f>"KKD20240104YP006"</f>
        <v>KKD20240104YP006</v>
      </c>
      <c r="F9902" s="1" t="str">
        <f t="shared" si="2702"/>
        <v>花都四部-凤凰仓</v>
      </c>
      <c r="G9902" s="1" t="str">
        <f t="shared" si="2697"/>
        <v>卡卡杜全欣样品</v>
      </c>
      <c r="H9902" s="1" t="str">
        <f t="shared" si="2703"/>
        <v>正常订单</v>
      </c>
      <c r="I9902" s="1" t="str">
        <f t="shared" si="2704"/>
        <v>已发货</v>
      </c>
      <c r="J9902" s="1" t="str">
        <f t="shared" si="2705"/>
        <v>8</v>
      </c>
      <c r="K9902" s="1">
        <v>6</v>
      </c>
      <c r="L9902" s="1" t="s">
        <v>187</v>
      </c>
      <c r="M9902" s="1" t="str">
        <f>"吉林省 吉林市 舒兰市 "</f>
        <v xml:space="preserve">吉林省 吉林市 舒兰市 </v>
      </c>
      <c r="N9902" s="1" t="str">
        <f t="shared" si="2698"/>
        <v>凡华云仓-韵达-淘宝</v>
      </c>
      <c r="O9902" s="3">
        <v>434168906939979</v>
      </c>
      <c r="P9902" s="6">
        <v>1.37</v>
      </c>
      <c r="Q9902" s="11">
        <f t="shared" si="2699"/>
        <v>3.6499999999999995</v>
      </c>
      <c r="R9902" s="11">
        <f t="shared" si="2700"/>
        <v>0.30000000000000004</v>
      </c>
      <c r="S9902" s="11">
        <v>0.15</v>
      </c>
      <c r="T9902" s="11"/>
      <c r="U9902" s="11">
        <f t="shared" si="2683"/>
        <v>4.0999999999999996</v>
      </c>
      <c r="V9902" t="s">
        <v>15</v>
      </c>
      <c r="W9902">
        <v>4.0999999999999996</v>
      </c>
      <c r="X9902" s="1" t="s">
        <v>187</v>
      </c>
    </row>
    <row r="9903" spans="1:24" x14ac:dyDescent="0.25">
      <c r="A9903" s="1" t="str">
        <f t="shared" si="2701"/>
        <v>卡卡杜-凤凰仓</v>
      </c>
      <c r="B9903" s="1" t="str">
        <f>"CK2024100415771"</f>
        <v>CK2024100415771</v>
      </c>
      <c r="C9903" s="1" t="str">
        <f>"DD2024100445957"</f>
        <v>DD2024100445957</v>
      </c>
      <c r="D9903" s="1" t="str">
        <f>"CK2024100445720"</f>
        <v>CK2024100445720</v>
      </c>
      <c r="E9903" s="1" t="str">
        <f>"KKD20240104YP003"</f>
        <v>KKD20240104YP003</v>
      </c>
      <c r="F9903" s="1" t="str">
        <f t="shared" si="2702"/>
        <v>花都四部-凤凰仓</v>
      </c>
      <c r="G9903" s="1" t="str">
        <f t="shared" si="2697"/>
        <v>卡卡杜全欣样品</v>
      </c>
      <c r="H9903" s="1" t="str">
        <f t="shared" si="2703"/>
        <v>正常订单</v>
      </c>
      <c r="I9903" s="1" t="str">
        <f t="shared" si="2704"/>
        <v>已发货</v>
      </c>
      <c r="J9903" s="1" t="str">
        <f t="shared" si="2705"/>
        <v>8</v>
      </c>
      <c r="K9903" s="1">
        <v>6</v>
      </c>
      <c r="L9903" s="1" t="s">
        <v>13</v>
      </c>
      <c r="M9903" s="1" t="str">
        <f>"江苏省 南京市 建邺区 "</f>
        <v xml:space="preserve">江苏省 南京市 建邺区 </v>
      </c>
      <c r="N9903" s="1" t="str">
        <f t="shared" si="2698"/>
        <v>凡华云仓-韵达-淘宝</v>
      </c>
      <c r="O9903" s="3">
        <v>434168906939882</v>
      </c>
      <c r="P9903" s="6">
        <v>1.37</v>
      </c>
      <c r="Q9903" s="11">
        <f t="shared" si="2699"/>
        <v>3.6499999999999995</v>
      </c>
      <c r="R9903" s="11">
        <f t="shared" si="2700"/>
        <v>0.30000000000000004</v>
      </c>
      <c r="S9903" s="11">
        <v>0.15</v>
      </c>
      <c r="T9903" s="11"/>
      <c r="U9903" s="11">
        <f t="shared" si="2683"/>
        <v>4.0999999999999996</v>
      </c>
      <c r="V9903" t="s">
        <v>15</v>
      </c>
      <c r="W9903">
        <v>4.0999999999999996</v>
      </c>
      <c r="X9903" s="1" t="s">
        <v>13</v>
      </c>
    </row>
    <row r="9904" spans="1:24" x14ac:dyDescent="0.25">
      <c r="A9904" s="1" t="str">
        <f t="shared" si="2701"/>
        <v>卡卡杜-凤凰仓</v>
      </c>
      <c r="B9904" s="1" t="str">
        <f>"CK2024100415769"</f>
        <v>CK2024100415769</v>
      </c>
      <c r="C9904" s="1" t="str">
        <f>"DD2024100445958"</f>
        <v>DD2024100445958</v>
      </c>
      <c r="D9904" s="1" t="str">
        <f>"CK2024100445719"</f>
        <v>CK2024100445719</v>
      </c>
      <c r="E9904" s="1" t="str">
        <f>"KKD20240104YP008"</f>
        <v>KKD20240104YP008</v>
      </c>
      <c r="F9904" s="1" t="str">
        <f t="shared" si="2702"/>
        <v>花都四部-凤凰仓</v>
      </c>
      <c r="G9904" s="1" t="str">
        <f t="shared" si="2697"/>
        <v>卡卡杜全欣样品</v>
      </c>
      <c r="H9904" s="1" t="str">
        <f t="shared" si="2703"/>
        <v>正常订单</v>
      </c>
      <c r="I9904" s="1" t="str">
        <f t="shared" si="2704"/>
        <v>已发货</v>
      </c>
      <c r="J9904" s="1" t="str">
        <f t="shared" si="2705"/>
        <v>8</v>
      </c>
      <c r="K9904" s="1">
        <v>6</v>
      </c>
      <c r="L9904" s="1" t="s">
        <v>27</v>
      </c>
      <c r="M9904" s="1" t="str">
        <f>"贵州省 黔南布依族苗族自治州 平塘县 "</f>
        <v xml:space="preserve">贵州省 黔南布依族苗族自治州 平塘县 </v>
      </c>
      <c r="N9904" s="1" t="str">
        <f t="shared" si="2698"/>
        <v>凡华云仓-韵达-淘宝</v>
      </c>
      <c r="O9904" s="3">
        <v>434168906939785</v>
      </c>
      <c r="P9904" s="6">
        <v>1.37</v>
      </c>
      <c r="Q9904" s="11">
        <f t="shared" si="2699"/>
        <v>3.6499999999999995</v>
      </c>
      <c r="R9904" s="11">
        <f t="shared" si="2700"/>
        <v>0.30000000000000004</v>
      </c>
      <c r="S9904" s="11">
        <v>0.15</v>
      </c>
      <c r="T9904" s="11"/>
      <c r="U9904" s="11">
        <f t="shared" si="2683"/>
        <v>4.0999999999999996</v>
      </c>
      <c r="V9904" t="s">
        <v>15</v>
      </c>
      <c r="W9904">
        <v>4.0999999999999996</v>
      </c>
      <c r="X9904" s="1" t="s">
        <v>27</v>
      </c>
    </row>
    <row r="9905" spans="1:24" x14ac:dyDescent="0.25">
      <c r="A9905" s="1" t="str">
        <f t="shared" si="2701"/>
        <v>卡卡杜-凤凰仓</v>
      </c>
      <c r="B9905" s="1" t="str">
        <f>"CK2024100415753"</f>
        <v>CK2024100415753</v>
      </c>
      <c r="C9905" s="1" t="str">
        <f>"DD2024100445943"</f>
        <v>DD2024100445943</v>
      </c>
      <c r="D9905" s="1" t="str">
        <f>"CK2024100445718"</f>
        <v>CK2024100445718</v>
      </c>
      <c r="E9905" s="1" t="str">
        <f>"3723078065294282752"</f>
        <v>3723078065294282752</v>
      </c>
      <c r="F9905" s="1" t="str">
        <f t="shared" si="2702"/>
        <v>花都四部-凤凰仓</v>
      </c>
      <c r="G9905" s="1" t="str">
        <f t="shared" ref="G9905:G9911" si="2706">"卡卡杜企业店（视频号）"</f>
        <v>卡卡杜企业店（视频号）</v>
      </c>
      <c r="H9905" s="1" t="str">
        <f t="shared" si="2703"/>
        <v>正常订单</v>
      </c>
      <c r="I9905" s="1" t="str">
        <f t="shared" si="2704"/>
        <v>已发货</v>
      </c>
      <c r="J9905" s="1" t="str">
        <f t="shared" ref="J9905:J9908" si="2707">"2"</f>
        <v>2</v>
      </c>
      <c r="K9905" s="1">
        <v>2</v>
      </c>
      <c r="L9905" s="1" t="s">
        <v>74</v>
      </c>
      <c r="M9905" s="1" t="str">
        <f>"上海 上海市 长宁区 "</f>
        <v xml:space="preserve">上海 上海市 长宁区 </v>
      </c>
      <c r="N9905" s="1" t="str">
        <f t="shared" ref="N9905:N9911" si="2708">"凡华云仓-韵达-微信视频号"</f>
        <v>凡华云仓-韵达-微信视频号</v>
      </c>
      <c r="O9905" s="5">
        <v>315011933639674</v>
      </c>
      <c r="P9905" s="6">
        <v>0.28000000000000003</v>
      </c>
      <c r="Q9905" s="11">
        <v>2</v>
      </c>
      <c r="R9905" s="11"/>
      <c r="S9905" s="11"/>
      <c r="T9905" s="11"/>
      <c r="U9905" s="11">
        <f t="shared" si="2683"/>
        <v>2</v>
      </c>
      <c r="W9905">
        <v>2.2000000000000002</v>
      </c>
      <c r="X9905" s="1" t="s">
        <v>74</v>
      </c>
    </row>
    <row r="9906" spans="1:24" x14ac:dyDescent="0.25">
      <c r="A9906" s="1" t="str">
        <f t="shared" si="2701"/>
        <v>卡卡杜-凤凰仓</v>
      </c>
      <c r="B9906" s="1" t="str">
        <f>"CK2024100415764"</f>
        <v>CK2024100415764</v>
      </c>
      <c r="C9906" s="1" t="str">
        <f>"DD2024100445950"</f>
        <v>DD2024100445950</v>
      </c>
      <c r="D9906" s="1" t="str">
        <f>"CK2024100445717"</f>
        <v>CK2024100445717</v>
      </c>
      <c r="E9906" s="1" t="str">
        <f>"3723075559441961984"</f>
        <v>3723075559441961984</v>
      </c>
      <c r="F9906" s="1" t="str">
        <f t="shared" si="2702"/>
        <v>花都四部-凤凰仓</v>
      </c>
      <c r="G9906" s="1" t="str">
        <f t="shared" si="2706"/>
        <v>卡卡杜企业店（视频号）</v>
      </c>
      <c r="H9906" s="1" t="str">
        <f t="shared" si="2703"/>
        <v>正常订单</v>
      </c>
      <c r="I9906" s="1" t="str">
        <f t="shared" si="2704"/>
        <v>已发货</v>
      </c>
      <c r="J9906" s="1" t="str">
        <f t="shared" si="2707"/>
        <v>2</v>
      </c>
      <c r="K9906" s="1">
        <v>2</v>
      </c>
      <c r="L9906" s="1" t="s">
        <v>20</v>
      </c>
      <c r="M9906" s="1" t="str">
        <f>"浙江省 杭州市 西湖区 "</f>
        <v xml:space="preserve">浙江省 杭州市 西湖区 </v>
      </c>
      <c r="N9906" s="1" t="str">
        <f t="shared" si="2708"/>
        <v>凡华云仓-韵达-微信视频号</v>
      </c>
      <c r="O9906" s="5">
        <v>315011933637870</v>
      </c>
      <c r="P9906" s="6">
        <v>0.28000000000000003</v>
      </c>
      <c r="Q9906" s="11">
        <v>2</v>
      </c>
      <c r="R9906" s="11"/>
      <c r="S9906" s="11"/>
      <c r="T9906" s="11"/>
      <c r="U9906" s="11">
        <f t="shared" si="2683"/>
        <v>2</v>
      </c>
      <c r="W9906">
        <v>2.2000000000000002</v>
      </c>
      <c r="X9906" s="1" t="s">
        <v>20</v>
      </c>
    </row>
    <row r="9907" spans="1:24" x14ac:dyDescent="0.25">
      <c r="A9907" s="1" t="str">
        <f t="shared" si="2701"/>
        <v>卡卡杜-凤凰仓</v>
      </c>
      <c r="B9907" s="1" t="str">
        <f>"CK2024100415762"</f>
        <v>CK2024100415762</v>
      </c>
      <c r="C9907" s="1" t="str">
        <f>"DD2024100445948"</f>
        <v>DD2024100445948</v>
      </c>
      <c r="D9907" s="1" t="str">
        <f>"CK2024100445716"</f>
        <v>CK2024100445716</v>
      </c>
      <c r="E9907" s="1" t="str">
        <f>"3723076541553446912"</f>
        <v>3723076541553446912</v>
      </c>
      <c r="F9907" s="1" t="str">
        <f t="shared" si="2702"/>
        <v>花都四部-凤凰仓</v>
      </c>
      <c r="G9907" s="1" t="str">
        <f t="shared" si="2706"/>
        <v>卡卡杜企业店（视频号）</v>
      </c>
      <c r="H9907" s="1" t="str">
        <f t="shared" si="2703"/>
        <v>正常订单</v>
      </c>
      <c r="I9907" s="1" t="str">
        <f t="shared" si="2704"/>
        <v>已发货</v>
      </c>
      <c r="J9907" s="1" t="str">
        <f>"4"</f>
        <v>4</v>
      </c>
      <c r="K9907" s="1">
        <v>2</v>
      </c>
      <c r="L9907" s="1" t="s">
        <v>41</v>
      </c>
      <c r="M9907" s="1" t="str">
        <f>"湖北省 荆州市 监利市 "</f>
        <v xml:space="preserve">湖北省 荆州市 监利市 </v>
      </c>
      <c r="N9907" s="1" t="str">
        <f t="shared" si="2708"/>
        <v>凡华云仓-韵达-微信视频号</v>
      </c>
      <c r="O9907" s="5">
        <v>315011933636566</v>
      </c>
      <c r="P9907" s="6">
        <v>0.52</v>
      </c>
      <c r="Q9907" s="11">
        <f t="shared" ref="Q9907:Q9926" si="2709">CEILING(P9907-0.5,0.1)*10*0.15+2.3</f>
        <v>2.4499999999999997</v>
      </c>
      <c r="R9907" s="11"/>
      <c r="S9907" s="11"/>
      <c r="T9907" s="11"/>
      <c r="U9907" s="11">
        <f t="shared" si="2683"/>
        <v>2.4499999999999997</v>
      </c>
      <c r="V9907" t="s">
        <v>15</v>
      </c>
      <c r="W9907">
        <v>2.4500000000000002</v>
      </c>
      <c r="X9907" s="1" t="s">
        <v>41</v>
      </c>
    </row>
    <row r="9908" spans="1:24" x14ac:dyDescent="0.25">
      <c r="A9908" s="1" t="str">
        <f t="shared" si="2701"/>
        <v>卡卡杜-凤凰仓</v>
      </c>
      <c r="B9908" s="1" t="str">
        <f>"CK2024100415760"</f>
        <v>CK2024100415760</v>
      </c>
      <c r="C9908" s="1" t="str">
        <f>"DD2024100445947"</f>
        <v>DD2024100445947</v>
      </c>
      <c r="D9908" s="1" t="str">
        <f>"CK2024100445715"</f>
        <v>CK2024100445715</v>
      </c>
      <c r="E9908" s="1" t="str">
        <f>"3723076628197017088"</f>
        <v>3723076628197017088</v>
      </c>
      <c r="F9908" s="1" t="str">
        <f t="shared" si="2702"/>
        <v>花都四部-凤凰仓</v>
      </c>
      <c r="G9908" s="1" t="str">
        <f t="shared" si="2706"/>
        <v>卡卡杜企业店（视频号）</v>
      </c>
      <c r="H9908" s="1" t="str">
        <f t="shared" si="2703"/>
        <v>正常订单</v>
      </c>
      <c r="I9908" s="1" t="str">
        <f t="shared" si="2704"/>
        <v>已发货</v>
      </c>
      <c r="J9908" s="1" t="str">
        <f t="shared" si="2707"/>
        <v>2</v>
      </c>
      <c r="K9908" s="1">
        <v>2</v>
      </c>
      <c r="L9908" s="1" t="s">
        <v>218</v>
      </c>
      <c r="M9908" s="1" t="str">
        <f>"天津 天津市 河西区 "</f>
        <v xml:space="preserve">天津 天津市 河西区 </v>
      </c>
      <c r="N9908" s="1" t="str">
        <f t="shared" si="2708"/>
        <v>凡华云仓-韵达-微信视频号</v>
      </c>
      <c r="O9908" s="5">
        <v>315011933635191</v>
      </c>
      <c r="P9908" s="6">
        <v>0.28000000000000003</v>
      </c>
      <c r="Q9908" s="11">
        <v>2</v>
      </c>
      <c r="R9908" s="11"/>
      <c r="S9908" s="11"/>
      <c r="T9908" s="11"/>
      <c r="U9908" s="11">
        <f t="shared" si="2683"/>
        <v>2</v>
      </c>
      <c r="W9908">
        <v>2.2000000000000002</v>
      </c>
      <c r="X9908" s="1" t="s">
        <v>218</v>
      </c>
    </row>
    <row r="9909" spans="1:24" x14ac:dyDescent="0.25">
      <c r="A9909" s="1" t="str">
        <f t="shared" si="2701"/>
        <v>卡卡杜-凤凰仓</v>
      </c>
      <c r="B9909" s="1" t="str">
        <f>"CK2024100415759"</f>
        <v>CK2024100415759</v>
      </c>
      <c r="C9909" s="1" t="str">
        <f>"DD2024100445946"</f>
        <v>DD2024100445946</v>
      </c>
      <c r="D9909" s="1" t="str">
        <f>"CK2024100445714"</f>
        <v>CK2024100445714</v>
      </c>
      <c r="E9909" s="1" t="str">
        <f>"3723076691150115840"</f>
        <v>3723076691150115840</v>
      </c>
      <c r="F9909" s="1" t="str">
        <f t="shared" si="2702"/>
        <v>花都四部-凤凰仓</v>
      </c>
      <c r="G9909" s="1" t="str">
        <f t="shared" si="2706"/>
        <v>卡卡杜企业店（视频号）</v>
      </c>
      <c r="H9909" s="1" t="str">
        <f t="shared" si="2703"/>
        <v>正常订单</v>
      </c>
      <c r="I9909" s="1" t="str">
        <f t="shared" si="2704"/>
        <v>已发货</v>
      </c>
      <c r="J9909" s="1" t="str">
        <f>"4"</f>
        <v>4</v>
      </c>
      <c r="K9909" s="1">
        <v>2</v>
      </c>
      <c r="L9909" s="1" t="s">
        <v>74</v>
      </c>
      <c r="M9909" s="1" t="str">
        <f>"上海 上海市 宝山区 "</f>
        <v xml:space="preserve">上海 上海市 宝山区 </v>
      </c>
      <c r="N9909" s="1" t="str">
        <f t="shared" si="2708"/>
        <v>凡华云仓-韵达-微信视频号</v>
      </c>
      <c r="O9909" s="5">
        <v>315011933633383</v>
      </c>
      <c r="P9909" s="6">
        <v>0.52</v>
      </c>
      <c r="Q9909" s="11">
        <f t="shared" si="2709"/>
        <v>2.4499999999999997</v>
      </c>
      <c r="R9909" s="11"/>
      <c r="S9909" s="11"/>
      <c r="T9909" s="11"/>
      <c r="U9909" s="11">
        <f t="shared" si="2683"/>
        <v>2.4499999999999997</v>
      </c>
      <c r="V9909" t="s">
        <v>15</v>
      </c>
      <c r="W9909">
        <v>2.4500000000000002</v>
      </c>
      <c r="X9909" s="1" t="s">
        <v>74</v>
      </c>
    </row>
    <row r="9910" spans="1:24" x14ac:dyDescent="0.25">
      <c r="A9910" s="1" t="str">
        <f t="shared" si="2701"/>
        <v>卡卡杜-凤凰仓</v>
      </c>
      <c r="B9910" s="1" t="str">
        <f>"CK2024100415755"</f>
        <v>CK2024100415755</v>
      </c>
      <c r="C9910" s="1" t="str">
        <f>"DD2024100445944"</f>
        <v>DD2024100445944</v>
      </c>
      <c r="D9910" s="1" t="str">
        <f>"CK2024100445713"</f>
        <v>CK2024100445713</v>
      </c>
      <c r="E9910" s="1" t="str">
        <f>"3723077605868571648"</f>
        <v>3723077605868571648</v>
      </c>
      <c r="F9910" s="1" t="str">
        <f t="shared" si="2702"/>
        <v>花都四部-凤凰仓</v>
      </c>
      <c r="G9910" s="1" t="str">
        <f t="shared" si="2706"/>
        <v>卡卡杜企业店（视频号）</v>
      </c>
      <c r="H9910" s="1" t="str">
        <f t="shared" si="2703"/>
        <v>正常订单</v>
      </c>
      <c r="I9910" s="1" t="str">
        <f t="shared" si="2704"/>
        <v>已发货</v>
      </c>
      <c r="J9910" s="1" t="str">
        <f>"2"</f>
        <v>2</v>
      </c>
      <c r="K9910" s="1">
        <v>2</v>
      </c>
      <c r="L9910" s="1" t="s">
        <v>18</v>
      </c>
      <c r="M9910" s="1" t="str">
        <f>"广东省 珠海市 香洲区 "</f>
        <v xml:space="preserve">广东省 珠海市 香洲区 </v>
      </c>
      <c r="N9910" s="1" t="str">
        <f t="shared" si="2708"/>
        <v>凡华云仓-韵达-微信视频号</v>
      </c>
      <c r="O9910" s="5">
        <v>315011933632017</v>
      </c>
      <c r="P9910" s="6">
        <v>0.28000000000000003</v>
      </c>
      <c r="Q9910" s="11">
        <v>2</v>
      </c>
      <c r="R9910" s="11"/>
      <c r="S9910" s="11"/>
      <c r="T9910" s="11"/>
      <c r="U9910" s="11">
        <f t="shared" si="2683"/>
        <v>2</v>
      </c>
      <c r="W9910">
        <v>2.2000000000000002</v>
      </c>
      <c r="X9910" s="1" t="s">
        <v>18</v>
      </c>
    </row>
    <row r="9911" spans="1:24" x14ac:dyDescent="0.25">
      <c r="A9911" s="1" t="str">
        <f t="shared" si="2701"/>
        <v>卡卡杜-凤凰仓</v>
      </c>
      <c r="B9911" s="1" t="str">
        <f>"CK2024100415767"</f>
        <v>CK2024100415767</v>
      </c>
      <c r="C9911" s="1" t="str">
        <f>"DD2024100445952"</f>
        <v>DD2024100445952</v>
      </c>
      <c r="D9911" s="1" t="str">
        <f>"CK2024100445712"</f>
        <v>CK2024100445712</v>
      </c>
      <c r="E9911" s="1" t="str">
        <f>"3723074504987907072"</f>
        <v>3723074504987907072</v>
      </c>
      <c r="F9911" s="1" t="str">
        <f t="shared" si="2702"/>
        <v>花都四部-凤凰仓</v>
      </c>
      <c r="G9911" s="1" t="str">
        <f t="shared" si="2706"/>
        <v>卡卡杜企业店（视频号）</v>
      </c>
      <c r="H9911" s="1" t="str">
        <f t="shared" si="2703"/>
        <v>正常订单</v>
      </c>
      <c r="I9911" s="1" t="str">
        <f t="shared" si="2704"/>
        <v>已发货</v>
      </c>
      <c r="J9911" s="1" t="str">
        <f>"2"</f>
        <v>2</v>
      </c>
      <c r="K9911" s="1">
        <v>2</v>
      </c>
      <c r="L9911" s="1" t="s">
        <v>74</v>
      </c>
      <c r="M9911" s="1" t="str">
        <f>"上海 上海市 杨浦区 "</f>
        <v xml:space="preserve">上海 上海市 杨浦区 </v>
      </c>
      <c r="N9911" s="1" t="str">
        <f t="shared" si="2708"/>
        <v>凡华云仓-韵达-微信视频号</v>
      </c>
      <c r="O9911" s="5">
        <v>315011933629782</v>
      </c>
      <c r="P9911" s="6">
        <v>0.28000000000000003</v>
      </c>
      <c r="Q9911" s="11">
        <v>2</v>
      </c>
      <c r="R9911" s="11"/>
      <c r="S9911" s="11"/>
      <c r="T9911" s="11"/>
      <c r="U9911" s="11">
        <f t="shared" si="2683"/>
        <v>2</v>
      </c>
      <c r="W9911">
        <v>2.2000000000000002</v>
      </c>
      <c r="X9911" s="1" t="s">
        <v>74</v>
      </c>
    </row>
    <row r="9912" spans="1:24" x14ac:dyDescent="0.25">
      <c r="A9912" s="1" t="str">
        <f t="shared" si="2701"/>
        <v>卡卡杜-凤凰仓</v>
      </c>
      <c r="B9912" s="1" t="str">
        <f>"CK2024100415747"</f>
        <v>CK2024100415747</v>
      </c>
      <c r="C9912" s="1" t="str">
        <f>"DD2024100445939"</f>
        <v>DD2024100445939</v>
      </c>
      <c r="D9912" s="1" t="str">
        <f>"CK2024100445703"</f>
        <v>CK2024100445703</v>
      </c>
      <c r="E9912" s="1" t="str">
        <f>"KKD20240104YP005"</f>
        <v>KKD20240104YP005</v>
      </c>
      <c r="F9912" s="1" t="str">
        <f t="shared" si="2702"/>
        <v>花都四部-凤凰仓</v>
      </c>
      <c r="G9912" s="1" t="str">
        <f t="shared" ref="G9912:G9926" si="2710">"卡卡杜全欣样品"</f>
        <v>卡卡杜全欣样品</v>
      </c>
      <c r="H9912" s="1" t="str">
        <f t="shared" si="2703"/>
        <v>正常订单</v>
      </c>
      <c r="I9912" s="1" t="str">
        <f t="shared" si="2704"/>
        <v>已发货</v>
      </c>
      <c r="J9912" s="1" t="str">
        <f>"8"</f>
        <v>8</v>
      </c>
      <c r="K9912" s="1">
        <v>6</v>
      </c>
      <c r="L9912" s="1" t="s">
        <v>187</v>
      </c>
      <c r="M9912" s="1" t="str">
        <f>"吉林省 长春市 二道区 "</f>
        <v xml:space="preserve">吉林省 长春市 二道区 </v>
      </c>
      <c r="N9912" s="1" t="str">
        <f t="shared" ref="N9912:N9926" si="2711">"凡华云仓-韵达-淘宝"</f>
        <v>凡华云仓-韵达-淘宝</v>
      </c>
      <c r="O9912" s="3">
        <v>434168906939688</v>
      </c>
      <c r="P9912" s="6">
        <v>1.17</v>
      </c>
      <c r="Q9912" s="11">
        <f t="shared" si="2709"/>
        <v>3.3499999999999996</v>
      </c>
      <c r="R9912" s="11">
        <f t="shared" ref="R9912:R9915" si="2712">(K9912-3)*0.1</f>
        <v>0.30000000000000004</v>
      </c>
      <c r="S9912" s="11">
        <v>0.15</v>
      </c>
      <c r="T9912" s="11"/>
      <c r="U9912" s="11">
        <f t="shared" si="2683"/>
        <v>3.8</v>
      </c>
      <c r="V9912" t="s">
        <v>15</v>
      </c>
      <c r="W9912">
        <v>3.8</v>
      </c>
      <c r="X9912" s="1" t="s">
        <v>187</v>
      </c>
    </row>
    <row r="9913" spans="1:24" x14ac:dyDescent="0.25">
      <c r="A9913" s="1" t="str">
        <f t="shared" si="2701"/>
        <v>卡卡杜-凤凰仓</v>
      </c>
      <c r="B9913" s="1" t="str">
        <f>"CK2024102120334"</f>
        <v>CK2024102120334</v>
      </c>
      <c r="C9913" s="1" t="str">
        <f>"DD2024102153390"</f>
        <v>DD2024102153390</v>
      </c>
      <c r="D9913" s="1" t="str">
        <f>"CK2024102150350"</f>
        <v>CK2024102150350</v>
      </c>
      <c r="E9913" s="1" t="str">
        <f>"KKD20241021YP013"</f>
        <v>KKD20241021YP013</v>
      </c>
      <c r="F9913" s="1" t="str">
        <f t="shared" si="2702"/>
        <v>花都四部-凤凰仓</v>
      </c>
      <c r="G9913" s="1" t="str">
        <f t="shared" si="2710"/>
        <v>卡卡杜全欣样品</v>
      </c>
      <c r="H9913" s="1" t="str">
        <f t="shared" si="2703"/>
        <v>正常订单</v>
      </c>
      <c r="I9913" s="1" t="str">
        <f t="shared" si="2704"/>
        <v>已发货</v>
      </c>
      <c r="J9913" s="1" t="str">
        <f>"7"</f>
        <v>7</v>
      </c>
      <c r="K9913" s="1">
        <v>5</v>
      </c>
      <c r="L9913" s="1" t="s">
        <v>13</v>
      </c>
      <c r="M9913" s="1" t="str">
        <f>"江苏省 盐城市  "</f>
        <v xml:space="preserve">江苏省 盐城市  </v>
      </c>
      <c r="N9913" s="1" t="str">
        <f>"凡华云仓-城南圆通-淘宝"</f>
        <v>凡华云仓-城南圆通-淘宝</v>
      </c>
      <c r="O9913" s="3" t="s">
        <v>5682</v>
      </c>
      <c r="P9913" s="6">
        <v>0.95</v>
      </c>
      <c r="Q9913" s="11">
        <f t="shared" si="2709"/>
        <v>3.05</v>
      </c>
      <c r="R9913" s="11">
        <f t="shared" si="2712"/>
        <v>0.2</v>
      </c>
      <c r="S9913" s="11">
        <v>0.15</v>
      </c>
      <c r="T9913" s="11"/>
      <c r="U9913" s="11">
        <f t="shared" si="2683"/>
        <v>3.4</v>
      </c>
      <c r="V9913" t="s">
        <v>15</v>
      </c>
      <c r="W9913">
        <v>3.4</v>
      </c>
      <c r="X9913" s="1" t="s">
        <v>13</v>
      </c>
    </row>
    <row r="9914" spans="1:24" x14ac:dyDescent="0.25">
      <c r="A9914" s="1" t="str">
        <f t="shared" si="2701"/>
        <v>卡卡杜-凤凰仓</v>
      </c>
      <c r="B9914" s="1" t="str">
        <f>"CK2024100415745"</f>
        <v>CK2024100415745</v>
      </c>
      <c r="C9914" s="1" t="str">
        <f>"DD2024100445937"</f>
        <v>DD2024100445937</v>
      </c>
      <c r="D9914" s="1" t="str">
        <f>"CK2024100445701"</f>
        <v>CK2024100445701</v>
      </c>
      <c r="E9914" s="1" t="str">
        <f>"KKD20240104YP010"</f>
        <v>KKD20240104YP010</v>
      </c>
      <c r="F9914" s="1" t="str">
        <f t="shared" si="2702"/>
        <v>花都四部-凤凰仓</v>
      </c>
      <c r="G9914" s="1" t="str">
        <f t="shared" si="2710"/>
        <v>卡卡杜全欣样品</v>
      </c>
      <c r="H9914" s="1" t="str">
        <f t="shared" si="2703"/>
        <v>正常订单</v>
      </c>
      <c r="I9914" s="1" t="str">
        <f t="shared" si="2704"/>
        <v>已发货</v>
      </c>
      <c r="J9914" s="1" t="str">
        <f t="shared" ref="J9914:J9919" si="2713">"11"</f>
        <v>11</v>
      </c>
      <c r="K9914" s="1">
        <v>8</v>
      </c>
      <c r="L9914" s="1" t="s">
        <v>18</v>
      </c>
      <c r="M9914" s="1" t="str">
        <f>"广东省 东莞市 虎门港管委会 "</f>
        <v xml:space="preserve">广东省 东莞市 虎门港管委会 </v>
      </c>
      <c r="N9914" s="1" t="str">
        <f t="shared" si="2711"/>
        <v>凡华云仓-韵达-淘宝</v>
      </c>
      <c r="O9914" s="3">
        <v>434168906939494</v>
      </c>
      <c r="P9914" s="6">
        <v>1.58</v>
      </c>
      <c r="Q9914" s="11">
        <f t="shared" si="2709"/>
        <v>3.9499999999999997</v>
      </c>
      <c r="R9914" s="11">
        <f t="shared" si="2712"/>
        <v>0.5</v>
      </c>
      <c r="S9914" s="11">
        <v>0.15</v>
      </c>
      <c r="T9914" s="11"/>
      <c r="U9914" s="11">
        <f t="shared" si="2683"/>
        <v>4.5999999999999996</v>
      </c>
      <c r="V9914" t="s">
        <v>15</v>
      </c>
      <c r="W9914">
        <v>4.5999999999999996</v>
      </c>
      <c r="X9914" s="1" t="s">
        <v>18</v>
      </c>
    </row>
    <row r="9915" spans="1:24" x14ac:dyDescent="0.25">
      <c r="A9915" s="1" t="str">
        <f t="shared" si="2701"/>
        <v>卡卡杜-凤凰仓</v>
      </c>
      <c r="B9915" s="1" t="str">
        <f>"CK2024100415734"</f>
        <v>CK2024100415734</v>
      </c>
      <c r="C9915" s="1" t="str">
        <f>"DD2024100445926"</f>
        <v>DD2024100445926</v>
      </c>
      <c r="D9915" s="1" t="str">
        <f>"CK2024100445700"</f>
        <v>CK2024100445700</v>
      </c>
      <c r="E9915" s="1" t="str">
        <f>"KKD20240104YP021"</f>
        <v>KKD20240104YP021</v>
      </c>
      <c r="F9915" s="1" t="str">
        <f t="shared" si="2702"/>
        <v>花都四部-凤凰仓</v>
      </c>
      <c r="G9915" s="1" t="str">
        <f t="shared" si="2710"/>
        <v>卡卡杜全欣样品</v>
      </c>
      <c r="H9915" s="1" t="str">
        <f t="shared" si="2703"/>
        <v>正常订单</v>
      </c>
      <c r="I9915" s="1" t="str">
        <f t="shared" si="2704"/>
        <v>已发货</v>
      </c>
      <c r="J9915" s="1" t="str">
        <f t="shared" si="2713"/>
        <v>11</v>
      </c>
      <c r="K9915" s="1">
        <v>8</v>
      </c>
      <c r="L9915" s="1" t="s">
        <v>20</v>
      </c>
      <c r="M9915" s="1" t="str">
        <f>"浙江省 绍兴市 柯桥区 "</f>
        <v xml:space="preserve">浙江省 绍兴市 柯桥区 </v>
      </c>
      <c r="N9915" s="1" t="str">
        <f t="shared" si="2711"/>
        <v>凡华云仓-韵达-淘宝</v>
      </c>
      <c r="O9915" s="3">
        <v>434168906939397</v>
      </c>
      <c r="P9915" s="6">
        <v>1.58</v>
      </c>
      <c r="Q9915" s="11">
        <f t="shared" si="2709"/>
        <v>3.9499999999999997</v>
      </c>
      <c r="R9915" s="11">
        <f t="shared" si="2712"/>
        <v>0.5</v>
      </c>
      <c r="S9915" s="11">
        <v>0.15</v>
      </c>
      <c r="T9915" s="11"/>
      <c r="U9915" s="11">
        <f t="shared" si="2683"/>
        <v>4.5999999999999996</v>
      </c>
      <c r="V9915" t="s">
        <v>15</v>
      </c>
      <c r="W9915">
        <v>4.5999999999999996</v>
      </c>
      <c r="X9915" s="1" t="s">
        <v>20</v>
      </c>
    </row>
    <row r="9916" spans="1:24" x14ac:dyDescent="0.25">
      <c r="A9916" s="1" t="str">
        <f t="shared" si="2701"/>
        <v>卡卡杜-凤凰仓</v>
      </c>
      <c r="B9916" s="1" t="str">
        <f>"CK2024100415737"</f>
        <v>CK2024100415737</v>
      </c>
      <c r="C9916" s="1" t="str">
        <f>"DD2024100445927"</f>
        <v>DD2024100445927</v>
      </c>
      <c r="D9916" s="1" t="str">
        <f>"CK2024100445699"</f>
        <v>CK2024100445699</v>
      </c>
      <c r="E9916" s="1" t="str">
        <f>"KKD20240104YP018"</f>
        <v>KKD20240104YP018</v>
      </c>
      <c r="F9916" s="1" t="str">
        <f t="shared" si="2702"/>
        <v>花都四部-凤凰仓</v>
      </c>
      <c r="G9916" s="1" t="str">
        <f t="shared" si="2710"/>
        <v>卡卡杜全欣样品</v>
      </c>
      <c r="H9916" s="1" t="str">
        <f t="shared" si="2703"/>
        <v>正常订单</v>
      </c>
      <c r="I9916" s="1" t="str">
        <f t="shared" si="2704"/>
        <v>已发货</v>
      </c>
      <c r="J9916" s="1" t="str">
        <f>"5"</f>
        <v>5</v>
      </c>
      <c r="K9916" s="1">
        <v>4</v>
      </c>
      <c r="L9916" s="1" t="s">
        <v>92</v>
      </c>
      <c r="M9916" s="1" t="str">
        <f>"辽宁省 大连市 沙河口区 "</f>
        <v xml:space="preserve">辽宁省 大连市 沙河口区 </v>
      </c>
      <c r="N9916" s="1" t="str">
        <f t="shared" si="2711"/>
        <v>凡华云仓-韵达-淘宝</v>
      </c>
      <c r="O9916" s="3">
        <v>434168919236312</v>
      </c>
      <c r="P9916" s="6">
        <v>0.62</v>
      </c>
      <c r="Q9916" s="11">
        <f t="shared" si="2709"/>
        <v>2.5999999999999996</v>
      </c>
      <c r="R9916" s="11"/>
      <c r="S9916" s="11">
        <v>0.15</v>
      </c>
      <c r="T9916" s="11"/>
      <c r="U9916" s="11">
        <f t="shared" si="2683"/>
        <v>2.7499999999999996</v>
      </c>
      <c r="V9916" t="s">
        <v>15</v>
      </c>
      <c r="W9916">
        <v>2.75</v>
      </c>
      <c r="X9916" s="1" t="s">
        <v>92</v>
      </c>
    </row>
    <row r="9917" spans="1:24" x14ac:dyDescent="0.25">
      <c r="A9917" s="1" t="str">
        <f t="shared" si="2701"/>
        <v>卡卡杜-凤凰仓</v>
      </c>
      <c r="B9917" s="1" t="str">
        <f>"CK2024100415733"</f>
        <v>CK2024100415733</v>
      </c>
      <c r="C9917" s="1" t="str">
        <f>"DD2024100445928"</f>
        <v>DD2024100445928</v>
      </c>
      <c r="D9917" s="1" t="str">
        <f>"CK2024100445698"</f>
        <v>CK2024100445698</v>
      </c>
      <c r="E9917" s="1" t="str">
        <f>"KKD20240104YP022"</f>
        <v>KKD20240104YP022</v>
      </c>
      <c r="F9917" s="1" t="str">
        <f t="shared" si="2702"/>
        <v>花都四部-凤凰仓</v>
      </c>
      <c r="G9917" s="1" t="str">
        <f t="shared" si="2710"/>
        <v>卡卡杜全欣样品</v>
      </c>
      <c r="H9917" s="1" t="str">
        <f t="shared" si="2703"/>
        <v>正常订单</v>
      </c>
      <c r="I9917" s="1" t="str">
        <f t="shared" si="2704"/>
        <v>已发货</v>
      </c>
      <c r="J9917" s="1" t="str">
        <f t="shared" ref="J9917:J9920" si="2714">"8"</f>
        <v>8</v>
      </c>
      <c r="K9917" s="1">
        <v>6</v>
      </c>
      <c r="L9917" s="1" t="s">
        <v>18</v>
      </c>
      <c r="M9917" s="1" t="str">
        <f>"广东省 惠州市 惠城区 "</f>
        <v xml:space="preserve">广东省 惠州市 惠城区 </v>
      </c>
      <c r="N9917" s="1" t="str">
        <f t="shared" si="2711"/>
        <v>凡华云仓-韵达-淘宝</v>
      </c>
      <c r="O9917" s="3">
        <v>434168903111322</v>
      </c>
      <c r="P9917" s="6">
        <v>1.0900000000000001</v>
      </c>
      <c r="Q9917" s="11">
        <f t="shared" si="2709"/>
        <v>3.2</v>
      </c>
      <c r="R9917" s="11">
        <f t="shared" ref="R9917:R9926" si="2715">(K9917-3)*0.1</f>
        <v>0.30000000000000004</v>
      </c>
      <c r="S9917" s="11">
        <v>0.15</v>
      </c>
      <c r="T9917" s="11"/>
      <c r="U9917" s="11">
        <f t="shared" si="2683"/>
        <v>3.6500000000000004</v>
      </c>
      <c r="V9917" t="s">
        <v>15</v>
      </c>
      <c r="W9917">
        <v>3.65</v>
      </c>
      <c r="X9917" s="1" t="s">
        <v>18</v>
      </c>
    </row>
    <row r="9918" spans="1:24" x14ac:dyDescent="0.25">
      <c r="A9918" s="1" t="str">
        <f t="shared" si="2701"/>
        <v>卡卡杜-凤凰仓</v>
      </c>
      <c r="B9918" s="1" t="str">
        <f>"CK2024100415736"</f>
        <v>CK2024100415736</v>
      </c>
      <c r="C9918" s="1" t="str">
        <f>"DD2024100445929"</f>
        <v>DD2024100445929</v>
      </c>
      <c r="D9918" s="1" t="str">
        <f>"CK2024100445697"</f>
        <v>CK2024100445697</v>
      </c>
      <c r="E9918" s="1" t="str">
        <f>"KKD20240104YP019"</f>
        <v>KKD20240104YP019</v>
      </c>
      <c r="F9918" s="1" t="str">
        <f t="shared" si="2702"/>
        <v>花都四部-凤凰仓</v>
      </c>
      <c r="G9918" s="1" t="str">
        <f t="shared" si="2710"/>
        <v>卡卡杜全欣样品</v>
      </c>
      <c r="H9918" s="1" t="str">
        <f t="shared" si="2703"/>
        <v>正常订单</v>
      </c>
      <c r="I9918" s="1" t="str">
        <f t="shared" si="2704"/>
        <v>已发货</v>
      </c>
      <c r="J9918" s="1" t="str">
        <f t="shared" si="2714"/>
        <v>8</v>
      </c>
      <c r="K9918" s="1">
        <v>6</v>
      </c>
      <c r="L9918" s="1" t="s">
        <v>92</v>
      </c>
      <c r="M9918" s="1" t="str">
        <f>"辽宁省 沈阳市 于洪区 "</f>
        <v xml:space="preserve">辽宁省 沈阳市 于洪区 </v>
      </c>
      <c r="N9918" s="1" t="str">
        <f t="shared" si="2711"/>
        <v>凡华云仓-韵达-淘宝</v>
      </c>
      <c r="O9918" s="3">
        <v>434168903111233</v>
      </c>
      <c r="P9918" s="6">
        <v>1.0900000000000001</v>
      </c>
      <c r="Q9918" s="11">
        <f t="shared" si="2709"/>
        <v>3.2</v>
      </c>
      <c r="R9918" s="11">
        <f t="shared" si="2715"/>
        <v>0.30000000000000004</v>
      </c>
      <c r="S9918" s="11">
        <v>0.15</v>
      </c>
      <c r="T9918" s="11"/>
      <c r="U9918" s="11">
        <f t="shared" si="2683"/>
        <v>3.6500000000000004</v>
      </c>
      <c r="V9918" t="s">
        <v>15</v>
      </c>
      <c r="W9918">
        <v>3.65</v>
      </c>
      <c r="X9918" s="1" t="s">
        <v>92</v>
      </c>
    </row>
    <row r="9919" spans="1:24" x14ac:dyDescent="0.25">
      <c r="A9919" s="1" t="str">
        <f t="shared" si="2701"/>
        <v>卡卡杜-凤凰仓</v>
      </c>
      <c r="B9919" s="1" t="str">
        <f>"CK2024100415738"</f>
        <v>CK2024100415738</v>
      </c>
      <c r="C9919" s="1" t="str">
        <f>"DD2024100445930"</f>
        <v>DD2024100445930</v>
      </c>
      <c r="D9919" s="1" t="str">
        <f>"CK2024100445696"</f>
        <v>CK2024100445696</v>
      </c>
      <c r="E9919" s="1" t="str">
        <f>"KKD20240104YP017"</f>
        <v>KKD20240104YP017</v>
      </c>
      <c r="F9919" s="1" t="str">
        <f t="shared" si="2702"/>
        <v>花都四部-凤凰仓</v>
      </c>
      <c r="G9919" s="1" t="str">
        <f t="shared" si="2710"/>
        <v>卡卡杜全欣样品</v>
      </c>
      <c r="H9919" s="1" t="str">
        <f t="shared" si="2703"/>
        <v>正常订单</v>
      </c>
      <c r="I9919" s="1" t="str">
        <f t="shared" si="2704"/>
        <v>已发货</v>
      </c>
      <c r="J9919" s="1" t="str">
        <f t="shared" si="2713"/>
        <v>11</v>
      </c>
      <c r="K9919" s="1">
        <v>8</v>
      </c>
      <c r="L9919" s="1" t="s">
        <v>80</v>
      </c>
      <c r="M9919" s="1" t="str">
        <f>"河南省 许昌市 建安区 "</f>
        <v xml:space="preserve">河南省 许昌市 建安区 </v>
      </c>
      <c r="N9919" s="1" t="str">
        <f t="shared" si="2711"/>
        <v>凡华云仓-韵达-淘宝</v>
      </c>
      <c r="O9919" s="3">
        <v>434168903111144</v>
      </c>
      <c r="P9919" s="6">
        <v>1.58</v>
      </c>
      <c r="Q9919" s="11">
        <f t="shared" si="2709"/>
        <v>3.9499999999999997</v>
      </c>
      <c r="R9919" s="11">
        <f t="shared" si="2715"/>
        <v>0.5</v>
      </c>
      <c r="S9919" s="11">
        <v>0.15</v>
      </c>
      <c r="T9919" s="11"/>
      <c r="U9919" s="11">
        <f t="shared" si="2683"/>
        <v>4.5999999999999996</v>
      </c>
      <c r="V9919" t="s">
        <v>15</v>
      </c>
      <c r="W9919">
        <v>4.5999999999999996</v>
      </c>
      <c r="X9919" s="1" t="s">
        <v>80</v>
      </c>
    </row>
    <row r="9920" spans="1:24" x14ac:dyDescent="0.25">
      <c r="A9920" s="1" t="str">
        <f t="shared" si="2701"/>
        <v>卡卡杜-凤凰仓</v>
      </c>
      <c r="B9920" s="1" t="str">
        <f>"CK2024100415746"</f>
        <v>CK2024100415746</v>
      </c>
      <c r="C9920" s="1" t="str">
        <f>"DD2024100445938"</f>
        <v>DD2024100445938</v>
      </c>
      <c r="D9920" s="1" t="str">
        <f>"CK2024100445695"</f>
        <v>CK2024100445695</v>
      </c>
      <c r="E9920" s="1" t="str">
        <f>"KKD20240104YP007"</f>
        <v>KKD20240104YP007</v>
      </c>
      <c r="F9920" s="1" t="str">
        <f t="shared" si="2702"/>
        <v>花都四部-凤凰仓</v>
      </c>
      <c r="G9920" s="1" t="str">
        <f t="shared" si="2710"/>
        <v>卡卡杜全欣样品</v>
      </c>
      <c r="H9920" s="1" t="str">
        <f t="shared" si="2703"/>
        <v>正常订单</v>
      </c>
      <c r="I9920" s="1" t="str">
        <f t="shared" si="2704"/>
        <v>已发货</v>
      </c>
      <c r="J9920" s="1" t="str">
        <f t="shared" si="2714"/>
        <v>8</v>
      </c>
      <c r="K9920" s="1">
        <v>6</v>
      </c>
      <c r="L9920" s="1" t="s">
        <v>27</v>
      </c>
      <c r="M9920" s="1" t="str">
        <f>"贵州省 铜仁市 碧江区 "</f>
        <v xml:space="preserve">贵州省 铜仁市 碧江区 </v>
      </c>
      <c r="N9920" s="1" t="str">
        <f t="shared" si="2711"/>
        <v>凡华云仓-韵达-淘宝</v>
      </c>
      <c r="O9920" s="3">
        <v>434168903111055</v>
      </c>
      <c r="P9920" s="6">
        <v>1.0900000000000001</v>
      </c>
      <c r="Q9920" s="11">
        <f t="shared" si="2709"/>
        <v>3.2</v>
      </c>
      <c r="R9920" s="11">
        <f t="shared" si="2715"/>
        <v>0.30000000000000004</v>
      </c>
      <c r="S9920" s="11">
        <v>0.15</v>
      </c>
      <c r="T9920" s="11"/>
      <c r="U9920" s="11">
        <f t="shared" si="2683"/>
        <v>3.6500000000000004</v>
      </c>
      <c r="V9920" t="s">
        <v>15</v>
      </c>
      <c r="W9920">
        <v>3.65</v>
      </c>
      <c r="X9920" s="1" t="s">
        <v>27</v>
      </c>
    </row>
    <row r="9921" spans="1:24" x14ac:dyDescent="0.25">
      <c r="A9921" s="1" t="str">
        <f t="shared" si="2701"/>
        <v>卡卡杜-凤凰仓</v>
      </c>
      <c r="B9921" s="1" t="str">
        <f>"CK2024100718239"</f>
        <v>CK2024100718239</v>
      </c>
      <c r="C9921" s="1" t="str">
        <f>"DD2024100748506"</f>
        <v>DD2024100748506</v>
      </c>
      <c r="D9921" s="1" t="str">
        <f>"CK2024100748131"</f>
        <v>CK2024100748131</v>
      </c>
      <c r="E9921" s="1" t="str">
        <f>"KKD20241007YP003"</f>
        <v>KKD20241007YP003</v>
      </c>
      <c r="F9921" s="1" t="str">
        <f t="shared" si="2702"/>
        <v>花都四部-凤凰仓</v>
      </c>
      <c r="G9921" s="1" t="str">
        <f t="shared" si="2710"/>
        <v>卡卡杜全欣样品</v>
      </c>
      <c r="H9921" s="1" t="str">
        <f t="shared" si="2703"/>
        <v>正常订单</v>
      </c>
      <c r="I9921" s="1" t="str">
        <f t="shared" si="2704"/>
        <v>已发货</v>
      </c>
      <c r="J9921" s="1" t="str">
        <f>"7"</f>
        <v>7</v>
      </c>
      <c r="K9921" s="1">
        <v>5</v>
      </c>
      <c r="L9921" s="1" t="s">
        <v>30</v>
      </c>
      <c r="M9921" s="1" t="str">
        <f>"山东省 聊城市 东昌府区 "</f>
        <v xml:space="preserve">山东省 聊城市 东昌府区 </v>
      </c>
      <c r="N9921" s="1" t="str">
        <f t="shared" si="2711"/>
        <v>凡华云仓-韵达-淘宝</v>
      </c>
      <c r="O9921" s="3">
        <v>434174847147034</v>
      </c>
      <c r="P9921" s="6">
        <v>0.86</v>
      </c>
      <c r="Q9921" s="11">
        <f t="shared" si="2709"/>
        <v>2.9</v>
      </c>
      <c r="R9921" s="11">
        <f t="shared" si="2715"/>
        <v>0.2</v>
      </c>
      <c r="S9921" s="11">
        <v>0.15</v>
      </c>
      <c r="T9921" s="11"/>
      <c r="U9921" s="11">
        <f t="shared" si="2683"/>
        <v>3.25</v>
      </c>
      <c r="V9921" t="s">
        <v>15</v>
      </c>
      <c r="W9921">
        <v>3.25</v>
      </c>
      <c r="X9921" s="1" t="s">
        <v>30</v>
      </c>
    </row>
    <row r="9922" spans="1:24" x14ac:dyDescent="0.25">
      <c r="A9922" s="1" t="str">
        <f t="shared" si="2701"/>
        <v>卡卡杜-凤凰仓</v>
      </c>
      <c r="B9922" s="1" t="str">
        <f>"CK2024100415741"</f>
        <v>CK2024100415741</v>
      </c>
      <c r="C9922" s="1" t="str">
        <f>"DD2024100445932"</f>
        <v>DD2024100445932</v>
      </c>
      <c r="D9922" s="1" t="str">
        <f>"CK2024100445693"</f>
        <v>CK2024100445693</v>
      </c>
      <c r="E9922" s="1" t="str">
        <f>"KKD20240104YP014"</f>
        <v>KKD20240104YP014</v>
      </c>
      <c r="F9922" s="1" t="str">
        <f t="shared" si="2702"/>
        <v>花都四部-凤凰仓</v>
      </c>
      <c r="G9922" s="1" t="str">
        <f t="shared" si="2710"/>
        <v>卡卡杜全欣样品</v>
      </c>
      <c r="H9922" s="1" t="str">
        <f t="shared" si="2703"/>
        <v>正常订单</v>
      </c>
      <c r="I9922" s="1" t="str">
        <f t="shared" si="2704"/>
        <v>已发货</v>
      </c>
      <c r="J9922" s="1" t="str">
        <f t="shared" ref="J9922:J9926" si="2716">"11"</f>
        <v>11</v>
      </c>
      <c r="K9922" s="1">
        <v>8</v>
      </c>
      <c r="L9922" s="1" t="s">
        <v>20</v>
      </c>
      <c r="M9922" s="1" t="str">
        <f>"浙江省 杭州市 萧山区 "</f>
        <v xml:space="preserve">浙江省 杭州市 萧山区 </v>
      </c>
      <c r="N9922" s="1" t="str">
        <f t="shared" si="2711"/>
        <v>凡华云仓-韵达-淘宝</v>
      </c>
      <c r="O9922" s="3">
        <v>434168903110870</v>
      </c>
      <c r="P9922" s="6">
        <v>1.58</v>
      </c>
      <c r="Q9922" s="11">
        <f t="shared" si="2709"/>
        <v>3.9499999999999997</v>
      </c>
      <c r="R9922" s="11">
        <f t="shared" si="2715"/>
        <v>0.5</v>
      </c>
      <c r="S9922" s="11">
        <v>0.15</v>
      </c>
      <c r="T9922" s="11"/>
      <c r="U9922" s="11">
        <f t="shared" si="2683"/>
        <v>4.5999999999999996</v>
      </c>
      <c r="V9922" t="s">
        <v>15</v>
      </c>
      <c r="W9922">
        <v>4.5999999999999996</v>
      </c>
      <c r="X9922" s="1" t="s">
        <v>20</v>
      </c>
    </row>
    <row r="9923" spans="1:24" x14ac:dyDescent="0.25">
      <c r="A9923" s="1" t="str">
        <f t="shared" si="2701"/>
        <v>卡卡杜-凤凰仓</v>
      </c>
      <c r="B9923" s="1" t="str">
        <f>"CK2024100415739"</f>
        <v>CK2024100415739</v>
      </c>
      <c r="C9923" s="1" t="str">
        <f>"DD2024100445933"</f>
        <v>DD2024100445933</v>
      </c>
      <c r="D9923" s="1" t="str">
        <f>"CK2024100445692"</f>
        <v>CK2024100445692</v>
      </c>
      <c r="E9923" s="1" t="str">
        <f>"KKD20240104YP016"</f>
        <v>KKD20240104YP016</v>
      </c>
      <c r="F9923" s="1" t="str">
        <f t="shared" si="2702"/>
        <v>花都四部-凤凰仓</v>
      </c>
      <c r="G9923" s="1" t="str">
        <f t="shared" si="2710"/>
        <v>卡卡杜全欣样品</v>
      </c>
      <c r="H9923" s="1" t="str">
        <f t="shared" si="2703"/>
        <v>正常订单</v>
      </c>
      <c r="I9923" s="1" t="str">
        <f t="shared" si="2704"/>
        <v>已发货</v>
      </c>
      <c r="J9923" s="1" t="str">
        <f t="shared" si="2716"/>
        <v>11</v>
      </c>
      <c r="K9923" s="1">
        <v>8</v>
      </c>
      <c r="L9923" s="1" t="s">
        <v>94</v>
      </c>
      <c r="M9923" s="1" t="str">
        <f>"湖南省 长沙市 天心区 "</f>
        <v xml:space="preserve">湖南省 长沙市 天心区 </v>
      </c>
      <c r="N9923" s="1" t="str">
        <f t="shared" si="2711"/>
        <v>凡华云仓-韵达-淘宝</v>
      </c>
      <c r="O9923" s="3">
        <v>434168903110782</v>
      </c>
      <c r="P9923" s="6">
        <v>1.58</v>
      </c>
      <c r="Q9923" s="11">
        <f t="shared" si="2709"/>
        <v>3.9499999999999997</v>
      </c>
      <c r="R9923" s="11">
        <f t="shared" si="2715"/>
        <v>0.5</v>
      </c>
      <c r="S9923" s="11">
        <v>0.15</v>
      </c>
      <c r="T9923" s="11"/>
      <c r="U9923" s="11">
        <f t="shared" ref="U9923:U9986" si="2717">T9923+S9923+R9923+Q9923</f>
        <v>4.5999999999999996</v>
      </c>
      <c r="V9923" t="s">
        <v>15</v>
      </c>
      <c r="W9923">
        <v>4.5999999999999996</v>
      </c>
      <c r="X9923" s="1" t="s">
        <v>94</v>
      </c>
    </row>
    <row r="9924" spans="1:24" x14ac:dyDescent="0.25">
      <c r="A9924" s="1" t="str">
        <f t="shared" si="2701"/>
        <v>卡卡杜-凤凰仓</v>
      </c>
      <c r="B9924" s="1" t="str">
        <f>"CK2024100415742"</f>
        <v>CK2024100415742</v>
      </c>
      <c r="C9924" s="1" t="str">
        <f>"DD2024100445934"</f>
        <v>DD2024100445934</v>
      </c>
      <c r="D9924" s="1" t="str">
        <f>"CK2024100445691"</f>
        <v>CK2024100445691</v>
      </c>
      <c r="E9924" s="1" t="str">
        <f>"KKD20240104YP013"</f>
        <v>KKD20240104YP013</v>
      </c>
      <c r="F9924" s="1" t="str">
        <f t="shared" si="2702"/>
        <v>花都四部-凤凰仓</v>
      </c>
      <c r="G9924" s="1" t="str">
        <f t="shared" si="2710"/>
        <v>卡卡杜全欣样品</v>
      </c>
      <c r="H9924" s="1" t="str">
        <f t="shared" si="2703"/>
        <v>正常订单</v>
      </c>
      <c r="I9924" s="1" t="str">
        <f t="shared" si="2704"/>
        <v>已发货</v>
      </c>
      <c r="J9924" s="1" t="str">
        <f t="shared" si="2716"/>
        <v>11</v>
      </c>
      <c r="K9924" s="1">
        <v>8</v>
      </c>
      <c r="L9924" s="1" t="s">
        <v>18</v>
      </c>
      <c r="M9924" s="1" t="str">
        <f>"广东省 中山市 沙溪镇 "</f>
        <v xml:space="preserve">广东省 中山市 沙溪镇 </v>
      </c>
      <c r="N9924" s="1" t="str">
        <f t="shared" si="2711"/>
        <v>凡华云仓-韵达-淘宝</v>
      </c>
      <c r="O9924" s="3">
        <v>434168903110694</v>
      </c>
      <c r="P9924" s="6">
        <v>1.58</v>
      </c>
      <c r="Q9924" s="11">
        <f t="shared" si="2709"/>
        <v>3.9499999999999997</v>
      </c>
      <c r="R9924" s="11">
        <f t="shared" si="2715"/>
        <v>0.5</v>
      </c>
      <c r="S9924" s="11">
        <v>0.15</v>
      </c>
      <c r="T9924" s="11"/>
      <c r="U9924" s="11">
        <f t="shared" si="2717"/>
        <v>4.5999999999999996</v>
      </c>
      <c r="V9924" t="s">
        <v>15</v>
      </c>
      <c r="W9924">
        <v>4.5999999999999996</v>
      </c>
      <c r="X9924" s="1" t="s">
        <v>18</v>
      </c>
    </row>
    <row r="9925" spans="1:24" x14ac:dyDescent="0.25">
      <c r="A9925" s="1" t="str">
        <f t="shared" si="2701"/>
        <v>卡卡杜-凤凰仓</v>
      </c>
      <c r="B9925" s="1" t="str">
        <f>"CK2024100415743"</f>
        <v>CK2024100415743</v>
      </c>
      <c r="C9925" s="1" t="str">
        <f>"DD2024100445935"</f>
        <v>DD2024100445935</v>
      </c>
      <c r="D9925" s="1" t="str">
        <f>"CK2024100445690"</f>
        <v>CK2024100445690</v>
      </c>
      <c r="E9925" s="1" t="str">
        <f>"KKD20240104YP012"</f>
        <v>KKD20240104YP012</v>
      </c>
      <c r="F9925" s="1" t="str">
        <f t="shared" si="2702"/>
        <v>花都四部-凤凰仓</v>
      </c>
      <c r="G9925" s="1" t="str">
        <f t="shared" si="2710"/>
        <v>卡卡杜全欣样品</v>
      </c>
      <c r="H9925" s="1" t="str">
        <f t="shared" si="2703"/>
        <v>正常订单</v>
      </c>
      <c r="I9925" s="1" t="str">
        <f t="shared" si="2704"/>
        <v>已发货</v>
      </c>
      <c r="J9925" s="1" t="str">
        <f t="shared" si="2716"/>
        <v>11</v>
      </c>
      <c r="K9925" s="1">
        <v>8</v>
      </c>
      <c r="L9925" s="1" t="s">
        <v>41</v>
      </c>
      <c r="M9925" s="1" t="str">
        <f>"湖北省 宜昌市 宜都市 "</f>
        <v xml:space="preserve">湖北省 宜昌市 宜都市 </v>
      </c>
      <c r="N9925" s="1" t="str">
        <f t="shared" si="2711"/>
        <v>凡华云仓-韵达-淘宝</v>
      </c>
      <c r="O9925" s="3">
        <v>434168903110506</v>
      </c>
      <c r="P9925" s="6">
        <v>1.58</v>
      </c>
      <c r="Q9925" s="11">
        <f t="shared" si="2709"/>
        <v>3.9499999999999997</v>
      </c>
      <c r="R9925" s="11">
        <f t="shared" si="2715"/>
        <v>0.5</v>
      </c>
      <c r="S9925" s="11">
        <v>0.15</v>
      </c>
      <c r="T9925" s="11"/>
      <c r="U9925" s="11">
        <f t="shared" si="2717"/>
        <v>4.5999999999999996</v>
      </c>
      <c r="V9925" t="s">
        <v>15</v>
      </c>
      <c r="W9925">
        <v>4.5999999999999996</v>
      </c>
      <c r="X9925" s="1" t="s">
        <v>41</v>
      </c>
    </row>
    <row r="9926" spans="1:24" x14ac:dyDescent="0.25">
      <c r="A9926" s="1" t="str">
        <f t="shared" si="2701"/>
        <v>卡卡杜-凤凰仓</v>
      </c>
      <c r="B9926" s="1" t="str">
        <f>"CK2024100415740"</f>
        <v>CK2024100415740</v>
      </c>
      <c r="C9926" s="1" t="str">
        <f>"DD2024100445936"</f>
        <v>DD2024100445936</v>
      </c>
      <c r="D9926" s="1" t="str">
        <f>"CK2024100445689"</f>
        <v>CK2024100445689</v>
      </c>
      <c r="E9926" s="1" t="str">
        <f>"KKD20240104YP015"</f>
        <v>KKD20240104YP015</v>
      </c>
      <c r="F9926" s="1" t="str">
        <f t="shared" si="2702"/>
        <v>花都四部-凤凰仓</v>
      </c>
      <c r="G9926" s="1" t="str">
        <f t="shared" si="2710"/>
        <v>卡卡杜全欣样品</v>
      </c>
      <c r="H9926" s="1" t="str">
        <f t="shared" si="2703"/>
        <v>正常订单</v>
      </c>
      <c r="I9926" s="1" t="str">
        <f t="shared" si="2704"/>
        <v>已发货</v>
      </c>
      <c r="J9926" s="1" t="str">
        <f t="shared" si="2716"/>
        <v>11</v>
      </c>
      <c r="K9926" s="1">
        <v>8</v>
      </c>
      <c r="L9926" s="1" t="s">
        <v>74</v>
      </c>
      <c r="M9926" s="1" t="str">
        <f>"上海 上海市 宝山区 "</f>
        <v xml:space="preserve">上海 上海市 宝山区 </v>
      </c>
      <c r="N9926" s="1" t="str">
        <f t="shared" si="2711"/>
        <v>凡华云仓-韵达-淘宝</v>
      </c>
      <c r="O9926" s="3">
        <v>434168916163154</v>
      </c>
      <c r="P9926" s="6">
        <v>1.58</v>
      </c>
      <c r="Q9926" s="11">
        <f t="shared" si="2709"/>
        <v>3.9499999999999997</v>
      </c>
      <c r="R9926" s="11">
        <f t="shared" si="2715"/>
        <v>0.5</v>
      </c>
      <c r="S9926" s="11">
        <v>0.15</v>
      </c>
      <c r="T9926" s="11"/>
      <c r="U9926" s="11">
        <f t="shared" si="2717"/>
        <v>4.5999999999999996</v>
      </c>
      <c r="V9926" t="s">
        <v>15</v>
      </c>
      <c r="W9926">
        <v>4.5999999999999996</v>
      </c>
      <c r="X9926" s="1" t="s">
        <v>74</v>
      </c>
    </row>
    <row r="9927" spans="1:24" x14ac:dyDescent="0.25">
      <c r="A9927" s="1" t="str">
        <f t="shared" si="2701"/>
        <v>卡卡杜-凤凰仓</v>
      </c>
      <c r="B9927" s="1" t="str">
        <f>"CK2024100415763"</f>
        <v>CK2024100415763</v>
      </c>
      <c r="C9927" s="1" t="str">
        <f>"DD2024100445949"</f>
        <v>DD2024100445949</v>
      </c>
      <c r="D9927" s="1" t="str">
        <f>"CK2024100445688"</f>
        <v>CK2024100445688</v>
      </c>
      <c r="E9927" s="1" t="str">
        <f>"6917805568646610041"</f>
        <v>6917805568646610041</v>
      </c>
      <c r="F9927" s="1" t="str">
        <f t="shared" si="2702"/>
        <v>花都四部-凤凰仓</v>
      </c>
      <c r="G9927" s="1" t="str">
        <f>"卡卡杜个人护理店（抖店）"</f>
        <v>卡卡杜个人护理店（抖店）</v>
      </c>
      <c r="H9927" s="1" t="str">
        <f t="shared" si="2703"/>
        <v>正常订单</v>
      </c>
      <c r="I9927" s="1" t="str">
        <f t="shared" si="2704"/>
        <v>已发货</v>
      </c>
      <c r="J9927" s="1" t="str">
        <f>"2"</f>
        <v>2</v>
      </c>
      <c r="K9927" s="1">
        <v>2</v>
      </c>
      <c r="L9927" s="1" t="s">
        <v>74</v>
      </c>
      <c r="M9927" s="1" t="str">
        <f>"上海 上海市 闵行区 江川路街道"</f>
        <v>上海 上海市 闵行区 江川路街道</v>
      </c>
      <c r="N9927" s="1" t="str">
        <f>"凡华云仓-韵达-抖音"</f>
        <v>凡华云仓-韵达-抖音</v>
      </c>
      <c r="O9927" s="5">
        <v>320155441687159</v>
      </c>
      <c r="P9927" s="6">
        <v>0.28000000000000003</v>
      </c>
      <c r="Q9927" s="11">
        <v>2</v>
      </c>
      <c r="R9927" s="11"/>
      <c r="S9927" s="11"/>
      <c r="T9927" s="11"/>
      <c r="U9927" s="11">
        <f t="shared" si="2717"/>
        <v>2</v>
      </c>
      <c r="W9927">
        <v>2.2000000000000002</v>
      </c>
      <c r="X9927" s="1" t="s">
        <v>74</v>
      </c>
    </row>
    <row r="9928" spans="1:24" x14ac:dyDescent="0.25">
      <c r="A9928" s="1" t="str">
        <f t="shared" si="2701"/>
        <v>卡卡杜-凤凰仓</v>
      </c>
      <c r="B9928" s="1" t="str">
        <f>"CK2024100415765"</f>
        <v>CK2024100415765</v>
      </c>
      <c r="C9928" s="1" t="str">
        <f>"DD2024100445951"</f>
        <v>DD2024100445951</v>
      </c>
      <c r="D9928" s="1" t="str">
        <f>"CK2024100445687"</f>
        <v>CK2024100445687</v>
      </c>
      <c r="E9928" s="1" t="str">
        <f>"6917805135396240769"</f>
        <v>6917805135396240769</v>
      </c>
      <c r="F9928" s="1" t="str">
        <f t="shared" si="2702"/>
        <v>花都四部-凤凰仓</v>
      </c>
      <c r="G9928" s="1" t="str">
        <f>"卡卡杜个人护理店（抖店）"</f>
        <v>卡卡杜个人护理店（抖店）</v>
      </c>
      <c r="H9928" s="1" t="str">
        <f t="shared" si="2703"/>
        <v>正常订单</v>
      </c>
      <c r="I9928" s="1" t="str">
        <f t="shared" si="2704"/>
        <v>已发货</v>
      </c>
      <c r="J9928" s="1" t="str">
        <f>"2"</f>
        <v>2</v>
      </c>
      <c r="K9928" s="1">
        <v>2</v>
      </c>
      <c r="L9928" s="1" t="s">
        <v>161</v>
      </c>
      <c r="M9928" s="1" t="str">
        <f>"四川省 成都市 锦江区 交子街道"</f>
        <v>四川省 成都市 锦江区 交子街道</v>
      </c>
      <c r="N9928" s="1" t="str">
        <f>"凡华云仓-韵达-抖音"</f>
        <v>凡华云仓-韵达-抖音</v>
      </c>
      <c r="O9928" s="5">
        <v>320155460178767</v>
      </c>
      <c r="P9928" s="6">
        <v>0.28000000000000003</v>
      </c>
      <c r="Q9928" s="11">
        <v>2</v>
      </c>
      <c r="R9928" s="11"/>
      <c r="S9928" s="11"/>
      <c r="T9928" s="11"/>
      <c r="U9928" s="11">
        <f t="shared" si="2717"/>
        <v>2</v>
      </c>
      <c r="W9928">
        <v>2.2000000000000002</v>
      </c>
      <c r="X9928" s="1" t="s">
        <v>161</v>
      </c>
    </row>
    <row r="9929" spans="1:24" x14ac:dyDescent="0.25">
      <c r="A9929" s="1" t="str">
        <f t="shared" si="2701"/>
        <v>卡卡杜-凤凰仓</v>
      </c>
      <c r="B9929" s="1" t="str">
        <f>"CK2024100412969"</f>
        <v>CK2024100412969</v>
      </c>
      <c r="C9929" s="1" t="str">
        <f>"DD2024100430219"</f>
        <v>DD2024100430219</v>
      </c>
      <c r="D9929" s="1" t="str">
        <f>"CK2024100432396"</f>
        <v>CK2024100432396</v>
      </c>
      <c r="E9929" s="1" t="str">
        <f>"3723074289023979520"</f>
        <v>3723074289023979520</v>
      </c>
      <c r="F9929" s="1" t="str">
        <f t="shared" si="2702"/>
        <v>花都四部-凤凰仓</v>
      </c>
      <c r="G9929" s="1" t="str">
        <f t="shared" ref="G9929:G9932" si="2718">"卡卡杜企业店（视频号）"</f>
        <v>卡卡杜企业店（视频号）</v>
      </c>
      <c r="H9929" s="1" t="str">
        <f t="shared" si="2703"/>
        <v>正常订单</v>
      </c>
      <c r="I9929" s="1" t="str">
        <f t="shared" si="2704"/>
        <v>已发货</v>
      </c>
      <c r="J9929" s="1" t="str">
        <f>"2"</f>
        <v>2</v>
      </c>
      <c r="K9929" s="1">
        <v>2</v>
      </c>
      <c r="L9929" s="1" t="s">
        <v>22</v>
      </c>
      <c r="M9929" s="1" t="str">
        <f>"江西省 上饶市 广信区 "</f>
        <v xml:space="preserve">江西省 上饶市 广信区 </v>
      </c>
      <c r="N9929" s="1" t="str">
        <f t="shared" ref="N9929:N9932" si="2719">"凡华云仓-韵达-微信视频号"</f>
        <v>凡华云仓-韵达-微信视频号</v>
      </c>
      <c r="O9929" s="5">
        <v>315011923043816</v>
      </c>
      <c r="P9929" s="6">
        <v>0.28000000000000003</v>
      </c>
      <c r="Q9929" s="11">
        <v>2</v>
      </c>
      <c r="R9929" s="11"/>
      <c r="S9929" s="11"/>
      <c r="T9929" s="11"/>
      <c r="U9929" s="11">
        <f t="shared" si="2717"/>
        <v>2</v>
      </c>
      <c r="W9929">
        <v>2.2000000000000002</v>
      </c>
      <c r="X9929" s="1" t="s">
        <v>22</v>
      </c>
    </row>
    <row r="9930" spans="1:24" x14ac:dyDescent="0.25">
      <c r="A9930" s="1" t="str">
        <f t="shared" si="2701"/>
        <v>卡卡杜-凤凰仓</v>
      </c>
      <c r="B9930" s="1" t="str">
        <f>"CK2024100412988"</f>
        <v>CK2024100412988</v>
      </c>
      <c r="C9930" s="1" t="str">
        <f>"DD2024100430224"</f>
        <v>DD2024100430224</v>
      </c>
      <c r="D9930" s="1" t="str">
        <f>"CK2024100432395"</f>
        <v>CK2024100432395</v>
      </c>
      <c r="E9930" s="1" t="str">
        <f>"3723072435422629888"</f>
        <v>3723072435422629888</v>
      </c>
      <c r="F9930" s="1" t="str">
        <f t="shared" si="2702"/>
        <v>花都四部-凤凰仓</v>
      </c>
      <c r="G9930" s="1" t="str">
        <f t="shared" si="2718"/>
        <v>卡卡杜企业店（视频号）</v>
      </c>
      <c r="H9930" s="1" t="str">
        <f t="shared" si="2703"/>
        <v>正常订单</v>
      </c>
      <c r="I9930" s="1" t="str">
        <f t="shared" si="2704"/>
        <v>已发货</v>
      </c>
      <c r="J9930" s="1" t="str">
        <f>"4"</f>
        <v>4</v>
      </c>
      <c r="K9930" s="1">
        <v>2</v>
      </c>
      <c r="L9930" s="1" t="s">
        <v>13</v>
      </c>
      <c r="M9930" s="1" t="str">
        <f>"江苏省 常州市 天宁区 "</f>
        <v xml:space="preserve">江苏省 常州市 天宁区 </v>
      </c>
      <c r="N9930" s="1" t="str">
        <f t="shared" si="2719"/>
        <v>凡华云仓-韵达-微信视频号</v>
      </c>
      <c r="O9930" s="5">
        <v>315011923040255</v>
      </c>
      <c r="P9930" s="6">
        <v>0.52</v>
      </c>
      <c r="Q9930" s="11">
        <f>CEILING(P9930-0.5,0.1)*10*0.15+2.3</f>
        <v>2.4499999999999997</v>
      </c>
      <c r="R9930" s="11"/>
      <c r="S9930" s="11"/>
      <c r="T9930" s="11"/>
      <c r="U9930" s="11">
        <f t="shared" si="2717"/>
        <v>2.4499999999999997</v>
      </c>
      <c r="V9930" t="s">
        <v>15</v>
      </c>
      <c r="W9930">
        <v>2.4500000000000002</v>
      </c>
      <c r="X9930" s="1" t="s">
        <v>13</v>
      </c>
    </row>
    <row r="9931" spans="1:24" x14ac:dyDescent="0.25">
      <c r="A9931" s="1" t="str">
        <f t="shared" si="2701"/>
        <v>卡卡杜-凤凰仓</v>
      </c>
      <c r="B9931" s="1" t="str">
        <f>"CK2024100412987"</f>
        <v>CK2024100412987</v>
      </c>
      <c r="C9931" s="1" t="str">
        <f>"DD2024100430223"</f>
        <v>DD2024100430223</v>
      </c>
      <c r="D9931" s="1" t="str">
        <f>"CK2024100432394"</f>
        <v>CK2024100432394</v>
      </c>
      <c r="E9931" s="1" t="str">
        <f>"3723072545299760384"</f>
        <v>3723072545299760384</v>
      </c>
      <c r="F9931" s="1" t="str">
        <f t="shared" si="2702"/>
        <v>花都四部-凤凰仓</v>
      </c>
      <c r="G9931" s="1" t="str">
        <f t="shared" si="2718"/>
        <v>卡卡杜企业店（视频号）</v>
      </c>
      <c r="H9931" s="1" t="str">
        <f t="shared" si="2703"/>
        <v>正常订单</v>
      </c>
      <c r="I9931" s="1" t="str">
        <f t="shared" si="2704"/>
        <v>已发货</v>
      </c>
      <c r="J9931" s="1" t="str">
        <f>"4"</f>
        <v>4</v>
      </c>
      <c r="K9931" s="1">
        <v>2</v>
      </c>
      <c r="L9931" s="1" t="s">
        <v>74</v>
      </c>
      <c r="M9931" s="1" t="str">
        <f>"上海 上海市 闵行区 "</f>
        <v xml:space="preserve">上海 上海市 闵行区 </v>
      </c>
      <c r="N9931" s="1" t="str">
        <f t="shared" si="2719"/>
        <v>凡华云仓-韵达-微信视频号</v>
      </c>
      <c r="O9931" s="5">
        <v>315011923038137</v>
      </c>
      <c r="P9931" s="6">
        <v>0.52</v>
      </c>
      <c r="Q9931" s="11">
        <f>CEILING(P9931-0.5,0.1)*10*0.15+2.3</f>
        <v>2.4499999999999997</v>
      </c>
      <c r="R9931" s="11"/>
      <c r="S9931" s="11"/>
      <c r="T9931" s="11"/>
      <c r="U9931" s="11">
        <f t="shared" si="2717"/>
        <v>2.4499999999999997</v>
      </c>
      <c r="V9931" t="s">
        <v>15</v>
      </c>
      <c r="W9931">
        <v>2.4500000000000002</v>
      </c>
      <c r="X9931" s="1" t="s">
        <v>74</v>
      </c>
    </row>
    <row r="9932" spans="1:24" x14ac:dyDescent="0.25">
      <c r="A9932" s="1" t="str">
        <f t="shared" si="2701"/>
        <v>卡卡杜-凤凰仓</v>
      </c>
      <c r="B9932" s="1" t="str">
        <f>"CK2024100412979"</f>
        <v>CK2024100412979</v>
      </c>
      <c r="C9932" s="1" t="str">
        <f>"DD2024100430222"</f>
        <v>DD2024100430222</v>
      </c>
      <c r="D9932" s="1" t="str">
        <f>"CK2024100432393"</f>
        <v>CK2024100432393</v>
      </c>
      <c r="E9932" s="1" t="str">
        <f>"3723073202351113472"</f>
        <v>3723073202351113472</v>
      </c>
      <c r="F9932" s="1" t="str">
        <f t="shared" si="2702"/>
        <v>花都四部-凤凰仓</v>
      </c>
      <c r="G9932" s="1" t="str">
        <f t="shared" si="2718"/>
        <v>卡卡杜企业店（视频号）</v>
      </c>
      <c r="H9932" s="1" t="str">
        <f t="shared" si="2703"/>
        <v>正常订单</v>
      </c>
      <c r="I9932" s="1" t="str">
        <f t="shared" si="2704"/>
        <v>已发货</v>
      </c>
      <c r="J9932" s="1" t="str">
        <f t="shared" ref="J9932:J9937" si="2720">"2"</f>
        <v>2</v>
      </c>
      <c r="K9932" s="1">
        <v>2</v>
      </c>
      <c r="L9932" s="1" t="s">
        <v>74</v>
      </c>
      <c r="M9932" s="1" t="str">
        <f>"上海 上海市 闵行区 "</f>
        <v xml:space="preserve">上海 上海市 闵行区 </v>
      </c>
      <c r="N9932" s="1" t="str">
        <f t="shared" si="2719"/>
        <v>凡华云仓-韵达-微信视频号</v>
      </c>
      <c r="O9932" s="5">
        <v>315011923035045</v>
      </c>
      <c r="P9932" s="6">
        <v>0.28000000000000003</v>
      </c>
      <c r="Q9932" s="11">
        <v>2</v>
      </c>
      <c r="R9932" s="11"/>
      <c r="S9932" s="11"/>
      <c r="T9932" s="11"/>
      <c r="U9932" s="11">
        <f t="shared" si="2717"/>
        <v>2</v>
      </c>
      <c r="W9932">
        <v>2.2000000000000002</v>
      </c>
      <c r="X9932" s="1" t="s">
        <v>74</v>
      </c>
    </row>
    <row r="9933" spans="1:24" x14ac:dyDescent="0.25">
      <c r="A9933" s="1" t="str">
        <f t="shared" si="2701"/>
        <v>卡卡杜-凤凰仓</v>
      </c>
      <c r="B9933" s="1" t="str">
        <f>"CK2024100412978"</f>
        <v>CK2024100412978</v>
      </c>
      <c r="C9933" s="1" t="str">
        <f>"DD2024100430220"</f>
        <v>DD2024100430220</v>
      </c>
      <c r="D9933" s="1" t="str">
        <f>"CK2024100432392"</f>
        <v>CK2024100432392</v>
      </c>
      <c r="E9933" s="1" t="str">
        <f>"6917792677765741818"</f>
        <v>6917792677765741818</v>
      </c>
      <c r="F9933" s="1" t="str">
        <f t="shared" si="2702"/>
        <v>花都四部-凤凰仓</v>
      </c>
      <c r="G9933" s="1" t="str">
        <f>"卡卡杜个人护理店（抖店）"</f>
        <v>卡卡杜个人护理店（抖店）</v>
      </c>
      <c r="H9933" s="1" t="str">
        <f t="shared" si="2703"/>
        <v>正常订单</v>
      </c>
      <c r="I9933" s="1" t="str">
        <f t="shared" si="2704"/>
        <v>已发货</v>
      </c>
      <c r="J9933" s="1" t="str">
        <f t="shared" si="2720"/>
        <v>2</v>
      </c>
      <c r="K9933" s="1">
        <v>2</v>
      </c>
      <c r="L9933" s="1" t="s">
        <v>36</v>
      </c>
      <c r="M9933" s="1" t="str">
        <f>"安徽省 宿州市 灵璧县 朝阳镇"</f>
        <v>安徽省 宿州市 灵璧县 朝阳镇</v>
      </c>
      <c r="N9933" s="1" t="str">
        <f>"凡华云仓-韵达-抖音"</f>
        <v>凡华云仓-韵达-抖音</v>
      </c>
      <c r="O9933" s="5">
        <v>320155268718262</v>
      </c>
      <c r="P9933" s="6">
        <v>0.28000000000000003</v>
      </c>
      <c r="Q9933" s="11">
        <v>2</v>
      </c>
      <c r="R9933" s="11"/>
      <c r="S9933" s="11"/>
      <c r="T9933" s="11"/>
      <c r="U9933" s="11">
        <f t="shared" si="2717"/>
        <v>2</v>
      </c>
      <c r="W9933">
        <v>2.2000000000000002</v>
      </c>
      <c r="X9933" s="1" t="s">
        <v>36</v>
      </c>
    </row>
    <row r="9934" spans="1:24" x14ac:dyDescent="0.25">
      <c r="A9934" s="1" t="str">
        <f t="shared" si="2701"/>
        <v>卡卡杜-凤凰仓</v>
      </c>
      <c r="B9934" s="1" t="str">
        <f>"CK2024100412977"</f>
        <v>CK2024100412977</v>
      </c>
      <c r="C9934" s="1" t="str">
        <f>"DD2024100430221"</f>
        <v>DD2024100430221</v>
      </c>
      <c r="D9934" s="1" t="str">
        <f>"CK2024100432391"</f>
        <v>CK2024100432391</v>
      </c>
      <c r="E9934" s="1" t="str">
        <f>"6917792360402943531"</f>
        <v>6917792360402943531</v>
      </c>
      <c r="F9934" s="1" t="str">
        <f t="shared" si="2702"/>
        <v>花都四部-凤凰仓</v>
      </c>
      <c r="G9934" s="1" t="str">
        <f>"卡卡杜个人护理店（抖店）"</f>
        <v>卡卡杜个人护理店（抖店）</v>
      </c>
      <c r="H9934" s="1" t="str">
        <f t="shared" si="2703"/>
        <v>正常订单</v>
      </c>
      <c r="I9934" s="1" t="str">
        <f t="shared" si="2704"/>
        <v>已发货</v>
      </c>
      <c r="J9934" s="1" t="str">
        <f t="shared" si="2720"/>
        <v>2</v>
      </c>
      <c r="K9934" s="1">
        <v>2</v>
      </c>
      <c r="L9934" s="1" t="s">
        <v>13</v>
      </c>
      <c r="M9934" s="1" t="str">
        <f>"江苏省 苏州市 张家港市 杨舍镇"</f>
        <v>江苏省 苏州市 张家港市 杨舍镇</v>
      </c>
      <c r="N9934" s="1" t="str">
        <f>"凡华云仓-韵达-抖音"</f>
        <v>凡华云仓-韵达-抖音</v>
      </c>
      <c r="O9934" s="5">
        <v>320155274141980</v>
      </c>
      <c r="P9934" s="6">
        <v>0.28000000000000003</v>
      </c>
      <c r="Q9934" s="11">
        <v>2</v>
      </c>
      <c r="R9934" s="11"/>
      <c r="S9934" s="11"/>
      <c r="T9934" s="11"/>
      <c r="U9934" s="11">
        <f t="shared" si="2717"/>
        <v>2</v>
      </c>
      <c r="W9934">
        <v>2.2000000000000002</v>
      </c>
      <c r="X9934" s="1" t="s">
        <v>13</v>
      </c>
    </row>
    <row r="9935" spans="1:24" x14ac:dyDescent="0.25">
      <c r="A9935" s="1" t="str">
        <f t="shared" si="2701"/>
        <v>卡卡杜-凤凰仓</v>
      </c>
      <c r="B9935" s="1" t="str">
        <f>"CK2024100401"</f>
        <v>CK2024100401</v>
      </c>
      <c r="C9935" s="1" t="str">
        <f>"DD202410045101"</f>
        <v>DD202410045101</v>
      </c>
      <c r="D9935" s="1" t="str">
        <f>"CK2024100414440"</f>
        <v>CK2024100414440</v>
      </c>
      <c r="E9935" s="1" t="str">
        <f>"3723072160793498624"</f>
        <v>3723072160793498624</v>
      </c>
      <c r="F9935" s="1" t="str">
        <f t="shared" si="2702"/>
        <v>花都四部-凤凰仓</v>
      </c>
      <c r="G9935" s="1" t="str">
        <f t="shared" ref="G9935:G9946" si="2721">"卡卡杜企业店（视频号）"</f>
        <v>卡卡杜企业店（视频号）</v>
      </c>
      <c r="H9935" s="1" t="str">
        <f t="shared" si="2703"/>
        <v>正常订单</v>
      </c>
      <c r="I9935" s="1" t="str">
        <f t="shared" si="2704"/>
        <v>已发货</v>
      </c>
      <c r="J9935" s="1" t="str">
        <f t="shared" si="2720"/>
        <v>2</v>
      </c>
      <c r="K9935" s="1">
        <v>2</v>
      </c>
      <c r="L9935" s="1" t="s">
        <v>60</v>
      </c>
      <c r="M9935" s="1" t="str">
        <f>"云南省 昆明市 官渡区 "</f>
        <v xml:space="preserve">云南省 昆明市 官渡区 </v>
      </c>
      <c r="N9935" s="1" t="str">
        <f t="shared" ref="N9935:N9946" si="2722">"凡华云仓-韵达-微信视频号"</f>
        <v>凡华云仓-韵达-微信视频号</v>
      </c>
      <c r="O9935" s="5">
        <v>315011908647784</v>
      </c>
      <c r="P9935" s="6">
        <v>0.28000000000000003</v>
      </c>
      <c r="Q9935" s="11">
        <v>2</v>
      </c>
      <c r="R9935" s="11"/>
      <c r="S9935" s="11"/>
      <c r="T9935" s="11"/>
      <c r="U9935" s="11">
        <f t="shared" si="2717"/>
        <v>2</v>
      </c>
      <c r="W9935">
        <v>2.2000000000000002</v>
      </c>
      <c r="X9935" s="1" t="s">
        <v>60</v>
      </c>
    </row>
    <row r="9936" spans="1:24" x14ac:dyDescent="0.25">
      <c r="A9936" s="1" t="str">
        <f t="shared" si="2701"/>
        <v>卡卡杜-凤凰仓</v>
      </c>
      <c r="B9936" s="1" t="str">
        <f>"CK2024100448"</f>
        <v>CK2024100448</v>
      </c>
      <c r="C9936" s="1" t="str">
        <f>"DD202410045111"</f>
        <v>DD202410045111</v>
      </c>
      <c r="D9936" s="1" t="str">
        <f>"CK2024100414439"</f>
        <v>CK2024100414439</v>
      </c>
      <c r="E9936" s="1" t="str">
        <f>"3723063138951498752"</f>
        <v>3723063138951498752</v>
      </c>
      <c r="F9936" s="1" t="str">
        <f t="shared" si="2702"/>
        <v>花都四部-凤凰仓</v>
      </c>
      <c r="G9936" s="1" t="str">
        <f t="shared" si="2721"/>
        <v>卡卡杜企业店（视频号）</v>
      </c>
      <c r="H9936" s="1" t="str">
        <f t="shared" si="2703"/>
        <v>正常订单</v>
      </c>
      <c r="I9936" s="1" t="str">
        <f t="shared" si="2704"/>
        <v>已发货</v>
      </c>
      <c r="J9936" s="1" t="str">
        <f t="shared" si="2720"/>
        <v>2</v>
      </c>
      <c r="K9936" s="1">
        <v>2</v>
      </c>
      <c r="L9936" s="1" t="s">
        <v>41</v>
      </c>
      <c r="M9936" s="1" t="str">
        <f>"湖北省 武汉市 硚口区 "</f>
        <v xml:space="preserve">湖北省 武汉市 硚口区 </v>
      </c>
      <c r="N9936" s="1" t="str">
        <f t="shared" si="2722"/>
        <v>凡华云仓-韵达-微信视频号</v>
      </c>
      <c r="O9936" s="5">
        <v>315011908644111</v>
      </c>
      <c r="P9936" s="6">
        <v>0.28000000000000003</v>
      </c>
      <c r="Q9936" s="11">
        <v>2</v>
      </c>
      <c r="R9936" s="11"/>
      <c r="S9936" s="11"/>
      <c r="T9936" s="11"/>
      <c r="U9936" s="11">
        <f t="shared" si="2717"/>
        <v>2</v>
      </c>
      <c r="W9936">
        <v>2.2000000000000002</v>
      </c>
      <c r="X9936" s="1" t="s">
        <v>41</v>
      </c>
    </row>
    <row r="9937" spans="1:24" x14ac:dyDescent="0.25">
      <c r="A9937" s="1" t="str">
        <f t="shared" si="2701"/>
        <v>卡卡杜-凤凰仓</v>
      </c>
      <c r="B9937" s="1" t="str">
        <f>"CK2024100435"</f>
        <v>CK2024100435</v>
      </c>
      <c r="C9937" s="1" t="str">
        <f>"DD202410045106"</f>
        <v>DD202410045106</v>
      </c>
      <c r="D9937" s="1" t="str">
        <f>"CK2024100414438"</f>
        <v>CK2024100414438</v>
      </c>
      <c r="E9937" s="1" t="str">
        <f>"3723070177602569728"</f>
        <v>3723070177602569728</v>
      </c>
      <c r="F9937" s="1" t="str">
        <f t="shared" si="2702"/>
        <v>花都四部-凤凰仓</v>
      </c>
      <c r="G9937" s="1" t="str">
        <f t="shared" si="2721"/>
        <v>卡卡杜企业店（视频号）</v>
      </c>
      <c r="H9937" s="1" t="str">
        <f t="shared" si="2703"/>
        <v>正常订单</v>
      </c>
      <c r="I9937" s="1" t="str">
        <f t="shared" si="2704"/>
        <v>已发货</v>
      </c>
      <c r="J9937" s="1" t="str">
        <f t="shared" si="2720"/>
        <v>2</v>
      </c>
      <c r="K9937" s="1">
        <v>2</v>
      </c>
      <c r="L9937" s="1" t="s">
        <v>41</v>
      </c>
      <c r="M9937" s="1" t="str">
        <f>"湖北省 武汉市 汉阳区 "</f>
        <v xml:space="preserve">湖北省 武汉市 汉阳区 </v>
      </c>
      <c r="N9937" s="1" t="str">
        <f t="shared" si="2722"/>
        <v>凡华云仓-韵达-微信视频号</v>
      </c>
      <c r="O9937" s="5">
        <v>315011908640143</v>
      </c>
      <c r="P9937" s="6">
        <v>0.28000000000000003</v>
      </c>
      <c r="Q9937" s="11">
        <v>2</v>
      </c>
      <c r="R9937" s="11"/>
      <c r="S9937" s="11"/>
      <c r="T9937" s="11"/>
      <c r="U9937" s="11">
        <f t="shared" si="2717"/>
        <v>2</v>
      </c>
      <c r="W9937">
        <v>2.2000000000000002</v>
      </c>
      <c r="X9937" s="1" t="s">
        <v>41</v>
      </c>
    </row>
    <row r="9938" spans="1:24" x14ac:dyDescent="0.25">
      <c r="A9938" s="1" t="str">
        <f t="shared" si="2701"/>
        <v>卡卡杜-凤凰仓</v>
      </c>
      <c r="B9938" s="1" t="str">
        <f>"CK2024100406"</f>
        <v>CK2024100406</v>
      </c>
      <c r="C9938" s="1" t="str">
        <f>"DD202410045100"</f>
        <v>DD202410045100</v>
      </c>
      <c r="D9938" s="1" t="str">
        <f>"CK2024100414437"</f>
        <v>CK2024100414437</v>
      </c>
      <c r="E9938" s="1" t="str">
        <f>"3723071891321262080"</f>
        <v>3723071891321262080</v>
      </c>
      <c r="F9938" s="1" t="str">
        <f t="shared" si="2702"/>
        <v>花都四部-凤凰仓</v>
      </c>
      <c r="G9938" s="1" t="str">
        <f t="shared" si="2721"/>
        <v>卡卡杜企业店（视频号）</v>
      </c>
      <c r="H9938" s="1" t="str">
        <f t="shared" si="2703"/>
        <v>正常订单</v>
      </c>
      <c r="I9938" s="1" t="str">
        <f t="shared" si="2704"/>
        <v>已发货</v>
      </c>
      <c r="J9938" s="1" t="str">
        <f>"4"</f>
        <v>4</v>
      </c>
      <c r="K9938" s="1">
        <v>2</v>
      </c>
      <c r="L9938" s="1" t="s">
        <v>18</v>
      </c>
      <c r="M9938" s="1" t="str">
        <f>"广东省 珠海市 香洲区 "</f>
        <v xml:space="preserve">广东省 珠海市 香洲区 </v>
      </c>
      <c r="N9938" s="1" t="str">
        <f t="shared" si="2722"/>
        <v>凡华云仓-韵达-微信视频号</v>
      </c>
      <c r="O9938" s="5">
        <v>315011908636687</v>
      </c>
      <c r="P9938" s="6">
        <v>0.52</v>
      </c>
      <c r="Q9938" s="11">
        <f>CEILING(P9938-0.5,0.1)*10*0.15+2.3</f>
        <v>2.4499999999999997</v>
      </c>
      <c r="R9938" s="11"/>
      <c r="S9938" s="11"/>
      <c r="T9938" s="11"/>
      <c r="U9938" s="11">
        <f t="shared" si="2717"/>
        <v>2.4499999999999997</v>
      </c>
      <c r="V9938" t="s">
        <v>15</v>
      </c>
      <c r="W9938">
        <v>2.4500000000000002</v>
      </c>
      <c r="X9938" s="1" t="s">
        <v>18</v>
      </c>
    </row>
    <row r="9939" spans="1:24" x14ac:dyDescent="0.25">
      <c r="A9939" s="1" t="str">
        <f t="shared" si="2701"/>
        <v>卡卡杜-凤凰仓</v>
      </c>
      <c r="B9939" s="1" t="str">
        <f>"CK2024100492"</f>
        <v>CK2024100492</v>
      </c>
      <c r="C9939" s="1" t="str">
        <f>"DD202410045119"</f>
        <v>DD202410045119</v>
      </c>
      <c r="D9939" s="1" t="str">
        <f>"CK2024100414436"</f>
        <v>CK2024100414436</v>
      </c>
      <c r="E9939" s="1" t="str">
        <f>"3723057117354397696"</f>
        <v>3723057117354397696</v>
      </c>
      <c r="F9939" s="1" t="str">
        <f t="shared" si="2702"/>
        <v>花都四部-凤凰仓</v>
      </c>
      <c r="G9939" s="1" t="str">
        <f t="shared" si="2721"/>
        <v>卡卡杜企业店（视频号）</v>
      </c>
      <c r="H9939" s="1" t="str">
        <f t="shared" si="2703"/>
        <v>正常订单</v>
      </c>
      <c r="I9939" s="1" t="str">
        <f t="shared" si="2704"/>
        <v>已发货</v>
      </c>
      <c r="J9939" s="1" t="str">
        <f t="shared" ref="J9939:J9943" si="2723">"2"</f>
        <v>2</v>
      </c>
      <c r="K9939" s="1">
        <v>2</v>
      </c>
      <c r="L9939" s="1" t="s">
        <v>74</v>
      </c>
      <c r="M9939" s="1" t="str">
        <f>"上海 上海市 长宁区 "</f>
        <v xml:space="preserve">上海 上海市 长宁区 </v>
      </c>
      <c r="N9939" s="1" t="str">
        <f t="shared" si="2722"/>
        <v>凡华云仓-韵达-微信视频号</v>
      </c>
      <c r="O9939" s="5">
        <v>315011907913822</v>
      </c>
      <c r="P9939" s="6">
        <v>0.28000000000000003</v>
      </c>
      <c r="Q9939" s="11">
        <v>2</v>
      </c>
      <c r="R9939" s="11"/>
      <c r="S9939" s="11"/>
      <c r="T9939" s="11"/>
      <c r="U9939" s="11">
        <f t="shared" si="2717"/>
        <v>2</v>
      </c>
      <c r="W9939">
        <v>2.2000000000000002</v>
      </c>
      <c r="X9939" s="1" t="s">
        <v>74</v>
      </c>
    </row>
    <row r="9940" spans="1:24" x14ac:dyDescent="0.25">
      <c r="A9940" s="1" t="str">
        <f t="shared" si="2701"/>
        <v>卡卡杜-凤凰仓</v>
      </c>
      <c r="B9940" s="1" t="str">
        <f>"CK2024100452"</f>
        <v>CK2024100452</v>
      </c>
      <c r="C9940" s="1" t="str">
        <f>"DD202410045112"</f>
        <v>DD202410045112</v>
      </c>
      <c r="D9940" s="1" t="str">
        <f>"CK2024100414435"</f>
        <v>CK2024100414435</v>
      </c>
      <c r="E9940" s="1" t="str">
        <f>"3723062766016007168"</f>
        <v>3723062766016007168</v>
      </c>
      <c r="F9940" s="1" t="str">
        <f t="shared" si="2702"/>
        <v>花都四部-凤凰仓</v>
      </c>
      <c r="G9940" s="1" t="str">
        <f t="shared" si="2721"/>
        <v>卡卡杜企业店（视频号）</v>
      </c>
      <c r="H9940" s="1" t="str">
        <f t="shared" si="2703"/>
        <v>正常订单</v>
      </c>
      <c r="I9940" s="1" t="str">
        <f t="shared" si="2704"/>
        <v>已发货</v>
      </c>
      <c r="J9940" s="1" t="str">
        <f t="shared" si="2723"/>
        <v>2</v>
      </c>
      <c r="K9940" s="1">
        <v>2</v>
      </c>
      <c r="L9940" s="1" t="s">
        <v>41</v>
      </c>
      <c r="M9940" s="1" t="str">
        <f>"湖北省 武汉市 汉阳区 "</f>
        <v xml:space="preserve">湖北省 武汉市 汉阳区 </v>
      </c>
      <c r="N9940" s="1" t="str">
        <f t="shared" si="2722"/>
        <v>凡华云仓-韵达-微信视频号</v>
      </c>
      <c r="O9940" s="5">
        <v>315011908632504</v>
      </c>
      <c r="P9940" s="6">
        <v>0.28000000000000003</v>
      </c>
      <c r="Q9940" s="11">
        <v>2</v>
      </c>
      <c r="R9940" s="11"/>
      <c r="S9940" s="11"/>
      <c r="T9940" s="11"/>
      <c r="U9940" s="11">
        <f t="shared" si="2717"/>
        <v>2</v>
      </c>
      <c r="W9940">
        <v>2.2000000000000002</v>
      </c>
      <c r="X9940" s="1" t="s">
        <v>41</v>
      </c>
    </row>
    <row r="9941" spans="1:24" x14ac:dyDescent="0.25">
      <c r="A9941" s="1" t="str">
        <f t="shared" si="2701"/>
        <v>卡卡杜-凤凰仓</v>
      </c>
      <c r="B9941" s="1" t="str">
        <f>"CK2024100405"</f>
        <v>CK2024100405</v>
      </c>
      <c r="C9941" s="1" t="str">
        <f>"DD202410045099"</f>
        <v>DD202410045099</v>
      </c>
      <c r="D9941" s="1" t="str">
        <f>"CK2024100414434"</f>
        <v>CK2024100414434</v>
      </c>
      <c r="E9941" s="1" t="str">
        <f>"3723071911475155968"</f>
        <v>3723071911475155968</v>
      </c>
      <c r="F9941" s="1" t="str">
        <f t="shared" si="2702"/>
        <v>花都四部-凤凰仓</v>
      </c>
      <c r="G9941" s="1" t="str">
        <f t="shared" si="2721"/>
        <v>卡卡杜企业店（视频号）</v>
      </c>
      <c r="H9941" s="1" t="str">
        <f t="shared" si="2703"/>
        <v>正常订单</v>
      </c>
      <c r="I9941" s="1" t="str">
        <f t="shared" si="2704"/>
        <v>已发货</v>
      </c>
      <c r="J9941" s="1" t="str">
        <f t="shared" si="2723"/>
        <v>2</v>
      </c>
      <c r="K9941" s="1">
        <v>2</v>
      </c>
      <c r="L9941" s="1" t="s">
        <v>18</v>
      </c>
      <c r="M9941" s="1" t="str">
        <f>"广东省 东莞市 虎门镇 "</f>
        <v xml:space="preserve">广东省 东莞市 虎门镇 </v>
      </c>
      <c r="N9941" s="1" t="str">
        <f t="shared" si="2722"/>
        <v>凡华云仓-韵达-微信视频号</v>
      </c>
      <c r="O9941" s="5">
        <v>315011908628402</v>
      </c>
      <c r="P9941" s="6">
        <v>0.28000000000000003</v>
      </c>
      <c r="Q9941" s="11">
        <v>2</v>
      </c>
      <c r="R9941" s="11"/>
      <c r="S9941" s="11"/>
      <c r="T9941" s="11"/>
      <c r="U9941" s="11">
        <f t="shared" si="2717"/>
        <v>2</v>
      </c>
      <c r="W9941">
        <v>2.2000000000000002</v>
      </c>
      <c r="X9941" s="1" t="s">
        <v>18</v>
      </c>
    </row>
    <row r="9942" spans="1:24" x14ac:dyDescent="0.25">
      <c r="A9942" s="1" t="str">
        <f t="shared" si="2701"/>
        <v>卡卡杜-凤凰仓</v>
      </c>
      <c r="B9942" s="1" t="str">
        <f>"CK2024100402"</f>
        <v>CK2024100402</v>
      </c>
      <c r="C9942" s="1" t="str">
        <f>"DD202410045103"</f>
        <v>DD202410045103</v>
      </c>
      <c r="D9942" s="1" t="str">
        <f>"CK2024100414433"</f>
        <v>CK2024100414433</v>
      </c>
      <c r="E9942" s="1" t="str">
        <f>"3723072155455981056"</f>
        <v>3723072155455981056</v>
      </c>
      <c r="F9942" s="1" t="str">
        <f t="shared" si="2702"/>
        <v>花都四部-凤凰仓</v>
      </c>
      <c r="G9942" s="1" t="str">
        <f t="shared" si="2721"/>
        <v>卡卡杜企业店（视频号）</v>
      </c>
      <c r="H9942" s="1" t="str">
        <f t="shared" si="2703"/>
        <v>正常订单</v>
      </c>
      <c r="I9942" s="1" t="str">
        <f t="shared" si="2704"/>
        <v>已发货</v>
      </c>
      <c r="J9942" s="1" t="str">
        <f t="shared" si="2723"/>
        <v>2</v>
      </c>
      <c r="K9942" s="1">
        <v>2</v>
      </c>
      <c r="L9942" s="1" t="s">
        <v>96</v>
      </c>
      <c r="M9942" s="1" t="str">
        <f>"广西壮族自治区 河池市 宜州区 "</f>
        <v xml:space="preserve">广西壮族自治区 河池市 宜州区 </v>
      </c>
      <c r="N9942" s="1" t="str">
        <f t="shared" si="2722"/>
        <v>凡华云仓-韵达-微信视频号</v>
      </c>
      <c r="O9942" s="5">
        <v>315011908624034</v>
      </c>
      <c r="P9942" s="6">
        <v>0.28000000000000003</v>
      </c>
      <c r="Q9942" s="11">
        <v>2</v>
      </c>
      <c r="R9942" s="11"/>
      <c r="S9942" s="11"/>
      <c r="T9942" s="11"/>
      <c r="U9942" s="11">
        <f t="shared" si="2717"/>
        <v>2</v>
      </c>
      <c r="W9942">
        <v>2.2000000000000002</v>
      </c>
      <c r="X9942" s="1" t="s">
        <v>96</v>
      </c>
    </row>
    <row r="9943" spans="1:24" x14ac:dyDescent="0.25">
      <c r="A9943" s="1" t="str">
        <f t="shared" si="2701"/>
        <v>卡卡杜-凤凰仓</v>
      </c>
      <c r="B9943" s="1" t="str">
        <f>"CK2024100438"</f>
        <v>CK2024100438</v>
      </c>
      <c r="C9943" s="1" t="str">
        <f>"DD202410045107"</f>
        <v>DD202410045107</v>
      </c>
      <c r="D9943" s="1" t="str">
        <f>"CK2024100414432"</f>
        <v>CK2024100414432</v>
      </c>
      <c r="E9943" s="1" t="str">
        <f>"3723064668877885440"</f>
        <v>3723064668877885440</v>
      </c>
      <c r="F9943" s="1" t="str">
        <f t="shared" si="2702"/>
        <v>花都四部-凤凰仓</v>
      </c>
      <c r="G9943" s="1" t="str">
        <f t="shared" si="2721"/>
        <v>卡卡杜企业店（视频号）</v>
      </c>
      <c r="H9943" s="1" t="str">
        <f t="shared" si="2703"/>
        <v>正常订单</v>
      </c>
      <c r="I9943" s="1" t="str">
        <f t="shared" si="2704"/>
        <v>已发货</v>
      </c>
      <c r="J9943" s="1" t="str">
        <f t="shared" si="2723"/>
        <v>2</v>
      </c>
      <c r="K9943" s="1">
        <v>2</v>
      </c>
      <c r="L9943" s="1" t="s">
        <v>20</v>
      </c>
      <c r="M9943" s="1" t="str">
        <f>"浙江省 杭州市 上城区 "</f>
        <v xml:space="preserve">浙江省 杭州市 上城区 </v>
      </c>
      <c r="N9943" s="1" t="str">
        <f t="shared" si="2722"/>
        <v>凡华云仓-韵达-微信视频号</v>
      </c>
      <c r="O9943" s="5">
        <v>315011908619816</v>
      </c>
      <c r="P9943" s="6">
        <v>0.28000000000000003</v>
      </c>
      <c r="Q9943" s="11">
        <v>2</v>
      </c>
      <c r="R9943" s="11"/>
      <c r="S9943" s="11"/>
      <c r="T9943" s="11"/>
      <c r="U9943" s="11">
        <f t="shared" si="2717"/>
        <v>2</v>
      </c>
      <c r="W9943">
        <v>2.2000000000000002</v>
      </c>
      <c r="X9943" s="1" t="s">
        <v>20</v>
      </c>
    </row>
    <row r="9944" spans="1:24" x14ac:dyDescent="0.25">
      <c r="A9944" s="1" t="str">
        <f t="shared" si="2701"/>
        <v>卡卡杜-凤凰仓</v>
      </c>
      <c r="B9944" s="1" t="str">
        <f>"CK2024100433"</f>
        <v>CK2024100433</v>
      </c>
      <c r="C9944" s="1" t="str">
        <f>"DD202410045104"</f>
        <v>DD202410045104</v>
      </c>
      <c r="D9944" s="1" t="str">
        <f>"CK2024100414431"</f>
        <v>CK2024100414431</v>
      </c>
      <c r="E9944" s="1" t="str">
        <f>"3723070884499555584"</f>
        <v>3723070884499555584</v>
      </c>
      <c r="F9944" s="1" t="str">
        <f t="shared" si="2702"/>
        <v>花都四部-凤凰仓</v>
      </c>
      <c r="G9944" s="1" t="str">
        <f t="shared" si="2721"/>
        <v>卡卡杜企业店（视频号）</v>
      </c>
      <c r="H9944" s="1" t="str">
        <f t="shared" si="2703"/>
        <v>正常订单</v>
      </c>
      <c r="I9944" s="1" t="str">
        <f t="shared" si="2704"/>
        <v>已发货</v>
      </c>
      <c r="J9944" s="1" t="str">
        <f>"4"</f>
        <v>4</v>
      </c>
      <c r="K9944" s="1">
        <v>2</v>
      </c>
      <c r="L9944" s="1" t="s">
        <v>74</v>
      </c>
      <c r="M9944" s="1" t="str">
        <f>"上海 上海市 黄浦区 "</f>
        <v xml:space="preserve">上海 上海市 黄浦区 </v>
      </c>
      <c r="N9944" s="1" t="str">
        <f t="shared" si="2722"/>
        <v>凡华云仓-韵达-微信视频号</v>
      </c>
      <c r="O9944" s="5">
        <v>315011908615604</v>
      </c>
      <c r="P9944" s="6">
        <v>0.52</v>
      </c>
      <c r="Q9944" s="11">
        <f>CEILING(P9944-0.5,0.1)*10*0.15+2.3</f>
        <v>2.4499999999999997</v>
      </c>
      <c r="R9944" s="11"/>
      <c r="S9944" s="11"/>
      <c r="T9944" s="11"/>
      <c r="U9944" s="11">
        <f t="shared" si="2717"/>
        <v>2.4499999999999997</v>
      </c>
      <c r="V9944" t="s">
        <v>15</v>
      </c>
      <c r="W9944">
        <v>2.4500000000000002</v>
      </c>
      <c r="X9944" s="1" t="s">
        <v>74</v>
      </c>
    </row>
    <row r="9945" spans="1:24" x14ac:dyDescent="0.25">
      <c r="A9945" s="1" t="str">
        <f t="shared" si="2701"/>
        <v>卡卡杜-凤凰仓</v>
      </c>
      <c r="B9945" s="1" t="str">
        <f>"CK2024100445"</f>
        <v>CK2024100445</v>
      </c>
      <c r="C9945" s="1" t="str">
        <f>"DD202410045110"</f>
        <v>DD202410045110</v>
      </c>
      <c r="D9945" s="1" t="str">
        <f>"CK2024100414430"</f>
        <v>CK2024100414430</v>
      </c>
      <c r="E9945" s="1" t="str">
        <f>"3723063315879824384"</f>
        <v>3723063315879824384</v>
      </c>
      <c r="F9945" s="1" t="str">
        <f t="shared" si="2702"/>
        <v>花都四部-凤凰仓</v>
      </c>
      <c r="G9945" s="1" t="str">
        <f t="shared" si="2721"/>
        <v>卡卡杜企业店（视频号）</v>
      </c>
      <c r="H9945" s="1" t="str">
        <f t="shared" si="2703"/>
        <v>正常订单</v>
      </c>
      <c r="I9945" s="1" t="str">
        <f t="shared" si="2704"/>
        <v>已发货</v>
      </c>
      <c r="J9945" s="1" t="str">
        <f t="shared" ref="J9945:J9949" si="2724">"2"</f>
        <v>2</v>
      </c>
      <c r="K9945" s="1">
        <v>2</v>
      </c>
      <c r="L9945" s="1" t="s">
        <v>18</v>
      </c>
      <c r="M9945" s="1" t="str">
        <f>"广东省 深圳市 宝安区 "</f>
        <v xml:space="preserve">广东省 深圳市 宝安区 </v>
      </c>
      <c r="N9945" s="1" t="str">
        <f t="shared" si="2722"/>
        <v>凡华云仓-韵达-微信视频号</v>
      </c>
      <c r="O9945" s="5">
        <v>315011908612328</v>
      </c>
      <c r="P9945" s="6">
        <v>0.28000000000000003</v>
      </c>
      <c r="Q9945" s="11">
        <v>2</v>
      </c>
      <c r="R9945" s="11"/>
      <c r="S9945" s="11"/>
      <c r="T9945" s="11"/>
      <c r="U9945" s="11">
        <f t="shared" si="2717"/>
        <v>2</v>
      </c>
      <c r="W9945">
        <v>2.2000000000000002</v>
      </c>
      <c r="X9945" s="1" t="s">
        <v>18</v>
      </c>
    </row>
    <row r="9946" spans="1:24" x14ac:dyDescent="0.25">
      <c r="A9946" s="1" t="str">
        <f t="shared" si="2701"/>
        <v>卡卡杜-凤凰仓</v>
      </c>
      <c r="B9946" s="1" t="str">
        <f>"CK2024100442"</f>
        <v>CK2024100442</v>
      </c>
      <c r="C9946" s="1" t="str">
        <f>"DD202410045109"</f>
        <v>DD202410045109</v>
      </c>
      <c r="D9946" s="1" t="str">
        <f>"CK2024100414429"</f>
        <v>CK2024100414429</v>
      </c>
      <c r="E9946" s="1" t="str">
        <f>"3723063494245487616"</f>
        <v>3723063494245487616</v>
      </c>
      <c r="F9946" s="1" t="str">
        <f t="shared" si="2702"/>
        <v>花都四部-凤凰仓</v>
      </c>
      <c r="G9946" s="1" t="str">
        <f t="shared" si="2721"/>
        <v>卡卡杜企业店（视频号）</v>
      </c>
      <c r="H9946" s="1" t="str">
        <f t="shared" si="2703"/>
        <v>正常订单</v>
      </c>
      <c r="I9946" s="1" t="str">
        <f t="shared" si="2704"/>
        <v>已发货</v>
      </c>
      <c r="J9946" s="1" t="str">
        <f>"4"</f>
        <v>4</v>
      </c>
      <c r="K9946" s="1">
        <v>2</v>
      </c>
      <c r="L9946" s="1" t="s">
        <v>20</v>
      </c>
      <c r="M9946" s="1" t="str">
        <f>"浙江省 绍兴市 越城区 "</f>
        <v xml:space="preserve">浙江省 绍兴市 越城区 </v>
      </c>
      <c r="N9946" s="1" t="str">
        <f t="shared" si="2722"/>
        <v>凡华云仓-韵达-微信视频号</v>
      </c>
      <c r="O9946" s="5">
        <v>315011908608519</v>
      </c>
      <c r="P9946" s="6">
        <v>0.52</v>
      </c>
      <c r="Q9946" s="11">
        <f>CEILING(P9946-0.5,0.1)*10*0.15+2.3</f>
        <v>2.4499999999999997</v>
      </c>
      <c r="R9946" s="11"/>
      <c r="S9946" s="11"/>
      <c r="T9946" s="11"/>
      <c r="U9946" s="11">
        <f t="shared" si="2717"/>
        <v>2.4499999999999997</v>
      </c>
      <c r="V9946" t="s">
        <v>15</v>
      </c>
      <c r="W9946">
        <v>2.4500000000000002</v>
      </c>
      <c r="X9946" s="1" t="s">
        <v>20</v>
      </c>
    </row>
    <row r="9947" spans="1:24" x14ac:dyDescent="0.25">
      <c r="A9947" s="1" t="str">
        <f t="shared" si="2701"/>
        <v>卡卡杜-凤凰仓</v>
      </c>
      <c r="B9947" s="1" t="str">
        <f>"CK2024100474"</f>
        <v>CK2024100474</v>
      </c>
      <c r="C9947" s="1" t="str">
        <f>"DD202410045116"</f>
        <v>DD202410045116</v>
      </c>
      <c r="D9947" s="1" t="str">
        <f>"CK2024100414423"</f>
        <v>CK2024100414423</v>
      </c>
      <c r="E9947" s="1" t="str">
        <f>"6917786756339367516"</f>
        <v>6917786756339367516</v>
      </c>
      <c r="F9947" s="1" t="str">
        <f t="shared" si="2702"/>
        <v>花都四部-凤凰仓</v>
      </c>
      <c r="G9947" s="1" t="str">
        <f t="shared" ref="G9947:G9955" si="2725">"卡卡杜个人护理店（抖店）"</f>
        <v>卡卡杜个人护理店（抖店）</v>
      </c>
      <c r="H9947" s="1" t="str">
        <f t="shared" si="2703"/>
        <v>正常订单</v>
      </c>
      <c r="I9947" s="1" t="str">
        <f t="shared" si="2704"/>
        <v>已发货</v>
      </c>
      <c r="J9947" s="1" t="str">
        <f t="shared" si="2724"/>
        <v>2</v>
      </c>
      <c r="K9947" s="1">
        <v>2</v>
      </c>
      <c r="L9947" s="1" t="s">
        <v>18</v>
      </c>
      <c r="M9947" s="1" t="str">
        <f>"广东省 潮州市 饶平县 黄冈镇"</f>
        <v>广东省 潮州市 饶平县 黄冈镇</v>
      </c>
      <c r="N9947" s="1" t="str">
        <f t="shared" ref="N9947:N9955" si="2726">"凡华云仓-韵达-抖音"</f>
        <v>凡华云仓-韵达-抖音</v>
      </c>
      <c r="O9947" s="5">
        <v>320155049713389</v>
      </c>
      <c r="P9947" s="6">
        <v>0.28000000000000003</v>
      </c>
      <c r="Q9947" s="11">
        <v>2</v>
      </c>
      <c r="R9947" s="11"/>
      <c r="S9947" s="11"/>
      <c r="T9947" s="11"/>
      <c r="U9947" s="11">
        <f t="shared" si="2717"/>
        <v>2</v>
      </c>
      <c r="W9947">
        <v>2.2000000000000002</v>
      </c>
      <c r="X9947" s="1" t="s">
        <v>18</v>
      </c>
    </row>
    <row r="9948" spans="1:24" x14ac:dyDescent="0.25">
      <c r="A9948" s="1" t="str">
        <f t="shared" si="2701"/>
        <v>卡卡杜-凤凰仓</v>
      </c>
      <c r="B9948" s="1" t="str">
        <f>"CK2024100440"</f>
        <v>CK2024100440</v>
      </c>
      <c r="C9948" s="1" t="str">
        <f>"DD202410045108"</f>
        <v>DD202410045108</v>
      </c>
      <c r="D9948" s="1" t="str">
        <f>"CK2024100414422"</f>
        <v>CK2024100414422</v>
      </c>
      <c r="E9948" s="1" t="str">
        <f>"6917788862486249156"</f>
        <v>6917788862486249156</v>
      </c>
      <c r="F9948" s="1" t="str">
        <f t="shared" si="2702"/>
        <v>花都四部-凤凰仓</v>
      </c>
      <c r="G9948" s="1" t="str">
        <f t="shared" si="2725"/>
        <v>卡卡杜个人护理店（抖店）</v>
      </c>
      <c r="H9948" s="1" t="str">
        <f t="shared" si="2703"/>
        <v>正常订单</v>
      </c>
      <c r="I9948" s="1" t="str">
        <f t="shared" si="2704"/>
        <v>已发货</v>
      </c>
      <c r="J9948" s="1" t="str">
        <f t="shared" si="2724"/>
        <v>2</v>
      </c>
      <c r="K9948" s="1">
        <v>2</v>
      </c>
      <c r="L9948" s="1" t="s">
        <v>18</v>
      </c>
      <c r="M9948" s="1" t="str">
        <f>"广东省 深圳市 龙岗区 坂田街道"</f>
        <v>广东省 深圳市 龙岗区 坂田街道</v>
      </c>
      <c r="N9948" s="1" t="str">
        <f t="shared" si="2726"/>
        <v>凡华云仓-韵达-抖音</v>
      </c>
      <c r="O9948" s="5">
        <v>320155049713296</v>
      </c>
      <c r="P9948" s="6">
        <v>0.28000000000000003</v>
      </c>
      <c r="Q9948" s="11">
        <v>2</v>
      </c>
      <c r="R9948" s="11"/>
      <c r="S9948" s="11"/>
      <c r="T9948" s="11"/>
      <c r="U9948" s="11">
        <f t="shared" si="2717"/>
        <v>2</v>
      </c>
      <c r="W9948">
        <v>2.2000000000000002</v>
      </c>
      <c r="X9948" s="1" t="s">
        <v>18</v>
      </c>
    </row>
    <row r="9949" spans="1:24" x14ac:dyDescent="0.25">
      <c r="A9949" s="1" t="str">
        <f t="shared" si="2701"/>
        <v>卡卡杜-凤凰仓</v>
      </c>
      <c r="B9949" s="1" t="str">
        <f>"CK2024100436"</f>
        <v>CK2024100436</v>
      </c>
      <c r="C9949" s="1" t="str">
        <f>"DD202410045105"</f>
        <v>DD202410045105</v>
      </c>
      <c r="D9949" s="1" t="str">
        <f>"CK2024100414421"</f>
        <v>CK2024100414421</v>
      </c>
      <c r="E9949" s="1" t="str">
        <f>"6917793907223264890"</f>
        <v>6917793907223264890</v>
      </c>
      <c r="F9949" s="1" t="str">
        <f t="shared" si="2702"/>
        <v>花都四部-凤凰仓</v>
      </c>
      <c r="G9949" s="1" t="str">
        <f t="shared" si="2725"/>
        <v>卡卡杜个人护理店（抖店）</v>
      </c>
      <c r="H9949" s="1" t="str">
        <f t="shared" si="2703"/>
        <v>正常订单</v>
      </c>
      <c r="I9949" s="1" t="str">
        <f t="shared" si="2704"/>
        <v>已发货</v>
      </c>
      <c r="J9949" s="1" t="str">
        <f t="shared" si="2724"/>
        <v>2</v>
      </c>
      <c r="K9949" s="1">
        <v>2</v>
      </c>
      <c r="L9949" s="1" t="s">
        <v>20</v>
      </c>
      <c r="M9949" s="1" t="str">
        <f>"浙江省 温州市 龙湾区 永中街道"</f>
        <v>浙江省 温州市 龙湾区 永中街道</v>
      </c>
      <c r="N9949" s="1" t="str">
        <f t="shared" si="2726"/>
        <v>凡华云仓-韵达-抖音</v>
      </c>
      <c r="O9949" s="5">
        <v>320155049713105</v>
      </c>
      <c r="P9949" s="6">
        <v>0.28000000000000003</v>
      </c>
      <c r="Q9949" s="11">
        <v>2</v>
      </c>
      <c r="R9949" s="11"/>
      <c r="S9949" s="11"/>
      <c r="T9949" s="11"/>
      <c r="U9949" s="11">
        <f t="shared" si="2717"/>
        <v>2</v>
      </c>
      <c r="W9949">
        <v>2.2000000000000002</v>
      </c>
      <c r="X9949" s="1" t="s">
        <v>20</v>
      </c>
    </row>
    <row r="9950" spans="1:24" x14ac:dyDescent="0.25">
      <c r="A9950" s="1" t="str">
        <f t="shared" si="2701"/>
        <v>卡卡杜-凤凰仓</v>
      </c>
      <c r="B9950" s="1" t="str">
        <f>"CK2024100473"</f>
        <v>CK2024100473</v>
      </c>
      <c r="C9950" s="1" t="str">
        <f>"DD202410045114"</f>
        <v>DD202410045114</v>
      </c>
      <c r="D9950" s="1" t="str">
        <f>"CK2024100414420"</f>
        <v>CK2024100414420</v>
      </c>
      <c r="E9950" s="1" t="str">
        <f>"6917779683768761951"</f>
        <v>6917779683768761951</v>
      </c>
      <c r="F9950" s="1" t="str">
        <f t="shared" si="2702"/>
        <v>花都四部-凤凰仓</v>
      </c>
      <c r="G9950" s="1" t="str">
        <f t="shared" si="2725"/>
        <v>卡卡杜个人护理店（抖店）</v>
      </c>
      <c r="H9950" s="1" t="str">
        <f t="shared" si="2703"/>
        <v>正常订单</v>
      </c>
      <c r="I9950" s="1" t="str">
        <f t="shared" si="2704"/>
        <v>已发货</v>
      </c>
      <c r="J9950" s="1" t="str">
        <f>"4"</f>
        <v>4</v>
      </c>
      <c r="K9950" s="1">
        <v>2</v>
      </c>
      <c r="L9950" s="1" t="s">
        <v>47</v>
      </c>
      <c r="M9950" s="1" t="str">
        <f>"重庆 重庆市 渝北区 龙山街道"</f>
        <v>重庆 重庆市 渝北区 龙山街道</v>
      </c>
      <c r="N9950" s="1" t="str">
        <f t="shared" si="2726"/>
        <v>凡华云仓-韵达-抖音</v>
      </c>
      <c r="O9950" s="5">
        <v>320155049713016</v>
      </c>
      <c r="P9950" s="6">
        <v>0.52</v>
      </c>
      <c r="Q9950" s="11">
        <f>CEILING(P9950-0.5,0.1)*10*0.15+2.3</f>
        <v>2.4499999999999997</v>
      </c>
      <c r="R9950" s="11"/>
      <c r="S9950" s="11"/>
      <c r="T9950" s="11"/>
      <c r="U9950" s="11">
        <f t="shared" si="2717"/>
        <v>2.4499999999999997</v>
      </c>
      <c r="V9950" t="s">
        <v>15</v>
      </c>
      <c r="W9950">
        <v>2.4500000000000002</v>
      </c>
      <c r="X9950" s="1" t="s">
        <v>47</v>
      </c>
    </row>
    <row r="9951" spans="1:24" x14ac:dyDescent="0.25">
      <c r="A9951" s="1" t="str">
        <f t="shared" si="2701"/>
        <v>卡卡杜-凤凰仓</v>
      </c>
      <c r="B9951" s="1" t="str">
        <f>"CK2024100403"</f>
        <v>CK2024100403</v>
      </c>
      <c r="C9951" s="1" t="str">
        <f>"DD202410045102"</f>
        <v>DD202410045102</v>
      </c>
      <c r="D9951" s="1" t="str">
        <f>"CK2024100414419"</f>
        <v>CK2024100414419</v>
      </c>
      <c r="E9951" s="1" t="str">
        <f>"6917792324140236337"</f>
        <v>6917792324140236337</v>
      </c>
      <c r="F9951" s="1" t="str">
        <f t="shared" si="2702"/>
        <v>花都四部-凤凰仓</v>
      </c>
      <c r="G9951" s="1" t="str">
        <f t="shared" si="2725"/>
        <v>卡卡杜个人护理店（抖店）</v>
      </c>
      <c r="H9951" s="1" t="str">
        <f t="shared" si="2703"/>
        <v>正常订单</v>
      </c>
      <c r="I9951" s="1" t="str">
        <f t="shared" si="2704"/>
        <v>已发货</v>
      </c>
      <c r="J9951" s="1" t="str">
        <f t="shared" ref="J9951:J9958" si="2727">"2"</f>
        <v>2</v>
      </c>
      <c r="K9951" s="1">
        <v>2</v>
      </c>
      <c r="L9951" s="1" t="s">
        <v>18</v>
      </c>
      <c r="M9951" s="1" t="str">
        <f>"广东省 东莞市 东莞市 万江街道"</f>
        <v>广东省 东莞市 东莞市 万江街道</v>
      </c>
      <c r="N9951" s="1" t="str">
        <f t="shared" si="2726"/>
        <v>凡华云仓-韵达-抖音</v>
      </c>
      <c r="O9951" s="5">
        <v>320155040766574</v>
      </c>
      <c r="P9951" s="6">
        <v>0.28000000000000003</v>
      </c>
      <c r="Q9951" s="11">
        <v>2</v>
      </c>
      <c r="R9951" s="11"/>
      <c r="S9951" s="11"/>
      <c r="T9951" s="11"/>
      <c r="U9951" s="11">
        <f t="shared" si="2717"/>
        <v>2</v>
      </c>
      <c r="W9951">
        <v>2.2000000000000002</v>
      </c>
      <c r="X9951" s="1" t="s">
        <v>18</v>
      </c>
    </row>
    <row r="9952" spans="1:24" x14ac:dyDescent="0.25">
      <c r="A9952" s="1" t="str">
        <f t="shared" si="2701"/>
        <v>卡卡杜-凤凰仓</v>
      </c>
      <c r="B9952" s="1" t="str">
        <f>"CK2024100487"</f>
        <v>CK2024100487</v>
      </c>
      <c r="C9952" s="1" t="str">
        <f>"DD202410045118"</f>
        <v>DD202410045118</v>
      </c>
      <c r="D9952" s="1" t="str">
        <f>"CK2024100414418"</f>
        <v>CK2024100414418</v>
      </c>
      <c r="E9952" s="1" t="str">
        <f>"6917771835149286437"</f>
        <v>6917771835149286437</v>
      </c>
      <c r="F9952" s="1" t="str">
        <f t="shared" si="2702"/>
        <v>花都四部-凤凰仓</v>
      </c>
      <c r="G9952" s="1" t="str">
        <f t="shared" si="2725"/>
        <v>卡卡杜个人护理店（抖店）</v>
      </c>
      <c r="H9952" s="1" t="str">
        <f t="shared" si="2703"/>
        <v>正常订单</v>
      </c>
      <c r="I9952" s="1" t="str">
        <f t="shared" si="2704"/>
        <v>已发货</v>
      </c>
      <c r="J9952" s="1" t="str">
        <f t="shared" si="2727"/>
        <v>2</v>
      </c>
      <c r="K9952" s="1">
        <v>2</v>
      </c>
      <c r="L9952" s="1" t="s">
        <v>60</v>
      </c>
      <c r="M9952" s="1" t="str">
        <f>"云南省 大理白族自治州 大理市 大理镇"</f>
        <v>云南省 大理白族自治州 大理市 大理镇</v>
      </c>
      <c r="N9952" s="1" t="str">
        <f t="shared" si="2726"/>
        <v>凡华云仓-韵达-抖音</v>
      </c>
      <c r="O9952" s="5">
        <v>320155052874658</v>
      </c>
      <c r="P9952" s="6">
        <v>0.28000000000000003</v>
      </c>
      <c r="Q9952" s="11">
        <v>2</v>
      </c>
      <c r="R9952" s="11"/>
      <c r="S9952" s="11"/>
      <c r="T9952" s="11"/>
      <c r="U9952" s="11">
        <f t="shared" si="2717"/>
        <v>2</v>
      </c>
      <c r="W9952">
        <v>2.2000000000000002</v>
      </c>
      <c r="X9952" s="1" t="s">
        <v>60</v>
      </c>
    </row>
    <row r="9953" spans="1:24" x14ac:dyDescent="0.25">
      <c r="A9953" s="1" t="str">
        <f t="shared" si="2701"/>
        <v>卡卡杜-凤凰仓</v>
      </c>
      <c r="B9953" s="1" t="str">
        <f>"CK2024100456"</f>
        <v>CK2024100456</v>
      </c>
      <c r="C9953" s="1" t="str">
        <f>"DD202410045113"</f>
        <v>DD202410045113</v>
      </c>
      <c r="D9953" s="1" t="str">
        <f>"CK2024100414417"</f>
        <v>CK2024100414417</v>
      </c>
      <c r="E9953" s="1" t="str">
        <f>"6917781075527171122"</f>
        <v>6917781075527171122</v>
      </c>
      <c r="F9953" s="1" t="str">
        <f t="shared" si="2702"/>
        <v>花都四部-凤凰仓</v>
      </c>
      <c r="G9953" s="1" t="str">
        <f t="shared" si="2725"/>
        <v>卡卡杜个人护理店（抖店）</v>
      </c>
      <c r="H9953" s="1" t="str">
        <f t="shared" si="2703"/>
        <v>正常订单</v>
      </c>
      <c r="I9953" s="1" t="str">
        <f t="shared" si="2704"/>
        <v>已发货</v>
      </c>
      <c r="J9953" s="1" t="str">
        <f t="shared" si="2727"/>
        <v>2</v>
      </c>
      <c r="K9953" s="1">
        <v>2</v>
      </c>
      <c r="L9953" s="1" t="s">
        <v>16</v>
      </c>
      <c r="M9953" s="1" t="str">
        <f>"河北省 唐山市 路南区 "</f>
        <v xml:space="preserve">河北省 唐山市 路南区 </v>
      </c>
      <c r="N9953" s="1" t="str">
        <f t="shared" si="2726"/>
        <v>凡华云仓-韵达-抖音</v>
      </c>
      <c r="O9953" s="5">
        <v>320155052874559</v>
      </c>
      <c r="P9953" s="6">
        <v>0.28000000000000003</v>
      </c>
      <c r="Q9953" s="11">
        <v>2</v>
      </c>
      <c r="R9953" s="11"/>
      <c r="S9953" s="11"/>
      <c r="T9953" s="11"/>
      <c r="U9953" s="11">
        <f t="shared" si="2717"/>
        <v>2</v>
      </c>
      <c r="W9953">
        <v>2.2000000000000002</v>
      </c>
      <c r="X9953" s="1" t="s">
        <v>16</v>
      </c>
    </row>
    <row r="9954" spans="1:24" x14ac:dyDescent="0.25">
      <c r="A9954" s="1" t="str">
        <f t="shared" si="2701"/>
        <v>卡卡杜-凤凰仓</v>
      </c>
      <c r="B9954" s="1" t="str">
        <f>"CK2024100475"</f>
        <v>CK2024100475</v>
      </c>
      <c r="C9954" s="1" t="str">
        <f>"DD202410045117"</f>
        <v>DD202410045117</v>
      </c>
      <c r="D9954" s="1" t="str">
        <f>"CK2024100414416"</f>
        <v>CK2024100414416</v>
      </c>
      <c r="E9954" s="1" t="str">
        <f>"6917779643057274365"</f>
        <v>6917779643057274365</v>
      </c>
      <c r="F9954" s="1" t="str">
        <f t="shared" si="2702"/>
        <v>花都四部-凤凰仓</v>
      </c>
      <c r="G9954" s="1" t="str">
        <f t="shared" si="2725"/>
        <v>卡卡杜个人护理店（抖店）</v>
      </c>
      <c r="H9954" s="1" t="str">
        <f t="shared" si="2703"/>
        <v>正常订单</v>
      </c>
      <c r="I9954" s="1" t="str">
        <f t="shared" si="2704"/>
        <v>已发货</v>
      </c>
      <c r="J9954" s="1" t="str">
        <f t="shared" si="2727"/>
        <v>2</v>
      </c>
      <c r="K9954" s="1">
        <v>2</v>
      </c>
      <c r="L9954" s="1" t="s">
        <v>18</v>
      </c>
      <c r="M9954" s="1" t="str">
        <f>"广东省 深圳市 龙岗区 南湾街道"</f>
        <v>广东省 深圳市 龙岗区 南湾街道</v>
      </c>
      <c r="N9954" s="1" t="str">
        <f t="shared" si="2726"/>
        <v>凡华云仓-韵达-抖音</v>
      </c>
      <c r="O9954" s="5">
        <v>320155052874462</v>
      </c>
      <c r="P9954" s="6">
        <v>0.28000000000000003</v>
      </c>
      <c r="Q9954" s="11">
        <v>2</v>
      </c>
      <c r="R9954" s="11"/>
      <c r="S9954" s="11"/>
      <c r="T9954" s="11"/>
      <c r="U9954" s="11">
        <f t="shared" si="2717"/>
        <v>2</v>
      </c>
      <c r="W9954">
        <v>2.2000000000000002</v>
      </c>
      <c r="X9954" s="1" t="s">
        <v>18</v>
      </c>
    </row>
    <row r="9955" spans="1:24" x14ac:dyDescent="0.25">
      <c r="A9955" s="1" t="str">
        <f t="shared" si="2701"/>
        <v>卡卡杜-凤凰仓</v>
      </c>
      <c r="B9955" s="1" t="str">
        <f>"CK2024100476"</f>
        <v>CK2024100476</v>
      </c>
      <c r="C9955" s="1" t="str">
        <f>"DD202410045115"</f>
        <v>DD202410045115</v>
      </c>
      <c r="D9955" s="1" t="str">
        <f>"CK2024100414415"</f>
        <v>CK2024100414415</v>
      </c>
      <c r="E9955" s="1" t="str">
        <f>"6917777173324004610"</f>
        <v>6917777173324004610</v>
      </c>
      <c r="F9955" s="1" t="str">
        <f t="shared" si="2702"/>
        <v>花都四部-凤凰仓</v>
      </c>
      <c r="G9955" s="1" t="str">
        <f t="shared" si="2725"/>
        <v>卡卡杜个人护理店（抖店）</v>
      </c>
      <c r="H9955" s="1" t="str">
        <f t="shared" si="2703"/>
        <v>正常订单</v>
      </c>
      <c r="I9955" s="1" t="str">
        <f t="shared" si="2704"/>
        <v>已发货</v>
      </c>
      <c r="J9955" s="1" t="str">
        <f t="shared" si="2727"/>
        <v>2</v>
      </c>
      <c r="K9955" s="1">
        <v>2</v>
      </c>
      <c r="L9955" s="1" t="s">
        <v>18</v>
      </c>
      <c r="M9955" s="1" t="str">
        <f>"广东省 佛山市 禅城区 张槎街道"</f>
        <v>广东省 佛山市 禅城区 张槎街道</v>
      </c>
      <c r="N9955" s="1" t="str">
        <f t="shared" si="2726"/>
        <v>凡华云仓-韵达-抖音</v>
      </c>
      <c r="O9955" s="5">
        <v>320155052874367</v>
      </c>
      <c r="P9955" s="6">
        <v>0.28000000000000003</v>
      </c>
      <c r="Q9955" s="11">
        <v>2</v>
      </c>
      <c r="R9955" s="11"/>
      <c r="S9955" s="11"/>
      <c r="T9955" s="11"/>
      <c r="U9955" s="11">
        <f t="shared" si="2717"/>
        <v>2</v>
      </c>
      <c r="W9955">
        <v>2.2000000000000002</v>
      </c>
      <c r="X9955" s="1" t="s">
        <v>18</v>
      </c>
    </row>
    <row r="9956" spans="1:24" x14ac:dyDescent="0.25">
      <c r="A9956" s="1" t="str">
        <f t="shared" si="2701"/>
        <v>卡卡杜-凤凰仓</v>
      </c>
      <c r="B9956" s="1" t="str">
        <f>"CK2024100314297"</f>
        <v>CK2024100314297</v>
      </c>
      <c r="C9956" s="1" t="str">
        <f>"DD2024100350911"</f>
        <v>DD2024100350911</v>
      </c>
      <c r="D9956" s="1" t="str">
        <f>"CK2024100349861"</f>
        <v>CK2024100349861</v>
      </c>
      <c r="E9956" s="1" t="str">
        <f>"3723056912498820352"</f>
        <v>3723056912498820352</v>
      </c>
      <c r="F9956" s="1" t="str">
        <f t="shared" si="2702"/>
        <v>花都四部-凤凰仓</v>
      </c>
      <c r="G9956" s="1" t="str">
        <f t="shared" ref="G9956:G9960" si="2728">"卡卡杜企业店（视频号）"</f>
        <v>卡卡杜企业店（视频号）</v>
      </c>
      <c r="H9956" s="1" t="str">
        <f t="shared" si="2703"/>
        <v>正常订单</v>
      </c>
      <c r="I9956" s="1" t="str">
        <f t="shared" si="2704"/>
        <v>已发货</v>
      </c>
      <c r="J9956" s="1" t="str">
        <f t="shared" si="2727"/>
        <v>2</v>
      </c>
      <c r="K9956" s="1">
        <v>2</v>
      </c>
      <c r="L9956" s="1" t="s">
        <v>13</v>
      </c>
      <c r="M9956" s="1" t="str">
        <f>"江苏省 苏州市 吴江区 "</f>
        <v xml:space="preserve">江苏省 苏州市 吴江区 </v>
      </c>
      <c r="N9956" s="1" t="str">
        <f t="shared" ref="N9956:N9960" si="2729">"凡华云仓-韵达-微信视频号"</f>
        <v>凡华云仓-韵达-微信视频号</v>
      </c>
      <c r="O9956" s="5">
        <v>315011855329770</v>
      </c>
      <c r="P9956" s="6">
        <v>0.28000000000000003</v>
      </c>
      <c r="Q9956" s="11">
        <v>2</v>
      </c>
      <c r="R9956" s="11"/>
      <c r="S9956" s="11"/>
      <c r="T9956" s="11"/>
      <c r="U9956" s="11">
        <f t="shared" si="2717"/>
        <v>2</v>
      </c>
      <c r="W9956">
        <v>2.2000000000000002</v>
      </c>
      <c r="X9956" s="1" t="s">
        <v>13</v>
      </c>
    </row>
    <row r="9957" spans="1:24" x14ac:dyDescent="0.25">
      <c r="A9957" s="1" t="str">
        <f t="shared" si="2701"/>
        <v>卡卡杜-凤凰仓</v>
      </c>
      <c r="B9957" s="1" t="str">
        <f>"CK2024100314299"</f>
        <v>CK2024100314299</v>
      </c>
      <c r="C9957" s="1" t="str">
        <f>"DD2024100350909"</f>
        <v>DD2024100350909</v>
      </c>
      <c r="D9957" s="1" t="str">
        <f>"CK2024100349845"</f>
        <v>CK2024100349845</v>
      </c>
      <c r="E9957" s="1" t="str">
        <f>"3723056796963833344"</f>
        <v>3723056796963833344</v>
      </c>
      <c r="F9957" s="1" t="str">
        <f t="shared" si="2702"/>
        <v>花都四部-凤凰仓</v>
      </c>
      <c r="G9957" s="1" t="str">
        <f t="shared" si="2728"/>
        <v>卡卡杜企业店（视频号）</v>
      </c>
      <c r="H9957" s="1" t="str">
        <f t="shared" si="2703"/>
        <v>正常订单</v>
      </c>
      <c r="I9957" s="1" t="str">
        <f t="shared" si="2704"/>
        <v>已发货</v>
      </c>
      <c r="J9957" s="1" t="str">
        <f t="shared" si="2727"/>
        <v>2</v>
      </c>
      <c r="K9957" s="1">
        <v>2</v>
      </c>
      <c r="L9957" s="1" t="s">
        <v>60</v>
      </c>
      <c r="M9957" s="1" t="str">
        <f>"云南省 昆明市 五华区 "</f>
        <v xml:space="preserve">云南省 昆明市 五华区 </v>
      </c>
      <c r="N9957" s="1" t="str">
        <f t="shared" si="2729"/>
        <v>凡华云仓-韵达-微信视频号</v>
      </c>
      <c r="O9957" s="5">
        <v>315011855328973</v>
      </c>
      <c r="P9957" s="6">
        <v>0.28000000000000003</v>
      </c>
      <c r="Q9957" s="11">
        <v>2</v>
      </c>
      <c r="R9957" s="11"/>
      <c r="S9957" s="11"/>
      <c r="T9957" s="11"/>
      <c r="U9957" s="11">
        <f t="shared" si="2717"/>
        <v>2</v>
      </c>
      <c r="W9957">
        <v>2.2000000000000002</v>
      </c>
      <c r="X9957" s="1" t="s">
        <v>60</v>
      </c>
    </row>
    <row r="9958" spans="1:24" x14ac:dyDescent="0.25">
      <c r="A9958" s="1" t="str">
        <f t="shared" si="2701"/>
        <v>卡卡杜-凤凰仓</v>
      </c>
      <c r="B9958" s="1" t="str">
        <f>"CK2024100314300"</f>
        <v>CK2024100314300</v>
      </c>
      <c r="C9958" s="1" t="str">
        <f>"DD2024100350908"</f>
        <v>DD2024100350908</v>
      </c>
      <c r="D9958" s="1" t="str">
        <f>"CK2024100349838"</f>
        <v>CK2024100349838</v>
      </c>
      <c r="E9958" s="1" t="str">
        <f>"3723056736878072832"</f>
        <v>3723056736878072832</v>
      </c>
      <c r="F9958" s="1" t="str">
        <f t="shared" si="2702"/>
        <v>花都四部-凤凰仓</v>
      </c>
      <c r="G9958" s="1" t="str">
        <f t="shared" si="2728"/>
        <v>卡卡杜企业店（视频号）</v>
      </c>
      <c r="H9958" s="1" t="str">
        <f t="shared" si="2703"/>
        <v>正常订单</v>
      </c>
      <c r="I9958" s="1" t="str">
        <f t="shared" si="2704"/>
        <v>已发货</v>
      </c>
      <c r="J9958" s="1" t="str">
        <f t="shared" si="2727"/>
        <v>2</v>
      </c>
      <c r="K9958" s="1">
        <v>2</v>
      </c>
      <c r="L9958" s="1" t="s">
        <v>92</v>
      </c>
      <c r="M9958" s="1" t="str">
        <f>"辽宁省 沈阳市 苏家屯区 "</f>
        <v xml:space="preserve">辽宁省 沈阳市 苏家屯区 </v>
      </c>
      <c r="N9958" s="1" t="str">
        <f t="shared" si="2729"/>
        <v>凡华云仓-韵达-微信视频号</v>
      </c>
      <c r="O9958" s="5">
        <v>315011855328373</v>
      </c>
      <c r="P9958" s="6">
        <v>0.28000000000000003</v>
      </c>
      <c r="Q9958" s="11">
        <v>2</v>
      </c>
      <c r="R9958" s="11"/>
      <c r="S9958" s="11"/>
      <c r="T9958" s="11"/>
      <c r="U9958" s="11">
        <f t="shared" si="2717"/>
        <v>2</v>
      </c>
      <c r="W9958">
        <v>2.2000000000000002</v>
      </c>
      <c r="X9958" s="1" t="s">
        <v>92</v>
      </c>
    </row>
    <row r="9959" spans="1:24" x14ac:dyDescent="0.25">
      <c r="A9959" s="1" t="str">
        <f t="shared" si="2701"/>
        <v>卡卡杜-凤凰仓</v>
      </c>
      <c r="B9959" s="1" t="str">
        <f>"CK2024100314302"</f>
        <v>CK2024100314302</v>
      </c>
      <c r="C9959" s="1" t="str">
        <f>"DD2024100350910"</f>
        <v>DD2024100350910</v>
      </c>
      <c r="D9959" s="1" t="str">
        <f>"CK2024100349826"</f>
        <v>CK2024100349826</v>
      </c>
      <c r="E9959" s="1" t="str">
        <f>"3723056648354137344"</f>
        <v>3723056648354137344</v>
      </c>
      <c r="F9959" s="1" t="str">
        <f t="shared" si="2702"/>
        <v>花都四部-凤凰仓</v>
      </c>
      <c r="G9959" s="1" t="str">
        <f t="shared" si="2728"/>
        <v>卡卡杜企业店（视频号）</v>
      </c>
      <c r="H9959" s="1" t="str">
        <f t="shared" si="2703"/>
        <v>正常订单</v>
      </c>
      <c r="I9959" s="1" t="str">
        <f t="shared" si="2704"/>
        <v>已发货</v>
      </c>
      <c r="J9959" s="1" t="str">
        <f>"4"</f>
        <v>4</v>
      </c>
      <c r="K9959" s="1">
        <v>2</v>
      </c>
      <c r="L9959" s="1" t="s">
        <v>105</v>
      </c>
      <c r="M9959" s="1" t="str">
        <f>"北京 北京市 海淀区 "</f>
        <v xml:space="preserve">北京 北京市 海淀区 </v>
      </c>
      <c r="N9959" s="1" t="str">
        <f t="shared" si="2729"/>
        <v>凡华云仓-韵达-微信视频号</v>
      </c>
      <c r="O9959" s="5">
        <v>315011855327970</v>
      </c>
      <c r="P9959" s="6">
        <v>0.52</v>
      </c>
      <c r="Q9959" s="11">
        <f>CEILING(P9959-0.5,0.1)*10*0.15+2.3</f>
        <v>2.4499999999999997</v>
      </c>
      <c r="R9959" s="11"/>
      <c r="S9959" s="11"/>
      <c r="T9959" s="11"/>
      <c r="U9959" s="11">
        <f t="shared" si="2717"/>
        <v>2.4499999999999997</v>
      </c>
      <c r="V9959" t="s">
        <v>15</v>
      </c>
      <c r="W9959">
        <v>2.4500000000000002</v>
      </c>
      <c r="X9959" s="1" t="s">
        <v>105</v>
      </c>
    </row>
    <row r="9960" spans="1:24" x14ac:dyDescent="0.25">
      <c r="A9960" s="1" t="str">
        <f t="shared" si="2701"/>
        <v>卡卡杜-凤凰仓</v>
      </c>
      <c r="B9960" s="1" t="str">
        <f>"CK2024100314095"</f>
        <v>CK2024100314095</v>
      </c>
      <c r="C9960" s="1" t="str">
        <f>"DD2024100346931"</f>
        <v>DD2024100346931</v>
      </c>
      <c r="D9960" s="1" t="str">
        <f>"CK2024100346300"</f>
        <v>CK2024100346300</v>
      </c>
      <c r="E9960" s="1" t="str">
        <f>"3723056079122599936"</f>
        <v>3723056079122599936</v>
      </c>
      <c r="F9960" s="1" t="str">
        <f t="shared" si="2702"/>
        <v>花都四部-凤凰仓</v>
      </c>
      <c r="G9960" s="1" t="str">
        <f t="shared" si="2728"/>
        <v>卡卡杜企业店（视频号）</v>
      </c>
      <c r="H9960" s="1" t="str">
        <f t="shared" si="2703"/>
        <v>正常订单</v>
      </c>
      <c r="I9960" s="1" t="str">
        <f t="shared" si="2704"/>
        <v>已发货</v>
      </c>
      <c r="J9960" s="1" t="str">
        <f t="shared" ref="J9960:J9968" si="2730">"2"</f>
        <v>2</v>
      </c>
      <c r="K9960" s="1">
        <v>2</v>
      </c>
      <c r="L9960" s="1" t="s">
        <v>18</v>
      </c>
      <c r="M9960" s="1" t="str">
        <f>"广东省 深圳市 龙岗区 "</f>
        <v xml:space="preserve">广东省 深圳市 龙岗区 </v>
      </c>
      <c r="N9960" s="1" t="str">
        <f t="shared" si="2729"/>
        <v>凡华云仓-韵达-微信视频号</v>
      </c>
      <c r="O9960" s="5">
        <v>315011851574190</v>
      </c>
      <c r="P9960" s="6">
        <v>0.28000000000000003</v>
      </c>
      <c r="Q9960" s="11">
        <v>2</v>
      </c>
      <c r="R9960" s="11"/>
      <c r="S9960" s="11"/>
      <c r="T9960" s="11"/>
      <c r="U9960" s="11">
        <f t="shared" si="2717"/>
        <v>2</v>
      </c>
      <c r="W9960">
        <v>2.2000000000000002</v>
      </c>
      <c r="X9960" s="1" t="s">
        <v>18</v>
      </c>
    </row>
    <row r="9961" spans="1:24" x14ac:dyDescent="0.25">
      <c r="A9961" s="1" t="str">
        <f t="shared" si="2701"/>
        <v>卡卡杜-凤凰仓</v>
      </c>
      <c r="B9961" s="1" t="str">
        <f>"CK2024100314078"</f>
        <v>CK2024100314078</v>
      </c>
      <c r="C9961" s="1" t="str">
        <f>"DD2024100346787"</f>
        <v>DD2024100346787</v>
      </c>
      <c r="D9961" s="1" t="str">
        <f>"CK2024100345344"</f>
        <v>CK2024100345344</v>
      </c>
      <c r="E9961" s="1" t="str">
        <f>"KKD20240103YP001"</f>
        <v>KKD20240103YP001</v>
      </c>
      <c r="F9961" s="1" t="str">
        <f t="shared" si="2702"/>
        <v>花都四部-凤凰仓</v>
      </c>
      <c r="G9961" s="1" t="str">
        <f>"卡卡杜全欣样品"</f>
        <v>卡卡杜全欣样品</v>
      </c>
      <c r="H9961" s="1" t="str">
        <f t="shared" si="2703"/>
        <v>正常订单</v>
      </c>
      <c r="I9961" s="1" t="str">
        <f t="shared" si="2704"/>
        <v>已发货</v>
      </c>
      <c r="J9961" s="1" t="str">
        <f>"11"</f>
        <v>11</v>
      </c>
      <c r="K9961" s="1">
        <v>4</v>
      </c>
      <c r="L9961" s="1" t="s">
        <v>18</v>
      </c>
      <c r="M9961" s="1" t="str">
        <f>"广东省 深圳市 宝安区 "</f>
        <v xml:space="preserve">广东省 深圳市 宝安区 </v>
      </c>
      <c r="N9961" s="1" t="str">
        <f>"凡华云仓-韵达-淘宝"</f>
        <v>凡华云仓-韵达-淘宝</v>
      </c>
      <c r="O9961" s="3">
        <v>434167174938877</v>
      </c>
      <c r="P9961" s="6">
        <v>3.2</v>
      </c>
      <c r="Q9961" s="11">
        <f>ROUNDUP(P9961,0)*VLOOKUP(L:L,'[1]3KG报价'!A:C,3,0)+VLOOKUP(L:L,'[1]3KG报价'!A:B,2,0)+0.8</f>
        <v>7.8999999999999995</v>
      </c>
      <c r="R9961" s="11"/>
      <c r="S9961" s="11"/>
      <c r="T9961" s="11"/>
      <c r="U9961" s="11">
        <f t="shared" si="2717"/>
        <v>7.8999999999999995</v>
      </c>
      <c r="V9961" t="s">
        <v>1212</v>
      </c>
      <c r="W9961">
        <v>7.9</v>
      </c>
      <c r="X9961" s="1" t="s">
        <v>18</v>
      </c>
    </row>
    <row r="9962" spans="1:24" x14ac:dyDescent="0.25">
      <c r="A9962" s="1" t="str">
        <f t="shared" si="2701"/>
        <v>卡卡杜-凤凰仓</v>
      </c>
      <c r="B9962" s="1" t="str">
        <f>"CK2024100314086"</f>
        <v>CK2024100314086</v>
      </c>
      <c r="C9962" s="1" t="str">
        <f>"DD2024100346789"</f>
        <v>DD2024100346789</v>
      </c>
      <c r="D9962" s="1" t="str">
        <f>"CK2024100345341"</f>
        <v>CK2024100345341</v>
      </c>
      <c r="E9962" s="1" t="str">
        <f>"6917768632778522438"</f>
        <v>6917768632778522438</v>
      </c>
      <c r="F9962" s="1" t="str">
        <f t="shared" si="2702"/>
        <v>花都四部-凤凰仓</v>
      </c>
      <c r="G9962" s="1" t="str">
        <f t="shared" ref="G9962:G9964" si="2731">"卡卡杜个人护理店（抖店）"</f>
        <v>卡卡杜个人护理店（抖店）</v>
      </c>
      <c r="H9962" s="1" t="str">
        <f t="shared" si="2703"/>
        <v>正常订单</v>
      </c>
      <c r="I9962" s="1" t="str">
        <f t="shared" si="2704"/>
        <v>已发货</v>
      </c>
      <c r="J9962" s="1" t="str">
        <f t="shared" si="2730"/>
        <v>2</v>
      </c>
      <c r="K9962" s="1">
        <v>2</v>
      </c>
      <c r="L9962" s="1" t="s">
        <v>74</v>
      </c>
      <c r="M9962" s="1" t="str">
        <f>"上海 上海市 浦东新区 惠南镇"</f>
        <v>上海 上海市 浦东新区 惠南镇</v>
      </c>
      <c r="N9962" s="1" t="str">
        <f t="shared" ref="N9962:N9964" si="2732">"凡华云仓-韵达-抖音"</f>
        <v>凡华云仓-韵达-抖音</v>
      </c>
      <c r="O9962" s="5">
        <v>320154060592401</v>
      </c>
      <c r="P9962" s="6">
        <v>0.28000000000000003</v>
      </c>
      <c r="Q9962" s="11">
        <v>2</v>
      </c>
      <c r="R9962" s="11"/>
      <c r="S9962" s="11"/>
      <c r="T9962" s="11"/>
      <c r="U9962" s="11">
        <f t="shared" si="2717"/>
        <v>2</v>
      </c>
      <c r="W9962">
        <v>2.2000000000000002</v>
      </c>
      <c r="X9962" s="1" t="s">
        <v>74</v>
      </c>
    </row>
    <row r="9963" spans="1:24" x14ac:dyDescent="0.25">
      <c r="A9963" s="1" t="str">
        <f t="shared" ref="A9963:A10026" si="2733">"卡卡杜-凤凰仓"</f>
        <v>卡卡杜-凤凰仓</v>
      </c>
      <c r="B9963" s="1" t="str">
        <f>"CK2024100314085"</f>
        <v>CK2024100314085</v>
      </c>
      <c r="C9963" s="1" t="str">
        <f>"DD2024100346788"</f>
        <v>DD2024100346788</v>
      </c>
      <c r="D9963" s="1" t="str">
        <f>"CK2024100345340"</f>
        <v>CK2024100345340</v>
      </c>
      <c r="E9963" s="1" t="str">
        <f>"6917775945683337071"</f>
        <v>6917775945683337071</v>
      </c>
      <c r="F9963" s="1" t="str">
        <f t="shared" ref="F9963:F10026" si="2734">"花都四部-凤凰仓"</f>
        <v>花都四部-凤凰仓</v>
      </c>
      <c r="G9963" s="1" t="str">
        <f t="shared" si="2731"/>
        <v>卡卡杜个人护理店（抖店）</v>
      </c>
      <c r="H9963" s="1" t="str">
        <f t="shared" ref="H9963:H10026" si="2735">"正常订单"</f>
        <v>正常订单</v>
      </c>
      <c r="I9963" s="1" t="str">
        <f t="shared" ref="I9963:I10026" si="2736">"已发货"</f>
        <v>已发货</v>
      </c>
      <c r="J9963" s="1" t="str">
        <f t="shared" si="2730"/>
        <v>2</v>
      </c>
      <c r="K9963" s="1">
        <v>2</v>
      </c>
      <c r="L9963" s="1" t="s">
        <v>18</v>
      </c>
      <c r="M9963" s="1" t="str">
        <f>"广东省 佛山市 禅城区 石湾镇街道"</f>
        <v>广东省 佛山市 禅城区 石湾镇街道</v>
      </c>
      <c r="N9963" s="1" t="str">
        <f t="shared" si="2732"/>
        <v>凡华云仓-韵达-抖音</v>
      </c>
      <c r="O9963" s="5">
        <v>320154060592306</v>
      </c>
      <c r="P9963" s="6">
        <v>0.28000000000000003</v>
      </c>
      <c r="Q9963" s="11">
        <v>2</v>
      </c>
      <c r="R9963" s="11"/>
      <c r="S9963" s="11"/>
      <c r="T9963" s="11"/>
      <c r="U9963" s="11">
        <f t="shared" si="2717"/>
        <v>2</v>
      </c>
      <c r="W9963">
        <v>2.2000000000000002</v>
      </c>
      <c r="X9963" s="1" t="s">
        <v>18</v>
      </c>
    </row>
    <row r="9964" spans="1:24" x14ac:dyDescent="0.25">
      <c r="A9964" s="1" t="str">
        <f t="shared" si="2733"/>
        <v>卡卡杜-凤凰仓</v>
      </c>
      <c r="B9964" s="1" t="str">
        <f>"CK2024100314088"</f>
        <v>CK2024100314088</v>
      </c>
      <c r="C9964" s="1" t="str">
        <f>"DD2024100346790"</f>
        <v>DD2024100346790</v>
      </c>
      <c r="D9964" s="1" t="str">
        <f>"CK2024100345339"</f>
        <v>CK2024100345339</v>
      </c>
      <c r="E9964" s="1" t="str">
        <f>"6917766507347344672"</f>
        <v>6917766507347344672</v>
      </c>
      <c r="F9964" s="1" t="str">
        <f t="shared" si="2734"/>
        <v>花都四部-凤凰仓</v>
      </c>
      <c r="G9964" s="1" t="str">
        <f t="shared" si="2731"/>
        <v>卡卡杜个人护理店（抖店）</v>
      </c>
      <c r="H9964" s="1" t="str">
        <f t="shared" si="2735"/>
        <v>正常订单</v>
      </c>
      <c r="I9964" s="1" t="str">
        <f t="shared" si="2736"/>
        <v>已发货</v>
      </c>
      <c r="J9964" s="1" t="str">
        <f t="shared" si="2730"/>
        <v>2</v>
      </c>
      <c r="K9964" s="1">
        <v>2</v>
      </c>
      <c r="L9964" s="1" t="s">
        <v>18</v>
      </c>
      <c r="M9964" s="1" t="str">
        <f>"广东省 佛山市 南海区 桂城街道"</f>
        <v>广东省 佛山市 南海区 桂城街道</v>
      </c>
      <c r="N9964" s="1" t="str">
        <f t="shared" si="2732"/>
        <v>凡华云仓-韵达-抖音</v>
      </c>
      <c r="O9964" s="5">
        <v>320154060592213</v>
      </c>
      <c r="P9964" s="6">
        <v>0.28000000000000003</v>
      </c>
      <c r="Q9964" s="11">
        <v>2</v>
      </c>
      <c r="R9964" s="11"/>
      <c r="S9964" s="11"/>
      <c r="T9964" s="11"/>
      <c r="U9964" s="11">
        <f t="shared" si="2717"/>
        <v>2</v>
      </c>
      <c r="W9964">
        <v>2.2000000000000002</v>
      </c>
      <c r="X9964" s="1" t="s">
        <v>18</v>
      </c>
    </row>
    <row r="9965" spans="1:24" x14ac:dyDescent="0.25">
      <c r="A9965" s="1" t="str">
        <f t="shared" si="2733"/>
        <v>卡卡杜-凤凰仓</v>
      </c>
      <c r="B9965" s="1" t="str">
        <f>"CK2024100314079"</f>
        <v>CK2024100314079</v>
      </c>
      <c r="C9965" s="1" t="str">
        <f>"DD2024100346786"</f>
        <v>DD2024100346786</v>
      </c>
      <c r="D9965" s="1" t="str">
        <f>"CK2024100345337"</f>
        <v>CK2024100345337</v>
      </c>
      <c r="E9965" s="1" t="str">
        <f>"3723054991870395648"</f>
        <v>3723054991870395648</v>
      </c>
      <c r="F9965" s="1" t="str">
        <f t="shared" si="2734"/>
        <v>花都四部-凤凰仓</v>
      </c>
      <c r="G9965" s="1" t="str">
        <f t="shared" ref="G9965:G9979" si="2737">"卡卡杜企业店（视频号）"</f>
        <v>卡卡杜企业店（视频号）</v>
      </c>
      <c r="H9965" s="1" t="str">
        <f t="shared" si="2735"/>
        <v>正常订单</v>
      </c>
      <c r="I9965" s="1" t="str">
        <f t="shared" si="2736"/>
        <v>已发货</v>
      </c>
      <c r="J9965" s="1" t="str">
        <f t="shared" si="2730"/>
        <v>2</v>
      </c>
      <c r="K9965" s="1">
        <v>2</v>
      </c>
      <c r="L9965" s="1" t="s">
        <v>105</v>
      </c>
      <c r="M9965" s="1" t="str">
        <f>"北京 北京市 丰台区 "</f>
        <v xml:space="preserve">北京 北京市 丰台区 </v>
      </c>
      <c r="N9965" s="1" t="str">
        <f t="shared" ref="N9965:N9979" si="2738">"凡华云仓-韵达-微信视频号"</f>
        <v>凡华云仓-韵达-微信视频号</v>
      </c>
      <c r="O9965" s="5">
        <v>315011851580501</v>
      </c>
      <c r="P9965" s="6">
        <v>0.28000000000000003</v>
      </c>
      <c r="Q9965" s="11">
        <v>2</v>
      </c>
      <c r="R9965" s="11"/>
      <c r="S9965" s="11"/>
      <c r="T9965" s="11"/>
      <c r="U9965" s="11">
        <f t="shared" si="2717"/>
        <v>2</v>
      </c>
      <c r="W9965">
        <v>2.2000000000000002</v>
      </c>
      <c r="X9965" s="1" t="s">
        <v>105</v>
      </c>
    </row>
    <row r="9966" spans="1:24" x14ac:dyDescent="0.25">
      <c r="A9966" s="1" t="str">
        <f t="shared" si="2733"/>
        <v>卡卡杜-凤凰仓</v>
      </c>
      <c r="B9966" s="1" t="str">
        <f>"CK2024100314080"</f>
        <v>CK2024100314080</v>
      </c>
      <c r="C9966" s="1" t="str">
        <f>"DD2024100346785"</f>
        <v>DD2024100346785</v>
      </c>
      <c r="D9966" s="1" t="str">
        <f>"CK2024100345336"</f>
        <v>CK2024100345336</v>
      </c>
      <c r="E9966" s="1" t="str">
        <f>"3723054955642881536"</f>
        <v>3723054955642881536</v>
      </c>
      <c r="F9966" s="1" t="str">
        <f t="shared" si="2734"/>
        <v>花都四部-凤凰仓</v>
      </c>
      <c r="G9966" s="1" t="str">
        <f t="shared" si="2737"/>
        <v>卡卡杜企业店（视频号）</v>
      </c>
      <c r="H9966" s="1" t="str">
        <f t="shared" si="2735"/>
        <v>正常订单</v>
      </c>
      <c r="I9966" s="1" t="str">
        <f t="shared" si="2736"/>
        <v>已发货</v>
      </c>
      <c r="J9966" s="1" t="str">
        <f t="shared" si="2730"/>
        <v>2</v>
      </c>
      <c r="K9966" s="1">
        <v>2</v>
      </c>
      <c r="L9966" s="1" t="s">
        <v>94</v>
      </c>
      <c r="M9966" s="1" t="str">
        <f>"湖南省 株洲市 天元区 "</f>
        <v xml:space="preserve">湖南省 株洲市 天元区 </v>
      </c>
      <c r="N9966" s="1" t="str">
        <f t="shared" si="2738"/>
        <v>凡华云仓-韵达-微信视频号</v>
      </c>
      <c r="O9966" s="5">
        <v>315011851578281</v>
      </c>
      <c r="P9966" s="6">
        <v>0.28000000000000003</v>
      </c>
      <c r="Q9966" s="11">
        <v>2</v>
      </c>
      <c r="R9966" s="11"/>
      <c r="S9966" s="11"/>
      <c r="T9966" s="11"/>
      <c r="U9966" s="11">
        <f t="shared" si="2717"/>
        <v>2</v>
      </c>
      <c r="W9966">
        <v>2.2000000000000002</v>
      </c>
      <c r="X9966" s="1" t="s">
        <v>94</v>
      </c>
    </row>
    <row r="9967" spans="1:24" x14ac:dyDescent="0.25">
      <c r="A9967" s="1" t="str">
        <f t="shared" si="2733"/>
        <v>卡卡杜-凤凰仓</v>
      </c>
      <c r="B9967" s="1" t="str">
        <f>"CK2024100314081"</f>
        <v>CK2024100314081</v>
      </c>
      <c r="C9967" s="1" t="str">
        <f>"DD2024100346782"</f>
        <v>DD2024100346782</v>
      </c>
      <c r="D9967" s="1" t="str">
        <f>"CK2024100345335"</f>
        <v>CK2024100345335</v>
      </c>
      <c r="E9967" s="1" t="str">
        <f>"3723054751580292608"</f>
        <v>3723054751580292608</v>
      </c>
      <c r="F9967" s="1" t="str">
        <f t="shared" si="2734"/>
        <v>花都四部-凤凰仓</v>
      </c>
      <c r="G9967" s="1" t="str">
        <f t="shared" si="2737"/>
        <v>卡卡杜企业店（视频号）</v>
      </c>
      <c r="H9967" s="1" t="str">
        <f t="shared" si="2735"/>
        <v>正常订单</v>
      </c>
      <c r="I9967" s="1" t="str">
        <f t="shared" si="2736"/>
        <v>已发货</v>
      </c>
      <c r="J9967" s="1" t="str">
        <f t="shared" si="2730"/>
        <v>2</v>
      </c>
      <c r="K9967" s="1">
        <v>2</v>
      </c>
      <c r="L9967" s="1" t="s">
        <v>18</v>
      </c>
      <c r="M9967" s="1" t="str">
        <f>"广东省 深圳市 罗湖区 "</f>
        <v xml:space="preserve">广东省 深圳市 罗湖区 </v>
      </c>
      <c r="N9967" s="1" t="str">
        <f t="shared" si="2738"/>
        <v>凡华云仓-韵达-微信视频号</v>
      </c>
      <c r="O9967" s="5">
        <v>315011851575371</v>
      </c>
      <c r="P9967" s="6">
        <v>0.28000000000000003</v>
      </c>
      <c r="Q9967" s="11">
        <v>2</v>
      </c>
      <c r="R9967" s="11"/>
      <c r="S9967" s="11"/>
      <c r="T9967" s="11"/>
      <c r="U9967" s="11">
        <f t="shared" si="2717"/>
        <v>2</v>
      </c>
      <c r="W9967">
        <v>2.2000000000000002</v>
      </c>
      <c r="X9967" s="1" t="s">
        <v>18</v>
      </c>
    </row>
    <row r="9968" spans="1:24" x14ac:dyDescent="0.25">
      <c r="A9968" s="1" t="str">
        <f t="shared" si="2733"/>
        <v>卡卡杜-凤凰仓</v>
      </c>
      <c r="B9968" s="1" t="str">
        <f>"CK2024100314083"</f>
        <v>CK2024100314083</v>
      </c>
      <c r="C9968" s="1" t="str">
        <f>"DD2024100346783"</f>
        <v>DD2024100346783</v>
      </c>
      <c r="D9968" s="1" t="str">
        <f>"CK2024100345334"</f>
        <v>CK2024100345334</v>
      </c>
      <c r="E9968" s="1" t="str">
        <f>"3723054639339668736"</f>
        <v>3723054639339668736</v>
      </c>
      <c r="F9968" s="1" t="str">
        <f t="shared" si="2734"/>
        <v>花都四部-凤凰仓</v>
      </c>
      <c r="G9968" s="1" t="str">
        <f t="shared" si="2737"/>
        <v>卡卡杜企业店（视频号）</v>
      </c>
      <c r="H9968" s="1" t="str">
        <f t="shared" si="2735"/>
        <v>正常订单</v>
      </c>
      <c r="I9968" s="1" t="str">
        <f t="shared" si="2736"/>
        <v>已发货</v>
      </c>
      <c r="J9968" s="1" t="str">
        <f t="shared" si="2730"/>
        <v>2</v>
      </c>
      <c r="K9968" s="1">
        <v>2</v>
      </c>
      <c r="L9968" s="1" t="s">
        <v>105</v>
      </c>
      <c r="M9968" s="1" t="str">
        <f>"北京 北京市 房山区 "</f>
        <v xml:space="preserve">北京 北京市 房山区 </v>
      </c>
      <c r="N9968" s="1" t="str">
        <f t="shared" si="2738"/>
        <v>凡华云仓-韵达-微信视频号</v>
      </c>
      <c r="O9968" s="5">
        <v>315011851573195</v>
      </c>
      <c r="P9968" s="6">
        <v>0.28000000000000003</v>
      </c>
      <c r="Q9968" s="11">
        <v>2</v>
      </c>
      <c r="R9968" s="11"/>
      <c r="S9968" s="11"/>
      <c r="T9968" s="11"/>
      <c r="U9968" s="11">
        <f t="shared" si="2717"/>
        <v>2</v>
      </c>
      <c r="W9968">
        <v>2.2000000000000002</v>
      </c>
      <c r="X9968" s="1" t="s">
        <v>105</v>
      </c>
    </row>
    <row r="9969" spans="1:24" x14ac:dyDescent="0.25">
      <c r="A9969" s="1" t="str">
        <f t="shared" si="2733"/>
        <v>卡卡杜-凤凰仓</v>
      </c>
      <c r="B9969" s="1" t="str">
        <f>"CK2024100314082"</f>
        <v>CK2024100314082</v>
      </c>
      <c r="C9969" s="1" t="str">
        <f>"DD2024100346784"</f>
        <v>DD2024100346784</v>
      </c>
      <c r="D9969" s="1" t="str">
        <f>"CK2024100345333"</f>
        <v>CK2024100345333</v>
      </c>
      <c r="E9969" s="1" t="str">
        <f>"3723054507222502400"</f>
        <v>3723054507222502400</v>
      </c>
      <c r="F9969" s="1" t="str">
        <f t="shared" si="2734"/>
        <v>花都四部-凤凰仓</v>
      </c>
      <c r="G9969" s="1" t="str">
        <f t="shared" si="2737"/>
        <v>卡卡杜企业店（视频号）</v>
      </c>
      <c r="H9969" s="1" t="str">
        <f t="shared" si="2735"/>
        <v>正常订单</v>
      </c>
      <c r="I9969" s="1" t="str">
        <f t="shared" si="2736"/>
        <v>已发货</v>
      </c>
      <c r="J9969" s="1" t="str">
        <f>"4"</f>
        <v>4</v>
      </c>
      <c r="K9969" s="1">
        <v>2</v>
      </c>
      <c r="L9969" s="1" t="s">
        <v>18</v>
      </c>
      <c r="M9969" s="1" t="str">
        <f>"广东省 广州市 增城区 "</f>
        <v xml:space="preserve">广东省 广州市 增城区 </v>
      </c>
      <c r="N9969" s="1" t="str">
        <f t="shared" si="2738"/>
        <v>凡华云仓-韵达-微信视频号</v>
      </c>
      <c r="O9969" s="5">
        <v>315011851571022</v>
      </c>
      <c r="P9969" s="6">
        <v>0.52</v>
      </c>
      <c r="Q9969" s="11">
        <f>CEILING(P9969-0.5,0.1)*10*0.15+2.3</f>
        <v>2.4499999999999997</v>
      </c>
      <c r="R9969" s="11"/>
      <c r="S9969" s="11"/>
      <c r="T9969" s="11"/>
      <c r="U9969" s="11">
        <f t="shared" si="2717"/>
        <v>2.4499999999999997</v>
      </c>
      <c r="V9969" t="s">
        <v>15</v>
      </c>
      <c r="W9969">
        <v>2.4500000000000002</v>
      </c>
      <c r="X9969" s="1" t="s">
        <v>18</v>
      </c>
    </row>
    <row r="9970" spans="1:24" x14ac:dyDescent="0.25">
      <c r="A9970" s="1" t="str">
        <f t="shared" si="2733"/>
        <v>卡卡杜-凤凰仓</v>
      </c>
      <c r="B9970" s="1" t="str">
        <f>"CK2024100310477"</f>
        <v>CK2024100310477</v>
      </c>
      <c r="C9970" s="1" t="str">
        <f>"DD2024100334004"</f>
        <v>DD2024100334004</v>
      </c>
      <c r="D9970" s="1" t="str">
        <f>"CK2024100333617"</f>
        <v>CK2024100333617</v>
      </c>
      <c r="E9970" s="1" t="str">
        <f>"3723052192056086528"</f>
        <v>3723052192056086528</v>
      </c>
      <c r="F9970" s="1" t="str">
        <f t="shared" si="2734"/>
        <v>花都四部-凤凰仓</v>
      </c>
      <c r="G9970" s="1" t="str">
        <f t="shared" si="2737"/>
        <v>卡卡杜企业店（视频号）</v>
      </c>
      <c r="H9970" s="1" t="str">
        <f t="shared" si="2735"/>
        <v>正常订单</v>
      </c>
      <c r="I9970" s="1" t="str">
        <f t="shared" si="2736"/>
        <v>已发货</v>
      </c>
      <c r="J9970" s="1" t="str">
        <f t="shared" ref="J9970:J9977" si="2739">"2"</f>
        <v>2</v>
      </c>
      <c r="K9970" s="1">
        <v>2</v>
      </c>
      <c r="L9970" s="1" t="s">
        <v>24</v>
      </c>
      <c r="M9970" s="1" t="str">
        <f>"福建省 福州市 鼓楼区 "</f>
        <v xml:space="preserve">福建省 福州市 鼓楼区 </v>
      </c>
      <c r="N9970" s="1" t="str">
        <f t="shared" si="2738"/>
        <v>凡华云仓-韵达-微信视频号</v>
      </c>
      <c r="O9970" s="5">
        <v>315011841417208</v>
      </c>
      <c r="P9970" s="6">
        <v>0.28000000000000003</v>
      </c>
      <c r="Q9970" s="11">
        <v>2</v>
      </c>
      <c r="R9970" s="11"/>
      <c r="S9970" s="11"/>
      <c r="T9970" s="11"/>
      <c r="U9970" s="11">
        <f t="shared" si="2717"/>
        <v>2</v>
      </c>
      <c r="W9970">
        <v>2.2000000000000002</v>
      </c>
      <c r="X9970" s="1" t="s">
        <v>24</v>
      </c>
    </row>
    <row r="9971" spans="1:24" x14ac:dyDescent="0.25">
      <c r="A9971" s="1" t="str">
        <f t="shared" si="2733"/>
        <v>卡卡杜-凤凰仓</v>
      </c>
      <c r="B9971" s="1" t="str">
        <f>"CK2024100310463"</f>
        <v>CK2024100310463</v>
      </c>
      <c r="C9971" s="1" t="str">
        <f>"DD2024100334003"</f>
        <v>DD2024100334003</v>
      </c>
      <c r="D9971" s="1" t="str">
        <f>"CK2024100333616"</f>
        <v>CK2024100333616</v>
      </c>
      <c r="E9971" s="1" t="str">
        <f>"3723052626348999936"</f>
        <v>3723052626348999936</v>
      </c>
      <c r="F9971" s="1" t="str">
        <f t="shared" si="2734"/>
        <v>花都四部-凤凰仓</v>
      </c>
      <c r="G9971" s="1" t="str">
        <f t="shared" si="2737"/>
        <v>卡卡杜企业店（视频号）</v>
      </c>
      <c r="H9971" s="1" t="str">
        <f t="shared" si="2735"/>
        <v>正常订单</v>
      </c>
      <c r="I9971" s="1" t="str">
        <f t="shared" si="2736"/>
        <v>已发货</v>
      </c>
      <c r="J9971" s="1" t="str">
        <f t="shared" si="2739"/>
        <v>2</v>
      </c>
      <c r="K9971" s="1">
        <v>2</v>
      </c>
      <c r="L9971" s="1" t="s">
        <v>18</v>
      </c>
      <c r="M9971" s="1" t="str">
        <f>"广东省 深圳市 福田区 "</f>
        <v xml:space="preserve">广东省 深圳市 福田区 </v>
      </c>
      <c r="N9971" s="1" t="str">
        <f t="shared" si="2738"/>
        <v>凡华云仓-韵达-微信视频号</v>
      </c>
      <c r="O9971" s="5">
        <v>315011841413309</v>
      </c>
      <c r="P9971" s="6">
        <v>0.28000000000000003</v>
      </c>
      <c r="Q9971" s="11">
        <v>2</v>
      </c>
      <c r="R9971" s="11"/>
      <c r="S9971" s="11"/>
      <c r="T9971" s="11"/>
      <c r="U9971" s="11">
        <f t="shared" si="2717"/>
        <v>2</v>
      </c>
      <c r="W9971">
        <v>2.2000000000000002</v>
      </c>
      <c r="X9971" s="1" t="s">
        <v>18</v>
      </c>
    </row>
    <row r="9972" spans="1:24" x14ac:dyDescent="0.25">
      <c r="A9972" s="1" t="str">
        <f t="shared" si="2733"/>
        <v>卡卡杜-凤凰仓</v>
      </c>
      <c r="B9972" s="1" t="str">
        <f>"CK2024100310460"</f>
        <v>CK2024100310460</v>
      </c>
      <c r="C9972" s="1" t="str">
        <f>"DD2024100334002"</f>
        <v>DD2024100334002</v>
      </c>
      <c r="D9972" s="1" t="str">
        <f>"CK2024100333615"</f>
        <v>CK2024100333615</v>
      </c>
      <c r="E9972" s="1" t="str">
        <f>"3723053120248218880"</f>
        <v>3723053120248218880</v>
      </c>
      <c r="F9972" s="1" t="str">
        <f t="shared" si="2734"/>
        <v>花都四部-凤凰仓</v>
      </c>
      <c r="G9972" s="1" t="str">
        <f t="shared" si="2737"/>
        <v>卡卡杜企业店（视频号）</v>
      </c>
      <c r="H9972" s="1" t="str">
        <f t="shared" si="2735"/>
        <v>正常订单</v>
      </c>
      <c r="I9972" s="1" t="str">
        <f t="shared" si="2736"/>
        <v>已发货</v>
      </c>
      <c r="J9972" s="1" t="str">
        <f>"4"</f>
        <v>4</v>
      </c>
      <c r="K9972" s="1">
        <v>2</v>
      </c>
      <c r="L9972" s="1" t="s">
        <v>1111</v>
      </c>
      <c r="M9972" s="1" t="str">
        <f>"青海省 西宁市 城北区 "</f>
        <v xml:space="preserve">青海省 西宁市 城北区 </v>
      </c>
      <c r="N9972" s="1" t="str">
        <f t="shared" si="2738"/>
        <v>凡华云仓-韵达-微信视频号</v>
      </c>
      <c r="O9972" s="5">
        <v>315011841475769</v>
      </c>
      <c r="P9972" s="6">
        <v>0.52</v>
      </c>
      <c r="Q9972" s="11">
        <f>CEILING(P9972-0.5,0.1)*10*0.15+2.3</f>
        <v>2.4499999999999997</v>
      </c>
      <c r="R9972" s="11"/>
      <c r="S9972" s="11"/>
      <c r="T9972" s="11"/>
      <c r="U9972" s="11">
        <f t="shared" si="2717"/>
        <v>2.4499999999999997</v>
      </c>
      <c r="V9972" t="s">
        <v>15</v>
      </c>
      <c r="W9972">
        <v>2.4500000000000002</v>
      </c>
      <c r="X9972" s="1" t="s">
        <v>1111</v>
      </c>
    </row>
    <row r="9973" spans="1:24" x14ac:dyDescent="0.25">
      <c r="A9973" s="1" t="str">
        <f t="shared" si="2733"/>
        <v>卡卡杜-凤凰仓</v>
      </c>
      <c r="B9973" s="1" t="str">
        <f>"CK2024100310458"</f>
        <v>CK2024100310458</v>
      </c>
      <c r="C9973" s="1" t="str">
        <f>"DD2024100334000"</f>
        <v>DD2024100334000</v>
      </c>
      <c r="D9973" s="1" t="str">
        <f>"CK2024100333614"</f>
        <v>CK2024100333614</v>
      </c>
      <c r="E9973" s="1" t="str">
        <f>"3723053295464220160"</f>
        <v>3723053295464220160</v>
      </c>
      <c r="F9973" s="1" t="str">
        <f t="shared" si="2734"/>
        <v>花都四部-凤凰仓</v>
      </c>
      <c r="G9973" s="1" t="str">
        <f t="shared" si="2737"/>
        <v>卡卡杜企业店（视频号）</v>
      </c>
      <c r="H9973" s="1" t="str">
        <f t="shared" si="2735"/>
        <v>正常订单</v>
      </c>
      <c r="I9973" s="1" t="str">
        <f t="shared" si="2736"/>
        <v>已发货</v>
      </c>
      <c r="J9973" s="1" t="str">
        <f t="shared" si="2739"/>
        <v>2</v>
      </c>
      <c r="K9973" s="1">
        <v>2</v>
      </c>
      <c r="L9973" s="1" t="s">
        <v>20</v>
      </c>
      <c r="M9973" s="1" t="str">
        <f>"浙江省 嘉兴市 南湖区 "</f>
        <v xml:space="preserve">浙江省 嘉兴市 南湖区 </v>
      </c>
      <c r="N9973" s="1" t="str">
        <f t="shared" si="2738"/>
        <v>凡华云仓-韵达-微信视频号</v>
      </c>
      <c r="O9973" s="5">
        <v>315011841473777</v>
      </c>
      <c r="P9973" s="6">
        <v>0.28000000000000003</v>
      </c>
      <c r="Q9973" s="11">
        <v>2</v>
      </c>
      <c r="R9973" s="11"/>
      <c r="S9973" s="11"/>
      <c r="T9973" s="11"/>
      <c r="U9973" s="11">
        <f t="shared" si="2717"/>
        <v>2</v>
      </c>
      <c r="W9973">
        <v>2.2000000000000002</v>
      </c>
      <c r="X9973" s="1" t="s">
        <v>20</v>
      </c>
    </row>
    <row r="9974" spans="1:24" x14ac:dyDescent="0.25">
      <c r="A9974" s="1" t="str">
        <f t="shared" si="2733"/>
        <v>卡卡杜-凤凰仓</v>
      </c>
      <c r="B9974" s="1" t="str">
        <f>"CK2024100310454"</f>
        <v>CK2024100310454</v>
      </c>
      <c r="C9974" s="1" t="str">
        <f>"DD2024100334001"</f>
        <v>DD2024100334001</v>
      </c>
      <c r="D9974" s="1" t="str">
        <f>"CK2024100333613"</f>
        <v>CK2024100333613</v>
      </c>
      <c r="E9974" s="1" t="str">
        <f>"3723053455003747840"</f>
        <v>3723053455003747840</v>
      </c>
      <c r="F9974" s="1" t="str">
        <f t="shared" si="2734"/>
        <v>花都四部-凤凰仓</v>
      </c>
      <c r="G9974" s="1" t="str">
        <f t="shared" si="2737"/>
        <v>卡卡杜企业店（视频号）</v>
      </c>
      <c r="H9974" s="1" t="str">
        <f t="shared" si="2735"/>
        <v>正常订单</v>
      </c>
      <c r="I9974" s="1" t="str">
        <f t="shared" si="2736"/>
        <v>已发货</v>
      </c>
      <c r="J9974" s="1" t="str">
        <f t="shared" si="2739"/>
        <v>2</v>
      </c>
      <c r="K9974" s="1">
        <v>2</v>
      </c>
      <c r="L9974" s="1" t="s">
        <v>18</v>
      </c>
      <c r="M9974" s="1" t="str">
        <f>"广东省 广州市 番禺区 "</f>
        <v xml:space="preserve">广东省 广州市 番禺区 </v>
      </c>
      <c r="N9974" s="1" t="str">
        <f t="shared" si="2738"/>
        <v>凡华云仓-韵达-微信视频号</v>
      </c>
      <c r="O9974" s="5">
        <v>315011841471593</v>
      </c>
      <c r="P9974" s="6">
        <v>0.28000000000000003</v>
      </c>
      <c r="Q9974" s="11">
        <v>2</v>
      </c>
      <c r="R9974" s="11"/>
      <c r="S9974" s="11"/>
      <c r="T9974" s="11"/>
      <c r="U9974" s="11">
        <f t="shared" si="2717"/>
        <v>2</v>
      </c>
      <c r="W9974">
        <v>2.2000000000000002</v>
      </c>
      <c r="X9974" s="1" t="s">
        <v>18</v>
      </c>
    </row>
    <row r="9975" spans="1:24" x14ac:dyDescent="0.25">
      <c r="A9975" s="1" t="str">
        <f t="shared" si="2733"/>
        <v>卡卡杜-凤凰仓</v>
      </c>
      <c r="B9975" s="1" t="str">
        <f>"CK2024100310447"</f>
        <v>CK2024100310447</v>
      </c>
      <c r="C9975" s="1" t="str">
        <f>"DD2024100333997"</f>
        <v>DD2024100333997</v>
      </c>
      <c r="D9975" s="1" t="str">
        <f>"CK2024100333612"</f>
        <v>CK2024100333612</v>
      </c>
      <c r="E9975" s="1" t="str">
        <f>"3723054095807940096"</f>
        <v>3723054095807940096</v>
      </c>
      <c r="F9975" s="1" t="str">
        <f t="shared" si="2734"/>
        <v>花都四部-凤凰仓</v>
      </c>
      <c r="G9975" s="1" t="str">
        <f t="shared" si="2737"/>
        <v>卡卡杜企业店（视频号）</v>
      </c>
      <c r="H9975" s="1" t="str">
        <f t="shared" si="2735"/>
        <v>正常订单</v>
      </c>
      <c r="I9975" s="1" t="str">
        <f t="shared" si="2736"/>
        <v>已发货</v>
      </c>
      <c r="J9975" s="1" t="str">
        <f t="shared" si="2739"/>
        <v>2</v>
      </c>
      <c r="K9975" s="1">
        <v>2</v>
      </c>
      <c r="L9975" s="1" t="s">
        <v>18</v>
      </c>
      <c r="M9975" s="1" t="str">
        <f>"广东省 深圳市 南山区 "</f>
        <v xml:space="preserve">广东省 深圳市 南山区 </v>
      </c>
      <c r="N9975" s="1" t="str">
        <f t="shared" si="2738"/>
        <v>凡华云仓-韵达-微信视频号</v>
      </c>
      <c r="O9975" s="5">
        <v>315011841468379</v>
      </c>
      <c r="P9975" s="6">
        <v>0.28000000000000003</v>
      </c>
      <c r="Q9975" s="11">
        <v>2</v>
      </c>
      <c r="R9975" s="11"/>
      <c r="S9975" s="11"/>
      <c r="T9975" s="11"/>
      <c r="U9975" s="11">
        <f t="shared" si="2717"/>
        <v>2</v>
      </c>
      <c r="W9975">
        <v>2.2000000000000002</v>
      </c>
      <c r="X9975" s="1" t="s">
        <v>18</v>
      </c>
    </row>
    <row r="9976" spans="1:24" x14ac:dyDescent="0.25">
      <c r="A9976" s="1" t="str">
        <f t="shared" si="2733"/>
        <v>卡卡杜-凤凰仓</v>
      </c>
      <c r="B9976" s="1" t="str">
        <f>"CK2024100310445"</f>
        <v>CK2024100310445</v>
      </c>
      <c r="C9976" s="1" t="str">
        <f>"DD2024100333996"</f>
        <v>DD2024100333996</v>
      </c>
      <c r="D9976" s="1" t="str">
        <f>"CK2024100333611"</f>
        <v>CK2024100333611</v>
      </c>
      <c r="E9976" s="1" t="str">
        <f>"3723054191707555328"</f>
        <v>3723054191707555328</v>
      </c>
      <c r="F9976" s="1" t="str">
        <f t="shared" si="2734"/>
        <v>花都四部-凤凰仓</v>
      </c>
      <c r="G9976" s="1" t="str">
        <f t="shared" si="2737"/>
        <v>卡卡杜企业店（视频号）</v>
      </c>
      <c r="H9976" s="1" t="str">
        <f t="shared" si="2735"/>
        <v>正常订单</v>
      </c>
      <c r="I9976" s="1" t="str">
        <f t="shared" si="2736"/>
        <v>已发货</v>
      </c>
      <c r="J9976" s="1" t="str">
        <f t="shared" si="2739"/>
        <v>2</v>
      </c>
      <c r="K9976" s="1">
        <v>2</v>
      </c>
      <c r="L9976" s="1" t="s">
        <v>105</v>
      </c>
      <c r="M9976" s="1" t="str">
        <f>"北京 北京市 西城区 "</f>
        <v xml:space="preserve">北京 北京市 西城区 </v>
      </c>
      <c r="N9976" s="1" t="str">
        <f t="shared" si="2738"/>
        <v>凡华云仓-韵达-微信视频号</v>
      </c>
      <c r="O9976" s="5">
        <v>315011841465568</v>
      </c>
      <c r="P9976" s="6">
        <v>0.28000000000000003</v>
      </c>
      <c r="Q9976" s="11">
        <v>2</v>
      </c>
      <c r="R9976" s="11"/>
      <c r="S9976" s="11"/>
      <c r="T9976" s="11"/>
      <c r="U9976" s="11">
        <f t="shared" si="2717"/>
        <v>2</v>
      </c>
      <c r="W9976">
        <v>2.2000000000000002</v>
      </c>
      <c r="X9976" s="1" t="s">
        <v>105</v>
      </c>
    </row>
    <row r="9977" spans="1:24" x14ac:dyDescent="0.25">
      <c r="A9977" s="1" t="str">
        <f t="shared" si="2733"/>
        <v>卡卡杜-凤凰仓</v>
      </c>
      <c r="B9977" s="1" t="str">
        <f>"CK2024100310437"</f>
        <v>CK2024100310437</v>
      </c>
      <c r="C9977" s="1" t="str">
        <f>"DD2024100333992"</f>
        <v>DD2024100333992</v>
      </c>
      <c r="D9977" s="1" t="str">
        <f>"CK2024100333610"</f>
        <v>CK2024100333610</v>
      </c>
      <c r="E9977" s="1" t="str">
        <f>"3723054417808328192"</f>
        <v>3723054417808328192</v>
      </c>
      <c r="F9977" s="1" t="str">
        <f t="shared" si="2734"/>
        <v>花都四部-凤凰仓</v>
      </c>
      <c r="G9977" s="1" t="str">
        <f t="shared" si="2737"/>
        <v>卡卡杜企业店（视频号）</v>
      </c>
      <c r="H9977" s="1" t="str">
        <f t="shared" si="2735"/>
        <v>正常订单</v>
      </c>
      <c r="I9977" s="1" t="str">
        <f t="shared" si="2736"/>
        <v>已发货</v>
      </c>
      <c r="J9977" s="1" t="str">
        <f t="shared" si="2739"/>
        <v>2</v>
      </c>
      <c r="K9977" s="1">
        <v>2</v>
      </c>
      <c r="L9977" s="1" t="s">
        <v>94</v>
      </c>
      <c r="M9977" s="1" t="str">
        <f>"湖南省 长沙市 雨花区 "</f>
        <v xml:space="preserve">湖南省 长沙市 雨花区 </v>
      </c>
      <c r="N9977" s="1" t="str">
        <f t="shared" si="2738"/>
        <v>凡华云仓-韵达-微信视频号</v>
      </c>
      <c r="O9977" s="5">
        <v>315011841462391</v>
      </c>
      <c r="P9977" s="6">
        <v>0.28000000000000003</v>
      </c>
      <c r="Q9977" s="11">
        <v>2</v>
      </c>
      <c r="R9977" s="11"/>
      <c r="S9977" s="11"/>
      <c r="T9977" s="11"/>
      <c r="U9977" s="11">
        <f t="shared" si="2717"/>
        <v>2</v>
      </c>
      <c r="W9977">
        <v>2.2000000000000002</v>
      </c>
      <c r="X9977" s="1" t="s">
        <v>94</v>
      </c>
    </row>
    <row r="9978" spans="1:24" x14ac:dyDescent="0.25">
      <c r="A9978" s="1" t="str">
        <f t="shared" si="2733"/>
        <v>卡卡杜-凤凰仓</v>
      </c>
      <c r="B9978" s="1" t="str">
        <f>"CK2024100310448"</f>
        <v>CK2024100310448</v>
      </c>
      <c r="C9978" s="1" t="str">
        <f>"DD2024100333998"</f>
        <v>DD2024100333998</v>
      </c>
      <c r="D9978" s="1" t="str">
        <f>"CK2024100333609"</f>
        <v>CK2024100333609</v>
      </c>
      <c r="E9978" s="1" t="str">
        <f>"3723053758345252864"</f>
        <v>3723053758345252864</v>
      </c>
      <c r="F9978" s="1" t="str">
        <f t="shared" si="2734"/>
        <v>花都四部-凤凰仓</v>
      </c>
      <c r="G9978" s="1" t="str">
        <f t="shared" si="2737"/>
        <v>卡卡杜企业店（视频号）</v>
      </c>
      <c r="H9978" s="1" t="str">
        <f t="shared" si="2735"/>
        <v>正常订单</v>
      </c>
      <c r="I9978" s="1" t="str">
        <f t="shared" si="2736"/>
        <v>已发货</v>
      </c>
      <c r="J9978" s="1" t="str">
        <f>"4"</f>
        <v>4</v>
      </c>
      <c r="K9978" s="1">
        <v>2</v>
      </c>
      <c r="L9978" s="1" t="s">
        <v>22</v>
      </c>
      <c r="M9978" s="1" t="str">
        <f>"江西省 九江市 浔阳区 "</f>
        <v xml:space="preserve">江西省 九江市 浔阳区 </v>
      </c>
      <c r="N9978" s="1" t="str">
        <f t="shared" si="2738"/>
        <v>凡华云仓-韵达-微信视频号</v>
      </c>
      <c r="O9978" s="5">
        <v>315011841458572</v>
      </c>
      <c r="P9978" s="6">
        <v>0.52</v>
      </c>
      <c r="Q9978" s="11">
        <f>CEILING(P9978-0.5,0.1)*10*0.15+2.3</f>
        <v>2.4499999999999997</v>
      </c>
      <c r="R9978" s="11"/>
      <c r="S9978" s="11"/>
      <c r="T9978" s="11"/>
      <c r="U9978" s="11">
        <f t="shared" si="2717"/>
        <v>2.4499999999999997</v>
      </c>
      <c r="V9978" t="s">
        <v>15</v>
      </c>
      <c r="W9978">
        <v>2.4500000000000002</v>
      </c>
      <c r="X9978" s="1" t="s">
        <v>22</v>
      </c>
    </row>
    <row r="9979" spans="1:24" x14ac:dyDescent="0.25">
      <c r="A9979" s="1" t="str">
        <f t="shared" si="2733"/>
        <v>卡卡杜-凤凰仓</v>
      </c>
      <c r="B9979" s="1" t="str">
        <f>"CK2024100310444"</f>
        <v>CK2024100310444</v>
      </c>
      <c r="C9979" s="1" t="str">
        <f>"DD2024100333995"</f>
        <v>DD2024100333995</v>
      </c>
      <c r="D9979" s="1" t="str">
        <f>"CK2024100333608"</f>
        <v>CK2024100333608</v>
      </c>
      <c r="E9979" s="1" t="str">
        <f>"3723054202532794368"</f>
        <v>3723054202532794368</v>
      </c>
      <c r="F9979" s="1" t="str">
        <f t="shared" si="2734"/>
        <v>花都四部-凤凰仓</v>
      </c>
      <c r="G9979" s="1" t="str">
        <f t="shared" si="2737"/>
        <v>卡卡杜企业店（视频号）</v>
      </c>
      <c r="H9979" s="1" t="str">
        <f t="shared" si="2735"/>
        <v>正常订单</v>
      </c>
      <c r="I9979" s="1" t="str">
        <f t="shared" si="2736"/>
        <v>已发货</v>
      </c>
      <c r="J9979" s="1" t="str">
        <f t="shared" ref="J9979:J9984" si="2740">"2"</f>
        <v>2</v>
      </c>
      <c r="K9979" s="1">
        <v>2</v>
      </c>
      <c r="L9979" s="1" t="s">
        <v>18</v>
      </c>
      <c r="M9979" s="1" t="str">
        <f>"广东省 广州市 海珠区 "</f>
        <v xml:space="preserve">广东省 广州市 海珠区 </v>
      </c>
      <c r="N9979" s="1" t="str">
        <f t="shared" si="2738"/>
        <v>凡华云仓-韵达-微信视频号</v>
      </c>
      <c r="O9979" s="5">
        <v>315011841455193</v>
      </c>
      <c r="P9979" s="6">
        <v>0.28000000000000003</v>
      </c>
      <c r="Q9979" s="11">
        <v>2</v>
      </c>
      <c r="R9979" s="11"/>
      <c r="S9979" s="11"/>
      <c r="T9979" s="11"/>
      <c r="U9979" s="11">
        <f t="shared" si="2717"/>
        <v>2</v>
      </c>
      <c r="W9979">
        <v>2.2000000000000002</v>
      </c>
      <c r="X9979" s="1" t="s">
        <v>18</v>
      </c>
    </row>
    <row r="9980" spans="1:24" x14ac:dyDescent="0.25">
      <c r="A9980" s="1" t="str">
        <f t="shared" si="2733"/>
        <v>卡卡杜-凤凰仓</v>
      </c>
      <c r="B9980" s="1" t="str">
        <f>"CK2024100310435"</f>
        <v>CK2024100310435</v>
      </c>
      <c r="C9980" s="1" t="str">
        <f>"DD2024100333994"</f>
        <v>DD2024100333994</v>
      </c>
      <c r="D9980" s="1" t="str">
        <f>"CK2024100333607"</f>
        <v>CK2024100333607</v>
      </c>
      <c r="E9980" s="1" t="str">
        <f>"6917770942395481101"</f>
        <v>6917770942395481101</v>
      </c>
      <c r="F9980" s="1" t="str">
        <f t="shared" si="2734"/>
        <v>花都四部-凤凰仓</v>
      </c>
      <c r="G9980" s="1" t="str">
        <f t="shared" ref="G9980:G9984" si="2741">"卡卡杜个人护理店（抖店）"</f>
        <v>卡卡杜个人护理店（抖店）</v>
      </c>
      <c r="H9980" s="1" t="str">
        <f t="shared" si="2735"/>
        <v>正常订单</v>
      </c>
      <c r="I9980" s="1" t="str">
        <f t="shared" si="2736"/>
        <v>已发货</v>
      </c>
      <c r="J9980" s="1" t="str">
        <f t="shared" si="2740"/>
        <v>2</v>
      </c>
      <c r="K9980" s="1">
        <v>2</v>
      </c>
      <c r="L9980" s="1" t="s">
        <v>74</v>
      </c>
      <c r="M9980" s="1" t="str">
        <f>"上海 上海市 青浦区 盈浦街道"</f>
        <v>上海 上海市 青浦区 盈浦街道</v>
      </c>
      <c r="N9980" s="1" t="str">
        <f t="shared" ref="N9980:N9984" si="2742">"凡华云仓-韵达-抖音"</f>
        <v>凡华云仓-韵达-抖音</v>
      </c>
      <c r="O9980" s="5">
        <v>320153864484333</v>
      </c>
      <c r="P9980" s="6">
        <v>0.28000000000000003</v>
      </c>
      <c r="Q9980" s="11">
        <v>2</v>
      </c>
      <c r="R9980" s="11"/>
      <c r="S9980" s="11"/>
      <c r="T9980" s="11"/>
      <c r="U9980" s="11">
        <f t="shared" si="2717"/>
        <v>2</v>
      </c>
      <c r="W9980">
        <v>2.2000000000000002</v>
      </c>
      <c r="X9980" s="1" t="s">
        <v>74</v>
      </c>
    </row>
    <row r="9981" spans="1:24" x14ac:dyDescent="0.25">
      <c r="A9981" s="1" t="str">
        <f t="shared" si="2733"/>
        <v>卡卡杜-凤凰仓</v>
      </c>
      <c r="B9981" s="1" t="str">
        <f>"CK2024100310480"</f>
        <v>CK2024100310480</v>
      </c>
      <c r="C9981" s="1" t="str">
        <f>"DD2024100334006"</f>
        <v>DD2024100334006</v>
      </c>
      <c r="D9981" s="1" t="str">
        <f>"CK2024100333606"</f>
        <v>CK2024100333606</v>
      </c>
      <c r="E9981" s="1" t="str">
        <f>"6917765139796753990"</f>
        <v>6917765139796753990</v>
      </c>
      <c r="F9981" s="1" t="str">
        <f t="shared" si="2734"/>
        <v>花都四部-凤凰仓</v>
      </c>
      <c r="G9981" s="1" t="str">
        <f t="shared" si="2741"/>
        <v>卡卡杜个人护理店（抖店）</v>
      </c>
      <c r="H9981" s="1" t="str">
        <f t="shared" si="2735"/>
        <v>正常订单</v>
      </c>
      <c r="I9981" s="1" t="str">
        <f t="shared" si="2736"/>
        <v>已发货</v>
      </c>
      <c r="J9981" s="1" t="str">
        <f t="shared" si="2740"/>
        <v>2</v>
      </c>
      <c r="K9981" s="1">
        <v>2</v>
      </c>
      <c r="L9981" s="1" t="s">
        <v>18</v>
      </c>
      <c r="M9981" s="1" t="str">
        <f>"广东省 深圳市 龙岗区 布吉街道"</f>
        <v>广东省 深圳市 龙岗区 布吉街道</v>
      </c>
      <c r="N9981" s="1" t="str">
        <f t="shared" si="2742"/>
        <v>凡华云仓-韵达-抖音</v>
      </c>
      <c r="O9981" s="5">
        <v>320153864484240</v>
      </c>
      <c r="P9981" s="6">
        <v>0.28000000000000003</v>
      </c>
      <c r="Q9981" s="11">
        <v>2</v>
      </c>
      <c r="R9981" s="11"/>
      <c r="S9981" s="11"/>
      <c r="T9981" s="11"/>
      <c r="U9981" s="11">
        <f t="shared" si="2717"/>
        <v>2</v>
      </c>
      <c r="W9981">
        <v>2.2000000000000002</v>
      </c>
      <c r="X9981" s="1" t="s">
        <v>18</v>
      </c>
    </row>
    <row r="9982" spans="1:24" x14ac:dyDescent="0.25">
      <c r="A9982" s="1" t="str">
        <f t="shared" si="2733"/>
        <v>卡卡杜-凤凰仓</v>
      </c>
      <c r="B9982" s="1" t="str">
        <f>"CK2024100310478"</f>
        <v>CK2024100310478</v>
      </c>
      <c r="C9982" s="1" t="str">
        <f>"DD2024100334005"</f>
        <v>DD2024100334005</v>
      </c>
      <c r="D9982" s="1" t="str">
        <f>"CK2024100333605"</f>
        <v>CK2024100333605</v>
      </c>
      <c r="E9982" s="1" t="str">
        <f>"6917769689583877242"</f>
        <v>6917769689583877242</v>
      </c>
      <c r="F9982" s="1" t="str">
        <f t="shared" si="2734"/>
        <v>花都四部-凤凰仓</v>
      </c>
      <c r="G9982" s="1" t="str">
        <f t="shared" si="2741"/>
        <v>卡卡杜个人护理店（抖店）</v>
      </c>
      <c r="H9982" s="1" t="str">
        <f t="shared" si="2735"/>
        <v>正常订单</v>
      </c>
      <c r="I9982" s="1" t="str">
        <f t="shared" si="2736"/>
        <v>已发货</v>
      </c>
      <c r="J9982" s="1" t="str">
        <f t="shared" si="2740"/>
        <v>2</v>
      </c>
      <c r="K9982" s="1">
        <v>2</v>
      </c>
      <c r="L9982" s="1" t="s">
        <v>96</v>
      </c>
      <c r="M9982" s="1" t="str">
        <f>"广西壮族自治区 梧州市 蒙山县 蒙山镇"</f>
        <v>广西壮族自治区 梧州市 蒙山县 蒙山镇</v>
      </c>
      <c r="N9982" s="1" t="str">
        <f t="shared" si="2742"/>
        <v>凡华云仓-韵达-抖音</v>
      </c>
      <c r="O9982" s="5">
        <v>320153864484149</v>
      </c>
      <c r="P9982" s="6">
        <v>0.28000000000000003</v>
      </c>
      <c r="Q9982" s="11">
        <v>2</v>
      </c>
      <c r="R9982" s="11"/>
      <c r="S9982" s="11"/>
      <c r="T9982" s="11"/>
      <c r="U9982" s="11">
        <f t="shared" si="2717"/>
        <v>2</v>
      </c>
      <c r="W9982">
        <v>2.2000000000000002</v>
      </c>
      <c r="X9982" s="1" t="s">
        <v>96</v>
      </c>
    </row>
    <row r="9983" spans="1:24" x14ac:dyDescent="0.25">
      <c r="A9983" s="1" t="str">
        <f t="shared" si="2733"/>
        <v>卡卡杜-凤凰仓</v>
      </c>
      <c r="B9983" s="1" t="str">
        <f>"CK2024100310453"</f>
        <v>CK2024100310453</v>
      </c>
      <c r="C9983" s="1" t="str">
        <f>"DD2024100333999"</f>
        <v>DD2024100333999</v>
      </c>
      <c r="D9983" s="1" t="str">
        <f>"CK2024100333604"</f>
        <v>CK2024100333604</v>
      </c>
      <c r="E9983" s="1" t="str">
        <f>"6917770492190031459"</f>
        <v>6917770492190031459</v>
      </c>
      <c r="F9983" s="1" t="str">
        <f t="shared" si="2734"/>
        <v>花都四部-凤凰仓</v>
      </c>
      <c r="G9983" s="1" t="str">
        <f t="shared" si="2741"/>
        <v>卡卡杜个人护理店（抖店）</v>
      </c>
      <c r="H9983" s="1" t="str">
        <f t="shared" si="2735"/>
        <v>正常订单</v>
      </c>
      <c r="I9983" s="1" t="str">
        <f t="shared" si="2736"/>
        <v>已发货</v>
      </c>
      <c r="J9983" s="1" t="str">
        <f t="shared" si="2740"/>
        <v>2</v>
      </c>
      <c r="K9983" s="1">
        <v>2</v>
      </c>
      <c r="L9983" s="1" t="s">
        <v>20</v>
      </c>
      <c r="M9983" s="1" t="str">
        <f>"浙江省 绍兴市 越城区 北海街道"</f>
        <v>浙江省 绍兴市 越城区 北海街道</v>
      </c>
      <c r="N9983" s="1" t="str">
        <f t="shared" si="2742"/>
        <v>凡华云仓-韵达-抖音</v>
      </c>
      <c r="O9983" s="5">
        <v>320153864484060</v>
      </c>
      <c r="P9983" s="6">
        <v>0.28000000000000003</v>
      </c>
      <c r="Q9983" s="11">
        <v>2</v>
      </c>
      <c r="R9983" s="11"/>
      <c r="S9983" s="11"/>
      <c r="T9983" s="11"/>
      <c r="U9983" s="11">
        <f t="shared" si="2717"/>
        <v>2</v>
      </c>
      <c r="W9983">
        <v>2.2000000000000002</v>
      </c>
      <c r="X9983" s="1" t="s">
        <v>20</v>
      </c>
    </row>
    <row r="9984" spans="1:24" x14ac:dyDescent="0.25">
      <c r="A9984" s="1" t="str">
        <f t="shared" si="2733"/>
        <v>卡卡杜-凤凰仓</v>
      </c>
      <c r="B9984" s="1" t="str">
        <f>"CK2024100310436"</f>
        <v>CK2024100310436</v>
      </c>
      <c r="C9984" s="1" t="str">
        <f>"DD2024100333993"</f>
        <v>DD2024100333993</v>
      </c>
      <c r="D9984" s="1" t="str">
        <f>"CK2024100333603"</f>
        <v>CK2024100333603</v>
      </c>
      <c r="E9984" s="1" t="str">
        <f>"6917768048539238127"</f>
        <v>6917768048539238127</v>
      </c>
      <c r="F9984" s="1" t="str">
        <f t="shared" si="2734"/>
        <v>花都四部-凤凰仓</v>
      </c>
      <c r="G9984" s="1" t="str">
        <f t="shared" si="2741"/>
        <v>卡卡杜个人护理店（抖店）</v>
      </c>
      <c r="H9984" s="1" t="str">
        <f t="shared" si="2735"/>
        <v>正常订单</v>
      </c>
      <c r="I9984" s="1" t="str">
        <f t="shared" si="2736"/>
        <v>已发货</v>
      </c>
      <c r="J9984" s="1" t="str">
        <f t="shared" si="2740"/>
        <v>2</v>
      </c>
      <c r="K9984" s="1">
        <v>2</v>
      </c>
      <c r="L9984" s="1" t="s">
        <v>20</v>
      </c>
      <c r="M9984" s="1" t="str">
        <f>"浙江省 杭州市 拱墅区 拱宸桥街道"</f>
        <v>浙江省 杭州市 拱墅区 拱宸桥街道</v>
      </c>
      <c r="N9984" s="1" t="str">
        <f t="shared" si="2742"/>
        <v>凡华云仓-韵达-抖音</v>
      </c>
      <c r="O9984" s="5">
        <v>320153864483938</v>
      </c>
      <c r="P9984" s="6">
        <v>0.28000000000000003</v>
      </c>
      <c r="Q9984" s="11">
        <v>2</v>
      </c>
      <c r="R9984" s="11"/>
      <c r="S9984" s="11"/>
      <c r="T9984" s="11"/>
      <c r="U9984" s="11">
        <f t="shared" si="2717"/>
        <v>2</v>
      </c>
      <c r="W9984">
        <v>2.2000000000000002</v>
      </c>
      <c r="X9984" s="1" t="s">
        <v>20</v>
      </c>
    </row>
    <row r="9985" spans="1:24" x14ac:dyDescent="0.25">
      <c r="A9985" s="1" t="str">
        <f t="shared" si="2733"/>
        <v>卡卡杜-凤凰仓</v>
      </c>
      <c r="B9985" s="1" t="str">
        <f>"CK2024100310425"</f>
        <v>CK2024100310425</v>
      </c>
      <c r="C9985" s="1" t="str">
        <f>"DD2024100324609"</f>
        <v>DD2024100324609</v>
      </c>
      <c r="D9985" s="1" t="str">
        <f>"CK2024100324782"</f>
        <v>CK2024100324782</v>
      </c>
      <c r="E9985" s="1" t="str">
        <f>"4065641643015917019"</f>
        <v>4065641643015917019</v>
      </c>
      <c r="F9985" s="1" t="str">
        <f t="shared" si="2734"/>
        <v>花都四部-凤凰仓</v>
      </c>
      <c r="G9985" s="1" t="str">
        <f>"卡卡杜旗舰店(天猫）"</f>
        <v>卡卡杜旗舰店(天猫）</v>
      </c>
      <c r="H9985" s="1" t="str">
        <f t="shared" si="2735"/>
        <v>正常订单</v>
      </c>
      <c r="I9985" s="1" t="str">
        <f t="shared" si="2736"/>
        <v>已发货</v>
      </c>
      <c r="J9985" s="1" t="str">
        <f>"1"</f>
        <v>1</v>
      </c>
      <c r="K9985" s="1">
        <v>1</v>
      </c>
      <c r="L9985" s="1" t="s">
        <v>60</v>
      </c>
      <c r="M9985" s="1" t="str">
        <f>"云南省 大理白族自治州 鹤庆县 "</f>
        <v xml:space="preserve">云南省 大理白族自治州 鹤庆县 </v>
      </c>
      <c r="N9985" s="1" t="str">
        <f>"凡华云仓-韵达-淘宝"</f>
        <v>凡华云仓-韵达-淘宝</v>
      </c>
      <c r="O9985" s="5">
        <v>434166679914165</v>
      </c>
      <c r="P9985" s="6">
        <v>0.19</v>
      </c>
      <c r="Q9985" s="11">
        <v>2</v>
      </c>
      <c r="R9985" s="11"/>
      <c r="S9985" s="11"/>
      <c r="T9985" s="11"/>
      <c r="U9985" s="11">
        <f t="shared" si="2717"/>
        <v>2</v>
      </c>
      <c r="W9985">
        <v>2.2000000000000002</v>
      </c>
      <c r="X9985" s="1" t="s">
        <v>60</v>
      </c>
    </row>
    <row r="9986" spans="1:24" x14ac:dyDescent="0.25">
      <c r="A9986" s="1" t="str">
        <f t="shared" si="2733"/>
        <v>卡卡杜-凤凰仓</v>
      </c>
      <c r="B9986" s="1" t="str">
        <f>"CK2024100310254"</f>
        <v>CK2024100310254</v>
      </c>
      <c r="C9986" s="1" t="str">
        <f>"DD2024100323928"</f>
        <v>DD2024100323928</v>
      </c>
      <c r="D9986" s="1" t="str">
        <f>"CK2024100324780"</f>
        <v>CK2024100324780</v>
      </c>
      <c r="E9986" s="1" t="str">
        <f>"6917772050288574275"</f>
        <v>6917772050288574275</v>
      </c>
      <c r="F9986" s="1" t="str">
        <f t="shared" si="2734"/>
        <v>花都四部-凤凰仓</v>
      </c>
      <c r="G9986" s="1" t="str">
        <f t="shared" ref="G9986:G10005" si="2743">"卡卡杜个人护理店（抖店）"</f>
        <v>卡卡杜个人护理店（抖店）</v>
      </c>
      <c r="H9986" s="1" t="str">
        <f t="shared" si="2735"/>
        <v>正常订单</v>
      </c>
      <c r="I9986" s="1" t="str">
        <f t="shared" si="2736"/>
        <v>已发货</v>
      </c>
      <c r="J9986" s="1" t="str">
        <f t="shared" ref="J9986:J10002" si="2744">"2"</f>
        <v>2</v>
      </c>
      <c r="K9986" s="1">
        <v>2</v>
      </c>
      <c r="L9986" s="1" t="s">
        <v>161</v>
      </c>
      <c r="M9986" s="1" t="str">
        <f>"四川省 成都市 双流区 东升街道"</f>
        <v>四川省 成都市 双流区 东升街道</v>
      </c>
      <c r="N9986" s="1" t="str">
        <f t="shared" ref="N9986:N10005" si="2745">"凡华云仓-韵达-抖音"</f>
        <v>凡华云仓-韵达-抖音</v>
      </c>
      <c r="O9986" s="5">
        <v>320153605884269</v>
      </c>
      <c r="P9986" s="6">
        <v>0.28000000000000003</v>
      </c>
      <c r="Q9986" s="11">
        <v>2</v>
      </c>
      <c r="R9986" s="11"/>
      <c r="S9986" s="11"/>
      <c r="T9986" s="11"/>
      <c r="U9986" s="11">
        <f t="shared" si="2717"/>
        <v>2</v>
      </c>
      <c r="W9986">
        <v>2.2000000000000002</v>
      </c>
      <c r="X9986" s="1" t="s">
        <v>161</v>
      </c>
    </row>
    <row r="9987" spans="1:24" x14ac:dyDescent="0.25">
      <c r="A9987" s="1" t="str">
        <f t="shared" si="2733"/>
        <v>卡卡杜-凤凰仓</v>
      </c>
      <c r="B9987" s="1" t="str">
        <f>"CK2024100310268"</f>
        <v>CK2024100310268</v>
      </c>
      <c r="C9987" s="1" t="str">
        <f>"DD2024100323941"</f>
        <v>DD2024100323941</v>
      </c>
      <c r="D9987" s="1" t="str">
        <f>"CK2024100324779"</f>
        <v>CK2024100324779</v>
      </c>
      <c r="E9987" s="1" t="str">
        <f>"6917764692152909594"</f>
        <v>6917764692152909594</v>
      </c>
      <c r="F9987" s="1" t="str">
        <f t="shared" si="2734"/>
        <v>花都四部-凤凰仓</v>
      </c>
      <c r="G9987" s="1" t="str">
        <f t="shared" si="2743"/>
        <v>卡卡杜个人护理店（抖店）</v>
      </c>
      <c r="H9987" s="1" t="str">
        <f t="shared" si="2735"/>
        <v>正常订单</v>
      </c>
      <c r="I9987" s="1" t="str">
        <f t="shared" si="2736"/>
        <v>已发货</v>
      </c>
      <c r="J9987" s="1" t="str">
        <f t="shared" si="2744"/>
        <v>2</v>
      </c>
      <c r="K9987" s="1">
        <v>2</v>
      </c>
      <c r="L9987" s="1" t="s">
        <v>41</v>
      </c>
      <c r="M9987" s="1" t="str">
        <f>"湖北省 武汉市 江岸区 花桥街道"</f>
        <v>湖北省 武汉市 江岸区 花桥街道</v>
      </c>
      <c r="N9987" s="1" t="str">
        <f t="shared" si="2745"/>
        <v>凡华云仓-韵达-抖音</v>
      </c>
      <c r="O9987" s="5">
        <v>320153605884178</v>
      </c>
      <c r="P9987" s="6">
        <v>0.28000000000000003</v>
      </c>
      <c r="Q9987" s="11">
        <v>2</v>
      </c>
      <c r="R9987" s="11"/>
      <c r="S9987" s="11"/>
      <c r="T9987" s="11"/>
      <c r="U9987" s="11">
        <f t="shared" ref="U9987:U10050" si="2746">T9987+S9987+R9987+Q9987</f>
        <v>2</v>
      </c>
      <c r="W9987">
        <v>2.2000000000000002</v>
      </c>
      <c r="X9987" s="1" t="s">
        <v>41</v>
      </c>
    </row>
    <row r="9988" spans="1:24" x14ac:dyDescent="0.25">
      <c r="A9988" s="1" t="str">
        <f t="shared" si="2733"/>
        <v>卡卡杜-凤凰仓</v>
      </c>
      <c r="B9988" s="1" t="str">
        <f>"CK2024100310272"</f>
        <v>CK2024100310272</v>
      </c>
      <c r="C9988" s="1" t="str">
        <f>"DD2024100323945"</f>
        <v>DD2024100323945</v>
      </c>
      <c r="D9988" s="1" t="str">
        <f>"CK2024100324778"</f>
        <v>CK2024100324778</v>
      </c>
      <c r="E9988" s="1" t="str">
        <f>"6917764329399811458"</f>
        <v>6917764329399811458</v>
      </c>
      <c r="F9988" s="1" t="str">
        <f t="shared" si="2734"/>
        <v>花都四部-凤凰仓</v>
      </c>
      <c r="G9988" s="1" t="str">
        <f t="shared" si="2743"/>
        <v>卡卡杜个人护理店（抖店）</v>
      </c>
      <c r="H9988" s="1" t="str">
        <f t="shared" si="2735"/>
        <v>正常订单</v>
      </c>
      <c r="I9988" s="1" t="str">
        <f t="shared" si="2736"/>
        <v>已发货</v>
      </c>
      <c r="J9988" s="1" t="str">
        <f t="shared" si="2744"/>
        <v>2</v>
      </c>
      <c r="K9988" s="1">
        <v>2</v>
      </c>
      <c r="L9988" s="1" t="s">
        <v>161</v>
      </c>
      <c r="M9988" s="1" t="str">
        <f>"四川省 成都市 双流区 万安街道"</f>
        <v>四川省 成都市 双流区 万安街道</v>
      </c>
      <c r="N9988" s="1" t="str">
        <f t="shared" si="2745"/>
        <v>凡华云仓-韵达-抖音</v>
      </c>
      <c r="O9988" s="5">
        <v>320153605884089</v>
      </c>
      <c r="P9988" s="6">
        <v>0.28000000000000003</v>
      </c>
      <c r="Q9988" s="11">
        <v>2</v>
      </c>
      <c r="R9988" s="11"/>
      <c r="S9988" s="11"/>
      <c r="T9988" s="11"/>
      <c r="U9988" s="11">
        <f t="shared" si="2746"/>
        <v>2</v>
      </c>
      <c r="W9988">
        <v>2.2000000000000002</v>
      </c>
      <c r="X9988" s="1" t="s">
        <v>161</v>
      </c>
    </row>
    <row r="9989" spans="1:24" x14ac:dyDescent="0.25">
      <c r="A9989" s="1" t="str">
        <f t="shared" si="2733"/>
        <v>卡卡杜-凤凰仓</v>
      </c>
      <c r="B9989" s="1" t="str">
        <f>"CK2024100310275"</f>
        <v>CK2024100310275</v>
      </c>
      <c r="C9989" s="1" t="str">
        <f>"DD2024100323949"</f>
        <v>DD2024100323949</v>
      </c>
      <c r="D9989" s="1" t="str">
        <f>"CK2024100324777"</f>
        <v>CK2024100324777</v>
      </c>
      <c r="E9989" s="1" t="str">
        <f>"6917764265680928345"</f>
        <v>6917764265680928345</v>
      </c>
      <c r="F9989" s="1" t="str">
        <f t="shared" si="2734"/>
        <v>花都四部-凤凰仓</v>
      </c>
      <c r="G9989" s="1" t="str">
        <f t="shared" si="2743"/>
        <v>卡卡杜个人护理店（抖店）</v>
      </c>
      <c r="H9989" s="1" t="str">
        <f t="shared" si="2735"/>
        <v>正常订单</v>
      </c>
      <c r="I9989" s="1" t="str">
        <f t="shared" si="2736"/>
        <v>已发货</v>
      </c>
      <c r="J9989" s="1" t="str">
        <f t="shared" si="2744"/>
        <v>2</v>
      </c>
      <c r="K9989" s="1">
        <v>2</v>
      </c>
      <c r="L9989" s="1" t="s">
        <v>18</v>
      </c>
      <c r="M9989" s="1" t="str">
        <f>"广东省 广州市 增城区 朱村街道"</f>
        <v>广东省 广州市 增城区 朱村街道</v>
      </c>
      <c r="N9989" s="1" t="str">
        <f t="shared" si="2745"/>
        <v>凡华云仓-韵达-抖音</v>
      </c>
      <c r="O9989" s="5">
        <v>320153605883967</v>
      </c>
      <c r="P9989" s="6">
        <v>0.28000000000000003</v>
      </c>
      <c r="Q9989" s="11">
        <v>2</v>
      </c>
      <c r="R9989" s="11"/>
      <c r="S9989" s="11"/>
      <c r="T9989" s="11"/>
      <c r="U9989" s="11">
        <f t="shared" si="2746"/>
        <v>2</v>
      </c>
      <c r="W9989">
        <v>2.2000000000000002</v>
      </c>
      <c r="X9989" s="1" t="s">
        <v>18</v>
      </c>
    </row>
    <row r="9990" spans="1:24" x14ac:dyDescent="0.25">
      <c r="A9990" s="1" t="str">
        <f t="shared" si="2733"/>
        <v>卡卡杜-凤凰仓</v>
      </c>
      <c r="B9990" s="1" t="str">
        <f>"CK2024100310290"</f>
        <v>CK2024100310290</v>
      </c>
      <c r="C9990" s="1" t="str">
        <f>"DD2024100323963"</f>
        <v>DD2024100323963</v>
      </c>
      <c r="D9990" s="1" t="str">
        <f>"CK2024100324776"</f>
        <v>CK2024100324776</v>
      </c>
      <c r="E9990" s="1" t="str">
        <f>"6917761483990269475"</f>
        <v>6917761483990269475</v>
      </c>
      <c r="F9990" s="1" t="str">
        <f t="shared" si="2734"/>
        <v>花都四部-凤凰仓</v>
      </c>
      <c r="G9990" s="1" t="str">
        <f t="shared" si="2743"/>
        <v>卡卡杜个人护理店（抖店）</v>
      </c>
      <c r="H9990" s="1" t="str">
        <f t="shared" si="2735"/>
        <v>正常订单</v>
      </c>
      <c r="I9990" s="1" t="str">
        <f t="shared" si="2736"/>
        <v>已发货</v>
      </c>
      <c r="J9990" s="1" t="str">
        <f t="shared" si="2744"/>
        <v>2</v>
      </c>
      <c r="K9990" s="1">
        <v>2</v>
      </c>
      <c r="L9990" s="1" t="s">
        <v>109</v>
      </c>
      <c r="M9990" s="1" t="str">
        <f>"山西省 长治市 潞州区 延安南路街道"</f>
        <v>山西省 长治市 潞州区 延安南路街道</v>
      </c>
      <c r="N9990" s="1" t="str">
        <f t="shared" si="2745"/>
        <v>凡华云仓-韵达-抖音</v>
      </c>
      <c r="O9990" s="5">
        <v>320153605883862</v>
      </c>
      <c r="P9990" s="6">
        <v>0.28000000000000003</v>
      </c>
      <c r="Q9990" s="11">
        <v>2</v>
      </c>
      <c r="R9990" s="11"/>
      <c r="S9990" s="11"/>
      <c r="T9990" s="11"/>
      <c r="U9990" s="11">
        <f t="shared" si="2746"/>
        <v>2</v>
      </c>
      <c r="W9990">
        <v>2.2000000000000002</v>
      </c>
      <c r="X9990" s="1" t="s">
        <v>109</v>
      </c>
    </row>
    <row r="9991" spans="1:24" x14ac:dyDescent="0.25">
      <c r="A9991" s="1" t="str">
        <f t="shared" si="2733"/>
        <v>卡卡杜-凤凰仓</v>
      </c>
      <c r="B9991" s="1" t="str">
        <f>"CK2024100310294"</f>
        <v>CK2024100310294</v>
      </c>
      <c r="C9991" s="1" t="str">
        <f>"DD2024100323967"</f>
        <v>DD2024100323967</v>
      </c>
      <c r="D9991" s="1" t="str">
        <f>"CK2024100324775"</f>
        <v>CK2024100324775</v>
      </c>
      <c r="E9991" s="1" t="str">
        <f>"6917756768530235296"</f>
        <v>6917756768530235296</v>
      </c>
      <c r="F9991" s="1" t="str">
        <f t="shared" si="2734"/>
        <v>花都四部-凤凰仓</v>
      </c>
      <c r="G9991" s="1" t="str">
        <f t="shared" si="2743"/>
        <v>卡卡杜个人护理店（抖店）</v>
      </c>
      <c r="H9991" s="1" t="str">
        <f t="shared" si="2735"/>
        <v>正常订单</v>
      </c>
      <c r="I9991" s="1" t="str">
        <f t="shared" si="2736"/>
        <v>已发货</v>
      </c>
      <c r="J9991" s="1" t="str">
        <f t="shared" si="2744"/>
        <v>2</v>
      </c>
      <c r="K9991" s="1">
        <v>2</v>
      </c>
      <c r="L9991" s="1" t="s">
        <v>18</v>
      </c>
      <c r="M9991" s="1" t="str">
        <f>"广东省 中山市 中山市 石岐区街道"</f>
        <v>广东省 中山市 中山市 石岐区街道</v>
      </c>
      <c r="N9991" s="1" t="str">
        <f t="shared" si="2745"/>
        <v>凡华云仓-韵达-抖音</v>
      </c>
      <c r="O9991" s="5">
        <v>320153621012523</v>
      </c>
      <c r="P9991" s="6">
        <v>0.28000000000000003</v>
      </c>
      <c r="Q9991" s="11">
        <v>2</v>
      </c>
      <c r="R9991" s="11"/>
      <c r="S9991" s="11"/>
      <c r="T9991" s="11"/>
      <c r="U9991" s="11">
        <f t="shared" si="2746"/>
        <v>2</v>
      </c>
      <c r="W9991">
        <v>2.2000000000000002</v>
      </c>
      <c r="X9991" s="1" t="s">
        <v>18</v>
      </c>
    </row>
    <row r="9992" spans="1:24" x14ac:dyDescent="0.25">
      <c r="A9992" s="1" t="str">
        <f t="shared" si="2733"/>
        <v>卡卡杜-凤凰仓</v>
      </c>
      <c r="B9992" s="1" t="str">
        <f>"CK2024100310305"</f>
        <v>CK2024100310305</v>
      </c>
      <c r="C9992" s="1" t="str">
        <f>"DD2024100323978"</f>
        <v>DD2024100323978</v>
      </c>
      <c r="D9992" s="1" t="str">
        <f>"CK2024100324774"</f>
        <v>CK2024100324774</v>
      </c>
      <c r="E9992" s="1" t="str">
        <f>"6917754013024485340"</f>
        <v>6917754013024485340</v>
      </c>
      <c r="F9992" s="1" t="str">
        <f t="shared" si="2734"/>
        <v>花都四部-凤凰仓</v>
      </c>
      <c r="G9992" s="1" t="str">
        <f t="shared" si="2743"/>
        <v>卡卡杜个人护理店（抖店）</v>
      </c>
      <c r="H9992" s="1" t="str">
        <f t="shared" si="2735"/>
        <v>正常订单</v>
      </c>
      <c r="I9992" s="1" t="str">
        <f t="shared" si="2736"/>
        <v>已发货</v>
      </c>
      <c r="J9992" s="1" t="str">
        <f t="shared" si="2744"/>
        <v>2</v>
      </c>
      <c r="K9992" s="1">
        <v>2</v>
      </c>
      <c r="L9992" s="1" t="s">
        <v>18</v>
      </c>
      <c r="M9992" s="1" t="str">
        <f>"广东省 汕头市 金平区 石炮台街道"</f>
        <v>广东省 汕头市 金平区 石炮台街道</v>
      </c>
      <c r="N9992" s="1" t="str">
        <f t="shared" si="2745"/>
        <v>凡华云仓-韵达-抖音</v>
      </c>
      <c r="O9992" s="5">
        <v>320153621012426</v>
      </c>
      <c r="P9992" s="6">
        <v>0.28000000000000003</v>
      </c>
      <c r="Q9992" s="11">
        <v>2</v>
      </c>
      <c r="R9992" s="11"/>
      <c r="S9992" s="11"/>
      <c r="T9992" s="11"/>
      <c r="U9992" s="11">
        <f t="shared" si="2746"/>
        <v>2</v>
      </c>
      <c r="W9992">
        <v>2.2000000000000002</v>
      </c>
      <c r="X9992" s="1" t="s">
        <v>18</v>
      </c>
    </row>
    <row r="9993" spans="1:24" x14ac:dyDescent="0.25">
      <c r="A9993" s="1" t="str">
        <f t="shared" si="2733"/>
        <v>卡卡杜-凤凰仓</v>
      </c>
      <c r="B9993" s="1" t="str">
        <f>"CK2024100310307"</f>
        <v>CK2024100310307</v>
      </c>
      <c r="C9993" s="1" t="str">
        <f>"DD2024100323980"</f>
        <v>DD2024100323980</v>
      </c>
      <c r="D9993" s="1" t="str">
        <f>"CK2024100324773"</f>
        <v>CK2024100324773</v>
      </c>
      <c r="E9993" s="1" t="str">
        <f>"6917760874832821341"</f>
        <v>6917760874832821341</v>
      </c>
      <c r="F9993" s="1" t="str">
        <f t="shared" si="2734"/>
        <v>花都四部-凤凰仓</v>
      </c>
      <c r="G9993" s="1" t="str">
        <f t="shared" si="2743"/>
        <v>卡卡杜个人护理店（抖店）</v>
      </c>
      <c r="H9993" s="1" t="str">
        <f t="shared" si="2735"/>
        <v>正常订单</v>
      </c>
      <c r="I9993" s="1" t="str">
        <f t="shared" si="2736"/>
        <v>已发货</v>
      </c>
      <c r="J9993" s="1" t="str">
        <f t="shared" si="2744"/>
        <v>2</v>
      </c>
      <c r="K9993" s="1">
        <v>2</v>
      </c>
      <c r="L9993" s="1" t="s">
        <v>24</v>
      </c>
      <c r="M9993" s="1" t="str">
        <f>"福建省 漳州市 云霄县 云陵镇"</f>
        <v>福建省 漳州市 云霄县 云陵镇</v>
      </c>
      <c r="N9993" s="1" t="str">
        <f t="shared" si="2745"/>
        <v>凡华云仓-韵达-抖音</v>
      </c>
      <c r="O9993" s="5">
        <v>320153621012331</v>
      </c>
      <c r="P9993" s="6">
        <v>0.28000000000000003</v>
      </c>
      <c r="Q9993" s="11">
        <v>2</v>
      </c>
      <c r="R9993" s="11"/>
      <c r="S9993" s="11"/>
      <c r="T9993" s="11"/>
      <c r="U9993" s="11">
        <f t="shared" si="2746"/>
        <v>2</v>
      </c>
      <c r="W9993">
        <v>2.2000000000000002</v>
      </c>
      <c r="X9993" s="1" t="s">
        <v>24</v>
      </c>
    </row>
    <row r="9994" spans="1:24" x14ac:dyDescent="0.25">
      <c r="A9994" s="1" t="str">
        <f t="shared" si="2733"/>
        <v>卡卡杜-凤凰仓</v>
      </c>
      <c r="B9994" s="1" t="str">
        <f>"CK2024100310309"</f>
        <v>CK2024100310309</v>
      </c>
      <c r="C9994" s="1" t="str">
        <f>"DD2024100323984"</f>
        <v>DD2024100323984</v>
      </c>
      <c r="D9994" s="1" t="str">
        <f>"CK2024100324772"</f>
        <v>CK2024100324772</v>
      </c>
      <c r="E9994" s="1" t="str">
        <f>"6917762953028206013"</f>
        <v>6917762953028206013</v>
      </c>
      <c r="F9994" s="1" t="str">
        <f t="shared" si="2734"/>
        <v>花都四部-凤凰仓</v>
      </c>
      <c r="G9994" s="1" t="str">
        <f t="shared" si="2743"/>
        <v>卡卡杜个人护理店（抖店）</v>
      </c>
      <c r="H9994" s="1" t="str">
        <f t="shared" si="2735"/>
        <v>正常订单</v>
      </c>
      <c r="I9994" s="1" t="str">
        <f t="shared" si="2736"/>
        <v>已发货</v>
      </c>
      <c r="J9994" s="1" t="str">
        <f t="shared" si="2744"/>
        <v>2</v>
      </c>
      <c r="K9994" s="1">
        <v>2</v>
      </c>
      <c r="L9994" s="1" t="s">
        <v>13</v>
      </c>
      <c r="M9994" s="1" t="str">
        <f>"江苏省 南京市 玄武区 孝陵卫街道"</f>
        <v>江苏省 南京市 玄武区 孝陵卫街道</v>
      </c>
      <c r="N9994" s="1" t="str">
        <f t="shared" si="2745"/>
        <v>凡华云仓-韵达-抖音</v>
      </c>
      <c r="O9994" s="5">
        <v>320153621012238</v>
      </c>
      <c r="P9994" s="6">
        <v>0.28000000000000003</v>
      </c>
      <c r="Q9994" s="11">
        <v>2</v>
      </c>
      <c r="R9994" s="11"/>
      <c r="S9994" s="11"/>
      <c r="T9994" s="11"/>
      <c r="U9994" s="11">
        <f t="shared" si="2746"/>
        <v>2</v>
      </c>
      <c r="W9994">
        <v>2.2000000000000002</v>
      </c>
      <c r="X9994" s="1" t="s">
        <v>13</v>
      </c>
    </row>
    <row r="9995" spans="1:24" x14ac:dyDescent="0.25">
      <c r="A9995" s="1" t="str">
        <f t="shared" si="2733"/>
        <v>卡卡杜-凤凰仓</v>
      </c>
      <c r="B9995" s="1" t="str">
        <f>"CK2024100310310"</f>
        <v>CK2024100310310</v>
      </c>
      <c r="C9995" s="1" t="str">
        <f>"DD2024100323982"</f>
        <v>DD2024100323982</v>
      </c>
      <c r="D9995" s="1" t="str">
        <f>"CK2024100324771"</f>
        <v>CK2024100324771</v>
      </c>
      <c r="E9995" s="1" t="str">
        <f>"6917755942275611933"</f>
        <v>6917755942275611933</v>
      </c>
      <c r="F9995" s="1" t="str">
        <f t="shared" si="2734"/>
        <v>花都四部-凤凰仓</v>
      </c>
      <c r="G9995" s="1" t="str">
        <f t="shared" si="2743"/>
        <v>卡卡杜个人护理店（抖店）</v>
      </c>
      <c r="H9995" s="1" t="str">
        <f t="shared" si="2735"/>
        <v>正常订单</v>
      </c>
      <c r="I9995" s="1" t="str">
        <f t="shared" si="2736"/>
        <v>已发货</v>
      </c>
      <c r="J9995" s="1" t="str">
        <f t="shared" si="2744"/>
        <v>2</v>
      </c>
      <c r="K9995" s="1">
        <v>2</v>
      </c>
      <c r="L9995" s="1" t="s">
        <v>161</v>
      </c>
      <c r="M9995" s="1" t="str">
        <f>"四川省 成都市 武侯区 石羊街道"</f>
        <v>四川省 成都市 武侯区 石羊街道</v>
      </c>
      <c r="N9995" s="1" t="str">
        <f t="shared" si="2745"/>
        <v>凡华云仓-韵达-抖音</v>
      </c>
      <c r="O9995" s="5">
        <v>320153621012147</v>
      </c>
      <c r="P9995" s="6">
        <v>0.28000000000000003</v>
      </c>
      <c r="Q9995" s="11">
        <v>2</v>
      </c>
      <c r="R9995" s="11"/>
      <c r="S9995" s="11"/>
      <c r="T9995" s="11"/>
      <c r="U9995" s="11">
        <f t="shared" si="2746"/>
        <v>2</v>
      </c>
      <c r="W9995">
        <v>2.2000000000000002</v>
      </c>
      <c r="X9995" s="1" t="s">
        <v>161</v>
      </c>
    </row>
    <row r="9996" spans="1:24" x14ac:dyDescent="0.25">
      <c r="A9996" s="1" t="str">
        <f t="shared" si="2733"/>
        <v>卡卡杜-凤凰仓</v>
      </c>
      <c r="B9996" s="1" t="str">
        <f>"CK2024100310311"</f>
        <v>CK2024100310311</v>
      </c>
      <c r="C9996" s="1" t="str">
        <f>"DD2024100323983"</f>
        <v>DD2024100323983</v>
      </c>
      <c r="D9996" s="1" t="str">
        <f>"CK2024100324770"</f>
        <v>CK2024100324770</v>
      </c>
      <c r="E9996" s="1" t="str">
        <f>"6917762770122210346"</f>
        <v>6917762770122210346</v>
      </c>
      <c r="F9996" s="1" t="str">
        <f t="shared" si="2734"/>
        <v>花都四部-凤凰仓</v>
      </c>
      <c r="G9996" s="1" t="str">
        <f t="shared" si="2743"/>
        <v>卡卡杜个人护理店（抖店）</v>
      </c>
      <c r="H9996" s="1" t="str">
        <f t="shared" si="2735"/>
        <v>正常订单</v>
      </c>
      <c r="I9996" s="1" t="str">
        <f t="shared" si="2736"/>
        <v>已发货</v>
      </c>
      <c r="J9996" s="1" t="str">
        <f t="shared" si="2744"/>
        <v>2</v>
      </c>
      <c r="K9996" s="1">
        <v>2</v>
      </c>
      <c r="L9996" s="1" t="s">
        <v>18</v>
      </c>
      <c r="M9996" s="1" t="str">
        <f>"广东省 潮州市 潮安区 庵埠镇"</f>
        <v>广东省 潮州市 潮安区 庵埠镇</v>
      </c>
      <c r="N9996" s="1" t="str">
        <f t="shared" si="2745"/>
        <v>凡华云仓-韵达-抖音</v>
      </c>
      <c r="O9996" s="5">
        <v>320153621012058</v>
      </c>
      <c r="P9996" s="6">
        <v>0.28000000000000003</v>
      </c>
      <c r="Q9996" s="11">
        <v>2</v>
      </c>
      <c r="R9996" s="11"/>
      <c r="S9996" s="11"/>
      <c r="T9996" s="11"/>
      <c r="U9996" s="11">
        <f t="shared" si="2746"/>
        <v>2</v>
      </c>
      <c r="W9996">
        <v>2.2000000000000002</v>
      </c>
      <c r="X9996" s="1" t="s">
        <v>18</v>
      </c>
    </row>
    <row r="9997" spans="1:24" x14ac:dyDescent="0.25">
      <c r="A9997" s="1" t="str">
        <f t="shared" si="2733"/>
        <v>卡卡杜-凤凰仓</v>
      </c>
      <c r="B9997" s="1" t="str">
        <f>"CK2024100310312"</f>
        <v>CK2024100310312</v>
      </c>
      <c r="C9997" s="1" t="str">
        <f>"DD2024100323985"</f>
        <v>DD2024100323985</v>
      </c>
      <c r="D9997" s="1" t="str">
        <f>"CK2024100324769"</f>
        <v>CK2024100324769</v>
      </c>
      <c r="E9997" s="1" t="str">
        <f>"6917758080358972501"</f>
        <v>6917758080358972501</v>
      </c>
      <c r="F9997" s="1" t="str">
        <f t="shared" si="2734"/>
        <v>花都四部-凤凰仓</v>
      </c>
      <c r="G9997" s="1" t="str">
        <f t="shared" si="2743"/>
        <v>卡卡杜个人护理店（抖店）</v>
      </c>
      <c r="H9997" s="1" t="str">
        <f t="shared" si="2735"/>
        <v>正常订单</v>
      </c>
      <c r="I9997" s="1" t="str">
        <f t="shared" si="2736"/>
        <v>已发货</v>
      </c>
      <c r="J9997" s="1" t="str">
        <f t="shared" si="2744"/>
        <v>2</v>
      </c>
      <c r="K9997" s="1">
        <v>2</v>
      </c>
      <c r="L9997" s="1" t="s">
        <v>18</v>
      </c>
      <c r="M9997" s="1" t="str">
        <f>"广东省 珠海市 香洲区 梅华街道"</f>
        <v>广东省 珠海市 香洲区 梅华街道</v>
      </c>
      <c r="N9997" s="1" t="str">
        <f t="shared" si="2745"/>
        <v>凡华云仓-韵达-抖音</v>
      </c>
      <c r="O9997" s="5">
        <v>320153621011940</v>
      </c>
      <c r="P9997" s="6">
        <v>0.28000000000000003</v>
      </c>
      <c r="Q9997" s="11">
        <v>2</v>
      </c>
      <c r="R9997" s="11"/>
      <c r="S9997" s="11"/>
      <c r="T9997" s="11"/>
      <c r="U9997" s="11">
        <f t="shared" si="2746"/>
        <v>2</v>
      </c>
      <c r="W9997">
        <v>2.2000000000000002</v>
      </c>
      <c r="X9997" s="1" t="s">
        <v>18</v>
      </c>
    </row>
    <row r="9998" spans="1:24" x14ac:dyDescent="0.25">
      <c r="A9998" s="1" t="str">
        <f t="shared" si="2733"/>
        <v>卡卡杜-凤凰仓</v>
      </c>
      <c r="B9998" s="1" t="str">
        <f>"CK2024100310314"</f>
        <v>CK2024100310314</v>
      </c>
      <c r="C9998" s="1" t="str">
        <f>"DD2024100323988"</f>
        <v>DD2024100323988</v>
      </c>
      <c r="D9998" s="1" t="str">
        <f>"CK2024100324768"</f>
        <v>CK2024100324768</v>
      </c>
      <c r="E9998" s="1" t="str">
        <f>"6917753270816374129"</f>
        <v>6917753270816374129</v>
      </c>
      <c r="F9998" s="1" t="str">
        <f t="shared" si="2734"/>
        <v>花都四部-凤凰仓</v>
      </c>
      <c r="G9998" s="1" t="str">
        <f t="shared" si="2743"/>
        <v>卡卡杜个人护理店（抖店）</v>
      </c>
      <c r="H9998" s="1" t="str">
        <f t="shared" si="2735"/>
        <v>正常订单</v>
      </c>
      <c r="I9998" s="1" t="str">
        <f t="shared" si="2736"/>
        <v>已发货</v>
      </c>
      <c r="J9998" s="1" t="str">
        <f t="shared" si="2744"/>
        <v>2</v>
      </c>
      <c r="K9998" s="1">
        <v>2</v>
      </c>
      <c r="L9998" s="1" t="s">
        <v>74</v>
      </c>
      <c r="M9998" s="1" t="str">
        <f>"上海 上海市 浦东新区 惠南镇"</f>
        <v>上海 上海市 浦东新区 惠南镇</v>
      </c>
      <c r="N9998" s="1" t="str">
        <f t="shared" si="2745"/>
        <v>凡华云仓-韵达-抖音</v>
      </c>
      <c r="O9998" s="5">
        <v>320153621011835</v>
      </c>
      <c r="P9998" s="6">
        <v>0.28000000000000003</v>
      </c>
      <c r="Q9998" s="11">
        <v>2</v>
      </c>
      <c r="R9998" s="11"/>
      <c r="S9998" s="11"/>
      <c r="T9998" s="11"/>
      <c r="U9998" s="11">
        <f t="shared" si="2746"/>
        <v>2</v>
      </c>
      <c r="W9998">
        <v>2.2000000000000002</v>
      </c>
      <c r="X9998" s="1" t="s">
        <v>74</v>
      </c>
    </row>
    <row r="9999" spans="1:24" x14ac:dyDescent="0.25">
      <c r="A9999" s="1" t="str">
        <f t="shared" si="2733"/>
        <v>卡卡杜-凤凰仓</v>
      </c>
      <c r="B9999" s="1" t="str">
        <f>"CK2024100310318"</f>
        <v>CK2024100310318</v>
      </c>
      <c r="C9999" s="1" t="str">
        <f>"DD2024100323991"</f>
        <v>DD2024100323991</v>
      </c>
      <c r="D9999" s="1" t="str">
        <f>"CK2024100324767"</f>
        <v>CK2024100324767</v>
      </c>
      <c r="E9999" s="1" t="str">
        <f>"6917743218791841430"</f>
        <v>6917743218791841430</v>
      </c>
      <c r="F9999" s="1" t="str">
        <f t="shared" si="2734"/>
        <v>花都四部-凤凰仓</v>
      </c>
      <c r="G9999" s="1" t="str">
        <f t="shared" si="2743"/>
        <v>卡卡杜个人护理店（抖店）</v>
      </c>
      <c r="H9999" s="1" t="str">
        <f t="shared" si="2735"/>
        <v>正常订单</v>
      </c>
      <c r="I9999" s="1" t="str">
        <f t="shared" si="2736"/>
        <v>已发货</v>
      </c>
      <c r="J9999" s="1" t="str">
        <f t="shared" si="2744"/>
        <v>2</v>
      </c>
      <c r="K9999" s="1">
        <v>2</v>
      </c>
      <c r="L9999" s="1" t="s">
        <v>18</v>
      </c>
      <c r="M9999" s="1" t="str">
        <f>"广东省 广州市 番禺区 桥南街道"</f>
        <v>广东省 广州市 番禺区 桥南街道</v>
      </c>
      <c r="N9999" s="1" t="str">
        <f t="shared" si="2745"/>
        <v>凡华云仓-韵达-抖音</v>
      </c>
      <c r="O9999" s="5">
        <v>320153621011732</v>
      </c>
      <c r="P9999" s="6">
        <v>0.28000000000000003</v>
      </c>
      <c r="Q9999" s="11">
        <v>2</v>
      </c>
      <c r="R9999" s="11"/>
      <c r="S9999" s="11"/>
      <c r="T9999" s="11"/>
      <c r="U9999" s="11">
        <f t="shared" si="2746"/>
        <v>2</v>
      </c>
      <c r="W9999">
        <v>2.2000000000000002</v>
      </c>
      <c r="X9999" s="1" t="s">
        <v>18</v>
      </c>
    </row>
    <row r="10000" spans="1:24" x14ac:dyDescent="0.25">
      <c r="A10000" s="1" t="str">
        <f t="shared" si="2733"/>
        <v>卡卡杜-凤凰仓</v>
      </c>
      <c r="B10000" s="1" t="str">
        <f>"CK2024100310323"</f>
        <v>CK2024100310323</v>
      </c>
      <c r="C10000" s="1" t="str">
        <f>"DD2024100323996"</f>
        <v>DD2024100323996</v>
      </c>
      <c r="D10000" s="1" t="str">
        <f>"CK2024100324766"</f>
        <v>CK2024100324766</v>
      </c>
      <c r="E10000" s="1" t="str">
        <f>"6917745631999851716"</f>
        <v>6917745631999851716</v>
      </c>
      <c r="F10000" s="1" t="str">
        <f t="shared" si="2734"/>
        <v>花都四部-凤凰仓</v>
      </c>
      <c r="G10000" s="1" t="str">
        <f t="shared" si="2743"/>
        <v>卡卡杜个人护理店（抖店）</v>
      </c>
      <c r="H10000" s="1" t="str">
        <f t="shared" si="2735"/>
        <v>正常订单</v>
      </c>
      <c r="I10000" s="1" t="str">
        <f t="shared" si="2736"/>
        <v>已发货</v>
      </c>
      <c r="J10000" s="1" t="str">
        <f t="shared" si="2744"/>
        <v>2</v>
      </c>
      <c r="K10000" s="1">
        <v>2</v>
      </c>
      <c r="L10000" s="1" t="s">
        <v>105</v>
      </c>
      <c r="M10000" s="1" t="str">
        <f>"北京 北京市 朝阳区 朝外街道"</f>
        <v>北京 北京市 朝阳区 朝外街道</v>
      </c>
      <c r="N10000" s="1" t="str">
        <f t="shared" si="2745"/>
        <v>凡华云仓-韵达-抖音</v>
      </c>
      <c r="O10000" s="5">
        <v>320153621011631</v>
      </c>
      <c r="P10000" s="6">
        <v>0.28000000000000003</v>
      </c>
      <c r="Q10000" s="11">
        <v>2</v>
      </c>
      <c r="R10000" s="11"/>
      <c r="S10000" s="11"/>
      <c r="T10000" s="11"/>
      <c r="U10000" s="11">
        <f t="shared" si="2746"/>
        <v>2</v>
      </c>
      <c r="W10000">
        <v>2.2000000000000002</v>
      </c>
      <c r="X10000" s="1" t="s">
        <v>105</v>
      </c>
    </row>
    <row r="10001" spans="1:24" x14ac:dyDescent="0.25">
      <c r="A10001" s="1" t="str">
        <f t="shared" si="2733"/>
        <v>卡卡杜-凤凰仓</v>
      </c>
      <c r="B10001" s="1" t="str">
        <f>"CK2024100310324"</f>
        <v>CK2024100310324</v>
      </c>
      <c r="C10001" s="1" t="str">
        <f>"DD2024100323997"</f>
        <v>DD2024100323997</v>
      </c>
      <c r="D10001" s="1" t="str">
        <f>"CK2024100324765"</f>
        <v>CK2024100324765</v>
      </c>
      <c r="E10001" s="1" t="str">
        <f>"6917750348027035156"</f>
        <v>6917750348027035156</v>
      </c>
      <c r="F10001" s="1" t="str">
        <f t="shared" si="2734"/>
        <v>花都四部-凤凰仓</v>
      </c>
      <c r="G10001" s="1" t="str">
        <f t="shared" si="2743"/>
        <v>卡卡杜个人护理店（抖店）</v>
      </c>
      <c r="H10001" s="1" t="str">
        <f t="shared" si="2735"/>
        <v>正常订单</v>
      </c>
      <c r="I10001" s="1" t="str">
        <f t="shared" si="2736"/>
        <v>已发货</v>
      </c>
      <c r="J10001" s="1" t="str">
        <f t="shared" si="2744"/>
        <v>2</v>
      </c>
      <c r="K10001" s="1">
        <v>2</v>
      </c>
      <c r="L10001" s="1" t="s">
        <v>41</v>
      </c>
      <c r="M10001" s="1" t="str">
        <f>"湖北省 宜昌市 西陵区 云集街道"</f>
        <v>湖北省 宜昌市 西陵区 云集街道</v>
      </c>
      <c r="N10001" s="1" t="str">
        <f t="shared" si="2745"/>
        <v>凡华云仓-韵达-抖音</v>
      </c>
      <c r="O10001" s="5">
        <v>320153612585455</v>
      </c>
      <c r="P10001" s="6">
        <v>0.28000000000000003</v>
      </c>
      <c r="Q10001" s="11">
        <v>2</v>
      </c>
      <c r="R10001" s="11"/>
      <c r="S10001" s="11"/>
      <c r="T10001" s="11"/>
      <c r="U10001" s="11">
        <f t="shared" si="2746"/>
        <v>2</v>
      </c>
      <c r="W10001">
        <v>2.2000000000000002</v>
      </c>
      <c r="X10001" s="1" t="s">
        <v>41</v>
      </c>
    </row>
    <row r="10002" spans="1:24" x14ac:dyDescent="0.25">
      <c r="A10002" s="1" t="str">
        <f t="shared" si="2733"/>
        <v>卡卡杜-凤凰仓</v>
      </c>
      <c r="B10002" s="1" t="str">
        <f>"CK2024100310326"</f>
        <v>CK2024100310326</v>
      </c>
      <c r="C10002" s="1" t="str">
        <f>"DD2024100323999"</f>
        <v>DD2024100323999</v>
      </c>
      <c r="D10002" s="1" t="str">
        <f>"CK2024100324764"</f>
        <v>CK2024100324764</v>
      </c>
      <c r="E10002" s="1" t="str">
        <f>"6917742980617895695"</f>
        <v>6917742980617895695</v>
      </c>
      <c r="F10002" s="1" t="str">
        <f t="shared" si="2734"/>
        <v>花都四部-凤凰仓</v>
      </c>
      <c r="G10002" s="1" t="str">
        <f t="shared" si="2743"/>
        <v>卡卡杜个人护理店（抖店）</v>
      </c>
      <c r="H10002" s="1" t="str">
        <f t="shared" si="2735"/>
        <v>正常订单</v>
      </c>
      <c r="I10002" s="1" t="str">
        <f t="shared" si="2736"/>
        <v>已发货</v>
      </c>
      <c r="J10002" s="1" t="str">
        <f t="shared" si="2744"/>
        <v>2</v>
      </c>
      <c r="K10002" s="1">
        <v>2</v>
      </c>
      <c r="L10002" s="1" t="s">
        <v>36</v>
      </c>
      <c r="M10002" s="1" t="str">
        <f>"安徽省 黄山市 黄山区 汤口镇"</f>
        <v>安徽省 黄山市 黄山区 汤口镇</v>
      </c>
      <c r="N10002" s="1" t="str">
        <f t="shared" si="2745"/>
        <v>凡华云仓-韵达-抖音</v>
      </c>
      <c r="O10002" s="5">
        <v>320153612585360</v>
      </c>
      <c r="P10002" s="6">
        <v>0.28000000000000003</v>
      </c>
      <c r="Q10002" s="11">
        <v>2</v>
      </c>
      <c r="R10002" s="11"/>
      <c r="S10002" s="11"/>
      <c r="T10002" s="11"/>
      <c r="U10002" s="11">
        <f t="shared" si="2746"/>
        <v>2</v>
      </c>
      <c r="W10002">
        <v>2.2000000000000002</v>
      </c>
      <c r="X10002" s="1" t="s">
        <v>36</v>
      </c>
    </row>
    <row r="10003" spans="1:24" x14ac:dyDescent="0.25">
      <c r="A10003" s="1" t="str">
        <f t="shared" si="2733"/>
        <v>卡卡杜-凤凰仓</v>
      </c>
      <c r="B10003" s="1" t="str">
        <f>"CK2024100310427"</f>
        <v>CK2024100310427</v>
      </c>
      <c r="C10003" s="1" t="str">
        <f>"DD2024100324738"</f>
        <v>DD2024100324738</v>
      </c>
      <c r="D10003" s="1" t="str">
        <f>"CK2024100324763"</f>
        <v>CK2024100324763</v>
      </c>
      <c r="E10003" s="1" t="str">
        <f>"6917745144850316875"</f>
        <v>6917745144850316875</v>
      </c>
      <c r="F10003" s="1" t="str">
        <f t="shared" si="2734"/>
        <v>花都四部-凤凰仓</v>
      </c>
      <c r="G10003" s="1" t="str">
        <f t="shared" si="2743"/>
        <v>卡卡杜个人护理店（抖店）</v>
      </c>
      <c r="H10003" s="1" t="str">
        <f t="shared" si="2735"/>
        <v>正常订单</v>
      </c>
      <c r="I10003" s="1" t="str">
        <f t="shared" si="2736"/>
        <v>已发货</v>
      </c>
      <c r="J10003" s="1" t="str">
        <f>"4"</f>
        <v>4</v>
      </c>
      <c r="K10003" s="1">
        <v>2</v>
      </c>
      <c r="L10003" s="1" t="s">
        <v>41</v>
      </c>
      <c r="M10003" s="1" t="str">
        <f>"湖北省 武汉市 江夏区 纸坊街道"</f>
        <v>湖北省 武汉市 江夏区 纸坊街道</v>
      </c>
      <c r="N10003" s="1" t="str">
        <f t="shared" si="2745"/>
        <v>凡华云仓-韵达-抖音</v>
      </c>
      <c r="O10003" s="5">
        <v>320153612585267</v>
      </c>
      <c r="P10003" s="6">
        <v>0.52</v>
      </c>
      <c r="Q10003" s="11">
        <f>CEILING(P10003-0.5,0.1)*10*0.15+2.3</f>
        <v>2.4499999999999997</v>
      </c>
      <c r="R10003" s="11"/>
      <c r="S10003" s="11"/>
      <c r="T10003" s="11"/>
      <c r="U10003" s="11">
        <f t="shared" si="2746"/>
        <v>2.4499999999999997</v>
      </c>
      <c r="V10003" t="s">
        <v>15</v>
      </c>
      <c r="W10003">
        <v>2.4500000000000002</v>
      </c>
      <c r="X10003" s="1" t="s">
        <v>41</v>
      </c>
    </row>
    <row r="10004" spans="1:24" x14ac:dyDescent="0.25">
      <c r="A10004" s="1" t="str">
        <f t="shared" si="2733"/>
        <v>卡卡杜-凤凰仓</v>
      </c>
      <c r="B10004" s="1" t="str">
        <f>"CK2024100310330"</f>
        <v>CK2024100310330</v>
      </c>
      <c r="C10004" s="1" t="str">
        <f>"DD2024100324001"</f>
        <v>DD2024100324001</v>
      </c>
      <c r="D10004" s="1" t="str">
        <f>"CK2024100324762"</f>
        <v>CK2024100324762</v>
      </c>
      <c r="E10004" s="1" t="str">
        <f>"6917744941467532760"</f>
        <v>6917744941467532760</v>
      </c>
      <c r="F10004" s="1" t="str">
        <f t="shared" si="2734"/>
        <v>花都四部-凤凰仓</v>
      </c>
      <c r="G10004" s="1" t="str">
        <f t="shared" si="2743"/>
        <v>卡卡杜个人护理店（抖店）</v>
      </c>
      <c r="H10004" s="1" t="str">
        <f t="shared" si="2735"/>
        <v>正常订单</v>
      </c>
      <c r="I10004" s="1" t="str">
        <f t="shared" si="2736"/>
        <v>已发货</v>
      </c>
      <c r="J10004" s="1" t="str">
        <f t="shared" ref="J10004:J10008" si="2747">"2"</f>
        <v>2</v>
      </c>
      <c r="K10004" s="1">
        <v>2</v>
      </c>
      <c r="L10004" s="1" t="s">
        <v>36</v>
      </c>
      <c r="M10004" s="1" t="str">
        <f>"安徽省 合肥市 巢湖市 凤凰山街道"</f>
        <v>安徽省 合肥市 巢湖市 凤凰山街道</v>
      </c>
      <c r="N10004" s="1" t="str">
        <f t="shared" si="2745"/>
        <v>凡华云仓-韵达-抖音</v>
      </c>
      <c r="O10004" s="5">
        <v>320153612585176</v>
      </c>
      <c r="P10004" s="6">
        <v>0.28000000000000003</v>
      </c>
      <c r="Q10004" s="11">
        <v>2</v>
      </c>
      <c r="R10004" s="11"/>
      <c r="S10004" s="11"/>
      <c r="T10004" s="11"/>
      <c r="U10004" s="11">
        <f t="shared" si="2746"/>
        <v>2</v>
      </c>
      <c r="W10004">
        <v>2.2000000000000002</v>
      </c>
      <c r="X10004" s="1" t="s">
        <v>36</v>
      </c>
    </row>
    <row r="10005" spans="1:24" x14ac:dyDescent="0.25">
      <c r="A10005" s="1" t="str">
        <f t="shared" si="2733"/>
        <v>卡卡杜-凤凰仓</v>
      </c>
      <c r="B10005" s="1" t="str">
        <f>"CK2024100310340"</f>
        <v>CK2024100310340</v>
      </c>
      <c r="C10005" s="1" t="str">
        <f>"DD2024100324013"</f>
        <v>DD2024100324013</v>
      </c>
      <c r="D10005" s="1" t="str">
        <f>"CK2024100324761"</f>
        <v>CK2024100324761</v>
      </c>
      <c r="E10005" s="1" t="str">
        <f>"6917746813375773779"</f>
        <v>6917746813375773779</v>
      </c>
      <c r="F10005" s="1" t="str">
        <f t="shared" si="2734"/>
        <v>花都四部-凤凰仓</v>
      </c>
      <c r="G10005" s="1" t="str">
        <f t="shared" si="2743"/>
        <v>卡卡杜个人护理店（抖店）</v>
      </c>
      <c r="H10005" s="1" t="str">
        <f t="shared" si="2735"/>
        <v>正常订单</v>
      </c>
      <c r="I10005" s="1" t="str">
        <f t="shared" si="2736"/>
        <v>已发货</v>
      </c>
      <c r="J10005" s="1" t="str">
        <f t="shared" si="2747"/>
        <v>2</v>
      </c>
      <c r="K10005" s="1">
        <v>2</v>
      </c>
      <c r="L10005" s="1" t="s">
        <v>13</v>
      </c>
      <c r="M10005" s="1" t="str">
        <f>"江苏省 南京市 鼓楼区 凤凰街道"</f>
        <v>江苏省 南京市 鼓楼区 凤凰街道</v>
      </c>
      <c r="N10005" s="1" t="str">
        <f t="shared" si="2745"/>
        <v>凡华云仓-韵达-抖音</v>
      </c>
      <c r="O10005" s="5">
        <v>320153612585087</v>
      </c>
      <c r="P10005" s="6">
        <v>0.28000000000000003</v>
      </c>
      <c r="Q10005" s="11">
        <v>2</v>
      </c>
      <c r="R10005" s="11"/>
      <c r="S10005" s="11"/>
      <c r="T10005" s="11"/>
      <c r="U10005" s="11">
        <f t="shared" si="2746"/>
        <v>2</v>
      </c>
      <c r="W10005">
        <v>2.2000000000000002</v>
      </c>
      <c r="X10005" s="1" t="s">
        <v>13</v>
      </c>
    </row>
    <row r="10006" spans="1:24" x14ac:dyDescent="0.25">
      <c r="A10006" s="1" t="str">
        <f t="shared" si="2733"/>
        <v>卡卡杜-凤凰仓</v>
      </c>
      <c r="B10006" s="1" t="str">
        <f>"CK2024100310365"</f>
        <v>CK2024100310365</v>
      </c>
      <c r="C10006" s="1" t="str">
        <f>"DD2024100324404"</f>
        <v>DD2024100324404</v>
      </c>
      <c r="D10006" s="1" t="str">
        <f>"CK2024100324760"</f>
        <v>CK2024100324760</v>
      </c>
      <c r="E10006" s="1" t="str">
        <f>"3723051668677200896"</f>
        <v>3723051668677200896</v>
      </c>
      <c r="F10006" s="1" t="str">
        <f t="shared" si="2734"/>
        <v>花都四部-凤凰仓</v>
      </c>
      <c r="G10006" s="1" t="str">
        <f t="shared" ref="G10006:G10069" si="2748">"卡卡杜企业店（视频号）"</f>
        <v>卡卡杜企业店（视频号）</v>
      </c>
      <c r="H10006" s="1" t="str">
        <f t="shared" si="2735"/>
        <v>正常订单</v>
      </c>
      <c r="I10006" s="1" t="str">
        <f t="shared" si="2736"/>
        <v>已发货</v>
      </c>
      <c r="J10006" s="1" t="str">
        <f t="shared" ref="J10006:J10011" si="2749">"4"</f>
        <v>4</v>
      </c>
      <c r="K10006" s="1">
        <v>2</v>
      </c>
      <c r="L10006" s="1" t="s">
        <v>105</v>
      </c>
      <c r="M10006" s="1" t="str">
        <f>"北京 北京市 海淀区 "</f>
        <v xml:space="preserve">北京 北京市 海淀区 </v>
      </c>
      <c r="N10006" s="1" t="str">
        <f t="shared" ref="N10006:N10069" si="2750">"凡华云仓-韵达-微信视频号"</f>
        <v>凡华云仓-韵达-微信视频号</v>
      </c>
      <c r="O10006" s="5">
        <v>315011838782192</v>
      </c>
      <c r="P10006" s="6">
        <v>0.52</v>
      </c>
      <c r="Q10006" s="11">
        <f t="shared" ref="Q10006:Q10011" si="2751">CEILING(P10006-0.5,0.1)*10*0.15+2.3</f>
        <v>2.4499999999999997</v>
      </c>
      <c r="R10006" s="11"/>
      <c r="S10006" s="11"/>
      <c r="T10006" s="11"/>
      <c r="U10006" s="11">
        <f t="shared" si="2746"/>
        <v>2.4499999999999997</v>
      </c>
      <c r="V10006" t="s">
        <v>15</v>
      </c>
      <c r="W10006">
        <v>2.4500000000000002</v>
      </c>
      <c r="X10006" s="1" t="s">
        <v>105</v>
      </c>
    </row>
    <row r="10007" spans="1:24" x14ac:dyDescent="0.25">
      <c r="A10007" s="1" t="str">
        <f t="shared" si="2733"/>
        <v>卡卡杜-凤凰仓</v>
      </c>
      <c r="B10007" s="1" t="str">
        <f>"CK2024100310363"</f>
        <v>CK2024100310363</v>
      </c>
      <c r="C10007" s="1" t="str">
        <f>"DD2024100324374"</f>
        <v>DD2024100324374</v>
      </c>
      <c r="D10007" s="1" t="str">
        <f>"CK2024100324759"</f>
        <v>CK2024100324759</v>
      </c>
      <c r="E10007" s="1" t="str">
        <f>"3723051316850068480"</f>
        <v>3723051316850068480</v>
      </c>
      <c r="F10007" s="1" t="str">
        <f t="shared" si="2734"/>
        <v>花都四部-凤凰仓</v>
      </c>
      <c r="G10007" s="1" t="str">
        <f t="shared" si="2748"/>
        <v>卡卡杜企业店（视频号）</v>
      </c>
      <c r="H10007" s="1" t="str">
        <f t="shared" si="2735"/>
        <v>正常订单</v>
      </c>
      <c r="I10007" s="1" t="str">
        <f t="shared" si="2736"/>
        <v>已发货</v>
      </c>
      <c r="J10007" s="1" t="str">
        <f t="shared" si="2747"/>
        <v>2</v>
      </c>
      <c r="K10007" s="1">
        <v>2</v>
      </c>
      <c r="L10007" s="1" t="s">
        <v>13</v>
      </c>
      <c r="M10007" s="1" t="str">
        <f>"江苏省 南京市 建邺区 "</f>
        <v xml:space="preserve">江苏省 南京市 建邺区 </v>
      </c>
      <c r="N10007" s="1" t="str">
        <f t="shared" si="2750"/>
        <v>凡华云仓-韵达-微信视频号</v>
      </c>
      <c r="O10007" s="5">
        <v>315011838780687</v>
      </c>
      <c r="P10007" s="6">
        <v>0.28000000000000003</v>
      </c>
      <c r="Q10007" s="11">
        <v>2</v>
      </c>
      <c r="R10007" s="11"/>
      <c r="S10007" s="11"/>
      <c r="T10007" s="11"/>
      <c r="U10007" s="11">
        <f t="shared" si="2746"/>
        <v>2</v>
      </c>
      <c r="W10007">
        <v>2.2000000000000002</v>
      </c>
      <c r="X10007" s="1" t="s">
        <v>13</v>
      </c>
    </row>
    <row r="10008" spans="1:24" x14ac:dyDescent="0.25">
      <c r="A10008" s="1" t="str">
        <f t="shared" si="2733"/>
        <v>卡卡杜-凤凰仓</v>
      </c>
      <c r="B10008" s="1" t="str">
        <f>"CK2024100310364"</f>
        <v>CK2024100310364</v>
      </c>
      <c r="C10008" s="1" t="str">
        <f>"DD2024100324373"</f>
        <v>DD2024100324373</v>
      </c>
      <c r="D10008" s="1" t="str">
        <f>"CK2024100324758"</f>
        <v>CK2024100324758</v>
      </c>
      <c r="E10008" s="1" t="str">
        <f>"3723051257843290112"</f>
        <v>3723051257843290112</v>
      </c>
      <c r="F10008" s="1" t="str">
        <f t="shared" si="2734"/>
        <v>花都四部-凤凰仓</v>
      </c>
      <c r="G10008" s="1" t="str">
        <f t="shared" si="2748"/>
        <v>卡卡杜企业店（视频号）</v>
      </c>
      <c r="H10008" s="1" t="str">
        <f t="shared" si="2735"/>
        <v>正常订单</v>
      </c>
      <c r="I10008" s="1" t="str">
        <f t="shared" si="2736"/>
        <v>已发货</v>
      </c>
      <c r="J10008" s="1" t="str">
        <f t="shared" si="2747"/>
        <v>2</v>
      </c>
      <c r="K10008" s="1">
        <v>2</v>
      </c>
      <c r="L10008" s="1" t="s">
        <v>80</v>
      </c>
      <c r="M10008" s="1" t="str">
        <f>"河南省 郑州市 金水区 "</f>
        <v xml:space="preserve">河南省 郑州市 金水区 </v>
      </c>
      <c r="N10008" s="1" t="str">
        <f t="shared" si="2750"/>
        <v>凡华云仓-韵达-微信视频号</v>
      </c>
      <c r="O10008" s="5">
        <v>315011838778753</v>
      </c>
      <c r="P10008" s="6">
        <v>0.28000000000000003</v>
      </c>
      <c r="Q10008" s="11">
        <v>2</v>
      </c>
      <c r="R10008" s="11"/>
      <c r="S10008" s="11"/>
      <c r="T10008" s="11"/>
      <c r="U10008" s="11">
        <f t="shared" si="2746"/>
        <v>2</v>
      </c>
      <c r="W10008">
        <v>2.2000000000000002</v>
      </c>
      <c r="X10008" s="1" t="s">
        <v>80</v>
      </c>
    </row>
    <row r="10009" spans="1:24" x14ac:dyDescent="0.25">
      <c r="A10009" s="1" t="str">
        <f t="shared" si="2733"/>
        <v>卡卡杜-凤凰仓</v>
      </c>
      <c r="B10009" s="1" t="str">
        <f>"CK2024100310239"</f>
        <v>CK2024100310239</v>
      </c>
      <c r="C10009" s="1" t="str">
        <f>"DD2024100323792"</f>
        <v>DD2024100323792</v>
      </c>
      <c r="D10009" s="1" t="str">
        <f>"CK2024100324757"</f>
        <v>CK2024100324757</v>
      </c>
      <c r="E10009" s="1" t="str">
        <f>"3723050846319676416"</f>
        <v>3723050846319676416</v>
      </c>
      <c r="F10009" s="1" t="str">
        <f t="shared" si="2734"/>
        <v>花都四部-凤凰仓</v>
      </c>
      <c r="G10009" s="1" t="str">
        <f t="shared" si="2748"/>
        <v>卡卡杜企业店（视频号）</v>
      </c>
      <c r="H10009" s="1" t="str">
        <f t="shared" si="2735"/>
        <v>正常订单</v>
      </c>
      <c r="I10009" s="1" t="str">
        <f t="shared" si="2736"/>
        <v>已发货</v>
      </c>
      <c r="J10009" s="1" t="str">
        <f t="shared" si="2749"/>
        <v>4</v>
      </c>
      <c r="K10009" s="1">
        <v>2</v>
      </c>
      <c r="L10009" s="1" t="s">
        <v>80</v>
      </c>
      <c r="M10009" s="1" t="str">
        <f>"河南省 郑州市 惠济区 "</f>
        <v xml:space="preserve">河南省 郑州市 惠济区 </v>
      </c>
      <c r="N10009" s="1" t="str">
        <f t="shared" si="2750"/>
        <v>凡华云仓-韵达-微信视频号</v>
      </c>
      <c r="O10009" s="5">
        <v>315011838776852</v>
      </c>
      <c r="P10009" s="6">
        <v>0.65</v>
      </c>
      <c r="Q10009" s="11">
        <f t="shared" si="2751"/>
        <v>2.5999999999999996</v>
      </c>
      <c r="R10009" s="11"/>
      <c r="S10009" s="11"/>
      <c r="T10009" s="11"/>
      <c r="U10009" s="11">
        <f t="shared" si="2746"/>
        <v>2.5999999999999996</v>
      </c>
      <c r="V10009" t="s">
        <v>15</v>
      </c>
      <c r="W10009">
        <v>2.6</v>
      </c>
      <c r="X10009" s="1" t="s">
        <v>80</v>
      </c>
    </row>
    <row r="10010" spans="1:24" x14ac:dyDescent="0.25">
      <c r="A10010" s="1" t="str">
        <f t="shared" si="2733"/>
        <v>卡卡杜-凤凰仓</v>
      </c>
      <c r="B10010" s="1" t="str">
        <f>"CK2024100310255"</f>
        <v>CK2024100310255</v>
      </c>
      <c r="C10010" s="1" t="str">
        <f>"DD2024100323927"</f>
        <v>DD2024100323927</v>
      </c>
      <c r="D10010" s="1" t="str">
        <f>"CK2024100324756"</f>
        <v>CK2024100324756</v>
      </c>
      <c r="E10010" s="1" t="str">
        <f>"3723050803872269568"</f>
        <v>3723050803872269568</v>
      </c>
      <c r="F10010" s="1" t="str">
        <f t="shared" si="2734"/>
        <v>花都四部-凤凰仓</v>
      </c>
      <c r="G10010" s="1" t="str">
        <f t="shared" si="2748"/>
        <v>卡卡杜企业店（视频号）</v>
      </c>
      <c r="H10010" s="1" t="str">
        <f t="shared" si="2735"/>
        <v>正常订单</v>
      </c>
      <c r="I10010" s="1" t="str">
        <f t="shared" si="2736"/>
        <v>已发货</v>
      </c>
      <c r="J10010" s="1" t="str">
        <f t="shared" ref="J10010:J10022" si="2752">"2"</f>
        <v>2</v>
      </c>
      <c r="K10010" s="1">
        <v>2</v>
      </c>
      <c r="L10010" s="1" t="s">
        <v>187</v>
      </c>
      <c r="M10010" s="1" t="str">
        <f>"吉林省 长春市 二道区 "</f>
        <v xml:space="preserve">吉林省 长春市 二道区 </v>
      </c>
      <c r="N10010" s="1" t="str">
        <f t="shared" si="2750"/>
        <v>凡华云仓-韵达-微信视频号</v>
      </c>
      <c r="O10010" s="5">
        <v>315011838775174</v>
      </c>
      <c r="P10010" s="6">
        <v>0.28000000000000003</v>
      </c>
      <c r="Q10010" s="11">
        <v>2</v>
      </c>
      <c r="R10010" s="11"/>
      <c r="S10010" s="11"/>
      <c r="T10010" s="11"/>
      <c r="U10010" s="11">
        <f t="shared" si="2746"/>
        <v>2</v>
      </c>
      <c r="W10010">
        <v>2.2000000000000002</v>
      </c>
      <c r="X10010" s="1" t="s">
        <v>187</v>
      </c>
    </row>
    <row r="10011" spans="1:24" x14ac:dyDescent="0.25">
      <c r="A10011" s="1" t="str">
        <f t="shared" si="2733"/>
        <v>卡卡杜-凤凰仓</v>
      </c>
      <c r="B10011" s="1" t="str">
        <f>"CK2024100310240"</f>
        <v>CK2024100310240</v>
      </c>
      <c r="C10011" s="1" t="str">
        <f>"DD2024100323793"</f>
        <v>DD2024100323793</v>
      </c>
      <c r="D10011" s="1" t="str">
        <f>"CK2024100324755"</f>
        <v>CK2024100324755</v>
      </c>
      <c r="E10011" s="1" t="str">
        <f>"3723050758309547008"</f>
        <v>3723050758309547008</v>
      </c>
      <c r="F10011" s="1" t="str">
        <f t="shared" si="2734"/>
        <v>花都四部-凤凰仓</v>
      </c>
      <c r="G10011" s="1" t="str">
        <f t="shared" si="2748"/>
        <v>卡卡杜企业店（视频号）</v>
      </c>
      <c r="H10011" s="1" t="str">
        <f t="shared" si="2735"/>
        <v>正常订单</v>
      </c>
      <c r="I10011" s="1" t="str">
        <f t="shared" si="2736"/>
        <v>已发货</v>
      </c>
      <c r="J10011" s="1" t="str">
        <f t="shared" si="2749"/>
        <v>4</v>
      </c>
      <c r="K10011" s="1">
        <v>2</v>
      </c>
      <c r="L10011" s="1" t="s">
        <v>18</v>
      </c>
      <c r="M10011" s="1" t="str">
        <f>"广东省 惠州市 惠城区 "</f>
        <v xml:space="preserve">广东省 惠州市 惠城区 </v>
      </c>
      <c r="N10011" s="1" t="str">
        <f t="shared" si="2750"/>
        <v>凡华云仓-韵达-微信视频号</v>
      </c>
      <c r="O10011" s="5">
        <v>315011838773366</v>
      </c>
      <c r="P10011" s="6">
        <v>0.65</v>
      </c>
      <c r="Q10011" s="11">
        <f t="shared" si="2751"/>
        <v>2.5999999999999996</v>
      </c>
      <c r="R10011" s="11"/>
      <c r="S10011" s="11"/>
      <c r="T10011" s="11"/>
      <c r="U10011" s="11">
        <f t="shared" si="2746"/>
        <v>2.5999999999999996</v>
      </c>
      <c r="V10011" t="s">
        <v>15</v>
      </c>
      <c r="W10011">
        <v>2.6</v>
      </c>
      <c r="X10011" s="1" t="s">
        <v>18</v>
      </c>
    </row>
    <row r="10012" spans="1:24" x14ac:dyDescent="0.25">
      <c r="A10012" s="1" t="str">
        <f t="shared" si="2733"/>
        <v>卡卡杜-凤凰仓</v>
      </c>
      <c r="B10012" s="1" t="str">
        <f>"CK2024100310256"</f>
        <v>CK2024100310256</v>
      </c>
      <c r="C10012" s="1" t="str">
        <f>"DD2024100323932"</f>
        <v>DD2024100323932</v>
      </c>
      <c r="D10012" s="1" t="str">
        <f>"CK2024100324754"</f>
        <v>CK2024100324754</v>
      </c>
      <c r="E10012" s="1" t="str">
        <f>"3723050754297433088"</f>
        <v>3723050754297433088</v>
      </c>
      <c r="F10012" s="1" t="str">
        <f t="shared" si="2734"/>
        <v>花都四部-凤凰仓</v>
      </c>
      <c r="G10012" s="1" t="str">
        <f t="shared" si="2748"/>
        <v>卡卡杜企业店（视频号）</v>
      </c>
      <c r="H10012" s="1" t="str">
        <f t="shared" si="2735"/>
        <v>正常订单</v>
      </c>
      <c r="I10012" s="1" t="str">
        <f t="shared" si="2736"/>
        <v>已发货</v>
      </c>
      <c r="J10012" s="1" t="str">
        <f t="shared" si="2752"/>
        <v>2</v>
      </c>
      <c r="K10012" s="1">
        <v>2</v>
      </c>
      <c r="L10012" s="1" t="s">
        <v>74</v>
      </c>
      <c r="M10012" s="1" t="str">
        <f>"上海 上海市 宝山区 "</f>
        <v xml:space="preserve">上海 上海市 宝山区 </v>
      </c>
      <c r="N10012" s="1" t="str">
        <f t="shared" si="2750"/>
        <v>凡华云仓-韵达-微信视频号</v>
      </c>
      <c r="O10012" s="5">
        <v>315011838770888</v>
      </c>
      <c r="P10012" s="6">
        <v>0.28000000000000003</v>
      </c>
      <c r="Q10012" s="11">
        <v>2</v>
      </c>
      <c r="R10012" s="11"/>
      <c r="S10012" s="11"/>
      <c r="T10012" s="11"/>
      <c r="U10012" s="11">
        <f t="shared" si="2746"/>
        <v>2</v>
      </c>
      <c r="W10012">
        <v>2.2000000000000002</v>
      </c>
      <c r="X10012" s="1" t="s">
        <v>74</v>
      </c>
    </row>
    <row r="10013" spans="1:24" x14ac:dyDescent="0.25">
      <c r="A10013" s="1" t="str">
        <f t="shared" si="2733"/>
        <v>卡卡杜-凤凰仓</v>
      </c>
      <c r="B10013" s="1" t="str">
        <f>"CK2024100310257"</f>
        <v>CK2024100310257</v>
      </c>
      <c r="C10013" s="1" t="str">
        <f>"DD2024100323931"</f>
        <v>DD2024100323931</v>
      </c>
      <c r="D10013" s="1" t="str">
        <f>"CK2024100324753"</f>
        <v>CK2024100324753</v>
      </c>
      <c r="E10013" s="1" t="str">
        <f>"3723050655288788224"</f>
        <v>3723050655288788224</v>
      </c>
      <c r="F10013" s="1" t="str">
        <f t="shared" si="2734"/>
        <v>花都四部-凤凰仓</v>
      </c>
      <c r="G10013" s="1" t="str">
        <f t="shared" si="2748"/>
        <v>卡卡杜企业店（视频号）</v>
      </c>
      <c r="H10013" s="1" t="str">
        <f t="shared" si="2735"/>
        <v>正常订单</v>
      </c>
      <c r="I10013" s="1" t="str">
        <f t="shared" si="2736"/>
        <v>已发货</v>
      </c>
      <c r="J10013" s="1" t="str">
        <f t="shared" si="2752"/>
        <v>2</v>
      </c>
      <c r="K10013" s="1">
        <v>2</v>
      </c>
      <c r="L10013" s="1" t="s">
        <v>18</v>
      </c>
      <c r="M10013" s="1" t="str">
        <f>"广东省 深圳市 龙华区 "</f>
        <v xml:space="preserve">广东省 深圳市 龙华区 </v>
      </c>
      <c r="N10013" s="1" t="str">
        <f t="shared" si="2750"/>
        <v>凡华云仓-韵达-微信视频号</v>
      </c>
      <c r="O10013" s="5">
        <v>315011838820218</v>
      </c>
      <c r="P10013" s="6">
        <v>0.28000000000000003</v>
      </c>
      <c r="Q10013" s="11">
        <v>2</v>
      </c>
      <c r="R10013" s="11"/>
      <c r="S10013" s="11"/>
      <c r="T10013" s="11"/>
      <c r="U10013" s="11">
        <f t="shared" si="2746"/>
        <v>2</v>
      </c>
      <c r="W10013">
        <v>2.2000000000000002</v>
      </c>
      <c r="X10013" s="1" t="s">
        <v>18</v>
      </c>
    </row>
    <row r="10014" spans="1:24" x14ac:dyDescent="0.25">
      <c r="A10014" s="1" t="str">
        <f t="shared" si="2733"/>
        <v>卡卡杜-凤凰仓</v>
      </c>
      <c r="B10014" s="1" t="str">
        <f>"CK2024100310258"</f>
        <v>CK2024100310258</v>
      </c>
      <c r="C10014" s="1" t="str">
        <f>"DD2024100323930"</f>
        <v>DD2024100323930</v>
      </c>
      <c r="D10014" s="1" t="str">
        <f>"CK2024100324752"</f>
        <v>CK2024100324752</v>
      </c>
      <c r="E10014" s="1" t="str">
        <f>"3723050617764974592"</f>
        <v>3723050617764974592</v>
      </c>
      <c r="F10014" s="1" t="str">
        <f t="shared" si="2734"/>
        <v>花都四部-凤凰仓</v>
      </c>
      <c r="G10014" s="1" t="str">
        <f t="shared" si="2748"/>
        <v>卡卡杜企业店（视频号）</v>
      </c>
      <c r="H10014" s="1" t="str">
        <f t="shared" si="2735"/>
        <v>正常订单</v>
      </c>
      <c r="I10014" s="1" t="str">
        <f t="shared" si="2736"/>
        <v>已发货</v>
      </c>
      <c r="J10014" s="1" t="str">
        <f t="shared" si="2752"/>
        <v>2</v>
      </c>
      <c r="K10014" s="1">
        <v>2</v>
      </c>
      <c r="L10014" s="1" t="s">
        <v>18</v>
      </c>
      <c r="M10014" s="1" t="str">
        <f>"广东省 广州市 白云区 "</f>
        <v xml:space="preserve">广东省 广州市 白云区 </v>
      </c>
      <c r="N10014" s="1" t="str">
        <f t="shared" si="2750"/>
        <v>凡华云仓-韵达-微信视频号</v>
      </c>
      <c r="O10014" s="5">
        <v>315011838819488</v>
      </c>
      <c r="P10014" s="6">
        <v>0.28000000000000003</v>
      </c>
      <c r="Q10014" s="11">
        <v>2</v>
      </c>
      <c r="R10014" s="11"/>
      <c r="S10014" s="11"/>
      <c r="T10014" s="11"/>
      <c r="U10014" s="11">
        <f t="shared" si="2746"/>
        <v>2</v>
      </c>
      <c r="W10014">
        <v>2.2000000000000002</v>
      </c>
      <c r="X10014" s="1" t="s">
        <v>18</v>
      </c>
    </row>
    <row r="10015" spans="1:24" x14ac:dyDescent="0.25">
      <c r="A10015" s="1" t="str">
        <f t="shared" si="2733"/>
        <v>卡卡杜-凤凰仓</v>
      </c>
      <c r="B10015" s="1" t="str">
        <f>"CK2024100310259"</f>
        <v>CK2024100310259</v>
      </c>
      <c r="C10015" s="1" t="str">
        <f>"DD2024100323929"</f>
        <v>DD2024100323929</v>
      </c>
      <c r="D10015" s="1" t="str">
        <f>"CK2024100324751"</f>
        <v>CK2024100324751</v>
      </c>
      <c r="E10015" s="1" t="str">
        <f>"3723050611430788096"</f>
        <v>3723050611430788096</v>
      </c>
      <c r="F10015" s="1" t="str">
        <f t="shared" si="2734"/>
        <v>花都四部-凤凰仓</v>
      </c>
      <c r="G10015" s="1" t="str">
        <f t="shared" si="2748"/>
        <v>卡卡杜企业店（视频号）</v>
      </c>
      <c r="H10015" s="1" t="str">
        <f t="shared" si="2735"/>
        <v>正常订单</v>
      </c>
      <c r="I10015" s="1" t="str">
        <f t="shared" si="2736"/>
        <v>已发货</v>
      </c>
      <c r="J10015" s="1" t="str">
        <f t="shared" si="2752"/>
        <v>2</v>
      </c>
      <c r="K10015" s="1">
        <v>2</v>
      </c>
      <c r="L10015" s="1" t="s">
        <v>74</v>
      </c>
      <c r="M10015" s="1" t="str">
        <f>"上海 上海市 宝山区 "</f>
        <v xml:space="preserve">上海 上海市 宝山区 </v>
      </c>
      <c r="N10015" s="1" t="str">
        <f t="shared" si="2750"/>
        <v>凡华云仓-韵达-微信视频号</v>
      </c>
      <c r="O10015" s="5">
        <v>315011824677271</v>
      </c>
      <c r="P10015" s="6">
        <v>0.28000000000000003</v>
      </c>
      <c r="Q10015" s="11">
        <v>2</v>
      </c>
      <c r="R10015" s="11"/>
      <c r="S10015" s="11"/>
      <c r="T10015" s="11"/>
      <c r="U10015" s="11">
        <f t="shared" si="2746"/>
        <v>2</v>
      </c>
      <c r="W10015">
        <v>2.2000000000000002</v>
      </c>
      <c r="X10015" s="1" t="s">
        <v>74</v>
      </c>
    </row>
    <row r="10016" spans="1:24" x14ac:dyDescent="0.25">
      <c r="A10016" s="1" t="str">
        <f t="shared" si="2733"/>
        <v>卡卡杜-凤凰仓</v>
      </c>
      <c r="B10016" s="1" t="str">
        <f>"CK2024100310260"</f>
        <v>CK2024100310260</v>
      </c>
      <c r="C10016" s="1" t="str">
        <f>"DD2024100323934"</f>
        <v>DD2024100323934</v>
      </c>
      <c r="D10016" s="1" t="str">
        <f>"CK2024100324750"</f>
        <v>CK2024100324750</v>
      </c>
      <c r="E10016" s="1" t="str">
        <f>"3723050549668875264"</f>
        <v>3723050549668875264</v>
      </c>
      <c r="F10016" s="1" t="str">
        <f t="shared" si="2734"/>
        <v>花都四部-凤凰仓</v>
      </c>
      <c r="G10016" s="1" t="str">
        <f t="shared" si="2748"/>
        <v>卡卡杜企业店（视频号）</v>
      </c>
      <c r="H10016" s="1" t="str">
        <f t="shared" si="2735"/>
        <v>正常订单</v>
      </c>
      <c r="I10016" s="1" t="str">
        <f t="shared" si="2736"/>
        <v>已发货</v>
      </c>
      <c r="J10016" s="1" t="str">
        <f t="shared" si="2752"/>
        <v>2</v>
      </c>
      <c r="K10016" s="1">
        <v>2</v>
      </c>
      <c r="L10016" s="1" t="s">
        <v>18</v>
      </c>
      <c r="M10016" s="1" t="str">
        <f>"广东省 汕头市 龙湖区 "</f>
        <v xml:space="preserve">广东省 汕头市 龙湖区 </v>
      </c>
      <c r="N10016" s="1" t="str">
        <f t="shared" si="2750"/>
        <v>凡华云仓-韵达-微信视频号</v>
      </c>
      <c r="O10016" s="5">
        <v>315011824674094</v>
      </c>
      <c r="P10016" s="6">
        <v>0.28000000000000003</v>
      </c>
      <c r="Q10016" s="11">
        <v>2</v>
      </c>
      <c r="R10016" s="11"/>
      <c r="S10016" s="11"/>
      <c r="T10016" s="11"/>
      <c r="U10016" s="11">
        <f t="shared" si="2746"/>
        <v>2</v>
      </c>
      <c r="W10016">
        <v>2.2000000000000002</v>
      </c>
      <c r="X10016" s="1" t="s">
        <v>18</v>
      </c>
    </row>
    <row r="10017" spans="1:24" x14ac:dyDescent="0.25">
      <c r="A10017" s="1" t="str">
        <f t="shared" si="2733"/>
        <v>卡卡杜-凤凰仓</v>
      </c>
      <c r="B10017" s="1" t="str">
        <f>"CK2024100310261"</f>
        <v>CK2024100310261</v>
      </c>
      <c r="C10017" s="1" t="str">
        <f>"DD2024100323933"</f>
        <v>DD2024100323933</v>
      </c>
      <c r="D10017" s="1" t="str">
        <f>"CK2024100324749"</f>
        <v>CK2024100324749</v>
      </c>
      <c r="E10017" s="1" t="str">
        <f>"3723050537786676224"</f>
        <v>3723050537786676224</v>
      </c>
      <c r="F10017" s="1" t="str">
        <f t="shared" si="2734"/>
        <v>花都四部-凤凰仓</v>
      </c>
      <c r="G10017" s="1" t="str">
        <f t="shared" si="2748"/>
        <v>卡卡杜企业店（视频号）</v>
      </c>
      <c r="H10017" s="1" t="str">
        <f t="shared" si="2735"/>
        <v>正常订单</v>
      </c>
      <c r="I10017" s="1" t="str">
        <f t="shared" si="2736"/>
        <v>已发货</v>
      </c>
      <c r="J10017" s="1" t="str">
        <f t="shared" si="2752"/>
        <v>2</v>
      </c>
      <c r="K10017" s="1">
        <v>2</v>
      </c>
      <c r="L10017" s="1" t="s">
        <v>218</v>
      </c>
      <c r="M10017" s="1" t="str">
        <f>"天津 天津市 河东区 "</f>
        <v xml:space="preserve">天津 天津市 河东区 </v>
      </c>
      <c r="N10017" s="1" t="str">
        <f t="shared" si="2750"/>
        <v>凡华云仓-韵达-微信视频号</v>
      </c>
      <c r="O10017" s="5">
        <v>315011824671780</v>
      </c>
      <c r="P10017" s="6">
        <v>0.28000000000000003</v>
      </c>
      <c r="Q10017" s="11">
        <v>2</v>
      </c>
      <c r="R10017" s="11"/>
      <c r="S10017" s="11"/>
      <c r="T10017" s="11"/>
      <c r="U10017" s="11">
        <f t="shared" si="2746"/>
        <v>2</v>
      </c>
      <c r="W10017">
        <v>2.2000000000000002</v>
      </c>
      <c r="X10017" s="1" t="s">
        <v>218</v>
      </c>
    </row>
    <row r="10018" spans="1:24" x14ac:dyDescent="0.25">
      <c r="A10018" s="1" t="str">
        <f t="shared" si="2733"/>
        <v>卡卡杜-凤凰仓</v>
      </c>
      <c r="B10018" s="1" t="str">
        <f>"CK2024100310262"</f>
        <v>CK2024100310262</v>
      </c>
      <c r="C10018" s="1" t="str">
        <f>"DD2024100323935"</f>
        <v>DD2024100323935</v>
      </c>
      <c r="D10018" s="1" t="str">
        <f>"CK2024100324748"</f>
        <v>CK2024100324748</v>
      </c>
      <c r="E10018" s="1" t="str">
        <f>"3723050379803234304"</f>
        <v>3723050379803234304</v>
      </c>
      <c r="F10018" s="1" t="str">
        <f t="shared" si="2734"/>
        <v>花都四部-凤凰仓</v>
      </c>
      <c r="G10018" s="1" t="str">
        <f t="shared" si="2748"/>
        <v>卡卡杜企业店（视频号）</v>
      </c>
      <c r="H10018" s="1" t="str">
        <f t="shared" si="2735"/>
        <v>正常订单</v>
      </c>
      <c r="I10018" s="1" t="str">
        <f t="shared" si="2736"/>
        <v>已发货</v>
      </c>
      <c r="J10018" s="1" t="str">
        <f t="shared" si="2752"/>
        <v>2</v>
      </c>
      <c r="K10018" s="1">
        <v>2</v>
      </c>
      <c r="L10018" s="1" t="s">
        <v>27</v>
      </c>
      <c r="M10018" s="1" t="str">
        <f>"贵州省 贵阳市 观山湖区 "</f>
        <v xml:space="preserve">贵州省 贵阳市 观山湖区 </v>
      </c>
      <c r="N10018" s="1" t="str">
        <f t="shared" si="2750"/>
        <v>凡华云仓-韵达-微信视频号</v>
      </c>
      <c r="O10018" s="5">
        <v>315011824669563</v>
      </c>
      <c r="P10018" s="6">
        <v>0.28000000000000003</v>
      </c>
      <c r="Q10018" s="11">
        <v>2</v>
      </c>
      <c r="R10018" s="11"/>
      <c r="S10018" s="11"/>
      <c r="T10018" s="11"/>
      <c r="U10018" s="11">
        <f t="shared" si="2746"/>
        <v>2</v>
      </c>
      <c r="W10018">
        <v>2.2000000000000002</v>
      </c>
      <c r="X10018" s="1" t="s">
        <v>27</v>
      </c>
    </row>
    <row r="10019" spans="1:24" x14ac:dyDescent="0.25">
      <c r="A10019" s="1" t="str">
        <f t="shared" si="2733"/>
        <v>卡卡杜-凤凰仓</v>
      </c>
      <c r="B10019" s="1" t="str">
        <f>"CK2024100310263"</f>
        <v>CK2024100310263</v>
      </c>
      <c r="C10019" s="1" t="str">
        <f>"DD2024100323936"</f>
        <v>DD2024100323936</v>
      </c>
      <c r="D10019" s="1" t="str">
        <f>"CK2024100324747"</f>
        <v>CK2024100324747</v>
      </c>
      <c r="E10019" s="1" t="str">
        <f>"3723050305258916864"</f>
        <v>3723050305258916864</v>
      </c>
      <c r="F10019" s="1" t="str">
        <f t="shared" si="2734"/>
        <v>花都四部-凤凰仓</v>
      </c>
      <c r="G10019" s="1" t="str">
        <f t="shared" si="2748"/>
        <v>卡卡杜企业店（视频号）</v>
      </c>
      <c r="H10019" s="1" t="str">
        <f t="shared" si="2735"/>
        <v>正常订单</v>
      </c>
      <c r="I10019" s="1" t="str">
        <f t="shared" si="2736"/>
        <v>已发货</v>
      </c>
      <c r="J10019" s="1" t="str">
        <f t="shared" si="2752"/>
        <v>2</v>
      </c>
      <c r="K10019" s="1">
        <v>2</v>
      </c>
      <c r="L10019" s="1" t="s">
        <v>18</v>
      </c>
      <c r="M10019" s="1" t="str">
        <f>"广东省 惠州市 惠城区 "</f>
        <v xml:space="preserve">广东省 惠州市 惠城区 </v>
      </c>
      <c r="N10019" s="1" t="str">
        <f t="shared" si="2750"/>
        <v>凡华云仓-韵达-微信视频号</v>
      </c>
      <c r="O10019" s="5">
        <v>315011824666962</v>
      </c>
      <c r="P10019" s="6">
        <v>0.28000000000000003</v>
      </c>
      <c r="Q10019" s="11">
        <v>2</v>
      </c>
      <c r="R10019" s="11"/>
      <c r="S10019" s="11"/>
      <c r="T10019" s="11"/>
      <c r="U10019" s="11">
        <f t="shared" si="2746"/>
        <v>2</v>
      </c>
      <c r="W10019">
        <v>2.2000000000000002</v>
      </c>
      <c r="X10019" s="1" t="s">
        <v>18</v>
      </c>
    </row>
    <row r="10020" spans="1:24" x14ac:dyDescent="0.25">
      <c r="A10020" s="1" t="str">
        <f t="shared" si="2733"/>
        <v>卡卡杜-凤凰仓</v>
      </c>
      <c r="B10020" s="1" t="str">
        <f>"CK2024100310264"</f>
        <v>CK2024100310264</v>
      </c>
      <c r="C10020" s="1" t="str">
        <f>"DD2024100323937"</f>
        <v>DD2024100323937</v>
      </c>
      <c r="D10020" s="1" t="str">
        <f>"CK2024100324746"</f>
        <v>CK2024100324746</v>
      </c>
      <c r="E10020" s="1" t="str">
        <f>"3723050222935215104"</f>
        <v>3723050222935215104</v>
      </c>
      <c r="F10020" s="1" t="str">
        <f t="shared" si="2734"/>
        <v>花都四部-凤凰仓</v>
      </c>
      <c r="G10020" s="1" t="str">
        <f t="shared" si="2748"/>
        <v>卡卡杜企业店（视频号）</v>
      </c>
      <c r="H10020" s="1" t="str">
        <f t="shared" si="2735"/>
        <v>正常订单</v>
      </c>
      <c r="I10020" s="1" t="str">
        <f t="shared" si="2736"/>
        <v>已发货</v>
      </c>
      <c r="J10020" s="1" t="str">
        <f t="shared" si="2752"/>
        <v>2</v>
      </c>
      <c r="K10020" s="1">
        <v>2</v>
      </c>
      <c r="L10020" s="1" t="s">
        <v>18</v>
      </c>
      <c r="M10020" s="1" t="str">
        <f>"广东省 广州市 天河区 "</f>
        <v xml:space="preserve">广东省 广州市 天河区 </v>
      </c>
      <c r="N10020" s="1" t="str">
        <f t="shared" si="2750"/>
        <v>凡华云仓-韵达-微信视频号</v>
      </c>
      <c r="O10020" s="5">
        <v>315011824663971</v>
      </c>
      <c r="P10020" s="6">
        <v>0.28000000000000003</v>
      </c>
      <c r="Q10020" s="11">
        <v>2</v>
      </c>
      <c r="R10020" s="11"/>
      <c r="S10020" s="11"/>
      <c r="T10020" s="11"/>
      <c r="U10020" s="11">
        <f t="shared" si="2746"/>
        <v>2</v>
      </c>
      <c r="W10020">
        <v>2.2000000000000002</v>
      </c>
      <c r="X10020" s="1" t="s">
        <v>18</v>
      </c>
    </row>
    <row r="10021" spans="1:24" x14ac:dyDescent="0.25">
      <c r="A10021" s="1" t="str">
        <f t="shared" si="2733"/>
        <v>卡卡杜-凤凰仓</v>
      </c>
      <c r="B10021" s="1" t="str">
        <f>"CK2024100310265"</f>
        <v>CK2024100310265</v>
      </c>
      <c r="C10021" s="1" t="str">
        <f>"DD2024100323938"</f>
        <v>DD2024100323938</v>
      </c>
      <c r="D10021" s="1" t="str">
        <f>"CK2024100324745"</f>
        <v>CK2024100324745</v>
      </c>
      <c r="E10021" s="1" t="str">
        <f>"3723050216360117760"</f>
        <v>3723050216360117760</v>
      </c>
      <c r="F10021" s="1" t="str">
        <f t="shared" si="2734"/>
        <v>花都四部-凤凰仓</v>
      </c>
      <c r="G10021" s="1" t="str">
        <f t="shared" si="2748"/>
        <v>卡卡杜企业店（视频号）</v>
      </c>
      <c r="H10021" s="1" t="str">
        <f t="shared" si="2735"/>
        <v>正常订单</v>
      </c>
      <c r="I10021" s="1" t="str">
        <f t="shared" si="2736"/>
        <v>已发货</v>
      </c>
      <c r="J10021" s="1" t="str">
        <f t="shared" si="2752"/>
        <v>2</v>
      </c>
      <c r="K10021" s="1">
        <v>2</v>
      </c>
      <c r="L10021" s="1" t="s">
        <v>18</v>
      </c>
      <c r="M10021" s="1" t="str">
        <f>"广东省 深圳市 宝安区 "</f>
        <v xml:space="preserve">广东省 深圳市 宝安区 </v>
      </c>
      <c r="N10021" s="1" t="str">
        <f t="shared" si="2750"/>
        <v>凡华云仓-韵达-微信视频号</v>
      </c>
      <c r="O10021" s="5">
        <v>315011824662005</v>
      </c>
      <c r="P10021" s="6">
        <v>0.28000000000000003</v>
      </c>
      <c r="Q10021" s="11">
        <v>2</v>
      </c>
      <c r="R10021" s="11"/>
      <c r="S10021" s="11"/>
      <c r="T10021" s="11"/>
      <c r="U10021" s="11">
        <f t="shared" si="2746"/>
        <v>2</v>
      </c>
      <c r="W10021">
        <v>2.2000000000000002</v>
      </c>
      <c r="X10021" s="1" t="s">
        <v>18</v>
      </c>
    </row>
    <row r="10022" spans="1:24" x14ac:dyDescent="0.25">
      <c r="A10022" s="1" t="str">
        <f t="shared" si="2733"/>
        <v>卡卡杜-凤凰仓</v>
      </c>
      <c r="B10022" s="1" t="str">
        <f>"CK2024100310266"</f>
        <v>CK2024100310266</v>
      </c>
      <c r="C10022" s="1" t="str">
        <f>"DD2024100323940"</f>
        <v>DD2024100323940</v>
      </c>
      <c r="D10022" s="1" t="str">
        <f>"CK2024100324744"</f>
        <v>CK2024100324744</v>
      </c>
      <c r="E10022" s="1" t="str">
        <f>"3723050206973006848"</f>
        <v>3723050206973006848</v>
      </c>
      <c r="F10022" s="1" t="str">
        <f t="shared" si="2734"/>
        <v>花都四部-凤凰仓</v>
      </c>
      <c r="G10022" s="1" t="str">
        <f t="shared" si="2748"/>
        <v>卡卡杜企业店（视频号）</v>
      </c>
      <c r="H10022" s="1" t="str">
        <f t="shared" si="2735"/>
        <v>正常订单</v>
      </c>
      <c r="I10022" s="1" t="str">
        <f t="shared" si="2736"/>
        <v>已发货</v>
      </c>
      <c r="J10022" s="1" t="str">
        <f t="shared" si="2752"/>
        <v>2</v>
      </c>
      <c r="K10022" s="1">
        <v>2</v>
      </c>
      <c r="L10022" s="1" t="s">
        <v>18</v>
      </c>
      <c r="M10022" s="1" t="str">
        <f>"广东省 佛山市 禅城区 "</f>
        <v xml:space="preserve">广东省 佛山市 禅城区 </v>
      </c>
      <c r="N10022" s="1" t="str">
        <f t="shared" si="2750"/>
        <v>凡华云仓-韵达-微信视频号</v>
      </c>
      <c r="O10022" s="5">
        <v>315011838817985</v>
      </c>
      <c r="P10022" s="6">
        <v>0.28000000000000003</v>
      </c>
      <c r="Q10022" s="11">
        <v>2</v>
      </c>
      <c r="R10022" s="11"/>
      <c r="S10022" s="11"/>
      <c r="T10022" s="11"/>
      <c r="U10022" s="11">
        <f t="shared" si="2746"/>
        <v>2</v>
      </c>
      <c r="W10022">
        <v>2.2000000000000002</v>
      </c>
      <c r="X10022" s="1" t="s">
        <v>18</v>
      </c>
    </row>
    <row r="10023" spans="1:24" x14ac:dyDescent="0.25">
      <c r="A10023" s="1" t="str">
        <f t="shared" si="2733"/>
        <v>卡卡杜-凤凰仓</v>
      </c>
      <c r="B10023" s="1" t="str">
        <f>"CK2024100310241"</f>
        <v>CK2024100310241</v>
      </c>
      <c r="C10023" s="1" t="str">
        <f>"DD2024100323795"</f>
        <v>DD2024100323795</v>
      </c>
      <c r="D10023" s="1" t="str">
        <f>"CK2024100324743"</f>
        <v>CK2024100324743</v>
      </c>
      <c r="E10023" s="1" t="str">
        <f>"3723050100935756800"</f>
        <v>3723050100935756800</v>
      </c>
      <c r="F10023" s="1" t="str">
        <f t="shared" si="2734"/>
        <v>花都四部-凤凰仓</v>
      </c>
      <c r="G10023" s="1" t="str">
        <f t="shared" si="2748"/>
        <v>卡卡杜企业店（视频号）</v>
      </c>
      <c r="H10023" s="1" t="str">
        <f t="shared" si="2735"/>
        <v>正常订单</v>
      </c>
      <c r="I10023" s="1" t="str">
        <f t="shared" si="2736"/>
        <v>已发货</v>
      </c>
      <c r="J10023" s="1" t="str">
        <f>"4"</f>
        <v>4</v>
      </c>
      <c r="K10023" s="1">
        <v>2</v>
      </c>
      <c r="L10023" s="1" t="s">
        <v>74</v>
      </c>
      <c r="M10023" s="1" t="str">
        <f>"上海 上海市 闵行区 "</f>
        <v xml:space="preserve">上海 上海市 闵行区 </v>
      </c>
      <c r="N10023" s="1" t="str">
        <f t="shared" si="2750"/>
        <v>凡华云仓-韵达-微信视频号</v>
      </c>
      <c r="O10023" s="5">
        <v>315011838816291</v>
      </c>
      <c r="P10023" s="6">
        <v>0.65</v>
      </c>
      <c r="Q10023" s="11">
        <f>CEILING(P10023-0.5,0.1)*10*0.15+2.3</f>
        <v>2.5999999999999996</v>
      </c>
      <c r="R10023" s="11"/>
      <c r="S10023" s="11"/>
      <c r="T10023" s="11"/>
      <c r="U10023" s="11">
        <f t="shared" si="2746"/>
        <v>2.5999999999999996</v>
      </c>
      <c r="V10023" t="s">
        <v>15</v>
      </c>
      <c r="W10023">
        <v>2.6</v>
      </c>
      <c r="X10023" s="1" t="s">
        <v>74</v>
      </c>
    </row>
    <row r="10024" spans="1:24" x14ac:dyDescent="0.25">
      <c r="A10024" s="1" t="str">
        <f t="shared" si="2733"/>
        <v>卡卡杜-凤凰仓</v>
      </c>
      <c r="B10024" s="1" t="str">
        <f>"CK2024100310267"</f>
        <v>CK2024100310267</v>
      </c>
      <c r="C10024" s="1" t="str">
        <f>"DD2024100323939"</f>
        <v>DD2024100323939</v>
      </c>
      <c r="D10024" s="1" t="str">
        <f>"CK2024100324742"</f>
        <v>CK2024100324742</v>
      </c>
      <c r="E10024" s="1" t="str">
        <f>"3723050031534181376"</f>
        <v>3723050031534181376</v>
      </c>
      <c r="F10024" s="1" t="str">
        <f t="shared" si="2734"/>
        <v>花都四部-凤凰仓</v>
      </c>
      <c r="G10024" s="1" t="str">
        <f t="shared" si="2748"/>
        <v>卡卡杜企业店（视频号）</v>
      </c>
      <c r="H10024" s="1" t="str">
        <f t="shared" si="2735"/>
        <v>正常订单</v>
      </c>
      <c r="I10024" s="1" t="str">
        <f t="shared" si="2736"/>
        <v>已发货</v>
      </c>
      <c r="J10024" s="1" t="str">
        <f t="shared" ref="J10024:J10026" si="2753">"2"</f>
        <v>2</v>
      </c>
      <c r="K10024" s="1">
        <v>2</v>
      </c>
      <c r="L10024" s="1" t="s">
        <v>30</v>
      </c>
      <c r="M10024" s="1" t="str">
        <f>"山东省 青岛市 崂山区 "</f>
        <v xml:space="preserve">山东省 青岛市 崂山区 </v>
      </c>
      <c r="N10024" s="1" t="str">
        <f t="shared" si="2750"/>
        <v>凡华云仓-韵达-微信视频号</v>
      </c>
      <c r="O10024" s="5">
        <v>315011838814388</v>
      </c>
      <c r="P10024" s="6">
        <v>0.28000000000000003</v>
      </c>
      <c r="Q10024" s="11">
        <v>2</v>
      </c>
      <c r="R10024" s="11"/>
      <c r="S10024" s="11"/>
      <c r="T10024" s="11"/>
      <c r="U10024" s="11">
        <f t="shared" si="2746"/>
        <v>2</v>
      </c>
      <c r="W10024">
        <v>2.2000000000000002</v>
      </c>
      <c r="X10024" s="1" t="s">
        <v>30</v>
      </c>
    </row>
    <row r="10025" spans="1:24" x14ac:dyDescent="0.25">
      <c r="A10025" s="1" t="str">
        <f t="shared" si="2733"/>
        <v>卡卡杜-凤凰仓</v>
      </c>
      <c r="B10025" s="1" t="str">
        <f>"CK2024100310269"</f>
        <v>CK2024100310269</v>
      </c>
      <c r="C10025" s="1" t="str">
        <f>"DD2024100323942"</f>
        <v>DD2024100323942</v>
      </c>
      <c r="D10025" s="1" t="str">
        <f>"CK2024100324741"</f>
        <v>CK2024100324741</v>
      </c>
      <c r="E10025" s="1" t="str">
        <f>"3723049945085906944"</f>
        <v>3723049945085906944</v>
      </c>
      <c r="F10025" s="1" t="str">
        <f t="shared" si="2734"/>
        <v>花都四部-凤凰仓</v>
      </c>
      <c r="G10025" s="1" t="str">
        <f t="shared" si="2748"/>
        <v>卡卡杜企业店（视频号）</v>
      </c>
      <c r="H10025" s="1" t="str">
        <f t="shared" si="2735"/>
        <v>正常订单</v>
      </c>
      <c r="I10025" s="1" t="str">
        <f t="shared" si="2736"/>
        <v>已发货</v>
      </c>
      <c r="J10025" s="1" t="str">
        <f t="shared" si="2753"/>
        <v>2</v>
      </c>
      <c r="K10025" s="1">
        <v>2</v>
      </c>
      <c r="L10025" s="1" t="s">
        <v>18</v>
      </c>
      <c r="M10025" s="1" t="str">
        <f>"广东省 广州市 海珠区 "</f>
        <v xml:space="preserve">广东省 广州市 海珠区 </v>
      </c>
      <c r="N10025" s="1" t="str">
        <f t="shared" si="2750"/>
        <v>凡华云仓-韵达-微信视频号</v>
      </c>
      <c r="O10025" s="5">
        <v>315011838808115</v>
      </c>
      <c r="P10025" s="6">
        <v>0.28000000000000003</v>
      </c>
      <c r="Q10025" s="11">
        <v>2</v>
      </c>
      <c r="R10025" s="11"/>
      <c r="S10025" s="11"/>
      <c r="T10025" s="11"/>
      <c r="U10025" s="11">
        <f t="shared" si="2746"/>
        <v>2</v>
      </c>
      <c r="W10025">
        <v>2.2000000000000002</v>
      </c>
      <c r="X10025" s="1" t="s">
        <v>18</v>
      </c>
    </row>
    <row r="10026" spans="1:24" x14ac:dyDescent="0.25">
      <c r="A10026" s="1" t="str">
        <f t="shared" si="2733"/>
        <v>卡卡杜-凤凰仓</v>
      </c>
      <c r="B10026" s="1" t="str">
        <f>"CK2024100310270"</f>
        <v>CK2024100310270</v>
      </c>
      <c r="C10026" s="1" t="str">
        <f>"DD2024100323943"</f>
        <v>DD2024100323943</v>
      </c>
      <c r="D10026" s="1" t="str">
        <f>"CK2024100324740"</f>
        <v>CK2024100324740</v>
      </c>
      <c r="E10026" s="1" t="str">
        <f>"3723049928041039104"</f>
        <v>3723049928041039104</v>
      </c>
      <c r="F10026" s="1" t="str">
        <f t="shared" si="2734"/>
        <v>花都四部-凤凰仓</v>
      </c>
      <c r="G10026" s="1" t="str">
        <f t="shared" si="2748"/>
        <v>卡卡杜企业店（视频号）</v>
      </c>
      <c r="H10026" s="1" t="str">
        <f t="shared" si="2735"/>
        <v>正常订单</v>
      </c>
      <c r="I10026" s="1" t="str">
        <f t="shared" si="2736"/>
        <v>已发货</v>
      </c>
      <c r="J10026" s="1" t="str">
        <f t="shared" si="2753"/>
        <v>2</v>
      </c>
      <c r="K10026" s="1">
        <v>2</v>
      </c>
      <c r="L10026" s="1" t="s">
        <v>18</v>
      </c>
      <c r="M10026" s="1" t="str">
        <f>"广东省 广州市 番禺区 "</f>
        <v xml:space="preserve">广东省 广州市 番禺区 </v>
      </c>
      <c r="N10026" s="1" t="str">
        <f t="shared" si="2750"/>
        <v>凡华云仓-韵达-微信视频号</v>
      </c>
      <c r="O10026" s="5">
        <v>315011838805687</v>
      </c>
      <c r="P10026" s="6">
        <v>0.28000000000000003</v>
      </c>
      <c r="Q10026" s="11">
        <v>2</v>
      </c>
      <c r="R10026" s="11"/>
      <c r="S10026" s="11"/>
      <c r="T10026" s="11"/>
      <c r="U10026" s="11">
        <f t="shared" si="2746"/>
        <v>2</v>
      </c>
      <c r="W10026">
        <v>2.2000000000000002</v>
      </c>
      <c r="X10026" s="1" t="s">
        <v>18</v>
      </c>
    </row>
    <row r="10027" spans="1:24" x14ac:dyDescent="0.25">
      <c r="A10027" s="1" t="str">
        <f t="shared" ref="A10027:A10090" si="2754">"卡卡杜-凤凰仓"</f>
        <v>卡卡杜-凤凰仓</v>
      </c>
      <c r="B10027" s="1" t="str">
        <f>"CK2024100310242"</f>
        <v>CK2024100310242</v>
      </c>
      <c r="C10027" s="1" t="str">
        <f>"DD2024100323790"</f>
        <v>DD2024100323790</v>
      </c>
      <c r="D10027" s="1" t="str">
        <f>"CK2024100324739"</f>
        <v>CK2024100324739</v>
      </c>
      <c r="E10027" s="1" t="str">
        <f>"3723049783363244032"</f>
        <v>3723049783363244032</v>
      </c>
      <c r="F10027" s="1" t="str">
        <f t="shared" ref="F10027:F10090" si="2755">"花都四部-凤凰仓"</f>
        <v>花都四部-凤凰仓</v>
      </c>
      <c r="G10027" s="1" t="str">
        <f t="shared" si="2748"/>
        <v>卡卡杜企业店（视频号）</v>
      </c>
      <c r="H10027" s="1" t="str">
        <f t="shared" ref="H10027:H10090" si="2756">"正常订单"</f>
        <v>正常订单</v>
      </c>
      <c r="I10027" s="1" t="str">
        <f t="shared" ref="I10027:I10090" si="2757">"已发货"</f>
        <v>已发货</v>
      </c>
      <c r="J10027" s="1" t="str">
        <f t="shared" ref="J10027:J10032" si="2758">"4"</f>
        <v>4</v>
      </c>
      <c r="K10027" s="1">
        <v>2</v>
      </c>
      <c r="L10027" s="1" t="s">
        <v>92</v>
      </c>
      <c r="M10027" s="1" t="str">
        <f>"辽宁省 铁岭市 银州区 "</f>
        <v xml:space="preserve">辽宁省 铁岭市 银州区 </v>
      </c>
      <c r="N10027" s="1" t="str">
        <f t="shared" si="2750"/>
        <v>凡华云仓-韵达-微信视频号</v>
      </c>
      <c r="O10027" s="5">
        <v>315011838802503</v>
      </c>
      <c r="P10027" s="6">
        <v>0.65</v>
      </c>
      <c r="Q10027" s="11">
        <f t="shared" ref="Q10027:Q10032" si="2759">CEILING(P10027-0.5,0.1)*10*0.15+2.3</f>
        <v>2.5999999999999996</v>
      </c>
      <c r="R10027" s="11"/>
      <c r="S10027" s="11"/>
      <c r="T10027" s="11"/>
      <c r="U10027" s="11">
        <f t="shared" si="2746"/>
        <v>2.5999999999999996</v>
      </c>
      <c r="V10027" t="s">
        <v>15</v>
      </c>
      <c r="W10027">
        <v>2.6</v>
      </c>
      <c r="X10027" s="1" t="s">
        <v>92</v>
      </c>
    </row>
    <row r="10028" spans="1:24" x14ac:dyDescent="0.25">
      <c r="A10028" s="1" t="str">
        <f t="shared" si="2754"/>
        <v>卡卡杜-凤凰仓</v>
      </c>
      <c r="B10028" s="1" t="str">
        <f>"CK2024100310271"</f>
        <v>CK2024100310271</v>
      </c>
      <c r="C10028" s="1" t="str">
        <f>"DD2024100323944"</f>
        <v>DD2024100323944</v>
      </c>
      <c r="D10028" s="1" t="str">
        <f>"CK2024100324738"</f>
        <v>CK2024100324738</v>
      </c>
      <c r="E10028" s="1" t="str">
        <f>"3723049776699540736"</f>
        <v>3723049776699540736</v>
      </c>
      <c r="F10028" s="1" t="str">
        <f t="shared" si="2755"/>
        <v>花都四部-凤凰仓</v>
      </c>
      <c r="G10028" s="1" t="str">
        <f t="shared" si="2748"/>
        <v>卡卡杜企业店（视频号）</v>
      </c>
      <c r="H10028" s="1" t="str">
        <f t="shared" si="2756"/>
        <v>正常订单</v>
      </c>
      <c r="I10028" s="1" t="str">
        <f t="shared" si="2757"/>
        <v>已发货</v>
      </c>
      <c r="J10028" s="1" t="str">
        <f t="shared" ref="J10028:J10040" si="2760">"2"</f>
        <v>2</v>
      </c>
      <c r="K10028" s="1">
        <v>2</v>
      </c>
      <c r="L10028" s="1" t="s">
        <v>47</v>
      </c>
      <c r="M10028" s="1" t="str">
        <f>"重庆 重庆市 北碚区 "</f>
        <v xml:space="preserve">重庆 重庆市 北碚区 </v>
      </c>
      <c r="N10028" s="1" t="str">
        <f t="shared" si="2750"/>
        <v>凡华云仓-韵达-微信视频号</v>
      </c>
      <c r="O10028" s="5">
        <v>315011838799665</v>
      </c>
      <c r="P10028" s="6">
        <v>0.28000000000000003</v>
      </c>
      <c r="Q10028" s="11">
        <v>2</v>
      </c>
      <c r="R10028" s="11"/>
      <c r="S10028" s="11"/>
      <c r="T10028" s="11"/>
      <c r="U10028" s="11">
        <f t="shared" si="2746"/>
        <v>2</v>
      </c>
      <c r="W10028">
        <v>2.2000000000000002</v>
      </c>
      <c r="X10028" s="1" t="s">
        <v>47</v>
      </c>
    </row>
    <row r="10029" spans="1:24" x14ac:dyDescent="0.25">
      <c r="A10029" s="1" t="str">
        <f t="shared" si="2754"/>
        <v>卡卡杜-凤凰仓</v>
      </c>
      <c r="B10029" s="1" t="str">
        <f>"CK2024100310273"</f>
        <v>CK2024100310273</v>
      </c>
      <c r="C10029" s="1" t="str">
        <f>"DD2024100323946"</f>
        <v>DD2024100323946</v>
      </c>
      <c r="D10029" s="1" t="str">
        <f>"CK2024100324737"</f>
        <v>CK2024100324737</v>
      </c>
      <c r="E10029" s="1" t="str">
        <f>"3723049338890487040"</f>
        <v>3723049338890487040</v>
      </c>
      <c r="F10029" s="1" t="str">
        <f t="shared" si="2755"/>
        <v>花都四部-凤凰仓</v>
      </c>
      <c r="G10029" s="1" t="str">
        <f t="shared" si="2748"/>
        <v>卡卡杜企业店（视频号）</v>
      </c>
      <c r="H10029" s="1" t="str">
        <f t="shared" si="2756"/>
        <v>正常订单</v>
      </c>
      <c r="I10029" s="1" t="str">
        <f t="shared" si="2757"/>
        <v>已发货</v>
      </c>
      <c r="J10029" s="1" t="str">
        <f t="shared" si="2760"/>
        <v>2</v>
      </c>
      <c r="K10029" s="1">
        <v>2</v>
      </c>
      <c r="L10029" s="1" t="s">
        <v>105</v>
      </c>
      <c r="M10029" s="1" t="str">
        <f>"北京 北京市 朝阳区 "</f>
        <v xml:space="preserve">北京 北京市 朝阳区 </v>
      </c>
      <c r="N10029" s="1" t="str">
        <f t="shared" si="2750"/>
        <v>凡华云仓-韵达-微信视频号</v>
      </c>
      <c r="O10029" s="5">
        <v>315011838796365</v>
      </c>
      <c r="P10029" s="6">
        <v>0.28000000000000003</v>
      </c>
      <c r="Q10029" s="11">
        <v>2</v>
      </c>
      <c r="R10029" s="11"/>
      <c r="S10029" s="11"/>
      <c r="T10029" s="11"/>
      <c r="U10029" s="11">
        <f t="shared" si="2746"/>
        <v>2</v>
      </c>
      <c r="W10029">
        <v>2.2000000000000002</v>
      </c>
      <c r="X10029" s="1" t="s">
        <v>105</v>
      </c>
    </row>
    <row r="10030" spans="1:24" x14ac:dyDescent="0.25">
      <c r="A10030" s="1" t="str">
        <f t="shared" si="2754"/>
        <v>卡卡杜-凤凰仓</v>
      </c>
      <c r="B10030" s="1" t="str">
        <f>"CK2024100310243"</f>
        <v>CK2024100310243</v>
      </c>
      <c r="C10030" s="1" t="str">
        <f>"DD2024100323794"</f>
        <v>DD2024100323794</v>
      </c>
      <c r="D10030" s="1" t="str">
        <f>"CK2024100324736"</f>
        <v>CK2024100324736</v>
      </c>
      <c r="E10030" s="1" t="str">
        <f>"3723049275459245056"</f>
        <v>3723049275459245056</v>
      </c>
      <c r="F10030" s="1" t="str">
        <f t="shared" si="2755"/>
        <v>花都四部-凤凰仓</v>
      </c>
      <c r="G10030" s="1" t="str">
        <f t="shared" si="2748"/>
        <v>卡卡杜企业店（视频号）</v>
      </c>
      <c r="H10030" s="1" t="str">
        <f t="shared" si="2756"/>
        <v>正常订单</v>
      </c>
      <c r="I10030" s="1" t="str">
        <f t="shared" si="2757"/>
        <v>已发货</v>
      </c>
      <c r="J10030" s="1" t="str">
        <f t="shared" si="2758"/>
        <v>4</v>
      </c>
      <c r="K10030" s="1">
        <v>2</v>
      </c>
      <c r="L10030" s="1" t="s">
        <v>18</v>
      </c>
      <c r="M10030" s="1" t="str">
        <f>"广东省 广州市 越秀区 "</f>
        <v xml:space="preserve">广东省 广州市 越秀区 </v>
      </c>
      <c r="N10030" s="1" t="str">
        <f t="shared" si="2750"/>
        <v>凡华云仓-韵达-微信视频号</v>
      </c>
      <c r="O10030" s="5">
        <v>315011838792476</v>
      </c>
      <c r="P10030" s="6">
        <v>0.65</v>
      </c>
      <c r="Q10030" s="11">
        <f t="shared" si="2759"/>
        <v>2.5999999999999996</v>
      </c>
      <c r="R10030" s="11"/>
      <c r="S10030" s="11"/>
      <c r="T10030" s="11"/>
      <c r="U10030" s="11">
        <f t="shared" si="2746"/>
        <v>2.5999999999999996</v>
      </c>
      <c r="V10030" t="s">
        <v>15</v>
      </c>
      <c r="W10030">
        <v>2.6</v>
      </c>
      <c r="X10030" s="1" t="s">
        <v>18</v>
      </c>
    </row>
    <row r="10031" spans="1:24" x14ac:dyDescent="0.25">
      <c r="A10031" s="1" t="str">
        <f t="shared" si="2754"/>
        <v>卡卡杜-凤凰仓</v>
      </c>
      <c r="B10031" s="1" t="str">
        <f>"CK2024100310244"</f>
        <v>CK2024100310244</v>
      </c>
      <c r="C10031" s="1" t="str">
        <f>"DD2024100323791"</f>
        <v>DD2024100323791</v>
      </c>
      <c r="D10031" s="1" t="str">
        <f>"CK2024100324735"</f>
        <v>CK2024100324735</v>
      </c>
      <c r="E10031" s="1" t="str">
        <f>"3723049209309038080"</f>
        <v>3723049209309038080</v>
      </c>
      <c r="F10031" s="1" t="str">
        <f t="shared" si="2755"/>
        <v>花都四部-凤凰仓</v>
      </c>
      <c r="G10031" s="1" t="str">
        <f t="shared" si="2748"/>
        <v>卡卡杜企业店（视频号）</v>
      </c>
      <c r="H10031" s="1" t="str">
        <f t="shared" si="2756"/>
        <v>正常订单</v>
      </c>
      <c r="I10031" s="1" t="str">
        <f t="shared" si="2757"/>
        <v>已发货</v>
      </c>
      <c r="J10031" s="1" t="str">
        <f t="shared" si="2758"/>
        <v>4</v>
      </c>
      <c r="K10031" s="1">
        <v>2</v>
      </c>
      <c r="L10031" s="1" t="s">
        <v>13</v>
      </c>
      <c r="M10031" s="1" t="str">
        <f>"江苏省 南京市 江宁区 "</f>
        <v xml:space="preserve">江苏省 南京市 江宁区 </v>
      </c>
      <c r="N10031" s="1" t="str">
        <f t="shared" si="2750"/>
        <v>凡华云仓-韵达-微信视频号</v>
      </c>
      <c r="O10031" s="5">
        <v>315011838789185</v>
      </c>
      <c r="P10031" s="6">
        <v>0.65</v>
      </c>
      <c r="Q10031" s="11">
        <f t="shared" si="2759"/>
        <v>2.5999999999999996</v>
      </c>
      <c r="R10031" s="11"/>
      <c r="S10031" s="11"/>
      <c r="T10031" s="11"/>
      <c r="U10031" s="11">
        <f t="shared" si="2746"/>
        <v>2.5999999999999996</v>
      </c>
      <c r="V10031" t="s">
        <v>15</v>
      </c>
      <c r="W10031">
        <v>2.6</v>
      </c>
      <c r="X10031" s="1" t="s">
        <v>13</v>
      </c>
    </row>
    <row r="10032" spans="1:24" x14ac:dyDescent="0.25">
      <c r="A10032" s="1" t="str">
        <f t="shared" si="2754"/>
        <v>卡卡杜-凤凰仓</v>
      </c>
      <c r="B10032" s="1" t="str">
        <f>"CK2024100310245"</f>
        <v>CK2024100310245</v>
      </c>
      <c r="C10032" s="1" t="str">
        <f>"DD2024100323796"</f>
        <v>DD2024100323796</v>
      </c>
      <c r="D10032" s="1" t="str">
        <f>"CK2024100324734"</f>
        <v>CK2024100324734</v>
      </c>
      <c r="E10032" s="1" t="str">
        <f>"3723049195073310720"</f>
        <v>3723049195073310720</v>
      </c>
      <c r="F10032" s="1" t="str">
        <f t="shared" si="2755"/>
        <v>花都四部-凤凰仓</v>
      </c>
      <c r="G10032" s="1" t="str">
        <f t="shared" si="2748"/>
        <v>卡卡杜企业店（视频号）</v>
      </c>
      <c r="H10032" s="1" t="str">
        <f t="shared" si="2756"/>
        <v>正常订单</v>
      </c>
      <c r="I10032" s="1" t="str">
        <f t="shared" si="2757"/>
        <v>已发货</v>
      </c>
      <c r="J10032" s="1" t="str">
        <f t="shared" si="2758"/>
        <v>4</v>
      </c>
      <c r="K10032" s="1">
        <v>2</v>
      </c>
      <c r="L10032" s="1" t="s">
        <v>22</v>
      </c>
      <c r="M10032" s="1" t="str">
        <f>"江西省 抚州市 崇仁县 "</f>
        <v xml:space="preserve">江西省 抚州市 崇仁县 </v>
      </c>
      <c r="N10032" s="1" t="str">
        <f t="shared" si="2750"/>
        <v>凡华云仓-韵达-微信视频号</v>
      </c>
      <c r="O10032" s="5">
        <v>315011838785961</v>
      </c>
      <c r="P10032" s="6">
        <v>0.65</v>
      </c>
      <c r="Q10032" s="11">
        <f t="shared" si="2759"/>
        <v>2.5999999999999996</v>
      </c>
      <c r="R10032" s="11"/>
      <c r="S10032" s="11"/>
      <c r="T10032" s="11"/>
      <c r="U10032" s="11">
        <f t="shared" si="2746"/>
        <v>2.5999999999999996</v>
      </c>
      <c r="V10032" t="s">
        <v>15</v>
      </c>
      <c r="W10032">
        <v>2.6</v>
      </c>
      <c r="X10032" s="1" t="s">
        <v>22</v>
      </c>
    </row>
    <row r="10033" spans="1:24" x14ac:dyDescent="0.25">
      <c r="A10033" s="1" t="str">
        <f t="shared" si="2754"/>
        <v>卡卡杜-凤凰仓</v>
      </c>
      <c r="B10033" s="1" t="str">
        <f>"CK2024100310274"</f>
        <v>CK2024100310274</v>
      </c>
      <c r="C10033" s="1" t="str">
        <f>"DD2024100323947"</f>
        <v>DD2024100323947</v>
      </c>
      <c r="D10033" s="1" t="str">
        <f>"CK2024100324733"</f>
        <v>CK2024100324733</v>
      </c>
      <c r="E10033" s="1" t="str">
        <f>"3723049188960375808"</f>
        <v>3723049188960375808</v>
      </c>
      <c r="F10033" s="1" t="str">
        <f t="shared" si="2755"/>
        <v>花都四部-凤凰仓</v>
      </c>
      <c r="G10033" s="1" t="str">
        <f t="shared" si="2748"/>
        <v>卡卡杜企业店（视频号）</v>
      </c>
      <c r="H10033" s="1" t="str">
        <f t="shared" si="2756"/>
        <v>正常订单</v>
      </c>
      <c r="I10033" s="1" t="str">
        <f t="shared" si="2757"/>
        <v>已发货</v>
      </c>
      <c r="J10033" s="1" t="str">
        <f t="shared" si="2760"/>
        <v>2</v>
      </c>
      <c r="K10033" s="1">
        <v>2</v>
      </c>
      <c r="L10033" s="1" t="s">
        <v>94</v>
      </c>
      <c r="M10033" s="1" t="str">
        <f>"湖南省 株洲市 石峰区 "</f>
        <v xml:space="preserve">湖南省 株洲市 石峰区 </v>
      </c>
      <c r="N10033" s="1" t="str">
        <f t="shared" si="2750"/>
        <v>凡华云仓-韵达-微信视频号</v>
      </c>
      <c r="O10033" s="5">
        <v>315011838783276</v>
      </c>
      <c r="P10033" s="6">
        <v>0.28000000000000003</v>
      </c>
      <c r="Q10033" s="11">
        <v>2</v>
      </c>
      <c r="R10033" s="11"/>
      <c r="S10033" s="11"/>
      <c r="T10033" s="11"/>
      <c r="U10033" s="11">
        <f t="shared" si="2746"/>
        <v>2</v>
      </c>
      <c r="W10033">
        <v>2.2000000000000002</v>
      </c>
      <c r="X10033" s="1" t="s">
        <v>94</v>
      </c>
    </row>
    <row r="10034" spans="1:24" x14ac:dyDescent="0.25">
      <c r="A10034" s="1" t="str">
        <f t="shared" si="2754"/>
        <v>卡卡杜-凤凰仓</v>
      </c>
      <c r="B10034" s="1" t="str">
        <f>"CK2024100310276"</f>
        <v>CK2024100310276</v>
      </c>
      <c r="C10034" s="1" t="str">
        <f>"DD2024100323948"</f>
        <v>DD2024100323948</v>
      </c>
      <c r="D10034" s="1" t="str">
        <f>"CK2024100324732"</f>
        <v>CK2024100324732</v>
      </c>
      <c r="E10034" s="1" t="str">
        <f>"3723048886114587648"</f>
        <v>3723048886114587648</v>
      </c>
      <c r="F10034" s="1" t="str">
        <f t="shared" si="2755"/>
        <v>花都四部-凤凰仓</v>
      </c>
      <c r="G10034" s="1" t="str">
        <f t="shared" si="2748"/>
        <v>卡卡杜企业店（视频号）</v>
      </c>
      <c r="H10034" s="1" t="str">
        <f t="shared" si="2756"/>
        <v>正常订单</v>
      </c>
      <c r="I10034" s="1" t="str">
        <f t="shared" si="2757"/>
        <v>已发货</v>
      </c>
      <c r="J10034" s="1" t="str">
        <f t="shared" si="2760"/>
        <v>2</v>
      </c>
      <c r="K10034" s="1">
        <v>2</v>
      </c>
      <c r="L10034" s="1" t="s">
        <v>32</v>
      </c>
      <c r="M10034" s="1" t="str">
        <f>"陕西省 西安市 临潼区 "</f>
        <v xml:space="preserve">陕西省 西安市 临潼区 </v>
      </c>
      <c r="N10034" s="1" t="str">
        <f t="shared" si="2750"/>
        <v>凡华云仓-韵达-微信视频号</v>
      </c>
      <c r="O10034" s="5">
        <v>315011838781292</v>
      </c>
      <c r="P10034" s="6">
        <v>0.28000000000000003</v>
      </c>
      <c r="Q10034" s="11">
        <v>2</v>
      </c>
      <c r="R10034" s="11"/>
      <c r="S10034" s="11"/>
      <c r="T10034" s="11"/>
      <c r="U10034" s="11">
        <f t="shared" si="2746"/>
        <v>2</v>
      </c>
      <c r="W10034">
        <v>2.2000000000000002</v>
      </c>
      <c r="X10034" s="1" t="s">
        <v>32</v>
      </c>
    </row>
    <row r="10035" spans="1:24" x14ac:dyDescent="0.25">
      <c r="A10035" s="1" t="str">
        <f t="shared" si="2754"/>
        <v>卡卡杜-凤凰仓</v>
      </c>
      <c r="B10035" s="1" t="str">
        <f>"CK2024100310277"</f>
        <v>CK2024100310277</v>
      </c>
      <c r="C10035" s="1" t="str">
        <f>"DD2024100323950"</f>
        <v>DD2024100323950</v>
      </c>
      <c r="D10035" s="1" t="str">
        <f>"CK2024100324731"</f>
        <v>CK2024100324731</v>
      </c>
      <c r="E10035" s="1" t="str">
        <f>"3723048882320313344"</f>
        <v>3723048882320313344</v>
      </c>
      <c r="F10035" s="1" t="str">
        <f t="shared" si="2755"/>
        <v>花都四部-凤凰仓</v>
      </c>
      <c r="G10035" s="1" t="str">
        <f t="shared" si="2748"/>
        <v>卡卡杜企业店（视频号）</v>
      </c>
      <c r="H10035" s="1" t="str">
        <f t="shared" si="2756"/>
        <v>正常订单</v>
      </c>
      <c r="I10035" s="1" t="str">
        <f t="shared" si="2757"/>
        <v>已发货</v>
      </c>
      <c r="J10035" s="1" t="str">
        <f t="shared" si="2760"/>
        <v>2</v>
      </c>
      <c r="K10035" s="1">
        <v>2</v>
      </c>
      <c r="L10035" s="1" t="s">
        <v>18</v>
      </c>
      <c r="M10035" s="1" t="str">
        <f>"广东省 深圳市 福田区 "</f>
        <v xml:space="preserve">广东省 深圳市 福田区 </v>
      </c>
      <c r="N10035" s="1" t="str">
        <f t="shared" si="2750"/>
        <v>凡华云仓-韵达-微信视频号</v>
      </c>
      <c r="O10035" s="5">
        <v>315011838779182</v>
      </c>
      <c r="P10035" s="6">
        <v>0.28000000000000003</v>
      </c>
      <c r="Q10035" s="11">
        <v>2</v>
      </c>
      <c r="R10035" s="11"/>
      <c r="S10035" s="11"/>
      <c r="T10035" s="11"/>
      <c r="U10035" s="11">
        <f t="shared" si="2746"/>
        <v>2</v>
      </c>
      <c r="W10035">
        <v>2.2000000000000002</v>
      </c>
      <c r="X10035" s="1" t="s">
        <v>18</v>
      </c>
    </row>
    <row r="10036" spans="1:24" x14ac:dyDescent="0.25">
      <c r="A10036" s="1" t="str">
        <f t="shared" si="2754"/>
        <v>卡卡杜-凤凰仓</v>
      </c>
      <c r="B10036" s="1" t="str">
        <f>"CK2024100310278"</f>
        <v>CK2024100310278</v>
      </c>
      <c r="C10036" s="1" t="str">
        <f>"DD2024100323951"</f>
        <v>DD2024100323951</v>
      </c>
      <c r="D10036" s="1" t="str">
        <f>"CK2024100324730"</f>
        <v>CK2024100324730</v>
      </c>
      <c r="E10036" s="1" t="str">
        <f>"3723048873498117632"</f>
        <v>3723048873498117632</v>
      </c>
      <c r="F10036" s="1" t="str">
        <f t="shared" si="2755"/>
        <v>花都四部-凤凰仓</v>
      </c>
      <c r="G10036" s="1" t="str">
        <f t="shared" si="2748"/>
        <v>卡卡杜企业店（视频号）</v>
      </c>
      <c r="H10036" s="1" t="str">
        <f t="shared" si="2756"/>
        <v>正常订单</v>
      </c>
      <c r="I10036" s="1" t="str">
        <f t="shared" si="2757"/>
        <v>已发货</v>
      </c>
      <c r="J10036" s="1" t="str">
        <f t="shared" si="2760"/>
        <v>2</v>
      </c>
      <c r="K10036" s="1">
        <v>2</v>
      </c>
      <c r="L10036" s="1" t="s">
        <v>96</v>
      </c>
      <c r="M10036" s="1" t="str">
        <f>"广西壮族自治区 柳州市 柳北区 "</f>
        <v xml:space="preserve">广西壮族自治区 柳州市 柳北区 </v>
      </c>
      <c r="N10036" s="1" t="str">
        <f t="shared" si="2750"/>
        <v>凡华云仓-韵达-微信视频号</v>
      </c>
      <c r="O10036" s="5">
        <v>315011824675964</v>
      </c>
      <c r="P10036" s="6">
        <v>0.28000000000000003</v>
      </c>
      <c r="Q10036" s="11">
        <v>2</v>
      </c>
      <c r="R10036" s="11"/>
      <c r="S10036" s="11"/>
      <c r="T10036" s="11"/>
      <c r="U10036" s="11">
        <f t="shared" si="2746"/>
        <v>2</v>
      </c>
      <c r="W10036">
        <v>2.2000000000000002</v>
      </c>
      <c r="X10036" s="1" t="s">
        <v>96</v>
      </c>
    </row>
    <row r="10037" spans="1:24" x14ac:dyDescent="0.25">
      <c r="A10037" s="1" t="str">
        <f t="shared" si="2754"/>
        <v>卡卡杜-凤凰仓</v>
      </c>
      <c r="B10037" s="1" t="str">
        <f>"CK2024100310279"</f>
        <v>CK2024100310279</v>
      </c>
      <c r="C10037" s="1" t="str">
        <f>"DD2024100323953"</f>
        <v>DD2024100323953</v>
      </c>
      <c r="D10037" s="1" t="str">
        <f>"CK2024100324729"</f>
        <v>CK2024100324729</v>
      </c>
      <c r="E10037" s="1" t="str">
        <f>"3723048782170031616"</f>
        <v>3723048782170031616</v>
      </c>
      <c r="F10037" s="1" t="str">
        <f t="shared" si="2755"/>
        <v>花都四部-凤凰仓</v>
      </c>
      <c r="G10037" s="1" t="str">
        <f t="shared" si="2748"/>
        <v>卡卡杜企业店（视频号）</v>
      </c>
      <c r="H10037" s="1" t="str">
        <f t="shared" si="2756"/>
        <v>正常订单</v>
      </c>
      <c r="I10037" s="1" t="str">
        <f t="shared" si="2757"/>
        <v>已发货</v>
      </c>
      <c r="J10037" s="1" t="str">
        <f t="shared" si="2760"/>
        <v>2</v>
      </c>
      <c r="K10037" s="1">
        <v>2</v>
      </c>
      <c r="L10037" s="1" t="s">
        <v>74</v>
      </c>
      <c r="M10037" s="1" t="str">
        <f>"上海 上海市 杨浦区 "</f>
        <v xml:space="preserve">上海 上海市 杨浦区 </v>
      </c>
      <c r="N10037" s="1" t="str">
        <f t="shared" si="2750"/>
        <v>凡华云仓-韵达-微信视频号</v>
      </c>
      <c r="O10037" s="5">
        <v>315011824672979</v>
      </c>
      <c r="P10037" s="6">
        <v>0.28000000000000003</v>
      </c>
      <c r="Q10037" s="11">
        <v>2</v>
      </c>
      <c r="R10037" s="11"/>
      <c r="S10037" s="11"/>
      <c r="T10037" s="11"/>
      <c r="U10037" s="11">
        <f t="shared" si="2746"/>
        <v>2</v>
      </c>
      <c r="W10037">
        <v>2.2000000000000002</v>
      </c>
      <c r="X10037" s="1" t="s">
        <v>74</v>
      </c>
    </row>
    <row r="10038" spans="1:24" x14ac:dyDescent="0.25">
      <c r="A10038" s="1" t="str">
        <f t="shared" si="2754"/>
        <v>卡卡杜-凤凰仓</v>
      </c>
      <c r="B10038" s="1" t="str">
        <f>"CK2024100310280"</f>
        <v>CK2024100310280</v>
      </c>
      <c r="C10038" s="1" t="str">
        <f>"DD2024100323952"</f>
        <v>DD2024100323952</v>
      </c>
      <c r="D10038" s="1" t="str">
        <f>"CK2024100324728"</f>
        <v>CK2024100324728</v>
      </c>
      <c r="E10038" s="1" t="str">
        <f>"3723048767111695360"</f>
        <v>3723048767111695360</v>
      </c>
      <c r="F10038" s="1" t="str">
        <f t="shared" si="2755"/>
        <v>花都四部-凤凰仓</v>
      </c>
      <c r="G10038" s="1" t="str">
        <f t="shared" si="2748"/>
        <v>卡卡杜企业店（视频号）</v>
      </c>
      <c r="H10038" s="1" t="str">
        <f t="shared" si="2756"/>
        <v>正常订单</v>
      </c>
      <c r="I10038" s="1" t="str">
        <f t="shared" si="2757"/>
        <v>已发货</v>
      </c>
      <c r="J10038" s="1" t="str">
        <f t="shared" si="2760"/>
        <v>2</v>
      </c>
      <c r="K10038" s="1">
        <v>2</v>
      </c>
      <c r="L10038" s="1" t="s">
        <v>24</v>
      </c>
      <c r="M10038" s="1" t="str">
        <f>"福建省 福州市 罗源县 "</f>
        <v xml:space="preserve">福建省 福州市 罗源县 </v>
      </c>
      <c r="N10038" s="1" t="str">
        <f t="shared" si="2750"/>
        <v>凡华云仓-韵达-微信视频号</v>
      </c>
      <c r="O10038" s="5">
        <v>315011824670591</v>
      </c>
      <c r="P10038" s="6">
        <v>0.28000000000000003</v>
      </c>
      <c r="Q10038" s="11">
        <v>2</v>
      </c>
      <c r="R10038" s="11"/>
      <c r="S10038" s="11"/>
      <c r="T10038" s="11"/>
      <c r="U10038" s="11">
        <f t="shared" si="2746"/>
        <v>2</v>
      </c>
      <c r="W10038">
        <v>2.2000000000000002</v>
      </c>
      <c r="X10038" s="1" t="s">
        <v>24</v>
      </c>
    </row>
    <row r="10039" spans="1:24" x14ac:dyDescent="0.25">
      <c r="A10039" s="1" t="str">
        <f t="shared" si="2754"/>
        <v>卡卡杜-凤凰仓</v>
      </c>
      <c r="B10039" s="1" t="str">
        <f>"CK2024100310281"</f>
        <v>CK2024100310281</v>
      </c>
      <c r="C10039" s="1" t="str">
        <f>"DD2024100323955"</f>
        <v>DD2024100323955</v>
      </c>
      <c r="D10039" s="1" t="str">
        <f>"CK2024100324727"</f>
        <v>CK2024100324727</v>
      </c>
      <c r="E10039" s="1" t="str">
        <f>"3723048630095057920"</f>
        <v>3723048630095057920</v>
      </c>
      <c r="F10039" s="1" t="str">
        <f t="shared" si="2755"/>
        <v>花都四部-凤凰仓</v>
      </c>
      <c r="G10039" s="1" t="str">
        <f t="shared" si="2748"/>
        <v>卡卡杜企业店（视频号）</v>
      </c>
      <c r="H10039" s="1" t="str">
        <f t="shared" si="2756"/>
        <v>正常订单</v>
      </c>
      <c r="I10039" s="1" t="str">
        <f t="shared" si="2757"/>
        <v>已发货</v>
      </c>
      <c r="J10039" s="1" t="str">
        <f t="shared" si="2760"/>
        <v>2</v>
      </c>
      <c r="K10039" s="1">
        <v>2</v>
      </c>
      <c r="L10039" s="1" t="s">
        <v>105</v>
      </c>
      <c r="M10039" s="1" t="str">
        <f>"北京 北京市 丰台区 "</f>
        <v xml:space="preserve">北京 北京市 丰台区 </v>
      </c>
      <c r="N10039" s="1" t="str">
        <f t="shared" si="2750"/>
        <v>凡华云仓-韵达-微信视频号</v>
      </c>
      <c r="O10039" s="5">
        <v>315011824668273</v>
      </c>
      <c r="P10039" s="6">
        <v>0.28000000000000003</v>
      </c>
      <c r="Q10039" s="11">
        <v>2</v>
      </c>
      <c r="R10039" s="11"/>
      <c r="S10039" s="11"/>
      <c r="T10039" s="11"/>
      <c r="U10039" s="11">
        <f t="shared" si="2746"/>
        <v>2</v>
      </c>
      <c r="W10039">
        <v>2.2000000000000002</v>
      </c>
      <c r="X10039" s="1" t="s">
        <v>105</v>
      </c>
    </row>
    <row r="10040" spans="1:24" x14ac:dyDescent="0.25">
      <c r="A10040" s="1" t="str">
        <f t="shared" si="2754"/>
        <v>卡卡杜-凤凰仓</v>
      </c>
      <c r="B10040" s="1" t="str">
        <f>"CK2024100310282"</f>
        <v>CK2024100310282</v>
      </c>
      <c r="C10040" s="1" t="str">
        <f>"DD2024100323954"</f>
        <v>DD2024100323954</v>
      </c>
      <c r="D10040" s="1" t="str">
        <f>"CK2024100324726"</f>
        <v>CK2024100324726</v>
      </c>
      <c r="E10040" s="1" t="str">
        <f>"3723048628712244480"</f>
        <v>3723048628712244480</v>
      </c>
      <c r="F10040" s="1" t="str">
        <f t="shared" si="2755"/>
        <v>花都四部-凤凰仓</v>
      </c>
      <c r="G10040" s="1" t="str">
        <f t="shared" si="2748"/>
        <v>卡卡杜企业店（视频号）</v>
      </c>
      <c r="H10040" s="1" t="str">
        <f t="shared" si="2756"/>
        <v>正常订单</v>
      </c>
      <c r="I10040" s="1" t="str">
        <f t="shared" si="2757"/>
        <v>已发货</v>
      </c>
      <c r="J10040" s="1" t="str">
        <f t="shared" si="2760"/>
        <v>2</v>
      </c>
      <c r="K10040" s="1">
        <v>2</v>
      </c>
      <c r="L10040" s="1" t="s">
        <v>18</v>
      </c>
      <c r="M10040" s="1" t="str">
        <f>"广东省 深圳市 龙岗区 "</f>
        <v xml:space="preserve">广东省 深圳市 龙岗区 </v>
      </c>
      <c r="N10040" s="1" t="str">
        <f t="shared" si="2750"/>
        <v>凡华云仓-韵达-微信视频号</v>
      </c>
      <c r="O10040" s="5">
        <v>315011824665654</v>
      </c>
      <c r="P10040" s="6">
        <v>0.28000000000000003</v>
      </c>
      <c r="Q10040" s="11">
        <v>2</v>
      </c>
      <c r="R10040" s="11"/>
      <c r="S10040" s="11"/>
      <c r="T10040" s="11"/>
      <c r="U10040" s="11">
        <f t="shared" si="2746"/>
        <v>2</v>
      </c>
      <c r="W10040">
        <v>2.2000000000000002</v>
      </c>
      <c r="X10040" s="1" t="s">
        <v>18</v>
      </c>
    </row>
    <row r="10041" spans="1:24" x14ac:dyDescent="0.25">
      <c r="A10041" s="1" t="str">
        <f t="shared" si="2754"/>
        <v>卡卡杜-凤凰仓</v>
      </c>
      <c r="B10041" s="1" t="str">
        <f>"CK2024100310246"</f>
        <v>CK2024100310246</v>
      </c>
      <c r="C10041" s="1" t="str">
        <f>"DD2024100323797"</f>
        <v>DD2024100323797</v>
      </c>
      <c r="D10041" s="1" t="str">
        <f>"CK2024100324725"</f>
        <v>CK2024100324725</v>
      </c>
      <c r="E10041" s="1" t="str">
        <f>"3723048605624439808"</f>
        <v>3723048605624439808</v>
      </c>
      <c r="F10041" s="1" t="str">
        <f t="shared" si="2755"/>
        <v>花都四部-凤凰仓</v>
      </c>
      <c r="G10041" s="1" t="str">
        <f t="shared" si="2748"/>
        <v>卡卡杜企业店（视频号）</v>
      </c>
      <c r="H10041" s="1" t="str">
        <f t="shared" si="2756"/>
        <v>正常订单</v>
      </c>
      <c r="I10041" s="1" t="str">
        <f t="shared" si="2757"/>
        <v>已发货</v>
      </c>
      <c r="J10041" s="1" t="str">
        <f>"4"</f>
        <v>4</v>
      </c>
      <c r="K10041" s="1">
        <v>2</v>
      </c>
      <c r="L10041" s="1" t="s">
        <v>74</v>
      </c>
      <c r="M10041" s="1" t="str">
        <f>"上海 上海市 杨浦区 "</f>
        <v xml:space="preserve">上海 上海市 杨浦区 </v>
      </c>
      <c r="N10041" s="1" t="str">
        <f t="shared" si="2750"/>
        <v>凡华云仓-韵达-微信视频号</v>
      </c>
      <c r="O10041" s="5">
        <v>315011824662669</v>
      </c>
      <c r="P10041" s="6">
        <v>0.65</v>
      </c>
      <c r="Q10041" s="11">
        <f>CEILING(P10041-0.5,0.1)*10*0.15+2.3</f>
        <v>2.5999999999999996</v>
      </c>
      <c r="R10041" s="11"/>
      <c r="S10041" s="11"/>
      <c r="T10041" s="11"/>
      <c r="U10041" s="11">
        <f t="shared" si="2746"/>
        <v>2.5999999999999996</v>
      </c>
      <c r="V10041" t="s">
        <v>15</v>
      </c>
      <c r="W10041">
        <v>2.6</v>
      </c>
      <c r="X10041" s="1" t="s">
        <v>74</v>
      </c>
    </row>
    <row r="10042" spans="1:24" x14ac:dyDescent="0.25">
      <c r="A10042" s="1" t="str">
        <f t="shared" si="2754"/>
        <v>卡卡杜-凤凰仓</v>
      </c>
      <c r="B10042" s="1" t="str">
        <f>"CK2024100310283"</f>
        <v>CK2024100310283</v>
      </c>
      <c r="C10042" s="1" t="str">
        <f>"DD2024100323956"</f>
        <v>DD2024100323956</v>
      </c>
      <c r="D10042" s="1" t="str">
        <f>"CK2024100324724"</f>
        <v>CK2024100324724</v>
      </c>
      <c r="E10042" s="1" t="str">
        <f>"3723048563471942913"</f>
        <v>3723048563471942913</v>
      </c>
      <c r="F10042" s="1" t="str">
        <f t="shared" si="2755"/>
        <v>花都四部-凤凰仓</v>
      </c>
      <c r="G10042" s="1" t="str">
        <f t="shared" si="2748"/>
        <v>卡卡杜企业店（视频号）</v>
      </c>
      <c r="H10042" s="1" t="str">
        <f t="shared" si="2756"/>
        <v>正常订单</v>
      </c>
      <c r="I10042" s="1" t="str">
        <f t="shared" si="2757"/>
        <v>已发货</v>
      </c>
      <c r="J10042" s="1" t="str">
        <f t="shared" ref="J10042:J10046" si="2761">"2"</f>
        <v>2</v>
      </c>
      <c r="K10042" s="1">
        <v>2</v>
      </c>
      <c r="L10042" s="1" t="s">
        <v>41</v>
      </c>
      <c r="M10042" s="1" t="str">
        <f>"湖北省 武汉市 洪山区 "</f>
        <v xml:space="preserve">湖北省 武汉市 洪山区 </v>
      </c>
      <c r="N10042" s="1" t="str">
        <f t="shared" si="2750"/>
        <v>凡华云仓-韵达-微信视频号</v>
      </c>
      <c r="O10042" s="5">
        <v>315011838777174</v>
      </c>
      <c r="P10042" s="6">
        <v>0.28000000000000003</v>
      </c>
      <c r="Q10042" s="11">
        <v>2</v>
      </c>
      <c r="R10042" s="11"/>
      <c r="S10042" s="11"/>
      <c r="T10042" s="11"/>
      <c r="U10042" s="11">
        <f t="shared" si="2746"/>
        <v>2</v>
      </c>
      <c r="W10042">
        <v>2.2000000000000002</v>
      </c>
      <c r="X10042" s="1" t="s">
        <v>41</v>
      </c>
    </row>
    <row r="10043" spans="1:24" x14ac:dyDescent="0.25">
      <c r="A10043" s="1" t="str">
        <f t="shared" si="2754"/>
        <v>卡卡杜-凤凰仓</v>
      </c>
      <c r="B10043" s="1" t="str">
        <f>"CK2024100310284"</f>
        <v>CK2024100310284</v>
      </c>
      <c r="C10043" s="1" t="str">
        <f>"DD2024100323958"</f>
        <v>DD2024100323958</v>
      </c>
      <c r="D10043" s="1" t="str">
        <f>"CK2024100324723"</f>
        <v>CK2024100324723</v>
      </c>
      <c r="E10043" s="1" t="str">
        <f>"3723048521615410688"</f>
        <v>3723048521615410688</v>
      </c>
      <c r="F10043" s="1" t="str">
        <f t="shared" si="2755"/>
        <v>花都四部-凤凰仓</v>
      </c>
      <c r="G10043" s="1" t="str">
        <f t="shared" si="2748"/>
        <v>卡卡杜企业店（视频号）</v>
      </c>
      <c r="H10043" s="1" t="str">
        <f t="shared" si="2756"/>
        <v>正常订单</v>
      </c>
      <c r="I10043" s="1" t="str">
        <f t="shared" si="2757"/>
        <v>已发货</v>
      </c>
      <c r="J10043" s="1" t="str">
        <f t="shared" si="2761"/>
        <v>2</v>
      </c>
      <c r="K10043" s="1">
        <v>2</v>
      </c>
      <c r="L10043" s="1" t="s">
        <v>74</v>
      </c>
      <c r="M10043" s="1" t="str">
        <f>"上海 上海市 闵行区 "</f>
        <v xml:space="preserve">上海 上海市 闵行区 </v>
      </c>
      <c r="N10043" s="1" t="str">
        <f t="shared" si="2750"/>
        <v>凡华云仓-韵达-微信视频号</v>
      </c>
      <c r="O10043" s="5">
        <v>315011838774753</v>
      </c>
      <c r="P10043" s="6">
        <v>0.28000000000000003</v>
      </c>
      <c r="Q10043" s="11">
        <v>2</v>
      </c>
      <c r="R10043" s="11"/>
      <c r="S10043" s="11"/>
      <c r="T10043" s="11"/>
      <c r="U10043" s="11">
        <f t="shared" si="2746"/>
        <v>2</v>
      </c>
      <c r="W10043">
        <v>2.2000000000000002</v>
      </c>
      <c r="X10043" s="1" t="s">
        <v>74</v>
      </c>
    </row>
    <row r="10044" spans="1:24" x14ac:dyDescent="0.25">
      <c r="A10044" s="1" t="str">
        <f t="shared" si="2754"/>
        <v>卡卡杜-凤凰仓</v>
      </c>
      <c r="B10044" s="1" t="str">
        <f>"CK2024100310285"</f>
        <v>CK2024100310285</v>
      </c>
      <c r="C10044" s="1" t="str">
        <f>"DD2024100323957"</f>
        <v>DD2024100323957</v>
      </c>
      <c r="D10044" s="1" t="str">
        <f>"CK2024100324722"</f>
        <v>CK2024100324722</v>
      </c>
      <c r="E10044" s="1" t="str">
        <f>"3723048502002844928"</f>
        <v>3723048502002844928</v>
      </c>
      <c r="F10044" s="1" t="str">
        <f t="shared" si="2755"/>
        <v>花都四部-凤凰仓</v>
      </c>
      <c r="G10044" s="1" t="str">
        <f t="shared" si="2748"/>
        <v>卡卡杜企业店（视频号）</v>
      </c>
      <c r="H10044" s="1" t="str">
        <f t="shared" si="2756"/>
        <v>正常订单</v>
      </c>
      <c r="I10044" s="1" t="str">
        <f t="shared" si="2757"/>
        <v>已发货</v>
      </c>
      <c r="J10044" s="1" t="str">
        <f t="shared" si="2761"/>
        <v>2</v>
      </c>
      <c r="K10044" s="1">
        <v>2</v>
      </c>
      <c r="L10044" s="1" t="s">
        <v>18</v>
      </c>
      <c r="M10044" s="1" t="str">
        <f>"广东省 佛山市 顺德区 "</f>
        <v xml:space="preserve">广东省 佛山市 顺德区 </v>
      </c>
      <c r="N10044" s="1" t="str">
        <f t="shared" si="2750"/>
        <v>凡华云仓-韵达-微信视频号</v>
      </c>
      <c r="O10044" s="5">
        <v>315011838772565</v>
      </c>
      <c r="P10044" s="6">
        <v>0.28000000000000003</v>
      </c>
      <c r="Q10044" s="11">
        <v>2</v>
      </c>
      <c r="R10044" s="11"/>
      <c r="S10044" s="11"/>
      <c r="T10044" s="11"/>
      <c r="U10044" s="11">
        <f t="shared" si="2746"/>
        <v>2</v>
      </c>
      <c r="W10044">
        <v>2.2000000000000002</v>
      </c>
      <c r="X10044" s="1" t="s">
        <v>18</v>
      </c>
    </row>
    <row r="10045" spans="1:24" x14ac:dyDescent="0.25">
      <c r="A10045" s="1" t="str">
        <f t="shared" si="2754"/>
        <v>卡卡杜-凤凰仓</v>
      </c>
      <c r="B10045" s="1" t="str">
        <f>"CK2024100310286"</f>
        <v>CK2024100310286</v>
      </c>
      <c r="C10045" s="1" t="str">
        <f>"DD2024100323959"</f>
        <v>DD2024100323959</v>
      </c>
      <c r="D10045" s="1" t="str">
        <f>"CK2024100324721"</f>
        <v>CK2024100324721</v>
      </c>
      <c r="E10045" s="1" t="str">
        <f>"3723048460657231360"</f>
        <v>3723048460657231360</v>
      </c>
      <c r="F10045" s="1" t="str">
        <f t="shared" si="2755"/>
        <v>花都四部-凤凰仓</v>
      </c>
      <c r="G10045" s="1" t="str">
        <f t="shared" si="2748"/>
        <v>卡卡杜企业店（视频号）</v>
      </c>
      <c r="H10045" s="1" t="str">
        <f t="shared" si="2756"/>
        <v>正常订单</v>
      </c>
      <c r="I10045" s="1" t="str">
        <f t="shared" si="2757"/>
        <v>已发货</v>
      </c>
      <c r="J10045" s="1" t="str">
        <f t="shared" si="2761"/>
        <v>2</v>
      </c>
      <c r="K10045" s="1">
        <v>2</v>
      </c>
      <c r="L10045" s="1" t="s">
        <v>74</v>
      </c>
      <c r="M10045" s="1" t="str">
        <f>"上海 上海市 宝山区 "</f>
        <v xml:space="preserve">上海 上海市 宝山区 </v>
      </c>
      <c r="N10045" s="1" t="str">
        <f t="shared" si="2750"/>
        <v>凡华云仓-韵达-微信视频号</v>
      </c>
      <c r="O10045" s="5">
        <v>315011838770488</v>
      </c>
      <c r="P10045" s="6">
        <v>0.28000000000000003</v>
      </c>
      <c r="Q10045" s="11">
        <v>2</v>
      </c>
      <c r="R10045" s="11"/>
      <c r="S10045" s="11"/>
      <c r="T10045" s="11"/>
      <c r="U10045" s="11">
        <f t="shared" si="2746"/>
        <v>2</v>
      </c>
      <c r="W10045">
        <v>2.2000000000000002</v>
      </c>
      <c r="X10045" s="1" t="s">
        <v>74</v>
      </c>
    </row>
    <row r="10046" spans="1:24" x14ac:dyDescent="0.25">
      <c r="A10046" s="1" t="str">
        <f t="shared" si="2754"/>
        <v>卡卡杜-凤凰仓</v>
      </c>
      <c r="B10046" s="1" t="str">
        <f>"CK2024100310287"</f>
        <v>CK2024100310287</v>
      </c>
      <c r="C10046" s="1" t="str">
        <f>"DD2024100323960"</f>
        <v>DD2024100323960</v>
      </c>
      <c r="D10046" s="1" t="str">
        <f>"CK2024100324720"</f>
        <v>CK2024100324720</v>
      </c>
      <c r="E10046" s="1" t="str">
        <f>"3723048450636514561"</f>
        <v>3723048450636514561</v>
      </c>
      <c r="F10046" s="1" t="str">
        <f t="shared" si="2755"/>
        <v>花都四部-凤凰仓</v>
      </c>
      <c r="G10046" s="1" t="str">
        <f t="shared" si="2748"/>
        <v>卡卡杜企业店（视频号）</v>
      </c>
      <c r="H10046" s="1" t="str">
        <f t="shared" si="2756"/>
        <v>正常订单</v>
      </c>
      <c r="I10046" s="1" t="str">
        <f t="shared" si="2757"/>
        <v>已发货</v>
      </c>
      <c r="J10046" s="1" t="str">
        <f t="shared" si="2761"/>
        <v>2</v>
      </c>
      <c r="K10046" s="1">
        <v>2</v>
      </c>
      <c r="L10046" s="1" t="s">
        <v>105</v>
      </c>
      <c r="M10046" s="1" t="str">
        <f>"北京 北京市 门头沟区 "</f>
        <v xml:space="preserve">北京 北京市 门头沟区 </v>
      </c>
      <c r="N10046" s="1" t="str">
        <f t="shared" si="2750"/>
        <v>凡华云仓-韵达-微信视频号</v>
      </c>
      <c r="O10046" s="5">
        <v>315011838818295</v>
      </c>
      <c r="P10046" s="6">
        <v>0.28000000000000003</v>
      </c>
      <c r="Q10046" s="11">
        <v>2</v>
      </c>
      <c r="R10046" s="11"/>
      <c r="S10046" s="11"/>
      <c r="T10046" s="11"/>
      <c r="U10046" s="11">
        <f t="shared" si="2746"/>
        <v>2</v>
      </c>
      <c r="W10046">
        <v>2.2000000000000002</v>
      </c>
      <c r="X10046" s="1" t="s">
        <v>105</v>
      </c>
    </row>
    <row r="10047" spans="1:24" x14ac:dyDescent="0.25">
      <c r="A10047" s="1" t="str">
        <f t="shared" si="2754"/>
        <v>卡卡杜-凤凰仓</v>
      </c>
      <c r="B10047" s="1" t="str">
        <f>"CK2024100310366"</f>
        <v>CK2024100310366</v>
      </c>
      <c r="C10047" s="1" t="str">
        <f>"DD2024100324407"</f>
        <v>DD2024100324407</v>
      </c>
      <c r="D10047" s="1" t="str">
        <f>"CK2024100324719"</f>
        <v>CK2024100324719</v>
      </c>
      <c r="E10047" s="1" t="str">
        <f>"3723048420265563136"</f>
        <v>3723048420265563136</v>
      </c>
      <c r="F10047" s="1" t="str">
        <f t="shared" si="2755"/>
        <v>花都四部-凤凰仓</v>
      </c>
      <c r="G10047" s="1" t="str">
        <f t="shared" si="2748"/>
        <v>卡卡杜企业店（视频号）</v>
      </c>
      <c r="H10047" s="1" t="str">
        <f t="shared" si="2756"/>
        <v>正常订单</v>
      </c>
      <c r="I10047" s="1" t="str">
        <f t="shared" si="2757"/>
        <v>已发货</v>
      </c>
      <c r="J10047" s="1" t="str">
        <f t="shared" ref="J10047:J10049" si="2762">"4"</f>
        <v>4</v>
      </c>
      <c r="K10047" s="1">
        <v>2</v>
      </c>
      <c r="L10047" s="1" t="s">
        <v>20</v>
      </c>
      <c r="M10047" s="1" t="str">
        <f>"浙江省 绍兴市 诸暨市 "</f>
        <v xml:space="preserve">浙江省 绍兴市 诸暨市 </v>
      </c>
      <c r="N10047" s="1" t="str">
        <f t="shared" si="2750"/>
        <v>凡华云仓-韵达-微信视频号</v>
      </c>
      <c r="O10047" s="5">
        <v>315011838816479</v>
      </c>
      <c r="P10047" s="6">
        <v>0.52</v>
      </c>
      <c r="Q10047" s="11">
        <f t="shared" ref="Q10047:Q10049" si="2763">CEILING(P10047-0.5,0.1)*10*0.15+2.3</f>
        <v>2.4499999999999997</v>
      </c>
      <c r="R10047" s="11"/>
      <c r="S10047" s="11"/>
      <c r="T10047" s="11"/>
      <c r="U10047" s="11">
        <f t="shared" si="2746"/>
        <v>2.4499999999999997</v>
      </c>
      <c r="V10047" t="s">
        <v>15</v>
      </c>
      <c r="W10047">
        <v>2.4500000000000002</v>
      </c>
      <c r="X10047" s="1" t="s">
        <v>20</v>
      </c>
    </row>
    <row r="10048" spans="1:24" x14ac:dyDescent="0.25">
      <c r="A10048" s="1" t="str">
        <f t="shared" si="2754"/>
        <v>卡卡杜-凤凰仓</v>
      </c>
      <c r="B10048" s="1" t="str">
        <f>"CK2024100310367"</f>
        <v>CK2024100310367</v>
      </c>
      <c r="C10048" s="1" t="str">
        <f>"DD2024100324406"</f>
        <v>DD2024100324406</v>
      </c>
      <c r="D10048" s="1" t="str">
        <f>"CK2024100324718"</f>
        <v>CK2024100324718</v>
      </c>
      <c r="E10048" s="1" t="str">
        <f>"3723048335232865280"</f>
        <v>3723048335232865280</v>
      </c>
      <c r="F10048" s="1" t="str">
        <f t="shared" si="2755"/>
        <v>花都四部-凤凰仓</v>
      </c>
      <c r="G10048" s="1" t="str">
        <f t="shared" si="2748"/>
        <v>卡卡杜企业店（视频号）</v>
      </c>
      <c r="H10048" s="1" t="str">
        <f t="shared" si="2756"/>
        <v>正常订单</v>
      </c>
      <c r="I10048" s="1" t="str">
        <f t="shared" si="2757"/>
        <v>已发货</v>
      </c>
      <c r="J10048" s="1" t="str">
        <f t="shared" si="2762"/>
        <v>4</v>
      </c>
      <c r="K10048" s="1">
        <v>2</v>
      </c>
      <c r="L10048" s="1" t="s">
        <v>74</v>
      </c>
      <c r="M10048" s="1" t="str">
        <f>"上海 上海市 普陀区 "</f>
        <v xml:space="preserve">上海 上海市 普陀区 </v>
      </c>
      <c r="N10048" s="1" t="str">
        <f t="shared" si="2750"/>
        <v>凡华云仓-韵达-微信视频号</v>
      </c>
      <c r="O10048" s="5">
        <v>315011838814580</v>
      </c>
      <c r="P10048" s="6">
        <v>0.52</v>
      </c>
      <c r="Q10048" s="11">
        <f t="shared" si="2763"/>
        <v>2.4499999999999997</v>
      </c>
      <c r="R10048" s="11"/>
      <c r="S10048" s="11"/>
      <c r="T10048" s="11"/>
      <c r="U10048" s="11">
        <f t="shared" si="2746"/>
        <v>2.4499999999999997</v>
      </c>
      <c r="V10048" t="s">
        <v>15</v>
      </c>
      <c r="W10048">
        <v>2.4500000000000002</v>
      </c>
      <c r="X10048" s="1" t="s">
        <v>74</v>
      </c>
    </row>
    <row r="10049" spans="1:24" x14ac:dyDescent="0.25">
      <c r="A10049" s="1" t="str">
        <f t="shared" si="2754"/>
        <v>卡卡杜-凤凰仓</v>
      </c>
      <c r="B10049" s="1" t="str">
        <f>"CK2024100310368"</f>
        <v>CK2024100310368</v>
      </c>
      <c r="C10049" s="1" t="str">
        <f>"DD2024100324408"</f>
        <v>DD2024100324408</v>
      </c>
      <c r="D10049" s="1" t="str">
        <f>"CK2024100324717"</f>
        <v>CK2024100324717</v>
      </c>
      <c r="E10049" s="1" t="str">
        <f>"3723048218951550208"</f>
        <v>3723048218951550208</v>
      </c>
      <c r="F10049" s="1" t="str">
        <f t="shared" si="2755"/>
        <v>花都四部-凤凰仓</v>
      </c>
      <c r="G10049" s="1" t="str">
        <f t="shared" si="2748"/>
        <v>卡卡杜企业店（视频号）</v>
      </c>
      <c r="H10049" s="1" t="str">
        <f t="shared" si="2756"/>
        <v>正常订单</v>
      </c>
      <c r="I10049" s="1" t="str">
        <f t="shared" si="2757"/>
        <v>已发货</v>
      </c>
      <c r="J10049" s="1" t="str">
        <f t="shared" si="2762"/>
        <v>4</v>
      </c>
      <c r="K10049" s="1">
        <v>2</v>
      </c>
      <c r="L10049" s="1" t="s">
        <v>18</v>
      </c>
      <c r="M10049" s="1" t="str">
        <f>"广东省 揭阳市 普宁市 "</f>
        <v xml:space="preserve">广东省 揭阳市 普宁市 </v>
      </c>
      <c r="N10049" s="1" t="str">
        <f t="shared" si="2750"/>
        <v>凡华云仓-韵达-微信视频号</v>
      </c>
      <c r="O10049" s="5">
        <v>315011838811701</v>
      </c>
      <c r="P10049" s="6">
        <v>0.52</v>
      </c>
      <c r="Q10049" s="11">
        <f t="shared" si="2763"/>
        <v>2.4499999999999997</v>
      </c>
      <c r="R10049" s="11"/>
      <c r="S10049" s="11"/>
      <c r="T10049" s="11"/>
      <c r="U10049" s="11">
        <f t="shared" si="2746"/>
        <v>2.4499999999999997</v>
      </c>
      <c r="V10049" t="s">
        <v>15</v>
      </c>
      <c r="W10049">
        <v>2.4500000000000002</v>
      </c>
      <c r="X10049" s="1" t="s">
        <v>18</v>
      </c>
    </row>
    <row r="10050" spans="1:24" x14ac:dyDescent="0.25">
      <c r="A10050" s="1" t="str">
        <f t="shared" si="2754"/>
        <v>卡卡杜-凤凰仓</v>
      </c>
      <c r="B10050" s="1" t="str">
        <f>"CK2024100310288"</f>
        <v>CK2024100310288</v>
      </c>
      <c r="C10050" s="1" t="str">
        <f>"DD2024100323961"</f>
        <v>DD2024100323961</v>
      </c>
      <c r="D10050" s="1" t="str">
        <f>"CK2024100324716"</f>
        <v>CK2024100324716</v>
      </c>
      <c r="E10050" s="1" t="str">
        <f>"3723048172106159104"</f>
        <v>3723048172106159104</v>
      </c>
      <c r="F10050" s="1" t="str">
        <f t="shared" si="2755"/>
        <v>花都四部-凤凰仓</v>
      </c>
      <c r="G10050" s="1" t="str">
        <f t="shared" si="2748"/>
        <v>卡卡杜企业店（视频号）</v>
      </c>
      <c r="H10050" s="1" t="str">
        <f t="shared" si="2756"/>
        <v>正常订单</v>
      </c>
      <c r="I10050" s="1" t="str">
        <f t="shared" si="2757"/>
        <v>已发货</v>
      </c>
      <c r="J10050" s="1" t="str">
        <f t="shared" ref="J10050:J10055" si="2764">"2"</f>
        <v>2</v>
      </c>
      <c r="K10050" s="1">
        <v>2</v>
      </c>
      <c r="L10050" s="1" t="s">
        <v>18</v>
      </c>
      <c r="M10050" s="1" t="str">
        <f>"广东省 深圳市 罗湖区 "</f>
        <v xml:space="preserve">广东省 深圳市 罗湖区 </v>
      </c>
      <c r="N10050" s="1" t="str">
        <f t="shared" si="2750"/>
        <v>凡华云仓-韵达-微信视频号</v>
      </c>
      <c r="O10050" s="5">
        <v>315011838809031</v>
      </c>
      <c r="P10050" s="6">
        <v>0.28000000000000003</v>
      </c>
      <c r="Q10050" s="11">
        <v>2</v>
      </c>
      <c r="R10050" s="11"/>
      <c r="S10050" s="11"/>
      <c r="T10050" s="11"/>
      <c r="U10050" s="11">
        <f t="shared" si="2746"/>
        <v>2</v>
      </c>
      <c r="W10050">
        <v>2.2000000000000002</v>
      </c>
      <c r="X10050" s="1" t="s">
        <v>18</v>
      </c>
    </row>
    <row r="10051" spans="1:24" x14ac:dyDescent="0.25">
      <c r="A10051" s="1" t="str">
        <f t="shared" si="2754"/>
        <v>卡卡杜-凤凰仓</v>
      </c>
      <c r="B10051" s="1" t="str">
        <f>"CK2024100310289"</f>
        <v>CK2024100310289</v>
      </c>
      <c r="C10051" s="1" t="str">
        <f>"DD2024100323962"</f>
        <v>DD2024100323962</v>
      </c>
      <c r="D10051" s="1" t="str">
        <f>"CK2024100324715"</f>
        <v>CK2024100324715</v>
      </c>
      <c r="E10051" s="1" t="str">
        <f>"3723048110476628992"</f>
        <v>3723048110476628992</v>
      </c>
      <c r="F10051" s="1" t="str">
        <f t="shared" si="2755"/>
        <v>花都四部-凤凰仓</v>
      </c>
      <c r="G10051" s="1" t="str">
        <f t="shared" si="2748"/>
        <v>卡卡杜企业店（视频号）</v>
      </c>
      <c r="H10051" s="1" t="str">
        <f t="shared" si="2756"/>
        <v>正常订单</v>
      </c>
      <c r="I10051" s="1" t="str">
        <f t="shared" si="2757"/>
        <v>已发货</v>
      </c>
      <c r="J10051" s="1" t="str">
        <f t="shared" si="2764"/>
        <v>2</v>
      </c>
      <c r="K10051" s="1">
        <v>2</v>
      </c>
      <c r="L10051" s="1" t="s">
        <v>105</v>
      </c>
      <c r="M10051" s="1" t="str">
        <f>"北京 北京市 海淀区 "</f>
        <v xml:space="preserve">北京 北京市 海淀区 </v>
      </c>
      <c r="N10051" s="1" t="str">
        <f t="shared" si="2750"/>
        <v>凡华云仓-韵达-微信视频号</v>
      </c>
      <c r="O10051" s="5">
        <v>315011838806022</v>
      </c>
      <c r="P10051" s="6">
        <v>0.28000000000000003</v>
      </c>
      <c r="Q10051" s="11">
        <v>2</v>
      </c>
      <c r="R10051" s="11"/>
      <c r="S10051" s="11"/>
      <c r="T10051" s="11"/>
      <c r="U10051" s="11">
        <f t="shared" ref="U10051:U10114" si="2765">T10051+S10051+R10051+Q10051</f>
        <v>2</v>
      </c>
      <c r="W10051">
        <v>2.2000000000000002</v>
      </c>
      <c r="X10051" s="1" t="s">
        <v>105</v>
      </c>
    </row>
    <row r="10052" spans="1:24" x14ac:dyDescent="0.25">
      <c r="A10052" s="1" t="str">
        <f t="shared" si="2754"/>
        <v>卡卡杜-凤凰仓</v>
      </c>
      <c r="B10052" s="1" t="str">
        <f>"CK2024100310369"</f>
        <v>CK2024100310369</v>
      </c>
      <c r="C10052" s="1" t="str">
        <f>"DD2024100324409"</f>
        <v>DD2024100324409</v>
      </c>
      <c r="D10052" s="1" t="str">
        <f>"CK2024100324714"</f>
        <v>CK2024100324714</v>
      </c>
      <c r="E10052" s="1" t="str">
        <f>"3723048019748324864"</f>
        <v>3723048019748324864</v>
      </c>
      <c r="F10052" s="1" t="str">
        <f t="shared" si="2755"/>
        <v>花都四部-凤凰仓</v>
      </c>
      <c r="G10052" s="1" t="str">
        <f t="shared" si="2748"/>
        <v>卡卡杜企业店（视频号）</v>
      </c>
      <c r="H10052" s="1" t="str">
        <f t="shared" si="2756"/>
        <v>正常订单</v>
      </c>
      <c r="I10052" s="1" t="str">
        <f t="shared" si="2757"/>
        <v>已发货</v>
      </c>
      <c r="J10052" s="1" t="str">
        <f t="shared" ref="J10052:J10057" si="2766">"4"</f>
        <v>4</v>
      </c>
      <c r="K10052" s="1">
        <v>2</v>
      </c>
      <c r="L10052" s="1" t="s">
        <v>18</v>
      </c>
      <c r="M10052" s="1" t="str">
        <f>"广东省 韶关市 武江区 "</f>
        <v xml:space="preserve">广东省 韶关市 武江区 </v>
      </c>
      <c r="N10052" s="1" t="str">
        <f t="shared" si="2750"/>
        <v>凡华云仓-韵达-微信视频号</v>
      </c>
      <c r="O10052" s="5">
        <v>315011838802406</v>
      </c>
      <c r="P10052" s="6">
        <v>0.52</v>
      </c>
      <c r="Q10052" s="11">
        <f t="shared" ref="Q10052:Q10057" si="2767">CEILING(P10052-0.5,0.1)*10*0.15+2.3</f>
        <v>2.4499999999999997</v>
      </c>
      <c r="R10052" s="11"/>
      <c r="S10052" s="11"/>
      <c r="T10052" s="11"/>
      <c r="U10052" s="11">
        <f t="shared" si="2765"/>
        <v>2.4499999999999997</v>
      </c>
      <c r="V10052" t="s">
        <v>15</v>
      </c>
      <c r="W10052">
        <v>2.4500000000000002</v>
      </c>
      <c r="X10052" s="1" t="s">
        <v>18</v>
      </c>
    </row>
    <row r="10053" spans="1:24" x14ac:dyDescent="0.25">
      <c r="A10053" s="1" t="str">
        <f t="shared" si="2754"/>
        <v>卡卡杜-凤凰仓</v>
      </c>
      <c r="B10053" s="1" t="str">
        <f>"CK2024100310291"</f>
        <v>CK2024100310291</v>
      </c>
      <c r="C10053" s="1" t="str">
        <f>"DD2024100323965"</f>
        <v>DD2024100323965</v>
      </c>
      <c r="D10053" s="1" t="str">
        <f>"CK2024100324713"</f>
        <v>CK2024100324713</v>
      </c>
      <c r="E10053" s="1" t="str">
        <f>"3723047881106916608"</f>
        <v>3723047881106916608</v>
      </c>
      <c r="F10053" s="1" t="str">
        <f t="shared" si="2755"/>
        <v>花都四部-凤凰仓</v>
      </c>
      <c r="G10053" s="1" t="str">
        <f t="shared" si="2748"/>
        <v>卡卡杜企业店（视频号）</v>
      </c>
      <c r="H10053" s="1" t="str">
        <f t="shared" si="2756"/>
        <v>正常订单</v>
      </c>
      <c r="I10053" s="1" t="str">
        <f t="shared" si="2757"/>
        <v>已发货</v>
      </c>
      <c r="J10053" s="1" t="str">
        <f t="shared" si="2764"/>
        <v>2</v>
      </c>
      <c r="K10053" s="1">
        <v>2</v>
      </c>
      <c r="L10053" s="1" t="s">
        <v>18</v>
      </c>
      <c r="M10053" s="1" t="str">
        <f>"广东省 广州市 海珠区 "</f>
        <v xml:space="preserve">广东省 广州市 海珠区 </v>
      </c>
      <c r="N10053" s="1" t="str">
        <f t="shared" si="2750"/>
        <v>凡华云仓-韵达-微信视频号</v>
      </c>
      <c r="O10053" s="5">
        <v>315011838798761</v>
      </c>
      <c r="P10053" s="6">
        <v>0.28000000000000003</v>
      </c>
      <c r="Q10053" s="11">
        <v>2</v>
      </c>
      <c r="R10053" s="11"/>
      <c r="S10053" s="11"/>
      <c r="T10053" s="11"/>
      <c r="U10053" s="11">
        <f t="shared" si="2765"/>
        <v>2</v>
      </c>
      <c r="W10053">
        <v>2.2000000000000002</v>
      </c>
      <c r="X10053" s="1" t="s">
        <v>18</v>
      </c>
    </row>
    <row r="10054" spans="1:24" x14ac:dyDescent="0.25">
      <c r="A10054" s="1" t="str">
        <f t="shared" si="2754"/>
        <v>卡卡杜-凤凰仓</v>
      </c>
      <c r="B10054" s="1" t="str">
        <f>"CK2024100310292"</f>
        <v>CK2024100310292</v>
      </c>
      <c r="C10054" s="1" t="str">
        <f>"DD2024100323964"</f>
        <v>DD2024100323964</v>
      </c>
      <c r="D10054" s="1" t="str">
        <f>"CK2024100324712"</f>
        <v>CK2024100324712</v>
      </c>
      <c r="E10054" s="1" t="str">
        <f>"3723047842028586496"</f>
        <v>3723047842028586496</v>
      </c>
      <c r="F10054" s="1" t="str">
        <f t="shared" si="2755"/>
        <v>花都四部-凤凰仓</v>
      </c>
      <c r="G10054" s="1" t="str">
        <f t="shared" si="2748"/>
        <v>卡卡杜企业店（视频号）</v>
      </c>
      <c r="H10054" s="1" t="str">
        <f t="shared" si="2756"/>
        <v>正常订单</v>
      </c>
      <c r="I10054" s="1" t="str">
        <f t="shared" si="2757"/>
        <v>已发货</v>
      </c>
      <c r="J10054" s="1" t="str">
        <f t="shared" si="2764"/>
        <v>2</v>
      </c>
      <c r="K10054" s="1">
        <v>2</v>
      </c>
      <c r="L10054" s="1" t="s">
        <v>18</v>
      </c>
      <c r="M10054" s="1" t="str">
        <f>"广东省 广州市 白云区 "</f>
        <v xml:space="preserve">广东省 广州市 白云区 </v>
      </c>
      <c r="N10054" s="1" t="str">
        <f t="shared" si="2750"/>
        <v>凡华云仓-韵达-微信视频号</v>
      </c>
      <c r="O10054" s="5">
        <v>315011838795657</v>
      </c>
      <c r="P10054" s="6">
        <v>0.28000000000000003</v>
      </c>
      <c r="Q10054" s="11">
        <v>2</v>
      </c>
      <c r="R10054" s="11"/>
      <c r="S10054" s="11"/>
      <c r="T10054" s="11"/>
      <c r="U10054" s="11">
        <f t="shared" si="2765"/>
        <v>2</v>
      </c>
      <c r="W10054">
        <v>2.2000000000000002</v>
      </c>
      <c r="X10054" s="1" t="s">
        <v>18</v>
      </c>
    </row>
    <row r="10055" spans="1:24" x14ac:dyDescent="0.25">
      <c r="A10055" s="1" t="str">
        <f t="shared" si="2754"/>
        <v>卡卡杜-凤凰仓</v>
      </c>
      <c r="B10055" s="1" t="str">
        <f>"CK2024100310293"</f>
        <v>CK2024100310293</v>
      </c>
      <c r="C10055" s="1" t="str">
        <f>"DD2024100323966"</f>
        <v>DD2024100323966</v>
      </c>
      <c r="D10055" s="1" t="str">
        <f>"CK2024100324711"</f>
        <v>CK2024100324711</v>
      </c>
      <c r="E10055" s="1" t="str">
        <f>"3723047828694634496"</f>
        <v>3723047828694634496</v>
      </c>
      <c r="F10055" s="1" t="str">
        <f t="shared" si="2755"/>
        <v>花都四部-凤凰仓</v>
      </c>
      <c r="G10055" s="1" t="str">
        <f t="shared" si="2748"/>
        <v>卡卡杜企业店（视频号）</v>
      </c>
      <c r="H10055" s="1" t="str">
        <f t="shared" si="2756"/>
        <v>正常订单</v>
      </c>
      <c r="I10055" s="1" t="str">
        <f t="shared" si="2757"/>
        <v>已发货</v>
      </c>
      <c r="J10055" s="1" t="str">
        <f t="shared" si="2764"/>
        <v>2</v>
      </c>
      <c r="K10055" s="1">
        <v>2</v>
      </c>
      <c r="L10055" s="1" t="s">
        <v>30</v>
      </c>
      <c r="M10055" s="1" t="str">
        <f>"山东省 济南市 市中区 "</f>
        <v xml:space="preserve">山东省 济南市 市中区 </v>
      </c>
      <c r="N10055" s="1" t="str">
        <f t="shared" si="2750"/>
        <v>凡华云仓-韵达-微信视频号</v>
      </c>
      <c r="O10055" s="5">
        <v>315011838792381</v>
      </c>
      <c r="P10055" s="6">
        <v>0.28000000000000003</v>
      </c>
      <c r="Q10055" s="11">
        <v>2</v>
      </c>
      <c r="R10055" s="11"/>
      <c r="S10055" s="11"/>
      <c r="T10055" s="11"/>
      <c r="U10055" s="11">
        <f t="shared" si="2765"/>
        <v>2</v>
      </c>
      <c r="W10055">
        <v>2.2000000000000002</v>
      </c>
      <c r="X10055" s="1" t="s">
        <v>30</v>
      </c>
    </row>
    <row r="10056" spans="1:24" x14ac:dyDescent="0.25">
      <c r="A10056" s="1" t="str">
        <f t="shared" si="2754"/>
        <v>卡卡杜-凤凰仓</v>
      </c>
      <c r="B10056" s="1" t="str">
        <f>"CK2024100310370"</f>
        <v>CK2024100310370</v>
      </c>
      <c r="C10056" s="1" t="str">
        <f>"DD2024100324405"</f>
        <v>DD2024100324405</v>
      </c>
      <c r="D10056" s="1" t="str">
        <f>"CK2024100324710"</f>
        <v>CK2024100324710</v>
      </c>
      <c r="E10056" s="1" t="str">
        <f>"3723047749302489088"</f>
        <v>3723047749302489088</v>
      </c>
      <c r="F10056" s="1" t="str">
        <f t="shared" si="2755"/>
        <v>花都四部-凤凰仓</v>
      </c>
      <c r="G10056" s="1" t="str">
        <f t="shared" si="2748"/>
        <v>卡卡杜企业店（视频号）</v>
      </c>
      <c r="H10056" s="1" t="str">
        <f t="shared" si="2756"/>
        <v>正常订单</v>
      </c>
      <c r="I10056" s="1" t="str">
        <f t="shared" si="2757"/>
        <v>已发货</v>
      </c>
      <c r="J10056" s="1" t="str">
        <f t="shared" si="2766"/>
        <v>4</v>
      </c>
      <c r="K10056" s="1">
        <v>2</v>
      </c>
      <c r="L10056" s="1" t="s">
        <v>44</v>
      </c>
      <c r="M10056" s="1" t="str">
        <f>"海南省 海口市 秀英区 "</f>
        <v xml:space="preserve">海南省 海口市 秀英区 </v>
      </c>
      <c r="N10056" s="1" t="str">
        <f t="shared" si="2750"/>
        <v>凡华云仓-韵达-微信视频号</v>
      </c>
      <c r="O10056" s="5">
        <v>315011824678094</v>
      </c>
      <c r="P10056" s="6">
        <v>0.52</v>
      </c>
      <c r="Q10056" s="11">
        <f t="shared" si="2767"/>
        <v>2.4499999999999997</v>
      </c>
      <c r="R10056" s="11"/>
      <c r="S10056" s="11"/>
      <c r="T10056" s="11"/>
      <c r="U10056" s="11">
        <f t="shared" si="2765"/>
        <v>2.4499999999999997</v>
      </c>
      <c r="V10056" t="s">
        <v>15</v>
      </c>
      <c r="W10056">
        <v>2.4500000000000002</v>
      </c>
      <c r="X10056" s="1" t="s">
        <v>44</v>
      </c>
    </row>
    <row r="10057" spans="1:24" x14ac:dyDescent="0.25">
      <c r="A10057" s="1" t="str">
        <f t="shared" si="2754"/>
        <v>卡卡杜-凤凰仓</v>
      </c>
      <c r="B10057" s="1" t="str">
        <f>"CK2024100310371"</f>
        <v>CK2024100310371</v>
      </c>
      <c r="C10057" s="1" t="str">
        <f>"DD2024100324410"</f>
        <v>DD2024100324410</v>
      </c>
      <c r="D10057" s="1" t="str">
        <f>"CK2024100324709"</f>
        <v>CK2024100324709</v>
      </c>
      <c r="E10057" s="1" t="str">
        <f>"3723047696032992256"</f>
        <v>3723047696032992256</v>
      </c>
      <c r="F10057" s="1" t="str">
        <f t="shared" si="2755"/>
        <v>花都四部-凤凰仓</v>
      </c>
      <c r="G10057" s="1" t="str">
        <f t="shared" si="2748"/>
        <v>卡卡杜企业店（视频号）</v>
      </c>
      <c r="H10057" s="1" t="str">
        <f t="shared" si="2756"/>
        <v>正常订单</v>
      </c>
      <c r="I10057" s="1" t="str">
        <f t="shared" si="2757"/>
        <v>已发货</v>
      </c>
      <c r="J10057" s="1" t="str">
        <f t="shared" si="2766"/>
        <v>4</v>
      </c>
      <c r="K10057" s="1">
        <v>2</v>
      </c>
      <c r="L10057" s="1" t="s">
        <v>94</v>
      </c>
      <c r="M10057" s="1" t="str">
        <f>"湖南省 株洲市 石峰区 "</f>
        <v xml:space="preserve">湖南省 株洲市 石峰区 </v>
      </c>
      <c r="N10057" s="1" t="str">
        <f t="shared" si="2750"/>
        <v>凡华云仓-韵达-微信视频号</v>
      </c>
      <c r="O10057" s="5">
        <v>315011824672286</v>
      </c>
      <c r="P10057" s="6">
        <v>0.52</v>
      </c>
      <c r="Q10057" s="11">
        <f t="shared" si="2767"/>
        <v>2.4499999999999997</v>
      </c>
      <c r="R10057" s="11"/>
      <c r="S10057" s="11"/>
      <c r="T10057" s="11"/>
      <c r="U10057" s="11">
        <f t="shared" si="2765"/>
        <v>2.4499999999999997</v>
      </c>
      <c r="V10057" t="s">
        <v>15</v>
      </c>
      <c r="W10057">
        <v>2.4500000000000002</v>
      </c>
      <c r="X10057" s="1" t="s">
        <v>94</v>
      </c>
    </row>
    <row r="10058" spans="1:24" x14ac:dyDescent="0.25">
      <c r="A10058" s="1" t="str">
        <f t="shared" si="2754"/>
        <v>卡卡杜-凤凰仓</v>
      </c>
      <c r="B10058" s="1" t="str">
        <f>"CK2024100310295"</f>
        <v>CK2024100310295</v>
      </c>
      <c r="C10058" s="1" t="str">
        <f>"DD2024100323968"</f>
        <v>DD2024100323968</v>
      </c>
      <c r="D10058" s="1" t="str">
        <f>"CK2024100324708"</f>
        <v>CK2024100324708</v>
      </c>
      <c r="E10058" s="1" t="str">
        <f>"3723047568947941376"</f>
        <v>3723047568947941376</v>
      </c>
      <c r="F10058" s="1" t="str">
        <f t="shared" si="2755"/>
        <v>花都四部-凤凰仓</v>
      </c>
      <c r="G10058" s="1" t="str">
        <f t="shared" si="2748"/>
        <v>卡卡杜企业店（视频号）</v>
      </c>
      <c r="H10058" s="1" t="str">
        <f t="shared" si="2756"/>
        <v>正常订单</v>
      </c>
      <c r="I10058" s="1" t="str">
        <f t="shared" si="2757"/>
        <v>已发货</v>
      </c>
      <c r="J10058" s="1" t="str">
        <f t="shared" ref="J10058:J10061" si="2768">"2"</f>
        <v>2</v>
      </c>
      <c r="K10058" s="1">
        <v>2</v>
      </c>
      <c r="L10058" s="1" t="s">
        <v>13</v>
      </c>
      <c r="M10058" s="1" t="str">
        <f>"江苏省 无锡市 锡山区 "</f>
        <v xml:space="preserve">江苏省 无锡市 锡山区 </v>
      </c>
      <c r="N10058" s="1" t="str">
        <f t="shared" si="2750"/>
        <v>凡华云仓-韵达-微信视频号</v>
      </c>
      <c r="O10058" s="5">
        <v>315011824670206</v>
      </c>
      <c r="P10058" s="6">
        <v>0.28000000000000003</v>
      </c>
      <c r="Q10058" s="11">
        <v>2</v>
      </c>
      <c r="R10058" s="11"/>
      <c r="S10058" s="11"/>
      <c r="T10058" s="11"/>
      <c r="U10058" s="11">
        <f t="shared" si="2765"/>
        <v>2</v>
      </c>
      <c r="W10058">
        <v>2.2000000000000002</v>
      </c>
      <c r="X10058" s="1" t="s">
        <v>13</v>
      </c>
    </row>
    <row r="10059" spans="1:24" x14ac:dyDescent="0.25">
      <c r="A10059" s="1" t="str">
        <f t="shared" si="2754"/>
        <v>卡卡杜-凤凰仓</v>
      </c>
      <c r="B10059" s="1" t="str">
        <f>"CK2024100310296"</f>
        <v>CK2024100310296</v>
      </c>
      <c r="C10059" s="1" t="str">
        <f>"DD2024100323972"</f>
        <v>DD2024100323972</v>
      </c>
      <c r="D10059" s="1" t="str">
        <f>"CK2024100324707"</f>
        <v>CK2024100324707</v>
      </c>
      <c r="E10059" s="1" t="str">
        <f>"3723047531792961536"</f>
        <v>3723047531792961536</v>
      </c>
      <c r="F10059" s="1" t="str">
        <f t="shared" si="2755"/>
        <v>花都四部-凤凰仓</v>
      </c>
      <c r="G10059" s="1" t="str">
        <f t="shared" si="2748"/>
        <v>卡卡杜企业店（视频号）</v>
      </c>
      <c r="H10059" s="1" t="str">
        <f t="shared" si="2756"/>
        <v>正常订单</v>
      </c>
      <c r="I10059" s="1" t="str">
        <f t="shared" si="2757"/>
        <v>已发货</v>
      </c>
      <c r="J10059" s="1" t="str">
        <f t="shared" si="2768"/>
        <v>2</v>
      </c>
      <c r="K10059" s="1">
        <v>2</v>
      </c>
      <c r="L10059" s="1" t="s">
        <v>105</v>
      </c>
      <c r="M10059" s="1" t="str">
        <f>"北京 北京市 朝阳区 "</f>
        <v xml:space="preserve">北京 北京市 朝阳区 </v>
      </c>
      <c r="N10059" s="1" t="str">
        <f t="shared" si="2750"/>
        <v>凡华云仓-韵达-微信视频号</v>
      </c>
      <c r="O10059" s="5">
        <v>315011824667555</v>
      </c>
      <c r="P10059" s="6">
        <v>0.28000000000000003</v>
      </c>
      <c r="Q10059" s="11">
        <v>2</v>
      </c>
      <c r="R10059" s="11"/>
      <c r="S10059" s="11"/>
      <c r="T10059" s="11"/>
      <c r="U10059" s="11">
        <f t="shared" si="2765"/>
        <v>2</v>
      </c>
      <c r="W10059">
        <v>2.2000000000000002</v>
      </c>
      <c r="X10059" s="1" t="s">
        <v>105</v>
      </c>
    </row>
    <row r="10060" spans="1:24" x14ac:dyDescent="0.25">
      <c r="A10060" s="1" t="str">
        <f t="shared" si="2754"/>
        <v>卡卡杜-凤凰仓</v>
      </c>
      <c r="B10060" s="1" t="str">
        <f>"CK2024100310372"</f>
        <v>CK2024100310372</v>
      </c>
      <c r="C10060" s="1" t="str">
        <f>"DD2024100324411"</f>
        <v>DD2024100324411</v>
      </c>
      <c r="D10060" s="1" t="str">
        <f>"CK2024100324706"</f>
        <v>CK2024100324706</v>
      </c>
      <c r="E10060" s="1" t="str">
        <f>"3723047490068546816"</f>
        <v>3723047490068546816</v>
      </c>
      <c r="F10060" s="1" t="str">
        <f t="shared" si="2755"/>
        <v>花都四部-凤凰仓</v>
      </c>
      <c r="G10060" s="1" t="str">
        <f t="shared" si="2748"/>
        <v>卡卡杜企业店（视频号）</v>
      </c>
      <c r="H10060" s="1" t="str">
        <f t="shared" si="2756"/>
        <v>正常订单</v>
      </c>
      <c r="I10060" s="1" t="str">
        <f t="shared" si="2757"/>
        <v>已发货</v>
      </c>
      <c r="J10060" s="1" t="str">
        <f>"4"</f>
        <v>4</v>
      </c>
      <c r="K10060" s="1">
        <v>2</v>
      </c>
      <c r="L10060" s="1" t="s">
        <v>18</v>
      </c>
      <c r="M10060" s="1" t="str">
        <f>"广东省 广州市 天河区 "</f>
        <v xml:space="preserve">广东省 广州市 天河区 </v>
      </c>
      <c r="N10060" s="1" t="str">
        <f t="shared" si="2750"/>
        <v>凡华云仓-韵达-微信视频号</v>
      </c>
      <c r="O10060" s="5">
        <v>315011824664182</v>
      </c>
      <c r="P10060" s="6">
        <v>0.52</v>
      </c>
      <c r="Q10060" s="11">
        <f>CEILING(P10060-0.5,0.1)*10*0.15+2.3</f>
        <v>2.4499999999999997</v>
      </c>
      <c r="R10060" s="11"/>
      <c r="S10060" s="11"/>
      <c r="T10060" s="11"/>
      <c r="U10060" s="11">
        <f t="shared" si="2765"/>
        <v>2.4499999999999997</v>
      </c>
      <c r="V10060" t="s">
        <v>15</v>
      </c>
      <c r="W10060">
        <v>2.4500000000000002</v>
      </c>
      <c r="X10060" s="1" t="s">
        <v>18</v>
      </c>
    </row>
    <row r="10061" spans="1:24" x14ac:dyDescent="0.25">
      <c r="A10061" s="1" t="str">
        <f t="shared" si="2754"/>
        <v>卡卡杜-凤凰仓</v>
      </c>
      <c r="B10061" s="1" t="str">
        <f>"CK2024100310297"</f>
        <v>CK2024100310297</v>
      </c>
      <c r="C10061" s="1" t="str">
        <f>"DD2024100323969"</f>
        <v>DD2024100323969</v>
      </c>
      <c r="D10061" s="1" t="str">
        <f>"CK2024100324705"</f>
        <v>CK2024100324705</v>
      </c>
      <c r="E10061" s="1" t="str">
        <f>"3723047481798428160"</f>
        <v>3723047481798428160</v>
      </c>
      <c r="F10061" s="1" t="str">
        <f t="shared" si="2755"/>
        <v>花都四部-凤凰仓</v>
      </c>
      <c r="G10061" s="1" t="str">
        <f t="shared" si="2748"/>
        <v>卡卡杜企业店（视频号）</v>
      </c>
      <c r="H10061" s="1" t="str">
        <f t="shared" si="2756"/>
        <v>正常订单</v>
      </c>
      <c r="I10061" s="1" t="str">
        <f t="shared" si="2757"/>
        <v>已发货</v>
      </c>
      <c r="J10061" s="1" t="str">
        <f t="shared" si="2768"/>
        <v>2</v>
      </c>
      <c r="K10061" s="1">
        <v>2</v>
      </c>
      <c r="L10061" s="1" t="s">
        <v>105</v>
      </c>
      <c r="M10061" s="1" t="str">
        <f>"北京 北京市 丰台区 "</f>
        <v xml:space="preserve">北京 北京市 丰台区 </v>
      </c>
      <c r="N10061" s="1" t="str">
        <f t="shared" si="2750"/>
        <v>凡华云仓-韵达-微信视频号</v>
      </c>
      <c r="O10061" s="5">
        <v>315011824660590</v>
      </c>
      <c r="P10061" s="6">
        <v>0.28000000000000003</v>
      </c>
      <c r="Q10061" s="11">
        <v>2</v>
      </c>
      <c r="R10061" s="11"/>
      <c r="S10061" s="11"/>
      <c r="T10061" s="11"/>
      <c r="U10061" s="11">
        <f t="shared" si="2765"/>
        <v>2</v>
      </c>
      <c r="W10061">
        <v>2.2000000000000002</v>
      </c>
      <c r="X10061" s="1" t="s">
        <v>105</v>
      </c>
    </row>
    <row r="10062" spans="1:24" x14ac:dyDescent="0.25">
      <c r="A10062" s="1" t="str">
        <f t="shared" si="2754"/>
        <v>卡卡杜-凤凰仓</v>
      </c>
      <c r="B10062" s="1" t="str">
        <f>"CK2024100310426"</f>
        <v>CK2024100310426</v>
      </c>
      <c r="C10062" s="1" t="str">
        <f>"DD2024100324704"</f>
        <v>DD2024100324704</v>
      </c>
      <c r="D10062" s="1" t="str">
        <f>"CK2024100324704"</f>
        <v>CK2024100324704</v>
      </c>
      <c r="E10062" s="1" t="str">
        <f>"3723047259489307648"</f>
        <v>3723047259489307648</v>
      </c>
      <c r="F10062" s="1" t="str">
        <f t="shared" si="2755"/>
        <v>花都四部-凤凰仓</v>
      </c>
      <c r="G10062" s="1" t="str">
        <f t="shared" si="2748"/>
        <v>卡卡杜企业店（视频号）</v>
      </c>
      <c r="H10062" s="1" t="str">
        <f t="shared" si="2756"/>
        <v>正常订单</v>
      </c>
      <c r="I10062" s="1" t="str">
        <f t="shared" si="2757"/>
        <v>已发货</v>
      </c>
      <c r="J10062" s="1" t="str">
        <f>"8"</f>
        <v>8</v>
      </c>
      <c r="K10062" s="1">
        <v>2</v>
      </c>
      <c r="L10062" s="1" t="s">
        <v>18</v>
      </c>
      <c r="M10062" s="1" t="str">
        <f>"广东省 广州市 天河区 "</f>
        <v xml:space="preserve">广东省 广州市 天河区 </v>
      </c>
      <c r="N10062" s="1" t="str">
        <f t="shared" si="2750"/>
        <v>凡华云仓-韵达-微信视频号</v>
      </c>
      <c r="O10062" s="5">
        <v>315011838789660</v>
      </c>
      <c r="P10062" s="6">
        <v>1.03</v>
      </c>
      <c r="Q10062" s="11">
        <f>CEILING(P10062-0.5,0.1)*10*0.15+2.3</f>
        <v>3.2</v>
      </c>
      <c r="R10062" s="11"/>
      <c r="S10062" s="11"/>
      <c r="T10062" s="11"/>
      <c r="U10062" s="11">
        <f t="shared" si="2765"/>
        <v>3.2</v>
      </c>
      <c r="V10062" t="s">
        <v>15</v>
      </c>
      <c r="W10062">
        <v>3.2</v>
      </c>
      <c r="X10062" s="1" t="s">
        <v>18</v>
      </c>
    </row>
    <row r="10063" spans="1:24" x14ac:dyDescent="0.25">
      <c r="A10063" s="1" t="str">
        <f t="shared" si="2754"/>
        <v>卡卡杜-凤凰仓</v>
      </c>
      <c r="B10063" s="1" t="str">
        <f>"CK2024100310298"</f>
        <v>CK2024100310298</v>
      </c>
      <c r="C10063" s="1" t="str">
        <f>"DD2024100323970"</f>
        <v>DD2024100323970</v>
      </c>
      <c r="D10063" s="1" t="str">
        <f>"CK2024100324703"</f>
        <v>CK2024100324703</v>
      </c>
      <c r="E10063" s="1" t="str">
        <f>"3723047129023909888"</f>
        <v>3723047129023909888</v>
      </c>
      <c r="F10063" s="1" t="str">
        <f t="shared" si="2755"/>
        <v>花都四部-凤凰仓</v>
      </c>
      <c r="G10063" s="1" t="str">
        <f t="shared" si="2748"/>
        <v>卡卡杜企业店（视频号）</v>
      </c>
      <c r="H10063" s="1" t="str">
        <f t="shared" si="2756"/>
        <v>正常订单</v>
      </c>
      <c r="I10063" s="1" t="str">
        <f t="shared" si="2757"/>
        <v>已发货</v>
      </c>
      <c r="J10063" s="1" t="str">
        <f t="shared" ref="J10063:J10068" si="2769">"2"</f>
        <v>2</v>
      </c>
      <c r="K10063" s="1">
        <v>2</v>
      </c>
      <c r="L10063" s="1" t="s">
        <v>105</v>
      </c>
      <c r="M10063" s="1" t="str">
        <f>"北京 北京市 西城区 "</f>
        <v xml:space="preserve">北京 北京市 西城区 </v>
      </c>
      <c r="N10063" s="1" t="str">
        <f t="shared" si="2750"/>
        <v>凡华云仓-韵达-微信视频号</v>
      </c>
      <c r="O10063" s="5">
        <v>315011838787553</v>
      </c>
      <c r="P10063" s="6">
        <v>0.28000000000000003</v>
      </c>
      <c r="Q10063" s="11">
        <v>2</v>
      </c>
      <c r="R10063" s="11"/>
      <c r="S10063" s="11"/>
      <c r="T10063" s="11"/>
      <c r="U10063" s="11">
        <f t="shared" si="2765"/>
        <v>2</v>
      </c>
      <c r="W10063">
        <v>2.2000000000000002</v>
      </c>
      <c r="X10063" s="1" t="s">
        <v>105</v>
      </c>
    </row>
    <row r="10064" spans="1:24" x14ac:dyDescent="0.25">
      <c r="A10064" s="1" t="str">
        <f t="shared" si="2754"/>
        <v>卡卡杜-凤凰仓</v>
      </c>
      <c r="B10064" s="1" t="str">
        <f>"CK2024100310299"</f>
        <v>CK2024100310299</v>
      </c>
      <c r="C10064" s="1" t="str">
        <f>"DD2024100323971"</f>
        <v>DD2024100323971</v>
      </c>
      <c r="D10064" s="1" t="str">
        <f>"CK2024100324702"</f>
        <v>CK2024100324702</v>
      </c>
      <c r="E10064" s="1" t="str">
        <f>"3723046844640136192"</f>
        <v>3723046844640136192</v>
      </c>
      <c r="F10064" s="1" t="str">
        <f t="shared" si="2755"/>
        <v>花都四部-凤凰仓</v>
      </c>
      <c r="G10064" s="1" t="str">
        <f t="shared" si="2748"/>
        <v>卡卡杜企业店（视频号）</v>
      </c>
      <c r="H10064" s="1" t="str">
        <f t="shared" si="2756"/>
        <v>正常订单</v>
      </c>
      <c r="I10064" s="1" t="str">
        <f t="shared" si="2757"/>
        <v>已发货</v>
      </c>
      <c r="J10064" s="1" t="str">
        <f t="shared" si="2769"/>
        <v>2</v>
      </c>
      <c r="K10064" s="1">
        <v>2</v>
      </c>
      <c r="L10064" s="1" t="s">
        <v>20</v>
      </c>
      <c r="M10064" s="1" t="str">
        <f>"浙江省 台州市 椒江区 "</f>
        <v xml:space="preserve">浙江省 台州市 椒江区 </v>
      </c>
      <c r="N10064" s="1" t="str">
        <f t="shared" si="2750"/>
        <v>凡华云仓-韵达-微信视频号</v>
      </c>
      <c r="O10064" s="5">
        <v>315011838784655</v>
      </c>
      <c r="P10064" s="6">
        <v>0.28000000000000003</v>
      </c>
      <c r="Q10064" s="11">
        <v>2</v>
      </c>
      <c r="R10064" s="11"/>
      <c r="S10064" s="11"/>
      <c r="T10064" s="11"/>
      <c r="U10064" s="11">
        <f t="shared" si="2765"/>
        <v>2</v>
      </c>
      <c r="W10064">
        <v>2.2000000000000002</v>
      </c>
      <c r="X10064" s="1" t="s">
        <v>20</v>
      </c>
    </row>
    <row r="10065" spans="1:24" x14ac:dyDescent="0.25">
      <c r="A10065" s="1" t="str">
        <f t="shared" si="2754"/>
        <v>卡卡杜-凤凰仓</v>
      </c>
      <c r="B10065" s="1" t="str">
        <f>"CK2024100310300"</f>
        <v>CK2024100310300</v>
      </c>
      <c r="C10065" s="1" t="str">
        <f>"DD2024100323973"</f>
        <v>DD2024100323973</v>
      </c>
      <c r="D10065" s="1" t="str">
        <f>"CK2024100324701"</f>
        <v>CK2024100324701</v>
      </c>
      <c r="E10065" s="1" t="str">
        <f>"3723046799039403008"</f>
        <v>3723046799039403008</v>
      </c>
      <c r="F10065" s="1" t="str">
        <f t="shared" si="2755"/>
        <v>花都四部-凤凰仓</v>
      </c>
      <c r="G10065" s="1" t="str">
        <f t="shared" si="2748"/>
        <v>卡卡杜企业店（视频号）</v>
      </c>
      <c r="H10065" s="1" t="str">
        <f t="shared" si="2756"/>
        <v>正常订单</v>
      </c>
      <c r="I10065" s="1" t="str">
        <f t="shared" si="2757"/>
        <v>已发货</v>
      </c>
      <c r="J10065" s="1" t="str">
        <f t="shared" si="2769"/>
        <v>2</v>
      </c>
      <c r="K10065" s="1">
        <v>2</v>
      </c>
      <c r="L10065" s="1" t="s">
        <v>20</v>
      </c>
      <c r="M10065" s="1" t="str">
        <f>"浙江省 温州市 永嘉县 "</f>
        <v xml:space="preserve">浙江省 温州市 永嘉县 </v>
      </c>
      <c r="N10065" s="1" t="str">
        <f t="shared" si="2750"/>
        <v>凡华云仓-韵达-微信视频号</v>
      </c>
      <c r="O10065" s="5">
        <v>315011838782003</v>
      </c>
      <c r="P10065" s="6">
        <v>0.28000000000000003</v>
      </c>
      <c r="Q10065" s="11">
        <v>2</v>
      </c>
      <c r="R10065" s="11"/>
      <c r="S10065" s="11"/>
      <c r="T10065" s="11"/>
      <c r="U10065" s="11">
        <f t="shared" si="2765"/>
        <v>2</v>
      </c>
      <c r="W10065">
        <v>2.2000000000000002</v>
      </c>
      <c r="X10065" s="1" t="s">
        <v>20</v>
      </c>
    </row>
    <row r="10066" spans="1:24" x14ac:dyDescent="0.25">
      <c r="A10066" s="1" t="str">
        <f t="shared" si="2754"/>
        <v>卡卡杜-凤凰仓</v>
      </c>
      <c r="B10066" s="1" t="str">
        <f>"CK2024100310422"</f>
        <v>CK2024100310422</v>
      </c>
      <c r="C10066" s="1" t="str">
        <f>"DD2024100324597"</f>
        <v>DD2024100324597</v>
      </c>
      <c r="D10066" s="1" t="str">
        <f>"CK2024100324700"</f>
        <v>CK2024100324700</v>
      </c>
      <c r="E10066" s="1" t="str">
        <f>"3723046572145116416"</f>
        <v>3723046572145116416</v>
      </c>
      <c r="F10066" s="1" t="str">
        <f t="shared" si="2755"/>
        <v>花都四部-凤凰仓</v>
      </c>
      <c r="G10066" s="1" t="str">
        <f t="shared" si="2748"/>
        <v>卡卡杜企业店（视频号）</v>
      </c>
      <c r="H10066" s="1" t="str">
        <f t="shared" si="2756"/>
        <v>正常订单</v>
      </c>
      <c r="I10066" s="1" t="str">
        <f t="shared" si="2757"/>
        <v>已发货</v>
      </c>
      <c r="J10066" s="1" t="str">
        <f t="shared" si="2769"/>
        <v>2</v>
      </c>
      <c r="K10066" s="1">
        <v>2</v>
      </c>
      <c r="L10066" s="1" t="s">
        <v>18</v>
      </c>
      <c r="M10066" s="1" t="str">
        <f>"广东省 深圳市 罗湖区 "</f>
        <v xml:space="preserve">广东省 深圳市 罗湖区 </v>
      </c>
      <c r="N10066" s="1" t="str">
        <f t="shared" si="2750"/>
        <v>凡华云仓-韵达-微信视频号</v>
      </c>
      <c r="O10066" s="5">
        <v>315011838780112</v>
      </c>
      <c r="P10066" s="6">
        <v>0.28000000000000003</v>
      </c>
      <c r="Q10066" s="11">
        <v>2</v>
      </c>
      <c r="R10066" s="11"/>
      <c r="S10066" s="11"/>
      <c r="T10066" s="11"/>
      <c r="U10066" s="11">
        <f t="shared" si="2765"/>
        <v>2</v>
      </c>
      <c r="W10066">
        <v>2.2000000000000002</v>
      </c>
      <c r="X10066" s="1" t="s">
        <v>18</v>
      </c>
    </row>
    <row r="10067" spans="1:24" x14ac:dyDescent="0.25">
      <c r="A10067" s="1" t="str">
        <f t="shared" si="2754"/>
        <v>卡卡杜-凤凰仓</v>
      </c>
      <c r="B10067" s="1" t="str">
        <f>"CK2024100310301"</f>
        <v>CK2024100310301</v>
      </c>
      <c r="C10067" s="1" t="str">
        <f>"DD2024100323974"</f>
        <v>DD2024100323974</v>
      </c>
      <c r="D10067" s="1" t="str">
        <f>"CK2024100324699"</f>
        <v>CK2024100324699</v>
      </c>
      <c r="E10067" s="1" t="str">
        <f>"3723045888846337024"</f>
        <v>3723045888846337024</v>
      </c>
      <c r="F10067" s="1" t="str">
        <f t="shared" si="2755"/>
        <v>花都四部-凤凰仓</v>
      </c>
      <c r="G10067" s="1" t="str">
        <f t="shared" si="2748"/>
        <v>卡卡杜企业店（视频号）</v>
      </c>
      <c r="H10067" s="1" t="str">
        <f t="shared" si="2756"/>
        <v>正常订单</v>
      </c>
      <c r="I10067" s="1" t="str">
        <f t="shared" si="2757"/>
        <v>已发货</v>
      </c>
      <c r="J10067" s="1" t="str">
        <f t="shared" si="2769"/>
        <v>2</v>
      </c>
      <c r="K10067" s="1">
        <v>2</v>
      </c>
      <c r="L10067" s="1" t="s">
        <v>92</v>
      </c>
      <c r="M10067" s="1" t="str">
        <f>"辽宁省 沈阳市 沈北新区 "</f>
        <v xml:space="preserve">辽宁省 沈阳市 沈北新区 </v>
      </c>
      <c r="N10067" s="1" t="str">
        <f t="shared" si="2750"/>
        <v>凡华云仓-韵达-微信视频号</v>
      </c>
      <c r="O10067" s="5">
        <v>315011838778361</v>
      </c>
      <c r="P10067" s="6">
        <v>0.28000000000000003</v>
      </c>
      <c r="Q10067" s="11">
        <v>2</v>
      </c>
      <c r="R10067" s="11"/>
      <c r="S10067" s="11"/>
      <c r="T10067" s="11"/>
      <c r="U10067" s="11">
        <f t="shared" si="2765"/>
        <v>2</v>
      </c>
      <c r="W10067">
        <v>2.2000000000000002</v>
      </c>
      <c r="X10067" s="1" t="s">
        <v>92</v>
      </c>
    </row>
    <row r="10068" spans="1:24" x14ac:dyDescent="0.25">
      <c r="A10068" s="1" t="str">
        <f t="shared" si="2754"/>
        <v>卡卡杜-凤凰仓</v>
      </c>
      <c r="B10068" s="1" t="str">
        <f>"CK2024100310302"</f>
        <v>CK2024100310302</v>
      </c>
      <c r="C10068" s="1" t="str">
        <f>"DD2024100323975"</f>
        <v>DD2024100323975</v>
      </c>
      <c r="D10068" s="1" t="str">
        <f>"CK2024100324698"</f>
        <v>CK2024100324698</v>
      </c>
      <c r="E10068" s="1" t="str">
        <f>"3723045599905449216"</f>
        <v>3723045599905449216</v>
      </c>
      <c r="F10068" s="1" t="str">
        <f t="shared" si="2755"/>
        <v>花都四部-凤凰仓</v>
      </c>
      <c r="G10068" s="1" t="str">
        <f t="shared" si="2748"/>
        <v>卡卡杜企业店（视频号）</v>
      </c>
      <c r="H10068" s="1" t="str">
        <f t="shared" si="2756"/>
        <v>正常订单</v>
      </c>
      <c r="I10068" s="1" t="str">
        <f t="shared" si="2757"/>
        <v>已发货</v>
      </c>
      <c r="J10068" s="1" t="str">
        <f t="shared" si="2769"/>
        <v>2</v>
      </c>
      <c r="K10068" s="1">
        <v>2</v>
      </c>
      <c r="L10068" s="1" t="s">
        <v>109</v>
      </c>
      <c r="M10068" s="1" t="str">
        <f>"山西省 太原市 小店区 "</f>
        <v xml:space="preserve">山西省 太原市 小店区 </v>
      </c>
      <c r="N10068" s="1" t="str">
        <f t="shared" si="2750"/>
        <v>凡华云仓-韵达-微信视频号</v>
      </c>
      <c r="O10068" s="5">
        <v>315011838776264</v>
      </c>
      <c r="P10068" s="6">
        <v>0.28000000000000003</v>
      </c>
      <c r="Q10068" s="11">
        <v>2</v>
      </c>
      <c r="R10068" s="11"/>
      <c r="S10068" s="11"/>
      <c r="T10068" s="11"/>
      <c r="U10068" s="11">
        <f t="shared" si="2765"/>
        <v>2</v>
      </c>
      <c r="W10068">
        <v>2.2000000000000002</v>
      </c>
      <c r="X10068" s="1" t="s">
        <v>109</v>
      </c>
    </row>
    <row r="10069" spans="1:24" x14ac:dyDescent="0.25">
      <c r="A10069" s="1" t="str">
        <f t="shared" si="2754"/>
        <v>卡卡杜-凤凰仓</v>
      </c>
      <c r="B10069" s="1" t="str">
        <f>"CK2024100310373"</f>
        <v>CK2024100310373</v>
      </c>
      <c r="C10069" s="1" t="str">
        <f>"DD2024100324412"</f>
        <v>DD2024100324412</v>
      </c>
      <c r="D10069" s="1" t="str">
        <f>"CK2024100324697"</f>
        <v>CK2024100324697</v>
      </c>
      <c r="E10069" s="1" t="str">
        <f>"3723045185549898752"</f>
        <v>3723045185549898752</v>
      </c>
      <c r="F10069" s="1" t="str">
        <f t="shared" si="2755"/>
        <v>花都四部-凤凰仓</v>
      </c>
      <c r="G10069" s="1" t="str">
        <f t="shared" si="2748"/>
        <v>卡卡杜企业店（视频号）</v>
      </c>
      <c r="H10069" s="1" t="str">
        <f t="shared" si="2756"/>
        <v>正常订单</v>
      </c>
      <c r="I10069" s="1" t="str">
        <f t="shared" si="2757"/>
        <v>已发货</v>
      </c>
      <c r="J10069" s="1" t="str">
        <f>"4"</f>
        <v>4</v>
      </c>
      <c r="K10069" s="1">
        <v>2</v>
      </c>
      <c r="L10069" s="1" t="s">
        <v>13</v>
      </c>
      <c r="M10069" s="1" t="str">
        <f>"江苏省 常州市 武进区 "</f>
        <v xml:space="preserve">江苏省 常州市 武进区 </v>
      </c>
      <c r="N10069" s="1" t="str">
        <f t="shared" si="2750"/>
        <v>凡华云仓-韵达-微信视频号</v>
      </c>
      <c r="O10069" s="5">
        <v>315011838774652</v>
      </c>
      <c r="P10069" s="6">
        <v>0.52</v>
      </c>
      <c r="Q10069" s="11">
        <f>CEILING(P10069-0.5,0.1)*10*0.15+2.3</f>
        <v>2.4499999999999997</v>
      </c>
      <c r="R10069" s="11"/>
      <c r="S10069" s="11"/>
      <c r="T10069" s="11"/>
      <c r="U10069" s="11">
        <f t="shared" si="2765"/>
        <v>2.4499999999999997</v>
      </c>
      <c r="V10069" t="s">
        <v>15</v>
      </c>
      <c r="W10069">
        <v>2.4500000000000002</v>
      </c>
      <c r="X10069" s="1" t="s">
        <v>13</v>
      </c>
    </row>
    <row r="10070" spans="1:24" x14ac:dyDescent="0.25">
      <c r="A10070" s="1" t="str">
        <f t="shared" si="2754"/>
        <v>卡卡杜-凤凰仓</v>
      </c>
      <c r="B10070" s="1" t="str">
        <f>"CK2024100310303"</f>
        <v>CK2024100310303</v>
      </c>
      <c r="C10070" s="1" t="str">
        <f>"DD2024100323976"</f>
        <v>DD2024100323976</v>
      </c>
      <c r="D10070" s="1" t="str">
        <f>"CK2024100324696"</f>
        <v>CK2024100324696</v>
      </c>
      <c r="E10070" s="1" t="str">
        <f>"3723045040773532672"</f>
        <v>3723045040773532672</v>
      </c>
      <c r="F10070" s="1" t="str">
        <f t="shared" si="2755"/>
        <v>花都四部-凤凰仓</v>
      </c>
      <c r="G10070" s="1" t="str">
        <f t="shared" ref="G10070:G10122" si="2770">"卡卡杜企业店（视频号）"</f>
        <v>卡卡杜企业店（视频号）</v>
      </c>
      <c r="H10070" s="1" t="str">
        <f t="shared" si="2756"/>
        <v>正常订单</v>
      </c>
      <c r="I10070" s="1" t="str">
        <f t="shared" si="2757"/>
        <v>已发货</v>
      </c>
      <c r="J10070" s="1" t="str">
        <f t="shared" ref="J10070:J10073" si="2771">"2"</f>
        <v>2</v>
      </c>
      <c r="K10070" s="1">
        <v>2</v>
      </c>
      <c r="L10070" s="1" t="s">
        <v>18</v>
      </c>
      <c r="M10070" s="1" t="str">
        <f>"广东省 佛山市 禅城区 "</f>
        <v xml:space="preserve">广东省 佛山市 禅城区 </v>
      </c>
      <c r="N10070" s="1" t="str">
        <f t="shared" ref="N10070:N10122" si="2772">"凡华云仓-韵达-微信视频号"</f>
        <v>凡华云仓-韵达-微信视频号</v>
      </c>
      <c r="O10070" s="5">
        <v>315011838773093</v>
      </c>
      <c r="P10070" s="6">
        <v>0.28000000000000003</v>
      </c>
      <c r="Q10070" s="11">
        <v>2</v>
      </c>
      <c r="R10070" s="11"/>
      <c r="S10070" s="11"/>
      <c r="T10070" s="11"/>
      <c r="U10070" s="11">
        <f t="shared" si="2765"/>
        <v>2</v>
      </c>
      <c r="W10070">
        <v>2.2000000000000002</v>
      </c>
      <c r="X10070" s="1" t="s">
        <v>18</v>
      </c>
    </row>
    <row r="10071" spans="1:24" x14ac:dyDescent="0.25">
      <c r="A10071" s="1" t="str">
        <f t="shared" si="2754"/>
        <v>卡卡杜-凤凰仓</v>
      </c>
      <c r="B10071" s="1" t="str">
        <f>"CK2024100310304"</f>
        <v>CK2024100310304</v>
      </c>
      <c r="C10071" s="1" t="str">
        <f>"DD2024100323977"</f>
        <v>DD2024100323977</v>
      </c>
      <c r="D10071" s="1" t="str">
        <f>"CK2024100324695"</f>
        <v>CK2024100324695</v>
      </c>
      <c r="E10071" s="1" t="str">
        <f>"3723044745805696000"</f>
        <v>3723044745805696000</v>
      </c>
      <c r="F10071" s="1" t="str">
        <f t="shared" si="2755"/>
        <v>花都四部-凤凰仓</v>
      </c>
      <c r="G10071" s="1" t="str">
        <f t="shared" si="2770"/>
        <v>卡卡杜企业店（视频号）</v>
      </c>
      <c r="H10071" s="1" t="str">
        <f t="shared" si="2756"/>
        <v>正常订单</v>
      </c>
      <c r="I10071" s="1" t="str">
        <f t="shared" si="2757"/>
        <v>已发货</v>
      </c>
      <c r="J10071" s="1" t="str">
        <f t="shared" si="2771"/>
        <v>2</v>
      </c>
      <c r="K10071" s="1">
        <v>2</v>
      </c>
      <c r="L10071" s="1" t="s">
        <v>13</v>
      </c>
      <c r="M10071" s="1" t="str">
        <f>"江苏省 苏州市 姑苏区 "</f>
        <v xml:space="preserve">江苏省 苏州市 姑苏区 </v>
      </c>
      <c r="N10071" s="1" t="str">
        <f t="shared" si="2772"/>
        <v>凡华云仓-韵达-微信视频号</v>
      </c>
      <c r="O10071" s="5">
        <v>315011838771289</v>
      </c>
      <c r="P10071" s="6">
        <v>0.28000000000000003</v>
      </c>
      <c r="Q10071" s="11">
        <v>2</v>
      </c>
      <c r="R10071" s="11"/>
      <c r="S10071" s="11"/>
      <c r="T10071" s="11"/>
      <c r="U10071" s="11">
        <f t="shared" si="2765"/>
        <v>2</v>
      </c>
      <c r="W10071">
        <v>2.2000000000000002</v>
      </c>
      <c r="X10071" s="1" t="s">
        <v>13</v>
      </c>
    </row>
    <row r="10072" spans="1:24" x14ac:dyDescent="0.25">
      <c r="A10072" s="1" t="str">
        <f t="shared" si="2754"/>
        <v>卡卡杜-凤凰仓</v>
      </c>
      <c r="B10072" s="1" t="str">
        <f>"CK2024100310306"</f>
        <v>CK2024100310306</v>
      </c>
      <c r="C10072" s="1" t="str">
        <f>"DD2024100323979"</f>
        <v>DD2024100323979</v>
      </c>
      <c r="D10072" s="1" t="str">
        <f>"CK2024100324694"</f>
        <v>CK2024100324694</v>
      </c>
      <c r="E10072" s="1" t="str">
        <f>"3723042596494381056"</f>
        <v>3723042596494381056</v>
      </c>
      <c r="F10072" s="1" t="str">
        <f t="shared" si="2755"/>
        <v>花都四部-凤凰仓</v>
      </c>
      <c r="G10072" s="1" t="str">
        <f t="shared" si="2770"/>
        <v>卡卡杜企业店（视频号）</v>
      </c>
      <c r="H10072" s="1" t="str">
        <f t="shared" si="2756"/>
        <v>正常订单</v>
      </c>
      <c r="I10072" s="1" t="str">
        <f t="shared" si="2757"/>
        <v>已发货</v>
      </c>
      <c r="J10072" s="1" t="str">
        <f t="shared" si="2771"/>
        <v>2</v>
      </c>
      <c r="K10072" s="1">
        <v>2</v>
      </c>
      <c r="L10072" s="1" t="s">
        <v>18</v>
      </c>
      <c r="M10072" s="1" t="str">
        <f>"广东省 佛山市 顺德区 "</f>
        <v xml:space="preserve">广东省 佛山市 顺德区 </v>
      </c>
      <c r="N10072" s="1" t="str">
        <f t="shared" si="2772"/>
        <v>凡华云仓-韵达-微信视频号</v>
      </c>
      <c r="O10072" s="5">
        <v>315011838820311</v>
      </c>
      <c r="P10072" s="6">
        <v>0.28000000000000003</v>
      </c>
      <c r="Q10072" s="11">
        <v>2</v>
      </c>
      <c r="R10072" s="11"/>
      <c r="S10072" s="11"/>
      <c r="T10072" s="11"/>
      <c r="U10072" s="11">
        <f t="shared" si="2765"/>
        <v>2</v>
      </c>
      <c r="W10072">
        <v>2.2000000000000002</v>
      </c>
      <c r="X10072" s="1" t="s">
        <v>18</v>
      </c>
    </row>
    <row r="10073" spans="1:24" x14ac:dyDescent="0.25">
      <c r="A10073" s="1" t="str">
        <f t="shared" si="2754"/>
        <v>卡卡杜-凤凰仓</v>
      </c>
      <c r="B10073" s="1" t="str">
        <f>"CK2024100310308"</f>
        <v>CK2024100310308</v>
      </c>
      <c r="C10073" s="1" t="str">
        <f>"DD2024100323981"</f>
        <v>DD2024100323981</v>
      </c>
      <c r="D10073" s="1" t="str">
        <f>"CK2024100324693"</f>
        <v>CK2024100324693</v>
      </c>
      <c r="E10073" s="1" t="str">
        <f>"3723041800295155200"</f>
        <v>3723041800295155200</v>
      </c>
      <c r="F10073" s="1" t="str">
        <f t="shared" si="2755"/>
        <v>花都四部-凤凰仓</v>
      </c>
      <c r="G10073" s="1" t="str">
        <f t="shared" si="2770"/>
        <v>卡卡杜企业店（视频号）</v>
      </c>
      <c r="H10073" s="1" t="str">
        <f t="shared" si="2756"/>
        <v>正常订单</v>
      </c>
      <c r="I10073" s="1" t="str">
        <f t="shared" si="2757"/>
        <v>已发货</v>
      </c>
      <c r="J10073" s="1" t="str">
        <f t="shared" si="2771"/>
        <v>2</v>
      </c>
      <c r="K10073" s="1">
        <v>2</v>
      </c>
      <c r="L10073" s="1" t="s">
        <v>105</v>
      </c>
      <c r="M10073" s="1" t="str">
        <f>"北京 北京市 海淀区 "</f>
        <v xml:space="preserve">北京 北京市 海淀区 </v>
      </c>
      <c r="N10073" s="1" t="str">
        <f t="shared" si="2772"/>
        <v>凡华云仓-韵达-微信视频号</v>
      </c>
      <c r="O10073" s="5">
        <v>315011838819200</v>
      </c>
      <c r="P10073" s="6">
        <v>0.28000000000000003</v>
      </c>
      <c r="Q10073" s="11">
        <v>2</v>
      </c>
      <c r="R10073" s="11"/>
      <c r="S10073" s="11"/>
      <c r="T10073" s="11"/>
      <c r="U10073" s="11">
        <f t="shared" si="2765"/>
        <v>2</v>
      </c>
      <c r="W10073">
        <v>2.2000000000000002</v>
      </c>
      <c r="X10073" s="1" t="s">
        <v>105</v>
      </c>
    </row>
    <row r="10074" spans="1:24" x14ac:dyDescent="0.25">
      <c r="A10074" s="1" t="str">
        <f t="shared" si="2754"/>
        <v>卡卡杜-凤凰仓</v>
      </c>
      <c r="B10074" s="1" t="str">
        <f>"CK2024100310374"</f>
        <v>CK2024100310374</v>
      </c>
      <c r="C10074" s="1" t="str">
        <f>"DD2024100324413"</f>
        <v>DD2024100324413</v>
      </c>
      <c r="D10074" s="1" t="str">
        <f>"CK2024100324692"</f>
        <v>CK2024100324692</v>
      </c>
      <c r="E10074" s="1" t="str">
        <f>"3723041108040749056"</f>
        <v>3723041108040749056</v>
      </c>
      <c r="F10074" s="1" t="str">
        <f t="shared" si="2755"/>
        <v>花都四部-凤凰仓</v>
      </c>
      <c r="G10074" s="1" t="str">
        <f t="shared" si="2770"/>
        <v>卡卡杜企业店（视频号）</v>
      </c>
      <c r="H10074" s="1" t="str">
        <f t="shared" si="2756"/>
        <v>正常订单</v>
      </c>
      <c r="I10074" s="1" t="str">
        <f t="shared" si="2757"/>
        <v>已发货</v>
      </c>
      <c r="J10074" s="1" t="str">
        <f>"4"</f>
        <v>4</v>
      </c>
      <c r="K10074" s="1">
        <v>2</v>
      </c>
      <c r="L10074" s="1" t="s">
        <v>18</v>
      </c>
      <c r="M10074" s="1" t="str">
        <f>"广东省 广州市 海珠区 "</f>
        <v xml:space="preserve">广东省 广州市 海珠区 </v>
      </c>
      <c r="N10074" s="1" t="str">
        <f t="shared" si="2772"/>
        <v>凡华云仓-韵达-微信视频号</v>
      </c>
      <c r="O10074" s="5">
        <v>315011838817777</v>
      </c>
      <c r="P10074" s="6">
        <v>0.52</v>
      </c>
      <c r="Q10074" s="11">
        <f>CEILING(P10074-0.5,0.1)*10*0.15+2.3</f>
        <v>2.4499999999999997</v>
      </c>
      <c r="R10074" s="11"/>
      <c r="S10074" s="11"/>
      <c r="T10074" s="11"/>
      <c r="U10074" s="11">
        <f t="shared" si="2765"/>
        <v>2.4499999999999997</v>
      </c>
      <c r="V10074" t="s">
        <v>15</v>
      </c>
      <c r="W10074">
        <v>2.4500000000000002</v>
      </c>
      <c r="X10074" s="1" t="s">
        <v>18</v>
      </c>
    </row>
    <row r="10075" spans="1:24" x14ac:dyDescent="0.25">
      <c r="A10075" s="1" t="str">
        <f t="shared" si="2754"/>
        <v>卡卡杜-凤凰仓</v>
      </c>
      <c r="B10075" s="1" t="str">
        <f>"CK2024100310375"</f>
        <v>CK2024100310375</v>
      </c>
      <c r="C10075" s="1" t="str">
        <f>"DD2024100324414"</f>
        <v>DD2024100324414</v>
      </c>
      <c r="D10075" s="1" t="str">
        <f>"CK2024100324691"</f>
        <v>CK2024100324691</v>
      </c>
      <c r="E10075" s="1" t="str">
        <f>"3723040802736835584"</f>
        <v>3723040802736835584</v>
      </c>
      <c r="F10075" s="1" t="str">
        <f t="shared" si="2755"/>
        <v>花都四部-凤凰仓</v>
      </c>
      <c r="G10075" s="1" t="str">
        <f t="shared" si="2770"/>
        <v>卡卡杜企业店（视频号）</v>
      </c>
      <c r="H10075" s="1" t="str">
        <f t="shared" si="2756"/>
        <v>正常订单</v>
      </c>
      <c r="I10075" s="1" t="str">
        <f t="shared" si="2757"/>
        <v>已发货</v>
      </c>
      <c r="J10075" s="1" t="str">
        <f>"4"</f>
        <v>4</v>
      </c>
      <c r="K10075" s="1">
        <v>2</v>
      </c>
      <c r="L10075" s="1" t="s">
        <v>13</v>
      </c>
      <c r="M10075" s="1" t="str">
        <f>"江苏省 苏州市 吴中区 "</f>
        <v xml:space="preserve">江苏省 苏州市 吴中区 </v>
      </c>
      <c r="N10075" s="1" t="str">
        <f t="shared" si="2772"/>
        <v>凡华云仓-韵达-微信视频号</v>
      </c>
      <c r="O10075" s="5">
        <v>315011824677364</v>
      </c>
      <c r="P10075" s="6">
        <v>0.52</v>
      </c>
      <c r="Q10075" s="11">
        <f>CEILING(P10075-0.5,0.1)*10*0.15+2.3</f>
        <v>2.4499999999999997</v>
      </c>
      <c r="R10075" s="11"/>
      <c r="S10075" s="11"/>
      <c r="T10075" s="11"/>
      <c r="U10075" s="11">
        <f t="shared" si="2765"/>
        <v>2.4499999999999997</v>
      </c>
      <c r="V10075" t="s">
        <v>15</v>
      </c>
      <c r="W10075">
        <v>2.4500000000000002</v>
      </c>
      <c r="X10075" s="1" t="s">
        <v>13</v>
      </c>
    </row>
    <row r="10076" spans="1:24" x14ac:dyDescent="0.25">
      <c r="A10076" s="1" t="str">
        <f t="shared" si="2754"/>
        <v>卡卡杜-凤凰仓</v>
      </c>
      <c r="B10076" s="1" t="str">
        <f>"CK2024100310313"</f>
        <v>CK2024100310313</v>
      </c>
      <c r="C10076" s="1" t="str">
        <f>"DD2024100323986"</f>
        <v>DD2024100323986</v>
      </c>
      <c r="D10076" s="1" t="str">
        <f>"CK2024100324690"</f>
        <v>CK2024100324690</v>
      </c>
      <c r="E10076" s="1" t="str">
        <f>"3723040131979281920"</f>
        <v>3723040131979281920</v>
      </c>
      <c r="F10076" s="1" t="str">
        <f t="shared" si="2755"/>
        <v>花都四部-凤凰仓</v>
      </c>
      <c r="G10076" s="1" t="str">
        <f t="shared" si="2770"/>
        <v>卡卡杜企业店（视频号）</v>
      </c>
      <c r="H10076" s="1" t="str">
        <f t="shared" si="2756"/>
        <v>正常订单</v>
      </c>
      <c r="I10076" s="1" t="str">
        <f t="shared" si="2757"/>
        <v>已发货</v>
      </c>
      <c r="J10076" s="1" t="str">
        <f t="shared" ref="J10076:J10079" si="2773">"2"</f>
        <v>2</v>
      </c>
      <c r="K10076" s="1">
        <v>2</v>
      </c>
      <c r="L10076" s="1" t="s">
        <v>47</v>
      </c>
      <c r="M10076" s="1" t="str">
        <f>"重庆 重庆市 江北区 "</f>
        <v xml:space="preserve">重庆 重庆市 江北区 </v>
      </c>
      <c r="N10076" s="1" t="str">
        <f t="shared" si="2772"/>
        <v>凡华云仓-韵达-微信视频号</v>
      </c>
      <c r="O10076" s="5">
        <v>315011824674967</v>
      </c>
      <c r="P10076" s="6">
        <v>0.28000000000000003</v>
      </c>
      <c r="Q10076" s="11">
        <v>2</v>
      </c>
      <c r="R10076" s="11"/>
      <c r="S10076" s="11"/>
      <c r="T10076" s="11"/>
      <c r="U10076" s="11">
        <f t="shared" si="2765"/>
        <v>2</v>
      </c>
      <c r="W10076">
        <v>2.2000000000000002</v>
      </c>
      <c r="X10076" s="1" t="s">
        <v>47</v>
      </c>
    </row>
    <row r="10077" spans="1:24" x14ac:dyDescent="0.25">
      <c r="A10077" s="1" t="str">
        <f t="shared" si="2754"/>
        <v>卡卡杜-凤凰仓</v>
      </c>
      <c r="B10077" s="1" t="str">
        <f>"CK2024100310315"</f>
        <v>CK2024100310315</v>
      </c>
      <c r="C10077" s="1" t="str">
        <f>"DD2024100323987"</f>
        <v>DD2024100323987</v>
      </c>
      <c r="D10077" s="1" t="str">
        <f>"CK2024100324689"</f>
        <v>CK2024100324689</v>
      </c>
      <c r="E10077" s="1" t="str">
        <f>"3723039668236324864"</f>
        <v>3723039668236324864</v>
      </c>
      <c r="F10077" s="1" t="str">
        <f t="shared" si="2755"/>
        <v>花都四部-凤凰仓</v>
      </c>
      <c r="G10077" s="1" t="str">
        <f t="shared" si="2770"/>
        <v>卡卡杜企业店（视频号）</v>
      </c>
      <c r="H10077" s="1" t="str">
        <f t="shared" si="2756"/>
        <v>正常订单</v>
      </c>
      <c r="I10077" s="1" t="str">
        <f t="shared" si="2757"/>
        <v>已发货</v>
      </c>
      <c r="J10077" s="1" t="str">
        <f t="shared" si="2773"/>
        <v>2</v>
      </c>
      <c r="K10077" s="1">
        <v>2</v>
      </c>
      <c r="L10077" s="1" t="s">
        <v>74</v>
      </c>
      <c r="M10077" s="1" t="str">
        <f>"上海 上海市 浦东新区 "</f>
        <v xml:space="preserve">上海 上海市 浦东新区 </v>
      </c>
      <c r="N10077" s="1" t="str">
        <f t="shared" si="2772"/>
        <v>凡华云仓-韵达-微信视频号</v>
      </c>
      <c r="O10077" s="5">
        <v>315011824671883</v>
      </c>
      <c r="P10077" s="6">
        <v>0.28000000000000003</v>
      </c>
      <c r="Q10077" s="11">
        <v>2</v>
      </c>
      <c r="R10077" s="11"/>
      <c r="S10077" s="11"/>
      <c r="T10077" s="11"/>
      <c r="U10077" s="11">
        <f t="shared" si="2765"/>
        <v>2</v>
      </c>
      <c r="W10077">
        <v>2.2000000000000002</v>
      </c>
      <c r="X10077" s="1" t="s">
        <v>74</v>
      </c>
    </row>
    <row r="10078" spans="1:24" x14ac:dyDescent="0.25">
      <c r="A10078" s="1" t="str">
        <f t="shared" si="2754"/>
        <v>卡卡杜-凤凰仓</v>
      </c>
      <c r="B10078" s="1" t="str">
        <f>"CK2024100310316"</f>
        <v>CK2024100310316</v>
      </c>
      <c r="C10078" s="1" t="str">
        <f>"DD2024100323989"</f>
        <v>DD2024100323989</v>
      </c>
      <c r="D10078" s="1" t="str">
        <f>"CK2024100324688"</f>
        <v>CK2024100324688</v>
      </c>
      <c r="E10078" s="1" t="str">
        <f>"3723039621202969856"</f>
        <v>3723039621202969856</v>
      </c>
      <c r="F10078" s="1" t="str">
        <f t="shared" si="2755"/>
        <v>花都四部-凤凰仓</v>
      </c>
      <c r="G10078" s="1" t="str">
        <f t="shared" si="2770"/>
        <v>卡卡杜企业店（视频号）</v>
      </c>
      <c r="H10078" s="1" t="str">
        <f t="shared" si="2756"/>
        <v>正常订单</v>
      </c>
      <c r="I10078" s="1" t="str">
        <f t="shared" si="2757"/>
        <v>已发货</v>
      </c>
      <c r="J10078" s="1" t="str">
        <f t="shared" si="2773"/>
        <v>2</v>
      </c>
      <c r="K10078" s="1">
        <v>2</v>
      </c>
      <c r="L10078" s="1" t="s">
        <v>74</v>
      </c>
      <c r="M10078" s="1" t="str">
        <f>"上海 上海市 普陀区 "</f>
        <v xml:space="preserve">上海 上海市 普陀区 </v>
      </c>
      <c r="N10078" s="1" t="str">
        <f t="shared" si="2772"/>
        <v>凡华云仓-韵达-微信视频号</v>
      </c>
      <c r="O10078" s="5">
        <v>315011824669662</v>
      </c>
      <c r="P10078" s="6">
        <v>0.28000000000000003</v>
      </c>
      <c r="Q10078" s="11">
        <v>2</v>
      </c>
      <c r="R10078" s="11"/>
      <c r="S10078" s="11"/>
      <c r="T10078" s="11"/>
      <c r="U10078" s="11">
        <f t="shared" si="2765"/>
        <v>2</v>
      </c>
      <c r="W10078">
        <v>2.2000000000000002</v>
      </c>
      <c r="X10078" s="1" t="s">
        <v>74</v>
      </c>
    </row>
    <row r="10079" spans="1:24" x14ac:dyDescent="0.25">
      <c r="A10079" s="1" t="str">
        <f t="shared" si="2754"/>
        <v>卡卡杜-凤凰仓</v>
      </c>
      <c r="B10079" s="1" t="str">
        <f>"CK2024100310317"</f>
        <v>CK2024100310317</v>
      </c>
      <c r="C10079" s="1" t="str">
        <f>"DD2024100323990"</f>
        <v>DD2024100323990</v>
      </c>
      <c r="D10079" s="1" t="str">
        <f>"CK2024100324687"</f>
        <v>CK2024100324687</v>
      </c>
      <c r="E10079" s="1" t="str">
        <f>"3723039537506944512"</f>
        <v>3723039537506944512</v>
      </c>
      <c r="F10079" s="1" t="str">
        <f t="shared" si="2755"/>
        <v>花都四部-凤凰仓</v>
      </c>
      <c r="G10079" s="1" t="str">
        <f t="shared" si="2770"/>
        <v>卡卡杜企业店（视频号）</v>
      </c>
      <c r="H10079" s="1" t="str">
        <f t="shared" si="2756"/>
        <v>正常订单</v>
      </c>
      <c r="I10079" s="1" t="str">
        <f t="shared" si="2757"/>
        <v>已发货</v>
      </c>
      <c r="J10079" s="1" t="str">
        <f t="shared" si="2773"/>
        <v>2</v>
      </c>
      <c r="K10079" s="1">
        <v>2</v>
      </c>
      <c r="L10079" s="1" t="s">
        <v>74</v>
      </c>
      <c r="M10079" s="1" t="str">
        <f>"上海 上海市 杨浦区 "</f>
        <v xml:space="preserve">上海 上海市 杨浦区 </v>
      </c>
      <c r="N10079" s="1" t="str">
        <f t="shared" si="2772"/>
        <v>凡华云仓-韵达-微信视频号</v>
      </c>
      <c r="O10079" s="5">
        <v>315011824666857</v>
      </c>
      <c r="P10079" s="6">
        <v>0.28000000000000003</v>
      </c>
      <c r="Q10079" s="11">
        <v>2</v>
      </c>
      <c r="R10079" s="11"/>
      <c r="S10079" s="11"/>
      <c r="T10079" s="11"/>
      <c r="U10079" s="11">
        <f t="shared" si="2765"/>
        <v>2</v>
      </c>
      <c r="W10079">
        <v>2.2000000000000002</v>
      </c>
      <c r="X10079" s="1" t="s">
        <v>74</v>
      </c>
    </row>
    <row r="10080" spans="1:24" x14ac:dyDescent="0.25">
      <c r="A10080" s="1" t="str">
        <f t="shared" si="2754"/>
        <v>卡卡杜-凤凰仓</v>
      </c>
      <c r="B10080" s="1" t="str">
        <f>"CK2024100310376"</f>
        <v>CK2024100310376</v>
      </c>
      <c r="C10080" s="1" t="str">
        <f>"DD2024100324415"</f>
        <v>DD2024100324415</v>
      </c>
      <c r="D10080" s="1" t="str">
        <f>"CK2024100324686"</f>
        <v>CK2024100324686</v>
      </c>
      <c r="E10080" s="1" t="str">
        <f>"3723039220184253952"</f>
        <v>3723039220184253952</v>
      </c>
      <c r="F10080" s="1" t="str">
        <f t="shared" si="2755"/>
        <v>花都四部-凤凰仓</v>
      </c>
      <c r="G10080" s="1" t="str">
        <f t="shared" si="2770"/>
        <v>卡卡杜企业店（视频号）</v>
      </c>
      <c r="H10080" s="1" t="str">
        <f t="shared" si="2756"/>
        <v>正常订单</v>
      </c>
      <c r="I10080" s="1" t="str">
        <f t="shared" si="2757"/>
        <v>已发货</v>
      </c>
      <c r="J10080" s="1" t="str">
        <f>"4"</f>
        <v>4</v>
      </c>
      <c r="K10080" s="1">
        <v>2</v>
      </c>
      <c r="L10080" s="1" t="s">
        <v>74</v>
      </c>
      <c r="M10080" s="1" t="str">
        <f>"上海 上海市 普陀区 "</f>
        <v xml:space="preserve">上海 上海市 普陀区 </v>
      </c>
      <c r="N10080" s="1" t="str">
        <f t="shared" si="2772"/>
        <v>凡华云仓-韵达-微信视频号</v>
      </c>
      <c r="O10080" s="5">
        <v>315011824664273</v>
      </c>
      <c r="P10080" s="6">
        <v>0.52</v>
      </c>
      <c r="Q10080" s="11">
        <f>CEILING(P10080-0.5,0.1)*10*0.15+2.3</f>
        <v>2.4499999999999997</v>
      </c>
      <c r="R10080" s="11"/>
      <c r="S10080" s="11"/>
      <c r="T10080" s="11"/>
      <c r="U10080" s="11">
        <f t="shared" si="2765"/>
        <v>2.4499999999999997</v>
      </c>
      <c r="V10080" t="s">
        <v>15</v>
      </c>
      <c r="W10080">
        <v>2.4500000000000002</v>
      </c>
      <c r="X10080" s="1" t="s">
        <v>74</v>
      </c>
    </row>
    <row r="10081" spans="1:24" x14ac:dyDescent="0.25">
      <c r="A10081" s="1" t="str">
        <f t="shared" si="2754"/>
        <v>卡卡杜-凤凰仓</v>
      </c>
      <c r="B10081" s="1" t="str">
        <f>"CK2024100310319"</f>
        <v>CK2024100310319</v>
      </c>
      <c r="C10081" s="1" t="str">
        <f>"DD2024100323992"</f>
        <v>DD2024100323992</v>
      </c>
      <c r="D10081" s="1" t="str">
        <f>"CK2024100324685"</f>
        <v>CK2024100324685</v>
      </c>
      <c r="E10081" s="1" t="str">
        <f>"3723039202037339136"</f>
        <v>3723039202037339136</v>
      </c>
      <c r="F10081" s="1" t="str">
        <f t="shared" si="2755"/>
        <v>花都四部-凤凰仓</v>
      </c>
      <c r="G10081" s="1" t="str">
        <f t="shared" si="2770"/>
        <v>卡卡杜企业店（视频号）</v>
      </c>
      <c r="H10081" s="1" t="str">
        <f t="shared" si="2756"/>
        <v>正常订单</v>
      </c>
      <c r="I10081" s="1" t="str">
        <f t="shared" si="2757"/>
        <v>已发货</v>
      </c>
      <c r="J10081" s="1" t="str">
        <f t="shared" ref="J10081:J10084" si="2774">"2"</f>
        <v>2</v>
      </c>
      <c r="K10081" s="1">
        <v>2</v>
      </c>
      <c r="L10081" s="1" t="s">
        <v>74</v>
      </c>
      <c r="M10081" s="1" t="str">
        <f>"上海 上海市 浦东新区 "</f>
        <v xml:space="preserve">上海 上海市 浦东新区 </v>
      </c>
      <c r="N10081" s="1" t="str">
        <f t="shared" si="2772"/>
        <v>凡华云仓-韵达-微信视频号</v>
      </c>
      <c r="O10081" s="5">
        <v>315011824661579</v>
      </c>
      <c r="P10081" s="6">
        <v>0.28000000000000003</v>
      </c>
      <c r="Q10081" s="11">
        <v>2</v>
      </c>
      <c r="R10081" s="11"/>
      <c r="S10081" s="11"/>
      <c r="T10081" s="11"/>
      <c r="U10081" s="11">
        <f t="shared" si="2765"/>
        <v>2</v>
      </c>
      <c r="W10081">
        <v>2.2000000000000002</v>
      </c>
      <c r="X10081" s="1" t="s">
        <v>74</v>
      </c>
    </row>
    <row r="10082" spans="1:24" x14ac:dyDescent="0.25">
      <c r="A10082" s="1" t="str">
        <f t="shared" si="2754"/>
        <v>卡卡杜-凤凰仓</v>
      </c>
      <c r="B10082" s="1" t="str">
        <f>"CK2024100310320"</f>
        <v>CK2024100310320</v>
      </c>
      <c r="C10082" s="1" t="str">
        <f>"DD2024100323993"</f>
        <v>DD2024100323993</v>
      </c>
      <c r="D10082" s="1" t="str">
        <f>"CK2024100324684"</f>
        <v>CK2024100324684</v>
      </c>
      <c r="E10082" s="1" t="str">
        <f>"3723038924944311808"</f>
        <v>3723038924944311808</v>
      </c>
      <c r="F10082" s="1" t="str">
        <f t="shared" si="2755"/>
        <v>花都四部-凤凰仓</v>
      </c>
      <c r="G10082" s="1" t="str">
        <f t="shared" si="2770"/>
        <v>卡卡杜企业店（视频号）</v>
      </c>
      <c r="H10082" s="1" t="str">
        <f t="shared" si="2756"/>
        <v>正常订单</v>
      </c>
      <c r="I10082" s="1" t="str">
        <f t="shared" si="2757"/>
        <v>已发货</v>
      </c>
      <c r="J10082" s="1" t="str">
        <f t="shared" si="2774"/>
        <v>2</v>
      </c>
      <c r="K10082" s="1">
        <v>2</v>
      </c>
      <c r="L10082" s="1" t="s">
        <v>20</v>
      </c>
      <c r="M10082" s="1" t="str">
        <f>"浙江省 宁波市 江东区 "</f>
        <v xml:space="preserve">浙江省 宁波市 江东区 </v>
      </c>
      <c r="N10082" s="1" t="str">
        <f t="shared" si="2772"/>
        <v>凡华云仓-韵达-微信视频号</v>
      </c>
      <c r="O10082" s="5">
        <v>315011838815292</v>
      </c>
      <c r="P10082" s="6">
        <v>0.28000000000000003</v>
      </c>
      <c r="Q10082" s="11">
        <v>2</v>
      </c>
      <c r="R10082" s="11"/>
      <c r="S10082" s="11"/>
      <c r="T10082" s="11"/>
      <c r="U10082" s="11">
        <f t="shared" si="2765"/>
        <v>2</v>
      </c>
      <c r="W10082">
        <v>2.2000000000000002</v>
      </c>
      <c r="X10082" s="1" t="s">
        <v>20</v>
      </c>
    </row>
    <row r="10083" spans="1:24" x14ac:dyDescent="0.25">
      <c r="A10083" s="1" t="str">
        <f t="shared" si="2754"/>
        <v>卡卡杜-凤凰仓</v>
      </c>
      <c r="B10083" s="1" t="str">
        <f>"CK2024100310321"</f>
        <v>CK2024100310321</v>
      </c>
      <c r="C10083" s="1" t="str">
        <f>"DD2024100323995"</f>
        <v>DD2024100323995</v>
      </c>
      <c r="D10083" s="1" t="str">
        <f>"CK2024100324683"</f>
        <v>CK2024100324683</v>
      </c>
      <c r="E10083" s="1" t="str">
        <f>"3723038887679493376"</f>
        <v>3723038887679493376</v>
      </c>
      <c r="F10083" s="1" t="str">
        <f t="shared" si="2755"/>
        <v>花都四部-凤凰仓</v>
      </c>
      <c r="G10083" s="1" t="str">
        <f t="shared" si="2770"/>
        <v>卡卡杜企业店（视频号）</v>
      </c>
      <c r="H10083" s="1" t="str">
        <f t="shared" si="2756"/>
        <v>正常订单</v>
      </c>
      <c r="I10083" s="1" t="str">
        <f t="shared" si="2757"/>
        <v>已发货</v>
      </c>
      <c r="J10083" s="1" t="str">
        <f t="shared" si="2774"/>
        <v>2</v>
      </c>
      <c r="K10083" s="1">
        <v>2</v>
      </c>
      <c r="L10083" s="1" t="s">
        <v>187</v>
      </c>
      <c r="M10083" s="1" t="str">
        <f>"吉林省 长春市 南关区 "</f>
        <v xml:space="preserve">吉林省 长春市 南关区 </v>
      </c>
      <c r="N10083" s="1" t="str">
        <f t="shared" si="2772"/>
        <v>凡华云仓-韵达-微信视频号</v>
      </c>
      <c r="O10083" s="5">
        <v>315011838812900</v>
      </c>
      <c r="P10083" s="6">
        <v>0.28000000000000003</v>
      </c>
      <c r="Q10083" s="11">
        <v>2</v>
      </c>
      <c r="R10083" s="11"/>
      <c r="S10083" s="11"/>
      <c r="T10083" s="11"/>
      <c r="U10083" s="11">
        <f t="shared" si="2765"/>
        <v>2</v>
      </c>
      <c r="W10083">
        <v>2.2000000000000002</v>
      </c>
      <c r="X10083" s="1" t="s">
        <v>187</v>
      </c>
    </row>
    <row r="10084" spans="1:24" x14ac:dyDescent="0.25">
      <c r="A10084" s="1" t="str">
        <f t="shared" si="2754"/>
        <v>卡卡杜-凤凰仓</v>
      </c>
      <c r="B10084" s="1" t="str">
        <f>"CK2024100310322"</f>
        <v>CK2024100310322</v>
      </c>
      <c r="C10084" s="1" t="str">
        <f>"DD2024100323994"</f>
        <v>DD2024100323994</v>
      </c>
      <c r="D10084" s="1" t="str">
        <f>"CK2024100324682"</f>
        <v>CK2024100324682</v>
      </c>
      <c r="E10084" s="1" t="str">
        <f>"3723038740199638528"</f>
        <v>3723038740199638528</v>
      </c>
      <c r="F10084" s="1" t="str">
        <f t="shared" si="2755"/>
        <v>花都四部-凤凰仓</v>
      </c>
      <c r="G10084" s="1" t="str">
        <f t="shared" si="2770"/>
        <v>卡卡杜企业店（视频号）</v>
      </c>
      <c r="H10084" s="1" t="str">
        <f t="shared" si="2756"/>
        <v>正常订单</v>
      </c>
      <c r="I10084" s="1" t="str">
        <f t="shared" si="2757"/>
        <v>已发货</v>
      </c>
      <c r="J10084" s="1" t="str">
        <f t="shared" si="2774"/>
        <v>2</v>
      </c>
      <c r="K10084" s="1">
        <v>2</v>
      </c>
      <c r="L10084" s="1" t="s">
        <v>20</v>
      </c>
      <c r="M10084" s="1" t="str">
        <f>"浙江省 宁波市 慈溪市 "</f>
        <v xml:space="preserve">浙江省 宁波市 慈溪市 </v>
      </c>
      <c r="N10084" s="1" t="str">
        <f t="shared" si="2772"/>
        <v>凡华云仓-韵达-微信视频号</v>
      </c>
      <c r="O10084" s="5">
        <v>315011838810415</v>
      </c>
      <c r="P10084" s="6">
        <v>0.28000000000000003</v>
      </c>
      <c r="Q10084" s="11">
        <v>2</v>
      </c>
      <c r="R10084" s="11"/>
      <c r="S10084" s="11"/>
      <c r="T10084" s="11"/>
      <c r="U10084" s="11">
        <f t="shared" si="2765"/>
        <v>2</v>
      </c>
      <c r="W10084">
        <v>2.2000000000000002</v>
      </c>
      <c r="X10084" s="1" t="s">
        <v>20</v>
      </c>
    </row>
    <row r="10085" spans="1:24" x14ac:dyDescent="0.25">
      <c r="A10085" s="1" t="str">
        <f t="shared" si="2754"/>
        <v>卡卡杜-凤凰仓</v>
      </c>
      <c r="B10085" s="1" t="str">
        <f>"CK2024100310377"</f>
        <v>CK2024100310377</v>
      </c>
      <c r="C10085" s="1" t="str">
        <f>"DD2024100324416"</f>
        <v>DD2024100324416</v>
      </c>
      <c r="D10085" s="1" t="str">
        <f>"CK2024100324681"</f>
        <v>CK2024100324681</v>
      </c>
      <c r="E10085" s="1" t="str">
        <f>"3723038608589194752"</f>
        <v>3723038608589194752</v>
      </c>
      <c r="F10085" s="1" t="str">
        <f t="shared" si="2755"/>
        <v>花都四部-凤凰仓</v>
      </c>
      <c r="G10085" s="1" t="str">
        <f t="shared" si="2770"/>
        <v>卡卡杜企业店（视频号）</v>
      </c>
      <c r="H10085" s="1" t="str">
        <f t="shared" si="2756"/>
        <v>正常订单</v>
      </c>
      <c r="I10085" s="1" t="str">
        <f t="shared" si="2757"/>
        <v>已发货</v>
      </c>
      <c r="J10085" s="1" t="str">
        <f t="shared" ref="J10085:J10088" si="2775">"4"</f>
        <v>4</v>
      </c>
      <c r="K10085" s="1">
        <v>2</v>
      </c>
      <c r="L10085" s="1" t="s">
        <v>18</v>
      </c>
      <c r="M10085" s="1" t="str">
        <f>"广东省 珠海市 香洲区 "</f>
        <v xml:space="preserve">广东省 珠海市 香洲区 </v>
      </c>
      <c r="N10085" s="1" t="str">
        <f t="shared" si="2772"/>
        <v>凡华云仓-韵达-微信视频号</v>
      </c>
      <c r="O10085" s="5">
        <v>315011838807687</v>
      </c>
      <c r="P10085" s="6">
        <v>0.52</v>
      </c>
      <c r="Q10085" s="11">
        <f t="shared" ref="Q10085:Q10088" si="2776">CEILING(P10085-0.5,0.1)*10*0.15+2.3</f>
        <v>2.4499999999999997</v>
      </c>
      <c r="R10085" s="11"/>
      <c r="S10085" s="11"/>
      <c r="T10085" s="11"/>
      <c r="U10085" s="11">
        <f t="shared" si="2765"/>
        <v>2.4499999999999997</v>
      </c>
      <c r="V10085" t="s">
        <v>15</v>
      </c>
      <c r="W10085">
        <v>2.4500000000000002</v>
      </c>
      <c r="X10085" s="1" t="s">
        <v>18</v>
      </c>
    </row>
    <row r="10086" spans="1:24" x14ac:dyDescent="0.25">
      <c r="A10086" s="1" t="str">
        <f t="shared" si="2754"/>
        <v>卡卡杜-凤凰仓</v>
      </c>
      <c r="B10086" s="1" t="str">
        <f>"CK2024100310378"</f>
        <v>CK2024100310378</v>
      </c>
      <c r="C10086" s="1" t="str">
        <f>"DD2024100324418"</f>
        <v>DD2024100324418</v>
      </c>
      <c r="D10086" s="1" t="str">
        <f>"CK2024100324680"</f>
        <v>CK2024100324680</v>
      </c>
      <c r="E10086" s="1" t="str">
        <f>"3723038590136880128"</f>
        <v>3723038590136880128</v>
      </c>
      <c r="F10086" s="1" t="str">
        <f t="shared" si="2755"/>
        <v>花都四部-凤凰仓</v>
      </c>
      <c r="G10086" s="1" t="str">
        <f t="shared" si="2770"/>
        <v>卡卡杜企业店（视频号）</v>
      </c>
      <c r="H10086" s="1" t="str">
        <f t="shared" si="2756"/>
        <v>正常订单</v>
      </c>
      <c r="I10086" s="1" t="str">
        <f t="shared" si="2757"/>
        <v>已发货</v>
      </c>
      <c r="J10086" s="1" t="str">
        <f t="shared" si="2775"/>
        <v>4</v>
      </c>
      <c r="K10086" s="1">
        <v>2</v>
      </c>
      <c r="L10086" s="1" t="s">
        <v>74</v>
      </c>
      <c r="M10086" s="1" t="str">
        <f>"上海 上海市 虹口区 "</f>
        <v xml:space="preserve">上海 上海市 虹口区 </v>
      </c>
      <c r="N10086" s="1" t="str">
        <f t="shared" si="2772"/>
        <v>凡华云仓-韵达-微信视频号</v>
      </c>
      <c r="O10086" s="5">
        <v>315011838805023</v>
      </c>
      <c r="P10086" s="6">
        <v>0.52</v>
      </c>
      <c r="Q10086" s="11">
        <f t="shared" si="2776"/>
        <v>2.4499999999999997</v>
      </c>
      <c r="R10086" s="11"/>
      <c r="S10086" s="11"/>
      <c r="T10086" s="11"/>
      <c r="U10086" s="11">
        <f t="shared" si="2765"/>
        <v>2.4499999999999997</v>
      </c>
      <c r="V10086" t="s">
        <v>15</v>
      </c>
      <c r="W10086">
        <v>2.4500000000000002</v>
      </c>
      <c r="X10086" s="1" t="s">
        <v>74</v>
      </c>
    </row>
    <row r="10087" spans="1:24" x14ac:dyDescent="0.25">
      <c r="A10087" s="1" t="str">
        <f t="shared" si="2754"/>
        <v>卡卡杜-凤凰仓</v>
      </c>
      <c r="B10087" s="1" t="str">
        <f>"CK2024100310379"</f>
        <v>CK2024100310379</v>
      </c>
      <c r="C10087" s="1" t="str">
        <f>"DD2024100324420"</f>
        <v>DD2024100324420</v>
      </c>
      <c r="D10087" s="1" t="str">
        <f>"CK2024100324679"</f>
        <v>CK2024100324679</v>
      </c>
      <c r="E10087" s="1" t="str">
        <f>"3723038526188164096"</f>
        <v>3723038526188164096</v>
      </c>
      <c r="F10087" s="1" t="str">
        <f t="shared" si="2755"/>
        <v>花都四部-凤凰仓</v>
      </c>
      <c r="G10087" s="1" t="str">
        <f t="shared" si="2770"/>
        <v>卡卡杜企业店（视频号）</v>
      </c>
      <c r="H10087" s="1" t="str">
        <f t="shared" si="2756"/>
        <v>正常订单</v>
      </c>
      <c r="I10087" s="1" t="str">
        <f t="shared" si="2757"/>
        <v>已发货</v>
      </c>
      <c r="J10087" s="1" t="str">
        <f t="shared" si="2775"/>
        <v>4</v>
      </c>
      <c r="K10087" s="1">
        <v>2</v>
      </c>
      <c r="L10087" s="1" t="s">
        <v>94</v>
      </c>
      <c r="M10087" s="1" t="str">
        <f>"湖南省 长沙市 天心区 "</f>
        <v xml:space="preserve">湖南省 长沙市 天心区 </v>
      </c>
      <c r="N10087" s="1" t="str">
        <f t="shared" si="2772"/>
        <v>凡华云仓-韵达-微信视频号</v>
      </c>
      <c r="O10087" s="5">
        <v>315011838802311</v>
      </c>
      <c r="P10087" s="6">
        <v>0.52</v>
      </c>
      <c r="Q10087" s="11">
        <f t="shared" si="2776"/>
        <v>2.4499999999999997</v>
      </c>
      <c r="R10087" s="11"/>
      <c r="S10087" s="11"/>
      <c r="T10087" s="11"/>
      <c r="U10087" s="11">
        <f t="shared" si="2765"/>
        <v>2.4499999999999997</v>
      </c>
      <c r="V10087" t="s">
        <v>15</v>
      </c>
      <c r="W10087">
        <v>2.4500000000000002</v>
      </c>
      <c r="X10087" s="1" t="s">
        <v>94</v>
      </c>
    </row>
    <row r="10088" spans="1:24" x14ac:dyDescent="0.25">
      <c r="A10088" s="1" t="str">
        <f t="shared" si="2754"/>
        <v>卡卡杜-凤凰仓</v>
      </c>
      <c r="B10088" s="1" t="str">
        <f>"CK2024100310380"</f>
        <v>CK2024100310380</v>
      </c>
      <c r="C10088" s="1" t="str">
        <f>"DD2024100324417"</f>
        <v>DD2024100324417</v>
      </c>
      <c r="D10088" s="1" t="str">
        <f>"CK2024100324678"</f>
        <v>CK2024100324678</v>
      </c>
      <c r="E10088" s="1" t="str">
        <f>"3723038243654863872"</f>
        <v>3723038243654863872</v>
      </c>
      <c r="F10088" s="1" t="str">
        <f t="shared" si="2755"/>
        <v>花都四部-凤凰仓</v>
      </c>
      <c r="G10088" s="1" t="str">
        <f t="shared" si="2770"/>
        <v>卡卡杜企业店（视频号）</v>
      </c>
      <c r="H10088" s="1" t="str">
        <f t="shared" si="2756"/>
        <v>正常订单</v>
      </c>
      <c r="I10088" s="1" t="str">
        <f t="shared" si="2757"/>
        <v>已发货</v>
      </c>
      <c r="J10088" s="1" t="str">
        <f t="shared" si="2775"/>
        <v>4</v>
      </c>
      <c r="K10088" s="1">
        <v>2</v>
      </c>
      <c r="L10088" s="1" t="s">
        <v>20</v>
      </c>
      <c r="M10088" s="1" t="str">
        <f>"浙江省 杭州市 滨江区 "</f>
        <v xml:space="preserve">浙江省 杭州市 滨江区 </v>
      </c>
      <c r="N10088" s="1" t="str">
        <f t="shared" si="2772"/>
        <v>凡华云仓-韵达-微信视频号</v>
      </c>
      <c r="O10088" s="5">
        <v>315011838799974</v>
      </c>
      <c r="P10088" s="6">
        <v>0.52</v>
      </c>
      <c r="Q10088" s="11">
        <f t="shared" si="2776"/>
        <v>2.4499999999999997</v>
      </c>
      <c r="R10088" s="11"/>
      <c r="S10088" s="11"/>
      <c r="T10088" s="11"/>
      <c r="U10088" s="11">
        <f t="shared" si="2765"/>
        <v>2.4499999999999997</v>
      </c>
      <c r="V10088" t="s">
        <v>15</v>
      </c>
      <c r="W10088">
        <v>2.4500000000000002</v>
      </c>
      <c r="X10088" s="1" t="s">
        <v>20</v>
      </c>
    </row>
    <row r="10089" spans="1:24" x14ac:dyDescent="0.25">
      <c r="A10089" s="1" t="str">
        <f t="shared" si="2754"/>
        <v>卡卡杜-凤凰仓</v>
      </c>
      <c r="B10089" s="1" t="str">
        <f>"CK2024100310325"</f>
        <v>CK2024100310325</v>
      </c>
      <c r="C10089" s="1" t="str">
        <f>"DD2024100323998"</f>
        <v>DD2024100323998</v>
      </c>
      <c r="D10089" s="1" t="str">
        <f>"CK2024100324677"</f>
        <v>CK2024100324677</v>
      </c>
      <c r="E10089" s="1" t="str">
        <f>"3723038240583061504"</f>
        <v>3723038240583061504</v>
      </c>
      <c r="F10089" s="1" t="str">
        <f t="shared" si="2755"/>
        <v>花都四部-凤凰仓</v>
      </c>
      <c r="G10089" s="1" t="str">
        <f t="shared" si="2770"/>
        <v>卡卡杜企业店（视频号）</v>
      </c>
      <c r="H10089" s="1" t="str">
        <f t="shared" si="2756"/>
        <v>正常订单</v>
      </c>
      <c r="I10089" s="1" t="str">
        <f t="shared" si="2757"/>
        <v>已发货</v>
      </c>
      <c r="J10089" s="1" t="str">
        <f t="shared" ref="J10089:J10096" si="2777">"2"</f>
        <v>2</v>
      </c>
      <c r="K10089" s="1">
        <v>2</v>
      </c>
      <c r="L10089" s="1" t="s">
        <v>74</v>
      </c>
      <c r="M10089" s="1" t="str">
        <f>"上海 上海市 虹口区 "</f>
        <v xml:space="preserve">上海 上海市 虹口区 </v>
      </c>
      <c r="N10089" s="1" t="str">
        <f t="shared" si="2772"/>
        <v>凡华云仓-韵达-微信视频号</v>
      </c>
      <c r="O10089" s="5">
        <v>315011838797093</v>
      </c>
      <c r="P10089" s="6">
        <v>0.28000000000000003</v>
      </c>
      <c r="Q10089" s="11">
        <v>2</v>
      </c>
      <c r="R10089" s="11"/>
      <c r="S10089" s="11"/>
      <c r="T10089" s="11"/>
      <c r="U10089" s="11">
        <f t="shared" si="2765"/>
        <v>2</v>
      </c>
      <c r="W10089">
        <v>2.2000000000000002</v>
      </c>
      <c r="X10089" s="1" t="s">
        <v>74</v>
      </c>
    </row>
    <row r="10090" spans="1:24" x14ac:dyDescent="0.25">
      <c r="A10090" s="1" t="str">
        <f t="shared" si="2754"/>
        <v>卡卡杜-凤凰仓</v>
      </c>
      <c r="B10090" s="1" t="str">
        <f>"CK2024100310327"</f>
        <v>CK2024100310327</v>
      </c>
      <c r="C10090" s="1" t="str">
        <f>"DD2024100324000"</f>
        <v>DD2024100324000</v>
      </c>
      <c r="D10090" s="1" t="str">
        <f>"CK2024100324676"</f>
        <v>CK2024100324676</v>
      </c>
      <c r="E10090" s="1" t="str">
        <f>"3723038204474822656"</f>
        <v>3723038204474822656</v>
      </c>
      <c r="F10090" s="1" t="str">
        <f t="shared" si="2755"/>
        <v>花都四部-凤凰仓</v>
      </c>
      <c r="G10090" s="1" t="str">
        <f t="shared" si="2770"/>
        <v>卡卡杜企业店（视频号）</v>
      </c>
      <c r="H10090" s="1" t="str">
        <f t="shared" si="2756"/>
        <v>正常订单</v>
      </c>
      <c r="I10090" s="1" t="str">
        <f t="shared" si="2757"/>
        <v>已发货</v>
      </c>
      <c r="J10090" s="1" t="str">
        <f t="shared" si="2777"/>
        <v>2</v>
      </c>
      <c r="K10090" s="1">
        <v>2</v>
      </c>
      <c r="L10090" s="1" t="s">
        <v>18</v>
      </c>
      <c r="M10090" s="1" t="str">
        <f>"广东省 广州市 白云区 "</f>
        <v xml:space="preserve">广东省 广州市 白云区 </v>
      </c>
      <c r="N10090" s="1" t="str">
        <f t="shared" si="2772"/>
        <v>凡华云仓-韵达-微信视频号</v>
      </c>
      <c r="O10090" s="5">
        <v>315011838793766</v>
      </c>
      <c r="P10090" s="6">
        <v>0.28000000000000003</v>
      </c>
      <c r="Q10090" s="11">
        <v>2</v>
      </c>
      <c r="R10090" s="11"/>
      <c r="S10090" s="11"/>
      <c r="T10090" s="11"/>
      <c r="U10090" s="11">
        <f t="shared" si="2765"/>
        <v>2</v>
      </c>
      <c r="W10090">
        <v>2.2000000000000002</v>
      </c>
      <c r="X10090" s="1" t="s">
        <v>18</v>
      </c>
    </row>
    <row r="10091" spans="1:24" x14ac:dyDescent="0.25">
      <c r="A10091" s="1" t="str">
        <f t="shared" ref="A10091:A10154" si="2778">"卡卡杜-凤凰仓"</f>
        <v>卡卡杜-凤凰仓</v>
      </c>
      <c r="B10091" s="1" t="str">
        <f>"CK2024100310328"</f>
        <v>CK2024100310328</v>
      </c>
      <c r="C10091" s="1" t="str">
        <f>"DD2024100324003"</f>
        <v>DD2024100324003</v>
      </c>
      <c r="D10091" s="1" t="str">
        <f>"CK2024100324675"</f>
        <v>CK2024100324675</v>
      </c>
      <c r="E10091" s="1" t="str">
        <f>"3723038180565716993"</f>
        <v>3723038180565716993</v>
      </c>
      <c r="F10091" s="1" t="str">
        <f t="shared" ref="F10091:F10154" si="2779">"花都四部-凤凰仓"</f>
        <v>花都四部-凤凰仓</v>
      </c>
      <c r="G10091" s="1" t="str">
        <f t="shared" si="2770"/>
        <v>卡卡杜企业店（视频号）</v>
      </c>
      <c r="H10091" s="1" t="str">
        <f t="shared" ref="H10091:H10154" si="2780">"正常订单"</f>
        <v>正常订单</v>
      </c>
      <c r="I10091" s="1" t="str">
        <f t="shared" ref="I10091:I10154" si="2781">"已发货"</f>
        <v>已发货</v>
      </c>
      <c r="J10091" s="1" t="str">
        <f t="shared" si="2777"/>
        <v>2</v>
      </c>
      <c r="K10091" s="1">
        <v>2</v>
      </c>
      <c r="L10091" s="1" t="s">
        <v>13</v>
      </c>
      <c r="M10091" s="1" t="str">
        <f>"江苏省 南京市 鼓楼区 "</f>
        <v xml:space="preserve">江苏省 南京市 鼓楼区 </v>
      </c>
      <c r="N10091" s="1" t="str">
        <f t="shared" si="2772"/>
        <v>凡华云仓-韵达-微信视频号</v>
      </c>
      <c r="O10091" s="5">
        <v>315011838790896</v>
      </c>
      <c r="P10091" s="6">
        <v>0.28000000000000003</v>
      </c>
      <c r="Q10091" s="11">
        <v>2</v>
      </c>
      <c r="R10091" s="11"/>
      <c r="S10091" s="11"/>
      <c r="T10091" s="11"/>
      <c r="U10091" s="11">
        <f t="shared" si="2765"/>
        <v>2</v>
      </c>
      <c r="W10091">
        <v>2.2000000000000002</v>
      </c>
      <c r="X10091" s="1" t="s">
        <v>13</v>
      </c>
    </row>
    <row r="10092" spans="1:24" x14ac:dyDescent="0.25">
      <c r="A10092" s="1" t="str">
        <f t="shared" si="2778"/>
        <v>卡卡杜-凤凰仓</v>
      </c>
      <c r="B10092" s="1" t="str">
        <f>"CK2024100310329"</f>
        <v>CK2024100310329</v>
      </c>
      <c r="C10092" s="1" t="str">
        <f>"DD2024100324002"</f>
        <v>DD2024100324002</v>
      </c>
      <c r="D10092" s="1" t="str">
        <f>"CK2024100324674"</f>
        <v>CK2024100324674</v>
      </c>
      <c r="E10092" s="1" t="str">
        <f>"3723038124639126784"</f>
        <v>3723038124639126784</v>
      </c>
      <c r="F10092" s="1" t="str">
        <f t="shared" si="2779"/>
        <v>花都四部-凤凰仓</v>
      </c>
      <c r="G10092" s="1" t="str">
        <f t="shared" si="2770"/>
        <v>卡卡杜企业店（视频号）</v>
      </c>
      <c r="H10092" s="1" t="str">
        <f t="shared" si="2780"/>
        <v>正常订单</v>
      </c>
      <c r="I10092" s="1" t="str">
        <f t="shared" si="2781"/>
        <v>已发货</v>
      </c>
      <c r="J10092" s="1" t="str">
        <f t="shared" si="2777"/>
        <v>2</v>
      </c>
      <c r="K10092" s="1">
        <v>2</v>
      </c>
      <c r="L10092" s="1" t="s">
        <v>66</v>
      </c>
      <c r="M10092" s="1" t="str">
        <f>"内蒙古自治区 锡林郭勒盟 锡林浩特市 "</f>
        <v xml:space="preserve">内蒙古自治区 锡林郭勒盟 锡林浩特市 </v>
      </c>
      <c r="N10092" s="1" t="str">
        <f t="shared" si="2772"/>
        <v>凡华云仓-韵达-微信视频号</v>
      </c>
      <c r="O10092" s="5">
        <v>315011838788271</v>
      </c>
      <c r="P10092" s="6">
        <v>0.28000000000000003</v>
      </c>
      <c r="Q10092" s="11">
        <v>2</v>
      </c>
      <c r="R10092" s="11"/>
      <c r="S10092" s="11"/>
      <c r="T10092" s="11"/>
      <c r="U10092" s="11">
        <f t="shared" si="2765"/>
        <v>2</v>
      </c>
      <c r="W10092">
        <v>2.2000000000000002</v>
      </c>
      <c r="X10092" s="1" t="s">
        <v>66</v>
      </c>
    </row>
    <row r="10093" spans="1:24" x14ac:dyDescent="0.25">
      <c r="A10093" s="1" t="str">
        <f t="shared" si="2778"/>
        <v>卡卡杜-凤凰仓</v>
      </c>
      <c r="B10093" s="1" t="str">
        <f>"CK2024100310331"</f>
        <v>CK2024100310331</v>
      </c>
      <c r="C10093" s="1" t="str">
        <f>"DD2024100324004"</f>
        <v>DD2024100324004</v>
      </c>
      <c r="D10093" s="1" t="str">
        <f>"CK2024100324673"</f>
        <v>CK2024100324673</v>
      </c>
      <c r="E10093" s="1" t="str">
        <f>"3723037780673168640"</f>
        <v>3723037780673168640</v>
      </c>
      <c r="F10093" s="1" t="str">
        <f t="shared" si="2779"/>
        <v>花都四部-凤凰仓</v>
      </c>
      <c r="G10093" s="1" t="str">
        <f t="shared" si="2770"/>
        <v>卡卡杜企业店（视频号）</v>
      </c>
      <c r="H10093" s="1" t="str">
        <f t="shared" si="2780"/>
        <v>正常订单</v>
      </c>
      <c r="I10093" s="1" t="str">
        <f t="shared" si="2781"/>
        <v>已发货</v>
      </c>
      <c r="J10093" s="1" t="str">
        <f t="shared" si="2777"/>
        <v>2</v>
      </c>
      <c r="K10093" s="1">
        <v>2</v>
      </c>
      <c r="L10093" s="1" t="s">
        <v>92</v>
      </c>
      <c r="M10093" s="1" t="str">
        <f>"辽宁省 辽阳市 白塔区 "</f>
        <v xml:space="preserve">辽宁省 辽阳市 白塔区 </v>
      </c>
      <c r="N10093" s="1" t="str">
        <f t="shared" si="2772"/>
        <v>凡华云仓-韵达-微信视频号</v>
      </c>
      <c r="O10093" s="5">
        <v>315011838785456</v>
      </c>
      <c r="P10093" s="6">
        <v>0.28000000000000003</v>
      </c>
      <c r="Q10093" s="11">
        <v>2</v>
      </c>
      <c r="R10093" s="11"/>
      <c r="S10093" s="11"/>
      <c r="T10093" s="11"/>
      <c r="U10093" s="11">
        <f t="shared" si="2765"/>
        <v>2</v>
      </c>
      <c r="W10093">
        <v>2.2000000000000002</v>
      </c>
      <c r="X10093" s="1" t="s">
        <v>92</v>
      </c>
    </row>
    <row r="10094" spans="1:24" x14ac:dyDescent="0.25">
      <c r="A10094" s="1" t="str">
        <f t="shared" si="2778"/>
        <v>卡卡杜-凤凰仓</v>
      </c>
      <c r="B10094" s="1" t="str">
        <f>"CK2024100310332"</f>
        <v>CK2024100310332</v>
      </c>
      <c r="C10094" s="1" t="str">
        <f>"DD2024100324005"</f>
        <v>DD2024100324005</v>
      </c>
      <c r="D10094" s="1" t="str">
        <f>"CK2024100324672"</f>
        <v>CK2024100324672</v>
      </c>
      <c r="E10094" s="1" t="str">
        <f>"3723037728835241216"</f>
        <v>3723037728835241216</v>
      </c>
      <c r="F10094" s="1" t="str">
        <f t="shared" si="2779"/>
        <v>花都四部-凤凰仓</v>
      </c>
      <c r="G10094" s="1" t="str">
        <f t="shared" si="2770"/>
        <v>卡卡杜企业店（视频号）</v>
      </c>
      <c r="H10094" s="1" t="str">
        <f t="shared" si="2780"/>
        <v>正常订单</v>
      </c>
      <c r="I10094" s="1" t="str">
        <f t="shared" si="2781"/>
        <v>已发货</v>
      </c>
      <c r="J10094" s="1" t="str">
        <f t="shared" si="2777"/>
        <v>2</v>
      </c>
      <c r="K10094" s="1">
        <v>2</v>
      </c>
      <c r="L10094" s="1" t="s">
        <v>92</v>
      </c>
      <c r="M10094" s="1" t="str">
        <f>"辽宁省 葫芦岛市 龙港区 "</f>
        <v xml:space="preserve">辽宁省 葫芦岛市 龙港区 </v>
      </c>
      <c r="N10094" s="1" t="str">
        <f t="shared" si="2772"/>
        <v>凡华云仓-韵达-微信视频号</v>
      </c>
      <c r="O10094" s="5">
        <v>315011838779273</v>
      </c>
      <c r="P10094" s="6">
        <v>0.28000000000000003</v>
      </c>
      <c r="Q10094" s="11">
        <v>2</v>
      </c>
      <c r="R10094" s="11"/>
      <c r="S10094" s="11"/>
      <c r="T10094" s="11"/>
      <c r="U10094" s="11">
        <f t="shared" si="2765"/>
        <v>2</v>
      </c>
      <c r="W10094">
        <v>2.2000000000000002</v>
      </c>
      <c r="X10094" s="1" t="s">
        <v>92</v>
      </c>
    </row>
    <row r="10095" spans="1:24" x14ac:dyDescent="0.25">
      <c r="A10095" s="1" t="str">
        <f t="shared" si="2778"/>
        <v>卡卡杜-凤凰仓</v>
      </c>
      <c r="B10095" s="1" t="str">
        <f>"CK2024100310333"</f>
        <v>CK2024100310333</v>
      </c>
      <c r="C10095" s="1" t="str">
        <f>"DD2024100324006"</f>
        <v>DD2024100324006</v>
      </c>
      <c r="D10095" s="1" t="str">
        <f>"CK2024100324671"</f>
        <v>CK2024100324671</v>
      </c>
      <c r="E10095" s="1" t="str">
        <f>"3723037477493148672"</f>
        <v>3723037477493148672</v>
      </c>
      <c r="F10095" s="1" t="str">
        <f t="shared" si="2779"/>
        <v>花都四部-凤凰仓</v>
      </c>
      <c r="G10095" s="1" t="str">
        <f t="shared" si="2770"/>
        <v>卡卡杜企业店（视频号）</v>
      </c>
      <c r="H10095" s="1" t="str">
        <f t="shared" si="2780"/>
        <v>正常订单</v>
      </c>
      <c r="I10095" s="1" t="str">
        <f t="shared" si="2781"/>
        <v>已发货</v>
      </c>
      <c r="J10095" s="1" t="str">
        <f t="shared" si="2777"/>
        <v>2</v>
      </c>
      <c r="K10095" s="1">
        <v>2</v>
      </c>
      <c r="L10095" s="1" t="s">
        <v>105</v>
      </c>
      <c r="M10095" s="1" t="str">
        <f>"北京 北京市 海淀区 "</f>
        <v xml:space="preserve">北京 北京市 海淀区 </v>
      </c>
      <c r="N10095" s="1" t="str">
        <f t="shared" si="2772"/>
        <v>凡华云仓-韵达-微信视频号</v>
      </c>
      <c r="O10095" s="5">
        <v>315011838777358</v>
      </c>
      <c r="P10095" s="6">
        <v>0.28000000000000003</v>
      </c>
      <c r="Q10095" s="11">
        <v>2</v>
      </c>
      <c r="R10095" s="11"/>
      <c r="S10095" s="11"/>
      <c r="T10095" s="11"/>
      <c r="U10095" s="11">
        <f t="shared" si="2765"/>
        <v>2</v>
      </c>
      <c r="W10095">
        <v>2.2000000000000002</v>
      </c>
      <c r="X10095" s="1" t="s">
        <v>105</v>
      </c>
    </row>
    <row r="10096" spans="1:24" x14ac:dyDescent="0.25">
      <c r="A10096" s="1" t="str">
        <f t="shared" si="2778"/>
        <v>卡卡杜-凤凰仓</v>
      </c>
      <c r="B10096" s="1" t="str">
        <f>"CK2024100310334"</f>
        <v>CK2024100310334</v>
      </c>
      <c r="C10096" s="1" t="str">
        <f>"DD2024100324007"</f>
        <v>DD2024100324007</v>
      </c>
      <c r="D10096" s="1" t="str">
        <f>"CK2024100324670"</f>
        <v>CK2024100324670</v>
      </c>
      <c r="E10096" s="1" t="str">
        <f>"3723037426193663232"</f>
        <v>3723037426193663232</v>
      </c>
      <c r="F10096" s="1" t="str">
        <f t="shared" si="2779"/>
        <v>花都四部-凤凰仓</v>
      </c>
      <c r="G10096" s="1" t="str">
        <f t="shared" si="2770"/>
        <v>卡卡杜企业店（视频号）</v>
      </c>
      <c r="H10096" s="1" t="str">
        <f t="shared" si="2780"/>
        <v>正常订单</v>
      </c>
      <c r="I10096" s="1" t="str">
        <f t="shared" si="2781"/>
        <v>已发货</v>
      </c>
      <c r="J10096" s="1" t="str">
        <f t="shared" si="2777"/>
        <v>2</v>
      </c>
      <c r="K10096" s="1">
        <v>2</v>
      </c>
      <c r="L10096" s="1" t="s">
        <v>24</v>
      </c>
      <c r="M10096" s="1" t="str">
        <f>"福建省 厦门市 湖里区 "</f>
        <v xml:space="preserve">福建省 厦门市 湖里区 </v>
      </c>
      <c r="N10096" s="1" t="str">
        <f t="shared" si="2772"/>
        <v>凡华云仓-韵达-微信视频号</v>
      </c>
      <c r="O10096" s="5">
        <v>315011838775358</v>
      </c>
      <c r="P10096" s="6">
        <v>0.28000000000000003</v>
      </c>
      <c r="Q10096" s="11">
        <v>2</v>
      </c>
      <c r="R10096" s="11"/>
      <c r="S10096" s="11"/>
      <c r="T10096" s="11"/>
      <c r="U10096" s="11">
        <f t="shared" si="2765"/>
        <v>2</v>
      </c>
      <c r="W10096">
        <v>2.2000000000000002</v>
      </c>
      <c r="X10096" s="1" t="s">
        <v>24</v>
      </c>
    </row>
    <row r="10097" spans="1:24" x14ac:dyDescent="0.25">
      <c r="A10097" s="1" t="str">
        <f t="shared" si="2778"/>
        <v>卡卡杜-凤凰仓</v>
      </c>
      <c r="B10097" s="1" t="str">
        <f>"CK2024100310381"</f>
        <v>CK2024100310381</v>
      </c>
      <c r="C10097" s="1" t="str">
        <f>"DD2024100324421"</f>
        <v>DD2024100324421</v>
      </c>
      <c r="D10097" s="1" t="str">
        <f>"CK2024100324669"</f>
        <v>CK2024100324669</v>
      </c>
      <c r="E10097" s="1" t="str">
        <f>"3723037390268140544"</f>
        <v>3723037390268140544</v>
      </c>
      <c r="F10097" s="1" t="str">
        <f t="shared" si="2779"/>
        <v>花都四部-凤凰仓</v>
      </c>
      <c r="G10097" s="1" t="str">
        <f t="shared" si="2770"/>
        <v>卡卡杜企业店（视频号）</v>
      </c>
      <c r="H10097" s="1" t="str">
        <f t="shared" si="2780"/>
        <v>正常订单</v>
      </c>
      <c r="I10097" s="1" t="str">
        <f t="shared" si="2781"/>
        <v>已发货</v>
      </c>
      <c r="J10097" s="1" t="str">
        <f>"4"</f>
        <v>4</v>
      </c>
      <c r="K10097" s="1">
        <v>2</v>
      </c>
      <c r="L10097" s="1" t="s">
        <v>94</v>
      </c>
      <c r="M10097" s="1" t="str">
        <f>"湖南省 邵阳市 邵东县 "</f>
        <v xml:space="preserve">湖南省 邵阳市 邵东县 </v>
      </c>
      <c r="N10097" s="1" t="str">
        <f t="shared" si="2772"/>
        <v>凡华云仓-韵达-微信视频号</v>
      </c>
      <c r="O10097" s="5">
        <v>315011824677556</v>
      </c>
      <c r="P10097" s="6">
        <v>0.52</v>
      </c>
      <c r="Q10097" s="11">
        <f>CEILING(P10097-0.5,0.1)*10*0.15+2.3</f>
        <v>2.4499999999999997</v>
      </c>
      <c r="R10097" s="11"/>
      <c r="S10097" s="11"/>
      <c r="T10097" s="11"/>
      <c r="U10097" s="11">
        <f t="shared" si="2765"/>
        <v>2.4499999999999997</v>
      </c>
      <c r="V10097" t="s">
        <v>15</v>
      </c>
      <c r="W10097">
        <v>2.4500000000000002</v>
      </c>
      <c r="X10097" s="1" t="s">
        <v>94</v>
      </c>
    </row>
    <row r="10098" spans="1:24" x14ac:dyDescent="0.25">
      <c r="A10098" s="1" t="str">
        <f t="shared" si="2778"/>
        <v>卡卡杜-凤凰仓</v>
      </c>
      <c r="B10098" s="1" t="str">
        <f>"CK2024100310335"</f>
        <v>CK2024100310335</v>
      </c>
      <c r="C10098" s="1" t="str">
        <f>"DD2024100324008"</f>
        <v>DD2024100324008</v>
      </c>
      <c r="D10098" s="1" t="str">
        <f>"CK2024100324668"</f>
        <v>CK2024100324668</v>
      </c>
      <c r="E10098" s="1" t="str">
        <f>"3723037185639583745"</f>
        <v>3723037185639583745</v>
      </c>
      <c r="F10098" s="1" t="str">
        <f t="shared" si="2779"/>
        <v>花都四部-凤凰仓</v>
      </c>
      <c r="G10098" s="1" t="str">
        <f t="shared" si="2770"/>
        <v>卡卡杜企业店（视频号）</v>
      </c>
      <c r="H10098" s="1" t="str">
        <f t="shared" si="2780"/>
        <v>正常订单</v>
      </c>
      <c r="I10098" s="1" t="str">
        <f t="shared" si="2781"/>
        <v>已发货</v>
      </c>
      <c r="J10098" s="1" t="str">
        <f t="shared" ref="J10098:J10110" si="2782">"2"</f>
        <v>2</v>
      </c>
      <c r="K10098" s="1">
        <v>2</v>
      </c>
      <c r="L10098" s="1" t="s">
        <v>161</v>
      </c>
      <c r="M10098" s="1" t="str">
        <f>"四川省 成都市 青羊区 "</f>
        <v xml:space="preserve">四川省 成都市 青羊区 </v>
      </c>
      <c r="N10098" s="1" t="str">
        <f t="shared" si="2772"/>
        <v>凡华云仓-韵达-微信视频号</v>
      </c>
      <c r="O10098" s="5">
        <v>315011824669971</v>
      </c>
      <c r="P10098" s="6">
        <v>0.28000000000000003</v>
      </c>
      <c r="Q10098" s="11">
        <v>2</v>
      </c>
      <c r="R10098" s="11"/>
      <c r="S10098" s="11"/>
      <c r="T10098" s="11"/>
      <c r="U10098" s="11">
        <f t="shared" si="2765"/>
        <v>2</v>
      </c>
      <c r="W10098">
        <v>2.2000000000000002</v>
      </c>
      <c r="X10098" s="1" t="s">
        <v>161</v>
      </c>
    </row>
    <row r="10099" spans="1:24" x14ac:dyDescent="0.25">
      <c r="A10099" s="1" t="str">
        <f t="shared" si="2778"/>
        <v>卡卡杜-凤凰仓</v>
      </c>
      <c r="B10099" s="1" t="str">
        <f>"CK2024100310336"</f>
        <v>CK2024100310336</v>
      </c>
      <c r="C10099" s="1" t="str">
        <f>"DD2024100324009"</f>
        <v>DD2024100324009</v>
      </c>
      <c r="D10099" s="1" t="str">
        <f>"CK2024100324667"</f>
        <v>CK2024100324667</v>
      </c>
      <c r="E10099" s="1" t="str">
        <f>"3723036637253473280"</f>
        <v>3723036637253473280</v>
      </c>
      <c r="F10099" s="1" t="str">
        <f t="shared" si="2779"/>
        <v>花都四部-凤凰仓</v>
      </c>
      <c r="G10099" s="1" t="str">
        <f t="shared" si="2770"/>
        <v>卡卡杜企业店（视频号）</v>
      </c>
      <c r="H10099" s="1" t="str">
        <f t="shared" si="2780"/>
        <v>正常订单</v>
      </c>
      <c r="I10099" s="1" t="str">
        <f t="shared" si="2781"/>
        <v>已发货</v>
      </c>
      <c r="J10099" s="1" t="str">
        <f t="shared" si="2782"/>
        <v>2</v>
      </c>
      <c r="K10099" s="1">
        <v>2</v>
      </c>
      <c r="L10099" s="1" t="s">
        <v>18</v>
      </c>
      <c r="M10099" s="1" t="str">
        <f>"广东省 广州市 番禺区 "</f>
        <v xml:space="preserve">广东省 广州市 番禺区 </v>
      </c>
      <c r="N10099" s="1" t="str">
        <f t="shared" si="2772"/>
        <v>凡华云仓-韵达-微信视频号</v>
      </c>
      <c r="O10099" s="5">
        <v>315011824667179</v>
      </c>
      <c r="P10099" s="6">
        <v>0.28000000000000003</v>
      </c>
      <c r="Q10099" s="11">
        <v>2</v>
      </c>
      <c r="R10099" s="11"/>
      <c r="S10099" s="11"/>
      <c r="T10099" s="11"/>
      <c r="U10099" s="11">
        <f t="shared" si="2765"/>
        <v>2</v>
      </c>
      <c r="W10099">
        <v>2.2000000000000002</v>
      </c>
      <c r="X10099" s="1" t="s">
        <v>18</v>
      </c>
    </row>
    <row r="10100" spans="1:24" x14ac:dyDescent="0.25">
      <c r="A10100" s="1" t="str">
        <f t="shared" si="2778"/>
        <v>卡卡杜-凤凰仓</v>
      </c>
      <c r="B10100" s="1" t="str">
        <f>"CK2024100310337"</f>
        <v>CK2024100310337</v>
      </c>
      <c r="C10100" s="1" t="str">
        <f>"DD2024100324010"</f>
        <v>DD2024100324010</v>
      </c>
      <c r="D10100" s="1" t="str">
        <f>"CK2024100324666"</f>
        <v>CK2024100324666</v>
      </c>
      <c r="E10100" s="1" t="str">
        <f>"3723036628953207808"</f>
        <v>3723036628953207808</v>
      </c>
      <c r="F10100" s="1" t="str">
        <f t="shared" si="2779"/>
        <v>花都四部-凤凰仓</v>
      </c>
      <c r="G10100" s="1" t="str">
        <f t="shared" si="2770"/>
        <v>卡卡杜企业店（视频号）</v>
      </c>
      <c r="H10100" s="1" t="str">
        <f t="shared" si="2780"/>
        <v>正常订单</v>
      </c>
      <c r="I10100" s="1" t="str">
        <f t="shared" si="2781"/>
        <v>已发货</v>
      </c>
      <c r="J10100" s="1" t="str">
        <f t="shared" si="2782"/>
        <v>2</v>
      </c>
      <c r="K10100" s="1">
        <v>2</v>
      </c>
      <c r="L10100" s="1" t="s">
        <v>13</v>
      </c>
      <c r="M10100" s="1" t="str">
        <f>"江苏省 苏州市 太仓市 "</f>
        <v xml:space="preserve">江苏省 苏州市 太仓市 </v>
      </c>
      <c r="N10100" s="1" t="str">
        <f t="shared" si="2772"/>
        <v>凡华云仓-韵达-微信视频号</v>
      </c>
      <c r="O10100" s="5">
        <v>315011824664461</v>
      </c>
      <c r="P10100" s="6">
        <v>0.28000000000000003</v>
      </c>
      <c r="Q10100" s="11">
        <v>2</v>
      </c>
      <c r="R10100" s="11"/>
      <c r="S10100" s="11"/>
      <c r="T10100" s="11"/>
      <c r="U10100" s="11">
        <f t="shared" si="2765"/>
        <v>2</v>
      </c>
      <c r="W10100">
        <v>2.2000000000000002</v>
      </c>
      <c r="X10100" s="1" t="s">
        <v>13</v>
      </c>
    </row>
    <row r="10101" spans="1:24" x14ac:dyDescent="0.25">
      <c r="A10101" s="1" t="str">
        <f t="shared" si="2778"/>
        <v>卡卡杜-凤凰仓</v>
      </c>
      <c r="B10101" s="1" t="str">
        <f>"CK2024100310338"</f>
        <v>CK2024100310338</v>
      </c>
      <c r="C10101" s="1" t="str">
        <f>"DD2024100324012"</f>
        <v>DD2024100324012</v>
      </c>
      <c r="D10101" s="1" t="str">
        <f>"CK2024100324665"</f>
        <v>CK2024100324665</v>
      </c>
      <c r="E10101" s="1" t="str">
        <f>"3723036559310196736"</f>
        <v>3723036559310196736</v>
      </c>
      <c r="F10101" s="1" t="str">
        <f t="shared" si="2779"/>
        <v>花都四部-凤凰仓</v>
      </c>
      <c r="G10101" s="1" t="str">
        <f t="shared" si="2770"/>
        <v>卡卡杜企业店（视频号）</v>
      </c>
      <c r="H10101" s="1" t="str">
        <f t="shared" si="2780"/>
        <v>正常订单</v>
      </c>
      <c r="I10101" s="1" t="str">
        <f t="shared" si="2781"/>
        <v>已发货</v>
      </c>
      <c r="J10101" s="1" t="str">
        <f t="shared" si="2782"/>
        <v>2</v>
      </c>
      <c r="K10101" s="1">
        <v>2</v>
      </c>
      <c r="L10101" s="1" t="s">
        <v>218</v>
      </c>
      <c r="M10101" s="1" t="str">
        <f>"天津 天津市 西青区 "</f>
        <v xml:space="preserve">天津 天津市 西青区 </v>
      </c>
      <c r="N10101" s="1" t="str">
        <f t="shared" si="2772"/>
        <v>凡华云仓-韵达-微信视频号</v>
      </c>
      <c r="O10101" s="5">
        <v>315011824661482</v>
      </c>
      <c r="P10101" s="6">
        <v>0.28000000000000003</v>
      </c>
      <c r="Q10101" s="11">
        <v>2</v>
      </c>
      <c r="R10101" s="11"/>
      <c r="S10101" s="11"/>
      <c r="T10101" s="11"/>
      <c r="U10101" s="11">
        <f t="shared" si="2765"/>
        <v>2</v>
      </c>
      <c r="W10101">
        <v>2.2000000000000002</v>
      </c>
      <c r="X10101" s="1" t="s">
        <v>218</v>
      </c>
    </row>
    <row r="10102" spans="1:24" x14ac:dyDescent="0.25">
      <c r="A10102" s="1" t="str">
        <f t="shared" si="2778"/>
        <v>卡卡杜-凤凰仓</v>
      </c>
      <c r="B10102" s="1" t="str">
        <f>"CK2024100310339"</f>
        <v>CK2024100310339</v>
      </c>
      <c r="C10102" s="1" t="str">
        <f>"DD2024100324011"</f>
        <v>DD2024100324011</v>
      </c>
      <c r="D10102" s="1" t="str">
        <f>"CK2024100324664"</f>
        <v>CK2024100324664</v>
      </c>
      <c r="E10102" s="1" t="str">
        <f>"3723036228997484544"</f>
        <v>3723036228997484544</v>
      </c>
      <c r="F10102" s="1" t="str">
        <f t="shared" si="2779"/>
        <v>花都四部-凤凰仓</v>
      </c>
      <c r="G10102" s="1" t="str">
        <f t="shared" si="2770"/>
        <v>卡卡杜企业店（视频号）</v>
      </c>
      <c r="H10102" s="1" t="str">
        <f t="shared" si="2780"/>
        <v>正常订单</v>
      </c>
      <c r="I10102" s="1" t="str">
        <f t="shared" si="2781"/>
        <v>已发货</v>
      </c>
      <c r="J10102" s="1" t="str">
        <f t="shared" si="2782"/>
        <v>2</v>
      </c>
      <c r="K10102" s="1">
        <v>2</v>
      </c>
      <c r="L10102" s="1" t="s">
        <v>105</v>
      </c>
      <c r="M10102" s="1" t="str">
        <f>"北京 北京市 东城区 "</f>
        <v xml:space="preserve">北京 北京市 东城区 </v>
      </c>
      <c r="N10102" s="1" t="str">
        <f t="shared" si="2772"/>
        <v>凡华云仓-韵达-微信视频号</v>
      </c>
      <c r="O10102" s="5">
        <v>315011838772765</v>
      </c>
      <c r="P10102" s="6">
        <v>0.28000000000000003</v>
      </c>
      <c r="Q10102" s="11">
        <v>2</v>
      </c>
      <c r="R10102" s="11"/>
      <c r="S10102" s="11"/>
      <c r="T10102" s="11"/>
      <c r="U10102" s="11">
        <f t="shared" si="2765"/>
        <v>2</v>
      </c>
      <c r="W10102">
        <v>2.2000000000000002</v>
      </c>
      <c r="X10102" s="1" t="s">
        <v>105</v>
      </c>
    </row>
    <row r="10103" spans="1:24" x14ac:dyDescent="0.25">
      <c r="A10103" s="1" t="str">
        <f t="shared" si="2778"/>
        <v>卡卡杜-凤凰仓</v>
      </c>
      <c r="B10103" s="1" t="str">
        <f>"CK2024100310341"</f>
        <v>CK2024100310341</v>
      </c>
      <c r="C10103" s="1" t="str">
        <f>"DD2024100324014"</f>
        <v>DD2024100324014</v>
      </c>
      <c r="D10103" s="1" t="str">
        <f>"CK2024100324663"</f>
        <v>CK2024100324663</v>
      </c>
      <c r="E10103" s="1" t="str">
        <f>"3723035875298382848"</f>
        <v>3723035875298382848</v>
      </c>
      <c r="F10103" s="1" t="str">
        <f t="shared" si="2779"/>
        <v>花都四部-凤凰仓</v>
      </c>
      <c r="G10103" s="1" t="str">
        <f t="shared" si="2770"/>
        <v>卡卡杜企业店（视频号）</v>
      </c>
      <c r="H10103" s="1" t="str">
        <f t="shared" si="2780"/>
        <v>正常订单</v>
      </c>
      <c r="I10103" s="1" t="str">
        <f t="shared" si="2781"/>
        <v>已发货</v>
      </c>
      <c r="J10103" s="1" t="str">
        <f t="shared" si="2782"/>
        <v>2</v>
      </c>
      <c r="K10103" s="1">
        <v>2</v>
      </c>
      <c r="L10103" s="1" t="s">
        <v>105</v>
      </c>
      <c r="M10103" s="1" t="str">
        <f>"北京 北京市 朝阳区 "</f>
        <v xml:space="preserve">北京 北京市 朝阳区 </v>
      </c>
      <c r="N10103" s="1" t="str">
        <f t="shared" si="2772"/>
        <v>凡华云仓-韵达-微信视频号</v>
      </c>
      <c r="O10103" s="5">
        <v>315011838770020</v>
      </c>
      <c r="P10103" s="6">
        <v>0.28000000000000003</v>
      </c>
      <c r="Q10103" s="11">
        <v>2</v>
      </c>
      <c r="R10103" s="11"/>
      <c r="S10103" s="11"/>
      <c r="T10103" s="11"/>
      <c r="U10103" s="11">
        <f t="shared" si="2765"/>
        <v>2</v>
      </c>
      <c r="W10103">
        <v>2.2000000000000002</v>
      </c>
      <c r="X10103" s="1" t="s">
        <v>105</v>
      </c>
    </row>
    <row r="10104" spans="1:24" x14ac:dyDescent="0.25">
      <c r="A10104" s="1" t="str">
        <f t="shared" si="2778"/>
        <v>卡卡杜-凤凰仓</v>
      </c>
      <c r="B10104" s="1" t="str">
        <f>"CK2024100310342"</f>
        <v>CK2024100310342</v>
      </c>
      <c r="C10104" s="1" t="str">
        <f>"DD2024100324015"</f>
        <v>DD2024100324015</v>
      </c>
      <c r="D10104" s="1" t="str">
        <f>"CK2024100324662"</f>
        <v>CK2024100324662</v>
      </c>
      <c r="E10104" s="1" t="str">
        <f>"3723035859308122112"</f>
        <v>3723035859308122112</v>
      </c>
      <c r="F10104" s="1" t="str">
        <f t="shared" si="2779"/>
        <v>花都四部-凤凰仓</v>
      </c>
      <c r="G10104" s="1" t="str">
        <f t="shared" si="2770"/>
        <v>卡卡杜企业店（视频号）</v>
      </c>
      <c r="H10104" s="1" t="str">
        <f t="shared" si="2780"/>
        <v>正常订单</v>
      </c>
      <c r="I10104" s="1" t="str">
        <f t="shared" si="2781"/>
        <v>已发货</v>
      </c>
      <c r="J10104" s="1" t="str">
        <f t="shared" si="2782"/>
        <v>2</v>
      </c>
      <c r="K10104" s="1">
        <v>2</v>
      </c>
      <c r="L10104" s="1" t="s">
        <v>18</v>
      </c>
      <c r="M10104" s="1" t="str">
        <f>"广东省 广州市 荔湾区 "</f>
        <v xml:space="preserve">广东省 广州市 荔湾区 </v>
      </c>
      <c r="N10104" s="1" t="str">
        <f t="shared" si="2772"/>
        <v>凡华云仓-韵达-微信视频号</v>
      </c>
      <c r="O10104" s="5">
        <v>315011838821792</v>
      </c>
      <c r="P10104" s="6">
        <v>0.28000000000000003</v>
      </c>
      <c r="Q10104" s="11">
        <v>2</v>
      </c>
      <c r="R10104" s="11"/>
      <c r="S10104" s="11"/>
      <c r="T10104" s="11"/>
      <c r="U10104" s="11">
        <f t="shared" si="2765"/>
        <v>2</v>
      </c>
      <c r="W10104">
        <v>2.2000000000000002</v>
      </c>
      <c r="X10104" s="1" t="s">
        <v>18</v>
      </c>
    </row>
    <row r="10105" spans="1:24" x14ac:dyDescent="0.25">
      <c r="A10105" s="1" t="str">
        <f t="shared" si="2778"/>
        <v>卡卡杜-凤凰仓</v>
      </c>
      <c r="B10105" s="1" t="str">
        <f>"CK2024100310343"</f>
        <v>CK2024100310343</v>
      </c>
      <c r="C10105" s="1" t="str">
        <f>"DD2024100324016"</f>
        <v>DD2024100324016</v>
      </c>
      <c r="D10105" s="1" t="str">
        <f>"CK2024100324661"</f>
        <v>CK2024100324661</v>
      </c>
      <c r="E10105" s="1" t="str">
        <f>"3723035849985232896"</f>
        <v>3723035849985232896</v>
      </c>
      <c r="F10105" s="1" t="str">
        <f t="shared" si="2779"/>
        <v>花都四部-凤凰仓</v>
      </c>
      <c r="G10105" s="1" t="str">
        <f t="shared" si="2770"/>
        <v>卡卡杜企业店（视频号）</v>
      </c>
      <c r="H10105" s="1" t="str">
        <f t="shared" si="2780"/>
        <v>正常订单</v>
      </c>
      <c r="I10105" s="1" t="str">
        <f t="shared" si="2781"/>
        <v>已发货</v>
      </c>
      <c r="J10105" s="1" t="str">
        <f t="shared" si="2782"/>
        <v>2</v>
      </c>
      <c r="K10105" s="1">
        <v>2</v>
      </c>
      <c r="L10105" s="1" t="s">
        <v>74</v>
      </c>
      <c r="M10105" s="1" t="str">
        <f>"上海 上海市 浦东新区 "</f>
        <v xml:space="preserve">上海 上海市 浦东新区 </v>
      </c>
      <c r="N10105" s="1" t="str">
        <f t="shared" si="2772"/>
        <v>凡华云仓-韵达-微信视频号</v>
      </c>
      <c r="O10105" s="5">
        <v>315011838820127</v>
      </c>
      <c r="P10105" s="6">
        <v>0.28000000000000003</v>
      </c>
      <c r="Q10105" s="11">
        <v>2</v>
      </c>
      <c r="R10105" s="11"/>
      <c r="S10105" s="11"/>
      <c r="T10105" s="11"/>
      <c r="U10105" s="11">
        <f t="shared" si="2765"/>
        <v>2</v>
      </c>
      <c r="W10105">
        <v>2.2000000000000002</v>
      </c>
      <c r="X10105" s="1" t="s">
        <v>74</v>
      </c>
    </row>
    <row r="10106" spans="1:24" x14ac:dyDescent="0.25">
      <c r="A10106" s="1" t="str">
        <f t="shared" si="2778"/>
        <v>卡卡杜-凤凰仓</v>
      </c>
      <c r="B10106" s="1" t="str">
        <f>"CK2024100310344"</f>
        <v>CK2024100310344</v>
      </c>
      <c r="C10106" s="1" t="str">
        <f>"DD2024100324019"</f>
        <v>DD2024100324019</v>
      </c>
      <c r="D10106" s="1" t="str">
        <f>"CK2024100324660"</f>
        <v>CK2024100324660</v>
      </c>
      <c r="E10106" s="1" t="str">
        <f>"3723035802055607808"</f>
        <v>3723035802055607808</v>
      </c>
      <c r="F10106" s="1" t="str">
        <f t="shared" si="2779"/>
        <v>花都四部-凤凰仓</v>
      </c>
      <c r="G10106" s="1" t="str">
        <f t="shared" si="2770"/>
        <v>卡卡杜企业店（视频号）</v>
      </c>
      <c r="H10106" s="1" t="str">
        <f t="shared" si="2780"/>
        <v>正常订单</v>
      </c>
      <c r="I10106" s="1" t="str">
        <f t="shared" si="2781"/>
        <v>已发货</v>
      </c>
      <c r="J10106" s="1" t="str">
        <f t="shared" si="2782"/>
        <v>2</v>
      </c>
      <c r="K10106" s="1">
        <v>2</v>
      </c>
      <c r="L10106" s="1" t="s">
        <v>74</v>
      </c>
      <c r="M10106" s="1" t="str">
        <f>"上海 上海市 静安区 "</f>
        <v xml:space="preserve">上海 上海市 静安区 </v>
      </c>
      <c r="N10106" s="1" t="str">
        <f t="shared" si="2772"/>
        <v>凡华云仓-韵达-微信视频号</v>
      </c>
      <c r="O10106" s="5">
        <v>315011838818988</v>
      </c>
      <c r="P10106" s="6">
        <v>0.28000000000000003</v>
      </c>
      <c r="Q10106" s="11">
        <v>2</v>
      </c>
      <c r="R10106" s="11"/>
      <c r="S10106" s="11"/>
      <c r="T10106" s="11"/>
      <c r="U10106" s="11">
        <f t="shared" si="2765"/>
        <v>2</v>
      </c>
      <c r="W10106">
        <v>2.2000000000000002</v>
      </c>
      <c r="X10106" s="1" t="s">
        <v>74</v>
      </c>
    </row>
    <row r="10107" spans="1:24" x14ac:dyDescent="0.25">
      <c r="A10107" s="1" t="str">
        <f t="shared" si="2778"/>
        <v>卡卡杜-凤凰仓</v>
      </c>
      <c r="B10107" s="1" t="str">
        <f>"CK2024100310345"</f>
        <v>CK2024100310345</v>
      </c>
      <c r="C10107" s="1" t="str">
        <f>"DD2024100324018"</f>
        <v>DD2024100324018</v>
      </c>
      <c r="D10107" s="1" t="str">
        <f>"CK2024100324659"</f>
        <v>CK2024100324659</v>
      </c>
      <c r="E10107" s="1" t="str">
        <f>"3723035687306529792"</f>
        <v>3723035687306529792</v>
      </c>
      <c r="F10107" s="1" t="str">
        <f t="shared" si="2779"/>
        <v>花都四部-凤凰仓</v>
      </c>
      <c r="G10107" s="1" t="str">
        <f t="shared" si="2770"/>
        <v>卡卡杜企业店（视频号）</v>
      </c>
      <c r="H10107" s="1" t="str">
        <f t="shared" si="2780"/>
        <v>正常订单</v>
      </c>
      <c r="I10107" s="1" t="str">
        <f t="shared" si="2781"/>
        <v>已发货</v>
      </c>
      <c r="J10107" s="1" t="str">
        <f t="shared" si="2782"/>
        <v>2</v>
      </c>
      <c r="K10107" s="1">
        <v>2</v>
      </c>
      <c r="L10107" s="1" t="s">
        <v>18</v>
      </c>
      <c r="M10107" s="1" t="str">
        <f>"广东省 广州市 海珠区 "</f>
        <v xml:space="preserve">广东省 广州市 海珠区 </v>
      </c>
      <c r="N10107" s="1" t="str">
        <f t="shared" si="2772"/>
        <v>凡华云仓-韵达-微信视频号</v>
      </c>
      <c r="O10107" s="5">
        <v>315011838817676</v>
      </c>
      <c r="P10107" s="6">
        <v>0.28000000000000003</v>
      </c>
      <c r="Q10107" s="11">
        <v>2</v>
      </c>
      <c r="R10107" s="11"/>
      <c r="S10107" s="11"/>
      <c r="T10107" s="11"/>
      <c r="U10107" s="11">
        <f t="shared" si="2765"/>
        <v>2</v>
      </c>
      <c r="W10107">
        <v>2.2000000000000002</v>
      </c>
      <c r="X10107" s="1" t="s">
        <v>18</v>
      </c>
    </row>
    <row r="10108" spans="1:24" x14ac:dyDescent="0.25">
      <c r="A10108" s="1" t="str">
        <f t="shared" si="2778"/>
        <v>卡卡杜-凤凰仓</v>
      </c>
      <c r="B10108" s="1" t="str">
        <f>"CK2024100310346"</f>
        <v>CK2024100310346</v>
      </c>
      <c r="C10108" s="1" t="str">
        <f>"DD2024100324017"</f>
        <v>DD2024100324017</v>
      </c>
      <c r="D10108" s="1" t="str">
        <f>"CK2024100324658"</f>
        <v>CK2024100324658</v>
      </c>
      <c r="E10108" s="1" t="str">
        <f>"3723035647713871360"</f>
        <v>3723035647713871360</v>
      </c>
      <c r="F10108" s="1" t="str">
        <f t="shared" si="2779"/>
        <v>花都四部-凤凰仓</v>
      </c>
      <c r="G10108" s="1" t="str">
        <f t="shared" si="2770"/>
        <v>卡卡杜企业店（视频号）</v>
      </c>
      <c r="H10108" s="1" t="str">
        <f t="shared" si="2780"/>
        <v>正常订单</v>
      </c>
      <c r="I10108" s="1" t="str">
        <f t="shared" si="2781"/>
        <v>已发货</v>
      </c>
      <c r="J10108" s="1" t="str">
        <f t="shared" si="2782"/>
        <v>2</v>
      </c>
      <c r="K10108" s="1">
        <v>2</v>
      </c>
      <c r="L10108" s="1" t="s">
        <v>20</v>
      </c>
      <c r="M10108" s="1" t="str">
        <f>"浙江省 杭州市 西湖区 "</f>
        <v xml:space="preserve">浙江省 杭州市 西湖区 </v>
      </c>
      <c r="N10108" s="1" t="str">
        <f t="shared" si="2772"/>
        <v>凡华云仓-韵达-微信视频号</v>
      </c>
      <c r="O10108" s="5">
        <v>315011838815577</v>
      </c>
      <c r="P10108" s="6">
        <v>0.28000000000000003</v>
      </c>
      <c r="Q10108" s="11">
        <v>2</v>
      </c>
      <c r="R10108" s="11"/>
      <c r="S10108" s="11"/>
      <c r="T10108" s="11"/>
      <c r="U10108" s="11">
        <f t="shared" si="2765"/>
        <v>2</v>
      </c>
      <c r="W10108">
        <v>2.2000000000000002</v>
      </c>
      <c r="X10108" s="1" t="s">
        <v>20</v>
      </c>
    </row>
    <row r="10109" spans="1:24" x14ac:dyDescent="0.25">
      <c r="A10109" s="1" t="str">
        <f t="shared" si="2778"/>
        <v>卡卡杜-凤凰仓</v>
      </c>
      <c r="B10109" s="1" t="str">
        <f>"CK2024100310347"</f>
        <v>CK2024100310347</v>
      </c>
      <c r="C10109" s="1" t="str">
        <f>"DD2024100324020"</f>
        <v>DD2024100324020</v>
      </c>
      <c r="D10109" s="1" t="str">
        <f>"CK2024100324657"</f>
        <v>CK2024100324657</v>
      </c>
      <c r="E10109" s="1" t="str">
        <f>"3723035611101533184"</f>
        <v>3723035611101533184</v>
      </c>
      <c r="F10109" s="1" t="str">
        <f t="shared" si="2779"/>
        <v>花都四部-凤凰仓</v>
      </c>
      <c r="G10109" s="1" t="str">
        <f t="shared" si="2770"/>
        <v>卡卡杜企业店（视频号）</v>
      </c>
      <c r="H10109" s="1" t="str">
        <f t="shared" si="2780"/>
        <v>正常订单</v>
      </c>
      <c r="I10109" s="1" t="str">
        <f t="shared" si="2781"/>
        <v>已发货</v>
      </c>
      <c r="J10109" s="1" t="str">
        <f t="shared" si="2782"/>
        <v>2</v>
      </c>
      <c r="K10109" s="1">
        <v>2</v>
      </c>
      <c r="L10109" s="1" t="s">
        <v>32</v>
      </c>
      <c r="M10109" s="1" t="str">
        <f>"陕西省 西安市 未央区 "</f>
        <v xml:space="preserve">陕西省 西安市 未央区 </v>
      </c>
      <c r="N10109" s="1" t="str">
        <f t="shared" si="2772"/>
        <v>凡华云仓-韵达-微信视频号</v>
      </c>
      <c r="O10109" s="5">
        <v>315011838813488</v>
      </c>
      <c r="P10109" s="6">
        <v>0.28000000000000003</v>
      </c>
      <c r="Q10109" s="11">
        <v>2</v>
      </c>
      <c r="R10109" s="11"/>
      <c r="S10109" s="11"/>
      <c r="T10109" s="11"/>
      <c r="U10109" s="11">
        <f t="shared" si="2765"/>
        <v>2</v>
      </c>
      <c r="W10109">
        <v>2.2000000000000002</v>
      </c>
      <c r="X10109" s="1" t="s">
        <v>32</v>
      </c>
    </row>
    <row r="10110" spans="1:24" x14ac:dyDescent="0.25">
      <c r="A10110" s="1" t="str">
        <f t="shared" si="2778"/>
        <v>卡卡杜-凤凰仓</v>
      </c>
      <c r="B10110" s="1" t="str">
        <f>"CK2024100310348"</f>
        <v>CK2024100310348</v>
      </c>
      <c r="C10110" s="1" t="str">
        <f>"DD2024100324021"</f>
        <v>DD2024100324021</v>
      </c>
      <c r="D10110" s="1" t="str">
        <f>"CK2024100324656"</f>
        <v>CK2024100324656</v>
      </c>
      <c r="E10110" s="1" t="str">
        <f>"3723035564715152384"</f>
        <v>3723035564715152384</v>
      </c>
      <c r="F10110" s="1" t="str">
        <f t="shared" si="2779"/>
        <v>花都四部-凤凰仓</v>
      </c>
      <c r="G10110" s="1" t="str">
        <f t="shared" si="2770"/>
        <v>卡卡杜企业店（视频号）</v>
      </c>
      <c r="H10110" s="1" t="str">
        <f t="shared" si="2780"/>
        <v>正常订单</v>
      </c>
      <c r="I10110" s="1" t="str">
        <f t="shared" si="2781"/>
        <v>已发货</v>
      </c>
      <c r="J10110" s="1" t="str">
        <f t="shared" si="2782"/>
        <v>2</v>
      </c>
      <c r="K10110" s="1">
        <v>2</v>
      </c>
      <c r="L10110" s="1" t="s">
        <v>13</v>
      </c>
      <c r="M10110" s="1" t="str">
        <f>"江苏省 南京市 浦口区 "</f>
        <v xml:space="preserve">江苏省 南京市 浦口区 </v>
      </c>
      <c r="N10110" s="1" t="str">
        <f t="shared" si="2772"/>
        <v>凡华云仓-韵达-微信视频号</v>
      </c>
      <c r="O10110" s="5">
        <v>315011838811309</v>
      </c>
      <c r="P10110" s="6">
        <v>0.28000000000000003</v>
      </c>
      <c r="Q10110" s="11">
        <v>2</v>
      </c>
      <c r="R10110" s="11"/>
      <c r="S10110" s="11"/>
      <c r="T10110" s="11"/>
      <c r="U10110" s="11">
        <f t="shared" si="2765"/>
        <v>2</v>
      </c>
      <c r="W10110">
        <v>2.2000000000000002</v>
      </c>
      <c r="X10110" s="1" t="s">
        <v>13</v>
      </c>
    </row>
    <row r="10111" spans="1:24" x14ac:dyDescent="0.25">
      <c r="A10111" s="1" t="str">
        <f t="shared" si="2778"/>
        <v>卡卡杜-凤凰仓</v>
      </c>
      <c r="B10111" s="1" t="str">
        <f>"CK2024100310382"</f>
        <v>CK2024100310382</v>
      </c>
      <c r="C10111" s="1" t="str">
        <f>"DD2024100324419"</f>
        <v>DD2024100324419</v>
      </c>
      <c r="D10111" s="1" t="str">
        <f>"CK2024100324655"</f>
        <v>CK2024100324655</v>
      </c>
      <c r="E10111" s="1" t="str">
        <f>"3723035280952135680"</f>
        <v>3723035280952135680</v>
      </c>
      <c r="F10111" s="1" t="str">
        <f t="shared" si="2779"/>
        <v>花都四部-凤凰仓</v>
      </c>
      <c r="G10111" s="1" t="str">
        <f t="shared" si="2770"/>
        <v>卡卡杜企业店（视频号）</v>
      </c>
      <c r="H10111" s="1" t="str">
        <f t="shared" si="2780"/>
        <v>正常订单</v>
      </c>
      <c r="I10111" s="1" t="str">
        <f t="shared" si="2781"/>
        <v>已发货</v>
      </c>
      <c r="J10111" s="1" t="str">
        <f>"4"</f>
        <v>4</v>
      </c>
      <c r="K10111" s="1">
        <v>2</v>
      </c>
      <c r="L10111" s="1" t="s">
        <v>105</v>
      </c>
      <c r="M10111" s="1" t="str">
        <f>"北京 北京市 朝阳区 "</f>
        <v xml:space="preserve">北京 北京市 朝阳区 </v>
      </c>
      <c r="N10111" s="1" t="str">
        <f t="shared" si="2772"/>
        <v>凡华云仓-韵达-微信视频号</v>
      </c>
      <c r="O10111" s="5">
        <v>315011838808894</v>
      </c>
      <c r="P10111" s="6">
        <v>0.52</v>
      </c>
      <c r="Q10111" s="11">
        <f>CEILING(P10111-0.5,0.1)*10*0.15+2.3</f>
        <v>2.4499999999999997</v>
      </c>
      <c r="R10111" s="11"/>
      <c r="S10111" s="11"/>
      <c r="T10111" s="11"/>
      <c r="U10111" s="11">
        <f t="shared" si="2765"/>
        <v>2.4499999999999997</v>
      </c>
      <c r="V10111" t="s">
        <v>15</v>
      </c>
      <c r="W10111">
        <v>2.4500000000000002</v>
      </c>
      <c r="X10111" s="1" t="s">
        <v>105</v>
      </c>
    </row>
    <row r="10112" spans="1:24" x14ac:dyDescent="0.25">
      <c r="A10112" s="1" t="str">
        <f t="shared" si="2778"/>
        <v>卡卡杜-凤凰仓</v>
      </c>
      <c r="B10112" s="1" t="str">
        <f>"CK2024100310349"</f>
        <v>CK2024100310349</v>
      </c>
      <c r="C10112" s="1" t="str">
        <f>"DD2024100324022"</f>
        <v>DD2024100324022</v>
      </c>
      <c r="D10112" s="1" t="str">
        <f>"CK2024100324654"</f>
        <v>CK2024100324654</v>
      </c>
      <c r="E10112" s="1" t="str">
        <f>"3723035274501559296"</f>
        <v>3723035274501559296</v>
      </c>
      <c r="F10112" s="1" t="str">
        <f t="shared" si="2779"/>
        <v>花都四部-凤凰仓</v>
      </c>
      <c r="G10112" s="1" t="str">
        <f t="shared" si="2770"/>
        <v>卡卡杜企业店（视频号）</v>
      </c>
      <c r="H10112" s="1" t="str">
        <f t="shared" si="2780"/>
        <v>正常订单</v>
      </c>
      <c r="I10112" s="1" t="str">
        <f t="shared" si="2781"/>
        <v>已发货</v>
      </c>
      <c r="J10112" s="1" t="str">
        <f t="shared" ref="J10112:J10115" si="2783">"2"</f>
        <v>2</v>
      </c>
      <c r="K10112" s="1">
        <v>2</v>
      </c>
      <c r="L10112" s="1" t="s">
        <v>18</v>
      </c>
      <c r="M10112" s="1" t="str">
        <f>"广东省 中山市 石岐街道 "</f>
        <v xml:space="preserve">广东省 中山市 石岐街道 </v>
      </c>
      <c r="N10112" s="1" t="str">
        <f t="shared" si="2772"/>
        <v>凡华云仓-韵达-微信视频号</v>
      </c>
      <c r="O10112" s="5">
        <v>315011838806395</v>
      </c>
      <c r="P10112" s="6">
        <v>0.28000000000000003</v>
      </c>
      <c r="Q10112" s="11">
        <v>2</v>
      </c>
      <c r="R10112" s="11"/>
      <c r="S10112" s="11"/>
      <c r="T10112" s="11"/>
      <c r="U10112" s="11">
        <f t="shared" si="2765"/>
        <v>2</v>
      </c>
      <c r="W10112">
        <v>2.2000000000000002</v>
      </c>
      <c r="X10112" s="1" t="s">
        <v>18</v>
      </c>
    </row>
    <row r="10113" spans="1:24" x14ac:dyDescent="0.25">
      <c r="A10113" s="1" t="str">
        <f t="shared" si="2778"/>
        <v>卡卡杜-凤凰仓</v>
      </c>
      <c r="B10113" s="1" t="str">
        <f>"CK2024100310350"</f>
        <v>CK2024100310350</v>
      </c>
      <c r="C10113" s="1" t="str">
        <f>"DD2024100324024"</f>
        <v>DD2024100324024</v>
      </c>
      <c r="D10113" s="1" t="str">
        <f>"CK2024100324653"</f>
        <v>CK2024100324653</v>
      </c>
      <c r="E10113" s="1" t="str">
        <f>"3723035136935202816"</f>
        <v>3723035136935202816</v>
      </c>
      <c r="F10113" s="1" t="str">
        <f t="shared" si="2779"/>
        <v>花都四部-凤凰仓</v>
      </c>
      <c r="G10113" s="1" t="str">
        <f t="shared" si="2770"/>
        <v>卡卡杜企业店（视频号）</v>
      </c>
      <c r="H10113" s="1" t="str">
        <f t="shared" si="2780"/>
        <v>正常订单</v>
      </c>
      <c r="I10113" s="1" t="str">
        <f t="shared" si="2781"/>
        <v>已发货</v>
      </c>
      <c r="J10113" s="1" t="str">
        <f t="shared" si="2783"/>
        <v>2</v>
      </c>
      <c r="K10113" s="1">
        <v>2</v>
      </c>
      <c r="L10113" s="1" t="s">
        <v>94</v>
      </c>
      <c r="M10113" s="1" t="str">
        <f>"湖南省 郴州市 北湖区 "</f>
        <v xml:space="preserve">湖南省 郴州市 北湖区 </v>
      </c>
      <c r="N10113" s="1" t="str">
        <f t="shared" si="2772"/>
        <v>凡华云仓-韵达-微信视频号</v>
      </c>
      <c r="O10113" s="5">
        <v>315011838803304</v>
      </c>
      <c r="P10113" s="6">
        <v>0.28000000000000003</v>
      </c>
      <c r="Q10113" s="11">
        <v>2</v>
      </c>
      <c r="R10113" s="11"/>
      <c r="S10113" s="11"/>
      <c r="T10113" s="11"/>
      <c r="U10113" s="11">
        <f t="shared" si="2765"/>
        <v>2</v>
      </c>
      <c r="W10113">
        <v>2.2000000000000002</v>
      </c>
      <c r="X10113" s="1" t="s">
        <v>94</v>
      </c>
    </row>
    <row r="10114" spans="1:24" x14ac:dyDescent="0.25">
      <c r="A10114" s="1" t="str">
        <f t="shared" si="2778"/>
        <v>卡卡杜-凤凰仓</v>
      </c>
      <c r="B10114" s="1" t="str">
        <f>"CK2024100310351"</f>
        <v>CK2024100310351</v>
      </c>
      <c r="C10114" s="1" t="str">
        <f>"DD2024100324023"</f>
        <v>DD2024100324023</v>
      </c>
      <c r="D10114" s="1" t="str">
        <f>"CK2024100324652"</f>
        <v>CK2024100324652</v>
      </c>
      <c r="E10114" s="1" t="str">
        <f>"3723035075290206208"</f>
        <v>3723035075290206208</v>
      </c>
      <c r="F10114" s="1" t="str">
        <f t="shared" si="2779"/>
        <v>花都四部-凤凰仓</v>
      </c>
      <c r="G10114" s="1" t="str">
        <f t="shared" si="2770"/>
        <v>卡卡杜企业店（视频号）</v>
      </c>
      <c r="H10114" s="1" t="str">
        <f t="shared" si="2780"/>
        <v>正常订单</v>
      </c>
      <c r="I10114" s="1" t="str">
        <f t="shared" si="2781"/>
        <v>已发货</v>
      </c>
      <c r="J10114" s="1" t="str">
        <f t="shared" si="2783"/>
        <v>2</v>
      </c>
      <c r="K10114" s="1">
        <v>2</v>
      </c>
      <c r="L10114" s="1" t="s">
        <v>13</v>
      </c>
      <c r="M10114" s="1" t="str">
        <f>"江苏省 无锡市 梁溪区 "</f>
        <v xml:space="preserve">江苏省 无锡市 梁溪区 </v>
      </c>
      <c r="N10114" s="1" t="str">
        <f t="shared" si="2772"/>
        <v>凡华云仓-韵达-微信视频号</v>
      </c>
      <c r="O10114" s="5">
        <v>315011838799469</v>
      </c>
      <c r="P10114" s="6">
        <v>0.28000000000000003</v>
      </c>
      <c r="Q10114" s="11">
        <v>2</v>
      </c>
      <c r="R10114" s="11"/>
      <c r="S10114" s="11"/>
      <c r="T10114" s="11"/>
      <c r="U10114" s="11">
        <f t="shared" si="2765"/>
        <v>2</v>
      </c>
      <c r="W10114">
        <v>2.2000000000000002</v>
      </c>
      <c r="X10114" s="1" t="s">
        <v>13</v>
      </c>
    </row>
    <row r="10115" spans="1:24" x14ac:dyDescent="0.25">
      <c r="A10115" s="1" t="str">
        <f t="shared" si="2778"/>
        <v>卡卡杜-凤凰仓</v>
      </c>
      <c r="B10115" s="1" t="str">
        <f>"CK2024100310352"</f>
        <v>CK2024100310352</v>
      </c>
      <c r="C10115" s="1" t="str">
        <f>"DD2024100324025"</f>
        <v>DD2024100324025</v>
      </c>
      <c r="D10115" s="1" t="str">
        <f>"CK2024100324651"</f>
        <v>CK2024100324651</v>
      </c>
      <c r="E10115" s="1" t="str">
        <f>"3723035067277774848"</f>
        <v>3723035067277774848</v>
      </c>
      <c r="F10115" s="1" t="str">
        <f t="shared" si="2779"/>
        <v>花都四部-凤凰仓</v>
      </c>
      <c r="G10115" s="1" t="str">
        <f t="shared" si="2770"/>
        <v>卡卡杜企业店（视频号）</v>
      </c>
      <c r="H10115" s="1" t="str">
        <f t="shared" si="2780"/>
        <v>正常订单</v>
      </c>
      <c r="I10115" s="1" t="str">
        <f t="shared" si="2781"/>
        <v>已发货</v>
      </c>
      <c r="J10115" s="1" t="str">
        <f t="shared" si="2783"/>
        <v>2</v>
      </c>
      <c r="K10115" s="1">
        <v>2</v>
      </c>
      <c r="L10115" s="1" t="s">
        <v>18</v>
      </c>
      <c r="M10115" s="1" t="str">
        <f>"广东省 广州市 番禺区 "</f>
        <v xml:space="preserve">广东省 广州市 番禺区 </v>
      </c>
      <c r="N10115" s="1" t="str">
        <f t="shared" si="2772"/>
        <v>凡华云仓-韵达-微信视频号</v>
      </c>
      <c r="O10115" s="5">
        <v>315011824678183</v>
      </c>
      <c r="P10115" s="6">
        <v>0.28000000000000003</v>
      </c>
      <c r="Q10115" s="11">
        <v>2</v>
      </c>
      <c r="R10115" s="11"/>
      <c r="S10115" s="11"/>
      <c r="T10115" s="11"/>
      <c r="U10115" s="11">
        <f t="shared" ref="U10115:U10178" si="2784">T10115+S10115+R10115+Q10115</f>
        <v>2</v>
      </c>
      <c r="W10115">
        <v>2.2000000000000002</v>
      </c>
      <c r="X10115" s="1" t="s">
        <v>18</v>
      </c>
    </row>
    <row r="10116" spans="1:24" x14ac:dyDescent="0.25">
      <c r="A10116" s="1" t="str">
        <f t="shared" si="2778"/>
        <v>卡卡杜-凤凰仓</v>
      </c>
      <c r="B10116" s="1" t="str">
        <f>"CK2024100310383"</f>
        <v>CK2024100310383</v>
      </c>
      <c r="C10116" s="1" t="str">
        <f>"DD2024100324422"</f>
        <v>DD2024100324422</v>
      </c>
      <c r="D10116" s="1" t="str">
        <f>"CK2024100324650"</f>
        <v>CK2024100324650</v>
      </c>
      <c r="E10116" s="1" t="str">
        <f>"3723034659042757632"</f>
        <v>3723034659042757632</v>
      </c>
      <c r="F10116" s="1" t="str">
        <f t="shared" si="2779"/>
        <v>花都四部-凤凰仓</v>
      </c>
      <c r="G10116" s="1" t="str">
        <f t="shared" si="2770"/>
        <v>卡卡杜企业店（视频号）</v>
      </c>
      <c r="H10116" s="1" t="str">
        <f t="shared" si="2780"/>
        <v>正常订单</v>
      </c>
      <c r="I10116" s="1" t="str">
        <f t="shared" si="2781"/>
        <v>已发货</v>
      </c>
      <c r="J10116" s="1" t="str">
        <f>"4"</f>
        <v>4</v>
      </c>
      <c r="K10116" s="1">
        <v>2</v>
      </c>
      <c r="L10116" s="1" t="s">
        <v>18</v>
      </c>
      <c r="M10116" s="1" t="str">
        <f>"广东省 广州市 天河区 "</f>
        <v xml:space="preserve">广东省 广州市 天河区 </v>
      </c>
      <c r="N10116" s="1" t="str">
        <f t="shared" si="2772"/>
        <v>凡华云仓-韵达-微信视频号</v>
      </c>
      <c r="O10116" s="5">
        <v>315011824675091</v>
      </c>
      <c r="P10116" s="6">
        <v>0.52</v>
      </c>
      <c r="Q10116" s="11">
        <f t="shared" ref="Q10116:Q10118" si="2785">CEILING(P10116-0.5,0.1)*10*0.15+2.3</f>
        <v>2.4499999999999997</v>
      </c>
      <c r="R10116" s="11"/>
      <c r="S10116" s="11"/>
      <c r="T10116" s="11"/>
      <c r="U10116" s="11">
        <f t="shared" si="2784"/>
        <v>2.4499999999999997</v>
      </c>
      <c r="V10116" t="s">
        <v>15</v>
      </c>
      <c r="W10116">
        <v>2.4500000000000002</v>
      </c>
      <c r="X10116" s="1" t="s">
        <v>18</v>
      </c>
    </row>
    <row r="10117" spans="1:24" x14ac:dyDescent="0.25">
      <c r="A10117" s="1" t="str">
        <f t="shared" si="2778"/>
        <v>卡卡杜-凤凰仓</v>
      </c>
      <c r="B10117" s="1" t="str">
        <f>"CK2024100211530"</f>
        <v>CK2024100211530</v>
      </c>
      <c r="C10117" s="1" t="str">
        <f>"DD2024100243496"</f>
        <v>DD2024100243496</v>
      </c>
      <c r="D10117" s="1" t="str">
        <f>"CK2024100245330"</f>
        <v>CK2024100245330</v>
      </c>
      <c r="E10117" s="1" t="str">
        <f>"3723033183189599488"</f>
        <v>3723033183189599488</v>
      </c>
      <c r="F10117" s="1" t="str">
        <f t="shared" si="2779"/>
        <v>花都四部-凤凰仓</v>
      </c>
      <c r="G10117" s="1" t="str">
        <f t="shared" si="2770"/>
        <v>卡卡杜企业店（视频号）</v>
      </c>
      <c r="H10117" s="1" t="str">
        <f t="shared" si="2780"/>
        <v>正常订单</v>
      </c>
      <c r="I10117" s="1" t="str">
        <f t="shared" si="2781"/>
        <v>已发货</v>
      </c>
      <c r="J10117" s="1" t="str">
        <f>"5"</f>
        <v>5</v>
      </c>
      <c r="K10117" s="1">
        <v>3</v>
      </c>
      <c r="L10117" s="1" t="s">
        <v>18</v>
      </c>
      <c r="M10117" s="1" t="str">
        <f>"广东省 佛山市 顺德区 "</f>
        <v xml:space="preserve">广东省 佛山市 顺德区 </v>
      </c>
      <c r="N10117" s="1" t="str">
        <f t="shared" si="2772"/>
        <v>凡华云仓-韵达-微信视频号</v>
      </c>
      <c r="O10117" s="5">
        <v>315011773966358</v>
      </c>
      <c r="P10117" s="6">
        <v>0.56000000000000005</v>
      </c>
      <c r="Q10117" s="11">
        <f t="shared" si="2785"/>
        <v>2.4499999999999997</v>
      </c>
      <c r="R10117" s="11"/>
      <c r="S10117" s="11"/>
      <c r="T10117" s="11"/>
      <c r="U10117" s="11">
        <f t="shared" si="2784"/>
        <v>2.4499999999999997</v>
      </c>
      <c r="V10117" t="s">
        <v>15</v>
      </c>
      <c r="W10117">
        <v>2.4500000000000002</v>
      </c>
      <c r="X10117" s="1" t="s">
        <v>18</v>
      </c>
    </row>
    <row r="10118" spans="1:24" x14ac:dyDescent="0.25">
      <c r="A10118" s="1" t="str">
        <f t="shared" si="2778"/>
        <v>卡卡杜-凤凰仓</v>
      </c>
      <c r="B10118" s="1" t="str">
        <f>"CK2024100211524"</f>
        <v>CK2024100211524</v>
      </c>
      <c r="C10118" s="1" t="str">
        <f>"DD2024100243493"</f>
        <v>DD2024100243493</v>
      </c>
      <c r="D10118" s="1" t="str">
        <f>"CK2024100245329"</f>
        <v>CK2024100245329</v>
      </c>
      <c r="E10118" s="1" t="str">
        <f>"3723034168144561408"</f>
        <v>3723034168144561408</v>
      </c>
      <c r="F10118" s="1" t="str">
        <f t="shared" si="2779"/>
        <v>花都四部-凤凰仓</v>
      </c>
      <c r="G10118" s="1" t="str">
        <f t="shared" si="2770"/>
        <v>卡卡杜企业店（视频号）</v>
      </c>
      <c r="H10118" s="1" t="str">
        <f t="shared" si="2780"/>
        <v>正常订单</v>
      </c>
      <c r="I10118" s="1" t="str">
        <f t="shared" si="2781"/>
        <v>已发货</v>
      </c>
      <c r="J10118" s="1" t="str">
        <f>"5"</f>
        <v>5</v>
      </c>
      <c r="K10118" s="1">
        <v>3</v>
      </c>
      <c r="L10118" s="1" t="s">
        <v>13</v>
      </c>
      <c r="M10118" s="1" t="str">
        <f>"江苏省 苏州市 常熟市 "</f>
        <v xml:space="preserve">江苏省 苏州市 常熟市 </v>
      </c>
      <c r="N10118" s="1" t="str">
        <f t="shared" si="2772"/>
        <v>凡华云仓-韵达-微信视频号</v>
      </c>
      <c r="O10118" s="5">
        <v>315011773965175</v>
      </c>
      <c r="P10118" s="6">
        <v>0.56000000000000005</v>
      </c>
      <c r="Q10118" s="11">
        <f t="shared" si="2785"/>
        <v>2.4499999999999997</v>
      </c>
      <c r="R10118" s="11"/>
      <c r="S10118" s="11"/>
      <c r="T10118" s="11"/>
      <c r="U10118" s="11">
        <f t="shared" si="2784"/>
        <v>2.4499999999999997</v>
      </c>
      <c r="V10118" t="s">
        <v>15</v>
      </c>
      <c r="W10118">
        <v>2.4500000000000002</v>
      </c>
      <c r="X10118" s="1" t="s">
        <v>13</v>
      </c>
    </row>
    <row r="10119" spans="1:24" x14ac:dyDescent="0.25">
      <c r="A10119" s="1" t="str">
        <f t="shared" si="2778"/>
        <v>卡卡杜-凤凰仓</v>
      </c>
      <c r="B10119" s="1" t="str">
        <f>"CK2024100211529"</f>
        <v>CK2024100211529</v>
      </c>
      <c r="C10119" s="1" t="str">
        <f>"DD2024100243491"</f>
        <v>DD2024100243491</v>
      </c>
      <c r="D10119" s="1" t="str">
        <f>"CK2024100245328"</f>
        <v>CK2024100245328</v>
      </c>
      <c r="E10119" s="1" t="str">
        <f>"3723033411633941504"</f>
        <v>3723033411633941504</v>
      </c>
      <c r="F10119" s="1" t="str">
        <f t="shared" si="2779"/>
        <v>花都四部-凤凰仓</v>
      </c>
      <c r="G10119" s="1" t="str">
        <f t="shared" si="2770"/>
        <v>卡卡杜企业店（视频号）</v>
      </c>
      <c r="H10119" s="1" t="str">
        <f t="shared" si="2780"/>
        <v>正常订单</v>
      </c>
      <c r="I10119" s="1" t="str">
        <f t="shared" si="2781"/>
        <v>已发货</v>
      </c>
      <c r="J10119" s="1" t="str">
        <f t="shared" ref="J10119:J10123" si="2786">"3"</f>
        <v>3</v>
      </c>
      <c r="K10119" s="1">
        <v>3</v>
      </c>
      <c r="L10119" s="1" t="s">
        <v>74</v>
      </c>
      <c r="M10119" s="1" t="str">
        <f>"上海 上海市 静安区 "</f>
        <v xml:space="preserve">上海 上海市 静安区 </v>
      </c>
      <c r="N10119" s="1" t="str">
        <f t="shared" si="2772"/>
        <v>凡华云仓-韵达-微信视频号</v>
      </c>
      <c r="O10119" s="5">
        <v>315011773964089</v>
      </c>
      <c r="P10119" s="6">
        <v>0.33</v>
      </c>
      <c r="Q10119" s="11">
        <v>2.2999999999999998</v>
      </c>
      <c r="R10119" s="11"/>
      <c r="S10119" s="11"/>
      <c r="T10119" s="11"/>
      <c r="U10119" s="11">
        <f t="shared" si="2784"/>
        <v>2.2999999999999998</v>
      </c>
      <c r="W10119">
        <v>2.5</v>
      </c>
      <c r="X10119" s="1" t="s">
        <v>74</v>
      </c>
    </row>
    <row r="10120" spans="1:24" x14ac:dyDescent="0.25">
      <c r="A10120" s="1" t="str">
        <f t="shared" si="2778"/>
        <v>卡卡杜-凤凰仓</v>
      </c>
      <c r="B10120" s="1" t="str">
        <f>"CK2024100211525"</f>
        <v>CK2024100211525</v>
      </c>
      <c r="C10120" s="1" t="str">
        <f>"DD2024100243490"</f>
        <v>DD2024100243490</v>
      </c>
      <c r="D10120" s="1" t="str">
        <f>"CK2024100245327"</f>
        <v>CK2024100245327</v>
      </c>
      <c r="E10120" s="1" t="str">
        <f>"3723034111249091584"</f>
        <v>3723034111249091584</v>
      </c>
      <c r="F10120" s="1" t="str">
        <f t="shared" si="2779"/>
        <v>花都四部-凤凰仓</v>
      </c>
      <c r="G10120" s="1" t="str">
        <f t="shared" si="2770"/>
        <v>卡卡杜企业店（视频号）</v>
      </c>
      <c r="H10120" s="1" t="str">
        <f t="shared" si="2780"/>
        <v>正常订单</v>
      </c>
      <c r="I10120" s="1" t="str">
        <f t="shared" si="2781"/>
        <v>已发货</v>
      </c>
      <c r="J10120" s="1" t="str">
        <f t="shared" si="2786"/>
        <v>3</v>
      </c>
      <c r="K10120" s="1">
        <v>3</v>
      </c>
      <c r="L10120" s="1" t="s">
        <v>18</v>
      </c>
      <c r="M10120" s="1" t="str">
        <f>"广东省 中山市 横栏镇 "</f>
        <v xml:space="preserve">广东省 中山市 横栏镇 </v>
      </c>
      <c r="N10120" s="1" t="str">
        <f t="shared" si="2772"/>
        <v>凡华云仓-韵达-微信视频号</v>
      </c>
      <c r="O10120" s="5">
        <v>315011773962665</v>
      </c>
      <c r="P10120" s="6">
        <v>0.33</v>
      </c>
      <c r="Q10120" s="11">
        <v>2.2999999999999998</v>
      </c>
      <c r="R10120" s="11"/>
      <c r="S10120" s="11"/>
      <c r="T10120" s="11"/>
      <c r="U10120" s="11">
        <f t="shared" si="2784"/>
        <v>2.2999999999999998</v>
      </c>
      <c r="W10120">
        <v>2.5</v>
      </c>
      <c r="X10120" s="1" t="s">
        <v>18</v>
      </c>
    </row>
    <row r="10121" spans="1:24" x14ac:dyDescent="0.25">
      <c r="A10121" s="1" t="str">
        <f t="shared" si="2778"/>
        <v>卡卡杜-凤凰仓</v>
      </c>
      <c r="B10121" s="1" t="str">
        <f>"CK2024100211528"</f>
        <v>CK2024100211528</v>
      </c>
      <c r="C10121" s="1" t="str">
        <f>"DD2024100243494"</f>
        <v>DD2024100243494</v>
      </c>
      <c r="D10121" s="1" t="str">
        <f>"CK2024100245326"</f>
        <v>CK2024100245326</v>
      </c>
      <c r="E10121" s="1" t="str">
        <f>"3723033437868002304"</f>
        <v>3723033437868002304</v>
      </c>
      <c r="F10121" s="1" t="str">
        <f t="shared" si="2779"/>
        <v>花都四部-凤凰仓</v>
      </c>
      <c r="G10121" s="1" t="str">
        <f t="shared" si="2770"/>
        <v>卡卡杜企业店（视频号）</v>
      </c>
      <c r="H10121" s="1" t="str">
        <f t="shared" si="2780"/>
        <v>正常订单</v>
      </c>
      <c r="I10121" s="1" t="str">
        <f t="shared" si="2781"/>
        <v>已发货</v>
      </c>
      <c r="J10121" s="1" t="str">
        <f t="shared" si="2786"/>
        <v>3</v>
      </c>
      <c r="K10121" s="1">
        <v>3</v>
      </c>
      <c r="L10121" s="1" t="s">
        <v>18</v>
      </c>
      <c r="M10121" s="1" t="str">
        <f>"广东省 广州市 白云区 "</f>
        <v xml:space="preserve">广东省 广州市 白云区 </v>
      </c>
      <c r="N10121" s="1" t="str">
        <f t="shared" si="2772"/>
        <v>凡华云仓-韵达-微信视频号</v>
      </c>
      <c r="O10121" s="5">
        <v>315011773962281</v>
      </c>
      <c r="P10121" s="6">
        <v>0.33</v>
      </c>
      <c r="Q10121" s="11">
        <v>2.2999999999999998</v>
      </c>
      <c r="R10121" s="11"/>
      <c r="S10121" s="11"/>
      <c r="T10121" s="11"/>
      <c r="U10121" s="11">
        <f t="shared" si="2784"/>
        <v>2.2999999999999998</v>
      </c>
      <c r="W10121">
        <v>2.5</v>
      </c>
      <c r="X10121" s="1" t="s">
        <v>18</v>
      </c>
    </row>
    <row r="10122" spans="1:24" x14ac:dyDescent="0.25">
      <c r="A10122" s="1" t="str">
        <f t="shared" si="2778"/>
        <v>卡卡杜-凤凰仓</v>
      </c>
      <c r="B10122" s="1" t="str">
        <f>"CK2024100211526"</f>
        <v>CK2024100211526</v>
      </c>
      <c r="C10122" s="1" t="str">
        <f>"DD2024100243492"</f>
        <v>DD2024100243492</v>
      </c>
      <c r="D10122" s="1" t="str">
        <f>"CK2024100245325"</f>
        <v>CK2024100245325</v>
      </c>
      <c r="E10122" s="1" t="str">
        <f>"3723034077321102592"</f>
        <v>3723034077321102592</v>
      </c>
      <c r="F10122" s="1" t="str">
        <f t="shared" si="2779"/>
        <v>花都四部-凤凰仓</v>
      </c>
      <c r="G10122" s="1" t="str">
        <f t="shared" si="2770"/>
        <v>卡卡杜企业店（视频号）</v>
      </c>
      <c r="H10122" s="1" t="str">
        <f t="shared" si="2780"/>
        <v>正常订单</v>
      </c>
      <c r="I10122" s="1" t="str">
        <f t="shared" si="2781"/>
        <v>已发货</v>
      </c>
      <c r="J10122" s="1" t="str">
        <f t="shared" si="2786"/>
        <v>3</v>
      </c>
      <c r="K10122" s="1">
        <v>3</v>
      </c>
      <c r="L10122" s="1" t="s">
        <v>13</v>
      </c>
      <c r="M10122" s="1" t="str">
        <f>"江苏省 苏州市 太仓市 "</f>
        <v xml:space="preserve">江苏省 苏州市 太仓市 </v>
      </c>
      <c r="N10122" s="1" t="str">
        <f t="shared" si="2772"/>
        <v>凡华云仓-韵达-微信视频号</v>
      </c>
      <c r="O10122" s="5">
        <v>315011773961775</v>
      </c>
      <c r="P10122" s="6">
        <v>0.33</v>
      </c>
      <c r="Q10122" s="11">
        <v>2.2999999999999998</v>
      </c>
      <c r="R10122" s="11"/>
      <c r="S10122" s="11"/>
      <c r="T10122" s="11"/>
      <c r="U10122" s="11">
        <f t="shared" si="2784"/>
        <v>2.2999999999999998</v>
      </c>
      <c r="W10122">
        <v>2.5</v>
      </c>
      <c r="X10122" s="1" t="s">
        <v>13</v>
      </c>
    </row>
    <row r="10123" spans="1:24" x14ac:dyDescent="0.25">
      <c r="A10123" s="1" t="str">
        <f t="shared" si="2778"/>
        <v>卡卡杜-凤凰仓</v>
      </c>
      <c r="B10123" s="1" t="str">
        <f>"CK2024100211527"</f>
        <v>CK2024100211527</v>
      </c>
      <c r="C10123" s="1" t="str">
        <f>"DD2024100243495"</f>
        <v>DD2024100243495</v>
      </c>
      <c r="D10123" s="1" t="str">
        <f>"CK2024100245259"</f>
        <v>CK2024100245259</v>
      </c>
      <c r="E10123" s="1" t="str">
        <f>"6917743830853057647"</f>
        <v>6917743830853057647</v>
      </c>
      <c r="F10123" s="1" t="str">
        <f t="shared" si="2779"/>
        <v>花都四部-凤凰仓</v>
      </c>
      <c r="G10123" s="1" t="str">
        <f>"卡卡杜个人护理店（抖店）"</f>
        <v>卡卡杜个人护理店（抖店）</v>
      </c>
      <c r="H10123" s="1" t="str">
        <f t="shared" si="2780"/>
        <v>正常订单</v>
      </c>
      <c r="I10123" s="1" t="str">
        <f t="shared" si="2781"/>
        <v>已发货</v>
      </c>
      <c r="J10123" s="1" t="str">
        <f t="shared" si="2786"/>
        <v>3</v>
      </c>
      <c r="K10123" s="1">
        <v>3</v>
      </c>
      <c r="L10123" s="1" t="s">
        <v>18</v>
      </c>
      <c r="M10123" s="1" t="str">
        <f>"广东省 惠州市 惠城区 河南岸街道"</f>
        <v>广东省 惠州市 惠城区 河南岸街道</v>
      </c>
      <c r="N10123" s="1" t="str">
        <f>"凡华云仓-韵达-抖音"</f>
        <v>凡华云仓-韵达-抖音</v>
      </c>
      <c r="O10123" s="5">
        <v>320152722567955</v>
      </c>
      <c r="P10123" s="6">
        <v>0.33</v>
      </c>
      <c r="Q10123" s="11">
        <v>2.2999999999999998</v>
      </c>
      <c r="R10123" s="11"/>
      <c r="S10123" s="11"/>
      <c r="T10123" s="11"/>
      <c r="U10123" s="11">
        <f t="shared" si="2784"/>
        <v>2.2999999999999998</v>
      </c>
      <c r="W10123">
        <v>2.5</v>
      </c>
      <c r="X10123" s="1" t="s">
        <v>18</v>
      </c>
    </row>
    <row r="10124" spans="1:24" x14ac:dyDescent="0.25">
      <c r="A10124" s="1" t="str">
        <f t="shared" si="2778"/>
        <v>卡卡杜-凤凰仓</v>
      </c>
      <c r="B10124" s="1" t="str">
        <f>"CK2024100210849"</f>
        <v>CK2024100210849</v>
      </c>
      <c r="C10124" s="1" t="str">
        <f>"DD2024100234895"</f>
        <v>DD2024100234895</v>
      </c>
      <c r="D10124" s="1" t="str">
        <f>"CK2024100240522"</f>
        <v>CK2024100240522</v>
      </c>
      <c r="E10124" s="1" t="str">
        <f>"6917740990871797086"</f>
        <v>6917740990871797086</v>
      </c>
      <c r="F10124" s="1" t="str">
        <f t="shared" si="2779"/>
        <v>花都四部-凤凰仓</v>
      </c>
      <c r="G10124" s="1" t="str">
        <f>"卡卡杜个人护理店（抖店）"</f>
        <v>卡卡杜个人护理店（抖店）</v>
      </c>
      <c r="H10124" s="1" t="str">
        <f t="shared" si="2780"/>
        <v>正常订单</v>
      </c>
      <c r="I10124" s="1" t="str">
        <f t="shared" si="2781"/>
        <v>已发货</v>
      </c>
      <c r="J10124" s="1" t="str">
        <f>"2"</f>
        <v>2</v>
      </c>
      <c r="K10124" s="1">
        <v>2</v>
      </c>
      <c r="L10124" s="1" t="s">
        <v>20</v>
      </c>
      <c r="M10124" s="1" t="str">
        <f>"浙江省 宁波市 鄞州区 明楼街道"</f>
        <v>浙江省 宁波市 鄞州区 明楼街道</v>
      </c>
      <c r="N10124" s="1" t="str">
        <f>"凡华云仓-韵达-抖音"</f>
        <v>凡华云仓-韵达-抖音</v>
      </c>
      <c r="O10124" s="5">
        <v>320152600225052</v>
      </c>
      <c r="P10124" s="6">
        <v>0.28000000000000003</v>
      </c>
      <c r="Q10124" s="11">
        <v>2</v>
      </c>
      <c r="R10124" s="11"/>
      <c r="S10124" s="11"/>
      <c r="T10124" s="11"/>
      <c r="U10124" s="11">
        <f t="shared" si="2784"/>
        <v>2</v>
      </c>
      <c r="W10124">
        <v>2.2000000000000002</v>
      </c>
      <c r="X10124" s="1" t="s">
        <v>20</v>
      </c>
    </row>
    <row r="10125" spans="1:24" x14ac:dyDescent="0.25">
      <c r="A10125" s="1" t="str">
        <f t="shared" si="2778"/>
        <v>卡卡杜-凤凰仓</v>
      </c>
      <c r="B10125" s="1" t="str">
        <f>"CK2024100210863"</f>
        <v>CK2024100210863</v>
      </c>
      <c r="C10125" s="1" t="str">
        <f>"DD2024100235043"</f>
        <v>DD2024100235043</v>
      </c>
      <c r="D10125" s="1" t="str">
        <f>"CK2024100240516"</f>
        <v>CK2024100240516</v>
      </c>
      <c r="E10125" s="1" t="str">
        <f>"2312187169680390379"</f>
        <v>2312187169680390379</v>
      </c>
      <c r="F10125" s="1" t="str">
        <f t="shared" si="2779"/>
        <v>花都四部-凤凰仓</v>
      </c>
      <c r="G10125" s="1" t="str">
        <f>"卡卡杜旗舰店(天猫）"</f>
        <v>卡卡杜旗舰店(天猫）</v>
      </c>
      <c r="H10125" s="1" t="str">
        <f t="shared" si="2780"/>
        <v>正常订单</v>
      </c>
      <c r="I10125" s="1" t="str">
        <f t="shared" si="2781"/>
        <v>已发货</v>
      </c>
      <c r="J10125" s="1" t="str">
        <f>"1"</f>
        <v>1</v>
      </c>
      <c r="K10125" s="1">
        <v>1</v>
      </c>
      <c r="L10125" s="1" t="s">
        <v>13</v>
      </c>
      <c r="M10125" s="1" t="str">
        <f>"江苏省 苏州市 吴中区 "</f>
        <v xml:space="preserve">江苏省 苏州市 吴中区 </v>
      </c>
      <c r="N10125" s="1" t="str">
        <f>"凡华云仓-韵达-淘宝"</f>
        <v>凡华云仓-韵达-淘宝</v>
      </c>
      <c r="O10125" s="5">
        <v>434165477822539</v>
      </c>
      <c r="P10125" s="6">
        <v>0.19</v>
      </c>
      <c r="Q10125" s="11">
        <v>2</v>
      </c>
      <c r="R10125" s="11"/>
      <c r="S10125" s="11"/>
      <c r="T10125" s="11"/>
      <c r="U10125" s="11">
        <f t="shared" si="2784"/>
        <v>2</v>
      </c>
      <c r="W10125">
        <v>2.2000000000000002</v>
      </c>
      <c r="X10125" s="1" t="s">
        <v>13</v>
      </c>
    </row>
    <row r="10126" spans="1:24" x14ac:dyDescent="0.25">
      <c r="A10126" s="1" t="str">
        <f t="shared" si="2778"/>
        <v>卡卡杜-凤凰仓</v>
      </c>
      <c r="B10126" s="1" t="str">
        <f>"CK2024100210850"</f>
        <v>CK2024100210850</v>
      </c>
      <c r="C10126" s="1" t="str">
        <f>"DD2024100234894"</f>
        <v>DD2024100234894</v>
      </c>
      <c r="D10126" s="1" t="str">
        <f>"CK2024100240515"</f>
        <v>CK2024100240515</v>
      </c>
      <c r="E10126" s="1" t="str">
        <f>"3723032882109089280"</f>
        <v>3723032882109089280</v>
      </c>
      <c r="F10126" s="1" t="str">
        <f t="shared" si="2779"/>
        <v>花都四部-凤凰仓</v>
      </c>
      <c r="G10126" s="1" t="str">
        <f t="shared" ref="G10126:G10130" si="2787">"卡卡杜企业店（视频号）"</f>
        <v>卡卡杜企业店（视频号）</v>
      </c>
      <c r="H10126" s="1" t="str">
        <f t="shared" si="2780"/>
        <v>正常订单</v>
      </c>
      <c r="I10126" s="1" t="str">
        <f t="shared" si="2781"/>
        <v>已发货</v>
      </c>
      <c r="J10126" s="1" t="str">
        <f>"2"</f>
        <v>2</v>
      </c>
      <c r="K10126" s="1">
        <v>2</v>
      </c>
      <c r="L10126" s="1" t="s">
        <v>18</v>
      </c>
      <c r="M10126" s="1" t="str">
        <f>"广东省 深圳市 南山区 "</f>
        <v xml:space="preserve">广东省 深圳市 南山区 </v>
      </c>
      <c r="N10126" s="1" t="str">
        <f t="shared" ref="N10126:N10130" si="2788">"凡华云仓-韵达-微信视频号"</f>
        <v>凡华云仓-韵达-微信视频号</v>
      </c>
      <c r="O10126" s="5">
        <v>315011765825856</v>
      </c>
      <c r="P10126" s="6">
        <v>0.28000000000000003</v>
      </c>
      <c r="Q10126" s="11">
        <v>2</v>
      </c>
      <c r="R10126" s="11"/>
      <c r="S10126" s="11"/>
      <c r="T10126" s="11"/>
      <c r="U10126" s="11">
        <f t="shared" si="2784"/>
        <v>2</v>
      </c>
      <c r="W10126">
        <v>2.2000000000000002</v>
      </c>
      <c r="X10126" s="1" t="s">
        <v>18</v>
      </c>
    </row>
    <row r="10127" spans="1:24" x14ac:dyDescent="0.25">
      <c r="A10127" s="1" t="str">
        <f t="shared" si="2778"/>
        <v>卡卡杜-凤凰仓</v>
      </c>
      <c r="B10127" s="1" t="str">
        <f>"CK2024100210845"</f>
        <v>CK2024100210845</v>
      </c>
      <c r="C10127" s="1" t="str">
        <f>"DD2024100234877"</f>
        <v>DD2024100234877</v>
      </c>
      <c r="D10127" s="1" t="str">
        <f>"CK2024100235004"</f>
        <v>CK2024100235004</v>
      </c>
      <c r="E10127" s="1" t="str">
        <f>"3723030252092001280"</f>
        <v>3723030252092001280</v>
      </c>
      <c r="F10127" s="1" t="str">
        <f t="shared" si="2779"/>
        <v>花都四部-凤凰仓</v>
      </c>
      <c r="G10127" s="1" t="str">
        <f t="shared" si="2787"/>
        <v>卡卡杜企业店（视频号）</v>
      </c>
      <c r="H10127" s="1" t="str">
        <f t="shared" si="2780"/>
        <v>正常订单</v>
      </c>
      <c r="I10127" s="1" t="str">
        <f t="shared" si="2781"/>
        <v>已发货</v>
      </c>
      <c r="J10127" s="1" t="str">
        <f t="shared" ref="J10127:J10130" si="2789">"5"</f>
        <v>5</v>
      </c>
      <c r="K10127" s="1">
        <v>3</v>
      </c>
      <c r="L10127" s="1" t="s">
        <v>24</v>
      </c>
      <c r="M10127" s="1" t="str">
        <f>"福建省 南平市 邵武市 "</f>
        <v xml:space="preserve">福建省 南平市 邵武市 </v>
      </c>
      <c r="N10127" s="1" t="str">
        <f t="shared" si="2788"/>
        <v>凡华云仓-韵达-微信视频号</v>
      </c>
      <c r="O10127" s="5">
        <v>315011764558640</v>
      </c>
      <c r="P10127" s="6">
        <v>0.56000000000000005</v>
      </c>
      <c r="Q10127" s="11">
        <f t="shared" ref="Q10127:Q10130" si="2790">CEILING(P10127-0.5,0.1)*10*0.15+2.3</f>
        <v>2.4499999999999997</v>
      </c>
      <c r="R10127" s="11"/>
      <c r="S10127" s="11"/>
      <c r="T10127" s="11"/>
      <c r="U10127" s="11">
        <f t="shared" si="2784"/>
        <v>2.4499999999999997</v>
      </c>
      <c r="V10127" t="s">
        <v>15</v>
      </c>
      <c r="W10127">
        <v>2.4500000000000002</v>
      </c>
      <c r="X10127" s="1" t="s">
        <v>24</v>
      </c>
    </row>
    <row r="10128" spans="1:24" x14ac:dyDescent="0.25">
      <c r="A10128" s="1" t="str">
        <f t="shared" si="2778"/>
        <v>卡卡杜-凤凰仓</v>
      </c>
      <c r="B10128" s="1" t="str">
        <f>"CK2024100210846"</f>
        <v>CK2024100210846</v>
      </c>
      <c r="C10128" s="1" t="str">
        <f>"DD2024100234875"</f>
        <v>DD2024100234875</v>
      </c>
      <c r="D10128" s="1" t="str">
        <f>"CK2024100235003"</f>
        <v>CK2024100235003</v>
      </c>
      <c r="E10128" s="1" t="str">
        <f>"3723030032450195456"</f>
        <v>3723030032450195456</v>
      </c>
      <c r="F10128" s="1" t="str">
        <f t="shared" si="2779"/>
        <v>花都四部-凤凰仓</v>
      </c>
      <c r="G10128" s="1" t="str">
        <f t="shared" si="2787"/>
        <v>卡卡杜企业店（视频号）</v>
      </c>
      <c r="H10128" s="1" t="str">
        <f t="shared" si="2780"/>
        <v>正常订单</v>
      </c>
      <c r="I10128" s="1" t="str">
        <f t="shared" si="2781"/>
        <v>已发货</v>
      </c>
      <c r="J10128" s="1" t="str">
        <f t="shared" si="2789"/>
        <v>5</v>
      </c>
      <c r="K10128" s="1">
        <v>3</v>
      </c>
      <c r="L10128" s="1" t="s">
        <v>16</v>
      </c>
      <c r="M10128" s="1" t="str">
        <f>"河北省 廊坊市 霸州市 "</f>
        <v xml:space="preserve">河北省 廊坊市 霸州市 </v>
      </c>
      <c r="N10128" s="1" t="str">
        <f t="shared" si="2788"/>
        <v>凡华云仓-韵达-微信视频号</v>
      </c>
      <c r="O10128" s="5">
        <v>315011764557346</v>
      </c>
      <c r="P10128" s="6">
        <v>0.56000000000000005</v>
      </c>
      <c r="Q10128" s="11">
        <f t="shared" si="2790"/>
        <v>2.4499999999999997</v>
      </c>
      <c r="R10128" s="11"/>
      <c r="S10128" s="11"/>
      <c r="T10128" s="11"/>
      <c r="U10128" s="11">
        <f t="shared" si="2784"/>
        <v>2.4499999999999997</v>
      </c>
      <c r="V10128" t="s">
        <v>15</v>
      </c>
      <c r="W10128">
        <v>2.4500000000000002</v>
      </c>
      <c r="X10128" s="1" t="s">
        <v>16</v>
      </c>
    </row>
    <row r="10129" spans="1:24" x14ac:dyDescent="0.25">
      <c r="A10129" s="1" t="str">
        <f t="shared" si="2778"/>
        <v>卡卡杜-凤凰仓</v>
      </c>
      <c r="B10129" s="1" t="str">
        <f>"CK2024100210847"</f>
        <v>CK2024100210847</v>
      </c>
      <c r="C10129" s="1" t="str">
        <f>"DD2024100234876"</f>
        <v>DD2024100234876</v>
      </c>
      <c r="D10129" s="1" t="str">
        <f>"CK2024100235002"</f>
        <v>CK2024100235002</v>
      </c>
      <c r="E10129" s="1" t="str">
        <f>"3723029985187988992"</f>
        <v>3723029985187988992</v>
      </c>
      <c r="F10129" s="1" t="str">
        <f t="shared" si="2779"/>
        <v>花都四部-凤凰仓</v>
      </c>
      <c r="G10129" s="1" t="str">
        <f t="shared" si="2787"/>
        <v>卡卡杜企业店（视频号）</v>
      </c>
      <c r="H10129" s="1" t="str">
        <f t="shared" si="2780"/>
        <v>正常订单</v>
      </c>
      <c r="I10129" s="1" t="str">
        <f t="shared" si="2781"/>
        <v>已发货</v>
      </c>
      <c r="J10129" s="1" t="str">
        <f t="shared" si="2789"/>
        <v>5</v>
      </c>
      <c r="K10129" s="1">
        <v>3</v>
      </c>
      <c r="L10129" s="1" t="s">
        <v>18</v>
      </c>
      <c r="M10129" s="1" t="str">
        <f>"广东省 深圳市 罗湖区 "</f>
        <v xml:space="preserve">广东省 深圳市 罗湖区 </v>
      </c>
      <c r="N10129" s="1" t="str">
        <f t="shared" si="2788"/>
        <v>凡华云仓-韵达-微信视频号</v>
      </c>
      <c r="O10129" s="5">
        <v>315011764556072</v>
      </c>
      <c r="P10129" s="6">
        <v>0.56000000000000005</v>
      </c>
      <c r="Q10129" s="11">
        <f t="shared" si="2790"/>
        <v>2.4499999999999997</v>
      </c>
      <c r="R10129" s="11"/>
      <c r="S10129" s="11"/>
      <c r="T10129" s="11"/>
      <c r="U10129" s="11">
        <f t="shared" si="2784"/>
        <v>2.4499999999999997</v>
      </c>
      <c r="V10129" t="s">
        <v>15</v>
      </c>
      <c r="W10129">
        <v>2.4500000000000002</v>
      </c>
      <c r="X10129" s="1" t="s">
        <v>18</v>
      </c>
    </row>
    <row r="10130" spans="1:24" x14ac:dyDescent="0.25">
      <c r="A10130" s="1" t="str">
        <f t="shared" si="2778"/>
        <v>卡卡杜-凤凰仓</v>
      </c>
      <c r="B10130" s="1" t="str">
        <f>"CK2024100210848"</f>
        <v>CK2024100210848</v>
      </c>
      <c r="C10130" s="1" t="str">
        <f>"DD2024100234878"</f>
        <v>DD2024100234878</v>
      </c>
      <c r="D10130" s="1" t="str">
        <f>"CK2024100235001"</f>
        <v>CK2024100235001</v>
      </c>
      <c r="E10130" s="1" t="str">
        <f>"3723029754706530304"</f>
        <v>3723029754706530304</v>
      </c>
      <c r="F10130" s="1" t="str">
        <f t="shared" si="2779"/>
        <v>花都四部-凤凰仓</v>
      </c>
      <c r="G10130" s="1" t="str">
        <f t="shared" si="2787"/>
        <v>卡卡杜企业店（视频号）</v>
      </c>
      <c r="H10130" s="1" t="str">
        <f t="shared" si="2780"/>
        <v>正常订单</v>
      </c>
      <c r="I10130" s="1" t="str">
        <f t="shared" si="2781"/>
        <v>已发货</v>
      </c>
      <c r="J10130" s="1" t="str">
        <f t="shared" si="2789"/>
        <v>5</v>
      </c>
      <c r="K10130" s="1">
        <v>3</v>
      </c>
      <c r="L10130" s="1" t="s">
        <v>20</v>
      </c>
      <c r="M10130" s="1" t="str">
        <f>"浙江省 台州市 临海市 "</f>
        <v xml:space="preserve">浙江省 台州市 临海市 </v>
      </c>
      <c r="N10130" s="1" t="str">
        <f t="shared" si="2788"/>
        <v>凡华云仓-韵达-微信视频号</v>
      </c>
      <c r="O10130" s="5">
        <v>315011764554444</v>
      </c>
      <c r="P10130" s="6">
        <v>0.56000000000000005</v>
      </c>
      <c r="Q10130" s="11">
        <f t="shared" si="2790"/>
        <v>2.4499999999999997</v>
      </c>
      <c r="R10130" s="11"/>
      <c r="S10130" s="11"/>
      <c r="T10130" s="11"/>
      <c r="U10130" s="11">
        <f t="shared" si="2784"/>
        <v>2.4499999999999997</v>
      </c>
      <c r="V10130" t="s">
        <v>15</v>
      </c>
      <c r="W10130">
        <v>2.4500000000000002</v>
      </c>
      <c r="X10130" s="1" t="s">
        <v>20</v>
      </c>
    </row>
    <row r="10131" spans="1:24" x14ac:dyDescent="0.25">
      <c r="A10131" s="1" t="str">
        <f t="shared" si="2778"/>
        <v>卡卡杜-凤凰仓</v>
      </c>
      <c r="B10131" s="1" t="str">
        <f>"CK2024100210795"</f>
        <v>CK2024100210795</v>
      </c>
      <c r="C10131" s="1" t="str">
        <f>"DD2024100234575"</f>
        <v>DD2024100234575</v>
      </c>
      <c r="D10131" s="1" t="str">
        <f>"CK2024100235000"</f>
        <v>CK2024100235000</v>
      </c>
      <c r="E10131" s="1" t="str">
        <f>"6917732516352588827"</f>
        <v>6917732516352588827</v>
      </c>
      <c r="F10131" s="1" t="str">
        <f t="shared" si="2779"/>
        <v>花都四部-凤凰仓</v>
      </c>
      <c r="G10131" s="1" t="str">
        <f t="shared" ref="G10131:G10153" si="2791">"卡卡杜个人护理店（抖店）"</f>
        <v>卡卡杜个人护理店（抖店）</v>
      </c>
      <c r="H10131" s="1" t="str">
        <f t="shared" si="2780"/>
        <v>正常订单</v>
      </c>
      <c r="I10131" s="1" t="str">
        <f t="shared" si="2781"/>
        <v>已发货</v>
      </c>
      <c r="J10131" s="1" t="str">
        <f t="shared" ref="J10131:J10167" si="2792">"3"</f>
        <v>3</v>
      </c>
      <c r="K10131" s="1">
        <v>3</v>
      </c>
      <c r="L10131" s="1" t="s">
        <v>13</v>
      </c>
      <c r="M10131" s="1" t="str">
        <f>"江苏省 无锡市 锡山区 东亭街道"</f>
        <v>江苏省 无锡市 锡山区 东亭街道</v>
      </c>
      <c r="N10131" s="1" t="str">
        <f t="shared" ref="N10131:N10153" si="2793">"凡华云仓-韵达-抖音"</f>
        <v>凡华云仓-韵达-抖音</v>
      </c>
      <c r="O10131" s="5">
        <v>320152567724943</v>
      </c>
      <c r="P10131" s="6">
        <v>0.33</v>
      </c>
      <c r="Q10131" s="11">
        <v>2.2999999999999998</v>
      </c>
      <c r="R10131" s="11"/>
      <c r="S10131" s="11"/>
      <c r="T10131" s="11"/>
      <c r="U10131" s="11">
        <f t="shared" si="2784"/>
        <v>2.2999999999999998</v>
      </c>
      <c r="W10131">
        <v>2.5</v>
      </c>
      <c r="X10131" s="1" t="s">
        <v>13</v>
      </c>
    </row>
    <row r="10132" spans="1:24" x14ac:dyDescent="0.25">
      <c r="A10132" s="1" t="str">
        <f t="shared" si="2778"/>
        <v>卡卡杜-凤凰仓</v>
      </c>
      <c r="B10132" s="1" t="str">
        <f>"CK2024100210787"</f>
        <v>CK2024100210787</v>
      </c>
      <c r="C10132" s="1" t="str">
        <f>"DD2024100234567"</f>
        <v>DD2024100234567</v>
      </c>
      <c r="D10132" s="1" t="str">
        <f>"CK2024100234999"</f>
        <v>CK2024100234999</v>
      </c>
      <c r="E10132" s="1" t="str">
        <f>"6917732474257636674"</f>
        <v>6917732474257636674</v>
      </c>
      <c r="F10132" s="1" t="str">
        <f t="shared" si="2779"/>
        <v>花都四部-凤凰仓</v>
      </c>
      <c r="G10132" s="1" t="str">
        <f t="shared" si="2791"/>
        <v>卡卡杜个人护理店（抖店）</v>
      </c>
      <c r="H10132" s="1" t="str">
        <f t="shared" si="2780"/>
        <v>正常订单</v>
      </c>
      <c r="I10132" s="1" t="str">
        <f t="shared" si="2781"/>
        <v>已发货</v>
      </c>
      <c r="J10132" s="1" t="str">
        <f t="shared" si="2792"/>
        <v>3</v>
      </c>
      <c r="K10132" s="1">
        <v>3</v>
      </c>
      <c r="L10132" s="1" t="s">
        <v>32</v>
      </c>
      <c r="M10132" s="1" t="str">
        <f>"陕西省 西安市 雁塔区 长延堡街道"</f>
        <v>陕西省 西安市 雁塔区 长延堡街道</v>
      </c>
      <c r="N10132" s="1" t="str">
        <f t="shared" si="2793"/>
        <v>凡华云仓-韵达-抖音</v>
      </c>
      <c r="O10132" s="5">
        <v>320152567724838</v>
      </c>
      <c r="P10132" s="6">
        <v>0.33</v>
      </c>
      <c r="Q10132" s="11">
        <v>2.2999999999999998</v>
      </c>
      <c r="R10132" s="11"/>
      <c r="S10132" s="11"/>
      <c r="T10132" s="11"/>
      <c r="U10132" s="11">
        <f t="shared" si="2784"/>
        <v>2.2999999999999998</v>
      </c>
      <c r="W10132">
        <v>2.5</v>
      </c>
      <c r="X10132" s="1" t="s">
        <v>32</v>
      </c>
    </row>
    <row r="10133" spans="1:24" x14ac:dyDescent="0.25">
      <c r="A10133" s="1" t="str">
        <f t="shared" si="2778"/>
        <v>卡卡杜-凤凰仓</v>
      </c>
      <c r="B10133" s="1" t="str">
        <f>"CK2024100210788"</f>
        <v>CK2024100210788</v>
      </c>
      <c r="C10133" s="1" t="str">
        <f>"DD2024100234570"</f>
        <v>DD2024100234570</v>
      </c>
      <c r="D10133" s="1" t="str">
        <f>"CK2024100234998"</f>
        <v>CK2024100234998</v>
      </c>
      <c r="E10133" s="1" t="str">
        <f>"6917730088207416765"</f>
        <v>6917730088207416765</v>
      </c>
      <c r="F10133" s="1" t="str">
        <f t="shared" si="2779"/>
        <v>花都四部-凤凰仓</v>
      </c>
      <c r="G10133" s="1" t="str">
        <f t="shared" si="2791"/>
        <v>卡卡杜个人护理店（抖店）</v>
      </c>
      <c r="H10133" s="1" t="str">
        <f t="shared" si="2780"/>
        <v>正常订单</v>
      </c>
      <c r="I10133" s="1" t="str">
        <f t="shared" si="2781"/>
        <v>已发货</v>
      </c>
      <c r="J10133" s="1" t="str">
        <f t="shared" si="2792"/>
        <v>3</v>
      </c>
      <c r="K10133" s="1">
        <v>3</v>
      </c>
      <c r="L10133" s="1" t="s">
        <v>96</v>
      </c>
      <c r="M10133" s="1" t="str">
        <f>"广西壮族自治区 贵港市 桂平市 西山镇"</f>
        <v>广西壮族自治区 贵港市 桂平市 西山镇</v>
      </c>
      <c r="N10133" s="1" t="str">
        <f t="shared" si="2793"/>
        <v>凡华云仓-韵达-抖音</v>
      </c>
      <c r="O10133" s="5">
        <v>320152567724735</v>
      </c>
      <c r="P10133" s="6">
        <v>0.33</v>
      </c>
      <c r="Q10133" s="11">
        <v>2.2999999999999998</v>
      </c>
      <c r="R10133" s="11"/>
      <c r="S10133" s="11"/>
      <c r="T10133" s="11"/>
      <c r="U10133" s="11">
        <f t="shared" si="2784"/>
        <v>2.2999999999999998</v>
      </c>
      <c r="W10133">
        <v>2.5</v>
      </c>
      <c r="X10133" s="1" t="s">
        <v>96</v>
      </c>
    </row>
    <row r="10134" spans="1:24" x14ac:dyDescent="0.25">
      <c r="A10134" s="1" t="str">
        <f t="shared" si="2778"/>
        <v>卡卡杜-凤凰仓</v>
      </c>
      <c r="B10134" s="1" t="str">
        <f>"CK2024100210791"</f>
        <v>CK2024100210791</v>
      </c>
      <c r="C10134" s="1" t="str">
        <f>"DD2024100234571"</f>
        <v>DD2024100234571</v>
      </c>
      <c r="D10134" s="1" t="str">
        <f>"CK2024100234997"</f>
        <v>CK2024100234997</v>
      </c>
      <c r="E10134" s="1" t="str">
        <f>"6917739108815765116"</f>
        <v>6917739108815765116</v>
      </c>
      <c r="F10134" s="1" t="str">
        <f t="shared" si="2779"/>
        <v>花都四部-凤凰仓</v>
      </c>
      <c r="G10134" s="1" t="str">
        <f t="shared" si="2791"/>
        <v>卡卡杜个人护理店（抖店）</v>
      </c>
      <c r="H10134" s="1" t="str">
        <f t="shared" si="2780"/>
        <v>正常订单</v>
      </c>
      <c r="I10134" s="1" t="str">
        <f t="shared" si="2781"/>
        <v>已发货</v>
      </c>
      <c r="J10134" s="1" t="str">
        <f t="shared" si="2792"/>
        <v>3</v>
      </c>
      <c r="K10134" s="1">
        <v>3</v>
      </c>
      <c r="L10134" s="1" t="s">
        <v>18</v>
      </c>
      <c r="M10134" s="1" t="str">
        <f>"广东省 珠海市 金湾区 红旗镇"</f>
        <v>广东省 珠海市 金湾区 红旗镇</v>
      </c>
      <c r="N10134" s="1" t="str">
        <f t="shared" si="2793"/>
        <v>凡华云仓-韵达-抖音</v>
      </c>
      <c r="O10134" s="5">
        <v>320152573363949</v>
      </c>
      <c r="P10134" s="6">
        <v>0.33</v>
      </c>
      <c r="Q10134" s="11">
        <v>2.2999999999999998</v>
      </c>
      <c r="R10134" s="11"/>
      <c r="S10134" s="11"/>
      <c r="T10134" s="11"/>
      <c r="U10134" s="11">
        <f t="shared" si="2784"/>
        <v>2.2999999999999998</v>
      </c>
      <c r="W10134">
        <v>2.5</v>
      </c>
      <c r="X10134" s="1" t="s">
        <v>18</v>
      </c>
    </row>
    <row r="10135" spans="1:24" x14ac:dyDescent="0.25">
      <c r="A10135" s="1" t="str">
        <f t="shared" si="2778"/>
        <v>卡卡杜-凤凰仓</v>
      </c>
      <c r="B10135" s="1" t="str">
        <f>"CK2024100210774"</f>
        <v>CK2024100210774</v>
      </c>
      <c r="C10135" s="1" t="str">
        <f>"DD2024100234552"</f>
        <v>DD2024100234552</v>
      </c>
      <c r="D10135" s="1" t="str">
        <f>"CK2024100234996"</f>
        <v>CK2024100234996</v>
      </c>
      <c r="E10135" s="1" t="str">
        <f>"6917730471791394152"</f>
        <v>6917730471791394152</v>
      </c>
      <c r="F10135" s="1" t="str">
        <f t="shared" si="2779"/>
        <v>花都四部-凤凰仓</v>
      </c>
      <c r="G10135" s="1" t="str">
        <f t="shared" si="2791"/>
        <v>卡卡杜个人护理店（抖店）</v>
      </c>
      <c r="H10135" s="1" t="str">
        <f t="shared" si="2780"/>
        <v>正常订单</v>
      </c>
      <c r="I10135" s="1" t="str">
        <f t="shared" si="2781"/>
        <v>已发货</v>
      </c>
      <c r="J10135" s="1" t="str">
        <f t="shared" si="2792"/>
        <v>3</v>
      </c>
      <c r="K10135" s="1">
        <v>3</v>
      </c>
      <c r="L10135" s="1" t="s">
        <v>20</v>
      </c>
      <c r="M10135" s="1" t="str">
        <f>"浙江省 杭州市 西湖区 文新街道"</f>
        <v>浙江省 杭州市 西湖区 文新街道</v>
      </c>
      <c r="N10135" s="1" t="str">
        <f t="shared" si="2793"/>
        <v>凡华云仓-韵达-抖音</v>
      </c>
      <c r="O10135" s="5">
        <v>320152573363844</v>
      </c>
      <c r="P10135" s="6">
        <v>0.33</v>
      </c>
      <c r="Q10135" s="11">
        <v>2.2999999999999998</v>
      </c>
      <c r="R10135" s="11"/>
      <c r="S10135" s="11"/>
      <c r="T10135" s="11"/>
      <c r="U10135" s="11">
        <f t="shared" si="2784"/>
        <v>2.2999999999999998</v>
      </c>
      <c r="W10135">
        <v>2.5</v>
      </c>
      <c r="X10135" s="1" t="s">
        <v>20</v>
      </c>
    </row>
    <row r="10136" spans="1:24" x14ac:dyDescent="0.25">
      <c r="A10136" s="1" t="str">
        <f t="shared" si="2778"/>
        <v>卡卡杜-凤凰仓</v>
      </c>
      <c r="B10136" s="1" t="str">
        <f>"CK2024100210789"</f>
        <v>CK2024100210789</v>
      </c>
      <c r="C10136" s="1" t="str">
        <f>"DD2024100234568"</f>
        <v>DD2024100234568</v>
      </c>
      <c r="D10136" s="1" t="str">
        <f>"CK2024100234995"</f>
        <v>CK2024100234995</v>
      </c>
      <c r="E10136" s="1" t="str">
        <f>"6917732420749327857"</f>
        <v>6917732420749327857</v>
      </c>
      <c r="F10136" s="1" t="str">
        <f t="shared" si="2779"/>
        <v>花都四部-凤凰仓</v>
      </c>
      <c r="G10136" s="1" t="str">
        <f t="shared" si="2791"/>
        <v>卡卡杜个人护理店（抖店）</v>
      </c>
      <c r="H10136" s="1" t="str">
        <f t="shared" si="2780"/>
        <v>正常订单</v>
      </c>
      <c r="I10136" s="1" t="str">
        <f t="shared" si="2781"/>
        <v>已发货</v>
      </c>
      <c r="J10136" s="1" t="str">
        <f t="shared" si="2792"/>
        <v>3</v>
      </c>
      <c r="K10136" s="1">
        <v>3</v>
      </c>
      <c r="L10136" s="1" t="s">
        <v>60</v>
      </c>
      <c r="M10136" s="1" t="str">
        <f>"云南省 昆明市 西山区 金碧街道"</f>
        <v>云南省 昆明市 西山区 金碧街道</v>
      </c>
      <c r="N10136" s="1" t="str">
        <f t="shared" si="2793"/>
        <v>凡华云仓-韵达-抖音</v>
      </c>
      <c r="O10136" s="5">
        <v>320152573363741</v>
      </c>
      <c r="P10136" s="6">
        <v>0.33</v>
      </c>
      <c r="Q10136" s="11">
        <v>2.2999999999999998</v>
      </c>
      <c r="R10136" s="11"/>
      <c r="S10136" s="11"/>
      <c r="T10136" s="11"/>
      <c r="U10136" s="11">
        <f t="shared" si="2784"/>
        <v>2.2999999999999998</v>
      </c>
      <c r="W10136">
        <v>2.5</v>
      </c>
      <c r="X10136" s="1" t="s">
        <v>60</v>
      </c>
    </row>
    <row r="10137" spans="1:24" x14ac:dyDescent="0.25">
      <c r="A10137" s="1" t="str">
        <f t="shared" si="2778"/>
        <v>卡卡杜-凤凰仓</v>
      </c>
      <c r="B10137" s="1" t="str">
        <f>"CK2024100210800"</f>
        <v>CK2024100210800</v>
      </c>
      <c r="C10137" s="1" t="str">
        <f>"DD2024100234580"</f>
        <v>DD2024100234580</v>
      </c>
      <c r="D10137" s="1" t="str">
        <f>"CK2024100234994"</f>
        <v>CK2024100234994</v>
      </c>
      <c r="E10137" s="1" t="str">
        <f>"6917734738891799823"</f>
        <v>6917734738891799823</v>
      </c>
      <c r="F10137" s="1" t="str">
        <f t="shared" si="2779"/>
        <v>花都四部-凤凰仓</v>
      </c>
      <c r="G10137" s="1" t="str">
        <f t="shared" si="2791"/>
        <v>卡卡杜个人护理店（抖店）</v>
      </c>
      <c r="H10137" s="1" t="str">
        <f t="shared" si="2780"/>
        <v>正常订单</v>
      </c>
      <c r="I10137" s="1" t="str">
        <f t="shared" si="2781"/>
        <v>已发货</v>
      </c>
      <c r="J10137" s="1" t="str">
        <f t="shared" si="2792"/>
        <v>3</v>
      </c>
      <c r="K10137" s="1">
        <v>3</v>
      </c>
      <c r="L10137" s="1" t="s">
        <v>96</v>
      </c>
      <c r="M10137" s="1" t="str">
        <f>"广西壮族自治区 南宁市 青秀区 津头街道"</f>
        <v>广西壮族自治区 南宁市 青秀区 津头街道</v>
      </c>
      <c r="N10137" s="1" t="str">
        <f t="shared" si="2793"/>
        <v>凡华云仓-韵达-抖音</v>
      </c>
      <c r="O10137" s="5">
        <v>320152573363640</v>
      </c>
      <c r="P10137" s="6">
        <v>0.33</v>
      </c>
      <c r="Q10137" s="11">
        <v>2.2999999999999998</v>
      </c>
      <c r="R10137" s="11"/>
      <c r="S10137" s="11"/>
      <c r="T10137" s="11"/>
      <c r="U10137" s="11">
        <f t="shared" si="2784"/>
        <v>2.2999999999999998</v>
      </c>
      <c r="W10137">
        <v>2.5</v>
      </c>
      <c r="X10137" s="1" t="s">
        <v>96</v>
      </c>
    </row>
    <row r="10138" spans="1:24" x14ac:dyDescent="0.25">
      <c r="A10138" s="1" t="str">
        <f t="shared" si="2778"/>
        <v>卡卡杜-凤凰仓</v>
      </c>
      <c r="B10138" s="1" t="str">
        <f>"CK2024100210772"</f>
        <v>CK2024100210772</v>
      </c>
      <c r="C10138" s="1" t="str">
        <f>"DD2024100234550"</f>
        <v>DD2024100234550</v>
      </c>
      <c r="D10138" s="1" t="str">
        <f>"CK2024100234993"</f>
        <v>CK2024100234993</v>
      </c>
      <c r="E10138" s="1" t="str">
        <f>"6917740352425065914"</f>
        <v>6917740352425065914</v>
      </c>
      <c r="F10138" s="1" t="str">
        <f t="shared" si="2779"/>
        <v>花都四部-凤凰仓</v>
      </c>
      <c r="G10138" s="1" t="str">
        <f t="shared" si="2791"/>
        <v>卡卡杜个人护理店（抖店）</v>
      </c>
      <c r="H10138" s="1" t="str">
        <f t="shared" si="2780"/>
        <v>正常订单</v>
      </c>
      <c r="I10138" s="1" t="str">
        <f t="shared" si="2781"/>
        <v>已发货</v>
      </c>
      <c r="J10138" s="1" t="str">
        <f t="shared" si="2792"/>
        <v>3</v>
      </c>
      <c r="K10138" s="1">
        <v>3</v>
      </c>
      <c r="L10138" s="1" t="s">
        <v>218</v>
      </c>
      <c r="M10138" s="1" t="str">
        <f>"天津 天津市 西青区 李七庄街道"</f>
        <v>天津 天津市 西青区 李七庄街道</v>
      </c>
      <c r="N10138" s="1" t="str">
        <f t="shared" si="2793"/>
        <v>凡华云仓-韵达-抖音</v>
      </c>
      <c r="O10138" s="5">
        <v>320152573363541</v>
      </c>
      <c r="P10138" s="6">
        <v>0.33</v>
      </c>
      <c r="Q10138" s="11">
        <v>2.2999999999999998</v>
      </c>
      <c r="R10138" s="11"/>
      <c r="S10138" s="11"/>
      <c r="T10138" s="11"/>
      <c r="U10138" s="11">
        <f t="shared" si="2784"/>
        <v>2.2999999999999998</v>
      </c>
      <c r="W10138">
        <v>2.5</v>
      </c>
      <c r="X10138" s="1" t="s">
        <v>218</v>
      </c>
    </row>
    <row r="10139" spans="1:24" x14ac:dyDescent="0.25">
      <c r="A10139" s="1" t="str">
        <f t="shared" si="2778"/>
        <v>卡卡杜-凤凰仓</v>
      </c>
      <c r="B10139" s="1" t="str">
        <f>"CK2024100210797"</f>
        <v>CK2024100210797</v>
      </c>
      <c r="C10139" s="1" t="str">
        <f>"DD2024100234577"</f>
        <v>DD2024100234577</v>
      </c>
      <c r="D10139" s="1" t="str">
        <f>"CK2024100234992"</f>
        <v>CK2024100234992</v>
      </c>
      <c r="E10139" s="1" t="str">
        <f>"6917732221572775487"</f>
        <v>6917732221572775487</v>
      </c>
      <c r="F10139" s="1" t="str">
        <f t="shared" si="2779"/>
        <v>花都四部-凤凰仓</v>
      </c>
      <c r="G10139" s="1" t="str">
        <f t="shared" si="2791"/>
        <v>卡卡杜个人护理店（抖店）</v>
      </c>
      <c r="H10139" s="1" t="str">
        <f t="shared" si="2780"/>
        <v>正常订单</v>
      </c>
      <c r="I10139" s="1" t="str">
        <f t="shared" si="2781"/>
        <v>已发货</v>
      </c>
      <c r="J10139" s="1" t="str">
        <f t="shared" si="2792"/>
        <v>3</v>
      </c>
      <c r="K10139" s="1">
        <v>3</v>
      </c>
      <c r="L10139" s="1" t="s">
        <v>18</v>
      </c>
      <c r="M10139" s="1" t="str">
        <f>"广东省 广州市 海珠区 南石头街道"</f>
        <v>广东省 广州市 海珠区 南石头街道</v>
      </c>
      <c r="N10139" s="1" t="str">
        <f t="shared" si="2793"/>
        <v>凡华云仓-韵达-抖音</v>
      </c>
      <c r="O10139" s="5">
        <v>320152573363444</v>
      </c>
      <c r="P10139" s="6">
        <v>0.33</v>
      </c>
      <c r="Q10139" s="11">
        <v>2.2999999999999998</v>
      </c>
      <c r="R10139" s="11"/>
      <c r="S10139" s="11"/>
      <c r="T10139" s="11"/>
      <c r="U10139" s="11">
        <f t="shared" si="2784"/>
        <v>2.2999999999999998</v>
      </c>
      <c r="W10139">
        <v>2.5</v>
      </c>
      <c r="X10139" s="1" t="s">
        <v>18</v>
      </c>
    </row>
    <row r="10140" spans="1:24" x14ac:dyDescent="0.25">
      <c r="A10140" s="1" t="str">
        <f t="shared" si="2778"/>
        <v>卡卡杜-凤凰仓</v>
      </c>
      <c r="B10140" s="1" t="str">
        <f>"CK2024100210790"</f>
        <v>CK2024100210790</v>
      </c>
      <c r="C10140" s="1" t="str">
        <f>"DD2024100234569"</f>
        <v>DD2024100234569</v>
      </c>
      <c r="D10140" s="1" t="str">
        <f>"CK2024100234991"</f>
        <v>CK2024100234991</v>
      </c>
      <c r="E10140" s="1" t="str">
        <f>"6917730189815413792"</f>
        <v>6917730189815413792</v>
      </c>
      <c r="F10140" s="1" t="str">
        <f t="shared" si="2779"/>
        <v>花都四部-凤凰仓</v>
      </c>
      <c r="G10140" s="1" t="str">
        <f t="shared" si="2791"/>
        <v>卡卡杜个人护理店（抖店）</v>
      </c>
      <c r="H10140" s="1" t="str">
        <f t="shared" si="2780"/>
        <v>正常订单</v>
      </c>
      <c r="I10140" s="1" t="str">
        <f t="shared" si="2781"/>
        <v>已发货</v>
      </c>
      <c r="J10140" s="1" t="str">
        <f t="shared" si="2792"/>
        <v>3</v>
      </c>
      <c r="K10140" s="1">
        <v>3</v>
      </c>
      <c r="L10140" s="1" t="s">
        <v>18</v>
      </c>
      <c r="M10140" s="1" t="str">
        <f>"广东省 广州市 花都区 新华街道"</f>
        <v>广东省 广州市 花都区 新华街道</v>
      </c>
      <c r="N10140" s="1" t="str">
        <f t="shared" si="2793"/>
        <v>凡华云仓-韵达-抖音</v>
      </c>
      <c r="O10140" s="5">
        <v>320152573363349</v>
      </c>
      <c r="P10140" s="6">
        <v>0.33</v>
      </c>
      <c r="Q10140" s="11">
        <v>2.2999999999999998</v>
      </c>
      <c r="R10140" s="11"/>
      <c r="S10140" s="11"/>
      <c r="T10140" s="11"/>
      <c r="U10140" s="11">
        <f t="shared" si="2784"/>
        <v>2.2999999999999998</v>
      </c>
      <c r="W10140">
        <v>2.5</v>
      </c>
      <c r="X10140" s="1" t="s">
        <v>18</v>
      </c>
    </row>
    <row r="10141" spans="1:24" x14ac:dyDescent="0.25">
      <c r="A10141" s="1" t="str">
        <f t="shared" si="2778"/>
        <v>卡卡杜-凤凰仓</v>
      </c>
      <c r="B10141" s="1" t="str">
        <f>"CK2024100210786"</f>
        <v>CK2024100210786</v>
      </c>
      <c r="C10141" s="1" t="str">
        <f>"DD2024100234566"</f>
        <v>DD2024100234566</v>
      </c>
      <c r="D10141" s="1" t="str">
        <f>"CK2024100234990"</f>
        <v>CK2024100234990</v>
      </c>
      <c r="E10141" s="1" t="str">
        <f>"6917732839936392451"</f>
        <v>6917732839936392451</v>
      </c>
      <c r="F10141" s="1" t="str">
        <f t="shared" si="2779"/>
        <v>花都四部-凤凰仓</v>
      </c>
      <c r="G10141" s="1" t="str">
        <f t="shared" si="2791"/>
        <v>卡卡杜个人护理店（抖店）</v>
      </c>
      <c r="H10141" s="1" t="str">
        <f t="shared" si="2780"/>
        <v>正常订单</v>
      </c>
      <c r="I10141" s="1" t="str">
        <f t="shared" si="2781"/>
        <v>已发货</v>
      </c>
      <c r="J10141" s="1" t="str">
        <f t="shared" si="2792"/>
        <v>3</v>
      </c>
      <c r="K10141" s="1">
        <v>3</v>
      </c>
      <c r="L10141" s="1" t="s">
        <v>18</v>
      </c>
      <c r="M10141" s="1" t="str">
        <f>"广东省 东莞市 东莞市 虎门镇"</f>
        <v>广东省 东莞市 东莞市 虎门镇</v>
      </c>
      <c r="N10141" s="1" t="str">
        <f t="shared" si="2793"/>
        <v>凡华云仓-韵达-抖音</v>
      </c>
      <c r="O10141" s="5">
        <v>320152573363256</v>
      </c>
      <c r="P10141" s="6">
        <v>0.33</v>
      </c>
      <c r="Q10141" s="11">
        <v>2.2999999999999998</v>
      </c>
      <c r="R10141" s="11"/>
      <c r="S10141" s="11"/>
      <c r="T10141" s="11"/>
      <c r="U10141" s="11">
        <f t="shared" si="2784"/>
        <v>2.2999999999999998</v>
      </c>
      <c r="W10141">
        <v>2.5</v>
      </c>
      <c r="X10141" s="1" t="s">
        <v>18</v>
      </c>
    </row>
    <row r="10142" spans="1:24" x14ac:dyDescent="0.25">
      <c r="A10142" s="1" t="str">
        <f t="shared" si="2778"/>
        <v>卡卡杜-凤凰仓</v>
      </c>
      <c r="B10142" s="1" t="str">
        <f>"CK2024100210784"</f>
        <v>CK2024100210784</v>
      </c>
      <c r="C10142" s="1" t="str">
        <f>"DD2024100234562"</f>
        <v>DD2024100234562</v>
      </c>
      <c r="D10142" s="1" t="str">
        <f>"CK2024100234989"</f>
        <v>CK2024100234989</v>
      </c>
      <c r="E10142" s="1" t="str">
        <f>"6917735079704100731"</f>
        <v>6917735079704100731</v>
      </c>
      <c r="F10142" s="1" t="str">
        <f t="shared" si="2779"/>
        <v>花都四部-凤凰仓</v>
      </c>
      <c r="G10142" s="1" t="str">
        <f t="shared" si="2791"/>
        <v>卡卡杜个人护理店（抖店）</v>
      </c>
      <c r="H10142" s="1" t="str">
        <f t="shared" si="2780"/>
        <v>正常订单</v>
      </c>
      <c r="I10142" s="1" t="str">
        <f t="shared" si="2781"/>
        <v>已发货</v>
      </c>
      <c r="J10142" s="1" t="str">
        <f t="shared" si="2792"/>
        <v>3</v>
      </c>
      <c r="K10142" s="1">
        <v>3</v>
      </c>
      <c r="L10142" s="1" t="s">
        <v>218</v>
      </c>
      <c r="M10142" s="1" t="str">
        <f>"天津 天津市 西青区 中北镇"</f>
        <v>天津 天津市 西青区 中北镇</v>
      </c>
      <c r="N10142" s="1" t="str">
        <f t="shared" si="2793"/>
        <v>凡华云仓-韵达-抖音</v>
      </c>
      <c r="O10142" s="5">
        <v>320152573363165</v>
      </c>
      <c r="P10142" s="6">
        <v>0.33</v>
      </c>
      <c r="Q10142" s="11">
        <v>2.2999999999999998</v>
      </c>
      <c r="R10142" s="11"/>
      <c r="S10142" s="11"/>
      <c r="T10142" s="11"/>
      <c r="U10142" s="11">
        <f t="shared" si="2784"/>
        <v>2.2999999999999998</v>
      </c>
      <c r="W10142">
        <v>2.5</v>
      </c>
      <c r="X10142" s="1" t="s">
        <v>218</v>
      </c>
    </row>
    <row r="10143" spans="1:24" x14ac:dyDescent="0.25">
      <c r="A10143" s="1" t="str">
        <f t="shared" si="2778"/>
        <v>卡卡杜-凤凰仓</v>
      </c>
      <c r="B10143" s="1" t="str">
        <f>"CK2024100210770"</f>
        <v>CK2024100210770</v>
      </c>
      <c r="C10143" s="1" t="str">
        <f>"DD2024100234553"</f>
        <v>DD2024100234553</v>
      </c>
      <c r="D10143" s="1" t="str">
        <f>"CK2024100234988"</f>
        <v>CK2024100234988</v>
      </c>
      <c r="E10143" s="1" t="str">
        <f>"6917737326456962804"</f>
        <v>6917737326456962804</v>
      </c>
      <c r="F10143" s="1" t="str">
        <f t="shared" si="2779"/>
        <v>花都四部-凤凰仓</v>
      </c>
      <c r="G10143" s="1" t="str">
        <f t="shared" si="2791"/>
        <v>卡卡杜个人护理店（抖店）</v>
      </c>
      <c r="H10143" s="1" t="str">
        <f t="shared" si="2780"/>
        <v>正常订单</v>
      </c>
      <c r="I10143" s="1" t="str">
        <f t="shared" si="2781"/>
        <v>已发货</v>
      </c>
      <c r="J10143" s="1" t="str">
        <f t="shared" si="2792"/>
        <v>3</v>
      </c>
      <c r="K10143" s="1">
        <v>3</v>
      </c>
      <c r="L10143" s="1" t="s">
        <v>47</v>
      </c>
      <c r="M10143" s="1" t="str">
        <f>"重庆 重庆市 渝北区 龙溪街道"</f>
        <v>重庆 重庆市 渝北区 龙溪街道</v>
      </c>
      <c r="N10143" s="1" t="str">
        <f t="shared" si="2793"/>
        <v>凡华云仓-韵达-抖音</v>
      </c>
      <c r="O10143" s="5">
        <v>320152573363076</v>
      </c>
      <c r="P10143" s="6">
        <v>0.33</v>
      </c>
      <c r="Q10143" s="11">
        <v>2.2999999999999998</v>
      </c>
      <c r="R10143" s="11"/>
      <c r="S10143" s="11"/>
      <c r="T10143" s="11"/>
      <c r="U10143" s="11">
        <f t="shared" si="2784"/>
        <v>2.2999999999999998</v>
      </c>
      <c r="W10143">
        <v>2.5</v>
      </c>
      <c r="X10143" s="1" t="s">
        <v>47</v>
      </c>
    </row>
    <row r="10144" spans="1:24" x14ac:dyDescent="0.25">
      <c r="A10144" s="1" t="str">
        <f t="shared" si="2778"/>
        <v>卡卡杜-凤凰仓</v>
      </c>
      <c r="B10144" s="1" t="str">
        <f>"CK202410028947"</f>
        <v>CK202410028947</v>
      </c>
      <c r="C10144" s="1" t="str">
        <f>"DD2024100232826"</f>
        <v>DD2024100232826</v>
      </c>
      <c r="D10144" s="1" t="str">
        <f>"CK2024100234987"</f>
        <v>CK2024100234987</v>
      </c>
      <c r="E10144" s="1" t="str">
        <f>"6917738504993405961"</f>
        <v>6917738504993405961</v>
      </c>
      <c r="F10144" s="1" t="str">
        <f t="shared" si="2779"/>
        <v>花都四部-凤凰仓</v>
      </c>
      <c r="G10144" s="1" t="str">
        <f t="shared" si="2791"/>
        <v>卡卡杜个人护理店（抖店）</v>
      </c>
      <c r="H10144" s="1" t="str">
        <f t="shared" si="2780"/>
        <v>正常订单</v>
      </c>
      <c r="I10144" s="1" t="str">
        <f t="shared" si="2781"/>
        <v>已发货</v>
      </c>
      <c r="J10144" s="1" t="str">
        <f t="shared" si="2792"/>
        <v>3</v>
      </c>
      <c r="K10144" s="1">
        <v>3</v>
      </c>
      <c r="L10144" s="1" t="s">
        <v>109</v>
      </c>
      <c r="M10144" s="1" t="str">
        <f>"山西省 太原市 迎泽区 庙前街道"</f>
        <v>山西省 太原市 迎泽区 庙前街道</v>
      </c>
      <c r="N10144" s="1" t="str">
        <f t="shared" si="2793"/>
        <v>凡华云仓-韵达-抖音</v>
      </c>
      <c r="O10144" s="5">
        <v>320152571552557</v>
      </c>
      <c r="P10144" s="6">
        <v>0.33</v>
      </c>
      <c r="Q10144" s="11">
        <v>2.2999999999999998</v>
      </c>
      <c r="R10144" s="11"/>
      <c r="S10144" s="11"/>
      <c r="T10144" s="11"/>
      <c r="U10144" s="11">
        <f t="shared" si="2784"/>
        <v>2.2999999999999998</v>
      </c>
      <c r="W10144">
        <v>2.5</v>
      </c>
      <c r="X10144" s="1" t="s">
        <v>109</v>
      </c>
    </row>
    <row r="10145" spans="1:24" x14ac:dyDescent="0.25">
      <c r="A10145" s="1" t="str">
        <f t="shared" si="2778"/>
        <v>卡卡杜-凤凰仓</v>
      </c>
      <c r="B10145" s="1" t="str">
        <f>"CK2024100210773"</f>
        <v>CK2024100210773</v>
      </c>
      <c r="C10145" s="1" t="str">
        <f>"DD2024100234551"</f>
        <v>DD2024100234551</v>
      </c>
      <c r="D10145" s="1" t="str">
        <f>"CK2024100234986"</f>
        <v>CK2024100234986</v>
      </c>
      <c r="E10145" s="1" t="str">
        <f>"6917736959602294606"</f>
        <v>6917736959602294606</v>
      </c>
      <c r="F10145" s="1" t="str">
        <f t="shared" si="2779"/>
        <v>花都四部-凤凰仓</v>
      </c>
      <c r="G10145" s="1" t="str">
        <f t="shared" si="2791"/>
        <v>卡卡杜个人护理店（抖店）</v>
      </c>
      <c r="H10145" s="1" t="str">
        <f t="shared" si="2780"/>
        <v>正常订单</v>
      </c>
      <c r="I10145" s="1" t="str">
        <f t="shared" si="2781"/>
        <v>已发货</v>
      </c>
      <c r="J10145" s="1" t="str">
        <f t="shared" si="2792"/>
        <v>3</v>
      </c>
      <c r="K10145" s="1">
        <v>3</v>
      </c>
      <c r="L10145" s="1" t="s">
        <v>187</v>
      </c>
      <c r="M10145" s="1" t="str">
        <f>"吉林省 长春市 南关区 净月街道"</f>
        <v>吉林省 长春市 南关区 净月街道</v>
      </c>
      <c r="N10145" s="1" t="str">
        <f t="shared" si="2793"/>
        <v>凡华云仓-韵达-抖音</v>
      </c>
      <c r="O10145" s="5">
        <v>320152571552460</v>
      </c>
      <c r="P10145" s="6">
        <v>0.33</v>
      </c>
      <c r="Q10145" s="11">
        <v>2.2999999999999998</v>
      </c>
      <c r="R10145" s="11"/>
      <c r="S10145" s="11"/>
      <c r="T10145" s="11"/>
      <c r="U10145" s="11">
        <f t="shared" si="2784"/>
        <v>2.2999999999999998</v>
      </c>
      <c r="W10145">
        <v>2.5</v>
      </c>
      <c r="X10145" s="1" t="s">
        <v>187</v>
      </c>
    </row>
    <row r="10146" spans="1:24" x14ac:dyDescent="0.25">
      <c r="A10146" s="1" t="str">
        <f t="shared" si="2778"/>
        <v>卡卡杜-凤凰仓</v>
      </c>
      <c r="B10146" s="1" t="str">
        <f>"CK2024100210771"</f>
        <v>CK2024100210771</v>
      </c>
      <c r="C10146" s="1" t="str">
        <f>"DD2024100234549"</f>
        <v>DD2024100234549</v>
      </c>
      <c r="D10146" s="1" t="str">
        <f>"CK2024100234985"</f>
        <v>CK2024100234985</v>
      </c>
      <c r="E10146" s="1" t="str">
        <f>"6917730558288232421"</f>
        <v>6917730558288232421</v>
      </c>
      <c r="F10146" s="1" t="str">
        <f t="shared" si="2779"/>
        <v>花都四部-凤凰仓</v>
      </c>
      <c r="G10146" s="1" t="str">
        <f t="shared" si="2791"/>
        <v>卡卡杜个人护理店（抖店）</v>
      </c>
      <c r="H10146" s="1" t="str">
        <f t="shared" si="2780"/>
        <v>正常订单</v>
      </c>
      <c r="I10146" s="1" t="str">
        <f t="shared" si="2781"/>
        <v>已发货</v>
      </c>
      <c r="J10146" s="1" t="str">
        <f t="shared" si="2792"/>
        <v>3</v>
      </c>
      <c r="K10146" s="1">
        <v>3</v>
      </c>
      <c r="L10146" s="1" t="s">
        <v>161</v>
      </c>
      <c r="M10146" s="1" t="str">
        <f>"四川省 成都市 武侯区 簇锦街道"</f>
        <v>四川省 成都市 武侯区 簇锦街道</v>
      </c>
      <c r="N10146" s="1" t="str">
        <f t="shared" si="2793"/>
        <v>凡华云仓-韵达-抖音</v>
      </c>
      <c r="O10146" s="5">
        <v>320152571552365</v>
      </c>
      <c r="P10146" s="6">
        <v>0.33</v>
      </c>
      <c r="Q10146" s="11">
        <v>2.2999999999999998</v>
      </c>
      <c r="R10146" s="11"/>
      <c r="S10146" s="11"/>
      <c r="T10146" s="11"/>
      <c r="U10146" s="11">
        <f t="shared" si="2784"/>
        <v>2.2999999999999998</v>
      </c>
      <c r="W10146">
        <v>2.5</v>
      </c>
      <c r="X10146" s="1" t="s">
        <v>161</v>
      </c>
    </row>
    <row r="10147" spans="1:24" x14ac:dyDescent="0.25">
      <c r="A10147" s="1" t="str">
        <f t="shared" si="2778"/>
        <v>卡卡杜-凤凰仓</v>
      </c>
      <c r="B10147" s="1" t="str">
        <f>"CK2024100210785"</f>
        <v>CK2024100210785</v>
      </c>
      <c r="C10147" s="1" t="str">
        <f>"DD2024100234564"</f>
        <v>DD2024100234564</v>
      </c>
      <c r="D10147" s="1" t="str">
        <f>"CK2024100234984"</f>
        <v>CK2024100234984</v>
      </c>
      <c r="E10147" s="1" t="str">
        <f>"6917739821000981712"</f>
        <v>6917739821000981712</v>
      </c>
      <c r="F10147" s="1" t="str">
        <f t="shared" si="2779"/>
        <v>花都四部-凤凰仓</v>
      </c>
      <c r="G10147" s="1" t="str">
        <f t="shared" si="2791"/>
        <v>卡卡杜个人护理店（抖店）</v>
      </c>
      <c r="H10147" s="1" t="str">
        <f t="shared" si="2780"/>
        <v>正常订单</v>
      </c>
      <c r="I10147" s="1" t="str">
        <f t="shared" si="2781"/>
        <v>已发货</v>
      </c>
      <c r="J10147" s="1" t="str">
        <f t="shared" si="2792"/>
        <v>3</v>
      </c>
      <c r="K10147" s="1">
        <v>3</v>
      </c>
      <c r="L10147" s="1" t="s">
        <v>41</v>
      </c>
      <c r="M10147" s="1" t="str">
        <f>"湖北省 武汉市 洪山区 关东街道"</f>
        <v>湖北省 武汉市 洪山区 关东街道</v>
      </c>
      <c r="N10147" s="1" t="str">
        <f t="shared" si="2793"/>
        <v>凡华云仓-韵达-抖音</v>
      </c>
      <c r="O10147" s="5">
        <v>320152571552272</v>
      </c>
      <c r="P10147" s="6">
        <v>0.33</v>
      </c>
      <c r="Q10147" s="11">
        <v>2.2999999999999998</v>
      </c>
      <c r="R10147" s="11"/>
      <c r="S10147" s="11"/>
      <c r="T10147" s="11"/>
      <c r="U10147" s="11">
        <f t="shared" si="2784"/>
        <v>2.2999999999999998</v>
      </c>
      <c r="W10147">
        <v>2.5</v>
      </c>
      <c r="X10147" s="1" t="s">
        <v>41</v>
      </c>
    </row>
    <row r="10148" spans="1:24" x14ac:dyDescent="0.25">
      <c r="A10148" s="1" t="str">
        <f t="shared" si="2778"/>
        <v>卡卡杜-凤凰仓</v>
      </c>
      <c r="B10148" s="1" t="str">
        <f>"CK2024100210796"</f>
        <v>CK2024100210796</v>
      </c>
      <c r="C10148" s="1" t="str">
        <f>"DD2024100234576"</f>
        <v>DD2024100234576</v>
      </c>
      <c r="D10148" s="1" t="str">
        <f>"CK2024100234983"</f>
        <v>CK2024100234983</v>
      </c>
      <c r="E10148" s="1" t="str">
        <f>"6917722343760756106"</f>
        <v>6917722343760756106</v>
      </c>
      <c r="F10148" s="1" t="str">
        <f t="shared" si="2779"/>
        <v>花都四部-凤凰仓</v>
      </c>
      <c r="G10148" s="1" t="str">
        <f t="shared" si="2791"/>
        <v>卡卡杜个人护理店（抖店）</v>
      </c>
      <c r="H10148" s="1" t="str">
        <f t="shared" si="2780"/>
        <v>正常订单</v>
      </c>
      <c r="I10148" s="1" t="str">
        <f t="shared" si="2781"/>
        <v>已发货</v>
      </c>
      <c r="J10148" s="1" t="str">
        <f t="shared" si="2792"/>
        <v>3</v>
      </c>
      <c r="K10148" s="1">
        <v>3</v>
      </c>
      <c r="L10148" s="1" t="s">
        <v>74</v>
      </c>
      <c r="M10148" s="1" t="str">
        <f>"上海 上海市 宝山区 罗店镇"</f>
        <v>上海 上海市 宝山区 罗店镇</v>
      </c>
      <c r="N10148" s="1" t="str">
        <f t="shared" si="2793"/>
        <v>凡华云仓-韵达-抖音</v>
      </c>
      <c r="O10148" s="5">
        <v>320152571552181</v>
      </c>
      <c r="P10148" s="6">
        <v>0.33</v>
      </c>
      <c r="Q10148" s="11">
        <v>2.2999999999999998</v>
      </c>
      <c r="R10148" s="11"/>
      <c r="S10148" s="11"/>
      <c r="T10148" s="11"/>
      <c r="U10148" s="11">
        <f t="shared" si="2784"/>
        <v>2.2999999999999998</v>
      </c>
      <c r="W10148">
        <v>2.5</v>
      </c>
      <c r="X10148" s="1" t="s">
        <v>74</v>
      </c>
    </row>
    <row r="10149" spans="1:24" x14ac:dyDescent="0.25">
      <c r="A10149" s="1" t="str">
        <f t="shared" si="2778"/>
        <v>卡卡杜-凤凰仓</v>
      </c>
      <c r="B10149" s="1" t="str">
        <f>"CK2024100210777"</f>
        <v>CK2024100210777</v>
      </c>
      <c r="C10149" s="1" t="str">
        <f>"DD2024100234556"</f>
        <v>DD2024100234556</v>
      </c>
      <c r="D10149" s="1" t="str">
        <f>"CK2024100234982"</f>
        <v>CK2024100234982</v>
      </c>
      <c r="E10149" s="1" t="str">
        <f>"6917733131171757968"</f>
        <v>6917733131171757968</v>
      </c>
      <c r="F10149" s="1" t="str">
        <f t="shared" si="2779"/>
        <v>花都四部-凤凰仓</v>
      </c>
      <c r="G10149" s="1" t="str">
        <f t="shared" si="2791"/>
        <v>卡卡杜个人护理店（抖店）</v>
      </c>
      <c r="H10149" s="1" t="str">
        <f t="shared" si="2780"/>
        <v>正常订单</v>
      </c>
      <c r="I10149" s="1" t="str">
        <f t="shared" si="2781"/>
        <v>已发货</v>
      </c>
      <c r="J10149" s="1" t="str">
        <f t="shared" si="2792"/>
        <v>3</v>
      </c>
      <c r="K10149" s="1">
        <v>3</v>
      </c>
      <c r="L10149" s="1" t="s">
        <v>74</v>
      </c>
      <c r="M10149" s="1" t="str">
        <f>"上海 上海市 虹口区 曲阳路街道"</f>
        <v>上海 上海市 虹口区 曲阳路街道</v>
      </c>
      <c r="N10149" s="1" t="str">
        <f t="shared" si="2793"/>
        <v>凡华云仓-韵达-抖音</v>
      </c>
      <c r="O10149" s="5">
        <v>320152571552092</v>
      </c>
      <c r="P10149" s="6">
        <v>0.33</v>
      </c>
      <c r="Q10149" s="11">
        <v>2.2999999999999998</v>
      </c>
      <c r="R10149" s="11"/>
      <c r="S10149" s="11"/>
      <c r="T10149" s="11"/>
      <c r="U10149" s="11">
        <f t="shared" si="2784"/>
        <v>2.2999999999999998</v>
      </c>
      <c r="W10149">
        <v>2.5</v>
      </c>
      <c r="X10149" s="1" t="s">
        <v>74</v>
      </c>
    </row>
    <row r="10150" spans="1:24" x14ac:dyDescent="0.25">
      <c r="A10150" s="1" t="str">
        <f t="shared" si="2778"/>
        <v>卡卡杜-凤凰仓</v>
      </c>
      <c r="B10150" s="1" t="str">
        <f>"CK2024100210802"</f>
        <v>CK2024100210802</v>
      </c>
      <c r="C10150" s="1" t="str">
        <f>"DD2024100234582"</f>
        <v>DD2024100234582</v>
      </c>
      <c r="D10150" s="1" t="str">
        <f>"CK2024100234981"</f>
        <v>CK2024100234981</v>
      </c>
      <c r="E10150" s="1" t="str">
        <f>"6917729887932022016"</f>
        <v>6917729887932022016</v>
      </c>
      <c r="F10150" s="1" t="str">
        <f t="shared" si="2779"/>
        <v>花都四部-凤凰仓</v>
      </c>
      <c r="G10150" s="1" t="str">
        <f t="shared" si="2791"/>
        <v>卡卡杜个人护理店（抖店）</v>
      </c>
      <c r="H10150" s="1" t="str">
        <f t="shared" si="2780"/>
        <v>正常订单</v>
      </c>
      <c r="I10150" s="1" t="str">
        <f t="shared" si="2781"/>
        <v>已发货</v>
      </c>
      <c r="J10150" s="1" t="str">
        <f t="shared" si="2792"/>
        <v>3</v>
      </c>
      <c r="K10150" s="1">
        <v>3</v>
      </c>
      <c r="L10150" s="1" t="s">
        <v>13</v>
      </c>
      <c r="M10150" s="1" t="str">
        <f>"江苏省 南京市 秦淮区 光华路街道"</f>
        <v>江苏省 南京市 秦淮区 光华路街道</v>
      </c>
      <c r="N10150" s="1" t="str">
        <f t="shared" si="2793"/>
        <v>凡华云仓-韵达-抖音</v>
      </c>
      <c r="O10150" s="5">
        <v>320152571551974</v>
      </c>
      <c r="P10150" s="6">
        <v>0.33</v>
      </c>
      <c r="Q10150" s="11">
        <v>2.2999999999999998</v>
      </c>
      <c r="R10150" s="11"/>
      <c r="S10150" s="11"/>
      <c r="T10150" s="11"/>
      <c r="U10150" s="11">
        <f t="shared" si="2784"/>
        <v>2.2999999999999998</v>
      </c>
      <c r="W10150">
        <v>2.5</v>
      </c>
      <c r="X10150" s="1" t="s">
        <v>13</v>
      </c>
    </row>
    <row r="10151" spans="1:24" x14ac:dyDescent="0.25">
      <c r="A10151" s="1" t="str">
        <f t="shared" si="2778"/>
        <v>卡卡杜-凤凰仓</v>
      </c>
      <c r="B10151" s="1" t="str">
        <f>"CK2024100210793"</f>
        <v>CK2024100210793</v>
      </c>
      <c r="C10151" s="1" t="str">
        <f>"DD2024100234573"</f>
        <v>DD2024100234573</v>
      </c>
      <c r="D10151" s="1" t="str">
        <f>"CK2024100234980"</f>
        <v>CK2024100234980</v>
      </c>
      <c r="E10151" s="1" t="str">
        <f>"6917739690295983133"</f>
        <v>6917739690295983133</v>
      </c>
      <c r="F10151" s="1" t="str">
        <f t="shared" si="2779"/>
        <v>花都四部-凤凰仓</v>
      </c>
      <c r="G10151" s="1" t="str">
        <f t="shared" si="2791"/>
        <v>卡卡杜个人护理店（抖店）</v>
      </c>
      <c r="H10151" s="1" t="str">
        <f t="shared" si="2780"/>
        <v>正常订单</v>
      </c>
      <c r="I10151" s="1" t="str">
        <f t="shared" si="2781"/>
        <v>已发货</v>
      </c>
      <c r="J10151" s="1" t="str">
        <f t="shared" si="2792"/>
        <v>3</v>
      </c>
      <c r="K10151" s="1">
        <v>3</v>
      </c>
      <c r="L10151" s="1" t="s">
        <v>22</v>
      </c>
      <c r="M10151" s="1" t="str">
        <f>"江西省 鹰潭市 月湖区 交通街道"</f>
        <v>江西省 鹰潭市 月湖区 交通街道</v>
      </c>
      <c r="N10151" s="1" t="str">
        <f t="shared" si="2793"/>
        <v>凡华云仓-韵达-抖音</v>
      </c>
      <c r="O10151" s="5">
        <v>320152571551869</v>
      </c>
      <c r="P10151" s="6">
        <v>0.33</v>
      </c>
      <c r="Q10151" s="11">
        <v>2.2999999999999998</v>
      </c>
      <c r="R10151" s="11"/>
      <c r="S10151" s="11"/>
      <c r="T10151" s="11"/>
      <c r="U10151" s="11">
        <f t="shared" si="2784"/>
        <v>2.2999999999999998</v>
      </c>
      <c r="W10151">
        <v>2.5</v>
      </c>
      <c r="X10151" s="1" t="s">
        <v>22</v>
      </c>
    </row>
    <row r="10152" spans="1:24" x14ac:dyDescent="0.25">
      <c r="A10152" s="1" t="str">
        <f t="shared" si="2778"/>
        <v>卡卡杜-凤凰仓</v>
      </c>
      <c r="B10152" s="1" t="str">
        <f>"CK2024100210799"</f>
        <v>CK2024100210799</v>
      </c>
      <c r="C10152" s="1" t="str">
        <f>"DD2024100234578"</f>
        <v>DD2024100234578</v>
      </c>
      <c r="D10152" s="1" t="str">
        <f>"CK2024100234979"</f>
        <v>CK2024100234979</v>
      </c>
      <c r="E10152" s="1" t="str">
        <f>"6917732421372182251"</f>
        <v>6917732421372182251</v>
      </c>
      <c r="F10152" s="1" t="str">
        <f t="shared" si="2779"/>
        <v>花都四部-凤凰仓</v>
      </c>
      <c r="G10152" s="1" t="str">
        <f t="shared" si="2791"/>
        <v>卡卡杜个人护理店（抖店）</v>
      </c>
      <c r="H10152" s="1" t="str">
        <f t="shared" si="2780"/>
        <v>正常订单</v>
      </c>
      <c r="I10152" s="1" t="str">
        <f t="shared" si="2781"/>
        <v>已发货</v>
      </c>
      <c r="J10152" s="1" t="str">
        <f t="shared" si="2792"/>
        <v>3</v>
      </c>
      <c r="K10152" s="1">
        <v>3</v>
      </c>
      <c r="L10152" s="1" t="s">
        <v>161</v>
      </c>
      <c r="M10152" s="1" t="str">
        <f>"四川省 成都市 武侯区 "</f>
        <v xml:space="preserve">四川省 成都市 武侯区 </v>
      </c>
      <c r="N10152" s="1" t="str">
        <f t="shared" si="2793"/>
        <v>凡华云仓-韵达-抖音</v>
      </c>
      <c r="O10152" s="5">
        <v>320152571551766</v>
      </c>
      <c r="P10152" s="6">
        <v>0.33</v>
      </c>
      <c r="Q10152" s="11">
        <v>2.2999999999999998</v>
      </c>
      <c r="R10152" s="11"/>
      <c r="S10152" s="11"/>
      <c r="T10152" s="11"/>
      <c r="U10152" s="11">
        <f t="shared" si="2784"/>
        <v>2.2999999999999998</v>
      </c>
      <c r="W10152">
        <v>2.5</v>
      </c>
      <c r="X10152" s="1" t="s">
        <v>161</v>
      </c>
    </row>
    <row r="10153" spans="1:24" x14ac:dyDescent="0.25">
      <c r="A10153" s="1" t="str">
        <f t="shared" si="2778"/>
        <v>卡卡杜-凤凰仓</v>
      </c>
      <c r="B10153" s="1" t="str">
        <f>"CK2024100210798"</f>
        <v>CK2024100210798</v>
      </c>
      <c r="C10153" s="1" t="str">
        <f>"DD2024100234579"</f>
        <v>DD2024100234579</v>
      </c>
      <c r="D10153" s="1" t="str">
        <f>"CK2024100234978"</f>
        <v>CK2024100234978</v>
      </c>
      <c r="E10153" s="1" t="str">
        <f>"6917734930464406718"</f>
        <v>6917734930464406718</v>
      </c>
      <c r="F10153" s="1" t="str">
        <f t="shared" si="2779"/>
        <v>花都四部-凤凰仓</v>
      </c>
      <c r="G10153" s="1" t="str">
        <f t="shared" si="2791"/>
        <v>卡卡杜个人护理店（抖店）</v>
      </c>
      <c r="H10153" s="1" t="str">
        <f t="shared" si="2780"/>
        <v>正常订单</v>
      </c>
      <c r="I10153" s="1" t="str">
        <f t="shared" si="2781"/>
        <v>已发货</v>
      </c>
      <c r="J10153" s="1" t="str">
        <f t="shared" si="2792"/>
        <v>3</v>
      </c>
      <c r="K10153" s="1">
        <v>3</v>
      </c>
      <c r="L10153" s="1" t="s">
        <v>105</v>
      </c>
      <c r="M10153" s="1" t="str">
        <f>"北京 北京市 海淀区 西北旺地区"</f>
        <v>北京 北京市 海淀区 西北旺地区</v>
      </c>
      <c r="N10153" s="1" t="str">
        <f t="shared" si="2793"/>
        <v>凡华云仓-韵达-抖音</v>
      </c>
      <c r="O10153" s="5">
        <v>320152571551665</v>
      </c>
      <c r="P10153" s="6">
        <v>0.33</v>
      </c>
      <c r="Q10153" s="11">
        <v>2.2999999999999998</v>
      </c>
      <c r="R10153" s="11"/>
      <c r="S10153" s="11"/>
      <c r="T10153" s="11"/>
      <c r="U10153" s="11">
        <f t="shared" si="2784"/>
        <v>2.2999999999999998</v>
      </c>
      <c r="W10153">
        <v>2.5</v>
      </c>
      <c r="X10153" s="1" t="s">
        <v>105</v>
      </c>
    </row>
    <row r="10154" spans="1:24" x14ac:dyDescent="0.25">
      <c r="A10154" s="1" t="str">
        <f t="shared" si="2778"/>
        <v>卡卡杜-凤凰仓</v>
      </c>
      <c r="B10154" s="1" t="str">
        <f>"CK2024100210794"</f>
        <v>CK2024100210794</v>
      </c>
      <c r="C10154" s="1" t="str">
        <f>"DD2024100234574"</f>
        <v>DD2024100234574</v>
      </c>
      <c r="D10154" s="1" t="str">
        <f>"CK2024100234961"</f>
        <v>CK2024100234961</v>
      </c>
      <c r="E10154" s="1" t="str">
        <f>"3723032551725338624"</f>
        <v>3723032551725338624</v>
      </c>
      <c r="F10154" s="1" t="str">
        <f t="shared" si="2779"/>
        <v>花都四部-凤凰仓</v>
      </c>
      <c r="G10154" s="1" t="str">
        <f t="shared" ref="G10154:G10181" si="2794">"卡卡杜企业店（视频号）"</f>
        <v>卡卡杜企业店（视频号）</v>
      </c>
      <c r="H10154" s="1" t="str">
        <f t="shared" si="2780"/>
        <v>正常订单</v>
      </c>
      <c r="I10154" s="1" t="str">
        <f t="shared" si="2781"/>
        <v>已发货</v>
      </c>
      <c r="J10154" s="1" t="str">
        <f t="shared" si="2792"/>
        <v>3</v>
      </c>
      <c r="K10154" s="1">
        <v>3</v>
      </c>
      <c r="L10154" s="1" t="s">
        <v>20</v>
      </c>
      <c r="M10154" s="1" t="str">
        <f>"浙江省 湖州市 德清县 "</f>
        <v xml:space="preserve">浙江省 湖州市 德清县 </v>
      </c>
      <c r="N10154" s="1" t="str">
        <f t="shared" ref="N10154:N10181" si="2795">"凡华云仓-韵达-微信视频号"</f>
        <v>凡华云仓-韵达-微信视频号</v>
      </c>
      <c r="O10154" s="5">
        <v>315011764430392</v>
      </c>
      <c r="P10154" s="6">
        <v>0.33</v>
      </c>
      <c r="Q10154" s="11">
        <v>2.2999999999999998</v>
      </c>
      <c r="R10154" s="11"/>
      <c r="S10154" s="11"/>
      <c r="T10154" s="11"/>
      <c r="U10154" s="11">
        <f t="shared" si="2784"/>
        <v>2.2999999999999998</v>
      </c>
      <c r="W10154">
        <v>2.5</v>
      </c>
      <c r="X10154" s="1" t="s">
        <v>20</v>
      </c>
    </row>
    <row r="10155" spans="1:24" x14ac:dyDescent="0.25">
      <c r="A10155" s="1" t="str">
        <f t="shared" ref="A10155:A10196" si="2796">"卡卡杜-凤凰仓"</f>
        <v>卡卡杜-凤凰仓</v>
      </c>
      <c r="B10155" s="1" t="str">
        <f>"CK2024100210775"</f>
        <v>CK2024100210775</v>
      </c>
      <c r="C10155" s="1" t="str">
        <f>"DD2024100234548"</f>
        <v>DD2024100234548</v>
      </c>
      <c r="D10155" s="1" t="str">
        <f>"CK2024100234960"</f>
        <v>CK2024100234960</v>
      </c>
      <c r="E10155" s="1" t="str">
        <f>"3723030455817735168"</f>
        <v>3723030455817735168</v>
      </c>
      <c r="F10155" s="1" t="str">
        <f t="shared" ref="F10155:F10196" si="2797">"花都四部-凤凰仓"</f>
        <v>花都四部-凤凰仓</v>
      </c>
      <c r="G10155" s="1" t="str">
        <f t="shared" si="2794"/>
        <v>卡卡杜企业店（视频号）</v>
      </c>
      <c r="H10155" s="1" t="str">
        <f t="shared" ref="H10155:H10196" si="2798">"正常订单"</f>
        <v>正常订单</v>
      </c>
      <c r="I10155" s="1" t="str">
        <f t="shared" ref="I10155:I10196" si="2799">"已发货"</f>
        <v>已发货</v>
      </c>
      <c r="J10155" s="1" t="str">
        <f t="shared" si="2792"/>
        <v>3</v>
      </c>
      <c r="K10155" s="1">
        <v>3</v>
      </c>
      <c r="L10155" s="1" t="s">
        <v>13</v>
      </c>
      <c r="M10155" s="1" t="str">
        <f>"江苏省 无锡市 江阴市 "</f>
        <v xml:space="preserve">江苏省 无锡市 江阴市 </v>
      </c>
      <c r="N10155" s="1" t="str">
        <f t="shared" si="2795"/>
        <v>凡华云仓-韵达-微信视频号</v>
      </c>
      <c r="O10155" s="5">
        <v>315011764427459</v>
      </c>
      <c r="P10155" s="6">
        <v>0.33</v>
      </c>
      <c r="Q10155" s="11">
        <v>2.2999999999999998</v>
      </c>
      <c r="R10155" s="11"/>
      <c r="S10155" s="11"/>
      <c r="T10155" s="11"/>
      <c r="U10155" s="11">
        <f t="shared" si="2784"/>
        <v>2.2999999999999998</v>
      </c>
      <c r="W10155">
        <v>2.5</v>
      </c>
      <c r="X10155" s="1" t="s">
        <v>13</v>
      </c>
    </row>
    <row r="10156" spans="1:24" x14ac:dyDescent="0.25">
      <c r="A10156" s="1" t="str">
        <f t="shared" si="2796"/>
        <v>卡卡杜-凤凰仓</v>
      </c>
      <c r="B10156" s="1" t="str">
        <f>"CK2024100210781"</f>
        <v>CK2024100210781</v>
      </c>
      <c r="C10156" s="1" t="str">
        <f>"DD2024100234559"</f>
        <v>DD2024100234559</v>
      </c>
      <c r="D10156" s="1" t="str">
        <f>"CK2024100234959"</f>
        <v>CK2024100234959</v>
      </c>
      <c r="E10156" s="1" t="str">
        <f>"3723030301941302784"</f>
        <v>3723030301941302784</v>
      </c>
      <c r="F10156" s="1" t="str">
        <f t="shared" si="2797"/>
        <v>花都四部-凤凰仓</v>
      </c>
      <c r="G10156" s="1" t="str">
        <f t="shared" si="2794"/>
        <v>卡卡杜企业店（视频号）</v>
      </c>
      <c r="H10156" s="1" t="str">
        <f t="shared" si="2798"/>
        <v>正常订单</v>
      </c>
      <c r="I10156" s="1" t="str">
        <f t="shared" si="2799"/>
        <v>已发货</v>
      </c>
      <c r="J10156" s="1" t="str">
        <f t="shared" si="2792"/>
        <v>3</v>
      </c>
      <c r="K10156" s="1">
        <v>3</v>
      </c>
      <c r="L10156" s="1" t="s">
        <v>20</v>
      </c>
      <c r="M10156" s="1" t="str">
        <f>"浙江省 杭州市 江干区 "</f>
        <v xml:space="preserve">浙江省 杭州市 江干区 </v>
      </c>
      <c r="N10156" s="1" t="str">
        <f t="shared" si="2795"/>
        <v>凡华云仓-韵达-微信视频号</v>
      </c>
      <c r="O10156" s="5">
        <v>315011764423972</v>
      </c>
      <c r="P10156" s="6">
        <v>0.33</v>
      </c>
      <c r="Q10156" s="11">
        <v>2.2999999999999998</v>
      </c>
      <c r="R10156" s="11"/>
      <c r="S10156" s="11"/>
      <c r="T10156" s="11"/>
      <c r="U10156" s="11">
        <f t="shared" si="2784"/>
        <v>2.2999999999999998</v>
      </c>
      <c r="W10156">
        <v>2.5</v>
      </c>
      <c r="X10156" s="1" t="s">
        <v>20</v>
      </c>
    </row>
    <row r="10157" spans="1:24" x14ac:dyDescent="0.25">
      <c r="A10157" s="1" t="str">
        <f t="shared" si="2796"/>
        <v>卡卡杜-凤凰仓</v>
      </c>
      <c r="B10157" s="1" t="str">
        <f>"CK2024100210779"</f>
        <v>CK2024100210779</v>
      </c>
      <c r="C10157" s="1" t="str">
        <f>"DD2024100234557"</f>
        <v>DD2024100234557</v>
      </c>
      <c r="D10157" s="1" t="str">
        <f>"CK2024100234958"</f>
        <v>CK2024100234958</v>
      </c>
      <c r="E10157" s="1" t="str">
        <f>"3723030232358851584"</f>
        <v>3723030232358851584</v>
      </c>
      <c r="F10157" s="1" t="str">
        <f t="shared" si="2797"/>
        <v>花都四部-凤凰仓</v>
      </c>
      <c r="G10157" s="1" t="str">
        <f t="shared" si="2794"/>
        <v>卡卡杜企业店（视频号）</v>
      </c>
      <c r="H10157" s="1" t="str">
        <f t="shared" si="2798"/>
        <v>正常订单</v>
      </c>
      <c r="I10157" s="1" t="str">
        <f t="shared" si="2799"/>
        <v>已发货</v>
      </c>
      <c r="J10157" s="1" t="str">
        <f t="shared" si="2792"/>
        <v>3</v>
      </c>
      <c r="K10157" s="1">
        <v>3</v>
      </c>
      <c r="L10157" s="1" t="s">
        <v>30</v>
      </c>
      <c r="M10157" s="1" t="str">
        <f>"山东省 烟台市 芝罘区 "</f>
        <v xml:space="preserve">山东省 烟台市 芝罘区 </v>
      </c>
      <c r="N10157" s="1" t="str">
        <f t="shared" si="2795"/>
        <v>凡华云仓-韵达-微信视频号</v>
      </c>
      <c r="O10157" s="5">
        <v>315011764422379</v>
      </c>
      <c r="P10157" s="6">
        <v>0.33</v>
      </c>
      <c r="Q10157" s="11">
        <v>2.2999999999999998</v>
      </c>
      <c r="R10157" s="11"/>
      <c r="S10157" s="11"/>
      <c r="T10157" s="11"/>
      <c r="U10157" s="11">
        <f t="shared" si="2784"/>
        <v>2.2999999999999998</v>
      </c>
      <c r="W10157">
        <v>2.5</v>
      </c>
      <c r="X10157" s="1" t="s">
        <v>30</v>
      </c>
    </row>
    <row r="10158" spans="1:24" x14ac:dyDescent="0.25">
      <c r="A10158" s="1" t="str">
        <f t="shared" si="2796"/>
        <v>卡卡杜-凤凰仓</v>
      </c>
      <c r="B10158" s="1" t="str">
        <f>"CK2024100210778"</f>
        <v>CK2024100210778</v>
      </c>
      <c r="C10158" s="1" t="str">
        <f>"DD2024100234554"</f>
        <v>DD2024100234554</v>
      </c>
      <c r="D10158" s="1" t="str">
        <f>"CK2024100234957"</f>
        <v>CK2024100234957</v>
      </c>
      <c r="E10158" s="1" t="str">
        <f>"3723030079325211648"</f>
        <v>3723030079325211648</v>
      </c>
      <c r="F10158" s="1" t="str">
        <f t="shared" si="2797"/>
        <v>花都四部-凤凰仓</v>
      </c>
      <c r="G10158" s="1" t="str">
        <f t="shared" si="2794"/>
        <v>卡卡杜企业店（视频号）</v>
      </c>
      <c r="H10158" s="1" t="str">
        <f t="shared" si="2798"/>
        <v>正常订单</v>
      </c>
      <c r="I10158" s="1" t="str">
        <f t="shared" si="2799"/>
        <v>已发货</v>
      </c>
      <c r="J10158" s="1" t="str">
        <f t="shared" si="2792"/>
        <v>3</v>
      </c>
      <c r="K10158" s="1">
        <v>3</v>
      </c>
      <c r="L10158" s="1" t="s">
        <v>96</v>
      </c>
      <c r="M10158" s="1" t="str">
        <f>"广西壮族自治区 百色市 右江区 "</f>
        <v xml:space="preserve">广西壮族自治区 百色市 右江区 </v>
      </c>
      <c r="N10158" s="1" t="str">
        <f t="shared" si="2795"/>
        <v>凡华云仓-韵达-微信视频号</v>
      </c>
      <c r="O10158" s="5">
        <v>315011764421295</v>
      </c>
      <c r="P10158" s="6">
        <v>0.33</v>
      </c>
      <c r="Q10158" s="11">
        <v>2.2999999999999998</v>
      </c>
      <c r="R10158" s="11"/>
      <c r="S10158" s="11"/>
      <c r="T10158" s="11"/>
      <c r="U10158" s="11">
        <f t="shared" si="2784"/>
        <v>2.2999999999999998</v>
      </c>
      <c r="W10158">
        <v>2.5</v>
      </c>
      <c r="X10158" s="1" t="s">
        <v>96</v>
      </c>
    </row>
    <row r="10159" spans="1:24" x14ac:dyDescent="0.25">
      <c r="A10159" s="1" t="str">
        <f t="shared" si="2796"/>
        <v>卡卡杜-凤凰仓</v>
      </c>
      <c r="B10159" s="1" t="str">
        <f>"CK2024100210792"</f>
        <v>CK2024100210792</v>
      </c>
      <c r="C10159" s="1" t="str">
        <f>"DD2024100234572"</f>
        <v>DD2024100234572</v>
      </c>
      <c r="D10159" s="1" t="str">
        <f>"CK2024100234956"</f>
        <v>CK2024100234956</v>
      </c>
      <c r="E10159" s="1" t="str">
        <f>"3723032423802998784"</f>
        <v>3723032423802998784</v>
      </c>
      <c r="F10159" s="1" t="str">
        <f t="shared" si="2797"/>
        <v>花都四部-凤凰仓</v>
      </c>
      <c r="G10159" s="1" t="str">
        <f t="shared" si="2794"/>
        <v>卡卡杜企业店（视频号）</v>
      </c>
      <c r="H10159" s="1" t="str">
        <f t="shared" si="2798"/>
        <v>正常订单</v>
      </c>
      <c r="I10159" s="1" t="str">
        <f t="shared" si="2799"/>
        <v>已发货</v>
      </c>
      <c r="J10159" s="1" t="str">
        <f t="shared" si="2792"/>
        <v>3</v>
      </c>
      <c r="K10159" s="1">
        <v>3</v>
      </c>
      <c r="L10159" s="1" t="s">
        <v>20</v>
      </c>
      <c r="M10159" s="1" t="str">
        <f>"浙江省 绍兴市 越城区 "</f>
        <v xml:space="preserve">浙江省 绍兴市 越城区 </v>
      </c>
      <c r="N10159" s="1" t="str">
        <f t="shared" si="2795"/>
        <v>凡华云仓-韵达-微信视频号</v>
      </c>
      <c r="O10159" s="5">
        <v>315011764420115</v>
      </c>
      <c r="P10159" s="6">
        <v>0.33</v>
      </c>
      <c r="Q10159" s="11">
        <v>2.2999999999999998</v>
      </c>
      <c r="R10159" s="11"/>
      <c r="S10159" s="11"/>
      <c r="T10159" s="11"/>
      <c r="U10159" s="11">
        <f t="shared" si="2784"/>
        <v>2.2999999999999998</v>
      </c>
      <c r="W10159">
        <v>2.5</v>
      </c>
      <c r="X10159" s="1" t="s">
        <v>20</v>
      </c>
    </row>
    <row r="10160" spans="1:24" x14ac:dyDescent="0.25">
      <c r="A10160" s="1" t="str">
        <f t="shared" si="2796"/>
        <v>卡卡杜-凤凰仓</v>
      </c>
      <c r="B10160" s="1" t="str">
        <f>"CK2024100210782"</f>
        <v>CK2024100210782</v>
      </c>
      <c r="C10160" s="1" t="str">
        <f>"DD2024100234560"</f>
        <v>DD2024100234560</v>
      </c>
      <c r="D10160" s="1" t="str">
        <f>"CK2024100234955"</f>
        <v>CK2024100234955</v>
      </c>
      <c r="E10160" s="1" t="str">
        <f>"3723029543700006144"</f>
        <v>3723029543700006144</v>
      </c>
      <c r="F10160" s="1" t="str">
        <f t="shared" si="2797"/>
        <v>花都四部-凤凰仓</v>
      </c>
      <c r="G10160" s="1" t="str">
        <f t="shared" si="2794"/>
        <v>卡卡杜企业店（视频号）</v>
      </c>
      <c r="H10160" s="1" t="str">
        <f t="shared" si="2798"/>
        <v>正常订单</v>
      </c>
      <c r="I10160" s="1" t="str">
        <f t="shared" si="2799"/>
        <v>已发货</v>
      </c>
      <c r="J10160" s="1" t="str">
        <f t="shared" si="2792"/>
        <v>3</v>
      </c>
      <c r="K10160" s="1">
        <v>3</v>
      </c>
      <c r="L10160" s="1" t="s">
        <v>105</v>
      </c>
      <c r="M10160" s="1" t="str">
        <f>"北京 北京市 朝阳区 "</f>
        <v xml:space="preserve">北京 北京市 朝阳区 </v>
      </c>
      <c r="N10160" s="1" t="str">
        <f t="shared" si="2795"/>
        <v>凡华云仓-韵达-微信视频号</v>
      </c>
      <c r="O10160" s="5">
        <v>315011764418192</v>
      </c>
      <c r="P10160" s="6">
        <v>0.33</v>
      </c>
      <c r="Q10160" s="11">
        <v>2.2999999999999998</v>
      </c>
      <c r="R10160" s="11"/>
      <c r="S10160" s="11"/>
      <c r="T10160" s="11"/>
      <c r="U10160" s="11">
        <f t="shared" si="2784"/>
        <v>2.2999999999999998</v>
      </c>
      <c r="W10160">
        <v>2.5</v>
      </c>
      <c r="X10160" s="1" t="s">
        <v>105</v>
      </c>
    </row>
    <row r="10161" spans="1:24" x14ac:dyDescent="0.25">
      <c r="A10161" s="1" t="str">
        <f t="shared" si="2796"/>
        <v>卡卡杜-凤凰仓</v>
      </c>
      <c r="B10161" s="1" t="str">
        <f>"CK2024100210776"</f>
        <v>CK2024100210776</v>
      </c>
      <c r="C10161" s="1" t="str">
        <f>"DD2024100234555"</f>
        <v>DD2024100234555</v>
      </c>
      <c r="D10161" s="1" t="str">
        <f>"CK2024100234954"</f>
        <v>CK2024100234954</v>
      </c>
      <c r="E10161" s="1" t="str">
        <f>"3723029521263625472"</f>
        <v>3723029521263625472</v>
      </c>
      <c r="F10161" s="1" t="str">
        <f t="shared" si="2797"/>
        <v>花都四部-凤凰仓</v>
      </c>
      <c r="G10161" s="1" t="str">
        <f t="shared" si="2794"/>
        <v>卡卡杜企业店（视频号）</v>
      </c>
      <c r="H10161" s="1" t="str">
        <f t="shared" si="2798"/>
        <v>正常订单</v>
      </c>
      <c r="I10161" s="1" t="str">
        <f t="shared" si="2799"/>
        <v>已发货</v>
      </c>
      <c r="J10161" s="1" t="str">
        <f t="shared" si="2792"/>
        <v>3</v>
      </c>
      <c r="K10161" s="1">
        <v>3</v>
      </c>
      <c r="L10161" s="1" t="s">
        <v>41</v>
      </c>
      <c r="M10161" s="1" t="str">
        <f>"湖北省 武汉市 江岸区 "</f>
        <v xml:space="preserve">湖北省 武汉市 江岸区 </v>
      </c>
      <c r="N10161" s="1" t="str">
        <f t="shared" si="2795"/>
        <v>凡华云仓-韵达-微信视频号</v>
      </c>
      <c r="O10161" s="5">
        <v>315011764415765</v>
      </c>
      <c r="P10161" s="6">
        <v>0.33</v>
      </c>
      <c r="Q10161" s="11">
        <v>2.2999999999999998</v>
      </c>
      <c r="R10161" s="11"/>
      <c r="S10161" s="11"/>
      <c r="T10161" s="11"/>
      <c r="U10161" s="11">
        <f t="shared" si="2784"/>
        <v>2.2999999999999998</v>
      </c>
      <c r="W10161">
        <v>2.5</v>
      </c>
      <c r="X10161" s="1" t="s">
        <v>41</v>
      </c>
    </row>
    <row r="10162" spans="1:24" x14ac:dyDescent="0.25">
      <c r="A10162" s="1" t="str">
        <f t="shared" si="2796"/>
        <v>卡卡杜-凤凰仓</v>
      </c>
      <c r="B10162" s="1" t="str">
        <f>"CK2024100210801"</f>
        <v>CK2024100210801</v>
      </c>
      <c r="C10162" s="1" t="str">
        <f>"DD2024100234581"</f>
        <v>DD2024100234581</v>
      </c>
      <c r="D10162" s="1" t="str">
        <f>"CK2024100234953"</f>
        <v>CK2024100234953</v>
      </c>
      <c r="E10162" s="1" t="str">
        <f>"3723029951300373504"</f>
        <v>3723029951300373504</v>
      </c>
      <c r="F10162" s="1" t="str">
        <f t="shared" si="2797"/>
        <v>花都四部-凤凰仓</v>
      </c>
      <c r="G10162" s="1" t="str">
        <f t="shared" si="2794"/>
        <v>卡卡杜企业店（视频号）</v>
      </c>
      <c r="H10162" s="1" t="str">
        <f t="shared" si="2798"/>
        <v>正常订单</v>
      </c>
      <c r="I10162" s="1" t="str">
        <f t="shared" si="2799"/>
        <v>已发货</v>
      </c>
      <c r="J10162" s="1" t="str">
        <f t="shared" si="2792"/>
        <v>3</v>
      </c>
      <c r="K10162" s="1">
        <v>3</v>
      </c>
      <c r="L10162" s="1" t="s">
        <v>94</v>
      </c>
      <c r="M10162" s="1" t="str">
        <f>"湖南省 长沙市 雨花区 "</f>
        <v xml:space="preserve">湖南省 长沙市 雨花区 </v>
      </c>
      <c r="N10162" s="1" t="str">
        <f t="shared" si="2795"/>
        <v>凡华云仓-韵达-微信视频号</v>
      </c>
      <c r="O10162" s="5">
        <v>315011764414376</v>
      </c>
      <c r="P10162" s="6">
        <v>0.33</v>
      </c>
      <c r="Q10162" s="11">
        <v>2.2999999999999998</v>
      </c>
      <c r="R10162" s="11"/>
      <c r="S10162" s="11"/>
      <c r="T10162" s="11"/>
      <c r="U10162" s="11">
        <f t="shared" si="2784"/>
        <v>2.2999999999999998</v>
      </c>
      <c r="W10162">
        <v>2.5</v>
      </c>
      <c r="X10162" s="1" t="s">
        <v>94</v>
      </c>
    </row>
    <row r="10163" spans="1:24" x14ac:dyDescent="0.25">
      <c r="A10163" s="1" t="str">
        <f t="shared" si="2796"/>
        <v>卡卡杜-凤凰仓</v>
      </c>
      <c r="B10163" s="1" t="str">
        <f>"CK2024100210783"</f>
        <v>CK2024100210783</v>
      </c>
      <c r="C10163" s="1" t="str">
        <f>"DD2024100234561"</f>
        <v>DD2024100234561</v>
      </c>
      <c r="D10163" s="1" t="str">
        <f>"CK2024100234952"</f>
        <v>CK2024100234952</v>
      </c>
      <c r="E10163" s="1" t="str">
        <f>"3723029771657022464"</f>
        <v>3723029771657022464</v>
      </c>
      <c r="F10163" s="1" t="str">
        <f t="shared" si="2797"/>
        <v>花都四部-凤凰仓</v>
      </c>
      <c r="G10163" s="1" t="str">
        <f t="shared" si="2794"/>
        <v>卡卡杜企业店（视频号）</v>
      </c>
      <c r="H10163" s="1" t="str">
        <f t="shared" si="2798"/>
        <v>正常订单</v>
      </c>
      <c r="I10163" s="1" t="str">
        <f t="shared" si="2799"/>
        <v>已发货</v>
      </c>
      <c r="J10163" s="1" t="str">
        <f t="shared" si="2792"/>
        <v>3</v>
      </c>
      <c r="K10163" s="1">
        <v>3</v>
      </c>
      <c r="L10163" s="1" t="s">
        <v>18</v>
      </c>
      <c r="M10163" s="1" t="str">
        <f>"广东省 东莞市 东莞市 "</f>
        <v xml:space="preserve">广东省 东莞市 东莞市 </v>
      </c>
      <c r="N10163" s="1" t="str">
        <f t="shared" si="2795"/>
        <v>凡华云仓-韵达-微信视频号</v>
      </c>
      <c r="O10163" s="5">
        <v>315011764414192</v>
      </c>
      <c r="P10163" s="6">
        <v>0.33</v>
      </c>
      <c r="Q10163" s="11">
        <v>2.2999999999999998</v>
      </c>
      <c r="R10163" s="11"/>
      <c r="S10163" s="11"/>
      <c r="T10163" s="11"/>
      <c r="U10163" s="11">
        <f t="shared" si="2784"/>
        <v>2.2999999999999998</v>
      </c>
      <c r="W10163">
        <v>2.5</v>
      </c>
      <c r="X10163" s="1" t="s">
        <v>18</v>
      </c>
    </row>
    <row r="10164" spans="1:24" x14ac:dyDescent="0.25">
      <c r="A10164" s="1" t="str">
        <f t="shared" si="2796"/>
        <v>卡卡杜-凤凰仓</v>
      </c>
      <c r="B10164" s="1" t="str">
        <f>"CK2024100210780"</f>
        <v>CK2024100210780</v>
      </c>
      <c r="C10164" s="1" t="str">
        <f>"DD2024100234558"</f>
        <v>DD2024100234558</v>
      </c>
      <c r="D10164" s="1" t="str">
        <f>"CK2024100234951"</f>
        <v>CK2024100234951</v>
      </c>
      <c r="E10164" s="1" t="str">
        <f>"3723029868157471744"</f>
        <v>3723029868157471744</v>
      </c>
      <c r="F10164" s="1" t="str">
        <f t="shared" si="2797"/>
        <v>花都四部-凤凰仓</v>
      </c>
      <c r="G10164" s="1" t="str">
        <f t="shared" si="2794"/>
        <v>卡卡杜企业店（视频号）</v>
      </c>
      <c r="H10164" s="1" t="str">
        <f t="shared" si="2798"/>
        <v>正常订单</v>
      </c>
      <c r="I10164" s="1" t="str">
        <f t="shared" si="2799"/>
        <v>已发货</v>
      </c>
      <c r="J10164" s="1" t="str">
        <f t="shared" si="2792"/>
        <v>3</v>
      </c>
      <c r="K10164" s="1">
        <v>3</v>
      </c>
      <c r="L10164" s="1" t="s">
        <v>218</v>
      </c>
      <c r="M10164" s="1" t="str">
        <f>"天津 天津市 河东区 "</f>
        <v xml:space="preserve">天津 天津市 河东区 </v>
      </c>
      <c r="N10164" s="1" t="str">
        <f t="shared" si="2795"/>
        <v>凡华云仓-韵达-微信视频号</v>
      </c>
      <c r="O10164" s="5">
        <v>315011764413672</v>
      </c>
      <c r="P10164" s="6">
        <v>0.33</v>
      </c>
      <c r="Q10164" s="11">
        <v>2.2999999999999998</v>
      </c>
      <c r="R10164" s="11"/>
      <c r="S10164" s="11"/>
      <c r="T10164" s="11"/>
      <c r="U10164" s="11">
        <f t="shared" si="2784"/>
        <v>2.2999999999999998</v>
      </c>
      <c r="W10164">
        <v>2.5</v>
      </c>
      <c r="X10164" s="1" t="s">
        <v>218</v>
      </c>
    </row>
    <row r="10165" spans="1:24" x14ac:dyDescent="0.25">
      <c r="A10165" s="1" t="str">
        <f t="shared" si="2796"/>
        <v>卡卡杜-凤凰仓</v>
      </c>
      <c r="B10165" s="1" t="str">
        <f>"CK202410028930"</f>
        <v>CK202410028930</v>
      </c>
      <c r="C10165" s="1" t="str">
        <f>"DD2024100232796"</f>
        <v>DD2024100232796</v>
      </c>
      <c r="D10165" s="1" t="str">
        <f>"CK2024100232944"</f>
        <v>CK2024100232944</v>
      </c>
      <c r="E10165" s="1" t="str">
        <f>"3723032051391530496"</f>
        <v>3723032051391530496</v>
      </c>
      <c r="F10165" s="1" t="str">
        <f t="shared" si="2797"/>
        <v>花都四部-凤凰仓</v>
      </c>
      <c r="G10165" s="1" t="str">
        <f t="shared" si="2794"/>
        <v>卡卡杜企业店（视频号）</v>
      </c>
      <c r="H10165" s="1" t="str">
        <f t="shared" si="2798"/>
        <v>正常订单</v>
      </c>
      <c r="I10165" s="1" t="str">
        <f t="shared" si="2799"/>
        <v>已发货</v>
      </c>
      <c r="J10165" s="1" t="str">
        <f t="shared" si="2792"/>
        <v>3</v>
      </c>
      <c r="K10165" s="1">
        <v>3</v>
      </c>
      <c r="L10165" s="1" t="s">
        <v>74</v>
      </c>
      <c r="M10165" s="1" t="str">
        <f>"上海 上海市 浦东新区 "</f>
        <v xml:space="preserve">上海 上海市 浦东新区 </v>
      </c>
      <c r="N10165" s="1" t="str">
        <f t="shared" si="2795"/>
        <v>凡华云仓-韵达-微信视频号</v>
      </c>
      <c r="O10165" s="5">
        <v>315011762024703</v>
      </c>
      <c r="P10165" s="6">
        <v>0.33</v>
      </c>
      <c r="Q10165" s="11">
        <v>2.2999999999999998</v>
      </c>
      <c r="R10165" s="11"/>
      <c r="S10165" s="11"/>
      <c r="T10165" s="11"/>
      <c r="U10165" s="11">
        <f t="shared" si="2784"/>
        <v>2.2999999999999998</v>
      </c>
      <c r="W10165">
        <v>2.5</v>
      </c>
      <c r="X10165" s="1" t="s">
        <v>74</v>
      </c>
    </row>
    <row r="10166" spans="1:24" x14ac:dyDescent="0.25">
      <c r="A10166" s="1" t="str">
        <f t="shared" si="2796"/>
        <v>卡卡杜-凤凰仓</v>
      </c>
      <c r="B10166" s="1" t="str">
        <f>"CK202410028921"</f>
        <v>CK202410028921</v>
      </c>
      <c r="C10166" s="1" t="str">
        <f>"DD2024100232786"</f>
        <v>DD2024100232786</v>
      </c>
      <c r="D10166" s="1" t="str">
        <f>"CK2024100232943"</f>
        <v>CK2024100232943</v>
      </c>
      <c r="E10166" s="1" t="str">
        <f>"3723031993994317825"</f>
        <v>3723031993994317825</v>
      </c>
      <c r="F10166" s="1" t="str">
        <f t="shared" si="2797"/>
        <v>花都四部-凤凰仓</v>
      </c>
      <c r="G10166" s="1" t="str">
        <f t="shared" si="2794"/>
        <v>卡卡杜企业店（视频号）</v>
      </c>
      <c r="H10166" s="1" t="str">
        <f t="shared" si="2798"/>
        <v>正常订单</v>
      </c>
      <c r="I10166" s="1" t="str">
        <f t="shared" si="2799"/>
        <v>已发货</v>
      </c>
      <c r="J10166" s="1" t="str">
        <f t="shared" si="2792"/>
        <v>3</v>
      </c>
      <c r="K10166" s="1">
        <v>3</v>
      </c>
      <c r="L10166" s="1" t="s">
        <v>74</v>
      </c>
      <c r="M10166" s="1" t="str">
        <f>"上海 上海市 静安区 "</f>
        <v xml:space="preserve">上海 上海市 静安区 </v>
      </c>
      <c r="N10166" s="1" t="str">
        <f t="shared" si="2795"/>
        <v>凡华云仓-韵达-微信视频号</v>
      </c>
      <c r="O10166" s="5">
        <v>315011762024127</v>
      </c>
      <c r="P10166" s="6">
        <v>0.33</v>
      </c>
      <c r="Q10166" s="11">
        <v>2.2999999999999998</v>
      </c>
      <c r="R10166" s="11"/>
      <c r="S10166" s="11"/>
      <c r="T10166" s="11"/>
      <c r="U10166" s="11">
        <f t="shared" si="2784"/>
        <v>2.2999999999999998</v>
      </c>
      <c r="W10166">
        <v>2.5</v>
      </c>
      <c r="X10166" s="1" t="s">
        <v>74</v>
      </c>
    </row>
    <row r="10167" spans="1:24" x14ac:dyDescent="0.25">
      <c r="A10167" s="1" t="str">
        <f t="shared" si="2796"/>
        <v>卡卡杜-凤凰仓</v>
      </c>
      <c r="B10167" s="1" t="str">
        <f>"CK202410028928"</f>
        <v>CK202410028928</v>
      </c>
      <c r="C10167" s="1" t="str">
        <f>"DD2024100232794"</f>
        <v>DD2024100232794</v>
      </c>
      <c r="D10167" s="1" t="str">
        <f>"CK2024100232941"</f>
        <v>CK2024100232941</v>
      </c>
      <c r="E10167" s="1" t="str">
        <f>"3723031797650818560"</f>
        <v>3723031797650818560</v>
      </c>
      <c r="F10167" s="1" t="str">
        <f t="shared" si="2797"/>
        <v>花都四部-凤凰仓</v>
      </c>
      <c r="G10167" s="1" t="str">
        <f t="shared" si="2794"/>
        <v>卡卡杜企业店（视频号）</v>
      </c>
      <c r="H10167" s="1" t="str">
        <f t="shared" si="2798"/>
        <v>正常订单</v>
      </c>
      <c r="I10167" s="1" t="str">
        <f t="shared" si="2799"/>
        <v>已发货</v>
      </c>
      <c r="J10167" s="1" t="str">
        <f t="shared" si="2792"/>
        <v>3</v>
      </c>
      <c r="K10167" s="1">
        <v>3</v>
      </c>
      <c r="L10167" s="1" t="s">
        <v>18</v>
      </c>
      <c r="M10167" s="1" t="str">
        <f>"广东省 深圳市 罗湖区 "</f>
        <v xml:space="preserve">广东省 深圳市 罗湖区 </v>
      </c>
      <c r="N10167" s="1" t="str">
        <f t="shared" si="2795"/>
        <v>凡华云仓-韵达-微信视频号</v>
      </c>
      <c r="O10167" s="5">
        <v>315011762022418</v>
      </c>
      <c r="P10167" s="6">
        <v>0.33</v>
      </c>
      <c r="Q10167" s="11">
        <v>2.2999999999999998</v>
      </c>
      <c r="R10167" s="11"/>
      <c r="S10167" s="11"/>
      <c r="T10167" s="11"/>
      <c r="U10167" s="11">
        <f t="shared" si="2784"/>
        <v>2.2999999999999998</v>
      </c>
      <c r="W10167">
        <v>2.5</v>
      </c>
      <c r="X10167" s="1" t="s">
        <v>18</v>
      </c>
    </row>
    <row r="10168" spans="1:24" x14ac:dyDescent="0.25">
      <c r="A10168" s="1" t="str">
        <f t="shared" si="2796"/>
        <v>卡卡杜-凤凰仓</v>
      </c>
      <c r="B10168" s="1" t="str">
        <f>"CK202410028937"</f>
        <v>CK202410028937</v>
      </c>
      <c r="C10168" s="1" t="str">
        <f>"DD2024100232811"</f>
        <v>DD2024100232811</v>
      </c>
      <c r="D10168" s="1" t="str">
        <f>"CK2024100232940"</f>
        <v>CK2024100232940</v>
      </c>
      <c r="E10168" s="1" t="str">
        <f>"3723031801237210368"</f>
        <v>3723031801237210368</v>
      </c>
      <c r="F10168" s="1" t="str">
        <f t="shared" si="2797"/>
        <v>花都四部-凤凰仓</v>
      </c>
      <c r="G10168" s="1" t="str">
        <f t="shared" si="2794"/>
        <v>卡卡杜企业店（视频号）</v>
      </c>
      <c r="H10168" s="1" t="str">
        <f t="shared" si="2798"/>
        <v>正常订单</v>
      </c>
      <c r="I10168" s="1" t="str">
        <f t="shared" si="2799"/>
        <v>已发货</v>
      </c>
      <c r="J10168" s="1" t="str">
        <f t="shared" ref="J10168:J10171" si="2800">"5"</f>
        <v>5</v>
      </c>
      <c r="K10168" s="1">
        <v>3</v>
      </c>
      <c r="L10168" s="1" t="s">
        <v>161</v>
      </c>
      <c r="M10168" s="1" t="str">
        <f>"四川省 成都市 双流区 "</f>
        <v xml:space="preserve">四川省 成都市 双流区 </v>
      </c>
      <c r="N10168" s="1" t="str">
        <f t="shared" si="2795"/>
        <v>凡华云仓-韵达-微信视频号</v>
      </c>
      <c r="O10168" s="5">
        <v>315011762022139</v>
      </c>
      <c r="P10168" s="6">
        <v>0.56000000000000005</v>
      </c>
      <c r="Q10168" s="11">
        <f t="shared" ref="Q10168:Q10171" si="2801">CEILING(P10168-0.5,0.1)*10*0.15+2.3</f>
        <v>2.4499999999999997</v>
      </c>
      <c r="R10168" s="11"/>
      <c r="S10168" s="11"/>
      <c r="T10168" s="11"/>
      <c r="U10168" s="11">
        <f t="shared" si="2784"/>
        <v>2.4499999999999997</v>
      </c>
      <c r="V10168" t="s">
        <v>15</v>
      </c>
      <c r="W10168">
        <v>2.4500000000000002</v>
      </c>
      <c r="X10168" s="1" t="s">
        <v>161</v>
      </c>
    </row>
    <row r="10169" spans="1:24" x14ac:dyDescent="0.25">
      <c r="A10169" s="1" t="str">
        <f t="shared" si="2796"/>
        <v>卡卡杜-凤凰仓</v>
      </c>
      <c r="B10169" s="1" t="str">
        <f>"CK202410028923"</f>
        <v>CK202410028923</v>
      </c>
      <c r="C10169" s="1" t="str">
        <f>"DD2024100232790"</f>
        <v>DD2024100232790</v>
      </c>
      <c r="D10169" s="1" t="str">
        <f>"CK2024100232939"</f>
        <v>CK2024100232939</v>
      </c>
      <c r="E10169" s="1" t="str">
        <f>"3723031646559933440"</f>
        <v>3723031646559933440</v>
      </c>
      <c r="F10169" s="1" t="str">
        <f t="shared" si="2797"/>
        <v>花都四部-凤凰仓</v>
      </c>
      <c r="G10169" s="1" t="str">
        <f t="shared" si="2794"/>
        <v>卡卡杜企业店（视频号）</v>
      </c>
      <c r="H10169" s="1" t="str">
        <f t="shared" si="2798"/>
        <v>正常订单</v>
      </c>
      <c r="I10169" s="1" t="str">
        <f t="shared" si="2799"/>
        <v>已发货</v>
      </c>
      <c r="J10169" s="1" t="str">
        <f>"3"</f>
        <v>3</v>
      </c>
      <c r="K10169" s="1">
        <v>3</v>
      </c>
      <c r="L10169" s="1" t="s">
        <v>18</v>
      </c>
      <c r="M10169" s="1" t="str">
        <f>"广东省 佛山市 南海区 "</f>
        <v xml:space="preserve">广东省 佛山市 南海区 </v>
      </c>
      <c r="N10169" s="1" t="str">
        <f t="shared" si="2795"/>
        <v>凡华云仓-韵达-微信视频号</v>
      </c>
      <c r="O10169" s="5">
        <v>315011762021059</v>
      </c>
      <c r="P10169" s="6">
        <v>0.33</v>
      </c>
      <c r="Q10169" s="11">
        <v>2.2999999999999998</v>
      </c>
      <c r="R10169" s="11"/>
      <c r="S10169" s="11"/>
      <c r="T10169" s="11"/>
      <c r="U10169" s="11">
        <f t="shared" si="2784"/>
        <v>2.2999999999999998</v>
      </c>
      <c r="W10169">
        <v>2.5</v>
      </c>
      <c r="X10169" s="1" t="s">
        <v>18</v>
      </c>
    </row>
    <row r="10170" spans="1:24" x14ac:dyDescent="0.25">
      <c r="A10170" s="1" t="str">
        <f t="shared" si="2796"/>
        <v>卡卡杜-凤凰仓</v>
      </c>
      <c r="B10170" s="1" t="str">
        <f>"CK202410028936"</f>
        <v>CK202410028936</v>
      </c>
      <c r="C10170" s="1" t="str">
        <f>"DD2024100232807"</f>
        <v>DD2024100232807</v>
      </c>
      <c r="D10170" s="1" t="str">
        <f>"CK2024100232938"</f>
        <v>CK2024100232938</v>
      </c>
      <c r="E10170" s="1" t="str">
        <f>"3723031600664544768"</f>
        <v>3723031600664544768</v>
      </c>
      <c r="F10170" s="1" t="str">
        <f t="shared" si="2797"/>
        <v>花都四部-凤凰仓</v>
      </c>
      <c r="G10170" s="1" t="str">
        <f t="shared" si="2794"/>
        <v>卡卡杜企业店（视频号）</v>
      </c>
      <c r="H10170" s="1" t="str">
        <f t="shared" si="2798"/>
        <v>正常订单</v>
      </c>
      <c r="I10170" s="1" t="str">
        <f t="shared" si="2799"/>
        <v>已发货</v>
      </c>
      <c r="J10170" s="1" t="str">
        <f t="shared" si="2800"/>
        <v>5</v>
      </c>
      <c r="K10170" s="1">
        <v>3</v>
      </c>
      <c r="L10170" s="1" t="s">
        <v>105</v>
      </c>
      <c r="M10170" s="1" t="str">
        <f>"北京 北京市 大兴区 "</f>
        <v xml:space="preserve">北京 北京市 大兴区 </v>
      </c>
      <c r="N10170" s="1" t="str">
        <f t="shared" si="2795"/>
        <v>凡华云仓-韵达-微信视频号</v>
      </c>
      <c r="O10170" s="5">
        <v>315011762020634</v>
      </c>
      <c r="P10170" s="6">
        <v>0.56000000000000005</v>
      </c>
      <c r="Q10170" s="11">
        <f t="shared" si="2801"/>
        <v>2.4499999999999997</v>
      </c>
      <c r="R10170" s="11"/>
      <c r="S10170" s="11"/>
      <c r="T10170" s="11"/>
      <c r="U10170" s="11">
        <f t="shared" si="2784"/>
        <v>2.4499999999999997</v>
      </c>
      <c r="V10170" t="s">
        <v>15</v>
      </c>
      <c r="W10170">
        <v>2.4500000000000002</v>
      </c>
      <c r="X10170" s="1" t="s">
        <v>105</v>
      </c>
    </row>
    <row r="10171" spans="1:24" x14ac:dyDescent="0.25">
      <c r="A10171" s="1" t="str">
        <f t="shared" si="2796"/>
        <v>卡卡杜-凤凰仓</v>
      </c>
      <c r="B10171" s="1" t="str">
        <f>"CK202410028935"</f>
        <v>CK202410028935</v>
      </c>
      <c r="C10171" s="1" t="str">
        <f>"DD2024100232808"</f>
        <v>DD2024100232808</v>
      </c>
      <c r="D10171" s="1" t="str">
        <f>"CK2024100232937"</f>
        <v>CK2024100232937</v>
      </c>
      <c r="E10171" s="1" t="str">
        <f>"3723031535032861952"</f>
        <v>3723031535032861952</v>
      </c>
      <c r="F10171" s="1" t="str">
        <f t="shared" si="2797"/>
        <v>花都四部-凤凰仓</v>
      </c>
      <c r="G10171" s="1" t="str">
        <f t="shared" si="2794"/>
        <v>卡卡杜企业店（视频号）</v>
      </c>
      <c r="H10171" s="1" t="str">
        <f t="shared" si="2798"/>
        <v>正常订单</v>
      </c>
      <c r="I10171" s="1" t="str">
        <f t="shared" si="2799"/>
        <v>已发货</v>
      </c>
      <c r="J10171" s="1" t="str">
        <f t="shared" si="2800"/>
        <v>5</v>
      </c>
      <c r="K10171" s="1">
        <v>3</v>
      </c>
      <c r="L10171" s="1" t="s">
        <v>105</v>
      </c>
      <c r="M10171" s="1" t="str">
        <f>"北京 北京市 朝阳区 "</f>
        <v xml:space="preserve">北京 北京市 朝阳区 </v>
      </c>
      <c r="N10171" s="1" t="str">
        <f t="shared" si="2795"/>
        <v>凡华云仓-韵达-微信视频号</v>
      </c>
      <c r="O10171" s="5">
        <v>315011762019141</v>
      </c>
      <c r="P10171" s="6">
        <v>0.56000000000000005</v>
      </c>
      <c r="Q10171" s="11">
        <f t="shared" si="2801"/>
        <v>2.4499999999999997</v>
      </c>
      <c r="R10171" s="11"/>
      <c r="S10171" s="11"/>
      <c r="T10171" s="11"/>
      <c r="U10171" s="11">
        <f t="shared" si="2784"/>
        <v>2.4499999999999997</v>
      </c>
      <c r="V10171" t="s">
        <v>15</v>
      </c>
      <c r="W10171">
        <v>2.4500000000000002</v>
      </c>
      <c r="X10171" s="1" t="s">
        <v>105</v>
      </c>
    </row>
    <row r="10172" spans="1:24" x14ac:dyDescent="0.25">
      <c r="A10172" s="1" t="str">
        <f t="shared" si="2796"/>
        <v>卡卡杜-凤凰仓</v>
      </c>
      <c r="B10172" s="1" t="str">
        <f>"CK202410028915"</f>
        <v>CK202410028915</v>
      </c>
      <c r="C10172" s="1" t="str">
        <f>"DD2024100232781"</f>
        <v>DD2024100232781</v>
      </c>
      <c r="D10172" s="1" t="str">
        <f>"CK2024100232935"</f>
        <v>CK2024100232935</v>
      </c>
      <c r="E10172" s="1" t="str">
        <f>"3723031407952004352"</f>
        <v>3723031407952004352</v>
      </c>
      <c r="F10172" s="1" t="str">
        <f t="shared" si="2797"/>
        <v>花都四部-凤凰仓</v>
      </c>
      <c r="G10172" s="1" t="str">
        <f t="shared" si="2794"/>
        <v>卡卡杜企业店（视频号）</v>
      </c>
      <c r="H10172" s="1" t="str">
        <f t="shared" si="2798"/>
        <v>正常订单</v>
      </c>
      <c r="I10172" s="1" t="str">
        <f t="shared" si="2799"/>
        <v>已发货</v>
      </c>
      <c r="J10172" s="1" t="str">
        <f t="shared" ref="J10172:J10189" si="2802">"3"</f>
        <v>3</v>
      </c>
      <c r="K10172" s="1">
        <v>3</v>
      </c>
      <c r="L10172" s="1" t="s">
        <v>52</v>
      </c>
      <c r="M10172" s="1" t="str">
        <f>"甘肃省 兰州市 城关区 "</f>
        <v xml:space="preserve">甘肃省 兰州市 城关区 </v>
      </c>
      <c r="N10172" s="1" t="str">
        <f t="shared" si="2795"/>
        <v>凡华云仓-韵达-微信视频号</v>
      </c>
      <c r="O10172" s="5">
        <v>315011762017608</v>
      </c>
      <c r="P10172" s="6">
        <v>0.33</v>
      </c>
      <c r="Q10172" s="11">
        <v>2.2999999999999998</v>
      </c>
      <c r="R10172" s="11"/>
      <c r="S10172" s="11"/>
      <c r="T10172" s="11"/>
      <c r="U10172" s="11">
        <f t="shared" si="2784"/>
        <v>2.2999999999999998</v>
      </c>
      <c r="W10172">
        <v>2.5</v>
      </c>
      <c r="X10172" s="1" t="s">
        <v>52</v>
      </c>
    </row>
    <row r="10173" spans="1:24" x14ac:dyDescent="0.25">
      <c r="A10173" s="1" t="str">
        <f t="shared" si="2796"/>
        <v>卡卡杜-凤凰仓</v>
      </c>
      <c r="B10173" s="1" t="str">
        <f>"CK202410028938"</f>
        <v>CK202410028938</v>
      </c>
      <c r="C10173" s="1" t="str">
        <f>"DD2024100232809"</f>
        <v>DD2024100232809</v>
      </c>
      <c r="D10173" s="1" t="str">
        <f>"CK2024100232934"</f>
        <v>CK2024100232934</v>
      </c>
      <c r="E10173" s="1" t="str">
        <f>"3723031403139828736"</f>
        <v>3723031403139828736</v>
      </c>
      <c r="F10173" s="1" t="str">
        <f t="shared" si="2797"/>
        <v>花都四部-凤凰仓</v>
      </c>
      <c r="G10173" s="1" t="str">
        <f t="shared" si="2794"/>
        <v>卡卡杜企业店（视频号）</v>
      </c>
      <c r="H10173" s="1" t="str">
        <f t="shared" si="2798"/>
        <v>正常订单</v>
      </c>
      <c r="I10173" s="1" t="str">
        <f t="shared" si="2799"/>
        <v>已发货</v>
      </c>
      <c r="J10173" s="1" t="str">
        <f>"5"</f>
        <v>5</v>
      </c>
      <c r="K10173" s="1">
        <v>3</v>
      </c>
      <c r="L10173" s="1" t="s">
        <v>27</v>
      </c>
      <c r="M10173" s="1" t="str">
        <f>"贵州省 贵阳市 云岩区 "</f>
        <v xml:space="preserve">贵州省 贵阳市 云岩区 </v>
      </c>
      <c r="N10173" s="1" t="str">
        <f t="shared" si="2795"/>
        <v>凡华云仓-韵达-微信视频号</v>
      </c>
      <c r="O10173" s="5">
        <v>315011762016316</v>
      </c>
      <c r="P10173" s="6">
        <v>0.56000000000000005</v>
      </c>
      <c r="Q10173" s="11">
        <f>CEILING(P10173-0.5,0.1)*10*0.15+2.3</f>
        <v>2.4499999999999997</v>
      </c>
      <c r="R10173" s="11"/>
      <c r="S10173" s="11"/>
      <c r="T10173" s="11"/>
      <c r="U10173" s="11">
        <f t="shared" si="2784"/>
        <v>2.4499999999999997</v>
      </c>
      <c r="V10173" t="s">
        <v>15</v>
      </c>
      <c r="W10173">
        <v>2.4500000000000002</v>
      </c>
      <c r="X10173" s="1" t="s">
        <v>27</v>
      </c>
    </row>
    <row r="10174" spans="1:24" x14ac:dyDescent="0.25">
      <c r="A10174" s="1" t="str">
        <f t="shared" si="2796"/>
        <v>卡卡杜-凤凰仓</v>
      </c>
      <c r="B10174" s="1" t="str">
        <f>"CK202410028939"</f>
        <v>CK202410028939</v>
      </c>
      <c r="C10174" s="1" t="str">
        <f>"DD2024100232806"</f>
        <v>DD2024100232806</v>
      </c>
      <c r="D10174" s="1" t="str">
        <f>"CK2024100232933"</f>
        <v>CK2024100232933</v>
      </c>
      <c r="E10174" s="1" t="str">
        <f>"3723031303038046208"</f>
        <v>3723031303038046208</v>
      </c>
      <c r="F10174" s="1" t="str">
        <f t="shared" si="2797"/>
        <v>花都四部-凤凰仓</v>
      </c>
      <c r="G10174" s="1" t="str">
        <f t="shared" si="2794"/>
        <v>卡卡杜企业店（视频号）</v>
      </c>
      <c r="H10174" s="1" t="str">
        <f t="shared" si="2798"/>
        <v>正常订单</v>
      </c>
      <c r="I10174" s="1" t="str">
        <f t="shared" si="2799"/>
        <v>已发货</v>
      </c>
      <c r="J10174" s="1" t="str">
        <f>"5"</f>
        <v>5</v>
      </c>
      <c r="K10174" s="1">
        <v>3</v>
      </c>
      <c r="L10174" s="1" t="s">
        <v>105</v>
      </c>
      <c r="M10174" s="1" t="str">
        <f>"北京 北京市 西城区 "</f>
        <v xml:space="preserve">北京 北京市 西城区 </v>
      </c>
      <c r="N10174" s="1" t="str">
        <f t="shared" si="2795"/>
        <v>凡华云仓-韵达-微信视频号</v>
      </c>
      <c r="O10174" s="5">
        <v>315011762015044</v>
      </c>
      <c r="P10174" s="6">
        <v>0.56000000000000005</v>
      </c>
      <c r="Q10174" s="11">
        <f>CEILING(P10174-0.5,0.1)*10*0.15+2.3</f>
        <v>2.4499999999999997</v>
      </c>
      <c r="R10174" s="11"/>
      <c r="S10174" s="11"/>
      <c r="T10174" s="11"/>
      <c r="U10174" s="11">
        <f t="shared" si="2784"/>
        <v>2.4499999999999997</v>
      </c>
      <c r="V10174" t="s">
        <v>15</v>
      </c>
      <c r="W10174">
        <v>2.4500000000000002</v>
      </c>
      <c r="X10174" s="1" t="s">
        <v>105</v>
      </c>
    </row>
    <row r="10175" spans="1:24" x14ac:dyDescent="0.25">
      <c r="A10175" s="1" t="str">
        <f t="shared" si="2796"/>
        <v>卡卡杜-凤凰仓</v>
      </c>
      <c r="B10175" s="1" t="str">
        <f>"CK202410028926"</f>
        <v>CK202410028926</v>
      </c>
      <c r="C10175" s="1" t="str">
        <f>"DD2024100232792"</f>
        <v>DD2024100232792</v>
      </c>
      <c r="D10175" s="1" t="str">
        <f>"CK2024100232932"</f>
        <v>CK2024100232932</v>
      </c>
      <c r="E10175" s="1" t="str">
        <f>"3723031238061461504"</f>
        <v>3723031238061461504</v>
      </c>
      <c r="F10175" s="1" t="str">
        <f t="shared" si="2797"/>
        <v>花都四部-凤凰仓</v>
      </c>
      <c r="G10175" s="1" t="str">
        <f t="shared" si="2794"/>
        <v>卡卡杜企业店（视频号）</v>
      </c>
      <c r="H10175" s="1" t="str">
        <f t="shared" si="2798"/>
        <v>正常订单</v>
      </c>
      <c r="I10175" s="1" t="str">
        <f t="shared" si="2799"/>
        <v>已发货</v>
      </c>
      <c r="J10175" s="1" t="str">
        <f t="shared" si="2802"/>
        <v>3</v>
      </c>
      <c r="K10175" s="1">
        <v>3</v>
      </c>
      <c r="L10175" s="1" t="s">
        <v>44</v>
      </c>
      <c r="M10175" s="1" t="str">
        <f>"海南省 海口市 琼山区 "</f>
        <v xml:space="preserve">海南省 海口市 琼山区 </v>
      </c>
      <c r="N10175" s="1" t="str">
        <f t="shared" si="2795"/>
        <v>凡华云仓-韵达-微信视频号</v>
      </c>
      <c r="O10175" s="5">
        <v>315011762013420</v>
      </c>
      <c r="P10175" s="6">
        <v>0.33</v>
      </c>
      <c r="Q10175" s="11">
        <v>2.2999999999999998</v>
      </c>
      <c r="R10175" s="11"/>
      <c r="S10175" s="11"/>
      <c r="T10175" s="11"/>
      <c r="U10175" s="11">
        <f t="shared" si="2784"/>
        <v>2.2999999999999998</v>
      </c>
      <c r="W10175">
        <v>2.5</v>
      </c>
      <c r="X10175" s="1" t="s">
        <v>44</v>
      </c>
    </row>
    <row r="10176" spans="1:24" x14ac:dyDescent="0.25">
      <c r="A10176" s="1" t="str">
        <f t="shared" si="2796"/>
        <v>卡卡杜-凤凰仓</v>
      </c>
      <c r="B10176" s="1" t="str">
        <f>"CK202410028918"</f>
        <v>CK202410028918</v>
      </c>
      <c r="C10176" s="1" t="str">
        <f>"DD2024100232784"</f>
        <v>DD2024100232784</v>
      </c>
      <c r="D10176" s="1" t="str">
        <f>"CK2024100232931"</f>
        <v>CK2024100232931</v>
      </c>
      <c r="E10176" s="1" t="str">
        <f>"3723031147546545152"</f>
        <v>3723031147546545152</v>
      </c>
      <c r="F10176" s="1" t="str">
        <f t="shared" si="2797"/>
        <v>花都四部-凤凰仓</v>
      </c>
      <c r="G10176" s="1" t="str">
        <f t="shared" si="2794"/>
        <v>卡卡杜企业店（视频号）</v>
      </c>
      <c r="H10176" s="1" t="str">
        <f t="shared" si="2798"/>
        <v>正常订单</v>
      </c>
      <c r="I10176" s="1" t="str">
        <f t="shared" si="2799"/>
        <v>已发货</v>
      </c>
      <c r="J10176" s="1" t="str">
        <f t="shared" si="2802"/>
        <v>3</v>
      </c>
      <c r="K10176" s="1">
        <v>3</v>
      </c>
      <c r="L10176" s="1" t="s">
        <v>18</v>
      </c>
      <c r="M10176" s="1" t="str">
        <f>"广东省 汕头市 龙湖区 "</f>
        <v xml:space="preserve">广东省 汕头市 龙湖区 </v>
      </c>
      <c r="N10176" s="1" t="str">
        <f t="shared" si="2795"/>
        <v>凡华云仓-韵达-微信视频号</v>
      </c>
      <c r="O10176" s="5">
        <v>315011762011836</v>
      </c>
      <c r="P10176" s="6">
        <v>0.33</v>
      </c>
      <c r="Q10176" s="11">
        <v>2.2999999999999998</v>
      </c>
      <c r="R10176" s="11"/>
      <c r="S10176" s="11"/>
      <c r="T10176" s="11"/>
      <c r="U10176" s="11">
        <f t="shared" si="2784"/>
        <v>2.2999999999999998</v>
      </c>
      <c r="W10176">
        <v>2.5</v>
      </c>
      <c r="X10176" s="1" t="s">
        <v>18</v>
      </c>
    </row>
    <row r="10177" spans="1:24" x14ac:dyDescent="0.25">
      <c r="A10177" s="1" t="str">
        <f t="shared" si="2796"/>
        <v>卡卡杜-凤凰仓</v>
      </c>
      <c r="B10177" s="1" t="str">
        <f>"CK202410028919"</f>
        <v>CK202410028919</v>
      </c>
      <c r="C10177" s="1" t="str">
        <f>"DD2024100232785"</f>
        <v>DD2024100232785</v>
      </c>
      <c r="D10177" s="1" t="str">
        <f>"CK2024100232930"</f>
        <v>CK2024100232930</v>
      </c>
      <c r="E10177" s="1" t="str">
        <f>"3723031126692465664"</f>
        <v>3723031126692465664</v>
      </c>
      <c r="F10177" s="1" t="str">
        <f t="shared" si="2797"/>
        <v>花都四部-凤凰仓</v>
      </c>
      <c r="G10177" s="1" t="str">
        <f t="shared" si="2794"/>
        <v>卡卡杜企业店（视频号）</v>
      </c>
      <c r="H10177" s="1" t="str">
        <f t="shared" si="2798"/>
        <v>正常订单</v>
      </c>
      <c r="I10177" s="1" t="str">
        <f t="shared" si="2799"/>
        <v>已发货</v>
      </c>
      <c r="J10177" s="1" t="str">
        <f t="shared" si="2802"/>
        <v>3</v>
      </c>
      <c r="K10177" s="1">
        <v>3</v>
      </c>
      <c r="L10177" s="1" t="s">
        <v>18</v>
      </c>
      <c r="M10177" s="1" t="str">
        <f>"广东省 广州市 番禺区 "</f>
        <v xml:space="preserve">广东省 广州市 番禺区 </v>
      </c>
      <c r="N10177" s="1" t="str">
        <f t="shared" si="2795"/>
        <v>凡华云仓-韵达-微信视频号</v>
      </c>
      <c r="O10177" s="5">
        <v>315011762010744</v>
      </c>
      <c r="P10177" s="6">
        <v>0.33</v>
      </c>
      <c r="Q10177" s="11">
        <v>2.2999999999999998</v>
      </c>
      <c r="R10177" s="11"/>
      <c r="S10177" s="11"/>
      <c r="T10177" s="11"/>
      <c r="U10177" s="11">
        <f t="shared" si="2784"/>
        <v>2.2999999999999998</v>
      </c>
      <c r="W10177">
        <v>2.5</v>
      </c>
      <c r="X10177" s="1" t="s">
        <v>18</v>
      </c>
    </row>
    <row r="10178" spans="1:24" x14ac:dyDescent="0.25">
      <c r="A10178" s="1" t="str">
        <f t="shared" si="2796"/>
        <v>卡卡杜-凤凰仓</v>
      </c>
      <c r="B10178" s="1" t="str">
        <f>"CK202410028925"</f>
        <v>CK202410028925</v>
      </c>
      <c r="C10178" s="1" t="str">
        <f>"DD2024100232791"</f>
        <v>DD2024100232791</v>
      </c>
      <c r="D10178" s="1" t="str">
        <f>"CK2024100232929"</f>
        <v>CK2024100232929</v>
      </c>
      <c r="E10178" s="1" t="str">
        <f>"3723031038794798080"</f>
        <v>3723031038794798080</v>
      </c>
      <c r="F10178" s="1" t="str">
        <f t="shared" si="2797"/>
        <v>花都四部-凤凰仓</v>
      </c>
      <c r="G10178" s="1" t="str">
        <f t="shared" si="2794"/>
        <v>卡卡杜企业店（视频号）</v>
      </c>
      <c r="H10178" s="1" t="str">
        <f t="shared" si="2798"/>
        <v>正常订单</v>
      </c>
      <c r="I10178" s="1" t="str">
        <f t="shared" si="2799"/>
        <v>已发货</v>
      </c>
      <c r="J10178" s="1" t="str">
        <f t="shared" si="2802"/>
        <v>3</v>
      </c>
      <c r="K10178" s="1">
        <v>3</v>
      </c>
      <c r="L10178" s="1" t="s">
        <v>18</v>
      </c>
      <c r="M10178" s="1" t="str">
        <f>"广东省 深圳市 宝安区 "</f>
        <v xml:space="preserve">广东省 深圳市 宝安区 </v>
      </c>
      <c r="N10178" s="1" t="str">
        <f t="shared" si="2795"/>
        <v>凡华云仓-韵达-微信视频号</v>
      </c>
      <c r="O10178" s="5">
        <v>315011762009152</v>
      </c>
      <c r="P10178" s="6">
        <v>0.33</v>
      </c>
      <c r="Q10178" s="11">
        <v>2.2999999999999998</v>
      </c>
      <c r="R10178" s="11"/>
      <c r="S10178" s="11"/>
      <c r="T10178" s="11"/>
      <c r="U10178" s="11">
        <f t="shared" si="2784"/>
        <v>2.2999999999999998</v>
      </c>
      <c r="W10178">
        <v>2.5</v>
      </c>
      <c r="X10178" s="1" t="s">
        <v>18</v>
      </c>
    </row>
    <row r="10179" spans="1:24" x14ac:dyDescent="0.25">
      <c r="A10179" s="1" t="str">
        <f t="shared" si="2796"/>
        <v>卡卡杜-凤凰仓</v>
      </c>
      <c r="B10179" s="1" t="str">
        <f>"CK202410028914"</f>
        <v>CK202410028914</v>
      </c>
      <c r="C10179" s="1" t="str">
        <f>"DD2024100232782"</f>
        <v>DD2024100232782</v>
      </c>
      <c r="D10179" s="1" t="str">
        <f>"CK2024100232928"</f>
        <v>CK2024100232928</v>
      </c>
      <c r="E10179" s="1" t="str">
        <f>"3723030747224870912"</f>
        <v>3723030747224870912</v>
      </c>
      <c r="F10179" s="1" t="str">
        <f t="shared" si="2797"/>
        <v>花都四部-凤凰仓</v>
      </c>
      <c r="G10179" s="1" t="str">
        <f t="shared" si="2794"/>
        <v>卡卡杜企业店（视频号）</v>
      </c>
      <c r="H10179" s="1" t="str">
        <f t="shared" si="2798"/>
        <v>正常订单</v>
      </c>
      <c r="I10179" s="1" t="str">
        <f t="shared" si="2799"/>
        <v>已发货</v>
      </c>
      <c r="J10179" s="1" t="str">
        <f t="shared" si="2802"/>
        <v>3</v>
      </c>
      <c r="K10179" s="1">
        <v>3</v>
      </c>
      <c r="L10179" s="1" t="s">
        <v>74</v>
      </c>
      <c r="M10179" s="1" t="str">
        <f>"上海 上海市 闵行区 "</f>
        <v xml:space="preserve">上海 上海市 闵行区 </v>
      </c>
      <c r="N10179" s="1" t="str">
        <f t="shared" si="2795"/>
        <v>凡华云仓-韵达-微信视频号</v>
      </c>
      <c r="O10179" s="5">
        <v>315011762008058</v>
      </c>
      <c r="P10179" s="6">
        <v>0.33</v>
      </c>
      <c r="Q10179" s="11">
        <v>2.2999999999999998</v>
      </c>
      <c r="R10179" s="11"/>
      <c r="S10179" s="11"/>
      <c r="T10179" s="11"/>
      <c r="U10179" s="11">
        <f t="shared" ref="U10179:U10196" si="2803">T10179+S10179+R10179+Q10179</f>
        <v>2.2999999999999998</v>
      </c>
      <c r="W10179">
        <v>2.5</v>
      </c>
      <c r="X10179" s="1" t="s">
        <v>74</v>
      </c>
    </row>
    <row r="10180" spans="1:24" x14ac:dyDescent="0.25">
      <c r="A10180" s="1" t="str">
        <f t="shared" si="2796"/>
        <v>卡卡杜-凤凰仓</v>
      </c>
      <c r="B10180" s="1" t="str">
        <f>"CK202410028929"</f>
        <v>CK202410028929</v>
      </c>
      <c r="C10180" s="1" t="str">
        <f>"DD2024100232795"</f>
        <v>DD2024100232795</v>
      </c>
      <c r="D10180" s="1" t="str">
        <f>"CK2024100232927"</f>
        <v>CK2024100232927</v>
      </c>
      <c r="E10180" s="1" t="str">
        <f>"3723030620225803264"</f>
        <v>3723030620225803264</v>
      </c>
      <c r="F10180" s="1" t="str">
        <f t="shared" si="2797"/>
        <v>花都四部-凤凰仓</v>
      </c>
      <c r="G10180" s="1" t="str">
        <f t="shared" si="2794"/>
        <v>卡卡杜企业店（视频号）</v>
      </c>
      <c r="H10180" s="1" t="str">
        <f t="shared" si="2798"/>
        <v>正常订单</v>
      </c>
      <c r="I10180" s="1" t="str">
        <f t="shared" si="2799"/>
        <v>已发货</v>
      </c>
      <c r="J10180" s="1" t="str">
        <f t="shared" si="2802"/>
        <v>3</v>
      </c>
      <c r="K10180" s="1">
        <v>3</v>
      </c>
      <c r="L10180" s="1" t="s">
        <v>74</v>
      </c>
      <c r="M10180" s="1" t="str">
        <f>"上海 上海市 静安区 "</f>
        <v xml:space="preserve">上海 上海市 静安区 </v>
      </c>
      <c r="N10180" s="1" t="str">
        <f t="shared" si="2795"/>
        <v>凡华云仓-韵达-微信视频号</v>
      </c>
      <c r="O10180" s="5">
        <v>315011762005144</v>
      </c>
      <c r="P10180" s="6">
        <v>0.33</v>
      </c>
      <c r="Q10180" s="11">
        <v>2.2999999999999998</v>
      </c>
      <c r="R10180" s="11"/>
      <c r="S10180" s="11"/>
      <c r="T10180" s="11"/>
      <c r="U10180" s="11">
        <f t="shared" si="2803"/>
        <v>2.2999999999999998</v>
      </c>
      <c r="W10180">
        <v>2.5</v>
      </c>
      <c r="X10180" s="1" t="s">
        <v>74</v>
      </c>
    </row>
    <row r="10181" spans="1:24" x14ac:dyDescent="0.25">
      <c r="A10181" s="1" t="str">
        <f t="shared" si="2796"/>
        <v>卡卡杜-凤凰仓</v>
      </c>
      <c r="B10181" s="1" t="str">
        <f>"CK202410028934"</f>
        <v>CK202410028934</v>
      </c>
      <c r="C10181" s="1" t="str">
        <f>"DD2024100232800"</f>
        <v>DD2024100232800</v>
      </c>
      <c r="D10181" s="1" t="str">
        <f>"CK2024100232926"</f>
        <v>CK2024100232926</v>
      </c>
      <c r="E10181" s="1" t="str">
        <f>"3723030535819366400"</f>
        <v>3723030535819366400</v>
      </c>
      <c r="F10181" s="1" t="str">
        <f t="shared" si="2797"/>
        <v>花都四部-凤凰仓</v>
      </c>
      <c r="G10181" s="1" t="str">
        <f t="shared" si="2794"/>
        <v>卡卡杜企业店（视频号）</v>
      </c>
      <c r="H10181" s="1" t="str">
        <f t="shared" si="2798"/>
        <v>正常订单</v>
      </c>
      <c r="I10181" s="1" t="str">
        <f t="shared" si="2799"/>
        <v>已发货</v>
      </c>
      <c r="J10181" s="1" t="str">
        <f t="shared" si="2802"/>
        <v>3</v>
      </c>
      <c r="K10181" s="1">
        <v>3</v>
      </c>
      <c r="L10181" s="1" t="s">
        <v>18</v>
      </c>
      <c r="M10181" s="1" t="str">
        <f>"广东省 深圳市 南山区 "</f>
        <v xml:space="preserve">广东省 深圳市 南山区 </v>
      </c>
      <c r="N10181" s="1" t="str">
        <f t="shared" si="2795"/>
        <v>凡华云仓-韵达-微信视频号</v>
      </c>
      <c r="O10181" s="5">
        <v>315011762003336</v>
      </c>
      <c r="P10181" s="6">
        <v>0.33</v>
      </c>
      <c r="Q10181" s="11">
        <v>2.2999999999999998</v>
      </c>
      <c r="R10181" s="11"/>
      <c r="S10181" s="11"/>
      <c r="T10181" s="11"/>
      <c r="U10181" s="11">
        <f t="shared" si="2803"/>
        <v>2.2999999999999998</v>
      </c>
      <c r="W10181">
        <v>2.5</v>
      </c>
      <c r="X10181" s="1" t="s">
        <v>18</v>
      </c>
    </row>
    <row r="10182" spans="1:24" x14ac:dyDescent="0.25">
      <c r="A10182" s="1" t="str">
        <f t="shared" si="2796"/>
        <v>卡卡杜-凤凰仓</v>
      </c>
      <c r="B10182" s="1" t="str">
        <f>"CK202410028931"</f>
        <v>CK202410028931</v>
      </c>
      <c r="C10182" s="1" t="str">
        <f>"DD2024100232797"</f>
        <v>DD2024100232797</v>
      </c>
      <c r="D10182" s="1" t="str">
        <f>"CK2024100232920"</f>
        <v>CK2024100232920</v>
      </c>
      <c r="E10182" s="1" t="str">
        <f>"6917731560445410487"</f>
        <v>6917731560445410487</v>
      </c>
      <c r="F10182" s="1" t="str">
        <f t="shared" si="2797"/>
        <v>花都四部-凤凰仓</v>
      </c>
      <c r="G10182" s="1" t="str">
        <f t="shared" ref="G10182:G10189" si="2804">"卡卡杜个人护理店（抖店）"</f>
        <v>卡卡杜个人护理店（抖店）</v>
      </c>
      <c r="H10182" s="1" t="str">
        <f t="shared" si="2798"/>
        <v>正常订单</v>
      </c>
      <c r="I10182" s="1" t="str">
        <f t="shared" si="2799"/>
        <v>已发货</v>
      </c>
      <c r="J10182" s="1" t="str">
        <f t="shared" si="2802"/>
        <v>3</v>
      </c>
      <c r="K10182" s="1">
        <v>3</v>
      </c>
      <c r="L10182" s="1" t="s">
        <v>47</v>
      </c>
      <c r="M10182" s="1" t="str">
        <f>"重庆 重庆市 渝北区 龙溪街道"</f>
        <v>重庆 重庆市 渝北区 龙溪街道</v>
      </c>
      <c r="N10182" s="1" t="str">
        <f t="shared" ref="N10182:N10189" si="2805">"凡华云仓-韵达-抖音"</f>
        <v>凡华云仓-韵达-抖音</v>
      </c>
      <c r="O10182" s="5">
        <v>320152535567933</v>
      </c>
      <c r="P10182" s="6">
        <v>0.33</v>
      </c>
      <c r="Q10182" s="11">
        <v>2.2999999999999998</v>
      </c>
      <c r="R10182" s="11"/>
      <c r="S10182" s="11"/>
      <c r="T10182" s="11"/>
      <c r="U10182" s="11">
        <f t="shared" si="2803"/>
        <v>2.2999999999999998</v>
      </c>
      <c r="W10182">
        <v>2.5</v>
      </c>
      <c r="X10182" s="1" t="s">
        <v>47</v>
      </c>
    </row>
    <row r="10183" spans="1:24" x14ac:dyDescent="0.25">
      <c r="A10183" s="1" t="str">
        <f t="shared" si="2796"/>
        <v>卡卡杜-凤凰仓</v>
      </c>
      <c r="B10183" s="1" t="str">
        <f>"CK202410028927"</f>
        <v>CK202410028927</v>
      </c>
      <c r="C10183" s="1" t="str">
        <f>"DD2024100232793"</f>
        <v>DD2024100232793</v>
      </c>
      <c r="D10183" s="1" t="str">
        <f>"CK2024100232919"</f>
        <v>CK2024100232919</v>
      </c>
      <c r="E10183" s="1" t="str">
        <f>"6917736199466745808"</f>
        <v>6917736199466745808</v>
      </c>
      <c r="F10183" s="1" t="str">
        <f t="shared" si="2797"/>
        <v>花都四部-凤凰仓</v>
      </c>
      <c r="G10183" s="1" t="str">
        <f t="shared" si="2804"/>
        <v>卡卡杜个人护理店（抖店）</v>
      </c>
      <c r="H10183" s="1" t="str">
        <f t="shared" si="2798"/>
        <v>正常订单</v>
      </c>
      <c r="I10183" s="1" t="str">
        <f t="shared" si="2799"/>
        <v>已发货</v>
      </c>
      <c r="J10183" s="1" t="str">
        <f t="shared" si="2802"/>
        <v>3</v>
      </c>
      <c r="K10183" s="1">
        <v>3</v>
      </c>
      <c r="L10183" s="1" t="s">
        <v>74</v>
      </c>
      <c r="M10183" s="1" t="str">
        <f>"上海 上海市 宝山区 大场镇"</f>
        <v>上海 上海市 宝山区 大场镇</v>
      </c>
      <c r="N10183" s="1" t="str">
        <f t="shared" si="2805"/>
        <v>凡华云仓-韵达-抖音</v>
      </c>
      <c r="O10183" s="5">
        <v>320152535567828</v>
      </c>
      <c r="P10183" s="6">
        <v>0.33</v>
      </c>
      <c r="Q10183" s="11">
        <v>2.2999999999999998</v>
      </c>
      <c r="R10183" s="11"/>
      <c r="S10183" s="11"/>
      <c r="T10183" s="11"/>
      <c r="U10183" s="11">
        <f t="shared" si="2803"/>
        <v>2.2999999999999998</v>
      </c>
      <c r="W10183">
        <v>2.5</v>
      </c>
      <c r="X10183" s="1" t="s">
        <v>74</v>
      </c>
    </row>
    <row r="10184" spans="1:24" x14ac:dyDescent="0.25">
      <c r="A10184" s="1" t="str">
        <f t="shared" si="2796"/>
        <v>卡卡杜-凤凰仓</v>
      </c>
      <c r="B10184" s="1" t="str">
        <f>"CK202410028916"</f>
        <v>CK202410028916</v>
      </c>
      <c r="C10184" s="1" t="str">
        <f>"DD2024100232780"</f>
        <v>DD2024100232780</v>
      </c>
      <c r="D10184" s="1" t="str">
        <f>"CK2024100232918"</f>
        <v>CK2024100232918</v>
      </c>
      <c r="E10184" s="1" t="str">
        <f>"6917737851669216471"</f>
        <v>6917737851669216471</v>
      </c>
      <c r="F10184" s="1" t="str">
        <f t="shared" si="2797"/>
        <v>花都四部-凤凰仓</v>
      </c>
      <c r="G10184" s="1" t="str">
        <f t="shared" si="2804"/>
        <v>卡卡杜个人护理店（抖店）</v>
      </c>
      <c r="H10184" s="1" t="str">
        <f t="shared" si="2798"/>
        <v>正常订单</v>
      </c>
      <c r="I10184" s="1" t="str">
        <f t="shared" si="2799"/>
        <v>已发货</v>
      </c>
      <c r="J10184" s="1" t="str">
        <f t="shared" si="2802"/>
        <v>3</v>
      </c>
      <c r="K10184" s="1">
        <v>3</v>
      </c>
      <c r="L10184" s="1" t="s">
        <v>18</v>
      </c>
      <c r="M10184" s="1" t="str">
        <f>"广东省 广州市 海珠区 赤岗街道"</f>
        <v>广东省 广州市 海珠区 赤岗街道</v>
      </c>
      <c r="N10184" s="1" t="str">
        <f t="shared" si="2805"/>
        <v>凡华云仓-韵达-抖音</v>
      </c>
      <c r="O10184" s="5">
        <v>320152535567725</v>
      </c>
      <c r="P10184" s="6">
        <v>0.33</v>
      </c>
      <c r="Q10184" s="11">
        <v>2.2999999999999998</v>
      </c>
      <c r="R10184" s="11"/>
      <c r="S10184" s="11"/>
      <c r="T10184" s="11"/>
      <c r="U10184" s="11">
        <f t="shared" si="2803"/>
        <v>2.2999999999999998</v>
      </c>
      <c r="W10184">
        <v>2.5</v>
      </c>
      <c r="X10184" s="1" t="s">
        <v>18</v>
      </c>
    </row>
    <row r="10185" spans="1:24" x14ac:dyDescent="0.25">
      <c r="A10185" s="1" t="str">
        <f t="shared" si="2796"/>
        <v>卡卡杜-凤凰仓</v>
      </c>
      <c r="B10185" s="1" t="str">
        <f>"CK202410028933"</f>
        <v>CK202410028933</v>
      </c>
      <c r="C10185" s="1" t="str">
        <f>"DD2024100232798"</f>
        <v>DD2024100232798</v>
      </c>
      <c r="D10185" s="1" t="str">
        <f>"CK2024100232917"</f>
        <v>CK2024100232917</v>
      </c>
      <c r="E10185" s="1" t="str">
        <f>"6917740619472928580"</f>
        <v>6917740619472928580</v>
      </c>
      <c r="F10185" s="1" t="str">
        <f t="shared" si="2797"/>
        <v>花都四部-凤凰仓</v>
      </c>
      <c r="G10185" s="1" t="str">
        <f t="shared" si="2804"/>
        <v>卡卡杜个人护理店（抖店）</v>
      </c>
      <c r="H10185" s="1" t="str">
        <f t="shared" si="2798"/>
        <v>正常订单</v>
      </c>
      <c r="I10185" s="1" t="str">
        <f t="shared" si="2799"/>
        <v>已发货</v>
      </c>
      <c r="J10185" s="1" t="str">
        <f t="shared" si="2802"/>
        <v>3</v>
      </c>
      <c r="K10185" s="1">
        <v>3</v>
      </c>
      <c r="L10185" s="1" t="s">
        <v>20</v>
      </c>
      <c r="M10185" s="1" t="str">
        <f>"浙江省 宁波市 鄞州区 东柳街道"</f>
        <v>浙江省 宁波市 鄞州区 东柳街道</v>
      </c>
      <c r="N10185" s="1" t="str">
        <f t="shared" si="2805"/>
        <v>凡华云仓-韵达-抖音</v>
      </c>
      <c r="O10185" s="5">
        <v>320152535567624</v>
      </c>
      <c r="P10185" s="6">
        <v>0.33</v>
      </c>
      <c r="Q10185" s="11">
        <v>2.2999999999999998</v>
      </c>
      <c r="R10185" s="11"/>
      <c r="S10185" s="11"/>
      <c r="T10185" s="11"/>
      <c r="U10185" s="11">
        <f t="shared" si="2803"/>
        <v>2.2999999999999998</v>
      </c>
      <c r="W10185">
        <v>2.5</v>
      </c>
      <c r="X10185" s="1" t="s">
        <v>20</v>
      </c>
    </row>
    <row r="10186" spans="1:24" x14ac:dyDescent="0.25">
      <c r="A10186" s="1" t="str">
        <f t="shared" si="2796"/>
        <v>卡卡杜-凤凰仓</v>
      </c>
      <c r="B10186" s="1" t="str">
        <f>"CK202410028920"</f>
        <v>CK202410028920</v>
      </c>
      <c r="C10186" s="1" t="str">
        <f>"DD2024100232787"</f>
        <v>DD2024100232787</v>
      </c>
      <c r="D10186" s="1" t="str">
        <f>"CK2024100232916"</f>
        <v>CK2024100232916</v>
      </c>
      <c r="E10186" s="1" t="str">
        <f>"6917735620847697777"</f>
        <v>6917735620847697777</v>
      </c>
      <c r="F10186" s="1" t="str">
        <f t="shared" si="2797"/>
        <v>花都四部-凤凰仓</v>
      </c>
      <c r="G10186" s="1" t="str">
        <f t="shared" si="2804"/>
        <v>卡卡杜个人护理店（抖店）</v>
      </c>
      <c r="H10186" s="1" t="str">
        <f t="shared" si="2798"/>
        <v>正常订单</v>
      </c>
      <c r="I10186" s="1" t="str">
        <f t="shared" si="2799"/>
        <v>已发货</v>
      </c>
      <c r="J10186" s="1" t="str">
        <f t="shared" si="2802"/>
        <v>3</v>
      </c>
      <c r="K10186" s="1">
        <v>3</v>
      </c>
      <c r="L10186" s="1" t="s">
        <v>36</v>
      </c>
      <c r="M10186" s="1" t="str">
        <f>"安徽省 亳州市 涡阳县 星园街道"</f>
        <v>安徽省 亳州市 涡阳县 星园街道</v>
      </c>
      <c r="N10186" s="1" t="str">
        <f t="shared" si="2805"/>
        <v>凡华云仓-韵达-抖音</v>
      </c>
      <c r="O10186" s="5">
        <v>320152535567525</v>
      </c>
      <c r="P10186" s="6">
        <v>0.33</v>
      </c>
      <c r="Q10186" s="11">
        <v>2.2999999999999998</v>
      </c>
      <c r="R10186" s="11"/>
      <c r="S10186" s="11"/>
      <c r="T10186" s="11"/>
      <c r="U10186" s="11">
        <f t="shared" si="2803"/>
        <v>2.2999999999999998</v>
      </c>
      <c r="W10186">
        <v>2.5</v>
      </c>
      <c r="X10186" s="1" t="s">
        <v>36</v>
      </c>
    </row>
    <row r="10187" spans="1:24" x14ac:dyDescent="0.25">
      <c r="A10187" s="1" t="str">
        <f t="shared" si="2796"/>
        <v>卡卡杜-凤凰仓</v>
      </c>
      <c r="B10187" s="1" t="str">
        <f>"CK202410028932"</f>
        <v>CK202410028932</v>
      </c>
      <c r="C10187" s="1" t="str">
        <f>"DD2024100232799"</f>
        <v>DD2024100232799</v>
      </c>
      <c r="D10187" s="1" t="str">
        <f>"CK2024100232915"</f>
        <v>CK2024100232915</v>
      </c>
      <c r="E10187" s="1" t="str">
        <f>"6917740655336062408"</f>
        <v>6917740655336062408</v>
      </c>
      <c r="F10187" s="1" t="str">
        <f t="shared" si="2797"/>
        <v>花都四部-凤凰仓</v>
      </c>
      <c r="G10187" s="1" t="str">
        <f t="shared" si="2804"/>
        <v>卡卡杜个人护理店（抖店）</v>
      </c>
      <c r="H10187" s="1" t="str">
        <f t="shared" si="2798"/>
        <v>正常订单</v>
      </c>
      <c r="I10187" s="1" t="str">
        <f t="shared" si="2799"/>
        <v>已发货</v>
      </c>
      <c r="J10187" s="1" t="str">
        <f t="shared" si="2802"/>
        <v>3</v>
      </c>
      <c r="K10187" s="1">
        <v>3</v>
      </c>
      <c r="L10187" s="1" t="s">
        <v>30</v>
      </c>
      <c r="M10187" s="1" t="str">
        <f>"山东省 青岛市 市南区 珠海路街道"</f>
        <v>山东省 青岛市 市南区 珠海路街道</v>
      </c>
      <c r="N10187" s="1" t="str">
        <f t="shared" si="2805"/>
        <v>凡华云仓-韵达-抖音</v>
      </c>
      <c r="O10187" s="5">
        <v>320152535567428</v>
      </c>
      <c r="P10187" s="6">
        <v>0.33</v>
      </c>
      <c r="Q10187" s="11">
        <v>2.2999999999999998</v>
      </c>
      <c r="R10187" s="11"/>
      <c r="S10187" s="11"/>
      <c r="T10187" s="11"/>
      <c r="U10187" s="11">
        <f t="shared" si="2803"/>
        <v>2.2999999999999998</v>
      </c>
      <c r="W10187">
        <v>2.5</v>
      </c>
      <c r="X10187" s="1" t="s">
        <v>30</v>
      </c>
    </row>
    <row r="10188" spans="1:24" x14ac:dyDescent="0.25">
      <c r="A10188" s="1" t="str">
        <f t="shared" si="2796"/>
        <v>卡卡杜-凤凰仓</v>
      </c>
      <c r="B10188" s="1" t="str">
        <f>"CK202410028922"</f>
        <v>CK202410028922</v>
      </c>
      <c r="C10188" s="1" t="str">
        <f>"DD2024100232788"</f>
        <v>DD2024100232788</v>
      </c>
      <c r="D10188" s="1" t="str">
        <f>"CK2024100232914"</f>
        <v>CK2024100232914</v>
      </c>
      <c r="E10188" s="1" t="str">
        <f>"6917740292985749141"</f>
        <v>6917740292985749141</v>
      </c>
      <c r="F10188" s="1" t="str">
        <f t="shared" si="2797"/>
        <v>花都四部-凤凰仓</v>
      </c>
      <c r="G10188" s="1" t="str">
        <f t="shared" si="2804"/>
        <v>卡卡杜个人护理店（抖店）</v>
      </c>
      <c r="H10188" s="1" t="str">
        <f t="shared" si="2798"/>
        <v>正常订单</v>
      </c>
      <c r="I10188" s="1" t="str">
        <f t="shared" si="2799"/>
        <v>已发货</v>
      </c>
      <c r="J10188" s="1" t="str">
        <f t="shared" si="2802"/>
        <v>3</v>
      </c>
      <c r="K10188" s="1">
        <v>3</v>
      </c>
      <c r="L10188" s="1" t="s">
        <v>20</v>
      </c>
      <c r="M10188" s="1" t="str">
        <f>"浙江省 杭州市 余杭区 余杭街道"</f>
        <v>浙江省 杭州市 余杭区 余杭街道</v>
      </c>
      <c r="N10188" s="1" t="str">
        <f t="shared" si="2805"/>
        <v>凡华云仓-韵达-抖音</v>
      </c>
      <c r="O10188" s="5">
        <v>320152535567333</v>
      </c>
      <c r="P10188" s="6">
        <v>0.33</v>
      </c>
      <c r="Q10188" s="11">
        <v>2.2999999999999998</v>
      </c>
      <c r="R10188" s="11"/>
      <c r="S10188" s="11"/>
      <c r="T10188" s="11"/>
      <c r="U10188" s="11">
        <f t="shared" si="2803"/>
        <v>2.2999999999999998</v>
      </c>
      <c r="W10188">
        <v>2.5</v>
      </c>
      <c r="X10188" s="1" t="s">
        <v>20</v>
      </c>
    </row>
    <row r="10189" spans="1:24" x14ac:dyDescent="0.25">
      <c r="A10189" s="1" t="str">
        <f t="shared" si="2796"/>
        <v>卡卡杜-凤凰仓</v>
      </c>
      <c r="B10189" s="1" t="str">
        <f>"CK202410028924"</f>
        <v>CK202410028924</v>
      </c>
      <c r="C10189" s="1" t="str">
        <f>"DD2024100232789"</f>
        <v>DD2024100232789</v>
      </c>
      <c r="D10189" s="1" t="str">
        <f>"CK2024100232913"</f>
        <v>CK2024100232913</v>
      </c>
      <c r="E10189" s="1" t="str">
        <f>"6917730973710516067"</f>
        <v>6917730973710516067</v>
      </c>
      <c r="F10189" s="1" t="str">
        <f t="shared" si="2797"/>
        <v>花都四部-凤凰仓</v>
      </c>
      <c r="G10189" s="1" t="str">
        <f t="shared" si="2804"/>
        <v>卡卡杜个人护理店（抖店）</v>
      </c>
      <c r="H10189" s="1" t="str">
        <f t="shared" si="2798"/>
        <v>正常订单</v>
      </c>
      <c r="I10189" s="1" t="str">
        <f t="shared" si="2799"/>
        <v>已发货</v>
      </c>
      <c r="J10189" s="1" t="str">
        <f t="shared" si="2802"/>
        <v>3</v>
      </c>
      <c r="K10189" s="1">
        <v>3</v>
      </c>
      <c r="L10189" s="1" t="s">
        <v>18</v>
      </c>
      <c r="M10189" s="1" t="str">
        <f>"广东省 广州市 白云区 松洲街道"</f>
        <v>广东省 广州市 白云区 松洲街道</v>
      </c>
      <c r="N10189" s="1" t="str">
        <f t="shared" si="2805"/>
        <v>凡华云仓-韵达-抖音</v>
      </c>
      <c r="O10189" s="5">
        <v>320152535567240</v>
      </c>
      <c r="P10189" s="6">
        <v>0.33</v>
      </c>
      <c r="Q10189" s="11">
        <v>2.2999999999999998</v>
      </c>
      <c r="R10189" s="11"/>
      <c r="S10189" s="11"/>
      <c r="T10189" s="11"/>
      <c r="U10189" s="11">
        <f t="shared" si="2803"/>
        <v>2.2999999999999998</v>
      </c>
      <c r="W10189">
        <v>2.5</v>
      </c>
      <c r="X10189" s="1" t="s">
        <v>18</v>
      </c>
    </row>
    <row r="10190" spans="1:24" x14ac:dyDescent="0.25">
      <c r="A10190" s="1" t="str">
        <f t="shared" si="2796"/>
        <v>卡卡杜-凤凰仓</v>
      </c>
      <c r="B10190" s="1" t="str">
        <f>"CK2024100231"</f>
        <v>CK2024100231</v>
      </c>
      <c r="C10190" s="1" t="str">
        <f>"DD2024100212162"</f>
        <v>DD2024100212162</v>
      </c>
      <c r="D10190" s="1" t="str">
        <f>"CK2024100212185"</f>
        <v>CK2024100212185</v>
      </c>
      <c r="E10190" s="1" t="str">
        <f>"3723015151266956800"</f>
        <v>3723015151266956800</v>
      </c>
      <c r="F10190" s="1" t="str">
        <f t="shared" si="2797"/>
        <v>花都四部-凤凰仓</v>
      </c>
      <c r="G10190" s="1" t="str">
        <f>"卡卡杜企业店（视频号）"</f>
        <v>卡卡杜企业店（视频号）</v>
      </c>
      <c r="H10190" s="1" t="str">
        <f t="shared" si="2798"/>
        <v>正常订单</v>
      </c>
      <c r="I10190" s="1" t="str">
        <f t="shared" si="2799"/>
        <v>已发货</v>
      </c>
      <c r="J10190" s="1" t="str">
        <f>"4"</f>
        <v>4</v>
      </c>
      <c r="K10190" s="1">
        <v>2</v>
      </c>
      <c r="L10190" s="1" t="s">
        <v>60</v>
      </c>
      <c r="M10190" s="1" t="str">
        <f>"云南省 保山市 腾冲市 "</f>
        <v xml:space="preserve">云南省 保山市 腾冲市 </v>
      </c>
      <c r="N10190" s="1" t="str">
        <f>"凡华云仓-韵达-微信视频号"</f>
        <v>凡华云仓-韵达-微信视频号</v>
      </c>
      <c r="O10190" s="5">
        <v>315011741625577</v>
      </c>
      <c r="P10190" s="6">
        <v>0.52</v>
      </c>
      <c r="Q10190" s="11">
        <f>CEILING(P10190-0.5,0.1)*10*0.15+2.3</f>
        <v>2.4499999999999997</v>
      </c>
      <c r="R10190" s="11"/>
      <c r="S10190" s="11"/>
      <c r="T10190" s="11"/>
      <c r="U10190" s="11">
        <f t="shared" si="2803"/>
        <v>2.4499999999999997</v>
      </c>
      <c r="V10190" t="s">
        <v>15</v>
      </c>
      <c r="W10190">
        <v>2.4500000000000002</v>
      </c>
      <c r="X10190" s="1" t="s">
        <v>60</v>
      </c>
    </row>
    <row r="10191" spans="1:24" x14ac:dyDescent="0.25">
      <c r="A10191" s="1" t="str">
        <f t="shared" si="2796"/>
        <v>卡卡杜-凤凰仓</v>
      </c>
      <c r="B10191" s="1" t="str">
        <f>"CK2024100230"</f>
        <v>CK2024100230</v>
      </c>
      <c r="C10191" s="1" t="str">
        <f>"DD2024100212037"</f>
        <v>DD2024100212037</v>
      </c>
      <c r="D10191" s="1" t="str">
        <f>"CK2024100212184"</f>
        <v>CK2024100212184</v>
      </c>
      <c r="E10191" s="1" t="str">
        <f>"6917727994549665122"</f>
        <v>6917727994549665122</v>
      </c>
      <c r="F10191" s="1" t="str">
        <f t="shared" si="2797"/>
        <v>花都四部-凤凰仓</v>
      </c>
      <c r="G10191" s="1" t="str">
        <f t="shared" ref="G10191:G10196" si="2806">"卡卡杜个人护理店（抖店）"</f>
        <v>卡卡杜个人护理店（抖店）</v>
      </c>
      <c r="H10191" s="1" t="str">
        <f t="shared" si="2798"/>
        <v>正常订单</v>
      </c>
      <c r="I10191" s="1" t="str">
        <f t="shared" si="2799"/>
        <v>已发货</v>
      </c>
      <c r="J10191" s="1" t="str">
        <f t="shared" ref="J10191:J10196" si="2807">"2"</f>
        <v>2</v>
      </c>
      <c r="K10191" s="1">
        <v>2</v>
      </c>
      <c r="L10191" s="1" t="s">
        <v>74</v>
      </c>
      <c r="M10191" s="1" t="str">
        <f>"上海 上海市 浦东新区 浦兴路街道"</f>
        <v>上海 上海市 浦东新区 浦兴路街道</v>
      </c>
      <c r="N10191" s="1" t="str">
        <f t="shared" ref="N10191:N10196" si="2808">"凡华云仓-韵达-抖音"</f>
        <v>凡华云仓-韵达-抖音</v>
      </c>
      <c r="O10191" s="5">
        <v>320152248470385</v>
      </c>
      <c r="P10191" s="6">
        <v>0.28000000000000003</v>
      </c>
      <c r="Q10191" s="11">
        <v>2</v>
      </c>
      <c r="R10191" s="11"/>
      <c r="S10191" s="11"/>
      <c r="T10191" s="11"/>
      <c r="U10191" s="11">
        <f t="shared" si="2803"/>
        <v>2</v>
      </c>
      <c r="W10191">
        <v>2.2000000000000002</v>
      </c>
      <c r="X10191" s="1" t="s">
        <v>74</v>
      </c>
    </row>
    <row r="10192" spans="1:24" x14ac:dyDescent="0.25">
      <c r="A10192" s="1" t="str">
        <f t="shared" si="2796"/>
        <v>卡卡杜-凤凰仓</v>
      </c>
      <c r="B10192" s="1" t="str">
        <f>"CK202410018213"</f>
        <v>CK202410018213</v>
      </c>
      <c r="C10192" s="1" t="str">
        <f>"DD2024100133879"</f>
        <v>DD2024100133879</v>
      </c>
      <c r="D10192" s="1" t="str">
        <f>"CK2024100134586"</f>
        <v>CK2024100134586</v>
      </c>
      <c r="E10192" s="1" t="str">
        <f>"KKD20241001YP001"</f>
        <v>KKD20241001YP001</v>
      </c>
      <c r="F10192" s="1" t="str">
        <f t="shared" si="2797"/>
        <v>花都四部-凤凰仓</v>
      </c>
      <c r="G10192" s="1" t="str">
        <f>"卡卡杜全欣样品"</f>
        <v>卡卡杜全欣样品</v>
      </c>
      <c r="H10192" s="1" t="str">
        <f t="shared" si="2798"/>
        <v>正常订单</v>
      </c>
      <c r="I10192" s="1" t="str">
        <f t="shared" si="2799"/>
        <v>已发货</v>
      </c>
      <c r="J10192" s="1" t="str">
        <f>"24"</f>
        <v>24</v>
      </c>
      <c r="K10192" s="1">
        <v>12</v>
      </c>
      <c r="L10192" s="1" t="s">
        <v>36</v>
      </c>
      <c r="M10192" s="1" t="str">
        <f>"安徽省 合肥市 包河区 "</f>
        <v xml:space="preserve">安徽省 合肥市 包河区 </v>
      </c>
      <c r="N10192" s="1" t="str">
        <f>"凡华云仓-韵达-淘宝"</f>
        <v>凡华云仓-韵达-淘宝</v>
      </c>
      <c r="O10192" s="3">
        <v>434163725962342</v>
      </c>
      <c r="P10192" s="6">
        <v>6.42</v>
      </c>
      <c r="Q10192" s="11">
        <f>ROUNDUP(P10192,0)*VLOOKUP(L:L,'[1]3KG报价'!A:C,3,0)+VLOOKUP(L:L,'[1]3KG报价'!A:B,2,0)+0.8</f>
        <v>18.3</v>
      </c>
      <c r="R10192" s="11">
        <f>(K10192-3)*0.1</f>
        <v>0.9</v>
      </c>
      <c r="S10192" s="11">
        <v>0.15</v>
      </c>
      <c r="T10192" s="11"/>
      <c r="U10192" s="11">
        <f t="shared" si="2803"/>
        <v>19.350000000000001</v>
      </c>
      <c r="V10192" t="s">
        <v>1212</v>
      </c>
      <c r="W10192">
        <v>19.350000000000001</v>
      </c>
      <c r="X10192" s="1" t="s">
        <v>36</v>
      </c>
    </row>
    <row r="10193" spans="1:24" x14ac:dyDescent="0.25">
      <c r="A10193" s="1" t="str">
        <f t="shared" si="2796"/>
        <v>卡卡杜-凤凰仓</v>
      </c>
      <c r="B10193" s="1" t="str">
        <f>"CK202410018214"</f>
        <v>CK202410018214</v>
      </c>
      <c r="C10193" s="1" t="str">
        <f>"DD2024100134059"</f>
        <v>DD2024100134059</v>
      </c>
      <c r="D10193" s="1" t="str">
        <f>"CK2024100134585"</f>
        <v>CK2024100134585</v>
      </c>
      <c r="E10193" s="1" t="str">
        <f>"3723008138530919424"</f>
        <v>3723008138530919424</v>
      </c>
      <c r="F10193" s="1" t="str">
        <f t="shared" si="2797"/>
        <v>花都四部-凤凰仓</v>
      </c>
      <c r="G10193" s="1" t="str">
        <f>"卡卡杜企业店（视频号）"</f>
        <v>卡卡杜企业店（视频号）</v>
      </c>
      <c r="H10193" s="1" t="str">
        <f t="shared" si="2798"/>
        <v>正常订单</v>
      </c>
      <c r="I10193" s="1" t="str">
        <f t="shared" si="2799"/>
        <v>已发货</v>
      </c>
      <c r="J10193" s="1" t="str">
        <f t="shared" si="2807"/>
        <v>2</v>
      </c>
      <c r="K10193" s="1">
        <v>2</v>
      </c>
      <c r="L10193" s="1" t="s">
        <v>18</v>
      </c>
      <c r="M10193" s="1" t="str">
        <f>"广东省 广州市 增城区 "</f>
        <v xml:space="preserve">广东省 广州市 增城区 </v>
      </c>
      <c r="N10193" s="1" t="str">
        <f>"凡华云仓-韵达-微信视频号"</f>
        <v>凡华云仓-韵达-微信视频号</v>
      </c>
      <c r="O10193" s="5">
        <v>315011678617369</v>
      </c>
      <c r="P10193" s="6">
        <v>0.28000000000000003</v>
      </c>
      <c r="Q10193" s="11">
        <v>2</v>
      </c>
      <c r="R10193" s="11"/>
      <c r="S10193" s="11"/>
      <c r="T10193" s="11"/>
      <c r="U10193" s="11">
        <f t="shared" si="2803"/>
        <v>2</v>
      </c>
      <c r="W10193">
        <v>2.2000000000000002</v>
      </c>
      <c r="X10193" s="1" t="s">
        <v>18</v>
      </c>
    </row>
    <row r="10194" spans="1:24" x14ac:dyDescent="0.25">
      <c r="A10194" s="1" t="str">
        <f t="shared" si="2796"/>
        <v>卡卡杜-凤凰仓</v>
      </c>
      <c r="B10194" s="1" t="str">
        <f>"CK2024100134"</f>
        <v>CK2024100134</v>
      </c>
      <c r="C10194" s="1" t="str">
        <f>"DD2024100112708"</f>
        <v>DD2024100112708</v>
      </c>
      <c r="D10194" s="1" t="str">
        <f>"CK202410019812"</f>
        <v>CK202410019812</v>
      </c>
      <c r="E10194" s="1" t="str">
        <f>"4063065948059649339"</f>
        <v>4063065948059649339</v>
      </c>
      <c r="F10194" s="1" t="str">
        <f t="shared" si="2797"/>
        <v>花都四部-凤凰仓</v>
      </c>
      <c r="G10194" s="1" t="str">
        <f>"卡卡杜旗舰店(天猫）"</f>
        <v>卡卡杜旗舰店(天猫）</v>
      </c>
      <c r="H10194" s="1" t="str">
        <f t="shared" si="2798"/>
        <v>正常订单</v>
      </c>
      <c r="I10194" s="1" t="str">
        <f t="shared" si="2799"/>
        <v>已发货</v>
      </c>
      <c r="J10194" s="1" t="str">
        <f>"1"</f>
        <v>1</v>
      </c>
      <c r="K10194" s="1">
        <v>1</v>
      </c>
      <c r="L10194" s="1" t="s">
        <v>80</v>
      </c>
      <c r="M10194" s="1" t="str">
        <f>"河南省 南阳市 方城县 "</f>
        <v xml:space="preserve">河南省 南阳市 方城县 </v>
      </c>
      <c r="N10194" s="1" t="str">
        <f>"凡华云仓-韵达-淘宝"</f>
        <v>凡华云仓-韵达-淘宝</v>
      </c>
      <c r="O10194" s="5">
        <v>434163211643954</v>
      </c>
      <c r="P10194" s="6">
        <v>0.19</v>
      </c>
      <c r="Q10194" s="11">
        <v>2</v>
      </c>
      <c r="R10194" s="11"/>
      <c r="S10194" s="11"/>
      <c r="T10194" s="11"/>
      <c r="U10194" s="11">
        <f t="shared" si="2803"/>
        <v>2</v>
      </c>
      <c r="W10194">
        <v>2.2000000000000002</v>
      </c>
      <c r="X10194" s="1" t="s">
        <v>80</v>
      </c>
    </row>
    <row r="10195" spans="1:24" x14ac:dyDescent="0.25">
      <c r="A10195" s="1" t="str">
        <f t="shared" si="2796"/>
        <v>卡卡杜-凤凰仓</v>
      </c>
      <c r="B10195" s="1" t="str">
        <f>"CK2024100135"</f>
        <v>CK2024100135</v>
      </c>
      <c r="C10195" s="1" t="str">
        <f>"DD2024100112730"</f>
        <v>DD2024100112730</v>
      </c>
      <c r="D10195" s="1" t="str">
        <f>"CK202410019811"</f>
        <v>CK202410019811</v>
      </c>
      <c r="E10195" s="1" t="str">
        <f>"6917690331386051595"</f>
        <v>6917690331386051595</v>
      </c>
      <c r="F10195" s="1" t="str">
        <f t="shared" si="2797"/>
        <v>花都四部-凤凰仓</v>
      </c>
      <c r="G10195" s="1" t="str">
        <f t="shared" si="2806"/>
        <v>卡卡杜个人护理店（抖店）</v>
      </c>
      <c r="H10195" s="1" t="str">
        <f t="shared" si="2798"/>
        <v>正常订单</v>
      </c>
      <c r="I10195" s="1" t="str">
        <f t="shared" si="2799"/>
        <v>已发货</v>
      </c>
      <c r="J10195" s="1" t="str">
        <f t="shared" si="2807"/>
        <v>2</v>
      </c>
      <c r="K10195" s="1">
        <v>2</v>
      </c>
      <c r="L10195" s="1" t="s">
        <v>60</v>
      </c>
      <c r="M10195" s="1" t="str">
        <f>"云南省 昆明市 盘龙区 金辰街道"</f>
        <v>云南省 昆明市 盘龙区 金辰街道</v>
      </c>
      <c r="N10195" s="1" t="str">
        <f t="shared" si="2808"/>
        <v>凡华云仓-韵达-抖音</v>
      </c>
      <c r="O10195" s="5">
        <v>320150751796668</v>
      </c>
      <c r="P10195" s="6">
        <v>0.28000000000000003</v>
      </c>
      <c r="Q10195" s="11">
        <v>2</v>
      </c>
      <c r="R10195" s="11"/>
      <c r="S10195" s="11"/>
      <c r="T10195" s="11"/>
      <c r="U10195" s="11">
        <f t="shared" si="2803"/>
        <v>2</v>
      </c>
      <c r="W10195">
        <v>2.2000000000000002</v>
      </c>
      <c r="X10195" s="1" t="s">
        <v>60</v>
      </c>
    </row>
    <row r="10196" spans="1:24" x14ac:dyDescent="0.25">
      <c r="A10196" s="1" t="str">
        <f t="shared" si="2796"/>
        <v>卡卡杜-凤凰仓</v>
      </c>
      <c r="B10196" s="1" t="str">
        <f>"CK2024100136"</f>
        <v>CK2024100136</v>
      </c>
      <c r="C10196" s="1" t="str">
        <f>"DD2024100112731"</f>
        <v>DD2024100112731</v>
      </c>
      <c r="D10196" s="1" t="str">
        <f>"CK202410019810"</f>
        <v>CK202410019810</v>
      </c>
      <c r="E10196" s="1" t="str">
        <f>"6917679586140781787"</f>
        <v>6917679586140781787</v>
      </c>
      <c r="F10196" s="1" t="str">
        <f t="shared" si="2797"/>
        <v>花都四部-凤凰仓</v>
      </c>
      <c r="G10196" s="1" t="str">
        <f t="shared" si="2806"/>
        <v>卡卡杜个人护理店（抖店）</v>
      </c>
      <c r="H10196" s="1" t="str">
        <f t="shared" si="2798"/>
        <v>正常订单</v>
      </c>
      <c r="I10196" s="1" t="str">
        <f t="shared" si="2799"/>
        <v>已发货</v>
      </c>
      <c r="J10196" s="1" t="str">
        <f t="shared" si="2807"/>
        <v>2</v>
      </c>
      <c r="K10196" s="1">
        <v>2</v>
      </c>
      <c r="L10196" s="1" t="s">
        <v>74</v>
      </c>
      <c r="M10196" s="1" t="str">
        <f>"上海 上海市 浦东新区 三林镇"</f>
        <v>上海 上海市 浦东新区 三林镇</v>
      </c>
      <c r="N10196" s="1" t="str">
        <f t="shared" si="2808"/>
        <v>凡华云仓-韵达-抖音</v>
      </c>
      <c r="O10196" s="5">
        <v>320150751796569</v>
      </c>
      <c r="P10196" s="6">
        <v>0.28000000000000003</v>
      </c>
      <c r="Q10196" s="11">
        <v>2</v>
      </c>
      <c r="R10196" s="11"/>
      <c r="S10196" s="11"/>
      <c r="T10196" s="11"/>
      <c r="U10196" s="11">
        <f t="shared" si="2803"/>
        <v>2</v>
      </c>
      <c r="W10196">
        <v>2.2000000000000002</v>
      </c>
      <c r="X10196" s="1" t="s">
        <v>74</v>
      </c>
    </row>
    <row r="10197" spans="1:24" x14ac:dyDescent="0.25">
      <c r="O10197" s="8"/>
      <c r="U10197" s="12">
        <f>SUM(U2:U10196)</f>
        <v>23690.049999997445</v>
      </c>
    </row>
  </sheetData>
  <autoFilter ref="A1:X10197" xr:uid="{00000000-0009-0000-0000-000001000000}"/>
  <phoneticPr fontId="1" type="noConversion"/>
  <conditionalFormatting sqref="B1:B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268D-7C68-4541-8C24-5A937715523D}">
  <dimension ref="A1:A9"/>
  <sheetViews>
    <sheetView workbookViewId="0">
      <selection activeCell="J15" sqref="J15"/>
    </sheetView>
  </sheetViews>
  <sheetFormatPr defaultRowHeight="14" x14ac:dyDescent="0.25"/>
  <sheetData>
    <row r="1" spans="1:1" x14ac:dyDescent="0.25">
      <c r="A1" t="s">
        <v>5689</v>
      </c>
    </row>
    <row r="2" spans="1:1" x14ac:dyDescent="0.25">
      <c r="A2" t="s">
        <v>5683</v>
      </c>
    </row>
    <row r="3" spans="1:1" x14ac:dyDescent="0.25">
      <c r="A3" t="s">
        <v>5684</v>
      </c>
    </row>
    <row r="4" spans="1:1" x14ac:dyDescent="0.25">
      <c r="A4" t="s">
        <v>5685</v>
      </c>
    </row>
    <row r="5" spans="1:1" x14ac:dyDescent="0.25">
      <c r="A5" t="s">
        <v>5686</v>
      </c>
    </row>
    <row r="7" spans="1:1" x14ac:dyDescent="0.25">
      <c r="A7" t="s">
        <v>5687</v>
      </c>
    </row>
    <row r="9" spans="1:1" x14ac:dyDescent="0.25">
      <c r="A9" t="s">
        <v>5688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3878275283@qq.com</dc:creator>
  <cp:lastModifiedBy>溪 尹</cp:lastModifiedBy>
  <dcterms:created xsi:type="dcterms:W3CDTF">2026-02-27T12:25:05Z</dcterms:created>
  <dcterms:modified xsi:type="dcterms:W3CDTF">2026-03-28T08:55:11Z</dcterms:modified>
</cp:coreProperties>
</file>